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4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trlProps/ctrlProp10.xml" ContentType="application/vnd.ms-excel.controlpropertie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trlProps/ctrlProp11.xml" ContentType="application/vnd.ms-excel.controlproperties+xml"/>
  <Override PartName="/xl/ctrlProps/ctrlProp12.xml" ContentType="application/vnd.ms-excel.controlproperties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E:\CE_4_2024_PML_ESCOLA_BILINGUE\"/>
    </mc:Choice>
  </mc:AlternateContent>
  <bookViews>
    <workbookView xWindow="32760" yWindow="32760" windowWidth="17520" windowHeight="9528" tabRatio="801" activeTab="4"/>
  </bookViews>
  <sheets>
    <sheet name="MENU" sheetId="15" r:id="rId1"/>
    <sheet name="DADOS" sheetId="2" r:id="rId2"/>
    <sheet name="NOVO" sheetId="3" r:id="rId3"/>
    <sheet name="BDI" sheetId="4" r:id="rId4"/>
    <sheet name="ORÇAMENTO" sheetId="5" r:id="rId5"/>
    <sheet name="CÁLCULO" sheetId="6" r:id="rId6"/>
    <sheet name="EVENTOS" sheetId="7" r:id="rId7"/>
    <sheet name="CRONO" sheetId="8" r:id="rId8"/>
    <sheet name="CRONOPLE" sheetId="9" r:id="rId9"/>
    <sheet name="PLE" sheetId="10" r:id="rId10"/>
    <sheet name="QCI" sheetId="11" r:id="rId11"/>
    <sheet name="BM" sheetId="12" r:id="rId12"/>
    <sheet name="RRE" sheetId="13" r:id="rId13"/>
    <sheet name="OFÍCIO" sheetId="14" r:id="rId14"/>
  </sheets>
  <definedNames>
    <definedName name="_xlnm._FilterDatabase" localSheetId="3" hidden="1">BDI!$I$11:$I$132</definedName>
    <definedName name="_xlnm._FilterDatabase" localSheetId="11" hidden="1">BM!$C$15:$C$710</definedName>
    <definedName name="_xlnm._FilterDatabase" localSheetId="5" hidden="1">CÁLCULO!$C$15:$C$710</definedName>
    <definedName name="_xlnm._FilterDatabase" localSheetId="7" hidden="1">CRONO!$F$13:$F$114</definedName>
    <definedName name="_xlnm._FilterDatabase" localSheetId="8" hidden="1">CRONOPLE!$A$13:$A$15</definedName>
    <definedName name="_xlnm._FilterDatabase" localSheetId="4" hidden="1">ORÇAMENTO!$L$15:$L$710</definedName>
    <definedName name="_xlnm._FilterDatabase" localSheetId="9" hidden="1">PLE!$A$13:$A$38</definedName>
    <definedName name="_xlnm._FilterDatabase" localSheetId="10" hidden="1">QCI!$C$13:$C$25</definedName>
    <definedName name="_xlnm._FilterDatabase" localSheetId="12" hidden="1">RRE!$D$13:$D$30</definedName>
    <definedName name="ACOMPANHAMENTO" hidden="1">IF(VALUE(MENU!$O$4)=2,"BM","PLE")</definedName>
    <definedName name="_xlnm.Print_Area" localSheetId="3">BDI!$J$1:$S$132</definedName>
    <definedName name="_xlnm.Print_Area" localSheetId="11">BM!$D$1:$O$725</definedName>
    <definedName name="_xlnm.Print_Area" localSheetId="5">CÁLCULO!$E$1:$AI$718</definedName>
    <definedName name="_xlnm.Print_Area" localSheetId="7">CRONO!$H$1:$AR$114</definedName>
    <definedName name="_xlnm.Print_Area" localSheetId="0">MENU!$A$1:$I$25</definedName>
    <definedName name="_xlnm.Print_Area" localSheetId="13">OFÍCIO!$A$1:$G$56</definedName>
    <definedName name="_xlnm.Print_Area" localSheetId="4">ORÇAMENTO!$O$1:$Y$727</definedName>
    <definedName name="_xlnm.Print_Area" localSheetId="9">PLE!$B$3:$AG$39</definedName>
    <definedName name="_xlnm.Print_Area" localSheetId="10">QCI!$D$1:$O$37</definedName>
    <definedName name="_xlnm.Print_Area" localSheetId="12">RRE!$E$1:$P$49</definedName>
    <definedName name="AUTOEVENTO" hidden="1">CÁLCULO!$A$12</definedName>
    <definedName name="BDI.Filtro" hidden="1">BDI!$I$11:$I$132</definedName>
    <definedName name="BDI.Opcao" hidden="1">DADOS!$F$18</definedName>
    <definedName name="BDI.TipoObra" hidden="1">BDI!$A$138:$A$146</definedName>
    <definedName name="BM.AFAcumulado" hidden="1">BM!$R1</definedName>
    <definedName name="BM.AFAnterior" hidden="1">BM!$Q1</definedName>
    <definedName name="BM.CaixaColunas" hidden="1">BM!$Q:$Z</definedName>
    <definedName name="BM.Filtro" hidden="1">BM!$C$15:$C$710</definedName>
    <definedName name="BM.firstrow" hidden="1">BM!$15:$15</definedName>
    <definedName name="BM.FormulaMed" hidden="1">BM!$AO$7</definedName>
    <definedName name="BM.lastrow" hidden="1">BM!$710:$710</definedName>
    <definedName name="BM.LinhaPadrão" hidden="1">BM!$14:$14</definedName>
    <definedName name="BM.MaxMed" hidden="1">IF(RegimeExecucao="Global",1,BM!$G1)</definedName>
    <definedName name="BM.MCAIXA.Filter" hidden="1">BM!$C$15:$Z$710</definedName>
    <definedName name="BM.MEDAcumulado" hidden="1">IF(COUNTIF(BM!$AB$13:$AM$13,BM.medicao)&gt;0,SUM(OFFSET(BM!$AB1,0,0,1,MATCH(BM.medicao,BM!$AB$13:$AM$13,0))),0)</definedName>
    <definedName name="BM.MEDAnterior" hidden="1">IF(COUNTIF(BM!$AB$13:$AM$13,BM.medicao-1)&gt;0,SUM(OFFSET(BM!$AB1,0,0,1,MATCH(BM.medicao-1,BM!$AB$13:$AM$13,0))),0)</definedName>
    <definedName name="BM.medicao" hidden="1">OFFSET(BM!$O$7,1,0)</definedName>
    <definedName name="BM.MinMed" hidden="1">IF(RegimeExecucao="Global",-1,-BM!$G1)</definedName>
    <definedName name="BM.TomadorColunas" hidden="1">BM!$AB:$AN</definedName>
    <definedName name="Brasao" hidden="1">OFÍCIO!$B$1</definedName>
    <definedName name="CAIXA.Modo" hidden="1">BM!$A$3</definedName>
    <definedName name="CÁLCULO.AgrupEventos" hidden="1">CÁLCULO!$K1</definedName>
    <definedName name="CÁLCULO.ColunaPadrão" hidden="1">CÁLCULO!$O:$O</definedName>
    <definedName name="CÁLCULO.Filtro" hidden="1">CÁLCULO!$C$15:$C$710</definedName>
    <definedName name="CÁLCULO.firstcol" hidden="1">CÁLCULO!$P:$P</definedName>
    <definedName name="CÁLCULO.firstrow" hidden="1">CÁLCULO!$15:$15</definedName>
    <definedName name="CÁLCULO.Frenterow" hidden="1">CÁLCULO!$12:$12</definedName>
    <definedName name="CÁLCULO.lastcol" hidden="1">CÁLCULO!$AI:$AI</definedName>
    <definedName name="CÁLCULO.lastrow" hidden="1">CÁLCULO!$710:$710</definedName>
    <definedName name="CÁLCULO.LinhaPadrão" hidden="1">CÁLCULO!$14:$14</definedName>
    <definedName name="CÁLCULO.margemrow" hidden="1">CÁLCULO!$718:$718</definedName>
    <definedName name="CÁLCULO.MATRIZ1.ColunaPadrão" hidden="1">CÁLCULO!$AK:$AK</definedName>
    <definedName name="CÁLCULO.MATRIZ1.firstcol" hidden="1">CÁLCULO!$AI:$AI</definedName>
    <definedName name="CÁLCULO.MATRIZ1.lastcol" hidden="1">CÁLCULO!$BB:$BB</definedName>
    <definedName name="CÁLCULO.MATRIZ1.lastrow" hidden="1">CÁLCULO!$710:$710</definedName>
    <definedName name="CÁLCULO.MATRIZ2.ColunaPadrão" hidden="1">CÁLCULO!$BD:$BD</definedName>
    <definedName name="CÁLCULO.MATRIZ2.firstcol" hidden="1">CÁLCULO!$BB:$BB</definedName>
    <definedName name="CÁLCULO.MATRIZ2.lastcol" hidden="1">CÁLCULO!$BU:$BU</definedName>
    <definedName name="CÁLCULO.MATRIZ2.lastrow" hidden="1">CÁLCULO!$710:$710</definedName>
    <definedName name="CÁLCULO.MATRIZ3.ColunaPadrão" hidden="1">CÁLCULO!$BW:$BW</definedName>
    <definedName name="CÁLCULO.MATRIZ3.firstcol" hidden="1">CÁLCULO!$BU:$BU</definedName>
    <definedName name="CÁLCULO.MATRIZ3.lastcol" hidden="1">CÁLCULO!$CN:$CN</definedName>
    <definedName name="CÁLCULO.MATRIZ3.lastrow" hidden="1">CÁLCULO!$710:$710</definedName>
    <definedName name="CÁLCULO.NúmeroDeEventos" hidden="1">IF(AUTOEVENTO&lt;&gt;"manual",MAX(CÁLCULO!$M$15:$M$710),MAX(OFFSET(EVENTOS!$C$14:$C$24,1,0)))</definedName>
    <definedName name="CÁLCULO.NúmeroDeFrentes" hidden="1">COLUMN(CÁLCULO!$AI$15)-COLUMN(CÁLCULO!$Q$15)</definedName>
    <definedName name="CÁLCULO.TotalAdmLocal" hidden="1">IF(AUTOEVENTO="manual",SUMIF(CÁLCULO!$M$15:$M$710,1,ORÇAMENTO!$X$15:$X$710),0)</definedName>
    <definedName name="CRONO.ColunaPadrão" hidden="1">CRONO!$D:$D</definedName>
    <definedName name="CRONO.Filtro" hidden="1">CRONO!$F$13:$F$114</definedName>
    <definedName name="CRONO.FirstCol" hidden="1">CRONO!$S:$S</definedName>
    <definedName name="CRONO.firstrow" hidden="1">CRONO!$13:$13</definedName>
    <definedName name="CRONO.Frenterow" hidden="1">CRONO!$12:$12</definedName>
    <definedName name="CRONO.LastCol" hidden="1">CRONO!$AR:$AR</definedName>
    <definedName name="CRONO.lastrow" hidden="1">CRONO!$109:$109</definedName>
    <definedName name="CRONO.LinhaPadrão" hidden="1">CRONO!$1:$3</definedName>
    <definedName name="CRONO.LinhasNecessarias" hidden="1">COUNTIF(QCI!$B$13:$B$24,"Manual")+COUNTIF(QCI!$B$13:$B$24,"SemiAuto")+COUNT(ORÇAMENTO.ListaCrono)</definedName>
    <definedName name="CRONO.margemrow" hidden="1">CRONO!$114:$114</definedName>
    <definedName name="CRONO.MaxParc" hidden="1">CRONO!$G1048576+CRONO!A1</definedName>
    <definedName name="CRONO.NivelExibicao" hidden="1">CRONO!$G$10</definedName>
    <definedName name="CRONO.Parcela1" hidden="1">CRONO!$T$12:$T$13</definedName>
    <definedName name="CRONOPLE.ColunaPadrão" hidden="1">CRONOPLE!$E:$E</definedName>
    <definedName name="CRONOPLE.FirstCol" hidden="1">CRONOPLE!$F:$F</definedName>
    <definedName name="CRONOPLE.firstrow" hidden="1">CRONOPLE!$15:$15</definedName>
    <definedName name="CRONOPLE.Frenterow" hidden="1">CRONOPLE!$11:$11</definedName>
    <definedName name="CRONOPLE.LastCol" hidden="1">CRONOPLE!$AF:$AF</definedName>
    <definedName name="CRONOPLE.lastrow" hidden="1">CRONOPLE!$24:$24</definedName>
    <definedName name="CRONOPLE.LinhaPadrão" hidden="1">CRONOPLE!$1:$1</definedName>
    <definedName name="CRONOPLE.margemrow" hidden="1">CRONOPLE!$25:$25</definedName>
    <definedName name="CRONOPLE.ValorDoEvento" hidden="1">SUMIF(CÁLCULO!$M$15:$M$710,CRONOPLE!$B1,OFFSET(CÁLCULO!$AI$15:$AI$710,0,CRONOPLE!A$12))</definedName>
    <definedName name="DESONERACAO" hidden="1">IF(OR(Import.Desoneracao="DESONERADO",Import.Desoneracao="SIM"),"SIM","NÃO")</definedName>
    <definedName name="EVENTOS.firstrow" hidden="1">EVENTOS!$15:$15</definedName>
    <definedName name="EVENTOS.lastrow" hidden="1">EVENTOS!$24:$24</definedName>
    <definedName name="EVENTOS.LinhaPadrão" hidden="1">EVENTOS!$14:$14</definedName>
    <definedName name="EVENTOS.Lista" hidden="1">EVENTOS!$C$15:OFFSET(EVENTOS!$C$24,-1,0)</definedName>
    <definedName name="EVENTOS.ListaValidacao" hidden="1">EVENTOS!$B$15:OFFSET(EVENTOS!$B$24,-1,0)</definedName>
    <definedName name="Excel_BuiltIn_Database" hidden="1">TEXT(Import.DataBase,"mm-aaaa")</definedName>
    <definedName name="Import.Apelido" hidden="1">DADOS!$F$16</definedName>
    <definedName name="Import.BDI.Det1" hidden="1">BDI!$S$21:$S$26</definedName>
    <definedName name="Import.BDI.Det2" hidden="1">BDI!$S$61:$S$66</definedName>
    <definedName name="Import.BDI.Det3" hidden="1">BDI!$S$101:$S$106</definedName>
    <definedName name="Import.BDI.ISS" hidden="1">BDI!$R$10:$S$11</definedName>
    <definedName name="Import.BDI.Obs1" hidden="1">BDI!$J$43</definedName>
    <definedName name="Import.BDI.Obs2" hidden="1">BDI!$J$83</definedName>
    <definedName name="Import.BDI.Obs3" hidden="1">BDI!$J$123</definedName>
    <definedName name="Import.BDI.Tipo1" hidden="1">BDI!$J$17</definedName>
    <definedName name="Import.BDI.Tipo2" hidden="1">BDI!$J$57</definedName>
    <definedName name="Import.BDI.Tipo3" hidden="1">BDI!$J$97</definedName>
    <definedName name="Import.BM.Datas" hidden="1">BM!$AB$12:$AM$12</definedName>
    <definedName name="Import.BM.Obs" hidden="1">BM!$D$713</definedName>
    <definedName name="Import.BMAFAcumulado" hidden="1">OFFSET(BM!$R$15,1,0):OFFSET(BM!$R$710,-1,0)</definedName>
    <definedName name="Import.BMArred" hidden="1">BM!$A$9</definedName>
    <definedName name="Import.CNPJ" hidden="1">DADOS!$F$38</definedName>
    <definedName name="Import.Código" hidden="1">OFFSET(ORÇAMENTO!$Q$15,1,0):OFFSET(ORÇAMENTO!$Q$710,-1,0)</definedName>
    <definedName name="Import.Contrapartida" hidden="1">DADOS!$F$10</definedName>
    <definedName name="Import.CPMaxPerc" hidden="1">DADOS!$F$13</definedName>
    <definedName name="Import.CPMinAbsoluta" hidden="1">DADOS!$F$12</definedName>
    <definedName name="Import.CPMinPerc" hidden="1">DADOS!$F$11</definedName>
    <definedName name="Import.CR" hidden="1">DADOS!$F$7</definedName>
    <definedName name="Import.CRONOPLE" hidden="1">OFFSET(CRONOPLE!$F$15,1,1):OFFSET(CRONOPLE!$AF$24,-1,-1)</definedName>
    <definedName name="Import.CTEF" hidden="1">DADOS!$F$36</definedName>
    <definedName name="Import.CustoUnitário" hidden="1">OFFSET(ORÇAMENTO!$U$15,1,0):OFFSET(ORÇAMENTO!$U$710,-1,0)</definedName>
    <definedName name="Import.DataBase" hidden="1">OFFSET(DADOS!$G$19,0,-1)</definedName>
    <definedName name="Import.DataBaseLicit" hidden="1">OFFSET(DADOS!$G$40,0,-1)</definedName>
    <definedName name="Import.DataEmissaoLicit" hidden="1">DADOS!$F$35</definedName>
    <definedName name="Import.DataInicioObra" hidden="1">DADOS!$F$46</definedName>
    <definedName name="Import.DescLote" hidden="1">DADOS!$F$17</definedName>
    <definedName name="Import.Descrição" hidden="1">OFFSET(ORÇAMENTO!$R$15,1,0):OFFSET(ORÇAMENTO!$R$710,-1,0)</definedName>
    <definedName name="Import.Desoneracao" hidden="1">OFFSET(DADOS!$G$18,0,-1)</definedName>
    <definedName name="Import.empresa" hidden="1">DADOS!$F$37</definedName>
    <definedName name="Import.Eventos.Nível" hidden="1">EVENTOS!$C$6</definedName>
    <definedName name="Import.Eventos.Nomes" hidden="1">OFFSET(EVENTOS!$D$15,1,0):OFFSET(EVENTOS!$D$24,-1,0)</definedName>
    <definedName name="Import.Fonte" hidden="1">OFFSET(ORÇAMENTO!$P$15,1,0):OFFSET(ORÇAMENTO!$P$710,-1,0)</definedName>
    <definedName name="Import.FrenteDeObra" hidden="1">CÁLCULO!$Q$12:OFFSET(CÁLCULO!$AI$12,0,-1)</definedName>
    <definedName name="Import.Município" hidden="1">DADOS!$F$6</definedName>
    <definedName name="Import.Nível" hidden="1">OFFSET(ORÇAMENTO!$M$15,1,0):OFFSET(ORÇAMENTO!$M$710,-1,0)</definedName>
    <definedName name="Import.Ofício.Dest" hidden="1">OFÍCIO!$B$11</definedName>
    <definedName name="Import.Ofício.GIGOV" hidden="1">OFÍCIO!$C$11</definedName>
    <definedName name="Import.Ofício.Num" hidden="1">OFÍCIO!$C$6</definedName>
    <definedName name="Import.OpcaoBDI" hidden="1">OFFSET(ORÇAMENTO!$V$15,1,0):OFFSET(ORÇAMENTO!$V$710,-1,0)</definedName>
    <definedName name="Import.ORÇAMENTO.DivRecurso" hidden="1">OFFSET(ORÇAMENTO!$Y$15,1,0):OFFSET(ORÇAMENTO!$Y$710,-1,0)</definedName>
    <definedName name="Import.ORÇAMENTO.Obs" hidden="1">ORÇAMENTO!$O$716</definedName>
    <definedName name="Import.PLE" hidden="1">OFFSET(PLE!$G$15,1,1):OFFSET(PLE!$AG$24,-1,-1)</definedName>
    <definedName name="Import.PLE.Datas" hidden="1">PLE!$I$27:$AF$27</definedName>
    <definedName name="Import.PLQ" hidden="1">OFFSET(CÁLCULO!$P$15,1,1):OFFSET(CÁLCULO!$AI$710,-1,-1)</definedName>
    <definedName name="Import.PLQ.MemCalc" hidden="1">OFFSET(CÁLCULO!$I$15,1,0):OFFSET(CÁLCULO!$I$710,-1,0)</definedName>
    <definedName name="Import.POArred" hidden="1">ORÇAMENTO!$AF$7:$AF$11</definedName>
    <definedName name="IMport.Prefeito" hidden="1">DADOS!$F$28:$F$29</definedName>
    <definedName name="Import.Proponente" hidden="1">DADOS!$F$5</definedName>
    <definedName name="Import.QCI.Divisao" hidden="1">OFFSET(QCI!$V$13,1,0):OFFSET(QCI!$V$24,-1,0)</definedName>
    <definedName name="Import.QCI.ItemInv" hidden="1">OFFSET(QCI!$E$13,1,0):OFFSET(QCI!$E$24,-1,0)</definedName>
    <definedName name="Import.QCI.Obs" hidden="1">QCI!$D$28</definedName>
    <definedName name="Import.QCI.Qtde" hidden="1">OFFSET(QCI!$I$13,1,0):OFFSET(QCI!$I$24,-1,0)</definedName>
    <definedName name="Import.QCI.Situacao" hidden="1">OFFSET(QCI!$H$13,1,0):OFFSET(QCI!$H$24,-1,0)</definedName>
    <definedName name="Import.QCI.SubItemInv" hidden="1">OFFSET(QCI!$F$13,1,0):OFFSET(QCI!$F$24,-1,0)</definedName>
    <definedName name="Import.QCICP" hidden="1">OFFSET(QCI!$W$13,1,0):OFFSET(QCI!$W$24,-1,0)</definedName>
    <definedName name="Import.QCIDesc" hidden="1">OFFSET(QCI!$R$13,1,0):OFFSET(QCI!$R$24,-1,0)</definedName>
    <definedName name="Import.QCIInv" hidden="1">OFFSET(QCI!$U$13,1,0):OFFSET(QCI!$U$24,-1,0)</definedName>
    <definedName name="Import.QCILote" hidden="1">OFFSET(QCI!$T$13,1,0):OFFSET(QCI!$T$24,-1,0)</definedName>
    <definedName name="Import.QCIOutros" hidden="1">OFFSET(QCI!$X$13,1,0):OFFSET(QCI!$X$24,-1,0)</definedName>
    <definedName name="Import.Quantidade" hidden="1">OFFSET(ORÇAMENTO!$AJ$15,1,0):OFFSET(ORÇAMENTO!$AJ$710,-1,0)</definedName>
    <definedName name="import.recurso" hidden="1">DADOS!$F$4</definedName>
    <definedName name="Import.RegimeExecução" hidden="1">OFFSET(DADOS!$G$39,0,-1)</definedName>
    <definedName name="Import.Repasse" hidden="1">DADOS!$F$9</definedName>
    <definedName name="Import.RespFiscalização" hidden="1">DADOS!$F$50:$F$53</definedName>
    <definedName name="Import.RespOrçamento" hidden="1">DADOS!$F$22:$F$24</definedName>
    <definedName name="Import.RRE.Financeiro" hidden="1">RRE!$M$47:$O$49</definedName>
    <definedName name="Import.RRE.Obs" hidden="1">RRE!$E$31</definedName>
    <definedName name="Import.RRE.Social" hidden="1">RRE!$F$47:$G$49</definedName>
    <definedName name="Import.SICONV" hidden="1">DADOS!$F$8</definedName>
    <definedName name="Import.Unidade" hidden="1">OFFSET(ORÇAMENTO!$S$15,1,0):OFFSET(ORÇAMENTO!$S$710,-1,0)</definedName>
    <definedName name="Import.UnitarioLicitado" hidden="1">OFFSET(ORÇAMENTO!$AL$15,1,0):OFFSET(ORÇAMENTO!$AL$710,-1,0)</definedName>
    <definedName name="MENU.Acompanhamento" hidden="1">MENU!$O$4</definedName>
    <definedName name="Menu.b.bdi" hidden="1">MENU!$C$10</definedName>
    <definedName name="Menu.b.bm" hidden="1">MENU!$G$22</definedName>
    <definedName name="Menu.b.branco" hidden="1">MENU!$G$12</definedName>
    <definedName name="Menu.b.cronolicit" hidden="1">MENU!$G$18</definedName>
    <definedName name="Menu.b.cronoprop" hidden="1">MENU!$E$12</definedName>
    <definedName name="Menu.b.dados" hidden="1">MENU!$E$6</definedName>
    <definedName name="Menu.b.novo" hidden="1">MENU!$G$6</definedName>
    <definedName name="Menu.b.oficio" hidden="1">MENU!$E$24</definedName>
    <definedName name="Menu.b.orçlicit" hidden="1">MENU!$C$18</definedName>
    <definedName name="Menu.b.orçprop" hidden="1">MENU!$E$10</definedName>
    <definedName name="Menu.b.PLE" hidden="1">MENU!$C$22</definedName>
    <definedName name="Menu.b.PLQ" hidden="1">MENU!$G$10</definedName>
    <definedName name="Menu.b.QCIlicit" hidden="1">MENU!$E$18</definedName>
    <definedName name="Menu.b.qciprop" hidden="1">MENU!$C$12</definedName>
    <definedName name="Menu.b.RRE" hidden="1">MENU!$E$22</definedName>
    <definedName name="MENU.CRONO" hidden="1">OFFSET(CRONO!$T$11,1,0)</definedName>
    <definedName name="MENU.CRONOPLE" hidden="1">CRONOPLE!$B$5</definedName>
    <definedName name="MENU.TipoOrçamento" hidden="1">MENU!$O$3</definedName>
    <definedName name="Menu.tit.acompanhamento" hidden="1">MENU!$B$20</definedName>
    <definedName name="Menu.tit.licitacao" hidden="1">MENU!$B$16</definedName>
    <definedName name="Menu.tit.proposta" hidden="1">MENU!$B$8</definedName>
    <definedName name="Objeto" hidden="1">MENU!$J$1</definedName>
    <definedName name="ORÇAMENTO.BancoRef" hidden="1">ORÇAMENTO!$F$8</definedName>
    <definedName name="ORÇAMENTO.CodBarra" hidden="1">IF(ORÇAMENTO.Fonte="Sinapi",SUBSTITUTE(SUBSTITUTE(ORÇAMENTO.Codigo,"/00","/"),"/0","/"),ORÇAMENTO.Codigo)</definedName>
    <definedName name="ORÇAMENTO.Codigo" hidden="1">ORÇAMENTO!$Q1</definedName>
    <definedName name="ORÇAMENTO.ColunaLicit" hidden="1">ORÇAMENTO!$AL$15</definedName>
    <definedName name="ORÇAMENTO.CopyFormat1" hidden="1">ORÇAMENTO!$P$14:$S$14</definedName>
    <definedName name="ORÇAMENTO.CopyFormat2" hidden="1">ORÇAMENTO!$U$14:$V$14</definedName>
    <definedName name="ORÇAMENTO.CustoUnitario" hidden="1">ROUND(ORÇAMENTO!$U1,15-13*ORÇAMENTO!$AF$8)</definedName>
    <definedName name="ORÇAMENTO.Descricao" hidden="1">ORÇAMENTO!$R1</definedName>
    <definedName name="ORÇAMENTO.Filtro" hidden="1">ORÇAMENTO!$L$15:$L$710</definedName>
    <definedName name="ORÇAMENTO.firstrow" hidden="1">ORÇAMENTO!$15:$15</definedName>
    <definedName name="ORÇAMENTO.Fonte" hidden="1">ORÇAMENTO!$P1</definedName>
    <definedName name="ORÇAMENTO.lastrow" hidden="1">ORÇAMENTO!$710:$710</definedName>
    <definedName name="ORÇAMENTO.LinhaPadrão" hidden="1">ORÇAMENTO!$14:$14</definedName>
    <definedName name="ORÇAMENTO.ListaCrono" hidden="1">OFFSET(ORÇAMENTO!$AD$15,1,0):OFFSET(ORÇAMENTO!$AD$710,-1,0)</definedName>
    <definedName name="ORÇAMENTO.MáximoListaCrono" hidden="1">MAX(ORÇAMENTO.ListaCrono)</definedName>
    <definedName name="ORÇAMENTO.Nivel" hidden="1">ORÇAMENTO!$M1</definedName>
    <definedName name="ORÇAMENTO.OpcaoBDI" hidden="1">ORÇAMENTO!$V1</definedName>
    <definedName name="ORÇAMENTO.PasteFormat1" hidden="1">OFFSET(ORÇAMENTO!$P$15,1,0):OFFSET(ORÇAMENTO!$S$710,-1,0)</definedName>
    <definedName name="ORÇAMENTO.PasteFormat2" hidden="1">OFFSET(ORÇAMENTO!$U$15,1,0):OFFSET(ORÇAMENTO!$V$710,-1,0)</definedName>
    <definedName name="ORÇAMENTO.PrecoUnitarioLicitado" hidden="1">ORÇAMENTO!$AL1</definedName>
    <definedName name="ORÇAMENTO.QuantBM" hidden="1">ORÇAMENTO!$AJ1</definedName>
    <definedName name="ORÇAMENTO.RangeQuant" hidden="1">OFFSET(ORÇAMENTO!$T$15,1,0):OFFSET(ORÇAMENTO!$T$710,-1,0)</definedName>
    <definedName name="ORÇAMENTO.SumCPMANUAL" hidden="1">SUMIF(ORÇAMENTO!$Z$15:$Z$710,"CP",ORÇAMENTO!$AA$15:$AA$710)</definedName>
    <definedName name="ORÇAMENTO.SumINVMANUAL" hidden="1">SUMIF(ORÇAMENTO!$Z$15:$Z$710,"RP",ORÇAMENTO!$X$15:$X$710)+SUMIF(ORÇAMENTO!$Z$15:$Z$710,"CP",ORÇAMENTO!$X$15:$X$710)+SUMIF(ORÇAMENTO!$Z$15:$Z$710,"OU",ORÇAMENTO!$X$15:$X$710)</definedName>
    <definedName name="ORÇAMENTO.SumOUTROSMANUAL" hidden="1">SUMIF(ORÇAMENTO!$Z$15:$Z$710,"OU",ORÇAMENTO!$AB$15:$AB$710)</definedName>
    <definedName name="ORÇAMENTO.SumREPASSEMANUAL" hidden="1">ORÇAMENTO.SumINVMANUAL-ORÇAMENTO.SumCPMANUAL-ORÇAMENTO.SumOUTROSMANUAL</definedName>
    <definedName name="ORÇAMENTO.Unidade" hidden="1">ORÇAMENTO!$S1</definedName>
    <definedName name="PLE.ColunaPadrão" hidden="1">PLE!$F:$F</definedName>
    <definedName name="PLE.Filtro" hidden="1">PLE!$A$13:$A$38</definedName>
    <definedName name="PLE.FirstCol" hidden="1">PLE!$G:$G</definedName>
    <definedName name="PLE.firstrow" hidden="1">PLE!$15:$15</definedName>
    <definedName name="PLE.FrenteRow" hidden="1">PLE!$11:$11</definedName>
    <definedName name="PLE.LastCol" hidden="1">PLE!$AG:$AG</definedName>
    <definedName name="PLE.lastrow" hidden="1">PLE!$24:$24</definedName>
    <definedName name="PLE.LinhaPadrão" hidden="1">PLE!$1:$1</definedName>
    <definedName name="PLE.margemrow" hidden="1">PLE!$39:$39</definedName>
    <definedName name="PLE.Medicao" hidden="1">PLE!$J$9</definedName>
    <definedName name="PLE.MEDIÇÕES.firstrow" hidden="1">PLE!$25:$25</definedName>
    <definedName name="PLE.MEDIÇÕES.lastrow" hidden="1">PLE!$33:$33</definedName>
    <definedName name="PLE.MEDIÇÕES.LinhaPadrão" hidden="1">PLE!$25:$32</definedName>
    <definedName name="PLE.ValorDoEvento" hidden="1">SUMIF(CÁLCULO!$M$15:$M$710,PLE!$B1,OFFSET(CÁLCULO!$AI$15:$AI$710,0,PLE!A$12))</definedName>
    <definedName name="PO.ValoresBDI" hidden="1">OFFSET(ORÇAMENTO!$AH$15,1,0):OFFSET(ORÇAMENTO!$AH$710,-1,0)</definedName>
    <definedName name="QCI.CPManual" hidden="1">ROUND(QCI!$W1,2)</definedName>
    <definedName name="QCI.DescManual" hidden="1">QCI!$R1</definedName>
    <definedName name="QCI.Divisao" hidden="1">QCI!$V1</definedName>
    <definedName name="QCI.ExisteManual" hidden="1">(COUNTIF(QCI!$B$13:$B$24,"Manual")+COUNTIF(QCI!$B$13:$B$24,"SemiAuto"))&gt;0</definedName>
    <definedName name="QCI.Filtro" hidden="1">QCI!$C$13:$C$25</definedName>
    <definedName name="QCI.firstrow" hidden="1">QCI!$13:$13</definedName>
    <definedName name="QCI.InvManual" hidden="1">ROUND(QCI!$U1,2)</definedName>
    <definedName name="QCI.ItemInvestimento" hidden="1">OFFSET(DADOS!$J$2,1,0,COUNTA(DADOS!$J:$J)-1,1)</definedName>
    <definedName name="QCI.lastrow" hidden="1">QCI!$24:$24</definedName>
    <definedName name="QCI.LinhaPadrão" hidden="1">QCI!$12:$12</definedName>
    <definedName name="QCI.LoteManual" hidden="1">QCI!$T1</definedName>
    <definedName name="QCI.MaxCPManual" hidden="1">QCI!$O1-QCI!$X1</definedName>
    <definedName name="QCI.MaxOUManual" hidden="1">QCI!$O1-QCI!$W1</definedName>
    <definedName name="QCI.OutrosManual" hidden="1">ROUND(QCI!$X1,2)</definedName>
    <definedName name="QCI.RepasseManual" hidden="1">QCI!$U1</definedName>
    <definedName name="QCI.SubItemInvestimento" hidden="1">OFFSET(DADOS!$A$2,1,MATCH(QCI!$E1,DADOS!$2:$2,0)-1,INDEX(DADOS!$2:$2,MATCH(QCI!$E1,DADOS!$2:$2,0)+1))</definedName>
    <definedName name="QCI.SumCPMANUAL" hidden="1">SUMIF(QCI!$B$13:$B$24,"Manual",QCI!$AA$13:$AA$24)</definedName>
    <definedName name="QCI.SumINVMANUAL" hidden="1">SUMIF(QCI!$B$13:$B$24,"Manual",QCI!$O$13:$O$24)</definedName>
    <definedName name="QCI.SumOUTROSMANUAL" hidden="1">SUMIF(QCI!$B$13:$B$24,"Manual",QCI!$AB$13:$AB$24)</definedName>
    <definedName name="QCI.SumREPASSEMANUAL" hidden="1">QCI.SumINVMANUAL-QCI.CPManual-QCI.OutrosManual</definedName>
    <definedName name="QCI.TotalCP" hidden="1">QCI!$M$24</definedName>
    <definedName name="REFERENCIA.Descricao" hidden="1">IF(ISNUMBER(ORÇAMENTO!$AF1),OFFSET(INDIRECT(ORÇAMENTO.BancoRef),ORÇAMENTO!$AF1-1,3,1),ORÇAMENTO!$AF1)</definedName>
    <definedName name="REFERENCIA.Desonerado" hidden="1">IF(ISNUMBER(ORÇAMENTO!$AF1),VALUE(OFFSET(INDIRECT(ORÇAMENTO.BancoRef),ORÇAMENTO!$AF1-1,5,1)),0)</definedName>
    <definedName name="REFERENCIA.NaoDesonerado" hidden="1">IF(ISNUMBER(ORÇAMENTO!$AF1),VALUE(OFFSET(INDIRECT(ORÇAMENTO.BancoRef),ORÇAMENTO!$AF1-1,6,1)),0)</definedName>
    <definedName name="REFERENCIA.Unidade" hidden="1">IF(ISNUMBER(ORÇAMENTO!$AF1),OFFSET(INDIRECT(ORÇAMENTO.BancoRef),ORÇAMENTO!$AF1-1,4,1),"-")</definedName>
    <definedName name="RegimeExecucao" hidden="1">IF(OR(Import.RegimeExecução="",Import.RegimeExecução="Empreitada por Preço Global",Import.RegimeExecução="Empreitada Integral"),"Global","Unitário")</definedName>
    <definedName name="RRE.CPDiferente" hidden="1">RRE!$Y$26:$Z$27</definedName>
    <definedName name="RRE.Filtro" hidden="1">RRE!$D$13:$D$28</definedName>
    <definedName name="RRE.firstrow" hidden="1">RRE!$13:$13</definedName>
    <definedName name="RRE.lastrow" hidden="1">RRE!$24:$24</definedName>
    <definedName name="RRE.LinhaPadrão" hidden="1">RRE!$12:$12</definedName>
    <definedName name="RRE.MaxCPAcum" hidden="1">RRE!$AD$26</definedName>
    <definedName name="RRE.MaxCPAnt" hidden="1">RRE!$AC$26</definedName>
    <definedName name="RRE.MaxOUAcum" hidden="1">RRE!$AD$27</definedName>
    <definedName name="RRE.MaxOUAnt" hidden="1">RRE!$AC$27</definedName>
    <definedName name="RRE.Numero" hidden="1">OFFSET(RRE!$O$7,0,1)</definedName>
    <definedName name="RRE.VIMeta" hidden="1">RRE!$L1</definedName>
    <definedName name="SENHAGT" hidden="1">"PM3CAIXA"</definedName>
    <definedName name="SomaAgrup" hidden="1">SUMIF(OFFSET(ORÇAMENTO!$C1,1,0,ORÇAMENTO!$D1),"S",OFFSET(ORÇAMENTO!A1,1,0,ORÇAMENTO!$D1))</definedName>
    <definedName name="SomaAgrupBM" hidden="1">SUMIF(OFFSET(BM!$A1,1,0,BM!$B1),"S",OFFSET(BM!A1,1,0,BM!$B1))</definedName>
    <definedName name="TIPOORCAMENTO" hidden="1">IF(VALUE(MENU!$O$3)=2,"Licitado","Proposto")</definedName>
    <definedName name="_xlnm.Print_Titles" localSheetId="3">BDI!$1:$13</definedName>
    <definedName name="_xlnm.Print_Titles" localSheetId="11">BM!$1:$15</definedName>
    <definedName name="_xlnm.Print_Titles" localSheetId="5">CÁLCULO!$E:$H,CÁLCULO!$1:$15</definedName>
    <definedName name="_xlnm.Print_Titles" localSheetId="7">CRONO!$H:$S,CRONO!$1:$13</definedName>
    <definedName name="_xlnm.Print_Titles" localSheetId="4">ORÇAMENTO!$1:$15</definedName>
    <definedName name="_xlnm.Print_Titles" localSheetId="9">PLE!$B:$E,PLE!$1:$13</definedName>
    <definedName name="_xlnm.Print_Titles" localSheetId="10">QCI!$1:$13</definedName>
    <definedName name="_xlnm.Print_Titles" localSheetId="12">RRE!$1:$13</definedName>
    <definedName name="Versao" hidden="1">MENU!$J$2</definedName>
    <definedName name="VTOTAL1" hidden="1">ROUND(ORÇAMENTO!$T1*ORÇAMENTO!$W1,15-13*ORÇAMENTO!$AF$11)</definedName>
    <definedName name="VTOTALBM" hidden="1">IF(BM!$I1=0,0,CHOOSE(MATCH(RegimeExecucao,{"Global","Unitário"},0),ROUND(ROUND(BM!#REF!,15-13*BM!$A$9)/100*BM!$I1,15-13*ORÇAMENTO!$AF$11),ROUND(ROUND(BM!#REF!,15-13*BM!$A$9)*ROUND(BM!$H1,15-13*ORÇAMENTO!$AF$10),15-13*ORÇAMENTO!$AF$11)))</definedName>
    <definedName name="VTOTALMED" hidden="1">BM!$P$14</definedName>
  </definedNames>
  <calcPr calcId="152511"/>
</workbook>
</file>

<file path=xl/calcChain.xml><?xml version="1.0" encoding="utf-8"?>
<calcChain xmlns="http://schemas.openxmlformats.org/spreadsheetml/2006/main">
  <c r="F25" i="2" l="1"/>
  <c r="L35" i="13" s="1"/>
  <c r="I10" i="13" s="1"/>
  <c r="A709" i="5"/>
  <c r="A708" i="5"/>
  <c r="C15" i="14"/>
  <c r="C18" i="14"/>
  <c r="C19" i="14"/>
  <c r="B22" i="14"/>
  <c r="B24" i="14"/>
  <c r="B30" i="14"/>
  <c r="B54" i="14"/>
  <c r="B55" i="14"/>
  <c r="F1" i="13"/>
  <c r="E4" i="13"/>
  <c r="I4" i="13"/>
  <c r="L4" i="13"/>
  <c r="P4" i="13"/>
  <c r="M6" i="13"/>
  <c r="E7" i="13"/>
  <c r="I7" i="13"/>
  <c r="M7" i="13"/>
  <c r="N7" i="13"/>
  <c r="O7" i="13"/>
  <c r="P7" i="13"/>
  <c r="M11" i="13"/>
  <c r="Y11" i="13"/>
  <c r="E12" i="13"/>
  <c r="G12" i="13"/>
  <c r="H12" i="13"/>
  <c r="AC12" i="13"/>
  <c r="AD12" i="13"/>
  <c r="AE12" i="13"/>
  <c r="AF12" i="13"/>
  <c r="AG12" i="13"/>
  <c r="AH12" i="13"/>
  <c r="E14" i="13"/>
  <c r="G14" i="13"/>
  <c r="H14" i="13"/>
  <c r="AC14" i="13"/>
  <c r="AD14" i="13"/>
  <c r="AE14" i="13"/>
  <c r="AF14" i="13"/>
  <c r="AG14" i="13"/>
  <c r="AH14" i="13"/>
  <c r="G15" i="13"/>
  <c r="H15" i="13"/>
  <c r="AC15" i="13"/>
  <c r="AD15" i="13"/>
  <c r="AE15" i="13"/>
  <c r="AF15" i="13"/>
  <c r="AG15" i="13"/>
  <c r="AH15" i="13"/>
  <c r="G16" i="13"/>
  <c r="H16" i="13"/>
  <c r="AC16" i="13"/>
  <c r="AD16" i="13"/>
  <c r="AE16" i="13"/>
  <c r="AF16" i="13"/>
  <c r="AG16" i="13"/>
  <c r="AH16" i="13"/>
  <c r="E17" i="13"/>
  <c r="G17" i="13"/>
  <c r="H17" i="13"/>
  <c r="AC17" i="13"/>
  <c r="AD17" i="13"/>
  <c r="AE17" i="13"/>
  <c r="AF17" i="13"/>
  <c r="AG17" i="13"/>
  <c r="AH17" i="13"/>
  <c r="G18" i="13"/>
  <c r="H18" i="13"/>
  <c r="AC18" i="13"/>
  <c r="AD18" i="13"/>
  <c r="AE18" i="13"/>
  <c r="AF18" i="13"/>
  <c r="AG18" i="13"/>
  <c r="AH18" i="13"/>
  <c r="G19" i="13"/>
  <c r="H19" i="13"/>
  <c r="AC19" i="13"/>
  <c r="AD19" i="13"/>
  <c r="AE19" i="13"/>
  <c r="AF19" i="13"/>
  <c r="AG19" i="13"/>
  <c r="AH19" i="13"/>
  <c r="G20" i="13"/>
  <c r="H20" i="13"/>
  <c r="AC20" i="13"/>
  <c r="AD20" i="13"/>
  <c r="AE20" i="13"/>
  <c r="AF20" i="13"/>
  <c r="AG20" i="13"/>
  <c r="AH20" i="13"/>
  <c r="G21" i="13"/>
  <c r="H21" i="13"/>
  <c r="AC21" i="13"/>
  <c r="AD21" i="13"/>
  <c r="AE21" i="13"/>
  <c r="AF21" i="13"/>
  <c r="AG21" i="13"/>
  <c r="AH21" i="13"/>
  <c r="G22" i="13"/>
  <c r="H22" i="13"/>
  <c r="AC22" i="13"/>
  <c r="AD22" i="13"/>
  <c r="AE22" i="13"/>
  <c r="AF22" i="13"/>
  <c r="AG22" i="13"/>
  <c r="AH22" i="13"/>
  <c r="G23" i="13"/>
  <c r="H23" i="13"/>
  <c r="AC23" i="13"/>
  <c r="AD23" i="13"/>
  <c r="AE23" i="13"/>
  <c r="AF23" i="13"/>
  <c r="AG23" i="13"/>
  <c r="AH23" i="13"/>
  <c r="J25" i="13"/>
  <c r="AC2" i="13" s="1"/>
  <c r="E35" i="13"/>
  <c r="E39" i="13"/>
  <c r="L39" i="13"/>
  <c r="F40" i="13"/>
  <c r="M40" i="13"/>
  <c r="E41" i="13"/>
  <c r="F41" i="13"/>
  <c r="L41" i="13"/>
  <c r="M41" i="13"/>
  <c r="M42" i="13"/>
  <c r="L43" i="13"/>
  <c r="M43" i="13"/>
  <c r="E46" i="13"/>
  <c r="L46" i="13"/>
  <c r="E48" i="13"/>
  <c r="L48" i="13"/>
  <c r="E49" i="13"/>
  <c r="L49" i="13"/>
  <c r="E1" i="12"/>
  <c r="E2" i="12"/>
  <c r="D5" i="12"/>
  <c r="F5" i="12"/>
  <c r="I5" i="12"/>
  <c r="J5" i="12"/>
  <c r="O5" i="12"/>
  <c r="A7" i="12"/>
  <c r="I7" i="12"/>
  <c r="D8" i="12"/>
  <c r="E8" i="12"/>
  <c r="F8" i="12"/>
  <c r="I8" i="12"/>
  <c r="E10" i="12"/>
  <c r="J12" i="12"/>
  <c r="Q12" i="12"/>
  <c r="V13" i="12"/>
  <c r="W13" i="12"/>
  <c r="X13" i="12"/>
  <c r="AB13" i="12"/>
  <c r="M8" i="12" s="1"/>
  <c r="D15" i="12"/>
  <c r="I15" i="12"/>
  <c r="M15" i="12"/>
  <c r="J15" i="12" s="1"/>
  <c r="O15" i="12"/>
  <c r="L15" i="12"/>
  <c r="K15" i="12" s="1"/>
  <c r="AB15" i="12"/>
  <c r="E16" i="12"/>
  <c r="F16" i="12"/>
  <c r="E17" i="12"/>
  <c r="F17" i="12"/>
  <c r="E28" i="12"/>
  <c r="F28" i="12"/>
  <c r="E29" i="12"/>
  <c r="F29" i="12"/>
  <c r="E31" i="12"/>
  <c r="F31" i="12"/>
  <c r="E36" i="12"/>
  <c r="F36" i="12"/>
  <c r="E40" i="12"/>
  <c r="F40" i="12"/>
  <c r="E43" i="12"/>
  <c r="F43" i="12"/>
  <c r="E48" i="12"/>
  <c r="F48" i="12"/>
  <c r="E49" i="12"/>
  <c r="F49" i="12"/>
  <c r="E56" i="12"/>
  <c r="F56" i="12"/>
  <c r="E66" i="12"/>
  <c r="F66" i="12"/>
  <c r="E73" i="12"/>
  <c r="F73" i="12"/>
  <c r="E82" i="12"/>
  <c r="F82" i="12"/>
  <c r="E86" i="12"/>
  <c r="F86" i="12"/>
  <c r="E92" i="12"/>
  <c r="F92" i="12"/>
  <c r="E93" i="12"/>
  <c r="F93" i="12"/>
  <c r="E102" i="12"/>
  <c r="F102" i="12"/>
  <c r="E107" i="12"/>
  <c r="F107" i="12"/>
  <c r="E112" i="12"/>
  <c r="F112" i="12"/>
  <c r="E122" i="12"/>
  <c r="F122" i="12"/>
  <c r="E129" i="12"/>
  <c r="F129" i="12"/>
  <c r="E131" i="12"/>
  <c r="F131" i="12"/>
  <c r="E137" i="12"/>
  <c r="F137" i="12"/>
  <c r="E142" i="12"/>
  <c r="F142" i="12"/>
  <c r="E146" i="12"/>
  <c r="F146" i="12"/>
  <c r="E150" i="12"/>
  <c r="F150" i="12"/>
  <c r="E152" i="12"/>
  <c r="F152" i="12"/>
  <c r="E153" i="12"/>
  <c r="F153" i="12"/>
  <c r="E155" i="12"/>
  <c r="F155" i="12"/>
  <c r="E161" i="12"/>
  <c r="F161" i="12"/>
  <c r="E167" i="12"/>
  <c r="F167" i="12"/>
  <c r="E172" i="12"/>
  <c r="F172" i="12"/>
  <c r="E173" i="12"/>
  <c r="F173" i="12"/>
  <c r="E177" i="12"/>
  <c r="F177" i="12"/>
  <c r="E181" i="12"/>
  <c r="F181" i="12"/>
  <c r="E193" i="12"/>
  <c r="F193" i="12"/>
  <c r="E210" i="12"/>
  <c r="F210" i="12"/>
  <c r="E212" i="12"/>
  <c r="F212" i="12"/>
  <c r="E219" i="12"/>
  <c r="F219" i="12"/>
  <c r="E220" i="12"/>
  <c r="F220" i="12"/>
  <c r="E234" i="12"/>
  <c r="F234" i="12"/>
  <c r="E238" i="12"/>
  <c r="F238" i="12"/>
  <c r="E243" i="12"/>
  <c r="F243" i="12"/>
  <c r="E244" i="12"/>
  <c r="F244" i="12"/>
  <c r="E256" i="12"/>
  <c r="F256" i="12"/>
  <c r="E259" i="12"/>
  <c r="F259" i="12"/>
  <c r="E260" i="12"/>
  <c r="F260" i="12"/>
  <c r="E269" i="12"/>
  <c r="F269" i="12"/>
  <c r="E282" i="12"/>
  <c r="F282" i="12"/>
  <c r="E283" i="12"/>
  <c r="F283" i="12"/>
  <c r="E298" i="12"/>
  <c r="F298" i="12"/>
  <c r="E301" i="12"/>
  <c r="F301" i="12"/>
  <c r="E302" i="12"/>
  <c r="F302" i="12"/>
  <c r="E351" i="12"/>
  <c r="F351" i="12"/>
  <c r="E360" i="12"/>
  <c r="F360" i="12"/>
  <c r="E364" i="12"/>
  <c r="F364" i="12"/>
  <c r="E369" i="12"/>
  <c r="F369" i="12"/>
  <c r="E371" i="12"/>
  <c r="F371" i="12"/>
  <c r="E372" i="12"/>
  <c r="F372" i="12"/>
  <c r="E386" i="12"/>
  <c r="F386" i="12"/>
  <c r="E390" i="12"/>
  <c r="F390" i="12"/>
  <c r="E391" i="12"/>
  <c r="F391" i="12"/>
  <c r="E426" i="12"/>
  <c r="E429" i="12"/>
  <c r="F429" i="12"/>
  <c r="E446" i="12"/>
  <c r="F446" i="12"/>
  <c r="E482" i="12"/>
  <c r="F482" i="12"/>
  <c r="E491" i="12"/>
  <c r="F491" i="12"/>
  <c r="E492" i="12"/>
  <c r="F492" i="12"/>
  <c r="E495" i="12"/>
  <c r="F495" i="12"/>
  <c r="E503" i="12"/>
  <c r="F503" i="12"/>
  <c r="E507" i="12"/>
  <c r="F507" i="12"/>
  <c r="E513" i="12"/>
  <c r="F513" i="12"/>
  <c r="E523" i="12"/>
  <c r="F523" i="12"/>
  <c r="E528" i="12"/>
  <c r="F528" i="12"/>
  <c r="E529" i="12"/>
  <c r="F529" i="12"/>
  <c r="E535" i="12"/>
  <c r="F535" i="12"/>
  <c r="E554" i="12"/>
  <c r="F554" i="12"/>
  <c r="E580" i="12"/>
  <c r="F580" i="12"/>
  <c r="E592" i="12"/>
  <c r="F592" i="12"/>
  <c r="E600" i="12"/>
  <c r="F600" i="12"/>
  <c r="E618" i="12"/>
  <c r="F618" i="12"/>
  <c r="E628" i="12"/>
  <c r="F628" i="12"/>
  <c r="E629" i="12"/>
  <c r="F629" i="12"/>
  <c r="E634" i="12"/>
  <c r="F634" i="12"/>
  <c r="E636" i="12"/>
  <c r="F636" i="12"/>
  <c r="E647" i="12"/>
  <c r="F647" i="12"/>
  <c r="E650" i="12"/>
  <c r="F650" i="12"/>
  <c r="E657" i="12"/>
  <c r="F657" i="12"/>
  <c r="E668" i="12"/>
  <c r="F668" i="12"/>
  <c r="E672" i="12"/>
  <c r="F672" i="12"/>
  <c r="E688" i="12"/>
  <c r="F688" i="12"/>
  <c r="E699" i="12"/>
  <c r="F699" i="12"/>
  <c r="E702" i="12"/>
  <c r="F702" i="12"/>
  <c r="G702" i="12"/>
  <c r="E703" i="12"/>
  <c r="F703" i="12"/>
  <c r="G703" i="12"/>
  <c r="E707" i="12"/>
  <c r="F707" i="12"/>
  <c r="G707" i="12"/>
  <c r="D717" i="12"/>
  <c r="D719" i="12"/>
  <c r="E720" i="12"/>
  <c r="K722" i="12" a="1"/>
  <c r="K723" i="12"/>
  <c r="E723" i="12"/>
  <c r="D4" i="11"/>
  <c r="F4" i="11"/>
  <c r="G4" i="11"/>
  <c r="J4" i="11"/>
  <c r="M6" i="11"/>
  <c r="D7" i="11"/>
  <c r="L7" i="11"/>
  <c r="M7" i="11"/>
  <c r="N7" i="11"/>
  <c r="O7" i="11"/>
  <c r="Z7" i="11"/>
  <c r="A12" i="11"/>
  <c r="D12" i="11"/>
  <c r="J12" i="11"/>
  <c r="I12" i="13"/>
  <c r="L13" i="11"/>
  <c r="L9" i="11" s="1"/>
  <c r="D14" i="11"/>
  <c r="A14" i="11" s="1"/>
  <c r="A15" i="11"/>
  <c r="D15" i="11"/>
  <c r="E15" i="13" s="1"/>
  <c r="A16" i="11"/>
  <c r="D16" i="11"/>
  <c r="E16" i="13" s="1"/>
  <c r="J16" i="11"/>
  <c r="I16" i="13" s="1"/>
  <c r="D17" i="11"/>
  <c r="A17" i="11" s="1"/>
  <c r="J17" i="11"/>
  <c r="I17" i="13" s="1"/>
  <c r="D18" i="11"/>
  <c r="J18" i="11"/>
  <c r="I18" i="13" s="1"/>
  <c r="A19" i="11"/>
  <c r="D19" i="11"/>
  <c r="E19" i="13" s="1"/>
  <c r="J19" i="11"/>
  <c r="I19" i="13" s="1"/>
  <c r="A20" i="11"/>
  <c r="D20" i="11"/>
  <c r="E20" i="13" s="1"/>
  <c r="J20" i="11"/>
  <c r="I20" i="13" s="1"/>
  <c r="A21" i="11"/>
  <c r="D21" i="11"/>
  <c r="E21" i="13" s="1"/>
  <c r="J21" i="11"/>
  <c r="I21" i="13" s="1"/>
  <c r="D22" i="11"/>
  <c r="A22" i="11" s="1"/>
  <c r="J22" i="11"/>
  <c r="I22" i="13" s="1"/>
  <c r="D23" i="11"/>
  <c r="E23" i="13" s="1"/>
  <c r="J23" i="11"/>
  <c r="I23" i="13" s="1"/>
  <c r="D33" i="11"/>
  <c r="I35" i="11"/>
  <c r="I36" i="11"/>
  <c r="B1" i="10"/>
  <c r="A1" i="10" s="1"/>
  <c r="H4" i="10"/>
  <c r="V6" i="10"/>
  <c r="AE6" i="10"/>
  <c r="B7" i="10"/>
  <c r="D7" i="10"/>
  <c r="H7" i="10"/>
  <c r="O7" i="10"/>
  <c r="V7" i="10"/>
  <c r="AE7" i="10"/>
  <c r="C11" i="10"/>
  <c r="F12" i="10"/>
  <c r="F11" i="10"/>
  <c r="H12" i="10"/>
  <c r="I12" i="10" s="1"/>
  <c r="B16" i="10"/>
  <c r="B17" i="10"/>
  <c r="I28" i="10"/>
  <c r="B34" i="10"/>
  <c r="W36" i="10" a="1"/>
  <c r="W36" i="10" s="1"/>
  <c r="B37" i="10"/>
  <c r="W37" i="10"/>
  <c r="W39" i="10"/>
  <c r="B1" i="9"/>
  <c r="B9" i="9"/>
  <c r="E12" i="9"/>
  <c r="E11" i="9" s="1"/>
  <c r="G12" i="9"/>
  <c r="G11" i="9" s="1"/>
  <c r="B16" i="9"/>
  <c r="A1" i="8"/>
  <c r="R4" i="8"/>
  <c r="R5" i="8"/>
  <c r="Y7" i="8"/>
  <c r="AE7" i="8"/>
  <c r="AK7" i="8"/>
  <c r="AQ7" i="8"/>
  <c r="H8" i="8"/>
  <c r="J8" i="8"/>
  <c r="K8" i="8"/>
  <c r="T8" i="8"/>
  <c r="Y8" i="8"/>
  <c r="AE8" i="8"/>
  <c r="AF8" i="8"/>
  <c r="AK8" i="8"/>
  <c r="AQ8" i="8"/>
  <c r="D12" i="8"/>
  <c r="U12" i="8"/>
  <c r="V12" i="8" s="1"/>
  <c r="W12" i="8" s="1"/>
  <c r="X12" i="8" s="1"/>
  <c r="Y12" i="8" s="1"/>
  <c r="Z12" i="8" s="1"/>
  <c r="AA12" i="8" s="1"/>
  <c r="AB12" i="8" s="1"/>
  <c r="AC12" i="8" s="1"/>
  <c r="AD12" i="8" s="1"/>
  <c r="AE12" i="8" s="1"/>
  <c r="AF12" i="8" s="1"/>
  <c r="AG12" i="8" s="1"/>
  <c r="AH12" i="8" s="1"/>
  <c r="AI12" i="8" s="1"/>
  <c r="AJ12" i="8" s="1"/>
  <c r="AK12" i="8" s="1"/>
  <c r="AL12" i="8" s="1"/>
  <c r="AM12" i="8" s="1"/>
  <c r="AN12" i="8" s="1"/>
  <c r="AO12" i="8" s="1"/>
  <c r="AP12" i="8" s="1"/>
  <c r="AQ12" i="8" s="1"/>
  <c r="D13" i="8"/>
  <c r="U13" i="8"/>
  <c r="V13" i="8" s="1"/>
  <c r="W13" i="8" s="1"/>
  <c r="X13" i="8" s="1"/>
  <c r="Y13" i="8" s="1"/>
  <c r="Z13" i="8" s="1"/>
  <c r="AA13" i="8" s="1"/>
  <c r="AB13" i="8" s="1"/>
  <c r="AC13" i="8" s="1"/>
  <c r="AD13" i="8" s="1"/>
  <c r="AE13" i="8" s="1"/>
  <c r="AF13" i="8" s="1"/>
  <c r="AG13" i="8" s="1"/>
  <c r="AH13" i="8" s="1"/>
  <c r="AI13" i="8" s="1"/>
  <c r="AJ13" i="8" s="1"/>
  <c r="AK13" i="8" s="1"/>
  <c r="AL13" i="8" s="1"/>
  <c r="AM13" i="8" s="1"/>
  <c r="AN13" i="8" s="1"/>
  <c r="AO13" i="8" s="1"/>
  <c r="AP13" i="8" s="1"/>
  <c r="AQ13" i="8" s="1"/>
  <c r="A14" i="8"/>
  <c r="A17" i="8" s="1"/>
  <c r="A20" i="8" s="1"/>
  <c r="A23" i="8" s="1"/>
  <c r="A26" i="8" s="1"/>
  <c r="A29" i="8" s="1"/>
  <c r="A32" i="8" s="1"/>
  <c r="A35" i="8" s="1"/>
  <c r="A38" i="8" s="1"/>
  <c r="A41" i="8" s="1"/>
  <c r="A44" i="8" s="1"/>
  <c r="A47" i="8" s="1"/>
  <c r="A50" i="8" s="1"/>
  <c r="A53" i="8" s="1"/>
  <c r="A56" i="8" s="1"/>
  <c r="A59" i="8" s="1"/>
  <c r="A62" i="8" s="1"/>
  <c r="A65" i="8" s="1"/>
  <c r="A68" i="8" s="1"/>
  <c r="A71" i="8" s="1"/>
  <c r="A74" i="8" s="1"/>
  <c r="A77" i="8" s="1"/>
  <c r="A80" i="8" s="1"/>
  <c r="A83" i="8" s="1"/>
  <c r="A86" i="8" s="1"/>
  <c r="A89" i="8" s="1"/>
  <c r="A92" i="8" s="1"/>
  <c r="A95" i="8" s="1"/>
  <c r="S100" i="8"/>
  <c r="S105" i="8"/>
  <c r="H110" i="8"/>
  <c r="Z112" i="8" a="1"/>
  <c r="AL112" i="8" a="1"/>
  <c r="AL112" i="8" s="1"/>
  <c r="C9" i="7"/>
  <c r="C14" i="7"/>
  <c r="B14" i="7" s="1"/>
  <c r="B15" i="7"/>
  <c r="C16" i="7"/>
  <c r="C17" i="7" s="1"/>
  <c r="B17" i="7" s="1"/>
  <c r="F1" i="6"/>
  <c r="F2" i="6"/>
  <c r="E5" i="6"/>
  <c r="G5" i="6"/>
  <c r="I5" i="6"/>
  <c r="K5" i="6"/>
  <c r="S5" i="6"/>
  <c r="U5" i="6"/>
  <c r="AA5" i="6"/>
  <c r="AC5" i="6"/>
  <c r="A12" i="6"/>
  <c r="M12" i="6"/>
  <c r="O13" i="6"/>
  <c r="O15" i="6" s="1"/>
  <c r="Q13" i="6"/>
  <c r="R13" i="6" s="1"/>
  <c r="S13" i="6" s="1"/>
  <c r="T13" i="6" s="1"/>
  <c r="U13" i="6" s="1"/>
  <c r="V13" i="6" s="1"/>
  <c r="W13" i="6" s="1"/>
  <c r="X13" i="6" s="1"/>
  <c r="Y13" i="6" s="1"/>
  <c r="Z13" i="6" s="1"/>
  <c r="AA13" i="6" s="1"/>
  <c r="AB13" i="6" s="1"/>
  <c r="AC13" i="6" s="1"/>
  <c r="AD13" i="6" s="1"/>
  <c r="AE13" i="6" s="1"/>
  <c r="AF13" i="6" s="1"/>
  <c r="AG13" i="6" s="1"/>
  <c r="AH13" i="6" s="1"/>
  <c r="AJ13" i="6"/>
  <c r="AJ12" i="6" s="1"/>
  <c r="BC13" i="6"/>
  <c r="BV13" i="6"/>
  <c r="B15" i="6"/>
  <c r="C15" i="6"/>
  <c r="D15" i="6"/>
  <c r="E15" i="6"/>
  <c r="BC15" i="6"/>
  <c r="BD15" i="6"/>
  <c r="BE15" i="6"/>
  <c r="BF15" i="6"/>
  <c r="BG15" i="6"/>
  <c r="BH15" i="6"/>
  <c r="BI15" i="6"/>
  <c r="BJ15" i="6"/>
  <c r="BK15" i="6"/>
  <c r="BL15" i="6"/>
  <c r="BM15" i="6"/>
  <c r="BN15" i="6"/>
  <c r="BO15" i="6"/>
  <c r="BP15" i="6"/>
  <c r="BQ15" i="6"/>
  <c r="BR15" i="6"/>
  <c r="BS15" i="6"/>
  <c r="BT15" i="6"/>
  <c r="BV15" i="6"/>
  <c r="BW15" i="6"/>
  <c r="BX15" i="6"/>
  <c r="BY15" i="6"/>
  <c r="BZ15" i="6"/>
  <c r="CA15" i="6"/>
  <c r="CB15" i="6"/>
  <c r="CC15" i="6"/>
  <c r="CD15" i="6"/>
  <c r="CE15" i="6"/>
  <c r="CF15" i="6"/>
  <c r="CG15" i="6"/>
  <c r="CH15" i="6"/>
  <c r="CI15" i="6"/>
  <c r="CJ15" i="6"/>
  <c r="CK15" i="6"/>
  <c r="CL15" i="6"/>
  <c r="CM15" i="6"/>
  <c r="F16" i="6"/>
  <c r="F17" i="6"/>
  <c r="F28" i="6"/>
  <c r="F29" i="6"/>
  <c r="F31" i="6"/>
  <c r="F36" i="6"/>
  <c r="F40" i="6"/>
  <c r="F43" i="6"/>
  <c r="F48" i="6"/>
  <c r="F49" i="6"/>
  <c r="F56" i="6"/>
  <c r="F66" i="6"/>
  <c r="F73" i="6"/>
  <c r="F82" i="6"/>
  <c r="F86" i="6"/>
  <c r="F92" i="6"/>
  <c r="F93" i="6"/>
  <c r="F102" i="6"/>
  <c r="F107" i="6"/>
  <c r="F112" i="6"/>
  <c r="F122" i="6"/>
  <c r="F129" i="6"/>
  <c r="F131" i="6"/>
  <c r="F137" i="6"/>
  <c r="F142" i="6"/>
  <c r="F146" i="6"/>
  <c r="F150" i="6"/>
  <c r="F152" i="6"/>
  <c r="F153" i="6"/>
  <c r="F155" i="6"/>
  <c r="F161" i="6"/>
  <c r="F167" i="6"/>
  <c r="F172" i="6"/>
  <c r="F173" i="6"/>
  <c r="F177" i="6"/>
  <c r="F181" i="6"/>
  <c r="F193" i="6"/>
  <c r="F210" i="6"/>
  <c r="F212" i="6"/>
  <c r="F219" i="6"/>
  <c r="F220" i="6"/>
  <c r="F234" i="6"/>
  <c r="F238" i="6"/>
  <c r="F243" i="6"/>
  <c r="F244" i="6"/>
  <c r="F256" i="6"/>
  <c r="F259" i="6"/>
  <c r="F260" i="6"/>
  <c r="F269" i="6"/>
  <c r="F282" i="6"/>
  <c r="F283" i="6"/>
  <c r="F298" i="6"/>
  <c r="F301" i="6"/>
  <c r="F302" i="6"/>
  <c r="F351" i="6"/>
  <c r="F360" i="6"/>
  <c r="F364" i="6"/>
  <c r="F369" i="6"/>
  <c r="F371" i="6"/>
  <c r="F372" i="6"/>
  <c r="F386" i="6"/>
  <c r="F390" i="6"/>
  <c r="F391" i="6"/>
  <c r="F426" i="6"/>
  <c r="F429" i="6"/>
  <c r="F446" i="6"/>
  <c r="F482" i="6"/>
  <c r="F491" i="6"/>
  <c r="F492" i="6"/>
  <c r="F495" i="6"/>
  <c r="F503" i="6"/>
  <c r="F507" i="6"/>
  <c r="F513" i="6"/>
  <c r="F523" i="6"/>
  <c r="F528" i="6"/>
  <c r="F529" i="6"/>
  <c r="F535" i="6"/>
  <c r="F554" i="6"/>
  <c r="F580" i="6"/>
  <c r="F592" i="6"/>
  <c r="F600" i="6"/>
  <c r="F618" i="6"/>
  <c r="F628" i="6"/>
  <c r="F629" i="6"/>
  <c r="F634" i="6"/>
  <c r="F636" i="6"/>
  <c r="F647" i="6"/>
  <c r="F650" i="6"/>
  <c r="F657" i="6"/>
  <c r="F668" i="6"/>
  <c r="F672" i="6"/>
  <c r="F688" i="6"/>
  <c r="F699" i="6"/>
  <c r="F702" i="6"/>
  <c r="F703" i="6"/>
  <c r="F707" i="6"/>
  <c r="B710" i="6"/>
  <c r="C710" i="6"/>
  <c r="F714" i="6"/>
  <c r="I716" i="6" a="1"/>
  <c r="T716" i="6" a="1"/>
  <c r="AB716" i="6" a="1"/>
  <c r="AB718" i="6" s="1"/>
  <c r="R2" i="5"/>
  <c r="O5" i="5"/>
  <c r="Q5" i="5"/>
  <c r="R5" i="5"/>
  <c r="S5" i="5"/>
  <c r="R7" i="5"/>
  <c r="S7" i="5"/>
  <c r="V7" i="5"/>
  <c r="W7" i="5"/>
  <c r="X7" i="5"/>
  <c r="F8" i="5"/>
  <c r="Q8" i="5"/>
  <c r="R8" i="5"/>
  <c r="S8" i="5"/>
  <c r="F9" i="5"/>
  <c r="U13" i="5"/>
  <c r="V13" i="5"/>
  <c r="AH13" i="5"/>
  <c r="A14" i="5"/>
  <c r="C14" i="5"/>
  <c r="G14" i="5" s="1"/>
  <c r="M15" i="5"/>
  <c r="N15" i="5"/>
  <c r="O15" i="5"/>
  <c r="A16" i="5"/>
  <c r="C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56" i="5"/>
  <c r="A57" i="5"/>
  <c r="A58" i="5"/>
  <c r="A59" i="5"/>
  <c r="A60" i="5"/>
  <c r="A61" i="5"/>
  <c r="A62" i="5"/>
  <c r="A63" i="5"/>
  <c r="A64" i="5"/>
  <c r="A65" i="5"/>
  <c r="A66" i="5"/>
  <c r="A67" i="5"/>
  <c r="A68" i="5"/>
  <c r="A69" i="5"/>
  <c r="A70" i="5"/>
  <c r="A71" i="5"/>
  <c r="A72" i="5"/>
  <c r="A73" i="5"/>
  <c r="A74" i="5"/>
  <c r="A75" i="5"/>
  <c r="A76" i="5"/>
  <c r="A77" i="5"/>
  <c r="A78" i="5"/>
  <c r="A79" i="5"/>
  <c r="A80" i="5"/>
  <c r="A81" i="5"/>
  <c r="A82" i="5"/>
  <c r="A83" i="5"/>
  <c r="A84" i="5"/>
  <c r="A85" i="5"/>
  <c r="A86" i="5"/>
  <c r="A87" i="5"/>
  <c r="A88" i="5"/>
  <c r="A89" i="5"/>
  <c r="A90" i="5"/>
  <c r="A91" i="5"/>
  <c r="A92" i="5"/>
  <c r="A93" i="5"/>
  <c r="A94" i="5"/>
  <c r="A95" i="5"/>
  <c r="A96" i="5"/>
  <c r="A97" i="5"/>
  <c r="A98" i="5"/>
  <c r="A99" i="5"/>
  <c r="A100" i="5"/>
  <c r="A101" i="5"/>
  <c r="A102" i="5"/>
  <c r="A103" i="5"/>
  <c r="A104" i="5"/>
  <c r="A105" i="5"/>
  <c r="A106" i="5"/>
  <c r="A107" i="5"/>
  <c r="A108" i="5"/>
  <c r="A109" i="5"/>
  <c r="A110" i="5"/>
  <c r="A111" i="5"/>
  <c r="A112" i="5"/>
  <c r="A113" i="5"/>
  <c r="A114" i="5"/>
  <c r="A115" i="5"/>
  <c r="A116" i="5"/>
  <c r="A117" i="5"/>
  <c r="A118" i="5"/>
  <c r="A119" i="5"/>
  <c r="A120" i="5"/>
  <c r="A121" i="5"/>
  <c r="A122" i="5"/>
  <c r="A123" i="5"/>
  <c r="A124" i="5"/>
  <c r="A125" i="5"/>
  <c r="A126" i="5"/>
  <c r="A127" i="5"/>
  <c r="A128" i="5"/>
  <c r="A129" i="5"/>
  <c r="A130" i="5"/>
  <c r="A131" i="5"/>
  <c r="A132" i="5"/>
  <c r="A133" i="5"/>
  <c r="A134" i="5"/>
  <c r="A135" i="5"/>
  <c r="A136" i="5"/>
  <c r="A137" i="5"/>
  <c r="A138" i="5"/>
  <c r="A139" i="5"/>
  <c r="A140" i="5"/>
  <c r="A141" i="5"/>
  <c r="A142" i="5"/>
  <c r="A143" i="5"/>
  <c r="A144" i="5"/>
  <c r="A145" i="5"/>
  <c r="A146" i="5"/>
  <c r="A147" i="5"/>
  <c r="A148" i="5"/>
  <c r="A149" i="5"/>
  <c r="A150" i="5"/>
  <c r="A151" i="5"/>
  <c r="A152" i="5"/>
  <c r="A153" i="5"/>
  <c r="A154" i="5"/>
  <c r="A155" i="5"/>
  <c r="A156" i="5"/>
  <c r="A157" i="5"/>
  <c r="A158" i="5"/>
  <c r="A159" i="5"/>
  <c r="A160" i="5"/>
  <c r="A161" i="5"/>
  <c r="A162" i="5"/>
  <c r="A163" i="5"/>
  <c r="A164" i="5"/>
  <c r="A165" i="5"/>
  <c r="A166" i="5"/>
  <c r="A167" i="5"/>
  <c r="A168" i="5"/>
  <c r="A169" i="5"/>
  <c r="A170" i="5"/>
  <c r="A171" i="5"/>
  <c r="A172" i="5"/>
  <c r="A173" i="5"/>
  <c r="A174" i="5"/>
  <c r="A175" i="5"/>
  <c r="A176" i="5"/>
  <c r="A177" i="5"/>
  <c r="A178" i="5"/>
  <c r="A179" i="5"/>
  <c r="A180" i="5"/>
  <c r="A181" i="5"/>
  <c r="A182" i="5"/>
  <c r="A183" i="5"/>
  <c r="A184" i="5"/>
  <c r="A185" i="5"/>
  <c r="A186" i="5"/>
  <c r="A187" i="5"/>
  <c r="A188" i="5"/>
  <c r="A189" i="5"/>
  <c r="A190" i="5"/>
  <c r="A191" i="5"/>
  <c r="A192" i="5"/>
  <c r="A193" i="5"/>
  <c r="A194" i="5"/>
  <c r="A195" i="5"/>
  <c r="A196" i="5"/>
  <c r="A197" i="5"/>
  <c r="A198" i="5"/>
  <c r="A199" i="5"/>
  <c r="A200" i="5"/>
  <c r="A201" i="5"/>
  <c r="A202" i="5"/>
  <c r="A203" i="5"/>
  <c r="A204" i="5"/>
  <c r="A205" i="5"/>
  <c r="A206" i="5"/>
  <c r="A207" i="5"/>
  <c r="A208" i="5"/>
  <c r="A209" i="5"/>
  <c r="A210" i="5"/>
  <c r="A211" i="5"/>
  <c r="A212" i="5"/>
  <c r="A213" i="5"/>
  <c r="A214" i="5"/>
  <c r="A215" i="5"/>
  <c r="A216" i="5"/>
  <c r="A217" i="5"/>
  <c r="A218" i="5"/>
  <c r="A219" i="5"/>
  <c r="A220" i="5"/>
  <c r="A221" i="5"/>
  <c r="A222" i="5"/>
  <c r="A223" i="5"/>
  <c r="A224" i="5"/>
  <c r="A225" i="5"/>
  <c r="A226" i="5"/>
  <c r="A227" i="5"/>
  <c r="A228" i="5"/>
  <c r="A229" i="5"/>
  <c r="A230" i="5"/>
  <c r="A231" i="5"/>
  <c r="A232" i="5"/>
  <c r="A233" i="5"/>
  <c r="A234" i="5"/>
  <c r="A235" i="5"/>
  <c r="A236" i="5"/>
  <c r="A237" i="5"/>
  <c r="A238" i="5"/>
  <c r="A239" i="5"/>
  <c r="A240" i="5"/>
  <c r="A241" i="5"/>
  <c r="A242" i="5"/>
  <c r="A243" i="5"/>
  <c r="A244" i="5"/>
  <c r="A245" i="5"/>
  <c r="A246" i="5"/>
  <c r="A247" i="5"/>
  <c r="A248" i="5"/>
  <c r="A249" i="5"/>
  <c r="A250" i="5"/>
  <c r="A251" i="5"/>
  <c r="A252" i="5"/>
  <c r="A253" i="5"/>
  <c r="A254" i="5"/>
  <c r="A255" i="5"/>
  <c r="A256" i="5"/>
  <c r="A257" i="5"/>
  <c r="A258" i="5"/>
  <c r="A259" i="5"/>
  <c r="A260" i="5"/>
  <c r="A261" i="5"/>
  <c r="A262" i="5"/>
  <c r="A263" i="5"/>
  <c r="A264" i="5"/>
  <c r="A265" i="5"/>
  <c r="A266" i="5"/>
  <c r="A267" i="5"/>
  <c r="A268" i="5"/>
  <c r="A269" i="5"/>
  <c r="A270" i="5"/>
  <c r="A271" i="5"/>
  <c r="A272" i="5"/>
  <c r="A273" i="5"/>
  <c r="A274" i="5"/>
  <c r="A275" i="5"/>
  <c r="A276" i="5"/>
  <c r="A277" i="5"/>
  <c r="A278" i="5"/>
  <c r="A279" i="5"/>
  <c r="A280" i="5"/>
  <c r="A281" i="5"/>
  <c r="A282" i="5"/>
  <c r="A283" i="5"/>
  <c r="A284" i="5"/>
  <c r="A285" i="5"/>
  <c r="A286" i="5"/>
  <c r="A287" i="5"/>
  <c r="A288" i="5"/>
  <c r="A289" i="5"/>
  <c r="A290" i="5"/>
  <c r="A291" i="5"/>
  <c r="A292" i="5"/>
  <c r="A293" i="5"/>
  <c r="A294" i="5"/>
  <c r="A295" i="5"/>
  <c r="A296" i="5"/>
  <c r="A297" i="5"/>
  <c r="A298" i="5"/>
  <c r="A299" i="5"/>
  <c r="A300" i="5"/>
  <c r="A301" i="5"/>
  <c r="A302" i="5"/>
  <c r="A303" i="5"/>
  <c r="A304" i="5"/>
  <c r="A305" i="5"/>
  <c r="A306" i="5"/>
  <c r="A307" i="5"/>
  <c r="A308" i="5"/>
  <c r="A309" i="5"/>
  <c r="A310" i="5"/>
  <c r="A311" i="5"/>
  <c r="A312" i="5"/>
  <c r="A313" i="5"/>
  <c r="A314" i="5"/>
  <c r="A315" i="5"/>
  <c r="A316" i="5"/>
  <c r="A317" i="5"/>
  <c r="A318" i="5"/>
  <c r="A319" i="5"/>
  <c r="A320" i="5"/>
  <c r="A321" i="5"/>
  <c r="A322" i="5"/>
  <c r="A323" i="5"/>
  <c r="A324" i="5"/>
  <c r="A325" i="5"/>
  <c r="A326" i="5"/>
  <c r="A327" i="5"/>
  <c r="A328" i="5"/>
  <c r="A329" i="5"/>
  <c r="A330" i="5"/>
  <c r="A331" i="5"/>
  <c r="A332" i="5"/>
  <c r="A333" i="5"/>
  <c r="A334" i="5"/>
  <c r="A335" i="5"/>
  <c r="A336" i="5"/>
  <c r="A337" i="5"/>
  <c r="A338" i="5"/>
  <c r="A339" i="5"/>
  <c r="A340" i="5"/>
  <c r="A341" i="5"/>
  <c r="A342" i="5"/>
  <c r="A343" i="5"/>
  <c r="A344" i="5"/>
  <c r="A345" i="5"/>
  <c r="A346" i="5"/>
  <c r="A347" i="5"/>
  <c r="A348" i="5"/>
  <c r="A349" i="5"/>
  <c r="A350" i="5"/>
  <c r="A351" i="5"/>
  <c r="A352" i="5"/>
  <c r="A353" i="5"/>
  <c r="A354" i="5"/>
  <c r="A355" i="5"/>
  <c r="A356" i="5"/>
  <c r="A357" i="5"/>
  <c r="A358" i="5"/>
  <c r="A359" i="5"/>
  <c r="A360" i="5"/>
  <c r="A361" i="5"/>
  <c r="A362" i="5"/>
  <c r="A363" i="5"/>
  <c r="A364" i="5"/>
  <c r="A365" i="5"/>
  <c r="A366" i="5"/>
  <c r="A367" i="5"/>
  <c r="A368" i="5"/>
  <c r="A369" i="5"/>
  <c r="A370" i="5"/>
  <c r="A371" i="5"/>
  <c r="A372" i="5"/>
  <c r="A373" i="5"/>
  <c r="A374" i="5"/>
  <c r="A375" i="5"/>
  <c r="A376" i="5"/>
  <c r="A377" i="5"/>
  <c r="A378" i="5"/>
  <c r="A379" i="5"/>
  <c r="A380" i="5"/>
  <c r="A381" i="5"/>
  <c r="A382" i="5"/>
  <c r="A383" i="5"/>
  <c r="A384" i="5"/>
  <c r="A385" i="5"/>
  <c r="A386" i="5"/>
  <c r="A387" i="5"/>
  <c r="A388" i="5"/>
  <c r="A389" i="5"/>
  <c r="A390" i="5"/>
  <c r="A391" i="5"/>
  <c r="A392" i="5"/>
  <c r="A393" i="5"/>
  <c r="A394" i="5"/>
  <c r="A395" i="5"/>
  <c r="A396" i="5"/>
  <c r="A397" i="5"/>
  <c r="A398" i="5"/>
  <c r="A399" i="5"/>
  <c r="A400" i="5"/>
  <c r="A401" i="5"/>
  <c r="A402" i="5"/>
  <c r="A403" i="5"/>
  <c r="A404" i="5"/>
  <c r="A405" i="5"/>
  <c r="A406" i="5"/>
  <c r="A407" i="5"/>
  <c r="A408" i="5"/>
  <c r="A409" i="5"/>
  <c r="A410" i="5"/>
  <c r="A411" i="5"/>
  <c r="A412" i="5"/>
  <c r="A413" i="5"/>
  <c r="A414" i="5"/>
  <c r="A415" i="5"/>
  <c r="A416" i="5"/>
  <c r="A417" i="5"/>
  <c r="A418" i="5"/>
  <c r="A419" i="5"/>
  <c r="A420" i="5"/>
  <c r="A421" i="5"/>
  <c r="A422" i="5"/>
  <c r="A423" i="5"/>
  <c r="A424" i="5"/>
  <c r="A425" i="5"/>
  <c r="A426" i="5"/>
  <c r="A427" i="5"/>
  <c r="A428" i="5"/>
  <c r="A429" i="5"/>
  <c r="A430" i="5"/>
  <c r="A431" i="5"/>
  <c r="A432" i="5"/>
  <c r="A433" i="5"/>
  <c r="A434" i="5"/>
  <c r="A435" i="5"/>
  <c r="A436" i="5"/>
  <c r="A437" i="5"/>
  <c r="A438" i="5"/>
  <c r="A439" i="5"/>
  <c r="A440" i="5"/>
  <c r="A441" i="5"/>
  <c r="A442" i="5"/>
  <c r="A443" i="5"/>
  <c r="A444" i="5"/>
  <c r="A445" i="5"/>
  <c r="A446" i="5"/>
  <c r="A447" i="5"/>
  <c r="A448" i="5"/>
  <c r="A449" i="5"/>
  <c r="A450" i="5"/>
  <c r="A451" i="5"/>
  <c r="A452" i="5"/>
  <c r="A453" i="5"/>
  <c r="A454" i="5"/>
  <c r="A455" i="5"/>
  <c r="A456" i="5"/>
  <c r="A457" i="5"/>
  <c r="A458" i="5"/>
  <c r="A459" i="5"/>
  <c r="A460" i="5"/>
  <c r="A461" i="5"/>
  <c r="A462" i="5"/>
  <c r="A463" i="5"/>
  <c r="A464" i="5"/>
  <c r="A465" i="5"/>
  <c r="A466" i="5"/>
  <c r="A467" i="5"/>
  <c r="A468" i="5"/>
  <c r="A469" i="5"/>
  <c r="A470" i="5"/>
  <c r="A471" i="5"/>
  <c r="A472" i="5"/>
  <c r="A473" i="5"/>
  <c r="A474" i="5"/>
  <c r="A475" i="5"/>
  <c r="A476" i="5"/>
  <c r="A477" i="5"/>
  <c r="A478" i="5"/>
  <c r="A479" i="5"/>
  <c r="A480" i="5"/>
  <c r="A481" i="5"/>
  <c r="A482" i="5"/>
  <c r="A483" i="5"/>
  <c r="A484" i="5"/>
  <c r="A485" i="5"/>
  <c r="A486" i="5"/>
  <c r="A487" i="5"/>
  <c r="A488" i="5"/>
  <c r="A489" i="5"/>
  <c r="A490" i="5"/>
  <c r="A491" i="5"/>
  <c r="A492" i="5"/>
  <c r="A493" i="5"/>
  <c r="A494" i="5"/>
  <c r="A495" i="5"/>
  <c r="A496" i="5"/>
  <c r="A497" i="5"/>
  <c r="A498" i="5"/>
  <c r="A499" i="5"/>
  <c r="A500" i="5"/>
  <c r="A501" i="5"/>
  <c r="A502" i="5"/>
  <c r="A503" i="5"/>
  <c r="A504" i="5"/>
  <c r="A505" i="5"/>
  <c r="A506" i="5"/>
  <c r="A507" i="5"/>
  <c r="A508" i="5"/>
  <c r="A509" i="5"/>
  <c r="A510" i="5"/>
  <c r="A511" i="5"/>
  <c r="A512" i="5"/>
  <c r="A513" i="5"/>
  <c r="A514" i="5"/>
  <c r="A515" i="5"/>
  <c r="A516" i="5"/>
  <c r="A517" i="5"/>
  <c r="A518" i="5"/>
  <c r="A519" i="5"/>
  <c r="A520" i="5"/>
  <c r="A521" i="5"/>
  <c r="A522" i="5"/>
  <c r="A523" i="5"/>
  <c r="A524" i="5"/>
  <c r="A525" i="5"/>
  <c r="A526" i="5"/>
  <c r="A527" i="5"/>
  <c r="A528" i="5"/>
  <c r="A529" i="5"/>
  <c r="A530" i="5"/>
  <c r="A531" i="5"/>
  <c r="A532" i="5"/>
  <c r="A533" i="5"/>
  <c r="A534" i="5"/>
  <c r="A535" i="5"/>
  <c r="A536" i="5"/>
  <c r="A537" i="5"/>
  <c r="A538" i="5"/>
  <c r="A539" i="5"/>
  <c r="A540" i="5"/>
  <c r="A541" i="5"/>
  <c r="A542" i="5"/>
  <c r="A543" i="5"/>
  <c r="A544" i="5"/>
  <c r="A545" i="5"/>
  <c r="A546" i="5"/>
  <c r="A547" i="5"/>
  <c r="A548" i="5"/>
  <c r="A549" i="5"/>
  <c r="A550" i="5"/>
  <c r="A551" i="5"/>
  <c r="A552" i="5"/>
  <c r="A553" i="5"/>
  <c r="A554" i="5"/>
  <c r="A555" i="5"/>
  <c r="A556" i="5"/>
  <c r="A557" i="5"/>
  <c r="A558" i="5"/>
  <c r="A559" i="5"/>
  <c r="A560" i="5"/>
  <c r="A561" i="5"/>
  <c r="A562" i="5"/>
  <c r="A563" i="5"/>
  <c r="A564" i="5"/>
  <c r="A565" i="5"/>
  <c r="A566" i="5"/>
  <c r="A567" i="5"/>
  <c r="A568" i="5"/>
  <c r="A569" i="5"/>
  <c r="A570" i="5"/>
  <c r="A571" i="5"/>
  <c r="A572" i="5"/>
  <c r="A573" i="5"/>
  <c r="A574" i="5"/>
  <c r="A575" i="5"/>
  <c r="A576" i="5"/>
  <c r="A577" i="5"/>
  <c r="A578" i="5"/>
  <c r="A579" i="5"/>
  <c r="A580" i="5"/>
  <c r="A581" i="5"/>
  <c r="A582" i="5"/>
  <c r="A583" i="5"/>
  <c r="A584" i="5"/>
  <c r="A585" i="5"/>
  <c r="A586" i="5"/>
  <c r="A587" i="5"/>
  <c r="A588" i="5"/>
  <c r="A589" i="5"/>
  <c r="A590" i="5"/>
  <c r="A591" i="5"/>
  <c r="A592" i="5"/>
  <c r="A593" i="5"/>
  <c r="A594" i="5"/>
  <c r="A595" i="5"/>
  <c r="A596" i="5"/>
  <c r="A597" i="5"/>
  <c r="A598" i="5"/>
  <c r="A599" i="5"/>
  <c r="A600" i="5"/>
  <c r="A601" i="5"/>
  <c r="A602" i="5"/>
  <c r="A603" i="5"/>
  <c r="A604" i="5"/>
  <c r="A605" i="5"/>
  <c r="A606" i="5"/>
  <c r="A607" i="5"/>
  <c r="A608" i="5"/>
  <c r="A609" i="5"/>
  <c r="A610" i="5"/>
  <c r="A611" i="5"/>
  <c r="A612" i="5"/>
  <c r="A613" i="5"/>
  <c r="A614" i="5"/>
  <c r="A615" i="5"/>
  <c r="A616" i="5"/>
  <c r="A617" i="5"/>
  <c r="A618" i="5"/>
  <c r="A619" i="5"/>
  <c r="A620" i="5"/>
  <c r="A621" i="5"/>
  <c r="A622" i="5"/>
  <c r="A623" i="5"/>
  <c r="A624" i="5"/>
  <c r="A625" i="5"/>
  <c r="A626" i="5"/>
  <c r="A627" i="5"/>
  <c r="A628" i="5"/>
  <c r="A629" i="5"/>
  <c r="A630" i="5"/>
  <c r="A631" i="5"/>
  <c r="A632" i="5"/>
  <c r="A633" i="5"/>
  <c r="A634" i="5"/>
  <c r="A635" i="5"/>
  <c r="A636" i="5"/>
  <c r="A637" i="5"/>
  <c r="A638" i="5"/>
  <c r="A639" i="5"/>
  <c r="A640" i="5"/>
  <c r="A641" i="5"/>
  <c r="A642" i="5"/>
  <c r="A643" i="5"/>
  <c r="A644" i="5"/>
  <c r="A645" i="5"/>
  <c r="A646" i="5"/>
  <c r="A647" i="5"/>
  <c r="A648" i="5"/>
  <c r="A649" i="5"/>
  <c r="A650" i="5"/>
  <c r="A651" i="5"/>
  <c r="A652" i="5"/>
  <c r="A653" i="5"/>
  <c r="A654" i="5"/>
  <c r="A655" i="5"/>
  <c r="A656" i="5"/>
  <c r="A657" i="5"/>
  <c r="A658" i="5"/>
  <c r="A659" i="5"/>
  <c r="A660" i="5"/>
  <c r="A661" i="5"/>
  <c r="A662" i="5"/>
  <c r="A663" i="5"/>
  <c r="A664" i="5"/>
  <c r="A665" i="5"/>
  <c r="A666" i="5"/>
  <c r="A667" i="5"/>
  <c r="A668" i="5"/>
  <c r="A669" i="5"/>
  <c r="A670" i="5"/>
  <c r="A671" i="5"/>
  <c r="A672" i="5"/>
  <c r="A673" i="5"/>
  <c r="A674" i="5"/>
  <c r="A675" i="5"/>
  <c r="A676" i="5"/>
  <c r="A677" i="5"/>
  <c r="A678" i="5"/>
  <c r="A679" i="5"/>
  <c r="A680" i="5"/>
  <c r="A681" i="5"/>
  <c r="A682" i="5"/>
  <c r="A683" i="5"/>
  <c r="A684" i="5"/>
  <c r="A685" i="5"/>
  <c r="A686" i="5"/>
  <c r="A687" i="5"/>
  <c r="A688" i="5"/>
  <c r="A689" i="5"/>
  <c r="A690" i="5"/>
  <c r="A691" i="5"/>
  <c r="A692" i="5"/>
  <c r="A693" i="5"/>
  <c r="A694" i="5"/>
  <c r="A695" i="5"/>
  <c r="A696" i="5"/>
  <c r="A697" i="5"/>
  <c r="A698" i="5"/>
  <c r="A699" i="5"/>
  <c r="A700" i="5"/>
  <c r="A701" i="5"/>
  <c r="A702" i="5"/>
  <c r="A703" i="5"/>
  <c r="A704" i="5"/>
  <c r="A705" i="5"/>
  <c r="A706" i="5"/>
  <c r="A707" i="5"/>
  <c r="O720" i="5"/>
  <c r="O723" i="5"/>
  <c r="T725" i="5" a="1"/>
  <c r="T727" i="5"/>
  <c r="O1" i="4"/>
  <c r="C2" i="4"/>
  <c r="A3" i="4"/>
  <c r="C3" i="4"/>
  <c r="A4" i="4"/>
  <c r="J5" i="4"/>
  <c r="L5" i="4"/>
  <c r="N5" i="4"/>
  <c r="C8" i="4"/>
  <c r="J8" i="4"/>
  <c r="C9" i="4"/>
  <c r="C10" i="4"/>
  <c r="C11" i="4"/>
  <c r="C12" i="4"/>
  <c r="C13" i="4"/>
  <c r="C14" i="4"/>
  <c r="A15" i="4"/>
  <c r="C15" i="4"/>
  <c r="A16" i="4"/>
  <c r="C20" i="4"/>
  <c r="A21" i="4"/>
  <c r="C21" i="4"/>
  <c r="J21" i="4"/>
  <c r="R21" i="4"/>
  <c r="X21" i="4" s="1"/>
  <c r="Y21" i="4"/>
  <c r="Z21" i="4"/>
  <c r="A22" i="4"/>
  <c r="J22" i="4"/>
  <c r="R22" i="4"/>
  <c r="X22" i="4"/>
  <c r="J23" i="4"/>
  <c r="R23" i="4"/>
  <c r="J24" i="4"/>
  <c r="R24" i="4"/>
  <c r="J25" i="4"/>
  <c r="R25" i="4"/>
  <c r="C26" i="4"/>
  <c r="A27" i="4"/>
  <c r="C27" i="4"/>
  <c r="S27" i="4"/>
  <c r="S29" i="4" s="1"/>
  <c r="A28" i="4"/>
  <c r="S28" i="4"/>
  <c r="C32" i="4"/>
  <c r="A33" i="4"/>
  <c r="C33" i="4"/>
  <c r="A34" i="4"/>
  <c r="A35" i="4" s="1"/>
  <c r="C34" i="4"/>
  <c r="N35" i="4"/>
  <c r="C38" i="4"/>
  <c r="J38" i="4"/>
  <c r="C39" i="4"/>
  <c r="C40" i="4"/>
  <c r="J40" i="4"/>
  <c r="C41" i="4"/>
  <c r="C42" i="4"/>
  <c r="C43" i="4"/>
  <c r="C44" i="4"/>
  <c r="A45" i="4"/>
  <c r="C45" i="4"/>
  <c r="J45" i="4"/>
  <c r="A46" i="4"/>
  <c r="C46" i="4" s="1"/>
  <c r="A47" i="4"/>
  <c r="K50" i="4"/>
  <c r="K50" i="4" a="1"/>
  <c r="K51" i="4"/>
  <c r="K52" i="4"/>
  <c r="J61" i="4"/>
  <c r="R61" i="4"/>
  <c r="J62" i="4"/>
  <c r="R62" i="4"/>
  <c r="J63" i="4"/>
  <c r="R63" i="4"/>
  <c r="J64" i="4"/>
  <c r="R64" i="4"/>
  <c r="J65" i="4"/>
  <c r="R65" i="4"/>
  <c r="S67" i="4"/>
  <c r="S69" i="4" s="1"/>
  <c r="I76" i="4" s="1"/>
  <c r="S68" i="4"/>
  <c r="N75" i="4"/>
  <c r="J78" i="4"/>
  <c r="J80" i="4"/>
  <c r="J85" i="4"/>
  <c r="K90" i="4" a="1"/>
  <c r="K91" i="4"/>
  <c r="J101" i="4"/>
  <c r="R101" i="4"/>
  <c r="J102" i="4"/>
  <c r="R102" i="4"/>
  <c r="J103" i="4"/>
  <c r="R103" i="4"/>
  <c r="J104" i="4"/>
  <c r="R104" i="4"/>
  <c r="J105" i="4"/>
  <c r="R105" i="4"/>
  <c r="S107" i="4"/>
  <c r="S109" i="4"/>
  <c r="I114" i="4" s="1"/>
  <c r="S108" i="4"/>
  <c r="N115" i="4"/>
  <c r="J118" i="4"/>
  <c r="J120" i="4"/>
  <c r="J125" i="4"/>
  <c r="K130" i="4" a="1"/>
  <c r="C8" i="3"/>
  <c r="C9" i="3"/>
  <c r="C12" i="3"/>
  <c r="C14" i="3"/>
  <c r="C15" i="3"/>
  <c r="C19" i="3"/>
  <c r="C20" i="3"/>
  <c r="C22" i="3"/>
  <c r="C24" i="3"/>
  <c r="C26" i="3"/>
  <c r="C28" i="3"/>
  <c r="C32" i="3"/>
  <c r="C34" i="3"/>
  <c r="C39" i="3"/>
  <c r="C41" i="3"/>
  <c r="C43" i="3"/>
  <c r="C47" i="3"/>
  <c r="L2" i="2"/>
  <c r="N2" i="2"/>
  <c r="P2" i="2"/>
  <c r="R2" i="2"/>
  <c r="T2" i="2"/>
  <c r="V2" i="2"/>
  <c r="X2" i="2"/>
  <c r="Z2" i="2"/>
  <c r="AB2" i="2"/>
  <c r="AD2" i="2"/>
  <c r="AF2" i="2"/>
  <c r="AH2" i="2"/>
  <c r="AJ2" i="2"/>
  <c r="AL2" i="2"/>
  <c r="AN2" i="2"/>
  <c r="AP2" i="2"/>
  <c r="AR2" i="2"/>
  <c r="E9" i="2"/>
  <c r="E2" i="15"/>
  <c r="B8" i="15"/>
  <c r="C10" i="15"/>
  <c r="E10" i="15"/>
  <c r="G10" i="15"/>
  <c r="C12" i="15"/>
  <c r="E12" i="15"/>
  <c r="C14" i="15"/>
  <c r="B16" i="15"/>
  <c r="C18" i="15"/>
  <c r="E18" i="15"/>
  <c r="G18" i="15"/>
  <c r="B20" i="15"/>
  <c r="C22" i="15"/>
  <c r="E22" i="15"/>
  <c r="G22" i="15"/>
  <c r="E24" i="15"/>
  <c r="K722" i="12"/>
  <c r="K725" i="12"/>
  <c r="K724" i="12"/>
  <c r="T725" i="5"/>
  <c r="T726" i="5"/>
  <c r="I718" i="6"/>
  <c r="A46" i="6"/>
  <c r="A159" i="6"/>
  <c r="A209" i="6"/>
  <c r="A81" i="6"/>
  <c r="A35" i="6"/>
  <c r="A475" i="6"/>
  <c r="A110" i="6"/>
  <c r="A337" i="6"/>
  <c r="A68" i="6"/>
  <c r="A566" i="6"/>
  <c r="A616" i="6"/>
  <c r="A477" i="6"/>
  <c r="A221" i="6"/>
  <c r="A507" i="6"/>
  <c r="A561" i="6"/>
  <c r="A687" i="6"/>
  <c r="A349" i="6"/>
  <c r="A167" i="6"/>
  <c r="A31" i="6"/>
  <c r="A670" i="6"/>
  <c r="A377" i="6"/>
  <c r="A460" i="6"/>
  <c r="A465" i="6"/>
  <c r="C18" i="7"/>
  <c r="C19" i="7" s="1"/>
  <c r="A215" i="6"/>
  <c r="A706" i="6"/>
  <c r="A196" i="6"/>
  <c r="A450" i="6"/>
  <c r="A369" i="6"/>
  <c r="A483" i="6"/>
  <c r="A580" i="6"/>
  <c r="A501" i="6"/>
  <c r="A406" i="6"/>
  <c r="A629" i="6"/>
  <c r="A570" i="6"/>
  <c r="A587" i="6"/>
  <c r="A497" i="6"/>
  <c r="A276" i="6"/>
  <c r="A94" i="6"/>
  <c r="A203" i="6"/>
  <c r="A335" i="6"/>
  <c r="A37" i="6"/>
  <c r="A302" i="6"/>
  <c r="A117" i="6"/>
  <c r="A387" i="6"/>
  <c r="A123" i="6"/>
  <c r="A65" i="6"/>
  <c r="A560" i="6"/>
  <c r="A199" i="6"/>
  <c r="A459" i="6"/>
  <c r="A484" i="6"/>
  <c r="A158" i="6"/>
  <c r="P125" i="4"/>
  <c r="A622" i="6"/>
  <c r="A235" i="6"/>
  <c r="A239" i="6"/>
  <c r="A271" i="6"/>
  <c r="A704" i="6"/>
  <c r="A388" i="6"/>
  <c r="A426" i="6"/>
  <c r="A633" i="6"/>
  <c r="A698" i="6"/>
  <c r="P45" i="4"/>
  <c r="P85" i="4"/>
  <c r="A660" i="6"/>
  <c r="A462" i="6"/>
  <c r="A661" i="6"/>
  <c r="O726" i="5"/>
  <c r="A368" i="6"/>
  <c r="A606" i="6"/>
  <c r="A291" i="6"/>
  <c r="A280" i="6"/>
  <c r="A88" i="6"/>
  <c r="A222" i="6"/>
  <c r="A665" i="6"/>
  <c r="A187" i="6"/>
  <c r="A617" i="6"/>
  <c r="A389" i="6"/>
  <c r="A573" i="6"/>
  <c r="A375" i="6"/>
  <c r="A229" i="6"/>
  <c r="A175" i="6"/>
  <c r="A316" i="6"/>
  <c r="A390" i="6"/>
  <c r="A232" i="6"/>
  <c r="E14" i="5"/>
  <c r="A173" i="6"/>
  <c r="A39" i="6"/>
  <c r="A473" i="6"/>
  <c r="H14" i="5"/>
  <c r="A270" i="6"/>
  <c r="A607" i="6"/>
  <c r="A697" i="6"/>
  <c r="A544" i="6"/>
  <c r="A238" i="6"/>
  <c r="A604" i="6"/>
  <c r="A546" i="6"/>
  <c r="A562" i="6"/>
  <c r="A216" i="6"/>
  <c r="A179" i="6"/>
  <c r="A262" i="6"/>
  <c r="A430" i="6"/>
  <c r="A597" i="6"/>
  <c r="A113" i="6"/>
  <c r="A495" i="6"/>
  <c r="A556" i="6"/>
  <c r="A258" i="6"/>
  <c r="A321" i="6"/>
  <c r="A461" i="6"/>
  <c r="A492" i="6"/>
  <c r="A488" i="6"/>
  <c r="A676" i="6"/>
  <c r="A310" i="6"/>
  <c r="A683" i="6"/>
  <c r="A41" i="6"/>
  <c r="A424" i="6"/>
  <c r="A135" i="6"/>
  <c r="A34" i="6"/>
  <c r="A567" i="6"/>
  <c r="A285" i="6"/>
  <c r="A51" i="6"/>
  <c r="A217" i="6"/>
  <c r="A180" i="6"/>
  <c r="A705" i="6"/>
  <c r="A150" i="6"/>
  <c r="A80" i="6"/>
  <c r="A273" i="6"/>
  <c r="A485" i="6"/>
  <c r="A36" i="6"/>
  <c r="A410" i="6"/>
  <c r="A1" i="9"/>
  <c r="I90" i="4"/>
  <c r="I64" i="4"/>
  <c r="I54" i="4"/>
  <c r="I74" i="4"/>
  <c r="I66" i="4"/>
  <c r="I89" i="4"/>
  <c r="I69" i="4"/>
  <c r="I78" i="4"/>
  <c r="I82" i="4"/>
  <c r="AL114" i="8"/>
  <c r="I79" i="4"/>
  <c r="I83" i="4"/>
  <c r="AL113" i="8"/>
  <c r="I67" i="4"/>
  <c r="I60" i="4"/>
  <c r="I87" i="4"/>
  <c r="I71" i="4"/>
  <c r="I86" i="4"/>
  <c r="I85" i="4"/>
  <c r="I59" i="4"/>
  <c r="AC13" i="12"/>
  <c r="AD13" i="12" s="1"/>
  <c r="AE13" i="12" s="1"/>
  <c r="B16" i="6"/>
  <c r="C16" i="10"/>
  <c r="N10" i="12"/>
  <c r="H11" i="10"/>
  <c r="F717" i="6"/>
  <c r="D36" i="11"/>
  <c r="H113" i="8"/>
  <c r="AK13" i="6"/>
  <c r="AK12" i="6" s="1"/>
  <c r="B18" i="10"/>
  <c r="J10" i="13"/>
  <c r="B8" i="14"/>
  <c r="N15" i="12"/>
  <c r="B16" i="7"/>
  <c r="H12" i="9"/>
  <c r="I62" i="4"/>
  <c r="I56" i="4"/>
  <c r="I72" i="4"/>
  <c r="A314" i="6"/>
  <c r="A61" i="6"/>
  <c r="A354" i="6"/>
  <c r="A603" i="6"/>
  <c r="A534" i="6"/>
  <c r="A50" i="6"/>
  <c r="A128" i="6"/>
  <c r="A184" i="6"/>
  <c r="A602" i="6"/>
  <c r="A541" i="6"/>
  <c r="A702" i="6"/>
  <c r="A646" i="6"/>
  <c r="A340" i="6"/>
  <c r="A386" i="6"/>
  <c r="A403" i="6"/>
  <c r="A121" i="6"/>
  <c r="A56" i="6"/>
  <c r="A40" i="6"/>
  <c r="A654" i="6"/>
  <c r="A517" i="6"/>
  <c r="A147" i="6"/>
  <c r="A575" i="6"/>
  <c r="A21" i="6"/>
  <c r="A353" i="6"/>
  <c r="A408" i="6"/>
  <c r="A696" i="6"/>
  <c r="A23" i="6"/>
  <c r="A197" i="6"/>
  <c r="A23" i="11"/>
  <c r="A172" i="6"/>
  <c r="A67" i="6"/>
  <c r="A384" i="6"/>
  <c r="A98" i="6"/>
  <c r="A324" i="6"/>
  <c r="A127" i="6"/>
  <c r="A139" i="6"/>
  <c r="A435" i="6"/>
  <c r="A518" i="6"/>
  <c r="A398" i="6"/>
  <c r="A557" i="6"/>
  <c r="A486" i="6"/>
  <c r="A409" i="6"/>
  <c r="A234" i="6"/>
  <c r="A293" i="6"/>
  <c r="A380" i="6"/>
  <c r="A305" i="6"/>
  <c r="A669" i="6"/>
  <c r="A491" i="6"/>
  <c r="A383" i="6"/>
  <c r="A614" i="6"/>
  <c r="A313" i="6"/>
  <c r="A472" i="6"/>
  <c r="A206" i="6"/>
  <c r="A482" i="6"/>
  <c r="A281" i="6"/>
  <c r="A510" i="6"/>
  <c r="A129" i="6"/>
  <c r="A231" i="6"/>
  <c r="A162" i="6"/>
  <c r="A116" i="6"/>
  <c r="A576" i="6"/>
  <c r="A100" i="6"/>
  <c r="A371" i="6"/>
  <c r="A569" i="6"/>
  <c r="A376" i="6"/>
  <c r="A707" i="6"/>
  <c r="A107" i="6"/>
  <c r="A467" i="6"/>
  <c r="A357" i="6"/>
  <c r="A146" i="6"/>
  <c r="A309" i="6"/>
  <c r="A394" i="6"/>
  <c r="A444" i="6"/>
  <c r="A489" i="6"/>
  <c r="A104" i="6"/>
  <c r="A636" i="6"/>
  <c r="A645" i="6"/>
  <c r="A381" i="6"/>
  <c r="A315" i="6"/>
  <c r="A487" i="6"/>
  <c r="A359" i="6"/>
  <c r="A578" i="6"/>
  <c r="A595" i="6"/>
  <c r="A331" i="6"/>
  <c r="A582" i="6"/>
  <c r="A342" i="6"/>
  <c r="A610" i="6"/>
  <c r="A306" i="6"/>
  <c r="A259" i="6"/>
  <c r="A264" i="6"/>
  <c r="A132" i="6"/>
  <c r="A85" i="6"/>
  <c r="A499" i="6"/>
  <c r="A671" i="6"/>
  <c r="A586" i="6"/>
  <c r="A303" i="6"/>
  <c r="A653" i="6"/>
  <c r="A585" i="6"/>
  <c r="A77" i="6"/>
  <c r="A142" i="6"/>
  <c r="A481" i="6"/>
  <c r="A344" i="6"/>
  <c r="A440" i="6"/>
  <c r="A449" i="6"/>
  <c r="A504" i="6"/>
  <c r="A571" i="6"/>
  <c r="A397" i="6"/>
  <c r="A227" i="6"/>
  <c r="M15" i="6"/>
  <c r="A415" i="6"/>
  <c r="A598" i="6"/>
  <c r="A48" i="6"/>
  <c r="A60" i="6"/>
  <c r="A496" i="6"/>
  <c r="A79" i="6"/>
  <c r="A233" i="6"/>
  <c r="A621" i="6"/>
  <c r="A253" i="6"/>
  <c r="A447" i="6"/>
  <c r="A535" i="6"/>
  <c r="A699" i="6"/>
  <c r="A170" i="6"/>
  <c r="A630" i="6"/>
  <c r="A282" i="6"/>
  <c r="A102" i="6"/>
  <c r="A327" i="6"/>
  <c r="A551" i="6"/>
  <c r="A631" i="6"/>
  <c r="A453" i="6"/>
  <c r="A213" i="6"/>
  <c r="A681" i="6"/>
  <c r="A52" i="6"/>
  <c r="A347" i="6"/>
  <c r="A619" i="6"/>
  <c r="A20" i="6"/>
  <c r="A218" i="6"/>
  <c r="A228" i="6"/>
  <c r="A91" i="6"/>
  <c r="A275" i="6"/>
  <c r="A536" i="6"/>
  <c r="A200" i="6"/>
  <c r="A341" i="6"/>
  <c r="A618" i="6"/>
  <c r="A54" i="6"/>
  <c r="A533" i="6"/>
  <c r="A479" i="6"/>
  <c r="A53" i="6"/>
  <c r="A700" i="6"/>
  <c r="A392" i="6"/>
  <c r="A370" i="6"/>
  <c r="A524" i="6"/>
  <c r="A553" i="6"/>
  <c r="A641" i="6"/>
  <c r="A136" i="6"/>
  <c r="A624" i="6"/>
  <c r="A345" i="6"/>
  <c r="A393" i="6"/>
  <c r="A685" i="6"/>
  <c r="A350" i="6"/>
  <c r="A322" i="6"/>
  <c r="A84" i="6"/>
  <c r="A395" i="6"/>
  <c r="A185" i="6"/>
  <c r="A382" i="6"/>
  <c r="A195" i="6"/>
  <c r="A138" i="6"/>
  <c r="A367" i="6"/>
  <c r="A292" i="6"/>
  <c r="A320" i="6"/>
  <c r="A311" i="6"/>
  <c r="A637" i="6"/>
  <c r="A452" i="6"/>
  <c r="A464" i="6"/>
  <c r="A690" i="6"/>
  <c r="A508" i="6"/>
  <c r="A679" i="6"/>
  <c r="A190" i="6"/>
  <c r="A358" i="6"/>
  <c r="A73" i="6"/>
  <c r="A611" i="6"/>
  <c r="A267" i="6"/>
  <c r="A543" i="6"/>
  <c r="A144" i="6"/>
  <c r="A433" i="6"/>
  <c r="A237" i="6"/>
  <c r="A360" i="6"/>
  <c r="A97" i="6"/>
  <c r="A186" i="6"/>
  <c r="A115" i="6"/>
  <c r="A157" i="6"/>
  <c r="A28" i="6"/>
  <c r="A547" i="6"/>
  <c r="A442" i="6"/>
  <c r="A592" i="6"/>
  <c r="A590" i="6"/>
  <c r="A574" i="6"/>
  <c r="A583" i="6"/>
  <c r="A529" i="6"/>
  <c r="A89" i="6"/>
  <c r="A684" i="6"/>
  <c r="A277" i="6"/>
  <c r="A307" i="6"/>
  <c r="A417" i="6"/>
  <c r="A579" i="6"/>
  <c r="A505" i="6"/>
  <c r="A328" i="6"/>
  <c r="A634" i="6"/>
  <c r="A577" i="6"/>
  <c r="A522" i="6"/>
  <c r="A490" i="6"/>
  <c r="A493" i="6"/>
  <c r="A437" i="6"/>
  <c r="A19" i="6"/>
  <c r="A693" i="6"/>
  <c r="A318" i="6"/>
  <c r="A126" i="6"/>
  <c r="A458" i="6"/>
  <c r="A329" i="6"/>
  <c r="A101" i="6"/>
  <c r="A448" i="6"/>
  <c r="A418" i="6"/>
  <c r="A425" i="6"/>
  <c r="A519" i="6"/>
  <c r="A55" i="6"/>
  <c r="A151" i="6"/>
  <c r="A456" i="6"/>
  <c r="A632" i="6"/>
  <c r="A133" i="6"/>
  <c r="A149" i="6"/>
  <c r="A140" i="6"/>
  <c r="A86" i="6"/>
  <c r="A659" i="6"/>
  <c r="A680" i="6"/>
  <c r="A96" i="6"/>
  <c r="A122" i="6"/>
  <c r="A177" i="6"/>
  <c r="A143" i="6"/>
  <c r="A66" i="6"/>
  <c r="A247" i="6"/>
  <c r="A352" i="6"/>
  <c r="A400" i="6"/>
  <c r="A429" i="6"/>
  <c r="A105" i="6"/>
  <c r="A480" i="6"/>
  <c r="A131" i="6"/>
  <c r="A568" i="6"/>
  <c r="A63" i="6"/>
  <c r="A174" i="6"/>
  <c r="A286" i="6"/>
  <c r="A112" i="6"/>
  <c r="A662" i="6"/>
  <c r="A333" i="6"/>
  <c r="A623" i="6"/>
  <c r="A165" i="6"/>
  <c r="A225" i="6"/>
  <c r="A192" i="6"/>
  <c r="A249" i="6"/>
  <c r="A301" i="6"/>
  <c r="I12" i="9"/>
  <c r="I11" i="9" s="1"/>
  <c r="H11" i="9"/>
  <c r="O8" i="5"/>
  <c r="AF21" i="5"/>
  <c r="AF24" i="5"/>
  <c r="AF25" i="5"/>
  <c r="AF35" i="5"/>
  <c r="AF30" i="5"/>
  <c r="AF32" i="5"/>
  <c r="AF29" i="5"/>
  <c r="AF44" i="5"/>
  <c r="AF57" i="5"/>
  <c r="AF49" i="5"/>
  <c r="AF63" i="5"/>
  <c r="AF50" i="5"/>
  <c r="AF76" i="5"/>
  <c r="AF73" i="5"/>
  <c r="AF83" i="5"/>
  <c r="AF70" i="5"/>
  <c r="AF90" i="5"/>
  <c r="AF67" i="5"/>
  <c r="AF89" i="5"/>
  <c r="AF94" i="5"/>
  <c r="AF106" i="5"/>
  <c r="AF116" i="5"/>
  <c r="AF107" i="5"/>
  <c r="AF110" i="5"/>
  <c r="AF129" i="5"/>
  <c r="AF148" i="5"/>
  <c r="AF122" i="5"/>
  <c r="AF109" i="5"/>
  <c r="AF134" i="5"/>
  <c r="AF143" i="5"/>
  <c r="AF151" i="5"/>
  <c r="AF159" i="5"/>
  <c r="AF135" i="5"/>
  <c r="AF172" i="5"/>
  <c r="AF187" i="5"/>
  <c r="AF195" i="5"/>
  <c r="AF152" i="5"/>
  <c r="AF167" i="5"/>
  <c r="AF177" i="5"/>
  <c r="AF190" i="5"/>
  <c r="AF118" i="5"/>
  <c r="AF155" i="5"/>
  <c r="AF181" i="5"/>
  <c r="AF199" i="5"/>
  <c r="AF14" i="5"/>
  <c r="AF18" i="5"/>
  <c r="AF16" i="5"/>
  <c r="AF27" i="5"/>
  <c r="AF42" i="5"/>
  <c r="AF45" i="5"/>
  <c r="AF51" i="5"/>
  <c r="AF55" i="5"/>
  <c r="AF62" i="5"/>
  <c r="AF58" i="5"/>
  <c r="AF47" i="5"/>
  <c r="AF82" i="5"/>
  <c r="AF75" i="5"/>
  <c r="AF96" i="5"/>
  <c r="AF85" i="5"/>
  <c r="AF99" i="5"/>
  <c r="AF111" i="5"/>
  <c r="AF103" i="5"/>
  <c r="AF120" i="5"/>
  <c r="AF139" i="5"/>
  <c r="AF117" i="5"/>
  <c r="AF124" i="5"/>
  <c r="AF140" i="5"/>
  <c r="AF149" i="5"/>
  <c r="AF160" i="5"/>
  <c r="AF163" i="5"/>
  <c r="AF185" i="5"/>
  <c r="AF196" i="5"/>
  <c r="AF161" i="5"/>
  <c r="AF173" i="5"/>
  <c r="AF197" i="5"/>
  <c r="AF137" i="5"/>
  <c r="AF176" i="5"/>
  <c r="AF150" i="5"/>
  <c r="AF213" i="5"/>
  <c r="AF227" i="5"/>
  <c r="AF201" i="5"/>
  <c r="AF211" i="5"/>
  <c r="AF97" i="5"/>
  <c r="AF188" i="5"/>
  <c r="AF219" i="5"/>
  <c r="AF232" i="5"/>
  <c r="AF223" i="5"/>
  <c r="AF253" i="5"/>
  <c r="AF263" i="5"/>
  <c r="AF278" i="5"/>
  <c r="AF295" i="5"/>
  <c r="AF320" i="5"/>
  <c r="AF204" i="5"/>
  <c r="AF244" i="5"/>
  <c r="AF261" i="5"/>
  <c r="AF270" i="5"/>
  <c r="AF283" i="5"/>
  <c r="AF310" i="5"/>
  <c r="AF205" i="5"/>
  <c r="AF294" i="5"/>
  <c r="AF311" i="5"/>
  <c r="AF221" i="5"/>
  <c r="AF258" i="5"/>
  <c r="AF284" i="5"/>
  <c r="AF306" i="5"/>
  <c r="AF336" i="5"/>
  <c r="AF231" i="5"/>
  <c r="AF254" i="5"/>
  <c r="AF286" i="5"/>
  <c r="AF309" i="5"/>
  <c r="AF342" i="5"/>
  <c r="AF352" i="5"/>
  <c r="AF373" i="5"/>
  <c r="AF301" i="5"/>
  <c r="AF343" i="5"/>
  <c r="AF361" i="5"/>
  <c r="AF374" i="5"/>
  <c r="AF401" i="5"/>
  <c r="AF17" i="5"/>
  <c r="AF28" i="5"/>
  <c r="AF34" i="5"/>
  <c r="AF39" i="5"/>
  <c r="AF54" i="5"/>
  <c r="AF53" i="5"/>
  <c r="AF71" i="5"/>
  <c r="AF68" i="5"/>
  <c r="AF59" i="5"/>
  <c r="AF91" i="5"/>
  <c r="AF92" i="5"/>
  <c r="AF105" i="5"/>
  <c r="AF101" i="5"/>
  <c r="AF121" i="5"/>
  <c r="AF158" i="5"/>
  <c r="AF100" i="5"/>
  <c r="AF141" i="5"/>
  <c r="AF156" i="5"/>
  <c r="AF162" i="5"/>
  <c r="AF189" i="5"/>
  <c r="AF131" i="5"/>
  <c r="AF171" i="5"/>
  <c r="AF200" i="5"/>
  <c r="AF166" i="5"/>
  <c r="AF198" i="5"/>
  <c r="AF217" i="5"/>
  <c r="AF233" i="5"/>
  <c r="AF207" i="5"/>
  <c r="AF123" i="5"/>
  <c r="AF212" i="5"/>
  <c r="AF230" i="5"/>
  <c r="AF240" i="5"/>
  <c r="AF257" i="5"/>
  <c r="AF276" i="5"/>
  <c r="AF296" i="5"/>
  <c r="AF325" i="5"/>
  <c r="AF220" i="5"/>
  <c r="AF262" i="5"/>
  <c r="AF274" i="5"/>
  <c r="AF304" i="5"/>
  <c r="AF247" i="5"/>
  <c r="AF307" i="5"/>
  <c r="AF315" i="5"/>
  <c r="AF260" i="5"/>
  <c r="AF302" i="5"/>
  <c r="AF330" i="5"/>
  <c r="AF239" i="5"/>
  <c r="AF280" i="5"/>
  <c r="AF300" i="5"/>
  <c r="AF344" i="5"/>
  <c r="AF358" i="5"/>
  <c r="AF291" i="5"/>
  <c r="AF347" i="5"/>
  <c r="AF366" i="5"/>
  <c r="AF389" i="5"/>
  <c r="AF408" i="5"/>
  <c r="AF426" i="5"/>
  <c r="AF319" i="5"/>
  <c r="AF382" i="5"/>
  <c r="AF392" i="5"/>
  <c r="AF400" i="5"/>
  <c r="AF414" i="5"/>
  <c r="AF329" i="5"/>
  <c r="AF349" i="5"/>
  <c r="AF365" i="5"/>
  <c r="AF377" i="5"/>
  <c r="AF384" i="5"/>
  <c r="AF419" i="5"/>
  <c r="AF326" i="5"/>
  <c r="AF333" i="5"/>
  <c r="AF411" i="5"/>
  <c r="AF444" i="5"/>
  <c r="AF485" i="5"/>
  <c r="AF506" i="5"/>
  <c r="AF515" i="5"/>
  <c r="AF416" i="5"/>
  <c r="AF439" i="5"/>
  <c r="AF456" i="5"/>
  <c r="AF470" i="5"/>
  <c r="AF476" i="5"/>
  <c r="AF492" i="5"/>
  <c r="AF499" i="5"/>
  <c r="AF514" i="5"/>
  <c r="AF424" i="5"/>
  <c r="AF457" i="5"/>
  <c r="AF466" i="5"/>
  <c r="AF486" i="5"/>
  <c r="AF505" i="5"/>
  <c r="AF405" i="5"/>
  <c r="AF484" i="5"/>
  <c r="AF524" i="5"/>
  <c r="AF533" i="5"/>
  <c r="AF544" i="5"/>
  <c r="AF569" i="5"/>
  <c r="AF579" i="5"/>
  <c r="AF609" i="5"/>
  <c r="AF624" i="5"/>
  <c r="AF637" i="5"/>
  <c r="AF650" i="5"/>
  <c r="AF31" i="5"/>
  <c r="AF52" i="5"/>
  <c r="AF77" i="5"/>
  <c r="AF81" i="5"/>
  <c r="AF86" i="5"/>
  <c r="AF145" i="5"/>
  <c r="AF191" i="5"/>
  <c r="AF186" i="5"/>
  <c r="AF206" i="5"/>
  <c r="AF224" i="5"/>
  <c r="AF246" i="5"/>
  <c r="AF293" i="5"/>
  <c r="AF252" i="5"/>
  <c r="AF288" i="5"/>
  <c r="AF267" i="5"/>
  <c r="AF281" i="5"/>
  <c r="AF356" i="5"/>
  <c r="AF388" i="5"/>
  <c r="AF375" i="5"/>
  <c r="AF328" i="5"/>
  <c r="AF368" i="5"/>
  <c r="AF318" i="5"/>
  <c r="AF490" i="5"/>
  <c r="AF447" i="5"/>
  <c r="AF496" i="5"/>
  <c r="AF463" i="5"/>
  <c r="AF523" i="5"/>
  <c r="AF578" i="5"/>
  <c r="AF647" i="5"/>
  <c r="AF685" i="5"/>
  <c r="AF501" i="5"/>
  <c r="AF560" i="5"/>
  <c r="AF613" i="5"/>
  <c r="AF658" i="5"/>
  <c r="AF449" i="5"/>
  <c r="AF548" i="5"/>
  <c r="AF605" i="5"/>
  <c r="AF668" i="5"/>
  <c r="AF491" i="5"/>
  <c r="AF709" i="5"/>
  <c r="AF703" i="5"/>
  <c r="AF646" i="5"/>
  <c r="AF617" i="5"/>
  <c r="AF19" i="5"/>
  <c r="AF26" i="5"/>
  <c r="AF38" i="5"/>
  <c r="AF41" i="5"/>
  <c r="AF48" i="5"/>
  <c r="AF61" i="5"/>
  <c r="AF80" i="5"/>
  <c r="AF88" i="5"/>
  <c r="AF93" i="5"/>
  <c r="AF114" i="5"/>
  <c r="AF104" i="5"/>
  <c r="AF72" i="5"/>
  <c r="AF130" i="5"/>
  <c r="AF154" i="5"/>
  <c r="AF168" i="5"/>
  <c r="AF192" i="5"/>
  <c r="AF170" i="5"/>
  <c r="AF115" i="5"/>
  <c r="AF193" i="5"/>
  <c r="AF209" i="5"/>
  <c r="AF169" i="5"/>
  <c r="AF234" i="5"/>
  <c r="AF208" i="5"/>
  <c r="AF235" i="5"/>
  <c r="AF251" i="5"/>
  <c r="AF272" i="5"/>
  <c r="AF297" i="5"/>
  <c r="AF210" i="5"/>
  <c r="AF256" i="5"/>
  <c r="AF279" i="5"/>
  <c r="AF321" i="5"/>
  <c r="AF299" i="5"/>
  <c r="AF237" i="5"/>
  <c r="AF273" i="5"/>
  <c r="AF323" i="5"/>
  <c r="AF243" i="5"/>
  <c r="AF287" i="5"/>
  <c r="AF341" i="5"/>
  <c r="AF362" i="5"/>
  <c r="AF334" i="5"/>
  <c r="AF363" i="5"/>
  <c r="AF402" i="5"/>
  <c r="AF415" i="5"/>
  <c r="AF268" i="5"/>
  <c r="AF386" i="5"/>
  <c r="AF396" i="5"/>
  <c r="AF413" i="5"/>
  <c r="AF338" i="5"/>
  <c r="AF354" i="5"/>
  <c r="AF370" i="5"/>
  <c r="AF387" i="5"/>
  <c r="AF423" i="5"/>
  <c r="AF337" i="5"/>
  <c r="AF432" i="5"/>
  <c r="AF448" i="5"/>
  <c r="AF494" i="5"/>
  <c r="AF518" i="5"/>
  <c r="AF429" i="5"/>
  <c r="AF452" i="5"/>
  <c r="AF471" i="5"/>
  <c r="AF480" i="5"/>
  <c r="AF497" i="5"/>
  <c r="AF516" i="5"/>
  <c r="AF440" i="5"/>
  <c r="AF464" i="5"/>
  <c r="AF487" i="5"/>
  <c r="AF393" i="5"/>
  <c r="AF458" i="5"/>
  <c r="AF525" i="5"/>
  <c r="AF537" i="5"/>
  <c r="AF566" i="5"/>
  <c r="AF586" i="5"/>
  <c r="AF618" i="5"/>
  <c r="AF634" i="5"/>
  <c r="AF655" i="5"/>
  <c r="AF678" i="5"/>
  <c r="AF686" i="5"/>
  <c r="AF454" i="5"/>
  <c r="AF469" i="5"/>
  <c r="AF511" i="5"/>
  <c r="AF527" i="5"/>
  <c r="AF553" i="5"/>
  <c r="AF563" i="5"/>
  <c r="AF583" i="5"/>
  <c r="AF607" i="5"/>
  <c r="AF614" i="5"/>
  <c r="AF636" i="5"/>
  <c r="AF645" i="5"/>
  <c r="AF659" i="5"/>
  <c r="AF671" i="5"/>
  <c r="AF696" i="5"/>
  <c r="AF450" i="5"/>
  <c r="AF519" i="5"/>
  <c r="AF542" i="5"/>
  <c r="AF549" i="5"/>
  <c r="AF562" i="5"/>
  <c r="AF592" i="5"/>
  <c r="AF598" i="5"/>
  <c r="AF608" i="5"/>
  <c r="AF625" i="5"/>
  <c r="AF657" i="5"/>
  <c r="AF670" i="5"/>
  <c r="AF676" i="5"/>
  <c r="AF425" i="5"/>
  <c r="AF547" i="5"/>
  <c r="AF626" i="5"/>
  <c r="AF680" i="5"/>
  <c r="AF431" i="5"/>
  <c r="AF564" i="5"/>
  <c r="AF648" i="5"/>
  <c r="AF694" i="5"/>
  <c r="AF479" i="5"/>
  <c r="AF574" i="5"/>
  <c r="AF601" i="5"/>
  <c r="AF702" i="5"/>
  <c r="AF435" i="5"/>
  <c r="AF575" i="5"/>
  <c r="AF638" i="5"/>
  <c r="AF700" i="5"/>
  <c r="AF654" i="5"/>
  <c r="AF79" i="5"/>
  <c r="AF119" i="5"/>
  <c r="AF182" i="5"/>
  <c r="AF184" i="5"/>
  <c r="AF203" i="5"/>
  <c r="AF222" i="5"/>
  <c r="AF259" i="5"/>
  <c r="AF289" i="5"/>
  <c r="AF248" i="5"/>
  <c r="AF298" i="5"/>
  <c r="AF313" i="5"/>
  <c r="AF303" i="5"/>
  <c r="AF277" i="5"/>
  <c r="AF331" i="5"/>
  <c r="AF249" i="5"/>
  <c r="AF385" i="5"/>
  <c r="AF433" i="5"/>
  <c r="AF391" i="5"/>
  <c r="AF427" i="5"/>
  <c r="AF367" i="5"/>
  <c r="AF410" i="5"/>
  <c r="AF364" i="5"/>
  <c r="AF488" i="5"/>
  <c r="AF398" i="5"/>
  <c r="AF462" i="5"/>
  <c r="AF495" i="5"/>
  <c r="AF397" i="5"/>
  <c r="AF477" i="5"/>
  <c r="AF434" i="5"/>
  <c r="AF532" i="5"/>
  <c r="AF573" i="5"/>
  <c r="AF627" i="5"/>
  <c r="AF666" i="5"/>
  <c r="AF693" i="5"/>
  <c r="AF500" i="5"/>
  <c r="AF521" i="5"/>
  <c r="AF557" i="5"/>
  <c r="AF587" i="5"/>
  <c r="AF628" i="5"/>
  <c r="AF643" i="5"/>
  <c r="AF662" i="5"/>
  <c r="AF436" i="5"/>
  <c r="AF530" i="5"/>
  <c r="AF546" i="5"/>
  <c r="AF580" i="5"/>
  <c r="AF603" i="5"/>
  <c r="AF635" i="5"/>
  <c r="AF673" i="5"/>
  <c r="AF482" i="5"/>
  <c r="AF649" i="5"/>
  <c r="AF704" i="5"/>
  <c r="AF591" i="5"/>
  <c r="AF701" i="5"/>
  <c r="AF545" i="5"/>
  <c r="AF623" i="5"/>
  <c r="AF539" i="5"/>
  <c r="AF652" i="5"/>
  <c r="AF611" i="5"/>
  <c r="AF126" i="5"/>
  <c r="AF178" i="5"/>
  <c r="AF271" i="5"/>
  <c r="AF317" i="5"/>
  <c r="AF324" i="5"/>
  <c r="AF412" i="5"/>
  <c r="AF409" i="5"/>
  <c r="AF383" i="5"/>
  <c r="AF376" i="5"/>
  <c r="AF512" i="5"/>
  <c r="AF478" i="5"/>
  <c r="AF428" i="5"/>
  <c r="AF379" i="5"/>
  <c r="AF534" i="5"/>
  <c r="AF629" i="5"/>
  <c r="AF438" i="5"/>
  <c r="AF526" i="5"/>
  <c r="AF593" i="5"/>
  <c r="AF644" i="5"/>
  <c r="AF695" i="5"/>
  <c r="AF536" i="5"/>
  <c r="AF581" i="5"/>
  <c r="AF651" i="5"/>
  <c r="AF691" i="5"/>
  <c r="AF667" i="5"/>
  <c r="AF630" i="5"/>
  <c r="AF589" i="5"/>
  <c r="AF572" i="5"/>
  <c r="AF22" i="5"/>
  <c r="AF37" i="5"/>
  <c r="AF46" i="5"/>
  <c r="AF43" i="5"/>
  <c r="AF60" i="5"/>
  <c r="AF74" i="5"/>
  <c r="AF95" i="5"/>
  <c r="AF65" i="5"/>
  <c r="AF87" i="5"/>
  <c r="AF98" i="5"/>
  <c r="AF127" i="5"/>
  <c r="AF132" i="5"/>
  <c r="AF136" i="5"/>
  <c r="AF157" i="5"/>
  <c r="AF175" i="5"/>
  <c r="AF113" i="5"/>
  <c r="AF179" i="5"/>
  <c r="AF128" i="5"/>
  <c r="AF194" i="5"/>
  <c r="AF218" i="5"/>
  <c r="AF202" i="5"/>
  <c r="AF238" i="5"/>
  <c r="AF215" i="5"/>
  <c r="AF236" i="5"/>
  <c r="AF255" i="5"/>
  <c r="AF282" i="5"/>
  <c r="AF305" i="5"/>
  <c r="AF214" i="5"/>
  <c r="AF264" i="5"/>
  <c r="AF292" i="5"/>
  <c r="AF327" i="5"/>
  <c r="AF308" i="5"/>
  <c r="AF241" i="5"/>
  <c r="AF285" i="5"/>
  <c r="AF339" i="5"/>
  <c r="AF250" i="5"/>
  <c r="AF290" i="5"/>
  <c r="AF345" i="5"/>
  <c r="AF378" i="5"/>
  <c r="AF335" i="5"/>
  <c r="AF372" i="5"/>
  <c r="AF404" i="5"/>
  <c r="AF420" i="5"/>
  <c r="AF350" i="5"/>
  <c r="AF390" i="5"/>
  <c r="AF399" i="5"/>
  <c r="AF418" i="5"/>
  <c r="AF340" i="5"/>
  <c r="AF355" i="5"/>
  <c r="AF380" i="5"/>
  <c r="AF407" i="5"/>
  <c r="AF316" i="5"/>
  <c r="AF359" i="5"/>
  <c r="AF437" i="5"/>
  <c r="AF473" i="5"/>
  <c r="AF509" i="5"/>
  <c r="AF371" i="5"/>
  <c r="AF430" i="5"/>
  <c r="AF461" i="5"/>
  <c r="AF472" i="5"/>
  <c r="AF481" i="5"/>
  <c r="AF507" i="5"/>
  <c r="AF369" i="5"/>
  <c r="AF441" i="5"/>
  <c r="AF468" i="5"/>
  <c r="AF489" i="5"/>
  <c r="AF394" i="5"/>
  <c r="AF493" i="5"/>
  <c r="AF531" i="5"/>
  <c r="AF540" i="5"/>
  <c r="AF570" i="5"/>
  <c r="AF595" i="5"/>
  <c r="AF620" i="5"/>
  <c r="AF640" i="5"/>
  <c r="AF665" i="5"/>
  <c r="AF679" i="5"/>
  <c r="AF688" i="5"/>
  <c r="AF455" i="5"/>
  <c r="AF474" i="5"/>
  <c r="AF520" i="5"/>
  <c r="AF529" i="5"/>
  <c r="AF555" i="5"/>
  <c r="AF565" i="5"/>
  <c r="AF584" i="5"/>
  <c r="AF610" i="5"/>
  <c r="AF619" i="5"/>
  <c r="AF642" i="5"/>
  <c r="AF653" i="5"/>
  <c r="AF661" i="5"/>
  <c r="AF674" i="5"/>
  <c r="AF421" i="5"/>
  <c r="AF453" i="5"/>
  <c r="AF528" i="5"/>
  <c r="AF543" i="5"/>
  <c r="AF552" i="5"/>
  <c r="AF567" i="5"/>
  <c r="AF594" i="5"/>
  <c r="AF602" i="5"/>
  <c r="AF615" i="5"/>
  <c r="AF631" i="5"/>
  <c r="AF660" i="5"/>
  <c r="AF672" i="5"/>
  <c r="AF682" i="5"/>
  <c r="AF451" i="5"/>
  <c r="AF582" i="5"/>
  <c r="AF633" i="5"/>
  <c r="AF698" i="5"/>
  <c r="AF535" i="5"/>
  <c r="AF568" i="5"/>
  <c r="AF669" i="5"/>
  <c r="AF699" i="5"/>
  <c r="AF517" i="5"/>
  <c r="AF585" i="5"/>
  <c r="AF604" i="5"/>
  <c r="AF705" i="5"/>
  <c r="AF522" i="5"/>
  <c r="AF576" i="5"/>
  <c r="AF639" i="5"/>
  <c r="AF687" i="5"/>
  <c r="AF707" i="5"/>
  <c r="AF20" i="5"/>
  <c r="AF33" i="5"/>
  <c r="AF36" i="5"/>
  <c r="AF56" i="5"/>
  <c r="AF64" i="5"/>
  <c r="AF78" i="5"/>
  <c r="AF69" i="5"/>
  <c r="AF102" i="5"/>
  <c r="AF112" i="5"/>
  <c r="AF138" i="5"/>
  <c r="AF133" i="5"/>
  <c r="AF144" i="5"/>
  <c r="AF180" i="5"/>
  <c r="AF153" i="5"/>
  <c r="AF142" i="5"/>
  <c r="AF225" i="5"/>
  <c r="AF146" i="5"/>
  <c r="AF164" i="5"/>
  <c r="AF322" i="5"/>
  <c r="AF266" i="5"/>
  <c r="AF275" i="5"/>
  <c r="AF245" i="5"/>
  <c r="AF216" i="5"/>
  <c r="AF346" i="5"/>
  <c r="AF353" i="5"/>
  <c r="AF406" i="5"/>
  <c r="AF357" i="5"/>
  <c r="AF403" i="5"/>
  <c r="AF348" i="5"/>
  <c r="AF381" i="5"/>
  <c r="AF242" i="5"/>
  <c r="AF443" i="5"/>
  <c r="AF510" i="5"/>
  <c r="AF442" i="5"/>
  <c r="AF475" i="5"/>
  <c r="AF508" i="5"/>
  <c r="AF460" i="5"/>
  <c r="AF502" i="5"/>
  <c r="AF503" i="5"/>
  <c r="AF559" i="5"/>
  <c r="AF599" i="5"/>
  <c r="AF641" i="5"/>
  <c r="AF681" i="5"/>
  <c r="AF459" i="5"/>
  <c r="AF538" i="5"/>
  <c r="AF571" i="5"/>
  <c r="AF612" i="5"/>
  <c r="AF656" i="5"/>
  <c r="AF683" i="5"/>
  <c r="AF498" i="5"/>
  <c r="AF554" i="5"/>
  <c r="AF596" i="5"/>
  <c r="AF621" i="5"/>
  <c r="AF663" i="5"/>
  <c r="AF689" i="5"/>
  <c r="AF590" i="5"/>
  <c r="AF550" i="5"/>
  <c r="AF690" i="5"/>
  <c r="AF588" i="5"/>
  <c r="AF706" i="5"/>
  <c r="AF606" i="5"/>
  <c r="AF23" i="5"/>
  <c r="AF40" i="5"/>
  <c r="AF66" i="5"/>
  <c r="AF84" i="5"/>
  <c r="AF108" i="5"/>
  <c r="AF147" i="5"/>
  <c r="AF125" i="5"/>
  <c r="AF165" i="5"/>
  <c r="AF174" i="5"/>
  <c r="AF228" i="5"/>
  <c r="AF229" i="5"/>
  <c r="AF269" i="5"/>
  <c r="AF183" i="5"/>
  <c r="AF312" i="5"/>
  <c r="AF314" i="5"/>
  <c r="AF226" i="5"/>
  <c r="AF332" i="5"/>
  <c r="AF360" i="5"/>
  <c r="AF265" i="5"/>
  <c r="AF395" i="5"/>
  <c r="AF351" i="5"/>
  <c r="AF422" i="5"/>
  <c r="AF446" i="5"/>
  <c r="AF417" i="5"/>
  <c r="AF465" i="5"/>
  <c r="AF513" i="5"/>
  <c r="AF483" i="5"/>
  <c r="AF445" i="5"/>
  <c r="AF561" i="5"/>
  <c r="AF616" i="5"/>
  <c r="AF677" i="5"/>
  <c r="AF467" i="5"/>
  <c r="AF541" i="5"/>
  <c r="AF577" i="5"/>
  <c r="AF632" i="5"/>
  <c r="AF664" i="5"/>
  <c r="AF504" i="5"/>
  <c r="AF556" i="5"/>
  <c r="AF597" i="5"/>
  <c r="AF622" i="5"/>
  <c r="AF675" i="5"/>
  <c r="AF600" i="5"/>
  <c r="AF551" i="5"/>
  <c r="AF692" i="5"/>
  <c r="AF558" i="5"/>
  <c r="AF708" i="5"/>
  <c r="AF684" i="5"/>
  <c r="AF697" i="5"/>
  <c r="A677" i="6" l="1"/>
  <c r="A268" i="6"/>
  <c r="A148" i="6"/>
  <c r="A308" i="6"/>
  <c r="A530" i="6"/>
  <c r="A420" i="6"/>
  <c r="A130" i="6"/>
  <c r="A362" i="6"/>
  <c r="A274" i="6"/>
  <c r="A413" i="6"/>
  <c r="A32" i="6"/>
  <c r="A609" i="6"/>
  <c r="A428" i="6"/>
  <c r="A289" i="6"/>
  <c r="A401" i="6"/>
  <c r="A169" i="6"/>
  <c r="A596" i="6"/>
  <c r="A16" i="6"/>
  <c r="A443" i="6"/>
  <c r="A663" i="6"/>
  <c r="A64" i="6"/>
  <c r="A601" i="6"/>
  <c r="A161" i="6"/>
  <c r="A657" i="6"/>
  <c r="A471" i="6"/>
  <c r="A226" i="6"/>
  <c r="A103" i="6"/>
  <c r="A224" i="6"/>
  <c r="A181" i="6"/>
  <c r="A171" i="6"/>
  <c r="A451" i="6"/>
  <c r="A468" i="6"/>
  <c r="A119" i="6"/>
  <c r="G15" i="9"/>
  <c r="A514" i="6"/>
  <c r="A581" i="6"/>
  <c r="A625" i="6"/>
  <c r="A635" i="6"/>
  <c r="A69" i="6"/>
  <c r="A241" i="6"/>
  <c r="A378" i="6"/>
  <c r="A411" i="6"/>
  <c r="A399" i="6"/>
  <c r="A70" i="6"/>
  <c r="A141" i="6"/>
  <c r="A438" i="6"/>
  <c r="A363" i="6"/>
  <c r="A43" i="6"/>
  <c r="A559" i="6"/>
  <c r="A628" i="6"/>
  <c r="A194" i="6"/>
  <c r="A211" i="6"/>
  <c r="A164" i="6"/>
  <c r="A154" i="6"/>
  <c r="A457" i="6"/>
  <c r="A198" i="6"/>
  <c r="A266" i="6"/>
  <c r="A419" i="6"/>
  <c r="A38" i="6"/>
  <c r="A648" i="6"/>
  <c r="A373" i="6"/>
  <c r="A608" i="6"/>
  <c r="A244" i="6"/>
  <c r="A414" i="6"/>
  <c r="A137" i="6"/>
  <c r="C1" i="9"/>
  <c r="C17" i="10"/>
  <c r="A201" i="6"/>
  <c r="A205" i="6"/>
  <c r="A207" i="6"/>
  <c r="A93" i="6"/>
  <c r="A655" i="6"/>
  <c r="A538" i="6"/>
  <c r="A605" i="6"/>
  <c r="A168" i="6"/>
  <c r="A355" i="6"/>
  <c r="A672" i="6"/>
  <c r="A17" i="6"/>
  <c r="A27" i="6"/>
  <c r="A516" i="6"/>
  <c r="A343" i="6"/>
  <c r="A338" i="6"/>
  <c r="A257" i="6"/>
  <c r="A30" i="6"/>
  <c r="A564" i="6"/>
  <c r="A379" i="6"/>
  <c r="A539" i="6"/>
  <c r="A312" i="6"/>
  <c r="A642" i="6"/>
  <c r="A515" i="6"/>
  <c r="A300" i="6"/>
  <c r="A385" i="6"/>
  <c r="A26" i="6"/>
  <c r="A532" i="6"/>
  <c r="A109" i="6"/>
  <c r="A588" i="6"/>
  <c r="A114" i="6"/>
  <c r="A666" i="6"/>
  <c r="A299" i="6"/>
  <c r="A250" i="6"/>
  <c r="A78" i="6"/>
  <c r="A134" i="6"/>
  <c r="A356" i="6"/>
  <c r="A478" i="6"/>
  <c r="A664" i="6"/>
  <c r="A193" i="6"/>
  <c r="A701" i="6"/>
  <c r="A74" i="6"/>
  <c r="A254" i="6"/>
  <c r="A612" i="6"/>
  <c r="A593" i="6"/>
  <c r="A591" i="6"/>
  <c r="A531" i="6"/>
  <c r="A296" i="6"/>
  <c r="A446" i="6"/>
  <c r="A548" i="6"/>
  <c r="A49" i="6"/>
  <c r="A252" i="6"/>
  <c r="A365" i="6"/>
  <c r="A703" i="6"/>
  <c r="A511" i="6"/>
  <c r="A416" i="6"/>
  <c r="A469" i="6"/>
  <c r="A523" i="6"/>
  <c r="A339" i="6"/>
  <c r="A283" i="6"/>
  <c r="A627" i="6"/>
  <c r="A202" i="6"/>
  <c r="A99" i="6"/>
  <c r="A372" i="6"/>
  <c r="A640" i="6"/>
  <c r="A404" i="6"/>
  <c r="A58" i="6"/>
  <c r="A565" i="6"/>
  <c r="A688" i="6"/>
  <c r="A463" i="6"/>
  <c r="H15" i="10"/>
  <c r="A108" i="6"/>
  <c r="A29" i="6"/>
  <c r="A513" i="6"/>
  <c r="A366" i="6"/>
  <c r="A269" i="6"/>
  <c r="A145" i="6"/>
  <c r="A709" i="6"/>
  <c r="A678" i="6"/>
  <c r="A120" i="6"/>
  <c r="A189" i="6"/>
  <c r="A290" i="6"/>
  <c r="A550" i="6"/>
  <c r="A59" i="6"/>
  <c r="A219" i="6"/>
  <c r="A106" i="6"/>
  <c r="A336" i="6"/>
  <c r="A652" i="6"/>
  <c r="A432" i="6"/>
  <c r="A92" i="6"/>
  <c r="A261" i="6"/>
  <c r="A686" i="6"/>
  <c r="A294" i="6"/>
  <c r="A527" i="6"/>
  <c r="B18" i="7"/>
  <c r="T718" i="6"/>
  <c r="T717" i="6"/>
  <c r="T716" i="6"/>
  <c r="J12" i="9"/>
  <c r="J11" i="9" s="1"/>
  <c r="AB717" i="6"/>
  <c r="A14" i="12"/>
  <c r="B14" i="5"/>
  <c r="S70" i="4"/>
  <c r="S110" i="4"/>
  <c r="A48" i="4"/>
  <c r="C47" i="4"/>
  <c r="C28" i="4"/>
  <c r="A29" i="4"/>
  <c r="J15" i="11"/>
  <c r="I15" i="13" s="1"/>
  <c r="J14" i="11"/>
  <c r="I14" i="13" s="1"/>
  <c r="I96" i="4"/>
  <c r="I95" i="4"/>
  <c r="I122" i="4"/>
  <c r="I103" i="4"/>
  <c r="I116" i="4"/>
  <c r="I120" i="4"/>
  <c r="I132" i="4"/>
  <c r="I100" i="4"/>
  <c r="I119" i="4"/>
  <c r="I107" i="4"/>
  <c r="I112" i="4"/>
  <c r="I115" i="4"/>
  <c r="I117" i="4"/>
  <c r="A5" i="4"/>
  <c r="C4" i="4"/>
  <c r="K92" i="4"/>
  <c r="K90" i="4"/>
  <c r="C35" i="4"/>
  <c r="A36" i="4"/>
  <c r="C16" i="4"/>
  <c r="A17" i="4"/>
  <c r="AL13" i="6"/>
  <c r="I101" i="4"/>
  <c r="C18" i="10"/>
  <c r="B19" i="10"/>
  <c r="B20" i="10" s="1"/>
  <c r="C20" i="10" s="1"/>
  <c r="I108" i="4"/>
  <c r="K132" i="4"/>
  <c r="K131" i="4"/>
  <c r="K130" i="4"/>
  <c r="Z22" i="4"/>
  <c r="C22" i="4"/>
  <c r="A23" i="4"/>
  <c r="H16" i="5"/>
  <c r="W16" i="5"/>
  <c r="H16" i="12" s="1"/>
  <c r="N16" i="5"/>
  <c r="D16" i="6" s="1"/>
  <c r="CL16" i="6" s="1"/>
  <c r="G16" i="5"/>
  <c r="Z23" i="4"/>
  <c r="X23" i="4"/>
  <c r="Y23" i="4"/>
  <c r="BD13" i="6"/>
  <c r="BC12" i="6"/>
  <c r="A18" i="11"/>
  <c r="AD16" i="5" s="1"/>
  <c r="E18" i="13"/>
  <c r="K14" i="5"/>
  <c r="AE14" i="5"/>
  <c r="J14" i="5"/>
  <c r="F14" i="5"/>
  <c r="B14" i="6"/>
  <c r="E22" i="13"/>
  <c r="Y22" i="4"/>
  <c r="N9" i="10"/>
  <c r="K28" i="10"/>
  <c r="M28" i="10" s="1"/>
  <c r="O28" i="10" s="1"/>
  <c r="Q28" i="10" s="1"/>
  <c r="S28" i="10" s="1"/>
  <c r="U28" i="10" s="1"/>
  <c r="W28" i="10" s="1"/>
  <c r="Y28" i="10" s="1"/>
  <c r="AA28" i="10" s="1"/>
  <c r="AC28" i="10" s="1"/>
  <c r="AE28" i="10" s="1"/>
  <c r="AB716" i="6"/>
  <c r="D14" i="5"/>
  <c r="B14" i="12" s="1"/>
  <c r="AD14" i="5"/>
  <c r="N14" i="5"/>
  <c r="D14" i="6" s="1"/>
  <c r="H14" i="6" s="1"/>
  <c r="T14" i="5" s="1"/>
  <c r="G14" i="12" s="1"/>
  <c r="I716" i="6"/>
  <c r="I717" i="6"/>
  <c r="W38" i="10"/>
  <c r="B17" i="9"/>
  <c r="C16" i="9"/>
  <c r="B37" i="14"/>
  <c r="B39" i="14"/>
  <c r="E28" i="14"/>
  <c r="C14" i="14"/>
  <c r="K12" i="9"/>
  <c r="C19" i="10"/>
  <c r="F5" i="5"/>
  <c r="A650" i="6"/>
  <c r="A248" i="6"/>
  <c r="A297" i="6"/>
  <c r="A278" i="6"/>
  <c r="A526" i="6"/>
  <c r="A439" i="6"/>
  <c r="A319" i="6"/>
  <c r="A223" i="6"/>
  <c r="A298" i="6"/>
  <c r="A245" i="6"/>
  <c r="A118" i="6"/>
  <c r="A255" i="6"/>
  <c r="A667" i="6"/>
  <c r="A304" i="6"/>
  <c r="A230" i="6"/>
  <c r="A208" i="6"/>
  <c r="A391" i="6"/>
  <c r="A589" i="6"/>
  <c r="A537" i="6"/>
  <c r="A364" i="6"/>
  <c r="A506" i="6"/>
  <c r="A412" i="6"/>
  <c r="A346" i="6"/>
  <c r="A674" i="6"/>
  <c r="A265" i="6"/>
  <c r="A317" i="6"/>
  <c r="A455" i="6"/>
  <c r="A191" i="6"/>
  <c r="A649" i="6"/>
  <c r="A476" i="6"/>
  <c r="A236" i="6"/>
  <c r="A210" i="6"/>
  <c r="A644" i="6"/>
  <c r="A47" i="6"/>
  <c r="A673" i="6"/>
  <c r="A153" i="6"/>
  <c r="A615" i="6"/>
  <c r="A240" i="6"/>
  <c r="A57" i="6"/>
  <c r="A125" i="6"/>
  <c r="A284" i="6"/>
  <c r="A396" i="6"/>
  <c r="A558" i="6"/>
  <c r="A503" i="6"/>
  <c r="A251" i="6"/>
  <c r="A638" i="6"/>
  <c r="A24" i="6"/>
  <c r="A295" i="6"/>
  <c r="A18" i="6"/>
  <c r="A323" i="6"/>
  <c r="A555" i="6"/>
  <c r="A520" i="6"/>
  <c r="A421" i="6"/>
  <c r="A626" i="6"/>
  <c r="A83" i="6"/>
  <c r="A124" i="6"/>
  <c r="A25" i="6"/>
  <c r="A594" i="6"/>
  <c r="A256" i="6"/>
  <c r="A528" i="6"/>
  <c r="A542" i="6"/>
  <c r="A351" i="6"/>
  <c r="A76" i="6"/>
  <c r="A332" i="6"/>
  <c r="A82" i="6"/>
  <c r="A246" i="6"/>
  <c r="A502" i="6"/>
  <c r="A72" i="6"/>
  <c r="A204" i="6"/>
  <c r="A498" i="6"/>
  <c r="A540" i="6"/>
  <c r="A500" i="6"/>
  <c r="A584" i="6"/>
  <c r="A326" i="6"/>
  <c r="A22" i="6"/>
  <c r="A111" i="6"/>
  <c r="A525" i="6"/>
  <c r="A431" i="6"/>
  <c r="A166" i="6"/>
  <c r="A260" i="6"/>
  <c r="A470" i="6"/>
  <c r="A155" i="6"/>
  <c r="A288" i="6"/>
  <c r="A407" i="6"/>
  <c r="A405" i="6"/>
  <c r="A263" i="6"/>
  <c r="A402" i="6"/>
  <c r="A599" i="6"/>
  <c r="A427" i="6"/>
  <c r="A156" i="6"/>
  <c r="A75" i="6"/>
  <c r="A668" i="6"/>
  <c r="A643" i="6"/>
  <c r="A42" i="6"/>
  <c r="A242" i="6"/>
  <c r="A374" i="6"/>
  <c r="A182" i="6"/>
  <c r="A691" i="6"/>
  <c r="A152" i="6"/>
  <c r="A287" i="6"/>
  <c r="A682" i="6"/>
  <c r="A214" i="6"/>
  <c r="A708" i="6"/>
  <c r="A639" i="6"/>
  <c r="A95" i="6"/>
  <c r="A62" i="6"/>
  <c r="A675" i="6"/>
  <c r="A600" i="6"/>
  <c r="A549" i="6"/>
  <c r="A330" i="6"/>
  <c r="A44" i="6"/>
  <c r="A178" i="6"/>
  <c r="A361" i="6"/>
  <c r="A160" i="6"/>
  <c r="A71" i="6"/>
  <c r="A695" i="6"/>
  <c r="A279" i="6"/>
  <c r="A176" i="6"/>
  <c r="A434" i="6"/>
  <c r="A220" i="6"/>
  <c r="A572" i="6"/>
  <c r="A620" i="6"/>
  <c r="A188" i="6"/>
  <c r="A334" i="6"/>
  <c r="A692" i="6"/>
  <c r="A87" i="6"/>
  <c r="A552" i="6"/>
  <c r="A656" i="6"/>
  <c r="A651" i="6"/>
  <c r="A90" i="6"/>
  <c r="A183" i="6"/>
  <c r="A325" i="6"/>
  <c r="A554" i="6"/>
  <c r="A436" i="6"/>
  <c r="A33" i="6"/>
  <c r="A494" i="6"/>
  <c r="A445" i="6"/>
  <c r="A163" i="6"/>
  <c r="A474" i="6"/>
  <c r="A423" i="6"/>
  <c r="A212" i="6"/>
  <c r="C1" i="10"/>
  <c r="A521" i="6"/>
  <c r="A689" i="6"/>
  <c r="A647" i="6"/>
  <c r="A454" i="6"/>
  <c r="A563" i="6"/>
  <c r="A694" i="6"/>
  <c r="A466" i="6"/>
  <c r="A422" i="6"/>
  <c r="A509" i="6"/>
  <c r="A14" i="6"/>
  <c r="A658" i="6"/>
  <c r="A45" i="6"/>
  <c r="A272" i="6"/>
  <c r="A243" i="6"/>
  <c r="A613" i="6"/>
  <c r="A512" i="6"/>
  <c r="A545" i="6"/>
  <c r="A441" i="6"/>
  <c r="A348" i="6"/>
  <c r="S30" i="4"/>
  <c r="AG707" i="5"/>
  <c r="S654" i="5"/>
  <c r="F654" i="12" s="1"/>
  <c r="AG654" i="5"/>
  <c r="U654" i="5" s="1"/>
  <c r="S697" i="5"/>
  <c r="F697" i="12" s="1"/>
  <c r="AG697" i="5"/>
  <c r="U697" i="5" s="1"/>
  <c r="AG611" i="5"/>
  <c r="U611" i="5" s="1"/>
  <c r="S611" i="5"/>
  <c r="F611" i="12" s="1"/>
  <c r="S687" i="5"/>
  <c r="F687" i="12" s="1"/>
  <c r="AG687" i="5"/>
  <c r="U687" i="5" s="1"/>
  <c r="AG700" i="5"/>
  <c r="U700" i="5" s="1"/>
  <c r="S700" i="5"/>
  <c r="F700" i="12" s="1"/>
  <c r="AG684" i="5"/>
  <c r="U684" i="5" s="1"/>
  <c r="S684" i="5"/>
  <c r="F684" i="12" s="1"/>
  <c r="AG652" i="5"/>
  <c r="U652" i="5" s="1"/>
  <c r="S652" i="5"/>
  <c r="F652" i="12" s="1"/>
  <c r="AG639" i="5"/>
  <c r="U639" i="5" s="1"/>
  <c r="S639" i="5"/>
  <c r="F639" i="12" s="1"/>
  <c r="S638" i="5"/>
  <c r="F638" i="12" s="1"/>
  <c r="AG638" i="5"/>
  <c r="U638" i="5" s="1"/>
  <c r="AG617" i="5"/>
  <c r="U617" i="5" s="1"/>
  <c r="S617" i="5"/>
  <c r="F617" i="12" s="1"/>
  <c r="AG606" i="5"/>
  <c r="U606" i="5" s="1"/>
  <c r="S606" i="5"/>
  <c r="F606" i="12" s="1"/>
  <c r="AG576" i="5"/>
  <c r="U576" i="5" s="1"/>
  <c r="S576" i="5"/>
  <c r="F576" i="12" s="1"/>
  <c r="S575" i="5"/>
  <c r="F575" i="12" s="1"/>
  <c r="AG575" i="5"/>
  <c r="U575" i="5" s="1"/>
  <c r="AG572" i="5"/>
  <c r="U572" i="5" s="1"/>
  <c r="S572" i="5"/>
  <c r="F572" i="12" s="1"/>
  <c r="S539" i="5"/>
  <c r="F539" i="12" s="1"/>
  <c r="AG539" i="5"/>
  <c r="U539" i="5" s="1"/>
  <c r="AG522" i="5"/>
  <c r="U522" i="5" s="1"/>
  <c r="S522" i="5"/>
  <c r="F522" i="12" s="1"/>
  <c r="S435" i="5"/>
  <c r="F435" i="12" s="1"/>
  <c r="AG435" i="5"/>
  <c r="U435" i="5" s="1"/>
  <c r="S708" i="5"/>
  <c r="F708" i="12" s="1"/>
  <c r="AG708" i="5"/>
  <c r="U708" i="5" s="1"/>
  <c r="AG706" i="5"/>
  <c r="U706" i="5" s="1"/>
  <c r="S706" i="5"/>
  <c r="F706" i="12" s="1"/>
  <c r="AG705" i="5"/>
  <c r="U705" i="5" s="1"/>
  <c r="S705" i="5"/>
  <c r="F705" i="12" s="1"/>
  <c r="AG702" i="5"/>
  <c r="S646" i="5"/>
  <c r="F646" i="12" s="1"/>
  <c r="AG646" i="5"/>
  <c r="U646" i="5" s="1"/>
  <c r="S623" i="5"/>
  <c r="F623" i="12" s="1"/>
  <c r="AG623" i="5"/>
  <c r="U623" i="5" s="1"/>
  <c r="AG604" i="5"/>
  <c r="U604" i="5" s="1"/>
  <c r="S604" i="5"/>
  <c r="F604" i="12" s="1"/>
  <c r="AG601" i="5"/>
  <c r="U601" i="5" s="1"/>
  <c r="S601" i="5"/>
  <c r="F601" i="12" s="1"/>
  <c r="S589" i="5"/>
  <c r="F589" i="12" s="1"/>
  <c r="AG589" i="5"/>
  <c r="U589" i="5" s="1"/>
  <c r="S588" i="5"/>
  <c r="F588" i="12" s="1"/>
  <c r="AG588" i="5"/>
  <c r="U588" i="5" s="1"/>
  <c r="S585" i="5"/>
  <c r="F585" i="12" s="1"/>
  <c r="AG585" i="5"/>
  <c r="U585" i="5" s="1"/>
  <c r="S574" i="5"/>
  <c r="F574" i="12" s="1"/>
  <c r="AG574" i="5"/>
  <c r="U574" i="5" s="1"/>
  <c r="S558" i="5"/>
  <c r="F558" i="12" s="1"/>
  <c r="AG558" i="5"/>
  <c r="U558" i="5" s="1"/>
  <c r="AG545" i="5"/>
  <c r="U545" i="5" s="1"/>
  <c r="S545" i="5"/>
  <c r="F545" i="12" s="1"/>
  <c r="S517" i="5"/>
  <c r="F517" i="12" s="1"/>
  <c r="AG517" i="5"/>
  <c r="U517" i="5" s="1"/>
  <c r="AG479" i="5"/>
  <c r="U479" i="5" s="1"/>
  <c r="S479" i="5"/>
  <c r="F479" i="12" s="1"/>
  <c r="AG703" i="5"/>
  <c r="AG701" i="5"/>
  <c r="U701" i="5" s="1"/>
  <c r="S701" i="5"/>
  <c r="F701" i="12" s="1"/>
  <c r="AG699" i="5"/>
  <c r="U699" i="5" s="1"/>
  <c r="AG694" i="5"/>
  <c r="U694" i="5" s="1"/>
  <c r="S694" i="5"/>
  <c r="F694" i="12" s="1"/>
  <c r="S692" i="5"/>
  <c r="F692" i="12" s="1"/>
  <c r="AG692" i="5"/>
  <c r="U692" i="5" s="1"/>
  <c r="AG690" i="5"/>
  <c r="U690" i="5" s="1"/>
  <c r="S690" i="5"/>
  <c r="F690" i="12" s="1"/>
  <c r="AG669" i="5"/>
  <c r="U669" i="5" s="1"/>
  <c r="S669" i="5"/>
  <c r="F669" i="12" s="1"/>
  <c r="S648" i="5"/>
  <c r="F648" i="12" s="1"/>
  <c r="AG648" i="5"/>
  <c r="U648" i="5" s="1"/>
  <c r="AG630" i="5"/>
  <c r="U630" i="5" s="1"/>
  <c r="S630" i="5"/>
  <c r="F630" i="12" s="1"/>
  <c r="AG591" i="5"/>
  <c r="U591" i="5" s="1"/>
  <c r="S591" i="5"/>
  <c r="F591" i="12" s="1"/>
  <c r="AG568" i="5"/>
  <c r="U568" i="5" s="1"/>
  <c r="S568" i="5"/>
  <c r="F568" i="12" s="1"/>
  <c r="AG564" i="5"/>
  <c r="U564" i="5" s="1"/>
  <c r="S564" i="5"/>
  <c r="F564" i="12" s="1"/>
  <c r="AG551" i="5"/>
  <c r="U551" i="5" s="1"/>
  <c r="S551" i="5"/>
  <c r="F551" i="12" s="1"/>
  <c r="S550" i="5"/>
  <c r="F550" i="12" s="1"/>
  <c r="AG550" i="5"/>
  <c r="U550" i="5" s="1"/>
  <c r="AG535" i="5"/>
  <c r="AG431" i="5"/>
  <c r="U431" i="5" s="1"/>
  <c r="S431" i="5"/>
  <c r="F431" i="12" s="1"/>
  <c r="AG709" i="5"/>
  <c r="U709" i="5" s="1"/>
  <c r="S709" i="5"/>
  <c r="F709" i="12" s="1"/>
  <c r="AG704" i="5"/>
  <c r="U704" i="5" s="1"/>
  <c r="S704" i="5"/>
  <c r="F704" i="12" s="1"/>
  <c r="AG698" i="5"/>
  <c r="U698" i="5" s="1"/>
  <c r="S698" i="5"/>
  <c r="F698" i="12" s="1"/>
  <c r="S680" i="5"/>
  <c r="F680" i="12" s="1"/>
  <c r="AG680" i="5"/>
  <c r="U680" i="5" s="1"/>
  <c r="AG667" i="5"/>
  <c r="U667" i="5" s="1"/>
  <c r="S667" i="5"/>
  <c r="F667" i="12" s="1"/>
  <c r="S649" i="5"/>
  <c r="F649" i="12" s="1"/>
  <c r="AG649" i="5"/>
  <c r="U649" i="5" s="1"/>
  <c r="S633" i="5"/>
  <c r="F633" i="12" s="1"/>
  <c r="AG633" i="5"/>
  <c r="U633" i="5" s="1"/>
  <c r="S626" i="5"/>
  <c r="F626" i="12" s="1"/>
  <c r="AG626" i="5"/>
  <c r="U626" i="5" s="1"/>
  <c r="AG600" i="5"/>
  <c r="AG590" i="5"/>
  <c r="U590" i="5" s="1"/>
  <c r="S590" i="5"/>
  <c r="F590" i="12" s="1"/>
  <c r="AG582" i="5"/>
  <c r="U582" i="5" s="1"/>
  <c r="S582" i="5"/>
  <c r="F582" i="12" s="1"/>
  <c r="AG547" i="5"/>
  <c r="U547" i="5" s="1"/>
  <c r="S547" i="5"/>
  <c r="F547" i="12" s="1"/>
  <c r="AG491" i="5"/>
  <c r="AG482" i="5"/>
  <c r="AG451" i="5"/>
  <c r="U451" i="5" s="1"/>
  <c r="S451" i="5"/>
  <c r="F451" i="12" s="1"/>
  <c r="AG425" i="5"/>
  <c r="U425" i="5" s="1"/>
  <c r="S425" i="5"/>
  <c r="F425" i="12" s="1"/>
  <c r="S691" i="5"/>
  <c r="F691" i="12" s="1"/>
  <c r="AG691" i="5"/>
  <c r="U691" i="5" s="1"/>
  <c r="S689" i="5"/>
  <c r="F689" i="12" s="1"/>
  <c r="AG689" i="5"/>
  <c r="U689" i="5" s="1"/>
  <c r="AG682" i="5"/>
  <c r="U682" i="5" s="1"/>
  <c r="S682" i="5"/>
  <c r="F682" i="12" s="1"/>
  <c r="S676" i="5"/>
  <c r="F676" i="12" s="1"/>
  <c r="AG676" i="5"/>
  <c r="U676" i="5" s="1"/>
  <c r="AG675" i="5"/>
  <c r="U675" i="5" s="1"/>
  <c r="S675" i="5"/>
  <c r="F675" i="12" s="1"/>
  <c r="AG673" i="5"/>
  <c r="U673" i="5" s="1"/>
  <c r="S673" i="5"/>
  <c r="F673" i="12" s="1"/>
  <c r="AG672" i="5"/>
  <c r="U672" i="5" s="1"/>
  <c r="AG670" i="5"/>
  <c r="U670" i="5" s="1"/>
  <c r="S670" i="5"/>
  <c r="F670" i="12" s="1"/>
  <c r="AG668" i="5"/>
  <c r="AG663" i="5"/>
  <c r="U663" i="5" s="1"/>
  <c r="S663" i="5"/>
  <c r="F663" i="12" s="1"/>
  <c r="AG660" i="5"/>
  <c r="U660" i="5" s="1"/>
  <c r="S660" i="5"/>
  <c r="F660" i="12" s="1"/>
  <c r="AG657" i="5"/>
  <c r="S651" i="5"/>
  <c r="F651" i="12" s="1"/>
  <c r="AG651" i="5"/>
  <c r="U651" i="5" s="1"/>
  <c r="AG635" i="5"/>
  <c r="U635" i="5" s="1"/>
  <c r="S635" i="5"/>
  <c r="F635" i="12" s="1"/>
  <c r="AG631" i="5"/>
  <c r="U631" i="5" s="1"/>
  <c r="S631" i="5"/>
  <c r="F631" i="12" s="1"/>
  <c r="S625" i="5"/>
  <c r="F625" i="12" s="1"/>
  <c r="AG625" i="5"/>
  <c r="U625" i="5" s="1"/>
  <c r="AG622" i="5"/>
  <c r="U622" i="5" s="1"/>
  <c r="S622" i="5"/>
  <c r="F622" i="12" s="1"/>
  <c r="S621" i="5"/>
  <c r="F621" i="12" s="1"/>
  <c r="AG621" i="5"/>
  <c r="U621" i="5" s="1"/>
  <c r="S615" i="5"/>
  <c r="F615" i="12" s="1"/>
  <c r="AG615" i="5"/>
  <c r="U615" i="5" s="1"/>
  <c r="AG608" i="5"/>
  <c r="U608" i="5" s="1"/>
  <c r="S608" i="5"/>
  <c r="F608" i="12" s="1"/>
  <c r="S605" i="5"/>
  <c r="F605" i="12" s="1"/>
  <c r="AG605" i="5"/>
  <c r="U605" i="5" s="1"/>
  <c r="S603" i="5"/>
  <c r="F603" i="12" s="1"/>
  <c r="AG603" i="5"/>
  <c r="U603" i="5" s="1"/>
  <c r="S602" i="5"/>
  <c r="F602" i="12" s="1"/>
  <c r="AG602" i="5"/>
  <c r="U602" i="5" s="1"/>
  <c r="S598" i="5"/>
  <c r="F598" i="12" s="1"/>
  <c r="AG598" i="5"/>
  <c r="U598" i="5" s="1"/>
  <c r="AG597" i="5"/>
  <c r="U597" i="5" s="1"/>
  <c r="S597" i="5"/>
  <c r="F597" i="12" s="1"/>
  <c r="AG596" i="5"/>
  <c r="U596" i="5" s="1"/>
  <c r="S596" i="5"/>
  <c r="F596" i="12" s="1"/>
  <c r="S594" i="5"/>
  <c r="F594" i="12" s="1"/>
  <c r="AG594" i="5"/>
  <c r="U594" i="5" s="1"/>
  <c r="AG592" i="5"/>
  <c r="S581" i="5"/>
  <c r="F581" i="12" s="1"/>
  <c r="AG581" i="5"/>
  <c r="U581" i="5" s="1"/>
  <c r="AG580" i="5"/>
  <c r="U580" i="5" s="1"/>
  <c r="AG567" i="5"/>
  <c r="U567" i="5" s="1"/>
  <c r="S567" i="5"/>
  <c r="F567" i="12" s="1"/>
  <c r="AG562" i="5"/>
  <c r="U562" i="5" s="1"/>
  <c r="S562" i="5"/>
  <c r="F562" i="12" s="1"/>
  <c r="AG556" i="5"/>
  <c r="U556" i="5" s="1"/>
  <c r="S556" i="5"/>
  <c r="F556" i="12" s="1"/>
  <c r="AG554" i="5"/>
  <c r="AG552" i="5"/>
  <c r="U552" i="5" s="1"/>
  <c r="S552" i="5"/>
  <c r="F552" i="12" s="1"/>
  <c r="S549" i="5"/>
  <c r="F549" i="12" s="1"/>
  <c r="AG549" i="5"/>
  <c r="U549" i="5" s="1"/>
  <c r="AG548" i="5"/>
  <c r="U548" i="5" s="1"/>
  <c r="S548" i="5"/>
  <c r="F548" i="12" s="1"/>
  <c r="S546" i="5"/>
  <c r="F546" i="12" s="1"/>
  <c r="AG546" i="5"/>
  <c r="U546" i="5" s="1"/>
  <c r="S543" i="5"/>
  <c r="F543" i="12" s="1"/>
  <c r="AG543" i="5"/>
  <c r="U543" i="5" s="1"/>
  <c r="S542" i="5"/>
  <c r="F542" i="12" s="1"/>
  <c r="AG542" i="5"/>
  <c r="U542" i="5" s="1"/>
  <c r="S536" i="5"/>
  <c r="F536" i="12" s="1"/>
  <c r="AG536" i="5"/>
  <c r="U536" i="5" s="1"/>
  <c r="S530" i="5"/>
  <c r="F530" i="12" s="1"/>
  <c r="AG530" i="5"/>
  <c r="U530" i="5" s="1"/>
  <c r="AG528" i="5"/>
  <c r="AG519" i="5"/>
  <c r="U519" i="5" s="1"/>
  <c r="S519" i="5"/>
  <c r="F519" i="12" s="1"/>
  <c r="AG504" i="5"/>
  <c r="U504" i="5" s="1"/>
  <c r="S504" i="5"/>
  <c r="F504" i="12" s="1"/>
  <c r="AG498" i="5"/>
  <c r="U498" i="5" s="1"/>
  <c r="S498" i="5"/>
  <c r="F498" i="12" s="1"/>
  <c r="S453" i="5"/>
  <c r="F453" i="12" s="1"/>
  <c r="AG453" i="5"/>
  <c r="U453" i="5" s="1"/>
  <c r="S450" i="5"/>
  <c r="F450" i="12" s="1"/>
  <c r="AG450" i="5"/>
  <c r="U450" i="5" s="1"/>
  <c r="S449" i="5"/>
  <c r="F449" i="12" s="1"/>
  <c r="AG449" i="5"/>
  <c r="U449" i="5" s="1"/>
  <c r="S436" i="5"/>
  <c r="F436" i="12" s="1"/>
  <c r="AG436" i="5"/>
  <c r="U436" i="5" s="1"/>
  <c r="AG421" i="5"/>
  <c r="U421" i="5" s="1"/>
  <c r="S421" i="5"/>
  <c r="F421" i="12" s="1"/>
  <c r="AG696" i="5"/>
  <c r="U696" i="5" s="1"/>
  <c r="S696" i="5"/>
  <c r="F696" i="12" s="1"/>
  <c r="AG695" i="5"/>
  <c r="U695" i="5" s="1"/>
  <c r="S695" i="5"/>
  <c r="F695" i="12" s="1"/>
  <c r="S683" i="5"/>
  <c r="F683" i="12" s="1"/>
  <c r="AG683" i="5"/>
  <c r="U683" i="5" s="1"/>
  <c r="AG674" i="5"/>
  <c r="U674" i="5" s="1"/>
  <c r="S674" i="5"/>
  <c r="F674" i="12" s="1"/>
  <c r="S671" i="5"/>
  <c r="F671" i="12" s="1"/>
  <c r="AG671" i="5"/>
  <c r="U671" i="5" s="1"/>
  <c r="S664" i="5"/>
  <c r="F664" i="12" s="1"/>
  <c r="AG664" i="5"/>
  <c r="U664" i="5" s="1"/>
  <c r="AG662" i="5"/>
  <c r="U662" i="5" s="1"/>
  <c r="S662" i="5"/>
  <c r="F662" i="12" s="1"/>
  <c r="AG661" i="5"/>
  <c r="U661" i="5" s="1"/>
  <c r="S661" i="5"/>
  <c r="F661" i="12" s="1"/>
  <c r="AG659" i="5"/>
  <c r="U659" i="5" s="1"/>
  <c r="S659" i="5"/>
  <c r="F659" i="12" s="1"/>
  <c r="AG658" i="5"/>
  <c r="U658" i="5" s="1"/>
  <c r="S658" i="5"/>
  <c r="F658" i="12" s="1"/>
  <c r="AG656" i="5"/>
  <c r="U656" i="5" s="1"/>
  <c r="S656" i="5"/>
  <c r="F656" i="12" s="1"/>
  <c r="S653" i="5"/>
  <c r="F653" i="12" s="1"/>
  <c r="AG653" i="5"/>
  <c r="U653" i="5" s="1"/>
  <c r="S645" i="5"/>
  <c r="F645" i="12" s="1"/>
  <c r="AG645" i="5"/>
  <c r="U645" i="5" s="1"/>
  <c r="AG644" i="5"/>
  <c r="U644" i="5" s="1"/>
  <c r="S644" i="5"/>
  <c r="F644" i="12" s="1"/>
  <c r="AG643" i="5"/>
  <c r="U643" i="5" s="1"/>
  <c r="S643" i="5"/>
  <c r="F643" i="12" s="1"/>
  <c r="AG642" i="5"/>
  <c r="U642" i="5" s="1"/>
  <c r="S642" i="5"/>
  <c r="F642" i="12" s="1"/>
  <c r="AG636" i="5"/>
  <c r="U636" i="5" s="1"/>
  <c r="S632" i="5"/>
  <c r="F632" i="12" s="1"/>
  <c r="AG632" i="5"/>
  <c r="U632" i="5" s="1"/>
  <c r="AG628" i="5"/>
  <c r="S619" i="5"/>
  <c r="F619" i="12" s="1"/>
  <c r="AG619" i="5"/>
  <c r="U619" i="5" s="1"/>
  <c r="AG614" i="5"/>
  <c r="U614" i="5" s="1"/>
  <c r="S614" i="5"/>
  <c r="F614" i="12" s="1"/>
  <c r="AG613" i="5"/>
  <c r="U613" i="5" s="1"/>
  <c r="S613" i="5"/>
  <c r="F613" i="12" s="1"/>
  <c r="AG612" i="5"/>
  <c r="U612" i="5" s="1"/>
  <c r="S612" i="5"/>
  <c r="F612" i="12" s="1"/>
  <c r="S610" i="5"/>
  <c r="F610" i="12" s="1"/>
  <c r="AG610" i="5"/>
  <c r="U610" i="5" s="1"/>
  <c r="AG607" i="5"/>
  <c r="U607" i="5" s="1"/>
  <c r="S607" i="5"/>
  <c r="F607" i="12" s="1"/>
  <c r="AG593" i="5"/>
  <c r="U593" i="5" s="1"/>
  <c r="S593" i="5"/>
  <c r="F593" i="12" s="1"/>
  <c r="S587" i="5"/>
  <c r="F587" i="12" s="1"/>
  <c r="AG587" i="5"/>
  <c r="U587" i="5" s="1"/>
  <c r="S584" i="5"/>
  <c r="F584" i="12" s="1"/>
  <c r="AG584" i="5"/>
  <c r="U584" i="5" s="1"/>
  <c r="AG583" i="5"/>
  <c r="U583" i="5" s="1"/>
  <c r="S583" i="5"/>
  <c r="F583" i="12" s="1"/>
  <c r="S577" i="5"/>
  <c r="F577" i="12" s="1"/>
  <c r="AG577" i="5"/>
  <c r="U577" i="5" s="1"/>
  <c r="AG571" i="5"/>
  <c r="U571" i="5" s="1"/>
  <c r="S571" i="5"/>
  <c r="F571" i="12" s="1"/>
  <c r="S565" i="5"/>
  <c r="F565" i="12" s="1"/>
  <c r="AG565" i="5"/>
  <c r="U565" i="5" s="1"/>
  <c r="S563" i="5"/>
  <c r="F563" i="12" s="1"/>
  <c r="AG563" i="5"/>
  <c r="U563" i="5" s="1"/>
  <c r="S560" i="5"/>
  <c r="F560" i="12" s="1"/>
  <c r="AG560" i="5"/>
  <c r="U560" i="5" s="1"/>
  <c r="S557" i="5"/>
  <c r="F557" i="12" s="1"/>
  <c r="AG557" i="5"/>
  <c r="U557" i="5" s="1"/>
  <c r="AG555" i="5"/>
  <c r="U555" i="5" s="1"/>
  <c r="S555" i="5"/>
  <c r="F555" i="12" s="1"/>
  <c r="AG553" i="5"/>
  <c r="U553" i="5" s="1"/>
  <c r="S553" i="5"/>
  <c r="F553" i="12" s="1"/>
  <c r="S541" i="5"/>
  <c r="F541" i="12" s="1"/>
  <c r="AG541" i="5"/>
  <c r="U541" i="5" s="1"/>
  <c r="S538" i="5"/>
  <c r="F538" i="12" s="1"/>
  <c r="AG538" i="5"/>
  <c r="U538" i="5" s="1"/>
  <c r="AG529" i="5"/>
  <c r="AG527" i="5"/>
  <c r="U527" i="5" s="1"/>
  <c r="S527" i="5"/>
  <c r="F527" i="12" s="1"/>
  <c r="AG526" i="5"/>
  <c r="U526" i="5" s="1"/>
  <c r="S526" i="5"/>
  <c r="F526" i="12" s="1"/>
  <c r="S521" i="5"/>
  <c r="F521" i="12" s="1"/>
  <c r="AG521" i="5"/>
  <c r="U521" i="5" s="1"/>
  <c r="AG520" i="5"/>
  <c r="U520" i="5" s="1"/>
  <c r="S520" i="5"/>
  <c r="F520" i="12" s="1"/>
  <c r="S511" i="5"/>
  <c r="F511" i="12" s="1"/>
  <c r="AG511" i="5"/>
  <c r="U511" i="5" s="1"/>
  <c r="AG501" i="5"/>
  <c r="U501" i="5" s="1"/>
  <c r="S501" i="5"/>
  <c r="F501" i="12" s="1"/>
  <c r="S500" i="5"/>
  <c r="F500" i="12" s="1"/>
  <c r="AG500" i="5"/>
  <c r="U500" i="5" s="1"/>
  <c r="AG474" i="5"/>
  <c r="U474" i="5" s="1"/>
  <c r="S474" i="5"/>
  <c r="F474" i="12" s="1"/>
  <c r="AG469" i="5"/>
  <c r="U469" i="5" s="1"/>
  <c r="S469" i="5"/>
  <c r="F469" i="12" s="1"/>
  <c r="AG467" i="5"/>
  <c r="U467" i="5" s="1"/>
  <c r="S467" i="5"/>
  <c r="F467" i="12" s="1"/>
  <c r="S459" i="5"/>
  <c r="F459" i="12" s="1"/>
  <c r="AG459" i="5"/>
  <c r="U459" i="5" s="1"/>
  <c r="AG455" i="5"/>
  <c r="U455" i="5" s="1"/>
  <c r="S455" i="5"/>
  <c r="F455" i="12" s="1"/>
  <c r="S454" i="5"/>
  <c r="F454" i="12" s="1"/>
  <c r="AG454" i="5"/>
  <c r="U454" i="5" s="1"/>
  <c r="AG438" i="5"/>
  <c r="U438" i="5" s="1"/>
  <c r="S438" i="5"/>
  <c r="F438" i="12" s="1"/>
  <c r="S693" i="5"/>
  <c r="F693" i="12" s="1"/>
  <c r="AG693" i="5"/>
  <c r="U693" i="5" s="1"/>
  <c r="AG688" i="5"/>
  <c r="S686" i="5"/>
  <c r="F686" i="12" s="1"/>
  <c r="AG686" i="5"/>
  <c r="U686" i="5" s="1"/>
  <c r="S685" i="5"/>
  <c r="F685" i="12" s="1"/>
  <c r="AG685" i="5"/>
  <c r="U685" i="5" s="1"/>
  <c r="AG681" i="5"/>
  <c r="U681" i="5" s="1"/>
  <c r="S681" i="5"/>
  <c r="F681" i="12" s="1"/>
  <c r="AG679" i="5"/>
  <c r="U679" i="5" s="1"/>
  <c r="S679" i="5"/>
  <c r="F679" i="12" s="1"/>
  <c r="AG678" i="5"/>
  <c r="U678" i="5" s="1"/>
  <c r="S678" i="5"/>
  <c r="F678" i="12" s="1"/>
  <c r="AG677" i="5"/>
  <c r="U677" i="5" s="1"/>
  <c r="S677" i="5"/>
  <c r="F677" i="12" s="1"/>
  <c r="AG666" i="5"/>
  <c r="U666" i="5" s="1"/>
  <c r="S666" i="5"/>
  <c r="F666" i="12" s="1"/>
  <c r="AG665" i="5"/>
  <c r="U665" i="5" s="1"/>
  <c r="S665" i="5"/>
  <c r="F665" i="12" s="1"/>
  <c r="AG655" i="5"/>
  <c r="U655" i="5" s="1"/>
  <c r="S655" i="5"/>
  <c r="F655" i="12" s="1"/>
  <c r="AG650" i="5"/>
  <c r="AG647" i="5"/>
  <c r="AG641" i="5"/>
  <c r="U641" i="5" s="1"/>
  <c r="S641" i="5"/>
  <c r="F641" i="12" s="1"/>
  <c r="S640" i="5"/>
  <c r="F640" i="12" s="1"/>
  <c r="AG640" i="5"/>
  <c r="U640" i="5" s="1"/>
  <c r="S637" i="5"/>
  <c r="F637" i="12" s="1"/>
  <c r="AG637" i="5"/>
  <c r="U637" i="5" s="1"/>
  <c r="AG634" i="5"/>
  <c r="AG629" i="5"/>
  <c r="S627" i="5"/>
  <c r="F627" i="12" s="1"/>
  <c r="AG627" i="5"/>
  <c r="U627" i="5" s="1"/>
  <c r="AG624" i="5"/>
  <c r="U624" i="5" s="1"/>
  <c r="S624" i="5"/>
  <c r="F624" i="12" s="1"/>
  <c r="S620" i="5"/>
  <c r="F620" i="12" s="1"/>
  <c r="AG620" i="5"/>
  <c r="U620" i="5" s="1"/>
  <c r="AG618" i="5"/>
  <c r="S616" i="5"/>
  <c r="F616" i="12" s="1"/>
  <c r="AG616" i="5"/>
  <c r="U616" i="5" s="1"/>
  <c r="AG609" i="5"/>
  <c r="U609" i="5" s="1"/>
  <c r="S609" i="5"/>
  <c r="F609" i="12" s="1"/>
  <c r="AG599" i="5"/>
  <c r="U599" i="5" s="1"/>
  <c r="S599" i="5"/>
  <c r="F599" i="12" s="1"/>
  <c r="AG595" i="5"/>
  <c r="U595" i="5" s="1"/>
  <c r="S595" i="5"/>
  <c r="F595" i="12" s="1"/>
  <c r="AG586" i="5"/>
  <c r="U586" i="5" s="1"/>
  <c r="S586" i="5"/>
  <c r="F586" i="12" s="1"/>
  <c r="AG579" i="5"/>
  <c r="U579" i="5" s="1"/>
  <c r="S579" i="5"/>
  <c r="F579" i="12" s="1"/>
  <c r="S578" i="5"/>
  <c r="F578" i="12" s="1"/>
  <c r="AG578" i="5"/>
  <c r="U578" i="5" s="1"/>
  <c r="S573" i="5"/>
  <c r="F573" i="12" s="1"/>
  <c r="AG573" i="5"/>
  <c r="U573" i="5" s="1"/>
  <c r="AG570" i="5"/>
  <c r="U570" i="5" s="1"/>
  <c r="S570" i="5"/>
  <c r="F570" i="12" s="1"/>
  <c r="AG569" i="5"/>
  <c r="U569" i="5" s="1"/>
  <c r="S569" i="5"/>
  <c r="F569" i="12" s="1"/>
  <c r="AG566" i="5"/>
  <c r="U566" i="5" s="1"/>
  <c r="S566" i="5"/>
  <c r="F566" i="12" s="1"/>
  <c r="AG561" i="5"/>
  <c r="U561" i="5" s="1"/>
  <c r="S561" i="5"/>
  <c r="F561" i="12" s="1"/>
  <c r="AG559" i="5"/>
  <c r="U559" i="5" s="1"/>
  <c r="S559" i="5"/>
  <c r="F559" i="12" s="1"/>
  <c r="S544" i="5"/>
  <c r="F544" i="12" s="1"/>
  <c r="AG544" i="5"/>
  <c r="U544" i="5" s="1"/>
  <c r="AG540" i="5"/>
  <c r="U540" i="5" s="1"/>
  <c r="S540" i="5"/>
  <c r="F540" i="12" s="1"/>
  <c r="AG537" i="5"/>
  <c r="U537" i="5" s="1"/>
  <c r="S537" i="5"/>
  <c r="F537" i="12" s="1"/>
  <c r="AG534" i="5"/>
  <c r="U534" i="5" s="1"/>
  <c r="S534" i="5"/>
  <c r="F534" i="12" s="1"/>
  <c r="S533" i="5"/>
  <c r="F533" i="12" s="1"/>
  <c r="AG533" i="5"/>
  <c r="U533" i="5" s="1"/>
  <c r="S532" i="5"/>
  <c r="F532" i="12" s="1"/>
  <c r="AG532" i="5"/>
  <c r="U532" i="5" s="1"/>
  <c r="S531" i="5"/>
  <c r="F531" i="12" s="1"/>
  <c r="AG531" i="5"/>
  <c r="U531" i="5" s="1"/>
  <c r="AG525" i="5"/>
  <c r="U525" i="5" s="1"/>
  <c r="S525" i="5"/>
  <c r="F525" i="12" s="1"/>
  <c r="S524" i="5"/>
  <c r="F524" i="12" s="1"/>
  <c r="AG524" i="5"/>
  <c r="U524" i="5" s="1"/>
  <c r="AG523" i="5"/>
  <c r="AG503" i="5"/>
  <c r="S493" i="5"/>
  <c r="F493" i="12" s="1"/>
  <c r="AG493" i="5"/>
  <c r="U493" i="5" s="1"/>
  <c r="S484" i="5"/>
  <c r="F484" i="12" s="1"/>
  <c r="AG484" i="5"/>
  <c r="U484" i="5" s="1"/>
  <c r="AG458" i="5"/>
  <c r="U458" i="5" s="1"/>
  <c r="S458" i="5"/>
  <c r="F458" i="12" s="1"/>
  <c r="AG445" i="5"/>
  <c r="U445" i="5" s="1"/>
  <c r="S445" i="5"/>
  <c r="F445" i="12" s="1"/>
  <c r="S434" i="5"/>
  <c r="F434" i="12" s="1"/>
  <c r="AG434" i="5"/>
  <c r="U434" i="5" s="1"/>
  <c r="S405" i="5"/>
  <c r="F405" i="12" s="1"/>
  <c r="AG405" i="5"/>
  <c r="U405" i="5" s="1"/>
  <c r="AG394" i="5"/>
  <c r="U394" i="5" s="1"/>
  <c r="S394" i="5"/>
  <c r="F394" i="12" s="1"/>
  <c r="S393" i="5"/>
  <c r="F393" i="12" s="1"/>
  <c r="AG393" i="5"/>
  <c r="U393" i="5" s="1"/>
  <c r="AG379" i="5"/>
  <c r="U379" i="5" s="1"/>
  <c r="S379" i="5"/>
  <c r="F379" i="12" s="1"/>
  <c r="S505" i="5"/>
  <c r="F505" i="12" s="1"/>
  <c r="AG505" i="5"/>
  <c r="U505" i="5" s="1"/>
  <c r="AG502" i="5"/>
  <c r="U502" i="5" s="1"/>
  <c r="S502" i="5"/>
  <c r="F502" i="12" s="1"/>
  <c r="S489" i="5"/>
  <c r="F489" i="12" s="1"/>
  <c r="AG489" i="5"/>
  <c r="U489" i="5" s="1"/>
  <c r="S487" i="5"/>
  <c r="F487" i="12" s="1"/>
  <c r="AG487" i="5"/>
  <c r="U487" i="5" s="1"/>
  <c r="AG486" i="5"/>
  <c r="U486" i="5" s="1"/>
  <c r="S486" i="5"/>
  <c r="F486" i="12" s="1"/>
  <c r="S483" i="5"/>
  <c r="F483" i="12" s="1"/>
  <c r="AG483" i="5"/>
  <c r="U483" i="5" s="1"/>
  <c r="AG477" i="5"/>
  <c r="U477" i="5" s="1"/>
  <c r="S477" i="5"/>
  <c r="F477" i="12" s="1"/>
  <c r="S468" i="5"/>
  <c r="F468" i="12" s="1"/>
  <c r="AG468" i="5"/>
  <c r="U468" i="5" s="1"/>
  <c r="S466" i="5"/>
  <c r="F466" i="12" s="1"/>
  <c r="AG466" i="5"/>
  <c r="U466" i="5" s="1"/>
  <c r="AG464" i="5"/>
  <c r="U464" i="5" s="1"/>
  <c r="S464" i="5"/>
  <c r="F464" i="12" s="1"/>
  <c r="AG463" i="5"/>
  <c r="U463" i="5" s="1"/>
  <c r="S463" i="5"/>
  <c r="F463" i="12" s="1"/>
  <c r="AG460" i="5"/>
  <c r="U460" i="5" s="1"/>
  <c r="S460" i="5"/>
  <c r="F460" i="12" s="1"/>
  <c r="AG457" i="5"/>
  <c r="U457" i="5" s="1"/>
  <c r="S457" i="5"/>
  <c r="F457" i="12" s="1"/>
  <c r="AG441" i="5"/>
  <c r="U441" i="5" s="1"/>
  <c r="S441" i="5"/>
  <c r="F441" i="12" s="1"/>
  <c r="AG440" i="5"/>
  <c r="U440" i="5" s="1"/>
  <c r="S440" i="5"/>
  <c r="F440" i="12" s="1"/>
  <c r="S428" i="5"/>
  <c r="F428" i="12" s="1"/>
  <c r="AG428" i="5"/>
  <c r="U428" i="5" s="1"/>
  <c r="AG424" i="5"/>
  <c r="U424" i="5" s="1"/>
  <c r="S424" i="5"/>
  <c r="F424" i="12" s="1"/>
  <c r="AG397" i="5"/>
  <c r="U397" i="5" s="1"/>
  <c r="S397" i="5"/>
  <c r="F397" i="12" s="1"/>
  <c r="AG369" i="5"/>
  <c r="U369" i="5" s="1"/>
  <c r="S516" i="5"/>
  <c r="F516" i="12" s="1"/>
  <c r="AG516" i="5"/>
  <c r="U516" i="5" s="1"/>
  <c r="S514" i="5"/>
  <c r="F514" i="12" s="1"/>
  <c r="AG514" i="5"/>
  <c r="U514" i="5" s="1"/>
  <c r="AG513" i="5"/>
  <c r="S508" i="5"/>
  <c r="F508" i="12" s="1"/>
  <c r="AG508" i="5"/>
  <c r="U508" i="5" s="1"/>
  <c r="AG507" i="5"/>
  <c r="S499" i="5"/>
  <c r="F499" i="12" s="1"/>
  <c r="AG499" i="5"/>
  <c r="U499" i="5" s="1"/>
  <c r="AG497" i="5"/>
  <c r="U497" i="5" s="1"/>
  <c r="S497" i="5"/>
  <c r="F497" i="12" s="1"/>
  <c r="AG496" i="5"/>
  <c r="U496" i="5" s="1"/>
  <c r="S496" i="5"/>
  <c r="F496" i="12" s="1"/>
  <c r="AG495" i="5"/>
  <c r="AG492" i="5"/>
  <c r="S481" i="5"/>
  <c r="F481" i="12" s="1"/>
  <c r="AG481" i="5"/>
  <c r="U481" i="5" s="1"/>
  <c r="AG480" i="5"/>
  <c r="U480" i="5" s="1"/>
  <c r="S480" i="5"/>
  <c r="F480" i="12" s="1"/>
  <c r="S478" i="5"/>
  <c r="F478" i="12" s="1"/>
  <c r="AG478" i="5"/>
  <c r="U478" i="5" s="1"/>
  <c r="AG476" i="5"/>
  <c r="U476" i="5" s="1"/>
  <c r="S476" i="5"/>
  <c r="F476" i="12" s="1"/>
  <c r="AG475" i="5"/>
  <c r="U475" i="5" s="1"/>
  <c r="S475" i="5"/>
  <c r="F475" i="12" s="1"/>
  <c r="AG472" i="5"/>
  <c r="U472" i="5" s="1"/>
  <c r="S472" i="5"/>
  <c r="F472" i="12" s="1"/>
  <c r="AG471" i="5"/>
  <c r="U471" i="5" s="1"/>
  <c r="S471" i="5"/>
  <c r="F471" i="12" s="1"/>
  <c r="AG470" i="5"/>
  <c r="U470" i="5" s="1"/>
  <c r="S470" i="5"/>
  <c r="F470" i="12" s="1"/>
  <c r="AG465" i="5"/>
  <c r="U465" i="5" s="1"/>
  <c r="S465" i="5"/>
  <c r="F465" i="12" s="1"/>
  <c r="AG462" i="5"/>
  <c r="U462" i="5" s="1"/>
  <c r="S462" i="5"/>
  <c r="F462" i="12" s="1"/>
  <c r="AG461" i="5"/>
  <c r="U461" i="5" s="1"/>
  <c r="S461" i="5"/>
  <c r="F461" i="12" s="1"/>
  <c r="S456" i="5"/>
  <c r="F456" i="12" s="1"/>
  <c r="AG456" i="5"/>
  <c r="U456" i="5" s="1"/>
  <c r="S452" i="5"/>
  <c r="F452" i="12" s="1"/>
  <c r="AG452" i="5"/>
  <c r="U452" i="5" s="1"/>
  <c r="S447" i="5"/>
  <c r="F447" i="12" s="1"/>
  <c r="AG447" i="5"/>
  <c r="U447" i="5" s="1"/>
  <c r="S442" i="5"/>
  <c r="F442" i="12" s="1"/>
  <c r="AG442" i="5"/>
  <c r="U442" i="5" s="1"/>
  <c r="AG439" i="5"/>
  <c r="U439" i="5" s="1"/>
  <c r="S439" i="5"/>
  <c r="F439" i="12" s="1"/>
  <c r="AG430" i="5"/>
  <c r="U430" i="5" s="1"/>
  <c r="S430" i="5"/>
  <c r="F430" i="12" s="1"/>
  <c r="AG429" i="5"/>
  <c r="AG417" i="5"/>
  <c r="U417" i="5" s="1"/>
  <c r="S417" i="5"/>
  <c r="F417" i="12" s="1"/>
  <c r="S416" i="5"/>
  <c r="F416" i="12" s="1"/>
  <c r="AG416" i="5"/>
  <c r="U416" i="5" s="1"/>
  <c r="AG398" i="5"/>
  <c r="U398" i="5" s="1"/>
  <c r="S398" i="5"/>
  <c r="F398" i="12" s="1"/>
  <c r="AG371" i="5"/>
  <c r="U371" i="5" s="1"/>
  <c r="AG518" i="5"/>
  <c r="U518" i="5" s="1"/>
  <c r="S518" i="5"/>
  <c r="F518" i="12" s="1"/>
  <c r="AG515" i="5"/>
  <c r="U515" i="5" s="1"/>
  <c r="S515" i="5"/>
  <c r="F515" i="12" s="1"/>
  <c r="S512" i="5"/>
  <c r="F512" i="12" s="1"/>
  <c r="AG512" i="5"/>
  <c r="U512" i="5" s="1"/>
  <c r="S510" i="5"/>
  <c r="F510" i="12" s="1"/>
  <c r="AG510" i="5"/>
  <c r="U510" i="5" s="1"/>
  <c r="S509" i="5"/>
  <c r="F509" i="12" s="1"/>
  <c r="AG509" i="5"/>
  <c r="U509" i="5" s="1"/>
  <c r="S506" i="5"/>
  <c r="F506" i="12" s="1"/>
  <c r="AG506" i="5"/>
  <c r="U506" i="5" s="1"/>
  <c r="AG494" i="5"/>
  <c r="U494" i="5" s="1"/>
  <c r="S494" i="5"/>
  <c r="F494" i="12" s="1"/>
  <c r="AG490" i="5"/>
  <c r="U490" i="5" s="1"/>
  <c r="S490" i="5"/>
  <c r="F490" i="12" s="1"/>
  <c r="AG488" i="5"/>
  <c r="U488" i="5" s="1"/>
  <c r="S488" i="5"/>
  <c r="F488" i="12" s="1"/>
  <c r="AG485" i="5"/>
  <c r="U485" i="5" s="1"/>
  <c r="S485" i="5"/>
  <c r="F485" i="12" s="1"/>
  <c r="S473" i="5"/>
  <c r="F473" i="12" s="1"/>
  <c r="AG473" i="5"/>
  <c r="U473" i="5" s="1"/>
  <c r="S448" i="5"/>
  <c r="F448" i="12" s="1"/>
  <c r="AG448" i="5"/>
  <c r="U448" i="5" s="1"/>
  <c r="AG446" i="5"/>
  <c r="U446" i="5" s="1"/>
  <c r="S444" i="5"/>
  <c r="F444" i="12" s="1"/>
  <c r="AG444" i="5"/>
  <c r="U444" i="5" s="1"/>
  <c r="S443" i="5"/>
  <c r="F443" i="12" s="1"/>
  <c r="AG443" i="5"/>
  <c r="U443" i="5" s="1"/>
  <c r="S437" i="5"/>
  <c r="F437" i="12" s="1"/>
  <c r="AG437" i="5"/>
  <c r="U437" i="5" s="1"/>
  <c r="AG432" i="5"/>
  <c r="U432" i="5" s="1"/>
  <c r="S432" i="5"/>
  <c r="F432" i="12" s="1"/>
  <c r="S411" i="5"/>
  <c r="F411" i="12" s="1"/>
  <c r="AG411" i="5"/>
  <c r="U411" i="5" s="1"/>
  <c r="AG376" i="5"/>
  <c r="U376" i="5" s="1"/>
  <c r="S376" i="5"/>
  <c r="F376" i="12" s="1"/>
  <c r="AG364" i="5"/>
  <c r="AG359" i="5"/>
  <c r="U359" i="5" s="1"/>
  <c r="S359" i="5"/>
  <c r="F359" i="12" s="1"/>
  <c r="AG333" i="5"/>
  <c r="U333" i="5" s="1"/>
  <c r="S333" i="5"/>
  <c r="F333" i="12" s="1"/>
  <c r="AG337" i="5"/>
  <c r="U337" i="5" s="1"/>
  <c r="S337" i="5"/>
  <c r="F337" i="12" s="1"/>
  <c r="S318" i="5"/>
  <c r="F318" i="12" s="1"/>
  <c r="AG318" i="5"/>
  <c r="U318" i="5" s="1"/>
  <c r="AG242" i="5"/>
  <c r="U242" i="5" s="1"/>
  <c r="S242" i="5"/>
  <c r="F242" i="12" s="1"/>
  <c r="S326" i="5"/>
  <c r="F326" i="12" s="1"/>
  <c r="AG326" i="5"/>
  <c r="U326" i="5" s="1"/>
  <c r="S316" i="5"/>
  <c r="F316" i="12" s="1"/>
  <c r="AG316" i="5"/>
  <c r="U316" i="5" s="1"/>
  <c r="AG423" i="5"/>
  <c r="U423" i="5" s="1"/>
  <c r="S423" i="5"/>
  <c r="F423" i="12" s="1"/>
  <c r="AG422" i="5"/>
  <c r="U422" i="5" s="1"/>
  <c r="S422" i="5"/>
  <c r="F422" i="12" s="1"/>
  <c r="S419" i="5"/>
  <c r="F419" i="12" s="1"/>
  <c r="AG419" i="5"/>
  <c r="U419" i="5" s="1"/>
  <c r="S410" i="5"/>
  <c r="F410" i="12" s="1"/>
  <c r="AG410" i="5"/>
  <c r="U410" i="5" s="1"/>
  <c r="S407" i="5"/>
  <c r="F407" i="12" s="1"/>
  <c r="AG407" i="5"/>
  <c r="U407" i="5" s="1"/>
  <c r="S387" i="5"/>
  <c r="F387" i="12" s="1"/>
  <c r="AG387" i="5"/>
  <c r="U387" i="5" s="1"/>
  <c r="S384" i="5"/>
  <c r="F384" i="12" s="1"/>
  <c r="AG384" i="5"/>
  <c r="U384" i="5" s="1"/>
  <c r="AG383" i="5"/>
  <c r="U383" i="5" s="1"/>
  <c r="S383" i="5"/>
  <c r="F383" i="12" s="1"/>
  <c r="AG381" i="5"/>
  <c r="U381" i="5" s="1"/>
  <c r="S381" i="5"/>
  <c r="F381" i="12" s="1"/>
  <c r="AG380" i="5"/>
  <c r="U380" i="5" s="1"/>
  <c r="S380" i="5"/>
  <c r="F380" i="12" s="1"/>
  <c r="AG377" i="5"/>
  <c r="U377" i="5" s="1"/>
  <c r="S377" i="5"/>
  <c r="F377" i="12" s="1"/>
  <c r="AG370" i="5"/>
  <c r="U370" i="5" s="1"/>
  <c r="S370" i="5"/>
  <c r="F370" i="12" s="1"/>
  <c r="AG368" i="5"/>
  <c r="U368" i="5" s="1"/>
  <c r="S368" i="5"/>
  <c r="F368" i="12" s="1"/>
  <c r="S367" i="5"/>
  <c r="F367" i="12" s="1"/>
  <c r="AG367" i="5"/>
  <c r="U367" i="5" s="1"/>
  <c r="S365" i="5"/>
  <c r="F365" i="12" s="1"/>
  <c r="AG365" i="5"/>
  <c r="U365" i="5" s="1"/>
  <c r="S355" i="5"/>
  <c r="F355" i="12" s="1"/>
  <c r="AG355" i="5"/>
  <c r="U355" i="5" s="1"/>
  <c r="AG354" i="5"/>
  <c r="U354" i="5" s="1"/>
  <c r="S354" i="5"/>
  <c r="F354" i="12" s="1"/>
  <c r="AG351" i="5"/>
  <c r="U351" i="5" s="1"/>
  <c r="AG349" i="5"/>
  <c r="U349" i="5" s="1"/>
  <c r="S349" i="5"/>
  <c r="F349" i="12" s="1"/>
  <c r="S348" i="5"/>
  <c r="F348" i="12" s="1"/>
  <c r="AG348" i="5"/>
  <c r="U348" i="5" s="1"/>
  <c r="AG340" i="5"/>
  <c r="U340" i="5" s="1"/>
  <c r="S340" i="5"/>
  <c r="F340" i="12" s="1"/>
  <c r="S338" i="5"/>
  <c r="F338" i="12" s="1"/>
  <c r="AG338" i="5"/>
  <c r="U338" i="5" s="1"/>
  <c r="S329" i="5"/>
  <c r="F329" i="12" s="1"/>
  <c r="AG329" i="5"/>
  <c r="U329" i="5" s="1"/>
  <c r="AG328" i="5"/>
  <c r="U328" i="5" s="1"/>
  <c r="S328" i="5"/>
  <c r="F328" i="12" s="1"/>
  <c r="AG427" i="5"/>
  <c r="U427" i="5" s="1"/>
  <c r="S427" i="5"/>
  <c r="F427" i="12" s="1"/>
  <c r="AG418" i="5"/>
  <c r="U418" i="5" s="1"/>
  <c r="S418" i="5"/>
  <c r="F418" i="12" s="1"/>
  <c r="S414" i="5"/>
  <c r="F414" i="12" s="1"/>
  <c r="AG414" i="5"/>
  <c r="U414" i="5" s="1"/>
  <c r="AG413" i="5"/>
  <c r="U413" i="5" s="1"/>
  <c r="S413" i="5"/>
  <c r="F413" i="12" s="1"/>
  <c r="AG409" i="5"/>
  <c r="U409" i="5" s="1"/>
  <c r="S409" i="5"/>
  <c r="F409" i="12" s="1"/>
  <c r="S403" i="5"/>
  <c r="F403" i="12" s="1"/>
  <c r="AG403" i="5"/>
  <c r="U403" i="5" s="1"/>
  <c r="S400" i="5"/>
  <c r="F400" i="12" s="1"/>
  <c r="AG400" i="5"/>
  <c r="U400" i="5" s="1"/>
  <c r="AG399" i="5"/>
  <c r="U399" i="5" s="1"/>
  <c r="S399" i="5"/>
  <c r="F399" i="12" s="1"/>
  <c r="AG396" i="5"/>
  <c r="U396" i="5" s="1"/>
  <c r="S396" i="5"/>
  <c r="F396" i="12" s="1"/>
  <c r="AG395" i="5"/>
  <c r="U395" i="5" s="1"/>
  <c r="S395" i="5"/>
  <c r="F395" i="12" s="1"/>
  <c r="S392" i="5"/>
  <c r="F392" i="12" s="1"/>
  <c r="AG392" i="5"/>
  <c r="U392" i="5" s="1"/>
  <c r="AG391" i="5"/>
  <c r="U391" i="5" s="1"/>
  <c r="AG390" i="5"/>
  <c r="U390" i="5" s="1"/>
  <c r="AG386" i="5"/>
  <c r="U386" i="5" s="1"/>
  <c r="S382" i="5"/>
  <c r="F382" i="12" s="1"/>
  <c r="AG382" i="5"/>
  <c r="U382" i="5" s="1"/>
  <c r="AG375" i="5"/>
  <c r="U375" i="5" s="1"/>
  <c r="S375" i="5"/>
  <c r="F375" i="12" s="1"/>
  <c r="AG357" i="5"/>
  <c r="U357" i="5" s="1"/>
  <c r="S357" i="5"/>
  <c r="F357" i="12" s="1"/>
  <c r="S350" i="5"/>
  <c r="F350" i="12" s="1"/>
  <c r="AG350" i="5"/>
  <c r="U350" i="5" s="1"/>
  <c r="S319" i="5"/>
  <c r="F319" i="12" s="1"/>
  <c r="AG319" i="5"/>
  <c r="U319" i="5" s="1"/>
  <c r="S268" i="5"/>
  <c r="F268" i="12" s="1"/>
  <c r="AG268" i="5"/>
  <c r="U268" i="5" s="1"/>
  <c r="AG265" i="5"/>
  <c r="U265" i="5" s="1"/>
  <c r="S265" i="5"/>
  <c r="F265" i="12" s="1"/>
  <c r="AG433" i="5"/>
  <c r="U433" i="5" s="1"/>
  <c r="S433" i="5"/>
  <c r="F433" i="12" s="1"/>
  <c r="S426" i="5"/>
  <c r="F426" i="12" s="1"/>
  <c r="AG426" i="5"/>
  <c r="U426" i="5" s="1"/>
  <c r="AG420" i="5"/>
  <c r="U420" i="5" s="1"/>
  <c r="S420" i="5"/>
  <c r="F420" i="12" s="1"/>
  <c r="S415" i="5"/>
  <c r="F415" i="12" s="1"/>
  <c r="AG415" i="5"/>
  <c r="U415" i="5" s="1"/>
  <c r="AG412" i="5"/>
  <c r="U412" i="5" s="1"/>
  <c r="S412" i="5"/>
  <c r="F412" i="12" s="1"/>
  <c r="AG408" i="5"/>
  <c r="U408" i="5" s="1"/>
  <c r="S408" i="5"/>
  <c r="F408" i="12" s="1"/>
  <c r="S406" i="5"/>
  <c r="F406" i="12" s="1"/>
  <c r="AG406" i="5"/>
  <c r="U406" i="5" s="1"/>
  <c r="S404" i="5"/>
  <c r="F404" i="12" s="1"/>
  <c r="AG404" i="5"/>
  <c r="U404" i="5" s="1"/>
  <c r="AG402" i="5"/>
  <c r="U402" i="5" s="1"/>
  <c r="S402" i="5"/>
  <c r="F402" i="12" s="1"/>
  <c r="S401" i="5"/>
  <c r="F401" i="12" s="1"/>
  <c r="AG401" i="5"/>
  <c r="U401" i="5" s="1"/>
  <c r="AG389" i="5"/>
  <c r="U389" i="5" s="1"/>
  <c r="S389" i="5"/>
  <c r="F389" i="12" s="1"/>
  <c r="S388" i="5"/>
  <c r="F388" i="12" s="1"/>
  <c r="AG388" i="5"/>
  <c r="U388" i="5" s="1"/>
  <c r="S385" i="5"/>
  <c r="F385" i="12" s="1"/>
  <c r="AG385" i="5"/>
  <c r="U385" i="5" s="1"/>
  <c r="AG374" i="5"/>
  <c r="U374" i="5" s="1"/>
  <c r="S374" i="5"/>
  <c r="F374" i="12" s="1"/>
  <c r="AG372" i="5"/>
  <c r="U372" i="5" s="1"/>
  <c r="AG366" i="5"/>
  <c r="U366" i="5" s="1"/>
  <c r="S366" i="5"/>
  <c r="F366" i="12" s="1"/>
  <c r="S363" i="5"/>
  <c r="F363" i="12" s="1"/>
  <c r="AG363" i="5"/>
  <c r="U363" i="5" s="1"/>
  <c r="S361" i="5"/>
  <c r="F361" i="12" s="1"/>
  <c r="AG361" i="5"/>
  <c r="U361" i="5" s="1"/>
  <c r="AG360" i="5"/>
  <c r="U360" i="5" s="1"/>
  <c r="S353" i="5"/>
  <c r="F353" i="12" s="1"/>
  <c r="AG353" i="5"/>
  <c r="U353" i="5" s="1"/>
  <c r="S347" i="5"/>
  <c r="F347" i="12" s="1"/>
  <c r="AG347" i="5"/>
  <c r="U347" i="5" s="1"/>
  <c r="AG343" i="5"/>
  <c r="U343" i="5" s="1"/>
  <c r="S343" i="5"/>
  <c r="F343" i="12" s="1"/>
  <c r="S335" i="5"/>
  <c r="F335" i="12" s="1"/>
  <c r="AG335" i="5"/>
  <c r="U335" i="5" s="1"/>
  <c r="AG334" i="5"/>
  <c r="U334" i="5" s="1"/>
  <c r="S334" i="5"/>
  <c r="F334" i="12" s="1"/>
  <c r="S324" i="5"/>
  <c r="F324" i="12" s="1"/>
  <c r="AG324" i="5"/>
  <c r="U324" i="5" s="1"/>
  <c r="AG301" i="5"/>
  <c r="U301" i="5" s="1"/>
  <c r="AG291" i="5"/>
  <c r="U291" i="5" s="1"/>
  <c r="S291" i="5"/>
  <c r="F291" i="12" s="1"/>
  <c r="AG249" i="5"/>
  <c r="U249" i="5" s="1"/>
  <c r="S249" i="5"/>
  <c r="F249" i="12" s="1"/>
  <c r="S378" i="5"/>
  <c r="F378" i="12" s="1"/>
  <c r="AG378" i="5"/>
  <c r="U378" i="5" s="1"/>
  <c r="AG373" i="5"/>
  <c r="U373" i="5" s="1"/>
  <c r="S373" i="5"/>
  <c r="F373" i="12" s="1"/>
  <c r="S362" i="5"/>
  <c r="F362" i="12" s="1"/>
  <c r="AG362" i="5"/>
  <c r="U362" i="5" s="1"/>
  <c r="AG358" i="5"/>
  <c r="U358" i="5" s="1"/>
  <c r="S358" i="5"/>
  <c r="F358" i="12" s="1"/>
  <c r="AG356" i="5"/>
  <c r="U356" i="5" s="1"/>
  <c r="S356" i="5"/>
  <c r="F356" i="12" s="1"/>
  <c r="S352" i="5"/>
  <c r="F352" i="12" s="1"/>
  <c r="AG352" i="5"/>
  <c r="U352" i="5" s="1"/>
  <c r="S346" i="5"/>
  <c r="F346" i="12" s="1"/>
  <c r="AG346" i="5"/>
  <c r="U346" i="5" s="1"/>
  <c r="AG345" i="5"/>
  <c r="U345" i="5" s="1"/>
  <c r="S345" i="5"/>
  <c r="F345" i="12" s="1"/>
  <c r="AG344" i="5"/>
  <c r="U344" i="5" s="1"/>
  <c r="S344" i="5"/>
  <c r="F344" i="12" s="1"/>
  <c r="AG342" i="5"/>
  <c r="U342" i="5" s="1"/>
  <c r="S342" i="5"/>
  <c r="F342" i="12" s="1"/>
  <c r="AG341" i="5"/>
  <c r="U341" i="5" s="1"/>
  <c r="S341" i="5"/>
  <c r="F341" i="12" s="1"/>
  <c r="S332" i="5"/>
  <c r="F332" i="12" s="1"/>
  <c r="AG332" i="5"/>
  <c r="U332" i="5" s="1"/>
  <c r="AG331" i="5"/>
  <c r="U331" i="5" s="1"/>
  <c r="S331" i="5"/>
  <c r="F331" i="12" s="1"/>
  <c r="AG309" i="5"/>
  <c r="U309" i="5" s="1"/>
  <c r="S309" i="5"/>
  <c r="F309" i="12" s="1"/>
  <c r="S300" i="5"/>
  <c r="F300" i="12" s="1"/>
  <c r="AG300" i="5"/>
  <c r="U300" i="5" s="1"/>
  <c r="AG290" i="5"/>
  <c r="U290" i="5" s="1"/>
  <c r="S290" i="5"/>
  <c r="F290" i="12" s="1"/>
  <c r="S287" i="5"/>
  <c r="F287" i="12" s="1"/>
  <c r="AG287" i="5"/>
  <c r="U287" i="5" s="1"/>
  <c r="AG286" i="5"/>
  <c r="U286" i="5" s="1"/>
  <c r="S286" i="5"/>
  <c r="F286" i="12" s="1"/>
  <c r="AG281" i="5"/>
  <c r="U281" i="5" s="1"/>
  <c r="S281" i="5"/>
  <c r="F281" i="12" s="1"/>
  <c r="AG280" i="5"/>
  <c r="U280" i="5" s="1"/>
  <c r="S280" i="5"/>
  <c r="F280" i="12" s="1"/>
  <c r="S277" i="5"/>
  <c r="F277" i="12" s="1"/>
  <c r="AG277" i="5"/>
  <c r="U277" i="5" s="1"/>
  <c r="S254" i="5"/>
  <c r="F254" i="12" s="1"/>
  <c r="AG254" i="5"/>
  <c r="U254" i="5" s="1"/>
  <c r="S250" i="5"/>
  <c r="F250" i="12" s="1"/>
  <c r="AG250" i="5"/>
  <c r="U250" i="5" s="1"/>
  <c r="AG243" i="5"/>
  <c r="U243" i="5" s="1"/>
  <c r="AG239" i="5"/>
  <c r="U239" i="5" s="1"/>
  <c r="S239" i="5"/>
  <c r="F239" i="12" s="1"/>
  <c r="AG231" i="5"/>
  <c r="U231" i="5" s="1"/>
  <c r="S231" i="5"/>
  <c r="F231" i="12" s="1"/>
  <c r="S226" i="5"/>
  <c r="F226" i="12" s="1"/>
  <c r="AG226" i="5"/>
  <c r="U226" i="5" s="1"/>
  <c r="S216" i="5"/>
  <c r="F216" i="12" s="1"/>
  <c r="AG216" i="5"/>
  <c r="U216" i="5" s="1"/>
  <c r="AG339" i="5"/>
  <c r="U339" i="5" s="1"/>
  <c r="S339" i="5"/>
  <c r="F339" i="12" s="1"/>
  <c r="S336" i="5"/>
  <c r="F336" i="12" s="1"/>
  <c r="AG336" i="5"/>
  <c r="U336" i="5" s="1"/>
  <c r="AG330" i="5"/>
  <c r="U330" i="5" s="1"/>
  <c r="S330" i="5"/>
  <c r="F330" i="12" s="1"/>
  <c r="S323" i="5"/>
  <c r="F323" i="12" s="1"/>
  <c r="AG323" i="5"/>
  <c r="U323" i="5" s="1"/>
  <c r="S317" i="5"/>
  <c r="F317" i="12" s="1"/>
  <c r="AG317" i="5"/>
  <c r="U317" i="5" s="1"/>
  <c r="AG306" i="5"/>
  <c r="U306" i="5" s="1"/>
  <c r="S306" i="5"/>
  <c r="F306" i="12" s="1"/>
  <c r="AG303" i="5"/>
  <c r="U303" i="5" s="1"/>
  <c r="S303" i="5"/>
  <c r="F303" i="12" s="1"/>
  <c r="AG302" i="5"/>
  <c r="U302" i="5" s="1"/>
  <c r="AG285" i="5"/>
  <c r="U285" i="5" s="1"/>
  <c r="S285" i="5"/>
  <c r="F285" i="12" s="1"/>
  <c r="S284" i="5"/>
  <c r="F284" i="12" s="1"/>
  <c r="AG284" i="5"/>
  <c r="U284" i="5" s="1"/>
  <c r="AG273" i="5"/>
  <c r="U273" i="5" s="1"/>
  <c r="S273" i="5"/>
  <c r="F273" i="12" s="1"/>
  <c r="S267" i="5"/>
  <c r="F267" i="12" s="1"/>
  <c r="AG267" i="5"/>
  <c r="U267" i="5" s="1"/>
  <c r="AG260" i="5"/>
  <c r="S258" i="5"/>
  <c r="F258" i="12" s="1"/>
  <c r="AG258" i="5"/>
  <c r="U258" i="5" s="1"/>
  <c r="S245" i="5"/>
  <c r="F245" i="12" s="1"/>
  <c r="AG245" i="5"/>
  <c r="U245" i="5" s="1"/>
  <c r="AG241" i="5"/>
  <c r="U241" i="5" s="1"/>
  <c r="S241" i="5"/>
  <c r="F241" i="12" s="1"/>
  <c r="AG237" i="5"/>
  <c r="U237" i="5" s="1"/>
  <c r="S237" i="5"/>
  <c r="F237" i="12" s="1"/>
  <c r="AG221" i="5"/>
  <c r="U221" i="5" s="1"/>
  <c r="S221" i="5"/>
  <c r="F221" i="12" s="1"/>
  <c r="S315" i="5"/>
  <c r="F315" i="12" s="1"/>
  <c r="AG315" i="5"/>
  <c r="U315" i="5" s="1"/>
  <c r="AG314" i="5"/>
  <c r="U314" i="5" s="1"/>
  <c r="S314" i="5"/>
  <c r="F314" i="12" s="1"/>
  <c r="AG313" i="5"/>
  <c r="U313" i="5" s="1"/>
  <c r="S313" i="5"/>
  <c r="F313" i="12" s="1"/>
  <c r="AG311" i="5"/>
  <c r="U311" i="5" s="1"/>
  <c r="S311" i="5"/>
  <c r="F311" i="12" s="1"/>
  <c r="AG308" i="5"/>
  <c r="U308" i="5" s="1"/>
  <c r="S308" i="5"/>
  <c r="F308" i="12" s="1"/>
  <c r="AG307" i="5"/>
  <c r="U307" i="5" s="1"/>
  <c r="S307" i="5"/>
  <c r="F307" i="12" s="1"/>
  <c r="AG299" i="5"/>
  <c r="U299" i="5" s="1"/>
  <c r="S299" i="5"/>
  <c r="F299" i="12" s="1"/>
  <c r="S294" i="5"/>
  <c r="F294" i="12" s="1"/>
  <c r="AG294" i="5"/>
  <c r="U294" i="5" s="1"/>
  <c r="AG288" i="5"/>
  <c r="U288" i="5" s="1"/>
  <c r="S288" i="5"/>
  <c r="F288" i="12" s="1"/>
  <c r="AG275" i="5"/>
  <c r="U275" i="5" s="1"/>
  <c r="S275" i="5"/>
  <c r="F275" i="12" s="1"/>
  <c r="AG247" i="5"/>
  <c r="U247" i="5" s="1"/>
  <c r="S247" i="5"/>
  <c r="F247" i="12" s="1"/>
  <c r="S205" i="5"/>
  <c r="F205" i="12" s="1"/>
  <c r="AG205" i="5"/>
  <c r="U205" i="5" s="1"/>
  <c r="S327" i="5"/>
  <c r="F327" i="12" s="1"/>
  <c r="AG327" i="5"/>
  <c r="U327" i="5" s="1"/>
  <c r="S321" i="5"/>
  <c r="F321" i="12" s="1"/>
  <c r="AG321" i="5"/>
  <c r="U321" i="5" s="1"/>
  <c r="AG312" i="5"/>
  <c r="U312" i="5" s="1"/>
  <c r="S312" i="5"/>
  <c r="F312" i="12" s="1"/>
  <c r="AG310" i="5"/>
  <c r="U310" i="5" s="1"/>
  <c r="S310" i="5"/>
  <c r="F310" i="12" s="1"/>
  <c r="S304" i="5"/>
  <c r="F304" i="12" s="1"/>
  <c r="AG304" i="5"/>
  <c r="U304" i="5" s="1"/>
  <c r="AG298" i="5"/>
  <c r="U298" i="5" s="1"/>
  <c r="S292" i="5"/>
  <c r="F292" i="12" s="1"/>
  <c r="AG292" i="5"/>
  <c r="U292" i="5" s="1"/>
  <c r="AG283" i="5"/>
  <c r="S279" i="5"/>
  <c r="F279" i="12" s="1"/>
  <c r="AG279" i="5"/>
  <c r="U279" i="5" s="1"/>
  <c r="S274" i="5"/>
  <c r="F274" i="12" s="1"/>
  <c r="AG274" i="5"/>
  <c r="U274" i="5" s="1"/>
  <c r="AG271" i="5"/>
  <c r="U271" i="5" s="1"/>
  <c r="S271" i="5"/>
  <c r="F271" i="12" s="1"/>
  <c r="AG270" i="5"/>
  <c r="U270" i="5" s="1"/>
  <c r="S270" i="5"/>
  <c r="F270" i="12" s="1"/>
  <c r="S266" i="5"/>
  <c r="F266" i="12" s="1"/>
  <c r="AG266" i="5"/>
  <c r="U266" i="5" s="1"/>
  <c r="S264" i="5"/>
  <c r="F264" i="12" s="1"/>
  <c r="AG264" i="5"/>
  <c r="U264" i="5" s="1"/>
  <c r="S262" i="5"/>
  <c r="F262" i="12" s="1"/>
  <c r="AG262" i="5"/>
  <c r="U262" i="5" s="1"/>
  <c r="AG261" i="5"/>
  <c r="U261" i="5" s="1"/>
  <c r="S261" i="5"/>
  <c r="F261" i="12" s="1"/>
  <c r="AG256" i="5"/>
  <c r="S252" i="5"/>
  <c r="F252" i="12" s="1"/>
  <c r="AG252" i="5"/>
  <c r="U252" i="5" s="1"/>
  <c r="S248" i="5"/>
  <c r="F248" i="12" s="1"/>
  <c r="AG248" i="5"/>
  <c r="U248" i="5" s="1"/>
  <c r="AG244" i="5"/>
  <c r="U244" i="5" s="1"/>
  <c r="AG220" i="5"/>
  <c r="AG214" i="5"/>
  <c r="U214" i="5" s="1"/>
  <c r="S214" i="5"/>
  <c r="F214" i="12" s="1"/>
  <c r="AG210" i="5"/>
  <c r="U210" i="5" s="1"/>
  <c r="S204" i="5"/>
  <c r="F204" i="12" s="1"/>
  <c r="AG204" i="5"/>
  <c r="U204" i="5" s="1"/>
  <c r="S183" i="5"/>
  <c r="F183" i="12" s="1"/>
  <c r="AG183" i="5"/>
  <c r="U183" i="5" s="1"/>
  <c r="AG325" i="5"/>
  <c r="U325" i="5" s="1"/>
  <c r="S325" i="5"/>
  <c r="F325" i="12" s="1"/>
  <c r="AG322" i="5"/>
  <c r="U322" i="5" s="1"/>
  <c r="S322" i="5"/>
  <c r="F322" i="12" s="1"/>
  <c r="AG320" i="5"/>
  <c r="U320" i="5" s="1"/>
  <c r="S320" i="5"/>
  <c r="F320" i="12" s="1"/>
  <c r="S305" i="5"/>
  <c r="F305" i="12" s="1"/>
  <c r="AG305" i="5"/>
  <c r="U305" i="5" s="1"/>
  <c r="S297" i="5"/>
  <c r="F297" i="12" s="1"/>
  <c r="AG297" i="5"/>
  <c r="U297" i="5" s="1"/>
  <c r="S296" i="5"/>
  <c r="F296" i="12" s="1"/>
  <c r="AG296" i="5"/>
  <c r="U296" i="5" s="1"/>
  <c r="S295" i="5"/>
  <c r="F295" i="12" s="1"/>
  <c r="AG295" i="5"/>
  <c r="U295" i="5" s="1"/>
  <c r="AG293" i="5"/>
  <c r="U293" i="5" s="1"/>
  <c r="S293" i="5"/>
  <c r="F293" i="12" s="1"/>
  <c r="S289" i="5"/>
  <c r="F289" i="12" s="1"/>
  <c r="AG289" i="5"/>
  <c r="U289" i="5" s="1"/>
  <c r="AG282" i="5"/>
  <c r="AG278" i="5"/>
  <c r="U278" i="5" s="1"/>
  <c r="S278" i="5"/>
  <c r="F278" i="12" s="1"/>
  <c r="S276" i="5"/>
  <c r="F276" i="12" s="1"/>
  <c r="AG276" i="5"/>
  <c r="U276" i="5" s="1"/>
  <c r="S272" i="5"/>
  <c r="F272" i="12" s="1"/>
  <c r="AG272" i="5"/>
  <c r="U272" i="5" s="1"/>
  <c r="AG269" i="5"/>
  <c r="AG263" i="5"/>
  <c r="U263" i="5" s="1"/>
  <c r="S263" i="5"/>
  <c r="F263" i="12" s="1"/>
  <c r="AG259" i="5"/>
  <c r="S257" i="5"/>
  <c r="F257" i="12" s="1"/>
  <c r="AG257" i="5"/>
  <c r="U257" i="5" s="1"/>
  <c r="S255" i="5"/>
  <c r="F255" i="12" s="1"/>
  <c r="AG255" i="5"/>
  <c r="U255" i="5" s="1"/>
  <c r="AG253" i="5"/>
  <c r="U253" i="5" s="1"/>
  <c r="S253" i="5"/>
  <c r="F253" i="12" s="1"/>
  <c r="AG251" i="5"/>
  <c r="U251" i="5" s="1"/>
  <c r="S251" i="5"/>
  <c r="F251" i="12" s="1"/>
  <c r="AG246" i="5"/>
  <c r="U246" i="5" s="1"/>
  <c r="S246" i="5"/>
  <c r="F246" i="12" s="1"/>
  <c r="S240" i="5"/>
  <c r="F240" i="12" s="1"/>
  <c r="AG240" i="5"/>
  <c r="U240" i="5" s="1"/>
  <c r="AG223" i="5"/>
  <c r="U223" i="5" s="1"/>
  <c r="S223" i="5"/>
  <c r="F223" i="12" s="1"/>
  <c r="AG164" i="5"/>
  <c r="U164" i="5" s="1"/>
  <c r="S164" i="5"/>
  <c r="F164" i="12" s="1"/>
  <c r="AG236" i="5"/>
  <c r="U236" i="5" s="1"/>
  <c r="S236" i="5"/>
  <c r="F236" i="12" s="1"/>
  <c r="AG235" i="5"/>
  <c r="U235" i="5" s="1"/>
  <c r="S235" i="5"/>
  <c r="F235" i="12" s="1"/>
  <c r="S232" i="5"/>
  <c r="F232" i="12" s="1"/>
  <c r="AG232" i="5"/>
  <c r="U232" i="5" s="1"/>
  <c r="S230" i="5"/>
  <c r="F230" i="12" s="1"/>
  <c r="AG230" i="5"/>
  <c r="U230" i="5" s="1"/>
  <c r="AG229" i="5"/>
  <c r="U229" i="5" s="1"/>
  <c r="S229" i="5"/>
  <c r="F229" i="12" s="1"/>
  <c r="AG222" i="5"/>
  <c r="U222" i="5" s="1"/>
  <c r="S222" i="5"/>
  <c r="F222" i="12" s="1"/>
  <c r="AG219" i="5"/>
  <c r="S215" i="5"/>
  <c r="F215" i="12" s="1"/>
  <c r="AG215" i="5"/>
  <c r="U215" i="5" s="1"/>
  <c r="AG212" i="5"/>
  <c r="U212" i="5" s="1"/>
  <c r="S208" i="5"/>
  <c r="F208" i="12" s="1"/>
  <c r="AG208" i="5"/>
  <c r="U208" i="5" s="1"/>
  <c r="AG188" i="5"/>
  <c r="U188" i="5" s="1"/>
  <c r="S188" i="5"/>
  <c r="F188" i="12" s="1"/>
  <c r="AG178" i="5"/>
  <c r="U178" i="5" s="1"/>
  <c r="S178" i="5"/>
  <c r="F178" i="12" s="1"/>
  <c r="AG146" i="5"/>
  <c r="U146" i="5" s="1"/>
  <c r="S123" i="5"/>
  <c r="F123" i="12" s="1"/>
  <c r="AG123" i="5"/>
  <c r="U123" i="5" s="1"/>
  <c r="AG97" i="5"/>
  <c r="U97" i="5" s="1"/>
  <c r="S97" i="5"/>
  <c r="F97" i="12" s="1"/>
  <c r="AG238" i="5"/>
  <c r="U238" i="5" s="1"/>
  <c r="AG234" i="5"/>
  <c r="U234" i="5" s="1"/>
  <c r="AG224" i="5"/>
  <c r="U224" i="5" s="1"/>
  <c r="S224" i="5"/>
  <c r="F224" i="12" s="1"/>
  <c r="S211" i="5"/>
  <c r="F211" i="12" s="1"/>
  <c r="AG211" i="5"/>
  <c r="U211" i="5" s="1"/>
  <c r="S207" i="5"/>
  <c r="F207" i="12" s="1"/>
  <c r="AG207" i="5"/>
  <c r="U207" i="5" s="1"/>
  <c r="S203" i="5"/>
  <c r="F203" i="12" s="1"/>
  <c r="AG203" i="5"/>
  <c r="U203" i="5" s="1"/>
  <c r="AG202" i="5"/>
  <c r="U202" i="5" s="1"/>
  <c r="S202" i="5"/>
  <c r="F202" i="12" s="1"/>
  <c r="AG201" i="5"/>
  <c r="U201" i="5" s="1"/>
  <c r="S201" i="5"/>
  <c r="F201" i="12" s="1"/>
  <c r="AG169" i="5"/>
  <c r="U169" i="5" s="1"/>
  <c r="S169" i="5"/>
  <c r="F169" i="12" s="1"/>
  <c r="S233" i="5"/>
  <c r="F233" i="12" s="1"/>
  <c r="AG233" i="5"/>
  <c r="U233" i="5" s="1"/>
  <c r="AG228" i="5"/>
  <c r="U228" i="5" s="1"/>
  <c r="S228" i="5"/>
  <c r="F228" i="12" s="1"/>
  <c r="AG227" i="5"/>
  <c r="U227" i="5" s="1"/>
  <c r="S227" i="5"/>
  <c r="F227" i="12" s="1"/>
  <c r="S225" i="5"/>
  <c r="F225" i="12" s="1"/>
  <c r="AG225" i="5"/>
  <c r="U225" i="5" s="1"/>
  <c r="S218" i="5"/>
  <c r="F218" i="12" s="1"/>
  <c r="AG218" i="5"/>
  <c r="U218" i="5" s="1"/>
  <c r="S217" i="5"/>
  <c r="F217" i="12" s="1"/>
  <c r="AG217" i="5"/>
  <c r="U217" i="5" s="1"/>
  <c r="S213" i="5"/>
  <c r="F213" i="12" s="1"/>
  <c r="AG213" i="5"/>
  <c r="U213" i="5" s="1"/>
  <c r="S209" i="5"/>
  <c r="F209" i="12" s="1"/>
  <c r="AG209" i="5"/>
  <c r="U209" i="5" s="1"/>
  <c r="AG206" i="5"/>
  <c r="U206" i="5" s="1"/>
  <c r="S206" i="5"/>
  <c r="F206" i="12" s="1"/>
  <c r="S184" i="5"/>
  <c r="F184" i="12" s="1"/>
  <c r="AG184" i="5"/>
  <c r="U184" i="5" s="1"/>
  <c r="AG150" i="5"/>
  <c r="U150" i="5" s="1"/>
  <c r="AG199" i="5"/>
  <c r="U199" i="5" s="1"/>
  <c r="S199" i="5"/>
  <c r="F199" i="12" s="1"/>
  <c r="AG198" i="5"/>
  <c r="U198" i="5" s="1"/>
  <c r="S198" i="5"/>
  <c r="F198" i="12" s="1"/>
  <c r="S194" i="5"/>
  <c r="F194" i="12" s="1"/>
  <c r="AG194" i="5"/>
  <c r="U194" i="5" s="1"/>
  <c r="AG193" i="5"/>
  <c r="U193" i="5" s="1"/>
  <c r="AG181" i="5"/>
  <c r="U181" i="5" s="1"/>
  <c r="AG176" i="5"/>
  <c r="U176" i="5" s="1"/>
  <c r="S176" i="5"/>
  <c r="F176" i="12" s="1"/>
  <c r="S174" i="5"/>
  <c r="F174" i="12" s="1"/>
  <c r="AG174" i="5"/>
  <c r="U174" i="5" s="1"/>
  <c r="S166" i="5"/>
  <c r="F166" i="12" s="1"/>
  <c r="AG166" i="5"/>
  <c r="U166" i="5" s="1"/>
  <c r="AG155" i="5"/>
  <c r="U155" i="5" s="1"/>
  <c r="AG142" i="5"/>
  <c r="U142" i="5" s="1"/>
  <c r="AG137" i="5"/>
  <c r="U137" i="5" s="1"/>
  <c r="AG128" i="5"/>
  <c r="U128" i="5" s="1"/>
  <c r="S128" i="5"/>
  <c r="F128" i="12" s="1"/>
  <c r="S118" i="5"/>
  <c r="F118" i="12" s="1"/>
  <c r="AG118" i="5"/>
  <c r="U118" i="5" s="1"/>
  <c r="S115" i="5"/>
  <c r="F115" i="12" s="1"/>
  <c r="AG115" i="5"/>
  <c r="U115" i="5" s="1"/>
  <c r="AG200" i="5"/>
  <c r="U200" i="5" s="1"/>
  <c r="S200" i="5"/>
  <c r="F200" i="12" s="1"/>
  <c r="S197" i="5"/>
  <c r="F197" i="12" s="1"/>
  <c r="AG197" i="5"/>
  <c r="U197" i="5" s="1"/>
  <c r="AG190" i="5"/>
  <c r="U190" i="5" s="1"/>
  <c r="S190" i="5"/>
  <c r="F190" i="12" s="1"/>
  <c r="S186" i="5"/>
  <c r="F186" i="12" s="1"/>
  <c r="AG186" i="5"/>
  <c r="U186" i="5" s="1"/>
  <c r="S182" i="5"/>
  <c r="F182" i="12" s="1"/>
  <c r="AG182" i="5"/>
  <c r="U182" i="5" s="1"/>
  <c r="AG179" i="5"/>
  <c r="U179" i="5" s="1"/>
  <c r="S179" i="5"/>
  <c r="F179" i="12" s="1"/>
  <c r="AG177" i="5"/>
  <c r="U177" i="5" s="1"/>
  <c r="AG173" i="5"/>
  <c r="U173" i="5" s="1"/>
  <c r="AG171" i="5"/>
  <c r="U171" i="5" s="1"/>
  <c r="S171" i="5"/>
  <c r="F171" i="12" s="1"/>
  <c r="S170" i="5"/>
  <c r="F170" i="12" s="1"/>
  <c r="AG170" i="5"/>
  <c r="U170" i="5" s="1"/>
  <c r="AG167" i="5"/>
  <c r="U167" i="5" s="1"/>
  <c r="AG165" i="5"/>
  <c r="U165" i="5" s="1"/>
  <c r="S165" i="5"/>
  <c r="F165" i="12" s="1"/>
  <c r="AG161" i="5"/>
  <c r="U161" i="5" s="1"/>
  <c r="AG153" i="5"/>
  <c r="U153" i="5" s="1"/>
  <c r="AG152" i="5"/>
  <c r="U152" i="5" s="1"/>
  <c r="AG131" i="5"/>
  <c r="U131" i="5" s="1"/>
  <c r="S113" i="5"/>
  <c r="F113" i="12" s="1"/>
  <c r="AG113" i="5"/>
  <c r="U113" i="5" s="1"/>
  <c r="AG196" i="5"/>
  <c r="U196" i="5" s="1"/>
  <c r="S196" i="5"/>
  <c r="F196" i="12" s="1"/>
  <c r="S195" i="5"/>
  <c r="F195" i="12" s="1"/>
  <c r="AG195" i="5"/>
  <c r="U195" i="5" s="1"/>
  <c r="S192" i="5"/>
  <c r="F192" i="12" s="1"/>
  <c r="AG192" i="5"/>
  <c r="U192" i="5" s="1"/>
  <c r="S191" i="5"/>
  <c r="F191" i="12" s="1"/>
  <c r="AG191" i="5"/>
  <c r="U191" i="5" s="1"/>
  <c r="AG189" i="5"/>
  <c r="U189" i="5" s="1"/>
  <c r="S189" i="5"/>
  <c r="F189" i="12" s="1"/>
  <c r="AG187" i="5"/>
  <c r="U187" i="5" s="1"/>
  <c r="S187" i="5"/>
  <c r="F187" i="12" s="1"/>
  <c r="AG185" i="5"/>
  <c r="U185" i="5" s="1"/>
  <c r="S185" i="5"/>
  <c r="F185" i="12" s="1"/>
  <c r="S180" i="5"/>
  <c r="F180" i="12" s="1"/>
  <c r="AG180" i="5"/>
  <c r="U180" i="5" s="1"/>
  <c r="AG175" i="5"/>
  <c r="U175" i="5" s="1"/>
  <c r="S175" i="5"/>
  <c r="F175" i="12" s="1"/>
  <c r="AG172" i="5"/>
  <c r="U172" i="5" s="1"/>
  <c r="S168" i="5"/>
  <c r="F168" i="12" s="1"/>
  <c r="AG168" i="5"/>
  <c r="U168" i="5" s="1"/>
  <c r="S163" i="5"/>
  <c r="F163" i="12" s="1"/>
  <c r="AG163" i="5"/>
  <c r="U163" i="5" s="1"/>
  <c r="S162" i="5"/>
  <c r="F162" i="12" s="1"/>
  <c r="AG162" i="5"/>
  <c r="U162" i="5" s="1"/>
  <c r="AG135" i="5"/>
  <c r="U135" i="5" s="1"/>
  <c r="S135" i="5"/>
  <c r="F135" i="12" s="1"/>
  <c r="AG125" i="5"/>
  <c r="U125" i="5" s="1"/>
  <c r="S125" i="5"/>
  <c r="F125" i="12" s="1"/>
  <c r="S119" i="5"/>
  <c r="F119" i="12" s="1"/>
  <c r="AG119" i="5"/>
  <c r="U119" i="5" s="1"/>
  <c r="S160" i="5"/>
  <c r="F160" i="12" s="1"/>
  <c r="AG160" i="5"/>
  <c r="U160" i="5" s="1"/>
  <c r="AG159" i="5"/>
  <c r="U159" i="5" s="1"/>
  <c r="S159" i="5"/>
  <c r="F159" i="12" s="1"/>
  <c r="S157" i="5"/>
  <c r="F157" i="12" s="1"/>
  <c r="AG157" i="5"/>
  <c r="U157" i="5" s="1"/>
  <c r="AG156" i="5"/>
  <c r="U156" i="5" s="1"/>
  <c r="S156" i="5"/>
  <c r="F156" i="12" s="1"/>
  <c r="AG154" i="5"/>
  <c r="U154" i="5" s="1"/>
  <c r="S154" i="5"/>
  <c r="F154" i="12" s="1"/>
  <c r="S151" i="5"/>
  <c r="F151" i="12" s="1"/>
  <c r="AG151" i="5"/>
  <c r="U151" i="5" s="1"/>
  <c r="AG149" i="5"/>
  <c r="U149" i="5" s="1"/>
  <c r="S149" i="5"/>
  <c r="F149" i="12" s="1"/>
  <c r="S145" i="5"/>
  <c r="F145" i="12" s="1"/>
  <c r="AG145" i="5"/>
  <c r="U145" i="5" s="1"/>
  <c r="AG144" i="5"/>
  <c r="U144" i="5" s="1"/>
  <c r="S144" i="5"/>
  <c r="F144" i="12" s="1"/>
  <c r="AG143" i="5"/>
  <c r="U143" i="5" s="1"/>
  <c r="S143" i="5"/>
  <c r="F143" i="12" s="1"/>
  <c r="S141" i="5"/>
  <c r="F141" i="12" s="1"/>
  <c r="AG141" i="5"/>
  <c r="U141" i="5" s="1"/>
  <c r="AG140" i="5"/>
  <c r="U140" i="5" s="1"/>
  <c r="S140" i="5"/>
  <c r="F140" i="12" s="1"/>
  <c r="AG136" i="5"/>
  <c r="U136" i="5" s="1"/>
  <c r="S136" i="5"/>
  <c r="F136" i="12" s="1"/>
  <c r="S134" i="5"/>
  <c r="F134" i="12" s="1"/>
  <c r="AG134" i="5"/>
  <c r="U134" i="5" s="1"/>
  <c r="S130" i="5"/>
  <c r="F130" i="12" s="1"/>
  <c r="AG130" i="5"/>
  <c r="U130" i="5" s="1"/>
  <c r="S126" i="5"/>
  <c r="F126" i="12" s="1"/>
  <c r="AG126" i="5"/>
  <c r="U126" i="5" s="1"/>
  <c r="S124" i="5"/>
  <c r="F124" i="12" s="1"/>
  <c r="AG124" i="5"/>
  <c r="U124" i="5" s="1"/>
  <c r="AG109" i="5"/>
  <c r="U109" i="5" s="1"/>
  <c r="S109" i="5"/>
  <c r="F109" i="12" s="1"/>
  <c r="S100" i="5"/>
  <c r="F100" i="12" s="1"/>
  <c r="AG100" i="5"/>
  <c r="U100" i="5" s="1"/>
  <c r="S133" i="5"/>
  <c r="F133" i="12" s="1"/>
  <c r="AG133" i="5"/>
  <c r="U133" i="5" s="1"/>
  <c r="AG132" i="5"/>
  <c r="U132" i="5" s="1"/>
  <c r="S132" i="5"/>
  <c r="F132" i="12" s="1"/>
  <c r="AG122" i="5"/>
  <c r="U122" i="5" s="1"/>
  <c r="S117" i="5"/>
  <c r="F117" i="12" s="1"/>
  <c r="AG117" i="5"/>
  <c r="U117" i="5" s="1"/>
  <c r="S72" i="5"/>
  <c r="F72" i="12" s="1"/>
  <c r="AG72" i="5"/>
  <c r="U72" i="5" s="1"/>
  <c r="AG158" i="5"/>
  <c r="U158" i="5" s="1"/>
  <c r="S158" i="5"/>
  <c r="F158" i="12" s="1"/>
  <c r="AG148" i="5"/>
  <c r="U148" i="5" s="1"/>
  <c r="S148" i="5"/>
  <c r="F148" i="12" s="1"/>
  <c r="S147" i="5"/>
  <c r="F147" i="12" s="1"/>
  <c r="AG147" i="5"/>
  <c r="U147" i="5" s="1"/>
  <c r="AG139" i="5"/>
  <c r="U139" i="5" s="1"/>
  <c r="S139" i="5"/>
  <c r="F139" i="12" s="1"/>
  <c r="S138" i="5"/>
  <c r="F138" i="12" s="1"/>
  <c r="AG138" i="5"/>
  <c r="U138" i="5" s="1"/>
  <c r="AG129" i="5"/>
  <c r="U129" i="5" s="1"/>
  <c r="S127" i="5"/>
  <c r="F127" i="12" s="1"/>
  <c r="AG127" i="5"/>
  <c r="U127" i="5" s="1"/>
  <c r="AG121" i="5"/>
  <c r="U121" i="5" s="1"/>
  <c r="S121" i="5"/>
  <c r="F121" i="12" s="1"/>
  <c r="S120" i="5"/>
  <c r="F120" i="12" s="1"/>
  <c r="AG120" i="5"/>
  <c r="U120" i="5" s="1"/>
  <c r="S110" i="5"/>
  <c r="F110" i="12" s="1"/>
  <c r="AG110" i="5"/>
  <c r="U110" i="5" s="1"/>
  <c r="S104" i="5"/>
  <c r="F104" i="12" s="1"/>
  <c r="AG104" i="5"/>
  <c r="U104" i="5" s="1"/>
  <c r="AG86" i="5"/>
  <c r="U86" i="5" s="1"/>
  <c r="AG112" i="5"/>
  <c r="U112" i="5" s="1"/>
  <c r="AG107" i="5"/>
  <c r="U107" i="5" s="1"/>
  <c r="AG103" i="5"/>
  <c r="U103" i="5" s="1"/>
  <c r="S103" i="5"/>
  <c r="F103" i="12" s="1"/>
  <c r="S101" i="5"/>
  <c r="F101" i="12" s="1"/>
  <c r="AG101" i="5"/>
  <c r="U101" i="5" s="1"/>
  <c r="S98" i="5"/>
  <c r="F98" i="12" s="1"/>
  <c r="AG98" i="5"/>
  <c r="U98" i="5" s="1"/>
  <c r="AG116" i="5"/>
  <c r="U116" i="5" s="1"/>
  <c r="S116" i="5"/>
  <c r="F116" i="12" s="1"/>
  <c r="S114" i="5"/>
  <c r="F114" i="12" s="1"/>
  <c r="AG114" i="5"/>
  <c r="U114" i="5" s="1"/>
  <c r="S111" i="5"/>
  <c r="F111" i="12" s="1"/>
  <c r="AG111" i="5"/>
  <c r="U111" i="5" s="1"/>
  <c r="S108" i="5"/>
  <c r="F108" i="12" s="1"/>
  <c r="AG108" i="5"/>
  <c r="U108" i="5" s="1"/>
  <c r="AG106" i="5"/>
  <c r="U106" i="5" s="1"/>
  <c r="S106" i="5"/>
  <c r="F106" i="12" s="1"/>
  <c r="S105" i="5"/>
  <c r="F105" i="12" s="1"/>
  <c r="AG105" i="5"/>
  <c r="U105" i="5" s="1"/>
  <c r="AG102" i="5"/>
  <c r="U102" i="5" s="1"/>
  <c r="S99" i="5"/>
  <c r="F99" i="12" s="1"/>
  <c r="AG99" i="5"/>
  <c r="U99" i="5" s="1"/>
  <c r="S94" i="5"/>
  <c r="F94" i="12" s="1"/>
  <c r="AG94" i="5"/>
  <c r="U94" i="5" s="1"/>
  <c r="AG87" i="5"/>
  <c r="U87" i="5" s="1"/>
  <c r="S87" i="5"/>
  <c r="F87" i="12" s="1"/>
  <c r="AG93" i="5"/>
  <c r="U93" i="5" s="1"/>
  <c r="AG92" i="5"/>
  <c r="U92" i="5" s="1"/>
  <c r="AG89" i="5"/>
  <c r="U89" i="5" s="1"/>
  <c r="S89" i="5"/>
  <c r="F89" i="12" s="1"/>
  <c r="AG85" i="5"/>
  <c r="U85" i="5" s="1"/>
  <c r="S85" i="5"/>
  <c r="F85" i="12" s="1"/>
  <c r="S81" i="5"/>
  <c r="F81" i="12" s="1"/>
  <c r="AG81" i="5"/>
  <c r="U81" i="5" s="1"/>
  <c r="AG79" i="5"/>
  <c r="U79" i="5" s="1"/>
  <c r="S79" i="5"/>
  <c r="F79" i="12" s="1"/>
  <c r="AG67" i="5"/>
  <c r="U67" i="5" s="1"/>
  <c r="S67" i="5"/>
  <c r="F67" i="12" s="1"/>
  <c r="S65" i="5"/>
  <c r="F65" i="12" s="1"/>
  <c r="AG65" i="5"/>
  <c r="U65" i="5" s="1"/>
  <c r="S96" i="5"/>
  <c r="F96" i="12" s="1"/>
  <c r="AG96" i="5"/>
  <c r="U96" i="5" s="1"/>
  <c r="AG91" i="5"/>
  <c r="U91" i="5" s="1"/>
  <c r="S91" i="5"/>
  <c r="F91" i="12" s="1"/>
  <c r="AG90" i="5"/>
  <c r="U90" i="5" s="1"/>
  <c r="S90" i="5"/>
  <c r="F90" i="12" s="1"/>
  <c r="S88" i="5"/>
  <c r="F88" i="12" s="1"/>
  <c r="AG88" i="5"/>
  <c r="U88" i="5" s="1"/>
  <c r="AG84" i="5"/>
  <c r="U84" i="5" s="1"/>
  <c r="S84" i="5"/>
  <c r="F84" i="12" s="1"/>
  <c r="AG75" i="5"/>
  <c r="U75" i="5" s="1"/>
  <c r="S75" i="5"/>
  <c r="F75" i="12" s="1"/>
  <c r="S70" i="5"/>
  <c r="F70" i="12" s="1"/>
  <c r="AG70" i="5"/>
  <c r="U70" i="5" s="1"/>
  <c r="AG69" i="5"/>
  <c r="U69" i="5" s="1"/>
  <c r="S69" i="5"/>
  <c r="F69" i="12" s="1"/>
  <c r="S59" i="5"/>
  <c r="F59" i="12" s="1"/>
  <c r="AG59" i="5"/>
  <c r="U59" i="5" s="1"/>
  <c r="AG95" i="5"/>
  <c r="U95" i="5" s="1"/>
  <c r="S95" i="5"/>
  <c r="F95" i="12" s="1"/>
  <c r="AG83" i="5"/>
  <c r="U83" i="5" s="1"/>
  <c r="S83" i="5"/>
  <c r="F83" i="12" s="1"/>
  <c r="AG82" i="5"/>
  <c r="U82" i="5" s="1"/>
  <c r="AG80" i="5"/>
  <c r="U80" i="5" s="1"/>
  <c r="S80" i="5"/>
  <c r="F80" i="12" s="1"/>
  <c r="AG77" i="5"/>
  <c r="U77" i="5" s="1"/>
  <c r="S77" i="5"/>
  <c r="F77" i="12" s="1"/>
  <c r="AG73" i="5"/>
  <c r="U73" i="5" s="1"/>
  <c r="AG68" i="5"/>
  <c r="U68" i="5" s="1"/>
  <c r="S68" i="5"/>
  <c r="F68" i="12" s="1"/>
  <c r="AG47" i="5"/>
  <c r="U47" i="5" s="1"/>
  <c r="S47" i="5"/>
  <c r="F47" i="12" s="1"/>
  <c r="S78" i="5"/>
  <c r="F78" i="12" s="1"/>
  <c r="AG78" i="5"/>
  <c r="U78" i="5" s="1"/>
  <c r="S76" i="5"/>
  <c r="F76" i="12" s="1"/>
  <c r="AG76" i="5"/>
  <c r="U76" i="5" s="1"/>
  <c r="AG74" i="5"/>
  <c r="U74" i="5" s="1"/>
  <c r="S74" i="5"/>
  <c r="F74" i="12" s="1"/>
  <c r="S61" i="5"/>
  <c r="F61" i="12" s="1"/>
  <c r="AG61" i="5"/>
  <c r="U61" i="5" s="1"/>
  <c r="S58" i="5"/>
  <c r="F58" i="12" s="1"/>
  <c r="AG58" i="5"/>
  <c r="U58" i="5" s="1"/>
  <c r="S50" i="5"/>
  <c r="F50" i="12" s="1"/>
  <c r="AG50" i="5"/>
  <c r="U50" i="5" s="1"/>
  <c r="AG71" i="5"/>
  <c r="U71" i="5" s="1"/>
  <c r="S71" i="5"/>
  <c r="F71" i="12" s="1"/>
  <c r="AG66" i="5"/>
  <c r="U66" i="5" s="1"/>
  <c r="S64" i="5"/>
  <c r="F64" i="12" s="1"/>
  <c r="AG64" i="5"/>
  <c r="U64" i="5" s="1"/>
  <c r="S63" i="5"/>
  <c r="F63" i="12" s="1"/>
  <c r="AG63" i="5"/>
  <c r="U63" i="5" s="1"/>
  <c r="S62" i="5"/>
  <c r="F62" i="12" s="1"/>
  <c r="AG62" i="5"/>
  <c r="U62" i="5" s="1"/>
  <c r="AG60" i="5"/>
  <c r="U60" i="5" s="1"/>
  <c r="S60" i="5"/>
  <c r="F60" i="12" s="1"/>
  <c r="S53" i="5"/>
  <c r="F53" i="12" s="1"/>
  <c r="AG53" i="5"/>
  <c r="U53" i="5" s="1"/>
  <c r="AG49" i="5"/>
  <c r="U49" i="5" s="1"/>
  <c r="AG48" i="5"/>
  <c r="U48" i="5" s="1"/>
  <c r="AG55" i="5"/>
  <c r="U55" i="5" s="1"/>
  <c r="S55" i="5"/>
  <c r="F55" i="12" s="1"/>
  <c r="S52" i="5"/>
  <c r="F52" i="12" s="1"/>
  <c r="AG52" i="5"/>
  <c r="U52" i="5" s="1"/>
  <c r="AG57" i="5"/>
  <c r="U57" i="5" s="1"/>
  <c r="S57" i="5"/>
  <c r="F57" i="12" s="1"/>
  <c r="AG56" i="5"/>
  <c r="U56" i="5" s="1"/>
  <c r="S54" i="5"/>
  <c r="F54" i="12" s="1"/>
  <c r="AG54" i="5"/>
  <c r="U54" i="5" s="1"/>
  <c r="AG51" i="5"/>
  <c r="U51" i="5" s="1"/>
  <c r="S51" i="5"/>
  <c r="F51" i="12" s="1"/>
  <c r="AG44" i="5"/>
  <c r="U44" i="5" s="1"/>
  <c r="S44" i="5"/>
  <c r="F44" i="12" s="1"/>
  <c r="AG43" i="5"/>
  <c r="U43" i="5" s="1"/>
  <c r="AG41" i="5"/>
  <c r="U41" i="5" s="1"/>
  <c r="S41" i="5"/>
  <c r="F41" i="12" s="1"/>
  <c r="AG40" i="5"/>
  <c r="U40" i="5" s="1"/>
  <c r="AG29" i="5"/>
  <c r="U29" i="5" s="1"/>
  <c r="S45" i="5"/>
  <c r="F45" i="12" s="1"/>
  <c r="AG45" i="5"/>
  <c r="U45" i="5" s="1"/>
  <c r="S39" i="5"/>
  <c r="F39" i="12" s="1"/>
  <c r="AG39" i="5"/>
  <c r="U39" i="5" s="1"/>
  <c r="AG36" i="5"/>
  <c r="U36" i="5" s="1"/>
  <c r="AG32" i="5"/>
  <c r="U32" i="5" s="1"/>
  <c r="S32" i="5"/>
  <c r="F32" i="12" s="1"/>
  <c r="AG46" i="5"/>
  <c r="U46" i="5" s="1"/>
  <c r="S46" i="5"/>
  <c r="F46" i="12" s="1"/>
  <c r="S42" i="5"/>
  <c r="F42" i="12" s="1"/>
  <c r="AG42" i="5"/>
  <c r="U42" i="5" s="1"/>
  <c r="AG38" i="5"/>
  <c r="U38" i="5" s="1"/>
  <c r="S38" i="5"/>
  <c r="F38" i="12" s="1"/>
  <c r="AG30" i="5"/>
  <c r="U30" i="5" s="1"/>
  <c r="S30" i="5"/>
  <c r="F30" i="12" s="1"/>
  <c r="AG34" i="5"/>
  <c r="U34" i="5" s="1"/>
  <c r="S34" i="5"/>
  <c r="F34" i="12" s="1"/>
  <c r="AG31" i="5"/>
  <c r="U31" i="5" s="1"/>
  <c r="AG27" i="5"/>
  <c r="U27" i="5" s="1"/>
  <c r="S27" i="5"/>
  <c r="F27" i="12" s="1"/>
  <c r="AG35" i="5"/>
  <c r="U35" i="5" s="1"/>
  <c r="S35" i="5"/>
  <c r="F35" i="12" s="1"/>
  <c r="AG33" i="5"/>
  <c r="U33" i="5" s="1"/>
  <c r="S33" i="5"/>
  <c r="F33" i="12" s="1"/>
  <c r="S37" i="5"/>
  <c r="F37" i="12" s="1"/>
  <c r="AG37" i="5"/>
  <c r="U37" i="5" s="1"/>
  <c r="AG28" i="5"/>
  <c r="U28" i="5" s="1"/>
  <c r="AG25" i="5"/>
  <c r="U25" i="5" s="1"/>
  <c r="S25" i="5"/>
  <c r="F25" i="12" s="1"/>
  <c r="AG16" i="5"/>
  <c r="AG26" i="5"/>
  <c r="U26" i="5" s="1"/>
  <c r="S26" i="5"/>
  <c r="F26" i="12" s="1"/>
  <c r="AG23" i="5"/>
  <c r="U23" i="5" s="1"/>
  <c r="S23" i="5"/>
  <c r="F23" i="12" s="1"/>
  <c r="AG24" i="5"/>
  <c r="U24" i="5" s="1"/>
  <c r="S24" i="5"/>
  <c r="F24" i="12" s="1"/>
  <c r="S20" i="5"/>
  <c r="F20" i="12" s="1"/>
  <c r="AG20" i="5"/>
  <c r="U20" i="5" s="1"/>
  <c r="S18" i="5"/>
  <c r="F18" i="12" s="1"/>
  <c r="AG18" i="5"/>
  <c r="U18" i="5" s="1"/>
  <c r="AG17" i="5"/>
  <c r="S21" i="5"/>
  <c r="F21" i="12" s="1"/>
  <c r="AG21" i="5"/>
  <c r="U21" i="5" s="1"/>
  <c r="S22" i="5"/>
  <c r="F22" i="12" s="1"/>
  <c r="AG22" i="5"/>
  <c r="U22" i="5" s="1"/>
  <c r="AG19" i="5"/>
  <c r="U19" i="5" s="1"/>
  <c r="S19" i="5"/>
  <c r="F19" i="12" s="1"/>
  <c r="S14" i="5"/>
  <c r="AG14" i="5"/>
  <c r="R14" i="5"/>
  <c r="C17" i="9"/>
  <c r="B18" i="9"/>
  <c r="BZ16" i="6"/>
  <c r="G16" i="6"/>
  <c r="CC16" i="6"/>
  <c r="CJ16" i="6"/>
  <c r="BO16" i="6"/>
  <c r="BE16" i="6"/>
  <c r="H16" i="6"/>
  <c r="BF16" i="6"/>
  <c r="BV16" i="6"/>
  <c r="BI16" i="6"/>
  <c r="BG16" i="6"/>
  <c r="CB16" i="6"/>
  <c r="BL16" i="6"/>
  <c r="BT16" i="6"/>
  <c r="CE16" i="6"/>
  <c r="CM16" i="6"/>
  <c r="BX16" i="6"/>
  <c r="BQ16" i="6"/>
  <c r="M16" i="6"/>
  <c r="BN16" i="6"/>
  <c r="BP16" i="6"/>
  <c r="BS16" i="6"/>
  <c r="BM16" i="6"/>
  <c r="CH16" i="6"/>
  <c r="CA16" i="6"/>
  <c r="BH16" i="6"/>
  <c r="N16" i="6"/>
  <c r="BR16" i="6"/>
  <c r="BC16" i="6"/>
  <c r="BD16" i="6"/>
  <c r="BJ16" i="6"/>
  <c r="CD16" i="6"/>
  <c r="CF16" i="6"/>
  <c r="CI16" i="6"/>
  <c r="CG16" i="6"/>
  <c r="BY16" i="6"/>
  <c r="BW16" i="6"/>
  <c r="CK16" i="6"/>
  <c r="BK16" i="6"/>
  <c r="AF13" i="12"/>
  <c r="BV12" i="6"/>
  <c r="BW13" i="6"/>
  <c r="B19" i="7"/>
  <c r="C20" i="7"/>
  <c r="M14" i="6"/>
  <c r="BC14" i="6" s="1"/>
  <c r="N14" i="6"/>
  <c r="Z112" i="8"/>
  <c r="Z113" i="8"/>
  <c r="Z114" i="8"/>
  <c r="AH612" i="5"/>
  <c r="AN612" i="5" s="1"/>
  <c r="AH56" i="5"/>
  <c r="AH598" i="5"/>
  <c r="AN598" i="5" s="1"/>
  <c r="AH565" i="5"/>
  <c r="AN565" i="5" s="1"/>
  <c r="AH139" i="5"/>
  <c r="AN139" i="5" s="1"/>
  <c r="AH471" i="5"/>
  <c r="AH463" i="5"/>
  <c r="I131" i="4"/>
  <c r="I126" i="4"/>
  <c r="I110" i="4"/>
  <c r="I124" i="4"/>
  <c r="I121" i="4"/>
  <c r="I113" i="4"/>
  <c r="I125" i="4"/>
  <c r="I102" i="4"/>
  <c r="I106" i="4"/>
  <c r="I118" i="4"/>
  <c r="I128" i="4"/>
  <c r="I127" i="4"/>
  <c r="I105" i="4"/>
  <c r="I94" i="4"/>
  <c r="I104" i="4"/>
  <c r="I130" i="4"/>
  <c r="I99" i="4"/>
  <c r="I123" i="4"/>
  <c r="I129" i="4"/>
  <c r="I109" i="4"/>
  <c r="I97" i="4"/>
  <c r="I98" i="4"/>
  <c r="H5" i="5"/>
  <c r="X8" i="5" s="1"/>
  <c r="I111" i="4"/>
  <c r="I58" i="4"/>
  <c r="I81" i="4"/>
  <c r="I84" i="4"/>
  <c r="I93" i="4"/>
  <c r="I92" i="4"/>
  <c r="I65" i="4"/>
  <c r="I80" i="4"/>
  <c r="I88" i="4"/>
  <c r="I73" i="4"/>
  <c r="I55" i="4"/>
  <c r="I70" i="4"/>
  <c r="G5" i="5"/>
  <c r="I57" i="4"/>
  <c r="I63" i="4"/>
  <c r="I75" i="4"/>
  <c r="I77" i="4"/>
  <c r="I91" i="4"/>
  <c r="I61" i="4"/>
  <c r="I68" i="4"/>
  <c r="B16" i="5"/>
  <c r="I16" i="5"/>
  <c r="A16" i="12"/>
  <c r="F16" i="5"/>
  <c r="AE16" i="5"/>
  <c r="C17" i="5"/>
  <c r="J12" i="10"/>
  <c r="I11" i="10"/>
  <c r="C23" i="4" l="1"/>
  <c r="A24" i="4"/>
  <c r="C17" i="4"/>
  <c r="A18" i="4"/>
  <c r="A30" i="4"/>
  <c r="C29" i="4"/>
  <c r="E16" i="5"/>
  <c r="E17" i="5" s="1"/>
  <c r="B21" i="10"/>
  <c r="B22" i="10" s="1"/>
  <c r="AN463" i="5"/>
  <c r="BW14" i="6"/>
  <c r="B42" i="14"/>
  <c r="BE13" i="6"/>
  <c r="BE14" i="6" s="1"/>
  <c r="BD12" i="6"/>
  <c r="C36" i="4"/>
  <c r="A37" i="4"/>
  <c r="C37" i="4" s="1"/>
  <c r="AL12" i="6"/>
  <c r="AM13" i="6"/>
  <c r="C5" i="4"/>
  <c r="A6" i="4"/>
  <c r="C48" i="4"/>
  <c r="A49" i="4"/>
  <c r="C49" i="4" s="1"/>
  <c r="AG13" i="12"/>
  <c r="AH13" i="12" s="1"/>
  <c r="AI13" i="12" s="1"/>
  <c r="AJ13" i="12" s="1"/>
  <c r="AK13" i="12" s="1"/>
  <c r="AL13" i="12" s="1"/>
  <c r="AM13" i="12" s="1"/>
  <c r="L14" i="12"/>
  <c r="T16" i="5"/>
  <c r="G16" i="12" s="1"/>
  <c r="AK16" i="6"/>
  <c r="AJ16" i="6"/>
  <c r="AL16" i="6"/>
  <c r="AN36" i="5"/>
  <c r="AN67" i="5"/>
  <c r="A14" i="13"/>
  <c r="B14" i="11"/>
  <c r="C21" i="10"/>
  <c r="AN386" i="5"/>
  <c r="AH340" i="5"/>
  <c r="AN340" i="5" s="1"/>
  <c r="AH540" i="5"/>
  <c r="AN540" i="5" s="1"/>
  <c r="AH33" i="5"/>
  <c r="AN33" i="5" s="1"/>
  <c r="AH624" i="5"/>
  <c r="AN624" i="5" s="1"/>
  <c r="AH318" i="5"/>
  <c r="AN318" i="5" s="1"/>
  <c r="AH622" i="5"/>
  <c r="AN622" i="5" s="1"/>
  <c r="AH379" i="5"/>
  <c r="AN379" i="5" s="1"/>
  <c r="AH644" i="5"/>
  <c r="AN644" i="5" s="1"/>
  <c r="AH339" i="5"/>
  <c r="AN339" i="5" s="1"/>
  <c r="AH398" i="5"/>
  <c r="AN398" i="5" s="1"/>
  <c r="AH143" i="5"/>
  <c r="AN143" i="5" s="1"/>
  <c r="AH146" i="5"/>
  <c r="AN146" i="5" s="1"/>
  <c r="AH78" i="5"/>
  <c r="AN78" i="5" s="1"/>
  <c r="AH383" i="5"/>
  <c r="AN383" i="5" s="1"/>
  <c r="AH400" i="5"/>
  <c r="AN400" i="5" s="1"/>
  <c r="AH89" i="5"/>
  <c r="AN89" i="5" s="1"/>
  <c r="AH519" i="5"/>
  <c r="AN519" i="5" s="1"/>
  <c r="AH504" i="5"/>
  <c r="AN504" i="5" s="1"/>
  <c r="AH97" i="5"/>
  <c r="AN97" i="5" s="1"/>
  <c r="AH435" i="5"/>
  <c r="AN435" i="5" s="1"/>
  <c r="AH105" i="5"/>
  <c r="AN105" i="5" s="1"/>
  <c r="AH117" i="5"/>
  <c r="AN117" i="5" s="1"/>
  <c r="AH197" i="5"/>
  <c r="AN197" i="5" s="1"/>
  <c r="AH353" i="5"/>
  <c r="AN353" i="5" s="1"/>
  <c r="AH45" i="5"/>
  <c r="AN45" i="5" s="1"/>
  <c r="AH179" i="5"/>
  <c r="AN179" i="5" s="1"/>
  <c r="AH69" i="5"/>
  <c r="AN69" i="5" s="1"/>
  <c r="AH184" i="5"/>
  <c r="AN184" i="5" s="1"/>
  <c r="AH422" i="5"/>
  <c r="AN422" i="5" s="1"/>
  <c r="AH265" i="5"/>
  <c r="AN265" i="5" s="1"/>
  <c r="AH419" i="5"/>
  <c r="AN419" i="5" s="1"/>
  <c r="AH618" i="5"/>
  <c r="AN618" i="5" s="1"/>
  <c r="AH458" i="5"/>
  <c r="AN458" i="5" s="1"/>
  <c r="AH508" i="5"/>
  <c r="AN508" i="5" s="1"/>
  <c r="AH316" i="5"/>
  <c r="AN316" i="5" s="1"/>
  <c r="AH294" i="5"/>
  <c r="AN294" i="5" s="1"/>
  <c r="AH512" i="5"/>
  <c r="AN512" i="5" s="1"/>
  <c r="AH680" i="5"/>
  <c r="AN680" i="5" s="1"/>
  <c r="AH439" i="5"/>
  <c r="AN439" i="5" s="1"/>
  <c r="AH285" i="5"/>
  <c r="AN285" i="5" s="1"/>
  <c r="AH613" i="5"/>
  <c r="AN613" i="5" s="1"/>
  <c r="AH162" i="5"/>
  <c r="AN162" i="5" s="1"/>
  <c r="AH157" i="5"/>
  <c r="AN157" i="5" s="1"/>
  <c r="AH348" i="5"/>
  <c r="AN348" i="5" s="1"/>
  <c r="AH55" i="5"/>
  <c r="AN55" i="5" s="1"/>
  <c r="AH341" i="5"/>
  <c r="AN341" i="5" s="1"/>
  <c r="AH172" i="5"/>
  <c r="AN172" i="5" s="1"/>
  <c r="AH532" i="5"/>
  <c r="AN532" i="5" s="1"/>
  <c r="AH370" i="5"/>
  <c r="AN370" i="5" s="1"/>
  <c r="AH67" i="5"/>
  <c r="AH639" i="5"/>
  <c r="AN639" i="5" s="1"/>
  <c r="AH360" i="5"/>
  <c r="AN360" i="5" s="1"/>
  <c r="AH279" i="5"/>
  <c r="AN279" i="5" s="1"/>
  <c r="AH180" i="5"/>
  <c r="AN180" i="5" s="1"/>
  <c r="AH261" i="5"/>
  <c r="AN261" i="5" s="1"/>
  <c r="AH47" i="5"/>
  <c r="AN47" i="5" s="1"/>
  <c r="AH642" i="5"/>
  <c r="AN642" i="5" s="1"/>
  <c r="AH547" i="5"/>
  <c r="AN547" i="5" s="1"/>
  <c r="AH106" i="5"/>
  <c r="AN106" i="5" s="1"/>
  <c r="AH417" i="5"/>
  <c r="AN417" i="5" s="1"/>
  <c r="AH550" i="5"/>
  <c r="AN550" i="5" s="1"/>
  <c r="AH492" i="5"/>
  <c r="AN492" i="5" s="1"/>
  <c r="AH538" i="5"/>
  <c r="AN538" i="5" s="1"/>
  <c r="AH164" i="5"/>
  <c r="AN164" i="5" s="1"/>
  <c r="AH210" i="5"/>
  <c r="AN210" i="5" s="1"/>
  <c r="AH270" i="5"/>
  <c r="AN270" i="5" s="1"/>
  <c r="AH96" i="5"/>
  <c r="AN96" i="5" s="1"/>
  <c r="AH686" i="5"/>
  <c r="AN686" i="5" s="1"/>
  <c r="AH283" i="5"/>
  <c r="AN283" i="5" s="1"/>
  <c r="AH268" i="5"/>
  <c r="AN268" i="5" s="1"/>
  <c r="AH63" i="5"/>
  <c r="AN63" i="5" s="1"/>
  <c r="AH414" i="5"/>
  <c r="AN414" i="5" s="1"/>
  <c r="AH563" i="5"/>
  <c r="AN563" i="5" s="1"/>
  <c r="AH609" i="5"/>
  <c r="AN609" i="5" s="1"/>
  <c r="AH706" i="5"/>
  <c r="AN706" i="5" s="1"/>
  <c r="AH485" i="5"/>
  <c r="AN485" i="5" s="1"/>
  <c r="AH413" i="5"/>
  <c r="AN413" i="5" s="1"/>
  <c r="AH708" i="5"/>
  <c r="AN708" i="5" s="1"/>
  <c r="AH692" i="5"/>
  <c r="AN692" i="5" s="1"/>
  <c r="AH274" i="5"/>
  <c r="AN274" i="5" s="1"/>
  <c r="AH554" i="5"/>
  <c r="AN554" i="5" s="1"/>
  <c r="AH214" i="5"/>
  <c r="AN214" i="5" s="1"/>
  <c r="AH474" i="5"/>
  <c r="AN474" i="5" s="1"/>
  <c r="AH94" i="5"/>
  <c r="AN94" i="5" s="1"/>
  <c r="AH298" i="5"/>
  <c r="AN298" i="5" s="1"/>
  <c r="AH17" i="5"/>
  <c r="AN17" i="5" s="1"/>
  <c r="AH404" i="5"/>
  <c r="AN404" i="5" s="1"/>
  <c r="AH673" i="5"/>
  <c r="AN673" i="5" s="1"/>
  <c r="AH198" i="5"/>
  <c r="AN198" i="5" s="1"/>
  <c r="AH286" i="5"/>
  <c r="AN286" i="5" s="1"/>
  <c r="AH104" i="5"/>
  <c r="AN104" i="5" s="1"/>
  <c r="AH35" i="5"/>
  <c r="AN35" i="5" s="1"/>
  <c r="AH659" i="5"/>
  <c r="AN659" i="5" s="1"/>
  <c r="AH396" i="5"/>
  <c r="AN396" i="5" s="1"/>
  <c r="AH543" i="5"/>
  <c r="AN543" i="5" s="1"/>
  <c r="AH188" i="5"/>
  <c r="AN188" i="5" s="1"/>
  <c r="AH623" i="5"/>
  <c r="AN623" i="5" s="1"/>
  <c r="AH107" i="5"/>
  <c r="AN107" i="5" s="1"/>
  <c r="AH704" i="5"/>
  <c r="AN704" i="5" s="1"/>
  <c r="AH350" i="5"/>
  <c r="AN350" i="5" s="1"/>
  <c r="AH83" i="5"/>
  <c r="AN83" i="5" s="1"/>
  <c r="AH535" i="5"/>
  <c r="AN535" i="5" s="1"/>
  <c r="AH14" i="5"/>
  <c r="AH80" i="5"/>
  <c r="AN80" i="5" s="1"/>
  <c r="AH171" i="5"/>
  <c r="AN171" i="5" s="1"/>
  <c r="AH344" i="5"/>
  <c r="AN344" i="5" s="1"/>
  <c r="AH456" i="5"/>
  <c r="AN456" i="5" s="1"/>
  <c r="AH621" i="5"/>
  <c r="AN621" i="5" s="1"/>
  <c r="AH168" i="5"/>
  <c r="AN168" i="5" s="1"/>
  <c r="AH453" i="5"/>
  <c r="AN453" i="5" s="1"/>
  <c r="AH175" i="5"/>
  <c r="AN175" i="5" s="1"/>
  <c r="AH399" i="5"/>
  <c r="AN399" i="5" s="1"/>
  <c r="AH553" i="5"/>
  <c r="AN553" i="5" s="1"/>
  <c r="AH334" i="5"/>
  <c r="AN334" i="5" s="1"/>
  <c r="AH51" i="5"/>
  <c r="AN51" i="5" s="1"/>
  <c r="AH691" i="5"/>
  <c r="AN691" i="5" s="1"/>
  <c r="AH108" i="5"/>
  <c r="AN108" i="5" s="1"/>
  <c r="AH501" i="5"/>
  <c r="AN501" i="5" s="1"/>
  <c r="AH652" i="5"/>
  <c r="AN652" i="5" s="1"/>
  <c r="AH539" i="5"/>
  <c r="AN539" i="5" s="1"/>
  <c r="AH431" i="5"/>
  <c r="AN431" i="5" s="1"/>
  <c r="AH263" i="5"/>
  <c r="AN263" i="5" s="1"/>
  <c r="AH133" i="5"/>
  <c r="AN133" i="5" s="1"/>
  <c r="AH433" i="5"/>
  <c r="AN433" i="5" s="1"/>
  <c r="AH415" i="5"/>
  <c r="AN415" i="5" s="1"/>
  <c r="AH255" i="5"/>
  <c r="AN255" i="5" s="1"/>
  <c r="AH208" i="5"/>
  <c r="AN208" i="5" s="1"/>
  <c r="AH178" i="5"/>
  <c r="AN178" i="5" s="1"/>
  <c r="AH570" i="5"/>
  <c r="AN570" i="5" s="1"/>
  <c r="AH201" i="5"/>
  <c r="AN201" i="5" s="1"/>
  <c r="AH181" i="5"/>
  <c r="AN181" i="5" s="1"/>
  <c r="AH627" i="5"/>
  <c r="AN627" i="5" s="1"/>
  <c r="AH130" i="5"/>
  <c r="AN130" i="5" s="1"/>
  <c r="AH709" i="5"/>
  <c r="AN709" i="5" s="1"/>
  <c r="AH681" i="5"/>
  <c r="AN681" i="5" s="1"/>
  <c r="AH213" i="5"/>
  <c r="AN213" i="5" s="1"/>
  <c r="AH434" i="5"/>
  <c r="AN434" i="5" s="1"/>
  <c r="AH497" i="5"/>
  <c r="AN497" i="5" s="1"/>
  <c r="AH199" i="5"/>
  <c r="AN199" i="5" s="1"/>
  <c r="AH660" i="5"/>
  <c r="AN660" i="5" s="1"/>
  <c r="AH111" i="5"/>
  <c r="AN111" i="5" s="1"/>
  <c r="AH478" i="5"/>
  <c r="AN478" i="5" s="1"/>
  <c r="AH576" i="5"/>
  <c r="AN576" i="5" s="1"/>
  <c r="AH226" i="5"/>
  <c r="AN226" i="5" s="1"/>
  <c r="AH597" i="5"/>
  <c r="AN597" i="5" s="1"/>
  <c r="AH557" i="5"/>
  <c r="AN557" i="5" s="1"/>
  <c r="AH368" i="5"/>
  <c r="AN368" i="5" s="1"/>
  <c r="AH38" i="5"/>
  <c r="AN38" i="5" s="1"/>
  <c r="AH302" i="5"/>
  <c r="AN302" i="5" s="1"/>
  <c r="AH488" i="5"/>
  <c r="AN488" i="5" s="1"/>
  <c r="AH452" i="5"/>
  <c r="AN452" i="5" s="1"/>
  <c r="AH308" i="5"/>
  <c r="AN308" i="5" s="1"/>
  <c r="AH690" i="5"/>
  <c r="AN690" i="5" s="1"/>
  <c r="AH234" i="5"/>
  <c r="AN234" i="5" s="1"/>
  <c r="AH247" i="5"/>
  <c r="AN247" i="5" s="1"/>
  <c r="AH160" i="5"/>
  <c r="AN160" i="5" s="1"/>
  <c r="AH605" i="5"/>
  <c r="AN605" i="5" s="1"/>
  <c r="AH647" i="5"/>
  <c r="AN647" i="5" s="1"/>
  <c r="AH335" i="5"/>
  <c r="AN335" i="5" s="1"/>
  <c r="AH44" i="5"/>
  <c r="AN44" i="5" s="1"/>
  <c r="AH159" i="5"/>
  <c r="AN159" i="5" s="1"/>
  <c r="AH606" i="5"/>
  <c r="AN606" i="5" s="1"/>
  <c r="AH445" i="5"/>
  <c r="AN445" i="5" s="1"/>
  <c r="AH455" i="5"/>
  <c r="AN455" i="5" s="1"/>
  <c r="AH229" i="5"/>
  <c r="AN229" i="5" s="1"/>
  <c r="AH655" i="5"/>
  <c r="AN655" i="5" s="1"/>
  <c r="AH49" i="5"/>
  <c r="AN49" i="5" s="1"/>
  <c r="AH382" i="5"/>
  <c r="AN382" i="5" s="1"/>
  <c r="AH483" i="5"/>
  <c r="AN483" i="5" s="1"/>
  <c r="AH470" i="5"/>
  <c r="AN470" i="5" s="1"/>
  <c r="AH151" i="5"/>
  <c r="AN151" i="5" s="1"/>
  <c r="AH608" i="5"/>
  <c r="AN608" i="5" s="1"/>
  <c r="AH144" i="5"/>
  <c r="AN144" i="5" s="1"/>
  <c r="AH150" i="5"/>
  <c r="AN150" i="5" s="1"/>
  <c r="AH250" i="5"/>
  <c r="AN250" i="5" s="1"/>
  <c r="AH169" i="5"/>
  <c r="AN169" i="5" s="1"/>
  <c r="AH551" i="5"/>
  <c r="AN551" i="5" s="1"/>
  <c r="AH536" i="5"/>
  <c r="AN536" i="5" s="1"/>
  <c r="AH525" i="5"/>
  <c r="AN525" i="5" s="1"/>
  <c r="AH626" i="5"/>
  <c r="AN626" i="5" s="1"/>
  <c r="AH518" i="5"/>
  <c r="AN518" i="5" s="1"/>
  <c r="AH26" i="5"/>
  <c r="AN26" i="5" s="1"/>
  <c r="AH568" i="5"/>
  <c r="AN568" i="5" s="1"/>
  <c r="AH221" i="5"/>
  <c r="AN221" i="5" s="1"/>
  <c r="AH129" i="5"/>
  <c r="AN129" i="5" s="1"/>
  <c r="AH337" i="5"/>
  <c r="AN337" i="5" s="1"/>
  <c r="AH343" i="5"/>
  <c r="AN343" i="5" s="1"/>
  <c r="AH260" i="5"/>
  <c r="AN260" i="5" s="1"/>
  <c r="AH407" i="5"/>
  <c r="AN407" i="5" s="1"/>
  <c r="AH53" i="5"/>
  <c r="AN53" i="5" s="1"/>
  <c r="AH190" i="5"/>
  <c r="AN190" i="5" s="1"/>
  <c r="AH59" i="5"/>
  <c r="AN59" i="5" s="1"/>
  <c r="AH430" i="5"/>
  <c r="AN430" i="5" s="1"/>
  <c r="AH410" i="5"/>
  <c r="AN410" i="5" s="1"/>
  <c r="AH246" i="5"/>
  <c r="AN246" i="5" s="1"/>
  <c r="AH253" i="5"/>
  <c r="AN253" i="5" s="1"/>
  <c r="AH385" i="5"/>
  <c r="AN385" i="5" s="1"/>
  <c r="AH587" i="5"/>
  <c r="AN587" i="5" s="1"/>
  <c r="AH651" i="5"/>
  <c r="AN651" i="5" s="1"/>
  <c r="AH695" i="5"/>
  <c r="AN695" i="5" s="1"/>
  <c r="AH625" i="5"/>
  <c r="AN625" i="5" s="1"/>
  <c r="AH189" i="5"/>
  <c r="AN189" i="5" s="1"/>
  <c r="AH402" i="5"/>
  <c r="AN402" i="5" s="1"/>
  <c r="AH650" i="5"/>
  <c r="AN650" i="5" s="1"/>
  <c r="AH217" i="5"/>
  <c r="AN217" i="5" s="1"/>
  <c r="AH191" i="5"/>
  <c r="AN191" i="5" s="1"/>
  <c r="AH685" i="5"/>
  <c r="AN685" i="5" s="1"/>
  <c r="AH222" i="5"/>
  <c r="AN222" i="5" s="1"/>
  <c r="AH388" i="5"/>
  <c r="AN388" i="5" s="1"/>
  <c r="AH386" i="5"/>
  <c r="AH72" i="5"/>
  <c r="AN72" i="5" s="1"/>
  <c r="AH258" i="5"/>
  <c r="AN258" i="5" s="1"/>
  <c r="AH676" i="5"/>
  <c r="AN676" i="5" s="1"/>
  <c r="AH118" i="5"/>
  <c r="AN118" i="5" s="1"/>
  <c r="AH578" i="5"/>
  <c r="AN578" i="5" s="1"/>
  <c r="AH465" i="5"/>
  <c r="AN465" i="5" s="1"/>
  <c r="AH230" i="5"/>
  <c r="AN230" i="5" s="1"/>
  <c r="AH254" i="5"/>
  <c r="AN254" i="5" s="1"/>
  <c r="AH594" i="5"/>
  <c r="AN594" i="5" s="1"/>
  <c r="AH424" i="5"/>
  <c r="AN424" i="5" s="1"/>
  <c r="AH389" i="5"/>
  <c r="AN389" i="5" s="1"/>
  <c r="AH523" i="5"/>
  <c r="AN523" i="5" s="1"/>
  <c r="AH457" i="5"/>
  <c r="AN457" i="5" s="1"/>
  <c r="AH503" i="5"/>
  <c r="AN503" i="5" s="1"/>
  <c r="AH346" i="5"/>
  <c r="AN346" i="5" s="1"/>
  <c r="AH487" i="5"/>
  <c r="AN487" i="5" s="1"/>
  <c r="AH475" i="5"/>
  <c r="AN475" i="5" s="1"/>
  <c r="AH100" i="5"/>
  <c r="AN100" i="5" s="1"/>
  <c r="AH266" i="5"/>
  <c r="AN266" i="5" s="1"/>
  <c r="AH18" i="5"/>
  <c r="AN18" i="5" s="1"/>
  <c r="AH345" i="5"/>
  <c r="AN345" i="5" s="1"/>
  <c r="AH333" i="5"/>
  <c r="AN333" i="5" s="1"/>
  <c r="AH381" i="5"/>
  <c r="AN381" i="5" s="1"/>
  <c r="AH271" i="5"/>
  <c r="AN271" i="5" s="1"/>
  <c r="AH657" i="5"/>
  <c r="AN657" i="5" s="1"/>
  <c r="AH204" i="5"/>
  <c r="AN204" i="5" s="1"/>
  <c r="AH127" i="5"/>
  <c r="AN127" i="5" s="1"/>
  <c r="AH352" i="5"/>
  <c r="AN352" i="5" s="1"/>
  <c r="AH16" i="5"/>
  <c r="AN16" i="5" s="1"/>
  <c r="AH596" i="5"/>
  <c r="AN596" i="5" s="1"/>
  <c r="AH31" i="5"/>
  <c r="AN31" i="5" s="1"/>
  <c r="AH569" i="5"/>
  <c r="AN569" i="5" s="1"/>
  <c r="AH93" i="5"/>
  <c r="AN93" i="5" s="1"/>
  <c r="AH552" i="5"/>
  <c r="AN552" i="5" s="1"/>
  <c r="AH167" i="5"/>
  <c r="AN167" i="5" s="1"/>
  <c r="AH607" i="5"/>
  <c r="AN607" i="5" s="1"/>
  <c r="AH295" i="5"/>
  <c r="AN295" i="5" s="1"/>
  <c r="AH589" i="5"/>
  <c r="AN589" i="5" s="1"/>
  <c r="AH307" i="5"/>
  <c r="AN307" i="5" s="1"/>
  <c r="AH239" i="5"/>
  <c r="AN239" i="5" s="1"/>
  <c r="AH332" i="5"/>
  <c r="AN332" i="5" s="1"/>
  <c r="AH656" i="5"/>
  <c r="AN656" i="5" s="1"/>
  <c r="AH585" i="5"/>
  <c r="AN585" i="5" s="1"/>
  <c r="AH73" i="5"/>
  <c r="AN73" i="5" s="1"/>
  <c r="AH64" i="5"/>
  <c r="AN64" i="5" s="1"/>
  <c r="AH479" i="5"/>
  <c r="AN479" i="5" s="1"/>
  <c r="AH615" i="5"/>
  <c r="AN615" i="5" s="1"/>
  <c r="AH193" i="5"/>
  <c r="AN193" i="5" s="1"/>
  <c r="AH223" i="5"/>
  <c r="AN223" i="5" s="1"/>
  <c r="AH48" i="5"/>
  <c r="AN48" i="5" s="1"/>
  <c r="AH174" i="5"/>
  <c r="AN174" i="5" s="1"/>
  <c r="AH667" i="5"/>
  <c r="AN667" i="5" s="1"/>
  <c r="AH147" i="5"/>
  <c r="AN147" i="5" s="1"/>
  <c r="AH194" i="5"/>
  <c r="AN194" i="5" s="1"/>
  <c r="AH282" i="5"/>
  <c r="AN282" i="5" s="1"/>
  <c r="AH520" i="5"/>
  <c r="AN520" i="5" s="1"/>
  <c r="AH36" i="5"/>
  <c r="AH75" i="5"/>
  <c r="AN75" i="5" s="1"/>
  <c r="AH665" i="5"/>
  <c r="AN665" i="5" s="1"/>
  <c r="AH375" i="5"/>
  <c r="AN375" i="5" s="1"/>
  <c r="AH473" i="5"/>
  <c r="AN473" i="5" s="1"/>
  <c r="AH85" i="5"/>
  <c r="AN85" i="5" s="1"/>
  <c r="AH515" i="5"/>
  <c r="AN515" i="5" s="1"/>
  <c r="AH315" i="5"/>
  <c r="AN315" i="5" s="1"/>
  <c r="AH571" i="5"/>
  <c r="AN571" i="5" s="1"/>
  <c r="AH306" i="5"/>
  <c r="AN306" i="5" s="1"/>
  <c r="AH256" i="5"/>
  <c r="AN256" i="5" s="1"/>
  <c r="AH231" i="5"/>
  <c r="AN231" i="5" s="1"/>
  <c r="AH674" i="5"/>
  <c r="AN674" i="5" s="1"/>
  <c r="AH367" i="5"/>
  <c r="AN367" i="5" s="1"/>
  <c r="AH466" i="5"/>
  <c r="AN466" i="5" s="1"/>
  <c r="AH68" i="5"/>
  <c r="AN68" i="5" s="1"/>
  <c r="AH689" i="5"/>
  <c r="AN689" i="5" s="1"/>
  <c r="AH604" i="5"/>
  <c r="AN604" i="5" s="1"/>
  <c r="AH428" i="5"/>
  <c r="AN428" i="5" s="1"/>
  <c r="AH249" i="5"/>
  <c r="AN249" i="5" s="1"/>
  <c r="AH533" i="5"/>
  <c r="AN533" i="5" s="1"/>
  <c r="AH476" i="5"/>
  <c r="AN476" i="5" s="1"/>
  <c r="AH134" i="5"/>
  <c r="AN134" i="5" s="1"/>
  <c r="AH427" i="5"/>
  <c r="AN427" i="5" s="1"/>
  <c r="AH506" i="5"/>
  <c r="AN506" i="5" s="1"/>
  <c r="AH220" i="5"/>
  <c r="AN220" i="5" s="1"/>
  <c r="AH90" i="5"/>
  <c r="AN90" i="5" s="1"/>
  <c r="AH661" i="5"/>
  <c r="AN661" i="5" s="1"/>
  <c r="AH654" i="5"/>
  <c r="AN654" i="5" s="1"/>
  <c r="AH663" i="5"/>
  <c r="AN663" i="5" s="1"/>
  <c r="AH202" i="5"/>
  <c r="AN202" i="5" s="1"/>
  <c r="AH301" i="5"/>
  <c r="AN301" i="5" s="1"/>
  <c r="AH555" i="5"/>
  <c r="AN555" i="5" s="1"/>
  <c r="AH185" i="5"/>
  <c r="AN185" i="5" s="1"/>
  <c r="AH513" i="5"/>
  <c r="AN513" i="5" s="1"/>
  <c r="AH426" i="5"/>
  <c r="AN426" i="5" s="1"/>
  <c r="AH620" i="5"/>
  <c r="AN620" i="5" s="1"/>
  <c r="AH216" i="5"/>
  <c r="AN216" i="5" s="1"/>
  <c r="AH296" i="5"/>
  <c r="AN296" i="5" s="1"/>
  <c r="AH43" i="5"/>
  <c r="AN43" i="5" s="1"/>
  <c r="AH248" i="5"/>
  <c r="AN248" i="5" s="1"/>
  <c r="AH330" i="5"/>
  <c r="AN330" i="5" s="1"/>
  <c r="AH252" i="5"/>
  <c r="AN252" i="5" s="1"/>
  <c r="AH228" i="5"/>
  <c r="AN228" i="5" s="1"/>
  <c r="AH646" i="5"/>
  <c r="AN646" i="5" s="1"/>
  <c r="AH672" i="5"/>
  <c r="AN672" i="5" s="1"/>
  <c r="AH57" i="5"/>
  <c r="AN57" i="5" s="1"/>
  <c r="AH700" i="5"/>
  <c r="AN700" i="5" s="1"/>
  <c r="AH610" i="5"/>
  <c r="AN610" i="5" s="1"/>
  <c r="AH225" i="5"/>
  <c r="AN225" i="5" s="1"/>
  <c r="AH354" i="5"/>
  <c r="AN354" i="5" s="1"/>
  <c r="AH156" i="5"/>
  <c r="AN156" i="5" s="1"/>
  <c r="AH102" i="5"/>
  <c r="AN102" i="5" s="1"/>
  <c r="AH588" i="5"/>
  <c r="AN588" i="5" s="1"/>
  <c r="AH257" i="5"/>
  <c r="AN257" i="5" s="1"/>
  <c r="AH411" i="5"/>
  <c r="AN411" i="5" s="1"/>
  <c r="AH66" i="5"/>
  <c r="AN66" i="5" s="1"/>
  <c r="AH696" i="5"/>
  <c r="AN696" i="5" s="1"/>
  <c r="AH233" i="5"/>
  <c r="AN233" i="5" s="1"/>
  <c r="AH541" i="5"/>
  <c r="AN541" i="5" s="1"/>
  <c r="AH542" i="5"/>
  <c r="AN542" i="5" s="1"/>
  <c r="AH207" i="5"/>
  <c r="AN207" i="5" s="1"/>
  <c r="AH443" i="5"/>
  <c r="AN443" i="5" s="1"/>
  <c r="AH28" i="5"/>
  <c r="AN28" i="5" s="1"/>
  <c r="AH200" i="5"/>
  <c r="AN200" i="5" s="1"/>
  <c r="AH558" i="5"/>
  <c r="AN558" i="5" s="1"/>
  <c r="AH438" i="5"/>
  <c r="AN438" i="5" s="1"/>
  <c r="AH643" i="5"/>
  <c r="AN643" i="5" s="1"/>
  <c r="AH142" i="5"/>
  <c r="AN142" i="5" s="1"/>
  <c r="AH390" i="5"/>
  <c r="AN390" i="5" s="1"/>
  <c r="AH46" i="5"/>
  <c r="AN46" i="5" s="1"/>
  <c r="AH702" i="5"/>
  <c r="AN702" i="5" s="1"/>
  <c r="AH590" i="5"/>
  <c r="AN590" i="5" s="1"/>
  <c r="AH372" i="5"/>
  <c r="AN372" i="5" s="1"/>
  <c r="AH50" i="5"/>
  <c r="AN50" i="5" s="1"/>
  <c r="AH65" i="5"/>
  <c r="AN65" i="5" s="1"/>
  <c r="AH566" i="5"/>
  <c r="AN566" i="5" s="1"/>
  <c r="AH304" i="5"/>
  <c r="AN304" i="5" s="1"/>
  <c r="AH153" i="5"/>
  <c r="AN153" i="5" s="1"/>
  <c r="AH499" i="5"/>
  <c r="AN499" i="5" s="1"/>
  <c r="AH20" i="5"/>
  <c r="AN20" i="5" s="1"/>
  <c r="AH509" i="5"/>
  <c r="AN509" i="5" s="1"/>
  <c r="AH284" i="5"/>
  <c r="AN284" i="5" s="1"/>
  <c r="AH29" i="5"/>
  <c r="AN29" i="5" s="1"/>
  <c r="AH74" i="5"/>
  <c r="AN74" i="5" s="1"/>
  <c r="AH322" i="5"/>
  <c r="AN322" i="5" s="1"/>
  <c r="AH227" i="5"/>
  <c r="AN227" i="5" s="1"/>
  <c r="AH212" i="5"/>
  <c r="AN212" i="5" s="1"/>
  <c r="AH582" i="5"/>
  <c r="AN582" i="5" s="1"/>
  <c r="AH425" i="5"/>
  <c r="AN425" i="5" s="1"/>
  <c r="AH338" i="5"/>
  <c r="AN338" i="5" s="1"/>
  <c r="AH602" i="5"/>
  <c r="AN602" i="5" s="1"/>
  <c r="AH114" i="5"/>
  <c r="AN114" i="5" s="1"/>
  <c r="AH240" i="5"/>
  <c r="AN240" i="5" s="1"/>
  <c r="AH573" i="5"/>
  <c r="AN573" i="5" s="1"/>
  <c r="AH166" i="5"/>
  <c r="AN166" i="5" s="1"/>
  <c r="AH490" i="5"/>
  <c r="AN490" i="5" s="1"/>
  <c r="AH544" i="5"/>
  <c r="AN544" i="5" s="1"/>
  <c r="AH561" i="5"/>
  <c r="AN561" i="5" s="1"/>
  <c r="AH363" i="5"/>
  <c r="AN363" i="5" s="1"/>
  <c r="AH489" i="5"/>
  <c r="AN489" i="5" s="1"/>
  <c r="AH496" i="5"/>
  <c r="AN496" i="5" s="1"/>
  <c r="AH617" i="5"/>
  <c r="AN617" i="5" s="1"/>
  <c r="AH203" i="5"/>
  <c r="AN203" i="5" s="1"/>
  <c r="AH697" i="5"/>
  <c r="AN697" i="5" s="1"/>
  <c r="AH698" i="5"/>
  <c r="AN698" i="5" s="1"/>
  <c r="AH364" i="5"/>
  <c r="AN364" i="5" s="1"/>
  <c r="AH682" i="5"/>
  <c r="AN682" i="5" s="1"/>
  <c r="AH79" i="5"/>
  <c r="AN79" i="5" s="1"/>
  <c r="AH288" i="5"/>
  <c r="AN288" i="5" s="1"/>
  <c r="AH319" i="5"/>
  <c r="AN319" i="5" s="1"/>
  <c r="AH158" i="5"/>
  <c r="AN158" i="5" s="1"/>
  <c r="AH297" i="5"/>
  <c r="AN297" i="5" s="1"/>
  <c r="AH591" i="5"/>
  <c r="AN591" i="5" s="1"/>
  <c r="AH637" i="5"/>
  <c r="AN637" i="5" s="1"/>
  <c r="AH634" i="5"/>
  <c r="AN634" i="5" s="1"/>
  <c r="AH242" i="5"/>
  <c r="AN242" i="5" s="1"/>
  <c r="AH245" i="5"/>
  <c r="AN245" i="5" s="1"/>
  <c r="AH215" i="5"/>
  <c r="AN215" i="5" s="1"/>
  <c r="AH149" i="5"/>
  <c r="AN149" i="5" s="1"/>
  <c r="V8" i="5"/>
  <c r="AH560" i="5"/>
  <c r="AN560" i="5" s="1"/>
  <c r="AH281" i="5"/>
  <c r="AN281" i="5" s="1"/>
  <c r="AH145" i="5"/>
  <c r="AN145" i="5" s="1"/>
  <c r="AH449" i="5"/>
  <c r="AN449" i="5" s="1"/>
  <c r="AH186" i="5"/>
  <c r="AN186" i="5" s="1"/>
  <c r="AH154" i="5"/>
  <c r="AN154" i="5" s="1"/>
  <c r="AH165" i="5"/>
  <c r="AN165" i="5" s="1"/>
  <c r="AH603" i="5"/>
  <c r="AN603" i="5" s="1"/>
  <c r="AH303" i="5"/>
  <c r="AN303" i="5" s="1"/>
  <c r="AH347" i="5"/>
  <c r="AN347" i="5" s="1"/>
  <c r="AH267" i="5"/>
  <c r="AN267" i="5" s="1"/>
  <c r="AH645" i="5"/>
  <c r="AN645" i="5" s="1"/>
  <c r="AH600" i="5"/>
  <c r="AN600" i="5" s="1"/>
  <c r="AH290" i="5"/>
  <c r="AN290" i="5" s="1"/>
  <c r="AH442" i="5"/>
  <c r="AN442" i="5" s="1"/>
  <c r="AH693" i="5"/>
  <c r="AN693" i="5" s="1"/>
  <c r="AH403" i="5"/>
  <c r="AN403" i="5" s="1"/>
  <c r="AH670" i="5"/>
  <c r="AN670" i="5" s="1"/>
  <c r="AH579" i="5"/>
  <c r="AN579" i="5" s="1"/>
  <c r="AH545" i="5"/>
  <c r="AN545" i="5" s="1"/>
  <c r="AH556" i="5"/>
  <c r="AN556" i="5" s="1"/>
  <c r="AH112" i="5"/>
  <c r="AN112" i="5" s="1"/>
  <c r="AH313" i="5"/>
  <c r="AN313" i="5" s="1"/>
  <c r="AH371" i="5"/>
  <c r="AN371" i="5" s="1"/>
  <c r="AH23" i="5"/>
  <c r="AN23" i="5" s="1"/>
  <c r="AH548" i="5"/>
  <c r="AN548" i="5" s="1"/>
  <c r="AH664" i="5"/>
  <c r="AN664" i="5" s="1"/>
  <c r="AH329" i="5"/>
  <c r="AN329" i="5" s="1"/>
  <c r="AH135" i="5"/>
  <c r="AN135" i="5" s="1"/>
  <c r="AH480" i="5"/>
  <c r="AN480" i="5" s="1"/>
  <c r="AH461" i="5"/>
  <c r="AN461" i="5" s="1"/>
  <c r="AH688" i="5"/>
  <c r="AN688" i="5" s="1"/>
  <c r="AH392" i="5"/>
  <c r="AN392" i="5" s="1"/>
  <c r="AH327" i="5"/>
  <c r="AN327" i="5" s="1"/>
  <c r="AH401" i="5"/>
  <c r="AN401" i="5" s="1"/>
  <c r="AH705" i="5"/>
  <c r="AN705" i="5" s="1"/>
  <c r="AH436" i="5"/>
  <c r="AN436" i="5" s="1"/>
  <c r="AH636" i="5"/>
  <c r="AN636" i="5" s="1"/>
  <c r="AH40" i="5"/>
  <c r="AN40" i="5" s="1"/>
  <c r="AH81" i="5"/>
  <c r="AN81" i="5" s="1"/>
  <c r="AH19" i="5"/>
  <c r="AN19" i="5" s="1"/>
  <c r="AH163" i="5"/>
  <c r="AN163" i="5" s="1"/>
  <c r="AH325" i="5"/>
  <c r="AN325" i="5" s="1"/>
  <c r="AH182" i="5"/>
  <c r="AN182" i="5" s="1"/>
  <c r="AH429" i="5"/>
  <c r="AN429" i="5" s="1"/>
  <c r="AH305" i="5"/>
  <c r="AN305" i="5" s="1"/>
  <c r="AH421" i="5"/>
  <c r="AN421" i="5" s="1"/>
  <c r="AH92" i="5"/>
  <c r="AN92" i="5" s="1"/>
  <c r="AH377" i="5"/>
  <c r="AN377" i="5" s="1"/>
  <c r="AH124" i="5"/>
  <c r="AN124" i="5" s="1"/>
  <c r="AH437" i="5"/>
  <c r="AN437" i="5" s="1"/>
  <c r="AH658" i="5"/>
  <c r="AN658" i="5" s="1"/>
  <c r="AH116" i="5"/>
  <c r="AN116" i="5" s="1"/>
  <c r="AH405" i="5"/>
  <c r="AN405" i="5" s="1"/>
  <c r="AH564" i="5"/>
  <c r="AN564" i="5" s="1"/>
  <c r="AH331" i="5"/>
  <c r="AN331" i="5" s="1"/>
  <c r="AH103" i="5"/>
  <c r="AN103" i="5" s="1"/>
  <c r="AH128" i="5"/>
  <c r="AN128" i="5" s="1"/>
  <c r="AH640" i="5"/>
  <c r="AN640" i="5" s="1"/>
  <c r="AH409" i="5"/>
  <c r="AN409" i="5" s="1"/>
  <c r="AH528" i="5"/>
  <c r="AN528" i="5" s="1"/>
  <c r="AH454" i="5"/>
  <c r="AN454" i="5" s="1"/>
  <c r="AH99" i="5"/>
  <c r="AN99" i="5" s="1"/>
  <c r="AH448" i="5"/>
  <c r="AN448" i="5" s="1"/>
  <c r="AH687" i="5"/>
  <c r="AN687" i="5" s="1"/>
  <c r="AH464" i="5"/>
  <c r="AN464" i="5" s="1"/>
  <c r="AH317" i="5"/>
  <c r="AN317" i="5" s="1"/>
  <c r="AH311" i="5"/>
  <c r="AN311" i="5" s="1"/>
  <c r="AH580" i="5"/>
  <c r="AN580" i="5" s="1"/>
  <c r="AH54" i="5"/>
  <c r="AN54" i="5" s="1"/>
  <c r="AH349" i="5"/>
  <c r="AN349" i="5" s="1"/>
  <c r="AH351" i="5"/>
  <c r="AN351" i="5" s="1"/>
  <c r="AH287" i="5"/>
  <c r="AN287" i="5" s="1"/>
  <c r="AH320" i="5"/>
  <c r="AN320" i="5" s="1"/>
  <c r="AH82" i="5"/>
  <c r="AN82" i="5" s="1"/>
  <c r="AH24" i="5"/>
  <c r="AN24" i="5" s="1"/>
  <c r="AH408" i="5"/>
  <c r="AN408" i="5" s="1"/>
  <c r="AH395" i="5"/>
  <c r="AN395" i="5" s="1"/>
  <c r="AH60" i="5"/>
  <c r="AN60" i="5" s="1"/>
  <c r="AH638" i="5"/>
  <c r="AN638" i="5" s="1"/>
  <c r="AH416" i="5"/>
  <c r="AN416" i="5" s="1"/>
  <c r="AH98" i="5"/>
  <c r="AN98" i="5" s="1"/>
  <c r="AH677" i="5"/>
  <c r="AN677" i="5" s="1"/>
  <c r="AH244" i="5"/>
  <c r="AN244" i="5" s="1"/>
  <c r="AH572" i="5"/>
  <c r="AN572" i="5" s="1"/>
  <c r="AH359" i="5"/>
  <c r="AN359" i="5" s="1"/>
  <c r="AH152" i="5"/>
  <c r="AN152" i="5" s="1"/>
  <c r="AH224" i="5"/>
  <c r="AN224" i="5" s="1"/>
  <c r="AH177" i="5"/>
  <c r="AN177" i="5" s="1"/>
  <c r="AH195" i="5"/>
  <c r="AN195" i="5" s="1"/>
  <c r="AH123" i="5"/>
  <c r="AN123" i="5" s="1"/>
  <c r="AH273" i="5"/>
  <c r="AN273" i="5" s="1"/>
  <c r="AH451" i="5"/>
  <c r="AN451" i="5" s="1"/>
  <c r="AH136" i="5"/>
  <c r="AN136" i="5" s="1"/>
  <c r="AH71" i="5"/>
  <c r="AN71" i="5" s="1"/>
  <c r="AH109" i="5"/>
  <c r="AN109" i="5" s="1"/>
  <c r="AH120" i="5"/>
  <c r="AN120" i="5" s="1"/>
  <c r="AH444" i="5"/>
  <c r="AN444" i="5" s="1"/>
  <c r="AH326" i="5"/>
  <c r="AN326" i="5" s="1"/>
  <c r="AH321" i="5"/>
  <c r="AN321" i="5" s="1"/>
  <c r="AH131" i="5"/>
  <c r="AN131" i="5" s="1"/>
  <c r="AH511" i="5"/>
  <c r="AN511" i="5" s="1"/>
  <c r="AH394" i="5"/>
  <c r="AN394" i="5" s="1"/>
  <c r="AH61" i="5"/>
  <c r="AN61" i="5" s="1"/>
  <c r="AH531" i="5"/>
  <c r="AN531" i="5" s="1"/>
  <c r="AH616" i="5"/>
  <c r="AN616" i="5" s="1"/>
  <c r="AH628" i="5"/>
  <c r="AN628" i="5" s="1"/>
  <c r="AH251" i="5"/>
  <c r="AN251" i="5" s="1"/>
  <c r="AH138" i="5"/>
  <c r="AN138" i="5" s="1"/>
  <c r="AH534" i="5"/>
  <c r="AN534" i="5" s="1"/>
  <c r="AH30" i="5"/>
  <c r="AN30" i="5" s="1"/>
  <c r="AH586" i="5"/>
  <c r="AN586" i="5" s="1"/>
  <c r="AH155" i="5"/>
  <c r="AN155" i="5" s="1"/>
  <c r="AH567" i="5"/>
  <c r="AN567" i="5" s="1"/>
  <c r="AH34" i="5"/>
  <c r="AN34" i="5" s="1"/>
  <c r="AH58" i="5"/>
  <c r="AN58" i="5" s="1"/>
  <c r="AH77" i="5"/>
  <c r="AN77" i="5" s="1"/>
  <c r="AH447" i="5"/>
  <c r="AN447" i="5" s="1"/>
  <c r="AH679" i="5"/>
  <c r="AN679" i="5" s="1"/>
  <c r="AH324" i="5"/>
  <c r="AN324" i="5" s="1"/>
  <c r="AH312" i="5"/>
  <c r="AN312" i="5" s="1"/>
  <c r="AH299" i="5"/>
  <c r="AN299" i="5" s="1"/>
  <c r="AH562" i="5"/>
  <c r="AN562" i="5" s="1"/>
  <c r="AH70" i="5"/>
  <c r="AN70" i="5" s="1"/>
  <c r="AH259" i="5"/>
  <c r="AN259" i="5" s="1"/>
  <c r="AH510" i="5"/>
  <c r="AN510" i="5" s="1"/>
  <c r="AH355" i="5"/>
  <c r="AN355" i="5" s="1"/>
  <c r="AH141" i="5"/>
  <c r="AN141" i="5" s="1"/>
  <c r="AH595" i="5"/>
  <c r="AN595" i="5" s="1"/>
  <c r="AH183" i="5"/>
  <c r="AN183" i="5" s="1"/>
  <c r="AH276" i="5"/>
  <c r="AN276" i="5" s="1"/>
  <c r="AH505" i="5"/>
  <c r="AN505" i="5" s="1"/>
  <c r="AH537" i="5"/>
  <c r="AN537" i="5" s="1"/>
  <c r="AH196" i="5"/>
  <c r="AN196" i="5" s="1"/>
  <c r="AH559" i="5"/>
  <c r="AN559" i="5" s="1"/>
  <c r="AH530" i="5"/>
  <c r="AN530" i="5" s="1"/>
  <c r="AH232" i="5"/>
  <c r="AN232" i="5" s="1"/>
  <c r="AH235" i="5"/>
  <c r="AN235" i="5" s="1"/>
  <c r="AH91" i="5"/>
  <c r="AN91" i="5" s="1"/>
  <c r="AH277" i="5"/>
  <c r="AN277" i="5" s="1"/>
  <c r="AH393" i="5"/>
  <c r="AN393" i="5" s="1"/>
  <c r="AH683" i="5"/>
  <c r="AN683" i="5" s="1"/>
  <c r="AH378" i="5"/>
  <c r="AN378" i="5" s="1"/>
  <c r="AH374" i="5"/>
  <c r="AN374" i="5" s="1"/>
  <c r="AH272" i="5"/>
  <c r="AN272" i="5" s="1"/>
  <c r="AH684" i="5"/>
  <c r="AN684" i="5" s="1"/>
  <c r="AH219" i="5"/>
  <c r="AN219" i="5" s="1"/>
  <c r="AH376" i="5"/>
  <c r="AN376" i="5" s="1"/>
  <c r="AH52" i="5"/>
  <c r="AN52" i="5" s="1"/>
  <c r="AH310" i="5"/>
  <c r="AN310" i="5" s="1"/>
  <c r="AH678" i="5"/>
  <c r="AN678" i="5" s="1"/>
  <c r="AH629" i="5"/>
  <c r="AN629" i="5" s="1"/>
  <c r="AH699" i="5"/>
  <c r="AN699" i="5" s="1"/>
  <c r="AH148" i="5"/>
  <c r="AN148" i="5" s="1"/>
  <c r="AH113" i="5"/>
  <c r="AN113" i="5" s="1"/>
  <c r="AH423" i="5"/>
  <c r="AN423" i="5" s="1"/>
  <c r="AH517" i="5"/>
  <c r="AN517" i="5" s="1"/>
  <c r="AH309" i="5"/>
  <c r="AN309" i="5" s="1"/>
  <c r="AH192" i="5"/>
  <c r="AN192" i="5" s="1"/>
  <c r="AH462" i="5"/>
  <c r="AN462" i="5" s="1"/>
  <c r="AH238" i="5"/>
  <c r="AN238" i="5" s="1"/>
  <c r="AH498" i="5"/>
  <c r="AN498" i="5" s="1"/>
  <c r="AH583" i="5"/>
  <c r="AN583" i="5" s="1"/>
  <c r="AH293" i="5"/>
  <c r="AN293" i="5" s="1"/>
  <c r="AH269" i="5"/>
  <c r="AN269" i="5" s="1"/>
  <c r="AH237" i="5"/>
  <c r="AN237" i="5" s="1"/>
  <c r="AH584" i="5"/>
  <c r="AN584" i="5" s="1"/>
  <c r="AH384" i="5"/>
  <c r="AN384" i="5" s="1"/>
  <c r="AH22" i="5"/>
  <c r="AN22" i="5" s="1"/>
  <c r="AH187" i="5"/>
  <c r="AN187" i="5" s="1"/>
  <c r="AH132" i="5"/>
  <c r="AN132" i="5" s="1"/>
  <c r="AH170" i="5"/>
  <c r="AN170" i="5" s="1"/>
  <c r="AH37" i="5"/>
  <c r="AN37" i="5" s="1"/>
  <c r="AH440" i="5"/>
  <c r="AN440" i="5" s="1"/>
  <c r="AH495" i="5"/>
  <c r="AN495" i="5" s="1"/>
  <c r="AH218" i="5"/>
  <c r="AN218" i="5" s="1"/>
  <c r="AH328" i="5"/>
  <c r="AN328" i="5" s="1"/>
  <c r="AH264" i="5"/>
  <c r="AN264" i="5" s="1"/>
  <c r="AH577" i="5"/>
  <c r="AN577" i="5" s="1"/>
  <c r="AH486" i="5"/>
  <c r="AN486" i="5" s="1"/>
  <c r="AH236" i="5"/>
  <c r="AN236" i="5" s="1"/>
  <c r="AH122" i="5"/>
  <c r="AN122" i="5" s="1"/>
  <c r="AH432" i="5"/>
  <c r="AN432" i="5" s="1"/>
  <c r="AH300" i="5"/>
  <c r="AN300" i="5" s="1"/>
  <c r="AH86" i="5"/>
  <c r="AN86" i="5" s="1"/>
  <c r="AH500" i="5"/>
  <c r="AN500" i="5" s="1"/>
  <c r="AH289" i="5"/>
  <c r="AN289" i="5" s="1"/>
  <c r="AH481" i="5"/>
  <c r="AN481" i="5" s="1"/>
  <c r="AH369" i="5"/>
  <c r="AN369" i="5" s="1"/>
  <c r="AH611" i="5"/>
  <c r="AN611" i="5" s="1"/>
  <c r="AH241" i="5"/>
  <c r="AN241" i="5" s="1"/>
  <c r="AH205" i="5"/>
  <c r="AN205" i="5" s="1"/>
  <c r="AH450" i="5"/>
  <c r="AN450" i="5" s="1"/>
  <c r="AH39" i="5"/>
  <c r="AN39" i="5" s="1"/>
  <c r="AH549" i="5"/>
  <c r="AN549" i="5" s="1"/>
  <c r="AH101" i="5"/>
  <c r="AN101" i="5" s="1"/>
  <c r="AH206" i="5"/>
  <c r="AN206" i="5" s="1"/>
  <c r="AH472" i="5"/>
  <c r="AN472" i="5" s="1"/>
  <c r="AH342" i="5"/>
  <c r="AN342" i="5" s="1"/>
  <c r="AH176" i="5"/>
  <c r="AN176" i="5" s="1"/>
  <c r="AH243" i="5"/>
  <c r="AN243" i="5" s="1"/>
  <c r="AH592" i="5"/>
  <c r="AN592" i="5" s="1"/>
  <c r="AH356" i="5"/>
  <c r="AN356" i="5" s="1"/>
  <c r="AH574" i="5"/>
  <c r="AN574" i="5" s="1"/>
  <c r="AH119" i="5"/>
  <c r="AN119" i="5" s="1"/>
  <c r="AH21" i="5"/>
  <c r="AN21" i="5" s="1"/>
  <c r="AH653" i="5"/>
  <c r="AN653" i="5" s="1"/>
  <c r="AH278" i="5"/>
  <c r="AN278" i="5" s="1"/>
  <c r="AH599" i="5"/>
  <c r="AN599" i="5" s="1"/>
  <c r="AH397" i="5"/>
  <c r="AN397" i="5" s="1"/>
  <c r="AH323" i="5"/>
  <c r="AN323" i="5" s="1"/>
  <c r="AH581" i="5"/>
  <c r="AN581" i="5" s="1"/>
  <c r="AH502" i="5"/>
  <c r="AN502" i="5" s="1"/>
  <c r="AH27" i="5"/>
  <c r="AN27" i="5" s="1"/>
  <c r="AH42" i="5"/>
  <c r="AN42" i="5" s="1"/>
  <c r="AH95" i="5"/>
  <c r="AN95" i="5" s="1"/>
  <c r="AH161" i="5"/>
  <c r="AN161" i="5" s="1"/>
  <c r="AH110" i="5"/>
  <c r="AN110" i="5" s="1"/>
  <c r="AH275" i="5"/>
  <c r="AN275" i="5" s="1"/>
  <c r="AH703" i="5"/>
  <c r="AN703" i="5" s="1"/>
  <c r="AH391" i="5"/>
  <c r="AN391" i="5" s="1"/>
  <c r="AH25" i="5"/>
  <c r="AN25" i="5" s="1"/>
  <c r="AH358" i="5"/>
  <c r="AN358" i="5" s="1"/>
  <c r="AH675" i="5"/>
  <c r="AN675" i="5" s="1"/>
  <c r="AH418" i="5"/>
  <c r="AN418" i="5" s="1"/>
  <c r="AH373" i="5"/>
  <c r="AN373" i="5" s="1"/>
  <c r="AH76" i="5"/>
  <c r="AN76" i="5" s="1"/>
  <c r="AH507" i="5"/>
  <c r="AN507" i="5" s="1"/>
  <c r="AH87" i="5"/>
  <c r="AN87" i="5" s="1"/>
  <c r="AH668" i="5"/>
  <c r="AN668" i="5" s="1"/>
  <c r="AH441" i="5"/>
  <c r="AN441" i="5" s="1"/>
  <c r="AH62" i="5"/>
  <c r="AN62" i="5" s="1"/>
  <c r="AH137" i="5"/>
  <c r="AN137" i="5" s="1"/>
  <c r="AH88" i="5"/>
  <c r="AN88" i="5" s="1"/>
  <c r="AH115" i="5"/>
  <c r="AN115" i="5" s="1"/>
  <c r="AH406" i="5"/>
  <c r="AN406" i="5" s="1"/>
  <c r="AH173" i="5"/>
  <c r="AN173" i="5" s="1"/>
  <c r="AH522" i="5"/>
  <c r="AN522" i="5" s="1"/>
  <c r="AH641" i="5"/>
  <c r="AN641" i="5" s="1"/>
  <c r="AH314" i="5"/>
  <c r="AN314" i="5" s="1"/>
  <c r="AH357" i="5"/>
  <c r="AN357" i="5" s="1"/>
  <c r="AH126" i="5"/>
  <c r="AN126" i="5" s="1"/>
  <c r="AH601" i="5"/>
  <c r="AN601" i="5" s="1"/>
  <c r="AH491" i="5"/>
  <c r="AN491" i="5" s="1"/>
  <c r="AH121" i="5"/>
  <c r="AN121" i="5" s="1"/>
  <c r="AH482" i="5"/>
  <c r="AN482" i="5" s="1"/>
  <c r="AH514" i="5"/>
  <c r="AN514" i="5" s="1"/>
  <c r="AH140" i="5"/>
  <c r="AN140" i="5" s="1"/>
  <c r="AH521" i="5"/>
  <c r="AN521" i="5" s="1"/>
  <c r="AH593" i="5"/>
  <c r="AN593" i="5" s="1"/>
  <c r="AH694" i="5"/>
  <c r="AN694" i="5" s="1"/>
  <c r="AH614" i="5"/>
  <c r="AN614" i="5" s="1"/>
  <c r="AH291" i="5"/>
  <c r="AN291" i="5" s="1"/>
  <c r="AH575" i="5"/>
  <c r="AN575" i="5" s="1"/>
  <c r="AH619" i="5"/>
  <c r="AN619" i="5" s="1"/>
  <c r="AH546" i="5"/>
  <c r="AN546" i="5" s="1"/>
  <c r="AH380" i="5"/>
  <c r="AN380" i="5" s="1"/>
  <c r="AH125" i="5"/>
  <c r="AN125" i="5" s="1"/>
  <c r="AH529" i="5"/>
  <c r="AN529" i="5" s="1"/>
  <c r="AH262" i="5"/>
  <c r="AN262" i="5" s="1"/>
  <c r="AH84" i="5"/>
  <c r="AN84" i="5" s="1"/>
  <c r="AH707" i="5"/>
  <c r="AN707" i="5" s="1"/>
  <c r="AH635" i="5"/>
  <c r="AN635" i="5" s="1"/>
  <c r="AH412" i="5"/>
  <c r="AN412" i="5" s="1"/>
  <c r="AH420" i="5"/>
  <c r="AN420" i="5" s="1"/>
  <c r="AH484" i="5"/>
  <c r="AN484" i="5" s="1"/>
  <c r="AH477" i="5"/>
  <c r="AN477" i="5" s="1"/>
  <c r="AH666" i="5"/>
  <c r="AN666" i="5" s="1"/>
  <c r="AH41" i="5"/>
  <c r="AN41" i="5" s="1"/>
  <c r="AH516" i="5"/>
  <c r="AN516" i="5" s="1"/>
  <c r="AH446" i="5"/>
  <c r="AN446" i="5" s="1"/>
  <c r="AH292" i="5"/>
  <c r="AN292" i="5" s="1"/>
  <c r="AH662" i="5"/>
  <c r="AN662" i="5" s="1"/>
  <c r="AH32" i="5"/>
  <c r="AN32" i="5" s="1"/>
  <c r="AH336" i="5"/>
  <c r="AN336" i="5" s="1"/>
  <c r="AH387" i="5"/>
  <c r="AN387" i="5" s="1"/>
  <c r="K11" i="9"/>
  <c r="L12" i="9"/>
  <c r="E14" i="12"/>
  <c r="F14" i="6"/>
  <c r="BD14" i="6"/>
  <c r="AJ14" i="6"/>
  <c r="B20" i="7"/>
  <c r="C21" i="7"/>
  <c r="AK14" i="6"/>
  <c r="AL14" i="6"/>
  <c r="B19" i="9"/>
  <c r="C18" i="9"/>
  <c r="F14" i="12"/>
  <c r="G14" i="6"/>
  <c r="C18" i="5"/>
  <c r="B17" i="5"/>
  <c r="AE17" i="5"/>
  <c r="H17" i="5"/>
  <c r="F17" i="5"/>
  <c r="G17" i="5"/>
  <c r="I17" i="5"/>
  <c r="A17" i="12"/>
  <c r="N17" i="5"/>
  <c r="B17" i="6"/>
  <c r="AD17" i="5"/>
  <c r="W17" i="5"/>
  <c r="H17" i="12" s="1"/>
  <c r="AH469" i="5"/>
  <c r="AN469" i="5" s="1"/>
  <c r="AH280" i="5"/>
  <c r="AN280" i="5" s="1"/>
  <c r="AH648" i="5"/>
  <c r="AN648" i="5" s="1"/>
  <c r="AH633" i="5"/>
  <c r="AN633" i="5" s="1"/>
  <c r="AH524" i="5"/>
  <c r="AN524" i="5" s="1"/>
  <c r="W8" i="5"/>
  <c r="AH701" i="5"/>
  <c r="AN701" i="5" s="1"/>
  <c r="AH669" i="5"/>
  <c r="AN669" i="5" s="1"/>
  <c r="AH366" i="5"/>
  <c r="AN366" i="5" s="1"/>
  <c r="AH631" i="5"/>
  <c r="AN631" i="5" s="1"/>
  <c r="AH630" i="5"/>
  <c r="AN630" i="5" s="1"/>
  <c r="AH494" i="5"/>
  <c r="AN494" i="5" s="1"/>
  <c r="AH527" i="5"/>
  <c r="AN527" i="5" s="1"/>
  <c r="AH632" i="5"/>
  <c r="AN632" i="5" s="1"/>
  <c r="AH493" i="5"/>
  <c r="AN493" i="5" s="1"/>
  <c r="AH361" i="5"/>
  <c r="AN361" i="5" s="1"/>
  <c r="AH459" i="5"/>
  <c r="AN459" i="5" s="1"/>
  <c r="AH209" i="5"/>
  <c r="AN209" i="5" s="1"/>
  <c r="AH671" i="5"/>
  <c r="AN671" i="5" s="1"/>
  <c r="AH467" i="5"/>
  <c r="AN467" i="5" s="1"/>
  <c r="AH365" i="5"/>
  <c r="AN365" i="5" s="1"/>
  <c r="AH526" i="5"/>
  <c r="AN526" i="5" s="1"/>
  <c r="AH649" i="5"/>
  <c r="AN649" i="5" s="1"/>
  <c r="AH211" i="5"/>
  <c r="AN211" i="5" s="1"/>
  <c r="AH460" i="5"/>
  <c r="AN460" i="5" s="1"/>
  <c r="AH362" i="5"/>
  <c r="AN362" i="5" s="1"/>
  <c r="AH468" i="5"/>
  <c r="AN468" i="5" s="1"/>
  <c r="J11" i="10"/>
  <c r="K12" i="10"/>
  <c r="AN471" i="5"/>
  <c r="AN56" i="5"/>
  <c r="BV14" i="6"/>
  <c r="BX13" i="6"/>
  <c r="BW12" i="6"/>
  <c r="J14" i="12"/>
  <c r="Y24" i="4" l="1"/>
  <c r="Z24" i="4"/>
  <c r="K14" i="12"/>
  <c r="A25" i="4"/>
  <c r="C25" i="4" s="1"/>
  <c r="C24" i="4"/>
  <c r="X24" i="4"/>
  <c r="BE12" i="6"/>
  <c r="BF13" i="6"/>
  <c r="C18" i="4"/>
  <c r="A19" i="4"/>
  <c r="C19" i="4" s="1"/>
  <c r="AN13" i="6"/>
  <c r="AM12" i="6"/>
  <c r="A7" i="4"/>
  <c r="C7" i="4" s="1"/>
  <c r="C6" i="4"/>
  <c r="Y105" i="4" s="1"/>
  <c r="X104" i="4"/>
  <c r="C30" i="4"/>
  <c r="A31" i="4"/>
  <c r="C31" i="4" s="1"/>
  <c r="K14" i="11"/>
  <c r="J14" i="13" s="1"/>
  <c r="C14" i="13"/>
  <c r="K14" i="13" s="1"/>
  <c r="G14" i="11"/>
  <c r="F14" i="13" s="1"/>
  <c r="C22" i="10"/>
  <c r="B23" i="10"/>
  <c r="C23" i="10" s="1"/>
  <c r="L11" i="9"/>
  <c r="M12" i="9"/>
  <c r="W14" i="5"/>
  <c r="AN14" i="5"/>
  <c r="AO7" i="12"/>
  <c r="N18" i="5"/>
  <c r="F18" i="5"/>
  <c r="H18" i="5"/>
  <c r="AD18" i="5"/>
  <c r="W18" i="5"/>
  <c r="H18" i="12" s="1"/>
  <c r="K18" i="5"/>
  <c r="D18" i="5"/>
  <c r="B18" i="12" s="1"/>
  <c r="A18" i="12"/>
  <c r="E18" i="5"/>
  <c r="G18" i="5"/>
  <c r="AE18" i="5"/>
  <c r="B18" i="6"/>
  <c r="R18" i="5"/>
  <c r="B18" i="5"/>
  <c r="C19" i="5"/>
  <c r="J18" i="5"/>
  <c r="B20" i="9"/>
  <c r="C19" i="9"/>
  <c r="C22" i="7"/>
  <c r="B21" i="7"/>
  <c r="L12" i="10"/>
  <c r="K11" i="10"/>
  <c r="BX12" i="6"/>
  <c r="BY13" i="6"/>
  <c r="BX14" i="6"/>
  <c r="D17" i="6"/>
  <c r="AM14" i="6" l="1"/>
  <c r="AM16" i="6"/>
  <c r="X62" i="4"/>
  <c r="Y61" i="4"/>
  <c r="Y104" i="4"/>
  <c r="Z29" i="4"/>
  <c r="Y101" i="4"/>
  <c r="Y62" i="4"/>
  <c r="AN12" i="6"/>
  <c r="AO13" i="6"/>
  <c r="Y109" i="4"/>
  <c r="Z61" i="4"/>
  <c r="X29" i="4"/>
  <c r="U29" i="4" s="1"/>
  <c r="Z64" i="4"/>
  <c r="X109" i="4"/>
  <c r="X105" i="4"/>
  <c r="Z103" i="4"/>
  <c r="Z104" i="4"/>
  <c r="Y25" i="4"/>
  <c r="Y65" i="4"/>
  <c r="Z65" i="4"/>
  <c r="X61" i="4"/>
  <c r="X101" i="4"/>
  <c r="Z101" i="4"/>
  <c r="Z62" i="4"/>
  <c r="Y29" i="4"/>
  <c r="Z63" i="4"/>
  <c r="Z109" i="4"/>
  <c r="Z105" i="4"/>
  <c r="BG13" i="6"/>
  <c r="BF12" i="6"/>
  <c r="BF14" i="6"/>
  <c r="X103" i="4"/>
  <c r="X69" i="4"/>
  <c r="X25" i="4"/>
  <c r="Z25" i="4"/>
  <c r="Y69" i="4"/>
  <c r="Y102" i="4"/>
  <c r="Y103" i="4"/>
  <c r="Z102" i="4"/>
  <c r="X63" i="4"/>
  <c r="X102" i="4"/>
  <c r="X65" i="4"/>
  <c r="Y63" i="4"/>
  <c r="Y64" i="4"/>
  <c r="X64" i="4"/>
  <c r="Z69" i="4"/>
  <c r="H14" i="12"/>
  <c r="X14" i="5"/>
  <c r="N12" i="9"/>
  <c r="M11" i="9"/>
  <c r="D18" i="6"/>
  <c r="M12" i="10"/>
  <c r="L11" i="10"/>
  <c r="E18" i="12"/>
  <c r="F18" i="6"/>
  <c r="BZ13" i="6"/>
  <c r="BY12" i="6"/>
  <c r="BY14" i="6"/>
  <c r="C23" i="7"/>
  <c r="B22" i="7"/>
  <c r="B19" i="5"/>
  <c r="A19" i="12"/>
  <c r="G19" i="5"/>
  <c r="N19" i="5"/>
  <c r="R19" i="5"/>
  <c r="AD19" i="5"/>
  <c r="B19" i="6"/>
  <c r="J19" i="5"/>
  <c r="C20" i="5"/>
  <c r="AE19" i="5"/>
  <c r="D19" i="5"/>
  <c r="B19" i="12" s="1"/>
  <c r="F19" i="5"/>
  <c r="E19" i="5"/>
  <c r="H19" i="5"/>
  <c r="K19" i="5"/>
  <c r="W19" i="5"/>
  <c r="H19" i="12" s="1"/>
  <c r="BP17" i="6"/>
  <c r="BC17" i="6"/>
  <c r="CD17" i="6"/>
  <c r="BM17" i="6"/>
  <c r="CE17" i="6"/>
  <c r="BD17" i="6"/>
  <c r="BQ17" i="6"/>
  <c r="M17" i="6"/>
  <c r="BL17" i="6"/>
  <c r="BJ17" i="6"/>
  <c r="CA17" i="6"/>
  <c r="BF17" i="6"/>
  <c r="BY17" i="6"/>
  <c r="BN17" i="6"/>
  <c r="CB17" i="6"/>
  <c r="BK17" i="6"/>
  <c r="BE17" i="6"/>
  <c r="BV17" i="6"/>
  <c r="BO17" i="6"/>
  <c r="N17" i="6"/>
  <c r="BW17" i="6"/>
  <c r="BI17" i="6"/>
  <c r="CK17" i="6"/>
  <c r="BG17" i="6"/>
  <c r="CG17" i="6"/>
  <c r="BS17" i="6"/>
  <c r="G17" i="6"/>
  <c r="BZ17" i="6"/>
  <c r="BT17" i="6"/>
  <c r="CM17" i="6"/>
  <c r="CI17" i="6"/>
  <c r="CL17" i="6"/>
  <c r="BX17" i="6"/>
  <c r="CF17" i="6"/>
  <c r="CC17" i="6"/>
  <c r="BR17" i="6"/>
  <c r="CH17" i="6"/>
  <c r="BH17" i="6"/>
  <c r="H17" i="6"/>
  <c r="T17" i="5" s="1"/>
  <c r="G17" i="12" s="1"/>
  <c r="CJ17" i="6"/>
  <c r="B21" i="9"/>
  <c r="C20" i="9"/>
  <c r="J18" i="12"/>
  <c r="L18" i="12"/>
  <c r="U69" i="4" l="1"/>
  <c r="BG14" i="6"/>
  <c r="BG12" i="6"/>
  <c r="BH13" i="6"/>
  <c r="AP13" i="6"/>
  <c r="AO12" i="6"/>
  <c r="U109" i="4"/>
  <c r="K32" i="4"/>
  <c r="J32" i="4"/>
  <c r="AN16" i="6"/>
  <c r="AN14" i="6"/>
  <c r="AK17" i="6"/>
  <c r="AN17" i="6"/>
  <c r="AC14" i="5"/>
  <c r="L14" i="5"/>
  <c r="AM14" i="5"/>
  <c r="I14" i="12"/>
  <c r="I14" i="5"/>
  <c r="Z14" i="5"/>
  <c r="O12" i="9"/>
  <c r="N11" i="9"/>
  <c r="BZ12" i="6"/>
  <c r="CA13" i="6"/>
  <c r="BZ14" i="6"/>
  <c r="M11" i="10"/>
  <c r="N12" i="10"/>
  <c r="F19" i="6"/>
  <c r="E19" i="12"/>
  <c r="AJ17" i="6"/>
  <c r="D19" i="6"/>
  <c r="B22" i="9"/>
  <c r="C21" i="9"/>
  <c r="AL17" i="6"/>
  <c r="B23" i="7"/>
  <c r="M18" i="6"/>
  <c r="BF18" i="6"/>
  <c r="BE18" i="6"/>
  <c r="BY18" i="6"/>
  <c r="BC18" i="6"/>
  <c r="N18" i="6"/>
  <c r="BD18" i="6"/>
  <c r="BG18" i="6"/>
  <c r="BW18" i="6"/>
  <c r="H18" i="6"/>
  <c r="T18" i="5" s="1"/>
  <c r="G18" i="6"/>
  <c r="BX18" i="6"/>
  <c r="BV18" i="6"/>
  <c r="BZ18" i="6"/>
  <c r="K18" i="12"/>
  <c r="AM17" i="6"/>
  <c r="AO17" i="6"/>
  <c r="N20" i="5"/>
  <c r="A20" i="12"/>
  <c r="B20" i="5"/>
  <c r="K20" i="5"/>
  <c r="R20" i="5"/>
  <c r="F20" i="5"/>
  <c r="J20" i="5"/>
  <c r="H20" i="5"/>
  <c r="E20" i="5"/>
  <c r="D20" i="5"/>
  <c r="B20" i="12" s="1"/>
  <c r="G20" i="5"/>
  <c r="B20" i="6"/>
  <c r="AE20" i="5"/>
  <c r="W20" i="5"/>
  <c r="H20" i="12" s="1"/>
  <c r="C21" i="5"/>
  <c r="AD20" i="5"/>
  <c r="J19" i="12"/>
  <c r="L19" i="12"/>
  <c r="BH18" i="6" l="1"/>
  <c r="CA18" i="6"/>
  <c r="AO16" i="6"/>
  <c r="AO14" i="6"/>
  <c r="BH14" i="6"/>
  <c r="BH12" i="6"/>
  <c r="BI13" i="6"/>
  <c r="J112" i="4"/>
  <c r="K112" i="4"/>
  <c r="AQ13" i="6"/>
  <c r="AP12" i="6"/>
  <c r="K72" i="4"/>
  <c r="J72" i="4"/>
  <c r="O14" i="12"/>
  <c r="AO14" i="12"/>
  <c r="C14" i="12"/>
  <c r="M14" i="12"/>
  <c r="K19" i="12"/>
  <c r="AA14" i="5"/>
  <c r="AB14" i="5"/>
  <c r="C14" i="6"/>
  <c r="O14" i="5"/>
  <c r="P12" i="9"/>
  <c r="O11" i="9"/>
  <c r="AN18" i="6"/>
  <c r="F20" i="6"/>
  <c r="E20" i="12"/>
  <c r="D20" i="6"/>
  <c r="AM18" i="6"/>
  <c r="AO18" i="6"/>
  <c r="CA12" i="6"/>
  <c r="CB13" i="6"/>
  <c r="CB18" i="6" s="1"/>
  <c r="CA14" i="6"/>
  <c r="G18" i="12"/>
  <c r="X18" i="5"/>
  <c r="AL18" i="6"/>
  <c r="AP18" i="6"/>
  <c r="B23" i="9"/>
  <c r="C22" i="9"/>
  <c r="H19" i="6"/>
  <c r="T19" i="5" s="1"/>
  <c r="M19" i="6"/>
  <c r="BC19" i="6" s="1"/>
  <c r="G19" i="6"/>
  <c r="N19" i="6"/>
  <c r="N11" i="10"/>
  <c r="O12" i="10"/>
  <c r="L20" i="12"/>
  <c r="J20" i="12"/>
  <c r="B21" i="6"/>
  <c r="AE21" i="5"/>
  <c r="C22" i="5"/>
  <c r="A21" i="12"/>
  <c r="D21" i="5"/>
  <c r="B21" i="12" s="1"/>
  <c r="N21" i="5"/>
  <c r="B21" i="5"/>
  <c r="J21" i="5"/>
  <c r="H21" i="5"/>
  <c r="E21" i="5"/>
  <c r="R21" i="5"/>
  <c r="G21" i="5"/>
  <c r="AD21" i="5"/>
  <c r="K21" i="5"/>
  <c r="W21" i="5"/>
  <c r="H21" i="12" s="1"/>
  <c r="F21" i="5"/>
  <c r="AJ18" i="6"/>
  <c r="AK18" i="6"/>
  <c r="Y14" i="12" l="1"/>
  <c r="AP19" i="6"/>
  <c r="BW19" i="6"/>
  <c r="K20" i="12"/>
  <c r="BV19" i="6"/>
  <c r="AP14" i="6"/>
  <c r="AP16" i="6"/>
  <c r="AP17" i="6"/>
  <c r="AL19" i="6"/>
  <c r="BZ19" i="6"/>
  <c r="AQ12" i="6"/>
  <c r="AR13" i="6"/>
  <c r="BI12" i="6"/>
  <c r="BI14" i="6"/>
  <c r="BJ13" i="6"/>
  <c r="BI18" i="6"/>
  <c r="P11" i="9"/>
  <c r="Q12" i="9"/>
  <c r="W14" i="12"/>
  <c r="X14" i="12"/>
  <c r="D14" i="12"/>
  <c r="E14" i="6"/>
  <c r="N14" i="12"/>
  <c r="D21" i="6"/>
  <c r="BX19" i="6"/>
  <c r="BF19" i="6"/>
  <c r="AK19" i="6"/>
  <c r="BJ19" i="6"/>
  <c r="BH19" i="6"/>
  <c r="L18" i="5"/>
  <c r="I18" i="12"/>
  <c r="AM18" i="5"/>
  <c r="I18" i="5"/>
  <c r="Z18" i="5"/>
  <c r="AC18" i="5"/>
  <c r="BY19" i="6"/>
  <c r="AN19" i="6"/>
  <c r="AO19" i="6"/>
  <c r="C23" i="9"/>
  <c r="L21" i="12"/>
  <c r="J21" i="12"/>
  <c r="O11" i="10"/>
  <c r="P12" i="10"/>
  <c r="CA19" i="6"/>
  <c r="AQ19" i="6"/>
  <c r="BE19" i="6"/>
  <c r="AM19" i="6"/>
  <c r="BG19" i="6"/>
  <c r="CB19" i="6"/>
  <c r="BI19" i="6"/>
  <c r="BD19" i="6"/>
  <c r="F21" i="6"/>
  <c r="E21" i="12"/>
  <c r="B22" i="6"/>
  <c r="E22" i="5"/>
  <c r="AE22" i="5"/>
  <c r="D22" i="5"/>
  <c r="B22" i="12" s="1"/>
  <c r="F22" i="5"/>
  <c r="N22" i="5"/>
  <c r="AD22" i="5"/>
  <c r="J22" i="5"/>
  <c r="R22" i="5"/>
  <c r="A22" i="12"/>
  <c r="K22" i="5"/>
  <c r="B22" i="5"/>
  <c r="H22" i="5"/>
  <c r="W22" i="5"/>
  <c r="H22" i="12" s="1"/>
  <c r="C23" i="5"/>
  <c r="G22" i="5"/>
  <c r="G19" i="12"/>
  <c r="X19" i="5"/>
  <c r="AJ19" i="6" s="1"/>
  <c r="CB12" i="6"/>
  <c r="CC13" i="6"/>
  <c r="CB14" i="6"/>
  <c r="G20" i="6"/>
  <c r="N20" i="6"/>
  <c r="CB20" i="6"/>
  <c r="M20" i="6"/>
  <c r="CC20" i="6" s="1"/>
  <c r="BV20" i="6"/>
  <c r="BJ20" i="6"/>
  <c r="H20" i="6"/>
  <c r="T20" i="5" s="1"/>
  <c r="BF20" i="6"/>
  <c r="BX20" i="6" l="1"/>
  <c r="BI20" i="6"/>
  <c r="BZ20" i="6"/>
  <c r="BE20" i="6"/>
  <c r="BW20" i="6"/>
  <c r="CA20" i="6"/>
  <c r="BH20" i="6"/>
  <c r="AS13" i="6"/>
  <c r="AR12" i="6"/>
  <c r="BK13" i="6"/>
  <c r="BJ14" i="6"/>
  <c r="BJ12" i="6"/>
  <c r="BJ18" i="6"/>
  <c r="AQ14" i="6"/>
  <c r="AQ16" i="6"/>
  <c r="AQ17" i="6"/>
  <c r="AQ18" i="6"/>
  <c r="BD20" i="6"/>
  <c r="AL20" i="6"/>
  <c r="AQ20" i="6"/>
  <c r="T14" i="12"/>
  <c r="V14" i="12"/>
  <c r="U14" i="12"/>
  <c r="R12" i="9"/>
  <c r="Q11" i="9"/>
  <c r="K21" i="12"/>
  <c r="BY20" i="6"/>
  <c r="BG20" i="6"/>
  <c r="L22" i="12"/>
  <c r="J22" i="12"/>
  <c r="D22" i="6"/>
  <c r="AK20" i="6"/>
  <c r="AR20" i="6"/>
  <c r="AN20" i="6"/>
  <c r="BK20" i="6"/>
  <c r="AP20" i="6"/>
  <c r="F22" i="6"/>
  <c r="E22" i="12"/>
  <c r="M21" i="6"/>
  <c r="BE21" i="6" s="1"/>
  <c r="N21" i="6"/>
  <c r="G21" i="6"/>
  <c r="BZ21" i="6"/>
  <c r="BK21" i="6"/>
  <c r="BF21" i="6"/>
  <c r="BX21" i="6"/>
  <c r="H21" i="6"/>
  <c r="T21" i="5" s="1"/>
  <c r="G20" i="12"/>
  <c r="X20" i="5"/>
  <c r="AO20" i="6"/>
  <c r="AM20" i="6"/>
  <c r="BC20" i="6"/>
  <c r="CD13" i="6"/>
  <c r="CD21" i="6" s="1"/>
  <c r="CC12" i="6"/>
  <c r="CC14" i="6"/>
  <c r="CC18" i="6"/>
  <c r="G23" i="5"/>
  <c r="K23" i="5"/>
  <c r="A23" i="12"/>
  <c r="N23" i="5"/>
  <c r="H23" i="5"/>
  <c r="C24" i="5"/>
  <c r="AD23" i="5"/>
  <c r="F23" i="5"/>
  <c r="J23" i="5"/>
  <c r="W23" i="5"/>
  <c r="H23" i="12" s="1"/>
  <c r="E23" i="5"/>
  <c r="D23" i="5"/>
  <c r="B23" i="12" s="1"/>
  <c r="B23" i="5"/>
  <c r="R23" i="5"/>
  <c r="AE23" i="5"/>
  <c r="B23" i="6"/>
  <c r="CC19" i="6"/>
  <c r="AB18" i="5"/>
  <c r="AA18" i="5"/>
  <c r="C18" i="12"/>
  <c r="O18" i="12"/>
  <c r="AO18" i="12"/>
  <c r="M18" i="12"/>
  <c r="AM19" i="5"/>
  <c r="L19" i="5"/>
  <c r="I19" i="12"/>
  <c r="Z19" i="5"/>
  <c r="I19" i="5"/>
  <c r="AC19" i="5"/>
  <c r="Q12" i="10"/>
  <c r="P11" i="10"/>
  <c r="C18" i="6"/>
  <c r="O18" i="5"/>
  <c r="BY21" i="6" l="1"/>
  <c r="BW21" i="6"/>
  <c r="BI21" i="6"/>
  <c r="BK18" i="6"/>
  <c r="BL13" i="6"/>
  <c r="BK12" i="6"/>
  <c r="BK14" i="6"/>
  <c r="BK19" i="6"/>
  <c r="BH21" i="6"/>
  <c r="CB21" i="6"/>
  <c r="BJ21" i="6"/>
  <c r="AR17" i="6"/>
  <c r="AR14" i="6"/>
  <c r="AR18" i="6"/>
  <c r="AR16" i="6"/>
  <c r="AR19" i="6"/>
  <c r="CA21" i="6"/>
  <c r="BG21" i="6"/>
  <c r="BC21" i="6"/>
  <c r="BL21" i="6"/>
  <c r="AT13" i="6"/>
  <c r="AS12" i="6"/>
  <c r="S12" i="9"/>
  <c r="R11" i="9"/>
  <c r="BD21" i="6"/>
  <c r="BV21" i="6"/>
  <c r="AM21" i="6"/>
  <c r="AE24" i="5"/>
  <c r="G24" i="5"/>
  <c r="F24" i="5"/>
  <c r="AD24" i="5"/>
  <c r="W24" i="5"/>
  <c r="H24" i="12" s="1"/>
  <c r="D24" i="5"/>
  <c r="B24" i="12" s="1"/>
  <c r="A24" i="12"/>
  <c r="J24" i="5"/>
  <c r="B24" i="6"/>
  <c r="B24" i="5"/>
  <c r="R24" i="5"/>
  <c r="E24" i="5"/>
  <c r="K24" i="5"/>
  <c r="N24" i="5"/>
  <c r="H24" i="5"/>
  <c r="C25" i="5"/>
  <c r="L20" i="5"/>
  <c r="I20" i="12"/>
  <c r="AM20" i="5"/>
  <c r="I20" i="5"/>
  <c r="Z20" i="5"/>
  <c r="AC20" i="5"/>
  <c r="AJ20" i="6"/>
  <c r="AO21" i="6"/>
  <c r="Q11" i="10"/>
  <c r="R12" i="10"/>
  <c r="AB19" i="5"/>
  <c r="AA19" i="5"/>
  <c r="C19" i="12"/>
  <c r="O19" i="12"/>
  <c r="AO19" i="12"/>
  <c r="M19" i="12"/>
  <c r="Y18" i="12"/>
  <c r="AR21" i="6"/>
  <c r="AK21" i="6"/>
  <c r="AN21" i="6"/>
  <c r="AP21" i="6"/>
  <c r="C19" i="6"/>
  <c r="O19" i="5"/>
  <c r="D23" i="6"/>
  <c r="G21" i="12"/>
  <c r="X21" i="5"/>
  <c r="AJ21" i="6" s="1"/>
  <c r="AQ21" i="6"/>
  <c r="M22" i="6"/>
  <c r="BY22" i="6" s="1"/>
  <c r="BC22" i="6"/>
  <c r="H22" i="6"/>
  <c r="T22" i="5" s="1"/>
  <c r="BI22" i="6"/>
  <c r="G22" i="6"/>
  <c r="BV22" i="6"/>
  <c r="N22" i="6"/>
  <c r="N18" i="12"/>
  <c r="D18" i="12"/>
  <c r="E18" i="6"/>
  <c r="E23" i="12"/>
  <c r="F23" i="6"/>
  <c r="J23" i="12"/>
  <c r="L23" i="12"/>
  <c r="CE13" i="6"/>
  <c r="CD12" i="6"/>
  <c r="CD14" i="6"/>
  <c r="CD18" i="6"/>
  <c r="CD20" i="6"/>
  <c r="CD19" i="6"/>
  <c r="AL21" i="6"/>
  <c r="AS21" i="6"/>
  <c r="CC21" i="6"/>
  <c r="K22" i="12"/>
  <c r="BL22" i="6" l="1"/>
  <c r="BF22" i="6"/>
  <c r="AS18" i="6"/>
  <c r="AS16" i="6"/>
  <c r="AS19" i="6"/>
  <c r="AS14" i="6"/>
  <c r="AS20" i="6"/>
  <c r="AS17" i="6"/>
  <c r="AN22" i="6"/>
  <c r="AQ22" i="6"/>
  <c r="CD22" i="6"/>
  <c r="Y19" i="12"/>
  <c r="X19" i="12" s="1"/>
  <c r="AU13" i="6"/>
  <c r="AT12" i="6"/>
  <c r="BL19" i="6"/>
  <c r="BL14" i="6"/>
  <c r="BL20" i="6"/>
  <c r="BL18" i="6"/>
  <c r="BM13" i="6"/>
  <c r="BL12" i="6"/>
  <c r="AS22" i="6"/>
  <c r="BE22" i="6"/>
  <c r="AO22" i="6"/>
  <c r="BW22" i="6"/>
  <c r="AK22" i="6"/>
  <c r="AP22" i="6"/>
  <c r="CB22" i="6"/>
  <c r="AT22" i="6"/>
  <c r="BH22" i="6"/>
  <c r="CC22" i="6"/>
  <c r="AL22" i="6"/>
  <c r="BG22" i="6"/>
  <c r="BJ22" i="6"/>
  <c r="BK22" i="6"/>
  <c r="K23" i="12"/>
  <c r="BX22" i="6"/>
  <c r="CA22" i="6"/>
  <c r="BZ22" i="6"/>
  <c r="BD22" i="6"/>
  <c r="S11" i="9"/>
  <c r="T12" i="9"/>
  <c r="AR22" i="6"/>
  <c r="L21" i="5"/>
  <c r="AM21" i="5"/>
  <c r="I21" i="12"/>
  <c r="I21" i="5"/>
  <c r="Z21" i="5"/>
  <c r="AC21" i="5"/>
  <c r="X18" i="12"/>
  <c r="W18" i="12"/>
  <c r="N19" i="12"/>
  <c r="S12" i="10"/>
  <c r="R11" i="10"/>
  <c r="CE12" i="6"/>
  <c r="CF13" i="6"/>
  <c r="CE14" i="6"/>
  <c r="CE18" i="6"/>
  <c r="CE19" i="6"/>
  <c r="CE20" i="6"/>
  <c r="CE21" i="6"/>
  <c r="E19" i="6"/>
  <c r="D19" i="12"/>
  <c r="C20" i="12"/>
  <c r="O20" i="12"/>
  <c r="M20" i="12"/>
  <c r="AO20" i="12"/>
  <c r="G22" i="12"/>
  <c r="X22" i="5"/>
  <c r="AM22" i="6"/>
  <c r="AA20" i="5"/>
  <c r="AB20" i="5"/>
  <c r="C20" i="6"/>
  <c r="O20" i="5"/>
  <c r="F24" i="6"/>
  <c r="E24" i="12"/>
  <c r="L24" i="12"/>
  <c r="J24" i="12"/>
  <c r="CE22" i="6"/>
  <c r="H23" i="6"/>
  <c r="T23" i="5" s="1"/>
  <c r="G23" i="6"/>
  <c r="N23" i="6"/>
  <c r="M23" i="6"/>
  <c r="CB23" i="6" s="1"/>
  <c r="BZ23" i="6"/>
  <c r="CF23" i="6"/>
  <c r="J25" i="5"/>
  <c r="B25" i="5"/>
  <c r="AD25" i="5"/>
  <c r="R25" i="5"/>
  <c r="W25" i="5"/>
  <c r="H25" i="12" s="1"/>
  <c r="F25" i="5"/>
  <c r="C26" i="5"/>
  <c r="K25" i="5"/>
  <c r="N25" i="5"/>
  <c r="G25" i="5"/>
  <c r="H25" i="5"/>
  <c r="E25" i="5"/>
  <c r="D25" i="5"/>
  <c r="B25" i="12" s="1"/>
  <c r="A25" i="12"/>
  <c r="AE25" i="5"/>
  <c r="B25" i="6"/>
  <c r="D24" i="6"/>
  <c r="BM20" i="6" l="1"/>
  <c r="BM18" i="6"/>
  <c r="BM21" i="6"/>
  <c r="BN13" i="6"/>
  <c r="BM12" i="6"/>
  <c r="BM19" i="6"/>
  <c r="BM14" i="6"/>
  <c r="W19" i="12"/>
  <c r="V19" i="12" s="1"/>
  <c r="AT19" i="6"/>
  <c r="AT16" i="6"/>
  <c r="AT17" i="6"/>
  <c r="AT18" i="6"/>
  <c r="AT20" i="6"/>
  <c r="AT14" i="6"/>
  <c r="AT21" i="6"/>
  <c r="BM22" i="6"/>
  <c r="AU12" i="6"/>
  <c r="AV13" i="6"/>
  <c r="BY23" i="6"/>
  <c r="K24" i="12"/>
  <c r="U12" i="9"/>
  <c r="T11" i="9"/>
  <c r="Y20" i="12"/>
  <c r="W20" i="12" s="1"/>
  <c r="H26" i="5"/>
  <c r="F26" i="5"/>
  <c r="AE26" i="5"/>
  <c r="AD26" i="5"/>
  <c r="G26" i="5"/>
  <c r="C27" i="5"/>
  <c r="K26" i="5"/>
  <c r="B26" i="5"/>
  <c r="E26" i="5"/>
  <c r="N26" i="5"/>
  <c r="A26" i="12"/>
  <c r="J26" i="5"/>
  <c r="W26" i="5"/>
  <c r="H26" i="12" s="1"/>
  <c r="B26" i="6"/>
  <c r="R26" i="5"/>
  <c r="D26" i="5"/>
  <c r="B26" i="12" s="1"/>
  <c r="CA23" i="6"/>
  <c r="BJ23" i="6"/>
  <c r="AO23" i="6"/>
  <c r="BH23" i="6"/>
  <c r="AP23" i="6"/>
  <c r="AR23" i="6"/>
  <c r="CE23" i="6"/>
  <c r="CC23" i="6"/>
  <c r="CG13" i="6"/>
  <c r="CF12" i="6"/>
  <c r="CF14" i="6"/>
  <c r="CF18" i="6"/>
  <c r="CF19" i="6"/>
  <c r="CF20" i="6"/>
  <c r="CF21" i="6"/>
  <c r="CF22" i="6"/>
  <c r="C21" i="12"/>
  <c r="O21" i="12"/>
  <c r="M21" i="12"/>
  <c r="AO21" i="12"/>
  <c r="M24" i="6"/>
  <c r="BL24" i="6" s="1"/>
  <c r="BK24" i="6"/>
  <c r="CA24" i="6"/>
  <c r="G24" i="6"/>
  <c r="N24" i="6"/>
  <c r="BX24" i="6"/>
  <c r="BV24" i="6"/>
  <c r="H24" i="6"/>
  <c r="T24" i="5" s="1"/>
  <c r="CB24" i="6"/>
  <c r="BF24" i="6"/>
  <c r="CE24" i="6"/>
  <c r="CD24" i="6"/>
  <c r="BG24" i="6"/>
  <c r="BC24" i="6"/>
  <c r="BY24" i="6"/>
  <c r="BZ24" i="6"/>
  <c r="BM24" i="6"/>
  <c r="CC24" i="6"/>
  <c r="BD24" i="6"/>
  <c r="CF24" i="6"/>
  <c r="CG24" i="6"/>
  <c r="AQ24" i="6"/>
  <c r="BI24" i="6"/>
  <c r="BW24" i="6"/>
  <c r="BI23" i="6"/>
  <c r="AM23" i="6"/>
  <c r="AL23" i="6"/>
  <c r="BX23" i="6"/>
  <c r="AQ23" i="6"/>
  <c r="G23" i="12"/>
  <c r="X23" i="5"/>
  <c r="V18" i="12"/>
  <c r="U18" i="12"/>
  <c r="T18" i="12"/>
  <c r="D25" i="6"/>
  <c r="T19" i="12"/>
  <c r="AU23" i="6"/>
  <c r="BK23" i="6"/>
  <c r="BF23" i="6"/>
  <c r="AK23" i="6"/>
  <c r="CD23" i="6"/>
  <c r="BL23" i="6"/>
  <c r="AN23" i="6"/>
  <c r="AT23" i="6"/>
  <c r="BC23" i="6"/>
  <c r="BD23" i="6"/>
  <c r="I22" i="12"/>
  <c r="L22" i="5"/>
  <c r="AM22" i="5"/>
  <c r="I22" i="5"/>
  <c r="Z22" i="5"/>
  <c r="AC22" i="5"/>
  <c r="AJ22" i="6"/>
  <c r="AB21" i="5"/>
  <c r="AA21" i="5"/>
  <c r="C21" i="6"/>
  <c r="O21" i="5"/>
  <c r="J25" i="12"/>
  <c r="L25" i="12"/>
  <c r="F25" i="6"/>
  <c r="E25" i="12"/>
  <c r="CG23" i="6"/>
  <c r="BE23" i="6"/>
  <c r="BV23" i="6"/>
  <c r="AJ23" i="6"/>
  <c r="BM23" i="6"/>
  <c r="BG23" i="6"/>
  <c r="AS23" i="6"/>
  <c r="BW23" i="6"/>
  <c r="E20" i="6"/>
  <c r="D20" i="12"/>
  <c r="N20" i="12"/>
  <c r="T12" i="10"/>
  <c r="S11" i="10"/>
  <c r="K25" i="12" l="1"/>
  <c r="BE24" i="6"/>
  <c r="BH24" i="6"/>
  <c r="BN21" i="6"/>
  <c r="BN18" i="6"/>
  <c r="BN12" i="6"/>
  <c r="BN20" i="6"/>
  <c r="BO13" i="6"/>
  <c r="BN19" i="6"/>
  <c r="BN14" i="6"/>
  <c r="BN22" i="6"/>
  <c r="BN24" i="6"/>
  <c r="U19" i="12"/>
  <c r="X20" i="12"/>
  <c r="AR24" i="6"/>
  <c r="BJ24" i="6"/>
  <c r="N21" i="12"/>
  <c r="AV12" i="6"/>
  <c r="AW13" i="6"/>
  <c r="BN23" i="6"/>
  <c r="AU14" i="6"/>
  <c r="AU22" i="6"/>
  <c r="AU18" i="6"/>
  <c r="AU16" i="6"/>
  <c r="AU17" i="6"/>
  <c r="AU20" i="6"/>
  <c r="AU19" i="6"/>
  <c r="AU21" i="6"/>
  <c r="Y21" i="12"/>
  <c r="U11" i="9"/>
  <c r="V12" i="9"/>
  <c r="E21" i="6"/>
  <c r="D21" i="12"/>
  <c r="G24" i="12"/>
  <c r="X24" i="5"/>
  <c r="AS24" i="6"/>
  <c r="W21" i="12"/>
  <c r="X21" i="12"/>
  <c r="L26" i="12"/>
  <c r="J26" i="12"/>
  <c r="T11" i="10"/>
  <c r="U12" i="10"/>
  <c r="C22" i="6"/>
  <c r="O22" i="5"/>
  <c r="G25" i="6"/>
  <c r="N25" i="6"/>
  <c r="H25" i="6"/>
  <c r="T25" i="5" s="1"/>
  <c r="CF25" i="6"/>
  <c r="M25" i="6"/>
  <c r="BW25" i="6" s="1"/>
  <c r="AU24" i="6"/>
  <c r="AT24" i="6"/>
  <c r="AK24" i="6"/>
  <c r="D26" i="6"/>
  <c r="J27" i="5"/>
  <c r="N27" i="5"/>
  <c r="E27" i="5"/>
  <c r="AE27" i="5"/>
  <c r="D27" i="5"/>
  <c r="B27" i="12" s="1"/>
  <c r="G27" i="5"/>
  <c r="F27" i="5"/>
  <c r="H27" i="5"/>
  <c r="A27" i="12"/>
  <c r="AD27" i="5"/>
  <c r="B27" i="5"/>
  <c r="C28" i="5" s="1"/>
  <c r="B27" i="6"/>
  <c r="R27" i="5"/>
  <c r="W27" i="5"/>
  <c r="H27" i="12" s="1"/>
  <c r="K27" i="5"/>
  <c r="C22" i="12"/>
  <c r="O22" i="12"/>
  <c r="AO22" i="12"/>
  <c r="M22" i="12"/>
  <c r="AL24" i="6"/>
  <c r="AN24" i="6"/>
  <c r="AP24" i="6"/>
  <c r="E26" i="12"/>
  <c r="F26" i="6"/>
  <c r="AA22" i="5"/>
  <c r="AB22" i="5"/>
  <c r="V20" i="12"/>
  <c r="U20" i="12"/>
  <c r="T20" i="12"/>
  <c r="I23" i="12"/>
  <c r="L23" i="5"/>
  <c r="AM23" i="5"/>
  <c r="Z23" i="5"/>
  <c r="I23" i="5"/>
  <c r="AC23" i="5"/>
  <c r="AO24" i="6"/>
  <c r="AV24" i="6"/>
  <c r="AM24" i="6"/>
  <c r="CG12" i="6"/>
  <c r="CH13" i="6"/>
  <c r="CG14" i="6"/>
  <c r="CG18" i="6"/>
  <c r="CG19" i="6"/>
  <c r="CG20" i="6"/>
  <c r="CG21" i="6"/>
  <c r="CG22" i="6"/>
  <c r="AN25" i="6" l="1"/>
  <c r="AW12" i="6"/>
  <c r="AX13" i="6"/>
  <c r="AV22" i="6"/>
  <c r="AV16" i="6"/>
  <c r="AV14" i="6"/>
  <c r="AV18" i="6"/>
  <c r="AV20" i="6"/>
  <c r="AV17" i="6"/>
  <c r="AV21" i="6"/>
  <c r="AV19" i="6"/>
  <c r="AV23" i="6"/>
  <c r="K26" i="12"/>
  <c r="BO14" i="6"/>
  <c r="BO21" i="6"/>
  <c r="BO19" i="6"/>
  <c r="BO22" i="6"/>
  <c r="BO18" i="6"/>
  <c r="BO12" i="6"/>
  <c r="BP13" i="6"/>
  <c r="BO20" i="6"/>
  <c r="BO24" i="6"/>
  <c r="BO23" i="6"/>
  <c r="BL25" i="6"/>
  <c r="AR25" i="6"/>
  <c r="N22" i="12"/>
  <c r="V11" i="9"/>
  <c r="W12" i="9"/>
  <c r="AD28" i="5"/>
  <c r="E28" i="5"/>
  <c r="AE28" i="5"/>
  <c r="G28" i="5"/>
  <c r="A28" i="12"/>
  <c r="F28" i="5"/>
  <c r="I28" i="5"/>
  <c r="B28" i="6"/>
  <c r="N28" i="5"/>
  <c r="W28" i="5"/>
  <c r="H28" i="12" s="1"/>
  <c r="H28" i="5"/>
  <c r="B28" i="5"/>
  <c r="C29" i="5" s="1"/>
  <c r="C23" i="6"/>
  <c r="O23" i="5"/>
  <c r="F27" i="6"/>
  <c r="E27" i="12"/>
  <c r="BN25" i="6"/>
  <c r="BE25" i="6"/>
  <c r="BV25" i="6"/>
  <c r="G25" i="12"/>
  <c r="X25" i="5"/>
  <c r="AJ25" i="6" s="1"/>
  <c r="AK25" i="6"/>
  <c r="CC25" i="6"/>
  <c r="CG25" i="6"/>
  <c r="CI13" i="6"/>
  <c r="CH12" i="6"/>
  <c r="CH14" i="6"/>
  <c r="CH18" i="6"/>
  <c r="CH19" i="6"/>
  <c r="CH20" i="6"/>
  <c r="CH21" i="6"/>
  <c r="CH22" i="6"/>
  <c r="CH24" i="6"/>
  <c r="CH23" i="6"/>
  <c r="C23" i="12"/>
  <c r="AO23" i="12"/>
  <c r="M23" i="12"/>
  <c r="O23" i="12"/>
  <c r="H26" i="6"/>
  <c r="T26" i="5" s="1"/>
  <c r="N26" i="6"/>
  <c r="M26" i="6"/>
  <c r="CI26" i="6" s="1"/>
  <c r="BO26" i="6"/>
  <c r="CB26" i="6"/>
  <c r="CF26" i="6"/>
  <c r="CG26" i="6"/>
  <c r="BL26" i="6"/>
  <c r="AP26" i="6"/>
  <c r="BC26" i="6"/>
  <c r="CC26" i="6"/>
  <c r="CA26" i="6"/>
  <c r="G26" i="6"/>
  <c r="BV26" i="6"/>
  <c r="BD26" i="6"/>
  <c r="BF26" i="6"/>
  <c r="BY26" i="6"/>
  <c r="BP26" i="6"/>
  <c r="BE26" i="6"/>
  <c r="CD26" i="6"/>
  <c r="BI26" i="6"/>
  <c r="AN26" i="6"/>
  <c r="BM26" i="6"/>
  <c r="BZ26" i="6"/>
  <c r="BJ26" i="6"/>
  <c r="CD25" i="6"/>
  <c r="AS25" i="6"/>
  <c r="BH25" i="6"/>
  <c r="BO25" i="6"/>
  <c r="BI25" i="6"/>
  <c r="AV25" i="6"/>
  <c r="BM25" i="6"/>
  <c r="AQ25" i="6"/>
  <c r="BF25" i="6"/>
  <c r="AU25" i="6"/>
  <c r="V12" i="10"/>
  <c r="U11" i="10"/>
  <c r="T21" i="12"/>
  <c r="U21" i="12"/>
  <c r="V21" i="12"/>
  <c r="AB23" i="5"/>
  <c r="AA23" i="5"/>
  <c r="D27" i="6"/>
  <c r="BZ25" i="6"/>
  <c r="BX25" i="6"/>
  <c r="BJ25" i="6"/>
  <c r="CH25" i="6"/>
  <c r="AP25" i="6"/>
  <c r="BK25" i="6"/>
  <c r="CE25" i="6"/>
  <c r="BC25" i="6"/>
  <c r="BD25" i="6"/>
  <c r="BG25" i="6"/>
  <c r="D22" i="12"/>
  <c r="E22" i="6"/>
  <c r="Y22" i="12"/>
  <c r="L27" i="12"/>
  <c r="J27" i="12"/>
  <c r="AW25" i="6"/>
  <c r="AL25" i="6"/>
  <c r="CI25" i="6"/>
  <c r="BY25" i="6"/>
  <c r="AO25" i="6"/>
  <c r="BP25" i="6"/>
  <c r="CA25" i="6"/>
  <c r="CB25" i="6"/>
  <c r="AT25" i="6"/>
  <c r="AM25" i="6"/>
  <c r="AM24" i="5"/>
  <c r="I24" i="12"/>
  <c r="L24" i="5"/>
  <c r="Z24" i="5"/>
  <c r="I24" i="5"/>
  <c r="AC24" i="5"/>
  <c r="AJ24" i="6"/>
  <c r="BX26" i="6" l="1"/>
  <c r="BN26" i="6"/>
  <c r="BH26" i="6"/>
  <c r="CH26" i="6"/>
  <c r="AR26" i="6"/>
  <c r="AL26" i="6"/>
  <c r="BP23" i="6"/>
  <c r="BP14" i="6"/>
  <c r="BP21" i="6"/>
  <c r="BP24" i="6"/>
  <c r="BP20" i="6"/>
  <c r="BP18" i="6"/>
  <c r="BP22" i="6"/>
  <c r="BP12" i="6"/>
  <c r="BP19" i="6"/>
  <c r="BQ13" i="6"/>
  <c r="AV26" i="6"/>
  <c r="AY13" i="6"/>
  <c r="AX12" i="6"/>
  <c r="AO26" i="6"/>
  <c r="AW26" i="6"/>
  <c r="BW26" i="6"/>
  <c r="Y23" i="12"/>
  <c r="X23" i="12" s="1"/>
  <c r="AW17" i="6"/>
  <c r="AW21" i="6"/>
  <c r="AW18" i="6"/>
  <c r="AW22" i="6"/>
  <c r="AW19" i="6"/>
  <c r="AW20" i="6"/>
  <c r="AW16" i="6"/>
  <c r="AW23" i="6"/>
  <c r="AW14" i="6"/>
  <c r="AW24" i="6"/>
  <c r="X12" i="9"/>
  <c r="W11" i="9"/>
  <c r="AU26" i="6"/>
  <c r="AK26" i="6"/>
  <c r="AT26" i="6"/>
  <c r="AX26" i="6"/>
  <c r="AM26" i="6"/>
  <c r="AS26" i="6"/>
  <c r="AQ26" i="6"/>
  <c r="BK26" i="6"/>
  <c r="N23" i="12"/>
  <c r="A29" i="12"/>
  <c r="AE29" i="5"/>
  <c r="B29" i="5"/>
  <c r="E29" i="5"/>
  <c r="H29" i="5"/>
  <c r="C30" i="5"/>
  <c r="F29" i="5"/>
  <c r="W29" i="5"/>
  <c r="H29" i="12" s="1"/>
  <c r="G29" i="5"/>
  <c r="N29" i="5"/>
  <c r="I29" i="5"/>
  <c r="AD29" i="5"/>
  <c r="B29" i="6"/>
  <c r="C24" i="12"/>
  <c r="M24" i="12"/>
  <c r="AO24" i="12"/>
  <c r="O24" i="12"/>
  <c r="X22" i="12"/>
  <c r="W22" i="12"/>
  <c r="H27" i="6"/>
  <c r="T27" i="5" s="1"/>
  <c r="G27" i="6"/>
  <c r="M27" i="6"/>
  <c r="CG27" i="6" s="1"/>
  <c r="N27" i="6"/>
  <c r="D23" i="12"/>
  <c r="E23" i="6"/>
  <c r="AB24" i="5"/>
  <c r="AA24" i="5"/>
  <c r="L25" i="5"/>
  <c r="AM25" i="5"/>
  <c r="I25" i="12"/>
  <c r="Z25" i="5"/>
  <c r="I25" i="5"/>
  <c r="AC25" i="5"/>
  <c r="D28" i="6"/>
  <c r="C24" i="6"/>
  <c r="O24" i="5"/>
  <c r="CE26" i="6"/>
  <c r="BG26" i="6"/>
  <c r="K27" i="12"/>
  <c r="V11" i="10"/>
  <c r="W12" i="10"/>
  <c r="G26" i="12"/>
  <c r="X26" i="5"/>
  <c r="CI12" i="6"/>
  <c r="CJ13" i="6"/>
  <c r="CI14" i="6"/>
  <c r="CI18" i="6"/>
  <c r="CI19" i="6"/>
  <c r="CI20" i="6"/>
  <c r="CI21" i="6"/>
  <c r="CI22" i="6"/>
  <c r="CI24" i="6"/>
  <c r="CI23" i="6"/>
  <c r="BL27" i="6" l="1"/>
  <c r="AX23" i="6"/>
  <c r="AX24" i="6"/>
  <c r="AX22" i="6"/>
  <c r="AX19" i="6"/>
  <c r="AX14" i="6"/>
  <c r="AX17" i="6"/>
  <c r="AX20" i="6"/>
  <c r="AX18" i="6"/>
  <c r="AX21" i="6"/>
  <c r="AX16" i="6"/>
  <c r="AX25" i="6"/>
  <c r="BQ24" i="6"/>
  <c r="BQ23" i="6"/>
  <c r="BQ18" i="6"/>
  <c r="BQ22" i="6"/>
  <c r="BQ12" i="6"/>
  <c r="BQ20" i="6"/>
  <c r="BQ14" i="6"/>
  <c r="BR13" i="6"/>
  <c r="BQ19" i="6"/>
  <c r="BQ21" i="6"/>
  <c r="BQ25" i="6"/>
  <c r="W23" i="12"/>
  <c r="U23" i="12" s="1"/>
  <c r="AY12" i="6"/>
  <c r="AZ13" i="6"/>
  <c r="AL27" i="6"/>
  <c r="N24" i="12"/>
  <c r="BQ26" i="6"/>
  <c r="BC27" i="6"/>
  <c r="BZ27" i="6"/>
  <c r="Y24" i="12"/>
  <c r="X24" i="12" s="1"/>
  <c r="BH27" i="6"/>
  <c r="BW27" i="6"/>
  <c r="BG27" i="6"/>
  <c r="BV27" i="6"/>
  <c r="BF27" i="6"/>
  <c r="AQ27" i="6"/>
  <c r="AT27" i="6"/>
  <c r="X11" i="9"/>
  <c r="Y12" i="9"/>
  <c r="X12" i="10"/>
  <c r="W11" i="10"/>
  <c r="C25" i="6"/>
  <c r="O25" i="5"/>
  <c r="CA27" i="6"/>
  <c r="BO27" i="6"/>
  <c r="CE27" i="6"/>
  <c r="BQ27" i="6"/>
  <c r="CI27" i="6"/>
  <c r="BY27" i="6"/>
  <c r="BD27" i="6"/>
  <c r="AB25" i="5"/>
  <c r="AA25" i="5"/>
  <c r="AM27" i="6"/>
  <c r="BR27" i="6"/>
  <c r="AV27" i="6"/>
  <c r="AK27" i="6"/>
  <c r="G27" i="12"/>
  <c r="X27" i="5"/>
  <c r="CH27" i="6"/>
  <c r="AW27" i="6"/>
  <c r="D29" i="6"/>
  <c r="AM26" i="5"/>
  <c r="I26" i="12"/>
  <c r="L26" i="5"/>
  <c r="I26" i="5"/>
  <c r="Z26" i="5"/>
  <c r="AC26" i="5"/>
  <c r="AJ26" i="6"/>
  <c r="E24" i="6"/>
  <c r="D24" i="12"/>
  <c r="BL28" i="6"/>
  <c r="BR28" i="6"/>
  <c r="BJ28" i="6"/>
  <c r="BC28" i="6"/>
  <c r="CK28" i="6"/>
  <c r="CF28" i="6"/>
  <c r="BT28" i="6"/>
  <c r="CG28" i="6"/>
  <c r="CA28" i="6"/>
  <c r="CM28" i="6"/>
  <c r="BG28" i="6"/>
  <c r="CI28" i="6"/>
  <c r="BN28" i="6"/>
  <c r="BO28" i="6"/>
  <c r="CE28" i="6"/>
  <c r="BD28" i="6"/>
  <c r="BH28" i="6"/>
  <c r="BK28" i="6"/>
  <c r="CB28" i="6"/>
  <c r="N28" i="6"/>
  <c r="CC28" i="6"/>
  <c r="BP28" i="6"/>
  <c r="M28" i="6"/>
  <c r="AW28" i="6" s="1"/>
  <c r="BW28" i="6"/>
  <c r="BS28" i="6"/>
  <c r="H28" i="6"/>
  <c r="T28" i="5" s="1"/>
  <c r="G28" i="12" s="1"/>
  <c r="CH28" i="6"/>
  <c r="BM28" i="6"/>
  <c r="BF28" i="6"/>
  <c r="CD28" i="6"/>
  <c r="BI28" i="6"/>
  <c r="CJ28" i="6"/>
  <c r="BE28" i="6"/>
  <c r="BZ28" i="6"/>
  <c r="BV28" i="6"/>
  <c r="BY28" i="6"/>
  <c r="CL28" i="6"/>
  <c r="G28" i="6"/>
  <c r="BQ28" i="6"/>
  <c r="BX28" i="6"/>
  <c r="C25" i="12"/>
  <c r="M25" i="12"/>
  <c r="AO25" i="12"/>
  <c r="O25" i="12"/>
  <c r="AN27" i="6"/>
  <c r="AX27" i="6"/>
  <c r="BN27" i="6"/>
  <c r="AR27" i="6"/>
  <c r="AP27" i="6"/>
  <c r="CD27" i="6"/>
  <c r="BX27" i="6"/>
  <c r="CB27" i="6"/>
  <c r="CC27" i="6"/>
  <c r="BK27" i="6"/>
  <c r="W24" i="12"/>
  <c r="H30" i="5"/>
  <c r="F30" i="5"/>
  <c r="R30" i="5"/>
  <c r="W30" i="5"/>
  <c r="H30" i="12" s="1"/>
  <c r="A30" i="12"/>
  <c r="AE30" i="5"/>
  <c r="E30" i="5"/>
  <c r="N30" i="5"/>
  <c r="G30" i="5"/>
  <c r="D30" i="5"/>
  <c r="B30" i="12" s="1"/>
  <c r="B30" i="6"/>
  <c r="J30" i="5"/>
  <c r="B30" i="5"/>
  <c r="C31" i="5" s="1"/>
  <c r="K30" i="5"/>
  <c r="AD30" i="5"/>
  <c r="CJ12" i="6"/>
  <c r="CK13" i="6"/>
  <c r="CK27" i="6" s="1"/>
  <c r="CJ14" i="6"/>
  <c r="CJ18" i="6"/>
  <c r="CJ19" i="6"/>
  <c r="CJ20" i="6"/>
  <c r="CJ21" i="6"/>
  <c r="CJ22" i="6"/>
  <c r="CJ23" i="6"/>
  <c r="CJ24" i="6"/>
  <c r="CJ25" i="6"/>
  <c r="CJ26" i="6"/>
  <c r="V23" i="12"/>
  <c r="T23" i="12"/>
  <c r="BM27" i="6"/>
  <c r="AS27" i="6"/>
  <c r="AJ27" i="6"/>
  <c r="BJ27" i="6"/>
  <c r="CJ27" i="6"/>
  <c r="CF27" i="6"/>
  <c r="BP27" i="6"/>
  <c r="BI27" i="6"/>
  <c r="AO27" i="6"/>
  <c r="BE27" i="6"/>
  <c r="AU27" i="6"/>
  <c r="V22" i="12"/>
  <c r="U22" i="12"/>
  <c r="T22" i="12"/>
  <c r="AY28" i="6" l="1"/>
  <c r="AV28" i="6"/>
  <c r="AY24" i="6"/>
  <c r="AY14" i="6"/>
  <c r="AY17" i="6"/>
  <c r="AY19" i="6"/>
  <c r="AY21" i="6"/>
  <c r="AY26" i="6"/>
  <c r="AY22" i="6"/>
  <c r="AY16" i="6"/>
  <c r="AY23" i="6"/>
  <c r="AY25" i="6"/>
  <c r="AY18" i="6"/>
  <c r="AY20" i="6"/>
  <c r="BR12" i="6"/>
  <c r="BR20" i="6"/>
  <c r="BR23" i="6"/>
  <c r="BR25" i="6"/>
  <c r="BR14" i="6"/>
  <c r="BR21" i="6"/>
  <c r="BR26" i="6"/>
  <c r="BS13" i="6"/>
  <c r="BR19" i="6"/>
  <c r="BR18" i="6"/>
  <c r="BR22" i="6"/>
  <c r="BR24" i="6"/>
  <c r="AY27" i="6"/>
  <c r="AZ12" i="6"/>
  <c r="BA13" i="6"/>
  <c r="BA12" i="6" s="1"/>
  <c r="N25" i="12"/>
  <c r="AK28" i="6"/>
  <c r="AX28" i="6"/>
  <c r="AT28" i="6"/>
  <c r="AL28" i="6"/>
  <c r="Y11" i="9"/>
  <c r="Z12" i="9"/>
  <c r="AZ28" i="6"/>
  <c r="AM28" i="6"/>
  <c r="AN28" i="6"/>
  <c r="D30" i="6"/>
  <c r="Y25" i="12"/>
  <c r="AR28" i="6"/>
  <c r="AO28" i="6"/>
  <c r="AS28" i="6"/>
  <c r="AU28" i="6"/>
  <c r="C26" i="12"/>
  <c r="O26" i="12"/>
  <c r="N26" i="12" s="1"/>
  <c r="AO26" i="12"/>
  <c r="M26" i="12"/>
  <c r="AM27" i="5"/>
  <c r="I27" i="12"/>
  <c r="L27" i="5"/>
  <c r="Z27" i="5"/>
  <c r="I27" i="5"/>
  <c r="AC27" i="5"/>
  <c r="D25" i="12"/>
  <c r="E25" i="6"/>
  <c r="AQ28" i="6"/>
  <c r="AA26" i="5"/>
  <c r="AB26" i="5"/>
  <c r="BR29" i="6"/>
  <c r="BE29" i="6"/>
  <c r="BD29" i="6"/>
  <c r="BY29" i="6"/>
  <c r="BN29" i="6"/>
  <c r="BZ29" i="6"/>
  <c r="BH29" i="6"/>
  <c r="BM29" i="6"/>
  <c r="N29" i="6"/>
  <c r="CJ29" i="6"/>
  <c r="BP29" i="6"/>
  <c r="BS29" i="6"/>
  <c r="CL29" i="6"/>
  <c r="BX29" i="6"/>
  <c r="BJ29" i="6"/>
  <c r="CA29" i="6"/>
  <c r="BL29" i="6"/>
  <c r="BW29" i="6"/>
  <c r="CE29" i="6"/>
  <c r="BC29" i="6"/>
  <c r="CM29" i="6"/>
  <c r="H29" i="6"/>
  <c r="T29" i="5" s="1"/>
  <c r="G29" i="12" s="1"/>
  <c r="CD29" i="6"/>
  <c r="M29" i="6"/>
  <c r="AJ29" i="6" s="1"/>
  <c r="BQ29" i="6"/>
  <c r="BT29" i="6"/>
  <c r="CK29" i="6"/>
  <c r="BK29" i="6"/>
  <c r="BF29" i="6"/>
  <c r="CG29" i="6"/>
  <c r="BO29" i="6"/>
  <c r="AT29" i="6"/>
  <c r="G29" i="6"/>
  <c r="CI29" i="6"/>
  <c r="BV29" i="6"/>
  <c r="CH29" i="6"/>
  <c r="CC29" i="6"/>
  <c r="CF29" i="6"/>
  <c r="BG29" i="6"/>
  <c r="BI29" i="6"/>
  <c r="CB29" i="6"/>
  <c r="CK12" i="6"/>
  <c r="CL13" i="6"/>
  <c r="CK14" i="6"/>
  <c r="CK18" i="6"/>
  <c r="CK19" i="6"/>
  <c r="CK20" i="6"/>
  <c r="CK21" i="6"/>
  <c r="CK22" i="6"/>
  <c r="CK24" i="6"/>
  <c r="CK23" i="6"/>
  <c r="CK26" i="6"/>
  <c r="CK25" i="6"/>
  <c r="F30" i="6"/>
  <c r="E30" i="12"/>
  <c r="V24" i="12"/>
  <c r="U24" i="12"/>
  <c r="T24" i="12"/>
  <c r="L30" i="12"/>
  <c r="J30" i="12"/>
  <c r="C32" i="5"/>
  <c r="B31" i="6"/>
  <c r="G31" i="5"/>
  <c r="K29" i="5" s="1"/>
  <c r="I31" i="5"/>
  <c r="F31" i="5"/>
  <c r="AD31" i="5"/>
  <c r="B31" i="5"/>
  <c r="H31" i="5"/>
  <c r="W31" i="5"/>
  <c r="H31" i="12" s="1"/>
  <c r="AE31" i="5"/>
  <c r="E31" i="5"/>
  <c r="A31" i="12"/>
  <c r="N31" i="5"/>
  <c r="AJ28" i="6"/>
  <c r="AP28" i="6"/>
  <c r="C26" i="6"/>
  <c r="O26" i="5"/>
  <c r="X11" i="10"/>
  <c r="Y12" i="10"/>
  <c r="BA26" i="6" l="1"/>
  <c r="BA25" i="6"/>
  <c r="BA19" i="6"/>
  <c r="BA18" i="6"/>
  <c r="BA24" i="6"/>
  <c r="BA20" i="6"/>
  <c r="BA16" i="6"/>
  <c r="BA22" i="6"/>
  <c r="BA17" i="6"/>
  <c r="BA14" i="6"/>
  <c r="BA23" i="6"/>
  <c r="BA21" i="6"/>
  <c r="BA27" i="6"/>
  <c r="AZ26" i="6"/>
  <c r="AZ25" i="6"/>
  <c r="AZ20" i="6"/>
  <c r="AZ19" i="6"/>
  <c r="AZ21" i="6"/>
  <c r="AZ24" i="6"/>
  <c r="AZ17" i="6"/>
  <c r="AZ18" i="6"/>
  <c r="AZ23" i="6"/>
  <c r="AZ22" i="6"/>
  <c r="AZ14" i="6"/>
  <c r="AZ16" i="6"/>
  <c r="AZ27" i="6"/>
  <c r="BA29" i="6"/>
  <c r="BA28" i="6"/>
  <c r="BS25" i="6"/>
  <c r="BS26" i="6"/>
  <c r="BT13" i="6"/>
  <c r="BS20" i="6"/>
  <c r="BS24" i="6"/>
  <c r="BS18" i="6"/>
  <c r="BS23" i="6"/>
  <c r="BS14" i="6"/>
  <c r="BS21" i="6"/>
  <c r="BS27" i="6"/>
  <c r="BS22" i="6"/>
  <c r="BS12" i="6"/>
  <c r="BS19" i="6"/>
  <c r="AK29" i="6"/>
  <c r="AW29" i="6"/>
  <c r="AQ29" i="6"/>
  <c r="AA12" i="9"/>
  <c r="Z11" i="9"/>
  <c r="AV29" i="6"/>
  <c r="AZ29" i="6"/>
  <c r="AO29" i="6"/>
  <c r="AU29" i="6"/>
  <c r="K30" i="12"/>
  <c r="AY29" i="6"/>
  <c r="AP29" i="6"/>
  <c r="E26" i="6"/>
  <c r="D26" i="12"/>
  <c r="C27" i="12"/>
  <c r="O27" i="12"/>
  <c r="AO27" i="12"/>
  <c r="M27" i="12"/>
  <c r="G30" i="6"/>
  <c r="N30" i="6"/>
  <c r="M30" i="6"/>
  <c r="BW30" i="6" s="1"/>
  <c r="CF30" i="6"/>
  <c r="H30" i="6"/>
  <c r="T30" i="5" s="1"/>
  <c r="CI30" i="6"/>
  <c r="BJ30" i="6"/>
  <c r="BD30" i="6"/>
  <c r="AY30" i="6"/>
  <c r="BI30" i="6"/>
  <c r="AX30" i="6"/>
  <c r="D31" i="6"/>
  <c r="Z12" i="10"/>
  <c r="Y11" i="10"/>
  <c r="AL29" i="6"/>
  <c r="AM29" i="6"/>
  <c r="AR29" i="6"/>
  <c r="AS29" i="6"/>
  <c r="AB27" i="5"/>
  <c r="AA27" i="5"/>
  <c r="G32" i="5"/>
  <c r="N32" i="5"/>
  <c r="C33" i="5"/>
  <c r="E32" i="5"/>
  <c r="H32" i="5"/>
  <c r="B32" i="6"/>
  <c r="AE32" i="5"/>
  <c r="AD32" i="5"/>
  <c r="B32" i="5"/>
  <c r="F32" i="5"/>
  <c r="W32" i="5"/>
  <c r="H32" i="12" s="1"/>
  <c r="K32" i="5"/>
  <c r="R32" i="5"/>
  <c r="D32" i="5"/>
  <c r="B32" i="12" s="1"/>
  <c r="A32" i="12"/>
  <c r="J32" i="5"/>
  <c r="CL12" i="6"/>
  <c r="CM13" i="6"/>
  <c r="CM30" i="6" s="1"/>
  <c r="CL14" i="6"/>
  <c r="CL18" i="6"/>
  <c r="CL19" i="6"/>
  <c r="CL20" i="6"/>
  <c r="CL21" i="6"/>
  <c r="CL22" i="6"/>
  <c r="CL23" i="6"/>
  <c r="CL24" i="6"/>
  <c r="CL25" i="6"/>
  <c r="CL26" i="6"/>
  <c r="CL27" i="6"/>
  <c r="AN29" i="6"/>
  <c r="AX29" i="6"/>
  <c r="C27" i="6"/>
  <c r="O27" i="5"/>
  <c r="Y26" i="12"/>
  <c r="X25" i="12"/>
  <c r="W25" i="12"/>
  <c r="BG30" i="6" l="1"/>
  <c r="CE30" i="6"/>
  <c r="BS30" i="6"/>
  <c r="BC30" i="6"/>
  <c r="BT30" i="6"/>
  <c r="CD30" i="6"/>
  <c r="AR30" i="6"/>
  <c r="BK30" i="6"/>
  <c r="BZ30" i="6"/>
  <c r="BF30" i="6"/>
  <c r="BN30" i="6"/>
  <c r="CC30" i="6"/>
  <c r="BE30" i="6"/>
  <c r="BL30" i="6"/>
  <c r="BT27" i="6"/>
  <c r="BT14" i="6"/>
  <c r="BT21" i="6"/>
  <c r="BT25" i="6"/>
  <c r="BT24" i="6"/>
  <c r="BT12" i="6"/>
  <c r="BT23" i="6"/>
  <c r="BT18" i="6"/>
  <c r="BT22" i="6"/>
  <c r="BT26" i="6"/>
  <c r="BT19" i="6"/>
  <c r="BT20" i="6"/>
  <c r="CJ30" i="6"/>
  <c r="BX30" i="6"/>
  <c r="BY30" i="6"/>
  <c r="BV30" i="6"/>
  <c r="BR30" i="6"/>
  <c r="CG30" i="6"/>
  <c r="BP30" i="6"/>
  <c r="BH30" i="6"/>
  <c r="BM30" i="6"/>
  <c r="AK30" i="6"/>
  <c r="BQ30" i="6"/>
  <c r="N27" i="12"/>
  <c r="AB12" i="9"/>
  <c r="AA11" i="9"/>
  <c r="CH30" i="6"/>
  <c r="CA30" i="6"/>
  <c r="V25" i="12"/>
  <c r="T25" i="12"/>
  <c r="U25" i="12"/>
  <c r="AE33" i="5"/>
  <c r="G33" i="5"/>
  <c r="K33" i="5"/>
  <c r="R33" i="5"/>
  <c r="J33" i="5"/>
  <c r="E33" i="5"/>
  <c r="B33" i="6"/>
  <c r="F33" i="5"/>
  <c r="C34" i="5"/>
  <c r="A33" i="12"/>
  <c r="B33" i="5"/>
  <c r="W33" i="5"/>
  <c r="H33" i="12" s="1"/>
  <c r="H33" i="5"/>
  <c r="D33" i="5"/>
  <c r="B33" i="12" s="1"/>
  <c r="N33" i="5"/>
  <c r="AD33" i="5"/>
  <c r="N31" i="6"/>
  <c r="BO31" i="6"/>
  <c r="BH31" i="6"/>
  <c r="BI31" i="6"/>
  <c r="M31" i="6"/>
  <c r="AT31" i="6" s="1"/>
  <c r="BX31" i="6"/>
  <c r="CF31" i="6"/>
  <c r="CI31" i="6"/>
  <c r="BJ31" i="6"/>
  <c r="BM31" i="6"/>
  <c r="BL31" i="6"/>
  <c r="G31" i="6"/>
  <c r="BD31" i="6"/>
  <c r="CJ31" i="6"/>
  <c r="BY31" i="6"/>
  <c r="CL31" i="6"/>
  <c r="CA31" i="6"/>
  <c r="BR31" i="6"/>
  <c r="CB31" i="6"/>
  <c r="CE31" i="6"/>
  <c r="CM31" i="6"/>
  <c r="BQ31" i="6"/>
  <c r="H31" i="6"/>
  <c r="T31" i="5" s="1"/>
  <c r="G31" i="12" s="1"/>
  <c r="BG31" i="6"/>
  <c r="BT31" i="6"/>
  <c r="BF31" i="6"/>
  <c r="BK31" i="6"/>
  <c r="BZ31" i="6"/>
  <c r="BV31" i="6"/>
  <c r="BP31" i="6"/>
  <c r="BW31" i="6"/>
  <c r="CK31" i="6"/>
  <c r="CC31" i="6"/>
  <c r="BE31" i="6"/>
  <c r="BS31" i="6"/>
  <c r="CH31" i="6"/>
  <c r="BC31" i="6"/>
  <c r="CG31" i="6"/>
  <c r="CD31" i="6"/>
  <c r="BN31" i="6"/>
  <c r="AT30" i="6"/>
  <c r="AU30" i="6"/>
  <c r="AQ30" i="6"/>
  <c r="AW30" i="6"/>
  <c r="CK30" i="6"/>
  <c r="BA30" i="6"/>
  <c r="Y27" i="12"/>
  <c r="D32" i="6"/>
  <c r="AO30" i="6"/>
  <c r="AZ30" i="6"/>
  <c r="AV30" i="6"/>
  <c r="AA12" i="10"/>
  <c r="Z11" i="10"/>
  <c r="G30" i="12"/>
  <c r="X30" i="5"/>
  <c r="AJ30" i="6" s="1"/>
  <c r="AS30" i="6"/>
  <c r="F32" i="6"/>
  <c r="E32" i="12"/>
  <c r="X26" i="12"/>
  <c r="W26" i="12"/>
  <c r="CM12" i="6"/>
  <c r="CM14" i="6"/>
  <c r="CM18" i="6"/>
  <c r="CM19" i="6"/>
  <c r="CM20" i="6"/>
  <c r="CM21" i="6"/>
  <c r="CM22" i="6"/>
  <c r="CM23" i="6"/>
  <c r="CM24" i="6"/>
  <c r="CM26" i="6"/>
  <c r="CM25" i="6"/>
  <c r="CM27" i="6"/>
  <c r="D27" i="12"/>
  <c r="E27" i="6"/>
  <c r="J32" i="12"/>
  <c r="L32" i="12"/>
  <c r="AM30" i="6"/>
  <c r="AL30" i="6"/>
  <c r="AP30" i="6"/>
  <c r="AN30" i="6"/>
  <c r="BO30" i="6"/>
  <c r="CB30" i="6"/>
  <c r="CL30" i="6"/>
  <c r="K32" i="12" l="1"/>
  <c r="AQ31" i="6"/>
  <c r="AZ31" i="6"/>
  <c r="AM31" i="6"/>
  <c r="AC12" i="9"/>
  <c r="AB11" i="9"/>
  <c r="AU31" i="6"/>
  <c r="AY31" i="6"/>
  <c r="I30" i="12"/>
  <c r="AM30" i="5"/>
  <c r="L30" i="5"/>
  <c r="Z30" i="5"/>
  <c r="I30" i="5"/>
  <c r="AC30" i="5"/>
  <c r="G32" i="6"/>
  <c r="H32" i="6"/>
  <c r="T32" i="5" s="1"/>
  <c r="N32" i="6"/>
  <c r="M32" i="6"/>
  <c r="BW32" i="6" s="1"/>
  <c r="BJ32" i="6"/>
  <c r="BD32" i="6"/>
  <c r="AX31" i="6"/>
  <c r="BA31" i="6"/>
  <c r="AL31" i="6"/>
  <c r="AN31" i="6"/>
  <c r="L33" i="12"/>
  <c r="J33" i="12"/>
  <c r="F33" i="6"/>
  <c r="E33" i="12"/>
  <c r="X27" i="12"/>
  <c r="W27" i="12"/>
  <c r="AK31" i="6"/>
  <c r="AO31" i="6"/>
  <c r="AV31" i="6"/>
  <c r="AP31" i="6"/>
  <c r="D33" i="6"/>
  <c r="D34" i="5"/>
  <c r="B34" i="12" s="1"/>
  <c r="AE34" i="5"/>
  <c r="B34" i="5"/>
  <c r="C35" i="5"/>
  <c r="W34" i="5"/>
  <c r="H34" i="12" s="1"/>
  <c r="J34" i="5"/>
  <c r="N34" i="5"/>
  <c r="B34" i="6"/>
  <c r="E34" i="5"/>
  <c r="A34" i="12"/>
  <c r="G34" i="5"/>
  <c r="R34" i="5"/>
  <c r="F34" i="5"/>
  <c r="K34" i="5"/>
  <c r="AD34" i="5"/>
  <c r="H34" i="5"/>
  <c r="U26" i="12"/>
  <c r="T26" i="12"/>
  <c r="V26" i="12"/>
  <c r="AW31" i="6"/>
  <c r="AJ31" i="6"/>
  <c r="AB12" i="10"/>
  <c r="AA11" i="10"/>
  <c r="AS31" i="6"/>
  <c r="AR31" i="6"/>
  <c r="BQ32" i="6" l="1"/>
  <c r="AX32" i="6"/>
  <c r="CE32" i="6"/>
  <c r="CH32" i="6"/>
  <c r="BZ32" i="6"/>
  <c r="AV32" i="6"/>
  <c r="AN32" i="6"/>
  <c r="AY32" i="6"/>
  <c r="CD32" i="6"/>
  <c r="BO32" i="6"/>
  <c r="BM32" i="6"/>
  <c r="BL32" i="6"/>
  <c r="AC11" i="9"/>
  <c r="AD12" i="9"/>
  <c r="BT32" i="6"/>
  <c r="BE32" i="6"/>
  <c r="BX32" i="6"/>
  <c r="BG32" i="6"/>
  <c r="CL32" i="6"/>
  <c r="AW32" i="6"/>
  <c r="BP32" i="6"/>
  <c r="CC32" i="6"/>
  <c r="BF32" i="6"/>
  <c r="AU32" i="6"/>
  <c r="BK32" i="6"/>
  <c r="AA30" i="5"/>
  <c r="AB30" i="5"/>
  <c r="G32" i="12"/>
  <c r="X32" i="5"/>
  <c r="CJ32" i="6"/>
  <c r="BV32" i="6"/>
  <c r="BC32" i="6"/>
  <c r="C30" i="6"/>
  <c r="O30" i="5"/>
  <c r="J35" i="5"/>
  <c r="B35" i="5"/>
  <c r="F35" i="5"/>
  <c r="D35" i="5"/>
  <c r="B35" i="12" s="1"/>
  <c r="W35" i="5"/>
  <c r="H35" i="12" s="1"/>
  <c r="E35" i="5"/>
  <c r="C36" i="5"/>
  <c r="K35" i="5"/>
  <c r="B35" i="6"/>
  <c r="AE35" i="5"/>
  <c r="H35" i="5"/>
  <c r="A35" i="12"/>
  <c r="AD35" i="5"/>
  <c r="N35" i="5"/>
  <c r="G35" i="5"/>
  <c r="R35" i="5"/>
  <c r="D34" i="6"/>
  <c r="N33" i="6"/>
  <c r="G33" i="6"/>
  <c r="H33" i="6"/>
  <c r="T33" i="5" s="1"/>
  <c r="M33" i="6"/>
  <c r="BN33" i="6" s="1"/>
  <c r="AX33" i="6"/>
  <c r="BN32" i="6"/>
  <c r="AT32" i="6"/>
  <c r="CK32" i="6"/>
  <c r="AK32" i="6"/>
  <c r="BR32" i="6"/>
  <c r="BA32" i="6"/>
  <c r="AL32" i="6"/>
  <c r="CF32" i="6"/>
  <c r="AO32" i="6"/>
  <c r="BH32" i="6"/>
  <c r="BS32" i="6"/>
  <c r="AB11" i="10"/>
  <c r="AC12" i="10"/>
  <c r="F34" i="6"/>
  <c r="E34" i="12"/>
  <c r="L34" i="12"/>
  <c r="J34" i="12"/>
  <c r="V27" i="12"/>
  <c r="T27" i="12"/>
  <c r="U27" i="12"/>
  <c r="K33" i="12"/>
  <c r="CB32" i="6"/>
  <c r="AM32" i="6"/>
  <c r="BI32" i="6"/>
  <c r="CG32" i="6"/>
  <c r="AS32" i="6"/>
  <c r="BY32" i="6"/>
  <c r="AP32" i="6"/>
  <c r="AZ32" i="6"/>
  <c r="CA32" i="6"/>
  <c r="AR32" i="6"/>
  <c r="CM32" i="6"/>
  <c r="CI32" i="6"/>
  <c r="AQ32" i="6"/>
  <c r="C30" i="12"/>
  <c r="M30" i="12"/>
  <c r="AO30" i="12"/>
  <c r="O30" i="12"/>
  <c r="K34" i="12" l="1"/>
  <c r="BI33" i="6"/>
  <c r="AD11" i="9"/>
  <c r="AE12" i="9"/>
  <c r="AE11" i="9" s="1"/>
  <c r="N30" i="12"/>
  <c r="AZ33" i="6"/>
  <c r="BV33" i="6"/>
  <c r="CE33" i="6"/>
  <c r="BG33" i="6"/>
  <c r="AN33" i="6"/>
  <c r="CM33" i="6"/>
  <c r="AW33" i="6"/>
  <c r="BW33" i="6"/>
  <c r="CI33" i="6"/>
  <c r="AP33" i="6"/>
  <c r="CF33" i="6"/>
  <c r="BS33" i="6"/>
  <c r="AV33" i="6"/>
  <c r="AY33" i="6"/>
  <c r="BY33" i="6"/>
  <c r="D35" i="6"/>
  <c r="J35" i="12"/>
  <c r="L35" i="12"/>
  <c r="K35" i="12" s="1"/>
  <c r="D30" i="12"/>
  <c r="E30" i="6"/>
  <c r="Y30" i="12"/>
  <c r="AD12" i="10"/>
  <c r="AC11" i="10"/>
  <c r="BA33" i="6"/>
  <c r="BT33" i="6"/>
  <c r="CD33" i="6"/>
  <c r="BO33" i="6"/>
  <c r="CK33" i="6"/>
  <c r="CB33" i="6"/>
  <c r="BP33" i="6"/>
  <c r="AO33" i="6"/>
  <c r="BX33" i="6"/>
  <c r="BM33" i="6"/>
  <c r="AR33" i="6"/>
  <c r="BH33" i="6"/>
  <c r="AU33" i="6"/>
  <c r="BC33" i="6"/>
  <c r="N34" i="6"/>
  <c r="H34" i="6"/>
  <c r="T34" i="5" s="1"/>
  <c r="G34" i="6"/>
  <c r="M34" i="6"/>
  <c r="CM34" i="6" s="1"/>
  <c r="BP34" i="6"/>
  <c r="BH34" i="6"/>
  <c r="CA34" i="6"/>
  <c r="CI34" i="6"/>
  <c r="CB34" i="6"/>
  <c r="BK34" i="6"/>
  <c r="CJ34" i="6"/>
  <c r="BM34" i="6"/>
  <c r="AU34" i="6"/>
  <c r="G36" i="5"/>
  <c r="F36" i="5"/>
  <c r="E36" i="5"/>
  <c r="A36" i="12"/>
  <c r="AE36" i="5"/>
  <c r="W36" i="5"/>
  <c r="H36" i="12" s="1"/>
  <c r="AD36" i="5"/>
  <c r="N36" i="5"/>
  <c r="I36" i="5"/>
  <c r="H36" i="5"/>
  <c r="B36" i="6"/>
  <c r="C37" i="5"/>
  <c r="B36" i="5"/>
  <c r="I32" i="12"/>
  <c r="L32" i="5"/>
  <c r="AM32" i="5"/>
  <c r="Z32" i="5"/>
  <c r="I32" i="5"/>
  <c r="AC32" i="5"/>
  <c r="AJ32" i="6"/>
  <c r="BK33" i="6"/>
  <c r="AT33" i="6"/>
  <c r="AS33" i="6"/>
  <c r="G33" i="12"/>
  <c r="X33" i="5"/>
  <c r="AK33" i="6"/>
  <c r="CL33" i="6"/>
  <c r="CA33" i="6"/>
  <c r="BJ33" i="6"/>
  <c r="AQ33" i="6"/>
  <c r="CJ33" i="6"/>
  <c r="BF33" i="6"/>
  <c r="BR33" i="6"/>
  <c r="BQ33" i="6"/>
  <c r="AM33" i="6"/>
  <c r="BE33" i="6"/>
  <c r="CG33" i="6"/>
  <c r="BD33" i="6"/>
  <c r="CC33" i="6"/>
  <c r="BL33" i="6"/>
  <c r="BZ33" i="6"/>
  <c r="AL33" i="6"/>
  <c r="CH33" i="6"/>
  <c r="F35" i="6"/>
  <c r="E35" i="12"/>
  <c r="BN34" i="6" l="1"/>
  <c r="BL34" i="6"/>
  <c r="BW34" i="6"/>
  <c r="AQ34" i="6"/>
  <c r="AY34" i="6"/>
  <c r="AS34" i="6"/>
  <c r="AZ34" i="6"/>
  <c r="AT34" i="6"/>
  <c r="AR34" i="6"/>
  <c r="CL34" i="6"/>
  <c r="CF34" i="6"/>
  <c r="BC34" i="6"/>
  <c r="BY34" i="6"/>
  <c r="BQ34" i="6"/>
  <c r="BO34" i="6"/>
  <c r="AP34" i="6"/>
  <c r="BG34" i="6"/>
  <c r="AK34" i="6"/>
  <c r="BR34" i="6"/>
  <c r="CH34" i="6"/>
  <c r="CK34" i="6"/>
  <c r="CE34" i="6"/>
  <c r="CD34" i="6"/>
  <c r="CC34" i="6"/>
  <c r="BZ34" i="6"/>
  <c r="AO34" i="6"/>
  <c r="BT34" i="6"/>
  <c r="BE34" i="6"/>
  <c r="CG34" i="6"/>
  <c r="BV34" i="6"/>
  <c r="BJ34" i="6"/>
  <c r="BF34" i="6"/>
  <c r="AV34" i="6"/>
  <c r="AN34" i="6"/>
  <c r="BI34" i="6"/>
  <c r="C32" i="12"/>
  <c r="M32" i="12"/>
  <c r="O32" i="12"/>
  <c r="AO32" i="12"/>
  <c r="Y32" i="12" s="1"/>
  <c r="BX34" i="6"/>
  <c r="X30" i="12"/>
  <c r="W30" i="12"/>
  <c r="M35" i="6"/>
  <c r="BI35" i="6" s="1"/>
  <c r="BY35" i="6"/>
  <c r="H35" i="6"/>
  <c r="T35" i="5" s="1"/>
  <c r="N35" i="6"/>
  <c r="CC35" i="6"/>
  <c r="CI35" i="6"/>
  <c r="BX35" i="6"/>
  <c r="BN35" i="6"/>
  <c r="BT35" i="6"/>
  <c r="G35" i="6"/>
  <c r="AO35" i="6"/>
  <c r="BH35" i="6"/>
  <c r="BE35" i="6"/>
  <c r="I33" i="12"/>
  <c r="AM33" i="5"/>
  <c r="L33" i="5"/>
  <c r="I33" i="5"/>
  <c r="Z33" i="5"/>
  <c r="AC33" i="5"/>
  <c r="AB32" i="5"/>
  <c r="AA32" i="5"/>
  <c r="K31" i="5"/>
  <c r="BA34" i="6"/>
  <c r="BD34" i="6"/>
  <c r="AJ33" i="6"/>
  <c r="K37" i="5"/>
  <c r="J37" i="5"/>
  <c r="F37" i="5"/>
  <c r="A37" i="12"/>
  <c r="H37" i="5"/>
  <c r="E37" i="5"/>
  <c r="B37" i="6"/>
  <c r="G37" i="5"/>
  <c r="B37" i="5"/>
  <c r="AD37" i="5"/>
  <c r="AE37" i="5"/>
  <c r="C38" i="5"/>
  <c r="D37" i="5"/>
  <c r="B37" i="12" s="1"/>
  <c r="R37" i="5"/>
  <c r="W37" i="5"/>
  <c r="H37" i="12" s="1"/>
  <c r="N37" i="5"/>
  <c r="D36" i="6"/>
  <c r="G34" i="12"/>
  <c r="X34" i="5"/>
  <c r="C32" i="6"/>
  <c r="O32" i="5"/>
  <c r="AM34" i="6"/>
  <c r="BS34" i="6"/>
  <c r="AL34" i="6"/>
  <c r="AX34" i="6"/>
  <c r="AW34" i="6"/>
  <c r="AD11" i="10"/>
  <c r="AE12" i="10"/>
  <c r="N32" i="12" l="1"/>
  <c r="BS35" i="6"/>
  <c r="BJ35" i="6"/>
  <c r="CG35" i="6"/>
  <c r="AS35" i="6"/>
  <c r="AQ35" i="6"/>
  <c r="CB35" i="6"/>
  <c r="AW35" i="6"/>
  <c r="BQ35" i="6"/>
  <c r="AY35" i="6"/>
  <c r="BR35" i="6"/>
  <c r="BC35" i="6"/>
  <c r="BO35" i="6"/>
  <c r="CM35" i="6"/>
  <c r="BP35" i="6"/>
  <c r="AN35" i="6"/>
  <c r="AR35" i="6"/>
  <c r="CJ35" i="6"/>
  <c r="BV35" i="6"/>
  <c r="AT35" i="6"/>
  <c r="BM35" i="6"/>
  <c r="CH35" i="6"/>
  <c r="BZ35" i="6"/>
  <c r="CE35" i="6"/>
  <c r="AM35" i="6"/>
  <c r="BL35" i="6"/>
  <c r="AZ35" i="6"/>
  <c r="CL35" i="6"/>
  <c r="AX35" i="6"/>
  <c r="BG35" i="6"/>
  <c r="AP35" i="6"/>
  <c r="CA35" i="6"/>
  <c r="CF35" i="6"/>
  <c r="BD35" i="6"/>
  <c r="CD35" i="6"/>
  <c r="BF35" i="6"/>
  <c r="AU35" i="6"/>
  <c r="BK35" i="6"/>
  <c r="BW35" i="6"/>
  <c r="D32" i="12"/>
  <c r="E32" i="6"/>
  <c r="D37" i="6"/>
  <c r="C33" i="6"/>
  <c r="O33" i="5"/>
  <c r="G35" i="12"/>
  <c r="X35" i="5"/>
  <c r="W32" i="12"/>
  <c r="X32" i="12"/>
  <c r="AE11" i="10"/>
  <c r="AF12" i="10"/>
  <c r="AF11" i="10" s="1"/>
  <c r="E37" i="12"/>
  <c r="F37" i="6"/>
  <c r="C39" i="5"/>
  <c r="H38" i="5"/>
  <c r="D38" i="5"/>
  <c r="B38" i="12" s="1"/>
  <c r="B38" i="6"/>
  <c r="AE38" i="5"/>
  <c r="F38" i="5"/>
  <c r="B38" i="5"/>
  <c r="J38" i="5"/>
  <c r="E38" i="5"/>
  <c r="A38" i="12"/>
  <c r="AD38" i="5"/>
  <c r="R38" i="5"/>
  <c r="W38" i="5"/>
  <c r="H38" i="12" s="1"/>
  <c r="K38" i="5"/>
  <c r="G38" i="5"/>
  <c r="N38" i="5"/>
  <c r="L37" i="12"/>
  <c r="K37" i="12" s="1"/>
  <c r="J37" i="12"/>
  <c r="AL35" i="6"/>
  <c r="CK35" i="6"/>
  <c r="V30" i="12"/>
  <c r="T30" i="12"/>
  <c r="U30" i="12"/>
  <c r="BJ36" i="6"/>
  <c r="G36" i="6"/>
  <c r="BS36" i="6"/>
  <c r="BV36" i="6"/>
  <c r="BR36" i="6"/>
  <c r="CF36" i="6"/>
  <c r="CC36" i="6"/>
  <c r="BO36" i="6"/>
  <c r="CL36" i="6"/>
  <c r="BW36" i="6"/>
  <c r="BP36" i="6"/>
  <c r="CA36" i="6"/>
  <c r="BN36" i="6"/>
  <c r="CE36" i="6"/>
  <c r="BQ36" i="6"/>
  <c r="M36" i="6"/>
  <c r="BD36" i="6"/>
  <c r="CJ36" i="6"/>
  <c r="CG36" i="6"/>
  <c r="N36" i="6"/>
  <c r="BH36" i="6"/>
  <c r="BZ36" i="6"/>
  <c r="CH36" i="6"/>
  <c r="BL36" i="6"/>
  <c r="BY36" i="6"/>
  <c r="CK36" i="6"/>
  <c r="CI36" i="6"/>
  <c r="BF36" i="6"/>
  <c r="H36" i="6"/>
  <c r="T36" i="5" s="1"/>
  <c r="G36" i="12" s="1"/>
  <c r="BT36" i="6"/>
  <c r="BC36" i="6"/>
  <c r="CB36" i="6"/>
  <c r="AV36" i="6"/>
  <c r="AM36" i="6"/>
  <c r="BK36" i="6"/>
  <c r="BM36" i="6"/>
  <c r="BX36" i="6"/>
  <c r="BI36" i="6"/>
  <c r="CD36" i="6"/>
  <c r="BG36" i="6"/>
  <c r="CM36" i="6"/>
  <c r="BE36" i="6"/>
  <c r="AA33" i="5"/>
  <c r="AB33" i="5"/>
  <c r="C33" i="12"/>
  <c r="O33" i="12"/>
  <c r="M33" i="12"/>
  <c r="AO33" i="12"/>
  <c r="AJ35" i="6"/>
  <c r="AK35" i="6"/>
  <c r="BA35" i="6"/>
  <c r="AV35" i="6"/>
  <c r="L34" i="5"/>
  <c r="AM34" i="5"/>
  <c r="I34" i="12"/>
  <c r="Z34" i="5"/>
  <c r="I34" i="5"/>
  <c r="AC34" i="5"/>
  <c r="AJ34" i="6"/>
  <c r="N33" i="12" l="1"/>
  <c r="AR36" i="6"/>
  <c r="AJ36" i="6"/>
  <c r="AW36" i="6"/>
  <c r="J38" i="12"/>
  <c r="L38" i="12"/>
  <c r="K38" i="12" s="1"/>
  <c r="E39" i="5"/>
  <c r="H39" i="5"/>
  <c r="F39" i="5"/>
  <c r="G39" i="5"/>
  <c r="K39" i="5"/>
  <c r="A39" i="12"/>
  <c r="AD39" i="5"/>
  <c r="N39" i="5"/>
  <c r="AE39" i="5"/>
  <c r="D39" i="5"/>
  <c r="B39" i="12" s="1"/>
  <c r="R39" i="5"/>
  <c r="B39" i="5"/>
  <c r="C40" i="5" s="1"/>
  <c r="B39" i="6"/>
  <c r="W39" i="5"/>
  <c r="H39" i="12" s="1"/>
  <c r="J39" i="5"/>
  <c r="G37" i="6"/>
  <c r="BC37" i="6"/>
  <c r="H37" i="6"/>
  <c r="T37" i="5" s="1"/>
  <c r="M37" i="6"/>
  <c r="CE37" i="6" s="1"/>
  <c r="BI37" i="6"/>
  <c r="BR37" i="6"/>
  <c r="BS37" i="6"/>
  <c r="BV37" i="6"/>
  <c r="AM37" i="6"/>
  <c r="CM37" i="6"/>
  <c r="BQ37" i="6"/>
  <c r="CK37" i="6"/>
  <c r="CG37" i="6"/>
  <c r="BH37" i="6"/>
  <c r="BZ37" i="6"/>
  <c r="N37" i="6"/>
  <c r="CF37" i="6"/>
  <c r="CC37" i="6"/>
  <c r="BW37" i="6"/>
  <c r="C34" i="6"/>
  <c r="O34" i="5"/>
  <c r="AU36" i="6"/>
  <c r="AX36" i="6"/>
  <c r="AY36" i="6"/>
  <c r="D38" i="6"/>
  <c r="D33" i="12"/>
  <c r="E33" i="6"/>
  <c r="AO36" i="6"/>
  <c r="AA34" i="5"/>
  <c r="AB34" i="5"/>
  <c r="Y33" i="12"/>
  <c r="BA36" i="6"/>
  <c r="AN36" i="6"/>
  <c r="AP36" i="6"/>
  <c r="AS36" i="6"/>
  <c r="AT36" i="6"/>
  <c r="F38" i="6"/>
  <c r="E38" i="12"/>
  <c r="V32" i="12"/>
  <c r="T32" i="12"/>
  <c r="U32" i="12"/>
  <c r="C34" i="12"/>
  <c r="O34" i="12"/>
  <c r="M34" i="12"/>
  <c r="AO34" i="12"/>
  <c r="AK36" i="6"/>
  <c r="AQ36" i="6"/>
  <c r="AZ36" i="6"/>
  <c r="AL36" i="6"/>
  <c r="I35" i="12"/>
  <c r="AM35" i="5"/>
  <c r="L35" i="5"/>
  <c r="I35" i="5"/>
  <c r="Z35" i="5"/>
  <c r="AC35" i="5"/>
  <c r="CH37" i="6" l="1"/>
  <c r="BJ37" i="6"/>
  <c r="BK37" i="6"/>
  <c r="CA37" i="6"/>
  <c r="BF37" i="6"/>
  <c r="BM37" i="6"/>
  <c r="BN37" i="6"/>
  <c r="AU37" i="6"/>
  <c r="CB37" i="6"/>
  <c r="BD37" i="6"/>
  <c r="CL37" i="6"/>
  <c r="CJ37" i="6"/>
  <c r="BO37" i="6"/>
  <c r="CI37" i="6"/>
  <c r="BL37" i="6"/>
  <c r="BT37" i="6"/>
  <c r="BX37" i="6"/>
  <c r="BG37" i="6"/>
  <c r="BY37" i="6"/>
  <c r="N34" i="12"/>
  <c r="W33" i="12"/>
  <c r="X33" i="12"/>
  <c r="AK37" i="6"/>
  <c r="AW37" i="6"/>
  <c r="AP37" i="6"/>
  <c r="AO37" i="6"/>
  <c r="BP37" i="6"/>
  <c r="AT37" i="6"/>
  <c r="BE37" i="6"/>
  <c r="AV37" i="6"/>
  <c r="D39" i="6"/>
  <c r="C35" i="6"/>
  <c r="O35" i="5"/>
  <c r="C35" i="12"/>
  <c r="M35" i="12"/>
  <c r="AO35" i="12"/>
  <c r="O35" i="12"/>
  <c r="AR37" i="6"/>
  <c r="AZ37" i="6"/>
  <c r="AQ37" i="6"/>
  <c r="AX37" i="6"/>
  <c r="BA37" i="6"/>
  <c r="F39" i="6"/>
  <c r="E39" i="12"/>
  <c r="D34" i="12"/>
  <c r="E34" i="6"/>
  <c r="AB35" i="5"/>
  <c r="AA35" i="5"/>
  <c r="Y34" i="12"/>
  <c r="M38" i="6"/>
  <c r="BR38" i="6" s="1"/>
  <c r="G38" i="6"/>
  <c r="BG38" i="6"/>
  <c r="CC38" i="6"/>
  <c r="CA38" i="6"/>
  <c r="BK38" i="6"/>
  <c r="N38" i="6"/>
  <c r="BL38" i="6"/>
  <c r="CI38" i="6"/>
  <c r="BZ38" i="6"/>
  <c r="CJ38" i="6"/>
  <c r="CF38" i="6"/>
  <c r="BH38" i="6"/>
  <c r="CD38" i="6"/>
  <c r="H38" i="6"/>
  <c r="T38" i="5" s="1"/>
  <c r="BF38" i="6"/>
  <c r="BP38" i="6"/>
  <c r="BN38" i="6"/>
  <c r="BE38" i="6"/>
  <c r="BC38" i="6"/>
  <c r="BI38" i="6"/>
  <c r="BQ38" i="6"/>
  <c r="AV38" i="6"/>
  <c r="AK38" i="6"/>
  <c r="CE38" i="6"/>
  <c r="CG38" i="6"/>
  <c r="BD38" i="6"/>
  <c r="CB38" i="6"/>
  <c r="BT38" i="6"/>
  <c r="BS38" i="6"/>
  <c r="BM38" i="6"/>
  <c r="CL38" i="6"/>
  <c r="AZ38" i="6"/>
  <c r="BW38" i="6"/>
  <c r="BY38" i="6"/>
  <c r="BO38" i="6"/>
  <c r="AP38" i="6"/>
  <c r="AN37" i="6"/>
  <c r="AY37" i="6"/>
  <c r="CD37" i="6"/>
  <c r="AL37" i="6"/>
  <c r="G37" i="12"/>
  <c r="X37" i="5"/>
  <c r="AS37" i="6"/>
  <c r="L39" i="12"/>
  <c r="J39" i="12"/>
  <c r="H40" i="5"/>
  <c r="B40" i="5"/>
  <c r="AD40" i="5"/>
  <c r="W40" i="5"/>
  <c r="H40" i="12" s="1"/>
  <c r="AE40" i="5"/>
  <c r="N40" i="5"/>
  <c r="G40" i="5"/>
  <c r="I40" i="5"/>
  <c r="C41" i="5"/>
  <c r="F40" i="5"/>
  <c r="B40" i="6"/>
  <c r="A40" i="12"/>
  <c r="E40" i="5"/>
  <c r="CH38" i="6" l="1"/>
  <c r="AY38" i="6"/>
  <c r="N35" i="12"/>
  <c r="BV38" i="6"/>
  <c r="K39" i="12"/>
  <c r="CK38" i="6"/>
  <c r="BJ38" i="6"/>
  <c r="BX38" i="6"/>
  <c r="Y35" i="12"/>
  <c r="W35" i="12" s="1"/>
  <c r="AN38" i="6"/>
  <c r="AR38" i="6"/>
  <c r="AW38" i="6"/>
  <c r="K36" i="5"/>
  <c r="G39" i="6"/>
  <c r="N39" i="6"/>
  <c r="M39" i="6"/>
  <c r="BH39" i="6" s="1"/>
  <c r="H39" i="6"/>
  <c r="T39" i="5" s="1"/>
  <c r="BP39" i="6"/>
  <c r="BW39" i="6"/>
  <c r="BS39" i="6"/>
  <c r="AU38" i="6"/>
  <c r="AQ38" i="6"/>
  <c r="E35" i="6"/>
  <c r="D35" i="12"/>
  <c r="G38" i="12"/>
  <c r="X38" i="5"/>
  <c r="AT38" i="6"/>
  <c r="BA38" i="6"/>
  <c r="X35" i="12"/>
  <c r="V33" i="12"/>
  <c r="U33" i="12"/>
  <c r="T33" i="12"/>
  <c r="B41" i="5"/>
  <c r="D41" i="5"/>
  <c r="B41" i="12" s="1"/>
  <c r="E41" i="5"/>
  <c r="G41" i="5"/>
  <c r="A41" i="12"/>
  <c r="F41" i="5"/>
  <c r="W41" i="5"/>
  <c r="H41" i="12" s="1"/>
  <c r="AD41" i="5"/>
  <c r="K41" i="5"/>
  <c r="B41" i="6"/>
  <c r="N41" i="5"/>
  <c r="AE41" i="5"/>
  <c r="C42" i="5"/>
  <c r="R41" i="5"/>
  <c r="J41" i="5"/>
  <c r="H41" i="5"/>
  <c r="D40" i="6"/>
  <c r="L37" i="5"/>
  <c r="I37" i="12"/>
  <c r="AM37" i="5"/>
  <c r="I37" i="5"/>
  <c r="Z37" i="5"/>
  <c r="AC37" i="5"/>
  <c r="AJ37" i="6"/>
  <c r="AM38" i="6"/>
  <c r="AS38" i="6"/>
  <c r="AL38" i="6"/>
  <c r="AX38" i="6"/>
  <c r="AO38" i="6"/>
  <c r="CM38" i="6"/>
  <c r="X34" i="12"/>
  <c r="W34" i="12"/>
  <c r="CK39" i="6" l="1"/>
  <c r="CG39" i="6"/>
  <c r="CD39" i="6"/>
  <c r="CB39" i="6"/>
  <c r="AL39" i="6"/>
  <c r="BV39" i="6"/>
  <c r="BJ39" i="6"/>
  <c r="CF39" i="6"/>
  <c r="BN39" i="6"/>
  <c r="BC39" i="6"/>
  <c r="CA39" i="6"/>
  <c r="BL39" i="6"/>
  <c r="CI39" i="6"/>
  <c r="AX39" i="6"/>
  <c r="BA39" i="6"/>
  <c r="CJ39" i="6"/>
  <c r="BR39" i="6"/>
  <c r="BY39" i="6"/>
  <c r="BG39" i="6"/>
  <c r="AK39" i="6"/>
  <c r="AM39" i="6"/>
  <c r="AV39" i="6"/>
  <c r="AR39" i="6"/>
  <c r="T34" i="12"/>
  <c r="U34" i="12"/>
  <c r="V34" i="12"/>
  <c r="CA40" i="6"/>
  <c r="BC40" i="6"/>
  <c r="BY40" i="6"/>
  <c r="CI40" i="6"/>
  <c r="H40" i="6"/>
  <c r="T40" i="5" s="1"/>
  <c r="G40" i="12" s="1"/>
  <c r="BV40" i="6"/>
  <c r="BQ40" i="6"/>
  <c r="BJ40" i="6"/>
  <c r="BF40" i="6"/>
  <c r="BK40" i="6"/>
  <c r="BX40" i="6"/>
  <c r="CF40" i="6"/>
  <c r="BS40" i="6"/>
  <c r="CH40" i="6"/>
  <c r="M40" i="6"/>
  <c r="AS40" i="6" s="1"/>
  <c r="BE40" i="6"/>
  <c r="BD40" i="6"/>
  <c r="CC40" i="6"/>
  <c r="BM40" i="6"/>
  <c r="BH40" i="6"/>
  <c r="CM40" i="6"/>
  <c r="BL40" i="6"/>
  <c r="BT40" i="6"/>
  <c r="BG40" i="6"/>
  <c r="BP40" i="6"/>
  <c r="N40" i="6"/>
  <c r="BR40" i="6"/>
  <c r="CJ40" i="6"/>
  <c r="CL40" i="6"/>
  <c r="G40" i="6"/>
  <c r="AZ40" i="6"/>
  <c r="CD40" i="6"/>
  <c r="BZ40" i="6"/>
  <c r="CG40" i="6"/>
  <c r="CE40" i="6"/>
  <c r="BI40" i="6"/>
  <c r="CK40" i="6"/>
  <c r="BW40" i="6"/>
  <c r="CB40" i="6"/>
  <c r="BN40" i="6"/>
  <c r="AP40" i="6"/>
  <c r="BO40" i="6"/>
  <c r="G39" i="12"/>
  <c r="X39" i="5"/>
  <c r="AW39" i="6"/>
  <c r="AO39" i="6"/>
  <c r="AT39" i="6"/>
  <c r="AJ39" i="6"/>
  <c r="AY39" i="6"/>
  <c r="CL39" i="6"/>
  <c r="BO39" i="6"/>
  <c r="AN39" i="6"/>
  <c r="AQ39" i="6"/>
  <c r="BF39" i="6"/>
  <c r="C37" i="12"/>
  <c r="O37" i="12"/>
  <c r="M37" i="12"/>
  <c r="AO37" i="12"/>
  <c r="E41" i="12"/>
  <c r="F41" i="6"/>
  <c r="AZ39" i="6"/>
  <c r="BQ39" i="6"/>
  <c r="BK39" i="6"/>
  <c r="CH39" i="6"/>
  <c r="BE39" i="6"/>
  <c r="AB37" i="5"/>
  <c r="AA37" i="5"/>
  <c r="C37" i="6"/>
  <c r="O37" i="5"/>
  <c r="N42" i="5"/>
  <c r="G42" i="5"/>
  <c r="D42" i="5"/>
  <c r="B42" i="12" s="1"/>
  <c r="J42" i="5"/>
  <c r="R42" i="5"/>
  <c r="B42" i="6"/>
  <c r="E42" i="5"/>
  <c r="A42" i="12"/>
  <c r="B42" i="5"/>
  <c r="C43" i="5" s="1"/>
  <c r="AD42" i="5"/>
  <c r="AE42" i="5"/>
  <c r="F42" i="5"/>
  <c r="H42" i="5"/>
  <c r="K42" i="5"/>
  <c r="W42" i="5"/>
  <c r="H42" i="12" s="1"/>
  <c r="L41" i="12"/>
  <c r="J41" i="12"/>
  <c r="L38" i="5"/>
  <c r="I38" i="12"/>
  <c r="AM38" i="5"/>
  <c r="Z38" i="5"/>
  <c r="I38" i="5"/>
  <c r="AC38" i="5"/>
  <c r="AJ38" i="6"/>
  <c r="BD39" i="6"/>
  <c r="BZ39" i="6"/>
  <c r="CM39" i="6"/>
  <c r="BI39" i="6"/>
  <c r="CE39" i="6"/>
  <c r="BM39" i="6"/>
  <c r="BT39" i="6"/>
  <c r="D41" i="6"/>
  <c r="T35" i="12"/>
  <c r="V35" i="12"/>
  <c r="U35" i="12"/>
  <c r="AP39" i="6"/>
  <c r="CC39" i="6"/>
  <c r="AS39" i="6"/>
  <c r="AU39" i="6"/>
  <c r="BX39" i="6"/>
  <c r="K41" i="12" l="1"/>
  <c r="N37" i="12"/>
  <c r="AY40" i="6"/>
  <c r="AJ40" i="6"/>
  <c r="AR40" i="6"/>
  <c r="AW40" i="6"/>
  <c r="N43" i="5"/>
  <c r="B43" i="5"/>
  <c r="AE43" i="5"/>
  <c r="G43" i="5"/>
  <c r="A43" i="12"/>
  <c r="C44" i="5"/>
  <c r="E43" i="5"/>
  <c r="I43" i="5"/>
  <c r="AD43" i="5"/>
  <c r="W43" i="5"/>
  <c r="H43" i="12" s="1"/>
  <c r="H43" i="5"/>
  <c r="F43" i="5"/>
  <c r="B43" i="6"/>
  <c r="C38" i="6"/>
  <c r="O38" i="5"/>
  <c r="L42" i="12"/>
  <c r="J42" i="12"/>
  <c r="D37" i="12"/>
  <c r="E37" i="6"/>
  <c r="BA40" i="6"/>
  <c r="L39" i="5"/>
  <c r="AM39" i="5"/>
  <c r="I39" i="12"/>
  <c r="Z39" i="5"/>
  <c r="I39" i="5"/>
  <c r="AC39" i="5"/>
  <c r="AM40" i="6"/>
  <c r="AA38" i="5"/>
  <c r="AB38" i="5"/>
  <c r="N41" i="6"/>
  <c r="H41" i="6"/>
  <c r="T41" i="5" s="1"/>
  <c r="M41" i="6"/>
  <c r="CG41" i="6" s="1"/>
  <c r="BJ41" i="6"/>
  <c r="AK41" i="6"/>
  <c r="AX41" i="6"/>
  <c r="CL41" i="6"/>
  <c r="G41" i="6"/>
  <c r="BS41" i="6"/>
  <c r="BK41" i="6"/>
  <c r="BW41" i="6"/>
  <c r="AU40" i="6"/>
  <c r="AX40" i="6"/>
  <c r="AO40" i="6"/>
  <c r="AL40" i="6"/>
  <c r="C38" i="12"/>
  <c r="AO38" i="12"/>
  <c r="O38" i="12"/>
  <c r="M38" i="12"/>
  <c r="E42" i="12"/>
  <c r="F42" i="6"/>
  <c r="D42" i="6"/>
  <c r="Y37" i="12"/>
  <c r="AK40" i="6"/>
  <c r="AT40" i="6"/>
  <c r="AQ40" i="6"/>
  <c r="AN40" i="6"/>
  <c r="AV40" i="6"/>
  <c r="BO41" i="6" l="1"/>
  <c r="BQ41" i="6"/>
  <c r="BM41" i="6"/>
  <c r="BL41" i="6"/>
  <c r="BZ41" i="6"/>
  <c r="CM41" i="6"/>
  <c r="AO41" i="6"/>
  <c r="BH41" i="6"/>
  <c r="CE41" i="6"/>
  <c r="BT41" i="6"/>
  <c r="AV41" i="6"/>
  <c r="CC41" i="6"/>
  <c r="BD41" i="6"/>
  <c r="BC41" i="6"/>
  <c r="AM41" i="6"/>
  <c r="AT41" i="6"/>
  <c r="BE41" i="6"/>
  <c r="BR41" i="6"/>
  <c r="BN41" i="6"/>
  <c r="K42" i="12"/>
  <c r="AR41" i="6"/>
  <c r="CB41" i="6"/>
  <c r="BV41" i="6"/>
  <c r="CD41" i="6"/>
  <c r="AY41" i="6"/>
  <c r="AS41" i="6"/>
  <c r="BF41" i="6"/>
  <c r="CI41" i="6"/>
  <c r="BP41" i="6"/>
  <c r="AW41" i="6"/>
  <c r="BG41" i="6"/>
  <c r="CH41" i="6"/>
  <c r="Y38" i="12"/>
  <c r="AQ41" i="6"/>
  <c r="AL41" i="6"/>
  <c r="AN41" i="6"/>
  <c r="BA41" i="6"/>
  <c r="CF41" i="6"/>
  <c r="CK41" i="6"/>
  <c r="AZ41" i="6"/>
  <c r="BY41" i="6"/>
  <c r="BI41" i="6"/>
  <c r="C39" i="6"/>
  <c r="O39" i="5"/>
  <c r="K40" i="5"/>
  <c r="W37" i="12"/>
  <c r="X37" i="12"/>
  <c r="G41" i="12"/>
  <c r="X41" i="5"/>
  <c r="AP41" i="6"/>
  <c r="CA41" i="6"/>
  <c r="BX41" i="6"/>
  <c r="AB39" i="5"/>
  <c r="AA39" i="5"/>
  <c r="E38" i="6"/>
  <c r="D38" i="12"/>
  <c r="N42" i="6"/>
  <c r="H42" i="6"/>
  <c r="T42" i="5" s="1"/>
  <c r="G42" i="6"/>
  <c r="M42" i="6"/>
  <c r="BV42" i="6" s="1"/>
  <c r="AU41" i="6"/>
  <c r="CJ41" i="6"/>
  <c r="C39" i="12"/>
  <c r="O39" i="12"/>
  <c r="M39" i="12"/>
  <c r="AO39" i="12"/>
  <c r="F44" i="5"/>
  <c r="N44" i="5"/>
  <c r="H44" i="5"/>
  <c r="AD44" i="5"/>
  <c r="K44" i="5"/>
  <c r="AE44" i="5"/>
  <c r="G44" i="5"/>
  <c r="A44" i="12"/>
  <c r="B44" i="6"/>
  <c r="B44" i="5"/>
  <c r="D44" i="5"/>
  <c r="B44" i="12" s="1"/>
  <c r="W44" i="5"/>
  <c r="H44" i="12" s="1"/>
  <c r="E44" i="5"/>
  <c r="C45" i="5"/>
  <c r="R44" i="5"/>
  <c r="J44" i="5"/>
  <c r="N38" i="12"/>
  <c r="D43" i="6"/>
  <c r="BZ42" i="6" l="1"/>
  <c r="N39" i="12"/>
  <c r="CK42" i="6"/>
  <c r="BG42" i="6"/>
  <c r="CD42" i="6"/>
  <c r="AK42" i="6"/>
  <c r="BA42" i="6"/>
  <c r="AV42" i="6"/>
  <c r="BY42" i="6"/>
  <c r="AQ42" i="6"/>
  <c r="AL42" i="6"/>
  <c r="AR42" i="6"/>
  <c r="AX42" i="6"/>
  <c r="CL42" i="6"/>
  <c r="BO42" i="6"/>
  <c r="BW42" i="6"/>
  <c r="BM42" i="6"/>
  <c r="BI42" i="6"/>
  <c r="AS42" i="6"/>
  <c r="CE42" i="6"/>
  <c r="BJ42" i="6"/>
  <c r="BF42" i="6"/>
  <c r="CF42" i="6"/>
  <c r="Y39" i="12"/>
  <c r="CM42" i="6"/>
  <c r="AT42" i="6"/>
  <c r="BC42" i="6"/>
  <c r="L44" i="12"/>
  <c r="J44" i="12"/>
  <c r="A45" i="12"/>
  <c r="J45" i="5"/>
  <c r="K45" i="5"/>
  <c r="F45" i="5"/>
  <c r="E45" i="5"/>
  <c r="N45" i="5"/>
  <c r="D45" i="5"/>
  <c r="B45" i="12" s="1"/>
  <c r="B45" i="6"/>
  <c r="G45" i="5"/>
  <c r="H45" i="5"/>
  <c r="AE45" i="5"/>
  <c r="R45" i="5"/>
  <c r="B45" i="5"/>
  <c r="AD45" i="5"/>
  <c r="C46" i="5"/>
  <c r="W45" i="5"/>
  <c r="H45" i="12" s="1"/>
  <c r="AW42" i="6"/>
  <c r="AZ42" i="6"/>
  <c r="CA42" i="6"/>
  <c r="AM42" i="6"/>
  <c r="CB42" i="6"/>
  <c r="BE42" i="6"/>
  <c r="AP42" i="6"/>
  <c r="BR42" i="6"/>
  <c r="BH42" i="6"/>
  <c r="CJ42" i="6"/>
  <c r="AO42" i="6"/>
  <c r="D39" i="12"/>
  <c r="E39" i="6"/>
  <c r="D44" i="6"/>
  <c r="BX42" i="6"/>
  <c r="BQ42" i="6"/>
  <c r="BT42" i="6"/>
  <c r="AY42" i="6"/>
  <c r="CC42" i="6"/>
  <c r="CG42" i="6"/>
  <c r="AU42" i="6"/>
  <c r="AN42" i="6"/>
  <c r="BD42" i="6"/>
  <c r="V37" i="12"/>
  <c r="T37" i="12"/>
  <c r="U37" i="12"/>
  <c r="G42" i="12"/>
  <c r="X42" i="5"/>
  <c r="BS42" i="6"/>
  <c r="BN42" i="6"/>
  <c r="BP42" i="6"/>
  <c r="I41" i="12"/>
  <c r="AM41" i="5"/>
  <c r="L41" i="5"/>
  <c r="Z41" i="5"/>
  <c r="I41" i="5"/>
  <c r="AC41" i="5"/>
  <c r="AJ41" i="6"/>
  <c r="BM43" i="6"/>
  <c r="BW43" i="6"/>
  <c r="BZ43" i="6"/>
  <c r="G43" i="6"/>
  <c r="CL43" i="6"/>
  <c r="BO43" i="6"/>
  <c r="CI43" i="6"/>
  <c r="CJ43" i="6"/>
  <c r="H43" i="6"/>
  <c r="T43" i="5" s="1"/>
  <c r="G43" i="12" s="1"/>
  <c r="BR43" i="6"/>
  <c r="BG43" i="6"/>
  <c r="BN43" i="6"/>
  <c r="CG43" i="6"/>
  <c r="CE43" i="6"/>
  <c r="CM43" i="6"/>
  <c r="CC43" i="6"/>
  <c r="N43" i="6"/>
  <c r="M43" i="6"/>
  <c r="BE43" i="6"/>
  <c r="BF43" i="6"/>
  <c r="AU43" i="6"/>
  <c r="BC43" i="6"/>
  <c r="BT43" i="6"/>
  <c r="BI43" i="6"/>
  <c r="BH43" i="6"/>
  <c r="BJ43" i="6"/>
  <c r="BD43" i="6"/>
  <c r="BK43" i="6"/>
  <c r="CH43" i="6"/>
  <c r="CD43" i="6"/>
  <c r="CB43" i="6"/>
  <c r="CA43" i="6"/>
  <c r="BX43" i="6"/>
  <c r="BL43" i="6"/>
  <c r="BS43" i="6"/>
  <c r="CF43" i="6"/>
  <c r="CK43" i="6"/>
  <c r="BP43" i="6"/>
  <c r="BV43" i="6"/>
  <c r="BY43" i="6"/>
  <c r="BQ43" i="6"/>
  <c r="E44" i="12"/>
  <c r="F44" i="6"/>
  <c r="X39" i="12"/>
  <c r="W39" i="12"/>
  <c r="CI42" i="6"/>
  <c r="CH42" i="6"/>
  <c r="BL42" i="6"/>
  <c r="BK42" i="6"/>
  <c r="X38" i="12"/>
  <c r="W38" i="12"/>
  <c r="AM43" i="6" l="1"/>
  <c r="AW43" i="6"/>
  <c r="AR43" i="6"/>
  <c r="AX43" i="6"/>
  <c r="AV43" i="6"/>
  <c r="AO43" i="6"/>
  <c r="BA43" i="6"/>
  <c r="AT43" i="6"/>
  <c r="AL43" i="6"/>
  <c r="AJ43" i="6"/>
  <c r="AY43" i="6"/>
  <c r="AK43" i="6"/>
  <c r="AP43" i="6"/>
  <c r="AN43" i="6"/>
  <c r="AQ43" i="6"/>
  <c r="V39" i="12"/>
  <c r="T39" i="12"/>
  <c r="U39" i="12"/>
  <c r="AZ43" i="6"/>
  <c r="U38" i="12"/>
  <c r="V38" i="12"/>
  <c r="T38" i="12"/>
  <c r="C41" i="12"/>
  <c r="AO41" i="12"/>
  <c r="O41" i="12"/>
  <c r="M41" i="12"/>
  <c r="I42" i="12"/>
  <c r="AM42" i="5"/>
  <c r="L42" i="5"/>
  <c r="Z42" i="5"/>
  <c r="I42" i="5"/>
  <c r="AC42" i="5"/>
  <c r="H44" i="6"/>
  <c r="T44" i="5" s="1"/>
  <c r="N44" i="6"/>
  <c r="M44" i="6"/>
  <c r="BG44" i="6" s="1"/>
  <c r="BX44" i="6"/>
  <c r="BZ44" i="6"/>
  <c r="G44" i="6"/>
  <c r="AM44" i="6"/>
  <c r="BK44" i="6"/>
  <c r="BH44" i="6"/>
  <c r="D45" i="6"/>
  <c r="AB41" i="5"/>
  <c r="AA41" i="5"/>
  <c r="AJ42" i="6"/>
  <c r="J45" i="12"/>
  <c r="L45" i="12"/>
  <c r="AS43" i="6"/>
  <c r="C41" i="6"/>
  <c r="O41" i="5"/>
  <c r="A46" i="12"/>
  <c r="K46" i="5"/>
  <c r="AE46" i="5"/>
  <c r="AD46" i="5"/>
  <c r="B46" i="6"/>
  <c r="F46" i="5"/>
  <c r="B46" i="5"/>
  <c r="R46" i="5"/>
  <c r="N46" i="5"/>
  <c r="G46" i="5"/>
  <c r="J46" i="5"/>
  <c r="D46" i="5"/>
  <c r="B46" i="12" s="1"/>
  <c r="E46" i="5"/>
  <c r="W46" i="5"/>
  <c r="H46" i="12" s="1"/>
  <c r="C47" i="5"/>
  <c r="H46" i="5"/>
  <c r="F45" i="6"/>
  <c r="E45" i="12"/>
  <c r="K44" i="12"/>
  <c r="BR44" i="6" l="1"/>
  <c r="AV44" i="6"/>
  <c r="AU44" i="6"/>
  <c r="CK44" i="6"/>
  <c r="BL44" i="6"/>
  <c r="AL44" i="6"/>
  <c r="AP44" i="6"/>
  <c r="BC44" i="6"/>
  <c r="BY44" i="6"/>
  <c r="CB44" i="6"/>
  <c r="BJ44" i="6"/>
  <c r="CG44" i="6"/>
  <c r="CH44" i="6"/>
  <c r="BV44" i="6"/>
  <c r="CI44" i="6"/>
  <c r="BF44" i="6"/>
  <c r="N41" i="12"/>
  <c r="AW44" i="6"/>
  <c r="AN44" i="6"/>
  <c r="AS44" i="6"/>
  <c r="BS44" i="6"/>
  <c r="CJ44" i="6"/>
  <c r="CA44" i="6"/>
  <c r="AX44" i="6"/>
  <c r="BN44" i="6"/>
  <c r="AR44" i="6"/>
  <c r="BT44" i="6"/>
  <c r="K45" i="12"/>
  <c r="F46" i="6"/>
  <c r="E46" i="12"/>
  <c r="D41" i="12"/>
  <c r="E41" i="6"/>
  <c r="M45" i="6"/>
  <c r="BS45" i="6" s="1"/>
  <c r="CE45" i="6"/>
  <c r="CL45" i="6"/>
  <c r="BE45" i="6"/>
  <c r="BR45" i="6"/>
  <c r="CI45" i="6"/>
  <c r="CH45" i="6"/>
  <c r="CJ45" i="6"/>
  <c r="BY45" i="6"/>
  <c r="CD45" i="6"/>
  <c r="BQ45" i="6"/>
  <c r="BX45" i="6"/>
  <c r="BM45" i="6"/>
  <c r="BI45" i="6"/>
  <c r="BF45" i="6"/>
  <c r="H45" i="6"/>
  <c r="T45" i="5" s="1"/>
  <c r="CK45" i="6"/>
  <c r="CC45" i="6"/>
  <c r="BO45" i="6"/>
  <c r="BW45" i="6"/>
  <c r="BC45" i="6"/>
  <c r="BL45" i="6"/>
  <c r="BH45" i="6"/>
  <c r="BJ45" i="6"/>
  <c r="BN45" i="6"/>
  <c r="N45" i="6"/>
  <c r="BK45" i="6"/>
  <c r="CA45" i="6"/>
  <c r="BT45" i="6"/>
  <c r="CG45" i="6"/>
  <c r="G45" i="6"/>
  <c r="CB45" i="6"/>
  <c r="BV45" i="6"/>
  <c r="BP45" i="6"/>
  <c r="BG45" i="6"/>
  <c r="BD45" i="6"/>
  <c r="C42" i="12"/>
  <c r="O42" i="12"/>
  <c r="M42" i="12"/>
  <c r="AO42" i="12"/>
  <c r="A47" i="12"/>
  <c r="J47" i="5"/>
  <c r="F47" i="5"/>
  <c r="AE47" i="5"/>
  <c r="D47" i="5"/>
  <c r="B47" i="12" s="1"/>
  <c r="K47" i="5"/>
  <c r="B47" i="5"/>
  <c r="C48" i="5" s="1"/>
  <c r="AD47" i="5"/>
  <c r="N47" i="5"/>
  <c r="H47" i="5"/>
  <c r="R47" i="5"/>
  <c r="E47" i="5"/>
  <c r="W47" i="5"/>
  <c r="H47" i="12" s="1"/>
  <c r="B47" i="6"/>
  <c r="G47" i="5"/>
  <c r="BQ44" i="6"/>
  <c r="CC44" i="6"/>
  <c r="CD44" i="6"/>
  <c r="CE44" i="6"/>
  <c r="AK44" i="6"/>
  <c r="CM44" i="6"/>
  <c r="BE44" i="6"/>
  <c r="BI44" i="6"/>
  <c r="AY44" i="6"/>
  <c r="BP44" i="6"/>
  <c r="CL44" i="6"/>
  <c r="AT44" i="6"/>
  <c r="BM44" i="6"/>
  <c r="AZ44" i="6"/>
  <c r="AO44" i="6"/>
  <c r="AA42" i="5"/>
  <c r="AB42" i="5"/>
  <c r="BD44" i="6"/>
  <c r="BO44" i="6"/>
  <c r="BA44" i="6"/>
  <c r="AQ44" i="6"/>
  <c r="G44" i="12"/>
  <c r="X44" i="5"/>
  <c r="C42" i="6"/>
  <c r="O42" i="5"/>
  <c r="D46" i="6"/>
  <c r="L46" i="12"/>
  <c r="K46" i="12" s="1"/>
  <c r="J46" i="12"/>
  <c r="CF44" i="6"/>
  <c r="BW44" i="6"/>
  <c r="Y41" i="12"/>
  <c r="AX45" i="6" l="1"/>
  <c r="AV45" i="6"/>
  <c r="N42" i="12"/>
  <c r="BA45" i="6"/>
  <c r="AK45" i="6"/>
  <c r="AR45" i="6"/>
  <c r="AY45" i="6"/>
  <c r="AU45" i="6"/>
  <c r="AN45" i="6"/>
  <c r="AT45" i="6"/>
  <c r="Y42" i="12"/>
  <c r="AL45" i="6"/>
  <c r="AS45" i="6"/>
  <c r="AQ45" i="6"/>
  <c r="AP45" i="6"/>
  <c r="CM45" i="6"/>
  <c r="AM45" i="6"/>
  <c r="AO45" i="6"/>
  <c r="CF45" i="6"/>
  <c r="BZ45" i="6"/>
  <c r="D42" i="12"/>
  <c r="E42" i="6"/>
  <c r="W48" i="5"/>
  <c r="H48" i="12" s="1"/>
  <c r="G48" i="5"/>
  <c r="AD48" i="5"/>
  <c r="I48" i="5"/>
  <c r="E48" i="5"/>
  <c r="B48" i="5"/>
  <c r="C49" i="5" s="1"/>
  <c r="F48" i="5"/>
  <c r="AE48" i="5"/>
  <c r="H48" i="5"/>
  <c r="A48" i="12"/>
  <c r="N48" i="5"/>
  <c r="B48" i="6"/>
  <c r="W41" i="12"/>
  <c r="X41" i="12"/>
  <c r="D47" i="6"/>
  <c r="L47" i="12"/>
  <c r="J47" i="12"/>
  <c r="AW45" i="6"/>
  <c r="M46" i="6"/>
  <c r="BW46" i="6" s="1"/>
  <c r="BC46" i="6"/>
  <c r="G46" i="6"/>
  <c r="BH46" i="6"/>
  <c r="N46" i="6"/>
  <c r="BG46" i="6"/>
  <c r="BT46" i="6"/>
  <c r="H46" i="6"/>
  <c r="T46" i="5" s="1"/>
  <c r="I44" i="12"/>
  <c r="AM44" i="5"/>
  <c r="L44" i="5"/>
  <c r="Z44" i="5"/>
  <c r="I44" i="5"/>
  <c r="AC44" i="5"/>
  <c r="AJ44" i="6"/>
  <c r="X42" i="12"/>
  <c r="W42" i="12"/>
  <c r="AZ45" i="6"/>
  <c r="F47" i="6"/>
  <c r="E47" i="12"/>
  <c r="G45" i="12"/>
  <c r="X45" i="5"/>
  <c r="BF46" i="6" l="1"/>
  <c r="CI46" i="6"/>
  <c r="BE46" i="6"/>
  <c r="K47" i="12"/>
  <c r="CL46" i="6"/>
  <c r="BN46" i="6"/>
  <c r="BL46" i="6"/>
  <c r="BX46" i="6"/>
  <c r="BD46" i="6"/>
  <c r="CM46" i="6"/>
  <c r="CB46" i="6"/>
  <c r="BR46" i="6"/>
  <c r="BQ46" i="6"/>
  <c r="BK46" i="6"/>
  <c r="CJ46" i="6"/>
  <c r="CE46" i="6"/>
  <c r="CK46" i="6"/>
  <c r="CD46" i="6"/>
  <c r="BS46" i="6"/>
  <c r="BI46" i="6"/>
  <c r="CG46" i="6"/>
  <c r="CC46" i="6"/>
  <c r="CA46" i="6"/>
  <c r="BP46" i="6"/>
  <c r="CH46" i="6"/>
  <c r="CF46" i="6"/>
  <c r="BZ46" i="6"/>
  <c r="BO46" i="6"/>
  <c r="BM46" i="6"/>
  <c r="BY46" i="6"/>
  <c r="BJ46" i="6"/>
  <c r="AM46" i="6"/>
  <c r="BV46" i="6"/>
  <c r="AO46" i="6"/>
  <c r="U42" i="12"/>
  <c r="V42" i="12"/>
  <c r="T42" i="12"/>
  <c r="C44" i="12"/>
  <c r="O44" i="12"/>
  <c r="AO44" i="12"/>
  <c r="Y44" i="12" s="1"/>
  <c r="M44" i="12"/>
  <c r="AV46" i="6"/>
  <c r="AS46" i="6"/>
  <c r="T41" i="12"/>
  <c r="U41" i="12"/>
  <c r="V41" i="12"/>
  <c r="J43" i="5"/>
  <c r="AA44" i="5"/>
  <c r="AB44" i="5"/>
  <c r="AP46" i="6"/>
  <c r="AZ46" i="6"/>
  <c r="AK46" i="6"/>
  <c r="B49" i="5"/>
  <c r="G49" i="5"/>
  <c r="H49" i="5"/>
  <c r="W49" i="5"/>
  <c r="H49" i="12" s="1"/>
  <c r="E49" i="5"/>
  <c r="B49" i="6"/>
  <c r="C50" i="5"/>
  <c r="F49" i="5"/>
  <c r="AD49" i="5"/>
  <c r="A49" i="12"/>
  <c r="AE49" i="5"/>
  <c r="N49" i="5"/>
  <c r="I49" i="5"/>
  <c r="C44" i="6"/>
  <c r="O44" i="5"/>
  <c r="G46" i="12"/>
  <c r="X46" i="5"/>
  <c r="AN46" i="6"/>
  <c r="AQ46" i="6"/>
  <c r="AY46" i="6"/>
  <c r="AR46" i="6"/>
  <c r="AX46" i="6"/>
  <c r="G47" i="6"/>
  <c r="M47" i="6"/>
  <c r="CL47" i="6" s="1"/>
  <c r="H47" i="6"/>
  <c r="T47" i="5" s="1"/>
  <c r="CI47" i="6"/>
  <c r="BE47" i="6"/>
  <c r="BZ47" i="6"/>
  <c r="BT47" i="6"/>
  <c r="AV47" i="6"/>
  <c r="BL47" i="6"/>
  <c r="BW47" i="6"/>
  <c r="N47" i="6"/>
  <c r="BO47" i="6"/>
  <c r="BC47" i="6"/>
  <c r="BF47" i="6"/>
  <c r="BG47" i="6"/>
  <c r="BK47" i="6"/>
  <c r="BM47" i="6"/>
  <c r="D48" i="6"/>
  <c r="I45" i="12"/>
  <c r="AM45" i="5"/>
  <c r="L45" i="5"/>
  <c r="I45" i="5"/>
  <c r="Z45" i="5"/>
  <c r="AC45" i="5"/>
  <c r="AJ45" i="6"/>
  <c r="AU46" i="6"/>
  <c r="BA46" i="6"/>
  <c r="AT46" i="6"/>
  <c r="AL46" i="6"/>
  <c r="AJ46" i="6"/>
  <c r="AW46" i="6"/>
  <c r="CH47" i="6" l="1"/>
  <c r="BS47" i="6"/>
  <c r="AY47" i="6"/>
  <c r="AR47" i="6"/>
  <c r="AN47" i="6"/>
  <c r="CB47" i="6"/>
  <c r="CC47" i="6"/>
  <c r="CJ47" i="6"/>
  <c r="BD47" i="6"/>
  <c r="BJ47" i="6"/>
  <c r="BQ47" i="6"/>
  <c r="BV47" i="6"/>
  <c r="BI47" i="6"/>
  <c r="BP47" i="6"/>
  <c r="BY47" i="6"/>
  <c r="CG47" i="6"/>
  <c r="CE47" i="6"/>
  <c r="CK47" i="6"/>
  <c r="CD47" i="6"/>
  <c r="CF47" i="6"/>
  <c r="CA47" i="6"/>
  <c r="CM47" i="6"/>
  <c r="BN47" i="6"/>
  <c r="AL47" i="6"/>
  <c r="AZ47" i="6"/>
  <c r="AT47" i="6"/>
  <c r="D49" i="6"/>
  <c r="AB45" i="5"/>
  <c r="AA45" i="5"/>
  <c r="C45" i="12"/>
  <c r="AO45" i="12"/>
  <c r="O45" i="12"/>
  <c r="M45" i="12"/>
  <c r="G47" i="12"/>
  <c r="X47" i="5"/>
  <c r="AW47" i="6"/>
  <c r="D44" i="12"/>
  <c r="E44" i="6"/>
  <c r="AD50" i="5"/>
  <c r="B50" i="5"/>
  <c r="C51" i="5"/>
  <c r="AE50" i="5"/>
  <c r="A50" i="12"/>
  <c r="K50" i="5"/>
  <c r="G50" i="5"/>
  <c r="W50" i="5"/>
  <c r="H50" i="12" s="1"/>
  <c r="D50" i="5"/>
  <c r="B50" i="12" s="1"/>
  <c r="F50" i="5"/>
  <c r="N50" i="5"/>
  <c r="H50" i="5"/>
  <c r="R50" i="5"/>
  <c r="J50" i="5"/>
  <c r="B50" i="6"/>
  <c r="E50" i="5"/>
  <c r="X44" i="12"/>
  <c r="W44" i="12"/>
  <c r="BA47" i="6"/>
  <c r="AM47" i="6"/>
  <c r="AJ47" i="6"/>
  <c r="AQ47" i="6"/>
  <c r="AO47" i="6"/>
  <c r="AK47" i="6"/>
  <c r="AX47" i="6"/>
  <c r="BH47" i="6"/>
  <c r="BX47" i="6"/>
  <c r="N44" i="12"/>
  <c r="C45" i="6"/>
  <c r="O45" i="5"/>
  <c r="CG48" i="6"/>
  <c r="BY48" i="6"/>
  <c r="CD48" i="6"/>
  <c r="CL48" i="6"/>
  <c r="BV48" i="6"/>
  <c r="BZ48" i="6"/>
  <c r="G48" i="6"/>
  <c r="BF48" i="6"/>
  <c r="BH48" i="6"/>
  <c r="BD48" i="6"/>
  <c r="BR48" i="6"/>
  <c r="N48" i="6"/>
  <c r="BI48" i="6"/>
  <c r="BO48" i="6"/>
  <c r="BC48" i="6"/>
  <c r="BN48" i="6"/>
  <c r="BQ48" i="6"/>
  <c r="CC48" i="6"/>
  <c r="CF48" i="6"/>
  <c r="BX48" i="6"/>
  <c r="BK48" i="6"/>
  <c r="CH48" i="6"/>
  <c r="CI48" i="6"/>
  <c r="BS48" i="6"/>
  <c r="CJ48" i="6"/>
  <c r="BW48" i="6"/>
  <c r="CB48" i="6"/>
  <c r="CM48" i="6"/>
  <c r="H48" i="6"/>
  <c r="T48" i="5" s="1"/>
  <c r="G48" i="12" s="1"/>
  <c r="BM48" i="6"/>
  <c r="M48" i="6"/>
  <c r="BE48" i="6"/>
  <c r="CK48" i="6"/>
  <c r="CE48" i="6"/>
  <c r="BP48" i="6"/>
  <c r="BG48" i="6"/>
  <c r="CA48" i="6"/>
  <c r="BJ48" i="6"/>
  <c r="BT48" i="6"/>
  <c r="BL48" i="6"/>
  <c r="AU47" i="6"/>
  <c r="AP47" i="6"/>
  <c r="AS47" i="6"/>
  <c r="BR47" i="6"/>
  <c r="AM46" i="5"/>
  <c r="L46" i="5"/>
  <c r="I46" i="12"/>
  <c r="Z46" i="5"/>
  <c r="I46" i="5"/>
  <c r="AC46" i="5"/>
  <c r="AT48" i="6" l="1"/>
  <c r="AV48" i="6"/>
  <c r="AO48" i="6"/>
  <c r="BA48" i="6"/>
  <c r="AL48" i="6"/>
  <c r="AJ48" i="6"/>
  <c r="AN48" i="6"/>
  <c r="AB46" i="5"/>
  <c r="AA46" i="5"/>
  <c r="AR48" i="6"/>
  <c r="AS48" i="6"/>
  <c r="A51" i="12"/>
  <c r="AD51" i="5"/>
  <c r="N51" i="5"/>
  <c r="G51" i="5"/>
  <c r="K51" i="5"/>
  <c r="B51" i="6"/>
  <c r="H51" i="5"/>
  <c r="F51" i="5"/>
  <c r="B51" i="5"/>
  <c r="J51" i="5"/>
  <c r="D51" i="5"/>
  <c r="B51" i="12" s="1"/>
  <c r="E51" i="5"/>
  <c r="AE51" i="5"/>
  <c r="R51" i="5"/>
  <c r="C52" i="5"/>
  <c r="W51" i="5"/>
  <c r="H51" i="12" s="1"/>
  <c r="BI49" i="6"/>
  <c r="CI49" i="6"/>
  <c r="CG49" i="6"/>
  <c r="BZ49" i="6"/>
  <c r="CK49" i="6"/>
  <c r="CA49" i="6"/>
  <c r="BK49" i="6"/>
  <c r="CF49" i="6"/>
  <c r="BD49" i="6"/>
  <c r="CC49" i="6"/>
  <c r="BF49" i="6"/>
  <c r="CB49" i="6"/>
  <c r="G49" i="6"/>
  <c r="BE49" i="6"/>
  <c r="BX49" i="6"/>
  <c r="BC49" i="6"/>
  <c r="CD49" i="6"/>
  <c r="M49" i="6"/>
  <c r="CE49" i="6"/>
  <c r="CH49" i="6"/>
  <c r="BP49" i="6"/>
  <c r="N49" i="6"/>
  <c r="H49" i="6"/>
  <c r="T49" i="5" s="1"/>
  <c r="G49" i="12" s="1"/>
  <c r="BT49" i="6"/>
  <c r="BQ49" i="6"/>
  <c r="BL49" i="6"/>
  <c r="BO49" i="6"/>
  <c r="BG49" i="6"/>
  <c r="CM49" i="6"/>
  <c r="CL49" i="6"/>
  <c r="BM49" i="6"/>
  <c r="BW49" i="6"/>
  <c r="BN49" i="6"/>
  <c r="BS49" i="6"/>
  <c r="BV49" i="6"/>
  <c r="BR49" i="6"/>
  <c r="BY49" i="6"/>
  <c r="CJ49" i="6"/>
  <c r="BH49" i="6"/>
  <c r="BJ49" i="6"/>
  <c r="AP48" i="6"/>
  <c r="AZ48" i="6"/>
  <c r="AK48" i="6"/>
  <c r="E50" i="12"/>
  <c r="F50" i="6"/>
  <c r="N45" i="12"/>
  <c r="C46" i="12"/>
  <c r="AO46" i="12"/>
  <c r="O46" i="12"/>
  <c r="N46" i="12" s="1"/>
  <c r="M46" i="12"/>
  <c r="C46" i="6"/>
  <c r="O46" i="5"/>
  <c r="AM48" i="6"/>
  <c r="AY48" i="6"/>
  <c r="AQ48" i="6"/>
  <c r="AU48" i="6"/>
  <c r="AX48" i="6"/>
  <c r="AW48" i="6"/>
  <c r="D45" i="12"/>
  <c r="E45" i="6"/>
  <c r="J50" i="12"/>
  <c r="L50" i="12"/>
  <c r="L47" i="5"/>
  <c r="AM47" i="5"/>
  <c r="I47" i="12"/>
  <c r="I47" i="5"/>
  <c r="Z47" i="5"/>
  <c r="AC47" i="5"/>
  <c r="Y45" i="12"/>
  <c r="U44" i="12"/>
  <c r="T44" i="12"/>
  <c r="V44" i="12"/>
  <c r="D50" i="6"/>
  <c r="AU49" i="6" l="1"/>
  <c r="K50" i="12"/>
  <c r="AO49" i="6"/>
  <c r="AM49" i="6"/>
  <c r="Y46" i="12"/>
  <c r="W46" i="12" s="1"/>
  <c r="AR49" i="6"/>
  <c r="AY49" i="6"/>
  <c r="AN49" i="6"/>
  <c r="E46" i="6"/>
  <c r="D46" i="12"/>
  <c r="K52" i="5"/>
  <c r="G52" i="5"/>
  <c r="B52" i="6"/>
  <c r="C53" i="5"/>
  <c r="J52" i="5"/>
  <c r="AE52" i="5"/>
  <c r="E52" i="5"/>
  <c r="B52" i="5"/>
  <c r="R52" i="5"/>
  <c r="W52" i="5"/>
  <c r="H52" i="12" s="1"/>
  <c r="D52" i="5"/>
  <c r="B52" i="12" s="1"/>
  <c r="H52" i="5"/>
  <c r="F52" i="5"/>
  <c r="AD52" i="5"/>
  <c r="A52" i="12"/>
  <c r="N52" i="5"/>
  <c r="G50" i="6"/>
  <c r="H50" i="6"/>
  <c r="T50" i="5" s="1"/>
  <c r="M50" i="6"/>
  <c r="BC50" i="6" s="1"/>
  <c r="CM50" i="6"/>
  <c r="BK50" i="6"/>
  <c r="N50" i="6"/>
  <c r="BP50" i="6"/>
  <c r="BT50" i="6"/>
  <c r="X45" i="12"/>
  <c r="W45" i="12"/>
  <c r="AL49" i="6"/>
  <c r="AW49" i="6"/>
  <c r="AQ49" i="6"/>
  <c r="AV49" i="6"/>
  <c r="AS49" i="6"/>
  <c r="D51" i="6"/>
  <c r="C47" i="12"/>
  <c r="O47" i="12"/>
  <c r="AO47" i="12"/>
  <c r="M47" i="12"/>
  <c r="AA47" i="5"/>
  <c r="AB47" i="5"/>
  <c r="C47" i="6"/>
  <c r="O47" i="5"/>
  <c r="AP49" i="6"/>
  <c r="AJ49" i="6"/>
  <c r="AZ49" i="6"/>
  <c r="AK49" i="6"/>
  <c r="AT49" i="6"/>
  <c r="AX49" i="6"/>
  <c r="BA49" i="6"/>
  <c r="F51" i="6"/>
  <c r="E51" i="12"/>
  <c r="L51" i="12"/>
  <c r="J51" i="12"/>
  <c r="AK50" i="6" l="1"/>
  <c r="AT50" i="6"/>
  <c r="CJ50" i="6"/>
  <c r="AR50" i="6"/>
  <c r="AV50" i="6"/>
  <c r="BL50" i="6"/>
  <c r="BV50" i="6"/>
  <c r="BA50" i="6"/>
  <c r="BI50" i="6"/>
  <c r="BS50" i="6"/>
  <c r="BQ50" i="6"/>
  <c r="X46" i="12"/>
  <c r="N47" i="12"/>
  <c r="CE50" i="6"/>
  <c r="BD50" i="6"/>
  <c r="CB50" i="6"/>
  <c r="BX50" i="6"/>
  <c r="BR50" i="6"/>
  <c r="BH50" i="6"/>
  <c r="AU50" i="6"/>
  <c r="AQ50" i="6"/>
  <c r="BZ50" i="6"/>
  <c r="CD50" i="6"/>
  <c r="AM50" i="6"/>
  <c r="AX50" i="6"/>
  <c r="BG50" i="6"/>
  <c r="AP50" i="6"/>
  <c r="CA50" i="6"/>
  <c r="CF50" i="6"/>
  <c r="E47" i="6"/>
  <c r="D47" i="12"/>
  <c r="CL50" i="6"/>
  <c r="BF50" i="6"/>
  <c r="AS50" i="6"/>
  <c r="AN50" i="6"/>
  <c r="CG50" i="6"/>
  <c r="BO50" i="6"/>
  <c r="U46" i="12"/>
  <c r="V46" i="12"/>
  <c r="T46" i="12"/>
  <c r="K51" i="12"/>
  <c r="T45" i="12"/>
  <c r="V45" i="12"/>
  <c r="U45" i="12"/>
  <c r="Y47" i="12"/>
  <c r="BM50" i="6"/>
  <c r="CC50" i="6"/>
  <c r="CH50" i="6"/>
  <c r="BJ50" i="6"/>
  <c r="AZ50" i="6"/>
  <c r="CK50" i="6"/>
  <c r="BN50" i="6"/>
  <c r="AL50" i="6"/>
  <c r="BE50" i="6"/>
  <c r="BW50" i="6"/>
  <c r="AW50" i="6"/>
  <c r="AO50" i="6"/>
  <c r="BY50" i="6"/>
  <c r="D52" i="6"/>
  <c r="H51" i="6"/>
  <c r="T51" i="5" s="1"/>
  <c r="M51" i="6"/>
  <c r="BI51" i="6" s="1"/>
  <c r="N51" i="6"/>
  <c r="BY51" i="6"/>
  <c r="G51" i="6"/>
  <c r="CC51" i="6"/>
  <c r="G50" i="12"/>
  <c r="X50" i="5"/>
  <c r="AY50" i="6"/>
  <c r="CI50" i="6"/>
  <c r="L52" i="12"/>
  <c r="J52" i="12"/>
  <c r="F52" i="6"/>
  <c r="E52" i="12"/>
  <c r="C54" i="5"/>
  <c r="J53" i="5"/>
  <c r="AD53" i="5"/>
  <c r="N53" i="5"/>
  <c r="E53" i="5"/>
  <c r="A53" i="12"/>
  <c r="H53" i="5"/>
  <c r="W53" i="5"/>
  <c r="H53" i="12" s="1"/>
  <c r="AE53" i="5"/>
  <c r="G53" i="5"/>
  <c r="F53" i="5"/>
  <c r="K53" i="5"/>
  <c r="R53" i="5"/>
  <c r="D53" i="5"/>
  <c r="B53" i="12" s="1"/>
  <c r="B53" i="6"/>
  <c r="B53" i="5"/>
  <c r="AT51" i="6" l="1"/>
  <c r="AX51" i="6"/>
  <c r="CI51" i="6"/>
  <c r="CL51" i="6"/>
  <c r="BA51" i="6"/>
  <c r="CH51" i="6"/>
  <c r="BX51" i="6"/>
  <c r="CG51" i="6"/>
  <c r="BR51" i="6"/>
  <c r="CF51" i="6"/>
  <c r="BQ51" i="6"/>
  <c r="CJ51" i="6"/>
  <c r="CE51" i="6"/>
  <c r="AU51" i="6"/>
  <c r="CM51" i="6"/>
  <c r="BV51" i="6"/>
  <c r="AS51" i="6"/>
  <c r="CA51" i="6"/>
  <c r="BL51" i="6"/>
  <c r="BN51" i="6"/>
  <c r="AQ51" i="6"/>
  <c r="BW51" i="6"/>
  <c r="CK51" i="6"/>
  <c r="AM51" i="6"/>
  <c r="BZ51" i="6"/>
  <c r="BH51" i="6"/>
  <c r="K52" i="12"/>
  <c r="AW51" i="6"/>
  <c r="AZ51" i="6"/>
  <c r="AY51" i="6"/>
  <c r="AO51" i="6"/>
  <c r="BE51" i="6"/>
  <c r="CB51" i="6"/>
  <c r="AP51" i="6"/>
  <c r="BT51" i="6"/>
  <c r="BP51" i="6"/>
  <c r="BD51" i="6"/>
  <c r="AL51" i="6"/>
  <c r="BK51" i="6"/>
  <c r="BG51" i="6"/>
  <c r="BS51" i="6"/>
  <c r="BF51" i="6"/>
  <c r="BJ51" i="6"/>
  <c r="BO51" i="6"/>
  <c r="AV51" i="6"/>
  <c r="BM51" i="6"/>
  <c r="AR51" i="6"/>
  <c r="AN51" i="6"/>
  <c r="J53" i="12"/>
  <c r="L53" i="12"/>
  <c r="K53" i="12" s="1"/>
  <c r="BC51" i="6"/>
  <c r="N52" i="6"/>
  <c r="M52" i="6"/>
  <c r="CC52" i="6" s="1"/>
  <c r="BY52" i="6"/>
  <c r="BP52" i="6"/>
  <c r="BH52" i="6"/>
  <c r="CE52" i="6"/>
  <c r="G52" i="6"/>
  <c r="BS52" i="6"/>
  <c r="BR52" i="6"/>
  <c r="CA52" i="6"/>
  <c r="BW52" i="6"/>
  <c r="BZ52" i="6"/>
  <c r="BN52" i="6"/>
  <c r="BC52" i="6"/>
  <c r="CL52" i="6"/>
  <c r="CH52" i="6"/>
  <c r="BV52" i="6"/>
  <c r="BI52" i="6"/>
  <c r="H52" i="6"/>
  <c r="T52" i="5" s="1"/>
  <c r="CD52" i="6"/>
  <c r="CF52" i="6"/>
  <c r="CM52" i="6"/>
  <c r="CK52" i="6"/>
  <c r="CG52" i="6"/>
  <c r="BG52" i="6"/>
  <c r="BQ52" i="6"/>
  <c r="CJ52" i="6"/>
  <c r="BO52" i="6"/>
  <c r="BE52" i="6"/>
  <c r="BT52" i="6"/>
  <c r="CI52" i="6"/>
  <c r="BK52" i="6"/>
  <c r="CB52" i="6"/>
  <c r="BJ52" i="6"/>
  <c r="BM52" i="6"/>
  <c r="BD52" i="6"/>
  <c r="BX52" i="6"/>
  <c r="BF52" i="6"/>
  <c r="H54" i="5"/>
  <c r="E54" i="5"/>
  <c r="B54" i="5"/>
  <c r="K54" i="5"/>
  <c r="W54" i="5"/>
  <c r="H54" i="12" s="1"/>
  <c r="AD54" i="5"/>
  <c r="B54" i="6"/>
  <c r="N54" i="5"/>
  <c r="J54" i="5"/>
  <c r="F54" i="5"/>
  <c r="C55" i="5"/>
  <c r="D54" i="5"/>
  <c r="B54" i="12" s="1"/>
  <c r="G54" i="5"/>
  <c r="R54" i="5"/>
  <c r="A54" i="12"/>
  <c r="AE54" i="5"/>
  <c r="F53" i="6"/>
  <c r="E53" i="12"/>
  <c r="D53" i="6"/>
  <c r="G51" i="12"/>
  <c r="X51" i="5"/>
  <c r="L50" i="5"/>
  <c r="I50" i="12"/>
  <c r="AM50" i="5"/>
  <c r="I50" i="5"/>
  <c r="Z50" i="5"/>
  <c r="AC50" i="5"/>
  <c r="AK51" i="6"/>
  <c r="CD51" i="6"/>
  <c r="AJ50" i="6"/>
  <c r="W47" i="12"/>
  <c r="X47" i="12"/>
  <c r="BL52" i="6" l="1"/>
  <c r="G55" i="5"/>
  <c r="K55" i="5"/>
  <c r="B55" i="5"/>
  <c r="B55" i="6"/>
  <c r="AD55" i="5"/>
  <c r="D55" i="5"/>
  <c r="B55" i="12" s="1"/>
  <c r="C56" i="5"/>
  <c r="F55" i="5"/>
  <c r="E55" i="5"/>
  <c r="A55" i="12"/>
  <c r="N55" i="5"/>
  <c r="AE55" i="5"/>
  <c r="W55" i="5"/>
  <c r="H55" i="12" s="1"/>
  <c r="H55" i="5"/>
  <c r="J55" i="5"/>
  <c r="R55" i="5"/>
  <c r="AR52" i="6"/>
  <c r="C50" i="12"/>
  <c r="O50" i="12"/>
  <c r="AO50" i="12"/>
  <c r="M50" i="12"/>
  <c r="N53" i="6"/>
  <c r="M53" i="6"/>
  <c r="BH53" i="6" s="1"/>
  <c r="G53" i="6"/>
  <c r="H53" i="6"/>
  <c r="T53" i="5" s="1"/>
  <c r="E54" i="12"/>
  <c r="F54" i="6"/>
  <c r="AO52" i="6"/>
  <c r="AY52" i="6"/>
  <c r="AZ52" i="6"/>
  <c r="AP52" i="6"/>
  <c r="AL52" i="6"/>
  <c r="G52" i="12"/>
  <c r="X52" i="5"/>
  <c r="AA50" i="5"/>
  <c r="AB50" i="5"/>
  <c r="C50" i="6"/>
  <c r="O50" i="5"/>
  <c r="AW52" i="6"/>
  <c r="AN52" i="6"/>
  <c r="AT52" i="6"/>
  <c r="AV52" i="6"/>
  <c r="BA52" i="6"/>
  <c r="AK52" i="6"/>
  <c r="AU52" i="6"/>
  <c r="J54" i="12"/>
  <c r="L54" i="12"/>
  <c r="K54" i="12" s="1"/>
  <c r="AQ52" i="6"/>
  <c r="T47" i="12"/>
  <c r="V47" i="12"/>
  <c r="U47" i="12"/>
  <c r="L51" i="5"/>
  <c r="I51" i="12"/>
  <c r="AM51" i="5"/>
  <c r="Z51" i="5"/>
  <c r="I51" i="5"/>
  <c r="AC51" i="5"/>
  <c r="AJ51" i="6"/>
  <c r="D54" i="6"/>
  <c r="AX52" i="6"/>
  <c r="AM52" i="6"/>
  <c r="AS52" i="6"/>
  <c r="BA53" i="6" l="1"/>
  <c r="BN53" i="6"/>
  <c r="AM53" i="6"/>
  <c r="BD53" i="6"/>
  <c r="Y50" i="12"/>
  <c r="BT53" i="6"/>
  <c r="CA53" i="6"/>
  <c r="CL53" i="6"/>
  <c r="CM53" i="6"/>
  <c r="BW53" i="6"/>
  <c r="AQ53" i="6"/>
  <c r="D50" i="12"/>
  <c r="E50" i="6"/>
  <c r="AM52" i="5"/>
  <c r="I52" i="12"/>
  <c r="L52" i="5"/>
  <c r="I52" i="5"/>
  <c r="Z52" i="5"/>
  <c r="AC52" i="5"/>
  <c r="BX53" i="6"/>
  <c r="BY53" i="6"/>
  <c r="CC53" i="6"/>
  <c r="BC53" i="6"/>
  <c r="BJ53" i="6"/>
  <c r="BK53" i="6"/>
  <c r="BS53" i="6"/>
  <c r="AV53" i="6"/>
  <c r="BE53" i="6"/>
  <c r="BR53" i="6"/>
  <c r="BP53" i="6"/>
  <c r="CJ53" i="6"/>
  <c r="BL53" i="6"/>
  <c r="X50" i="12"/>
  <c r="W50" i="12"/>
  <c r="AJ52" i="6"/>
  <c r="D55" i="6"/>
  <c r="A56" i="12"/>
  <c r="I56" i="5"/>
  <c r="AE56" i="5"/>
  <c r="F56" i="5"/>
  <c r="H56" i="5"/>
  <c r="C57" i="5"/>
  <c r="W56" i="5"/>
  <c r="H56" i="12" s="1"/>
  <c r="E56" i="5"/>
  <c r="AD56" i="5"/>
  <c r="G56" i="5"/>
  <c r="B56" i="6"/>
  <c r="N56" i="5"/>
  <c r="B56" i="5"/>
  <c r="C51" i="6"/>
  <c r="O51" i="5"/>
  <c r="N54" i="6"/>
  <c r="G54" i="6"/>
  <c r="M54" i="6"/>
  <c r="BR54" i="6" s="1"/>
  <c r="BN54" i="6"/>
  <c r="BI54" i="6"/>
  <c r="H54" i="6"/>
  <c r="T54" i="5" s="1"/>
  <c r="AX53" i="6"/>
  <c r="CK53" i="6"/>
  <c r="G53" i="12"/>
  <c r="X53" i="5"/>
  <c r="AJ53" i="6" s="1"/>
  <c r="BZ53" i="6"/>
  <c r="AU53" i="6"/>
  <c r="AS53" i="6"/>
  <c r="BO53" i="6"/>
  <c r="CE53" i="6"/>
  <c r="AZ53" i="6"/>
  <c r="CB53" i="6"/>
  <c r="AT53" i="6"/>
  <c r="BQ53" i="6"/>
  <c r="AR53" i="6"/>
  <c r="AL53" i="6"/>
  <c r="N50" i="12"/>
  <c r="J55" i="12"/>
  <c r="L55" i="12"/>
  <c r="K55" i="12" s="1"/>
  <c r="AN53" i="6"/>
  <c r="AW53" i="6"/>
  <c r="AK53" i="6"/>
  <c r="AA51" i="5"/>
  <c r="AB51" i="5"/>
  <c r="C51" i="12"/>
  <c r="AO51" i="12"/>
  <c r="O51" i="12"/>
  <c r="M51" i="12"/>
  <c r="BV53" i="6"/>
  <c r="AP53" i="6"/>
  <c r="AY53" i="6"/>
  <c r="BF53" i="6"/>
  <c r="CF53" i="6"/>
  <c r="CH53" i="6"/>
  <c r="CG53" i="6"/>
  <c r="BG53" i="6"/>
  <c r="BI53" i="6"/>
  <c r="CI53" i="6"/>
  <c r="BM53" i="6"/>
  <c r="AO53" i="6"/>
  <c r="CD53" i="6"/>
  <c r="E55" i="12"/>
  <c r="F55" i="6"/>
  <c r="BQ54" i="6" l="1"/>
  <c r="CJ54" i="6"/>
  <c r="BM54" i="6"/>
  <c r="CA54" i="6"/>
  <c r="BT54" i="6"/>
  <c r="CD54" i="6"/>
  <c r="BH54" i="6"/>
  <c r="BJ54" i="6"/>
  <c r="BZ54" i="6"/>
  <c r="BE54" i="6"/>
  <c r="CF54" i="6"/>
  <c r="CL54" i="6"/>
  <c r="BK54" i="6"/>
  <c r="CK54" i="6"/>
  <c r="CM54" i="6"/>
  <c r="BF54" i="6"/>
  <c r="AR54" i="6"/>
  <c r="BV54" i="6"/>
  <c r="CB54" i="6"/>
  <c r="CH54" i="6"/>
  <c r="BP54" i="6"/>
  <c r="BL54" i="6"/>
  <c r="BW54" i="6"/>
  <c r="BC54" i="6"/>
  <c r="AM54" i="6"/>
  <c r="BX54" i="6"/>
  <c r="AO54" i="6"/>
  <c r="BA54" i="6"/>
  <c r="AT54" i="6"/>
  <c r="BG54" i="6"/>
  <c r="BS54" i="6"/>
  <c r="BD54" i="6"/>
  <c r="CG54" i="6"/>
  <c r="AY54" i="6"/>
  <c r="AK54" i="6"/>
  <c r="AS54" i="6"/>
  <c r="D51" i="12"/>
  <c r="E51" i="6"/>
  <c r="N55" i="6"/>
  <c r="G55" i="6"/>
  <c r="H55" i="6"/>
  <c r="T55" i="5" s="1"/>
  <c r="M55" i="6"/>
  <c r="BI55" i="6" s="1"/>
  <c r="N51" i="12"/>
  <c r="G54" i="12"/>
  <c r="X54" i="5"/>
  <c r="AV54" i="6"/>
  <c r="AX54" i="6"/>
  <c r="AW54" i="6"/>
  <c r="AU54" i="6"/>
  <c r="AD57" i="5"/>
  <c r="C58" i="5"/>
  <c r="E57" i="5"/>
  <c r="N57" i="5"/>
  <c r="B57" i="6"/>
  <c r="H57" i="5"/>
  <c r="D57" i="5"/>
  <c r="B57" i="12" s="1"/>
  <c r="F57" i="5"/>
  <c r="G57" i="5"/>
  <c r="B57" i="5"/>
  <c r="A57" i="12"/>
  <c r="W57" i="5"/>
  <c r="H57" i="12" s="1"/>
  <c r="J57" i="5"/>
  <c r="AE57" i="5"/>
  <c r="K57" i="5"/>
  <c r="R57" i="5"/>
  <c r="C52" i="6"/>
  <c r="O52" i="5"/>
  <c r="D56" i="6"/>
  <c r="AA52" i="5"/>
  <c r="AB52" i="5"/>
  <c r="Y51" i="12"/>
  <c r="AM53" i="5"/>
  <c r="I53" i="12"/>
  <c r="L53" i="5"/>
  <c r="Z53" i="5"/>
  <c r="I53" i="5"/>
  <c r="AC53" i="5"/>
  <c r="AQ54" i="6"/>
  <c r="AL54" i="6"/>
  <c r="AP54" i="6"/>
  <c r="BY54" i="6"/>
  <c r="CI54" i="6"/>
  <c r="CE54" i="6"/>
  <c r="AZ54" i="6"/>
  <c r="AN54" i="6"/>
  <c r="BO54" i="6"/>
  <c r="CC54" i="6"/>
  <c r="U50" i="12"/>
  <c r="T50" i="12"/>
  <c r="V50" i="12"/>
  <c r="C52" i="12"/>
  <c r="O52" i="12"/>
  <c r="M52" i="12"/>
  <c r="AO52" i="12"/>
  <c r="D52" i="12" l="1"/>
  <c r="E52" i="6"/>
  <c r="BF55" i="6"/>
  <c r="CJ55" i="6"/>
  <c r="BG55" i="6"/>
  <c r="CI55" i="6"/>
  <c r="N52" i="12"/>
  <c r="C53" i="12"/>
  <c r="AO53" i="12"/>
  <c r="O53" i="12"/>
  <c r="M53" i="12"/>
  <c r="BJ55" i="6"/>
  <c r="AX55" i="6"/>
  <c r="AR55" i="6"/>
  <c r="BX55" i="6"/>
  <c r="AU55" i="6"/>
  <c r="CG55" i="6"/>
  <c r="AO55" i="6"/>
  <c r="AS55" i="6"/>
  <c r="BD55" i="6"/>
  <c r="AV55" i="6"/>
  <c r="BL55" i="6"/>
  <c r="BT55" i="6"/>
  <c r="BN55" i="6"/>
  <c r="C53" i="6"/>
  <c r="O53" i="5"/>
  <c r="D57" i="6"/>
  <c r="G55" i="12"/>
  <c r="X55" i="5"/>
  <c r="BR55" i="6"/>
  <c r="BW55" i="6"/>
  <c r="C59" i="5"/>
  <c r="E58" i="5"/>
  <c r="N58" i="5"/>
  <c r="W58" i="5"/>
  <c r="H58" i="12" s="1"/>
  <c r="A58" i="12"/>
  <c r="F58" i="5"/>
  <c r="J58" i="5"/>
  <c r="AE58" i="5"/>
  <c r="R58" i="5"/>
  <c r="B58" i="5"/>
  <c r="AD58" i="5"/>
  <c r="H58" i="5"/>
  <c r="D58" i="5"/>
  <c r="B58" i="12" s="1"/>
  <c r="B58" i="6"/>
  <c r="K58" i="5"/>
  <c r="G58" i="5"/>
  <c r="AM55" i="6"/>
  <c r="AQ55" i="6"/>
  <c r="CB55" i="6"/>
  <c r="AK55" i="6"/>
  <c r="BY55" i="6"/>
  <c r="CH55" i="6"/>
  <c r="CE55" i="6"/>
  <c r="CA55" i="6"/>
  <c r="BC55" i="6"/>
  <c r="BS55" i="6"/>
  <c r="AY55" i="6"/>
  <c r="CL55" i="6"/>
  <c r="BK55" i="6"/>
  <c r="L54" i="5"/>
  <c r="AM54" i="5"/>
  <c r="I54" i="12"/>
  <c r="Z54" i="5"/>
  <c r="I54" i="5"/>
  <c r="AC54" i="5"/>
  <c r="AJ54" i="6"/>
  <c r="CC55" i="6"/>
  <c r="AL55" i="6"/>
  <c r="BZ55" i="6"/>
  <c r="BA55" i="6"/>
  <c r="AP55" i="6"/>
  <c r="CM55" i="6"/>
  <c r="BQ55" i="6"/>
  <c r="Y52" i="12"/>
  <c r="AA53" i="5"/>
  <c r="AB53" i="5"/>
  <c r="W51" i="12"/>
  <c r="X51" i="12"/>
  <c r="BY56" i="6"/>
  <c r="BN56" i="6"/>
  <c r="G56" i="6"/>
  <c r="BX56" i="6"/>
  <c r="N56" i="6"/>
  <c r="BG56" i="6"/>
  <c r="CC56" i="6"/>
  <c r="BL56" i="6"/>
  <c r="BT56" i="6"/>
  <c r="CI56" i="6"/>
  <c r="BP56" i="6"/>
  <c r="BC56" i="6"/>
  <c r="CE56" i="6"/>
  <c r="BJ56" i="6"/>
  <c r="CK56" i="6"/>
  <c r="BM56" i="6"/>
  <c r="CJ56" i="6"/>
  <c r="H56" i="6"/>
  <c r="T56" i="5" s="1"/>
  <c r="G56" i="12" s="1"/>
  <c r="CG56" i="6"/>
  <c r="CM56" i="6"/>
  <c r="BS56" i="6"/>
  <c r="BZ56" i="6"/>
  <c r="CB56" i="6"/>
  <c r="BV56" i="6"/>
  <c r="BO56" i="6"/>
  <c r="BW56" i="6"/>
  <c r="BK56" i="6"/>
  <c r="BD56" i="6"/>
  <c r="BE56" i="6"/>
  <c r="BR56" i="6"/>
  <c r="BI56" i="6"/>
  <c r="CH56" i="6"/>
  <c r="M56" i="6"/>
  <c r="AU56" i="6" s="1"/>
  <c r="CF56" i="6"/>
  <c r="BF56" i="6"/>
  <c r="CL56" i="6"/>
  <c r="CD56" i="6"/>
  <c r="CA56" i="6"/>
  <c r="BQ56" i="6"/>
  <c r="BH56" i="6"/>
  <c r="AO56" i="6"/>
  <c r="F57" i="6"/>
  <c r="E57" i="12"/>
  <c r="J57" i="12"/>
  <c r="L57" i="12"/>
  <c r="AZ55" i="6"/>
  <c r="AN55" i="6"/>
  <c r="BH55" i="6"/>
  <c r="CK55" i="6"/>
  <c r="BP55" i="6"/>
  <c r="BE55" i="6"/>
  <c r="AJ55" i="6"/>
  <c r="BV55" i="6"/>
  <c r="BO55" i="6"/>
  <c r="CD55" i="6"/>
  <c r="AT55" i="6"/>
  <c r="AW55" i="6"/>
  <c r="BM55" i="6"/>
  <c r="CF55" i="6"/>
  <c r="K57" i="12" l="1"/>
  <c r="N53" i="12"/>
  <c r="AJ56" i="6"/>
  <c r="AN56" i="6"/>
  <c r="AS56" i="6"/>
  <c r="AQ56" i="6"/>
  <c r="AV56" i="6"/>
  <c r="AW56" i="6"/>
  <c r="AT56" i="6"/>
  <c r="AM56" i="6"/>
  <c r="C54" i="6"/>
  <c r="O54" i="5"/>
  <c r="AY56" i="6"/>
  <c r="BA56" i="6"/>
  <c r="AR56" i="6"/>
  <c r="AB54" i="5"/>
  <c r="AA54" i="5"/>
  <c r="D58" i="6"/>
  <c r="M57" i="6"/>
  <c r="BR57" i="6" s="1"/>
  <c r="BF57" i="6"/>
  <c r="CA57" i="6"/>
  <c r="G57" i="6"/>
  <c r="CC57" i="6"/>
  <c r="CG57" i="6"/>
  <c r="BQ57" i="6"/>
  <c r="BS57" i="6"/>
  <c r="BE57" i="6"/>
  <c r="BO57" i="6"/>
  <c r="CF57" i="6"/>
  <c r="CK57" i="6"/>
  <c r="BP57" i="6"/>
  <c r="H57" i="6"/>
  <c r="T57" i="5" s="1"/>
  <c r="N57" i="6"/>
  <c r="CI57" i="6"/>
  <c r="BY57" i="6"/>
  <c r="BW57" i="6"/>
  <c r="BL57" i="6"/>
  <c r="CD57" i="6"/>
  <c r="BX57" i="6"/>
  <c r="CL57" i="6"/>
  <c r="BD57" i="6"/>
  <c r="AN57" i="6"/>
  <c r="AM57" i="6"/>
  <c r="BJ57" i="6"/>
  <c r="CE57" i="6"/>
  <c r="AZ57" i="6"/>
  <c r="BG57" i="6"/>
  <c r="AS57" i="6"/>
  <c r="AV57" i="6"/>
  <c r="AX57" i="6"/>
  <c r="AR57" i="6"/>
  <c r="BA57" i="6"/>
  <c r="CJ57" i="6"/>
  <c r="BN57" i="6"/>
  <c r="BT57" i="6"/>
  <c r="BH57" i="6"/>
  <c r="CB57" i="6"/>
  <c r="CM57" i="6"/>
  <c r="BV57" i="6"/>
  <c r="AL57" i="6"/>
  <c r="AP56" i="6"/>
  <c r="AK56" i="6"/>
  <c r="AZ56" i="6"/>
  <c r="AL56" i="6"/>
  <c r="AX56" i="6"/>
  <c r="X52" i="12"/>
  <c r="W52" i="12"/>
  <c r="C54" i="12"/>
  <c r="O54" i="12"/>
  <c r="AO54" i="12"/>
  <c r="M54" i="12"/>
  <c r="I55" i="12"/>
  <c r="AM55" i="5"/>
  <c r="L55" i="5"/>
  <c r="Z55" i="5"/>
  <c r="I55" i="5"/>
  <c r="AC55" i="5"/>
  <c r="E53" i="6"/>
  <c r="D53" i="12"/>
  <c r="U51" i="12"/>
  <c r="V51" i="12"/>
  <c r="T51" i="12"/>
  <c r="E58" i="12"/>
  <c r="F58" i="6"/>
  <c r="J58" i="12"/>
  <c r="L58" i="12"/>
  <c r="F59" i="5"/>
  <c r="A59" i="12"/>
  <c r="N59" i="5"/>
  <c r="D59" i="5"/>
  <c r="B59" i="12" s="1"/>
  <c r="B59" i="5"/>
  <c r="J59" i="5"/>
  <c r="G59" i="5"/>
  <c r="E59" i="5"/>
  <c r="AD59" i="5"/>
  <c r="K59" i="5"/>
  <c r="C60" i="5"/>
  <c r="R59" i="5"/>
  <c r="W59" i="5"/>
  <c r="H59" i="12" s="1"/>
  <c r="H59" i="5"/>
  <c r="AE59" i="5"/>
  <c r="B59" i="6"/>
  <c r="Y53" i="12"/>
  <c r="CH57" i="6" l="1"/>
  <c r="BZ57" i="6"/>
  <c r="BC57" i="6"/>
  <c r="BK57" i="6"/>
  <c r="BM57" i="6"/>
  <c r="BI57" i="6"/>
  <c r="AQ57" i="6"/>
  <c r="N54" i="12"/>
  <c r="AT57" i="6"/>
  <c r="AK57" i="6"/>
  <c r="AW57" i="6"/>
  <c r="AY57" i="6"/>
  <c r="AU57" i="6"/>
  <c r="W53" i="12"/>
  <c r="X53" i="12"/>
  <c r="E59" i="12"/>
  <c r="F59" i="6"/>
  <c r="C55" i="12"/>
  <c r="M55" i="12"/>
  <c r="AO55" i="12"/>
  <c r="O55" i="12"/>
  <c r="K60" i="5"/>
  <c r="B60" i="6"/>
  <c r="AE60" i="5"/>
  <c r="N60" i="5"/>
  <c r="F60" i="5"/>
  <c r="H60" i="5"/>
  <c r="B60" i="5"/>
  <c r="W60" i="5"/>
  <c r="H60" i="12" s="1"/>
  <c r="J60" i="5"/>
  <c r="A60" i="12"/>
  <c r="G60" i="5"/>
  <c r="D60" i="5"/>
  <c r="B60" i="12" s="1"/>
  <c r="C61" i="5"/>
  <c r="AD60" i="5"/>
  <c r="R60" i="5"/>
  <c r="E60" i="5"/>
  <c r="L59" i="12"/>
  <c r="J59" i="12"/>
  <c r="K58" i="12"/>
  <c r="AB55" i="5"/>
  <c r="AA55" i="5"/>
  <c r="T52" i="12"/>
  <c r="U52" i="12"/>
  <c r="V52" i="12"/>
  <c r="G57" i="12"/>
  <c r="X57" i="5"/>
  <c r="AP57" i="6"/>
  <c r="AO57" i="6"/>
  <c r="D54" i="12"/>
  <c r="E54" i="6"/>
  <c r="D59" i="6"/>
  <c r="C55" i="6"/>
  <c r="O55" i="5"/>
  <c r="Y54" i="12"/>
  <c r="G58" i="6"/>
  <c r="M58" i="6"/>
  <c r="BL58" i="6" s="1"/>
  <c r="BG58" i="6"/>
  <c r="BH58" i="6"/>
  <c r="CI58" i="6"/>
  <c r="H58" i="6"/>
  <c r="T58" i="5" s="1"/>
  <c r="CC58" i="6"/>
  <c r="BF58" i="6"/>
  <c r="CG58" i="6"/>
  <c r="N58" i="6"/>
  <c r="BT58" i="6" l="1"/>
  <c r="BQ58" i="6"/>
  <c r="CE58" i="6"/>
  <c r="CK58" i="6"/>
  <c r="BD58" i="6"/>
  <c r="CF58" i="6"/>
  <c r="CD58" i="6"/>
  <c r="BW58" i="6"/>
  <c r="CJ58" i="6"/>
  <c r="BM58" i="6"/>
  <c r="BN58" i="6"/>
  <c r="BP58" i="6"/>
  <c r="BS58" i="6"/>
  <c r="BV58" i="6"/>
  <c r="CM58" i="6"/>
  <c r="BJ58" i="6"/>
  <c r="BC58" i="6"/>
  <c r="BR58" i="6"/>
  <c r="BX58" i="6"/>
  <c r="CL58" i="6"/>
  <c r="BK58" i="6"/>
  <c r="BY58" i="6"/>
  <c r="CH58" i="6"/>
  <c r="BE58" i="6"/>
  <c r="BI58" i="6"/>
  <c r="CB58" i="6"/>
  <c r="AW58" i="6"/>
  <c r="AO58" i="6"/>
  <c r="CA58" i="6"/>
  <c r="BO58" i="6"/>
  <c r="AV58" i="6"/>
  <c r="AR58" i="6"/>
  <c r="AU58" i="6"/>
  <c r="AT58" i="6"/>
  <c r="AY58" i="6"/>
  <c r="AS58" i="6"/>
  <c r="Y55" i="12"/>
  <c r="AE61" i="5"/>
  <c r="AD61" i="5"/>
  <c r="B61" i="6"/>
  <c r="J61" i="5"/>
  <c r="W61" i="5"/>
  <c r="H61" i="12" s="1"/>
  <c r="B61" i="5"/>
  <c r="K61" i="5"/>
  <c r="D61" i="5"/>
  <c r="B61" i="12" s="1"/>
  <c r="C62" i="5"/>
  <c r="E61" i="5"/>
  <c r="G61" i="5"/>
  <c r="R61" i="5"/>
  <c r="A61" i="12"/>
  <c r="N61" i="5"/>
  <c r="F61" i="5"/>
  <c r="H61" i="5"/>
  <c r="H59" i="6"/>
  <c r="T59" i="5" s="1"/>
  <c r="G59" i="6"/>
  <c r="M59" i="6"/>
  <c r="BZ59" i="6" s="1"/>
  <c r="N59" i="6"/>
  <c r="L60" i="12"/>
  <c r="K60" i="12" s="1"/>
  <c r="J60" i="12"/>
  <c r="D60" i="6"/>
  <c r="G58" i="12"/>
  <c r="X58" i="5"/>
  <c r="AJ58" i="6" s="1"/>
  <c r="AM58" i="6"/>
  <c r="AN58" i="6"/>
  <c r="AK58" i="6"/>
  <c r="AL58" i="6"/>
  <c r="AP58" i="6"/>
  <c r="AQ58" i="6"/>
  <c r="BZ58" i="6"/>
  <c r="W54" i="12"/>
  <c r="X54" i="12"/>
  <c r="F60" i="6"/>
  <c r="E60" i="12"/>
  <c r="N55" i="12"/>
  <c r="AZ58" i="6"/>
  <c r="AX58" i="6"/>
  <c r="BA58" i="6"/>
  <c r="E55" i="6"/>
  <c r="D55" i="12"/>
  <c r="L57" i="5"/>
  <c r="I57" i="12"/>
  <c r="AM57" i="5"/>
  <c r="Z57" i="5"/>
  <c r="I57" i="5"/>
  <c r="AC57" i="5"/>
  <c r="AJ57" i="6"/>
  <c r="K59" i="12"/>
  <c r="X55" i="12"/>
  <c r="W55" i="12"/>
  <c r="U53" i="12"/>
  <c r="V53" i="12"/>
  <c r="T53" i="12"/>
  <c r="CD59" i="6" l="1"/>
  <c r="BG59" i="6"/>
  <c r="BE59" i="6"/>
  <c r="BW59" i="6"/>
  <c r="BX59" i="6"/>
  <c r="CG59" i="6"/>
  <c r="BI59" i="6"/>
  <c r="CK59" i="6"/>
  <c r="BO59" i="6"/>
  <c r="BY59" i="6"/>
  <c r="BF59" i="6"/>
  <c r="BL59" i="6"/>
  <c r="CA59" i="6"/>
  <c r="BN59" i="6"/>
  <c r="AO59" i="6"/>
  <c r="AW59" i="6"/>
  <c r="BQ59" i="6"/>
  <c r="CE59" i="6"/>
  <c r="CJ59" i="6"/>
  <c r="BJ59" i="6"/>
  <c r="BP59" i="6"/>
  <c r="BR59" i="6"/>
  <c r="BS59" i="6"/>
  <c r="CI59" i="6"/>
  <c r="AV59" i="6"/>
  <c r="BD59" i="6"/>
  <c r="CH59" i="6"/>
  <c r="BV59" i="6"/>
  <c r="G59" i="12"/>
  <c r="X59" i="5"/>
  <c r="C57" i="12"/>
  <c r="AO57" i="12"/>
  <c r="O57" i="12"/>
  <c r="M57" i="12"/>
  <c r="L58" i="5"/>
  <c r="I58" i="12"/>
  <c r="AM58" i="5"/>
  <c r="Z58" i="5"/>
  <c r="I58" i="5"/>
  <c r="AC58" i="5"/>
  <c r="AR59" i="6"/>
  <c r="BC59" i="6"/>
  <c r="BA59" i="6"/>
  <c r="CL59" i="6"/>
  <c r="BM59" i="6"/>
  <c r="AY59" i="6"/>
  <c r="BH59" i="6"/>
  <c r="BT59" i="6"/>
  <c r="CC59" i="6"/>
  <c r="D61" i="6"/>
  <c r="T54" i="12"/>
  <c r="V54" i="12"/>
  <c r="U54" i="12"/>
  <c r="H60" i="6"/>
  <c r="T60" i="5" s="1"/>
  <c r="N60" i="6"/>
  <c r="M60" i="6"/>
  <c r="CK60" i="6" s="1"/>
  <c r="G60" i="6"/>
  <c r="V55" i="12"/>
  <c r="T55" i="12"/>
  <c r="U55" i="12"/>
  <c r="C57" i="6"/>
  <c r="O57" i="5"/>
  <c r="AZ59" i="6"/>
  <c r="AL59" i="6"/>
  <c r="AN59" i="6"/>
  <c r="AT59" i="6"/>
  <c r="AQ59" i="6"/>
  <c r="J61" i="12"/>
  <c r="L61" i="12"/>
  <c r="AB57" i="5"/>
  <c r="AA57" i="5"/>
  <c r="AX59" i="6"/>
  <c r="AM59" i="6"/>
  <c r="AU59" i="6"/>
  <c r="AS59" i="6"/>
  <c r="CB59" i="6"/>
  <c r="AP59" i="6"/>
  <c r="CF59" i="6"/>
  <c r="CM59" i="6"/>
  <c r="BK59" i="6"/>
  <c r="AK59" i="6"/>
  <c r="F61" i="6"/>
  <c r="E61" i="12"/>
  <c r="K62" i="5"/>
  <c r="F62" i="5"/>
  <c r="J62" i="5"/>
  <c r="D62" i="5"/>
  <c r="B62" i="12" s="1"/>
  <c r="AD62" i="5"/>
  <c r="H62" i="5"/>
  <c r="AE62" i="5"/>
  <c r="C63" i="5"/>
  <c r="B62" i="6"/>
  <c r="N62" i="5"/>
  <c r="R62" i="5"/>
  <c r="E62" i="5"/>
  <c r="B62" i="5"/>
  <c r="G62" i="5"/>
  <c r="W62" i="5"/>
  <c r="H62" i="12" s="1"/>
  <c r="A62" i="12"/>
  <c r="BR60" i="6" l="1"/>
  <c r="K61" i="12"/>
  <c r="BG60" i="6"/>
  <c r="BP60" i="6"/>
  <c r="BW60" i="6"/>
  <c r="BV60" i="6"/>
  <c r="CC60" i="6"/>
  <c r="AX60" i="6"/>
  <c r="BO60" i="6"/>
  <c r="BI60" i="6"/>
  <c r="BQ60" i="6"/>
  <c r="Y57" i="12"/>
  <c r="X57" i="12" s="1"/>
  <c r="CD60" i="6"/>
  <c r="BM60" i="6"/>
  <c r="CE60" i="6"/>
  <c r="BZ60" i="6"/>
  <c r="AU60" i="6"/>
  <c r="CH60" i="6"/>
  <c r="CM60" i="6"/>
  <c r="AV60" i="6"/>
  <c r="CI60" i="6"/>
  <c r="CL60" i="6"/>
  <c r="G60" i="12"/>
  <c r="X60" i="5"/>
  <c r="AJ60" i="6" s="1"/>
  <c r="D62" i="6"/>
  <c r="AP60" i="6"/>
  <c r="AT60" i="6"/>
  <c r="W57" i="12"/>
  <c r="AN60" i="6"/>
  <c r="BN60" i="6"/>
  <c r="AY60" i="6"/>
  <c r="BY60" i="6"/>
  <c r="CG60" i="6"/>
  <c r="BE60" i="6"/>
  <c r="AK60" i="6"/>
  <c r="BK60" i="6"/>
  <c r="BF60" i="6"/>
  <c r="CF60" i="6"/>
  <c r="BC60" i="6"/>
  <c r="CJ60" i="6"/>
  <c r="BD60" i="6"/>
  <c r="C58" i="6"/>
  <c r="O58" i="5"/>
  <c r="E62" i="12"/>
  <c r="F62" i="6"/>
  <c r="E57" i="6"/>
  <c r="D57" i="12"/>
  <c r="AS60" i="6"/>
  <c r="BA60" i="6"/>
  <c r="AQ60" i="6"/>
  <c r="AM60" i="6"/>
  <c r="AO60" i="6"/>
  <c r="C58" i="12"/>
  <c r="O58" i="12"/>
  <c r="M58" i="12"/>
  <c r="AO58" i="12"/>
  <c r="J62" i="12"/>
  <c r="L62" i="12"/>
  <c r="N63" i="5"/>
  <c r="D63" i="5"/>
  <c r="B63" i="12" s="1"/>
  <c r="B63" i="5"/>
  <c r="C64" i="5"/>
  <c r="G63" i="5"/>
  <c r="AE63" i="5"/>
  <c r="B63" i="6"/>
  <c r="E63" i="5"/>
  <c r="K63" i="5"/>
  <c r="H63" i="5"/>
  <c r="R63" i="5"/>
  <c r="AD63" i="5"/>
  <c r="A63" i="12"/>
  <c r="F63" i="5"/>
  <c r="J63" i="5"/>
  <c r="W63" i="5"/>
  <c r="H63" i="12" s="1"/>
  <c r="BX60" i="6"/>
  <c r="AR60" i="6"/>
  <c r="BL60" i="6"/>
  <c r="BJ60" i="6"/>
  <c r="BS60" i="6"/>
  <c r="BH60" i="6"/>
  <c r="BT60" i="6"/>
  <c r="CA60" i="6"/>
  <c r="AL60" i="6"/>
  <c r="CB60" i="6"/>
  <c r="AW60" i="6"/>
  <c r="AZ60" i="6"/>
  <c r="N61" i="6"/>
  <c r="G61" i="6"/>
  <c r="M61" i="6"/>
  <c r="BD61" i="6" s="1"/>
  <c r="BV61" i="6"/>
  <c r="H61" i="6"/>
  <c r="T61" i="5" s="1"/>
  <c r="AB58" i="5"/>
  <c r="AA58" i="5"/>
  <c r="L59" i="5"/>
  <c r="I59" i="12"/>
  <c r="AM59" i="5"/>
  <c r="I59" i="5"/>
  <c r="Z59" i="5"/>
  <c r="AC59" i="5"/>
  <c r="AJ59" i="6"/>
  <c r="N57" i="12"/>
  <c r="N58" i="12" l="1"/>
  <c r="BQ61" i="6"/>
  <c r="BK61" i="6"/>
  <c r="BX61" i="6"/>
  <c r="CG61" i="6"/>
  <c r="BE61" i="6"/>
  <c r="BO61" i="6"/>
  <c r="AO61" i="6"/>
  <c r="BT61" i="6"/>
  <c r="BP61" i="6"/>
  <c r="BY61" i="6"/>
  <c r="BC61" i="6"/>
  <c r="BZ61" i="6"/>
  <c r="BF61" i="6"/>
  <c r="CM61" i="6"/>
  <c r="CH61" i="6"/>
  <c r="BR61" i="6"/>
  <c r="BJ61" i="6"/>
  <c r="BS61" i="6"/>
  <c r="CJ61" i="6"/>
  <c r="BN61" i="6"/>
  <c r="BW61" i="6"/>
  <c r="BG61" i="6"/>
  <c r="CI61" i="6"/>
  <c r="BM61" i="6"/>
  <c r="CK61" i="6"/>
  <c r="BL61" i="6"/>
  <c r="CA61" i="6"/>
  <c r="BI61" i="6"/>
  <c r="AX61" i="6"/>
  <c r="AN61" i="6"/>
  <c r="CD61" i="6"/>
  <c r="CF61" i="6"/>
  <c r="AP61" i="6"/>
  <c r="AQ61" i="6"/>
  <c r="CE61" i="6"/>
  <c r="BH61" i="6"/>
  <c r="L63" i="12"/>
  <c r="J63" i="12"/>
  <c r="C59" i="12"/>
  <c r="O59" i="12"/>
  <c r="M59" i="12"/>
  <c r="AO59" i="12"/>
  <c r="AR61" i="6"/>
  <c r="G64" i="5"/>
  <c r="K64" i="5"/>
  <c r="C65" i="5"/>
  <c r="B64" i="6"/>
  <c r="N64" i="5"/>
  <c r="E64" i="5"/>
  <c r="R64" i="5"/>
  <c r="H64" i="5"/>
  <c r="F64" i="5"/>
  <c r="AD64" i="5"/>
  <c r="B64" i="5"/>
  <c r="W64" i="5"/>
  <c r="H64" i="12" s="1"/>
  <c r="J64" i="5"/>
  <c r="AE64" i="5"/>
  <c r="A64" i="12"/>
  <c r="D64" i="5"/>
  <c r="B64" i="12" s="1"/>
  <c r="T57" i="12"/>
  <c r="U57" i="12"/>
  <c r="V57" i="12"/>
  <c r="C59" i="6"/>
  <c r="O59" i="5"/>
  <c r="AK61" i="6"/>
  <c r="AU61" i="6"/>
  <c r="AW61" i="6"/>
  <c r="Y58" i="12"/>
  <c r="AM60" i="5"/>
  <c r="L60" i="5"/>
  <c r="I60" i="12"/>
  <c r="Z60" i="5"/>
  <c r="I60" i="5"/>
  <c r="AC60" i="5"/>
  <c r="D63" i="6"/>
  <c r="N62" i="6"/>
  <c r="G62" i="6"/>
  <c r="H62" i="6"/>
  <c r="T62" i="5" s="1"/>
  <c r="M62" i="6"/>
  <c r="BW62" i="6" s="1"/>
  <c r="G61" i="12"/>
  <c r="X61" i="5"/>
  <c r="BA61" i="6"/>
  <c r="E58" i="6"/>
  <c r="D58" i="12"/>
  <c r="AB59" i="5"/>
  <c r="AA59" i="5"/>
  <c r="AS61" i="6"/>
  <c r="AV61" i="6"/>
  <c r="CC61" i="6"/>
  <c r="AL61" i="6"/>
  <c r="CB61" i="6"/>
  <c r="AM61" i="6"/>
  <c r="CL61" i="6"/>
  <c r="AZ61" i="6"/>
  <c r="AT61" i="6"/>
  <c r="AY61" i="6"/>
  <c r="E63" i="12"/>
  <c r="F63" i="6"/>
  <c r="K62" i="12"/>
  <c r="BS62" i="6" l="1"/>
  <c r="CC62" i="6"/>
  <c r="AO62" i="6"/>
  <c r="BM62" i="6"/>
  <c r="AT62" i="6"/>
  <c r="AY62" i="6"/>
  <c r="CB62" i="6"/>
  <c r="AP62" i="6"/>
  <c r="BX62" i="6"/>
  <c r="CF62" i="6"/>
  <c r="AK62" i="6"/>
  <c r="C60" i="6"/>
  <c r="O60" i="5"/>
  <c r="N59" i="12"/>
  <c r="BA62" i="6"/>
  <c r="AL62" i="6"/>
  <c r="CJ62" i="6"/>
  <c r="H63" i="6"/>
  <c r="T63" i="5" s="1"/>
  <c r="CA63" i="6"/>
  <c r="N63" i="6"/>
  <c r="M63" i="6"/>
  <c r="AQ63" i="6" s="1"/>
  <c r="CJ63" i="6"/>
  <c r="AM63" i="6"/>
  <c r="BZ63" i="6"/>
  <c r="BM63" i="6"/>
  <c r="CL63" i="6"/>
  <c r="CB63" i="6"/>
  <c r="AN63" i="6"/>
  <c r="CG63" i="6"/>
  <c r="AZ63" i="6"/>
  <c r="BP63" i="6"/>
  <c r="BI63" i="6"/>
  <c r="G63" i="6"/>
  <c r="BH63" i="6"/>
  <c r="AX63" i="6"/>
  <c r="BV63" i="6"/>
  <c r="BJ63" i="6"/>
  <c r="BG63" i="6"/>
  <c r="CH63" i="6"/>
  <c r="BD63" i="6"/>
  <c r="AY63" i="6"/>
  <c r="BY63" i="6"/>
  <c r="BN63" i="6"/>
  <c r="CI63" i="6"/>
  <c r="AU63" i="6"/>
  <c r="BK63" i="6"/>
  <c r="AL63" i="6"/>
  <c r="BW63" i="6"/>
  <c r="C60" i="12"/>
  <c r="M60" i="12"/>
  <c r="O60" i="12"/>
  <c r="AO60" i="12"/>
  <c r="Y60" i="12" s="1"/>
  <c r="D64" i="6"/>
  <c r="G62" i="12"/>
  <c r="X62" i="5"/>
  <c r="AR62" i="6"/>
  <c r="CA62" i="6"/>
  <c r="BC62" i="6"/>
  <c r="AZ62" i="6"/>
  <c r="AN62" i="6"/>
  <c r="BY62" i="6"/>
  <c r="BD62" i="6"/>
  <c r="BH62" i="6"/>
  <c r="BP62" i="6"/>
  <c r="AV62" i="6"/>
  <c r="BG62" i="6"/>
  <c r="AQ62" i="6"/>
  <c r="CG62" i="6"/>
  <c r="BL62" i="6"/>
  <c r="J64" i="12"/>
  <c r="L64" i="12"/>
  <c r="K64" i="12" s="1"/>
  <c r="F64" i="6"/>
  <c r="E64" i="12"/>
  <c r="CL62" i="6"/>
  <c r="BE62" i="6"/>
  <c r="AJ62" i="6"/>
  <c r="CK62" i="6"/>
  <c r="BR62" i="6"/>
  <c r="BI62" i="6"/>
  <c r="AU62" i="6"/>
  <c r="CD62" i="6"/>
  <c r="CI62" i="6"/>
  <c r="BK62" i="6"/>
  <c r="BV62" i="6"/>
  <c r="CM62" i="6"/>
  <c r="AS62" i="6"/>
  <c r="AM61" i="5"/>
  <c r="L61" i="5"/>
  <c r="I61" i="12"/>
  <c r="I61" i="5"/>
  <c r="Z61" i="5"/>
  <c r="AC61" i="5"/>
  <c r="AJ61" i="6"/>
  <c r="CE62" i="6"/>
  <c r="CH62" i="6"/>
  <c r="BF62" i="6"/>
  <c r="BO62" i="6"/>
  <c r="BT62" i="6"/>
  <c r="AX62" i="6"/>
  <c r="BN62" i="6"/>
  <c r="AM62" i="6"/>
  <c r="BZ62" i="6"/>
  <c r="BQ62" i="6"/>
  <c r="BJ62" i="6"/>
  <c r="AW62" i="6"/>
  <c r="AA60" i="5"/>
  <c r="AB60" i="5"/>
  <c r="X58" i="12"/>
  <c r="W58" i="12"/>
  <c r="D59" i="12"/>
  <c r="E59" i="6"/>
  <c r="A65" i="12"/>
  <c r="B65" i="6"/>
  <c r="J65" i="5"/>
  <c r="N65" i="5"/>
  <c r="E65" i="5"/>
  <c r="D65" i="5"/>
  <c r="B65" i="12" s="1"/>
  <c r="AD65" i="5"/>
  <c r="H65" i="5"/>
  <c r="K65" i="5"/>
  <c r="B65" i="5"/>
  <c r="G65" i="5"/>
  <c r="R65" i="5"/>
  <c r="C66" i="5"/>
  <c r="W65" i="5"/>
  <c r="H65" i="12" s="1"/>
  <c r="AE65" i="5"/>
  <c r="F65" i="5"/>
  <c r="Y59" i="12"/>
  <c r="K63" i="12"/>
  <c r="N60" i="12" l="1"/>
  <c r="BO63" i="6"/>
  <c r="CM63" i="6"/>
  <c r="BA63" i="6"/>
  <c r="BT63" i="6"/>
  <c r="AO63" i="6"/>
  <c r="AR63" i="6"/>
  <c r="CC63" i="6"/>
  <c r="BF63" i="6"/>
  <c r="CE63" i="6"/>
  <c r="BS63" i="6"/>
  <c r="BC63" i="6"/>
  <c r="AK63" i="6"/>
  <c r="BL63" i="6"/>
  <c r="CD63" i="6"/>
  <c r="C61" i="12"/>
  <c r="O61" i="12"/>
  <c r="AO61" i="12"/>
  <c r="M61" i="12"/>
  <c r="L62" i="5"/>
  <c r="AM62" i="5"/>
  <c r="I62" i="12"/>
  <c r="Z62" i="5"/>
  <c r="I62" i="5"/>
  <c r="AC62" i="5"/>
  <c r="X60" i="12"/>
  <c r="W60" i="12"/>
  <c r="E65" i="12"/>
  <c r="F65" i="6"/>
  <c r="E66" i="5"/>
  <c r="N66" i="5"/>
  <c r="G66" i="5"/>
  <c r="A66" i="12"/>
  <c r="B66" i="5"/>
  <c r="C67" i="5"/>
  <c r="AE66" i="5"/>
  <c r="F66" i="5"/>
  <c r="I66" i="5"/>
  <c r="H66" i="5"/>
  <c r="B66" i="6"/>
  <c r="AD66" i="5"/>
  <c r="W66" i="5"/>
  <c r="H66" i="12" s="1"/>
  <c r="D65" i="6"/>
  <c r="AB61" i="5"/>
  <c r="AA61" i="5"/>
  <c r="AV63" i="6"/>
  <c r="BR63" i="6"/>
  <c r="CF63" i="6"/>
  <c r="AT63" i="6"/>
  <c r="AP63" i="6"/>
  <c r="BQ63" i="6"/>
  <c r="G63" i="12"/>
  <c r="X63" i="5"/>
  <c r="T58" i="12"/>
  <c r="U58" i="12"/>
  <c r="V58" i="12"/>
  <c r="L65" i="12"/>
  <c r="J65" i="12"/>
  <c r="C61" i="6"/>
  <c r="O61" i="5"/>
  <c r="X59" i="12"/>
  <c r="W59" i="12"/>
  <c r="N64" i="6"/>
  <c r="H64" i="6"/>
  <c r="T64" i="5" s="1"/>
  <c r="M64" i="6"/>
  <c r="BY64" i="6" s="1"/>
  <c r="G64" i="6"/>
  <c r="BE63" i="6"/>
  <c r="BX63" i="6"/>
  <c r="AW63" i="6"/>
  <c r="CK63" i="6"/>
  <c r="AS63" i="6"/>
  <c r="D60" i="12"/>
  <c r="E60" i="6"/>
  <c r="K65" i="12" l="1"/>
  <c r="AW64" i="6"/>
  <c r="CB64" i="6"/>
  <c r="BK64" i="6"/>
  <c r="BE64" i="6"/>
  <c r="CH64" i="6"/>
  <c r="Y61" i="12"/>
  <c r="AR64" i="6"/>
  <c r="AY64" i="6"/>
  <c r="BX64" i="6"/>
  <c r="AU64" i="6"/>
  <c r="BO64" i="6"/>
  <c r="BV64" i="6"/>
  <c r="AV64" i="6"/>
  <c r="CM64" i="6"/>
  <c r="CE64" i="6"/>
  <c r="BI64" i="6"/>
  <c r="BT64" i="6"/>
  <c r="AQ64" i="6"/>
  <c r="BC64" i="6"/>
  <c r="AT64" i="6"/>
  <c r="AX64" i="6"/>
  <c r="CC64" i="6"/>
  <c r="BF64" i="6"/>
  <c r="BN64" i="6"/>
  <c r="AO64" i="6"/>
  <c r="BP64" i="6"/>
  <c r="BD64" i="6"/>
  <c r="BL64" i="6"/>
  <c r="BA64" i="6"/>
  <c r="AE67" i="5"/>
  <c r="A67" i="12"/>
  <c r="R67" i="5"/>
  <c r="AD67" i="5"/>
  <c r="B67" i="5"/>
  <c r="N67" i="5"/>
  <c r="H67" i="5"/>
  <c r="G67" i="5"/>
  <c r="C68" i="5"/>
  <c r="F67" i="5"/>
  <c r="B67" i="6"/>
  <c r="J67" i="5"/>
  <c r="W67" i="5"/>
  <c r="H67" i="12" s="1"/>
  <c r="D67" i="5"/>
  <c r="B67" i="12" s="1"/>
  <c r="K67" i="5"/>
  <c r="E67" i="5"/>
  <c r="V60" i="12"/>
  <c r="T60" i="12"/>
  <c r="U60" i="12"/>
  <c r="CG64" i="6"/>
  <c r="V59" i="12"/>
  <c r="T59" i="12"/>
  <c r="U59" i="12"/>
  <c r="AM63" i="5"/>
  <c r="L63" i="5"/>
  <c r="I63" i="12"/>
  <c r="I63" i="5"/>
  <c r="Z63" i="5"/>
  <c r="AC63" i="5"/>
  <c r="AJ63" i="6"/>
  <c r="C62" i="12"/>
  <c r="M62" i="12"/>
  <c r="AO62" i="12"/>
  <c r="O62" i="12"/>
  <c r="N62" i="12" s="1"/>
  <c r="W61" i="12"/>
  <c r="X61" i="12"/>
  <c r="D66" i="6"/>
  <c r="AA62" i="5"/>
  <c r="AB62" i="5"/>
  <c r="CD64" i="6"/>
  <c r="BM64" i="6"/>
  <c r="BZ64" i="6"/>
  <c r="BQ64" i="6"/>
  <c r="CK64" i="6"/>
  <c r="AN64" i="6"/>
  <c r="BR64" i="6"/>
  <c r="AZ64" i="6"/>
  <c r="CL64" i="6"/>
  <c r="AK64" i="6"/>
  <c r="AM64" i="6"/>
  <c r="CI64" i="6"/>
  <c r="CJ64" i="6"/>
  <c r="AL64" i="6"/>
  <c r="CA64" i="6"/>
  <c r="BS64" i="6"/>
  <c r="N61" i="12"/>
  <c r="BJ64" i="6"/>
  <c r="CF64" i="6"/>
  <c r="BG64" i="6"/>
  <c r="BH64" i="6"/>
  <c r="BW64" i="6"/>
  <c r="AS64" i="6"/>
  <c r="AP64" i="6"/>
  <c r="G64" i="12"/>
  <c r="X64" i="5"/>
  <c r="E61" i="6"/>
  <c r="D61" i="12"/>
  <c r="G65" i="6"/>
  <c r="M65" i="6"/>
  <c r="CG65" i="6" s="1"/>
  <c r="N65" i="6"/>
  <c r="BR65" i="6"/>
  <c r="H65" i="6"/>
  <c r="T65" i="5" s="1"/>
  <c r="BI65" i="6"/>
  <c r="CK65" i="6"/>
  <c r="C62" i="6"/>
  <c r="O62" i="5"/>
  <c r="BY65" i="6" l="1"/>
  <c r="CH65" i="6"/>
  <c r="BX65" i="6"/>
  <c r="BS65" i="6"/>
  <c r="BW65" i="6"/>
  <c r="AY65" i="6"/>
  <c r="BQ65" i="6"/>
  <c r="BJ65" i="6"/>
  <c r="BC65" i="6"/>
  <c r="AL65" i="6"/>
  <c r="CA65" i="6"/>
  <c r="AN65" i="6"/>
  <c r="BD65" i="6"/>
  <c r="BV65" i="6"/>
  <c r="BZ65" i="6"/>
  <c r="BK65" i="6"/>
  <c r="CE65" i="6"/>
  <c r="BG65" i="6"/>
  <c r="CM65" i="6"/>
  <c r="BO65" i="6"/>
  <c r="AQ65" i="6"/>
  <c r="CD65" i="6"/>
  <c r="AP65" i="6"/>
  <c r="CF65" i="6"/>
  <c r="AX65" i="6"/>
  <c r="CJ65" i="6"/>
  <c r="BP65" i="6"/>
  <c r="CL65" i="6"/>
  <c r="AO65" i="6"/>
  <c r="CB65" i="6"/>
  <c r="BL65" i="6"/>
  <c r="AW65" i="6"/>
  <c r="CI65" i="6"/>
  <c r="BT65" i="6"/>
  <c r="BN65" i="6"/>
  <c r="AV65" i="6"/>
  <c r="AR65" i="6"/>
  <c r="BM65" i="6"/>
  <c r="AT65" i="6"/>
  <c r="BH65" i="6"/>
  <c r="BE65" i="6"/>
  <c r="C63" i="12"/>
  <c r="AO63" i="12"/>
  <c r="M63" i="12"/>
  <c r="O63" i="12"/>
  <c r="D62" i="12"/>
  <c r="E62" i="6"/>
  <c r="C63" i="6"/>
  <c r="O63" i="5"/>
  <c r="H68" i="5"/>
  <c r="D68" i="5"/>
  <c r="B68" i="12" s="1"/>
  <c r="E68" i="5"/>
  <c r="R68" i="5"/>
  <c r="G68" i="5"/>
  <c r="N68" i="5"/>
  <c r="K68" i="5"/>
  <c r="W68" i="5"/>
  <c r="H68" i="12" s="1"/>
  <c r="F68" i="5"/>
  <c r="A68" i="12"/>
  <c r="B68" i="6"/>
  <c r="C69" i="5"/>
  <c r="AE68" i="5"/>
  <c r="J68" i="5"/>
  <c r="AD68" i="5"/>
  <c r="B68" i="5"/>
  <c r="D67" i="6"/>
  <c r="E67" i="12"/>
  <c r="F67" i="6"/>
  <c r="AK65" i="6"/>
  <c r="BA65" i="6"/>
  <c r="AM65" i="6"/>
  <c r="AU65" i="6"/>
  <c r="BF65" i="6"/>
  <c r="CC65" i="6"/>
  <c r="AA63" i="5"/>
  <c r="AB63" i="5"/>
  <c r="J67" i="12"/>
  <c r="L67" i="12"/>
  <c r="K67" i="12" s="1"/>
  <c r="CH66" i="6"/>
  <c r="CG66" i="6"/>
  <c r="BF66" i="6"/>
  <c r="BW66" i="6"/>
  <c r="BY66" i="6"/>
  <c r="CB66" i="6"/>
  <c r="BE66" i="6"/>
  <c r="N66" i="6"/>
  <c r="BH66" i="6"/>
  <c r="BP66" i="6"/>
  <c r="BQ66" i="6"/>
  <c r="BL66" i="6"/>
  <c r="CC66" i="6"/>
  <c r="BM66" i="6"/>
  <c r="CD66" i="6"/>
  <c r="BT66" i="6"/>
  <c r="M66" i="6"/>
  <c r="BI66" i="6"/>
  <c r="CK66" i="6"/>
  <c r="CJ66" i="6"/>
  <c r="BX66" i="6"/>
  <c r="BJ66" i="6"/>
  <c r="BN66" i="6"/>
  <c r="BO66" i="6"/>
  <c r="CL66" i="6"/>
  <c r="BG66" i="6"/>
  <c r="BS66" i="6"/>
  <c r="CI66" i="6"/>
  <c r="BV66" i="6"/>
  <c r="CA66" i="6"/>
  <c r="CF66" i="6"/>
  <c r="CM66" i="6"/>
  <c r="BD66" i="6"/>
  <c r="BK66" i="6"/>
  <c r="CE66" i="6"/>
  <c r="G66" i="6"/>
  <c r="BZ66" i="6"/>
  <c r="BC66" i="6"/>
  <c r="BR66" i="6"/>
  <c r="H66" i="6"/>
  <c r="T66" i="5" s="1"/>
  <c r="G66" i="12" s="1"/>
  <c r="Y62" i="12"/>
  <c r="G65" i="12"/>
  <c r="X65" i="5"/>
  <c r="AS65" i="6"/>
  <c r="AZ65" i="6"/>
  <c r="AM64" i="5"/>
  <c r="L64" i="5"/>
  <c r="I64" i="12"/>
  <c r="I64" i="5"/>
  <c r="Z64" i="5"/>
  <c r="AC64" i="5"/>
  <c r="AJ64" i="6"/>
  <c r="U61" i="12"/>
  <c r="V61" i="12"/>
  <c r="T61" i="12"/>
  <c r="AN66" i="6" l="1"/>
  <c r="AP66" i="6"/>
  <c r="AV66" i="6"/>
  <c r="AT66" i="6"/>
  <c r="AZ66" i="6"/>
  <c r="N63" i="12"/>
  <c r="C64" i="12"/>
  <c r="O64" i="12"/>
  <c r="AO64" i="12"/>
  <c r="M64" i="12"/>
  <c r="AY66" i="6"/>
  <c r="AS66" i="6"/>
  <c r="AJ66" i="6"/>
  <c r="N69" i="5"/>
  <c r="AE69" i="5"/>
  <c r="A69" i="12"/>
  <c r="C70" i="5"/>
  <c r="R69" i="5"/>
  <c r="E69" i="5"/>
  <c r="D69" i="5"/>
  <c r="B69" i="12" s="1"/>
  <c r="H69" i="5"/>
  <c r="AD69" i="5"/>
  <c r="G69" i="5"/>
  <c r="B69" i="5"/>
  <c r="F69" i="5"/>
  <c r="K69" i="5"/>
  <c r="W69" i="5"/>
  <c r="H69" i="12" s="1"/>
  <c r="B69" i="6"/>
  <c r="J69" i="5"/>
  <c r="D68" i="6"/>
  <c r="BV67" i="6"/>
  <c r="N67" i="6"/>
  <c r="H67" i="6"/>
  <c r="T67" i="5" s="1"/>
  <c r="G67" i="6"/>
  <c r="M67" i="6"/>
  <c r="CH67" i="6" s="1"/>
  <c r="AN67" i="6"/>
  <c r="CJ67" i="6"/>
  <c r="AL67" i="6"/>
  <c r="CG67" i="6"/>
  <c r="C64" i="6"/>
  <c r="O64" i="5"/>
  <c r="AM65" i="5"/>
  <c r="I65" i="12"/>
  <c r="L65" i="5"/>
  <c r="I65" i="5"/>
  <c r="Z65" i="5"/>
  <c r="AC65" i="5"/>
  <c r="AJ65" i="6"/>
  <c r="AO66" i="6"/>
  <c r="AL66" i="6"/>
  <c r="AK66" i="6"/>
  <c r="BA66" i="6"/>
  <c r="AQ66" i="6"/>
  <c r="Y63" i="12"/>
  <c r="W62" i="12"/>
  <c r="X62" i="12"/>
  <c r="F68" i="6"/>
  <c r="E68" i="12"/>
  <c r="E63" i="6"/>
  <c r="D63" i="12"/>
  <c r="AB64" i="5"/>
  <c r="AA64" i="5"/>
  <c r="AR66" i="6"/>
  <c r="AM66" i="6"/>
  <c r="AW66" i="6"/>
  <c r="AX66" i="6"/>
  <c r="AU66" i="6"/>
  <c r="J68" i="12"/>
  <c r="L68" i="12"/>
  <c r="CA67" i="6" l="1"/>
  <c r="BI67" i="6"/>
  <c r="CD67" i="6"/>
  <c r="BP67" i="6"/>
  <c r="K68" i="12"/>
  <c r="CF67" i="6"/>
  <c r="BY67" i="6"/>
  <c r="CC67" i="6"/>
  <c r="BR67" i="6"/>
  <c r="BG67" i="6"/>
  <c r="BT67" i="6"/>
  <c r="AO67" i="6"/>
  <c r="CK67" i="6"/>
  <c r="AU67" i="6"/>
  <c r="Y64" i="12"/>
  <c r="F69" i="6"/>
  <c r="E69" i="12"/>
  <c r="D64" i="12"/>
  <c r="E64" i="6"/>
  <c r="BD67" i="6"/>
  <c r="BL67" i="6"/>
  <c r="BE67" i="6"/>
  <c r="BN67" i="6"/>
  <c r="BA67" i="6"/>
  <c r="BC67" i="6"/>
  <c r="G67" i="12"/>
  <c r="X67" i="5"/>
  <c r="BW67" i="6"/>
  <c r="CI67" i="6"/>
  <c r="AM67" i="6"/>
  <c r="H68" i="6"/>
  <c r="T68" i="5" s="1"/>
  <c r="M68" i="6"/>
  <c r="BV68" i="6" s="1"/>
  <c r="CJ68" i="6"/>
  <c r="BR68" i="6"/>
  <c r="BG68" i="6"/>
  <c r="CB68" i="6"/>
  <c r="BY68" i="6"/>
  <c r="N68" i="6"/>
  <c r="BW68" i="6"/>
  <c r="CD68" i="6"/>
  <c r="CI68" i="6"/>
  <c r="CG68" i="6"/>
  <c r="CE68" i="6"/>
  <c r="AP68" i="6"/>
  <c r="BO68" i="6"/>
  <c r="AY68" i="6"/>
  <c r="CA68" i="6"/>
  <c r="BD68" i="6"/>
  <c r="G68" i="6"/>
  <c r="AD70" i="5"/>
  <c r="K70" i="5"/>
  <c r="B70" i="6"/>
  <c r="N70" i="5"/>
  <c r="F70" i="5"/>
  <c r="G70" i="5"/>
  <c r="D70" i="5"/>
  <c r="B70" i="12" s="1"/>
  <c r="C71" i="5"/>
  <c r="E70" i="5"/>
  <c r="J70" i="5"/>
  <c r="B70" i="5"/>
  <c r="H70" i="5"/>
  <c r="W70" i="5"/>
  <c r="H70" i="12" s="1"/>
  <c r="AE70" i="5"/>
  <c r="R70" i="5"/>
  <c r="A70" i="12"/>
  <c r="X64" i="12"/>
  <c r="W64" i="12"/>
  <c r="W63" i="12"/>
  <c r="X63" i="12"/>
  <c r="D69" i="6"/>
  <c r="C65" i="6"/>
  <c r="O65" i="5"/>
  <c r="AZ67" i="6"/>
  <c r="AY67" i="6"/>
  <c r="BQ67" i="6"/>
  <c r="BM67" i="6"/>
  <c r="BK67" i="6"/>
  <c r="AW67" i="6"/>
  <c r="AT67" i="6"/>
  <c r="BZ67" i="6"/>
  <c r="CM67" i="6"/>
  <c r="BH67" i="6"/>
  <c r="BJ67" i="6"/>
  <c r="AP67" i="6"/>
  <c r="J69" i="12"/>
  <c r="L69" i="12"/>
  <c r="N64" i="12"/>
  <c r="AA65" i="5"/>
  <c r="AB65" i="5"/>
  <c r="T62" i="12"/>
  <c r="V62" i="12"/>
  <c r="U62" i="12"/>
  <c r="C65" i="12"/>
  <c r="M65" i="12"/>
  <c r="O65" i="12"/>
  <c r="AO65" i="12"/>
  <c r="BS67" i="6"/>
  <c r="AQ67" i="6"/>
  <c r="AS67" i="6"/>
  <c r="BX67" i="6"/>
  <c r="CE67" i="6"/>
  <c r="CL67" i="6"/>
  <c r="AK67" i="6"/>
  <c r="AX67" i="6"/>
  <c r="BO67" i="6"/>
  <c r="AV67" i="6"/>
  <c r="AR67" i="6"/>
  <c r="CB67" i="6"/>
  <c r="BF67" i="6"/>
  <c r="BI68" i="6" l="1"/>
  <c r="BP68" i="6"/>
  <c r="CK68" i="6"/>
  <c r="BN68" i="6"/>
  <c r="AZ68" i="6"/>
  <c r="BF68" i="6"/>
  <c r="BC68" i="6"/>
  <c r="BM68" i="6"/>
  <c r="BL68" i="6"/>
  <c r="BK68" i="6"/>
  <c r="BS68" i="6"/>
  <c r="CC68" i="6"/>
  <c r="CF68" i="6"/>
  <c r="BH68" i="6"/>
  <c r="BZ68" i="6"/>
  <c r="CL68" i="6"/>
  <c r="CH68" i="6"/>
  <c r="BJ68" i="6"/>
  <c r="N65" i="12"/>
  <c r="Y65" i="12"/>
  <c r="W65" i="12" s="1"/>
  <c r="B71" i="5"/>
  <c r="K71" i="5"/>
  <c r="A71" i="12"/>
  <c r="AE71" i="5"/>
  <c r="R71" i="5"/>
  <c r="G71" i="5"/>
  <c r="E71" i="5"/>
  <c r="F71" i="5"/>
  <c r="AD71" i="5"/>
  <c r="W71" i="5"/>
  <c r="H71" i="12" s="1"/>
  <c r="N71" i="5"/>
  <c r="H71" i="5"/>
  <c r="D71" i="5"/>
  <c r="B71" i="12" s="1"/>
  <c r="B71" i="6"/>
  <c r="J71" i="5"/>
  <c r="C72" i="5"/>
  <c r="AS68" i="6"/>
  <c r="AL68" i="6"/>
  <c r="T64" i="12"/>
  <c r="U64" i="12"/>
  <c r="V64" i="12"/>
  <c r="E70" i="12"/>
  <c r="F70" i="6"/>
  <c r="D70" i="6"/>
  <c r="AW68" i="6"/>
  <c r="BA68" i="6"/>
  <c r="BT68" i="6"/>
  <c r="CM68" i="6"/>
  <c r="BX68" i="6"/>
  <c r="BE68" i="6"/>
  <c r="X65" i="12"/>
  <c r="T63" i="12"/>
  <c r="V63" i="12"/>
  <c r="U63" i="12"/>
  <c r="G68" i="12"/>
  <c r="X68" i="5"/>
  <c r="AJ68" i="6" s="1"/>
  <c r="AM67" i="5"/>
  <c r="I67" i="12"/>
  <c r="L67" i="5"/>
  <c r="I67" i="5"/>
  <c r="Z67" i="5"/>
  <c r="AC67" i="5"/>
  <c r="AJ67" i="6"/>
  <c r="K69" i="12"/>
  <c r="N69" i="6"/>
  <c r="BT69" i="6"/>
  <c r="BJ69" i="6"/>
  <c r="CH69" i="6"/>
  <c r="M69" i="6"/>
  <c r="BP69" i="6" s="1"/>
  <c r="H69" i="6"/>
  <c r="T69" i="5" s="1"/>
  <c r="CE69" i="6"/>
  <c r="BF69" i="6"/>
  <c r="BE69" i="6"/>
  <c r="CA69" i="6"/>
  <c r="BR69" i="6"/>
  <c r="BS69" i="6"/>
  <c r="BH69" i="6"/>
  <c r="BC69" i="6"/>
  <c r="CI69" i="6"/>
  <c r="CC69" i="6"/>
  <c r="BV69" i="6"/>
  <c r="BL69" i="6"/>
  <c r="BG69" i="6"/>
  <c r="BY69" i="6"/>
  <c r="BD69" i="6"/>
  <c r="BW69" i="6"/>
  <c r="CM69" i="6"/>
  <c r="BX69" i="6"/>
  <c r="CJ69" i="6"/>
  <c r="G69" i="6"/>
  <c r="CL69" i="6"/>
  <c r="BN69" i="6"/>
  <c r="CK69" i="6"/>
  <c r="BI69" i="6"/>
  <c r="CB69" i="6"/>
  <c r="CG69" i="6"/>
  <c r="BO69" i="6"/>
  <c r="BZ69" i="6"/>
  <c r="BK69" i="6"/>
  <c r="AM68" i="6"/>
  <c r="AX68" i="6"/>
  <c r="AQ68" i="6"/>
  <c r="AK68" i="6"/>
  <c r="BQ68" i="6"/>
  <c r="AU68" i="6"/>
  <c r="L70" i="12"/>
  <c r="J70" i="12"/>
  <c r="D65" i="12"/>
  <c r="E65" i="6"/>
  <c r="AO68" i="6"/>
  <c r="AT68" i="6"/>
  <c r="AN68" i="6"/>
  <c r="AV68" i="6"/>
  <c r="AR68" i="6"/>
  <c r="AN69" i="6" l="1"/>
  <c r="K70" i="12"/>
  <c r="AS69" i="6"/>
  <c r="CF69" i="6"/>
  <c r="AO69" i="6"/>
  <c r="AR69" i="6"/>
  <c r="C67" i="12"/>
  <c r="AO67" i="12"/>
  <c r="Y67" i="12" s="1"/>
  <c r="M67" i="12"/>
  <c r="O67" i="12"/>
  <c r="V65" i="12"/>
  <c r="U65" i="12"/>
  <c r="T65" i="12"/>
  <c r="J71" i="12"/>
  <c r="L71" i="12"/>
  <c r="K71" i="12" s="1"/>
  <c r="AT69" i="6"/>
  <c r="AQ69" i="6"/>
  <c r="BA69" i="6"/>
  <c r="AU69" i="6"/>
  <c r="BM69" i="6"/>
  <c r="AB67" i="5"/>
  <c r="AA67" i="5"/>
  <c r="G70" i="6"/>
  <c r="M70" i="6"/>
  <c r="CG70" i="6" s="1"/>
  <c r="H70" i="6"/>
  <c r="T70" i="5" s="1"/>
  <c r="CM70" i="6"/>
  <c r="BT70" i="6"/>
  <c r="BR70" i="6"/>
  <c r="N70" i="6"/>
  <c r="AT70" i="6"/>
  <c r="G69" i="12"/>
  <c r="X69" i="5"/>
  <c r="AZ69" i="6"/>
  <c r="AL69" i="6"/>
  <c r="CD69" i="6"/>
  <c r="AV69" i="6"/>
  <c r="AK69" i="6"/>
  <c r="BQ69" i="6"/>
  <c r="I68" i="12"/>
  <c r="L68" i="5"/>
  <c r="AM68" i="5"/>
  <c r="Z68" i="5"/>
  <c r="I68" i="5"/>
  <c r="AC68" i="5"/>
  <c r="B72" i="6"/>
  <c r="A72" i="12"/>
  <c r="N72" i="5"/>
  <c r="F72" i="5"/>
  <c r="H72" i="5"/>
  <c r="AE72" i="5"/>
  <c r="E72" i="5"/>
  <c r="R72" i="5"/>
  <c r="W72" i="5"/>
  <c r="H72" i="12" s="1"/>
  <c r="J72" i="5"/>
  <c r="B72" i="5"/>
  <c r="AD72" i="5"/>
  <c r="C73" i="5"/>
  <c r="G72" i="5"/>
  <c r="K72" i="5"/>
  <c r="D72" i="5"/>
  <c r="B72" i="12" s="1"/>
  <c r="D71" i="6"/>
  <c r="F71" i="6"/>
  <c r="E71" i="12"/>
  <c r="AX69" i="6"/>
  <c r="AM69" i="6"/>
  <c r="AY69" i="6"/>
  <c r="AP69" i="6"/>
  <c r="AW69" i="6"/>
  <c r="C67" i="6"/>
  <c r="O67" i="5"/>
  <c r="BE70" i="6" l="1"/>
  <c r="BX70" i="6"/>
  <c r="BC70" i="6"/>
  <c r="BM70" i="6"/>
  <c r="CA70" i="6"/>
  <c r="CJ70" i="6"/>
  <c r="CK70" i="6"/>
  <c r="BF70" i="6"/>
  <c r="BG70" i="6"/>
  <c r="CD70" i="6"/>
  <c r="AR70" i="6"/>
  <c r="CI70" i="6"/>
  <c r="BN70" i="6"/>
  <c r="BL70" i="6"/>
  <c r="BY70" i="6"/>
  <c r="BA70" i="6"/>
  <c r="BP70" i="6"/>
  <c r="BQ70" i="6"/>
  <c r="CF70" i="6"/>
  <c r="BI70" i="6"/>
  <c r="CH70" i="6"/>
  <c r="CL70" i="6"/>
  <c r="BJ70" i="6"/>
  <c r="BK70" i="6"/>
  <c r="CE70" i="6"/>
  <c r="BD70" i="6"/>
  <c r="BV70" i="6"/>
  <c r="BH70" i="6"/>
  <c r="CB70" i="6"/>
  <c r="BZ70" i="6"/>
  <c r="BS70" i="6"/>
  <c r="BO70" i="6"/>
  <c r="BW70" i="6"/>
  <c r="CC70" i="6"/>
  <c r="AA68" i="5"/>
  <c r="AB68" i="5"/>
  <c r="W67" i="12"/>
  <c r="X67" i="12"/>
  <c r="E67" i="6"/>
  <c r="D67" i="12"/>
  <c r="AO70" i="6"/>
  <c r="AU70" i="6"/>
  <c r="AL70" i="6"/>
  <c r="AW70" i="6"/>
  <c r="AY70" i="6"/>
  <c r="AX70" i="6"/>
  <c r="AK70" i="6"/>
  <c r="AD73" i="5"/>
  <c r="A73" i="12"/>
  <c r="AE73" i="5"/>
  <c r="F73" i="5"/>
  <c r="N73" i="5"/>
  <c r="C74" i="5"/>
  <c r="H73" i="5"/>
  <c r="B73" i="6"/>
  <c r="G73" i="5"/>
  <c r="W73" i="5"/>
  <c r="H73" i="12" s="1"/>
  <c r="B73" i="5"/>
  <c r="I73" i="5"/>
  <c r="E73" i="5"/>
  <c r="G70" i="12"/>
  <c r="X70" i="5"/>
  <c r="AJ70" i="6" s="1"/>
  <c r="C68" i="6"/>
  <c r="O68" i="5"/>
  <c r="AM69" i="5"/>
  <c r="L69" i="5"/>
  <c r="I69" i="12"/>
  <c r="I69" i="5"/>
  <c r="Z69" i="5"/>
  <c r="AC69" i="5"/>
  <c r="AS70" i="6"/>
  <c r="AV70" i="6"/>
  <c r="AZ70" i="6"/>
  <c r="AP70" i="6"/>
  <c r="N67" i="12"/>
  <c r="F72" i="6"/>
  <c r="E72" i="12"/>
  <c r="L72" i="12"/>
  <c r="J72" i="12"/>
  <c r="N71" i="6"/>
  <c r="G71" i="6"/>
  <c r="H71" i="6"/>
  <c r="T71" i="5" s="1"/>
  <c r="M71" i="6"/>
  <c r="CE71" i="6" s="1"/>
  <c r="D72" i="6"/>
  <c r="C68" i="12"/>
  <c r="AO68" i="12"/>
  <c r="M68" i="12"/>
  <c r="O68" i="12"/>
  <c r="AQ70" i="6"/>
  <c r="AN70" i="6"/>
  <c r="AM70" i="6"/>
  <c r="AJ69" i="6"/>
  <c r="Y68" i="12" l="1"/>
  <c r="BC71" i="6"/>
  <c r="BH71" i="6"/>
  <c r="CL71" i="6"/>
  <c r="AV71" i="6"/>
  <c r="BX71" i="6"/>
  <c r="AB69" i="5"/>
  <c r="AA69" i="5"/>
  <c r="U67" i="12"/>
  <c r="V67" i="12"/>
  <c r="T67" i="12"/>
  <c r="BV71" i="6"/>
  <c r="BI71" i="6"/>
  <c r="BQ71" i="6"/>
  <c r="CM71" i="6"/>
  <c r="AU71" i="6"/>
  <c r="BL71" i="6"/>
  <c r="E68" i="6"/>
  <c r="D68" i="12"/>
  <c r="D73" i="6"/>
  <c r="W68" i="12"/>
  <c r="X68" i="12"/>
  <c r="CI71" i="6"/>
  <c r="CK71" i="6"/>
  <c r="CG71" i="6"/>
  <c r="CH71" i="6"/>
  <c r="C75" i="5"/>
  <c r="N74" i="5"/>
  <c r="F74" i="5"/>
  <c r="R74" i="5"/>
  <c r="W74" i="5"/>
  <c r="H74" i="12" s="1"/>
  <c r="K74" i="5"/>
  <c r="A74" i="12"/>
  <c r="AE74" i="5"/>
  <c r="AD74" i="5"/>
  <c r="E74" i="5"/>
  <c r="H74" i="5"/>
  <c r="B74" i="6"/>
  <c r="G74" i="5"/>
  <c r="B74" i="5"/>
  <c r="J74" i="5"/>
  <c r="D74" i="5"/>
  <c r="B74" i="12" s="1"/>
  <c r="BD71" i="6"/>
  <c r="CB71" i="6"/>
  <c r="AN71" i="6"/>
  <c r="BM71" i="6"/>
  <c r="AK71" i="6"/>
  <c r="BF71" i="6"/>
  <c r="BK71" i="6"/>
  <c r="BN71" i="6"/>
  <c r="N68" i="12"/>
  <c r="AT71" i="6"/>
  <c r="BW71" i="6"/>
  <c r="BZ71" i="6"/>
  <c r="G71" i="12"/>
  <c r="X71" i="5"/>
  <c r="AJ71" i="6" s="1"/>
  <c r="BP71" i="6"/>
  <c r="BY71" i="6"/>
  <c r="CA71" i="6"/>
  <c r="AX71" i="6"/>
  <c r="CJ71" i="6"/>
  <c r="AS71" i="6"/>
  <c r="BA71" i="6"/>
  <c r="BE71" i="6"/>
  <c r="AL71" i="6"/>
  <c r="CF71" i="6"/>
  <c r="C69" i="12"/>
  <c r="AO69" i="12"/>
  <c r="M69" i="12"/>
  <c r="O69" i="12"/>
  <c r="AY71" i="6"/>
  <c r="AZ71" i="6"/>
  <c r="CC71" i="6"/>
  <c r="AO71" i="6"/>
  <c r="G72" i="6"/>
  <c r="N72" i="6"/>
  <c r="M72" i="6"/>
  <c r="BR72" i="6" s="1"/>
  <c r="BO72" i="6"/>
  <c r="H72" i="6"/>
  <c r="T72" i="5" s="1"/>
  <c r="AL72" i="6"/>
  <c r="BF72" i="6"/>
  <c r="CD71" i="6"/>
  <c r="BT71" i="6"/>
  <c r="AW71" i="6"/>
  <c r="BO71" i="6"/>
  <c r="AR71" i="6"/>
  <c r="AP71" i="6"/>
  <c r="BR71" i="6"/>
  <c r="BJ71" i="6"/>
  <c r="AM71" i="6"/>
  <c r="AQ71" i="6"/>
  <c r="BG71" i="6"/>
  <c r="BS71" i="6"/>
  <c r="K72" i="12"/>
  <c r="C69" i="6"/>
  <c r="O69" i="5"/>
  <c r="L70" i="5"/>
  <c r="AM70" i="5"/>
  <c r="I70" i="12"/>
  <c r="I70" i="5"/>
  <c r="Z70" i="5"/>
  <c r="AC70" i="5"/>
  <c r="BM72" i="6" l="1"/>
  <c r="BQ72" i="6"/>
  <c r="AP72" i="6"/>
  <c r="CA72" i="6"/>
  <c r="BX72" i="6"/>
  <c r="Y69" i="12"/>
  <c r="AM72" i="6"/>
  <c r="CG72" i="6"/>
  <c r="CB72" i="6"/>
  <c r="AX72" i="6"/>
  <c r="AR72" i="6"/>
  <c r="AY72" i="6"/>
  <c r="BT72" i="6"/>
  <c r="BN72" i="6"/>
  <c r="BW72" i="6"/>
  <c r="AB70" i="5"/>
  <c r="AA70" i="5"/>
  <c r="D74" i="6"/>
  <c r="AS72" i="6"/>
  <c r="CM72" i="6"/>
  <c r="BS72" i="6"/>
  <c r="BL72" i="6"/>
  <c r="BK72" i="6"/>
  <c r="AW72" i="6"/>
  <c r="AU72" i="6"/>
  <c r="BD72" i="6"/>
  <c r="X69" i="12"/>
  <c r="W69" i="12"/>
  <c r="L74" i="12"/>
  <c r="K74" i="12" s="1"/>
  <c r="J74" i="12"/>
  <c r="AE75" i="5"/>
  <c r="K75" i="5"/>
  <c r="H75" i="5"/>
  <c r="D75" i="5"/>
  <c r="B75" i="12" s="1"/>
  <c r="N75" i="5"/>
  <c r="B75" i="5"/>
  <c r="G75" i="5"/>
  <c r="E75" i="5"/>
  <c r="R75" i="5"/>
  <c r="AD75" i="5"/>
  <c r="A75" i="12"/>
  <c r="C76" i="5"/>
  <c r="B75" i="6"/>
  <c r="W75" i="5"/>
  <c r="H75" i="12" s="1"/>
  <c r="F75" i="5"/>
  <c r="J75" i="5"/>
  <c r="BX73" i="6"/>
  <c r="CG73" i="6"/>
  <c r="BV73" i="6"/>
  <c r="CH73" i="6"/>
  <c r="BF73" i="6"/>
  <c r="BY73" i="6"/>
  <c r="CF73" i="6"/>
  <c r="CD73" i="6"/>
  <c r="BH73" i="6"/>
  <c r="BD73" i="6"/>
  <c r="BS73" i="6"/>
  <c r="H73" i="6"/>
  <c r="T73" i="5" s="1"/>
  <c r="G73" i="12" s="1"/>
  <c r="BN73" i="6"/>
  <c r="CL73" i="6"/>
  <c r="M73" i="6"/>
  <c r="BT73" i="6"/>
  <c r="BJ73" i="6"/>
  <c r="BR73" i="6"/>
  <c r="BW73" i="6"/>
  <c r="CK73" i="6"/>
  <c r="BI73" i="6"/>
  <c r="CJ73" i="6"/>
  <c r="BL73" i="6"/>
  <c r="N73" i="6"/>
  <c r="BQ73" i="6"/>
  <c r="BM73" i="6"/>
  <c r="BZ73" i="6"/>
  <c r="BE73" i="6"/>
  <c r="BC73" i="6"/>
  <c r="CM73" i="6"/>
  <c r="G73" i="6"/>
  <c r="AL73" i="6"/>
  <c r="BP73" i="6"/>
  <c r="CE73" i="6"/>
  <c r="CA73" i="6"/>
  <c r="BO73" i="6"/>
  <c r="CI73" i="6"/>
  <c r="BG73" i="6"/>
  <c r="BK73" i="6"/>
  <c r="CB73" i="6"/>
  <c r="CC73" i="6"/>
  <c r="C70" i="6"/>
  <c r="O70" i="5"/>
  <c r="D69" i="12"/>
  <c r="E69" i="6"/>
  <c r="G72" i="12"/>
  <c r="X72" i="5"/>
  <c r="AZ72" i="6"/>
  <c r="C70" i="12"/>
  <c r="AO70" i="12"/>
  <c r="M70" i="12"/>
  <c r="O70" i="12"/>
  <c r="CC72" i="6"/>
  <c r="BE72" i="6"/>
  <c r="AV72" i="6"/>
  <c r="CF72" i="6"/>
  <c r="BI72" i="6"/>
  <c r="CI72" i="6"/>
  <c r="BC72" i="6"/>
  <c r="AQ72" i="6"/>
  <c r="AT72" i="6"/>
  <c r="CH72" i="6"/>
  <c r="BA72" i="6"/>
  <c r="AO72" i="6"/>
  <c r="BG72" i="6"/>
  <c r="L71" i="5"/>
  <c r="I71" i="12"/>
  <c r="AM71" i="5"/>
  <c r="Z71" i="5"/>
  <c r="I71" i="5"/>
  <c r="AC71" i="5"/>
  <c r="F74" i="6"/>
  <c r="E74" i="12"/>
  <c r="CD72" i="6"/>
  <c r="CK72" i="6"/>
  <c r="BJ72" i="6"/>
  <c r="CE72" i="6"/>
  <c r="BY72" i="6"/>
  <c r="CL72" i="6"/>
  <c r="BZ72" i="6"/>
  <c r="BV72" i="6"/>
  <c r="AK72" i="6"/>
  <c r="BP72" i="6"/>
  <c r="CJ72" i="6"/>
  <c r="BH72" i="6"/>
  <c r="AN72" i="6"/>
  <c r="N69" i="12"/>
  <c r="T68" i="12"/>
  <c r="V68" i="12"/>
  <c r="U68" i="12"/>
  <c r="AV73" i="6" l="1"/>
  <c r="AJ73" i="6"/>
  <c r="AK73" i="6"/>
  <c r="AW73" i="6"/>
  <c r="AZ73" i="6"/>
  <c r="I72" i="12"/>
  <c r="AM72" i="5"/>
  <c r="L72" i="5"/>
  <c r="I72" i="5"/>
  <c r="Z72" i="5"/>
  <c r="AC72" i="5"/>
  <c r="Y70" i="12"/>
  <c r="AS73" i="6"/>
  <c r="AR73" i="6"/>
  <c r="AM73" i="6"/>
  <c r="AU73" i="6"/>
  <c r="AO73" i="6"/>
  <c r="AX73" i="6"/>
  <c r="D75" i="6"/>
  <c r="V69" i="12"/>
  <c r="U69" i="12"/>
  <c r="T69" i="12"/>
  <c r="AJ72" i="6"/>
  <c r="BC74" i="6"/>
  <c r="G74" i="6"/>
  <c r="M74" i="6"/>
  <c r="CJ74" i="6" s="1"/>
  <c r="CM74" i="6"/>
  <c r="CG74" i="6"/>
  <c r="CE74" i="6"/>
  <c r="CK74" i="6"/>
  <c r="CI74" i="6"/>
  <c r="BG74" i="6"/>
  <c r="BM74" i="6"/>
  <c r="BQ74" i="6"/>
  <c r="H74" i="6"/>
  <c r="T74" i="5" s="1"/>
  <c r="BN74" i="6"/>
  <c r="BL74" i="6"/>
  <c r="BV74" i="6"/>
  <c r="BT74" i="6"/>
  <c r="BJ74" i="6"/>
  <c r="CA74" i="6"/>
  <c r="BE74" i="6"/>
  <c r="BS74" i="6"/>
  <c r="BY74" i="6"/>
  <c r="CC74" i="6"/>
  <c r="BD74" i="6"/>
  <c r="BH74" i="6"/>
  <c r="BK74" i="6"/>
  <c r="CD74" i="6"/>
  <c r="BR74" i="6"/>
  <c r="N74" i="6"/>
  <c r="BX74" i="6"/>
  <c r="CB74" i="6"/>
  <c r="BW74" i="6"/>
  <c r="BF74" i="6"/>
  <c r="CF74" i="6"/>
  <c r="F75" i="6"/>
  <c r="E75" i="12"/>
  <c r="C71" i="6"/>
  <c r="O71" i="5"/>
  <c r="AP73" i="6"/>
  <c r="AB71" i="5"/>
  <c r="AA71" i="5"/>
  <c r="AN73" i="6"/>
  <c r="AT73" i="6"/>
  <c r="AY73" i="6"/>
  <c r="J75" i="12"/>
  <c r="L75" i="12"/>
  <c r="C71" i="12"/>
  <c r="O71" i="12"/>
  <c r="M71" i="12"/>
  <c r="AO71" i="12"/>
  <c r="D70" i="12"/>
  <c r="E70" i="6"/>
  <c r="N70" i="12"/>
  <c r="BA73" i="6"/>
  <c r="AQ73" i="6"/>
  <c r="N76" i="5"/>
  <c r="J76" i="5"/>
  <c r="E76" i="5"/>
  <c r="A76" i="12"/>
  <c r="B76" i="6"/>
  <c r="K76" i="5"/>
  <c r="B76" i="5"/>
  <c r="R76" i="5"/>
  <c r="D76" i="5"/>
  <c r="B76" i="12" s="1"/>
  <c r="AE76" i="5"/>
  <c r="C77" i="5"/>
  <c r="G76" i="5"/>
  <c r="AD76" i="5"/>
  <c r="F76" i="5"/>
  <c r="W76" i="5"/>
  <c r="H76" i="12" s="1"/>
  <c r="H76" i="5"/>
  <c r="AZ74" i="6" l="1"/>
  <c r="Y71" i="12"/>
  <c r="AN74" i="6"/>
  <c r="AM74" i="6"/>
  <c r="AO74" i="6"/>
  <c r="AQ74" i="6"/>
  <c r="AV74" i="6"/>
  <c r="AS74" i="6"/>
  <c r="BA74" i="6"/>
  <c r="AK74" i="6"/>
  <c r="AY74" i="6"/>
  <c r="AX74" i="6"/>
  <c r="BO74" i="6"/>
  <c r="AR74" i="6"/>
  <c r="AL74" i="6"/>
  <c r="D76" i="6"/>
  <c r="N71" i="12"/>
  <c r="BP74" i="6"/>
  <c r="CL74" i="6"/>
  <c r="AW74" i="6"/>
  <c r="G75" i="6"/>
  <c r="N75" i="6"/>
  <c r="M75" i="6"/>
  <c r="BQ75" i="6" s="1"/>
  <c r="CD75" i="6"/>
  <c r="H75" i="6"/>
  <c r="T75" i="5" s="1"/>
  <c r="BN75" i="6"/>
  <c r="W70" i="12"/>
  <c r="X70" i="12"/>
  <c r="C72" i="6"/>
  <c r="O72" i="5"/>
  <c r="F77" i="5"/>
  <c r="H77" i="5"/>
  <c r="E77" i="5"/>
  <c r="A77" i="12"/>
  <c r="AE77" i="5"/>
  <c r="C78" i="5"/>
  <c r="N77" i="5"/>
  <c r="J77" i="5"/>
  <c r="W77" i="5"/>
  <c r="H77" i="12" s="1"/>
  <c r="AD77" i="5"/>
  <c r="B77" i="6"/>
  <c r="R77" i="5"/>
  <c r="D77" i="5"/>
  <c r="B77" i="12" s="1"/>
  <c r="B77" i="5"/>
  <c r="G77" i="5"/>
  <c r="K77" i="5"/>
  <c r="F76" i="6"/>
  <c r="E76" i="12"/>
  <c r="J76" i="12"/>
  <c r="L76" i="12"/>
  <c r="K75" i="12"/>
  <c r="E71" i="6"/>
  <c r="D71" i="12"/>
  <c r="G74" i="12"/>
  <c r="X74" i="5"/>
  <c r="AU74" i="6"/>
  <c r="BI74" i="6"/>
  <c r="AT74" i="6"/>
  <c r="BZ74" i="6"/>
  <c r="CH74" i="6"/>
  <c r="AP74" i="6"/>
  <c r="AA72" i="5"/>
  <c r="AB72" i="5"/>
  <c r="C72" i="12"/>
  <c r="O72" i="12"/>
  <c r="M72" i="12"/>
  <c r="AO72" i="12"/>
  <c r="X71" i="12"/>
  <c r="W71" i="12"/>
  <c r="CG75" i="6" l="1"/>
  <c r="BE75" i="6"/>
  <c r="N72" i="12"/>
  <c r="BZ75" i="6"/>
  <c r="BV75" i="6"/>
  <c r="K76" i="12"/>
  <c r="CI75" i="6"/>
  <c r="AQ75" i="6"/>
  <c r="AV75" i="6"/>
  <c r="BA75" i="6"/>
  <c r="BO75" i="6"/>
  <c r="AS75" i="6"/>
  <c r="BX75" i="6"/>
  <c r="BS75" i="6"/>
  <c r="CM75" i="6"/>
  <c r="BH75" i="6"/>
  <c r="BG75" i="6"/>
  <c r="AY75" i="6"/>
  <c r="BT75" i="6"/>
  <c r="AK75" i="6"/>
  <c r="BL75" i="6"/>
  <c r="BI75" i="6"/>
  <c r="BM75" i="6"/>
  <c r="AN75" i="6"/>
  <c r="CK75" i="6"/>
  <c r="AO75" i="6"/>
  <c r="BJ75" i="6"/>
  <c r="CJ75" i="6"/>
  <c r="Y72" i="12"/>
  <c r="AM74" i="5"/>
  <c r="I74" i="12"/>
  <c r="L74" i="5"/>
  <c r="Z74" i="5"/>
  <c r="I74" i="5"/>
  <c r="AC74" i="5"/>
  <c r="AJ74" i="6"/>
  <c r="J78" i="5"/>
  <c r="A78" i="12"/>
  <c r="G78" i="5"/>
  <c r="AE78" i="5"/>
  <c r="D78" i="5"/>
  <c r="B78" i="12" s="1"/>
  <c r="C79" i="5"/>
  <c r="E78" i="5"/>
  <c r="R78" i="5"/>
  <c r="H78" i="5"/>
  <c r="N78" i="5"/>
  <c r="B78" i="6"/>
  <c r="F78" i="5"/>
  <c r="W78" i="5"/>
  <c r="H78" i="12" s="1"/>
  <c r="B78" i="5"/>
  <c r="AD78" i="5"/>
  <c r="K78" i="5"/>
  <c r="G75" i="12"/>
  <c r="X75" i="5"/>
  <c r="AZ75" i="6"/>
  <c r="CE75" i="6"/>
  <c r="AR75" i="6"/>
  <c r="BW75" i="6"/>
  <c r="AT75" i="6"/>
  <c r="CB75" i="6"/>
  <c r="BF75" i="6"/>
  <c r="CA75" i="6"/>
  <c r="AW75" i="6"/>
  <c r="AX75" i="6"/>
  <c r="BY75" i="6"/>
  <c r="BP75" i="6"/>
  <c r="D77" i="6"/>
  <c r="V70" i="12"/>
  <c r="T70" i="12"/>
  <c r="U70" i="12"/>
  <c r="CL75" i="6"/>
  <c r="AL75" i="6"/>
  <c r="BC75" i="6"/>
  <c r="AU75" i="6"/>
  <c r="BR75" i="6"/>
  <c r="AP75" i="6"/>
  <c r="CH75" i="6"/>
  <c r="CF75" i="6"/>
  <c r="BK75" i="6"/>
  <c r="AM75" i="6"/>
  <c r="CC75" i="6"/>
  <c r="BD75" i="6"/>
  <c r="H76" i="6"/>
  <c r="T76" i="5" s="1"/>
  <c r="M76" i="6"/>
  <c r="BP76" i="6" s="1"/>
  <c r="N76" i="6"/>
  <c r="G76" i="6"/>
  <c r="CB76" i="6"/>
  <c r="T71" i="12"/>
  <c r="V71" i="12"/>
  <c r="U71" i="12"/>
  <c r="E77" i="12"/>
  <c r="F77" i="6"/>
  <c r="J77" i="12"/>
  <c r="L77" i="12"/>
  <c r="K77" i="12" s="1"/>
  <c r="E72" i="6"/>
  <c r="D72" i="12"/>
  <c r="AL76" i="6" l="1"/>
  <c r="CK76" i="6"/>
  <c r="AY76" i="6"/>
  <c r="AN76" i="6"/>
  <c r="AT76" i="6"/>
  <c r="AX76" i="6"/>
  <c r="BA76" i="6"/>
  <c r="C74" i="12"/>
  <c r="O74" i="12"/>
  <c r="AO74" i="12"/>
  <c r="M74" i="12"/>
  <c r="CG76" i="6"/>
  <c r="AZ76" i="6"/>
  <c r="CI76" i="6"/>
  <c r="CE76" i="6"/>
  <c r="BQ76" i="6"/>
  <c r="AM76" i="6"/>
  <c r="BT76" i="6"/>
  <c r="AP76" i="6"/>
  <c r="AW76" i="6"/>
  <c r="BK76" i="6"/>
  <c r="AR76" i="6"/>
  <c r="CC76" i="6"/>
  <c r="BD76" i="6"/>
  <c r="G76" i="12"/>
  <c r="X76" i="5"/>
  <c r="D78" i="6"/>
  <c r="N79" i="5"/>
  <c r="B79" i="6"/>
  <c r="AD79" i="5"/>
  <c r="D79" i="5"/>
  <c r="B79" i="12" s="1"/>
  <c r="G79" i="5"/>
  <c r="F79" i="5"/>
  <c r="E79" i="5"/>
  <c r="C80" i="5"/>
  <c r="AE79" i="5"/>
  <c r="J79" i="5"/>
  <c r="B79" i="5"/>
  <c r="H79" i="5"/>
  <c r="K79" i="5"/>
  <c r="W79" i="5"/>
  <c r="H79" i="12" s="1"/>
  <c r="R79" i="5"/>
  <c r="A79" i="12"/>
  <c r="L78" i="12"/>
  <c r="J78" i="12"/>
  <c r="BO76" i="6"/>
  <c r="BS76" i="6"/>
  <c r="CH76" i="6"/>
  <c r="BG76" i="6"/>
  <c r="BM76" i="6"/>
  <c r="BI76" i="6"/>
  <c r="BH76" i="6"/>
  <c r="BR76" i="6"/>
  <c r="BY76" i="6"/>
  <c r="BX76" i="6"/>
  <c r="AO76" i="6"/>
  <c r="BC76" i="6"/>
  <c r="BE76" i="6"/>
  <c r="CJ76" i="6"/>
  <c r="AQ76" i="6"/>
  <c r="BN76" i="6"/>
  <c r="H77" i="6"/>
  <c r="T77" i="5" s="1"/>
  <c r="M77" i="6"/>
  <c r="CD77" i="6" s="1"/>
  <c r="CA77" i="6"/>
  <c r="G77" i="6"/>
  <c r="N77" i="6"/>
  <c r="CM77" i="6"/>
  <c r="AA74" i="5"/>
  <c r="AB74" i="5"/>
  <c r="X72" i="12"/>
  <c r="W72" i="12"/>
  <c r="BL76" i="6"/>
  <c r="BJ76" i="6"/>
  <c r="CA76" i="6"/>
  <c r="CD76" i="6"/>
  <c r="AU76" i="6"/>
  <c r="AS76" i="6"/>
  <c r="CL76" i="6"/>
  <c r="CM76" i="6"/>
  <c r="CF76" i="6"/>
  <c r="BZ76" i="6"/>
  <c r="AV76" i="6"/>
  <c r="BW76" i="6"/>
  <c r="BV76" i="6"/>
  <c r="BF76" i="6"/>
  <c r="AK76" i="6"/>
  <c r="AM75" i="5"/>
  <c r="L75" i="5"/>
  <c r="I75" i="12"/>
  <c r="Z75" i="5"/>
  <c r="I75" i="5"/>
  <c r="AC75" i="5"/>
  <c r="AJ75" i="6"/>
  <c r="F78" i="6"/>
  <c r="E78" i="12"/>
  <c r="C74" i="6"/>
  <c r="O74" i="5"/>
  <c r="AS77" i="6" l="1"/>
  <c r="AL77" i="6"/>
  <c r="Y74" i="12"/>
  <c r="BX77" i="6"/>
  <c r="BD77" i="6"/>
  <c r="BW77" i="6"/>
  <c r="BF77" i="6"/>
  <c r="AV77" i="6"/>
  <c r="BG77" i="6"/>
  <c r="CK77" i="6"/>
  <c r="BM77" i="6"/>
  <c r="F79" i="6"/>
  <c r="E79" i="12"/>
  <c r="I76" i="12"/>
  <c r="L76" i="5"/>
  <c r="AM76" i="5"/>
  <c r="I76" i="5"/>
  <c r="Z76" i="5"/>
  <c r="AC76" i="5"/>
  <c r="BH77" i="6"/>
  <c r="BV77" i="6"/>
  <c r="AQ77" i="6"/>
  <c r="AN77" i="6"/>
  <c r="AY77" i="6"/>
  <c r="BN77" i="6"/>
  <c r="BZ77" i="6"/>
  <c r="CL77" i="6"/>
  <c r="AM77" i="6"/>
  <c r="BR77" i="6"/>
  <c r="G77" i="12"/>
  <c r="X77" i="5"/>
  <c r="W74" i="12"/>
  <c r="X74" i="12"/>
  <c r="V72" i="12"/>
  <c r="U72" i="12"/>
  <c r="T72" i="12"/>
  <c r="BA77" i="6"/>
  <c r="AT77" i="6"/>
  <c r="BI77" i="6"/>
  <c r="AP77" i="6"/>
  <c r="D79" i="6"/>
  <c r="AB75" i="5"/>
  <c r="AA75" i="5"/>
  <c r="AK77" i="6"/>
  <c r="AR77" i="6"/>
  <c r="CE77" i="6"/>
  <c r="AU77" i="6"/>
  <c r="BJ77" i="6"/>
  <c r="BS77" i="6"/>
  <c r="BK77" i="6"/>
  <c r="CG77" i="6"/>
  <c r="CH77" i="6"/>
  <c r="CB77" i="6"/>
  <c r="BT77" i="6"/>
  <c r="AZ77" i="6"/>
  <c r="BP77" i="6"/>
  <c r="CF77" i="6"/>
  <c r="J79" i="12"/>
  <c r="L79" i="12"/>
  <c r="E80" i="5"/>
  <c r="A80" i="12"/>
  <c r="H80" i="5"/>
  <c r="K80" i="5"/>
  <c r="J80" i="5"/>
  <c r="B80" i="5"/>
  <c r="B80" i="6"/>
  <c r="D80" i="5"/>
  <c r="B80" i="12" s="1"/>
  <c r="G80" i="5"/>
  <c r="F80" i="5"/>
  <c r="W80" i="5"/>
  <c r="H80" i="12" s="1"/>
  <c r="AE80" i="5"/>
  <c r="R80" i="5"/>
  <c r="C81" i="5"/>
  <c r="N80" i="5"/>
  <c r="AD80" i="5"/>
  <c r="AJ76" i="6"/>
  <c r="N74" i="12"/>
  <c r="C75" i="6"/>
  <c r="O75" i="5"/>
  <c r="D74" i="12"/>
  <c r="E74" i="6"/>
  <c r="C75" i="12"/>
  <c r="O75" i="12"/>
  <c r="AO75" i="12"/>
  <c r="M75" i="12"/>
  <c r="AW77" i="6"/>
  <c r="AO77" i="6"/>
  <c r="BL77" i="6"/>
  <c r="CJ77" i="6"/>
  <c r="AX77" i="6"/>
  <c r="BQ77" i="6"/>
  <c r="CI77" i="6"/>
  <c r="CC77" i="6"/>
  <c r="BY77" i="6"/>
  <c r="BO77" i="6"/>
  <c r="BE77" i="6"/>
  <c r="BC77" i="6"/>
  <c r="K78" i="12"/>
  <c r="H78" i="6"/>
  <c r="T78" i="5" s="1"/>
  <c r="AQ78" i="6"/>
  <c r="G78" i="6"/>
  <c r="AY78" i="6"/>
  <c r="N78" i="6"/>
  <c r="CM78" i="6"/>
  <c r="M78" i="6"/>
  <c r="CL78" i="6" s="1"/>
  <c r="BC78" i="6"/>
  <c r="CE78" i="6"/>
  <c r="AW78" i="6"/>
  <c r="BZ78" i="6"/>
  <c r="BG78" i="6"/>
  <c r="BE78" i="6" l="1"/>
  <c r="BF78" i="6"/>
  <c r="BJ78" i="6"/>
  <c r="CF78" i="6"/>
  <c r="BY78" i="6"/>
  <c r="BT78" i="6"/>
  <c r="BK78" i="6"/>
  <c r="BQ78" i="6"/>
  <c r="CJ78" i="6"/>
  <c r="AL78" i="6"/>
  <c r="AO78" i="6"/>
  <c r="CC78" i="6"/>
  <c r="CA78" i="6"/>
  <c r="CD78" i="6"/>
  <c r="AK78" i="6"/>
  <c r="BX78" i="6"/>
  <c r="AS78" i="6"/>
  <c r="BS78" i="6"/>
  <c r="AX78" i="6"/>
  <c r="BW78" i="6"/>
  <c r="CB78" i="6"/>
  <c r="BD78" i="6"/>
  <c r="BL78" i="6"/>
  <c r="BA78" i="6"/>
  <c r="CI78" i="6"/>
  <c r="BO78" i="6"/>
  <c r="C76" i="6"/>
  <c r="O76" i="5"/>
  <c r="AN78" i="6"/>
  <c r="AP78" i="6"/>
  <c r="BM78" i="6"/>
  <c r="BH78" i="6"/>
  <c r="AT78" i="6"/>
  <c r="CG78" i="6"/>
  <c r="BN78" i="6"/>
  <c r="Y75" i="12"/>
  <c r="D80" i="6"/>
  <c r="K79" i="12"/>
  <c r="AB76" i="5"/>
  <c r="AA76" i="5"/>
  <c r="C76" i="12"/>
  <c r="AO76" i="12"/>
  <c r="M76" i="12"/>
  <c r="O76" i="12"/>
  <c r="G78" i="12"/>
  <c r="X78" i="5"/>
  <c r="N75" i="12"/>
  <c r="E75" i="6"/>
  <c r="D75" i="12"/>
  <c r="G81" i="5"/>
  <c r="AE81" i="5"/>
  <c r="K81" i="5"/>
  <c r="AD81" i="5"/>
  <c r="D81" i="5"/>
  <c r="B81" i="12" s="1"/>
  <c r="F81" i="5"/>
  <c r="N81" i="5"/>
  <c r="R81" i="5"/>
  <c r="B81" i="6"/>
  <c r="A81" i="12"/>
  <c r="B81" i="5"/>
  <c r="W81" i="5"/>
  <c r="H81" i="12" s="1"/>
  <c r="E81" i="5"/>
  <c r="J81" i="5"/>
  <c r="C82" i="5"/>
  <c r="H81" i="5"/>
  <c r="L80" i="12"/>
  <c r="J80" i="12"/>
  <c r="N79" i="6"/>
  <c r="G79" i="6"/>
  <c r="M79" i="6"/>
  <c r="BL79" i="6" s="1"/>
  <c r="CB79" i="6"/>
  <c r="H79" i="6"/>
  <c r="T79" i="5" s="1"/>
  <c r="BZ79" i="6"/>
  <c r="BY79" i="6"/>
  <c r="L77" i="5"/>
  <c r="I77" i="12"/>
  <c r="AM77" i="5"/>
  <c r="I77" i="5"/>
  <c r="Z77" i="5"/>
  <c r="AC77" i="5"/>
  <c r="AJ77" i="6"/>
  <c r="AR78" i="6"/>
  <c r="AZ78" i="6"/>
  <c r="CH78" i="6"/>
  <c r="BI78" i="6"/>
  <c r="CK78" i="6"/>
  <c r="AV78" i="6"/>
  <c r="AM78" i="6"/>
  <c r="BP78" i="6"/>
  <c r="BV78" i="6"/>
  <c r="BR78" i="6"/>
  <c r="AU78" i="6"/>
  <c r="F80" i="6"/>
  <c r="E80" i="12"/>
  <c r="U74" i="12"/>
  <c r="T74" i="12"/>
  <c r="V74" i="12"/>
  <c r="CA79" i="6" l="1"/>
  <c r="BW79" i="6"/>
  <c r="BA79" i="6"/>
  <c r="BK79" i="6"/>
  <c r="CM79" i="6"/>
  <c r="CK79" i="6"/>
  <c r="BN79" i="6"/>
  <c r="BE79" i="6"/>
  <c r="CF79" i="6"/>
  <c r="CJ79" i="6"/>
  <c r="AK79" i="6"/>
  <c r="CG79" i="6"/>
  <c r="BX79" i="6"/>
  <c r="BT79" i="6"/>
  <c r="CE79" i="6"/>
  <c r="BO79" i="6"/>
  <c r="CI79" i="6"/>
  <c r="BJ79" i="6"/>
  <c r="BH79" i="6"/>
  <c r="BR79" i="6"/>
  <c r="BS79" i="6"/>
  <c r="CD79" i="6"/>
  <c r="BC79" i="6"/>
  <c r="CL79" i="6"/>
  <c r="BG79" i="6"/>
  <c r="BQ79" i="6"/>
  <c r="CC79" i="6"/>
  <c r="BD79" i="6"/>
  <c r="CH79" i="6"/>
  <c r="BV79" i="6"/>
  <c r="BI79" i="6"/>
  <c r="BM79" i="6"/>
  <c r="H82" i="5"/>
  <c r="E82" i="5"/>
  <c r="N82" i="5"/>
  <c r="I82" i="5"/>
  <c r="C83" i="5"/>
  <c r="AD82" i="5"/>
  <c r="AE82" i="5"/>
  <c r="B82" i="5"/>
  <c r="A82" i="12"/>
  <c r="G82" i="5"/>
  <c r="F82" i="5"/>
  <c r="B82" i="6"/>
  <c r="W82" i="5"/>
  <c r="H82" i="12" s="1"/>
  <c r="D81" i="6"/>
  <c r="G80" i="6"/>
  <c r="M80" i="6"/>
  <c r="CL80" i="6" s="1"/>
  <c r="N80" i="6"/>
  <c r="H80" i="6"/>
  <c r="T80" i="5" s="1"/>
  <c r="CB80" i="6"/>
  <c r="C77" i="12"/>
  <c r="O77" i="12"/>
  <c r="M77" i="12"/>
  <c r="AO77" i="12"/>
  <c r="AP79" i="6"/>
  <c r="AU79" i="6"/>
  <c r="AV79" i="6"/>
  <c r="AX79" i="6"/>
  <c r="AW79" i="6"/>
  <c r="BF79" i="6"/>
  <c r="BP79" i="6"/>
  <c r="AM79" i="6"/>
  <c r="N76" i="12"/>
  <c r="C77" i="6"/>
  <c r="O77" i="5"/>
  <c r="AQ79" i="6"/>
  <c r="AT79" i="6"/>
  <c r="AY79" i="6"/>
  <c r="AR79" i="6"/>
  <c r="J81" i="12"/>
  <c r="L81" i="12"/>
  <c r="X75" i="12"/>
  <c r="W75" i="12"/>
  <c r="E76" i="6"/>
  <c r="D76" i="12"/>
  <c r="AB77" i="5"/>
  <c r="AA77" i="5"/>
  <c r="G79" i="12"/>
  <c r="X79" i="5"/>
  <c r="AZ79" i="6"/>
  <c r="AL79" i="6"/>
  <c r="AN79" i="6"/>
  <c r="AS79" i="6"/>
  <c r="AO79" i="6"/>
  <c r="K80" i="12"/>
  <c r="E81" i="12"/>
  <c r="F81" i="6"/>
  <c r="AM78" i="5"/>
  <c r="I78" i="12"/>
  <c r="L78" i="5"/>
  <c r="I78" i="5"/>
  <c r="Z78" i="5"/>
  <c r="AC78" i="5"/>
  <c r="AJ78" i="6"/>
  <c r="Y76" i="12"/>
  <c r="CF80" i="6" l="1"/>
  <c r="BZ80" i="6"/>
  <c r="BW80" i="6"/>
  <c r="BV80" i="6"/>
  <c r="BQ80" i="6"/>
  <c r="CG80" i="6"/>
  <c r="K81" i="12"/>
  <c r="BC80" i="6"/>
  <c r="CD80" i="6"/>
  <c r="BH80" i="6"/>
  <c r="CK80" i="6"/>
  <c r="BF80" i="6"/>
  <c r="CA80" i="6"/>
  <c r="BN80" i="6"/>
  <c r="Y77" i="12"/>
  <c r="BD80" i="6"/>
  <c r="BR80" i="6"/>
  <c r="BK80" i="6"/>
  <c r="BX80" i="6"/>
  <c r="AP80" i="6"/>
  <c r="AR80" i="6"/>
  <c r="BA80" i="6"/>
  <c r="AX80" i="6"/>
  <c r="AN80" i="6"/>
  <c r="C78" i="12"/>
  <c r="M78" i="12"/>
  <c r="O78" i="12"/>
  <c r="AO78" i="12"/>
  <c r="U75" i="12"/>
  <c r="V75" i="12"/>
  <c r="T75" i="12"/>
  <c r="N77" i="12"/>
  <c r="BJ80" i="6"/>
  <c r="BL80" i="6"/>
  <c r="AK80" i="6"/>
  <c r="AQ80" i="6"/>
  <c r="BY80" i="6"/>
  <c r="CC80" i="6"/>
  <c r="BP80" i="6"/>
  <c r="BO80" i="6"/>
  <c r="BT80" i="6"/>
  <c r="CI80" i="6"/>
  <c r="CE80" i="6"/>
  <c r="BG80" i="6"/>
  <c r="CH80" i="6"/>
  <c r="D82" i="6"/>
  <c r="D77" i="12"/>
  <c r="E77" i="6"/>
  <c r="AS80" i="6"/>
  <c r="AZ80" i="6"/>
  <c r="AW80" i="6"/>
  <c r="AV80" i="6"/>
  <c r="BE80" i="6"/>
  <c r="BM80" i="6"/>
  <c r="AY80" i="6"/>
  <c r="H81" i="6"/>
  <c r="T81" i="5" s="1"/>
  <c r="M81" i="6"/>
  <c r="BX81" i="6" s="1"/>
  <c r="CG81" i="6"/>
  <c r="BJ81" i="6"/>
  <c r="G81" i="6"/>
  <c r="BR81" i="6"/>
  <c r="BF81" i="6"/>
  <c r="BN81" i="6"/>
  <c r="BL81" i="6"/>
  <c r="BP81" i="6"/>
  <c r="BZ81" i="6"/>
  <c r="N81" i="6"/>
  <c r="C78" i="6"/>
  <c r="O78" i="5"/>
  <c r="G80" i="12"/>
  <c r="X80" i="5"/>
  <c r="AJ80" i="6" s="1"/>
  <c r="AB78" i="5"/>
  <c r="AA78" i="5"/>
  <c r="X76" i="12"/>
  <c r="W76" i="12"/>
  <c r="I79" i="12"/>
  <c r="AM79" i="5"/>
  <c r="L79" i="5"/>
  <c r="I79" i="5"/>
  <c r="Z79" i="5"/>
  <c r="AC79" i="5"/>
  <c r="AJ79" i="6"/>
  <c r="X77" i="12"/>
  <c r="W77" i="12"/>
  <c r="AU80" i="6"/>
  <c r="AT80" i="6"/>
  <c r="AO80" i="6"/>
  <c r="CM80" i="6"/>
  <c r="AL80" i="6"/>
  <c r="BS80" i="6"/>
  <c r="BI80" i="6"/>
  <c r="AM80" i="6"/>
  <c r="CJ80" i="6"/>
  <c r="G83" i="5"/>
  <c r="B83" i="5"/>
  <c r="AD83" i="5"/>
  <c r="E83" i="5"/>
  <c r="R83" i="5"/>
  <c r="D83" i="5"/>
  <c r="B83" i="12" s="1"/>
  <c r="H83" i="5"/>
  <c r="B83" i="6"/>
  <c r="C84" i="5"/>
  <c r="F83" i="5"/>
  <c r="A83" i="12"/>
  <c r="W83" i="5"/>
  <c r="H83" i="12" s="1"/>
  <c r="K83" i="5"/>
  <c r="J83" i="5"/>
  <c r="N83" i="5"/>
  <c r="AE83" i="5"/>
  <c r="AT81" i="6" l="1"/>
  <c r="AM81" i="6"/>
  <c r="AW81" i="6"/>
  <c r="AZ81" i="6"/>
  <c r="BQ81" i="6"/>
  <c r="BH81" i="6"/>
  <c r="N78" i="12"/>
  <c r="BW81" i="6"/>
  <c r="CB81" i="6"/>
  <c r="CJ81" i="6"/>
  <c r="BK81" i="6"/>
  <c r="AV81" i="6"/>
  <c r="BG81" i="6"/>
  <c r="AO81" i="6"/>
  <c r="BS81" i="6"/>
  <c r="Y78" i="12"/>
  <c r="W78" i="12" s="1"/>
  <c r="AY81" i="6"/>
  <c r="N84" i="5"/>
  <c r="B84" i="6"/>
  <c r="F84" i="5"/>
  <c r="R84" i="5"/>
  <c r="W84" i="5"/>
  <c r="H84" i="12" s="1"/>
  <c r="G84" i="5"/>
  <c r="D84" i="5"/>
  <c r="B84" i="12" s="1"/>
  <c r="C85" i="5"/>
  <c r="B84" i="5"/>
  <c r="A84" i="12"/>
  <c r="AD84" i="5"/>
  <c r="J84" i="5"/>
  <c r="K84" i="5"/>
  <c r="H84" i="5"/>
  <c r="E84" i="5"/>
  <c r="AE84" i="5"/>
  <c r="AB79" i="5"/>
  <c r="AA79" i="5"/>
  <c r="X78" i="12"/>
  <c r="F83" i="6"/>
  <c r="E83" i="12"/>
  <c r="T76" i="12"/>
  <c r="U76" i="12"/>
  <c r="V76" i="12"/>
  <c r="L80" i="5"/>
  <c r="AM80" i="5"/>
  <c r="I80" i="12"/>
  <c r="I80" i="5"/>
  <c r="Z80" i="5"/>
  <c r="AC80" i="5"/>
  <c r="BA81" i="6"/>
  <c r="AU81" i="6"/>
  <c r="CL81" i="6"/>
  <c r="BL82" i="6"/>
  <c r="BC82" i="6"/>
  <c r="BJ82" i="6"/>
  <c r="BT82" i="6"/>
  <c r="CK82" i="6"/>
  <c r="CF82" i="6"/>
  <c r="CJ82" i="6"/>
  <c r="CG82" i="6"/>
  <c r="CC82" i="6"/>
  <c r="M82" i="6"/>
  <c r="BK82" i="6"/>
  <c r="BM82" i="6"/>
  <c r="BQ82" i="6"/>
  <c r="BR82" i="6"/>
  <c r="BI82" i="6"/>
  <c r="G82" i="6"/>
  <c r="H82" i="6"/>
  <c r="T82" i="5" s="1"/>
  <c r="G82" i="12" s="1"/>
  <c r="N82" i="6"/>
  <c r="CA82" i="6"/>
  <c r="BZ82" i="6"/>
  <c r="BS82" i="6"/>
  <c r="CL82" i="6"/>
  <c r="BN82" i="6"/>
  <c r="BV82" i="6"/>
  <c r="CM82" i="6"/>
  <c r="BP82" i="6"/>
  <c r="BG82" i="6"/>
  <c r="CB82" i="6"/>
  <c r="BY82" i="6"/>
  <c r="BD82" i="6"/>
  <c r="BX82" i="6"/>
  <c r="AR82" i="6"/>
  <c r="CI82" i="6"/>
  <c r="BF82" i="6"/>
  <c r="BW82" i="6"/>
  <c r="CD82" i="6"/>
  <c r="CH82" i="6"/>
  <c r="CE82" i="6"/>
  <c r="AQ82" i="6"/>
  <c r="BO82" i="6"/>
  <c r="BH82" i="6"/>
  <c r="BE82" i="6"/>
  <c r="J83" i="12"/>
  <c r="L83" i="12"/>
  <c r="C79" i="6"/>
  <c r="O79" i="5"/>
  <c r="CA81" i="6"/>
  <c r="AQ81" i="6"/>
  <c r="AX81" i="6"/>
  <c r="BC81" i="6"/>
  <c r="BD81" i="6"/>
  <c r="CD81" i="6"/>
  <c r="AR81" i="6"/>
  <c r="CH81" i="6"/>
  <c r="BT81" i="6"/>
  <c r="AL81" i="6"/>
  <c r="CK81" i="6"/>
  <c r="AK81" i="6"/>
  <c r="CF81" i="6"/>
  <c r="CC81" i="6"/>
  <c r="G81" i="12"/>
  <c r="X81" i="5"/>
  <c r="T77" i="12"/>
  <c r="U77" i="12"/>
  <c r="V77" i="12"/>
  <c r="C79" i="12"/>
  <c r="M79" i="12"/>
  <c r="AO79" i="12"/>
  <c r="O79" i="12"/>
  <c r="D83" i="6"/>
  <c r="D78" i="12"/>
  <c r="E78" i="6"/>
  <c r="AP81" i="6"/>
  <c r="CM81" i="6"/>
  <c r="BM81" i="6"/>
  <c r="CE81" i="6"/>
  <c r="BE81" i="6"/>
  <c r="BO81" i="6"/>
  <c r="CI81" i="6"/>
  <c r="BY81" i="6"/>
  <c r="AN81" i="6"/>
  <c r="BV81" i="6"/>
  <c r="BI81" i="6"/>
  <c r="AS81" i="6"/>
  <c r="N79" i="12" l="1"/>
  <c r="AM82" i="6"/>
  <c r="AS82" i="6"/>
  <c r="K83" i="12"/>
  <c r="AW82" i="6"/>
  <c r="AL82" i="6"/>
  <c r="AZ82" i="6"/>
  <c r="AB80" i="5"/>
  <c r="AA80" i="5"/>
  <c r="C80" i="6"/>
  <c r="O80" i="5"/>
  <c r="L84" i="12"/>
  <c r="J84" i="12"/>
  <c r="F84" i="6"/>
  <c r="E84" i="12"/>
  <c r="G83" i="6"/>
  <c r="H83" i="6"/>
  <c r="T83" i="5" s="1"/>
  <c r="M83" i="6"/>
  <c r="BT83" i="6" s="1"/>
  <c r="BQ83" i="6"/>
  <c r="BP83" i="6"/>
  <c r="N83" i="6"/>
  <c r="AS83" i="6"/>
  <c r="Y79" i="12"/>
  <c r="AT82" i="6"/>
  <c r="AO82" i="6"/>
  <c r="AV82" i="6"/>
  <c r="AN82" i="6"/>
  <c r="AP82" i="6"/>
  <c r="AU82" i="6"/>
  <c r="AX82" i="6"/>
  <c r="AY82" i="6"/>
  <c r="AK82" i="6"/>
  <c r="AJ82" i="6"/>
  <c r="C80" i="12"/>
  <c r="AO80" i="12"/>
  <c r="M80" i="12"/>
  <c r="O80" i="12"/>
  <c r="N80" i="12" s="1"/>
  <c r="U78" i="12"/>
  <c r="T78" i="12"/>
  <c r="V78" i="12"/>
  <c r="I81" i="12"/>
  <c r="AM81" i="5"/>
  <c r="L81" i="5"/>
  <c r="I81" i="5"/>
  <c r="Z81" i="5"/>
  <c r="AC81" i="5"/>
  <c r="AJ81" i="6"/>
  <c r="D79" i="12"/>
  <c r="E79" i="6"/>
  <c r="BA82" i="6"/>
  <c r="K85" i="5"/>
  <c r="J85" i="5"/>
  <c r="G85" i="5"/>
  <c r="W85" i="5"/>
  <c r="H85" i="12" s="1"/>
  <c r="D85" i="5"/>
  <c r="B85" i="12" s="1"/>
  <c r="AD85" i="5"/>
  <c r="H85" i="5"/>
  <c r="B85" i="6"/>
  <c r="F85" i="5"/>
  <c r="N85" i="5"/>
  <c r="E85" i="5"/>
  <c r="B85" i="5"/>
  <c r="C86" i="5" s="1"/>
  <c r="AE85" i="5"/>
  <c r="A85" i="12"/>
  <c r="R85" i="5"/>
  <c r="D84" i="6"/>
  <c r="CL83" i="6" l="1"/>
  <c r="AX83" i="6"/>
  <c r="BI83" i="6"/>
  <c r="BO83" i="6"/>
  <c r="K84" i="12"/>
  <c r="AY83" i="6"/>
  <c r="BJ83" i="6"/>
  <c r="AV83" i="6"/>
  <c r="BX83" i="6"/>
  <c r="BN83" i="6"/>
  <c r="CM83" i="6"/>
  <c r="AT83" i="6"/>
  <c r="BE83" i="6"/>
  <c r="BV83" i="6"/>
  <c r="AZ83" i="6"/>
  <c r="AN83" i="6"/>
  <c r="AD86" i="5"/>
  <c r="AE86" i="5"/>
  <c r="H86" i="5"/>
  <c r="B86" i="6"/>
  <c r="C87" i="5"/>
  <c r="W86" i="5"/>
  <c r="H86" i="12" s="1"/>
  <c r="A86" i="12"/>
  <c r="N86" i="5"/>
  <c r="G86" i="5"/>
  <c r="K82" i="5" s="1"/>
  <c r="F86" i="5"/>
  <c r="E86" i="5"/>
  <c r="I86" i="5"/>
  <c r="B86" i="5"/>
  <c r="M84" i="6"/>
  <c r="BS84" i="6" s="1"/>
  <c r="BR84" i="6"/>
  <c r="H84" i="6"/>
  <c r="T84" i="5" s="1"/>
  <c r="N84" i="6"/>
  <c r="AO84" i="6"/>
  <c r="BK84" i="6"/>
  <c r="CK84" i="6"/>
  <c r="BJ84" i="6"/>
  <c r="BF84" i="6"/>
  <c r="G84" i="6"/>
  <c r="BO84" i="6"/>
  <c r="BN84" i="6"/>
  <c r="AU84" i="6"/>
  <c r="CH84" i="6"/>
  <c r="BY84" i="6"/>
  <c r="BZ84" i="6"/>
  <c r="CF84" i="6"/>
  <c r="G83" i="12"/>
  <c r="X83" i="5"/>
  <c r="BR83" i="6"/>
  <c r="AP83" i="6"/>
  <c r="AK83" i="6"/>
  <c r="BH83" i="6"/>
  <c r="J85" i="12"/>
  <c r="L85" i="12"/>
  <c r="D85" i="6"/>
  <c r="AA81" i="5"/>
  <c r="AB81" i="5"/>
  <c r="C81" i="12"/>
  <c r="M81" i="12"/>
  <c r="AO81" i="12"/>
  <c r="O81" i="12"/>
  <c r="N81" i="12" s="1"/>
  <c r="BL83" i="6"/>
  <c r="BK83" i="6"/>
  <c r="BG83" i="6"/>
  <c r="BZ83" i="6"/>
  <c r="CI83" i="6"/>
  <c r="CB83" i="6"/>
  <c r="BC83" i="6"/>
  <c r="BW83" i="6"/>
  <c r="CK83" i="6"/>
  <c r="D80" i="12"/>
  <c r="E80" i="6"/>
  <c r="BF83" i="6"/>
  <c r="BM83" i="6"/>
  <c r="AL83" i="6"/>
  <c r="CD83" i="6"/>
  <c r="BA83" i="6"/>
  <c r="BY83" i="6"/>
  <c r="AO83" i="6"/>
  <c r="AQ83" i="6"/>
  <c r="BS83" i="6"/>
  <c r="AU83" i="6"/>
  <c r="E85" i="12"/>
  <c r="F85" i="6"/>
  <c r="C81" i="6"/>
  <c r="O81" i="5"/>
  <c r="Y80" i="12"/>
  <c r="W79" i="12"/>
  <c r="X79" i="12"/>
  <c r="CC83" i="6"/>
  <c r="BD83" i="6"/>
  <c r="AJ83" i="6"/>
  <c r="CE83" i="6"/>
  <c r="AR83" i="6"/>
  <c r="CH83" i="6"/>
  <c r="CG83" i="6"/>
  <c r="AW83" i="6"/>
  <c r="AM83" i="6"/>
  <c r="CJ83" i="6"/>
  <c r="CF83" i="6"/>
  <c r="CA83" i="6"/>
  <c r="BQ84" i="6" l="1"/>
  <c r="CC84" i="6"/>
  <c r="BH84" i="6"/>
  <c r="BP84" i="6"/>
  <c r="BE84" i="6"/>
  <c r="CI84" i="6"/>
  <c r="BT84" i="6"/>
  <c r="CD84" i="6"/>
  <c r="BW84" i="6"/>
  <c r="CB84" i="6"/>
  <c r="CM84" i="6"/>
  <c r="BD84" i="6"/>
  <c r="K85" i="12"/>
  <c r="BI84" i="6"/>
  <c r="BM84" i="6"/>
  <c r="BV84" i="6"/>
  <c r="BC84" i="6"/>
  <c r="G84" i="12"/>
  <c r="X84" i="5"/>
  <c r="AY84" i="6"/>
  <c r="AJ84" i="6"/>
  <c r="D86" i="6"/>
  <c r="V79" i="12"/>
  <c r="T79" i="12"/>
  <c r="U79" i="12"/>
  <c r="Y81" i="12"/>
  <c r="AM83" i="5"/>
  <c r="I83" i="12"/>
  <c r="L83" i="5"/>
  <c r="I83" i="5"/>
  <c r="Z83" i="5"/>
  <c r="AC83" i="5"/>
  <c r="AW84" i="6"/>
  <c r="AK84" i="6"/>
  <c r="AX84" i="6"/>
  <c r="AN84" i="6"/>
  <c r="CJ84" i="6"/>
  <c r="AP84" i="6"/>
  <c r="CA84" i="6"/>
  <c r="BG84" i="6"/>
  <c r="CL84" i="6"/>
  <c r="AM84" i="6"/>
  <c r="BL84" i="6"/>
  <c r="X80" i="12"/>
  <c r="W80" i="12"/>
  <c r="AT84" i="6"/>
  <c r="AR84" i="6"/>
  <c r="AZ84" i="6"/>
  <c r="D81" i="12"/>
  <c r="E81" i="6"/>
  <c r="G85" i="6"/>
  <c r="N85" i="6"/>
  <c r="M85" i="6"/>
  <c r="CH85" i="6" s="1"/>
  <c r="H85" i="6"/>
  <c r="T85" i="5" s="1"/>
  <c r="AL84" i="6"/>
  <c r="AV84" i="6"/>
  <c r="AS84" i="6"/>
  <c r="AQ84" i="6"/>
  <c r="BA84" i="6"/>
  <c r="CE84" i="6"/>
  <c r="BX84" i="6"/>
  <c r="CG84" i="6"/>
  <c r="G87" i="5"/>
  <c r="D87" i="5"/>
  <c r="B87" i="12" s="1"/>
  <c r="AD87" i="5"/>
  <c r="R87" i="5"/>
  <c r="J87" i="5"/>
  <c r="C88" i="5"/>
  <c r="N87" i="5"/>
  <c r="W87" i="5"/>
  <c r="H87" i="12" s="1"/>
  <c r="E87" i="5"/>
  <c r="AE87" i="5"/>
  <c r="K87" i="5"/>
  <c r="F87" i="5"/>
  <c r="B87" i="6"/>
  <c r="A87" i="12"/>
  <c r="H87" i="5"/>
  <c r="B87" i="5"/>
  <c r="BX85" i="6" l="1"/>
  <c r="BW85" i="6"/>
  <c r="CI85" i="6"/>
  <c r="BH85" i="6"/>
  <c r="J87" i="12"/>
  <c r="L87" i="12"/>
  <c r="K87" i="12" s="1"/>
  <c r="BE85" i="6"/>
  <c r="CD85" i="6"/>
  <c r="AR85" i="6"/>
  <c r="AM85" i="6"/>
  <c r="CK85" i="6"/>
  <c r="AQ85" i="6"/>
  <c r="CC85" i="6"/>
  <c r="BG85" i="6"/>
  <c r="BN85" i="6"/>
  <c r="AY85" i="6"/>
  <c r="BO85" i="6"/>
  <c r="BZ85" i="6"/>
  <c r="BT85" i="6"/>
  <c r="AO85" i="6"/>
  <c r="BS85" i="6"/>
  <c r="AP85" i="6"/>
  <c r="BC85" i="6"/>
  <c r="BJ85" i="6"/>
  <c r="AA83" i="5"/>
  <c r="AB83" i="5"/>
  <c r="CG85" i="6"/>
  <c r="AT85" i="6"/>
  <c r="D87" i="6"/>
  <c r="E87" i="12"/>
  <c r="F87" i="6"/>
  <c r="G85" i="12"/>
  <c r="X85" i="5"/>
  <c r="CB85" i="6"/>
  <c r="BR85" i="6"/>
  <c r="AW85" i="6"/>
  <c r="BL85" i="6"/>
  <c r="AX85" i="6"/>
  <c r="BQ85" i="6"/>
  <c r="AN85" i="6"/>
  <c r="BY85" i="6"/>
  <c r="BF85" i="6"/>
  <c r="AJ85" i="6"/>
  <c r="AL85" i="6"/>
  <c r="BD85" i="6"/>
  <c r="CM85" i="6"/>
  <c r="T80" i="12"/>
  <c r="V80" i="12"/>
  <c r="U80" i="12"/>
  <c r="X81" i="12"/>
  <c r="W81" i="12"/>
  <c r="AM84" i="5"/>
  <c r="L84" i="5"/>
  <c r="I84" i="12"/>
  <c r="Z84" i="5"/>
  <c r="I84" i="5"/>
  <c r="AC84" i="5"/>
  <c r="AK85" i="6"/>
  <c r="AS85" i="6"/>
  <c r="C83" i="12"/>
  <c r="AO83" i="12"/>
  <c r="M83" i="12"/>
  <c r="O83" i="12"/>
  <c r="B88" i="5"/>
  <c r="C89" i="5"/>
  <c r="AD88" i="5"/>
  <c r="H88" i="5"/>
  <c r="D88" i="5"/>
  <c r="B88" i="12" s="1"/>
  <c r="A88" i="12"/>
  <c r="G88" i="5"/>
  <c r="F88" i="5"/>
  <c r="R88" i="5"/>
  <c r="N88" i="5"/>
  <c r="AE88" i="5"/>
  <c r="E88" i="5"/>
  <c r="B88" i="6"/>
  <c r="J88" i="5"/>
  <c r="W88" i="5"/>
  <c r="H88" i="12" s="1"/>
  <c r="K88" i="5"/>
  <c r="BP85" i="6"/>
  <c r="BK85" i="6"/>
  <c r="AV85" i="6"/>
  <c r="BI85" i="6"/>
  <c r="AZ85" i="6"/>
  <c r="AU85" i="6"/>
  <c r="BM85" i="6"/>
  <c r="CF85" i="6"/>
  <c r="BA85" i="6"/>
  <c r="BV85" i="6"/>
  <c r="CE85" i="6"/>
  <c r="CA85" i="6"/>
  <c r="CJ85" i="6"/>
  <c r="CL85" i="6"/>
  <c r="C83" i="6"/>
  <c r="O83" i="5"/>
  <c r="CG86" i="6"/>
  <c r="BV86" i="6"/>
  <c r="BK86" i="6"/>
  <c r="G86" i="6"/>
  <c r="CA86" i="6"/>
  <c r="BM86" i="6"/>
  <c r="CD86" i="6"/>
  <c r="BX86" i="6"/>
  <c r="CL86" i="6"/>
  <c r="BL86" i="6"/>
  <c r="AO86" i="6"/>
  <c r="CK86" i="6"/>
  <c r="CC86" i="6"/>
  <c r="CI86" i="6"/>
  <c r="CB86" i="6"/>
  <c r="H86" i="6"/>
  <c r="T86" i="5" s="1"/>
  <c r="G86" i="12" s="1"/>
  <c r="BG86" i="6"/>
  <c r="BW86" i="6"/>
  <c r="BR86" i="6"/>
  <c r="BJ86" i="6"/>
  <c r="BN86" i="6"/>
  <c r="BH86" i="6"/>
  <c r="AK86" i="6"/>
  <c r="BT86" i="6"/>
  <c r="CH86" i="6"/>
  <c r="BZ86" i="6"/>
  <c r="BD86" i="6"/>
  <c r="CJ86" i="6"/>
  <c r="CF86" i="6"/>
  <c r="M86" i="6"/>
  <c r="AW86" i="6" s="1"/>
  <c r="BQ86" i="6"/>
  <c r="BP86" i="6"/>
  <c r="BO86" i="6"/>
  <c r="BA86" i="6"/>
  <c r="BF86" i="6"/>
  <c r="BS86" i="6"/>
  <c r="CM86" i="6"/>
  <c r="BE86" i="6"/>
  <c r="CE86" i="6"/>
  <c r="BC86" i="6"/>
  <c r="BY86" i="6"/>
  <c r="N86" i="6"/>
  <c r="AU86" i="6"/>
  <c r="BI86" i="6"/>
  <c r="AM86" i="6" l="1"/>
  <c r="AT86" i="6"/>
  <c r="AX86" i="6"/>
  <c r="AR86" i="6"/>
  <c r="AJ86" i="6"/>
  <c r="AL86" i="6"/>
  <c r="AN86" i="6"/>
  <c r="N83" i="12"/>
  <c r="Y83" i="12"/>
  <c r="AP86" i="6"/>
  <c r="AY86" i="6"/>
  <c r="D83" i="12"/>
  <c r="E83" i="6"/>
  <c r="D88" i="6"/>
  <c r="E89" i="5"/>
  <c r="D89" i="5"/>
  <c r="B89" i="12" s="1"/>
  <c r="K89" i="5"/>
  <c r="B89" i="6"/>
  <c r="J89" i="5"/>
  <c r="G89" i="5"/>
  <c r="W89" i="5"/>
  <c r="H89" i="12" s="1"/>
  <c r="F89" i="5"/>
  <c r="N89" i="5"/>
  <c r="H89" i="5"/>
  <c r="AD89" i="5"/>
  <c r="C90" i="5"/>
  <c r="B89" i="5"/>
  <c r="AE89" i="5"/>
  <c r="R89" i="5"/>
  <c r="A89" i="12"/>
  <c r="X83" i="12"/>
  <c r="W83" i="12"/>
  <c r="C84" i="6"/>
  <c r="O84" i="5"/>
  <c r="AM85" i="5"/>
  <c r="L85" i="5"/>
  <c r="I85" i="12"/>
  <c r="I85" i="5"/>
  <c r="Z85" i="5"/>
  <c r="AC85" i="5"/>
  <c r="G87" i="6"/>
  <c r="N87" i="6"/>
  <c r="H87" i="6"/>
  <c r="T87" i="5" s="1"/>
  <c r="M87" i="6"/>
  <c r="BT87" i="6" s="1"/>
  <c r="AS86" i="6"/>
  <c r="AZ86" i="6"/>
  <c r="L88" i="12"/>
  <c r="J88" i="12"/>
  <c r="E88" i="12"/>
  <c r="F88" i="6"/>
  <c r="AB84" i="5"/>
  <c r="AA84" i="5"/>
  <c r="T81" i="12"/>
  <c r="V81" i="12"/>
  <c r="U81" i="12"/>
  <c r="AQ86" i="6"/>
  <c r="AV86" i="6"/>
  <c r="C84" i="12"/>
  <c r="M84" i="12"/>
  <c r="AO84" i="12"/>
  <c r="O84" i="12"/>
  <c r="N84" i="12" l="1"/>
  <c r="Y84" i="12"/>
  <c r="BP87" i="6"/>
  <c r="AO87" i="6"/>
  <c r="AW87" i="6"/>
  <c r="CJ87" i="6"/>
  <c r="BJ87" i="6"/>
  <c r="CH87" i="6"/>
  <c r="CA87" i="6"/>
  <c r="BK87" i="6"/>
  <c r="AY87" i="6"/>
  <c r="BN87" i="6"/>
  <c r="AP87" i="6"/>
  <c r="BX87" i="6"/>
  <c r="BV87" i="6"/>
  <c r="C85" i="12"/>
  <c r="M85" i="12"/>
  <c r="O85" i="12"/>
  <c r="N85" i="12" s="1"/>
  <c r="AO85" i="12"/>
  <c r="J89" i="12"/>
  <c r="L89" i="12"/>
  <c r="D89" i="6"/>
  <c r="CF87" i="6"/>
  <c r="AS87" i="6"/>
  <c r="AM87" i="6"/>
  <c r="BD87" i="6"/>
  <c r="AN87" i="6"/>
  <c r="AL87" i="6"/>
  <c r="BY87" i="6"/>
  <c r="CB87" i="6"/>
  <c r="AQ87" i="6"/>
  <c r="CK87" i="6"/>
  <c r="BW87" i="6"/>
  <c r="BR87" i="6"/>
  <c r="BI87" i="6"/>
  <c r="BG87" i="6"/>
  <c r="C85" i="6"/>
  <c r="O85" i="5"/>
  <c r="V83" i="12"/>
  <c r="T83" i="12"/>
  <c r="U83" i="12"/>
  <c r="F89" i="6"/>
  <c r="E89" i="12"/>
  <c r="B90" i="5"/>
  <c r="D90" i="5"/>
  <c r="B90" i="12" s="1"/>
  <c r="K90" i="5"/>
  <c r="E90" i="5"/>
  <c r="W90" i="5"/>
  <c r="H90" i="12" s="1"/>
  <c r="AD90" i="5"/>
  <c r="G90" i="5"/>
  <c r="B90" i="6"/>
  <c r="AE90" i="5"/>
  <c r="H90" i="5"/>
  <c r="N90" i="5"/>
  <c r="A90" i="12"/>
  <c r="R90" i="5"/>
  <c r="C91" i="5"/>
  <c r="J90" i="5"/>
  <c r="F90" i="5"/>
  <c r="N88" i="6"/>
  <c r="H88" i="6"/>
  <c r="T88" i="5" s="1"/>
  <c r="M88" i="6"/>
  <c r="BL88" i="6" s="1"/>
  <c r="G88" i="6"/>
  <c r="BM88" i="6"/>
  <c r="X84" i="12"/>
  <c r="W84" i="12"/>
  <c r="BM87" i="6"/>
  <c r="CE87" i="6"/>
  <c r="BQ87" i="6"/>
  <c r="AU87" i="6"/>
  <c r="AT87" i="6"/>
  <c r="BZ87" i="6"/>
  <c r="G87" i="12"/>
  <c r="X87" i="5"/>
  <c r="BC87" i="6"/>
  <c r="CC87" i="6"/>
  <c r="CL87" i="6"/>
  <c r="AK87" i="6"/>
  <c r="BO87" i="6"/>
  <c r="CG87" i="6"/>
  <c r="AA85" i="5"/>
  <c r="AB85" i="5"/>
  <c r="K88" i="12"/>
  <c r="BE87" i="6"/>
  <c r="BS87" i="6"/>
  <c r="BF87" i="6"/>
  <c r="AR87" i="6"/>
  <c r="AZ87" i="6"/>
  <c r="CI87" i="6"/>
  <c r="BH87" i="6"/>
  <c r="CD87" i="6"/>
  <c r="AV87" i="6"/>
  <c r="AX87" i="6"/>
  <c r="BL87" i="6"/>
  <c r="CM87" i="6"/>
  <c r="BA87" i="6"/>
  <c r="D84" i="12"/>
  <c r="E84" i="6"/>
  <c r="BN88" i="6" l="1"/>
  <c r="BK88" i="6"/>
  <c r="AR88" i="6"/>
  <c r="BC88" i="6"/>
  <c r="AM88" i="6"/>
  <c r="BG88" i="6"/>
  <c r="AS88" i="6"/>
  <c r="BH88" i="6"/>
  <c r="CI88" i="6"/>
  <c r="BW88" i="6"/>
  <c r="BA88" i="6"/>
  <c r="AY88" i="6"/>
  <c r="BY88" i="6"/>
  <c r="BD88" i="6"/>
  <c r="AP88" i="6"/>
  <c r="CF88" i="6"/>
  <c r="AZ88" i="6"/>
  <c r="BS88" i="6"/>
  <c r="BV88" i="6"/>
  <c r="AV88" i="6"/>
  <c r="BP88" i="6"/>
  <c r="BX88" i="6"/>
  <c r="CE88" i="6"/>
  <c r="K89" i="12"/>
  <c r="BZ88" i="6"/>
  <c r="CJ88" i="6"/>
  <c r="AX88" i="6"/>
  <c r="F90" i="6"/>
  <c r="E90" i="12"/>
  <c r="D90" i="6"/>
  <c r="AW88" i="6"/>
  <c r="AL88" i="6"/>
  <c r="AN88" i="6"/>
  <c r="CG88" i="6"/>
  <c r="CB88" i="6"/>
  <c r="AK88" i="6"/>
  <c r="AO88" i="6"/>
  <c r="BI88" i="6"/>
  <c r="BQ88" i="6"/>
  <c r="BJ88" i="6"/>
  <c r="BO88" i="6"/>
  <c r="AT88" i="6"/>
  <c r="CL88" i="6"/>
  <c r="Y85" i="12"/>
  <c r="CC88" i="6"/>
  <c r="CK88" i="6"/>
  <c r="CM88" i="6"/>
  <c r="CH88" i="6"/>
  <c r="D85" i="12"/>
  <c r="E85" i="6"/>
  <c r="AM87" i="5"/>
  <c r="L87" i="5"/>
  <c r="I87" i="12"/>
  <c r="I87" i="5"/>
  <c r="Z87" i="5"/>
  <c r="AC87" i="5"/>
  <c r="AJ87" i="6"/>
  <c r="T84" i="12"/>
  <c r="V84" i="12"/>
  <c r="U84" i="12"/>
  <c r="AQ88" i="6"/>
  <c r="BE88" i="6"/>
  <c r="BT88" i="6"/>
  <c r="BR88" i="6"/>
  <c r="BF88" i="6"/>
  <c r="CA88" i="6"/>
  <c r="G88" i="12"/>
  <c r="X88" i="5"/>
  <c r="AU88" i="6"/>
  <c r="CD88" i="6"/>
  <c r="AD91" i="5"/>
  <c r="AE91" i="5"/>
  <c r="E91" i="5"/>
  <c r="R91" i="5"/>
  <c r="D91" i="5"/>
  <c r="B91" i="12" s="1"/>
  <c r="K91" i="5"/>
  <c r="H91" i="5"/>
  <c r="J91" i="5"/>
  <c r="F91" i="5"/>
  <c r="B91" i="6"/>
  <c r="W91" i="5"/>
  <c r="H91" i="12" s="1"/>
  <c r="B91" i="5"/>
  <c r="C92" i="5" s="1"/>
  <c r="A91" i="12"/>
  <c r="G91" i="5"/>
  <c r="N91" i="5"/>
  <c r="J90" i="12"/>
  <c r="L90" i="12"/>
  <c r="M89" i="6"/>
  <c r="BZ89" i="6" s="1"/>
  <c r="CD89" i="6"/>
  <c r="CM89" i="6"/>
  <c r="H89" i="6"/>
  <c r="T89" i="5" s="1"/>
  <c r="BR89" i="6"/>
  <c r="CA89" i="6"/>
  <c r="N89" i="6"/>
  <c r="AZ89" i="6"/>
  <c r="BM89" i="6"/>
  <c r="BN89" i="6"/>
  <c r="CF89" i="6"/>
  <c r="CL89" i="6"/>
  <c r="G89" i="6"/>
  <c r="AX89" i="6" l="1"/>
  <c r="BH89" i="6"/>
  <c r="AS89" i="6"/>
  <c r="CI89" i="6"/>
  <c r="CJ89" i="6"/>
  <c r="BI89" i="6"/>
  <c r="AY89" i="6"/>
  <c r="BQ89" i="6"/>
  <c r="BC89" i="6"/>
  <c r="BV89" i="6"/>
  <c r="BP89" i="6"/>
  <c r="BW89" i="6"/>
  <c r="CG89" i="6"/>
  <c r="BJ89" i="6"/>
  <c r="AV89" i="6"/>
  <c r="BG89" i="6"/>
  <c r="CC89" i="6"/>
  <c r="AO89" i="6"/>
  <c r="BL89" i="6"/>
  <c r="BE89" i="6"/>
  <c r="BT89" i="6"/>
  <c r="CK89" i="6"/>
  <c r="BF89" i="6"/>
  <c r="CH89" i="6"/>
  <c r="CE89" i="6"/>
  <c r="BY89" i="6"/>
  <c r="BX89" i="6"/>
  <c r="BK89" i="6"/>
  <c r="BO89" i="6"/>
  <c r="BS89" i="6"/>
  <c r="CB89" i="6"/>
  <c r="BD89" i="6"/>
  <c r="AN89" i="6"/>
  <c r="K90" i="12"/>
  <c r="AD92" i="5"/>
  <c r="A92" i="12"/>
  <c r="G92" i="5"/>
  <c r="F92" i="5"/>
  <c r="H92" i="5"/>
  <c r="N92" i="5"/>
  <c r="E92" i="5"/>
  <c r="I92" i="5"/>
  <c r="W92" i="5"/>
  <c r="H92" i="12" s="1"/>
  <c r="B92" i="5"/>
  <c r="C93" i="5" s="1"/>
  <c r="AE92" i="5"/>
  <c r="B92" i="6"/>
  <c r="G89" i="12"/>
  <c r="X89" i="5"/>
  <c r="AT89" i="6"/>
  <c r="J91" i="12"/>
  <c r="L91" i="12"/>
  <c r="K91" i="12" s="1"/>
  <c r="I88" i="12"/>
  <c r="L88" i="5"/>
  <c r="AM88" i="5"/>
  <c r="Z88" i="5"/>
  <c r="I88" i="5"/>
  <c r="AC88" i="5"/>
  <c r="C87" i="6"/>
  <c r="O87" i="5"/>
  <c r="J86" i="5"/>
  <c r="BA89" i="6"/>
  <c r="AW89" i="6"/>
  <c r="AL89" i="6"/>
  <c r="AM89" i="6"/>
  <c r="AU89" i="6"/>
  <c r="AR89" i="6"/>
  <c r="AQ89" i="6"/>
  <c r="E91" i="12"/>
  <c r="F91" i="6"/>
  <c r="AB87" i="5"/>
  <c r="AA87" i="5"/>
  <c r="AJ88" i="6"/>
  <c r="D91" i="6"/>
  <c r="X85" i="12"/>
  <c r="W85" i="12"/>
  <c r="N90" i="6"/>
  <c r="M90" i="6"/>
  <c r="CF90" i="6" s="1"/>
  <c r="G90" i="6"/>
  <c r="BG90" i="6"/>
  <c r="H90" i="6"/>
  <c r="T90" i="5" s="1"/>
  <c r="AK89" i="6"/>
  <c r="AP89" i="6"/>
  <c r="C87" i="12"/>
  <c r="O87" i="12"/>
  <c r="AO87" i="12"/>
  <c r="M87" i="12"/>
  <c r="BX90" i="6" l="1"/>
  <c r="BY90" i="6"/>
  <c r="CC90" i="6"/>
  <c r="CI90" i="6"/>
  <c r="CG90" i="6"/>
  <c r="BP90" i="6"/>
  <c r="BR90" i="6"/>
  <c r="BI90" i="6"/>
  <c r="BL90" i="6"/>
  <c r="CJ90" i="6"/>
  <c r="CK90" i="6"/>
  <c r="BN90" i="6"/>
  <c r="CM90" i="6"/>
  <c r="BO90" i="6"/>
  <c r="BV90" i="6"/>
  <c r="CE90" i="6"/>
  <c r="BS90" i="6"/>
  <c r="BE90" i="6"/>
  <c r="Y87" i="12"/>
  <c r="W87" i="12" s="1"/>
  <c r="BQ90" i="6"/>
  <c r="BD90" i="6"/>
  <c r="CA90" i="6"/>
  <c r="BZ90" i="6"/>
  <c r="BT90" i="6"/>
  <c r="AP90" i="6"/>
  <c r="AN90" i="6"/>
  <c r="AS90" i="6"/>
  <c r="AK90" i="6"/>
  <c r="N91" i="6"/>
  <c r="G91" i="6"/>
  <c r="H91" i="6"/>
  <c r="T91" i="5" s="1"/>
  <c r="BT91" i="6"/>
  <c r="M91" i="6"/>
  <c r="BR91" i="6" s="1"/>
  <c r="CL91" i="6"/>
  <c r="BS91" i="6"/>
  <c r="C88" i="6"/>
  <c r="O88" i="5"/>
  <c r="L89" i="5"/>
  <c r="I89" i="12"/>
  <c r="AM89" i="5"/>
  <c r="Z89" i="5"/>
  <c r="I89" i="5"/>
  <c r="AC89" i="5"/>
  <c r="AJ89" i="6"/>
  <c r="G93" i="5"/>
  <c r="AE93" i="5"/>
  <c r="A93" i="12"/>
  <c r="B93" i="5"/>
  <c r="I93" i="5"/>
  <c r="W93" i="5"/>
  <c r="H93" i="12" s="1"/>
  <c r="C94" i="5"/>
  <c r="E93" i="5"/>
  <c r="H93" i="5"/>
  <c r="F93" i="5"/>
  <c r="B93" i="6"/>
  <c r="N93" i="5"/>
  <c r="AD93" i="5"/>
  <c r="G90" i="12"/>
  <c r="X90" i="5"/>
  <c r="AJ90" i="6" s="1"/>
  <c r="AU90" i="6"/>
  <c r="AL90" i="6"/>
  <c r="AO90" i="6"/>
  <c r="AQ90" i="6"/>
  <c r="AM90" i="6"/>
  <c r="AX90" i="6"/>
  <c r="BM90" i="6"/>
  <c r="BJ90" i="6"/>
  <c r="BW90" i="6"/>
  <c r="U85" i="12"/>
  <c r="T85" i="12"/>
  <c r="V85" i="12"/>
  <c r="C88" i="12"/>
  <c r="M88" i="12"/>
  <c r="O88" i="12"/>
  <c r="N88" i="12" s="1"/>
  <c r="AO88" i="12"/>
  <c r="D92" i="6"/>
  <c r="AR90" i="6"/>
  <c r="AY90" i="6"/>
  <c r="CD90" i="6"/>
  <c r="AW90" i="6"/>
  <c r="BA90" i="6"/>
  <c r="BH90" i="6"/>
  <c r="CL90" i="6"/>
  <c r="D87" i="12"/>
  <c r="E87" i="6"/>
  <c r="AB88" i="5"/>
  <c r="AA88" i="5"/>
  <c r="N87" i="12"/>
  <c r="AT90" i="6"/>
  <c r="BF90" i="6"/>
  <c r="BC90" i="6"/>
  <c r="CB90" i="6"/>
  <c r="BK90" i="6"/>
  <c r="AZ90" i="6"/>
  <c r="AV90" i="6"/>
  <c r="CH90" i="6"/>
  <c r="BE91" i="6" l="1"/>
  <c r="BC91" i="6"/>
  <c r="AR91" i="6"/>
  <c r="BI91" i="6"/>
  <c r="Y88" i="12"/>
  <c r="BZ91" i="6"/>
  <c r="AK91" i="6"/>
  <c r="CH91" i="6"/>
  <c r="X87" i="12"/>
  <c r="AP91" i="6"/>
  <c r="CF91" i="6"/>
  <c r="BM91" i="6"/>
  <c r="AS91" i="6"/>
  <c r="AN91" i="6"/>
  <c r="CC91" i="6"/>
  <c r="AW91" i="6"/>
  <c r="BK91" i="6"/>
  <c r="AB89" i="5"/>
  <c r="AA89" i="5"/>
  <c r="E88" i="6"/>
  <c r="D88" i="12"/>
  <c r="BL91" i="6"/>
  <c r="AY91" i="6"/>
  <c r="BF91" i="6"/>
  <c r="BG91" i="6"/>
  <c r="AL91" i="6"/>
  <c r="BQ91" i="6"/>
  <c r="CG91" i="6"/>
  <c r="T87" i="12"/>
  <c r="V87" i="12"/>
  <c r="U87" i="12"/>
  <c r="BE92" i="6"/>
  <c r="G92" i="6"/>
  <c r="BK92" i="6"/>
  <c r="BJ92" i="6"/>
  <c r="CE92" i="6"/>
  <c r="BV92" i="6"/>
  <c r="CB92" i="6"/>
  <c r="N92" i="6"/>
  <c r="CG92" i="6"/>
  <c r="BN92" i="6"/>
  <c r="CM92" i="6"/>
  <c r="BL92" i="6"/>
  <c r="BR92" i="6"/>
  <c r="CC92" i="6"/>
  <c r="BS92" i="6"/>
  <c r="CI92" i="6"/>
  <c r="BC92" i="6"/>
  <c r="BF92" i="6"/>
  <c r="BI92" i="6"/>
  <c r="BQ92" i="6"/>
  <c r="BZ92" i="6"/>
  <c r="M92" i="6"/>
  <c r="CJ92" i="6"/>
  <c r="CH92" i="6"/>
  <c r="BY92" i="6"/>
  <c r="CK92" i="6"/>
  <c r="H92" i="6"/>
  <c r="T92" i="5" s="1"/>
  <c r="G92" i="12" s="1"/>
  <c r="BM92" i="6"/>
  <c r="BP92" i="6"/>
  <c r="BO92" i="6"/>
  <c r="BX92" i="6"/>
  <c r="BH92" i="6"/>
  <c r="BG92" i="6"/>
  <c r="BW92" i="6"/>
  <c r="CL92" i="6"/>
  <c r="CF92" i="6"/>
  <c r="CD92" i="6"/>
  <c r="BD92" i="6"/>
  <c r="BT92" i="6"/>
  <c r="CA92" i="6"/>
  <c r="D93" i="6"/>
  <c r="G91" i="12"/>
  <c r="X91" i="5"/>
  <c r="AV91" i="6"/>
  <c r="CA91" i="6"/>
  <c r="BP91" i="6"/>
  <c r="AZ91" i="6"/>
  <c r="CM91" i="6"/>
  <c r="BA91" i="6"/>
  <c r="BH91" i="6"/>
  <c r="W88" i="12"/>
  <c r="X88" i="12"/>
  <c r="I90" i="12"/>
  <c r="AM90" i="5"/>
  <c r="L90" i="5"/>
  <c r="Z90" i="5"/>
  <c r="I90" i="5"/>
  <c r="AC90" i="5"/>
  <c r="D94" i="5"/>
  <c r="B94" i="12" s="1"/>
  <c r="B94" i="5"/>
  <c r="C95" i="5"/>
  <c r="K94" i="5"/>
  <c r="N94" i="5"/>
  <c r="F94" i="5"/>
  <c r="J94" i="5"/>
  <c r="AD94" i="5"/>
  <c r="H94" i="5"/>
  <c r="E94" i="5"/>
  <c r="A94" i="12"/>
  <c r="G94" i="5"/>
  <c r="AE94" i="5"/>
  <c r="R94" i="5"/>
  <c r="B94" i="6"/>
  <c r="W94" i="5"/>
  <c r="H94" i="12" s="1"/>
  <c r="C89" i="12"/>
  <c r="M89" i="12"/>
  <c r="O89" i="12"/>
  <c r="AO89" i="12"/>
  <c r="BO91" i="6"/>
  <c r="CJ91" i="6"/>
  <c r="AT91" i="6"/>
  <c r="AU91" i="6"/>
  <c r="CE91" i="6"/>
  <c r="BY91" i="6"/>
  <c r="CB91" i="6"/>
  <c r="CI91" i="6"/>
  <c r="BX91" i="6"/>
  <c r="C89" i="6"/>
  <c r="O89" i="5"/>
  <c r="CD91" i="6"/>
  <c r="AQ91" i="6"/>
  <c r="AX91" i="6"/>
  <c r="BJ91" i="6"/>
  <c r="BN91" i="6"/>
  <c r="AJ91" i="6"/>
  <c r="AO91" i="6"/>
  <c r="BV91" i="6"/>
  <c r="BW91" i="6"/>
  <c r="AM91" i="6"/>
  <c r="BD91" i="6"/>
  <c r="CK91" i="6"/>
  <c r="Y89" i="12" l="1"/>
  <c r="AZ92" i="6"/>
  <c r="AR92" i="6"/>
  <c r="AM92" i="6"/>
  <c r="AS92" i="6"/>
  <c r="AO92" i="6"/>
  <c r="D94" i="6"/>
  <c r="C90" i="6"/>
  <c r="O90" i="5"/>
  <c r="V88" i="12"/>
  <c r="T88" i="12"/>
  <c r="U88" i="12"/>
  <c r="I91" i="12"/>
  <c r="L91" i="5"/>
  <c r="AM91" i="5"/>
  <c r="Z91" i="5"/>
  <c r="I91" i="5"/>
  <c r="AC91" i="5"/>
  <c r="AN92" i="6"/>
  <c r="AL92" i="6"/>
  <c r="AV92" i="6"/>
  <c r="AU92" i="6"/>
  <c r="AY92" i="6"/>
  <c r="AP92" i="6"/>
  <c r="D89" i="12"/>
  <c r="E89" i="6"/>
  <c r="F94" i="6"/>
  <c r="E94" i="12"/>
  <c r="AK92" i="6"/>
  <c r="BA92" i="6"/>
  <c r="X89" i="12"/>
  <c r="W89" i="12"/>
  <c r="L94" i="12"/>
  <c r="J94" i="12"/>
  <c r="H95" i="5"/>
  <c r="F95" i="5"/>
  <c r="AD95" i="5"/>
  <c r="B95" i="6"/>
  <c r="C96" i="5"/>
  <c r="J95" i="5"/>
  <c r="B95" i="5"/>
  <c r="K95" i="5"/>
  <c r="A95" i="12"/>
  <c r="G95" i="5"/>
  <c r="D95" i="5"/>
  <c r="B95" i="12" s="1"/>
  <c r="E95" i="5"/>
  <c r="AE95" i="5"/>
  <c r="R95" i="5"/>
  <c r="W95" i="5"/>
  <c r="H95" i="12" s="1"/>
  <c r="N95" i="5"/>
  <c r="C90" i="12"/>
  <c r="M90" i="12"/>
  <c r="AO90" i="12"/>
  <c r="O90" i="12"/>
  <c r="AX92" i="6"/>
  <c r="AJ92" i="6"/>
  <c r="AW92" i="6"/>
  <c r="N89" i="12"/>
  <c r="AB90" i="5"/>
  <c r="AA90" i="5"/>
  <c r="BH93" i="6"/>
  <c r="BF93" i="6"/>
  <c r="BK93" i="6"/>
  <c r="CF93" i="6"/>
  <c r="CL93" i="6"/>
  <c r="BJ93" i="6"/>
  <c r="CD93" i="6"/>
  <c r="BT93" i="6"/>
  <c r="BQ93" i="6"/>
  <c r="CJ93" i="6"/>
  <c r="CC93" i="6"/>
  <c r="BD93" i="6"/>
  <c r="M93" i="6"/>
  <c r="BI93" i="6"/>
  <c r="BL93" i="6"/>
  <c r="BY93" i="6"/>
  <c r="BE93" i="6"/>
  <c r="BP93" i="6"/>
  <c r="CB93" i="6"/>
  <c r="N93" i="6"/>
  <c r="CG93" i="6"/>
  <c r="BC93" i="6"/>
  <c r="BM93" i="6"/>
  <c r="CI93" i="6"/>
  <c r="BR93" i="6"/>
  <c r="BX93" i="6"/>
  <c r="BO93" i="6"/>
  <c r="BS93" i="6"/>
  <c r="BW93" i="6"/>
  <c r="H93" i="6"/>
  <c r="T93" i="5" s="1"/>
  <c r="G93" i="12" s="1"/>
  <c r="BG93" i="6"/>
  <c r="BV93" i="6"/>
  <c r="CE93" i="6"/>
  <c r="G93" i="6"/>
  <c r="CA93" i="6"/>
  <c r="AJ93" i="6"/>
  <c r="CK93" i="6"/>
  <c r="BZ93" i="6"/>
  <c r="BN93" i="6"/>
  <c r="AQ93" i="6"/>
  <c r="CH93" i="6"/>
  <c r="CM93" i="6"/>
  <c r="AQ92" i="6"/>
  <c r="AT92" i="6"/>
  <c r="AW93" i="6" l="1"/>
  <c r="AU93" i="6"/>
  <c r="Y90" i="12"/>
  <c r="K94" i="12"/>
  <c r="BA93" i="6"/>
  <c r="AS93" i="6"/>
  <c r="AN93" i="6"/>
  <c r="AP93" i="6"/>
  <c r="AY93" i="6"/>
  <c r="AT93" i="6"/>
  <c r="AO93" i="6"/>
  <c r="AK93" i="6"/>
  <c r="AL93" i="6"/>
  <c r="AV93" i="6"/>
  <c r="AR93" i="6"/>
  <c r="AM93" i="6"/>
  <c r="N90" i="12"/>
  <c r="E95" i="12"/>
  <c r="F95" i="6"/>
  <c r="C91" i="12"/>
  <c r="M91" i="12"/>
  <c r="O91" i="12"/>
  <c r="AO91" i="12"/>
  <c r="D90" i="12"/>
  <c r="E90" i="6"/>
  <c r="W90" i="12"/>
  <c r="X90" i="12"/>
  <c r="D95" i="6"/>
  <c r="J95" i="12"/>
  <c r="L95" i="12"/>
  <c r="D96" i="5"/>
  <c r="B96" i="12" s="1"/>
  <c r="N96" i="5"/>
  <c r="AE96" i="5"/>
  <c r="B96" i="5"/>
  <c r="B96" i="6"/>
  <c r="J96" i="5"/>
  <c r="A96" i="12"/>
  <c r="F96" i="5"/>
  <c r="C97" i="5"/>
  <c r="H96" i="5"/>
  <c r="R96" i="5"/>
  <c r="K96" i="5"/>
  <c r="G96" i="5"/>
  <c r="E96" i="5"/>
  <c r="AD96" i="5"/>
  <c r="W96" i="5"/>
  <c r="H96" i="12" s="1"/>
  <c r="AB91" i="5"/>
  <c r="AA91" i="5"/>
  <c r="AZ93" i="6"/>
  <c r="AX93" i="6"/>
  <c r="T89" i="12"/>
  <c r="U89" i="12"/>
  <c r="V89" i="12"/>
  <c r="C91" i="6"/>
  <c r="O91" i="5"/>
  <c r="N94" i="6"/>
  <c r="M94" i="6"/>
  <c r="BI94" i="6" s="1"/>
  <c r="G94" i="6"/>
  <c r="H94" i="6"/>
  <c r="T94" i="5" s="1"/>
  <c r="AS94" i="6"/>
  <c r="CH94" i="6"/>
  <c r="CF94" i="6" l="1"/>
  <c r="AX94" i="6"/>
  <c r="BA94" i="6"/>
  <c r="BT94" i="6"/>
  <c r="CI94" i="6"/>
  <c r="K95" i="12"/>
  <c r="CE94" i="6"/>
  <c r="BP94" i="6"/>
  <c r="CJ94" i="6"/>
  <c r="BX94" i="6"/>
  <c r="BE94" i="6"/>
  <c r="CA94" i="6"/>
  <c r="BW94" i="6"/>
  <c r="BJ94" i="6"/>
  <c r="Y91" i="12"/>
  <c r="AR94" i="6"/>
  <c r="CB94" i="6"/>
  <c r="AO94" i="6"/>
  <c r="CL94" i="6"/>
  <c r="BV94" i="6"/>
  <c r="BK94" i="6"/>
  <c r="AV94" i="6"/>
  <c r="BG94" i="6"/>
  <c r="AK94" i="6"/>
  <c r="BD94" i="6"/>
  <c r="BH94" i="6"/>
  <c r="BS94" i="6"/>
  <c r="E91" i="6"/>
  <c r="D91" i="12"/>
  <c r="F96" i="6"/>
  <c r="E96" i="12"/>
  <c r="J96" i="12"/>
  <c r="L96" i="12"/>
  <c r="AQ94" i="6"/>
  <c r="AZ94" i="6"/>
  <c r="AL94" i="6"/>
  <c r="BC94" i="6"/>
  <c r="CK94" i="6"/>
  <c r="BO94" i="6"/>
  <c r="BZ94" i="6"/>
  <c r="BY94" i="6"/>
  <c r="BF94" i="6"/>
  <c r="AW94" i="6"/>
  <c r="CM94" i="6"/>
  <c r="BL94" i="6"/>
  <c r="D96" i="6"/>
  <c r="M95" i="6"/>
  <c r="BI95" i="6" s="1"/>
  <c r="G95" i="6"/>
  <c r="BT95" i="6"/>
  <c r="CD95" i="6"/>
  <c r="BG95" i="6"/>
  <c r="CE95" i="6"/>
  <c r="N95" i="6"/>
  <c r="BE95" i="6"/>
  <c r="CC95" i="6"/>
  <c r="BV95" i="6"/>
  <c r="BJ95" i="6"/>
  <c r="CG95" i="6"/>
  <c r="CI95" i="6"/>
  <c r="BL95" i="6"/>
  <c r="BN95" i="6"/>
  <c r="BX95" i="6"/>
  <c r="BZ95" i="6"/>
  <c r="H95" i="6"/>
  <c r="T95" i="5" s="1"/>
  <c r="CB95" i="6"/>
  <c r="BP95" i="6"/>
  <c r="CF95" i="6"/>
  <c r="BC95" i="6"/>
  <c r="BK95" i="6"/>
  <c r="BQ95" i="6"/>
  <c r="BS95" i="6"/>
  <c r="CM95" i="6"/>
  <c r="BD95" i="6"/>
  <c r="BH95" i="6"/>
  <c r="BW95" i="6"/>
  <c r="BF95" i="6"/>
  <c r="CL95" i="6"/>
  <c r="CK95" i="6"/>
  <c r="AQ95" i="6"/>
  <c r="BY95" i="6"/>
  <c r="G94" i="12"/>
  <c r="X94" i="5"/>
  <c r="AJ94" i="6" s="1"/>
  <c r="AM94" i="6"/>
  <c r="B97" i="6"/>
  <c r="A97" i="12"/>
  <c r="E97" i="5"/>
  <c r="B97" i="5"/>
  <c r="G97" i="5"/>
  <c r="N97" i="5"/>
  <c r="F97" i="5"/>
  <c r="K97" i="5"/>
  <c r="AE97" i="5"/>
  <c r="H97" i="5"/>
  <c r="W97" i="5"/>
  <c r="H97" i="12" s="1"/>
  <c r="AD97" i="5"/>
  <c r="D97" i="5"/>
  <c r="B97" i="12" s="1"/>
  <c r="C98" i="5"/>
  <c r="R97" i="5"/>
  <c r="J97" i="5"/>
  <c r="W91" i="12"/>
  <c r="X91" i="12"/>
  <c r="AY94" i="6"/>
  <c r="BN94" i="6"/>
  <c r="CD94" i="6"/>
  <c r="AN94" i="6"/>
  <c r="BR94" i="6"/>
  <c r="AP94" i="6"/>
  <c r="CC94" i="6"/>
  <c r="AU94" i="6"/>
  <c r="AT94" i="6"/>
  <c r="BQ94" i="6"/>
  <c r="CG94" i="6"/>
  <c r="BM94" i="6"/>
  <c r="V90" i="12"/>
  <c r="U90" i="12"/>
  <c r="T90" i="12"/>
  <c r="N91" i="12"/>
  <c r="AM95" i="6" l="1"/>
  <c r="AR95" i="6"/>
  <c r="AT95" i="6"/>
  <c r="AY95" i="6"/>
  <c r="AX95" i="6"/>
  <c r="AZ95" i="6"/>
  <c r="K96" i="12"/>
  <c r="AO95" i="6"/>
  <c r="AU95" i="6"/>
  <c r="BA95" i="6"/>
  <c r="AS95" i="6"/>
  <c r="E97" i="12"/>
  <c r="F97" i="6"/>
  <c r="T91" i="12"/>
  <c r="V91" i="12"/>
  <c r="U91" i="12"/>
  <c r="C99" i="5"/>
  <c r="D98" i="5"/>
  <c r="B98" i="12" s="1"/>
  <c r="K98" i="5"/>
  <c r="N98" i="5"/>
  <c r="B98" i="5"/>
  <c r="AE98" i="5"/>
  <c r="A98" i="12"/>
  <c r="E98" i="5"/>
  <c r="B98" i="6"/>
  <c r="AD98" i="5"/>
  <c r="R98" i="5"/>
  <c r="W98" i="5"/>
  <c r="H98" i="12" s="1"/>
  <c r="H98" i="5"/>
  <c r="F98" i="5"/>
  <c r="J98" i="5"/>
  <c r="G98" i="5"/>
  <c r="I94" i="12"/>
  <c r="L94" i="5"/>
  <c r="AM94" i="5"/>
  <c r="Z94" i="5"/>
  <c r="I94" i="5"/>
  <c r="AC94" i="5"/>
  <c r="G95" i="12"/>
  <c r="X95" i="5"/>
  <c r="AV95" i="6"/>
  <c r="AN95" i="6"/>
  <c r="BR95" i="6"/>
  <c r="CJ95" i="6"/>
  <c r="AK95" i="6"/>
  <c r="D97" i="6"/>
  <c r="J97" i="12"/>
  <c r="L97" i="12"/>
  <c r="AW95" i="6"/>
  <c r="AP95" i="6"/>
  <c r="CH95" i="6"/>
  <c r="CA95" i="6"/>
  <c r="BO95" i="6"/>
  <c r="AL95" i="6"/>
  <c r="BM95" i="6"/>
  <c r="BS96" i="6"/>
  <c r="N96" i="6"/>
  <c r="CJ96" i="6"/>
  <c r="BC96" i="6"/>
  <c r="G96" i="6"/>
  <c r="M96" i="6"/>
  <c r="BM96" i="6" s="1"/>
  <c r="BO96" i="6"/>
  <c r="BD96" i="6"/>
  <c r="CK96" i="6"/>
  <c r="BV96" i="6"/>
  <c r="BG96" i="6"/>
  <c r="BY96" i="6"/>
  <c r="CB96" i="6"/>
  <c r="BR96" i="6"/>
  <c r="CD96" i="6"/>
  <c r="CG96" i="6"/>
  <c r="BE96" i="6"/>
  <c r="H96" i="6"/>
  <c r="T96" i="5" s="1"/>
  <c r="BT96" i="6"/>
  <c r="CI96" i="6"/>
  <c r="BZ96" i="6"/>
  <c r="CF96" i="6" l="1"/>
  <c r="CE96" i="6"/>
  <c r="BI96" i="6"/>
  <c r="BL96" i="6"/>
  <c r="BK96" i="6"/>
  <c r="BP96" i="6"/>
  <c r="BJ96" i="6"/>
  <c r="CC96" i="6"/>
  <c r="K97" i="12"/>
  <c r="AK96" i="6"/>
  <c r="AN96" i="6"/>
  <c r="AM96" i="6"/>
  <c r="BA96" i="6"/>
  <c r="AS96" i="6"/>
  <c r="N97" i="6"/>
  <c r="G97" i="6"/>
  <c r="M97" i="6"/>
  <c r="CA97" i="6" s="1"/>
  <c r="BW97" i="6"/>
  <c r="BG97" i="6"/>
  <c r="BC97" i="6"/>
  <c r="H97" i="6"/>
  <c r="T97" i="5" s="1"/>
  <c r="CK97" i="6"/>
  <c r="CE97" i="6"/>
  <c r="CD97" i="6"/>
  <c r="CH97" i="6"/>
  <c r="AQ97" i="6"/>
  <c r="CL97" i="6"/>
  <c r="CM97" i="6"/>
  <c r="AR97" i="6"/>
  <c r="BT97" i="6"/>
  <c r="AK97" i="6"/>
  <c r="C94" i="6"/>
  <c r="O94" i="5"/>
  <c r="D98" i="6"/>
  <c r="AT96" i="6"/>
  <c r="AR96" i="6"/>
  <c r="CM96" i="6"/>
  <c r="BN96" i="6"/>
  <c r="CL96" i="6"/>
  <c r="CH96" i="6"/>
  <c r="BH96" i="6"/>
  <c r="BQ96" i="6"/>
  <c r="AX96" i="6"/>
  <c r="AU96" i="6"/>
  <c r="AP96" i="6"/>
  <c r="CA96" i="6"/>
  <c r="BX96" i="6"/>
  <c r="C94" i="12"/>
  <c r="M94" i="12"/>
  <c r="AO94" i="12"/>
  <c r="O94" i="12"/>
  <c r="E98" i="12"/>
  <c r="F98" i="6"/>
  <c r="J98" i="12"/>
  <c r="L98" i="12"/>
  <c r="G96" i="12"/>
  <c r="X96" i="5"/>
  <c r="AJ96" i="6" s="1"/>
  <c r="AO96" i="6"/>
  <c r="AL96" i="6"/>
  <c r="AY96" i="6"/>
  <c r="L95" i="5"/>
  <c r="AM95" i="5"/>
  <c r="I95" i="12"/>
  <c r="I95" i="5"/>
  <c r="Z95" i="5"/>
  <c r="AC95" i="5"/>
  <c r="AJ95" i="6"/>
  <c r="AA94" i="5"/>
  <c r="AB94" i="5"/>
  <c r="AZ96" i="6"/>
  <c r="AW96" i="6"/>
  <c r="BW96" i="6"/>
  <c r="AV96" i="6"/>
  <c r="BF96" i="6"/>
  <c r="AQ96" i="6"/>
  <c r="D99" i="5"/>
  <c r="B99" i="12" s="1"/>
  <c r="AE99" i="5"/>
  <c r="AD99" i="5"/>
  <c r="J99" i="5"/>
  <c r="A99" i="12"/>
  <c r="B99" i="5"/>
  <c r="F99" i="5"/>
  <c r="R99" i="5"/>
  <c r="B99" i="6"/>
  <c r="C100" i="5"/>
  <c r="N99" i="5"/>
  <c r="K99" i="5"/>
  <c r="W99" i="5"/>
  <c r="H99" i="12" s="1"/>
  <c r="H99" i="5"/>
  <c r="G99" i="5"/>
  <c r="E99" i="5"/>
  <c r="BA97" i="6" l="1"/>
  <c r="Y94" i="12"/>
  <c r="K98" i="12"/>
  <c r="AL97" i="6"/>
  <c r="C95" i="12"/>
  <c r="AO95" i="12"/>
  <c r="O95" i="12"/>
  <c r="M95" i="12"/>
  <c r="X94" i="12"/>
  <c r="W94" i="12"/>
  <c r="M98" i="6"/>
  <c r="CH98" i="6" s="1"/>
  <c r="H98" i="6"/>
  <c r="T98" i="5" s="1"/>
  <c r="BR98" i="6"/>
  <c r="CE98" i="6"/>
  <c r="CG98" i="6"/>
  <c r="BM98" i="6"/>
  <c r="BJ98" i="6"/>
  <c r="BG98" i="6"/>
  <c r="BH98" i="6"/>
  <c r="BI98" i="6"/>
  <c r="BD98" i="6"/>
  <c r="BW98" i="6"/>
  <c r="CF98" i="6"/>
  <c r="BL98" i="6"/>
  <c r="BY98" i="6"/>
  <c r="CI98" i="6"/>
  <c r="BQ98" i="6"/>
  <c r="G98" i="6"/>
  <c r="CA98" i="6"/>
  <c r="BF98" i="6"/>
  <c r="BO98" i="6"/>
  <c r="BC98" i="6"/>
  <c r="CJ98" i="6"/>
  <c r="BN98" i="6"/>
  <c r="BS98" i="6"/>
  <c r="BP98" i="6"/>
  <c r="N98" i="6"/>
  <c r="CD98" i="6"/>
  <c r="CL98" i="6"/>
  <c r="CB98" i="6"/>
  <c r="BE98" i="6"/>
  <c r="BT98" i="6"/>
  <c r="AL98" i="6"/>
  <c r="CC98" i="6"/>
  <c r="BV98" i="6"/>
  <c r="AS98" i="6"/>
  <c r="BZ98" i="6"/>
  <c r="CM98" i="6"/>
  <c r="CJ97" i="6"/>
  <c r="BD97" i="6"/>
  <c r="BE97" i="6"/>
  <c r="BX97" i="6"/>
  <c r="BP97" i="6"/>
  <c r="CF97" i="6"/>
  <c r="AZ97" i="6"/>
  <c r="G97" i="12"/>
  <c r="X97" i="5"/>
  <c r="AJ97" i="6" s="1"/>
  <c r="CI97" i="6"/>
  <c r="AV97" i="6"/>
  <c r="AP97" i="6"/>
  <c r="AW97" i="6"/>
  <c r="BH97" i="6"/>
  <c r="BI97" i="6"/>
  <c r="BO97" i="6"/>
  <c r="CB97" i="6"/>
  <c r="AM97" i="6"/>
  <c r="AY97" i="6"/>
  <c r="J99" i="12"/>
  <c r="L99" i="12"/>
  <c r="D99" i="6"/>
  <c r="F99" i="6"/>
  <c r="E99" i="12"/>
  <c r="AB95" i="5"/>
  <c r="AA95" i="5"/>
  <c r="C95" i="6"/>
  <c r="O95" i="5"/>
  <c r="L96" i="5"/>
  <c r="I96" i="12"/>
  <c r="AM96" i="5"/>
  <c r="Z96" i="5"/>
  <c r="I96" i="5"/>
  <c r="AC96" i="5"/>
  <c r="D94" i="12"/>
  <c r="E94" i="6"/>
  <c r="AU97" i="6"/>
  <c r="AX97" i="6"/>
  <c r="AS97" i="6"/>
  <c r="BZ97" i="6"/>
  <c r="BR97" i="6"/>
  <c r="BF97" i="6"/>
  <c r="AO97" i="6"/>
  <c r="BV97" i="6"/>
  <c r="BJ97" i="6"/>
  <c r="AD100" i="5"/>
  <c r="G100" i="5"/>
  <c r="F100" i="5"/>
  <c r="AE100" i="5"/>
  <c r="D100" i="5"/>
  <c r="B100" i="12" s="1"/>
  <c r="K100" i="5"/>
  <c r="N100" i="5"/>
  <c r="C101" i="5"/>
  <c r="W100" i="5"/>
  <c r="H100" i="12" s="1"/>
  <c r="B100" i="5"/>
  <c r="B100" i="6"/>
  <c r="R100" i="5"/>
  <c r="E100" i="5"/>
  <c r="J100" i="5"/>
  <c r="H100" i="5"/>
  <c r="A100" i="12"/>
  <c r="N94" i="12"/>
  <c r="CC97" i="6"/>
  <c r="BN97" i="6"/>
  <c r="AT97" i="6"/>
  <c r="BQ97" i="6"/>
  <c r="BS97" i="6"/>
  <c r="BY97" i="6"/>
  <c r="CG97" i="6"/>
  <c r="AN97" i="6"/>
  <c r="BM97" i="6"/>
  <c r="BL97" i="6"/>
  <c r="BK97" i="6"/>
  <c r="AP98" i="6" l="1"/>
  <c r="AK98" i="6"/>
  <c r="BA98" i="6"/>
  <c r="AW98" i="6"/>
  <c r="AM98" i="6"/>
  <c r="BX98" i="6"/>
  <c r="AR98" i="6"/>
  <c r="AU98" i="6"/>
  <c r="AY98" i="6"/>
  <c r="AN98" i="6"/>
  <c r="BK98" i="6"/>
  <c r="K99" i="12"/>
  <c r="AX98" i="6"/>
  <c r="CK98" i="6"/>
  <c r="AB96" i="5"/>
  <c r="AA96" i="5"/>
  <c r="E95" i="6"/>
  <c r="D95" i="12"/>
  <c r="G98" i="12"/>
  <c r="X98" i="5"/>
  <c r="D101" i="5"/>
  <c r="B101" i="12" s="1"/>
  <c r="B101" i="5"/>
  <c r="C102" i="5" s="1"/>
  <c r="J101" i="5"/>
  <c r="AD101" i="5"/>
  <c r="B101" i="6"/>
  <c r="K101" i="5"/>
  <c r="G101" i="5"/>
  <c r="F101" i="5"/>
  <c r="E101" i="5"/>
  <c r="AE101" i="5"/>
  <c r="R101" i="5"/>
  <c r="W101" i="5"/>
  <c r="H101" i="12" s="1"/>
  <c r="N101" i="5"/>
  <c r="H101" i="5"/>
  <c r="A101" i="12"/>
  <c r="N95" i="12"/>
  <c r="L100" i="12"/>
  <c r="J100" i="12"/>
  <c r="E100" i="12"/>
  <c r="F100" i="6"/>
  <c r="D100" i="6"/>
  <c r="C96" i="12"/>
  <c r="O96" i="12"/>
  <c r="AO96" i="12"/>
  <c r="Y96" i="12" s="1"/>
  <c r="M96" i="12"/>
  <c r="M99" i="6"/>
  <c r="BK99" i="6" s="1"/>
  <c r="CE99" i="6"/>
  <c r="BS99" i="6"/>
  <c r="CJ99" i="6"/>
  <c r="G99" i="6"/>
  <c r="H99" i="6"/>
  <c r="T99" i="5" s="1"/>
  <c r="CL99" i="6"/>
  <c r="BX99" i="6"/>
  <c r="BR99" i="6"/>
  <c r="CB99" i="6"/>
  <c r="CA99" i="6"/>
  <c r="N99" i="6"/>
  <c r="CG99" i="6"/>
  <c r="BT99" i="6"/>
  <c r="CH99" i="6"/>
  <c r="BM99" i="6"/>
  <c r="AZ98" i="6"/>
  <c r="AQ98" i="6"/>
  <c r="AT98" i="6"/>
  <c r="T94" i="12"/>
  <c r="U94" i="12"/>
  <c r="V94" i="12"/>
  <c r="Y95" i="12"/>
  <c r="C96" i="6"/>
  <c r="O96" i="5"/>
  <c r="L97" i="5"/>
  <c r="I97" i="12"/>
  <c r="AM97" i="5"/>
  <c r="Z97" i="5"/>
  <c r="I97" i="5"/>
  <c r="AC97" i="5"/>
  <c r="AO98" i="6"/>
  <c r="AV98" i="6"/>
  <c r="BY99" i="6" l="1"/>
  <c r="AP99" i="6"/>
  <c r="CM99" i="6"/>
  <c r="AS99" i="6"/>
  <c r="BV99" i="6"/>
  <c r="AW99" i="6"/>
  <c r="BC99" i="6"/>
  <c r="BZ99" i="6"/>
  <c r="BH99" i="6"/>
  <c r="CK99" i="6"/>
  <c r="BQ99" i="6"/>
  <c r="BG99" i="6"/>
  <c r="K100" i="12"/>
  <c r="AZ99" i="6"/>
  <c r="BW99" i="6"/>
  <c r="BP99" i="6"/>
  <c r="CI99" i="6"/>
  <c r="BE99" i="6"/>
  <c r="CC99" i="6"/>
  <c r="CF99" i="6"/>
  <c r="AM99" i="6"/>
  <c r="BO99" i="6"/>
  <c r="BI99" i="6"/>
  <c r="AL99" i="6"/>
  <c r="AQ99" i="6"/>
  <c r="AY99" i="6"/>
  <c r="AK99" i="6"/>
  <c r="AT99" i="6"/>
  <c r="BF99" i="6"/>
  <c r="AX99" i="6"/>
  <c r="AN99" i="6"/>
  <c r="E96" i="6"/>
  <c r="D96" i="12"/>
  <c r="G99" i="12"/>
  <c r="X99" i="5"/>
  <c r="BA99" i="6"/>
  <c r="AU99" i="6"/>
  <c r="AR99" i="6"/>
  <c r="BN99" i="6"/>
  <c r="BL99" i="6"/>
  <c r="BJ99" i="6"/>
  <c r="BD99" i="6"/>
  <c r="CD99" i="6"/>
  <c r="N96" i="12"/>
  <c r="C97" i="12"/>
  <c r="O97" i="12"/>
  <c r="M97" i="12"/>
  <c r="AO97" i="12"/>
  <c r="W95" i="12"/>
  <c r="X95" i="12"/>
  <c r="L101" i="12"/>
  <c r="J101" i="12"/>
  <c r="C97" i="6"/>
  <c r="O97" i="5"/>
  <c r="AO99" i="6"/>
  <c r="F101" i="6"/>
  <c r="E101" i="12"/>
  <c r="AM98" i="5"/>
  <c r="L98" i="5"/>
  <c r="I98" i="12"/>
  <c r="Z98" i="5"/>
  <c r="I98" i="5"/>
  <c r="AC98" i="5"/>
  <c r="AJ98" i="6"/>
  <c r="AB97" i="5"/>
  <c r="AA97" i="5"/>
  <c r="AV99" i="6"/>
  <c r="X96" i="12"/>
  <c r="W96" i="12"/>
  <c r="N100" i="6"/>
  <c r="G100" i="6"/>
  <c r="M100" i="6"/>
  <c r="BV100" i="6" s="1"/>
  <c r="H100" i="6"/>
  <c r="T100" i="5" s="1"/>
  <c r="D101" i="6"/>
  <c r="W102" i="5"/>
  <c r="H102" i="12" s="1"/>
  <c r="I102" i="5"/>
  <c r="B102" i="5"/>
  <c r="AD102" i="5"/>
  <c r="G102" i="5"/>
  <c r="A102" i="12"/>
  <c r="E102" i="5"/>
  <c r="N102" i="5"/>
  <c r="B102" i="6"/>
  <c r="C103" i="5"/>
  <c r="F102" i="5"/>
  <c r="H102" i="5"/>
  <c r="AE102" i="5"/>
  <c r="CH100" i="6" l="1"/>
  <c r="BW100" i="6"/>
  <c r="CG100" i="6"/>
  <c r="BX100" i="6"/>
  <c r="BF100" i="6"/>
  <c r="BP100" i="6"/>
  <c r="AT100" i="6"/>
  <c r="BS100" i="6"/>
  <c r="BD100" i="6"/>
  <c r="AQ100" i="6"/>
  <c r="AY100" i="6"/>
  <c r="BK100" i="6"/>
  <c r="CJ100" i="6"/>
  <c r="BC100" i="6"/>
  <c r="K101" i="12"/>
  <c r="BH100" i="6"/>
  <c r="AM100" i="6"/>
  <c r="CA100" i="6"/>
  <c r="BN100" i="6"/>
  <c r="CC100" i="6"/>
  <c r="CB100" i="6"/>
  <c r="CD100" i="6"/>
  <c r="AU100" i="6"/>
  <c r="CM100" i="6"/>
  <c r="BR100" i="6"/>
  <c r="AP100" i="6"/>
  <c r="BL100" i="6"/>
  <c r="AK100" i="6"/>
  <c r="BT100" i="6"/>
  <c r="BE100" i="6"/>
  <c r="CL100" i="6"/>
  <c r="CI100" i="6"/>
  <c r="BZ100" i="6"/>
  <c r="BQ100" i="6"/>
  <c r="CF100" i="6"/>
  <c r="BY100" i="6"/>
  <c r="BO100" i="6"/>
  <c r="BI100" i="6"/>
  <c r="BG100" i="6"/>
  <c r="BM100" i="6"/>
  <c r="C98" i="12"/>
  <c r="AO98" i="12"/>
  <c r="M98" i="12"/>
  <c r="O98" i="12"/>
  <c r="AM99" i="5"/>
  <c r="I99" i="12"/>
  <c r="L99" i="5"/>
  <c r="I99" i="5"/>
  <c r="Z99" i="5"/>
  <c r="AC99" i="5"/>
  <c r="AJ99" i="6"/>
  <c r="H103" i="5"/>
  <c r="K103" i="5"/>
  <c r="AE103" i="5"/>
  <c r="J103" i="5"/>
  <c r="R103" i="5"/>
  <c r="W103" i="5"/>
  <c r="H103" i="12" s="1"/>
  <c r="B103" i="6"/>
  <c r="N103" i="5"/>
  <c r="G103" i="5"/>
  <c r="E103" i="5"/>
  <c r="B103" i="5"/>
  <c r="C104" i="5"/>
  <c r="D103" i="5"/>
  <c r="B103" i="12" s="1"/>
  <c r="F103" i="5"/>
  <c r="AD103" i="5"/>
  <c r="A103" i="12"/>
  <c r="C98" i="6"/>
  <c r="O98" i="5"/>
  <c r="N97" i="12"/>
  <c r="G100" i="12"/>
  <c r="X100" i="5"/>
  <c r="AL100" i="6"/>
  <c r="AX100" i="6"/>
  <c r="BJ100" i="6"/>
  <c r="E97" i="6"/>
  <c r="D97" i="12"/>
  <c r="U95" i="12"/>
  <c r="V95" i="12"/>
  <c r="T95" i="12"/>
  <c r="D102" i="6"/>
  <c r="N101" i="6"/>
  <c r="G101" i="6"/>
  <c r="H101" i="6"/>
  <c r="T101" i="5" s="1"/>
  <c r="M101" i="6"/>
  <c r="BK101" i="6" s="1"/>
  <c r="CB101" i="6"/>
  <c r="AR100" i="6"/>
  <c r="AV100" i="6"/>
  <c r="AO100" i="6"/>
  <c r="AW100" i="6"/>
  <c r="BA100" i="6"/>
  <c r="AN100" i="6"/>
  <c r="AS100" i="6"/>
  <c r="CK100" i="6"/>
  <c r="CE100" i="6"/>
  <c r="AZ100" i="6"/>
  <c r="V96" i="12"/>
  <c r="T96" i="12"/>
  <c r="U96" i="12"/>
  <c r="AB98" i="5"/>
  <c r="AA98" i="5"/>
  <c r="Y97" i="12"/>
  <c r="AR101" i="6" l="1"/>
  <c r="CM101" i="6"/>
  <c r="AT101" i="6"/>
  <c r="N98" i="12"/>
  <c r="BZ101" i="6"/>
  <c r="AZ101" i="6"/>
  <c r="BT101" i="6"/>
  <c r="AP101" i="6"/>
  <c r="BS101" i="6"/>
  <c r="AU101" i="6"/>
  <c r="CF101" i="6"/>
  <c r="AX101" i="6"/>
  <c r="AY101" i="6"/>
  <c r="BW101" i="6"/>
  <c r="BH101" i="6"/>
  <c r="BA101" i="6"/>
  <c r="BL101" i="6"/>
  <c r="BR101" i="6"/>
  <c r="BD101" i="6"/>
  <c r="BM101" i="6"/>
  <c r="AS101" i="6"/>
  <c r="BC101" i="6"/>
  <c r="W97" i="12"/>
  <c r="X97" i="12"/>
  <c r="BN101" i="6"/>
  <c r="CI101" i="6"/>
  <c r="BX101" i="6"/>
  <c r="AQ101" i="6"/>
  <c r="BG101" i="6"/>
  <c r="BJ101" i="6"/>
  <c r="AV101" i="6"/>
  <c r="CJ101" i="6"/>
  <c r="CA101" i="6"/>
  <c r="CC101" i="6"/>
  <c r="BY101" i="6"/>
  <c r="AO101" i="6"/>
  <c r="CG101" i="6"/>
  <c r="L100" i="5"/>
  <c r="AM100" i="5"/>
  <c r="I100" i="12"/>
  <c r="Z100" i="5"/>
  <c r="I100" i="5"/>
  <c r="AC100" i="5"/>
  <c r="AJ100" i="6"/>
  <c r="E98" i="6"/>
  <c r="D98" i="12"/>
  <c r="B104" i="6"/>
  <c r="E104" i="5"/>
  <c r="AE104" i="5"/>
  <c r="G104" i="5"/>
  <c r="A104" i="12"/>
  <c r="F104" i="5"/>
  <c r="AD104" i="5"/>
  <c r="C105" i="5"/>
  <c r="J104" i="5"/>
  <c r="K104" i="5"/>
  <c r="D104" i="5"/>
  <c r="B104" i="12" s="1"/>
  <c r="H104" i="5"/>
  <c r="R104" i="5"/>
  <c r="N104" i="5"/>
  <c r="B104" i="5"/>
  <c r="W104" i="5"/>
  <c r="H104" i="12" s="1"/>
  <c r="C99" i="6"/>
  <c r="O99" i="5"/>
  <c r="BP101" i="6"/>
  <c r="BO101" i="6"/>
  <c r="BV101" i="6"/>
  <c r="C99" i="12"/>
  <c r="AO99" i="12"/>
  <c r="M99" i="12"/>
  <c r="O99" i="12"/>
  <c r="Y98" i="12"/>
  <c r="CK101" i="6"/>
  <c r="CD101" i="6"/>
  <c r="CH101" i="6"/>
  <c r="AL101" i="6"/>
  <c r="AN101" i="6"/>
  <c r="BI101" i="6"/>
  <c r="BF101" i="6"/>
  <c r="AB99" i="5"/>
  <c r="AA99" i="5"/>
  <c r="BQ101" i="6"/>
  <c r="G101" i="12"/>
  <c r="X101" i="5"/>
  <c r="AK101" i="6"/>
  <c r="CL101" i="6"/>
  <c r="BE101" i="6"/>
  <c r="AM101" i="6"/>
  <c r="CE101" i="6"/>
  <c r="AW101" i="6"/>
  <c r="BP102" i="6"/>
  <c r="CB102" i="6"/>
  <c r="BT102" i="6"/>
  <c r="BF102" i="6"/>
  <c r="CA102" i="6"/>
  <c r="CC102" i="6"/>
  <c r="BR102" i="6"/>
  <c r="BQ102" i="6"/>
  <c r="CE102" i="6"/>
  <c r="BI102" i="6"/>
  <c r="CF102" i="6"/>
  <c r="CI102" i="6"/>
  <c r="BY102" i="6"/>
  <c r="CL102" i="6"/>
  <c r="BJ102" i="6"/>
  <c r="BX102" i="6"/>
  <c r="G102" i="6"/>
  <c r="BN102" i="6"/>
  <c r="BK102" i="6"/>
  <c r="BW102" i="6"/>
  <c r="CD102" i="6"/>
  <c r="H102" i="6"/>
  <c r="T102" i="5" s="1"/>
  <c r="G102" i="12" s="1"/>
  <c r="CM102" i="6"/>
  <c r="CG102" i="6"/>
  <c r="N102" i="6"/>
  <c r="BE102" i="6"/>
  <c r="BH102" i="6"/>
  <c r="BC102" i="6"/>
  <c r="CJ102" i="6"/>
  <c r="BD102" i="6"/>
  <c r="BS102" i="6"/>
  <c r="CH102" i="6"/>
  <c r="BM102" i="6"/>
  <c r="BO102" i="6"/>
  <c r="BZ102" i="6"/>
  <c r="BV102" i="6"/>
  <c r="BG102" i="6"/>
  <c r="BL102" i="6"/>
  <c r="CK102" i="6"/>
  <c r="M102" i="6"/>
  <c r="L103" i="12"/>
  <c r="J103" i="12"/>
  <c r="D103" i="6"/>
  <c r="E103" i="12"/>
  <c r="F103" i="6"/>
  <c r="AY102" i="6" l="1"/>
  <c r="N99" i="12"/>
  <c r="AW102" i="6"/>
  <c r="AQ102" i="6"/>
  <c r="AV102" i="6"/>
  <c r="AP102" i="6"/>
  <c r="AT102" i="6"/>
  <c r="X98" i="12"/>
  <c r="W98" i="12"/>
  <c r="D99" i="12"/>
  <c r="E99" i="6"/>
  <c r="L104" i="12"/>
  <c r="K104" i="12" s="1"/>
  <c r="J104" i="12"/>
  <c r="C100" i="6"/>
  <c r="O100" i="5"/>
  <c r="AL102" i="6"/>
  <c r="C106" i="5"/>
  <c r="B105" i="6"/>
  <c r="AE105" i="5"/>
  <c r="B105" i="5"/>
  <c r="H105" i="5"/>
  <c r="D105" i="5"/>
  <c r="B105" i="12" s="1"/>
  <c r="F105" i="5"/>
  <c r="A105" i="12"/>
  <c r="W105" i="5"/>
  <c r="H105" i="12" s="1"/>
  <c r="J105" i="5"/>
  <c r="AD105" i="5"/>
  <c r="G105" i="5"/>
  <c r="R105" i="5"/>
  <c r="E105" i="5"/>
  <c r="K105" i="5"/>
  <c r="N105" i="5"/>
  <c r="AB100" i="5"/>
  <c r="AA100" i="5"/>
  <c r="K103" i="12"/>
  <c r="AK102" i="6"/>
  <c r="AZ102" i="6"/>
  <c r="BA102" i="6"/>
  <c r="AX102" i="6"/>
  <c r="AR102" i="6"/>
  <c r="AM102" i="6"/>
  <c r="AU102" i="6"/>
  <c r="D104" i="6"/>
  <c r="C100" i="12"/>
  <c r="AO100" i="12"/>
  <c r="O100" i="12"/>
  <c r="M100" i="12"/>
  <c r="M103" i="6"/>
  <c r="CI103" i="6" s="1"/>
  <c r="N103" i="6"/>
  <c r="BH103" i="6"/>
  <c r="H103" i="6"/>
  <c r="T103" i="5" s="1"/>
  <c r="G103" i="6"/>
  <c r="BR103" i="6"/>
  <c r="CE103" i="6"/>
  <c r="CA103" i="6"/>
  <c r="CC103" i="6"/>
  <c r="AO102" i="6"/>
  <c r="AS102" i="6"/>
  <c r="AN102" i="6"/>
  <c r="AJ102" i="6"/>
  <c r="AM101" i="5"/>
  <c r="L101" i="5"/>
  <c r="I101" i="12"/>
  <c r="I101" i="5"/>
  <c r="Z101" i="5"/>
  <c r="AC101" i="5"/>
  <c r="AJ101" i="6"/>
  <c r="Y99" i="12"/>
  <c r="E104" i="12"/>
  <c r="F104" i="6"/>
  <c r="U97" i="12"/>
  <c r="V97" i="12"/>
  <c r="T97" i="12"/>
  <c r="CD103" i="6" l="1"/>
  <c r="BD103" i="6"/>
  <c r="BO103" i="6"/>
  <c r="BJ103" i="6"/>
  <c r="BK103" i="6"/>
  <c r="BM103" i="6"/>
  <c r="BW103" i="6"/>
  <c r="CM103" i="6"/>
  <c r="BL103" i="6"/>
  <c r="BF103" i="6"/>
  <c r="CF103" i="6"/>
  <c r="BG103" i="6"/>
  <c r="BX103" i="6"/>
  <c r="BT103" i="6"/>
  <c r="CJ103" i="6"/>
  <c r="BS103" i="6"/>
  <c r="CL103" i="6"/>
  <c r="CK103" i="6"/>
  <c r="BE103" i="6"/>
  <c r="BN103" i="6"/>
  <c r="AR103" i="6"/>
  <c r="AO103" i="6"/>
  <c r="AQ103" i="6"/>
  <c r="AP103" i="6"/>
  <c r="AV103" i="6"/>
  <c r="AW103" i="6"/>
  <c r="AK103" i="6"/>
  <c r="AM103" i="6"/>
  <c r="AY103" i="6"/>
  <c r="CH103" i="6"/>
  <c r="C101" i="12"/>
  <c r="O101" i="12"/>
  <c r="AO101" i="12"/>
  <c r="M101" i="12"/>
  <c r="F105" i="6"/>
  <c r="E105" i="12"/>
  <c r="E100" i="6"/>
  <c r="D100" i="12"/>
  <c r="C101" i="6"/>
  <c r="O101" i="5"/>
  <c r="N104" i="6"/>
  <c r="H104" i="6"/>
  <c r="T104" i="5" s="1"/>
  <c r="M104" i="6"/>
  <c r="CL104" i="6" s="1"/>
  <c r="BR104" i="6"/>
  <c r="AX104" i="6"/>
  <c r="BC104" i="6"/>
  <c r="CA104" i="6"/>
  <c r="BY104" i="6"/>
  <c r="BN104" i="6"/>
  <c r="AL104" i="6"/>
  <c r="AP104" i="6"/>
  <c r="AW104" i="6"/>
  <c r="G104" i="6"/>
  <c r="BE104" i="6"/>
  <c r="BP104" i="6"/>
  <c r="BQ104" i="6"/>
  <c r="CH104" i="6"/>
  <c r="BV104" i="6"/>
  <c r="AZ104" i="6"/>
  <c r="BX104" i="6"/>
  <c r="AS104" i="6"/>
  <c r="BK104" i="6"/>
  <c r="AT104" i="6"/>
  <c r="V98" i="12"/>
  <c r="T98" i="12"/>
  <c r="U98" i="12"/>
  <c r="G103" i="12"/>
  <c r="X103" i="5"/>
  <c r="AL103" i="6"/>
  <c r="BZ103" i="6"/>
  <c r="AN103" i="6"/>
  <c r="CG103" i="6"/>
  <c r="BP103" i="6"/>
  <c r="N100" i="12"/>
  <c r="D105" i="6"/>
  <c r="L105" i="12"/>
  <c r="J105" i="12"/>
  <c r="B106" i="6"/>
  <c r="D106" i="5"/>
  <c r="B106" i="12" s="1"/>
  <c r="N106" i="5"/>
  <c r="A106" i="12"/>
  <c r="R106" i="5"/>
  <c r="K106" i="5"/>
  <c r="E106" i="5"/>
  <c r="J106" i="5"/>
  <c r="W106" i="5"/>
  <c r="H106" i="12" s="1"/>
  <c r="AD106" i="5"/>
  <c r="G106" i="5"/>
  <c r="B106" i="5"/>
  <c r="C107" i="5" s="1"/>
  <c r="H106" i="5"/>
  <c r="F106" i="5"/>
  <c r="AE106" i="5"/>
  <c r="AB101" i="5"/>
  <c r="AA101" i="5"/>
  <c r="X99" i="12"/>
  <c r="W99" i="12"/>
  <c r="AZ103" i="6"/>
  <c r="BI103" i="6"/>
  <c r="AT103" i="6"/>
  <c r="BA103" i="6"/>
  <c r="AX103" i="6"/>
  <c r="BC103" i="6"/>
  <c r="BY103" i="6"/>
  <c r="CB103" i="6"/>
  <c r="BQ103" i="6"/>
  <c r="AS103" i="6"/>
  <c r="AU103" i="6"/>
  <c r="BV103" i="6"/>
  <c r="Y100" i="12"/>
  <c r="AO104" i="6" l="1"/>
  <c r="CI104" i="6"/>
  <c r="BZ104" i="6"/>
  <c r="BH104" i="6"/>
  <c r="CM104" i="6"/>
  <c r="BF104" i="6"/>
  <c r="N101" i="12"/>
  <c r="AN104" i="6"/>
  <c r="BD104" i="6"/>
  <c r="AU104" i="6"/>
  <c r="AQ104" i="6"/>
  <c r="BJ104" i="6"/>
  <c r="F107" i="5"/>
  <c r="W107" i="5"/>
  <c r="H107" i="12" s="1"/>
  <c r="G107" i="5"/>
  <c r="N107" i="5"/>
  <c r="A107" i="12"/>
  <c r="E107" i="5"/>
  <c r="H107" i="5"/>
  <c r="AE107" i="5"/>
  <c r="B107" i="5"/>
  <c r="AD107" i="5"/>
  <c r="I107" i="5"/>
  <c r="C108" i="5"/>
  <c r="B107" i="6"/>
  <c r="X100" i="12"/>
  <c r="W100" i="12"/>
  <c r="L106" i="12"/>
  <c r="K106" i="12" s="1"/>
  <c r="J106" i="12"/>
  <c r="AR104" i="6"/>
  <c r="CB104" i="6"/>
  <c r="BS104" i="6"/>
  <c r="G104" i="12"/>
  <c r="X104" i="5"/>
  <c r="D106" i="6"/>
  <c r="AM103" i="5"/>
  <c r="I103" i="12"/>
  <c r="L103" i="5"/>
  <c r="Z103" i="5"/>
  <c r="I103" i="5"/>
  <c r="AC103" i="5"/>
  <c r="AJ103" i="6"/>
  <c r="BI104" i="6"/>
  <c r="BM104" i="6"/>
  <c r="BL104" i="6"/>
  <c r="AM104" i="6"/>
  <c r="CK104" i="6"/>
  <c r="CF104" i="6"/>
  <c r="Y101" i="12"/>
  <c r="G105" i="6"/>
  <c r="N105" i="6"/>
  <c r="CM105" i="6"/>
  <c r="BG105" i="6"/>
  <c r="M105" i="6"/>
  <c r="BE105" i="6" s="1"/>
  <c r="H105" i="6"/>
  <c r="T105" i="5" s="1"/>
  <c r="BC105" i="6"/>
  <c r="CJ105" i="6"/>
  <c r="CL105" i="6"/>
  <c r="BJ105" i="6"/>
  <c r="BY105" i="6"/>
  <c r="AR105" i="6"/>
  <c r="BZ105" i="6"/>
  <c r="CA105" i="6"/>
  <c r="BX105" i="6"/>
  <c r="BF105" i="6"/>
  <c r="BN105" i="6"/>
  <c r="BQ105" i="6"/>
  <c r="BH105" i="6"/>
  <c r="AU105" i="6"/>
  <c r="CD105" i="6"/>
  <c r="BT105" i="6"/>
  <c r="BT104" i="6"/>
  <c r="CJ104" i="6"/>
  <c r="AV104" i="6"/>
  <c r="BW104" i="6"/>
  <c r="CE104" i="6"/>
  <c r="D101" i="12"/>
  <c r="E101" i="6"/>
  <c r="V99" i="12"/>
  <c r="U99" i="12"/>
  <c r="T99" i="12"/>
  <c r="F106" i="6"/>
  <c r="E106" i="12"/>
  <c r="K105" i="12"/>
  <c r="BG104" i="6"/>
  <c r="BO104" i="6"/>
  <c r="BA104" i="6"/>
  <c r="CG104" i="6"/>
  <c r="CD104" i="6"/>
  <c r="AY104" i="6"/>
  <c r="AK104" i="6"/>
  <c r="CC104" i="6"/>
  <c r="BP105" i="6" l="1"/>
  <c r="BL105" i="6"/>
  <c r="AN105" i="6"/>
  <c r="AT105" i="6"/>
  <c r="AP105" i="6"/>
  <c r="CC105" i="6"/>
  <c r="BV105" i="6"/>
  <c r="BO105" i="6"/>
  <c r="AO105" i="6"/>
  <c r="BM105" i="6"/>
  <c r="BI105" i="6"/>
  <c r="AZ105" i="6"/>
  <c r="AK105" i="6"/>
  <c r="BR105" i="6"/>
  <c r="BD105" i="6"/>
  <c r="CK105" i="6"/>
  <c r="CH105" i="6"/>
  <c r="AW105" i="6"/>
  <c r="AB103" i="5"/>
  <c r="AA103" i="5"/>
  <c r="G106" i="6"/>
  <c r="N106" i="6"/>
  <c r="M106" i="6"/>
  <c r="BS106" i="6" s="1"/>
  <c r="BC106" i="6"/>
  <c r="BY106" i="6"/>
  <c r="CD106" i="6"/>
  <c r="BX106" i="6"/>
  <c r="CH106" i="6"/>
  <c r="BF106" i="6"/>
  <c r="CG106" i="6"/>
  <c r="CB106" i="6"/>
  <c r="CL106" i="6"/>
  <c r="BP106" i="6"/>
  <c r="BZ106" i="6"/>
  <c r="BR106" i="6"/>
  <c r="BM106" i="6"/>
  <c r="H106" i="6"/>
  <c r="T106" i="5" s="1"/>
  <c r="BQ106" i="6"/>
  <c r="U100" i="12"/>
  <c r="V100" i="12"/>
  <c r="T100" i="12"/>
  <c r="AY105" i="6"/>
  <c r="AM105" i="6"/>
  <c r="BA105" i="6"/>
  <c r="CI105" i="6"/>
  <c r="AV105" i="6"/>
  <c r="BW105" i="6"/>
  <c r="CF105" i="6"/>
  <c r="CE105" i="6"/>
  <c r="C103" i="6"/>
  <c r="O103" i="5"/>
  <c r="G105" i="12"/>
  <c r="X105" i="5"/>
  <c r="AX105" i="6"/>
  <c r="X101" i="12"/>
  <c r="W101" i="12"/>
  <c r="C103" i="12"/>
  <c r="M103" i="12"/>
  <c r="O103" i="12"/>
  <c r="AO103" i="12"/>
  <c r="I104" i="12"/>
  <c r="AM104" i="5"/>
  <c r="L104" i="5"/>
  <c r="Z104" i="5"/>
  <c r="I104" i="5"/>
  <c r="AC104" i="5"/>
  <c r="AJ104" i="6"/>
  <c r="AL105" i="6"/>
  <c r="AS105" i="6"/>
  <c r="CB105" i="6"/>
  <c r="AQ105" i="6"/>
  <c r="CG105" i="6"/>
  <c r="BS105" i="6"/>
  <c r="BK105" i="6"/>
  <c r="B108" i="5"/>
  <c r="AE108" i="5"/>
  <c r="G108" i="5"/>
  <c r="W108" i="5"/>
  <c r="H108" i="12" s="1"/>
  <c r="H108" i="5"/>
  <c r="N108" i="5"/>
  <c r="F108" i="5"/>
  <c r="B108" i="6"/>
  <c r="R108" i="5"/>
  <c r="K108" i="5"/>
  <c r="E108" i="5"/>
  <c r="J108" i="5"/>
  <c r="C109" i="5"/>
  <c r="AD108" i="5"/>
  <c r="A108" i="12"/>
  <c r="D108" i="5"/>
  <c r="B108" i="12" s="1"/>
  <c r="D107" i="6"/>
  <c r="N103" i="12" l="1"/>
  <c r="AS106" i="6"/>
  <c r="AN106" i="6"/>
  <c r="AP106" i="6"/>
  <c r="AZ106" i="6"/>
  <c r="AR106" i="6"/>
  <c r="AM106" i="6"/>
  <c r="H109" i="5"/>
  <c r="F109" i="5"/>
  <c r="D109" i="5"/>
  <c r="B109" i="12" s="1"/>
  <c r="A109" i="12"/>
  <c r="R109" i="5"/>
  <c r="K109" i="5"/>
  <c r="G109" i="5"/>
  <c r="B109" i="5"/>
  <c r="N109" i="5"/>
  <c r="B109" i="6"/>
  <c r="AD109" i="5"/>
  <c r="AE109" i="5"/>
  <c r="C110" i="5"/>
  <c r="J109" i="5"/>
  <c r="W109" i="5"/>
  <c r="H109" i="12" s="1"/>
  <c r="E109" i="5"/>
  <c r="C104" i="12"/>
  <c r="M104" i="12"/>
  <c r="O104" i="12"/>
  <c r="AO104" i="12"/>
  <c r="BT106" i="6"/>
  <c r="BH106" i="6"/>
  <c r="CF106" i="6"/>
  <c r="BK106" i="6"/>
  <c r="BJ106" i="6"/>
  <c r="AV106" i="6"/>
  <c r="BI106" i="6"/>
  <c r="AB104" i="5"/>
  <c r="AA104" i="5"/>
  <c r="Y103" i="12"/>
  <c r="V101" i="12"/>
  <c r="T101" i="12"/>
  <c r="U101" i="12"/>
  <c r="AM105" i="5"/>
  <c r="I105" i="12"/>
  <c r="L105" i="5"/>
  <c r="I105" i="5"/>
  <c r="Z105" i="5"/>
  <c r="AC105" i="5"/>
  <c r="CC106" i="6"/>
  <c r="BV106" i="6"/>
  <c r="CK106" i="6"/>
  <c r="AQ106" i="6"/>
  <c r="CA106" i="6"/>
  <c r="BN106" i="6"/>
  <c r="J108" i="12"/>
  <c r="L108" i="12"/>
  <c r="C104" i="6"/>
  <c r="O104" i="5"/>
  <c r="AT106" i="6"/>
  <c r="AL106" i="6"/>
  <c r="BA106" i="6"/>
  <c r="BG106" i="6"/>
  <c r="AU106" i="6"/>
  <c r="BO106" i="6"/>
  <c r="CJ106" i="6"/>
  <c r="D108" i="6"/>
  <c r="BX107" i="6"/>
  <c r="BY107" i="6"/>
  <c r="BK107" i="6"/>
  <c r="CB107" i="6"/>
  <c r="CA107" i="6"/>
  <c r="BH107" i="6"/>
  <c r="BS107" i="6"/>
  <c r="BM107" i="6"/>
  <c r="G107" i="6"/>
  <c r="N107" i="6"/>
  <c r="CE107" i="6"/>
  <c r="CD107" i="6"/>
  <c r="BF107" i="6"/>
  <c r="BI107" i="6"/>
  <c r="BD107" i="6"/>
  <c r="H107" i="6"/>
  <c r="T107" i="5" s="1"/>
  <c r="G107" i="12" s="1"/>
  <c r="CL107" i="6"/>
  <c r="BC107" i="6"/>
  <c r="BO107" i="6"/>
  <c r="BN107" i="6"/>
  <c r="BR107" i="6"/>
  <c r="BJ107" i="6"/>
  <c r="BW107" i="6"/>
  <c r="BL107" i="6"/>
  <c r="CF107" i="6"/>
  <c r="CG107" i="6"/>
  <c r="M107" i="6"/>
  <c r="BZ107" i="6"/>
  <c r="BV107" i="6"/>
  <c r="BQ107" i="6"/>
  <c r="CM107" i="6"/>
  <c r="AY107" i="6"/>
  <c r="CH107" i="6"/>
  <c r="BP107" i="6"/>
  <c r="BT107" i="6"/>
  <c r="CK107" i="6"/>
  <c r="BG107" i="6"/>
  <c r="BE107" i="6"/>
  <c r="CC107" i="6"/>
  <c r="AJ107" i="6"/>
  <c r="CI107" i="6"/>
  <c r="CJ107" i="6"/>
  <c r="F108" i="6"/>
  <c r="E108" i="12"/>
  <c r="AJ105" i="6"/>
  <c r="D103" i="12"/>
  <c r="E103" i="6"/>
  <c r="G106" i="12"/>
  <c r="X106" i="5"/>
  <c r="AJ106" i="6" s="1"/>
  <c r="BD106" i="6"/>
  <c r="BE106" i="6"/>
  <c r="AO106" i="6"/>
  <c r="CI106" i="6"/>
  <c r="AW106" i="6"/>
  <c r="BL106" i="6"/>
  <c r="CE106" i="6"/>
  <c r="BW106" i="6"/>
  <c r="CM106" i="6"/>
  <c r="AX106" i="6"/>
  <c r="AK106" i="6"/>
  <c r="AY106" i="6"/>
  <c r="AQ107" i="6" l="1"/>
  <c r="AT107" i="6"/>
  <c r="AS107" i="6"/>
  <c r="AN107" i="6"/>
  <c r="AZ107" i="6"/>
  <c r="AP107" i="6"/>
  <c r="AW107" i="6"/>
  <c r="AB105" i="5"/>
  <c r="AA105" i="5"/>
  <c r="W103" i="12"/>
  <c r="X103" i="12"/>
  <c r="J109" i="12"/>
  <c r="L109" i="12"/>
  <c r="AU107" i="6"/>
  <c r="BA107" i="6"/>
  <c r="H108" i="6"/>
  <c r="T108" i="5" s="1"/>
  <c r="G108" i="6"/>
  <c r="M108" i="6"/>
  <c r="BF108" i="6" s="1"/>
  <c r="N108" i="6"/>
  <c r="BS108" i="6"/>
  <c r="CF108" i="6"/>
  <c r="D109" i="6"/>
  <c r="AM106" i="5"/>
  <c r="I106" i="12"/>
  <c r="L106" i="5"/>
  <c r="Z106" i="5"/>
  <c r="I106" i="5"/>
  <c r="AC106" i="5"/>
  <c r="AO107" i="6"/>
  <c r="AX107" i="6"/>
  <c r="AV107" i="6"/>
  <c r="AL107" i="6"/>
  <c r="AR107" i="6"/>
  <c r="E104" i="6"/>
  <c r="D104" i="12"/>
  <c r="K108" i="12"/>
  <c r="C105" i="6"/>
  <c r="O105" i="5"/>
  <c r="Y104" i="12"/>
  <c r="D110" i="5"/>
  <c r="B110" i="12" s="1"/>
  <c r="B110" i="6"/>
  <c r="AE110" i="5"/>
  <c r="G110" i="5"/>
  <c r="AD110" i="5"/>
  <c r="K110" i="5"/>
  <c r="N110" i="5"/>
  <c r="B110" i="5"/>
  <c r="F110" i="5"/>
  <c r="J110" i="5"/>
  <c r="R110" i="5"/>
  <c r="C111" i="5"/>
  <c r="H110" i="5"/>
  <c r="E110" i="5"/>
  <c r="A110" i="12"/>
  <c r="W110" i="5"/>
  <c r="H110" i="12" s="1"/>
  <c r="AM107" i="6"/>
  <c r="AK107" i="6"/>
  <c r="C105" i="12"/>
  <c r="O105" i="12"/>
  <c r="M105" i="12"/>
  <c r="AO105" i="12"/>
  <c r="N104" i="12"/>
  <c r="F109" i="6"/>
  <c r="E109" i="12"/>
  <c r="K109" i="12" l="1"/>
  <c r="Y105" i="12"/>
  <c r="X104" i="12"/>
  <c r="W104" i="12"/>
  <c r="AM108" i="6"/>
  <c r="CK108" i="6"/>
  <c r="BQ108" i="6"/>
  <c r="CA108" i="6"/>
  <c r="BO108" i="6"/>
  <c r="BR108" i="6"/>
  <c r="BH108" i="6"/>
  <c r="BW108" i="6"/>
  <c r="AO108" i="6"/>
  <c r="AN108" i="6"/>
  <c r="CD108" i="6"/>
  <c r="AR108" i="6"/>
  <c r="BA108" i="6"/>
  <c r="BI108" i="6"/>
  <c r="CG108" i="6"/>
  <c r="AB106" i="5"/>
  <c r="AA106" i="5"/>
  <c r="CJ108" i="6"/>
  <c r="CL108" i="6"/>
  <c r="AZ108" i="6"/>
  <c r="AU108" i="6"/>
  <c r="AV108" i="6"/>
  <c r="BD108" i="6"/>
  <c r="BT108" i="6"/>
  <c r="AW108" i="6"/>
  <c r="CE108" i="6"/>
  <c r="CB108" i="6"/>
  <c r="T103" i="12"/>
  <c r="U103" i="12"/>
  <c r="V103" i="12"/>
  <c r="J110" i="12"/>
  <c r="L110" i="12"/>
  <c r="K110" i="12" s="1"/>
  <c r="N105" i="12"/>
  <c r="C106" i="6"/>
  <c r="O106" i="5"/>
  <c r="M109" i="6"/>
  <c r="BL109" i="6" s="1"/>
  <c r="H109" i="6"/>
  <c r="T109" i="5" s="1"/>
  <c r="G109" i="6"/>
  <c r="AQ109" i="6"/>
  <c r="N109" i="6"/>
  <c r="BZ109" i="6"/>
  <c r="BE108" i="6"/>
  <c r="CM108" i="6"/>
  <c r="AK108" i="6"/>
  <c r="CC108" i="6"/>
  <c r="CI108" i="6"/>
  <c r="BN108" i="6"/>
  <c r="BM108" i="6"/>
  <c r="G108" i="12"/>
  <c r="X108" i="5"/>
  <c r="AP108" i="6"/>
  <c r="BK108" i="6"/>
  <c r="BV108" i="6"/>
  <c r="BP108" i="6"/>
  <c r="N111" i="5"/>
  <c r="A111" i="12"/>
  <c r="J111" i="5"/>
  <c r="AD111" i="5"/>
  <c r="F111" i="5"/>
  <c r="AE111" i="5"/>
  <c r="B111" i="5"/>
  <c r="W111" i="5"/>
  <c r="H111" i="12" s="1"/>
  <c r="E111" i="5"/>
  <c r="G111" i="5"/>
  <c r="D111" i="5"/>
  <c r="B111" i="12" s="1"/>
  <c r="C112" i="5"/>
  <c r="R111" i="5"/>
  <c r="B111" i="6"/>
  <c r="H111" i="5"/>
  <c r="K111" i="5"/>
  <c r="E105" i="6"/>
  <c r="D105" i="12"/>
  <c r="F110" i="6"/>
  <c r="E110" i="12"/>
  <c r="D110" i="6"/>
  <c r="C106" i="12"/>
  <c r="AO106" i="12"/>
  <c r="M106" i="12"/>
  <c r="O106" i="12"/>
  <c r="BL108" i="6"/>
  <c r="BJ108" i="6"/>
  <c r="AY108" i="6"/>
  <c r="AS108" i="6"/>
  <c r="BG108" i="6"/>
  <c r="BY108" i="6"/>
  <c r="CH108" i="6"/>
  <c r="BZ108" i="6"/>
  <c r="BX108" i="6"/>
  <c r="AT108" i="6"/>
  <c r="AL108" i="6"/>
  <c r="AX108" i="6"/>
  <c r="AQ108" i="6"/>
  <c r="BC108" i="6"/>
  <c r="BC109" i="6" l="1"/>
  <c r="BN109" i="6"/>
  <c r="CH109" i="6"/>
  <c r="BV109" i="6"/>
  <c r="N106" i="12"/>
  <c r="BM109" i="6"/>
  <c r="AM109" i="6"/>
  <c r="AL109" i="6"/>
  <c r="BJ109" i="6"/>
  <c r="CJ109" i="6"/>
  <c r="BF109" i="6"/>
  <c r="BP109" i="6"/>
  <c r="CC109" i="6"/>
  <c r="BS109" i="6"/>
  <c r="AU109" i="6"/>
  <c r="AS109" i="6"/>
  <c r="CA109" i="6"/>
  <c r="BA109" i="6"/>
  <c r="BK109" i="6"/>
  <c r="CB109" i="6"/>
  <c r="AZ109" i="6"/>
  <c r="CF109" i="6"/>
  <c r="AW109" i="6"/>
  <c r="BI109" i="6"/>
  <c r="BG109" i="6"/>
  <c r="CL109" i="6"/>
  <c r="BD109" i="6"/>
  <c r="BQ109" i="6"/>
  <c r="CG109" i="6"/>
  <c r="BY109" i="6"/>
  <c r="CI109" i="6"/>
  <c r="CE109" i="6"/>
  <c r="BH109" i="6"/>
  <c r="CD109" i="6"/>
  <c r="D111" i="6"/>
  <c r="AT109" i="6"/>
  <c r="AY109" i="6"/>
  <c r="F111" i="6"/>
  <c r="E111" i="12"/>
  <c r="AM108" i="5"/>
  <c r="I108" i="12"/>
  <c r="L108" i="5"/>
  <c r="I108" i="5"/>
  <c r="Z108" i="5"/>
  <c r="AC108" i="5"/>
  <c r="G109" i="12"/>
  <c r="X109" i="5"/>
  <c r="AJ109" i="6" s="1"/>
  <c r="AN109" i="6"/>
  <c r="D106" i="12"/>
  <c r="E106" i="6"/>
  <c r="N110" i="6"/>
  <c r="G110" i="6"/>
  <c r="M110" i="6"/>
  <c r="BX110" i="6" s="1"/>
  <c r="BV110" i="6"/>
  <c r="AU110" i="6"/>
  <c r="AV110" i="6"/>
  <c r="H110" i="6"/>
  <c r="T110" i="5" s="1"/>
  <c r="BM110" i="6"/>
  <c r="BQ110" i="6"/>
  <c r="AP110" i="6"/>
  <c r="BL110" i="6"/>
  <c r="CJ110" i="6"/>
  <c r="BC110" i="6"/>
  <c r="AX110" i="6"/>
  <c r="AK110" i="6"/>
  <c r="AZ110" i="6"/>
  <c r="AM110" i="6"/>
  <c r="BI110" i="6"/>
  <c r="AS110" i="6"/>
  <c r="AJ108" i="6"/>
  <c r="AP109" i="6"/>
  <c r="AO109" i="6"/>
  <c r="AK109" i="6"/>
  <c r="C113" i="5"/>
  <c r="I112" i="5"/>
  <c r="W112" i="5"/>
  <c r="H112" i="12" s="1"/>
  <c r="B112" i="6"/>
  <c r="B112" i="5"/>
  <c r="F112" i="5"/>
  <c r="H112" i="5"/>
  <c r="E112" i="5"/>
  <c r="AD112" i="5"/>
  <c r="A112" i="12"/>
  <c r="AE112" i="5"/>
  <c r="N112" i="5"/>
  <c r="G112" i="5"/>
  <c r="K107" i="5" s="1"/>
  <c r="Y106" i="12"/>
  <c r="J111" i="12"/>
  <c r="L111" i="12"/>
  <c r="AV109" i="6"/>
  <c r="BO109" i="6"/>
  <c r="BW109" i="6"/>
  <c r="CM109" i="6"/>
  <c r="BR109" i="6"/>
  <c r="BX109" i="6"/>
  <c r="AX109" i="6"/>
  <c r="BE109" i="6"/>
  <c r="AR109" i="6"/>
  <c r="CK109" i="6"/>
  <c r="BT109" i="6"/>
  <c r="V104" i="12"/>
  <c r="U104" i="12"/>
  <c r="T104" i="12"/>
  <c r="W105" i="12"/>
  <c r="X105" i="12"/>
  <c r="BW110" i="6" l="1"/>
  <c r="BT110" i="6"/>
  <c r="CG110" i="6"/>
  <c r="BJ110" i="6"/>
  <c r="CM110" i="6"/>
  <c r="K111" i="12"/>
  <c r="BY110" i="6"/>
  <c r="CH110" i="6"/>
  <c r="BO110" i="6"/>
  <c r="CF110" i="6"/>
  <c r="CB110" i="6"/>
  <c r="AT110" i="6"/>
  <c r="AQ110" i="6"/>
  <c r="CA110" i="6"/>
  <c r="U105" i="12"/>
  <c r="T105" i="12"/>
  <c r="V105" i="12"/>
  <c r="CK110" i="6"/>
  <c r="BZ110" i="6"/>
  <c r="CI110" i="6"/>
  <c r="BE110" i="6"/>
  <c r="BK110" i="6"/>
  <c r="BN110" i="6"/>
  <c r="BF110" i="6"/>
  <c r="CE110" i="6"/>
  <c r="AR110" i="6"/>
  <c r="AW110" i="6"/>
  <c r="BA110" i="6"/>
  <c r="BD110" i="6"/>
  <c r="AB108" i="5"/>
  <c r="AA108" i="5"/>
  <c r="W106" i="12"/>
  <c r="X106" i="12"/>
  <c r="G110" i="12"/>
  <c r="X110" i="5"/>
  <c r="BS110" i="6"/>
  <c r="AY110" i="6"/>
  <c r="BP110" i="6"/>
  <c r="AL110" i="6"/>
  <c r="BH110" i="6"/>
  <c r="AO110" i="6"/>
  <c r="BG110" i="6"/>
  <c r="AM109" i="5"/>
  <c r="L109" i="5"/>
  <c r="I109" i="12"/>
  <c r="I109" i="5"/>
  <c r="Z109" i="5"/>
  <c r="AC109" i="5"/>
  <c r="J113" i="5"/>
  <c r="K113" i="5"/>
  <c r="AE113" i="5"/>
  <c r="E113" i="5"/>
  <c r="D113" i="5"/>
  <c r="B113" i="12" s="1"/>
  <c r="A113" i="12"/>
  <c r="B113" i="6"/>
  <c r="H113" i="5"/>
  <c r="W113" i="5"/>
  <c r="H113" i="12" s="1"/>
  <c r="N113" i="5"/>
  <c r="C114" i="5"/>
  <c r="R113" i="5"/>
  <c r="G113" i="5"/>
  <c r="AD113" i="5"/>
  <c r="B113" i="5"/>
  <c r="F113" i="5"/>
  <c r="AN110" i="6"/>
  <c r="CD110" i="6"/>
  <c r="CL110" i="6"/>
  <c r="C108" i="6"/>
  <c r="O108" i="5"/>
  <c r="N111" i="6"/>
  <c r="M111" i="6"/>
  <c r="CB111" i="6" s="1"/>
  <c r="CM111" i="6"/>
  <c r="BD111" i="6"/>
  <c r="BS111" i="6"/>
  <c r="H111" i="6"/>
  <c r="T111" i="5" s="1"/>
  <c r="G111" i="6"/>
  <c r="D112" i="6"/>
  <c r="BR110" i="6"/>
  <c r="CC110" i="6"/>
  <c r="C108" i="12"/>
  <c r="AO108" i="12"/>
  <c r="O108" i="12"/>
  <c r="M108" i="12"/>
  <c r="BO111" i="6" l="1"/>
  <c r="BV111" i="6"/>
  <c r="CL111" i="6"/>
  <c r="BE111" i="6"/>
  <c r="BH111" i="6"/>
  <c r="BF111" i="6"/>
  <c r="CD111" i="6"/>
  <c r="CE111" i="6"/>
  <c r="BY111" i="6"/>
  <c r="BR111" i="6"/>
  <c r="AR111" i="6"/>
  <c r="CJ111" i="6"/>
  <c r="BZ111" i="6"/>
  <c r="BJ111" i="6"/>
  <c r="BL111" i="6"/>
  <c r="CI111" i="6"/>
  <c r="CK111" i="6"/>
  <c r="CH111" i="6"/>
  <c r="CG111" i="6"/>
  <c r="AY111" i="6"/>
  <c r="AU111" i="6"/>
  <c r="AK111" i="6"/>
  <c r="AQ111" i="6"/>
  <c r="AT111" i="6"/>
  <c r="AS111" i="6"/>
  <c r="AX111" i="6"/>
  <c r="BA111" i="6"/>
  <c r="AL111" i="6"/>
  <c r="BK111" i="6"/>
  <c r="BN111" i="6"/>
  <c r="BW111" i="6"/>
  <c r="BQ111" i="6"/>
  <c r="BT111" i="6"/>
  <c r="Y108" i="12"/>
  <c r="AM111" i="6"/>
  <c r="CC111" i="6"/>
  <c r="AV111" i="6"/>
  <c r="D108" i="12"/>
  <c r="E108" i="6"/>
  <c r="AD114" i="5"/>
  <c r="K114" i="5"/>
  <c r="F114" i="5"/>
  <c r="N114" i="5"/>
  <c r="J114" i="5"/>
  <c r="H114" i="5"/>
  <c r="AE114" i="5"/>
  <c r="R114" i="5"/>
  <c r="B114" i="5"/>
  <c r="G114" i="5"/>
  <c r="A114" i="12"/>
  <c r="B114" i="6"/>
  <c r="D114" i="5"/>
  <c r="B114" i="12" s="1"/>
  <c r="C115" i="5"/>
  <c r="W114" i="5"/>
  <c r="H114" i="12" s="1"/>
  <c r="E114" i="5"/>
  <c r="AB109" i="5"/>
  <c r="AA109" i="5"/>
  <c r="AM110" i="5"/>
  <c r="I110" i="12"/>
  <c r="L110" i="5"/>
  <c r="I110" i="5"/>
  <c r="Z110" i="5"/>
  <c r="AC110" i="5"/>
  <c r="AJ110" i="6"/>
  <c r="BS112" i="6"/>
  <c r="BQ112" i="6"/>
  <c r="BY112" i="6"/>
  <c r="H112" i="6"/>
  <c r="T112" i="5" s="1"/>
  <c r="G112" i="12" s="1"/>
  <c r="CI112" i="6"/>
  <c r="BZ112" i="6"/>
  <c r="CH112" i="6"/>
  <c r="BL112" i="6"/>
  <c r="BW112" i="6"/>
  <c r="BX112" i="6"/>
  <c r="BN112" i="6"/>
  <c r="CD112" i="6"/>
  <c r="BI112" i="6"/>
  <c r="G112" i="6"/>
  <c r="BE112" i="6"/>
  <c r="BD112" i="6"/>
  <c r="CE112" i="6"/>
  <c r="BM112" i="6"/>
  <c r="CJ112" i="6"/>
  <c r="CB112" i="6"/>
  <c r="BG112" i="6"/>
  <c r="CA112" i="6"/>
  <c r="CF112" i="6"/>
  <c r="BF112" i="6"/>
  <c r="M112" i="6"/>
  <c r="CG112" i="6"/>
  <c r="BK112" i="6"/>
  <c r="CL112" i="6"/>
  <c r="N112" i="6"/>
  <c r="BH112" i="6"/>
  <c r="CM112" i="6"/>
  <c r="BP112" i="6"/>
  <c r="CK112" i="6"/>
  <c r="BO112" i="6"/>
  <c r="CC112" i="6"/>
  <c r="BT112" i="6"/>
  <c r="BR112" i="6"/>
  <c r="BV112" i="6"/>
  <c r="BC112" i="6"/>
  <c r="BJ112" i="6"/>
  <c r="G111" i="12"/>
  <c r="X111" i="5"/>
  <c r="AJ111" i="6" s="1"/>
  <c r="BM111" i="6"/>
  <c r="AW111" i="6"/>
  <c r="BC111" i="6"/>
  <c r="CF111" i="6"/>
  <c r="CA111" i="6"/>
  <c r="BX111" i="6"/>
  <c r="AN111" i="6"/>
  <c r="AP111" i="6"/>
  <c r="BG111" i="6"/>
  <c r="BI111" i="6"/>
  <c r="D113" i="6"/>
  <c r="L113" i="12"/>
  <c r="J113" i="12"/>
  <c r="V106" i="12"/>
  <c r="T106" i="12"/>
  <c r="U106" i="12"/>
  <c r="AZ111" i="6"/>
  <c r="BP111" i="6"/>
  <c r="C109" i="12"/>
  <c r="O109" i="12"/>
  <c r="AO109" i="12"/>
  <c r="M109" i="12"/>
  <c r="N108" i="12"/>
  <c r="AO111" i="6"/>
  <c r="E113" i="12"/>
  <c r="F113" i="6"/>
  <c r="C109" i="6"/>
  <c r="O109" i="5"/>
  <c r="Y109" i="12" l="1"/>
  <c r="AZ112" i="6"/>
  <c r="AY112" i="6"/>
  <c r="AK112" i="6"/>
  <c r="AM112" i="6"/>
  <c r="AJ112" i="6"/>
  <c r="C110" i="12"/>
  <c r="O110" i="12"/>
  <c r="AO110" i="12"/>
  <c r="M110" i="12"/>
  <c r="W109" i="12"/>
  <c r="X109" i="12"/>
  <c r="E109" i="6"/>
  <c r="D109" i="12"/>
  <c r="N109" i="12"/>
  <c r="K113" i="12"/>
  <c r="AQ112" i="6"/>
  <c r="AT112" i="6"/>
  <c r="AL112" i="6"/>
  <c r="AN112" i="6"/>
  <c r="AW112" i="6"/>
  <c r="AA110" i="5"/>
  <c r="AB110" i="5"/>
  <c r="AU112" i="6"/>
  <c r="AV112" i="6"/>
  <c r="AX112" i="6"/>
  <c r="AS112" i="6"/>
  <c r="BA112" i="6"/>
  <c r="AO112" i="6"/>
  <c r="F114" i="6"/>
  <c r="E114" i="12"/>
  <c r="D114" i="6"/>
  <c r="M113" i="6"/>
  <c r="BC113" i="6" s="1"/>
  <c r="BX113" i="6"/>
  <c r="N113" i="6"/>
  <c r="BG113" i="6"/>
  <c r="G113" i="6"/>
  <c r="BP113" i="6"/>
  <c r="H113" i="6"/>
  <c r="T113" i="5" s="1"/>
  <c r="BO113" i="6"/>
  <c r="CJ113" i="6"/>
  <c r="L111" i="5"/>
  <c r="I111" i="12"/>
  <c r="AM111" i="5"/>
  <c r="I111" i="5"/>
  <c r="Z111" i="5"/>
  <c r="AC111" i="5"/>
  <c r="AP112" i="6"/>
  <c r="AR112" i="6"/>
  <c r="C110" i="6"/>
  <c r="O110" i="5"/>
  <c r="B115" i="5"/>
  <c r="F115" i="5"/>
  <c r="AD115" i="5"/>
  <c r="G115" i="5"/>
  <c r="N115" i="5"/>
  <c r="AE115" i="5"/>
  <c r="C116" i="5"/>
  <c r="E115" i="5"/>
  <c r="B115" i="6"/>
  <c r="J115" i="5"/>
  <c r="D115" i="5"/>
  <c r="B115" i="12" s="1"/>
  <c r="K115" i="5"/>
  <c r="W115" i="5"/>
  <c r="H115" i="12" s="1"/>
  <c r="H115" i="5"/>
  <c r="R115" i="5"/>
  <c r="A115" i="12"/>
  <c r="L114" i="12"/>
  <c r="K114" i="12" s="1"/>
  <c r="J114" i="12"/>
  <c r="X108" i="12"/>
  <c r="W108" i="12"/>
  <c r="Y110" i="12" l="1"/>
  <c r="BT113" i="6"/>
  <c r="BN113" i="6"/>
  <c r="CD113" i="6"/>
  <c r="BR113" i="6"/>
  <c r="BJ113" i="6"/>
  <c r="BE113" i="6"/>
  <c r="BW113" i="6"/>
  <c r="BZ113" i="6"/>
  <c r="CM113" i="6"/>
  <c r="BY113" i="6"/>
  <c r="CH113" i="6"/>
  <c r="CG113" i="6"/>
  <c r="BS113" i="6"/>
  <c r="BQ113" i="6"/>
  <c r="BI113" i="6"/>
  <c r="CI113" i="6"/>
  <c r="CL113" i="6"/>
  <c r="BV113" i="6"/>
  <c r="BF113" i="6"/>
  <c r="BD113" i="6"/>
  <c r="BL113" i="6"/>
  <c r="CA113" i="6"/>
  <c r="BK113" i="6"/>
  <c r="BM113" i="6"/>
  <c r="CK113" i="6"/>
  <c r="CC113" i="6"/>
  <c r="T108" i="12"/>
  <c r="U108" i="12"/>
  <c r="V108" i="12"/>
  <c r="D115" i="6"/>
  <c r="AO113" i="6"/>
  <c r="AM113" i="6"/>
  <c r="AZ113" i="6"/>
  <c r="AR113" i="6"/>
  <c r="D110" i="12"/>
  <c r="E110" i="6"/>
  <c r="C111" i="12"/>
  <c r="AO111" i="12"/>
  <c r="O111" i="12"/>
  <c r="M111" i="12"/>
  <c r="G113" i="12"/>
  <c r="X113" i="5"/>
  <c r="AQ113" i="6"/>
  <c r="AL113" i="6"/>
  <c r="AX113" i="6"/>
  <c r="AN113" i="6"/>
  <c r="X110" i="12"/>
  <c r="W110" i="12"/>
  <c r="J115" i="12"/>
  <c r="L115" i="12"/>
  <c r="F115" i="6"/>
  <c r="E115" i="12"/>
  <c r="G116" i="5"/>
  <c r="F116" i="5"/>
  <c r="A116" i="12"/>
  <c r="AE116" i="5"/>
  <c r="E116" i="5"/>
  <c r="N116" i="5"/>
  <c r="AD116" i="5"/>
  <c r="D116" i="5"/>
  <c r="B116" i="12" s="1"/>
  <c r="W116" i="5"/>
  <c r="H116" i="12" s="1"/>
  <c r="K116" i="5"/>
  <c r="J116" i="5"/>
  <c r="H116" i="5"/>
  <c r="C117" i="5"/>
  <c r="B116" i="6"/>
  <c r="R116" i="5"/>
  <c r="B116" i="5"/>
  <c r="AA111" i="5"/>
  <c r="AB111" i="5"/>
  <c r="C111" i="6"/>
  <c r="O111" i="5"/>
  <c r="AW113" i="6"/>
  <c r="AJ113" i="6"/>
  <c r="AY113" i="6"/>
  <c r="AK113" i="6"/>
  <c r="AT113" i="6"/>
  <c r="AU113" i="6"/>
  <c r="CE113" i="6"/>
  <c r="CB113" i="6"/>
  <c r="G114" i="6"/>
  <c r="M114" i="6"/>
  <c r="BV114" i="6" s="1"/>
  <c r="N114" i="6"/>
  <c r="BI114" i="6"/>
  <c r="H114" i="6"/>
  <c r="T114" i="5" s="1"/>
  <c r="BD114" i="6"/>
  <c r="BQ114" i="6"/>
  <c r="BC114" i="6"/>
  <c r="BS114" i="6"/>
  <c r="N110" i="12"/>
  <c r="BA113" i="6"/>
  <c r="AS113" i="6"/>
  <c r="AV113" i="6"/>
  <c r="BH113" i="6"/>
  <c r="AP113" i="6"/>
  <c r="CF113" i="6"/>
  <c r="T109" i="12"/>
  <c r="U109" i="12"/>
  <c r="V109" i="12"/>
  <c r="BN114" i="6" l="1"/>
  <c r="CE114" i="6"/>
  <c r="CB114" i="6"/>
  <c r="BK114" i="6"/>
  <c r="BL114" i="6"/>
  <c r="BZ114" i="6"/>
  <c r="CJ114" i="6"/>
  <c r="BH114" i="6"/>
  <c r="CF114" i="6"/>
  <c r="BF114" i="6"/>
  <c r="CK114" i="6"/>
  <c r="BT114" i="6"/>
  <c r="CD114" i="6"/>
  <c r="BO114" i="6"/>
  <c r="BM114" i="6"/>
  <c r="CC114" i="6"/>
  <c r="CA114" i="6"/>
  <c r="BY114" i="6"/>
  <c r="BE114" i="6"/>
  <c r="CI114" i="6"/>
  <c r="CL114" i="6"/>
  <c r="BP114" i="6"/>
  <c r="AY114" i="6"/>
  <c r="AN114" i="6"/>
  <c r="AV114" i="6"/>
  <c r="AL114" i="6"/>
  <c r="AO114" i="6"/>
  <c r="AM114" i="6"/>
  <c r="AS114" i="6"/>
  <c r="G115" i="6"/>
  <c r="M115" i="6"/>
  <c r="CE115" i="6" s="1"/>
  <c r="BO115" i="6"/>
  <c r="BD115" i="6"/>
  <c r="BL115" i="6"/>
  <c r="BQ115" i="6"/>
  <c r="CJ115" i="6"/>
  <c r="BE115" i="6"/>
  <c r="N115" i="6"/>
  <c r="BY115" i="6"/>
  <c r="BV115" i="6"/>
  <c r="BF115" i="6"/>
  <c r="CK115" i="6"/>
  <c r="BJ115" i="6"/>
  <c r="CM115" i="6"/>
  <c r="CG115" i="6"/>
  <c r="BC115" i="6"/>
  <c r="BW115" i="6"/>
  <c r="CI115" i="6"/>
  <c r="BP115" i="6"/>
  <c r="BK115" i="6"/>
  <c r="BN115" i="6"/>
  <c r="H115" i="6"/>
  <c r="T115" i="5" s="1"/>
  <c r="CF115" i="6"/>
  <c r="CC115" i="6"/>
  <c r="BX115" i="6"/>
  <c r="BM115" i="6"/>
  <c r="CD115" i="6"/>
  <c r="AU114" i="6"/>
  <c r="AK114" i="6"/>
  <c r="AW114" i="6"/>
  <c r="AP114" i="6"/>
  <c r="AX114" i="6"/>
  <c r="BG114" i="6"/>
  <c r="AT114" i="6"/>
  <c r="CH114" i="6"/>
  <c r="AR114" i="6"/>
  <c r="E116" i="12"/>
  <c r="F116" i="6"/>
  <c r="A117" i="12"/>
  <c r="J117" i="5"/>
  <c r="C118" i="5"/>
  <c r="B117" i="5"/>
  <c r="AD117" i="5"/>
  <c r="AE117" i="5"/>
  <c r="R117" i="5"/>
  <c r="W117" i="5"/>
  <c r="H117" i="12" s="1"/>
  <c r="H117" i="5"/>
  <c r="F117" i="5"/>
  <c r="B117" i="6"/>
  <c r="N117" i="5"/>
  <c r="K117" i="5"/>
  <c r="D117" i="5"/>
  <c r="B117" i="12" s="1"/>
  <c r="G117" i="5"/>
  <c r="E117" i="5"/>
  <c r="J116" i="12"/>
  <c r="L116" i="12"/>
  <c r="U110" i="12"/>
  <c r="V110" i="12"/>
  <c r="T110" i="12"/>
  <c r="AQ114" i="6"/>
  <c r="AZ114" i="6"/>
  <c r="BJ114" i="6"/>
  <c r="BX114" i="6"/>
  <c r="BW114" i="6"/>
  <c r="CM114" i="6"/>
  <c r="BR114" i="6"/>
  <c r="BA114" i="6"/>
  <c r="CG114" i="6"/>
  <c r="D111" i="12"/>
  <c r="E111" i="6"/>
  <c r="D116" i="6"/>
  <c r="N111" i="12"/>
  <c r="G114" i="12"/>
  <c r="X114" i="5"/>
  <c r="K115" i="12"/>
  <c r="AM113" i="5"/>
  <c r="L113" i="5"/>
  <c r="I113" i="12"/>
  <c r="Z113" i="5"/>
  <c r="I113" i="5"/>
  <c r="AC113" i="5"/>
  <c r="Y111" i="12"/>
  <c r="BH115" i="6" l="1"/>
  <c r="BS115" i="6"/>
  <c r="M116" i="6"/>
  <c r="CD116" i="6" s="1"/>
  <c r="BT116" i="6"/>
  <c r="BF116" i="6"/>
  <c r="BQ116" i="6"/>
  <c r="CH116" i="6"/>
  <c r="BN116" i="6"/>
  <c r="BH116" i="6"/>
  <c r="CA116" i="6"/>
  <c r="G116" i="6"/>
  <c r="BC116" i="6"/>
  <c r="BS116" i="6"/>
  <c r="BV116" i="6"/>
  <c r="BP116" i="6"/>
  <c r="CE116" i="6"/>
  <c r="BO116" i="6"/>
  <c r="CM116" i="6"/>
  <c r="BD116" i="6"/>
  <c r="BE116" i="6"/>
  <c r="BX116" i="6"/>
  <c r="BL116" i="6"/>
  <c r="H116" i="6"/>
  <c r="T116" i="5" s="1"/>
  <c r="N116" i="6"/>
  <c r="CJ116" i="6"/>
  <c r="CB116" i="6"/>
  <c r="BZ116" i="6"/>
  <c r="CK116" i="6"/>
  <c r="BK116" i="6"/>
  <c r="BG116" i="6"/>
  <c r="BR116" i="6"/>
  <c r="CC116" i="6"/>
  <c r="BW116" i="6"/>
  <c r="BI116" i="6"/>
  <c r="BJ116" i="6"/>
  <c r="BY116" i="6"/>
  <c r="CG116" i="6"/>
  <c r="CF116" i="6"/>
  <c r="BM116" i="6"/>
  <c r="CI116" i="6"/>
  <c r="CL116" i="6"/>
  <c r="D117" i="6"/>
  <c r="G115" i="12"/>
  <c r="X115" i="5"/>
  <c r="AT115" i="6"/>
  <c r="AP115" i="6"/>
  <c r="CA115" i="6"/>
  <c r="CH115" i="6"/>
  <c r="C113" i="6"/>
  <c r="O113" i="5"/>
  <c r="K116" i="12"/>
  <c r="J117" i="12"/>
  <c r="L117" i="12"/>
  <c r="AW115" i="6"/>
  <c r="AL115" i="6"/>
  <c r="AO115" i="6"/>
  <c r="AM115" i="6"/>
  <c r="AY115" i="6"/>
  <c r="AV115" i="6"/>
  <c r="AJ115" i="6"/>
  <c r="AS115" i="6"/>
  <c r="BI115" i="6"/>
  <c r="AQ115" i="6"/>
  <c r="BT115" i="6"/>
  <c r="BA115" i="6"/>
  <c r="AX115" i="6"/>
  <c r="CL115" i="6"/>
  <c r="BR115" i="6"/>
  <c r="AK115" i="6"/>
  <c r="BG115" i="6"/>
  <c r="BZ115" i="6"/>
  <c r="CB115" i="6"/>
  <c r="AA113" i="5"/>
  <c r="AB113" i="5"/>
  <c r="X111" i="12"/>
  <c r="W111" i="12"/>
  <c r="C113" i="12"/>
  <c r="M113" i="12"/>
  <c r="AO113" i="12"/>
  <c r="O113" i="12"/>
  <c r="AM114" i="5"/>
  <c r="L114" i="5"/>
  <c r="I114" i="12"/>
  <c r="I114" i="5"/>
  <c r="Z114" i="5"/>
  <c r="AC114" i="5"/>
  <c r="AJ114" i="6"/>
  <c r="E117" i="12"/>
  <c r="F117" i="6"/>
  <c r="H118" i="5"/>
  <c r="J118" i="5"/>
  <c r="AD118" i="5"/>
  <c r="K118" i="5"/>
  <c r="E118" i="5"/>
  <c r="A118" i="12"/>
  <c r="R118" i="5"/>
  <c r="N118" i="5"/>
  <c r="AE118" i="5"/>
  <c r="B118" i="5"/>
  <c r="C119" i="5"/>
  <c r="D118" i="5"/>
  <c r="B118" i="12" s="1"/>
  <c r="G118" i="5"/>
  <c r="B118" i="6"/>
  <c r="W118" i="5"/>
  <c r="H118" i="12" s="1"/>
  <c r="F118" i="5"/>
  <c r="AU115" i="6"/>
  <c r="AN115" i="6"/>
  <c r="AZ115" i="6"/>
  <c r="AR115" i="6"/>
  <c r="AS116" i="6" l="1"/>
  <c r="AY116" i="6"/>
  <c r="AK116" i="6"/>
  <c r="AQ116" i="6"/>
  <c r="BA116" i="6"/>
  <c r="AV116" i="6"/>
  <c r="AR116" i="6"/>
  <c r="AN116" i="6"/>
  <c r="AP116" i="6"/>
  <c r="AT116" i="6"/>
  <c r="AM116" i="6"/>
  <c r="K117" i="12"/>
  <c r="N113" i="12"/>
  <c r="J118" i="12"/>
  <c r="L118" i="12"/>
  <c r="K118" i="12" s="1"/>
  <c r="C114" i="12"/>
  <c r="O114" i="12"/>
  <c r="M114" i="12"/>
  <c r="AO114" i="12"/>
  <c r="Y113" i="12"/>
  <c r="E113" i="6"/>
  <c r="D113" i="12"/>
  <c r="H117" i="6"/>
  <c r="T117" i="5" s="1"/>
  <c r="M117" i="6"/>
  <c r="CJ117" i="6" s="1"/>
  <c r="N117" i="6"/>
  <c r="BZ117" i="6"/>
  <c r="AV117" i="6"/>
  <c r="G117" i="6"/>
  <c r="C114" i="6"/>
  <c r="O114" i="5"/>
  <c r="AL116" i="6"/>
  <c r="AW116" i="6"/>
  <c r="D118" i="6"/>
  <c r="AB114" i="5"/>
  <c r="AA114" i="5"/>
  <c r="L115" i="5"/>
  <c r="AM115" i="5"/>
  <c r="I115" i="12"/>
  <c r="I115" i="5"/>
  <c r="Z115" i="5"/>
  <c r="AC115" i="5"/>
  <c r="AZ116" i="6"/>
  <c r="K119" i="5"/>
  <c r="H119" i="5"/>
  <c r="B119" i="5"/>
  <c r="J119" i="5"/>
  <c r="G119" i="5"/>
  <c r="N119" i="5"/>
  <c r="C120" i="5"/>
  <c r="AD119" i="5"/>
  <c r="W119" i="5"/>
  <c r="H119" i="12" s="1"/>
  <c r="AE119" i="5"/>
  <c r="D119" i="5"/>
  <c r="B119" i="12" s="1"/>
  <c r="E119" i="5"/>
  <c r="R119" i="5"/>
  <c r="B119" i="6"/>
  <c r="A119" i="12"/>
  <c r="F119" i="5"/>
  <c r="F118" i="6"/>
  <c r="E118" i="12"/>
  <c r="U111" i="12"/>
  <c r="T111" i="12"/>
  <c r="V111" i="12"/>
  <c r="G116" i="12"/>
  <c r="X116" i="5"/>
  <c r="AU116" i="6"/>
  <c r="AX116" i="6"/>
  <c r="AO116" i="6"/>
  <c r="BH117" i="6" l="1"/>
  <c r="AO117" i="6"/>
  <c r="CL117" i="6"/>
  <c r="CD117" i="6"/>
  <c r="CE117" i="6"/>
  <c r="CF117" i="6"/>
  <c r="BW117" i="6"/>
  <c r="BS117" i="6"/>
  <c r="BX117" i="6"/>
  <c r="BO117" i="6"/>
  <c r="CB117" i="6"/>
  <c r="BE117" i="6"/>
  <c r="BR117" i="6"/>
  <c r="BG117" i="6"/>
  <c r="BL117" i="6"/>
  <c r="AW117" i="6"/>
  <c r="AN117" i="6"/>
  <c r="AS117" i="6"/>
  <c r="BA117" i="6"/>
  <c r="AZ117" i="6"/>
  <c r="AQ117" i="6"/>
  <c r="AY117" i="6"/>
  <c r="AR117" i="6"/>
  <c r="BD117" i="6"/>
  <c r="AK117" i="6"/>
  <c r="BN117" i="6"/>
  <c r="CH117" i="6"/>
  <c r="M118" i="6"/>
  <c r="BR118" i="6" s="1"/>
  <c r="CM118" i="6"/>
  <c r="CA118" i="6"/>
  <c r="CE118" i="6"/>
  <c r="G118" i="6"/>
  <c r="CJ118" i="6"/>
  <c r="BK118" i="6"/>
  <c r="CL118" i="6"/>
  <c r="N118" i="6"/>
  <c r="BC118" i="6"/>
  <c r="H118" i="6"/>
  <c r="T118" i="5" s="1"/>
  <c r="BL118" i="6"/>
  <c r="CD118" i="6"/>
  <c r="E114" i="6"/>
  <c r="D114" i="12"/>
  <c r="AL117" i="6"/>
  <c r="BT117" i="6"/>
  <c r="BI117" i="6"/>
  <c r="AX117" i="6"/>
  <c r="AA115" i="5"/>
  <c r="AB115" i="5"/>
  <c r="C115" i="6"/>
  <c r="O115" i="5"/>
  <c r="BP117" i="6"/>
  <c r="CM117" i="6"/>
  <c r="CK117" i="6"/>
  <c r="BF117" i="6"/>
  <c r="BC117" i="6"/>
  <c r="BY117" i="6"/>
  <c r="CA117" i="6"/>
  <c r="N114" i="12"/>
  <c r="I116" i="12"/>
  <c r="L116" i="5"/>
  <c r="AM116" i="5"/>
  <c r="I116" i="5"/>
  <c r="Z116" i="5"/>
  <c r="AC116" i="5"/>
  <c r="AJ116" i="6"/>
  <c r="F119" i="6"/>
  <c r="E119" i="12"/>
  <c r="F120" i="5"/>
  <c r="B120" i="6"/>
  <c r="H120" i="5"/>
  <c r="W120" i="5"/>
  <c r="H120" i="12" s="1"/>
  <c r="AD120" i="5"/>
  <c r="D120" i="5"/>
  <c r="B120" i="12" s="1"/>
  <c r="B120" i="5"/>
  <c r="E120" i="5"/>
  <c r="K120" i="5"/>
  <c r="AE120" i="5"/>
  <c r="J120" i="5"/>
  <c r="R120" i="5"/>
  <c r="A120" i="12"/>
  <c r="C121" i="5"/>
  <c r="G120" i="5"/>
  <c r="N120" i="5"/>
  <c r="AM117" i="6"/>
  <c r="CC117" i="6"/>
  <c r="BM117" i="6"/>
  <c r="CI117" i="6"/>
  <c r="BJ117" i="6"/>
  <c r="BV117" i="6"/>
  <c r="CG117" i="6"/>
  <c r="X113" i="12"/>
  <c r="W113" i="12"/>
  <c r="L119" i="12"/>
  <c r="J119" i="12"/>
  <c r="D119" i="6"/>
  <c r="C115" i="12"/>
  <c r="AO115" i="12"/>
  <c r="O115" i="12"/>
  <c r="M115" i="12"/>
  <c r="BQ117" i="6"/>
  <c r="AP117" i="6"/>
  <c r="AT117" i="6"/>
  <c r="BK117" i="6"/>
  <c r="AU117" i="6"/>
  <c r="G117" i="12"/>
  <c r="X117" i="5"/>
  <c r="Y114" i="12"/>
  <c r="BN118" i="6" l="1"/>
  <c r="AP118" i="6"/>
  <c r="BH118" i="6"/>
  <c r="BY118" i="6"/>
  <c r="BO118" i="6"/>
  <c r="BJ118" i="6"/>
  <c r="BW118" i="6"/>
  <c r="BQ118" i="6"/>
  <c r="BV118" i="6"/>
  <c r="BP118" i="6"/>
  <c r="CK118" i="6"/>
  <c r="BD118" i="6"/>
  <c r="CH118" i="6"/>
  <c r="AX118" i="6"/>
  <c r="CI118" i="6"/>
  <c r="BX118" i="6"/>
  <c r="BF118" i="6"/>
  <c r="BI118" i="6"/>
  <c r="CC118" i="6"/>
  <c r="BT118" i="6"/>
  <c r="BZ118" i="6"/>
  <c r="AL118" i="6"/>
  <c r="AQ118" i="6"/>
  <c r="BM118" i="6"/>
  <c r="CB118" i="6"/>
  <c r="BG118" i="6"/>
  <c r="BS118" i="6"/>
  <c r="BE118" i="6"/>
  <c r="CF118" i="6"/>
  <c r="CG118" i="6"/>
  <c r="N115" i="12"/>
  <c r="Y115" i="12"/>
  <c r="W114" i="12"/>
  <c r="X114" i="12"/>
  <c r="AR118" i="6"/>
  <c r="AW118" i="6"/>
  <c r="AN118" i="6"/>
  <c r="D120" i="6"/>
  <c r="L120" i="12"/>
  <c r="J120" i="12"/>
  <c r="C116" i="6"/>
  <c r="O116" i="5"/>
  <c r="AM118" i="6"/>
  <c r="AS118" i="6"/>
  <c r="BA118" i="6"/>
  <c r="L117" i="5"/>
  <c r="I117" i="12"/>
  <c r="AM117" i="5"/>
  <c r="Z117" i="5"/>
  <c r="I117" i="5"/>
  <c r="AC117" i="5"/>
  <c r="H119" i="6"/>
  <c r="T119" i="5" s="1"/>
  <c r="G119" i="6"/>
  <c r="M119" i="6"/>
  <c r="BM119" i="6" s="1"/>
  <c r="N119" i="6"/>
  <c r="BH119" i="6"/>
  <c r="CA119" i="6"/>
  <c r="BP119" i="6"/>
  <c r="BR119" i="6"/>
  <c r="BC119" i="6"/>
  <c r="CH119" i="6"/>
  <c r="CF119" i="6"/>
  <c r="BJ119" i="6"/>
  <c r="BI119" i="6"/>
  <c r="CE119" i="6"/>
  <c r="CG119" i="6"/>
  <c r="BD119" i="6"/>
  <c r="CC119" i="6"/>
  <c r="BT119" i="6"/>
  <c r="BW119" i="6"/>
  <c r="AA116" i="5"/>
  <c r="AB116" i="5"/>
  <c r="C116" i="12"/>
  <c r="M116" i="12"/>
  <c r="AO116" i="12"/>
  <c r="O116" i="12"/>
  <c r="AJ117" i="6"/>
  <c r="AT118" i="6"/>
  <c r="AY118" i="6"/>
  <c r="AZ118" i="6"/>
  <c r="AV118" i="6"/>
  <c r="K119" i="12"/>
  <c r="U113" i="12"/>
  <c r="V113" i="12"/>
  <c r="T113" i="12"/>
  <c r="F121" i="5"/>
  <c r="D121" i="5"/>
  <c r="B121" i="12" s="1"/>
  <c r="AE121" i="5"/>
  <c r="W121" i="5"/>
  <c r="H121" i="12" s="1"/>
  <c r="J121" i="5"/>
  <c r="G121" i="5"/>
  <c r="B121" i="6"/>
  <c r="A121" i="12"/>
  <c r="N121" i="5"/>
  <c r="H121" i="5"/>
  <c r="E121" i="5"/>
  <c r="B121" i="5"/>
  <c r="C122" i="5" s="1"/>
  <c r="AD121" i="5"/>
  <c r="K121" i="5"/>
  <c r="R121" i="5"/>
  <c r="F120" i="6"/>
  <c r="E120" i="12"/>
  <c r="E115" i="6"/>
  <c r="D115" i="12"/>
  <c r="G118" i="12"/>
  <c r="X118" i="5"/>
  <c r="AO118" i="6"/>
  <c r="AK118" i="6"/>
  <c r="AU118" i="6"/>
  <c r="AX119" i="6" l="1"/>
  <c r="AN119" i="6"/>
  <c r="AS119" i="6"/>
  <c r="BE119" i="6"/>
  <c r="BO119" i="6"/>
  <c r="BG119" i="6"/>
  <c r="CL119" i="6"/>
  <c r="CK119" i="6"/>
  <c r="AR119" i="6"/>
  <c r="AV119" i="6"/>
  <c r="AO119" i="6"/>
  <c r="AM119" i="6"/>
  <c r="AU119" i="6"/>
  <c r="AZ119" i="6"/>
  <c r="BF119" i="6"/>
  <c r="BX119" i="6"/>
  <c r="CD119" i="6"/>
  <c r="AP119" i="6"/>
  <c r="AK119" i="6"/>
  <c r="CM119" i="6"/>
  <c r="CB119" i="6"/>
  <c r="BA119" i="6"/>
  <c r="BS119" i="6"/>
  <c r="BY119" i="6"/>
  <c r="N116" i="12"/>
  <c r="BZ119" i="6"/>
  <c r="BQ119" i="6"/>
  <c r="AL119" i="6"/>
  <c r="BN119" i="6"/>
  <c r="BV119" i="6"/>
  <c r="BL119" i="6"/>
  <c r="AY119" i="6"/>
  <c r="BK119" i="6"/>
  <c r="K120" i="12"/>
  <c r="I122" i="5"/>
  <c r="AE122" i="5"/>
  <c r="F122" i="5"/>
  <c r="W122" i="5"/>
  <c r="H122" i="12" s="1"/>
  <c r="C123" i="5"/>
  <c r="E122" i="5"/>
  <c r="B122" i="5"/>
  <c r="A122" i="12"/>
  <c r="AD122" i="5"/>
  <c r="G122" i="5"/>
  <c r="N122" i="5"/>
  <c r="H122" i="5"/>
  <c r="B122" i="6"/>
  <c r="AM118" i="5"/>
  <c r="L118" i="5"/>
  <c r="I118" i="12"/>
  <c r="I118" i="5"/>
  <c r="Z118" i="5"/>
  <c r="AC118" i="5"/>
  <c r="J121" i="12"/>
  <c r="L121" i="12"/>
  <c r="Y116" i="12"/>
  <c r="AT119" i="6"/>
  <c r="CI119" i="6"/>
  <c r="CJ119" i="6"/>
  <c r="AW119" i="6"/>
  <c r="AQ119" i="6"/>
  <c r="C117" i="6"/>
  <c r="O117" i="5"/>
  <c r="E121" i="12"/>
  <c r="F121" i="6"/>
  <c r="AB117" i="5"/>
  <c r="AA117" i="5"/>
  <c r="D116" i="12"/>
  <c r="E116" i="6"/>
  <c r="H120" i="6"/>
  <c r="T120" i="5" s="1"/>
  <c r="N120" i="6"/>
  <c r="G120" i="6"/>
  <c r="M120" i="6"/>
  <c r="BP120" i="6" s="1"/>
  <c r="BY120" i="6"/>
  <c r="D121" i="6"/>
  <c r="G119" i="12"/>
  <c r="X119" i="5"/>
  <c r="V114" i="12"/>
  <c r="T114" i="12"/>
  <c r="U114" i="12"/>
  <c r="C117" i="12"/>
  <c r="M117" i="12"/>
  <c r="AO117" i="12"/>
  <c r="O117" i="12"/>
  <c r="AJ118" i="6"/>
  <c r="X115" i="12"/>
  <c r="W115" i="12"/>
  <c r="N117" i="12" l="1"/>
  <c r="CE120" i="6"/>
  <c r="BM120" i="6"/>
  <c r="BQ120" i="6"/>
  <c r="BH120" i="6"/>
  <c r="CC120" i="6"/>
  <c r="CK120" i="6"/>
  <c r="CJ120" i="6"/>
  <c r="AW120" i="6"/>
  <c r="AV120" i="6"/>
  <c r="AM120" i="6"/>
  <c r="AU120" i="6"/>
  <c r="CA120" i="6"/>
  <c r="BN120" i="6"/>
  <c r="BS120" i="6"/>
  <c r="K121" i="12"/>
  <c r="T115" i="12"/>
  <c r="V115" i="12"/>
  <c r="U115" i="12"/>
  <c r="L119" i="5"/>
  <c r="AM119" i="5"/>
  <c r="I119" i="12"/>
  <c r="Z119" i="5"/>
  <c r="I119" i="5"/>
  <c r="AC119" i="5"/>
  <c r="AJ119" i="6"/>
  <c r="AY120" i="6"/>
  <c r="BJ120" i="6"/>
  <c r="BI120" i="6"/>
  <c r="CM120" i="6"/>
  <c r="AK120" i="6"/>
  <c r="BE120" i="6"/>
  <c r="BX120" i="6"/>
  <c r="CI120" i="6"/>
  <c r="AT120" i="6"/>
  <c r="AO120" i="6"/>
  <c r="BF120" i="6"/>
  <c r="AP120" i="6"/>
  <c r="BL120" i="6"/>
  <c r="AN120" i="6"/>
  <c r="CL120" i="6"/>
  <c r="D117" i="12"/>
  <c r="E117" i="6"/>
  <c r="C118" i="12"/>
  <c r="M118" i="12"/>
  <c r="AO118" i="12"/>
  <c r="O118" i="12"/>
  <c r="G120" i="12"/>
  <c r="X120" i="5"/>
  <c r="C118" i="6"/>
  <c r="O118" i="5"/>
  <c r="D122" i="6"/>
  <c r="Y117" i="12"/>
  <c r="AR120" i="6"/>
  <c r="CD120" i="6"/>
  <c r="BG120" i="6"/>
  <c r="CG120" i="6"/>
  <c r="BD120" i="6"/>
  <c r="BK120" i="6"/>
  <c r="AX120" i="6"/>
  <c r="BA120" i="6"/>
  <c r="BR120" i="6"/>
  <c r="AS120" i="6"/>
  <c r="AA118" i="5"/>
  <c r="AB118" i="5"/>
  <c r="N121" i="6"/>
  <c r="H121" i="6"/>
  <c r="T121" i="5" s="1"/>
  <c r="M121" i="6"/>
  <c r="BH121" i="6" s="1"/>
  <c r="CE121" i="6"/>
  <c r="G121" i="6"/>
  <c r="AN121" i="6"/>
  <c r="CF120" i="6"/>
  <c r="BW120" i="6"/>
  <c r="AQ120" i="6"/>
  <c r="AJ120" i="6"/>
  <c r="BT120" i="6"/>
  <c r="CB120" i="6"/>
  <c r="CH120" i="6"/>
  <c r="AL120" i="6"/>
  <c r="BC120" i="6"/>
  <c r="AZ120" i="6"/>
  <c r="BV120" i="6"/>
  <c r="BZ120" i="6"/>
  <c r="BO120" i="6"/>
  <c r="W116" i="12"/>
  <c r="X116" i="12"/>
  <c r="F123" i="5"/>
  <c r="N123" i="5"/>
  <c r="C124" i="5"/>
  <c r="H123" i="5"/>
  <c r="B123" i="6"/>
  <c r="E123" i="5"/>
  <c r="R123" i="5"/>
  <c r="AD123" i="5"/>
  <c r="G123" i="5"/>
  <c r="A123" i="12"/>
  <c r="AE123" i="5"/>
  <c r="J123" i="5"/>
  <c r="W123" i="5"/>
  <c r="H123" i="12" s="1"/>
  <c r="K123" i="5"/>
  <c r="B123" i="5"/>
  <c r="D123" i="5"/>
  <c r="B123" i="12" s="1"/>
  <c r="BL121" i="6" l="1"/>
  <c r="BX121" i="6"/>
  <c r="BW121" i="6"/>
  <c r="BD121" i="6"/>
  <c r="BQ121" i="6"/>
  <c r="BN121" i="6"/>
  <c r="CK121" i="6"/>
  <c r="AS121" i="6"/>
  <c r="BJ121" i="6"/>
  <c r="BC121" i="6"/>
  <c r="BO121" i="6"/>
  <c r="AT121" i="6"/>
  <c r="BK121" i="6"/>
  <c r="CA121" i="6"/>
  <c r="AY121" i="6"/>
  <c r="BY121" i="6"/>
  <c r="CI121" i="6"/>
  <c r="CH121" i="6"/>
  <c r="BR121" i="6"/>
  <c r="BM121" i="6"/>
  <c r="BT121" i="6"/>
  <c r="CG121" i="6"/>
  <c r="AM121" i="6"/>
  <c r="AR121" i="6"/>
  <c r="BI121" i="6"/>
  <c r="BV121" i="6"/>
  <c r="CC121" i="6"/>
  <c r="CJ121" i="6"/>
  <c r="Y118" i="12"/>
  <c r="AZ121" i="6"/>
  <c r="BA121" i="6"/>
  <c r="AO121" i="6"/>
  <c r="AW121" i="6"/>
  <c r="AQ121" i="6"/>
  <c r="CF121" i="6"/>
  <c r="BP121" i="6"/>
  <c r="AU121" i="6"/>
  <c r="BZ121" i="6"/>
  <c r="AX121" i="6"/>
  <c r="BE121" i="6"/>
  <c r="CL121" i="6"/>
  <c r="CB121" i="6"/>
  <c r="AL121" i="6"/>
  <c r="BF121" i="6"/>
  <c r="CD121" i="6"/>
  <c r="AV121" i="6"/>
  <c r="AK121" i="6"/>
  <c r="BG121" i="6"/>
  <c r="F123" i="6"/>
  <c r="E123" i="12"/>
  <c r="CM121" i="6"/>
  <c r="E118" i="6"/>
  <c r="D118" i="12"/>
  <c r="C119" i="6"/>
  <c r="O119" i="5"/>
  <c r="L123" i="12"/>
  <c r="J123" i="12"/>
  <c r="E124" i="5"/>
  <c r="C125" i="5"/>
  <c r="AD124" i="5"/>
  <c r="A124" i="12"/>
  <c r="B124" i="6"/>
  <c r="H124" i="5"/>
  <c r="K124" i="5"/>
  <c r="J124" i="5"/>
  <c r="R124" i="5"/>
  <c r="N124" i="5"/>
  <c r="B124" i="5"/>
  <c r="D124" i="5"/>
  <c r="B124" i="12" s="1"/>
  <c r="W124" i="5"/>
  <c r="H124" i="12" s="1"/>
  <c r="AE124" i="5"/>
  <c r="G124" i="5"/>
  <c r="F124" i="5"/>
  <c r="U116" i="12"/>
  <c r="T116" i="12"/>
  <c r="V116" i="12"/>
  <c r="AP121" i="6"/>
  <c r="BS121" i="6"/>
  <c r="X117" i="12"/>
  <c r="W117" i="12"/>
  <c r="N118" i="12"/>
  <c r="AA119" i="5"/>
  <c r="AB119" i="5"/>
  <c r="D123" i="6"/>
  <c r="I120" i="12"/>
  <c r="L120" i="5"/>
  <c r="AM120" i="5"/>
  <c r="I120" i="5"/>
  <c r="Z120" i="5"/>
  <c r="AC120" i="5"/>
  <c r="X118" i="12"/>
  <c r="W118" i="12"/>
  <c r="C119" i="12"/>
  <c r="O119" i="12"/>
  <c r="AO119" i="12"/>
  <c r="M119" i="12"/>
  <c r="G121" i="12"/>
  <c r="X121" i="5"/>
  <c r="BQ122" i="6"/>
  <c r="BT122" i="6"/>
  <c r="CJ122" i="6"/>
  <c r="BI122" i="6"/>
  <c r="N122" i="6"/>
  <c r="BP122" i="6"/>
  <c r="BF122" i="6"/>
  <c r="BV122" i="6"/>
  <c r="BL122" i="6"/>
  <c r="H122" i="6"/>
  <c r="T122" i="5" s="1"/>
  <c r="G122" i="12" s="1"/>
  <c r="CE122" i="6"/>
  <c r="BN122" i="6"/>
  <c r="CK122" i="6"/>
  <c r="CM122" i="6"/>
  <c r="CI122" i="6"/>
  <c r="BZ122" i="6"/>
  <c r="BX122" i="6"/>
  <c r="CC122" i="6"/>
  <c r="BM122" i="6"/>
  <c r="CH122" i="6"/>
  <c r="G122" i="6"/>
  <c r="BC122" i="6"/>
  <c r="CD122" i="6"/>
  <c r="BD122" i="6"/>
  <c r="CB122" i="6"/>
  <c r="BH122" i="6"/>
  <c r="BE122" i="6"/>
  <c r="CL122" i="6"/>
  <c r="CG122" i="6"/>
  <c r="BK122" i="6"/>
  <c r="BO122" i="6"/>
  <c r="BS122" i="6"/>
  <c r="BR122" i="6"/>
  <c r="BY122" i="6"/>
  <c r="CF122" i="6"/>
  <c r="M122" i="6"/>
  <c r="BG122" i="6"/>
  <c r="CA122" i="6"/>
  <c r="BJ122" i="6"/>
  <c r="BW122" i="6"/>
  <c r="AN122" i="6" l="1"/>
  <c r="N119" i="12"/>
  <c r="AU122" i="6"/>
  <c r="BA122" i="6"/>
  <c r="U118" i="12"/>
  <c r="V118" i="12"/>
  <c r="T118" i="12"/>
  <c r="G123" i="6"/>
  <c r="N123" i="6"/>
  <c r="M123" i="6"/>
  <c r="BI123" i="6" s="1"/>
  <c r="BN123" i="6"/>
  <c r="CM123" i="6"/>
  <c r="H123" i="6"/>
  <c r="T123" i="5" s="1"/>
  <c r="BE123" i="6"/>
  <c r="G125" i="5"/>
  <c r="F125" i="5"/>
  <c r="AE125" i="5"/>
  <c r="D125" i="5"/>
  <c r="B125" i="12" s="1"/>
  <c r="R125" i="5"/>
  <c r="C126" i="5"/>
  <c r="B125" i="6"/>
  <c r="N125" i="5"/>
  <c r="W125" i="5"/>
  <c r="H125" i="12" s="1"/>
  <c r="K125" i="5"/>
  <c r="E125" i="5"/>
  <c r="B125" i="5"/>
  <c r="AD125" i="5"/>
  <c r="H125" i="5"/>
  <c r="A125" i="12"/>
  <c r="J125" i="5"/>
  <c r="K123" i="12"/>
  <c r="AK122" i="6"/>
  <c r="AS122" i="6"/>
  <c r="AQ122" i="6"/>
  <c r="AP122" i="6"/>
  <c r="AV122" i="6"/>
  <c r="AT122" i="6"/>
  <c r="AO122" i="6"/>
  <c r="AX122" i="6"/>
  <c r="Y119" i="12"/>
  <c r="T117" i="12"/>
  <c r="U117" i="12"/>
  <c r="V117" i="12"/>
  <c r="D124" i="6"/>
  <c r="E119" i="6"/>
  <c r="D119" i="12"/>
  <c r="AM122" i="6"/>
  <c r="AL122" i="6"/>
  <c r="AY122" i="6"/>
  <c r="AW122" i="6"/>
  <c r="AM121" i="5"/>
  <c r="I121" i="12"/>
  <c r="L121" i="5"/>
  <c r="I121" i="5"/>
  <c r="Z121" i="5"/>
  <c r="AC121" i="5"/>
  <c r="AJ121" i="6"/>
  <c r="C120" i="6"/>
  <c r="O120" i="5"/>
  <c r="J124" i="12"/>
  <c r="L124" i="12"/>
  <c r="AZ122" i="6"/>
  <c r="AR122" i="6"/>
  <c r="AJ122" i="6"/>
  <c r="AA120" i="5"/>
  <c r="AB120" i="5"/>
  <c r="C120" i="12"/>
  <c r="AO120" i="12"/>
  <c r="M120" i="12"/>
  <c r="O120" i="12"/>
  <c r="F124" i="6"/>
  <c r="E124" i="12"/>
  <c r="CE123" i="6" l="1"/>
  <c r="CD123" i="6"/>
  <c r="CF123" i="6"/>
  <c r="BL123" i="6"/>
  <c r="BK123" i="6"/>
  <c r="N120" i="12"/>
  <c r="CL123" i="6"/>
  <c r="CJ123" i="6"/>
  <c r="BP123" i="6"/>
  <c r="BO123" i="6"/>
  <c r="BF123" i="6"/>
  <c r="BX123" i="6"/>
  <c r="CB123" i="6"/>
  <c r="BW123" i="6"/>
  <c r="BD123" i="6"/>
  <c r="CA123" i="6"/>
  <c r="BQ123" i="6"/>
  <c r="Y120" i="12"/>
  <c r="K124" i="12"/>
  <c r="C121" i="12"/>
  <c r="AO121" i="12"/>
  <c r="O121" i="12"/>
  <c r="M121" i="12"/>
  <c r="G124" i="6"/>
  <c r="M124" i="6"/>
  <c r="CK124" i="6" s="1"/>
  <c r="CM124" i="6"/>
  <c r="BN124" i="6"/>
  <c r="BX124" i="6"/>
  <c r="H124" i="6"/>
  <c r="T124" i="5" s="1"/>
  <c r="BH124" i="6"/>
  <c r="BW124" i="6"/>
  <c r="N124" i="6"/>
  <c r="BO124" i="6"/>
  <c r="CJ124" i="6"/>
  <c r="CF124" i="6"/>
  <c r="AY124" i="6"/>
  <c r="BG124" i="6"/>
  <c r="BV124" i="6"/>
  <c r="BT124" i="6"/>
  <c r="BY124" i="6"/>
  <c r="D120" i="12"/>
  <c r="E120" i="6"/>
  <c r="AB121" i="5"/>
  <c r="AA121" i="5"/>
  <c r="X119" i="12"/>
  <c r="W119" i="12"/>
  <c r="J125" i="12"/>
  <c r="L125" i="12"/>
  <c r="AZ123" i="6"/>
  <c r="AY123" i="6"/>
  <c r="BY123" i="6"/>
  <c r="AR123" i="6"/>
  <c r="AM123" i="6"/>
  <c r="BC123" i="6"/>
  <c r="BJ123" i="6"/>
  <c r="BS123" i="6"/>
  <c r="AV123" i="6"/>
  <c r="CI123" i="6"/>
  <c r="B126" i="5"/>
  <c r="AD126" i="5"/>
  <c r="E126" i="5"/>
  <c r="B126" i="6"/>
  <c r="H126" i="5"/>
  <c r="C127" i="5"/>
  <c r="D126" i="5"/>
  <c r="B126" i="12" s="1"/>
  <c r="G126" i="5"/>
  <c r="N126" i="5"/>
  <c r="F126" i="5"/>
  <c r="R126" i="5"/>
  <c r="W126" i="5"/>
  <c r="H126" i="12" s="1"/>
  <c r="K126" i="5"/>
  <c r="A126" i="12"/>
  <c r="J126" i="5"/>
  <c r="AE126" i="5"/>
  <c r="BG123" i="6"/>
  <c r="BA123" i="6"/>
  <c r="AP123" i="6"/>
  <c r="BM123" i="6"/>
  <c r="CG123" i="6"/>
  <c r="AO123" i="6"/>
  <c r="BH123" i="6"/>
  <c r="CK123" i="6"/>
  <c r="C121" i="6"/>
  <c r="O121" i="5"/>
  <c r="G123" i="12"/>
  <c r="X123" i="5"/>
  <c r="AJ123" i="6" s="1"/>
  <c r="AN123" i="6"/>
  <c r="BT123" i="6"/>
  <c r="BR123" i="6"/>
  <c r="BZ123" i="6"/>
  <c r="CH123" i="6"/>
  <c r="CC123" i="6"/>
  <c r="AU123" i="6"/>
  <c r="BV123" i="6"/>
  <c r="D125" i="6"/>
  <c r="E125" i="12"/>
  <c r="F125" i="6"/>
  <c r="AX123" i="6"/>
  <c r="AK123" i="6"/>
  <c r="AS123" i="6"/>
  <c r="AT123" i="6"/>
  <c r="AL123" i="6"/>
  <c r="AW123" i="6"/>
  <c r="AQ123" i="6"/>
  <c r="BC124" i="6" l="1"/>
  <c r="BL124" i="6"/>
  <c r="CD124" i="6"/>
  <c r="BZ124" i="6"/>
  <c r="Y121" i="12"/>
  <c r="BE124" i="6"/>
  <c r="BP124" i="6"/>
  <c r="AV124" i="6"/>
  <c r="AW124" i="6"/>
  <c r="BQ124" i="6"/>
  <c r="CC124" i="6"/>
  <c r="CL124" i="6"/>
  <c r="D121" i="12"/>
  <c r="E121" i="6"/>
  <c r="E126" i="12"/>
  <c r="F126" i="6"/>
  <c r="K125" i="12"/>
  <c r="V119" i="12"/>
  <c r="U119" i="12"/>
  <c r="T119" i="12"/>
  <c r="BA124" i="6"/>
  <c r="AN124" i="6"/>
  <c r="CH124" i="6"/>
  <c r="CG124" i="6"/>
  <c r="AU124" i="6"/>
  <c r="BK124" i="6"/>
  <c r="AQ124" i="6"/>
  <c r="BR124" i="6"/>
  <c r="BF124" i="6"/>
  <c r="BI124" i="6"/>
  <c r="G125" i="6"/>
  <c r="N125" i="6"/>
  <c r="M125" i="6"/>
  <c r="BZ125" i="6" s="1"/>
  <c r="H125" i="6"/>
  <c r="T125" i="5" s="1"/>
  <c r="CH125" i="6"/>
  <c r="BN125" i="6"/>
  <c r="AP124" i="6"/>
  <c r="CA124" i="6"/>
  <c r="AK124" i="6"/>
  <c r="BJ124" i="6"/>
  <c r="BS124" i="6"/>
  <c r="AS124" i="6"/>
  <c r="AX124" i="6"/>
  <c r="CI124" i="6"/>
  <c r="BD124" i="6"/>
  <c r="AR124" i="6"/>
  <c r="AZ124" i="6"/>
  <c r="CE124" i="6"/>
  <c r="N121" i="12"/>
  <c r="W120" i="12"/>
  <c r="X120" i="12"/>
  <c r="I123" i="12"/>
  <c r="AM123" i="5"/>
  <c r="L123" i="5"/>
  <c r="I123" i="5"/>
  <c r="Z123" i="5"/>
  <c r="AC123" i="5"/>
  <c r="J126" i="12"/>
  <c r="L126" i="12"/>
  <c r="D126" i="6"/>
  <c r="K127" i="5"/>
  <c r="N127" i="5"/>
  <c r="F127" i="5"/>
  <c r="W127" i="5"/>
  <c r="H127" i="12" s="1"/>
  <c r="E127" i="5"/>
  <c r="A127" i="12"/>
  <c r="C128" i="5"/>
  <c r="G127" i="5"/>
  <c r="R127" i="5"/>
  <c r="H127" i="5"/>
  <c r="AE127" i="5"/>
  <c r="B127" i="6"/>
  <c r="J127" i="5"/>
  <c r="AD127" i="5"/>
  <c r="B127" i="5"/>
  <c r="D127" i="5"/>
  <c r="B127" i="12" s="1"/>
  <c r="G124" i="12"/>
  <c r="X124" i="5"/>
  <c r="AM124" i="6"/>
  <c r="AT124" i="6"/>
  <c r="BM124" i="6"/>
  <c r="CB124" i="6"/>
  <c r="AL124" i="6"/>
  <c r="AO124" i="6"/>
  <c r="X121" i="12"/>
  <c r="W121" i="12"/>
  <c r="CJ125" i="6" l="1"/>
  <c r="BL125" i="6"/>
  <c r="CC125" i="6"/>
  <c r="BD125" i="6"/>
  <c r="CG125" i="6"/>
  <c r="BP125" i="6"/>
  <c r="BY125" i="6"/>
  <c r="CB125" i="6"/>
  <c r="K126" i="12"/>
  <c r="BK125" i="6"/>
  <c r="D127" i="6"/>
  <c r="C123" i="6"/>
  <c r="O123" i="5"/>
  <c r="U120" i="12"/>
  <c r="T120" i="12"/>
  <c r="V120" i="12"/>
  <c r="G125" i="12"/>
  <c r="X125" i="5"/>
  <c r="CD125" i="6"/>
  <c r="AU125" i="6"/>
  <c r="CI125" i="6"/>
  <c r="AY125" i="6"/>
  <c r="CF125" i="6"/>
  <c r="BE125" i="6"/>
  <c r="F127" i="6"/>
  <c r="E127" i="12"/>
  <c r="AX125" i="6"/>
  <c r="CK125" i="6"/>
  <c r="BF125" i="6"/>
  <c r="CA125" i="6"/>
  <c r="AT125" i="6"/>
  <c r="AK125" i="6"/>
  <c r="BQ125" i="6"/>
  <c r="BJ125" i="6"/>
  <c r="AZ125" i="6"/>
  <c r="BT125" i="6"/>
  <c r="T121" i="12"/>
  <c r="V121" i="12"/>
  <c r="U121" i="12"/>
  <c r="I124" i="12"/>
  <c r="L124" i="5"/>
  <c r="AM124" i="5"/>
  <c r="Z124" i="5"/>
  <c r="I124" i="5"/>
  <c r="AC124" i="5"/>
  <c r="AJ124" i="6"/>
  <c r="AB123" i="5"/>
  <c r="AA123" i="5"/>
  <c r="C123" i="12"/>
  <c r="O123" i="12"/>
  <c r="AO123" i="12"/>
  <c r="M123" i="12"/>
  <c r="AR125" i="6"/>
  <c r="BH125" i="6"/>
  <c r="CL125" i="6"/>
  <c r="CM125" i="6"/>
  <c r="AM125" i="6"/>
  <c r="AV125" i="6"/>
  <c r="AW125" i="6"/>
  <c r="BX125" i="6"/>
  <c r="AN125" i="6"/>
  <c r="AL125" i="6"/>
  <c r="BV125" i="6"/>
  <c r="BI125" i="6"/>
  <c r="AO125" i="6"/>
  <c r="AQ125" i="6"/>
  <c r="CE125" i="6"/>
  <c r="J127" i="12"/>
  <c r="L127" i="12"/>
  <c r="AE128" i="5"/>
  <c r="D128" i="5"/>
  <c r="B128" i="12" s="1"/>
  <c r="AD128" i="5"/>
  <c r="F128" i="5"/>
  <c r="W128" i="5"/>
  <c r="H128" i="12" s="1"/>
  <c r="J128" i="5"/>
  <c r="E128" i="5"/>
  <c r="B128" i="5"/>
  <c r="G128" i="5"/>
  <c r="B128" i="6"/>
  <c r="H128" i="5"/>
  <c r="A128" i="12"/>
  <c r="K128" i="5"/>
  <c r="N128" i="5"/>
  <c r="R128" i="5"/>
  <c r="C129" i="5"/>
  <c r="G126" i="6"/>
  <c r="H126" i="6"/>
  <c r="T126" i="5" s="1"/>
  <c r="N126" i="6"/>
  <c r="M126" i="6"/>
  <c r="CD126" i="6" s="1"/>
  <c r="AT126" i="6"/>
  <c r="AS125" i="6"/>
  <c r="BS125" i="6"/>
  <c r="BM125" i="6"/>
  <c r="BR125" i="6"/>
  <c r="BG125" i="6"/>
  <c r="BW125" i="6"/>
  <c r="BA125" i="6"/>
  <c r="BC125" i="6"/>
  <c r="AJ125" i="6"/>
  <c r="AP125" i="6"/>
  <c r="BO125" i="6"/>
  <c r="CJ126" i="6" l="1"/>
  <c r="AQ126" i="6"/>
  <c r="BN126" i="6"/>
  <c r="CF126" i="6"/>
  <c r="K127" i="12"/>
  <c r="AW126" i="6"/>
  <c r="AS126" i="6"/>
  <c r="BP126" i="6"/>
  <c r="BW126" i="6"/>
  <c r="BT126" i="6"/>
  <c r="I129" i="5"/>
  <c r="AD129" i="5"/>
  <c r="G129" i="5"/>
  <c r="W129" i="5"/>
  <c r="H129" i="12" s="1"/>
  <c r="F129" i="5"/>
  <c r="N129" i="5"/>
  <c r="B129" i="5"/>
  <c r="H129" i="5"/>
  <c r="E129" i="5"/>
  <c r="C130" i="5"/>
  <c r="B129" i="6"/>
  <c r="A129" i="12"/>
  <c r="AE129" i="5"/>
  <c r="D128" i="6"/>
  <c r="C124" i="6"/>
  <c r="O124" i="5"/>
  <c r="E123" i="6"/>
  <c r="D123" i="12"/>
  <c r="CK126" i="6"/>
  <c r="AY126" i="6"/>
  <c r="BI126" i="6"/>
  <c r="CH126" i="6"/>
  <c r="BK126" i="6"/>
  <c r="AK126" i="6"/>
  <c r="CC126" i="6"/>
  <c r="BC126" i="6"/>
  <c r="BG126" i="6"/>
  <c r="BX126" i="6"/>
  <c r="BR126" i="6"/>
  <c r="AL126" i="6"/>
  <c r="BQ126" i="6"/>
  <c r="BF126" i="6"/>
  <c r="G126" i="12"/>
  <c r="X126" i="5"/>
  <c r="C124" i="12"/>
  <c r="O124" i="12"/>
  <c r="AO124" i="12"/>
  <c r="M124" i="12"/>
  <c r="BO126" i="6"/>
  <c r="AP126" i="6"/>
  <c r="CG126" i="6"/>
  <c r="CI126" i="6"/>
  <c r="AZ126" i="6"/>
  <c r="CM126" i="6"/>
  <c r="BM126" i="6"/>
  <c r="CL126" i="6"/>
  <c r="BD126" i="6"/>
  <c r="CA126" i="6"/>
  <c r="BV126" i="6"/>
  <c r="BL126" i="6"/>
  <c r="BA126" i="6"/>
  <c r="CE126" i="6"/>
  <c r="BJ126" i="6"/>
  <c r="BH126" i="6"/>
  <c r="J128" i="12"/>
  <c r="L128" i="12"/>
  <c r="Y123" i="12"/>
  <c r="AB124" i="5"/>
  <c r="AA124" i="5"/>
  <c r="AV126" i="6"/>
  <c r="AM126" i="6"/>
  <c r="AU126" i="6"/>
  <c r="BE126" i="6"/>
  <c r="CB126" i="6"/>
  <c r="AN126" i="6"/>
  <c r="BZ126" i="6"/>
  <c r="AX126" i="6"/>
  <c r="AR126" i="6"/>
  <c r="BY126" i="6"/>
  <c r="BS126" i="6"/>
  <c r="AO126" i="6"/>
  <c r="F128" i="6"/>
  <c r="E128" i="12"/>
  <c r="N123" i="12"/>
  <c r="L125" i="5"/>
  <c r="I125" i="12"/>
  <c r="AM125" i="5"/>
  <c r="Z125" i="5"/>
  <c r="I125" i="5"/>
  <c r="AC125" i="5"/>
  <c r="G127" i="6"/>
  <c r="M127" i="6"/>
  <c r="BY127" i="6" s="1"/>
  <c r="H127" i="6"/>
  <c r="T127" i="5" s="1"/>
  <c r="AY127" i="6"/>
  <c r="CD127" i="6"/>
  <c r="N127" i="6"/>
  <c r="CE127" i="6" l="1"/>
  <c r="BX127" i="6"/>
  <c r="BD127" i="6"/>
  <c r="CC127" i="6"/>
  <c r="AS127" i="6"/>
  <c r="BN127" i="6"/>
  <c r="CF127" i="6"/>
  <c r="BS127" i="6"/>
  <c r="BA127" i="6"/>
  <c r="AO127" i="6"/>
  <c r="BR127" i="6"/>
  <c r="BP127" i="6"/>
  <c r="AX127" i="6"/>
  <c r="CJ127" i="6"/>
  <c r="CH127" i="6"/>
  <c r="BI127" i="6"/>
  <c r="BG127" i="6"/>
  <c r="AZ127" i="6"/>
  <c r="CI127" i="6"/>
  <c r="AU127" i="6"/>
  <c r="AQ127" i="6"/>
  <c r="BQ127" i="6"/>
  <c r="BM127" i="6"/>
  <c r="BE127" i="6"/>
  <c r="AR127" i="6"/>
  <c r="BO127" i="6"/>
  <c r="N124" i="12"/>
  <c r="G127" i="12"/>
  <c r="X127" i="5"/>
  <c r="CB127" i="6"/>
  <c r="AN127" i="6"/>
  <c r="BV127" i="6"/>
  <c r="BF127" i="6"/>
  <c r="AB125" i="5"/>
  <c r="AA125" i="5"/>
  <c r="Y124" i="12"/>
  <c r="CA127" i="6"/>
  <c r="BJ127" i="6"/>
  <c r="X123" i="12"/>
  <c r="W123" i="12"/>
  <c r="BH128" i="6"/>
  <c r="M128" i="6"/>
  <c r="BR128" i="6" s="1"/>
  <c r="G128" i="6"/>
  <c r="BZ128" i="6"/>
  <c r="BV128" i="6"/>
  <c r="BF128" i="6"/>
  <c r="N128" i="6"/>
  <c r="BT128" i="6"/>
  <c r="BY128" i="6"/>
  <c r="CF128" i="6"/>
  <c r="BO128" i="6"/>
  <c r="CJ128" i="6"/>
  <c r="BL128" i="6"/>
  <c r="CE128" i="6"/>
  <c r="BW128" i="6"/>
  <c r="BI128" i="6"/>
  <c r="H128" i="6"/>
  <c r="T128" i="5" s="1"/>
  <c r="BJ128" i="6"/>
  <c r="CC128" i="6"/>
  <c r="BX128" i="6"/>
  <c r="BK128" i="6"/>
  <c r="K130" i="5"/>
  <c r="B130" i="5"/>
  <c r="C131" i="5" s="1"/>
  <c r="AD130" i="5"/>
  <c r="J130" i="5"/>
  <c r="B130" i="6"/>
  <c r="R130" i="5"/>
  <c r="G130" i="5"/>
  <c r="N130" i="5"/>
  <c r="E130" i="5"/>
  <c r="AE130" i="5"/>
  <c r="W130" i="5"/>
  <c r="H130" i="12" s="1"/>
  <c r="F130" i="5"/>
  <c r="H130" i="5"/>
  <c r="A130" i="12"/>
  <c r="D130" i="5"/>
  <c r="B130" i="12" s="1"/>
  <c r="D129" i="6"/>
  <c r="AT127" i="6"/>
  <c r="CL127" i="6"/>
  <c r="AL127" i="6"/>
  <c r="BZ127" i="6"/>
  <c r="BT127" i="6"/>
  <c r="BC127" i="6"/>
  <c r="AW127" i="6"/>
  <c r="BH127" i="6"/>
  <c r="AM127" i="6"/>
  <c r="AP127" i="6"/>
  <c r="BK127" i="6"/>
  <c r="AJ127" i="6"/>
  <c r="CK127" i="6"/>
  <c r="AV127" i="6"/>
  <c r="CM127" i="6"/>
  <c r="C125" i="12"/>
  <c r="O125" i="12"/>
  <c r="AO125" i="12"/>
  <c r="M125" i="12"/>
  <c r="D124" i="12"/>
  <c r="E124" i="6"/>
  <c r="BL127" i="6"/>
  <c r="AK127" i="6"/>
  <c r="CG127" i="6"/>
  <c r="BW127" i="6"/>
  <c r="C125" i="6"/>
  <c r="O125" i="5"/>
  <c r="K128" i="12"/>
  <c r="L126" i="5"/>
  <c r="AM126" i="5"/>
  <c r="I126" i="12"/>
  <c r="I126" i="5"/>
  <c r="Z126" i="5"/>
  <c r="AC126" i="5"/>
  <c r="AJ126" i="6"/>
  <c r="AW128" i="6" l="1"/>
  <c r="CL128" i="6"/>
  <c r="CA128" i="6"/>
  <c r="CM128" i="6"/>
  <c r="BC128" i="6"/>
  <c r="CG128" i="6"/>
  <c r="BE128" i="6"/>
  <c r="BM128" i="6"/>
  <c r="Y125" i="12"/>
  <c r="CB128" i="6"/>
  <c r="BG128" i="6"/>
  <c r="BS128" i="6"/>
  <c r="BN128" i="6"/>
  <c r="CD128" i="6"/>
  <c r="CK128" i="6"/>
  <c r="BP128" i="6"/>
  <c r="E125" i="6"/>
  <c r="D125" i="12"/>
  <c r="N125" i="12"/>
  <c r="B131" i="5"/>
  <c r="I131" i="5"/>
  <c r="G131" i="5"/>
  <c r="H131" i="5"/>
  <c r="N131" i="5"/>
  <c r="C132" i="5"/>
  <c r="AE131" i="5"/>
  <c r="AD131" i="5"/>
  <c r="B131" i="6"/>
  <c r="E131" i="5"/>
  <c r="F131" i="5"/>
  <c r="W131" i="5"/>
  <c r="H131" i="12" s="1"/>
  <c r="A131" i="12"/>
  <c r="AN128" i="6"/>
  <c r="BQ128" i="6"/>
  <c r="AT128" i="6"/>
  <c r="AR128" i="6"/>
  <c r="C126" i="12"/>
  <c r="AO126" i="12"/>
  <c r="O126" i="12"/>
  <c r="M126" i="12"/>
  <c r="L130" i="12"/>
  <c r="J130" i="12"/>
  <c r="D130" i="6"/>
  <c r="AQ128" i="6"/>
  <c r="AZ128" i="6"/>
  <c r="CH128" i="6"/>
  <c r="BD128" i="6"/>
  <c r="BC129" i="6"/>
  <c r="BS129" i="6"/>
  <c r="CB129" i="6"/>
  <c r="CL129" i="6"/>
  <c r="CF129" i="6"/>
  <c r="CC129" i="6"/>
  <c r="BI129" i="6"/>
  <c r="CI129" i="6"/>
  <c r="M129" i="6"/>
  <c r="BK129" i="6"/>
  <c r="BJ129" i="6"/>
  <c r="CD129" i="6"/>
  <c r="BY129" i="6"/>
  <c r="BR129" i="6"/>
  <c r="CG129" i="6"/>
  <c r="BN129" i="6"/>
  <c r="N129" i="6"/>
  <c r="BF129" i="6"/>
  <c r="CM129" i="6"/>
  <c r="CJ129" i="6"/>
  <c r="CE129" i="6"/>
  <c r="CA129" i="6"/>
  <c r="BH129" i="6"/>
  <c r="CH129" i="6"/>
  <c r="BZ129" i="6"/>
  <c r="BO129" i="6"/>
  <c r="H129" i="6"/>
  <c r="T129" i="5" s="1"/>
  <c r="G129" i="12" s="1"/>
  <c r="BW129" i="6"/>
  <c r="BD129" i="6"/>
  <c r="G129" i="6"/>
  <c r="BP129" i="6"/>
  <c r="BG129" i="6"/>
  <c r="BL129" i="6"/>
  <c r="BT129" i="6"/>
  <c r="CK129" i="6"/>
  <c r="BE129" i="6"/>
  <c r="BV129" i="6"/>
  <c r="BX129" i="6"/>
  <c r="BM129" i="6"/>
  <c r="BQ129" i="6"/>
  <c r="K129" i="5"/>
  <c r="F130" i="6"/>
  <c r="E130" i="12"/>
  <c r="G128" i="12"/>
  <c r="X128" i="5"/>
  <c r="AS128" i="6"/>
  <c r="AK128" i="6"/>
  <c r="AU128" i="6"/>
  <c r="AP128" i="6"/>
  <c r="AJ128" i="6"/>
  <c r="CI128" i="6"/>
  <c r="L127" i="5"/>
  <c r="I127" i="12"/>
  <c r="AM127" i="5"/>
  <c r="I127" i="5"/>
  <c r="Z127" i="5"/>
  <c r="AC127" i="5"/>
  <c r="AB126" i="5"/>
  <c r="AA126" i="5"/>
  <c r="C126" i="6"/>
  <c r="O126" i="5"/>
  <c r="X125" i="12"/>
  <c r="W125" i="12"/>
  <c r="AX128" i="6"/>
  <c r="BA128" i="6"/>
  <c r="AY128" i="6"/>
  <c r="AV128" i="6"/>
  <c r="AM128" i="6"/>
  <c r="AO128" i="6"/>
  <c r="AL128" i="6"/>
  <c r="T123" i="12"/>
  <c r="V123" i="12"/>
  <c r="U123" i="12"/>
  <c r="X124" i="12"/>
  <c r="W124" i="12"/>
  <c r="AW129" i="6" l="1"/>
  <c r="N126" i="12"/>
  <c r="AZ129" i="6"/>
  <c r="AN129" i="6"/>
  <c r="AO129" i="6"/>
  <c r="AT129" i="6"/>
  <c r="AM129" i="6"/>
  <c r="AL129" i="6"/>
  <c r="AV129" i="6"/>
  <c r="K130" i="12"/>
  <c r="AR129" i="6"/>
  <c r="AP129" i="6"/>
  <c r="AK129" i="6"/>
  <c r="D131" i="6"/>
  <c r="E126" i="6"/>
  <c r="D126" i="12"/>
  <c r="C127" i="12"/>
  <c r="O127" i="12"/>
  <c r="AO127" i="12"/>
  <c r="M127" i="12"/>
  <c r="L128" i="5"/>
  <c r="AM128" i="5"/>
  <c r="I128" i="12"/>
  <c r="Z128" i="5"/>
  <c r="I128" i="5"/>
  <c r="AC128" i="5"/>
  <c r="AS129" i="6"/>
  <c r="G130" i="6"/>
  <c r="M130" i="6"/>
  <c r="BR130" i="6" s="1"/>
  <c r="H130" i="6"/>
  <c r="T130" i="5" s="1"/>
  <c r="CE130" i="6"/>
  <c r="N130" i="6"/>
  <c r="BN130" i="6"/>
  <c r="AA127" i="5"/>
  <c r="AB127" i="5"/>
  <c r="Y126" i="12"/>
  <c r="C127" i="6"/>
  <c r="O127" i="5"/>
  <c r="V124" i="12"/>
  <c r="U124" i="12"/>
  <c r="T124" i="12"/>
  <c r="U125" i="12"/>
  <c r="V125" i="12"/>
  <c r="T125" i="12"/>
  <c r="AJ129" i="6"/>
  <c r="AU129" i="6"/>
  <c r="BA129" i="6"/>
  <c r="AY129" i="6"/>
  <c r="AQ129" i="6"/>
  <c r="AX129" i="6"/>
  <c r="D132" i="5"/>
  <c r="B132" i="12" s="1"/>
  <c r="F132" i="5"/>
  <c r="N132" i="5"/>
  <c r="AE132" i="5"/>
  <c r="R132" i="5"/>
  <c r="E132" i="5"/>
  <c r="B132" i="5"/>
  <c r="G132" i="5"/>
  <c r="K132" i="5"/>
  <c r="B132" i="6"/>
  <c r="H132" i="5"/>
  <c r="W132" i="5"/>
  <c r="H132" i="12" s="1"/>
  <c r="J132" i="5"/>
  <c r="C133" i="5"/>
  <c r="A132" i="12"/>
  <c r="AD132" i="5"/>
  <c r="AZ130" i="6" l="1"/>
  <c r="BS130" i="6"/>
  <c r="BK130" i="6"/>
  <c r="AT130" i="6"/>
  <c r="AW130" i="6"/>
  <c r="BH130" i="6"/>
  <c r="BC130" i="6"/>
  <c r="BI130" i="6"/>
  <c r="BJ130" i="6"/>
  <c r="Y127" i="12"/>
  <c r="W126" i="12"/>
  <c r="X126" i="12"/>
  <c r="AL130" i="6"/>
  <c r="BN131" i="6"/>
  <c r="BJ131" i="6"/>
  <c r="CD131" i="6"/>
  <c r="BW131" i="6"/>
  <c r="CC131" i="6"/>
  <c r="CG131" i="6"/>
  <c r="CA131" i="6"/>
  <c r="CK131" i="6"/>
  <c r="BY131" i="6"/>
  <c r="BM131" i="6"/>
  <c r="CE131" i="6"/>
  <c r="BI131" i="6"/>
  <c r="CL131" i="6"/>
  <c r="BX131" i="6"/>
  <c r="BE131" i="6"/>
  <c r="N131" i="6"/>
  <c r="H131" i="6"/>
  <c r="T131" i="5" s="1"/>
  <c r="G131" i="12" s="1"/>
  <c r="CI131" i="6"/>
  <c r="BT131" i="6"/>
  <c r="BG131" i="6"/>
  <c r="CH131" i="6"/>
  <c r="BZ131" i="6"/>
  <c r="BK131" i="6"/>
  <c r="CM131" i="6"/>
  <c r="CJ131" i="6"/>
  <c r="CB131" i="6"/>
  <c r="M131" i="6"/>
  <c r="AY131" i="6" s="1"/>
  <c r="BF131" i="6"/>
  <c r="BR131" i="6"/>
  <c r="BS131" i="6"/>
  <c r="BA131" i="6"/>
  <c r="BP131" i="6"/>
  <c r="BO131" i="6"/>
  <c r="BC131" i="6"/>
  <c r="CF131" i="6"/>
  <c r="BD131" i="6"/>
  <c r="G131" i="6"/>
  <c r="BV131" i="6"/>
  <c r="BH131" i="6"/>
  <c r="BQ131" i="6"/>
  <c r="AW131" i="6"/>
  <c r="BL131" i="6"/>
  <c r="E132" i="12"/>
  <c r="F132" i="6"/>
  <c r="BQ130" i="6"/>
  <c r="BW130" i="6"/>
  <c r="CB130" i="6"/>
  <c r="BP130" i="6"/>
  <c r="CL130" i="6"/>
  <c r="AY130" i="6"/>
  <c r="BL130" i="6"/>
  <c r="CD130" i="6"/>
  <c r="AM130" i="6"/>
  <c r="AK130" i="6"/>
  <c r="CI130" i="6"/>
  <c r="CH130" i="6"/>
  <c r="AO130" i="6"/>
  <c r="BT130" i="6"/>
  <c r="AB128" i="5"/>
  <c r="AA128" i="5"/>
  <c r="B133" i="6"/>
  <c r="D133" i="5"/>
  <c r="B133" i="12" s="1"/>
  <c r="K133" i="5"/>
  <c r="AE133" i="5"/>
  <c r="W133" i="5"/>
  <c r="H133" i="12" s="1"/>
  <c r="G133" i="5"/>
  <c r="B133" i="5"/>
  <c r="C134" i="5"/>
  <c r="R133" i="5"/>
  <c r="E133" i="5"/>
  <c r="A133" i="12"/>
  <c r="H133" i="5"/>
  <c r="N133" i="5"/>
  <c r="AD133" i="5"/>
  <c r="J133" i="5"/>
  <c r="F133" i="5"/>
  <c r="CF130" i="6"/>
  <c r="E127" i="6"/>
  <c r="D127" i="12"/>
  <c r="AV130" i="6"/>
  <c r="CK130" i="6"/>
  <c r="BO130" i="6"/>
  <c r="AR130" i="6"/>
  <c r="BG130" i="6"/>
  <c r="BZ130" i="6"/>
  <c r="BD130" i="6"/>
  <c r="AP130" i="6"/>
  <c r="AQ130" i="6"/>
  <c r="AU130" i="6"/>
  <c r="CA130" i="6"/>
  <c r="AN130" i="6"/>
  <c r="CJ130" i="6"/>
  <c r="BV130" i="6"/>
  <c r="C128" i="12"/>
  <c r="AO128" i="12"/>
  <c r="M128" i="12"/>
  <c r="O128" i="12"/>
  <c r="N128" i="12" s="1"/>
  <c r="X127" i="12"/>
  <c r="W127" i="12"/>
  <c r="CC130" i="6"/>
  <c r="C128" i="6"/>
  <c r="O128" i="5"/>
  <c r="J132" i="12"/>
  <c r="L132" i="12"/>
  <c r="D132" i="6"/>
  <c r="AS130" i="6"/>
  <c r="AX130" i="6"/>
  <c r="CG130" i="6"/>
  <c r="BM130" i="6"/>
  <c r="CM130" i="6"/>
  <c r="BA130" i="6"/>
  <c r="BX130" i="6"/>
  <c r="BF130" i="6"/>
  <c r="G130" i="12"/>
  <c r="X130" i="5"/>
  <c r="BE130" i="6"/>
  <c r="BY130" i="6"/>
  <c r="N127" i="12"/>
  <c r="AQ131" i="6" l="1"/>
  <c r="AZ131" i="6"/>
  <c r="AT131" i="6"/>
  <c r="AU131" i="6"/>
  <c r="AV131" i="6"/>
  <c r="AN131" i="6"/>
  <c r="AS131" i="6"/>
  <c r="AP131" i="6"/>
  <c r="AK131" i="6"/>
  <c r="AO131" i="6"/>
  <c r="AJ131" i="6"/>
  <c r="AL131" i="6"/>
  <c r="AM131" i="6"/>
  <c r="L130" i="5"/>
  <c r="I130" i="12"/>
  <c r="AM130" i="5"/>
  <c r="I130" i="5"/>
  <c r="Z130" i="5"/>
  <c r="AC130" i="5"/>
  <c r="V126" i="12"/>
  <c r="T126" i="12"/>
  <c r="U126" i="12"/>
  <c r="M132" i="6"/>
  <c r="BC132" i="6" s="1"/>
  <c r="BF132" i="6"/>
  <c r="H132" i="6"/>
  <c r="T132" i="5" s="1"/>
  <c r="CD132" i="6"/>
  <c r="BI132" i="6"/>
  <c r="BD132" i="6"/>
  <c r="CM132" i="6"/>
  <c r="G132" i="6"/>
  <c r="BE132" i="6"/>
  <c r="CH132" i="6"/>
  <c r="BY132" i="6"/>
  <c r="CB132" i="6"/>
  <c r="BO132" i="6"/>
  <c r="CK132" i="6"/>
  <c r="BL132" i="6"/>
  <c r="BP132" i="6"/>
  <c r="BW132" i="6"/>
  <c r="N132" i="6"/>
  <c r="AX132" i="6"/>
  <c r="BR132" i="6"/>
  <c r="AS132" i="6"/>
  <c r="AV132" i="6"/>
  <c r="AY132" i="6"/>
  <c r="BG132" i="6"/>
  <c r="AN132" i="6"/>
  <c r="BS132" i="6"/>
  <c r="AJ130" i="6"/>
  <c r="U127" i="12"/>
  <c r="T127" i="12"/>
  <c r="V127" i="12"/>
  <c r="Y128" i="12"/>
  <c r="D133" i="6"/>
  <c r="E133" i="12"/>
  <c r="F133" i="6"/>
  <c r="AX131" i="6"/>
  <c r="K132" i="12"/>
  <c r="E128" i="6"/>
  <c r="D128" i="12"/>
  <c r="J133" i="12"/>
  <c r="L133" i="12"/>
  <c r="D134" i="5"/>
  <c r="B134" i="12" s="1"/>
  <c r="H134" i="5"/>
  <c r="B134" i="5"/>
  <c r="C135" i="5"/>
  <c r="K134" i="5"/>
  <c r="A134" i="12"/>
  <c r="AE134" i="5"/>
  <c r="R134" i="5"/>
  <c r="J134" i="5"/>
  <c r="E134" i="5"/>
  <c r="B134" i="6"/>
  <c r="W134" i="5"/>
  <c r="H134" i="12" s="1"/>
  <c r="G134" i="5"/>
  <c r="AD134" i="5"/>
  <c r="N134" i="5"/>
  <c r="F134" i="5"/>
  <c r="AR131" i="6"/>
  <c r="CF132" i="6" l="1"/>
  <c r="BT132" i="6"/>
  <c r="BH132" i="6"/>
  <c r="CE132" i="6"/>
  <c r="CI132" i="6"/>
  <c r="BZ132" i="6"/>
  <c r="BJ132" i="6"/>
  <c r="BK132" i="6"/>
  <c r="BV132" i="6"/>
  <c r="BX132" i="6"/>
  <c r="AR132" i="6"/>
  <c r="AQ132" i="6"/>
  <c r="AU132" i="6"/>
  <c r="BM132" i="6"/>
  <c r="CA132" i="6"/>
  <c r="C136" i="5"/>
  <c r="AE135" i="5"/>
  <c r="R135" i="5"/>
  <c r="G135" i="5"/>
  <c r="B135" i="5"/>
  <c r="N135" i="5"/>
  <c r="H135" i="5"/>
  <c r="W135" i="5"/>
  <c r="H135" i="12" s="1"/>
  <c r="F135" i="5"/>
  <c r="K135" i="5"/>
  <c r="E135" i="5"/>
  <c r="A135" i="12"/>
  <c r="B135" i="6"/>
  <c r="AD135" i="5"/>
  <c r="D135" i="5"/>
  <c r="B135" i="12" s="1"/>
  <c r="J135" i="5"/>
  <c r="G132" i="12"/>
  <c r="X132" i="5"/>
  <c r="C130" i="12"/>
  <c r="M130" i="12"/>
  <c r="O130" i="12"/>
  <c r="AO130" i="12"/>
  <c r="L134" i="12"/>
  <c r="J134" i="12"/>
  <c r="K133" i="12"/>
  <c r="G133" i="6"/>
  <c r="N133" i="6"/>
  <c r="M133" i="6"/>
  <c r="BC133" i="6" s="1"/>
  <c r="CG133" i="6"/>
  <c r="H133" i="6"/>
  <c r="T133" i="5" s="1"/>
  <c r="CH133" i="6"/>
  <c r="AZ132" i="6"/>
  <c r="AM132" i="6"/>
  <c r="AJ132" i="6"/>
  <c r="AK132" i="6"/>
  <c r="CG132" i="6"/>
  <c r="CJ132" i="6"/>
  <c r="AT132" i="6"/>
  <c r="AW132" i="6"/>
  <c r="CL132" i="6"/>
  <c r="BN132" i="6"/>
  <c r="AA130" i="5"/>
  <c r="AB130" i="5"/>
  <c r="C130" i="6"/>
  <c r="O130" i="5"/>
  <c r="D134" i="6"/>
  <c r="F134" i="6"/>
  <c r="E134" i="12"/>
  <c r="W128" i="12"/>
  <c r="X128" i="12"/>
  <c r="BA132" i="6"/>
  <c r="AO132" i="6"/>
  <c r="BQ132" i="6"/>
  <c r="AL132" i="6"/>
  <c r="CC132" i="6"/>
  <c r="AP132" i="6"/>
  <c r="CB133" i="6" l="1"/>
  <c r="BW133" i="6"/>
  <c r="BG133" i="6"/>
  <c r="CF133" i="6"/>
  <c r="CC133" i="6"/>
  <c r="BX133" i="6"/>
  <c r="BP133" i="6"/>
  <c r="BI133" i="6"/>
  <c r="CI133" i="6"/>
  <c r="BK133" i="6"/>
  <c r="CE133" i="6"/>
  <c r="CD133" i="6"/>
  <c r="BR133" i="6"/>
  <c r="CM133" i="6"/>
  <c r="BE133" i="6"/>
  <c r="BH133" i="6"/>
  <c r="Y130" i="12"/>
  <c r="X130" i="12" s="1"/>
  <c r="D130" i="12"/>
  <c r="E130" i="6"/>
  <c r="AN133" i="6"/>
  <c r="J135" i="12"/>
  <c r="L135" i="12"/>
  <c r="G133" i="12"/>
  <c r="X133" i="5"/>
  <c r="AJ133" i="6" s="1"/>
  <c r="AS133" i="6"/>
  <c r="BA133" i="6"/>
  <c r="AO133" i="6"/>
  <c r="N134" i="6"/>
  <c r="G134" i="6"/>
  <c r="M134" i="6"/>
  <c r="BJ134" i="6" s="1"/>
  <c r="BE134" i="6"/>
  <c r="CA134" i="6"/>
  <c r="BN134" i="6"/>
  <c r="BD134" i="6"/>
  <c r="H134" i="6"/>
  <c r="T134" i="5" s="1"/>
  <c r="BX134" i="6"/>
  <c r="CH134" i="6"/>
  <c r="BW134" i="6"/>
  <c r="CL134" i="6"/>
  <c r="AX133" i="6"/>
  <c r="AV133" i="6"/>
  <c r="BS133" i="6"/>
  <c r="BQ133" i="6"/>
  <c r="AK133" i="6"/>
  <c r="BJ133" i="6"/>
  <c r="BZ133" i="6"/>
  <c r="AT133" i="6"/>
  <c r="AQ133" i="6"/>
  <c r="CK133" i="6"/>
  <c r="AY133" i="6"/>
  <c r="BY133" i="6"/>
  <c r="K134" i="12"/>
  <c r="N136" i="5"/>
  <c r="E136" i="5"/>
  <c r="H136" i="5"/>
  <c r="R136" i="5"/>
  <c r="K136" i="5"/>
  <c r="B136" i="6"/>
  <c r="F136" i="5"/>
  <c r="W136" i="5"/>
  <c r="H136" i="12" s="1"/>
  <c r="D136" i="5"/>
  <c r="B136" i="12" s="1"/>
  <c r="AD136" i="5"/>
  <c r="A136" i="12"/>
  <c r="J136" i="5"/>
  <c r="AE136" i="5"/>
  <c r="G136" i="5"/>
  <c r="B136" i="5"/>
  <c r="C137" i="5" s="1"/>
  <c r="T128" i="12"/>
  <c r="V128" i="12"/>
  <c r="U128" i="12"/>
  <c r="AZ133" i="6"/>
  <c r="CJ133" i="6"/>
  <c r="BL133" i="6"/>
  <c r="CL133" i="6"/>
  <c r="AM133" i="6"/>
  <c r="AW133" i="6"/>
  <c r="CA133" i="6"/>
  <c r="BM133" i="6"/>
  <c r="L132" i="5"/>
  <c r="AM132" i="5"/>
  <c r="I132" i="12"/>
  <c r="Z132" i="5"/>
  <c r="I132" i="5"/>
  <c r="AC132" i="5"/>
  <c r="D135" i="6"/>
  <c r="BT133" i="6"/>
  <c r="BV133" i="6"/>
  <c r="BD133" i="6"/>
  <c r="BN133" i="6"/>
  <c r="AU133" i="6"/>
  <c r="BF133" i="6"/>
  <c r="BO133" i="6"/>
  <c r="AP133" i="6"/>
  <c r="AR133" i="6"/>
  <c r="AL133" i="6"/>
  <c r="N130" i="12"/>
  <c r="E135" i="12"/>
  <c r="F135" i="6"/>
  <c r="BK134" i="6" l="1"/>
  <c r="W130" i="12"/>
  <c r="CI134" i="6"/>
  <c r="BP134" i="6"/>
  <c r="BM134" i="6"/>
  <c r="BT134" i="6"/>
  <c r="CC134" i="6"/>
  <c r="CB134" i="6"/>
  <c r="BO134" i="6"/>
  <c r="BZ134" i="6"/>
  <c r="CM134" i="6"/>
  <c r="BF134" i="6"/>
  <c r="BV134" i="6"/>
  <c r="BR134" i="6"/>
  <c r="CG134" i="6"/>
  <c r="CK134" i="6"/>
  <c r="AU134" i="6"/>
  <c r="AQ134" i="6"/>
  <c r="AN134" i="6"/>
  <c r="BQ134" i="6"/>
  <c r="K135" i="12"/>
  <c r="C132" i="6"/>
  <c r="O132" i="5"/>
  <c r="C132" i="12"/>
  <c r="AO132" i="12"/>
  <c r="M132" i="12"/>
  <c r="O132" i="12"/>
  <c r="AZ134" i="6"/>
  <c r="AK134" i="6"/>
  <c r="CJ134" i="6"/>
  <c r="BC134" i="6"/>
  <c r="L136" i="12"/>
  <c r="J136" i="12"/>
  <c r="E136" i="12"/>
  <c r="F136" i="6"/>
  <c r="D136" i="6"/>
  <c r="AS134" i="6"/>
  <c r="AW134" i="6"/>
  <c r="BA134" i="6"/>
  <c r="AR134" i="6"/>
  <c r="BS134" i="6"/>
  <c r="BI134" i="6"/>
  <c r="BL134" i="6"/>
  <c r="BG134" i="6"/>
  <c r="I133" i="12"/>
  <c r="L133" i="5"/>
  <c r="AM133" i="5"/>
  <c r="I133" i="5"/>
  <c r="Z133" i="5"/>
  <c r="AC133" i="5"/>
  <c r="W137" i="5"/>
  <c r="H137" i="12" s="1"/>
  <c r="A137" i="12"/>
  <c r="B137" i="6"/>
  <c r="N137" i="5"/>
  <c r="E137" i="5"/>
  <c r="F137" i="5"/>
  <c r="C138" i="5"/>
  <c r="AD137" i="5"/>
  <c r="H137" i="5"/>
  <c r="G137" i="5"/>
  <c r="B137" i="5"/>
  <c r="AE137" i="5"/>
  <c r="I137" i="5"/>
  <c r="G134" i="12"/>
  <c r="X134" i="5"/>
  <c r="AO134" i="6"/>
  <c r="AY134" i="6"/>
  <c r="AL134" i="6"/>
  <c r="BY134" i="6"/>
  <c r="AX134" i="6"/>
  <c r="CF134" i="6"/>
  <c r="AT134" i="6"/>
  <c r="G135" i="6"/>
  <c r="N135" i="6"/>
  <c r="H135" i="6"/>
  <c r="T135" i="5" s="1"/>
  <c r="BY135" i="6"/>
  <c r="M135" i="6"/>
  <c r="BN135" i="6" s="1"/>
  <c r="BM135" i="6"/>
  <c r="AB132" i="5"/>
  <c r="AA132" i="5"/>
  <c r="T130" i="12"/>
  <c r="U130" i="12"/>
  <c r="V130" i="12"/>
  <c r="AM134" i="6"/>
  <c r="AP134" i="6"/>
  <c r="CE134" i="6"/>
  <c r="CD134" i="6"/>
  <c r="BH134" i="6"/>
  <c r="AV134" i="6"/>
  <c r="AX135" i="6" l="1"/>
  <c r="CF135" i="6"/>
  <c r="AV135" i="6"/>
  <c r="AO135" i="6"/>
  <c r="BE135" i="6"/>
  <c r="K136" i="12"/>
  <c r="BQ135" i="6"/>
  <c r="AP135" i="6"/>
  <c r="BS135" i="6"/>
  <c r="AR135" i="6"/>
  <c r="BT135" i="6"/>
  <c r="CD135" i="6"/>
  <c r="CK135" i="6"/>
  <c r="BI135" i="6"/>
  <c r="N132" i="12"/>
  <c r="CJ135" i="6"/>
  <c r="BP135" i="6"/>
  <c r="Y132" i="12"/>
  <c r="W132" i="12" s="1"/>
  <c r="L134" i="5"/>
  <c r="I134" i="12"/>
  <c r="AM134" i="5"/>
  <c r="Z134" i="5"/>
  <c r="I134" i="5"/>
  <c r="AC134" i="5"/>
  <c r="AD138" i="5"/>
  <c r="C139" i="5"/>
  <c r="B138" i="5"/>
  <c r="E138" i="5"/>
  <c r="W138" i="5"/>
  <c r="H138" i="12" s="1"/>
  <c r="A138" i="12"/>
  <c r="D138" i="5"/>
  <c r="B138" i="12" s="1"/>
  <c r="AE138" i="5"/>
  <c r="F138" i="5"/>
  <c r="B138" i="6"/>
  <c r="K138" i="5"/>
  <c r="J138" i="5"/>
  <c r="R138" i="5"/>
  <c r="H138" i="5"/>
  <c r="N138" i="5"/>
  <c r="G138" i="5"/>
  <c r="AB133" i="5"/>
  <c r="AA133" i="5"/>
  <c r="C133" i="12"/>
  <c r="AO133" i="12"/>
  <c r="O133" i="12"/>
  <c r="M133" i="12"/>
  <c r="AJ134" i="6"/>
  <c r="CE135" i="6"/>
  <c r="AT135" i="6"/>
  <c r="CL135" i="6"/>
  <c r="AU135" i="6"/>
  <c r="AW135" i="6"/>
  <c r="BH135" i="6"/>
  <c r="BK135" i="6"/>
  <c r="G135" i="12"/>
  <c r="X135" i="5"/>
  <c r="BA135" i="6"/>
  <c r="AY135" i="6"/>
  <c r="BR135" i="6"/>
  <c r="BV135" i="6"/>
  <c r="BX135" i="6"/>
  <c r="BL135" i="6"/>
  <c r="BW135" i="6"/>
  <c r="AQ135" i="6"/>
  <c r="BJ135" i="6"/>
  <c r="BF135" i="6"/>
  <c r="AM135" i="6"/>
  <c r="BZ135" i="6"/>
  <c r="CB135" i="6"/>
  <c r="BD135" i="6"/>
  <c r="CA135" i="6"/>
  <c r="AK135" i="6"/>
  <c r="CG135" i="6"/>
  <c r="AN135" i="6"/>
  <c r="H136" i="6"/>
  <c r="T136" i="5" s="1"/>
  <c r="N136" i="6"/>
  <c r="G136" i="6"/>
  <c r="M136" i="6"/>
  <c r="BI136" i="6" s="1"/>
  <c r="CB136" i="6"/>
  <c r="AT136" i="6"/>
  <c r="D132" i="12"/>
  <c r="E132" i="6"/>
  <c r="BO135" i="6"/>
  <c r="AJ135" i="6"/>
  <c r="AL135" i="6"/>
  <c r="CI135" i="6"/>
  <c r="BG135" i="6"/>
  <c r="BC135" i="6"/>
  <c r="CM135" i="6"/>
  <c r="AZ135" i="6"/>
  <c r="AS135" i="6"/>
  <c r="CC135" i="6"/>
  <c r="CH135" i="6"/>
  <c r="D137" i="6"/>
  <c r="C133" i="6"/>
  <c r="O133" i="5"/>
  <c r="X132" i="12" l="1"/>
  <c r="AK136" i="6"/>
  <c r="CM136" i="6"/>
  <c r="AS136" i="6"/>
  <c r="BD136" i="6"/>
  <c r="CA136" i="6"/>
  <c r="BA136" i="6"/>
  <c r="BG136" i="6"/>
  <c r="BO136" i="6"/>
  <c r="BL136" i="6"/>
  <c r="AM136" i="6"/>
  <c r="BJ136" i="6"/>
  <c r="BR136" i="6"/>
  <c r="CD136" i="6"/>
  <c r="AU136" i="6"/>
  <c r="CE136" i="6"/>
  <c r="AW136" i="6"/>
  <c r="AQ136" i="6"/>
  <c r="AR136" i="6"/>
  <c r="BY136" i="6"/>
  <c r="CG136" i="6"/>
  <c r="CJ136" i="6"/>
  <c r="E133" i="6"/>
  <c r="D133" i="12"/>
  <c r="AV136" i="6"/>
  <c r="BE136" i="6"/>
  <c r="CC136" i="6"/>
  <c r="AX136" i="6"/>
  <c r="CF136" i="6"/>
  <c r="BH136" i="6"/>
  <c r="AO136" i="6"/>
  <c r="BV136" i="6"/>
  <c r="BS136" i="6"/>
  <c r="Y133" i="12"/>
  <c r="AD139" i="5"/>
  <c r="B139" i="6"/>
  <c r="N139" i="5"/>
  <c r="B139" i="5"/>
  <c r="R139" i="5"/>
  <c r="E139" i="5"/>
  <c r="G139" i="5"/>
  <c r="K139" i="5"/>
  <c r="A139" i="12"/>
  <c r="F139" i="5"/>
  <c r="C140" i="5"/>
  <c r="D139" i="5"/>
  <c r="B139" i="12" s="1"/>
  <c r="W139" i="5"/>
  <c r="H139" i="12" s="1"/>
  <c r="J139" i="5"/>
  <c r="AE139" i="5"/>
  <c r="H139" i="5"/>
  <c r="AA134" i="5"/>
  <c r="AB134" i="5"/>
  <c r="G136" i="12"/>
  <c r="X136" i="5"/>
  <c r="CL136" i="6"/>
  <c r="BK136" i="6"/>
  <c r="CI136" i="6"/>
  <c r="V132" i="12"/>
  <c r="T132" i="12"/>
  <c r="U132" i="12"/>
  <c r="AN136" i="6"/>
  <c r="BN136" i="6"/>
  <c r="BQ136" i="6"/>
  <c r="CK136" i="6"/>
  <c r="AZ136" i="6"/>
  <c r="BP136" i="6"/>
  <c r="BZ136" i="6"/>
  <c r="AM135" i="5"/>
  <c r="L135" i="5"/>
  <c r="I135" i="12"/>
  <c r="Z135" i="5"/>
  <c r="I135" i="5"/>
  <c r="AC135" i="5"/>
  <c r="C134" i="12"/>
  <c r="AO134" i="12"/>
  <c r="O134" i="12"/>
  <c r="M134" i="12"/>
  <c r="CA137" i="6"/>
  <c r="BM137" i="6"/>
  <c r="BI137" i="6"/>
  <c r="CM137" i="6"/>
  <c r="CI137" i="6"/>
  <c r="G137" i="6"/>
  <c r="BC137" i="6"/>
  <c r="BS137" i="6"/>
  <c r="N137" i="6"/>
  <c r="CC137" i="6"/>
  <c r="BG137" i="6"/>
  <c r="BF137" i="6"/>
  <c r="CL137" i="6"/>
  <c r="BZ137" i="6"/>
  <c r="BN137" i="6"/>
  <c r="CH137" i="6"/>
  <c r="BD137" i="6"/>
  <c r="CJ137" i="6"/>
  <c r="CK137" i="6"/>
  <c r="M137" i="6"/>
  <c r="AK137" i="6" s="1"/>
  <c r="H137" i="6"/>
  <c r="T137" i="5" s="1"/>
  <c r="G137" i="12" s="1"/>
  <c r="BV137" i="6"/>
  <c r="BK137" i="6"/>
  <c r="CD137" i="6"/>
  <c r="BX137" i="6"/>
  <c r="BO137" i="6"/>
  <c r="CB137" i="6"/>
  <c r="BR137" i="6"/>
  <c r="CE137" i="6"/>
  <c r="CG137" i="6"/>
  <c r="AJ137" i="6"/>
  <c r="BP137" i="6"/>
  <c r="BY137" i="6"/>
  <c r="CF137" i="6"/>
  <c r="BW137" i="6"/>
  <c r="BH137" i="6"/>
  <c r="BJ137" i="6"/>
  <c r="BT137" i="6"/>
  <c r="BQ137" i="6"/>
  <c r="BE137" i="6"/>
  <c r="BL137" i="6"/>
  <c r="BX136" i="6"/>
  <c r="AL136" i="6"/>
  <c r="BC136" i="6"/>
  <c r="AP136" i="6"/>
  <c r="BM136" i="6"/>
  <c r="BW136" i="6"/>
  <c r="CH136" i="6"/>
  <c r="BF136" i="6"/>
  <c r="BT136" i="6"/>
  <c r="AY136" i="6"/>
  <c r="N133" i="12"/>
  <c r="D138" i="6"/>
  <c r="E138" i="12"/>
  <c r="F138" i="6"/>
  <c r="J138" i="12"/>
  <c r="L138" i="12"/>
  <c r="C134" i="6"/>
  <c r="O134" i="5"/>
  <c r="K138" i="12" l="1"/>
  <c r="AN137" i="6"/>
  <c r="AV137" i="6"/>
  <c r="AT137" i="6"/>
  <c r="Y134" i="12"/>
  <c r="X134" i="12" s="1"/>
  <c r="AU137" i="6"/>
  <c r="BA137" i="6"/>
  <c r="AW137" i="6"/>
  <c r="AZ137" i="6"/>
  <c r="C135" i="12"/>
  <c r="O135" i="12"/>
  <c r="AO135" i="12"/>
  <c r="Y135" i="12" s="1"/>
  <c r="M135" i="12"/>
  <c r="L139" i="12"/>
  <c r="J139" i="12"/>
  <c r="W133" i="12"/>
  <c r="X133" i="12"/>
  <c r="D134" i="12"/>
  <c r="E134" i="6"/>
  <c r="AQ137" i="6"/>
  <c r="AL137" i="6"/>
  <c r="AP137" i="6"/>
  <c r="C135" i="6"/>
  <c r="O135" i="5"/>
  <c r="D139" i="6"/>
  <c r="AR137" i="6"/>
  <c r="AY137" i="6"/>
  <c r="AX137" i="6"/>
  <c r="AS137" i="6"/>
  <c r="N134" i="12"/>
  <c r="L136" i="5"/>
  <c r="I136" i="12"/>
  <c r="AM136" i="5"/>
  <c r="I136" i="5"/>
  <c r="Z136" i="5"/>
  <c r="AC136" i="5"/>
  <c r="AJ136" i="6"/>
  <c r="F140" i="5"/>
  <c r="D140" i="5"/>
  <c r="B140" i="12" s="1"/>
  <c r="J140" i="5"/>
  <c r="A140" i="12"/>
  <c r="R140" i="5"/>
  <c r="G140" i="5"/>
  <c r="B140" i="5"/>
  <c r="H140" i="5"/>
  <c r="E140" i="5"/>
  <c r="AD140" i="5"/>
  <c r="AE140" i="5"/>
  <c r="K140" i="5"/>
  <c r="W140" i="5"/>
  <c r="H140" i="12" s="1"/>
  <c r="B140" i="6"/>
  <c r="C141" i="5"/>
  <c r="N140" i="5"/>
  <c r="N138" i="6"/>
  <c r="G138" i="6"/>
  <c r="H138" i="6"/>
  <c r="T138" i="5" s="1"/>
  <c r="M138" i="6"/>
  <c r="BY138" i="6" s="1"/>
  <c r="AO137" i="6"/>
  <c r="AM137" i="6"/>
  <c r="AA135" i="5"/>
  <c r="AB135" i="5"/>
  <c r="E139" i="12"/>
  <c r="F139" i="6"/>
  <c r="BQ138" i="6" l="1"/>
  <c r="AV138" i="6"/>
  <c r="CG138" i="6"/>
  <c r="AZ138" i="6"/>
  <c r="BZ138" i="6"/>
  <c r="BM138" i="6"/>
  <c r="AU138" i="6"/>
  <c r="AN138" i="6"/>
  <c r="BF138" i="6"/>
  <c r="BX138" i="6"/>
  <c r="BN138" i="6"/>
  <c r="CA138" i="6"/>
  <c r="BL138" i="6"/>
  <c r="AX138" i="6"/>
  <c r="W134" i="12"/>
  <c r="U134" i="12" s="1"/>
  <c r="CC138" i="6"/>
  <c r="BT138" i="6"/>
  <c r="N135" i="12"/>
  <c r="CH138" i="6"/>
  <c r="CJ138" i="6"/>
  <c r="BS138" i="6"/>
  <c r="AP138" i="6"/>
  <c r="BJ138" i="6"/>
  <c r="BH138" i="6"/>
  <c r="V134" i="12"/>
  <c r="AQ138" i="6"/>
  <c r="CD138" i="6"/>
  <c r="BK138" i="6"/>
  <c r="AS138" i="6"/>
  <c r="AO138" i="6"/>
  <c r="AK138" i="6"/>
  <c r="CM138" i="6"/>
  <c r="BR138" i="6"/>
  <c r="CL138" i="6"/>
  <c r="AM138" i="6"/>
  <c r="BV138" i="6"/>
  <c r="BW138" i="6"/>
  <c r="J141" i="5"/>
  <c r="N141" i="5"/>
  <c r="W141" i="5"/>
  <c r="H141" i="12" s="1"/>
  <c r="K141" i="5"/>
  <c r="B141" i="6"/>
  <c r="A141" i="12"/>
  <c r="G141" i="5"/>
  <c r="AE141" i="5"/>
  <c r="H141" i="5"/>
  <c r="F141" i="5"/>
  <c r="AD141" i="5"/>
  <c r="R141" i="5"/>
  <c r="E141" i="5"/>
  <c r="B141" i="5"/>
  <c r="C142" i="5" s="1"/>
  <c r="D141" i="5"/>
  <c r="B141" i="12" s="1"/>
  <c r="C136" i="12"/>
  <c r="AO136" i="12"/>
  <c r="O136" i="12"/>
  <c r="M136" i="12"/>
  <c r="N139" i="6"/>
  <c r="M139" i="6"/>
  <c r="BO139" i="6" s="1"/>
  <c r="H139" i="6"/>
  <c r="T139" i="5" s="1"/>
  <c r="G139" i="6"/>
  <c r="W135" i="12"/>
  <c r="X135" i="12"/>
  <c r="AL138" i="6"/>
  <c r="AT138" i="6"/>
  <c r="CF138" i="6"/>
  <c r="CI138" i="6"/>
  <c r="BO138" i="6"/>
  <c r="BC138" i="6"/>
  <c r="BI138" i="6"/>
  <c r="CK138" i="6"/>
  <c r="BA138" i="6"/>
  <c r="BD138" i="6"/>
  <c r="BE138" i="6"/>
  <c r="CE138" i="6"/>
  <c r="BG138" i="6"/>
  <c r="AB136" i="5"/>
  <c r="AA136" i="5"/>
  <c r="C136" i="6"/>
  <c r="O136" i="5"/>
  <c r="D135" i="12"/>
  <c r="E135" i="6"/>
  <c r="T133" i="12"/>
  <c r="U133" i="12"/>
  <c r="V133" i="12"/>
  <c r="D140" i="6"/>
  <c r="E140" i="12"/>
  <c r="F140" i="6"/>
  <c r="K139" i="12"/>
  <c r="G138" i="12"/>
  <c r="X138" i="5"/>
  <c r="AJ138" i="6" s="1"/>
  <c r="CB138" i="6"/>
  <c r="AW138" i="6"/>
  <c r="BP138" i="6"/>
  <c r="AR138" i="6"/>
  <c r="AY138" i="6"/>
  <c r="L140" i="12"/>
  <c r="J140" i="12"/>
  <c r="T134" i="12" l="1"/>
  <c r="CE139" i="6"/>
  <c r="CH139" i="6"/>
  <c r="CB139" i="6"/>
  <c r="BJ139" i="6"/>
  <c r="AQ139" i="6"/>
  <c r="AZ139" i="6"/>
  <c r="AU139" i="6"/>
  <c r="AY139" i="6"/>
  <c r="BY139" i="6"/>
  <c r="CI139" i="6"/>
  <c r="BC139" i="6"/>
  <c r="BH139" i="6"/>
  <c r="BT139" i="6"/>
  <c r="AM139" i="6"/>
  <c r="K140" i="12"/>
  <c r="AR139" i="6"/>
  <c r="CJ139" i="6"/>
  <c r="BR139" i="6"/>
  <c r="AN139" i="6"/>
  <c r="A142" i="12"/>
  <c r="C143" i="5"/>
  <c r="N142" i="5"/>
  <c r="G142" i="5"/>
  <c r="K137" i="5" s="1"/>
  <c r="AD142" i="5"/>
  <c r="W142" i="5"/>
  <c r="H142" i="12" s="1"/>
  <c r="B142" i="6"/>
  <c r="H142" i="5"/>
  <c r="I142" i="5"/>
  <c r="AE142" i="5"/>
  <c r="E142" i="5"/>
  <c r="B142" i="5"/>
  <c r="F142" i="5"/>
  <c r="BA139" i="6"/>
  <c r="BM139" i="6"/>
  <c r="AP139" i="6"/>
  <c r="AT139" i="6"/>
  <c r="BP139" i="6"/>
  <c r="BS139" i="6"/>
  <c r="BK139" i="6"/>
  <c r="BD139" i="6"/>
  <c r="CA139" i="6"/>
  <c r="E141" i="12"/>
  <c r="F141" i="6"/>
  <c r="N140" i="6"/>
  <c r="H140" i="6"/>
  <c r="T140" i="5" s="1"/>
  <c r="M140" i="6"/>
  <c r="BF140" i="6" s="1"/>
  <c r="G140" i="6"/>
  <c r="BE140" i="6"/>
  <c r="AL139" i="6"/>
  <c r="BN139" i="6"/>
  <c r="CM139" i="6"/>
  <c r="T135" i="12"/>
  <c r="U135" i="12"/>
  <c r="V135" i="12"/>
  <c r="CG139" i="6"/>
  <c r="BZ139" i="6"/>
  <c r="G139" i="12"/>
  <c r="X139" i="5"/>
  <c r="CK139" i="6"/>
  <c r="BW139" i="6"/>
  <c r="BL139" i="6"/>
  <c r="AJ139" i="6"/>
  <c r="AW139" i="6"/>
  <c r="BX139" i="6"/>
  <c r="BG139" i="6"/>
  <c r="N136" i="12"/>
  <c r="J141" i="12"/>
  <c r="L141" i="12"/>
  <c r="K141" i="12" s="1"/>
  <c r="I138" i="12"/>
  <c r="L138" i="5"/>
  <c r="AM138" i="5"/>
  <c r="I138" i="5"/>
  <c r="Z138" i="5"/>
  <c r="AC138" i="5"/>
  <c r="D136" i="12"/>
  <c r="E136" i="6"/>
  <c r="AS139" i="6"/>
  <c r="BF139" i="6"/>
  <c r="BQ139" i="6"/>
  <c r="AX139" i="6"/>
  <c r="CF139" i="6"/>
  <c r="CD139" i="6"/>
  <c r="CL139" i="6"/>
  <c r="AV139" i="6"/>
  <c r="BI139" i="6"/>
  <c r="BE139" i="6"/>
  <c r="BV139" i="6"/>
  <c r="AO139" i="6"/>
  <c r="AK139" i="6"/>
  <c r="CC139" i="6"/>
  <c r="Y136" i="12"/>
  <c r="D141" i="6"/>
  <c r="BK140" i="6" l="1"/>
  <c r="BM140" i="6"/>
  <c r="BJ140" i="6"/>
  <c r="BW140" i="6"/>
  <c r="BR140" i="6"/>
  <c r="CM140" i="6"/>
  <c r="BT140" i="6"/>
  <c r="CL140" i="6"/>
  <c r="BX140" i="6"/>
  <c r="BQ140" i="6"/>
  <c r="CB140" i="6"/>
  <c r="CD140" i="6"/>
  <c r="AV140" i="6"/>
  <c r="AS140" i="6"/>
  <c r="BD140" i="6"/>
  <c r="C138" i="6"/>
  <c r="O138" i="5"/>
  <c r="AQ140" i="6"/>
  <c r="AU140" i="6"/>
  <c r="AK140" i="6"/>
  <c r="BL140" i="6"/>
  <c r="BO140" i="6"/>
  <c r="CH140" i="6"/>
  <c r="CA140" i="6"/>
  <c r="AX140" i="6"/>
  <c r="AT140" i="6"/>
  <c r="CJ140" i="6"/>
  <c r="CK140" i="6"/>
  <c r="D142" i="6"/>
  <c r="AA138" i="5"/>
  <c r="AB138" i="5"/>
  <c r="C138" i="12"/>
  <c r="O138" i="12"/>
  <c r="AO138" i="12"/>
  <c r="M138" i="12"/>
  <c r="BG140" i="6"/>
  <c r="AW140" i="6"/>
  <c r="CI140" i="6"/>
  <c r="BZ140" i="6"/>
  <c r="CE140" i="6"/>
  <c r="AO140" i="6"/>
  <c r="AN140" i="6"/>
  <c r="B143" i="5"/>
  <c r="AE143" i="5"/>
  <c r="N143" i="5"/>
  <c r="R143" i="5"/>
  <c r="H143" i="5"/>
  <c r="C144" i="5"/>
  <c r="J143" i="5"/>
  <c r="G143" i="5"/>
  <c r="A143" i="12"/>
  <c r="E143" i="5"/>
  <c r="F143" i="5"/>
  <c r="W143" i="5"/>
  <c r="H143" i="12" s="1"/>
  <c r="AD143" i="5"/>
  <c r="B143" i="6"/>
  <c r="D143" i="5"/>
  <c r="B143" i="12" s="1"/>
  <c r="K143" i="5"/>
  <c r="CG140" i="6"/>
  <c r="BI140" i="6"/>
  <c r="BY140" i="6"/>
  <c r="AM140" i="6"/>
  <c r="AR140" i="6"/>
  <c r="CC140" i="6"/>
  <c r="G140" i="12"/>
  <c r="X140" i="5"/>
  <c r="AJ140" i="6" s="1"/>
  <c r="BV140" i="6"/>
  <c r="BA140" i="6"/>
  <c r="BC140" i="6"/>
  <c r="BH140" i="6"/>
  <c r="G141" i="6"/>
  <c r="M141" i="6"/>
  <c r="CH141" i="6" s="1"/>
  <c r="H141" i="6"/>
  <c r="T141" i="5" s="1"/>
  <c r="BF141" i="6"/>
  <c r="N141" i="6"/>
  <c r="W136" i="12"/>
  <c r="X136" i="12"/>
  <c r="AM139" i="5"/>
  <c r="L139" i="5"/>
  <c r="I139" i="12"/>
  <c r="I139" i="5"/>
  <c r="Z139" i="5"/>
  <c r="AC139" i="5"/>
  <c r="AY140" i="6"/>
  <c r="AP140" i="6"/>
  <c r="BP140" i="6"/>
  <c r="CF140" i="6"/>
  <c r="AZ140" i="6"/>
  <c r="BS140" i="6"/>
  <c r="BN140" i="6"/>
  <c r="AL140" i="6"/>
  <c r="BL141" i="6" l="1"/>
  <c r="BM141" i="6"/>
  <c r="BZ141" i="6"/>
  <c r="BW141" i="6"/>
  <c r="CK141" i="6"/>
  <c r="CB141" i="6"/>
  <c r="CA141" i="6"/>
  <c r="BR141" i="6"/>
  <c r="CG141" i="6"/>
  <c r="BT141" i="6"/>
  <c r="BG141" i="6"/>
  <c r="BY141" i="6"/>
  <c r="BK141" i="6"/>
  <c r="Y138" i="12"/>
  <c r="X138" i="12" s="1"/>
  <c r="BN141" i="6"/>
  <c r="AU141" i="6"/>
  <c r="BD141" i="6"/>
  <c r="CI141" i="6"/>
  <c r="CF141" i="6"/>
  <c r="BS141" i="6"/>
  <c r="BO141" i="6"/>
  <c r="BH141" i="6"/>
  <c r="BQ141" i="6"/>
  <c r="AN141" i="6"/>
  <c r="AY141" i="6"/>
  <c r="AR141" i="6"/>
  <c r="AS141" i="6"/>
  <c r="AM141" i="6"/>
  <c r="AX141" i="6"/>
  <c r="BI141" i="6"/>
  <c r="CM141" i="6"/>
  <c r="AP141" i="6"/>
  <c r="BC141" i="6"/>
  <c r="AQ141" i="6"/>
  <c r="BP141" i="6"/>
  <c r="CL141" i="6"/>
  <c r="AK141" i="6"/>
  <c r="BJ141" i="6"/>
  <c r="AB139" i="5"/>
  <c r="AA139" i="5"/>
  <c r="BA141" i="6"/>
  <c r="CC141" i="6"/>
  <c r="E143" i="12"/>
  <c r="F143" i="6"/>
  <c r="W138" i="12"/>
  <c r="G141" i="12"/>
  <c r="X141" i="5"/>
  <c r="AJ141" i="6" s="1"/>
  <c r="CJ141" i="6"/>
  <c r="CD141" i="6"/>
  <c r="AZ141" i="6"/>
  <c r="BX141" i="6"/>
  <c r="AV141" i="6"/>
  <c r="CE141" i="6"/>
  <c r="D143" i="6"/>
  <c r="N138" i="12"/>
  <c r="C139" i="12"/>
  <c r="O139" i="12"/>
  <c r="M139" i="12"/>
  <c r="AO139" i="12"/>
  <c r="U136" i="12"/>
  <c r="T136" i="12"/>
  <c r="V136" i="12"/>
  <c r="AW141" i="6"/>
  <c r="AT141" i="6"/>
  <c r="BV141" i="6"/>
  <c r="I140" i="12"/>
  <c r="L140" i="5"/>
  <c r="AM140" i="5"/>
  <c r="Z140" i="5"/>
  <c r="I140" i="5"/>
  <c r="AC140" i="5"/>
  <c r="J143" i="12"/>
  <c r="L143" i="12"/>
  <c r="H144" i="5"/>
  <c r="A144" i="12"/>
  <c r="D144" i="5"/>
  <c r="B144" i="12" s="1"/>
  <c r="G144" i="5"/>
  <c r="R144" i="5"/>
  <c r="W144" i="5"/>
  <c r="H144" i="12" s="1"/>
  <c r="AD144" i="5"/>
  <c r="K144" i="5"/>
  <c r="C145" i="5"/>
  <c r="B144" i="5"/>
  <c r="AE144" i="5"/>
  <c r="B144" i="6"/>
  <c r="J144" i="5"/>
  <c r="E144" i="5"/>
  <c r="F144" i="5"/>
  <c r="N144" i="5"/>
  <c r="CH142" i="6"/>
  <c r="BQ142" i="6"/>
  <c r="CC142" i="6"/>
  <c r="BV142" i="6"/>
  <c r="CL142" i="6"/>
  <c r="CM142" i="6"/>
  <c r="G142" i="6"/>
  <c r="BF142" i="6"/>
  <c r="BJ142" i="6"/>
  <c r="CF142" i="6"/>
  <c r="BP142" i="6"/>
  <c r="BL142" i="6"/>
  <c r="CD142" i="6"/>
  <c r="BK142" i="6"/>
  <c r="BX142" i="6"/>
  <c r="BZ142" i="6"/>
  <c r="BN142" i="6"/>
  <c r="CJ142" i="6"/>
  <c r="AV142" i="6"/>
  <c r="BR142" i="6"/>
  <c r="CA142" i="6"/>
  <c r="CI142" i="6"/>
  <c r="BC142" i="6"/>
  <c r="BS142" i="6"/>
  <c r="BM142" i="6"/>
  <c r="BG142" i="6"/>
  <c r="CG142" i="6"/>
  <c r="CB142" i="6"/>
  <c r="CE142" i="6"/>
  <c r="BO142" i="6"/>
  <c r="AM142" i="6"/>
  <c r="BI142" i="6"/>
  <c r="BY142" i="6"/>
  <c r="H142" i="6"/>
  <c r="T142" i="5" s="1"/>
  <c r="G142" i="12" s="1"/>
  <c r="BH142" i="6"/>
  <c r="BW142" i="6"/>
  <c r="CK142" i="6"/>
  <c r="BD142" i="6"/>
  <c r="BE142" i="6"/>
  <c r="BT142" i="6"/>
  <c r="N142" i="6"/>
  <c r="M142" i="6"/>
  <c r="AU142" i="6" s="1"/>
  <c r="D138" i="12"/>
  <c r="E138" i="6"/>
  <c r="C139" i="6"/>
  <c r="O139" i="5"/>
  <c r="AO141" i="6"/>
  <c r="BE141" i="6"/>
  <c r="AL141" i="6"/>
  <c r="AR142" i="6" l="1"/>
  <c r="AX142" i="6"/>
  <c r="AZ142" i="6"/>
  <c r="AN142" i="6"/>
  <c r="N139" i="12"/>
  <c r="AJ142" i="6"/>
  <c r="AQ142" i="6"/>
  <c r="D144" i="6"/>
  <c r="E144" i="12"/>
  <c r="F144" i="6"/>
  <c r="AB140" i="5"/>
  <c r="AA140" i="5"/>
  <c r="E139" i="6"/>
  <c r="D139" i="12"/>
  <c r="AY142" i="6"/>
  <c r="BA142" i="6"/>
  <c r="AS142" i="6"/>
  <c r="AK142" i="6"/>
  <c r="AW142" i="6"/>
  <c r="V138" i="12"/>
  <c r="U138" i="12"/>
  <c r="T138" i="12"/>
  <c r="AL142" i="6"/>
  <c r="AT142" i="6"/>
  <c r="AP142" i="6"/>
  <c r="AO142" i="6"/>
  <c r="C140" i="6"/>
  <c r="O140" i="5"/>
  <c r="Y139" i="12"/>
  <c r="H145" i="5"/>
  <c r="J145" i="5"/>
  <c r="A145" i="12"/>
  <c r="B145" i="5"/>
  <c r="F145" i="5"/>
  <c r="AE145" i="5"/>
  <c r="R145" i="5"/>
  <c r="W145" i="5"/>
  <c r="H145" i="12" s="1"/>
  <c r="AD145" i="5"/>
  <c r="C146" i="5"/>
  <c r="K145" i="5"/>
  <c r="E145" i="5"/>
  <c r="G145" i="5"/>
  <c r="B145" i="6"/>
  <c r="D145" i="5"/>
  <c r="B145" i="12" s="1"/>
  <c r="N145" i="5"/>
  <c r="J144" i="12"/>
  <c r="L144" i="12"/>
  <c r="K143" i="12"/>
  <c r="C140" i="12"/>
  <c r="M140" i="12"/>
  <c r="AO140" i="12"/>
  <c r="O140" i="12"/>
  <c r="N143" i="6"/>
  <c r="M143" i="6"/>
  <c r="CH143" i="6" s="1"/>
  <c r="BF143" i="6"/>
  <c r="BN143" i="6"/>
  <c r="CA143" i="6"/>
  <c r="G143" i="6"/>
  <c r="BI143" i="6"/>
  <c r="BT143" i="6"/>
  <c r="H143" i="6"/>
  <c r="T143" i="5" s="1"/>
  <c r="L141" i="5"/>
  <c r="AM141" i="5"/>
  <c r="I141" i="12"/>
  <c r="Z141" i="5"/>
  <c r="I141" i="5"/>
  <c r="AC141" i="5"/>
  <c r="BJ143" i="6" l="1"/>
  <c r="CI143" i="6"/>
  <c r="BP143" i="6"/>
  <c r="BS143" i="6"/>
  <c r="BD143" i="6"/>
  <c r="CE143" i="6"/>
  <c r="BX143" i="6"/>
  <c r="CB143" i="6"/>
  <c r="BR143" i="6"/>
  <c r="BC143" i="6"/>
  <c r="BQ143" i="6"/>
  <c r="CG143" i="6"/>
  <c r="CF143" i="6"/>
  <c r="BL143" i="6"/>
  <c r="CK143" i="6"/>
  <c r="BM143" i="6"/>
  <c r="BW143" i="6"/>
  <c r="CJ143" i="6"/>
  <c r="CC143" i="6"/>
  <c r="BK143" i="6"/>
  <c r="BE143" i="6"/>
  <c r="BO143" i="6"/>
  <c r="BV143" i="6"/>
  <c r="BH143" i="6"/>
  <c r="CD143" i="6"/>
  <c r="CM143" i="6"/>
  <c r="G143" i="12"/>
  <c r="X143" i="5"/>
  <c r="AJ143" i="6" s="1"/>
  <c r="AK143" i="6"/>
  <c r="AU143" i="6"/>
  <c r="C141" i="6"/>
  <c r="O141" i="5"/>
  <c r="AY143" i="6"/>
  <c r="BG143" i="6"/>
  <c r="BY143" i="6"/>
  <c r="BZ143" i="6"/>
  <c r="BA143" i="6"/>
  <c r="CL143" i="6"/>
  <c r="Y140" i="12"/>
  <c r="K144" i="12"/>
  <c r="L145" i="12"/>
  <c r="J145" i="12"/>
  <c r="D140" i="12"/>
  <c r="E140" i="6"/>
  <c r="AB141" i="5"/>
  <c r="AA141" i="5"/>
  <c r="AO143" i="6"/>
  <c r="AM143" i="6"/>
  <c r="AQ143" i="6"/>
  <c r="AW143" i="6"/>
  <c r="AR143" i="6"/>
  <c r="AZ143" i="6"/>
  <c r="N144" i="6"/>
  <c r="H144" i="6"/>
  <c r="T144" i="5" s="1"/>
  <c r="M144" i="6"/>
  <c r="CG144" i="6" s="1"/>
  <c r="AN144" i="6"/>
  <c r="G144" i="6"/>
  <c r="BS144" i="6"/>
  <c r="AX143" i="6"/>
  <c r="C141" i="12"/>
  <c r="M141" i="12"/>
  <c r="O141" i="12"/>
  <c r="AO141" i="12"/>
  <c r="Y141" i="12" s="1"/>
  <c r="AN143" i="6"/>
  <c r="AV143" i="6"/>
  <c r="AP143" i="6"/>
  <c r="AL143" i="6"/>
  <c r="AS143" i="6"/>
  <c r="AT143" i="6"/>
  <c r="D145" i="6"/>
  <c r="E145" i="12"/>
  <c r="F145" i="6"/>
  <c r="N140" i="12"/>
  <c r="I146" i="5"/>
  <c r="C147" i="5"/>
  <c r="G146" i="5"/>
  <c r="K142" i="5" s="1"/>
  <c r="A146" i="12"/>
  <c r="B146" i="5"/>
  <c r="W146" i="5"/>
  <c r="H146" i="12" s="1"/>
  <c r="E146" i="5"/>
  <c r="B146" i="6"/>
  <c r="N146" i="5"/>
  <c r="F146" i="5"/>
  <c r="H146" i="5"/>
  <c r="AE146" i="5"/>
  <c r="AD146" i="5"/>
  <c r="W139" i="12"/>
  <c r="X139" i="12"/>
  <c r="BK144" i="6" l="1"/>
  <c r="CL144" i="6"/>
  <c r="CJ144" i="6"/>
  <c r="BT144" i="6"/>
  <c r="BZ144" i="6"/>
  <c r="AT144" i="6"/>
  <c r="AW144" i="6"/>
  <c r="BR144" i="6"/>
  <c r="AO144" i="6"/>
  <c r="BP144" i="6"/>
  <c r="BJ144" i="6"/>
  <c r="BY144" i="6"/>
  <c r="BG144" i="6"/>
  <c r="BL144" i="6"/>
  <c r="AK144" i="6"/>
  <c r="BD144" i="6"/>
  <c r="AX144" i="6"/>
  <c r="BO144" i="6"/>
  <c r="CI144" i="6"/>
  <c r="CA144" i="6"/>
  <c r="AZ144" i="6"/>
  <c r="CD144" i="6"/>
  <c r="CM144" i="6"/>
  <c r="BN144" i="6"/>
  <c r="K145" i="12"/>
  <c r="CB144" i="6"/>
  <c r="BE144" i="6"/>
  <c r="BM144" i="6"/>
  <c r="AQ144" i="6"/>
  <c r="AY144" i="6"/>
  <c r="BV144" i="6"/>
  <c r="BW144" i="6"/>
  <c r="CE144" i="6"/>
  <c r="BQ144" i="6"/>
  <c r="AM144" i="6"/>
  <c r="G147" i="5"/>
  <c r="K147" i="5"/>
  <c r="W147" i="5"/>
  <c r="H147" i="12" s="1"/>
  <c r="B147" i="5"/>
  <c r="F147" i="5"/>
  <c r="H147" i="5"/>
  <c r="AE147" i="5"/>
  <c r="AD147" i="5"/>
  <c r="B147" i="6"/>
  <c r="C148" i="5"/>
  <c r="E147" i="5"/>
  <c r="R147" i="5"/>
  <c r="A147" i="12"/>
  <c r="N147" i="5"/>
  <c r="D147" i="5"/>
  <c r="B147" i="12" s="1"/>
  <c r="J147" i="5"/>
  <c r="BI144" i="6"/>
  <c r="AS144" i="6"/>
  <c r="CF144" i="6"/>
  <c r="D146" i="6"/>
  <c r="G144" i="12"/>
  <c r="X144" i="5"/>
  <c r="BC144" i="6"/>
  <c r="AU144" i="6"/>
  <c r="BF144" i="6"/>
  <c r="W140" i="12"/>
  <c r="X140" i="12"/>
  <c r="E141" i="6"/>
  <c r="D141" i="12"/>
  <c r="I143" i="12"/>
  <c r="L143" i="5"/>
  <c r="AM143" i="5"/>
  <c r="Z143" i="5"/>
  <c r="I143" i="5"/>
  <c r="AC143" i="5"/>
  <c r="U139" i="12"/>
  <c r="T139" i="12"/>
  <c r="V139" i="12"/>
  <c r="N145" i="6"/>
  <c r="H145" i="6"/>
  <c r="T145" i="5" s="1"/>
  <c r="G145" i="6"/>
  <c r="M145" i="6"/>
  <c r="BH145" i="6" s="1"/>
  <c r="W141" i="12"/>
  <c r="X141" i="12"/>
  <c r="BH144" i="6"/>
  <c r="CK144" i="6"/>
  <c r="CC144" i="6"/>
  <c r="BA144" i="6"/>
  <c r="BX144" i="6"/>
  <c r="N141" i="12"/>
  <c r="AR144" i="6"/>
  <c r="CH144" i="6"/>
  <c r="AP144" i="6"/>
  <c r="AL144" i="6"/>
  <c r="AV144" i="6"/>
  <c r="CA145" i="6" l="1"/>
  <c r="BM145" i="6"/>
  <c r="BX145" i="6"/>
  <c r="BY145" i="6"/>
  <c r="CL145" i="6"/>
  <c r="BV145" i="6"/>
  <c r="BO145" i="6"/>
  <c r="BZ145" i="6"/>
  <c r="AM145" i="6"/>
  <c r="BW145" i="6"/>
  <c r="CI145" i="6"/>
  <c r="BF145" i="6"/>
  <c r="CC145" i="6"/>
  <c r="CB145" i="6"/>
  <c r="BK145" i="6"/>
  <c r="CD145" i="6"/>
  <c r="AP145" i="6"/>
  <c r="AX145" i="6"/>
  <c r="BA145" i="6"/>
  <c r="AT145" i="6"/>
  <c r="AL145" i="6"/>
  <c r="AR145" i="6"/>
  <c r="AV145" i="6"/>
  <c r="BJ145" i="6"/>
  <c r="BR145" i="6"/>
  <c r="CE145" i="6"/>
  <c r="BS145" i="6"/>
  <c r="AS145" i="6"/>
  <c r="AK145" i="6"/>
  <c r="BT145" i="6"/>
  <c r="BD145" i="6"/>
  <c r="BQ145" i="6"/>
  <c r="AO145" i="6"/>
  <c r="AY145" i="6"/>
  <c r="CK145" i="6"/>
  <c r="BG145" i="6"/>
  <c r="BL145" i="6"/>
  <c r="BP145" i="6"/>
  <c r="D147" i="6"/>
  <c r="BE145" i="6"/>
  <c r="C143" i="6"/>
  <c r="O143" i="5"/>
  <c r="CK146" i="6"/>
  <c r="BT146" i="6"/>
  <c r="CB146" i="6"/>
  <c r="BY146" i="6"/>
  <c r="BJ146" i="6"/>
  <c r="BW146" i="6"/>
  <c r="BX146" i="6"/>
  <c r="BR146" i="6"/>
  <c r="BO146" i="6"/>
  <c r="CI146" i="6"/>
  <c r="BI146" i="6"/>
  <c r="BN146" i="6"/>
  <c r="M146" i="6"/>
  <c r="CE146" i="6"/>
  <c r="BL146" i="6"/>
  <c r="G146" i="6"/>
  <c r="BK146" i="6"/>
  <c r="BM146" i="6"/>
  <c r="BZ146" i="6"/>
  <c r="CD146" i="6"/>
  <c r="BC146" i="6"/>
  <c r="BE146" i="6"/>
  <c r="BS146" i="6"/>
  <c r="BG146" i="6"/>
  <c r="N146" i="6"/>
  <c r="CM146" i="6"/>
  <c r="CH146" i="6"/>
  <c r="H146" i="6"/>
  <c r="T146" i="5" s="1"/>
  <c r="G146" i="12" s="1"/>
  <c r="CL146" i="6"/>
  <c r="BH146" i="6"/>
  <c r="CC146" i="6"/>
  <c r="CA146" i="6"/>
  <c r="BQ146" i="6"/>
  <c r="BD146" i="6"/>
  <c r="CF146" i="6"/>
  <c r="CJ146" i="6"/>
  <c r="BV146" i="6"/>
  <c r="CG146" i="6"/>
  <c r="BP146" i="6"/>
  <c r="BF146" i="6"/>
  <c r="AD148" i="5"/>
  <c r="B148" i="6"/>
  <c r="F148" i="5"/>
  <c r="G148" i="5"/>
  <c r="R148" i="5"/>
  <c r="A148" i="12"/>
  <c r="B148" i="5"/>
  <c r="D148" i="5"/>
  <c r="B148" i="12" s="1"/>
  <c r="C149" i="5"/>
  <c r="J148" i="5"/>
  <c r="K148" i="5"/>
  <c r="AE148" i="5"/>
  <c r="N148" i="5"/>
  <c r="H148" i="5"/>
  <c r="W148" i="5"/>
  <c r="H148" i="12" s="1"/>
  <c r="E148" i="5"/>
  <c r="G145" i="12"/>
  <c r="X145" i="5"/>
  <c r="AZ145" i="6"/>
  <c r="AN145" i="6"/>
  <c r="CM145" i="6"/>
  <c r="C143" i="12"/>
  <c r="M143" i="12"/>
  <c r="AO143" i="12"/>
  <c r="O143" i="12"/>
  <c r="T140" i="12"/>
  <c r="U140" i="12"/>
  <c r="V140" i="12"/>
  <c r="L144" i="5"/>
  <c r="AM144" i="5"/>
  <c r="I144" i="12"/>
  <c r="I144" i="5"/>
  <c r="Z144" i="5"/>
  <c r="AC144" i="5"/>
  <c r="AJ144" i="6"/>
  <c r="L147" i="12"/>
  <c r="J147" i="12"/>
  <c r="V141" i="12"/>
  <c r="T141" i="12"/>
  <c r="U141" i="12"/>
  <c r="CF145" i="6"/>
  <c r="CH145" i="6"/>
  <c r="BN145" i="6"/>
  <c r="BC145" i="6"/>
  <c r="BI145" i="6"/>
  <c r="AW145" i="6"/>
  <c r="AQ145" i="6"/>
  <c r="CG145" i="6"/>
  <c r="CJ145" i="6"/>
  <c r="AU145" i="6"/>
  <c r="AA143" i="5"/>
  <c r="AB143" i="5"/>
  <c r="F147" i="6"/>
  <c r="E147" i="12"/>
  <c r="K147" i="12" l="1"/>
  <c r="AS146" i="6"/>
  <c r="AL146" i="6"/>
  <c r="AM146" i="6"/>
  <c r="AX146" i="6"/>
  <c r="AR146" i="6"/>
  <c r="AQ146" i="6"/>
  <c r="N143" i="12"/>
  <c r="BA146" i="6"/>
  <c r="AV146" i="6"/>
  <c r="AJ146" i="6"/>
  <c r="AY146" i="6"/>
  <c r="AB144" i="5"/>
  <c r="AA144" i="5"/>
  <c r="C144" i="6"/>
  <c r="O144" i="5"/>
  <c r="AK146" i="6"/>
  <c r="N147" i="6"/>
  <c r="H147" i="6"/>
  <c r="T147" i="5" s="1"/>
  <c r="M147" i="6"/>
  <c r="BZ147" i="6" s="1"/>
  <c r="G147" i="6"/>
  <c r="CH147" i="6"/>
  <c r="Y143" i="12"/>
  <c r="D148" i="6"/>
  <c r="J149" i="5"/>
  <c r="H149" i="5"/>
  <c r="AD149" i="5"/>
  <c r="G149" i="5"/>
  <c r="B149" i="5"/>
  <c r="C150" i="5" s="1"/>
  <c r="A149" i="12"/>
  <c r="N149" i="5"/>
  <c r="W149" i="5"/>
  <c r="H149" i="12" s="1"/>
  <c r="E149" i="5"/>
  <c r="K149" i="5"/>
  <c r="F149" i="5"/>
  <c r="R149" i="5"/>
  <c r="D149" i="5"/>
  <c r="B149" i="12" s="1"/>
  <c r="AE149" i="5"/>
  <c r="B149" i="6"/>
  <c r="L148" i="12"/>
  <c r="K148" i="12" s="1"/>
  <c r="J148" i="12"/>
  <c r="AP146" i="6"/>
  <c r="E143" i="6"/>
  <c r="D143" i="12"/>
  <c r="C144" i="12"/>
  <c r="O144" i="12"/>
  <c r="AO144" i="12"/>
  <c r="M144" i="12"/>
  <c r="F148" i="6"/>
  <c r="E148" i="12"/>
  <c r="AZ146" i="6"/>
  <c r="AU146" i="6"/>
  <c r="AT146" i="6"/>
  <c r="I145" i="12"/>
  <c r="L145" i="5"/>
  <c r="AM145" i="5"/>
  <c r="I145" i="5"/>
  <c r="Z145" i="5"/>
  <c r="AC145" i="5"/>
  <c r="AJ145" i="6"/>
  <c r="AW146" i="6"/>
  <c r="AN146" i="6"/>
  <c r="AO146" i="6"/>
  <c r="BL147" i="6" l="1"/>
  <c r="BY147" i="6"/>
  <c r="CJ147" i="6"/>
  <c r="CE147" i="6"/>
  <c r="AU147" i="6"/>
  <c r="AQ147" i="6"/>
  <c r="BX147" i="6"/>
  <c r="BS147" i="6"/>
  <c r="BK147" i="6"/>
  <c r="CF147" i="6"/>
  <c r="BP147" i="6"/>
  <c r="CG147" i="6"/>
  <c r="BN147" i="6"/>
  <c r="AX147" i="6"/>
  <c r="AP147" i="6"/>
  <c r="AS147" i="6"/>
  <c r="AZ147" i="6"/>
  <c r="AY147" i="6"/>
  <c r="BH147" i="6"/>
  <c r="CB147" i="6"/>
  <c r="CL147" i="6"/>
  <c r="CC147" i="6"/>
  <c r="BE147" i="6"/>
  <c r="BT147" i="6"/>
  <c r="BO147" i="6"/>
  <c r="BW147" i="6"/>
  <c r="AW147" i="6"/>
  <c r="BM147" i="6"/>
  <c r="CD147" i="6"/>
  <c r="BR147" i="6"/>
  <c r="AT147" i="6"/>
  <c r="AR147" i="6"/>
  <c r="AM147" i="6"/>
  <c r="AL147" i="6"/>
  <c r="BF147" i="6"/>
  <c r="AN147" i="6"/>
  <c r="BI147" i="6"/>
  <c r="A150" i="12"/>
  <c r="B150" i="6"/>
  <c r="C151" i="5"/>
  <c r="I150" i="5"/>
  <c r="F150" i="5"/>
  <c r="AE150" i="5"/>
  <c r="AD150" i="5"/>
  <c r="B150" i="5"/>
  <c r="H150" i="5"/>
  <c r="W150" i="5"/>
  <c r="H150" i="12" s="1"/>
  <c r="G150" i="5"/>
  <c r="K146" i="5" s="1"/>
  <c r="E150" i="5"/>
  <c r="N150" i="5"/>
  <c r="X143" i="12"/>
  <c r="W143" i="12"/>
  <c r="G147" i="12"/>
  <c r="X147" i="5"/>
  <c r="BJ147" i="6"/>
  <c r="CA147" i="6"/>
  <c r="CM147" i="6"/>
  <c r="D144" i="12"/>
  <c r="E144" i="6"/>
  <c r="C145" i="6"/>
  <c r="O145" i="5"/>
  <c r="Y144" i="12"/>
  <c r="E149" i="12"/>
  <c r="F149" i="6"/>
  <c r="D149" i="6"/>
  <c r="AO147" i="6"/>
  <c r="CI147" i="6"/>
  <c r="BC147" i="6"/>
  <c r="AK147" i="6"/>
  <c r="BD147" i="6"/>
  <c r="AB145" i="5"/>
  <c r="AA145" i="5"/>
  <c r="C145" i="12"/>
  <c r="O145" i="12"/>
  <c r="AO145" i="12"/>
  <c r="M145" i="12"/>
  <c r="N144" i="12"/>
  <c r="J149" i="12"/>
  <c r="L149" i="12"/>
  <c r="AV147" i="6"/>
  <c r="BA147" i="6"/>
  <c r="BV147" i="6"/>
  <c r="CK147" i="6"/>
  <c r="M148" i="6"/>
  <c r="BW148" i="6" s="1"/>
  <c r="G148" i="6"/>
  <c r="BE148" i="6"/>
  <c r="H148" i="6"/>
  <c r="T148" i="5" s="1"/>
  <c r="N148" i="6"/>
  <c r="BK148" i="6"/>
  <c r="BQ147" i="6"/>
  <c r="BG147" i="6"/>
  <c r="CA148" i="6" l="1"/>
  <c r="BQ148" i="6"/>
  <c r="CE148" i="6"/>
  <c r="BO148" i="6"/>
  <c r="BM148" i="6"/>
  <c r="CJ148" i="6"/>
  <c r="AN148" i="6"/>
  <c r="AL148" i="6"/>
  <c r="AV148" i="6"/>
  <c r="BL148" i="6"/>
  <c r="AT148" i="6"/>
  <c r="AU148" i="6"/>
  <c r="CH148" i="6"/>
  <c r="BY148" i="6"/>
  <c r="CI148" i="6"/>
  <c r="BT148" i="6"/>
  <c r="CF148" i="6"/>
  <c r="CK148" i="6"/>
  <c r="CM148" i="6"/>
  <c r="BR148" i="6"/>
  <c r="CC148" i="6"/>
  <c r="BI148" i="6"/>
  <c r="AR148" i="6"/>
  <c r="BZ148" i="6"/>
  <c r="BX148" i="6"/>
  <c r="CL148" i="6"/>
  <c r="BJ148" i="6"/>
  <c r="BS148" i="6"/>
  <c r="BN148" i="6"/>
  <c r="AZ148" i="6"/>
  <c r="BV148" i="6"/>
  <c r="BP148" i="6"/>
  <c r="AM148" i="6"/>
  <c r="BA148" i="6"/>
  <c r="CB148" i="6"/>
  <c r="AQ148" i="6"/>
  <c r="BD148" i="6"/>
  <c r="AY148" i="6"/>
  <c r="AK148" i="6"/>
  <c r="BH148" i="6"/>
  <c r="BF148" i="6"/>
  <c r="AW148" i="6"/>
  <c r="CD148" i="6"/>
  <c r="CG148" i="6"/>
  <c r="BC148" i="6"/>
  <c r="BG148" i="6"/>
  <c r="G148" i="12"/>
  <c r="X148" i="5"/>
  <c r="AO148" i="6"/>
  <c r="AP148" i="6"/>
  <c r="N145" i="12"/>
  <c r="X144" i="12"/>
  <c r="W144" i="12"/>
  <c r="L147" i="5"/>
  <c r="I147" i="12"/>
  <c r="AM147" i="5"/>
  <c r="I147" i="5"/>
  <c r="Z147" i="5"/>
  <c r="AC147" i="5"/>
  <c r="AJ147" i="6"/>
  <c r="E151" i="5"/>
  <c r="F151" i="5"/>
  <c r="D151" i="5"/>
  <c r="B151" i="12" s="1"/>
  <c r="H151" i="5"/>
  <c r="A151" i="12"/>
  <c r="AE151" i="5"/>
  <c r="R151" i="5"/>
  <c r="W151" i="5"/>
  <c r="H151" i="12" s="1"/>
  <c r="J151" i="5"/>
  <c r="G151" i="5"/>
  <c r="B151" i="6"/>
  <c r="B151" i="5"/>
  <c r="C152" i="5" s="1"/>
  <c r="N151" i="5"/>
  <c r="K151" i="5"/>
  <c r="AD151" i="5"/>
  <c r="G149" i="6"/>
  <c r="H149" i="6"/>
  <c r="T149" i="5" s="1"/>
  <c r="N149" i="6"/>
  <c r="M149" i="6"/>
  <c r="CG149" i="6" s="1"/>
  <c r="BT149" i="6"/>
  <c r="BN149" i="6"/>
  <c r="D145" i="12"/>
  <c r="E145" i="6"/>
  <c r="AS148" i="6"/>
  <c r="AX148" i="6"/>
  <c r="K149" i="12"/>
  <c r="Y145" i="12"/>
  <c r="V143" i="12"/>
  <c r="T143" i="12"/>
  <c r="U143" i="12"/>
  <c r="D150" i="6"/>
  <c r="B152" i="5" l="1"/>
  <c r="H152" i="5"/>
  <c r="W152" i="5"/>
  <c r="H152" i="12" s="1"/>
  <c r="F152" i="5"/>
  <c r="C153" i="5"/>
  <c r="AD152" i="5"/>
  <c r="I152" i="5"/>
  <c r="A152" i="12"/>
  <c r="AE152" i="5"/>
  <c r="B152" i="6"/>
  <c r="G152" i="5"/>
  <c r="J146" i="5" s="1"/>
  <c r="D146" i="5" s="1"/>
  <c r="E152" i="5"/>
  <c r="N152" i="5"/>
  <c r="CJ149" i="6"/>
  <c r="AY149" i="6"/>
  <c r="BQ149" i="6"/>
  <c r="AT149" i="6"/>
  <c r="BI149" i="6"/>
  <c r="CI149" i="6"/>
  <c r="CH149" i="6"/>
  <c r="AQ149" i="6"/>
  <c r="BS149" i="6"/>
  <c r="BE149" i="6"/>
  <c r="AL149" i="6"/>
  <c r="AW149" i="6"/>
  <c r="BP149" i="6"/>
  <c r="BD149" i="6"/>
  <c r="U144" i="12"/>
  <c r="T144" i="12"/>
  <c r="V144" i="12"/>
  <c r="CM149" i="6"/>
  <c r="BL149" i="6"/>
  <c r="CA149" i="6"/>
  <c r="BH149" i="6"/>
  <c r="AV149" i="6"/>
  <c r="BO149" i="6"/>
  <c r="CC149" i="6"/>
  <c r="CK149" i="6"/>
  <c r="BY149" i="6"/>
  <c r="G149" i="12"/>
  <c r="X149" i="5"/>
  <c r="AS149" i="6"/>
  <c r="CF149" i="6"/>
  <c r="BX149" i="6"/>
  <c r="BM149" i="6"/>
  <c r="D151" i="6"/>
  <c r="L151" i="12"/>
  <c r="J151" i="12"/>
  <c r="I148" i="12"/>
  <c r="AM148" i="5"/>
  <c r="L148" i="5"/>
  <c r="I148" i="5"/>
  <c r="Z148" i="5"/>
  <c r="AC148" i="5"/>
  <c r="AJ148" i="6"/>
  <c r="W145" i="12"/>
  <c r="X145" i="12"/>
  <c r="BZ149" i="6"/>
  <c r="AZ149" i="6"/>
  <c r="AR149" i="6"/>
  <c r="AJ149" i="6"/>
  <c r="BC149" i="6"/>
  <c r="BR149" i="6"/>
  <c r="BF149" i="6"/>
  <c r="BA149" i="6"/>
  <c r="CB149" i="6"/>
  <c r="BJ149" i="6"/>
  <c r="J150" i="5"/>
  <c r="C147" i="12"/>
  <c r="O147" i="12"/>
  <c r="M147" i="12"/>
  <c r="AO147" i="12"/>
  <c r="BX150" i="6"/>
  <c r="BJ150" i="6"/>
  <c r="CK150" i="6"/>
  <c r="CM150" i="6"/>
  <c r="H150" i="6"/>
  <c r="T150" i="5" s="1"/>
  <c r="G150" i="12" s="1"/>
  <c r="BC150" i="6"/>
  <c r="BZ150" i="6"/>
  <c r="BN150" i="6"/>
  <c r="BF150" i="6"/>
  <c r="CL150" i="6"/>
  <c r="CA150" i="6"/>
  <c r="BY150" i="6"/>
  <c r="BK150" i="6"/>
  <c r="CI150" i="6"/>
  <c r="CE150" i="6"/>
  <c r="CB150" i="6"/>
  <c r="BR150" i="6"/>
  <c r="M150" i="6"/>
  <c r="AX150" i="6" s="1"/>
  <c r="BW150" i="6"/>
  <c r="BT150" i="6"/>
  <c r="CG150" i="6"/>
  <c r="BE150" i="6"/>
  <c r="BP150" i="6"/>
  <c r="BL150" i="6"/>
  <c r="BQ150" i="6"/>
  <c r="N150" i="6"/>
  <c r="CH150" i="6"/>
  <c r="BV150" i="6"/>
  <c r="CJ150" i="6"/>
  <c r="BG150" i="6"/>
  <c r="BH150" i="6"/>
  <c r="CD150" i="6"/>
  <c r="BS150" i="6"/>
  <c r="BI150" i="6"/>
  <c r="G150" i="6"/>
  <c r="CF150" i="6"/>
  <c r="BO150" i="6"/>
  <c r="BD150" i="6"/>
  <c r="BM150" i="6"/>
  <c r="CC150" i="6"/>
  <c r="CD149" i="6"/>
  <c r="AK149" i="6"/>
  <c r="AX149" i="6"/>
  <c r="AO149" i="6"/>
  <c r="BW149" i="6"/>
  <c r="CL149" i="6"/>
  <c r="BG149" i="6"/>
  <c r="AP149" i="6"/>
  <c r="AN149" i="6"/>
  <c r="CE149" i="6"/>
  <c r="BK149" i="6"/>
  <c r="AU149" i="6"/>
  <c r="AM149" i="6"/>
  <c r="BV149" i="6"/>
  <c r="E151" i="12"/>
  <c r="F151" i="6"/>
  <c r="AB147" i="5"/>
  <c r="AA147" i="5"/>
  <c r="C147" i="6"/>
  <c r="O147" i="5"/>
  <c r="AS150" i="6" l="1"/>
  <c r="AM150" i="6"/>
  <c r="AT150" i="6"/>
  <c r="AY150" i="6"/>
  <c r="AU150" i="6"/>
  <c r="BA150" i="6"/>
  <c r="K151" i="12"/>
  <c r="N147" i="12"/>
  <c r="AP150" i="6"/>
  <c r="AL150" i="6"/>
  <c r="AJ150" i="6"/>
  <c r="Y147" i="12"/>
  <c r="W147" i="12" s="1"/>
  <c r="AR150" i="6"/>
  <c r="AQ150" i="6"/>
  <c r="U145" i="12"/>
  <c r="T145" i="12"/>
  <c r="V145" i="12"/>
  <c r="E147" i="6"/>
  <c r="D147" i="12"/>
  <c r="AW150" i="6"/>
  <c r="AO150" i="6"/>
  <c r="AV150" i="6"/>
  <c r="AZ150" i="6"/>
  <c r="AN150" i="6"/>
  <c r="AK150" i="6"/>
  <c r="C148" i="6"/>
  <c r="O148" i="5"/>
  <c r="M151" i="6"/>
  <c r="CL151" i="6" s="1"/>
  <c r="N151" i="6"/>
  <c r="G151" i="6"/>
  <c r="H151" i="6"/>
  <c r="T151" i="5" s="1"/>
  <c r="B146" i="12"/>
  <c r="X146" i="5"/>
  <c r="AA148" i="5"/>
  <c r="AB148" i="5"/>
  <c r="C148" i="12"/>
  <c r="M148" i="12"/>
  <c r="AO148" i="12"/>
  <c r="O148" i="12"/>
  <c r="AM149" i="5"/>
  <c r="L149" i="5"/>
  <c r="I149" i="12"/>
  <c r="Z149" i="5"/>
  <c r="I149" i="5"/>
  <c r="AC149" i="5"/>
  <c r="D152" i="6"/>
  <c r="A153" i="12"/>
  <c r="G153" i="5"/>
  <c r="C154" i="5"/>
  <c r="E153" i="5"/>
  <c r="W153" i="5"/>
  <c r="H153" i="12" s="1"/>
  <c r="I153" i="5"/>
  <c r="N153" i="5"/>
  <c r="F153" i="5"/>
  <c r="B153" i="6"/>
  <c r="AE153" i="5"/>
  <c r="H153" i="5"/>
  <c r="B153" i="5"/>
  <c r="AD153" i="5"/>
  <c r="BW151" i="6" l="1"/>
  <c r="BZ151" i="6"/>
  <c r="BC151" i="6"/>
  <c r="CC151" i="6"/>
  <c r="CJ151" i="6"/>
  <c r="BX151" i="6"/>
  <c r="X147" i="12"/>
  <c r="CF151" i="6"/>
  <c r="CH151" i="6"/>
  <c r="CD151" i="6"/>
  <c r="BV151" i="6"/>
  <c r="CE151" i="6"/>
  <c r="BJ151" i="6"/>
  <c r="CM151" i="6"/>
  <c r="CI151" i="6"/>
  <c r="BQ151" i="6"/>
  <c r="BN151" i="6"/>
  <c r="CG151" i="6"/>
  <c r="BE151" i="6"/>
  <c r="BF151" i="6"/>
  <c r="BY151" i="6"/>
  <c r="BR151" i="6"/>
  <c r="CK151" i="6"/>
  <c r="BO151" i="6"/>
  <c r="BL151" i="6"/>
  <c r="BS151" i="6"/>
  <c r="C149" i="6"/>
  <c r="O149" i="5"/>
  <c r="AU151" i="6"/>
  <c r="BA151" i="6"/>
  <c r="AP151" i="6"/>
  <c r="AQ151" i="6"/>
  <c r="AT151" i="6"/>
  <c r="AM151" i="6"/>
  <c r="BP151" i="6"/>
  <c r="G151" i="12"/>
  <c r="X151" i="5"/>
  <c r="AL151" i="6"/>
  <c r="AW151" i="6"/>
  <c r="AA149" i="5"/>
  <c r="AA146" i="5" s="1"/>
  <c r="AB149" i="5"/>
  <c r="AB146" i="5" s="1"/>
  <c r="N148" i="12"/>
  <c r="I146" i="12"/>
  <c r="L146" i="5"/>
  <c r="AM146" i="5"/>
  <c r="Z146" i="5"/>
  <c r="AC146" i="5"/>
  <c r="AZ151" i="6"/>
  <c r="BD151" i="6"/>
  <c r="BG151" i="6"/>
  <c r="BH151" i="6"/>
  <c r="CB151" i="6"/>
  <c r="AY151" i="6"/>
  <c r="BT151" i="6"/>
  <c r="AV151" i="6"/>
  <c r="AX151" i="6"/>
  <c r="BI151" i="6"/>
  <c r="D148" i="12"/>
  <c r="E148" i="6"/>
  <c r="D153" i="6"/>
  <c r="AD154" i="5"/>
  <c r="E154" i="5"/>
  <c r="AE154" i="5"/>
  <c r="W154" i="5"/>
  <c r="H154" i="12" s="1"/>
  <c r="N154" i="5"/>
  <c r="G154" i="5"/>
  <c r="D154" i="5"/>
  <c r="B154" i="12" s="1"/>
  <c r="K154" i="5"/>
  <c r="F154" i="5"/>
  <c r="B154" i="5"/>
  <c r="C155" i="5" s="1"/>
  <c r="A154" i="12"/>
  <c r="J154" i="5"/>
  <c r="H154" i="5"/>
  <c r="R154" i="5"/>
  <c r="B154" i="6"/>
  <c r="BE152" i="6"/>
  <c r="BZ152" i="6"/>
  <c r="BO152" i="6"/>
  <c r="BY152" i="6"/>
  <c r="BL152" i="6"/>
  <c r="CK152" i="6"/>
  <c r="BK152" i="6"/>
  <c r="BR152" i="6"/>
  <c r="BQ152" i="6"/>
  <c r="CD152" i="6"/>
  <c r="CL152" i="6"/>
  <c r="BP152" i="6"/>
  <c r="BF152" i="6"/>
  <c r="CH152" i="6"/>
  <c r="CF152" i="6"/>
  <c r="CB152" i="6"/>
  <c r="BD152" i="6"/>
  <c r="H152" i="6"/>
  <c r="T152" i="5" s="1"/>
  <c r="G152" i="12" s="1"/>
  <c r="BN152" i="6"/>
  <c r="BS152" i="6"/>
  <c r="BX152" i="6"/>
  <c r="BI152" i="6"/>
  <c r="BT152" i="6"/>
  <c r="CG152" i="6"/>
  <c r="BW152" i="6"/>
  <c r="CM152" i="6"/>
  <c r="BM152" i="6"/>
  <c r="BH152" i="6"/>
  <c r="G152" i="6"/>
  <c r="CC152" i="6"/>
  <c r="M152" i="6"/>
  <c r="CI152" i="6"/>
  <c r="BG152" i="6"/>
  <c r="CJ152" i="6"/>
  <c r="N152" i="6"/>
  <c r="BJ152" i="6"/>
  <c r="CE152" i="6"/>
  <c r="BC152" i="6"/>
  <c r="BV152" i="6"/>
  <c r="CA152" i="6"/>
  <c r="C149" i="12"/>
  <c r="M149" i="12"/>
  <c r="O149" i="12"/>
  <c r="AO149" i="12"/>
  <c r="Y148" i="12"/>
  <c r="M146" i="12"/>
  <c r="O146" i="12"/>
  <c r="N146" i="12" s="1"/>
  <c r="AN151" i="6"/>
  <c r="AO151" i="6"/>
  <c r="AR151" i="6"/>
  <c r="AK151" i="6"/>
  <c r="BM151" i="6"/>
  <c r="AS151" i="6"/>
  <c r="AJ151" i="6"/>
  <c r="BK151" i="6"/>
  <c r="CA151" i="6"/>
  <c r="U147" i="12"/>
  <c r="T147" i="12"/>
  <c r="V147" i="12"/>
  <c r="N149" i="12" l="1"/>
  <c r="Y149" i="12"/>
  <c r="AK152" i="6"/>
  <c r="BA152" i="6"/>
  <c r="AN152" i="6"/>
  <c r="W149" i="12"/>
  <c r="X149" i="12"/>
  <c r="AV152" i="6"/>
  <c r="E154" i="12"/>
  <c r="F154" i="6"/>
  <c r="C146" i="6"/>
  <c r="AO146" i="12"/>
  <c r="Y146" i="12" s="1"/>
  <c r="AM152" i="6"/>
  <c r="AX152" i="6"/>
  <c r="AP152" i="6"/>
  <c r="AU152" i="6"/>
  <c r="AQ152" i="6"/>
  <c r="BP153" i="6"/>
  <c r="BC153" i="6"/>
  <c r="CI153" i="6"/>
  <c r="G153" i="6"/>
  <c r="CB153" i="6"/>
  <c r="CG153" i="6"/>
  <c r="H153" i="6"/>
  <c r="T153" i="5" s="1"/>
  <c r="G153" i="12" s="1"/>
  <c r="BW153" i="6"/>
  <c r="BG153" i="6"/>
  <c r="BV153" i="6"/>
  <c r="BJ153" i="6"/>
  <c r="CL153" i="6"/>
  <c r="BI153" i="6"/>
  <c r="BM153" i="6"/>
  <c r="BE153" i="6"/>
  <c r="CE153" i="6"/>
  <c r="BH153" i="6"/>
  <c r="M153" i="6"/>
  <c r="BD153" i="6"/>
  <c r="CD153" i="6"/>
  <c r="CH153" i="6"/>
  <c r="AK153" i="6"/>
  <c r="CK153" i="6"/>
  <c r="BN153" i="6"/>
  <c r="BL153" i="6"/>
  <c r="BX153" i="6"/>
  <c r="BR153" i="6"/>
  <c r="BQ153" i="6"/>
  <c r="N153" i="6"/>
  <c r="AX153" i="6"/>
  <c r="CA153" i="6"/>
  <c r="CC153" i="6"/>
  <c r="AL153" i="6"/>
  <c r="CM153" i="6"/>
  <c r="BO153" i="6"/>
  <c r="BT153" i="6"/>
  <c r="BF153" i="6"/>
  <c r="BY153" i="6"/>
  <c r="BZ153" i="6"/>
  <c r="CF153" i="6"/>
  <c r="BK153" i="6"/>
  <c r="BS153" i="6"/>
  <c r="CJ153" i="6"/>
  <c r="C146" i="12"/>
  <c r="L146" i="12"/>
  <c r="J146" i="12"/>
  <c r="L151" i="5"/>
  <c r="I151" i="12"/>
  <c r="AM151" i="5"/>
  <c r="I151" i="5"/>
  <c r="Z151" i="5"/>
  <c r="AC151" i="5"/>
  <c r="AL152" i="6"/>
  <c r="AO152" i="6"/>
  <c r="AR152" i="6"/>
  <c r="AW152" i="6"/>
  <c r="AT152" i="6"/>
  <c r="F155" i="5"/>
  <c r="E155" i="5"/>
  <c r="W155" i="5"/>
  <c r="H155" i="12" s="1"/>
  <c r="H155" i="5"/>
  <c r="AD155" i="5"/>
  <c r="A155" i="12"/>
  <c r="B155" i="5"/>
  <c r="G155" i="5"/>
  <c r="K153" i="5" s="1"/>
  <c r="B155" i="6"/>
  <c r="I155" i="5"/>
  <c r="AE155" i="5"/>
  <c r="C156" i="5"/>
  <c r="N155" i="5"/>
  <c r="J154" i="12"/>
  <c r="L154" i="12"/>
  <c r="D154" i="6"/>
  <c r="E149" i="6"/>
  <c r="D149" i="12"/>
  <c r="X148" i="12"/>
  <c r="W148" i="12"/>
  <c r="AS152" i="6"/>
  <c r="AZ152" i="6"/>
  <c r="AJ152" i="6"/>
  <c r="AY152" i="6"/>
  <c r="K146" i="12" l="1"/>
  <c r="AV153" i="6"/>
  <c r="AS153" i="6"/>
  <c r="AT153" i="6"/>
  <c r="AW153" i="6"/>
  <c r="AM153" i="6"/>
  <c r="AO153" i="6"/>
  <c r="AN153" i="6"/>
  <c r="AY153" i="6"/>
  <c r="AP153" i="6"/>
  <c r="AR153" i="6"/>
  <c r="AJ153" i="6"/>
  <c r="BA153" i="6"/>
  <c r="AQ153" i="6"/>
  <c r="U148" i="12"/>
  <c r="T148" i="12"/>
  <c r="V148" i="12"/>
  <c r="K154" i="12"/>
  <c r="AU153" i="6"/>
  <c r="AZ153" i="6"/>
  <c r="M154" i="6"/>
  <c r="BD154" i="6" s="1"/>
  <c r="G154" i="6"/>
  <c r="BZ154" i="6"/>
  <c r="BX154" i="6"/>
  <c r="CJ154" i="6"/>
  <c r="CB154" i="6"/>
  <c r="BH154" i="6"/>
  <c r="BW154" i="6"/>
  <c r="CI154" i="6"/>
  <c r="H154" i="6"/>
  <c r="T154" i="5" s="1"/>
  <c r="BM154" i="6"/>
  <c r="CD154" i="6"/>
  <c r="CL154" i="6"/>
  <c r="BJ154" i="6"/>
  <c r="BR154" i="6"/>
  <c r="CH154" i="6"/>
  <c r="BG154" i="6"/>
  <c r="BY154" i="6"/>
  <c r="CF154" i="6"/>
  <c r="N154" i="6"/>
  <c r="C151" i="12"/>
  <c r="M151" i="12"/>
  <c r="O151" i="12"/>
  <c r="AO151" i="12"/>
  <c r="D155" i="6"/>
  <c r="AB151" i="5"/>
  <c r="AA151" i="5"/>
  <c r="C151" i="6"/>
  <c r="O151" i="5"/>
  <c r="U149" i="12"/>
  <c r="T149" i="12"/>
  <c r="V149" i="12"/>
  <c r="AD156" i="5"/>
  <c r="A156" i="12"/>
  <c r="C157" i="5"/>
  <c r="N156" i="5"/>
  <c r="R156" i="5"/>
  <c r="AE156" i="5"/>
  <c r="B156" i="5"/>
  <c r="D156" i="5"/>
  <c r="B156" i="12" s="1"/>
  <c r="K156" i="5"/>
  <c r="G156" i="5"/>
  <c r="F156" i="5"/>
  <c r="W156" i="5"/>
  <c r="H156" i="12" s="1"/>
  <c r="B156" i="6"/>
  <c r="H156" i="5"/>
  <c r="J156" i="5"/>
  <c r="E156" i="5"/>
  <c r="X146" i="12"/>
  <c r="W146" i="12"/>
  <c r="CG154" i="6" l="1"/>
  <c r="BV154" i="6"/>
  <c r="BL154" i="6"/>
  <c r="BF154" i="6"/>
  <c r="BT154" i="6"/>
  <c r="BC154" i="6"/>
  <c r="Y151" i="12"/>
  <c r="BP154" i="6"/>
  <c r="BO154" i="6"/>
  <c r="CE154" i="6"/>
  <c r="CM154" i="6"/>
  <c r="AR154" i="6"/>
  <c r="BA154" i="6"/>
  <c r="L156" i="12"/>
  <c r="J156" i="12"/>
  <c r="G154" i="12"/>
  <c r="X154" i="5"/>
  <c r="AM154" i="6"/>
  <c r="CK154" i="6"/>
  <c r="BI154" i="6"/>
  <c r="AO154" i="6"/>
  <c r="BN154" i="6"/>
  <c r="AW154" i="6"/>
  <c r="E156" i="12"/>
  <c r="F156" i="6"/>
  <c r="X151" i="12"/>
  <c r="W151" i="12"/>
  <c r="AV154" i="6"/>
  <c r="AK154" i="6"/>
  <c r="BE154" i="6"/>
  <c r="AJ154" i="6"/>
  <c r="AN154" i="6"/>
  <c r="BK154" i="6"/>
  <c r="BS154" i="6"/>
  <c r="B157" i="6"/>
  <c r="A157" i="12"/>
  <c r="G157" i="5"/>
  <c r="K157" i="5"/>
  <c r="B157" i="5"/>
  <c r="E157" i="5"/>
  <c r="H157" i="5"/>
  <c r="W157" i="5"/>
  <c r="H157" i="12" s="1"/>
  <c r="J157" i="5"/>
  <c r="C158" i="5"/>
  <c r="N157" i="5"/>
  <c r="R157" i="5"/>
  <c r="AD157" i="5"/>
  <c r="D157" i="5"/>
  <c r="B157" i="12" s="1"/>
  <c r="F157" i="5"/>
  <c r="AE157" i="5"/>
  <c r="V146" i="12"/>
  <c r="U146" i="12"/>
  <c r="T146" i="12"/>
  <c r="D156" i="6"/>
  <c r="E151" i="6"/>
  <c r="D151" i="12"/>
  <c r="N151" i="12"/>
  <c r="AP154" i="6"/>
  <c r="AS154" i="6"/>
  <c r="AQ154" i="6"/>
  <c r="AY154" i="6"/>
  <c r="CA154" i="6"/>
  <c r="CC154" i="6"/>
  <c r="AX154" i="6"/>
  <c r="BQ154" i="6"/>
  <c r="AZ154" i="6"/>
  <c r="BQ155" i="6"/>
  <c r="M155" i="6"/>
  <c r="AR155" i="6" s="1"/>
  <c r="BV155" i="6"/>
  <c r="BJ155" i="6"/>
  <c r="BE155" i="6"/>
  <c r="BF155" i="6"/>
  <c r="CD155" i="6"/>
  <c r="CK155" i="6"/>
  <c r="CE155" i="6"/>
  <c r="CH155" i="6"/>
  <c r="BT155" i="6"/>
  <c r="N155" i="6"/>
  <c r="BN155" i="6"/>
  <c r="CA155" i="6"/>
  <c r="BY155" i="6"/>
  <c r="BW155" i="6"/>
  <c r="CM155" i="6"/>
  <c r="BI155" i="6"/>
  <c r="BZ155" i="6"/>
  <c r="BP155" i="6"/>
  <c r="BR155" i="6"/>
  <c r="CL155" i="6"/>
  <c r="H155" i="6"/>
  <c r="T155" i="5" s="1"/>
  <c r="G155" i="12" s="1"/>
  <c r="CF155" i="6"/>
  <c r="BG155" i="6"/>
  <c r="BX155" i="6"/>
  <c r="BS155" i="6"/>
  <c r="BM155" i="6"/>
  <c r="CG155" i="6"/>
  <c r="BD155" i="6"/>
  <c r="BK155" i="6"/>
  <c r="G155" i="6"/>
  <c r="BC155" i="6"/>
  <c r="CC155" i="6"/>
  <c r="CB155" i="6"/>
  <c r="BL155" i="6"/>
  <c r="BH155" i="6"/>
  <c r="CJ155" i="6"/>
  <c r="CI155" i="6"/>
  <c r="BO155" i="6"/>
  <c r="AL154" i="6"/>
  <c r="AT154" i="6"/>
  <c r="AU154" i="6"/>
  <c r="K156" i="12" l="1"/>
  <c r="AZ155" i="6"/>
  <c r="AW155" i="6"/>
  <c r="AQ155" i="6"/>
  <c r="AV155" i="6"/>
  <c r="AL155" i="6"/>
  <c r="AO155" i="6"/>
  <c r="AK155" i="6"/>
  <c r="F157" i="6"/>
  <c r="E157" i="12"/>
  <c r="J157" i="12"/>
  <c r="L157" i="12"/>
  <c r="L154" i="5"/>
  <c r="AM154" i="5"/>
  <c r="I154" i="12"/>
  <c r="Z154" i="5"/>
  <c r="I154" i="5"/>
  <c r="AC154" i="5"/>
  <c r="D157" i="6"/>
  <c r="V151" i="12"/>
  <c r="U151" i="12"/>
  <c r="T151" i="12"/>
  <c r="AX155" i="6"/>
  <c r="AN155" i="6"/>
  <c r="BA155" i="6"/>
  <c r="AP155" i="6"/>
  <c r="AY155" i="6"/>
  <c r="G158" i="5"/>
  <c r="C159" i="5"/>
  <c r="AD158" i="5"/>
  <c r="R158" i="5"/>
  <c r="W158" i="5"/>
  <c r="H158" i="12" s="1"/>
  <c r="D158" i="5"/>
  <c r="B158" i="12" s="1"/>
  <c r="N158" i="5"/>
  <c r="H158" i="5"/>
  <c r="AE158" i="5"/>
  <c r="A158" i="12"/>
  <c r="F158" i="5"/>
  <c r="B158" i="5"/>
  <c r="K158" i="5"/>
  <c r="E158" i="5"/>
  <c r="J158" i="5"/>
  <c r="B158" i="6"/>
  <c r="AJ155" i="6"/>
  <c r="AT155" i="6"/>
  <c r="AU155" i="6"/>
  <c r="AM155" i="6"/>
  <c r="AS155" i="6"/>
  <c r="N156" i="6"/>
  <c r="G156" i="6"/>
  <c r="H156" i="6"/>
  <c r="T156" i="5" s="1"/>
  <c r="M156" i="6"/>
  <c r="BC156" i="6" s="1"/>
  <c r="BE156" i="6" l="1"/>
  <c r="CI156" i="6"/>
  <c r="CC156" i="6"/>
  <c r="K157" i="12"/>
  <c r="CF156" i="6"/>
  <c r="BV156" i="6"/>
  <c r="CA156" i="6"/>
  <c r="CB156" i="6"/>
  <c r="BM156" i="6"/>
  <c r="CK156" i="6"/>
  <c r="CL156" i="6"/>
  <c r="AS156" i="6"/>
  <c r="AQ156" i="6"/>
  <c r="AW156" i="6"/>
  <c r="CD156" i="6"/>
  <c r="BJ156" i="6"/>
  <c r="AU156" i="6"/>
  <c r="CM156" i="6"/>
  <c r="BN156" i="6"/>
  <c r="CE156" i="6"/>
  <c r="BQ156" i="6"/>
  <c r="BL156" i="6"/>
  <c r="BY156" i="6"/>
  <c r="AL156" i="6"/>
  <c r="BP156" i="6"/>
  <c r="AK156" i="6"/>
  <c r="BA156" i="6"/>
  <c r="AR156" i="6"/>
  <c r="BF156" i="6"/>
  <c r="L158" i="12"/>
  <c r="J158" i="12"/>
  <c r="AA154" i="5"/>
  <c r="AB154" i="5"/>
  <c r="G156" i="12"/>
  <c r="X156" i="5"/>
  <c r="AM156" i="6"/>
  <c r="BT156" i="6"/>
  <c r="BX156" i="6"/>
  <c r="CJ156" i="6"/>
  <c r="BW156" i="6"/>
  <c r="AV156" i="6"/>
  <c r="AJ156" i="6"/>
  <c r="AX156" i="6"/>
  <c r="BO156" i="6"/>
  <c r="AP156" i="6"/>
  <c r="F159" i="5"/>
  <c r="AD159" i="5"/>
  <c r="AE159" i="5"/>
  <c r="H159" i="5"/>
  <c r="R159" i="5"/>
  <c r="B159" i="6"/>
  <c r="B159" i="5"/>
  <c r="A159" i="12"/>
  <c r="D159" i="5"/>
  <c r="B159" i="12" s="1"/>
  <c r="N159" i="5"/>
  <c r="C160" i="5"/>
  <c r="J159" i="5"/>
  <c r="E159" i="5"/>
  <c r="K159" i="5"/>
  <c r="W159" i="5"/>
  <c r="H159" i="12" s="1"/>
  <c r="G159" i="5"/>
  <c r="C154" i="12"/>
  <c r="O154" i="12"/>
  <c r="M154" i="12"/>
  <c r="AO154" i="12"/>
  <c r="AT156" i="6"/>
  <c r="BS156" i="6"/>
  <c r="BD156" i="6"/>
  <c r="AN156" i="6"/>
  <c r="BZ156" i="6"/>
  <c r="BI156" i="6"/>
  <c r="BH156" i="6"/>
  <c r="AZ156" i="6"/>
  <c r="CH156" i="6"/>
  <c r="BK156" i="6"/>
  <c r="AO156" i="6"/>
  <c r="BG156" i="6"/>
  <c r="CG156" i="6"/>
  <c r="AY156" i="6"/>
  <c r="BR156" i="6"/>
  <c r="D158" i="6"/>
  <c r="E158" i="12"/>
  <c r="F158" i="6"/>
  <c r="G157" i="6"/>
  <c r="M157" i="6"/>
  <c r="CB157" i="6" s="1"/>
  <c r="CE157" i="6"/>
  <c r="CH157" i="6"/>
  <c r="CD157" i="6"/>
  <c r="BL157" i="6"/>
  <c r="BE157" i="6"/>
  <c r="CF157" i="6"/>
  <c r="N157" i="6"/>
  <c r="BJ157" i="6"/>
  <c r="BY157" i="6"/>
  <c r="H157" i="6"/>
  <c r="T157" i="5" s="1"/>
  <c r="BI157" i="6"/>
  <c r="BQ157" i="6"/>
  <c r="BM157" i="6"/>
  <c r="BP157" i="6"/>
  <c r="CI157" i="6"/>
  <c r="BF157" i="6"/>
  <c r="C154" i="6"/>
  <c r="O154" i="5"/>
  <c r="N154" i="12" l="1"/>
  <c r="K158" i="12"/>
  <c r="BH157" i="6"/>
  <c r="BX157" i="6"/>
  <c r="BG157" i="6"/>
  <c r="BR157" i="6"/>
  <c r="CG157" i="6"/>
  <c r="CC157" i="6"/>
  <c r="Y154" i="12"/>
  <c r="AZ157" i="6"/>
  <c r="AK157" i="6"/>
  <c r="BW157" i="6"/>
  <c r="N158" i="6"/>
  <c r="G158" i="6"/>
  <c r="M158" i="6"/>
  <c r="BQ158" i="6" s="1"/>
  <c r="BW158" i="6"/>
  <c r="H158" i="6"/>
  <c r="T158" i="5" s="1"/>
  <c r="CA158" i="6"/>
  <c r="BY158" i="6"/>
  <c r="BR158" i="6"/>
  <c r="BX158" i="6"/>
  <c r="CL158" i="6"/>
  <c r="BF158" i="6"/>
  <c r="AE160" i="5"/>
  <c r="F160" i="5"/>
  <c r="A160" i="12"/>
  <c r="D160" i="5"/>
  <c r="B160" i="12" s="1"/>
  <c r="G160" i="5"/>
  <c r="H160" i="5"/>
  <c r="AD160" i="5"/>
  <c r="E160" i="5"/>
  <c r="B160" i="6"/>
  <c r="B160" i="5"/>
  <c r="N160" i="5"/>
  <c r="C161" i="5"/>
  <c r="J160" i="5"/>
  <c r="W160" i="5"/>
  <c r="H160" i="12" s="1"/>
  <c r="K160" i="5"/>
  <c r="R160" i="5"/>
  <c r="E154" i="6"/>
  <c r="D154" i="12"/>
  <c r="BT157" i="6"/>
  <c r="BC157" i="6"/>
  <c r="BZ157" i="6"/>
  <c r="AW157" i="6"/>
  <c r="CM157" i="6"/>
  <c r="BS157" i="6"/>
  <c r="BV157" i="6"/>
  <c r="AX157" i="6"/>
  <c r="BK157" i="6"/>
  <c r="W154" i="12"/>
  <c r="X154" i="12"/>
  <c r="D159" i="6"/>
  <c r="I156" i="12"/>
  <c r="L156" i="5"/>
  <c r="AM156" i="5"/>
  <c r="I156" i="5"/>
  <c r="Z156" i="5"/>
  <c r="AC156" i="5"/>
  <c r="G157" i="12"/>
  <c r="X157" i="5"/>
  <c r="AP157" i="6"/>
  <c r="CL157" i="6"/>
  <c r="AN157" i="6"/>
  <c r="AY157" i="6"/>
  <c r="AV157" i="6"/>
  <c r="BO157" i="6"/>
  <c r="BA157" i="6"/>
  <c r="AT157" i="6"/>
  <c r="CJ157" i="6"/>
  <c r="BD157" i="6"/>
  <c r="AR157" i="6"/>
  <c r="CA157" i="6"/>
  <c r="CK157" i="6"/>
  <c r="E159" i="12"/>
  <c r="F159" i="6"/>
  <c r="AU157" i="6"/>
  <c r="AL157" i="6"/>
  <c r="AO157" i="6"/>
  <c r="AS157" i="6"/>
  <c r="AQ157" i="6"/>
  <c r="AM157" i="6"/>
  <c r="BN157" i="6"/>
  <c r="J159" i="12"/>
  <c r="L159" i="12"/>
  <c r="K159" i="12" l="1"/>
  <c r="CK158" i="6"/>
  <c r="BI158" i="6"/>
  <c r="BV158" i="6"/>
  <c r="BT158" i="6"/>
  <c r="BO158" i="6"/>
  <c r="CG158" i="6"/>
  <c r="BK158" i="6"/>
  <c r="BE158" i="6"/>
  <c r="BD158" i="6"/>
  <c r="BM158" i="6"/>
  <c r="BP158" i="6"/>
  <c r="BJ158" i="6"/>
  <c r="BS158" i="6"/>
  <c r="CJ158" i="6"/>
  <c r="CF158" i="6"/>
  <c r="CE158" i="6"/>
  <c r="BZ158" i="6"/>
  <c r="CB158" i="6"/>
  <c r="BH158" i="6"/>
  <c r="CD158" i="6"/>
  <c r="CC158" i="6"/>
  <c r="CM158" i="6"/>
  <c r="BN158" i="6"/>
  <c r="BG158" i="6"/>
  <c r="BC158" i="6"/>
  <c r="AM158" i="6"/>
  <c r="AV158" i="6"/>
  <c r="AL158" i="6"/>
  <c r="AN158" i="6"/>
  <c r="AK158" i="6"/>
  <c r="BL158" i="6"/>
  <c r="AO158" i="6"/>
  <c r="BA158" i="6"/>
  <c r="CH158" i="6"/>
  <c r="AY158" i="6"/>
  <c r="AW158" i="6"/>
  <c r="AR158" i="6"/>
  <c r="CI158" i="6"/>
  <c r="AM157" i="5"/>
  <c r="I157" i="12"/>
  <c r="L157" i="5"/>
  <c r="Z157" i="5"/>
  <c r="I157" i="5"/>
  <c r="AC157" i="5"/>
  <c r="AB156" i="5"/>
  <c r="AA156" i="5"/>
  <c r="C156" i="12"/>
  <c r="M156" i="12"/>
  <c r="AO156" i="12"/>
  <c r="O156" i="12"/>
  <c r="T154" i="12"/>
  <c r="V154" i="12"/>
  <c r="U154" i="12"/>
  <c r="B161" i="5"/>
  <c r="A161" i="12"/>
  <c r="C162" i="5"/>
  <c r="B161" i="6"/>
  <c r="W161" i="5"/>
  <c r="H161" i="12" s="1"/>
  <c r="H161" i="5"/>
  <c r="N161" i="5"/>
  <c r="AE161" i="5"/>
  <c r="I161" i="5"/>
  <c r="F161" i="5"/>
  <c r="AD161" i="5"/>
  <c r="E161" i="5"/>
  <c r="G161" i="5"/>
  <c r="AU158" i="6"/>
  <c r="AX158" i="6"/>
  <c r="AP158" i="6"/>
  <c r="E160" i="12"/>
  <c r="F160" i="6"/>
  <c r="AZ158" i="6"/>
  <c r="AJ157" i="6"/>
  <c r="H159" i="6"/>
  <c r="T159" i="5" s="1"/>
  <c r="G159" i="6"/>
  <c r="M159" i="6"/>
  <c r="CI159" i="6" s="1"/>
  <c r="N159" i="6"/>
  <c r="C156" i="6"/>
  <c r="O156" i="5"/>
  <c r="D160" i="6"/>
  <c r="L160" i="12"/>
  <c r="J160" i="12"/>
  <c r="G158" i="12"/>
  <c r="X158" i="5"/>
  <c r="AQ158" i="6"/>
  <c r="AS158" i="6"/>
  <c r="AT158" i="6"/>
  <c r="AM159" i="6" l="1"/>
  <c r="BV159" i="6"/>
  <c r="BS159" i="6"/>
  <c r="K160" i="12"/>
  <c r="BX159" i="6"/>
  <c r="AK159" i="6"/>
  <c r="BW159" i="6"/>
  <c r="L158" i="5"/>
  <c r="I158" i="12"/>
  <c r="AM158" i="5"/>
  <c r="Z158" i="5"/>
  <c r="I158" i="5"/>
  <c r="AC158" i="5"/>
  <c r="AJ158" i="6"/>
  <c r="N160" i="6"/>
  <c r="G160" i="6"/>
  <c r="M160" i="6"/>
  <c r="BK160" i="6" s="1"/>
  <c r="H160" i="6"/>
  <c r="T160" i="5" s="1"/>
  <c r="AT159" i="6"/>
  <c r="AS159" i="6"/>
  <c r="BH159" i="6"/>
  <c r="BM159" i="6"/>
  <c r="CH159" i="6"/>
  <c r="BT159" i="6"/>
  <c r="BD159" i="6"/>
  <c r="BA159" i="6"/>
  <c r="CL159" i="6"/>
  <c r="AR159" i="6"/>
  <c r="CD159" i="6"/>
  <c r="BL159" i="6"/>
  <c r="AQ159" i="6"/>
  <c r="CM159" i="6"/>
  <c r="G159" i="12"/>
  <c r="X159" i="5"/>
  <c r="N156" i="12"/>
  <c r="AB157" i="5"/>
  <c r="AA157" i="5"/>
  <c r="D156" i="12"/>
  <c r="E156" i="6"/>
  <c r="BE159" i="6"/>
  <c r="BG159" i="6"/>
  <c r="CE159" i="6"/>
  <c r="BR159" i="6"/>
  <c r="BO159" i="6"/>
  <c r="AZ159" i="6"/>
  <c r="CB159" i="6"/>
  <c r="CC159" i="6"/>
  <c r="BZ159" i="6"/>
  <c r="AW159" i="6"/>
  <c r="BF159" i="6"/>
  <c r="AO159" i="6"/>
  <c r="BN159" i="6"/>
  <c r="AP159" i="6"/>
  <c r="Y156" i="12"/>
  <c r="C157" i="6"/>
  <c r="O157" i="5"/>
  <c r="AU159" i="6"/>
  <c r="BJ159" i="6"/>
  <c r="CA159" i="6"/>
  <c r="BQ159" i="6"/>
  <c r="BC159" i="6"/>
  <c r="BK159" i="6"/>
  <c r="CK159" i="6"/>
  <c r="D161" i="6"/>
  <c r="A162" i="12"/>
  <c r="D162" i="5"/>
  <c r="B162" i="12" s="1"/>
  <c r="B162" i="6"/>
  <c r="J162" i="5"/>
  <c r="E162" i="5"/>
  <c r="AE162" i="5"/>
  <c r="H162" i="5"/>
  <c r="G162" i="5"/>
  <c r="N162" i="5"/>
  <c r="AD162" i="5"/>
  <c r="K162" i="5"/>
  <c r="R162" i="5"/>
  <c r="W162" i="5"/>
  <c r="H162" i="12" s="1"/>
  <c r="B162" i="5"/>
  <c r="C163" i="5"/>
  <c r="F162" i="5"/>
  <c r="C157" i="12"/>
  <c r="AO157" i="12"/>
  <c r="M157" i="12"/>
  <c r="O157" i="12"/>
  <c r="CJ159" i="6"/>
  <c r="AL159" i="6"/>
  <c r="CF159" i="6"/>
  <c r="BY159" i="6"/>
  <c r="BP159" i="6"/>
  <c r="AV159" i="6"/>
  <c r="AJ159" i="6"/>
  <c r="CG159" i="6"/>
  <c r="AN159" i="6"/>
  <c r="AY159" i="6"/>
  <c r="BI159" i="6"/>
  <c r="AX159" i="6"/>
  <c r="N157" i="12" l="1"/>
  <c r="AW160" i="6"/>
  <c r="BD160" i="6"/>
  <c r="AO160" i="6"/>
  <c r="CM160" i="6"/>
  <c r="BJ160" i="6"/>
  <c r="CL160" i="6"/>
  <c r="BV160" i="6"/>
  <c r="CH160" i="6"/>
  <c r="AT160" i="6"/>
  <c r="BT160" i="6"/>
  <c r="B163" i="6"/>
  <c r="AE163" i="5"/>
  <c r="AD163" i="5"/>
  <c r="N163" i="5"/>
  <c r="B163" i="5"/>
  <c r="C164" i="5"/>
  <c r="F163" i="5"/>
  <c r="R163" i="5"/>
  <c r="D163" i="5"/>
  <c r="B163" i="12" s="1"/>
  <c r="J163" i="5"/>
  <c r="K163" i="5"/>
  <c r="G163" i="5"/>
  <c r="W163" i="5"/>
  <c r="H163" i="12" s="1"/>
  <c r="H163" i="5"/>
  <c r="A163" i="12"/>
  <c r="E163" i="5"/>
  <c r="E162" i="12"/>
  <c r="F162" i="6"/>
  <c r="D162" i="6"/>
  <c r="M161" i="6"/>
  <c r="CD161" i="6"/>
  <c r="BX161" i="6"/>
  <c r="BS161" i="6"/>
  <c r="BN161" i="6"/>
  <c r="BG161" i="6"/>
  <c r="BJ161" i="6"/>
  <c r="BR161" i="6"/>
  <c r="H161" i="6"/>
  <c r="T161" i="5" s="1"/>
  <c r="G161" i="12" s="1"/>
  <c r="BE161" i="6"/>
  <c r="BT161" i="6"/>
  <c r="AZ161" i="6"/>
  <c r="BA161" i="6"/>
  <c r="CF161" i="6"/>
  <c r="BF161" i="6"/>
  <c r="CC161" i="6"/>
  <c r="BC161" i="6"/>
  <c r="CB161" i="6"/>
  <c r="BZ161" i="6"/>
  <c r="CL161" i="6"/>
  <c r="CG161" i="6"/>
  <c r="CA161" i="6"/>
  <c r="AR161" i="6"/>
  <c r="AJ161" i="6"/>
  <c r="AY161" i="6"/>
  <c r="CE161" i="6"/>
  <c r="BD161" i="6"/>
  <c r="CH161" i="6"/>
  <c r="CM161" i="6"/>
  <c r="BM161" i="6"/>
  <c r="BQ161" i="6"/>
  <c r="CI161" i="6"/>
  <c r="BH161" i="6"/>
  <c r="N161" i="6"/>
  <c r="AM161" i="6"/>
  <c r="AT161" i="6"/>
  <c r="BP161" i="6"/>
  <c r="BY161" i="6"/>
  <c r="BW161" i="6"/>
  <c r="AP161" i="6"/>
  <c r="CJ161" i="6"/>
  <c r="CK161" i="6"/>
  <c r="AQ161" i="6"/>
  <c r="AU161" i="6"/>
  <c r="BO161" i="6"/>
  <c r="BK161" i="6"/>
  <c r="BI161" i="6"/>
  <c r="AS161" i="6"/>
  <c r="AW161" i="6"/>
  <c r="G161" i="6"/>
  <c r="BV161" i="6"/>
  <c r="BL161" i="6"/>
  <c r="D157" i="12"/>
  <c r="E157" i="6"/>
  <c r="BA160" i="6"/>
  <c r="CI160" i="6"/>
  <c r="AN160" i="6"/>
  <c r="CA160" i="6"/>
  <c r="AL160" i="6"/>
  <c r="CF160" i="6"/>
  <c r="BL160" i="6"/>
  <c r="BC160" i="6"/>
  <c r="CD160" i="6"/>
  <c r="AY160" i="6"/>
  <c r="BQ160" i="6"/>
  <c r="CK160" i="6"/>
  <c r="BY160" i="6"/>
  <c r="CE160" i="6"/>
  <c r="CG160" i="6"/>
  <c r="BO160" i="6"/>
  <c r="C158" i="12"/>
  <c r="M158" i="12"/>
  <c r="O158" i="12"/>
  <c r="AO158" i="12"/>
  <c r="L162" i="12"/>
  <c r="J162" i="12"/>
  <c r="W156" i="12"/>
  <c r="X156" i="12"/>
  <c r="L159" i="5"/>
  <c r="AM159" i="5"/>
  <c r="I159" i="12"/>
  <c r="Z159" i="5"/>
  <c r="I159" i="5"/>
  <c r="AC159" i="5"/>
  <c r="BH160" i="6"/>
  <c r="AM160" i="6"/>
  <c r="BZ160" i="6"/>
  <c r="AU160" i="6"/>
  <c r="AZ160" i="6"/>
  <c r="CJ160" i="6"/>
  <c r="AV160" i="6"/>
  <c r="AS160" i="6"/>
  <c r="CB160" i="6"/>
  <c r="BI160" i="6"/>
  <c r="BF160" i="6"/>
  <c r="BX160" i="6"/>
  <c r="BS160" i="6"/>
  <c r="BP160" i="6"/>
  <c r="C158" i="6"/>
  <c r="O158" i="5"/>
  <c r="Y157" i="12"/>
  <c r="G160" i="12"/>
  <c r="X160" i="5"/>
  <c r="AJ160" i="6" s="1"/>
  <c r="BR160" i="6"/>
  <c r="AK160" i="6"/>
  <c r="BE160" i="6"/>
  <c r="BG160" i="6"/>
  <c r="BN160" i="6"/>
  <c r="AP160" i="6"/>
  <c r="AX160" i="6"/>
  <c r="BM160" i="6"/>
  <c r="AQ160" i="6"/>
  <c r="AR160" i="6"/>
  <c r="BW160" i="6"/>
  <c r="CC160" i="6"/>
  <c r="AA158" i="5"/>
  <c r="AB158" i="5"/>
  <c r="AN161" i="6" l="1"/>
  <c r="AV161" i="6"/>
  <c r="AO161" i="6"/>
  <c r="AK161" i="6"/>
  <c r="AX161" i="6"/>
  <c r="AL161" i="6"/>
  <c r="N158" i="12"/>
  <c r="Y158" i="12"/>
  <c r="X158" i="12" s="1"/>
  <c r="E158" i="6"/>
  <c r="D158" i="12"/>
  <c r="L163" i="12"/>
  <c r="J163" i="12"/>
  <c r="B164" i="6"/>
  <c r="K164" i="5"/>
  <c r="AD164" i="5"/>
  <c r="C165" i="5"/>
  <c r="E164" i="5"/>
  <c r="N164" i="5"/>
  <c r="A164" i="12"/>
  <c r="B164" i="5"/>
  <c r="D164" i="5"/>
  <c r="B164" i="12" s="1"/>
  <c r="J164" i="5"/>
  <c r="G164" i="5"/>
  <c r="F164" i="5"/>
  <c r="W164" i="5"/>
  <c r="H164" i="12" s="1"/>
  <c r="AE164" i="5"/>
  <c r="H164" i="5"/>
  <c r="R164" i="5"/>
  <c r="L160" i="5"/>
  <c r="AM160" i="5"/>
  <c r="I160" i="12"/>
  <c r="I160" i="5"/>
  <c r="Z160" i="5"/>
  <c r="AC160" i="5"/>
  <c r="C159" i="6"/>
  <c r="O159" i="5"/>
  <c r="AA159" i="5"/>
  <c r="AB159" i="5"/>
  <c r="E163" i="12"/>
  <c r="F163" i="6"/>
  <c r="D163" i="6"/>
  <c r="X157" i="12"/>
  <c r="W157" i="12"/>
  <c r="C159" i="12"/>
  <c r="M159" i="12"/>
  <c r="AO159" i="12"/>
  <c r="O159" i="12"/>
  <c r="U156" i="12"/>
  <c r="T156" i="12"/>
  <c r="V156" i="12"/>
  <c r="K162" i="12"/>
  <c r="G162" i="6"/>
  <c r="M162" i="6"/>
  <c r="BT162" i="6" s="1"/>
  <c r="H162" i="6"/>
  <c r="T162" i="5" s="1"/>
  <c r="CL162" i="6"/>
  <c r="BL162" i="6"/>
  <c r="BK162" i="6"/>
  <c r="CM162" i="6"/>
  <c r="BN162" i="6"/>
  <c r="BE162" i="6"/>
  <c r="BS162" i="6"/>
  <c r="N162" i="6"/>
  <c r="K163" i="12" l="1"/>
  <c r="W158" i="12"/>
  <c r="BR162" i="6"/>
  <c r="CK162" i="6"/>
  <c r="BH162" i="6"/>
  <c r="CC162" i="6"/>
  <c r="CB162" i="6"/>
  <c r="AQ162" i="6"/>
  <c r="CH162" i="6"/>
  <c r="CJ162" i="6"/>
  <c r="BD162" i="6"/>
  <c r="BP162" i="6"/>
  <c r="BO162" i="6"/>
  <c r="AN162" i="6"/>
  <c r="AM162" i="6"/>
  <c r="AS162" i="6"/>
  <c r="AL162" i="6"/>
  <c r="CI162" i="6"/>
  <c r="CA162" i="6"/>
  <c r="N159" i="12"/>
  <c r="BW162" i="6"/>
  <c r="BG162" i="6"/>
  <c r="BQ162" i="6"/>
  <c r="AO162" i="6"/>
  <c r="AY162" i="6"/>
  <c r="CE162" i="6"/>
  <c r="BX162" i="6"/>
  <c r="BM162" i="6"/>
  <c r="AT162" i="6"/>
  <c r="BF162" i="6"/>
  <c r="BY162" i="6"/>
  <c r="C160" i="12"/>
  <c r="O160" i="12"/>
  <c r="M160" i="12"/>
  <c r="AO160" i="12"/>
  <c r="AU162" i="6"/>
  <c r="AP162" i="6"/>
  <c r="BI162" i="6"/>
  <c r="CF162" i="6"/>
  <c r="T157" i="12"/>
  <c r="V157" i="12"/>
  <c r="U157" i="12"/>
  <c r="U158" i="12"/>
  <c r="V158" i="12"/>
  <c r="T158" i="12"/>
  <c r="E164" i="12"/>
  <c r="F164" i="6"/>
  <c r="L164" i="12"/>
  <c r="J164" i="12"/>
  <c r="G165" i="5"/>
  <c r="K165" i="5"/>
  <c r="J165" i="5"/>
  <c r="D165" i="5"/>
  <c r="B165" i="12" s="1"/>
  <c r="W165" i="5"/>
  <c r="H165" i="12" s="1"/>
  <c r="H165" i="5"/>
  <c r="AE165" i="5"/>
  <c r="B165" i="5"/>
  <c r="A165" i="12"/>
  <c r="N165" i="5"/>
  <c r="B165" i="6"/>
  <c r="C166" i="5"/>
  <c r="R165" i="5"/>
  <c r="E165" i="5"/>
  <c r="F165" i="5"/>
  <c r="AD165" i="5"/>
  <c r="BJ162" i="6"/>
  <c r="BV162" i="6"/>
  <c r="CG162" i="6"/>
  <c r="AK162" i="6"/>
  <c r="BC162" i="6"/>
  <c r="BA162" i="6"/>
  <c r="AW162" i="6"/>
  <c r="CD162" i="6"/>
  <c r="Y159" i="12"/>
  <c r="AA160" i="5"/>
  <c r="AB160" i="5"/>
  <c r="C160" i="6"/>
  <c r="O160" i="5"/>
  <c r="D164" i="6"/>
  <c r="G162" i="12"/>
  <c r="X162" i="5"/>
  <c r="BZ162" i="6"/>
  <c r="AV162" i="6"/>
  <c r="AR162" i="6"/>
  <c r="AZ162" i="6"/>
  <c r="AX162" i="6"/>
  <c r="N163" i="6"/>
  <c r="G163" i="6"/>
  <c r="M163" i="6"/>
  <c r="CJ163" i="6" s="1"/>
  <c r="H163" i="6"/>
  <c r="T163" i="5" s="1"/>
  <c r="E159" i="6"/>
  <c r="D159" i="12"/>
  <c r="N160" i="12" l="1"/>
  <c r="BR163" i="6"/>
  <c r="Y160" i="12"/>
  <c r="BQ163" i="6"/>
  <c r="AO163" i="6"/>
  <c r="CI163" i="6"/>
  <c r="AP163" i="6"/>
  <c r="AL163" i="6"/>
  <c r="BI163" i="6"/>
  <c r="AQ163" i="6"/>
  <c r="AR163" i="6"/>
  <c r="BL163" i="6"/>
  <c r="CE163" i="6"/>
  <c r="CL163" i="6"/>
  <c r="BO163" i="6"/>
  <c r="BM163" i="6"/>
  <c r="AM162" i="5"/>
  <c r="I162" i="12"/>
  <c r="L162" i="5"/>
  <c r="I162" i="5"/>
  <c r="Z162" i="5"/>
  <c r="AC162" i="5"/>
  <c r="AJ162" i="6"/>
  <c r="D160" i="12"/>
  <c r="E160" i="6"/>
  <c r="W159" i="12"/>
  <c r="X159" i="12"/>
  <c r="E165" i="12"/>
  <c r="F165" i="6"/>
  <c r="AW163" i="6"/>
  <c r="CF163" i="6"/>
  <c r="AS163" i="6"/>
  <c r="BF163" i="6"/>
  <c r="BX163" i="6"/>
  <c r="BD163" i="6"/>
  <c r="AV163" i="6"/>
  <c r="CB163" i="6"/>
  <c r="BY163" i="6"/>
  <c r="AE166" i="5"/>
  <c r="F166" i="5"/>
  <c r="K166" i="5"/>
  <c r="G166" i="5"/>
  <c r="B166" i="6"/>
  <c r="H166" i="5"/>
  <c r="J166" i="5"/>
  <c r="E166" i="5"/>
  <c r="AD166" i="5"/>
  <c r="R166" i="5"/>
  <c r="W166" i="5"/>
  <c r="H166" i="12" s="1"/>
  <c r="A166" i="12"/>
  <c r="B166" i="5"/>
  <c r="C167" i="5" s="1"/>
  <c r="N166" i="5"/>
  <c r="D166" i="5"/>
  <c r="B166" i="12" s="1"/>
  <c r="D165" i="6"/>
  <c r="G163" i="12"/>
  <c r="X163" i="5"/>
  <c r="AJ163" i="6" s="1"/>
  <c r="BP163" i="6"/>
  <c r="BZ163" i="6"/>
  <c r="CK163" i="6"/>
  <c r="BJ163" i="6"/>
  <c r="BG163" i="6"/>
  <c r="AU163" i="6"/>
  <c r="BC163" i="6"/>
  <c r="CA163" i="6"/>
  <c r="BV163" i="6"/>
  <c r="AY163" i="6"/>
  <c r="BS163" i="6"/>
  <c r="BW163" i="6"/>
  <c r="L165" i="12"/>
  <c r="J165" i="12"/>
  <c r="W160" i="12"/>
  <c r="X160" i="12"/>
  <c r="BA163" i="6"/>
  <c r="CG163" i="6"/>
  <c r="BE163" i="6"/>
  <c r="AZ163" i="6"/>
  <c r="AN163" i="6"/>
  <c r="CM163" i="6"/>
  <c r="AT163" i="6"/>
  <c r="AK163" i="6"/>
  <c r="BN163" i="6"/>
  <c r="AM163" i="6"/>
  <c r="BK163" i="6"/>
  <c r="CC163" i="6"/>
  <c r="AX163" i="6"/>
  <c r="BH163" i="6"/>
  <c r="CH163" i="6"/>
  <c r="CD163" i="6"/>
  <c r="BT163" i="6"/>
  <c r="N164" i="6"/>
  <c r="G164" i="6"/>
  <c r="H164" i="6"/>
  <c r="T164" i="5" s="1"/>
  <c r="M164" i="6"/>
  <c r="BJ164" i="6" s="1"/>
  <c r="K164" i="12"/>
  <c r="K165" i="12" l="1"/>
  <c r="A167" i="12"/>
  <c r="F167" i="5"/>
  <c r="N167" i="5"/>
  <c r="E167" i="5"/>
  <c r="W167" i="5"/>
  <c r="H167" i="12" s="1"/>
  <c r="AD167" i="5"/>
  <c r="AE167" i="5"/>
  <c r="H167" i="5"/>
  <c r="B167" i="5"/>
  <c r="B167" i="6"/>
  <c r="C168" i="5"/>
  <c r="G167" i="5"/>
  <c r="I167" i="5"/>
  <c r="BQ164" i="6"/>
  <c r="BS164" i="6"/>
  <c r="BK164" i="6"/>
  <c r="CI164" i="6"/>
  <c r="BV164" i="6"/>
  <c r="CB164" i="6"/>
  <c r="BP164" i="6"/>
  <c r="BI164" i="6"/>
  <c r="CJ164" i="6"/>
  <c r="BA164" i="6"/>
  <c r="BH164" i="6"/>
  <c r="CM164" i="6"/>
  <c r="CL164" i="6"/>
  <c r="F166" i="6"/>
  <c r="E166" i="12"/>
  <c r="C162" i="6"/>
  <c r="O162" i="5"/>
  <c r="BW164" i="6"/>
  <c r="AW164" i="6"/>
  <c r="BL164" i="6"/>
  <c r="CA164" i="6"/>
  <c r="BC164" i="6"/>
  <c r="AO164" i="6"/>
  <c r="AX164" i="6"/>
  <c r="AR164" i="6"/>
  <c r="AP164" i="6"/>
  <c r="BT164" i="6"/>
  <c r="CG164" i="6"/>
  <c r="BN164" i="6"/>
  <c r="AL164" i="6"/>
  <c r="BG164" i="6"/>
  <c r="BF164" i="6"/>
  <c r="AY164" i="6"/>
  <c r="CE164" i="6"/>
  <c r="CD164" i="6"/>
  <c r="CK164" i="6"/>
  <c r="AS164" i="6"/>
  <c r="BY164" i="6"/>
  <c r="CC164" i="6"/>
  <c r="AZ164" i="6"/>
  <c r="AK164" i="6"/>
  <c r="BO164" i="6"/>
  <c r="U160" i="12"/>
  <c r="T160" i="12"/>
  <c r="V160" i="12"/>
  <c r="L166" i="12"/>
  <c r="J166" i="12"/>
  <c r="U159" i="12"/>
  <c r="V159" i="12"/>
  <c r="T159" i="12"/>
  <c r="C162" i="12"/>
  <c r="M162" i="12"/>
  <c r="AO162" i="12"/>
  <c r="O162" i="12"/>
  <c r="N162" i="12" s="1"/>
  <c r="BX164" i="6"/>
  <c r="CH164" i="6"/>
  <c r="AM164" i="6"/>
  <c r="AQ164" i="6"/>
  <c r="BZ164" i="6"/>
  <c r="BD164" i="6"/>
  <c r="BE164" i="6"/>
  <c r="N165" i="6"/>
  <c r="M165" i="6"/>
  <c r="BJ165" i="6" s="1"/>
  <c r="G165" i="6"/>
  <c r="H165" i="6"/>
  <c r="T165" i="5" s="1"/>
  <c r="BF165" i="6"/>
  <c r="CE165" i="6"/>
  <c r="D166" i="6"/>
  <c r="AA162" i="5"/>
  <c r="AB162" i="5"/>
  <c r="G164" i="12"/>
  <c r="X164" i="5"/>
  <c r="BM164" i="6"/>
  <c r="AU164" i="6"/>
  <c r="BR164" i="6"/>
  <c r="AV164" i="6"/>
  <c r="CF164" i="6"/>
  <c r="AJ164" i="6"/>
  <c r="AN164" i="6"/>
  <c r="AT164" i="6"/>
  <c r="L163" i="5"/>
  <c r="I163" i="12"/>
  <c r="AM163" i="5"/>
  <c r="Z163" i="5"/>
  <c r="I163" i="5"/>
  <c r="AC163" i="5"/>
  <c r="Y162" i="12" l="1"/>
  <c r="BT165" i="6"/>
  <c r="BZ165" i="6"/>
  <c r="BS165" i="6"/>
  <c r="CH165" i="6"/>
  <c r="BE165" i="6"/>
  <c r="CM165" i="6"/>
  <c r="BX165" i="6"/>
  <c r="AT165" i="6"/>
  <c r="AP165" i="6"/>
  <c r="AX165" i="6"/>
  <c r="CC165" i="6"/>
  <c r="BR165" i="6"/>
  <c r="CF165" i="6"/>
  <c r="BM165" i="6"/>
  <c r="BO165" i="6"/>
  <c r="CD165" i="6"/>
  <c r="CL165" i="6"/>
  <c r="BK165" i="6"/>
  <c r="CG165" i="6"/>
  <c r="BV165" i="6"/>
  <c r="CA165" i="6"/>
  <c r="M166" i="6"/>
  <c r="BM166" i="6" s="1"/>
  <c r="CM166" i="6"/>
  <c r="CJ166" i="6"/>
  <c r="CE166" i="6"/>
  <c r="BG166" i="6"/>
  <c r="CG166" i="6"/>
  <c r="BS166" i="6"/>
  <c r="BF166" i="6"/>
  <c r="BZ166" i="6"/>
  <c r="BJ166" i="6"/>
  <c r="BK166" i="6"/>
  <c r="BX166" i="6"/>
  <c r="BW166" i="6"/>
  <c r="BV166" i="6"/>
  <c r="BQ166" i="6"/>
  <c r="CB166" i="6"/>
  <c r="BE166" i="6"/>
  <c r="BN166" i="6"/>
  <c r="CA166" i="6"/>
  <c r="N166" i="6"/>
  <c r="H166" i="6"/>
  <c r="T166" i="5" s="1"/>
  <c r="BL166" i="6"/>
  <c r="CF166" i="6"/>
  <c r="BI166" i="6"/>
  <c r="CC166" i="6"/>
  <c r="BP166" i="6"/>
  <c r="BO166" i="6"/>
  <c r="CL166" i="6"/>
  <c r="BH166" i="6"/>
  <c r="BT166" i="6"/>
  <c r="BD166" i="6"/>
  <c r="CH166" i="6"/>
  <c r="CD166" i="6"/>
  <c r="G166" i="6"/>
  <c r="CK166" i="6"/>
  <c r="BC166" i="6"/>
  <c r="CI166" i="6"/>
  <c r="BY166" i="6"/>
  <c r="BR166" i="6"/>
  <c r="AN165" i="6"/>
  <c r="BL165" i="6"/>
  <c r="BD165" i="6"/>
  <c r="AR165" i="6"/>
  <c r="AO165" i="6"/>
  <c r="CK165" i="6"/>
  <c r="BN165" i="6"/>
  <c r="AL165" i="6"/>
  <c r="CJ165" i="6"/>
  <c r="BW165" i="6"/>
  <c r="C163" i="12"/>
  <c r="O163" i="12"/>
  <c r="AO163" i="12"/>
  <c r="M163" i="12"/>
  <c r="AW165" i="6"/>
  <c r="AM165" i="6"/>
  <c r="F168" i="5"/>
  <c r="N168" i="5"/>
  <c r="E168" i="5"/>
  <c r="W168" i="5"/>
  <c r="H168" i="12" s="1"/>
  <c r="B168" i="5"/>
  <c r="J168" i="5"/>
  <c r="C169" i="5"/>
  <c r="B168" i="6"/>
  <c r="R168" i="5"/>
  <c r="AE168" i="5"/>
  <c r="A168" i="12"/>
  <c r="K168" i="5"/>
  <c r="G168" i="5"/>
  <c r="D168" i="5"/>
  <c r="B168" i="12" s="1"/>
  <c r="H168" i="5"/>
  <c r="AD168" i="5"/>
  <c r="D167" i="6"/>
  <c r="C163" i="6"/>
  <c r="O163" i="5"/>
  <c r="AV165" i="6"/>
  <c r="AS165" i="6"/>
  <c r="AU165" i="6"/>
  <c r="CB165" i="6"/>
  <c r="AQ165" i="6"/>
  <c r="BH165" i="6"/>
  <c r="BI165" i="6"/>
  <c r="BA165" i="6"/>
  <c r="AK165" i="6"/>
  <c r="AZ165" i="6"/>
  <c r="CI165" i="6"/>
  <c r="AY165" i="6"/>
  <c r="BC165" i="6"/>
  <c r="BY165" i="6"/>
  <c r="D162" i="12"/>
  <c r="E162" i="6"/>
  <c r="AB163" i="5"/>
  <c r="AA163" i="5"/>
  <c r="I164" i="12"/>
  <c r="AM164" i="5"/>
  <c r="L164" i="5"/>
  <c r="Z164" i="5"/>
  <c r="I164" i="5"/>
  <c r="AC164" i="5"/>
  <c r="G165" i="12"/>
  <c r="X165" i="5"/>
  <c r="BQ165" i="6"/>
  <c r="BG165" i="6"/>
  <c r="BP165" i="6"/>
  <c r="W162" i="12"/>
  <c r="X162" i="12"/>
  <c r="K166" i="12"/>
  <c r="Y163" i="12" l="1"/>
  <c r="G166" i="12"/>
  <c r="X166" i="5"/>
  <c r="AY166" i="6"/>
  <c r="AW166" i="6"/>
  <c r="AV166" i="6"/>
  <c r="AM166" i="6"/>
  <c r="AZ166" i="6"/>
  <c r="U162" i="12"/>
  <c r="V162" i="12"/>
  <c r="T162" i="12"/>
  <c r="W163" i="12"/>
  <c r="X163" i="12"/>
  <c r="AL166" i="6"/>
  <c r="AR166" i="6"/>
  <c r="AN166" i="6"/>
  <c r="I165" i="12"/>
  <c r="L165" i="5"/>
  <c r="AM165" i="5"/>
  <c r="Z165" i="5"/>
  <c r="I165" i="5"/>
  <c r="AC165" i="5"/>
  <c r="AB164" i="5"/>
  <c r="AA164" i="5"/>
  <c r="C164" i="6"/>
  <c r="O164" i="5"/>
  <c r="BZ167" i="6"/>
  <c r="BM167" i="6"/>
  <c r="CB167" i="6"/>
  <c r="BC167" i="6"/>
  <c r="CE167" i="6"/>
  <c r="H167" i="6"/>
  <c r="T167" i="5" s="1"/>
  <c r="G167" i="12" s="1"/>
  <c r="BL167" i="6"/>
  <c r="BO167" i="6"/>
  <c r="BI167" i="6"/>
  <c r="BG167" i="6"/>
  <c r="BK167" i="6"/>
  <c r="CK167" i="6"/>
  <c r="CA167" i="6"/>
  <c r="CI167" i="6"/>
  <c r="CL167" i="6"/>
  <c r="BY167" i="6"/>
  <c r="BX167" i="6"/>
  <c r="BF167" i="6"/>
  <c r="CC167" i="6"/>
  <c r="BQ167" i="6"/>
  <c r="CM167" i="6"/>
  <c r="CJ167" i="6"/>
  <c r="BD167" i="6"/>
  <c r="BT167" i="6"/>
  <c r="M167" i="6"/>
  <c r="BV167" i="6"/>
  <c r="BJ167" i="6"/>
  <c r="BN167" i="6"/>
  <c r="BR167" i="6"/>
  <c r="BW167" i="6"/>
  <c r="CH167" i="6"/>
  <c r="CD167" i="6"/>
  <c r="BE167" i="6"/>
  <c r="BP167" i="6"/>
  <c r="CF167" i="6"/>
  <c r="G167" i="6"/>
  <c r="CG167" i="6"/>
  <c r="N167" i="6"/>
  <c r="BH167" i="6"/>
  <c r="BS167" i="6"/>
  <c r="E168" i="12"/>
  <c r="F168" i="6"/>
  <c r="AJ165" i="6"/>
  <c r="N163" i="12"/>
  <c r="AU166" i="6"/>
  <c r="AO166" i="6"/>
  <c r="AQ166" i="6"/>
  <c r="AJ166" i="6"/>
  <c r="AS166" i="6"/>
  <c r="AK166" i="6"/>
  <c r="C164" i="12"/>
  <c r="M164" i="12"/>
  <c r="AO164" i="12"/>
  <c r="O164" i="12"/>
  <c r="B169" i="6"/>
  <c r="K169" i="5"/>
  <c r="AE169" i="5"/>
  <c r="J169" i="5"/>
  <c r="C170" i="5"/>
  <c r="D169" i="5"/>
  <c r="B169" i="12" s="1"/>
  <c r="H169" i="5"/>
  <c r="AD169" i="5"/>
  <c r="N169" i="5"/>
  <c r="G169" i="5"/>
  <c r="W169" i="5"/>
  <c r="H169" i="12" s="1"/>
  <c r="A169" i="12"/>
  <c r="B169" i="5"/>
  <c r="R169" i="5"/>
  <c r="F169" i="5"/>
  <c r="E169" i="5"/>
  <c r="E163" i="6"/>
  <c r="D163" i="12"/>
  <c r="L168" i="12"/>
  <c r="J168" i="12"/>
  <c r="D168" i="6"/>
  <c r="AP166" i="6"/>
  <c r="BA166" i="6"/>
  <c r="AX166" i="6"/>
  <c r="AT166" i="6"/>
  <c r="K168" i="12" l="1"/>
  <c r="AU167" i="6"/>
  <c r="AV167" i="6"/>
  <c r="AO167" i="6"/>
  <c r="AJ167" i="6"/>
  <c r="AL167" i="6"/>
  <c r="AW167" i="6"/>
  <c r="AR167" i="6"/>
  <c r="BA167" i="6"/>
  <c r="AT167" i="6"/>
  <c r="AP167" i="6"/>
  <c r="AY167" i="6"/>
  <c r="AQ167" i="6"/>
  <c r="AS167" i="6"/>
  <c r="AK167" i="6"/>
  <c r="N164" i="12"/>
  <c r="AN167" i="6"/>
  <c r="AX167" i="6"/>
  <c r="AM167" i="6"/>
  <c r="L169" i="12"/>
  <c r="J169" i="12"/>
  <c r="E164" i="6"/>
  <c r="D164" i="12"/>
  <c r="C165" i="6"/>
  <c r="O165" i="5"/>
  <c r="V163" i="12"/>
  <c r="T163" i="12"/>
  <c r="U163" i="12"/>
  <c r="G168" i="6"/>
  <c r="N168" i="6"/>
  <c r="M168" i="6"/>
  <c r="CC168" i="6" s="1"/>
  <c r="H168" i="6"/>
  <c r="T168" i="5" s="1"/>
  <c r="BG168" i="6"/>
  <c r="BC168" i="6"/>
  <c r="BI168" i="6"/>
  <c r="CF168" i="6"/>
  <c r="D169" i="6"/>
  <c r="Y164" i="12"/>
  <c r="AZ167" i="6"/>
  <c r="C165" i="12"/>
  <c r="AO165" i="12"/>
  <c r="M165" i="12"/>
  <c r="O165" i="12"/>
  <c r="AM166" i="5"/>
  <c r="L166" i="5"/>
  <c r="I166" i="12"/>
  <c r="I166" i="5"/>
  <c r="Z166" i="5"/>
  <c r="AC166" i="5"/>
  <c r="E169" i="12"/>
  <c r="F169" i="6"/>
  <c r="B170" i="6"/>
  <c r="C171" i="5"/>
  <c r="D170" i="5"/>
  <c r="B170" i="12" s="1"/>
  <c r="E170" i="5"/>
  <c r="J170" i="5"/>
  <c r="A170" i="12"/>
  <c r="G170" i="5"/>
  <c r="AD170" i="5"/>
  <c r="K170" i="5"/>
  <c r="N170" i="5"/>
  <c r="R170" i="5"/>
  <c r="F170" i="5"/>
  <c r="AE170" i="5"/>
  <c r="W170" i="5"/>
  <c r="H170" i="12" s="1"/>
  <c r="B170" i="5"/>
  <c r="H170" i="5"/>
  <c r="AB165" i="5"/>
  <c r="AA165" i="5"/>
  <c r="AS168" i="6" l="1"/>
  <c r="AM168" i="6"/>
  <c r="N165" i="12"/>
  <c r="K169" i="12"/>
  <c r="AL168" i="6"/>
  <c r="CH168" i="6"/>
  <c r="AU168" i="6"/>
  <c r="BE168" i="6"/>
  <c r="AT168" i="6"/>
  <c r="BW168" i="6"/>
  <c r="BF168" i="6"/>
  <c r="CG168" i="6"/>
  <c r="BM168" i="6"/>
  <c r="BL168" i="6"/>
  <c r="BX168" i="6"/>
  <c r="AP168" i="6"/>
  <c r="AQ168" i="6"/>
  <c r="CM168" i="6"/>
  <c r="AZ168" i="6"/>
  <c r="CD168" i="6"/>
  <c r="BZ168" i="6"/>
  <c r="CK168" i="6"/>
  <c r="AB166" i="5"/>
  <c r="AA166" i="5"/>
  <c r="M169" i="6"/>
  <c r="BP169" i="6" s="1"/>
  <c r="CE169" i="6"/>
  <c r="BS169" i="6"/>
  <c r="H169" i="6"/>
  <c r="T169" i="5" s="1"/>
  <c r="G169" i="6"/>
  <c r="BW169" i="6"/>
  <c r="CA169" i="6"/>
  <c r="BK169" i="6"/>
  <c r="N169" i="6"/>
  <c r="BZ169" i="6"/>
  <c r="BS168" i="6"/>
  <c r="BR168" i="6"/>
  <c r="CJ168" i="6"/>
  <c r="L170" i="12"/>
  <c r="J170" i="12"/>
  <c r="C166" i="12"/>
  <c r="O166" i="12"/>
  <c r="M166" i="12"/>
  <c r="AO166" i="12"/>
  <c r="X164" i="12"/>
  <c r="W164" i="12"/>
  <c r="AY168" i="6"/>
  <c r="BK168" i="6"/>
  <c r="BD168" i="6"/>
  <c r="BP168" i="6"/>
  <c r="CB168" i="6"/>
  <c r="BY168" i="6"/>
  <c r="BT168" i="6"/>
  <c r="AN168" i="6"/>
  <c r="AX168" i="6"/>
  <c r="BJ168" i="6"/>
  <c r="CA168" i="6"/>
  <c r="BO168" i="6"/>
  <c r="BV168" i="6"/>
  <c r="BH168" i="6"/>
  <c r="D165" i="12"/>
  <c r="E165" i="6"/>
  <c r="D170" i="6"/>
  <c r="E170" i="12"/>
  <c r="F170" i="6"/>
  <c r="K171" i="5"/>
  <c r="H171" i="5"/>
  <c r="G171" i="5"/>
  <c r="W171" i="5"/>
  <c r="H171" i="12" s="1"/>
  <c r="A171" i="12"/>
  <c r="E171" i="5"/>
  <c r="B171" i="6"/>
  <c r="J171" i="5"/>
  <c r="AE171" i="5"/>
  <c r="D171" i="5"/>
  <c r="B171" i="12" s="1"/>
  <c r="B171" i="5"/>
  <c r="AD171" i="5"/>
  <c r="C172" i="5"/>
  <c r="N171" i="5"/>
  <c r="F171" i="5"/>
  <c r="R171" i="5"/>
  <c r="C166" i="6"/>
  <c r="O166" i="5"/>
  <c r="Y165" i="12"/>
  <c r="BQ168" i="6"/>
  <c r="AW168" i="6"/>
  <c r="AR168" i="6"/>
  <c r="BA168" i="6"/>
  <c r="AK168" i="6"/>
  <c r="G168" i="12"/>
  <c r="X168" i="5"/>
  <c r="AJ168" i="6" s="1"/>
  <c r="AV168" i="6"/>
  <c r="CE168" i="6"/>
  <c r="CI168" i="6"/>
  <c r="CL168" i="6"/>
  <c r="AO168" i="6"/>
  <c r="BN168" i="6"/>
  <c r="AY169" i="6" l="1"/>
  <c r="AN169" i="6"/>
  <c r="BM169" i="6"/>
  <c r="AK169" i="6"/>
  <c r="CK169" i="6"/>
  <c r="BX169" i="6"/>
  <c r="BG169" i="6"/>
  <c r="BE169" i="6"/>
  <c r="BT169" i="6"/>
  <c r="CJ169" i="6"/>
  <c r="BJ169" i="6"/>
  <c r="Y166" i="12"/>
  <c r="W166" i="12" s="1"/>
  <c r="BN169" i="6"/>
  <c r="BD169" i="6"/>
  <c r="BQ169" i="6"/>
  <c r="AS169" i="6"/>
  <c r="AP169" i="6"/>
  <c r="BY169" i="6"/>
  <c r="BF169" i="6"/>
  <c r="CC169" i="6"/>
  <c r="BR169" i="6"/>
  <c r="CL169" i="6"/>
  <c r="BH169" i="6"/>
  <c r="CD169" i="6"/>
  <c r="BV169" i="6"/>
  <c r="CI169" i="6"/>
  <c r="CF169" i="6"/>
  <c r="BL169" i="6"/>
  <c r="CB169" i="6"/>
  <c r="BI169" i="6"/>
  <c r="CG169" i="6"/>
  <c r="BO169" i="6"/>
  <c r="CM169" i="6"/>
  <c r="AV169" i="6"/>
  <c r="BC169" i="6"/>
  <c r="CH169" i="6"/>
  <c r="L171" i="12"/>
  <c r="J171" i="12"/>
  <c r="BA169" i="6"/>
  <c r="AO169" i="6"/>
  <c r="AM169" i="6"/>
  <c r="D171" i="6"/>
  <c r="X166" i="12"/>
  <c r="K170" i="12"/>
  <c r="G169" i="12"/>
  <c r="X169" i="5"/>
  <c r="AX169" i="6"/>
  <c r="AZ169" i="6"/>
  <c r="AU169" i="6"/>
  <c r="I168" i="12"/>
  <c r="AM168" i="5"/>
  <c r="L168" i="5"/>
  <c r="I168" i="5"/>
  <c r="Z168" i="5"/>
  <c r="AC168" i="5"/>
  <c r="W165" i="12"/>
  <c r="X165" i="12"/>
  <c r="F171" i="6"/>
  <c r="E171" i="12"/>
  <c r="F172" i="5"/>
  <c r="E172" i="5"/>
  <c r="AD172" i="5"/>
  <c r="H172" i="5"/>
  <c r="G172" i="5"/>
  <c r="W172" i="5"/>
  <c r="H172" i="12" s="1"/>
  <c r="AE172" i="5"/>
  <c r="A172" i="12"/>
  <c r="B172" i="6"/>
  <c r="B172" i="5"/>
  <c r="C173" i="5" s="1"/>
  <c r="N172" i="5"/>
  <c r="I172" i="5"/>
  <c r="H170" i="6"/>
  <c r="T170" i="5" s="1"/>
  <c r="M170" i="6"/>
  <c r="CM170" i="6" s="1"/>
  <c r="BT170" i="6"/>
  <c r="CJ170" i="6"/>
  <c r="N170" i="6"/>
  <c r="BY170" i="6"/>
  <c r="BS170" i="6"/>
  <c r="G170" i="6"/>
  <c r="BX170" i="6"/>
  <c r="AR169" i="6"/>
  <c r="AL169" i="6"/>
  <c r="AQ169" i="6"/>
  <c r="D166" i="12"/>
  <c r="E166" i="6"/>
  <c r="T164" i="12"/>
  <c r="U164" i="12"/>
  <c r="V164" i="12"/>
  <c r="N166" i="12"/>
  <c r="AW169" i="6"/>
  <c r="AT169" i="6"/>
  <c r="AJ169" i="6"/>
  <c r="BV170" i="6" l="1"/>
  <c r="CE170" i="6"/>
  <c r="CC170" i="6"/>
  <c r="BR170" i="6"/>
  <c r="BE170" i="6"/>
  <c r="CD170" i="6"/>
  <c r="BN170" i="6"/>
  <c r="CK170" i="6"/>
  <c r="AZ170" i="6"/>
  <c r="CL170" i="6"/>
  <c r="AU170" i="6"/>
  <c r="CA170" i="6"/>
  <c r="AX170" i="6"/>
  <c r="AL170" i="6"/>
  <c r="CG170" i="6"/>
  <c r="CI170" i="6"/>
  <c r="AT170" i="6"/>
  <c r="CB170" i="6"/>
  <c r="BK170" i="6"/>
  <c r="AO170" i="6"/>
  <c r="AW170" i="6"/>
  <c r="BW170" i="6"/>
  <c r="BI170" i="6"/>
  <c r="AM170" i="6"/>
  <c r="AV170" i="6"/>
  <c r="CF170" i="6"/>
  <c r="BP170" i="6"/>
  <c r="BJ170" i="6"/>
  <c r="BZ170" i="6"/>
  <c r="BH170" i="6"/>
  <c r="BL170" i="6"/>
  <c r="AK170" i="6"/>
  <c r="AN170" i="6"/>
  <c r="BF170" i="6"/>
  <c r="CH170" i="6"/>
  <c r="AP170" i="6"/>
  <c r="BM170" i="6"/>
  <c r="K171" i="12"/>
  <c r="BC170" i="6"/>
  <c r="BG170" i="6"/>
  <c r="AY170" i="6"/>
  <c r="AR170" i="6"/>
  <c r="BO170" i="6"/>
  <c r="BD170" i="6"/>
  <c r="BA170" i="6"/>
  <c r="BQ170" i="6"/>
  <c r="AE173" i="5"/>
  <c r="A173" i="12"/>
  <c r="W173" i="5"/>
  <c r="H173" i="12" s="1"/>
  <c r="C174" i="5"/>
  <c r="E173" i="5"/>
  <c r="G173" i="5"/>
  <c r="I173" i="5"/>
  <c r="B173" i="5"/>
  <c r="AD173" i="5"/>
  <c r="N173" i="5"/>
  <c r="F173" i="5"/>
  <c r="B173" i="6"/>
  <c r="H173" i="5"/>
  <c r="AB168" i="5"/>
  <c r="AA168" i="5"/>
  <c r="C168" i="12"/>
  <c r="M168" i="12"/>
  <c r="O168" i="12"/>
  <c r="AO168" i="12"/>
  <c r="I169" i="12"/>
  <c r="AM169" i="5"/>
  <c r="L169" i="5"/>
  <c r="Z169" i="5"/>
  <c r="I169" i="5"/>
  <c r="AC169" i="5"/>
  <c r="V166" i="12"/>
  <c r="T166" i="12"/>
  <c r="U166" i="12"/>
  <c r="G170" i="12"/>
  <c r="X170" i="5"/>
  <c r="AS170" i="6"/>
  <c r="AQ170" i="6"/>
  <c r="T165" i="12"/>
  <c r="U165" i="12"/>
  <c r="V165" i="12"/>
  <c r="C168" i="6"/>
  <c r="O168" i="5"/>
  <c r="H171" i="6"/>
  <c r="T171" i="5" s="1"/>
  <c r="N171" i="6"/>
  <c r="CA171" i="6"/>
  <c r="G171" i="6"/>
  <c r="M171" i="6"/>
  <c r="CF171" i="6" s="1"/>
  <c r="BL171" i="6"/>
  <c r="BD171" i="6"/>
  <c r="BX171" i="6"/>
  <c r="CD171" i="6"/>
  <c r="BE171" i="6"/>
  <c r="CM171" i="6"/>
  <c r="BN171" i="6"/>
  <c r="CC171" i="6"/>
  <c r="BJ171" i="6"/>
  <c r="BT171" i="6"/>
  <c r="BQ171" i="6"/>
  <c r="D172" i="6"/>
  <c r="AN171" i="6" l="1"/>
  <c r="CK171" i="6"/>
  <c r="AU171" i="6"/>
  <c r="AR171" i="6"/>
  <c r="BF171" i="6"/>
  <c r="AM171" i="6"/>
  <c r="BI171" i="6"/>
  <c r="BY171" i="6"/>
  <c r="AL171" i="6"/>
  <c r="AQ171" i="6"/>
  <c r="AV171" i="6"/>
  <c r="CH171" i="6"/>
  <c r="BH171" i="6"/>
  <c r="AK171" i="6"/>
  <c r="BK171" i="6"/>
  <c r="AX171" i="6"/>
  <c r="BS171" i="6"/>
  <c r="CE171" i="6"/>
  <c r="BP171" i="6"/>
  <c r="BR171" i="6"/>
  <c r="CI171" i="6"/>
  <c r="BG171" i="6"/>
  <c r="AP171" i="6"/>
  <c r="AS171" i="6"/>
  <c r="CJ171" i="6"/>
  <c r="AO171" i="6"/>
  <c r="BO171" i="6"/>
  <c r="AZ171" i="6"/>
  <c r="N168" i="12"/>
  <c r="CG171" i="6"/>
  <c r="G171" i="12"/>
  <c r="X171" i="5"/>
  <c r="C169" i="12"/>
  <c r="AO169" i="12"/>
  <c r="O169" i="12"/>
  <c r="M169" i="12"/>
  <c r="AD174" i="5"/>
  <c r="K174" i="5"/>
  <c r="C175" i="5"/>
  <c r="B174" i="6"/>
  <c r="A174" i="12"/>
  <c r="J174" i="5"/>
  <c r="E174" i="5"/>
  <c r="W174" i="5"/>
  <c r="H174" i="12" s="1"/>
  <c r="H174" i="5"/>
  <c r="G174" i="5"/>
  <c r="B174" i="5"/>
  <c r="R174" i="5"/>
  <c r="F174" i="5"/>
  <c r="AE174" i="5"/>
  <c r="D174" i="5"/>
  <c r="B174" i="12" s="1"/>
  <c r="N174" i="5"/>
  <c r="BV171" i="6"/>
  <c r="AT171" i="6"/>
  <c r="BM171" i="6"/>
  <c r="BZ171" i="6"/>
  <c r="BA171" i="6"/>
  <c r="CB171" i="6"/>
  <c r="CL171" i="6"/>
  <c r="BC171" i="6"/>
  <c r="AA169" i="5"/>
  <c r="AB169" i="5"/>
  <c r="Y168" i="12"/>
  <c r="AW171" i="6"/>
  <c r="AY171" i="6"/>
  <c r="BW171" i="6"/>
  <c r="E168" i="6"/>
  <c r="D168" i="12"/>
  <c r="I170" i="12"/>
  <c r="AM170" i="5"/>
  <c r="L170" i="5"/>
  <c r="Z170" i="5"/>
  <c r="I170" i="5"/>
  <c r="AC170" i="5"/>
  <c r="AJ170" i="6"/>
  <c r="C169" i="6"/>
  <c r="O169" i="5"/>
  <c r="D173" i="6"/>
  <c r="CB172" i="6"/>
  <c r="BZ172" i="6"/>
  <c r="BE172" i="6"/>
  <c r="CA172" i="6"/>
  <c r="BO172" i="6"/>
  <c r="CD172" i="6"/>
  <c r="CM172" i="6"/>
  <c r="BP172" i="6"/>
  <c r="BW172" i="6"/>
  <c r="CE172" i="6"/>
  <c r="BN172" i="6"/>
  <c r="BL172" i="6"/>
  <c r="BK172" i="6"/>
  <c r="CH172" i="6"/>
  <c r="BM172" i="6"/>
  <c r="M172" i="6"/>
  <c r="BD172" i="6"/>
  <c r="BI172" i="6"/>
  <c r="BC172" i="6"/>
  <c r="CK172" i="6"/>
  <c r="BQ172" i="6"/>
  <c r="BF172" i="6"/>
  <c r="N172" i="6"/>
  <c r="CI172" i="6"/>
  <c r="CG172" i="6"/>
  <c r="CC172" i="6"/>
  <c r="BT172" i="6"/>
  <c r="CJ172" i="6"/>
  <c r="BV172" i="6"/>
  <c r="CL172" i="6"/>
  <c r="G172" i="6"/>
  <c r="BS172" i="6"/>
  <c r="H172" i="6"/>
  <c r="T172" i="5" s="1"/>
  <c r="G172" i="12" s="1"/>
  <c r="BY172" i="6"/>
  <c r="BG172" i="6"/>
  <c r="BH172" i="6"/>
  <c r="BX172" i="6"/>
  <c r="BR172" i="6"/>
  <c r="CF172" i="6"/>
  <c r="BJ172" i="6"/>
  <c r="Y169" i="12" l="1"/>
  <c r="AO172" i="6"/>
  <c r="BP173" i="6"/>
  <c r="BE173" i="6"/>
  <c r="BD173" i="6"/>
  <c r="CI173" i="6"/>
  <c r="CH173" i="6"/>
  <c r="BN173" i="6"/>
  <c r="G173" i="6"/>
  <c r="H173" i="6"/>
  <c r="T173" i="5" s="1"/>
  <c r="G173" i="12" s="1"/>
  <c r="CM173" i="6"/>
  <c r="BJ173" i="6"/>
  <c r="CA173" i="6"/>
  <c r="CK173" i="6"/>
  <c r="BS173" i="6"/>
  <c r="BC173" i="6"/>
  <c r="CL173" i="6"/>
  <c r="BL173" i="6"/>
  <c r="BX173" i="6"/>
  <c r="BV173" i="6"/>
  <c r="CE173" i="6"/>
  <c r="BZ173" i="6"/>
  <c r="BK173" i="6"/>
  <c r="BY173" i="6"/>
  <c r="BM173" i="6"/>
  <c r="BR173" i="6"/>
  <c r="BW173" i="6"/>
  <c r="BO173" i="6"/>
  <c r="CG173" i="6"/>
  <c r="CC173" i="6"/>
  <c r="M173" i="6"/>
  <c r="AZ173" i="6" s="1"/>
  <c r="N173" i="6"/>
  <c r="CF173" i="6"/>
  <c r="CB173" i="6"/>
  <c r="CD173" i="6"/>
  <c r="BQ173" i="6"/>
  <c r="CJ173" i="6"/>
  <c r="BG173" i="6"/>
  <c r="BI173" i="6"/>
  <c r="BF173" i="6"/>
  <c r="BT173" i="6"/>
  <c r="BH173" i="6"/>
  <c r="W169" i="12"/>
  <c r="X169" i="12"/>
  <c r="AN172" i="6"/>
  <c r="AW172" i="6"/>
  <c r="AX172" i="6"/>
  <c r="AY172" i="6"/>
  <c r="AM172" i="6"/>
  <c r="E169" i="6"/>
  <c r="D169" i="12"/>
  <c r="C170" i="12"/>
  <c r="O170" i="12"/>
  <c r="M170" i="12"/>
  <c r="AO170" i="12"/>
  <c r="W168" i="12"/>
  <c r="X168" i="12"/>
  <c r="D174" i="6"/>
  <c r="AL172" i="6"/>
  <c r="AZ172" i="6"/>
  <c r="AT172" i="6"/>
  <c r="AJ172" i="6"/>
  <c r="BA172" i="6"/>
  <c r="AQ172" i="6"/>
  <c r="AP172" i="6"/>
  <c r="AU172" i="6"/>
  <c r="AK172" i="6"/>
  <c r="AV172" i="6"/>
  <c r="AR172" i="6"/>
  <c r="AA170" i="5"/>
  <c r="AB170" i="5"/>
  <c r="AM171" i="5"/>
  <c r="I171" i="12"/>
  <c r="L171" i="5"/>
  <c r="I171" i="5"/>
  <c r="Z171" i="5"/>
  <c r="AC171" i="5"/>
  <c r="AJ171" i="6"/>
  <c r="AS172" i="6"/>
  <c r="C170" i="6"/>
  <c r="O170" i="5"/>
  <c r="F174" i="6"/>
  <c r="E174" i="12"/>
  <c r="L174" i="12"/>
  <c r="J174" i="12"/>
  <c r="AD175" i="5"/>
  <c r="AE175" i="5"/>
  <c r="H175" i="5"/>
  <c r="B175" i="6"/>
  <c r="A175" i="12"/>
  <c r="G175" i="5"/>
  <c r="D175" i="5"/>
  <c r="B175" i="12" s="1"/>
  <c r="J175" i="5"/>
  <c r="K175" i="5"/>
  <c r="F175" i="5"/>
  <c r="E175" i="5"/>
  <c r="R175" i="5"/>
  <c r="W175" i="5"/>
  <c r="H175" i="12" s="1"/>
  <c r="N175" i="5"/>
  <c r="C176" i="5"/>
  <c r="B175" i="5"/>
  <c r="N169" i="12"/>
  <c r="AY173" i="6" l="1"/>
  <c r="Y170" i="12"/>
  <c r="D170" i="12"/>
  <c r="E170" i="6"/>
  <c r="C171" i="12"/>
  <c r="AO171" i="12"/>
  <c r="M171" i="12"/>
  <c r="O171" i="12"/>
  <c r="U168" i="12"/>
  <c r="T168" i="12"/>
  <c r="V168" i="12"/>
  <c r="AW173" i="6"/>
  <c r="AU173" i="6"/>
  <c r="AK173" i="6"/>
  <c r="K174" i="12"/>
  <c r="AB171" i="5"/>
  <c r="AA171" i="5"/>
  <c r="X170" i="12"/>
  <c r="W170" i="12"/>
  <c r="T169" i="12"/>
  <c r="V169" i="12"/>
  <c r="U169" i="12"/>
  <c r="AM173" i="6"/>
  <c r="AQ173" i="6"/>
  <c r="AV173" i="6"/>
  <c r="BA173" i="6"/>
  <c r="E176" i="5"/>
  <c r="H176" i="5"/>
  <c r="F176" i="5"/>
  <c r="N176" i="5"/>
  <c r="R176" i="5"/>
  <c r="K176" i="5"/>
  <c r="AD176" i="5"/>
  <c r="B176" i="6"/>
  <c r="J176" i="5"/>
  <c r="W176" i="5"/>
  <c r="H176" i="12" s="1"/>
  <c r="D176" i="5"/>
  <c r="B176" i="12" s="1"/>
  <c r="B176" i="5"/>
  <c r="AE176" i="5"/>
  <c r="A176" i="12"/>
  <c r="C177" i="5"/>
  <c r="G176" i="5"/>
  <c r="E175" i="12"/>
  <c r="F175" i="6"/>
  <c r="L175" i="12"/>
  <c r="J175" i="12"/>
  <c r="M174" i="6"/>
  <c r="BF174" i="6" s="1"/>
  <c r="BC174" i="6"/>
  <c r="CB174" i="6"/>
  <c r="BX174" i="6"/>
  <c r="BI174" i="6"/>
  <c r="CK174" i="6"/>
  <c r="CM174" i="6"/>
  <c r="G174" i="6"/>
  <c r="BS174" i="6"/>
  <c r="CC174" i="6"/>
  <c r="CA174" i="6"/>
  <c r="CG174" i="6"/>
  <c r="BE174" i="6"/>
  <c r="CE174" i="6"/>
  <c r="BQ174" i="6"/>
  <c r="BN174" i="6"/>
  <c r="BV174" i="6"/>
  <c r="CI174" i="6"/>
  <c r="N174" i="6"/>
  <c r="BG174" i="6"/>
  <c r="CL174" i="6"/>
  <c r="BT174" i="6"/>
  <c r="H174" i="6"/>
  <c r="T174" i="5" s="1"/>
  <c r="CD174" i="6"/>
  <c r="BH174" i="6"/>
  <c r="AS173" i="6"/>
  <c r="AR173" i="6"/>
  <c r="AP173" i="6"/>
  <c r="AL173" i="6"/>
  <c r="AX173" i="6"/>
  <c r="AO173" i="6"/>
  <c r="AT173" i="6"/>
  <c r="D175" i="6"/>
  <c r="C171" i="6"/>
  <c r="O171" i="5"/>
  <c r="N170" i="12"/>
  <c r="AN173" i="6"/>
  <c r="AJ173" i="6"/>
  <c r="CF174" i="6" l="1"/>
  <c r="AO174" i="6"/>
  <c r="AL174" i="6"/>
  <c r="AT174" i="6"/>
  <c r="AZ174" i="6"/>
  <c r="AP174" i="6"/>
  <c r="AY174" i="6"/>
  <c r="BA174" i="6"/>
  <c r="AX174" i="6"/>
  <c r="BL174" i="6"/>
  <c r="BJ174" i="6"/>
  <c r="AR174" i="6"/>
  <c r="AM174" i="6"/>
  <c r="AW174" i="6"/>
  <c r="AN174" i="6"/>
  <c r="CJ174" i="6"/>
  <c r="AS174" i="6"/>
  <c r="BD174" i="6"/>
  <c r="BP174" i="6"/>
  <c r="N177" i="5"/>
  <c r="C178" i="5"/>
  <c r="B177" i="5"/>
  <c r="E177" i="5"/>
  <c r="A177" i="12"/>
  <c r="H177" i="5"/>
  <c r="AD177" i="5"/>
  <c r="B177" i="6"/>
  <c r="F177" i="5"/>
  <c r="AE177" i="5"/>
  <c r="G177" i="5"/>
  <c r="I177" i="5"/>
  <c r="W177" i="5"/>
  <c r="H177" i="12" s="1"/>
  <c r="D176" i="6"/>
  <c r="K173" i="5"/>
  <c r="L176" i="12"/>
  <c r="J176" i="12"/>
  <c r="N171" i="12"/>
  <c r="E171" i="6"/>
  <c r="D171" i="12"/>
  <c r="K175" i="12"/>
  <c r="H175" i="6"/>
  <c r="T175" i="5" s="1"/>
  <c r="G175" i="6"/>
  <c r="N175" i="6"/>
  <c r="CK175" i="6"/>
  <c r="BP175" i="6"/>
  <c r="M175" i="6"/>
  <c r="CG175" i="6" s="1"/>
  <c r="G174" i="12"/>
  <c r="X174" i="5"/>
  <c r="AV174" i="6"/>
  <c r="BM174" i="6"/>
  <c r="BK174" i="6"/>
  <c r="AQ174" i="6"/>
  <c r="CH174" i="6"/>
  <c r="BZ174" i="6"/>
  <c r="BW174" i="6"/>
  <c r="BY174" i="6"/>
  <c r="BO174" i="6"/>
  <c r="BR174" i="6"/>
  <c r="AK174" i="6"/>
  <c r="AU174" i="6"/>
  <c r="F176" i="6"/>
  <c r="E176" i="12"/>
  <c r="V170" i="12"/>
  <c r="U170" i="12"/>
  <c r="T170" i="12"/>
  <c r="Y171" i="12"/>
  <c r="CD175" i="6" l="1"/>
  <c r="K176" i="12"/>
  <c r="CA175" i="6"/>
  <c r="AS175" i="6"/>
  <c r="BT175" i="6"/>
  <c r="I174" i="12"/>
  <c r="AM174" i="5"/>
  <c r="L174" i="5"/>
  <c r="I174" i="5"/>
  <c r="Z174" i="5"/>
  <c r="AC174" i="5"/>
  <c r="AJ174" i="6"/>
  <c r="AN175" i="6"/>
  <c r="AL175" i="6"/>
  <c r="AM175" i="6"/>
  <c r="AV175" i="6"/>
  <c r="BW175" i="6"/>
  <c r="AZ175" i="6"/>
  <c r="BF175" i="6"/>
  <c r="CH175" i="6"/>
  <c r="BD175" i="6"/>
  <c r="AW175" i="6"/>
  <c r="AP175" i="6"/>
  <c r="AU175" i="6"/>
  <c r="N176" i="6"/>
  <c r="G176" i="6"/>
  <c r="H176" i="6"/>
  <c r="T176" i="5" s="1"/>
  <c r="M176" i="6"/>
  <c r="BH176" i="6" s="1"/>
  <c r="A178" i="12"/>
  <c r="H178" i="5"/>
  <c r="C179" i="5"/>
  <c r="R178" i="5"/>
  <c r="W178" i="5"/>
  <c r="H178" i="12" s="1"/>
  <c r="B178" i="5"/>
  <c r="G178" i="5"/>
  <c r="N178" i="5"/>
  <c r="E178" i="5"/>
  <c r="AD178" i="5"/>
  <c r="F178" i="5"/>
  <c r="K178" i="5"/>
  <c r="AE178" i="5"/>
  <c r="D178" i="5"/>
  <c r="B178" i="12" s="1"/>
  <c r="J178" i="5"/>
  <c r="B178" i="6"/>
  <c r="BA175" i="6"/>
  <c r="CJ175" i="6"/>
  <c r="CF175" i="6"/>
  <c r="BL175" i="6"/>
  <c r="AX175" i="6"/>
  <c r="BK175" i="6"/>
  <c r="AK175" i="6"/>
  <c r="CM175" i="6"/>
  <c r="D177" i="6"/>
  <c r="X171" i="12"/>
  <c r="W171" i="12"/>
  <c r="BY175" i="6"/>
  <c r="CC175" i="6"/>
  <c r="AT175" i="6"/>
  <c r="BZ175" i="6"/>
  <c r="BJ175" i="6"/>
  <c r="AQ175" i="6"/>
  <c r="BQ175" i="6"/>
  <c r="BR175" i="6"/>
  <c r="CB175" i="6"/>
  <c r="AR175" i="6"/>
  <c r="BM175" i="6"/>
  <c r="BG175" i="6"/>
  <c r="BX175" i="6"/>
  <c r="BV175" i="6"/>
  <c r="AO175" i="6"/>
  <c r="BI175" i="6"/>
  <c r="BS175" i="6"/>
  <c r="BO175" i="6"/>
  <c r="AY175" i="6"/>
  <c r="BE175" i="6"/>
  <c r="CE175" i="6"/>
  <c r="CL175" i="6"/>
  <c r="BN175" i="6"/>
  <c r="BH175" i="6"/>
  <c r="CI175" i="6"/>
  <c r="BC175" i="6"/>
  <c r="G175" i="12"/>
  <c r="X175" i="5"/>
  <c r="AJ175" i="6" s="1"/>
  <c r="BI176" i="6" l="1"/>
  <c r="BR176" i="6"/>
  <c r="CC176" i="6"/>
  <c r="AV176" i="6"/>
  <c r="BL176" i="6"/>
  <c r="AM176" i="6"/>
  <c r="CK176" i="6"/>
  <c r="AL176" i="6"/>
  <c r="BX176" i="6"/>
  <c r="AW176" i="6"/>
  <c r="AR176" i="6"/>
  <c r="AQ176" i="6"/>
  <c r="BC176" i="6"/>
  <c r="CD176" i="6"/>
  <c r="CB176" i="6"/>
  <c r="BS176" i="6"/>
  <c r="AY176" i="6"/>
  <c r="BE176" i="6"/>
  <c r="BF176" i="6"/>
  <c r="CJ177" i="6"/>
  <c r="BX177" i="6"/>
  <c r="CA177" i="6"/>
  <c r="BH177" i="6"/>
  <c r="BG177" i="6"/>
  <c r="CK177" i="6"/>
  <c r="BW177" i="6"/>
  <c r="H177" i="6"/>
  <c r="T177" i="5" s="1"/>
  <c r="G177" i="12" s="1"/>
  <c r="CE177" i="6"/>
  <c r="M177" i="6"/>
  <c r="AS177" i="6" s="1"/>
  <c r="BL177" i="6"/>
  <c r="BI177" i="6"/>
  <c r="CH177" i="6"/>
  <c r="CD177" i="6"/>
  <c r="BV177" i="6"/>
  <c r="BR177" i="6"/>
  <c r="CL177" i="6"/>
  <c r="CM177" i="6"/>
  <c r="BP177" i="6"/>
  <c r="BD177" i="6"/>
  <c r="AL177" i="6"/>
  <c r="BC177" i="6"/>
  <c r="BZ177" i="6"/>
  <c r="CG177" i="6"/>
  <c r="N177" i="6"/>
  <c r="BT177" i="6"/>
  <c r="BO177" i="6"/>
  <c r="BM177" i="6"/>
  <c r="BQ177" i="6"/>
  <c r="BF177" i="6"/>
  <c r="BK177" i="6"/>
  <c r="AZ177" i="6"/>
  <c r="BY177" i="6"/>
  <c r="CI177" i="6"/>
  <c r="BJ177" i="6"/>
  <c r="CC177" i="6"/>
  <c r="BN177" i="6"/>
  <c r="CB177" i="6"/>
  <c r="G177" i="6"/>
  <c r="CF177" i="6"/>
  <c r="BS177" i="6"/>
  <c r="BE177" i="6"/>
  <c r="D178" i="6"/>
  <c r="L178" i="12"/>
  <c r="J178" i="12"/>
  <c r="BN176" i="6"/>
  <c r="CG176" i="6"/>
  <c r="AU176" i="6"/>
  <c r="BT176" i="6"/>
  <c r="BQ176" i="6"/>
  <c r="CF176" i="6"/>
  <c r="AS176" i="6"/>
  <c r="BJ176" i="6"/>
  <c r="CE176" i="6"/>
  <c r="C174" i="6"/>
  <c r="O174" i="5"/>
  <c r="I175" i="12"/>
  <c r="AM175" i="5"/>
  <c r="L175" i="5"/>
  <c r="I175" i="5"/>
  <c r="Z175" i="5"/>
  <c r="AC175" i="5"/>
  <c r="T171" i="12"/>
  <c r="V171" i="12"/>
  <c r="U171" i="12"/>
  <c r="E178" i="12"/>
  <c r="F178" i="6"/>
  <c r="BG176" i="6"/>
  <c r="BW176" i="6"/>
  <c r="AK176" i="6"/>
  <c r="BK176" i="6"/>
  <c r="BY176" i="6"/>
  <c r="BD176" i="6"/>
  <c r="AZ176" i="6"/>
  <c r="AX176" i="6"/>
  <c r="AO176" i="6"/>
  <c r="BP176" i="6"/>
  <c r="CH176" i="6"/>
  <c r="B179" i="6"/>
  <c r="J179" i="5"/>
  <c r="K179" i="5"/>
  <c r="H179" i="5"/>
  <c r="G179" i="5"/>
  <c r="F179" i="5"/>
  <c r="D179" i="5"/>
  <c r="B179" i="12" s="1"/>
  <c r="B179" i="5"/>
  <c r="A179" i="12"/>
  <c r="AE179" i="5"/>
  <c r="W179" i="5"/>
  <c r="H179" i="12" s="1"/>
  <c r="E179" i="5"/>
  <c r="C180" i="5"/>
  <c r="R179" i="5"/>
  <c r="N179" i="5"/>
  <c r="AD179" i="5"/>
  <c r="BZ176" i="6"/>
  <c r="CI176" i="6"/>
  <c r="BM176" i="6"/>
  <c r="G176" i="12"/>
  <c r="X176" i="5"/>
  <c r="AJ176" i="6" s="1"/>
  <c r="BA176" i="6"/>
  <c r="CL176" i="6"/>
  <c r="CA176" i="6"/>
  <c r="BO176" i="6"/>
  <c r="AT176" i="6"/>
  <c r="CM176" i="6"/>
  <c r="CJ176" i="6"/>
  <c r="AN176" i="6"/>
  <c r="AP176" i="6"/>
  <c r="BV176" i="6"/>
  <c r="AA174" i="5"/>
  <c r="AB174" i="5"/>
  <c r="C174" i="12"/>
  <c r="AO174" i="12"/>
  <c r="O174" i="12"/>
  <c r="M174" i="12"/>
  <c r="K178" i="12" l="1"/>
  <c r="BA177" i="6"/>
  <c r="AV177" i="6"/>
  <c r="AO177" i="6"/>
  <c r="AN177" i="6"/>
  <c r="AU177" i="6"/>
  <c r="AT177" i="6"/>
  <c r="AR177" i="6"/>
  <c r="D179" i="6"/>
  <c r="C175" i="6"/>
  <c r="O175" i="5"/>
  <c r="M178" i="6"/>
  <c r="BQ178" i="6" s="1"/>
  <c r="G178" i="6"/>
  <c r="H178" i="6"/>
  <c r="T178" i="5" s="1"/>
  <c r="N178" i="6"/>
  <c r="BF178" i="6"/>
  <c r="BV178" i="6"/>
  <c r="BI178" i="6"/>
  <c r="AR178" i="6"/>
  <c r="AS178" i="6"/>
  <c r="CJ178" i="6"/>
  <c r="AZ178" i="6"/>
  <c r="L176" i="5"/>
  <c r="AM176" i="5"/>
  <c r="I176" i="12"/>
  <c r="I176" i="5"/>
  <c r="Z176" i="5"/>
  <c r="AC176" i="5"/>
  <c r="L179" i="12"/>
  <c r="J179" i="12"/>
  <c r="AW177" i="6"/>
  <c r="AP177" i="6"/>
  <c r="N174" i="12"/>
  <c r="Y174" i="12"/>
  <c r="F179" i="6"/>
  <c r="E179" i="12"/>
  <c r="AB175" i="5"/>
  <c r="AA175" i="5"/>
  <c r="C175" i="12"/>
  <c r="AO175" i="12"/>
  <c r="O175" i="12"/>
  <c r="M175" i="12"/>
  <c r="AQ177" i="6"/>
  <c r="A180" i="12"/>
  <c r="E180" i="5"/>
  <c r="H180" i="5"/>
  <c r="AE180" i="5"/>
  <c r="G180" i="5"/>
  <c r="F180" i="5"/>
  <c r="J180" i="5"/>
  <c r="B180" i="6"/>
  <c r="R180" i="5"/>
  <c r="B180" i="5"/>
  <c r="C181" i="5" s="1"/>
  <c r="D180" i="5"/>
  <c r="B180" i="12" s="1"/>
  <c r="K180" i="5"/>
  <c r="AD180" i="5"/>
  <c r="N180" i="5"/>
  <c r="W180" i="5"/>
  <c r="H180" i="12" s="1"/>
  <c r="D174" i="12"/>
  <c r="E174" i="6"/>
  <c r="AJ177" i="6"/>
  <c r="AM177" i="6"/>
  <c r="AY177" i="6"/>
  <c r="AX177" i="6"/>
  <c r="AK177" i="6"/>
  <c r="BS178" i="6" l="1"/>
  <c r="AY178" i="6"/>
  <c r="AV178" i="6"/>
  <c r="BC178" i="6"/>
  <c r="BL178" i="6"/>
  <c r="AM178" i="6"/>
  <c r="CE178" i="6"/>
  <c r="CF178" i="6"/>
  <c r="BY178" i="6"/>
  <c r="BE178" i="6"/>
  <c r="CG178" i="6"/>
  <c r="AO178" i="6"/>
  <c r="BM178" i="6"/>
  <c r="BT178" i="6"/>
  <c r="BP178" i="6"/>
  <c r="CI178" i="6"/>
  <c r="AK178" i="6"/>
  <c r="BW178" i="6"/>
  <c r="BK178" i="6"/>
  <c r="CB178" i="6"/>
  <c r="BO178" i="6"/>
  <c r="CL178" i="6"/>
  <c r="BN178" i="6"/>
  <c r="BJ178" i="6"/>
  <c r="AP178" i="6"/>
  <c r="CC178" i="6"/>
  <c r="BH178" i="6"/>
  <c r="AW178" i="6"/>
  <c r="CD178" i="6"/>
  <c r="BZ178" i="6"/>
  <c r="CK178" i="6"/>
  <c r="BR178" i="6"/>
  <c r="BD178" i="6"/>
  <c r="BX178" i="6"/>
  <c r="BG178" i="6"/>
  <c r="CA178" i="6"/>
  <c r="CH178" i="6"/>
  <c r="CM178" i="6"/>
  <c r="AN178" i="6"/>
  <c r="K179" i="12"/>
  <c r="AX178" i="6"/>
  <c r="B181" i="5"/>
  <c r="F181" i="5"/>
  <c r="A181" i="12"/>
  <c r="E181" i="5"/>
  <c r="AE181" i="5"/>
  <c r="B181" i="6"/>
  <c r="G181" i="5"/>
  <c r="K177" i="5" s="1"/>
  <c r="H181" i="5"/>
  <c r="AD181" i="5"/>
  <c r="I181" i="5"/>
  <c r="N181" i="5"/>
  <c r="W181" i="5"/>
  <c r="H181" i="12" s="1"/>
  <c r="C182" i="5"/>
  <c r="E180" i="12"/>
  <c r="F180" i="6"/>
  <c r="W174" i="12"/>
  <c r="X174" i="12"/>
  <c r="C176" i="12"/>
  <c r="O176" i="12"/>
  <c r="AO176" i="12"/>
  <c r="Y176" i="12" s="1"/>
  <c r="M176" i="12"/>
  <c r="AU178" i="6"/>
  <c r="D180" i="6"/>
  <c r="N175" i="12"/>
  <c r="AT178" i="6"/>
  <c r="E175" i="6"/>
  <c r="D175" i="12"/>
  <c r="H179" i="6"/>
  <c r="T179" i="5" s="1"/>
  <c r="N179" i="6"/>
  <c r="G179" i="6"/>
  <c r="M179" i="6"/>
  <c r="CH179" i="6" s="1"/>
  <c r="AO179" i="6"/>
  <c r="CJ179" i="6"/>
  <c r="L180" i="12"/>
  <c r="J180" i="12"/>
  <c r="Y175" i="12"/>
  <c r="AB176" i="5"/>
  <c r="AA176" i="5"/>
  <c r="C176" i="6"/>
  <c r="O176" i="5"/>
  <c r="G178" i="12"/>
  <c r="X178" i="5"/>
  <c r="AQ178" i="6"/>
  <c r="BA178" i="6"/>
  <c r="AL178" i="6"/>
  <c r="BE179" i="6" l="1"/>
  <c r="BQ179" i="6"/>
  <c r="N176" i="12"/>
  <c r="BY179" i="6"/>
  <c r="BL179" i="6"/>
  <c r="BD179" i="6"/>
  <c r="BM179" i="6"/>
  <c r="AR179" i="6"/>
  <c r="BK179" i="6"/>
  <c r="AM178" i="5"/>
  <c r="I178" i="12"/>
  <c r="L178" i="5"/>
  <c r="I178" i="5"/>
  <c r="Z178" i="5"/>
  <c r="AC178" i="5"/>
  <c r="AJ178" i="6"/>
  <c r="CI179" i="6"/>
  <c r="CL179" i="6"/>
  <c r="CF179" i="6"/>
  <c r="CA179" i="6"/>
  <c r="AS179" i="6"/>
  <c r="AL179" i="6"/>
  <c r="BZ179" i="6"/>
  <c r="AY179" i="6"/>
  <c r="BH179" i="6"/>
  <c r="AX179" i="6"/>
  <c r="AV179" i="6"/>
  <c r="BV179" i="6"/>
  <c r="D181" i="6"/>
  <c r="AQ179" i="6"/>
  <c r="AM179" i="6"/>
  <c r="CM179" i="6"/>
  <c r="AW179" i="6"/>
  <c r="AZ179" i="6"/>
  <c r="CC179" i="6"/>
  <c r="BG179" i="6"/>
  <c r="BO179" i="6"/>
  <c r="CG179" i="6"/>
  <c r="AU179" i="6"/>
  <c r="G179" i="12"/>
  <c r="X179" i="5"/>
  <c r="D176" i="12"/>
  <c r="E176" i="6"/>
  <c r="W175" i="12"/>
  <c r="X175" i="12"/>
  <c r="BP179" i="6"/>
  <c r="AN179" i="6"/>
  <c r="BX179" i="6"/>
  <c r="BW179" i="6"/>
  <c r="AK179" i="6"/>
  <c r="CB179" i="6"/>
  <c r="BJ179" i="6"/>
  <c r="BS179" i="6"/>
  <c r="CK179" i="6"/>
  <c r="X176" i="12"/>
  <c r="W176" i="12"/>
  <c r="T174" i="12"/>
  <c r="V174" i="12"/>
  <c r="U174" i="12"/>
  <c r="A182" i="12"/>
  <c r="E182" i="5"/>
  <c r="B182" i="5"/>
  <c r="J182" i="5"/>
  <c r="H182" i="5"/>
  <c r="AD182" i="5"/>
  <c r="R182" i="5"/>
  <c r="N182" i="5"/>
  <c r="C183" i="5"/>
  <c r="AE182" i="5"/>
  <c r="G182" i="5"/>
  <c r="W182" i="5"/>
  <c r="H182" i="12" s="1"/>
  <c r="K182" i="5"/>
  <c r="F182" i="5"/>
  <c r="D182" i="5"/>
  <c r="B182" i="12" s="1"/>
  <c r="B182" i="6"/>
  <c r="K180" i="12"/>
  <c r="AT179" i="6"/>
  <c r="BR179" i="6"/>
  <c r="BT179" i="6"/>
  <c r="BN179" i="6"/>
  <c r="BF179" i="6"/>
  <c r="AP179" i="6"/>
  <c r="BI179" i="6"/>
  <c r="BA179" i="6"/>
  <c r="CD179" i="6"/>
  <c r="BC179" i="6"/>
  <c r="CE179" i="6"/>
  <c r="H180" i="6"/>
  <c r="T180" i="5" s="1"/>
  <c r="M180" i="6"/>
  <c r="BR180" i="6" s="1"/>
  <c r="BM180" i="6"/>
  <c r="CE180" i="6"/>
  <c r="CB180" i="6"/>
  <c r="BN180" i="6"/>
  <c r="CM180" i="6"/>
  <c r="BZ180" i="6"/>
  <c r="CL180" i="6"/>
  <c r="G180" i="6"/>
  <c r="CD180" i="6"/>
  <c r="BD180" i="6"/>
  <c r="CH180" i="6"/>
  <c r="BP180" i="6"/>
  <c r="BC180" i="6"/>
  <c r="CA180" i="6"/>
  <c r="BW180" i="6"/>
  <c r="CG180" i="6"/>
  <c r="N180" i="6"/>
  <c r="BQ180" i="6"/>
  <c r="BJ180" i="6"/>
  <c r="BG180" i="6"/>
  <c r="BT180" i="6"/>
  <c r="BK180" i="6"/>
  <c r="BV180" i="6"/>
  <c r="CI180" i="6"/>
  <c r="CK180" i="6"/>
  <c r="AW180" i="6" l="1"/>
  <c r="AZ180" i="6"/>
  <c r="AO180" i="6"/>
  <c r="AP180" i="6"/>
  <c r="AQ180" i="6"/>
  <c r="AT180" i="6"/>
  <c r="AR180" i="6"/>
  <c r="AL180" i="6"/>
  <c r="AK180" i="6"/>
  <c r="AV180" i="6"/>
  <c r="AM180" i="6"/>
  <c r="AY180" i="6"/>
  <c r="AU180" i="6"/>
  <c r="AN180" i="6"/>
  <c r="BL180" i="6"/>
  <c r="AX180" i="6"/>
  <c r="BA180" i="6"/>
  <c r="D182" i="6"/>
  <c r="CF181" i="6"/>
  <c r="BZ181" i="6"/>
  <c r="M181" i="6"/>
  <c r="G181" i="6"/>
  <c r="BY181" i="6"/>
  <c r="BH181" i="6"/>
  <c r="CJ181" i="6"/>
  <c r="BX181" i="6"/>
  <c r="CH181" i="6"/>
  <c r="CE181" i="6"/>
  <c r="BM181" i="6"/>
  <c r="CB181" i="6"/>
  <c r="BJ181" i="6"/>
  <c r="CK181" i="6"/>
  <c r="BC181" i="6"/>
  <c r="BR181" i="6"/>
  <c r="BP181" i="6"/>
  <c r="BL181" i="6"/>
  <c r="BV181" i="6"/>
  <c r="CI181" i="6"/>
  <c r="BO181" i="6"/>
  <c r="CA181" i="6"/>
  <c r="BI181" i="6"/>
  <c r="CD181" i="6"/>
  <c r="BQ181" i="6"/>
  <c r="BW181" i="6"/>
  <c r="BT181" i="6"/>
  <c r="BE181" i="6"/>
  <c r="CG181" i="6"/>
  <c r="N181" i="6"/>
  <c r="BK181" i="6"/>
  <c r="BS181" i="6"/>
  <c r="CC181" i="6"/>
  <c r="BD181" i="6"/>
  <c r="CM181" i="6"/>
  <c r="BF181" i="6"/>
  <c r="H181" i="6"/>
  <c r="T181" i="5" s="1"/>
  <c r="G181" i="12" s="1"/>
  <c r="BG181" i="6"/>
  <c r="BN181" i="6"/>
  <c r="CL181" i="6"/>
  <c r="BY180" i="6"/>
  <c r="BE180" i="6"/>
  <c r="BF180" i="6"/>
  <c r="BO180" i="6"/>
  <c r="CF180" i="6"/>
  <c r="BS180" i="6"/>
  <c r="BI180" i="6"/>
  <c r="AS180" i="6"/>
  <c r="F182" i="6"/>
  <c r="E182" i="12"/>
  <c r="J182" i="12"/>
  <c r="L182" i="12"/>
  <c r="V176" i="12"/>
  <c r="U176" i="12"/>
  <c r="T176" i="12"/>
  <c r="V175" i="12"/>
  <c r="U175" i="12"/>
  <c r="T175" i="12"/>
  <c r="I179" i="12"/>
  <c r="L179" i="5"/>
  <c r="AM179" i="5"/>
  <c r="I179" i="5"/>
  <c r="Z179" i="5"/>
  <c r="AC179" i="5"/>
  <c r="AJ179" i="6"/>
  <c r="C178" i="6"/>
  <c r="O178" i="5"/>
  <c r="C178" i="12"/>
  <c r="O178" i="12"/>
  <c r="M178" i="12"/>
  <c r="AO178" i="12"/>
  <c r="CC180" i="6"/>
  <c r="CJ180" i="6"/>
  <c r="BX180" i="6"/>
  <c r="BH180" i="6"/>
  <c r="G180" i="12"/>
  <c r="X180" i="5"/>
  <c r="A183" i="12"/>
  <c r="AE183" i="5"/>
  <c r="AD183" i="5"/>
  <c r="N183" i="5"/>
  <c r="D183" i="5"/>
  <c r="B183" i="12" s="1"/>
  <c r="F183" i="5"/>
  <c r="B183" i="6"/>
  <c r="R183" i="5"/>
  <c r="H183" i="5"/>
  <c r="K183" i="5"/>
  <c r="J183" i="5"/>
  <c r="B183" i="5"/>
  <c r="G183" i="5"/>
  <c r="W183" i="5"/>
  <c r="H183" i="12" s="1"/>
  <c r="E183" i="5"/>
  <c r="C184" i="5"/>
  <c r="AB178" i="5"/>
  <c r="AA178" i="5"/>
  <c r="AN181" i="6" l="1"/>
  <c r="N178" i="12"/>
  <c r="K182" i="12"/>
  <c r="Y178" i="12"/>
  <c r="X178" i="12" s="1"/>
  <c r="D178" i="12"/>
  <c r="E178" i="6"/>
  <c r="AB179" i="5"/>
  <c r="AA179" i="5"/>
  <c r="C179" i="12"/>
  <c r="AO179" i="12"/>
  <c r="M179" i="12"/>
  <c r="O179" i="12"/>
  <c r="AT181" i="6"/>
  <c r="AQ181" i="6"/>
  <c r="AL181" i="6"/>
  <c r="H182" i="6"/>
  <c r="T182" i="5" s="1"/>
  <c r="M182" i="6"/>
  <c r="CK182" i="6" s="1"/>
  <c r="G182" i="6"/>
  <c r="AT182" i="6"/>
  <c r="BT182" i="6"/>
  <c r="CG182" i="6"/>
  <c r="BN182" i="6"/>
  <c r="CC182" i="6"/>
  <c r="AP182" i="6"/>
  <c r="BS182" i="6"/>
  <c r="N182" i="6"/>
  <c r="CL182" i="6"/>
  <c r="BX182" i="6"/>
  <c r="AQ182" i="6"/>
  <c r="AN182" i="6"/>
  <c r="BL182" i="6"/>
  <c r="AX182" i="6"/>
  <c r="AU182" i="6"/>
  <c r="BC182" i="6"/>
  <c r="E183" i="12"/>
  <c r="F183" i="6"/>
  <c r="J183" i="12"/>
  <c r="L183" i="12"/>
  <c r="K183" i="12" s="1"/>
  <c r="BA181" i="6"/>
  <c r="AZ181" i="6"/>
  <c r="AS181" i="6"/>
  <c r="AV181" i="6"/>
  <c r="K184" i="5"/>
  <c r="J184" i="5"/>
  <c r="AD184" i="5"/>
  <c r="N184" i="5"/>
  <c r="AE184" i="5"/>
  <c r="B184" i="5"/>
  <c r="A184" i="12"/>
  <c r="F184" i="5"/>
  <c r="D184" i="5"/>
  <c r="B184" i="12" s="1"/>
  <c r="H184" i="5"/>
  <c r="C185" i="5"/>
  <c r="R184" i="5"/>
  <c r="E184" i="5"/>
  <c r="W184" i="5"/>
  <c r="H184" i="12" s="1"/>
  <c r="G184" i="5"/>
  <c r="B184" i="6"/>
  <c r="D183" i="6"/>
  <c r="I180" i="12"/>
  <c r="L180" i="5"/>
  <c r="AM180" i="5"/>
  <c r="Z180" i="5"/>
  <c r="I180" i="5"/>
  <c r="AC180" i="5"/>
  <c r="AX181" i="6"/>
  <c r="AY181" i="6"/>
  <c r="AP181" i="6"/>
  <c r="AU181" i="6"/>
  <c r="AK181" i="6"/>
  <c r="C179" i="6"/>
  <c r="O179" i="5"/>
  <c r="AJ180" i="6"/>
  <c r="AW181" i="6"/>
  <c r="AJ181" i="6"/>
  <c r="AO181" i="6"/>
  <c r="AR181" i="6"/>
  <c r="AM181" i="6"/>
  <c r="AV182" i="6" l="1"/>
  <c r="W178" i="12"/>
  <c r="N179" i="12"/>
  <c r="BI182" i="6"/>
  <c r="AZ182" i="6"/>
  <c r="BY182" i="6"/>
  <c r="BJ182" i="6"/>
  <c r="BF182" i="6"/>
  <c r="CI182" i="6"/>
  <c r="CF182" i="6"/>
  <c r="AW182" i="6"/>
  <c r="CA182" i="6"/>
  <c r="BR182" i="6"/>
  <c r="AL182" i="6"/>
  <c r="BD182" i="6"/>
  <c r="AK182" i="6"/>
  <c r="BP182" i="6"/>
  <c r="Y179" i="12"/>
  <c r="X179" i="12" s="1"/>
  <c r="D179" i="12"/>
  <c r="E179" i="6"/>
  <c r="C180" i="12"/>
  <c r="M180" i="12"/>
  <c r="O180" i="12"/>
  <c r="AO180" i="12"/>
  <c r="Y180" i="12" s="1"/>
  <c r="D184" i="6"/>
  <c r="AR182" i="6"/>
  <c r="BK182" i="6"/>
  <c r="CH182" i="6"/>
  <c r="AO182" i="6"/>
  <c r="BO182" i="6"/>
  <c r="BH182" i="6"/>
  <c r="AY182" i="6"/>
  <c r="AA180" i="5"/>
  <c r="AB180" i="5"/>
  <c r="M183" i="6"/>
  <c r="BV183" i="6" s="1"/>
  <c r="CA183" i="6"/>
  <c r="BO183" i="6"/>
  <c r="CB183" i="6"/>
  <c r="BE183" i="6"/>
  <c r="CM183" i="6"/>
  <c r="BM183" i="6"/>
  <c r="G183" i="6"/>
  <c r="CD183" i="6"/>
  <c r="BX183" i="6"/>
  <c r="CK183" i="6"/>
  <c r="BY183" i="6"/>
  <c r="CE183" i="6"/>
  <c r="BJ183" i="6"/>
  <c r="BW183" i="6"/>
  <c r="N183" i="6"/>
  <c r="CL183" i="6"/>
  <c r="BN183" i="6"/>
  <c r="CI183" i="6"/>
  <c r="BD183" i="6"/>
  <c r="CC183" i="6"/>
  <c r="BH183" i="6"/>
  <c r="CG183" i="6"/>
  <c r="BG183" i="6"/>
  <c r="BP183" i="6"/>
  <c r="BL183" i="6"/>
  <c r="CF183" i="6"/>
  <c r="BQ183" i="6"/>
  <c r="H183" i="6"/>
  <c r="T183" i="5" s="1"/>
  <c r="BC183" i="6"/>
  <c r="CJ183" i="6"/>
  <c r="BS183" i="6"/>
  <c r="CH183" i="6"/>
  <c r="BZ183" i="6"/>
  <c r="BF183" i="6"/>
  <c r="BT183" i="6"/>
  <c r="L184" i="12"/>
  <c r="J184" i="12"/>
  <c r="CB182" i="6"/>
  <c r="BA182" i="6"/>
  <c r="BM182" i="6"/>
  <c r="G182" i="12"/>
  <c r="X182" i="5"/>
  <c r="E184" i="12"/>
  <c r="F184" i="6"/>
  <c r="AM182" i="6"/>
  <c r="CJ182" i="6"/>
  <c r="BW182" i="6"/>
  <c r="BZ182" i="6"/>
  <c r="CE182" i="6"/>
  <c r="CD182" i="6"/>
  <c r="BV182" i="6"/>
  <c r="U178" i="12"/>
  <c r="T178" i="12"/>
  <c r="V178" i="12"/>
  <c r="C180" i="6"/>
  <c r="O180" i="5"/>
  <c r="AD185" i="5"/>
  <c r="K185" i="5"/>
  <c r="D185" i="5"/>
  <c r="B185" i="12" s="1"/>
  <c r="A185" i="12"/>
  <c r="AE185" i="5"/>
  <c r="H185" i="5"/>
  <c r="N185" i="5"/>
  <c r="W185" i="5"/>
  <c r="H185" i="12" s="1"/>
  <c r="B185" i="5"/>
  <c r="C186" i="5"/>
  <c r="F185" i="5"/>
  <c r="G185" i="5"/>
  <c r="J185" i="5"/>
  <c r="B185" i="6"/>
  <c r="R185" i="5"/>
  <c r="E185" i="5"/>
  <c r="BQ182" i="6"/>
  <c r="BG182" i="6"/>
  <c r="BE182" i="6"/>
  <c r="CM182" i="6"/>
  <c r="AS182" i="6"/>
  <c r="W179" i="12"/>
  <c r="N180" i="12" l="1"/>
  <c r="G183" i="12"/>
  <c r="X183" i="5"/>
  <c r="AZ183" i="6"/>
  <c r="AL183" i="6"/>
  <c r="AJ183" i="6"/>
  <c r="L182" i="5"/>
  <c r="AM182" i="5"/>
  <c r="I182" i="12"/>
  <c r="I182" i="5"/>
  <c r="Z182" i="5"/>
  <c r="AC182" i="5"/>
  <c r="AO183" i="6"/>
  <c r="AX183" i="6"/>
  <c r="AT183" i="6"/>
  <c r="AK183" i="6"/>
  <c r="AN183" i="6"/>
  <c r="AQ183" i="6"/>
  <c r="AJ182" i="6"/>
  <c r="W180" i="12"/>
  <c r="X180" i="12"/>
  <c r="T179" i="12"/>
  <c r="V179" i="12"/>
  <c r="U179" i="12"/>
  <c r="J185" i="12"/>
  <c r="L185" i="12"/>
  <c r="K185" i="12" s="1"/>
  <c r="D180" i="12"/>
  <c r="E180" i="6"/>
  <c r="K184" i="12"/>
  <c r="AV183" i="6"/>
  <c r="AS183" i="6"/>
  <c r="AP183" i="6"/>
  <c r="AR183" i="6"/>
  <c r="AY183" i="6"/>
  <c r="BR183" i="6"/>
  <c r="BK183" i="6"/>
  <c r="BA183" i="6"/>
  <c r="BI183" i="6"/>
  <c r="AU183" i="6"/>
  <c r="E185" i="12"/>
  <c r="F185" i="6"/>
  <c r="F186" i="5"/>
  <c r="E186" i="5"/>
  <c r="C187" i="5"/>
  <c r="A186" i="12"/>
  <c r="G186" i="5"/>
  <c r="AD186" i="5"/>
  <c r="K186" i="5"/>
  <c r="H186" i="5"/>
  <c r="N186" i="5"/>
  <c r="D186" i="5"/>
  <c r="B186" i="12" s="1"/>
  <c r="B186" i="6"/>
  <c r="R186" i="5"/>
  <c r="B186" i="5"/>
  <c r="J186" i="5"/>
  <c r="W186" i="5"/>
  <c r="H186" i="12" s="1"/>
  <c r="AE186" i="5"/>
  <c r="D185" i="6"/>
  <c r="AM183" i="6"/>
  <c r="AW183" i="6"/>
  <c r="M184" i="6"/>
  <c r="BC184" i="6" s="1"/>
  <c r="N184" i="6"/>
  <c r="BY184" i="6"/>
  <c r="CD184" i="6"/>
  <c r="CI184" i="6"/>
  <c r="CL184" i="6"/>
  <c r="BW184" i="6"/>
  <c r="BG184" i="6"/>
  <c r="G184" i="6"/>
  <c r="BN184" i="6"/>
  <c r="BL184" i="6"/>
  <c r="CJ184" i="6"/>
  <c r="BF184" i="6"/>
  <c r="BZ184" i="6"/>
  <c r="BI184" i="6"/>
  <c r="CG184" i="6"/>
  <c r="BP184" i="6"/>
  <c r="BK184" i="6"/>
  <c r="CH184" i="6"/>
  <c r="BH184" i="6"/>
  <c r="BS184" i="6"/>
  <c r="BR184" i="6"/>
  <c r="CC184" i="6"/>
  <c r="BX184" i="6"/>
  <c r="BT184" i="6"/>
  <c r="H184" i="6"/>
  <c r="T184" i="5" s="1"/>
  <c r="CA184" i="6"/>
  <c r="CM184" i="6"/>
  <c r="CK184" i="6"/>
  <c r="BQ184" i="6" l="1"/>
  <c r="AT184" i="6"/>
  <c r="BV184" i="6"/>
  <c r="AM184" i="6"/>
  <c r="BM184" i="6"/>
  <c r="CF184" i="6"/>
  <c r="BD184" i="6"/>
  <c r="AK184" i="6"/>
  <c r="BO184" i="6"/>
  <c r="G184" i="12"/>
  <c r="X184" i="5"/>
  <c r="AQ184" i="6"/>
  <c r="AX184" i="6"/>
  <c r="CB184" i="6"/>
  <c r="AU184" i="6"/>
  <c r="AW184" i="6"/>
  <c r="AV184" i="6"/>
  <c r="CE184" i="6"/>
  <c r="BJ184" i="6"/>
  <c r="BE184" i="6"/>
  <c r="J186" i="12"/>
  <c r="L186" i="12"/>
  <c r="U180" i="12"/>
  <c r="V180" i="12"/>
  <c r="T180" i="12"/>
  <c r="BA184" i="6"/>
  <c r="AY184" i="6"/>
  <c r="G185" i="6"/>
  <c r="M185" i="6"/>
  <c r="CD185" i="6" s="1"/>
  <c r="H185" i="6"/>
  <c r="T185" i="5" s="1"/>
  <c r="BG185" i="6"/>
  <c r="N185" i="6"/>
  <c r="BI185" i="6"/>
  <c r="D186" i="6"/>
  <c r="J187" i="5"/>
  <c r="B187" i="5"/>
  <c r="E187" i="5"/>
  <c r="W187" i="5"/>
  <c r="H187" i="12" s="1"/>
  <c r="F187" i="5"/>
  <c r="B187" i="6"/>
  <c r="A187" i="12"/>
  <c r="K187" i="5"/>
  <c r="C188" i="5"/>
  <c r="G187" i="5"/>
  <c r="D187" i="5"/>
  <c r="B187" i="12" s="1"/>
  <c r="N187" i="5"/>
  <c r="R187" i="5"/>
  <c r="AE187" i="5"/>
  <c r="H187" i="5"/>
  <c r="AD187" i="5"/>
  <c r="AA182" i="5"/>
  <c r="AB182" i="5"/>
  <c r="C182" i="6"/>
  <c r="O182" i="5"/>
  <c r="AM183" i="5"/>
  <c r="L183" i="5"/>
  <c r="I183" i="12"/>
  <c r="Z183" i="5"/>
  <c r="I183" i="5"/>
  <c r="AC183" i="5"/>
  <c r="AZ184" i="6"/>
  <c r="AR184" i="6"/>
  <c r="F186" i="6"/>
  <c r="E186" i="12"/>
  <c r="AO184" i="6"/>
  <c r="AN184" i="6"/>
  <c r="AP184" i="6"/>
  <c r="AS184" i="6"/>
  <c r="AL184" i="6"/>
  <c r="C182" i="12"/>
  <c r="AO182" i="12"/>
  <c r="O182" i="12"/>
  <c r="M182" i="12"/>
  <c r="CC185" i="6" l="1"/>
  <c r="AO185" i="6"/>
  <c r="CK185" i="6"/>
  <c r="AQ185" i="6"/>
  <c r="AX185" i="6"/>
  <c r="BZ185" i="6"/>
  <c r="BM185" i="6"/>
  <c r="K186" i="12"/>
  <c r="N182" i="12"/>
  <c r="CM185" i="6"/>
  <c r="AS185" i="6"/>
  <c r="AT185" i="6"/>
  <c r="BX185" i="6"/>
  <c r="BQ185" i="6"/>
  <c r="AL185" i="6"/>
  <c r="CG185" i="6"/>
  <c r="BA185" i="6"/>
  <c r="BT185" i="6"/>
  <c r="AY185" i="6"/>
  <c r="B188" i="5"/>
  <c r="G188" i="5"/>
  <c r="E188" i="5"/>
  <c r="J188" i="5"/>
  <c r="D188" i="5"/>
  <c r="B188" i="12" s="1"/>
  <c r="C189" i="5"/>
  <c r="F188" i="5"/>
  <c r="N188" i="5"/>
  <c r="AD188" i="5"/>
  <c r="A188" i="12"/>
  <c r="K188" i="5"/>
  <c r="W188" i="5"/>
  <c r="H188" i="12" s="1"/>
  <c r="B188" i="6"/>
  <c r="H188" i="5"/>
  <c r="R188" i="5"/>
  <c r="AE188" i="5"/>
  <c r="Y182" i="12"/>
  <c r="D187" i="6"/>
  <c r="N186" i="6"/>
  <c r="G186" i="6"/>
  <c r="H186" i="6"/>
  <c r="T186" i="5" s="1"/>
  <c r="M186" i="6"/>
  <c r="BS186" i="6" s="1"/>
  <c r="BH186" i="6"/>
  <c r="G185" i="12"/>
  <c r="X185" i="5"/>
  <c r="AJ185" i="6" s="1"/>
  <c r="CI185" i="6"/>
  <c r="AU185" i="6"/>
  <c r="BS185" i="6"/>
  <c r="AV185" i="6"/>
  <c r="CJ185" i="6"/>
  <c r="BW185" i="6"/>
  <c r="BL185" i="6"/>
  <c r="AA183" i="5"/>
  <c r="AB183" i="5"/>
  <c r="E182" i="6"/>
  <c r="D182" i="12"/>
  <c r="BV185" i="6"/>
  <c r="AN185" i="6"/>
  <c r="CH185" i="6"/>
  <c r="BJ185" i="6"/>
  <c r="BD185" i="6"/>
  <c r="CB185" i="6"/>
  <c r="BP185" i="6"/>
  <c r="CF185" i="6"/>
  <c r="AR185" i="6"/>
  <c r="AW185" i="6"/>
  <c r="AZ185" i="6"/>
  <c r="BR185" i="6"/>
  <c r="BC185" i="6"/>
  <c r="CL185" i="6"/>
  <c r="C183" i="6"/>
  <c r="O183" i="5"/>
  <c r="E187" i="12"/>
  <c r="F187" i="6"/>
  <c r="C183" i="12"/>
  <c r="O183" i="12"/>
  <c r="AO183" i="12"/>
  <c r="M183" i="12"/>
  <c r="J187" i="12"/>
  <c r="L187" i="12"/>
  <c r="BF185" i="6"/>
  <c r="BO185" i="6"/>
  <c r="AK185" i="6"/>
  <c r="AP185" i="6"/>
  <c r="CA185" i="6"/>
  <c r="BY185" i="6"/>
  <c r="BH185" i="6"/>
  <c r="BK185" i="6"/>
  <c r="AM185" i="6"/>
  <c r="CE185" i="6"/>
  <c r="L184" i="5"/>
  <c r="I184" i="12"/>
  <c r="AM184" i="5"/>
  <c r="Z184" i="5"/>
  <c r="I184" i="5"/>
  <c r="AC184" i="5"/>
  <c r="AJ184" i="6"/>
  <c r="BN185" i="6"/>
  <c r="BE185" i="6"/>
  <c r="BW186" i="6" l="1"/>
  <c r="K187" i="12"/>
  <c r="Y183" i="12"/>
  <c r="BQ186" i="6"/>
  <c r="CC186" i="6"/>
  <c r="AA184" i="5"/>
  <c r="AB184" i="5"/>
  <c r="C184" i="12"/>
  <c r="AO184" i="12"/>
  <c r="M184" i="12"/>
  <c r="O184" i="12"/>
  <c r="BT186" i="6"/>
  <c r="AQ186" i="6"/>
  <c r="BA186" i="6"/>
  <c r="BC186" i="6"/>
  <c r="CJ186" i="6"/>
  <c r="BZ186" i="6"/>
  <c r="AY186" i="6"/>
  <c r="AK186" i="6"/>
  <c r="CM186" i="6"/>
  <c r="CE186" i="6"/>
  <c r="BO186" i="6"/>
  <c r="H187" i="6"/>
  <c r="T187" i="5" s="1"/>
  <c r="G187" i="6"/>
  <c r="N187" i="6"/>
  <c r="M187" i="6"/>
  <c r="CA187" i="6" s="1"/>
  <c r="L188" i="12"/>
  <c r="J188" i="12"/>
  <c r="C184" i="6"/>
  <c r="O184" i="5"/>
  <c r="AN186" i="6"/>
  <c r="CD186" i="6"/>
  <c r="AL186" i="6"/>
  <c r="AS186" i="6"/>
  <c r="BX186" i="6"/>
  <c r="BE186" i="6"/>
  <c r="CL186" i="6"/>
  <c r="AO186" i="6"/>
  <c r="CK186" i="6"/>
  <c r="BR186" i="6"/>
  <c r="AX186" i="6"/>
  <c r="BG186" i="6"/>
  <c r="CB186" i="6"/>
  <c r="BM186" i="6"/>
  <c r="W182" i="12"/>
  <c r="X182" i="12"/>
  <c r="H189" i="5"/>
  <c r="B189" i="6"/>
  <c r="F189" i="5"/>
  <c r="J189" i="5"/>
  <c r="B189" i="5"/>
  <c r="G189" i="5"/>
  <c r="C190" i="5"/>
  <c r="W189" i="5"/>
  <c r="H189" i="12" s="1"/>
  <c r="A189" i="12"/>
  <c r="AE189" i="5"/>
  <c r="D189" i="5"/>
  <c r="B189" i="12" s="1"/>
  <c r="N189" i="5"/>
  <c r="E189" i="5"/>
  <c r="R189" i="5"/>
  <c r="K189" i="5"/>
  <c r="AD189" i="5"/>
  <c r="G186" i="12"/>
  <c r="X186" i="5"/>
  <c r="BN186" i="6"/>
  <c r="AU186" i="6"/>
  <c r="CH186" i="6"/>
  <c r="AM186" i="6"/>
  <c r="AW186" i="6"/>
  <c r="CG186" i="6"/>
  <c r="CF186" i="6"/>
  <c r="AP186" i="6"/>
  <c r="AR186" i="6"/>
  <c r="CA186" i="6"/>
  <c r="BI186" i="6"/>
  <c r="E188" i="12"/>
  <c r="F188" i="6"/>
  <c r="W183" i="12"/>
  <c r="X183" i="12"/>
  <c r="N183" i="12"/>
  <c r="D183" i="12"/>
  <c r="E183" i="6"/>
  <c r="I185" i="12"/>
  <c r="AM185" i="5"/>
  <c r="L185" i="5"/>
  <c r="I185" i="5"/>
  <c r="Z185" i="5"/>
  <c r="AC185" i="5"/>
  <c r="BJ186" i="6"/>
  <c r="BL186" i="6"/>
  <c r="CI186" i="6"/>
  <c r="AJ186" i="6"/>
  <c r="BV186" i="6"/>
  <c r="BK186" i="6"/>
  <c r="BP186" i="6"/>
  <c r="AV186" i="6"/>
  <c r="BY186" i="6"/>
  <c r="AT186" i="6"/>
  <c r="BD186" i="6"/>
  <c r="BF186" i="6"/>
  <c r="AZ186" i="6"/>
  <c r="D188" i="6"/>
  <c r="CM187" i="6" l="1"/>
  <c r="AQ187" i="6"/>
  <c r="AS187" i="6"/>
  <c r="BC187" i="6"/>
  <c r="BW187" i="6"/>
  <c r="Y184" i="12"/>
  <c r="BI187" i="6"/>
  <c r="BX187" i="6"/>
  <c r="CL187" i="6"/>
  <c r="CD187" i="6"/>
  <c r="BP187" i="6"/>
  <c r="AY187" i="6"/>
  <c r="BY187" i="6"/>
  <c r="BL187" i="6"/>
  <c r="BO187" i="6"/>
  <c r="BD187" i="6"/>
  <c r="BR187" i="6"/>
  <c r="AO187" i="6"/>
  <c r="CI187" i="6"/>
  <c r="CH187" i="6"/>
  <c r="AT187" i="6"/>
  <c r="AL187" i="6"/>
  <c r="BS187" i="6"/>
  <c r="N184" i="12"/>
  <c r="U183" i="12"/>
  <c r="T183" i="12"/>
  <c r="V183" i="12"/>
  <c r="E189" i="12"/>
  <c r="F189" i="6"/>
  <c r="D189" i="6"/>
  <c r="BQ187" i="6"/>
  <c r="BM187" i="6"/>
  <c r="BE187" i="6"/>
  <c r="CG187" i="6"/>
  <c r="BN187" i="6"/>
  <c r="W184" i="12"/>
  <c r="X184" i="12"/>
  <c r="C185" i="6"/>
  <c r="O185" i="5"/>
  <c r="CJ187" i="6"/>
  <c r="BZ187" i="6"/>
  <c r="AU187" i="6"/>
  <c r="BG187" i="6"/>
  <c r="CB187" i="6"/>
  <c r="BH187" i="6"/>
  <c r="D184" i="12"/>
  <c r="E184" i="6"/>
  <c r="K188" i="12"/>
  <c r="AX187" i="6"/>
  <c r="AN187" i="6"/>
  <c r="BV187" i="6"/>
  <c r="AM187" i="6"/>
  <c r="BJ187" i="6"/>
  <c r="AW187" i="6"/>
  <c r="CE187" i="6"/>
  <c r="BA187" i="6"/>
  <c r="G187" i="12"/>
  <c r="X187" i="5"/>
  <c r="L186" i="5"/>
  <c r="AM186" i="5"/>
  <c r="I186" i="12"/>
  <c r="Z186" i="5"/>
  <c r="I186" i="5"/>
  <c r="AC186" i="5"/>
  <c r="N188" i="6"/>
  <c r="M188" i="6"/>
  <c r="BC188" i="6" s="1"/>
  <c r="BG188" i="6"/>
  <c r="CD188" i="6"/>
  <c r="BH188" i="6"/>
  <c r="BK188" i="6"/>
  <c r="G188" i="6"/>
  <c r="BZ188" i="6"/>
  <c r="H188" i="6"/>
  <c r="T188" i="5" s="1"/>
  <c r="AB185" i="5"/>
  <c r="AA185" i="5"/>
  <c r="C185" i="12"/>
  <c r="O185" i="12"/>
  <c r="AO185" i="12"/>
  <c r="M185" i="12"/>
  <c r="L189" i="12"/>
  <c r="J189" i="12"/>
  <c r="F190" i="5"/>
  <c r="G190" i="5"/>
  <c r="AE190" i="5"/>
  <c r="B190" i="5"/>
  <c r="W190" i="5"/>
  <c r="H190" i="12" s="1"/>
  <c r="C191" i="5"/>
  <c r="AD190" i="5"/>
  <c r="H190" i="5"/>
  <c r="K190" i="5"/>
  <c r="D190" i="5"/>
  <c r="B190" i="12" s="1"/>
  <c r="B190" i="6"/>
  <c r="N190" i="5"/>
  <c r="J190" i="5"/>
  <c r="E190" i="5"/>
  <c r="A190" i="12"/>
  <c r="R190" i="5"/>
  <c r="T182" i="12"/>
  <c r="V182" i="12"/>
  <c r="U182" i="12"/>
  <c r="BF187" i="6"/>
  <c r="AV187" i="6"/>
  <c r="CC187" i="6"/>
  <c r="CK187" i="6"/>
  <c r="CF187" i="6"/>
  <c r="AR187" i="6"/>
  <c r="AZ187" i="6"/>
  <c r="BT187" i="6"/>
  <c r="AP187" i="6"/>
  <c r="AK187" i="6"/>
  <c r="BK187" i="6"/>
  <c r="CI188" i="6" l="1"/>
  <c r="Y185" i="12"/>
  <c r="BF188" i="6"/>
  <c r="BO188" i="6"/>
  <c r="BR188" i="6"/>
  <c r="CM188" i="6"/>
  <c r="BS188" i="6"/>
  <c r="BM188" i="6"/>
  <c r="N185" i="12"/>
  <c r="BY188" i="6"/>
  <c r="BJ188" i="6"/>
  <c r="CG188" i="6"/>
  <c r="BP188" i="6"/>
  <c r="CA188" i="6"/>
  <c r="BL188" i="6"/>
  <c r="CB188" i="6"/>
  <c r="CK188" i="6"/>
  <c r="BV188" i="6"/>
  <c r="BX188" i="6"/>
  <c r="BI188" i="6"/>
  <c r="CL188" i="6"/>
  <c r="X185" i="12"/>
  <c r="W185" i="12"/>
  <c r="CE188" i="6"/>
  <c r="BN188" i="6"/>
  <c r="AM188" i="6"/>
  <c r="BQ188" i="6"/>
  <c r="C186" i="6"/>
  <c r="O186" i="5"/>
  <c r="D185" i="12"/>
  <c r="E185" i="6"/>
  <c r="E190" i="12"/>
  <c r="F190" i="6"/>
  <c r="K189" i="12"/>
  <c r="AL188" i="6"/>
  <c r="AY188" i="6"/>
  <c r="AW188" i="6"/>
  <c r="AK188" i="6"/>
  <c r="CC188" i="6"/>
  <c r="AN188" i="6"/>
  <c r="CF188" i="6"/>
  <c r="CJ188" i="6"/>
  <c r="AA186" i="5"/>
  <c r="AB186" i="5"/>
  <c r="L187" i="5"/>
  <c r="I187" i="12"/>
  <c r="AM187" i="5"/>
  <c r="I187" i="5"/>
  <c r="Z187" i="5"/>
  <c r="AC187" i="5"/>
  <c r="AJ187" i="6"/>
  <c r="M189" i="6"/>
  <c r="BF189" i="6" s="1"/>
  <c r="N189" i="6"/>
  <c r="H189" i="6"/>
  <c r="T189" i="5" s="1"/>
  <c r="G189" i="6"/>
  <c r="L190" i="12"/>
  <c r="J190" i="12"/>
  <c r="G188" i="12"/>
  <c r="X188" i="5"/>
  <c r="AX188" i="6"/>
  <c r="AV188" i="6"/>
  <c r="AZ188" i="6"/>
  <c r="AO188" i="6"/>
  <c r="CH188" i="6"/>
  <c r="BE188" i="6"/>
  <c r="C186" i="12"/>
  <c r="AO186" i="12"/>
  <c r="O186" i="12"/>
  <c r="M186" i="12"/>
  <c r="D190" i="6"/>
  <c r="B191" i="6"/>
  <c r="K191" i="5"/>
  <c r="AE191" i="5"/>
  <c r="A191" i="12"/>
  <c r="F191" i="5"/>
  <c r="D191" i="5"/>
  <c r="B191" i="12" s="1"/>
  <c r="AD191" i="5"/>
  <c r="R191" i="5"/>
  <c r="J191" i="5"/>
  <c r="N191" i="5"/>
  <c r="E191" i="5"/>
  <c r="G191" i="5"/>
  <c r="B191" i="5"/>
  <c r="C192" i="5"/>
  <c r="W191" i="5"/>
  <c r="H191" i="12" s="1"/>
  <c r="H191" i="5"/>
  <c r="BA188" i="6"/>
  <c r="AR188" i="6"/>
  <c r="AQ188" i="6"/>
  <c r="AT188" i="6"/>
  <c r="AP188" i="6"/>
  <c r="AU188" i="6"/>
  <c r="BT188" i="6"/>
  <c r="BW188" i="6"/>
  <c r="AS188" i="6"/>
  <c r="BD188" i="6"/>
  <c r="U184" i="12"/>
  <c r="V184" i="12"/>
  <c r="T184" i="12"/>
  <c r="BM189" i="6" l="1"/>
  <c r="CJ189" i="6"/>
  <c r="CA189" i="6"/>
  <c r="AL189" i="6"/>
  <c r="AT189" i="6"/>
  <c r="BP189" i="6"/>
  <c r="BH189" i="6"/>
  <c r="CF189" i="6"/>
  <c r="CH189" i="6"/>
  <c r="CM189" i="6"/>
  <c r="CE189" i="6"/>
  <c r="BK189" i="6"/>
  <c r="CK189" i="6"/>
  <c r="BV189" i="6"/>
  <c r="CG189" i="6"/>
  <c r="BL189" i="6"/>
  <c r="BN189" i="6"/>
  <c r="BO189" i="6"/>
  <c r="BE189" i="6"/>
  <c r="BC189" i="6"/>
  <c r="BX189" i="6"/>
  <c r="CC189" i="6"/>
  <c r="CL189" i="6"/>
  <c r="BQ189" i="6"/>
  <c r="CI189" i="6"/>
  <c r="BA189" i="6"/>
  <c r="CD189" i="6"/>
  <c r="BI189" i="6"/>
  <c r="BZ189" i="6"/>
  <c r="BY189" i="6"/>
  <c r="BG189" i="6"/>
  <c r="BD189" i="6"/>
  <c r="BW189" i="6"/>
  <c r="CB189" i="6"/>
  <c r="L191" i="12"/>
  <c r="J191" i="12"/>
  <c r="Y186" i="12"/>
  <c r="L188" i="5"/>
  <c r="I188" i="12"/>
  <c r="AM188" i="5"/>
  <c r="Z188" i="5"/>
  <c r="I188" i="5"/>
  <c r="AC188" i="5"/>
  <c r="G189" i="12"/>
  <c r="X189" i="5"/>
  <c r="AY189" i="6"/>
  <c r="AO189" i="6"/>
  <c r="BR189" i="6"/>
  <c r="AQ189" i="6"/>
  <c r="BT189" i="6"/>
  <c r="BJ189" i="6"/>
  <c r="G190" i="6"/>
  <c r="N190" i="6"/>
  <c r="M190" i="6"/>
  <c r="CA190" i="6" s="1"/>
  <c r="BP190" i="6"/>
  <c r="BF190" i="6"/>
  <c r="H190" i="6"/>
  <c r="T190" i="5" s="1"/>
  <c r="AV189" i="6"/>
  <c r="AW189" i="6"/>
  <c r="AN189" i="6"/>
  <c r="AJ188" i="6"/>
  <c r="E192" i="5"/>
  <c r="AD192" i="5"/>
  <c r="W192" i="5"/>
  <c r="H192" i="12" s="1"/>
  <c r="D192" i="5"/>
  <c r="B192" i="12" s="1"/>
  <c r="AE192" i="5"/>
  <c r="B192" i="6"/>
  <c r="G192" i="5"/>
  <c r="K192" i="5"/>
  <c r="F192" i="5"/>
  <c r="N192" i="5"/>
  <c r="R192" i="5"/>
  <c r="H192" i="5"/>
  <c r="A192" i="12"/>
  <c r="J192" i="5"/>
  <c r="B192" i="5"/>
  <c r="C193" i="5" s="1"/>
  <c r="E191" i="12"/>
  <c r="F191" i="6"/>
  <c r="K190" i="12"/>
  <c r="AU189" i="6"/>
  <c r="AX189" i="6"/>
  <c r="AP189" i="6"/>
  <c r="AZ189" i="6"/>
  <c r="AM189" i="6"/>
  <c r="AS189" i="6"/>
  <c r="AK189" i="6"/>
  <c r="C187" i="12"/>
  <c r="M187" i="12"/>
  <c r="O187" i="12"/>
  <c r="AO187" i="12"/>
  <c r="T185" i="12"/>
  <c r="U185" i="12"/>
  <c r="V185" i="12"/>
  <c r="D191" i="6"/>
  <c r="N186" i="12"/>
  <c r="AJ189" i="6"/>
  <c r="AR189" i="6"/>
  <c r="BS189" i="6"/>
  <c r="AA187" i="5"/>
  <c r="AB187" i="5"/>
  <c r="C187" i="6"/>
  <c r="O187" i="5"/>
  <c r="D186" i="12"/>
  <c r="E186" i="6"/>
  <c r="K191" i="12" l="1"/>
  <c r="CL190" i="6"/>
  <c r="CG190" i="6"/>
  <c r="BT190" i="6"/>
  <c r="BJ190" i="6"/>
  <c r="BX190" i="6"/>
  <c r="BM190" i="6"/>
  <c r="BS190" i="6"/>
  <c r="CJ190" i="6"/>
  <c r="CC190" i="6"/>
  <c r="CH190" i="6"/>
  <c r="N187" i="12"/>
  <c r="BW190" i="6"/>
  <c r="BZ190" i="6"/>
  <c r="BC190" i="6"/>
  <c r="CB190" i="6"/>
  <c r="BE190" i="6"/>
  <c r="BV190" i="6"/>
  <c r="BQ190" i="6"/>
  <c r="BO190" i="6"/>
  <c r="CK190" i="6"/>
  <c r="AE193" i="5"/>
  <c r="E193" i="5"/>
  <c r="W193" i="5"/>
  <c r="H193" i="12" s="1"/>
  <c r="B193" i="5"/>
  <c r="I193" i="5"/>
  <c r="H193" i="5"/>
  <c r="C194" i="5"/>
  <c r="B193" i="6"/>
  <c r="G193" i="5"/>
  <c r="AD193" i="5"/>
  <c r="F193" i="5"/>
  <c r="N193" i="5"/>
  <c r="A193" i="12"/>
  <c r="F192" i="6"/>
  <c r="E192" i="12"/>
  <c r="D192" i="6"/>
  <c r="AM190" i="6"/>
  <c r="AL190" i="6"/>
  <c r="AS190" i="6"/>
  <c r="AT190" i="6"/>
  <c r="BI190" i="6"/>
  <c r="CM190" i="6"/>
  <c r="AU190" i="6"/>
  <c r="BR190" i="6"/>
  <c r="C188" i="12"/>
  <c r="O188" i="12"/>
  <c r="AO188" i="12"/>
  <c r="M188" i="12"/>
  <c r="D187" i="12"/>
  <c r="E187" i="6"/>
  <c r="G191" i="6"/>
  <c r="BH191" i="6"/>
  <c r="M191" i="6"/>
  <c r="BP191" i="6" s="1"/>
  <c r="BW191" i="6"/>
  <c r="CI191" i="6"/>
  <c r="CG191" i="6"/>
  <c r="BT191" i="6"/>
  <c r="BE191" i="6"/>
  <c r="CH191" i="6"/>
  <c r="BD191" i="6"/>
  <c r="BZ191" i="6"/>
  <c r="BS191" i="6"/>
  <c r="N191" i="6"/>
  <c r="BJ191" i="6"/>
  <c r="BY191" i="6"/>
  <c r="BK191" i="6"/>
  <c r="CC191" i="6"/>
  <c r="H191" i="6"/>
  <c r="T191" i="5" s="1"/>
  <c r="BC191" i="6"/>
  <c r="CD191" i="6"/>
  <c r="CE191" i="6"/>
  <c r="AQ191" i="6"/>
  <c r="AQ190" i="6"/>
  <c r="AR190" i="6"/>
  <c r="AZ190" i="6"/>
  <c r="AN190" i="6"/>
  <c r="BN190" i="6"/>
  <c r="BG190" i="6"/>
  <c r="BL190" i="6"/>
  <c r="C188" i="6"/>
  <c r="O188" i="5"/>
  <c r="Y187" i="12"/>
  <c r="AO190" i="6"/>
  <c r="BH190" i="6"/>
  <c r="BY190" i="6"/>
  <c r="CD190" i="6"/>
  <c r="AW190" i="6"/>
  <c r="CE190" i="6"/>
  <c r="CI190" i="6"/>
  <c r="AX190" i="6"/>
  <c r="CF190" i="6"/>
  <c r="BD190" i="6"/>
  <c r="AM189" i="5"/>
  <c r="I189" i="12"/>
  <c r="L189" i="5"/>
  <c r="Z189" i="5"/>
  <c r="I189" i="5"/>
  <c r="AC189" i="5"/>
  <c r="AB188" i="5"/>
  <c r="AA188" i="5"/>
  <c r="X186" i="12"/>
  <c r="W186" i="12"/>
  <c r="L192" i="12"/>
  <c r="J192" i="12"/>
  <c r="G190" i="12"/>
  <c r="X190" i="5"/>
  <c r="AV190" i="6"/>
  <c r="AK190" i="6"/>
  <c r="BA190" i="6"/>
  <c r="AP190" i="6"/>
  <c r="BK190" i="6"/>
  <c r="AY190" i="6"/>
  <c r="AS191" i="6" l="1"/>
  <c r="AV191" i="6"/>
  <c r="N188" i="12"/>
  <c r="AL191" i="6"/>
  <c r="BX191" i="6"/>
  <c r="BA191" i="6"/>
  <c r="AR191" i="6"/>
  <c r="W187" i="12"/>
  <c r="X187" i="12"/>
  <c r="AM191" i="6"/>
  <c r="BO191" i="6"/>
  <c r="BQ191" i="6"/>
  <c r="N192" i="6"/>
  <c r="G192" i="6"/>
  <c r="H192" i="6"/>
  <c r="T192" i="5" s="1"/>
  <c r="M192" i="6"/>
  <c r="BZ192" i="6" s="1"/>
  <c r="BL192" i="6"/>
  <c r="BH192" i="6"/>
  <c r="CE192" i="6"/>
  <c r="BG192" i="6"/>
  <c r="BW192" i="6"/>
  <c r="CL192" i="6"/>
  <c r="BP192" i="6"/>
  <c r="CC192" i="6"/>
  <c r="BY192" i="6"/>
  <c r="BS192" i="6"/>
  <c r="BT192" i="6"/>
  <c r="CA192" i="6"/>
  <c r="AP192" i="6"/>
  <c r="CH192" i="6"/>
  <c r="BN192" i="6"/>
  <c r="CB192" i="6"/>
  <c r="BM192" i="6"/>
  <c r="BJ192" i="6"/>
  <c r="D193" i="6"/>
  <c r="I190" i="12"/>
  <c r="AM190" i="5"/>
  <c r="L190" i="5"/>
  <c r="I190" i="5"/>
  <c r="Z190" i="5"/>
  <c r="AC190" i="5"/>
  <c r="BF191" i="6"/>
  <c r="AJ190" i="6"/>
  <c r="G194" i="5"/>
  <c r="F194" i="5"/>
  <c r="AE194" i="5"/>
  <c r="J194" i="5"/>
  <c r="B194" i="6"/>
  <c r="D194" i="5"/>
  <c r="B194" i="12" s="1"/>
  <c r="C195" i="5"/>
  <c r="E194" i="5"/>
  <c r="H194" i="5"/>
  <c r="B194" i="5"/>
  <c r="R194" i="5"/>
  <c r="W194" i="5"/>
  <c r="H194" i="12" s="1"/>
  <c r="A194" i="12"/>
  <c r="K194" i="5"/>
  <c r="N194" i="5"/>
  <c r="AD194" i="5"/>
  <c r="V186" i="12"/>
  <c r="T186" i="12"/>
  <c r="U186" i="12"/>
  <c r="C189" i="12"/>
  <c r="M189" i="12"/>
  <c r="O189" i="12"/>
  <c r="AO189" i="12"/>
  <c r="E188" i="6"/>
  <c r="D188" i="12"/>
  <c r="AB189" i="5"/>
  <c r="AA189" i="5"/>
  <c r="G191" i="12"/>
  <c r="X191" i="5"/>
  <c r="AW191" i="6"/>
  <c r="AN191" i="6"/>
  <c r="AY191" i="6"/>
  <c r="CF191" i="6"/>
  <c r="BG191" i="6"/>
  <c r="BV191" i="6"/>
  <c r="BR191" i="6"/>
  <c r="AK191" i="6"/>
  <c r="CJ191" i="6"/>
  <c r="CL191" i="6"/>
  <c r="AX191" i="6"/>
  <c r="AZ191" i="6"/>
  <c r="BM191" i="6"/>
  <c r="K192" i="12"/>
  <c r="C189" i="6"/>
  <c r="O189" i="5"/>
  <c r="AJ191" i="6"/>
  <c r="BL191" i="6"/>
  <c r="AO191" i="6"/>
  <c r="CA191" i="6"/>
  <c r="BI191" i="6"/>
  <c r="BN191" i="6"/>
  <c r="AT191" i="6"/>
  <c r="CM191" i="6"/>
  <c r="AU191" i="6"/>
  <c r="CK191" i="6"/>
  <c r="AP191" i="6"/>
  <c r="CB191" i="6"/>
  <c r="Y188" i="12"/>
  <c r="AU192" i="6" l="1"/>
  <c r="AQ192" i="6"/>
  <c r="AK192" i="6"/>
  <c r="AX192" i="6"/>
  <c r="D189" i="12"/>
  <c r="E189" i="6"/>
  <c r="I191" i="12"/>
  <c r="AM191" i="5"/>
  <c r="L191" i="5"/>
  <c r="Z191" i="5"/>
  <c r="I191" i="5"/>
  <c r="AC191" i="5"/>
  <c r="C190" i="6"/>
  <c r="O190" i="5"/>
  <c r="CG193" i="6"/>
  <c r="CB193" i="6"/>
  <c r="BP193" i="6"/>
  <c r="BL193" i="6"/>
  <c r="BW193" i="6"/>
  <c r="CJ193" i="6"/>
  <c r="BH193" i="6"/>
  <c r="BQ193" i="6"/>
  <c r="BD193" i="6"/>
  <c r="CK193" i="6"/>
  <c r="CF193" i="6"/>
  <c r="BG193" i="6"/>
  <c r="CE193" i="6"/>
  <c r="CI193" i="6"/>
  <c r="BV193" i="6"/>
  <c r="BC193" i="6"/>
  <c r="BX193" i="6"/>
  <c r="CD193" i="6"/>
  <c r="BK193" i="6"/>
  <c r="BJ193" i="6"/>
  <c r="CM193" i="6"/>
  <c r="G193" i="6"/>
  <c r="CH193" i="6"/>
  <c r="N193" i="6"/>
  <c r="CL193" i="6"/>
  <c r="BY193" i="6"/>
  <c r="BS193" i="6"/>
  <c r="BF193" i="6"/>
  <c r="BR193" i="6"/>
  <c r="BI193" i="6"/>
  <c r="CC193" i="6"/>
  <c r="BM193" i="6"/>
  <c r="CA193" i="6"/>
  <c r="BN193" i="6"/>
  <c r="BE193" i="6"/>
  <c r="BT193" i="6"/>
  <c r="BZ193" i="6"/>
  <c r="H193" i="6"/>
  <c r="T193" i="5" s="1"/>
  <c r="G193" i="12" s="1"/>
  <c r="M193" i="6"/>
  <c r="BO193" i="6"/>
  <c r="BX192" i="6"/>
  <c r="BD192" i="6"/>
  <c r="AM192" i="6"/>
  <c r="CF192" i="6"/>
  <c r="CK192" i="6"/>
  <c r="BC192" i="6"/>
  <c r="AO192" i="6"/>
  <c r="BK192" i="6"/>
  <c r="AZ192" i="6"/>
  <c r="CJ192" i="6"/>
  <c r="BE192" i="6"/>
  <c r="AY192" i="6"/>
  <c r="CM192" i="6"/>
  <c r="AV192" i="6"/>
  <c r="CI192" i="6"/>
  <c r="Y189" i="12"/>
  <c r="L194" i="12"/>
  <c r="J194" i="12"/>
  <c r="F194" i="6"/>
  <c r="E194" i="12"/>
  <c r="AB190" i="5"/>
  <c r="AA190" i="5"/>
  <c r="C190" i="12"/>
  <c r="AO190" i="12"/>
  <c r="M190" i="12"/>
  <c r="O190" i="12"/>
  <c r="N190" i="12" s="1"/>
  <c r="AS192" i="6"/>
  <c r="AR192" i="6"/>
  <c r="CG192" i="6"/>
  <c r="AN192" i="6"/>
  <c r="AT192" i="6"/>
  <c r="BV192" i="6"/>
  <c r="AW192" i="6"/>
  <c r="AL192" i="6"/>
  <c r="CD192" i="6"/>
  <c r="X188" i="12"/>
  <c r="W188" i="12"/>
  <c r="N189" i="12"/>
  <c r="D194" i="6"/>
  <c r="AD195" i="5"/>
  <c r="E195" i="5"/>
  <c r="G195" i="5"/>
  <c r="A195" i="12"/>
  <c r="J195" i="5"/>
  <c r="N195" i="5"/>
  <c r="C196" i="5"/>
  <c r="W195" i="5"/>
  <c r="H195" i="12" s="1"/>
  <c r="B195" i="6"/>
  <c r="AE195" i="5"/>
  <c r="K195" i="5"/>
  <c r="D195" i="5"/>
  <c r="B195" i="12" s="1"/>
  <c r="R195" i="5"/>
  <c r="H195" i="5"/>
  <c r="F195" i="5"/>
  <c r="B195" i="5"/>
  <c r="BR192" i="6"/>
  <c r="BI192" i="6"/>
  <c r="BF192" i="6"/>
  <c r="BO192" i="6"/>
  <c r="G192" i="12"/>
  <c r="X192" i="5"/>
  <c r="BQ192" i="6"/>
  <c r="BA192" i="6"/>
  <c r="U187" i="12"/>
  <c r="T187" i="12"/>
  <c r="V187" i="12"/>
  <c r="AZ193" i="6" l="1"/>
  <c r="K194" i="12"/>
  <c r="AN193" i="6"/>
  <c r="AS193" i="6"/>
  <c r="Y190" i="12"/>
  <c r="AQ193" i="6"/>
  <c r="AO193" i="6"/>
  <c r="L192" i="5"/>
  <c r="AM192" i="5"/>
  <c r="I192" i="12"/>
  <c r="I192" i="5"/>
  <c r="Z192" i="5"/>
  <c r="AC192" i="5"/>
  <c r="AJ192" i="6"/>
  <c r="F195" i="6"/>
  <c r="E195" i="12"/>
  <c r="D195" i="6"/>
  <c r="H194" i="6"/>
  <c r="T194" i="5" s="1"/>
  <c r="M194" i="6"/>
  <c r="CH194" i="6" s="1"/>
  <c r="CJ194" i="6"/>
  <c r="CE194" i="6"/>
  <c r="AY194" i="6"/>
  <c r="BC194" i="6"/>
  <c r="BI194" i="6"/>
  <c r="CK194" i="6"/>
  <c r="CL194" i="6"/>
  <c r="AV194" i="6"/>
  <c r="AT194" i="6"/>
  <c r="BY194" i="6"/>
  <c r="G194" i="6"/>
  <c r="CB194" i="6"/>
  <c r="AK194" i="6"/>
  <c r="AN194" i="6"/>
  <c r="AU194" i="6"/>
  <c r="BS194" i="6"/>
  <c r="BZ194" i="6"/>
  <c r="BM194" i="6"/>
  <c r="N194" i="6"/>
  <c r="AL194" i="6"/>
  <c r="AR194" i="6"/>
  <c r="BO194" i="6"/>
  <c r="BG194" i="6"/>
  <c r="BH194" i="6"/>
  <c r="AP194" i="6"/>
  <c r="X189" i="12"/>
  <c r="W189" i="12"/>
  <c r="AL193" i="6"/>
  <c r="AW193" i="6"/>
  <c r="AY193" i="6"/>
  <c r="C191" i="12"/>
  <c r="AO191" i="12"/>
  <c r="M191" i="12"/>
  <c r="O191" i="12"/>
  <c r="J195" i="12"/>
  <c r="L195" i="12"/>
  <c r="T188" i="12"/>
  <c r="U188" i="12"/>
  <c r="V188" i="12"/>
  <c r="AJ193" i="6"/>
  <c r="AU193" i="6"/>
  <c r="AP193" i="6"/>
  <c r="E190" i="6"/>
  <c r="D190" i="12"/>
  <c r="AA191" i="5"/>
  <c r="AB191" i="5"/>
  <c r="D196" i="5"/>
  <c r="B196" i="12" s="1"/>
  <c r="K196" i="5"/>
  <c r="B196" i="5"/>
  <c r="J196" i="5"/>
  <c r="F196" i="5"/>
  <c r="H196" i="5"/>
  <c r="E196" i="5"/>
  <c r="AD196" i="5"/>
  <c r="A196" i="12"/>
  <c r="G196" i="5"/>
  <c r="C197" i="5"/>
  <c r="B196" i="6"/>
  <c r="N196" i="5"/>
  <c r="R196" i="5"/>
  <c r="AE196" i="5"/>
  <c r="W196" i="5"/>
  <c r="H196" i="12" s="1"/>
  <c r="W190" i="12"/>
  <c r="X190" i="12"/>
  <c r="AK193" i="6"/>
  <c r="AM193" i="6"/>
  <c r="AV193" i="6"/>
  <c r="AT193" i="6"/>
  <c r="AR193" i="6"/>
  <c r="BA193" i="6"/>
  <c r="AX193" i="6"/>
  <c r="C191" i="6"/>
  <c r="O191" i="5"/>
  <c r="Y191" i="12" l="1"/>
  <c r="BX194" i="6"/>
  <c r="AQ194" i="6"/>
  <c r="BT194" i="6"/>
  <c r="BP194" i="6"/>
  <c r="BV194" i="6"/>
  <c r="BK194" i="6"/>
  <c r="BD194" i="6"/>
  <c r="BW194" i="6"/>
  <c r="BF194" i="6"/>
  <c r="BE194" i="6"/>
  <c r="AW194" i="6"/>
  <c r="AM194" i="6"/>
  <c r="CG194" i="6"/>
  <c r="CM194" i="6"/>
  <c r="AX194" i="6"/>
  <c r="CA194" i="6"/>
  <c r="BN194" i="6"/>
  <c r="BL194" i="6"/>
  <c r="CC194" i="6"/>
  <c r="AS194" i="6"/>
  <c r="AZ194" i="6"/>
  <c r="CF194" i="6"/>
  <c r="CI194" i="6"/>
  <c r="BQ194" i="6"/>
  <c r="BJ194" i="6"/>
  <c r="BR194" i="6"/>
  <c r="CD194" i="6"/>
  <c r="K195" i="12"/>
  <c r="N191" i="12"/>
  <c r="G195" i="6"/>
  <c r="H195" i="6"/>
  <c r="T195" i="5" s="1"/>
  <c r="N195" i="6"/>
  <c r="M195" i="6"/>
  <c r="BG195" i="6" s="1"/>
  <c r="C192" i="12"/>
  <c r="O192" i="12"/>
  <c r="M192" i="12"/>
  <c r="AO192" i="12"/>
  <c r="V190" i="12"/>
  <c r="T190" i="12"/>
  <c r="U190" i="12"/>
  <c r="F196" i="6"/>
  <c r="E196" i="12"/>
  <c r="X191" i="12"/>
  <c r="W191" i="12"/>
  <c r="BA194" i="6"/>
  <c r="AO194" i="6"/>
  <c r="AA192" i="5"/>
  <c r="AB192" i="5"/>
  <c r="C192" i="6"/>
  <c r="O192" i="5"/>
  <c r="E191" i="6"/>
  <c r="D191" i="12"/>
  <c r="D196" i="6"/>
  <c r="K197" i="5"/>
  <c r="B197" i="5"/>
  <c r="N197" i="5"/>
  <c r="C198" i="5"/>
  <c r="G197" i="5"/>
  <c r="J197" i="5"/>
  <c r="F197" i="5"/>
  <c r="R197" i="5"/>
  <c r="A197" i="12"/>
  <c r="D197" i="5"/>
  <c r="B197" i="12" s="1"/>
  <c r="B197" i="6"/>
  <c r="AD197" i="5"/>
  <c r="AE197" i="5"/>
  <c r="H197" i="5"/>
  <c r="W197" i="5"/>
  <c r="H197" i="12" s="1"/>
  <c r="E197" i="5"/>
  <c r="J196" i="12"/>
  <c r="L196" i="12"/>
  <c r="V189" i="12"/>
  <c r="T189" i="12"/>
  <c r="U189" i="12"/>
  <c r="G194" i="12"/>
  <c r="X194" i="5"/>
  <c r="BV195" i="6" l="1"/>
  <c r="BW195" i="6"/>
  <c r="Y192" i="12"/>
  <c r="CA195" i="6"/>
  <c r="BC195" i="6"/>
  <c r="BJ195" i="6"/>
  <c r="BH195" i="6"/>
  <c r="CH195" i="6"/>
  <c r="AS195" i="6"/>
  <c r="K196" i="12"/>
  <c r="AX195" i="6"/>
  <c r="BX195" i="6"/>
  <c r="BL195" i="6"/>
  <c r="CC195" i="6"/>
  <c r="CK195" i="6"/>
  <c r="BK195" i="6"/>
  <c r="CJ195" i="6"/>
  <c r="BE195" i="6"/>
  <c r="CI195" i="6"/>
  <c r="BF195" i="6"/>
  <c r="AN195" i="6"/>
  <c r="BN195" i="6"/>
  <c r="AW195" i="6"/>
  <c r="CG195" i="6"/>
  <c r="BQ195" i="6"/>
  <c r="I194" i="12"/>
  <c r="L194" i="5"/>
  <c r="AM194" i="5"/>
  <c r="I194" i="5"/>
  <c r="Z194" i="5"/>
  <c r="AC194" i="5"/>
  <c r="AJ194" i="6"/>
  <c r="E197" i="12"/>
  <c r="F197" i="6"/>
  <c r="A198" i="12"/>
  <c r="J198" i="5"/>
  <c r="H198" i="5"/>
  <c r="B198" i="6"/>
  <c r="R198" i="5"/>
  <c r="D198" i="5"/>
  <c r="B198" i="12" s="1"/>
  <c r="AD198" i="5"/>
  <c r="N198" i="5"/>
  <c r="W198" i="5"/>
  <c r="H198" i="12" s="1"/>
  <c r="K198" i="5"/>
  <c r="B198" i="5"/>
  <c r="E198" i="5"/>
  <c r="G198" i="5"/>
  <c r="AE198" i="5"/>
  <c r="F198" i="5"/>
  <c r="C199" i="5"/>
  <c r="E192" i="6"/>
  <c r="D192" i="12"/>
  <c r="N192" i="12"/>
  <c r="CB195" i="6"/>
  <c r="AK195" i="6"/>
  <c r="AV195" i="6"/>
  <c r="AO195" i="6"/>
  <c r="BZ195" i="6"/>
  <c r="BM195" i="6"/>
  <c r="AQ195" i="6"/>
  <c r="AP195" i="6"/>
  <c r="AU195" i="6"/>
  <c r="CL195" i="6"/>
  <c r="BD195" i="6"/>
  <c r="AR195" i="6"/>
  <c r="CE195" i="6"/>
  <c r="D197" i="6"/>
  <c r="M196" i="6"/>
  <c r="CL196" i="6" s="1"/>
  <c r="G196" i="6"/>
  <c r="N196" i="6"/>
  <c r="H196" i="6"/>
  <c r="T196" i="5" s="1"/>
  <c r="BV196" i="6"/>
  <c r="BG196" i="6"/>
  <c r="CE196" i="6"/>
  <c r="BT195" i="6"/>
  <c r="AZ195" i="6"/>
  <c r="BS195" i="6"/>
  <c r="CF195" i="6"/>
  <c r="AT195" i="6"/>
  <c r="BA195" i="6"/>
  <c r="BY195" i="6"/>
  <c r="CM195" i="6"/>
  <c r="AM195" i="6"/>
  <c r="BO195" i="6"/>
  <c r="BI195" i="6"/>
  <c r="J197" i="12"/>
  <c r="L197" i="12"/>
  <c r="U191" i="12"/>
  <c r="V191" i="12"/>
  <c r="T191" i="12"/>
  <c r="W192" i="12"/>
  <c r="X192" i="12"/>
  <c r="CD195" i="6"/>
  <c r="AL195" i="6"/>
  <c r="BR195" i="6"/>
  <c r="G195" i="12"/>
  <c r="X195" i="5"/>
  <c r="AY195" i="6"/>
  <c r="BP195" i="6"/>
  <c r="K197" i="12" l="1"/>
  <c r="BZ196" i="6"/>
  <c r="BY196" i="6"/>
  <c r="BW196" i="6"/>
  <c r="CI196" i="6"/>
  <c r="CG196" i="6"/>
  <c r="BD196" i="6"/>
  <c r="BE196" i="6"/>
  <c r="BL196" i="6"/>
  <c r="BH196" i="6"/>
  <c r="BJ196" i="6"/>
  <c r="BT196" i="6"/>
  <c r="BC196" i="6"/>
  <c r="BS196" i="6"/>
  <c r="AP196" i="6"/>
  <c r="BQ196" i="6"/>
  <c r="CH196" i="6"/>
  <c r="CA196" i="6"/>
  <c r="AY196" i="6"/>
  <c r="BP196" i="6"/>
  <c r="BI196" i="6"/>
  <c r="CC196" i="6"/>
  <c r="AO196" i="6"/>
  <c r="AK196" i="6"/>
  <c r="CK196" i="6"/>
  <c r="BO196" i="6"/>
  <c r="CM196" i="6"/>
  <c r="BX196" i="6"/>
  <c r="CJ196" i="6"/>
  <c r="AU196" i="6"/>
  <c r="AV196" i="6"/>
  <c r="CB196" i="6"/>
  <c r="BF196" i="6"/>
  <c r="AM195" i="5"/>
  <c r="L195" i="5"/>
  <c r="I195" i="12"/>
  <c r="I195" i="5"/>
  <c r="Z195" i="5"/>
  <c r="AC195" i="5"/>
  <c r="AJ195" i="6"/>
  <c r="AQ196" i="6"/>
  <c r="BM196" i="6"/>
  <c r="CF196" i="6"/>
  <c r="AL196" i="6"/>
  <c r="BK196" i="6"/>
  <c r="BN196" i="6"/>
  <c r="CD196" i="6"/>
  <c r="BR196" i="6"/>
  <c r="AT196" i="6"/>
  <c r="AX196" i="6"/>
  <c r="G197" i="6"/>
  <c r="H197" i="6"/>
  <c r="T197" i="5" s="1"/>
  <c r="M197" i="6"/>
  <c r="BT197" i="6" s="1"/>
  <c r="BH197" i="6"/>
  <c r="N197" i="6"/>
  <c r="BZ197" i="6"/>
  <c r="D198" i="6"/>
  <c r="AA194" i="5"/>
  <c r="AB194" i="5"/>
  <c r="C194" i="12"/>
  <c r="M194" i="12"/>
  <c r="O194" i="12"/>
  <c r="AO194" i="12"/>
  <c r="BA196" i="6"/>
  <c r="AR196" i="6"/>
  <c r="AS196" i="6"/>
  <c r="U192" i="12"/>
  <c r="V192" i="12"/>
  <c r="T192" i="12"/>
  <c r="AZ196" i="6"/>
  <c r="AW196" i="6"/>
  <c r="G196" i="12"/>
  <c r="X196" i="5"/>
  <c r="AM196" i="6"/>
  <c r="AN196" i="6"/>
  <c r="AJ196" i="6"/>
  <c r="AE199" i="5"/>
  <c r="AD199" i="5"/>
  <c r="B199" i="5"/>
  <c r="C200" i="5"/>
  <c r="K199" i="5"/>
  <c r="B199" i="6"/>
  <c r="E199" i="5"/>
  <c r="G199" i="5"/>
  <c r="H199" i="5"/>
  <c r="F199" i="5"/>
  <c r="D199" i="5"/>
  <c r="B199" i="12" s="1"/>
  <c r="J199" i="5"/>
  <c r="N199" i="5"/>
  <c r="W199" i="5"/>
  <c r="H199" i="12" s="1"/>
  <c r="R199" i="5"/>
  <c r="A199" i="12"/>
  <c r="F198" i="6"/>
  <c r="E198" i="12"/>
  <c r="L198" i="12"/>
  <c r="J198" i="12"/>
  <c r="C194" i="6"/>
  <c r="O194" i="5"/>
  <c r="CG197" i="6" l="1"/>
  <c r="CB197" i="6"/>
  <c r="CF197" i="6"/>
  <c r="CA197" i="6"/>
  <c r="BS197" i="6"/>
  <c r="BF197" i="6"/>
  <c r="BQ197" i="6"/>
  <c r="BC197" i="6"/>
  <c r="BY197" i="6"/>
  <c r="CE197" i="6"/>
  <c r="BG197" i="6"/>
  <c r="CD197" i="6"/>
  <c r="AW197" i="6"/>
  <c r="CL197" i="6"/>
  <c r="BL197" i="6"/>
  <c r="CC197" i="6"/>
  <c r="CJ197" i="6"/>
  <c r="BM197" i="6"/>
  <c r="AS197" i="6"/>
  <c r="BP197" i="6"/>
  <c r="N194" i="12"/>
  <c r="BO197" i="6"/>
  <c r="CH197" i="6"/>
  <c r="BI197" i="6"/>
  <c r="BR197" i="6"/>
  <c r="BJ197" i="6"/>
  <c r="BE197" i="6"/>
  <c r="N200" i="5"/>
  <c r="AE200" i="5"/>
  <c r="K200" i="5"/>
  <c r="D200" i="5"/>
  <c r="B200" i="12" s="1"/>
  <c r="H200" i="5"/>
  <c r="A200" i="12"/>
  <c r="F200" i="5"/>
  <c r="B200" i="6"/>
  <c r="C201" i="5"/>
  <c r="AD200" i="5"/>
  <c r="B200" i="5"/>
  <c r="G200" i="5"/>
  <c r="E200" i="5"/>
  <c r="W200" i="5"/>
  <c r="H200" i="12" s="1"/>
  <c r="J200" i="5"/>
  <c r="R200" i="5"/>
  <c r="N198" i="6"/>
  <c r="M198" i="6"/>
  <c r="BF198" i="6" s="1"/>
  <c r="G198" i="6"/>
  <c r="H198" i="6"/>
  <c r="T198" i="5" s="1"/>
  <c r="BG198" i="6"/>
  <c r="BH198" i="6"/>
  <c r="AV197" i="6"/>
  <c r="AK197" i="6"/>
  <c r="AO197" i="6"/>
  <c r="AT197" i="6"/>
  <c r="AL197" i="6"/>
  <c r="BN197" i="6"/>
  <c r="CI197" i="6"/>
  <c r="AM197" i="6"/>
  <c r="AU197" i="6"/>
  <c r="J199" i="12"/>
  <c r="L199" i="12"/>
  <c r="E194" i="6"/>
  <c r="D194" i="12"/>
  <c r="D199" i="6"/>
  <c r="Y194" i="12"/>
  <c r="AZ197" i="6"/>
  <c r="AN197" i="6"/>
  <c r="AY197" i="6"/>
  <c r="BW197" i="6"/>
  <c r="BV197" i="6"/>
  <c r="CM197" i="6"/>
  <c r="BA197" i="6"/>
  <c r="C195" i="12"/>
  <c r="AO195" i="12"/>
  <c r="M195" i="12"/>
  <c r="O195" i="12"/>
  <c r="E199" i="12"/>
  <c r="F199" i="6"/>
  <c r="G197" i="12"/>
  <c r="X197" i="5"/>
  <c r="AJ197" i="6" s="1"/>
  <c r="C195" i="6"/>
  <c r="O195" i="5"/>
  <c r="K198" i="12"/>
  <c r="L196" i="5"/>
  <c r="AM196" i="5"/>
  <c r="I196" i="12"/>
  <c r="Z196" i="5"/>
  <c r="I196" i="5"/>
  <c r="AC196" i="5"/>
  <c r="AQ197" i="6"/>
  <c r="AR197" i="6"/>
  <c r="AX197" i="6"/>
  <c r="AP197" i="6"/>
  <c r="CK197" i="6"/>
  <c r="BD197" i="6"/>
  <c r="BK197" i="6"/>
  <c r="BX197" i="6"/>
  <c r="AB195" i="5"/>
  <c r="AA195" i="5"/>
  <c r="BV198" i="6" l="1"/>
  <c r="BP198" i="6"/>
  <c r="BD198" i="6"/>
  <c r="AL198" i="6"/>
  <c r="CG198" i="6"/>
  <c r="BK198" i="6"/>
  <c r="BR198" i="6"/>
  <c r="AK198" i="6"/>
  <c r="AS198" i="6"/>
  <c r="CB198" i="6"/>
  <c r="CF198" i="6"/>
  <c r="CC198" i="6"/>
  <c r="CM198" i="6"/>
  <c r="CE198" i="6"/>
  <c r="BO198" i="6"/>
  <c r="BQ198" i="6"/>
  <c r="AO198" i="6"/>
  <c r="AU198" i="6"/>
  <c r="AR198" i="6"/>
  <c r="BY198" i="6"/>
  <c r="BW198" i="6"/>
  <c r="AP198" i="6"/>
  <c r="AZ198" i="6"/>
  <c r="BX198" i="6"/>
  <c r="CL198" i="6"/>
  <c r="AX198" i="6"/>
  <c r="BS198" i="6"/>
  <c r="AN198" i="6"/>
  <c r="CH198" i="6"/>
  <c r="BN198" i="6"/>
  <c r="CJ198" i="6"/>
  <c r="Y195" i="12"/>
  <c r="W195" i="12" s="1"/>
  <c r="CD198" i="6"/>
  <c r="AT198" i="6"/>
  <c r="CA198" i="6"/>
  <c r="BZ198" i="6"/>
  <c r="CK198" i="6"/>
  <c r="AV198" i="6"/>
  <c r="BM198" i="6"/>
  <c r="BL198" i="6"/>
  <c r="BT198" i="6"/>
  <c r="BC198" i="6"/>
  <c r="BI198" i="6"/>
  <c r="CI198" i="6"/>
  <c r="BE198" i="6"/>
  <c r="BJ198" i="6"/>
  <c r="D195" i="12"/>
  <c r="E195" i="6"/>
  <c r="BA198" i="6"/>
  <c r="AY198" i="6"/>
  <c r="E200" i="12"/>
  <c r="F200" i="6"/>
  <c r="C196" i="6"/>
  <c r="O196" i="5"/>
  <c r="I197" i="12"/>
  <c r="L197" i="5"/>
  <c r="AM197" i="5"/>
  <c r="I197" i="5"/>
  <c r="Z197" i="5"/>
  <c r="AC197" i="5"/>
  <c r="N195" i="12"/>
  <c r="X194" i="12"/>
  <c r="W194" i="12"/>
  <c r="K199" i="12"/>
  <c r="AW198" i="6"/>
  <c r="AM198" i="6"/>
  <c r="AB196" i="5"/>
  <c r="AA196" i="5"/>
  <c r="G198" i="12"/>
  <c r="X198" i="5"/>
  <c r="AQ198" i="6"/>
  <c r="J200" i="12"/>
  <c r="L200" i="12"/>
  <c r="K200" i="12" s="1"/>
  <c r="C196" i="12"/>
  <c r="O196" i="12"/>
  <c r="AO196" i="12"/>
  <c r="Y196" i="12" s="1"/>
  <c r="M196" i="12"/>
  <c r="M199" i="6"/>
  <c r="CK199" i="6" s="1"/>
  <c r="G199" i="6"/>
  <c r="H199" i="6"/>
  <c r="T199" i="5" s="1"/>
  <c r="BQ199" i="6"/>
  <c r="N199" i="6"/>
  <c r="CH199" i="6"/>
  <c r="CJ199" i="6"/>
  <c r="BN199" i="6"/>
  <c r="CG199" i="6"/>
  <c r="CB199" i="6"/>
  <c r="B201" i="6"/>
  <c r="H201" i="5"/>
  <c r="C202" i="5"/>
  <c r="E201" i="5"/>
  <c r="J201" i="5"/>
  <c r="R201" i="5"/>
  <c r="K201" i="5"/>
  <c r="D201" i="5"/>
  <c r="B201" i="12" s="1"/>
  <c r="AE201" i="5"/>
  <c r="F201" i="5"/>
  <c r="A201" i="12"/>
  <c r="N201" i="5"/>
  <c r="W201" i="5"/>
  <c r="H201" i="12" s="1"/>
  <c r="AD201" i="5"/>
  <c r="B201" i="5"/>
  <c r="G201" i="5"/>
  <c r="D200" i="6"/>
  <c r="AL199" i="6" l="1"/>
  <c r="CD199" i="6"/>
  <c r="BO199" i="6"/>
  <c r="CA199" i="6"/>
  <c r="X195" i="12"/>
  <c r="BW199" i="6"/>
  <c r="BI199" i="6"/>
  <c r="BY199" i="6"/>
  <c r="AT199" i="6"/>
  <c r="BV199" i="6"/>
  <c r="BM199" i="6"/>
  <c r="BF199" i="6"/>
  <c r="BG199" i="6"/>
  <c r="AK199" i="6"/>
  <c r="BR199" i="6"/>
  <c r="BJ199" i="6"/>
  <c r="AW199" i="6"/>
  <c r="AN199" i="6"/>
  <c r="AZ199" i="6"/>
  <c r="AV199" i="6"/>
  <c r="BK199" i="6"/>
  <c r="AP199" i="6"/>
  <c r="CM199" i="6"/>
  <c r="BT199" i="6"/>
  <c r="BC199" i="6"/>
  <c r="AO199" i="6"/>
  <c r="AS199" i="6"/>
  <c r="BA199" i="6"/>
  <c r="AU199" i="6"/>
  <c r="G199" i="12"/>
  <c r="X199" i="5"/>
  <c r="BS199" i="6"/>
  <c r="X196" i="12"/>
  <c r="W196" i="12"/>
  <c r="C197" i="6"/>
  <c r="O197" i="5"/>
  <c r="CC199" i="6"/>
  <c r="BH199" i="6"/>
  <c r="AX199" i="6"/>
  <c r="CL199" i="6"/>
  <c r="AJ199" i="6"/>
  <c r="AR199" i="6"/>
  <c r="AY199" i="6"/>
  <c r="CE199" i="6"/>
  <c r="CI199" i="6"/>
  <c r="N196" i="12"/>
  <c r="L198" i="5"/>
  <c r="I198" i="12"/>
  <c r="AM198" i="5"/>
  <c r="Z198" i="5"/>
  <c r="I198" i="5"/>
  <c r="AC198" i="5"/>
  <c r="T194" i="12"/>
  <c r="V194" i="12"/>
  <c r="U194" i="12"/>
  <c r="AA197" i="5"/>
  <c r="AB197" i="5"/>
  <c r="C197" i="12"/>
  <c r="M197" i="12"/>
  <c r="AO197" i="12"/>
  <c r="O197" i="12"/>
  <c r="V195" i="12"/>
  <c r="U195" i="12"/>
  <c r="T195" i="12"/>
  <c r="D201" i="6"/>
  <c r="AD202" i="5"/>
  <c r="B202" i="5"/>
  <c r="AE202" i="5"/>
  <c r="G202" i="5"/>
  <c r="W202" i="5"/>
  <c r="H202" i="12" s="1"/>
  <c r="A202" i="12"/>
  <c r="H202" i="5"/>
  <c r="N202" i="5"/>
  <c r="B202" i="6"/>
  <c r="F202" i="5"/>
  <c r="E202" i="5"/>
  <c r="D202" i="5"/>
  <c r="B202" i="12" s="1"/>
  <c r="K202" i="5"/>
  <c r="R202" i="5"/>
  <c r="C203" i="5"/>
  <c r="J202" i="5"/>
  <c r="BP199" i="6"/>
  <c r="D196" i="12"/>
  <c r="E196" i="6"/>
  <c r="M200" i="6"/>
  <c r="BP200" i="6" s="1"/>
  <c r="G200" i="6"/>
  <c r="BF200" i="6"/>
  <c r="BO200" i="6"/>
  <c r="H200" i="6"/>
  <c r="T200" i="5" s="1"/>
  <c r="CJ200" i="6"/>
  <c r="N200" i="6"/>
  <c r="CG200" i="6"/>
  <c r="CA200" i="6"/>
  <c r="J201" i="12"/>
  <c r="L201" i="12"/>
  <c r="F201" i="6"/>
  <c r="E201" i="12"/>
  <c r="CF199" i="6"/>
  <c r="BX199" i="6"/>
  <c r="BE199" i="6"/>
  <c r="BZ199" i="6"/>
  <c r="AM199" i="6"/>
  <c r="BD199" i="6"/>
  <c r="AQ199" i="6"/>
  <c r="BL199" i="6"/>
  <c r="AJ198" i="6"/>
  <c r="AR200" i="6" l="1"/>
  <c r="BV200" i="6"/>
  <c r="BW200" i="6"/>
  <c r="K201" i="12"/>
  <c r="CC200" i="6"/>
  <c r="BI200" i="6"/>
  <c r="BG200" i="6"/>
  <c r="BC200" i="6"/>
  <c r="BY200" i="6"/>
  <c r="CI200" i="6"/>
  <c r="Y197" i="12"/>
  <c r="X197" i="12" s="1"/>
  <c r="BL200" i="6"/>
  <c r="CK200" i="6"/>
  <c r="AW200" i="6"/>
  <c r="BT200" i="6"/>
  <c r="CD200" i="6"/>
  <c r="CL200" i="6"/>
  <c r="BQ200" i="6"/>
  <c r="CF200" i="6"/>
  <c r="BN200" i="6"/>
  <c r="CE200" i="6"/>
  <c r="AV200" i="6"/>
  <c r="AU200" i="6"/>
  <c r="CH200" i="6"/>
  <c r="AL200" i="6"/>
  <c r="AM200" i="6"/>
  <c r="N203" i="5"/>
  <c r="C204" i="5"/>
  <c r="E203" i="5"/>
  <c r="A203" i="12"/>
  <c r="F203" i="5"/>
  <c r="AD203" i="5"/>
  <c r="B203" i="6"/>
  <c r="R203" i="5"/>
  <c r="H203" i="5"/>
  <c r="K203" i="5"/>
  <c r="AE203" i="5"/>
  <c r="J203" i="5"/>
  <c r="W203" i="5"/>
  <c r="H203" i="12" s="1"/>
  <c r="B203" i="5"/>
  <c r="G203" i="5"/>
  <c r="D203" i="5"/>
  <c r="B203" i="12" s="1"/>
  <c r="L202" i="12"/>
  <c r="J202" i="12"/>
  <c r="G201" i="6"/>
  <c r="H201" i="6"/>
  <c r="T201" i="5" s="1"/>
  <c r="M201" i="6"/>
  <c r="BJ201" i="6" s="1"/>
  <c r="N201" i="6"/>
  <c r="BK201" i="6"/>
  <c r="N197" i="12"/>
  <c r="G200" i="12"/>
  <c r="X200" i="5"/>
  <c r="AJ200" i="6" s="1"/>
  <c r="AQ200" i="6"/>
  <c r="AY200" i="6"/>
  <c r="AS200" i="6"/>
  <c r="BM200" i="6"/>
  <c r="AK200" i="6"/>
  <c r="BX200" i="6"/>
  <c r="AP200" i="6"/>
  <c r="BS200" i="6"/>
  <c r="BD200" i="6"/>
  <c r="BH200" i="6"/>
  <c r="CB200" i="6"/>
  <c r="AX200" i="6"/>
  <c r="W197" i="12"/>
  <c r="C198" i="12"/>
  <c r="M198" i="12"/>
  <c r="AO198" i="12"/>
  <c r="O198" i="12"/>
  <c r="N198" i="12" s="1"/>
  <c r="E197" i="6"/>
  <c r="D197" i="12"/>
  <c r="AO200" i="6"/>
  <c r="AT200" i="6"/>
  <c r="E202" i="12"/>
  <c r="F202" i="6"/>
  <c r="D202" i="6"/>
  <c r="C198" i="6"/>
  <c r="O198" i="5"/>
  <c r="AM199" i="5"/>
  <c r="I199" i="12"/>
  <c r="L199" i="5"/>
  <c r="I199" i="5"/>
  <c r="Z199" i="5"/>
  <c r="AC199" i="5"/>
  <c r="AN200" i="6"/>
  <c r="BA200" i="6"/>
  <c r="AZ200" i="6"/>
  <c r="BR200" i="6"/>
  <c r="BZ200" i="6"/>
  <c r="CM200" i="6"/>
  <c r="BK200" i="6"/>
  <c r="BE200" i="6"/>
  <c r="BJ200" i="6"/>
  <c r="AA198" i="5"/>
  <c r="AB198" i="5"/>
  <c r="T196" i="12"/>
  <c r="U196" i="12"/>
  <c r="V196" i="12"/>
  <c r="CJ201" i="6" l="1"/>
  <c r="BV201" i="6"/>
  <c r="AO201" i="6"/>
  <c r="AQ201" i="6"/>
  <c r="AM201" i="6"/>
  <c r="BC201" i="6"/>
  <c r="AP201" i="6"/>
  <c r="CD201" i="6"/>
  <c r="CK201" i="6"/>
  <c r="CH201" i="6"/>
  <c r="Y198" i="12"/>
  <c r="X198" i="12" s="1"/>
  <c r="CI201" i="6"/>
  <c r="BI201" i="6"/>
  <c r="CC201" i="6"/>
  <c r="BS201" i="6"/>
  <c r="AN201" i="6"/>
  <c r="BN201" i="6"/>
  <c r="AZ201" i="6"/>
  <c r="BR201" i="6"/>
  <c r="BH201" i="6"/>
  <c r="CB201" i="6"/>
  <c r="AW201" i="6"/>
  <c r="AK201" i="6"/>
  <c r="CF201" i="6"/>
  <c r="AR201" i="6"/>
  <c r="AU201" i="6"/>
  <c r="BG201" i="6"/>
  <c r="CA201" i="6"/>
  <c r="CE201" i="6"/>
  <c r="C199" i="12"/>
  <c r="M199" i="12"/>
  <c r="AO199" i="12"/>
  <c r="O199" i="12"/>
  <c r="N202" i="6"/>
  <c r="G202" i="6"/>
  <c r="H202" i="6"/>
  <c r="T202" i="5" s="1"/>
  <c r="M202" i="6"/>
  <c r="CC202" i="6" s="1"/>
  <c r="CM202" i="6"/>
  <c r="BY202" i="6"/>
  <c r="CK202" i="6"/>
  <c r="U197" i="12"/>
  <c r="V197" i="12"/>
  <c r="T197" i="12"/>
  <c r="AS201" i="6"/>
  <c r="BX201" i="6"/>
  <c r="BW201" i="6"/>
  <c r="AL201" i="6"/>
  <c r="BY201" i="6"/>
  <c r="BZ201" i="6"/>
  <c r="G201" i="12"/>
  <c r="X201" i="5"/>
  <c r="AJ201" i="6" s="1"/>
  <c r="AX201" i="6"/>
  <c r="BL201" i="6"/>
  <c r="BE201" i="6"/>
  <c r="E203" i="12"/>
  <c r="F203" i="6"/>
  <c r="J203" i="12"/>
  <c r="L203" i="12"/>
  <c r="K203" i="12" s="1"/>
  <c r="B204" i="5"/>
  <c r="AD204" i="5"/>
  <c r="F204" i="5"/>
  <c r="AE204" i="5"/>
  <c r="N204" i="5"/>
  <c r="A204" i="12"/>
  <c r="D204" i="5"/>
  <c r="B204" i="12" s="1"/>
  <c r="R204" i="5"/>
  <c r="G204" i="5"/>
  <c r="H204" i="5"/>
  <c r="K204" i="5"/>
  <c r="W204" i="5"/>
  <c r="H204" i="12" s="1"/>
  <c r="E204" i="5"/>
  <c r="J204" i="5"/>
  <c r="B204" i="6"/>
  <c r="C205" i="5"/>
  <c r="AB199" i="5"/>
  <c r="AA199" i="5"/>
  <c r="D198" i="12"/>
  <c r="E198" i="6"/>
  <c r="BO201" i="6"/>
  <c r="CL201" i="6"/>
  <c r="AV201" i="6"/>
  <c r="BP201" i="6"/>
  <c r="CM201" i="6"/>
  <c r="CG201" i="6"/>
  <c r="D203" i="6"/>
  <c r="C199" i="6"/>
  <c r="O199" i="5"/>
  <c r="AM200" i="5"/>
  <c r="L200" i="5"/>
  <c r="I200" i="12"/>
  <c r="Z200" i="5"/>
  <c r="I200" i="5"/>
  <c r="AC200" i="5"/>
  <c r="BA201" i="6"/>
  <c r="BT201" i="6"/>
  <c r="BF201" i="6"/>
  <c r="AY201" i="6"/>
  <c r="BD201" i="6"/>
  <c r="BQ201" i="6"/>
  <c r="AT201" i="6"/>
  <c r="BM201" i="6"/>
  <c r="K202" i="12"/>
  <c r="W198" i="12" l="1"/>
  <c r="AT202" i="6"/>
  <c r="CB202" i="6"/>
  <c r="AW202" i="6"/>
  <c r="N199" i="12"/>
  <c r="BM202" i="6"/>
  <c r="BJ202" i="6"/>
  <c r="CJ202" i="6"/>
  <c r="BR202" i="6"/>
  <c r="G202" i="12"/>
  <c r="X202" i="5"/>
  <c r="AJ202" i="6" s="1"/>
  <c r="CL202" i="6"/>
  <c r="AX202" i="6"/>
  <c r="BK202" i="6"/>
  <c r="CA202" i="6"/>
  <c r="BE202" i="6"/>
  <c r="C200" i="6"/>
  <c r="O200" i="5"/>
  <c r="H203" i="6"/>
  <c r="T203" i="5" s="1"/>
  <c r="N203" i="6"/>
  <c r="M203" i="6"/>
  <c r="CJ203" i="6" s="1"/>
  <c r="BW203" i="6"/>
  <c r="CL203" i="6"/>
  <c r="BJ203" i="6"/>
  <c r="CB203" i="6"/>
  <c r="G203" i="6"/>
  <c r="AQ203" i="6"/>
  <c r="L204" i="12"/>
  <c r="J204" i="12"/>
  <c r="AM201" i="5"/>
  <c r="L201" i="5"/>
  <c r="I201" i="12"/>
  <c r="Z201" i="5"/>
  <c r="I201" i="5"/>
  <c r="AC201" i="5"/>
  <c r="BF202" i="6"/>
  <c r="AU202" i="6"/>
  <c r="AQ202" i="6"/>
  <c r="BN202" i="6"/>
  <c r="BZ202" i="6"/>
  <c r="BP202" i="6"/>
  <c r="AP202" i="6"/>
  <c r="BS202" i="6"/>
  <c r="CH202" i="6"/>
  <c r="AN202" i="6"/>
  <c r="AO202" i="6"/>
  <c r="BT202" i="6"/>
  <c r="AV202" i="6"/>
  <c r="BW202" i="6"/>
  <c r="Y199" i="12"/>
  <c r="C200" i="12"/>
  <c r="AO200" i="12"/>
  <c r="M200" i="12"/>
  <c r="O200" i="12"/>
  <c r="G205" i="5"/>
  <c r="E205" i="5"/>
  <c r="F205" i="5"/>
  <c r="W205" i="5"/>
  <c r="H205" i="12" s="1"/>
  <c r="B205" i="6"/>
  <c r="N205" i="5"/>
  <c r="H205" i="5"/>
  <c r="K205" i="5"/>
  <c r="J205" i="5"/>
  <c r="C206" i="5"/>
  <c r="B205" i="5"/>
  <c r="AE205" i="5"/>
  <c r="R205" i="5"/>
  <c r="A205" i="12"/>
  <c r="D205" i="5"/>
  <c r="B205" i="12" s="1"/>
  <c r="AD205" i="5"/>
  <c r="D204" i="6"/>
  <c r="BX202" i="6"/>
  <c r="BQ202" i="6"/>
  <c r="CI202" i="6"/>
  <c r="CD202" i="6"/>
  <c r="AS202" i="6"/>
  <c r="AK202" i="6"/>
  <c r="AL202" i="6"/>
  <c r="BG202" i="6"/>
  <c r="CE202" i="6"/>
  <c r="BL202" i="6"/>
  <c r="AB200" i="5"/>
  <c r="AA200" i="5"/>
  <c r="E199" i="6"/>
  <c r="D199" i="12"/>
  <c r="F204" i="6"/>
  <c r="E204" i="12"/>
  <c r="T198" i="12"/>
  <c r="U198" i="12"/>
  <c r="V198" i="12"/>
  <c r="AM202" i="6"/>
  <c r="CF202" i="6"/>
  <c r="BO202" i="6"/>
  <c r="BC202" i="6"/>
  <c r="BI202" i="6"/>
  <c r="AZ202" i="6"/>
  <c r="BH202" i="6"/>
  <c r="AY202" i="6"/>
  <c r="BV202" i="6"/>
  <c r="CG202" i="6"/>
  <c r="BA202" i="6"/>
  <c r="AR202" i="6"/>
  <c r="BD202" i="6"/>
  <c r="AL203" i="6" l="1"/>
  <c r="BM203" i="6"/>
  <c r="AK203" i="6"/>
  <c r="Y200" i="12"/>
  <c r="X200" i="12" s="1"/>
  <c r="BS203" i="6"/>
  <c r="CF203" i="6"/>
  <c r="AY203" i="6"/>
  <c r="AM203" i="6"/>
  <c r="CM203" i="6"/>
  <c r="BY203" i="6"/>
  <c r="BO203" i="6"/>
  <c r="CG203" i="6"/>
  <c r="CI203" i="6"/>
  <c r="AP203" i="6"/>
  <c r="BV203" i="6"/>
  <c r="BF203" i="6"/>
  <c r="AW203" i="6"/>
  <c r="BL203" i="6"/>
  <c r="BP203" i="6"/>
  <c r="BH203" i="6"/>
  <c r="AO203" i="6"/>
  <c r="BQ203" i="6"/>
  <c r="BD203" i="6"/>
  <c r="CH203" i="6"/>
  <c r="N204" i="6"/>
  <c r="M204" i="6"/>
  <c r="BG204" i="6" s="1"/>
  <c r="H204" i="6"/>
  <c r="T204" i="5" s="1"/>
  <c r="CG204" i="6"/>
  <c r="CA204" i="6"/>
  <c r="CJ204" i="6"/>
  <c r="BT204" i="6"/>
  <c r="BZ204" i="6"/>
  <c r="BP204" i="6"/>
  <c r="BY204" i="6"/>
  <c r="BC204" i="6"/>
  <c r="CF204" i="6"/>
  <c r="BL204" i="6"/>
  <c r="BM204" i="6"/>
  <c r="BE204" i="6"/>
  <c r="CI204" i="6"/>
  <c r="BD204" i="6"/>
  <c r="BW204" i="6"/>
  <c r="BS204" i="6"/>
  <c r="BQ204" i="6"/>
  <c r="CL204" i="6"/>
  <c r="G204" i="6"/>
  <c r="BR204" i="6"/>
  <c r="BK204" i="6"/>
  <c r="BV204" i="6"/>
  <c r="AB201" i="5"/>
  <c r="AA201" i="5"/>
  <c r="K204" i="12"/>
  <c r="BT203" i="6"/>
  <c r="BG203" i="6"/>
  <c r="AU203" i="6"/>
  <c r="BX203" i="6"/>
  <c r="BA203" i="6"/>
  <c r="AV203" i="6"/>
  <c r="BK203" i="6"/>
  <c r="J205" i="12"/>
  <c r="L205" i="12"/>
  <c r="W200" i="12"/>
  <c r="C201" i="12"/>
  <c r="AO201" i="12"/>
  <c r="O201" i="12"/>
  <c r="M201" i="12"/>
  <c r="AX203" i="6"/>
  <c r="CC203" i="6"/>
  <c r="CE203" i="6"/>
  <c r="BN203" i="6"/>
  <c r="AR203" i="6"/>
  <c r="BR203" i="6"/>
  <c r="BI203" i="6"/>
  <c r="CK203" i="6"/>
  <c r="J206" i="5"/>
  <c r="B206" i="6"/>
  <c r="N206" i="5"/>
  <c r="R206" i="5"/>
  <c r="AE206" i="5"/>
  <c r="G206" i="5"/>
  <c r="AD206" i="5"/>
  <c r="C207" i="5"/>
  <c r="H206" i="5"/>
  <c r="K206" i="5"/>
  <c r="B206" i="5"/>
  <c r="F206" i="5"/>
  <c r="E206" i="5"/>
  <c r="W206" i="5"/>
  <c r="H206" i="12" s="1"/>
  <c r="D206" i="5"/>
  <c r="B206" i="12" s="1"/>
  <c r="A206" i="12"/>
  <c r="C201" i="6"/>
  <c r="O201" i="5"/>
  <c r="AT203" i="6"/>
  <c r="AZ203" i="6"/>
  <c r="CD203" i="6"/>
  <c r="G203" i="12"/>
  <c r="X203" i="5"/>
  <c r="AJ203" i="6" s="1"/>
  <c r="AM202" i="5"/>
  <c r="L202" i="5"/>
  <c r="I202" i="12"/>
  <c r="Z202" i="5"/>
  <c r="I202" i="5"/>
  <c r="AC202" i="5"/>
  <c r="E205" i="12"/>
  <c r="F205" i="6"/>
  <c r="D205" i="6"/>
  <c r="N200" i="12"/>
  <c r="W199" i="12"/>
  <c r="X199" i="12"/>
  <c r="BE203" i="6"/>
  <c r="CA203" i="6"/>
  <c r="BZ203" i="6"/>
  <c r="AN203" i="6"/>
  <c r="AS203" i="6"/>
  <c r="BC203" i="6"/>
  <c r="D200" i="12"/>
  <c r="E200" i="6"/>
  <c r="AM204" i="6" l="1"/>
  <c r="AO204" i="6"/>
  <c r="AU204" i="6"/>
  <c r="AX204" i="6"/>
  <c r="AW204" i="6"/>
  <c r="AZ204" i="6"/>
  <c r="Y201" i="12"/>
  <c r="AK204" i="6"/>
  <c r="BA204" i="6"/>
  <c r="AS204" i="6"/>
  <c r="K205" i="12"/>
  <c r="AA202" i="5"/>
  <c r="AB202" i="5"/>
  <c r="C202" i="12"/>
  <c r="O202" i="12"/>
  <c r="AO202" i="12"/>
  <c r="M202" i="12"/>
  <c r="E201" i="6"/>
  <c r="D201" i="12"/>
  <c r="J206" i="12"/>
  <c r="L206" i="12"/>
  <c r="F206" i="6"/>
  <c r="E206" i="12"/>
  <c r="U200" i="12"/>
  <c r="V200" i="12"/>
  <c r="T200" i="12"/>
  <c r="AL204" i="6"/>
  <c r="AY204" i="6"/>
  <c r="CM204" i="6"/>
  <c r="BX204" i="6"/>
  <c r="CD204" i="6"/>
  <c r="I203" i="12"/>
  <c r="AM203" i="5"/>
  <c r="L203" i="5"/>
  <c r="I203" i="5"/>
  <c r="Z203" i="5"/>
  <c r="AC203" i="5"/>
  <c r="C202" i="6"/>
  <c r="O202" i="5"/>
  <c r="D206" i="6"/>
  <c r="N201" i="12"/>
  <c r="BJ204" i="6"/>
  <c r="BN204" i="6"/>
  <c r="CH204" i="6"/>
  <c r="AQ204" i="6"/>
  <c r="AV204" i="6"/>
  <c r="CB204" i="6"/>
  <c r="BH204" i="6"/>
  <c r="M205" i="6"/>
  <c r="BJ205" i="6" s="1"/>
  <c r="H205" i="6"/>
  <c r="T205" i="5" s="1"/>
  <c r="AS205" i="6"/>
  <c r="G205" i="6"/>
  <c r="BY205" i="6"/>
  <c r="BN205" i="6"/>
  <c r="N205" i="6"/>
  <c r="BZ205" i="6"/>
  <c r="BR205" i="6"/>
  <c r="F207" i="5"/>
  <c r="AD207" i="5"/>
  <c r="G207" i="5"/>
  <c r="D207" i="5"/>
  <c r="B207" i="12" s="1"/>
  <c r="W207" i="5"/>
  <c r="H207" i="12" s="1"/>
  <c r="B207" i="5"/>
  <c r="C208" i="5"/>
  <c r="E207" i="5"/>
  <c r="R207" i="5"/>
  <c r="B207" i="6"/>
  <c r="K207" i="5"/>
  <c r="H207" i="5"/>
  <c r="N207" i="5"/>
  <c r="AE207" i="5"/>
  <c r="A207" i="12"/>
  <c r="J207" i="5"/>
  <c r="W201" i="12"/>
  <c r="X201" i="12"/>
  <c r="BI204" i="6"/>
  <c r="AR204" i="6"/>
  <c r="BF204" i="6"/>
  <c r="CC204" i="6"/>
  <c r="AP204" i="6"/>
  <c r="BO204" i="6"/>
  <c r="CE204" i="6"/>
  <c r="CK204" i="6"/>
  <c r="T199" i="12"/>
  <c r="V199" i="12"/>
  <c r="U199" i="12"/>
  <c r="G204" i="12"/>
  <c r="X204" i="5"/>
  <c r="AN204" i="6"/>
  <c r="AT204" i="6"/>
  <c r="BI205" i="6" l="1"/>
  <c r="CG205" i="6"/>
  <c r="CL205" i="6"/>
  <c r="AN205" i="6"/>
  <c r="AU205" i="6"/>
  <c r="BA205" i="6"/>
  <c r="AZ205" i="6"/>
  <c r="K206" i="12"/>
  <c r="AV205" i="6"/>
  <c r="BE205" i="6"/>
  <c r="BV205" i="6"/>
  <c r="BL205" i="6"/>
  <c r="BH205" i="6"/>
  <c r="AL205" i="6"/>
  <c r="CM205" i="6"/>
  <c r="AM205" i="6"/>
  <c r="CA205" i="6"/>
  <c r="AP205" i="6"/>
  <c r="BK205" i="6"/>
  <c r="BS205" i="6"/>
  <c r="AO205" i="6"/>
  <c r="CK205" i="6"/>
  <c r="CE205" i="6"/>
  <c r="CB205" i="6"/>
  <c r="CC205" i="6"/>
  <c r="BD205" i="6"/>
  <c r="BC205" i="6"/>
  <c r="CJ205" i="6"/>
  <c r="BF205" i="6"/>
  <c r="BM205" i="6"/>
  <c r="BQ205" i="6"/>
  <c r="AK205" i="6"/>
  <c r="BX205" i="6"/>
  <c r="BG205" i="6"/>
  <c r="CI205" i="6"/>
  <c r="CH205" i="6"/>
  <c r="AR205" i="6"/>
  <c r="BO205" i="6"/>
  <c r="BP205" i="6"/>
  <c r="AT205" i="6"/>
  <c r="AW205" i="6"/>
  <c r="CD205" i="6"/>
  <c r="CF205" i="6"/>
  <c r="BT205" i="6"/>
  <c r="BW205" i="6"/>
  <c r="N202" i="12"/>
  <c r="AY205" i="6"/>
  <c r="G206" i="6"/>
  <c r="H206" i="6"/>
  <c r="T206" i="5" s="1"/>
  <c r="N206" i="6"/>
  <c r="M206" i="6"/>
  <c r="CE206" i="6" s="1"/>
  <c r="AB203" i="5"/>
  <c r="AA203" i="5"/>
  <c r="C203" i="12"/>
  <c r="O203" i="12"/>
  <c r="AO203" i="12"/>
  <c r="M203" i="12"/>
  <c r="D207" i="6"/>
  <c r="J207" i="12"/>
  <c r="L207" i="12"/>
  <c r="C209" i="5"/>
  <c r="AE208" i="5"/>
  <c r="N208" i="5"/>
  <c r="E208" i="5"/>
  <c r="AD208" i="5"/>
  <c r="G208" i="5"/>
  <c r="K208" i="5"/>
  <c r="A208" i="12"/>
  <c r="J208" i="5"/>
  <c r="B208" i="5"/>
  <c r="R208" i="5"/>
  <c r="F208" i="5"/>
  <c r="W208" i="5"/>
  <c r="H208" i="12" s="1"/>
  <c r="D208" i="5"/>
  <c r="B208" i="12" s="1"/>
  <c r="B208" i="6"/>
  <c r="H208" i="5"/>
  <c r="E202" i="6"/>
  <c r="D202" i="12"/>
  <c r="E207" i="12"/>
  <c r="F207" i="6"/>
  <c r="I204" i="12"/>
  <c r="AM204" i="5"/>
  <c r="L204" i="5"/>
  <c r="Z204" i="5"/>
  <c r="I204" i="5"/>
  <c r="AC204" i="5"/>
  <c r="AJ204" i="6"/>
  <c r="T201" i="12"/>
  <c r="U201" i="12"/>
  <c r="V201" i="12"/>
  <c r="G205" i="12"/>
  <c r="X205" i="5"/>
  <c r="AX205" i="6"/>
  <c r="AQ205" i="6"/>
  <c r="C203" i="6"/>
  <c r="O203" i="5"/>
  <c r="Y202" i="12"/>
  <c r="CH206" i="6" l="1"/>
  <c r="N203" i="12"/>
  <c r="AQ206" i="6"/>
  <c r="K207" i="12"/>
  <c r="Y203" i="12"/>
  <c r="AL206" i="6"/>
  <c r="BJ206" i="6"/>
  <c r="AS206" i="6"/>
  <c r="AZ206" i="6"/>
  <c r="BR206" i="6"/>
  <c r="BX206" i="6"/>
  <c r="BA206" i="6"/>
  <c r="CC206" i="6"/>
  <c r="CD206" i="6"/>
  <c r="BE206" i="6"/>
  <c r="AO206" i="6"/>
  <c r="CM206" i="6"/>
  <c r="L208" i="12"/>
  <c r="J208" i="12"/>
  <c r="X203" i="12"/>
  <c r="W203" i="12"/>
  <c r="BP206" i="6"/>
  <c r="BC206" i="6"/>
  <c r="G206" i="12"/>
  <c r="X206" i="5"/>
  <c r="CI206" i="6"/>
  <c r="BH206" i="6"/>
  <c r="CF206" i="6"/>
  <c r="C204" i="12"/>
  <c r="M204" i="12"/>
  <c r="AO204" i="12"/>
  <c r="O204" i="12"/>
  <c r="E208" i="12"/>
  <c r="F208" i="6"/>
  <c r="D208" i="6"/>
  <c r="M207" i="6"/>
  <c r="CJ207" i="6" s="1"/>
  <c r="CC207" i="6"/>
  <c r="BP207" i="6"/>
  <c r="CH207" i="6"/>
  <c r="G207" i="6"/>
  <c r="BJ207" i="6"/>
  <c r="BT207" i="6"/>
  <c r="CM207" i="6"/>
  <c r="N207" i="6"/>
  <c r="CD207" i="6"/>
  <c r="H207" i="6"/>
  <c r="T207" i="5" s="1"/>
  <c r="BZ206" i="6"/>
  <c r="AK206" i="6"/>
  <c r="BG206" i="6"/>
  <c r="BK206" i="6"/>
  <c r="BL206" i="6"/>
  <c r="AT206" i="6"/>
  <c r="BT206" i="6"/>
  <c r="BO206" i="6"/>
  <c r="X202" i="12"/>
  <c r="W202" i="12"/>
  <c r="D203" i="12"/>
  <c r="E203" i="6"/>
  <c r="I205" i="12"/>
  <c r="L205" i="5"/>
  <c r="AM205" i="5"/>
  <c r="Z205" i="5"/>
  <c r="I205" i="5"/>
  <c r="AC205" i="5"/>
  <c r="AJ205" i="6"/>
  <c r="AB204" i="5"/>
  <c r="AA204" i="5"/>
  <c r="BF206" i="6"/>
  <c r="AN206" i="6"/>
  <c r="AM206" i="6"/>
  <c r="BQ206" i="6"/>
  <c r="CK206" i="6"/>
  <c r="AP206" i="6"/>
  <c r="AX206" i="6"/>
  <c r="BS206" i="6"/>
  <c r="AW206" i="6"/>
  <c r="AY206" i="6"/>
  <c r="BN206" i="6"/>
  <c r="CG206" i="6"/>
  <c r="BM206" i="6"/>
  <c r="C204" i="6"/>
  <c r="O204" i="5"/>
  <c r="D209" i="5"/>
  <c r="B209" i="12" s="1"/>
  <c r="B209" i="5"/>
  <c r="C210" i="5" s="1"/>
  <c r="H209" i="5"/>
  <c r="B209" i="6"/>
  <c r="G209" i="5"/>
  <c r="F209" i="5"/>
  <c r="E209" i="5"/>
  <c r="A209" i="12"/>
  <c r="AE209" i="5"/>
  <c r="R209" i="5"/>
  <c r="W209" i="5"/>
  <c r="H209" i="12" s="1"/>
  <c r="J209" i="5"/>
  <c r="K209" i="5"/>
  <c r="AD209" i="5"/>
  <c r="N209" i="5"/>
  <c r="CB206" i="6"/>
  <c r="BV206" i="6"/>
  <c r="AV206" i="6"/>
  <c r="AJ206" i="6"/>
  <c r="BI206" i="6"/>
  <c r="BY206" i="6"/>
  <c r="CA206" i="6"/>
  <c r="AU206" i="6"/>
  <c r="BW206" i="6"/>
  <c r="BD206" i="6"/>
  <c r="CJ206" i="6"/>
  <c r="AR206" i="6"/>
  <c r="CL206" i="6"/>
  <c r="CA207" i="6" l="1"/>
  <c r="BO207" i="6"/>
  <c r="BQ207" i="6"/>
  <c r="BN207" i="6"/>
  <c r="BF207" i="6"/>
  <c r="BI207" i="6"/>
  <c r="Y204" i="12"/>
  <c r="CB207" i="6"/>
  <c r="CI207" i="6"/>
  <c r="BC207" i="6"/>
  <c r="BZ207" i="6"/>
  <c r="BG207" i="6"/>
  <c r="CG207" i="6"/>
  <c r="BV207" i="6"/>
  <c r="CL207" i="6"/>
  <c r="CE207" i="6"/>
  <c r="K208" i="12"/>
  <c r="BH207" i="6"/>
  <c r="BX207" i="6"/>
  <c r="BS207" i="6"/>
  <c r="BY207" i="6"/>
  <c r="BW207" i="6"/>
  <c r="BM207" i="6"/>
  <c r="CK207" i="6"/>
  <c r="BK207" i="6"/>
  <c r="BR207" i="6"/>
  <c r="BE207" i="6"/>
  <c r="BD207" i="6"/>
  <c r="CF207" i="6"/>
  <c r="BL207" i="6"/>
  <c r="AY207" i="6"/>
  <c r="AU207" i="6"/>
  <c r="AP207" i="6"/>
  <c r="AT207" i="6"/>
  <c r="BA207" i="6"/>
  <c r="E209" i="12"/>
  <c r="F209" i="6"/>
  <c r="E204" i="6"/>
  <c r="D204" i="12"/>
  <c r="AA205" i="5"/>
  <c r="AB205" i="5"/>
  <c r="AO207" i="6"/>
  <c r="AL207" i="6"/>
  <c r="AN207" i="6"/>
  <c r="AV207" i="6"/>
  <c r="AQ207" i="6"/>
  <c r="D209" i="6"/>
  <c r="G207" i="12"/>
  <c r="X207" i="5"/>
  <c r="AS207" i="6"/>
  <c r="AZ207" i="6"/>
  <c r="AR207" i="6"/>
  <c r="AW207" i="6"/>
  <c r="AK207" i="6"/>
  <c r="I206" i="12"/>
  <c r="L206" i="5"/>
  <c r="AM206" i="5"/>
  <c r="I206" i="5"/>
  <c r="Z206" i="5"/>
  <c r="AC206" i="5"/>
  <c r="T203" i="12"/>
  <c r="V203" i="12"/>
  <c r="U203" i="12"/>
  <c r="J209" i="12"/>
  <c r="L209" i="12"/>
  <c r="F210" i="5"/>
  <c r="W210" i="5"/>
  <c r="H210" i="12" s="1"/>
  <c r="H210" i="5"/>
  <c r="A210" i="12"/>
  <c r="AE210" i="5"/>
  <c r="C211" i="5"/>
  <c r="B210" i="5"/>
  <c r="AD210" i="5"/>
  <c r="I210" i="5"/>
  <c r="B210" i="6"/>
  <c r="G210" i="5"/>
  <c r="N210" i="5"/>
  <c r="E210" i="5"/>
  <c r="C205" i="6"/>
  <c r="O205" i="5"/>
  <c r="U202" i="12"/>
  <c r="V202" i="12"/>
  <c r="T202" i="12"/>
  <c r="AX207" i="6"/>
  <c r="M208" i="6"/>
  <c r="BY208" i="6" s="1"/>
  <c r="BV208" i="6"/>
  <c r="G208" i="6"/>
  <c r="N208" i="6"/>
  <c r="H208" i="6"/>
  <c r="T208" i="5" s="1"/>
  <c r="CI208" i="6"/>
  <c r="N204" i="12"/>
  <c r="C205" i="12"/>
  <c r="O205" i="12"/>
  <c r="AO205" i="12"/>
  <c r="M205" i="12"/>
  <c r="AM207" i="6"/>
  <c r="X204" i="12"/>
  <c r="W204" i="12"/>
  <c r="CG208" i="6" l="1"/>
  <c r="BE208" i="6"/>
  <c r="CD208" i="6"/>
  <c r="BG208" i="6"/>
  <c r="BM208" i="6"/>
  <c r="Y205" i="12"/>
  <c r="BC208" i="6"/>
  <c r="CL208" i="6"/>
  <c r="CA208" i="6"/>
  <c r="AZ208" i="6"/>
  <c r="K209" i="12"/>
  <c r="N205" i="12"/>
  <c r="BZ208" i="6"/>
  <c r="U204" i="12"/>
  <c r="V204" i="12"/>
  <c r="T204" i="12"/>
  <c r="AW208" i="6"/>
  <c r="AK208" i="6"/>
  <c r="BA208" i="6"/>
  <c r="AM208" i="6"/>
  <c r="BO208" i="6"/>
  <c r="BD208" i="6"/>
  <c r="CK208" i="6"/>
  <c r="AX208" i="6"/>
  <c r="CH208" i="6"/>
  <c r="BH208" i="6"/>
  <c r="AN208" i="6"/>
  <c r="AP208" i="6"/>
  <c r="CF208" i="6"/>
  <c r="BQ208" i="6"/>
  <c r="CM208" i="6"/>
  <c r="BL208" i="6"/>
  <c r="CC208" i="6"/>
  <c r="BJ208" i="6"/>
  <c r="CB208" i="6"/>
  <c r="BX208" i="6"/>
  <c r="AY208" i="6"/>
  <c r="BP208" i="6"/>
  <c r="AQ208" i="6"/>
  <c r="BW208" i="6"/>
  <c r="AR208" i="6"/>
  <c r="CJ208" i="6"/>
  <c r="BT208" i="6"/>
  <c r="BN208" i="6"/>
  <c r="D210" i="6"/>
  <c r="AM207" i="5"/>
  <c r="L207" i="5"/>
  <c r="I207" i="12"/>
  <c r="Z207" i="5"/>
  <c r="I207" i="5"/>
  <c r="AC207" i="5"/>
  <c r="AJ207" i="6"/>
  <c r="X205" i="12"/>
  <c r="W205" i="12"/>
  <c r="G208" i="12"/>
  <c r="X208" i="5"/>
  <c r="AJ208" i="6" s="1"/>
  <c r="C206" i="6"/>
  <c r="O206" i="5"/>
  <c r="CE208" i="6"/>
  <c r="AT208" i="6"/>
  <c r="BR208" i="6"/>
  <c r="AU208" i="6"/>
  <c r="AO208" i="6"/>
  <c r="BS208" i="6"/>
  <c r="AL208" i="6"/>
  <c r="AS208" i="6"/>
  <c r="BF208" i="6"/>
  <c r="BK208" i="6"/>
  <c r="AV208" i="6"/>
  <c r="BI208" i="6"/>
  <c r="E205" i="6"/>
  <c r="D205" i="12"/>
  <c r="AD211" i="5"/>
  <c r="H211" i="5"/>
  <c r="B211" i="6"/>
  <c r="A211" i="12"/>
  <c r="F211" i="5"/>
  <c r="B211" i="5"/>
  <c r="C212" i="5" s="1"/>
  <c r="W211" i="5"/>
  <c r="H211" i="12" s="1"/>
  <c r="E211" i="5"/>
  <c r="K211" i="5"/>
  <c r="AE211" i="5"/>
  <c r="R211" i="5"/>
  <c r="N211" i="5"/>
  <c r="D211" i="5"/>
  <c r="B211" i="12" s="1"/>
  <c r="J211" i="5"/>
  <c r="G211" i="5"/>
  <c r="AB206" i="5"/>
  <c r="AA206" i="5"/>
  <c r="C206" i="12"/>
  <c r="AO206" i="12"/>
  <c r="Y206" i="12" s="1"/>
  <c r="M206" i="12"/>
  <c r="O206" i="12"/>
  <c r="G209" i="6"/>
  <c r="N209" i="6"/>
  <c r="H209" i="6"/>
  <c r="T209" i="5" s="1"/>
  <c r="M209" i="6"/>
  <c r="BQ209" i="6" s="1"/>
  <c r="N206" i="12" l="1"/>
  <c r="H212" i="5"/>
  <c r="B212" i="5"/>
  <c r="N212" i="5"/>
  <c r="E212" i="5"/>
  <c r="AE212" i="5"/>
  <c r="C213" i="5"/>
  <c r="I212" i="5"/>
  <c r="G212" i="5"/>
  <c r="F212" i="5"/>
  <c r="B212" i="6"/>
  <c r="W212" i="5"/>
  <c r="H212" i="12" s="1"/>
  <c r="A212" i="12"/>
  <c r="AD212" i="5"/>
  <c r="BL209" i="6"/>
  <c r="BG209" i="6"/>
  <c r="AP209" i="6"/>
  <c r="CB209" i="6"/>
  <c r="CJ209" i="6"/>
  <c r="AQ209" i="6"/>
  <c r="D211" i="6"/>
  <c r="AR209" i="6"/>
  <c r="AN209" i="6"/>
  <c r="CE209" i="6"/>
  <c r="CL209" i="6"/>
  <c r="CA209" i="6"/>
  <c r="AB207" i="5"/>
  <c r="AA207" i="5"/>
  <c r="CI209" i="6"/>
  <c r="AS209" i="6"/>
  <c r="D206" i="12"/>
  <c r="E206" i="6"/>
  <c r="T205" i="12"/>
  <c r="U205" i="12"/>
  <c r="V205" i="12"/>
  <c r="BC209" i="6"/>
  <c r="AO209" i="6"/>
  <c r="BS209" i="6"/>
  <c r="BN209" i="6"/>
  <c r="AT209" i="6"/>
  <c r="BT209" i="6"/>
  <c r="AM209" i="6"/>
  <c r="CF209" i="6"/>
  <c r="E211" i="12"/>
  <c r="F211" i="6"/>
  <c r="BV209" i="6"/>
  <c r="BD209" i="6"/>
  <c r="AL209" i="6"/>
  <c r="AW209" i="6"/>
  <c r="AU209" i="6"/>
  <c r="CH209" i="6"/>
  <c r="BW209" i="6"/>
  <c r="AX209" i="6"/>
  <c r="CD209" i="6"/>
  <c r="CM209" i="6"/>
  <c r="AK209" i="6"/>
  <c r="CG209" i="6"/>
  <c r="BK209" i="6"/>
  <c r="BY209" i="6"/>
  <c r="J211" i="12"/>
  <c r="L211" i="12"/>
  <c r="AM208" i="5"/>
  <c r="L208" i="5"/>
  <c r="I208" i="12"/>
  <c r="Z208" i="5"/>
  <c r="I208" i="5"/>
  <c r="AC208" i="5"/>
  <c r="C207" i="12"/>
  <c r="AO207" i="12"/>
  <c r="O207" i="12"/>
  <c r="M207" i="12"/>
  <c r="BW210" i="6"/>
  <c r="CD210" i="6"/>
  <c r="BT210" i="6"/>
  <c r="BR210" i="6"/>
  <c r="CB210" i="6"/>
  <c r="BG210" i="6"/>
  <c r="CF210" i="6"/>
  <c r="BL210" i="6"/>
  <c r="BP210" i="6"/>
  <c r="CE210" i="6"/>
  <c r="N210" i="6"/>
  <c r="CK210" i="6"/>
  <c r="BZ210" i="6"/>
  <c r="G210" i="6"/>
  <c r="BD210" i="6"/>
  <c r="BJ210" i="6"/>
  <c r="BX210" i="6"/>
  <c r="BO210" i="6"/>
  <c r="BY210" i="6"/>
  <c r="BE210" i="6"/>
  <c r="BM210" i="6"/>
  <c r="CI210" i="6"/>
  <c r="M210" i="6"/>
  <c r="BQ210" i="6"/>
  <c r="BV210" i="6"/>
  <c r="BN210" i="6"/>
  <c r="BI210" i="6"/>
  <c r="CL210" i="6"/>
  <c r="BK210" i="6"/>
  <c r="BC210" i="6"/>
  <c r="CH210" i="6"/>
  <c r="H210" i="6"/>
  <c r="T210" i="5" s="1"/>
  <c r="G210" i="12" s="1"/>
  <c r="CM210" i="6"/>
  <c r="CA210" i="6"/>
  <c r="BF210" i="6"/>
  <c r="AW210" i="6"/>
  <c r="CC210" i="6"/>
  <c r="CJ210" i="6"/>
  <c r="BS210" i="6"/>
  <c r="CG210" i="6"/>
  <c r="BH210" i="6"/>
  <c r="BA209" i="6"/>
  <c r="BR209" i="6"/>
  <c r="BI209" i="6"/>
  <c r="BX209" i="6"/>
  <c r="BM209" i="6"/>
  <c r="BP209" i="6"/>
  <c r="BZ209" i="6"/>
  <c r="CK209" i="6"/>
  <c r="BH209" i="6"/>
  <c r="AV209" i="6"/>
  <c r="CC209" i="6"/>
  <c r="BE209" i="6"/>
  <c r="G209" i="12"/>
  <c r="X209" i="5"/>
  <c r="AY209" i="6"/>
  <c r="BO209" i="6"/>
  <c r="BF209" i="6"/>
  <c r="AZ209" i="6"/>
  <c r="BJ209" i="6"/>
  <c r="W206" i="12"/>
  <c r="X206" i="12"/>
  <c r="C207" i="6"/>
  <c r="O207" i="5"/>
  <c r="K210" i="5"/>
  <c r="AR210" i="6" l="1"/>
  <c r="AS210" i="6"/>
  <c r="AY210" i="6"/>
  <c r="AN210" i="6"/>
  <c r="K211" i="12"/>
  <c r="L209" i="5"/>
  <c r="AM209" i="5"/>
  <c r="I209" i="12"/>
  <c r="I209" i="5"/>
  <c r="Z209" i="5"/>
  <c r="AC209" i="5"/>
  <c r="AP210" i="6"/>
  <c r="AZ210" i="6"/>
  <c r="AL210" i="6"/>
  <c r="C208" i="6"/>
  <c r="O208" i="5"/>
  <c r="M211" i="6"/>
  <c r="BG211" i="6" s="1"/>
  <c r="CH211" i="6"/>
  <c r="CB211" i="6"/>
  <c r="BO211" i="6"/>
  <c r="CC211" i="6"/>
  <c r="BQ211" i="6"/>
  <c r="CD211" i="6"/>
  <c r="CA211" i="6"/>
  <c r="BH211" i="6"/>
  <c r="CJ211" i="6"/>
  <c r="BP211" i="6"/>
  <c r="BK211" i="6"/>
  <c r="G211" i="6"/>
  <c r="H211" i="6"/>
  <c r="T211" i="5" s="1"/>
  <c r="CM211" i="6"/>
  <c r="BY211" i="6"/>
  <c r="BJ211" i="6"/>
  <c r="BF211" i="6"/>
  <c r="CE211" i="6"/>
  <c r="BS211" i="6"/>
  <c r="BT211" i="6"/>
  <c r="CF211" i="6"/>
  <c r="BN211" i="6"/>
  <c r="CI211" i="6"/>
  <c r="CG211" i="6"/>
  <c r="BC211" i="6"/>
  <c r="N211" i="6"/>
  <c r="BD211" i="6"/>
  <c r="BZ211" i="6"/>
  <c r="AP211" i="6"/>
  <c r="BI211" i="6"/>
  <c r="CK211" i="6"/>
  <c r="AR211" i="6"/>
  <c r="BR211" i="6"/>
  <c r="CL211" i="6"/>
  <c r="D207" i="12"/>
  <c r="E207" i="6"/>
  <c r="AX210" i="6"/>
  <c r="AQ210" i="6"/>
  <c r="N207" i="12"/>
  <c r="AJ209" i="6"/>
  <c r="D212" i="6"/>
  <c r="U206" i="12"/>
  <c r="T206" i="12"/>
  <c r="V206" i="12"/>
  <c r="AU210" i="6"/>
  <c r="AT210" i="6"/>
  <c r="BA210" i="6"/>
  <c r="AK210" i="6"/>
  <c r="AV210" i="6"/>
  <c r="Y207" i="12"/>
  <c r="AB208" i="5"/>
  <c r="AA208" i="5"/>
  <c r="H213" i="5"/>
  <c r="G213" i="5"/>
  <c r="B213" i="6"/>
  <c r="N213" i="5"/>
  <c r="AD213" i="5"/>
  <c r="C214" i="5"/>
  <c r="E213" i="5"/>
  <c r="R213" i="5"/>
  <c r="K213" i="5"/>
  <c r="B213" i="5"/>
  <c r="A213" i="12"/>
  <c r="W213" i="5"/>
  <c r="H213" i="12" s="1"/>
  <c r="J213" i="5"/>
  <c r="D213" i="5"/>
  <c r="B213" i="12" s="1"/>
  <c r="F213" i="5"/>
  <c r="AE213" i="5"/>
  <c r="AM210" i="6"/>
  <c r="AO210" i="6"/>
  <c r="AJ210" i="6"/>
  <c r="C208" i="12"/>
  <c r="M208" i="12"/>
  <c r="O208" i="12"/>
  <c r="AO208" i="12"/>
  <c r="BV211" i="6" l="1"/>
  <c r="Y208" i="12"/>
  <c r="N208" i="12"/>
  <c r="AO211" i="6"/>
  <c r="AU211" i="6"/>
  <c r="AS211" i="6"/>
  <c r="BW211" i="6"/>
  <c r="BX211" i="6"/>
  <c r="W207" i="12"/>
  <c r="X207" i="12"/>
  <c r="G211" i="12"/>
  <c r="X211" i="5"/>
  <c r="BA211" i="6"/>
  <c r="AY211" i="6"/>
  <c r="AX211" i="6"/>
  <c r="F213" i="6"/>
  <c r="E213" i="12"/>
  <c r="D213" i="6"/>
  <c r="AK211" i="6"/>
  <c r="AM211" i="6"/>
  <c r="AW211" i="6"/>
  <c r="BE211" i="6"/>
  <c r="BL211" i="6"/>
  <c r="D208" i="12"/>
  <c r="E208" i="6"/>
  <c r="C209" i="12"/>
  <c r="O209" i="12"/>
  <c r="N209" i="12" s="1"/>
  <c r="M209" i="12"/>
  <c r="AO209" i="12"/>
  <c r="L213" i="12"/>
  <c r="J213" i="12"/>
  <c r="AJ211" i="6"/>
  <c r="AQ211" i="6"/>
  <c r="AV211" i="6"/>
  <c r="X208" i="12"/>
  <c r="W208" i="12"/>
  <c r="E214" i="5"/>
  <c r="C215" i="5"/>
  <c r="H214" i="5"/>
  <c r="R214" i="5"/>
  <c r="W214" i="5"/>
  <c r="H214" i="12" s="1"/>
  <c r="F214" i="5"/>
  <c r="N214" i="5"/>
  <c r="J214" i="5"/>
  <c r="AD214" i="5"/>
  <c r="A214" i="12"/>
  <c r="B214" i="5"/>
  <c r="G214" i="5"/>
  <c r="B214" i="6"/>
  <c r="D214" i="5"/>
  <c r="B214" i="12" s="1"/>
  <c r="K214" i="5"/>
  <c r="AE214" i="5"/>
  <c r="BD212" i="6"/>
  <c r="BV212" i="6"/>
  <c r="BX212" i="6"/>
  <c r="BG212" i="6"/>
  <c r="CC212" i="6"/>
  <c r="BP212" i="6"/>
  <c r="CL212" i="6"/>
  <c r="BK212" i="6"/>
  <c r="CB212" i="6"/>
  <c r="N212" i="6"/>
  <c r="BN212" i="6"/>
  <c r="CK212" i="6"/>
  <c r="BJ212" i="6"/>
  <c r="CE212" i="6"/>
  <c r="BW212" i="6"/>
  <c r="CM212" i="6"/>
  <c r="BQ212" i="6"/>
  <c r="CD212" i="6"/>
  <c r="M212" i="6"/>
  <c r="CH212" i="6"/>
  <c r="BH212" i="6"/>
  <c r="BZ212" i="6"/>
  <c r="CG212" i="6"/>
  <c r="BF212" i="6"/>
  <c r="CF212" i="6"/>
  <c r="BI212" i="6"/>
  <c r="H212" i="6"/>
  <c r="T212" i="5" s="1"/>
  <c r="G212" i="12" s="1"/>
  <c r="CA212" i="6"/>
  <c r="BO212" i="6"/>
  <c r="BR212" i="6"/>
  <c r="AX212" i="6"/>
  <c r="BC212" i="6"/>
  <c r="BE212" i="6"/>
  <c r="BY212" i="6"/>
  <c r="AW212" i="6"/>
  <c r="CJ212" i="6"/>
  <c r="BS212" i="6"/>
  <c r="BM212" i="6"/>
  <c r="BA212" i="6"/>
  <c r="BT212" i="6"/>
  <c r="CI212" i="6"/>
  <c r="G212" i="6"/>
  <c r="BL212" i="6"/>
  <c r="AL211" i="6"/>
  <c r="AZ211" i="6"/>
  <c r="AT211" i="6"/>
  <c r="AN211" i="6"/>
  <c r="BM211" i="6"/>
  <c r="AA209" i="5"/>
  <c r="AB209" i="5"/>
  <c r="C209" i="6"/>
  <c r="O209" i="5"/>
  <c r="K213" i="12" l="1"/>
  <c r="AP212" i="6"/>
  <c r="AJ212" i="6"/>
  <c r="AQ212" i="6"/>
  <c r="AO212" i="6"/>
  <c r="AL212" i="6"/>
  <c r="E209" i="6"/>
  <c r="D209" i="12"/>
  <c r="AV212" i="6"/>
  <c r="AY212" i="6"/>
  <c r="L214" i="12"/>
  <c r="J214" i="12"/>
  <c r="U207" i="12"/>
  <c r="V207" i="12"/>
  <c r="T207" i="12"/>
  <c r="AZ212" i="6"/>
  <c r="AM212" i="6"/>
  <c r="F214" i="6"/>
  <c r="E214" i="12"/>
  <c r="T208" i="12"/>
  <c r="V208" i="12"/>
  <c r="U208" i="12"/>
  <c r="I211" i="12"/>
  <c r="AM211" i="5"/>
  <c r="L211" i="5"/>
  <c r="Z211" i="5"/>
  <c r="I211" i="5"/>
  <c r="AC211" i="5"/>
  <c r="AR212" i="6"/>
  <c r="AU212" i="6"/>
  <c r="AN212" i="6"/>
  <c r="D214" i="6"/>
  <c r="M213" i="6"/>
  <c r="CA213" i="6" s="1"/>
  <c r="G213" i="6"/>
  <c r="CK213" i="6"/>
  <c r="BF213" i="6"/>
  <c r="N213" i="6"/>
  <c r="BZ213" i="6"/>
  <c r="BJ213" i="6"/>
  <c r="H213" i="6"/>
  <c r="T213" i="5" s="1"/>
  <c r="BC213" i="6"/>
  <c r="CB213" i="6"/>
  <c r="BP213" i="6"/>
  <c r="BS213" i="6"/>
  <c r="AS212" i="6"/>
  <c r="AK212" i="6"/>
  <c r="AT212" i="6"/>
  <c r="B215" i="6"/>
  <c r="AE215" i="5"/>
  <c r="J215" i="5"/>
  <c r="AD215" i="5"/>
  <c r="A215" i="12"/>
  <c r="E215" i="5"/>
  <c r="D215" i="5"/>
  <c r="B215" i="12" s="1"/>
  <c r="H215" i="5"/>
  <c r="R215" i="5"/>
  <c r="B215" i="5"/>
  <c r="F215" i="5"/>
  <c r="N215" i="5"/>
  <c r="C216" i="5"/>
  <c r="G215" i="5"/>
  <c r="K215" i="5"/>
  <c r="W215" i="5"/>
  <c r="H215" i="12" s="1"/>
  <c r="Y209" i="12"/>
  <c r="AK213" i="6" l="1"/>
  <c r="AZ213" i="6"/>
  <c r="BE213" i="6"/>
  <c r="BL213" i="6"/>
  <c r="BX213" i="6"/>
  <c r="BD213" i="6"/>
  <c r="CD213" i="6"/>
  <c r="CH213" i="6"/>
  <c r="BR213" i="6"/>
  <c r="CJ213" i="6"/>
  <c r="BM213" i="6"/>
  <c r="CI213" i="6"/>
  <c r="BO213" i="6"/>
  <c r="BT213" i="6"/>
  <c r="BV213" i="6"/>
  <c r="BG213" i="6"/>
  <c r="BH213" i="6"/>
  <c r="BK213" i="6"/>
  <c r="CE213" i="6"/>
  <c r="CM213" i="6"/>
  <c r="BY213" i="6"/>
  <c r="K214" i="12"/>
  <c r="BW213" i="6"/>
  <c r="CF213" i="6"/>
  <c r="CC213" i="6"/>
  <c r="AL213" i="6"/>
  <c r="AO213" i="6"/>
  <c r="BN213" i="6"/>
  <c r="CG213" i="6"/>
  <c r="CL213" i="6"/>
  <c r="BQ213" i="6"/>
  <c r="BI213" i="6"/>
  <c r="AW213" i="6"/>
  <c r="AU213" i="6"/>
  <c r="BA213" i="6"/>
  <c r="AV213" i="6"/>
  <c r="AM213" i="6"/>
  <c r="AY213" i="6"/>
  <c r="AN213" i="6"/>
  <c r="AX213" i="6"/>
  <c r="AT213" i="6"/>
  <c r="AR213" i="6"/>
  <c r="AP213" i="6"/>
  <c r="J216" i="5"/>
  <c r="A216" i="12"/>
  <c r="H216" i="5"/>
  <c r="N216" i="5"/>
  <c r="W216" i="5"/>
  <c r="H216" i="12" s="1"/>
  <c r="C217" i="5"/>
  <c r="K216" i="5"/>
  <c r="E216" i="5"/>
  <c r="B216" i="6"/>
  <c r="B216" i="5"/>
  <c r="AE216" i="5"/>
  <c r="D216" i="5"/>
  <c r="B216" i="12" s="1"/>
  <c r="F216" i="5"/>
  <c r="R216" i="5"/>
  <c r="AD216" i="5"/>
  <c r="G216" i="5"/>
  <c r="F215" i="6"/>
  <c r="E215" i="12"/>
  <c r="AB211" i="5"/>
  <c r="AA211" i="5"/>
  <c r="G214" i="6"/>
  <c r="M214" i="6"/>
  <c r="CC214" i="6" s="1"/>
  <c r="N214" i="6"/>
  <c r="CL214" i="6"/>
  <c r="BC214" i="6"/>
  <c r="BR214" i="6"/>
  <c r="H214" i="6"/>
  <c r="T214" i="5" s="1"/>
  <c r="CM214" i="6"/>
  <c r="CJ214" i="6"/>
  <c r="CG214" i="6"/>
  <c r="BK214" i="6"/>
  <c r="C211" i="6"/>
  <c r="O211" i="5"/>
  <c r="D215" i="6"/>
  <c r="J215" i="12"/>
  <c r="L215" i="12"/>
  <c r="W209" i="12"/>
  <c r="X209" i="12"/>
  <c r="G213" i="12"/>
  <c r="X213" i="5"/>
  <c r="AQ213" i="6"/>
  <c r="AS213" i="6"/>
  <c r="C211" i="12"/>
  <c r="AO211" i="12"/>
  <c r="M211" i="12"/>
  <c r="O211" i="12"/>
  <c r="N211" i="12" s="1"/>
  <c r="BW214" i="6" l="1"/>
  <c r="BN214" i="6"/>
  <c r="CB214" i="6"/>
  <c r="BO214" i="6"/>
  <c r="BH214" i="6"/>
  <c r="BE214" i="6"/>
  <c r="CH214" i="6"/>
  <c r="BD214" i="6"/>
  <c r="CA214" i="6"/>
  <c r="BS214" i="6"/>
  <c r="CI214" i="6"/>
  <c r="BF214" i="6"/>
  <c r="CF214" i="6"/>
  <c r="BZ214" i="6"/>
  <c r="BT214" i="6"/>
  <c r="BL214" i="6"/>
  <c r="BV214" i="6"/>
  <c r="BJ214" i="6"/>
  <c r="CD214" i="6"/>
  <c r="K215" i="12"/>
  <c r="CK214" i="6"/>
  <c r="BQ214" i="6"/>
  <c r="BM214" i="6"/>
  <c r="BI214" i="6"/>
  <c r="BX214" i="6"/>
  <c r="BP214" i="6"/>
  <c r="BG214" i="6"/>
  <c r="AR214" i="6"/>
  <c r="V209" i="12"/>
  <c r="T209" i="12"/>
  <c r="U209" i="12"/>
  <c r="D211" i="12"/>
  <c r="E211" i="6"/>
  <c r="AT214" i="6"/>
  <c r="BA214" i="6"/>
  <c r="AQ214" i="6"/>
  <c r="AK214" i="6"/>
  <c r="AU214" i="6"/>
  <c r="AS214" i="6"/>
  <c r="AY214" i="6"/>
  <c r="AP214" i="6"/>
  <c r="L216" i="12"/>
  <c r="J216" i="12"/>
  <c r="G215" i="6"/>
  <c r="N215" i="6"/>
  <c r="H215" i="6"/>
  <c r="T215" i="5" s="1"/>
  <c r="BA215" i="6"/>
  <c r="CF215" i="6"/>
  <c r="M215" i="6"/>
  <c r="CB215" i="6" s="1"/>
  <c r="AW214" i="6"/>
  <c r="AX214" i="6"/>
  <c r="Y211" i="12"/>
  <c r="I213" i="12"/>
  <c r="AM213" i="5"/>
  <c r="L213" i="5"/>
  <c r="Z213" i="5"/>
  <c r="I213" i="5"/>
  <c r="AC213" i="5"/>
  <c r="AJ213" i="6"/>
  <c r="AO214" i="6"/>
  <c r="AZ214" i="6"/>
  <c r="AL214" i="6"/>
  <c r="CE214" i="6"/>
  <c r="AM214" i="6"/>
  <c r="AN214" i="6"/>
  <c r="G214" i="12"/>
  <c r="X214" i="5"/>
  <c r="AJ214" i="6" s="1"/>
  <c r="BY214" i="6"/>
  <c r="AV214" i="6"/>
  <c r="F216" i="6"/>
  <c r="E216" i="12"/>
  <c r="E217" i="5"/>
  <c r="A217" i="12"/>
  <c r="H217" i="5"/>
  <c r="G217" i="5"/>
  <c r="J217" i="5"/>
  <c r="AE217" i="5"/>
  <c r="N217" i="5"/>
  <c r="R217" i="5"/>
  <c r="W217" i="5"/>
  <c r="H217" i="12" s="1"/>
  <c r="B217" i="6"/>
  <c r="B217" i="5"/>
  <c r="AD217" i="5"/>
  <c r="C218" i="5"/>
  <c r="K217" i="5"/>
  <c r="F217" i="5"/>
  <c r="D217" i="5"/>
  <c r="B217" i="12" s="1"/>
  <c r="D216" i="6"/>
  <c r="CD215" i="6" l="1"/>
  <c r="AX215" i="6"/>
  <c r="BS215" i="6"/>
  <c r="AN215" i="6"/>
  <c r="AK215" i="6"/>
  <c r="BV215" i="6"/>
  <c r="BT215" i="6"/>
  <c r="BL215" i="6"/>
  <c r="BY215" i="6"/>
  <c r="BE215" i="6"/>
  <c r="AQ215" i="6"/>
  <c r="CG215" i="6"/>
  <c r="AP215" i="6"/>
  <c r="BJ215" i="6"/>
  <c r="BR215" i="6"/>
  <c r="CJ215" i="6"/>
  <c r="AL215" i="6"/>
  <c r="AR215" i="6"/>
  <c r="CL215" i="6"/>
  <c r="BQ215" i="6"/>
  <c r="CH215" i="6"/>
  <c r="AZ215" i="6"/>
  <c r="BO215" i="6"/>
  <c r="AT215" i="6"/>
  <c r="BC215" i="6"/>
  <c r="AW215" i="6"/>
  <c r="BZ215" i="6"/>
  <c r="BF215" i="6"/>
  <c r="BM215" i="6"/>
  <c r="BW215" i="6"/>
  <c r="BX215" i="6"/>
  <c r="D217" i="6"/>
  <c r="C213" i="6"/>
  <c r="O213" i="5"/>
  <c r="J217" i="12"/>
  <c r="L217" i="12"/>
  <c r="K217" i="12" s="1"/>
  <c r="G215" i="12"/>
  <c r="X215" i="5"/>
  <c r="BP215" i="6"/>
  <c r="AO215" i="6"/>
  <c r="CE215" i="6"/>
  <c r="BD215" i="6"/>
  <c r="BK215" i="6"/>
  <c r="CI215" i="6"/>
  <c r="K216" i="12"/>
  <c r="M216" i="6"/>
  <c r="BL216" i="6" s="1"/>
  <c r="G216" i="6"/>
  <c r="BQ216" i="6"/>
  <c r="BK216" i="6"/>
  <c r="BR216" i="6"/>
  <c r="N216" i="6"/>
  <c r="CH216" i="6"/>
  <c r="BM216" i="6"/>
  <c r="CA216" i="6"/>
  <c r="H216" i="6"/>
  <c r="T216" i="5" s="1"/>
  <c r="BY216" i="6"/>
  <c r="BC216" i="6"/>
  <c r="AQ216" i="6"/>
  <c r="AE218" i="5"/>
  <c r="F218" i="5"/>
  <c r="K218" i="5"/>
  <c r="W218" i="5"/>
  <c r="H218" i="12" s="1"/>
  <c r="D218" i="5"/>
  <c r="B218" i="12" s="1"/>
  <c r="A218" i="12"/>
  <c r="B218" i="5"/>
  <c r="J218" i="5"/>
  <c r="R218" i="5"/>
  <c r="E218" i="5"/>
  <c r="C219" i="5"/>
  <c r="G218" i="5"/>
  <c r="B218" i="6"/>
  <c r="AD218" i="5"/>
  <c r="N218" i="5"/>
  <c r="H218" i="5"/>
  <c r="C213" i="12"/>
  <c r="O213" i="12"/>
  <c r="AO213" i="12"/>
  <c r="M213" i="12"/>
  <c r="F217" i="6"/>
  <c r="E217" i="12"/>
  <c r="I214" i="12"/>
  <c r="AM214" i="5"/>
  <c r="L214" i="5"/>
  <c r="I214" i="5"/>
  <c r="Z214" i="5"/>
  <c r="AC214" i="5"/>
  <c r="AB213" i="5"/>
  <c r="AA213" i="5"/>
  <c r="X211" i="12"/>
  <c r="W211" i="12"/>
  <c r="AS215" i="6"/>
  <c r="CM215" i="6"/>
  <c r="BH215" i="6"/>
  <c r="CA215" i="6"/>
  <c r="AY215" i="6"/>
  <c r="AU215" i="6"/>
  <c r="BN215" i="6"/>
  <c r="BI215" i="6"/>
  <c r="AM215" i="6"/>
  <c r="CC215" i="6"/>
  <c r="CK215" i="6"/>
  <c r="AV215" i="6"/>
  <c r="BG215" i="6"/>
  <c r="AR216" i="6" l="1"/>
  <c r="AT216" i="6"/>
  <c r="BA216" i="6"/>
  <c r="AX216" i="6"/>
  <c r="CL216" i="6"/>
  <c r="CG216" i="6"/>
  <c r="BF216" i="6"/>
  <c r="BH216" i="6"/>
  <c r="CE216" i="6"/>
  <c r="CB216" i="6"/>
  <c r="BW216" i="6"/>
  <c r="BN216" i="6"/>
  <c r="BI216" i="6"/>
  <c r="BG216" i="6"/>
  <c r="CD216" i="6"/>
  <c r="CI216" i="6"/>
  <c r="CM216" i="6"/>
  <c r="BP216" i="6"/>
  <c r="AS216" i="6"/>
  <c r="BT216" i="6"/>
  <c r="BV216" i="6"/>
  <c r="BD216" i="6"/>
  <c r="BO216" i="6"/>
  <c r="BJ216" i="6"/>
  <c r="AN216" i="6"/>
  <c r="BZ216" i="6"/>
  <c r="BE216" i="6"/>
  <c r="CK216" i="6"/>
  <c r="BS216" i="6"/>
  <c r="AW216" i="6"/>
  <c r="CJ216" i="6"/>
  <c r="CF216" i="6"/>
  <c r="BX216" i="6"/>
  <c r="CC216" i="6"/>
  <c r="N213" i="12"/>
  <c r="AV216" i="6"/>
  <c r="E213" i="6"/>
  <c r="D213" i="12"/>
  <c r="C214" i="6"/>
  <c r="O214" i="5"/>
  <c r="AM216" i="6"/>
  <c r="AP216" i="6"/>
  <c r="AO216" i="6"/>
  <c r="AY216" i="6"/>
  <c r="I215" i="12"/>
  <c r="L215" i="5"/>
  <c r="AM215" i="5"/>
  <c r="Z215" i="5"/>
  <c r="I215" i="5"/>
  <c r="AC215" i="5"/>
  <c r="AJ215" i="6"/>
  <c r="D218" i="6"/>
  <c r="T211" i="12"/>
  <c r="V211" i="12"/>
  <c r="U211" i="12"/>
  <c r="L218" i="12"/>
  <c r="J218" i="12"/>
  <c r="AL216" i="6"/>
  <c r="AZ216" i="6"/>
  <c r="AK216" i="6"/>
  <c r="AB214" i="5"/>
  <c r="AA214" i="5"/>
  <c r="C214" i="12"/>
  <c r="AO214" i="12"/>
  <c r="M214" i="12"/>
  <c r="O214" i="12"/>
  <c r="N214" i="12" s="1"/>
  <c r="Y213" i="12"/>
  <c r="W219" i="5"/>
  <c r="H219" i="12" s="1"/>
  <c r="A219" i="12"/>
  <c r="E219" i="5"/>
  <c r="F219" i="5"/>
  <c r="I219" i="5"/>
  <c r="N219" i="5"/>
  <c r="AE219" i="5"/>
  <c r="H219" i="5"/>
  <c r="B219" i="6"/>
  <c r="AD219" i="5"/>
  <c r="B219" i="5"/>
  <c r="C220" i="5" s="1"/>
  <c r="G219" i="5"/>
  <c r="E218" i="12"/>
  <c r="F218" i="6"/>
  <c r="G216" i="12"/>
  <c r="X216" i="5"/>
  <c r="AJ216" i="6" s="1"/>
  <c r="AU216" i="6"/>
  <c r="N217" i="6"/>
  <c r="G217" i="6"/>
  <c r="M217" i="6"/>
  <c r="BW217" i="6" s="1"/>
  <c r="H217" i="6"/>
  <c r="T217" i="5" s="1"/>
  <c r="CC217" i="6"/>
  <c r="K218" i="12" l="1"/>
  <c r="CI217" i="6"/>
  <c r="BH217" i="6"/>
  <c r="CJ217" i="6"/>
  <c r="BI217" i="6"/>
  <c r="AM217" i="6"/>
  <c r="BA217" i="6"/>
  <c r="BE217" i="6"/>
  <c r="AP217" i="6"/>
  <c r="AY217" i="6"/>
  <c r="D219" i="6"/>
  <c r="C215" i="6"/>
  <c r="O215" i="5"/>
  <c r="BJ217" i="6"/>
  <c r="BX217" i="6"/>
  <c r="C221" i="5"/>
  <c r="I220" i="5"/>
  <c r="N220" i="5"/>
  <c r="B220" i="6"/>
  <c r="A220" i="12"/>
  <c r="AD220" i="5"/>
  <c r="G220" i="5"/>
  <c r="F220" i="5"/>
  <c r="W220" i="5"/>
  <c r="H220" i="12" s="1"/>
  <c r="H220" i="5"/>
  <c r="AE220" i="5"/>
  <c r="B220" i="5"/>
  <c r="E220" i="5"/>
  <c r="E214" i="6"/>
  <c r="D214" i="12"/>
  <c r="CL217" i="6"/>
  <c r="BQ217" i="6"/>
  <c r="CM217" i="6"/>
  <c r="AV217" i="6"/>
  <c r="AS217" i="6"/>
  <c r="BT217" i="6"/>
  <c r="AU217" i="6"/>
  <c r="BD217" i="6"/>
  <c r="AO217" i="6"/>
  <c r="CE217" i="6"/>
  <c r="CD217" i="6"/>
  <c r="AT217" i="6"/>
  <c r="BF217" i="6"/>
  <c r="CH217" i="6"/>
  <c r="BN217" i="6"/>
  <c r="BZ217" i="6"/>
  <c r="BO217" i="6"/>
  <c r="AK217" i="6"/>
  <c r="AX217" i="6"/>
  <c r="CA217" i="6"/>
  <c r="C215" i="12"/>
  <c r="M215" i="12"/>
  <c r="AO215" i="12"/>
  <c r="O215" i="12"/>
  <c r="CK217" i="6"/>
  <c r="W213" i="12"/>
  <c r="X213" i="12"/>
  <c r="G217" i="12"/>
  <c r="X217" i="5"/>
  <c r="AZ217" i="6"/>
  <c r="BK217" i="6"/>
  <c r="AR217" i="6"/>
  <c r="CB217" i="6"/>
  <c r="BS217" i="6"/>
  <c r="BY217" i="6"/>
  <c r="BL217" i="6"/>
  <c r="BR217" i="6"/>
  <c r="AL217" i="6"/>
  <c r="BP217" i="6"/>
  <c r="BM217" i="6"/>
  <c r="CF217" i="6"/>
  <c r="AN217" i="6"/>
  <c r="BG217" i="6"/>
  <c r="CG217" i="6"/>
  <c r="BC217" i="6"/>
  <c r="BV217" i="6"/>
  <c r="AQ217" i="6"/>
  <c r="AW217" i="6"/>
  <c r="I216" i="12"/>
  <c r="AM216" i="5"/>
  <c r="L216" i="5"/>
  <c r="I216" i="5"/>
  <c r="Z216" i="5"/>
  <c r="AC216" i="5"/>
  <c r="Y214" i="12"/>
  <c r="G218" i="6"/>
  <c r="N218" i="6"/>
  <c r="H218" i="6"/>
  <c r="T218" i="5" s="1"/>
  <c r="M218" i="6"/>
  <c r="BT218" i="6" s="1"/>
  <c r="AB215" i="5"/>
  <c r="AA215" i="5"/>
  <c r="AX218" i="6" l="1"/>
  <c r="AM218" i="6"/>
  <c r="CI218" i="6"/>
  <c r="CG218" i="6"/>
  <c r="CD218" i="6"/>
  <c r="BV218" i="6"/>
  <c r="Y215" i="12"/>
  <c r="X215" i="12" s="1"/>
  <c r="BZ218" i="6"/>
  <c r="BK218" i="6"/>
  <c r="BC218" i="6"/>
  <c r="AN218" i="6"/>
  <c r="BF218" i="6"/>
  <c r="CM218" i="6"/>
  <c r="BO218" i="6"/>
  <c r="X214" i="12"/>
  <c r="W214" i="12"/>
  <c r="BW218" i="6"/>
  <c r="BY218" i="6"/>
  <c r="CE218" i="6"/>
  <c r="BL218" i="6"/>
  <c r="AT218" i="6"/>
  <c r="BJ218" i="6"/>
  <c r="BH218" i="6"/>
  <c r="CL218" i="6"/>
  <c r="AU218" i="6"/>
  <c r="BG218" i="6"/>
  <c r="BD218" i="6"/>
  <c r="AZ218" i="6"/>
  <c r="BI218" i="6"/>
  <c r="BQ218" i="6"/>
  <c r="T213" i="12"/>
  <c r="U213" i="12"/>
  <c r="V213" i="12"/>
  <c r="D220" i="6"/>
  <c r="BK219" i="6"/>
  <c r="M219" i="6"/>
  <c r="CG219" i="6"/>
  <c r="CB219" i="6"/>
  <c r="BJ219" i="6"/>
  <c r="BF219" i="6"/>
  <c r="CD219" i="6"/>
  <c r="BR219" i="6"/>
  <c r="BS219" i="6"/>
  <c r="CL219" i="6"/>
  <c r="BM219" i="6"/>
  <c r="H219" i="6"/>
  <c r="T219" i="5" s="1"/>
  <c r="G219" i="12" s="1"/>
  <c r="CI219" i="6"/>
  <c r="BD219" i="6"/>
  <c r="BP219" i="6"/>
  <c r="BG219" i="6"/>
  <c r="BT219" i="6"/>
  <c r="CK219" i="6"/>
  <c r="BX219" i="6"/>
  <c r="BI219" i="6"/>
  <c r="AQ219" i="6"/>
  <c r="BL219" i="6"/>
  <c r="BV219" i="6"/>
  <c r="N219" i="6"/>
  <c r="CC219" i="6"/>
  <c r="CA219" i="6"/>
  <c r="CM219" i="6"/>
  <c r="BC219" i="6"/>
  <c r="CH219" i="6"/>
  <c r="BO219" i="6"/>
  <c r="BQ219" i="6"/>
  <c r="AN219" i="6"/>
  <c r="CF219" i="6"/>
  <c r="CJ219" i="6"/>
  <c r="BW219" i="6"/>
  <c r="G219" i="6"/>
  <c r="BY219" i="6"/>
  <c r="AR219" i="6"/>
  <c r="CE219" i="6"/>
  <c r="BH219" i="6"/>
  <c r="BZ219" i="6"/>
  <c r="BE219" i="6"/>
  <c r="BN219" i="6"/>
  <c r="W215" i="12"/>
  <c r="BS218" i="6"/>
  <c r="G218" i="12"/>
  <c r="X218" i="5"/>
  <c r="CB218" i="6"/>
  <c r="BX218" i="6"/>
  <c r="CH218" i="6"/>
  <c r="AS218" i="6"/>
  <c r="BM218" i="6"/>
  <c r="CK218" i="6"/>
  <c r="AB216" i="5"/>
  <c r="AA216" i="5"/>
  <c r="C216" i="12"/>
  <c r="O216" i="12"/>
  <c r="M216" i="12"/>
  <c r="AO216" i="12"/>
  <c r="I217" i="12"/>
  <c r="L217" i="5"/>
  <c r="AM217" i="5"/>
  <c r="Z217" i="5"/>
  <c r="I217" i="5"/>
  <c r="AC217" i="5"/>
  <c r="AJ217" i="6"/>
  <c r="E215" i="6"/>
  <c r="D215" i="12"/>
  <c r="C216" i="6"/>
  <c r="O216" i="5"/>
  <c r="AY218" i="6"/>
  <c r="AR218" i="6"/>
  <c r="AO218" i="6"/>
  <c r="AW218" i="6"/>
  <c r="CA218" i="6"/>
  <c r="AL218" i="6"/>
  <c r="AK218" i="6"/>
  <c r="CJ218" i="6"/>
  <c r="CC218" i="6"/>
  <c r="BP218" i="6"/>
  <c r="CF218" i="6"/>
  <c r="AQ218" i="6"/>
  <c r="BN218" i="6"/>
  <c r="AP218" i="6"/>
  <c r="BA218" i="6"/>
  <c r="AV218" i="6"/>
  <c r="BR218" i="6"/>
  <c r="BE218" i="6"/>
  <c r="N215" i="12"/>
  <c r="F221" i="5"/>
  <c r="B221" i="6"/>
  <c r="H221" i="5"/>
  <c r="G221" i="5"/>
  <c r="R221" i="5"/>
  <c r="E221" i="5"/>
  <c r="D221" i="5"/>
  <c r="B221" i="12" s="1"/>
  <c r="C222" i="5"/>
  <c r="N221" i="5"/>
  <c r="W221" i="5"/>
  <c r="H221" i="12" s="1"/>
  <c r="K221" i="5"/>
  <c r="J221" i="5"/>
  <c r="A221" i="12"/>
  <c r="AE221" i="5"/>
  <c r="B221" i="5"/>
  <c r="AD221" i="5"/>
  <c r="BA219" i="6" l="1"/>
  <c r="AY219" i="6"/>
  <c r="AW219" i="6"/>
  <c r="AV219" i="6"/>
  <c r="AL219" i="6"/>
  <c r="N216" i="12"/>
  <c r="AX219" i="6"/>
  <c r="L221" i="12"/>
  <c r="J221" i="12"/>
  <c r="C217" i="12"/>
  <c r="AO217" i="12"/>
  <c r="O217" i="12"/>
  <c r="M217" i="12"/>
  <c r="AU219" i="6"/>
  <c r="AM219" i="6"/>
  <c r="AT219" i="6"/>
  <c r="C217" i="6"/>
  <c r="O217" i="5"/>
  <c r="BX220" i="6"/>
  <c r="BJ220" i="6"/>
  <c r="BO220" i="6"/>
  <c r="CF220" i="6"/>
  <c r="M220" i="6"/>
  <c r="BW220" i="6"/>
  <c r="BQ220" i="6"/>
  <c r="BV220" i="6"/>
  <c r="CA220" i="6"/>
  <c r="CM220" i="6"/>
  <c r="G220" i="6"/>
  <c r="BD220" i="6"/>
  <c r="BI220" i="6"/>
  <c r="BZ220" i="6"/>
  <c r="BS220" i="6"/>
  <c r="CB220" i="6"/>
  <c r="BC220" i="6"/>
  <c r="BP220" i="6"/>
  <c r="CG220" i="6"/>
  <c r="CI220" i="6"/>
  <c r="CK220" i="6"/>
  <c r="BT220" i="6"/>
  <c r="BF220" i="6"/>
  <c r="BM220" i="6"/>
  <c r="CJ220" i="6"/>
  <c r="CH220" i="6"/>
  <c r="BL220" i="6"/>
  <c r="N220" i="6"/>
  <c r="BG220" i="6"/>
  <c r="CL220" i="6"/>
  <c r="CD220" i="6"/>
  <c r="BK220" i="6"/>
  <c r="BY220" i="6"/>
  <c r="BE220" i="6"/>
  <c r="BH220" i="6"/>
  <c r="CC220" i="6"/>
  <c r="H220" i="6"/>
  <c r="T220" i="5" s="1"/>
  <c r="G220" i="12" s="1"/>
  <c r="BR220" i="6"/>
  <c r="BN220" i="6"/>
  <c r="CE220" i="6"/>
  <c r="D221" i="6"/>
  <c r="AA217" i="5"/>
  <c r="AB217" i="5"/>
  <c r="Y216" i="12"/>
  <c r="I218" i="12"/>
  <c r="AM218" i="5"/>
  <c r="L218" i="5"/>
  <c r="I218" i="5"/>
  <c r="Z218" i="5"/>
  <c r="AC218" i="5"/>
  <c r="AJ218" i="6"/>
  <c r="AS219" i="6"/>
  <c r="AK219" i="6"/>
  <c r="U214" i="12"/>
  <c r="V214" i="12"/>
  <c r="T214" i="12"/>
  <c r="E221" i="12"/>
  <c r="F221" i="6"/>
  <c r="H222" i="5"/>
  <c r="AD222" i="5"/>
  <c r="E222" i="5"/>
  <c r="W222" i="5"/>
  <c r="H222" i="12" s="1"/>
  <c r="B222" i="5"/>
  <c r="B222" i="6"/>
  <c r="N222" i="5"/>
  <c r="A222" i="12"/>
  <c r="AE222" i="5"/>
  <c r="J222" i="5"/>
  <c r="C223" i="5"/>
  <c r="D222" i="5"/>
  <c r="B222" i="12" s="1"/>
  <c r="R222" i="5"/>
  <c r="K222" i="5"/>
  <c r="G222" i="5"/>
  <c r="F222" i="5"/>
  <c r="E216" i="6"/>
  <c r="D216" i="12"/>
  <c r="V215" i="12"/>
  <c r="T215" i="12"/>
  <c r="U215" i="12"/>
  <c r="AJ219" i="6"/>
  <c r="AP219" i="6"/>
  <c r="AO219" i="6"/>
  <c r="AZ219" i="6"/>
  <c r="K221" i="12" l="1"/>
  <c r="AM220" i="6"/>
  <c r="N217" i="12"/>
  <c r="AK220" i="6"/>
  <c r="AU220" i="6"/>
  <c r="AW220" i="6"/>
  <c r="AQ220" i="6"/>
  <c r="AX220" i="6"/>
  <c r="AZ220" i="6"/>
  <c r="AO220" i="6"/>
  <c r="AV220" i="6"/>
  <c r="AY220" i="6"/>
  <c r="AT220" i="6"/>
  <c r="AR220" i="6"/>
  <c r="Y217" i="12"/>
  <c r="X217" i="12" s="1"/>
  <c r="AS220" i="6"/>
  <c r="BA220" i="6"/>
  <c r="W216" i="12"/>
  <c r="X216" i="12"/>
  <c r="G221" i="6"/>
  <c r="H221" i="6"/>
  <c r="T221" i="5" s="1"/>
  <c r="N221" i="6"/>
  <c r="M221" i="6"/>
  <c r="CE221" i="6" s="1"/>
  <c r="E222" i="12"/>
  <c r="F222" i="6"/>
  <c r="AA218" i="5"/>
  <c r="AB218" i="5"/>
  <c r="D217" i="12"/>
  <c r="E217" i="6"/>
  <c r="W217" i="12"/>
  <c r="D223" i="5"/>
  <c r="B223" i="12" s="1"/>
  <c r="J223" i="5"/>
  <c r="AD223" i="5"/>
  <c r="B223" i="5"/>
  <c r="N223" i="5"/>
  <c r="G223" i="5"/>
  <c r="AE223" i="5"/>
  <c r="H223" i="5"/>
  <c r="B223" i="6"/>
  <c r="E223" i="5"/>
  <c r="R223" i="5"/>
  <c r="W223" i="5"/>
  <c r="H223" i="12" s="1"/>
  <c r="C224" i="5"/>
  <c r="A223" i="12"/>
  <c r="K223" i="5"/>
  <c r="F223" i="5"/>
  <c r="C218" i="6"/>
  <c r="O218" i="5"/>
  <c r="AL220" i="6"/>
  <c r="AN220" i="6"/>
  <c r="AJ220" i="6"/>
  <c r="AP220" i="6"/>
  <c r="D222" i="6"/>
  <c r="C218" i="12"/>
  <c r="O218" i="12"/>
  <c r="AO218" i="12"/>
  <c r="M218" i="12"/>
  <c r="L222" i="12"/>
  <c r="J222" i="12"/>
  <c r="CH221" i="6" l="1"/>
  <c r="BV221" i="6"/>
  <c r="BE221" i="6"/>
  <c r="BP221" i="6"/>
  <c r="Y218" i="12"/>
  <c r="BN221" i="6"/>
  <c r="CM221" i="6"/>
  <c r="AK221" i="6"/>
  <c r="AV221" i="6"/>
  <c r="BJ221" i="6"/>
  <c r="BL221" i="6"/>
  <c r="BG221" i="6"/>
  <c r="AW221" i="6"/>
  <c r="BQ221" i="6"/>
  <c r="CK221" i="6"/>
  <c r="BF221" i="6"/>
  <c r="BS221" i="6"/>
  <c r="X218" i="12"/>
  <c r="W218" i="12"/>
  <c r="L223" i="12"/>
  <c r="J223" i="12"/>
  <c r="N218" i="12"/>
  <c r="D218" i="12"/>
  <c r="E218" i="6"/>
  <c r="F223" i="6"/>
  <c r="E223" i="12"/>
  <c r="V217" i="12"/>
  <c r="T217" i="12"/>
  <c r="U217" i="12"/>
  <c r="CG221" i="6"/>
  <c r="BW221" i="6"/>
  <c r="BK221" i="6"/>
  <c r="CL221" i="6"/>
  <c r="CB221" i="6"/>
  <c r="BY221" i="6"/>
  <c r="AU221" i="6"/>
  <c r="BH221" i="6"/>
  <c r="AL221" i="6"/>
  <c r="BC221" i="6"/>
  <c r="CF221" i="6"/>
  <c r="BX221" i="6"/>
  <c r="BA221" i="6"/>
  <c r="BD221" i="6"/>
  <c r="T216" i="12"/>
  <c r="V216" i="12"/>
  <c r="U216" i="12"/>
  <c r="K222" i="12"/>
  <c r="AD224" i="5"/>
  <c r="B224" i="6"/>
  <c r="G224" i="5"/>
  <c r="E224" i="5"/>
  <c r="B224" i="5"/>
  <c r="H224" i="5"/>
  <c r="A224" i="12"/>
  <c r="D224" i="5"/>
  <c r="B224" i="12" s="1"/>
  <c r="C225" i="5"/>
  <c r="J224" i="5"/>
  <c r="AE224" i="5"/>
  <c r="W224" i="5"/>
  <c r="H224" i="12" s="1"/>
  <c r="F224" i="5"/>
  <c r="R224" i="5"/>
  <c r="K224" i="5"/>
  <c r="N224" i="5"/>
  <c r="AY221" i="6"/>
  <c r="AM221" i="6"/>
  <c r="AP221" i="6"/>
  <c r="CD221" i="6"/>
  <c r="AZ221" i="6"/>
  <c r="CA221" i="6"/>
  <c r="BO221" i="6"/>
  <c r="AO221" i="6"/>
  <c r="BZ221" i="6"/>
  <c r="BT221" i="6"/>
  <c r="AR221" i="6"/>
  <c r="AQ221" i="6"/>
  <c r="AX221" i="6"/>
  <c r="CJ221" i="6"/>
  <c r="G222" i="6"/>
  <c r="N222" i="6"/>
  <c r="H222" i="6"/>
  <c r="T222" i="5" s="1"/>
  <c r="M222" i="6"/>
  <c r="BG222" i="6" s="1"/>
  <c r="CE222" i="6"/>
  <c r="CG222" i="6"/>
  <c r="CA222" i="6"/>
  <c r="D223" i="6"/>
  <c r="BR221" i="6"/>
  <c r="BI221" i="6"/>
  <c r="AS221" i="6"/>
  <c r="AN221" i="6"/>
  <c r="CI221" i="6"/>
  <c r="CC221" i="6"/>
  <c r="G221" i="12"/>
  <c r="X221" i="5"/>
  <c r="BM221" i="6"/>
  <c r="AT221" i="6"/>
  <c r="AU222" i="6" l="1"/>
  <c r="CB222" i="6"/>
  <c r="AL222" i="6"/>
  <c r="CH222" i="6"/>
  <c r="BN222" i="6"/>
  <c r="BI222" i="6"/>
  <c r="AP222" i="6"/>
  <c r="BL222" i="6"/>
  <c r="BF222" i="6"/>
  <c r="AR222" i="6"/>
  <c r="AK222" i="6"/>
  <c r="AV222" i="6"/>
  <c r="CF222" i="6"/>
  <c r="AO222" i="6"/>
  <c r="BJ222" i="6"/>
  <c r="AX222" i="6"/>
  <c r="BK222" i="6"/>
  <c r="BT222" i="6"/>
  <c r="CC222" i="6"/>
  <c r="BA222" i="6"/>
  <c r="CJ222" i="6"/>
  <c r="BR222" i="6"/>
  <c r="CL222" i="6"/>
  <c r="BQ222" i="6"/>
  <c r="AN222" i="6"/>
  <c r="BH222" i="6"/>
  <c r="AW222" i="6"/>
  <c r="CK222" i="6"/>
  <c r="CI222" i="6"/>
  <c r="BO222" i="6"/>
  <c r="BS222" i="6"/>
  <c r="CD222" i="6"/>
  <c r="BZ222" i="6"/>
  <c r="AZ222" i="6"/>
  <c r="AS222" i="6"/>
  <c r="AQ222" i="6"/>
  <c r="BW222" i="6"/>
  <c r="BM222" i="6"/>
  <c r="AM222" i="6"/>
  <c r="I221" i="12"/>
  <c r="L221" i="5"/>
  <c r="AM221" i="5"/>
  <c r="I221" i="5"/>
  <c r="Z221" i="5"/>
  <c r="AC221" i="5"/>
  <c r="AJ221" i="6"/>
  <c r="H223" i="6"/>
  <c r="T223" i="5" s="1"/>
  <c r="N223" i="6"/>
  <c r="M223" i="6"/>
  <c r="BY223" i="6" s="1"/>
  <c r="G223" i="6"/>
  <c r="BK223" i="6"/>
  <c r="CM222" i="6"/>
  <c r="BY222" i="6"/>
  <c r="BD222" i="6"/>
  <c r="AT222" i="6"/>
  <c r="BX222" i="6"/>
  <c r="BE222" i="6"/>
  <c r="BP222" i="6"/>
  <c r="D224" i="6"/>
  <c r="K223" i="12"/>
  <c r="U218" i="12"/>
  <c r="V218" i="12"/>
  <c r="T218" i="12"/>
  <c r="G222" i="12"/>
  <c r="X222" i="5"/>
  <c r="AY222" i="6"/>
  <c r="BC222" i="6"/>
  <c r="BV222" i="6"/>
  <c r="K225" i="5"/>
  <c r="B225" i="6"/>
  <c r="W225" i="5"/>
  <c r="H225" i="12" s="1"/>
  <c r="N225" i="5"/>
  <c r="B225" i="5"/>
  <c r="C226" i="5"/>
  <c r="AE225" i="5"/>
  <c r="R225" i="5"/>
  <c r="E225" i="5"/>
  <c r="AD225" i="5"/>
  <c r="F225" i="5"/>
  <c r="J225" i="5"/>
  <c r="H225" i="5"/>
  <c r="A225" i="12"/>
  <c r="D225" i="5"/>
  <c r="B225" i="12" s="1"/>
  <c r="G225" i="5"/>
  <c r="L224" i="12"/>
  <c r="J224" i="12"/>
  <c r="E224" i="12"/>
  <c r="F224" i="6"/>
  <c r="BP223" i="6" l="1"/>
  <c r="CM223" i="6"/>
  <c r="CB223" i="6"/>
  <c r="BW223" i="6"/>
  <c r="AS223" i="6"/>
  <c r="BM223" i="6"/>
  <c r="BR223" i="6"/>
  <c r="CE223" i="6"/>
  <c r="BE223" i="6"/>
  <c r="BT223" i="6"/>
  <c r="BX223" i="6"/>
  <c r="AR223" i="6"/>
  <c r="BN223" i="6"/>
  <c r="BH223" i="6"/>
  <c r="BQ223" i="6"/>
  <c r="AL223" i="6"/>
  <c r="BD223" i="6"/>
  <c r="BO223" i="6"/>
  <c r="BF223" i="6"/>
  <c r="BJ223" i="6"/>
  <c r="BC223" i="6"/>
  <c r="BZ223" i="6"/>
  <c r="CC223" i="6"/>
  <c r="CI223" i="6"/>
  <c r="CK223" i="6"/>
  <c r="CH223" i="6"/>
  <c r="CJ223" i="6"/>
  <c r="CD223" i="6"/>
  <c r="CF223" i="6"/>
  <c r="BS223" i="6"/>
  <c r="BL223" i="6"/>
  <c r="CL223" i="6"/>
  <c r="CA223" i="6"/>
  <c r="D225" i="6"/>
  <c r="AZ223" i="6"/>
  <c r="F225" i="6"/>
  <c r="E225" i="12"/>
  <c r="L222" i="5"/>
  <c r="AM222" i="5"/>
  <c r="I222" i="12"/>
  <c r="Z222" i="5"/>
  <c r="I222" i="5"/>
  <c r="AC222" i="5"/>
  <c r="AJ222" i="6"/>
  <c r="AT223" i="6"/>
  <c r="AP223" i="6"/>
  <c r="AN223" i="6"/>
  <c r="K224" i="12"/>
  <c r="N226" i="5"/>
  <c r="J226" i="5"/>
  <c r="AD226" i="5"/>
  <c r="W226" i="5"/>
  <c r="H226" i="12" s="1"/>
  <c r="F226" i="5"/>
  <c r="C227" i="5"/>
  <c r="K226" i="5"/>
  <c r="E226" i="5"/>
  <c r="A226" i="12"/>
  <c r="H226" i="5"/>
  <c r="G226" i="5"/>
  <c r="R226" i="5"/>
  <c r="D226" i="5"/>
  <c r="B226" i="12" s="1"/>
  <c r="B226" i="5"/>
  <c r="AE226" i="5"/>
  <c r="B226" i="6"/>
  <c r="BA223" i="6"/>
  <c r="AM223" i="6"/>
  <c r="AX223" i="6"/>
  <c r="AW223" i="6"/>
  <c r="C221" i="6"/>
  <c r="O221" i="5"/>
  <c r="G223" i="12"/>
  <c r="X223" i="5"/>
  <c r="AJ223" i="6" s="1"/>
  <c r="AU223" i="6"/>
  <c r="J225" i="12"/>
  <c r="L225" i="12"/>
  <c r="M224" i="6"/>
  <c r="CD224" i="6" s="1"/>
  <c r="G224" i="6"/>
  <c r="N224" i="6"/>
  <c r="H224" i="6"/>
  <c r="T224" i="5" s="1"/>
  <c r="AQ223" i="6"/>
  <c r="AV223" i="6"/>
  <c r="AY223" i="6"/>
  <c r="BV223" i="6"/>
  <c r="AK223" i="6"/>
  <c r="CG223" i="6"/>
  <c r="BI223" i="6"/>
  <c r="AO223" i="6"/>
  <c r="BG223" i="6"/>
  <c r="AA221" i="5"/>
  <c r="AB221" i="5"/>
  <c r="C221" i="12"/>
  <c r="AO221" i="12"/>
  <c r="M221" i="12"/>
  <c r="O221" i="12"/>
  <c r="BO224" i="6" l="1"/>
  <c r="CM224" i="6"/>
  <c r="BF224" i="6"/>
  <c r="AM224" i="6"/>
  <c r="BM224" i="6"/>
  <c r="BH224" i="6"/>
  <c r="N221" i="12"/>
  <c r="CH224" i="6"/>
  <c r="BN224" i="6"/>
  <c r="BI224" i="6"/>
  <c r="CF224" i="6"/>
  <c r="BZ224" i="6"/>
  <c r="BX224" i="6"/>
  <c r="BG224" i="6"/>
  <c r="BC224" i="6"/>
  <c r="G224" i="12"/>
  <c r="X224" i="5"/>
  <c r="AO224" i="6"/>
  <c r="AR224" i="6"/>
  <c r="AN224" i="6"/>
  <c r="AX224" i="6"/>
  <c r="AP224" i="6"/>
  <c r="AV224" i="6"/>
  <c r="AT224" i="6"/>
  <c r="AJ224" i="6"/>
  <c r="AU224" i="6"/>
  <c r="BA224" i="6"/>
  <c r="BY224" i="6"/>
  <c r="CE224" i="6"/>
  <c r="CC224" i="6"/>
  <c r="AK224" i="6"/>
  <c r="BR224" i="6"/>
  <c r="CL224" i="6"/>
  <c r="BJ224" i="6"/>
  <c r="BW224" i="6"/>
  <c r="AL224" i="6"/>
  <c r="CB224" i="6"/>
  <c r="BP224" i="6"/>
  <c r="CA224" i="6"/>
  <c r="BK224" i="6"/>
  <c r="BQ224" i="6"/>
  <c r="K225" i="12"/>
  <c r="D221" i="12"/>
  <c r="E221" i="6"/>
  <c r="L226" i="12"/>
  <c r="J226" i="12"/>
  <c r="J227" i="5"/>
  <c r="G227" i="5"/>
  <c r="C228" i="5"/>
  <c r="H227" i="5"/>
  <c r="N227" i="5"/>
  <c r="AE227" i="5"/>
  <c r="B227" i="6"/>
  <c r="F227" i="5"/>
  <c r="A227" i="12"/>
  <c r="E227" i="5"/>
  <c r="B227" i="5"/>
  <c r="R227" i="5"/>
  <c r="AD227" i="5"/>
  <c r="W227" i="5"/>
  <c r="H227" i="12" s="1"/>
  <c r="D227" i="5"/>
  <c r="B227" i="12" s="1"/>
  <c r="K227" i="5"/>
  <c r="D226" i="6"/>
  <c r="AA222" i="5"/>
  <c r="AB222" i="5"/>
  <c r="G225" i="6"/>
  <c r="H225" i="6"/>
  <c r="T225" i="5" s="1"/>
  <c r="M225" i="6"/>
  <c r="BJ225" i="6" s="1"/>
  <c r="BT225" i="6"/>
  <c r="N225" i="6"/>
  <c r="CK225" i="6"/>
  <c r="I223" i="12"/>
  <c r="L223" i="5"/>
  <c r="AM223" i="5"/>
  <c r="I223" i="5"/>
  <c r="Z223" i="5"/>
  <c r="AC223" i="5"/>
  <c r="AS224" i="6"/>
  <c r="AY224" i="6"/>
  <c r="CG224" i="6"/>
  <c r="C222" i="6"/>
  <c r="O222" i="5"/>
  <c r="Y221" i="12"/>
  <c r="BT224" i="6"/>
  <c r="CI224" i="6"/>
  <c r="CJ224" i="6"/>
  <c r="AW224" i="6"/>
  <c r="AQ224" i="6"/>
  <c r="BL224" i="6"/>
  <c r="BV224" i="6"/>
  <c r="CK224" i="6"/>
  <c r="BS224" i="6"/>
  <c r="AZ224" i="6"/>
  <c r="BE224" i="6"/>
  <c r="BD224" i="6"/>
  <c r="F226" i="6"/>
  <c r="E226" i="12"/>
  <c r="C222" i="12"/>
  <c r="M222" i="12"/>
  <c r="AO222" i="12"/>
  <c r="O222" i="12"/>
  <c r="BD225" i="6" l="1"/>
  <c r="BS225" i="6"/>
  <c r="BK225" i="6"/>
  <c r="BC225" i="6"/>
  <c r="BQ225" i="6"/>
  <c r="AK225" i="6"/>
  <c r="K226" i="12"/>
  <c r="AU225" i="6"/>
  <c r="AT225" i="6"/>
  <c r="AZ225" i="6"/>
  <c r="AW225" i="6"/>
  <c r="AN225" i="6"/>
  <c r="CI225" i="6"/>
  <c r="BF225" i="6"/>
  <c r="BG225" i="6"/>
  <c r="BE225" i="6"/>
  <c r="CF225" i="6"/>
  <c r="BM225" i="6"/>
  <c r="BP225" i="6"/>
  <c r="CG225" i="6"/>
  <c r="CC225" i="6"/>
  <c r="AP225" i="6"/>
  <c r="CM225" i="6"/>
  <c r="CJ225" i="6"/>
  <c r="CH225" i="6"/>
  <c r="BL225" i="6"/>
  <c r="BY225" i="6"/>
  <c r="AV225" i="6"/>
  <c r="CE225" i="6"/>
  <c r="BZ225" i="6"/>
  <c r="AX225" i="6"/>
  <c r="N222" i="12"/>
  <c r="AL225" i="6"/>
  <c r="BR225" i="6"/>
  <c r="AR225" i="6"/>
  <c r="CA225" i="6"/>
  <c r="BX225" i="6"/>
  <c r="AO225" i="6"/>
  <c r="BW225" i="6"/>
  <c r="BI225" i="6"/>
  <c r="BH225" i="6"/>
  <c r="AY225" i="6"/>
  <c r="AQ225" i="6"/>
  <c r="C223" i="6"/>
  <c r="O223" i="5"/>
  <c r="D227" i="6"/>
  <c r="E227" i="12"/>
  <c r="F227" i="6"/>
  <c r="Y222" i="12"/>
  <c r="C223" i="12"/>
  <c r="AO223" i="12"/>
  <c r="M223" i="12"/>
  <c r="O223" i="12"/>
  <c r="N223" i="12" s="1"/>
  <c r="W221" i="12"/>
  <c r="X221" i="12"/>
  <c r="AM225" i="6"/>
  <c r="BA225" i="6"/>
  <c r="BV225" i="6"/>
  <c r="G225" i="12"/>
  <c r="X225" i="5"/>
  <c r="H226" i="6"/>
  <c r="T226" i="5" s="1"/>
  <c r="N226" i="6"/>
  <c r="G226" i="6"/>
  <c r="M226" i="6"/>
  <c r="BG226" i="6" s="1"/>
  <c r="I224" i="12"/>
  <c r="AM224" i="5"/>
  <c r="L224" i="5"/>
  <c r="Z224" i="5"/>
  <c r="I224" i="5"/>
  <c r="AC224" i="5"/>
  <c r="AA223" i="5"/>
  <c r="AB223" i="5"/>
  <c r="D222" i="12"/>
  <c r="E222" i="6"/>
  <c r="CD225" i="6"/>
  <c r="BN225" i="6"/>
  <c r="BO225" i="6"/>
  <c r="CL225" i="6"/>
  <c r="AJ225" i="6"/>
  <c r="AS225" i="6"/>
  <c r="CB225" i="6"/>
  <c r="J227" i="12"/>
  <c r="L227" i="12"/>
  <c r="E228" i="5"/>
  <c r="H228" i="5"/>
  <c r="B228" i="6"/>
  <c r="R228" i="5"/>
  <c r="C229" i="5"/>
  <c r="A228" i="12"/>
  <c r="K228" i="5"/>
  <c r="D228" i="5"/>
  <c r="B228" i="12" s="1"/>
  <c r="W228" i="5"/>
  <c r="H228" i="12" s="1"/>
  <c r="AE228" i="5"/>
  <c r="G228" i="5"/>
  <c r="B228" i="5"/>
  <c r="AD228" i="5"/>
  <c r="F228" i="5"/>
  <c r="J228" i="5"/>
  <c r="N228" i="5"/>
  <c r="BK226" i="6" l="1"/>
  <c r="CH226" i="6"/>
  <c r="BH226" i="6"/>
  <c r="CJ226" i="6"/>
  <c r="BX226" i="6"/>
  <c r="BE226" i="6"/>
  <c r="BW226" i="6"/>
  <c r="CK226" i="6"/>
  <c r="AW226" i="6"/>
  <c r="BO226" i="6"/>
  <c r="BM226" i="6"/>
  <c r="BZ226" i="6"/>
  <c r="CB226" i="6"/>
  <c r="AU226" i="6"/>
  <c r="CG226" i="6"/>
  <c r="BJ226" i="6"/>
  <c r="BP226" i="6"/>
  <c r="CC226" i="6"/>
  <c r="AT226" i="6"/>
  <c r="AS226" i="6"/>
  <c r="AZ226" i="6"/>
  <c r="AX226" i="6"/>
  <c r="CF226" i="6"/>
  <c r="BT226" i="6"/>
  <c r="CM226" i="6"/>
  <c r="BQ226" i="6"/>
  <c r="CL226" i="6"/>
  <c r="BY226" i="6"/>
  <c r="A229" i="12"/>
  <c r="H229" i="5"/>
  <c r="AD229" i="5"/>
  <c r="R229" i="5"/>
  <c r="G229" i="5"/>
  <c r="J229" i="5"/>
  <c r="F229" i="5"/>
  <c r="C230" i="5"/>
  <c r="E229" i="5"/>
  <c r="AE229" i="5"/>
  <c r="K229" i="5"/>
  <c r="D229" i="5"/>
  <c r="B229" i="12" s="1"/>
  <c r="W229" i="5"/>
  <c r="H229" i="12" s="1"/>
  <c r="B229" i="6"/>
  <c r="B229" i="5"/>
  <c r="N229" i="5"/>
  <c r="C224" i="6"/>
  <c r="O224" i="5"/>
  <c r="G226" i="12"/>
  <c r="X226" i="5"/>
  <c r="AJ226" i="6" s="1"/>
  <c r="X222" i="12"/>
  <c r="W222" i="12"/>
  <c r="G227" i="6"/>
  <c r="M227" i="6"/>
  <c r="BW227" i="6" s="1"/>
  <c r="H227" i="6"/>
  <c r="T227" i="5" s="1"/>
  <c r="N227" i="6"/>
  <c r="BX227" i="6"/>
  <c r="BA226" i="6"/>
  <c r="AR226" i="6"/>
  <c r="AQ226" i="6"/>
  <c r="AL226" i="6"/>
  <c r="AM226" i="6"/>
  <c r="AO226" i="6"/>
  <c r="CD226" i="6"/>
  <c r="AY226" i="6"/>
  <c r="AV226" i="6"/>
  <c r="BD226" i="6"/>
  <c r="AM225" i="5"/>
  <c r="I225" i="12"/>
  <c r="L225" i="5"/>
  <c r="I225" i="5"/>
  <c r="Z225" i="5"/>
  <c r="AC225" i="5"/>
  <c r="D223" i="12"/>
  <c r="E223" i="6"/>
  <c r="AA224" i="5"/>
  <c r="AB224" i="5"/>
  <c r="U221" i="12"/>
  <c r="V221" i="12"/>
  <c r="T221" i="12"/>
  <c r="D228" i="6"/>
  <c r="E228" i="12"/>
  <c r="F228" i="6"/>
  <c r="CI226" i="6"/>
  <c r="BN226" i="6"/>
  <c r="J228" i="12"/>
  <c r="L228" i="12"/>
  <c r="K227" i="12"/>
  <c r="C224" i="12"/>
  <c r="O224" i="12"/>
  <c r="M224" i="12"/>
  <c r="AO224" i="12"/>
  <c r="CE226" i="6"/>
  <c r="BI226" i="6"/>
  <c r="BS226" i="6"/>
  <c r="AK226" i="6"/>
  <c r="AP226" i="6"/>
  <c r="CA226" i="6"/>
  <c r="BC226" i="6"/>
  <c r="BL226" i="6"/>
  <c r="BR226" i="6"/>
  <c r="BV226" i="6"/>
  <c r="BF226" i="6"/>
  <c r="AN226" i="6"/>
  <c r="Y223" i="12"/>
  <c r="K228" i="12" l="1"/>
  <c r="CH227" i="6"/>
  <c r="Y224" i="12"/>
  <c r="CI227" i="6"/>
  <c r="CM227" i="6"/>
  <c r="BR227" i="6"/>
  <c r="BT227" i="6"/>
  <c r="BM227" i="6"/>
  <c r="BI227" i="6"/>
  <c r="CF227" i="6"/>
  <c r="BO227" i="6"/>
  <c r="AY227" i="6"/>
  <c r="CJ227" i="6"/>
  <c r="AV227" i="6"/>
  <c r="BQ227" i="6"/>
  <c r="BP227" i="6"/>
  <c r="CG227" i="6"/>
  <c r="AX227" i="6"/>
  <c r="BS227" i="6"/>
  <c r="BV227" i="6"/>
  <c r="CE227" i="6"/>
  <c r="BH227" i="6"/>
  <c r="BN227" i="6"/>
  <c r="CA227" i="6"/>
  <c r="CK227" i="6"/>
  <c r="AM227" i="6"/>
  <c r="CB227" i="6"/>
  <c r="BK227" i="6"/>
  <c r="BZ227" i="6"/>
  <c r="BJ227" i="6"/>
  <c r="BC227" i="6"/>
  <c r="BL227" i="6"/>
  <c r="AT227" i="6"/>
  <c r="BY227" i="6"/>
  <c r="BD227" i="6"/>
  <c r="T222" i="12"/>
  <c r="V222" i="12"/>
  <c r="U222" i="12"/>
  <c r="D224" i="12"/>
  <c r="E224" i="6"/>
  <c r="E229" i="12"/>
  <c r="F229" i="6"/>
  <c r="X223" i="12"/>
  <c r="W223" i="12"/>
  <c r="N224" i="12"/>
  <c r="N228" i="6"/>
  <c r="H228" i="6"/>
  <c r="T228" i="5" s="1"/>
  <c r="G228" i="6"/>
  <c r="CM228" i="6"/>
  <c r="BN228" i="6"/>
  <c r="CG228" i="6"/>
  <c r="M228" i="6"/>
  <c r="BI228" i="6" s="1"/>
  <c r="BC228" i="6"/>
  <c r="BY228" i="6"/>
  <c r="BV228" i="6"/>
  <c r="BX228" i="6"/>
  <c r="BZ228" i="6"/>
  <c r="C225" i="6"/>
  <c r="O225" i="5"/>
  <c r="BA227" i="6"/>
  <c r="AQ227" i="6"/>
  <c r="AR227" i="6"/>
  <c r="AW227" i="6"/>
  <c r="AZ227" i="6"/>
  <c r="BG227" i="6"/>
  <c r="AK227" i="6"/>
  <c r="CD227" i="6"/>
  <c r="CC227" i="6"/>
  <c r="C225" i="12"/>
  <c r="O225" i="12"/>
  <c r="M225" i="12"/>
  <c r="AO225" i="12"/>
  <c r="G227" i="12"/>
  <c r="X227" i="5"/>
  <c r="AJ227" i="6" s="1"/>
  <c r="AL227" i="6"/>
  <c r="AS227" i="6"/>
  <c r="CL227" i="6"/>
  <c r="BF227" i="6"/>
  <c r="BE227" i="6"/>
  <c r="AP227" i="6"/>
  <c r="L226" i="5"/>
  <c r="I226" i="12"/>
  <c r="AM226" i="5"/>
  <c r="Z226" i="5"/>
  <c r="I226" i="5"/>
  <c r="AC226" i="5"/>
  <c r="X224" i="12"/>
  <c r="W224" i="12"/>
  <c r="AB225" i="5"/>
  <c r="AA225" i="5"/>
  <c r="AU227" i="6"/>
  <c r="AN227" i="6"/>
  <c r="AO227" i="6"/>
  <c r="D229" i="6"/>
  <c r="B230" i="6"/>
  <c r="A230" i="12"/>
  <c r="AD230" i="5"/>
  <c r="R230" i="5"/>
  <c r="B230" i="5"/>
  <c r="F230" i="5"/>
  <c r="C231" i="5"/>
  <c r="AE230" i="5"/>
  <c r="W230" i="5"/>
  <c r="H230" i="12" s="1"/>
  <c r="H230" i="5"/>
  <c r="K230" i="5"/>
  <c r="G230" i="5"/>
  <c r="N230" i="5"/>
  <c r="E230" i="5"/>
  <c r="D230" i="5"/>
  <c r="B230" i="12" s="1"/>
  <c r="J230" i="5"/>
  <c r="J229" i="12"/>
  <c r="L229" i="12"/>
  <c r="Y225" i="12" l="1"/>
  <c r="AO228" i="6"/>
  <c r="BK228" i="6"/>
  <c r="N225" i="12"/>
  <c r="BR228" i="6"/>
  <c r="BF228" i="6"/>
  <c r="AK228" i="6"/>
  <c r="CB228" i="6"/>
  <c r="BM228" i="6"/>
  <c r="BG228" i="6"/>
  <c r="AP228" i="6"/>
  <c r="T224" i="12"/>
  <c r="V224" i="12"/>
  <c r="U224" i="12"/>
  <c r="AA226" i="5"/>
  <c r="AB226" i="5"/>
  <c r="F230" i="6"/>
  <c r="E230" i="12"/>
  <c r="BE228" i="6"/>
  <c r="CL228" i="6"/>
  <c r="BH228" i="6"/>
  <c r="BO228" i="6"/>
  <c r="AT228" i="6"/>
  <c r="BD228" i="6"/>
  <c r="AW228" i="6"/>
  <c r="BA228" i="6"/>
  <c r="CA228" i="6"/>
  <c r="AV228" i="6"/>
  <c r="CE228" i="6"/>
  <c r="BQ228" i="6"/>
  <c r="BP228" i="6"/>
  <c r="W225" i="12"/>
  <c r="X225" i="12"/>
  <c r="K229" i="12"/>
  <c r="D230" i="6"/>
  <c r="A231" i="12"/>
  <c r="E231" i="5"/>
  <c r="G231" i="5"/>
  <c r="R231" i="5"/>
  <c r="C232" i="5"/>
  <c r="F231" i="5"/>
  <c r="AD231" i="5"/>
  <c r="J231" i="5"/>
  <c r="H231" i="5"/>
  <c r="N231" i="5"/>
  <c r="K231" i="5"/>
  <c r="D231" i="5"/>
  <c r="B231" i="12" s="1"/>
  <c r="W231" i="5"/>
  <c r="H231" i="12" s="1"/>
  <c r="AE231" i="5"/>
  <c r="B231" i="5"/>
  <c r="B231" i="6"/>
  <c r="G229" i="6"/>
  <c r="H229" i="6"/>
  <c r="T229" i="5" s="1"/>
  <c r="M229" i="6"/>
  <c r="BO229" i="6" s="1"/>
  <c r="N229" i="6"/>
  <c r="C226" i="12"/>
  <c r="M226" i="12"/>
  <c r="AO226" i="12"/>
  <c r="O226" i="12"/>
  <c r="L227" i="5"/>
  <c r="I227" i="12"/>
  <c r="AM227" i="5"/>
  <c r="Z227" i="5"/>
  <c r="I227" i="5"/>
  <c r="AC227" i="5"/>
  <c r="D225" i="12"/>
  <c r="E225" i="6"/>
  <c r="CC228" i="6"/>
  <c r="AZ228" i="6"/>
  <c r="CJ228" i="6"/>
  <c r="CK228" i="6"/>
  <c r="AN228" i="6"/>
  <c r="AX228" i="6"/>
  <c r="G228" i="12"/>
  <c r="X228" i="5"/>
  <c r="BW228" i="6"/>
  <c r="BT228" i="6"/>
  <c r="AU228" i="6"/>
  <c r="J230" i="12"/>
  <c r="L230" i="12"/>
  <c r="C226" i="6"/>
  <c r="O226" i="5"/>
  <c r="CI228" i="6"/>
  <c r="BL228" i="6"/>
  <c r="AR228" i="6"/>
  <c r="AL228" i="6"/>
  <c r="CH228" i="6"/>
  <c r="BJ228" i="6"/>
  <c r="AM228" i="6"/>
  <c r="AQ228" i="6"/>
  <c r="BS228" i="6"/>
  <c r="CF228" i="6"/>
  <c r="CD228" i="6"/>
  <c r="AS228" i="6"/>
  <c r="AY228" i="6"/>
  <c r="U223" i="12"/>
  <c r="T223" i="12"/>
  <c r="V223" i="12"/>
  <c r="N226" i="12" l="1"/>
  <c r="AP229" i="6"/>
  <c r="K230" i="12"/>
  <c r="CM229" i="6"/>
  <c r="BJ229" i="6"/>
  <c r="AK229" i="6"/>
  <c r="CB229" i="6"/>
  <c r="CJ229" i="6"/>
  <c r="CG229" i="6"/>
  <c r="BI229" i="6"/>
  <c r="CI229" i="6"/>
  <c r="AL229" i="6"/>
  <c r="BR229" i="6"/>
  <c r="BS229" i="6"/>
  <c r="BY229" i="6"/>
  <c r="BH229" i="6"/>
  <c r="BA229" i="6"/>
  <c r="BP229" i="6"/>
  <c r="AR229" i="6"/>
  <c r="AY229" i="6"/>
  <c r="CF229" i="6"/>
  <c r="BL229" i="6"/>
  <c r="AU229" i="6"/>
  <c r="Y226" i="12"/>
  <c r="BG229" i="6"/>
  <c r="BX229" i="6"/>
  <c r="CC229" i="6"/>
  <c r="CK229" i="6"/>
  <c r="AS229" i="6"/>
  <c r="C227" i="12"/>
  <c r="AO227" i="12"/>
  <c r="O227" i="12"/>
  <c r="M227" i="12"/>
  <c r="AN229" i="6"/>
  <c r="BQ229" i="6"/>
  <c r="AM229" i="6"/>
  <c r="AT229" i="6"/>
  <c r="CA229" i="6"/>
  <c r="CL229" i="6"/>
  <c r="BF229" i="6"/>
  <c r="AQ229" i="6"/>
  <c r="CE229" i="6"/>
  <c r="BD229" i="6"/>
  <c r="B232" i="6"/>
  <c r="AE232" i="5"/>
  <c r="E232" i="5"/>
  <c r="C233" i="5"/>
  <c r="B232" i="5"/>
  <c r="H232" i="5"/>
  <c r="J232" i="5"/>
  <c r="F232" i="5"/>
  <c r="A232" i="12"/>
  <c r="D232" i="5"/>
  <c r="B232" i="12" s="1"/>
  <c r="K232" i="5"/>
  <c r="R232" i="5"/>
  <c r="W232" i="5"/>
  <c r="H232" i="12" s="1"/>
  <c r="AD232" i="5"/>
  <c r="G232" i="5"/>
  <c r="N232" i="5"/>
  <c r="X226" i="12"/>
  <c r="W226" i="12"/>
  <c r="E226" i="6"/>
  <c r="D226" i="12"/>
  <c r="C227" i="6"/>
  <c r="O227" i="5"/>
  <c r="BZ229" i="6"/>
  <c r="AW229" i="6"/>
  <c r="CD229" i="6"/>
  <c r="AX229" i="6"/>
  <c r="AV229" i="6"/>
  <c r="BK229" i="6"/>
  <c r="BT229" i="6"/>
  <c r="CH229" i="6"/>
  <c r="AZ229" i="6"/>
  <c r="BC229" i="6"/>
  <c r="BN229" i="6"/>
  <c r="BV229" i="6"/>
  <c r="BW229" i="6"/>
  <c r="BM229" i="6"/>
  <c r="J231" i="12"/>
  <c r="L231" i="12"/>
  <c r="L228" i="5"/>
  <c r="I228" i="12"/>
  <c r="AM228" i="5"/>
  <c r="Z228" i="5"/>
  <c r="I228" i="5"/>
  <c r="AC228" i="5"/>
  <c r="AJ228" i="6"/>
  <c r="AB227" i="5"/>
  <c r="AA227" i="5"/>
  <c r="G229" i="12"/>
  <c r="X229" i="5"/>
  <c r="AO229" i="6"/>
  <c r="BE229" i="6"/>
  <c r="D231" i="6"/>
  <c r="F231" i="6"/>
  <c r="E231" i="12"/>
  <c r="M230" i="6"/>
  <c r="BR230" i="6" s="1"/>
  <c r="G230" i="6"/>
  <c r="BJ230" i="6"/>
  <c r="CM230" i="6"/>
  <c r="BM230" i="6"/>
  <c r="CH230" i="6"/>
  <c r="BH230" i="6"/>
  <c r="BC230" i="6"/>
  <c r="BW230" i="6"/>
  <c r="CF230" i="6"/>
  <c r="CB230" i="6"/>
  <c r="CE230" i="6"/>
  <c r="CL230" i="6"/>
  <c r="BN230" i="6"/>
  <c r="BS230" i="6"/>
  <c r="BO230" i="6"/>
  <c r="H230" i="6"/>
  <c r="T230" i="5" s="1"/>
  <c r="CI230" i="6"/>
  <c r="CD230" i="6"/>
  <c r="BX230" i="6"/>
  <c r="BT230" i="6"/>
  <c r="BE230" i="6"/>
  <c r="CG230" i="6"/>
  <c r="BZ230" i="6"/>
  <c r="BL230" i="6"/>
  <c r="CK230" i="6"/>
  <c r="BV230" i="6"/>
  <c r="BQ230" i="6"/>
  <c r="N230" i="6"/>
  <c r="BY230" i="6"/>
  <c r="BK230" i="6"/>
  <c r="AN230" i="6"/>
  <c r="U225" i="12"/>
  <c r="T225" i="12"/>
  <c r="V225" i="12"/>
  <c r="K231" i="12" l="1"/>
  <c r="AK230" i="6"/>
  <c r="AX230" i="6"/>
  <c r="AP230" i="6"/>
  <c r="AL230" i="6"/>
  <c r="AO230" i="6"/>
  <c r="AZ230" i="6"/>
  <c r="AT230" i="6"/>
  <c r="H231" i="6"/>
  <c r="T231" i="5" s="1"/>
  <c r="M231" i="6"/>
  <c r="BQ231" i="6" s="1"/>
  <c r="G231" i="6"/>
  <c r="BF231" i="6"/>
  <c r="AW231" i="6"/>
  <c r="CK231" i="6"/>
  <c r="BO231" i="6"/>
  <c r="CG231" i="6"/>
  <c r="N231" i="6"/>
  <c r="BY231" i="6"/>
  <c r="AM231" i="6"/>
  <c r="C228" i="12"/>
  <c r="O228" i="12"/>
  <c r="M228" i="12"/>
  <c r="AO228" i="12"/>
  <c r="Y228" i="12" s="1"/>
  <c r="D232" i="6"/>
  <c r="N227" i="12"/>
  <c r="E232" i="12"/>
  <c r="F232" i="6"/>
  <c r="AY230" i="6"/>
  <c r="AU230" i="6"/>
  <c r="CJ230" i="6"/>
  <c r="BI230" i="6"/>
  <c r="BF230" i="6"/>
  <c r="BD230" i="6"/>
  <c r="BG230" i="6"/>
  <c r="CC230" i="6"/>
  <c r="BA230" i="6"/>
  <c r="BP230" i="6"/>
  <c r="CA230" i="6"/>
  <c r="AS230" i="6"/>
  <c r="AV230" i="6"/>
  <c r="AM230" i="6"/>
  <c r="AQ230" i="6"/>
  <c r="C228" i="6"/>
  <c r="O228" i="5"/>
  <c r="D227" i="12"/>
  <c r="E227" i="6"/>
  <c r="U226" i="12"/>
  <c r="V226" i="12"/>
  <c r="T226" i="12"/>
  <c r="AE233" i="5"/>
  <c r="A233" i="12"/>
  <c r="H233" i="5"/>
  <c r="F233" i="5"/>
  <c r="N233" i="5"/>
  <c r="G233" i="5"/>
  <c r="AD233" i="5"/>
  <c r="D233" i="5"/>
  <c r="B233" i="12" s="1"/>
  <c r="B233" i="6"/>
  <c r="E233" i="5"/>
  <c r="R233" i="5"/>
  <c r="J233" i="5"/>
  <c r="B233" i="5"/>
  <c r="C234" i="5" s="1"/>
  <c r="K233" i="5"/>
  <c r="W233" i="5"/>
  <c r="H233" i="12" s="1"/>
  <c r="Y227" i="12"/>
  <c r="AM229" i="5"/>
  <c r="I229" i="12"/>
  <c r="L229" i="5"/>
  <c r="Z229" i="5"/>
  <c r="I229" i="5"/>
  <c r="AC229" i="5"/>
  <c r="AJ229" i="6"/>
  <c r="G230" i="12"/>
  <c r="X230" i="5"/>
  <c r="AW230" i="6"/>
  <c r="AR230" i="6"/>
  <c r="AB228" i="5"/>
  <c r="AA228" i="5"/>
  <c r="J232" i="12"/>
  <c r="L232" i="12"/>
  <c r="BA231" i="6" l="1"/>
  <c r="AV231" i="6"/>
  <c r="AZ231" i="6"/>
  <c r="CJ231" i="6"/>
  <c r="BE231" i="6"/>
  <c r="AN231" i="6"/>
  <c r="BT231" i="6"/>
  <c r="AP231" i="6"/>
  <c r="BL231" i="6"/>
  <c r="BR231" i="6"/>
  <c r="CF231" i="6"/>
  <c r="CA231" i="6"/>
  <c r="AR231" i="6"/>
  <c r="CD231" i="6"/>
  <c r="BH231" i="6"/>
  <c r="CB231" i="6"/>
  <c r="BM231" i="6"/>
  <c r="AY231" i="6"/>
  <c r="C229" i="12"/>
  <c r="AO229" i="12"/>
  <c r="O229" i="12"/>
  <c r="M229" i="12"/>
  <c r="D233" i="6"/>
  <c r="N232" i="6"/>
  <c r="G232" i="6"/>
  <c r="BQ232" i="6"/>
  <c r="H232" i="6"/>
  <c r="T232" i="5" s="1"/>
  <c r="M232" i="6"/>
  <c r="CM232" i="6" s="1"/>
  <c r="BW232" i="6"/>
  <c r="BK232" i="6"/>
  <c r="CI232" i="6"/>
  <c r="CH232" i="6"/>
  <c r="BP232" i="6"/>
  <c r="BE232" i="6"/>
  <c r="CG232" i="6"/>
  <c r="BG232" i="6"/>
  <c r="BY232" i="6"/>
  <c r="BI232" i="6"/>
  <c r="BS232" i="6"/>
  <c r="K232" i="12"/>
  <c r="AM230" i="5"/>
  <c r="L230" i="5"/>
  <c r="I230" i="12"/>
  <c r="Z230" i="5"/>
  <c r="I230" i="5"/>
  <c r="AC230" i="5"/>
  <c r="E233" i="12"/>
  <c r="F233" i="6"/>
  <c r="X228" i="12"/>
  <c r="W228" i="12"/>
  <c r="BV231" i="6"/>
  <c r="CH231" i="6"/>
  <c r="AO231" i="6"/>
  <c r="CM231" i="6"/>
  <c r="BX231" i="6"/>
  <c r="BS231" i="6"/>
  <c r="AX231" i="6"/>
  <c r="BJ231" i="6"/>
  <c r="BG231" i="6"/>
  <c r="AB229" i="5"/>
  <c r="AA229" i="5"/>
  <c r="H234" i="5"/>
  <c r="A234" i="12"/>
  <c r="W234" i="5"/>
  <c r="H234" i="12" s="1"/>
  <c r="N234" i="5"/>
  <c r="C235" i="5"/>
  <c r="F234" i="5"/>
  <c r="I234" i="5"/>
  <c r="B234" i="5"/>
  <c r="G234" i="5"/>
  <c r="B234" i="6"/>
  <c r="AD234" i="5"/>
  <c r="E234" i="5"/>
  <c r="AE234" i="5"/>
  <c r="E228" i="6"/>
  <c r="D228" i="12"/>
  <c r="AJ230" i="6"/>
  <c r="AS231" i="6"/>
  <c r="CI231" i="6"/>
  <c r="BW231" i="6"/>
  <c r="BD231" i="6"/>
  <c r="AK231" i="6"/>
  <c r="BP231" i="6"/>
  <c r="G231" i="12"/>
  <c r="X231" i="5"/>
  <c r="X227" i="12"/>
  <c r="W227" i="12"/>
  <c r="C229" i="6"/>
  <c r="O229" i="5"/>
  <c r="J233" i="12"/>
  <c r="L233" i="12"/>
  <c r="N228" i="12"/>
  <c r="BI231" i="6"/>
  <c r="BZ231" i="6"/>
  <c r="BK231" i="6"/>
  <c r="AQ231" i="6"/>
  <c r="CC231" i="6"/>
  <c r="CE231" i="6"/>
  <c r="AT231" i="6"/>
  <c r="AL231" i="6"/>
  <c r="BC231" i="6"/>
  <c r="CL231" i="6"/>
  <c r="AU231" i="6"/>
  <c r="BN231" i="6"/>
  <c r="CL232" i="6" l="1"/>
  <c r="CB232" i="6"/>
  <c r="CC232" i="6"/>
  <c r="BL232" i="6"/>
  <c r="CF232" i="6"/>
  <c r="CA232" i="6"/>
  <c r="BJ232" i="6"/>
  <c r="BM232" i="6"/>
  <c r="BX232" i="6"/>
  <c r="BO232" i="6"/>
  <c r="BN232" i="6"/>
  <c r="K233" i="12"/>
  <c r="BH232" i="6"/>
  <c r="BC232" i="6"/>
  <c r="G232" i="12"/>
  <c r="X232" i="5"/>
  <c r="AJ232" i="6" s="1"/>
  <c r="C230" i="6"/>
  <c r="O230" i="5"/>
  <c r="AS232" i="6"/>
  <c r="AO232" i="6"/>
  <c r="AR232" i="6"/>
  <c r="N229" i="12"/>
  <c r="C230" i="12"/>
  <c r="AO230" i="12"/>
  <c r="O230" i="12"/>
  <c r="M230" i="12"/>
  <c r="AK232" i="6"/>
  <c r="AZ232" i="6"/>
  <c r="E235" i="5"/>
  <c r="B235" i="5"/>
  <c r="D235" i="5"/>
  <c r="B235" i="12" s="1"/>
  <c r="F235" i="5"/>
  <c r="R235" i="5"/>
  <c r="W235" i="5"/>
  <c r="H235" i="12" s="1"/>
  <c r="AD235" i="5"/>
  <c r="N235" i="5"/>
  <c r="A235" i="12"/>
  <c r="B235" i="6"/>
  <c r="J235" i="5"/>
  <c r="H235" i="5"/>
  <c r="K235" i="5"/>
  <c r="G235" i="5"/>
  <c r="C236" i="5"/>
  <c r="AE235" i="5"/>
  <c r="U228" i="12"/>
  <c r="T228" i="12"/>
  <c r="V228" i="12"/>
  <c r="E229" i="6"/>
  <c r="D229" i="12"/>
  <c r="AM231" i="5"/>
  <c r="L231" i="5"/>
  <c r="I231" i="12"/>
  <c r="I231" i="5"/>
  <c r="Z231" i="5"/>
  <c r="AC231" i="5"/>
  <c r="AJ231" i="6"/>
  <c r="D234" i="6"/>
  <c r="BF232" i="6"/>
  <c r="AV232" i="6"/>
  <c r="BR232" i="6"/>
  <c r="AM232" i="6"/>
  <c r="BA232" i="6"/>
  <c r="AW232" i="6"/>
  <c r="CJ232" i="6"/>
  <c r="AU232" i="6"/>
  <c r="AY232" i="6"/>
  <c r="CE232" i="6"/>
  <c r="AX232" i="6"/>
  <c r="CD232" i="6"/>
  <c r="BD232" i="6"/>
  <c r="CK232" i="6"/>
  <c r="Y229" i="12"/>
  <c r="U227" i="12"/>
  <c r="V227" i="12"/>
  <c r="T227" i="12"/>
  <c r="AA230" i="5"/>
  <c r="AB230" i="5"/>
  <c r="AQ232" i="6"/>
  <c r="AP232" i="6"/>
  <c r="AL232" i="6"/>
  <c r="BV232" i="6"/>
  <c r="BZ232" i="6"/>
  <c r="BT232" i="6"/>
  <c r="AN232" i="6"/>
  <c r="AT232" i="6"/>
  <c r="G233" i="6"/>
  <c r="BS233" i="6"/>
  <c r="M233" i="6"/>
  <c r="CG233" i="6" s="1"/>
  <c r="H233" i="6"/>
  <c r="T233" i="5" s="1"/>
  <c r="BQ233" i="6"/>
  <c r="BD233" i="6"/>
  <c r="BY233" i="6"/>
  <c r="BO233" i="6"/>
  <c r="CJ233" i="6"/>
  <c r="BP233" i="6"/>
  <c r="BA233" i="6"/>
  <c r="N233" i="6"/>
  <c r="BC233" i="6"/>
  <c r="BR233" i="6"/>
  <c r="Y230" i="12" l="1"/>
  <c r="CI233" i="6"/>
  <c r="BI233" i="6"/>
  <c r="BG233" i="6"/>
  <c r="BM233" i="6"/>
  <c r="CF233" i="6"/>
  <c r="CM233" i="6"/>
  <c r="BK233" i="6"/>
  <c r="BZ233" i="6"/>
  <c r="CE233" i="6"/>
  <c r="CL233" i="6"/>
  <c r="CC233" i="6"/>
  <c r="CA233" i="6"/>
  <c r="CK233" i="6"/>
  <c r="BF233" i="6"/>
  <c r="BX233" i="6"/>
  <c r="BT233" i="6"/>
  <c r="BJ233" i="6"/>
  <c r="BN233" i="6"/>
  <c r="CD233" i="6"/>
  <c r="BV233" i="6"/>
  <c r="BW233" i="6"/>
  <c r="N230" i="12"/>
  <c r="CB233" i="6"/>
  <c r="CH233" i="6"/>
  <c r="BE233" i="6"/>
  <c r="G233" i="12"/>
  <c r="X233" i="5"/>
  <c r="AP233" i="6"/>
  <c r="AL233" i="6"/>
  <c r="G236" i="5"/>
  <c r="C237" i="5"/>
  <c r="D236" i="5"/>
  <c r="B236" i="12" s="1"/>
  <c r="R236" i="5"/>
  <c r="E236" i="5"/>
  <c r="B236" i="6"/>
  <c r="H236" i="5"/>
  <c r="F236" i="5"/>
  <c r="AD236" i="5"/>
  <c r="J236" i="5"/>
  <c r="A236" i="12"/>
  <c r="B236" i="5"/>
  <c r="N236" i="5"/>
  <c r="AE236" i="5"/>
  <c r="K236" i="5"/>
  <c r="W236" i="5"/>
  <c r="H236" i="12" s="1"/>
  <c r="D235" i="6"/>
  <c r="X230" i="12"/>
  <c r="W230" i="12"/>
  <c r="AR233" i="6"/>
  <c r="AX233" i="6"/>
  <c r="AQ233" i="6"/>
  <c r="AV233" i="6"/>
  <c r="AS233" i="6"/>
  <c r="BH233" i="6"/>
  <c r="BL233" i="6"/>
  <c r="W229" i="12"/>
  <c r="X229" i="12"/>
  <c r="BG234" i="6"/>
  <c r="CI234" i="6"/>
  <c r="BC234" i="6"/>
  <c r="BY234" i="6"/>
  <c r="CC234" i="6"/>
  <c r="BZ234" i="6"/>
  <c r="G234" i="6"/>
  <c r="BJ234" i="6"/>
  <c r="CL234" i="6"/>
  <c r="BD234" i="6"/>
  <c r="BF234" i="6"/>
  <c r="CK234" i="6"/>
  <c r="BE234" i="6"/>
  <c r="BM234" i="6"/>
  <c r="BW234" i="6"/>
  <c r="CE234" i="6"/>
  <c r="BS234" i="6"/>
  <c r="H234" i="6"/>
  <c r="T234" i="5" s="1"/>
  <c r="G234" i="12" s="1"/>
  <c r="CH234" i="6"/>
  <c r="BT234" i="6"/>
  <c r="CG234" i="6"/>
  <c r="BP234" i="6"/>
  <c r="BH234" i="6"/>
  <c r="BV234" i="6"/>
  <c r="BL234" i="6"/>
  <c r="N234" i="6"/>
  <c r="CM234" i="6"/>
  <c r="CA234" i="6"/>
  <c r="BN234" i="6"/>
  <c r="CB234" i="6"/>
  <c r="BK234" i="6"/>
  <c r="CD234" i="6"/>
  <c r="M234" i="6"/>
  <c r="AZ234" i="6" s="1"/>
  <c r="CF234" i="6"/>
  <c r="BX234" i="6"/>
  <c r="BQ234" i="6"/>
  <c r="BR234" i="6"/>
  <c r="BI234" i="6"/>
  <c r="BO234" i="6"/>
  <c r="CJ234" i="6"/>
  <c r="L232" i="5"/>
  <c r="I232" i="12"/>
  <c r="AM232" i="5"/>
  <c r="Z232" i="5"/>
  <c r="I232" i="5"/>
  <c r="AC232" i="5"/>
  <c r="AM233" i="6"/>
  <c r="AA231" i="5"/>
  <c r="AB231" i="5"/>
  <c r="AN233" i="6"/>
  <c r="AT233" i="6"/>
  <c r="AO233" i="6"/>
  <c r="C231" i="12"/>
  <c r="O231" i="12"/>
  <c r="AO231" i="12"/>
  <c r="M231" i="12"/>
  <c r="AZ233" i="6"/>
  <c r="AK233" i="6"/>
  <c r="AW233" i="6"/>
  <c r="AY233" i="6"/>
  <c r="AU233" i="6"/>
  <c r="C231" i="6"/>
  <c r="O231" i="5"/>
  <c r="J235" i="12"/>
  <c r="L235" i="12"/>
  <c r="K235" i="12" s="1"/>
  <c r="E235" i="12"/>
  <c r="F235" i="6"/>
  <c r="D230" i="12"/>
  <c r="E230" i="6"/>
  <c r="AM234" i="6" l="1"/>
  <c r="AX234" i="6"/>
  <c r="Y231" i="12"/>
  <c r="G235" i="6"/>
  <c r="H235" i="6"/>
  <c r="T235" i="5" s="1"/>
  <c r="N235" i="6"/>
  <c r="M235" i="6"/>
  <c r="BX235" i="6" s="1"/>
  <c r="AA232" i="5"/>
  <c r="AB232" i="5"/>
  <c r="AT234" i="6"/>
  <c r="AP234" i="6"/>
  <c r="AR234" i="6"/>
  <c r="D236" i="6"/>
  <c r="L236" i="12"/>
  <c r="J236" i="12"/>
  <c r="C232" i="6"/>
  <c r="O232" i="5"/>
  <c r="BA234" i="6"/>
  <c r="E236" i="12"/>
  <c r="F236" i="6"/>
  <c r="E231" i="6"/>
  <c r="D231" i="12"/>
  <c r="X231" i="12"/>
  <c r="W231" i="12"/>
  <c r="AK234" i="6"/>
  <c r="AY234" i="6"/>
  <c r="AQ234" i="6"/>
  <c r="AV234" i="6"/>
  <c r="AJ234" i="6"/>
  <c r="U229" i="12"/>
  <c r="T229" i="12"/>
  <c r="V229" i="12"/>
  <c r="T230" i="12"/>
  <c r="U230" i="12"/>
  <c r="V230" i="12"/>
  <c r="B237" i="6"/>
  <c r="AE237" i="5"/>
  <c r="A237" i="12"/>
  <c r="D237" i="5"/>
  <c r="B237" i="12" s="1"/>
  <c r="J237" i="5"/>
  <c r="AD237" i="5"/>
  <c r="E237" i="5"/>
  <c r="N237" i="5"/>
  <c r="G237" i="5"/>
  <c r="H237" i="5"/>
  <c r="B237" i="5"/>
  <c r="C238" i="5" s="1"/>
  <c r="W237" i="5"/>
  <c r="H237" i="12" s="1"/>
  <c r="F237" i="5"/>
  <c r="K237" i="5"/>
  <c r="R237" i="5"/>
  <c r="I233" i="12"/>
  <c r="AM233" i="5"/>
  <c r="L233" i="5"/>
  <c r="Z233" i="5"/>
  <c r="I233" i="5"/>
  <c r="AC233" i="5"/>
  <c r="AJ233" i="6"/>
  <c r="N231" i="12"/>
  <c r="C232" i="12"/>
  <c r="M232" i="12"/>
  <c r="AO232" i="12"/>
  <c r="O232" i="12"/>
  <c r="AU234" i="6"/>
  <c r="AS234" i="6"/>
  <c r="AN234" i="6"/>
  <c r="AO234" i="6"/>
  <c r="AL234" i="6"/>
  <c r="AW234" i="6"/>
  <c r="BI235" i="6" l="1"/>
  <c r="CD235" i="6"/>
  <c r="AM235" i="6"/>
  <c r="BH235" i="6"/>
  <c r="AQ235" i="6"/>
  <c r="N232" i="12"/>
  <c r="BV235" i="6"/>
  <c r="AY235" i="6"/>
  <c r="CF235" i="6"/>
  <c r="AP235" i="6"/>
  <c r="AK235" i="6"/>
  <c r="AW235" i="6"/>
  <c r="AS235" i="6"/>
  <c r="BW235" i="6"/>
  <c r="BR235" i="6"/>
  <c r="BZ235" i="6"/>
  <c r="BG235" i="6"/>
  <c r="AU235" i="6"/>
  <c r="BF235" i="6"/>
  <c r="AO235" i="6"/>
  <c r="BK235" i="6"/>
  <c r="BN235" i="6"/>
  <c r="BP235" i="6"/>
  <c r="CI235" i="6"/>
  <c r="CE235" i="6"/>
  <c r="BC235" i="6"/>
  <c r="AL235" i="6"/>
  <c r="BS235" i="6"/>
  <c r="BQ235" i="6"/>
  <c r="CA235" i="6"/>
  <c r="AB233" i="5"/>
  <c r="AA233" i="5"/>
  <c r="N236" i="6"/>
  <c r="M236" i="6"/>
  <c r="CB236" i="6" s="1"/>
  <c r="BE236" i="6"/>
  <c r="BY236" i="6"/>
  <c r="BV236" i="6"/>
  <c r="H236" i="6"/>
  <c r="T236" i="5" s="1"/>
  <c r="BH236" i="6"/>
  <c r="BD236" i="6"/>
  <c r="BQ236" i="6"/>
  <c r="BX236" i="6"/>
  <c r="BN236" i="6"/>
  <c r="BM236" i="6"/>
  <c r="BI236" i="6"/>
  <c r="BR236" i="6"/>
  <c r="CD236" i="6"/>
  <c r="G236" i="6"/>
  <c r="BP236" i="6"/>
  <c r="CE236" i="6"/>
  <c r="BO236" i="6"/>
  <c r="BT236" i="6"/>
  <c r="BZ236" i="6"/>
  <c r="BG236" i="6"/>
  <c r="CL236" i="6"/>
  <c r="BF236" i="6"/>
  <c r="BJ236" i="6"/>
  <c r="BC236" i="6"/>
  <c r="CM236" i="6"/>
  <c r="AY236" i="6"/>
  <c r="CH236" i="6"/>
  <c r="CI236" i="6"/>
  <c r="CA236" i="6"/>
  <c r="C233" i="6"/>
  <c r="O233" i="5"/>
  <c r="V231" i="12"/>
  <c r="T231" i="12"/>
  <c r="U231" i="12"/>
  <c r="G235" i="12"/>
  <c r="X235" i="5"/>
  <c r="CM235" i="6"/>
  <c r="CG235" i="6"/>
  <c r="CK235" i="6"/>
  <c r="Y232" i="12"/>
  <c r="F237" i="6"/>
  <c r="E237" i="12"/>
  <c r="D237" i="6"/>
  <c r="L237" i="12"/>
  <c r="J237" i="12"/>
  <c r="K236" i="12"/>
  <c r="BD235" i="6"/>
  <c r="BL235" i="6"/>
  <c r="AX235" i="6"/>
  <c r="CC235" i="6"/>
  <c r="BY235" i="6"/>
  <c r="CH235" i="6"/>
  <c r="AT235" i="6"/>
  <c r="BM235" i="6"/>
  <c r="CL235" i="6"/>
  <c r="AJ235" i="6"/>
  <c r="BJ235" i="6"/>
  <c r="CB235" i="6"/>
  <c r="BT235" i="6"/>
  <c r="C239" i="5"/>
  <c r="W238" i="5"/>
  <c r="H238" i="12" s="1"/>
  <c r="B238" i="5"/>
  <c r="A238" i="12"/>
  <c r="B238" i="6"/>
  <c r="H238" i="5"/>
  <c r="AD238" i="5"/>
  <c r="I238" i="5"/>
  <c r="G238" i="5"/>
  <c r="J234" i="5" s="1"/>
  <c r="N238" i="5"/>
  <c r="AE238" i="5"/>
  <c r="F238" i="5"/>
  <c r="E238" i="5"/>
  <c r="D232" i="12"/>
  <c r="E232" i="6"/>
  <c r="C233" i="12"/>
  <c r="O233" i="12"/>
  <c r="AO233" i="12"/>
  <c r="M233" i="12"/>
  <c r="CJ235" i="6"/>
  <c r="AV235" i="6"/>
  <c r="BA235" i="6"/>
  <c r="AR235" i="6"/>
  <c r="BE235" i="6"/>
  <c r="BO235" i="6"/>
  <c r="AN235" i="6"/>
  <c r="AZ235" i="6"/>
  <c r="CK236" i="6" l="1"/>
  <c r="AX236" i="6"/>
  <c r="CG236" i="6"/>
  <c r="BK236" i="6"/>
  <c r="AZ236" i="6"/>
  <c r="AN236" i="6"/>
  <c r="BL236" i="6"/>
  <c r="CC236" i="6"/>
  <c r="CF236" i="6"/>
  <c r="BS236" i="6"/>
  <c r="BW236" i="6"/>
  <c r="CJ236" i="6"/>
  <c r="AU236" i="6"/>
  <c r="D233" i="12"/>
  <c r="E233" i="6"/>
  <c r="G236" i="12"/>
  <c r="X236" i="5"/>
  <c r="AS236" i="6"/>
  <c r="Y233" i="12"/>
  <c r="D238" i="6"/>
  <c r="K237" i="12"/>
  <c r="BA236" i="6"/>
  <c r="AK236" i="6"/>
  <c r="AQ236" i="6"/>
  <c r="AV236" i="6"/>
  <c r="AT236" i="6"/>
  <c r="AM236" i="6"/>
  <c r="G237" i="6"/>
  <c r="N237" i="6"/>
  <c r="BI237" i="6"/>
  <c r="M237" i="6"/>
  <c r="CJ237" i="6" s="1"/>
  <c r="CI237" i="6"/>
  <c r="BM237" i="6"/>
  <c r="H237" i="6"/>
  <c r="T237" i="5" s="1"/>
  <c r="BN237" i="6"/>
  <c r="BK237" i="6"/>
  <c r="CK237" i="6"/>
  <c r="N233" i="12"/>
  <c r="J239" i="5"/>
  <c r="N239" i="5"/>
  <c r="B239" i="5"/>
  <c r="D239" i="5"/>
  <c r="B239" i="12" s="1"/>
  <c r="B239" i="6"/>
  <c r="H239" i="5"/>
  <c r="F239" i="5"/>
  <c r="K239" i="5"/>
  <c r="AE239" i="5"/>
  <c r="W239" i="5"/>
  <c r="H239" i="12" s="1"/>
  <c r="AD239" i="5"/>
  <c r="E239" i="5"/>
  <c r="G239" i="5"/>
  <c r="A239" i="12"/>
  <c r="C240" i="5"/>
  <c r="R239" i="5"/>
  <c r="X232" i="12"/>
  <c r="W232" i="12"/>
  <c r="I235" i="12"/>
  <c r="AM235" i="5"/>
  <c r="L235" i="5"/>
  <c r="Z235" i="5"/>
  <c r="I235" i="5"/>
  <c r="AC235" i="5"/>
  <c r="AL236" i="6"/>
  <c r="AW236" i="6"/>
  <c r="AR236" i="6"/>
  <c r="AP236" i="6"/>
  <c r="AO236" i="6"/>
  <c r="BG237" i="6" l="1"/>
  <c r="BQ237" i="6"/>
  <c r="BC237" i="6"/>
  <c r="BR237" i="6"/>
  <c r="CF237" i="6"/>
  <c r="AP237" i="6"/>
  <c r="CE237" i="6"/>
  <c r="AR237" i="6"/>
  <c r="AY237" i="6"/>
  <c r="AS237" i="6"/>
  <c r="AT237" i="6"/>
  <c r="AZ237" i="6"/>
  <c r="BP237" i="6"/>
  <c r="BY237" i="6"/>
  <c r="AW237" i="6"/>
  <c r="CD237" i="6"/>
  <c r="BL237" i="6"/>
  <c r="AA235" i="5"/>
  <c r="AB235" i="5"/>
  <c r="U232" i="12"/>
  <c r="V232" i="12"/>
  <c r="T232" i="12"/>
  <c r="C235" i="6"/>
  <c r="O235" i="5"/>
  <c r="G237" i="12"/>
  <c r="X237" i="5"/>
  <c r="BW237" i="6"/>
  <c r="AK237" i="6"/>
  <c r="CB237" i="6"/>
  <c r="CC237" i="6"/>
  <c r="AN237" i="6"/>
  <c r="BV237" i="6"/>
  <c r="BS237" i="6"/>
  <c r="AM237" i="6"/>
  <c r="BH237" i="6"/>
  <c r="AU237" i="6"/>
  <c r="AX237" i="6"/>
  <c r="W233" i="12"/>
  <c r="X233" i="12"/>
  <c r="BI238" i="6"/>
  <c r="G238" i="6"/>
  <c r="CF238" i="6"/>
  <c r="BN238" i="6"/>
  <c r="BO238" i="6"/>
  <c r="BT238" i="6"/>
  <c r="BV238" i="6"/>
  <c r="CM238" i="6"/>
  <c r="CA238" i="6"/>
  <c r="BC238" i="6"/>
  <c r="CJ238" i="6"/>
  <c r="BK238" i="6"/>
  <c r="BY238" i="6"/>
  <c r="CG238" i="6"/>
  <c r="CI238" i="6"/>
  <c r="BE238" i="6"/>
  <c r="BW238" i="6"/>
  <c r="BH238" i="6"/>
  <c r="BG238" i="6"/>
  <c r="BM238" i="6"/>
  <c r="BS238" i="6"/>
  <c r="CB238" i="6"/>
  <c r="BJ238" i="6"/>
  <c r="CH238" i="6"/>
  <c r="M238" i="6"/>
  <c r="BZ238" i="6"/>
  <c r="CD238" i="6"/>
  <c r="BR238" i="6"/>
  <c r="BL238" i="6"/>
  <c r="BQ238" i="6"/>
  <c r="BD238" i="6"/>
  <c r="BF238" i="6"/>
  <c r="N238" i="6"/>
  <c r="H238" i="6"/>
  <c r="T238" i="5" s="1"/>
  <c r="G238" i="12" s="1"/>
  <c r="CL238" i="6"/>
  <c r="BP238" i="6"/>
  <c r="CC238" i="6"/>
  <c r="CE238" i="6"/>
  <c r="BX238" i="6"/>
  <c r="CK238" i="6"/>
  <c r="J239" i="12"/>
  <c r="L239" i="12"/>
  <c r="CG237" i="6"/>
  <c r="BZ237" i="6"/>
  <c r="BD237" i="6"/>
  <c r="CL237" i="6"/>
  <c r="AL237" i="6"/>
  <c r="BT237" i="6"/>
  <c r="BO237" i="6"/>
  <c r="F240" i="5"/>
  <c r="K240" i="5"/>
  <c r="G240" i="5"/>
  <c r="AD240" i="5"/>
  <c r="B240" i="5"/>
  <c r="E240" i="5"/>
  <c r="R240" i="5"/>
  <c r="AE240" i="5"/>
  <c r="C241" i="5"/>
  <c r="D240" i="5"/>
  <c r="B240" i="12" s="1"/>
  <c r="H240" i="5"/>
  <c r="N240" i="5"/>
  <c r="J240" i="5"/>
  <c r="W240" i="5"/>
  <c r="H240" i="12" s="1"/>
  <c r="A240" i="12"/>
  <c r="B240" i="6"/>
  <c r="D239" i="6"/>
  <c r="C235" i="12"/>
  <c r="AO235" i="12"/>
  <c r="M235" i="12"/>
  <c r="O235" i="12"/>
  <c r="E239" i="12"/>
  <c r="F239" i="6"/>
  <c r="CH237" i="6"/>
  <c r="AV237" i="6"/>
  <c r="AQ237" i="6"/>
  <c r="BA237" i="6"/>
  <c r="AJ237" i="6"/>
  <c r="AO237" i="6"/>
  <c r="CM237" i="6"/>
  <c r="BX237" i="6"/>
  <c r="BE237" i="6"/>
  <c r="BJ237" i="6"/>
  <c r="CA237" i="6"/>
  <c r="BF237" i="6"/>
  <c r="AM236" i="5"/>
  <c r="I236" i="12"/>
  <c r="L236" i="5"/>
  <c r="I236" i="5"/>
  <c r="Z236" i="5"/>
  <c r="AC236" i="5"/>
  <c r="AJ236" i="6"/>
  <c r="AP238" i="6" l="1"/>
  <c r="AL238" i="6"/>
  <c r="N235" i="12"/>
  <c r="AT238" i="6"/>
  <c r="AO238" i="6"/>
  <c r="AU238" i="6"/>
  <c r="AR238" i="6"/>
  <c r="AJ238" i="6"/>
  <c r="AV238" i="6"/>
  <c r="AQ238" i="6"/>
  <c r="AM238" i="6"/>
  <c r="BA238" i="6"/>
  <c r="K241" i="5"/>
  <c r="E241" i="5"/>
  <c r="G241" i="5"/>
  <c r="N241" i="5"/>
  <c r="R241" i="5"/>
  <c r="W241" i="5"/>
  <c r="H241" i="12" s="1"/>
  <c r="AD241" i="5"/>
  <c r="H241" i="5"/>
  <c r="D241" i="5"/>
  <c r="B241" i="12" s="1"/>
  <c r="B241" i="6"/>
  <c r="C242" i="5"/>
  <c r="AE241" i="5"/>
  <c r="F241" i="5"/>
  <c r="B241" i="5"/>
  <c r="J241" i="5"/>
  <c r="A241" i="12"/>
  <c r="C236" i="6"/>
  <c r="O236" i="5"/>
  <c r="H239" i="6"/>
  <c r="T239" i="5" s="1"/>
  <c r="N239" i="6"/>
  <c r="G239" i="6"/>
  <c r="M239" i="6"/>
  <c r="BP239" i="6" s="1"/>
  <c r="BK239" i="6"/>
  <c r="K239" i="12"/>
  <c r="AN238" i="6"/>
  <c r="AW238" i="6"/>
  <c r="D235" i="12"/>
  <c r="E235" i="6"/>
  <c r="D240" i="6"/>
  <c r="C236" i="12"/>
  <c r="M236" i="12"/>
  <c r="AO236" i="12"/>
  <c r="O236" i="12"/>
  <c r="Y235" i="12"/>
  <c r="J240" i="12"/>
  <c r="L240" i="12"/>
  <c r="E240" i="12"/>
  <c r="F240" i="6"/>
  <c r="AB236" i="5"/>
  <c r="AA236" i="5"/>
  <c r="AZ238" i="6"/>
  <c r="AS238" i="6"/>
  <c r="AY238" i="6"/>
  <c r="AX238" i="6"/>
  <c r="AK238" i="6"/>
  <c r="U233" i="12"/>
  <c r="V233" i="12"/>
  <c r="T233" i="12"/>
  <c r="L237" i="5"/>
  <c r="I237" i="12"/>
  <c r="AM237" i="5"/>
  <c r="Z237" i="5"/>
  <c r="I237" i="5"/>
  <c r="AC237" i="5"/>
  <c r="BI239" i="6" l="1"/>
  <c r="Y236" i="12"/>
  <c r="AQ239" i="6"/>
  <c r="AR239" i="6"/>
  <c r="N236" i="12"/>
  <c r="CK239" i="6"/>
  <c r="K240" i="12"/>
  <c r="CM239" i="6"/>
  <c r="AM239" i="6"/>
  <c r="AZ239" i="6"/>
  <c r="BN239" i="6"/>
  <c r="CL239" i="6"/>
  <c r="AL239" i="6"/>
  <c r="AN239" i="6"/>
  <c r="BG239" i="6"/>
  <c r="BF239" i="6"/>
  <c r="CC239" i="6"/>
  <c r="BA239" i="6"/>
  <c r="BW239" i="6"/>
  <c r="BL239" i="6"/>
  <c r="AV239" i="6"/>
  <c r="BH239" i="6"/>
  <c r="CB239" i="6"/>
  <c r="BT239" i="6"/>
  <c r="CD239" i="6"/>
  <c r="N240" i="6"/>
  <c r="G240" i="6"/>
  <c r="M240" i="6"/>
  <c r="BR240" i="6" s="1"/>
  <c r="BZ240" i="6"/>
  <c r="CH240" i="6"/>
  <c r="H240" i="6"/>
  <c r="T240" i="5" s="1"/>
  <c r="BS240" i="6"/>
  <c r="BV240" i="6"/>
  <c r="BJ240" i="6"/>
  <c r="D241" i="6"/>
  <c r="AB237" i="5"/>
  <c r="AA237" i="5"/>
  <c r="BZ239" i="6"/>
  <c r="AK239" i="6"/>
  <c r="BX239" i="6"/>
  <c r="CA239" i="6"/>
  <c r="BR239" i="6"/>
  <c r="AY239" i="6"/>
  <c r="BQ239" i="6"/>
  <c r="CG239" i="6"/>
  <c r="BY239" i="6"/>
  <c r="AU239" i="6"/>
  <c r="BO239" i="6"/>
  <c r="BV239" i="6"/>
  <c r="CI239" i="6"/>
  <c r="E236" i="6"/>
  <c r="D236" i="12"/>
  <c r="X235" i="12"/>
  <c r="W235" i="12"/>
  <c r="AS239" i="6"/>
  <c r="AP239" i="6"/>
  <c r="BD239" i="6"/>
  <c r="AO239" i="6"/>
  <c r="BJ239" i="6"/>
  <c r="AT239" i="6"/>
  <c r="BM239" i="6"/>
  <c r="CF239" i="6"/>
  <c r="AX239" i="6"/>
  <c r="CE239" i="6"/>
  <c r="BE239" i="6"/>
  <c r="C237" i="6"/>
  <c r="O237" i="5"/>
  <c r="X236" i="12"/>
  <c r="W236" i="12"/>
  <c r="C237" i="12"/>
  <c r="M237" i="12"/>
  <c r="O237" i="12"/>
  <c r="AO237" i="12"/>
  <c r="CH239" i="6"/>
  <c r="BC239" i="6"/>
  <c r="BS239" i="6"/>
  <c r="CJ239" i="6"/>
  <c r="AW239" i="6"/>
  <c r="G239" i="12"/>
  <c r="X239" i="5"/>
  <c r="AJ239" i="6" s="1"/>
  <c r="L241" i="12"/>
  <c r="J241" i="12"/>
  <c r="E242" i="5"/>
  <c r="G242" i="5"/>
  <c r="K242" i="5"/>
  <c r="A242" i="12"/>
  <c r="B242" i="6"/>
  <c r="N242" i="5"/>
  <c r="D242" i="5"/>
  <c r="B242" i="12" s="1"/>
  <c r="J242" i="5"/>
  <c r="W242" i="5"/>
  <c r="H242" i="12" s="1"/>
  <c r="B242" i="5"/>
  <c r="C243" i="5" s="1"/>
  <c r="AE242" i="5"/>
  <c r="AD242" i="5"/>
  <c r="R242" i="5"/>
  <c r="F242" i="5"/>
  <c r="H242" i="5"/>
  <c r="F241" i="6"/>
  <c r="E241" i="12"/>
  <c r="K241" i="12" l="1"/>
  <c r="BE240" i="6"/>
  <c r="BT240" i="6"/>
  <c r="N237" i="12"/>
  <c r="BF240" i="6"/>
  <c r="BO240" i="6"/>
  <c r="BH240" i="6"/>
  <c r="CE240" i="6"/>
  <c r="CB240" i="6"/>
  <c r="B243" i="5"/>
  <c r="N243" i="5"/>
  <c r="A243" i="12"/>
  <c r="C244" i="5"/>
  <c r="W243" i="5"/>
  <c r="H243" i="12" s="1"/>
  <c r="F243" i="5"/>
  <c r="E243" i="5"/>
  <c r="H243" i="5"/>
  <c r="I243" i="5"/>
  <c r="G243" i="5"/>
  <c r="B243" i="6"/>
  <c r="AD243" i="5"/>
  <c r="AE243" i="5"/>
  <c r="T235" i="12"/>
  <c r="U235" i="12"/>
  <c r="V235" i="12"/>
  <c r="AP240" i="6"/>
  <c r="AX240" i="6"/>
  <c r="Y237" i="12"/>
  <c r="T236" i="12"/>
  <c r="V236" i="12"/>
  <c r="U236" i="12"/>
  <c r="G241" i="6"/>
  <c r="N241" i="6"/>
  <c r="H241" i="6"/>
  <c r="T241" i="5" s="1"/>
  <c r="M241" i="6"/>
  <c r="CM241" i="6" s="1"/>
  <c r="CK240" i="6"/>
  <c r="AZ240" i="6"/>
  <c r="AT240" i="6"/>
  <c r="BL240" i="6"/>
  <c r="AN240" i="6"/>
  <c r="AL240" i="6"/>
  <c r="BK240" i="6"/>
  <c r="AO240" i="6"/>
  <c r="BW240" i="6"/>
  <c r="BA240" i="6"/>
  <c r="CA240" i="6"/>
  <c r="BG240" i="6"/>
  <c r="CF240" i="6"/>
  <c r="D242" i="6"/>
  <c r="AY240" i="6"/>
  <c r="F242" i="6"/>
  <c r="E242" i="12"/>
  <c r="J242" i="12"/>
  <c r="L242" i="12"/>
  <c r="I239" i="12"/>
  <c r="L239" i="5"/>
  <c r="AM239" i="5"/>
  <c r="Z239" i="5"/>
  <c r="I239" i="5"/>
  <c r="AC239" i="5"/>
  <c r="AW240" i="6"/>
  <c r="AV240" i="6"/>
  <c r="AS240" i="6"/>
  <c r="BD240" i="6"/>
  <c r="AK240" i="6"/>
  <c r="AM240" i="6"/>
  <c r="AR240" i="6"/>
  <c r="BP240" i="6"/>
  <c r="BM240" i="6"/>
  <c r="BC240" i="6"/>
  <c r="G240" i="12"/>
  <c r="X240" i="5"/>
  <c r="AJ240" i="6" s="1"/>
  <c r="D237" i="12"/>
  <c r="E237" i="6"/>
  <c r="BQ240" i="6"/>
  <c r="CC240" i="6"/>
  <c r="CD240" i="6"/>
  <c r="CI240" i="6"/>
  <c r="CL240" i="6"/>
  <c r="BX240" i="6"/>
  <c r="BI240" i="6"/>
  <c r="CM240" i="6"/>
  <c r="AU240" i="6"/>
  <c r="BY240" i="6"/>
  <c r="CJ240" i="6"/>
  <c r="BN240" i="6"/>
  <c r="AQ240" i="6"/>
  <c r="CG240" i="6"/>
  <c r="BG241" i="6" l="1"/>
  <c r="BZ241" i="6"/>
  <c r="CG241" i="6"/>
  <c r="AQ241" i="6"/>
  <c r="CL241" i="6"/>
  <c r="BX241" i="6"/>
  <c r="W237" i="12"/>
  <c r="X237" i="12"/>
  <c r="I240" i="12"/>
  <c r="L240" i="5"/>
  <c r="AM240" i="5"/>
  <c r="Z240" i="5"/>
  <c r="I240" i="5"/>
  <c r="AC240" i="5"/>
  <c r="C239" i="6"/>
  <c r="O239" i="5"/>
  <c r="K242" i="12"/>
  <c r="AN241" i="6"/>
  <c r="CE241" i="6"/>
  <c r="CK241" i="6"/>
  <c r="CJ241" i="6"/>
  <c r="BK241" i="6"/>
  <c r="AK241" i="6"/>
  <c r="BO241" i="6"/>
  <c r="CF241" i="6"/>
  <c r="BC241" i="6"/>
  <c r="AV241" i="6"/>
  <c r="AT241" i="6"/>
  <c r="AR241" i="6"/>
  <c r="BJ241" i="6"/>
  <c r="D243" i="6"/>
  <c r="N242" i="6"/>
  <c r="G242" i="6"/>
  <c r="H242" i="6"/>
  <c r="T242" i="5" s="1"/>
  <c r="M242" i="6"/>
  <c r="BM242" i="6" s="1"/>
  <c r="BL242" i="6"/>
  <c r="BJ242" i="6"/>
  <c r="AW241" i="6"/>
  <c r="CH241" i="6"/>
  <c r="BA241" i="6"/>
  <c r="CD241" i="6"/>
  <c r="AS241" i="6"/>
  <c r="BD241" i="6"/>
  <c r="AP241" i="6"/>
  <c r="C239" i="12"/>
  <c r="AO239" i="12"/>
  <c r="Y239" i="12" s="1"/>
  <c r="M239" i="12"/>
  <c r="O239" i="12"/>
  <c r="BS241" i="6"/>
  <c r="AO241" i="6"/>
  <c r="BL241" i="6"/>
  <c r="BE241" i="6"/>
  <c r="AX241" i="6"/>
  <c r="BY241" i="6"/>
  <c r="G241" i="12"/>
  <c r="X241" i="5"/>
  <c r="BV241" i="6"/>
  <c r="BT241" i="6"/>
  <c r="CC241" i="6"/>
  <c r="AY241" i="6"/>
  <c r="BR241" i="6"/>
  <c r="AU241" i="6"/>
  <c r="CI241" i="6"/>
  <c r="AA239" i="5"/>
  <c r="AB239" i="5"/>
  <c r="AL241" i="6"/>
  <c r="BH241" i="6"/>
  <c r="AM241" i="6"/>
  <c r="BW241" i="6"/>
  <c r="BQ241" i="6"/>
  <c r="BP241" i="6"/>
  <c r="BM241" i="6"/>
  <c r="AJ241" i="6"/>
  <c r="BF241" i="6"/>
  <c r="CA241" i="6"/>
  <c r="BI241" i="6"/>
  <c r="AZ241" i="6"/>
  <c r="CB241" i="6"/>
  <c r="BN241" i="6"/>
  <c r="I244" i="5"/>
  <c r="AD244" i="5"/>
  <c r="AE244" i="5"/>
  <c r="E244" i="5"/>
  <c r="G244" i="5"/>
  <c r="N244" i="5"/>
  <c r="B244" i="5"/>
  <c r="A244" i="12"/>
  <c r="W244" i="5"/>
  <c r="H244" i="12" s="1"/>
  <c r="C245" i="5"/>
  <c r="F244" i="5"/>
  <c r="B244" i="6"/>
  <c r="H244" i="5"/>
  <c r="N239" i="12" l="1"/>
  <c r="D244" i="6"/>
  <c r="BV242" i="6"/>
  <c r="AN242" i="6"/>
  <c r="AU242" i="6"/>
  <c r="BK242" i="6"/>
  <c r="C240" i="6"/>
  <c r="O240" i="5"/>
  <c r="U237" i="12"/>
  <c r="T237" i="12"/>
  <c r="V237" i="12"/>
  <c r="I241" i="12"/>
  <c r="L241" i="5"/>
  <c r="AM241" i="5"/>
  <c r="Z241" i="5"/>
  <c r="I241" i="5"/>
  <c r="AC241" i="5"/>
  <c r="AV242" i="6"/>
  <c r="BN242" i="6"/>
  <c r="AK242" i="6"/>
  <c r="AZ242" i="6"/>
  <c r="AX242" i="6"/>
  <c r="AS242" i="6"/>
  <c r="CK242" i="6"/>
  <c r="BS242" i="6"/>
  <c r="BW242" i="6"/>
  <c r="CB242" i="6"/>
  <c r="CJ242" i="6"/>
  <c r="BP242" i="6"/>
  <c r="BH242" i="6"/>
  <c r="AQ242" i="6"/>
  <c r="CD242" i="6"/>
  <c r="C240" i="12"/>
  <c r="O240" i="12"/>
  <c r="AO240" i="12"/>
  <c r="Y240" i="12" s="1"/>
  <c r="M240" i="12"/>
  <c r="CA242" i="6"/>
  <c r="BT242" i="6"/>
  <c r="BI242" i="6"/>
  <c r="AR242" i="6"/>
  <c r="AP242" i="6"/>
  <c r="CC242" i="6"/>
  <c r="BQ242" i="6"/>
  <c r="BC242" i="6"/>
  <c r="AM242" i="6"/>
  <c r="CG242" i="6"/>
  <c r="BA242" i="6"/>
  <c r="AL242" i="6"/>
  <c r="BO242" i="6"/>
  <c r="BZ242" i="6"/>
  <c r="AY242" i="6"/>
  <c r="BD242" i="6"/>
  <c r="D239" i="12"/>
  <c r="E239" i="6"/>
  <c r="AA240" i="5"/>
  <c r="AB240" i="5"/>
  <c r="AE245" i="5"/>
  <c r="G245" i="5"/>
  <c r="B245" i="6"/>
  <c r="B245" i="5"/>
  <c r="E245" i="5"/>
  <c r="C246" i="5"/>
  <c r="J245" i="5"/>
  <c r="AD245" i="5"/>
  <c r="H245" i="5"/>
  <c r="D245" i="5"/>
  <c r="B245" i="12" s="1"/>
  <c r="A245" i="12"/>
  <c r="K245" i="5"/>
  <c r="R245" i="5"/>
  <c r="N245" i="5"/>
  <c r="F245" i="5"/>
  <c r="W245" i="5"/>
  <c r="H245" i="12" s="1"/>
  <c r="BR242" i="6"/>
  <c r="BF242" i="6"/>
  <c r="CL242" i="6"/>
  <c r="CI242" i="6"/>
  <c r="AT242" i="6"/>
  <c r="W239" i="12"/>
  <c r="X239" i="12"/>
  <c r="CH242" i="6"/>
  <c r="BX242" i="6"/>
  <c r="AO242" i="6"/>
  <c r="BE242" i="6"/>
  <c r="CM242" i="6"/>
  <c r="G242" i="12"/>
  <c r="X242" i="5"/>
  <c r="AJ242" i="6" s="1"/>
  <c r="BY242" i="6"/>
  <c r="CE242" i="6"/>
  <c r="CF242" i="6"/>
  <c r="BG242" i="6"/>
  <c r="AW242" i="6"/>
  <c r="BG243" i="6"/>
  <c r="CJ243" i="6"/>
  <c r="BM243" i="6"/>
  <c r="BE243" i="6"/>
  <c r="BL243" i="6"/>
  <c r="BD243" i="6"/>
  <c r="CK243" i="6"/>
  <c r="H243" i="6"/>
  <c r="T243" i="5" s="1"/>
  <c r="G243" i="12" s="1"/>
  <c r="BP243" i="6"/>
  <c r="CI243" i="6"/>
  <c r="CE243" i="6"/>
  <c r="BZ243" i="6"/>
  <c r="M243" i="6"/>
  <c r="AU243" i="6" s="1"/>
  <c r="CH243" i="6"/>
  <c r="BF243" i="6"/>
  <c r="CF243" i="6"/>
  <c r="CA243" i="6"/>
  <c r="BC243" i="6"/>
  <c r="BT243" i="6"/>
  <c r="CD243" i="6"/>
  <c r="AM243" i="6"/>
  <c r="AL243" i="6"/>
  <c r="CB243" i="6"/>
  <c r="BX243" i="6"/>
  <c r="BJ243" i="6"/>
  <c r="BR243" i="6"/>
  <c r="BH243" i="6"/>
  <c r="AY243" i="6"/>
  <c r="AR243" i="6"/>
  <c r="BQ243" i="6"/>
  <c r="BS243" i="6"/>
  <c r="BI243" i="6"/>
  <c r="BN243" i="6"/>
  <c r="CL243" i="6"/>
  <c r="AP243" i="6"/>
  <c r="BV243" i="6"/>
  <c r="BY243" i="6"/>
  <c r="BO243" i="6"/>
  <c r="N243" i="6"/>
  <c r="CM243" i="6"/>
  <c r="BK243" i="6"/>
  <c r="CG243" i="6"/>
  <c r="CC243" i="6"/>
  <c r="AO243" i="6"/>
  <c r="BW243" i="6"/>
  <c r="AX243" i="6"/>
  <c r="G243" i="6"/>
  <c r="AZ243" i="6" l="1"/>
  <c r="AV243" i="6"/>
  <c r="AS243" i="6"/>
  <c r="AW243" i="6"/>
  <c r="AK243" i="6"/>
  <c r="U239" i="12"/>
  <c r="T239" i="12"/>
  <c r="V239" i="12"/>
  <c r="C241" i="12"/>
  <c r="O241" i="12"/>
  <c r="AO241" i="12"/>
  <c r="M241" i="12"/>
  <c r="X240" i="12"/>
  <c r="W240" i="12"/>
  <c r="AB241" i="5"/>
  <c r="AA241" i="5"/>
  <c r="E240" i="6"/>
  <c r="D240" i="12"/>
  <c r="AT243" i="6"/>
  <c r="AQ243" i="6"/>
  <c r="BA243" i="6"/>
  <c r="AJ243" i="6"/>
  <c r="AN243" i="6"/>
  <c r="L245" i="12"/>
  <c r="K245" i="12" s="1"/>
  <c r="J245" i="12"/>
  <c r="J246" i="5"/>
  <c r="A246" i="12"/>
  <c r="B246" i="5"/>
  <c r="R246" i="5"/>
  <c r="W246" i="5"/>
  <c r="H246" i="12" s="1"/>
  <c r="E246" i="5"/>
  <c r="H246" i="5"/>
  <c r="C247" i="5"/>
  <c r="AD246" i="5"/>
  <c r="AE246" i="5"/>
  <c r="F246" i="5"/>
  <c r="K246" i="5"/>
  <c r="B246" i="6"/>
  <c r="N246" i="5"/>
  <c r="G246" i="5"/>
  <c r="D246" i="5"/>
  <c r="B246" i="12" s="1"/>
  <c r="N240" i="12"/>
  <c r="AM242" i="5"/>
  <c r="L242" i="5"/>
  <c r="I242" i="12"/>
  <c r="Z242" i="5"/>
  <c r="I242" i="5"/>
  <c r="AC242" i="5"/>
  <c r="F245" i="6"/>
  <c r="E245" i="12"/>
  <c r="D245" i="6"/>
  <c r="C241" i="6"/>
  <c r="O241" i="5"/>
  <c r="BR244" i="6"/>
  <c r="BG244" i="6"/>
  <c r="CE244" i="6"/>
  <c r="CG244" i="6"/>
  <c r="CD244" i="6"/>
  <c r="BT244" i="6"/>
  <c r="BI244" i="6"/>
  <c r="CL244" i="6"/>
  <c r="N244" i="6"/>
  <c r="CJ244" i="6"/>
  <c r="AN244" i="6"/>
  <c r="CM244" i="6"/>
  <c r="BV244" i="6"/>
  <c r="BD244" i="6"/>
  <c r="BC244" i="6"/>
  <c r="BJ244" i="6"/>
  <c r="H244" i="6"/>
  <c r="T244" i="5" s="1"/>
  <c r="G244" i="12" s="1"/>
  <c r="CK244" i="6"/>
  <c r="BF244" i="6"/>
  <c r="BL244" i="6"/>
  <c r="BS244" i="6"/>
  <c r="BK244" i="6"/>
  <c r="AL244" i="6"/>
  <c r="BY244" i="6"/>
  <c r="BE244" i="6"/>
  <c r="BQ244" i="6"/>
  <c r="BX244" i="6"/>
  <c r="BW244" i="6"/>
  <c r="CH244" i="6"/>
  <c r="M244" i="6"/>
  <c r="AU244" i="6" s="1"/>
  <c r="BP244" i="6"/>
  <c r="CF244" i="6"/>
  <c r="BN244" i="6"/>
  <c r="BH244" i="6"/>
  <c r="CC244" i="6"/>
  <c r="G244" i="6"/>
  <c r="BZ244" i="6"/>
  <c r="CB244" i="6"/>
  <c r="BM244" i="6"/>
  <c r="CI244" i="6"/>
  <c r="BO244" i="6"/>
  <c r="CA244" i="6"/>
  <c r="AY244" i="6" l="1"/>
  <c r="BA244" i="6"/>
  <c r="AQ244" i="6"/>
  <c r="AW244" i="6"/>
  <c r="AJ244" i="6"/>
  <c r="AO244" i="6"/>
  <c r="AV244" i="6"/>
  <c r="AK244" i="6"/>
  <c r="AT244" i="6"/>
  <c r="C242" i="6"/>
  <c r="O242" i="5"/>
  <c r="AP244" i="6"/>
  <c r="AR244" i="6"/>
  <c r="F246" i="6"/>
  <c r="E246" i="12"/>
  <c r="D241" i="12"/>
  <c r="E241" i="6"/>
  <c r="AZ244" i="6"/>
  <c r="AX244" i="6"/>
  <c r="AM244" i="6"/>
  <c r="AS244" i="6"/>
  <c r="AA242" i="5"/>
  <c r="AB242" i="5"/>
  <c r="D246" i="6"/>
  <c r="Y241" i="12"/>
  <c r="M245" i="6"/>
  <c r="CL245" i="6" s="1"/>
  <c r="G245" i="6"/>
  <c r="N245" i="6"/>
  <c r="BR245" i="6"/>
  <c r="H245" i="6"/>
  <c r="T245" i="5" s="1"/>
  <c r="C242" i="12"/>
  <c r="O242" i="12"/>
  <c r="AO242" i="12"/>
  <c r="M242" i="12"/>
  <c r="D247" i="5"/>
  <c r="B247" i="12" s="1"/>
  <c r="B247" i="5"/>
  <c r="A247" i="12"/>
  <c r="H247" i="5"/>
  <c r="B247" i="6"/>
  <c r="AD247" i="5"/>
  <c r="G247" i="5"/>
  <c r="K247" i="5"/>
  <c r="J247" i="5"/>
  <c r="F247" i="5"/>
  <c r="R247" i="5"/>
  <c r="N247" i="5"/>
  <c r="C248" i="5"/>
  <c r="AE247" i="5"/>
  <c r="E247" i="5"/>
  <c r="W247" i="5"/>
  <c r="H247" i="12" s="1"/>
  <c r="L246" i="12"/>
  <c r="J246" i="12"/>
  <c r="U240" i="12"/>
  <c r="T240" i="12"/>
  <c r="V240" i="12"/>
  <c r="N241" i="12"/>
  <c r="BD245" i="6" l="1"/>
  <c r="N242" i="12"/>
  <c r="CE245" i="6"/>
  <c r="BY245" i="6"/>
  <c r="CB245" i="6"/>
  <c r="BV245" i="6"/>
  <c r="AX245" i="6"/>
  <c r="BA245" i="6"/>
  <c r="BC245" i="6"/>
  <c r="Y242" i="12"/>
  <c r="W242" i="12" s="1"/>
  <c r="AW245" i="6"/>
  <c r="AU245" i="6"/>
  <c r="AV245" i="6"/>
  <c r="X242" i="12"/>
  <c r="AZ245" i="6"/>
  <c r="AK245" i="6"/>
  <c r="G245" i="12"/>
  <c r="X245" i="5"/>
  <c r="BM245" i="6"/>
  <c r="AT245" i="6"/>
  <c r="BX245" i="6"/>
  <c r="BZ245" i="6"/>
  <c r="AJ245" i="6"/>
  <c r="CD245" i="6"/>
  <c r="BI245" i="6"/>
  <c r="AR245" i="6"/>
  <c r="AY245" i="6"/>
  <c r="BK245" i="6"/>
  <c r="CF245" i="6"/>
  <c r="X241" i="12"/>
  <c r="W241" i="12"/>
  <c r="J247" i="12"/>
  <c r="L247" i="12"/>
  <c r="BH245" i="6"/>
  <c r="H248" i="5"/>
  <c r="A248" i="12"/>
  <c r="G248" i="5"/>
  <c r="N248" i="5"/>
  <c r="B248" i="5"/>
  <c r="F248" i="5"/>
  <c r="R248" i="5"/>
  <c r="AE248" i="5"/>
  <c r="E248" i="5"/>
  <c r="C249" i="5"/>
  <c r="K248" i="5"/>
  <c r="J248" i="5"/>
  <c r="B248" i="6"/>
  <c r="W248" i="5"/>
  <c r="H248" i="12" s="1"/>
  <c r="AD248" i="5"/>
  <c r="D248" i="5"/>
  <c r="B248" i="12" s="1"/>
  <c r="E247" i="12"/>
  <c r="F247" i="6"/>
  <c r="BQ245" i="6"/>
  <c r="CC245" i="6"/>
  <c r="AO245" i="6"/>
  <c r="BL245" i="6"/>
  <c r="CK245" i="6"/>
  <c r="BP245" i="6"/>
  <c r="AQ245" i="6"/>
  <c r="AS245" i="6"/>
  <c r="CG245" i="6"/>
  <c r="BS245" i="6"/>
  <c r="AP245" i="6"/>
  <c r="AM245" i="6"/>
  <c r="CJ245" i="6"/>
  <c r="BG245" i="6"/>
  <c r="D242" i="12"/>
  <c r="E242" i="6"/>
  <c r="K246" i="12"/>
  <c r="D247" i="6"/>
  <c r="BW245" i="6"/>
  <c r="CA245" i="6"/>
  <c r="BF245" i="6"/>
  <c r="BJ245" i="6"/>
  <c r="BN245" i="6"/>
  <c r="BT245" i="6"/>
  <c r="AL245" i="6"/>
  <c r="BE245" i="6"/>
  <c r="CM245" i="6"/>
  <c r="BO245" i="6"/>
  <c r="AN245" i="6"/>
  <c r="CI245" i="6"/>
  <c r="CH245" i="6"/>
  <c r="M246" i="6"/>
  <c r="CH246" i="6" s="1"/>
  <c r="N246" i="6"/>
  <c r="CK246" i="6"/>
  <c r="G246" i="6"/>
  <c r="H246" i="6"/>
  <c r="T246" i="5" s="1"/>
  <c r="CL246" i="6"/>
  <c r="CJ246" i="6"/>
  <c r="BI246" i="6" l="1"/>
  <c r="BC246" i="6"/>
  <c r="BN246" i="6"/>
  <c r="BY246" i="6"/>
  <c r="BE246" i="6"/>
  <c r="BP246" i="6"/>
  <c r="CF246" i="6"/>
  <c r="CE246" i="6"/>
  <c r="BS246" i="6"/>
  <c r="BK246" i="6"/>
  <c r="AW246" i="6"/>
  <c r="BX246" i="6"/>
  <c r="BM246" i="6"/>
  <c r="K247" i="12"/>
  <c r="CC246" i="6"/>
  <c r="BD246" i="6"/>
  <c r="BF246" i="6"/>
  <c r="BG246" i="6"/>
  <c r="BR246" i="6"/>
  <c r="BQ246" i="6"/>
  <c r="BV246" i="6"/>
  <c r="BT246" i="6"/>
  <c r="AS246" i="6"/>
  <c r="AX246" i="6"/>
  <c r="AN246" i="6"/>
  <c r="AV246" i="6"/>
  <c r="CG246" i="6"/>
  <c r="BO246" i="6"/>
  <c r="BZ246" i="6"/>
  <c r="CB246" i="6"/>
  <c r="BL246" i="6"/>
  <c r="CA246" i="6"/>
  <c r="CM246" i="6"/>
  <c r="AT246" i="6"/>
  <c r="BA246" i="6"/>
  <c r="AQ246" i="6"/>
  <c r="AL246" i="6"/>
  <c r="CD246" i="6"/>
  <c r="AZ246" i="6"/>
  <c r="AK246" i="6"/>
  <c r="BH246" i="6"/>
  <c r="AR246" i="6"/>
  <c r="G246" i="12"/>
  <c r="X246" i="5"/>
  <c r="AY246" i="6"/>
  <c r="BW246" i="6"/>
  <c r="CI246" i="6"/>
  <c r="BJ246" i="6"/>
  <c r="H249" i="5"/>
  <c r="AE249" i="5"/>
  <c r="F249" i="5"/>
  <c r="R249" i="5"/>
  <c r="G249" i="5"/>
  <c r="A249" i="12"/>
  <c r="D249" i="5"/>
  <c r="B249" i="12" s="1"/>
  <c r="B249" i="5"/>
  <c r="C250" i="5"/>
  <c r="W249" i="5"/>
  <c r="H249" i="12" s="1"/>
  <c r="AD249" i="5"/>
  <c r="N249" i="5"/>
  <c r="B249" i="6"/>
  <c r="J249" i="5"/>
  <c r="E249" i="5"/>
  <c r="K249" i="5"/>
  <c r="D248" i="6"/>
  <c r="L245" i="5"/>
  <c r="I245" i="12"/>
  <c r="AM245" i="5"/>
  <c r="Z245" i="5"/>
  <c r="I245" i="5"/>
  <c r="AC245" i="5"/>
  <c r="T242" i="12"/>
  <c r="U242" i="12"/>
  <c r="V242" i="12"/>
  <c r="V241" i="12"/>
  <c r="T241" i="12"/>
  <c r="U241" i="12"/>
  <c r="AU246" i="6"/>
  <c r="AM246" i="6"/>
  <c r="AO246" i="6"/>
  <c r="N247" i="6"/>
  <c r="H247" i="6"/>
  <c r="T247" i="5" s="1"/>
  <c r="G247" i="6"/>
  <c r="M247" i="6"/>
  <c r="BE247" i="6" s="1"/>
  <c r="E248" i="12"/>
  <c r="F248" i="6"/>
  <c r="J248" i="12"/>
  <c r="L248" i="12"/>
  <c r="AP246" i="6"/>
  <c r="AX247" i="6" l="1"/>
  <c r="BI247" i="6"/>
  <c r="BC247" i="6"/>
  <c r="AU247" i="6"/>
  <c r="BY247" i="6"/>
  <c r="BZ247" i="6"/>
  <c r="K248" i="12"/>
  <c r="CE247" i="6"/>
  <c r="AL247" i="6"/>
  <c r="BJ247" i="6"/>
  <c r="BP247" i="6"/>
  <c r="CG247" i="6"/>
  <c r="BV247" i="6"/>
  <c r="AP247" i="6"/>
  <c r="BO247" i="6"/>
  <c r="BM247" i="6"/>
  <c r="AN247" i="6"/>
  <c r="CK247" i="6"/>
  <c r="AV247" i="6"/>
  <c r="BL247" i="6"/>
  <c r="BF247" i="6"/>
  <c r="CD247" i="6"/>
  <c r="AQ247" i="6"/>
  <c r="BT247" i="6"/>
  <c r="C245" i="6"/>
  <c r="O245" i="5"/>
  <c r="AE250" i="5"/>
  <c r="C251" i="5"/>
  <c r="E250" i="5"/>
  <c r="D250" i="5"/>
  <c r="B250" i="12" s="1"/>
  <c r="W250" i="5"/>
  <c r="H250" i="12" s="1"/>
  <c r="B250" i="6"/>
  <c r="N250" i="5"/>
  <c r="A250" i="12"/>
  <c r="AD250" i="5"/>
  <c r="J250" i="5"/>
  <c r="B250" i="5"/>
  <c r="H250" i="5"/>
  <c r="G250" i="5"/>
  <c r="R250" i="5"/>
  <c r="K250" i="5"/>
  <c r="F250" i="5"/>
  <c r="C245" i="12"/>
  <c r="M245" i="12"/>
  <c r="AO245" i="12"/>
  <c r="Y245" i="12" s="1"/>
  <c r="O245" i="12"/>
  <c r="CA247" i="6"/>
  <c r="CF247" i="6"/>
  <c r="AO247" i="6"/>
  <c r="AZ247" i="6"/>
  <c r="CL247" i="6"/>
  <c r="AS247" i="6"/>
  <c r="CI247" i="6"/>
  <c r="AT247" i="6"/>
  <c r="BQ247" i="6"/>
  <c r="BD247" i="6"/>
  <c r="BX247" i="6"/>
  <c r="AM247" i="6"/>
  <c r="CB247" i="6"/>
  <c r="BW247" i="6"/>
  <c r="AB245" i="5"/>
  <c r="AA245" i="5"/>
  <c r="D249" i="6"/>
  <c r="J249" i="12"/>
  <c r="L249" i="12"/>
  <c r="E249" i="12"/>
  <c r="F249" i="6"/>
  <c r="AM246" i="5"/>
  <c r="L246" i="5"/>
  <c r="I246" i="12"/>
  <c r="I246" i="5"/>
  <c r="Z246" i="5"/>
  <c r="AC246" i="5"/>
  <c r="AJ246" i="6"/>
  <c r="G247" i="12"/>
  <c r="X247" i="5"/>
  <c r="AJ247" i="6" s="1"/>
  <c r="BR247" i="6"/>
  <c r="AW247" i="6"/>
  <c r="BA247" i="6"/>
  <c r="CH247" i="6"/>
  <c r="BG247" i="6"/>
  <c r="AK247" i="6"/>
  <c r="CJ247" i="6"/>
  <c r="BS247" i="6"/>
  <c r="BH247" i="6"/>
  <c r="CM247" i="6"/>
  <c r="AR247" i="6"/>
  <c r="CC247" i="6"/>
  <c r="BK247" i="6"/>
  <c r="AY247" i="6"/>
  <c r="BN247" i="6"/>
  <c r="M248" i="6"/>
  <c r="BG248" i="6" s="1"/>
  <c r="G248" i="6"/>
  <c r="CK248" i="6"/>
  <c r="N248" i="6"/>
  <c r="CI248" i="6"/>
  <c r="BV248" i="6"/>
  <c r="BF248" i="6"/>
  <c r="BW248" i="6"/>
  <c r="CJ248" i="6"/>
  <c r="BC248" i="6"/>
  <c r="BM248" i="6"/>
  <c r="BZ248" i="6"/>
  <c r="H248" i="6"/>
  <c r="T248" i="5" s="1"/>
  <c r="CH248" i="6"/>
  <c r="BY248" i="6"/>
  <c r="CG248" i="6"/>
  <c r="BX248" i="6"/>
  <c r="AP248" i="6" l="1"/>
  <c r="BI248" i="6"/>
  <c r="BH248" i="6"/>
  <c r="BD248" i="6"/>
  <c r="BO248" i="6"/>
  <c r="BR248" i="6"/>
  <c r="CE248" i="6"/>
  <c r="BT248" i="6"/>
  <c r="BN248" i="6"/>
  <c r="BK248" i="6"/>
  <c r="BP248" i="6"/>
  <c r="CM248" i="6"/>
  <c r="BE248" i="6"/>
  <c r="K249" i="12"/>
  <c r="AO248" i="6"/>
  <c r="AK248" i="6"/>
  <c r="AL248" i="6"/>
  <c r="AR248" i="6"/>
  <c r="CC248" i="6"/>
  <c r="AQ248" i="6"/>
  <c r="AV248" i="6"/>
  <c r="AU248" i="6"/>
  <c r="AN248" i="6"/>
  <c r="AT248" i="6"/>
  <c r="CF248" i="6"/>
  <c r="BQ248" i="6"/>
  <c r="BJ248" i="6"/>
  <c r="AW248" i="6"/>
  <c r="CL248" i="6"/>
  <c r="AM248" i="6"/>
  <c r="BL248" i="6"/>
  <c r="C246" i="6"/>
  <c r="O246" i="5"/>
  <c r="N245" i="12"/>
  <c r="D251" i="5"/>
  <c r="B251" i="12" s="1"/>
  <c r="K251" i="5"/>
  <c r="AE251" i="5"/>
  <c r="C252" i="5"/>
  <c r="G251" i="5"/>
  <c r="B251" i="5"/>
  <c r="W251" i="5"/>
  <c r="H251" i="12" s="1"/>
  <c r="F251" i="5"/>
  <c r="A251" i="12"/>
  <c r="B251" i="6"/>
  <c r="J251" i="5"/>
  <c r="N251" i="5"/>
  <c r="AD251" i="5"/>
  <c r="R251" i="5"/>
  <c r="H251" i="5"/>
  <c r="E251" i="5"/>
  <c r="BA248" i="6"/>
  <c r="I247" i="12"/>
  <c r="AM247" i="5"/>
  <c r="L247" i="5"/>
  <c r="Z247" i="5"/>
  <c r="I247" i="5"/>
  <c r="AC247" i="5"/>
  <c r="AA246" i="5"/>
  <c r="AB246" i="5"/>
  <c r="N249" i="6"/>
  <c r="BW249" i="6"/>
  <c r="M249" i="6"/>
  <c r="CA249" i="6" s="1"/>
  <c r="BX249" i="6"/>
  <c r="BH249" i="6"/>
  <c r="CH249" i="6"/>
  <c r="BG249" i="6"/>
  <c r="BJ249" i="6"/>
  <c r="G249" i="6"/>
  <c r="BT249" i="6"/>
  <c r="BQ249" i="6"/>
  <c r="CD249" i="6"/>
  <c r="CK249" i="6"/>
  <c r="BV249" i="6"/>
  <c r="BN249" i="6"/>
  <c r="BZ249" i="6"/>
  <c r="H249" i="6"/>
  <c r="T249" i="5" s="1"/>
  <c r="CL249" i="6"/>
  <c r="BO249" i="6"/>
  <c r="CJ249" i="6"/>
  <c r="W245" i="12"/>
  <c r="X245" i="12"/>
  <c r="F250" i="6"/>
  <c r="E250" i="12"/>
  <c r="J250" i="12"/>
  <c r="L250" i="12"/>
  <c r="C246" i="12"/>
  <c r="O246" i="12"/>
  <c r="M246" i="12"/>
  <c r="AO246" i="12"/>
  <c r="G248" i="12"/>
  <c r="X248" i="5"/>
  <c r="AY248" i="6"/>
  <c r="AZ248" i="6"/>
  <c r="AS248" i="6"/>
  <c r="BS248" i="6"/>
  <c r="CA248" i="6"/>
  <c r="CD248" i="6"/>
  <c r="AX248" i="6"/>
  <c r="CB248" i="6"/>
  <c r="D250" i="6"/>
  <c r="E245" i="6"/>
  <c r="D245" i="12"/>
  <c r="N246" i="12" l="1"/>
  <c r="BI249" i="6"/>
  <c r="CB249" i="6"/>
  <c r="BD249" i="6"/>
  <c r="BS249" i="6"/>
  <c r="CE249" i="6"/>
  <c r="BK249" i="6"/>
  <c r="K250" i="12"/>
  <c r="I248" i="12"/>
  <c r="AM248" i="5"/>
  <c r="L248" i="5"/>
  <c r="I248" i="5"/>
  <c r="Z248" i="5"/>
  <c r="AC248" i="5"/>
  <c r="AJ248" i="6"/>
  <c r="AK249" i="6"/>
  <c r="C247" i="12"/>
  <c r="O247" i="12"/>
  <c r="M247" i="12"/>
  <c r="AO247" i="12"/>
  <c r="C253" i="5"/>
  <c r="AE252" i="5"/>
  <c r="J252" i="5"/>
  <c r="B252" i="5"/>
  <c r="H252" i="5"/>
  <c r="B252" i="6"/>
  <c r="F252" i="5"/>
  <c r="G252" i="5"/>
  <c r="A252" i="12"/>
  <c r="D252" i="5"/>
  <c r="B252" i="12" s="1"/>
  <c r="AD252" i="5"/>
  <c r="N252" i="5"/>
  <c r="R252" i="5"/>
  <c r="W252" i="5"/>
  <c r="H252" i="12" s="1"/>
  <c r="E252" i="5"/>
  <c r="K252" i="5"/>
  <c r="AP249" i="6"/>
  <c r="AT249" i="6"/>
  <c r="AL249" i="6"/>
  <c r="AU249" i="6"/>
  <c r="AX249" i="6"/>
  <c r="AA247" i="5"/>
  <c r="AB247" i="5"/>
  <c r="L251" i="12"/>
  <c r="J251" i="12"/>
  <c r="E246" i="6"/>
  <c r="D246" i="12"/>
  <c r="G249" i="12"/>
  <c r="X249" i="5"/>
  <c r="AJ249" i="6" s="1"/>
  <c r="Y246" i="12"/>
  <c r="U245" i="12"/>
  <c r="T245" i="12"/>
  <c r="V245" i="12"/>
  <c r="BR249" i="6"/>
  <c r="AM249" i="6"/>
  <c r="BY249" i="6"/>
  <c r="BE249" i="6"/>
  <c r="CF249" i="6"/>
  <c r="BF249" i="6"/>
  <c r="CM249" i="6"/>
  <c r="AR249" i="6"/>
  <c r="AZ249" i="6"/>
  <c r="BP249" i="6"/>
  <c r="BL249" i="6"/>
  <c r="AS249" i="6"/>
  <c r="CI249" i="6"/>
  <c r="BM249" i="6"/>
  <c r="C247" i="6"/>
  <c r="O247" i="5"/>
  <c r="F251" i="6"/>
  <c r="E251" i="12"/>
  <c r="D251" i="6"/>
  <c r="AY249" i="6"/>
  <c r="BA249" i="6"/>
  <c r="N250" i="6"/>
  <c r="M250" i="6"/>
  <c r="BO250" i="6" s="1"/>
  <c r="BX250" i="6"/>
  <c r="BF250" i="6"/>
  <c r="G250" i="6"/>
  <c r="CE250" i="6"/>
  <c r="BL250" i="6"/>
  <c r="H250" i="6"/>
  <c r="T250" i="5" s="1"/>
  <c r="BN250" i="6"/>
  <c r="CL250" i="6"/>
  <c r="CH250" i="6"/>
  <c r="BE250" i="6"/>
  <c r="AQ249" i="6"/>
  <c r="AO249" i="6"/>
  <c r="AV249" i="6"/>
  <c r="AW249" i="6"/>
  <c r="CC249" i="6"/>
  <c r="BC249" i="6"/>
  <c r="AN249" i="6"/>
  <c r="CG249" i="6"/>
  <c r="BZ250" i="6" l="1"/>
  <c r="BM250" i="6"/>
  <c r="BG250" i="6"/>
  <c r="BT250" i="6"/>
  <c r="BQ250" i="6"/>
  <c r="CD250" i="6"/>
  <c r="CI250" i="6"/>
  <c r="BV250" i="6"/>
  <c r="BJ250" i="6"/>
  <c r="CB250" i="6"/>
  <c r="BK250" i="6"/>
  <c r="CM250" i="6"/>
  <c r="BR250" i="6"/>
  <c r="BS250" i="6"/>
  <c r="BW250" i="6"/>
  <c r="CK250" i="6"/>
  <c r="BY250" i="6"/>
  <c r="K251" i="12"/>
  <c r="BI250" i="6"/>
  <c r="Y247" i="12"/>
  <c r="AQ250" i="6"/>
  <c r="BA250" i="6"/>
  <c r="X246" i="12"/>
  <c r="W246" i="12"/>
  <c r="AL250" i="6"/>
  <c r="AW250" i="6"/>
  <c r="AX250" i="6"/>
  <c r="AV250" i="6"/>
  <c r="BH250" i="6"/>
  <c r="CC250" i="6"/>
  <c r="E247" i="6"/>
  <c r="D247" i="12"/>
  <c r="I249" i="12"/>
  <c r="L249" i="5"/>
  <c r="AM249" i="5"/>
  <c r="Z249" i="5"/>
  <c r="I249" i="5"/>
  <c r="AC249" i="5"/>
  <c r="C248" i="6"/>
  <c r="O248" i="5"/>
  <c r="AP250" i="6"/>
  <c r="AZ250" i="6"/>
  <c r="W247" i="12"/>
  <c r="X247" i="12"/>
  <c r="AM250" i="6"/>
  <c r="AN250" i="6"/>
  <c r="N251" i="6"/>
  <c r="H251" i="6"/>
  <c r="T251" i="5" s="1"/>
  <c r="M251" i="6"/>
  <c r="BS251" i="6" s="1"/>
  <c r="BD251" i="6"/>
  <c r="BR251" i="6"/>
  <c r="BK251" i="6"/>
  <c r="BN251" i="6"/>
  <c r="CL251" i="6"/>
  <c r="AQ251" i="6"/>
  <c r="BF251" i="6"/>
  <c r="BP251" i="6"/>
  <c r="CJ251" i="6"/>
  <c r="CD251" i="6"/>
  <c r="BY251" i="6"/>
  <c r="CH251" i="6"/>
  <c r="BJ251" i="6"/>
  <c r="BE251" i="6"/>
  <c r="CG251" i="6"/>
  <c r="BX251" i="6"/>
  <c r="AT251" i="6"/>
  <c r="CA251" i="6"/>
  <c r="BV251" i="6"/>
  <c r="AX251" i="6"/>
  <c r="BM251" i="6"/>
  <c r="G251" i="6"/>
  <c r="CB251" i="6"/>
  <c r="AL251" i="6"/>
  <c r="BL251" i="6"/>
  <c r="AS251" i="6"/>
  <c r="BI251" i="6"/>
  <c r="CM251" i="6"/>
  <c r="F252" i="6"/>
  <c r="E252" i="12"/>
  <c r="J252" i="12"/>
  <c r="L252" i="12"/>
  <c r="N247" i="12"/>
  <c r="G250" i="12"/>
  <c r="X250" i="5"/>
  <c r="AK250" i="6"/>
  <c r="AS250" i="6"/>
  <c r="AR250" i="6"/>
  <c r="BP250" i="6"/>
  <c r="CJ250" i="6"/>
  <c r="AU250" i="6"/>
  <c r="CA250" i="6"/>
  <c r="AY250" i="6"/>
  <c r="BD250" i="6"/>
  <c r="AO250" i="6"/>
  <c r="CF250" i="6"/>
  <c r="AT250" i="6"/>
  <c r="BC250" i="6"/>
  <c r="CG250" i="6"/>
  <c r="D252" i="6"/>
  <c r="E253" i="5"/>
  <c r="A253" i="12"/>
  <c r="N253" i="5"/>
  <c r="R253" i="5"/>
  <c r="B253" i="6"/>
  <c r="AE253" i="5"/>
  <c r="G253" i="5"/>
  <c r="J253" i="5"/>
  <c r="F253" i="5"/>
  <c r="B253" i="5"/>
  <c r="AD253" i="5"/>
  <c r="W253" i="5"/>
  <c r="H253" i="12" s="1"/>
  <c r="C254" i="5"/>
  <c r="K253" i="5"/>
  <c r="H253" i="5"/>
  <c r="D253" i="5"/>
  <c r="B253" i="12" s="1"/>
  <c r="AB248" i="5"/>
  <c r="AA248" i="5"/>
  <c r="C248" i="12"/>
  <c r="M248" i="12"/>
  <c r="AO248" i="12"/>
  <c r="O248" i="12"/>
  <c r="CE251" i="6" l="1"/>
  <c r="BQ251" i="6"/>
  <c r="BG251" i="6"/>
  <c r="AP251" i="6"/>
  <c r="AY251" i="6"/>
  <c r="AM251" i="6"/>
  <c r="CC251" i="6"/>
  <c r="BT251" i="6"/>
  <c r="AN251" i="6"/>
  <c r="AZ251" i="6"/>
  <c r="Y248" i="12"/>
  <c r="AK251" i="6"/>
  <c r="AW251" i="6"/>
  <c r="BC251" i="6"/>
  <c r="K252" i="12"/>
  <c r="T247" i="12"/>
  <c r="V247" i="12"/>
  <c r="U247" i="12"/>
  <c r="V246" i="12"/>
  <c r="U246" i="12"/>
  <c r="T246" i="12"/>
  <c r="N248" i="12"/>
  <c r="E253" i="12"/>
  <c r="F253" i="6"/>
  <c r="M252" i="6"/>
  <c r="BK252" i="6" s="1"/>
  <c r="H252" i="6"/>
  <c r="T252" i="5" s="1"/>
  <c r="BE252" i="6"/>
  <c r="BN252" i="6"/>
  <c r="N252" i="6"/>
  <c r="BJ252" i="6"/>
  <c r="BH252" i="6"/>
  <c r="AP252" i="6"/>
  <c r="CE252" i="6"/>
  <c r="BC252" i="6"/>
  <c r="G252" i="6"/>
  <c r="AY252" i="6"/>
  <c r="L250" i="5"/>
  <c r="I250" i="12"/>
  <c r="AM250" i="5"/>
  <c r="I250" i="5"/>
  <c r="Z250" i="5"/>
  <c r="AC250" i="5"/>
  <c r="AV251" i="6"/>
  <c r="CK251" i="6"/>
  <c r="BZ251" i="6"/>
  <c r="C249" i="6"/>
  <c r="O249" i="5"/>
  <c r="L253" i="12"/>
  <c r="J253" i="12"/>
  <c r="AE254" i="5"/>
  <c r="C255" i="5"/>
  <c r="AD254" i="5"/>
  <c r="K254" i="5"/>
  <c r="B254" i="6"/>
  <c r="J254" i="5"/>
  <c r="G254" i="5"/>
  <c r="N254" i="5"/>
  <c r="B254" i="5"/>
  <c r="R254" i="5"/>
  <c r="A254" i="12"/>
  <c r="F254" i="5"/>
  <c r="W254" i="5"/>
  <c r="H254" i="12" s="1"/>
  <c r="H254" i="5"/>
  <c r="D254" i="5"/>
  <c r="B254" i="12" s="1"/>
  <c r="E254" i="5"/>
  <c r="X248" i="12"/>
  <c r="W248" i="12"/>
  <c r="D253" i="6"/>
  <c r="G251" i="12"/>
  <c r="X251" i="5"/>
  <c r="BW251" i="6"/>
  <c r="CF251" i="6"/>
  <c r="BH251" i="6"/>
  <c r="C249" i="12"/>
  <c r="O249" i="12"/>
  <c r="M249" i="12"/>
  <c r="AO249" i="12"/>
  <c r="AJ250" i="6"/>
  <c r="BO251" i="6"/>
  <c r="AU251" i="6"/>
  <c r="AR251" i="6"/>
  <c r="AO251" i="6"/>
  <c r="BA251" i="6"/>
  <c r="CI251" i="6"/>
  <c r="D248" i="12"/>
  <c r="E248" i="6"/>
  <c r="AA249" i="5"/>
  <c r="AB249" i="5"/>
  <c r="CG252" i="6" l="1"/>
  <c r="CH252" i="6"/>
  <c r="BM252" i="6"/>
  <c r="BD252" i="6"/>
  <c r="CD252" i="6"/>
  <c r="CC252" i="6"/>
  <c r="AU252" i="6"/>
  <c r="BW252" i="6"/>
  <c r="CF252" i="6"/>
  <c r="AQ252" i="6"/>
  <c r="BA252" i="6"/>
  <c r="CL252" i="6"/>
  <c r="BX252" i="6"/>
  <c r="BF252" i="6"/>
  <c r="BT252" i="6"/>
  <c r="BP252" i="6"/>
  <c r="CB252" i="6"/>
  <c r="AS252" i="6"/>
  <c r="AR252" i="6"/>
  <c r="BL252" i="6"/>
  <c r="BV252" i="6"/>
  <c r="AV252" i="6"/>
  <c r="BI252" i="6"/>
  <c r="CK252" i="6"/>
  <c r="CA252" i="6"/>
  <c r="AT252" i="6"/>
  <c r="BO252" i="6"/>
  <c r="BS252" i="6"/>
  <c r="BG252" i="6"/>
  <c r="CJ252" i="6"/>
  <c r="N249" i="12"/>
  <c r="CM252" i="6"/>
  <c r="BY252" i="6"/>
  <c r="CI252" i="6"/>
  <c r="AW252" i="6"/>
  <c r="BZ252" i="6"/>
  <c r="Y249" i="12"/>
  <c r="D254" i="6"/>
  <c r="G252" i="12"/>
  <c r="X252" i="5"/>
  <c r="AK252" i="6"/>
  <c r="AZ252" i="6"/>
  <c r="AM251" i="5"/>
  <c r="L251" i="5"/>
  <c r="I251" i="12"/>
  <c r="Z251" i="5"/>
  <c r="I251" i="5"/>
  <c r="AC251" i="5"/>
  <c r="AJ251" i="6"/>
  <c r="T248" i="12"/>
  <c r="U248" i="12"/>
  <c r="V248" i="12"/>
  <c r="J254" i="12"/>
  <c r="L254" i="12"/>
  <c r="K253" i="12"/>
  <c r="E249" i="6"/>
  <c r="D249" i="12"/>
  <c r="M253" i="6"/>
  <c r="CM253" i="6" s="1"/>
  <c r="H253" i="6"/>
  <c r="T253" i="5" s="1"/>
  <c r="G253" i="6"/>
  <c r="N253" i="6"/>
  <c r="D255" i="5"/>
  <c r="B255" i="12" s="1"/>
  <c r="AE255" i="5"/>
  <c r="B255" i="6"/>
  <c r="W255" i="5"/>
  <c r="H255" i="12" s="1"/>
  <c r="H255" i="5"/>
  <c r="F255" i="5"/>
  <c r="N255" i="5"/>
  <c r="R255" i="5"/>
  <c r="B255" i="5"/>
  <c r="C256" i="5" s="1"/>
  <c r="A255" i="12"/>
  <c r="G255" i="5"/>
  <c r="E255" i="5"/>
  <c r="AD255" i="5"/>
  <c r="J255" i="5"/>
  <c r="K255" i="5"/>
  <c r="C250" i="12"/>
  <c r="AO250" i="12"/>
  <c r="O250" i="12"/>
  <c r="M250" i="12"/>
  <c r="AO252" i="6"/>
  <c r="AL252" i="6"/>
  <c r="AN252" i="6"/>
  <c r="AX252" i="6"/>
  <c r="AM252" i="6"/>
  <c r="BR252" i="6"/>
  <c r="BQ252" i="6"/>
  <c r="E254" i="12"/>
  <c r="F254" i="6"/>
  <c r="AA250" i="5"/>
  <c r="AB250" i="5"/>
  <c r="C250" i="6"/>
  <c r="O250" i="5"/>
  <c r="CD253" i="6" l="1"/>
  <c r="BC253" i="6"/>
  <c r="AN253" i="6"/>
  <c r="N250" i="12"/>
  <c r="AK253" i="6"/>
  <c r="BL253" i="6"/>
  <c r="CH253" i="6"/>
  <c r="K254" i="12"/>
  <c r="BG253" i="6"/>
  <c r="CB253" i="6"/>
  <c r="BD253" i="6"/>
  <c r="AO253" i="6"/>
  <c r="BE253" i="6"/>
  <c r="AQ253" i="6"/>
  <c r="BA253" i="6"/>
  <c r="CK253" i="6"/>
  <c r="AY253" i="6"/>
  <c r="BT253" i="6"/>
  <c r="AM253" i="6"/>
  <c r="AL253" i="6"/>
  <c r="CA253" i="6"/>
  <c r="BQ253" i="6"/>
  <c r="CL253" i="6"/>
  <c r="BW253" i="6"/>
  <c r="CI253" i="6"/>
  <c r="AP253" i="6"/>
  <c r="AW253" i="6"/>
  <c r="CC253" i="6"/>
  <c r="BN253" i="6"/>
  <c r="BV253" i="6"/>
  <c r="E256" i="5"/>
  <c r="AE256" i="5"/>
  <c r="B256" i="6"/>
  <c r="H256" i="5"/>
  <c r="W256" i="5"/>
  <c r="H256" i="12" s="1"/>
  <c r="I256" i="5"/>
  <c r="B256" i="5"/>
  <c r="N256" i="5"/>
  <c r="C257" i="5"/>
  <c r="AD256" i="5"/>
  <c r="A256" i="12"/>
  <c r="G256" i="5"/>
  <c r="F256" i="5"/>
  <c r="AB251" i="5"/>
  <c r="AA251" i="5"/>
  <c r="E250" i="6"/>
  <c r="D250" i="12"/>
  <c r="C251" i="12"/>
  <c r="O251" i="12"/>
  <c r="AO251" i="12"/>
  <c r="Y251" i="12" s="1"/>
  <c r="M251" i="12"/>
  <c r="G254" i="6"/>
  <c r="H254" i="6"/>
  <c r="T254" i="5" s="1"/>
  <c r="N254" i="6"/>
  <c r="M254" i="6"/>
  <c r="CF254" i="6" s="1"/>
  <c r="F255" i="6"/>
  <c r="E255" i="12"/>
  <c r="Y250" i="12"/>
  <c r="L255" i="12"/>
  <c r="K255" i="12" s="1"/>
  <c r="J255" i="12"/>
  <c r="D255" i="6"/>
  <c r="CJ253" i="6"/>
  <c r="AR253" i="6"/>
  <c r="AV253" i="6"/>
  <c r="BZ253" i="6"/>
  <c r="BO253" i="6"/>
  <c r="AT253" i="6"/>
  <c r="BS253" i="6"/>
  <c r="BX253" i="6"/>
  <c r="BF253" i="6"/>
  <c r="BI253" i="6"/>
  <c r="AU253" i="6"/>
  <c r="CE253" i="6"/>
  <c r="BH253" i="6"/>
  <c r="CG253" i="6"/>
  <c r="AX253" i="6"/>
  <c r="BM253" i="6"/>
  <c r="BR253" i="6"/>
  <c r="CF253" i="6"/>
  <c r="AZ253" i="6"/>
  <c r="G253" i="12"/>
  <c r="X253" i="5"/>
  <c r="AJ253" i="6" s="1"/>
  <c r="AS253" i="6"/>
  <c r="BK253" i="6"/>
  <c r="BP253" i="6"/>
  <c r="BY253" i="6"/>
  <c r="BJ253" i="6"/>
  <c r="C251" i="6"/>
  <c r="O251" i="5"/>
  <c r="L252" i="5"/>
  <c r="I252" i="12"/>
  <c r="AM252" i="5"/>
  <c r="Z252" i="5"/>
  <c r="I252" i="5"/>
  <c r="AC252" i="5"/>
  <c r="AJ252" i="6"/>
  <c r="X249" i="12"/>
  <c r="W249" i="12"/>
  <c r="CK254" i="6" l="1"/>
  <c r="CJ254" i="6"/>
  <c r="AZ254" i="6"/>
  <c r="BG254" i="6"/>
  <c r="BX254" i="6"/>
  <c r="AL254" i="6"/>
  <c r="CC254" i="6"/>
  <c r="AM254" i="6"/>
  <c r="AY254" i="6"/>
  <c r="BZ254" i="6"/>
  <c r="CB254" i="6"/>
  <c r="BC254" i="6"/>
  <c r="CD254" i="6"/>
  <c r="AQ254" i="6"/>
  <c r="BH254" i="6"/>
  <c r="BL254" i="6"/>
  <c r="N251" i="12"/>
  <c r="BF254" i="6"/>
  <c r="BK254" i="6"/>
  <c r="BV254" i="6"/>
  <c r="AV254" i="6"/>
  <c r="CE254" i="6"/>
  <c r="AW254" i="6"/>
  <c r="BW254" i="6"/>
  <c r="AX254" i="6"/>
  <c r="AN254" i="6"/>
  <c r="BD254" i="6"/>
  <c r="CI254" i="6"/>
  <c r="BS254" i="6"/>
  <c r="AU254" i="6"/>
  <c r="AP254" i="6"/>
  <c r="BO254" i="6"/>
  <c r="BI254" i="6"/>
  <c r="W251" i="12"/>
  <c r="X251" i="12"/>
  <c r="AM253" i="5"/>
  <c r="L253" i="5"/>
  <c r="I253" i="12"/>
  <c r="Z253" i="5"/>
  <c r="I253" i="5"/>
  <c r="AC253" i="5"/>
  <c r="N255" i="6"/>
  <c r="M255" i="6"/>
  <c r="BD255" i="6" s="1"/>
  <c r="G255" i="6"/>
  <c r="CL255" i="6"/>
  <c r="CA255" i="6"/>
  <c r="BG255" i="6"/>
  <c r="CG255" i="6"/>
  <c r="BV255" i="6"/>
  <c r="BP255" i="6"/>
  <c r="CE255" i="6"/>
  <c r="H255" i="6"/>
  <c r="T255" i="5" s="1"/>
  <c r="C252" i="6"/>
  <c r="O252" i="5"/>
  <c r="G254" i="12"/>
  <c r="X254" i="5"/>
  <c r="D251" i="12"/>
  <c r="E251" i="6"/>
  <c r="X250" i="12"/>
  <c r="W250" i="12"/>
  <c r="BA254" i="6"/>
  <c r="BR254" i="6"/>
  <c r="AO254" i="6"/>
  <c r="BN254" i="6"/>
  <c r="BT254" i="6"/>
  <c r="BQ254" i="6"/>
  <c r="CL254" i="6"/>
  <c r="D257" i="5"/>
  <c r="B257" i="12" s="1"/>
  <c r="H257" i="5"/>
  <c r="G257" i="5"/>
  <c r="J257" i="5"/>
  <c r="B257" i="5"/>
  <c r="C258" i="5"/>
  <c r="R257" i="5"/>
  <c r="A257" i="12"/>
  <c r="B257" i="6"/>
  <c r="E257" i="5"/>
  <c r="AD257" i="5"/>
  <c r="K257" i="5"/>
  <c r="AE257" i="5"/>
  <c r="F257" i="5"/>
  <c r="W257" i="5"/>
  <c r="H257" i="12" s="1"/>
  <c r="N257" i="5"/>
  <c r="C252" i="12"/>
  <c r="AO252" i="12"/>
  <c r="O252" i="12"/>
  <c r="M252" i="12"/>
  <c r="U249" i="12"/>
  <c r="V249" i="12"/>
  <c r="T249" i="12"/>
  <c r="AS254" i="6"/>
  <c r="AA252" i="5"/>
  <c r="AB252" i="5"/>
  <c r="CG254" i="6"/>
  <c r="AT254" i="6"/>
  <c r="BJ254" i="6"/>
  <c r="BM254" i="6"/>
  <c r="AR254" i="6"/>
  <c r="BP254" i="6"/>
  <c r="AK254" i="6"/>
  <c r="CM254" i="6"/>
  <c r="BY254" i="6"/>
  <c r="CH254" i="6"/>
  <c r="BE254" i="6"/>
  <c r="CA254" i="6"/>
  <c r="D256" i="6"/>
  <c r="CM255" i="6" l="1"/>
  <c r="BH255" i="6"/>
  <c r="BX255" i="6"/>
  <c r="BS255" i="6"/>
  <c r="CK255" i="6"/>
  <c r="AV255" i="6"/>
  <c r="BO255" i="6"/>
  <c r="CI255" i="6"/>
  <c r="BM255" i="6"/>
  <c r="CB255" i="6"/>
  <c r="BE255" i="6"/>
  <c r="AX255" i="6"/>
  <c r="AW255" i="6"/>
  <c r="CJ255" i="6"/>
  <c r="CH255" i="6"/>
  <c r="Y252" i="12"/>
  <c r="AQ255" i="6"/>
  <c r="CC255" i="6"/>
  <c r="BK255" i="6"/>
  <c r="BC255" i="6"/>
  <c r="BL255" i="6"/>
  <c r="BW255" i="6"/>
  <c r="BI255" i="6"/>
  <c r="BR255" i="6"/>
  <c r="AU255" i="6"/>
  <c r="BJ255" i="6"/>
  <c r="BZ255" i="6"/>
  <c r="BY255" i="6"/>
  <c r="BT255" i="6"/>
  <c r="AN255" i="6"/>
  <c r="AL255" i="6"/>
  <c r="CD255" i="6"/>
  <c r="AY255" i="6"/>
  <c r="AM255" i="6"/>
  <c r="BN255" i="6"/>
  <c r="AZ255" i="6"/>
  <c r="AO255" i="6"/>
  <c r="BQ255" i="6"/>
  <c r="E252" i="6"/>
  <c r="D252" i="12"/>
  <c r="CB256" i="6"/>
  <c r="BP256" i="6"/>
  <c r="CM256" i="6"/>
  <c r="BQ256" i="6"/>
  <c r="BH256" i="6"/>
  <c r="BE256" i="6"/>
  <c r="G256" i="6"/>
  <c r="BF256" i="6"/>
  <c r="BD256" i="6"/>
  <c r="BM256" i="6"/>
  <c r="CI256" i="6"/>
  <c r="BK256" i="6"/>
  <c r="CH256" i="6"/>
  <c r="BG256" i="6"/>
  <c r="BR256" i="6"/>
  <c r="BI256" i="6"/>
  <c r="CD256" i="6"/>
  <c r="BV256" i="6"/>
  <c r="BZ256" i="6"/>
  <c r="CG256" i="6"/>
  <c r="CA256" i="6"/>
  <c r="H256" i="6"/>
  <c r="T256" i="5" s="1"/>
  <c r="G256" i="12" s="1"/>
  <c r="BC256" i="6"/>
  <c r="BT256" i="6"/>
  <c r="BN256" i="6"/>
  <c r="BX256" i="6"/>
  <c r="CK256" i="6"/>
  <c r="CF256" i="6"/>
  <c r="BJ256" i="6"/>
  <c r="BS256" i="6"/>
  <c r="CE256" i="6"/>
  <c r="BL256" i="6"/>
  <c r="M256" i="6"/>
  <c r="BO256" i="6"/>
  <c r="CJ256" i="6"/>
  <c r="N256" i="6"/>
  <c r="CL256" i="6"/>
  <c r="AQ256" i="6"/>
  <c r="CC256" i="6"/>
  <c r="BW256" i="6"/>
  <c r="BY256" i="6"/>
  <c r="B258" i="5"/>
  <c r="D258" i="5"/>
  <c r="B258" i="12" s="1"/>
  <c r="B258" i="6"/>
  <c r="G258" i="5"/>
  <c r="C259" i="5"/>
  <c r="J258" i="5"/>
  <c r="E258" i="5"/>
  <c r="R258" i="5"/>
  <c r="A258" i="12"/>
  <c r="N258" i="5"/>
  <c r="AD258" i="5"/>
  <c r="W258" i="5"/>
  <c r="H258" i="12" s="1"/>
  <c r="H258" i="5"/>
  <c r="F258" i="5"/>
  <c r="K258" i="5"/>
  <c r="AE258" i="5"/>
  <c r="N252" i="12"/>
  <c r="D257" i="6"/>
  <c r="V250" i="12"/>
  <c r="U250" i="12"/>
  <c r="T250" i="12"/>
  <c r="AM254" i="5"/>
  <c r="L254" i="5"/>
  <c r="I254" i="12"/>
  <c r="I254" i="5"/>
  <c r="Z254" i="5"/>
  <c r="AC254" i="5"/>
  <c r="AJ254" i="6"/>
  <c r="G255" i="12"/>
  <c r="X255" i="5"/>
  <c r="AR255" i="6"/>
  <c r="AS255" i="6"/>
  <c r="CF255" i="6"/>
  <c r="BF255" i="6"/>
  <c r="AA253" i="5"/>
  <c r="AB253" i="5"/>
  <c r="J257" i="12"/>
  <c r="L257" i="12"/>
  <c r="C253" i="6"/>
  <c r="O253" i="5"/>
  <c r="W252" i="12"/>
  <c r="X252" i="12"/>
  <c r="E257" i="12"/>
  <c r="F257" i="6"/>
  <c r="AT255" i="6"/>
  <c r="AJ255" i="6"/>
  <c r="BA255" i="6"/>
  <c r="AK255" i="6"/>
  <c r="AP255" i="6"/>
  <c r="C253" i="12"/>
  <c r="O253" i="12"/>
  <c r="AO253" i="12"/>
  <c r="Y253" i="12" s="1"/>
  <c r="M253" i="12"/>
  <c r="U251" i="12"/>
  <c r="T251" i="12"/>
  <c r="V251" i="12"/>
  <c r="AM256" i="6" l="1"/>
  <c r="AL256" i="6"/>
  <c r="N253" i="12"/>
  <c r="K257" i="12"/>
  <c r="D253" i="12"/>
  <c r="E253" i="6"/>
  <c r="C254" i="6"/>
  <c r="O254" i="5"/>
  <c r="J258" i="12"/>
  <c r="L258" i="12"/>
  <c r="K258" i="12" s="1"/>
  <c r="AY256" i="6"/>
  <c r="AJ256" i="6"/>
  <c r="AN256" i="6"/>
  <c r="AW256" i="6"/>
  <c r="AT256" i="6"/>
  <c r="X253" i="12"/>
  <c r="W253" i="12"/>
  <c r="AM255" i="5"/>
  <c r="I255" i="12"/>
  <c r="L255" i="5"/>
  <c r="Z255" i="5"/>
  <c r="I255" i="5"/>
  <c r="AC255" i="5"/>
  <c r="AA254" i="5"/>
  <c r="AB254" i="5"/>
  <c r="G257" i="6"/>
  <c r="M257" i="6"/>
  <c r="CK257" i="6" s="1"/>
  <c r="H257" i="6"/>
  <c r="T257" i="5" s="1"/>
  <c r="BA257" i="6"/>
  <c r="N257" i="6"/>
  <c r="CM257" i="6"/>
  <c r="BY257" i="6"/>
  <c r="AK257" i="6"/>
  <c r="BW257" i="6"/>
  <c r="G259" i="5"/>
  <c r="J256" i="5" s="1"/>
  <c r="F259" i="5"/>
  <c r="W259" i="5"/>
  <c r="H259" i="12" s="1"/>
  <c r="B259" i="5"/>
  <c r="C260" i="5" s="1"/>
  <c r="I259" i="5"/>
  <c r="N259" i="5"/>
  <c r="H259" i="5"/>
  <c r="AE259" i="5"/>
  <c r="AD259" i="5"/>
  <c r="A259" i="12"/>
  <c r="E259" i="5"/>
  <c r="B259" i="6"/>
  <c r="AS256" i="6"/>
  <c r="D258" i="6"/>
  <c r="E258" i="12"/>
  <c r="F258" i="6"/>
  <c r="AU256" i="6"/>
  <c r="AK256" i="6"/>
  <c r="AP256" i="6"/>
  <c r="AO256" i="6"/>
  <c r="T252" i="12"/>
  <c r="U252" i="12"/>
  <c r="V252" i="12"/>
  <c r="C254" i="12"/>
  <c r="M254" i="12"/>
  <c r="AO254" i="12"/>
  <c r="O254" i="12"/>
  <c r="AX256" i="6"/>
  <c r="AR256" i="6"/>
  <c r="AV256" i="6"/>
  <c r="BA256" i="6"/>
  <c r="AZ256" i="6"/>
  <c r="BN257" i="6" l="1"/>
  <c r="AU257" i="6"/>
  <c r="CI257" i="6"/>
  <c r="BI257" i="6"/>
  <c r="BM257" i="6"/>
  <c r="CJ257" i="6"/>
  <c r="BR257" i="6"/>
  <c r="AO257" i="6"/>
  <c r="BF257" i="6"/>
  <c r="CB257" i="6"/>
  <c r="BE257" i="6"/>
  <c r="CL257" i="6"/>
  <c r="BV257" i="6"/>
  <c r="BO257" i="6"/>
  <c r="AN257" i="6"/>
  <c r="CA257" i="6"/>
  <c r="BP257" i="6"/>
  <c r="BG257" i="6"/>
  <c r="CE257" i="6"/>
  <c r="AX257" i="6"/>
  <c r="N254" i="12"/>
  <c r="AL257" i="6"/>
  <c r="AW257" i="6"/>
  <c r="BS257" i="6"/>
  <c r="CG257" i="6"/>
  <c r="BC257" i="6"/>
  <c r="AV257" i="6"/>
  <c r="AQ257" i="6"/>
  <c r="CC257" i="6"/>
  <c r="AS257" i="6"/>
  <c r="BJ257" i="6"/>
  <c r="BT257" i="6"/>
  <c r="BH257" i="6"/>
  <c r="Y254" i="12"/>
  <c r="CH257" i="6"/>
  <c r="AZ257" i="6"/>
  <c r="BL257" i="6"/>
  <c r="CD257" i="6"/>
  <c r="BQ257" i="6"/>
  <c r="C255" i="6"/>
  <c r="O255" i="5"/>
  <c r="G258" i="6"/>
  <c r="M258" i="6"/>
  <c r="BY258" i="6" s="1"/>
  <c r="BF258" i="6"/>
  <c r="N258" i="6"/>
  <c r="CL258" i="6"/>
  <c r="BT258" i="6"/>
  <c r="H258" i="6"/>
  <c r="T258" i="5" s="1"/>
  <c r="BO258" i="6"/>
  <c r="CH258" i="6"/>
  <c r="CJ258" i="6"/>
  <c r="BP258" i="6"/>
  <c r="BJ258" i="6"/>
  <c r="AX258" i="6"/>
  <c r="CE258" i="6"/>
  <c r="BL258" i="6"/>
  <c r="AO258" i="6"/>
  <c r="BS258" i="6"/>
  <c r="C255" i="12"/>
  <c r="M255" i="12"/>
  <c r="AO255" i="12"/>
  <c r="O255" i="12"/>
  <c r="F260" i="5"/>
  <c r="I260" i="5"/>
  <c r="B260" i="5"/>
  <c r="H260" i="5"/>
  <c r="C261" i="5"/>
  <c r="A260" i="12"/>
  <c r="N260" i="5"/>
  <c r="W260" i="5"/>
  <c r="H260" i="12" s="1"/>
  <c r="AD260" i="5"/>
  <c r="AE260" i="5"/>
  <c r="B260" i="6"/>
  <c r="E260" i="5"/>
  <c r="G260" i="5"/>
  <c r="G257" i="12"/>
  <c r="X257" i="5"/>
  <c r="AY257" i="6"/>
  <c r="BX257" i="6"/>
  <c r="AM257" i="6"/>
  <c r="D259" i="6"/>
  <c r="AP257" i="6"/>
  <c r="BD257" i="6"/>
  <c r="BZ257" i="6"/>
  <c r="CF257" i="6"/>
  <c r="AR257" i="6"/>
  <c r="AT257" i="6"/>
  <c r="BK257" i="6"/>
  <c r="AA255" i="5"/>
  <c r="AB255" i="5"/>
  <c r="T253" i="12"/>
  <c r="U253" i="12"/>
  <c r="V253" i="12"/>
  <c r="E254" i="6"/>
  <c r="D254" i="12"/>
  <c r="BC258" i="6" l="1"/>
  <c r="AK258" i="6"/>
  <c r="AP258" i="6"/>
  <c r="AU258" i="6"/>
  <c r="AZ258" i="6"/>
  <c r="BI258" i="6"/>
  <c r="BW258" i="6"/>
  <c r="BX258" i="6"/>
  <c r="CG258" i="6"/>
  <c r="CC258" i="6"/>
  <c r="CF258" i="6"/>
  <c r="Y255" i="12"/>
  <c r="BA258" i="6"/>
  <c r="BR258" i="6"/>
  <c r="BD258" i="6"/>
  <c r="AM258" i="6"/>
  <c r="AW258" i="6"/>
  <c r="AQ258" i="6"/>
  <c r="CI258" i="6"/>
  <c r="CD258" i="6"/>
  <c r="BV258" i="6"/>
  <c r="AT258" i="6"/>
  <c r="CA258" i="6"/>
  <c r="BH258" i="6"/>
  <c r="BG258" i="6"/>
  <c r="N261" i="5"/>
  <c r="F261" i="5"/>
  <c r="K261" i="5"/>
  <c r="B261" i="6"/>
  <c r="AD261" i="5"/>
  <c r="G261" i="5"/>
  <c r="H261" i="5"/>
  <c r="W261" i="5"/>
  <c r="H261" i="12" s="1"/>
  <c r="AE261" i="5"/>
  <c r="C262" i="5"/>
  <c r="B261" i="5"/>
  <c r="A261" i="12"/>
  <c r="R261" i="5"/>
  <c r="E261" i="5"/>
  <c r="D261" i="5"/>
  <c r="B261" i="12" s="1"/>
  <c r="J261" i="5"/>
  <c r="E255" i="6"/>
  <c r="D255" i="12"/>
  <c r="G258" i="12"/>
  <c r="X258" i="5"/>
  <c r="AV258" i="6"/>
  <c r="AY258" i="6"/>
  <c r="BM258" i="6"/>
  <c r="CB258" i="6"/>
  <c r="AN258" i="6"/>
  <c r="BE258" i="6"/>
  <c r="BQ258" i="6"/>
  <c r="AS258" i="6"/>
  <c r="AR258" i="6"/>
  <c r="CM258" i="6"/>
  <c r="CH259" i="6"/>
  <c r="BV259" i="6"/>
  <c r="H259" i="6"/>
  <c r="T259" i="5" s="1"/>
  <c r="G259" i="12" s="1"/>
  <c r="BL259" i="6"/>
  <c r="M259" i="6"/>
  <c r="CC259" i="6"/>
  <c r="N259" i="6"/>
  <c r="BX259" i="6"/>
  <c r="BT259" i="6"/>
  <c r="BQ259" i="6"/>
  <c r="BC259" i="6"/>
  <c r="BE259" i="6"/>
  <c r="BK259" i="6"/>
  <c r="BO259" i="6"/>
  <c r="BH259" i="6"/>
  <c r="BP259" i="6"/>
  <c r="CJ259" i="6"/>
  <c r="BG259" i="6"/>
  <c r="CL259" i="6"/>
  <c r="CA259" i="6"/>
  <c r="AL259" i="6"/>
  <c r="G259" i="6"/>
  <c r="BW259" i="6"/>
  <c r="BI259" i="6"/>
  <c r="BF259" i="6"/>
  <c r="AK259" i="6"/>
  <c r="CI259" i="6"/>
  <c r="CG259" i="6"/>
  <c r="CD259" i="6"/>
  <c r="CE259" i="6"/>
  <c r="BN259" i="6"/>
  <c r="AR259" i="6"/>
  <c r="AY259" i="6"/>
  <c r="CK259" i="6"/>
  <c r="BD259" i="6"/>
  <c r="BR259" i="6"/>
  <c r="CB259" i="6"/>
  <c r="BY259" i="6"/>
  <c r="AT259" i="6"/>
  <c r="AU259" i="6"/>
  <c r="CF259" i="6"/>
  <c r="BZ259" i="6"/>
  <c r="AV259" i="6"/>
  <c r="CM259" i="6"/>
  <c r="BJ259" i="6"/>
  <c r="BM259" i="6"/>
  <c r="BS259" i="6"/>
  <c r="AO259" i="6"/>
  <c r="I257" i="12"/>
  <c r="AM257" i="5"/>
  <c r="L257" i="5"/>
  <c r="Z257" i="5"/>
  <c r="I257" i="5"/>
  <c r="AC257" i="5"/>
  <c r="AJ257" i="6"/>
  <c r="D260" i="6"/>
  <c r="N255" i="12"/>
  <c r="BN258" i="6"/>
  <c r="BZ258" i="6"/>
  <c r="CK258" i="6"/>
  <c r="X255" i="12"/>
  <c r="W255" i="12"/>
  <c r="AL258" i="6"/>
  <c r="BK258" i="6"/>
  <c r="W254" i="12"/>
  <c r="X254" i="12"/>
  <c r="AW259" i="6" l="1"/>
  <c r="AZ259" i="6"/>
  <c r="BA259" i="6"/>
  <c r="AQ259" i="6"/>
  <c r="AJ259" i="6"/>
  <c r="AM259" i="6"/>
  <c r="AS259" i="6"/>
  <c r="AN259" i="6"/>
  <c r="AX259" i="6"/>
  <c r="AP259" i="6"/>
  <c r="H260" i="6"/>
  <c r="T260" i="5" s="1"/>
  <c r="G260" i="12" s="1"/>
  <c r="CE260" i="6"/>
  <c r="BZ260" i="6"/>
  <c r="CK260" i="6"/>
  <c r="CF260" i="6"/>
  <c r="BD260" i="6"/>
  <c r="CB260" i="6"/>
  <c r="BS260" i="6"/>
  <c r="BR260" i="6"/>
  <c r="CC260" i="6"/>
  <c r="BE260" i="6"/>
  <c r="BM260" i="6"/>
  <c r="BO260" i="6"/>
  <c r="G260" i="6"/>
  <c r="BT260" i="6"/>
  <c r="CG260" i="6"/>
  <c r="BP260" i="6"/>
  <c r="BX260" i="6"/>
  <c r="BH260" i="6"/>
  <c r="BV260" i="6"/>
  <c r="BC260" i="6"/>
  <c r="CI260" i="6"/>
  <c r="M260" i="6"/>
  <c r="BN260" i="6"/>
  <c r="CH260" i="6"/>
  <c r="CD260" i="6"/>
  <c r="BL260" i="6"/>
  <c r="CA260" i="6"/>
  <c r="CM260" i="6"/>
  <c r="BG260" i="6"/>
  <c r="CJ260" i="6"/>
  <c r="CL260" i="6"/>
  <c r="BJ260" i="6"/>
  <c r="N260" i="6"/>
  <c r="BQ260" i="6"/>
  <c r="BW260" i="6"/>
  <c r="BF260" i="6"/>
  <c r="BY260" i="6"/>
  <c r="BI260" i="6"/>
  <c r="BK260" i="6"/>
  <c r="T254" i="12"/>
  <c r="V254" i="12"/>
  <c r="U254" i="12"/>
  <c r="C257" i="6"/>
  <c r="O257" i="5"/>
  <c r="J261" i="12"/>
  <c r="L261" i="12"/>
  <c r="T255" i="12"/>
  <c r="V255" i="12"/>
  <c r="U255" i="12"/>
  <c r="C257" i="12"/>
  <c r="AO257" i="12"/>
  <c r="O257" i="12"/>
  <c r="M257" i="12"/>
  <c r="AD262" i="5"/>
  <c r="G262" i="5"/>
  <c r="AE262" i="5"/>
  <c r="F262" i="5"/>
  <c r="E262" i="5"/>
  <c r="D262" i="5"/>
  <c r="B262" i="12" s="1"/>
  <c r="J262" i="5"/>
  <c r="B262" i="5"/>
  <c r="B262" i="6"/>
  <c r="R262" i="5"/>
  <c r="W262" i="5"/>
  <c r="H262" i="12" s="1"/>
  <c r="A262" i="12"/>
  <c r="N262" i="5"/>
  <c r="H262" i="5"/>
  <c r="K262" i="5"/>
  <c r="C263" i="5"/>
  <c r="D261" i="6"/>
  <c r="AA257" i="5"/>
  <c r="AB257" i="5"/>
  <c r="AM258" i="5"/>
  <c r="I258" i="12"/>
  <c r="L258" i="5"/>
  <c r="I258" i="5"/>
  <c r="Z258" i="5"/>
  <c r="AC258" i="5"/>
  <c r="AJ258" i="6"/>
  <c r="F261" i="6"/>
  <c r="E261" i="12"/>
  <c r="AV260" i="6" l="1"/>
  <c r="BA260" i="6"/>
  <c r="C258" i="12"/>
  <c r="AO258" i="12"/>
  <c r="M258" i="12"/>
  <c r="O258" i="12"/>
  <c r="N258" i="12" s="1"/>
  <c r="J262" i="12"/>
  <c r="L262" i="12"/>
  <c r="K262" i="12" s="1"/>
  <c r="D257" i="12"/>
  <c r="E257" i="6"/>
  <c r="AQ260" i="6"/>
  <c r="AS260" i="6"/>
  <c r="AL260" i="6"/>
  <c r="AR260" i="6"/>
  <c r="C258" i="6"/>
  <c r="O258" i="5"/>
  <c r="AY260" i="6"/>
  <c r="AA258" i="5"/>
  <c r="AB258" i="5"/>
  <c r="M261" i="6"/>
  <c r="BP261" i="6" s="1"/>
  <c r="H261" i="6"/>
  <c r="T261" i="5" s="1"/>
  <c r="BT261" i="6"/>
  <c r="AM261" i="6"/>
  <c r="G261" i="6"/>
  <c r="AS261" i="6"/>
  <c r="N261" i="6"/>
  <c r="BN261" i="6"/>
  <c r="CM261" i="6"/>
  <c r="BW261" i="6"/>
  <c r="BQ261" i="6"/>
  <c r="AL261" i="6"/>
  <c r="N257" i="12"/>
  <c r="K261" i="12"/>
  <c r="AT260" i="6"/>
  <c r="AU260" i="6"/>
  <c r="AP260" i="6"/>
  <c r="AZ260" i="6"/>
  <c r="AO260" i="6"/>
  <c r="AW260" i="6"/>
  <c r="AJ260" i="6"/>
  <c r="E263" i="5"/>
  <c r="G263" i="5"/>
  <c r="AE263" i="5"/>
  <c r="AD263" i="5"/>
  <c r="J263" i="5"/>
  <c r="F263" i="5"/>
  <c r="C264" i="5"/>
  <c r="H263" i="5"/>
  <c r="N263" i="5"/>
  <c r="B263" i="6"/>
  <c r="B263" i="5"/>
  <c r="D263" i="5"/>
  <c r="B263" i="12" s="1"/>
  <c r="A263" i="12"/>
  <c r="W263" i="5"/>
  <c r="H263" i="12" s="1"/>
  <c r="R263" i="5"/>
  <c r="K263" i="5"/>
  <c r="AX260" i="6"/>
  <c r="D262" i="6"/>
  <c r="E262" i="12"/>
  <c r="F262" i="6"/>
  <c r="Y257" i="12"/>
  <c r="AK260" i="6"/>
  <c r="AM260" i="6"/>
  <c r="AN260" i="6"/>
  <c r="CH261" i="6" l="1"/>
  <c r="BK261" i="6"/>
  <c r="CC261" i="6"/>
  <c r="AU261" i="6"/>
  <c r="BJ261" i="6"/>
  <c r="CB261" i="6"/>
  <c r="CF261" i="6"/>
  <c r="BR261" i="6"/>
  <c r="BF261" i="6"/>
  <c r="CE261" i="6"/>
  <c r="BL261" i="6"/>
  <c r="CL261" i="6"/>
  <c r="AX261" i="6"/>
  <c r="BI261" i="6"/>
  <c r="AQ261" i="6"/>
  <c r="BM261" i="6"/>
  <c r="AW261" i="6"/>
  <c r="BA261" i="6"/>
  <c r="CG261" i="6"/>
  <c r="CI261" i="6"/>
  <c r="AV261" i="6"/>
  <c r="AR261" i="6"/>
  <c r="BO261" i="6"/>
  <c r="AP261" i="6"/>
  <c r="BG261" i="6"/>
  <c r="BX261" i="6"/>
  <c r="CJ261" i="6"/>
  <c r="BY261" i="6"/>
  <c r="CK261" i="6"/>
  <c r="BV261" i="6"/>
  <c r="AN261" i="6"/>
  <c r="AK261" i="6"/>
  <c r="CD261" i="6"/>
  <c r="BS261" i="6"/>
  <c r="AY261" i="6"/>
  <c r="BH261" i="6"/>
  <c r="AO261" i="6"/>
  <c r="BC261" i="6"/>
  <c r="BZ261" i="6"/>
  <c r="CA261" i="6"/>
  <c r="BD261" i="6"/>
  <c r="BE261" i="6"/>
  <c r="G261" i="12"/>
  <c r="X261" i="5"/>
  <c r="D263" i="6"/>
  <c r="AZ261" i="6"/>
  <c r="AT261" i="6"/>
  <c r="E258" i="6"/>
  <c r="D258" i="12"/>
  <c r="Y258" i="12"/>
  <c r="E263" i="12"/>
  <c r="F263" i="6"/>
  <c r="W257" i="12"/>
  <c r="X257" i="12"/>
  <c r="N262" i="6"/>
  <c r="G262" i="6"/>
  <c r="M262" i="6"/>
  <c r="CH262" i="6" s="1"/>
  <c r="BI262" i="6"/>
  <c r="BO262" i="6"/>
  <c r="BW262" i="6"/>
  <c r="H262" i="6"/>
  <c r="T262" i="5" s="1"/>
  <c r="BR262" i="6"/>
  <c r="J263" i="12"/>
  <c r="L263" i="12"/>
  <c r="C265" i="5"/>
  <c r="G264" i="5"/>
  <c r="J264" i="5"/>
  <c r="W264" i="5"/>
  <c r="H264" i="12" s="1"/>
  <c r="F264" i="5"/>
  <c r="N264" i="5"/>
  <c r="AE264" i="5"/>
  <c r="D264" i="5"/>
  <c r="B264" i="12" s="1"/>
  <c r="R264" i="5"/>
  <c r="H264" i="5"/>
  <c r="A264" i="12"/>
  <c r="B264" i="5"/>
  <c r="B264" i="6"/>
  <c r="AD264" i="5"/>
  <c r="E264" i="5"/>
  <c r="K264" i="5"/>
  <c r="K263" i="12" l="1"/>
  <c r="AP262" i="6"/>
  <c r="AS262" i="6"/>
  <c r="BS262" i="6"/>
  <c r="BE262" i="6"/>
  <c r="AQ262" i="6"/>
  <c r="CA262" i="6"/>
  <c r="AY262" i="6"/>
  <c r="CM262" i="6"/>
  <c r="CG262" i="6"/>
  <c r="U257" i="12"/>
  <c r="T257" i="12"/>
  <c r="V257" i="12"/>
  <c r="N263" i="6"/>
  <c r="H263" i="6"/>
  <c r="T263" i="5" s="1"/>
  <c r="G263" i="6"/>
  <c r="M263" i="6"/>
  <c r="BT263" i="6" s="1"/>
  <c r="J264" i="12"/>
  <c r="L264" i="12"/>
  <c r="F264" i="6"/>
  <c r="E264" i="12"/>
  <c r="BL262" i="6"/>
  <c r="AL262" i="6"/>
  <c r="BA262" i="6"/>
  <c r="CE262" i="6"/>
  <c r="BX262" i="6"/>
  <c r="AM262" i="6"/>
  <c r="BJ262" i="6"/>
  <c r="AW262" i="6"/>
  <c r="CB262" i="6"/>
  <c r="AZ262" i="6"/>
  <c r="BK262" i="6"/>
  <c r="CI262" i="6"/>
  <c r="BF262" i="6"/>
  <c r="BD262" i="6"/>
  <c r="CK262" i="6"/>
  <c r="L261" i="5"/>
  <c r="AM261" i="5"/>
  <c r="I261" i="12"/>
  <c r="Z261" i="5"/>
  <c r="I261" i="5"/>
  <c r="AC261" i="5"/>
  <c r="AJ261" i="6"/>
  <c r="D264" i="6"/>
  <c r="BY262" i="6"/>
  <c r="AK262" i="6"/>
  <c r="CL262" i="6"/>
  <c r="AV262" i="6"/>
  <c r="BV262" i="6"/>
  <c r="BP262" i="6"/>
  <c r="BT262" i="6"/>
  <c r="CD262" i="6"/>
  <c r="AX262" i="6"/>
  <c r="BG262" i="6"/>
  <c r="CC262" i="6"/>
  <c r="AR262" i="6"/>
  <c r="BN262" i="6"/>
  <c r="CJ262" i="6"/>
  <c r="G265" i="5"/>
  <c r="A265" i="12"/>
  <c r="C266" i="5"/>
  <c r="AD265" i="5"/>
  <c r="J265" i="5"/>
  <c r="D265" i="5"/>
  <c r="B265" i="12" s="1"/>
  <c r="B265" i="5"/>
  <c r="AE265" i="5"/>
  <c r="W265" i="5"/>
  <c r="H265" i="12" s="1"/>
  <c r="K265" i="5"/>
  <c r="B265" i="6"/>
  <c r="N265" i="5"/>
  <c r="F265" i="5"/>
  <c r="H265" i="5"/>
  <c r="R265" i="5"/>
  <c r="E265" i="5"/>
  <c r="G262" i="12"/>
  <c r="X262" i="5"/>
  <c r="AT262" i="6"/>
  <c r="CF262" i="6"/>
  <c r="BC262" i="6"/>
  <c r="BZ262" i="6"/>
  <c r="BQ262" i="6"/>
  <c r="AO262" i="6"/>
  <c r="AU262" i="6"/>
  <c r="BM262" i="6"/>
  <c r="BH262" i="6"/>
  <c r="AN262" i="6"/>
  <c r="W258" i="12"/>
  <c r="X258" i="12"/>
  <c r="CL263" i="6" l="1"/>
  <c r="CH263" i="6"/>
  <c r="BG263" i="6"/>
  <c r="K264" i="12"/>
  <c r="BL263" i="6"/>
  <c r="BN263" i="6"/>
  <c r="BH263" i="6"/>
  <c r="BF263" i="6"/>
  <c r="CJ263" i="6"/>
  <c r="AM263" i="6"/>
  <c r="BS263" i="6"/>
  <c r="BO263" i="6"/>
  <c r="BE263" i="6"/>
  <c r="AK263" i="6"/>
  <c r="BW263" i="6"/>
  <c r="BX263" i="6"/>
  <c r="AU263" i="6"/>
  <c r="AY263" i="6"/>
  <c r="BM263" i="6"/>
  <c r="V258" i="12"/>
  <c r="U258" i="12"/>
  <c r="T258" i="12"/>
  <c r="L262" i="5"/>
  <c r="I262" i="12"/>
  <c r="AM262" i="5"/>
  <c r="Z262" i="5"/>
  <c r="I262" i="5"/>
  <c r="AC262" i="5"/>
  <c r="D265" i="6"/>
  <c r="B266" i="5"/>
  <c r="E266" i="5"/>
  <c r="J266" i="5"/>
  <c r="D266" i="5"/>
  <c r="B266" i="12" s="1"/>
  <c r="B266" i="6"/>
  <c r="H266" i="5"/>
  <c r="AD266" i="5"/>
  <c r="R266" i="5"/>
  <c r="C267" i="5"/>
  <c r="F266" i="5"/>
  <c r="W266" i="5"/>
  <c r="H266" i="12" s="1"/>
  <c r="G266" i="5"/>
  <c r="A266" i="12"/>
  <c r="K266" i="5"/>
  <c r="N266" i="5"/>
  <c r="AE266" i="5"/>
  <c r="AR263" i="6"/>
  <c r="AX263" i="6"/>
  <c r="AQ263" i="6"/>
  <c r="AL263" i="6"/>
  <c r="BR263" i="6"/>
  <c r="AO263" i="6"/>
  <c r="CF263" i="6"/>
  <c r="AP263" i="6"/>
  <c r="G263" i="12"/>
  <c r="X263" i="5"/>
  <c r="BK263" i="6"/>
  <c r="AW263" i="6"/>
  <c r="AV263" i="6"/>
  <c r="BY263" i="6"/>
  <c r="AJ262" i="6"/>
  <c r="E265" i="12"/>
  <c r="F265" i="6"/>
  <c r="J265" i="12"/>
  <c r="L265" i="12"/>
  <c r="K265" i="12" s="1"/>
  <c r="C261" i="6"/>
  <c r="O261" i="5"/>
  <c r="BC263" i="6"/>
  <c r="CB263" i="6"/>
  <c r="CE263" i="6"/>
  <c r="BP263" i="6"/>
  <c r="BQ263" i="6"/>
  <c r="AS263" i="6"/>
  <c r="CM263" i="6"/>
  <c r="CD263" i="6"/>
  <c r="BI263" i="6"/>
  <c r="CA263" i="6"/>
  <c r="CG263" i="6"/>
  <c r="BJ263" i="6"/>
  <c r="G264" i="6"/>
  <c r="BG264" i="6"/>
  <c r="CK264" i="6"/>
  <c r="M264" i="6"/>
  <c r="BT264" i="6" s="1"/>
  <c r="CD264" i="6"/>
  <c r="BF264" i="6"/>
  <c r="CB264" i="6"/>
  <c r="BX264" i="6"/>
  <c r="CE264" i="6"/>
  <c r="BQ264" i="6"/>
  <c r="BH264" i="6"/>
  <c r="BY264" i="6"/>
  <c r="CG264" i="6"/>
  <c r="BL264" i="6"/>
  <c r="CJ264" i="6"/>
  <c r="BS264" i="6"/>
  <c r="BJ264" i="6"/>
  <c r="N264" i="6"/>
  <c r="BZ264" i="6"/>
  <c r="BM264" i="6"/>
  <c r="BN264" i="6"/>
  <c r="BW264" i="6"/>
  <c r="BI264" i="6"/>
  <c r="CF264" i="6"/>
  <c r="CA264" i="6"/>
  <c r="CM264" i="6"/>
  <c r="BO264" i="6"/>
  <c r="BR264" i="6"/>
  <c r="H264" i="6"/>
  <c r="T264" i="5" s="1"/>
  <c r="BP264" i="6"/>
  <c r="CL264" i="6"/>
  <c r="AB261" i="5"/>
  <c r="AA261" i="5"/>
  <c r="CK263" i="6"/>
  <c r="BA263" i="6"/>
  <c r="BV263" i="6"/>
  <c r="AZ263" i="6"/>
  <c r="CI263" i="6"/>
  <c r="CC263" i="6"/>
  <c r="BD263" i="6"/>
  <c r="C261" i="12"/>
  <c r="O261" i="12"/>
  <c r="AO261" i="12"/>
  <c r="M261" i="12"/>
  <c r="BZ263" i="6"/>
  <c r="AN263" i="6"/>
  <c r="AT263" i="6"/>
  <c r="CI264" i="6" l="1"/>
  <c r="BA264" i="6"/>
  <c r="AR264" i="6"/>
  <c r="AS264" i="6"/>
  <c r="CC264" i="6"/>
  <c r="N261" i="12"/>
  <c r="AW264" i="6"/>
  <c r="AZ264" i="6"/>
  <c r="CH264" i="6"/>
  <c r="BD264" i="6"/>
  <c r="AT264" i="6"/>
  <c r="BK264" i="6"/>
  <c r="BV264" i="6"/>
  <c r="AQ264" i="6"/>
  <c r="AM263" i="5"/>
  <c r="I263" i="12"/>
  <c r="L263" i="5"/>
  <c r="I263" i="5"/>
  <c r="Z263" i="5"/>
  <c r="AC263" i="5"/>
  <c r="D266" i="6"/>
  <c r="L266" i="12"/>
  <c r="K266" i="12" s="1"/>
  <c r="J266" i="12"/>
  <c r="AE267" i="5"/>
  <c r="H267" i="5"/>
  <c r="K267" i="5"/>
  <c r="D267" i="5"/>
  <c r="B267" i="12" s="1"/>
  <c r="J267" i="5"/>
  <c r="A267" i="12"/>
  <c r="E267" i="5"/>
  <c r="R267" i="5"/>
  <c r="AD267" i="5"/>
  <c r="C268" i="5"/>
  <c r="B267" i="6"/>
  <c r="N267" i="5"/>
  <c r="W267" i="5"/>
  <c r="H267" i="12" s="1"/>
  <c r="B267" i="5"/>
  <c r="F267" i="5"/>
  <c r="G267" i="5"/>
  <c r="AA262" i="5"/>
  <c r="AB262" i="5"/>
  <c r="G264" i="12"/>
  <c r="X264" i="5"/>
  <c r="AP264" i="6"/>
  <c r="AK264" i="6"/>
  <c r="AY264" i="6"/>
  <c r="AU264" i="6"/>
  <c r="AL264" i="6"/>
  <c r="BC264" i="6"/>
  <c r="AJ263" i="6"/>
  <c r="G265" i="6"/>
  <c r="M265" i="6"/>
  <c r="CG265" i="6" s="1"/>
  <c r="H265" i="6"/>
  <c r="T265" i="5" s="1"/>
  <c r="N265" i="6"/>
  <c r="AX264" i="6"/>
  <c r="E261" i="6"/>
  <c r="D261" i="12"/>
  <c r="C262" i="12"/>
  <c r="O262" i="12"/>
  <c r="M262" i="12"/>
  <c r="AO262" i="12"/>
  <c r="Y261" i="12"/>
  <c r="AO264" i="6"/>
  <c r="AJ264" i="6"/>
  <c r="AV264" i="6"/>
  <c r="AN264" i="6"/>
  <c r="AM264" i="6"/>
  <c r="BE264" i="6"/>
  <c r="F266" i="6"/>
  <c r="E266" i="12"/>
  <c r="C262" i="6"/>
  <c r="O262" i="5"/>
  <c r="AW265" i="6" l="1"/>
  <c r="BS265" i="6"/>
  <c r="BI265" i="6"/>
  <c r="BG265" i="6"/>
  <c r="CK265" i="6"/>
  <c r="CJ265" i="6"/>
  <c r="BR265" i="6"/>
  <c r="BL265" i="6"/>
  <c r="BT265" i="6"/>
  <c r="BW265" i="6"/>
  <c r="CL265" i="6"/>
  <c r="AR265" i="6"/>
  <c r="BE265" i="6"/>
  <c r="AO265" i="6"/>
  <c r="BC265" i="6"/>
  <c r="BK265" i="6"/>
  <c r="CD265" i="6"/>
  <c r="BY265" i="6"/>
  <c r="AZ265" i="6"/>
  <c r="AY265" i="6"/>
  <c r="BQ265" i="6"/>
  <c r="BO265" i="6"/>
  <c r="CF265" i="6"/>
  <c r="BH265" i="6"/>
  <c r="AV265" i="6"/>
  <c r="BP265" i="6"/>
  <c r="CC265" i="6"/>
  <c r="BF265" i="6"/>
  <c r="BA265" i="6"/>
  <c r="AN265" i="6"/>
  <c r="CM265" i="6"/>
  <c r="BZ265" i="6"/>
  <c r="CE265" i="6"/>
  <c r="BN265" i="6"/>
  <c r="BD265" i="6"/>
  <c r="CB265" i="6"/>
  <c r="CA265" i="6"/>
  <c r="BJ265" i="6"/>
  <c r="N262" i="12"/>
  <c r="Y262" i="12"/>
  <c r="AS265" i="6"/>
  <c r="AM265" i="6"/>
  <c r="AU265" i="6"/>
  <c r="AP265" i="6"/>
  <c r="CH265" i="6"/>
  <c r="BV265" i="6"/>
  <c r="BM265" i="6"/>
  <c r="CI265" i="6"/>
  <c r="BX265" i="6"/>
  <c r="L264" i="5"/>
  <c r="I264" i="12"/>
  <c r="AM264" i="5"/>
  <c r="I264" i="5"/>
  <c r="Z264" i="5"/>
  <c r="AC264" i="5"/>
  <c r="G266" i="6"/>
  <c r="H266" i="6"/>
  <c r="T266" i="5" s="1"/>
  <c r="N266" i="6"/>
  <c r="CE266" i="6"/>
  <c r="AK266" i="6"/>
  <c r="M266" i="6"/>
  <c r="BH266" i="6" s="1"/>
  <c r="C263" i="6"/>
  <c r="O263" i="5"/>
  <c r="E267" i="12"/>
  <c r="F267" i="6"/>
  <c r="C263" i="12"/>
  <c r="M263" i="12"/>
  <c r="O263" i="12"/>
  <c r="AO263" i="12"/>
  <c r="E262" i="6"/>
  <c r="D262" i="12"/>
  <c r="G265" i="12"/>
  <c r="X265" i="5"/>
  <c r="AX265" i="6"/>
  <c r="AQ265" i="6"/>
  <c r="B268" i="6"/>
  <c r="G268" i="5"/>
  <c r="AE268" i="5"/>
  <c r="K268" i="5"/>
  <c r="D268" i="5"/>
  <c r="B268" i="12" s="1"/>
  <c r="N268" i="5"/>
  <c r="AD268" i="5"/>
  <c r="A268" i="12"/>
  <c r="H268" i="5"/>
  <c r="R268" i="5"/>
  <c r="W268" i="5"/>
  <c r="H268" i="12" s="1"/>
  <c r="F268" i="5"/>
  <c r="E268" i="5"/>
  <c r="J268" i="5"/>
  <c r="B268" i="5"/>
  <c r="C269" i="5" s="1"/>
  <c r="AB263" i="5"/>
  <c r="AA263" i="5"/>
  <c r="W261" i="12"/>
  <c r="X261" i="12"/>
  <c r="AK265" i="6"/>
  <c r="AT265" i="6"/>
  <c r="AL265" i="6"/>
  <c r="D267" i="6"/>
  <c r="J267" i="12"/>
  <c r="L267" i="12"/>
  <c r="BC266" i="6" l="1"/>
  <c r="CB266" i="6"/>
  <c r="BV266" i="6"/>
  <c r="BN266" i="6"/>
  <c r="AY266" i="6"/>
  <c r="BR266" i="6"/>
  <c r="CA266" i="6"/>
  <c r="CM266" i="6"/>
  <c r="AQ266" i="6"/>
  <c r="AV266" i="6"/>
  <c r="BI266" i="6"/>
  <c r="BS266" i="6"/>
  <c r="BP266" i="6"/>
  <c r="AS266" i="6"/>
  <c r="AR266" i="6"/>
  <c r="BE266" i="6"/>
  <c r="CG266" i="6"/>
  <c r="F269" i="5"/>
  <c r="C270" i="5"/>
  <c r="AD269" i="5"/>
  <c r="H269" i="5"/>
  <c r="N269" i="5"/>
  <c r="E269" i="5"/>
  <c r="I269" i="5"/>
  <c r="A269" i="12"/>
  <c r="AE269" i="5"/>
  <c r="W269" i="5"/>
  <c r="H269" i="12" s="1"/>
  <c r="G269" i="5"/>
  <c r="B269" i="6"/>
  <c r="B269" i="5"/>
  <c r="G266" i="12"/>
  <c r="X266" i="5"/>
  <c r="AU266" i="6"/>
  <c r="AL266" i="6"/>
  <c r="BF266" i="6"/>
  <c r="CC266" i="6"/>
  <c r="AB264" i="5"/>
  <c r="AA264" i="5"/>
  <c r="C264" i="6"/>
  <c r="O264" i="5"/>
  <c r="K267" i="12"/>
  <c r="H267" i="6"/>
  <c r="T267" i="5" s="1"/>
  <c r="BK267" i="6"/>
  <c r="BR267" i="6"/>
  <c r="N267" i="6"/>
  <c r="AT267" i="6"/>
  <c r="BD267" i="6"/>
  <c r="M267" i="6"/>
  <c r="BP267" i="6" s="1"/>
  <c r="AS267" i="6"/>
  <c r="BC267" i="6"/>
  <c r="BT267" i="6"/>
  <c r="CM267" i="6"/>
  <c r="G267" i="6"/>
  <c r="BE267" i="6"/>
  <c r="BG267" i="6"/>
  <c r="BS267" i="6"/>
  <c r="BL267" i="6"/>
  <c r="E268" i="12"/>
  <c r="F268" i="6"/>
  <c r="AM265" i="5"/>
  <c r="I265" i="12"/>
  <c r="L265" i="5"/>
  <c r="I265" i="5"/>
  <c r="Z265" i="5"/>
  <c r="AC265" i="5"/>
  <c r="AJ265" i="6"/>
  <c r="Y263" i="12"/>
  <c r="AW266" i="6"/>
  <c r="BL266" i="6"/>
  <c r="BK266" i="6"/>
  <c r="BZ266" i="6"/>
  <c r="BQ266" i="6"/>
  <c r="BW266" i="6"/>
  <c r="CL266" i="6"/>
  <c r="AM266" i="6"/>
  <c r="CK266" i="6"/>
  <c r="AJ266" i="6"/>
  <c r="BY266" i="6"/>
  <c r="AO266" i="6"/>
  <c r="AX266" i="6"/>
  <c r="BM266" i="6"/>
  <c r="U261" i="12"/>
  <c r="V261" i="12"/>
  <c r="T261" i="12"/>
  <c r="D268" i="6"/>
  <c r="N263" i="12"/>
  <c r="CJ266" i="6"/>
  <c r="BD266" i="6"/>
  <c r="BG266" i="6"/>
  <c r="BX266" i="6"/>
  <c r="AN266" i="6"/>
  <c r="CD266" i="6"/>
  <c r="CI266" i="6"/>
  <c r="BT266" i="6"/>
  <c r="X262" i="12"/>
  <c r="W262" i="12"/>
  <c r="J268" i="12"/>
  <c r="L268" i="12"/>
  <c r="D263" i="12"/>
  <c r="E263" i="6"/>
  <c r="AP266" i="6"/>
  <c r="AT266" i="6"/>
  <c r="BA266" i="6"/>
  <c r="BO266" i="6"/>
  <c r="CF266" i="6"/>
  <c r="CH266" i="6"/>
  <c r="BJ266" i="6"/>
  <c r="AZ266" i="6"/>
  <c r="C264" i="12"/>
  <c r="AO264" i="12"/>
  <c r="O264" i="12"/>
  <c r="M264" i="12"/>
  <c r="AW267" i="6" l="1"/>
  <c r="BZ267" i="6"/>
  <c r="AV267" i="6"/>
  <c r="BJ267" i="6"/>
  <c r="BW267" i="6"/>
  <c r="CC267" i="6"/>
  <c r="AN267" i="6"/>
  <c r="BO267" i="6"/>
  <c r="BV267" i="6"/>
  <c r="AX267" i="6"/>
  <c r="AY267" i="6"/>
  <c r="BF267" i="6"/>
  <c r="Y264" i="12"/>
  <c r="CJ267" i="6"/>
  <c r="CI267" i="6"/>
  <c r="CG267" i="6"/>
  <c r="CD267" i="6"/>
  <c r="BI267" i="6"/>
  <c r="CK267" i="6"/>
  <c r="CF267" i="6"/>
  <c r="BA267" i="6"/>
  <c r="BX267" i="6"/>
  <c r="BM267" i="6"/>
  <c r="CA267" i="6"/>
  <c r="BY267" i="6"/>
  <c r="AK267" i="6"/>
  <c r="CE267" i="6"/>
  <c r="BN267" i="6"/>
  <c r="AA265" i="5"/>
  <c r="AB265" i="5"/>
  <c r="N264" i="12"/>
  <c r="K268" i="12"/>
  <c r="W263" i="12"/>
  <c r="X263" i="12"/>
  <c r="AL267" i="6"/>
  <c r="AM267" i="6"/>
  <c r="CB267" i="6"/>
  <c r="AZ267" i="6"/>
  <c r="AU267" i="6"/>
  <c r="CL267" i="6"/>
  <c r="BH267" i="6"/>
  <c r="BQ267" i="6"/>
  <c r="CH267" i="6"/>
  <c r="W264" i="12"/>
  <c r="X264" i="12"/>
  <c r="H268" i="6"/>
  <c r="T268" i="5" s="1"/>
  <c r="M268" i="6"/>
  <c r="BG268" i="6" s="1"/>
  <c r="BD268" i="6"/>
  <c r="N268" i="6"/>
  <c r="CE268" i="6"/>
  <c r="BQ268" i="6"/>
  <c r="CK268" i="6"/>
  <c r="G268" i="6"/>
  <c r="BM268" i="6"/>
  <c r="CL268" i="6"/>
  <c r="AQ268" i="6"/>
  <c r="BJ268" i="6"/>
  <c r="BC268" i="6"/>
  <c r="BF268" i="6"/>
  <c r="CA268" i="6"/>
  <c r="BR268" i="6"/>
  <c r="C265" i="6"/>
  <c r="O265" i="5"/>
  <c r="AP267" i="6"/>
  <c r="AO267" i="6"/>
  <c r="AQ267" i="6"/>
  <c r="D264" i="12"/>
  <c r="E264" i="6"/>
  <c r="I266" i="12"/>
  <c r="L266" i="5"/>
  <c r="AM266" i="5"/>
  <c r="Z266" i="5"/>
  <c r="I266" i="5"/>
  <c r="AC266" i="5"/>
  <c r="C265" i="12"/>
  <c r="M265" i="12"/>
  <c r="AO265" i="12"/>
  <c r="O265" i="12"/>
  <c r="AR267" i="6"/>
  <c r="G270" i="5"/>
  <c r="C271" i="5"/>
  <c r="A270" i="12"/>
  <c r="D270" i="5"/>
  <c r="B270" i="12" s="1"/>
  <c r="N270" i="5"/>
  <c r="B270" i="6"/>
  <c r="J270" i="5"/>
  <c r="W270" i="5"/>
  <c r="H270" i="12" s="1"/>
  <c r="AE270" i="5"/>
  <c r="AD270" i="5"/>
  <c r="H270" i="5"/>
  <c r="R270" i="5"/>
  <c r="F270" i="5"/>
  <c r="B270" i="5"/>
  <c r="K270" i="5"/>
  <c r="E270" i="5"/>
  <c r="U262" i="12"/>
  <c r="V262" i="12"/>
  <c r="T262" i="12"/>
  <c r="G267" i="12"/>
  <c r="X267" i="5"/>
  <c r="D269" i="6"/>
  <c r="BH268" i="6" l="1"/>
  <c r="CB268" i="6"/>
  <c r="BW268" i="6"/>
  <c r="CD268" i="6"/>
  <c r="N265" i="12"/>
  <c r="CG268" i="6"/>
  <c r="BA268" i="6"/>
  <c r="CM268" i="6"/>
  <c r="AY268" i="6"/>
  <c r="BY268" i="6"/>
  <c r="AV268" i="6"/>
  <c r="AO268" i="6"/>
  <c r="BL268" i="6"/>
  <c r="AS268" i="6"/>
  <c r="AW268" i="6"/>
  <c r="G268" i="12"/>
  <c r="X268" i="5"/>
  <c r="L270" i="12"/>
  <c r="J270" i="12"/>
  <c r="C266" i="6"/>
  <c r="O266" i="5"/>
  <c r="E265" i="6"/>
  <c r="D265" i="12"/>
  <c r="AZ268" i="6"/>
  <c r="AN268" i="6"/>
  <c r="BK268" i="6"/>
  <c r="BI268" i="6"/>
  <c r="AX268" i="6"/>
  <c r="AU268" i="6"/>
  <c r="BE268" i="6"/>
  <c r="BN268" i="6"/>
  <c r="CF268" i="6"/>
  <c r="BS268" i="6"/>
  <c r="M269" i="6"/>
  <c r="AK269" i="6" s="1"/>
  <c r="CF269" i="6"/>
  <c r="BX269" i="6"/>
  <c r="BO269" i="6"/>
  <c r="CA269" i="6"/>
  <c r="BZ269" i="6"/>
  <c r="BJ269" i="6"/>
  <c r="BW269" i="6"/>
  <c r="CL269" i="6"/>
  <c r="H269" i="6"/>
  <c r="T269" i="5" s="1"/>
  <c r="G269" i="12" s="1"/>
  <c r="BH269" i="6"/>
  <c r="BK269" i="6"/>
  <c r="CG269" i="6"/>
  <c r="BQ269" i="6"/>
  <c r="BS269" i="6"/>
  <c r="BG269" i="6"/>
  <c r="BM269" i="6"/>
  <c r="CD269" i="6"/>
  <c r="BN269" i="6"/>
  <c r="CI269" i="6"/>
  <c r="AS269" i="6"/>
  <c r="BT269" i="6"/>
  <c r="CE269" i="6"/>
  <c r="BF269" i="6"/>
  <c r="BY269" i="6"/>
  <c r="BP269" i="6"/>
  <c r="CJ269" i="6"/>
  <c r="CM269" i="6"/>
  <c r="G269" i="6"/>
  <c r="CK269" i="6"/>
  <c r="BC269" i="6"/>
  <c r="N269" i="6"/>
  <c r="CH269" i="6"/>
  <c r="BI269" i="6"/>
  <c r="CC269" i="6"/>
  <c r="AU269" i="6"/>
  <c r="CB269" i="6"/>
  <c r="BR269" i="6"/>
  <c r="BD269" i="6"/>
  <c r="BL269" i="6"/>
  <c r="BV269" i="6"/>
  <c r="BE269" i="6"/>
  <c r="I267" i="12"/>
  <c r="AM267" i="5"/>
  <c r="L267" i="5"/>
  <c r="I267" i="5"/>
  <c r="Z267" i="5"/>
  <c r="AC267" i="5"/>
  <c r="F270" i="6"/>
  <c r="E270" i="12"/>
  <c r="D270" i="6"/>
  <c r="J271" i="5"/>
  <c r="C272" i="5"/>
  <c r="E271" i="5"/>
  <c r="AE271" i="5"/>
  <c r="W271" i="5"/>
  <c r="H271" i="12" s="1"/>
  <c r="D271" i="5"/>
  <c r="B271" i="12" s="1"/>
  <c r="N271" i="5"/>
  <c r="B271" i="6"/>
  <c r="K271" i="5"/>
  <c r="A271" i="12"/>
  <c r="G271" i="5"/>
  <c r="F271" i="5"/>
  <c r="R271" i="5"/>
  <c r="AD271" i="5"/>
  <c r="B271" i="5"/>
  <c r="H271" i="5"/>
  <c r="Y265" i="12"/>
  <c r="C266" i="12"/>
  <c r="M266" i="12"/>
  <c r="O266" i="12"/>
  <c r="AO266" i="12"/>
  <c r="CH268" i="6"/>
  <c r="AK268" i="6"/>
  <c r="AP268" i="6"/>
  <c r="CC268" i="6"/>
  <c r="BZ268" i="6"/>
  <c r="CI268" i="6"/>
  <c r="BV268" i="6"/>
  <c r="AR268" i="6"/>
  <c r="CJ268" i="6"/>
  <c r="U264" i="12"/>
  <c r="V264" i="12"/>
  <c r="T264" i="12"/>
  <c r="T263" i="12"/>
  <c r="V263" i="12"/>
  <c r="U263" i="12"/>
  <c r="AB266" i="5"/>
  <c r="AA266" i="5"/>
  <c r="AJ267" i="6"/>
  <c r="AT268" i="6"/>
  <c r="AM268" i="6"/>
  <c r="BT268" i="6"/>
  <c r="AL268" i="6"/>
  <c r="BO268" i="6"/>
  <c r="BP268" i="6"/>
  <c r="BX268" i="6"/>
  <c r="AP269" i="6" l="1"/>
  <c r="AM269" i="6"/>
  <c r="AY269" i="6"/>
  <c r="AX269" i="6"/>
  <c r="AJ269" i="6"/>
  <c r="AT269" i="6"/>
  <c r="AN269" i="6"/>
  <c r="BA269" i="6"/>
  <c r="AQ269" i="6"/>
  <c r="AZ269" i="6"/>
  <c r="AR269" i="6"/>
  <c r="AW269" i="6"/>
  <c r="AV269" i="6"/>
  <c r="N266" i="12"/>
  <c r="AO269" i="6"/>
  <c r="AL269" i="6"/>
  <c r="Y266" i="12"/>
  <c r="X265" i="12"/>
  <c r="W265" i="12"/>
  <c r="E271" i="12"/>
  <c r="F271" i="6"/>
  <c r="J271" i="12"/>
  <c r="L271" i="12"/>
  <c r="D271" i="6"/>
  <c r="N270" i="6"/>
  <c r="M270" i="6"/>
  <c r="BX270" i="6" s="1"/>
  <c r="BP270" i="6"/>
  <c r="BG270" i="6"/>
  <c r="CL270" i="6"/>
  <c r="CM270" i="6"/>
  <c r="BZ270" i="6"/>
  <c r="BR270" i="6"/>
  <c r="CI270" i="6"/>
  <c r="BC270" i="6"/>
  <c r="BY270" i="6"/>
  <c r="G270" i="6"/>
  <c r="BW270" i="6"/>
  <c r="BI270" i="6"/>
  <c r="BH270" i="6"/>
  <c r="BV270" i="6"/>
  <c r="CG270" i="6"/>
  <c r="H270" i="6"/>
  <c r="T270" i="5" s="1"/>
  <c r="CJ270" i="6"/>
  <c r="BJ270" i="6"/>
  <c r="AB267" i="5"/>
  <c r="AA267" i="5"/>
  <c r="C267" i="12"/>
  <c r="M267" i="12"/>
  <c r="AO267" i="12"/>
  <c r="O267" i="12"/>
  <c r="N267" i="12" s="1"/>
  <c r="K270" i="12"/>
  <c r="B272" i="5"/>
  <c r="K272" i="5"/>
  <c r="AE272" i="5"/>
  <c r="AD272" i="5"/>
  <c r="J272" i="5"/>
  <c r="E272" i="5"/>
  <c r="F272" i="5"/>
  <c r="R272" i="5"/>
  <c r="W272" i="5"/>
  <c r="H272" i="12" s="1"/>
  <c r="G272" i="5"/>
  <c r="B272" i="6"/>
  <c r="C273" i="5"/>
  <c r="H272" i="5"/>
  <c r="D272" i="5"/>
  <c r="B272" i="12" s="1"/>
  <c r="N272" i="5"/>
  <c r="A272" i="12"/>
  <c r="C267" i="6"/>
  <c r="O267" i="5"/>
  <c r="AM268" i="5"/>
  <c r="L268" i="5"/>
  <c r="I268" i="12"/>
  <c r="Z268" i="5"/>
  <c r="I268" i="5"/>
  <c r="AC268" i="5"/>
  <c r="AJ268" i="6"/>
  <c r="E266" i="6"/>
  <c r="D266" i="12"/>
  <c r="CE270" i="6" l="1"/>
  <c r="CH270" i="6"/>
  <c r="BD270" i="6"/>
  <c r="Y267" i="12"/>
  <c r="AW270" i="6"/>
  <c r="BE270" i="6"/>
  <c r="AN270" i="6"/>
  <c r="BN270" i="6"/>
  <c r="BL270" i="6"/>
  <c r="BQ270" i="6"/>
  <c r="BF270" i="6"/>
  <c r="BK270" i="6"/>
  <c r="CK270" i="6"/>
  <c r="K271" i="12"/>
  <c r="AB268" i="5"/>
  <c r="AA268" i="5"/>
  <c r="F272" i="6"/>
  <c r="E272" i="12"/>
  <c r="G270" i="12"/>
  <c r="X270" i="5"/>
  <c r="AO270" i="6"/>
  <c r="AT270" i="6"/>
  <c r="CC270" i="6"/>
  <c r="BS270" i="6"/>
  <c r="BT270" i="6"/>
  <c r="E267" i="6"/>
  <c r="D267" i="12"/>
  <c r="C268" i="6"/>
  <c r="O268" i="5"/>
  <c r="AZ270" i="6"/>
  <c r="AR270" i="6"/>
  <c r="AK270" i="6"/>
  <c r="AS270" i="6"/>
  <c r="G271" i="6"/>
  <c r="H271" i="6"/>
  <c r="T271" i="5" s="1"/>
  <c r="N271" i="6"/>
  <c r="M271" i="6"/>
  <c r="BN271" i="6" s="1"/>
  <c r="BS271" i="6"/>
  <c r="CC271" i="6"/>
  <c r="BY271" i="6"/>
  <c r="T265" i="12"/>
  <c r="V265" i="12"/>
  <c r="U265" i="12"/>
  <c r="C268" i="12"/>
  <c r="M268" i="12"/>
  <c r="AO268" i="12"/>
  <c r="O268" i="12"/>
  <c r="X267" i="12"/>
  <c r="W267" i="12"/>
  <c r="L272" i="12"/>
  <c r="K272" i="12" s="1"/>
  <c r="J272" i="12"/>
  <c r="AX270" i="6"/>
  <c r="AM270" i="6"/>
  <c r="AU270" i="6"/>
  <c r="AQ270" i="6"/>
  <c r="CA270" i="6"/>
  <c r="BO270" i="6"/>
  <c r="CB270" i="6"/>
  <c r="AL270" i="6"/>
  <c r="CD270" i="6"/>
  <c r="CF270" i="6"/>
  <c r="D272" i="6"/>
  <c r="H273" i="5"/>
  <c r="AE273" i="5"/>
  <c r="D273" i="5"/>
  <c r="B273" i="12" s="1"/>
  <c r="J273" i="5"/>
  <c r="A273" i="12"/>
  <c r="E273" i="5"/>
  <c r="K273" i="5"/>
  <c r="G273" i="5"/>
  <c r="N273" i="5"/>
  <c r="AD273" i="5"/>
  <c r="C274" i="5"/>
  <c r="R273" i="5"/>
  <c r="B273" i="6"/>
  <c r="B273" i="5"/>
  <c r="F273" i="5"/>
  <c r="W273" i="5"/>
  <c r="H273" i="12" s="1"/>
  <c r="AY270" i="6"/>
  <c r="BA270" i="6"/>
  <c r="AV270" i="6"/>
  <c r="AJ270" i="6"/>
  <c r="BM270" i="6"/>
  <c r="AP270" i="6"/>
  <c r="W266" i="12"/>
  <c r="X266" i="12"/>
  <c r="BL271" i="6" l="1"/>
  <c r="BK271" i="6"/>
  <c r="BZ271" i="6"/>
  <c r="BO271" i="6"/>
  <c r="CF271" i="6"/>
  <c r="BR271" i="6"/>
  <c r="CB271" i="6"/>
  <c r="BF271" i="6"/>
  <c r="AN271" i="6"/>
  <c r="AP271" i="6"/>
  <c r="AX271" i="6"/>
  <c r="N268" i="12"/>
  <c r="AS271" i="6"/>
  <c r="Y268" i="12"/>
  <c r="AO271" i="6"/>
  <c r="BW271" i="6"/>
  <c r="J274" i="5"/>
  <c r="AD274" i="5"/>
  <c r="AE274" i="5"/>
  <c r="E274" i="5"/>
  <c r="D274" i="5"/>
  <c r="B274" i="12" s="1"/>
  <c r="K274" i="5"/>
  <c r="B274" i="6"/>
  <c r="R274" i="5"/>
  <c r="W274" i="5"/>
  <c r="H274" i="12" s="1"/>
  <c r="F274" i="5"/>
  <c r="N274" i="5"/>
  <c r="A274" i="12"/>
  <c r="H274" i="5"/>
  <c r="C275" i="5"/>
  <c r="B274" i="5"/>
  <c r="G274" i="5"/>
  <c r="V267" i="12"/>
  <c r="U267" i="12"/>
  <c r="T267" i="12"/>
  <c r="BX271" i="6"/>
  <c r="CL271" i="6"/>
  <c r="BT271" i="6"/>
  <c r="BH271" i="6"/>
  <c r="BG271" i="6"/>
  <c r="BV271" i="6"/>
  <c r="CA271" i="6"/>
  <c r="BE271" i="6"/>
  <c r="AW271" i="6"/>
  <c r="CI271" i="6"/>
  <c r="BP271" i="6"/>
  <c r="W268" i="12"/>
  <c r="X268" i="12"/>
  <c r="AZ271" i="6"/>
  <c r="BC271" i="6"/>
  <c r="AR271" i="6"/>
  <c r="BD271" i="6"/>
  <c r="G271" i="12"/>
  <c r="X271" i="5"/>
  <c r="AQ271" i="6"/>
  <c r="BQ271" i="6"/>
  <c r="AL271" i="6"/>
  <c r="D268" i="12"/>
  <c r="E268" i="6"/>
  <c r="T266" i="12"/>
  <c r="V266" i="12"/>
  <c r="U266" i="12"/>
  <c r="CK271" i="6"/>
  <c r="AT271" i="6"/>
  <c r="BI271" i="6"/>
  <c r="AK271" i="6"/>
  <c r="CE271" i="6"/>
  <c r="BJ271" i="6"/>
  <c r="BM271" i="6"/>
  <c r="AU271" i="6"/>
  <c r="AM270" i="5"/>
  <c r="L270" i="5"/>
  <c r="I270" i="12"/>
  <c r="I270" i="5"/>
  <c r="Z270" i="5"/>
  <c r="AC270" i="5"/>
  <c r="D273" i="6"/>
  <c r="E273" i="12"/>
  <c r="F273" i="6"/>
  <c r="J273" i="12"/>
  <c r="L273" i="12"/>
  <c r="N272" i="6"/>
  <c r="M272" i="6"/>
  <c r="CF272" i="6" s="1"/>
  <c r="G272" i="6"/>
  <c r="BP272" i="6"/>
  <c r="H272" i="6"/>
  <c r="T272" i="5" s="1"/>
  <c r="CA272" i="6"/>
  <c r="AM272" i="6"/>
  <c r="BM272" i="6"/>
  <c r="CJ271" i="6"/>
  <c r="CM271" i="6"/>
  <c r="AV271" i="6"/>
  <c r="CG271" i="6"/>
  <c r="CD271" i="6"/>
  <c r="CH271" i="6"/>
  <c r="AY271" i="6"/>
  <c r="AJ271" i="6"/>
  <c r="BA271" i="6"/>
  <c r="AM271" i="6"/>
  <c r="CB272" i="6" l="1"/>
  <c r="BX272" i="6"/>
  <c r="BV272" i="6"/>
  <c r="BR272" i="6"/>
  <c r="BJ272" i="6"/>
  <c r="BT272" i="6"/>
  <c r="CH272" i="6"/>
  <c r="CC272" i="6"/>
  <c r="BI272" i="6"/>
  <c r="CJ272" i="6"/>
  <c r="BC272" i="6"/>
  <c r="CK272" i="6"/>
  <c r="BW272" i="6"/>
  <c r="BG272" i="6"/>
  <c r="BO272" i="6"/>
  <c r="BY272" i="6"/>
  <c r="BE272" i="6"/>
  <c r="BQ272" i="6"/>
  <c r="BF272" i="6"/>
  <c r="CL272" i="6"/>
  <c r="BH272" i="6"/>
  <c r="CD272" i="6"/>
  <c r="CM272" i="6"/>
  <c r="BL272" i="6"/>
  <c r="BS272" i="6"/>
  <c r="AT272" i="6"/>
  <c r="AS272" i="6"/>
  <c r="AK272" i="6"/>
  <c r="BN272" i="6"/>
  <c r="K273" i="12"/>
  <c r="AL272" i="6"/>
  <c r="AO272" i="6"/>
  <c r="M273" i="6"/>
  <c r="BI273" i="6" s="1"/>
  <c r="CD273" i="6"/>
  <c r="CI273" i="6"/>
  <c r="BP273" i="6"/>
  <c r="G273" i="6"/>
  <c r="BC273" i="6"/>
  <c r="H273" i="6"/>
  <c r="T273" i="5" s="1"/>
  <c r="BD273" i="6"/>
  <c r="BV273" i="6"/>
  <c r="CM273" i="6"/>
  <c r="N273" i="6"/>
  <c r="BY273" i="6"/>
  <c r="C270" i="12"/>
  <c r="O270" i="12"/>
  <c r="AO270" i="12"/>
  <c r="M270" i="12"/>
  <c r="D274" i="6"/>
  <c r="AU272" i="6"/>
  <c r="AZ272" i="6"/>
  <c r="AP272" i="6"/>
  <c r="AR272" i="6"/>
  <c r="AQ272" i="6"/>
  <c r="CG272" i="6"/>
  <c r="C270" i="6"/>
  <c r="O270" i="5"/>
  <c r="B275" i="6"/>
  <c r="E275" i="5"/>
  <c r="B275" i="5"/>
  <c r="C276" i="5"/>
  <c r="W275" i="5"/>
  <c r="H275" i="12" s="1"/>
  <c r="A275" i="12"/>
  <c r="J275" i="5"/>
  <c r="F275" i="5"/>
  <c r="N275" i="5"/>
  <c r="D275" i="5"/>
  <c r="B275" i="12" s="1"/>
  <c r="AE275" i="5"/>
  <c r="R275" i="5"/>
  <c r="AD275" i="5"/>
  <c r="H275" i="5"/>
  <c r="G275" i="5"/>
  <c r="K275" i="5"/>
  <c r="G272" i="12"/>
  <c r="X272" i="5"/>
  <c r="AJ272" i="6" s="1"/>
  <c r="AV272" i="6"/>
  <c r="AX272" i="6"/>
  <c r="AN272" i="6"/>
  <c r="BD272" i="6"/>
  <c r="AA270" i="5"/>
  <c r="AB270" i="5"/>
  <c r="U268" i="12"/>
  <c r="T268" i="12"/>
  <c r="V268" i="12"/>
  <c r="AY272" i="6"/>
  <c r="BA272" i="6"/>
  <c r="AW272" i="6"/>
  <c r="BK272" i="6"/>
  <c r="CI272" i="6"/>
  <c r="CE272" i="6"/>
  <c r="BZ272" i="6"/>
  <c r="L271" i="5"/>
  <c r="I271" i="12"/>
  <c r="AM271" i="5"/>
  <c r="Z271" i="5"/>
  <c r="I271" i="5"/>
  <c r="AC271" i="5"/>
  <c r="J274" i="12"/>
  <c r="L274" i="12"/>
  <c r="E274" i="12"/>
  <c r="F274" i="6"/>
  <c r="AN273" i="6" l="1"/>
  <c r="BG273" i="6"/>
  <c r="Y270" i="12"/>
  <c r="BL273" i="6"/>
  <c r="BE273" i="6"/>
  <c r="CE273" i="6"/>
  <c r="CF273" i="6"/>
  <c r="CB273" i="6"/>
  <c r="CC273" i="6"/>
  <c r="BN273" i="6"/>
  <c r="BW273" i="6"/>
  <c r="BF273" i="6"/>
  <c r="AW273" i="6"/>
  <c r="BK273" i="6"/>
  <c r="BZ273" i="6"/>
  <c r="BT273" i="6"/>
  <c r="BR273" i="6"/>
  <c r="CK273" i="6"/>
  <c r="CH273" i="6"/>
  <c r="BQ273" i="6"/>
  <c r="CJ273" i="6"/>
  <c r="K274" i="12"/>
  <c r="BM273" i="6"/>
  <c r="CA273" i="6"/>
  <c r="BH273" i="6"/>
  <c r="CL273" i="6"/>
  <c r="BO273" i="6"/>
  <c r="BX273" i="6"/>
  <c r="BS273" i="6"/>
  <c r="CG273" i="6"/>
  <c r="BJ273" i="6"/>
  <c r="C271" i="6"/>
  <c r="O271" i="5"/>
  <c r="G273" i="12"/>
  <c r="X273" i="5"/>
  <c r="AJ273" i="6" s="1"/>
  <c r="AO273" i="6"/>
  <c r="X270" i="12"/>
  <c r="W270" i="12"/>
  <c r="AY273" i="6"/>
  <c r="BA273" i="6"/>
  <c r="C271" i="12"/>
  <c r="O271" i="12"/>
  <c r="M271" i="12"/>
  <c r="AO271" i="12"/>
  <c r="AA271" i="5"/>
  <c r="AB271" i="5"/>
  <c r="L272" i="5"/>
  <c r="AM272" i="5"/>
  <c r="I272" i="12"/>
  <c r="I272" i="5"/>
  <c r="Z272" i="5"/>
  <c r="AC272" i="5"/>
  <c r="F275" i="6"/>
  <c r="E275" i="12"/>
  <c r="J275" i="12"/>
  <c r="L275" i="12"/>
  <c r="K275" i="12" s="1"/>
  <c r="F276" i="5"/>
  <c r="J276" i="5"/>
  <c r="B276" i="6"/>
  <c r="W276" i="5"/>
  <c r="H276" i="12" s="1"/>
  <c r="G276" i="5"/>
  <c r="AD276" i="5"/>
  <c r="B276" i="5"/>
  <c r="AE276" i="5"/>
  <c r="R276" i="5"/>
  <c r="E276" i="5"/>
  <c r="H276" i="5"/>
  <c r="D276" i="5"/>
  <c r="B276" i="12" s="1"/>
  <c r="K276" i="5"/>
  <c r="A276" i="12"/>
  <c r="N276" i="5"/>
  <c r="C277" i="5"/>
  <c r="D270" i="12"/>
  <c r="E270" i="6"/>
  <c r="M274" i="6"/>
  <c r="BH274" i="6" s="1"/>
  <c r="CE274" i="6"/>
  <c r="BE274" i="6"/>
  <c r="CK274" i="6"/>
  <c r="CI274" i="6"/>
  <c r="CD274" i="6"/>
  <c r="G274" i="6"/>
  <c r="CG274" i="6"/>
  <c r="BI274" i="6"/>
  <c r="N274" i="6"/>
  <c r="BC274" i="6"/>
  <c r="CA274" i="6"/>
  <c r="H274" i="6"/>
  <c r="T274" i="5" s="1"/>
  <c r="BX274" i="6"/>
  <c r="BW274" i="6"/>
  <c r="BS274" i="6"/>
  <c r="N270" i="12"/>
  <c r="AQ273" i="6"/>
  <c r="AM273" i="6"/>
  <c r="AR273" i="6"/>
  <c r="AL273" i="6"/>
  <c r="AP273" i="6"/>
  <c r="D275" i="6"/>
  <c r="AK273" i="6"/>
  <c r="AT273" i="6"/>
  <c r="AU273" i="6"/>
  <c r="AV273" i="6"/>
  <c r="AZ273" i="6"/>
  <c r="AX273" i="6"/>
  <c r="AS273" i="6"/>
  <c r="CF274" i="6" l="1"/>
  <c r="CH274" i="6"/>
  <c r="BM274" i="6"/>
  <c r="BR274" i="6"/>
  <c r="BG274" i="6"/>
  <c r="CL274" i="6"/>
  <c r="CB274" i="6"/>
  <c r="CC274" i="6"/>
  <c r="BL274" i="6"/>
  <c r="BF274" i="6"/>
  <c r="BO274" i="6"/>
  <c r="CJ274" i="6"/>
  <c r="BJ274" i="6"/>
  <c r="BD274" i="6"/>
  <c r="BV274" i="6"/>
  <c r="BP274" i="6"/>
  <c r="AO274" i="6"/>
  <c r="AP274" i="6"/>
  <c r="AY274" i="6"/>
  <c r="AS274" i="6"/>
  <c r="AK274" i="6"/>
  <c r="BQ274" i="6"/>
  <c r="BN274" i="6"/>
  <c r="BT274" i="6"/>
  <c r="BK274" i="6"/>
  <c r="AV274" i="6"/>
  <c r="AU274" i="6"/>
  <c r="Y271" i="12"/>
  <c r="X271" i="12" s="1"/>
  <c r="G274" i="12"/>
  <c r="X274" i="5"/>
  <c r="BY274" i="6"/>
  <c r="CM274" i="6"/>
  <c r="AX274" i="6"/>
  <c r="AW274" i="6"/>
  <c r="AT274" i="6"/>
  <c r="BZ274" i="6"/>
  <c r="AM274" i="6"/>
  <c r="AD277" i="5"/>
  <c r="AE277" i="5"/>
  <c r="K277" i="5"/>
  <c r="H277" i="5"/>
  <c r="E277" i="5"/>
  <c r="G277" i="5"/>
  <c r="F277" i="5"/>
  <c r="B277" i="6"/>
  <c r="A277" i="12"/>
  <c r="C278" i="5"/>
  <c r="B277" i="5"/>
  <c r="J277" i="5"/>
  <c r="R277" i="5"/>
  <c r="W277" i="5"/>
  <c r="H277" i="12" s="1"/>
  <c r="N277" i="5"/>
  <c r="D277" i="5"/>
  <c r="B277" i="12" s="1"/>
  <c r="N271" i="12"/>
  <c r="T270" i="12"/>
  <c r="V270" i="12"/>
  <c r="U270" i="12"/>
  <c r="L273" i="5"/>
  <c r="AM273" i="5"/>
  <c r="I273" i="12"/>
  <c r="I273" i="5"/>
  <c r="Z273" i="5"/>
  <c r="AC273" i="5"/>
  <c r="H275" i="6"/>
  <c r="T275" i="5" s="1"/>
  <c r="N275" i="6"/>
  <c r="M275" i="6"/>
  <c r="BD275" i="6" s="1"/>
  <c r="AM275" i="6"/>
  <c r="AY275" i="6"/>
  <c r="BZ275" i="6"/>
  <c r="BH275" i="6"/>
  <c r="AX275" i="6"/>
  <c r="G275" i="6"/>
  <c r="BP275" i="6"/>
  <c r="C272" i="12"/>
  <c r="M272" i="12"/>
  <c r="AO272" i="12"/>
  <c r="O272" i="12"/>
  <c r="AL274" i="6"/>
  <c r="AQ274" i="6"/>
  <c r="BA274" i="6"/>
  <c r="AN274" i="6"/>
  <c r="AR274" i="6"/>
  <c r="D276" i="6"/>
  <c r="F276" i="6"/>
  <c r="E276" i="12"/>
  <c r="E271" i="6"/>
  <c r="D271" i="12"/>
  <c r="AZ274" i="6"/>
  <c r="J276" i="12"/>
  <c r="L276" i="12"/>
  <c r="AA272" i="5"/>
  <c r="AB272" i="5"/>
  <c r="C272" i="6"/>
  <c r="O272" i="5"/>
  <c r="N272" i="12" l="1"/>
  <c r="K276" i="12"/>
  <c r="CA275" i="6"/>
  <c r="BS275" i="6"/>
  <c r="BA275" i="6"/>
  <c r="CH275" i="6"/>
  <c r="AU275" i="6"/>
  <c r="CG275" i="6"/>
  <c r="CJ275" i="6"/>
  <c r="CD275" i="6"/>
  <c r="W271" i="12"/>
  <c r="CM275" i="6"/>
  <c r="BX275" i="6"/>
  <c r="AP275" i="6"/>
  <c r="BI275" i="6"/>
  <c r="CB275" i="6"/>
  <c r="BF275" i="6"/>
  <c r="AQ275" i="6"/>
  <c r="AR275" i="6"/>
  <c r="AS275" i="6"/>
  <c r="AK275" i="6"/>
  <c r="CI275" i="6"/>
  <c r="BE275" i="6"/>
  <c r="BG275" i="6"/>
  <c r="BO275" i="6"/>
  <c r="BW275" i="6"/>
  <c r="BT275" i="6"/>
  <c r="BQ275" i="6"/>
  <c r="BY275" i="6"/>
  <c r="CF275" i="6"/>
  <c r="AO275" i="6"/>
  <c r="BM275" i="6"/>
  <c r="AA273" i="5"/>
  <c r="AB273" i="5"/>
  <c r="C273" i="6"/>
  <c r="O273" i="5"/>
  <c r="D277" i="6"/>
  <c r="F278" i="5"/>
  <c r="AD278" i="5"/>
  <c r="A278" i="12"/>
  <c r="D278" i="5"/>
  <c r="B278" i="12" s="1"/>
  <c r="J278" i="5"/>
  <c r="B278" i="5"/>
  <c r="C279" i="5"/>
  <c r="K278" i="5"/>
  <c r="B278" i="6"/>
  <c r="E278" i="5"/>
  <c r="R278" i="5"/>
  <c r="AE278" i="5"/>
  <c r="G278" i="5"/>
  <c r="W278" i="5"/>
  <c r="H278" i="12" s="1"/>
  <c r="H278" i="5"/>
  <c r="N278" i="5"/>
  <c r="D272" i="12"/>
  <c r="E272" i="6"/>
  <c r="V271" i="12"/>
  <c r="T271" i="12"/>
  <c r="U271" i="12"/>
  <c r="N276" i="6"/>
  <c r="H276" i="6"/>
  <c r="T276" i="5" s="1"/>
  <c r="G276" i="6"/>
  <c r="M276" i="6"/>
  <c r="BH276" i="6" s="1"/>
  <c r="BF276" i="6"/>
  <c r="Y272" i="12"/>
  <c r="BK275" i="6"/>
  <c r="AT275" i="6"/>
  <c r="BR275" i="6"/>
  <c r="BL275" i="6"/>
  <c r="BC275" i="6"/>
  <c r="AW275" i="6"/>
  <c r="BV275" i="6"/>
  <c r="AL275" i="6"/>
  <c r="CC275" i="6"/>
  <c r="AV275" i="6"/>
  <c r="G275" i="12"/>
  <c r="X275" i="5"/>
  <c r="C273" i="12"/>
  <c r="O273" i="12"/>
  <c r="AO273" i="12"/>
  <c r="Y273" i="12" s="1"/>
  <c r="M273" i="12"/>
  <c r="F277" i="6"/>
  <c r="E277" i="12"/>
  <c r="L277" i="12"/>
  <c r="K277" i="12" s="1"/>
  <c r="J277" i="12"/>
  <c r="AM274" i="5"/>
  <c r="L274" i="5"/>
  <c r="I274" i="12"/>
  <c r="I274" i="5"/>
  <c r="Z274" i="5"/>
  <c r="AC274" i="5"/>
  <c r="AJ274" i="6"/>
  <c r="CK275" i="6"/>
  <c r="AN275" i="6"/>
  <c r="BN275" i="6"/>
  <c r="BJ275" i="6"/>
  <c r="CE275" i="6"/>
  <c r="CL275" i="6"/>
  <c r="AZ275" i="6"/>
  <c r="AR276" i="6" l="1"/>
  <c r="AL276" i="6"/>
  <c r="N273" i="12"/>
  <c r="CG276" i="6"/>
  <c r="AT276" i="6"/>
  <c r="BI276" i="6"/>
  <c r="AS276" i="6"/>
  <c r="AW276" i="6"/>
  <c r="CK276" i="6"/>
  <c r="AY276" i="6"/>
  <c r="CC276" i="6"/>
  <c r="BO276" i="6"/>
  <c r="CE276" i="6"/>
  <c r="AK276" i="6"/>
  <c r="BL276" i="6"/>
  <c r="G279" i="5"/>
  <c r="H279" i="5"/>
  <c r="J279" i="5"/>
  <c r="AD279" i="5"/>
  <c r="B279" i="5"/>
  <c r="E279" i="5"/>
  <c r="N279" i="5"/>
  <c r="F279" i="5"/>
  <c r="R279" i="5"/>
  <c r="W279" i="5"/>
  <c r="H279" i="12" s="1"/>
  <c r="D279" i="5"/>
  <c r="B279" i="12" s="1"/>
  <c r="K279" i="5"/>
  <c r="C280" i="5"/>
  <c r="AE279" i="5"/>
  <c r="A279" i="12"/>
  <c r="B279" i="6"/>
  <c r="C274" i="6"/>
  <c r="O274" i="5"/>
  <c r="BE276" i="6"/>
  <c r="BV276" i="6"/>
  <c r="AU276" i="6"/>
  <c r="CF276" i="6"/>
  <c r="CA276" i="6"/>
  <c r="BC276" i="6"/>
  <c r="CJ276" i="6"/>
  <c r="AM276" i="6"/>
  <c r="BT276" i="6"/>
  <c r="BR276" i="6"/>
  <c r="BM276" i="6"/>
  <c r="AX276" i="6"/>
  <c r="BP276" i="6"/>
  <c r="J278" i="12"/>
  <c r="L278" i="12"/>
  <c r="K278" i="12" s="1"/>
  <c r="N277" i="6"/>
  <c r="H277" i="6"/>
  <c r="T277" i="5" s="1"/>
  <c r="M277" i="6"/>
  <c r="BN277" i="6" s="1"/>
  <c r="BV277" i="6"/>
  <c r="CB277" i="6"/>
  <c r="CM277" i="6"/>
  <c r="BC277" i="6"/>
  <c r="BL277" i="6"/>
  <c r="G277" i="6"/>
  <c r="CJ277" i="6"/>
  <c r="CE277" i="6"/>
  <c r="BY277" i="6"/>
  <c r="C274" i="12"/>
  <c r="O274" i="12"/>
  <c r="M274" i="12"/>
  <c r="AO274" i="12"/>
  <c r="AB274" i="5"/>
  <c r="AA274" i="5"/>
  <c r="AM275" i="5"/>
  <c r="L275" i="5"/>
  <c r="I275" i="12"/>
  <c r="I275" i="5"/>
  <c r="Z275" i="5"/>
  <c r="AC275" i="5"/>
  <c r="AJ275" i="6"/>
  <c r="X272" i="12"/>
  <c r="W272" i="12"/>
  <c r="AV276" i="6"/>
  <c r="BS276" i="6"/>
  <c r="CD276" i="6"/>
  <c r="BX276" i="6"/>
  <c r="BN276" i="6"/>
  <c r="BA276" i="6"/>
  <c r="CL276" i="6"/>
  <c r="BK276" i="6"/>
  <c r="AZ276" i="6"/>
  <c r="CM276" i="6"/>
  <c r="AP276" i="6"/>
  <c r="BG276" i="6"/>
  <c r="AO276" i="6"/>
  <c r="BZ276" i="6"/>
  <c r="E278" i="12"/>
  <c r="F278" i="6"/>
  <c r="D273" i="12"/>
  <c r="E273" i="6"/>
  <c r="X273" i="12"/>
  <c r="W273" i="12"/>
  <c r="BD276" i="6"/>
  <c r="CI276" i="6"/>
  <c r="AQ276" i="6"/>
  <c r="BQ276" i="6"/>
  <c r="AN276" i="6"/>
  <c r="BY276" i="6"/>
  <c r="BW276" i="6"/>
  <c r="G276" i="12"/>
  <c r="X276" i="5"/>
  <c r="BJ276" i="6"/>
  <c r="CH276" i="6"/>
  <c r="CB276" i="6"/>
  <c r="D278" i="6"/>
  <c r="CI277" i="6" l="1"/>
  <c r="CD277" i="6"/>
  <c r="Y274" i="12"/>
  <c r="AZ277" i="6"/>
  <c r="AU277" i="6"/>
  <c r="C275" i="6"/>
  <c r="O275" i="5"/>
  <c r="W274" i="12"/>
  <c r="X274" i="12"/>
  <c r="AT277" i="6"/>
  <c r="AS277" i="6"/>
  <c r="BD277" i="6"/>
  <c r="AP277" i="6"/>
  <c r="AX277" i="6"/>
  <c r="CL277" i="6"/>
  <c r="CA277" i="6"/>
  <c r="E274" i="6"/>
  <c r="D274" i="12"/>
  <c r="L279" i="12"/>
  <c r="J279" i="12"/>
  <c r="AM276" i="5"/>
  <c r="L276" i="5"/>
  <c r="I276" i="12"/>
  <c r="Z276" i="5"/>
  <c r="I276" i="5"/>
  <c r="AC276" i="5"/>
  <c r="U272" i="12"/>
  <c r="V272" i="12"/>
  <c r="T272" i="12"/>
  <c r="AB275" i="5"/>
  <c r="AA275" i="5"/>
  <c r="BK277" i="6"/>
  <c r="AO277" i="6"/>
  <c r="BQ277" i="6"/>
  <c r="BS277" i="6"/>
  <c r="BP277" i="6"/>
  <c r="BI277" i="6"/>
  <c r="BW277" i="6"/>
  <c r="BO277" i="6"/>
  <c r="CK277" i="6"/>
  <c r="D279" i="6"/>
  <c r="T273" i="12"/>
  <c r="V273" i="12"/>
  <c r="U273" i="12"/>
  <c r="N274" i="12"/>
  <c r="BR277" i="6"/>
  <c r="BZ277" i="6"/>
  <c r="CF277" i="6"/>
  <c r="BF277" i="6"/>
  <c r="BH277" i="6"/>
  <c r="BA277" i="6"/>
  <c r="CC277" i="6"/>
  <c r="AY277" i="6"/>
  <c r="BX277" i="6"/>
  <c r="CH277" i="6"/>
  <c r="BJ277" i="6"/>
  <c r="AV277" i="6"/>
  <c r="BT277" i="6"/>
  <c r="AW277" i="6"/>
  <c r="N280" i="5"/>
  <c r="C281" i="5"/>
  <c r="H280" i="5"/>
  <c r="K280" i="5"/>
  <c r="W280" i="5"/>
  <c r="H280" i="12" s="1"/>
  <c r="D280" i="5"/>
  <c r="B280" i="12" s="1"/>
  <c r="AE280" i="5"/>
  <c r="B280" i="5"/>
  <c r="J280" i="5"/>
  <c r="G280" i="5"/>
  <c r="AD280" i="5"/>
  <c r="B280" i="6"/>
  <c r="R280" i="5"/>
  <c r="E280" i="5"/>
  <c r="F280" i="5"/>
  <c r="A280" i="12"/>
  <c r="G278" i="6"/>
  <c r="M278" i="6"/>
  <c r="BQ278" i="6" s="1"/>
  <c r="BZ278" i="6"/>
  <c r="BF278" i="6"/>
  <c r="CB278" i="6"/>
  <c r="BY278" i="6"/>
  <c r="BV278" i="6"/>
  <c r="BP278" i="6"/>
  <c r="CK278" i="6"/>
  <c r="CL278" i="6"/>
  <c r="BW278" i="6"/>
  <c r="CG278" i="6"/>
  <c r="BL278" i="6"/>
  <c r="BX278" i="6"/>
  <c r="H278" i="6"/>
  <c r="T278" i="5" s="1"/>
  <c r="BR278" i="6"/>
  <c r="BG278" i="6"/>
  <c r="CE278" i="6"/>
  <c r="AR278" i="6"/>
  <c r="BH278" i="6"/>
  <c r="BI278" i="6"/>
  <c r="BT278" i="6"/>
  <c r="BC278" i="6"/>
  <c r="BE278" i="6"/>
  <c r="BD278" i="6"/>
  <c r="CD278" i="6"/>
  <c r="CI278" i="6"/>
  <c r="CJ278" i="6"/>
  <c r="CC278" i="6"/>
  <c r="BO278" i="6"/>
  <c r="CA278" i="6"/>
  <c r="BS278" i="6"/>
  <c r="BK278" i="6"/>
  <c r="BN278" i="6"/>
  <c r="N278" i="6"/>
  <c r="BM278" i="6"/>
  <c r="CH278" i="6"/>
  <c r="CF278" i="6"/>
  <c r="AT278" i="6"/>
  <c r="C275" i="12"/>
  <c r="AO275" i="12"/>
  <c r="O275" i="12"/>
  <c r="M275" i="12"/>
  <c r="BM277" i="6"/>
  <c r="BG277" i="6"/>
  <c r="AK277" i="6"/>
  <c r="AN277" i="6"/>
  <c r="AL277" i="6"/>
  <c r="CG277" i="6"/>
  <c r="AQ277" i="6"/>
  <c r="BE277" i="6"/>
  <c r="G277" i="12"/>
  <c r="X277" i="5"/>
  <c r="AJ277" i="6" s="1"/>
  <c r="AM277" i="6"/>
  <c r="AR277" i="6"/>
  <c r="F279" i="6"/>
  <c r="E279" i="12"/>
  <c r="AJ276" i="6"/>
  <c r="AX278" i="6" l="1"/>
  <c r="AU278" i="6"/>
  <c r="AQ278" i="6"/>
  <c r="AO278" i="6"/>
  <c r="AM278" i="6"/>
  <c r="AV278" i="6"/>
  <c r="AP278" i="6"/>
  <c r="AW278" i="6"/>
  <c r="AN278" i="6"/>
  <c r="BA278" i="6"/>
  <c r="AK278" i="6"/>
  <c r="AY278" i="6"/>
  <c r="AZ278" i="6"/>
  <c r="AL278" i="6"/>
  <c r="N275" i="12"/>
  <c r="L280" i="12"/>
  <c r="K280" i="12" s="1"/>
  <c r="J280" i="12"/>
  <c r="F280" i="6"/>
  <c r="E280" i="12"/>
  <c r="D280" i="6"/>
  <c r="G279" i="6"/>
  <c r="N279" i="6"/>
  <c r="H279" i="6"/>
  <c r="T279" i="5" s="1"/>
  <c r="M279" i="6"/>
  <c r="BS279" i="6" s="1"/>
  <c r="BJ279" i="6"/>
  <c r="BI279" i="6"/>
  <c r="AB276" i="5"/>
  <c r="AA276" i="5"/>
  <c r="U274" i="12"/>
  <c r="V274" i="12"/>
  <c r="T274" i="12"/>
  <c r="C276" i="12"/>
  <c r="AO276" i="12"/>
  <c r="O276" i="12"/>
  <c r="M276" i="12"/>
  <c r="E275" i="6"/>
  <c r="D275" i="12"/>
  <c r="I277" i="12"/>
  <c r="AM277" i="5"/>
  <c r="L277" i="5"/>
  <c r="Z277" i="5"/>
  <c r="I277" i="5"/>
  <c r="AC277" i="5"/>
  <c r="Y275" i="12"/>
  <c r="G278" i="12"/>
  <c r="X278" i="5"/>
  <c r="AS278" i="6"/>
  <c r="CM278" i="6"/>
  <c r="BJ278" i="6"/>
  <c r="D281" i="5"/>
  <c r="B281" i="12" s="1"/>
  <c r="N281" i="5"/>
  <c r="B281" i="5"/>
  <c r="C282" i="5" s="1"/>
  <c r="J281" i="5"/>
  <c r="F281" i="5"/>
  <c r="E281" i="5"/>
  <c r="K281" i="5"/>
  <c r="H281" i="5"/>
  <c r="G281" i="5"/>
  <c r="W281" i="5"/>
  <c r="H281" i="12" s="1"/>
  <c r="B281" i="6"/>
  <c r="AD281" i="5"/>
  <c r="A281" i="12"/>
  <c r="AE281" i="5"/>
  <c r="R281" i="5"/>
  <c r="C276" i="6"/>
  <c r="O276" i="5"/>
  <c r="K279" i="12"/>
  <c r="BW279" i="6" l="1"/>
  <c r="AN279" i="6"/>
  <c r="BY279" i="6"/>
  <c r="CJ279" i="6"/>
  <c r="N276" i="12"/>
  <c r="BT279" i="6"/>
  <c r="AY279" i="6"/>
  <c r="BO279" i="6"/>
  <c r="BR279" i="6"/>
  <c r="CA279" i="6"/>
  <c r="BL279" i="6"/>
  <c r="AQ279" i="6"/>
  <c r="AW279" i="6"/>
  <c r="CG279" i="6"/>
  <c r="BD279" i="6"/>
  <c r="BZ279" i="6"/>
  <c r="BV279" i="6"/>
  <c r="AO279" i="6"/>
  <c r="CI279" i="6"/>
  <c r="BF279" i="6"/>
  <c r="AP279" i="6"/>
  <c r="CB279" i="6"/>
  <c r="AM279" i="6"/>
  <c r="CM279" i="6"/>
  <c r="AU279" i="6"/>
  <c r="AZ279" i="6"/>
  <c r="AS279" i="6"/>
  <c r="BM279" i="6"/>
  <c r="CC279" i="6"/>
  <c r="BK279" i="6"/>
  <c r="BQ279" i="6"/>
  <c r="CF279" i="6"/>
  <c r="BC279" i="6"/>
  <c r="B282" i="5"/>
  <c r="B282" i="6"/>
  <c r="G282" i="5"/>
  <c r="A282" i="12"/>
  <c r="C283" i="5"/>
  <c r="W282" i="5"/>
  <c r="H282" i="12" s="1"/>
  <c r="E282" i="5"/>
  <c r="N282" i="5"/>
  <c r="AE282" i="5"/>
  <c r="I282" i="5"/>
  <c r="AD282" i="5"/>
  <c r="F282" i="5"/>
  <c r="H282" i="5"/>
  <c r="D281" i="6"/>
  <c r="BN279" i="6"/>
  <c r="BP279" i="6"/>
  <c r="CH279" i="6"/>
  <c r="AX279" i="6"/>
  <c r="AK279" i="6"/>
  <c r="BX279" i="6"/>
  <c r="CL279" i="6"/>
  <c r="F281" i="6"/>
  <c r="E281" i="12"/>
  <c r="I278" i="12"/>
  <c r="L278" i="5"/>
  <c r="AM278" i="5"/>
  <c r="I278" i="5"/>
  <c r="Z278" i="5"/>
  <c r="AC278" i="5"/>
  <c r="AJ278" i="6"/>
  <c r="C277" i="12"/>
  <c r="AO277" i="12"/>
  <c r="O277" i="12"/>
  <c r="M277" i="12"/>
  <c r="BH279" i="6"/>
  <c r="CK279" i="6"/>
  <c r="CD279" i="6"/>
  <c r="AT279" i="6"/>
  <c r="BG279" i="6"/>
  <c r="BE279" i="6"/>
  <c r="AB277" i="5"/>
  <c r="AA277" i="5"/>
  <c r="Y276" i="12"/>
  <c r="G279" i="12"/>
  <c r="X279" i="5"/>
  <c r="BA279" i="6"/>
  <c r="AL279" i="6"/>
  <c r="AR279" i="6"/>
  <c r="D276" i="12"/>
  <c r="E276" i="6"/>
  <c r="J281" i="12"/>
  <c r="L281" i="12"/>
  <c r="W275" i="12"/>
  <c r="X275" i="12"/>
  <c r="C277" i="6"/>
  <c r="O277" i="5"/>
  <c r="AV279" i="6"/>
  <c r="CE279" i="6"/>
  <c r="CL280" i="6"/>
  <c r="H280" i="6"/>
  <c r="T280" i="5" s="1"/>
  <c r="BJ280" i="6"/>
  <c r="N280" i="6"/>
  <c r="AP280" i="6"/>
  <c r="G280" i="6"/>
  <c r="BD280" i="6"/>
  <c r="M280" i="6"/>
  <c r="BL280" i="6" s="1"/>
  <c r="BV280" i="6"/>
  <c r="CB280" i="6" l="1"/>
  <c r="BY280" i="6"/>
  <c r="BZ280" i="6"/>
  <c r="AS280" i="6"/>
  <c r="AL280" i="6"/>
  <c r="BE280" i="6"/>
  <c r="CH280" i="6"/>
  <c r="CJ280" i="6"/>
  <c r="AW280" i="6"/>
  <c r="BM280" i="6"/>
  <c r="BK280" i="6"/>
  <c r="AY280" i="6"/>
  <c r="CC280" i="6"/>
  <c r="AT280" i="6"/>
  <c r="BS280" i="6"/>
  <c r="BF280" i="6"/>
  <c r="AK280" i="6"/>
  <c r="AM280" i="6"/>
  <c r="CD280" i="6"/>
  <c r="BT280" i="6"/>
  <c r="BA280" i="6"/>
  <c r="BX280" i="6"/>
  <c r="BH280" i="6"/>
  <c r="AV280" i="6"/>
  <c r="BG280" i="6"/>
  <c r="BC280" i="6"/>
  <c r="AX280" i="6"/>
  <c r="BW280" i="6"/>
  <c r="BR280" i="6"/>
  <c r="AO280" i="6"/>
  <c r="CK280" i="6"/>
  <c r="Y277" i="12"/>
  <c r="X276" i="12"/>
  <c r="W276" i="12"/>
  <c r="D282" i="6"/>
  <c r="D277" i="12"/>
  <c r="E277" i="6"/>
  <c r="BI280" i="6"/>
  <c r="BO280" i="6"/>
  <c r="BN280" i="6"/>
  <c r="BQ280" i="6"/>
  <c r="CI280" i="6"/>
  <c r="AZ280" i="6"/>
  <c r="AU280" i="6"/>
  <c r="CG280" i="6"/>
  <c r="BP280" i="6"/>
  <c r="CM280" i="6"/>
  <c r="CF280" i="6"/>
  <c r="CA280" i="6"/>
  <c r="K281" i="12"/>
  <c r="L279" i="5"/>
  <c r="I279" i="12"/>
  <c r="AM279" i="5"/>
  <c r="Z279" i="5"/>
  <c r="I279" i="5"/>
  <c r="AC279" i="5"/>
  <c r="AJ279" i="6"/>
  <c r="N277" i="12"/>
  <c r="C278" i="6"/>
  <c r="O278" i="5"/>
  <c r="G281" i="6"/>
  <c r="M281" i="6"/>
  <c r="BZ281" i="6" s="1"/>
  <c r="N281" i="6"/>
  <c r="BP281" i="6"/>
  <c r="H281" i="6"/>
  <c r="T281" i="5" s="1"/>
  <c r="AQ280" i="6"/>
  <c r="CE280" i="6"/>
  <c r="G280" i="12"/>
  <c r="X280" i="5"/>
  <c r="AR280" i="6"/>
  <c r="AN280" i="6"/>
  <c r="T275" i="12"/>
  <c r="V275" i="12"/>
  <c r="U275" i="12"/>
  <c r="X277" i="12"/>
  <c r="W277" i="12"/>
  <c r="AB278" i="5"/>
  <c r="AA278" i="5"/>
  <c r="C278" i="12"/>
  <c r="AO278" i="12"/>
  <c r="O278" i="12"/>
  <c r="M278" i="12"/>
  <c r="B283" i="5"/>
  <c r="A283" i="12"/>
  <c r="N283" i="5"/>
  <c r="W283" i="5"/>
  <c r="H283" i="12" s="1"/>
  <c r="C284" i="5"/>
  <c r="F283" i="5"/>
  <c r="E283" i="5"/>
  <c r="I283" i="5"/>
  <c r="AD283" i="5"/>
  <c r="B283" i="6"/>
  <c r="H283" i="5"/>
  <c r="G283" i="5"/>
  <c r="AE283" i="5"/>
  <c r="Y278" i="12" l="1"/>
  <c r="G281" i="12"/>
  <c r="X281" i="5"/>
  <c r="AT281" i="6"/>
  <c r="AN281" i="6"/>
  <c r="BF281" i="6"/>
  <c r="BJ281" i="6"/>
  <c r="BG281" i="6"/>
  <c r="BI281" i="6"/>
  <c r="BV282" i="6"/>
  <c r="BZ282" i="6"/>
  <c r="BG282" i="6"/>
  <c r="CD282" i="6"/>
  <c r="M282" i="6"/>
  <c r="BO282" i="6"/>
  <c r="CF282" i="6"/>
  <c r="BS282" i="6"/>
  <c r="CB282" i="6"/>
  <c r="CH282" i="6"/>
  <c r="BW282" i="6"/>
  <c r="BH282" i="6"/>
  <c r="CJ282" i="6"/>
  <c r="CM282" i="6"/>
  <c r="CA282" i="6"/>
  <c r="BL282" i="6"/>
  <c r="BN282" i="6"/>
  <c r="CK282" i="6"/>
  <c r="BD282" i="6"/>
  <c r="CC282" i="6"/>
  <c r="H282" i="6"/>
  <c r="T282" i="5" s="1"/>
  <c r="G282" i="12" s="1"/>
  <c r="BP282" i="6"/>
  <c r="BM282" i="6"/>
  <c r="BE282" i="6"/>
  <c r="CG282" i="6"/>
  <c r="BF282" i="6"/>
  <c r="CI282" i="6"/>
  <c r="G282" i="6"/>
  <c r="BQ282" i="6"/>
  <c r="N282" i="6"/>
  <c r="BT282" i="6"/>
  <c r="CE282" i="6"/>
  <c r="BJ282" i="6"/>
  <c r="BX282" i="6"/>
  <c r="BR282" i="6"/>
  <c r="BA282" i="6"/>
  <c r="BY282" i="6"/>
  <c r="CL282" i="6"/>
  <c r="BK282" i="6"/>
  <c r="BC282" i="6"/>
  <c r="AR282" i="6"/>
  <c r="BI282" i="6"/>
  <c r="BL281" i="6"/>
  <c r="B284" i="5"/>
  <c r="A284" i="12"/>
  <c r="B284" i="6"/>
  <c r="G284" i="5"/>
  <c r="N284" i="5"/>
  <c r="D284" i="5"/>
  <c r="B284" i="12" s="1"/>
  <c r="AD284" i="5"/>
  <c r="F284" i="5"/>
  <c r="R284" i="5"/>
  <c r="C285" i="5"/>
  <c r="H284" i="5"/>
  <c r="W284" i="5"/>
  <c r="H284" i="12" s="1"/>
  <c r="J284" i="5"/>
  <c r="K284" i="5"/>
  <c r="E284" i="5"/>
  <c r="AE284" i="5"/>
  <c r="AJ281" i="6"/>
  <c r="CM281" i="6"/>
  <c r="CA281" i="6"/>
  <c r="BK281" i="6"/>
  <c r="BY281" i="6"/>
  <c r="AP281" i="6"/>
  <c r="CH281" i="6"/>
  <c r="AO281" i="6"/>
  <c r="AW281" i="6"/>
  <c r="BM281" i="6"/>
  <c r="BC281" i="6"/>
  <c r="BQ281" i="6"/>
  <c r="BN281" i="6"/>
  <c r="D278" i="12"/>
  <c r="E278" i="6"/>
  <c r="C279" i="12"/>
  <c r="M279" i="12"/>
  <c r="AO279" i="12"/>
  <c r="O279" i="12"/>
  <c r="T276" i="12"/>
  <c r="U276" i="12"/>
  <c r="V276" i="12"/>
  <c r="X278" i="12"/>
  <c r="W278" i="12"/>
  <c r="T277" i="12"/>
  <c r="U277" i="12"/>
  <c r="V277" i="12"/>
  <c r="AV281" i="6"/>
  <c r="AL281" i="6"/>
  <c r="BX281" i="6"/>
  <c r="AM281" i="6"/>
  <c r="CD281" i="6"/>
  <c r="BV281" i="6"/>
  <c r="BH281" i="6"/>
  <c r="AX281" i="6"/>
  <c r="CE281" i="6"/>
  <c r="BS281" i="6"/>
  <c r="CJ281" i="6"/>
  <c r="CG281" i="6"/>
  <c r="AK281" i="6"/>
  <c r="AZ281" i="6"/>
  <c r="BT281" i="6"/>
  <c r="CI281" i="6"/>
  <c r="BD281" i="6"/>
  <c r="C279" i="6"/>
  <c r="O279" i="5"/>
  <c r="AR281" i="6"/>
  <c r="D283" i="6"/>
  <c r="N278" i="12"/>
  <c r="I280" i="12"/>
  <c r="L280" i="5"/>
  <c r="AM280" i="5"/>
  <c r="Z280" i="5"/>
  <c r="I280" i="5"/>
  <c r="AC280" i="5"/>
  <c r="AJ280" i="6"/>
  <c r="BO281" i="6"/>
  <c r="CC281" i="6"/>
  <c r="CL281" i="6"/>
  <c r="BW281" i="6"/>
  <c r="CK281" i="6"/>
  <c r="AQ281" i="6"/>
  <c r="CB281" i="6"/>
  <c r="AS281" i="6"/>
  <c r="BA281" i="6"/>
  <c r="BR281" i="6"/>
  <c r="AU281" i="6"/>
  <c r="BE281" i="6"/>
  <c r="CF281" i="6"/>
  <c r="AY281" i="6"/>
  <c r="AA279" i="5"/>
  <c r="AB279" i="5"/>
  <c r="N279" i="12" l="1"/>
  <c r="AW282" i="6"/>
  <c r="AZ282" i="6"/>
  <c r="AX282" i="6"/>
  <c r="AN282" i="6"/>
  <c r="C280" i="6"/>
  <c r="O280" i="5"/>
  <c r="BD283" i="6"/>
  <c r="BN283" i="6"/>
  <c r="BT283" i="6"/>
  <c r="BQ283" i="6"/>
  <c r="BE283" i="6"/>
  <c r="CK283" i="6"/>
  <c r="BG283" i="6"/>
  <c r="CJ283" i="6"/>
  <c r="CE283" i="6"/>
  <c r="BL283" i="6"/>
  <c r="BJ283" i="6"/>
  <c r="BH283" i="6"/>
  <c r="BW283" i="6"/>
  <c r="BM283" i="6"/>
  <c r="CM283" i="6"/>
  <c r="BY283" i="6"/>
  <c r="BV283" i="6"/>
  <c r="N283" i="6"/>
  <c r="CA283" i="6"/>
  <c r="CB283" i="6"/>
  <c r="BK283" i="6"/>
  <c r="G283" i="6"/>
  <c r="CH283" i="6"/>
  <c r="BZ283" i="6"/>
  <c r="BP283" i="6"/>
  <c r="M283" i="6"/>
  <c r="BA283" i="6" s="1"/>
  <c r="CD283" i="6"/>
  <c r="BC283" i="6"/>
  <c r="H283" i="6"/>
  <c r="T283" i="5" s="1"/>
  <c r="G283" i="12" s="1"/>
  <c r="CI283" i="6"/>
  <c r="AR283" i="6"/>
  <c r="CG283" i="6"/>
  <c r="CL283" i="6"/>
  <c r="BS283" i="6"/>
  <c r="BR283" i="6"/>
  <c r="CF283" i="6"/>
  <c r="BI283" i="6"/>
  <c r="BF283" i="6"/>
  <c r="BO283" i="6"/>
  <c r="CC283" i="6"/>
  <c r="BX283" i="6"/>
  <c r="U278" i="12"/>
  <c r="V278" i="12"/>
  <c r="T278" i="12"/>
  <c r="F284" i="6"/>
  <c r="E284" i="12"/>
  <c r="D284" i="6"/>
  <c r="L284" i="12"/>
  <c r="J284" i="12"/>
  <c r="AS282" i="6"/>
  <c r="AL282" i="6"/>
  <c r="AP282" i="6"/>
  <c r="C280" i="12"/>
  <c r="O280" i="12"/>
  <c r="M280" i="12"/>
  <c r="AO280" i="12"/>
  <c r="AT282" i="6"/>
  <c r="AK282" i="6"/>
  <c r="AV282" i="6"/>
  <c r="AM282" i="6"/>
  <c r="AO282" i="6"/>
  <c r="AY282" i="6"/>
  <c r="AM281" i="5"/>
  <c r="I281" i="12"/>
  <c r="L281" i="5"/>
  <c r="Z281" i="5"/>
  <c r="I281" i="5"/>
  <c r="AC281" i="5"/>
  <c r="AB280" i="5"/>
  <c r="AA280" i="5"/>
  <c r="E279" i="6"/>
  <c r="D279" i="12"/>
  <c r="Y279" i="12"/>
  <c r="AU282" i="6"/>
  <c r="J285" i="5"/>
  <c r="G285" i="5"/>
  <c r="R285" i="5"/>
  <c r="AD285" i="5"/>
  <c r="B285" i="6"/>
  <c r="C286" i="5"/>
  <c r="H285" i="5"/>
  <c r="K285" i="5"/>
  <c r="AE285" i="5"/>
  <c r="B285" i="5"/>
  <c r="E285" i="5"/>
  <c r="F285" i="5"/>
  <c r="A285" i="12"/>
  <c r="N285" i="5"/>
  <c r="W285" i="5"/>
  <c r="H285" i="12" s="1"/>
  <c r="D285" i="5"/>
  <c r="B285" i="12" s="1"/>
  <c r="AJ282" i="6"/>
  <c r="AQ282" i="6"/>
  <c r="K284" i="12" l="1"/>
  <c r="AN283" i="6"/>
  <c r="D285" i="6"/>
  <c r="X279" i="12"/>
  <c r="W279" i="12"/>
  <c r="C281" i="6"/>
  <c r="O281" i="5"/>
  <c r="AY283" i="6"/>
  <c r="AV283" i="6"/>
  <c r="AQ283" i="6"/>
  <c r="AK283" i="6"/>
  <c r="L285" i="12"/>
  <c r="K285" i="12" s="1"/>
  <c r="J285" i="12"/>
  <c r="C281" i="12"/>
  <c r="M281" i="12"/>
  <c r="AO281" i="12"/>
  <c r="Y281" i="12" s="1"/>
  <c r="O281" i="12"/>
  <c r="Y280" i="12"/>
  <c r="AP283" i="6"/>
  <c r="AL283" i="6"/>
  <c r="AS283" i="6"/>
  <c r="AD286" i="5"/>
  <c r="C287" i="5"/>
  <c r="AE286" i="5"/>
  <c r="D286" i="5"/>
  <c r="B286" i="12" s="1"/>
  <c r="R286" i="5"/>
  <c r="W286" i="5"/>
  <c r="H286" i="12" s="1"/>
  <c r="G286" i="5"/>
  <c r="B286" i="6"/>
  <c r="J286" i="5"/>
  <c r="A286" i="12"/>
  <c r="N286" i="5"/>
  <c r="F286" i="5"/>
  <c r="K286" i="5"/>
  <c r="B286" i="5"/>
  <c r="E286" i="5"/>
  <c r="H286" i="5"/>
  <c r="M284" i="6"/>
  <c r="BS284" i="6" s="1"/>
  <c r="N284" i="6"/>
  <c r="BR284" i="6"/>
  <c r="H284" i="6"/>
  <c r="T284" i="5" s="1"/>
  <c r="CI284" i="6"/>
  <c r="CE284" i="6"/>
  <c r="BH284" i="6"/>
  <c r="BE284" i="6"/>
  <c r="CH284" i="6"/>
  <c r="BM284" i="6"/>
  <c r="BD284" i="6"/>
  <c r="G284" i="6"/>
  <c r="BC284" i="6"/>
  <c r="AZ283" i="6"/>
  <c r="AT283" i="6"/>
  <c r="AJ283" i="6"/>
  <c r="E280" i="6"/>
  <c r="D280" i="12"/>
  <c r="E285" i="12"/>
  <c r="F285" i="6"/>
  <c r="AB281" i="5"/>
  <c r="AA281" i="5"/>
  <c r="N280" i="12"/>
  <c r="AU283" i="6"/>
  <c r="AO283" i="6"/>
  <c r="AM283" i="6"/>
  <c r="AX283" i="6"/>
  <c r="AW283" i="6"/>
  <c r="CC284" i="6" l="1"/>
  <c r="AM284" i="6"/>
  <c r="AT284" i="6"/>
  <c r="AV284" i="6"/>
  <c r="BN284" i="6"/>
  <c r="N281" i="12"/>
  <c r="BX284" i="6"/>
  <c r="BL284" i="6"/>
  <c r="AX284" i="6"/>
  <c r="BZ284" i="6"/>
  <c r="AO284" i="6"/>
  <c r="BW284" i="6"/>
  <c r="BG284" i="6"/>
  <c r="BI284" i="6"/>
  <c r="CG284" i="6"/>
  <c r="AS284" i="6"/>
  <c r="BT284" i="6"/>
  <c r="CM284" i="6"/>
  <c r="D286" i="6"/>
  <c r="J287" i="5"/>
  <c r="AE287" i="5"/>
  <c r="D287" i="5"/>
  <c r="B287" i="12" s="1"/>
  <c r="C288" i="5"/>
  <c r="F287" i="5"/>
  <c r="E287" i="5"/>
  <c r="R287" i="5"/>
  <c r="W287" i="5"/>
  <c r="H287" i="12" s="1"/>
  <c r="H287" i="5"/>
  <c r="AD287" i="5"/>
  <c r="B287" i="5"/>
  <c r="N287" i="5"/>
  <c r="G287" i="5"/>
  <c r="A287" i="12"/>
  <c r="K287" i="5"/>
  <c r="B287" i="6"/>
  <c r="W280" i="12"/>
  <c r="X280" i="12"/>
  <c r="AQ284" i="6"/>
  <c r="CB284" i="6"/>
  <c r="AZ284" i="6"/>
  <c r="BP284" i="6"/>
  <c r="AL284" i="6"/>
  <c r="BY284" i="6"/>
  <c r="AW284" i="6"/>
  <c r="BQ284" i="6"/>
  <c r="AR284" i="6"/>
  <c r="CA284" i="6"/>
  <c r="BK284" i="6"/>
  <c r="CL284" i="6"/>
  <c r="BA284" i="6"/>
  <c r="CF284" i="6"/>
  <c r="CK284" i="6"/>
  <c r="J286" i="12"/>
  <c r="L286" i="12"/>
  <c r="E286" i="12"/>
  <c r="F286" i="6"/>
  <c r="X281" i="12"/>
  <c r="W281" i="12"/>
  <c r="E281" i="6"/>
  <c r="D281" i="12"/>
  <c r="G285" i="6"/>
  <c r="H285" i="6"/>
  <c r="T285" i="5" s="1"/>
  <c r="N285" i="6"/>
  <c r="M285" i="6"/>
  <c r="BK285" i="6" s="1"/>
  <c r="T279" i="12"/>
  <c r="U279" i="12"/>
  <c r="V279" i="12"/>
  <c r="AN284" i="6"/>
  <c r="BJ284" i="6"/>
  <c r="BO284" i="6"/>
  <c r="CD284" i="6"/>
  <c r="AY284" i="6"/>
  <c r="CJ284" i="6"/>
  <c r="AP284" i="6"/>
  <c r="AU284" i="6"/>
  <c r="BF284" i="6"/>
  <c r="G284" i="12"/>
  <c r="X284" i="5"/>
  <c r="AJ284" i="6" s="1"/>
  <c r="BV284" i="6"/>
  <c r="AK284" i="6"/>
  <c r="BY285" i="6" l="1"/>
  <c r="BF285" i="6"/>
  <c r="AS285" i="6"/>
  <c r="CB285" i="6"/>
  <c r="BA285" i="6"/>
  <c r="K286" i="12"/>
  <c r="AZ285" i="6"/>
  <c r="AT285" i="6"/>
  <c r="CK285" i="6"/>
  <c r="BC285" i="6"/>
  <c r="CH285" i="6"/>
  <c r="BL285" i="6"/>
  <c r="BO285" i="6"/>
  <c r="CM285" i="6"/>
  <c r="CI285" i="6"/>
  <c r="CD285" i="6"/>
  <c r="AQ285" i="6"/>
  <c r="BQ285" i="6"/>
  <c r="BS285" i="6"/>
  <c r="CL285" i="6"/>
  <c r="AN285" i="6"/>
  <c r="BM285" i="6"/>
  <c r="BN285" i="6"/>
  <c r="BE285" i="6"/>
  <c r="AW285" i="6"/>
  <c r="BP285" i="6"/>
  <c r="AO285" i="6"/>
  <c r="AY285" i="6"/>
  <c r="CG285" i="6"/>
  <c r="T280" i="12"/>
  <c r="U280" i="12"/>
  <c r="V280" i="12"/>
  <c r="J287" i="12"/>
  <c r="L287" i="12"/>
  <c r="K287" i="12" s="1"/>
  <c r="G286" i="6"/>
  <c r="M286" i="6"/>
  <c r="BC286" i="6" s="1"/>
  <c r="N286" i="6"/>
  <c r="BE286" i="6"/>
  <c r="CK286" i="6"/>
  <c r="BH286" i="6"/>
  <c r="CL286" i="6"/>
  <c r="H286" i="6"/>
  <c r="T286" i="5" s="1"/>
  <c r="CF286" i="6"/>
  <c r="CB286" i="6"/>
  <c r="CJ286" i="6"/>
  <c r="CH286" i="6"/>
  <c r="BD286" i="6"/>
  <c r="AU285" i="6"/>
  <c r="G285" i="12"/>
  <c r="X285" i="5"/>
  <c r="AJ285" i="6" s="1"/>
  <c r="CC285" i="6"/>
  <c r="BW285" i="6"/>
  <c r="AP285" i="6"/>
  <c r="AX285" i="6"/>
  <c r="BG285" i="6"/>
  <c r="BD285" i="6"/>
  <c r="BV285" i="6"/>
  <c r="BR285" i="6"/>
  <c r="T281" i="12"/>
  <c r="V281" i="12"/>
  <c r="U281" i="12"/>
  <c r="A288" i="12"/>
  <c r="AE288" i="5"/>
  <c r="H288" i="5"/>
  <c r="K288" i="5"/>
  <c r="F288" i="5"/>
  <c r="B288" i="6"/>
  <c r="C289" i="5"/>
  <c r="N288" i="5"/>
  <c r="B288" i="5"/>
  <c r="AD288" i="5"/>
  <c r="G288" i="5"/>
  <c r="R288" i="5"/>
  <c r="D288" i="5"/>
  <c r="B288" i="12" s="1"/>
  <c r="J288" i="5"/>
  <c r="W288" i="5"/>
  <c r="H288" i="12" s="1"/>
  <c r="E288" i="5"/>
  <c r="L284" i="5"/>
  <c r="AM284" i="5"/>
  <c r="I284" i="12"/>
  <c r="I284" i="5"/>
  <c r="Z284" i="5"/>
  <c r="AC284" i="5"/>
  <c r="CA285" i="6"/>
  <c r="AV285" i="6"/>
  <c r="BT285" i="6"/>
  <c r="BX285" i="6"/>
  <c r="AM285" i="6"/>
  <c r="BJ285" i="6"/>
  <c r="BZ285" i="6"/>
  <c r="AR285" i="6"/>
  <c r="BH285" i="6"/>
  <c r="CJ285" i="6"/>
  <c r="AL285" i="6"/>
  <c r="BI285" i="6"/>
  <c r="CE285" i="6"/>
  <c r="CF285" i="6"/>
  <c r="AK285" i="6"/>
  <c r="D287" i="6"/>
  <c r="E287" i="12"/>
  <c r="F287" i="6"/>
  <c r="BL286" i="6" l="1"/>
  <c r="BX286" i="6"/>
  <c r="BR286" i="6"/>
  <c r="CI286" i="6"/>
  <c r="BP286" i="6"/>
  <c r="BM286" i="6"/>
  <c r="CC286" i="6"/>
  <c r="AR286" i="6"/>
  <c r="CG286" i="6"/>
  <c r="BG286" i="6"/>
  <c r="BQ286" i="6"/>
  <c r="BS286" i="6"/>
  <c r="AV286" i="6"/>
  <c r="AX286" i="6"/>
  <c r="AU286" i="6"/>
  <c r="AW286" i="6"/>
  <c r="BA286" i="6"/>
  <c r="BY286" i="6"/>
  <c r="AL286" i="6"/>
  <c r="AQ286" i="6"/>
  <c r="BK286" i="6"/>
  <c r="BZ286" i="6"/>
  <c r="BI286" i="6"/>
  <c r="BJ286" i="6"/>
  <c r="AT286" i="6"/>
  <c r="AM286" i="6"/>
  <c r="CD286" i="6"/>
  <c r="CA286" i="6"/>
  <c r="BV286" i="6"/>
  <c r="AN286" i="6"/>
  <c r="BW286" i="6"/>
  <c r="CE286" i="6"/>
  <c r="BO286" i="6"/>
  <c r="BF286" i="6"/>
  <c r="BN286" i="6"/>
  <c r="CM286" i="6"/>
  <c r="BT286" i="6"/>
  <c r="AA284" i="5"/>
  <c r="AB284" i="5"/>
  <c r="AE289" i="5"/>
  <c r="N289" i="5"/>
  <c r="W289" i="5"/>
  <c r="H289" i="12" s="1"/>
  <c r="F289" i="5"/>
  <c r="E289" i="5"/>
  <c r="H289" i="5"/>
  <c r="G289" i="5"/>
  <c r="R289" i="5"/>
  <c r="A289" i="12"/>
  <c r="C290" i="5"/>
  <c r="J289" i="5"/>
  <c r="D289" i="5"/>
  <c r="B289" i="12" s="1"/>
  <c r="B289" i="6"/>
  <c r="K289" i="5"/>
  <c r="AD289" i="5"/>
  <c r="B289" i="5"/>
  <c r="C284" i="6"/>
  <c r="O284" i="5"/>
  <c r="G286" i="12"/>
  <c r="X286" i="5"/>
  <c r="AY286" i="6"/>
  <c r="AK286" i="6"/>
  <c r="AO286" i="6"/>
  <c r="AZ286" i="6"/>
  <c r="D288" i="6"/>
  <c r="M287" i="6"/>
  <c r="BG287" i="6" s="1"/>
  <c r="H287" i="6"/>
  <c r="T287" i="5" s="1"/>
  <c r="G287" i="6"/>
  <c r="AZ287" i="6"/>
  <c r="N287" i="6"/>
  <c r="C284" i="12"/>
  <c r="M284" i="12"/>
  <c r="O284" i="12"/>
  <c r="AO284" i="12"/>
  <c r="E288" i="12"/>
  <c r="F288" i="6"/>
  <c r="J288" i="12"/>
  <c r="L288" i="12"/>
  <c r="I285" i="12"/>
  <c r="AM285" i="5"/>
  <c r="L285" i="5"/>
  <c r="I285" i="5"/>
  <c r="Z285" i="5"/>
  <c r="AC285" i="5"/>
  <c r="AP286" i="6"/>
  <c r="AS286" i="6"/>
  <c r="BD287" i="6" l="1"/>
  <c r="BW287" i="6"/>
  <c r="BQ287" i="6"/>
  <c r="CJ287" i="6"/>
  <c r="CC287" i="6"/>
  <c r="N284" i="12"/>
  <c r="BK287" i="6"/>
  <c r="AT287" i="6"/>
  <c r="CM287" i="6"/>
  <c r="BT287" i="6"/>
  <c r="BP287" i="6"/>
  <c r="CA287" i="6"/>
  <c r="D289" i="6"/>
  <c r="C285" i="6"/>
  <c r="O285" i="5"/>
  <c r="CB287" i="6"/>
  <c r="CI287" i="6"/>
  <c r="BY287" i="6"/>
  <c r="BR287" i="6"/>
  <c r="CK287" i="6"/>
  <c r="CG287" i="6"/>
  <c r="AV287" i="6"/>
  <c r="BJ287" i="6"/>
  <c r="AM287" i="6"/>
  <c r="BF287" i="6"/>
  <c r="BH287" i="6"/>
  <c r="BI287" i="6"/>
  <c r="CE287" i="6"/>
  <c r="BA287" i="6"/>
  <c r="D284" i="12"/>
  <c r="E284" i="6"/>
  <c r="K288" i="12"/>
  <c r="BV287" i="6"/>
  <c r="BS287" i="6"/>
  <c r="AN287" i="6"/>
  <c r="CF287" i="6"/>
  <c r="AY287" i="6"/>
  <c r="AO287" i="6"/>
  <c r="CL287" i="6"/>
  <c r="AK287" i="6"/>
  <c r="BN287" i="6"/>
  <c r="AU287" i="6"/>
  <c r="BO287" i="6"/>
  <c r="AW287" i="6"/>
  <c r="BE287" i="6"/>
  <c r="CH287" i="6"/>
  <c r="N288" i="6"/>
  <c r="M288" i="6"/>
  <c r="BC288" i="6" s="1"/>
  <c r="BI288" i="6"/>
  <c r="H288" i="6"/>
  <c r="T288" i="5" s="1"/>
  <c r="BE288" i="6"/>
  <c r="BM288" i="6"/>
  <c r="CB288" i="6"/>
  <c r="CM288" i="6"/>
  <c r="BF288" i="6"/>
  <c r="CJ288" i="6"/>
  <c r="CK288" i="6"/>
  <c r="BV288" i="6"/>
  <c r="BD288" i="6"/>
  <c r="BX288" i="6"/>
  <c r="G288" i="6"/>
  <c r="BY288" i="6"/>
  <c r="CA288" i="6"/>
  <c r="AD290" i="5"/>
  <c r="B290" i="6"/>
  <c r="H290" i="5"/>
  <c r="E290" i="5"/>
  <c r="W290" i="5"/>
  <c r="H290" i="12" s="1"/>
  <c r="K290" i="5"/>
  <c r="AE290" i="5"/>
  <c r="B290" i="5"/>
  <c r="G290" i="5"/>
  <c r="A290" i="12"/>
  <c r="N290" i="5"/>
  <c r="F290" i="5"/>
  <c r="J290" i="5"/>
  <c r="D290" i="5"/>
  <c r="B290" i="12" s="1"/>
  <c r="R290" i="5"/>
  <c r="C291" i="5"/>
  <c r="E289" i="12"/>
  <c r="F289" i="6"/>
  <c r="AA285" i="5"/>
  <c r="AB285" i="5"/>
  <c r="C285" i="12"/>
  <c r="O285" i="12"/>
  <c r="M285" i="12"/>
  <c r="AO285" i="12"/>
  <c r="Y284" i="12"/>
  <c r="AR287" i="6"/>
  <c r="BZ287" i="6"/>
  <c r="AX287" i="6"/>
  <c r="CD287" i="6"/>
  <c r="AQ287" i="6"/>
  <c r="BC287" i="6"/>
  <c r="BX287" i="6"/>
  <c r="AP287" i="6"/>
  <c r="BM287" i="6"/>
  <c r="BL287" i="6"/>
  <c r="AS287" i="6"/>
  <c r="AL287" i="6"/>
  <c r="G287" i="12"/>
  <c r="X287" i="5"/>
  <c r="L286" i="5"/>
  <c r="AM286" i="5"/>
  <c r="I286" i="12"/>
  <c r="Z286" i="5"/>
  <c r="I286" i="5"/>
  <c r="AC286" i="5"/>
  <c r="AJ286" i="6"/>
  <c r="J289" i="12"/>
  <c r="L289" i="12"/>
  <c r="AK288" i="6" l="1"/>
  <c r="CF288" i="6"/>
  <c r="CI288" i="6"/>
  <c r="AX288" i="6"/>
  <c r="AN288" i="6"/>
  <c r="CG288" i="6"/>
  <c r="AP288" i="6"/>
  <c r="CC288" i="6"/>
  <c r="BK288" i="6"/>
  <c r="CH288" i="6"/>
  <c r="BO288" i="6"/>
  <c r="BP288" i="6"/>
  <c r="BH288" i="6"/>
  <c r="AL288" i="6"/>
  <c r="CE288" i="6"/>
  <c r="AM288" i="6"/>
  <c r="BG288" i="6"/>
  <c r="AS288" i="6"/>
  <c r="BQ288" i="6"/>
  <c r="BS288" i="6"/>
  <c r="AW288" i="6"/>
  <c r="D290" i="6"/>
  <c r="E285" i="6"/>
  <c r="D285" i="12"/>
  <c r="X284" i="12"/>
  <c r="W284" i="12"/>
  <c r="AA286" i="5"/>
  <c r="AB286" i="5"/>
  <c r="I287" i="12"/>
  <c r="AM287" i="5"/>
  <c r="L287" i="5"/>
  <c r="Z287" i="5"/>
  <c r="I287" i="5"/>
  <c r="AC287" i="5"/>
  <c r="Y285" i="12"/>
  <c r="AU288" i="6"/>
  <c r="BA288" i="6"/>
  <c r="AQ288" i="6"/>
  <c r="CD288" i="6"/>
  <c r="C286" i="6"/>
  <c r="O286" i="5"/>
  <c r="C286" i="12"/>
  <c r="O286" i="12"/>
  <c r="N286" i="12" s="1"/>
  <c r="AO286" i="12"/>
  <c r="M286" i="12"/>
  <c r="AE291" i="5"/>
  <c r="AD291" i="5"/>
  <c r="B291" i="6"/>
  <c r="E291" i="5"/>
  <c r="A291" i="12"/>
  <c r="F291" i="5"/>
  <c r="N291" i="5"/>
  <c r="C292" i="5"/>
  <c r="H291" i="5"/>
  <c r="B291" i="5"/>
  <c r="R291" i="5"/>
  <c r="J291" i="5"/>
  <c r="G291" i="5"/>
  <c r="W291" i="5"/>
  <c r="H291" i="12" s="1"/>
  <c r="K291" i="5"/>
  <c r="D291" i="5"/>
  <c r="B291" i="12" s="1"/>
  <c r="L290" i="12"/>
  <c r="J290" i="12"/>
  <c r="AO288" i="6"/>
  <c r="BN288" i="6"/>
  <c r="AY288" i="6"/>
  <c r="AZ288" i="6"/>
  <c r="AT288" i="6"/>
  <c r="BW288" i="6"/>
  <c r="K289" i="12"/>
  <c r="AJ287" i="6"/>
  <c r="N285" i="12"/>
  <c r="F290" i="6"/>
  <c r="E290" i="12"/>
  <c r="G288" i="12"/>
  <c r="X288" i="5"/>
  <c r="BJ288" i="6"/>
  <c r="BL288" i="6"/>
  <c r="AV288" i="6"/>
  <c r="CL288" i="6"/>
  <c r="BZ288" i="6"/>
  <c r="AR288" i="6"/>
  <c r="BT288" i="6"/>
  <c r="BR288" i="6"/>
  <c r="M289" i="6"/>
  <c r="BP289" i="6" s="1"/>
  <c r="BC289" i="6"/>
  <c r="BL289" i="6"/>
  <c r="CB289" i="6"/>
  <c r="N289" i="6"/>
  <c r="G289" i="6"/>
  <c r="BD289" i="6"/>
  <c r="BR289" i="6"/>
  <c r="BW289" i="6"/>
  <c r="H289" i="6"/>
  <c r="T289" i="5" s="1"/>
  <c r="CK289" i="6"/>
  <c r="BH289" i="6"/>
  <c r="BQ289" i="6"/>
  <c r="BJ289" i="6"/>
  <c r="CI289" i="6"/>
  <c r="BX289" i="6"/>
  <c r="BK289" i="6"/>
  <c r="BZ289" i="6"/>
  <c r="BO289" i="6"/>
  <c r="CL289" i="6"/>
  <c r="CM289" i="6"/>
  <c r="CG289" i="6"/>
  <c r="CJ289" i="6" l="1"/>
  <c r="BI289" i="6"/>
  <c r="AO289" i="6"/>
  <c r="AT289" i="6"/>
  <c r="AK289" i="6"/>
  <c r="AL289" i="6"/>
  <c r="AW289" i="6"/>
  <c r="AY289" i="6"/>
  <c r="AR289" i="6"/>
  <c r="AN289" i="6"/>
  <c r="AQ289" i="6"/>
  <c r="BG289" i="6"/>
  <c r="K290" i="12"/>
  <c r="Y286" i="12"/>
  <c r="AB287" i="5"/>
  <c r="AA287" i="5"/>
  <c r="BM289" i="6"/>
  <c r="CD289" i="6"/>
  <c r="G289" i="12"/>
  <c r="X289" i="5"/>
  <c r="AX289" i="6"/>
  <c r="CH289" i="6"/>
  <c r="CE289" i="6"/>
  <c r="AZ289" i="6"/>
  <c r="CA289" i="6"/>
  <c r="BT289" i="6"/>
  <c r="CC289" i="6"/>
  <c r="E291" i="12"/>
  <c r="F291" i="6"/>
  <c r="B292" i="5"/>
  <c r="F292" i="5"/>
  <c r="B292" i="6"/>
  <c r="H292" i="5"/>
  <c r="C293" i="5"/>
  <c r="A292" i="12"/>
  <c r="J292" i="5"/>
  <c r="W292" i="5"/>
  <c r="H292" i="12" s="1"/>
  <c r="AE292" i="5"/>
  <c r="K292" i="5"/>
  <c r="N292" i="5"/>
  <c r="G292" i="5"/>
  <c r="D292" i="5"/>
  <c r="B292" i="12" s="1"/>
  <c r="AD292" i="5"/>
  <c r="R292" i="5"/>
  <c r="E292" i="5"/>
  <c r="W285" i="12"/>
  <c r="X285" i="12"/>
  <c r="C287" i="6"/>
  <c r="O287" i="5"/>
  <c r="D291" i="6"/>
  <c r="J291" i="12"/>
  <c r="L291" i="12"/>
  <c r="T284" i="12"/>
  <c r="U284" i="12"/>
  <c r="V284" i="12"/>
  <c r="M290" i="6"/>
  <c r="BV290" i="6" s="1"/>
  <c r="BO290" i="6"/>
  <c r="CE290" i="6"/>
  <c r="BG290" i="6"/>
  <c r="CH290" i="6"/>
  <c r="CF290" i="6"/>
  <c r="BS290" i="6"/>
  <c r="BJ290" i="6"/>
  <c r="BZ290" i="6"/>
  <c r="BR290" i="6"/>
  <c r="CK290" i="6"/>
  <c r="CI290" i="6"/>
  <c r="BT290" i="6"/>
  <c r="CM290" i="6"/>
  <c r="BN290" i="6"/>
  <c r="CA290" i="6"/>
  <c r="BC290" i="6"/>
  <c r="CG290" i="6"/>
  <c r="BM290" i="6"/>
  <c r="CL290" i="6"/>
  <c r="BX290" i="6"/>
  <c r="BK290" i="6"/>
  <c r="BH290" i="6"/>
  <c r="BF290" i="6"/>
  <c r="H290" i="6"/>
  <c r="T290" i="5" s="1"/>
  <c r="CB290" i="6"/>
  <c r="BI290" i="6"/>
  <c r="BD290" i="6"/>
  <c r="G290" i="6"/>
  <c r="CC290" i="6"/>
  <c r="BQ290" i="6"/>
  <c r="BP290" i="6"/>
  <c r="AR290" i="6"/>
  <c r="AM290" i="6"/>
  <c r="BE290" i="6"/>
  <c r="CJ290" i="6"/>
  <c r="N290" i="6"/>
  <c r="BW290" i="6"/>
  <c r="BL290" i="6"/>
  <c r="CD290" i="6"/>
  <c r="BY290" i="6"/>
  <c r="BE289" i="6"/>
  <c r="AP289" i="6"/>
  <c r="BA289" i="6"/>
  <c r="BS289" i="6"/>
  <c r="BN289" i="6"/>
  <c r="AV289" i="6"/>
  <c r="BV289" i="6"/>
  <c r="AM289" i="6"/>
  <c r="CF289" i="6"/>
  <c r="BF289" i="6"/>
  <c r="BY289" i="6"/>
  <c r="AU289" i="6"/>
  <c r="AS289" i="6"/>
  <c r="AM288" i="5"/>
  <c r="L288" i="5"/>
  <c r="I288" i="12"/>
  <c r="I288" i="5"/>
  <c r="Z288" i="5"/>
  <c r="AC288" i="5"/>
  <c r="AJ288" i="6"/>
  <c r="D286" i="12"/>
  <c r="E286" i="6"/>
  <c r="C287" i="12"/>
  <c r="M287" i="12"/>
  <c r="AO287" i="12"/>
  <c r="O287" i="12"/>
  <c r="AS290" i="6" l="1"/>
  <c r="AZ290" i="6"/>
  <c r="AP290" i="6"/>
  <c r="N287" i="12"/>
  <c r="AU290" i="6"/>
  <c r="Y287" i="12"/>
  <c r="AN290" i="6"/>
  <c r="AL290" i="6"/>
  <c r="AV290" i="6"/>
  <c r="AT290" i="6"/>
  <c r="AY290" i="6"/>
  <c r="AO290" i="6"/>
  <c r="AK290" i="6"/>
  <c r="BA290" i="6"/>
  <c r="K291" i="12"/>
  <c r="C288" i="12"/>
  <c r="O288" i="12"/>
  <c r="AO288" i="12"/>
  <c r="M288" i="12"/>
  <c r="E287" i="6"/>
  <c r="D287" i="12"/>
  <c r="H293" i="5"/>
  <c r="AD293" i="5"/>
  <c r="E293" i="5"/>
  <c r="C294" i="5"/>
  <c r="R293" i="5"/>
  <c r="F293" i="5"/>
  <c r="D293" i="5"/>
  <c r="B293" i="12" s="1"/>
  <c r="AE293" i="5"/>
  <c r="J293" i="5"/>
  <c r="K293" i="5"/>
  <c r="B293" i="6"/>
  <c r="N293" i="5"/>
  <c r="A293" i="12"/>
  <c r="W293" i="5"/>
  <c r="H293" i="12" s="1"/>
  <c r="B293" i="5"/>
  <c r="G293" i="5"/>
  <c r="X287" i="12"/>
  <c r="W287" i="12"/>
  <c r="C288" i="6"/>
  <c r="O288" i="5"/>
  <c r="G290" i="12"/>
  <c r="X290" i="5"/>
  <c r="AX290" i="6"/>
  <c r="AW290" i="6"/>
  <c r="AQ290" i="6"/>
  <c r="X286" i="12"/>
  <c r="W286" i="12"/>
  <c r="AA288" i="5"/>
  <c r="AB288" i="5"/>
  <c r="F292" i="6"/>
  <c r="E292" i="12"/>
  <c r="N291" i="6"/>
  <c r="M291" i="6"/>
  <c r="CC291" i="6" s="1"/>
  <c r="BI291" i="6"/>
  <c r="BE291" i="6"/>
  <c r="G291" i="6"/>
  <c r="CG291" i="6"/>
  <c r="H291" i="6"/>
  <c r="T291" i="5" s="1"/>
  <c r="BF291" i="6"/>
  <c r="AK291" i="6"/>
  <c r="V285" i="12"/>
  <c r="T285" i="12"/>
  <c r="U285" i="12"/>
  <c r="D292" i="6"/>
  <c r="J292" i="12"/>
  <c r="L292" i="12"/>
  <c r="AM289" i="5"/>
  <c r="L289" i="5"/>
  <c r="I289" i="12"/>
  <c r="Z289" i="5"/>
  <c r="I289" i="5"/>
  <c r="AC289" i="5"/>
  <c r="AJ289" i="6"/>
  <c r="K292" i="12" l="1"/>
  <c r="BO291" i="6"/>
  <c r="BD291" i="6"/>
  <c r="BZ291" i="6"/>
  <c r="AY291" i="6"/>
  <c r="BC291" i="6"/>
  <c r="AN291" i="6"/>
  <c r="CL291" i="6"/>
  <c r="AO291" i="6"/>
  <c r="BT291" i="6"/>
  <c r="BY291" i="6"/>
  <c r="CF291" i="6"/>
  <c r="BN291" i="6"/>
  <c r="CJ291" i="6"/>
  <c r="AP291" i="6"/>
  <c r="BW291" i="6"/>
  <c r="BR291" i="6"/>
  <c r="E288" i="6"/>
  <c r="D288" i="12"/>
  <c r="J293" i="12"/>
  <c r="L293" i="12"/>
  <c r="C289" i="6"/>
  <c r="O289" i="5"/>
  <c r="AB289" i="5"/>
  <c r="AA289" i="5"/>
  <c r="G291" i="12"/>
  <c r="X291" i="5"/>
  <c r="BG291" i="6"/>
  <c r="BX291" i="6"/>
  <c r="BJ291" i="6"/>
  <c r="AV291" i="6"/>
  <c r="BV291" i="6"/>
  <c r="BP291" i="6"/>
  <c r="CD291" i="6"/>
  <c r="AX291" i="6"/>
  <c r="BK291" i="6"/>
  <c r="AZ291" i="6"/>
  <c r="BS291" i="6"/>
  <c r="BA291" i="6"/>
  <c r="CA291" i="6"/>
  <c r="U286" i="12"/>
  <c r="T286" i="12"/>
  <c r="V286" i="12"/>
  <c r="D293" i="6"/>
  <c r="E293" i="12"/>
  <c r="F293" i="6"/>
  <c r="Y288" i="12"/>
  <c r="C289" i="12"/>
  <c r="M289" i="12"/>
  <c r="AO289" i="12"/>
  <c r="O289" i="12"/>
  <c r="H292" i="6"/>
  <c r="T292" i="5" s="1"/>
  <c r="G292" i="6"/>
  <c r="M292" i="6"/>
  <c r="BK292" i="6" s="1"/>
  <c r="AK292" i="6"/>
  <c r="CJ292" i="6"/>
  <c r="CI292" i="6"/>
  <c r="BJ292" i="6"/>
  <c r="BP292" i="6"/>
  <c r="AU292" i="6"/>
  <c r="N292" i="6"/>
  <c r="CI291" i="6"/>
  <c r="CH291" i="6"/>
  <c r="CE291" i="6"/>
  <c r="CM291" i="6"/>
  <c r="CK291" i="6"/>
  <c r="AU291" i="6"/>
  <c r="BQ291" i="6"/>
  <c r="BM291" i="6"/>
  <c r="AQ291" i="6"/>
  <c r="BL291" i="6"/>
  <c r="AW291" i="6"/>
  <c r="AS291" i="6"/>
  <c r="AR291" i="6"/>
  <c r="CB291" i="6"/>
  <c r="AM290" i="5"/>
  <c r="I290" i="12"/>
  <c r="L290" i="5"/>
  <c r="I290" i="5"/>
  <c r="Z290" i="5"/>
  <c r="AC290" i="5"/>
  <c r="AJ290" i="6"/>
  <c r="T287" i="12"/>
  <c r="V287" i="12"/>
  <c r="U287" i="12"/>
  <c r="H294" i="5"/>
  <c r="E294" i="5"/>
  <c r="C295" i="5"/>
  <c r="B294" i="5"/>
  <c r="A294" i="12"/>
  <c r="D294" i="5"/>
  <c r="B294" i="12" s="1"/>
  <c r="J294" i="5"/>
  <c r="K294" i="5"/>
  <c r="AE294" i="5"/>
  <c r="R294" i="5"/>
  <c r="F294" i="5"/>
  <c r="N294" i="5"/>
  <c r="G294" i="5"/>
  <c r="W294" i="5"/>
  <c r="H294" i="12" s="1"/>
  <c r="AD294" i="5"/>
  <c r="B294" i="6"/>
  <c r="N288" i="12"/>
  <c r="AM291" i="6"/>
  <c r="BH291" i="6"/>
  <c r="AL291" i="6"/>
  <c r="AT291" i="6"/>
  <c r="BZ292" i="6" l="1"/>
  <c r="CM292" i="6"/>
  <c r="BH292" i="6"/>
  <c r="CH292" i="6"/>
  <c r="BI292" i="6"/>
  <c r="AX292" i="6"/>
  <c r="AV292" i="6"/>
  <c r="BC292" i="6"/>
  <c r="BF292" i="6"/>
  <c r="BA292" i="6"/>
  <c r="AQ292" i="6"/>
  <c r="BL292" i="6"/>
  <c r="BM292" i="6"/>
  <c r="CE292" i="6"/>
  <c r="BG292" i="6"/>
  <c r="AW292" i="6"/>
  <c r="AT292" i="6"/>
  <c r="AS292" i="6"/>
  <c r="BV292" i="6"/>
  <c r="BS292" i="6"/>
  <c r="BW292" i="6"/>
  <c r="BD292" i="6"/>
  <c r="K293" i="12"/>
  <c r="BO292" i="6"/>
  <c r="CL292" i="6"/>
  <c r="CF292" i="6"/>
  <c r="AR292" i="6"/>
  <c r="CB292" i="6"/>
  <c r="N289" i="12"/>
  <c r="CA292" i="6"/>
  <c r="BX292" i="6"/>
  <c r="Y289" i="12"/>
  <c r="B295" i="6"/>
  <c r="N295" i="5"/>
  <c r="C296" i="5"/>
  <c r="H295" i="5"/>
  <c r="W295" i="5"/>
  <c r="H295" i="12" s="1"/>
  <c r="B295" i="5"/>
  <c r="E295" i="5"/>
  <c r="AE295" i="5"/>
  <c r="J295" i="5"/>
  <c r="K295" i="5"/>
  <c r="F295" i="5"/>
  <c r="R295" i="5"/>
  <c r="AD295" i="5"/>
  <c r="D295" i="5"/>
  <c r="B295" i="12" s="1"/>
  <c r="A295" i="12"/>
  <c r="G295" i="5"/>
  <c r="AB290" i="5"/>
  <c r="AA290" i="5"/>
  <c r="BT292" i="6"/>
  <c r="AO292" i="6"/>
  <c r="G292" i="12"/>
  <c r="X292" i="5"/>
  <c r="M293" i="6"/>
  <c r="BG293" i="6" s="1"/>
  <c r="N293" i="6"/>
  <c r="H293" i="6"/>
  <c r="T293" i="5" s="1"/>
  <c r="CM293" i="6"/>
  <c r="BC293" i="6"/>
  <c r="BT293" i="6"/>
  <c r="G293" i="6"/>
  <c r="AS293" i="6"/>
  <c r="AN293" i="6"/>
  <c r="BA293" i="6"/>
  <c r="L294" i="12"/>
  <c r="K294" i="12" s="1"/>
  <c r="J294" i="12"/>
  <c r="CK292" i="6"/>
  <c r="BQ292" i="6"/>
  <c r="BE292" i="6"/>
  <c r="AZ292" i="6"/>
  <c r="AM292" i="6"/>
  <c r="CC292" i="6"/>
  <c r="X288" i="12"/>
  <c r="W288" i="12"/>
  <c r="E294" i="12"/>
  <c r="F294" i="6"/>
  <c r="C290" i="6"/>
  <c r="O290" i="5"/>
  <c r="CG292" i="6"/>
  <c r="AY292" i="6"/>
  <c r="BY292" i="6"/>
  <c r="CD292" i="6"/>
  <c r="X289" i="12"/>
  <c r="W289" i="12"/>
  <c r="AM291" i="5"/>
  <c r="I291" i="12"/>
  <c r="L291" i="5"/>
  <c r="Z291" i="5"/>
  <c r="I291" i="5"/>
  <c r="AC291" i="5"/>
  <c r="D289" i="12"/>
  <c r="E289" i="6"/>
  <c r="D294" i="6"/>
  <c r="C290" i="12"/>
  <c r="O290" i="12"/>
  <c r="M290" i="12"/>
  <c r="AO290" i="12"/>
  <c r="BN292" i="6"/>
  <c r="AP292" i="6"/>
  <c r="BR292" i="6"/>
  <c r="AL292" i="6"/>
  <c r="AN292" i="6"/>
  <c r="AJ291" i="6"/>
  <c r="BL293" i="6" l="1"/>
  <c r="CK293" i="6"/>
  <c r="BV293" i="6"/>
  <c r="BY293" i="6"/>
  <c r="CA293" i="6"/>
  <c r="CI293" i="6"/>
  <c r="CE293" i="6"/>
  <c r="CD293" i="6"/>
  <c r="CJ293" i="6"/>
  <c r="N290" i="12"/>
  <c r="BZ293" i="6"/>
  <c r="BN293" i="6"/>
  <c r="BD293" i="6"/>
  <c r="CL293" i="6"/>
  <c r="AP293" i="6"/>
  <c r="CB293" i="6"/>
  <c r="BP293" i="6"/>
  <c r="AY293" i="6"/>
  <c r="BO293" i="6"/>
  <c r="BX293" i="6"/>
  <c r="BF293" i="6"/>
  <c r="BI293" i="6"/>
  <c r="CF293" i="6"/>
  <c r="BS293" i="6"/>
  <c r="AO293" i="6"/>
  <c r="AZ293" i="6"/>
  <c r="BR293" i="6"/>
  <c r="AW293" i="6"/>
  <c r="AK293" i="6"/>
  <c r="U289" i="12"/>
  <c r="T289" i="12"/>
  <c r="V289" i="12"/>
  <c r="C291" i="6"/>
  <c r="O291" i="5"/>
  <c r="G293" i="12"/>
  <c r="X293" i="5"/>
  <c r="AT293" i="6"/>
  <c r="BW293" i="6"/>
  <c r="AM293" i="6"/>
  <c r="BH293" i="6"/>
  <c r="AX293" i="6"/>
  <c r="AU293" i="6"/>
  <c r="AM292" i="5"/>
  <c r="L292" i="5"/>
  <c r="I292" i="12"/>
  <c r="I292" i="5"/>
  <c r="Z292" i="5"/>
  <c r="AC292" i="5"/>
  <c r="AJ292" i="6"/>
  <c r="Y290" i="12"/>
  <c r="C291" i="12"/>
  <c r="AO291" i="12"/>
  <c r="M291" i="12"/>
  <c r="O291" i="12"/>
  <c r="D290" i="12"/>
  <c r="E290" i="6"/>
  <c r="U288" i="12"/>
  <c r="T288" i="12"/>
  <c r="V288" i="12"/>
  <c r="BE293" i="6"/>
  <c r="AQ293" i="6"/>
  <c r="CG293" i="6"/>
  <c r="BJ293" i="6"/>
  <c r="BM293" i="6"/>
  <c r="L295" i="12"/>
  <c r="J295" i="12"/>
  <c r="F295" i="6"/>
  <c r="E295" i="12"/>
  <c r="E296" i="5"/>
  <c r="AD296" i="5"/>
  <c r="B296" i="5"/>
  <c r="K296" i="5"/>
  <c r="D296" i="5"/>
  <c r="B296" i="12" s="1"/>
  <c r="A296" i="12"/>
  <c r="H296" i="5"/>
  <c r="C297" i="5"/>
  <c r="G296" i="5"/>
  <c r="N296" i="5"/>
  <c r="F296" i="5"/>
  <c r="AE296" i="5"/>
  <c r="R296" i="5"/>
  <c r="W296" i="5"/>
  <c r="H296" i="12" s="1"/>
  <c r="J296" i="5"/>
  <c r="B296" i="6"/>
  <c r="M294" i="6"/>
  <c r="CE294" i="6" s="1"/>
  <c r="G294" i="6"/>
  <c r="BE294" i="6"/>
  <c r="BX294" i="6"/>
  <c r="BO294" i="6"/>
  <c r="CL294" i="6"/>
  <c r="BL294" i="6"/>
  <c r="CJ294" i="6"/>
  <c r="BG294" i="6"/>
  <c r="BD294" i="6"/>
  <c r="BN294" i="6"/>
  <c r="CK294" i="6"/>
  <c r="BZ294" i="6"/>
  <c r="H294" i="6"/>
  <c r="T294" i="5" s="1"/>
  <c r="BM294" i="6"/>
  <c r="BH294" i="6"/>
  <c r="BR294" i="6"/>
  <c r="AV294" i="6"/>
  <c r="CH294" i="6"/>
  <c r="CB294" i="6"/>
  <c r="BV294" i="6"/>
  <c r="BQ294" i="6"/>
  <c r="BT294" i="6"/>
  <c r="BJ294" i="6"/>
  <c r="AM294" i="6"/>
  <c r="AO294" i="6"/>
  <c r="BF294" i="6"/>
  <c r="CC294" i="6"/>
  <c r="BY294" i="6"/>
  <c r="BW294" i="6"/>
  <c r="BK294" i="6"/>
  <c r="AK294" i="6"/>
  <c r="BC294" i="6"/>
  <c r="CD294" i="6"/>
  <c r="CI294" i="6"/>
  <c r="CF294" i="6"/>
  <c r="AX294" i="6"/>
  <c r="N294" i="6"/>
  <c r="BK293" i="6"/>
  <c r="AR293" i="6"/>
  <c r="AV293" i="6"/>
  <c r="BQ293" i="6"/>
  <c r="AL293" i="6"/>
  <c r="CC293" i="6"/>
  <c r="CH293" i="6"/>
  <c r="D295" i="6"/>
  <c r="AB291" i="5"/>
  <c r="AA291" i="5"/>
  <c r="AP294" i="6" l="1"/>
  <c r="BP294" i="6"/>
  <c r="BS294" i="6"/>
  <c r="CM294" i="6"/>
  <c r="CG294" i="6"/>
  <c r="BI294" i="6"/>
  <c r="CA294" i="6"/>
  <c r="K295" i="12"/>
  <c r="Y291" i="12"/>
  <c r="AY294" i="6"/>
  <c r="AQ294" i="6"/>
  <c r="AS294" i="6"/>
  <c r="E296" i="12"/>
  <c r="F296" i="6"/>
  <c r="X291" i="12"/>
  <c r="W291" i="12"/>
  <c r="C292" i="6"/>
  <c r="O292" i="5"/>
  <c r="G294" i="12"/>
  <c r="X294" i="5"/>
  <c r="BA294" i="6"/>
  <c r="AN294" i="6"/>
  <c r="J296" i="12"/>
  <c r="L296" i="12"/>
  <c r="AA292" i="5"/>
  <c r="AB292" i="5"/>
  <c r="AM293" i="5"/>
  <c r="L293" i="5"/>
  <c r="I293" i="12"/>
  <c r="I293" i="5"/>
  <c r="Z293" i="5"/>
  <c r="AC293" i="5"/>
  <c r="AR294" i="6"/>
  <c r="AJ294" i="6"/>
  <c r="AZ294" i="6"/>
  <c r="N291" i="12"/>
  <c r="X290" i="12"/>
  <c r="W290" i="12"/>
  <c r="N295" i="6"/>
  <c r="G295" i="6"/>
  <c r="BZ295" i="6"/>
  <c r="BM295" i="6"/>
  <c r="CM295" i="6"/>
  <c r="M295" i="6"/>
  <c r="CA295" i="6" s="1"/>
  <c r="BW295" i="6"/>
  <c r="BJ295" i="6"/>
  <c r="BR295" i="6"/>
  <c r="H295" i="6"/>
  <c r="T295" i="5" s="1"/>
  <c r="BF295" i="6"/>
  <c r="BD295" i="6"/>
  <c r="CL295" i="6"/>
  <c r="AU295" i="6"/>
  <c r="CE295" i="6"/>
  <c r="AR295" i="6"/>
  <c r="CD295" i="6"/>
  <c r="CG295" i="6"/>
  <c r="CC295" i="6"/>
  <c r="AL295" i="6"/>
  <c r="BG295" i="6"/>
  <c r="AT294" i="6"/>
  <c r="AU294" i="6"/>
  <c r="AL294" i="6"/>
  <c r="AW294" i="6"/>
  <c r="D296" i="6"/>
  <c r="E297" i="5"/>
  <c r="J297" i="5"/>
  <c r="H297" i="5"/>
  <c r="W297" i="5"/>
  <c r="H297" i="12" s="1"/>
  <c r="D297" i="5"/>
  <c r="B297" i="12" s="1"/>
  <c r="N297" i="5"/>
  <c r="AE297" i="5"/>
  <c r="K297" i="5"/>
  <c r="R297" i="5"/>
  <c r="A297" i="12"/>
  <c r="G297" i="5"/>
  <c r="B297" i="6"/>
  <c r="AD297" i="5"/>
  <c r="B297" i="5"/>
  <c r="C298" i="5" s="1"/>
  <c r="F297" i="5"/>
  <c r="C292" i="12"/>
  <c r="O292" i="12"/>
  <c r="M292" i="12"/>
  <c r="AO292" i="12"/>
  <c r="AJ293" i="6"/>
  <c r="D291" i="12"/>
  <c r="E291" i="6"/>
  <c r="BE295" i="6" l="1"/>
  <c r="BX295" i="6"/>
  <c r="BY295" i="6"/>
  <c r="BH295" i="6"/>
  <c r="AT295" i="6"/>
  <c r="CH295" i="6"/>
  <c r="BC295" i="6"/>
  <c r="BK295" i="6"/>
  <c r="BL295" i="6"/>
  <c r="CB295" i="6"/>
  <c r="BV295" i="6"/>
  <c r="CJ295" i="6"/>
  <c r="BP295" i="6"/>
  <c r="BI295" i="6"/>
  <c r="K296" i="12"/>
  <c r="N292" i="12"/>
  <c r="U290" i="12"/>
  <c r="T290" i="12"/>
  <c r="V290" i="12"/>
  <c r="C299" i="5"/>
  <c r="E298" i="5"/>
  <c r="N298" i="5"/>
  <c r="A298" i="12"/>
  <c r="B298" i="6"/>
  <c r="B298" i="5"/>
  <c r="H298" i="5"/>
  <c r="I298" i="5"/>
  <c r="F298" i="5"/>
  <c r="G298" i="5"/>
  <c r="AE298" i="5"/>
  <c r="W298" i="5"/>
  <c r="H298" i="12" s="1"/>
  <c r="AD298" i="5"/>
  <c r="E297" i="12"/>
  <c r="F297" i="6"/>
  <c r="M296" i="6"/>
  <c r="H296" i="6"/>
  <c r="T296" i="5" s="1"/>
  <c r="G296" i="6"/>
  <c r="N296" i="6"/>
  <c r="AN296" i="6"/>
  <c r="AO295" i="6"/>
  <c r="AN295" i="6"/>
  <c r="AM295" i="6"/>
  <c r="BS295" i="6"/>
  <c r="BT295" i="6"/>
  <c r="BN295" i="6"/>
  <c r="CK295" i="6"/>
  <c r="CF295" i="6"/>
  <c r="BA295" i="6"/>
  <c r="BQ295" i="6"/>
  <c r="C293" i="12"/>
  <c r="M293" i="12"/>
  <c r="AO293" i="12"/>
  <c r="O293" i="12"/>
  <c r="I294" i="12"/>
  <c r="AM294" i="5"/>
  <c r="L294" i="5"/>
  <c r="Z294" i="5"/>
  <c r="I294" i="5"/>
  <c r="AC294" i="5"/>
  <c r="V291" i="12"/>
  <c r="U291" i="12"/>
  <c r="T291" i="12"/>
  <c r="L297" i="12"/>
  <c r="J297" i="12"/>
  <c r="D297" i="6"/>
  <c r="Y292" i="12"/>
  <c r="AW295" i="6"/>
  <c r="AY295" i="6"/>
  <c r="AX295" i="6"/>
  <c r="AS295" i="6"/>
  <c r="AK295" i="6"/>
  <c r="BO295" i="6"/>
  <c r="CI295" i="6"/>
  <c r="AZ295" i="6"/>
  <c r="C293" i="6"/>
  <c r="O293" i="5"/>
  <c r="G295" i="12"/>
  <c r="X295" i="5"/>
  <c r="AP295" i="6"/>
  <c r="AV295" i="6"/>
  <c r="AQ295" i="6"/>
  <c r="AA293" i="5"/>
  <c r="AB293" i="5"/>
  <c r="D292" i="12"/>
  <c r="E292" i="6"/>
  <c r="AX296" i="6" l="1"/>
  <c r="BX296" i="6"/>
  <c r="AW296" i="6"/>
  <c r="BG296" i="6"/>
  <c r="BY296" i="6"/>
  <c r="CE296" i="6"/>
  <c r="BZ296" i="6"/>
  <c r="BL296" i="6"/>
  <c r="BS296" i="6"/>
  <c r="AO296" i="6"/>
  <c r="BQ296" i="6"/>
  <c r="AL296" i="6"/>
  <c r="CK296" i="6"/>
  <c r="BE296" i="6"/>
  <c r="BK296" i="6"/>
  <c r="AZ296" i="6"/>
  <c r="CI296" i="6"/>
  <c r="AU296" i="6"/>
  <c r="BI296" i="6"/>
  <c r="CC296" i="6"/>
  <c r="CH296" i="6"/>
  <c r="CB296" i="6"/>
  <c r="AY296" i="6"/>
  <c r="AT296" i="6"/>
  <c r="BA296" i="6"/>
  <c r="AR296" i="6"/>
  <c r="BH296" i="6"/>
  <c r="CF296" i="6"/>
  <c r="BR296" i="6"/>
  <c r="E293" i="6"/>
  <c r="D293" i="12"/>
  <c r="N297" i="6"/>
  <c r="H297" i="6"/>
  <c r="T297" i="5" s="1"/>
  <c r="M297" i="6"/>
  <c r="BN297" i="6" s="1"/>
  <c r="CH297" i="6"/>
  <c r="AU297" i="6"/>
  <c r="G297" i="6"/>
  <c r="CA297" i="6"/>
  <c r="AS297" i="6"/>
  <c r="BA297" i="6"/>
  <c r="BK297" i="6"/>
  <c r="K297" i="12"/>
  <c r="AB294" i="5"/>
  <c r="AA294" i="5"/>
  <c r="N293" i="12"/>
  <c r="BN296" i="6"/>
  <c r="BC296" i="6"/>
  <c r="BF296" i="6"/>
  <c r="BD296" i="6"/>
  <c r="CD296" i="6"/>
  <c r="CL296" i="6"/>
  <c r="BV296" i="6"/>
  <c r="D298" i="6"/>
  <c r="W292" i="12"/>
  <c r="X292" i="12"/>
  <c r="C294" i="12"/>
  <c r="M294" i="12"/>
  <c r="AO294" i="12"/>
  <c r="O294" i="12"/>
  <c r="C294" i="6"/>
  <c r="O294" i="5"/>
  <c r="Y293" i="12"/>
  <c r="BP296" i="6"/>
  <c r="AV296" i="6"/>
  <c r="AM296" i="6"/>
  <c r="AS296" i="6"/>
  <c r="AP296" i="6"/>
  <c r="BT296" i="6"/>
  <c r="AK296" i="6"/>
  <c r="BJ296" i="6"/>
  <c r="BM296" i="6"/>
  <c r="CJ296" i="6"/>
  <c r="CM296" i="6"/>
  <c r="I295" i="12"/>
  <c r="AM295" i="5"/>
  <c r="L295" i="5"/>
  <c r="Z295" i="5"/>
  <c r="I295" i="5"/>
  <c r="AC295" i="5"/>
  <c r="AJ295" i="6"/>
  <c r="AQ296" i="6"/>
  <c r="CG296" i="6"/>
  <c r="CA296" i="6"/>
  <c r="BW296" i="6"/>
  <c r="BO296" i="6"/>
  <c r="G296" i="12"/>
  <c r="X296" i="5"/>
  <c r="B299" i="5"/>
  <c r="K299" i="5"/>
  <c r="A299" i="12"/>
  <c r="C300" i="5"/>
  <c r="R299" i="5"/>
  <c r="G299" i="5"/>
  <c r="AE299" i="5"/>
  <c r="B299" i="6"/>
  <c r="AD299" i="5"/>
  <c r="W299" i="5"/>
  <c r="H299" i="12" s="1"/>
  <c r="E299" i="5"/>
  <c r="D299" i="5"/>
  <c r="B299" i="12" s="1"/>
  <c r="J299" i="5"/>
  <c r="H299" i="5"/>
  <c r="N299" i="5"/>
  <c r="F299" i="5"/>
  <c r="BS297" i="6" l="1"/>
  <c r="AN297" i="6"/>
  <c r="CK297" i="6"/>
  <c r="BH297" i="6"/>
  <c r="BW297" i="6"/>
  <c r="BG297" i="6"/>
  <c r="BC297" i="6"/>
  <c r="BX297" i="6"/>
  <c r="BL297" i="6"/>
  <c r="BV297" i="6"/>
  <c r="AR297" i="6"/>
  <c r="BJ297" i="6"/>
  <c r="AL297" i="6"/>
  <c r="BY297" i="6"/>
  <c r="N294" i="12"/>
  <c r="N300" i="5"/>
  <c r="E300" i="5"/>
  <c r="G300" i="5"/>
  <c r="D300" i="5"/>
  <c r="B300" i="12" s="1"/>
  <c r="A300" i="12"/>
  <c r="AE300" i="5"/>
  <c r="F300" i="5"/>
  <c r="R300" i="5"/>
  <c r="H300" i="5"/>
  <c r="B300" i="5"/>
  <c r="C301" i="5" s="1"/>
  <c r="J300" i="5"/>
  <c r="AD300" i="5"/>
  <c r="K300" i="5"/>
  <c r="B300" i="6"/>
  <c r="W300" i="5"/>
  <c r="H300" i="12" s="1"/>
  <c r="I296" i="12"/>
  <c r="AM296" i="5"/>
  <c r="L296" i="5"/>
  <c r="Z296" i="5"/>
  <c r="I296" i="5"/>
  <c r="AC296" i="5"/>
  <c r="AJ296" i="6"/>
  <c r="AV297" i="6"/>
  <c r="CI297" i="6"/>
  <c r="BZ297" i="6"/>
  <c r="BP297" i="6"/>
  <c r="BM297" i="6"/>
  <c r="AT297" i="6"/>
  <c r="AW297" i="6"/>
  <c r="CC297" i="6"/>
  <c r="L299" i="12"/>
  <c r="J299" i="12"/>
  <c r="C295" i="12"/>
  <c r="AO295" i="12"/>
  <c r="O295" i="12"/>
  <c r="M295" i="12"/>
  <c r="W293" i="12"/>
  <c r="X293" i="12"/>
  <c r="Y294" i="12"/>
  <c r="T292" i="12"/>
  <c r="U292" i="12"/>
  <c r="V292" i="12"/>
  <c r="CM297" i="6"/>
  <c r="AY297" i="6"/>
  <c r="BE297" i="6"/>
  <c r="BD297" i="6"/>
  <c r="AX297" i="6"/>
  <c r="AZ297" i="6"/>
  <c r="BI297" i="6"/>
  <c r="AK297" i="6"/>
  <c r="AM297" i="6"/>
  <c r="AP297" i="6"/>
  <c r="E299" i="12"/>
  <c r="F299" i="6"/>
  <c r="C295" i="6"/>
  <c r="O295" i="5"/>
  <c r="D299" i="6"/>
  <c r="AB295" i="5"/>
  <c r="AA295" i="5"/>
  <c r="D294" i="12"/>
  <c r="E294" i="6"/>
  <c r="AO297" i="6"/>
  <c r="AQ297" i="6"/>
  <c r="BQ297" i="6"/>
  <c r="CD297" i="6"/>
  <c r="CF297" i="6"/>
  <c r="CB297" i="6"/>
  <c r="CG297" i="6"/>
  <c r="BT297" i="6"/>
  <c r="CL297" i="6"/>
  <c r="BR297" i="6"/>
  <c r="BO297" i="6"/>
  <c r="BQ298" i="6"/>
  <c r="CM298" i="6"/>
  <c r="CH298" i="6"/>
  <c r="BX298" i="6"/>
  <c r="BE298" i="6"/>
  <c r="CG298" i="6"/>
  <c r="CD298" i="6"/>
  <c r="CE298" i="6"/>
  <c r="BI298" i="6"/>
  <c r="CL298" i="6"/>
  <c r="BD298" i="6"/>
  <c r="BG298" i="6"/>
  <c r="BN298" i="6"/>
  <c r="BK298" i="6"/>
  <c r="G298" i="6"/>
  <c r="BH298" i="6"/>
  <c r="BF298" i="6"/>
  <c r="CJ298" i="6"/>
  <c r="BM298" i="6"/>
  <c r="CF298" i="6"/>
  <c r="CK298" i="6"/>
  <c r="BP298" i="6"/>
  <c r="BW298" i="6"/>
  <c r="BS298" i="6"/>
  <c r="BV298" i="6"/>
  <c r="BJ298" i="6"/>
  <c r="BY298" i="6"/>
  <c r="BC298" i="6"/>
  <c r="BO298" i="6"/>
  <c r="CI298" i="6"/>
  <c r="CA298" i="6"/>
  <c r="CB298" i="6"/>
  <c r="CC298" i="6"/>
  <c r="M298" i="6"/>
  <c r="H298" i="6"/>
  <c r="T298" i="5" s="1"/>
  <c r="G298" i="12" s="1"/>
  <c r="N298" i="6"/>
  <c r="BL298" i="6"/>
  <c r="BR298" i="6"/>
  <c r="BT298" i="6"/>
  <c r="BZ298" i="6"/>
  <c r="G297" i="12"/>
  <c r="X297" i="5"/>
  <c r="CJ297" i="6"/>
  <c r="BF297" i="6"/>
  <c r="CE297" i="6"/>
  <c r="K299" i="12" l="1"/>
  <c r="AK298" i="6"/>
  <c r="AS298" i="6"/>
  <c r="E295" i="6"/>
  <c r="D295" i="12"/>
  <c r="AE301" i="5"/>
  <c r="B301" i="6"/>
  <c r="E301" i="5"/>
  <c r="AD301" i="5"/>
  <c r="W301" i="5"/>
  <c r="H301" i="12" s="1"/>
  <c r="A301" i="12"/>
  <c r="G301" i="5"/>
  <c r="H301" i="5"/>
  <c r="I301" i="5"/>
  <c r="F301" i="5"/>
  <c r="N301" i="5"/>
  <c r="B301" i="5"/>
  <c r="C302" i="5" s="1"/>
  <c r="AZ298" i="6"/>
  <c r="AY298" i="6"/>
  <c r="AR298" i="6"/>
  <c r="AO298" i="6"/>
  <c r="X294" i="12"/>
  <c r="W294" i="12"/>
  <c r="N295" i="12"/>
  <c r="C296" i="12"/>
  <c r="AO296" i="12"/>
  <c r="M296" i="12"/>
  <c r="O296" i="12"/>
  <c r="N296" i="12" s="1"/>
  <c r="AJ298" i="6"/>
  <c r="AV298" i="6"/>
  <c r="AX298" i="6"/>
  <c r="AL298" i="6"/>
  <c r="AQ298" i="6"/>
  <c r="AW298" i="6"/>
  <c r="BA298" i="6"/>
  <c r="Y295" i="12"/>
  <c r="AA296" i="5"/>
  <c r="AB296" i="5"/>
  <c r="J300" i="12"/>
  <c r="L300" i="12"/>
  <c r="K300" i="12" s="1"/>
  <c r="AM297" i="5"/>
  <c r="I297" i="12"/>
  <c r="L297" i="5"/>
  <c r="Z297" i="5"/>
  <c r="I297" i="5"/>
  <c r="AC297" i="5"/>
  <c r="AJ297" i="6"/>
  <c r="AU298" i="6"/>
  <c r="AT298" i="6"/>
  <c r="AP298" i="6"/>
  <c r="AM298" i="6"/>
  <c r="AN298" i="6"/>
  <c r="M299" i="6"/>
  <c r="CL299" i="6" s="1"/>
  <c r="N299" i="6"/>
  <c r="G299" i="6"/>
  <c r="BH299" i="6"/>
  <c r="H299" i="6"/>
  <c r="T299" i="5" s="1"/>
  <c r="BD299" i="6"/>
  <c r="V293" i="12"/>
  <c r="T293" i="12"/>
  <c r="U293" i="12"/>
  <c r="C296" i="6"/>
  <c r="O296" i="5"/>
  <c r="E300" i="12"/>
  <c r="F300" i="6"/>
  <c r="D300" i="6"/>
  <c r="BE299" i="6" l="1"/>
  <c r="Y296" i="12"/>
  <c r="AV299" i="6"/>
  <c r="CC299" i="6"/>
  <c r="CB299" i="6"/>
  <c r="BI299" i="6"/>
  <c r="BO299" i="6"/>
  <c r="BZ299" i="6"/>
  <c r="BG299" i="6"/>
  <c r="BC299" i="6"/>
  <c r="BW299" i="6"/>
  <c r="AZ299" i="6"/>
  <c r="BX299" i="6"/>
  <c r="BV299" i="6"/>
  <c r="CG299" i="6"/>
  <c r="BP299" i="6"/>
  <c r="BT299" i="6"/>
  <c r="CA299" i="6"/>
  <c r="CK299" i="6"/>
  <c r="BL299" i="6"/>
  <c r="BJ299" i="6"/>
  <c r="CF299" i="6"/>
  <c r="BM299" i="6"/>
  <c r="BR299" i="6"/>
  <c r="BF299" i="6"/>
  <c r="CD299" i="6"/>
  <c r="CE299" i="6"/>
  <c r="CI299" i="6"/>
  <c r="BS299" i="6"/>
  <c r="AP299" i="6"/>
  <c r="CJ299" i="6"/>
  <c r="BN299" i="6"/>
  <c r="BY299" i="6"/>
  <c r="AE302" i="5"/>
  <c r="B302" i="5"/>
  <c r="A302" i="12"/>
  <c r="F302" i="5"/>
  <c r="AD302" i="5"/>
  <c r="G302" i="5"/>
  <c r="N302" i="5"/>
  <c r="H302" i="5"/>
  <c r="B302" i="6"/>
  <c r="W302" i="5"/>
  <c r="H302" i="12" s="1"/>
  <c r="E302" i="5"/>
  <c r="C303" i="5"/>
  <c r="I302" i="5"/>
  <c r="M300" i="6"/>
  <c r="CE300" i="6" s="1"/>
  <c r="H300" i="6"/>
  <c r="T300" i="5" s="1"/>
  <c r="G300" i="6"/>
  <c r="BE300" i="6"/>
  <c r="N300" i="6"/>
  <c r="AW299" i="6"/>
  <c r="AS299" i="6"/>
  <c r="AX299" i="6"/>
  <c r="AK299" i="6"/>
  <c r="BA299" i="6"/>
  <c r="AL299" i="6"/>
  <c r="X295" i="12"/>
  <c r="W295" i="12"/>
  <c r="D301" i="6"/>
  <c r="J298" i="5"/>
  <c r="C297" i="12"/>
  <c r="M297" i="12"/>
  <c r="AO297" i="12"/>
  <c r="O297" i="12"/>
  <c r="G299" i="12"/>
  <c r="X299" i="5"/>
  <c r="AY299" i="6"/>
  <c r="AR299" i="6"/>
  <c r="CM299" i="6"/>
  <c r="AQ299" i="6"/>
  <c r="BK299" i="6"/>
  <c r="AN299" i="6"/>
  <c r="CH299" i="6"/>
  <c r="BQ299" i="6"/>
  <c r="AB297" i="5"/>
  <c r="AA297" i="5"/>
  <c r="V294" i="12"/>
  <c r="U294" i="12"/>
  <c r="T294" i="12"/>
  <c r="E296" i="6"/>
  <c r="D296" i="12"/>
  <c r="AM299" i="6"/>
  <c r="AJ299" i="6"/>
  <c r="AO299" i="6"/>
  <c r="AT299" i="6"/>
  <c r="AU299" i="6"/>
  <c r="C297" i="6"/>
  <c r="O297" i="5"/>
  <c r="X296" i="12"/>
  <c r="W296" i="12"/>
  <c r="BO300" i="6" l="1"/>
  <c r="AY300" i="6"/>
  <c r="BK300" i="6"/>
  <c r="BP300" i="6"/>
  <c r="BX300" i="6"/>
  <c r="AL300" i="6"/>
  <c r="AW300" i="6"/>
  <c r="BH300" i="6"/>
  <c r="BS300" i="6"/>
  <c r="BL300" i="6"/>
  <c r="BV300" i="6"/>
  <c r="CA300" i="6"/>
  <c r="BJ300" i="6"/>
  <c r="BF300" i="6"/>
  <c r="BN300" i="6"/>
  <c r="AV300" i="6"/>
  <c r="CF300" i="6"/>
  <c r="BM300" i="6"/>
  <c r="CI300" i="6"/>
  <c r="AK300" i="6"/>
  <c r="AO300" i="6"/>
  <c r="BA300" i="6"/>
  <c r="CH300" i="6"/>
  <c r="BZ300" i="6"/>
  <c r="BQ300" i="6"/>
  <c r="BD300" i="6"/>
  <c r="AP300" i="6"/>
  <c r="AM300" i="6"/>
  <c r="AT300" i="6"/>
  <c r="BW300" i="6"/>
  <c r="CC300" i="6"/>
  <c r="BC300" i="6"/>
  <c r="AX300" i="6"/>
  <c r="BR300" i="6"/>
  <c r="CB300" i="6"/>
  <c r="BG300" i="6"/>
  <c r="CG300" i="6"/>
  <c r="CM300" i="6"/>
  <c r="CK300" i="6"/>
  <c r="AZ300" i="6"/>
  <c r="CL300" i="6"/>
  <c r="BT300" i="6"/>
  <c r="BQ301" i="6"/>
  <c r="BJ301" i="6"/>
  <c r="BV301" i="6"/>
  <c r="BX301" i="6"/>
  <c r="BC301" i="6"/>
  <c r="CF301" i="6"/>
  <c r="G301" i="6"/>
  <c r="BL301" i="6"/>
  <c r="BG301" i="6"/>
  <c r="BW301" i="6"/>
  <c r="CH301" i="6"/>
  <c r="CB301" i="6"/>
  <c r="BP301" i="6"/>
  <c r="CI301" i="6"/>
  <c r="M301" i="6"/>
  <c r="BZ301" i="6"/>
  <c r="BN301" i="6"/>
  <c r="BF301" i="6"/>
  <c r="CL301" i="6"/>
  <c r="CC301" i="6"/>
  <c r="BD301" i="6"/>
  <c r="BI301" i="6"/>
  <c r="BH301" i="6"/>
  <c r="N301" i="6"/>
  <c r="BR301" i="6"/>
  <c r="CD301" i="6"/>
  <c r="CA301" i="6"/>
  <c r="BM301" i="6"/>
  <c r="BE301" i="6"/>
  <c r="CE301" i="6"/>
  <c r="BT301" i="6"/>
  <c r="CK301" i="6"/>
  <c r="BS301" i="6"/>
  <c r="CG301" i="6"/>
  <c r="BK301" i="6"/>
  <c r="H301" i="6"/>
  <c r="T301" i="5" s="1"/>
  <c r="G301" i="12" s="1"/>
  <c r="CM301" i="6"/>
  <c r="BO301" i="6"/>
  <c r="BY301" i="6"/>
  <c r="CJ301" i="6"/>
  <c r="CD300" i="6"/>
  <c r="AR300" i="6"/>
  <c r="BY300" i="6"/>
  <c r="AD303" i="5"/>
  <c r="AE303" i="5"/>
  <c r="E303" i="5"/>
  <c r="J303" i="5"/>
  <c r="B303" i="5"/>
  <c r="B303" i="6"/>
  <c r="N303" i="5"/>
  <c r="W303" i="5"/>
  <c r="H303" i="12" s="1"/>
  <c r="C304" i="5"/>
  <c r="K303" i="5"/>
  <c r="D303" i="5"/>
  <c r="B303" i="12" s="1"/>
  <c r="R303" i="5"/>
  <c r="A303" i="12"/>
  <c r="H303" i="5"/>
  <c r="G303" i="5"/>
  <c r="F303" i="5"/>
  <c r="E297" i="6"/>
  <c r="D297" i="12"/>
  <c r="N297" i="12"/>
  <c r="V295" i="12"/>
  <c r="T295" i="12"/>
  <c r="U295" i="12"/>
  <c r="G300" i="12"/>
  <c r="X300" i="5"/>
  <c r="BI300" i="6"/>
  <c r="CJ300" i="6"/>
  <c r="D302" i="6"/>
  <c r="U296" i="12"/>
  <c r="T296" i="12"/>
  <c r="V296" i="12"/>
  <c r="Y297" i="12"/>
  <c r="AQ300" i="6"/>
  <c r="AN300" i="6"/>
  <c r="AM299" i="5"/>
  <c r="L299" i="5"/>
  <c r="I299" i="12"/>
  <c r="Z299" i="5"/>
  <c r="I299" i="5"/>
  <c r="AC299" i="5"/>
  <c r="AU300" i="6"/>
  <c r="AS300" i="6"/>
  <c r="AW301" i="6" l="1"/>
  <c r="AU301" i="6"/>
  <c r="AA299" i="5"/>
  <c r="AB299" i="5"/>
  <c r="BS302" i="6"/>
  <c r="H302" i="6"/>
  <c r="T302" i="5" s="1"/>
  <c r="G302" i="12" s="1"/>
  <c r="N302" i="6"/>
  <c r="CD302" i="6"/>
  <c r="BP302" i="6"/>
  <c r="BD302" i="6"/>
  <c r="BM302" i="6"/>
  <c r="CK302" i="6"/>
  <c r="CG302" i="6"/>
  <c r="BY302" i="6"/>
  <c r="BT302" i="6"/>
  <c r="BW302" i="6"/>
  <c r="BR302" i="6"/>
  <c r="BQ302" i="6"/>
  <c r="BH302" i="6"/>
  <c r="BC302" i="6"/>
  <c r="CB302" i="6"/>
  <c r="CJ302" i="6"/>
  <c r="BG302" i="6"/>
  <c r="CF302" i="6"/>
  <c r="BK302" i="6"/>
  <c r="G302" i="6"/>
  <c r="CI302" i="6"/>
  <c r="CE302" i="6"/>
  <c r="BE302" i="6"/>
  <c r="BV302" i="6"/>
  <c r="CH302" i="6"/>
  <c r="BN302" i="6"/>
  <c r="BI302" i="6"/>
  <c r="CM302" i="6"/>
  <c r="CL302" i="6"/>
  <c r="BX302" i="6"/>
  <c r="CA302" i="6"/>
  <c r="BJ302" i="6"/>
  <c r="M302" i="6"/>
  <c r="AX302" i="6" s="1"/>
  <c r="BO302" i="6"/>
  <c r="BF302" i="6"/>
  <c r="BZ302" i="6"/>
  <c r="CC302" i="6"/>
  <c r="BL302" i="6"/>
  <c r="E303" i="12"/>
  <c r="F303" i="6"/>
  <c r="AY301" i="6"/>
  <c r="AQ301" i="6"/>
  <c r="AR301" i="6"/>
  <c r="AX301" i="6"/>
  <c r="AO301" i="6"/>
  <c r="AL301" i="6"/>
  <c r="AV301" i="6"/>
  <c r="AK301" i="6"/>
  <c r="AT301" i="6"/>
  <c r="C299" i="6"/>
  <c r="O299" i="5"/>
  <c r="X297" i="12"/>
  <c r="W297" i="12"/>
  <c r="L303" i="12"/>
  <c r="J303" i="12"/>
  <c r="D303" i="6"/>
  <c r="AP301" i="6"/>
  <c r="AN301" i="6"/>
  <c r="C299" i="12"/>
  <c r="O299" i="12"/>
  <c r="M299" i="12"/>
  <c r="AO299" i="12"/>
  <c r="Y299" i="12" s="1"/>
  <c r="AM300" i="5"/>
  <c r="L300" i="5"/>
  <c r="I300" i="12"/>
  <c r="I300" i="5"/>
  <c r="Z300" i="5"/>
  <c r="AC300" i="5"/>
  <c r="AJ300" i="6"/>
  <c r="D304" i="5"/>
  <c r="B304" i="12" s="1"/>
  <c r="AE304" i="5"/>
  <c r="J304" i="5"/>
  <c r="F304" i="5"/>
  <c r="H304" i="5"/>
  <c r="E304" i="5"/>
  <c r="C305" i="5"/>
  <c r="AD304" i="5"/>
  <c r="K304" i="5"/>
  <c r="R304" i="5"/>
  <c r="A304" i="12"/>
  <c r="B304" i="6"/>
  <c r="G304" i="5"/>
  <c r="W304" i="5"/>
  <c r="H304" i="12" s="1"/>
  <c r="B304" i="5"/>
  <c r="N304" i="5"/>
  <c r="BA301" i="6"/>
  <c r="AM301" i="6"/>
  <c r="AJ301" i="6"/>
  <c r="AZ301" i="6"/>
  <c r="AS301" i="6"/>
  <c r="AT302" i="6" l="1"/>
  <c r="AJ302" i="6"/>
  <c r="N299" i="12"/>
  <c r="BA302" i="6"/>
  <c r="AM302" i="6"/>
  <c r="AQ302" i="6"/>
  <c r="AZ302" i="6"/>
  <c r="AO302" i="6"/>
  <c r="AK302" i="6"/>
  <c r="AS302" i="6"/>
  <c r="AY302" i="6"/>
  <c r="AL302" i="6"/>
  <c r="AB300" i="5"/>
  <c r="AA300" i="5"/>
  <c r="N303" i="6"/>
  <c r="G303" i="6"/>
  <c r="H303" i="6"/>
  <c r="T303" i="5" s="1"/>
  <c r="M303" i="6"/>
  <c r="BW303" i="6" s="1"/>
  <c r="BX303" i="6"/>
  <c r="D299" i="12"/>
  <c r="E299" i="6"/>
  <c r="L304" i="12"/>
  <c r="J304" i="12"/>
  <c r="W299" i="12"/>
  <c r="X299" i="12"/>
  <c r="K303" i="12"/>
  <c r="AU302" i="6"/>
  <c r="AP302" i="6"/>
  <c r="AW302" i="6"/>
  <c r="D304" i="6"/>
  <c r="F304" i="6"/>
  <c r="E304" i="12"/>
  <c r="C300" i="12"/>
  <c r="O300" i="12"/>
  <c r="AO300" i="12"/>
  <c r="M300" i="12"/>
  <c r="V297" i="12"/>
  <c r="T297" i="12"/>
  <c r="U297" i="12"/>
  <c r="AR302" i="6"/>
  <c r="AN302" i="6"/>
  <c r="C306" i="5"/>
  <c r="AD305" i="5"/>
  <c r="AE305" i="5"/>
  <c r="A305" i="12"/>
  <c r="G305" i="5"/>
  <c r="F305" i="5"/>
  <c r="D305" i="5"/>
  <c r="B305" i="12" s="1"/>
  <c r="R305" i="5"/>
  <c r="W305" i="5"/>
  <c r="H305" i="12" s="1"/>
  <c r="B305" i="5"/>
  <c r="J305" i="5"/>
  <c r="H305" i="5"/>
  <c r="E305" i="5"/>
  <c r="B305" i="6"/>
  <c r="K305" i="5"/>
  <c r="N305" i="5"/>
  <c r="C300" i="6"/>
  <c r="O300" i="5"/>
  <c r="AV302" i="6"/>
  <c r="BN303" i="6" l="1"/>
  <c r="AK303" i="6"/>
  <c r="AL303" i="6"/>
  <c r="BD303" i="6"/>
  <c r="CK303" i="6"/>
  <c r="AV303" i="6"/>
  <c r="BQ303" i="6"/>
  <c r="Y300" i="12"/>
  <c r="X300" i="12" s="1"/>
  <c r="D305" i="6"/>
  <c r="F306" i="5"/>
  <c r="J306" i="5"/>
  <c r="D306" i="5"/>
  <c r="B306" i="12" s="1"/>
  <c r="AD306" i="5"/>
  <c r="R306" i="5"/>
  <c r="H306" i="5"/>
  <c r="C307" i="5"/>
  <c r="AE306" i="5"/>
  <c r="W306" i="5"/>
  <c r="H306" i="12" s="1"/>
  <c r="G306" i="5"/>
  <c r="B306" i="5"/>
  <c r="E306" i="5"/>
  <c r="B306" i="6"/>
  <c r="K306" i="5"/>
  <c r="N306" i="5"/>
  <c r="A306" i="12"/>
  <c r="K304" i="12"/>
  <c r="BL303" i="6"/>
  <c r="AW303" i="6"/>
  <c r="BF303" i="6"/>
  <c r="AP303" i="6"/>
  <c r="BZ303" i="6"/>
  <c r="AR303" i="6"/>
  <c r="AO303" i="6"/>
  <c r="AM303" i="6"/>
  <c r="BP303" i="6"/>
  <c r="BR303" i="6"/>
  <c r="BA303" i="6"/>
  <c r="AQ303" i="6"/>
  <c r="BO303" i="6"/>
  <c r="BK303" i="6"/>
  <c r="E300" i="6"/>
  <c r="D300" i="12"/>
  <c r="E305" i="12"/>
  <c r="F305" i="6"/>
  <c r="J305" i="12"/>
  <c r="L305" i="12"/>
  <c r="N300" i="12"/>
  <c r="AX303" i="6"/>
  <c r="CD303" i="6"/>
  <c r="AS303" i="6"/>
  <c r="CM303" i="6"/>
  <c r="CH303" i="6"/>
  <c r="CE303" i="6"/>
  <c r="BT303" i="6"/>
  <c r="BJ303" i="6"/>
  <c r="CC303" i="6"/>
  <c r="BG303" i="6"/>
  <c r="BM303" i="6"/>
  <c r="AY303" i="6"/>
  <c r="CF303" i="6"/>
  <c r="AT303" i="6"/>
  <c r="AN303" i="6"/>
  <c r="BE303" i="6"/>
  <c r="CG303" i="6"/>
  <c r="BC303" i="6"/>
  <c r="BH303" i="6"/>
  <c r="CA303" i="6"/>
  <c r="CB303" i="6"/>
  <c r="AU303" i="6"/>
  <c r="BV303" i="6"/>
  <c r="CJ303" i="6"/>
  <c r="CI303" i="6"/>
  <c r="N304" i="6"/>
  <c r="M304" i="6"/>
  <c r="CJ304" i="6" s="1"/>
  <c r="BI304" i="6"/>
  <c r="BL304" i="6"/>
  <c r="BN304" i="6"/>
  <c r="G304" i="6"/>
  <c r="CA304" i="6"/>
  <c r="BE304" i="6"/>
  <c r="BQ304" i="6"/>
  <c r="CL304" i="6"/>
  <c r="BP304" i="6"/>
  <c r="CE304" i="6"/>
  <c r="BF304" i="6"/>
  <c r="BH304" i="6"/>
  <c r="H304" i="6"/>
  <c r="T304" i="5" s="1"/>
  <c r="BX304" i="6"/>
  <c r="BD304" i="6"/>
  <c r="BT304" i="6"/>
  <c r="CM304" i="6"/>
  <c r="CC304" i="6"/>
  <c r="BZ304" i="6"/>
  <c r="U299" i="12"/>
  <c r="V299" i="12"/>
  <c r="T299" i="12"/>
  <c r="G303" i="12"/>
  <c r="X303" i="5"/>
  <c r="BI303" i="6"/>
  <c r="CL303" i="6"/>
  <c r="AZ303" i="6"/>
  <c r="BY303" i="6"/>
  <c r="BS303" i="6"/>
  <c r="CK304" i="6" l="1"/>
  <c r="BM304" i="6"/>
  <c r="BK304" i="6"/>
  <c r="BC304" i="6"/>
  <c r="BG304" i="6"/>
  <c r="CI304" i="6"/>
  <c r="CD304" i="6"/>
  <c r="BV304" i="6"/>
  <c r="BJ304" i="6"/>
  <c r="W300" i="12"/>
  <c r="CG304" i="6"/>
  <c r="BW304" i="6"/>
  <c r="CH304" i="6"/>
  <c r="BS304" i="6"/>
  <c r="BR304" i="6"/>
  <c r="BY304" i="6"/>
  <c r="CB304" i="6"/>
  <c r="CF304" i="6"/>
  <c r="BO304" i="6"/>
  <c r="AP304" i="6"/>
  <c r="K305" i="12"/>
  <c r="AY304" i="6"/>
  <c r="AT304" i="6"/>
  <c r="AR304" i="6"/>
  <c r="AN304" i="6"/>
  <c r="AV304" i="6"/>
  <c r="AZ304" i="6"/>
  <c r="AS304" i="6"/>
  <c r="BA304" i="6"/>
  <c r="AX304" i="6"/>
  <c r="AM304" i="6"/>
  <c r="D306" i="6"/>
  <c r="G305" i="6"/>
  <c r="H305" i="6"/>
  <c r="T305" i="5" s="1"/>
  <c r="N305" i="6"/>
  <c r="M305" i="6"/>
  <c r="BD305" i="6" s="1"/>
  <c r="AM303" i="5"/>
  <c r="L303" i="5"/>
  <c r="I303" i="12"/>
  <c r="I303" i="5"/>
  <c r="Z303" i="5"/>
  <c r="AC303" i="5"/>
  <c r="AJ303" i="6"/>
  <c r="AQ304" i="6"/>
  <c r="AU304" i="6"/>
  <c r="J306" i="12"/>
  <c r="L306" i="12"/>
  <c r="B307" i="6"/>
  <c r="E307" i="5"/>
  <c r="H307" i="5"/>
  <c r="AD307" i="5"/>
  <c r="R307" i="5"/>
  <c r="G307" i="5"/>
  <c r="AE307" i="5"/>
  <c r="K307" i="5"/>
  <c r="N307" i="5"/>
  <c r="D307" i="5"/>
  <c r="B307" i="12" s="1"/>
  <c r="F307" i="5"/>
  <c r="J307" i="5"/>
  <c r="A307" i="12"/>
  <c r="B307" i="5"/>
  <c r="W307" i="5"/>
  <c r="H307" i="12" s="1"/>
  <c r="C308" i="5"/>
  <c r="F306" i="6"/>
  <c r="E306" i="12"/>
  <c r="G304" i="12"/>
  <c r="X304" i="5"/>
  <c r="AJ304" i="6" s="1"/>
  <c r="AO304" i="6"/>
  <c r="AW304" i="6"/>
  <c r="AK304" i="6"/>
  <c r="AL304" i="6"/>
  <c r="U300" i="12"/>
  <c r="V300" i="12"/>
  <c r="T300" i="12"/>
  <c r="CG305" i="6" l="1"/>
  <c r="AO305" i="6"/>
  <c r="BX305" i="6"/>
  <c r="CF305" i="6"/>
  <c r="BA305" i="6"/>
  <c r="BE305" i="6"/>
  <c r="CA305" i="6"/>
  <c r="BO305" i="6"/>
  <c r="CE305" i="6"/>
  <c r="BM305" i="6"/>
  <c r="AS305" i="6"/>
  <c r="CL305" i="6"/>
  <c r="AT305" i="6"/>
  <c r="AN305" i="6"/>
  <c r="CK305" i="6"/>
  <c r="K306" i="12"/>
  <c r="CH305" i="6"/>
  <c r="BK305" i="6"/>
  <c r="CC305" i="6"/>
  <c r="AU305" i="6"/>
  <c r="CM305" i="6"/>
  <c r="AR305" i="6"/>
  <c r="AE308" i="5"/>
  <c r="D308" i="5"/>
  <c r="B308" i="12" s="1"/>
  <c r="N308" i="5"/>
  <c r="G308" i="5"/>
  <c r="R308" i="5"/>
  <c r="W308" i="5"/>
  <c r="H308" i="12" s="1"/>
  <c r="B308" i="5"/>
  <c r="E308" i="5"/>
  <c r="A308" i="12"/>
  <c r="H308" i="5"/>
  <c r="B308" i="6"/>
  <c r="J308" i="5"/>
  <c r="C309" i="5"/>
  <c r="AD308" i="5"/>
  <c r="F308" i="5"/>
  <c r="K308" i="5"/>
  <c r="E307" i="12"/>
  <c r="F307" i="6"/>
  <c r="AL305" i="6"/>
  <c r="BS305" i="6"/>
  <c r="BC305" i="6"/>
  <c r="CI305" i="6"/>
  <c r="AW305" i="6"/>
  <c r="AM305" i="6"/>
  <c r="BI305" i="6"/>
  <c r="CD305" i="6"/>
  <c r="BJ305" i="6"/>
  <c r="BG305" i="6"/>
  <c r="AZ305" i="6"/>
  <c r="AP305" i="6"/>
  <c r="BY305" i="6"/>
  <c r="L307" i="12"/>
  <c r="J307" i="12"/>
  <c r="C303" i="12"/>
  <c r="M303" i="12"/>
  <c r="O303" i="12"/>
  <c r="AO303" i="12"/>
  <c r="Y303" i="12" s="1"/>
  <c r="BP305" i="6"/>
  <c r="AQ305" i="6"/>
  <c r="BT305" i="6"/>
  <c r="BZ305" i="6"/>
  <c r="AX305" i="6"/>
  <c r="BW305" i="6"/>
  <c r="BQ305" i="6"/>
  <c r="BV305" i="6"/>
  <c r="BR305" i="6"/>
  <c r="C303" i="6"/>
  <c r="O303" i="5"/>
  <c r="G305" i="12"/>
  <c r="X305" i="5"/>
  <c r="BF305" i="6"/>
  <c r="BL305" i="6"/>
  <c r="CB305" i="6"/>
  <c r="D307" i="6"/>
  <c r="L304" i="5"/>
  <c r="AM304" i="5"/>
  <c r="I304" i="12"/>
  <c r="I304" i="5"/>
  <c r="Z304" i="5"/>
  <c r="AC304" i="5"/>
  <c r="AB303" i="5"/>
  <c r="AA303" i="5"/>
  <c r="BN305" i="6"/>
  <c r="AY305" i="6"/>
  <c r="CJ305" i="6"/>
  <c r="BH305" i="6"/>
  <c r="AK305" i="6"/>
  <c r="AV305" i="6"/>
  <c r="G306" i="6"/>
  <c r="H306" i="6"/>
  <c r="T306" i="5" s="1"/>
  <c r="N306" i="6"/>
  <c r="M306" i="6"/>
  <c r="BD306" i="6" s="1"/>
  <c r="AR306" i="6" l="1"/>
  <c r="CB306" i="6"/>
  <c r="CM306" i="6"/>
  <c r="AP306" i="6"/>
  <c r="BK306" i="6"/>
  <c r="AT306" i="6"/>
  <c r="BT306" i="6"/>
  <c r="CC306" i="6"/>
  <c r="BZ306" i="6"/>
  <c r="AY306" i="6"/>
  <c r="CE306" i="6"/>
  <c r="CA306" i="6"/>
  <c r="AK306" i="6"/>
  <c r="CI306" i="6"/>
  <c r="AX306" i="6"/>
  <c r="BJ306" i="6"/>
  <c r="AV306" i="6"/>
  <c r="AZ306" i="6"/>
  <c r="CG306" i="6"/>
  <c r="BN306" i="6"/>
  <c r="BE306" i="6"/>
  <c r="BI306" i="6"/>
  <c r="C304" i="12"/>
  <c r="M304" i="12"/>
  <c r="AO304" i="12"/>
  <c r="O304" i="12"/>
  <c r="M307" i="6"/>
  <c r="CI307" i="6" s="1"/>
  <c r="H307" i="6"/>
  <c r="T307" i="5" s="1"/>
  <c r="CE307" i="6"/>
  <c r="BT307" i="6"/>
  <c r="BG307" i="6"/>
  <c r="N307" i="6"/>
  <c r="CK307" i="6"/>
  <c r="CG307" i="6"/>
  <c r="G307" i="6"/>
  <c r="CM307" i="6"/>
  <c r="BS307" i="6"/>
  <c r="AM305" i="5"/>
  <c r="I305" i="12"/>
  <c r="L305" i="5"/>
  <c r="Z305" i="5"/>
  <c r="I305" i="5"/>
  <c r="AC305" i="5"/>
  <c r="AJ305" i="6"/>
  <c r="BM306" i="6"/>
  <c r="BA306" i="6"/>
  <c r="AW306" i="6"/>
  <c r="BV306" i="6"/>
  <c r="AO306" i="6"/>
  <c r="X303" i="12"/>
  <c r="W303" i="12"/>
  <c r="K307" i="12"/>
  <c r="J308" i="12"/>
  <c r="L308" i="12"/>
  <c r="D308" i="6"/>
  <c r="BY306" i="6"/>
  <c r="BP306" i="6"/>
  <c r="BQ306" i="6"/>
  <c r="CJ306" i="6"/>
  <c r="BG306" i="6"/>
  <c r="AL306" i="6"/>
  <c r="BS306" i="6"/>
  <c r="BO306" i="6"/>
  <c r="AM306" i="6"/>
  <c r="G306" i="12"/>
  <c r="X306" i="5"/>
  <c r="BR306" i="6"/>
  <c r="AS306" i="6"/>
  <c r="CF306" i="6"/>
  <c r="AB304" i="5"/>
  <c r="AA304" i="5"/>
  <c r="C304" i="6"/>
  <c r="O304" i="5"/>
  <c r="D303" i="12"/>
  <c r="E303" i="6"/>
  <c r="N303" i="12"/>
  <c r="A309" i="12"/>
  <c r="F309" i="5"/>
  <c r="J309" i="5"/>
  <c r="W309" i="5"/>
  <c r="H309" i="12" s="1"/>
  <c r="B309" i="6"/>
  <c r="B309" i="5"/>
  <c r="K309" i="5"/>
  <c r="AE309" i="5"/>
  <c r="G309" i="5"/>
  <c r="H309" i="5"/>
  <c r="C310" i="5"/>
  <c r="R309" i="5"/>
  <c r="AD309" i="5"/>
  <c r="E309" i="5"/>
  <c r="D309" i="5"/>
  <c r="B309" i="12" s="1"/>
  <c r="N309" i="5"/>
  <c r="BW306" i="6"/>
  <c r="BX306" i="6"/>
  <c r="AN306" i="6"/>
  <c r="BF306" i="6"/>
  <c r="CK306" i="6"/>
  <c r="AQ306" i="6"/>
  <c r="AU306" i="6"/>
  <c r="CL306" i="6"/>
  <c r="CH306" i="6"/>
  <c r="BL306" i="6"/>
  <c r="CD306" i="6"/>
  <c r="BH306" i="6"/>
  <c r="BC306" i="6"/>
  <c r="E308" i="12"/>
  <c r="F308" i="6"/>
  <c r="BO307" i="6" l="1"/>
  <c r="BR307" i="6"/>
  <c r="BV307" i="6"/>
  <c r="AY307" i="6"/>
  <c r="AV307" i="6"/>
  <c r="BK307" i="6"/>
  <c r="CJ307" i="6"/>
  <c r="AL307" i="6"/>
  <c r="BX307" i="6"/>
  <c r="AN307" i="6"/>
  <c r="BQ307" i="6"/>
  <c r="BJ307" i="6"/>
  <c r="CC307" i="6"/>
  <c r="CB307" i="6"/>
  <c r="BZ307" i="6"/>
  <c r="AK307" i="6"/>
  <c r="BN307" i="6"/>
  <c r="AT307" i="6"/>
  <c r="BW307" i="6"/>
  <c r="BL307" i="6"/>
  <c r="CL307" i="6"/>
  <c r="CH307" i="6"/>
  <c r="CD307" i="6"/>
  <c r="Y304" i="12"/>
  <c r="W304" i="12" s="1"/>
  <c r="AO307" i="6"/>
  <c r="AR307" i="6"/>
  <c r="BI307" i="6"/>
  <c r="BY307" i="6"/>
  <c r="AP307" i="6"/>
  <c r="BD307" i="6"/>
  <c r="CA307" i="6"/>
  <c r="BC307" i="6"/>
  <c r="CF307" i="6"/>
  <c r="BM307" i="6"/>
  <c r="BH307" i="6"/>
  <c r="BF307" i="6"/>
  <c r="N304" i="12"/>
  <c r="K308" i="12"/>
  <c r="AU307" i="6"/>
  <c r="AM307" i="6"/>
  <c r="AX307" i="6"/>
  <c r="AS307" i="6"/>
  <c r="BA307" i="6"/>
  <c r="AW307" i="6"/>
  <c r="AQ307" i="6"/>
  <c r="BE307" i="6"/>
  <c r="D309" i="6"/>
  <c r="C305" i="6"/>
  <c r="O305" i="5"/>
  <c r="AZ307" i="6"/>
  <c r="M308" i="6"/>
  <c r="CG308" i="6" s="1"/>
  <c r="BI308" i="6"/>
  <c r="H308" i="6"/>
  <c r="T308" i="5" s="1"/>
  <c r="BL308" i="6"/>
  <c r="N308" i="6"/>
  <c r="CA308" i="6"/>
  <c r="BC308" i="6"/>
  <c r="G308" i="6"/>
  <c r="V303" i="12"/>
  <c r="T303" i="12"/>
  <c r="U303" i="12"/>
  <c r="C305" i="12"/>
  <c r="AO305" i="12"/>
  <c r="M305" i="12"/>
  <c r="O305" i="12"/>
  <c r="BP307" i="6"/>
  <c r="H310" i="5"/>
  <c r="B310" i="5"/>
  <c r="E310" i="5"/>
  <c r="R310" i="5"/>
  <c r="W310" i="5"/>
  <c r="H310" i="12" s="1"/>
  <c r="K310" i="5"/>
  <c r="AD310" i="5"/>
  <c r="B310" i="6"/>
  <c r="C311" i="5"/>
  <c r="AE310" i="5"/>
  <c r="A310" i="12"/>
  <c r="D310" i="5"/>
  <c r="B310" i="12" s="1"/>
  <c r="F310" i="5"/>
  <c r="J310" i="5"/>
  <c r="G310" i="5"/>
  <c r="N310" i="5"/>
  <c r="E309" i="12"/>
  <c r="F309" i="6"/>
  <c r="I306" i="12"/>
  <c r="L306" i="5"/>
  <c r="AM306" i="5"/>
  <c r="Z306" i="5"/>
  <c r="I306" i="5"/>
  <c r="AC306" i="5"/>
  <c r="J309" i="12"/>
  <c r="L309" i="12"/>
  <c r="E304" i="6"/>
  <c r="D304" i="12"/>
  <c r="AA305" i="5"/>
  <c r="AB305" i="5"/>
  <c r="G307" i="12"/>
  <c r="X307" i="5"/>
  <c r="AJ306" i="6"/>
  <c r="X304" i="12" l="1"/>
  <c r="CI308" i="6"/>
  <c r="BD308" i="6"/>
  <c r="CH308" i="6"/>
  <c r="AV308" i="6"/>
  <c r="CM308" i="6"/>
  <c r="BH308" i="6"/>
  <c r="AM308" i="6"/>
  <c r="CB308" i="6"/>
  <c r="AW308" i="6"/>
  <c r="BV308" i="6"/>
  <c r="CL308" i="6"/>
  <c r="CK308" i="6"/>
  <c r="BX308" i="6"/>
  <c r="BG308" i="6"/>
  <c r="AL308" i="6"/>
  <c r="CF308" i="6"/>
  <c r="CJ308" i="6"/>
  <c r="BY308" i="6"/>
  <c r="BW308" i="6"/>
  <c r="BT308" i="6"/>
  <c r="BJ308" i="6"/>
  <c r="CC308" i="6"/>
  <c r="BQ308" i="6"/>
  <c r="BO308" i="6"/>
  <c r="BR308" i="6"/>
  <c r="BE308" i="6"/>
  <c r="AO308" i="6"/>
  <c r="BZ308" i="6"/>
  <c r="BS308" i="6"/>
  <c r="BF308" i="6"/>
  <c r="BM308" i="6"/>
  <c r="Y305" i="12"/>
  <c r="BP308" i="6"/>
  <c r="CD308" i="6"/>
  <c r="BN308" i="6"/>
  <c r="C306" i="12"/>
  <c r="O306" i="12"/>
  <c r="M306" i="12"/>
  <c r="AO306" i="12"/>
  <c r="D310" i="6"/>
  <c r="W305" i="12"/>
  <c r="X305" i="12"/>
  <c r="AQ308" i="6"/>
  <c r="AP308" i="6"/>
  <c r="BK308" i="6"/>
  <c r="D305" i="12"/>
  <c r="E305" i="6"/>
  <c r="AB306" i="5"/>
  <c r="AA306" i="5"/>
  <c r="F310" i="6"/>
  <c r="E310" i="12"/>
  <c r="AS308" i="6"/>
  <c r="AZ308" i="6"/>
  <c r="BA308" i="6"/>
  <c r="CE308" i="6"/>
  <c r="AM307" i="5"/>
  <c r="I307" i="12"/>
  <c r="L307" i="5"/>
  <c r="I307" i="5"/>
  <c r="Z307" i="5"/>
  <c r="AC307" i="5"/>
  <c r="AJ307" i="6"/>
  <c r="K309" i="12"/>
  <c r="V304" i="12"/>
  <c r="T304" i="12"/>
  <c r="U304" i="12"/>
  <c r="B311" i="6"/>
  <c r="G311" i="5"/>
  <c r="AD311" i="5"/>
  <c r="H311" i="5"/>
  <c r="F311" i="5"/>
  <c r="N311" i="5"/>
  <c r="K311" i="5"/>
  <c r="J311" i="5"/>
  <c r="D311" i="5"/>
  <c r="B311" i="12" s="1"/>
  <c r="C312" i="5"/>
  <c r="W311" i="5"/>
  <c r="H311" i="12" s="1"/>
  <c r="AE311" i="5"/>
  <c r="E311" i="5"/>
  <c r="A311" i="12"/>
  <c r="B311" i="5"/>
  <c r="R311" i="5"/>
  <c r="N305" i="12"/>
  <c r="AR308" i="6"/>
  <c r="AK308" i="6"/>
  <c r="AT308" i="6"/>
  <c r="AU308" i="6"/>
  <c r="AY308" i="6"/>
  <c r="N309" i="6"/>
  <c r="M309" i="6"/>
  <c r="CJ309" i="6" s="1"/>
  <c r="BE309" i="6"/>
  <c r="H309" i="6"/>
  <c r="T309" i="5" s="1"/>
  <c r="BG309" i="6"/>
  <c r="AL309" i="6"/>
  <c r="CD309" i="6"/>
  <c r="CA309" i="6"/>
  <c r="BL309" i="6"/>
  <c r="BA309" i="6"/>
  <c r="G309" i="6"/>
  <c r="C306" i="6"/>
  <c r="O306" i="5"/>
  <c r="J310" i="12"/>
  <c r="L310" i="12"/>
  <c r="G308" i="12"/>
  <c r="X308" i="5"/>
  <c r="AN308" i="6"/>
  <c r="AX308" i="6"/>
  <c r="BQ309" i="6" l="1"/>
  <c r="BY309" i="6"/>
  <c r="BK309" i="6"/>
  <c r="CF309" i="6"/>
  <c r="CC309" i="6"/>
  <c r="BR309" i="6"/>
  <c r="AX309" i="6"/>
  <c r="BC309" i="6"/>
  <c r="BS309" i="6"/>
  <c r="CH309" i="6"/>
  <c r="BO309" i="6"/>
  <c r="CM309" i="6"/>
  <c r="BI309" i="6"/>
  <c r="AV309" i="6"/>
  <c r="BZ309" i="6"/>
  <c r="BX309" i="6"/>
  <c r="CK309" i="6"/>
  <c r="AT309" i="6"/>
  <c r="AM309" i="6"/>
  <c r="AR309" i="6"/>
  <c r="AN309" i="6"/>
  <c r="BH309" i="6"/>
  <c r="BV309" i="6"/>
  <c r="BJ309" i="6"/>
  <c r="Y306" i="12"/>
  <c r="X306" i="12" s="1"/>
  <c r="AS309" i="6"/>
  <c r="AW309" i="6"/>
  <c r="CE309" i="6"/>
  <c r="BP309" i="6"/>
  <c r="CB309" i="6"/>
  <c r="CL309" i="6"/>
  <c r="BD309" i="6"/>
  <c r="BM309" i="6"/>
  <c r="BW309" i="6"/>
  <c r="CG309" i="6"/>
  <c r="BF309" i="6"/>
  <c r="CI309" i="6"/>
  <c r="BN309" i="6"/>
  <c r="BT309" i="6"/>
  <c r="K310" i="12"/>
  <c r="AK309" i="6"/>
  <c r="AQ309" i="6"/>
  <c r="AO309" i="6"/>
  <c r="J311" i="12"/>
  <c r="L311" i="12"/>
  <c r="E312" i="5"/>
  <c r="N312" i="5"/>
  <c r="K312" i="5"/>
  <c r="R312" i="5"/>
  <c r="H312" i="5"/>
  <c r="G312" i="5"/>
  <c r="J312" i="5"/>
  <c r="B312" i="6"/>
  <c r="D312" i="5"/>
  <c r="B312" i="12" s="1"/>
  <c r="A312" i="12"/>
  <c r="W312" i="5"/>
  <c r="H312" i="12" s="1"/>
  <c r="F312" i="5"/>
  <c r="AE312" i="5"/>
  <c r="AD312" i="5"/>
  <c r="C313" i="5"/>
  <c r="B312" i="5"/>
  <c r="C307" i="12"/>
  <c r="AO307" i="12"/>
  <c r="O307" i="12"/>
  <c r="M307" i="12"/>
  <c r="E306" i="6"/>
  <c r="D306" i="12"/>
  <c r="L308" i="5"/>
  <c r="I308" i="12"/>
  <c r="AM308" i="5"/>
  <c r="I308" i="5"/>
  <c r="Z308" i="5"/>
  <c r="AC308" i="5"/>
  <c r="AY309" i="6"/>
  <c r="AP309" i="6"/>
  <c r="AZ309" i="6"/>
  <c r="AB307" i="5"/>
  <c r="AA307" i="5"/>
  <c r="U305" i="12"/>
  <c r="V305" i="12"/>
  <c r="T305" i="12"/>
  <c r="F311" i="6"/>
  <c r="E311" i="12"/>
  <c r="G310" i="6"/>
  <c r="H310" i="6"/>
  <c r="T310" i="5" s="1"/>
  <c r="N310" i="6"/>
  <c r="M310" i="6"/>
  <c r="BP310" i="6" s="1"/>
  <c r="BE310" i="6"/>
  <c r="BD310" i="6"/>
  <c r="N306" i="12"/>
  <c r="G309" i="12"/>
  <c r="X309" i="5"/>
  <c r="AU309" i="6"/>
  <c r="D311" i="6"/>
  <c r="C307" i="6"/>
  <c r="O307" i="5"/>
  <c r="AJ308" i="6"/>
  <c r="K311" i="12" l="1"/>
  <c r="AL310" i="6"/>
  <c r="AP310" i="6"/>
  <c r="BM310" i="6"/>
  <c r="BR310" i="6"/>
  <c r="W306" i="12"/>
  <c r="BF310" i="6"/>
  <c r="AY310" i="6"/>
  <c r="CD310" i="6"/>
  <c r="BO310" i="6"/>
  <c r="CH310" i="6"/>
  <c r="CE310" i="6"/>
  <c r="AT310" i="6"/>
  <c r="BI310" i="6"/>
  <c r="BW310" i="6"/>
  <c r="BG310" i="6"/>
  <c r="AX310" i="6"/>
  <c r="CI310" i="6"/>
  <c r="BS310" i="6"/>
  <c r="CA310" i="6"/>
  <c r="AW310" i="6"/>
  <c r="BX310" i="6"/>
  <c r="CJ310" i="6"/>
  <c r="BA310" i="6"/>
  <c r="BJ310" i="6"/>
  <c r="BL310" i="6"/>
  <c r="CM310" i="6"/>
  <c r="BH310" i="6"/>
  <c r="BY310" i="6"/>
  <c r="Y307" i="12"/>
  <c r="CF310" i="6"/>
  <c r="CC310" i="6"/>
  <c r="AN310" i="6"/>
  <c r="BQ310" i="6"/>
  <c r="AU310" i="6"/>
  <c r="AK310" i="6"/>
  <c r="AM310" i="6"/>
  <c r="AR310" i="6"/>
  <c r="AS310" i="6"/>
  <c r="BN310" i="6"/>
  <c r="BK310" i="6"/>
  <c r="BZ310" i="6"/>
  <c r="CK310" i="6"/>
  <c r="BV310" i="6"/>
  <c r="D312" i="6"/>
  <c r="M311" i="6"/>
  <c r="BT311" i="6" s="1"/>
  <c r="CK311" i="6"/>
  <c r="BP311" i="6"/>
  <c r="BE311" i="6"/>
  <c r="BG311" i="6"/>
  <c r="BK311" i="6"/>
  <c r="N311" i="6"/>
  <c r="CL311" i="6"/>
  <c r="BH311" i="6"/>
  <c r="BJ311" i="6"/>
  <c r="BM311" i="6"/>
  <c r="CA311" i="6"/>
  <c r="BZ311" i="6"/>
  <c r="BC311" i="6"/>
  <c r="CC311" i="6"/>
  <c r="CJ311" i="6"/>
  <c r="BN311" i="6"/>
  <c r="H311" i="6"/>
  <c r="T311" i="5" s="1"/>
  <c r="BX311" i="6"/>
  <c r="BW311" i="6"/>
  <c r="CI311" i="6"/>
  <c r="CM311" i="6"/>
  <c r="CB311" i="6"/>
  <c r="BI311" i="6"/>
  <c r="BQ311" i="6"/>
  <c r="BD311" i="6"/>
  <c r="BR311" i="6"/>
  <c r="CF311" i="6"/>
  <c r="G311" i="6"/>
  <c r="BO311" i="6"/>
  <c r="CE311" i="6"/>
  <c r="BY311" i="6"/>
  <c r="CG311" i="6"/>
  <c r="AW311" i="6"/>
  <c r="AP311" i="6"/>
  <c r="CD311" i="6"/>
  <c r="BL311" i="6"/>
  <c r="BS311" i="6"/>
  <c r="AL311" i="6"/>
  <c r="BA311" i="6"/>
  <c r="AK311" i="6"/>
  <c r="BV311" i="6"/>
  <c r="CB310" i="6"/>
  <c r="AQ310" i="6"/>
  <c r="AV310" i="6"/>
  <c r="CL310" i="6"/>
  <c r="BT310" i="6"/>
  <c r="BC310" i="6"/>
  <c r="AO310" i="6"/>
  <c r="CG310" i="6"/>
  <c r="N307" i="12"/>
  <c r="G310" i="12"/>
  <c r="X310" i="5"/>
  <c r="C308" i="12"/>
  <c r="M308" i="12"/>
  <c r="O308" i="12"/>
  <c r="AO308" i="12"/>
  <c r="T306" i="12"/>
  <c r="V306" i="12"/>
  <c r="U306" i="12"/>
  <c r="W307" i="12"/>
  <c r="X307" i="12"/>
  <c r="F312" i="6"/>
  <c r="E312" i="12"/>
  <c r="E307" i="6"/>
  <c r="D307" i="12"/>
  <c r="I309" i="12"/>
  <c r="L309" i="5"/>
  <c r="AM309" i="5"/>
  <c r="I309" i="5"/>
  <c r="Z309" i="5"/>
  <c r="AC309" i="5"/>
  <c r="AZ310" i="6"/>
  <c r="AA308" i="5"/>
  <c r="AB308" i="5"/>
  <c r="C308" i="6"/>
  <c r="O308" i="5"/>
  <c r="H313" i="5"/>
  <c r="J313" i="5"/>
  <c r="N313" i="5"/>
  <c r="F313" i="5"/>
  <c r="R313" i="5"/>
  <c r="W313" i="5"/>
  <c r="H313" i="12" s="1"/>
  <c r="G313" i="5"/>
  <c r="AE313" i="5"/>
  <c r="C314" i="5"/>
  <c r="A313" i="12"/>
  <c r="E313" i="5"/>
  <c r="K313" i="5"/>
  <c r="B313" i="5"/>
  <c r="B313" i="6"/>
  <c r="D313" i="5"/>
  <c r="B313" i="12" s="1"/>
  <c r="AD313" i="5"/>
  <c r="L312" i="12"/>
  <c r="J312" i="12"/>
  <c r="AJ309" i="6"/>
  <c r="K312" i="12" l="1"/>
  <c r="N308" i="12"/>
  <c r="AV311" i="6"/>
  <c r="AQ311" i="6"/>
  <c r="AR311" i="6"/>
  <c r="AS311" i="6"/>
  <c r="BF311" i="6"/>
  <c r="E308" i="6"/>
  <c r="D308" i="12"/>
  <c r="V307" i="12"/>
  <c r="U307" i="12"/>
  <c r="T307" i="12"/>
  <c r="Y308" i="12"/>
  <c r="L310" i="5"/>
  <c r="AM310" i="5"/>
  <c r="I310" i="12"/>
  <c r="Z310" i="5"/>
  <c r="I310" i="5"/>
  <c r="AC310" i="5"/>
  <c r="AJ310" i="6"/>
  <c r="AX311" i="6"/>
  <c r="AY311" i="6"/>
  <c r="AM311" i="6"/>
  <c r="D313" i="6"/>
  <c r="C309" i="6"/>
  <c r="O309" i="5"/>
  <c r="AO311" i="6"/>
  <c r="H312" i="6"/>
  <c r="T312" i="5" s="1"/>
  <c r="M312" i="6"/>
  <c r="CL312" i="6" s="1"/>
  <c r="BI312" i="6"/>
  <c r="CA312" i="6"/>
  <c r="BC312" i="6"/>
  <c r="BF312" i="6"/>
  <c r="BD312" i="6"/>
  <c r="BN312" i="6"/>
  <c r="CB312" i="6"/>
  <c r="BE312" i="6"/>
  <c r="BZ312" i="6"/>
  <c r="CC312" i="6"/>
  <c r="BO312" i="6"/>
  <c r="BL312" i="6"/>
  <c r="G312" i="6"/>
  <c r="BV312" i="6"/>
  <c r="BK312" i="6"/>
  <c r="BS312" i="6"/>
  <c r="BH312" i="6"/>
  <c r="N312" i="6"/>
  <c r="CE312" i="6"/>
  <c r="CK312" i="6"/>
  <c r="BQ312" i="6"/>
  <c r="CD312" i="6"/>
  <c r="BY312" i="6"/>
  <c r="CI312" i="6"/>
  <c r="BT312" i="6"/>
  <c r="CG312" i="6"/>
  <c r="CH312" i="6"/>
  <c r="BG312" i="6"/>
  <c r="BW312" i="6"/>
  <c r="BX312" i="6"/>
  <c r="BM312" i="6"/>
  <c r="CJ312" i="6"/>
  <c r="BJ312" i="6"/>
  <c r="BR312" i="6"/>
  <c r="CF312" i="6"/>
  <c r="E314" i="5"/>
  <c r="AD314" i="5"/>
  <c r="G314" i="5"/>
  <c r="B314" i="6"/>
  <c r="R314" i="5"/>
  <c r="W314" i="5"/>
  <c r="H314" i="12" s="1"/>
  <c r="D314" i="5"/>
  <c r="B314" i="12" s="1"/>
  <c r="B314" i="5"/>
  <c r="F314" i="5"/>
  <c r="J314" i="5"/>
  <c r="N314" i="5"/>
  <c r="C315" i="5"/>
  <c r="K314" i="5"/>
  <c r="A314" i="12"/>
  <c r="AE314" i="5"/>
  <c r="H314" i="5"/>
  <c r="AB309" i="5"/>
  <c r="AA309" i="5"/>
  <c r="C309" i="12"/>
  <c r="O309" i="12"/>
  <c r="AO309" i="12"/>
  <c r="M309" i="12"/>
  <c r="AN311" i="6"/>
  <c r="AZ311" i="6"/>
  <c r="AT311" i="6"/>
  <c r="J313" i="12"/>
  <c r="L313" i="12"/>
  <c r="E313" i="12"/>
  <c r="F313" i="6"/>
  <c r="G311" i="12"/>
  <c r="X311" i="5"/>
  <c r="AU311" i="6"/>
  <c r="CH311" i="6"/>
  <c r="AV312" i="6" l="1"/>
  <c r="AO312" i="6"/>
  <c r="AM312" i="6"/>
  <c r="AU312" i="6"/>
  <c r="BA312" i="6"/>
  <c r="AT312" i="6"/>
  <c r="AQ312" i="6"/>
  <c r="AS312" i="6"/>
  <c r="AP312" i="6"/>
  <c r="AK312" i="6"/>
  <c r="AY312" i="6"/>
  <c r="N309" i="12"/>
  <c r="Y309" i="12"/>
  <c r="W309" i="12" s="1"/>
  <c r="AM311" i="5"/>
  <c r="L311" i="5"/>
  <c r="I311" i="12"/>
  <c r="I311" i="5"/>
  <c r="Z311" i="5"/>
  <c r="AC311" i="5"/>
  <c r="E315" i="5"/>
  <c r="G315" i="5"/>
  <c r="N315" i="5"/>
  <c r="W315" i="5"/>
  <c r="H315" i="12" s="1"/>
  <c r="AE315" i="5"/>
  <c r="J315" i="5"/>
  <c r="K315" i="5"/>
  <c r="D315" i="5"/>
  <c r="B315" i="12" s="1"/>
  <c r="R315" i="5"/>
  <c r="A315" i="12"/>
  <c r="C316" i="5"/>
  <c r="B315" i="5"/>
  <c r="AD315" i="5"/>
  <c r="F315" i="5"/>
  <c r="B315" i="6"/>
  <c r="H315" i="5"/>
  <c r="G312" i="12"/>
  <c r="X312" i="5"/>
  <c r="M313" i="6"/>
  <c r="BS313" i="6" s="1"/>
  <c r="G313" i="6"/>
  <c r="BN313" i="6"/>
  <c r="BZ313" i="6"/>
  <c r="CH313" i="6"/>
  <c r="BH313" i="6"/>
  <c r="CA313" i="6"/>
  <c r="N313" i="6"/>
  <c r="CF313" i="6"/>
  <c r="BT313" i="6"/>
  <c r="BL313" i="6"/>
  <c r="BK313" i="6"/>
  <c r="CG313" i="6"/>
  <c r="CJ313" i="6"/>
  <c r="CE313" i="6"/>
  <c r="H313" i="6"/>
  <c r="T313" i="5" s="1"/>
  <c r="BV313" i="6"/>
  <c r="CI313" i="6"/>
  <c r="CD313" i="6"/>
  <c r="BE313" i="6"/>
  <c r="CL313" i="6"/>
  <c r="BF313" i="6"/>
  <c r="BC313" i="6"/>
  <c r="BX313" i="6"/>
  <c r="BP313" i="6"/>
  <c r="BR313" i="6"/>
  <c r="BG313" i="6"/>
  <c r="AM313" i="6"/>
  <c r="CK313" i="6"/>
  <c r="CC313" i="6"/>
  <c r="BI313" i="6"/>
  <c r="C310" i="6"/>
  <c r="O310" i="5"/>
  <c r="D314" i="6"/>
  <c r="AL312" i="6"/>
  <c r="CM312" i="6"/>
  <c r="AJ311" i="6"/>
  <c r="AB310" i="5"/>
  <c r="AA310" i="5"/>
  <c r="X308" i="12"/>
  <c r="W308" i="12"/>
  <c r="J314" i="12"/>
  <c r="L314" i="12"/>
  <c r="K313" i="12"/>
  <c r="F314" i="6"/>
  <c r="E314" i="12"/>
  <c r="AX312" i="6"/>
  <c r="AR312" i="6"/>
  <c r="BP312" i="6"/>
  <c r="AW312" i="6"/>
  <c r="AZ312" i="6"/>
  <c r="AN312" i="6"/>
  <c r="E309" i="6"/>
  <c r="D309" i="12"/>
  <c r="C310" i="12"/>
  <c r="AO310" i="12"/>
  <c r="M310" i="12"/>
  <c r="O310" i="12"/>
  <c r="BY313" i="6" l="1"/>
  <c r="CM313" i="6"/>
  <c r="BO313" i="6"/>
  <c r="BJ313" i="6"/>
  <c r="BQ313" i="6"/>
  <c r="BD313" i="6"/>
  <c r="BW313" i="6"/>
  <c r="BM313" i="6"/>
  <c r="AT313" i="6"/>
  <c r="AY313" i="6"/>
  <c r="BA313" i="6"/>
  <c r="CB313" i="6"/>
  <c r="X309" i="12"/>
  <c r="K314" i="12"/>
  <c r="AV313" i="6"/>
  <c r="Y310" i="12"/>
  <c r="X310" i="12" s="1"/>
  <c r="AZ313" i="6"/>
  <c r="AN313" i="6"/>
  <c r="AP313" i="6"/>
  <c r="D310" i="12"/>
  <c r="E310" i="6"/>
  <c r="AO313" i="6"/>
  <c r="L312" i="5"/>
  <c r="AM312" i="5"/>
  <c r="I312" i="12"/>
  <c r="Z312" i="5"/>
  <c r="I312" i="5"/>
  <c r="AC312" i="5"/>
  <c r="AJ312" i="6"/>
  <c r="C311" i="6"/>
  <c r="O311" i="5"/>
  <c r="W310" i="12"/>
  <c r="AX313" i="6"/>
  <c r="E315" i="12"/>
  <c r="F315" i="6"/>
  <c r="D315" i="6"/>
  <c r="AB311" i="5"/>
  <c r="AA311" i="5"/>
  <c r="G313" i="12"/>
  <c r="X313" i="5"/>
  <c r="AW313" i="6"/>
  <c r="AL313" i="6"/>
  <c r="G316" i="5"/>
  <c r="K316" i="5"/>
  <c r="W316" i="5"/>
  <c r="H316" i="12" s="1"/>
  <c r="E316" i="5"/>
  <c r="F316" i="5"/>
  <c r="J316" i="5"/>
  <c r="N316" i="5"/>
  <c r="R316" i="5"/>
  <c r="AD316" i="5"/>
  <c r="C317" i="5"/>
  <c r="D316" i="5"/>
  <c r="B316" i="12" s="1"/>
  <c r="H316" i="5"/>
  <c r="AE316" i="5"/>
  <c r="B316" i="5"/>
  <c r="B316" i="6"/>
  <c r="A316" i="12"/>
  <c r="N310" i="12"/>
  <c r="U308" i="12"/>
  <c r="V308" i="12"/>
  <c r="T308" i="12"/>
  <c r="H314" i="6"/>
  <c r="T314" i="5" s="1"/>
  <c r="G314" i="6"/>
  <c r="M314" i="6"/>
  <c r="BL314" i="6" s="1"/>
  <c r="CJ314" i="6"/>
  <c r="N314" i="6"/>
  <c r="AS313" i="6"/>
  <c r="AU313" i="6"/>
  <c r="AR313" i="6"/>
  <c r="AK313" i="6"/>
  <c r="AQ313" i="6"/>
  <c r="L315" i="12"/>
  <c r="J315" i="12"/>
  <c r="C311" i="12"/>
  <c r="AO311" i="12"/>
  <c r="O311" i="12"/>
  <c r="M311" i="12"/>
  <c r="T309" i="12"/>
  <c r="V309" i="12"/>
  <c r="U309" i="12"/>
  <c r="AS314" i="6" l="1"/>
  <c r="BF314" i="6"/>
  <c r="AU314" i="6"/>
  <c r="CC314" i="6"/>
  <c r="BM314" i="6"/>
  <c r="CD314" i="6"/>
  <c r="BV314" i="6"/>
  <c r="AP314" i="6"/>
  <c r="BO314" i="6"/>
  <c r="CH314" i="6"/>
  <c r="CF314" i="6"/>
  <c r="BP314" i="6"/>
  <c r="CI314" i="6"/>
  <c r="BS314" i="6"/>
  <c r="BC314" i="6"/>
  <c r="K315" i="12"/>
  <c r="AX314" i="6"/>
  <c r="AM314" i="6"/>
  <c r="N311" i="12"/>
  <c r="BA314" i="6"/>
  <c r="AT314" i="6"/>
  <c r="BH314" i="6"/>
  <c r="BW314" i="6"/>
  <c r="BG314" i="6"/>
  <c r="AK314" i="6"/>
  <c r="Y311" i="12"/>
  <c r="AR314" i="6"/>
  <c r="CA314" i="6"/>
  <c r="BX314" i="6"/>
  <c r="G314" i="12"/>
  <c r="X314" i="5"/>
  <c r="AD317" i="5"/>
  <c r="N317" i="5"/>
  <c r="C318" i="5"/>
  <c r="F317" i="5"/>
  <c r="K317" i="5"/>
  <c r="J317" i="5"/>
  <c r="E317" i="5"/>
  <c r="B317" i="5"/>
  <c r="R317" i="5"/>
  <c r="W317" i="5"/>
  <c r="H317" i="12" s="1"/>
  <c r="G317" i="5"/>
  <c r="H317" i="5"/>
  <c r="B317" i="6"/>
  <c r="AE317" i="5"/>
  <c r="D317" i="5"/>
  <c r="B317" i="12" s="1"/>
  <c r="A317" i="12"/>
  <c r="D316" i="6"/>
  <c r="E311" i="6"/>
  <c r="D311" i="12"/>
  <c r="C312" i="6"/>
  <c r="O312" i="5"/>
  <c r="CG314" i="6"/>
  <c r="AL314" i="6"/>
  <c r="BR314" i="6"/>
  <c r="AV314" i="6"/>
  <c r="CL314" i="6"/>
  <c r="CE314" i="6"/>
  <c r="AW314" i="6"/>
  <c r="BI314" i="6"/>
  <c r="AZ314" i="6"/>
  <c r="BT314" i="6"/>
  <c r="BN314" i="6"/>
  <c r="BD314" i="6"/>
  <c r="CB314" i="6"/>
  <c r="BQ314" i="6"/>
  <c r="L313" i="5"/>
  <c r="I313" i="12"/>
  <c r="AM313" i="5"/>
  <c r="Z313" i="5"/>
  <c r="I313" i="5"/>
  <c r="AC313" i="5"/>
  <c r="AJ313" i="6"/>
  <c r="N315" i="6"/>
  <c r="M315" i="6"/>
  <c r="BC315" i="6" s="1"/>
  <c r="BG315" i="6"/>
  <c r="BS315" i="6"/>
  <c r="BX315" i="6"/>
  <c r="BN315" i="6"/>
  <c r="BF315" i="6"/>
  <c r="H315" i="6"/>
  <c r="T315" i="5" s="1"/>
  <c r="CF315" i="6"/>
  <c r="BO315" i="6"/>
  <c r="BV315" i="6"/>
  <c r="BE315" i="6"/>
  <c r="CM315" i="6"/>
  <c r="CL315" i="6"/>
  <c r="CB315" i="6"/>
  <c r="AS315" i="6"/>
  <c r="CH315" i="6"/>
  <c r="CJ315" i="6"/>
  <c r="BQ315" i="6"/>
  <c r="BH315" i="6"/>
  <c r="G315" i="6"/>
  <c r="BK315" i="6"/>
  <c r="BJ315" i="6"/>
  <c r="BM315" i="6"/>
  <c r="BT315" i="6"/>
  <c r="BR315" i="6"/>
  <c r="BP315" i="6"/>
  <c r="AM315" i="6"/>
  <c r="CD315" i="6"/>
  <c r="BI315" i="6"/>
  <c r="CE315" i="6"/>
  <c r="BZ315" i="6"/>
  <c r="CI315" i="6"/>
  <c r="CG315" i="6"/>
  <c r="CA315" i="6"/>
  <c r="AB312" i="5"/>
  <c r="AA312" i="5"/>
  <c r="AY314" i="6"/>
  <c r="BE314" i="6"/>
  <c r="AO314" i="6"/>
  <c r="BY314" i="6"/>
  <c r="BK314" i="6"/>
  <c r="CK314" i="6"/>
  <c r="J316" i="12"/>
  <c r="L316" i="12"/>
  <c r="C312" i="12"/>
  <c r="O312" i="12"/>
  <c r="M312" i="12"/>
  <c r="AO312" i="12"/>
  <c r="CM314" i="6"/>
  <c r="AN314" i="6"/>
  <c r="BJ314" i="6"/>
  <c r="AQ314" i="6"/>
  <c r="BZ314" i="6"/>
  <c r="F316" i="6"/>
  <c r="E316" i="12"/>
  <c r="T310" i="12"/>
  <c r="U310" i="12"/>
  <c r="V310" i="12"/>
  <c r="K316" i="12" l="1"/>
  <c r="Y312" i="12"/>
  <c r="AL315" i="6"/>
  <c r="AV315" i="6"/>
  <c r="AP315" i="6"/>
  <c r="AR315" i="6"/>
  <c r="AT315" i="6"/>
  <c r="N312" i="12"/>
  <c r="BA315" i="6"/>
  <c r="AO315" i="6"/>
  <c r="AY315" i="6"/>
  <c r="AW315" i="6"/>
  <c r="AZ315" i="6"/>
  <c r="BL315" i="6"/>
  <c r="BY315" i="6"/>
  <c r="BW315" i="6"/>
  <c r="AQ315" i="6"/>
  <c r="AB313" i="5"/>
  <c r="AA313" i="5"/>
  <c r="F317" i="6"/>
  <c r="E317" i="12"/>
  <c r="D317" i="6"/>
  <c r="J317" i="12"/>
  <c r="L317" i="12"/>
  <c r="K317" i="12" s="1"/>
  <c r="X312" i="12"/>
  <c r="W312" i="12"/>
  <c r="BD315" i="6"/>
  <c r="CC315" i="6"/>
  <c r="AX315" i="6"/>
  <c r="AU315" i="6"/>
  <c r="CK315" i="6"/>
  <c r="AK315" i="6"/>
  <c r="AN315" i="6"/>
  <c r="C313" i="12"/>
  <c r="M313" i="12"/>
  <c r="O313" i="12"/>
  <c r="AO313" i="12"/>
  <c r="E312" i="6"/>
  <c r="D312" i="12"/>
  <c r="G316" i="6"/>
  <c r="H316" i="6"/>
  <c r="T316" i="5" s="1"/>
  <c r="M316" i="6"/>
  <c r="CE316" i="6" s="1"/>
  <c r="BX316" i="6"/>
  <c r="BW316" i="6"/>
  <c r="BF316" i="6"/>
  <c r="CJ316" i="6"/>
  <c r="AK316" i="6"/>
  <c r="N316" i="6"/>
  <c r="L314" i="5"/>
  <c r="AM314" i="5"/>
  <c r="I314" i="12"/>
  <c r="Z314" i="5"/>
  <c r="I314" i="5"/>
  <c r="AC314" i="5"/>
  <c r="AJ314" i="6"/>
  <c r="G315" i="12"/>
  <c r="X315" i="5"/>
  <c r="C313" i="6"/>
  <c r="O313" i="5"/>
  <c r="C319" i="5"/>
  <c r="G318" i="5"/>
  <c r="AE318" i="5"/>
  <c r="W318" i="5"/>
  <c r="H318" i="12" s="1"/>
  <c r="B318" i="5"/>
  <c r="H318" i="5"/>
  <c r="E318" i="5"/>
  <c r="F318" i="5"/>
  <c r="R318" i="5"/>
  <c r="AD318" i="5"/>
  <c r="N318" i="5"/>
  <c r="K318" i="5"/>
  <c r="A318" i="12"/>
  <c r="B318" i="6"/>
  <c r="D318" i="5"/>
  <c r="B318" i="12" s="1"/>
  <c r="J318" i="5"/>
  <c r="X311" i="12"/>
  <c r="W311" i="12"/>
  <c r="BH316" i="6" l="1"/>
  <c r="BN316" i="6"/>
  <c r="AO316" i="6"/>
  <c r="CA316" i="6"/>
  <c r="AV316" i="6"/>
  <c r="CF316" i="6"/>
  <c r="CG316" i="6"/>
  <c r="AW316" i="6"/>
  <c r="AM316" i="6"/>
  <c r="CH316" i="6"/>
  <c r="CD316" i="6"/>
  <c r="BT316" i="6"/>
  <c r="BO316" i="6"/>
  <c r="BJ316" i="6"/>
  <c r="Y313" i="12"/>
  <c r="BY316" i="6"/>
  <c r="BS316" i="6"/>
  <c r="BR316" i="6"/>
  <c r="AX316" i="6"/>
  <c r="BZ316" i="6"/>
  <c r="BV316" i="6"/>
  <c r="CC316" i="6"/>
  <c r="V311" i="12"/>
  <c r="U311" i="12"/>
  <c r="T311" i="12"/>
  <c r="D318" i="6"/>
  <c r="I315" i="12"/>
  <c r="L315" i="5"/>
  <c r="AM315" i="5"/>
  <c r="Z315" i="5"/>
  <c r="I315" i="5"/>
  <c r="AC315" i="5"/>
  <c r="C314" i="6"/>
  <c r="O314" i="5"/>
  <c r="CI316" i="6"/>
  <c r="AZ316" i="6"/>
  <c r="CM316" i="6"/>
  <c r="BE316" i="6"/>
  <c r="BP316" i="6"/>
  <c r="BA316" i="6"/>
  <c r="BI316" i="6"/>
  <c r="BL316" i="6"/>
  <c r="AB314" i="5"/>
  <c r="AA314" i="5"/>
  <c r="G316" i="12"/>
  <c r="X316" i="5"/>
  <c r="BM316" i="6"/>
  <c r="BG316" i="6"/>
  <c r="BQ316" i="6"/>
  <c r="X313" i="12"/>
  <c r="W313" i="12"/>
  <c r="V312" i="12"/>
  <c r="T312" i="12"/>
  <c r="U312" i="12"/>
  <c r="G317" i="6"/>
  <c r="H317" i="6"/>
  <c r="T317" i="5" s="1"/>
  <c r="M317" i="6"/>
  <c r="BM317" i="6" s="1"/>
  <c r="BZ317" i="6"/>
  <c r="BY317" i="6"/>
  <c r="CK317" i="6"/>
  <c r="N317" i="6"/>
  <c r="L318" i="12"/>
  <c r="J318" i="12"/>
  <c r="E313" i="6"/>
  <c r="D313" i="12"/>
  <c r="C314" i="12"/>
  <c r="AO314" i="12"/>
  <c r="O314" i="12"/>
  <c r="M314" i="12"/>
  <c r="AS316" i="6"/>
  <c r="CL316" i="6"/>
  <c r="BD316" i="6"/>
  <c r="AY316" i="6"/>
  <c r="CB316" i="6"/>
  <c r="BC316" i="6"/>
  <c r="N313" i="12"/>
  <c r="AJ315" i="6"/>
  <c r="J319" i="5"/>
  <c r="C320" i="5"/>
  <c r="AE319" i="5"/>
  <c r="W319" i="5"/>
  <c r="H319" i="12" s="1"/>
  <c r="B319" i="6"/>
  <c r="H319" i="5"/>
  <c r="N319" i="5"/>
  <c r="F319" i="5"/>
  <c r="B319" i="5"/>
  <c r="R319" i="5"/>
  <c r="E319" i="5"/>
  <c r="D319" i="5"/>
  <c r="B319" i="12" s="1"/>
  <c r="A319" i="12"/>
  <c r="G319" i="5"/>
  <c r="AD319" i="5"/>
  <c r="K319" i="5"/>
  <c r="E318" i="12"/>
  <c r="F318" i="6"/>
  <c r="BK316" i="6"/>
  <c r="AL316" i="6"/>
  <c r="AN316" i="6"/>
  <c r="AT316" i="6"/>
  <c r="AR316" i="6"/>
  <c r="AP316" i="6"/>
  <c r="CK316" i="6"/>
  <c r="AQ316" i="6"/>
  <c r="AU316" i="6"/>
  <c r="K318" i="12" l="1"/>
  <c r="CD317" i="6"/>
  <c r="CJ317" i="6"/>
  <c r="BA317" i="6"/>
  <c r="BE317" i="6"/>
  <c r="CG317" i="6"/>
  <c r="CI317" i="6"/>
  <c r="BO317" i="6"/>
  <c r="AS317" i="6"/>
  <c r="AR317" i="6"/>
  <c r="CH317" i="6"/>
  <c r="BI317" i="6"/>
  <c r="BD317" i="6"/>
  <c r="CB317" i="6"/>
  <c r="BV317" i="6"/>
  <c r="Y314" i="12"/>
  <c r="W314" i="12" s="1"/>
  <c r="BJ317" i="6"/>
  <c r="AX317" i="6"/>
  <c r="AY317" i="6"/>
  <c r="CL317" i="6"/>
  <c r="BP317" i="6"/>
  <c r="BL317" i="6"/>
  <c r="AW317" i="6"/>
  <c r="BT317" i="6"/>
  <c r="CM317" i="6"/>
  <c r="CE317" i="6"/>
  <c r="AU317" i="6"/>
  <c r="AM317" i="6"/>
  <c r="BH317" i="6"/>
  <c r="BC317" i="6"/>
  <c r="AO317" i="6"/>
  <c r="BG317" i="6"/>
  <c r="B320" i="5"/>
  <c r="C321" i="5"/>
  <c r="J320" i="5"/>
  <c r="F320" i="5"/>
  <c r="A320" i="12"/>
  <c r="H320" i="5"/>
  <c r="G320" i="5"/>
  <c r="W320" i="5"/>
  <c r="H320" i="12" s="1"/>
  <c r="AE320" i="5"/>
  <c r="B320" i="6"/>
  <c r="E320" i="5"/>
  <c r="N320" i="5"/>
  <c r="AD320" i="5"/>
  <c r="D320" i="5"/>
  <c r="B320" i="12" s="1"/>
  <c r="R320" i="5"/>
  <c r="K320" i="5"/>
  <c r="G317" i="12"/>
  <c r="X317" i="5"/>
  <c r="CF317" i="6"/>
  <c r="BS317" i="6"/>
  <c r="BF317" i="6"/>
  <c r="N318" i="6"/>
  <c r="H318" i="6"/>
  <c r="T318" i="5" s="1"/>
  <c r="M318" i="6"/>
  <c r="BI318" i="6" s="1"/>
  <c r="AU318" i="6"/>
  <c r="BQ318" i="6"/>
  <c r="BN318" i="6"/>
  <c r="BY318" i="6"/>
  <c r="AV318" i="6"/>
  <c r="BS318" i="6"/>
  <c r="CK318" i="6"/>
  <c r="G318" i="6"/>
  <c r="BK318" i="6"/>
  <c r="C315" i="6"/>
  <c r="O315" i="5"/>
  <c r="L319" i="12"/>
  <c r="J319" i="12"/>
  <c r="D319" i="6"/>
  <c r="AZ317" i="6"/>
  <c r="BR317" i="6"/>
  <c r="AJ317" i="6"/>
  <c r="CA317" i="6"/>
  <c r="BQ317" i="6"/>
  <c r="BX317" i="6"/>
  <c r="AP317" i="6"/>
  <c r="AQ317" i="6"/>
  <c r="BW317" i="6"/>
  <c r="V313" i="12"/>
  <c r="T313" i="12"/>
  <c r="U313" i="12"/>
  <c r="C315" i="12"/>
  <c r="AO315" i="12"/>
  <c r="M315" i="12"/>
  <c r="O315" i="12"/>
  <c r="F319" i="6"/>
  <c r="E319" i="12"/>
  <c r="N314" i="12"/>
  <c r="AN317" i="6"/>
  <c r="CC317" i="6"/>
  <c r="AV317" i="6"/>
  <c r="AL317" i="6"/>
  <c r="BN317" i="6"/>
  <c r="BK317" i="6"/>
  <c r="AT317" i="6"/>
  <c r="AK317" i="6"/>
  <c r="L316" i="5"/>
  <c r="I316" i="12"/>
  <c r="AM316" i="5"/>
  <c r="Z316" i="5"/>
  <c r="I316" i="5"/>
  <c r="AC316" i="5"/>
  <c r="AJ316" i="6"/>
  <c r="E314" i="6"/>
  <c r="D314" i="12"/>
  <c r="AA315" i="5"/>
  <c r="AB315" i="5"/>
  <c r="BZ318" i="6" l="1"/>
  <c r="X314" i="12"/>
  <c r="N315" i="12"/>
  <c r="AL318" i="6"/>
  <c r="BE318" i="6"/>
  <c r="BH318" i="6"/>
  <c r="CH318" i="6"/>
  <c r="AP318" i="6"/>
  <c r="CG318" i="6"/>
  <c r="CD318" i="6"/>
  <c r="BW318" i="6"/>
  <c r="CI318" i="6"/>
  <c r="BC318" i="6"/>
  <c r="AY318" i="6"/>
  <c r="BJ318" i="6"/>
  <c r="CL318" i="6"/>
  <c r="CM318" i="6"/>
  <c r="BO318" i="6"/>
  <c r="CA318" i="6"/>
  <c r="BT318" i="6"/>
  <c r="BG318" i="6"/>
  <c r="CC318" i="6"/>
  <c r="BX318" i="6"/>
  <c r="AS318" i="6"/>
  <c r="BF318" i="6"/>
  <c r="AX318" i="6"/>
  <c r="AZ318" i="6"/>
  <c r="CJ318" i="6"/>
  <c r="AO318" i="6"/>
  <c r="BV318" i="6"/>
  <c r="AQ318" i="6"/>
  <c r="BM318" i="6"/>
  <c r="CB318" i="6"/>
  <c r="CF318" i="6"/>
  <c r="AK318" i="6"/>
  <c r="AW318" i="6"/>
  <c r="Y315" i="12"/>
  <c r="K319" i="12"/>
  <c r="BA318" i="6"/>
  <c r="AR318" i="6"/>
  <c r="CE318" i="6"/>
  <c r="C316" i="6"/>
  <c r="O316" i="5"/>
  <c r="G318" i="12"/>
  <c r="X318" i="5"/>
  <c r="AT318" i="6"/>
  <c r="BP318" i="6"/>
  <c r="BD318" i="6"/>
  <c r="X315" i="12"/>
  <c r="W315" i="12"/>
  <c r="AB316" i="5"/>
  <c r="AA316" i="5"/>
  <c r="G319" i="6"/>
  <c r="H319" i="6"/>
  <c r="T319" i="5" s="1"/>
  <c r="N319" i="6"/>
  <c r="M319" i="6"/>
  <c r="CA319" i="6" s="1"/>
  <c r="BJ319" i="6"/>
  <c r="CC319" i="6"/>
  <c r="BX319" i="6"/>
  <c r="BR318" i="6"/>
  <c r="AN318" i="6"/>
  <c r="V314" i="12"/>
  <c r="T314" i="12"/>
  <c r="U314" i="12"/>
  <c r="E320" i="12"/>
  <c r="F320" i="6"/>
  <c r="D320" i="6"/>
  <c r="J320" i="12"/>
  <c r="L320" i="12"/>
  <c r="L317" i="5"/>
  <c r="AM317" i="5"/>
  <c r="I317" i="12"/>
  <c r="Z317" i="5"/>
  <c r="I317" i="5"/>
  <c r="AC317" i="5"/>
  <c r="A321" i="12"/>
  <c r="N321" i="5"/>
  <c r="E321" i="5"/>
  <c r="B321" i="6"/>
  <c r="J321" i="5"/>
  <c r="C322" i="5"/>
  <c r="AE321" i="5"/>
  <c r="H321" i="5"/>
  <c r="K321" i="5"/>
  <c r="D321" i="5"/>
  <c r="B321" i="12" s="1"/>
  <c r="G321" i="5"/>
  <c r="W321" i="5"/>
  <c r="H321" i="12" s="1"/>
  <c r="B321" i="5"/>
  <c r="AD321" i="5"/>
  <c r="R321" i="5"/>
  <c r="F321" i="5"/>
  <c r="C316" i="12"/>
  <c r="O316" i="12"/>
  <c r="M316" i="12"/>
  <c r="AO316" i="12"/>
  <c r="E315" i="6"/>
  <c r="D315" i="12"/>
  <c r="BL318" i="6"/>
  <c r="AM318" i="6"/>
  <c r="Y316" i="12" l="1"/>
  <c r="AK319" i="6"/>
  <c r="BY319" i="6"/>
  <c r="BG319" i="6"/>
  <c r="BM319" i="6"/>
  <c r="BV319" i="6"/>
  <c r="AQ319" i="6"/>
  <c r="AS319" i="6"/>
  <c r="K320" i="12"/>
  <c r="BK319" i="6"/>
  <c r="BT319" i="6"/>
  <c r="BH319" i="6"/>
  <c r="BP319" i="6"/>
  <c r="CK319" i="6"/>
  <c r="AN319" i="6"/>
  <c r="AT319" i="6"/>
  <c r="BQ319" i="6"/>
  <c r="BO319" i="6"/>
  <c r="CB319" i="6"/>
  <c r="BL319" i="6"/>
  <c r="CG319" i="6"/>
  <c r="AM319" i="6"/>
  <c r="BF319" i="6"/>
  <c r="C317" i="6"/>
  <c r="O317" i="5"/>
  <c r="G319" i="12"/>
  <c r="X319" i="5"/>
  <c r="BW319" i="6"/>
  <c r="CJ319" i="6"/>
  <c r="CH319" i="6"/>
  <c r="AM318" i="5"/>
  <c r="L318" i="5"/>
  <c r="I318" i="12"/>
  <c r="Z318" i="5"/>
  <c r="I318" i="5"/>
  <c r="AC318" i="5"/>
  <c r="AJ318" i="6"/>
  <c r="AD322" i="5"/>
  <c r="J322" i="5"/>
  <c r="K322" i="5"/>
  <c r="W322" i="5"/>
  <c r="H322" i="12" s="1"/>
  <c r="E322" i="5"/>
  <c r="F322" i="5"/>
  <c r="C323" i="5"/>
  <c r="B322" i="5"/>
  <c r="H322" i="5"/>
  <c r="D322" i="5"/>
  <c r="B322" i="12" s="1"/>
  <c r="B322" i="6"/>
  <c r="N322" i="5"/>
  <c r="A322" i="12"/>
  <c r="G322" i="5"/>
  <c r="AE322" i="5"/>
  <c r="R322" i="5"/>
  <c r="D321" i="6"/>
  <c r="AA317" i="5"/>
  <c r="AB317" i="5"/>
  <c r="AL319" i="6"/>
  <c r="AZ319" i="6"/>
  <c r="BR319" i="6"/>
  <c r="CF319" i="6"/>
  <c r="AU319" i="6"/>
  <c r="AY319" i="6"/>
  <c r="AW319" i="6"/>
  <c r="AV319" i="6"/>
  <c r="BE319" i="6"/>
  <c r="X316" i="12"/>
  <c r="W316" i="12"/>
  <c r="L321" i="12"/>
  <c r="J321" i="12"/>
  <c r="C317" i="12"/>
  <c r="AO317" i="12"/>
  <c r="O317" i="12"/>
  <c r="M317" i="12"/>
  <c r="BC319" i="6"/>
  <c r="BS319" i="6"/>
  <c r="BA319" i="6"/>
  <c r="CD319" i="6"/>
  <c r="BN319" i="6"/>
  <c r="BZ319" i="6"/>
  <c r="CI319" i="6"/>
  <c r="BI319" i="6"/>
  <c r="D316" i="12"/>
  <c r="E316" i="6"/>
  <c r="N316" i="12"/>
  <c r="E321" i="12"/>
  <c r="F321" i="6"/>
  <c r="H320" i="6"/>
  <c r="T320" i="5" s="1"/>
  <c r="N320" i="6"/>
  <c r="G320" i="6"/>
  <c r="M320" i="6"/>
  <c r="BZ320" i="6" s="1"/>
  <c r="AX319" i="6"/>
  <c r="AR319" i="6"/>
  <c r="CE319" i="6"/>
  <c r="BD319" i="6"/>
  <c r="CM319" i="6"/>
  <c r="AO319" i="6"/>
  <c r="AP319" i="6"/>
  <c r="CL319" i="6"/>
  <c r="V315" i="12"/>
  <c r="U315" i="12"/>
  <c r="T315" i="12"/>
  <c r="BA320" i="6" l="1"/>
  <c r="K321" i="12"/>
  <c r="CE320" i="6"/>
  <c r="Y317" i="12"/>
  <c r="X317" i="12" s="1"/>
  <c r="BR320" i="6"/>
  <c r="J322" i="12"/>
  <c r="L322" i="12"/>
  <c r="K322" i="12" s="1"/>
  <c r="L319" i="5"/>
  <c r="AM319" i="5"/>
  <c r="I319" i="12"/>
  <c r="I319" i="5"/>
  <c r="Z319" i="5"/>
  <c r="AC319" i="5"/>
  <c r="AJ319" i="6"/>
  <c r="BC320" i="6"/>
  <c r="AZ320" i="6"/>
  <c r="AM320" i="6"/>
  <c r="CC320" i="6"/>
  <c r="AN320" i="6"/>
  <c r="CL320" i="6"/>
  <c r="CD320" i="6"/>
  <c r="BJ320" i="6"/>
  <c r="AO320" i="6"/>
  <c r="BP320" i="6"/>
  <c r="BY320" i="6"/>
  <c r="BG320" i="6"/>
  <c r="CG320" i="6"/>
  <c r="BW320" i="6"/>
  <c r="AT320" i="6"/>
  <c r="BH320" i="6"/>
  <c r="N317" i="12"/>
  <c r="U316" i="12"/>
  <c r="V316" i="12"/>
  <c r="T316" i="12"/>
  <c r="E322" i="12"/>
  <c r="F322" i="6"/>
  <c r="D322" i="6"/>
  <c r="D323" i="5"/>
  <c r="B323" i="12" s="1"/>
  <c r="N323" i="5"/>
  <c r="AD323" i="5"/>
  <c r="W323" i="5"/>
  <c r="H323" i="12" s="1"/>
  <c r="A323" i="12"/>
  <c r="G323" i="5"/>
  <c r="B323" i="6"/>
  <c r="R323" i="5"/>
  <c r="F323" i="5"/>
  <c r="J323" i="5"/>
  <c r="K323" i="5"/>
  <c r="E323" i="5"/>
  <c r="AE323" i="5"/>
  <c r="B323" i="5"/>
  <c r="H323" i="5"/>
  <c r="C324" i="5"/>
  <c r="AB318" i="5"/>
  <c r="AA318" i="5"/>
  <c r="CJ320" i="6"/>
  <c r="BO320" i="6"/>
  <c r="AV320" i="6"/>
  <c r="BE320" i="6"/>
  <c r="AU320" i="6"/>
  <c r="BQ320" i="6"/>
  <c r="AL320" i="6"/>
  <c r="AS320" i="6"/>
  <c r="AK320" i="6"/>
  <c r="CI320" i="6"/>
  <c r="BS320" i="6"/>
  <c r="BV320" i="6"/>
  <c r="CM320" i="6"/>
  <c r="AQ320" i="6"/>
  <c r="AP320" i="6"/>
  <c r="CB320" i="6"/>
  <c r="BF320" i="6"/>
  <c r="C318" i="12"/>
  <c r="M318" i="12"/>
  <c r="AO318" i="12"/>
  <c r="O318" i="12"/>
  <c r="D317" i="12"/>
  <c r="E317" i="6"/>
  <c r="BD320" i="6"/>
  <c r="BM320" i="6"/>
  <c r="BT320" i="6"/>
  <c r="AW320" i="6"/>
  <c r="CK320" i="6"/>
  <c r="BI320" i="6"/>
  <c r="BK320" i="6"/>
  <c r="AR320" i="6"/>
  <c r="BN320" i="6"/>
  <c r="AX320" i="6"/>
  <c r="BX320" i="6"/>
  <c r="BL320" i="6"/>
  <c r="CF320" i="6"/>
  <c r="CA320" i="6"/>
  <c r="G320" i="12"/>
  <c r="X320" i="5"/>
  <c r="AJ320" i="6" s="1"/>
  <c r="AY320" i="6"/>
  <c r="CH320" i="6"/>
  <c r="N321" i="6"/>
  <c r="M321" i="6"/>
  <c r="BT321" i="6" s="1"/>
  <c r="H321" i="6"/>
  <c r="T321" i="5" s="1"/>
  <c r="G321" i="6"/>
  <c r="AZ321" i="6"/>
  <c r="C318" i="6"/>
  <c r="O318" i="5"/>
  <c r="BF321" i="6" l="1"/>
  <c r="AW321" i="6"/>
  <c r="W317" i="12"/>
  <c r="V317" i="12" s="1"/>
  <c r="BK321" i="6"/>
  <c r="BM321" i="6"/>
  <c r="CK321" i="6"/>
  <c r="AS321" i="6"/>
  <c r="AV321" i="6"/>
  <c r="CL321" i="6"/>
  <c r="BY321" i="6"/>
  <c r="BL321" i="6"/>
  <c r="AU321" i="6"/>
  <c r="CG321" i="6"/>
  <c r="CH321" i="6"/>
  <c r="BG321" i="6"/>
  <c r="BS321" i="6"/>
  <c r="AO321" i="6"/>
  <c r="BR321" i="6"/>
  <c r="CA321" i="6"/>
  <c r="BC321" i="6"/>
  <c r="BD321" i="6"/>
  <c r="CI321" i="6"/>
  <c r="BI321" i="6"/>
  <c r="AY321" i="6"/>
  <c r="AK321" i="6"/>
  <c r="BW321" i="6"/>
  <c r="CE321" i="6"/>
  <c r="N318" i="12"/>
  <c r="BN321" i="6"/>
  <c r="CC321" i="6"/>
  <c r="BO321" i="6"/>
  <c r="U317" i="12"/>
  <c r="G322" i="6"/>
  <c r="M322" i="6"/>
  <c r="BD322" i="6" s="1"/>
  <c r="H322" i="6"/>
  <c r="T322" i="5" s="1"/>
  <c r="BJ322" i="6"/>
  <c r="BR322" i="6"/>
  <c r="N322" i="6"/>
  <c r="CJ321" i="6"/>
  <c r="BP321" i="6"/>
  <c r="BE321" i="6"/>
  <c r="BJ321" i="6"/>
  <c r="CF321" i="6"/>
  <c r="BQ321" i="6"/>
  <c r="CM321" i="6"/>
  <c r="CB321" i="6"/>
  <c r="CD321" i="6"/>
  <c r="BZ321" i="6"/>
  <c r="AR321" i="6"/>
  <c r="AL321" i="6"/>
  <c r="AN321" i="6"/>
  <c r="BH321" i="6"/>
  <c r="L320" i="5"/>
  <c r="I320" i="12"/>
  <c r="AM320" i="5"/>
  <c r="Z320" i="5"/>
  <c r="I320" i="5"/>
  <c r="AC320" i="5"/>
  <c r="Y318" i="12"/>
  <c r="L323" i="12"/>
  <c r="K323" i="12" s="1"/>
  <c r="J323" i="12"/>
  <c r="D323" i="6"/>
  <c r="AB319" i="5"/>
  <c r="AA319" i="5"/>
  <c r="C319" i="6"/>
  <c r="O319" i="5"/>
  <c r="BV321" i="6"/>
  <c r="BX321" i="6"/>
  <c r="AM321" i="6"/>
  <c r="AP321" i="6"/>
  <c r="AT321" i="6"/>
  <c r="BA321" i="6"/>
  <c r="E323" i="12"/>
  <c r="F323" i="6"/>
  <c r="E318" i="6"/>
  <c r="D318" i="12"/>
  <c r="G321" i="12"/>
  <c r="X321" i="5"/>
  <c r="AQ321" i="6"/>
  <c r="AX321" i="6"/>
  <c r="D324" i="5"/>
  <c r="B324" i="12" s="1"/>
  <c r="B324" i="5"/>
  <c r="K324" i="5"/>
  <c r="A324" i="12"/>
  <c r="C325" i="5"/>
  <c r="AD324" i="5"/>
  <c r="E324" i="5"/>
  <c r="G324" i="5"/>
  <c r="F324" i="5"/>
  <c r="N324" i="5"/>
  <c r="W324" i="5"/>
  <c r="H324" i="12" s="1"/>
  <c r="AE324" i="5"/>
  <c r="J324" i="5"/>
  <c r="B324" i="6"/>
  <c r="H324" i="5"/>
  <c r="R324" i="5"/>
  <c r="C319" i="12"/>
  <c r="O319" i="12"/>
  <c r="AO319" i="12"/>
  <c r="Y319" i="12" s="1"/>
  <c r="M319" i="12"/>
  <c r="AR322" i="6" l="1"/>
  <c r="CF322" i="6"/>
  <c r="CJ322" i="6"/>
  <c r="BG322" i="6"/>
  <c r="AX322" i="6"/>
  <c r="T317" i="12"/>
  <c r="CK322" i="6"/>
  <c r="CB322" i="6"/>
  <c r="CL322" i="6"/>
  <c r="BT322" i="6"/>
  <c r="BP322" i="6"/>
  <c r="BH322" i="6"/>
  <c r="CH322" i="6"/>
  <c r="AZ322" i="6"/>
  <c r="BW322" i="6"/>
  <c r="N319" i="12"/>
  <c r="AW322" i="6"/>
  <c r="AO322" i="6"/>
  <c r="AK322" i="6"/>
  <c r="BY322" i="6"/>
  <c r="CC322" i="6"/>
  <c r="AS322" i="6"/>
  <c r="X319" i="12"/>
  <c r="W319" i="12"/>
  <c r="D324" i="6"/>
  <c r="AM321" i="5"/>
  <c r="I321" i="12"/>
  <c r="L321" i="5"/>
  <c r="Z321" i="5"/>
  <c r="I321" i="5"/>
  <c r="AC321" i="5"/>
  <c r="AJ321" i="6"/>
  <c r="E319" i="6"/>
  <c r="D319" i="12"/>
  <c r="N323" i="6"/>
  <c r="M323" i="6"/>
  <c r="BH323" i="6" s="1"/>
  <c r="CM323" i="6"/>
  <c r="BC323" i="6"/>
  <c r="H323" i="6"/>
  <c r="T323" i="5" s="1"/>
  <c r="G323" i="6"/>
  <c r="CF323" i="6"/>
  <c r="C320" i="12"/>
  <c r="AO320" i="12"/>
  <c r="O320" i="12"/>
  <c r="M320" i="12"/>
  <c r="BF322" i="6"/>
  <c r="BX322" i="6"/>
  <c r="AU322" i="6"/>
  <c r="BN322" i="6"/>
  <c r="BO322" i="6"/>
  <c r="CA322" i="6"/>
  <c r="AL322" i="6"/>
  <c r="BL322" i="6"/>
  <c r="AV322" i="6"/>
  <c r="CD322" i="6"/>
  <c r="C320" i="6"/>
  <c r="O320" i="5"/>
  <c r="G322" i="12"/>
  <c r="X322" i="5"/>
  <c r="CM322" i="6"/>
  <c r="AY322" i="6"/>
  <c r="BQ322" i="6"/>
  <c r="BE322" i="6"/>
  <c r="BM322" i="6"/>
  <c r="AQ322" i="6"/>
  <c r="BS322" i="6"/>
  <c r="CI322" i="6"/>
  <c r="BK322" i="6"/>
  <c r="E324" i="12"/>
  <c r="F324" i="6"/>
  <c r="L324" i="12"/>
  <c r="J324" i="12"/>
  <c r="AB320" i="5"/>
  <c r="AA320" i="5"/>
  <c r="BA322" i="6"/>
  <c r="BZ322" i="6"/>
  <c r="AP322" i="6"/>
  <c r="BC322" i="6"/>
  <c r="CE322" i="6"/>
  <c r="C326" i="5"/>
  <c r="A325" i="12"/>
  <c r="K325" i="5"/>
  <c r="F325" i="5"/>
  <c r="R325" i="5"/>
  <c r="J325" i="5"/>
  <c r="G325" i="5"/>
  <c r="E325" i="5"/>
  <c r="H325" i="5"/>
  <c r="N325" i="5"/>
  <c r="AE325" i="5"/>
  <c r="W325" i="5"/>
  <c r="H325" i="12" s="1"/>
  <c r="D325" i="5"/>
  <c r="B325" i="12" s="1"/>
  <c r="B325" i="5"/>
  <c r="B325" i="6"/>
  <c r="AD325" i="5"/>
  <c r="X318" i="12"/>
  <c r="W318" i="12"/>
  <c r="AT322" i="6"/>
  <c r="BV322" i="6"/>
  <c r="CG322" i="6"/>
  <c r="AM322" i="6"/>
  <c r="AN322" i="6"/>
  <c r="BI322" i="6"/>
  <c r="CB323" i="6" l="1"/>
  <c r="BK323" i="6"/>
  <c r="CJ323" i="6"/>
  <c r="BX323" i="6"/>
  <c r="BO323" i="6"/>
  <c r="BG323" i="6"/>
  <c r="CD323" i="6"/>
  <c r="CL323" i="6"/>
  <c r="BT323" i="6"/>
  <c r="BS323" i="6"/>
  <c r="BL323" i="6"/>
  <c r="N320" i="12"/>
  <c r="BZ323" i="6"/>
  <c r="BE323" i="6"/>
  <c r="BV323" i="6"/>
  <c r="CH323" i="6"/>
  <c r="BF323" i="6"/>
  <c r="CK323" i="6"/>
  <c r="CC323" i="6"/>
  <c r="BI323" i="6"/>
  <c r="BQ323" i="6"/>
  <c r="BN323" i="6"/>
  <c r="BM323" i="6"/>
  <c r="BJ323" i="6"/>
  <c r="BY323" i="6"/>
  <c r="AV323" i="6"/>
  <c r="CG323" i="6"/>
  <c r="AP323" i="6"/>
  <c r="T318" i="12"/>
  <c r="V318" i="12"/>
  <c r="U318" i="12"/>
  <c r="AW323" i="6"/>
  <c r="AT323" i="6"/>
  <c r="AS323" i="6"/>
  <c r="CI323" i="6"/>
  <c r="AB321" i="5"/>
  <c r="AA321" i="5"/>
  <c r="E320" i="6"/>
  <c r="D320" i="12"/>
  <c r="BA323" i="6"/>
  <c r="AR323" i="6"/>
  <c r="AQ323" i="6"/>
  <c r="AM323" i="6"/>
  <c r="AN323" i="6"/>
  <c r="AX323" i="6"/>
  <c r="AK323" i="6"/>
  <c r="BD323" i="6"/>
  <c r="C321" i="6"/>
  <c r="O321" i="5"/>
  <c r="G324" i="6"/>
  <c r="M324" i="6"/>
  <c r="BY324" i="6" s="1"/>
  <c r="N324" i="6"/>
  <c r="CM324" i="6"/>
  <c r="H324" i="6"/>
  <c r="T324" i="5" s="1"/>
  <c r="BX324" i="6"/>
  <c r="CJ324" i="6"/>
  <c r="BD324" i="6"/>
  <c r="J325" i="12"/>
  <c r="L325" i="12"/>
  <c r="K324" i="12"/>
  <c r="AO323" i="6"/>
  <c r="BR323" i="6"/>
  <c r="AL323" i="6"/>
  <c r="AU323" i="6"/>
  <c r="C321" i="12"/>
  <c r="M321" i="12"/>
  <c r="AO321" i="12"/>
  <c r="O321" i="12"/>
  <c r="V319" i="12"/>
  <c r="T319" i="12"/>
  <c r="U319" i="12"/>
  <c r="D325" i="6"/>
  <c r="E325" i="12"/>
  <c r="F325" i="6"/>
  <c r="F326" i="5"/>
  <c r="N326" i="5"/>
  <c r="C327" i="5"/>
  <c r="J326" i="5"/>
  <c r="R326" i="5"/>
  <c r="E326" i="5"/>
  <c r="D326" i="5"/>
  <c r="B326" i="12" s="1"/>
  <c r="G326" i="5"/>
  <c r="B326" i="6"/>
  <c r="AE326" i="5"/>
  <c r="A326" i="12"/>
  <c r="AD326" i="5"/>
  <c r="K326" i="5"/>
  <c r="H326" i="5"/>
  <c r="W326" i="5"/>
  <c r="H326" i="12" s="1"/>
  <c r="B326" i="5"/>
  <c r="AM322" i="5"/>
  <c r="L322" i="5"/>
  <c r="I322" i="12"/>
  <c r="Z322" i="5"/>
  <c r="I322" i="5"/>
  <c r="AC322" i="5"/>
  <c r="AJ322" i="6"/>
  <c r="Y320" i="12"/>
  <c r="G323" i="12"/>
  <c r="X323" i="5"/>
  <c r="BW323" i="6"/>
  <c r="BP323" i="6"/>
  <c r="AZ323" i="6"/>
  <c r="CA323" i="6"/>
  <c r="CE323" i="6"/>
  <c r="AY323" i="6"/>
  <c r="CL324" i="6" l="1"/>
  <c r="AO324" i="6"/>
  <c r="BR324" i="6"/>
  <c r="BQ324" i="6"/>
  <c r="CC324" i="6"/>
  <c r="CE324" i="6"/>
  <c r="BO324" i="6"/>
  <c r="BC324" i="6"/>
  <c r="CB324" i="6"/>
  <c r="BT324" i="6"/>
  <c r="BZ324" i="6"/>
  <c r="CI324" i="6"/>
  <c r="CD324" i="6"/>
  <c r="CK324" i="6"/>
  <c r="AL324" i="6"/>
  <c r="CH324" i="6"/>
  <c r="CA324" i="6"/>
  <c r="BP324" i="6"/>
  <c r="N321" i="12"/>
  <c r="K325" i="12"/>
  <c r="CF324" i="6"/>
  <c r="BL324" i="6"/>
  <c r="BI324" i="6"/>
  <c r="BF324" i="6"/>
  <c r="BH324" i="6"/>
  <c r="BS324" i="6"/>
  <c r="BW324" i="6"/>
  <c r="BG324" i="6"/>
  <c r="BN324" i="6"/>
  <c r="BM324" i="6"/>
  <c r="CG324" i="6"/>
  <c r="BV324" i="6"/>
  <c r="X320" i="12"/>
  <c r="W320" i="12"/>
  <c r="C322" i="12"/>
  <c r="O322" i="12"/>
  <c r="M322" i="12"/>
  <c r="AO322" i="12"/>
  <c r="L323" i="5"/>
  <c r="AM323" i="5"/>
  <c r="I323" i="12"/>
  <c r="I323" i="5"/>
  <c r="Z323" i="5"/>
  <c r="AC323" i="5"/>
  <c r="AJ323" i="6"/>
  <c r="C322" i="6"/>
  <c r="O322" i="5"/>
  <c r="Y321" i="12"/>
  <c r="AQ324" i="6"/>
  <c r="BA324" i="6"/>
  <c r="BE324" i="6"/>
  <c r="BJ324" i="6"/>
  <c r="AT324" i="6"/>
  <c r="AM324" i="6"/>
  <c r="F326" i="6"/>
  <c r="E326" i="12"/>
  <c r="J326" i="12"/>
  <c r="L326" i="12"/>
  <c r="B327" i="5"/>
  <c r="N327" i="5"/>
  <c r="D327" i="5"/>
  <c r="B327" i="12" s="1"/>
  <c r="F327" i="5"/>
  <c r="H327" i="5"/>
  <c r="A327" i="12"/>
  <c r="R327" i="5"/>
  <c r="B327" i="6"/>
  <c r="K327" i="5"/>
  <c r="AD327" i="5"/>
  <c r="E327" i="5"/>
  <c r="G327" i="5"/>
  <c r="AE327" i="5"/>
  <c r="J327" i="5"/>
  <c r="W327" i="5"/>
  <c r="H327" i="12" s="1"/>
  <c r="C328" i="5"/>
  <c r="AX324" i="6"/>
  <c r="AK324" i="6"/>
  <c r="AR324" i="6"/>
  <c r="AY324" i="6"/>
  <c r="BK324" i="6"/>
  <c r="AP324" i="6"/>
  <c r="D326" i="6"/>
  <c r="AZ324" i="6"/>
  <c r="AS324" i="6"/>
  <c r="AV324" i="6"/>
  <c r="AB322" i="5"/>
  <c r="AA322" i="5"/>
  <c r="G325" i="6"/>
  <c r="N325" i="6"/>
  <c r="M325" i="6"/>
  <c r="BQ325" i="6" s="1"/>
  <c r="BO325" i="6"/>
  <c r="CB325" i="6"/>
  <c r="CE325" i="6"/>
  <c r="BN325" i="6"/>
  <c r="H325" i="6"/>
  <c r="T325" i="5" s="1"/>
  <c r="G324" i="12"/>
  <c r="X324" i="5"/>
  <c r="AW324" i="6"/>
  <c r="AU324" i="6"/>
  <c r="AN324" i="6"/>
  <c r="D321" i="12"/>
  <c r="E321" i="6"/>
  <c r="BX325" i="6" l="1"/>
  <c r="CM325" i="6"/>
  <c r="K326" i="12"/>
  <c r="BE325" i="6"/>
  <c r="CA325" i="6"/>
  <c r="BF325" i="6"/>
  <c r="N322" i="12"/>
  <c r="CG325" i="6"/>
  <c r="BP325" i="6"/>
  <c r="BM325" i="6"/>
  <c r="BV325" i="6"/>
  <c r="AQ325" i="6"/>
  <c r="CL325" i="6"/>
  <c r="BH325" i="6"/>
  <c r="BC325" i="6"/>
  <c r="AM325" i="6"/>
  <c r="BA325" i="6"/>
  <c r="BL325" i="6"/>
  <c r="N326" i="6"/>
  <c r="M326" i="6"/>
  <c r="BW326" i="6" s="1"/>
  <c r="H326" i="6"/>
  <c r="T326" i="5" s="1"/>
  <c r="G326" i="6"/>
  <c r="AQ326" i="6"/>
  <c r="CI326" i="6"/>
  <c r="BQ326" i="6"/>
  <c r="CM326" i="6"/>
  <c r="BK326" i="6"/>
  <c r="F327" i="6"/>
  <c r="E327" i="12"/>
  <c r="W321" i="12"/>
  <c r="X321" i="12"/>
  <c r="AR325" i="6"/>
  <c r="AV325" i="6"/>
  <c r="AL325" i="6"/>
  <c r="AN325" i="6"/>
  <c r="AW325" i="6"/>
  <c r="AZ325" i="6"/>
  <c r="CJ325" i="6"/>
  <c r="CC325" i="6"/>
  <c r="AK325" i="6"/>
  <c r="CD325" i="6"/>
  <c r="BT325" i="6"/>
  <c r="AU325" i="6"/>
  <c r="BD325" i="6"/>
  <c r="BY325" i="6"/>
  <c r="BG325" i="6"/>
  <c r="AO325" i="6"/>
  <c r="BJ325" i="6"/>
  <c r="L327" i="12"/>
  <c r="J327" i="12"/>
  <c r="D327" i="6"/>
  <c r="D322" i="12"/>
  <c r="E322" i="6"/>
  <c r="AB323" i="5"/>
  <c r="AA323" i="5"/>
  <c r="C323" i="6"/>
  <c r="O323" i="5"/>
  <c r="G325" i="12"/>
  <c r="X325" i="5"/>
  <c r="AP325" i="6"/>
  <c r="BI325" i="6"/>
  <c r="CH325" i="6"/>
  <c r="BR325" i="6"/>
  <c r="AY325" i="6"/>
  <c r="BK325" i="6"/>
  <c r="CK325" i="6"/>
  <c r="AT325" i="6"/>
  <c r="BS325" i="6"/>
  <c r="CI325" i="6"/>
  <c r="AD328" i="5"/>
  <c r="H328" i="5"/>
  <c r="G328" i="5"/>
  <c r="F328" i="5"/>
  <c r="N328" i="5"/>
  <c r="B328" i="6"/>
  <c r="A328" i="12"/>
  <c r="D328" i="5"/>
  <c r="B328" i="12" s="1"/>
  <c r="E328" i="5"/>
  <c r="R328" i="5"/>
  <c r="AE328" i="5"/>
  <c r="K328" i="5"/>
  <c r="C329" i="5"/>
  <c r="J328" i="5"/>
  <c r="W328" i="5"/>
  <c r="H328" i="12" s="1"/>
  <c r="B328" i="5"/>
  <c r="Y322" i="12"/>
  <c r="T320" i="12"/>
  <c r="V320" i="12"/>
  <c r="U320" i="12"/>
  <c r="AM324" i="5"/>
  <c r="L324" i="5"/>
  <c r="I324" i="12"/>
  <c r="I324" i="5"/>
  <c r="Z324" i="5"/>
  <c r="AC324" i="5"/>
  <c r="AX325" i="6"/>
  <c r="AS325" i="6"/>
  <c r="CF325" i="6"/>
  <c r="BZ325" i="6"/>
  <c r="BW325" i="6"/>
  <c r="AJ324" i="6"/>
  <c r="C323" i="12"/>
  <c r="M323" i="12"/>
  <c r="AO323" i="12"/>
  <c r="O323" i="12"/>
  <c r="Y323" i="12" l="1"/>
  <c r="AS326" i="6"/>
  <c r="BD326" i="6"/>
  <c r="CF326" i="6"/>
  <c r="AR326" i="6"/>
  <c r="BC326" i="6"/>
  <c r="BN326" i="6"/>
  <c r="BP326" i="6"/>
  <c r="BZ326" i="6"/>
  <c r="AK326" i="6"/>
  <c r="BT326" i="6"/>
  <c r="BY326" i="6"/>
  <c r="CG326" i="6"/>
  <c r="BF326" i="6"/>
  <c r="AO326" i="6"/>
  <c r="BI326" i="6"/>
  <c r="BE326" i="6"/>
  <c r="AT326" i="6"/>
  <c r="AM326" i="6"/>
  <c r="AU326" i="6"/>
  <c r="BM326" i="6"/>
  <c r="BL326" i="6"/>
  <c r="CD326" i="6"/>
  <c r="AX326" i="6"/>
  <c r="CB326" i="6"/>
  <c r="CJ326" i="6"/>
  <c r="CA326" i="6"/>
  <c r="BJ326" i="6"/>
  <c r="BV326" i="6"/>
  <c r="BO326" i="6"/>
  <c r="AY326" i="6"/>
  <c r="CL326" i="6"/>
  <c r="CH326" i="6"/>
  <c r="CK326" i="6"/>
  <c r="AN326" i="6"/>
  <c r="AV326" i="6"/>
  <c r="CC326" i="6"/>
  <c r="BH326" i="6"/>
  <c r="BR326" i="6"/>
  <c r="AW326" i="6"/>
  <c r="CE326" i="6"/>
  <c r="BX326" i="6"/>
  <c r="BG326" i="6"/>
  <c r="K327" i="12"/>
  <c r="AL326" i="6"/>
  <c r="BS326" i="6"/>
  <c r="C324" i="12"/>
  <c r="AO324" i="12"/>
  <c r="M324" i="12"/>
  <c r="O324" i="12"/>
  <c r="AA324" i="5"/>
  <c r="AB324" i="5"/>
  <c r="W322" i="12"/>
  <c r="X322" i="12"/>
  <c r="J328" i="12"/>
  <c r="L328" i="12"/>
  <c r="BA326" i="6"/>
  <c r="AZ326" i="6"/>
  <c r="N323" i="12"/>
  <c r="E328" i="12"/>
  <c r="F328" i="6"/>
  <c r="L325" i="5"/>
  <c r="AM325" i="5"/>
  <c r="I325" i="12"/>
  <c r="Z325" i="5"/>
  <c r="I325" i="5"/>
  <c r="AC325" i="5"/>
  <c r="AP326" i="6"/>
  <c r="D328" i="6"/>
  <c r="H327" i="6"/>
  <c r="T327" i="5" s="1"/>
  <c r="N327" i="6"/>
  <c r="M327" i="6"/>
  <c r="CD327" i="6" s="1"/>
  <c r="BM327" i="6"/>
  <c r="G327" i="6"/>
  <c r="AO327" i="6"/>
  <c r="W323" i="12"/>
  <c r="X323" i="12"/>
  <c r="C324" i="6"/>
  <c r="O324" i="5"/>
  <c r="N329" i="5"/>
  <c r="C330" i="5"/>
  <c r="F329" i="5"/>
  <c r="B329" i="5"/>
  <c r="E329" i="5"/>
  <c r="G329" i="5"/>
  <c r="B329" i="6"/>
  <c r="D329" i="5"/>
  <c r="B329" i="12" s="1"/>
  <c r="AD329" i="5"/>
  <c r="J329" i="5"/>
  <c r="A329" i="12"/>
  <c r="AE329" i="5"/>
  <c r="H329" i="5"/>
  <c r="R329" i="5"/>
  <c r="K329" i="5"/>
  <c r="W329" i="5"/>
  <c r="H329" i="12" s="1"/>
  <c r="D323" i="12"/>
  <c r="E323" i="6"/>
  <c r="AJ325" i="6"/>
  <c r="T321" i="12"/>
  <c r="V321" i="12"/>
  <c r="U321" i="12"/>
  <c r="G326" i="12"/>
  <c r="X326" i="5"/>
  <c r="BQ327" i="6" l="1"/>
  <c r="BV327" i="6"/>
  <c r="BY327" i="6"/>
  <c r="AN327" i="6"/>
  <c r="BR327" i="6"/>
  <c r="BE327" i="6"/>
  <c r="AR327" i="6"/>
  <c r="BJ327" i="6"/>
  <c r="BC327" i="6"/>
  <c r="CA327" i="6"/>
  <c r="AZ327" i="6"/>
  <c r="BF327" i="6"/>
  <c r="AU327" i="6"/>
  <c r="AK327" i="6"/>
  <c r="AY327" i="6"/>
  <c r="BG327" i="6"/>
  <c r="BN327" i="6"/>
  <c r="CL327" i="6"/>
  <c r="CK327" i="6"/>
  <c r="N324" i="12"/>
  <c r="AP327" i="6"/>
  <c r="AW327" i="6"/>
  <c r="CM327" i="6"/>
  <c r="BI327" i="6"/>
  <c r="AV327" i="6"/>
  <c r="AT327" i="6"/>
  <c r="BP327" i="6"/>
  <c r="AS327" i="6"/>
  <c r="AQ327" i="6"/>
  <c r="AX327" i="6"/>
  <c r="AL327" i="6"/>
  <c r="K328" i="12"/>
  <c r="J329" i="12"/>
  <c r="L329" i="12"/>
  <c r="BK327" i="6"/>
  <c r="BO327" i="6"/>
  <c r="BL327" i="6"/>
  <c r="G327" i="12"/>
  <c r="X327" i="5"/>
  <c r="AJ327" i="6" s="1"/>
  <c r="AM326" i="5"/>
  <c r="L326" i="5"/>
  <c r="I326" i="12"/>
  <c r="Z326" i="5"/>
  <c r="I326" i="5"/>
  <c r="AC326" i="5"/>
  <c r="AJ326" i="6"/>
  <c r="F330" i="5"/>
  <c r="A330" i="12"/>
  <c r="K330" i="5"/>
  <c r="B330" i="6"/>
  <c r="AD330" i="5"/>
  <c r="C331" i="5"/>
  <c r="N330" i="5"/>
  <c r="W330" i="5"/>
  <c r="H330" i="12" s="1"/>
  <c r="E330" i="5"/>
  <c r="J330" i="5"/>
  <c r="B330" i="5"/>
  <c r="G330" i="5"/>
  <c r="AE330" i="5"/>
  <c r="H330" i="5"/>
  <c r="R330" i="5"/>
  <c r="D330" i="5"/>
  <c r="B330" i="12" s="1"/>
  <c r="CJ327" i="6"/>
  <c r="CF327" i="6"/>
  <c r="CG327" i="6"/>
  <c r="AM327" i="6"/>
  <c r="CE327" i="6"/>
  <c r="BA327" i="6"/>
  <c r="CC327" i="6"/>
  <c r="M328" i="6"/>
  <c r="BE328" i="6" s="1"/>
  <c r="BK328" i="6"/>
  <c r="BH328" i="6"/>
  <c r="N328" i="6"/>
  <c r="BG328" i="6"/>
  <c r="G328" i="6"/>
  <c r="AM328" i="6"/>
  <c r="H328" i="6"/>
  <c r="T328" i="5" s="1"/>
  <c r="BF328" i="6"/>
  <c r="AW328" i="6"/>
  <c r="C325" i="6"/>
  <c r="O325" i="5"/>
  <c r="T322" i="12"/>
  <c r="V322" i="12"/>
  <c r="U322" i="12"/>
  <c r="F329" i="6"/>
  <c r="E329" i="12"/>
  <c r="D329" i="6"/>
  <c r="T323" i="12"/>
  <c r="V323" i="12"/>
  <c r="U323" i="12"/>
  <c r="BS327" i="6"/>
  <c r="BW327" i="6"/>
  <c r="BH327" i="6"/>
  <c r="CB327" i="6"/>
  <c r="CH327" i="6"/>
  <c r="CI327" i="6"/>
  <c r="BX327" i="6"/>
  <c r="BZ327" i="6"/>
  <c r="BT327" i="6"/>
  <c r="AA325" i="5"/>
  <c r="AB325" i="5"/>
  <c r="Y324" i="12"/>
  <c r="E324" i="6"/>
  <c r="D324" i="12"/>
  <c r="BD327" i="6"/>
  <c r="C325" i="12"/>
  <c r="AO325" i="12"/>
  <c r="M325" i="12"/>
  <c r="O325" i="12"/>
  <c r="BQ328" i="6" l="1"/>
  <c r="BS328" i="6"/>
  <c r="BX328" i="6"/>
  <c r="CK328" i="6"/>
  <c r="CF328" i="6"/>
  <c r="CI328" i="6"/>
  <c r="N325" i="12"/>
  <c r="BP328" i="6"/>
  <c r="CC328" i="6"/>
  <c r="CB328" i="6"/>
  <c r="BL328" i="6"/>
  <c r="BC328" i="6"/>
  <c r="CL328" i="6"/>
  <c r="BZ328" i="6"/>
  <c r="BT328" i="6"/>
  <c r="BY328" i="6"/>
  <c r="CA328" i="6"/>
  <c r="CH328" i="6"/>
  <c r="CJ328" i="6"/>
  <c r="BW328" i="6"/>
  <c r="K329" i="12"/>
  <c r="AO328" i="6"/>
  <c r="BI328" i="6"/>
  <c r="BO328" i="6"/>
  <c r="Y325" i="12"/>
  <c r="W325" i="12" s="1"/>
  <c r="BM328" i="6"/>
  <c r="CM328" i="6"/>
  <c r="CD328" i="6"/>
  <c r="BV328" i="6"/>
  <c r="BN328" i="6"/>
  <c r="BJ328" i="6"/>
  <c r="BD328" i="6"/>
  <c r="BR328" i="6"/>
  <c r="CG328" i="6"/>
  <c r="CE328" i="6"/>
  <c r="W324" i="12"/>
  <c r="X324" i="12"/>
  <c r="AU328" i="6"/>
  <c r="AX328" i="6"/>
  <c r="AS328" i="6"/>
  <c r="AV328" i="6"/>
  <c r="AT328" i="6"/>
  <c r="F330" i="6"/>
  <c r="E330" i="12"/>
  <c r="AE331" i="5"/>
  <c r="C332" i="5"/>
  <c r="H331" i="5"/>
  <c r="J331" i="5"/>
  <c r="A331" i="12"/>
  <c r="G331" i="5"/>
  <c r="F331" i="5"/>
  <c r="K331" i="5"/>
  <c r="N331" i="5"/>
  <c r="B331" i="5"/>
  <c r="E331" i="5"/>
  <c r="AD331" i="5"/>
  <c r="W331" i="5"/>
  <c r="H331" i="12" s="1"/>
  <c r="D331" i="5"/>
  <c r="B331" i="12" s="1"/>
  <c r="B331" i="6"/>
  <c r="R331" i="5"/>
  <c r="C326" i="6"/>
  <c r="O326" i="5"/>
  <c r="AK328" i="6"/>
  <c r="AR328" i="6"/>
  <c r="AN328" i="6"/>
  <c r="AL328" i="6"/>
  <c r="AP328" i="6"/>
  <c r="AY328" i="6"/>
  <c r="AQ328" i="6"/>
  <c r="BA328" i="6"/>
  <c r="J330" i="12"/>
  <c r="L330" i="12"/>
  <c r="E325" i="6"/>
  <c r="D325" i="12"/>
  <c r="AZ328" i="6"/>
  <c r="AB326" i="5"/>
  <c r="AA326" i="5"/>
  <c r="AM327" i="5"/>
  <c r="I327" i="12"/>
  <c r="L327" i="5"/>
  <c r="Z327" i="5"/>
  <c r="I327" i="5"/>
  <c r="AC327" i="5"/>
  <c r="N329" i="6"/>
  <c r="M329" i="6"/>
  <c r="CD329" i="6" s="1"/>
  <c r="CI329" i="6"/>
  <c r="CA329" i="6"/>
  <c r="BE329" i="6"/>
  <c r="H329" i="6"/>
  <c r="T329" i="5" s="1"/>
  <c r="BN329" i="6"/>
  <c r="BO329" i="6"/>
  <c r="BL329" i="6"/>
  <c r="AL329" i="6"/>
  <c r="AQ329" i="6"/>
  <c r="BT329" i="6"/>
  <c r="CB329" i="6"/>
  <c r="AO329" i="6"/>
  <c r="G329" i="6"/>
  <c r="AN329" i="6"/>
  <c r="AS329" i="6"/>
  <c r="CE329" i="6"/>
  <c r="AT329" i="6"/>
  <c r="BZ329" i="6"/>
  <c r="AM329" i="6"/>
  <c r="BV329" i="6"/>
  <c r="BM329" i="6"/>
  <c r="CG329" i="6"/>
  <c r="BQ329" i="6"/>
  <c r="CL329" i="6"/>
  <c r="BD329" i="6"/>
  <c r="G328" i="12"/>
  <c r="X328" i="5"/>
  <c r="D330" i="6"/>
  <c r="C326" i="12"/>
  <c r="M326" i="12"/>
  <c r="O326" i="12"/>
  <c r="AO326" i="12"/>
  <c r="AP329" i="6" l="1"/>
  <c r="BP329" i="6"/>
  <c r="BW329" i="6"/>
  <c r="BA329" i="6"/>
  <c r="CM329" i="6"/>
  <c r="BC329" i="6"/>
  <c r="CK329" i="6"/>
  <c r="BY329" i="6"/>
  <c r="CF329" i="6"/>
  <c r="BG329" i="6"/>
  <c r="CJ329" i="6"/>
  <c r="BI329" i="6"/>
  <c r="BR329" i="6"/>
  <c r="BK329" i="6"/>
  <c r="AZ329" i="6"/>
  <c r="AV329" i="6"/>
  <c r="BH329" i="6"/>
  <c r="BJ329" i="6"/>
  <c r="CH329" i="6"/>
  <c r="AY329" i="6"/>
  <c r="AK329" i="6"/>
  <c r="AW329" i="6"/>
  <c r="CC329" i="6"/>
  <c r="BS329" i="6"/>
  <c r="BX329" i="6"/>
  <c r="BF329" i="6"/>
  <c r="X325" i="12"/>
  <c r="AR329" i="6"/>
  <c r="N326" i="12"/>
  <c r="C327" i="12"/>
  <c r="AO327" i="12"/>
  <c r="O327" i="12"/>
  <c r="M327" i="12"/>
  <c r="D331" i="6"/>
  <c r="J331" i="12"/>
  <c r="L331" i="12"/>
  <c r="K331" i="12" s="1"/>
  <c r="A332" i="12"/>
  <c r="D332" i="5"/>
  <c r="B332" i="12" s="1"/>
  <c r="N332" i="5"/>
  <c r="F332" i="5"/>
  <c r="W332" i="5"/>
  <c r="H332" i="12" s="1"/>
  <c r="H332" i="5"/>
  <c r="K332" i="5"/>
  <c r="B332" i="5"/>
  <c r="R332" i="5"/>
  <c r="E332" i="5"/>
  <c r="C333" i="5"/>
  <c r="AE332" i="5"/>
  <c r="AD332" i="5"/>
  <c r="B332" i="6"/>
  <c r="G332" i="5"/>
  <c r="J332" i="5"/>
  <c r="L328" i="5"/>
  <c r="AM328" i="5"/>
  <c r="I328" i="12"/>
  <c r="Z328" i="5"/>
  <c r="I328" i="5"/>
  <c r="AC328" i="5"/>
  <c r="G329" i="12"/>
  <c r="X329" i="5"/>
  <c r="AX329" i="6"/>
  <c r="V325" i="12"/>
  <c r="U325" i="12"/>
  <c r="T325" i="12"/>
  <c r="F331" i="6"/>
  <c r="E331" i="12"/>
  <c r="AJ328" i="6"/>
  <c r="Y326" i="12"/>
  <c r="AA327" i="5"/>
  <c r="AB327" i="5"/>
  <c r="K330" i="12"/>
  <c r="D326" i="12"/>
  <c r="E326" i="6"/>
  <c r="M330" i="6"/>
  <c r="BP330" i="6" s="1"/>
  <c r="N330" i="6"/>
  <c r="BV330" i="6"/>
  <c r="G330" i="6"/>
  <c r="CC330" i="6"/>
  <c r="CK330" i="6"/>
  <c r="BE330" i="6"/>
  <c r="BQ330" i="6"/>
  <c r="CJ330" i="6"/>
  <c r="BM330" i="6"/>
  <c r="CM330" i="6"/>
  <c r="H330" i="6"/>
  <c r="T330" i="5" s="1"/>
  <c r="BI330" i="6"/>
  <c r="CA330" i="6"/>
  <c r="BH330" i="6"/>
  <c r="BW330" i="6"/>
  <c r="CF330" i="6"/>
  <c r="BO330" i="6"/>
  <c r="BT330" i="6"/>
  <c r="CD330" i="6"/>
  <c r="BY330" i="6"/>
  <c r="AU329" i="6"/>
  <c r="C327" i="6"/>
  <c r="O327" i="5"/>
  <c r="T324" i="12"/>
  <c r="V324" i="12"/>
  <c r="U324" i="12"/>
  <c r="AW330" i="6" l="1"/>
  <c r="AK330" i="6"/>
  <c r="AV330" i="6"/>
  <c r="AM330" i="6"/>
  <c r="BR330" i="6"/>
  <c r="BC330" i="6"/>
  <c r="AX330" i="6"/>
  <c r="BN330" i="6"/>
  <c r="BX330" i="6"/>
  <c r="CG330" i="6"/>
  <c r="BJ330" i="6"/>
  <c r="CB330" i="6"/>
  <c r="BA330" i="6"/>
  <c r="CI330" i="6"/>
  <c r="AZ330" i="6"/>
  <c r="BF330" i="6"/>
  <c r="BL330" i="6"/>
  <c r="C328" i="12"/>
  <c r="M328" i="12"/>
  <c r="O328" i="12"/>
  <c r="N328" i="12" s="1"/>
  <c r="AO328" i="12"/>
  <c r="L332" i="12"/>
  <c r="J332" i="12"/>
  <c r="N327" i="12"/>
  <c r="AL330" i="6"/>
  <c r="AT330" i="6"/>
  <c r="AQ330" i="6"/>
  <c r="BZ330" i="6"/>
  <c r="C328" i="6"/>
  <c r="O328" i="5"/>
  <c r="E332" i="12"/>
  <c r="F332" i="6"/>
  <c r="D332" i="6"/>
  <c r="G331" i="6"/>
  <c r="M331" i="6"/>
  <c r="CB331" i="6" s="1"/>
  <c r="N331" i="6"/>
  <c r="H331" i="6"/>
  <c r="T331" i="5" s="1"/>
  <c r="CK331" i="6"/>
  <c r="Y327" i="12"/>
  <c r="D327" i="12"/>
  <c r="E327" i="6"/>
  <c r="G330" i="12"/>
  <c r="X330" i="5"/>
  <c r="AJ330" i="6" s="1"/>
  <c r="AO330" i="6"/>
  <c r="BK330" i="6"/>
  <c r="AY330" i="6"/>
  <c r="BG330" i="6"/>
  <c r="CL330" i="6"/>
  <c r="AS330" i="6"/>
  <c r="AR330" i="6"/>
  <c r="AP330" i="6"/>
  <c r="BD330" i="6"/>
  <c r="BS330" i="6"/>
  <c r="AN330" i="6"/>
  <c r="CE330" i="6"/>
  <c r="AU330" i="6"/>
  <c r="CH330" i="6"/>
  <c r="X326" i="12"/>
  <c r="W326" i="12"/>
  <c r="I329" i="12"/>
  <c r="AM329" i="5"/>
  <c r="L329" i="5"/>
  <c r="Z329" i="5"/>
  <c r="I329" i="5"/>
  <c r="AC329" i="5"/>
  <c r="AJ329" i="6"/>
  <c r="AB328" i="5"/>
  <c r="AA328" i="5"/>
  <c r="K333" i="5"/>
  <c r="D333" i="5"/>
  <c r="B333" i="12" s="1"/>
  <c r="B333" i="6"/>
  <c r="E333" i="5"/>
  <c r="R333" i="5"/>
  <c r="G333" i="5"/>
  <c r="C334" i="5"/>
  <c r="J333" i="5"/>
  <c r="W333" i="5"/>
  <c r="H333" i="12" s="1"/>
  <c r="AD333" i="5"/>
  <c r="A333" i="12"/>
  <c r="AE333" i="5"/>
  <c r="H333" i="5"/>
  <c r="F333" i="5"/>
  <c r="N333" i="5"/>
  <c r="B333" i="5"/>
  <c r="CC331" i="6" l="1"/>
  <c r="CJ331" i="6"/>
  <c r="BX331" i="6"/>
  <c r="CG331" i="6"/>
  <c r="BF331" i="6"/>
  <c r="BM331" i="6"/>
  <c r="BR331" i="6"/>
  <c r="BH331" i="6"/>
  <c r="BV331" i="6"/>
  <c r="BI331" i="6"/>
  <c r="CI331" i="6"/>
  <c r="AV331" i="6"/>
  <c r="AR331" i="6"/>
  <c r="BN331" i="6"/>
  <c r="BT331" i="6"/>
  <c r="BY331" i="6"/>
  <c r="CD331" i="6"/>
  <c r="CE331" i="6"/>
  <c r="BZ331" i="6"/>
  <c r="AK331" i="6"/>
  <c r="AX331" i="6"/>
  <c r="BS331" i="6"/>
  <c r="AN331" i="6"/>
  <c r="BJ331" i="6"/>
  <c r="CL331" i="6"/>
  <c r="BK331" i="6"/>
  <c r="BL331" i="6"/>
  <c r="L333" i="12"/>
  <c r="J333" i="12"/>
  <c r="D334" i="5"/>
  <c r="B334" i="12" s="1"/>
  <c r="A334" i="12"/>
  <c r="G334" i="5"/>
  <c r="R334" i="5"/>
  <c r="F334" i="5"/>
  <c r="AE334" i="5"/>
  <c r="H334" i="5"/>
  <c r="J334" i="5"/>
  <c r="B334" i="6"/>
  <c r="C335" i="5"/>
  <c r="N334" i="5"/>
  <c r="E334" i="5"/>
  <c r="K334" i="5"/>
  <c r="AD334" i="5"/>
  <c r="W334" i="5"/>
  <c r="H334" i="12" s="1"/>
  <c r="B334" i="5"/>
  <c r="C329" i="6"/>
  <c r="O329" i="5"/>
  <c r="G331" i="12"/>
  <c r="X331" i="5"/>
  <c r="AJ331" i="6" s="1"/>
  <c r="BA331" i="6"/>
  <c r="AY331" i="6"/>
  <c r="AS331" i="6"/>
  <c r="AZ331" i="6"/>
  <c r="AT331" i="6"/>
  <c r="BG331" i="6"/>
  <c r="BP331" i="6"/>
  <c r="E333" i="12"/>
  <c r="F333" i="6"/>
  <c r="AU331" i="6"/>
  <c r="AP331" i="6"/>
  <c r="CM331" i="6"/>
  <c r="BE331" i="6"/>
  <c r="CH331" i="6"/>
  <c r="BW331" i="6"/>
  <c r="CF331" i="6"/>
  <c r="CA331" i="6"/>
  <c r="BO331" i="6"/>
  <c r="C329" i="12"/>
  <c r="AO329" i="12"/>
  <c r="M329" i="12"/>
  <c r="O329" i="12"/>
  <c r="N329" i="12" s="1"/>
  <c r="AQ331" i="6"/>
  <c r="AM331" i="6"/>
  <c r="D328" i="12"/>
  <c r="E328" i="6"/>
  <c r="K332" i="12"/>
  <c r="D333" i="6"/>
  <c r="AA329" i="5"/>
  <c r="AB329" i="5"/>
  <c r="U326" i="12"/>
  <c r="T326" i="12"/>
  <c r="V326" i="12"/>
  <c r="AM330" i="5"/>
  <c r="L330" i="5"/>
  <c r="I330" i="12"/>
  <c r="Z330" i="5"/>
  <c r="I330" i="5"/>
  <c r="AC330" i="5"/>
  <c r="W327" i="12"/>
  <c r="X327" i="12"/>
  <c r="AL331" i="6"/>
  <c r="AO331" i="6"/>
  <c r="BQ331" i="6"/>
  <c r="BC331" i="6"/>
  <c r="AW331" i="6"/>
  <c r="BD331" i="6"/>
  <c r="H332" i="6"/>
  <c r="T332" i="5" s="1"/>
  <c r="N332" i="6"/>
  <c r="G332" i="6"/>
  <c r="M332" i="6"/>
  <c r="BE332" i="6" s="1"/>
  <c r="Y328" i="12"/>
  <c r="CH332" i="6" l="1"/>
  <c r="AL332" i="6"/>
  <c r="K333" i="12"/>
  <c r="BA332" i="6"/>
  <c r="BO332" i="6"/>
  <c r="BF332" i="6"/>
  <c r="AP332" i="6"/>
  <c r="BM332" i="6"/>
  <c r="CI332" i="6"/>
  <c r="BX332" i="6"/>
  <c r="BH332" i="6"/>
  <c r="AO332" i="6"/>
  <c r="CG332" i="6"/>
  <c r="BY332" i="6"/>
  <c r="AM332" i="6"/>
  <c r="CM332" i="6"/>
  <c r="BK332" i="6"/>
  <c r="C330" i="6"/>
  <c r="O330" i="5"/>
  <c r="Y329" i="12"/>
  <c r="X328" i="12"/>
  <c r="W328" i="12"/>
  <c r="BT332" i="6"/>
  <c r="CB332" i="6"/>
  <c r="BJ332" i="6"/>
  <c r="BQ332" i="6"/>
  <c r="AU332" i="6"/>
  <c r="BR332" i="6"/>
  <c r="BN332" i="6"/>
  <c r="CC332" i="6"/>
  <c r="CK332" i="6"/>
  <c r="AZ332" i="6"/>
  <c r="AY332" i="6"/>
  <c r="BP332" i="6"/>
  <c r="CL332" i="6"/>
  <c r="AM331" i="5"/>
  <c r="L331" i="5"/>
  <c r="I331" i="12"/>
  <c r="I331" i="5"/>
  <c r="Z331" i="5"/>
  <c r="AC331" i="5"/>
  <c r="J334" i="12"/>
  <c r="L334" i="12"/>
  <c r="K334" i="12" s="1"/>
  <c r="BL332" i="6"/>
  <c r="AX332" i="6"/>
  <c r="BS332" i="6"/>
  <c r="CA332" i="6"/>
  <c r="CF332" i="6"/>
  <c r="BZ332" i="6"/>
  <c r="AS332" i="6"/>
  <c r="AA330" i="5"/>
  <c r="AB330" i="5"/>
  <c r="D334" i="6"/>
  <c r="BV332" i="6"/>
  <c r="BW332" i="6"/>
  <c r="CD332" i="6"/>
  <c r="CJ332" i="6"/>
  <c r="AQ332" i="6"/>
  <c r="BI332" i="6"/>
  <c r="AR332" i="6"/>
  <c r="BG332" i="6"/>
  <c r="AV332" i="6"/>
  <c r="BD332" i="6"/>
  <c r="BC332" i="6"/>
  <c r="AK332" i="6"/>
  <c r="AN332" i="6"/>
  <c r="CE332" i="6"/>
  <c r="AW332" i="6"/>
  <c r="AT332" i="6"/>
  <c r="G332" i="12"/>
  <c r="X332" i="5"/>
  <c r="AJ332" i="6" s="1"/>
  <c r="V327" i="12"/>
  <c r="T327" i="12"/>
  <c r="U327" i="12"/>
  <c r="C330" i="12"/>
  <c r="O330" i="12"/>
  <c r="AO330" i="12"/>
  <c r="M330" i="12"/>
  <c r="M333" i="6"/>
  <c r="CJ333" i="6" s="1"/>
  <c r="BY333" i="6"/>
  <c r="H333" i="6"/>
  <c r="T333" i="5" s="1"/>
  <c r="BW333" i="6"/>
  <c r="G333" i="6"/>
  <c r="CL333" i="6"/>
  <c r="N333" i="6"/>
  <c r="BI333" i="6"/>
  <c r="BP333" i="6"/>
  <c r="AP333" i="6"/>
  <c r="BH333" i="6"/>
  <c r="E329" i="6"/>
  <c r="D329" i="12"/>
  <c r="A335" i="12"/>
  <c r="N335" i="5"/>
  <c r="F335" i="5"/>
  <c r="W335" i="5"/>
  <c r="H335" i="12" s="1"/>
  <c r="AE335" i="5"/>
  <c r="E335" i="5"/>
  <c r="AD335" i="5"/>
  <c r="G335" i="5"/>
  <c r="B335" i="6"/>
  <c r="R335" i="5"/>
  <c r="C336" i="5"/>
  <c r="D335" i="5"/>
  <c r="B335" i="12" s="1"/>
  <c r="J335" i="5"/>
  <c r="H335" i="5"/>
  <c r="K335" i="5"/>
  <c r="B335" i="5"/>
  <c r="F334" i="6"/>
  <c r="E334" i="12"/>
  <c r="BZ333" i="6" l="1"/>
  <c r="BT333" i="6"/>
  <c r="BO333" i="6"/>
  <c r="BV333" i="6"/>
  <c r="CM333" i="6"/>
  <c r="BM333" i="6"/>
  <c r="BN333" i="6"/>
  <c r="CI333" i="6"/>
  <c r="AO333" i="6"/>
  <c r="CE333" i="6"/>
  <c r="BR333" i="6"/>
  <c r="AR333" i="6"/>
  <c r="AN333" i="6"/>
  <c r="CH333" i="6"/>
  <c r="CA333" i="6"/>
  <c r="BD333" i="6"/>
  <c r="CB333" i="6"/>
  <c r="CC333" i="6"/>
  <c r="BF333" i="6"/>
  <c r="AT333" i="6"/>
  <c r="AK333" i="6"/>
  <c r="AY333" i="6"/>
  <c r="BQ333" i="6"/>
  <c r="CG333" i="6"/>
  <c r="BG333" i="6"/>
  <c r="CD333" i="6"/>
  <c r="CK333" i="6"/>
  <c r="BJ333" i="6"/>
  <c r="AW333" i="6"/>
  <c r="AS333" i="6"/>
  <c r="BK333" i="6"/>
  <c r="BC333" i="6"/>
  <c r="AQ333" i="6"/>
  <c r="BX333" i="6"/>
  <c r="CF333" i="6"/>
  <c r="BE333" i="6"/>
  <c r="BL333" i="6"/>
  <c r="BS333" i="6"/>
  <c r="D335" i="6"/>
  <c r="BA333" i="6"/>
  <c r="N330" i="12"/>
  <c r="M334" i="6"/>
  <c r="CM334" i="6" s="1"/>
  <c r="N334" i="6"/>
  <c r="BO334" i="6"/>
  <c r="G334" i="6"/>
  <c r="CA334" i="6"/>
  <c r="BT334" i="6"/>
  <c r="H334" i="6"/>
  <c r="T334" i="5" s="1"/>
  <c r="AA331" i="5"/>
  <c r="AB331" i="5"/>
  <c r="E335" i="12"/>
  <c r="F335" i="6"/>
  <c r="J335" i="12"/>
  <c r="L335" i="12"/>
  <c r="G333" i="12"/>
  <c r="X333" i="5"/>
  <c r="L332" i="5"/>
  <c r="I332" i="12"/>
  <c r="AM332" i="5"/>
  <c r="I332" i="5"/>
  <c r="Z332" i="5"/>
  <c r="AC332" i="5"/>
  <c r="W329" i="12"/>
  <c r="X329" i="12"/>
  <c r="AZ333" i="6"/>
  <c r="C331" i="12"/>
  <c r="AO331" i="12"/>
  <c r="M331" i="12"/>
  <c r="O331" i="12"/>
  <c r="D330" i="12"/>
  <c r="E330" i="6"/>
  <c r="E336" i="5"/>
  <c r="F336" i="5"/>
  <c r="AD336" i="5"/>
  <c r="N336" i="5"/>
  <c r="W336" i="5"/>
  <c r="H336" i="12" s="1"/>
  <c r="B336" i="6"/>
  <c r="D336" i="5"/>
  <c r="B336" i="12" s="1"/>
  <c r="J336" i="5"/>
  <c r="K336" i="5"/>
  <c r="R336" i="5"/>
  <c r="G336" i="5"/>
  <c r="AE336" i="5"/>
  <c r="C337" i="5"/>
  <c r="B336" i="5"/>
  <c r="A336" i="12"/>
  <c r="H336" i="5"/>
  <c r="AU333" i="6"/>
  <c r="AX333" i="6"/>
  <c r="AL333" i="6"/>
  <c r="AV333" i="6"/>
  <c r="AM333" i="6"/>
  <c r="Y330" i="12"/>
  <c r="C331" i="6"/>
  <c r="O331" i="5"/>
  <c r="T328" i="12"/>
  <c r="U328" i="12"/>
  <c r="V328" i="12"/>
  <c r="N331" i="12" l="1"/>
  <c r="BF334" i="6"/>
  <c r="CL334" i="6"/>
  <c r="BS334" i="6"/>
  <c r="BX334" i="6"/>
  <c r="BV334" i="6"/>
  <c r="K335" i="12"/>
  <c r="BZ334" i="6"/>
  <c r="CI334" i="6"/>
  <c r="CD334" i="6"/>
  <c r="BQ334" i="6"/>
  <c r="BL334" i="6"/>
  <c r="CK334" i="6"/>
  <c r="BG334" i="6"/>
  <c r="BW334" i="6"/>
  <c r="BP334" i="6"/>
  <c r="BH334" i="6"/>
  <c r="BI334" i="6"/>
  <c r="BK334" i="6"/>
  <c r="BR334" i="6"/>
  <c r="BD334" i="6"/>
  <c r="CF334" i="6"/>
  <c r="BC334" i="6"/>
  <c r="CB334" i="6"/>
  <c r="CC334" i="6"/>
  <c r="BN334" i="6"/>
  <c r="CG334" i="6"/>
  <c r="BE334" i="6"/>
  <c r="CE334" i="6"/>
  <c r="BM334" i="6"/>
  <c r="E331" i="6"/>
  <c r="D331" i="12"/>
  <c r="W330" i="12"/>
  <c r="X330" i="12"/>
  <c r="J336" i="12"/>
  <c r="L336" i="12"/>
  <c r="B337" i="6"/>
  <c r="E337" i="5"/>
  <c r="H337" i="5"/>
  <c r="AE337" i="5"/>
  <c r="R337" i="5"/>
  <c r="G337" i="5"/>
  <c r="B337" i="5"/>
  <c r="A337" i="12"/>
  <c r="W337" i="5"/>
  <c r="H337" i="12" s="1"/>
  <c r="J337" i="5"/>
  <c r="K337" i="5"/>
  <c r="N337" i="5"/>
  <c r="C338" i="5"/>
  <c r="D337" i="5"/>
  <c r="B337" i="12" s="1"/>
  <c r="F337" i="5"/>
  <c r="AD337" i="5"/>
  <c r="D336" i="6"/>
  <c r="Y331" i="12"/>
  <c r="T329" i="12"/>
  <c r="U329" i="12"/>
  <c r="V329" i="12"/>
  <c r="G334" i="12"/>
  <c r="X334" i="5"/>
  <c r="AJ334" i="6" s="1"/>
  <c r="AO334" i="6"/>
  <c r="AX334" i="6"/>
  <c r="BY334" i="6"/>
  <c r="AM334" i="6"/>
  <c r="C332" i="12"/>
  <c r="O332" i="12"/>
  <c r="AO332" i="12"/>
  <c r="M332" i="12"/>
  <c r="AQ334" i="6"/>
  <c r="AL334" i="6"/>
  <c r="CH334" i="6"/>
  <c r="AW334" i="6"/>
  <c r="F336" i="6"/>
  <c r="E336" i="12"/>
  <c r="AA332" i="5"/>
  <c r="AB332" i="5"/>
  <c r="C332" i="6"/>
  <c r="O332" i="5"/>
  <c r="AK334" i="6"/>
  <c r="AR334" i="6"/>
  <c r="AP334" i="6"/>
  <c r="BJ334" i="6"/>
  <c r="CJ334" i="6"/>
  <c r="AT334" i="6"/>
  <c r="AY334" i="6"/>
  <c r="AM333" i="5"/>
  <c r="I333" i="12"/>
  <c r="L333" i="5"/>
  <c r="I333" i="5"/>
  <c r="Z333" i="5"/>
  <c r="AC333" i="5"/>
  <c r="AJ333" i="6"/>
  <c r="AZ334" i="6"/>
  <c r="AU334" i="6"/>
  <c r="BA334" i="6"/>
  <c r="AN334" i="6"/>
  <c r="AV334" i="6"/>
  <c r="AS334" i="6"/>
  <c r="BJ335" i="6"/>
  <c r="M335" i="6"/>
  <c r="BY335" i="6" s="1"/>
  <c r="N335" i="6"/>
  <c r="CC335" i="6"/>
  <c r="CL335" i="6"/>
  <c r="CA335" i="6"/>
  <c r="BA335" i="6"/>
  <c r="CM335" i="6"/>
  <c r="BO335" i="6"/>
  <c r="BS335" i="6"/>
  <c r="BP335" i="6"/>
  <c r="BX335" i="6"/>
  <c r="AK335" i="6"/>
  <c r="H335" i="6"/>
  <c r="T335" i="5" s="1"/>
  <c r="BL335" i="6"/>
  <c r="BK335" i="6"/>
  <c r="AR335" i="6"/>
  <c r="BT335" i="6"/>
  <c r="G335" i="6"/>
  <c r="BH335" i="6"/>
  <c r="BF335" i="6"/>
  <c r="AL335" i="6"/>
  <c r="CI335" i="6"/>
  <c r="AU335" i="6"/>
  <c r="BE335" i="6"/>
  <c r="AZ335" i="6"/>
  <c r="BW335" i="6"/>
  <c r="AY335" i="6"/>
  <c r="BQ335" i="6"/>
  <c r="CK335" i="6"/>
  <c r="BR335" i="6"/>
  <c r="BV335" i="6"/>
  <c r="AX335" i="6"/>
  <c r="BI335" i="6"/>
  <c r="BG335" i="6" l="1"/>
  <c r="BD335" i="6"/>
  <c r="BN335" i="6"/>
  <c r="CJ335" i="6"/>
  <c r="CD335" i="6"/>
  <c r="N332" i="12"/>
  <c r="K336" i="12"/>
  <c r="AS335" i="6"/>
  <c r="AM335" i="6"/>
  <c r="BC335" i="6"/>
  <c r="AW335" i="6"/>
  <c r="AO335" i="6"/>
  <c r="BM335" i="6"/>
  <c r="CG335" i="6"/>
  <c r="AT335" i="6"/>
  <c r="CB335" i="6"/>
  <c r="C333" i="6"/>
  <c r="O333" i="5"/>
  <c r="H336" i="6"/>
  <c r="T336" i="5" s="1"/>
  <c r="N336" i="6"/>
  <c r="G336" i="6"/>
  <c r="M336" i="6"/>
  <c r="BL336" i="6" s="1"/>
  <c r="CM336" i="6"/>
  <c r="BJ336" i="6"/>
  <c r="L337" i="12"/>
  <c r="J337" i="12"/>
  <c r="AQ335" i="6"/>
  <c r="CH335" i="6"/>
  <c r="BZ335" i="6"/>
  <c r="CF335" i="6"/>
  <c r="C333" i="12"/>
  <c r="O333" i="12"/>
  <c r="M333" i="12"/>
  <c r="AO333" i="12"/>
  <c r="L334" i="5"/>
  <c r="I334" i="12"/>
  <c r="AM334" i="5"/>
  <c r="I334" i="5"/>
  <c r="Z334" i="5"/>
  <c r="AC334" i="5"/>
  <c r="U330" i="12"/>
  <c r="V330" i="12"/>
  <c r="T330" i="12"/>
  <c r="G335" i="12"/>
  <c r="X335" i="5"/>
  <c r="AV335" i="6"/>
  <c r="AP335" i="6"/>
  <c r="AN335" i="6"/>
  <c r="CE335" i="6"/>
  <c r="AB333" i="5"/>
  <c r="AA333" i="5"/>
  <c r="E332" i="6"/>
  <c r="D332" i="12"/>
  <c r="Y332" i="12"/>
  <c r="W331" i="12"/>
  <c r="X331" i="12"/>
  <c r="B338" i="5"/>
  <c r="G338" i="5"/>
  <c r="AD338" i="5"/>
  <c r="N338" i="5"/>
  <c r="K338" i="5"/>
  <c r="H338" i="5"/>
  <c r="D338" i="5"/>
  <c r="B338" i="12" s="1"/>
  <c r="A338" i="12"/>
  <c r="B338" i="6"/>
  <c r="R338" i="5"/>
  <c r="J338" i="5"/>
  <c r="E338" i="5"/>
  <c r="F338" i="5"/>
  <c r="W338" i="5"/>
  <c r="H338" i="12" s="1"/>
  <c r="AE338" i="5"/>
  <c r="C339" i="5"/>
  <c r="F337" i="6"/>
  <c r="E337" i="12"/>
  <c r="D337" i="6"/>
  <c r="AK336" i="6" l="1"/>
  <c r="CF336" i="6"/>
  <c r="BO336" i="6"/>
  <c r="Y333" i="12"/>
  <c r="X333" i="12" s="1"/>
  <c r="CH336" i="6"/>
  <c r="AP336" i="6"/>
  <c r="BV336" i="6"/>
  <c r="BD336" i="6"/>
  <c r="CE336" i="6"/>
  <c r="CB336" i="6"/>
  <c r="AM336" i="6"/>
  <c r="BT336" i="6"/>
  <c r="CI336" i="6"/>
  <c r="BC336" i="6"/>
  <c r="CA336" i="6"/>
  <c r="BW336" i="6"/>
  <c r="AX336" i="6"/>
  <c r="AR336" i="6"/>
  <c r="V331" i="12"/>
  <c r="T331" i="12"/>
  <c r="U331" i="12"/>
  <c r="AA334" i="5"/>
  <c r="AB334" i="5"/>
  <c r="C334" i="6"/>
  <c r="O334" i="5"/>
  <c r="K337" i="12"/>
  <c r="BK336" i="6"/>
  <c r="BF336" i="6"/>
  <c r="AO336" i="6"/>
  <c r="BG336" i="6"/>
  <c r="AT336" i="6"/>
  <c r="BM336" i="6"/>
  <c r="AQ336" i="6"/>
  <c r="AU336" i="6"/>
  <c r="E333" i="6"/>
  <c r="D333" i="12"/>
  <c r="J338" i="12"/>
  <c r="L338" i="12"/>
  <c r="X332" i="12"/>
  <c r="W332" i="12"/>
  <c r="CC336" i="6"/>
  <c r="BZ336" i="6"/>
  <c r="CG336" i="6"/>
  <c r="BQ336" i="6"/>
  <c r="AY336" i="6"/>
  <c r="AV336" i="6"/>
  <c r="BE336" i="6"/>
  <c r="BI336" i="6"/>
  <c r="CD336" i="6"/>
  <c r="H337" i="6"/>
  <c r="T337" i="5" s="1"/>
  <c r="G337" i="6"/>
  <c r="N337" i="6"/>
  <c r="M337" i="6"/>
  <c r="BO337" i="6" s="1"/>
  <c r="F339" i="5"/>
  <c r="AD339" i="5"/>
  <c r="AE339" i="5"/>
  <c r="R339" i="5"/>
  <c r="B339" i="6"/>
  <c r="N339" i="5"/>
  <c r="K339" i="5"/>
  <c r="H339" i="5"/>
  <c r="W339" i="5"/>
  <c r="H339" i="12" s="1"/>
  <c r="E339" i="5"/>
  <c r="D339" i="5"/>
  <c r="B339" i="12" s="1"/>
  <c r="A339" i="12"/>
  <c r="B339" i="5"/>
  <c r="C340" i="5"/>
  <c r="G339" i="5"/>
  <c r="J339" i="5"/>
  <c r="I335" i="12"/>
  <c r="L335" i="5"/>
  <c r="AM335" i="5"/>
  <c r="I335" i="5"/>
  <c r="Z335" i="5"/>
  <c r="AC335" i="5"/>
  <c r="AJ335" i="6"/>
  <c r="BY336" i="6"/>
  <c r="CJ336" i="6"/>
  <c r="CL336" i="6"/>
  <c r="BN336" i="6"/>
  <c r="AZ336" i="6"/>
  <c r="BP336" i="6"/>
  <c r="CK336" i="6"/>
  <c r="BA336" i="6"/>
  <c r="E338" i="12"/>
  <c r="F338" i="6"/>
  <c r="D338" i="6"/>
  <c r="C334" i="12"/>
  <c r="M334" i="12"/>
  <c r="AO334" i="12"/>
  <c r="O334" i="12"/>
  <c r="N333" i="12"/>
  <c r="BS336" i="6"/>
  <c r="AW336" i="6"/>
  <c r="BR336" i="6"/>
  <c r="BX336" i="6"/>
  <c r="AN336" i="6"/>
  <c r="BH336" i="6"/>
  <c r="AS336" i="6"/>
  <c r="AL336" i="6"/>
  <c r="G336" i="12"/>
  <c r="X336" i="5"/>
  <c r="W333" i="12" l="1"/>
  <c r="Y334" i="12"/>
  <c r="K338" i="12"/>
  <c r="BW337" i="6"/>
  <c r="C341" i="5"/>
  <c r="AD340" i="5"/>
  <c r="A340" i="12"/>
  <c r="J340" i="5"/>
  <c r="B340" i="6"/>
  <c r="N340" i="5"/>
  <c r="B340" i="5"/>
  <c r="W340" i="5"/>
  <c r="H340" i="12" s="1"/>
  <c r="G340" i="5"/>
  <c r="E340" i="5"/>
  <c r="H340" i="5"/>
  <c r="AE340" i="5"/>
  <c r="R340" i="5"/>
  <c r="F340" i="5"/>
  <c r="D340" i="5"/>
  <c r="B340" i="12" s="1"/>
  <c r="K340" i="5"/>
  <c r="BD337" i="6"/>
  <c r="AK337" i="6"/>
  <c r="AN337" i="6"/>
  <c r="AM337" i="6"/>
  <c r="BC337" i="6"/>
  <c r="CJ337" i="6"/>
  <c r="BP337" i="6"/>
  <c r="BY337" i="6"/>
  <c r="CE337" i="6"/>
  <c r="CM337" i="6"/>
  <c r="AX337" i="6"/>
  <c r="BJ337" i="6"/>
  <c r="AY337" i="6"/>
  <c r="N334" i="12"/>
  <c r="M338" i="6"/>
  <c r="CL338" i="6" s="1"/>
  <c r="BM338" i="6"/>
  <c r="CD338" i="6"/>
  <c r="CM338" i="6"/>
  <c r="N338" i="6"/>
  <c r="BO338" i="6"/>
  <c r="CI338" i="6"/>
  <c r="CE338" i="6"/>
  <c r="BC338" i="6"/>
  <c r="BL338" i="6"/>
  <c r="BG338" i="6"/>
  <c r="CH338" i="6"/>
  <c r="H338" i="6"/>
  <c r="T338" i="5" s="1"/>
  <c r="BS338" i="6"/>
  <c r="BN338" i="6"/>
  <c r="BE338" i="6"/>
  <c r="BJ338" i="6"/>
  <c r="BH338" i="6"/>
  <c r="BK338" i="6"/>
  <c r="CF338" i="6"/>
  <c r="BY338" i="6"/>
  <c r="BW338" i="6"/>
  <c r="CB338" i="6"/>
  <c r="BD338" i="6"/>
  <c r="BF338" i="6"/>
  <c r="BV338" i="6"/>
  <c r="CG338" i="6"/>
  <c r="BI338" i="6"/>
  <c r="BZ338" i="6"/>
  <c r="G338" i="6"/>
  <c r="CK338" i="6"/>
  <c r="BQ338" i="6"/>
  <c r="BT338" i="6"/>
  <c r="AK338" i="6"/>
  <c r="BR337" i="6"/>
  <c r="AO337" i="6"/>
  <c r="BG337" i="6"/>
  <c r="BM337" i="6"/>
  <c r="AP337" i="6"/>
  <c r="BE337" i="6"/>
  <c r="CD337" i="6"/>
  <c r="G337" i="12"/>
  <c r="X337" i="5"/>
  <c r="AJ337" i="6" s="1"/>
  <c r="BZ337" i="6"/>
  <c r="AZ337" i="6"/>
  <c r="BA337" i="6"/>
  <c r="T333" i="12"/>
  <c r="V333" i="12"/>
  <c r="U333" i="12"/>
  <c r="D334" i="12"/>
  <c r="E334" i="6"/>
  <c r="AM336" i="5"/>
  <c r="I336" i="12"/>
  <c r="L336" i="5"/>
  <c r="I336" i="5"/>
  <c r="Z336" i="5"/>
  <c r="AC336" i="5"/>
  <c r="AJ336" i="6"/>
  <c r="X334" i="12"/>
  <c r="W334" i="12"/>
  <c r="C335" i="6"/>
  <c r="O335" i="5"/>
  <c r="J339" i="12"/>
  <c r="L339" i="12"/>
  <c r="E339" i="12"/>
  <c r="F339" i="6"/>
  <c r="BS337" i="6"/>
  <c r="CA337" i="6"/>
  <c r="BV337" i="6"/>
  <c r="AT337" i="6"/>
  <c r="BF337" i="6"/>
  <c r="AW337" i="6"/>
  <c r="CH337" i="6"/>
  <c r="AQ337" i="6"/>
  <c r="BL337" i="6"/>
  <c r="CL337" i="6"/>
  <c r="CG337" i="6"/>
  <c r="CB337" i="6"/>
  <c r="AL337" i="6"/>
  <c r="BN337" i="6"/>
  <c r="AA335" i="5"/>
  <c r="AB335" i="5"/>
  <c r="C335" i="12"/>
  <c r="M335" i="12"/>
  <c r="AO335" i="12"/>
  <c r="O335" i="12"/>
  <c r="D339" i="6"/>
  <c r="BI337" i="6"/>
  <c r="CI337" i="6"/>
  <c r="CF337" i="6"/>
  <c r="AV337" i="6"/>
  <c r="AU337" i="6"/>
  <c r="BT337" i="6"/>
  <c r="AR337" i="6"/>
  <c r="CC337" i="6"/>
  <c r="BQ337" i="6"/>
  <c r="BH337" i="6"/>
  <c r="BK337" i="6"/>
  <c r="BX337" i="6"/>
  <c r="AS337" i="6"/>
  <c r="CK337" i="6"/>
  <c r="V332" i="12"/>
  <c r="U332" i="12"/>
  <c r="T332" i="12"/>
  <c r="K339" i="12" l="1"/>
  <c r="Y335" i="12"/>
  <c r="BX338" i="6"/>
  <c r="AS338" i="6"/>
  <c r="AR338" i="6"/>
  <c r="AN338" i="6"/>
  <c r="AP338" i="6"/>
  <c r="AZ338" i="6"/>
  <c r="AQ338" i="6"/>
  <c r="BA338" i="6"/>
  <c r="AW338" i="6"/>
  <c r="AO338" i="6"/>
  <c r="AL338" i="6"/>
  <c r="AM338" i="6"/>
  <c r="AU338" i="6"/>
  <c r="AV338" i="6"/>
  <c r="G339" i="6"/>
  <c r="M339" i="6"/>
  <c r="BV339" i="6" s="1"/>
  <c r="BY339" i="6"/>
  <c r="CM339" i="6"/>
  <c r="BD339" i="6"/>
  <c r="BW339" i="6"/>
  <c r="CH339" i="6"/>
  <c r="BC339" i="6"/>
  <c r="BL339" i="6"/>
  <c r="CD339" i="6"/>
  <c r="H339" i="6"/>
  <c r="T339" i="5" s="1"/>
  <c r="CK339" i="6"/>
  <c r="BO339" i="6"/>
  <c r="BG339" i="6"/>
  <c r="AQ339" i="6"/>
  <c r="BP339" i="6"/>
  <c r="CC339" i="6"/>
  <c r="BF339" i="6"/>
  <c r="CJ339" i="6"/>
  <c r="AZ339" i="6"/>
  <c r="BQ339" i="6"/>
  <c r="CF339" i="6"/>
  <c r="BM339" i="6"/>
  <c r="N339" i="6"/>
  <c r="CE339" i="6"/>
  <c r="CI339" i="6"/>
  <c r="AU339" i="6"/>
  <c r="BR339" i="6"/>
  <c r="BN339" i="6"/>
  <c r="I337" i="12"/>
  <c r="AM337" i="5"/>
  <c r="L337" i="5"/>
  <c r="Z337" i="5"/>
  <c r="I337" i="5"/>
  <c r="AC337" i="5"/>
  <c r="CA338" i="6"/>
  <c r="CC338" i="6"/>
  <c r="F340" i="6"/>
  <c r="E340" i="12"/>
  <c r="D335" i="12"/>
  <c r="E335" i="6"/>
  <c r="C336" i="6"/>
  <c r="O336" i="5"/>
  <c r="D340" i="6"/>
  <c r="J340" i="12"/>
  <c r="L340" i="12"/>
  <c r="N335" i="12"/>
  <c r="C336" i="12"/>
  <c r="M336" i="12"/>
  <c r="AO336" i="12"/>
  <c r="O336" i="12"/>
  <c r="G338" i="12"/>
  <c r="X338" i="5"/>
  <c r="BP338" i="6"/>
  <c r="AX338" i="6"/>
  <c r="CJ338" i="6"/>
  <c r="AY338" i="6"/>
  <c r="AT338" i="6"/>
  <c r="BR338" i="6"/>
  <c r="W335" i="12"/>
  <c r="X335" i="12"/>
  <c r="T334" i="12"/>
  <c r="U334" i="12"/>
  <c r="V334" i="12"/>
  <c r="AB336" i="5"/>
  <c r="AA336" i="5"/>
  <c r="AE341" i="5"/>
  <c r="G341" i="5"/>
  <c r="K341" i="5"/>
  <c r="H341" i="5"/>
  <c r="A341" i="12"/>
  <c r="J341" i="5"/>
  <c r="B341" i="5"/>
  <c r="N341" i="5"/>
  <c r="C342" i="5"/>
  <c r="E341" i="5"/>
  <c r="F341" i="5"/>
  <c r="W341" i="5"/>
  <c r="H341" i="12" s="1"/>
  <c r="AD341" i="5"/>
  <c r="D341" i="5"/>
  <c r="B341" i="12" s="1"/>
  <c r="R341" i="5"/>
  <c r="B341" i="6"/>
  <c r="AT339" i="6" l="1"/>
  <c r="CA339" i="6"/>
  <c r="CB339" i="6"/>
  <c r="BH339" i="6"/>
  <c r="K340" i="12"/>
  <c r="N336" i="12"/>
  <c r="E336" i="6"/>
  <c r="D336" i="12"/>
  <c r="G339" i="12"/>
  <c r="X339" i="5"/>
  <c r="AJ339" i="6" s="1"/>
  <c r="AS339" i="6"/>
  <c r="AL339" i="6"/>
  <c r="BX339" i="6"/>
  <c r="BZ339" i="6"/>
  <c r="BI339" i="6"/>
  <c r="J341" i="12"/>
  <c r="L341" i="12"/>
  <c r="F341" i="6"/>
  <c r="E341" i="12"/>
  <c r="A342" i="12"/>
  <c r="D342" i="5"/>
  <c r="B342" i="12" s="1"/>
  <c r="AD342" i="5"/>
  <c r="R342" i="5"/>
  <c r="N342" i="5"/>
  <c r="E342" i="5"/>
  <c r="AE342" i="5"/>
  <c r="C343" i="5"/>
  <c r="F342" i="5"/>
  <c r="W342" i="5"/>
  <c r="H342" i="12" s="1"/>
  <c r="J342" i="5"/>
  <c r="B342" i="6"/>
  <c r="H342" i="5"/>
  <c r="K342" i="5"/>
  <c r="B342" i="5"/>
  <c r="G342" i="5"/>
  <c r="Y336" i="12"/>
  <c r="C337" i="12"/>
  <c r="AO337" i="12"/>
  <c r="Y337" i="12" s="1"/>
  <c r="O337" i="12"/>
  <c r="M337" i="12"/>
  <c r="AP339" i="6"/>
  <c r="AW339" i="6"/>
  <c r="AX339" i="6"/>
  <c r="AK339" i="6"/>
  <c r="AV339" i="6"/>
  <c r="CL339" i="6"/>
  <c r="AN339" i="6"/>
  <c r="CG339" i="6"/>
  <c r="D341" i="6"/>
  <c r="AM338" i="5"/>
  <c r="L338" i="5"/>
  <c r="I338" i="12"/>
  <c r="Z338" i="5"/>
  <c r="I338" i="5"/>
  <c r="AC338" i="5"/>
  <c r="AJ338" i="6"/>
  <c r="AB337" i="5"/>
  <c r="AA337" i="5"/>
  <c r="AM339" i="6"/>
  <c r="AR339" i="6"/>
  <c r="BT339" i="6"/>
  <c r="BJ339" i="6"/>
  <c r="BE339" i="6"/>
  <c r="U335" i="12"/>
  <c r="T335" i="12"/>
  <c r="V335" i="12"/>
  <c r="M340" i="6"/>
  <c r="BY340" i="6" s="1"/>
  <c r="G340" i="6"/>
  <c r="N340" i="6"/>
  <c r="CL340" i="6"/>
  <c r="H340" i="6"/>
  <c r="T340" i="5" s="1"/>
  <c r="CC340" i="6"/>
  <c r="C337" i="6"/>
  <c r="O337" i="5"/>
  <c r="AY339" i="6"/>
  <c r="AO339" i="6"/>
  <c r="BS339" i="6"/>
  <c r="BA339" i="6"/>
  <c r="BK339" i="6"/>
  <c r="BG340" i="6" l="1"/>
  <c r="CK340" i="6"/>
  <c r="CB340" i="6"/>
  <c r="BW340" i="6"/>
  <c r="BF340" i="6"/>
  <c r="AO340" i="6"/>
  <c r="CJ340" i="6"/>
  <c r="BP340" i="6"/>
  <c r="CG340" i="6"/>
  <c r="BX340" i="6"/>
  <c r="BE340" i="6"/>
  <c r="BN340" i="6"/>
  <c r="BK340" i="6"/>
  <c r="CH340" i="6"/>
  <c r="BM340" i="6"/>
  <c r="CD340" i="6"/>
  <c r="BC340" i="6"/>
  <c r="CA340" i="6"/>
  <c r="BV340" i="6"/>
  <c r="BJ340" i="6"/>
  <c r="BZ340" i="6"/>
  <c r="BR340" i="6"/>
  <c r="BQ340" i="6"/>
  <c r="BO340" i="6"/>
  <c r="BI340" i="6"/>
  <c r="BH340" i="6"/>
  <c r="BD340" i="6"/>
  <c r="CM340" i="6"/>
  <c r="CI340" i="6"/>
  <c r="CF340" i="6"/>
  <c r="BS340" i="6"/>
  <c r="BT340" i="6"/>
  <c r="CE340" i="6"/>
  <c r="BL340" i="6"/>
  <c r="K341" i="12"/>
  <c r="AL340" i="6"/>
  <c r="AX340" i="6"/>
  <c r="AW340" i="6"/>
  <c r="AV340" i="6"/>
  <c r="AM340" i="6"/>
  <c r="AR340" i="6"/>
  <c r="BA340" i="6"/>
  <c r="AK340" i="6"/>
  <c r="AP340" i="6"/>
  <c r="AY340" i="6"/>
  <c r="W336" i="12"/>
  <c r="X336" i="12"/>
  <c r="G340" i="12"/>
  <c r="X340" i="5"/>
  <c r="AZ340" i="6"/>
  <c r="AS340" i="6"/>
  <c r="AU340" i="6"/>
  <c r="AB338" i="5"/>
  <c r="AA338" i="5"/>
  <c r="N337" i="12"/>
  <c r="D337" i="12"/>
  <c r="E337" i="6"/>
  <c r="AT340" i="6"/>
  <c r="AN340" i="6"/>
  <c r="C338" i="12"/>
  <c r="M338" i="12"/>
  <c r="AO338" i="12"/>
  <c r="O338" i="12"/>
  <c r="G341" i="6"/>
  <c r="M341" i="6"/>
  <c r="BQ341" i="6" s="1"/>
  <c r="H341" i="6"/>
  <c r="T341" i="5" s="1"/>
  <c r="BM341" i="6"/>
  <c r="BX341" i="6"/>
  <c r="BP341" i="6"/>
  <c r="BZ341" i="6"/>
  <c r="CH341" i="6"/>
  <c r="CL341" i="6"/>
  <c r="N341" i="6"/>
  <c r="CC341" i="6"/>
  <c r="CE341" i="6"/>
  <c r="BJ341" i="6"/>
  <c r="BG341" i="6"/>
  <c r="AQ341" i="6"/>
  <c r="BL341" i="6"/>
  <c r="AM341" i="6"/>
  <c r="BT341" i="6"/>
  <c r="AS341" i="6"/>
  <c r="BC341" i="6"/>
  <c r="BD341" i="6"/>
  <c r="X337" i="12"/>
  <c r="W337" i="12"/>
  <c r="G343" i="5"/>
  <c r="K343" i="5"/>
  <c r="H343" i="5"/>
  <c r="N343" i="5"/>
  <c r="AE343" i="5"/>
  <c r="E343" i="5"/>
  <c r="AD343" i="5"/>
  <c r="B343" i="5"/>
  <c r="C344" i="5"/>
  <c r="R343" i="5"/>
  <c r="A343" i="12"/>
  <c r="F343" i="5"/>
  <c r="J343" i="5"/>
  <c r="D343" i="5"/>
  <c r="B343" i="12" s="1"/>
  <c r="W343" i="5"/>
  <c r="H343" i="12" s="1"/>
  <c r="B343" i="6"/>
  <c r="D342" i="6"/>
  <c r="L342" i="12"/>
  <c r="J342" i="12"/>
  <c r="AQ340" i="6"/>
  <c r="C338" i="6"/>
  <c r="O338" i="5"/>
  <c r="E342" i="12"/>
  <c r="F342" i="6"/>
  <c r="AM339" i="5"/>
  <c r="I339" i="12"/>
  <c r="L339" i="5"/>
  <c r="Z339" i="5"/>
  <c r="I339" i="5"/>
  <c r="AC339" i="5"/>
  <c r="AR341" i="6" l="1"/>
  <c r="AO341" i="6"/>
  <c r="AU341" i="6"/>
  <c r="AW341" i="6"/>
  <c r="BF341" i="6"/>
  <c r="BH341" i="6"/>
  <c r="AT341" i="6"/>
  <c r="BO341" i="6"/>
  <c r="BV341" i="6"/>
  <c r="BY341" i="6"/>
  <c r="BE341" i="6"/>
  <c r="BI341" i="6"/>
  <c r="BW341" i="6"/>
  <c r="AL341" i="6"/>
  <c r="AP341" i="6"/>
  <c r="BK341" i="6"/>
  <c r="AZ341" i="6"/>
  <c r="BN341" i="6"/>
  <c r="CA341" i="6"/>
  <c r="AX341" i="6"/>
  <c r="AY341" i="6"/>
  <c r="AK341" i="6"/>
  <c r="CK341" i="6"/>
  <c r="AN341" i="6"/>
  <c r="CB341" i="6"/>
  <c r="BS341" i="6"/>
  <c r="BA341" i="6"/>
  <c r="BR341" i="6"/>
  <c r="CF341" i="6"/>
  <c r="CM341" i="6"/>
  <c r="CD341" i="6"/>
  <c r="CI341" i="6"/>
  <c r="CG341" i="6"/>
  <c r="AV341" i="6"/>
  <c r="CJ341" i="6"/>
  <c r="N338" i="12"/>
  <c r="K342" i="12"/>
  <c r="C339" i="6"/>
  <c r="O339" i="5"/>
  <c r="C339" i="12"/>
  <c r="AO339" i="12"/>
  <c r="M339" i="12"/>
  <c r="O339" i="12"/>
  <c r="D338" i="12"/>
  <c r="E338" i="6"/>
  <c r="H342" i="6"/>
  <c r="T342" i="5" s="1"/>
  <c r="M342" i="6"/>
  <c r="BH342" i="6" s="1"/>
  <c r="AR342" i="6"/>
  <c r="N342" i="6"/>
  <c r="BY342" i="6"/>
  <c r="AW342" i="6"/>
  <c r="BS342" i="6"/>
  <c r="BR342" i="6"/>
  <c r="BQ342" i="6"/>
  <c r="CB342" i="6"/>
  <c r="CG342" i="6"/>
  <c r="G342" i="6"/>
  <c r="BG342" i="6"/>
  <c r="BA342" i="6"/>
  <c r="L343" i="12"/>
  <c r="J343" i="12"/>
  <c r="D343" i="6"/>
  <c r="V337" i="12"/>
  <c r="U337" i="12"/>
  <c r="T337" i="12"/>
  <c r="G341" i="12"/>
  <c r="X341" i="5"/>
  <c r="F343" i="6"/>
  <c r="E343" i="12"/>
  <c r="Y338" i="12"/>
  <c r="V336" i="12"/>
  <c r="T336" i="12"/>
  <c r="U336" i="12"/>
  <c r="AB339" i="5"/>
  <c r="AA339" i="5"/>
  <c r="K344" i="5"/>
  <c r="A344" i="12"/>
  <c r="J344" i="5"/>
  <c r="AD344" i="5"/>
  <c r="H344" i="5"/>
  <c r="B344" i="5"/>
  <c r="R344" i="5"/>
  <c r="C345" i="5"/>
  <c r="B344" i="6"/>
  <c r="F344" i="5"/>
  <c r="E344" i="5"/>
  <c r="AE344" i="5"/>
  <c r="N344" i="5"/>
  <c r="D344" i="5"/>
  <c r="B344" i="12" s="1"/>
  <c r="W344" i="5"/>
  <c r="H344" i="12" s="1"/>
  <c r="G344" i="5"/>
  <c r="I340" i="12"/>
  <c r="L340" i="5"/>
  <c r="AM340" i="5"/>
  <c r="Z340" i="5"/>
  <c r="I340" i="5"/>
  <c r="AC340" i="5"/>
  <c r="AJ340" i="6"/>
  <c r="AQ342" i="6" l="1"/>
  <c r="AV342" i="6"/>
  <c r="CJ342" i="6"/>
  <c r="BL342" i="6"/>
  <c r="BJ342" i="6"/>
  <c r="BP342" i="6"/>
  <c r="AN342" i="6"/>
  <c r="AZ342" i="6"/>
  <c r="CA342" i="6"/>
  <c r="K343" i="12"/>
  <c r="AM342" i="6"/>
  <c r="N339" i="12"/>
  <c r="AX342" i="6"/>
  <c r="BK342" i="6"/>
  <c r="BE342" i="6"/>
  <c r="CE342" i="6"/>
  <c r="CF342" i="6"/>
  <c r="BM342" i="6"/>
  <c r="BZ342" i="6"/>
  <c r="CL342" i="6"/>
  <c r="AO342" i="6"/>
  <c r="BO342" i="6"/>
  <c r="CD342" i="6"/>
  <c r="AS342" i="6"/>
  <c r="CC342" i="6"/>
  <c r="W338" i="12"/>
  <c r="X338" i="12"/>
  <c r="AB340" i="5"/>
  <c r="AA340" i="5"/>
  <c r="F345" i="5"/>
  <c r="C346" i="5"/>
  <c r="K345" i="5"/>
  <c r="N345" i="5"/>
  <c r="A345" i="12"/>
  <c r="E345" i="5"/>
  <c r="R345" i="5"/>
  <c r="D345" i="5"/>
  <c r="B345" i="12" s="1"/>
  <c r="AE345" i="5"/>
  <c r="B345" i="5"/>
  <c r="W345" i="5"/>
  <c r="H345" i="12" s="1"/>
  <c r="AD345" i="5"/>
  <c r="H345" i="5"/>
  <c r="G345" i="5"/>
  <c r="B345" i="6"/>
  <c r="J345" i="5"/>
  <c r="J344" i="12"/>
  <c r="L344" i="12"/>
  <c r="M343" i="6"/>
  <c r="CA343" i="6" s="1"/>
  <c r="H343" i="6"/>
  <c r="T343" i="5" s="1"/>
  <c r="BG343" i="6"/>
  <c r="AK343" i="6"/>
  <c r="G343" i="6"/>
  <c r="CD343" i="6"/>
  <c r="N343" i="6"/>
  <c r="BY343" i="6"/>
  <c r="AT342" i="6"/>
  <c r="CH342" i="6"/>
  <c r="BI342" i="6"/>
  <c r="BF342" i="6"/>
  <c r="Y339" i="12"/>
  <c r="E344" i="12"/>
  <c r="F344" i="6"/>
  <c r="BN342" i="6"/>
  <c r="BT342" i="6"/>
  <c r="AU342" i="6"/>
  <c r="BD342" i="6"/>
  <c r="CM342" i="6"/>
  <c r="CI342" i="6"/>
  <c r="C340" i="6"/>
  <c r="O340" i="5"/>
  <c r="D344" i="6"/>
  <c r="AM341" i="5"/>
  <c r="L341" i="5"/>
  <c r="I341" i="12"/>
  <c r="Z341" i="5"/>
  <c r="I341" i="5"/>
  <c r="AC341" i="5"/>
  <c r="AJ341" i="6"/>
  <c r="BV342" i="6"/>
  <c r="BW342" i="6"/>
  <c r="AL342" i="6"/>
  <c r="AY342" i="6"/>
  <c r="AP342" i="6"/>
  <c r="BX342" i="6"/>
  <c r="E339" i="6"/>
  <c r="D339" i="12"/>
  <c r="C340" i="12"/>
  <c r="AO340" i="12"/>
  <c r="O340" i="12"/>
  <c r="M340" i="12"/>
  <c r="CK342" i="6"/>
  <c r="AK342" i="6"/>
  <c r="BC342" i="6"/>
  <c r="G342" i="12"/>
  <c r="X342" i="5"/>
  <c r="AJ342" i="6" s="1"/>
  <c r="BK343" i="6" l="1"/>
  <c r="BT343" i="6"/>
  <c r="CH343" i="6"/>
  <c r="AZ343" i="6"/>
  <c r="BL343" i="6"/>
  <c r="CB343" i="6"/>
  <c r="BC343" i="6"/>
  <c r="CE343" i="6"/>
  <c r="BA343" i="6"/>
  <c r="CG343" i="6"/>
  <c r="BV343" i="6"/>
  <c r="AP343" i="6"/>
  <c r="BZ343" i="6"/>
  <c r="BO343" i="6"/>
  <c r="BX343" i="6"/>
  <c r="BN343" i="6"/>
  <c r="CM343" i="6"/>
  <c r="AX343" i="6"/>
  <c r="AL343" i="6"/>
  <c r="AT343" i="6"/>
  <c r="AW343" i="6"/>
  <c r="AO343" i="6"/>
  <c r="AU343" i="6"/>
  <c r="AS343" i="6"/>
  <c r="AR343" i="6"/>
  <c r="BH343" i="6"/>
  <c r="BW343" i="6"/>
  <c r="AV343" i="6"/>
  <c r="BJ343" i="6"/>
  <c r="BS343" i="6"/>
  <c r="CJ343" i="6"/>
  <c r="BD343" i="6"/>
  <c r="BI343" i="6"/>
  <c r="CF343" i="6"/>
  <c r="CC343" i="6"/>
  <c r="Y340" i="12"/>
  <c r="D345" i="6"/>
  <c r="I342" i="12"/>
  <c r="L342" i="5"/>
  <c r="AM342" i="5"/>
  <c r="Z342" i="5"/>
  <c r="I342" i="5"/>
  <c r="AC342" i="5"/>
  <c r="AA341" i="5"/>
  <c r="AB341" i="5"/>
  <c r="N344" i="6"/>
  <c r="G344" i="6"/>
  <c r="M344" i="6"/>
  <c r="BF344" i="6" s="1"/>
  <c r="H344" i="6"/>
  <c r="T344" i="5" s="1"/>
  <c r="BL344" i="6"/>
  <c r="W339" i="12"/>
  <c r="X339" i="12"/>
  <c r="CL343" i="6"/>
  <c r="AN343" i="6"/>
  <c r="BE343" i="6"/>
  <c r="CK343" i="6"/>
  <c r="BP343" i="6"/>
  <c r="AY343" i="6"/>
  <c r="AM343" i="6"/>
  <c r="BF343" i="6"/>
  <c r="BR343" i="6"/>
  <c r="BQ343" i="6"/>
  <c r="F345" i="6"/>
  <c r="E345" i="12"/>
  <c r="C341" i="12"/>
  <c r="O341" i="12"/>
  <c r="M341" i="12"/>
  <c r="AO341" i="12"/>
  <c r="BM343" i="6"/>
  <c r="CI343" i="6"/>
  <c r="K344" i="12"/>
  <c r="E346" i="5"/>
  <c r="J346" i="5"/>
  <c r="G346" i="5"/>
  <c r="AE346" i="5"/>
  <c r="A346" i="12"/>
  <c r="B346" i="5"/>
  <c r="H346" i="5"/>
  <c r="K346" i="5"/>
  <c r="D346" i="5"/>
  <c r="B346" i="12" s="1"/>
  <c r="F346" i="5"/>
  <c r="C347" i="5"/>
  <c r="R346" i="5"/>
  <c r="W346" i="5"/>
  <c r="H346" i="12" s="1"/>
  <c r="B346" i="6"/>
  <c r="N346" i="5"/>
  <c r="AD346" i="5"/>
  <c r="N340" i="12"/>
  <c r="C341" i="6"/>
  <c r="O341" i="5"/>
  <c r="D340" i="12"/>
  <c r="E340" i="6"/>
  <c r="AQ343" i="6"/>
  <c r="G343" i="12"/>
  <c r="X343" i="5"/>
  <c r="L345" i="12"/>
  <c r="J345" i="12"/>
  <c r="U338" i="12"/>
  <c r="T338" i="12"/>
  <c r="V338" i="12"/>
  <c r="BV344" i="6" l="1"/>
  <c r="CE344" i="6"/>
  <c r="CA344" i="6"/>
  <c r="BY344" i="6"/>
  <c r="N341" i="12"/>
  <c r="BP344" i="6"/>
  <c r="CB344" i="6"/>
  <c r="BO344" i="6"/>
  <c r="AU344" i="6"/>
  <c r="CL344" i="6"/>
  <c r="BG344" i="6"/>
  <c r="BN344" i="6"/>
  <c r="BE344" i="6"/>
  <c r="G344" i="12"/>
  <c r="X344" i="5"/>
  <c r="AN344" i="6"/>
  <c r="CD344" i="6"/>
  <c r="BJ344" i="6"/>
  <c r="BR344" i="6"/>
  <c r="CM344" i="6"/>
  <c r="BK344" i="6"/>
  <c r="CI344" i="6"/>
  <c r="BH344" i="6"/>
  <c r="CF344" i="6"/>
  <c r="C342" i="12"/>
  <c r="M342" i="12"/>
  <c r="O342" i="12"/>
  <c r="AO342" i="12"/>
  <c r="Y342" i="12" s="1"/>
  <c r="I343" i="12"/>
  <c r="L343" i="5"/>
  <c r="AM343" i="5"/>
  <c r="I343" i="5"/>
  <c r="Z343" i="5"/>
  <c r="AC343" i="5"/>
  <c r="AJ343" i="6"/>
  <c r="D341" i="12"/>
  <c r="E341" i="6"/>
  <c r="Y341" i="12"/>
  <c r="BA344" i="6"/>
  <c r="AT344" i="6"/>
  <c r="AJ344" i="6"/>
  <c r="BD344" i="6"/>
  <c r="AO344" i="6"/>
  <c r="BS344" i="6"/>
  <c r="AX344" i="6"/>
  <c r="AS344" i="6"/>
  <c r="AR344" i="6"/>
  <c r="CC344" i="6"/>
  <c r="AM344" i="6"/>
  <c r="AY344" i="6"/>
  <c r="AB342" i="5"/>
  <c r="AA342" i="5"/>
  <c r="K345" i="12"/>
  <c r="D346" i="6"/>
  <c r="F346" i="6"/>
  <c r="E346" i="12"/>
  <c r="T339" i="12"/>
  <c r="U339" i="12"/>
  <c r="V339" i="12"/>
  <c r="AP344" i="6"/>
  <c r="AW344" i="6"/>
  <c r="CG344" i="6"/>
  <c r="BW344" i="6"/>
  <c r="CH344" i="6"/>
  <c r="CK344" i="6"/>
  <c r="AV344" i="6"/>
  <c r="AK344" i="6"/>
  <c r="BI344" i="6"/>
  <c r="BZ344" i="6"/>
  <c r="BX344" i="6"/>
  <c r="BQ344" i="6"/>
  <c r="M345" i="6"/>
  <c r="BD345" i="6" s="1"/>
  <c r="N345" i="6"/>
  <c r="G345" i="6"/>
  <c r="BM345" i="6"/>
  <c r="H345" i="6"/>
  <c r="T345" i="5" s="1"/>
  <c r="A347" i="12"/>
  <c r="B347" i="6"/>
  <c r="E347" i="5"/>
  <c r="K347" i="5"/>
  <c r="J347" i="5"/>
  <c r="H347" i="5"/>
  <c r="R347" i="5"/>
  <c r="AE347" i="5"/>
  <c r="N347" i="5"/>
  <c r="B347" i="5"/>
  <c r="W347" i="5"/>
  <c r="H347" i="12" s="1"/>
  <c r="AD347" i="5"/>
  <c r="D347" i="5"/>
  <c r="B347" i="12" s="1"/>
  <c r="G347" i="5"/>
  <c r="C348" i="5"/>
  <c r="F347" i="5"/>
  <c r="L346" i="12"/>
  <c r="J346" i="12"/>
  <c r="AL344" i="6"/>
  <c r="AZ344" i="6"/>
  <c r="BT344" i="6"/>
  <c r="BM344" i="6"/>
  <c r="BC344" i="6"/>
  <c r="CJ344" i="6"/>
  <c r="AQ344" i="6"/>
  <c r="C342" i="6"/>
  <c r="O342" i="5"/>
  <c r="X340" i="12"/>
  <c r="W340" i="12"/>
  <c r="CC345" i="6" l="1"/>
  <c r="BE345" i="6"/>
  <c r="CD345" i="6"/>
  <c r="CA345" i="6"/>
  <c r="BI345" i="6"/>
  <c r="CJ345" i="6"/>
  <c r="BR345" i="6"/>
  <c r="BX345" i="6"/>
  <c r="BW345" i="6"/>
  <c r="CE345" i="6"/>
  <c r="BK345" i="6"/>
  <c r="BV345" i="6"/>
  <c r="CL345" i="6"/>
  <c r="BY345" i="6"/>
  <c r="BF345" i="6"/>
  <c r="BO345" i="6"/>
  <c r="BT345" i="6"/>
  <c r="CH345" i="6"/>
  <c r="BL345" i="6"/>
  <c r="CF345" i="6"/>
  <c r="CI345" i="6"/>
  <c r="CB345" i="6"/>
  <c r="CG345" i="6"/>
  <c r="BS345" i="6"/>
  <c r="BC345" i="6"/>
  <c r="BN345" i="6"/>
  <c r="BG345" i="6"/>
  <c r="K346" i="12"/>
  <c r="D347" i="6"/>
  <c r="AU345" i="6"/>
  <c r="AS345" i="6"/>
  <c r="AY345" i="6"/>
  <c r="AM345" i="6"/>
  <c r="AO345" i="6"/>
  <c r="AK345" i="6"/>
  <c r="AA343" i="5"/>
  <c r="AB343" i="5"/>
  <c r="C343" i="12"/>
  <c r="O343" i="12"/>
  <c r="AO343" i="12"/>
  <c r="M343" i="12"/>
  <c r="G348" i="5"/>
  <c r="N348" i="5"/>
  <c r="H348" i="5"/>
  <c r="C349" i="5"/>
  <c r="J348" i="5"/>
  <c r="R348" i="5"/>
  <c r="AE348" i="5"/>
  <c r="AD348" i="5"/>
  <c r="B348" i="6"/>
  <c r="A348" i="12"/>
  <c r="D348" i="5"/>
  <c r="B348" i="12" s="1"/>
  <c r="F348" i="5"/>
  <c r="K348" i="5"/>
  <c r="W348" i="5"/>
  <c r="H348" i="12" s="1"/>
  <c r="B348" i="5"/>
  <c r="E348" i="5"/>
  <c r="AQ345" i="6"/>
  <c r="BA345" i="6"/>
  <c r="AZ345" i="6"/>
  <c r="AW345" i="6"/>
  <c r="AL345" i="6"/>
  <c r="BZ345" i="6"/>
  <c r="X342" i="12"/>
  <c r="W342" i="12"/>
  <c r="D342" i="12"/>
  <c r="E342" i="6"/>
  <c r="T340" i="12"/>
  <c r="V340" i="12"/>
  <c r="U340" i="12"/>
  <c r="L347" i="12"/>
  <c r="J347" i="12"/>
  <c r="AT345" i="6"/>
  <c r="BQ345" i="6"/>
  <c r="BH345" i="6"/>
  <c r="AR345" i="6"/>
  <c r="BP345" i="6"/>
  <c r="CK345" i="6"/>
  <c r="BJ345" i="6"/>
  <c r="CM345" i="6"/>
  <c r="N342" i="12"/>
  <c r="AM344" i="5"/>
  <c r="L344" i="5"/>
  <c r="I344" i="12"/>
  <c r="I344" i="5"/>
  <c r="Z344" i="5"/>
  <c r="AC344" i="5"/>
  <c r="E347" i="12"/>
  <c r="F347" i="6"/>
  <c r="G345" i="12"/>
  <c r="X345" i="5"/>
  <c r="AN345" i="6"/>
  <c r="AP345" i="6"/>
  <c r="AX345" i="6"/>
  <c r="AV345" i="6"/>
  <c r="G346" i="6"/>
  <c r="N346" i="6"/>
  <c r="M346" i="6"/>
  <c r="BN346" i="6" s="1"/>
  <c r="H346" i="6"/>
  <c r="T346" i="5" s="1"/>
  <c r="BV346" i="6"/>
  <c r="W341" i="12"/>
  <c r="X341" i="12"/>
  <c r="C343" i="6"/>
  <c r="O343" i="5"/>
  <c r="K347" i="12" l="1"/>
  <c r="BM346" i="6"/>
  <c r="CI346" i="6"/>
  <c r="BZ346" i="6"/>
  <c r="CL346" i="6"/>
  <c r="CJ346" i="6"/>
  <c r="BO346" i="6"/>
  <c r="CA346" i="6"/>
  <c r="BJ346" i="6"/>
  <c r="CC346" i="6"/>
  <c r="BL346" i="6"/>
  <c r="CE346" i="6"/>
  <c r="BC346" i="6"/>
  <c r="BY346" i="6"/>
  <c r="AS346" i="6"/>
  <c r="BH346" i="6"/>
  <c r="BE346" i="6"/>
  <c r="BG346" i="6"/>
  <c r="BP346" i="6"/>
  <c r="G346" i="12"/>
  <c r="X346" i="5"/>
  <c r="AJ346" i="6" s="1"/>
  <c r="BR346" i="6"/>
  <c r="BD346" i="6"/>
  <c r="CM346" i="6"/>
  <c r="BS346" i="6"/>
  <c r="AY346" i="6"/>
  <c r="CK346" i="6"/>
  <c r="BI346" i="6"/>
  <c r="AX346" i="6"/>
  <c r="BF346" i="6"/>
  <c r="F348" i="6"/>
  <c r="E348" i="12"/>
  <c r="D348" i="6"/>
  <c r="N343" i="12"/>
  <c r="E343" i="6"/>
  <c r="D343" i="12"/>
  <c r="AP346" i="6"/>
  <c r="C344" i="12"/>
  <c r="O344" i="12"/>
  <c r="M344" i="12"/>
  <c r="AO344" i="12"/>
  <c r="L348" i="12"/>
  <c r="J348" i="12"/>
  <c r="AL346" i="6"/>
  <c r="AZ346" i="6"/>
  <c r="AR346" i="6"/>
  <c r="AQ346" i="6"/>
  <c r="BT346" i="6"/>
  <c r="BX346" i="6"/>
  <c r="CB346" i="6"/>
  <c r="CH346" i="6"/>
  <c r="AN346" i="6"/>
  <c r="AO346" i="6"/>
  <c r="CF346" i="6"/>
  <c r="BW346" i="6"/>
  <c r="CG346" i="6"/>
  <c r="BK346" i="6"/>
  <c r="AM345" i="5"/>
  <c r="I345" i="12"/>
  <c r="L345" i="5"/>
  <c r="Z345" i="5"/>
  <c r="I345" i="5"/>
  <c r="AC345" i="5"/>
  <c r="C344" i="6"/>
  <c r="O344" i="5"/>
  <c r="H349" i="5"/>
  <c r="K349" i="5"/>
  <c r="F349" i="5"/>
  <c r="E349" i="5"/>
  <c r="R349" i="5"/>
  <c r="D349" i="5"/>
  <c r="B349" i="12" s="1"/>
  <c r="B349" i="6"/>
  <c r="AE349" i="5"/>
  <c r="G349" i="5"/>
  <c r="J349" i="5"/>
  <c r="N349" i="5"/>
  <c r="A349" i="12"/>
  <c r="W349" i="5"/>
  <c r="H349" i="12" s="1"/>
  <c r="C350" i="5"/>
  <c r="AD349" i="5"/>
  <c r="B349" i="5"/>
  <c r="G347" i="6"/>
  <c r="H347" i="6"/>
  <c r="T347" i="5" s="1"/>
  <c r="N347" i="6"/>
  <c r="M347" i="6"/>
  <c r="CA347" i="6" s="1"/>
  <c r="CG347" i="6"/>
  <c r="T341" i="12"/>
  <c r="U341" i="12"/>
  <c r="V341" i="12"/>
  <c r="AV346" i="6"/>
  <c r="AT346" i="6"/>
  <c r="BA346" i="6"/>
  <c r="CD346" i="6"/>
  <c r="AW346" i="6"/>
  <c r="AM346" i="6"/>
  <c r="AU346" i="6"/>
  <c r="BQ346" i="6"/>
  <c r="AK346" i="6"/>
  <c r="AB344" i="5"/>
  <c r="AA344" i="5"/>
  <c r="V342" i="12"/>
  <c r="U342" i="12"/>
  <c r="T342" i="12"/>
  <c r="AJ345" i="6"/>
  <c r="Y343" i="12"/>
  <c r="BO347" i="6" l="1"/>
  <c r="CM347" i="6"/>
  <c r="BG347" i="6"/>
  <c r="CB347" i="6"/>
  <c r="BI347" i="6"/>
  <c r="AR347" i="6"/>
  <c r="CJ347" i="6"/>
  <c r="BD347" i="6"/>
  <c r="BL347" i="6"/>
  <c r="BK347" i="6"/>
  <c r="BT347" i="6"/>
  <c r="CL347" i="6"/>
  <c r="BV347" i="6"/>
  <c r="BN347" i="6"/>
  <c r="AX347" i="6"/>
  <c r="BF347" i="6"/>
  <c r="BR347" i="6"/>
  <c r="CK347" i="6"/>
  <c r="BY347" i="6"/>
  <c r="BM347" i="6"/>
  <c r="BH347" i="6"/>
  <c r="BP347" i="6"/>
  <c r="CF347" i="6"/>
  <c r="CE347" i="6"/>
  <c r="BX347" i="6"/>
  <c r="BJ347" i="6"/>
  <c r="Y344" i="12"/>
  <c r="X344" i="12" s="1"/>
  <c r="G347" i="12"/>
  <c r="X347" i="5"/>
  <c r="AJ347" i="6" s="1"/>
  <c r="E349" i="12"/>
  <c r="F349" i="6"/>
  <c r="W344" i="12"/>
  <c r="AL347" i="6"/>
  <c r="AP347" i="6"/>
  <c r="BA347" i="6"/>
  <c r="AZ347" i="6"/>
  <c r="BQ347" i="6"/>
  <c r="AV347" i="6"/>
  <c r="J349" i="12"/>
  <c r="L349" i="12"/>
  <c r="D344" i="12"/>
  <c r="E344" i="6"/>
  <c r="AA345" i="5"/>
  <c r="AB345" i="5"/>
  <c r="G348" i="6"/>
  <c r="N348" i="6"/>
  <c r="H348" i="6"/>
  <c r="T348" i="5" s="1"/>
  <c r="M348" i="6"/>
  <c r="BO348" i="6" s="1"/>
  <c r="AM347" i="6"/>
  <c r="W343" i="12"/>
  <c r="X343" i="12"/>
  <c r="AT347" i="6"/>
  <c r="AU347" i="6"/>
  <c r="AW347" i="6"/>
  <c r="AO347" i="6"/>
  <c r="AY347" i="6"/>
  <c r="BZ347" i="6"/>
  <c r="BS347" i="6"/>
  <c r="CD347" i="6"/>
  <c r="AN347" i="6"/>
  <c r="F350" i="5"/>
  <c r="A350" i="12"/>
  <c r="H350" i="5"/>
  <c r="B350" i="6"/>
  <c r="AD350" i="5"/>
  <c r="K350" i="5"/>
  <c r="E350" i="5"/>
  <c r="R350" i="5"/>
  <c r="G350" i="5"/>
  <c r="J350" i="5"/>
  <c r="N350" i="5"/>
  <c r="W350" i="5"/>
  <c r="H350" i="12" s="1"/>
  <c r="B350" i="5"/>
  <c r="C351" i="5" s="1"/>
  <c r="D350" i="5"/>
  <c r="B350" i="12" s="1"/>
  <c r="AE350" i="5"/>
  <c r="D349" i="6"/>
  <c r="C345" i="6"/>
  <c r="O345" i="5"/>
  <c r="K348" i="12"/>
  <c r="N344" i="12"/>
  <c r="L346" i="5"/>
  <c r="I346" i="12"/>
  <c r="AM346" i="5"/>
  <c r="Z346" i="5"/>
  <c r="I346" i="5"/>
  <c r="AC346" i="5"/>
  <c r="AK347" i="6"/>
  <c r="AS347" i="6"/>
  <c r="BC347" i="6"/>
  <c r="AQ347" i="6"/>
  <c r="CI347" i="6"/>
  <c r="BW347" i="6"/>
  <c r="CC347" i="6"/>
  <c r="CH347" i="6"/>
  <c r="BE347" i="6"/>
  <c r="C345" i="12"/>
  <c r="O345" i="12"/>
  <c r="M345" i="12"/>
  <c r="AO345" i="12"/>
  <c r="AT348" i="6" l="1"/>
  <c r="K349" i="12"/>
  <c r="BJ348" i="6"/>
  <c r="BM348" i="6"/>
  <c r="Y345" i="12"/>
  <c r="BS348" i="6"/>
  <c r="CL348" i="6"/>
  <c r="AE351" i="5"/>
  <c r="G351" i="5"/>
  <c r="W351" i="5"/>
  <c r="H351" i="12" s="1"/>
  <c r="H351" i="5"/>
  <c r="E351" i="5"/>
  <c r="B351" i="5"/>
  <c r="AD351" i="5"/>
  <c r="C352" i="5"/>
  <c r="F351" i="5"/>
  <c r="A351" i="12"/>
  <c r="B351" i="6"/>
  <c r="N351" i="5"/>
  <c r="I351" i="5"/>
  <c r="N345" i="12"/>
  <c r="C346" i="6"/>
  <c r="O346" i="5"/>
  <c r="BT348" i="6"/>
  <c r="CF348" i="6"/>
  <c r="BE348" i="6"/>
  <c r="AS348" i="6"/>
  <c r="CI348" i="6"/>
  <c r="CJ348" i="6"/>
  <c r="BG348" i="6"/>
  <c r="BK348" i="6"/>
  <c r="AP348" i="6"/>
  <c r="BY348" i="6"/>
  <c r="CD348" i="6"/>
  <c r="BV348" i="6"/>
  <c r="BI348" i="6"/>
  <c r="BH348" i="6"/>
  <c r="W345" i="12"/>
  <c r="X345" i="12"/>
  <c r="AA346" i="5"/>
  <c r="AB346" i="5"/>
  <c r="BW348" i="6"/>
  <c r="BN348" i="6"/>
  <c r="AW348" i="6"/>
  <c r="CH348" i="6"/>
  <c r="BQ348" i="6"/>
  <c r="BL348" i="6"/>
  <c r="CG348" i="6"/>
  <c r="BF348" i="6"/>
  <c r="AN348" i="6"/>
  <c r="CC348" i="6"/>
  <c r="AQ348" i="6"/>
  <c r="CM348" i="6"/>
  <c r="AK348" i="6"/>
  <c r="BD348" i="6"/>
  <c r="M349" i="6"/>
  <c r="CB349" i="6" s="1"/>
  <c r="N349" i="6"/>
  <c r="H349" i="6"/>
  <c r="T349" i="5" s="1"/>
  <c r="G349" i="6"/>
  <c r="D350" i="6"/>
  <c r="F350" i="6"/>
  <c r="E350" i="12"/>
  <c r="BA348" i="6"/>
  <c r="AR348" i="6"/>
  <c r="G348" i="12"/>
  <c r="X348" i="5"/>
  <c r="AM348" i="6"/>
  <c r="BX348" i="6"/>
  <c r="BZ348" i="6"/>
  <c r="CB348" i="6"/>
  <c r="BP348" i="6"/>
  <c r="AJ348" i="6"/>
  <c r="AL348" i="6"/>
  <c r="AO348" i="6"/>
  <c r="I347" i="12"/>
  <c r="L347" i="5"/>
  <c r="AM347" i="5"/>
  <c r="Z347" i="5"/>
  <c r="I347" i="5"/>
  <c r="AC347" i="5"/>
  <c r="C346" i="12"/>
  <c r="AO346" i="12"/>
  <c r="M346" i="12"/>
  <c r="O346" i="12"/>
  <c r="D345" i="12"/>
  <c r="E345" i="6"/>
  <c r="L350" i="12"/>
  <c r="J350" i="12"/>
  <c r="T343" i="12"/>
  <c r="V343" i="12"/>
  <c r="U343" i="12"/>
  <c r="AY348" i="6"/>
  <c r="CA348" i="6"/>
  <c r="AU348" i="6"/>
  <c r="BC348" i="6"/>
  <c r="BR348" i="6"/>
  <c r="AZ348" i="6"/>
  <c r="CE348" i="6"/>
  <c r="CK348" i="6"/>
  <c r="AX348" i="6"/>
  <c r="AV348" i="6"/>
  <c r="T344" i="12"/>
  <c r="U344" i="12"/>
  <c r="V344" i="12"/>
  <c r="BP349" i="6" l="1"/>
  <c r="CD349" i="6"/>
  <c r="BL349" i="6"/>
  <c r="BI349" i="6"/>
  <c r="CM349" i="6"/>
  <c r="CC349" i="6"/>
  <c r="CK349" i="6"/>
  <c r="K350" i="12"/>
  <c r="CI349" i="6"/>
  <c r="BV349" i="6"/>
  <c r="AS349" i="6"/>
  <c r="BM349" i="6"/>
  <c r="AV349" i="6"/>
  <c r="BK349" i="6"/>
  <c r="CA349" i="6"/>
  <c r="BF349" i="6"/>
  <c r="BW349" i="6"/>
  <c r="BE349" i="6"/>
  <c r="BH349" i="6"/>
  <c r="AN349" i="6"/>
  <c r="BA349" i="6"/>
  <c r="BQ349" i="6"/>
  <c r="BO349" i="6"/>
  <c r="BD349" i="6"/>
  <c r="BN349" i="6"/>
  <c r="CH349" i="6"/>
  <c r="BC349" i="6"/>
  <c r="BX349" i="6"/>
  <c r="BJ349" i="6"/>
  <c r="CL349" i="6"/>
  <c r="CF349" i="6"/>
  <c r="BZ349" i="6"/>
  <c r="BS349" i="6"/>
  <c r="AM349" i="6"/>
  <c r="BY349" i="6"/>
  <c r="BG349" i="6"/>
  <c r="CJ349" i="6"/>
  <c r="BT349" i="6"/>
  <c r="CG349" i="6"/>
  <c r="BR349" i="6"/>
  <c r="CE349" i="6"/>
  <c r="AW349" i="6"/>
  <c r="AR349" i="6"/>
  <c r="N346" i="12"/>
  <c r="C347" i="6"/>
  <c r="O347" i="5"/>
  <c r="AT349" i="6"/>
  <c r="D346" i="12"/>
  <c r="E346" i="6"/>
  <c r="D351" i="6"/>
  <c r="D352" i="5"/>
  <c r="B352" i="12" s="1"/>
  <c r="AE352" i="5"/>
  <c r="G352" i="5"/>
  <c r="N352" i="5"/>
  <c r="H352" i="5"/>
  <c r="C353" i="5"/>
  <c r="AD352" i="5"/>
  <c r="J352" i="5"/>
  <c r="A352" i="12"/>
  <c r="E352" i="5"/>
  <c r="K352" i="5"/>
  <c r="R352" i="5"/>
  <c r="B352" i="6"/>
  <c r="W352" i="5"/>
  <c r="H352" i="12" s="1"/>
  <c r="B352" i="5"/>
  <c r="F352" i="5"/>
  <c r="C347" i="12"/>
  <c r="O347" i="12"/>
  <c r="AO347" i="12"/>
  <c r="M347" i="12"/>
  <c r="N350" i="6"/>
  <c r="G350" i="6"/>
  <c r="M350" i="6"/>
  <c r="CH350" i="6" s="1"/>
  <c r="H350" i="6"/>
  <c r="T350" i="5" s="1"/>
  <c r="G349" i="12"/>
  <c r="X349" i="5"/>
  <c r="AY349" i="6"/>
  <c r="AQ349" i="6"/>
  <c r="AX349" i="6"/>
  <c r="AP349" i="6"/>
  <c r="T345" i="12"/>
  <c r="U345" i="12"/>
  <c r="V345" i="12"/>
  <c r="Y346" i="12"/>
  <c r="AB347" i="5"/>
  <c r="AA347" i="5"/>
  <c r="L348" i="5"/>
  <c r="I348" i="12"/>
  <c r="AM348" i="5"/>
  <c r="I348" i="5"/>
  <c r="Z348" i="5"/>
  <c r="AC348" i="5"/>
  <c r="AZ349" i="6"/>
  <c r="AO349" i="6"/>
  <c r="AK349" i="6"/>
  <c r="AU349" i="6"/>
  <c r="AL349" i="6"/>
  <c r="Y347" i="12" l="1"/>
  <c r="AS350" i="6"/>
  <c r="AM350" i="6"/>
  <c r="AU350" i="6"/>
  <c r="AP350" i="6"/>
  <c r="CM350" i="6"/>
  <c r="AW350" i="6"/>
  <c r="CA350" i="6"/>
  <c r="AT350" i="6"/>
  <c r="AV350" i="6"/>
  <c r="BK350" i="6"/>
  <c r="BX350" i="6"/>
  <c r="BP350" i="6"/>
  <c r="CB350" i="6"/>
  <c r="BM350" i="6"/>
  <c r="BI350" i="6"/>
  <c r="CF350" i="6"/>
  <c r="AX350" i="6"/>
  <c r="BN350" i="6"/>
  <c r="BY350" i="6"/>
  <c r="X347" i="12"/>
  <c r="W347" i="12"/>
  <c r="D352" i="6"/>
  <c r="C348" i="6"/>
  <c r="O348" i="5"/>
  <c r="I349" i="12"/>
  <c r="L349" i="5"/>
  <c r="AM349" i="5"/>
  <c r="Z349" i="5"/>
  <c r="I349" i="5"/>
  <c r="AC349" i="5"/>
  <c r="AJ349" i="6"/>
  <c r="BF350" i="6"/>
  <c r="CC350" i="6"/>
  <c r="CE350" i="6"/>
  <c r="BC350" i="6"/>
  <c r="AL350" i="6"/>
  <c r="BL350" i="6"/>
  <c r="BT350" i="6"/>
  <c r="CL350" i="6"/>
  <c r="BV350" i="6"/>
  <c r="BA350" i="6"/>
  <c r="BO350" i="6"/>
  <c r="CD350" i="6"/>
  <c r="AK350" i="6"/>
  <c r="BH350" i="6"/>
  <c r="CJ350" i="6"/>
  <c r="N347" i="12"/>
  <c r="C348" i="12"/>
  <c r="AO348" i="12"/>
  <c r="O348" i="12"/>
  <c r="M348" i="12"/>
  <c r="W346" i="12"/>
  <c r="X346" i="12"/>
  <c r="AJ350" i="6"/>
  <c r="AQ350" i="6"/>
  <c r="G350" i="12"/>
  <c r="X350" i="5"/>
  <c r="BJ350" i="6"/>
  <c r="AN350" i="6"/>
  <c r="BD350" i="6"/>
  <c r="BS350" i="6"/>
  <c r="BQ350" i="6"/>
  <c r="BG350" i="6"/>
  <c r="CG350" i="6"/>
  <c r="BE350" i="6"/>
  <c r="CI350" i="6"/>
  <c r="BW350" i="6"/>
  <c r="CK350" i="6"/>
  <c r="L352" i="12"/>
  <c r="J352" i="12"/>
  <c r="D353" i="5"/>
  <c r="B353" i="12" s="1"/>
  <c r="K353" i="5"/>
  <c r="B353" i="5"/>
  <c r="H353" i="5"/>
  <c r="W353" i="5"/>
  <c r="H353" i="12" s="1"/>
  <c r="F353" i="5"/>
  <c r="J353" i="5"/>
  <c r="N353" i="5"/>
  <c r="R353" i="5"/>
  <c r="A353" i="12"/>
  <c r="B353" i="6"/>
  <c r="G353" i="5"/>
  <c r="AD353" i="5"/>
  <c r="C354" i="5"/>
  <c r="E353" i="5"/>
  <c r="AE353" i="5"/>
  <c r="CA351" i="6"/>
  <c r="CK351" i="6"/>
  <c r="CI351" i="6"/>
  <c r="BP351" i="6"/>
  <c r="BQ351" i="6"/>
  <c r="BJ351" i="6"/>
  <c r="CM351" i="6"/>
  <c r="BT351" i="6"/>
  <c r="BN351" i="6"/>
  <c r="BF351" i="6"/>
  <c r="CF351" i="6"/>
  <c r="CB351" i="6"/>
  <c r="BO351" i="6"/>
  <c r="BV351" i="6"/>
  <c r="CD351" i="6"/>
  <c r="CJ351" i="6"/>
  <c r="BD351" i="6"/>
  <c r="BG351" i="6"/>
  <c r="BI351" i="6"/>
  <c r="BZ351" i="6"/>
  <c r="CL351" i="6"/>
  <c r="BS351" i="6"/>
  <c r="BC351" i="6"/>
  <c r="M351" i="6"/>
  <c r="BH351" i="6"/>
  <c r="G351" i="6"/>
  <c r="BR351" i="6"/>
  <c r="N351" i="6"/>
  <c r="CH351" i="6"/>
  <c r="BK351" i="6"/>
  <c r="BM351" i="6"/>
  <c r="BX351" i="6"/>
  <c r="BL351" i="6"/>
  <c r="CG351" i="6"/>
  <c r="BW351" i="6"/>
  <c r="BE351" i="6"/>
  <c r="CC351" i="6"/>
  <c r="H351" i="6"/>
  <c r="T351" i="5" s="1"/>
  <c r="G351" i="12" s="1"/>
  <c r="BY351" i="6"/>
  <c r="CE351" i="6"/>
  <c r="D347" i="12"/>
  <c r="E347" i="6"/>
  <c r="AA348" i="5"/>
  <c r="AB348" i="5"/>
  <c r="AR350" i="6"/>
  <c r="BR350" i="6"/>
  <c r="AY350" i="6"/>
  <c r="BZ350" i="6"/>
  <c r="AZ350" i="6"/>
  <c r="AO350" i="6"/>
  <c r="E352" i="12"/>
  <c r="F352" i="6"/>
  <c r="AN351" i="6" l="1"/>
  <c r="AQ351" i="6"/>
  <c r="AO351" i="6"/>
  <c r="N348" i="12"/>
  <c r="AW351" i="6"/>
  <c r="K352" i="12"/>
  <c r="BA351" i="6"/>
  <c r="AX351" i="6"/>
  <c r="AS351" i="6"/>
  <c r="AZ351" i="6"/>
  <c r="U346" i="12"/>
  <c r="T346" i="12"/>
  <c r="V346" i="12"/>
  <c r="AA349" i="5"/>
  <c r="AB349" i="5"/>
  <c r="D348" i="12"/>
  <c r="E348" i="6"/>
  <c r="V347" i="12"/>
  <c r="U347" i="12"/>
  <c r="T347" i="12"/>
  <c r="AR351" i="6"/>
  <c r="AV351" i="6"/>
  <c r="AY351" i="6"/>
  <c r="AT351" i="6"/>
  <c r="AU351" i="6"/>
  <c r="AM351" i="6"/>
  <c r="AJ351" i="6"/>
  <c r="F353" i="6"/>
  <c r="E353" i="12"/>
  <c r="F354" i="5"/>
  <c r="B354" i="6"/>
  <c r="E354" i="5"/>
  <c r="AE354" i="5"/>
  <c r="W354" i="5"/>
  <c r="H354" i="12" s="1"/>
  <c r="N354" i="5"/>
  <c r="H354" i="5"/>
  <c r="D354" i="5"/>
  <c r="B354" i="12" s="1"/>
  <c r="A354" i="12"/>
  <c r="G354" i="5"/>
  <c r="R354" i="5"/>
  <c r="C355" i="5"/>
  <c r="J354" i="5"/>
  <c r="B354" i="5"/>
  <c r="K354" i="5"/>
  <c r="AD354" i="5"/>
  <c r="D353" i="6"/>
  <c r="C349" i="6"/>
  <c r="O349" i="5"/>
  <c r="AP351" i="6"/>
  <c r="AL351" i="6"/>
  <c r="AK351" i="6"/>
  <c r="L353" i="12"/>
  <c r="K353" i="12" s="1"/>
  <c r="J353" i="12"/>
  <c r="I350" i="12"/>
  <c r="L350" i="5"/>
  <c r="AM350" i="5"/>
  <c r="Z350" i="5"/>
  <c r="I350" i="5"/>
  <c r="AC350" i="5"/>
  <c r="Y348" i="12"/>
  <c r="C349" i="12"/>
  <c r="AO349" i="12"/>
  <c r="M349" i="12"/>
  <c r="O349" i="12"/>
  <c r="N349" i="12" s="1"/>
  <c r="N352" i="6"/>
  <c r="G352" i="6"/>
  <c r="H352" i="6"/>
  <c r="T352" i="5" s="1"/>
  <c r="M352" i="6"/>
  <c r="BX352" i="6" s="1"/>
  <c r="CK352" i="6" l="1"/>
  <c r="BD352" i="6"/>
  <c r="AX352" i="6"/>
  <c r="BS352" i="6"/>
  <c r="CJ352" i="6"/>
  <c r="CM352" i="6"/>
  <c r="AK352" i="6"/>
  <c r="BZ352" i="6"/>
  <c r="AR352" i="6"/>
  <c r="AW352" i="6"/>
  <c r="BN352" i="6"/>
  <c r="BK352" i="6"/>
  <c r="W348" i="12"/>
  <c r="X348" i="12"/>
  <c r="CI352" i="6"/>
  <c r="BY352" i="6"/>
  <c r="AL352" i="6"/>
  <c r="CL352" i="6"/>
  <c r="CB352" i="6"/>
  <c r="BW352" i="6"/>
  <c r="BV352" i="6"/>
  <c r="BI352" i="6"/>
  <c r="BO352" i="6"/>
  <c r="CA352" i="6"/>
  <c r="C350" i="6"/>
  <c r="O350" i="5"/>
  <c r="E354" i="12"/>
  <c r="F354" i="6"/>
  <c r="G352" i="12"/>
  <c r="X352" i="5"/>
  <c r="AO352" i="6"/>
  <c r="AS352" i="6"/>
  <c r="AP352" i="6"/>
  <c r="BP352" i="6"/>
  <c r="CF352" i="6"/>
  <c r="AJ352" i="6"/>
  <c r="BM352" i="6"/>
  <c r="BH352" i="6"/>
  <c r="BJ352" i="6"/>
  <c r="AY352" i="6"/>
  <c r="AV352" i="6"/>
  <c r="BR352" i="6"/>
  <c r="CH352" i="6"/>
  <c r="BA352" i="6"/>
  <c r="CD352" i="6"/>
  <c r="BT352" i="6"/>
  <c r="BQ352" i="6"/>
  <c r="AU352" i="6"/>
  <c r="AN352" i="6"/>
  <c r="BE352" i="6"/>
  <c r="AM352" i="6"/>
  <c r="BC352" i="6"/>
  <c r="BL352" i="6"/>
  <c r="CC352" i="6"/>
  <c r="AQ352" i="6"/>
  <c r="CG352" i="6"/>
  <c r="CE352" i="6"/>
  <c r="BF352" i="6"/>
  <c r="Y349" i="12"/>
  <c r="C350" i="12"/>
  <c r="M350" i="12"/>
  <c r="O350" i="12"/>
  <c r="AO350" i="12"/>
  <c r="N353" i="6"/>
  <c r="H353" i="6"/>
  <c r="T353" i="5" s="1"/>
  <c r="M353" i="6"/>
  <c r="BD353" i="6" s="1"/>
  <c r="CC353" i="6"/>
  <c r="BQ353" i="6"/>
  <c r="BO353" i="6"/>
  <c r="BK353" i="6"/>
  <c r="G353" i="6"/>
  <c r="BZ353" i="6"/>
  <c r="BT353" i="6"/>
  <c r="BL353" i="6"/>
  <c r="BJ353" i="6"/>
  <c r="AP353" i="6"/>
  <c r="CK353" i="6"/>
  <c r="BG353" i="6"/>
  <c r="B355" i="6"/>
  <c r="N355" i="5"/>
  <c r="H355" i="5"/>
  <c r="C356" i="5"/>
  <c r="F355" i="5"/>
  <c r="G355" i="5"/>
  <c r="AD355" i="5"/>
  <c r="K355" i="5"/>
  <c r="E355" i="5"/>
  <c r="R355" i="5"/>
  <c r="D355" i="5"/>
  <c r="B355" i="12" s="1"/>
  <c r="B355" i="5"/>
  <c r="AE355" i="5"/>
  <c r="W355" i="5"/>
  <c r="H355" i="12" s="1"/>
  <c r="J355" i="5"/>
  <c r="A355" i="12"/>
  <c r="BG352" i="6"/>
  <c r="AT352" i="6"/>
  <c r="AZ352" i="6"/>
  <c r="AA350" i="5"/>
  <c r="AB350" i="5"/>
  <c r="D349" i="12"/>
  <c r="E349" i="6"/>
  <c r="L354" i="12"/>
  <c r="J354" i="12"/>
  <c r="D354" i="6"/>
  <c r="AO353" i="6" l="1"/>
  <c r="AK353" i="6"/>
  <c r="AU353" i="6"/>
  <c r="AS353" i="6"/>
  <c r="CG353" i="6"/>
  <c r="BF353" i="6"/>
  <c r="CA353" i="6"/>
  <c r="CM353" i="6"/>
  <c r="Y350" i="12"/>
  <c r="X350" i="12" s="1"/>
  <c r="AX353" i="6"/>
  <c r="BA353" i="6"/>
  <c r="AL353" i="6"/>
  <c r="AV353" i="6"/>
  <c r="CE353" i="6"/>
  <c r="F355" i="6"/>
  <c r="E355" i="12"/>
  <c r="BC353" i="6"/>
  <c r="BP353" i="6"/>
  <c r="BV353" i="6"/>
  <c r="D355" i="6"/>
  <c r="BN353" i="6"/>
  <c r="BM353" i="6"/>
  <c r="BE353" i="6"/>
  <c r="CH353" i="6"/>
  <c r="AZ353" i="6"/>
  <c r="CI353" i="6"/>
  <c r="BW353" i="6"/>
  <c r="AM353" i="6"/>
  <c r="BY353" i="6"/>
  <c r="AR353" i="6"/>
  <c r="W349" i="12"/>
  <c r="X349" i="12"/>
  <c r="K354" i="12"/>
  <c r="N354" i="6"/>
  <c r="BR354" i="6"/>
  <c r="M354" i="6"/>
  <c r="BW354" i="6" s="1"/>
  <c r="BF354" i="6"/>
  <c r="CJ354" i="6"/>
  <c r="BM354" i="6"/>
  <c r="CD354" i="6"/>
  <c r="BG354" i="6"/>
  <c r="BJ354" i="6"/>
  <c r="CA354" i="6"/>
  <c r="BC354" i="6"/>
  <c r="BT354" i="6"/>
  <c r="BK354" i="6"/>
  <c r="H354" i="6"/>
  <c r="T354" i="5" s="1"/>
  <c r="G354" i="6"/>
  <c r="CH354" i="6"/>
  <c r="BV354" i="6"/>
  <c r="BL354" i="6"/>
  <c r="AP354" i="6"/>
  <c r="CI354" i="6"/>
  <c r="CK354" i="6"/>
  <c r="BN354" i="6"/>
  <c r="BY354" i="6"/>
  <c r="CM354" i="6"/>
  <c r="CC354" i="6"/>
  <c r="BH354" i="6"/>
  <c r="J355" i="12"/>
  <c r="L355" i="12"/>
  <c r="CD353" i="6"/>
  <c r="CB353" i="6"/>
  <c r="CL353" i="6"/>
  <c r="AY353" i="6"/>
  <c r="BS353" i="6"/>
  <c r="AW353" i="6"/>
  <c r="BX353" i="6"/>
  <c r="AN353" i="6"/>
  <c r="BH353" i="6"/>
  <c r="BR353" i="6"/>
  <c r="AT353" i="6"/>
  <c r="BI353" i="6"/>
  <c r="AQ353" i="6"/>
  <c r="CJ353" i="6"/>
  <c r="N350" i="12"/>
  <c r="L352" i="5"/>
  <c r="I352" i="12"/>
  <c r="AM352" i="5"/>
  <c r="Z352" i="5"/>
  <c r="I352" i="5"/>
  <c r="AC352" i="5"/>
  <c r="D350" i="12"/>
  <c r="E350" i="6"/>
  <c r="B356" i="6"/>
  <c r="E356" i="5"/>
  <c r="A356" i="12"/>
  <c r="K356" i="5"/>
  <c r="R356" i="5"/>
  <c r="D356" i="5"/>
  <c r="B356" i="12" s="1"/>
  <c r="AD356" i="5"/>
  <c r="G356" i="5"/>
  <c r="W356" i="5"/>
  <c r="H356" i="12" s="1"/>
  <c r="N356" i="5"/>
  <c r="H356" i="5"/>
  <c r="F356" i="5"/>
  <c r="AE356" i="5"/>
  <c r="C357" i="5"/>
  <c r="B356" i="5"/>
  <c r="J356" i="5"/>
  <c r="CF353" i="6"/>
  <c r="G353" i="12"/>
  <c r="X353" i="5"/>
  <c r="AJ353" i="6" s="1"/>
  <c r="V348" i="12"/>
  <c r="T348" i="12"/>
  <c r="U348" i="12"/>
  <c r="BP354" i="6" l="1"/>
  <c r="BZ354" i="6"/>
  <c r="AK354" i="6"/>
  <c r="AQ354" i="6"/>
  <c r="CF354" i="6"/>
  <c r="W350" i="12"/>
  <c r="CB354" i="6"/>
  <c r="CL354" i="6"/>
  <c r="AN354" i="6"/>
  <c r="AV354" i="6"/>
  <c r="BS354" i="6"/>
  <c r="CE354" i="6"/>
  <c r="BO354" i="6"/>
  <c r="K355" i="12"/>
  <c r="BQ354" i="6"/>
  <c r="BD354" i="6"/>
  <c r="CG354" i="6"/>
  <c r="BI354" i="6"/>
  <c r="BX354" i="6"/>
  <c r="F356" i="6"/>
  <c r="E356" i="12"/>
  <c r="AD357" i="5"/>
  <c r="B357" i="5"/>
  <c r="H357" i="5"/>
  <c r="J357" i="5"/>
  <c r="C358" i="5"/>
  <c r="D357" i="5"/>
  <c r="B357" i="12" s="1"/>
  <c r="W357" i="5"/>
  <c r="H357" i="12" s="1"/>
  <c r="E357" i="5"/>
  <c r="F357" i="5"/>
  <c r="K357" i="5"/>
  <c r="B357" i="6"/>
  <c r="A357" i="12"/>
  <c r="N357" i="5"/>
  <c r="G357" i="5"/>
  <c r="AE357" i="5"/>
  <c r="R357" i="5"/>
  <c r="J356" i="12"/>
  <c r="L356" i="12"/>
  <c r="K356" i="12" s="1"/>
  <c r="AX354" i="6"/>
  <c r="AM354" i="6"/>
  <c r="AW354" i="6"/>
  <c r="AL354" i="6"/>
  <c r="BA354" i="6"/>
  <c r="BE354" i="6"/>
  <c r="T350" i="12"/>
  <c r="U350" i="12"/>
  <c r="V350" i="12"/>
  <c r="C352" i="12"/>
  <c r="O352" i="12"/>
  <c r="AO352" i="12"/>
  <c r="M352" i="12"/>
  <c r="AU354" i="6"/>
  <c r="C352" i="6"/>
  <c r="O352" i="5"/>
  <c r="G354" i="12"/>
  <c r="X354" i="5"/>
  <c r="AZ354" i="6"/>
  <c r="AT354" i="6"/>
  <c r="G355" i="6"/>
  <c r="H355" i="6"/>
  <c r="T355" i="5" s="1"/>
  <c r="M355" i="6"/>
  <c r="BY355" i="6" s="1"/>
  <c r="N355" i="6"/>
  <c r="BQ355" i="6"/>
  <c r="BJ355" i="6"/>
  <c r="BZ355" i="6"/>
  <c r="BW355" i="6"/>
  <c r="CC355" i="6"/>
  <c r="BT355" i="6"/>
  <c r="BN355" i="6"/>
  <c r="BV355" i="6"/>
  <c r="BI355" i="6"/>
  <c r="CI355" i="6"/>
  <c r="AY355" i="6"/>
  <c r="BE355" i="6"/>
  <c r="AM353" i="5"/>
  <c r="I353" i="12"/>
  <c r="L353" i="5"/>
  <c r="Z353" i="5"/>
  <c r="I353" i="5"/>
  <c r="AC353" i="5"/>
  <c r="D356" i="6"/>
  <c r="AA352" i="5"/>
  <c r="AB352" i="5"/>
  <c r="AR354" i="6"/>
  <c r="AY354" i="6"/>
  <c r="AS354" i="6"/>
  <c r="AO354" i="6"/>
  <c r="V349" i="12"/>
  <c r="U349" i="12"/>
  <c r="T349" i="12"/>
  <c r="AP355" i="6" l="1"/>
  <c r="AX355" i="6"/>
  <c r="AL355" i="6"/>
  <c r="AB353" i="5"/>
  <c r="AA353" i="5"/>
  <c r="CB355" i="6"/>
  <c r="AV355" i="6"/>
  <c r="AM355" i="6"/>
  <c r="BX355" i="6"/>
  <c r="CM355" i="6"/>
  <c r="BS355" i="6"/>
  <c r="AS355" i="6"/>
  <c r="CE355" i="6"/>
  <c r="BC355" i="6"/>
  <c r="CJ355" i="6"/>
  <c r="L354" i="5"/>
  <c r="I354" i="12"/>
  <c r="AM354" i="5"/>
  <c r="Z354" i="5"/>
  <c r="I354" i="5"/>
  <c r="AC354" i="5"/>
  <c r="AJ354" i="6"/>
  <c r="N352" i="12"/>
  <c r="D357" i="6"/>
  <c r="L357" i="12"/>
  <c r="J357" i="12"/>
  <c r="J358" i="5"/>
  <c r="AD358" i="5"/>
  <c r="G358" i="5"/>
  <c r="A358" i="12"/>
  <c r="F358" i="5"/>
  <c r="AE358" i="5"/>
  <c r="D358" i="5"/>
  <c r="B358" i="12" s="1"/>
  <c r="W358" i="5"/>
  <c r="H358" i="12" s="1"/>
  <c r="N358" i="5"/>
  <c r="H358" i="5"/>
  <c r="E358" i="5"/>
  <c r="B358" i="5"/>
  <c r="B358" i="6"/>
  <c r="R358" i="5"/>
  <c r="C359" i="5"/>
  <c r="K358" i="5"/>
  <c r="C353" i="6"/>
  <c r="O353" i="5"/>
  <c r="BK355" i="6"/>
  <c r="BD355" i="6"/>
  <c r="CH355" i="6"/>
  <c r="AN355" i="6"/>
  <c r="BR355" i="6"/>
  <c r="CD355" i="6"/>
  <c r="AT355" i="6"/>
  <c r="BG355" i="6"/>
  <c r="F357" i="6"/>
  <c r="E357" i="12"/>
  <c r="C353" i="12"/>
  <c r="M353" i="12"/>
  <c r="AO353" i="12"/>
  <c r="O353" i="12"/>
  <c r="AQ355" i="6"/>
  <c r="CG355" i="6"/>
  <c r="AZ355" i="6"/>
  <c r="BO355" i="6"/>
  <c r="BF355" i="6"/>
  <c r="CF355" i="6"/>
  <c r="AU355" i="6"/>
  <c r="AK355" i="6"/>
  <c r="BL355" i="6"/>
  <c r="D352" i="12"/>
  <c r="E352" i="6"/>
  <c r="CF356" i="6"/>
  <c r="N356" i="6"/>
  <c r="BS356" i="6"/>
  <c r="H356" i="6"/>
  <c r="T356" i="5" s="1"/>
  <c r="BI356" i="6"/>
  <c r="M356" i="6"/>
  <c r="BV356" i="6" s="1"/>
  <c r="BK356" i="6"/>
  <c r="CE356" i="6"/>
  <c r="BX356" i="6"/>
  <c r="CK356" i="6"/>
  <c r="G356" i="6"/>
  <c r="AV356" i="6"/>
  <c r="BE356" i="6"/>
  <c r="AO355" i="6"/>
  <c r="AW355" i="6"/>
  <c r="BH355" i="6"/>
  <c r="CL355" i="6"/>
  <c r="AR355" i="6"/>
  <c r="CK355" i="6"/>
  <c r="CA355" i="6"/>
  <c r="BM355" i="6"/>
  <c r="G355" i="12"/>
  <c r="X355" i="5"/>
  <c r="BA355" i="6"/>
  <c r="BP355" i="6"/>
  <c r="Y352" i="12"/>
  <c r="AU356" i="6" l="1"/>
  <c r="BG356" i="6"/>
  <c r="BP356" i="6"/>
  <c r="BF356" i="6"/>
  <c r="CH356" i="6"/>
  <c r="BD356" i="6"/>
  <c r="BL356" i="6"/>
  <c r="BC356" i="6"/>
  <c r="CG356" i="6"/>
  <c r="BZ356" i="6"/>
  <c r="BO356" i="6"/>
  <c r="CB356" i="6"/>
  <c r="BJ356" i="6"/>
  <c r="CI356" i="6"/>
  <c r="BW356" i="6"/>
  <c r="Y353" i="12"/>
  <c r="K357" i="12"/>
  <c r="AP356" i="6"/>
  <c r="AL356" i="6"/>
  <c r="AQ356" i="6"/>
  <c r="AX356" i="6"/>
  <c r="CJ356" i="6"/>
  <c r="BH356" i="6"/>
  <c r="BN356" i="6"/>
  <c r="BQ356" i="6"/>
  <c r="AS356" i="6"/>
  <c r="CA356" i="6"/>
  <c r="BY356" i="6"/>
  <c r="CL356" i="6"/>
  <c r="L355" i="5"/>
  <c r="AM355" i="5"/>
  <c r="I355" i="12"/>
  <c r="Z355" i="5"/>
  <c r="I355" i="5"/>
  <c r="AC355" i="5"/>
  <c r="W352" i="12"/>
  <c r="X352" i="12"/>
  <c r="G356" i="12"/>
  <c r="X356" i="5"/>
  <c r="E353" i="6"/>
  <c r="D353" i="12"/>
  <c r="L358" i="12"/>
  <c r="K358" i="12" s="1"/>
  <c r="J358" i="12"/>
  <c r="AZ356" i="6"/>
  <c r="B359" i="6"/>
  <c r="E359" i="5"/>
  <c r="J359" i="5"/>
  <c r="AD359" i="5"/>
  <c r="W359" i="5"/>
  <c r="H359" i="12" s="1"/>
  <c r="R359" i="5"/>
  <c r="A359" i="12"/>
  <c r="H359" i="5"/>
  <c r="AE359" i="5"/>
  <c r="F359" i="5"/>
  <c r="K359" i="5"/>
  <c r="N359" i="5"/>
  <c r="B359" i="5"/>
  <c r="C360" i="5" s="1"/>
  <c r="G359" i="5"/>
  <c r="D359" i="5"/>
  <c r="B359" i="12" s="1"/>
  <c r="D358" i="6"/>
  <c r="C354" i="12"/>
  <c r="AO354" i="12"/>
  <c r="Y354" i="12" s="1"/>
  <c r="M354" i="12"/>
  <c r="O354" i="12"/>
  <c r="BA356" i="6"/>
  <c r="AR356" i="6"/>
  <c r="AJ356" i="6"/>
  <c r="AK356" i="6"/>
  <c r="AN356" i="6"/>
  <c r="CM356" i="6"/>
  <c r="BT356" i="6"/>
  <c r="CD356" i="6"/>
  <c r="AW356" i="6"/>
  <c r="BM356" i="6"/>
  <c r="AT356" i="6"/>
  <c r="BR356" i="6"/>
  <c r="CC356" i="6"/>
  <c r="N353" i="12"/>
  <c r="H357" i="6"/>
  <c r="T357" i="5" s="1"/>
  <c r="N357" i="6"/>
  <c r="M357" i="6"/>
  <c r="BF357" i="6" s="1"/>
  <c r="G357" i="6"/>
  <c r="C354" i="6"/>
  <c r="O354" i="5"/>
  <c r="AJ355" i="6"/>
  <c r="AO356" i="6"/>
  <c r="AY356" i="6"/>
  <c r="AM356" i="6"/>
  <c r="X353" i="12"/>
  <c r="W353" i="12"/>
  <c r="E358" i="12"/>
  <c r="F358" i="6"/>
  <c r="AB354" i="5"/>
  <c r="AA354" i="5"/>
  <c r="BR357" i="6" l="1"/>
  <c r="BJ357" i="6"/>
  <c r="BZ357" i="6"/>
  <c r="CM357" i="6"/>
  <c r="CG357" i="6"/>
  <c r="AV357" i="6"/>
  <c r="AO357" i="6"/>
  <c r="AY357" i="6"/>
  <c r="BY357" i="6"/>
  <c r="CB357" i="6"/>
  <c r="BS357" i="6"/>
  <c r="CL357" i="6"/>
  <c r="AN357" i="6"/>
  <c r="CE357" i="6"/>
  <c r="BE357" i="6"/>
  <c r="AQ357" i="6"/>
  <c r="BO357" i="6"/>
  <c r="I360" i="5"/>
  <c r="AE360" i="5"/>
  <c r="N360" i="5"/>
  <c r="AD360" i="5"/>
  <c r="H360" i="5"/>
  <c r="A360" i="12"/>
  <c r="B360" i="6"/>
  <c r="G360" i="5"/>
  <c r="E360" i="5"/>
  <c r="F360" i="5"/>
  <c r="C361" i="5"/>
  <c r="W360" i="5"/>
  <c r="H360" i="12" s="1"/>
  <c r="B360" i="5"/>
  <c r="T353" i="12"/>
  <c r="U353" i="12"/>
  <c r="V353" i="12"/>
  <c r="AK357" i="6"/>
  <c r="BG357" i="6"/>
  <c r="BL357" i="6"/>
  <c r="CK357" i="6"/>
  <c r="CH357" i="6"/>
  <c r="BX357" i="6"/>
  <c r="CA357" i="6"/>
  <c r="BM357" i="6"/>
  <c r="AL357" i="6"/>
  <c r="AX357" i="6"/>
  <c r="BP357" i="6"/>
  <c r="BI357" i="6"/>
  <c r="BA357" i="6"/>
  <c r="N354" i="12"/>
  <c r="L359" i="12"/>
  <c r="K359" i="12" s="1"/>
  <c r="J359" i="12"/>
  <c r="AA355" i="5"/>
  <c r="AB355" i="5"/>
  <c r="BD357" i="6"/>
  <c r="BT357" i="6"/>
  <c r="AU357" i="6"/>
  <c r="CJ357" i="6"/>
  <c r="BQ357" i="6"/>
  <c r="CC357" i="6"/>
  <c r="BH357" i="6"/>
  <c r="AR357" i="6"/>
  <c r="AM357" i="6"/>
  <c r="BN357" i="6"/>
  <c r="AT357" i="6"/>
  <c r="BC357" i="6"/>
  <c r="AS357" i="6"/>
  <c r="AW357" i="6"/>
  <c r="BK357" i="6"/>
  <c r="T352" i="12"/>
  <c r="V352" i="12"/>
  <c r="U352" i="12"/>
  <c r="C355" i="12"/>
  <c r="M355" i="12"/>
  <c r="AO355" i="12"/>
  <c r="O355" i="12"/>
  <c r="N355" i="12" s="1"/>
  <c r="E354" i="6"/>
  <c r="D354" i="12"/>
  <c r="X354" i="12"/>
  <c r="W354" i="12"/>
  <c r="E359" i="12"/>
  <c r="F359" i="6"/>
  <c r="AM356" i="5"/>
  <c r="L356" i="5"/>
  <c r="I356" i="12"/>
  <c r="I356" i="5"/>
  <c r="Z356" i="5"/>
  <c r="AC356" i="5"/>
  <c r="CD357" i="6"/>
  <c r="CI357" i="6"/>
  <c r="BW357" i="6"/>
  <c r="AZ357" i="6"/>
  <c r="CF357" i="6"/>
  <c r="G357" i="12"/>
  <c r="X357" i="5"/>
  <c r="AJ357" i="6" s="1"/>
  <c r="BV357" i="6"/>
  <c r="AP357" i="6"/>
  <c r="G358" i="6"/>
  <c r="CA358" i="6"/>
  <c r="H358" i="6"/>
  <c r="T358" i="5" s="1"/>
  <c r="N358" i="6"/>
  <c r="BC358" i="6"/>
  <c r="M358" i="6"/>
  <c r="BN358" i="6" s="1"/>
  <c r="BM358" i="6"/>
  <c r="BW358" i="6"/>
  <c r="D359" i="6"/>
  <c r="C355" i="6"/>
  <c r="O355" i="5"/>
  <c r="AS358" i="6" l="1"/>
  <c r="AP358" i="6"/>
  <c r="CH358" i="6"/>
  <c r="BH358" i="6"/>
  <c r="BL358" i="6"/>
  <c r="CE358" i="6"/>
  <c r="AZ358" i="6"/>
  <c r="BD358" i="6"/>
  <c r="BR358" i="6"/>
  <c r="BZ358" i="6"/>
  <c r="AY358" i="6"/>
  <c r="AM358" i="6"/>
  <c r="CM358" i="6"/>
  <c r="AO358" i="6"/>
  <c r="C356" i="12"/>
  <c r="AO356" i="12"/>
  <c r="M356" i="12"/>
  <c r="O356" i="12"/>
  <c r="G358" i="12"/>
  <c r="X358" i="5"/>
  <c r="AJ358" i="6" s="1"/>
  <c r="AX358" i="6"/>
  <c r="CC358" i="6"/>
  <c r="J361" i="5"/>
  <c r="AD361" i="5"/>
  <c r="D361" i="5"/>
  <c r="B361" i="12" s="1"/>
  <c r="G361" i="5"/>
  <c r="W361" i="5"/>
  <c r="H361" i="12" s="1"/>
  <c r="C362" i="5"/>
  <c r="AE361" i="5"/>
  <c r="H361" i="5"/>
  <c r="B361" i="6"/>
  <c r="K361" i="5"/>
  <c r="R361" i="5"/>
  <c r="E361" i="5"/>
  <c r="B361" i="5"/>
  <c r="N361" i="5"/>
  <c r="F361" i="5"/>
  <c r="A361" i="12"/>
  <c r="D355" i="12"/>
  <c r="E355" i="6"/>
  <c r="BJ358" i="6"/>
  <c r="BX358" i="6"/>
  <c r="AN358" i="6"/>
  <c r="BA358" i="6"/>
  <c r="AU358" i="6"/>
  <c r="BS358" i="6"/>
  <c r="BO358" i="6"/>
  <c r="BY358" i="6"/>
  <c r="CI358" i="6"/>
  <c r="AT358" i="6"/>
  <c r="BG358" i="6"/>
  <c r="AL358" i="6"/>
  <c r="BV358" i="6"/>
  <c r="BP358" i="6"/>
  <c r="BT358" i="6"/>
  <c r="AM357" i="5"/>
  <c r="L357" i="5"/>
  <c r="I357" i="12"/>
  <c r="I357" i="5"/>
  <c r="Z357" i="5"/>
  <c r="AC357" i="5"/>
  <c r="AB356" i="5"/>
  <c r="AA356" i="5"/>
  <c r="Y355" i="12"/>
  <c r="D360" i="6"/>
  <c r="M359" i="6"/>
  <c r="BS359" i="6" s="1"/>
  <c r="BY359" i="6"/>
  <c r="BD359" i="6"/>
  <c r="BQ359" i="6"/>
  <c r="BR359" i="6"/>
  <c r="CK359" i="6"/>
  <c r="CB359" i="6"/>
  <c r="BI359" i="6"/>
  <c r="BO359" i="6"/>
  <c r="BF359" i="6"/>
  <c r="N359" i="6"/>
  <c r="BT359" i="6"/>
  <c r="CC359" i="6"/>
  <c r="CL359" i="6"/>
  <c r="BK359" i="6"/>
  <c r="BP359" i="6"/>
  <c r="CF359" i="6"/>
  <c r="BX359" i="6"/>
  <c r="BZ359" i="6"/>
  <c r="CA359" i="6"/>
  <c r="BM359" i="6"/>
  <c r="BG359" i="6"/>
  <c r="CD359" i="6"/>
  <c r="BL359" i="6"/>
  <c r="H359" i="6"/>
  <c r="T359" i="5" s="1"/>
  <c r="G359" i="6"/>
  <c r="CJ359" i="6"/>
  <c r="CE359" i="6"/>
  <c r="BC359" i="6"/>
  <c r="BW359" i="6"/>
  <c r="CI359" i="6"/>
  <c r="BE359" i="6"/>
  <c r="CH359" i="6"/>
  <c r="BV359" i="6"/>
  <c r="AM359" i="6"/>
  <c r="BJ359" i="6"/>
  <c r="CM359" i="6"/>
  <c r="CG359" i="6"/>
  <c r="BH359" i="6"/>
  <c r="BN359" i="6"/>
  <c r="BI358" i="6"/>
  <c r="CD358" i="6"/>
  <c r="CB358" i="6"/>
  <c r="BK358" i="6"/>
  <c r="BE358" i="6"/>
  <c r="BQ358" i="6"/>
  <c r="C356" i="6"/>
  <c r="O356" i="5"/>
  <c r="U354" i="12"/>
  <c r="T354" i="12"/>
  <c r="V354" i="12"/>
  <c r="CF358" i="6"/>
  <c r="AV358" i="6"/>
  <c r="AR358" i="6"/>
  <c r="AQ358" i="6"/>
  <c r="CL358" i="6"/>
  <c r="CG358" i="6"/>
  <c r="CK358" i="6"/>
  <c r="CJ358" i="6"/>
  <c r="AK358" i="6"/>
  <c r="BF358" i="6"/>
  <c r="AW358" i="6"/>
  <c r="AU359" i="6" l="1"/>
  <c r="AY359" i="6"/>
  <c r="AO359" i="6"/>
  <c r="AZ359" i="6"/>
  <c r="AN359" i="6"/>
  <c r="AK359" i="6"/>
  <c r="Y356" i="12"/>
  <c r="BA359" i="6"/>
  <c r="D361" i="6"/>
  <c r="G359" i="12"/>
  <c r="X359" i="5"/>
  <c r="AW359" i="6"/>
  <c r="AP359" i="6"/>
  <c r="AX359" i="6"/>
  <c r="AQ359" i="6"/>
  <c r="BH360" i="6"/>
  <c r="BX360" i="6"/>
  <c r="CB360" i="6"/>
  <c r="BO360" i="6"/>
  <c r="CC360" i="6"/>
  <c r="CI360" i="6"/>
  <c r="CE360" i="6"/>
  <c r="H360" i="6"/>
  <c r="T360" i="5" s="1"/>
  <c r="G360" i="12" s="1"/>
  <c r="CM360" i="6"/>
  <c r="M360" i="6"/>
  <c r="BL360" i="6"/>
  <c r="BV360" i="6"/>
  <c r="BW360" i="6"/>
  <c r="BN360" i="6"/>
  <c r="BM360" i="6"/>
  <c r="BI360" i="6"/>
  <c r="CG360" i="6"/>
  <c r="G360" i="6"/>
  <c r="CA360" i="6"/>
  <c r="BP360" i="6"/>
  <c r="BC360" i="6"/>
  <c r="BR360" i="6"/>
  <c r="BZ360" i="6"/>
  <c r="BY360" i="6"/>
  <c r="CF360" i="6"/>
  <c r="CL360" i="6"/>
  <c r="BS360" i="6"/>
  <c r="BJ360" i="6"/>
  <c r="BF360" i="6"/>
  <c r="BQ360" i="6"/>
  <c r="CK360" i="6"/>
  <c r="CD360" i="6"/>
  <c r="BK360" i="6"/>
  <c r="BG360" i="6"/>
  <c r="AP360" i="6"/>
  <c r="BE360" i="6"/>
  <c r="BT360" i="6"/>
  <c r="AY360" i="6"/>
  <c r="BD360" i="6"/>
  <c r="CJ360" i="6"/>
  <c r="AQ360" i="6"/>
  <c r="N360" i="6"/>
  <c r="CH360" i="6"/>
  <c r="C357" i="12"/>
  <c r="AO357" i="12"/>
  <c r="Y357" i="12" s="1"/>
  <c r="M357" i="12"/>
  <c r="O357" i="12"/>
  <c r="F361" i="6"/>
  <c r="E361" i="12"/>
  <c r="L358" i="5"/>
  <c r="AM358" i="5"/>
  <c r="I358" i="12"/>
  <c r="Z358" i="5"/>
  <c r="I358" i="5"/>
  <c r="AC358" i="5"/>
  <c r="X356" i="12"/>
  <c r="W356" i="12"/>
  <c r="D356" i="12"/>
  <c r="E356" i="6"/>
  <c r="AS359" i="6"/>
  <c r="AT359" i="6"/>
  <c r="C357" i="6"/>
  <c r="O357" i="5"/>
  <c r="J361" i="12"/>
  <c r="L361" i="12"/>
  <c r="AE362" i="5"/>
  <c r="F362" i="5"/>
  <c r="AD362" i="5"/>
  <c r="D362" i="5"/>
  <c r="B362" i="12" s="1"/>
  <c r="R362" i="5"/>
  <c r="J362" i="5"/>
  <c r="C363" i="5"/>
  <c r="E362" i="5"/>
  <c r="N362" i="5"/>
  <c r="K362" i="5"/>
  <c r="W362" i="5"/>
  <c r="H362" i="12" s="1"/>
  <c r="G362" i="5"/>
  <c r="H362" i="5"/>
  <c r="A362" i="12"/>
  <c r="B362" i="5"/>
  <c r="B362" i="6"/>
  <c r="AR359" i="6"/>
  <c r="AL359" i="6"/>
  <c r="AV359" i="6"/>
  <c r="X355" i="12"/>
  <c r="W355" i="12"/>
  <c r="AA357" i="5"/>
  <c r="AB357" i="5"/>
  <c r="N356" i="12"/>
  <c r="AV360" i="6" l="1"/>
  <c r="BA360" i="6"/>
  <c r="N357" i="12"/>
  <c r="U356" i="12"/>
  <c r="V356" i="12"/>
  <c r="T356" i="12"/>
  <c r="AA358" i="5"/>
  <c r="AB358" i="5"/>
  <c r="AX360" i="6"/>
  <c r="C358" i="12"/>
  <c r="O358" i="12"/>
  <c r="AO358" i="12"/>
  <c r="M358" i="12"/>
  <c r="AL360" i="6"/>
  <c r="AZ360" i="6"/>
  <c r="AN360" i="6"/>
  <c r="AM360" i="6"/>
  <c r="H363" i="5"/>
  <c r="AE363" i="5"/>
  <c r="AD363" i="5"/>
  <c r="R363" i="5"/>
  <c r="B363" i="5"/>
  <c r="C364" i="5" s="1"/>
  <c r="G363" i="5"/>
  <c r="K363" i="5"/>
  <c r="N363" i="5"/>
  <c r="F363" i="5"/>
  <c r="W363" i="5"/>
  <c r="H363" i="12" s="1"/>
  <c r="A363" i="12"/>
  <c r="D363" i="5"/>
  <c r="B363" i="12" s="1"/>
  <c r="E363" i="5"/>
  <c r="J363" i="5"/>
  <c r="B363" i="6"/>
  <c r="F362" i="6"/>
  <c r="E362" i="12"/>
  <c r="K361" i="12"/>
  <c r="D357" i="12"/>
  <c r="E357" i="6"/>
  <c r="AT360" i="6"/>
  <c r="AR360" i="6"/>
  <c r="AU360" i="6"/>
  <c r="W357" i="12"/>
  <c r="X357" i="12"/>
  <c r="L359" i="5"/>
  <c r="AM359" i="5"/>
  <c r="I359" i="12"/>
  <c r="Z359" i="5"/>
  <c r="I359" i="5"/>
  <c r="AC359" i="5"/>
  <c r="AJ359" i="6"/>
  <c r="T355" i="12"/>
  <c r="U355" i="12"/>
  <c r="V355" i="12"/>
  <c r="D362" i="6"/>
  <c r="J362" i="12"/>
  <c r="L362" i="12"/>
  <c r="C358" i="6"/>
  <c r="O358" i="5"/>
  <c r="AS360" i="6"/>
  <c r="AO360" i="6"/>
  <c r="AW360" i="6"/>
  <c r="AK360" i="6"/>
  <c r="AJ360" i="6"/>
  <c r="H361" i="6"/>
  <c r="T361" i="5" s="1"/>
  <c r="BF361" i="6"/>
  <c r="BW361" i="6"/>
  <c r="G361" i="6"/>
  <c r="AP361" i="6"/>
  <c r="CL361" i="6"/>
  <c r="M361" i="6"/>
  <c r="CC361" i="6" s="1"/>
  <c r="BM361" i="6"/>
  <c r="CI361" i="6"/>
  <c r="BL361" i="6"/>
  <c r="BC361" i="6"/>
  <c r="CH361" i="6"/>
  <c r="BJ361" i="6"/>
  <c r="AY361" i="6"/>
  <c r="N361" i="6"/>
  <c r="CE361" i="6"/>
  <c r="BX361" i="6"/>
  <c r="BY361" i="6"/>
  <c r="BR361" i="6"/>
  <c r="BT361" i="6"/>
  <c r="BG361" i="6"/>
  <c r="BP361" i="6"/>
  <c r="BD361" i="6"/>
  <c r="BZ361" i="6"/>
  <c r="BN361" i="6"/>
  <c r="CK361" i="6"/>
  <c r="BQ361" i="6"/>
  <c r="CA361" i="6"/>
  <c r="BV361" i="6"/>
  <c r="BE361" i="6"/>
  <c r="AZ361" i="6"/>
  <c r="AU361" i="6"/>
  <c r="CG361" i="6"/>
  <c r="AO361" i="6"/>
  <c r="AK361" i="6" l="1"/>
  <c r="AQ361" i="6"/>
  <c r="AR361" i="6"/>
  <c r="BA361" i="6"/>
  <c r="AL361" i="6"/>
  <c r="AN361" i="6"/>
  <c r="AW361" i="6"/>
  <c r="AM361" i="6"/>
  <c r="AT361" i="6"/>
  <c r="BK361" i="6"/>
  <c r="BS361" i="6"/>
  <c r="AV361" i="6"/>
  <c r="AX361" i="6"/>
  <c r="CJ361" i="6"/>
  <c r="N358" i="12"/>
  <c r="F364" i="5"/>
  <c r="I364" i="5"/>
  <c r="N364" i="5"/>
  <c r="B364" i="5"/>
  <c r="G364" i="5"/>
  <c r="K360" i="5" s="1"/>
  <c r="E364" i="5"/>
  <c r="H364" i="5"/>
  <c r="AE364" i="5"/>
  <c r="C365" i="5"/>
  <c r="B364" i="6"/>
  <c r="A364" i="12"/>
  <c r="W364" i="5"/>
  <c r="H364" i="12" s="1"/>
  <c r="AD364" i="5"/>
  <c r="D363" i="6"/>
  <c r="G361" i="12"/>
  <c r="X361" i="5"/>
  <c r="C359" i="6"/>
  <c r="O359" i="5"/>
  <c r="J363" i="12"/>
  <c r="L363" i="12"/>
  <c r="BO361" i="6"/>
  <c r="BH361" i="6"/>
  <c r="BI361" i="6"/>
  <c r="CF361" i="6"/>
  <c r="AS361" i="6"/>
  <c r="AB359" i="5"/>
  <c r="AA359" i="5"/>
  <c r="E363" i="12"/>
  <c r="F363" i="6"/>
  <c r="CB361" i="6"/>
  <c r="CM361" i="6"/>
  <c r="CD361" i="6"/>
  <c r="E358" i="6"/>
  <c r="D358" i="12"/>
  <c r="K362" i="12"/>
  <c r="H362" i="6"/>
  <c r="T362" i="5" s="1"/>
  <c r="M362" i="6"/>
  <c r="BF362" i="6" s="1"/>
  <c r="N362" i="6"/>
  <c r="G362" i="6"/>
  <c r="C359" i="12"/>
  <c r="O359" i="12"/>
  <c r="AO359" i="12"/>
  <c r="Y359" i="12" s="1"/>
  <c r="M359" i="12"/>
  <c r="U357" i="12"/>
  <c r="V357" i="12"/>
  <c r="T357" i="12"/>
  <c r="Y358" i="12"/>
  <c r="BC362" i="6" l="1"/>
  <c r="CL362" i="6"/>
  <c r="BP362" i="6"/>
  <c r="CH362" i="6"/>
  <c r="BO362" i="6"/>
  <c r="CI362" i="6"/>
  <c r="AN362" i="6"/>
  <c r="BI362" i="6"/>
  <c r="BZ362" i="6"/>
  <c r="BX362" i="6"/>
  <c r="BK362" i="6"/>
  <c r="BE362" i="6"/>
  <c r="CE362" i="6"/>
  <c r="AL362" i="6"/>
  <c r="AZ362" i="6"/>
  <c r="CD362" i="6"/>
  <c r="AS362" i="6"/>
  <c r="BM362" i="6"/>
  <c r="BL362" i="6"/>
  <c r="CJ362" i="6"/>
  <c r="CM362" i="6"/>
  <c r="AR362" i="6"/>
  <c r="BG362" i="6"/>
  <c r="BR362" i="6"/>
  <c r="BJ362" i="6"/>
  <c r="CA362" i="6"/>
  <c r="AQ362" i="6"/>
  <c r="G362" i="12"/>
  <c r="X362" i="5"/>
  <c r="W359" i="12"/>
  <c r="X359" i="12"/>
  <c r="W358" i="12"/>
  <c r="X358" i="12"/>
  <c r="N359" i="12"/>
  <c r="BA362" i="6"/>
  <c r="BW362" i="6"/>
  <c r="CB362" i="6"/>
  <c r="BQ362" i="6"/>
  <c r="CK362" i="6"/>
  <c r="AU362" i="6"/>
  <c r="AO362" i="6"/>
  <c r="AK362" i="6"/>
  <c r="AM362" i="6"/>
  <c r="AP362" i="6"/>
  <c r="AV362" i="6"/>
  <c r="BT362" i="6"/>
  <c r="BS362" i="6"/>
  <c r="AT362" i="6"/>
  <c r="D359" i="12"/>
  <c r="E359" i="6"/>
  <c r="D364" i="6"/>
  <c r="BN362" i="6"/>
  <c r="BH362" i="6"/>
  <c r="AW362" i="6"/>
  <c r="AX362" i="6"/>
  <c r="BD362" i="6"/>
  <c r="BV362" i="6"/>
  <c r="AY362" i="6"/>
  <c r="BY362" i="6"/>
  <c r="K363" i="12"/>
  <c r="G363" i="6"/>
  <c r="M363" i="6"/>
  <c r="CF363" i="6" s="1"/>
  <c r="BJ363" i="6"/>
  <c r="BM363" i="6"/>
  <c r="CH363" i="6"/>
  <c r="H363" i="6"/>
  <c r="T363" i="5" s="1"/>
  <c r="BR363" i="6"/>
  <c r="BK363" i="6"/>
  <c r="AO363" i="6"/>
  <c r="CG363" i="6"/>
  <c r="BL363" i="6"/>
  <c r="CI363" i="6"/>
  <c r="BD363" i="6"/>
  <c r="BG363" i="6"/>
  <c r="N363" i="6"/>
  <c r="BS363" i="6"/>
  <c r="CJ363" i="6"/>
  <c r="BN363" i="6"/>
  <c r="CC362" i="6"/>
  <c r="CF362" i="6"/>
  <c r="CG362" i="6"/>
  <c r="AM361" i="5"/>
  <c r="L361" i="5"/>
  <c r="I361" i="12"/>
  <c r="Z361" i="5"/>
  <c r="I361" i="5"/>
  <c r="AC361" i="5"/>
  <c r="AJ361" i="6"/>
  <c r="K365" i="5"/>
  <c r="B365" i="5"/>
  <c r="H365" i="5"/>
  <c r="R365" i="5"/>
  <c r="J365" i="5"/>
  <c r="A365" i="12"/>
  <c r="N365" i="5"/>
  <c r="E365" i="5"/>
  <c r="AE365" i="5"/>
  <c r="W365" i="5"/>
  <c r="H365" i="12" s="1"/>
  <c r="D365" i="5"/>
  <c r="B365" i="12" s="1"/>
  <c r="G365" i="5"/>
  <c r="B365" i="6"/>
  <c r="C366" i="5"/>
  <c r="F365" i="5"/>
  <c r="AD365" i="5"/>
  <c r="AK363" i="6" l="1"/>
  <c r="AT363" i="6"/>
  <c r="BY363" i="6"/>
  <c r="CB363" i="6"/>
  <c r="BP363" i="6"/>
  <c r="BX363" i="6"/>
  <c r="AS363" i="6"/>
  <c r="AU363" i="6"/>
  <c r="CA363" i="6"/>
  <c r="BE363" i="6"/>
  <c r="BZ363" i="6"/>
  <c r="BW363" i="6"/>
  <c r="D365" i="6"/>
  <c r="F365" i="6"/>
  <c r="E365" i="12"/>
  <c r="C361" i="12"/>
  <c r="AO361" i="12"/>
  <c r="O361" i="12"/>
  <c r="M361" i="12"/>
  <c r="BA363" i="6"/>
  <c r="BT363" i="6"/>
  <c r="BO363" i="6"/>
  <c r="BH363" i="6"/>
  <c r="CD363" i="6"/>
  <c r="C361" i="6"/>
  <c r="O361" i="5"/>
  <c r="AW363" i="6"/>
  <c r="AL363" i="6"/>
  <c r="CK363" i="6"/>
  <c r="BI363" i="6"/>
  <c r="AQ363" i="6"/>
  <c r="AX363" i="6"/>
  <c r="BV363" i="6"/>
  <c r="T359" i="12"/>
  <c r="V359" i="12"/>
  <c r="U359" i="12"/>
  <c r="L365" i="12"/>
  <c r="K365" i="12" s="1"/>
  <c r="J365" i="12"/>
  <c r="H366" i="5"/>
  <c r="B366" i="6"/>
  <c r="G366" i="5"/>
  <c r="N366" i="5"/>
  <c r="W366" i="5"/>
  <c r="H366" i="12" s="1"/>
  <c r="B366" i="5"/>
  <c r="A366" i="12"/>
  <c r="F366" i="5"/>
  <c r="K366" i="5"/>
  <c r="AD366" i="5"/>
  <c r="J366" i="5"/>
  <c r="R366" i="5"/>
  <c r="AE366" i="5"/>
  <c r="D366" i="5"/>
  <c r="B366" i="12" s="1"/>
  <c r="E366" i="5"/>
  <c r="C367" i="5"/>
  <c r="AP363" i="6"/>
  <c r="AN363" i="6"/>
  <c r="AV363" i="6"/>
  <c r="BC363" i="6"/>
  <c r="CC363" i="6"/>
  <c r="AY363" i="6"/>
  <c r="AM363" i="6"/>
  <c r="BF363" i="6"/>
  <c r="AM362" i="5"/>
  <c r="L362" i="5"/>
  <c r="I362" i="12"/>
  <c r="Z362" i="5"/>
  <c r="I362" i="5"/>
  <c r="AC362" i="5"/>
  <c r="AJ362" i="6"/>
  <c r="AB361" i="5"/>
  <c r="AA361" i="5"/>
  <c r="G363" i="12"/>
  <c r="X363" i="5"/>
  <c r="AR363" i="6"/>
  <c r="CL363" i="6"/>
  <c r="CE363" i="6"/>
  <c r="AZ363" i="6"/>
  <c r="CM363" i="6"/>
  <c r="BQ363" i="6"/>
  <c r="BW364" i="6"/>
  <c r="CF364" i="6"/>
  <c r="CE364" i="6"/>
  <c r="BH364" i="6"/>
  <c r="BE364" i="6"/>
  <c r="BS364" i="6"/>
  <c r="BM364" i="6"/>
  <c r="BY364" i="6"/>
  <c r="BL364" i="6"/>
  <c r="BR364" i="6"/>
  <c r="CL364" i="6"/>
  <c r="BT364" i="6"/>
  <c r="BD364" i="6"/>
  <c r="CI364" i="6"/>
  <c r="CB364" i="6"/>
  <c r="CD364" i="6"/>
  <c r="CM364" i="6"/>
  <c r="CH364" i="6"/>
  <c r="BP364" i="6"/>
  <c r="H364" i="6"/>
  <c r="T364" i="5" s="1"/>
  <c r="G364" i="12" s="1"/>
  <c r="G364" i="6"/>
  <c r="BK364" i="6"/>
  <c r="BI364" i="6"/>
  <c r="BX364" i="6"/>
  <c r="BQ364" i="6"/>
  <c r="BF364" i="6"/>
  <c r="BG364" i="6"/>
  <c r="CK364" i="6"/>
  <c r="BZ364" i="6"/>
  <c r="BJ364" i="6"/>
  <c r="BV364" i="6"/>
  <c r="BC364" i="6"/>
  <c r="N364" i="6"/>
  <c r="CJ364" i="6"/>
  <c r="BN364" i="6"/>
  <c r="CG364" i="6"/>
  <c r="BO364" i="6"/>
  <c r="CC364" i="6"/>
  <c r="M364" i="6"/>
  <c r="CA364" i="6"/>
  <c r="U358" i="12"/>
  <c r="T358" i="12"/>
  <c r="V358" i="12"/>
  <c r="N361" i="12" l="1"/>
  <c r="AK364" i="6"/>
  <c r="AR364" i="6"/>
  <c r="AY364" i="6"/>
  <c r="AS364" i="6"/>
  <c r="AU364" i="6"/>
  <c r="BA364" i="6"/>
  <c r="AQ364" i="6"/>
  <c r="AT364" i="6"/>
  <c r="AL364" i="6"/>
  <c r="AW364" i="6"/>
  <c r="AA362" i="5"/>
  <c r="AB362" i="5"/>
  <c r="J366" i="12"/>
  <c r="L366" i="12"/>
  <c r="K366" i="12" s="1"/>
  <c r="D361" i="12"/>
  <c r="E361" i="6"/>
  <c r="AV364" i="6"/>
  <c r="AP364" i="6"/>
  <c r="L363" i="5"/>
  <c r="I363" i="12"/>
  <c r="AM363" i="5"/>
  <c r="Z363" i="5"/>
  <c r="I363" i="5"/>
  <c r="AC363" i="5"/>
  <c r="C362" i="12"/>
  <c r="AO362" i="12"/>
  <c r="M362" i="12"/>
  <c r="O362" i="12"/>
  <c r="H367" i="5"/>
  <c r="D367" i="5"/>
  <c r="B367" i="12" s="1"/>
  <c r="E367" i="5"/>
  <c r="R367" i="5"/>
  <c r="N367" i="5"/>
  <c r="G367" i="5"/>
  <c r="C368" i="5"/>
  <c r="AE367" i="5"/>
  <c r="B367" i="5"/>
  <c r="K367" i="5"/>
  <c r="J367" i="5"/>
  <c r="F367" i="5"/>
  <c r="W367" i="5"/>
  <c r="H367" i="12" s="1"/>
  <c r="B367" i="6"/>
  <c r="AD367" i="5"/>
  <c r="A367" i="12"/>
  <c r="D366" i="6"/>
  <c r="AM364" i="6"/>
  <c r="AO364" i="6"/>
  <c r="C362" i="6"/>
  <c r="O362" i="5"/>
  <c r="AJ363" i="6"/>
  <c r="Y361" i="12"/>
  <c r="AX364" i="6"/>
  <c r="AZ364" i="6"/>
  <c r="AJ364" i="6"/>
  <c r="AN364" i="6"/>
  <c r="F366" i="6"/>
  <c r="E366" i="12"/>
  <c r="H365" i="6"/>
  <c r="T365" i="5" s="1"/>
  <c r="M365" i="6"/>
  <c r="BD365" i="6" s="1"/>
  <c r="BR365" i="6"/>
  <c r="BV365" i="6"/>
  <c r="CK365" i="6"/>
  <c r="AT365" i="6"/>
  <c r="AM365" i="6"/>
  <c r="AR365" i="6"/>
  <c r="N365" i="6"/>
  <c r="BK365" i="6"/>
  <c r="BE365" i="6"/>
  <c r="BA365" i="6"/>
  <c r="AX365" i="6"/>
  <c r="G365" i="6"/>
  <c r="CB365" i="6" l="1"/>
  <c r="AZ365" i="6"/>
  <c r="BO365" i="6"/>
  <c r="BJ365" i="6"/>
  <c r="BN365" i="6"/>
  <c r="AV365" i="6"/>
  <c r="CL365" i="6"/>
  <c r="CI365" i="6"/>
  <c r="BC365" i="6"/>
  <c r="CG365" i="6"/>
  <c r="CJ365" i="6"/>
  <c r="CC365" i="6"/>
  <c r="AK365" i="6"/>
  <c r="AO365" i="6"/>
  <c r="BP365" i="6"/>
  <c r="CA365" i="6"/>
  <c r="BF365" i="6"/>
  <c r="BG365" i="6"/>
  <c r="BI365" i="6"/>
  <c r="AL365" i="6"/>
  <c r="CE365" i="6"/>
  <c r="BX365" i="6"/>
  <c r="BW365" i="6"/>
  <c r="BT365" i="6"/>
  <c r="BZ365" i="6"/>
  <c r="CH365" i="6"/>
  <c r="BS365" i="6"/>
  <c r="CD365" i="6"/>
  <c r="BY365" i="6"/>
  <c r="AQ365" i="6"/>
  <c r="BL365" i="6"/>
  <c r="CF365" i="6"/>
  <c r="AW365" i="6"/>
  <c r="BH365" i="6"/>
  <c r="BM365" i="6"/>
  <c r="AN365" i="6"/>
  <c r="BQ365" i="6"/>
  <c r="CM365" i="6"/>
  <c r="N362" i="12"/>
  <c r="Y362" i="12"/>
  <c r="W362" i="12" s="1"/>
  <c r="AP365" i="6"/>
  <c r="E362" i="6"/>
  <c r="D362" i="12"/>
  <c r="F367" i="6"/>
  <c r="E367" i="12"/>
  <c r="C363" i="12"/>
  <c r="M363" i="12"/>
  <c r="AO363" i="12"/>
  <c r="O363" i="12"/>
  <c r="N363" i="12" s="1"/>
  <c r="AY365" i="6"/>
  <c r="AS365" i="6"/>
  <c r="M366" i="6"/>
  <c r="CA366" i="6" s="1"/>
  <c r="BK366" i="6"/>
  <c r="CH366" i="6"/>
  <c r="G366" i="6"/>
  <c r="BW366" i="6"/>
  <c r="H366" i="6"/>
  <c r="T366" i="5" s="1"/>
  <c r="BD366" i="6"/>
  <c r="BZ366" i="6"/>
  <c r="N366" i="6"/>
  <c r="CM366" i="6"/>
  <c r="N368" i="5"/>
  <c r="E368" i="5"/>
  <c r="K368" i="5"/>
  <c r="R368" i="5"/>
  <c r="J368" i="5"/>
  <c r="A368" i="12"/>
  <c r="G368" i="5"/>
  <c r="H368" i="5"/>
  <c r="B368" i="6"/>
  <c r="AE368" i="5"/>
  <c r="B368" i="5"/>
  <c r="C369" i="5" s="1"/>
  <c r="AD368" i="5"/>
  <c r="W368" i="5"/>
  <c r="H368" i="12" s="1"/>
  <c r="F368" i="5"/>
  <c r="D368" i="5"/>
  <c r="B368" i="12" s="1"/>
  <c r="C363" i="6"/>
  <c r="O363" i="5"/>
  <c r="AU365" i="6"/>
  <c r="W361" i="12"/>
  <c r="X361" i="12"/>
  <c r="X362" i="12"/>
  <c r="AB363" i="5"/>
  <c r="AA363" i="5"/>
  <c r="G365" i="12"/>
  <c r="X365" i="5"/>
  <c r="J367" i="12"/>
  <c r="L367" i="12"/>
  <c r="D367" i="6"/>
  <c r="AP366" i="6" l="1"/>
  <c r="AY366" i="6"/>
  <c r="BO366" i="6"/>
  <c r="BI366" i="6"/>
  <c r="BQ366" i="6"/>
  <c r="BY366" i="6"/>
  <c r="BV366" i="6"/>
  <c r="CI366" i="6"/>
  <c r="CG366" i="6"/>
  <c r="BE366" i="6"/>
  <c r="BG366" i="6"/>
  <c r="CE366" i="6"/>
  <c r="BN366" i="6"/>
  <c r="AQ366" i="6"/>
  <c r="CD366" i="6"/>
  <c r="BX366" i="6"/>
  <c r="CF366" i="6"/>
  <c r="BR366" i="6"/>
  <c r="BH366" i="6"/>
  <c r="BC366" i="6"/>
  <c r="BS366" i="6"/>
  <c r="BM366" i="6"/>
  <c r="BF366" i="6"/>
  <c r="AZ366" i="6"/>
  <c r="AT366" i="6"/>
  <c r="BL366" i="6"/>
  <c r="BP366" i="6"/>
  <c r="BJ366" i="6"/>
  <c r="CC366" i="6"/>
  <c r="CB366" i="6"/>
  <c r="BT366" i="6"/>
  <c r="CK366" i="6"/>
  <c r="CL366" i="6"/>
  <c r="Y363" i="12"/>
  <c r="H369" i="5"/>
  <c r="F369" i="5"/>
  <c r="E369" i="5"/>
  <c r="I369" i="5"/>
  <c r="B369" i="6"/>
  <c r="A369" i="12"/>
  <c r="B369" i="5"/>
  <c r="N369" i="5"/>
  <c r="AE369" i="5"/>
  <c r="C370" i="5"/>
  <c r="W369" i="5"/>
  <c r="H369" i="12" s="1"/>
  <c r="G369" i="5"/>
  <c r="AD369" i="5"/>
  <c r="K364" i="5"/>
  <c r="AM365" i="5"/>
  <c r="L365" i="5"/>
  <c r="I365" i="12"/>
  <c r="I365" i="5"/>
  <c r="Z365" i="5"/>
  <c r="AC365" i="5"/>
  <c r="AJ365" i="6"/>
  <c r="AN366" i="6"/>
  <c r="AO366" i="6"/>
  <c r="BA366" i="6"/>
  <c r="AW366" i="6"/>
  <c r="W363" i="12"/>
  <c r="X363" i="12"/>
  <c r="T362" i="12"/>
  <c r="U362" i="12"/>
  <c r="V362" i="12"/>
  <c r="V361" i="12"/>
  <c r="U361" i="12"/>
  <c r="T361" i="12"/>
  <c r="AR366" i="6"/>
  <c r="AU366" i="6"/>
  <c r="H367" i="6"/>
  <c r="T367" i="5" s="1"/>
  <c r="M367" i="6"/>
  <c r="BH367" i="6"/>
  <c r="BK367" i="6"/>
  <c r="BI367" i="6"/>
  <c r="CF367" i="6"/>
  <c r="BG367" i="6"/>
  <c r="CI367" i="6"/>
  <c r="BE367" i="6"/>
  <c r="BC367" i="6"/>
  <c r="CA367" i="6"/>
  <c r="G367" i="6"/>
  <c r="AV367" i="6"/>
  <c r="CL367" i="6"/>
  <c r="BP367" i="6"/>
  <c r="CM367" i="6"/>
  <c r="BQ367" i="6"/>
  <c r="BT367" i="6"/>
  <c r="BD367" i="6"/>
  <c r="BY367" i="6"/>
  <c r="CB367" i="6"/>
  <c r="AQ367" i="6"/>
  <c r="CE367" i="6"/>
  <c r="CG367" i="6"/>
  <c r="BZ367" i="6"/>
  <c r="CD367" i="6"/>
  <c r="BW367" i="6"/>
  <c r="BV367" i="6"/>
  <c r="CH367" i="6"/>
  <c r="BJ367" i="6"/>
  <c r="BF367" i="6"/>
  <c r="AL367" i="6"/>
  <c r="BM367" i="6"/>
  <c r="BX367" i="6"/>
  <c r="BN367" i="6"/>
  <c r="BR367" i="6"/>
  <c r="BL367" i="6"/>
  <c r="CK367" i="6"/>
  <c r="N367" i="6"/>
  <c r="BS367" i="6"/>
  <c r="CC367" i="6"/>
  <c r="BO367" i="6"/>
  <c r="CJ367" i="6"/>
  <c r="L368" i="12"/>
  <c r="J368" i="12"/>
  <c r="F368" i="6"/>
  <c r="E368" i="12"/>
  <c r="D368" i="6"/>
  <c r="G366" i="12"/>
  <c r="X366" i="5"/>
  <c r="AK366" i="6"/>
  <c r="AX366" i="6"/>
  <c r="K367" i="12"/>
  <c r="D363" i="12"/>
  <c r="E363" i="6"/>
  <c r="AM366" i="6"/>
  <c r="AV366" i="6"/>
  <c r="AS366" i="6"/>
  <c r="AL366" i="6"/>
  <c r="CJ366" i="6"/>
  <c r="K368" i="12" l="1"/>
  <c r="AM366" i="5"/>
  <c r="I366" i="12"/>
  <c r="L366" i="5"/>
  <c r="Z366" i="5"/>
  <c r="I366" i="5"/>
  <c r="AC366" i="5"/>
  <c r="AS367" i="6"/>
  <c r="C365" i="6"/>
  <c r="O365" i="5"/>
  <c r="D369" i="6"/>
  <c r="AK367" i="6"/>
  <c r="AT367" i="6"/>
  <c r="AR367" i="6"/>
  <c r="AU367" i="6"/>
  <c r="AB365" i="5"/>
  <c r="AA365" i="5"/>
  <c r="AN367" i="6"/>
  <c r="AZ367" i="6"/>
  <c r="AM367" i="6"/>
  <c r="T363" i="12"/>
  <c r="V363" i="12"/>
  <c r="U363" i="12"/>
  <c r="N370" i="5"/>
  <c r="AD370" i="5"/>
  <c r="AE370" i="5"/>
  <c r="B370" i="5"/>
  <c r="C371" i="5" s="1"/>
  <c r="D370" i="5"/>
  <c r="B370" i="12" s="1"/>
  <c r="G370" i="5"/>
  <c r="H370" i="5"/>
  <c r="F370" i="5"/>
  <c r="K370" i="5"/>
  <c r="B370" i="6"/>
  <c r="W370" i="5"/>
  <c r="H370" i="12" s="1"/>
  <c r="R370" i="5"/>
  <c r="E370" i="5"/>
  <c r="A370" i="12"/>
  <c r="J370" i="5"/>
  <c r="G367" i="12"/>
  <c r="X367" i="5"/>
  <c r="AJ366" i="6"/>
  <c r="G368" i="6"/>
  <c r="M368" i="6"/>
  <c r="BN368" i="6" s="1"/>
  <c r="BM368" i="6"/>
  <c r="H368" i="6"/>
  <c r="T368" i="5" s="1"/>
  <c r="CB368" i="6"/>
  <c r="CE368" i="6"/>
  <c r="N368" i="6"/>
  <c r="BH368" i="6"/>
  <c r="AY367" i="6"/>
  <c r="BA367" i="6"/>
  <c r="AW367" i="6"/>
  <c r="AO367" i="6"/>
  <c r="AP367" i="6"/>
  <c r="AX367" i="6"/>
  <c r="C365" i="12"/>
  <c r="O365" i="12"/>
  <c r="AO365" i="12"/>
  <c r="M365" i="12"/>
  <c r="CH368" i="6" l="1"/>
  <c r="CI368" i="6"/>
  <c r="BJ368" i="6"/>
  <c r="CK368" i="6"/>
  <c r="BW368" i="6"/>
  <c r="BP368" i="6"/>
  <c r="BG368" i="6"/>
  <c r="BE368" i="6"/>
  <c r="CL368" i="6"/>
  <c r="AP368" i="6"/>
  <c r="BO368" i="6"/>
  <c r="BY368" i="6"/>
  <c r="AS368" i="6"/>
  <c r="CF368" i="6"/>
  <c r="CD368" i="6"/>
  <c r="BQ368" i="6"/>
  <c r="N365" i="12"/>
  <c r="BT368" i="6"/>
  <c r="CJ368" i="6"/>
  <c r="BR368" i="6"/>
  <c r="BZ368" i="6"/>
  <c r="CA368" i="6"/>
  <c r="BL368" i="6"/>
  <c r="BK368" i="6"/>
  <c r="CM368" i="6"/>
  <c r="BS368" i="6"/>
  <c r="BV368" i="6"/>
  <c r="BC368" i="6"/>
  <c r="CC368" i="6"/>
  <c r="BI368" i="6"/>
  <c r="BD368" i="6"/>
  <c r="BF368" i="6"/>
  <c r="AV368" i="6"/>
  <c r="AW368" i="6"/>
  <c r="AO368" i="6"/>
  <c r="I371" i="5"/>
  <c r="G371" i="5"/>
  <c r="F371" i="5"/>
  <c r="AD371" i="5"/>
  <c r="W371" i="5"/>
  <c r="H371" i="12" s="1"/>
  <c r="H371" i="5"/>
  <c r="N371" i="5"/>
  <c r="A371" i="12"/>
  <c r="AE371" i="5"/>
  <c r="B371" i="5"/>
  <c r="C372" i="5"/>
  <c r="E371" i="5"/>
  <c r="B371" i="6"/>
  <c r="AB366" i="5"/>
  <c r="AA366" i="5"/>
  <c r="AU368" i="6"/>
  <c r="AY368" i="6"/>
  <c r="AZ368" i="6"/>
  <c r="BA368" i="6"/>
  <c r="AL368" i="6"/>
  <c r="AQ368" i="6"/>
  <c r="AT368" i="6"/>
  <c r="E370" i="12"/>
  <c r="F370" i="6"/>
  <c r="J369" i="5"/>
  <c r="C366" i="6"/>
  <c r="O366" i="5"/>
  <c r="Y365" i="12"/>
  <c r="AK368" i="6"/>
  <c r="AN368" i="6"/>
  <c r="AR368" i="6"/>
  <c r="CG368" i="6"/>
  <c r="BX368" i="6"/>
  <c r="AM367" i="5"/>
  <c r="L367" i="5"/>
  <c r="I367" i="12"/>
  <c r="Z367" i="5"/>
  <c r="I367" i="5"/>
  <c r="AC367" i="5"/>
  <c r="D370" i="6"/>
  <c r="CI369" i="6"/>
  <c r="BS369" i="6"/>
  <c r="BP369" i="6"/>
  <c r="G369" i="6"/>
  <c r="BF369" i="6"/>
  <c r="CJ369" i="6"/>
  <c r="BE369" i="6"/>
  <c r="BN369" i="6"/>
  <c r="BI369" i="6"/>
  <c r="BO369" i="6"/>
  <c r="BH369" i="6"/>
  <c r="BC369" i="6"/>
  <c r="CA369" i="6"/>
  <c r="CK369" i="6"/>
  <c r="CB369" i="6"/>
  <c r="BY369" i="6"/>
  <c r="H369" i="6"/>
  <c r="T369" i="5" s="1"/>
  <c r="G369" i="12" s="1"/>
  <c r="CE369" i="6"/>
  <c r="BD369" i="6"/>
  <c r="M369" i="6"/>
  <c r="CH369" i="6"/>
  <c r="BZ369" i="6"/>
  <c r="CM369" i="6"/>
  <c r="CC369" i="6"/>
  <c r="BW369" i="6"/>
  <c r="BG369" i="6"/>
  <c r="BK369" i="6"/>
  <c r="BV369" i="6"/>
  <c r="BL369" i="6"/>
  <c r="BT369" i="6"/>
  <c r="BJ369" i="6"/>
  <c r="BM369" i="6"/>
  <c r="BQ369" i="6"/>
  <c r="BR369" i="6"/>
  <c r="CG369" i="6"/>
  <c r="CL369" i="6"/>
  <c r="CD369" i="6"/>
  <c r="N369" i="6"/>
  <c r="BX369" i="6"/>
  <c r="CF369" i="6"/>
  <c r="C366" i="12"/>
  <c r="M366" i="12"/>
  <c r="O366" i="12"/>
  <c r="AO366" i="12"/>
  <c r="G368" i="12"/>
  <c r="X368" i="5"/>
  <c r="AJ368" i="6" s="1"/>
  <c r="AM368" i="6"/>
  <c r="AX368" i="6"/>
  <c r="J370" i="12"/>
  <c r="L370" i="12"/>
  <c r="AJ367" i="6"/>
  <c r="D365" i="12"/>
  <c r="E365" i="6"/>
  <c r="AN369" i="6" l="1"/>
  <c r="Y366" i="12"/>
  <c r="BA369" i="6"/>
  <c r="K370" i="12"/>
  <c r="N366" i="12"/>
  <c r="AS369" i="6"/>
  <c r="AK369" i="6"/>
  <c r="AO369" i="6"/>
  <c r="W365" i="12"/>
  <c r="X365" i="12"/>
  <c r="AM369" i="6"/>
  <c r="AX369" i="6"/>
  <c r="AU369" i="6"/>
  <c r="D366" i="12"/>
  <c r="E366" i="6"/>
  <c r="AL369" i="6"/>
  <c r="N370" i="6"/>
  <c r="G370" i="6"/>
  <c r="H370" i="6"/>
  <c r="T370" i="5" s="1"/>
  <c r="M370" i="6"/>
  <c r="BF370" i="6" s="1"/>
  <c r="C367" i="12"/>
  <c r="AO367" i="12"/>
  <c r="M367" i="12"/>
  <c r="O367" i="12"/>
  <c r="W366" i="12"/>
  <c r="X366" i="12"/>
  <c r="AZ369" i="6"/>
  <c r="AQ369" i="6"/>
  <c r="AJ369" i="6"/>
  <c r="AW369" i="6"/>
  <c r="AT369" i="6"/>
  <c r="C367" i="6"/>
  <c r="O367" i="5"/>
  <c r="AV369" i="6"/>
  <c r="AR369" i="6"/>
  <c r="I368" i="12"/>
  <c r="AM368" i="5"/>
  <c r="L368" i="5"/>
  <c r="I368" i="5"/>
  <c r="Z368" i="5"/>
  <c r="AC368" i="5"/>
  <c r="AY369" i="6"/>
  <c r="AP369" i="6"/>
  <c r="AB367" i="5"/>
  <c r="AA367" i="5"/>
  <c r="H372" i="5"/>
  <c r="B372" i="6"/>
  <c r="AE372" i="5"/>
  <c r="AD372" i="5"/>
  <c r="G372" i="5"/>
  <c r="F372" i="5"/>
  <c r="I372" i="5"/>
  <c r="W372" i="5"/>
  <c r="H372" i="12" s="1"/>
  <c r="N372" i="5"/>
  <c r="E372" i="5"/>
  <c r="B372" i="5"/>
  <c r="A372" i="12"/>
  <c r="C373" i="5"/>
  <c r="D371" i="6"/>
  <c r="BG370" i="6" l="1"/>
  <c r="BT370" i="6"/>
  <c r="BE370" i="6"/>
  <c r="CA370" i="6"/>
  <c r="AO370" i="6"/>
  <c r="CJ370" i="6"/>
  <c r="AN370" i="6"/>
  <c r="BQ370" i="6"/>
  <c r="BA370" i="6"/>
  <c r="BH370" i="6"/>
  <c r="N367" i="12"/>
  <c r="AX370" i="6"/>
  <c r="AV370" i="6"/>
  <c r="AW370" i="6"/>
  <c r="CF370" i="6"/>
  <c r="BS370" i="6"/>
  <c r="AT370" i="6"/>
  <c r="AK370" i="6"/>
  <c r="B373" i="5"/>
  <c r="N373" i="5"/>
  <c r="E373" i="5"/>
  <c r="D373" i="5"/>
  <c r="B373" i="12" s="1"/>
  <c r="F373" i="5"/>
  <c r="J373" i="5"/>
  <c r="G373" i="5"/>
  <c r="AE373" i="5"/>
  <c r="A373" i="12"/>
  <c r="W373" i="5"/>
  <c r="H373" i="12" s="1"/>
  <c r="B373" i="6"/>
  <c r="H373" i="5"/>
  <c r="K373" i="5"/>
  <c r="C374" i="5"/>
  <c r="AD373" i="5"/>
  <c r="R373" i="5"/>
  <c r="D372" i="6"/>
  <c r="C368" i="6"/>
  <c r="O368" i="5"/>
  <c r="AR370" i="6"/>
  <c r="CB370" i="6"/>
  <c r="CL370" i="6"/>
  <c r="AU370" i="6"/>
  <c r="BV370" i="6"/>
  <c r="CE370" i="6"/>
  <c r="BZ370" i="6"/>
  <c r="BM370" i="6"/>
  <c r="AQ370" i="6"/>
  <c r="AP370" i="6"/>
  <c r="BD370" i="6"/>
  <c r="AY370" i="6"/>
  <c r="BL370" i="6"/>
  <c r="BJ370" i="6"/>
  <c r="T365" i="12"/>
  <c r="U365" i="12"/>
  <c r="V365" i="12"/>
  <c r="CF371" i="6"/>
  <c r="N371" i="6"/>
  <c r="BN371" i="6"/>
  <c r="CL371" i="6"/>
  <c r="BY371" i="6"/>
  <c r="CD371" i="6"/>
  <c r="CC371" i="6"/>
  <c r="CI371" i="6"/>
  <c r="BS371" i="6"/>
  <c r="BX371" i="6"/>
  <c r="BO371" i="6"/>
  <c r="BE371" i="6"/>
  <c r="BC371" i="6"/>
  <c r="CA371" i="6"/>
  <c r="BQ371" i="6"/>
  <c r="BV371" i="6"/>
  <c r="BF371" i="6"/>
  <c r="H371" i="6"/>
  <c r="T371" i="5" s="1"/>
  <c r="G371" i="12" s="1"/>
  <c r="CJ371" i="6"/>
  <c r="BT371" i="6"/>
  <c r="BD371" i="6"/>
  <c r="CH371" i="6"/>
  <c r="BK371" i="6"/>
  <c r="BW371" i="6"/>
  <c r="BG371" i="6"/>
  <c r="BJ371" i="6"/>
  <c r="BI371" i="6"/>
  <c r="BL371" i="6"/>
  <c r="CB371" i="6"/>
  <c r="BZ371" i="6"/>
  <c r="M371" i="6"/>
  <c r="BR371" i="6"/>
  <c r="CE371" i="6"/>
  <c r="G371" i="6"/>
  <c r="BH371" i="6"/>
  <c r="BP371" i="6"/>
  <c r="CK371" i="6"/>
  <c r="BM371" i="6"/>
  <c r="CG371" i="6"/>
  <c r="CM371" i="6"/>
  <c r="Y367" i="12"/>
  <c r="CK370" i="6"/>
  <c r="BO370" i="6"/>
  <c r="AZ370" i="6"/>
  <c r="BK370" i="6"/>
  <c r="G370" i="12"/>
  <c r="X370" i="5"/>
  <c r="AJ370" i="6" s="1"/>
  <c r="BY370" i="6"/>
  <c r="CI370" i="6"/>
  <c r="AS370" i="6"/>
  <c r="CD370" i="6"/>
  <c r="BR370" i="6"/>
  <c r="AA368" i="5"/>
  <c r="AB368" i="5"/>
  <c r="C368" i="12"/>
  <c r="M368" i="12"/>
  <c r="O368" i="12"/>
  <c r="AO368" i="12"/>
  <c r="E367" i="6"/>
  <c r="D367" i="12"/>
  <c r="U366" i="12"/>
  <c r="T366" i="12"/>
  <c r="V366" i="12"/>
  <c r="CG370" i="6"/>
  <c r="BN370" i="6"/>
  <c r="CC370" i="6"/>
  <c r="CM370" i="6"/>
  <c r="BW370" i="6"/>
  <c r="BC370" i="6"/>
  <c r="BP370" i="6"/>
  <c r="AM370" i="6"/>
  <c r="BI370" i="6"/>
  <c r="BX370" i="6"/>
  <c r="CH370" i="6"/>
  <c r="AL370" i="6"/>
  <c r="AM371" i="6" l="1"/>
  <c r="AT371" i="6"/>
  <c r="AZ371" i="6"/>
  <c r="AP371" i="6"/>
  <c r="AU371" i="6"/>
  <c r="AR371" i="6"/>
  <c r="Y368" i="12"/>
  <c r="AV371" i="6"/>
  <c r="AY371" i="6"/>
  <c r="AO371" i="6"/>
  <c r="AS371" i="6"/>
  <c r="BA371" i="6"/>
  <c r="J373" i="12"/>
  <c r="L373" i="12"/>
  <c r="K373" i="12" s="1"/>
  <c r="X368" i="12"/>
  <c r="W368" i="12"/>
  <c r="AW371" i="6"/>
  <c r="AL371" i="6"/>
  <c r="D368" i="12"/>
  <c r="E368" i="6"/>
  <c r="CC372" i="6"/>
  <c r="BY372" i="6"/>
  <c r="CH372" i="6"/>
  <c r="M372" i="6"/>
  <c r="AZ372" i="6" s="1"/>
  <c r="CF372" i="6"/>
  <c r="BE372" i="6"/>
  <c r="BH372" i="6"/>
  <c r="BZ372" i="6"/>
  <c r="BC372" i="6"/>
  <c r="G372" i="6"/>
  <c r="BN372" i="6"/>
  <c r="BF372" i="6"/>
  <c r="BM372" i="6"/>
  <c r="BX372" i="6"/>
  <c r="CE372" i="6"/>
  <c r="CI372" i="6"/>
  <c r="CK372" i="6"/>
  <c r="CD372" i="6"/>
  <c r="BG372" i="6"/>
  <c r="BO372" i="6"/>
  <c r="CM372" i="6"/>
  <c r="CB372" i="6"/>
  <c r="CG372" i="6"/>
  <c r="CJ372" i="6"/>
  <c r="BR372" i="6"/>
  <c r="CA372" i="6"/>
  <c r="BV372" i="6"/>
  <c r="N372" i="6"/>
  <c r="BQ372" i="6"/>
  <c r="BT372" i="6"/>
  <c r="CL372" i="6"/>
  <c r="BK372" i="6"/>
  <c r="BI372" i="6"/>
  <c r="BL372" i="6"/>
  <c r="BD372" i="6"/>
  <c r="BS372" i="6"/>
  <c r="H372" i="6"/>
  <c r="T372" i="5" s="1"/>
  <c r="G372" i="12" s="1"/>
  <c r="BW372" i="6"/>
  <c r="BP372" i="6"/>
  <c r="BJ372" i="6"/>
  <c r="E373" i="12"/>
  <c r="F373" i="6"/>
  <c r="N368" i="12"/>
  <c r="X367" i="12"/>
  <c r="W367" i="12"/>
  <c r="AX371" i="6"/>
  <c r="AQ371" i="6"/>
  <c r="AJ371" i="6"/>
  <c r="AN371" i="6"/>
  <c r="D373" i="6"/>
  <c r="AM370" i="5"/>
  <c r="L370" i="5"/>
  <c r="I370" i="12"/>
  <c r="Z370" i="5"/>
  <c r="I370" i="5"/>
  <c r="AC370" i="5"/>
  <c r="AK371" i="6"/>
  <c r="D374" i="5"/>
  <c r="B374" i="12" s="1"/>
  <c r="H374" i="5"/>
  <c r="G374" i="5"/>
  <c r="A374" i="12"/>
  <c r="R374" i="5"/>
  <c r="AE374" i="5"/>
  <c r="E374" i="5"/>
  <c r="N374" i="5"/>
  <c r="W374" i="5"/>
  <c r="H374" i="12" s="1"/>
  <c r="J374" i="5"/>
  <c r="C375" i="5"/>
  <c r="B374" i="6"/>
  <c r="B374" i="5"/>
  <c r="F374" i="5"/>
  <c r="K374" i="5"/>
  <c r="AD374" i="5"/>
  <c r="AV372" i="6" l="1"/>
  <c r="AM372" i="6"/>
  <c r="AX372" i="6"/>
  <c r="AU372" i="6"/>
  <c r="AS372" i="6"/>
  <c r="AY372" i="6"/>
  <c r="AT372" i="6"/>
  <c r="BA372" i="6"/>
  <c r="AR372" i="6"/>
  <c r="AL372" i="6"/>
  <c r="AW372" i="6"/>
  <c r="AK372" i="6"/>
  <c r="AQ372" i="6"/>
  <c r="T368" i="12"/>
  <c r="V368" i="12"/>
  <c r="U368" i="12"/>
  <c r="C376" i="5"/>
  <c r="AE375" i="5"/>
  <c r="A375" i="12"/>
  <c r="W375" i="5"/>
  <c r="H375" i="12" s="1"/>
  <c r="E375" i="5"/>
  <c r="G375" i="5"/>
  <c r="B375" i="5"/>
  <c r="J375" i="5"/>
  <c r="B375" i="6"/>
  <c r="K375" i="5"/>
  <c r="D375" i="5"/>
  <c r="B375" i="12" s="1"/>
  <c r="AD375" i="5"/>
  <c r="F375" i="5"/>
  <c r="R375" i="5"/>
  <c r="N375" i="5"/>
  <c r="H375" i="5"/>
  <c r="C370" i="6"/>
  <c r="O370" i="5"/>
  <c r="U367" i="12"/>
  <c r="V367" i="12"/>
  <c r="T367" i="12"/>
  <c r="E374" i="12"/>
  <c r="F374" i="6"/>
  <c r="AA370" i="5"/>
  <c r="AB370" i="5"/>
  <c r="D374" i="6"/>
  <c r="L374" i="12"/>
  <c r="J374" i="12"/>
  <c r="C370" i="12"/>
  <c r="M370" i="12"/>
  <c r="O370" i="12"/>
  <c r="N370" i="12" s="1"/>
  <c r="AO370" i="12"/>
  <c r="Y370" i="12" s="1"/>
  <c r="M373" i="6"/>
  <c r="CE373" i="6" s="1"/>
  <c r="H373" i="6"/>
  <c r="T373" i="5" s="1"/>
  <c r="BV373" i="6"/>
  <c r="CI373" i="6"/>
  <c r="BT373" i="6"/>
  <c r="BN373" i="6"/>
  <c r="AW373" i="6"/>
  <c r="CJ373" i="6"/>
  <c r="CA373" i="6"/>
  <c r="N373" i="6"/>
  <c r="CH373" i="6"/>
  <c r="BR373" i="6"/>
  <c r="BW373" i="6"/>
  <c r="BZ373" i="6"/>
  <c r="BP373" i="6"/>
  <c r="BJ373" i="6"/>
  <c r="CG373" i="6"/>
  <c r="CF373" i="6"/>
  <c r="BS373" i="6"/>
  <c r="AO373" i="6"/>
  <c r="AV373" i="6"/>
  <c r="BX373" i="6"/>
  <c r="BC373" i="6"/>
  <c r="BF373" i="6"/>
  <c r="BL373" i="6"/>
  <c r="CM373" i="6"/>
  <c r="CB373" i="6"/>
  <c r="BQ373" i="6"/>
  <c r="CK373" i="6"/>
  <c r="AQ373" i="6"/>
  <c r="AZ373" i="6"/>
  <c r="AX373" i="6"/>
  <c r="BI373" i="6"/>
  <c r="BY373" i="6"/>
  <c r="CC373" i="6"/>
  <c r="AY373" i="6"/>
  <c r="AR373" i="6"/>
  <c r="G373" i="6"/>
  <c r="BH373" i="6"/>
  <c r="AS373" i="6"/>
  <c r="BE373" i="6"/>
  <c r="BD373" i="6"/>
  <c r="AU373" i="6"/>
  <c r="AP373" i="6"/>
  <c r="AP372" i="6"/>
  <c r="AN372" i="6"/>
  <c r="AJ372" i="6"/>
  <c r="AO372" i="6"/>
  <c r="AT373" i="6" l="1"/>
  <c r="AN373" i="6"/>
  <c r="AL373" i="6"/>
  <c r="BA373" i="6"/>
  <c r="K374" i="12"/>
  <c r="E375" i="12"/>
  <c r="F375" i="6"/>
  <c r="BM373" i="6"/>
  <c r="CL373" i="6"/>
  <c r="CD373" i="6"/>
  <c r="E370" i="6"/>
  <c r="D370" i="12"/>
  <c r="D375" i="6"/>
  <c r="X370" i="12"/>
  <c r="W370" i="12"/>
  <c r="A376" i="12"/>
  <c r="D376" i="5"/>
  <c r="B376" i="12" s="1"/>
  <c r="F376" i="5"/>
  <c r="G376" i="5"/>
  <c r="E376" i="5"/>
  <c r="H376" i="5"/>
  <c r="AD376" i="5"/>
  <c r="W376" i="5"/>
  <c r="H376" i="12" s="1"/>
  <c r="K376" i="5"/>
  <c r="J376" i="5"/>
  <c r="R376" i="5"/>
  <c r="B376" i="5"/>
  <c r="B376" i="6"/>
  <c r="AE376" i="5"/>
  <c r="N376" i="5"/>
  <c r="C377" i="5"/>
  <c r="BO373" i="6"/>
  <c r="AM373" i="6"/>
  <c r="BK373" i="6"/>
  <c r="AK373" i="6"/>
  <c r="BG373" i="6"/>
  <c r="G373" i="12"/>
  <c r="X373" i="5"/>
  <c r="H374" i="6"/>
  <c r="T374" i="5" s="1"/>
  <c r="G374" i="6"/>
  <c r="M374" i="6"/>
  <c r="BY374" i="6" s="1"/>
  <c r="BH374" i="6"/>
  <c r="CI374" i="6"/>
  <c r="AQ374" i="6"/>
  <c r="N374" i="6"/>
  <c r="CL374" i="6"/>
  <c r="BL374" i="6"/>
  <c r="CG374" i="6"/>
  <c r="AV374" i="6"/>
  <c r="J375" i="12"/>
  <c r="L375" i="12"/>
  <c r="AY374" i="6" l="1"/>
  <c r="BJ374" i="6"/>
  <c r="AW374" i="6"/>
  <c r="AP374" i="6"/>
  <c r="AO374" i="6"/>
  <c r="AX374" i="6"/>
  <c r="CB374" i="6"/>
  <c r="BE374" i="6"/>
  <c r="BM374" i="6"/>
  <c r="CJ374" i="6"/>
  <c r="BN374" i="6"/>
  <c r="AS374" i="6"/>
  <c r="CE374" i="6"/>
  <c r="BV374" i="6"/>
  <c r="CF374" i="6"/>
  <c r="BZ374" i="6"/>
  <c r="AM374" i="6"/>
  <c r="CA374" i="6"/>
  <c r="BX374" i="6"/>
  <c r="BA374" i="6"/>
  <c r="BQ374" i="6"/>
  <c r="AL374" i="6"/>
  <c r="BS374" i="6"/>
  <c r="BW374" i="6"/>
  <c r="AU374" i="6"/>
  <c r="AT374" i="6"/>
  <c r="G374" i="12"/>
  <c r="X374" i="5"/>
  <c r="AJ374" i="6" s="1"/>
  <c r="AN374" i="6"/>
  <c r="CK374" i="6"/>
  <c r="CM374" i="6"/>
  <c r="T370" i="12"/>
  <c r="V370" i="12"/>
  <c r="U370" i="12"/>
  <c r="BC374" i="6"/>
  <c r="CH374" i="6"/>
  <c r="BF374" i="6"/>
  <c r="BD374" i="6"/>
  <c r="BP374" i="6"/>
  <c r="BG374" i="6"/>
  <c r="AZ374" i="6"/>
  <c r="AR374" i="6"/>
  <c r="BK374" i="6"/>
  <c r="N375" i="6"/>
  <c r="H375" i="6"/>
  <c r="T375" i="5" s="1"/>
  <c r="G375" i="6"/>
  <c r="M375" i="6"/>
  <c r="CA375" i="6" s="1"/>
  <c r="BC375" i="6"/>
  <c r="D376" i="6"/>
  <c r="K375" i="12"/>
  <c r="CD374" i="6"/>
  <c r="BT374" i="6"/>
  <c r="BO374" i="6"/>
  <c r="BR374" i="6"/>
  <c r="BI374" i="6"/>
  <c r="CC374" i="6"/>
  <c r="AK374" i="6"/>
  <c r="AM373" i="5"/>
  <c r="I373" i="12"/>
  <c r="L373" i="5"/>
  <c r="I373" i="5"/>
  <c r="Z373" i="5"/>
  <c r="AC373" i="5"/>
  <c r="AJ373" i="6"/>
  <c r="B377" i="5"/>
  <c r="A377" i="12"/>
  <c r="F377" i="5"/>
  <c r="N377" i="5"/>
  <c r="K377" i="5"/>
  <c r="J377" i="5"/>
  <c r="R377" i="5"/>
  <c r="B377" i="6"/>
  <c r="AE377" i="5"/>
  <c r="H377" i="5"/>
  <c r="AD377" i="5"/>
  <c r="G377" i="5"/>
  <c r="D377" i="5"/>
  <c r="B377" i="12" s="1"/>
  <c r="C378" i="5"/>
  <c r="W377" i="5"/>
  <c r="H377" i="12" s="1"/>
  <c r="E377" i="5"/>
  <c r="F376" i="6"/>
  <c r="E376" i="12"/>
  <c r="L376" i="12"/>
  <c r="J376" i="12"/>
  <c r="BA375" i="6" l="1"/>
  <c r="AR375" i="6"/>
  <c r="CJ375" i="6"/>
  <c r="L377" i="12"/>
  <c r="J377" i="12"/>
  <c r="BN375" i="6"/>
  <c r="BF375" i="6"/>
  <c r="K376" i="12"/>
  <c r="M376" i="6"/>
  <c r="BO376" i="6" s="1"/>
  <c r="G376" i="6"/>
  <c r="BN376" i="6"/>
  <c r="BY376" i="6"/>
  <c r="BF376" i="6"/>
  <c r="BZ376" i="6"/>
  <c r="BW376" i="6"/>
  <c r="BL376" i="6"/>
  <c r="H376" i="6"/>
  <c r="T376" i="5" s="1"/>
  <c r="CC376" i="6"/>
  <c r="BG376" i="6"/>
  <c r="CA376" i="6"/>
  <c r="BV376" i="6"/>
  <c r="BR376" i="6"/>
  <c r="BE376" i="6"/>
  <c r="AQ376" i="6"/>
  <c r="BK376" i="6"/>
  <c r="CK376" i="6"/>
  <c r="AP376" i="6"/>
  <c r="BC376" i="6"/>
  <c r="CD376" i="6"/>
  <c r="BA376" i="6"/>
  <c r="BM376" i="6"/>
  <c r="CF376" i="6"/>
  <c r="N376" i="6"/>
  <c r="AN376" i="6"/>
  <c r="CH376" i="6"/>
  <c r="CG376" i="6"/>
  <c r="BQ376" i="6"/>
  <c r="BJ376" i="6"/>
  <c r="CI376" i="6"/>
  <c r="BD376" i="6"/>
  <c r="AK376" i="6"/>
  <c r="CE376" i="6"/>
  <c r="CB376" i="6"/>
  <c r="CL376" i="6"/>
  <c r="BP376" i="6"/>
  <c r="CJ376" i="6"/>
  <c r="BI376" i="6"/>
  <c r="BT376" i="6"/>
  <c r="CM376" i="6"/>
  <c r="BR375" i="6"/>
  <c r="BD375" i="6"/>
  <c r="BL375" i="6"/>
  <c r="BG375" i="6"/>
  <c r="BW375" i="6"/>
  <c r="CG375" i="6"/>
  <c r="BS375" i="6"/>
  <c r="BO375" i="6"/>
  <c r="AU375" i="6"/>
  <c r="AL375" i="6"/>
  <c r="G375" i="12"/>
  <c r="X375" i="5"/>
  <c r="CB375" i="6"/>
  <c r="CI375" i="6"/>
  <c r="CH375" i="6"/>
  <c r="CM375" i="6"/>
  <c r="CD375" i="6"/>
  <c r="BQ375" i="6"/>
  <c r="BY375" i="6"/>
  <c r="D377" i="6"/>
  <c r="C373" i="6"/>
  <c r="O373" i="5"/>
  <c r="CE375" i="6"/>
  <c r="BH375" i="6"/>
  <c r="AQ375" i="6"/>
  <c r="CF375" i="6"/>
  <c r="BI375" i="6"/>
  <c r="AS375" i="6"/>
  <c r="BE375" i="6"/>
  <c r="BM375" i="6"/>
  <c r="AN375" i="6"/>
  <c r="AO375" i="6"/>
  <c r="AX375" i="6"/>
  <c r="AM375" i="6"/>
  <c r="AZ375" i="6"/>
  <c r="BJ375" i="6"/>
  <c r="AA373" i="5"/>
  <c r="AB373" i="5"/>
  <c r="AW375" i="6"/>
  <c r="CK375" i="6"/>
  <c r="BP375" i="6"/>
  <c r="N378" i="5"/>
  <c r="G378" i="5"/>
  <c r="K378" i="5"/>
  <c r="R378" i="5"/>
  <c r="AD378" i="5"/>
  <c r="A378" i="12"/>
  <c r="D378" i="5"/>
  <c r="B378" i="12" s="1"/>
  <c r="H378" i="5"/>
  <c r="AE378" i="5"/>
  <c r="E378" i="5"/>
  <c r="B378" i="6"/>
  <c r="F378" i="5"/>
  <c r="W378" i="5"/>
  <c r="H378" i="12" s="1"/>
  <c r="J378" i="5"/>
  <c r="C379" i="5"/>
  <c r="B378" i="5"/>
  <c r="F377" i="6"/>
  <c r="E377" i="12"/>
  <c r="C373" i="12"/>
  <c r="M373" i="12"/>
  <c r="AO373" i="12"/>
  <c r="O373" i="12"/>
  <c r="AJ375" i="6"/>
  <c r="CC375" i="6"/>
  <c r="BV375" i="6"/>
  <c r="BX375" i="6"/>
  <c r="AK375" i="6"/>
  <c r="CL375" i="6"/>
  <c r="AY375" i="6"/>
  <c r="AV375" i="6"/>
  <c r="AT375" i="6"/>
  <c r="BT375" i="6"/>
  <c r="BK375" i="6"/>
  <c r="AP375" i="6"/>
  <c r="BZ375" i="6"/>
  <c r="AM374" i="5"/>
  <c r="L374" i="5"/>
  <c r="I374" i="12"/>
  <c r="I374" i="5"/>
  <c r="Z374" i="5"/>
  <c r="AC374" i="5"/>
  <c r="Y373" i="12" l="1"/>
  <c r="BS376" i="6"/>
  <c r="BX376" i="6"/>
  <c r="BH376" i="6"/>
  <c r="AB374" i="5"/>
  <c r="AA374" i="5"/>
  <c r="N379" i="5"/>
  <c r="B379" i="5"/>
  <c r="G379" i="5"/>
  <c r="D379" i="5"/>
  <c r="B379" i="12" s="1"/>
  <c r="C380" i="5"/>
  <c r="E379" i="5"/>
  <c r="R379" i="5"/>
  <c r="A379" i="12"/>
  <c r="AD379" i="5"/>
  <c r="K379" i="5"/>
  <c r="W379" i="5"/>
  <c r="H379" i="12" s="1"/>
  <c r="F379" i="5"/>
  <c r="B379" i="6"/>
  <c r="H379" i="5"/>
  <c r="AE379" i="5"/>
  <c r="J379" i="5"/>
  <c r="L378" i="12"/>
  <c r="J378" i="12"/>
  <c r="H377" i="6"/>
  <c r="T377" i="5" s="1"/>
  <c r="M377" i="6"/>
  <c r="BE377" i="6" s="1"/>
  <c r="BW377" i="6"/>
  <c r="CH377" i="6"/>
  <c r="AN377" i="6"/>
  <c r="BQ377" i="6"/>
  <c r="CM377" i="6"/>
  <c r="CD377" i="6"/>
  <c r="CL377" i="6"/>
  <c r="CA377" i="6"/>
  <c r="N377" i="6"/>
  <c r="CG377" i="6"/>
  <c r="BK377" i="6"/>
  <c r="BM377" i="6"/>
  <c r="AO377" i="6"/>
  <c r="BI377" i="6"/>
  <c r="BZ377" i="6"/>
  <c r="G377" i="6"/>
  <c r="BF377" i="6"/>
  <c r="BL377" i="6"/>
  <c r="BC377" i="6"/>
  <c r="CK377" i="6"/>
  <c r="CB377" i="6"/>
  <c r="BS377" i="6"/>
  <c r="BP377" i="6"/>
  <c r="BR377" i="6"/>
  <c r="BN377" i="6"/>
  <c r="BO377" i="6"/>
  <c r="BH377" i="6"/>
  <c r="BG377" i="6"/>
  <c r="BY377" i="6"/>
  <c r="CI377" i="6"/>
  <c r="G376" i="12"/>
  <c r="X376" i="5"/>
  <c r="AJ376" i="6" s="1"/>
  <c r="D378" i="6"/>
  <c r="L375" i="5"/>
  <c r="AM375" i="5"/>
  <c r="I375" i="12"/>
  <c r="I375" i="5"/>
  <c r="Z375" i="5"/>
  <c r="AC375" i="5"/>
  <c r="AS376" i="6"/>
  <c r="C374" i="12"/>
  <c r="M374" i="12"/>
  <c r="AO374" i="12"/>
  <c r="O374" i="12"/>
  <c r="N373" i="12"/>
  <c r="E378" i="12"/>
  <c r="F378" i="6"/>
  <c r="D373" i="12"/>
  <c r="E373" i="6"/>
  <c r="AM376" i="6"/>
  <c r="AY376" i="6"/>
  <c r="AV376" i="6"/>
  <c r="AO376" i="6"/>
  <c r="AR376" i="6"/>
  <c r="AT376" i="6"/>
  <c r="AW376" i="6"/>
  <c r="K377" i="12"/>
  <c r="C374" i="6"/>
  <c r="O374" i="5"/>
  <c r="W373" i="12"/>
  <c r="X373" i="12"/>
  <c r="AU376" i="6"/>
  <c r="AL376" i="6"/>
  <c r="AX376" i="6"/>
  <c r="AZ376" i="6"/>
  <c r="AL377" i="6" l="1"/>
  <c r="AV377" i="6"/>
  <c r="CF377" i="6"/>
  <c r="BV377" i="6"/>
  <c r="CC377" i="6"/>
  <c r="CE377" i="6"/>
  <c r="BX377" i="6"/>
  <c r="AQ377" i="6"/>
  <c r="AM377" i="6"/>
  <c r="BD377" i="6"/>
  <c r="CJ377" i="6"/>
  <c r="AX377" i="6"/>
  <c r="AW377" i="6"/>
  <c r="BJ377" i="6"/>
  <c r="AK377" i="6"/>
  <c r="BT377" i="6"/>
  <c r="K378" i="12"/>
  <c r="AR377" i="6"/>
  <c r="AT377" i="6"/>
  <c r="BA377" i="6"/>
  <c r="AU377" i="6"/>
  <c r="AY377" i="6"/>
  <c r="AP377" i="6"/>
  <c r="T373" i="12"/>
  <c r="V373" i="12"/>
  <c r="U373" i="12"/>
  <c r="H378" i="6"/>
  <c r="T378" i="5" s="1"/>
  <c r="G378" i="6"/>
  <c r="N378" i="6"/>
  <c r="M378" i="6"/>
  <c r="CF378" i="6" s="1"/>
  <c r="CA378" i="6"/>
  <c r="CB378" i="6"/>
  <c r="AZ377" i="6"/>
  <c r="A380" i="12"/>
  <c r="AD380" i="5"/>
  <c r="E380" i="5"/>
  <c r="H380" i="5"/>
  <c r="K380" i="5"/>
  <c r="F380" i="5"/>
  <c r="R380" i="5"/>
  <c r="AE380" i="5"/>
  <c r="D380" i="5"/>
  <c r="B380" i="12" s="1"/>
  <c r="N380" i="5"/>
  <c r="W380" i="5"/>
  <c r="H380" i="12" s="1"/>
  <c r="C381" i="5"/>
  <c r="B380" i="5"/>
  <c r="G380" i="5"/>
  <c r="J380" i="5"/>
  <c r="B380" i="6"/>
  <c r="D379" i="6"/>
  <c r="AA375" i="5"/>
  <c r="AB375" i="5"/>
  <c r="C375" i="6"/>
  <c r="O375" i="5"/>
  <c r="N374" i="12"/>
  <c r="C375" i="12"/>
  <c r="AO375" i="12"/>
  <c r="O375" i="12"/>
  <c r="M375" i="12"/>
  <c r="G377" i="12"/>
  <c r="X377" i="5"/>
  <c r="J379" i="12"/>
  <c r="L379" i="12"/>
  <c r="E374" i="6"/>
  <c r="D374" i="12"/>
  <c r="Y374" i="12"/>
  <c r="I376" i="12"/>
  <c r="L376" i="5"/>
  <c r="AM376" i="5"/>
  <c r="I376" i="5"/>
  <c r="Z376" i="5"/>
  <c r="AC376" i="5"/>
  <c r="AS377" i="6"/>
  <c r="E379" i="12"/>
  <c r="F379" i="6"/>
  <c r="AX378" i="6" l="1"/>
  <c r="AZ378" i="6"/>
  <c r="CE378" i="6"/>
  <c r="BS378" i="6"/>
  <c r="BO378" i="6"/>
  <c r="G378" i="12"/>
  <c r="X378" i="5"/>
  <c r="C376" i="6"/>
  <c r="O376" i="5"/>
  <c r="L380" i="12"/>
  <c r="J380" i="12"/>
  <c r="AU378" i="6"/>
  <c r="BJ378" i="6"/>
  <c r="BC378" i="6"/>
  <c r="BN378" i="6"/>
  <c r="CH378" i="6"/>
  <c r="AP378" i="6"/>
  <c r="CG378" i="6"/>
  <c r="BV378" i="6"/>
  <c r="BM378" i="6"/>
  <c r="AW378" i="6"/>
  <c r="AS378" i="6"/>
  <c r="BQ378" i="6"/>
  <c r="AK378" i="6"/>
  <c r="CC378" i="6"/>
  <c r="BE378" i="6"/>
  <c r="CL378" i="6"/>
  <c r="BZ378" i="6"/>
  <c r="CM378" i="6"/>
  <c r="C376" i="12"/>
  <c r="M376" i="12"/>
  <c r="O376" i="12"/>
  <c r="AO376" i="12"/>
  <c r="N375" i="12"/>
  <c r="D375" i="12"/>
  <c r="E375" i="6"/>
  <c r="E381" i="5"/>
  <c r="AD381" i="5"/>
  <c r="J381" i="5"/>
  <c r="G381" i="5"/>
  <c r="K381" i="5"/>
  <c r="C382" i="5"/>
  <c r="D381" i="5"/>
  <c r="B381" i="12" s="1"/>
  <c r="B381" i="5"/>
  <c r="F381" i="5"/>
  <c r="N381" i="5"/>
  <c r="W381" i="5"/>
  <c r="H381" i="12" s="1"/>
  <c r="A381" i="12"/>
  <c r="R381" i="5"/>
  <c r="B381" i="6"/>
  <c r="H381" i="5"/>
  <c r="AE381" i="5"/>
  <c r="D380" i="6"/>
  <c r="CI378" i="6"/>
  <c r="BA378" i="6"/>
  <c r="AO378" i="6"/>
  <c r="BI378" i="6"/>
  <c r="AT378" i="6"/>
  <c r="BX378" i="6"/>
  <c r="AM378" i="6"/>
  <c r="BL378" i="6"/>
  <c r="BR378" i="6"/>
  <c r="BY378" i="6"/>
  <c r="CD378" i="6"/>
  <c r="CJ378" i="6"/>
  <c r="BW378" i="6"/>
  <c r="BT378" i="6"/>
  <c r="BG378" i="6"/>
  <c r="AB376" i="5"/>
  <c r="AA376" i="5"/>
  <c r="W374" i="12"/>
  <c r="X374" i="12"/>
  <c r="K379" i="12"/>
  <c r="L377" i="5"/>
  <c r="I377" i="12"/>
  <c r="AM377" i="5"/>
  <c r="I377" i="5"/>
  <c r="Z377" i="5"/>
  <c r="AC377" i="5"/>
  <c r="AJ377" i="6"/>
  <c r="Y375" i="12"/>
  <c r="H379" i="6"/>
  <c r="T379" i="5" s="1"/>
  <c r="G379" i="6"/>
  <c r="N379" i="6"/>
  <c r="M379" i="6"/>
  <c r="BF379" i="6" s="1"/>
  <c r="CL379" i="6"/>
  <c r="E380" i="12"/>
  <c r="F380" i="6"/>
  <c r="AL378" i="6"/>
  <c r="BD378" i="6"/>
  <c r="CK378" i="6"/>
  <c r="BP378" i="6"/>
  <c r="BH378" i="6"/>
  <c r="BF378" i="6"/>
  <c r="AQ378" i="6"/>
  <c r="AN378" i="6"/>
  <c r="AV378" i="6"/>
  <c r="BK378" i="6"/>
  <c r="AR378" i="6"/>
  <c r="AY378" i="6"/>
  <c r="K380" i="12" l="1"/>
  <c r="Y376" i="12"/>
  <c r="X376" i="12" s="1"/>
  <c r="BT379" i="6"/>
  <c r="CG379" i="6"/>
  <c r="AO379" i="6"/>
  <c r="AN379" i="6"/>
  <c r="CK379" i="6"/>
  <c r="BX379" i="6"/>
  <c r="CD379" i="6"/>
  <c r="BS379" i="6"/>
  <c r="BC379" i="6"/>
  <c r="AT379" i="6"/>
  <c r="CH379" i="6"/>
  <c r="AU379" i="6"/>
  <c r="BW379" i="6"/>
  <c r="BZ379" i="6"/>
  <c r="AR379" i="6"/>
  <c r="BI379" i="6"/>
  <c r="AL379" i="6"/>
  <c r="BP379" i="6"/>
  <c r="BJ379" i="6"/>
  <c r="AX379" i="6"/>
  <c r="BR379" i="6"/>
  <c r="CE379" i="6"/>
  <c r="BV379" i="6"/>
  <c r="BD379" i="6"/>
  <c r="I378" i="12"/>
  <c r="AM378" i="5"/>
  <c r="L378" i="5"/>
  <c r="I378" i="5"/>
  <c r="Z378" i="5"/>
  <c r="AC378" i="5"/>
  <c r="AK379" i="6"/>
  <c r="BY379" i="6"/>
  <c r="BA379" i="6"/>
  <c r="BN379" i="6"/>
  <c r="AZ379" i="6"/>
  <c r="CM379" i="6"/>
  <c r="BE379" i="6"/>
  <c r="AW379" i="6"/>
  <c r="AV379" i="6"/>
  <c r="BQ379" i="6"/>
  <c r="CI379" i="6"/>
  <c r="AP379" i="6"/>
  <c r="AY379" i="6"/>
  <c r="CA379" i="6"/>
  <c r="CJ379" i="6"/>
  <c r="C377" i="12"/>
  <c r="AO377" i="12"/>
  <c r="O377" i="12"/>
  <c r="N377" i="12" s="1"/>
  <c r="M377" i="12"/>
  <c r="V374" i="12"/>
  <c r="T374" i="12"/>
  <c r="U374" i="12"/>
  <c r="BO379" i="6"/>
  <c r="BK379" i="6"/>
  <c r="AA377" i="5"/>
  <c r="AB377" i="5"/>
  <c r="C377" i="6"/>
  <c r="O377" i="5"/>
  <c r="F381" i="6"/>
  <c r="E381" i="12"/>
  <c r="W376" i="12"/>
  <c r="AJ378" i="6"/>
  <c r="E376" i="6"/>
  <c r="D376" i="12"/>
  <c r="N380" i="6"/>
  <c r="M380" i="6"/>
  <c r="BF380" i="6" s="1"/>
  <c r="H380" i="6"/>
  <c r="T380" i="5" s="1"/>
  <c r="BW380" i="6"/>
  <c r="AP380" i="6"/>
  <c r="AO380" i="6"/>
  <c r="G380" i="6"/>
  <c r="BL380" i="6"/>
  <c r="BG380" i="6"/>
  <c r="BG379" i="6"/>
  <c r="BL379" i="6"/>
  <c r="AM379" i="6"/>
  <c r="CB379" i="6"/>
  <c r="CF379" i="6"/>
  <c r="AQ379" i="6"/>
  <c r="BH379" i="6"/>
  <c r="BM379" i="6"/>
  <c r="G379" i="12"/>
  <c r="X379" i="5"/>
  <c r="AS379" i="6"/>
  <c r="CC379" i="6"/>
  <c r="W375" i="12"/>
  <c r="X375" i="12"/>
  <c r="L381" i="12"/>
  <c r="J381" i="12"/>
  <c r="D381" i="6"/>
  <c r="F382" i="5"/>
  <c r="AE382" i="5"/>
  <c r="A382" i="12"/>
  <c r="N382" i="5"/>
  <c r="AD382" i="5"/>
  <c r="C383" i="5"/>
  <c r="H382" i="5"/>
  <c r="G382" i="5"/>
  <c r="R382" i="5"/>
  <c r="B382" i="6"/>
  <c r="D382" i="5"/>
  <c r="B382" i="12" s="1"/>
  <c r="K382" i="5"/>
  <c r="B382" i="5"/>
  <c r="E382" i="5"/>
  <c r="J382" i="5"/>
  <c r="W382" i="5"/>
  <c r="H382" i="12" s="1"/>
  <c r="N376" i="12"/>
  <c r="K381" i="12" l="1"/>
  <c r="BZ380" i="6"/>
  <c r="AK380" i="6"/>
  <c r="AZ380" i="6"/>
  <c r="BA380" i="6"/>
  <c r="BQ380" i="6"/>
  <c r="AW380" i="6"/>
  <c r="CM380" i="6"/>
  <c r="AQ380" i="6"/>
  <c r="BC380" i="6"/>
  <c r="CD380" i="6"/>
  <c r="CG380" i="6"/>
  <c r="CB380" i="6"/>
  <c r="AL380" i="6"/>
  <c r="CA380" i="6"/>
  <c r="BJ380" i="6"/>
  <c r="AY380" i="6"/>
  <c r="AV380" i="6"/>
  <c r="BV380" i="6"/>
  <c r="AU380" i="6"/>
  <c r="BS380" i="6"/>
  <c r="AR380" i="6"/>
  <c r="AN380" i="6"/>
  <c r="AM380" i="6"/>
  <c r="BE380" i="6"/>
  <c r="AX380" i="6"/>
  <c r="CK380" i="6"/>
  <c r="BX380" i="6"/>
  <c r="BK380" i="6"/>
  <c r="BD380" i="6"/>
  <c r="BO380" i="6"/>
  <c r="J382" i="12"/>
  <c r="L382" i="12"/>
  <c r="CE380" i="6"/>
  <c r="CJ380" i="6"/>
  <c r="G380" i="12"/>
  <c r="X380" i="5"/>
  <c r="AJ380" i="6" s="1"/>
  <c r="CL380" i="6"/>
  <c r="BY380" i="6"/>
  <c r="BH380" i="6"/>
  <c r="Y377" i="12"/>
  <c r="C378" i="6"/>
  <c r="O378" i="5"/>
  <c r="N381" i="6"/>
  <c r="H381" i="6"/>
  <c r="T381" i="5" s="1"/>
  <c r="G381" i="6"/>
  <c r="M381" i="6"/>
  <c r="CM381" i="6" s="1"/>
  <c r="BQ381" i="6"/>
  <c r="C384" i="5"/>
  <c r="AD383" i="5"/>
  <c r="A383" i="12"/>
  <c r="N383" i="5"/>
  <c r="R383" i="5"/>
  <c r="F383" i="5"/>
  <c r="AE383" i="5"/>
  <c r="E383" i="5"/>
  <c r="B383" i="6"/>
  <c r="W383" i="5"/>
  <c r="H383" i="12" s="1"/>
  <c r="B383" i="5"/>
  <c r="D383" i="5"/>
  <c r="B383" i="12" s="1"/>
  <c r="G383" i="5"/>
  <c r="J383" i="5"/>
  <c r="K383" i="5"/>
  <c r="H383" i="5"/>
  <c r="BI380" i="6"/>
  <c r="BN380" i="6"/>
  <c r="V376" i="12"/>
  <c r="T376" i="12"/>
  <c r="U376" i="12"/>
  <c r="D377" i="12"/>
  <c r="E377" i="6"/>
  <c r="D382" i="6"/>
  <c r="V375" i="12"/>
  <c r="T375" i="12"/>
  <c r="U375" i="12"/>
  <c r="F382" i="6"/>
  <c r="E382" i="12"/>
  <c r="I379" i="12"/>
  <c r="L379" i="5"/>
  <c r="AM379" i="5"/>
  <c r="I379" i="5"/>
  <c r="Z379" i="5"/>
  <c r="AC379" i="5"/>
  <c r="AJ379" i="6"/>
  <c r="CC380" i="6"/>
  <c r="CH380" i="6"/>
  <c r="BP380" i="6"/>
  <c r="BT380" i="6"/>
  <c r="CI380" i="6"/>
  <c r="AT380" i="6"/>
  <c r="BR380" i="6"/>
  <c r="CF380" i="6"/>
  <c r="AS380" i="6"/>
  <c r="BM380" i="6"/>
  <c r="AB378" i="5"/>
  <c r="AA378" i="5"/>
  <c r="C378" i="12"/>
  <c r="AO378" i="12"/>
  <c r="M378" i="12"/>
  <c r="O378" i="12"/>
  <c r="BW381" i="6" l="1"/>
  <c r="K382" i="12"/>
  <c r="G381" i="12"/>
  <c r="X381" i="5"/>
  <c r="AL381" i="6"/>
  <c r="C379" i="6"/>
  <c r="O379" i="5"/>
  <c r="N382" i="6"/>
  <c r="M382" i="6"/>
  <c r="CD382" i="6" s="1"/>
  <c r="BS382" i="6"/>
  <c r="BL382" i="6"/>
  <c r="G382" i="6"/>
  <c r="BI382" i="6"/>
  <c r="BP382" i="6"/>
  <c r="BF382" i="6"/>
  <c r="BV382" i="6"/>
  <c r="H382" i="6"/>
  <c r="T382" i="5" s="1"/>
  <c r="CA382" i="6"/>
  <c r="CC382" i="6"/>
  <c r="CL381" i="6"/>
  <c r="AR381" i="6"/>
  <c r="BG381" i="6"/>
  <c r="BH381" i="6"/>
  <c r="BX381" i="6"/>
  <c r="BO381" i="6"/>
  <c r="AS381" i="6"/>
  <c r="AT381" i="6"/>
  <c r="BL381" i="6"/>
  <c r="BN381" i="6"/>
  <c r="AU381" i="6"/>
  <c r="BJ381" i="6"/>
  <c r="CC381" i="6"/>
  <c r="BV381" i="6"/>
  <c r="D378" i="12"/>
  <c r="E378" i="6"/>
  <c r="BS381" i="6"/>
  <c r="AY381" i="6"/>
  <c r="AN381" i="6"/>
  <c r="BR381" i="6"/>
  <c r="CE381" i="6"/>
  <c r="AK381" i="6"/>
  <c r="BY381" i="6"/>
  <c r="Y378" i="12"/>
  <c r="AB379" i="5"/>
  <c r="AA379" i="5"/>
  <c r="C379" i="12"/>
  <c r="O379" i="12"/>
  <c r="AO379" i="12"/>
  <c r="Y379" i="12" s="1"/>
  <c r="M379" i="12"/>
  <c r="F383" i="6"/>
  <c r="E383" i="12"/>
  <c r="B384" i="6"/>
  <c r="N384" i="5"/>
  <c r="J384" i="5"/>
  <c r="H384" i="5"/>
  <c r="B384" i="5"/>
  <c r="D384" i="5"/>
  <c r="B384" i="12" s="1"/>
  <c r="AE384" i="5"/>
  <c r="W384" i="5"/>
  <c r="H384" i="12" s="1"/>
  <c r="F384" i="5"/>
  <c r="G384" i="5"/>
  <c r="AD384" i="5"/>
  <c r="R384" i="5"/>
  <c r="K384" i="5"/>
  <c r="E384" i="5"/>
  <c r="A384" i="12"/>
  <c r="C385" i="5"/>
  <c r="BT381" i="6"/>
  <c r="BE381" i="6"/>
  <c r="AZ381" i="6"/>
  <c r="AW381" i="6"/>
  <c r="AQ381" i="6"/>
  <c r="BZ381" i="6"/>
  <c r="CA381" i="6"/>
  <c r="CJ381" i="6"/>
  <c r="CF381" i="6"/>
  <c r="AV381" i="6"/>
  <c r="BF381" i="6"/>
  <c r="CH381" i="6"/>
  <c r="BD381" i="6"/>
  <c r="CG381" i="6"/>
  <c r="J383" i="12"/>
  <c r="L383" i="12"/>
  <c r="CI381" i="6"/>
  <c r="AO381" i="6"/>
  <c r="N378" i="12"/>
  <c r="D383" i="6"/>
  <c r="BI381" i="6"/>
  <c r="BM381" i="6"/>
  <c r="BP381" i="6"/>
  <c r="AM381" i="6"/>
  <c r="BK381" i="6"/>
  <c r="CK381" i="6"/>
  <c r="AJ381" i="6"/>
  <c r="BC381" i="6"/>
  <c r="AX381" i="6"/>
  <c r="BA381" i="6"/>
  <c r="CD381" i="6"/>
  <c r="CB381" i="6"/>
  <c r="AP381" i="6"/>
  <c r="X377" i="12"/>
  <c r="W377" i="12"/>
  <c r="I380" i="12"/>
  <c r="AM380" i="5"/>
  <c r="L380" i="5"/>
  <c r="I380" i="5"/>
  <c r="Z380" i="5"/>
  <c r="AC380" i="5"/>
  <c r="K383" i="12" l="1"/>
  <c r="CG382" i="6"/>
  <c r="AY382" i="6"/>
  <c r="BE382" i="6"/>
  <c r="CL382" i="6"/>
  <c r="BW382" i="6"/>
  <c r="CB382" i="6"/>
  <c r="CI382" i="6"/>
  <c r="CJ382" i="6"/>
  <c r="CK382" i="6"/>
  <c r="CF382" i="6"/>
  <c r="N379" i="12"/>
  <c r="AV382" i="6"/>
  <c r="AQ382" i="6"/>
  <c r="AT382" i="6"/>
  <c r="AS382" i="6"/>
  <c r="U377" i="12"/>
  <c r="V377" i="12"/>
  <c r="T377" i="12"/>
  <c r="AD385" i="5"/>
  <c r="K385" i="5"/>
  <c r="A385" i="12"/>
  <c r="W385" i="5"/>
  <c r="H385" i="12" s="1"/>
  <c r="N385" i="5"/>
  <c r="E385" i="5"/>
  <c r="H385" i="5"/>
  <c r="R385" i="5"/>
  <c r="J385" i="5"/>
  <c r="D385" i="5"/>
  <c r="B385" i="12" s="1"/>
  <c r="F385" i="5"/>
  <c r="G385" i="5"/>
  <c r="B385" i="6"/>
  <c r="AE385" i="5"/>
  <c r="B385" i="5"/>
  <c r="C386" i="5" s="1"/>
  <c r="C380" i="6"/>
  <c r="O380" i="5"/>
  <c r="E384" i="12"/>
  <c r="F384" i="6"/>
  <c r="G382" i="12"/>
  <c r="X382" i="5"/>
  <c r="AW382" i="6"/>
  <c r="BA382" i="6"/>
  <c r="BK382" i="6"/>
  <c r="AX382" i="6"/>
  <c r="AN382" i="6"/>
  <c r="W378" i="12"/>
  <c r="X378" i="12"/>
  <c r="BY382" i="6"/>
  <c r="CE382" i="6"/>
  <c r="AO382" i="6"/>
  <c r="BX382" i="6"/>
  <c r="BD382" i="6"/>
  <c r="BH382" i="6"/>
  <c r="BN382" i="6"/>
  <c r="CH382" i="6"/>
  <c r="BJ382" i="6"/>
  <c r="AZ382" i="6"/>
  <c r="BT382" i="6"/>
  <c r="AU382" i="6"/>
  <c r="BM382" i="6"/>
  <c r="L381" i="5"/>
  <c r="AM381" i="5"/>
  <c r="I381" i="12"/>
  <c r="Z381" i="5"/>
  <c r="I381" i="5"/>
  <c r="AC381" i="5"/>
  <c r="N383" i="6"/>
  <c r="H383" i="6"/>
  <c r="T383" i="5" s="1"/>
  <c r="M383" i="6"/>
  <c r="CD383" i="6" s="1"/>
  <c r="G383" i="6"/>
  <c r="BX383" i="6"/>
  <c r="AW383" i="6"/>
  <c r="X379" i="12"/>
  <c r="W379" i="12"/>
  <c r="L384" i="12"/>
  <c r="J384" i="12"/>
  <c r="AA380" i="5"/>
  <c r="AB380" i="5"/>
  <c r="C380" i="12"/>
  <c r="O380" i="12"/>
  <c r="AO380" i="12"/>
  <c r="M380" i="12"/>
  <c r="D384" i="6"/>
  <c r="AK382" i="6"/>
  <c r="BZ382" i="6"/>
  <c r="CM382" i="6"/>
  <c r="BR382" i="6"/>
  <c r="BO382" i="6"/>
  <c r="AM382" i="6"/>
  <c r="AR382" i="6"/>
  <c r="BC382" i="6"/>
  <c r="AP382" i="6"/>
  <c r="BG382" i="6"/>
  <c r="BQ382" i="6"/>
  <c r="AJ382" i="6"/>
  <c r="AL382" i="6"/>
  <c r="D379" i="12"/>
  <c r="E379" i="6"/>
  <c r="AU383" i="6" l="1"/>
  <c r="BZ383" i="6"/>
  <c r="BL383" i="6"/>
  <c r="BJ383" i="6"/>
  <c r="CM383" i="6"/>
  <c r="BW383" i="6"/>
  <c r="AT383" i="6"/>
  <c r="CA383" i="6"/>
  <c r="BS383" i="6"/>
  <c r="Y380" i="12"/>
  <c r="K384" i="12"/>
  <c r="BG383" i="6"/>
  <c r="CE383" i="6"/>
  <c r="CF383" i="6"/>
  <c r="AN383" i="6"/>
  <c r="BC383" i="6"/>
  <c r="AV383" i="6"/>
  <c r="CL383" i="6"/>
  <c r="AX383" i="6"/>
  <c r="BF383" i="6"/>
  <c r="BK383" i="6"/>
  <c r="BV383" i="6"/>
  <c r="BQ383" i="6"/>
  <c r="BT383" i="6"/>
  <c r="BN383" i="6"/>
  <c r="BP383" i="6"/>
  <c r="BI383" i="6"/>
  <c r="AZ383" i="6"/>
  <c r="BH383" i="6"/>
  <c r="CI383" i="6"/>
  <c r="CH383" i="6"/>
  <c r="CJ383" i="6"/>
  <c r="E386" i="5"/>
  <c r="B386" i="6"/>
  <c r="B386" i="5"/>
  <c r="AD386" i="5"/>
  <c r="A386" i="12"/>
  <c r="C387" i="5"/>
  <c r="N386" i="5"/>
  <c r="G386" i="5"/>
  <c r="AE386" i="5"/>
  <c r="W386" i="5"/>
  <c r="H386" i="12" s="1"/>
  <c r="F386" i="5"/>
  <c r="I386" i="5"/>
  <c r="H386" i="5"/>
  <c r="W380" i="12"/>
  <c r="X380" i="12"/>
  <c r="AB381" i="5"/>
  <c r="AA381" i="5"/>
  <c r="AM382" i="5"/>
  <c r="L382" i="5"/>
  <c r="I382" i="12"/>
  <c r="Z382" i="5"/>
  <c r="I382" i="5"/>
  <c r="AC382" i="5"/>
  <c r="E380" i="6"/>
  <c r="D380" i="12"/>
  <c r="L385" i="12"/>
  <c r="J385" i="12"/>
  <c r="E385" i="12"/>
  <c r="F385" i="6"/>
  <c r="N380" i="12"/>
  <c r="CK383" i="6"/>
  <c r="BA383" i="6"/>
  <c r="CG383" i="6"/>
  <c r="CC383" i="6"/>
  <c r="AP383" i="6"/>
  <c r="AR383" i="6"/>
  <c r="BY383" i="6"/>
  <c r="AM383" i="6"/>
  <c r="CB383" i="6"/>
  <c r="BR383" i="6"/>
  <c r="BE383" i="6"/>
  <c r="C381" i="12"/>
  <c r="O381" i="12"/>
  <c r="M381" i="12"/>
  <c r="AO381" i="12"/>
  <c r="C381" i="6"/>
  <c r="O381" i="5"/>
  <c r="H384" i="6"/>
  <c r="T384" i="5" s="1"/>
  <c r="M384" i="6"/>
  <c r="BZ384" i="6" s="1"/>
  <c r="N384" i="6"/>
  <c r="BF384" i="6"/>
  <c r="BP384" i="6"/>
  <c r="CJ384" i="6"/>
  <c r="G384" i="6"/>
  <c r="BQ384" i="6"/>
  <c r="BI384" i="6"/>
  <c r="U379" i="12"/>
  <c r="V379" i="12"/>
  <c r="T379" i="12"/>
  <c r="AS383" i="6"/>
  <c r="AY383" i="6"/>
  <c r="AK383" i="6"/>
  <c r="BD383" i="6"/>
  <c r="BO383" i="6"/>
  <c r="BM383" i="6"/>
  <c r="AO383" i="6"/>
  <c r="G383" i="12"/>
  <c r="X383" i="5"/>
  <c r="AL383" i="6"/>
  <c r="AQ383" i="6"/>
  <c r="T378" i="12"/>
  <c r="V378" i="12"/>
  <c r="U378" i="12"/>
  <c r="D385" i="6"/>
  <c r="CB384" i="6" l="1"/>
  <c r="BG384" i="6"/>
  <c r="AV384" i="6"/>
  <c r="AW384" i="6"/>
  <c r="CI384" i="6"/>
  <c r="BA384" i="6"/>
  <c r="AU384" i="6"/>
  <c r="CC384" i="6"/>
  <c r="BY384" i="6"/>
  <c r="AY384" i="6"/>
  <c r="BM384" i="6"/>
  <c r="CF384" i="6"/>
  <c r="BJ384" i="6"/>
  <c r="AK384" i="6"/>
  <c r="AZ384" i="6"/>
  <c r="Y381" i="12"/>
  <c r="W381" i="12" s="1"/>
  <c r="AM383" i="5"/>
  <c r="L383" i="5"/>
  <c r="I383" i="12"/>
  <c r="I383" i="5"/>
  <c r="Z383" i="5"/>
  <c r="AC383" i="5"/>
  <c r="AJ383" i="6"/>
  <c r="X381" i="12"/>
  <c r="C382" i="12"/>
  <c r="AO382" i="12"/>
  <c r="O382" i="12"/>
  <c r="M382" i="12"/>
  <c r="BR384" i="6"/>
  <c r="BK384" i="6"/>
  <c r="BD384" i="6"/>
  <c r="AR384" i="6"/>
  <c r="AQ384" i="6"/>
  <c r="BC384" i="6"/>
  <c r="G384" i="12"/>
  <c r="X384" i="5"/>
  <c r="C382" i="6"/>
  <c r="O382" i="5"/>
  <c r="A387" i="12"/>
  <c r="H387" i="5"/>
  <c r="N387" i="5"/>
  <c r="K387" i="5"/>
  <c r="C388" i="5"/>
  <c r="D387" i="5"/>
  <c r="B387" i="12" s="1"/>
  <c r="B387" i="5"/>
  <c r="E387" i="5"/>
  <c r="W387" i="5"/>
  <c r="H387" i="12" s="1"/>
  <c r="B387" i="6"/>
  <c r="J387" i="5"/>
  <c r="R387" i="5"/>
  <c r="AD387" i="5"/>
  <c r="F387" i="5"/>
  <c r="G387" i="5"/>
  <c r="AE387" i="5"/>
  <c r="D386" i="6"/>
  <c r="M385" i="6"/>
  <c r="BG385" i="6" s="1"/>
  <c r="BX385" i="6"/>
  <c r="CA385" i="6"/>
  <c r="BI385" i="6"/>
  <c r="CE385" i="6"/>
  <c r="BY385" i="6"/>
  <c r="BZ385" i="6"/>
  <c r="BW385" i="6"/>
  <c r="N385" i="6"/>
  <c r="H385" i="6"/>
  <c r="T385" i="5" s="1"/>
  <c r="BS385" i="6"/>
  <c r="CH385" i="6"/>
  <c r="BH385" i="6"/>
  <c r="AW385" i="6"/>
  <c r="BQ385" i="6"/>
  <c r="BE385" i="6"/>
  <c r="BT385" i="6"/>
  <c r="CJ385" i="6"/>
  <c r="BF385" i="6"/>
  <c r="BO385" i="6"/>
  <c r="BP385" i="6"/>
  <c r="AT385" i="6"/>
  <c r="BJ385" i="6"/>
  <c r="AK385" i="6"/>
  <c r="BD385" i="6"/>
  <c r="BN385" i="6"/>
  <c r="CI385" i="6"/>
  <c r="BK385" i="6"/>
  <c r="G385" i="6"/>
  <c r="CK385" i="6"/>
  <c r="AV385" i="6"/>
  <c r="CB385" i="6"/>
  <c r="BR385" i="6"/>
  <c r="CL385" i="6"/>
  <c r="AZ385" i="6"/>
  <c r="AN384" i="6"/>
  <c r="CL384" i="6"/>
  <c r="BN384" i="6"/>
  <c r="CA384" i="6"/>
  <c r="BL384" i="6"/>
  <c r="BS384" i="6"/>
  <c r="AS384" i="6"/>
  <c r="CD384" i="6"/>
  <c r="CM384" i="6"/>
  <c r="AP384" i="6"/>
  <c r="CK384" i="6"/>
  <c r="BO384" i="6"/>
  <c r="BT384" i="6"/>
  <c r="D381" i="12"/>
  <c r="E381" i="6"/>
  <c r="N381" i="12"/>
  <c r="K385" i="12"/>
  <c r="U380" i="12"/>
  <c r="T380" i="12"/>
  <c r="V380" i="12"/>
  <c r="AM384" i="6"/>
  <c r="AO384" i="6"/>
  <c r="CH384" i="6"/>
  <c r="AL384" i="6"/>
  <c r="CG384" i="6"/>
  <c r="BW384" i="6"/>
  <c r="BX384" i="6"/>
  <c r="AX384" i="6"/>
  <c r="BV384" i="6"/>
  <c r="CE384" i="6"/>
  <c r="BE384" i="6"/>
  <c r="BH384" i="6"/>
  <c r="AT384" i="6"/>
  <c r="AA382" i="5"/>
  <c r="AB382" i="5"/>
  <c r="BA385" i="6" l="1"/>
  <c r="AQ385" i="6"/>
  <c r="AY385" i="6"/>
  <c r="AS385" i="6"/>
  <c r="AL385" i="6"/>
  <c r="AM385" i="6"/>
  <c r="N382" i="12"/>
  <c r="G385" i="12"/>
  <c r="X385" i="5"/>
  <c r="AX385" i="6"/>
  <c r="AO385" i="6"/>
  <c r="CF385" i="6"/>
  <c r="AJ385" i="6"/>
  <c r="AU385" i="6"/>
  <c r="CM385" i="6"/>
  <c r="AN385" i="6"/>
  <c r="BF386" i="6"/>
  <c r="CC386" i="6"/>
  <c r="CM386" i="6"/>
  <c r="M386" i="6"/>
  <c r="AZ386" i="6" s="1"/>
  <c r="CL386" i="6"/>
  <c r="BP386" i="6"/>
  <c r="N386" i="6"/>
  <c r="CE386" i="6"/>
  <c r="BE386" i="6"/>
  <c r="CJ386" i="6"/>
  <c r="CA386" i="6"/>
  <c r="AY386" i="6"/>
  <c r="CB386" i="6"/>
  <c r="BZ386" i="6"/>
  <c r="BD386" i="6"/>
  <c r="BW386" i="6"/>
  <c r="CG386" i="6"/>
  <c r="BY386" i="6"/>
  <c r="G386" i="6"/>
  <c r="BS386" i="6"/>
  <c r="BJ386" i="6"/>
  <c r="H386" i="6"/>
  <c r="T386" i="5" s="1"/>
  <c r="G386" i="12" s="1"/>
  <c r="CI386" i="6"/>
  <c r="AR386" i="6"/>
  <c r="BH386" i="6"/>
  <c r="BC386" i="6"/>
  <c r="CK386" i="6"/>
  <c r="BV386" i="6"/>
  <c r="BM386" i="6"/>
  <c r="BL386" i="6"/>
  <c r="CD386" i="6"/>
  <c r="BX386" i="6"/>
  <c r="BK386" i="6"/>
  <c r="CH386" i="6"/>
  <c r="BI386" i="6"/>
  <c r="BR386" i="6"/>
  <c r="BQ386" i="6"/>
  <c r="CF386" i="6"/>
  <c r="BT386" i="6"/>
  <c r="BG386" i="6"/>
  <c r="BO386" i="6"/>
  <c r="BN386" i="6"/>
  <c r="D387" i="6"/>
  <c r="Y382" i="12"/>
  <c r="C383" i="12"/>
  <c r="O383" i="12"/>
  <c r="N383" i="12" s="1"/>
  <c r="M383" i="12"/>
  <c r="AO383" i="12"/>
  <c r="D382" i="12"/>
  <c r="E382" i="6"/>
  <c r="CG385" i="6"/>
  <c r="BV385" i="6"/>
  <c r="CC385" i="6"/>
  <c r="BL385" i="6"/>
  <c r="BC385" i="6"/>
  <c r="BM385" i="6"/>
  <c r="AR385" i="6"/>
  <c r="CD385" i="6"/>
  <c r="F387" i="6"/>
  <c r="E387" i="12"/>
  <c r="AM384" i="5"/>
  <c r="L384" i="5"/>
  <c r="I384" i="12"/>
  <c r="I384" i="5"/>
  <c r="Z384" i="5"/>
  <c r="AC384" i="5"/>
  <c r="C383" i="6"/>
  <c r="O383" i="5"/>
  <c r="AP385" i="6"/>
  <c r="G388" i="5"/>
  <c r="C389" i="5"/>
  <c r="E388" i="5"/>
  <c r="N388" i="5"/>
  <c r="D388" i="5"/>
  <c r="B388" i="12" s="1"/>
  <c r="F388" i="5"/>
  <c r="AE388" i="5"/>
  <c r="K388" i="5"/>
  <c r="W388" i="5"/>
  <c r="H388" i="12" s="1"/>
  <c r="B388" i="6"/>
  <c r="AD388" i="5"/>
  <c r="R388" i="5"/>
  <c r="B388" i="5"/>
  <c r="A388" i="12"/>
  <c r="J388" i="5"/>
  <c r="H388" i="5"/>
  <c r="L387" i="12"/>
  <c r="K387" i="12" s="1"/>
  <c r="J387" i="12"/>
  <c r="AJ384" i="6"/>
  <c r="V381" i="12"/>
  <c r="U381" i="12"/>
  <c r="T381" i="12"/>
  <c r="AB383" i="5"/>
  <c r="AA383" i="5"/>
  <c r="AK386" i="6" l="1"/>
  <c r="AP386" i="6"/>
  <c r="AX386" i="6"/>
  <c r="AJ386" i="6"/>
  <c r="BA386" i="6"/>
  <c r="AN386" i="6"/>
  <c r="AO386" i="6"/>
  <c r="AL386" i="6"/>
  <c r="AQ386" i="6"/>
  <c r="AM386" i="6"/>
  <c r="AT386" i="6"/>
  <c r="AS386" i="6"/>
  <c r="AW386" i="6"/>
  <c r="AU386" i="6"/>
  <c r="M387" i="6"/>
  <c r="CB387" i="6" s="1"/>
  <c r="BK387" i="6"/>
  <c r="BM387" i="6"/>
  <c r="BS387" i="6"/>
  <c r="BD387" i="6"/>
  <c r="BV387" i="6"/>
  <c r="CF387" i="6"/>
  <c r="BY387" i="6"/>
  <c r="CK387" i="6"/>
  <c r="CH387" i="6"/>
  <c r="BT387" i="6"/>
  <c r="BJ387" i="6"/>
  <c r="BI387" i="6"/>
  <c r="G387" i="6"/>
  <c r="H387" i="6"/>
  <c r="T387" i="5" s="1"/>
  <c r="BE387" i="6"/>
  <c r="BN387" i="6"/>
  <c r="BF387" i="6"/>
  <c r="BX387" i="6"/>
  <c r="CC387" i="6"/>
  <c r="BZ387" i="6"/>
  <c r="CE387" i="6"/>
  <c r="BQ387" i="6"/>
  <c r="BL387" i="6"/>
  <c r="AT387" i="6"/>
  <c r="CM387" i="6"/>
  <c r="CL387" i="6"/>
  <c r="BC387" i="6"/>
  <c r="BA387" i="6"/>
  <c r="N387" i="6"/>
  <c r="CA387" i="6"/>
  <c r="BO387" i="6"/>
  <c r="BH387" i="6"/>
  <c r="AS387" i="6"/>
  <c r="AR387" i="6"/>
  <c r="BR387" i="6"/>
  <c r="CI387" i="6"/>
  <c r="BW387" i="6"/>
  <c r="J388" i="12"/>
  <c r="L388" i="12"/>
  <c r="F388" i="6"/>
  <c r="E388" i="12"/>
  <c r="K389" i="5"/>
  <c r="J389" i="5"/>
  <c r="G389" i="5"/>
  <c r="AE389" i="5"/>
  <c r="E389" i="5"/>
  <c r="A389" i="12"/>
  <c r="B389" i="5"/>
  <c r="C390" i="5" s="1"/>
  <c r="W389" i="5"/>
  <c r="H389" i="12" s="1"/>
  <c r="AD389" i="5"/>
  <c r="D389" i="5"/>
  <c r="B389" i="12" s="1"/>
  <c r="H389" i="5"/>
  <c r="B389" i="6"/>
  <c r="F389" i="5"/>
  <c r="R389" i="5"/>
  <c r="N389" i="5"/>
  <c r="C384" i="12"/>
  <c r="M384" i="12"/>
  <c r="AO384" i="12"/>
  <c r="O384" i="12"/>
  <c r="AV386" i="6"/>
  <c r="E383" i="6"/>
  <c r="D383" i="12"/>
  <c r="C384" i="6"/>
  <c r="O384" i="5"/>
  <c r="Y383" i="12"/>
  <c r="W382" i="12"/>
  <c r="X382" i="12"/>
  <c r="L385" i="5"/>
  <c r="I385" i="12"/>
  <c r="AM385" i="5"/>
  <c r="I385" i="5"/>
  <c r="Z385" i="5"/>
  <c r="AC385" i="5"/>
  <c r="D388" i="6"/>
  <c r="AA384" i="5"/>
  <c r="AB384" i="5"/>
  <c r="AP387" i="6" l="1"/>
  <c r="CJ387" i="6"/>
  <c r="CD387" i="6"/>
  <c r="CG387" i="6"/>
  <c r="AL387" i="6"/>
  <c r="AK387" i="6"/>
  <c r="AV387" i="6"/>
  <c r="N384" i="12"/>
  <c r="AW387" i="6"/>
  <c r="AU387" i="6"/>
  <c r="AZ387" i="6"/>
  <c r="BP387" i="6"/>
  <c r="BG387" i="6"/>
  <c r="N390" i="5"/>
  <c r="W390" i="5"/>
  <c r="H390" i="12" s="1"/>
  <c r="AE390" i="5"/>
  <c r="H390" i="5"/>
  <c r="B390" i="6"/>
  <c r="E390" i="5"/>
  <c r="AD390" i="5"/>
  <c r="I390" i="5"/>
  <c r="F390" i="5"/>
  <c r="B390" i="5"/>
  <c r="C391" i="5" s="1"/>
  <c r="A390" i="12"/>
  <c r="G390" i="5"/>
  <c r="Y384" i="12"/>
  <c r="D389" i="6"/>
  <c r="K388" i="12"/>
  <c r="AM387" i="6"/>
  <c r="AO387" i="6"/>
  <c r="H388" i="6"/>
  <c r="T388" i="5" s="1"/>
  <c r="M388" i="6"/>
  <c r="BL388" i="6" s="1"/>
  <c r="G388" i="6"/>
  <c r="N388" i="6"/>
  <c r="U382" i="12"/>
  <c r="V382" i="12"/>
  <c r="T382" i="12"/>
  <c r="C385" i="12"/>
  <c r="M385" i="12"/>
  <c r="AO385" i="12"/>
  <c r="O385" i="12"/>
  <c r="E389" i="12"/>
  <c r="F389" i="6"/>
  <c r="J389" i="12"/>
  <c r="L389" i="12"/>
  <c r="G387" i="12"/>
  <c r="X387" i="5"/>
  <c r="AY387" i="6"/>
  <c r="AQ387" i="6"/>
  <c r="AN387" i="6"/>
  <c r="W383" i="12"/>
  <c r="X383" i="12"/>
  <c r="AB385" i="5"/>
  <c r="AA385" i="5"/>
  <c r="C385" i="6"/>
  <c r="O385" i="5"/>
  <c r="E384" i="6"/>
  <c r="D384" i="12"/>
  <c r="AX387" i="6"/>
  <c r="J386" i="5"/>
  <c r="BO388" i="6" l="1"/>
  <c r="CJ388" i="6"/>
  <c r="BM388" i="6"/>
  <c r="BX388" i="6"/>
  <c r="CL388" i="6"/>
  <c r="CE388" i="6"/>
  <c r="K389" i="12"/>
  <c r="BH388" i="6"/>
  <c r="BI388" i="6"/>
  <c r="BZ388" i="6"/>
  <c r="CG388" i="6"/>
  <c r="BS388" i="6"/>
  <c r="BP388" i="6"/>
  <c r="BG388" i="6"/>
  <c r="CB388" i="6"/>
  <c r="BR388" i="6"/>
  <c r="BQ388" i="6"/>
  <c r="CH388" i="6"/>
  <c r="CF388" i="6"/>
  <c r="BD388" i="6"/>
  <c r="CC388" i="6"/>
  <c r="N385" i="12"/>
  <c r="AQ388" i="6"/>
  <c r="BK388" i="6"/>
  <c r="AT388" i="6"/>
  <c r="BF388" i="6"/>
  <c r="BW388" i="6"/>
  <c r="AS388" i="6"/>
  <c r="BT388" i="6"/>
  <c r="BY388" i="6"/>
  <c r="CA388" i="6"/>
  <c r="CI388" i="6"/>
  <c r="BV388" i="6"/>
  <c r="BC388" i="6"/>
  <c r="AP388" i="6"/>
  <c r="CK388" i="6"/>
  <c r="CM388" i="6"/>
  <c r="BN388" i="6"/>
  <c r="CD388" i="6"/>
  <c r="BJ388" i="6"/>
  <c r="AM388" i="6"/>
  <c r="BE388" i="6"/>
  <c r="AE391" i="5"/>
  <c r="I391" i="5"/>
  <c r="G391" i="5"/>
  <c r="W391" i="5"/>
  <c r="H391" i="12" s="1"/>
  <c r="H391" i="5"/>
  <c r="A391" i="12"/>
  <c r="C392" i="5"/>
  <c r="AD391" i="5"/>
  <c r="B391" i="6"/>
  <c r="E391" i="5"/>
  <c r="N391" i="5"/>
  <c r="B391" i="5"/>
  <c r="F391" i="5"/>
  <c r="M389" i="6"/>
  <c r="CB389" i="6" s="1"/>
  <c r="G389" i="6"/>
  <c r="N389" i="6"/>
  <c r="CA389" i="6"/>
  <c r="H389" i="6"/>
  <c r="T389" i="5" s="1"/>
  <c r="BD389" i="6"/>
  <c r="AV388" i="6"/>
  <c r="AY388" i="6"/>
  <c r="AZ388" i="6"/>
  <c r="AX388" i="6"/>
  <c r="G388" i="12"/>
  <c r="X388" i="5"/>
  <c r="Y385" i="12"/>
  <c r="D385" i="12"/>
  <c r="E385" i="6"/>
  <c r="BA388" i="6"/>
  <c r="AK388" i="6"/>
  <c r="AO388" i="6"/>
  <c r="X384" i="12"/>
  <c r="W384" i="12"/>
  <c r="V383" i="12"/>
  <c r="T383" i="12"/>
  <c r="U383" i="12"/>
  <c r="AM387" i="5"/>
  <c r="I387" i="12"/>
  <c r="L387" i="5"/>
  <c r="I387" i="5"/>
  <c r="Z387" i="5"/>
  <c r="AC387" i="5"/>
  <c r="AJ387" i="6"/>
  <c r="AR388" i="6"/>
  <c r="AJ388" i="6"/>
  <c r="AL388" i="6"/>
  <c r="AU388" i="6"/>
  <c r="AN388" i="6"/>
  <c r="AW388" i="6"/>
  <c r="D390" i="6"/>
  <c r="BE389" i="6" l="1"/>
  <c r="BT389" i="6"/>
  <c r="CH389" i="6"/>
  <c r="BL389" i="6"/>
  <c r="BZ389" i="6"/>
  <c r="BM389" i="6"/>
  <c r="BW389" i="6"/>
  <c r="BC389" i="6"/>
  <c r="AS389" i="6"/>
  <c r="AX389" i="6"/>
  <c r="BA389" i="6"/>
  <c r="AL389" i="6"/>
  <c r="BH389" i="6"/>
  <c r="AP389" i="6"/>
  <c r="AU389" i="6"/>
  <c r="AV389" i="6"/>
  <c r="CI389" i="6"/>
  <c r="CJ389" i="6"/>
  <c r="BV389" i="6"/>
  <c r="AM389" i="6"/>
  <c r="AY389" i="6"/>
  <c r="AO389" i="6"/>
  <c r="CL389" i="6"/>
  <c r="AN389" i="6"/>
  <c r="C387" i="12"/>
  <c r="M387" i="12"/>
  <c r="AO387" i="12"/>
  <c r="O387" i="12"/>
  <c r="X385" i="12"/>
  <c r="W385" i="12"/>
  <c r="AQ389" i="6"/>
  <c r="AW389" i="6"/>
  <c r="BK389" i="6"/>
  <c r="D391" i="6"/>
  <c r="C393" i="5"/>
  <c r="A392" i="12"/>
  <c r="K392" i="5"/>
  <c r="E392" i="5"/>
  <c r="N392" i="5"/>
  <c r="B392" i="6"/>
  <c r="AE392" i="5"/>
  <c r="R392" i="5"/>
  <c r="J392" i="5"/>
  <c r="F392" i="5"/>
  <c r="AD392" i="5"/>
  <c r="D392" i="5"/>
  <c r="B392" i="12" s="1"/>
  <c r="W392" i="5"/>
  <c r="H392" i="12" s="1"/>
  <c r="B392" i="5"/>
  <c r="H392" i="5"/>
  <c r="G392" i="5"/>
  <c r="BT390" i="6"/>
  <c r="BW390" i="6"/>
  <c r="BS390" i="6"/>
  <c r="BL390" i="6"/>
  <c r="N390" i="6"/>
  <c r="H390" i="6"/>
  <c r="T390" i="5" s="1"/>
  <c r="G390" i="12" s="1"/>
  <c r="BX390" i="6"/>
  <c r="BP390" i="6"/>
  <c r="CJ390" i="6"/>
  <c r="BD390" i="6"/>
  <c r="BJ390" i="6"/>
  <c r="CD390" i="6"/>
  <c r="CA390" i="6"/>
  <c r="BH390" i="6"/>
  <c r="BY390" i="6"/>
  <c r="G390" i="6"/>
  <c r="CE390" i="6"/>
  <c r="CF390" i="6"/>
  <c r="BK390" i="6"/>
  <c r="BI390" i="6"/>
  <c r="BE390" i="6"/>
  <c r="BO390" i="6"/>
  <c r="CM390" i="6"/>
  <c r="BQ390" i="6"/>
  <c r="CB390" i="6"/>
  <c r="M390" i="6"/>
  <c r="AL390" i="6" s="1"/>
  <c r="BF390" i="6"/>
  <c r="CK390" i="6"/>
  <c r="BG390" i="6"/>
  <c r="BR390" i="6"/>
  <c r="BM390" i="6"/>
  <c r="BZ390" i="6"/>
  <c r="BC390" i="6"/>
  <c r="BN390" i="6"/>
  <c r="CI390" i="6"/>
  <c r="CH390" i="6"/>
  <c r="CL390" i="6"/>
  <c r="BV390" i="6"/>
  <c r="CG390" i="6"/>
  <c r="CC390" i="6"/>
  <c r="AB387" i="5"/>
  <c r="AA387" i="5"/>
  <c r="T384" i="12"/>
  <c r="U384" i="12"/>
  <c r="V384" i="12"/>
  <c r="AM388" i="5"/>
  <c r="L388" i="5"/>
  <c r="I388" i="12"/>
  <c r="I388" i="5"/>
  <c r="Z388" i="5"/>
  <c r="AC388" i="5"/>
  <c r="CG389" i="6"/>
  <c r="BG389" i="6"/>
  <c r="CE389" i="6"/>
  <c r="BX389" i="6"/>
  <c r="BJ389" i="6"/>
  <c r="AK389" i="6"/>
  <c r="CK389" i="6"/>
  <c r="BS389" i="6"/>
  <c r="AR389" i="6"/>
  <c r="BN389" i="6"/>
  <c r="CF389" i="6"/>
  <c r="CC389" i="6"/>
  <c r="BP389" i="6"/>
  <c r="CM389" i="6"/>
  <c r="C387" i="6"/>
  <c r="O387" i="5"/>
  <c r="G389" i="12"/>
  <c r="X389" i="5"/>
  <c r="CD389" i="6"/>
  <c r="BO389" i="6"/>
  <c r="BI389" i="6"/>
  <c r="AZ389" i="6"/>
  <c r="BQ389" i="6"/>
  <c r="BF389" i="6"/>
  <c r="BR389" i="6"/>
  <c r="AT389" i="6"/>
  <c r="BY389" i="6"/>
  <c r="AQ390" i="6" l="1"/>
  <c r="AR390" i="6"/>
  <c r="AN390" i="6"/>
  <c r="AK390" i="6"/>
  <c r="N387" i="12"/>
  <c r="AD393" i="5"/>
  <c r="E393" i="5"/>
  <c r="F393" i="5"/>
  <c r="W393" i="5"/>
  <c r="H393" i="12" s="1"/>
  <c r="B393" i="6"/>
  <c r="C394" i="5"/>
  <c r="J393" i="5"/>
  <c r="K393" i="5"/>
  <c r="R393" i="5"/>
  <c r="N393" i="5"/>
  <c r="AE393" i="5"/>
  <c r="A393" i="12"/>
  <c r="H393" i="5"/>
  <c r="B393" i="5"/>
  <c r="G393" i="5"/>
  <c r="D393" i="5"/>
  <c r="B393" i="12" s="1"/>
  <c r="I389" i="12"/>
  <c r="L389" i="5"/>
  <c r="AM389" i="5"/>
  <c r="I389" i="5"/>
  <c r="Z389" i="5"/>
  <c r="AC389" i="5"/>
  <c r="AJ389" i="6"/>
  <c r="C388" i="6"/>
  <c r="O388" i="5"/>
  <c r="AU390" i="6"/>
  <c r="BA390" i="6"/>
  <c r="AT390" i="6"/>
  <c r="AO390" i="6"/>
  <c r="Y387" i="12"/>
  <c r="C388" i="12"/>
  <c r="M388" i="12"/>
  <c r="AO388" i="12"/>
  <c r="O388" i="12"/>
  <c r="AA388" i="5"/>
  <c r="AB388" i="5"/>
  <c r="AM390" i="6"/>
  <c r="AX390" i="6"/>
  <c r="AP390" i="6"/>
  <c r="AW390" i="6"/>
  <c r="AS390" i="6"/>
  <c r="BD391" i="6"/>
  <c r="BP391" i="6"/>
  <c r="CH391" i="6"/>
  <c r="CF391" i="6"/>
  <c r="CG391" i="6"/>
  <c r="BI391" i="6"/>
  <c r="BM391" i="6"/>
  <c r="CD391" i="6"/>
  <c r="G391" i="6"/>
  <c r="CC391" i="6"/>
  <c r="BT391" i="6"/>
  <c r="BV391" i="6"/>
  <c r="CE391" i="6"/>
  <c r="H391" i="6"/>
  <c r="T391" i="5" s="1"/>
  <c r="G391" i="12" s="1"/>
  <c r="BR391" i="6"/>
  <c r="BF391" i="6"/>
  <c r="BW391" i="6"/>
  <c r="BC391" i="6"/>
  <c r="CK391" i="6"/>
  <c r="BL391" i="6"/>
  <c r="BG391" i="6"/>
  <c r="BE391" i="6"/>
  <c r="CM391" i="6"/>
  <c r="CB391" i="6"/>
  <c r="BH391" i="6"/>
  <c r="BX391" i="6"/>
  <c r="BJ391" i="6"/>
  <c r="BK391" i="6"/>
  <c r="BN391" i="6"/>
  <c r="N391" i="6"/>
  <c r="CA391" i="6"/>
  <c r="BY391" i="6"/>
  <c r="BS391" i="6"/>
  <c r="CJ391" i="6"/>
  <c r="CI391" i="6"/>
  <c r="BQ391" i="6"/>
  <c r="M391" i="6"/>
  <c r="BO391" i="6"/>
  <c r="BZ391" i="6"/>
  <c r="CL391" i="6"/>
  <c r="T385" i="12"/>
  <c r="V385" i="12"/>
  <c r="U385" i="12"/>
  <c r="F392" i="6"/>
  <c r="E392" i="12"/>
  <c r="D387" i="12"/>
  <c r="E387" i="6"/>
  <c r="AV390" i="6"/>
  <c r="AJ390" i="6"/>
  <c r="AZ390" i="6"/>
  <c r="AY390" i="6"/>
  <c r="D392" i="6"/>
  <c r="J392" i="12"/>
  <c r="L392" i="12"/>
  <c r="AY391" i="6" l="1"/>
  <c r="Y388" i="12"/>
  <c r="AZ391" i="6"/>
  <c r="AO391" i="6"/>
  <c r="E388" i="6"/>
  <c r="D388" i="12"/>
  <c r="AA389" i="5"/>
  <c r="AB389" i="5"/>
  <c r="C389" i="12"/>
  <c r="O389" i="12"/>
  <c r="AO389" i="12"/>
  <c r="M389" i="12"/>
  <c r="AV391" i="6"/>
  <c r="AE394" i="5"/>
  <c r="H394" i="5"/>
  <c r="K394" i="5"/>
  <c r="F394" i="5"/>
  <c r="AD394" i="5"/>
  <c r="D394" i="5"/>
  <c r="B394" i="12" s="1"/>
  <c r="B394" i="5"/>
  <c r="G394" i="5"/>
  <c r="C395" i="5"/>
  <c r="N394" i="5"/>
  <c r="B394" i="6"/>
  <c r="E394" i="5"/>
  <c r="A394" i="12"/>
  <c r="J394" i="5"/>
  <c r="R394" i="5"/>
  <c r="W394" i="5"/>
  <c r="H394" i="12" s="1"/>
  <c r="BA391" i="6"/>
  <c r="D393" i="6"/>
  <c r="K392" i="12"/>
  <c r="N392" i="6"/>
  <c r="H392" i="6"/>
  <c r="T392" i="5" s="1"/>
  <c r="G392" i="6"/>
  <c r="M392" i="6"/>
  <c r="BJ392" i="6" s="1"/>
  <c r="AL391" i="6"/>
  <c r="AN391" i="6"/>
  <c r="AR391" i="6"/>
  <c r="AS391" i="6"/>
  <c r="AQ391" i="6"/>
  <c r="AJ391" i="6"/>
  <c r="E393" i="12"/>
  <c r="F393" i="6"/>
  <c r="AW391" i="6"/>
  <c r="X388" i="12"/>
  <c r="W388" i="12"/>
  <c r="AK391" i="6"/>
  <c r="AU391" i="6"/>
  <c r="AT391" i="6"/>
  <c r="AX391" i="6"/>
  <c r="AP391" i="6"/>
  <c r="AM391" i="6"/>
  <c r="N388" i="12"/>
  <c r="X387" i="12"/>
  <c r="W387" i="12"/>
  <c r="C389" i="6"/>
  <c r="O389" i="5"/>
  <c r="J393" i="12"/>
  <c r="L393" i="12"/>
  <c r="CB392" i="6" l="1"/>
  <c r="BO392" i="6"/>
  <c r="AU392" i="6"/>
  <c r="BX392" i="6"/>
  <c r="BR392" i="6"/>
  <c r="BZ392" i="6"/>
  <c r="BS392" i="6"/>
  <c r="BG392" i="6"/>
  <c r="CJ392" i="6"/>
  <c r="BL392" i="6"/>
  <c r="BN392" i="6"/>
  <c r="BE392" i="6"/>
  <c r="BM392" i="6"/>
  <c r="BP392" i="6"/>
  <c r="CE392" i="6"/>
  <c r="BT392" i="6"/>
  <c r="BF392" i="6"/>
  <c r="K393" i="12"/>
  <c r="BK392" i="6"/>
  <c r="CH392" i="6"/>
  <c r="BI392" i="6"/>
  <c r="BV392" i="6"/>
  <c r="CK392" i="6"/>
  <c r="CA392" i="6"/>
  <c r="BH392" i="6"/>
  <c r="CG392" i="6"/>
  <c r="BQ392" i="6"/>
  <c r="CM392" i="6"/>
  <c r="E389" i="6"/>
  <c r="D389" i="12"/>
  <c r="G392" i="12"/>
  <c r="X392" i="5"/>
  <c r="AK392" i="6"/>
  <c r="AN392" i="6"/>
  <c r="CD392" i="6"/>
  <c r="BW392" i="6"/>
  <c r="BC392" i="6"/>
  <c r="CL392" i="6"/>
  <c r="AV392" i="6"/>
  <c r="BY392" i="6"/>
  <c r="BD392" i="6"/>
  <c r="CC392" i="6"/>
  <c r="AQ392" i="6"/>
  <c r="CI392" i="6"/>
  <c r="J394" i="12"/>
  <c r="L394" i="12"/>
  <c r="K394" i="12" s="1"/>
  <c r="Y389" i="12"/>
  <c r="AS392" i="6"/>
  <c r="AP392" i="6"/>
  <c r="AR392" i="6"/>
  <c r="AX392" i="6"/>
  <c r="AY392" i="6"/>
  <c r="H393" i="6"/>
  <c r="T393" i="5" s="1"/>
  <c r="M393" i="6"/>
  <c r="BL393" i="6" s="1"/>
  <c r="CL393" i="6"/>
  <c r="BM393" i="6"/>
  <c r="CD393" i="6"/>
  <c r="N393" i="6"/>
  <c r="BC393" i="6"/>
  <c r="AY393" i="6"/>
  <c r="CI393" i="6"/>
  <c r="AW393" i="6"/>
  <c r="AL393" i="6"/>
  <c r="BT393" i="6"/>
  <c r="CA393" i="6"/>
  <c r="CM393" i="6"/>
  <c r="BJ393" i="6"/>
  <c r="CG393" i="6"/>
  <c r="AQ393" i="6"/>
  <c r="BX393" i="6"/>
  <c r="AP393" i="6"/>
  <c r="G393" i="6"/>
  <c r="BH393" i="6"/>
  <c r="BW393" i="6"/>
  <c r="AV393" i="6"/>
  <c r="BF393" i="6"/>
  <c r="CK393" i="6"/>
  <c r="BO393" i="6"/>
  <c r="D394" i="6"/>
  <c r="N389" i="12"/>
  <c r="AM392" i="6"/>
  <c r="T387" i="12"/>
  <c r="U387" i="12"/>
  <c r="V387" i="12"/>
  <c r="U388" i="12"/>
  <c r="V388" i="12"/>
  <c r="T388" i="12"/>
  <c r="AW392" i="6"/>
  <c r="AT392" i="6"/>
  <c r="AO392" i="6"/>
  <c r="AL392" i="6"/>
  <c r="CF392" i="6"/>
  <c r="AZ392" i="6"/>
  <c r="BA392" i="6"/>
  <c r="E394" i="12"/>
  <c r="F394" i="6"/>
  <c r="H395" i="5"/>
  <c r="C396" i="5"/>
  <c r="B395" i="5"/>
  <c r="N395" i="5"/>
  <c r="K395" i="5"/>
  <c r="E395" i="5"/>
  <c r="F395" i="5"/>
  <c r="AD395" i="5"/>
  <c r="W395" i="5"/>
  <c r="H395" i="12" s="1"/>
  <c r="B395" i="6"/>
  <c r="AE395" i="5"/>
  <c r="D395" i="5"/>
  <c r="B395" i="12" s="1"/>
  <c r="A395" i="12"/>
  <c r="G395" i="5"/>
  <c r="R395" i="5"/>
  <c r="J395" i="5"/>
  <c r="BE393" i="6" l="1"/>
  <c r="CB393" i="6"/>
  <c r="BK393" i="6"/>
  <c r="BN393" i="6"/>
  <c r="BR393" i="6"/>
  <c r="CF393" i="6"/>
  <c r="BY393" i="6"/>
  <c r="BA393" i="6"/>
  <c r="CJ393" i="6"/>
  <c r="BI393" i="6"/>
  <c r="CH393" i="6"/>
  <c r="AN393" i="6"/>
  <c r="AM393" i="6"/>
  <c r="AK393" i="6"/>
  <c r="BS393" i="6"/>
  <c r="AS393" i="6"/>
  <c r="BV393" i="6"/>
  <c r="AX393" i="6"/>
  <c r="BQ393" i="6"/>
  <c r="AR393" i="6"/>
  <c r="BZ393" i="6"/>
  <c r="BD393" i="6"/>
  <c r="BP393" i="6"/>
  <c r="CC393" i="6"/>
  <c r="AT393" i="6"/>
  <c r="AZ393" i="6"/>
  <c r="BG393" i="6"/>
  <c r="CE393" i="6"/>
  <c r="L392" i="5"/>
  <c r="I392" i="12"/>
  <c r="AM392" i="5"/>
  <c r="Z392" i="5"/>
  <c r="I392" i="5"/>
  <c r="AC392" i="5"/>
  <c r="D395" i="6"/>
  <c r="G394" i="6"/>
  <c r="N394" i="6"/>
  <c r="M394" i="6"/>
  <c r="BJ394" i="6" s="1"/>
  <c r="H394" i="6"/>
  <c r="T394" i="5" s="1"/>
  <c r="AU393" i="6"/>
  <c r="AO393" i="6"/>
  <c r="F395" i="6"/>
  <c r="E395" i="12"/>
  <c r="AJ392" i="6"/>
  <c r="W389" i="12"/>
  <c r="X389" i="12"/>
  <c r="L395" i="12"/>
  <c r="J395" i="12"/>
  <c r="C397" i="5"/>
  <c r="F396" i="5"/>
  <c r="B396" i="6"/>
  <c r="W396" i="5"/>
  <c r="H396" i="12" s="1"/>
  <c r="H396" i="5"/>
  <c r="A396" i="12"/>
  <c r="AE396" i="5"/>
  <c r="N396" i="5"/>
  <c r="AD396" i="5"/>
  <c r="J396" i="5"/>
  <c r="G396" i="5"/>
  <c r="R396" i="5"/>
  <c r="E396" i="5"/>
  <c r="K396" i="5"/>
  <c r="B396" i="5"/>
  <c r="D396" i="5"/>
  <c r="B396" i="12" s="1"/>
  <c r="G393" i="12"/>
  <c r="X393" i="5"/>
  <c r="CA394" i="6" l="1"/>
  <c r="BC394" i="6"/>
  <c r="AM394" i="6"/>
  <c r="AO394" i="6"/>
  <c r="BM394" i="6"/>
  <c r="CE394" i="6"/>
  <c r="BH394" i="6"/>
  <c r="CC394" i="6"/>
  <c r="AL394" i="6"/>
  <c r="BA394" i="6"/>
  <c r="AY394" i="6"/>
  <c r="BD394" i="6"/>
  <c r="BZ394" i="6"/>
  <c r="AK394" i="6"/>
  <c r="AN394" i="6"/>
  <c r="CH394" i="6"/>
  <c r="CK394" i="6"/>
  <c r="CF394" i="6"/>
  <c r="D396" i="6"/>
  <c r="AP394" i="6"/>
  <c r="BY394" i="6"/>
  <c r="BL394" i="6"/>
  <c r="BK394" i="6"/>
  <c r="BT394" i="6"/>
  <c r="CB394" i="6"/>
  <c r="AV394" i="6"/>
  <c r="CG394" i="6"/>
  <c r="BW394" i="6"/>
  <c r="C392" i="12"/>
  <c r="M392" i="12"/>
  <c r="AO392" i="12"/>
  <c r="O392" i="12"/>
  <c r="N392" i="12" s="1"/>
  <c r="G395" i="6"/>
  <c r="M395" i="6"/>
  <c r="BH395" i="6"/>
  <c r="CH395" i="6"/>
  <c r="CE395" i="6"/>
  <c r="BV395" i="6"/>
  <c r="BJ395" i="6"/>
  <c r="CL395" i="6"/>
  <c r="BP395" i="6"/>
  <c r="BF395" i="6"/>
  <c r="N395" i="6"/>
  <c r="BK395" i="6"/>
  <c r="BG395" i="6"/>
  <c r="BC395" i="6"/>
  <c r="BS395" i="6"/>
  <c r="CF395" i="6"/>
  <c r="BE395" i="6"/>
  <c r="BW395" i="6"/>
  <c r="BO395" i="6"/>
  <c r="BY395" i="6"/>
  <c r="H395" i="6"/>
  <c r="T395" i="5" s="1"/>
  <c r="BN395" i="6"/>
  <c r="BR395" i="6"/>
  <c r="CM395" i="6"/>
  <c r="CA395" i="6"/>
  <c r="BI395" i="6"/>
  <c r="CK395" i="6"/>
  <c r="BT395" i="6"/>
  <c r="CG395" i="6"/>
  <c r="BX395" i="6"/>
  <c r="CJ395" i="6"/>
  <c r="BL395" i="6"/>
  <c r="CB395" i="6"/>
  <c r="CI395" i="6"/>
  <c r="BZ395" i="6"/>
  <c r="BM395" i="6"/>
  <c r="AY395" i="6"/>
  <c r="BQ395" i="6"/>
  <c r="CC395" i="6"/>
  <c r="CD395" i="6"/>
  <c r="BD395" i="6"/>
  <c r="U389" i="12"/>
  <c r="T389" i="12"/>
  <c r="V389" i="12"/>
  <c r="BV394" i="6"/>
  <c r="BS394" i="6"/>
  <c r="CD394" i="6"/>
  <c r="AW394" i="6"/>
  <c r="AT394" i="6"/>
  <c r="AR394" i="6"/>
  <c r="BX394" i="6"/>
  <c r="BF394" i="6"/>
  <c r="AZ394" i="6"/>
  <c r="BQ394" i="6"/>
  <c r="BI394" i="6"/>
  <c r="BG394" i="6"/>
  <c r="CM394" i="6"/>
  <c r="CI394" i="6"/>
  <c r="C392" i="6"/>
  <c r="O392" i="5"/>
  <c r="AM393" i="5"/>
  <c r="I393" i="12"/>
  <c r="L393" i="5"/>
  <c r="I393" i="5"/>
  <c r="Z393" i="5"/>
  <c r="AC393" i="5"/>
  <c r="AJ393" i="6"/>
  <c r="E396" i="12"/>
  <c r="F396" i="6"/>
  <c r="J396" i="12"/>
  <c r="L396" i="12"/>
  <c r="K396" i="12" s="1"/>
  <c r="C398" i="5"/>
  <c r="H397" i="5"/>
  <c r="B397" i="5"/>
  <c r="AD397" i="5"/>
  <c r="B397" i="6"/>
  <c r="G397" i="5"/>
  <c r="J397" i="5"/>
  <c r="F397" i="5"/>
  <c r="AE397" i="5"/>
  <c r="E397" i="5"/>
  <c r="R397" i="5"/>
  <c r="W397" i="5"/>
  <c r="H397" i="12" s="1"/>
  <c r="K397" i="5"/>
  <c r="A397" i="12"/>
  <c r="D397" i="5"/>
  <c r="B397" i="12" s="1"/>
  <c r="N397" i="5"/>
  <c r="K395" i="12"/>
  <c r="G394" i="12"/>
  <c r="X394" i="5"/>
  <c r="BE394" i="6"/>
  <c r="BO394" i="6"/>
  <c r="AS394" i="6"/>
  <c r="AU394" i="6"/>
  <c r="CJ394" i="6"/>
  <c r="BR394" i="6"/>
  <c r="AX394" i="6"/>
  <c r="BP394" i="6"/>
  <c r="BN394" i="6"/>
  <c r="AQ394" i="6"/>
  <c r="CL394" i="6"/>
  <c r="AA392" i="5"/>
  <c r="AB392" i="5"/>
  <c r="L394" i="5" l="1"/>
  <c r="AM394" i="5"/>
  <c r="I394" i="12"/>
  <c r="Z394" i="5"/>
  <c r="I394" i="5"/>
  <c r="AC394" i="5"/>
  <c r="G395" i="12"/>
  <c r="X395" i="5"/>
  <c r="AJ395" i="6" s="1"/>
  <c r="AS395" i="6"/>
  <c r="C393" i="12"/>
  <c r="M393" i="12"/>
  <c r="AO393" i="12"/>
  <c r="Y393" i="12" s="1"/>
  <c r="O393" i="12"/>
  <c r="AV395" i="6"/>
  <c r="AU395" i="6"/>
  <c r="AQ395" i="6"/>
  <c r="AK395" i="6"/>
  <c r="Y392" i="12"/>
  <c r="AJ394" i="6"/>
  <c r="J398" i="5"/>
  <c r="AD398" i="5"/>
  <c r="AE398" i="5"/>
  <c r="C399" i="5"/>
  <c r="F398" i="5"/>
  <c r="B398" i="6"/>
  <c r="E398" i="5"/>
  <c r="A398" i="12"/>
  <c r="G398" i="5"/>
  <c r="H398" i="5"/>
  <c r="W398" i="5"/>
  <c r="H398" i="12" s="1"/>
  <c r="N398" i="5"/>
  <c r="B398" i="5"/>
  <c r="R398" i="5"/>
  <c r="D398" i="5"/>
  <c r="B398" i="12" s="1"/>
  <c r="K398" i="5"/>
  <c r="C393" i="6"/>
  <c r="O393" i="5"/>
  <c r="AX395" i="6"/>
  <c r="AR395" i="6"/>
  <c r="L397" i="12"/>
  <c r="K397" i="12" s="1"/>
  <c r="J397" i="12"/>
  <c r="AA393" i="5"/>
  <c r="AB393" i="5"/>
  <c r="AM395" i="6"/>
  <c r="AZ395" i="6"/>
  <c r="AT395" i="6"/>
  <c r="AP395" i="6"/>
  <c r="AO395" i="6"/>
  <c r="D397" i="6"/>
  <c r="E397" i="12"/>
  <c r="F397" i="6"/>
  <c r="E392" i="6"/>
  <c r="D392" i="12"/>
  <c r="AL395" i="6"/>
  <c r="BA395" i="6"/>
  <c r="AN395" i="6"/>
  <c r="AW395" i="6"/>
  <c r="N396" i="6"/>
  <c r="G396" i="6"/>
  <c r="M396" i="6"/>
  <c r="BD396" i="6" s="1"/>
  <c r="H396" i="6"/>
  <c r="T396" i="5" s="1"/>
  <c r="BR396" i="6" l="1"/>
  <c r="AO396" i="6"/>
  <c r="BH396" i="6"/>
  <c r="CH396" i="6"/>
  <c r="BM396" i="6"/>
  <c r="AL396" i="6"/>
  <c r="CA396" i="6"/>
  <c r="BG396" i="6"/>
  <c r="W393" i="12"/>
  <c r="X393" i="12"/>
  <c r="BO396" i="6"/>
  <c r="AR396" i="6"/>
  <c r="BP396" i="6"/>
  <c r="AM396" i="6"/>
  <c r="BS396" i="6"/>
  <c r="CD396" i="6"/>
  <c r="CM396" i="6"/>
  <c r="BE396" i="6"/>
  <c r="BJ396" i="6"/>
  <c r="H397" i="6"/>
  <c r="T397" i="5" s="1"/>
  <c r="N397" i="6"/>
  <c r="G397" i="6"/>
  <c r="M397" i="6"/>
  <c r="BV397" i="6" s="1"/>
  <c r="F398" i="6"/>
  <c r="E398" i="12"/>
  <c r="W392" i="12"/>
  <c r="X392" i="12"/>
  <c r="C394" i="12"/>
  <c r="AO394" i="12"/>
  <c r="O394" i="12"/>
  <c r="M394" i="12"/>
  <c r="AW396" i="6"/>
  <c r="AT396" i="6"/>
  <c r="E393" i="6"/>
  <c r="D393" i="12"/>
  <c r="I395" i="12"/>
  <c r="AM395" i="5"/>
  <c r="L395" i="5"/>
  <c r="Z395" i="5"/>
  <c r="I395" i="5"/>
  <c r="AC395" i="5"/>
  <c r="BI396" i="6"/>
  <c r="BV396" i="6"/>
  <c r="CG396" i="6"/>
  <c r="G396" i="12"/>
  <c r="X396" i="5"/>
  <c r="BA396" i="6"/>
  <c r="BF396" i="6"/>
  <c r="AZ396" i="6"/>
  <c r="AV396" i="6"/>
  <c r="CB396" i="6"/>
  <c r="AN396" i="6"/>
  <c r="AX396" i="6"/>
  <c r="BT396" i="6"/>
  <c r="AP396" i="6"/>
  <c r="BW396" i="6"/>
  <c r="CJ396" i="6"/>
  <c r="BC396" i="6"/>
  <c r="J398" i="12"/>
  <c r="L398" i="12"/>
  <c r="K398" i="12" s="1"/>
  <c r="BQ396" i="6"/>
  <c r="AU396" i="6"/>
  <c r="BX396" i="6"/>
  <c r="AB394" i="5"/>
  <c r="AA394" i="5"/>
  <c r="AS396" i="6"/>
  <c r="CL396" i="6"/>
  <c r="BY396" i="6"/>
  <c r="CK396" i="6"/>
  <c r="BK396" i="6"/>
  <c r="CC396" i="6"/>
  <c r="CF396" i="6"/>
  <c r="BZ396" i="6"/>
  <c r="BN396" i="6"/>
  <c r="CI396" i="6"/>
  <c r="BL396" i="6"/>
  <c r="CE396" i="6"/>
  <c r="AQ396" i="6"/>
  <c r="AK396" i="6"/>
  <c r="AY396" i="6"/>
  <c r="D398" i="6"/>
  <c r="N399" i="5"/>
  <c r="K399" i="5"/>
  <c r="F399" i="5"/>
  <c r="C400" i="5"/>
  <c r="G399" i="5"/>
  <c r="B399" i="6"/>
  <c r="E399" i="5"/>
  <c r="A399" i="12"/>
  <c r="J399" i="5"/>
  <c r="AE399" i="5"/>
  <c r="D399" i="5"/>
  <c r="B399" i="12" s="1"/>
  <c r="B399" i="5"/>
  <c r="W399" i="5"/>
  <c r="H399" i="12" s="1"/>
  <c r="H399" i="5"/>
  <c r="R399" i="5"/>
  <c r="AD399" i="5"/>
  <c r="N393" i="12"/>
  <c r="C394" i="6"/>
  <c r="O394" i="5"/>
  <c r="BW397" i="6" l="1"/>
  <c r="Y394" i="12"/>
  <c r="CD397" i="6"/>
  <c r="BM397" i="6"/>
  <c r="AR397" i="6"/>
  <c r="BO397" i="6"/>
  <c r="CM397" i="6"/>
  <c r="BS397" i="6"/>
  <c r="AK397" i="6"/>
  <c r="CK397" i="6"/>
  <c r="CI397" i="6"/>
  <c r="BP397" i="6"/>
  <c r="N394" i="12"/>
  <c r="AV397" i="6"/>
  <c r="BY397" i="6"/>
  <c r="CL397" i="6"/>
  <c r="AM397" i="6"/>
  <c r="BL397" i="6"/>
  <c r="G397" i="12"/>
  <c r="X397" i="5"/>
  <c r="C395" i="12"/>
  <c r="O395" i="12"/>
  <c r="M395" i="12"/>
  <c r="AO395" i="12"/>
  <c r="BE397" i="6"/>
  <c r="BK397" i="6"/>
  <c r="CE397" i="6"/>
  <c r="AL397" i="6"/>
  <c r="AP397" i="6"/>
  <c r="BN397" i="6"/>
  <c r="BX397" i="6"/>
  <c r="BA397" i="6"/>
  <c r="BR397" i="6"/>
  <c r="BJ397" i="6"/>
  <c r="AS397" i="6"/>
  <c r="AX397" i="6"/>
  <c r="CA397" i="6"/>
  <c r="CG397" i="6"/>
  <c r="G398" i="6"/>
  <c r="N398" i="6"/>
  <c r="H398" i="6"/>
  <c r="T398" i="5" s="1"/>
  <c r="M398" i="6"/>
  <c r="BJ398" i="6" s="1"/>
  <c r="D394" i="12"/>
  <c r="E394" i="6"/>
  <c r="D399" i="6"/>
  <c r="AM396" i="5"/>
  <c r="L396" i="5"/>
  <c r="I396" i="12"/>
  <c r="Z396" i="5"/>
  <c r="I396" i="5"/>
  <c r="AC396" i="5"/>
  <c r="AJ396" i="6"/>
  <c r="AB395" i="5"/>
  <c r="AA395" i="5"/>
  <c r="AY397" i="6"/>
  <c r="BF397" i="6"/>
  <c r="BC397" i="6"/>
  <c r="BT397" i="6"/>
  <c r="AQ397" i="6"/>
  <c r="CF397" i="6"/>
  <c r="BG397" i="6"/>
  <c r="BI397" i="6"/>
  <c r="CC397" i="6"/>
  <c r="CJ397" i="6"/>
  <c r="AW397" i="6"/>
  <c r="AO397" i="6"/>
  <c r="BZ397" i="6"/>
  <c r="BD397" i="6"/>
  <c r="V393" i="12"/>
  <c r="T393" i="12"/>
  <c r="U393" i="12"/>
  <c r="X394" i="12"/>
  <c r="W394" i="12"/>
  <c r="F399" i="6"/>
  <c r="E399" i="12"/>
  <c r="L399" i="12"/>
  <c r="J399" i="12"/>
  <c r="E400" i="5"/>
  <c r="B400" i="6"/>
  <c r="H400" i="5"/>
  <c r="A400" i="12"/>
  <c r="K400" i="5"/>
  <c r="D400" i="5"/>
  <c r="B400" i="12" s="1"/>
  <c r="J400" i="5"/>
  <c r="G400" i="5"/>
  <c r="N400" i="5"/>
  <c r="C401" i="5"/>
  <c r="B400" i="5"/>
  <c r="R400" i="5"/>
  <c r="W400" i="5"/>
  <c r="H400" i="12" s="1"/>
  <c r="AE400" i="5"/>
  <c r="F400" i="5"/>
  <c r="AD400" i="5"/>
  <c r="C395" i="6"/>
  <c r="O395" i="5"/>
  <c r="V392" i="12"/>
  <c r="U392" i="12"/>
  <c r="T392" i="12"/>
  <c r="AN397" i="6"/>
  <c r="AJ397" i="6"/>
  <c r="CB397" i="6"/>
  <c r="CH397" i="6"/>
  <c r="AT397" i="6"/>
  <c r="BH397" i="6"/>
  <c r="AZ397" i="6"/>
  <c r="AU397" i="6"/>
  <c r="BQ397" i="6"/>
  <c r="N395" i="12" l="1"/>
  <c r="E400" i="12"/>
  <c r="F400" i="6"/>
  <c r="G398" i="12"/>
  <c r="X398" i="5"/>
  <c r="BY398" i="6"/>
  <c r="AZ398" i="6"/>
  <c r="BC398" i="6"/>
  <c r="BA398" i="6"/>
  <c r="BK398" i="6"/>
  <c r="BQ398" i="6"/>
  <c r="K399" i="12"/>
  <c r="AJ398" i="6"/>
  <c r="AL398" i="6"/>
  <c r="AP398" i="6"/>
  <c r="AT398" i="6"/>
  <c r="AN398" i="6"/>
  <c r="BO398" i="6"/>
  <c r="CH398" i="6"/>
  <c r="CD398" i="6"/>
  <c r="CJ398" i="6"/>
  <c r="CF398" i="6"/>
  <c r="AX398" i="6"/>
  <c r="CI398" i="6"/>
  <c r="BP398" i="6"/>
  <c r="CE398" i="6"/>
  <c r="CK398" i="6"/>
  <c r="BG398" i="6"/>
  <c r="BR398" i="6"/>
  <c r="BI398" i="6"/>
  <c r="D401" i="5"/>
  <c r="B401" i="12" s="1"/>
  <c r="AE401" i="5"/>
  <c r="J401" i="5"/>
  <c r="C402" i="5"/>
  <c r="H401" i="5"/>
  <c r="B401" i="5"/>
  <c r="B401" i="6"/>
  <c r="G401" i="5"/>
  <c r="AD401" i="5"/>
  <c r="N401" i="5"/>
  <c r="R401" i="5"/>
  <c r="E401" i="5"/>
  <c r="W401" i="5"/>
  <c r="H401" i="12" s="1"/>
  <c r="F401" i="5"/>
  <c r="A401" i="12"/>
  <c r="K401" i="5"/>
  <c r="T394" i="12"/>
  <c r="V394" i="12"/>
  <c r="U394" i="12"/>
  <c r="AB396" i="5"/>
  <c r="AA396" i="5"/>
  <c r="AS398" i="6"/>
  <c r="BE398" i="6"/>
  <c r="AM398" i="6"/>
  <c r="BH398" i="6"/>
  <c r="AW398" i="6"/>
  <c r="BL398" i="6"/>
  <c r="CM398" i="6"/>
  <c r="AV398" i="6"/>
  <c r="CL398" i="6"/>
  <c r="BX398" i="6"/>
  <c r="BM398" i="6"/>
  <c r="BF398" i="6"/>
  <c r="BW398" i="6"/>
  <c r="BS398" i="6"/>
  <c r="Y395" i="12"/>
  <c r="I397" i="12"/>
  <c r="AM397" i="5"/>
  <c r="L397" i="5"/>
  <c r="Z397" i="5"/>
  <c r="I397" i="5"/>
  <c r="AC397" i="5"/>
  <c r="C396" i="6"/>
  <c r="O396" i="5"/>
  <c r="BD398" i="6"/>
  <c r="BN398" i="6"/>
  <c r="D395" i="12"/>
  <c r="E395" i="6"/>
  <c r="D400" i="6"/>
  <c r="J400" i="12"/>
  <c r="L400" i="12"/>
  <c r="C396" i="12"/>
  <c r="O396" i="12"/>
  <c r="AO396" i="12"/>
  <c r="M396" i="12"/>
  <c r="N399" i="6"/>
  <c r="H399" i="6"/>
  <c r="T399" i="5" s="1"/>
  <c r="M399" i="6"/>
  <c r="BP399" i="6" s="1"/>
  <c r="CK399" i="6"/>
  <c r="CB399" i="6"/>
  <c r="CG399" i="6"/>
  <c r="BY399" i="6"/>
  <c r="BM399" i="6"/>
  <c r="BN399" i="6"/>
  <c r="BG399" i="6"/>
  <c r="BS399" i="6"/>
  <c r="CH399" i="6"/>
  <c r="BT399" i="6"/>
  <c r="G399" i="6"/>
  <c r="CM399" i="6"/>
  <c r="BI399" i="6"/>
  <c r="BQ399" i="6"/>
  <c r="BO399" i="6"/>
  <c r="CF399" i="6"/>
  <c r="BF399" i="6"/>
  <c r="AQ398" i="6"/>
  <c r="CG398" i="6"/>
  <c r="AY398" i="6"/>
  <c r="AR398" i="6"/>
  <c r="BV398" i="6"/>
  <c r="CB398" i="6"/>
  <c r="CA398" i="6"/>
  <c r="AO398" i="6"/>
  <c r="BZ398" i="6"/>
  <c r="AU398" i="6"/>
  <c r="AK398" i="6"/>
  <c r="CC398" i="6"/>
  <c r="BT398" i="6"/>
  <c r="CL399" i="6" l="1"/>
  <c r="BC399" i="6"/>
  <c r="AL399" i="6"/>
  <c r="AU399" i="6"/>
  <c r="BA399" i="6"/>
  <c r="CJ399" i="6"/>
  <c r="AK399" i="6"/>
  <c r="AR399" i="6"/>
  <c r="AO399" i="6"/>
  <c r="BR399" i="6"/>
  <c r="BL399" i="6"/>
  <c r="BJ399" i="6"/>
  <c r="BE399" i="6"/>
  <c r="AQ399" i="6"/>
  <c r="AN399" i="6"/>
  <c r="CE399" i="6"/>
  <c r="BH399" i="6"/>
  <c r="N396" i="12"/>
  <c r="AV399" i="6"/>
  <c r="AS399" i="6"/>
  <c r="AM399" i="6"/>
  <c r="CI399" i="6"/>
  <c r="CA399" i="6"/>
  <c r="AY399" i="6"/>
  <c r="BX399" i="6"/>
  <c r="BW399" i="6"/>
  <c r="BZ399" i="6"/>
  <c r="CC399" i="6"/>
  <c r="AZ399" i="6"/>
  <c r="AT399" i="6"/>
  <c r="AX399" i="6"/>
  <c r="AP399" i="6"/>
  <c r="BV399" i="6"/>
  <c r="K400" i="12"/>
  <c r="J401" i="12"/>
  <c r="L401" i="12"/>
  <c r="K401" i="12" s="1"/>
  <c r="AM398" i="5"/>
  <c r="I398" i="12"/>
  <c r="L398" i="5"/>
  <c r="I398" i="5"/>
  <c r="Z398" i="5"/>
  <c r="AC398" i="5"/>
  <c r="AW399" i="6"/>
  <c r="BD399" i="6"/>
  <c r="CD399" i="6"/>
  <c r="BK399" i="6"/>
  <c r="D396" i="12"/>
  <c r="E396" i="6"/>
  <c r="AA397" i="5"/>
  <c r="AB397" i="5"/>
  <c r="X395" i="12"/>
  <c r="W395" i="12"/>
  <c r="F401" i="6"/>
  <c r="E401" i="12"/>
  <c r="G399" i="12"/>
  <c r="X399" i="5"/>
  <c r="C397" i="6"/>
  <c r="O397" i="5"/>
  <c r="D401" i="6"/>
  <c r="C397" i="12"/>
  <c r="O397" i="12"/>
  <c r="AO397" i="12"/>
  <c r="Y397" i="12" s="1"/>
  <c r="M397" i="12"/>
  <c r="Y396" i="12"/>
  <c r="G400" i="6"/>
  <c r="N400" i="6"/>
  <c r="M400" i="6"/>
  <c r="BD400" i="6" s="1"/>
  <c r="H400" i="6"/>
  <c r="T400" i="5" s="1"/>
  <c r="AD402" i="5"/>
  <c r="K402" i="5"/>
  <c r="N402" i="5"/>
  <c r="J402" i="5"/>
  <c r="G402" i="5"/>
  <c r="B402" i="5"/>
  <c r="E402" i="5"/>
  <c r="B402" i="6"/>
  <c r="H402" i="5"/>
  <c r="A402" i="12"/>
  <c r="F402" i="5"/>
  <c r="W402" i="5"/>
  <c r="H402" i="12" s="1"/>
  <c r="AE402" i="5"/>
  <c r="C403" i="5"/>
  <c r="D402" i="5"/>
  <c r="B402" i="12" s="1"/>
  <c r="R402" i="5"/>
  <c r="N397" i="12" l="1"/>
  <c r="BP400" i="6"/>
  <c r="AQ400" i="6"/>
  <c r="D402" i="6"/>
  <c r="BE400" i="6"/>
  <c r="AS400" i="6"/>
  <c r="CA400" i="6"/>
  <c r="AR400" i="6"/>
  <c r="BM400" i="6"/>
  <c r="BN400" i="6"/>
  <c r="BS400" i="6"/>
  <c r="CK400" i="6"/>
  <c r="BC400" i="6"/>
  <c r="BO400" i="6"/>
  <c r="AO400" i="6"/>
  <c r="CC400" i="6"/>
  <c r="AZ400" i="6"/>
  <c r="CE400" i="6"/>
  <c r="E397" i="6"/>
  <c r="D397" i="12"/>
  <c r="C398" i="12"/>
  <c r="M398" i="12"/>
  <c r="AO398" i="12"/>
  <c r="O398" i="12"/>
  <c r="N398" i="12" s="1"/>
  <c r="F402" i="6"/>
  <c r="E402" i="12"/>
  <c r="BK400" i="6"/>
  <c r="BJ400" i="6"/>
  <c r="BH400" i="6"/>
  <c r="BY400" i="6"/>
  <c r="BZ400" i="6"/>
  <c r="C398" i="6"/>
  <c r="O398" i="5"/>
  <c r="N403" i="5"/>
  <c r="AD403" i="5"/>
  <c r="B403" i="6"/>
  <c r="K403" i="5"/>
  <c r="C404" i="5"/>
  <c r="G403" i="5"/>
  <c r="B403" i="5"/>
  <c r="A403" i="12"/>
  <c r="F403" i="5"/>
  <c r="H403" i="5"/>
  <c r="R403" i="5"/>
  <c r="J403" i="5"/>
  <c r="E403" i="5"/>
  <c r="AE403" i="5"/>
  <c r="W403" i="5"/>
  <c r="H403" i="12" s="1"/>
  <c r="D403" i="5"/>
  <c r="B403" i="12" s="1"/>
  <c r="J402" i="12"/>
  <c r="L402" i="12"/>
  <c r="BV400" i="6"/>
  <c r="BG400" i="6"/>
  <c r="AK400" i="6"/>
  <c r="CG400" i="6"/>
  <c r="AW400" i="6"/>
  <c r="CF400" i="6"/>
  <c r="BX400" i="6"/>
  <c r="CB400" i="6"/>
  <c r="AY400" i="6"/>
  <c r="CD400" i="6"/>
  <c r="CJ400" i="6"/>
  <c r="BI400" i="6"/>
  <c r="CM400" i="6"/>
  <c r="BW400" i="6"/>
  <c r="X396" i="12"/>
  <c r="W396" i="12"/>
  <c r="AB398" i="5"/>
  <c r="AA398" i="5"/>
  <c r="AP400" i="6"/>
  <c r="BF400" i="6"/>
  <c r="AN400" i="6"/>
  <c r="BQ400" i="6"/>
  <c r="AL400" i="6"/>
  <c r="CL400" i="6"/>
  <c r="W397" i="12"/>
  <c r="X397" i="12"/>
  <c r="G400" i="12"/>
  <c r="X400" i="5"/>
  <c r="AJ400" i="6" s="1"/>
  <c r="AX400" i="6"/>
  <c r="BR400" i="6"/>
  <c r="CH400" i="6"/>
  <c r="AV400" i="6"/>
  <c r="CI400" i="6"/>
  <c r="AM400" i="6"/>
  <c r="BL400" i="6"/>
  <c r="BT400" i="6"/>
  <c r="AU400" i="6"/>
  <c r="AT400" i="6"/>
  <c r="BA400" i="6"/>
  <c r="G401" i="6"/>
  <c r="N401" i="6"/>
  <c r="H401" i="6"/>
  <c r="T401" i="5" s="1"/>
  <c r="M401" i="6"/>
  <c r="CF401" i="6" s="1"/>
  <c r="I399" i="12"/>
  <c r="AM399" i="5"/>
  <c r="L399" i="5"/>
  <c r="I399" i="5"/>
  <c r="Z399" i="5"/>
  <c r="AC399" i="5"/>
  <c r="AJ399" i="6"/>
  <c r="V395" i="12"/>
  <c r="U395" i="12"/>
  <c r="T395" i="12"/>
  <c r="CA401" i="6" l="1"/>
  <c r="K402" i="12"/>
  <c r="CH401" i="6"/>
  <c r="CI401" i="6"/>
  <c r="BJ401" i="6"/>
  <c r="BL401" i="6"/>
  <c r="BK401" i="6"/>
  <c r="AU401" i="6"/>
  <c r="BZ401" i="6"/>
  <c r="AQ401" i="6"/>
  <c r="BI401" i="6"/>
  <c r="AY401" i="6"/>
  <c r="BT401" i="6"/>
  <c r="CE401" i="6"/>
  <c r="CD401" i="6"/>
  <c r="AX401" i="6"/>
  <c r="BF401" i="6"/>
  <c r="AK401" i="6"/>
  <c r="BP401" i="6"/>
  <c r="BV401" i="6"/>
  <c r="CB401" i="6"/>
  <c r="CC401" i="6"/>
  <c r="BR401" i="6"/>
  <c r="BD401" i="6"/>
  <c r="G401" i="12"/>
  <c r="X401" i="5"/>
  <c r="AW401" i="6"/>
  <c r="D403" i="6"/>
  <c r="Y398" i="12"/>
  <c r="N402" i="6"/>
  <c r="H402" i="6"/>
  <c r="T402" i="5" s="1"/>
  <c r="G402" i="6"/>
  <c r="M402" i="6"/>
  <c r="BR402" i="6" s="1"/>
  <c r="BJ402" i="6"/>
  <c r="BT402" i="6"/>
  <c r="BN402" i="6"/>
  <c r="BK402" i="6"/>
  <c r="B404" i="5"/>
  <c r="K404" i="5"/>
  <c r="D404" i="5"/>
  <c r="B404" i="12" s="1"/>
  <c r="W404" i="5"/>
  <c r="H404" i="12" s="1"/>
  <c r="J404" i="5"/>
  <c r="N404" i="5"/>
  <c r="G404" i="5"/>
  <c r="R404" i="5"/>
  <c r="AE404" i="5"/>
  <c r="AD404" i="5"/>
  <c r="F404" i="5"/>
  <c r="E404" i="5"/>
  <c r="H404" i="5"/>
  <c r="C405" i="5"/>
  <c r="A404" i="12"/>
  <c r="B404" i="6"/>
  <c r="AA399" i="5"/>
  <c r="AB399" i="5"/>
  <c r="C399" i="12"/>
  <c r="M399" i="12"/>
  <c r="AO399" i="12"/>
  <c r="O399" i="12"/>
  <c r="AJ401" i="6"/>
  <c r="AL401" i="6"/>
  <c r="AR401" i="6"/>
  <c r="AS401" i="6"/>
  <c r="BA401" i="6"/>
  <c r="CG401" i="6"/>
  <c r="BQ401" i="6"/>
  <c r="BM401" i="6"/>
  <c r="CL401" i="6"/>
  <c r="BY401" i="6"/>
  <c r="BC401" i="6"/>
  <c r="CJ401" i="6"/>
  <c r="AM401" i="6"/>
  <c r="BN401" i="6"/>
  <c r="BX401" i="6"/>
  <c r="BW401" i="6"/>
  <c r="BE401" i="6"/>
  <c r="BS401" i="6"/>
  <c r="T397" i="12"/>
  <c r="U397" i="12"/>
  <c r="V397" i="12"/>
  <c r="E398" i="6"/>
  <c r="D398" i="12"/>
  <c r="E403" i="12"/>
  <c r="F403" i="6"/>
  <c r="C399" i="6"/>
  <c r="O399" i="5"/>
  <c r="AO401" i="6"/>
  <c r="AV401" i="6"/>
  <c r="AP401" i="6"/>
  <c r="CK401" i="6"/>
  <c r="BG401" i="6"/>
  <c r="AZ401" i="6"/>
  <c r="BH401" i="6"/>
  <c r="BO401" i="6"/>
  <c r="AN401" i="6"/>
  <c r="AT401" i="6"/>
  <c r="CM401" i="6"/>
  <c r="L400" i="5"/>
  <c r="AM400" i="5"/>
  <c r="I400" i="12"/>
  <c r="Z400" i="5"/>
  <c r="I400" i="5"/>
  <c r="AC400" i="5"/>
  <c r="T396" i="12"/>
  <c r="V396" i="12"/>
  <c r="U396" i="12"/>
  <c r="J403" i="12"/>
  <c r="L403" i="12"/>
  <c r="AM402" i="6" l="1"/>
  <c r="AU402" i="6"/>
  <c r="CJ402" i="6"/>
  <c r="AY402" i="6"/>
  <c r="CH402" i="6"/>
  <c r="CB402" i="6"/>
  <c r="CC402" i="6"/>
  <c r="N399" i="12"/>
  <c r="AK402" i="6"/>
  <c r="AX402" i="6"/>
  <c r="CI402" i="6"/>
  <c r="AQ402" i="6"/>
  <c r="BO402" i="6"/>
  <c r="BP402" i="6"/>
  <c r="BH402" i="6"/>
  <c r="BW402" i="6"/>
  <c r="BX402" i="6"/>
  <c r="BG402" i="6"/>
  <c r="CK402" i="6"/>
  <c r="BI402" i="6"/>
  <c r="BF402" i="6"/>
  <c r="BZ402" i="6"/>
  <c r="J404" i="12"/>
  <c r="L404" i="12"/>
  <c r="D404" i="6"/>
  <c r="M403" i="6"/>
  <c r="BV403" i="6" s="1"/>
  <c r="CC403" i="6"/>
  <c r="BX403" i="6"/>
  <c r="CE403" i="6"/>
  <c r="G403" i="6"/>
  <c r="BC403" i="6"/>
  <c r="BL403" i="6"/>
  <c r="H403" i="6"/>
  <c r="T403" i="5" s="1"/>
  <c r="CD403" i="6"/>
  <c r="BJ403" i="6"/>
  <c r="N403" i="6"/>
  <c r="BG403" i="6"/>
  <c r="K403" i="12"/>
  <c r="C400" i="6"/>
  <c r="O400" i="5"/>
  <c r="E399" i="6"/>
  <c r="D399" i="12"/>
  <c r="Y399" i="12"/>
  <c r="E405" i="5"/>
  <c r="A405" i="12"/>
  <c r="H405" i="5"/>
  <c r="AD405" i="5"/>
  <c r="AE405" i="5"/>
  <c r="K405" i="5"/>
  <c r="D405" i="5"/>
  <c r="B405" i="12" s="1"/>
  <c r="B405" i="6"/>
  <c r="G405" i="5"/>
  <c r="B405" i="5"/>
  <c r="J405" i="5"/>
  <c r="R405" i="5"/>
  <c r="W405" i="5"/>
  <c r="H405" i="12" s="1"/>
  <c r="C406" i="5"/>
  <c r="N405" i="5"/>
  <c r="F405" i="5"/>
  <c r="BL402" i="6"/>
  <c r="BC402" i="6"/>
  <c r="CF402" i="6"/>
  <c r="AP402" i="6"/>
  <c r="BD402" i="6"/>
  <c r="CD402" i="6"/>
  <c r="AW402" i="6"/>
  <c r="AT402" i="6"/>
  <c r="BY402" i="6"/>
  <c r="BS402" i="6"/>
  <c r="AA400" i="5"/>
  <c r="AB400" i="5"/>
  <c r="F404" i="6"/>
  <c r="E404" i="12"/>
  <c r="AR402" i="6"/>
  <c r="AO402" i="6"/>
  <c r="AN402" i="6"/>
  <c r="BQ402" i="6"/>
  <c r="AZ402" i="6"/>
  <c r="BM402" i="6"/>
  <c r="AV402" i="6"/>
  <c r="G402" i="12"/>
  <c r="X402" i="5"/>
  <c r="AS402" i="6"/>
  <c r="CG402" i="6"/>
  <c r="CA402" i="6"/>
  <c r="W398" i="12"/>
  <c r="X398" i="12"/>
  <c r="AM401" i="5"/>
  <c r="I401" i="12"/>
  <c r="L401" i="5"/>
  <c r="Z401" i="5"/>
  <c r="I401" i="5"/>
  <c r="AC401" i="5"/>
  <c r="C400" i="12"/>
  <c r="O400" i="12"/>
  <c r="AO400" i="12"/>
  <c r="Y400" i="12" s="1"/>
  <c r="M400" i="12"/>
  <c r="BA402" i="6"/>
  <c r="CE402" i="6"/>
  <c r="CL402" i="6"/>
  <c r="BE402" i="6"/>
  <c r="BV402" i="6"/>
  <c r="AL402" i="6"/>
  <c r="CM402" i="6"/>
  <c r="BO403" i="6" l="1"/>
  <c r="BF403" i="6"/>
  <c r="BN403" i="6"/>
  <c r="AZ403" i="6"/>
  <c r="AO403" i="6"/>
  <c r="AV403" i="6"/>
  <c r="K404" i="12"/>
  <c r="C401" i="6"/>
  <c r="O401" i="5"/>
  <c r="E400" i="6"/>
  <c r="D400" i="12"/>
  <c r="W399" i="12"/>
  <c r="X399" i="12"/>
  <c r="BZ403" i="6"/>
  <c r="AR403" i="6"/>
  <c r="CH403" i="6"/>
  <c r="G403" i="12"/>
  <c r="X403" i="5"/>
  <c r="AK403" i="6"/>
  <c r="CA403" i="6"/>
  <c r="BA403" i="6"/>
  <c r="BQ403" i="6"/>
  <c r="BI403" i="6"/>
  <c r="BR403" i="6"/>
  <c r="AP403" i="6"/>
  <c r="BD403" i="6"/>
  <c r="AY403" i="6"/>
  <c r="I402" i="12"/>
  <c r="L402" i="5"/>
  <c r="AM402" i="5"/>
  <c r="I402" i="5"/>
  <c r="Z402" i="5"/>
  <c r="AC402" i="5"/>
  <c r="AJ402" i="6"/>
  <c r="X400" i="12"/>
  <c r="W400" i="12"/>
  <c r="D405" i="6"/>
  <c r="F405" i="6"/>
  <c r="E405" i="12"/>
  <c r="CI403" i="6"/>
  <c r="BT403" i="6"/>
  <c r="AL403" i="6"/>
  <c r="AN403" i="6"/>
  <c r="BE403" i="6"/>
  <c r="BH403" i="6"/>
  <c r="AJ403" i="6"/>
  <c r="AX403" i="6"/>
  <c r="CL403" i="6"/>
  <c r="BK403" i="6"/>
  <c r="AS403" i="6"/>
  <c r="CJ403" i="6"/>
  <c r="BM403" i="6"/>
  <c r="M404" i="6"/>
  <c r="BC404" i="6" s="1"/>
  <c r="G404" i="6"/>
  <c r="BN404" i="6"/>
  <c r="CE404" i="6"/>
  <c r="H404" i="6"/>
  <c r="T404" i="5" s="1"/>
  <c r="N404" i="6"/>
  <c r="BH404" i="6"/>
  <c r="CH404" i="6"/>
  <c r="BQ404" i="6"/>
  <c r="CI404" i="6"/>
  <c r="BY404" i="6"/>
  <c r="BI404" i="6"/>
  <c r="BP404" i="6"/>
  <c r="BT404" i="6"/>
  <c r="BG404" i="6"/>
  <c r="AV404" i="6"/>
  <c r="T398" i="12"/>
  <c r="U398" i="12"/>
  <c r="V398" i="12"/>
  <c r="C401" i="12"/>
  <c r="O401" i="12"/>
  <c r="M401" i="12"/>
  <c r="AO401" i="12"/>
  <c r="N400" i="12"/>
  <c r="AA401" i="5"/>
  <c r="AB401" i="5"/>
  <c r="E406" i="5"/>
  <c r="F406" i="5"/>
  <c r="D406" i="5"/>
  <c r="B406" i="12" s="1"/>
  <c r="C407" i="5"/>
  <c r="AE406" i="5"/>
  <c r="AD406" i="5"/>
  <c r="G406" i="5"/>
  <c r="R406" i="5"/>
  <c r="W406" i="5"/>
  <c r="H406" i="12" s="1"/>
  <c r="J406" i="5"/>
  <c r="B406" i="6"/>
  <c r="A406" i="12"/>
  <c r="N406" i="5"/>
  <c r="K406" i="5"/>
  <c r="B406" i="5"/>
  <c r="H406" i="5"/>
  <c r="L405" i="12"/>
  <c r="J405" i="12"/>
  <c r="BY403" i="6"/>
  <c r="CM403" i="6"/>
  <c r="BS403" i="6"/>
  <c r="CK403" i="6"/>
  <c r="BP403" i="6"/>
  <c r="AU403" i="6"/>
  <c r="AW403" i="6"/>
  <c r="BW403" i="6"/>
  <c r="CB403" i="6"/>
  <c r="CG403" i="6"/>
  <c r="AT403" i="6"/>
  <c r="CF403" i="6"/>
  <c r="AM403" i="6"/>
  <c r="AQ403" i="6"/>
  <c r="BS404" i="6" l="1"/>
  <c r="CF404" i="6"/>
  <c r="BX404" i="6"/>
  <c r="AT404" i="6"/>
  <c r="CD404" i="6"/>
  <c r="BM404" i="6"/>
  <c r="BK404" i="6"/>
  <c r="AM404" i="6"/>
  <c r="AY404" i="6"/>
  <c r="BE404" i="6"/>
  <c r="BR404" i="6"/>
  <c r="CK404" i="6"/>
  <c r="CJ404" i="6"/>
  <c r="BO404" i="6"/>
  <c r="Y401" i="12"/>
  <c r="CC404" i="6"/>
  <c r="BW404" i="6"/>
  <c r="BV404" i="6"/>
  <c r="BL404" i="6"/>
  <c r="CA404" i="6"/>
  <c r="CL404" i="6"/>
  <c r="CB404" i="6"/>
  <c r="BF404" i="6"/>
  <c r="CG404" i="6"/>
  <c r="CM404" i="6"/>
  <c r="BZ404" i="6"/>
  <c r="BJ404" i="6"/>
  <c r="AS404" i="6"/>
  <c r="AP404" i="6"/>
  <c r="D406" i="6"/>
  <c r="E406" i="12"/>
  <c r="F406" i="6"/>
  <c r="X401" i="12"/>
  <c r="W401" i="12"/>
  <c r="AQ404" i="6"/>
  <c r="BA404" i="6"/>
  <c r="AN404" i="6"/>
  <c r="AO404" i="6"/>
  <c r="AW404" i="6"/>
  <c r="AX404" i="6"/>
  <c r="G405" i="6"/>
  <c r="N405" i="6"/>
  <c r="H405" i="6"/>
  <c r="T405" i="5" s="1"/>
  <c r="M405" i="6"/>
  <c r="BD405" i="6" s="1"/>
  <c r="CG405" i="6"/>
  <c r="BX405" i="6"/>
  <c r="BW405" i="6"/>
  <c r="BG405" i="6"/>
  <c r="BK405" i="6"/>
  <c r="BP405" i="6"/>
  <c r="BI405" i="6"/>
  <c r="BR405" i="6"/>
  <c r="CJ405" i="6"/>
  <c r="BJ405" i="6"/>
  <c r="BF405" i="6"/>
  <c r="BH405" i="6"/>
  <c r="CE405" i="6"/>
  <c r="AX405" i="6"/>
  <c r="CF405" i="6"/>
  <c r="BV405" i="6"/>
  <c r="CA405" i="6"/>
  <c r="BQ405" i="6"/>
  <c r="AM403" i="5"/>
  <c r="I403" i="12"/>
  <c r="L403" i="5"/>
  <c r="I403" i="5"/>
  <c r="Z403" i="5"/>
  <c r="AC403" i="5"/>
  <c r="J406" i="12"/>
  <c r="L406" i="12"/>
  <c r="G404" i="12"/>
  <c r="X404" i="5"/>
  <c r="AL404" i="6"/>
  <c r="C402" i="6"/>
  <c r="O402" i="5"/>
  <c r="D401" i="12"/>
  <c r="E401" i="6"/>
  <c r="K405" i="12"/>
  <c r="B407" i="5"/>
  <c r="E407" i="5"/>
  <c r="F407" i="5"/>
  <c r="D407" i="5"/>
  <c r="B407" i="12" s="1"/>
  <c r="W407" i="5"/>
  <c r="H407" i="12" s="1"/>
  <c r="C408" i="5"/>
  <c r="B407" i="6"/>
  <c r="G407" i="5"/>
  <c r="AD407" i="5"/>
  <c r="A407" i="12"/>
  <c r="J407" i="5"/>
  <c r="R407" i="5"/>
  <c r="N407" i="5"/>
  <c r="AE407" i="5"/>
  <c r="K407" i="5"/>
  <c r="H407" i="5"/>
  <c r="N401" i="12"/>
  <c r="AR404" i="6"/>
  <c r="AK404" i="6"/>
  <c r="AZ404" i="6"/>
  <c r="AU404" i="6"/>
  <c r="BD404" i="6"/>
  <c r="U400" i="12"/>
  <c r="T400" i="12"/>
  <c r="V400" i="12"/>
  <c r="AB402" i="5"/>
  <c r="AA402" i="5"/>
  <c r="C402" i="12"/>
  <c r="O402" i="12"/>
  <c r="AO402" i="12"/>
  <c r="M402" i="12"/>
  <c r="T399" i="12"/>
  <c r="U399" i="12"/>
  <c r="V399" i="12"/>
  <c r="AQ405" i="6" l="1"/>
  <c r="BA405" i="6"/>
  <c r="N402" i="12"/>
  <c r="AS405" i="6"/>
  <c r="AO405" i="6"/>
  <c r="BY405" i="6"/>
  <c r="CM405" i="6"/>
  <c r="BZ405" i="6"/>
  <c r="BO405" i="6"/>
  <c r="BE405" i="6"/>
  <c r="AV405" i="6"/>
  <c r="AW405" i="6"/>
  <c r="AL405" i="6"/>
  <c r="CK405" i="6"/>
  <c r="BM405" i="6"/>
  <c r="BL405" i="6"/>
  <c r="BS405" i="6"/>
  <c r="K406" i="12"/>
  <c r="AN405" i="6"/>
  <c r="BC405" i="6"/>
  <c r="CD405" i="6"/>
  <c r="AU405" i="6"/>
  <c r="AP405" i="6"/>
  <c r="D407" i="6"/>
  <c r="J407" i="12"/>
  <c r="L407" i="12"/>
  <c r="AM404" i="5"/>
  <c r="I404" i="12"/>
  <c r="L404" i="5"/>
  <c r="I404" i="5"/>
  <c r="Z404" i="5"/>
  <c r="AC404" i="5"/>
  <c r="AJ404" i="6"/>
  <c r="AB403" i="5"/>
  <c r="AA403" i="5"/>
  <c r="CB405" i="6"/>
  <c r="BT405" i="6"/>
  <c r="B408" i="5"/>
  <c r="F408" i="5"/>
  <c r="E408" i="5"/>
  <c r="H408" i="5"/>
  <c r="G408" i="5"/>
  <c r="D408" i="5"/>
  <c r="B408" i="12" s="1"/>
  <c r="J408" i="5"/>
  <c r="W408" i="5"/>
  <c r="H408" i="12" s="1"/>
  <c r="A408" i="12"/>
  <c r="B408" i="6"/>
  <c r="K408" i="5"/>
  <c r="AD408" i="5"/>
  <c r="R408" i="5"/>
  <c r="C409" i="5"/>
  <c r="AE408" i="5"/>
  <c r="N408" i="5"/>
  <c r="C403" i="12"/>
  <c r="O403" i="12"/>
  <c r="AO403" i="12"/>
  <c r="Y403" i="12" s="1"/>
  <c r="M403" i="12"/>
  <c r="F407" i="6"/>
  <c r="E407" i="12"/>
  <c r="E402" i="6"/>
  <c r="D402" i="12"/>
  <c r="AZ405" i="6"/>
  <c r="AR405" i="6"/>
  <c r="CL405" i="6"/>
  <c r="AM405" i="6"/>
  <c r="CC405" i="6"/>
  <c r="CI405" i="6"/>
  <c r="AY405" i="6"/>
  <c r="AK405" i="6"/>
  <c r="BN405" i="6"/>
  <c r="T401" i="12"/>
  <c r="U401" i="12"/>
  <c r="V401" i="12"/>
  <c r="Y402" i="12"/>
  <c r="C403" i="6"/>
  <c r="O403" i="5"/>
  <c r="G405" i="12"/>
  <c r="X405" i="5"/>
  <c r="CH405" i="6"/>
  <c r="AT405" i="6"/>
  <c r="H406" i="6"/>
  <c r="T406" i="5" s="1"/>
  <c r="M406" i="6"/>
  <c r="BH406" i="6" s="1"/>
  <c r="N406" i="6"/>
  <c r="BQ406" i="6"/>
  <c r="G406" i="6"/>
  <c r="CC406" i="6"/>
  <c r="BT406" i="6" l="1"/>
  <c r="BM406" i="6"/>
  <c r="CB406" i="6"/>
  <c r="AW406" i="6"/>
  <c r="CL406" i="6"/>
  <c r="BX406" i="6"/>
  <c r="BJ406" i="6"/>
  <c r="BR406" i="6"/>
  <c r="AZ406" i="6"/>
  <c r="BD406" i="6"/>
  <c r="CH406" i="6"/>
  <c r="AO406" i="6"/>
  <c r="AT406" i="6"/>
  <c r="BI406" i="6"/>
  <c r="K407" i="12"/>
  <c r="AB404" i="5"/>
  <c r="AA404" i="5"/>
  <c r="AR406" i="6"/>
  <c r="BL406" i="6"/>
  <c r="BC406" i="6"/>
  <c r="E403" i="6"/>
  <c r="D403" i="12"/>
  <c r="D408" i="6"/>
  <c r="BG406" i="6"/>
  <c r="AP406" i="6"/>
  <c r="BF406" i="6"/>
  <c r="AQ406" i="6"/>
  <c r="AV406" i="6"/>
  <c r="CG406" i="6"/>
  <c r="BN406" i="6"/>
  <c r="AY406" i="6"/>
  <c r="AK406" i="6"/>
  <c r="CE406" i="6"/>
  <c r="N403" i="12"/>
  <c r="C404" i="6"/>
  <c r="O404" i="5"/>
  <c r="G406" i="12"/>
  <c r="X406" i="5"/>
  <c r="AN406" i="6"/>
  <c r="BV406" i="6"/>
  <c r="AS406" i="6"/>
  <c r="BW406" i="6"/>
  <c r="BA406" i="6"/>
  <c r="X403" i="12"/>
  <c r="W403" i="12"/>
  <c r="E408" i="12"/>
  <c r="F408" i="6"/>
  <c r="BS406" i="6"/>
  <c r="AL406" i="6"/>
  <c r="CI406" i="6"/>
  <c r="CA406" i="6"/>
  <c r="AM406" i="6"/>
  <c r="CK406" i="6"/>
  <c r="BZ406" i="6"/>
  <c r="BK406" i="6"/>
  <c r="BE406" i="6"/>
  <c r="BY406" i="6"/>
  <c r="CF406" i="6"/>
  <c r="BP406" i="6"/>
  <c r="AX406" i="6"/>
  <c r="CJ406" i="6"/>
  <c r="AU406" i="6"/>
  <c r="CD406" i="6"/>
  <c r="CM406" i="6"/>
  <c r="BO406" i="6"/>
  <c r="I405" i="12"/>
  <c r="AM405" i="5"/>
  <c r="L405" i="5"/>
  <c r="Z405" i="5"/>
  <c r="I405" i="5"/>
  <c r="AC405" i="5"/>
  <c r="AJ405" i="6"/>
  <c r="W402" i="12"/>
  <c r="X402" i="12"/>
  <c r="AD409" i="5"/>
  <c r="H409" i="5"/>
  <c r="F409" i="5"/>
  <c r="AE409" i="5"/>
  <c r="R409" i="5"/>
  <c r="A409" i="12"/>
  <c r="G409" i="5"/>
  <c r="D409" i="5"/>
  <c r="B409" i="12" s="1"/>
  <c r="E409" i="5"/>
  <c r="W409" i="5"/>
  <c r="H409" i="12" s="1"/>
  <c r="J409" i="5"/>
  <c r="B409" i="6"/>
  <c r="C410" i="5"/>
  <c r="K409" i="5"/>
  <c r="N409" i="5"/>
  <c r="B409" i="5"/>
  <c r="J408" i="12"/>
  <c r="L408" i="12"/>
  <c r="C404" i="12"/>
  <c r="O404" i="12"/>
  <c r="M404" i="12"/>
  <c r="AO404" i="12"/>
  <c r="H407" i="6"/>
  <c r="T407" i="5" s="1"/>
  <c r="N407" i="6"/>
  <c r="G407" i="6"/>
  <c r="M407" i="6"/>
  <c r="BW407" i="6" s="1"/>
  <c r="CL407" i="6" l="1"/>
  <c r="AN407" i="6"/>
  <c r="BC407" i="6"/>
  <c r="BS407" i="6"/>
  <c r="AK407" i="6"/>
  <c r="BZ407" i="6"/>
  <c r="L409" i="12"/>
  <c r="J409" i="12"/>
  <c r="D404" i="12"/>
  <c r="E404" i="6"/>
  <c r="BG407" i="6"/>
  <c r="CF407" i="6"/>
  <c r="CG407" i="6"/>
  <c r="AP407" i="6"/>
  <c r="BH407" i="6"/>
  <c r="AV407" i="6"/>
  <c r="CH407" i="6"/>
  <c r="BL407" i="6"/>
  <c r="AM407" i="6"/>
  <c r="AR407" i="6"/>
  <c r="BT407" i="6"/>
  <c r="AZ407" i="6"/>
  <c r="BJ407" i="6"/>
  <c r="AT407" i="6"/>
  <c r="N404" i="12"/>
  <c r="F410" i="5"/>
  <c r="G410" i="5"/>
  <c r="D410" i="5"/>
  <c r="B410" i="12" s="1"/>
  <c r="B410" i="5"/>
  <c r="W410" i="5"/>
  <c r="H410" i="12" s="1"/>
  <c r="A410" i="12"/>
  <c r="J410" i="5"/>
  <c r="R410" i="5"/>
  <c r="B410" i="6"/>
  <c r="AE410" i="5"/>
  <c r="C411" i="5"/>
  <c r="E410" i="5"/>
  <c r="N410" i="5"/>
  <c r="H410" i="5"/>
  <c r="K410" i="5"/>
  <c r="AD410" i="5"/>
  <c r="F409" i="6"/>
  <c r="E409" i="12"/>
  <c r="BN407" i="6"/>
  <c r="AO407" i="6"/>
  <c r="C405" i="6"/>
  <c r="O405" i="5"/>
  <c r="BR407" i="6"/>
  <c r="BO407" i="6"/>
  <c r="AX407" i="6"/>
  <c r="AL407" i="6"/>
  <c r="CM407" i="6"/>
  <c r="BF407" i="6"/>
  <c r="G407" i="12"/>
  <c r="X407" i="5"/>
  <c r="BD407" i="6"/>
  <c r="BX407" i="6"/>
  <c r="CC407" i="6"/>
  <c r="BP407" i="6"/>
  <c r="C405" i="12"/>
  <c r="O405" i="12"/>
  <c r="AO405" i="12"/>
  <c r="Y405" i="12" s="1"/>
  <c r="M405" i="12"/>
  <c r="L406" i="5"/>
  <c r="AM406" i="5"/>
  <c r="I406" i="12"/>
  <c r="Z406" i="5"/>
  <c r="I406" i="5"/>
  <c r="AC406" i="5"/>
  <c r="H408" i="6"/>
  <c r="T408" i="5" s="1"/>
  <c r="M408" i="6"/>
  <c r="BK408" i="6" s="1"/>
  <c r="G408" i="6"/>
  <c r="BW408" i="6"/>
  <c r="N408" i="6"/>
  <c r="BV408" i="6"/>
  <c r="AJ406" i="6"/>
  <c r="AW407" i="6"/>
  <c r="BM407" i="6"/>
  <c r="CB407" i="6"/>
  <c r="AU407" i="6"/>
  <c r="BQ407" i="6"/>
  <c r="AQ407" i="6"/>
  <c r="CK407" i="6"/>
  <c r="BE407" i="6"/>
  <c r="BK407" i="6"/>
  <c r="CJ407" i="6"/>
  <c r="CA407" i="6"/>
  <c r="CE407" i="6"/>
  <c r="CI407" i="6"/>
  <c r="BI407" i="6"/>
  <c r="CD407" i="6"/>
  <c r="AY407" i="6"/>
  <c r="BV407" i="6"/>
  <c r="BY407" i="6"/>
  <c r="AJ407" i="6"/>
  <c r="AS407" i="6"/>
  <c r="BA407" i="6"/>
  <c r="Y404" i="12"/>
  <c r="K408" i="12"/>
  <c r="D409" i="6"/>
  <c r="V402" i="12"/>
  <c r="U402" i="12"/>
  <c r="T402" i="12"/>
  <c r="AB405" i="5"/>
  <c r="AA405" i="5"/>
  <c r="U403" i="12"/>
  <c r="T403" i="12"/>
  <c r="V403" i="12"/>
  <c r="CM408" i="6" l="1"/>
  <c r="BY408" i="6"/>
  <c r="K409" i="12"/>
  <c r="BJ408" i="6"/>
  <c r="BL408" i="6"/>
  <c r="BS408" i="6"/>
  <c r="CH408" i="6"/>
  <c r="CD408" i="6"/>
  <c r="BX408" i="6"/>
  <c r="BQ408" i="6"/>
  <c r="BC408" i="6"/>
  <c r="BD408" i="6"/>
  <c r="CE408" i="6"/>
  <c r="CI408" i="6"/>
  <c r="BP408" i="6"/>
  <c r="BO408" i="6"/>
  <c r="BT408" i="6"/>
  <c r="BF408" i="6"/>
  <c r="BE408" i="6"/>
  <c r="CF408" i="6"/>
  <c r="CG408" i="6"/>
  <c r="CK408" i="6"/>
  <c r="CB408" i="6"/>
  <c r="BN408" i="6"/>
  <c r="BH408" i="6"/>
  <c r="BR408" i="6"/>
  <c r="BG408" i="6"/>
  <c r="CJ408" i="6"/>
  <c r="CC408" i="6"/>
  <c r="BM408" i="6"/>
  <c r="CL408" i="6"/>
  <c r="BI408" i="6"/>
  <c r="BZ408" i="6"/>
  <c r="G408" i="12"/>
  <c r="X408" i="5"/>
  <c r="I407" i="12"/>
  <c r="AM407" i="5"/>
  <c r="L407" i="5"/>
  <c r="I407" i="5"/>
  <c r="Z407" i="5"/>
  <c r="AC407" i="5"/>
  <c r="E405" i="6"/>
  <c r="D405" i="12"/>
  <c r="D410" i="6"/>
  <c r="AV408" i="6"/>
  <c r="AL408" i="6"/>
  <c r="AP408" i="6"/>
  <c r="AQ408" i="6"/>
  <c r="CA408" i="6"/>
  <c r="C406" i="12"/>
  <c r="O406" i="12"/>
  <c r="M406" i="12"/>
  <c r="AO406" i="12"/>
  <c r="Y406" i="12" s="1"/>
  <c r="W405" i="12"/>
  <c r="X405" i="12"/>
  <c r="L410" i="12"/>
  <c r="J410" i="12"/>
  <c r="X404" i="12"/>
  <c r="W404" i="12"/>
  <c r="AY408" i="6"/>
  <c r="AT408" i="6"/>
  <c r="AZ408" i="6"/>
  <c r="AO408" i="6"/>
  <c r="AK408" i="6"/>
  <c r="AX408" i="6"/>
  <c r="N405" i="12"/>
  <c r="E410" i="12"/>
  <c r="F410" i="6"/>
  <c r="AN408" i="6"/>
  <c r="AR408" i="6"/>
  <c r="AA406" i="5"/>
  <c r="AB406" i="5"/>
  <c r="G409" i="6"/>
  <c r="M409" i="6"/>
  <c r="BG409" i="6" s="1"/>
  <c r="H409" i="6"/>
  <c r="T409" i="5" s="1"/>
  <c r="CE409" i="6"/>
  <c r="N409" i="6"/>
  <c r="AW408" i="6"/>
  <c r="AM408" i="6"/>
  <c r="BA408" i="6"/>
  <c r="AU408" i="6"/>
  <c r="AJ408" i="6"/>
  <c r="AS408" i="6"/>
  <c r="C406" i="6"/>
  <c r="O406" i="5"/>
  <c r="F411" i="5"/>
  <c r="A411" i="12"/>
  <c r="J411" i="5"/>
  <c r="E411" i="5"/>
  <c r="C412" i="5"/>
  <c r="K411" i="5"/>
  <c r="B411" i="6"/>
  <c r="W411" i="5"/>
  <c r="H411" i="12" s="1"/>
  <c r="D411" i="5"/>
  <c r="B411" i="12" s="1"/>
  <c r="G411" i="5"/>
  <c r="AD411" i="5"/>
  <c r="N411" i="5"/>
  <c r="R411" i="5"/>
  <c r="B411" i="5"/>
  <c r="H411" i="5"/>
  <c r="AE411" i="5"/>
  <c r="AS409" i="6" l="1"/>
  <c r="BM409" i="6"/>
  <c r="CD409" i="6"/>
  <c r="CJ409" i="6"/>
  <c r="BC409" i="6"/>
  <c r="AY409" i="6"/>
  <c r="AP409" i="6"/>
  <c r="BK409" i="6"/>
  <c r="CM409" i="6"/>
  <c r="CH409" i="6"/>
  <c r="BP409" i="6"/>
  <c r="CG409" i="6"/>
  <c r="BE409" i="6"/>
  <c r="AZ409" i="6"/>
  <c r="CL409" i="6"/>
  <c r="AR409" i="6"/>
  <c r="BA409" i="6"/>
  <c r="BW409" i="6"/>
  <c r="BV409" i="6"/>
  <c r="BS409" i="6"/>
  <c r="BH409" i="6"/>
  <c r="BR409" i="6"/>
  <c r="BY409" i="6"/>
  <c r="CK409" i="6"/>
  <c r="CB409" i="6"/>
  <c r="BX409" i="6"/>
  <c r="BO409" i="6"/>
  <c r="CA409" i="6"/>
  <c r="BQ409" i="6"/>
  <c r="BZ409" i="6"/>
  <c r="BT409" i="6"/>
  <c r="CF409" i="6"/>
  <c r="BN409" i="6"/>
  <c r="F411" i="6"/>
  <c r="E411" i="12"/>
  <c r="AE412" i="5"/>
  <c r="AD412" i="5"/>
  <c r="H412" i="5"/>
  <c r="K412" i="5"/>
  <c r="F412" i="5"/>
  <c r="B412" i="5"/>
  <c r="E412" i="5"/>
  <c r="W412" i="5"/>
  <c r="H412" i="12" s="1"/>
  <c r="G412" i="5"/>
  <c r="A412" i="12"/>
  <c r="J412" i="5"/>
  <c r="D412" i="5"/>
  <c r="B412" i="12" s="1"/>
  <c r="N412" i="5"/>
  <c r="R412" i="5"/>
  <c r="C413" i="5"/>
  <c r="B412" i="6"/>
  <c r="J411" i="12"/>
  <c r="L411" i="12"/>
  <c r="G409" i="12"/>
  <c r="X409" i="5"/>
  <c r="AU409" i="6"/>
  <c r="AT409" i="6"/>
  <c r="BI409" i="6"/>
  <c r="BF409" i="6"/>
  <c r="BL409" i="6"/>
  <c r="CC409" i="6"/>
  <c r="BJ409" i="6"/>
  <c r="BD409" i="6"/>
  <c r="N406" i="12"/>
  <c r="N410" i="6"/>
  <c r="G410" i="6"/>
  <c r="M410" i="6"/>
  <c r="BT410" i="6" s="1"/>
  <c r="BE410" i="6"/>
  <c r="CI410" i="6"/>
  <c r="CH410" i="6"/>
  <c r="CD410" i="6"/>
  <c r="BM410" i="6"/>
  <c r="H410" i="6"/>
  <c r="T410" i="5" s="1"/>
  <c r="CM410" i="6"/>
  <c r="BJ410" i="6"/>
  <c r="BY410" i="6"/>
  <c r="BI410" i="6"/>
  <c r="BR410" i="6"/>
  <c r="BC410" i="6"/>
  <c r="BZ410" i="6"/>
  <c r="BO410" i="6"/>
  <c r="BS410" i="6"/>
  <c r="BX410" i="6"/>
  <c r="BH410" i="6"/>
  <c r="CG410" i="6"/>
  <c r="BP410" i="6"/>
  <c r="BL410" i="6"/>
  <c r="BK410" i="6"/>
  <c r="CC410" i="6"/>
  <c r="CK410" i="6"/>
  <c r="BG410" i="6"/>
  <c r="BQ410" i="6"/>
  <c r="BF410" i="6"/>
  <c r="AB407" i="5"/>
  <c r="AA407" i="5"/>
  <c r="C407" i="12"/>
  <c r="M407" i="12"/>
  <c r="AO407" i="12"/>
  <c r="O407" i="12"/>
  <c r="D411" i="6"/>
  <c r="AJ409" i="6"/>
  <c r="AK409" i="6"/>
  <c r="AX409" i="6"/>
  <c r="AM409" i="6"/>
  <c r="AN409" i="6"/>
  <c r="CI409" i="6"/>
  <c r="U404" i="12"/>
  <c r="V404" i="12"/>
  <c r="T404" i="12"/>
  <c r="K410" i="12"/>
  <c r="U405" i="12"/>
  <c r="T405" i="12"/>
  <c r="V405" i="12"/>
  <c r="L408" i="5"/>
  <c r="I408" i="12"/>
  <c r="AM408" i="5"/>
  <c r="I408" i="5"/>
  <c r="Z408" i="5"/>
  <c r="AC408" i="5"/>
  <c r="E406" i="6"/>
  <c r="D406" i="12"/>
  <c r="AW409" i="6"/>
  <c r="AQ409" i="6"/>
  <c r="AL409" i="6"/>
  <c r="AO409" i="6"/>
  <c r="AV409" i="6"/>
  <c r="W406" i="12"/>
  <c r="X406" i="12"/>
  <c r="C407" i="6"/>
  <c r="O407" i="5"/>
  <c r="CF410" i="6" l="1"/>
  <c r="CE410" i="6"/>
  <c r="N407" i="12"/>
  <c r="BV410" i="6"/>
  <c r="BD410" i="6"/>
  <c r="CJ410" i="6"/>
  <c r="CA410" i="6"/>
  <c r="BW410" i="6"/>
  <c r="CL410" i="6"/>
  <c r="K411" i="12"/>
  <c r="D407" i="12"/>
  <c r="E407" i="6"/>
  <c r="AA408" i="5"/>
  <c r="AB408" i="5"/>
  <c r="AT410" i="6"/>
  <c r="AX410" i="6"/>
  <c r="AQ410" i="6"/>
  <c r="AL410" i="6"/>
  <c r="AM409" i="5"/>
  <c r="I409" i="12"/>
  <c r="L409" i="5"/>
  <c r="I409" i="5"/>
  <c r="Z409" i="5"/>
  <c r="AC409" i="5"/>
  <c r="AD413" i="5"/>
  <c r="B413" i="6"/>
  <c r="C414" i="5"/>
  <c r="E413" i="5"/>
  <c r="K413" i="5"/>
  <c r="N413" i="5"/>
  <c r="G413" i="5"/>
  <c r="W413" i="5"/>
  <c r="H413" i="12" s="1"/>
  <c r="B413" i="5"/>
  <c r="H413" i="5"/>
  <c r="D413" i="5"/>
  <c r="B413" i="12" s="1"/>
  <c r="J413" i="5"/>
  <c r="R413" i="5"/>
  <c r="F413" i="5"/>
  <c r="AE413" i="5"/>
  <c r="A413" i="12"/>
  <c r="G410" i="12"/>
  <c r="X410" i="5"/>
  <c r="AV410" i="6"/>
  <c r="AO410" i="6"/>
  <c r="Y407" i="12"/>
  <c r="H411" i="6"/>
  <c r="T411" i="5" s="1"/>
  <c r="N411" i="6"/>
  <c r="M411" i="6"/>
  <c r="BL411" i="6" s="1"/>
  <c r="G411" i="6"/>
  <c r="AJ410" i="6"/>
  <c r="AZ410" i="6"/>
  <c r="AP410" i="6"/>
  <c r="AU410" i="6"/>
  <c r="AS410" i="6"/>
  <c r="AY410" i="6"/>
  <c r="BN410" i="6"/>
  <c r="CB410" i="6"/>
  <c r="BA410" i="6"/>
  <c r="F412" i="6"/>
  <c r="E412" i="12"/>
  <c r="C408" i="6"/>
  <c r="O408" i="5"/>
  <c r="AK410" i="6"/>
  <c r="U406" i="12"/>
  <c r="V406" i="12"/>
  <c r="T406" i="12"/>
  <c r="C408" i="12"/>
  <c r="O408" i="12"/>
  <c r="AO408" i="12"/>
  <c r="M408" i="12"/>
  <c r="AN410" i="6"/>
  <c r="AM410" i="6"/>
  <c r="AW410" i="6"/>
  <c r="AR410" i="6"/>
  <c r="D412" i="6"/>
  <c r="L412" i="12"/>
  <c r="J412" i="12"/>
  <c r="CE411" i="6" l="1"/>
  <c r="BR411" i="6"/>
  <c r="CL411" i="6"/>
  <c r="AT411" i="6"/>
  <c r="BW411" i="6"/>
  <c r="BM411" i="6"/>
  <c r="AN411" i="6"/>
  <c r="CJ411" i="6"/>
  <c r="CG411" i="6"/>
  <c r="BV411" i="6"/>
  <c r="BN411" i="6"/>
  <c r="AO411" i="6"/>
  <c r="BO411" i="6"/>
  <c r="AV411" i="6"/>
  <c r="BZ411" i="6"/>
  <c r="CK411" i="6"/>
  <c r="BP411" i="6"/>
  <c r="BD411" i="6"/>
  <c r="CC411" i="6"/>
  <c r="BT411" i="6"/>
  <c r="AQ411" i="6"/>
  <c r="K412" i="12"/>
  <c r="CF411" i="6"/>
  <c r="BS411" i="6"/>
  <c r="D408" i="12"/>
  <c r="E408" i="6"/>
  <c r="D413" i="6"/>
  <c r="Y408" i="12"/>
  <c r="AP411" i="6"/>
  <c r="CB411" i="6"/>
  <c r="BG411" i="6"/>
  <c r="AL411" i="6"/>
  <c r="BY411" i="6"/>
  <c r="CA411" i="6"/>
  <c r="AY411" i="6"/>
  <c r="BK411" i="6"/>
  <c r="AW411" i="6"/>
  <c r="AU411" i="6"/>
  <c r="AM411" i="6"/>
  <c r="BH411" i="6"/>
  <c r="BJ411" i="6"/>
  <c r="CM411" i="6"/>
  <c r="L413" i="12"/>
  <c r="K413" i="12" s="1"/>
  <c r="J413" i="12"/>
  <c r="C409" i="6"/>
  <c r="O409" i="5"/>
  <c r="N408" i="12"/>
  <c r="BX411" i="6"/>
  <c r="AX411" i="6"/>
  <c r="BC411" i="6"/>
  <c r="CI411" i="6"/>
  <c r="BE411" i="6"/>
  <c r="AZ411" i="6"/>
  <c r="BI411" i="6"/>
  <c r="AS411" i="6"/>
  <c r="AK411" i="6"/>
  <c r="BF411" i="6"/>
  <c r="BQ411" i="6"/>
  <c r="I410" i="12"/>
  <c r="L410" i="5"/>
  <c r="AM410" i="5"/>
  <c r="I410" i="5"/>
  <c r="Z410" i="5"/>
  <c r="AC410" i="5"/>
  <c r="E413" i="12"/>
  <c r="F413" i="6"/>
  <c r="C409" i="12"/>
  <c r="AO409" i="12"/>
  <c r="Y409" i="12" s="1"/>
  <c r="O409" i="12"/>
  <c r="M409" i="12"/>
  <c r="G412" i="6"/>
  <c r="H412" i="6"/>
  <c r="T412" i="5" s="1"/>
  <c r="N412" i="6"/>
  <c r="M412" i="6"/>
  <c r="BM412" i="6" s="1"/>
  <c r="AR411" i="6"/>
  <c r="CH411" i="6"/>
  <c r="G411" i="12"/>
  <c r="X411" i="5"/>
  <c r="BA411" i="6"/>
  <c r="CD411" i="6"/>
  <c r="X407" i="12"/>
  <c r="W407" i="12"/>
  <c r="B414" i="5"/>
  <c r="H414" i="5"/>
  <c r="N414" i="5"/>
  <c r="J414" i="5"/>
  <c r="A414" i="12"/>
  <c r="G414" i="5"/>
  <c r="W414" i="5"/>
  <c r="H414" i="12" s="1"/>
  <c r="AD414" i="5"/>
  <c r="AE414" i="5"/>
  <c r="B414" i="6"/>
  <c r="F414" i="5"/>
  <c r="R414" i="5"/>
  <c r="K414" i="5"/>
  <c r="C415" i="5"/>
  <c r="D414" i="5"/>
  <c r="B414" i="12" s="1"/>
  <c r="E414" i="5"/>
  <c r="AA409" i="5"/>
  <c r="AB409" i="5"/>
  <c r="AO412" i="6" l="1"/>
  <c r="BG412" i="6"/>
  <c r="BT412" i="6"/>
  <c r="AW412" i="6"/>
  <c r="AP412" i="6"/>
  <c r="AN412" i="6"/>
  <c r="BN412" i="6"/>
  <c r="CI412" i="6"/>
  <c r="AQ412" i="6"/>
  <c r="BP412" i="6"/>
  <c r="BV412" i="6"/>
  <c r="CL412" i="6"/>
  <c r="CG412" i="6"/>
  <c r="BK412" i="6"/>
  <c r="CE412" i="6"/>
  <c r="V407" i="12"/>
  <c r="U407" i="12"/>
  <c r="T407" i="12"/>
  <c r="AV412" i="6"/>
  <c r="BR412" i="6"/>
  <c r="AU412" i="6"/>
  <c r="BC412" i="6"/>
  <c r="CM412" i="6"/>
  <c r="BA412" i="6"/>
  <c r="AZ412" i="6"/>
  <c r="BJ412" i="6"/>
  <c r="G412" i="12"/>
  <c r="X412" i="5"/>
  <c r="AM412" i="6"/>
  <c r="CB412" i="6"/>
  <c r="AT412" i="6"/>
  <c r="AB410" i="5"/>
  <c r="AA410" i="5"/>
  <c r="C410" i="12"/>
  <c r="AO410" i="12"/>
  <c r="O410" i="12"/>
  <c r="M410" i="12"/>
  <c r="W409" i="12"/>
  <c r="X409" i="12"/>
  <c r="J415" i="5"/>
  <c r="B415" i="6"/>
  <c r="AD415" i="5"/>
  <c r="A415" i="12"/>
  <c r="G415" i="5"/>
  <c r="C416" i="5"/>
  <c r="F415" i="5"/>
  <c r="R415" i="5"/>
  <c r="W415" i="5"/>
  <c r="H415" i="12" s="1"/>
  <c r="E415" i="5"/>
  <c r="H415" i="5"/>
  <c r="AE415" i="5"/>
  <c r="N415" i="5"/>
  <c r="K415" i="5"/>
  <c r="D415" i="5"/>
  <c r="B415" i="12" s="1"/>
  <c r="B415" i="5"/>
  <c r="BE412" i="6"/>
  <c r="BH412" i="6"/>
  <c r="AR412" i="6"/>
  <c r="BS412" i="6"/>
  <c r="AK412" i="6"/>
  <c r="AY412" i="6"/>
  <c r="BF412" i="6"/>
  <c r="BQ412" i="6"/>
  <c r="CA412" i="6"/>
  <c r="CK412" i="6"/>
  <c r="AJ412" i="6"/>
  <c r="CJ412" i="6"/>
  <c r="BZ412" i="6"/>
  <c r="AS412" i="6"/>
  <c r="D409" i="12"/>
  <c r="E409" i="6"/>
  <c r="E414" i="12"/>
  <c r="F414" i="6"/>
  <c r="L411" i="5"/>
  <c r="AM411" i="5"/>
  <c r="I411" i="12"/>
  <c r="I411" i="5"/>
  <c r="Z411" i="5"/>
  <c r="AC411" i="5"/>
  <c r="AJ411" i="6"/>
  <c r="C410" i="6"/>
  <c r="O410" i="5"/>
  <c r="G413" i="6"/>
  <c r="M413" i="6"/>
  <c r="BC413" i="6" s="1"/>
  <c r="H413" i="6"/>
  <c r="T413" i="5" s="1"/>
  <c r="N413" i="6"/>
  <c r="D414" i="6"/>
  <c r="J414" i="12"/>
  <c r="L414" i="12"/>
  <c r="K414" i="12" s="1"/>
  <c r="CH412" i="6"/>
  <c r="BL412" i="6"/>
  <c r="BI412" i="6"/>
  <c r="CD412" i="6"/>
  <c r="CC412" i="6"/>
  <c r="BX412" i="6"/>
  <c r="BW412" i="6"/>
  <c r="BY412" i="6"/>
  <c r="AX412" i="6"/>
  <c r="BO412" i="6"/>
  <c r="CF412" i="6"/>
  <c r="AL412" i="6"/>
  <c r="BD412" i="6"/>
  <c r="N409" i="12"/>
  <c r="W408" i="12"/>
  <c r="X408" i="12"/>
  <c r="BQ413" i="6" l="1"/>
  <c r="N410" i="12"/>
  <c r="BS413" i="6"/>
  <c r="Y410" i="12"/>
  <c r="X410" i="12" s="1"/>
  <c r="BE413" i="6"/>
  <c r="CM413" i="6"/>
  <c r="BM413" i="6"/>
  <c r="BX413" i="6"/>
  <c r="CD413" i="6"/>
  <c r="BT413" i="6"/>
  <c r="BF413" i="6"/>
  <c r="BR413" i="6"/>
  <c r="W410" i="12"/>
  <c r="BO413" i="6"/>
  <c r="BV413" i="6"/>
  <c r="BD413" i="6"/>
  <c r="CL413" i="6"/>
  <c r="CF413" i="6"/>
  <c r="CC413" i="6"/>
  <c r="CI413" i="6"/>
  <c r="AW413" i="6"/>
  <c r="BK413" i="6"/>
  <c r="AL413" i="6"/>
  <c r="BA413" i="6"/>
  <c r="BJ413" i="6"/>
  <c r="CA413" i="6"/>
  <c r="BY413" i="6"/>
  <c r="BP413" i="6"/>
  <c r="C411" i="12"/>
  <c r="O411" i="12"/>
  <c r="AO411" i="12"/>
  <c r="M411" i="12"/>
  <c r="N416" i="5"/>
  <c r="J416" i="5"/>
  <c r="E416" i="5"/>
  <c r="H416" i="5"/>
  <c r="AD416" i="5"/>
  <c r="A416" i="12"/>
  <c r="AE416" i="5"/>
  <c r="R416" i="5"/>
  <c r="W416" i="5"/>
  <c r="H416" i="12" s="1"/>
  <c r="F416" i="5"/>
  <c r="G416" i="5"/>
  <c r="K416" i="5"/>
  <c r="C417" i="5"/>
  <c r="D416" i="5"/>
  <c r="B416" i="12" s="1"/>
  <c r="B416" i="5"/>
  <c r="B416" i="6"/>
  <c r="T409" i="12"/>
  <c r="V409" i="12"/>
  <c r="U409" i="12"/>
  <c r="AP413" i="6"/>
  <c r="AX413" i="6"/>
  <c r="CB413" i="6"/>
  <c r="AY413" i="6"/>
  <c r="AQ413" i="6"/>
  <c r="BI413" i="6"/>
  <c r="AO413" i="6"/>
  <c r="AK413" i="6"/>
  <c r="CE413" i="6"/>
  <c r="AV413" i="6"/>
  <c r="CH413" i="6"/>
  <c r="AU413" i="6"/>
  <c r="BL413" i="6"/>
  <c r="AN413" i="6"/>
  <c r="AT413" i="6"/>
  <c r="BH413" i="6"/>
  <c r="BZ413" i="6"/>
  <c r="V408" i="12"/>
  <c r="T408" i="12"/>
  <c r="U408" i="12"/>
  <c r="H414" i="6"/>
  <c r="T414" i="5" s="1"/>
  <c r="N414" i="6"/>
  <c r="G414" i="6"/>
  <c r="M414" i="6"/>
  <c r="CB414" i="6" s="1"/>
  <c r="BM414" i="6"/>
  <c r="CG413" i="6"/>
  <c r="BG413" i="6"/>
  <c r="AM413" i="6"/>
  <c r="CK413" i="6"/>
  <c r="AS413" i="6"/>
  <c r="G413" i="12"/>
  <c r="X413" i="5"/>
  <c r="AJ413" i="6" s="1"/>
  <c r="CJ413" i="6"/>
  <c r="BW413" i="6"/>
  <c r="AR413" i="6"/>
  <c r="AZ413" i="6"/>
  <c r="BN413" i="6"/>
  <c r="E410" i="6"/>
  <c r="D410" i="12"/>
  <c r="AB411" i="5"/>
  <c r="AA411" i="5"/>
  <c r="C411" i="6"/>
  <c r="O411" i="5"/>
  <c r="D415" i="6"/>
  <c r="F415" i="6"/>
  <c r="E415" i="12"/>
  <c r="L415" i="12"/>
  <c r="J415" i="12"/>
  <c r="L412" i="5"/>
  <c r="I412" i="12"/>
  <c r="AM412" i="5"/>
  <c r="Z412" i="5"/>
  <c r="I412" i="5"/>
  <c r="AC412" i="5"/>
  <c r="CG414" i="6" l="1"/>
  <c r="BQ414" i="6"/>
  <c r="AW414" i="6"/>
  <c r="AK414" i="6"/>
  <c r="CJ414" i="6"/>
  <c r="AS414" i="6"/>
  <c r="CM414" i="6"/>
  <c r="BK414" i="6"/>
  <c r="BP414" i="6"/>
  <c r="CH414" i="6"/>
  <c r="BN414" i="6"/>
  <c r="BC414" i="6"/>
  <c r="CC414" i="6"/>
  <c r="BG414" i="6"/>
  <c r="BX414" i="6"/>
  <c r="CK414" i="6"/>
  <c r="BT414" i="6"/>
  <c r="CA414" i="6"/>
  <c r="N411" i="12"/>
  <c r="E411" i="6"/>
  <c r="D411" i="12"/>
  <c r="AU414" i="6"/>
  <c r="C412" i="12"/>
  <c r="M412" i="12"/>
  <c r="AO412" i="12"/>
  <c r="O412" i="12"/>
  <c r="CL414" i="6"/>
  <c r="BD414" i="6"/>
  <c r="BA414" i="6"/>
  <c r="AQ414" i="6"/>
  <c r="CD414" i="6"/>
  <c r="BR414" i="6"/>
  <c r="CI414" i="6"/>
  <c r="AZ414" i="6"/>
  <c r="CE414" i="6"/>
  <c r="AV414" i="6"/>
  <c r="BL414" i="6"/>
  <c r="BH414" i="6"/>
  <c r="AN414" i="6"/>
  <c r="BJ414" i="6"/>
  <c r="F417" i="5"/>
  <c r="H417" i="5"/>
  <c r="R417" i="5"/>
  <c r="W417" i="5"/>
  <c r="H417" i="12" s="1"/>
  <c r="E417" i="5"/>
  <c r="C418" i="5"/>
  <c r="AE417" i="5"/>
  <c r="B417" i="5"/>
  <c r="AD417" i="5"/>
  <c r="G417" i="5"/>
  <c r="N417" i="5"/>
  <c r="J417" i="5"/>
  <c r="D417" i="5"/>
  <c r="B417" i="12" s="1"/>
  <c r="A417" i="12"/>
  <c r="B417" i="6"/>
  <c r="K417" i="5"/>
  <c r="E416" i="12"/>
  <c r="F416" i="6"/>
  <c r="D416" i="6"/>
  <c r="G414" i="12"/>
  <c r="X414" i="5"/>
  <c r="C412" i="6"/>
  <c r="O412" i="5"/>
  <c r="BI414" i="6"/>
  <c r="AO414" i="6"/>
  <c r="BO414" i="6"/>
  <c r="AP414" i="6"/>
  <c r="BV414" i="6"/>
  <c r="BY414" i="6"/>
  <c r="T410" i="12"/>
  <c r="U410" i="12"/>
  <c r="V410" i="12"/>
  <c r="N415" i="6"/>
  <c r="G415" i="6"/>
  <c r="H415" i="6"/>
  <c r="T415" i="5" s="1"/>
  <c r="M415" i="6"/>
  <c r="CC415" i="6" s="1"/>
  <c r="AB412" i="5"/>
  <c r="AA412" i="5"/>
  <c r="K415" i="12"/>
  <c r="AM413" i="5"/>
  <c r="I413" i="12"/>
  <c r="L413" i="5"/>
  <c r="I413" i="5"/>
  <c r="Z413" i="5"/>
  <c r="AC413" i="5"/>
  <c r="AR414" i="6"/>
  <c r="AX414" i="6"/>
  <c r="BS414" i="6"/>
  <c r="AM414" i="6"/>
  <c r="AL414" i="6"/>
  <c r="BE414" i="6"/>
  <c r="BW414" i="6"/>
  <c r="AJ414" i="6"/>
  <c r="BZ414" i="6"/>
  <c r="CF414" i="6"/>
  <c r="AY414" i="6"/>
  <c r="AT414" i="6"/>
  <c r="BF414" i="6"/>
  <c r="J416" i="12"/>
  <c r="L416" i="12"/>
  <c r="Y411" i="12"/>
  <c r="AZ415" i="6" l="1"/>
  <c r="BF415" i="6"/>
  <c r="CB415" i="6"/>
  <c r="CK415" i="6"/>
  <c r="CH415" i="6"/>
  <c r="BW415" i="6"/>
  <c r="BO415" i="6"/>
  <c r="BJ415" i="6"/>
  <c r="BQ415" i="6"/>
  <c r="N412" i="12"/>
  <c r="K416" i="12"/>
  <c r="CM415" i="6"/>
  <c r="BY415" i="6"/>
  <c r="BG415" i="6"/>
  <c r="BA415" i="6"/>
  <c r="CE415" i="6"/>
  <c r="BL415" i="6"/>
  <c r="BM415" i="6"/>
  <c r="CL415" i="6"/>
  <c r="AU415" i="6"/>
  <c r="BC415" i="6"/>
  <c r="CG415" i="6"/>
  <c r="BP415" i="6"/>
  <c r="AP415" i="6"/>
  <c r="BR415" i="6"/>
  <c r="AS415" i="6"/>
  <c r="CJ415" i="6"/>
  <c r="AY415" i="6"/>
  <c r="CI415" i="6"/>
  <c r="AO415" i="6"/>
  <c r="AL415" i="6"/>
  <c r="CA415" i="6"/>
  <c r="BI415" i="6"/>
  <c r="AQ415" i="6"/>
  <c r="AX415" i="6"/>
  <c r="BE415" i="6"/>
  <c r="CF415" i="6"/>
  <c r="BV415" i="6"/>
  <c r="AV415" i="6"/>
  <c r="L417" i="12"/>
  <c r="J417" i="12"/>
  <c r="E417" i="12"/>
  <c r="F417" i="6"/>
  <c r="C413" i="12"/>
  <c r="AO413" i="12"/>
  <c r="Y413" i="12" s="1"/>
  <c r="O413" i="12"/>
  <c r="M413" i="12"/>
  <c r="AW415" i="6"/>
  <c r="AM415" i="6"/>
  <c r="BH415" i="6"/>
  <c r="BZ415" i="6"/>
  <c r="CD415" i="6"/>
  <c r="BS415" i="6"/>
  <c r="BD415" i="6"/>
  <c r="BN415" i="6"/>
  <c r="E412" i="6"/>
  <c r="D412" i="12"/>
  <c r="E418" i="5"/>
  <c r="A418" i="12"/>
  <c r="J418" i="5"/>
  <c r="R418" i="5"/>
  <c r="W418" i="5"/>
  <c r="H418" i="12" s="1"/>
  <c r="B418" i="6"/>
  <c r="N418" i="5"/>
  <c r="AE418" i="5"/>
  <c r="K418" i="5"/>
  <c r="C419" i="5"/>
  <c r="H418" i="5"/>
  <c r="B418" i="5"/>
  <c r="G418" i="5"/>
  <c r="AD418" i="5"/>
  <c r="F418" i="5"/>
  <c r="D418" i="5"/>
  <c r="B418" i="12" s="1"/>
  <c r="W411" i="12"/>
  <c r="X411" i="12"/>
  <c r="AA413" i="5"/>
  <c r="AB413" i="5"/>
  <c r="G415" i="12"/>
  <c r="X415" i="5"/>
  <c r="AT415" i="6"/>
  <c r="BK415" i="6"/>
  <c r="BT415" i="6"/>
  <c r="BX415" i="6"/>
  <c r="AK415" i="6"/>
  <c r="H416" i="6"/>
  <c r="T416" i="5" s="1"/>
  <c r="G416" i="6"/>
  <c r="N416" i="6"/>
  <c r="M416" i="6"/>
  <c r="BI416" i="6" s="1"/>
  <c r="D417" i="6"/>
  <c r="Y412" i="12"/>
  <c r="C413" i="6"/>
  <c r="O413" i="5"/>
  <c r="AR415" i="6"/>
  <c r="AN415" i="6"/>
  <c r="I414" i="12"/>
  <c r="AM414" i="5"/>
  <c r="L414" i="5"/>
  <c r="Z414" i="5"/>
  <c r="I414" i="5"/>
  <c r="AC414" i="5"/>
  <c r="X412" i="12" l="1"/>
  <c r="W412" i="12"/>
  <c r="CH416" i="6"/>
  <c r="BJ416" i="6"/>
  <c r="G416" i="12"/>
  <c r="X416" i="5"/>
  <c r="AX416" i="6"/>
  <c r="AJ416" i="6"/>
  <c r="BD416" i="6"/>
  <c r="AL416" i="6"/>
  <c r="BY416" i="6"/>
  <c r="BG416" i="6"/>
  <c r="BR416" i="6"/>
  <c r="BC416" i="6"/>
  <c r="BV416" i="6"/>
  <c r="AR416" i="6"/>
  <c r="AN416" i="6"/>
  <c r="AM416" i="6"/>
  <c r="CM416" i="6"/>
  <c r="BE416" i="6"/>
  <c r="D418" i="6"/>
  <c r="AB414" i="5"/>
  <c r="AA414" i="5"/>
  <c r="BL416" i="6"/>
  <c r="BM416" i="6"/>
  <c r="C414" i="6"/>
  <c r="O414" i="5"/>
  <c r="D413" i="12"/>
  <c r="E413" i="6"/>
  <c r="N417" i="6"/>
  <c r="G417" i="6"/>
  <c r="M417" i="6"/>
  <c r="BK417" i="6" s="1"/>
  <c r="H417" i="6"/>
  <c r="T417" i="5" s="1"/>
  <c r="CA417" i="6"/>
  <c r="BH417" i="6"/>
  <c r="BV417" i="6"/>
  <c r="BW417" i="6"/>
  <c r="CC416" i="6"/>
  <c r="CI416" i="6"/>
  <c r="BW416" i="6"/>
  <c r="BP416" i="6"/>
  <c r="BS416" i="6"/>
  <c r="AP416" i="6"/>
  <c r="CK416" i="6"/>
  <c r="BZ416" i="6"/>
  <c r="BX416" i="6"/>
  <c r="AV416" i="6"/>
  <c r="BQ416" i="6"/>
  <c r="AQ416" i="6"/>
  <c r="AU416" i="6"/>
  <c r="L415" i="5"/>
  <c r="AM415" i="5"/>
  <c r="I415" i="12"/>
  <c r="I415" i="5"/>
  <c r="Z415" i="5"/>
  <c r="AC415" i="5"/>
  <c r="F418" i="6"/>
  <c r="E418" i="12"/>
  <c r="N413" i="12"/>
  <c r="AW416" i="6"/>
  <c r="AT416" i="6"/>
  <c r="CG416" i="6"/>
  <c r="CD416" i="6"/>
  <c r="AK416" i="6"/>
  <c r="CF416" i="6"/>
  <c r="BO416" i="6"/>
  <c r="AY416" i="6"/>
  <c r="A419" i="12"/>
  <c r="C420" i="5"/>
  <c r="J419" i="5"/>
  <c r="B419" i="5"/>
  <c r="K419" i="5"/>
  <c r="N419" i="5"/>
  <c r="W419" i="5"/>
  <c r="H419" i="12" s="1"/>
  <c r="AD419" i="5"/>
  <c r="F419" i="5"/>
  <c r="B419" i="6"/>
  <c r="AE419" i="5"/>
  <c r="R419" i="5"/>
  <c r="H419" i="5"/>
  <c r="G419" i="5"/>
  <c r="E419" i="5"/>
  <c r="D419" i="5"/>
  <c r="B419" i="12" s="1"/>
  <c r="J418" i="12"/>
  <c r="L418" i="12"/>
  <c r="C414" i="12"/>
  <c r="M414" i="12"/>
  <c r="O414" i="12"/>
  <c r="AO414" i="12"/>
  <c r="CB416" i="6"/>
  <c r="BF416" i="6"/>
  <c r="BT416" i="6"/>
  <c r="CE416" i="6"/>
  <c r="CA416" i="6"/>
  <c r="CL416" i="6"/>
  <c r="BA416" i="6"/>
  <c r="AZ416" i="6"/>
  <c r="BN416" i="6"/>
  <c r="CJ416" i="6"/>
  <c r="BH416" i="6"/>
  <c r="AS416" i="6"/>
  <c r="AO416" i="6"/>
  <c r="BK416" i="6"/>
  <c r="V411" i="12"/>
  <c r="T411" i="12"/>
  <c r="U411" i="12"/>
  <c r="AJ415" i="6"/>
  <c r="X413" i="12"/>
  <c r="W413" i="12"/>
  <c r="K417" i="12"/>
  <c r="BL417" i="6" l="1"/>
  <c r="AV417" i="6"/>
  <c r="CF417" i="6"/>
  <c r="BJ417" i="6"/>
  <c r="BX417" i="6"/>
  <c r="BZ417" i="6"/>
  <c r="AR417" i="6"/>
  <c r="N414" i="12"/>
  <c r="CK417" i="6"/>
  <c r="AS417" i="6"/>
  <c r="CH417" i="6"/>
  <c r="BT417" i="6"/>
  <c r="BM417" i="6"/>
  <c r="CG417" i="6"/>
  <c r="BD417" i="6"/>
  <c r="AM417" i="6"/>
  <c r="CL417" i="6"/>
  <c r="CE417" i="6"/>
  <c r="CC417" i="6"/>
  <c r="BR417" i="6"/>
  <c r="BS417" i="6"/>
  <c r="BY417" i="6"/>
  <c r="AN417" i="6"/>
  <c r="BN417" i="6"/>
  <c r="BI417" i="6"/>
  <c r="BP417" i="6"/>
  <c r="AO417" i="6"/>
  <c r="K418" i="12"/>
  <c r="AT417" i="6"/>
  <c r="BC417" i="6"/>
  <c r="AW417" i="6"/>
  <c r="BO417" i="6"/>
  <c r="CI417" i="6"/>
  <c r="AU417" i="6"/>
  <c r="J419" i="12"/>
  <c r="L419" i="12"/>
  <c r="AL417" i="6"/>
  <c r="AQ417" i="6"/>
  <c r="AY417" i="6"/>
  <c r="N420" i="5"/>
  <c r="J420" i="5"/>
  <c r="H420" i="5"/>
  <c r="C421" i="5"/>
  <c r="D420" i="5"/>
  <c r="B420" i="12" s="1"/>
  <c r="G420" i="5"/>
  <c r="AD420" i="5"/>
  <c r="W420" i="5"/>
  <c r="H420" i="12" s="1"/>
  <c r="F420" i="5"/>
  <c r="E420" i="5"/>
  <c r="B420" i="5"/>
  <c r="R420" i="5"/>
  <c r="AE420" i="5"/>
  <c r="A420" i="12"/>
  <c r="B420" i="6"/>
  <c r="K420" i="5"/>
  <c r="C415" i="12"/>
  <c r="M415" i="12"/>
  <c r="O415" i="12"/>
  <c r="AO415" i="12"/>
  <c r="Y415" i="12" s="1"/>
  <c r="E414" i="6"/>
  <c r="D414" i="12"/>
  <c r="AA415" i="5"/>
  <c r="AB415" i="5"/>
  <c r="C415" i="6"/>
  <c r="O415" i="5"/>
  <c r="G417" i="12"/>
  <c r="X417" i="5"/>
  <c r="CD417" i="6"/>
  <c r="CB417" i="6"/>
  <c r="BE417" i="6"/>
  <c r="CM417" i="6"/>
  <c r="BG417" i="6"/>
  <c r="BQ417" i="6"/>
  <c r="BA417" i="6"/>
  <c r="G418" i="6"/>
  <c r="N418" i="6"/>
  <c r="M418" i="6"/>
  <c r="BS418" i="6" s="1"/>
  <c r="H418" i="6"/>
  <c r="T418" i="5" s="1"/>
  <c r="BQ418" i="6"/>
  <c r="BK418" i="6"/>
  <c r="BV418" i="6"/>
  <c r="BX418" i="6"/>
  <c r="L416" i="5"/>
  <c r="AM416" i="5"/>
  <c r="I416" i="12"/>
  <c r="I416" i="5"/>
  <c r="Z416" i="5"/>
  <c r="AC416" i="5"/>
  <c r="V412" i="12"/>
  <c r="T412" i="12"/>
  <c r="U412" i="12"/>
  <c r="V413" i="12"/>
  <c r="T413" i="12"/>
  <c r="U413" i="12"/>
  <c r="Y414" i="12"/>
  <c r="F419" i="6"/>
  <c r="E419" i="12"/>
  <c r="D419" i="6"/>
  <c r="BF417" i="6"/>
  <c r="AP417" i="6"/>
  <c r="AZ417" i="6"/>
  <c r="CJ417" i="6"/>
  <c r="AX417" i="6"/>
  <c r="AK417" i="6"/>
  <c r="K419" i="12" l="1"/>
  <c r="AO418" i="6"/>
  <c r="CJ418" i="6"/>
  <c r="BO418" i="6"/>
  <c r="CL418" i="6"/>
  <c r="AY418" i="6"/>
  <c r="AT418" i="6"/>
  <c r="AN418" i="6"/>
  <c r="BT418" i="6"/>
  <c r="AK418" i="6"/>
  <c r="AR418" i="6"/>
  <c r="AW418" i="6"/>
  <c r="AU418" i="6"/>
  <c r="BY418" i="6"/>
  <c r="BM418" i="6"/>
  <c r="BH418" i="6"/>
  <c r="N419" i="6"/>
  <c r="G419" i="6"/>
  <c r="H419" i="6"/>
  <c r="T419" i="5" s="1"/>
  <c r="M419" i="6"/>
  <c r="BO419" i="6" s="1"/>
  <c r="BK419" i="6"/>
  <c r="BQ419" i="6"/>
  <c r="BI419" i="6"/>
  <c r="CA419" i="6"/>
  <c r="D415" i="12"/>
  <c r="E415" i="6"/>
  <c r="F420" i="6"/>
  <c r="E420" i="12"/>
  <c r="BD418" i="6"/>
  <c r="AQ418" i="6"/>
  <c r="CC418" i="6"/>
  <c r="BN418" i="6"/>
  <c r="AL418" i="6"/>
  <c r="CB418" i="6"/>
  <c r="CD418" i="6"/>
  <c r="AX418" i="6"/>
  <c r="CA418" i="6"/>
  <c r="CI418" i="6"/>
  <c r="CF418" i="6"/>
  <c r="CH418" i="6"/>
  <c r="CG418" i="6"/>
  <c r="BE418" i="6"/>
  <c r="L420" i="12"/>
  <c r="J420" i="12"/>
  <c r="X414" i="12"/>
  <c r="W414" i="12"/>
  <c r="C416" i="6"/>
  <c r="O416" i="5"/>
  <c r="C416" i="12"/>
  <c r="O416" i="12"/>
  <c r="AO416" i="12"/>
  <c r="M416" i="12"/>
  <c r="BG418" i="6"/>
  <c r="AS418" i="6"/>
  <c r="BP418" i="6"/>
  <c r="CK418" i="6"/>
  <c r="BA418" i="6"/>
  <c r="BF418" i="6"/>
  <c r="BI418" i="6"/>
  <c r="BR418" i="6"/>
  <c r="BL418" i="6"/>
  <c r="BW418" i="6"/>
  <c r="I417" i="12"/>
  <c r="L417" i="5"/>
  <c r="AM417" i="5"/>
  <c r="Z417" i="5"/>
  <c r="I417" i="5"/>
  <c r="AC417" i="5"/>
  <c r="AJ417" i="6"/>
  <c r="X415" i="12"/>
  <c r="W415" i="12"/>
  <c r="AB416" i="5"/>
  <c r="AA416" i="5"/>
  <c r="G418" i="12"/>
  <c r="X418" i="5"/>
  <c r="AV418" i="6"/>
  <c r="AP418" i="6"/>
  <c r="BZ418" i="6"/>
  <c r="BJ418" i="6"/>
  <c r="BC418" i="6"/>
  <c r="AM418" i="6"/>
  <c r="CE418" i="6"/>
  <c r="CM418" i="6"/>
  <c r="AZ418" i="6"/>
  <c r="N415" i="12"/>
  <c r="G421" i="5"/>
  <c r="AE421" i="5"/>
  <c r="B421" i="6"/>
  <c r="R421" i="5"/>
  <c r="C422" i="5"/>
  <c r="F421" i="5"/>
  <c r="AD421" i="5"/>
  <c r="A421" i="12"/>
  <c r="B421" i="5"/>
  <c r="N421" i="5"/>
  <c r="E421" i="5"/>
  <c r="W421" i="5"/>
  <c r="H421" i="12" s="1"/>
  <c r="D421" i="5"/>
  <c r="B421" i="12" s="1"/>
  <c r="K421" i="5"/>
  <c r="H421" i="5"/>
  <c r="J421" i="5"/>
  <c r="D420" i="6"/>
  <c r="Y416" i="12" l="1"/>
  <c r="CK419" i="6"/>
  <c r="BY419" i="6"/>
  <c r="K420" i="12"/>
  <c r="BF419" i="6"/>
  <c r="J421" i="12"/>
  <c r="L421" i="12"/>
  <c r="K421" i="12" s="1"/>
  <c r="X416" i="12"/>
  <c r="W416" i="12"/>
  <c r="BL419" i="6"/>
  <c r="G420" i="6"/>
  <c r="N420" i="6"/>
  <c r="M420" i="6"/>
  <c r="BG420" i="6" s="1"/>
  <c r="H420" i="6"/>
  <c r="T420" i="5" s="1"/>
  <c r="CL420" i="6"/>
  <c r="CC420" i="6"/>
  <c r="CK420" i="6"/>
  <c r="BS420" i="6"/>
  <c r="AL420" i="6"/>
  <c r="BW420" i="6"/>
  <c r="BL420" i="6"/>
  <c r="CD420" i="6"/>
  <c r="BK420" i="6"/>
  <c r="CM420" i="6"/>
  <c r="CB420" i="6"/>
  <c r="CA420" i="6"/>
  <c r="BP420" i="6"/>
  <c r="BH420" i="6"/>
  <c r="BM420" i="6"/>
  <c r="CF420" i="6"/>
  <c r="BO420" i="6"/>
  <c r="D421" i="6"/>
  <c r="F421" i="6"/>
  <c r="E421" i="12"/>
  <c r="AA417" i="5"/>
  <c r="AB417" i="5"/>
  <c r="N416" i="12"/>
  <c r="V414" i="12"/>
  <c r="U414" i="12"/>
  <c r="T414" i="12"/>
  <c r="BP419" i="6"/>
  <c r="BZ419" i="6"/>
  <c r="CJ419" i="6"/>
  <c r="BV419" i="6"/>
  <c r="CL419" i="6"/>
  <c r="AX419" i="6"/>
  <c r="CC419" i="6"/>
  <c r="AO419" i="6"/>
  <c r="AL419" i="6"/>
  <c r="BJ419" i="6"/>
  <c r="CH419" i="6"/>
  <c r="BC419" i="6"/>
  <c r="BT419" i="6"/>
  <c r="AK419" i="6"/>
  <c r="BG419" i="6"/>
  <c r="AM419" i="6"/>
  <c r="CG419" i="6"/>
  <c r="AQ419" i="6"/>
  <c r="BD419" i="6"/>
  <c r="CM419" i="6"/>
  <c r="AS419" i="6"/>
  <c r="BS419" i="6"/>
  <c r="AN419" i="6"/>
  <c r="BR419" i="6"/>
  <c r="BN419" i="6"/>
  <c r="CI419" i="6"/>
  <c r="AU419" i="6"/>
  <c r="CF419" i="6"/>
  <c r="CE419" i="6"/>
  <c r="AT419" i="6"/>
  <c r="G419" i="12"/>
  <c r="X419" i="5"/>
  <c r="BH419" i="6"/>
  <c r="BA419" i="6"/>
  <c r="BW419" i="6"/>
  <c r="AM418" i="5"/>
  <c r="L418" i="5"/>
  <c r="I418" i="12"/>
  <c r="Z418" i="5"/>
  <c r="I418" i="5"/>
  <c r="AC418" i="5"/>
  <c r="U415" i="12"/>
  <c r="V415" i="12"/>
  <c r="T415" i="12"/>
  <c r="C417" i="12"/>
  <c r="O417" i="12"/>
  <c r="AO417" i="12"/>
  <c r="M417" i="12"/>
  <c r="C423" i="5"/>
  <c r="AE422" i="5"/>
  <c r="F422" i="5"/>
  <c r="R422" i="5"/>
  <c r="W422" i="5"/>
  <c r="H422" i="12" s="1"/>
  <c r="G422" i="5"/>
  <c r="N422" i="5"/>
  <c r="A422" i="12"/>
  <c r="B422" i="6"/>
  <c r="H422" i="5"/>
  <c r="K422" i="5"/>
  <c r="J422" i="5"/>
  <c r="B422" i="5"/>
  <c r="AD422" i="5"/>
  <c r="E422" i="5"/>
  <c r="D422" i="5"/>
  <c r="B422" i="12" s="1"/>
  <c r="AJ418" i="6"/>
  <c r="C417" i="6"/>
  <c r="O417" i="5"/>
  <c r="D416" i="12"/>
  <c r="E416" i="6"/>
  <c r="CD419" i="6"/>
  <c r="BM419" i="6"/>
  <c r="AW419" i="6"/>
  <c r="AR419" i="6"/>
  <c r="AY419" i="6"/>
  <c r="BE419" i="6"/>
  <c r="CB419" i="6"/>
  <c r="BX419" i="6"/>
  <c r="AP419" i="6"/>
  <c r="AZ419" i="6"/>
  <c r="AV419" i="6"/>
  <c r="AQ420" i="6" l="1"/>
  <c r="AY420" i="6"/>
  <c r="BF420" i="6"/>
  <c r="Y417" i="12"/>
  <c r="BC420" i="6"/>
  <c r="BR420" i="6"/>
  <c r="AX420" i="6"/>
  <c r="BV420" i="6"/>
  <c r="AN420" i="6"/>
  <c r="BD420" i="6"/>
  <c r="CG420" i="6"/>
  <c r="AP420" i="6"/>
  <c r="BY420" i="6"/>
  <c r="AZ420" i="6"/>
  <c r="CH420" i="6"/>
  <c r="CI420" i="6"/>
  <c r="BX420" i="6"/>
  <c r="AS420" i="6"/>
  <c r="AT420" i="6"/>
  <c r="D422" i="6"/>
  <c r="W417" i="12"/>
  <c r="X417" i="12"/>
  <c r="AB418" i="5"/>
  <c r="AA418" i="5"/>
  <c r="H421" i="6"/>
  <c r="T421" i="5" s="1"/>
  <c r="M421" i="6"/>
  <c r="CD421" i="6" s="1"/>
  <c r="CL421" i="6"/>
  <c r="BI421" i="6"/>
  <c r="AT421" i="6"/>
  <c r="BD421" i="6"/>
  <c r="CF421" i="6"/>
  <c r="CG421" i="6"/>
  <c r="BQ421" i="6"/>
  <c r="CA421" i="6"/>
  <c r="G421" i="6"/>
  <c r="AY421" i="6"/>
  <c r="BZ421" i="6"/>
  <c r="BC421" i="6"/>
  <c r="CM421" i="6"/>
  <c r="BN421" i="6"/>
  <c r="BO421" i="6"/>
  <c r="AL421" i="6"/>
  <c r="BG421" i="6"/>
  <c r="AW421" i="6"/>
  <c r="BF421" i="6"/>
  <c r="BL421" i="6"/>
  <c r="BH421" i="6"/>
  <c r="BR421" i="6"/>
  <c r="CI421" i="6"/>
  <c r="CB421" i="6"/>
  <c r="BV421" i="6"/>
  <c r="N421" i="6"/>
  <c r="BJ421" i="6"/>
  <c r="AX421" i="6"/>
  <c r="BE421" i="6"/>
  <c r="CK421" i="6"/>
  <c r="CE421" i="6"/>
  <c r="BT421" i="6"/>
  <c r="AP421" i="6"/>
  <c r="CH421" i="6"/>
  <c r="CC421" i="6"/>
  <c r="AK421" i="6"/>
  <c r="AO421" i="6"/>
  <c r="G420" i="12"/>
  <c r="X420" i="5"/>
  <c r="AM420" i="6"/>
  <c r="AO420" i="6"/>
  <c r="AU420" i="6"/>
  <c r="AK420" i="6"/>
  <c r="BQ420" i="6"/>
  <c r="BZ420" i="6"/>
  <c r="V416" i="12"/>
  <c r="T416" i="12"/>
  <c r="U416" i="12"/>
  <c r="E422" i="12"/>
  <c r="F422" i="6"/>
  <c r="I419" i="12"/>
  <c r="L419" i="5"/>
  <c r="AM419" i="5"/>
  <c r="Z419" i="5"/>
  <c r="I419" i="5"/>
  <c r="AC419" i="5"/>
  <c r="N417" i="12"/>
  <c r="C418" i="12"/>
  <c r="M418" i="12"/>
  <c r="AO418" i="12"/>
  <c r="O418" i="12"/>
  <c r="AR420" i="6"/>
  <c r="AV420" i="6"/>
  <c r="CE420" i="6"/>
  <c r="AW420" i="6"/>
  <c r="BI420" i="6"/>
  <c r="BE420" i="6"/>
  <c r="BN420" i="6"/>
  <c r="BJ420" i="6"/>
  <c r="CJ420" i="6"/>
  <c r="AJ419" i="6"/>
  <c r="E417" i="6"/>
  <c r="D417" i="12"/>
  <c r="J422" i="12"/>
  <c r="L422" i="12"/>
  <c r="B423" i="5"/>
  <c r="J423" i="5"/>
  <c r="A423" i="12"/>
  <c r="G423" i="5"/>
  <c r="AE423" i="5"/>
  <c r="N423" i="5"/>
  <c r="E423" i="5"/>
  <c r="K423" i="5"/>
  <c r="D423" i="5"/>
  <c r="B423" i="12" s="1"/>
  <c r="B423" i="6"/>
  <c r="AD423" i="5"/>
  <c r="R423" i="5"/>
  <c r="F423" i="5"/>
  <c r="W423" i="5"/>
  <c r="H423" i="12" s="1"/>
  <c r="H423" i="5"/>
  <c r="C424" i="5"/>
  <c r="C418" i="6"/>
  <c r="O418" i="5"/>
  <c r="BA420" i="6"/>
  <c r="BT420" i="6"/>
  <c r="N418" i="12" l="1"/>
  <c r="BS421" i="6"/>
  <c r="BM421" i="6"/>
  <c r="AN421" i="6"/>
  <c r="CJ421" i="6"/>
  <c r="K422" i="12"/>
  <c r="AS421" i="6"/>
  <c r="AM421" i="6"/>
  <c r="AV421" i="6"/>
  <c r="BK421" i="6"/>
  <c r="AQ421" i="6"/>
  <c r="AZ421" i="6"/>
  <c r="BY421" i="6"/>
  <c r="AU421" i="6"/>
  <c r="AR421" i="6"/>
  <c r="BP421" i="6"/>
  <c r="J423" i="12"/>
  <c r="L423" i="12"/>
  <c r="Y418" i="12"/>
  <c r="C419" i="6"/>
  <c r="O419" i="5"/>
  <c r="G421" i="12"/>
  <c r="X421" i="5"/>
  <c r="V417" i="12"/>
  <c r="T417" i="12"/>
  <c r="U417" i="12"/>
  <c r="D423" i="6"/>
  <c r="B424" i="6"/>
  <c r="K424" i="5"/>
  <c r="G424" i="5"/>
  <c r="E424" i="5"/>
  <c r="B424" i="5"/>
  <c r="D424" i="5"/>
  <c r="B424" i="12" s="1"/>
  <c r="AE424" i="5"/>
  <c r="F424" i="5"/>
  <c r="H424" i="5"/>
  <c r="J424" i="5"/>
  <c r="C425" i="5"/>
  <c r="A424" i="12"/>
  <c r="AD424" i="5"/>
  <c r="R424" i="5"/>
  <c r="W424" i="5"/>
  <c r="H424" i="12" s="1"/>
  <c r="N424" i="5"/>
  <c r="E423" i="12"/>
  <c r="F423" i="6"/>
  <c r="C419" i="12"/>
  <c r="O419" i="12"/>
  <c r="M419" i="12"/>
  <c r="AO419" i="12"/>
  <c r="AM420" i="5"/>
  <c r="I420" i="12"/>
  <c r="L420" i="5"/>
  <c r="Z420" i="5"/>
  <c r="I420" i="5"/>
  <c r="AC420" i="5"/>
  <c r="AJ420" i="6"/>
  <c r="BA421" i="6"/>
  <c r="M422" i="6"/>
  <c r="CM422" i="6" s="1"/>
  <c r="H422" i="6"/>
  <c r="T422" i="5" s="1"/>
  <c r="G422" i="6"/>
  <c r="N422" i="6"/>
  <c r="E418" i="6"/>
  <c r="D418" i="12"/>
  <c r="AB419" i="5"/>
  <c r="AA419" i="5"/>
  <c r="BW421" i="6"/>
  <c r="BX421" i="6"/>
  <c r="Y419" i="12" l="1"/>
  <c r="CF422" i="6"/>
  <c r="BP422" i="6"/>
  <c r="K423" i="12"/>
  <c r="BA422" i="6"/>
  <c r="AP422" i="6"/>
  <c r="CJ422" i="6"/>
  <c r="CA422" i="6"/>
  <c r="CE422" i="6"/>
  <c r="BR422" i="6"/>
  <c r="AK422" i="6"/>
  <c r="BS422" i="6"/>
  <c r="AM422" i="6"/>
  <c r="BH422" i="6"/>
  <c r="BV422" i="6"/>
  <c r="E419" i="6"/>
  <c r="D419" i="12"/>
  <c r="BX422" i="6"/>
  <c r="AT422" i="6"/>
  <c r="CK422" i="6"/>
  <c r="AV422" i="6"/>
  <c r="BZ422" i="6"/>
  <c r="G422" i="12"/>
  <c r="X422" i="5"/>
  <c r="CL422" i="6"/>
  <c r="AQ422" i="6"/>
  <c r="BJ422" i="6"/>
  <c r="AB420" i="5"/>
  <c r="AA420" i="5"/>
  <c r="W419" i="12"/>
  <c r="X419" i="12"/>
  <c r="D424" i="6"/>
  <c r="BI422" i="6"/>
  <c r="AX422" i="6"/>
  <c r="BQ422" i="6"/>
  <c r="AS422" i="6"/>
  <c r="BD422" i="6"/>
  <c r="AN422" i="6"/>
  <c r="BK422" i="6"/>
  <c r="CG422" i="6"/>
  <c r="AZ422" i="6"/>
  <c r="BN422" i="6"/>
  <c r="BC422" i="6"/>
  <c r="AJ422" i="6"/>
  <c r="BM422" i="6"/>
  <c r="AU422" i="6"/>
  <c r="CC422" i="6"/>
  <c r="C420" i="6"/>
  <c r="O420" i="5"/>
  <c r="L424" i="12"/>
  <c r="J424" i="12"/>
  <c r="H423" i="6"/>
  <c r="T423" i="5" s="1"/>
  <c r="G423" i="6"/>
  <c r="N423" i="6"/>
  <c r="M423" i="6"/>
  <c r="CB423" i="6" s="1"/>
  <c r="CL423" i="6"/>
  <c r="L421" i="5"/>
  <c r="I421" i="12"/>
  <c r="AM421" i="5"/>
  <c r="Z421" i="5"/>
  <c r="I421" i="5"/>
  <c r="AC421" i="5"/>
  <c r="AJ421" i="6"/>
  <c r="X418" i="12"/>
  <c r="W418" i="12"/>
  <c r="BE422" i="6"/>
  <c r="BY422" i="6"/>
  <c r="CI422" i="6"/>
  <c r="CH422" i="6"/>
  <c r="AO422" i="6"/>
  <c r="BT422" i="6"/>
  <c r="BO422" i="6"/>
  <c r="BW422" i="6"/>
  <c r="CB422" i="6"/>
  <c r="BG422" i="6"/>
  <c r="BF422" i="6"/>
  <c r="CD422" i="6"/>
  <c r="BL422" i="6"/>
  <c r="AL422" i="6"/>
  <c r="AY422" i="6"/>
  <c r="AR422" i="6"/>
  <c r="AW422" i="6"/>
  <c r="C420" i="12"/>
  <c r="O420" i="12"/>
  <c r="AO420" i="12"/>
  <c r="M420" i="12"/>
  <c r="N419" i="12"/>
  <c r="E424" i="12"/>
  <c r="F424" i="6"/>
  <c r="K425" i="5"/>
  <c r="N425" i="5"/>
  <c r="AD425" i="5"/>
  <c r="R425" i="5"/>
  <c r="W425" i="5"/>
  <c r="H425" i="12" s="1"/>
  <c r="F425" i="5"/>
  <c r="H425" i="5"/>
  <c r="A425" i="12"/>
  <c r="G425" i="5"/>
  <c r="B425" i="5"/>
  <c r="C426" i="5" s="1"/>
  <c r="E425" i="5"/>
  <c r="B425" i="6"/>
  <c r="AE425" i="5"/>
  <c r="D425" i="5"/>
  <c r="B425" i="12" s="1"/>
  <c r="J425" i="5"/>
  <c r="AL423" i="6" l="1"/>
  <c r="AY423" i="6"/>
  <c r="CC423" i="6"/>
  <c r="AT423" i="6"/>
  <c r="BX423" i="6"/>
  <c r="CG423" i="6"/>
  <c r="AO423" i="6"/>
  <c r="BO423" i="6"/>
  <c r="BR423" i="6"/>
  <c r="AR423" i="6"/>
  <c r="AN423" i="6"/>
  <c r="BG423" i="6"/>
  <c r="K424" i="12"/>
  <c r="CH423" i="6"/>
  <c r="BL423" i="6"/>
  <c r="BJ423" i="6"/>
  <c r="BZ423" i="6"/>
  <c r="CF423" i="6"/>
  <c r="BE423" i="6"/>
  <c r="CI423" i="6"/>
  <c r="AQ423" i="6"/>
  <c r="BC423" i="6"/>
  <c r="H426" i="5"/>
  <c r="W426" i="5"/>
  <c r="H426" i="12" s="1"/>
  <c r="C427" i="5"/>
  <c r="AD426" i="5"/>
  <c r="F426" i="5"/>
  <c r="B426" i="5"/>
  <c r="A426" i="12"/>
  <c r="N426" i="5"/>
  <c r="B426" i="6"/>
  <c r="G426" i="5"/>
  <c r="AE426" i="5"/>
  <c r="E426" i="5"/>
  <c r="I426" i="5"/>
  <c r="E425" i="12"/>
  <c r="F425" i="6"/>
  <c r="Y420" i="12"/>
  <c r="U418" i="12"/>
  <c r="V418" i="12"/>
  <c r="T418" i="12"/>
  <c r="C421" i="6"/>
  <c r="O421" i="5"/>
  <c r="AU423" i="6"/>
  <c r="BN423" i="6"/>
  <c r="BH423" i="6"/>
  <c r="AV423" i="6"/>
  <c r="CK423" i="6"/>
  <c r="BP423" i="6"/>
  <c r="AS423" i="6"/>
  <c r="AK423" i="6"/>
  <c r="BF423" i="6"/>
  <c r="AZ423" i="6"/>
  <c r="BA423" i="6"/>
  <c r="BV423" i="6"/>
  <c r="D420" i="12"/>
  <c r="E420" i="6"/>
  <c r="V419" i="12"/>
  <c r="U419" i="12"/>
  <c r="T419" i="12"/>
  <c r="C421" i="12"/>
  <c r="AO421" i="12"/>
  <c r="O421" i="12"/>
  <c r="M421" i="12"/>
  <c r="N420" i="12"/>
  <c r="AA421" i="5"/>
  <c r="AB421" i="5"/>
  <c r="BY423" i="6"/>
  <c r="CJ423" i="6"/>
  <c r="BK423" i="6"/>
  <c r="AM423" i="6"/>
  <c r="BQ423" i="6"/>
  <c r="CA423" i="6"/>
  <c r="BM423" i="6"/>
  <c r="BT423" i="6"/>
  <c r="BI423" i="6"/>
  <c r="BW423" i="6"/>
  <c r="L425" i="12"/>
  <c r="J425" i="12"/>
  <c r="D425" i="6"/>
  <c r="BD423" i="6"/>
  <c r="CM423" i="6"/>
  <c r="CD423" i="6"/>
  <c r="AX423" i="6"/>
  <c r="AW423" i="6"/>
  <c r="CE423" i="6"/>
  <c r="AP423" i="6"/>
  <c r="BS423" i="6"/>
  <c r="G423" i="12"/>
  <c r="X423" i="5"/>
  <c r="N424" i="6"/>
  <c r="M424" i="6"/>
  <c r="BK424" i="6" s="1"/>
  <c r="H424" i="6"/>
  <c r="T424" i="5" s="1"/>
  <c r="CJ424" i="6"/>
  <c r="G424" i="6"/>
  <c r="AP424" i="6"/>
  <c r="BQ424" i="6"/>
  <c r="AZ424" i="6"/>
  <c r="CL424" i="6"/>
  <c r="CB424" i="6"/>
  <c r="BD424" i="6"/>
  <c r="BZ424" i="6"/>
  <c r="I422" i="12"/>
  <c r="L422" i="5"/>
  <c r="AM422" i="5"/>
  <c r="Z422" i="5"/>
  <c r="I422" i="5"/>
  <c r="AC422" i="5"/>
  <c r="BX424" i="6" l="1"/>
  <c r="BG424" i="6"/>
  <c r="AS424" i="6"/>
  <c r="CI424" i="6"/>
  <c r="AW424" i="6"/>
  <c r="CA424" i="6"/>
  <c r="BR424" i="6"/>
  <c r="CD424" i="6"/>
  <c r="BL424" i="6"/>
  <c r="AR424" i="6"/>
  <c r="AL424" i="6"/>
  <c r="CM424" i="6"/>
  <c r="BF424" i="6"/>
  <c r="BS424" i="6"/>
  <c r="CH424" i="6"/>
  <c r="BM424" i="6"/>
  <c r="CF424" i="6"/>
  <c r="BC424" i="6"/>
  <c r="CG424" i="6"/>
  <c r="AN424" i="6"/>
  <c r="BE424" i="6"/>
  <c r="AU424" i="6"/>
  <c r="BT424" i="6"/>
  <c r="BW424" i="6"/>
  <c r="BO424" i="6"/>
  <c r="AK424" i="6"/>
  <c r="BN424" i="6"/>
  <c r="BI424" i="6"/>
  <c r="BH424" i="6"/>
  <c r="CE424" i="6"/>
  <c r="AY424" i="6"/>
  <c r="AQ424" i="6"/>
  <c r="AV424" i="6"/>
  <c r="Y421" i="12"/>
  <c r="AT424" i="6"/>
  <c r="X420" i="12"/>
  <c r="W420" i="12"/>
  <c r="C422" i="12"/>
  <c r="AO422" i="12"/>
  <c r="O422" i="12"/>
  <c r="M422" i="12"/>
  <c r="CK424" i="6"/>
  <c r="BV424" i="6"/>
  <c r="BY424" i="6"/>
  <c r="CC424" i="6"/>
  <c r="H427" i="5"/>
  <c r="G427" i="5"/>
  <c r="AD427" i="5"/>
  <c r="R427" i="5"/>
  <c r="A427" i="12"/>
  <c r="B427" i="5"/>
  <c r="B427" i="6"/>
  <c r="D427" i="5"/>
  <c r="B427" i="12" s="1"/>
  <c r="AE427" i="5"/>
  <c r="J427" i="5"/>
  <c r="N427" i="5"/>
  <c r="W427" i="5"/>
  <c r="H427" i="12" s="1"/>
  <c r="F427" i="5"/>
  <c r="K427" i="5"/>
  <c r="E427" i="5"/>
  <c r="C428" i="5"/>
  <c r="C422" i="6"/>
  <c r="O422" i="5"/>
  <c r="AM423" i="5"/>
  <c r="L423" i="5"/>
  <c r="I423" i="12"/>
  <c r="I423" i="5"/>
  <c r="Z423" i="5"/>
  <c r="AC423" i="5"/>
  <c r="AJ423" i="6"/>
  <c r="M425" i="6"/>
  <c r="CB425" i="6" s="1"/>
  <c r="N425" i="6"/>
  <c r="BE425" i="6"/>
  <c r="BW425" i="6"/>
  <c r="H425" i="6"/>
  <c r="T425" i="5" s="1"/>
  <c r="BQ425" i="6"/>
  <c r="G425" i="6"/>
  <c r="CK425" i="6"/>
  <c r="CH425" i="6"/>
  <c r="CE425" i="6"/>
  <c r="BJ425" i="6"/>
  <c r="BX425" i="6"/>
  <c r="X421" i="12"/>
  <c r="W421" i="12"/>
  <c r="AB422" i="5"/>
  <c r="AA422" i="5"/>
  <c r="BP424" i="6"/>
  <c r="BJ424" i="6"/>
  <c r="BA424" i="6"/>
  <c r="AX424" i="6"/>
  <c r="G424" i="12"/>
  <c r="X424" i="5"/>
  <c r="AO424" i="6"/>
  <c r="AM424" i="6"/>
  <c r="K425" i="12"/>
  <c r="N421" i="12"/>
  <c r="D421" i="12"/>
  <c r="E421" i="6"/>
  <c r="D426" i="6"/>
  <c r="BH425" i="6" l="1"/>
  <c r="AQ425" i="6"/>
  <c r="BG425" i="6"/>
  <c r="A428" i="12"/>
  <c r="K428" i="5"/>
  <c r="E428" i="5"/>
  <c r="G428" i="5"/>
  <c r="W428" i="5"/>
  <c r="H428" i="12" s="1"/>
  <c r="N428" i="5"/>
  <c r="AE428" i="5"/>
  <c r="AD428" i="5"/>
  <c r="B428" i="6"/>
  <c r="R428" i="5"/>
  <c r="F428" i="5"/>
  <c r="J428" i="5"/>
  <c r="D428" i="5"/>
  <c r="B428" i="12" s="1"/>
  <c r="B428" i="5"/>
  <c r="C429" i="5" s="1"/>
  <c r="H428" i="5"/>
  <c r="AU425" i="6"/>
  <c r="AP425" i="6"/>
  <c r="BP425" i="6"/>
  <c r="BC425" i="6"/>
  <c r="AS425" i="6"/>
  <c r="BK425" i="6"/>
  <c r="BY425" i="6"/>
  <c r="BA425" i="6"/>
  <c r="CM425" i="6"/>
  <c r="CJ425" i="6"/>
  <c r="BV425" i="6"/>
  <c r="AL425" i="6"/>
  <c r="BD425" i="6"/>
  <c r="BZ425" i="6"/>
  <c r="BO425" i="6"/>
  <c r="E422" i="6"/>
  <c r="D422" i="12"/>
  <c r="E427" i="12"/>
  <c r="F427" i="6"/>
  <c r="AX425" i="6"/>
  <c r="AB423" i="5"/>
  <c r="AA423" i="5"/>
  <c r="D427" i="6"/>
  <c r="L424" i="5"/>
  <c r="I424" i="12"/>
  <c r="AM424" i="5"/>
  <c r="I424" i="5"/>
  <c r="Z424" i="5"/>
  <c r="AC424" i="5"/>
  <c r="AJ424" i="6"/>
  <c r="U421" i="12"/>
  <c r="V421" i="12"/>
  <c r="T421" i="12"/>
  <c r="CD425" i="6"/>
  <c r="AZ425" i="6"/>
  <c r="AW425" i="6"/>
  <c r="CC425" i="6"/>
  <c r="AT425" i="6"/>
  <c r="CL425" i="6"/>
  <c r="BR425" i="6"/>
  <c r="AN425" i="6"/>
  <c r="CG425" i="6"/>
  <c r="BT425" i="6"/>
  <c r="BI425" i="6"/>
  <c r="BS425" i="6"/>
  <c r="BL425" i="6"/>
  <c r="CI425" i="6"/>
  <c r="C423" i="12"/>
  <c r="AO423" i="12"/>
  <c r="M423" i="12"/>
  <c r="O423" i="12"/>
  <c r="N422" i="12"/>
  <c r="T420" i="12"/>
  <c r="U420" i="12"/>
  <c r="V420" i="12"/>
  <c r="BM426" i="6"/>
  <c r="BC426" i="6"/>
  <c r="BP426" i="6"/>
  <c r="M426" i="6"/>
  <c r="N426" i="6"/>
  <c r="CA426" i="6"/>
  <c r="BH426" i="6"/>
  <c r="BD426" i="6"/>
  <c r="BT426" i="6"/>
  <c r="BS426" i="6"/>
  <c r="CG426" i="6"/>
  <c r="CD426" i="6"/>
  <c r="CM426" i="6"/>
  <c r="CB426" i="6"/>
  <c r="CK426" i="6"/>
  <c r="BY426" i="6"/>
  <c r="BL426" i="6"/>
  <c r="BG426" i="6"/>
  <c r="CI426" i="6"/>
  <c r="BX426" i="6"/>
  <c r="BJ426" i="6"/>
  <c r="BK426" i="6"/>
  <c r="BF426" i="6"/>
  <c r="BO426" i="6"/>
  <c r="H426" i="6"/>
  <c r="T426" i="5" s="1"/>
  <c r="G426" i="12" s="1"/>
  <c r="CC426" i="6"/>
  <c r="BI426" i="6"/>
  <c r="BQ426" i="6"/>
  <c r="BN426" i="6"/>
  <c r="BV426" i="6"/>
  <c r="G426" i="6"/>
  <c r="CF426" i="6"/>
  <c r="BE426" i="6"/>
  <c r="CL426" i="6"/>
  <c r="BZ426" i="6"/>
  <c r="AQ426" i="6"/>
  <c r="CH426" i="6"/>
  <c r="CE426" i="6"/>
  <c r="BW426" i="6"/>
  <c r="BR426" i="6"/>
  <c r="CJ426" i="6"/>
  <c r="CF425" i="6"/>
  <c r="AV425" i="6"/>
  <c r="AM425" i="6"/>
  <c r="BN425" i="6"/>
  <c r="CA425" i="6"/>
  <c r="BM425" i="6"/>
  <c r="G425" i="12"/>
  <c r="X425" i="5"/>
  <c r="AK425" i="6"/>
  <c r="AY425" i="6"/>
  <c r="BF425" i="6"/>
  <c r="AO425" i="6"/>
  <c r="AR425" i="6"/>
  <c r="C423" i="6"/>
  <c r="O423" i="5"/>
  <c r="L427" i="12"/>
  <c r="J427" i="12"/>
  <c r="Y422" i="12"/>
  <c r="K427" i="12" l="1"/>
  <c r="AJ426" i="6"/>
  <c r="AT426" i="6"/>
  <c r="AL426" i="6"/>
  <c r="AX426" i="6"/>
  <c r="Y423" i="12"/>
  <c r="F429" i="5"/>
  <c r="N429" i="5"/>
  <c r="H429" i="5"/>
  <c r="AE429" i="5"/>
  <c r="B429" i="5"/>
  <c r="G429" i="5"/>
  <c r="B429" i="6"/>
  <c r="I429" i="5"/>
  <c r="AD429" i="5"/>
  <c r="C430" i="5"/>
  <c r="W429" i="5"/>
  <c r="H429" i="12" s="1"/>
  <c r="E429" i="5"/>
  <c r="A429" i="12"/>
  <c r="AS426" i="6"/>
  <c r="AN426" i="6"/>
  <c r="X423" i="12"/>
  <c r="W423" i="12"/>
  <c r="C424" i="12"/>
  <c r="AO424" i="12"/>
  <c r="Y424" i="12" s="1"/>
  <c r="M424" i="12"/>
  <c r="O424" i="12"/>
  <c r="F428" i="6"/>
  <c r="E428" i="12"/>
  <c r="D428" i="6"/>
  <c r="J428" i="12"/>
  <c r="L428" i="12"/>
  <c r="K428" i="12" s="1"/>
  <c r="W422" i="12"/>
  <c r="X422" i="12"/>
  <c r="D423" i="12"/>
  <c r="E423" i="6"/>
  <c r="AK426" i="6"/>
  <c r="AW426" i="6"/>
  <c r="AP426" i="6"/>
  <c r="AY426" i="6"/>
  <c r="AZ426" i="6"/>
  <c r="BA426" i="6"/>
  <c r="AA424" i="5"/>
  <c r="AB424" i="5"/>
  <c r="C424" i="6"/>
  <c r="O424" i="5"/>
  <c r="I425" i="12"/>
  <c r="AM425" i="5"/>
  <c r="L425" i="5"/>
  <c r="I425" i="5"/>
  <c r="Z425" i="5"/>
  <c r="AC425" i="5"/>
  <c r="AJ425" i="6"/>
  <c r="AO426" i="6"/>
  <c r="AR426" i="6"/>
  <c r="AU426" i="6"/>
  <c r="AM426" i="6"/>
  <c r="AV426" i="6"/>
  <c r="N423" i="12"/>
  <c r="H427" i="6"/>
  <c r="T427" i="5" s="1"/>
  <c r="G427" i="6"/>
  <c r="M427" i="6"/>
  <c r="CG427" i="6" s="1"/>
  <c r="N427" i="6"/>
  <c r="BI427" i="6"/>
  <c r="BS427" i="6" l="1"/>
  <c r="AM427" i="6"/>
  <c r="AP427" i="6"/>
  <c r="BT427" i="6"/>
  <c r="AW427" i="6"/>
  <c r="BD427" i="6"/>
  <c r="AN427" i="6"/>
  <c r="AT427" i="6"/>
  <c r="CM427" i="6"/>
  <c r="BL427" i="6"/>
  <c r="BQ427" i="6"/>
  <c r="BF427" i="6"/>
  <c r="BR427" i="6"/>
  <c r="AK427" i="6"/>
  <c r="CE427" i="6"/>
  <c r="BJ427" i="6"/>
  <c r="AR427" i="6"/>
  <c r="G427" i="12"/>
  <c r="X427" i="5"/>
  <c r="BW427" i="6"/>
  <c r="BX427" i="6"/>
  <c r="CJ427" i="6"/>
  <c r="BH427" i="6"/>
  <c r="C425" i="6"/>
  <c r="O425" i="5"/>
  <c r="T422" i="12"/>
  <c r="U422" i="12"/>
  <c r="V422" i="12"/>
  <c r="W424" i="12"/>
  <c r="X424" i="12"/>
  <c r="E424" i="6"/>
  <c r="D424" i="12"/>
  <c r="G428" i="6"/>
  <c r="N428" i="6"/>
  <c r="H428" i="6"/>
  <c r="T428" i="5" s="1"/>
  <c r="M428" i="6"/>
  <c r="BF428" i="6" s="1"/>
  <c r="CF427" i="6"/>
  <c r="CL427" i="6"/>
  <c r="CI427" i="6"/>
  <c r="CC427" i="6"/>
  <c r="CB427" i="6"/>
  <c r="BZ427" i="6"/>
  <c r="BK427" i="6"/>
  <c r="C431" i="5"/>
  <c r="E430" i="5"/>
  <c r="K430" i="5"/>
  <c r="R430" i="5"/>
  <c r="AE430" i="5"/>
  <c r="B430" i="6"/>
  <c r="A430" i="12"/>
  <c r="F430" i="5"/>
  <c r="J430" i="5"/>
  <c r="B430" i="5"/>
  <c r="G430" i="5"/>
  <c r="H430" i="5"/>
  <c r="D430" i="5"/>
  <c r="B430" i="12" s="1"/>
  <c r="N430" i="5"/>
  <c r="W430" i="5"/>
  <c r="H430" i="12" s="1"/>
  <c r="AD430" i="5"/>
  <c r="K426" i="5"/>
  <c r="D429" i="6"/>
  <c r="BC427" i="6"/>
  <c r="BP427" i="6"/>
  <c r="BA427" i="6"/>
  <c r="BG427" i="6"/>
  <c r="CD427" i="6"/>
  <c r="BY427" i="6"/>
  <c r="BE427" i="6"/>
  <c r="AU427" i="6"/>
  <c r="AL427" i="6"/>
  <c r="BO427" i="6"/>
  <c r="AX427" i="6"/>
  <c r="CA427" i="6"/>
  <c r="BV427" i="6"/>
  <c r="AV427" i="6"/>
  <c r="BM427" i="6"/>
  <c r="AO427" i="6"/>
  <c r="CH427" i="6"/>
  <c r="CK427" i="6"/>
  <c r="BN427" i="6"/>
  <c r="AZ427" i="6"/>
  <c r="AS427" i="6"/>
  <c r="AY427" i="6"/>
  <c r="AQ427" i="6"/>
  <c r="AA425" i="5"/>
  <c r="AB425" i="5"/>
  <c r="C425" i="12"/>
  <c r="O425" i="12"/>
  <c r="N425" i="12" s="1"/>
  <c r="AO425" i="12"/>
  <c r="M425" i="12"/>
  <c r="N424" i="12"/>
  <c r="T423" i="12"/>
  <c r="V423" i="12"/>
  <c r="U423" i="12"/>
  <c r="BR428" i="6" l="1"/>
  <c r="BY428" i="6"/>
  <c r="AS428" i="6"/>
  <c r="BZ428" i="6"/>
  <c r="BM428" i="6"/>
  <c r="L427" i="5"/>
  <c r="I427" i="12"/>
  <c r="AM427" i="5"/>
  <c r="I427" i="5"/>
  <c r="Z427" i="5"/>
  <c r="AC427" i="5"/>
  <c r="F430" i="6"/>
  <c r="E430" i="12"/>
  <c r="CL428" i="6"/>
  <c r="BT428" i="6"/>
  <c r="BK428" i="6"/>
  <c r="AW428" i="6"/>
  <c r="AM428" i="6"/>
  <c r="BD428" i="6"/>
  <c r="CB428" i="6"/>
  <c r="AZ428" i="6"/>
  <c r="CM428" i="6"/>
  <c r="AQ428" i="6"/>
  <c r="CF428" i="6"/>
  <c r="AY428" i="6"/>
  <c r="CD428" i="6"/>
  <c r="BO428" i="6"/>
  <c r="D430" i="6"/>
  <c r="BW428" i="6"/>
  <c r="CK428" i="6"/>
  <c r="AV428" i="6"/>
  <c r="BE428" i="6"/>
  <c r="L430" i="12"/>
  <c r="J430" i="12"/>
  <c r="BS428" i="6"/>
  <c r="BI428" i="6"/>
  <c r="BC428" i="6"/>
  <c r="CH428" i="6"/>
  <c r="CJ428" i="6"/>
  <c r="BH428" i="6"/>
  <c r="CA428" i="6"/>
  <c r="CE428" i="6"/>
  <c r="BA428" i="6"/>
  <c r="AL428" i="6"/>
  <c r="BG428" i="6"/>
  <c r="AX428" i="6"/>
  <c r="CI428" i="6"/>
  <c r="BX428" i="6"/>
  <c r="T424" i="12"/>
  <c r="V424" i="12"/>
  <c r="U424" i="12"/>
  <c r="E425" i="6"/>
  <c r="D425" i="12"/>
  <c r="CB429" i="6"/>
  <c r="CI429" i="6"/>
  <c r="CJ429" i="6"/>
  <c r="BM429" i="6"/>
  <c r="CG429" i="6"/>
  <c r="BJ429" i="6"/>
  <c r="BK429" i="6"/>
  <c r="CM429" i="6"/>
  <c r="BP429" i="6"/>
  <c r="BC429" i="6"/>
  <c r="BV429" i="6"/>
  <c r="BF429" i="6"/>
  <c r="BO429" i="6"/>
  <c r="BR429" i="6"/>
  <c r="BG429" i="6"/>
  <c r="BL429" i="6"/>
  <c r="BZ429" i="6"/>
  <c r="BI429" i="6"/>
  <c r="CC429" i="6"/>
  <c r="BH429" i="6"/>
  <c r="BD429" i="6"/>
  <c r="N429" i="6"/>
  <c r="CH429" i="6"/>
  <c r="BY429" i="6"/>
  <c r="CL429" i="6"/>
  <c r="CD429" i="6"/>
  <c r="CE429" i="6"/>
  <c r="CA429" i="6"/>
  <c r="BQ429" i="6"/>
  <c r="H429" i="6"/>
  <c r="T429" i="5" s="1"/>
  <c r="G429" i="12" s="1"/>
  <c r="BX429" i="6"/>
  <c r="BW429" i="6"/>
  <c r="G429" i="6"/>
  <c r="M429" i="6"/>
  <c r="AY429" i="6" s="1"/>
  <c r="BE429" i="6"/>
  <c r="CK429" i="6"/>
  <c r="CF429" i="6"/>
  <c r="BN429" i="6"/>
  <c r="BT429" i="6"/>
  <c r="BS429" i="6"/>
  <c r="C432" i="5"/>
  <c r="J431" i="5"/>
  <c r="D431" i="5"/>
  <c r="B431" i="12" s="1"/>
  <c r="A431" i="12"/>
  <c r="E431" i="5"/>
  <c r="AD431" i="5"/>
  <c r="AE431" i="5"/>
  <c r="N431" i="5"/>
  <c r="B431" i="5"/>
  <c r="H431" i="5"/>
  <c r="G431" i="5"/>
  <c r="W431" i="5"/>
  <c r="H431" i="12" s="1"/>
  <c r="F431" i="5"/>
  <c r="K431" i="5"/>
  <c r="B431" i="6"/>
  <c r="R431" i="5"/>
  <c r="G428" i="12"/>
  <c r="X428" i="5"/>
  <c r="AP428" i="6"/>
  <c r="BL428" i="6"/>
  <c r="Y425" i="12"/>
  <c r="AJ427" i="6"/>
  <c r="BV428" i="6"/>
  <c r="AN428" i="6"/>
  <c r="BJ428" i="6"/>
  <c r="CG428" i="6"/>
  <c r="AK428" i="6"/>
  <c r="BN428" i="6"/>
  <c r="AR428" i="6"/>
  <c r="AU428" i="6"/>
  <c r="BQ428" i="6"/>
  <c r="CC428" i="6"/>
  <c r="BP428" i="6"/>
  <c r="AO428" i="6"/>
  <c r="AT428" i="6"/>
  <c r="AS429" i="6" l="1"/>
  <c r="AM429" i="6"/>
  <c r="AT429" i="6"/>
  <c r="AN429" i="6"/>
  <c r="AZ429" i="6"/>
  <c r="AR429" i="6"/>
  <c r="E431" i="12"/>
  <c r="F431" i="6"/>
  <c r="C433" i="5"/>
  <c r="B432" i="5"/>
  <c r="AE432" i="5"/>
  <c r="AD432" i="5"/>
  <c r="A432" i="12"/>
  <c r="G432" i="5"/>
  <c r="D432" i="5"/>
  <c r="B432" i="12" s="1"/>
  <c r="H432" i="5"/>
  <c r="F432" i="5"/>
  <c r="J432" i="5"/>
  <c r="R432" i="5"/>
  <c r="B432" i="6"/>
  <c r="N432" i="5"/>
  <c r="K432" i="5"/>
  <c r="W432" i="5"/>
  <c r="H432" i="12" s="1"/>
  <c r="E432" i="5"/>
  <c r="I428" i="12"/>
  <c r="AM428" i="5"/>
  <c r="L428" i="5"/>
  <c r="Z428" i="5"/>
  <c r="I428" i="5"/>
  <c r="AC428" i="5"/>
  <c r="D431" i="6"/>
  <c r="L431" i="12"/>
  <c r="J431" i="12"/>
  <c r="AV429" i="6"/>
  <c r="AQ429" i="6"/>
  <c r="AL429" i="6"/>
  <c r="AW429" i="6"/>
  <c r="AA427" i="5"/>
  <c r="AB427" i="5"/>
  <c r="C427" i="6"/>
  <c r="O427" i="5"/>
  <c r="C427" i="12"/>
  <c r="AO427" i="12"/>
  <c r="Y427" i="12" s="1"/>
  <c r="M427" i="12"/>
  <c r="O427" i="12"/>
  <c r="W425" i="12"/>
  <c r="X425" i="12"/>
  <c r="AO429" i="6"/>
  <c r="AJ429" i="6"/>
  <c r="AP429" i="6"/>
  <c r="K430" i="12"/>
  <c r="AJ428" i="6"/>
  <c r="BA429" i="6"/>
  <c r="AU429" i="6"/>
  <c r="AX429" i="6"/>
  <c r="AK429" i="6"/>
  <c r="H430" i="6"/>
  <c r="T430" i="5" s="1"/>
  <c r="G430" i="6"/>
  <c r="N430" i="6"/>
  <c r="M430" i="6"/>
  <c r="BZ430" i="6" s="1"/>
  <c r="BV430" i="6"/>
  <c r="CD430" i="6" l="1"/>
  <c r="BJ430" i="6"/>
  <c r="AR430" i="6"/>
  <c r="BG430" i="6"/>
  <c r="BO430" i="6"/>
  <c r="BD430" i="6"/>
  <c r="AM430" i="6"/>
  <c r="CL430" i="6"/>
  <c r="BQ430" i="6"/>
  <c r="BS430" i="6"/>
  <c r="CM430" i="6"/>
  <c r="CH430" i="6"/>
  <c r="CI430" i="6"/>
  <c r="CB430" i="6"/>
  <c r="BW430" i="6"/>
  <c r="AL430" i="6"/>
  <c r="BA430" i="6"/>
  <c r="AB428" i="5"/>
  <c r="AA428" i="5"/>
  <c r="CA430" i="6"/>
  <c r="AO430" i="6"/>
  <c r="BX430" i="6"/>
  <c r="AQ430" i="6"/>
  <c r="CK430" i="6"/>
  <c r="BR430" i="6"/>
  <c r="BC430" i="6"/>
  <c r="AK430" i="6"/>
  <c r="AX430" i="6"/>
  <c r="AS430" i="6"/>
  <c r="BN430" i="6"/>
  <c r="CC430" i="6"/>
  <c r="BY430" i="6"/>
  <c r="N427" i="12"/>
  <c r="E427" i="6"/>
  <c r="D427" i="12"/>
  <c r="C428" i="6"/>
  <c r="O428" i="5"/>
  <c r="L432" i="12"/>
  <c r="K432" i="12" s="1"/>
  <c r="J432" i="12"/>
  <c r="AE433" i="5"/>
  <c r="J433" i="5"/>
  <c r="E433" i="5"/>
  <c r="A433" i="12"/>
  <c r="K433" i="5"/>
  <c r="B433" i="5"/>
  <c r="G433" i="5"/>
  <c r="B433" i="6"/>
  <c r="W433" i="5"/>
  <c r="H433" i="12" s="1"/>
  <c r="AD433" i="5"/>
  <c r="H433" i="5"/>
  <c r="D433" i="5"/>
  <c r="B433" i="12" s="1"/>
  <c r="C434" i="5"/>
  <c r="R433" i="5"/>
  <c r="F433" i="5"/>
  <c r="N433" i="5"/>
  <c r="AN430" i="6"/>
  <c r="AZ430" i="6"/>
  <c r="AT430" i="6"/>
  <c r="U425" i="12"/>
  <c r="V425" i="12"/>
  <c r="T425" i="12"/>
  <c r="M431" i="6"/>
  <c r="CK431" i="6" s="1"/>
  <c r="H431" i="6"/>
  <c r="T431" i="5" s="1"/>
  <c r="BQ431" i="6"/>
  <c r="BW431" i="6"/>
  <c r="AY431" i="6"/>
  <c r="CJ431" i="6"/>
  <c r="N431" i="6"/>
  <c r="CF431" i="6"/>
  <c r="BX431" i="6"/>
  <c r="BS431" i="6"/>
  <c r="G431" i="6"/>
  <c r="CC431" i="6"/>
  <c r="BZ431" i="6"/>
  <c r="BC431" i="6"/>
  <c r="CI431" i="6"/>
  <c r="AO431" i="6"/>
  <c r="AY430" i="6"/>
  <c r="AP430" i="6"/>
  <c r="CG430" i="6"/>
  <c r="BM430" i="6"/>
  <c r="AU430" i="6"/>
  <c r="CF430" i="6"/>
  <c r="BE430" i="6"/>
  <c r="BL430" i="6"/>
  <c r="BP430" i="6"/>
  <c r="BT430" i="6"/>
  <c r="K431" i="12"/>
  <c r="G430" i="12"/>
  <c r="X430" i="5"/>
  <c r="AV430" i="6"/>
  <c r="BK430" i="6"/>
  <c r="BI430" i="6"/>
  <c r="CJ430" i="6"/>
  <c r="BH430" i="6"/>
  <c r="CE430" i="6"/>
  <c r="BF430" i="6"/>
  <c r="AW430" i="6"/>
  <c r="W427" i="12"/>
  <c r="X427" i="12"/>
  <c r="C428" i="12"/>
  <c r="O428" i="12"/>
  <c r="M428" i="12"/>
  <c r="AO428" i="12"/>
  <c r="D432" i="6"/>
  <c r="E432" i="12"/>
  <c r="F432" i="6"/>
  <c r="BG431" i="6" l="1"/>
  <c r="BE431" i="6"/>
  <c r="CB431" i="6"/>
  <c r="N428" i="12"/>
  <c r="AR431" i="6"/>
  <c r="BT431" i="6"/>
  <c r="BF431" i="6"/>
  <c r="AL431" i="6"/>
  <c r="AM431" i="6"/>
  <c r="AX431" i="6"/>
  <c r="BA431" i="6"/>
  <c r="AT431" i="6"/>
  <c r="CH431" i="6"/>
  <c r="AU431" i="6"/>
  <c r="AK431" i="6"/>
  <c r="CA431" i="6"/>
  <c r="BR431" i="6"/>
  <c r="BV431" i="6"/>
  <c r="CE431" i="6"/>
  <c r="L433" i="12"/>
  <c r="J433" i="12"/>
  <c r="I430" i="12"/>
  <c r="L430" i="5"/>
  <c r="AM430" i="5"/>
  <c r="Z430" i="5"/>
  <c r="I430" i="5"/>
  <c r="AC430" i="5"/>
  <c r="CL431" i="6"/>
  <c r="BY431" i="6"/>
  <c r="CM431" i="6"/>
  <c r="BH431" i="6"/>
  <c r="BK431" i="6"/>
  <c r="AZ431" i="6"/>
  <c r="BN431" i="6"/>
  <c r="G431" i="12"/>
  <c r="X431" i="5"/>
  <c r="BI431" i="6"/>
  <c r="E428" i="6"/>
  <c r="D428" i="12"/>
  <c r="D433" i="6"/>
  <c r="G432" i="6"/>
  <c r="H432" i="6"/>
  <c r="T432" i="5" s="1"/>
  <c r="N432" i="6"/>
  <c r="M432" i="6"/>
  <c r="BQ432" i="6" s="1"/>
  <c r="Y428" i="12"/>
  <c r="AJ430" i="6"/>
  <c r="AW431" i="6"/>
  <c r="CD431" i="6"/>
  <c r="AJ431" i="6"/>
  <c r="AQ431" i="6"/>
  <c r="BP431" i="6"/>
  <c r="AV431" i="6"/>
  <c r="BD431" i="6"/>
  <c r="BJ431" i="6"/>
  <c r="BL431" i="6"/>
  <c r="AS431" i="6"/>
  <c r="AN431" i="6"/>
  <c r="BO431" i="6"/>
  <c r="AP431" i="6"/>
  <c r="CG431" i="6"/>
  <c r="BM431" i="6"/>
  <c r="E433" i="12"/>
  <c r="F433" i="6"/>
  <c r="T427" i="12"/>
  <c r="V427" i="12"/>
  <c r="U427" i="12"/>
  <c r="H434" i="5"/>
  <c r="K434" i="5"/>
  <c r="A434" i="12"/>
  <c r="W434" i="5"/>
  <c r="H434" i="12" s="1"/>
  <c r="AD434" i="5"/>
  <c r="E434" i="5"/>
  <c r="J434" i="5"/>
  <c r="B434" i="5"/>
  <c r="R434" i="5"/>
  <c r="G434" i="5"/>
  <c r="AE434" i="5"/>
  <c r="B434" i="6"/>
  <c r="F434" i="5"/>
  <c r="N434" i="5"/>
  <c r="D434" i="5"/>
  <c r="B434" i="12" s="1"/>
  <c r="C435" i="5"/>
  <c r="BZ432" i="6" l="1"/>
  <c r="BF432" i="6"/>
  <c r="N435" i="5"/>
  <c r="B435" i="6"/>
  <c r="K435" i="5"/>
  <c r="A435" i="12"/>
  <c r="B435" i="5"/>
  <c r="H435" i="5"/>
  <c r="E435" i="5"/>
  <c r="R435" i="5"/>
  <c r="G435" i="5"/>
  <c r="C436" i="5"/>
  <c r="AE435" i="5"/>
  <c r="D435" i="5"/>
  <c r="B435" i="12" s="1"/>
  <c r="W435" i="5"/>
  <c r="H435" i="12" s="1"/>
  <c r="AD435" i="5"/>
  <c r="J435" i="5"/>
  <c r="F435" i="5"/>
  <c r="BG432" i="6"/>
  <c r="AO432" i="6"/>
  <c r="BM432" i="6"/>
  <c r="C430" i="6"/>
  <c r="O430" i="5"/>
  <c r="AX432" i="6"/>
  <c r="BN432" i="6"/>
  <c r="CA432" i="6"/>
  <c r="CM432" i="6"/>
  <c r="BT432" i="6"/>
  <c r="BC432" i="6"/>
  <c r="BH432" i="6"/>
  <c r="AQ432" i="6"/>
  <c r="CJ432" i="6"/>
  <c r="AN432" i="6"/>
  <c r="G432" i="12"/>
  <c r="X432" i="5"/>
  <c r="BL432" i="6"/>
  <c r="AW432" i="6"/>
  <c r="AK432" i="6"/>
  <c r="BI432" i="6"/>
  <c r="C430" i="12"/>
  <c r="AO430" i="12"/>
  <c r="M430" i="12"/>
  <c r="O430" i="12"/>
  <c r="K433" i="12"/>
  <c r="D434" i="6"/>
  <c r="AV432" i="6"/>
  <c r="CH432" i="6"/>
  <c r="BX432" i="6"/>
  <c r="CE432" i="6"/>
  <c r="BA432" i="6"/>
  <c r="AM432" i="6"/>
  <c r="BJ432" i="6"/>
  <c r="BR432" i="6"/>
  <c r="AS432" i="6"/>
  <c r="CL432" i="6"/>
  <c r="AU432" i="6"/>
  <c r="BY432" i="6"/>
  <c r="AT432" i="6"/>
  <c r="BW432" i="6"/>
  <c r="CK432" i="6"/>
  <c r="AZ432" i="6"/>
  <c r="CB432" i="6"/>
  <c r="N433" i="6"/>
  <c r="G433" i="6"/>
  <c r="M433" i="6"/>
  <c r="BF433" i="6" s="1"/>
  <c r="CM433" i="6"/>
  <c r="H433" i="6"/>
  <c r="T433" i="5" s="1"/>
  <c r="CE433" i="6"/>
  <c r="BE433" i="6"/>
  <c r="CA433" i="6"/>
  <c r="AU433" i="6"/>
  <c r="BT433" i="6"/>
  <c r="AA430" i="5"/>
  <c r="AB430" i="5"/>
  <c r="CG432" i="6"/>
  <c r="AY432" i="6"/>
  <c r="CI432" i="6"/>
  <c r="CD432" i="6"/>
  <c r="E434" i="12"/>
  <c r="F434" i="6"/>
  <c r="L434" i="12"/>
  <c r="J434" i="12"/>
  <c r="X428" i="12"/>
  <c r="W428" i="12"/>
  <c r="BS432" i="6"/>
  <c r="CF432" i="6"/>
  <c r="BE432" i="6"/>
  <c r="BO432" i="6"/>
  <c r="CC432" i="6"/>
  <c r="AR432" i="6"/>
  <c r="AJ432" i="6"/>
  <c r="BK432" i="6"/>
  <c r="BV432" i="6"/>
  <c r="BP432" i="6"/>
  <c r="AL432" i="6"/>
  <c r="BD432" i="6"/>
  <c r="AP432" i="6"/>
  <c r="I431" i="12"/>
  <c r="AM431" i="5"/>
  <c r="L431" i="5"/>
  <c r="I431" i="5"/>
  <c r="Z431" i="5"/>
  <c r="AC431" i="5"/>
  <c r="BC433" i="6" l="1"/>
  <c r="BI433" i="6"/>
  <c r="CK433" i="6"/>
  <c r="CJ433" i="6"/>
  <c r="BG433" i="6"/>
  <c r="BJ433" i="6"/>
  <c r="BN433" i="6"/>
  <c r="AW433" i="6"/>
  <c r="AT433" i="6"/>
  <c r="AO433" i="6"/>
  <c r="CC433" i="6"/>
  <c r="BL433" i="6"/>
  <c r="Y430" i="12"/>
  <c r="BY433" i="6"/>
  <c r="AS433" i="6"/>
  <c r="BA433" i="6"/>
  <c r="BV433" i="6"/>
  <c r="AM433" i="6"/>
  <c r="T428" i="12"/>
  <c r="U428" i="12"/>
  <c r="V428" i="12"/>
  <c r="BZ433" i="6"/>
  <c r="AN433" i="6"/>
  <c r="AV433" i="6"/>
  <c r="AP433" i="6"/>
  <c r="AZ433" i="6"/>
  <c r="CD433" i="6"/>
  <c r="CH433" i="6"/>
  <c r="BH433" i="6"/>
  <c r="BO433" i="6"/>
  <c r="AR433" i="6"/>
  <c r="AY433" i="6"/>
  <c r="AK433" i="6"/>
  <c r="AX433" i="6"/>
  <c r="N430" i="12"/>
  <c r="L432" i="5"/>
  <c r="I432" i="12"/>
  <c r="AM432" i="5"/>
  <c r="Z432" i="5"/>
  <c r="I432" i="5"/>
  <c r="AC432" i="5"/>
  <c r="E430" i="6"/>
  <c r="D430" i="12"/>
  <c r="C431" i="6"/>
  <c r="O431" i="5"/>
  <c r="K434" i="12"/>
  <c r="AQ433" i="6"/>
  <c r="BQ433" i="6"/>
  <c r="CF433" i="6"/>
  <c r="CI433" i="6"/>
  <c r="BM433" i="6"/>
  <c r="CG433" i="6"/>
  <c r="BW433" i="6"/>
  <c r="AB431" i="5"/>
  <c r="AA431" i="5"/>
  <c r="C431" i="12"/>
  <c r="M431" i="12"/>
  <c r="O431" i="12"/>
  <c r="AO431" i="12"/>
  <c r="G433" i="12"/>
  <c r="X433" i="5"/>
  <c r="BD433" i="6"/>
  <c r="BS433" i="6"/>
  <c r="BK433" i="6"/>
  <c r="BR433" i="6"/>
  <c r="AL433" i="6"/>
  <c r="BP433" i="6"/>
  <c r="BX433" i="6"/>
  <c r="CL433" i="6"/>
  <c r="CB433" i="6"/>
  <c r="G434" i="6"/>
  <c r="M434" i="6"/>
  <c r="CB434" i="6" s="1"/>
  <c r="H434" i="6"/>
  <c r="T434" i="5" s="1"/>
  <c r="AR434" i="6"/>
  <c r="BW434" i="6"/>
  <c r="BP434" i="6"/>
  <c r="BI434" i="6"/>
  <c r="BS434" i="6"/>
  <c r="AX434" i="6"/>
  <c r="N434" i="6"/>
  <c r="CE434" i="6"/>
  <c r="BM434" i="6"/>
  <c r="AN434" i="6"/>
  <c r="X430" i="12"/>
  <c r="W430" i="12"/>
  <c r="G436" i="5"/>
  <c r="H436" i="5"/>
  <c r="B436" i="6"/>
  <c r="AE436" i="5"/>
  <c r="F436" i="5"/>
  <c r="K436" i="5"/>
  <c r="A436" i="12"/>
  <c r="E436" i="5"/>
  <c r="N436" i="5"/>
  <c r="C437" i="5"/>
  <c r="D436" i="5"/>
  <c r="B436" i="12" s="1"/>
  <c r="R436" i="5"/>
  <c r="AD436" i="5"/>
  <c r="J436" i="5"/>
  <c r="B436" i="5"/>
  <c r="W436" i="5"/>
  <c r="H436" i="12" s="1"/>
  <c r="F435" i="6"/>
  <c r="E435" i="12"/>
  <c r="L435" i="12"/>
  <c r="J435" i="12"/>
  <c r="D435" i="6"/>
  <c r="BX434" i="6" l="1"/>
  <c r="BR434" i="6"/>
  <c r="BH434" i="6"/>
  <c r="BO434" i="6"/>
  <c r="CA434" i="6"/>
  <c r="CM434" i="6"/>
  <c r="CL434" i="6"/>
  <c r="AZ434" i="6"/>
  <c r="AV434" i="6"/>
  <c r="BZ434" i="6"/>
  <c r="BJ434" i="6"/>
  <c r="CH434" i="6"/>
  <c r="CG434" i="6"/>
  <c r="BN434" i="6"/>
  <c r="CC434" i="6"/>
  <c r="BL434" i="6"/>
  <c r="BE434" i="6"/>
  <c r="CI434" i="6"/>
  <c r="BF434" i="6"/>
  <c r="BY434" i="6"/>
  <c r="AP434" i="6"/>
  <c r="AL434" i="6"/>
  <c r="BQ434" i="6"/>
  <c r="CF434" i="6"/>
  <c r="CD434" i="6"/>
  <c r="AO434" i="6"/>
  <c r="BT434" i="6"/>
  <c r="BD434" i="6"/>
  <c r="AU434" i="6"/>
  <c r="AM434" i="6"/>
  <c r="N431" i="12"/>
  <c r="V430" i="12"/>
  <c r="T430" i="12"/>
  <c r="U430" i="12"/>
  <c r="G434" i="12"/>
  <c r="X434" i="5"/>
  <c r="AK434" i="6"/>
  <c r="AW434" i="6"/>
  <c r="I433" i="12"/>
  <c r="AM433" i="5"/>
  <c r="L433" i="5"/>
  <c r="Z433" i="5"/>
  <c r="I433" i="5"/>
  <c r="AC433" i="5"/>
  <c r="AJ433" i="6"/>
  <c r="E431" i="6"/>
  <c r="D431" i="12"/>
  <c r="C432" i="12"/>
  <c r="O432" i="12"/>
  <c r="M432" i="12"/>
  <c r="AO432" i="12"/>
  <c r="E436" i="12"/>
  <c r="F436" i="6"/>
  <c r="J436" i="12"/>
  <c r="L436" i="12"/>
  <c r="K436" i="12" s="1"/>
  <c r="G435" i="6"/>
  <c r="M435" i="6"/>
  <c r="CK435" i="6" s="1"/>
  <c r="N435" i="6"/>
  <c r="BV435" i="6"/>
  <c r="H435" i="6"/>
  <c r="T435" i="5" s="1"/>
  <c r="AS434" i="6"/>
  <c r="AY434" i="6"/>
  <c r="C432" i="6"/>
  <c r="O432" i="5"/>
  <c r="K435" i="12"/>
  <c r="F437" i="5"/>
  <c r="K437" i="5"/>
  <c r="J437" i="5"/>
  <c r="N437" i="5"/>
  <c r="AE437" i="5"/>
  <c r="AD437" i="5"/>
  <c r="D437" i="5"/>
  <c r="B437" i="12" s="1"/>
  <c r="H437" i="5"/>
  <c r="R437" i="5"/>
  <c r="W437" i="5"/>
  <c r="H437" i="12" s="1"/>
  <c r="A437" i="12"/>
  <c r="E437" i="5"/>
  <c r="C438" i="5"/>
  <c r="B437" i="5"/>
  <c r="G437" i="5"/>
  <c r="B437" i="6"/>
  <c r="D436" i="6"/>
  <c r="AQ434" i="6"/>
  <c r="BG434" i="6"/>
  <c r="CJ434" i="6"/>
  <c r="BK434" i="6"/>
  <c r="AJ434" i="6"/>
  <c r="BV434" i="6"/>
  <c r="BA434" i="6"/>
  <c r="BC434" i="6"/>
  <c r="CK434" i="6"/>
  <c r="AT434" i="6"/>
  <c r="Y431" i="12"/>
  <c r="AA432" i="5"/>
  <c r="AB432" i="5"/>
  <c r="BC435" i="6" l="1"/>
  <c r="AX435" i="6"/>
  <c r="BW435" i="6"/>
  <c r="BK435" i="6"/>
  <c r="BT435" i="6"/>
  <c r="BI435" i="6"/>
  <c r="AM435" i="6"/>
  <c r="BF435" i="6"/>
  <c r="AK435" i="6"/>
  <c r="AZ435" i="6"/>
  <c r="BD435" i="6"/>
  <c r="CH435" i="6"/>
  <c r="CJ435" i="6"/>
  <c r="CB435" i="6"/>
  <c r="BY435" i="6"/>
  <c r="AY435" i="6"/>
  <c r="BP435" i="6"/>
  <c r="BA435" i="6"/>
  <c r="AV435" i="6"/>
  <c r="CL435" i="6"/>
  <c r="BR435" i="6"/>
  <c r="CM435" i="6"/>
  <c r="BZ435" i="6"/>
  <c r="CC435" i="6"/>
  <c r="AU435" i="6"/>
  <c r="BN435" i="6"/>
  <c r="CI435" i="6"/>
  <c r="AP435" i="6"/>
  <c r="CD435" i="6"/>
  <c r="AS435" i="6"/>
  <c r="Y432" i="12"/>
  <c r="W432" i="12" s="1"/>
  <c r="AW435" i="6"/>
  <c r="BS435" i="6"/>
  <c r="BM435" i="6"/>
  <c r="AB433" i="5"/>
  <c r="AA433" i="5"/>
  <c r="X432" i="12"/>
  <c r="C433" i="12"/>
  <c r="M433" i="12"/>
  <c r="O433" i="12"/>
  <c r="AO433" i="12"/>
  <c r="L437" i="12"/>
  <c r="J437" i="12"/>
  <c r="D437" i="6"/>
  <c r="G435" i="12"/>
  <c r="X435" i="5"/>
  <c r="BH435" i="6"/>
  <c r="AR435" i="6"/>
  <c r="CG435" i="6"/>
  <c r="BE435" i="6"/>
  <c r="BG435" i="6"/>
  <c r="CE435" i="6"/>
  <c r="AQ435" i="6"/>
  <c r="BX435" i="6"/>
  <c r="AO435" i="6"/>
  <c r="CF435" i="6"/>
  <c r="AN435" i="6"/>
  <c r="BJ435" i="6"/>
  <c r="AL435" i="6"/>
  <c r="N432" i="12"/>
  <c r="C433" i="6"/>
  <c r="O433" i="5"/>
  <c r="F437" i="6"/>
  <c r="E437" i="12"/>
  <c r="W431" i="12"/>
  <c r="X431" i="12"/>
  <c r="H436" i="6"/>
  <c r="T436" i="5" s="1"/>
  <c r="N436" i="6"/>
  <c r="G436" i="6"/>
  <c r="M436" i="6"/>
  <c r="CG436" i="6" s="1"/>
  <c r="H438" i="5"/>
  <c r="AD438" i="5"/>
  <c r="E438" i="5"/>
  <c r="AE438" i="5"/>
  <c r="J438" i="5"/>
  <c r="K438" i="5"/>
  <c r="B438" i="6"/>
  <c r="F438" i="5"/>
  <c r="D438" i="5"/>
  <c r="B438" i="12" s="1"/>
  <c r="N438" i="5"/>
  <c r="C439" i="5"/>
  <c r="G438" i="5"/>
  <c r="W438" i="5"/>
  <c r="H438" i="12" s="1"/>
  <c r="B438" i="5"/>
  <c r="R438" i="5"/>
  <c r="A438" i="12"/>
  <c r="D432" i="12"/>
  <c r="E432" i="6"/>
  <c r="CA435" i="6"/>
  <c r="BL435" i="6"/>
  <c r="BQ435" i="6"/>
  <c r="AT435" i="6"/>
  <c r="BO435" i="6"/>
  <c r="I434" i="12"/>
  <c r="AM434" i="5"/>
  <c r="L434" i="5"/>
  <c r="Z434" i="5"/>
  <c r="I434" i="5"/>
  <c r="AC434" i="5"/>
  <c r="BK436" i="6" l="1"/>
  <c r="Y433" i="12"/>
  <c r="AU436" i="6"/>
  <c r="CE436" i="6"/>
  <c r="CJ436" i="6"/>
  <c r="CC436" i="6"/>
  <c r="BP436" i="6"/>
  <c r="AX436" i="6"/>
  <c r="BI436" i="6"/>
  <c r="BG436" i="6"/>
  <c r="BT436" i="6"/>
  <c r="BD436" i="6"/>
  <c r="AZ436" i="6"/>
  <c r="CH436" i="6"/>
  <c r="N433" i="12"/>
  <c r="K437" i="12"/>
  <c r="AA434" i="5"/>
  <c r="AB434" i="5"/>
  <c r="L438" i="12"/>
  <c r="J438" i="12"/>
  <c r="D438" i="6"/>
  <c r="BR436" i="6"/>
  <c r="BY436" i="6"/>
  <c r="BJ436" i="6"/>
  <c r="BH436" i="6"/>
  <c r="CF436" i="6"/>
  <c r="CK436" i="6"/>
  <c r="BA436" i="6"/>
  <c r="CB436" i="6"/>
  <c r="BS436" i="6"/>
  <c r="BW436" i="6"/>
  <c r="BO436" i="6"/>
  <c r="BC436" i="6"/>
  <c r="CM436" i="6"/>
  <c r="CD436" i="6"/>
  <c r="T431" i="12"/>
  <c r="V431" i="12"/>
  <c r="U431" i="12"/>
  <c r="X433" i="12"/>
  <c r="W433" i="12"/>
  <c r="C434" i="12"/>
  <c r="AO434" i="12"/>
  <c r="Y434" i="12" s="1"/>
  <c r="M434" i="12"/>
  <c r="O434" i="12"/>
  <c r="I435" i="12"/>
  <c r="L435" i="5"/>
  <c r="AM435" i="5"/>
  <c r="I435" i="5"/>
  <c r="Z435" i="5"/>
  <c r="AC435" i="5"/>
  <c r="AJ435" i="6"/>
  <c r="BX436" i="6"/>
  <c r="BE436" i="6"/>
  <c r="BN436" i="6"/>
  <c r="AS436" i="6"/>
  <c r="AV436" i="6"/>
  <c r="AM436" i="6"/>
  <c r="BL436" i="6"/>
  <c r="AQ436" i="6"/>
  <c r="BZ436" i="6"/>
  <c r="BV436" i="6"/>
  <c r="AL436" i="6"/>
  <c r="AW436" i="6"/>
  <c r="CI436" i="6"/>
  <c r="CA436" i="6"/>
  <c r="G437" i="6"/>
  <c r="H437" i="6"/>
  <c r="T437" i="5" s="1"/>
  <c r="N437" i="6"/>
  <c r="M437" i="6"/>
  <c r="CK437" i="6" s="1"/>
  <c r="CF437" i="6"/>
  <c r="V432" i="12"/>
  <c r="U432" i="12"/>
  <c r="T432" i="12"/>
  <c r="AE439" i="5"/>
  <c r="B439" i="5"/>
  <c r="G439" i="5"/>
  <c r="F439" i="5"/>
  <c r="R439" i="5"/>
  <c r="H439" i="5"/>
  <c r="E439" i="5"/>
  <c r="AD439" i="5"/>
  <c r="J439" i="5"/>
  <c r="D439" i="5"/>
  <c r="B439" i="12" s="1"/>
  <c r="K439" i="5"/>
  <c r="N439" i="5"/>
  <c r="A439" i="12"/>
  <c r="C440" i="5"/>
  <c r="W439" i="5"/>
  <c r="H439" i="12" s="1"/>
  <c r="B439" i="6"/>
  <c r="D433" i="12"/>
  <c r="E433" i="6"/>
  <c r="C434" i="6"/>
  <c r="O434" i="5"/>
  <c r="E438" i="12"/>
  <c r="F438" i="6"/>
  <c r="BM436" i="6"/>
  <c r="AK436" i="6"/>
  <c r="AT436" i="6"/>
  <c r="AN436" i="6"/>
  <c r="BQ436" i="6"/>
  <c r="AR436" i="6"/>
  <c r="CL436" i="6"/>
  <c r="AY436" i="6"/>
  <c r="AP436" i="6"/>
  <c r="AO436" i="6"/>
  <c r="BF436" i="6"/>
  <c r="G436" i="12"/>
  <c r="X436" i="5"/>
  <c r="K438" i="12" l="1"/>
  <c r="BP437" i="6"/>
  <c r="BV437" i="6"/>
  <c r="CD437" i="6"/>
  <c r="AK437" i="6"/>
  <c r="CH437" i="6"/>
  <c r="BH437" i="6"/>
  <c r="AR437" i="6"/>
  <c r="CA437" i="6"/>
  <c r="BD437" i="6"/>
  <c r="BE437" i="6"/>
  <c r="BW437" i="6"/>
  <c r="AQ437" i="6"/>
  <c r="CG437" i="6"/>
  <c r="BF437" i="6"/>
  <c r="BT437" i="6"/>
  <c r="BM437" i="6"/>
  <c r="AV437" i="6"/>
  <c r="CJ437" i="6"/>
  <c r="AZ437" i="6"/>
  <c r="AT437" i="6"/>
  <c r="H440" i="5"/>
  <c r="B440" i="6"/>
  <c r="AE440" i="5"/>
  <c r="R440" i="5"/>
  <c r="AD440" i="5"/>
  <c r="F440" i="5"/>
  <c r="E440" i="5"/>
  <c r="J440" i="5"/>
  <c r="W440" i="5"/>
  <c r="H440" i="12" s="1"/>
  <c r="K440" i="5"/>
  <c r="C441" i="5"/>
  <c r="D440" i="5"/>
  <c r="B440" i="12" s="1"/>
  <c r="A440" i="12"/>
  <c r="G440" i="5"/>
  <c r="N440" i="5"/>
  <c r="B440" i="5"/>
  <c r="D439" i="6"/>
  <c r="BG437" i="6"/>
  <c r="AY437" i="6"/>
  <c r="AP437" i="6"/>
  <c r="CC437" i="6"/>
  <c r="CM437" i="6"/>
  <c r="AN437" i="6"/>
  <c r="AO437" i="6"/>
  <c r="G437" i="12"/>
  <c r="X437" i="5"/>
  <c r="BA437" i="6"/>
  <c r="CB437" i="6"/>
  <c r="BJ437" i="6"/>
  <c r="C435" i="6"/>
  <c r="O435" i="5"/>
  <c r="W434" i="12"/>
  <c r="X434" i="12"/>
  <c r="I436" i="12"/>
  <c r="AM436" i="5"/>
  <c r="L436" i="5"/>
  <c r="Z436" i="5"/>
  <c r="I436" i="5"/>
  <c r="AC436" i="5"/>
  <c r="AJ436" i="6"/>
  <c r="BO437" i="6"/>
  <c r="AW437" i="6"/>
  <c r="AX437" i="6"/>
  <c r="AL437" i="6"/>
  <c r="BI437" i="6"/>
  <c r="BS437" i="6"/>
  <c r="BQ437" i="6"/>
  <c r="AS437" i="6"/>
  <c r="AB435" i="5"/>
  <c r="AA435" i="5"/>
  <c r="C435" i="12"/>
  <c r="O435" i="12"/>
  <c r="AO435" i="12"/>
  <c r="Y435" i="12" s="1"/>
  <c r="M435" i="12"/>
  <c r="F439" i="6"/>
  <c r="E439" i="12"/>
  <c r="J439" i="12"/>
  <c r="L439" i="12"/>
  <c r="E434" i="6"/>
  <c r="D434" i="12"/>
  <c r="AM437" i="6"/>
  <c r="CL437" i="6"/>
  <c r="BK437" i="6"/>
  <c r="CE437" i="6"/>
  <c r="BX437" i="6"/>
  <c r="CI437" i="6"/>
  <c r="BL437" i="6"/>
  <c r="AU437" i="6"/>
  <c r="BC437" i="6"/>
  <c r="BR437" i="6"/>
  <c r="BY437" i="6"/>
  <c r="BN437" i="6"/>
  <c r="BZ437" i="6"/>
  <c r="N434" i="12"/>
  <c r="V433" i="12"/>
  <c r="T433" i="12"/>
  <c r="U433" i="12"/>
  <c r="M438" i="6"/>
  <c r="BF438" i="6" s="1"/>
  <c r="CI438" i="6"/>
  <c r="N438" i="6"/>
  <c r="BO438" i="6"/>
  <c r="BP438" i="6"/>
  <c r="H438" i="6"/>
  <c r="T438" i="5" s="1"/>
  <c r="G438" i="6"/>
  <c r="BM438" i="6"/>
  <c r="AL438" i="6" l="1"/>
  <c r="AS438" i="6"/>
  <c r="AK438" i="6"/>
  <c r="BY438" i="6"/>
  <c r="BI438" i="6"/>
  <c r="AV438" i="6"/>
  <c r="BT438" i="6"/>
  <c r="BN438" i="6"/>
  <c r="BG438" i="6"/>
  <c r="BS438" i="6"/>
  <c r="BJ438" i="6"/>
  <c r="BW438" i="6"/>
  <c r="BZ438" i="6"/>
  <c r="CA438" i="6"/>
  <c r="BQ438" i="6"/>
  <c r="BR438" i="6"/>
  <c r="CM438" i="6"/>
  <c r="CH438" i="6"/>
  <c r="CF438" i="6"/>
  <c r="CB438" i="6"/>
  <c r="BK438" i="6"/>
  <c r="CE438" i="6"/>
  <c r="BV438" i="6"/>
  <c r="CK438" i="6"/>
  <c r="AQ438" i="6"/>
  <c r="CG438" i="6"/>
  <c r="BX438" i="6"/>
  <c r="CL438" i="6"/>
  <c r="CC438" i="6"/>
  <c r="BC438" i="6"/>
  <c r="BD438" i="6"/>
  <c r="BE438" i="6"/>
  <c r="BL438" i="6"/>
  <c r="CJ438" i="6"/>
  <c r="AW438" i="6"/>
  <c r="AO438" i="6"/>
  <c r="AP438" i="6"/>
  <c r="AT438" i="6"/>
  <c r="CD438" i="6"/>
  <c r="N435" i="12"/>
  <c r="AU438" i="6"/>
  <c r="AZ438" i="6"/>
  <c r="K439" i="12"/>
  <c r="AA436" i="5"/>
  <c r="AB436" i="5"/>
  <c r="AX438" i="6"/>
  <c r="AM438" i="6"/>
  <c r="C436" i="6"/>
  <c r="O436" i="5"/>
  <c r="U434" i="12"/>
  <c r="V434" i="12"/>
  <c r="T434" i="12"/>
  <c r="N439" i="6"/>
  <c r="G439" i="6"/>
  <c r="H439" i="6"/>
  <c r="T439" i="5" s="1"/>
  <c r="M439" i="6"/>
  <c r="BP439" i="6" s="1"/>
  <c r="D440" i="6"/>
  <c r="L440" i="12"/>
  <c r="J440" i="12"/>
  <c r="X435" i="12"/>
  <c r="W435" i="12"/>
  <c r="BA438" i="6"/>
  <c r="AN438" i="6"/>
  <c r="E435" i="6"/>
  <c r="D435" i="12"/>
  <c r="F440" i="6"/>
  <c r="E440" i="12"/>
  <c r="G438" i="12"/>
  <c r="X438" i="5"/>
  <c r="AY438" i="6"/>
  <c r="AR438" i="6"/>
  <c r="BH438" i="6"/>
  <c r="C436" i="12"/>
  <c r="M436" i="12"/>
  <c r="AO436" i="12"/>
  <c r="O436" i="12"/>
  <c r="I437" i="12"/>
  <c r="AM437" i="5"/>
  <c r="L437" i="5"/>
  <c r="I437" i="5"/>
  <c r="Z437" i="5"/>
  <c r="AC437" i="5"/>
  <c r="AJ437" i="6"/>
  <c r="H441" i="5"/>
  <c r="G441" i="5"/>
  <c r="AE441" i="5"/>
  <c r="E441" i="5"/>
  <c r="AD441" i="5"/>
  <c r="D441" i="5"/>
  <c r="B441" i="12" s="1"/>
  <c r="C442" i="5"/>
  <c r="A441" i="12"/>
  <c r="N441" i="5"/>
  <c r="B441" i="5"/>
  <c r="W441" i="5"/>
  <c r="H441" i="12" s="1"/>
  <c r="F441" i="5"/>
  <c r="J441" i="5"/>
  <c r="B441" i="6"/>
  <c r="K441" i="5"/>
  <c r="R441" i="5"/>
  <c r="Y436" i="12" l="1"/>
  <c r="K440" i="12"/>
  <c r="N436" i="12"/>
  <c r="AA437" i="5"/>
  <c r="AB437" i="5"/>
  <c r="AP439" i="6"/>
  <c r="BS439" i="6"/>
  <c r="AO439" i="6"/>
  <c r="BR439" i="6"/>
  <c r="BE439" i="6"/>
  <c r="CJ439" i="6"/>
  <c r="AQ439" i="6"/>
  <c r="CK439" i="6"/>
  <c r="AK439" i="6"/>
  <c r="AY439" i="6"/>
  <c r="CB439" i="6"/>
  <c r="BV439" i="6"/>
  <c r="AS439" i="6"/>
  <c r="BW439" i="6"/>
  <c r="BQ439" i="6"/>
  <c r="BT439" i="6"/>
  <c r="AZ439" i="6"/>
  <c r="AL439" i="6"/>
  <c r="CI439" i="6"/>
  <c r="CE439" i="6"/>
  <c r="C437" i="12"/>
  <c r="M437" i="12"/>
  <c r="O437" i="12"/>
  <c r="AO437" i="12"/>
  <c r="I438" i="12"/>
  <c r="AM438" i="5"/>
  <c r="L438" i="5"/>
  <c r="Z438" i="5"/>
  <c r="I438" i="5"/>
  <c r="AC438" i="5"/>
  <c r="AJ438" i="6"/>
  <c r="T435" i="12"/>
  <c r="U435" i="12"/>
  <c r="V435" i="12"/>
  <c r="AT439" i="6"/>
  <c r="CL439" i="6"/>
  <c r="BH439" i="6"/>
  <c r="BM439" i="6"/>
  <c r="AV439" i="6"/>
  <c r="AN439" i="6"/>
  <c r="CC439" i="6"/>
  <c r="D441" i="6"/>
  <c r="C437" i="6"/>
  <c r="O437" i="5"/>
  <c r="W436" i="12"/>
  <c r="X436" i="12"/>
  <c r="BN439" i="6"/>
  <c r="CM439" i="6"/>
  <c r="CD439" i="6"/>
  <c r="BX439" i="6"/>
  <c r="CA439" i="6"/>
  <c r="BG439" i="6"/>
  <c r="G439" i="12"/>
  <c r="X439" i="5"/>
  <c r="AM439" i="6"/>
  <c r="BL439" i="6"/>
  <c r="BJ439" i="6"/>
  <c r="AR439" i="6"/>
  <c r="BZ439" i="6"/>
  <c r="BF439" i="6"/>
  <c r="CH439" i="6"/>
  <c r="E436" i="6"/>
  <c r="D436" i="12"/>
  <c r="F441" i="6"/>
  <c r="E441" i="12"/>
  <c r="AW439" i="6"/>
  <c r="L441" i="12"/>
  <c r="J441" i="12"/>
  <c r="AE442" i="5"/>
  <c r="F442" i="5"/>
  <c r="E442" i="5"/>
  <c r="W442" i="5"/>
  <c r="H442" i="12" s="1"/>
  <c r="B442" i="5"/>
  <c r="D442" i="5"/>
  <c r="B442" i="12" s="1"/>
  <c r="H442" i="5"/>
  <c r="K442" i="5"/>
  <c r="B442" i="6"/>
  <c r="N442" i="5"/>
  <c r="A442" i="12"/>
  <c r="R442" i="5"/>
  <c r="C443" i="5"/>
  <c r="AD442" i="5"/>
  <c r="J442" i="5"/>
  <c r="G442" i="5"/>
  <c r="N440" i="6"/>
  <c r="G440" i="6"/>
  <c r="H440" i="6"/>
  <c r="T440" i="5" s="1"/>
  <c r="M440" i="6"/>
  <c r="BM440" i="6" s="1"/>
  <c r="CF439" i="6"/>
  <c r="BC439" i="6"/>
  <c r="BY439" i="6"/>
  <c r="AJ439" i="6"/>
  <c r="BO439" i="6"/>
  <c r="BD439" i="6"/>
  <c r="AX439" i="6"/>
  <c r="BI439" i="6"/>
  <c r="BK439" i="6"/>
  <c r="AU439" i="6"/>
  <c r="BA439" i="6"/>
  <c r="CG439" i="6"/>
  <c r="BO440" i="6" l="1"/>
  <c r="BQ440" i="6"/>
  <c r="BZ440" i="6"/>
  <c r="Y437" i="12"/>
  <c r="AK440" i="6"/>
  <c r="BJ440" i="6"/>
  <c r="BW440" i="6"/>
  <c r="BD440" i="6"/>
  <c r="CC440" i="6"/>
  <c r="BN440" i="6"/>
  <c r="CG440" i="6"/>
  <c r="BX440" i="6"/>
  <c r="CA440" i="6"/>
  <c r="BG440" i="6"/>
  <c r="AM440" i="6"/>
  <c r="BP440" i="6"/>
  <c r="G440" i="12"/>
  <c r="X440" i="5"/>
  <c r="AL440" i="6"/>
  <c r="C444" i="5"/>
  <c r="J443" i="5"/>
  <c r="G443" i="5"/>
  <c r="A443" i="12"/>
  <c r="AE443" i="5"/>
  <c r="B443" i="5"/>
  <c r="E443" i="5"/>
  <c r="B443" i="6"/>
  <c r="N443" i="5"/>
  <c r="AD443" i="5"/>
  <c r="R443" i="5"/>
  <c r="K443" i="5"/>
  <c r="D443" i="5"/>
  <c r="B443" i="12" s="1"/>
  <c r="F443" i="5"/>
  <c r="H443" i="5"/>
  <c r="W443" i="5"/>
  <c r="H443" i="12" s="1"/>
  <c r="U436" i="12"/>
  <c r="T436" i="12"/>
  <c r="V436" i="12"/>
  <c r="N441" i="6"/>
  <c r="BD441" i="6"/>
  <c r="BF441" i="6"/>
  <c r="M441" i="6"/>
  <c r="CJ441" i="6" s="1"/>
  <c r="G441" i="6"/>
  <c r="CD441" i="6"/>
  <c r="BV441" i="6"/>
  <c r="CL441" i="6"/>
  <c r="CC441" i="6"/>
  <c r="BT441" i="6"/>
  <c r="BY441" i="6"/>
  <c r="BR441" i="6"/>
  <c r="BN441" i="6"/>
  <c r="CH441" i="6"/>
  <c r="CG441" i="6"/>
  <c r="CB441" i="6"/>
  <c r="BP441" i="6"/>
  <c r="BX441" i="6"/>
  <c r="H441" i="6"/>
  <c r="T441" i="5" s="1"/>
  <c r="BE441" i="6"/>
  <c r="CF441" i="6"/>
  <c r="BI441" i="6"/>
  <c r="CI441" i="6"/>
  <c r="BJ441" i="6"/>
  <c r="CE441" i="6"/>
  <c r="BM441" i="6"/>
  <c r="CA441" i="6"/>
  <c r="BC441" i="6"/>
  <c r="BL441" i="6"/>
  <c r="BF440" i="6"/>
  <c r="AQ440" i="6"/>
  <c r="AJ440" i="6"/>
  <c r="BH440" i="6"/>
  <c r="BC440" i="6"/>
  <c r="BT440" i="6"/>
  <c r="AZ440" i="6"/>
  <c r="CD440" i="6"/>
  <c r="BV440" i="6"/>
  <c r="BA440" i="6"/>
  <c r="CJ440" i="6"/>
  <c r="BS440" i="6"/>
  <c r="D442" i="6"/>
  <c r="D437" i="12"/>
  <c r="E437" i="6"/>
  <c r="C438" i="12"/>
  <c r="M438" i="12"/>
  <c r="AO438" i="12"/>
  <c r="O438" i="12"/>
  <c r="J442" i="12"/>
  <c r="L442" i="12"/>
  <c r="AR440" i="6"/>
  <c r="AV440" i="6"/>
  <c r="AU440" i="6"/>
  <c r="AT440" i="6"/>
  <c r="CB440" i="6"/>
  <c r="BE440" i="6"/>
  <c r="AS440" i="6"/>
  <c r="CK440" i="6"/>
  <c r="CE440" i="6"/>
  <c r="CF440" i="6"/>
  <c r="K441" i="12"/>
  <c r="AB438" i="5"/>
  <c r="AA438" i="5"/>
  <c r="W437" i="12"/>
  <c r="X437" i="12"/>
  <c r="AW440" i="6"/>
  <c r="AN440" i="6"/>
  <c r="BL440" i="6"/>
  <c r="BY440" i="6"/>
  <c r="CL440" i="6"/>
  <c r="CI440" i="6"/>
  <c r="AX440" i="6"/>
  <c r="CH440" i="6"/>
  <c r="BI440" i="6"/>
  <c r="AY440" i="6"/>
  <c r="AP440" i="6"/>
  <c r="BR440" i="6"/>
  <c r="BK440" i="6"/>
  <c r="AO440" i="6"/>
  <c r="CM440" i="6"/>
  <c r="F442" i="6"/>
  <c r="E442" i="12"/>
  <c r="I439" i="12"/>
  <c r="AM439" i="5"/>
  <c r="L439" i="5"/>
  <c r="I439" i="5"/>
  <c r="Z439" i="5"/>
  <c r="AC439" i="5"/>
  <c r="C438" i="6"/>
  <c r="O438" i="5"/>
  <c r="N437" i="12"/>
  <c r="BW441" i="6" l="1"/>
  <c r="BO441" i="6"/>
  <c r="CK441" i="6"/>
  <c r="BH441" i="6"/>
  <c r="Y438" i="12"/>
  <c r="K442" i="12"/>
  <c r="BK441" i="6"/>
  <c r="C439" i="12"/>
  <c r="AO439" i="12"/>
  <c r="O439" i="12"/>
  <c r="M439" i="12"/>
  <c r="BA441" i="6"/>
  <c r="AX441" i="6"/>
  <c r="AN441" i="6"/>
  <c r="AD444" i="5"/>
  <c r="K444" i="5"/>
  <c r="B444" i="5"/>
  <c r="J444" i="5"/>
  <c r="AE444" i="5"/>
  <c r="H444" i="5"/>
  <c r="G444" i="5"/>
  <c r="R444" i="5"/>
  <c r="W444" i="5"/>
  <c r="H444" i="12" s="1"/>
  <c r="N444" i="5"/>
  <c r="D444" i="5"/>
  <c r="B444" i="12" s="1"/>
  <c r="F444" i="5"/>
  <c r="E444" i="5"/>
  <c r="C445" i="5"/>
  <c r="A444" i="12"/>
  <c r="B444" i="6"/>
  <c r="D438" i="12"/>
  <c r="E438" i="6"/>
  <c r="M442" i="6"/>
  <c r="BL442" i="6" s="1"/>
  <c r="H442" i="6"/>
  <c r="T442" i="5" s="1"/>
  <c r="CG442" i="6"/>
  <c r="BT442" i="6"/>
  <c r="BE442" i="6"/>
  <c r="CB442" i="6"/>
  <c r="AZ442" i="6"/>
  <c r="G442" i="6"/>
  <c r="CD442" i="6"/>
  <c r="CL442" i="6"/>
  <c r="AS442" i="6"/>
  <c r="CI442" i="6"/>
  <c r="N442" i="6"/>
  <c r="BF442" i="6"/>
  <c r="AP441" i="6"/>
  <c r="AU441" i="6"/>
  <c r="AK441" i="6"/>
  <c r="CM441" i="6"/>
  <c r="BG441" i="6"/>
  <c r="BS441" i="6"/>
  <c r="BZ441" i="6"/>
  <c r="F443" i="6"/>
  <c r="E443" i="12"/>
  <c r="AA439" i="5"/>
  <c r="AB439" i="5"/>
  <c r="G441" i="12"/>
  <c r="X441" i="5"/>
  <c r="AZ441" i="6"/>
  <c r="J443" i="12"/>
  <c r="L443" i="12"/>
  <c r="C439" i="6"/>
  <c r="O439" i="5"/>
  <c r="N438" i="12"/>
  <c r="AR441" i="6"/>
  <c r="AT441" i="6"/>
  <c r="AO441" i="6"/>
  <c r="AQ441" i="6"/>
  <c r="AM441" i="6"/>
  <c r="BQ441" i="6"/>
  <c r="L440" i="5"/>
  <c r="AM440" i="5"/>
  <c r="I440" i="12"/>
  <c r="I440" i="5"/>
  <c r="Z440" i="5"/>
  <c r="AC440" i="5"/>
  <c r="V437" i="12"/>
  <c r="U437" i="12"/>
  <c r="T437" i="12"/>
  <c r="X438" i="12"/>
  <c r="W438" i="12"/>
  <c r="AV441" i="6"/>
  <c r="AS441" i="6"/>
  <c r="AY441" i="6"/>
  <c r="AW441" i="6"/>
  <c r="AL441" i="6"/>
  <c r="D443" i="6"/>
  <c r="AY442" i="6" l="1"/>
  <c r="AW442" i="6"/>
  <c r="AU442" i="6"/>
  <c r="K443" i="12"/>
  <c r="BA442" i="6"/>
  <c r="H443" i="6"/>
  <c r="T443" i="5" s="1"/>
  <c r="M443" i="6"/>
  <c r="BK443" i="6" s="1"/>
  <c r="BJ443" i="6"/>
  <c r="CB443" i="6"/>
  <c r="AQ443" i="6"/>
  <c r="BF443" i="6"/>
  <c r="CC443" i="6"/>
  <c r="BG443" i="6"/>
  <c r="CF443" i="6"/>
  <c r="CM443" i="6"/>
  <c r="BS443" i="6"/>
  <c r="CI443" i="6"/>
  <c r="CD443" i="6"/>
  <c r="AO443" i="6"/>
  <c r="AT443" i="6"/>
  <c r="AZ443" i="6"/>
  <c r="AW443" i="6"/>
  <c r="AV443" i="6"/>
  <c r="AP443" i="6"/>
  <c r="BV443" i="6"/>
  <c r="BH443" i="6"/>
  <c r="AY443" i="6"/>
  <c r="BA443" i="6"/>
  <c r="BE443" i="6"/>
  <c r="BR443" i="6"/>
  <c r="G443" i="6"/>
  <c r="BO443" i="6"/>
  <c r="CK443" i="6"/>
  <c r="BI443" i="6"/>
  <c r="AM443" i="6"/>
  <c r="BM443" i="6"/>
  <c r="BN443" i="6"/>
  <c r="AR443" i="6"/>
  <c r="BW443" i="6"/>
  <c r="CE443" i="6"/>
  <c r="CA443" i="6"/>
  <c r="CH443" i="6"/>
  <c r="BP443" i="6"/>
  <c r="CL443" i="6"/>
  <c r="BC443" i="6"/>
  <c r="BQ443" i="6"/>
  <c r="N443" i="6"/>
  <c r="AS443" i="6"/>
  <c r="AL443" i="6"/>
  <c r="AN443" i="6"/>
  <c r="BT443" i="6"/>
  <c r="BZ443" i="6"/>
  <c r="BL443" i="6"/>
  <c r="BD443" i="6"/>
  <c r="CJ443" i="6"/>
  <c r="D445" i="5"/>
  <c r="B445" i="12" s="1"/>
  <c r="E445" i="5"/>
  <c r="G445" i="5"/>
  <c r="R445" i="5"/>
  <c r="W445" i="5"/>
  <c r="H445" i="12" s="1"/>
  <c r="B445" i="6"/>
  <c r="A445" i="12"/>
  <c r="H445" i="5"/>
  <c r="F445" i="5"/>
  <c r="B445" i="5"/>
  <c r="AE445" i="5"/>
  <c r="AD445" i="5"/>
  <c r="N445" i="5"/>
  <c r="K445" i="5"/>
  <c r="C446" i="5"/>
  <c r="J445" i="5"/>
  <c r="AA440" i="5"/>
  <c r="AB440" i="5"/>
  <c r="C440" i="6"/>
  <c r="O440" i="5"/>
  <c r="D439" i="12"/>
  <c r="E439" i="6"/>
  <c r="I441" i="12"/>
  <c r="AM441" i="5"/>
  <c r="L441" i="5"/>
  <c r="Z441" i="5"/>
  <c r="I441" i="5"/>
  <c r="AC441" i="5"/>
  <c r="AJ441" i="6"/>
  <c r="BQ442" i="6"/>
  <c r="BS442" i="6"/>
  <c r="AN442" i="6"/>
  <c r="CK442" i="6"/>
  <c r="BG442" i="6"/>
  <c r="BH442" i="6"/>
  <c r="AQ442" i="6"/>
  <c r="BP442" i="6"/>
  <c r="BV442" i="6"/>
  <c r="BC442" i="6"/>
  <c r="AM442" i="6"/>
  <c r="AX442" i="6"/>
  <c r="BJ442" i="6"/>
  <c r="D444" i="6"/>
  <c r="N439" i="12"/>
  <c r="AK442" i="6"/>
  <c r="BO442" i="6"/>
  <c r="AR442" i="6"/>
  <c r="AT442" i="6"/>
  <c r="BR442" i="6"/>
  <c r="BM442" i="6"/>
  <c r="AV442" i="6"/>
  <c r="BZ442" i="6"/>
  <c r="BI442" i="6"/>
  <c r="CF442" i="6"/>
  <c r="BD442" i="6"/>
  <c r="CM442" i="6"/>
  <c r="L444" i="12"/>
  <c r="K444" i="12" s="1"/>
  <c r="J444" i="12"/>
  <c r="Y439" i="12"/>
  <c r="T438" i="12"/>
  <c r="U438" i="12"/>
  <c r="V438" i="12"/>
  <c r="C440" i="12"/>
  <c r="M440" i="12"/>
  <c r="AO440" i="12"/>
  <c r="O440" i="12"/>
  <c r="N440" i="12" s="1"/>
  <c r="CJ442" i="6"/>
  <c r="BX442" i="6"/>
  <c r="CH442" i="6"/>
  <c r="CA442" i="6"/>
  <c r="AP442" i="6"/>
  <c r="CE442" i="6"/>
  <c r="BW442" i="6"/>
  <c r="AL442" i="6"/>
  <c r="AO442" i="6"/>
  <c r="BY442" i="6"/>
  <c r="BK442" i="6"/>
  <c r="BN442" i="6"/>
  <c r="CC442" i="6"/>
  <c r="G442" i="12"/>
  <c r="X442" i="5"/>
  <c r="AJ442" i="6" s="1"/>
  <c r="F444" i="6"/>
  <c r="E444" i="12"/>
  <c r="AU443" i="6" l="1"/>
  <c r="Y440" i="12"/>
  <c r="AK443" i="6"/>
  <c r="AX443" i="6"/>
  <c r="BY443" i="6"/>
  <c r="CG443" i="6"/>
  <c r="BX443" i="6"/>
  <c r="M444" i="6"/>
  <c r="BK444" i="6" s="1"/>
  <c r="N444" i="6"/>
  <c r="CG444" i="6"/>
  <c r="BX444" i="6"/>
  <c r="BJ444" i="6"/>
  <c r="BM444" i="6"/>
  <c r="CB444" i="6"/>
  <c r="CE444" i="6"/>
  <c r="BL444" i="6"/>
  <c r="BH444" i="6"/>
  <c r="BC444" i="6"/>
  <c r="H444" i="6"/>
  <c r="T444" i="5" s="1"/>
  <c r="CI444" i="6"/>
  <c r="CF444" i="6"/>
  <c r="CC444" i="6"/>
  <c r="BO444" i="6"/>
  <c r="CM444" i="6"/>
  <c r="CD444" i="6"/>
  <c r="BS444" i="6"/>
  <c r="BY444" i="6"/>
  <c r="BW444" i="6"/>
  <c r="CL444" i="6"/>
  <c r="CA444" i="6"/>
  <c r="BI444" i="6"/>
  <c r="CK444" i="6"/>
  <c r="BT444" i="6"/>
  <c r="AO444" i="6"/>
  <c r="AV444" i="6"/>
  <c r="AK444" i="6"/>
  <c r="G444" i="6"/>
  <c r="BG444" i="6"/>
  <c r="BZ444" i="6"/>
  <c r="AM444" i="6"/>
  <c r="BN444" i="6"/>
  <c r="BD444" i="6"/>
  <c r="BR444" i="6"/>
  <c r="AY444" i="6"/>
  <c r="BP444" i="6"/>
  <c r="BV444" i="6"/>
  <c r="CJ444" i="6"/>
  <c r="BQ444" i="6"/>
  <c r="CH444" i="6"/>
  <c r="BE444" i="6"/>
  <c r="BF444" i="6"/>
  <c r="C441" i="12"/>
  <c r="AO441" i="12"/>
  <c r="O441" i="12"/>
  <c r="M441" i="12"/>
  <c r="D445" i="6"/>
  <c r="W440" i="12"/>
  <c r="X440" i="12"/>
  <c r="AA441" i="5"/>
  <c r="AB441" i="5"/>
  <c r="F446" i="5"/>
  <c r="W446" i="5"/>
  <c r="H446" i="12" s="1"/>
  <c r="AE446" i="5"/>
  <c r="H446" i="5"/>
  <c r="AD446" i="5"/>
  <c r="E446" i="5"/>
  <c r="G446" i="5"/>
  <c r="N446" i="5"/>
  <c r="B446" i="6"/>
  <c r="B446" i="5"/>
  <c r="I446" i="5"/>
  <c r="A446" i="12"/>
  <c r="C447" i="5"/>
  <c r="F445" i="6"/>
  <c r="E445" i="12"/>
  <c r="X439" i="12"/>
  <c r="W439" i="12"/>
  <c r="E440" i="6"/>
  <c r="D440" i="12"/>
  <c r="I442" i="12"/>
  <c r="AM442" i="5"/>
  <c r="L442" i="5"/>
  <c r="Z442" i="5"/>
  <c r="I442" i="5"/>
  <c r="AC442" i="5"/>
  <c r="C441" i="6"/>
  <c r="O441" i="5"/>
  <c r="J445" i="12"/>
  <c r="L445" i="12"/>
  <c r="G443" i="12"/>
  <c r="X443" i="5"/>
  <c r="Y441" i="12" l="1"/>
  <c r="AT444" i="6"/>
  <c r="AX444" i="6"/>
  <c r="AR444" i="6"/>
  <c r="AU444" i="6"/>
  <c r="AL444" i="6"/>
  <c r="AW444" i="6"/>
  <c r="AP444" i="6"/>
  <c r="G444" i="12"/>
  <c r="X444" i="5"/>
  <c r="C442" i="12"/>
  <c r="M442" i="12"/>
  <c r="AO442" i="12"/>
  <c r="O442" i="12"/>
  <c r="D446" i="6"/>
  <c r="E441" i="6"/>
  <c r="D441" i="12"/>
  <c r="AB442" i="5"/>
  <c r="AA442" i="5"/>
  <c r="N447" i="5"/>
  <c r="A447" i="12"/>
  <c r="D447" i="5"/>
  <c r="B447" i="12" s="1"/>
  <c r="F447" i="5"/>
  <c r="AD447" i="5"/>
  <c r="E447" i="5"/>
  <c r="J447" i="5"/>
  <c r="C448" i="5"/>
  <c r="H447" i="5"/>
  <c r="B447" i="6"/>
  <c r="K447" i="5"/>
  <c r="R447" i="5"/>
  <c r="G447" i="5"/>
  <c r="B447" i="5"/>
  <c r="W447" i="5"/>
  <c r="H447" i="12" s="1"/>
  <c r="AE447" i="5"/>
  <c r="H445" i="6"/>
  <c r="T445" i="5" s="1"/>
  <c r="G445" i="6"/>
  <c r="N445" i="6"/>
  <c r="M445" i="6"/>
  <c r="BQ445" i="6" s="1"/>
  <c r="I443" i="12"/>
  <c r="L443" i="5"/>
  <c r="AM443" i="5"/>
  <c r="I443" i="5"/>
  <c r="Z443" i="5"/>
  <c r="AC443" i="5"/>
  <c r="AJ443" i="6"/>
  <c r="K445" i="12"/>
  <c r="C442" i="6"/>
  <c r="O442" i="5"/>
  <c r="BA444" i="6"/>
  <c r="AQ444" i="6"/>
  <c r="W441" i="12"/>
  <c r="X441" i="12"/>
  <c r="U439" i="12"/>
  <c r="T439" i="12"/>
  <c r="V439" i="12"/>
  <c r="U440" i="12"/>
  <c r="T440" i="12"/>
  <c r="V440" i="12"/>
  <c r="N441" i="12"/>
  <c r="AZ444" i="6"/>
  <c r="AS444" i="6"/>
  <c r="AN444" i="6"/>
  <c r="AJ444" i="6"/>
  <c r="Y442" i="12" l="1"/>
  <c r="AW445" i="6"/>
  <c r="BG445" i="6"/>
  <c r="AX445" i="6"/>
  <c r="BJ445" i="6"/>
  <c r="BA445" i="6"/>
  <c r="BI445" i="6"/>
  <c r="CH445" i="6"/>
  <c r="CG445" i="6"/>
  <c r="CE445" i="6"/>
  <c r="C443" i="6"/>
  <c r="O443" i="5"/>
  <c r="BN445" i="6"/>
  <c r="BD445" i="6"/>
  <c r="CB445" i="6"/>
  <c r="AV445" i="6"/>
  <c r="BZ445" i="6"/>
  <c r="BH445" i="6"/>
  <c r="BT445" i="6"/>
  <c r="BM445" i="6"/>
  <c r="BL445" i="6"/>
  <c r="CD445" i="6"/>
  <c r="BW445" i="6"/>
  <c r="AN445" i="6"/>
  <c r="CJ445" i="6"/>
  <c r="BK445" i="6"/>
  <c r="L447" i="12"/>
  <c r="K447" i="12" s="1"/>
  <c r="J447" i="12"/>
  <c r="N442" i="12"/>
  <c r="AM444" i="5"/>
  <c r="L444" i="5"/>
  <c r="I444" i="12"/>
  <c r="I444" i="5"/>
  <c r="Z444" i="5"/>
  <c r="AC444" i="5"/>
  <c r="AY445" i="6"/>
  <c r="AR445" i="6"/>
  <c r="BX445" i="6"/>
  <c r="AK445" i="6"/>
  <c r="AT445" i="6"/>
  <c r="CK445" i="6"/>
  <c r="CA445" i="6"/>
  <c r="CL445" i="6"/>
  <c r="AM445" i="6"/>
  <c r="CM445" i="6"/>
  <c r="BE445" i="6"/>
  <c r="BR445" i="6"/>
  <c r="AU445" i="6"/>
  <c r="BV445" i="6"/>
  <c r="CF445" i="6"/>
  <c r="BS445" i="6"/>
  <c r="G445" i="12"/>
  <c r="X445" i="5"/>
  <c r="F447" i="6"/>
  <c r="E447" i="12"/>
  <c r="G448" i="5"/>
  <c r="B448" i="5"/>
  <c r="AE448" i="5"/>
  <c r="C449" i="5"/>
  <c r="W448" i="5"/>
  <c r="H448" i="12" s="1"/>
  <c r="AD448" i="5"/>
  <c r="A448" i="12"/>
  <c r="B448" i="6"/>
  <c r="K448" i="5"/>
  <c r="R448" i="5"/>
  <c r="D448" i="5"/>
  <c r="B448" i="12" s="1"/>
  <c r="F448" i="5"/>
  <c r="J448" i="5"/>
  <c r="N448" i="5"/>
  <c r="E448" i="5"/>
  <c r="H448" i="5"/>
  <c r="BZ446" i="6"/>
  <c r="CK446" i="6"/>
  <c r="BL446" i="6"/>
  <c r="BG446" i="6"/>
  <c r="CM446" i="6"/>
  <c r="BP446" i="6"/>
  <c r="G446" i="6"/>
  <c r="BT446" i="6"/>
  <c r="CA446" i="6"/>
  <c r="BF446" i="6"/>
  <c r="M446" i="6"/>
  <c r="BW446" i="6"/>
  <c r="BC446" i="6"/>
  <c r="CH446" i="6"/>
  <c r="BM446" i="6"/>
  <c r="BK446" i="6"/>
  <c r="BN446" i="6"/>
  <c r="BX446" i="6"/>
  <c r="CB446" i="6"/>
  <c r="BQ446" i="6"/>
  <c r="BI446" i="6"/>
  <c r="CL446" i="6"/>
  <c r="BD446" i="6"/>
  <c r="BV446" i="6"/>
  <c r="BO446" i="6"/>
  <c r="N446" i="6"/>
  <c r="CJ446" i="6"/>
  <c r="CE446" i="6"/>
  <c r="BJ446" i="6"/>
  <c r="CI446" i="6"/>
  <c r="BY446" i="6"/>
  <c r="CG446" i="6"/>
  <c r="BS446" i="6"/>
  <c r="CC446" i="6"/>
  <c r="CD446" i="6"/>
  <c r="BH446" i="6"/>
  <c r="H446" i="6"/>
  <c r="T446" i="5" s="1"/>
  <c r="G446" i="12" s="1"/>
  <c r="BE446" i="6"/>
  <c r="BR446" i="6"/>
  <c r="CF446" i="6"/>
  <c r="AR446" i="6"/>
  <c r="T441" i="12"/>
  <c r="U441" i="12"/>
  <c r="V441" i="12"/>
  <c r="E442" i="6"/>
  <c r="D442" i="12"/>
  <c r="AB443" i="5"/>
  <c r="AA443" i="5"/>
  <c r="C443" i="12"/>
  <c r="O443" i="12"/>
  <c r="M443" i="12"/>
  <c r="AO443" i="12"/>
  <c r="Y443" i="12" s="1"/>
  <c r="AQ445" i="6"/>
  <c r="CC445" i="6"/>
  <c r="AO445" i="6"/>
  <c r="BO445" i="6"/>
  <c r="BC445" i="6"/>
  <c r="BY445" i="6"/>
  <c r="BP445" i="6"/>
  <c r="CI445" i="6"/>
  <c r="AZ445" i="6"/>
  <c r="AS445" i="6"/>
  <c r="BF445" i="6"/>
  <c r="AP445" i="6"/>
  <c r="AL445" i="6"/>
  <c r="D447" i="6"/>
  <c r="W442" i="12"/>
  <c r="X442" i="12"/>
  <c r="AQ446" i="6" l="1"/>
  <c r="BA446" i="6"/>
  <c r="AN446" i="6"/>
  <c r="AY446" i="6"/>
  <c r="V442" i="12"/>
  <c r="T442" i="12"/>
  <c r="U442" i="12"/>
  <c r="X443" i="12"/>
  <c r="W443" i="12"/>
  <c r="AO446" i="6"/>
  <c r="AK446" i="6"/>
  <c r="AT446" i="6"/>
  <c r="AS446" i="6"/>
  <c r="AM446" i="6"/>
  <c r="AU446" i="6"/>
  <c r="E448" i="12"/>
  <c r="F448" i="6"/>
  <c r="I445" i="12"/>
  <c r="AM445" i="5"/>
  <c r="L445" i="5"/>
  <c r="I445" i="5"/>
  <c r="Z445" i="5"/>
  <c r="AC445" i="5"/>
  <c r="AJ445" i="6"/>
  <c r="H447" i="6"/>
  <c r="T447" i="5" s="1"/>
  <c r="N447" i="6"/>
  <c r="G447" i="6"/>
  <c r="M447" i="6"/>
  <c r="BK447" i="6" s="1"/>
  <c r="BZ447" i="6"/>
  <c r="AZ446" i="6"/>
  <c r="AX446" i="6"/>
  <c r="AP446" i="6"/>
  <c r="C444" i="6"/>
  <c r="O444" i="5"/>
  <c r="J448" i="12"/>
  <c r="L448" i="12"/>
  <c r="C444" i="12"/>
  <c r="M444" i="12"/>
  <c r="AO444" i="12"/>
  <c r="O444" i="12"/>
  <c r="N443" i="12"/>
  <c r="AW446" i="6"/>
  <c r="AL446" i="6"/>
  <c r="AV446" i="6"/>
  <c r="AJ446" i="6"/>
  <c r="D448" i="6"/>
  <c r="B449" i="6"/>
  <c r="E449" i="5"/>
  <c r="J449" i="5"/>
  <c r="H449" i="5"/>
  <c r="AE449" i="5"/>
  <c r="K449" i="5"/>
  <c r="N449" i="5"/>
  <c r="G449" i="5"/>
  <c r="R449" i="5"/>
  <c r="W449" i="5"/>
  <c r="H449" i="12" s="1"/>
  <c r="B449" i="5"/>
  <c r="D449" i="5"/>
  <c r="B449" i="12" s="1"/>
  <c r="AD449" i="5"/>
  <c r="C450" i="5"/>
  <c r="F449" i="5"/>
  <c r="A449" i="12"/>
  <c r="AA444" i="5"/>
  <c r="AB444" i="5"/>
  <c r="E443" i="6"/>
  <c r="D443" i="12"/>
  <c r="CG447" i="6" l="1"/>
  <c r="CH447" i="6"/>
  <c r="AN447" i="6"/>
  <c r="CL447" i="6"/>
  <c r="BR447" i="6"/>
  <c r="BL447" i="6"/>
  <c r="BM447" i="6"/>
  <c r="BC447" i="6"/>
  <c r="AU447" i="6"/>
  <c r="BW447" i="6"/>
  <c r="CD447" i="6"/>
  <c r="AL447" i="6"/>
  <c r="BX447" i="6"/>
  <c r="BG447" i="6"/>
  <c r="BP447" i="6"/>
  <c r="BJ447" i="6"/>
  <c r="BE447" i="6"/>
  <c r="AS447" i="6"/>
  <c r="BN447" i="6"/>
  <c r="AQ447" i="6"/>
  <c r="BV447" i="6"/>
  <c r="AW447" i="6"/>
  <c r="N444" i="12"/>
  <c r="CM447" i="6"/>
  <c r="AP447" i="6"/>
  <c r="BY447" i="6"/>
  <c r="AT447" i="6"/>
  <c r="CF447" i="6"/>
  <c r="J449" i="12"/>
  <c r="L449" i="12"/>
  <c r="E449" i="12"/>
  <c r="F449" i="6"/>
  <c r="N450" i="5"/>
  <c r="AD450" i="5"/>
  <c r="H450" i="5"/>
  <c r="B450" i="6"/>
  <c r="W450" i="5"/>
  <c r="H450" i="12" s="1"/>
  <c r="D450" i="5"/>
  <c r="B450" i="12" s="1"/>
  <c r="A450" i="12"/>
  <c r="F450" i="5"/>
  <c r="E450" i="5"/>
  <c r="R450" i="5"/>
  <c r="C451" i="5"/>
  <c r="G450" i="5"/>
  <c r="K450" i="5"/>
  <c r="AE450" i="5"/>
  <c r="B450" i="5"/>
  <c r="J450" i="5"/>
  <c r="D449" i="6"/>
  <c r="BA447" i="6"/>
  <c r="AV447" i="6"/>
  <c r="AK447" i="6"/>
  <c r="CK447" i="6"/>
  <c r="CB447" i="6"/>
  <c r="CJ447" i="6"/>
  <c r="AR447" i="6"/>
  <c r="AX447" i="6"/>
  <c r="CE447" i="6"/>
  <c r="G447" i="12"/>
  <c r="X447" i="5"/>
  <c r="AB445" i="5"/>
  <c r="AA445" i="5"/>
  <c r="C445" i="12"/>
  <c r="O445" i="12"/>
  <c r="M445" i="12"/>
  <c r="AO445" i="12"/>
  <c r="C445" i="6"/>
  <c r="O445" i="5"/>
  <c r="Y444" i="12"/>
  <c r="D444" i="12"/>
  <c r="E444" i="6"/>
  <c r="N448" i="6"/>
  <c r="BO448" i="6"/>
  <c r="G448" i="6"/>
  <c r="M448" i="6"/>
  <c r="BI448" i="6" s="1"/>
  <c r="H448" i="6"/>
  <c r="T448" i="5" s="1"/>
  <c r="CC448" i="6"/>
  <c r="BY448" i="6"/>
  <c r="CH448" i="6"/>
  <c r="BF448" i="6"/>
  <c r="BQ448" i="6"/>
  <c r="BN448" i="6"/>
  <c r="BD448" i="6"/>
  <c r="BC448" i="6"/>
  <c r="BG448" i="6"/>
  <c r="AW448" i="6"/>
  <c r="BX448" i="6"/>
  <c r="BV448" i="6"/>
  <c r="BP448" i="6"/>
  <c r="BS448" i="6"/>
  <c r="CB448" i="6"/>
  <c r="AT448" i="6"/>
  <c r="AX448" i="6"/>
  <c r="BE448" i="6"/>
  <c r="BJ448" i="6"/>
  <c r="AP448" i="6"/>
  <c r="BA448" i="6"/>
  <c r="BL448" i="6"/>
  <c r="CI448" i="6"/>
  <c r="BW448" i="6"/>
  <c r="BM448" i="6"/>
  <c r="BT447" i="6"/>
  <c r="BO447" i="6"/>
  <c r="K448" i="12"/>
  <c r="AO447" i="6"/>
  <c r="CA447" i="6"/>
  <c r="BI447" i="6"/>
  <c r="BD447" i="6"/>
  <c r="AM447" i="6"/>
  <c r="BQ447" i="6"/>
  <c r="CI447" i="6"/>
  <c r="AZ447" i="6"/>
  <c r="BS447" i="6"/>
  <c r="BH447" i="6"/>
  <c r="CC447" i="6"/>
  <c r="AY447" i="6"/>
  <c r="BF447" i="6"/>
  <c r="T443" i="12"/>
  <c r="V443" i="12"/>
  <c r="U443" i="12"/>
  <c r="AK448" i="6" l="1"/>
  <c r="AY448" i="6"/>
  <c r="CM448" i="6"/>
  <c r="CA448" i="6"/>
  <c r="K449" i="12"/>
  <c r="AU448" i="6"/>
  <c r="AL448" i="6"/>
  <c r="AR448" i="6"/>
  <c r="CE448" i="6"/>
  <c r="AN448" i="6"/>
  <c r="AV448" i="6"/>
  <c r="BH448" i="6"/>
  <c r="N445" i="12"/>
  <c r="BK448" i="6"/>
  <c r="AZ448" i="6"/>
  <c r="E445" i="6"/>
  <c r="D445" i="12"/>
  <c r="L447" i="5"/>
  <c r="I447" i="12"/>
  <c r="AM447" i="5"/>
  <c r="Z447" i="5"/>
  <c r="I447" i="5"/>
  <c r="AC447" i="5"/>
  <c r="AJ447" i="6"/>
  <c r="D450" i="6"/>
  <c r="G448" i="12"/>
  <c r="X448" i="5"/>
  <c r="AS448" i="6"/>
  <c r="CF448" i="6"/>
  <c r="CJ448" i="6"/>
  <c r="AJ448" i="6"/>
  <c r="AQ448" i="6"/>
  <c r="CL448" i="6"/>
  <c r="L450" i="12"/>
  <c r="J450" i="12"/>
  <c r="AO448" i="6"/>
  <c r="BR448" i="6"/>
  <c r="CG448" i="6"/>
  <c r="AM448" i="6"/>
  <c r="BZ448" i="6"/>
  <c r="CK448" i="6"/>
  <c r="Y445" i="12"/>
  <c r="E450" i="12"/>
  <c r="F450" i="6"/>
  <c r="BT448" i="6"/>
  <c r="CD448" i="6"/>
  <c r="W444" i="12"/>
  <c r="X444" i="12"/>
  <c r="H449" i="6"/>
  <c r="T449" i="5" s="1"/>
  <c r="M449" i="6"/>
  <c r="BS449" i="6" s="1"/>
  <c r="G449" i="6"/>
  <c r="AT449" i="6"/>
  <c r="N449" i="6"/>
  <c r="AX449" i="6"/>
  <c r="CF449" i="6"/>
  <c r="BC449" i="6"/>
  <c r="BN449" i="6"/>
  <c r="C452" i="5"/>
  <c r="B451" i="5"/>
  <c r="B451" i="6"/>
  <c r="D451" i="5"/>
  <c r="B451" i="12" s="1"/>
  <c r="AE451" i="5"/>
  <c r="G451" i="5"/>
  <c r="N451" i="5"/>
  <c r="A451" i="12"/>
  <c r="K451" i="5"/>
  <c r="AD451" i="5"/>
  <c r="W451" i="5"/>
  <c r="H451" i="12" s="1"/>
  <c r="F451" i="5"/>
  <c r="H451" i="5"/>
  <c r="J451" i="5"/>
  <c r="E451" i="5"/>
  <c r="R451" i="5"/>
  <c r="CL449" i="6" l="1"/>
  <c r="BO449" i="6"/>
  <c r="BV449" i="6"/>
  <c r="AS449" i="6"/>
  <c r="BE449" i="6"/>
  <c r="BH449" i="6"/>
  <c r="BK449" i="6"/>
  <c r="AW449" i="6"/>
  <c r="AY449" i="6"/>
  <c r="AL449" i="6"/>
  <c r="BQ449" i="6"/>
  <c r="AV449" i="6"/>
  <c r="BF449" i="6"/>
  <c r="BM449" i="6"/>
  <c r="BI449" i="6"/>
  <c r="AM449" i="6"/>
  <c r="CK449" i="6"/>
  <c r="CB449" i="6"/>
  <c r="AQ449" i="6"/>
  <c r="CH449" i="6"/>
  <c r="CA449" i="6"/>
  <c r="BR449" i="6"/>
  <c r="CM449" i="6"/>
  <c r="BJ449" i="6"/>
  <c r="AU449" i="6"/>
  <c r="CC449" i="6"/>
  <c r="CI449" i="6"/>
  <c r="BY449" i="6"/>
  <c r="BG449" i="6"/>
  <c r="BW449" i="6"/>
  <c r="AR449" i="6"/>
  <c r="AP449" i="6"/>
  <c r="BX449" i="6"/>
  <c r="D451" i="6"/>
  <c r="G449" i="12"/>
  <c r="X449" i="5"/>
  <c r="C447" i="6"/>
  <c r="O447" i="5"/>
  <c r="F451" i="6"/>
  <c r="E451" i="12"/>
  <c r="L451" i="12"/>
  <c r="J451" i="12"/>
  <c r="AO449" i="6"/>
  <c r="BP449" i="6"/>
  <c r="CG449" i="6"/>
  <c r="AN449" i="6"/>
  <c r="CD449" i="6"/>
  <c r="BD449" i="6"/>
  <c r="BL449" i="6"/>
  <c r="H450" i="6"/>
  <c r="T450" i="5" s="1"/>
  <c r="G450" i="6"/>
  <c r="M450" i="6"/>
  <c r="BG450" i="6" s="1"/>
  <c r="N450" i="6"/>
  <c r="CE450" i="6"/>
  <c r="BT450" i="6"/>
  <c r="BS450" i="6"/>
  <c r="CD450" i="6"/>
  <c r="CB450" i="6"/>
  <c r="CH450" i="6"/>
  <c r="BH450" i="6"/>
  <c r="BI450" i="6"/>
  <c r="BZ450" i="6"/>
  <c r="BD450" i="6"/>
  <c r="BJ450" i="6"/>
  <c r="AU450" i="6"/>
  <c r="BQ450" i="6"/>
  <c r="CL450" i="6"/>
  <c r="CF450" i="6"/>
  <c r="CI450" i="6"/>
  <c r="AP450" i="6"/>
  <c r="AS450" i="6"/>
  <c r="BF450" i="6"/>
  <c r="AB447" i="5"/>
  <c r="AA447" i="5"/>
  <c r="F452" i="5"/>
  <c r="G452" i="5"/>
  <c r="D452" i="5"/>
  <c r="B452" i="12" s="1"/>
  <c r="B452" i="5"/>
  <c r="W452" i="5"/>
  <c r="H452" i="12" s="1"/>
  <c r="K452" i="5"/>
  <c r="H452" i="5"/>
  <c r="R452" i="5"/>
  <c r="AE452" i="5"/>
  <c r="C453" i="5"/>
  <c r="AD452" i="5"/>
  <c r="J452" i="5"/>
  <c r="N452" i="5"/>
  <c r="B452" i="6"/>
  <c r="E452" i="5"/>
  <c r="A452" i="12"/>
  <c r="CE449" i="6"/>
  <c r="CJ449" i="6"/>
  <c r="BA449" i="6"/>
  <c r="BZ449" i="6"/>
  <c r="AK449" i="6"/>
  <c r="BT449" i="6"/>
  <c r="AZ449" i="6"/>
  <c r="U444" i="12"/>
  <c r="V444" i="12"/>
  <c r="T444" i="12"/>
  <c r="K450" i="12"/>
  <c r="AM448" i="5"/>
  <c r="I448" i="12"/>
  <c r="L448" i="5"/>
  <c r="Z448" i="5"/>
  <c r="I448" i="5"/>
  <c r="AC448" i="5"/>
  <c r="W445" i="12"/>
  <c r="X445" i="12"/>
  <c r="C447" i="12"/>
  <c r="M447" i="12"/>
  <c r="AO447" i="12"/>
  <c r="O447" i="12"/>
  <c r="AW450" i="6" l="1"/>
  <c r="K451" i="12"/>
  <c r="C448" i="12"/>
  <c r="AO448" i="12"/>
  <c r="M448" i="12"/>
  <c r="O448" i="12"/>
  <c r="CG450" i="6"/>
  <c r="CC450" i="6"/>
  <c r="BP450" i="6"/>
  <c r="BA450" i="6"/>
  <c r="BO450" i="6"/>
  <c r="BX450" i="6"/>
  <c r="AK450" i="6"/>
  <c r="AY450" i="6"/>
  <c r="BM450" i="6"/>
  <c r="D452" i="6"/>
  <c r="J453" i="5"/>
  <c r="N453" i="5"/>
  <c r="F453" i="5"/>
  <c r="W453" i="5"/>
  <c r="H453" i="12" s="1"/>
  <c r="B453" i="6"/>
  <c r="AD453" i="5"/>
  <c r="D453" i="5"/>
  <c r="B453" i="12" s="1"/>
  <c r="H453" i="5"/>
  <c r="R453" i="5"/>
  <c r="AE453" i="5"/>
  <c r="E453" i="5"/>
  <c r="B453" i="5"/>
  <c r="G453" i="5"/>
  <c r="K453" i="5"/>
  <c r="C454" i="5"/>
  <c r="A453" i="12"/>
  <c r="F452" i="6"/>
  <c r="E452" i="12"/>
  <c r="BV450" i="6"/>
  <c r="BL450" i="6"/>
  <c r="CK450" i="6"/>
  <c r="BK450" i="6"/>
  <c r="AX450" i="6"/>
  <c r="BY450" i="6"/>
  <c r="BC450" i="6"/>
  <c r="E447" i="6"/>
  <c r="D447" i="12"/>
  <c r="N447" i="12"/>
  <c r="AA448" i="5"/>
  <c r="AB448" i="5"/>
  <c r="L452" i="12"/>
  <c r="J452" i="12"/>
  <c r="CM450" i="6"/>
  <c r="AQ450" i="6"/>
  <c r="BR450" i="6"/>
  <c r="AM450" i="6"/>
  <c r="AV450" i="6"/>
  <c r="CA450" i="6"/>
  <c r="G450" i="12"/>
  <c r="X450" i="5"/>
  <c r="AJ450" i="6" s="1"/>
  <c r="G451" i="6"/>
  <c r="H451" i="6"/>
  <c r="T451" i="5" s="1"/>
  <c r="N451" i="6"/>
  <c r="M451" i="6"/>
  <c r="BN451" i="6" s="1"/>
  <c r="Y447" i="12"/>
  <c r="U445" i="12"/>
  <c r="T445" i="12"/>
  <c r="V445" i="12"/>
  <c r="C448" i="6"/>
  <c r="O448" i="5"/>
  <c r="CJ450" i="6"/>
  <c r="AO450" i="6"/>
  <c r="BN450" i="6"/>
  <c r="AN450" i="6"/>
  <c r="AZ450" i="6"/>
  <c r="AR450" i="6"/>
  <c r="AT450" i="6"/>
  <c r="BW450" i="6"/>
  <c r="AL450" i="6"/>
  <c r="BE450" i="6"/>
  <c r="AM449" i="5"/>
  <c r="I449" i="12"/>
  <c r="L449" i="5"/>
  <c r="Z449" i="5"/>
  <c r="I449" i="5"/>
  <c r="AC449" i="5"/>
  <c r="AJ449" i="6"/>
  <c r="BZ451" i="6" l="1"/>
  <c r="BE451" i="6"/>
  <c r="N448" i="12"/>
  <c r="E448" i="6"/>
  <c r="D448" i="12"/>
  <c r="BA451" i="6"/>
  <c r="AL451" i="6"/>
  <c r="BJ451" i="6"/>
  <c r="CD451" i="6"/>
  <c r="AW451" i="6"/>
  <c r="CK451" i="6"/>
  <c r="BT451" i="6"/>
  <c r="CJ451" i="6"/>
  <c r="CG451" i="6"/>
  <c r="BC451" i="6"/>
  <c r="L450" i="5"/>
  <c r="AM450" i="5"/>
  <c r="I450" i="12"/>
  <c r="I450" i="5"/>
  <c r="Z450" i="5"/>
  <c r="AC450" i="5"/>
  <c r="K452" i="12"/>
  <c r="AA449" i="5"/>
  <c r="AB449" i="5"/>
  <c r="X447" i="12"/>
  <c r="W447" i="12"/>
  <c r="CL451" i="6"/>
  <c r="BP451" i="6"/>
  <c r="BQ451" i="6"/>
  <c r="AV451" i="6"/>
  <c r="AM451" i="6"/>
  <c r="BL451" i="6"/>
  <c r="BX451" i="6"/>
  <c r="BG451" i="6"/>
  <c r="BM451" i="6"/>
  <c r="BR451" i="6"/>
  <c r="AZ451" i="6"/>
  <c r="BY451" i="6"/>
  <c r="CF451" i="6"/>
  <c r="H454" i="5"/>
  <c r="AE454" i="5"/>
  <c r="J454" i="5"/>
  <c r="D454" i="5"/>
  <c r="B454" i="12" s="1"/>
  <c r="B454" i="6"/>
  <c r="G454" i="5"/>
  <c r="E454" i="5"/>
  <c r="R454" i="5"/>
  <c r="A454" i="12"/>
  <c r="K454" i="5"/>
  <c r="N454" i="5"/>
  <c r="B454" i="5"/>
  <c r="C455" i="5"/>
  <c r="F454" i="5"/>
  <c r="W454" i="5"/>
  <c r="H454" i="12" s="1"/>
  <c r="AD454" i="5"/>
  <c r="G452" i="6"/>
  <c r="M452" i="6"/>
  <c r="BT452" i="6" s="1"/>
  <c r="BP452" i="6"/>
  <c r="N452" i="6"/>
  <c r="BO452" i="6"/>
  <c r="BF452" i="6"/>
  <c r="BI452" i="6"/>
  <c r="BN452" i="6"/>
  <c r="H452" i="6"/>
  <c r="T452" i="5" s="1"/>
  <c r="BS452" i="6"/>
  <c r="BZ452" i="6"/>
  <c r="CG452" i="6"/>
  <c r="C449" i="6"/>
  <c r="O449" i="5"/>
  <c r="AK451" i="6"/>
  <c r="AN451" i="6"/>
  <c r="BO451" i="6"/>
  <c r="AY451" i="6"/>
  <c r="BS451" i="6"/>
  <c r="AP451" i="6"/>
  <c r="AR451" i="6"/>
  <c r="CB451" i="6"/>
  <c r="BI451" i="6"/>
  <c r="BW451" i="6"/>
  <c r="G451" i="12"/>
  <c r="X451" i="5"/>
  <c r="AJ451" i="6" s="1"/>
  <c r="BH451" i="6"/>
  <c r="CC451" i="6"/>
  <c r="AU451" i="6"/>
  <c r="CH451" i="6"/>
  <c r="E453" i="12"/>
  <c r="F453" i="6"/>
  <c r="Y448" i="12"/>
  <c r="C449" i="12"/>
  <c r="M449" i="12"/>
  <c r="AO449" i="12"/>
  <c r="O449" i="12"/>
  <c r="BF451" i="6"/>
  <c r="AX451" i="6"/>
  <c r="CI451" i="6"/>
  <c r="BK451" i="6"/>
  <c r="AQ451" i="6"/>
  <c r="AS451" i="6"/>
  <c r="AT451" i="6"/>
  <c r="BV451" i="6"/>
  <c r="CM451" i="6"/>
  <c r="AO451" i="6"/>
  <c r="CA451" i="6"/>
  <c r="BD451" i="6"/>
  <c r="CE451" i="6"/>
  <c r="J453" i="12"/>
  <c r="L453" i="12"/>
  <c r="D453" i="6"/>
  <c r="BX452" i="6" l="1"/>
  <c r="CD452" i="6"/>
  <c r="BE452" i="6"/>
  <c r="CE452" i="6"/>
  <c r="CC452" i="6"/>
  <c r="BK452" i="6"/>
  <c r="CA452" i="6"/>
  <c r="Y449" i="12"/>
  <c r="BJ452" i="6"/>
  <c r="BL452" i="6"/>
  <c r="CJ452" i="6"/>
  <c r="BD452" i="6"/>
  <c r="BW452" i="6"/>
  <c r="CH452" i="6"/>
  <c r="CI452" i="6"/>
  <c r="CF452" i="6"/>
  <c r="BY452" i="6"/>
  <c r="BC452" i="6"/>
  <c r="CK452" i="6"/>
  <c r="BM452" i="6"/>
  <c r="CM452" i="6"/>
  <c r="CL452" i="6"/>
  <c r="CB452" i="6"/>
  <c r="BR452" i="6"/>
  <c r="BH452" i="6"/>
  <c r="BV452" i="6"/>
  <c r="N453" i="6"/>
  <c r="G453" i="6"/>
  <c r="M453" i="6"/>
  <c r="BD453" i="6" s="1"/>
  <c r="H453" i="6"/>
  <c r="T453" i="5" s="1"/>
  <c r="AN452" i="6"/>
  <c r="AS452" i="6"/>
  <c r="AR452" i="6"/>
  <c r="T447" i="12"/>
  <c r="U447" i="12"/>
  <c r="V447" i="12"/>
  <c r="I451" i="12"/>
  <c r="L451" i="5"/>
  <c r="AM451" i="5"/>
  <c r="I451" i="5"/>
  <c r="Z451" i="5"/>
  <c r="AC451" i="5"/>
  <c r="D449" i="12"/>
  <c r="E449" i="6"/>
  <c r="AQ452" i="6"/>
  <c r="AX452" i="6"/>
  <c r="AK452" i="6"/>
  <c r="AL452" i="6"/>
  <c r="AV452" i="6"/>
  <c r="AZ452" i="6"/>
  <c r="J454" i="12"/>
  <c r="L454" i="12"/>
  <c r="G452" i="12"/>
  <c r="X452" i="5"/>
  <c r="AT452" i="6"/>
  <c r="AP452" i="6"/>
  <c r="AO452" i="6"/>
  <c r="C450" i="12"/>
  <c r="O450" i="12"/>
  <c r="AO450" i="12"/>
  <c r="M450" i="12"/>
  <c r="K453" i="12"/>
  <c r="N449" i="12"/>
  <c r="W448" i="12"/>
  <c r="X448" i="12"/>
  <c r="BA452" i="6"/>
  <c r="AU452" i="6"/>
  <c r="AY452" i="6"/>
  <c r="BQ452" i="6"/>
  <c r="BG452" i="6"/>
  <c r="E454" i="12"/>
  <c r="F454" i="6"/>
  <c r="AB450" i="5"/>
  <c r="AA450" i="5"/>
  <c r="C450" i="6"/>
  <c r="O450" i="5"/>
  <c r="X449" i="12"/>
  <c r="W449" i="12"/>
  <c r="AW452" i="6"/>
  <c r="AM452" i="6"/>
  <c r="B455" i="5"/>
  <c r="N455" i="5"/>
  <c r="A455" i="12"/>
  <c r="F455" i="5"/>
  <c r="H455" i="5"/>
  <c r="K455" i="5"/>
  <c r="B455" i="6"/>
  <c r="G455" i="5"/>
  <c r="C456" i="5"/>
  <c r="J455" i="5"/>
  <c r="W455" i="5"/>
  <c r="H455" i="12" s="1"/>
  <c r="E455" i="5"/>
  <c r="R455" i="5"/>
  <c r="AE455" i="5"/>
  <c r="D455" i="5"/>
  <c r="B455" i="12" s="1"/>
  <c r="AD455" i="5"/>
  <c r="D454" i="6"/>
  <c r="K454" i="12" l="1"/>
  <c r="N450" i="12"/>
  <c r="CH453" i="6"/>
  <c r="A456" i="12"/>
  <c r="AD456" i="5"/>
  <c r="F456" i="5"/>
  <c r="B456" i="6"/>
  <c r="E456" i="5"/>
  <c r="AE456" i="5"/>
  <c r="N456" i="5"/>
  <c r="R456" i="5"/>
  <c r="W456" i="5"/>
  <c r="H456" i="12" s="1"/>
  <c r="C457" i="5"/>
  <c r="D456" i="5"/>
  <c r="B456" i="12" s="1"/>
  <c r="K456" i="5"/>
  <c r="G456" i="5"/>
  <c r="H456" i="5"/>
  <c r="B456" i="5"/>
  <c r="J456" i="5"/>
  <c r="E450" i="6"/>
  <c r="D450" i="12"/>
  <c r="U448" i="12"/>
  <c r="T448" i="12"/>
  <c r="V448" i="12"/>
  <c r="Y450" i="12"/>
  <c r="AL453" i="6"/>
  <c r="BO453" i="6"/>
  <c r="BR453" i="6"/>
  <c r="AS453" i="6"/>
  <c r="BH453" i="6"/>
  <c r="CM453" i="6"/>
  <c r="BE453" i="6"/>
  <c r="AT453" i="6"/>
  <c r="CI453" i="6"/>
  <c r="BP453" i="6"/>
  <c r="AK453" i="6"/>
  <c r="BA453" i="6"/>
  <c r="BC453" i="6"/>
  <c r="BF453" i="6"/>
  <c r="N454" i="6"/>
  <c r="M454" i="6"/>
  <c r="BC454" i="6" s="1"/>
  <c r="H454" i="6"/>
  <c r="T454" i="5" s="1"/>
  <c r="CH454" i="6"/>
  <c r="BL454" i="6"/>
  <c r="CC454" i="6"/>
  <c r="BZ454" i="6"/>
  <c r="BX454" i="6"/>
  <c r="CF454" i="6"/>
  <c r="CG454" i="6"/>
  <c r="BK454" i="6"/>
  <c r="CI454" i="6"/>
  <c r="CK454" i="6"/>
  <c r="BW454" i="6"/>
  <c r="BS454" i="6"/>
  <c r="BO454" i="6"/>
  <c r="BY454" i="6"/>
  <c r="AZ454" i="6"/>
  <c r="BT454" i="6"/>
  <c r="G454" i="6"/>
  <c r="BP454" i="6"/>
  <c r="AN454" i="6"/>
  <c r="BI454" i="6"/>
  <c r="BF454" i="6"/>
  <c r="CA454" i="6"/>
  <c r="CB454" i="6"/>
  <c r="G453" i="12"/>
  <c r="X453" i="5"/>
  <c r="AV453" i="6"/>
  <c r="BN453" i="6"/>
  <c r="CF453" i="6"/>
  <c r="CA453" i="6"/>
  <c r="BM453" i="6"/>
  <c r="AX453" i="6"/>
  <c r="AW453" i="6"/>
  <c r="CE453" i="6"/>
  <c r="BZ453" i="6"/>
  <c r="D455" i="6"/>
  <c r="U449" i="12"/>
  <c r="V449" i="12"/>
  <c r="T449" i="12"/>
  <c r="I452" i="12"/>
  <c r="L452" i="5"/>
  <c r="AM452" i="5"/>
  <c r="Z452" i="5"/>
  <c r="I452" i="5"/>
  <c r="AC452" i="5"/>
  <c r="C451" i="6"/>
  <c r="O451" i="5"/>
  <c r="AU453" i="6"/>
  <c r="BW453" i="6"/>
  <c r="AN453" i="6"/>
  <c r="AJ453" i="6"/>
  <c r="AO453" i="6"/>
  <c r="BY453" i="6"/>
  <c r="BI453" i="6"/>
  <c r="AZ453" i="6"/>
  <c r="BJ453" i="6"/>
  <c r="BX453" i="6"/>
  <c r="AQ453" i="6"/>
  <c r="AY453" i="6"/>
  <c r="BG453" i="6"/>
  <c r="BV453" i="6"/>
  <c r="CJ453" i="6"/>
  <c r="E455" i="12"/>
  <c r="F455" i="6"/>
  <c r="L455" i="12"/>
  <c r="K455" i="12" s="1"/>
  <c r="J455" i="12"/>
  <c r="AJ452" i="6"/>
  <c r="AA451" i="5"/>
  <c r="AB451" i="5"/>
  <c r="C451" i="12"/>
  <c r="O451" i="12"/>
  <c r="N451" i="12" s="1"/>
  <c r="M451" i="12"/>
  <c r="AO451" i="12"/>
  <c r="BQ453" i="6"/>
  <c r="CC453" i="6"/>
  <c r="CD453" i="6"/>
  <c r="CL453" i="6"/>
  <c r="CB453" i="6"/>
  <c r="CG453" i="6"/>
  <c r="BS453" i="6"/>
  <c r="AR453" i="6"/>
  <c r="BL453" i="6"/>
  <c r="BT453" i="6"/>
  <c r="AM453" i="6"/>
  <c r="AP453" i="6"/>
  <c r="BK453" i="6"/>
  <c r="CK453" i="6"/>
  <c r="CJ454" i="6" l="1"/>
  <c r="BJ454" i="6"/>
  <c r="BD454" i="6"/>
  <c r="BH454" i="6"/>
  <c r="AM454" i="6"/>
  <c r="BQ454" i="6"/>
  <c r="BG454" i="6"/>
  <c r="BE454" i="6"/>
  <c r="CE454" i="6"/>
  <c r="CD454" i="6"/>
  <c r="AT454" i="6"/>
  <c r="AP454" i="6"/>
  <c r="CM454" i="6"/>
  <c r="AV454" i="6"/>
  <c r="AQ454" i="6"/>
  <c r="BA454" i="6"/>
  <c r="AW454" i="6"/>
  <c r="BN454" i="6"/>
  <c r="AX454" i="6"/>
  <c r="AU454" i="6"/>
  <c r="AK454" i="6"/>
  <c r="BM454" i="6"/>
  <c r="BR454" i="6"/>
  <c r="AS454" i="6"/>
  <c r="CL454" i="6"/>
  <c r="E451" i="6"/>
  <c r="D451" i="12"/>
  <c r="AB452" i="5"/>
  <c r="AA452" i="5"/>
  <c r="H455" i="6"/>
  <c r="T455" i="5" s="1"/>
  <c r="M455" i="6"/>
  <c r="BL455" i="6" s="1"/>
  <c r="G455" i="6"/>
  <c r="BJ455" i="6"/>
  <c r="CG455" i="6"/>
  <c r="N455" i="6"/>
  <c r="AR454" i="6"/>
  <c r="AO454" i="6"/>
  <c r="BV454" i="6"/>
  <c r="W450" i="12"/>
  <c r="X450" i="12"/>
  <c r="D456" i="6"/>
  <c r="C452" i="6"/>
  <c r="O452" i="5"/>
  <c r="I453" i="12"/>
  <c r="L453" i="5"/>
  <c r="AM453" i="5"/>
  <c r="Z453" i="5"/>
  <c r="I453" i="5"/>
  <c r="AC453" i="5"/>
  <c r="Y451" i="12"/>
  <c r="C452" i="12"/>
  <c r="AO452" i="12"/>
  <c r="M452" i="12"/>
  <c r="O452" i="12"/>
  <c r="G454" i="12"/>
  <c r="X454" i="5"/>
  <c r="AY454" i="6"/>
  <c r="AL454" i="6"/>
  <c r="E457" i="5"/>
  <c r="F457" i="5"/>
  <c r="D457" i="5"/>
  <c r="B457" i="12" s="1"/>
  <c r="B457" i="6"/>
  <c r="W457" i="5"/>
  <c r="H457" i="12" s="1"/>
  <c r="G457" i="5"/>
  <c r="J457" i="5"/>
  <c r="AE457" i="5"/>
  <c r="A457" i="12"/>
  <c r="AD457" i="5"/>
  <c r="K457" i="5"/>
  <c r="N457" i="5"/>
  <c r="R457" i="5"/>
  <c r="C458" i="5"/>
  <c r="B457" i="5"/>
  <c r="H457" i="5"/>
  <c r="E456" i="12"/>
  <c r="F456" i="6"/>
  <c r="L456" i="12"/>
  <c r="J456" i="12"/>
  <c r="BP455" i="6" l="1"/>
  <c r="BV455" i="6"/>
  <c r="Y452" i="12"/>
  <c r="CC455" i="6"/>
  <c r="CB455" i="6"/>
  <c r="BI455" i="6"/>
  <c r="AZ455" i="6"/>
  <c r="CI455" i="6"/>
  <c r="BW455" i="6"/>
  <c r="CM455" i="6"/>
  <c r="BR455" i="6"/>
  <c r="BH455" i="6"/>
  <c r="AY455" i="6"/>
  <c r="CF455" i="6"/>
  <c r="CL455" i="6"/>
  <c r="BO455" i="6"/>
  <c r="BS455" i="6"/>
  <c r="BC455" i="6"/>
  <c r="CD455" i="6"/>
  <c r="CJ455" i="6"/>
  <c r="BZ455" i="6"/>
  <c r="CA455" i="6"/>
  <c r="CH455" i="6"/>
  <c r="AW455" i="6"/>
  <c r="AL455" i="6"/>
  <c r="AX455" i="6"/>
  <c r="AU455" i="6"/>
  <c r="BT455" i="6"/>
  <c r="BF455" i="6"/>
  <c r="AP455" i="6"/>
  <c r="BX455" i="6"/>
  <c r="I454" i="12"/>
  <c r="L454" i="5"/>
  <c r="AM454" i="5"/>
  <c r="I454" i="5"/>
  <c r="Z454" i="5"/>
  <c r="AC454" i="5"/>
  <c r="AJ454" i="6"/>
  <c r="W452" i="12"/>
  <c r="X452" i="12"/>
  <c r="C453" i="12"/>
  <c r="M453" i="12"/>
  <c r="O453" i="12"/>
  <c r="AO453" i="12"/>
  <c r="N456" i="6"/>
  <c r="G456" i="6"/>
  <c r="M456" i="6"/>
  <c r="BG456" i="6" s="1"/>
  <c r="H456" i="6"/>
  <c r="T456" i="5" s="1"/>
  <c r="BP456" i="6"/>
  <c r="CM456" i="6"/>
  <c r="CK456" i="6"/>
  <c r="AM456" i="6"/>
  <c r="K456" i="12"/>
  <c r="J458" i="5"/>
  <c r="AD458" i="5"/>
  <c r="E458" i="5"/>
  <c r="D458" i="5"/>
  <c r="B458" i="12" s="1"/>
  <c r="H458" i="5"/>
  <c r="AE458" i="5"/>
  <c r="N458" i="5"/>
  <c r="F458" i="5"/>
  <c r="A458" i="12"/>
  <c r="K458" i="5"/>
  <c r="G458" i="5"/>
  <c r="R458" i="5"/>
  <c r="C459" i="5"/>
  <c r="B458" i="5"/>
  <c r="W458" i="5"/>
  <c r="H458" i="12" s="1"/>
  <c r="B458" i="6"/>
  <c r="AB453" i="5"/>
  <c r="AA453" i="5"/>
  <c r="AT455" i="6"/>
  <c r="BG455" i="6"/>
  <c r="BY455" i="6"/>
  <c r="D457" i="6"/>
  <c r="D452" i="12"/>
  <c r="E452" i="6"/>
  <c r="N452" i="12"/>
  <c r="X451" i="12"/>
  <c r="W451" i="12"/>
  <c r="V450" i="12"/>
  <c r="T450" i="12"/>
  <c r="U450" i="12"/>
  <c r="BE455" i="6"/>
  <c r="CE455" i="6"/>
  <c r="AO455" i="6"/>
  <c r="AM455" i="6"/>
  <c r="AV455" i="6"/>
  <c r="BQ455" i="6"/>
  <c r="AK455" i="6"/>
  <c r="BM455" i="6"/>
  <c r="BN455" i="6"/>
  <c r="AR455" i="6"/>
  <c r="BD455" i="6"/>
  <c r="BA455" i="6"/>
  <c r="AQ455" i="6"/>
  <c r="E457" i="12"/>
  <c r="F457" i="6"/>
  <c r="J457" i="12"/>
  <c r="L457" i="12"/>
  <c r="C453" i="6"/>
  <c r="O453" i="5"/>
  <c r="AS455" i="6"/>
  <c r="AN455" i="6"/>
  <c r="BK455" i="6"/>
  <c r="CK455" i="6"/>
  <c r="G455" i="12"/>
  <c r="X455" i="5"/>
  <c r="AJ455" i="6" s="1"/>
  <c r="BZ456" i="6" l="1"/>
  <c r="AX456" i="6"/>
  <c r="BD456" i="6"/>
  <c r="CA456" i="6"/>
  <c r="CE456" i="6"/>
  <c r="CH456" i="6"/>
  <c r="BE456" i="6"/>
  <c r="BY456" i="6"/>
  <c r="AK456" i="6"/>
  <c r="BJ456" i="6"/>
  <c r="BR456" i="6"/>
  <c r="CI456" i="6"/>
  <c r="BW456" i="6"/>
  <c r="CC456" i="6"/>
  <c r="CJ456" i="6"/>
  <c r="BH456" i="6"/>
  <c r="CD456" i="6"/>
  <c r="E453" i="6"/>
  <c r="D453" i="12"/>
  <c r="K457" i="12"/>
  <c r="M457" i="6"/>
  <c r="BE457" i="6" s="1"/>
  <c r="N457" i="6"/>
  <c r="H457" i="6"/>
  <c r="T457" i="5" s="1"/>
  <c r="BW457" i="6"/>
  <c r="CI457" i="6"/>
  <c r="BH457" i="6"/>
  <c r="AP457" i="6"/>
  <c r="G457" i="6"/>
  <c r="D458" i="6"/>
  <c r="AW456" i="6"/>
  <c r="AZ456" i="6"/>
  <c r="AR456" i="6"/>
  <c r="AU456" i="6"/>
  <c r="AP456" i="6"/>
  <c r="BQ456" i="6"/>
  <c r="BI456" i="6"/>
  <c r="CF456" i="6"/>
  <c r="AT456" i="6"/>
  <c r="CB456" i="6"/>
  <c r="AL456" i="6"/>
  <c r="N453" i="12"/>
  <c r="T452" i="12"/>
  <c r="V452" i="12"/>
  <c r="U452" i="12"/>
  <c r="L458" i="12"/>
  <c r="K458" i="12" s="1"/>
  <c r="J458" i="12"/>
  <c r="AN456" i="6"/>
  <c r="BC456" i="6"/>
  <c r="BA456" i="6"/>
  <c r="BX456" i="6"/>
  <c r="BK456" i="6"/>
  <c r="I455" i="12"/>
  <c r="AM455" i="5"/>
  <c r="L455" i="5"/>
  <c r="Z455" i="5"/>
  <c r="I455" i="5"/>
  <c r="AC455" i="5"/>
  <c r="U451" i="12"/>
  <c r="V451" i="12"/>
  <c r="T451" i="12"/>
  <c r="E458" i="12"/>
  <c r="F458" i="6"/>
  <c r="G456" i="12"/>
  <c r="X456" i="5"/>
  <c r="AY456" i="6"/>
  <c r="AV456" i="6"/>
  <c r="CG456" i="6"/>
  <c r="C454" i="6"/>
  <c r="O454" i="5"/>
  <c r="AD459" i="5"/>
  <c r="N459" i="5"/>
  <c r="G459" i="5"/>
  <c r="A459" i="12"/>
  <c r="C460" i="5"/>
  <c r="K459" i="5"/>
  <c r="AE459" i="5"/>
  <c r="E459" i="5"/>
  <c r="R459" i="5"/>
  <c r="J459" i="5"/>
  <c r="H459" i="5"/>
  <c r="D459" i="5"/>
  <c r="B459" i="12" s="1"/>
  <c r="F459" i="5"/>
  <c r="W459" i="5"/>
  <c r="H459" i="12" s="1"/>
  <c r="B459" i="5"/>
  <c r="B459" i="6"/>
  <c r="BS456" i="6"/>
  <c r="CL456" i="6"/>
  <c r="BM456" i="6"/>
  <c r="AS456" i="6"/>
  <c r="BN456" i="6"/>
  <c r="BT456" i="6"/>
  <c r="BV456" i="6"/>
  <c r="BL456" i="6"/>
  <c r="BO456" i="6"/>
  <c r="AO456" i="6"/>
  <c r="AJ456" i="6"/>
  <c r="BF456" i="6"/>
  <c r="AQ456" i="6"/>
  <c r="Y453" i="12"/>
  <c r="AA454" i="5"/>
  <c r="AB454" i="5"/>
  <c r="C454" i="12"/>
  <c r="O454" i="12"/>
  <c r="AO454" i="12"/>
  <c r="M454" i="12"/>
  <c r="BZ457" i="6" l="1"/>
  <c r="CD457" i="6"/>
  <c r="AT457" i="6"/>
  <c r="AS457" i="6"/>
  <c r="AO457" i="6"/>
  <c r="AM457" i="6"/>
  <c r="BQ457" i="6"/>
  <c r="BV457" i="6"/>
  <c r="BA457" i="6"/>
  <c r="BN457" i="6"/>
  <c r="BM457" i="6"/>
  <c r="AR457" i="6"/>
  <c r="CF457" i="6"/>
  <c r="BF457" i="6"/>
  <c r="AV457" i="6"/>
  <c r="CB457" i="6"/>
  <c r="BI457" i="6"/>
  <c r="BC457" i="6"/>
  <c r="BJ457" i="6"/>
  <c r="BL457" i="6"/>
  <c r="BT457" i="6"/>
  <c r="CA457" i="6"/>
  <c r="AX457" i="6"/>
  <c r="BY457" i="6"/>
  <c r="CE457" i="6"/>
  <c r="BD457" i="6"/>
  <c r="CM457" i="6"/>
  <c r="BP457" i="6"/>
  <c r="CJ457" i="6"/>
  <c r="CG457" i="6"/>
  <c r="CC457" i="6"/>
  <c r="Y454" i="12"/>
  <c r="AN457" i="6"/>
  <c r="AZ457" i="6"/>
  <c r="AL457" i="6"/>
  <c r="AK457" i="6"/>
  <c r="CL457" i="6"/>
  <c r="BR457" i="6"/>
  <c r="BK457" i="6"/>
  <c r="AW457" i="6"/>
  <c r="CK457" i="6"/>
  <c r="BO457" i="6"/>
  <c r="CH457" i="6"/>
  <c r="D459" i="6"/>
  <c r="AA455" i="5"/>
  <c r="AB455" i="5"/>
  <c r="AQ457" i="6"/>
  <c r="C455" i="6"/>
  <c r="O455" i="5"/>
  <c r="G457" i="12"/>
  <c r="X457" i="5"/>
  <c r="AU457" i="6"/>
  <c r="BG457" i="6"/>
  <c r="X454" i="12"/>
  <c r="W454" i="12"/>
  <c r="N454" i="12"/>
  <c r="F459" i="6"/>
  <c r="E459" i="12"/>
  <c r="B460" i="5"/>
  <c r="AE460" i="5"/>
  <c r="A460" i="12"/>
  <c r="AD460" i="5"/>
  <c r="W460" i="5"/>
  <c r="H460" i="12" s="1"/>
  <c r="B460" i="6"/>
  <c r="F460" i="5"/>
  <c r="E460" i="5"/>
  <c r="H460" i="5"/>
  <c r="J460" i="5"/>
  <c r="D460" i="5"/>
  <c r="B460" i="12" s="1"/>
  <c r="K460" i="5"/>
  <c r="G460" i="5"/>
  <c r="N460" i="5"/>
  <c r="C461" i="5"/>
  <c r="R460" i="5"/>
  <c r="J459" i="12"/>
  <c r="L459" i="12"/>
  <c r="D454" i="12"/>
  <c r="E454" i="6"/>
  <c r="M458" i="6"/>
  <c r="BO458" i="6" s="1"/>
  <c r="N458" i="6"/>
  <c r="CD458" i="6"/>
  <c r="G458" i="6"/>
  <c r="H458" i="6"/>
  <c r="T458" i="5" s="1"/>
  <c r="BQ458" i="6"/>
  <c r="AY457" i="6"/>
  <c r="BS457" i="6"/>
  <c r="BX457" i="6"/>
  <c r="X453" i="12"/>
  <c r="W453" i="12"/>
  <c r="L456" i="5"/>
  <c r="AM456" i="5"/>
  <c r="I456" i="12"/>
  <c r="Z456" i="5"/>
  <c r="I456" i="5"/>
  <c r="AC456" i="5"/>
  <c r="C455" i="12"/>
  <c r="M455" i="12"/>
  <c r="O455" i="12"/>
  <c r="AO455" i="12"/>
  <c r="Y455" i="12" s="1"/>
  <c r="BI458" i="6" l="1"/>
  <c r="BD458" i="6"/>
  <c r="BT458" i="6"/>
  <c r="CF458" i="6"/>
  <c r="CH458" i="6"/>
  <c r="AK458" i="6"/>
  <c r="AW458" i="6"/>
  <c r="N455" i="12"/>
  <c r="BX458" i="6"/>
  <c r="BJ458" i="6"/>
  <c r="CK458" i="6"/>
  <c r="BV458" i="6"/>
  <c r="AA456" i="5"/>
  <c r="AB456" i="5"/>
  <c r="BN458" i="6"/>
  <c r="AU458" i="6"/>
  <c r="AQ458" i="6"/>
  <c r="G458" i="12"/>
  <c r="X458" i="5"/>
  <c r="AJ458" i="6" s="1"/>
  <c r="AZ458" i="6"/>
  <c r="BC458" i="6"/>
  <c r="CL458" i="6"/>
  <c r="AX458" i="6"/>
  <c r="BY458" i="6"/>
  <c r="BZ458" i="6"/>
  <c r="BM458" i="6"/>
  <c r="AN458" i="6"/>
  <c r="CA458" i="6"/>
  <c r="CE458" i="6"/>
  <c r="E461" i="5"/>
  <c r="D461" i="5"/>
  <c r="B461" i="12" s="1"/>
  <c r="AD461" i="5"/>
  <c r="J461" i="5"/>
  <c r="W461" i="5"/>
  <c r="H461" i="12" s="1"/>
  <c r="N461" i="5"/>
  <c r="B461" i="5"/>
  <c r="G461" i="5"/>
  <c r="F461" i="5"/>
  <c r="C462" i="5"/>
  <c r="A461" i="12"/>
  <c r="B461" i="6"/>
  <c r="AE461" i="5"/>
  <c r="K461" i="5"/>
  <c r="R461" i="5"/>
  <c r="H461" i="5"/>
  <c r="T453" i="12"/>
  <c r="U453" i="12"/>
  <c r="V453" i="12"/>
  <c r="C456" i="12"/>
  <c r="AO456" i="12"/>
  <c r="M456" i="12"/>
  <c r="O456" i="12"/>
  <c r="CB458" i="6"/>
  <c r="AL458" i="6"/>
  <c r="AP458" i="6"/>
  <c r="AM458" i="6"/>
  <c r="AO458" i="6"/>
  <c r="BR458" i="6"/>
  <c r="CM458" i="6"/>
  <c r="CC458" i="6"/>
  <c r="AS458" i="6"/>
  <c r="CI458" i="6"/>
  <c r="CG458" i="6"/>
  <c r="BA458" i="6"/>
  <c r="BS458" i="6"/>
  <c r="BE458" i="6"/>
  <c r="L460" i="12"/>
  <c r="J460" i="12"/>
  <c r="D455" i="12"/>
  <c r="E455" i="6"/>
  <c r="X455" i="12"/>
  <c r="W455" i="12"/>
  <c r="D460" i="6"/>
  <c r="C456" i="6"/>
  <c r="O456" i="5"/>
  <c r="AR458" i="6"/>
  <c r="BW458" i="6"/>
  <c r="BH458" i="6"/>
  <c r="BP458" i="6"/>
  <c r="AT458" i="6"/>
  <c r="BG458" i="6"/>
  <c r="CJ458" i="6"/>
  <c r="AY458" i="6"/>
  <c r="BL458" i="6"/>
  <c r="BK458" i="6"/>
  <c r="AV458" i="6"/>
  <c r="BF458" i="6"/>
  <c r="K459" i="12"/>
  <c r="F460" i="6"/>
  <c r="E460" i="12"/>
  <c r="V454" i="12"/>
  <c r="T454" i="12"/>
  <c r="U454" i="12"/>
  <c r="L457" i="5"/>
  <c r="I457" i="12"/>
  <c r="AM457" i="5"/>
  <c r="Z457" i="5"/>
  <c r="I457" i="5"/>
  <c r="AC457" i="5"/>
  <c r="AJ457" i="6"/>
  <c r="N459" i="6"/>
  <c r="H459" i="6"/>
  <c r="T459" i="5" s="1"/>
  <c r="G459" i="6"/>
  <c r="M459" i="6"/>
  <c r="CD459" i="6" s="1"/>
  <c r="BL459" i="6"/>
  <c r="CI459" i="6"/>
  <c r="CC459" i="6"/>
  <c r="AM459" i="6" l="1"/>
  <c r="BA459" i="6"/>
  <c r="AU459" i="6"/>
  <c r="AR459" i="6"/>
  <c r="K460" i="12"/>
  <c r="BF459" i="6"/>
  <c r="BK459" i="6"/>
  <c r="BT459" i="6"/>
  <c r="AT459" i="6"/>
  <c r="AP459" i="6"/>
  <c r="CE459" i="6"/>
  <c r="BE459" i="6"/>
  <c r="BH459" i="6"/>
  <c r="BI459" i="6"/>
  <c r="BR459" i="6"/>
  <c r="BX459" i="6"/>
  <c r="BD459" i="6"/>
  <c r="AL459" i="6"/>
  <c r="BC459" i="6"/>
  <c r="AQ459" i="6"/>
  <c r="BP459" i="6"/>
  <c r="AY459" i="6"/>
  <c r="AN459" i="6"/>
  <c r="BY459" i="6"/>
  <c r="AV459" i="6"/>
  <c r="BG459" i="6"/>
  <c r="CK459" i="6"/>
  <c r="BW459" i="6"/>
  <c r="BJ459" i="6"/>
  <c r="CF459" i="6"/>
  <c r="AK459" i="6"/>
  <c r="AX459" i="6"/>
  <c r="AW459" i="6"/>
  <c r="AZ459" i="6"/>
  <c r="CM459" i="6"/>
  <c r="BZ459" i="6"/>
  <c r="BV459" i="6"/>
  <c r="CB459" i="6"/>
  <c r="N456" i="12"/>
  <c r="BO459" i="6"/>
  <c r="AO459" i="6"/>
  <c r="CG459" i="6"/>
  <c r="BQ459" i="6"/>
  <c r="CJ459" i="6"/>
  <c r="CL459" i="6"/>
  <c r="AA457" i="5"/>
  <c r="AB457" i="5"/>
  <c r="H460" i="6"/>
  <c r="T460" i="5" s="1"/>
  <c r="N460" i="6"/>
  <c r="G460" i="6"/>
  <c r="M460" i="6"/>
  <c r="CI460" i="6" s="1"/>
  <c r="Y456" i="12"/>
  <c r="D461" i="6"/>
  <c r="BM459" i="6"/>
  <c r="CH459" i="6"/>
  <c r="AS459" i="6"/>
  <c r="BS459" i="6"/>
  <c r="BN459" i="6"/>
  <c r="AM458" i="5"/>
  <c r="I458" i="12"/>
  <c r="L458" i="5"/>
  <c r="Z458" i="5"/>
  <c r="I458" i="5"/>
  <c r="AC458" i="5"/>
  <c r="C457" i="12"/>
  <c r="AO457" i="12"/>
  <c r="O457" i="12"/>
  <c r="M457" i="12"/>
  <c r="E456" i="6"/>
  <c r="D456" i="12"/>
  <c r="U455" i="12"/>
  <c r="V455" i="12"/>
  <c r="T455" i="12"/>
  <c r="J461" i="12"/>
  <c r="L461" i="12"/>
  <c r="CA459" i="6"/>
  <c r="G459" i="12"/>
  <c r="X459" i="5"/>
  <c r="C457" i="6"/>
  <c r="O457" i="5"/>
  <c r="E461" i="12"/>
  <c r="F461" i="6"/>
  <c r="AE462" i="5"/>
  <c r="C463" i="5"/>
  <c r="E462" i="5"/>
  <c r="R462" i="5"/>
  <c r="K462" i="5"/>
  <c r="B462" i="5"/>
  <c r="B462" i="6"/>
  <c r="W462" i="5"/>
  <c r="H462" i="12" s="1"/>
  <c r="AD462" i="5"/>
  <c r="A462" i="12"/>
  <c r="N462" i="5"/>
  <c r="J462" i="5"/>
  <c r="G462" i="5"/>
  <c r="D462" i="5"/>
  <c r="B462" i="12" s="1"/>
  <c r="H462" i="5"/>
  <c r="F462" i="5"/>
  <c r="BT460" i="6" l="1"/>
  <c r="CB460" i="6"/>
  <c r="CG460" i="6"/>
  <c r="CA460" i="6"/>
  <c r="AT460" i="6"/>
  <c r="AL460" i="6"/>
  <c r="BE460" i="6"/>
  <c r="K461" i="12"/>
  <c r="CJ460" i="6"/>
  <c r="AV460" i="6"/>
  <c r="BS460" i="6"/>
  <c r="D462" i="6"/>
  <c r="E462" i="12"/>
  <c r="F462" i="6"/>
  <c r="C458" i="12"/>
  <c r="M458" i="12"/>
  <c r="O458" i="12"/>
  <c r="AO458" i="12"/>
  <c r="N461" i="6"/>
  <c r="G461" i="6"/>
  <c r="H461" i="6"/>
  <c r="T461" i="5" s="1"/>
  <c r="M461" i="6"/>
  <c r="BT461" i="6" s="1"/>
  <c r="CH461" i="6"/>
  <c r="AU461" i="6"/>
  <c r="CA461" i="6"/>
  <c r="AS461" i="6"/>
  <c r="CF460" i="6"/>
  <c r="AZ460" i="6"/>
  <c r="BN460" i="6"/>
  <c r="AY460" i="6"/>
  <c r="BO460" i="6"/>
  <c r="BD460" i="6"/>
  <c r="CE460" i="6"/>
  <c r="BW460" i="6"/>
  <c r="AQ460" i="6"/>
  <c r="BH460" i="6"/>
  <c r="AU460" i="6"/>
  <c r="CC460" i="6"/>
  <c r="BX460" i="6"/>
  <c r="BV460" i="6"/>
  <c r="B463" i="5"/>
  <c r="C464" i="5"/>
  <c r="H463" i="5"/>
  <c r="G463" i="5"/>
  <c r="R463" i="5"/>
  <c r="W463" i="5"/>
  <c r="H463" i="12" s="1"/>
  <c r="E463" i="5"/>
  <c r="N463" i="5"/>
  <c r="A463" i="12"/>
  <c r="B463" i="6"/>
  <c r="D463" i="5"/>
  <c r="B463" i="12" s="1"/>
  <c r="AE463" i="5"/>
  <c r="AD463" i="5"/>
  <c r="F463" i="5"/>
  <c r="K463" i="5"/>
  <c r="J463" i="5"/>
  <c r="E457" i="6"/>
  <c r="D457" i="12"/>
  <c r="N457" i="12"/>
  <c r="X456" i="12"/>
  <c r="W456" i="12"/>
  <c r="BA460" i="6"/>
  <c r="AN460" i="6"/>
  <c r="AW460" i="6"/>
  <c r="BM460" i="6"/>
  <c r="BK460" i="6"/>
  <c r="AP460" i="6"/>
  <c r="BR460" i="6"/>
  <c r="AS460" i="6"/>
  <c r="BG460" i="6"/>
  <c r="CL460" i="6"/>
  <c r="Y457" i="12"/>
  <c r="AA458" i="5"/>
  <c r="AB458" i="5"/>
  <c r="AX460" i="6"/>
  <c r="AM460" i="6"/>
  <c r="BY460" i="6"/>
  <c r="BZ460" i="6"/>
  <c r="AK460" i="6"/>
  <c r="CM460" i="6"/>
  <c r="BC460" i="6"/>
  <c r="AO460" i="6"/>
  <c r="BQ460" i="6"/>
  <c r="CH460" i="6"/>
  <c r="BP460" i="6"/>
  <c r="BL460" i="6"/>
  <c r="BF460" i="6"/>
  <c r="L462" i="12"/>
  <c r="J462" i="12"/>
  <c r="I459" i="12"/>
  <c r="L459" i="5"/>
  <c r="AM459" i="5"/>
  <c r="Z459" i="5"/>
  <c r="I459" i="5"/>
  <c r="AC459" i="5"/>
  <c r="AJ459" i="6"/>
  <c r="C458" i="6"/>
  <c r="O458" i="5"/>
  <c r="BI460" i="6"/>
  <c r="AR460" i="6"/>
  <c r="CD460" i="6"/>
  <c r="BJ460" i="6"/>
  <c r="CK460" i="6"/>
  <c r="G460" i="12"/>
  <c r="X460" i="5"/>
  <c r="AJ460" i="6" s="1"/>
  <c r="BM461" i="6" l="1"/>
  <c r="AZ461" i="6"/>
  <c r="AY461" i="6"/>
  <c r="BW461" i="6"/>
  <c r="BH461" i="6"/>
  <c r="BV461" i="6"/>
  <c r="BA461" i="6"/>
  <c r="AN461" i="6"/>
  <c r="BK461" i="6"/>
  <c r="CC461" i="6"/>
  <c r="BC461" i="6"/>
  <c r="CF461" i="6"/>
  <c r="BJ461" i="6"/>
  <c r="AX461" i="6"/>
  <c r="BD461" i="6"/>
  <c r="BP461" i="6"/>
  <c r="BL461" i="6"/>
  <c r="CJ461" i="6"/>
  <c r="CE461" i="6"/>
  <c r="BN461" i="6"/>
  <c r="AR461" i="6"/>
  <c r="AV461" i="6"/>
  <c r="BE461" i="6"/>
  <c r="BF461" i="6"/>
  <c r="Y458" i="12"/>
  <c r="E458" i="6"/>
  <c r="D458" i="12"/>
  <c r="C459" i="12"/>
  <c r="O459" i="12"/>
  <c r="AO459" i="12"/>
  <c r="Y459" i="12" s="1"/>
  <c r="M459" i="12"/>
  <c r="G461" i="12"/>
  <c r="X461" i="5"/>
  <c r="AQ461" i="6"/>
  <c r="BQ461" i="6"/>
  <c r="AO461" i="6"/>
  <c r="W458" i="12"/>
  <c r="X458" i="12"/>
  <c r="AA459" i="5"/>
  <c r="AB459" i="5"/>
  <c r="K462" i="12"/>
  <c r="V456" i="12"/>
  <c r="U456" i="12"/>
  <c r="T456" i="12"/>
  <c r="AJ461" i="6"/>
  <c r="CM461" i="6"/>
  <c r="CG461" i="6"/>
  <c r="AW461" i="6"/>
  <c r="BR461" i="6"/>
  <c r="AL461" i="6"/>
  <c r="N458" i="12"/>
  <c r="X457" i="12"/>
  <c r="W457" i="12"/>
  <c r="J463" i="12"/>
  <c r="L463" i="12"/>
  <c r="B464" i="5"/>
  <c r="K464" i="5"/>
  <c r="D464" i="5"/>
  <c r="B464" i="12" s="1"/>
  <c r="E464" i="5"/>
  <c r="AD464" i="5"/>
  <c r="B464" i="6"/>
  <c r="G464" i="5"/>
  <c r="F464" i="5"/>
  <c r="AE464" i="5"/>
  <c r="H464" i="5"/>
  <c r="W464" i="5"/>
  <c r="H464" i="12" s="1"/>
  <c r="J464" i="5"/>
  <c r="N464" i="5"/>
  <c r="R464" i="5"/>
  <c r="C465" i="5"/>
  <c r="A464" i="12"/>
  <c r="CK461" i="6"/>
  <c r="CL461" i="6"/>
  <c r="BZ461" i="6"/>
  <c r="BO461" i="6"/>
  <c r="BI461" i="6"/>
  <c r="AM461" i="6"/>
  <c r="BX461" i="6"/>
  <c r="BS461" i="6"/>
  <c r="AK461" i="6"/>
  <c r="M462" i="6"/>
  <c r="BK462" i="6" s="1"/>
  <c r="G462" i="6"/>
  <c r="BL462" i="6"/>
  <c r="CH462" i="6"/>
  <c r="BE462" i="6"/>
  <c r="CD462" i="6"/>
  <c r="BR462" i="6"/>
  <c r="BT462" i="6"/>
  <c r="N462" i="6"/>
  <c r="BM462" i="6"/>
  <c r="CB462" i="6"/>
  <c r="BV462" i="6"/>
  <c r="CA462" i="6"/>
  <c r="BJ462" i="6"/>
  <c r="CL462" i="6"/>
  <c r="BQ462" i="6"/>
  <c r="BN462" i="6"/>
  <c r="BP462" i="6"/>
  <c r="BH462" i="6"/>
  <c r="H462" i="6"/>
  <c r="T462" i="5" s="1"/>
  <c r="CJ462" i="6"/>
  <c r="BF462" i="6"/>
  <c r="CF462" i="6"/>
  <c r="BC462" i="6"/>
  <c r="BZ462" i="6"/>
  <c r="BX462" i="6"/>
  <c r="BD462" i="6"/>
  <c r="CG462" i="6"/>
  <c r="CC462" i="6"/>
  <c r="BO462" i="6"/>
  <c r="BY462" i="6"/>
  <c r="CK462" i="6"/>
  <c r="CM462" i="6"/>
  <c r="CE462" i="6"/>
  <c r="AM462" i="6"/>
  <c r="BW462" i="6"/>
  <c r="BG462" i="6"/>
  <c r="AW462" i="6"/>
  <c r="AM460" i="5"/>
  <c r="L460" i="5"/>
  <c r="I460" i="12"/>
  <c r="Z460" i="5"/>
  <c r="I460" i="5"/>
  <c r="AC460" i="5"/>
  <c r="C459" i="6"/>
  <c r="O459" i="5"/>
  <c r="D463" i="6"/>
  <c r="F463" i="6"/>
  <c r="E463" i="12"/>
  <c r="AP461" i="6"/>
  <c r="CB461" i="6"/>
  <c r="BY461" i="6"/>
  <c r="BG461" i="6"/>
  <c r="CD461" i="6"/>
  <c r="CI461" i="6"/>
  <c r="AT461" i="6"/>
  <c r="AQ462" i="6" l="1"/>
  <c r="AP462" i="6"/>
  <c r="N459" i="12"/>
  <c r="AU462" i="6"/>
  <c r="AZ462" i="6"/>
  <c r="AX462" i="6"/>
  <c r="C460" i="6"/>
  <c r="O460" i="5"/>
  <c r="AS462" i="6"/>
  <c r="AN462" i="6"/>
  <c r="AV462" i="6"/>
  <c r="F464" i="6"/>
  <c r="E464" i="12"/>
  <c r="V457" i="12"/>
  <c r="T457" i="12"/>
  <c r="U457" i="12"/>
  <c r="V458" i="12"/>
  <c r="U458" i="12"/>
  <c r="T458" i="12"/>
  <c r="I461" i="12"/>
  <c r="L461" i="5"/>
  <c r="AM461" i="5"/>
  <c r="I461" i="5"/>
  <c r="Z461" i="5"/>
  <c r="AC461" i="5"/>
  <c r="H463" i="6"/>
  <c r="T463" i="5" s="1"/>
  <c r="M463" i="6"/>
  <c r="BR463" i="6" s="1"/>
  <c r="BJ463" i="6"/>
  <c r="CD463" i="6"/>
  <c r="BK463" i="6"/>
  <c r="G463" i="6"/>
  <c r="BG463" i="6"/>
  <c r="BD463" i="6"/>
  <c r="BA463" i="6"/>
  <c r="CA463" i="6"/>
  <c r="CI463" i="6"/>
  <c r="CG463" i="6"/>
  <c r="BX463" i="6"/>
  <c r="BH463" i="6"/>
  <c r="CH463" i="6"/>
  <c r="N463" i="6"/>
  <c r="AR462" i="6"/>
  <c r="BI462" i="6"/>
  <c r="AY462" i="6"/>
  <c r="BS462" i="6"/>
  <c r="CI462" i="6"/>
  <c r="D464" i="6"/>
  <c r="K463" i="12"/>
  <c r="D459" i="12"/>
  <c r="E459" i="6"/>
  <c r="AA460" i="5"/>
  <c r="AB460" i="5"/>
  <c r="G462" i="12"/>
  <c r="X462" i="5"/>
  <c r="AT462" i="6"/>
  <c r="AK462" i="6"/>
  <c r="AL462" i="6"/>
  <c r="BA462" i="6"/>
  <c r="J464" i="12"/>
  <c r="L464" i="12"/>
  <c r="C460" i="12"/>
  <c r="O460" i="12"/>
  <c r="AO460" i="12"/>
  <c r="Y460" i="12" s="1"/>
  <c r="M460" i="12"/>
  <c r="AO462" i="6"/>
  <c r="H465" i="5"/>
  <c r="AD465" i="5"/>
  <c r="N465" i="5"/>
  <c r="R465" i="5"/>
  <c r="B465" i="5"/>
  <c r="E465" i="5"/>
  <c r="A465" i="12"/>
  <c r="G465" i="5"/>
  <c r="W465" i="5"/>
  <c r="H465" i="12" s="1"/>
  <c r="D465" i="5"/>
  <c r="B465" i="12" s="1"/>
  <c r="B465" i="6"/>
  <c r="F465" i="5"/>
  <c r="AE465" i="5"/>
  <c r="K465" i="5"/>
  <c r="J465" i="5"/>
  <c r="C466" i="5"/>
  <c r="X459" i="12"/>
  <c r="W459" i="12"/>
  <c r="BC463" i="6" l="1"/>
  <c r="BP463" i="6"/>
  <c r="AK463" i="6"/>
  <c r="CE463" i="6"/>
  <c r="N460" i="12"/>
  <c r="BI463" i="6"/>
  <c r="AW463" i="6"/>
  <c r="CF463" i="6"/>
  <c r="AV463" i="6"/>
  <c r="AN463" i="6"/>
  <c r="BY463" i="6"/>
  <c r="AM463" i="6"/>
  <c r="AQ463" i="6"/>
  <c r="BN463" i="6"/>
  <c r="BZ463" i="6"/>
  <c r="BF463" i="6"/>
  <c r="CM463" i="6"/>
  <c r="BL463" i="6"/>
  <c r="BS463" i="6"/>
  <c r="AU463" i="6"/>
  <c r="BW463" i="6"/>
  <c r="K464" i="12"/>
  <c r="CB463" i="6"/>
  <c r="AS463" i="6"/>
  <c r="AT463" i="6"/>
  <c r="CL463" i="6"/>
  <c r="BE463" i="6"/>
  <c r="BO463" i="6"/>
  <c r="AZ463" i="6"/>
  <c r="AY463" i="6"/>
  <c r="CK463" i="6"/>
  <c r="AX463" i="6"/>
  <c r="BT463" i="6"/>
  <c r="G463" i="12"/>
  <c r="X463" i="5"/>
  <c r="W460" i="12"/>
  <c r="X460" i="12"/>
  <c r="AM462" i="5"/>
  <c r="L462" i="5"/>
  <c r="I462" i="12"/>
  <c r="Z462" i="5"/>
  <c r="I462" i="5"/>
  <c r="AC462" i="5"/>
  <c r="G464" i="6"/>
  <c r="N464" i="6"/>
  <c r="M464" i="6"/>
  <c r="CK464" i="6" s="1"/>
  <c r="H464" i="6"/>
  <c r="T464" i="5" s="1"/>
  <c r="C461" i="6"/>
  <c r="O461" i="5"/>
  <c r="F466" i="5"/>
  <c r="G466" i="5"/>
  <c r="AD466" i="5"/>
  <c r="N466" i="5"/>
  <c r="A466" i="12"/>
  <c r="H466" i="5"/>
  <c r="E466" i="5"/>
  <c r="B466" i="6"/>
  <c r="R466" i="5"/>
  <c r="D466" i="5"/>
  <c r="B466" i="12" s="1"/>
  <c r="C467" i="5"/>
  <c r="K466" i="5"/>
  <c r="J466" i="5"/>
  <c r="B466" i="5"/>
  <c r="AE466" i="5"/>
  <c r="W466" i="5"/>
  <c r="H466" i="12" s="1"/>
  <c r="E465" i="12"/>
  <c r="F465" i="6"/>
  <c r="AP463" i="6"/>
  <c r="CJ463" i="6"/>
  <c r="BM463" i="6"/>
  <c r="AB461" i="5"/>
  <c r="AA461" i="5"/>
  <c r="C461" i="12"/>
  <c r="O461" i="12"/>
  <c r="AO461" i="12"/>
  <c r="M461" i="12"/>
  <c r="E460" i="6"/>
  <c r="D460" i="12"/>
  <c r="V459" i="12"/>
  <c r="T459" i="12"/>
  <c r="U459" i="12"/>
  <c r="J465" i="12"/>
  <c r="L465" i="12"/>
  <c r="D465" i="6"/>
  <c r="AJ462" i="6"/>
  <c r="AL463" i="6"/>
  <c r="AO463" i="6"/>
  <c r="BV463" i="6"/>
  <c r="AR463" i="6"/>
  <c r="BQ463" i="6"/>
  <c r="CC463" i="6"/>
  <c r="N461" i="12" l="1"/>
  <c r="K465" i="12"/>
  <c r="Y461" i="12"/>
  <c r="BK464" i="6"/>
  <c r="AN464" i="6"/>
  <c r="BR464" i="6"/>
  <c r="AM464" i="6"/>
  <c r="AK464" i="6"/>
  <c r="AL464" i="6"/>
  <c r="BG464" i="6"/>
  <c r="BS464" i="6"/>
  <c r="BZ464" i="6"/>
  <c r="AW464" i="6"/>
  <c r="BP464" i="6"/>
  <c r="BM464" i="6"/>
  <c r="CD464" i="6"/>
  <c r="AZ464" i="6"/>
  <c r="CM464" i="6"/>
  <c r="BX464" i="6"/>
  <c r="AB462" i="5"/>
  <c r="AA462" i="5"/>
  <c r="G464" i="12"/>
  <c r="X464" i="5"/>
  <c r="CE464" i="6"/>
  <c r="CL464" i="6"/>
  <c r="CF464" i="6"/>
  <c r="AQ464" i="6"/>
  <c r="AT464" i="6"/>
  <c r="CA464" i="6"/>
  <c r="BQ464" i="6"/>
  <c r="BO464" i="6"/>
  <c r="CC464" i="6"/>
  <c r="AY464" i="6"/>
  <c r="BA464" i="6"/>
  <c r="CI464" i="6"/>
  <c r="BD464" i="6"/>
  <c r="C462" i="12"/>
  <c r="AO462" i="12"/>
  <c r="O462" i="12"/>
  <c r="M462" i="12"/>
  <c r="V460" i="12"/>
  <c r="U460" i="12"/>
  <c r="T460" i="12"/>
  <c r="D466" i="6"/>
  <c r="D461" i="12"/>
  <c r="E461" i="6"/>
  <c r="BV464" i="6"/>
  <c r="BF464" i="6"/>
  <c r="AX464" i="6"/>
  <c r="AR464" i="6"/>
  <c r="BI464" i="6"/>
  <c r="BN464" i="6"/>
  <c r="AU464" i="6"/>
  <c r="BJ464" i="6"/>
  <c r="CB464" i="6"/>
  <c r="CG464" i="6"/>
  <c r="CH464" i="6"/>
  <c r="CJ464" i="6"/>
  <c r="C462" i="6"/>
  <c r="O462" i="5"/>
  <c r="I463" i="12"/>
  <c r="L463" i="5"/>
  <c r="AM463" i="5"/>
  <c r="Z463" i="5"/>
  <c r="I463" i="5"/>
  <c r="AC463" i="5"/>
  <c r="AJ463" i="6"/>
  <c r="M465" i="6"/>
  <c r="BG465" i="6" s="1"/>
  <c r="N465" i="6"/>
  <c r="CG465" i="6"/>
  <c r="BT465" i="6"/>
  <c r="BQ465" i="6"/>
  <c r="BF465" i="6"/>
  <c r="CI465" i="6"/>
  <c r="CA465" i="6"/>
  <c r="CB465" i="6"/>
  <c r="BN465" i="6"/>
  <c r="BV465" i="6"/>
  <c r="BD465" i="6"/>
  <c r="CD465" i="6"/>
  <c r="CL465" i="6"/>
  <c r="H465" i="6"/>
  <c r="T465" i="5" s="1"/>
  <c r="BP465" i="6"/>
  <c r="BH465" i="6"/>
  <c r="BO465" i="6"/>
  <c r="CM465" i="6"/>
  <c r="CC465" i="6"/>
  <c r="BK465" i="6"/>
  <c r="BW465" i="6"/>
  <c r="CE465" i="6"/>
  <c r="BE465" i="6"/>
  <c r="BC465" i="6"/>
  <c r="BM465" i="6"/>
  <c r="BS465" i="6"/>
  <c r="BZ465" i="6"/>
  <c r="G465" i="6"/>
  <c r="BY465" i="6"/>
  <c r="AZ465" i="6"/>
  <c r="CH465" i="6"/>
  <c r="CF465" i="6"/>
  <c r="CJ465" i="6"/>
  <c r="BL465" i="6"/>
  <c r="BI465" i="6"/>
  <c r="BJ465" i="6"/>
  <c r="CK465" i="6"/>
  <c r="W461" i="12"/>
  <c r="X461" i="12"/>
  <c r="B467" i="5"/>
  <c r="A467" i="12"/>
  <c r="K467" i="5"/>
  <c r="J467" i="5"/>
  <c r="R467" i="5"/>
  <c r="G467" i="5"/>
  <c r="H467" i="5"/>
  <c r="F467" i="5"/>
  <c r="N467" i="5"/>
  <c r="E467" i="5"/>
  <c r="D467" i="5"/>
  <c r="B467" i="12" s="1"/>
  <c r="C468" i="5"/>
  <c r="W467" i="5"/>
  <c r="H467" i="12" s="1"/>
  <c r="B467" i="6"/>
  <c r="AD467" i="5"/>
  <c r="AE467" i="5"/>
  <c r="F466" i="6"/>
  <c r="E466" i="12"/>
  <c r="L466" i="12"/>
  <c r="J466" i="12"/>
  <c r="BW464" i="6"/>
  <c r="AJ464" i="6"/>
  <c r="AP464" i="6"/>
  <c r="BT464" i="6"/>
  <c r="AS464" i="6"/>
  <c r="BC464" i="6"/>
  <c r="BL464" i="6"/>
  <c r="AO464" i="6"/>
  <c r="AV464" i="6"/>
  <c r="BE464" i="6"/>
  <c r="BH464" i="6"/>
  <c r="BY464" i="6"/>
  <c r="Y462" i="12" l="1"/>
  <c r="BR465" i="6"/>
  <c r="K466" i="12"/>
  <c r="AK465" i="6"/>
  <c r="AT465" i="6"/>
  <c r="AY465" i="6"/>
  <c r="AM465" i="6"/>
  <c r="AU465" i="6"/>
  <c r="D467" i="6"/>
  <c r="D468" i="5"/>
  <c r="B468" i="12" s="1"/>
  <c r="B468" i="5"/>
  <c r="K468" i="5"/>
  <c r="AD468" i="5"/>
  <c r="W468" i="5"/>
  <c r="H468" i="12" s="1"/>
  <c r="J468" i="5"/>
  <c r="G468" i="5"/>
  <c r="R468" i="5"/>
  <c r="A468" i="12"/>
  <c r="N468" i="5"/>
  <c r="B468" i="6"/>
  <c r="C469" i="5"/>
  <c r="H468" i="5"/>
  <c r="E468" i="5"/>
  <c r="F468" i="5"/>
  <c r="AE468" i="5"/>
  <c r="V461" i="12"/>
  <c r="T461" i="12"/>
  <c r="U461" i="12"/>
  <c r="G465" i="12"/>
  <c r="X465" i="5"/>
  <c r="AW465" i="6"/>
  <c r="AQ465" i="6"/>
  <c r="AR465" i="6"/>
  <c r="AP465" i="6"/>
  <c r="BX465" i="6"/>
  <c r="AN465" i="6"/>
  <c r="C463" i="6"/>
  <c r="O463" i="5"/>
  <c r="N462" i="12"/>
  <c r="L464" i="5"/>
  <c r="I464" i="12"/>
  <c r="AM464" i="5"/>
  <c r="I464" i="5"/>
  <c r="Z464" i="5"/>
  <c r="AC464" i="5"/>
  <c r="L467" i="12"/>
  <c r="J467" i="12"/>
  <c r="BA465" i="6"/>
  <c r="AL465" i="6"/>
  <c r="AO465" i="6"/>
  <c r="AX465" i="6"/>
  <c r="AS465" i="6"/>
  <c r="AV465" i="6"/>
  <c r="C463" i="12"/>
  <c r="M463" i="12"/>
  <c r="O463" i="12"/>
  <c r="AO463" i="12"/>
  <c r="Y463" i="12" s="1"/>
  <c r="W462" i="12"/>
  <c r="X462" i="12"/>
  <c r="F467" i="6"/>
  <c r="E467" i="12"/>
  <c r="AB463" i="5"/>
  <c r="AA463" i="5"/>
  <c r="E462" i="6"/>
  <c r="D462" i="12"/>
  <c r="G466" i="6"/>
  <c r="H466" i="6"/>
  <c r="T466" i="5" s="1"/>
  <c r="M466" i="6"/>
  <c r="BD466" i="6" s="1"/>
  <c r="CF466" i="6"/>
  <c r="BN466" i="6"/>
  <c r="BW466" i="6"/>
  <c r="BQ466" i="6"/>
  <c r="CD466" i="6"/>
  <c r="N466" i="6"/>
  <c r="AY466" i="6"/>
  <c r="BY466" i="6"/>
  <c r="AR466" i="6" l="1"/>
  <c r="BT466" i="6"/>
  <c r="BE466" i="6"/>
  <c r="BF466" i="6"/>
  <c r="BL466" i="6"/>
  <c r="CI466" i="6"/>
  <c r="CK466" i="6"/>
  <c r="AK466" i="6"/>
  <c r="AQ466" i="6"/>
  <c r="BV466" i="6"/>
  <c r="AZ466" i="6"/>
  <c r="CM466" i="6"/>
  <c r="CC466" i="6"/>
  <c r="CH466" i="6"/>
  <c r="BO466" i="6"/>
  <c r="AP466" i="6"/>
  <c r="BS466" i="6"/>
  <c r="CJ466" i="6"/>
  <c r="CB466" i="6"/>
  <c r="BX466" i="6"/>
  <c r="BZ466" i="6"/>
  <c r="BP466" i="6"/>
  <c r="BC466" i="6"/>
  <c r="BI466" i="6"/>
  <c r="G466" i="12"/>
  <c r="X466" i="5"/>
  <c r="AM466" i="6"/>
  <c r="V462" i="12"/>
  <c r="U462" i="12"/>
  <c r="T462" i="12"/>
  <c r="C464" i="12"/>
  <c r="M464" i="12"/>
  <c r="O464" i="12"/>
  <c r="AO464" i="12"/>
  <c r="L468" i="12"/>
  <c r="J468" i="12"/>
  <c r="AN466" i="6"/>
  <c r="AL466" i="6"/>
  <c r="X463" i="12"/>
  <c r="W463" i="12"/>
  <c r="AB464" i="5"/>
  <c r="AA464" i="5"/>
  <c r="C464" i="6"/>
  <c r="O464" i="5"/>
  <c r="H469" i="5"/>
  <c r="E469" i="5"/>
  <c r="F469" i="5"/>
  <c r="K469" i="5"/>
  <c r="W469" i="5"/>
  <c r="H469" i="12" s="1"/>
  <c r="A469" i="12"/>
  <c r="AD469" i="5"/>
  <c r="C470" i="5"/>
  <c r="AE469" i="5"/>
  <c r="G469" i="5"/>
  <c r="D469" i="5"/>
  <c r="B469" i="12" s="1"/>
  <c r="J469" i="5"/>
  <c r="B469" i="5"/>
  <c r="R469" i="5"/>
  <c r="N469" i="5"/>
  <c r="B469" i="6"/>
  <c r="BJ466" i="6"/>
  <c r="AU466" i="6"/>
  <c r="BR466" i="6"/>
  <c r="AO466" i="6"/>
  <c r="AS466" i="6"/>
  <c r="AT466" i="6"/>
  <c r="AV466" i="6"/>
  <c r="BG466" i="6"/>
  <c r="BH466" i="6"/>
  <c r="BA466" i="6"/>
  <c r="CA466" i="6"/>
  <c r="CE466" i="6"/>
  <c r="CL466" i="6"/>
  <c r="CG466" i="6"/>
  <c r="BM466" i="6"/>
  <c r="N463" i="12"/>
  <c r="E468" i="12"/>
  <c r="F468" i="6"/>
  <c r="G467" i="6"/>
  <c r="N467" i="6"/>
  <c r="H467" i="6"/>
  <c r="T467" i="5" s="1"/>
  <c r="M467" i="6"/>
  <c r="BN467" i="6" s="1"/>
  <c r="AW466" i="6"/>
  <c r="BK466" i="6"/>
  <c r="AX466" i="6"/>
  <c r="K467" i="12"/>
  <c r="D463" i="12"/>
  <c r="E463" i="6"/>
  <c r="L465" i="5"/>
  <c r="AM465" i="5"/>
  <c r="I465" i="12"/>
  <c r="I465" i="5"/>
  <c r="Z465" i="5"/>
  <c r="AC465" i="5"/>
  <c r="AJ465" i="6"/>
  <c r="D468" i="6"/>
  <c r="BI467" i="6" l="1"/>
  <c r="CE467" i="6"/>
  <c r="AU467" i="6"/>
  <c r="K468" i="12"/>
  <c r="BA467" i="6"/>
  <c r="BV467" i="6"/>
  <c r="CD467" i="6"/>
  <c r="BM467" i="6"/>
  <c r="AW467" i="6"/>
  <c r="BL467" i="6"/>
  <c r="AZ467" i="6"/>
  <c r="BT467" i="6"/>
  <c r="CB467" i="6"/>
  <c r="C465" i="6"/>
  <c r="O465" i="5"/>
  <c r="CM467" i="6"/>
  <c r="AT467" i="6"/>
  <c r="AL467" i="6"/>
  <c r="BJ467" i="6"/>
  <c r="CH467" i="6"/>
  <c r="CI467" i="6"/>
  <c r="CF467" i="6"/>
  <c r="BP467" i="6"/>
  <c r="AX467" i="6"/>
  <c r="BE467" i="6"/>
  <c r="BQ467" i="6"/>
  <c r="AV467" i="6"/>
  <c r="AP467" i="6"/>
  <c r="CG467" i="6"/>
  <c r="CK467" i="6"/>
  <c r="AK467" i="6"/>
  <c r="BH467" i="6"/>
  <c r="BF467" i="6"/>
  <c r="D469" i="6"/>
  <c r="AD470" i="5"/>
  <c r="G470" i="5"/>
  <c r="B470" i="6"/>
  <c r="A470" i="12"/>
  <c r="D470" i="5"/>
  <c r="B470" i="12" s="1"/>
  <c r="C471" i="5"/>
  <c r="B470" i="5"/>
  <c r="K470" i="5"/>
  <c r="E470" i="5"/>
  <c r="J470" i="5"/>
  <c r="AE470" i="5"/>
  <c r="W470" i="5"/>
  <c r="H470" i="12" s="1"/>
  <c r="H470" i="5"/>
  <c r="R470" i="5"/>
  <c r="F470" i="5"/>
  <c r="N470" i="5"/>
  <c r="D464" i="12"/>
  <c r="E464" i="6"/>
  <c r="T463" i="12"/>
  <c r="V463" i="12"/>
  <c r="U463" i="12"/>
  <c r="AB465" i="5"/>
  <c r="AA465" i="5"/>
  <c r="H468" i="6"/>
  <c r="T468" i="5" s="1"/>
  <c r="G468" i="6"/>
  <c r="N468" i="6"/>
  <c r="M468" i="6"/>
  <c r="BG468" i="6" s="1"/>
  <c r="C465" i="12"/>
  <c r="O465" i="12"/>
  <c r="M465" i="12"/>
  <c r="AO465" i="12"/>
  <c r="CJ467" i="6"/>
  <c r="AY467" i="6"/>
  <c r="AN467" i="6"/>
  <c r="AR467" i="6"/>
  <c r="BX467" i="6"/>
  <c r="BC467" i="6"/>
  <c r="BW467" i="6"/>
  <c r="AS467" i="6"/>
  <c r="BY467" i="6"/>
  <c r="BR467" i="6"/>
  <c r="BZ467" i="6"/>
  <c r="BD467" i="6"/>
  <c r="F469" i="6"/>
  <c r="E469" i="12"/>
  <c r="Y464" i="12"/>
  <c r="AM466" i="5"/>
  <c r="L466" i="5"/>
  <c r="I466" i="12"/>
  <c r="Z466" i="5"/>
  <c r="I466" i="5"/>
  <c r="AC466" i="5"/>
  <c r="AJ466" i="6"/>
  <c r="G467" i="12"/>
  <c r="X467" i="5"/>
  <c r="CC467" i="6"/>
  <c r="BS467" i="6"/>
  <c r="AQ467" i="6"/>
  <c r="CA467" i="6"/>
  <c r="BK467" i="6"/>
  <c r="BG467" i="6"/>
  <c r="CL467" i="6"/>
  <c r="AM467" i="6"/>
  <c r="AO467" i="6"/>
  <c r="BO467" i="6"/>
  <c r="L469" i="12"/>
  <c r="J469" i="12"/>
  <c r="N464" i="12"/>
  <c r="K469" i="12" l="1"/>
  <c r="AA466" i="5"/>
  <c r="AB466" i="5"/>
  <c r="W464" i="12"/>
  <c r="X464" i="12"/>
  <c r="AN468" i="6"/>
  <c r="BJ468" i="6"/>
  <c r="CD468" i="6"/>
  <c r="CG468" i="6"/>
  <c r="AK468" i="6"/>
  <c r="AY468" i="6"/>
  <c r="BV468" i="6"/>
  <c r="AQ468" i="6"/>
  <c r="BC468" i="6"/>
  <c r="CE468" i="6"/>
  <c r="BP468" i="6"/>
  <c r="CF468" i="6"/>
  <c r="AV468" i="6"/>
  <c r="G468" i="12"/>
  <c r="X468" i="5"/>
  <c r="AJ468" i="6" s="1"/>
  <c r="E470" i="12"/>
  <c r="F470" i="6"/>
  <c r="C466" i="12"/>
  <c r="O466" i="12"/>
  <c r="M466" i="12"/>
  <c r="AO466" i="12"/>
  <c r="N465" i="12"/>
  <c r="AS468" i="6"/>
  <c r="CM468" i="6"/>
  <c r="BF468" i="6"/>
  <c r="BO468" i="6"/>
  <c r="BD468" i="6"/>
  <c r="BE468" i="6"/>
  <c r="BN468" i="6"/>
  <c r="AP468" i="6"/>
  <c r="CL468" i="6"/>
  <c r="BQ468" i="6"/>
  <c r="BI468" i="6"/>
  <c r="BY468" i="6"/>
  <c r="AM468" i="6"/>
  <c r="C466" i="6"/>
  <c r="O466" i="5"/>
  <c r="AO468" i="6"/>
  <c r="AL468" i="6"/>
  <c r="AZ468" i="6"/>
  <c r="BW468" i="6"/>
  <c r="CK468" i="6"/>
  <c r="CI468" i="6"/>
  <c r="CA468" i="6"/>
  <c r="CC468" i="6"/>
  <c r="AR468" i="6"/>
  <c r="BS468" i="6"/>
  <c r="AX468" i="6"/>
  <c r="BR468" i="6"/>
  <c r="D470" i="6"/>
  <c r="J470" i="12"/>
  <c r="L470" i="12"/>
  <c r="D465" i="12"/>
  <c r="E465" i="6"/>
  <c r="L467" i="5"/>
  <c r="AM467" i="5"/>
  <c r="I467" i="12"/>
  <c r="I467" i="5"/>
  <c r="Z467" i="5"/>
  <c r="AC467" i="5"/>
  <c r="AJ467" i="6"/>
  <c r="Y465" i="12"/>
  <c r="BL468" i="6"/>
  <c r="CH468" i="6"/>
  <c r="BZ468" i="6"/>
  <c r="AW468" i="6"/>
  <c r="AU468" i="6"/>
  <c r="BM468" i="6"/>
  <c r="BX468" i="6"/>
  <c r="BK468" i="6"/>
  <c r="CB468" i="6"/>
  <c r="BH468" i="6"/>
  <c r="BA468" i="6"/>
  <c r="AT468" i="6"/>
  <c r="BT468" i="6"/>
  <c r="CJ468" i="6"/>
  <c r="C472" i="5"/>
  <c r="F471" i="5"/>
  <c r="K471" i="5"/>
  <c r="R471" i="5"/>
  <c r="E471" i="5"/>
  <c r="H471" i="5"/>
  <c r="G471" i="5"/>
  <c r="B471" i="6"/>
  <c r="W471" i="5"/>
  <c r="H471" i="12" s="1"/>
  <c r="N471" i="5"/>
  <c r="B471" i="5"/>
  <c r="AD471" i="5"/>
  <c r="D471" i="5"/>
  <c r="B471" i="12" s="1"/>
  <c r="A471" i="12"/>
  <c r="J471" i="5"/>
  <c r="AE471" i="5"/>
  <c r="M469" i="6"/>
  <c r="BZ469" i="6" s="1"/>
  <c r="H469" i="6"/>
  <c r="T469" i="5" s="1"/>
  <c r="BK469" i="6"/>
  <c r="BG469" i="6"/>
  <c r="CI469" i="6"/>
  <c r="BE469" i="6"/>
  <c r="BN469" i="6"/>
  <c r="CJ469" i="6"/>
  <c r="N469" i="6"/>
  <c r="BJ469" i="6"/>
  <c r="CD469" i="6"/>
  <c r="BP469" i="6"/>
  <c r="BD469" i="6"/>
  <c r="BH469" i="6"/>
  <c r="CA469" i="6"/>
  <c r="CE469" i="6"/>
  <c r="BI469" i="6"/>
  <c r="CK469" i="6"/>
  <c r="BV469" i="6"/>
  <c r="BY469" i="6"/>
  <c r="G469" i="6"/>
  <c r="BQ469" i="6"/>
  <c r="CL469" i="6"/>
  <c r="BM469" i="6"/>
  <c r="BS469" i="6"/>
  <c r="AW469" i="6"/>
  <c r="BO469" i="6"/>
  <c r="BX469" i="6"/>
  <c r="BC469" i="6"/>
  <c r="CG469" i="6"/>
  <c r="BT469" i="6" l="1"/>
  <c r="CH469" i="6"/>
  <c r="CC469" i="6"/>
  <c r="BL469" i="6"/>
  <c r="BW469" i="6"/>
  <c r="BA469" i="6"/>
  <c r="AQ469" i="6"/>
  <c r="AR469" i="6"/>
  <c r="AU469" i="6"/>
  <c r="AT469" i="6"/>
  <c r="AX469" i="6"/>
  <c r="K470" i="12"/>
  <c r="AL469" i="6"/>
  <c r="CB469" i="6"/>
  <c r="AO469" i="6"/>
  <c r="BF469" i="6"/>
  <c r="CM469" i="6"/>
  <c r="AN469" i="6"/>
  <c r="AK469" i="6"/>
  <c r="BR469" i="6"/>
  <c r="CF469" i="6"/>
  <c r="AY469" i="6"/>
  <c r="AZ469" i="6"/>
  <c r="AM469" i="6"/>
  <c r="AS469" i="6"/>
  <c r="AV469" i="6"/>
  <c r="AA467" i="5"/>
  <c r="AB467" i="5"/>
  <c r="C467" i="6"/>
  <c r="O467" i="5"/>
  <c r="H470" i="6"/>
  <c r="T470" i="5" s="1"/>
  <c r="M470" i="6"/>
  <c r="BH470" i="6" s="1"/>
  <c r="CJ470" i="6"/>
  <c r="BC470" i="6"/>
  <c r="BV470" i="6"/>
  <c r="BX470" i="6"/>
  <c r="BT470" i="6"/>
  <c r="BD470" i="6"/>
  <c r="AR470" i="6"/>
  <c r="AW470" i="6"/>
  <c r="AX470" i="6"/>
  <c r="CE470" i="6"/>
  <c r="AU470" i="6"/>
  <c r="CK470" i="6"/>
  <c r="CM470" i="6"/>
  <c r="BS470" i="6"/>
  <c r="CF470" i="6"/>
  <c r="BG470" i="6"/>
  <c r="BO470" i="6"/>
  <c r="BQ470" i="6"/>
  <c r="CL470" i="6"/>
  <c r="BF470" i="6"/>
  <c r="AP470" i="6"/>
  <c r="AS470" i="6"/>
  <c r="AN470" i="6"/>
  <c r="AO470" i="6"/>
  <c r="AY470" i="6"/>
  <c r="BZ470" i="6"/>
  <c r="AV470" i="6"/>
  <c r="N470" i="6"/>
  <c r="CD470" i="6"/>
  <c r="BM470" i="6"/>
  <c r="BW470" i="6"/>
  <c r="CB470" i="6"/>
  <c r="BI470" i="6"/>
  <c r="BL470" i="6"/>
  <c r="AL470" i="6"/>
  <c r="AQ470" i="6"/>
  <c r="BP470" i="6"/>
  <c r="CH470" i="6"/>
  <c r="AZ470" i="6"/>
  <c r="BR470" i="6"/>
  <c r="CG470" i="6"/>
  <c r="AM470" i="6"/>
  <c r="BY470" i="6"/>
  <c r="BN470" i="6"/>
  <c r="BA470" i="6"/>
  <c r="BE470" i="6"/>
  <c r="CC470" i="6"/>
  <c r="BK470" i="6"/>
  <c r="CI470" i="6"/>
  <c r="G470" i="6"/>
  <c r="CA470" i="6"/>
  <c r="AP469" i="6"/>
  <c r="W465" i="12"/>
  <c r="X465" i="12"/>
  <c r="N466" i="12"/>
  <c r="AM468" i="5"/>
  <c r="I468" i="12"/>
  <c r="L468" i="5"/>
  <c r="I468" i="5"/>
  <c r="Z468" i="5"/>
  <c r="AC468" i="5"/>
  <c r="T464" i="12"/>
  <c r="U464" i="12"/>
  <c r="V464" i="12"/>
  <c r="J471" i="12"/>
  <c r="L471" i="12"/>
  <c r="J472" i="5"/>
  <c r="C473" i="5"/>
  <c r="K472" i="5"/>
  <c r="AE472" i="5"/>
  <c r="D472" i="5"/>
  <c r="B472" i="12" s="1"/>
  <c r="F472" i="5"/>
  <c r="E472" i="5"/>
  <c r="B472" i="5"/>
  <c r="G472" i="5"/>
  <c r="A472" i="12"/>
  <c r="W472" i="5"/>
  <c r="H472" i="12" s="1"/>
  <c r="AD472" i="5"/>
  <c r="R472" i="5"/>
  <c r="N472" i="5"/>
  <c r="B472" i="6"/>
  <c r="H472" i="5"/>
  <c r="C467" i="12"/>
  <c r="AO467" i="12"/>
  <c r="M467" i="12"/>
  <c r="O467" i="12"/>
  <c r="G469" i="12"/>
  <c r="X469" i="5"/>
  <c r="D471" i="6"/>
  <c r="F471" i="6"/>
  <c r="E471" i="12"/>
  <c r="E466" i="6"/>
  <c r="D466" i="12"/>
  <c r="Y466" i="12"/>
  <c r="BJ470" i="6" l="1"/>
  <c r="Y467" i="12"/>
  <c r="E472" i="12"/>
  <c r="F472" i="6"/>
  <c r="L472" i="12"/>
  <c r="J472" i="12"/>
  <c r="X466" i="12"/>
  <c r="W466" i="12"/>
  <c r="K471" i="12"/>
  <c r="AB468" i="5"/>
  <c r="AA468" i="5"/>
  <c r="I469" i="12"/>
  <c r="AM469" i="5"/>
  <c r="L469" i="5"/>
  <c r="Z469" i="5"/>
  <c r="I469" i="5"/>
  <c r="AC469" i="5"/>
  <c r="AJ469" i="6"/>
  <c r="W467" i="12"/>
  <c r="X467" i="12"/>
  <c r="D472" i="6"/>
  <c r="M471" i="6"/>
  <c r="BZ471" i="6" s="1"/>
  <c r="BG471" i="6"/>
  <c r="G471" i="6"/>
  <c r="BR471" i="6"/>
  <c r="CC471" i="6"/>
  <c r="BJ471" i="6"/>
  <c r="BX471" i="6"/>
  <c r="N471" i="6"/>
  <c r="CD471" i="6"/>
  <c r="BE471" i="6"/>
  <c r="BT471" i="6"/>
  <c r="BY471" i="6"/>
  <c r="CA471" i="6"/>
  <c r="CJ471" i="6"/>
  <c r="BQ471" i="6"/>
  <c r="BW471" i="6"/>
  <c r="BC471" i="6"/>
  <c r="CK471" i="6"/>
  <c r="BL471" i="6"/>
  <c r="BH471" i="6"/>
  <c r="CL471" i="6"/>
  <c r="H471" i="6"/>
  <c r="T471" i="5" s="1"/>
  <c r="CB471" i="6"/>
  <c r="CE471" i="6"/>
  <c r="CI471" i="6"/>
  <c r="CF471" i="6"/>
  <c r="BO471" i="6"/>
  <c r="BD471" i="6"/>
  <c r="BV471" i="6"/>
  <c r="N467" i="12"/>
  <c r="K473" i="5"/>
  <c r="N473" i="5"/>
  <c r="AE473" i="5"/>
  <c r="B473" i="5"/>
  <c r="G473" i="5"/>
  <c r="D473" i="5"/>
  <c r="B473" i="12" s="1"/>
  <c r="AD473" i="5"/>
  <c r="E473" i="5"/>
  <c r="R473" i="5"/>
  <c r="H473" i="5"/>
  <c r="F473" i="5"/>
  <c r="W473" i="5"/>
  <c r="H473" i="12" s="1"/>
  <c r="A473" i="12"/>
  <c r="B473" i="6"/>
  <c r="J473" i="5"/>
  <c r="C474" i="5"/>
  <c r="AK470" i="6"/>
  <c r="C468" i="6"/>
  <c r="O468" i="5"/>
  <c r="G470" i="12"/>
  <c r="X470" i="5"/>
  <c r="C468" i="12"/>
  <c r="M468" i="12"/>
  <c r="O468" i="12"/>
  <c r="AO468" i="12"/>
  <c r="V465" i="12"/>
  <c r="U465" i="12"/>
  <c r="T465" i="12"/>
  <c r="AT470" i="6"/>
  <c r="D467" i="12"/>
  <c r="E467" i="6"/>
  <c r="CG471" i="6" l="1"/>
  <c r="BI471" i="6"/>
  <c r="BN471" i="6"/>
  <c r="BF471" i="6"/>
  <c r="BP471" i="6"/>
  <c r="BS471" i="6"/>
  <c r="BM471" i="6"/>
  <c r="CM471" i="6"/>
  <c r="BK471" i="6"/>
  <c r="Y468" i="12"/>
  <c r="X468" i="12" s="1"/>
  <c r="CH471" i="6"/>
  <c r="N468" i="12"/>
  <c r="L473" i="12"/>
  <c r="K473" i="12" s="1"/>
  <c r="J473" i="12"/>
  <c r="F473" i="6"/>
  <c r="E473" i="12"/>
  <c r="D473" i="6"/>
  <c r="AS471" i="6"/>
  <c r="AZ471" i="6"/>
  <c r="AL471" i="6"/>
  <c r="AW471" i="6"/>
  <c r="AX471" i="6"/>
  <c r="AY471" i="6"/>
  <c r="AQ471" i="6"/>
  <c r="T467" i="12"/>
  <c r="U467" i="12"/>
  <c r="V467" i="12"/>
  <c r="AB469" i="5"/>
  <c r="AA469" i="5"/>
  <c r="D468" i="12"/>
  <c r="E468" i="6"/>
  <c r="E474" i="5"/>
  <c r="N474" i="5"/>
  <c r="H474" i="5"/>
  <c r="AE474" i="5"/>
  <c r="B474" i="6"/>
  <c r="A474" i="12"/>
  <c r="K474" i="5"/>
  <c r="B474" i="5"/>
  <c r="C475" i="5"/>
  <c r="D474" i="5"/>
  <c r="B474" i="12" s="1"/>
  <c r="F474" i="5"/>
  <c r="J474" i="5"/>
  <c r="G474" i="5"/>
  <c r="R474" i="5"/>
  <c r="W474" i="5"/>
  <c r="H474" i="12" s="1"/>
  <c r="AD474" i="5"/>
  <c r="AO471" i="6"/>
  <c r="BA471" i="6"/>
  <c r="AN471" i="6"/>
  <c r="C469" i="6"/>
  <c r="O469" i="5"/>
  <c r="K472" i="12"/>
  <c r="G471" i="12"/>
  <c r="X471" i="5"/>
  <c r="AT471" i="6"/>
  <c r="AK471" i="6"/>
  <c r="AM471" i="6"/>
  <c r="G472" i="6"/>
  <c r="H472" i="6"/>
  <c r="T472" i="5" s="1"/>
  <c r="M472" i="6"/>
  <c r="BK472" i="6" s="1"/>
  <c r="BJ472" i="6"/>
  <c r="CM472" i="6"/>
  <c r="AS472" i="6"/>
  <c r="CA472" i="6"/>
  <c r="AY472" i="6"/>
  <c r="CK472" i="6"/>
  <c r="BL472" i="6"/>
  <c r="BX472" i="6"/>
  <c r="BO472" i="6"/>
  <c r="CJ472" i="6"/>
  <c r="CI472" i="6"/>
  <c r="BM472" i="6"/>
  <c r="AR472" i="6"/>
  <c r="BD472" i="6"/>
  <c r="N472" i="6"/>
  <c r="BY472" i="6"/>
  <c r="AT472" i="6"/>
  <c r="CB472" i="6"/>
  <c r="BQ472" i="6"/>
  <c r="CH472" i="6"/>
  <c r="AK472" i="6"/>
  <c r="CC472" i="6"/>
  <c r="BR472" i="6"/>
  <c r="BI472" i="6"/>
  <c r="CE472" i="6"/>
  <c r="CG472" i="6"/>
  <c r="AW472" i="6"/>
  <c r="AU472" i="6"/>
  <c r="AM470" i="5"/>
  <c r="I470" i="12"/>
  <c r="L470" i="5"/>
  <c r="I470" i="5"/>
  <c r="Z470" i="5"/>
  <c r="AC470" i="5"/>
  <c r="AJ470" i="6"/>
  <c r="AP471" i="6"/>
  <c r="AV471" i="6"/>
  <c r="AJ471" i="6"/>
  <c r="AU471" i="6"/>
  <c r="AR471" i="6"/>
  <c r="C469" i="12"/>
  <c r="AO469" i="12"/>
  <c r="Y469" i="12" s="1"/>
  <c r="M469" i="12"/>
  <c r="O469" i="12"/>
  <c r="V466" i="12"/>
  <c r="U466" i="12"/>
  <c r="T466" i="12"/>
  <c r="W468" i="12" l="1"/>
  <c r="AQ472" i="6"/>
  <c r="AV472" i="6"/>
  <c r="AL472" i="6"/>
  <c r="CF472" i="6"/>
  <c r="BH472" i="6"/>
  <c r="BZ472" i="6"/>
  <c r="AM472" i="6"/>
  <c r="BF472" i="6"/>
  <c r="BV472" i="6"/>
  <c r="AO472" i="6"/>
  <c r="BE472" i="6"/>
  <c r="CD472" i="6"/>
  <c r="BN472" i="6"/>
  <c r="BS472" i="6"/>
  <c r="BW472" i="6"/>
  <c r="AZ472" i="6"/>
  <c r="BP472" i="6"/>
  <c r="BG472" i="6"/>
  <c r="AN472" i="6"/>
  <c r="C470" i="6"/>
  <c r="O470" i="5"/>
  <c r="G472" i="12"/>
  <c r="X472" i="5"/>
  <c r="AJ472" i="6" s="1"/>
  <c r="BA472" i="6"/>
  <c r="AP472" i="6"/>
  <c r="AM471" i="5"/>
  <c r="I471" i="12"/>
  <c r="L471" i="5"/>
  <c r="Z471" i="5"/>
  <c r="I471" i="5"/>
  <c r="AC471" i="5"/>
  <c r="AD475" i="5"/>
  <c r="B475" i="6"/>
  <c r="J475" i="5"/>
  <c r="B475" i="5"/>
  <c r="W475" i="5"/>
  <c r="H475" i="12" s="1"/>
  <c r="AE475" i="5"/>
  <c r="C476" i="5"/>
  <c r="H475" i="5"/>
  <c r="A475" i="12"/>
  <c r="D475" i="5"/>
  <c r="B475" i="12" s="1"/>
  <c r="K475" i="5"/>
  <c r="G475" i="5"/>
  <c r="E475" i="5"/>
  <c r="F475" i="5"/>
  <c r="N475" i="5"/>
  <c r="R475" i="5"/>
  <c r="L474" i="12"/>
  <c r="J474" i="12"/>
  <c r="D474" i="6"/>
  <c r="G473" i="6"/>
  <c r="H473" i="6"/>
  <c r="T473" i="5" s="1"/>
  <c r="M473" i="6"/>
  <c r="CI473" i="6" s="1"/>
  <c r="N473" i="6"/>
  <c r="CF473" i="6"/>
  <c r="C470" i="12"/>
  <c r="O470" i="12"/>
  <c r="M470" i="12"/>
  <c r="AO470" i="12"/>
  <c r="AX472" i="6"/>
  <c r="X469" i="12"/>
  <c r="W469" i="12"/>
  <c r="AB470" i="5"/>
  <c r="AA470" i="5"/>
  <c r="N469" i="12"/>
  <c r="CL472" i="6"/>
  <c r="BT472" i="6"/>
  <c r="BC472" i="6"/>
  <c r="D469" i="12"/>
  <c r="E469" i="6"/>
  <c r="F474" i="6"/>
  <c r="E474" i="12"/>
  <c r="V468" i="12"/>
  <c r="T468" i="12"/>
  <c r="U468" i="12"/>
  <c r="CB473" i="6" l="1"/>
  <c r="BX473" i="6"/>
  <c r="AO473" i="6"/>
  <c r="BI473" i="6"/>
  <c r="CG473" i="6"/>
  <c r="BG473" i="6"/>
  <c r="AU473" i="6"/>
  <c r="BM473" i="6"/>
  <c r="BW473" i="6"/>
  <c r="CC473" i="6"/>
  <c r="BO473" i="6"/>
  <c r="BL473" i="6"/>
  <c r="BD473" i="6"/>
  <c r="CH473" i="6"/>
  <c r="N470" i="12"/>
  <c r="BH473" i="6"/>
  <c r="BN473" i="6"/>
  <c r="AM473" i="6"/>
  <c r="BZ473" i="6"/>
  <c r="Y470" i="12"/>
  <c r="AS473" i="6"/>
  <c r="AW473" i="6"/>
  <c r="BP473" i="6"/>
  <c r="CM473" i="6"/>
  <c r="AV473" i="6"/>
  <c r="AQ473" i="6"/>
  <c r="CE473" i="6"/>
  <c r="CL473" i="6"/>
  <c r="AK473" i="6"/>
  <c r="BF473" i="6"/>
  <c r="BC473" i="6"/>
  <c r="AT473" i="6"/>
  <c r="CD473" i="6"/>
  <c r="BQ473" i="6"/>
  <c r="K474" i="12"/>
  <c r="D475" i="6"/>
  <c r="AM472" i="5"/>
  <c r="L472" i="5"/>
  <c r="I472" i="12"/>
  <c r="I472" i="5"/>
  <c r="Z472" i="5"/>
  <c r="AC472" i="5"/>
  <c r="U469" i="12"/>
  <c r="T469" i="12"/>
  <c r="V469" i="12"/>
  <c r="BA473" i="6"/>
  <c r="BR473" i="6"/>
  <c r="BE473" i="6"/>
  <c r="BY473" i="6"/>
  <c r="AL473" i="6"/>
  <c r="AX473" i="6"/>
  <c r="BS473" i="6"/>
  <c r="AR473" i="6"/>
  <c r="CJ473" i="6"/>
  <c r="CA473" i="6"/>
  <c r="AN473" i="6"/>
  <c r="AP473" i="6"/>
  <c r="BT473" i="6"/>
  <c r="AA471" i="5"/>
  <c r="AB471" i="5"/>
  <c r="BJ473" i="6"/>
  <c r="BK473" i="6"/>
  <c r="CK473" i="6"/>
  <c r="AY473" i="6"/>
  <c r="AZ473" i="6"/>
  <c r="BV473" i="6"/>
  <c r="G474" i="6"/>
  <c r="H474" i="6"/>
  <c r="T474" i="5" s="1"/>
  <c r="M474" i="6"/>
  <c r="CG474" i="6" s="1"/>
  <c r="CE474" i="6"/>
  <c r="BF474" i="6"/>
  <c r="N474" i="6"/>
  <c r="BG474" i="6"/>
  <c r="AE476" i="5"/>
  <c r="N476" i="5"/>
  <c r="G476" i="5"/>
  <c r="K476" i="5"/>
  <c r="R476" i="5"/>
  <c r="J476" i="5"/>
  <c r="D476" i="5"/>
  <c r="B476" i="12" s="1"/>
  <c r="C477" i="5"/>
  <c r="W476" i="5"/>
  <c r="H476" i="12" s="1"/>
  <c r="E476" i="5"/>
  <c r="H476" i="5"/>
  <c r="B476" i="5"/>
  <c r="AD476" i="5"/>
  <c r="B476" i="6"/>
  <c r="A476" i="12"/>
  <c r="F476" i="5"/>
  <c r="C471" i="6"/>
  <c r="O471" i="5"/>
  <c r="D470" i="12"/>
  <c r="E470" i="6"/>
  <c r="G473" i="12"/>
  <c r="X473" i="5"/>
  <c r="F475" i="6"/>
  <c r="E475" i="12"/>
  <c r="J475" i="12"/>
  <c r="L475" i="12"/>
  <c r="C471" i="12"/>
  <c r="M471" i="12"/>
  <c r="AO471" i="12"/>
  <c r="O471" i="12"/>
  <c r="BZ474" i="6" l="1"/>
  <c r="BT474" i="6"/>
  <c r="K475" i="12"/>
  <c r="BV474" i="6"/>
  <c r="BE474" i="6"/>
  <c r="AU474" i="6"/>
  <c r="AV474" i="6"/>
  <c r="AT474" i="6"/>
  <c r="AY474" i="6"/>
  <c r="AN474" i="6"/>
  <c r="Y471" i="12"/>
  <c r="CD474" i="6"/>
  <c r="AR474" i="6"/>
  <c r="BH474" i="6"/>
  <c r="CF474" i="6"/>
  <c r="BX474" i="6"/>
  <c r="BO474" i="6"/>
  <c r="CH474" i="6"/>
  <c r="AM474" i="6"/>
  <c r="CC474" i="6"/>
  <c r="AZ474" i="6"/>
  <c r="BS474" i="6"/>
  <c r="AA472" i="5"/>
  <c r="AB472" i="5"/>
  <c r="X471" i="12"/>
  <c r="W471" i="12"/>
  <c r="D476" i="6"/>
  <c r="L476" i="12"/>
  <c r="J476" i="12"/>
  <c r="F476" i="6"/>
  <c r="E476" i="12"/>
  <c r="L473" i="5"/>
  <c r="I473" i="12"/>
  <c r="AM473" i="5"/>
  <c r="I473" i="5"/>
  <c r="Z473" i="5"/>
  <c r="AC473" i="5"/>
  <c r="E471" i="6"/>
  <c r="D471" i="12"/>
  <c r="J477" i="5"/>
  <c r="AE477" i="5"/>
  <c r="N477" i="5"/>
  <c r="AD477" i="5"/>
  <c r="E477" i="5"/>
  <c r="C478" i="5"/>
  <c r="D477" i="5"/>
  <c r="B477" i="12" s="1"/>
  <c r="A477" i="12"/>
  <c r="G477" i="5"/>
  <c r="H477" i="5"/>
  <c r="K477" i="5"/>
  <c r="W477" i="5"/>
  <c r="H477" i="12" s="1"/>
  <c r="B477" i="6"/>
  <c r="F477" i="5"/>
  <c r="B477" i="5"/>
  <c r="R477" i="5"/>
  <c r="BC474" i="6"/>
  <c r="AQ474" i="6"/>
  <c r="BI474" i="6"/>
  <c r="AS474" i="6"/>
  <c r="BQ474" i="6"/>
  <c r="AK474" i="6"/>
  <c r="CL474" i="6"/>
  <c r="CI474" i="6"/>
  <c r="AW474" i="6"/>
  <c r="BR474" i="6"/>
  <c r="BW474" i="6"/>
  <c r="BA474" i="6"/>
  <c r="BL474" i="6"/>
  <c r="G474" i="12"/>
  <c r="X474" i="5"/>
  <c r="M475" i="6"/>
  <c r="BC475" i="6" s="1"/>
  <c r="BY475" i="6"/>
  <c r="BD475" i="6"/>
  <c r="BN475" i="6"/>
  <c r="CC475" i="6"/>
  <c r="BZ475" i="6"/>
  <c r="N475" i="6"/>
  <c r="BR475" i="6"/>
  <c r="BH475" i="6"/>
  <c r="CK475" i="6"/>
  <c r="CH475" i="6"/>
  <c r="BF475" i="6"/>
  <c r="CE475" i="6"/>
  <c r="CD475" i="6"/>
  <c r="CB475" i="6"/>
  <c r="BQ475" i="6"/>
  <c r="CI475" i="6"/>
  <c r="BM475" i="6"/>
  <c r="BW475" i="6"/>
  <c r="BV475" i="6"/>
  <c r="CG475" i="6"/>
  <c r="H475" i="6"/>
  <c r="T475" i="5" s="1"/>
  <c r="BS475" i="6"/>
  <c r="CA475" i="6"/>
  <c r="BT475" i="6"/>
  <c r="BO475" i="6"/>
  <c r="BP475" i="6"/>
  <c r="BI475" i="6"/>
  <c r="BJ475" i="6"/>
  <c r="BL475" i="6"/>
  <c r="BG475" i="6"/>
  <c r="CL475" i="6"/>
  <c r="G475" i="6"/>
  <c r="N471" i="12"/>
  <c r="BP474" i="6"/>
  <c r="CM474" i="6"/>
  <c r="BD474" i="6"/>
  <c r="BY474" i="6"/>
  <c r="AX474" i="6"/>
  <c r="BJ474" i="6"/>
  <c r="BM474" i="6"/>
  <c r="CK474" i="6"/>
  <c r="BK474" i="6"/>
  <c r="AP474" i="6"/>
  <c r="CA474" i="6"/>
  <c r="CB474" i="6"/>
  <c r="AO474" i="6"/>
  <c r="BN474" i="6"/>
  <c r="C472" i="12"/>
  <c r="AO472" i="12"/>
  <c r="O472" i="12"/>
  <c r="M472" i="12"/>
  <c r="AL474" i="6"/>
  <c r="CJ474" i="6"/>
  <c r="C472" i="6"/>
  <c r="O472" i="5"/>
  <c r="AJ473" i="6"/>
  <c r="W470" i="12"/>
  <c r="X470" i="12"/>
  <c r="AW475" i="6" l="1"/>
  <c r="BA475" i="6"/>
  <c r="CJ475" i="6"/>
  <c r="K476" i="12"/>
  <c r="N472" i="12"/>
  <c r="AO475" i="6"/>
  <c r="CM475" i="6"/>
  <c r="BX475" i="6"/>
  <c r="BE475" i="6"/>
  <c r="CF475" i="6"/>
  <c r="BK475" i="6"/>
  <c r="AY475" i="6"/>
  <c r="AZ475" i="6"/>
  <c r="AT475" i="6"/>
  <c r="AQ475" i="6"/>
  <c r="AS475" i="6"/>
  <c r="AV475" i="6"/>
  <c r="J477" i="12"/>
  <c r="L477" i="12"/>
  <c r="K477" i="12" s="1"/>
  <c r="N476" i="6"/>
  <c r="M476" i="6"/>
  <c r="BO476" i="6" s="1"/>
  <c r="BE476" i="6"/>
  <c r="H476" i="6"/>
  <c r="T476" i="5" s="1"/>
  <c r="CC476" i="6"/>
  <c r="CJ476" i="6"/>
  <c r="BQ476" i="6"/>
  <c r="CG476" i="6"/>
  <c r="CL476" i="6"/>
  <c r="CD476" i="6"/>
  <c r="BR476" i="6"/>
  <c r="BP476" i="6"/>
  <c r="BS476" i="6"/>
  <c r="BT476" i="6"/>
  <c r="BF476" i="6"/>
  <c r="BN476" i="6"/>
  <c r="BV476" i="6"/>
  <c r="BY476" i="6"/>
  <c r="BW476" i="6"/>
  <c r="BD476" i="6"/>
  <c r="CM476" i="6"/>
  <c r="BM476" i="6"/>
  <c r="AV476" i="6"/>
  <c r="G476" i="6"/>
  <c r="BL476" i="6"/>
  <c r="CK476" i="6"/>
  <c r="BC476" i="6"/>
  <c r="BH476" i="6"/>
  <c r="BJ476" i="6"/>
  <c r="CE476" i="6"/>
  <c r="AX476" i="6"/>
  <c r="BZ476" i="6"/>
  <c r="CA476" i="6"/>
  <c r="Y472" i="12"/>
  <c r="D472" i="12"/>
  <c r="E472" i="6"/>
  <c r="AP475" i="6"/>
  <c r="AN475" i="6"/>
  <c r="AX475" i="6"/>
  <c r="AR475" i="6"/>
  <c r="AM475" i="6"/>
  <c r="AK475" i="6"/>
  <c r="D477" i="6"/>
  <c r="T471" i="12"/>
  <c r="V471" i="12"/>
  <c r="U471" i="12"/>
  <c r="AU475" i="6"/>
  <c r="AM474" i="5"/>
  <c r="L474" i="5"/>
  <c r="I474" i="12"/>
  <c r="I474" i="5"/>
  <c r="Z474" i="5"/>
  <c r="AC474" i="5"/>
  <c r="AJ474" i="6"/>
  <c r="F477" i="6"/>
  <c r="E477" i="12"/>
  <c r="C479" i="5"/>
  <c r="N478" i="5"/>
  <c r="D478" i="5"/>
  <c r="B478" i="12" s="1"/>
  <c r="K478" i="5"/>
  <c r="W478" i="5"/>
  <c r="H478" i="12" s="1"/>
  <c r="E478" i="5"/>
  <c r="AE478" i="5"/>
  <c r="AD478" i="5"/>
  <c r="R478" i="5"/>
  <c r="A478" i="12"/>
  <c r="B478" i="5"/>
  <c r="F478" i="5"/>
  <c r="J478" i="5"/>
  <c r="B478" i="6"/>
  <c r="G478" i="5"/>
  <c r="H478" i="5"/>
  <c r="C473" i="12"/>
  <c r="O473" i="12"/>
  <c r="AO473" i="12"/>
  <c r="M473" i="12"/>
  <c r="U470" i="12"/>
  <c r="V470" i="12"/>
  <c r="T470" i="12"/>
  <c r="G475" i="12"/>
  <c r="X475" i="5"/>
  <c r="AJ475" i="6" s="1"/>
  <c r="AL475" i="6"/>
  <c r="AB473" i="5"/>
  <c r="AA473" i="5"/>
  <c r="C473" i="6"/>
  <c r="O473" i="5"/>
  <c r="Y473" i="12" l="1"/>
  <c r="AN476" i="6"/>
  <c r="AQ476" i="6"/>
  <c r="AS476" i="6"/>
  <c r="AO476" i="6"/>
  <c r="AY476" i="6"/>
  <c r="AL476" i="6"/>
  <c r="AZ476" i="6"/>
  <c r="N473" i="12"/>
  <c r="AP476" i="6"/>
  <c r="D473" i="12"/>
  <c r="E473" i="6"/>
  <c r="E478" i="12"/>
  <c r="F478" i="6"/>
  <c r="D478" i="6"/>
  <c r="C474" i="12"/>
  <c r="O474" i="12"/>
  <c r="M474" i="12"/>
  <c r="AO474" i="12"/>
  <c r="Y474" i="12" s="1"/>
  <c r="BA476" i="6"/>
  <c r="BX476" i="6"/>
  <c r="CH476" i="6"/>
  <c r="BI476" i="6"/>
  <c r="X473" i="12"/>
  <c r="W473" i="12"/>
  <c r="A479" i="12"/>
  <c r="K479" i="5"/>
  <c r="J479" i="5"/>
  <c r="W479" i="5"/>
  <c r="H479" i="12" s="1"/>
  <c r="E479" i="5"/>
  <c r="B479" i="5"/>
  <c r="AD479" i="5"/>
  <c r="G479" i="5"/>
  <c r="N479" i="5"/>
  <c r="F479" i="5"/>
  <c r="AE479" i="5"/>
  <c r="D479" i="5"/>
  <c r="B479" i="12" s="1"/>
  <c r="H479" i="5"/>
  <c r="C480" i="5"/>
  <c r="R479" i="5"/>
  <c r="B479" i="6"/>
  <c r="C474" i="6"/>
  <c r="O474" i="5"/>
  <c r="W472" i="12"/>
  <c r="X472" i="12"/>
  <c r="AM476" i="6"/>
  <c r="AT476" i="6"/>
  <c r="BK476" i="6"/>
  <c r="AU476" i="6"/>
  <c r="CI476" i="6"/>
  <c r="CF476" i="6"/>
  <c r="BG476" i="6"/>
  <c r="L478" i="12"/>
  <c r="J478" i="12"/>
  <c r="AA474" i="5"/>
  <c r="AB474" i="5"/>
  <c r="AW476" i="6"/>
  <c r="AR476" i="6"/>
  <c r="AM475" i="5"/>
  <c r="I475" i="12"/>
  <c r="L475" i="5"/>
  <c r="Z475" i="5"/>
  <c r="I475" i="5"/>
  <c r="AC475" i="5"/>
  <c r="G477" i="6"/>
  <c r="H477" i="6"/>
  <c r="T477" i="5" s="1"/>
  <c r="N477" i="6"/>
  <c r="M477" i="6"/>
  <c r="BS477" i="6" s="1"/>
  <c r="G476" i="12"/>
  <c r="X476" i="5"/>
  <c r="AK476" i="6"/>
  <c r="CB476" i="6"/>
  <c r="BW477" i="6" l="1"/>
  <c r="BF477" i="6"/>
  <c r="BI477" i="6"/>
  <c r="BC477" i="6"/>
  <c r="BQ477" i="6"/>
  <c r="BP477" i="6"/>
  <c r="CK477" i="6"/>
  <c r="AX477" i="6"/>
  <c r="BG477" i="6"/>
  <c r="CE477" i="6"/>
  <c r="AK477" i="6"/>
  <c r="AS477" i="6"/>
  <c r="CD477" i="6"/>
  <c r="CF477" i="6"/>
  <c r="CG477" i="6"/>
  <c r="CL477" i="6"/>
  <c r="BA477" i="6"/>
  <c r="AO477" i="6"/>
  <c r="CJ477" i="6"/>
  <c r="BN477" i="6"/>
  <c r="BJ477" i="6"/>
  <c r="CA477" i="6"/>
  <c r="AW477" i="6"/>
  <c r="BD477" i="6"/>
  <c r="AU477" i="6"/>
  <c r="AZ477" i="6"/>
  <c r="N474" i="12"/>
  <c r="AQ477" i="6"/>
  <c r="AT477" i="6"/>
  <c r="AN477" i="6"/>
  <c r="AL477" i="6"/>
  <c r="BR477" i="6"/>
  <c r="BZ477" i="6"/>
  <c r="BX477" i="6"/>
  <c r="C475" i="12"/>
  <c r="AO475" i="12"/>
  <c r="O475" i="12"/>
  <c r="M475" i="12"/>
  <c r="E474" i="6"/>
  <c r="D474" i="12"/>
  <c r="U473" i="12"/>
  <c r="V473" i="12"/>
  <c r="T473" i="12"/>
  <c r="BL477" i="6"/>
  <c r="CM477" i="6"/>
  <c r="G477" i="12"/>
  <c r="X477" i="5"/>
  <c r="BK477" i="6"/>
  <c r="BO477" i="6"/>
  <c r="AM477" i="6"/>
  <c r="E479" i="12"/>
  <c r="F479" i="6"/>
  <c r="AP477" i="6"/>
  <c r="BM477" i="6"/>
  <c r="BE477" i="6"/>
  <c r="AA475" i="5"/>
  <c r="AB475" i="5"/>
  <c r="K478" i="12"/>
  <c r="J480" i="5"/>
  <c r="H480" i="5"/>
  <c r="C481" i="5"/>
  <c r="R480" i="5"/>
  <c r="A480" i="12"/>
  <c r="N480" i="5"/>
  <c r="K480" i="5"/>
  <c r="G480" i="5"/>
  <c r="E480" i="5"/>
  <c r="F480" i="5"/>
  <c r="B480" i="6"/>
  <c r="D480" i="5"/>
  <c r="B480" i="12" s="1"/>
  <c r="AE480" i="5"/>
  <c r="B480" i="5"/>
  <c r="W480" i="5"/>
  <c r="H480" i="12" s="1"/>
  <c r="AD480" i="5"/>
  <c r="D479" i="6"/>
  <c r="W474" i="12"/>
  <c r="X474" i="12"/>
  <c r="I476" i="12"/>
  <c r="AM476" i="5"/>
  <c r="L476" i="5"/>
  <c r="I476" i="5"/>
  <c r="Z476" i="5"/>
  <c r="AC476" i="5"/>
  <c r="AJ476" i="6"/>
  <c r="BV477" i="6"/>
  <c r="BH477" i="6"/>
  <c r="CI477" i="6"/>
  <c r="CH477" i="6"/>
  <c r="AR477" i="6"/>
  <c r="BT477" i="6"/>
  <c r="CB477" i="6"/>
  <c r="CC477" i="6"/>
  <c r="AV477" i="6"/>
  <c r="AY477" i="6"/>
  <c r="BY477" i="6"/>
  <c r="C475" i="6"/>
  <c r="O475" i="5"/>
  <c r="V472" i="12"/>
  <c r="U472" i="12"/>
  <c r="T472" i="12"/>
  <c r="J479" i="12"/>
  <c r="L479" i="12"/>
  <c r="K479" i="12" s="1"/>
  <c r="G478" i="6"/>
  <c r="BG478" i="6"/>
  <c r="M478" i="6"/>
  <c r="BQ478" i="6" s="1"/>
  <c r="N478" i="6"/>
  <c r="CF478" i="6"/>
  <c r="BS478" i="6"/>
  <c r="BC478" i="6"/>
  <c r="BW478" i="6"/>
  <c r="CI478" i="6"/>
  <c r="CD478" i="6"/>
  <c r="BE478" i="6"/>
  <c r="CM478" i="6"/>
  <c r="BN478" i="6"/>
  <c r="CB478" i="6"/>
  <c r="CJ478" i="6"/>
  <c r="BI478" i="6"/>
  <c r="BR478" i="6"/>
  <c r="H478" i="6"/>
  <c r="T478" i="5" s="1"/>
  <c r="BD478" i="6"/>
  <c r="BV478" i="6"/>
  <c r="BX478" i="6" l="1"/>
  <c r="BL478" i="6"/>
  <c r="CK478" i="6"/>
  <c r="BZ478" i="6"/>
  <c r="CC478" i="6"/>
  <c r="BF478" i="6"/>
  <c r="BO478" i="6"/>
  <c r="BH478" i="6"/>
  <c r="N475" i="12"/>
  <c r="CE478" i="6"/>
  <c r="CL478" i="6"/>
  <c r="CA478" i="6"/>
  <c r="BT478" i="6"/>
  <c r="BM478" i="6"/>
  <c r="CH478" i="6"/>
  <c r="CG478" i="6"/>
  <c r="BP478" i="6"/>
  <c r="BY478" i="6"/>
  <c r="AU478" i="6"/>
  <c r="AZ478" i="6"/>
  <c r="N479" i="6"/>
  <c r="H479" i="6"/>
  <c r="T479" i="5" s="1"/>
  <c r="M479" i="6"/>
  <c r="BN479" i="6" s="1"/>
  <c r="BV479" i="6"/>
  <c r="G479" i="6"/>
  <c r="F480" i="6"/>
  <c r="E480" i="12"/>
  <c r="AQ478" i="6"/>
  <c r="AW478" i="6"/>
  <c r="AO478" i="6"/>
  <c r="AT478" i="6"/>
  <c r="AP478" i="6"/>
  <c r="AA476" i="5"/>
  <c r="AB476" i="5"/>
  <c r="C476" i="12"/>
  <c r="O476" i="12"/>
  <c r="M476" i="12"/>
  <c r="AO476" i="12"/>
  <c r="D480" i="6"/>
  <c r="AD481" i="5"/>
  <c r="K481" i="5"/>
  <c r="B481" i="5"/>
  <c r="C482" i="5" s="1"/>
  <c r="W481" i="5"/>
  <c r="H481" i="12" s="1"/>
  <c r="A481" i="12"/>
  <c r="F481" i="5"/>
  <c r="AE481" i="5"/>
  <c r="G481" i="5"/>
  <c r="B481" i="6"/>
  <c r="J481" i="5"/>
  <c r="H481" i="5"/>
  <c r="R481" i="5"/>
  <c r="D481" i="5"/>
  <c r="B481" i="12" s="1"/>
  <c r="N481" i="5"/>
  <c r="E481" i="5"/>
  <c r="G478" i="12"/>
  <c r="X478" i="5"/>
  <c r="AV478" i="6"/>
  <c r="AK478" i="6"/>
  <c r="AX478" i="6"/>
  <c r="BA478" i="6"/>
  <c r="AM478" i="6"/>
  <c r="BJ478" i="6"/>
  <c r="BK478" i="6"/>
  <c r="E475" i="6"/>
  <c r="D475" i="12"/>
  <c r="L480" i="12"/>
  <c r="J480" i="12"/>
  <c r="Y475" i="12"/>
  <c r="AR478" i="6"/>
  <c r="AS478" i="6"/>
  <c r="AN478" i="6"/>
  <c r="AJ478" i="6"/>
  <c r="AL478" i="6"/>
  <c r="AY478" i="6"/>
  <c r="C476" i="6"/>
  <c r="O476" i="5"/>
  <c r="T474" i="12"/>
  <c r="V474" i="12"/>
  <c r="U474" i="12"/>
  <c r="I477" i="12"/>
  <c r="L477" i="5"/>
  <c r="AM477" i="5"/>
  <c r="I477" i="5"/>
  <c r="Z477" i="5"/>
  <c r="AC477" i="5"/>
  <c r="AJ477" i="6"/>
  <c r="CI479" i="6" l="1"/>
  <c r="BL479" i="6"/>
  <c r="CF479" i="6"/>
  <c r="BD479" i="6"/>
  <c r="CL479" i="6"/>
  <c r="CK479" i="6"/>
  <c r="BX479" i="6"/>
  <c r="AR479" i="6"/>
  <c r="AZ479" i="6"/>
  <c r="AO479" i="6"/>
  <c r="AN479" i="6"/>
  <c r="BW479" i="6"/>
  <c r="BC479" i="6"/>
  <c r="CJ479" i="6"/>
  <c r="BO479" i="6"/>
  <c r="CH479" i="6"/>
  <c r="CE479" i="6"/>
  <c r="BI479" i="6"/>
  <c r="BF479" i="6"/>
  <c r="BG479" i="6"/>
  <c r="CA479" i="6"/>
  <c r="CD479" i="6"/>
  <c r="AQ479" i="6"/>
  <c r="AV479" i="6"/>
  <c r="CB479" i="6"/>
  <c r="BT479" i="6"/>
  <c r="B482" i="6"/>
  <c r="I482" i="5"/>
  <c r="N482" i="5"/>
  <c r="AE482" i="5"/>
  <c r="C483" i="5"/>
  <c r="F482" i="5"/>
  <c r="B482" i="5"/>
  <c r="H482" i="5"/>
  <c r="A482" i="12"/>
  <c r="W482" i="5"/>
  <c r="H482" i="12" s="1"/>
  <c r="G482" i="5"/>
  <c r="E482" i="5"/>
  <c r="AD482" i="5"/>
  <c r="AT479" i="6"/>
  <c r="AX479" i="6"/>
  <c r="BH479" i="6"/>
  <c r="G479" i="12"/>
  <c r="X479" i="5"/>
  <c r="C477" i="6"/>
  <c r="O477" i="5"/>
  <c r="L478" i="5"/>
  <c r="AM478" i="5"/>
  <c r="I478" i="12"/>
  <c r="Z478" i="5"/>
  <c r="I478" i="5"/>
  <c r="AC478" i="5"/>
  <c r="D481" i="6"/>
  <c r="H480" i="6"/>
  <c r="T480" i="5" s="1"/>
  <c r="BE480" i="6"/>
  <c r="G480" i="6"/>
  <c r="M480" i="6"/>
  <c r="BQ480" i="6" s="1"/>
  <c r="N480" i="6"/>
  <c r="N476" i="12"/>
  <c r="AP479" i="6"/>
  <c r="AW479" i="6"/>
  <c r="AM479" i="6"/>
  <c r="CG479" i="6"/>
  <c r="CM479" i="6"/>
  <c r="BP479" i="6"/>
  <c r="AS479" i="6"/>
  <c r="BJ479" i="6"/>
  <c r="BK479" i="6"/>
  <c r="AA477" i="5"/>
  <c r="AB477" i="5"/>
  <c r="C477" i="12"/>
  <c r="M477" i="12"/>
  <c r="AO477" i="12"/>
  <c r="O477" i="12"/>
  <c r="E476" i="6"/>
  <c r="D476" i="12"/>
  <c r="X475" i="12"/>
  <c r="W475" i="12"/>
  <c r="AL479" i="6"/>
  <c r="BZ479" i="6"/>
  <c r="BR479" i="6"/>
  <c r="K480" i="12"/>
  <c r="E481" i="12"/>
  <c r="F481" i="6"/>
  <c r="J481" i="12"/>
  <c r="L481" i="12"/>
  <c r="Y476" i="12"/>
  <c r="BE479" i="6"/>
  <c r="BM479" i="6"/>
  <c r="AK479" i="6"/>
  <c r="BS479" i="6"/>
  <c r="CC479" i="6"/>
  <c r="BY479" i="6"/>
  <c r="BQ479" i="6"/>
  <c r="AY479" i="6"/>
  <c r="BA479" i="6"/>
  <c r="AU479" i="6"/>
  <c r="BH480" i="6" l="1"/>
  <c r="BO480" i="6"/>
  <c r="Y477" i="12"/>
  <c r="X477" i="12" s="1"/>
  <c r="BX480" i="6"/>
  <c r="AL480" i="6"/>
  <c r="BT480" i="6"/>
  <c r="BZ480" i="6"/>
  <c r="AY480" i="6"/>
  <c r="BM480" i="6"/>
  <c r="N477" i="12"/>
  <c r="CF480" i="6"/>
  <c r="BD480" i="6"/>
  <c r="BY480" i="6"/>
  <c r="AZ480" i="6"/>
  <c r="W477" i="12"/>
  <c r="AO480" i="6"/>
  <c r="BG480" i="6"/>
  <c r="AW480" i="6"/>
  <c r="BR480" i="6"/>
  <c r="CD480" i="6"/>
  <c r="AX480" i="6"/>
  <c r="AU480" i="6"/>
  <c r="CB480" i="6"/>
  <c r="BV480" i="6"/>
  <c r="CM480" i="6"/>
  <c r="BC480" i="6"/>
  <c r="AN480" i="6"/>
  <c r="AP480" i="6"/>
  <c r="BS480" i="6"/>
  <c r="AT480" i="6"/>
  <c r="AB478" i="5"/>
  <c r="AA478" i="5"/>
  <c r="D477" i="12"/>
  <c r="E477" i="6"/>
  <c r="AK480" i="6"/>
  <c r="C478" i="6"/>
  <c r="O478" i="5"/>
  <c r="K481" i="12"/>
  <c r="CA480" i="6"/>
  <c r="CK480" i="6"/>
  <c r="BP480" i="6"/>
  <c r="CC480" i="6"/>
  <c r="AV480" i="6"/>
  <c r="AS480" i="6"/>
  <c r="AQ480" i="6"/>
  <c r="BW480" i="6"/>
  <c r="BL480" i="6"/>
  <c r="CG480" i="6"/>
  <c r="BI480" i="6"/>
  <c r="BA480" i="6"/>
  <c r="CI480" i="6"/>
  <c r="BF480" i="6"/>
  <c r="G481" i="6"/>
  <c r="N481" i="6"/>
  <c r="H481" i="6"/>
  <c r="T481" i="5" s="1"/>
  <c r="M481" i="6"/>
  <c r="BI481" i="6" s="1"/>
  <c r="BP481" i="6"/>
  <c r="AO481" i="6"/>
  <c r="BW481" i="6"/>
  <c r="BT481" i="6"/>
  <c r="BG481" i="6"/>
  <c r="C478" i="12"/>
  <c r="M478" i="12"/>
  <c r="AO478" i="12"/>
  <c r="O478" i="12"/>
  <c r="D482" i="6"/>
  <c r="G480" i="12"/>
  <c r="X480" i="5"/>
  <c r="X476" i="12"/>
  <c r="W476" i="12"/>
  <c r="U475" i="12"/>
  <c r="T475" i="12"/>
  <c r="V475" i="12"/>
  <c r="CH480" i="6"/>
  <c r="BJ480" i="6"/>
  <c r="AR480" i="6"/>
  <c r="CL480" i="6"/>
  <c r="BN480" i="6"/>
  <c r="CE480" i="6"/>
  <c r="AM480" i="6"/>
  <c r="CJ480" i="6"/>
  <c r="BK480" i="6"/>
  <c r="AM479" i="5"/>
  <c r="L479" i="5"/>
  <c r="I479" i="12"/>
  <c r="I479" i="5"/>
  <c r="Z479" i="5"/>
  <c r="AC479" i="5"/>
  <c r="AJ479" i="6"/>
  <c r="AD483" i="5"/>
  <c r="K483" i="5"/>
  <c r="D483" i="5"/>
  <c r="B483" i="12" s="1"/>
  <c r="J483" i="5"/>
  <c r="G483" i="5"/>
  <c r="C484" i="5"/>
  <c r="R483" i="5"/>
  <c r="W483" i="5"/>
  <c r="H483" i="12" s="1"/>
  <c r="N483" i="5"/>
  <c r="B483" i="6"/>
  <c r="B483" i="5"/>
  <c r="AE483" i="5"/>
  <c r="E483" i="5"/>
  <c r="A483" i="12"/>
  <c r="H483" i="5"/>
  <c r="F483" i="5"/>
  <c r="AM481" i="6" l="1"/>
  <c r="CK481" i="6"/>
  <c r="BL481" i="6"/>
  <c r="AL481" i="6"/>
  <c r="BF481" i="6"/>
  <c r="CG481" i="6"/>
  <c r="Y478" i="12"/>
  <c r="AU481" i="6"/>
  <c r="BV481" i="6"/>
  <c r="BH481" i="6"/>
  <c r="BS481" i="6"/>
  <c r="CL481" i="6"/>
  <c r="CJ481" i="6"/>
  <c r="BE481" i="6"/>
  <c r="BD481" i="6"/>
  <c r="BA481" i="6"/>
  <c r="AS481" i="6"/>
  <c r="CI481" i="6"/>
  <c r="CA481" i="6"/>
  <c r="BN481" i="6"/>
  <c r="BO481" i="6"/>
  <c r="BX481" i="6"/>
  <c r="L483" i="12"/>
  <c r="J483" i="12"/>
  <c r="E483" i="12"/>
  <c r="F483" i="6"/>
  <c r="AB479" i="5"/>
  <c r="AA479" i="5"/>
  <c r="W478" i="12"/>
  <c r="X478" i="12"/>
  <c r="G481" i="12"/>
  <c r="X481" i="5"/>
  <c r="CF481" i="6"/>
  <c r="AY481" i="6"/>
  <c r="BR481" i="6"/>
  <c r="E478" i="6"/>
  <c r="D478" i="12"/>
  <c r="D484" i="5"/>
  <c r="B484" i="12" s="1"/>
  <c r="AE484" i="5"/>
  <c r="E484" i="5"/>
  <c r="C485" i="5"/>
  <c r="W484" i="5"/>
  <c r="H484" i="12" s="1"/>
  <c r="J484" i="5"/>
  <c r="G484" i="5"/>
  <c r="H484" i="5"/>
  <c r="F484" i="5"/>
  <c r="B484" i="6"/>
  <c r="AD484" i="5"/>
  <c r="R484" i="5"/>
  <c r="K484" i="5"/>
  <c r="B484" i="5"/>
  <c r="N484" i="5"/>
  <c r="A484" i="12"/>
  <c r="V476" i="12"/>
  <c r="T476" i="12"/>
  <c r="U476" i="12"/>
  <c r="CE481" i="6"/>
  <c r="BJ481" i="6"/>
  <c r="CD481" i="6"/>
  <c r="D483" i="6"/>
  <c r="C479" i="12"/>
  <c r="O479" i="12"/>
  <c r="AO479" i="12"/>
  <c r="M479" i="12"/>
  <c r="CB482" i="6"/>
  <c r="CE482" i="6"/>
  <c r="CD482" i="6"/>
  <c r="M482" i="6"/>
  <c r="BF482" i="6"/>
  <c r="CC482" i="6"/>
  <c r="BS482" i="6"/>
  <c r="CL482" i="6"/>
  <c r="BO482" i="6"/>
  <c r="BQ482" i="6"/>
  <c r="BK482" i="6"/>
  <c r="BD482" i="6"/>
  <c r="CM482" i="6"/>
  <c r="G482" i="6"/>
  <c r="BZ482" i="6"/>
  <c r="BY482" i="6"/>
  <c r="H482" i="6"/>
  <c r="T482" i="5" s="1"/>
  <c r="G482" i="12" s="1"/>
  <c r="CH482" i="6"/>
  <c r="BC482" i="6"/>
  <c r="CG482" i="6"/>
  <c r="BT482" i="6"/>
  <c r="BH482" i="6"/>
  <c r="N482" i="6"/>
  <c r="BR482" i="6"/>
  <c r="BV482" i="6"/>
  <c r="BI482" i="6"/>
  <c r="BN482" i="6"/>
  <c r="BX482" i="6"/>
  <c r="CK482" i="6"/>
  <c r="BJ482" i="6"/>
  <c r="BW482" i="6"/>
  <c r="AU482" i="6"/>
  <c r="CF482" i="6"/>
  <c r="BL482" i="6"/>
  <c r="CJ482" i="6"/>
  <c r="AJ482" i="6"/>
  <c r="CA482" i="6"/>
  <c r="BE482" i="6"/>
  <c r="BG482" i="6"/>
  <c r="CI482" i="6"/>
  <c r="BP482" i="6"/>
  <c r="BM482" i="6"/>
  <c r="BZ481" i="6"/>
  <c r="BY481" i="6"/>
  <c r="AR481" i="6"/>
  <c r="AW481" i="6"/>
  <c r="AZ481" i="6"/>
  <c r="AT481" i="6"/>
  <c r="CH481" i="6"/>
  <c r="C479" i="6"/>
  <c r="O479" i="5"/>
  <c r="AM480" i="5"/>
  <c r="L480" i="5"/>
  <c r="I480" i="12"/>
  <c r="Z480" i="5"/>
  <c r="I480" i="5"/>
  <c r="AC480" i="5"/>
  <c r="AJ480" i="6"/>
  <c r="N478" i="12"/>
  <c r="BM481" i="6"/>
  <c r="AP481" i="6"/>
  <c r="CM481" i="6"/>
  <c r="BC481" i="6"/>
  <c r="AX481" i="6"/>
  <c r="CB481" i="6"/>
  <c r="AN481" i="6"/>
  <c r="BQ481" i="6"/>
  <c r="CC481" i="6"/>
  <c r="AV481" i="6"/>
  <c r="BK481" i="6"/>
  <c r="AK481" i="6"/>
  <c r="AQ481" i="6"/>
  <c r="V477" i="12"/>
  <c r="T477" i="12"/>
  <c r="U477" i="12"/>
  <c r="AN482" i="6" l="1"/>
  <c r="C480" i="12"/>
  <c r="AO480" i="12"/>
  <c r="M480" i="12"/>
  <c r="O480" i="12"/>
  <c r="AO482" i="6"/>
  <c r="AL482" i="6"/>
  <c r="F484" i="6"/>
  <c r="E484" i="12"/>
  <c r="C480" i="6"/>
  <c r="O480" i="5"/>
  <c r="AM482" i="6"/>
  <c r="AP482" i="6"/>
  <c r="AQ482" i="6"/>
  <c r="AZ482" i="6"/>
  <c r="Y479" i="12"/>
  <c r="H483" i="6"/>
  <c r="T483" i="5" s="1"/>
  <c r="G483" i="6"/>
  <c r="M483" i="6"/>
  <c r="BY483" i="6" s="1"/>
  <c r="BF483" i="6"/>
  <c r="CD483" i="6"/>
  <c r="BX483" i="6"/>
  <c r="BJ483" i="6"/>
  <c r="AP483" i="6"/>
  <c r="BP483" i="6"/>
  <c r="AX483" i="6"/>
  <c r="CE483" i="6"/>
  <c r="CC483" i="6"/>
  <c r="CL483" i="6"/>
  <c r="BS483" i="6"/>
  <c r="N483" i="6"/>
  <c r="BH483" i="6"/>
  <c r="BE483" i="6"/>
  <c r="BG483" i="6"/>
  <c r="BO483" i="6"/>
  <c r="CF483" i="6"/>
  <c r="CH483" i="6"/>
  <c r="BR483" i="6"/>
  <c r="J484" i="12"/>
  <c r="L484" i="12"/>
  <c r="AT482" i="6"/>
  <c r="AY482" i="6"/>
  <c r="AS482" i="6"/>
  <c r="BA482" i="6"/>
  <c r="AV482" i="6"/>
  <c r="AX482" i="6"/>
  <c r="N479" i="12"/>
  <c r="D484" i="6"/>
  <c r="H485" i="5"/>
  <c r="B485" i="6"/>
  <c r="N485" i="5"/>
  <c r="R485" i="5"/>
  <c r="E485" i="5"/>
  <c r="G485" i="5"/>
  <c r="K485" i="5"/>
  <c r="J485" i="5"/>
  <c r="B485" i="5"/>
  <c r="AD485" i="5"/>
  <c r="F485" i="5"/>
  <c r="W485" i="5"/>
  <c r="H485" i="12" s="1"/>
  <c r="AE485" i="5"/>
  <c r="C486" i="5"/>
  <c r="A485" i="12"/>
  <c r="D485" i="5"/>
  <c r="B485" i="12" s="1"/>
  <c r="U478" i="12"/>
  <c r="T478" i="12"/>
  <c r="V478" i="12"/>
  <c r="AA480" i="5"/>
  <c r="AB480" i="5"/>
  <c r="D479" i="12"/>
  <c r="E479" i="6"/>
  <c r="AW482" i="6"/>
  <c r="AR482" i="6"/>
  <c r="AK482" i="6"/>
  <c r="AM481" i="5"/>
  <c r="L481" i="5"/>
  <c r="I481" i="12"/>
  <c r="I481" i="5"/>
  <c r="Z481" i="5"/>
  <c r="AC481" i="5"/>
  <c r="AJ481" i="6"/>
  <c r="K483" i="12"/>
  <c r="BZ483" i="6" l="1"/>
  <c r="CG483" i="6"/>
  <c r="CB483" i="6"/>
  <c r="BL483" i="6"/>
  <c r="N480" i="12"/>
  <c r="AV483" i="6"/>
  <c r="AM483" i="6"/>
  <c r="AQ483" i="6"/>
  <c r="BA483" i="6"/>
  <c r="AL483" i="6"/>
  <c r="AO483" i="6"/>
  <c r="CA483" i="6"/>
  <c r="AW483" i="6"/>
  <c r="K484" i="12"/>
  <c r="AT483" i="6"/>
  <c r="BI483" i="6"/>
  <c r="AA481" i="5"/>
  <c r="AB481" i="5"/>
  <c r="E486" i="5"/>
  <c r="H486" i="5"/>
  <c r="AE486" i="5"/>
  <c r="R486" i="5"/>
  <c r="K486" i="5"/>
  <c r="J486" i="5"/>
  <c r="F486" i="5"/>
  <c r="B486" i="6"/>
  <c r="G486" i="5"/>
  <c r="A486" i="12"/>
  <c r="C487" i="5"/>
  <c r="AD486" i="5"/>
  <c r="W486" i="5"/>
  <c r="H486" i="12" s="1"/>
  <c r="B486" i="5"/>
  <c r="D486" i="5"/>
  <c r="B486" i="12" s="1"/>
  <c r="N486" i="5"/>
  <c r="AY483" i="6"/>
  <c r="CI483" i="6"/>
  <c r="BW483" i="6"/>
  <c r="G483" i="12"/>
  <c r="X483" i="5"/>
  <c r="E485" i="12"/>
  <c r="F485" i="6"/>
  <c r="AS483" i="6"/>
  <c r="BM483" i="6"/>
  <c r="BT483" i="6"/>
  <c r="AU483" i="6"/>
  <c r="CK483" i="6"/>
  <c r="BK483" i="6"/>
  <c r="W479" i="12"/>
  <c r="X479" i="12"/>
  <c r="C481" i="12"/>
  <c r="AO481" i="12"/>
  <c r="O481" i="12"/>
  <c r="M481" i="12"/>
  <c r="D485" i="6"/>
  <c r="H484" i="6"/>
  <c r="T484" i="5" s="1"/>
  <c r="M484" i="6"/>
  <c r="BV484" i="6" s="1"/>
  <c r="BY484" i="6"/>
  <c r="BT484" i="6"/>
  <c r="CA484" i="6"/>
  <c r="BJ484" i="6"/>
  <c r="N484" i="6"/>
  <c r="BO484" i="6"/>
  <c r="BM484" i="6"/>
  <c r="BG484" i="6"/>
  <c r="CH484" i="6"/>
  <c r="CB484" i="6"/>
  <c r="BS484" i="6"/>
  <c r="G484" i="6"/>
  <c r="AK484" i="6"/>
  <c r="AS484" i="6"/>
  <c r="BK484" i="6"/>
  <c r="AZ484" i="6"/>
  <c r="BD484" i="6"/>
  <c r="BE484" i="6"/>
  <c r="CM484" i="6"/>
  <c r="AN484" i="6"/>
  <c r="AR483" i="6"/>
  <c r="CM483" i="6"/>
  <c r="CJ483" i="6"/>
  <c r="AZ483" i="6"/>
  <c r="BV483" i="6"/>
  <c r="BQ483" i="6"/>
  <c r="D480" i="12"/>
  <c r="E480" i="6"/>
  <c r="Y480" i="12"/>
  <c r="C481" i="6"/>
  <c r="O481" i="5"/>
  <c r="L485" i="12"/>
  <c r="J485" i="12"/>
  <c r="AN483" i="6"/>
  <c r="BD483" i="6"/>
  <c r="AK483" i="6"/>
  <c r="AJ483" i="6"/>
  <c r="BC483" i="6"/>
  <c r="BN483" i="6"/>
  <c r="AW484" i="6" l="1"/>
  <c r="AP484" i="6"/>
  <c r="AR484" i="6"/>
  <c r="AX484" i="6"/>
  <c r="AO484" i="6"/>
  <c r="CD484" i="6"/>
  <c r="CC484" i="6"/>
  <c r="CE484" i="6"/>
  <c r="AU484" i="6"/>
  <c r="CJ484" i="6"/>
  <c r="BR484" i="6"/>
  <c r="BL484" i="6"/>
  <c r="BC484" i="6"/>
  <c r="G484" i="12"/>
  <c r="X484" i="5"/>
  <c r="AJ484" i="6" s="1"/>
  <c r="N481" i="12"/>
  <c r="T479" i="12"/>
  <c r="V479" i="12"/>
  <c r="U479" i="12"/>
  <c r="K485" i="12"/>
  <c r="BF484" i="6"/>
  <c r="BZ484" i="6"/>
  <c r="BI484" i="6"/>
  <c r="CF484" i="6"/>
  <c r="BP484" i="6"/>
  <c r="AY484" i="6"/>
  <c r="AM484" i="6"/>
  <c r="BW484" i="6"/>
  <c r="BN484" i="6"/>
  <c r="AV484" i="6"/>
  <c r="Y481" i="12"/>
  <c r="I483" i="12"/>
  <c r="AM483" i="5"/>
  <c r="L483" i="5"/>
  <c r="Z483" i="5"/>
  <c r="I483" i="5"/>
  <c r="AC483" i="5"/>
  <c r="H487" i="5"/>
  <c r="D487" i="5"/>
  <c r="B487" i="12" s="1"/>
  <c r="AE487" i="5"/>
  <c r="AD487" i="5"/>
  <c r="W487" i="5"/>
  <c r="H487" i="12" s="1"/>
  <c r="F487" i="5"/>
  <c r="G487" i="5"/>
  <c r="B487" i="6"/>
  <c r="B487" i="5"/>
  <c r="N487" i="5"/>
  <c r="E487" i="5"/>
  <c r="R487" i="5"/>
  <c r="A487" i="12"/>
  <c r="J487" i="5"/>
  <c r="K487" i="5"/>
  <c r="C488" i="5"/>
  <c r="D481" i="12"/>
  <c r="E481" i="6"/>
  <c r="W480" i="12"/>
  <c r="X480" i="12"/>
  <c r="CK484" i="6"/>
  <c r="BH484" i="6"/>
  <c r="BX484" i="6"/>
  <c r="AQ484" i="6"/>
  <c r="BA484" i="6"/>
  <c r="AT484" i="6"/>
  <c r="AL484" i="6"/>
  <c r="CL484" i="6"/>
  <c r="BQ484" i="6"/>
  <c r="CG484" i="6"/>
  <c r="CI484" i="6"/>
  <c r="N485" i="6"/>
  <c r="G485" i="6"/>
  <c r="M485" i="6"/>
  <c r="BD485" i="6" s="1"/>
  <c r="H485" i="6"/>
  <c r="T485" i="5" s="1"/>
  <c r="CJ485" i="6"/>
  <c r="BJ485" i="6"/>
  <c r="BK485" i="6"/>
  <c r="L486" i="12"/>
  <c r="J486" i="12"/>
  <c r="F486" i="6"/>
  <c r="E486" i="12"/>
  <c r="D486" i="6"/>
  <c r="CF485" i="6" l="1"/>
  <c r="BC485" i="6"/>
  <c r="BT485" i="6"/>
  <c r="CC485" i="6"/>
  <c r="BH485" i="6"/>
  <c r="BO485" i="6"/>
  <c r="CH485" i="6"/>
  <c r="BM485" i="6"/>
  <c r="BW485" i="6"/>
  <c r="AK485" i="6"/>
  <c r="AM485" i="6"/>
  <c r="BL485" i="6"/>
  <c r="CK485" i="6"/>
  <c r="AX485" i="6"/>
  <c r="CA485" i="6"/>
  <c r="BE485" i="6"/>
  <c r="K486" i="12"/>
  <c r="AZ485" i="6"/>
  <c r="AU485" i="6"/>
  <c r="BS485" i="6"/>
  <c r="CL485" i="6"/>
  <c r="AR485" i="6"/>
  <c r="AT485" i="6"/>
  <c r="G485" i="12"/>
  <c r="X485" i="5"/>
  <c r="CI485" i="6"/>
  <c r="AY485" i="6"/>
  <c r="AW485" i="6"/>
  <c r="BN485" i="6"/>
  <c r="CD485" i="6"/>
  <c r="BQ485" i="6"/>
  <c r="BG485" i="6"/>
  <c r="AD488" i="5"/>
  <c r="G488" i="5"/>
  <c r="H488" i="5"/>
  <c r="B488" i="6"/>
  <c r="R488" i="5"/>
  <c r="B488" i="5"/>
  <c r="K488" i="5"/>
  <c r="F488" i="5"/>
  <c r="A488" i="12"/>
  <c r="D488" i="5"/>
  <c r="B488" i="12" s="1"/>
  <c r="E488" i="5"/>
  <c r="J488" i="5"/>
  <c r="C489" i="5"/>
  <c r="AE488" i="5"/>
  <c r="W488" i="5"/>
  <c r="H488" i="12" s="1"/>
  <c r="N488" i="5"/>
  <c r="AB483" i="5"/>
  <c r="AA483" i="5"/>
  <c r="X481" i="12"/>
  <c r="W481" i="12"/>
  <c r="AP485" i="6"/>
  <c r="AV485" i="6"/>
  <c r="BP485" i="6"/>
  <c r="V480" i="12"/>
  <c r="T480" i="12"/>
  <c r="U480" i="12"/>
  <c r="F487" i="6"/>
  <c r="E487" i="12"/>
  <c r="C483" i="6"/>
  <c r="O483" i="5"/>
  <c r="AM484" i="5"/>
  <c r="I484" i="12"/>
  <c r="L484" i="5"/>
  <c r="Z484" i="5"/>
  <c r="I484" i="5"/>
  <c r="AC484" i="5"/>
  <c r="N486" i="6"/>
  <c r="G486" i="6"/>
  <c r="M486" i="6"/>
  <c r="BE486" i="6" s="1"/>
  <c r="BG486" i="6"/>
  <c r="H486" i="6"/>
  <c r="T486" i="5" s="1"/>
  <c r="CJ486" i="6"/>
  <c r="CI486" i="6"/>
  <c r="BL486" i="6"/>
  <c r="BC486" i="6"/>
  <c r="AW486" i="6"/>
  <c r="AK486" i="6"/>
  <c r="BR486" i="6"/>
  <c r="CL486" i="6"/>
  <c r="BK486" i="6"/>
  <c r="BZ486" i="6"/>
  <c r="BV486" i="6"/>
  <c r="CB486" i="6"/>
  <c r="BX485" i="6"/>
  <c r="BV485" i="6"/>
  <c r="AQ485" i="6"/>
  <c r="BI485" i="6"/>
  <c r="AL485" i="6"/>
  <c r="BZ485" i="6"/>
  <c r="CE485" i="6"/>
  <c r="AO485" i="6"/>
  <c r="CM485" i="6"/>
  <c r="BY485" i="6"/>
  <c r="AN485" i="6"/>
  <c r="AS485" i="6"/>
  <c r="CB485" i="6"/>
  <c r="BA485" i="6"/>
  <c r="CG485" i="6"/>
  <c r="BR485" i="6"/>
  <c r="BF485" i="6"/>
  <c r="J487" i="12"/>
  <c r="L487" i="12"/>
  <c r="K487" i="12" s="1"/>
  <c r="D487" i="6"/>
  <c r="C483" i="12"/>
  <c r="M483" i="12"/>
  <c r="AO483" i="12"/>
  <c r="O483" i="12"/>
  <c r="CF486" i="6" l="1"/>
  <c r="BJ486" i="6"/>
  <c r="AS486" i="6"/>
  <c r="CM486" i="6"/>
  <c r="BF486" i="6"/>
  <c r="CG486" i="6"/>
  <c r="BO486" i="6"/>
  <c r="CE486" i="6"/>
  <c r="AO486" i="6"/>
  <c r="BX486" i="6"/>
  <c r="BP486" i="6"/>
  <c r="CC486" i="6"/>
  <c r="BD486" i="6"/>
  <c r="N483" i="12"/>
  <c r="AV486" i="6"/>
  <c r="AP486" i="6"/>
  <c r="CH486" i="6"/>
  <c r="AL486" i="6"/>
  <c r="BT486" i="6"/>
  <c r="AQ486" i="6"/>
  <c r="C484" i="12"/>
  <c r="M484" i="12"/>
  <c r="AO484" i="12"/>
  <c r="O484" i="12"/>
  <c r="N484" i="12" s="1"/>
  <c r="V481" i="12"/>
  <c r="U481" i="12"/>
  <c r="T481" i="12"/>
  <c r="AZ486" i="6"/>
  <c r="BS486" i="6"/>
  <c r="BY486" i="6"/>
  <c r="D488" i="6"/>
  <c r="E488" i="12"/>
  <c r="F488" i="6"/>
  <c r="AM485" i="5"/>
  <c r="I485" i="12"/>
  <c r="L485" i="5"/>
  <c r="Z485" i="5"/>
  <c r="I485" i="5"/>
  <c r="AC485" i="5"/>
  <c r="AJ485" i="6"/>
  <c r="AN486" i="6"/>
  <c r="CK486" i="6"/>
  <c r="BN486" i="6"/>
  <c r="AM486" i="6"/>
  <c r="AY486" i="6"/>
  <c r="CA486" i="6"/>
  <c r="AB484" i="5"/>
  <c r="AA484" i="5"/>
  <c r="E483" i="6"/>
  <c r="D483" i="12"/>
  <c r="F489" i="5"/>
  <c r="B489" i="6"/>
  <c r="D489" i="5"/>
  <c r="B489" i="12" s="1"/>
  <c r="J489" i="5"/>
  <c r="H489" i="5"/>
  <c r="AE489" i="5"/>
  <c r="C490" i="5"/>
  <c r="R489" i="5"/>
  <c r="W489" i="5"/>
  <c r="H489" i="12" s="1"/>
  <c r="N489" i="5"/>
  <c r="K489" i="5"/>
  <c r="AD489" i="5"/>
  <c r="E489" i="5"/>
  <c r="B489" i="5"/>
  <c r="A489" i="12"/>
  <c r="G489" i="5"/>
  <c r="Y483" i="12"/>
  <c r="H487" i="6"/>
  <c r="T487" i="5" s="1"/>
  <c r="N487" i="6"/>
  <c r="G487" i="6"/>
  <c r="M487" i="6"/>
  <c r="CL487" i="6" s="1"/>
  <c r="AT486" i="6"/>
  <c r="BM486" i="6"/>
  <c r="CD486" i="6"/>
  <c r="BH486" i="6"/>
  <c r="AR486" i="6"/>
  <c r="AX486" i="6"/>
  <c r="G486" i="12"/>
  <c r="X486" i="5"/>
  <c r="AU486" i="6"/>
  <c r="BI486" i="6"/>
  <c r="BW486" i="6"/>
  <c r="BA486" i="6"/>
  <c r="BQ486" i="6"/>
  <c r="C484" i="6"/>
  <c r="O484" i="5"/>
  <c r="L488" i="12"/>
  <c r="J488" i="12"/>
  <c r="CK487" i="6" l="1"/>
  <c r="AV487" i="6"/>
  <c r="BW487" i="6"/>
  <c r="AP487" i="6"/>
  <c r="AL487" i="6"/>
  <c r="CF487" i="6"/>
  <c r="AK487" i="6"/>
  <c r="BS487" i="6"/>
  <c r="K488" i="12"/>
  <c r="I486" i="12"/>
  <c r="L486" i="5"/>
  <c r="AM486" i="5"/>
  <c r="Z486" i="5"/>
  <c r="I486" i="5"/>
  <c r="AC486" i="5"/>
  <c r="AJ486" i="6"/>
  <c r="BJ487" i="6"/>
  <c r="CD487" i="6"/>
  <c r="CI487" i="6"/>
  <c r="BL487" i="6"/>
  <c r="CH487" i="6"/>
  <c r="CB487" i="6"/>
  <c r="BO487" i="6"/>
  <c r="AW487" i="6"/>
  <c r="CE487" i="6"/>
  <c r="BD487" i="6"/>
  <c r="AM487" i="6"/>
  <c r="AS487" i="6"/>
  <c r="BN487" i="6"/>
  <c r="BT487" i="6"/>
  <c r="E489" i="12"/>
  <c r="F489" i="6"/>
  <c r="C485" i="12"/>
  <c r="M485" i="12"/>
  <c r="O485" i="12"/>
  <c r="N485" i="12" s="1"/>
  <c r="AO485" i="12"/>
  <c r="E484" i="6"/>
  <c r="D484" i="12"/>
  <c r="BK487" i="6"/>
  <c r="CG487" i="6"/>
  <c r="BG487" i="6"/>
  <c r="CC487" i="6"/>
  <c r="AQ487" i="6"/>
  <c r="BA487" i="6"/>
  <c r="CJ487" i="6"/>
  <c r="AR487" i="6"/>
  <c r="BF487" i="6"/>
  <c r="BC487" i="6"/>
  <c r="BZ487" i="6"/>
  <c r="BQ487" i="6"/>
  <c r="BX487" i="6"/>
  <c r="CM487" i="6"/>
  <c r="G487" i="12"/>
  <c r="X487" i="5"/>
  <c r="AJ487" i="6" s="1"/>
  <c r="L489" i="12"/>
  <c r="J489" i="12"/>
  <c r="A490" i="12"/>
  <c r="H490" i="5"/>
  <c r="AE490" i="5"/>
  <c r="E490" i="5"/>
  <c r="B490" i="5"/>
  <c r="AD490" i="5"/>
  <c r="N490" i="5"/>
  <c r="D490" i="5"/>
  <c r="B490" i="12" s="1"/>
  <c r="C491" i="5"/>
  <c r="B490" i="6"/>
  <c r="G490" i="5"/>
  <c r="W490" i="5"/>
  <c r="H490" i="12" s="1"/>
  <c r="J490" i="5"/>
  <c r="K490" i="5"/>
  <c r="F490" i="5"/>
  <c r="R490" i="5"/>
  <c r="H488" i="6"/>
  <c r="T488" i="5" s="1"/>
  <c r="CJ488" i="6"/>
  <c r="G488" i="6"/>
  <c r="N488" i="6"/>
  <c r="AN488" i="6"/>
  <c r="AW488" i="6"/>
  <c r="BO488" i="6"/>
  <c r="M488" i="6"/>
  <c r="BH488" i="6" s="1"/>
  <c r="BE488" i="6"/>
  <c r="AO488" i="6"/>
  <c r="BR488" i="6"/>
  <c r="AK488" i="6"/>
  <c r="AQ488" i="6"/>
  <c r="BD488" i="6"/>
  <c r="CI488" i="6"/>
  <c r="Y484" i="12"/>
  <c r="BR487" i="6"/>
  <c r="BM487" i="6"/>
  <c r="AU487" i="6"/>
  <c r="AT487" i="6"/>
  <c r="BP487" i="6"/>
  <c r="BI487" i="6"/>
  <c r="CA487" i="6"/>
  <c r="AO487" i="6"/>
  <c r="BY487" i="6"/>
  <c r="AY487" i="6"/>
  <c r="X483" i="12"/>
  <c r="W483" i="12"/>
  <c r="AA485" i="5"/>
  <c r="AB485" i="5"/>
  <c r="AN487" i="6"/>
  <c r="BE487" i="6"/>
  <c r="BH487" i="6"/>
  <c r="AX487" i="6"/>
  <c r="AZ487" i="6"/>
  <c r="BV487" i="6"/>
  <c r="D489" i="6"/>
  <c r="C485" i="6"/>
  <c r="O485" i="5"/>
  <c r="K489" i="12" l="1"/>
  <c r="AU488" i="6"/>
  <c r="CH488" i="6"/>
  <c r="CB488" i="6"/>
  <c r="CE488" i="6"/>
  <c r="BY488" i="6"/>
  <c r="BA488" i="6"/>
  <c r="CM488" i="6"/>
  <c r="CK488" i="6"/>
  <c r="CG488" i="6"/>
  <c r="BQ488" i="6"/>
  <c r="BK488" i="6"/>
  <c r="BX488" i="6"/>
  <c r="BV488" i="6"/>
  <c r="BZ488" i="6"/>
  <c r="BP488" i="6"/>
  <c r="CC488" i="6"/>
  <c r="AX488" i="6"/>
  <c r="BW488" i="6"/>
  <c r="AV488" i="6"/>
  <c r="CA488" i="6"/>
  <c r="AS488" i="6"/>
  <c r="BG488" i="6"/>
  <c r="CF488" i="6"/>
  <c r="BJ488" i="6"/>
  <c r="E490" i="12"/>
  <c r="F490" i="6"/>
  <c r="D485" i="12"/>
  <c r="E485" i="6"/>
  <c r="U483" i="12"/>
  <c r="T483" i="12"/>
  <c r="V483" i="12"/>
  <c r="W484" i="12"/>
  <c r="X484" i="12"/>
  <c r="AZ488" i="6"/>
  <c r="AT488" i="6"/>
  <c r="CL488" i="6"/>
  <c r="BN488" i="6"/>
  <c r="AP488" i="6"/>
  <c r="BT488" i="6"/>
  <c r="AL488" i="6"/>
  <c r="BF488" i="6"/>
  <c r="AY488" i="6"/>
  <c r="AM488" i="6"/>
  <c r="BI488" i="6"/>
  <c r="AR488" i="6"/>
  <c r="D490" i="6"/>
  <c r="J490" i="12"/>
  <c r="L490" i="12"/>
  <c r="Y485" i="12"/>
  <c r="C486" i="6"/>
  <c r="O486" i="5"/>
  <c r="C486" i="12"/>
  <c r="O486" i="12"/>
  <c r="AO486" i="12"/>
  <c r="M486" i="12"/>
  <c r="N489" i="6"/>
  <c r="M489" i="6"/>
  <c r="BL489" i="6" s="1"/>
  <c r="H489" i="6"/>
  <c r="T489" i="5" s="1"/>
  <c r="BP489" i="6"/>
  <c r="CD489" i="6"/>
  <c r="CB489" i="6"/>
  <c r="BI489" i="6"/>
  <c r="BG489" i="6"/>
  <c r="CG489" i="6"/>
  <c r="BX489" i="6"/>
  <c r="BR489" i="6"/>
  <c r="CK489" i="6"/>
  <c r="G489" i="6"/>
  <c r="BH489" i="6"/>
  <c r="CJ489" i="6"/>
  <c r="CA489" i="6"/>
  <c r="BF489" i="6"/>
  <c r="CM489" i="6"/>
  <c r="BO489" i="6"/>
  <c r="BT489" i="6"/>
  <c r="BC489" i="6"/>
  <c r="BJ489" i="6"/>
  <c r="CD488" i="6"/>
  <c r="BS488" i="6"/>
  <c r="BL488" i="6"/>
  <c r="BC488" i="6"/>
  <c r="BM488" i="6"/>
  <c r="G488" i="12"/>
  <c r="X488" i="5"/>
  <c r="F491" i="5"/>
  <c r="C492" i="5"/>
  <c r="AE491" i="5"/>
  <c r="H491" i="5"/>
  <c r="E491" i="5"/>
  <c r="B491" i="6"/>
  <c r="W491" i="5"/>
  <c r="H491" i="12" s="1"/>
  <c r="N491" i="5"/>
  <c r="A491" i="12"/>
  <c r="I491" i="5"/>
  <c r="AD491" i="5"/>
  <c r="G491" i="5"/>
  <c r="B491" i="5"/>
  <c r="AM487" i="5"/>
  <c r="L487" i="5"/>
  <c r="I487" i="12"/>
  <c r="I487" i="5"/>
  <c r="Z487" i="5"/>
  <c r="AC487" i="5"/>
  <c r="AB486" i="5"/>
  <c r="AA486" i="5"/>
  <c r="AV489" i="6" l="1"/>
  <c r="K490" i="12"/>
  <c r="AQ489" i="6"/>
  <c r="AS489" i="6"/>
  <c r="AK489" i="6"/>
  <c r="BZ489" i="6"/>
  <c r="BS489" i="6"/>
  <c r="CH489" i="6"/>
  <c r="AZ489" i="6"/>
  <c r="CI489" i="6"/>
  <c r="CL489" i="6"/>
  <c r="AP489" i="6"/>
  <c r="BW489" i="6"/>
  <c r="BV489" i="6"/>
  <c r="BN489" i="6"/>
  <c r="CF489" i="6"/>
  <c r="CE489" i="6"/>
  <c r="AL489" i="6"/>
  <c r="AO489" i="6"/>
  <c r="BA489" i="6"/>
  <c r="AY489" i="6"/>
  <c r="AT489" i="6"/>
  <c r="AW489" i="6"/>
  <c r="AN489" i="6"/>
  <c r="BY489" i="6"/>
  <c r="BD489" i="6"/>
  <c r="BM489" i="6"/>
  <c r="C487" i="6"/>
  <c r="O487" i="5"/>
  <c r="N492" i="5"/>
  <c r="F492" i="5"/>
  <c r="A492" i="12"/>
  <c r="AE492" i="5"/>
  <c r="E492" i="5"/>
  <c r="I492" i="5"/>
  <c r="B492" i="6"/>
  <c r="G492" i="5"/>
  <c r="W492" i="5"/>
  <c r="H492" i="12" s="1"/>
  <c r="C493" i="5"/>
  <c r="H492" i="5"/>
  <c r="B492" i="5"/>
  <c r="AD492" i="5"/>
  <c r="C487" i="12"/>
  <c r="O487" i="12"/>
  <c r="M487" i="12"/>
  <c r="AO487" i="12"/>
  <c r="D491" i="6"/>
  <c r="I488" i="12"/>
  <c r="L488" i="5"/>
  <c r="AM488" i="5"/>
  <c r="Z488" i="5"/>
  <c r="I488" i="5"/>
  <c r="AC488" i="5"/>
  <c r="AJ488" i="6"/>
  <c r="AR489" i="6"/>
  <c r="BE489" i="6"/>
  <c r="AU489" i="6"/>
  <c r="N486" i="12"/>
  <c r="X485" i="12"/>
  <c r="W485" i="12"/>
  <c r="CC489" i="6"/>
  <c r="BK489" i="6"/>
  <c r="BQ489" i="6"/>
  <c r="U484" i="12"/>
  <c r="V484" i="12"/>
  <c r="T484" i="12"/>
  <c r="AA487" i="5"/>
  <c r="AB487" i="5"/>
  <c r="D486" i="12"/>
  <c r="E486" i="6"/>
  <c r="G489" i="12"/>
  <c r="X489" i="5"/>
  <c r="AM489" i="6"/>
  <c r="AX489" i="6"/>
  <c r="Y486" i="12"/>
  <c r="N490" i="6"/>
  <c r="G490" i="6"/>
  <c r="H490" i="6"/>
  <c r="T490" i="5" s="1"/>
  <c r="M490" i="6"/>
  <c r="CI490" i="6" s="1"/>
  <c r="N487" i="12" l="1"/>
  <c r="G490" i="12"/>
  <c r="X490" i="5"/>
  <c r="AJ490" i="6" s="1"/>
  <c r="BV490" i="6"/>
  <c r="CG490" i="6"/>
  <c r="AV490" i="6"/>
  <c r="BH490" i="6"/>
  <c r="BD490" i="6"/>
  <c r="BI490" i="6"/>
  <c r="CM490" i="6"/>
  <c r="CK490" i="6"/>
  <c r="AO490" i="6"/>
  <c r="BT490" i="6"/>
  <c r="BL490" i="6"/>
  <c r="BW490" i="6"/>
  <c r="BD491" i="6"/>
  <c r="G491" i="6"/>
  <c r="BH491" i="6"/>
  <c r="M491" i="6"/>
  <c r="CE491" i="6"/>
  <c r="BC491" i="6"/>
  <c r="CM491" i="6"/>
  <c r="BN491" i="6"/>
  <c r="CH491" i="6"/>
  <c r="BP491" i="6"/>
  <c r="BO491" i="6"/>
  <c r="H491" i="6"/>
  <c r="T491" i="5" s="1"/>
  <c r="G491" i="12" s="1"/>
  <c r="BV491" i="6"/>
  <c r="BW491" i="6"/>
  <c r="BF491" i="6"/>
  <c r="CD491" i="6"/>
  <c r="BY491" i="6"/>
  <c r="CI491" i="6"/>
  <c r="BS491" i="6"/>
  <c r="BK491" i="6"/>
  <c r="BJ491" i="6"/>
  <c r="CG491" i="6"/>
  <c r="CL491" i="6"/>
  <c r="CC491" i="6"/>
  <c r="CF491" i="6"/>
  <c r="BX491" i="6"/>
  <c r="BZ491" i="6"/>
  <c r="BQ491" i="6"/>
  <c r="BE491" i="6"/>
  <c r="BM491" i="6"/>
  <c r="BG491" i="6"/>
  <c r="N491" i="6"/>
  <c r="BI491" i="6"/>
  <c r="CK491" i="6"/>
  <c r="CB491" i="6"/>
  <c r="BT491" i="6"/>
  <c r="BL491" i="6"/>
  <c r="BR491" i="6"/>
  <c r="CJ491" i="6"/>
  <c r="CA491" i="6"/>
  <c r="AN490" i="6"/>
  <c r="CF490" i="6"/>
  <c r="CB490" i="6"/>
  <c r="BJ490" i="6"/>
  <c r="AQ490" i="6"/>
  <c r="BP490" i="6"/>
  <c r="AL490" i="6"/>
  <c r="BN490" i="6"/>
  <c r="CH490" i="6"/>
  <c r="I489" i="12"/>
  <c r="L489" i="5"/>
  <c r="AM489" i="5"/>
  <c r="I489" i="5"/>
  <c r="Z489" i="5"/>
  <c r="AC489" i="5"/>
  <c r="AJ489" i="6"/>
  <c r="C488" i="6"/>
  <c r="O488" i="5"/>
  <c r="Y487" i="12"/>
  <c r="D492" i="6"/>
  <c r="CC490" i="6"/>
  <c r="AW490" i="6"/>
  <c r="BZ490" i="6"/>
  <c r="AY490" i="6"/>
  <c r="AX490" i="6"/>
  <c r="BY490" i="6"/>
  <c r="AR490" i="6"/>
  <c r="BO490" i="6"/>
  <c r="BC490" i="6"/>
  <c r="BM490" i="6"/>
  <c r="CJ490" i="6"/>
  <c r="AU490" i="6"/>
  <c r="BK490" i="6"/>
  <c r="AS490" i="6"/>
  <c r="BA490" i="6"/>
  <c r="AP490" i="6"/>
  <c r="CA490" i="6"/>
  <c r="CD490" i="6"/>
  <c r="BR490" i="6"/>
  <c r="BG490" i="6"/>
  <c r="X486" i="12"/>
  <c r="W486" i="12"/>
  <c r="T485" i="12"/>
  <c r="V485" i="12"/>
  <c r="U485" i="12"/>
  <c r="C488" i="12"/>
  <c r="M488" i="12"/>
  <c r="AO488" i="12"/>
  <c r="O488" i="12"/>
  <c r="E487" i="6"/>
  <c r="D487" i="12"/>
  <c r="BX490" i="6"/>
  <c r="BF490" i="6"/>
  <c r="AZ490" i="6"/>
  <c r="AT490" i="6"/>
  <c r="BE490" i="6"/>
  <c r="BQ490" i="6"/>
  <c r="BS490" i="6"/>
  <c r="CE490" i="6"/>
  <c r="CL490" i="6"/>
  <c r="AK490" i="6"/>
  <c r="AM490" i="6"/>
  <c r="AB488" i="5"/>
  <c r="AA488" i="5"/>
  <c r="B493" i="5"/>
  <c r="AD493" i="5"/>
  <c r="AE493" i="5"/>
  <c r="E493" i="5"/>
  <c r="W493" i="5"/>
  <c r="H493" i="12" s="1"/>
  <c r="C494" i="5"/>
  <c r="F493" i="5"/>
  <c r="B493" i="6"/>
  <c r="N493" i="5"/>
  <c r="K493" i="5"/>
  <c r="D493" i="5"/>
  <c r="B493" i="12" s="1"/>
  <c r="G493" i="5"/>
  <c r="R493" i="5"/>
  <c r="A493" i="12"/>
  <c r="H493" i="5"/>
  <c r="J493" i="5"/>
  <c r="AU491" i="6" l="1"/>
  <c r="AW491" i="6"/>
  <c r="AO491" i="6"/>
  <c r="AV491" i="6"/>
  <c r="AS491" i="6"/>
  <c r="AT491" i="6"/>
  <c r="AL491" i="6"/>
  <c r="AP491" i="6"/>
  <c r="AZ491" i="6"/>
  <c r="AJ491" i="6"/>
  <c r="AK491" i="6"/>
  <c r="N488" i="12"/>
  <c r="AY491" i="6"/>
  <c r="BA491" i="6"/>
  <c r="D493" i="6"/>
  <c r="AM491" i="6"/>
  <c r="AX491" i="6"/>
  <c r="AR491" i="6"/>
  <c r="AQ491" i="6"/>
  <c r="J493" i="12"/>
  <c r="L493" i="12"/>
  <c r="U486" i="12"/>
  <c r="V486" i="12"/>
  <c r="T486" i="12"/>
  <c r="CF492" i="6"/>
  <c r="CD492" i="6"/>
  <c r="BF492" i="6"/>
  <c r="BG492" i="6"/>
  <c r="BR492" i="6"/>
  <c r="BT492" i="6"/>
  <c r="BJ492" i="6"/>
  <c r="N492" i="6"/>
  <c r="CM492" i="6"/>
  <c r="G492" i="6"/>
  <c r="CH492" i="6"/>
  <c r="BX492" i="6"/>
  <c r="M492" i="6"/>
  <c r="CL492" i="6"/>
  <c r="BK492" i="6"/>
  <c r="CK492" i="6"/>
  <c r="BN492" i="6"/>
  <c r="CC492" i="6"/>
  <c r="CA492" i="6"/>
  <c r="BS492" i="6"/>
  <c r="CG492" i="6"/>
  <c r="CB492" i="6"/>
  <c r="BZ492" i="6"/>
  <c r="CI492" i="6"/>
  <c r="BC492" i="6"/>
  <c r="BM492" i="6"/>
  <c r="BW492" i="6"/>
  <c r="BI492" i="6"/>
  <c r="CJ492" i="6"/>
  <c r="BY492" i="6"/>
  <c r="H492" i="6"/>
  <c r="T492" i="5" s="1"/>
  <c r="G492" i="12" s="1"/>
  <c r="BL492" i="6"/>
  <c r="BO492" i="6"/>
  <c r="BH492" i="6"/>
  <c r="BD492" i="6"/>
  <c r="CE492" i="6"/>
  <c r="BE492" i="6"/>
  <c r="BP492" i="6"/>
  <c r="BQ492" i="6"/>
  <c r="BV492" i="6"/>
  <c r="AM490" i="5"/>
  <c r="L490" i="5"/>
  <c r="I490" i="12"/>
  <c r="Z490" i="5"/>
  <c r="I490" i="5"/>
  <c r="AC490" i="5"/>
  <c r="X487" i="12"/>
  <c r="W487" i="12"/>
  <c r="C489" i="6"/>
  <c r="O489" i="5"/>
  <c r="E493" i="12"/>
  <c r="F493" i="6"/>
  <c r="B494" i="5"/>
  <c r="AE494" i="5"/>
  <c r="A494" i="12"/>
  <c r="AD494" i="5"/>
  <c r="C495" i="5"/>
  <c r="F494" i="5"/>
  <c r="K494" i="5"/>
  <c r="G494" i="5"/>
  <c r="J494" i="5"/>
  <c r="D494" i="5"/>
  <c r="B494" i="12" s="1"/>
  <c r="E494" i="5"/>
  <c r="H494" i="5"/>
  <c r="N494" i="5"/>
  <c r="W494" i="5"/>
  <c r="H494" i="12" s="1"/>
  <c r="R494" i="5"/>
  <c r="B494" i="6"/>
  <c r="Y488" i="12"/>
  <c r="D488" i="12"/>
  <c r="E488" i="6"/>
  <c r="AB489" i="5"/>
  <c r="AA489" i="5"/>
  <c r="C489" i="12"/>
  <c r="M489" i="12"/>
  <c r="O489" i="12"/>
  <c r="AO489" i="12"/>
  <c r="AN491" i="6"/>
  <c r="Y489" i="12" l="1"/>
  <c r="AT492" i="6"/>
  <c r="K493" i="12"/>
  <c r="BA492" i="6"/>
  <c r="N489" i="12"/>
  <c r="D494" i="6"/>
  <c r="E489" i="6"/>
  <c r="D489" i="12"/>
  <c r="C490" i="6"/>
  <c r="O490" i="5"/>
  <c r="AO492" i="6"/>
  <c r="AP492" i="6"/>
  <c r="AY492" i="6"/>
  <c r="AV492" i="6"/>
  <c r="AM492" i="6"/>
  <c r="AX492" i="6"/>
  <c r="W489" i="12"/>
  <c r="X489" i="12"/>
  <c r="X488" i="12"/>
  <c r="W488" i="12"/>
  <c r="E494" i="12"/>
  <c r="F494" i="6"/>
  <c r="AR492" i="6"/>
  <c r="AN492" i="6"/>
  <c r="AS492" i="6"/>
  <c r="AQ492" i="6"/>
  <c r="AZ492" i="6"/>
  <c r="H493" i="6"/>
  <c r="T493" i="5" s="1"/>
  <c r="G493" i="6"/>
  <c r="M493" i="6"/>
  <c r="BL493" i="6" s="1"/>
  <c r="CD493" i="6"/>
  <c r="BR493" i="6"/>
  <c r="BF493" i="6"/>
  <c r="BC493" i="6"/>
  <c r="N493" i="6"/>
  <c r="CE493" i="6"/>
  <c r="BV493" i="6"/>
  <c r="CC493" i="6"/>
  <c r="CJ493" i="6"/>
  <c r="BT493" i="6"/>
  <c r="BG493" i="6"/>
  <c r="CL493" i="6"/>
  <c r="CK493" i="6"/>
  <c r="BI493" i="6"/>
  <c r="BD493" i="6"/>
  <c r="L494" i="12"/>
  <c r="J494" i="12"/>
  <c r="T487" i="12"/>
  <c r="V487" i="12"/>
  <c r="U487" i="12"/>
  <c r="AB490" i="5"/>
  <c r="AA490" i="5"/>
  <c r="AL492" i="6"/>
  <c r="AJ492" i="6"/>
  <c r="AE495" i="5"/>
  <c r="N495" i="5"/>
  <c r="B495" i="5"/>
  <c r="C496" i="5"/>
  <c r="A495" i="12"/>
  <c r="H495" i="5"/>
  <c r="AD495" i="5"/>
  <c r="I495" i="5"/>
  <c r="W495" i="5"/>
  <c r="H495" i="12" s="1"/>
  <c r="E495" i="5"/>
  <c r="F495" i="5"/>
  <c r="B495" i="6"/>
  <c r="G495" i="5"/>
  <c r="K492" i="5" s="1"/>
  <c r="C490" i="12"/>
  <c r="O490" i="12"/>
  <c r="M490" i="12"/>
  <c r="AO490" i="12"/>
  <c r="Y490" i="12" s="1"/>
  <c r="AU492" i="6"/>
  <c r="AK492" i="6"/>
  <c r="AW492" i="6"/>
  <c r="AK493" i="6" l="1"/>
  <c r="AV493" i="6"/>
  <c r="AT493" i="6"/>
  <c r="BQ493" i="6"/>
  <c r="AO493" i="6"/>
  <c r="K494" i="12"/>
  <c r="BZ493" i="6"/>
  <c r="BS493" i="6"/>
  <c r="CA493" i="6"/>
  <c r="BP493" i="6"/>
  <c r="AR493" i="6"/>
  <c r="BO493" i="6"/>
  <c r="AP493" i="6"/>
  <c r="BM493" i="6"/>
  <c r="D495" i="6"/>
  <c r="W490" i="12"/>
  <c r="X490" i="12"/>
  <c r="A496" i="12"/>
  <c r="C497" i="5"/>
  <c r="AE496" i="5"/>
  <c r="B496" i="6"/>
  <c r="W496" i="5"/>
  <c r="H496" i="12" s="1"/>
  <c r="J496" i="5"/>
  <c r="K496" i="5"/>
  <c r="B496" i="5"/>
  <c r="F496" i="5"/>
  <c r="N496" i="5"/>
  <c r="H496" i="5"/>
  <c r="D496" i="5"/>
  <c r="B496" i="12" s="1"/>
  <c r="E496" i="5"/>
  <c r="R496" i="5"/>
  <c r="G496" i="5"/>
  <c r="AD496" i="5"/>
  <c r="CH493" i="6"/>
  <c r="CM493" i="6"/>
  <c r="BW493" i="6"/>
  <c r="BE493" i="6"/>
  <c r="CF493" i="6"/>
  <c r="CG493" i="6"/>
  <c r="D490" i="12"/>
  <c r="E490" i="6"/>
  <c r="H494" i="6"/>
  <c r="T494" i="5" s="1"/>
  <c r="N494" i="6"/>
  <c r="M494" i="6"/>
  <c r="BN494" i="6" s="1"/>
  <c r="G494" i="6"/>
  <c r="N490" i="12"/>
  <c r="AS493" i="6"/>
  <c r="BA493" i="6"/>
  <c r="AQ493" i="6"/>
  <c r="AL493" i="6"/>
  <c r="BN493" i="6"/>
  <c r="BY493" i="6"/>
  <c r="CB493" i="6"/>
  <c r="BK493" i="6"/>
  <c r="AM493" i="6"/>
  <c r="CI493" i="6"/>
  <c r="AU493" i="6"/>
  <c r="AY493" i="6"/>
  <c r="U489" i="12"/>
  <c r="V489" i="12"/>
  <c r="T489" i="12"/>
  <c r="AX493" i="6"/>
  <c r="AZ493" i="6"/>
  <c r="G493" i="12"/>
  <c r="X493" i="5"/>
  <c r="U488" i="12"/>
  <c r="V488" i="12"/>
  <c r="T488" i="12"/>
  <c r="AN493" i="6"/>
  <c r="AW493" i="6"/>
  <c r="BJ493" i="6"/>
  <c r="BX493" i="6"/>
  <c r="BH493" i="6"/>
  <c r="BR494" i="6" l="1"/>
  <c r="AY494" i="6"/>
  <c r="AT494" i="6"/>
  <c r="AL494" i="6"/>
  <c r="AO494" i="6"/>
  <c r="CL494" i="6"/>
  <c r="AS494" i="6"/>
  <c r="BC494" i="6"/>
  <c r="AP494" i="6"/>
  <c r="CH494" i="6"/>
  <c r="AN494" i="6"/>
  <c r="BT494" i="6"/>
  <c r="AW494" i="6"/>
  <c r="BL494" i="6"/>
  <c r="AU494" i="6"/>
  <c r="BS494" i="6"/>
  <c r="BE494" i="6"/>
  <c r="BD494" i="6"/>
  <c r="AK494" i="6"/>
  <c r="CG494" i="6"/>
  <c r="BK494" i="6"/>
  <c r="AZ494" i="6"/>
  <c r="AQ494" i="6"/>
  <c r="BX494" i="6"/>
  <c r="CF494" i="6"/>
  <c r="BM494" i="6"/>
  <c r="CC494" i="6"/>
  <c r="CE494" i="6"/>
  <c r="BJ494" i="6"/>
  <c r="BG494" i="6"/>
  <c r="CI494" i="6"/>
  <c r="G494" i="12"/>
  <c r="X494" i="5"/>
  <c r="F496" i="6"/>
  <c r="E496" i="12"/>
  <c r="V490" i="12"/>
  <c r="T490" i="12"/>
  <c r="U490" i="12"/>
  <c r="BV494" i="6"/>
  <c r="CJ494" i="6"/>
  <c r="BI494" i="6"/>
  <c r="AV494" i="6"/>
  <c r="BZ494" i="6"/>
  <c r="CM494" i="6"/>
  <c r="AJ494" i="6"/>
  <c r="BQ494" i="6"/>
  <c r="BY494" i="6"/>
  <c r="CB494" i="6"/>
  <c r="J497" i="5"/>
  <c r="G497" i="5"/>
  <c r="N497" i="5"/>
  <c r="B497" i="6"/>
  <c r="D497" i="5"/>
  <c r="B497" i="12" s="1"/>
  <c r="AE497" i="5"/>
  <c r="C498" i="5"/>
  <c r="AD497" i="5"/>
  <c r="A497" i="12"/>
  <c r="H497" i="5"/>
  <c r="R497" i="5"/>
  <c r="K497" i="5"/>
  <c r="E497" i="5"/>
  <c r="B497" i="5"/>
  <c r="W497" i="5"/>
  <c r="H497" i="12" s="1"/>
  <c r="F497" i="5"/>
  <c r="I493" i="12"/>
  <c r="L493" i="5"/>
  <c r="AM493" i="5"/>
  <c r="Z493" i="5"/>
  <c r="I493" i="5"/>
  <c r="AC493" i="5"/>
  <c r="AJ493" i="6"/>
  <c r="BP494" i="6"/>
  <c r="BF494" i="6"/>
  <c r="BW494" i="6"/>
  <c r="AM494" i="6"/>
  <c r="CD494" i="6"/>
  <c r="CK494" i="6"/>
  <c r="CA494" i="6"/>
  <c r="AR494" i="6"/>
  <c r="BO494" i="6"/>
  <c r="BA494" i="6"/>
  <c r="BH494" i="6"/>
  <c r="AX494" i="6"/>
  <c r="D496" i="6"/>
  <c r="J496" i="12"/>
  <c r="L496" i="12"/>
  <c r="K496" i="12" s="1"/>
  <c r="BW495" i="6"/>
  <c r="BV495" i="6"/>
  <c r="CL495" i="6"/>
  <c r="BK495" i="6"/>
  <c r="BG495" i="6"/>
  <c r="BF495" i="6"/>
  <c r="CG495" i="6"/>
  <c r="BN495" i="6"/>
  <c r="BY495" i="6"/>
  <c r="BJ495" i="6"/>
  <c r="CA495" i="6"/>
  <c r="CF495" i="6"/>
  <c r="CH495" i="6"/>
  <c r="CD495" i="6"/>
  <c r="N495" i="6"/>
  <c r="CM495" i="6"/>
  <c r="CB495" i="6"/>
  <c r="BM495" i="6"/>
  <c r="BO495" i="6"/>
  <c r="BR495" i="6"/>
  <c r="H495" i="6"/>
  <c r="T495" i="5" s="1"/>
  <c r="G495" i="12" s="1"/>
  <c r="M495" i="6"/>
  <c r="AJ495" i="6" s="1"/>
  <c r="BZ495" i="6"/>
  <c r="BH495" i="6"/>
  <c r="BT495" i="6"/>
  <c r="BI495" i="6"/>
  <c r="BE495" i="6"/>
  <c r="BX495" i="6"/>
  <c r="CK495" i="6"/>
  <c r="CE495" i="6"/>
  <c r="CI495" i="6"/>
  <c r="BD495" i="6"/>
  <c r="CC495" i="6"/>
  <c r="AW495" i="6"/>
  <c r="BQ495" i="6"/>
  <c r="BP495" i="6"/>
  <c r="CJ495" i="6"/>
  <c r="BL495" i="6"/>
  <c r="BS495" i="6"/>
  <c r="G495" i="6"/>
  <c r="BC495" i="6"/>
  <c r="AY495" i="6" l="1"/>
  <c r="AL495" i="6"/>
  <c r="AR495" i="6"/>
  <c r="AT495" i="6"/>
  <c r="AO495" i="6"/>
  <c r="AQ495" i="6"/>
  <c r="AN495" i="6"/>
  <c r="AM495" i="6"/>
  <c r="M496" i="6"/>
  <c r="BM496" i="6" s="1"/>
  <c r="CD496" i="6"/>
  <c r="CE496" i="6"/>
  <c r="CJ496" i="6"/>
  <c r="CF496" i="6"/>
  <c r="BP496" i="6"/>
  <c r="CB496" i="6"/>
  <c r="H496" i="6"/>
  <c r="T496" i="5" s="1"/>
  <c r="G496" i="6"/>
  <c r="BZ496" i="6"/>
  <c r="BH496" i="6"/>
  <c r="CG496" i="6"/>
  <c r="CL496" i="6"/>
  <c r="BD496" i="6"/>
  <c r="BL496" i="6"/>
  <c r="BV496" i="6"/>
  <c r="BW496" i="6"/>
  <c r="CH496" i="6"/>
  <c r="BO496" i="6"/>
  <c r="N496" i="6"/>
  <c r="AA493" i="5"/>
  <c r="AB493" i="5"/>
  <c r="BA495" i="6"/>
  <c r="AU495" i="6"/>
  <c r="AK495" i="6"/>
  <c r="AP495" i="6"/>
  <c r="AZ495" i="6"/>
  <c r="AV495" i="6"/>
  <c r="E497" i="12"/>
  <c r="F497" i="6"/>
  <c r="AX495" i="6"/>
  <c r="AS495" i="6"/>
  <c r="C493" i="6"/>
  <c r="O493" i="5"/>
  <c r="E498" i="5"/>
  <c r="J498" i="5"/>
  <c r="B498" i="6"/>
  <c r="F498" i="5"/>
  <c r="G498" i="5"/>
  <c r="C499" i="5"/>
  <c r="B498" i="5"/>
  <c r="W498" i="5"/>
  <c r="H498" i="12" s="1"/>
  <c r="N498" i="5"/>
  <c r="K498" i="5"/>
  <c r="A498" i="12"/>
  <c r="H498" i="5"/>
  <c r="AE498" i="5"/>
  <c r="D498" i="5"/>
  <c r="B498" i="12" s="1"/>
  <c r="AD498" i="5"/>
  <c r="R498" i="5"/>
  <c r="AM494" i="5"/>
  <c r="L494" i="5"/>
  <c r="I494" i="12"/>
  <c r="Z494" i="5"/>
  <c r="I494" i="5"/>
  <c r="AC494" i="5"/>
  <c r="C493" i="12"/>
  <c r="AO493" i="12"/>
  <c r="O493" i="12"/>
  <c r="M493" i="12"/>
  <c r="J497" i="12"/>
  <c r="L497" i="12"/>
  <c r="D497" i="6"/>
  <c r="AO496" i="6" l="1"/>
  <c r="AU496" i="6"/>
  <c r="BA496" i="6"/>
  <c r="BG496" i="6"/>
  <c r="BN496" i="6"/>
  <c r="BI496" i="6"/>
  <c r="BQ496" i="6"/>
  <c r="CA496" i="6"/>
  <c r="CC496" i="6"/>
  <c r="CK496" i="6"/>
  <c r="BS496" i="6"/>
  <c r="AN496" i="6"/>
  <c r="AM496" i="6"/>
  <c r="BR496" i="6"/>
  <c r="AZ496" i="6"/>
  <c r="BX496" i="6"/>
  <c r="BF496" i="6"/>
  <c r="CM496" i="6"/>
  <c r="BE496" i="6"/>
  <c r="CI496" i="6"/>
  <c r="Y493" i="12"/>
  <c r="BJ496" i="6"/>
  <c r="BY496" i="6"/>
  <c r="K497" i="12"/>
  <c r="C494" i="12"/>
  <c r="O494" i="12"/>
  <c r="M494" i="12"/>
  <c r="AO494" i="12"/>
  <c r="F498" i="6"/>
  <c r="E498" i="12"/>
  <c r="D498" i="6"/>
  <c r="AT496" i="6"/>
  <c r="AP496" i="6"/>
  <c r="AX496" i="6"/>
  <c r="BC496" i="6"/>
  <c r="BK496" i="6"/>
  <c r="C494" i="6"/>
  <c r="O494" i="5"/>
  <c r="D493" i="12"/>
  <c r="E493" i="6"/>
  <c r="G496" i="12"/>
  <c r="X496" i="5"/>
  <c r="AS496" i="6"/>
  <c r="AL496" i="6"/>
  <c r="H499" i="5"/>
  <c r="AE499" i="5"/>
  <c r="A499" i="12"/>
  <c r="F499" i="5"/>
  <c r="W499" i="5"/>
  <c r="H499" i="12" s="1"/>
  <c r="B499" i="6"/>
  <c r="N499" i="5"/>
  <c r="J499" i="5"/>
  <c r="R499" i="5"/>
  <c r="K499" i="5"/>
  <c r="G499" i="5"/>
  <c r="B499" i="5"/>
  <c r="D499" i="5"/>
  <c r="B499" i="12" s="1"/>
  <c r="C500" i="5"/>
  <c r="E499" i="5"/>
  <c r="AD499" i="5"/>
  <c r="G497" i="6"/>
  <c r="N497" i="6"/>
  <c r="M497" i="6"/>
  <c r="BN497" i="6" s="1"/>
  <c r="H497" i="6"/>
  <c r="T497" i="5" s="1"/>
  <c r="CL497" i="6"/>
  <c r="CH497" i="6"/>
  <c r="N493" i="12"/>
  <c r="J498" i="12"/>
  <c r="L498" i="12"/>
  <c r="AR496" i="6"/>
  <c r="AK496" i="6"/>
  <c r="AQ496" i="6"/>
  <c r="BT496" i="6"/>
  <c r="W493" i="12"/>
  <c r="X493" i="12"/>
  <c r="AA494" i="5"/>
  <c r="AB494" i="5"/>
  <c r="AW496" i="6"/>
  <c r="AV496" i="6"/>
  <c r="AY496" i="6"/>
  <c r="CF497" i="6" l="1"/>
  <c r="BR497" i="6"/>
  <c r="BV497" i="6"/>
  <c r="CC497" i="6"/>
  <c r="AS497" i="6"/>
  <c r="CM497" i="6"/>
  <c r="BT497" i="6"/>
  <c r="BC497" i="6"/>
  <c r="CA497" i="6"/>
  <c r="BI497" i="6"/>
  <c r="AY497" i="6"/>
  <c r="BJ497" i="6"/>
  <c r="CJ497" i="6"/>
  <c r="AP497" i="6"/>
  <c r="BL497" i="6"/>
  <c r="CK497" i="6"/>
  <c r="BM497" i="6"/>
  <c r="BF497" i="6"/>
  <c r="BS497" i="6"/>
  <c r="BQ497" i="6"/>
  <c r="CE497" i="6"/>
  <c r="BW497" i="6"/>
  <c r="BE497" i="6"/>
  <c r="G497" i="12"/>
  <c r="X497" i="5"/>
  <c r="AR497" i="6"/>
  <c r="AZ497" i="6"/>
  <c r="BX497" i="6"/>
  <c r="AK497" i="6"/>
  <c r="AV497" i="6"/>
  <c r="H500" i="5"/>
  <c r="E500" i="5"/>
  <c r="AE500" i="5"/>
  <c r="C501" i="5"/>
  <c r="K500" i="5"/>
  <c r="F500" i="5"/>
  <c r="D500" i="5"/>
  <c r="B500" i="12" s="1"/>
  <c r="J500" i="5"/>
  <c r="R500" i="5"/>
  <c r="N500" i="5"/>
  <c r="AD500" i="5"/>
  <c r="W500" i="5"/>
  <c r="H500" i="12" s="1"/>
  <c r="A500" i="12"/>
  <c r="B500" i="6"/>
  <c r="G500" i="5"/>
  <c r="B500" i="5"/>
  <c r="N494" i="12"/>
  <c r="AU497" i="6"/>
  <c r="AX497" i="6"/>
  <c r="AO497" i="6"/>
  <c r="AQ497" i="6"/>
  <c r="AJ497" i="6"/>
  <c r="AM497" i="6"/>
  <c r="BZ497" i="6"/>
  <c r="BO497" i="6"/>
  <c r="AT497" i="6"/>
  <c r="CI497" i="6"/>
  <c r="D499" i="6"/>
  <c r="K498" i="12"/>
  <c r="V493" i="12"/>
  <c r="T493" i="12"/>
  <c r="U493" i="12"/>
  <c r="BA497" i="6"/>
  <c r="BK497" i="6"/>
  <c r="BP497" i="6"/>
  <c r="CD497" i="6"/>
  <c r="AN497" i="6"/>
  <c r="BY497" i="6"/>
  <c r="BD497" i="6"/>
  <c r="AW497" i="6"/>
  <c r="CG497" i="6"/>
  <c r="CB497" i="6"/>
  <c r="BG497" i="6"/>
  <c r="J499" i="12"/>
  <c r="L499" i="12"/>
  <c r="Y494" i="12"/>
  <c r="BH497" i="6"/>
  <c r="AL497" i="6"/>
  <c r="E499" i="12"/>
  <c r="F499" i="6"/>
  <c r="I496" i="12"/>
  <c r="L496" i="5"/>
  <c r="AM496" i="5"/>
  <c r="I496" i="5"/>
  <c r="Z496" i="5"/>
  <c r="AC496" i="5"/>
  <c r="AJ496" i="6"/>
  <c r="E494" i="6"/>
  <c r="D494" i="12"/>
  <c r="N498" i="6"/>
  <c r="M498" i="6"/>
  <c r="BE498" i="6" s="1"/>
  <c r="CD498" i="6"/>
  <c r="BI498" i="6"/>
  <c r="CL498" i="6"/>
  <c r="H498" i="6"/>
  <c r="T498" i="5" s="1"/>
  <c r="BS498" i="6"/>
  <c r="BD498" i="6"/>
  <c r="BH498" i="6"/>
  <c r="CJ498" i="6"/>
  <c r="CE498" i="6"/>
  <c r="BR498" i="6"/>
  <c r="AL498" i="6"/>
  <c r="BQ498" i="6"/>
  <c r="CA498" i="6"/>
  <c r="BL498" i="6"/>
  <c r="CF498" i="6"/>
  <c r="BA498" i="6"/>
  <c r="G498" i="6"/>
  <c r="BW498" i="6"/>
  <c r="BT498" i="6"/>
  <c r="BP498" i="6"/>
  <c r="AW498" i="6"/>
  <c r="K499" i="12" l="1"/>
  <c r="BK498" i="6"/>
  <c r="BN498" i="6"/>
  <c r="BX498" i="6"/>
  <c r="AM498" i="6"/>
  <c r="BG498" i="6"/>
  <c r="AO498" i="6"/>
  <c r="CK498" i="6"/>
  <c r="CM498" i="6"/>
  <c r="CI498" i="6"/>
  <c r="BJ498" i="6"/>
  <c r="BZ498" i="6"/>
  <c r="BV498" i="6"/>
  <c r="BF498" i="6"/>
  <c r="BC498" i="6"/>
  <c r="CC498" i="6"/>
  <c r="BO498" i="6"/>
  <c r="BY498" i="6"/>
  <c r="CG498" i="6"/>
  <c r="BM498" i="6"/>
  <c r="CH498" i="6"/>
  <c r="CB498" i="6"/>
  <c r="AN498" i="6"/>
  <c r="AX498" i="6"/>
  <c r="AR498" i="6"/>
  <c r="AY498" i="6"/>
  <c r="AZ498" i="6"/>
  <c r="AK498" i="6"/>
  <c r="AT498" i="6"/>
  <c r="X494" i="12"/>
  <c r="W494" i="12"/>
  <c r="D500" i="6"/>
  <c r="AS498" i="6"/>
  <c r="G499" i="6"/>
  <c r="BF499" i="6"/>
  <c r="CA499" i="6"/>
  <c r="M499" i="6"/>
  <c r="CH499" i="6" s="1"/>
  <c r="CC499" i="6"/>
  <c r="CG499" i="6"/>
  <c r="BG499" i="6"/>
  <c r="BC499" i="6"/>
  <c r="BK499" i="6"/>
  <c r="BJ499" i="6"/>
  <c r="CB499" i="6"/>
  <c r="BS499" i="6"/>
  <c r="BL499" i="6"/>
  <c r="BZ499" i="6"/>
  <c r="BR499" i="6"/>
  <c r="BY499" i="6"/>
  <c r="BV499" i="6"/>
  <c r="CL499" i="6"/>
  <c r="CM499" i="6"/>
  <c r="BN499" i="6"/>
  <c r="CE499" i="6"/>
  <c r="CD499" i="6"/>
  <c r="N499" i="6"/>
  <c r="BD499" i="6"/>
  <c r="BM499" i="6"/>
  <c r="BH499" i="6"/>
  <c r="H499" i="6"/>
  <c r="T499" i="5" s="1"/>
  <c r="CK499" i="6"/>
  <c r="B501" i="5"/>
  <c r="N501" i="5"/>
  <c r="D501" i="5"/>
  <c r="B501" i="12" s="1"/>
  <c r="B501" i="6"/>
  <c r="R501" i="5"/>
  <c r="C502" i="5"/>
  <c r="K501" i="5"/>
  <c r="E501" i="5"/>
  <c r="H501" i="5"/>
  <c r="A501" i="12"/>
  <c r="F501" i="5"/>
  <c r="W501" i="5"/>
  <c r="H501" i="12" s="1"/>
  <c r="G501" i="5"/>
  <c r="J501" i="5"/>
  <c r="AD501" i="5"/>
  <c r="AE501" i="5"/>
  <c r="G498" i="12"/>
  <c r="X498" i="5"/>
  <c r="AU498" i="6"/>
  <c r="AV498" i="6"/>
  <c r="C496" i="6"/>
  <c r="O496" i="5"/>
  <c r="I497" i="12"/>
  <c r="AM497" i="5"/>
  <c r="L497" i="5"/>
  <c r="I497" i="5"/>
  <c r="Z497" i="5"/>
  <c r="AC497" i="5"/>
  <c r="AP498" i="6"/>
  <c r="AQ498" i="6"/>
  <c r="AA496" i="5"/>
  <c r="AB496" i="5"/>
  <c r="C496" i="12"/>
  <c r="AO496" i="12"/>
  <c r="O496" i="12"/>
  <c r="M496" i="12"/>
  <c r="L500" i="12"/>
  <c r="J500" i="12"/>
  <c r="E500" i="12"/>
  <c r="F500" i="6"/>
  <c r="Y496" i="12" l="1"/>
  <c r="CF499" i="6"/>
  <c r="BX499" i="6"/>
  <c r="BW499" i="6"/>
  <c r="BT499" i="6"/>
  <c r="BI499" i="6"/>
  <c r="K500" i="12"/>
  <c r="CJ499" i="6"/>
  <c r="BQ499" i="6"/>
  <c r="CI499" i="6"/>
  <c r="BE499" i="6"/>
  <c r="N496" i="12"/>
  <c r="AB497" i="5"/>
  <c r="AA497" i="5"/>
  <c r="C497" i="12"/>
  <c r="AO497" i="12"/>
  <c r="M497" i="12"/>
  <c r="O497" i="12"/>
  <c r="J501" i="12"/>
  <c r="L501" i="12"/>
  <c r="K501" i="12" s="1"/>
  <c r="E501" i="12"/>
  <c r="F501" i="6"/>
  <c r="AX499" i="6"/>
  <c r="AW499" i="6"/>
  <c r="AL499" i="6"/>
  <c r="BO499" i="6"/>
  <c r="AZ499" i="6"/>
  <c r="BP499" i="6"/>
  <c r="W496" i="12"/>
  <c r="X496" i="12"/>
  <c r="E496" i="6"/>
  <c r="D496" i="12"/>
  <c r="AM498" i="5"/>
  <c r="I498" i="12"/>
  <c r="L498" i="5"/>
  <c r="I498" i="5"/>
  <c r="Z498" i="5"/>
  <c r="AC498" i="5"/>
  <c r="G502" i="5"/>
  <c r="N502" i="5"/>
  <c r="AE502" i="5"/>
  <c r="R502" i="5"/>
  <c r="E502" i="5"/>
  <c r="J502" i="5"/>
  <c r="B502" i="5"/>
  <c r="C503" i="5" s="1"/>
  <c r="B502" i="6"/>
  <c r="W502" i="5"/>
  <c r="H502" i="12" s="1"/>
  <c r="F502" i="5"/>
  <c r="H502" i="5"/>
  <c r="K502" i="5"/>
  <c r="A502" i="12"/>
  <c r="D502" i="5"/>
  <c r="B502" i="12" s="1"/>
  <c r="AD502" i="5"/>
  <c r="AP499" i="6"/>
  <c r="AR499" i="6"/>
  <c r="AY499" i="6"/>
  <c r="AS499" i="6"/>
  <c r="G500" i="6"/>
  <c r="N500" i="6"/>
  <c r="H500" i="6"/>
  <c r="T500" i="5" s="1"/>
  <c r="M500" i="6"/>
  <c r="BM500" i="6" s="1"/>
  <c r="CB500" i="6"/>
  <c r="BS500" i="6"/>
  <c r="BJ500" i="6"/>
  <c r="CL500" i="6"/>
  <c r="BE500" i="6"/>
  <c r="BV500" i="6"/>
  <c r="BP500" i="6"/>
  <c r="BK500" i="6"/>
  <c r="AJ498" i="6"/>
  <c r="G499" i="12"/>
  <c r="X499" i="5"/>
  <c r="AV499" i="6"/>
  <c r="AM499" i="6"/>
  <c r="AK499" i="6"/>
  <c r="BA499" i="6"/>
  <c r="AQ499" i="6"/>
  <c r="AU499" i="6"/>
  <c r="U494" i="12"/>
  <c r="V494" i="12"/>
  <c r="T494" i="12"/>
  <c r="C497" i="6"/>
  <c r="O497" i="5"/>
  <c r="D501" i="6"/>
  <c r="AN499" i="6"/>
  <c r="AO499" i="6"/>
  <c r="AT499" i="6"/>
  <c r="BQ500" i="6" l="1"/>
  <c r="BT500" i="6"/>
  <c r="CD500" i="6"/>
  <c r="AS500" i="6"/>
  <c r="AN500" i="6"/>
  <c r="BZ500" i="6"/>
  <c r="BF500" i="6"/>
  <c r="AV500" i="6"/>
  <c r="BI500" i="6"/>
  <c r="CF500" i="6"/>
  <c r="BO500" i="6"/>
  <c r="BD500" i="6"/>
  <c r="BY500" i="6"/>
  <c r="CM500" i="6"/>
  <c r="CI500" i="6"/>
  <c r="CH500" i="6"/>
  <c r="BC500" i="6"/>
  <c r="CA500" i="6"/>
  <c r="BG500" i="6"/>
  <c r="CE500" i="6"/>
  <c r="CJ500" i="6"/>
  <c r="BX500" i="6"/>
  <c r="BH500" i="6"/>
  <c r="BN500" i="6"/>
  <c r="CG500" i="6"/>
  <c r="CC500" i="6"/>
  <c r="CK500" i="6"/>
  <c r="BW500" i="6"/>
  <c r="L499" i="5"/>
  <c r="I499" i="12"/>
  <c r="AM499" i="5"/>
  <c r="Z499" i="5"/>
  <c r="I499" i="5"/>
  <c r="AC499" i="5"/>
  <c r="AU500" i="6"/>
  <c r="AM500" i="6"/>
  <c r="AW500" i="6"/>
  <c r="AK500" i="6"/>
  <c r="AR500" i="6"/>
  <c r="AO500" i="6"/>
  <c r="D502" i="6"/>
  <c r="M501" i="6"/>
  <c r="BM501" i="6" s="1"/>
  <c r="N501" i="6"/>
  <c r="BL501" i="6"/>
  <c r="G501" i="6"/>
  <c r="BZ501" i="6"/>
  <c r="BF501" i="6"/>
  <c r="H501" i="6"/>
  <c r="T501" i="5" s="1"/>
  <c r="E497" i="6"/>
  <c r="D497" i="12"/>
  <c r="AT500" i="6"/>
  <c r="AX500" i="6"/>
  <c r="BL500" i="6"/>
  <c r="AQ500" i="6"/>
  <c r="AP500" i="6"/>
  <c r="BR500" i="6"/>
  <c r="C498" i="6"/>
  <c r="O498" i="5"/>
  <c r="N497" i="12"/>
  <c r="G500" i="12"/>
  <c r="X500" i="5"/>
  <c r="AZ500" i="6"/>
  <c r="AL500" i="6"/>
  <c r="F503" i="5"/>
  <c r="B503" i="5"/>
  <c r="AD503" i="5"/>
  <c r="AE503" i="5"/>
  <c r="E503" i="5"/>
  <c r="C504" i="5"/>
  <c r="A503" i="12"/>
  <c r="N503" i="5"/>
  <c r="W503" i="5"/>
  <c r="H503" i="12" s="1"/>
  <c r="H503" i="5"/>
  <c r="G503" i="5"/>
  <c r="I503" i="5"/>
  <c r="B503" i="6"/>
  <c r="E502" i="12"/>
  <c r="F502" i="6"/>
  <c r="C498" i="12"/>
  <c r="M498" i="12"/>
  <c r="O498" i="12"/>
  <c r="AO498" i="12"/>
  <c r="AY500" i="6"/>
  <c r="BA500" i="6"/>
  <c r="AJ499" i="6"/>
  <c r="L502" i="12"/>
  <c r="J502" i="12"/>
  <c r="AA498" i="5"/>
  <c r="AB498" i="5"/>
  <c r="T496" i="12"/>
  <c r="V496" i="12"/>
  <c r="U496" i="12"/>
  <c r="Y497" i="12"/>
  <c r="CH501" i="6" l="1"/>
  <c r="CK501" i="6"/>
  <c r="Y498" i="12"/>
  <c r="BX501" i="6"/>
  <c r="AS501" i="6"/>
  <c r="AQ501" i="6"/>
  <c r="BP501" i="6"/>
  <c r="AL501" i="6"/>
  <c r="BN501" i="6"/>
  <c r="CG501" i="6"/>
  <c r="AU501" i="6"/>
  <c r="BY501" i="6"/>
  <c r="CM501" i="6"/>
  <c r="CF501" i="6"/>
  <c r="AO501" i="6"/>
  <c r="BO501" i="6"/>
  <c r="BV501" i="6"/>
  <c r="AV501" i="6"/>
  <c r="AY501" i="6"/>
  <c r="BC501" i="6"/>
  <c r="BI501" i="6"/>
  <c r="BK501" i="6"/>
  <c r="CL501" i="6"/>
  <c r="BR501" i="6"/>
  <c r="AK501" i="6"/>
  <c r="AW501" i="6"/>
  <c r="BD501" i="6"/>
  <c r="BE501" i="6"/>
  <c r="BQ501" i="6"/>
  <c r="W497" i="12"/>
  <c r="X497" i="12"/>
  <c r="AZ501" i="6"/>
  <c r="BH501" i="6"/>
  <c r="BW501" i="6"/>
  <c r="AA499" i="5"/>
  <c r="AB499" i="5"/>
  <c r="K502" i="12"/>
  <c r="D503" i="6"/>
  <c r="G501" i="12"/>
  <c r="X501" i="5"/>
  <c r="CI501" i="6"/>
  <c r="BS501" i="6"/>
  <c r="AR501" i="6"/>
  <c r="CA501" i="6"/>
  <c r="BT501" i="6"/>
  <c r="AP501" i="6"/>
  <c r="AN501" i="6"/>
  <c r="BJ501" i="6"/>
  <c r="CC501" i="6"/>
  <c r="AX501" i="6"/>
  <c r="BA501" i="6"/>
  <c r="CB501" i="6"/>
  <c r="CD501" i="6"/>
  <c r="W498" i="12"/>
  <c r="X498" i="12"/>
  <c r="D498" i="12"/>
  <c r="E498" i="6"/>
  <c r="AT501" i="6"/>
  <c r="AM501" i="6"/>
  <c r="CJ501" i="6"/>
  <c r="C499" i="12"/>
  <c r="M499" i="12"/>
  <c r="O499" i="12"/>
  <c r="N499" i="12" s="1"/>
  <c r="AO499" i="12"/>
  <c r="N498" i="12"/>
  <c r="N504" i="5"/>
  <c r="K504" i="5"/>
  <c r="G504" i="5"/>
  <c r="AE504" i="5"/>
  <c r="R504" i="5"/>
  <c r="D504" i="5"/>
  <c r="B504" i="12" s="1"/>
  <c r="E504" i="5"/>
  <c r="J504" i="5"/>
  <c r="B504" i="5"/>
  <c r="W504" i="5"/>
  <c r="H504" i="12" s="1"/>
  <c r="H504" i="5"/>
  <c r="C505" i="5"/>
  <c r="F504" i="5"/>
  <c r="B504" i="6"/>
  <c r="A504" i="12"/>
  <c r="AD504" i="5"/>
  <c r="L500" i="5"/>
  <c r="AM500" i="5"/>
  <c r="I500" i="12"/>
  <c r="I500" i="5"/>
  <c r="Z500" i="5"/>
  <c r="AC500" i="5"/>
  <c r="AJ500" i="6"/>
  <c r="CE501" i="6"/>
  <c r="BG501" i="6"/>
  <c r="H502" i="6"/>
  <c r="T502" i="5" s="1"/>
  <c r="BI502" i="6"/>
  <c r="N502" i="6"/>
  <c r="CK502" i="6"/>
  <c r="M502" i="6"/>
  <c r="CD502" i="6" s="1"/>
  <c r="G502" i="6"/>
  <c r="BS502" i="6"/>
  <c r="BZ502" i="6"/>
  <c r="BY502" i="6"/>
  <c r="CG502" i="6"/>
  <c r="CM502" i="6"/>
  <c r="BH502" i="6"/>
  <c r="AR502" i="6"/>
  <c r="BA502" i="6"/>
  <c r="AO502" i="6"/>
  <c r="BV502" i="6"/>
  <c r="C499" i="6"/>
  <c r="O499" i="5"/>
  <c r="CJ502" i="6" l="1"/>
  <c r="AX502" i="6"/>
  <c r="BT502" i="6"/>
  <c r="BK502" i="6"/>
  <c r="AM502" i="6"/>
  <c r="BN502" i="6"/>
  <c r="CL502" i="6"/>
  <c r="CI502" i="6"/>
  <c r="AK502" i="6"/>
  <c r="BE502" i="6"/>
  <c r="AQ502" i="6"/>
  <c r="AL502" i="6"/>
  <c r="BP502" i="6"/>
  <c r="CC502" i="6"/>
  <c r="AP502" i="6"/>
  <c r="BC502" i="6"/>
  <c r="CH502" i="6"/>
  <c r="BX502" i="6"/>
  <c r="AT502" i="6"/>
  <c r="AY502" i="6"/>
  <c r="AN502" i="6"/>
  <c r="AV502" i="6"/>
  <c r="BF502" i="6"/>
  <c r="BG502" i="6"/>
  <c r="BQ502" i="6"/>
  <c r="AZ502" i="6"/>
  <c r="CA502" i="6"/>
  <c r="Y499" i="12"/>
  <c r="X499" i="12" s="1"/>
  <c r="AU502" i="6"/>
  <c r="CE502" i="6"/>
  <c r="CB502" i="6"/>
  <c r="AS502" i="6"/>
  <c r="CF502" i="6"/>
  <c r="BJ502" i="6"/>
  <c r="BD502" i="6"/>
  <c r="BM502" i="6"/>
  <c r="BR502" i="6"/>
  <c r="BL502" i="6"/>
  <c r="BW502" i="6"/>
  <c r="BO502" i="6"/>
  <c r="AW502" i="6"/>
  <c r="C500" i="12"/>
  <c r="M500" i="12"/>
  <c r="O500" i="12"/>
  <c r="AO500" i="12"/>
  <c r="F504" i="6"/>
  <c r="E504" i="12"/>
  <c r="D504" i="6"/>
  <c r="G502" i="12"/>
  <c r="X502" i="5"/>
  <c r="V498" i="12"/>
  <c r="U498" i="12"/>
  <c r="T498" i="12"/>
  <c r="AB500" i="5"/>
  <c r="AA500" i="5"/>
  <c r="C500" i="6"/>
  <c r="O500" i="5"/>
  <c r="J504" i="12"/>
  <c r="L504" i="12"/>
  <c r="W499" i="12"/>
  <c r="M503" i="6"/>
  <c r="G503" i="6"/>
  <c r="BF503" i="6"/>
  <c r="BH503" i="6"/>
  <c r="BQ503" i="6"/>
  <c r="BW503" i="6"/>
  <c r="BN503" i="6"/>
  <c r="BJ503" i="6"/>
  <c r="CH503" i="6"/>
  <c r="CF503" i="6"/>
  <c r="CJ503" i="6"/>
  <c r="BP503" i="6"/>
  <c r="BT503" i="6"/>
  <c r="CC503" i="6"/>
  <c r="CG503" i="6"/>
  <c r="BX503" i="6"/>
  <c r="BI503" i="6"/>
  <c r="BS503" i="6"/>
  <c r="BL503" i="6"/>
  <c r="BY503" i="6"/>
  <c r="CB503" i="6"/>
  <c r="BM503" i="6"/>
  <c r="N503" i="6"/>
  <c r="BE503" i="6"/>
  <c r="CD503" i="6"/>
  <c r="CL503" i="6"/>
  <c r="CK503" i="6"/>
  <c r="CE503" i="6"/>
  <c r="BO503" i="6"/>
  <c r="H503" i="6"/>
  <c r="T503" i="5" s="1"/>
  <c r="G503" i="12" s="1"/>
  <c r="CM503" i="6"/>
  <c r="BZ503" i="6"/>
  <c r="CI503" i="6"/>
  <c r="BR503" i="6"/>
  <c r="BK503" i="6"/>
  <c r="CA503" i="6"/>
  <c r="BC503" i="6"/>
  <c r="BV503" i="6"/>
  <c r="BD503" i="6"/>
  <c r="BG503" i="6"/>
  <c r="V497" i="12"/>
  <c r="U497" i="12"/>
  <c r="T497" i="12"/>
  <c r="D499" i="12"/>
  <c r="E499" i="6"/>
  <c r="AE505" i="5"/>
  <c r="H505" i="5"/>
  <c r="N505" i="5"/>
  <c r="A505" i="12"/>
  <c r="F505" i="5"/>
  <c r="AD505" i="5"/>
  <c r="B505" i="6"/>
  <c r="C506" i="5"/>
  <c r="D505" i="5"/>
  <c r="B505" i="12" s="1"/>
  <c r="E505" i="5"/>
  <c r="G505" i="5"/>
  <c r="R505" i="5"/>
  <c r="K505" i="5"/>
  <c r="W505" i="5"/>
  <c r="H505" i="12" s="1"/>
  <c r="J505" i="5"/>
  <c r="B505" i="5"/>
  <c r="I501" i="12"/>
  <c r="AM501" i="5"/>
  <c r="L501" i="5"/>
  <c r="I501" i="5"/>
  <c r="Z501" i="5"/>
  <c r="AC501" i="5"/>
  <c r="AJ501" i="6"/>
  <c r="AP503" i="6" l="1"/>
  <c r="AW503" i="6"/>
  <c r="AS503" i="6"/>
  <c r="AZ503" i="6"/>
  <c r="AT503" i="6"/>
  <c r="AO503" i="6"/>
  <c r="AN503" i="6"/>
  <c r="AM503" i="6"/>
  <c r="AU503" i="6"/>
  <c r="AK503" i="6"/>
  <c r="AQ503" i="6"/>
  <c r="AX503" i="6"/>
  <c r="C501" i="6"/>
  <c r="O501" i="5"/>
  <c r="AB501" i="5"/>
  <c r="AA501" i="5"/>
  <c r="AL503" i="6"/>
  <c r="I502" i="12"/>
  <c r="L502" i="5"/>
  <c r="AM502" i="5"/>
  <c r="I502" i="5"/>
  <c r="Z502" i="5"/>
  <c r="AC502" i="5"/>
  <c r="AJ502" i="6"/>
  <c r="F505" i="6"/>
  <c r="E505" i="12"/>
  <c r="G506" i="5"/>
  <c r="AE506" i="5"/>
  <c r="F506" i="5"/>
  <c r="A506" i="12"/>
  <c r="E506" i="5"/>
  <c r="D506" i="5"/>
  <c r="B506" i="12" s="1"/>
  <c r="H506" i="5"/>
  <c r="N506" i="5"/>
  <c r="K506" i="5"/>
  <c r="B506" i="5"/>
  <c r="C507" i="5" s="1"/>
  <c r="R506" i="5"/>
  <c r="W506" i="5"/>
  <c r="H506" i="12" s="1"/>
  <c r="J506" i="5"/>
  <c r="B506" i="6"/>
  <c r="AD506" i="5"/>
  <c r="AY503" i="6"/>
  <c r="AR503" i="6"/>
  <c r="D500" i="12"/>
  <c r="E500" i="6"/>
  <c r="L505" i="12"/>
  <c r="J505" i="12"/>
  <c r="BA503" i="6"/>
  <c r="AJ503" i="6"/>
  <c r="AV503" i="6"/>
  <c r="V499" i="12"/>
  <c r="T499" i="12"/>
  <c r="U499" i="12"/>
  <c r="K504" i="12"/>
  <c r="N504" i="6"/>
  <c r="G504" i="6"/>
  <c r="H504" i="6"/>
  <c r="T504" i="5" s="1"/>
  <c r="M504" i="6"/>
  <c r="CL504" i="6" s="1"/>
  <c r="Y500" i="12"/>
  <c r="C501" i="12"/>
  <c r="AO501" i="12"/>
  <c r="M501" i="12"/>
  <c r="O501" i="12"/>
  <c r="D505" i="6"/>
  <c r="N500" i="12"/>
  <c r="BW504" i="6" l="1"/>
  <c r="BV504" i="6"/>
  <c r="N501" i="12"/>
  <c r="BJ504" i="6"/>
  <c r="BZ504" i="6"/>
  <c r="AO504" i="6"/>
  <c r="C508" i="5"/>
  <c r="F507" i="5"/>
  <c r="N507" i="5"/>
  <c r="G507" i="5"/>
  <c r="A507" i="12"/>
  <c r="W507" i="5"/>
  <c r="H507" i="12" s="1"/>
  <c r="AE507" i="5"/>
  <c r="AD507" i="5"/>
  <c r="E507" i="5"/>
  <c r="B507" i="5"/>
  <c r="I507" i="5"/>
  <c r="B507" i="6"/>
  <c r="H507" i="5"/>
  <c r="H505" i="6"/>
  <c r="T505" i="5" s="1"/>
  <c r="G505" i="6"/>
  <c r="N505" i="6"/>
  <c r="M505" i="6"/>
  <c r="BD505" i="6" s="1"/>
  <c r="CM505" i="6"/>
  <c r="CK504" i="6"/>
  <c r="BX504" i="6"/>
  <c r="BL504" i="6"/>
  <c r="K503" i="5"/>
  <c r="C502" i="6"/>
  <c r="O502" i="5"/>
  <c r="BH504" i="6"/>
  <c r="AS504" i="6"/>
  <c r="CB504" i="6"/>
  <c r="AW504" i="6"/>
  <c r="CM504" i="6"/>
  <c r="AK504" i="6"/>
  <c r="CG504" i="6"/>
  <c r="BR504" i="6"/>
  <c r="BA504" i="6"/>
  <c r="BG504" i="6"/>
  <c r="AP504" i="6"/>
  <c r="BP504" i="6"/>
  <c r="AT504" i="6"/>
  <c r="BN504" i="6"/>
  <c r="AV504" i="6"/>
  <c r="CJ504" i="6"/>
  <c r="BO504" i="6"/>
  <c r="BC504" i="6"/>
  <c r="BM504" i="6"/>
  <c r="AQ504" i="6"/>
  <c r="AR504" i="6"/>
  <c r="BE504" i="6"/>
  <c r="D506" i="6"/>
  <c r="AA502" i="5"/>
  <c r="AB502" i="5"/>
  <c r="C502" i="12"/>
  <c r="M502" i="12"/>
  <c r="O502" i="12"/>
  <c r="AO502" i="12"/>
  <c r="E501" i="6"/>
  <c r="D501" i="12"/>
  <c r="W500" i="12"/>
  <c r="X500" i="12"/>
  <c r="BI504" i="6"/>
  <c r="Y501" i="12"/>
  <c r="CF504" i="6"/>
  <c r="CE504" i="6"/>
  <c r="AZ504" i="6"/>
  <c r="AU504" i="6"/>
  <c r="BY504" i="6"/>
  <c r="CH504" i="6"/>
  <c r="AY504" i="6"/>
  <c r="BK504" i="6"/>
  <c r="BD504" i="6"/>
  <c r="BF504" i="6"/>
  <c r="CI504" i="6"/>
  <c r="BQ504" i="6"/>
  <c r="AL504" i="6"/>
  <c r="CD504" i="6"/>
  <c r="K505" i="12"/>
  <c r="F506" i="6"/>
  <c r="E506" i="12"/>
  <c r="CA504" i="6"/>
  <c r="AM504" i="6"/>
  <c r="G504" i="12"/>
  <c r="X504" i="5"/>
  <c r="BT504" i="6"/>
  <c r="AN504" i="6"/>
  <c r="AX504" i="6"/>
  <c r="BS504" i="6"/>
  <c r="CC504" i="6"/>
  <c r="L506" i="12"/>
  <c r="J506" i="12"/>
  <c r="K506" i="12" l="1"/>
  <c r="BM505" i="6"/>
  <c r="CI505" i="6"/>
  <c r="AS505" i="6"/>
  <c r="BF505" i="6"/>
  <c r="BS505" i="6"/>
  <c r="CD505" i="6"/>
  <c r="N502" i="12"/>
  <c r="BV505" i="6"/>
  <c r="AT505" i="6"/>
  <c r="CH505" i="6"/>
  <c r="AQ505" i="6"/>
  <c r="BH505" i="6"/>
  <c r="M506" i="6"/>
  <c r="CI506" i="6" s="1"/>
  <c r="BD506" i="6"/>
  <c r="BL506" i="6"/>
  <c r="BG506" i="6"/>
  <c r="BV506" i="6"/>
  <c r="CL506" i="6"/>
  <c r="G506" i="6"/>
  <c r="BI506" i="6"/>
  <c r="BR506" i="6"/>
  <c r="CH506" i="6"/>
  <c r="BQ506" i="6"/>
  <c r="CA506" i="6"/>
  <c r="CD506" i="6"/>
  <c r="BF506" i="6"/>
  <c r="BT506" i="6"/>
  <c r="BM506" i="6"/>
  <c r="BW506" i="6"/>
  <c r="N506" i="6"/>
  <c r="CC506" i="6"/>
  <c r="CF506" i="6"/>
  <c r="BJ506" i="6"/>
  <c r="BP506" i="6"/>
  <c r="CG506" i="6"/>
  <c r="BY506" i="6"/>
  <c r="BS506" i="6"/>
  <c r="BH506" i="6"/>
  <c r="CJ506" i="6"/>
  <c r="BO506" i="6"/>
  <c r="BC506" i="6"/>
  <c r="BE506" i="6"/>
  <c r="BN506" i="6"/>
  <c r="BX506" i="6"/>
  <c r="CK506" i="6"/>
  <c r="H506" i="6"/>
  <c r="T506" i="5" s="1"/>
  <c r="CE506" i="6"/>
  <c r="CM506" i="6"/>
  <c r="AK505" i="6"/>
  <c r="BY505" i="6"/>
  <c r="AW505" i="6"/>
  <c r="CF505" i="6"/>
  <c r="AO505" i="6"/>
  <c r="CE505" i="6"/>
  <c r="BJ505" i="6"/>
  <c r="AR505" i="6"/>
  <c r="BO505" i="6"/>
  <c r="CG505" i="6"/>
  <c r="BA505" i="6"/>
  <c r="BC505" i="6"/>
  <c r="CK505" i="6"/>
  <c r="AM504" i="5"/>
  <c r="L504" i="5"/>
  <c r="I504" i="12"/>
  <c r="Z504" i="5"/>
  <c r="I504" i="5"/>
  <c r="AC504" i="5"/>
  <c r="Y502" i="12"/>
  <c r="BP505" i="6"/>
  <c r="AZ505" i="6"/>
  <c r="BE505" i="6"/>
  <c r="AU505" i="6"/>
  <c r="CJ505" i="6"/>
  <c r="CL505" i="6"/>
  <c r="AM505" i="6"/>
  <c r="BG505" i="6"/>
  <c r="BK505" i="6"/>
  <c r="CC505" i="6"/>
  <c r="AP505" i="6"/>
  <c r="BN505" i="6"/>
  <c r="D507" i="6"/>
  <c r="BI505" i="6"/>
  <c r="BR505" i="6"/>
  <c r="BQ505" i="6"/>
  <c r="G505" i="12"/>
  <c r="X505" i="5"/>
  <c r="U500" i="12"/>
  <c r="T500" i="12"/>
  <c r="V500" i="12"/>
  <c r="AJ504" i="6"/>
  <c r="X501" i="12"/>
  <c r="W501" i="12"/>
  <c r="D502" i="12"/>
  <c r="E502" i="6"/>
  <c r="AN505" i="6"/>
  <c r="CB505" i="6"/>
  <c r="BW505" i="6"/>
  <c r="BL505" i="6"/>
  <c r="AY505" i="6"/>
  <c r="BX505" i="6"/>
  <c r="BZ505" i="6"/>
  <c r="AL505" i="6"/>
  <c r="BT505" i="6"/>
  <c r="AV505" i="6"/>
  <c r="AX505" i="6"/>
  <c r="CA505" i="6"/>
  <c r="AD508" i="5"/>
  <c r="C509" i="5"/>
  <c r="A508" i="12"/>
  <c r="E508" i="5"/>
  <c r="D508" i="5"/>
  <c r="B508" i="12" s="1"/>
  <c r="B508" i="6"/>
  <c r="B508" i="5"/>
  <c r="K508" i="5"/>
  <c r="F508" i="5"/>
  <c r="J508" i="5"/>
  <c r="R508" i="5"/>
  <c r="G508" i="5"/>
  <c r="W508" i="5"/>
  <c r="H508" i="12" s="1"/>
  <c r="N508" i="5"/>
  <c r="AE508" i="5"/>
  <c r="H508" i="5"/>
  <c r="BK506" i="6" l="1"/>
  <c r="CB506" i="6"/>
  <c r="BZ506" i="6"/>
  <c r="AL506" i="6"/>
  <c r="AV506" i="6"/>
  <c r="AX506" i="6"/>
  <c r="AP506" i="6"/>
  <c r="AW506" i="6"/>
  <c r="AB504" i="5"/>
  <c r="AA504" i="5"/>
  <c r="J508" i="12"/>
  <c r="L508" i="12"/>
  <c r="L505" i="5"/>
  <c r="I505" i="12"/>
  <c r="AM505" i="5"/>
  <c r="I505" i="5"/>
  <c r="Z505" i="5"/>
  <c r="AC505" i="5"/>
  <c r="W502" i="12"/>
  <c r="X502" i="12"/>
  <c r="C504" i="12"/>
  <c r="O504" i="12"/>
  <c r="M504" i="12"/>
  <c r="AO504" i="12"/>
  <c r="AQ506" i="6"/>
  <c r="AT506" i="6"/>
  <c r="AO506" i="6"/>
  <c r="AN506" i="6"/>
  <c r="AR506" i="6"/>
  <c r="AS506" i="6"/>
  <c r="C504" i="6"/>
  <c r="O504" i="5"/>
  <c r="BA506" i="6"/>
  <c r="AM506" i="6"/>
  <c r="AZ506" i="6"/>
  <c r="AK506" i="6"/>
  <c r="J509" i="5"/>
  <c r="C510" i="5"/>
  <c r="E509" i="5"/>
  <c r="B509" i="6"/>
  <c r="W509" i="5"/>
  <c r="H509" i="12" s="1"/>
  <c r="D509" i="5"/>
  <c r="B509" i="12" s="1"/>
  <c r="AE509" i="5"/>
  <c r="K509" i="5"/>
  <c r="B509" i="5"/>
  <c r="AD509" i="5"/>
  <c r="H509" i="5"/>
  <c r="F509" i="5"/>
  <c r="G509" i="5"/>
  <c r="A509" i="12"/>
  <c r="N509" i="5"/>
  <c r="R509" i="5"/>
  <c r="D508" i="6"/>
  <c r="E508" i="12"/>
  <c r="F508" i="6"/>
  <c r="U501" i="12"/>
  <c r="T501" i="12"/>
  <c r="V501" i="12"/>
  <c r="BF507" i="6"/>
  <c r="H507" i="6"/>
  <c r="T507" i="5" s="1"/>
  <c r="G507" i="12" s="1"/>
  <c r="BP507" i="6"/>
  <c r="BT507" i="6"/>
  <c r="BR507" i="6"/>
  <c r="CK507" i="6"/>
  <c r="CJ507" i="6"/>
  <c r="BW507" i="6"/>
  <c r="BS507" i="6"/>
  <c r="N507" i="6"/>
  <c r="CD507" i="6"/>
  <c r="BQ507" i="6"/>
  <c r="CL507" i="6"/>
  <c r="BI507" i="6"/>
  <c r="G507" i="6"/>
  <c r="BL507" i="6"/>
  <c r="CG507" i="6"/>
  <c r="CF507" i="6"/>
  <c r="M507" i="6"/>
  <c r="BD507" i="6"/>
  <c r="BV507" i="6"/>
  <c r="CA507" i="6"/>
  <c r="BN507" i="6"/>
  <c r="BK507" i="6"/>
  <c r="BC507" i="6"/>
  <c r="CI507" i="6"/>
  <c r="CB507" i="6"/>
  <c r="CC507" i="6"/>
  <c r="BG507" i="6"/>
  <c r="CH507" i="6"/>
  <c r="BJ507" i="6"/>
  <c r="AT507" i="6"/>
  <c r="BZ507" i="6"/>
  <c r="CM507" i="6"/>
  <c r="CE507" i="6"/>
  <c r="BH507" i="6"/>
  <c r="BE507" i="6"/>
  <c r="BO507" i="6"/>
  <c r="BY507" i="6"/>
  <c r="BX507" i="6"/>
  <c r="BM507" i="6"/>
  <c r="AJ505" i="6"/>
  <c r="G506" i="12"/>
  <c r="X506" i="5"/>
  <c r="AY506" i="6"/>
  <c r="AU506" i="6"/>
  <c r="AR507" i="6" l="1"/>
  <c r="AV507" i="6"/>
  <c r="AO507" i="6"/>
  <c r="AM507" i="6"/>
  <c r="N504" i="12"/>
  <c r="K508" i="12"/>
  <c r="AX507" i="6"/>
  <c r="AY507" i="6"/>
  <c r="L506" i="5"/>
  <c r="AM506" i="5"/>
  <c r="I506" i="12"/>
  <c r="I506" i="5"/>
  <c r="Z506" i="5"/>
  <c r="AC506" i="5"/>
  <c r="AP507" i="6"/>
  <c r="AL507" i="6"/>
  <c r="AN507" i="6"/>
  <c r="BA507" i="6"/>
  <c r="AQ507" i="6"/>
  <c r="AU507" i="6"/>
  <c r="D509" i="6"/>
  <c r="H510" i="5"/>
  <c r="N510" i="5"/>
  <c r="J510" i="5"/>
  <c r="F510" i="5"/>
  <c r="E510" i="5"/>
  <c r="AE510" i="5"/>
  <c r="K510" i="5"/>
  <c r="R510" i="5"/>
  <c r="G510" i="5"/>
  <c r="A510" i="12"/>
  <c r="C511" i="5"/>
  <c r="B510" i="6"/>
  <c r="W510" i="5"/>
  <c r="H510" i="12" s="1"/>
  <c r="D510" i="5"/>
  <c r="B510" i="12" s="1"/>
  <c r="B510" i="5"/>
  <c r="AD510" i="5"/>
  <c r="D504" i="12"/>
  <c r="E504" i="6"/>
  <c r="AA505" i="5"/>
  <c r="AB505" i="5"/>
  <c r="C505" i="6"/>
  <c r="O505" i="5"/>
  <c r="AJ507" i="6"/>
  <c r="L509" i="12"/>
  <c r="J509" i="12"/>
  <c r="Y504" i="12"/>
  <c r="AW507" i="6"/>
  <c r="AK507" i="6"/>
  <c r="AZ507" i="6"/>
  <c r="AS507" i="6"/>
  <c r="AJ506" i="6"/>
  <c r="T502" i="12"/>
  <c r="V502" i="12"/>
  <c r="U502" i="12"/>
  <c r="N508" i="6"/>
  <c r="G508" i="6"/>
  <c r="H508" i="6"/>
  <c r="T508" i="5" s="1"/>
  <c r="M508" i="6"/>
  <c r="BD508" i="6" s="1"/>
  <c r="CD508" i="6"/>
  <c r="F509" i="6"/>
  <c r="E509" i="12"/>
  <c r="C505" i="12"/>
  <c r="AO505" i="12"/>
  <c r="M505" i="12"/>
  <c r="O505" i="12"/>
  <c r="BQ508" i="6" l="1"/>
  <c r="BK508" i="6"/>
  <c r="CL508" i="6"/>
  <c r="BV508" i="6"/>
  <c r="BI508" i="6"/>
  <c r="N505" i="12"/>
  <c r="BM508" i="6"/>
  <c r="BG508" i="6"/>
  <c r="AO508" i="6"/>
  <c r="BP508" i="6"/>
  <c r="BH508" i="6"/>
  <c r="BL508" i="6"/>
  <c r="BE508" i="6"/>
  <c r="BY508" i="6"/>
  <c r="CC508" i="6"/>
  <c r="BS508" i="6"/>
  <c r="CH508" i="6"/>
  <c r="CK508" i="6"/>
  <c r="AX508" i="6"/>
  <c r="AK508" i="6"/>
  <c r="BZ508" i="6"/>
  <c r="BR508" i="6"/>
  <c r="AN508" i="6"/>
  <c r="AW508" i="6"/>
  <c r="CJ508" i="6"/>
  <c r="BO508" i="6"/>
  <c r="AM508" i="6"/>
  <c r="BT508" i="6"/>
  <c r="AR508" i="6"/>
  <c r="BA508" i="6"/>
  <c r="AQ508" i="6"/>
  <c r="AP508" i="6"/>
  <c r="BC508" i="6"/>
  <c r="CB508" i="6"/>
  <c r="AS508" i="6"/>
  <c r="CI508" i="6"/>
  <c r="CG508" i="6"/>
  <c r="CE508" i="6"/>
  <c r="BJ508" i="6"/>
  <c r="AL508" i="6"/>
  <c r="W504" i="12"/>
  <c r="X504" i="12"/>
  <c r="N511" i="5"/>
  <c r="D511" i="5"/>
  <c r="B511" i="12" s="1"/>
  <c r="E511" i="5"/>
  <c r="AD511" i="5"/>
  <c r="W511" i="5"/>
  <c r="H511" i="12" s="1"/>
  <c r="AE511" i="5"/>
  <c r="F511" i="5"/>
  <c r="B511" i="5"/>
  <c r="G511" i="5"/>
  <c r="H511" i="5"/>
  <c r="R511" i="5"/>
  <c r="K511" i="5"/>
  <c r="C512" i="5"/>
  <c r="A511" i="12"/>
  <c r="B511" i="6"/>
  <c r="J511" i="5"/>
  <c r="G509" i="6"/>
  <c r="H509" i="6"/>
  <c r="T509" i="5" s="1"/>
  <c r="N509" i="6"/>
  <c r="M509" i="6"/>
  <c r="BW509" i="6" s="1"/>
  <c r="BF509" i="6"/>
  <c r="AB506" i="5"/>
  <c r="AA506" i="5"/>
  <c r="C506" i="6"/>
  <c r="O506" i="5"/>
  <c r="Y505" i="12"/>
  <c r="AT508" i="6"/>
  <c r="AZ508" i="6"/>
  <c r="CF508" i="6"/>
  <c r="BW508" i="6"/>
  <c r="AV508" i="6"/>
  <c r="BF508" i="6"/>
  <c r="CM508" i="6"/>
  <c r="CA508" i="6"/>
  <c r="BN508" i="6"/>
  <c r="K509" i="12"/>
  <c r="J510" i="12"/>
  <c r="L510" i="12"/>
  <c r="E510" i="12"/>
  <c r="F510" i="6"/>
  <c r="D510" i="6"/>
  <c r="G508" i="12"/>
  <c r="X508" i="5"/>
  <c r="AU508" i="6"/>
  <c r="BX508" i="6"/>
  <c r="C506" i="12"/>
  <c r="AO506" i="12"/>
  <c r="M506" i="12"/>
  <c r="O506" i="12"/>
  <c r="AY508" i="6"/>
  <c r="E505" i="6"/>
  <c r="D505" i="12"/>
  <c r="BL509" i="6" l="1"/>
  <c r="BP509" i="6"/>
  <c r="BH509" i="6"/>
  <c r="BR509" i="6"/>
  <c r="AO509" i="6"/>
  <c r="CC509" i="6"/>
  <c r="BK509" i="6"/>
  <c r="AV509" i="6"/>
  <c r="AZ509" i="6"/>
  <c r="AX509" i="6"/>
  <c r="BA509" i="6"/>
  <c r="AK509" i="6"/>
  <c r="AT509" i="6"/>
  <c r="BD509" i="6"/>
  <c r="N506" i="12"/>
  <c r="AM509" i="6"/>
  <c r="AL509" i="6"/>
  <c r="BV509" i="6"/>
  <c r="BS509" i="6"/>
  <c r="K510" i="12"/>
  <c r="BN509" i="6"/>
  <c r="BG509" i="6"/>
  <c r="AW509" i="6"/>
  <c r="CG509" i="6"/>
  <c r="CL509" i="6"/>
  <c r="BT509" i="6"/>
  <c r="BQ509" i="6"/>
  <c r="CB509" i="6"/>
  <c r="Y506" i="12"/>
  <c r="CK509" i="6"/>
  <c r="CF509" i="6"/>
  <c r="AN509" i="6"/>
  <c r="D512" i="5"/>
  <c r="B512" i="12" s="1"/>
  <c r="B512" i="6"/>
  <c r="B512" i="5"/>
  <c r="C513" i="5" s="1"/>
  <c r="H512" i="5"/>
  <c r="AD512" i="5"/>
  <c r="A512" i="12"/>
  <c r="W512" i="5"/>
  <c r="H512" i="12" s="1"/>
  <c r="AE512" i="5"/>
  <c r="R512" i="5"/>
  <c r="N512" i="5"/>
  <c r="E512" i="5"/>
  <c r="G512" i="5"/>
  <c r="F512" i="5"/>
  <c r="J512" i="5"/>
  <c r="K512" i="5"/>
  <c r="F511" i="6"/>
  <c r="E511" i="12"/>
  <c r="D511" i="6"/>
  <c r="W505" i="12"/>
  <c r="X505" i="12"/>
  <c r="H510" i="6"/>
  <c r="T510" i="5" s="1"/>
  <c r="G510" i="6"/>
  <c r="N510" i="6"/>
  <c r="M510" i="6"/>
  <c r="CH510" i="6" s="1"/>
  <c r="D506" i="12"/>
  <c r="E506" i="6"/>
  <c r="CE509" i="6"/>
  <c r="BE509" i="6"/>
  <c r="BJ509" i="6"/>
  <c r="BY509" i="6"/>
  <c r="AS509" i="6"/>
  <c r="AP509" i="6"/>
  <c r="G509" i="12"/>
  <c r="X509" i="5"/>
  <c r="CI509" i="6"/>
  <c r="CA509" i="6"/>
  <c r="CD509" i="6"/>
  <c r="L511" i="12"/>
  <c r="J511" i="12"/>
  <c r="U504" i="12"/>
  <c r="V504" i="12"/>
  <c r="T504" i="12"/>
  <c r="W506" i="12"/>
  <c r="X506" i="12"/>
  <c r="AM508" i="5"/>
  <c r="L508" i="5"/>
  <c r="I508" i="12"/>
  <c r="I508" i="5"/>
  <c r="Z508" i="5"/>
  <c r="AC508" i="5"/>
  <c r="AJ508" i="6"/>
  <c r="CM509" i="6"/>
  <c r="BC509" i="6"/>
  <c r="BM509" i="6"/>
  <c r="CH509" i="6"/>
  <c r="CJ509" i="6"/>
  <c r="BO509" i="6"/>
  <c r="AU509" i="6"/>
  <c r="AY509" i="6"/>
  <c r="BI509" i="6"/>
  <c r="BZ509" i="6"/>
  <c r="BX509" i="6"/>
  <c r="AQ509" i="6"/>
  <c r="AR509" i="6"/>
  <c r="AL510" i="6" l="1"/>
  <c r="AP510" i="6"/>
  <c r="BH510" i="6"/>
  <c r="AU510" i="6"/>
  <c r="BQ510" i="6"/>
  <c r="BR510" i="6"/>
  <c r="CK510" i="6"/>
  <c r="CF510" i="6"/>
  <c r="BA510" i="6"/>
  <c r="BV510" i="6"/>
  <c r="AO510" i="6"/>
  <c r="BX510" i="6"/>
  <c r="G510" i="12"/>
  <c r="X510" i="5"/>
  <c r="M511" i="6"/>
  <c r="BK511" i="6" s="1"/>
  <c r="H511" i="6"/>
  <c r="T511" i="5" s="1"/>
  <c r="CD511" i="6"/>
  <c r="CF511" i="6"/>
  <c r="BS511" i="6"/>
  <c r="BJ511" i="6"/>
  <c r="N511" i="6"/>
  <c r="BY511" i="6"/>
  <c r="G511" i="6"/>
  <c r="BL511" i="6"/>
  <c r="D512" i="6"/>
  <c r="C508" i="12"/>
  <c r="M508" i="12"/>
  <c r="O508" i="12"/>
  <c r="AO508" i="12"/>
  <c r="T506" i="12"/>
  <c r="U506" i="12"/>
  <c r="V506" i="12"/>
  <c r="C508" i="6"/>
  <c r="O508" i="5"/>
  <c r="K511" i="12"/>
  <c r="L509" i="5"/>
  <c r="AM509" i="5"/>
  <c r="I509" i="12"/>
  <c r="Z509" i="5"/>
  <c r="I509" i="5"/>
  <c r="AC509" i="5"/>
  <c r="AJ509" i="6"/>
  <c r="BY510" i="6"/>
  <c r="BS510" i="6"/>
  <c r="BK510" i="6"/>
  <c r="CA510" i="6"/>
  <c r="BF510" i="6"/>
  <c r="AS510" i="6"/>
  <c r="AX510" i="6"/>
  <c r="BC510" i="6"/>
  <c r="BO510" i="6"/>
  <c r="AM510" i="6"/>
  <c r="CL510" i="6"/>
  <c r="BI510" i="6"/>
  <c r="BG510" i="6"/>
  <c r="CI510" i="6"/>
  <c r="F512" i="6"/>
  <c r="E512" i="12"/>
  <c r="L512" i="12"/>
  <c r="J512" i="12"/>
  <c r="AA508" i="5"/>
  <c r="AB508" i="5"/>
  <c r="CB510" i="6"/>
  <c r="AR510" i="6"/>
  <c r="BL510" i="6"/>
  <c r="CD510" i="6"/>
  <c r="BW510" i="6"/>
  <c r="CC510" i="6"/>
  <c r="BT510" i="6"/>
  <c r="AV510" i="6"/>
  <c r="BJ510" i="6"/>
  <c r="AY510" i="6"/>
  <c r="AK510" i="6"/>
  <c r="AN510" i="6"/>
  <c r="AJ510" i="6"/>
  <c r="BZ510" i="6"/>
  <c r="U505" i="12"/>
  <c r="T505" i="12"/>
  <c r="V505" i="12"/>
  <c r="B513" i="5"/>
  <c r="H513" i="5"/>
  <c r="I513" i="5"/>
  <c r="E513" i="5"/>
  <c r="B513" i="6"/>
  <c r="W513" i="5"/>
  <c r="H513" i="12" s="1"/>
  <c r="AD513" i="5"/>
  <c r="AE513" i="5"/>
  <c r="C514" i="5"/>
  <c r="G513" i="5"/>
  <c r="A513" i="12"/>
  <c r="F513" i="5"/>
  <c r="N513" i="5"/>
  <c r="BP510" i="6"/>
  <c r="BM510" i="6"/>
  <c r="CE510" i="6"/>
  <c r="CJ510" i="6"/>
  <c r="BN510" i="6"/>
  <c r="AQ510" i="6"/>
  <c r="AZ510" i="6"/>
  <c r="CG510" i="6"/>
  <c r="CM510" i="6"/>
  <c r="BD510" i="6"/>
  <c r="BE510" i="6"/>
  <c r="AT510" i="6"/>
  <c r="AW510" i="6"/>
  <c r="AZ511" i="6" l="1"/>
  <c r="AW511" i="6"/>
  <c r="AY511" i="6"/>
  <c r="AN511" i="6"/>
  <c r="BR511" i="6"/>
  <c r="K512" i="12"/>
  <c r="BM511" i="6"/>
  <c r="BF511" i="6"/>
  <c r="BV511" i="6"/>
  <c r="AQ511" i="6"/>
  <c r="CE511" i="6"/>
  <c r="CM511" i="6"/>
  <c r="CG511" i="6"/>
  <c r="BA511" i="6"/>
  <c r="CK511" i="6"/>
  <c r="CB511" i="6"/>
  <c r="AU511" i="6"/>
  <c r="AM511" i="6"/>
  <c r="BW511" i="6"/>
  <c r="BT511" i="6"/>
  <c r="AT511" i="6"/>
  <c r="BH511" i="6"/>
  <c r="AL511" i="6"/>
  <c r="BD511" i="6"/>
  <c r="BE511" i="6"/>
  <c r="BG511" i="6"/>
  <c r="AV511" i="6"/>
  <c r="BN511" i="6"/>
  <c r="BZ511" i="6"/>
  <c r="AX511" i="6"/>
  <c r="CL511" i="6"/>
  <c r="CH511" i="6"/>
  <c r="AP511" i="6"/>
  <c r="CC511" i="6"/>
  <c r="BI511" i="6"/>
  <c r="AO511" i="6"/>
  <c r="CI511" i="6"/>
  <c r="AK511" i="6"/>
  <c r="BX511" i="6"/>
  <c r="BO511" i="6"/>
  <c r="AR511" i="6"/>
  <c r="CJ511" i="6"/>
  <c r="BQ511" i="6"/>
  <c r="C509" i="6"/>
  <c r="O509" i="5"/>
  <c r="N508" i="12"/>
  <c r="D513" i="6"/>
  <c r="N514" i="5"/>
  <c r="G514" i="5"/>
  <c r="D514" i="5"/>
  <c r="B514" i="12" s="1"/>
  <c r="E514" i="5"/>
  <c r="F514" i="5"/>
  <c r="H514" i="5"/>
  <c r="AD514" i="5"/>
  <c r="J514" i="5"/>
  <c r="R514" i="5"/>
  <c r="B514" i="6"/>
  <c r="A514" i="12"/>
  <c r="B514" i="5"/>
  <c r="AE514" i="5"/>
  <c r="W514" i="5"/>
  <c r="H514" i="12" s="1"/>
  <c r="C515" i="5"/>
  <c r="K514" i="5"/>
  <c r="AB509" i="5"/>
  <c r="AA509" i="5"/>
  <c r="G511" i="12"/>
  <c r="X511" i="5"/>
  <c r="C509" i="12"/>
  <c r="M509" i="12"/>
  <c r="AO509" i="12"/>
  <c r="O509" i="12"/>
  <c r="D508" i="12"/>
  <c r="E508" i="6"/>
  <c r="Y508" i="12"/>
  <c r="N512" i="6"/>
  <c r="BJ512" i="6"/>
  <c r="G512" i="6"/>
  <c r="M512" i="6"/>
  <c r="CM512" i="6" s="1"/>
  <c r="BT512" i="6"/>
  <c r="BS512" i="6"/>
  <c r="BG512" i="6"/>
  <c r="BK512" i="6"/>
  <c r="BW512" i="6"/>
  <c r="H512" i="6"/>
  <c r="T512" i="5" s="1"/>
  <c r="CH512" i="6"/>
  <c r="BF512" i="6"/>
  <c r="CI512" i="6"/>
  <c r="BN512" i="6"/>
  <c r="BQ512" i="6"/>
  <c r="BI512" i="6"/>
  <c r="BP512" i="6"/>
  <c r="BX512" i="6"/>
  <c r="BO512" i="6"/>
  <c r="BP511" i="6"/>
  <c r="CA511" i="6"/>
  <c r="AS511" i="6"/>
  <c r="BC511" i="6"/>
  <c r="I510" i="12"/>
  <c r="L510" i="5"/>
  <c r="AM510" i="5"/>
  <c r="I510" i="5"/>
  <c r="Z510" i="5"/>
  <c r="AC510" i="5"/>
  <c r="AQ512" i="6" l="1"/>
  <c r="AM512" i="6"/>
  <c r="N509" i="12"/>
  <c r="AU512" i="6"/>
  <c r="AV512" i="6"/>
  <c r="AX512" i="6"/>
  <c r="BH512" i="6"/>
  <c r="CA512" i="6"/>
  <c r="W508" i="12"/>
  <c r="X508" i="12"/>
  <c r="L511" i="5"/>
  <c r="I511" i="12"/>
  <c r="AM511" i="5"/>
  <c r="Z511" i="5"/>
  <c r="I511" i="5"/>
  <c r="AC511" i="5"/>
  <c r="AJ511" i="6"/>
  <c r="C510" i="6"/>
  <c r="O510" i="5"/>
  <c r="AB510" i="5"/>
  <c r="AA510" i="5"/>
  <c r="C510" i="12"/>
  <c r="M510" i="12"/>
  <c r="O510" i="12"/>
  <c r="AO510" i="12"/>
  <c r="CD512" i="6"/>
  <c r="AP512" i="6"/>
  <c r="BV512" i="6"/>
  <c r="BD512" i="6"/>
  <c r="CF512" i="6"/>
  <c r="BA512" i="6"/>
  <c r="BM512" i="6"/>
  <c r="BR512" i="6"/>
  <c r="CG512" i="6"/>
  <c r="CJ512" i="6"/>
  <c r="AR512" i="6"/>
  <c r="Y509" i="12"/>
  <c r="D514" i="6"/>
  <c r="E509" i="6"/>
  <c r="D509" i="12"/>
  <c r="AL512" i="6"/>
  <c r="BC512" i="6"/>
  <c r="AS512" i="6"/>
  <c r="BE512" i="6"/>
  <c r="CL512" i="6"/>
  <c r="AT512" i="6"/>
  <c r="AY512" i="6"/>
  <c r="AW512" i="6"/>
  <c r="AN512" i="6"/>
  <c r="BZ512" i="6"/>
  <c r="AK512" i="6"/>
  <c r="CE512" i="6"/>
  <c r="CK512" i="6"/>
  <c r="AZ512" i="6"/>
  <c r="BY512" i="6"/>
  <c r="CB512" i="6"/>
  <c r="AO512" i="6"/>
  <c r="G515" i="5"/>
  <c r="E515" i="5"/>
  <c r="C516" i="5"/>
  <c r="H515" i="5"/>
  <c r="J515" i="5"/>
  <c r="B515" i="5"/>
  <c r="A515" i="12"/>
  <c r="AD515" i="5"/>
  <c r="F515" i="5"/>
  <c r="N515" i="5"/>
  <c r="D515" i="5"/>
  <c r="B515" i="12" s="1"/>
  <c r="R515" i="5"/>
  <c r="AE515" i="5"/>
  <c r="W515" i="5"/>
  <c r="H515" i="12" s="1"/>
  <c r="B515" i="6"/>
  <c r="K515" i="5"/>
  <c r="G512" i="12"/>
  <c r="X512" i="5"/>
  <c r="CC512" i="6"/>
  <c r="BL512" i="6"/>
  <c r="J514" i="12"/>
  <c r="L514" i="12"/>
  <c r="E514" i="12"/>
  <c r="F514" i="6"/>
  <c r="CJ513" i="6"/>
  <c r="BD513" i="6"/>
  <c r="BV513" i="6"/>
  <c r="BH513" i="6"/>
  <c r="BM513" i="6"/>
  <c r="BR513" i="6"/>
  <c r="BE513" i="6"/>
  <c r="CE513" i="6"/>
  <c r="CI513" i="6"/>
  <c r="CK513" i="6"/>
  <c r="CD513" i="6"/>
  <c r="M513" i="6"/>
  <c r="BO513" i="6"/>
  <c r="BX513" i="6"/>
  <c r="BC513" i="6"/>
  <c r="BF513" i="6"/>
  <c r="BL513" i="6"/>
  <c r="BY513" i="6"/>
  <c r="CB513" i="6"/>
  <c r="CG513" i="6"/>
  <c r="CC513" i="6"/>
  <c r="H513" i="6"/>
  <c r="T513" i="5" s="1"/>
  <c r="G513" i="12" s="1"/>
  <c r="BG513" i="6"/>
  <c r="BT513" i="6"/>
  <c r="BW513" i="6"/>
  <c r="BK513" i="6"/>
  <c r="BP513" i="6"/>
  <c r="BJ513" i="6"/>
  <c r="CF513" i="6"/>
  <c r="BQ513" i="6"/>
  <c r="BZ513" i="6"/>
  <c r="CH513" i="6"/>
  <c r="N513" i="6"/>
  <c r="CL513" i="6"/>
  <c r="BS513" i="6"/>
  <c r="BN513" i="6"/>
  <c r="BI513" i="6"/>
  <c r="G513" i="6"/>
  <c r="CA513" i="6"/>
  <c r="CM513" i="6"/>
  <c r="AU513" i="6" l="1"/>
  <c r="AX513" i="6"/>
  <c r="BA513" i="6"/>
  <c r="AJ513" i="6"/>
  <c r="AY513" i="6"/>
  <c r="AW513" i="6"/>
  <c r="AP513" i="6"/>
  <c r="AS513" i="6"/>
  <c r="AO513" i="6"/>
  <c r="AQ513" i="6"/>
  <c r="AM513" i="6"/>
  <c r="AN513" i="6"/>
  <c r="AR513" i="6"/>
  <c r="AV513" i="6"/>
  <c r="E515" i="12"/>
  <c r="F515" i="6"/>
  <c r="Y510" i="12"/>
  <c r="AA511" i="5"/>
  <c r="AB511" i="5"/>
  <c r="AT513" i="6"/>
  <c r="AK513" i="6"/>
  <c r="AL513" i="6"/>
  <c r="AZ513" i="6"/>
  <c r="G514" i="6"/>
  <c r="N514" i="6"/>
  <c r="M514" i="6"/>
  <c r="CD514" i="6" s="1"/>
  <c r="BS514" i="6"/>
  <c r="H514" i="6"/>
  <c r="T514" i="5" s="1"/>
  <c r="CB514" i="6"/>
  <c r="BF514" i="6"/>
  <c r="BT514" i="6"/>
  <c r="BP514" i="6"/>
  <c r="BV514" i="6"/>
  <c r="N510" i="12"/>
  <c r="V508" i="12"/>
  <c r="T508" i="12"/>
  <c r="U508" i="12"/>
  <c r="L512" i="5"/>
  <c r="I512" i="12"/>
  <c r="AM512" i="5"/>
  <c r="Z512" i="5"/>
  <c r="I512" i="5"/>
  <c r="AC512" i="5"/>
  <c r="D515" i="6"/>
  <c r="E510" i="6"/>
  <c r="D510" i="12"/>
  <c r="C511" i="12"/>
  <c r="AO511" i="12"/>
  <c r="M511" i="12"/>
  <c r="O511" i="12"/>
  <c r="K514" i="12"/>
  <c r="L515" i="12"/>
  <c r="J515" i="12"/>
  <c r="H516" i="5"/>
  <c r="D516" i="5"/>
  <c r="B516" i="12" s="1"/>
  <c r="K516" i="5"/>
  <c r="W516" i="5"/>
  <c r="H516" i="12" s="1"/>
  <c r="E516" i="5"/>
  <c r="G516" i="5"/>
  <c r="A516" i="12"/>
  <c r="R516" i="5"/>
  <c r="N516" i="5"/>
  <c r="AE516" i="5"/>
  <c r="B516" i="5"/>
  <c r="J516" i="5"/>
  <c r="F516" i="5"/>
  <c r="AD516" i="5"/>
  <c r="C517" i="5"/>
  <c r="B516" i="6"/>
  <c r="W509" i="12"/>
  <c r="X509" i="12"/>
  <c r="AJ512" i="6"/>
  <c r="C511" i="6"/>
  <c r="O511" i="5"/>
  <c r="CM514" i="6" l="1"/>
  <c r="CF514" i="6"/>
  <c r="BD514" i="6"/>
  <c r="BM514" i="6"/>
  <c r="N511" i="12"/>
  <c r="AQ514" i="6"/>
  <c r="CL514" i="6"/>
  <c r="C512" i="6"/>
  <c r="O512" i="5"/>
  <c r="G514" i="12"/>
  <c r="X514" i="5"/>
  <c r="AJ514" i="6" s="1"/>
  <c r="AZ514" i="6"/>
  <c r="CC514" i="6"/>
  <c r="CG514" i="6"/>
  <c r="CE514" i="6"/>
  <c r="CH514" i="6"/>
  <c r="AX514" i="6"/>
  <c r="AY514" i="6"/>
  <c r="AW514" i="6"/>
  <c r="BG514" i="6"/>
  <c r="BE514" i="6"/>
  <c r="E517" i="5"/>
  <c r="B517" i="5"/>
  <c r="N517" i="5"/>
  <c r="J517" i="5"/>
  <c r="K517" i="5"/>
  <c r="C518" i="5"/>
  <c r="G517" i="5"/>
  <c r="AD517" i="5"/>
  <c r="A517" i="12"/>
  <c r="B517" i="6"/>
  <c r="H517" i="5"/>
  <c r="AE517" i="5"/>
  <c r="F517" i="5"/>
  <c r="R517" i="5"/>
  <c r="W517" i="5"/>
  <c r="H517" i="12" s="1"/>
  <c r="D517" i="5"/>
  <c r="B517" i="12" s="1"/>
  <c r="E516" i="12"/>
  <c r="F516" i="6"/>
  <c r="K515" i="12"/>
  <c r="Y511" i="12"/>
  <c r="AB512" i="5"/>
  <c r="AA512" i="5"/>
  <c r="BJ514" i="6"/>
  <c r="AL514" i="6"/>
  <c r="AR514" i="6"/>
  <c r="AK514" i="6"/>
  <c r="BY514" i="6"/>
  <c r="AP514" i="6"/>
  <c r="AU514" i="6"/>
  <c r="AV514" i="6"/>
  <c r="AN514" i="6"/>
  <c r="AT514" i="6"/>
  <c r="BZ514" i="6"/>
  <c r="BQ514" i="6"/>
  <c r="BR514" i="6"/>
  <c r="BN514" i="6"/>
  <c r="W510" i="12"/>
  <c r="X510" i="12"/>
  <c r="D511" i="12"/>
  <c r="E511" i="6"/>
  <c r="T509" i="12"/>
  <c r="V509" i="12"/>
  <c r="U509" i="12"/>
  <c r="L516" i="12"/>
  <c r="J516" i="12"/>
  <c r="H515" i="6"/>
  <c r="T515" i="5" s="1"/>
  <c r="M515" i="6"/>
  <c r="AK515" i="6" s="1"/>
  <c r="AQ515" i="6"/>
  <c r="N515" i="6"/>
  <c r="AP515" i="6"/>
  <c r="G515" i="6"/>
  <c r="CJ514" i="6"/>
  <c r="BL514" i="6"/>
  <c r="CK514" i="6"/>
  <c r="BH514" i="6"/>
  <c r="BC514" i="6"/>
  <c r="BI514" i="6"/>
  <c r="BO514" i="6"/>
  <c r="BW514" i="6"/>
  <c r="AS514" i="6"/>
  <c r="BA514" i="6"/>
  <c r="D516" i="6"/>
  <c r="C512" i="12"/>
  <c r="O512" i="12"/>
  <c r="M512" i="12"/>
  <c r="AO512" i="12"/>
  <c r="AM514" i="6"/>
  <c r="BK514" i="6"/>
  <c r="AO514" i="6"/>
  <c r="CI514" i="6"/>
  <c r="BX514" i="6"/>
  <c r="CA514" i="6"/>
  <c r="BJ515" i="6" l="1"/>
  <c r="BK515" i="6"/>
  <c r="BA515" i="6"/>
  <c r="BV515" i="6"/>
  <c r="BP515" i="6"/>
  <c r="BO515" i="6"/>
  <c r="AN515" i="6"/>
  <c r="AS515" i="6"/>
  <c r="BY515" i="6"/>
  <c r="CM515" i="6"/>
  <c r="AU515" i="6"/>
  <c r="AM515" i="6"/>
  <c r="BQ515" i="6"/>
  <c r="BW515" i="6"/>
  <c r="BZ515" i="6"/>
  <c r="AL515" i="6"/>
  <c r="BX515" i="6"/>
  <c r="AZ515" i="6"/>
  <c r="BH515" i="6"/>
  <c r="CF515" i="6"/>
  <c r="AR515" i="6"/>
  <c r="CD515" i="6"/>
  <c r="BL515" i="6"/>
  <c r="AO515" i="6"/>
  <c r="CH515" i="6"/>
  <c r="CK515" i="6"/>
  <c r="BR515" i="6"/>
  <c r="BI515" i="6"/>
  <c r="AW515" i="6"/>
  <c r="CA515" i="6"/>
  <c r="AY515" i="6"/>
  <c r="CE515" i="6"/>
  <c r="CB515" i="6"/>
  <c r="CG515" i="6"/>
  <c r="AX515" i="6"/>
  <c r="N512" i="12"/>
  <c r="BT515" i="6"/>
  <c r="BF515" i="6"/>
  <c r="BC515" i="6"/>
  <c r="BN515" i="6"/>
  <c r="F517" i="6"/>
  <c r="E517" i="12"/>
  <c r="L517" i="12"/>
  <c r="J517" i="12"/>
  <c r="L514" i="5"/>
  <c r="I514" i="12"/>
  <c r="AM514" i="5"/>
  <c r="Z514" i="5"/>
  <c r="I514" i="5"/>
  <c r="AC514" i="5"/>
  <c r="Y512" i="12"/>
  <c r="G516" i="6"/>
  <c r="H516" i="6"/>
  <c r="T516" i="5" s="1"/>
  <c r="N516" i="6"/>
  <c r="M516" i="6"/>
  <c r="BS516" i="6" s="1"/>
  <c r="AT515" i="6"/>
  <c r="AV515" i="6"/>
  <c r="CJ515" i="6"/>
  <c r="CC515" i="6"/>
  <c r="BG515" i="6"/>
  <c r="CI515" i="6"/>
  <c r="BM515" i="6"/>
  <c r="G515" i="12"/>
  <c r="X515" i="5"/>
  <c r="K516" i="12"/>
  <c r="U510" i="12"/>
  <c r="V510" i="12"/>
  <c r="T510" i="12"/>
  <c r="D517" i="6"/>
  <c r="E512" i="6"/>
  <c r="D512" i="12"/>
  <c r="CL515" i="6"/>
  <c r="BS515" i="6"/>
  <c r="BD515" i="6"/>
  <c r="BE515" i="6"/>
  <c r="X511" i="12"/>
  <c r="W511" i="12"/>
  <c r="A518" i="12"/>
  <c r="J518" i="5"/>
  <c r="AD518" i="5"/>
  <c r="B518" i="6"/>
  <c r="E518" i="5"/>
  <c r="AE518" i="5"/>
  <c r="G518" i="5"/>
  <c r="F518" i="5"/>
  <c r="K518" i="5"/>
  <c r="N518" i="5"/>
  <c r="R518" i="5"/>
  <c r="B518" i="5"/>
  <c r="W518" i="5"/>
  <c r="H518" i="12" s="1"/>
  <c r="D518" i="5"/>
  <c r="B518" i="12" s="1"/>
  <c r="H518" i="5"/>
  <c r="C519" i="5"/>
  <c r="K517" i="12" l="1"/>
  <c r="CI516" i="6"/>
  <c r="CF516" i="6"/>
  <c r="BN516" i="6"/>
  <c r="BC516" i="6"/>
  <c r="AM516" i="6"/>
  <c r="BT516" i="6"/>
  <c r="AQ516" i="6"/>
  <c r="AU516" i="6"/>
  <c r="CL516" i="6"/>
  <c r="BH516" i="6"/>
  <c r="AN516" i="6"/>
  <c r="AY516" i="6"/>
  <c r="U511" i="12"/>
  <c r="V511" i="12"/>
  <c r="T511" i="12"/>
  <c r="BY516" i="6"/>
  <c r="AZ516" i="6"/>
  <c r="BI516" i="6"/>
  <c r="CG516" i="6"/>
  <c r="G516" i="12"/>
  <c r="X516" i="5"/>
  <c r="BD516" i="6"/>
  <c r="BM516" i="6"/>
  <c r="C514" i="6"/>
  <c r="O514" i="5"/>
  <c r="E518" i="12"/>
  <c r="F518" i="6"/>
  <c r="N517" i="6"/>
  <c r="G517" i="6"/>
  <c r="M517" i="6"/>
  <c r="BL517" i="6" s="1"/>
  <c r="H517" i="6"/>
  <c r="T517" i="5" s="1"/>
  <c r="CE517" i="6"/>
  <c r="BN517" i="6"/>
  <c r="CK516" i="6"/>
  <c r="BQ516" i="6"/>
  <c r="BE516" i="6"/>
  <c r="BW516" i="6"/>
  <c r="AS516" i="6"/>
  <c r="BV516" i="6"/>
  <c r="BR516" i="6"/>
  <c r="AV516" i="6"/>
  <c r="AK516" i="6"/>
  <c r="BL516" i="6"/>
  <c r="AB514" i="5"/>
  <c r="AA514" i="5"/>
  <c r="AD519" i="5"/>
  <c r="K519" i="5"/>
  <c r="E519" i="5"/>
  <c r="C520" i="5"/>
  <c r="B519" i="5"/>
  <c r="J519" i="5"/>
  <c r="A519" i="12"/>
  <c r="D519" i="5"/>
  <c r="B519" i="12" s="1"/>
  <c r="N519" i="5"/>
  <c r="AE519" i="5"/>
  <c r="W519" i="5"/>
  <c r="H519" i="12" s="1"/>
  <c r="G519" i="5"/>
  <c r="H519" i="5"/>
  <c r="B519" i="6"/>
  <c r="F519" i="5"/>
  <c r="R519" i="5"/>
  <c r="D518" i="6"/>
  <c r="L515" i="5"/>
  <c r="I515" i="12"/>
  <c r="AM515" i="5"/>
  <c r="Z515" i="5"/>
  <c r="I515" i="5"/>
  <c r="AC515" i="5"/>
  <c r="AJ515" i="6"/>
  <c r="AX516" i="6"/>
  <c r="CH516" i="6"/>
  <c r="CB516" i="6"/>
  <c r="BG516" i="6"/>
  <c r="BZ516" i="6"/>
  <c r="CC516" i="6"/>
  <c r="AL516" i="6"/>
  <c r="AP516" i="6"/>
  <c r="AJ516" i="6"/>
  <c r="AW516" i="6"/>
  <c r="AR516" i="6"/>
  <c r="BK516" i="6"/>
  <c r="BP516" i="6"/>
  <c r="AO516" i="6"/>
  <c r="X512" i="12"/>
  <c r="W512" i="12"/>
  <c r="L518" i="12"/>
  <c r="J518" i="12"/>
  <c r="CJ516" i="6"/>
  <c r="BO516" i="6"/>
  <c r="BJ516" i="6"/>
  <c r="CE516" i="6"/>
  <c r="CD516" i="6"/>
  <c r="CA516" i="6"/>
  <c r="BA516" i="6"/>
  <c r="AT516" i="6"/>
  <c r="BF516" i="6"/>
  <c r="CM516" i="6"/>
  <c r="BX516" i="6"/>
  <c r="C514" i="12"/>
  <c r="AO514" i="12"/>
  <c r="M514" i="12"/>
  <c r="O514" i="12"/>
  <c r="CA517" i="6" l="1"/>
  <c r="AN517" i="6"/>
  <c r="AU517" i="6"/>
  <c r="BW517" i="6"/>
  <c r="BT517" i="6"/>
  <c r="CD517" i="6"/>
  <c r="BO517" i="6"/>
  <c r="BV517" i="6"/>
  <c r="BS517" i="6"/>
  <c r="BP517" i="6"/>
  <c r="BQ517" i="6"/>
  <c r="AZ517" i="6"/>
  <c r="BI517" i="6"/>
  <c r="BM517" i="6"/>
  <c r="CH517" i="6"/>
  <c r="N514" i="12"/>
  <c r="AR517" i="6"/>
  <c r="AY517" i="6"/>
  <c r="AS517" i="6"/>
  <c r="U512" i="12"/>
  <c r="T512" i="12"/>
  <c r="V512" i="12"/>
  <c r="H518" i="6"/>
  <c r="T518" i="5" s="1"/>
  <c r="G518" i="6"/>
  <c r="N518" i="6"/>
  <c r="CA518" i="6"/>
  <c r="M518" i="6"/>
  <c r="BD518" i="6" s="1"/>
  <c r="BW518" i="6"/>
  <c r="BP518" i="6"/>
  <c r="BK518" i="6"/>
  <c r="BO518" i="6"/>
  <c r="J519" i="12"/>
  <c r="L519" i="12"/>
  <c r="C515" i="12"/>
  <c r="M515" i="12"/>
  <c r="O515" i="12"/>
  <c r="AO515" i="12"/>
  <c r="G517" i="12"/>
  <c r="X517" i="5"/>
  <c r="AL517" i="6"/>
  <c r="AW517" i="6"/>
  <c r="BD517" i="6"/>
  <c r="C515" i="6"/>
  <c r="O515" i="5"/>
  <c r="E519" i="12"/>
  <c r="F519" i="6"/>
  <c r="D519" i="6"/>
  <c r="CF517" i="6"/>
  <c r="AP517" i="6"/>
  <c r="BK517" i="6"/>
  <c r="BG517" i="6"/>
  <c r="CJ517" i="6"/>
  <c r="CC517" i="6"/>
  <c r="AJ517" i="6"/>
  <c r="BC517" i="6"/>
  <c r="AV517" i="6"/>
  <c r="BH517" i="6"/>
  <c r="CI517" i="6"/>
  <c r="BZ517" i="6"/>
  <c r="BJ517" i="6"/>
  <c r="CM517" i="6"/>
  <c r="AO517" i="6"/>
  <c r="AK517" i="6"/>
  <c r="AT517" i="6"/>
  <c r="Y514" i="12"/>
  <c r="K518" i="12"/>
  <c r="AA515" i="5"/>
  <c r="AB515" i="5"/>
  <c r="B520" i="6"/>
  <c r="AD520" i="5"/>
  <c r="A520" i="12"/>
  <c r="G520" i="5"/>
  <c r="K520" i="5"/>
  <c r="D520" i="5"/>
  <c r="B520" i="12" s="1"/>
  <c r="C521" i="5"/>
  <c r="H520" i="5"/>
  <c r="W520" i="5"/>
  <c r="H520" i="12" s="1"/>
  <c r="J520" i="5"/>
  <c r="AE520" i="5"/>
  <c r="B520" i="5"/>
  <c r="E520" i="5"/>
  <c r="N520" i="5"/>
  <c r="F520" i="5"/>
  <c r="R520" i="5"/>
  <c r="BE517" i="6"/>
  <c r="AM517" i="6"/>
  <c r="CB517" i="6"/>
  <c r="CG517" i="6"/>
  <c r="CL517" i="6"/>
  <c r="BR517" i="6"/>
  <c r="BX517" i="6"/>
  <c r="BA517" i="6"/>
  <c r="BF517" i="6"/>
  <c r="BY517" i="6"/>
  <c r="CK517" i="6"/>
  <c r="AX517" i="6"/>
  <c r="AQ517" i="6"/>
  <c r="E514" i="6"/>
  <c r="D514" i="12"/>
  <c r="I516" i="12"/>
  <c r="L516" i="5"/>
  <c r="AM516" i="5"/>
  <c r="Z516" i="5"/>
  <c r="I516" i="5"/>
  <c r="AC516" i="5"/>
  <c r="BS518" i="6" l="1"/>
  <c r="K519" i="12"/>
  <c r="BJ518" i="6"/>
  <c r="CB518" i="6"/>
  <c r="AL518" i="6"/>
  <c r="AR518" i="6"/>
  <c r="BY518" i="6"/>
  <c r="BH518" i="6"/>
  <c r="CC518" i="6"/>
  <c r="AQ518" i="6"/>
  <c r="AZ518" i="6"/>
  <c r="BE518" i="6"/>
  <c r="AT518" i="6"/>
  <c r="BZ518" i="6"/>
  <c r="AM517" i="5"/>
  <c r="I517" i="12"/>
  <c r="L517" i="5"/>
  <c r="I517" i="5"/>
  <c r="Z517" i="5"/>
  <c r="AC517" i="5"/>
  <c r="G518" i="12"/>
  <c r="X518" i="5"/>
  <c r="X514" i="12"/>
  <c r="W514" i="12"/>
  <c r="AX518" i="6"/>
  <c r="AU518" i="6"/>
  <c r="AM518" i="6"/>
  <c r="CH518" i="6"/>
  <c r="BC518" i="6"/>
  <c r="CE518" i="6"/>
  <c r="CD518" i="6"/>
  <c r="AK518" i="6"/>
  <c r="BT518" i="6"/>
  <c r="AO518" i="6"/>
  <c r="C516" i="6"/>
  <c r="O516" i="5"/>
  <c r="C516" i="12"/>
  <c r="O516" i="12"/>
  <c r="AO516" i="12"/>
  <c r="M516" i="12"/>
  <c r="F520" i="6"/>
  <c r="E520" i="12"/>
  <c r="AW518" i="6"/>
  <c r="AV518" i="6"/>
  <c r="AB516" i="5"/>
  <c r="AA516" i="5"/>
  <c r="D520" i="6"/>
  <c r="E521" i="5"/>
  <c r="A521" i="12"/>
  <c r="AE521" i="5"/>
  <c r="AD521" i="5"/>
  <c r="B521" i="5"/>
  <c r="D521" i="5"/>
  <c r="B521" i="12" s="1"/>
  <c r="H521" i="5"/>
  <c r="G521" i="5"/>
  <c r="R521" i="5"/>
  <c r="N521" i="5"/>
  <c r="K521" i="5"/>
  <c r="F521" i="5"/>
  <c r="J521" i="5"/>
  <c r="W521" i="5"/>
  <c r="H521" i="12" s="1"/>
  <c r="C522" i="5"/>
  <c r="B521" i="6"/>
  <c r="Y515" i="12"/>
  <c r="BQ518" i="6"/>
  <c r="CG518" i="6"/>
  <c r="CM518" i="6"/>
  <c r="CI518" i="6"/>
  <c r="BA518" i="6"/>
  <c r="BN518" i="6"/>
  <c r="BF518" i="6"/>
  <c r="CF518" i="6"/>
  <c r="AS518" i="6"/>
  <c r="CJ518" i="6"/>
  <c r="BM518" i="6"/>
  <c r="BL518" i="6"/>
  <c r="J520" i="12"/>
  <c r="L520" i="12"/>
  <c r="G519" i="6"/>
  <c r="H519" i="6"/>
  <c r="T519" i="5" s="1"/>
  <c r="N519" i="6"/>
  <c r="M519" i="6"/>
  <c r="BF519" i="6" s="1"/>
  <c r="E515" i="6"/>
  <c r="D515" i="12"/>
  <c r="N515" i="12"/>
  <c r="AN518" i="6"/>
  <c r="AP518" i="6"/>
  <c r="AY518" i="6"/>
  <c r="BG518" i="6"/>
  <c r="BR518" i="6"/>
  <c r="CL518" i="6"/>
  <c r="BV518" i="6"/>
  <c r="BI518" i="6"/>
  <c r="BX518" i="6"/>
  <c r="CK518" i="6"/>
  <c r="K520" i="12" l="1"/>
  <c r="N516" i="12"/>
  <c r="CB519" i="6"/>
  <c r="BY519" i="6"/>
  <c r="BC519" i="6"/>
  <c r="D521" i="6"/>
  <c r="BH519" i="6"/>
  <c r="AX519" i="6"/>
  <c r="AQ519" i="6"/>
  <c r="AP519" i="6"/>
  <c r="G519" i="12"/>
  <c r="X519" i="5"/>
  <c r="BG519" i="6"/>
  <c r="E516" i="6"/>
  <c r="D516" i="12"/>
  <c r="T514" i="12"/>
  <c r="V514" i="12"/>
  <c r="U514" i="12"/>
  <c r="C517" i="12"/>
  <c r="AO517" i="12"/>
  <c r="M517" i="12"/>
  <c r="O517" i="12"/>
  <c r="BD519" i="6"/>
  <c r="AJ519" i="6"/>
  <c r="BZ519" i="6"/>
  <c r="BJ519" i="6"/>
  <c r="BE519" i="6"/>
  <c r="CC519" i="6"/>
  <c r="AR519" i="6"/>
  <c r="AZ519" i="6"/>
  <c r="BI519" i="6"/>
  <c r="AW519" i="6"/>
  <c r="BT519" i="6"/>
  <c r="J521" i="12"/>
  <c r="L521" i="12"/>
  <c r="AM518" i="5"/>
  <c r="L518" i="5"/>
  <c r="I518" i="12"/>
  <c r="Z518" i="5"/>
  <c r="I518" i="5"/>
  <c r="AC518" i="5"/>
  <c r="BV519" i="6"/>
  <c r="AK519" i="6"/>
  <c r="AY519" i="6"/>
  <c r="AO519" i="6"/>
  <c r="AV519" i="6"/>
  <c r="AT519" i="6"/>
  <c r="AL519" i="6"/>
  <c r="BW519" i="6"/>
  <c r="BX519" i="6"/>
  <c r="AS519" i="6"/>
  <c r="AE522" i="5"/>
  <c r="N522" i="5"/>
  <c r="J522" i="5"/>
  <c r="H522" i="5"/>
  <c r="R522" i="5"/>
  <c r="W522" i="5"/>
  <c r="H522" i="12" s="1"/>
  <c r="B522" i="5"/>
  <c r="C523" i="5" s="1"/>
  <c r="G522" i="5"/>
  <c r="B522" i="6"/>
  <c r="A522" i="12"/>
  <c r="AD522" i="5"/>
  <c r="D522" i="5"/>
  <c r="B522" i="12" s="1"/>
  <c r="F522" i="5"/>
  <c r="K522" i="5"/>
  <c r="E522" i="5"/>
  <c r="C517" i="6"/>
  <c r="O517" i="5"/>
  <c r="BP519" i="6"/>
  <c r="BA519" i="6"/>
  <c r="BM519" i="6"/>
  <c r="CI519" i="6"/>
  <c r="BK519" i="6"/>
  <c r="CL519" i="6"/>
  <c r="BS519" i="6"/>
  <c r="CF519" i="6"/>
  <c r="CM519" i="6"/>
  <c r="CH519" i="6"/>
  <c r="CG519" i="6"/>
  <c r="CD519" i="6"/>
  <c r="AJ518" i="6"/>
  <c r="AN519" i="6"/>
  <c r="CE519" i="6"/>
  <c r="BR519" i="6"/>
  <c r="CJ519" i="6"/>
  <c r="AU519" i="6"/>
  <c r="CA519" i="6"/>
  <c r="BL519" i="6"/>
  <c r="BQ519" i="6"/>
  <c r="BN519" i="6"/>
  <c r="CK519" i="6"/>
  <c r="BO519" i="6"/>
  <c r="AM519" i="6"/>
  <c r="W515" i="12"/>
  <c r="X515" i="12"/>
  <c r="F521" i="6"/>
  <c r="E521" i="12"/>
  <c r="G520" i="6"/>
  <c r="H520" i="6"/>
  <c r="T520" i="5" s="1"/>
  <c r="N520" i="6"/>
  <c r="M520" i="6"/>
  <c r="BL520" i="6" s="1"/>
  <c r="Y516" i="12"/>
  <c r="AB517" i="5"/>
  <c r="AA517" i="5"/>
  <c r="CI520" i="6" l="1"/>
  <c r="N517" i="12"/>
  <c r="C524" i="5"/>
  <c r="H523" i="5"/>
  <c r="I523" i="5"/>
  <c r="AD523" i="5"/>
  <c r="A523" i="12"/>
  <c r="N523" i="5"/>
  <c r="F523" i="5"/>
  <c r="W523" i="5"/>
  <c r="H523" i="12" s="1"/>
  <c r="AE523" i="5"/>
  <c r="G523" i="5"/>
  <c r="B523" i="5"/>
  <c r="E523" i="5"/>
  <c r="B523" i="6"/>
  <c r="BX520" i="6"/>
  <c r="AP520" i="6"/>
  <c r="BG520" i="6"/>
  <c r="CE520" i="6"/>
  <c r="AO520" i="6"/>
  <c r="BS520" i="6"/>
  <c r="CL520" i="6"/>
  <c r="CD520" i="6"/>
  <c r="L522" i="12"/>
  <c r="J522" i="12"/>
  <c r="BJ520" i="6"/>
  <c r="BA520" i="6"/>
  <c r="BV520" i="6"/>
  <c r="CG520" i="6"/>
  <c r="AY520" i="6"/>
  <c r="BO520" i="6"/>
  <c r="CH520" i="6"/>
  <c r="D517" i="12"/>
  <c r="E517" i="6"/>
  <c r="H521" i="6"/>
  <c r="T521" i="5" s="1"/>
  <c r="G521" i="6"/>
  <c r="N521" i="6"/>
  <c r="M521" i="6"/>
  <c r="BF521" i="6" s="1"/>
  <c r="BW521" i="6"/>
  <c r="BY520" i="6"/>
  <c r="BP520" i="6"/>
  <c r="BD520" i="6"/>
  <c r="AK520" i="6"/>
  <c r="CF520" i="6"/>
  <c r="BW520" i="6"/>
  <c r="CB520" i="6"/>
  <c r="BR520" i="6"/>
  <c r="C518" i="12"/>
  <c r="AO518" i="12"/>
  <c r="O518" i="12"/>
  <c r="N518" i="12" s="1"/>
  <c r="M518" i="12"/>
  <c r="CJ520" i="6"/>
  <c r="AU520" i="6"/>
  <c r="AN520" i="6"/>
  <c r="BH520" i="6"/>
  <c r="AQ520" i="6"/>
  <c r="E522" i="12"/>
  <c r="F522" i="6"/>
  <c r="X516" i="12"/>
  <c r="W516" i="12"/>
  <c r="AR520" i="6"/>
  <c r="BF520" i="6"/>
  <c r="BK520" i="6"/>
  <c r="BM520" i="6"/>
  <c r="AZ520" i="6"/>
  <c r="AB518" i="5"/>
  <c r="AA518" i="5"/>
  <c r="BT520" i="6"/>
  <c r="AX520" i="6"/>
  <c r="CM520" i="6"/>
  <c r="G520" i="12"/>
  <c r="X520" i="5"/>
  <c r="AJ520" i="6" s="1"/>
  <c r="BI520" i="6"/>
  <c r="AM520" i="6"/>
  <c r="CA520" i="6"/>
  <c r="AV520" i="6"/>
  <c r="BC520" i="6"/>
  <c r="AS520" i="6"/>
  <c r="BQ520" i="6"/>
  <c r="BN520" i="6"/>
  <c r="CK520" i="6"/>
  <c r="AL520" i="6"/>
  <c r="AT520" i="6"/>
  <c r="BE520" i="6"/>
  <c r="BZ520" i="6"/>
  <c r="CC520" i="6"/>
  <c r="AW520" i="6"/>
  <c r="V515" i="12"/>
  <c r="T515" i="12"/>
  <c r="U515" i="12"/>
  <c r="D522" i="6"/>
  <c r="C518" i="6"/>
  <c r="O518" i="5"/>
  <c r="K521" i="12"/>
  <c r="Y517" i="12"/>
  <c r="L519" i="5"/>
  <c r="AM519" i="5"/>
  <c r="I519" i="12"/>
  <c r="Z519" i="5"/>
  <c r="I519" i="5"/>
  <c r="AC519" i="5"/>
  <c r="CD521" i="6" l="1"/>
  <c r="BL521" i="6"/>
  <c r="CE521" i="6"/>
  <c r="BC521" i="6"/>
  <c r="BT521" i="6"/>
  <c r="CC521" i="6"/>
  <c r="BE521" i="6"/>
  <c r="CJ521" i="6"/>
  <c r="CA521" i="6"/>
  <c r="BM521" i="6"/>
  <c r="BK521" i="6"/>
  <c r="CG521" i="6"/>
  <c r="BQ521" i="6"/>
  <c r="CF521" i="6"/>
  <c r="AU521" i="6"/>
  <c r="BJ521" i="6"/>
  <c r="C519" i="6"/>
  <c r="O519" i="5"/>
  <c r="G521" i="12"/>
  <c r="X521" i="5"/>
  <c r="AB519" i="5"/>
  <c r="AA519" i="5"/>
  <c r="W517" i="12"/>
  <c r="X517" i="12"/>
  <c r="Y518" i="12"/>
  <c r="CL521" i="6"/>
  <c r="BX521" i="6"/>
  <c r="AP521" i="6"/>
  <c r="CM521" i="6"/>
  <c r="AZ521" i="6"/>
  <c r="AN521" i="6"/>
  <c r="BZ521" i="6"/>
  <c r="AY521" i="6"/>
  <c r="BO521" i="6"/>
  <c r="AW521" i="6"/>
  <c r="BV521" i="6"/>
  <c r="CH521" i="6"/>
  <c r="BI521" i="6"/>
  <c r="K522" i="12"/>
  <c r="BA521" i="6"/>
  <c r="C519" i="12"/>
  <c r="AO519" i="12"/>
  <c r="O519" i="12"/>
  <c r="M519" i="12"/>
  <c r="H522" i="6"/>
  <c r="T522" i="5" s="1"/>
  <c r="N522" i="6"/>
  <c r="M522" i="6"/>
  <c r="BF522" i="6" s="1"/>
  <c r="G522" i="6"/>
  <c r="AM520" i="5"/>
  <c r="I520" i="12"/>
  <c r="L520" i="5"/>
  <c r="Z520" i="5"/>
  <c r="I520" i="5"/>
  <c r="AC520" i="5"/>
  <c r="T516" i="12"/>
  <c r="V516" i="12"/>
  <c r="U516" i="12"/>
  <c r="AS521" i="6"/>
  <c r="AM521" i="6"/>
  <c r="BP521" i="6"/>
  <c r="CK521" i="6"/>
  <c r="AL521" i="6"/>
  <c r="CI521" i="6"/>
  <c r="BR521" i="6"/>
  <c r="BH521" i="6"/>
  <c r="CB521" i="6"/>
  <c r="BG521" i="6"/>
  <c r="D523" i="6"/>
  <c r="AX521" i="6"/>
  <c r="E518" i="6"/>
  <c r="D518" i="12"/>
  <c r="AK521" i="6"/>
  <c r="AR521" i="6"/>
  <c r="AT521" i="6"/>
  <c r="AV521" i="6"/>
  <c r="AQ521" i="6"/>
  <c r="BY521" i="6"/>
  <c r="BN521" i="6"/>
  <c r="BD521" i="6"/>
  <c r="AO521" i="6"/>
  <c r="BS521" i="6"/>
  <c r="H524" i="5"/>
  <c r="B524" i="6"/>
  <c r="N524" i="5"/>
  <c r="E524" i="5"/>
  <c r="G524" i="5"/>
  <c r="AD524" i="5"/>
  <c r="AE524" i="5"/>
  <c r="F524" i="5"/>
  <c r="K524" i="5"/>
  <c r="A524" i="12"/>
  <c r="D524" i="5"/>
  <c r="B524" i="12" s="1"/>
  <c r="R524" i="5"/>
  <c r="B524" i="5"/>
  <c r="W524" i="5"/>
  <c r="H524" i="12" s="1"/>
  <c r="J524" i="5"/>
  <c r="C525" i="5"/>
  <c r="BO522" i="6" l="1"/>
  <c r="BN522" i="6"/>
  <c r="BY522" i="6"/>
  <c r="AK522" i="6"/>
  <c r="CJ522" i="6"/>
  <c r="BR522" i="6"/>
  <c r="AO522" i="6"/>
  <c r="CC522" i="6"/>
  <c r="BE522" i="6"/>
  <c r="AW522" i="6"/>
  <c r="AN522" i="6"/>
  <c r="BC522" i="6"/>
  <c r="BK522" i="6"/>
  <c r="AL522" i="6"/>
  <c r="BP522" i="6"/>
  <c r="BV522" i="6"/>
  <c r="AZ522" i="6"/>
  <c r="N519" i="12"/>
  <c r="AD525" i="5"/>
  <c r="AE525" i="5"/>
  <c r="W525" i="5"/>
  <c r="H525" i="12" s="1"/>
  <c r="K525" i="5"/>
  <c r="B525" i="5"/>
  <c r="A525" i="12"/>
  <c r="H525" i="5"/>
  <c r="N525" i="5"/>
  <c r="G525" i="5"/>
  <c r="C526" i="5"/>
  <c r="B525" i="6"/>
  <c r="F525" i="5"/>
  <c r="J525" i="5"/>
  <c r="R525" i="5"/>
  <c r="E525" i="5"/>
  <c r="D525" i="5"/>
  <c r="B525" i="12" s="1"/>
  <c r="L524" i="12"/>
  <c r="J524" i="12"/>
  <c r="CH523" i="6"/>
  <c r="BR523" i="6"/>
  <c r="BT523" i="6"/>
  <c r="CA523" i="6"/>
  <c r="BO523" i="6"/>
  <c r="CF523" i="6"/>
  <c r="BE523" i="6"/>
  <c r="CJ523" i="6"/>
  <c r="BI523" i="6"/>
  <c r="G523" i="6"/>
  <c r="M523" i="6"/>
  <c r="BH523" i="6"/>
  <c r="N523" i="6"/>
  <c r="BC523" i="6"/>
  <c r="CB523" i="6"/>
  <c r="BJ523" i="6"/>
  <c r="CK523" i="6"/>
  <c r="BL523" i="6"/>
  <c r="BX523" i="6"/>
  <c r="BQ523" i="6"/>
  <c r="BP523" i="6"/>
  <c r="CG523" i="6"/>
  <c r="BK523" i="6"/>
  <c r="CL523" i="6"/>
  <c r="BF523" i="6"/>
  <c r="H523" i="6"/>
  <c r="T523" i="5" s="1"/>
  <c r="G523" i="12" s="1"/>
  <c r="BN523" i="6"/>
  <c r="BV523" i="6"/>
  <c r="BM523" i="6"/>
  <c r="BY523" i="6"/>
  <c r="BS523" i="6"/>
  <c r="BW523" i="6"/>
  <c r="CE523" i="6"/>
  <c r="BD523" i="6"/>
  <c r="CM523" i="6"/>
  <c r="BG523" i="6"/>
  <c r="CD523" i="6"/>
  <c r="CC523" i="6"/>
  <c r="BZ523" i="6"/>
  <c r="CI523" i="6"/>
  <c r="AB520" i="5"/>
  <c r="AA520" i="5"/>
  <c r="BJ522" i="6"/>
  <c r="AU522" i="6"/>
  <c r="CB522" i="6"/>
  <c r="AV522" i="6"/>
  <c r="CM522" i="6"/>
  <c r="BH522" i="6"/>
  <c r="BL522" i="6"/>
  <c r="AQ522" i="6"/>
  <c r="CF522" i="6"/>
  <c r="BM522" i="6"/>
  <c r="AY522" i="6"/>
  <c r="BZ522" i="6"/>
  <c r="CL522" i="6"/>
  <c r="Y519" i="12"/>
  <c r="E519" i="6"/>
  <c r="D519" i="12"/>
  <c r="C520" i="6"/>
  <c r="O520" i="5"/>
  <c r="CI522" i="6"/>
  <c r="BQ522" i="6"/>
  <c r="AM522" i="6"/>
  <c r="CG522" i="6"/>
  <c r="CD522" i="6"/>
  <c r="AS522" i="6"/>
  <c r="BW522" i="6"/>
  <c r="G522" i="12"/>
  <c r="X522" i="5"/>
  <c r="BD522" i="6"/>
  <c r="BG522" i="6"/>
  <c r="CA522" i="6"/>
  <c r="W518" i="12"/>
  <c r="X518" i="12"/>
  <c r="V517" i="12"/>
  <c r="U517" i="12"/>
  <c r="T517" i="12"/>
  <c r="F524" i="6"/>
  <c r="E524" i="12"/>
  <c r="D524" i="6"/>
  <c r="C520" i="12"/>
  <c r="M520" i="12"/>
  <c r="O520" i="12"/>
  <c r="AO520" i="12"/>
  <c r="Y520" i="12" s="1"/>
  <c r="BT522" i="6"/>
  <c r="BA522" i="6"/>
  <c r="AJ522" i="6"/>
  <c r="AX522" i="6"/>
  <c r="AP522" i="6"/>
  <c r="BX522" i="6"/>
  <c r="CE522" i="6"/>
  <c r="CH522" i="6"/>
  <c r="AT522" i="6"/>
  <c r="AR522" i="6"/>
  <c r="CK522" i="6"/>
  <c r="BS522" i="6"/>
  <c r="BI522" i="6"/>
  <c r="AM521" i="5"/>
  <c r="L521" i="5"/>
  <c r="I521" i="12"/>
  <c r="Z521" i="5"/>
  <c r="I521" i="5"/>
  <c r="AC521" i="5"/>
  <c r="AJ521" i="6"/>
  <c r="N520" i="12" l="1"/>
  <c r="AN523" i="6"/>
  <c r="AJ523" i="6"/>
  <c r="AX523" i="6"/>
  <c r="AP523" i="6"/>
  <c r="K524" i="12"/>
  <c r="C521" i="12"/>
  <c r="M521" i="12"/>
  <c r="AO521" i="12"/>
  <c r="O521" i="12"/>
  <c r="W520" i="12"/>
  <c r="X520" i="12"/>
  <c r="U518" i="12"/>
  <c r="V518" i="12"/>
  <c r="T518" i="12"/>
  <c r="AM522" i="5"/>
  <c r="L522" i="5"/>
  <c r="I522" i="12"/>
  <c r="I522" i="5"/>
  <c r="Z522" i="5"/>
  <c r="AC522" i="5"/>
  <c r="AQ523" i="6"/>
  <c r="AW523" i="6"/>
  <c r="B526" i="6"/>
  <c r="F526" i="5"/>
  <c r="B526" i="5"/>
  <c r="W526" i="5"/>
  <c r="H526" i="12" s="1"/>
  <c r="G526" i="5"/>
  <c r="E526" i="5"/>
  <c r="AE526" i="5"/>
  <c r="AD526" i="5"/>
  <c r="A526" i="12"/>
  <c r="C527" i="5"/>
  <c r="J526" i="5"/>
  <c r="H526" i="5"/>
  <c r="K526" i="5"/>
  <c r="N526" i="5"/>
  <c r="D526" i="5"/>
  <c r="B526" i="12" s="1"/>
  <c r="R526" i="5"/>
  <c r="G524" i="6"/>
  <c r="H524" i="6"/>
  <c r="T524" i="5" s="1"/>
  <c r="N524" i="6"/>
  <c r="M524" i="6"/>
  <c r="BS524" i="6" s="1"/>
  <c r="CG524" i="6"/>
  <c r="AY524" i="6"/>
  <c r="BP524" i="6"/>
  <c r="AU524" i="6"/>
  <c r="E520" i="6"/>
  <c r="D520" i="12"/>
  <c r="W519" i="12"/>
  <c r="X519" i="12"/>
  <c r="AR523" i="6"/>
  <c r="AM523" i="6"/>
  <c r="AL523" i="6"/>
  <c r="AT523" i="6"/>
  <c r="AY523" i="6"/>
  <c r="AK523" i="6"/>
  <c r="AA521" i="5"/>
  <c r="AB521" i="5"/>
  <c r="C521" i="6"/>
  <c r="O521" i="5"/>
  <c r="AU523" i="6"/>
  <c r="AZ523" i="6"/>
  <c r="AS523" i="6"/>
  <c r="AV523" i="6"/>
  <c r="AO523" i="6"/>
  <c r="BA523" i="6"/>
  <c r="E525" i="12"/>
  <c r="F525" i="6"/>
  <c r="D525" i="6"/>
  <c r="L525" i="12"/>
  <c r="J525" i="12"/>
  <c r="BQ524" i="6" l="1"/>
  <c r="CM524" i="6"/>
  <c r="AV524" i="6"/>
  <c r="CL524" i="6"/>
  <c r="CJ524" i="6"/>
  <c r="BW524" i="6"/>
  <c r="BG524" i="6"/>
  <c r="AP524" i="6"/>
  <c r="AQ524" i="6"/>
  <c r="BC524" i="6"/>
  <c r="BR524" i="6"/>
  <c r="CD524" i="6"/>
  <c r="CI524" i="6"/>
  <c r="BE524" i="6"/>
  <c r="BJ524" i="6"/>
  <c r="BN524" i="6"/>
  <c r="BO524" i="6"/>
  <c r="CA524" i="6"/>
  <c r="BL524" i="6"/>
  <c r="CK524" i="6"/>
  <c r="CF524" i="6"/>
  <c r="AM524" i="6"/>
  <c r="Y521" i="12"/>
  <c r="W521" i="12" s="1"/>
  <c r="BI524" i="6"/>
  <c r="AL524" i="6"/>
  <c r="BV524" i="6"/>
  <c r="BK524" i="6"/>
  <c r="BM524" i="6"/>
  <c r="AS524" i="6"/>
  <c r="AR524" i="6"/>
  <c r="BD524" i="6"/>
  <c r="CC524" i="6"/>
  <c r="AK524" i="6"/>
  <c r="AT524" i="6"/>
  <c r="AO524" i="6"/>
  <c r="BT524" i="6"/>
  <c r="K525" i="12"/>
  <c r="BY524" i="6"/>
  <c r="CB524" i="6"/>
  <c r="CE524" i="6"/>
  <c r="BZ524" i="6"/>
  <c r="BX524" i="6"/>
  <c r="BH524" i="6"/>
  <c r="BF524" i="6"/>
  <c r="CH524" i="6"/>
  <c r="N521" i="12"/>
  <c r="E526" i="12"/>
  <c r="F526" i="6"/>
  <c r="C522" i="6"/>
  <c r="O522" i="5"/>
  <c r="X521" i="12"/>
  <c r="AZ524" i="6"/>
  <c r="BA524" i="6"/>
  <c r="AN524" i="6"/>
  <c r="AX524" i="6"/>
  <c r="AW524" i="6"/>
  <c r="A527" i="12"/>
  <c r="AD527" i="5"/>
  <c r="G527" i="5"/>
  <c r="H527" i="5"/>
  <c r="W527" i="5"/>
  <c r="H527" i="12" s="1"/>
  <c r="AE527" i="5"/>
  <c r="J527" i="5"/>
  <c r="E527" i="5"/>
  <c r="F527" i="5"/>
  <c r="B527" i="5"/>
  <c r="C528" i="5" s="1"/>
  <c r="D527" i="5"/>
  <c r="B527" i="12" s="1"/>
  <c r="K527" i="5"/>
  <c r="B527" i="6"/>
  <c r="N527" i="5"/>
  <c r="R527" i="5"/>
  <c r="AA522" i="5"/>
  <c r="AB522" i="5"/>
  <c r="G524" i="12"/>
  <c r="X524" i="5"/>
  <c r="L526" i="12"/>
  <c r="K526" i="12" s="1"/>
  <c r="J526" i="12"/>
  <c r="U520" i="12"/>
  <c r="V520" i="12"/>
  <c r="T520" i="12"/>
  <c r="D521" i="12"/>
  <c r="E521" i="6"/>
  <c r="G525" i="6"/>
  <c r="N525" i="6"/>
  <c r="M525" i="6"/>
  <c r="CG525" i="6" s="1"/>
  <c r="H525" i="6"/>
  <c r="T525" i="5" s="1"/>
  <c r="U519" i="12"/>
  <c r="V519" i="12"/>
  <c r="T519" i="12"/>
  <c r="D526" i="6"/>
  <c r="C522" i="12"/>
  <c r="AO522" i="12"/>
  <c r="O522" i="12"/>
  <c r="M522" i="12"/>
  <c r="BO525" i="6" l="1"/>
  <c r="CI525" i="6"/>
  <c r="BG525" i="6"/>
  <c r="AO525" i="6"/>
  <c r="N522" i="12"/>
  <c r="AM525" i="6"/>
  <c r="CE525" i="6"/>
  <c r="D527" i="6"/>
  <c r="BS525" i="6"/>
  <c r="AS525" i="6"/>
  <c r="BC525" i="6"/>
  <c r="F527" i="6"/>
  <c r="E527" i="12"/>
  <c r="G526" i="6"/>
  <c r="H526" i="6"/>
  <c r="T526" i="5" s="1"/>
  <c r="N526" i="6"/>
  <c r="M526" i="6"/>
  <c r="BQ526" i="6" s="1"/>
  <c r="CC525" i="6"/>
  <c r="BT525" i="6"/>
  <c r="BV525" i="6"/>
  <c r="BI525" i="6"/>
  <c r="BW525" i="6"/>
  <c r="AT525" i="6"/>
  <c r="AU525" i="6"/>
  <c r="BN525" i="6"/>
  <c r="AQ525" i="6"/>
  <c r="AN525" i="6"/>
  <c r="BH525" i="6"/>
  <c r="AV525" i="6"/>
  <c r="AX525" i="6"/>
  <c r="AY525" i="6"/>
  <c r="BE525" i="6"/>
  <c r="BL525" i="6"/>
  <c r="BX525" i="6"/>
  <c r="AM524" i="5"/>
  <c r="L524" i="5"/>
  <c r="I524" i="12"/>
  <c r="I524" i="5"/>
  <c r="Z524" i="5"/>
  <c r="AC524" i="5"/>
  <c r="W528" i="5"/>
  <c r="H528" i="12" s="1"/>
  <c r="G528" i="5"/>
  <c r="B528" i="6"/>
  <c r="I528" i="5"/>
  <c r="H528" i="5"/>
  <c r="B528" i="5"/>
  <c r="C529" i="5" s="1"/>
  <c r="F528" i="5"/>
  <c r="N528" i="5"/>
  <c r="A528" i="12"/>
  <c r="AD528" i="5"/>
  <c r="AE528" i="5"/>
  <c r="E528" i="5"/>
  <c r="AJ524" i="6"/>
  <c r="V521" i="12"/>
  <c r="U521" i="12"/>
  <c r="T521" i="12"/>
  <c r="G525" i="12"/>
  <c r="X525" i="5"/>
  <c r="AJ525" i="6" s="1"/>
  <c r="AZ525" i="6"/>
  <c r="BF525" i="6"/>
  <c r="CJ525" i="6"/>
  <c r="BD525" i="6"/>
  <c r="E522" i="6"/>
  <c r="D522" i="12"/>
  <c r="BR525" i="6"/>
  <c r="AW525" i="6"/>
  <c r="CL525" i="6"/>
  <c r="BY525" i="6"/>
  <c r="BA525" i="6"/>
  <c r="CF525" i="6"/>
  <c r="AK525" i="6"/>
  <c r="Y522" i="12"/>
  <c r="BP525" i="6"/>
  <c r="BM525" i="6"/>
  <c r="CK525" i="6"/>
  <c r="BJ525" i="6"/>
  <c r="AP525" i="6"/>
  <c r="BZ525" i="6"/>
  <c r="CM525" i="6"/>
  <c r="CA525" i="6"/>
  <c r="BK525" i="6"/>
  <c r="CD525" i="6"/>
  <c r="CB525" i="6"/>
  <c r="AR525" i="6"/>
  <c r="CH525" i="6"/>
  <c r="BQ525" i="6"/>
  <c r="AL525" i="6"/>
  <c r="J527" i="12"/>
  <c r="L527" i="12"/>
  <c r="BD526" i="6" l="1"/>
  <c r="AN526" i="6"/>
  <c r="AV526" i="6"/>
  <c r="BN526" i="6"/>
  <c r="CA526" i="6"/>
  <c r="BJ526" i="6"/>
  <c r="BL526" i="6"/>
  <c r="AX526" i="6"/>
  <c r="CI526" i="6"/>
  <c r="AO526" i="6"/>
  <c r="AU526" i="6"/>
  <c r="BX526" i="6"/>
  <c r="BO526" i="6"/>
  <c r="BH526" i="6"/>
  <c r="AM526" i="6"/>
  <c r="BR526" i="6"/>
  <c r="AZ526" i="6"/>
  <c r="AW526" i="6"/>
  <c r="BV526" i="6"/>
  <c r="BZ526" i="6"/>
  <c r="AQ526" i="6"/>
  <c r="A529" i="12"/>
  <c r="I529" i="5"/>
  <c r="AD529" i="5"/>
  <c r="F529" i="5"/>
  <c r="B529" i="6"/>
  <c r="AE529" i="5"/>
  <c r="H529" i="5"/>
  <c r="N529" i="5"/>
  <c r="G529" i="5"/>
  <c r="B529" i="5"/>
  <c r="C530" i="5"/>
  <c r="E529" i="5"/>
  <c r="W529" i="5"/>
  <c r="H529" i="12" s="1"/>
  <c r="W522" i="12"/>
  <c r="X522" i="12"/>
  <c r="C524" i="12"/>
  <c r="M524" i="12"/>
  <c r="AO524" i="12"/>
  <c r="O524" i="12"/>
  <c r="N524" i="12" s="1"/>
  <c r="BG526" i="6"/>
  <c r="AT526" i="6"/>
  <c r="BP526" i="6"/>
  <c r="AK526" i="6"/>
  <c r="AL526" i="6"/>
  <c r="BY526" i="6"/>
  <c r="BI526" i="6"/>
  <c r="D528" i="6"/>
  <c r="C524" i="6"/>
  <c r="O524" i="5"/>
  <c r="CG526" i="6"/>
  <c r="BF526" i="6"/>
  <c r="AS526" i="6"/>
  <c r="BM526" i="6"/>
  <c r="CE526" i="6"/>
  <c r="AR526" i="6"/>
  <c r="CC526" i="6"/>
  <c r="BE526" i="6"/>
  <c r="G526" i="12"/>
  <c r="X526" i="5"/>
  <c r="CJ526" i="6"/>
  <c r="CK526" i="6"/>
  <c r="BT526" i="6"/>
  <c r="BS526" i="6"/>
  <c r="N527" i="6"/>
  <c r="G527" i="6"/>
  <c r="M527" i="6"/>
  <c r="CI527" i="6" s="1"/>
  <c r="H527" i="6"/>
  <c r="T527" i="5" s="1"/>
  <c r="AT527" i="6"/>
  <c r="BP527" i="6"/>
  <c r="CG527" i="6"/>
  <c r="BD527" i="6"/>
  <c r="AQ527" i="6"/>
  <c r="K527" i="12"/>
  <c r="I525" i="12"/>
  <c r="AM525" i="5"/>
  <c r="L525" i="5"/>
  <c r="Z525" i="5"/>
  <c r="I525" i="5"/>
  <c r="AC525" i="5"/>
  <c r="AB524" i="5"/>
  <c r="AA524" i="5"/>
  <c r="CB526" i="6"/>
  <c r="CH526" i="6"/>
  <c r="AY526" i="6"/>
  <c r="CL526" i="6"/>
  <c r="BA526" i="6"/>
  <c r="BK526" i="6"/>
  <c r="CM526" i="6"/>
  <c r="CD526" i="6"/>
  <c r="BW526" i="6"/>
  <c r="BC526" i="6"/>
  <c r="AP526" i="6"/>
  <c r="CF526" i="6"/>
  <c r="BI527" i="6" l="1"/>
  <c r="AN527" i="6"/>
  <c r="BY527" i="6"/>
  <c r="BJ527" i="6"/>
  <c r="BO527" i="6"/>
  <c r="CC527" i="6"/>
  <c r="AM527" i="6"/>
  <c r="BF527" i="6"/>
  <c r="CA527" i="6"/>
  <c r="CM527" i="6"/>
  <c r="BV527" i="6"/>
  <c r="CK527" i="6"/>
  <c r="BQ527" i="6"/>
  <c r="CE527" i="6"/>
  <c r="AL527" i="6"/>
  <c r="AZ527" i="6"/>
  <c r="BZ527" i="6"/>
  <c r="BN527" i="6"/>
  <c r="AO527" i="6"/>
  <c r="BC527" i="6"/>
  <c r="BL527" i="6"/>
  <c r="AK527" i="6"/>
  <c r="CB527" i="6"/>
  <c r="AX527" i="6"/>
  <c r="Y524" i="12"/>
  <c r="W524" i="12" s="1"/>
  <c r="BT527" i="6"/>
  <c r="BR527" i="6"/>
  <c r="AM526" i="5"/>
  <c r="I526" i="12"/>
  <c r="L526" i="5"/>
  <c r="I526" i="5"/>
  <c r="Z526" i="5"/>
  <c r="AC526" i="5"/>
  <c r="C525" i="6"/>
  <c r="O525" i="5"/>
  <c r="G527" i="12"/>
  <c r="X527" i="5"/>
  <c r="AR527" i="6"/>
  <c r="AS527" i="6"/>
  <c r="CH527" i="6"/>
  <c r="BE527" i="6"/>
  <c r="CJ527" i="6"/>
  <c r="BA527" i="6"/>
  <c r="BI528" i="6"/>
  <c r="BG528" i="6"/>
  <c r="M528" i="6"/>
  <c r="AU528" i="6" s="1"/>
  <c r="CD528" i="6"/>
  <c r="BX528" i="6"/>
  <c r="BF528" i="6"/>
  <c r="BS528" i="6"/>
  <c r="BE528" i="6"/>
  <c r="CB528" i="6"/>
  <c r="CE528" i="6"/>
  <c r="CJ528" i="6"/>
  <c r="CM528" i="6"/>
  <c r="CG528" i="6"/>
  <c r="BY528" i="6"/>
  <c r="CH528" i="6"/>
  <c r="N528" i="6"/>
  <c r="BV528" i="6"/>
  <c r="BN528" i="6"/>
  <c r="BC528" i="6"/>
  <c r="CL528" i="6"/>
  <c r="BA528" i="6"/>
  <c r="CK528" i="6"/>
  <c r="BT528" i="6"/>
  <c r="BL528" i="6"/>
  <c r="BR528" i="6"/>
  <c r="CF528" i="6"/>
  <c r="BK528" i="6"/>
  <c r="G528" i="6"/>
  <c r="BQ528" i="6"/>
  <c r="H528" i="6"/>
  <c r="T528" i="5" s="1"/>
  <c r="G528" i="12" s="1"/>
  <c r="BJ528" i="6"/>
  <c r="CA528" i="6"/>
  <c r="BW528" i="6"/>
  <c r="BM528" i="6"/>
  <c r="BZ528" i="6"/>
  <c r="CI528" i="6"/>
  <c r="BP528" i="6"/>
  <c r="BO528" i="6"/>
  <c r="CC528" i="6"/>
  <c r="BH528" i="6"/>
  <c r="BD528" i="6"/>
  <c r="AM528" i="6"/>
  <c r="C531" i="5"/>
  <c r="A530" i="12"/>
  <c r="N530" i="5"/>
  <c r="H530" i="5"/>
  <c r="K530" i="5"/>
  <c r="B530" i="5"/>
  <c r="E530" i="5"/>
  <c r="J530" i="5"/>
  <c r="B530" i="6"/>
  <c r="D530" i="5"/>
  <c r="B530" i="12" s="1"/>
  <c r="AE530" i="5"/>
  <c r="R530" i="5"/>
  <c r="F530" i="5"/>
  <c r="G530" i="5"/>
  <c r="W530" i="5"/>
  <c r="H530" i="12" s="1"/>
  <c r="AD530" i="5"/>
  <c r="AA525" i="5"/>
  <c r="AB525" i="5"/>
  <c r="D529" i="6"/>
  <c r="AJ526" i="6"/>
  <c r="AW527" i="6"/>
  <c r="AP527" i="6"/>
  <c r="BW527" i="6"/>
  <c r="CL527" i="6"/>
  <c r="AU527" i="6"/>
  <c r="CF527" i="6"/>
  <c r="BM527" i="6"/>
  <c r="AV527" i="6"/>
  <c r="BG527" i="6"/>
  <c r="E524" i="6"/>
  <c r="D524" i="12"/>
  <c r="X524" i="12"/>
  <c r="V522" i="12"/>
  <c r="U522" i="12"/>
  <c r="T522" i="12"/>
  <c r="C525" i="12"/>
  <c r="O525" i="12"/>
  <c r="M525" i="12"/>
  <c r="AO525" i="12"/>
  <c r="Y525" i="12" s="1"/>
  <c r="AY527" i="6"/>
  <c r="BX527" i="6"/>
  <c r="BH527" i="6"/>
  <c r="CD527" i="6"/>
  <c r="BK527" i="6"/>
  <c r="BS527" i="6"/>
  <c r="AP528" i="6" l="1"/>
  <c r="AW528" i="6"/>
  <c r="AX528" i="6"/>
  <c r="AR528" i="6"/>
  <c r="AL528" i="6"/>
  <c r="AV528" i="6"/>
  <c r="AK528" i="6"/>
  <c r="AJ528" i="6"/>
  <c r="AT528" i="6"/>
  <c r="AS528" i="6"/>
  <c r="AN528" i="6"/>
  <c r="AZ528" i="6"/>
  <c r="AM527" i="5"/>
  <c r="L527" i="5"/>
  <c r="I527" i="12"/>
  <c r="I527" i="5"/>
  <c r="Z527" i="5"/>
  <c r="AC527" i="5"/>
  <c r="AJ527" i="6"/>
  <c r="D530" i="6"/>
  <c r="D525" i="12"/>
  <c r="E525" i="6"/>
  <c r="C526" i="12"/>
  <c r="M526" i="12"/>
  <c r="O526" i="12"/>
  <c r="AO526" i="12"/>
  <c r="T524" i="12"/>
  <c r="U524" i="12"/>
  <c r="V524" i="12"/>
  <c r="W525" i="12"/>
  <c r="X525" i="12"/>
  <c r="C526" i="6"/>
  <c r="O526" i="5"/>
  <c r="E530" i="12"/>
  <c r="F530" i="6"/>
  <c r="J530" i="12"/>
  <c r="L530" i="12"/>
  <c r="N525" i="12"/>
  <c r="BT529" i="6"/>
  <c r="CM529" i="6"/>
  <c r="BX529" i="6"/>
  <c r="CG529" i="6"/>
  <c r="BG529" i="6"/>
  <c r="CH529" i="6"/>
  <c r="CB529" i="6"/>
  <c r="BS529" i="6"/>
  <c r="CK529" i="6"/>
  <c r="CJ529" i="6"/>
  <c r="BL529" i="6"/>
  <c r="CA529" i="6"/>
  <c r="N529" i="6"/>
  <c r="BK529" i="6"/>
  <c r="BP529" i="6"/>
  <c r="G529" i="6"/>
  <c r="BR529" i="6"/>
  <c r="BF529" i="6"/>
  <c r="BD529" i="6"/>
  <c r="BW529" i="6"/>
  <c r="BV529" i="6"/>
  <c r="BZ529" i="6"/>
  <c r="BM529" i="6"/>
  <c r="BO529" i="6"/>
  <c r="BQ529" i="6"/>
  <c r="BE529" i="6"/>
  <c r="CI529" i="6"/>
  <c r="CE529" i="6"/>
  <c r="BH529" i="6"/>
  <c r="BY529" i="6"/>
  <c r="BC529" i="6"/>
  <c r="BI529" i="6"/>
  <c r="H529" i="6"/>
  <c r="T529" i="5" s="1"/>
  <c r="G529" i="12" s="1"/>
  <c r="CC529" i="6"/>
  <c r="BJ529" i="6"/>
  <c r="M529" i="6"/>
  <c r="CL529" i="6"/>
  <c r="CF529" i="6"/>
  <c r="BN529" i="6"/>
  <c r="CD529" i="6"/>
  <c r="F531" i="5"/>
  <c r="N531" i="5"/>
  <c r="K531" i="5"/>
  <c r="AD531" i="5"/>
  <c r="D531" i="5"/>
  <c r="B531" i="12" s="1"/>
  <c r="B531" i="5"/>
  <c r="G531" i="5"/>
  <c r="J531" i="5"/>
  <c r="A531" i="12"/>
  <c r="E531" i="5"/>
  <c r="B531" i="6"/>
  <c r="R531" i="5"/>
  <c r="W531" i="5"/>
  <c r="H531" i="12" s="1"/>
  <c r="C532" i="5"/>
  <c r="H531" i="5"/>
  <c r="AE531" i="5"/>
  <c r="AO528" i="6"/>
  <c r="AY528" i="6"/>
  <c r="AQ528" i="6"/>
  <c r="AB526" i="5"/>
  <c r="AA526" i="5"/>
  <c r="AY529" i="6" l="1"/>
  <c r="AX529" i="6"/>
  <c r="AN529" i="6"/>
  <c r="AT529" i="6"/>
  <c r="AK529" i="6"/>
  <c r="AZ529" i="6"/>
  <c r="AU529" i="6"/>
  <c r="AJ529" i="6"/>
  <c r="AL529" i="6"/>
  <c r="N526" i="12"/>
  <c r="A532" i="12"/>
  <c r="B532" i="6"/>
  <c r="K532" i="5"/>
  <c r="B532" i="5"/>
  <c r="H532" i="5"/>
  <c r="F532" i="5"/>
  <c r="J532" i="5"/>
  <c r="AD532" i="5"/>
  <c r="D532" i="5"/>
  <c r="B532" i="12" s="1"/>
  <c r="G532" i="5"/>
  <c r="C533" i="5"/>
  <c r="R532" i="5"/>
  <c r="W532" i="5"/>
  <c r="H532" i="12" s="1"/>
  <c r="N532" i="5"/>
  <c r="E532" i="5"/>
  <c r="AE532" i="5"/>
  <c r="D531" i="6"/>
  <c r="N530" i="6"/>
  <c r="M530" i="6"/>
  <c r="CD530" i="6" s="1"/>
  <c r="G530" i="6"/>
  <c r="H530" i="6"/>
  <c r="T530" i="5" s="1"/>
  <c r="BN530" i="6"/>
  <c r="BH530" i="6"/>
  <c r="AS529" i="6"/>
  <c r="AQ529" i="6"/>
  <c r="AM529" i="6"/>
  <c r="C527" i="6"/>
  <c r="O527" i="5"/>
  <c r="F531" i="6"/>
  <c r="E531" i="12"/>
  <c r="D526" i="12"/>
  <c r="E526" i="6"/>
  <c r="C527" i="12"/>
  <c r="O527" i="12"/>
  <c r="N527" i="12" s="1"/>
  <c r="M527" i="12"/>
  <c r="AO527" i="12"/>
  <c r="J531" i="12"/>
  <c r="L531" i="12"/>
  <c r="AW529" i="6"/>
  <c r="BA529" i="6"/>
  <c r="AP529" i="6"/>
  <c r="AR529" i="6"/>
  <c r="AO529" i="6"/>
  <c r="AV529" i="6"/>
  <c r="K530" i="12"/>
  <c r="U525" i="12"/>
  <c r="V525" i="12"/>
  <c r="T525" i="12"/>
  <c r="Y526" i="12"/>
  <c r="AA527" i="5"/>
  <c r="AB527" i="5"/>
  <c r="AX530" i="6" l="1"/>
  <c r="CH530" i="6"/>
  <c r="BI530" i="6"/>
  <c r="AK530" i="6"/>
  <c r="AT530" i="6"/>
  <c r="BT530" i="6"/>
  <c r="AV530" i="6"/>
  <c r="BZ530" i="6"/>
  <c r="BK530" i="6"/>
  <c r="BC530" i="6"/>
  <c r="AS530" i="6"/>
  <c r="BW530" i="6"/>
  <c r="CI530" i="6"/>
  <c r="CJ530" i="6"/>
  <c r="BP530" i="6"/>
  <c r="BS530" i="6"/>
  <c r="AQ530" i="6"/>
  <c r="CL530" i="6"/>
  <c r="BG530" i="6"/>
  <c r="CG530" i="6"/>
  <c r="BV530" i="6"/>
  <c r="AZ530" i="6"/>
  <c r="W526" i="12"/>
  <c r="X526" i="12"/>
  <c r="K531" i="12"/>
  <c r="Y527" i="12"/>
  <c r="D527" i="12"/>
  <c r="E527" i="6"/>
  <c r="BA530" i="6"/>
  <c r="CA530" i="6"/>
  <c r="BE530" i="6"/>
  <c r="AN530" i="6"/>
  <c r="AR530" i="6"/>
  <c r="CM530" i="6"/>
  <c r="BM530" i="6"/>
  <c r="CF530" i="6"/>
  <c r="BF530" i="6"/>
  <c r="BY530" i="6"/>
  <c r="CE530" i="6"/>
  <c r="AM530" i="6"/>
  <c r="BO530" i="6"/>
  <c r="D532" i="6"/>
  <c r="F532" i="6"/>
  <c r="E532" i="12"/>
  <c r="J532" i="12"/>
  <c r="L532" i="12"/>
  <c r="K532" i="12" s="1"/>
  <c r="G530" i="12"/>
  <c r="X530" i="5"/>
  <c r="AW530" i="6"/>
  <c r="AU530" i="6"/>
  <c r="BR530" i="6"/>
  <c r="CK530" i="6"/>
  <c r="CB530" i="6"/>
  <c r="BD530" i="6"/>
  <c r="AO530" i="6"/>
  <c r="BX530" i="6"/>
  <c r="BL530" i="6"/>
  <c r="AL530" i="6"/>
  <c r="BQ530" i="6"/>
  <c r="CC530" i="6"/>
  <c r="AY530" i="6"/>
  <c r="BJ530" i="6"/>
  <c r="AP530" i="6"/>
  <c r="H531" i="6"/>
  <c r="T531" i="5" s="1"/>
  <c r="G531" i="6"/>
  <c r="M531" i="6"/>
  <c r="BE531" i="6" s="1"/>
  <c r="CH531" i="6"/>
  <c r="CJ531" i="6"/>
  <c r="BF531" i="6"/>
  <c r="BV531" i="6"/>
  <c r="CC531" i="6"/>
  <c r="BT531" i="6"/>
  <c r="CB531" i="6"/>
  <c r="N531" i="6"/>
  <c r="BL531" i="6"/>
  <c r="BP531" i="6"/>
  <c r="BW531" i="6"/>
  <c r="BX531" i="6"/>
  <c r="C534" i="5"/>
  <c r="D533" i="5"/>
  <c r="B533" i="12" s="1"/>
  <c r="B533" i="5"/>
  <c r="A533" i="12"/>
  <c r="W533" i="5"/>
  <c r="H533" i="12" s="1"/>
  <c r="H533" i="5"/>
  <c r="E533" i="5"/>
  <c r="G533" i="5"/>
  <c r="R533" i="5"/>
  <c r="AE533" i="5"/>
  <c r="B533" i="6"/>
  <c r="AD533" i="5"/>
  <c r="K533" i="5"/>
  <c r="J533" i="5"/>
  <c r="N533" i="5"/>
  <c r="F533" i="5"/>
  <c r="AM531" i="6" l="1"/>
  <c r="BZ531" i="6"/>
  <c r="CM531" i="6"/>
  <c r="BY531" i="6"/>
  <c r="BG531" i="6"/>
  <c r="BN531" i="6"/>
  <c r="AU531" i="6"/>
  <c r="AQ531" i="6"/>
  <c r="AT531" i="6"/>
  <c r="CL531" i="6"/>
  <c r="BA531" i="6"/>
  <c r="AL531" i="6"/>
  <c r="CF531" i="6"/>
  <c r="BR531" i="6"/>
  <c r="AR531" i="6"/>
  <c r="AY531" i="6"/>
  <c r="BD531" i="6"/>
  <c r="CI531" i="6"/>
  <c r="AZ531" i="6"/>
  <c r="CK531" i="6"/>
  <c r="BI531" i="6"/>
  <c r="BK531" i="6"/>
  <c r="CG531" i="6"/>
  <c r="AX531" i="6"/>
  <c r="AO531" i="6"/>
  <c r="AW531" i="6"/>
  <c r="CE531" i="6"/>
  <c r="BC531" i="6"/>
  <c r="BO531" i="6"/>
  <c r="CD531" i="6"/>
  <c r="BS531" i="6"/>
  <c r="BH531" i="6"/>
  <c r="BJ531" i="6"/>
  <c r="AK531" i="6"/>
  <c r="AE534" i="5"/>
  <c r="H534" i="5"/>
  <c r="D534" i="5"/>
  <c r="B534" i="12" s="1"/>
  <c r="A534" i="12"/>
  <c r="B534" i="6"/>
  <c r="K534" i="5"/>
  <c r="E534" i="5"/>
  <c r="B534" i="5"/>
  <c r="F534" i="5"/>
  <c r="J534" i="5"/>
  <c r="W534" i="5"/>
  <c r="H534" i="12" s="1"/>
  <c r="G534" i="5"/>
  <c r="C535" i="5"/>
  <c r="N534" i="5"/>
  <c r="AD534" i="5"/>
  <c r="R534" i="5"/>
  <c r="AS531" i="6"/>
  <c r="CA531" i="6"/>
  <c r="BM531" i="6"/>
  <c r="AP531" i="6"/>
  <c r="BQ531" i="6"/>
  <c r="AN531" i="6"/>
  <c r="T526" i="12"/>
  <c r="U526" i="12"/>
  <c r="V526" i="12"/>
  <c r="D533" i="6"/>
  <c r="L533" i="12"/>
  <c r="K533" i="12" s="1"/>
  <c r="J533" i="12"/>
  <c r="AV531" i="6"/>
  <c r="G532" i="6"/>
  <c r="N532" i="6"/>
  <c r="M532" i="6"/>
  <c r="BJ532" i="6" s="1"/>
  <c r="CB532" i="6"/>
  <c r="H532" i="6"/>
  <c r="T532" i="5" s="1"/>
  <c r="CF532" i="6"/>
  <c r="X527" i="12"/>
  <c r="W527" i="12"/>
  <c r="F533" i="6"/>
  <c r="E533" i="12"/>
  <c r="G531" i="12"/>
  <c r="X531" i="5"/>
  <c r="AM530" i="5"/>
  <c r="I530" i="12"/>
  <c r="L530" i="5"/>
  <c r="Z530" i="5"/>
  <c r="I530" i="5"/>
  <c r="AC530" i="5"/>
  <c r="AJ530" i="6"/>
  <c r="C530" i="6" l="1"/>
  <c r="O530" i="5"/>
  <c r="AX532" i="6"/>
  <c r="AO532" i="6"/>
  <c r="BV532" i="6"/>
  <c r="CK532" i="6"/>
  <c r="C530" i="12"/>
  <c r="M530" i="12"/>
  <c r="AO530" i="12"/>
  <c r="O530" i="12"/>
  <c r="AT532" i="6"/>
  <c r="BI532" i="6"/>
  <c r="CE532" i="6"/>
  <c r="BA532" i="6"/>
  <c r="CD532" i="6"/>
  <c r="BS532" i="6"/>
  <c r="AK532" i="6"/>
  <c r="AP532" i="6"/>
  <c r="CG532" i="6"/>
  <c r="CI532" i="6"/>
  <c r="BY532" i="6"/>
  <c r="CC532" i="6"/>
  <c r="AR532" i="6"/>
  <c r="BR532" i="6"/>
  <c r="D534" i="6"/>
  <c r="AY532" i="6"/>
  <c r="BD532" i="6"/>
  <c r="BQ532" i="6"/>
  <c r="BL532" i="6"/>
  <c r="BW532" i="6"/>
  <c r="BO532" i="6"/>
  <c r="BX532" i="6"/>
  <c r="BC532" i="6"/>
  <c r="BK532" i="6"/>
  <c r="CJ532" i="6"/>
  <c r="AQ532" i="6"/>
  <c r="AL532" i="6"/>
  <c r="CM532" i="6"/>
  <c r="BF532" i="6"/>
  <c r="BH532" i="6"/>
  <c r="AS532" i="6"/>
  <c r="CL532" i="6"/>
  <c r="AZ532" i="6"/>
  <c r="N533" i="6"/>
  <c r="G533" i="6"/>
  <c r="H533" i="6"/>
  <c r="T533" i="5" s="1"/>
  <c r="M533" i="6"/>
  <c r="CC533" i="6" s="1"/>
  <c r="E534" i="12"/>
  <c r="F534" i="6"/>
  <c r="C536" i="5"/>
  <c r="AD535" i="5"/>
  <c r="W535" i="5"/>
  <c r="H535" i="12" s="1"/>
  <c r="N535" i="5"/>
  <c r="F535" i="5"/>
  <c r="E535" i="5"/>
  <c r="G535" i="5"/>
  <c r="B535" i="6"/>
  <c r="AE535" i="5"/>
  <c r="B535" i="5"/>
  <c r="H535" i="5"/>
  <c r="A535" i="12"/>
  <c r="I535" i="5"/>
  <c r="J534" i="12"/>
  <c r="L534" i="12"/>
  <c r="G532" i="12"/>
  <c r="X532" i="5"/>
  <c r="AJ532" i="6" s="1"/>
  <c r="BT532" i="6"/>
  <c r="BM532" i="6"/>
  <c r="AA530" i="5"/>
  <c r="AB530" i="5"/>
  <c r="AM531" i="5"/>
  <c r="I531" i="12"/>
  <c r="L531" i="5"/>
  <c r="Z531" i="5"/>
  <c r="I531" i="5"/>
  <c r="AC531" i="5"/>
  <c r="AJ531" i="6"/>
  <c r="T527" i="12"/>
  <c r="U527" i="12"/>
  <c r="V527" i="12"/>
  <c r="AV532" i="6"/>
  <c r="AW532" i="6"/>
  <c r="BN532" i="6"/>
  <c r="BG532" i="6"/>
  <c r="BZ532" i="6"/>
  <c r="AM532" i="6"/>
  <c r="BP532" i="6"/>
  <c r="BE532" i="6"/>
  <c r="AU532" i="6"/>
  <c r="AN532" i="6"/>
  <c r="CA532" i="6"/>
  <c r="CH532" i="6"/>
  <c r="BM533" i="6" l="1"/>
  <c r="BI533" i="6"/>
  <c r="CH533" i="6"/>
  <c r="CJ533" i="6"/>
  <c r="CF533" i="6"/>
  <c r="CB533" i="6"/>
  <c r="BZ533" i="6"/>
  <c r="CL533" i="6"/>
  <c r="BE533" i="6"/>
  <c r="BL533" i="6"/>
  <c r="CA533" i="6"/>
  <c r="BP533" i="6"/>
  <c r="BK533" i="6"/>
  <c r="AZ533" i="6"/>
  <c r="C531" i="6"/>
  <c r="O531" i="5"/>
  <c r="C531" i="12"/>
  <c r="O531" i="12"/>
  <c r="M531" i="12"/>
  <c r="AO531" i="12"/>
  <c r="Y531" i="12" s="1"/>
  <c r="CM533" i="6"/>
  <c r="CD533" i="6"/>
  <c r="BX533" i="6"/>
  <c r="AU533" i="6"/>
  <c r="AX533" i="6"/>
  <c r="G533" i="12"/>
  <c r="X533" i="5"/>
  <c r="AK533" i="6"/>
  <c r="AS533" i="6"/>
  <c r="BS533" i="6"/>
  <c r="CK533" i="6"/>
  <c r="AR533" i="6"/>
  <c r="AY533" i="6"/>
  <c r="CI533" i="6"/>
  <c r="AE536" i="5"/>
  <c r="D536" i="5"/>
  <c r="B536" i="12" s="1"/>
  <c r="B536" i="5"/>
  <c r="B536" i="6"/>
  <c r="W536" i="5"/>
  <c r="H536" i="12" s="1"/>
  <c r="G536" i="5"/>
  <c r="N536" i="5"/>
  <c r="F536" i="5"/>
  <c r="A536" i="12"/>
  <c r="AD536" i="5"/>
  <c r="K536" i="5"/>
  <c r="R536" i="5"/>
  <c r="J536" i="5"/>
  <c r="E536" i="5"/>
  <c r="H536" i="5"/>
  <c r="C537" i="5"/>
  <c r="BT533" i="6"/>
  <c r="AM533" i="6"/>
  <c r="BA533" i="6"/>
  <c r="AO533" i="6"/>
  <c r="BH533" i="6"/>
  <c r="BR533" i="6"/>
  <c r="BW533" i="6"/>
  <c r="BQ533" i="6"/>
  <c r="CG533" i="6"/>
  <c r="BC533" i="6"/>
  <c r="AP533" i="6"/>
  <c r="CE533" i="6"/>
  <c r="BO533" i="6"/>
  <c r="BY533" i="6"/>
  <c r="H534" i="6"/>
  <c r="T534" i="5" s="1"/>
  <c r="M534" i="6"/>
  <c r="BT534" i="6" s="1"/>
  <c r="CL534" i="6"/>
  <c r="CJ534" i="6"/>
  <c r="N534" i="6"/>
  <c r="BM534" i="6"/>
  <c r="BK534" i="6"/>
  <c r="AT534" i="6"/>
  <c r="G534" i="6"/>
  <c r="CD534" i="6"/>
  <c r="BL534" i="6"/>
  <c r="N530" i="12"/>
  <c r="E530" i="6"/>
  <c r="D530" i="12"/>
  <c r="AA531" i="5"/>
  <c r="AB531" i="5"/>
  <c r="L532" i="5"/>
  <c r="AM532" i="5"/>
  <c r="I532" i="12"/>
  <c r="I532" i="5"/>
  <c r="Z532" i="5"/>
  <c r="AC532" i="5"/>
  <c r="K534" i="12"/>
  <c r="D535" i="6"/>
  <c r="BJ533" i="6"/>
  <c r="BN533" i="6"/>
  <c r="BV533" i="6"/>
  <c r="BD533" i="6"/>
  <c r="AN533" i="6"/>
  <c r="AL533" i="6"/>
  <c r="BF533" i="6"/>
  <c r="BG533" i="6"/>
  <c r="AQ533" i="6"/>
  <c r="AW533" i="6"/>
  <c r="AV533" i="6"/>
  <c r="AT533" i="6"/>
  <c r="Y530" i="12"/>
  <c r="C532" i="12" l="1"/>
  <c r="AO532" i="12"/>
  <c r="M532" i="12"/>
  <c r="O532" i="12"/>
  <c r="N532" i="12" s="1"/>
  <c r="CB534" i="6"/>
  <c r="AU534" i="6"/>
  <c r="CF534" i="6"/>
  <c r="L536" i="12"/>
  <c r="K536" i="12" s="1"/>
  <c r="J536" i="12"/>
  <c r="X530" i="12"/>
  <c r="W530" i="12"/>
  <c r="BO534" i="6"/>
  <c r="AZ534" i="6"/>
  <c r="CE534" i="6"/>
  <c r="BF534" i="6"/>
  <c r="BJ534" i="6"/>
  <c r="AN534" i="6"/>
  <c r="CH534" i="6"/>
  <c r="CM534" i="6"/>
  <c r="AK534" i="6"/>
  <c r="AS534" i="6"/>
  <c r="BR534" i="6"/>
  <c r="BA534" i="6"/>
  <c r="BI534" i="6"/>
  <c r="AV534" i="6"/>
  <c r="AX534" i="6"/>
  <c r="G534" i="12"/>
  <c r="X534" i="5"/>
  <c r="B537" i="6"/>
  <c r="N537" i="5"/>
  <c r="AD537" i="5"/>
  <c r="G537" i="5"/>
  <c r="F537" i="5"/>
  <c r="K537" i="5"/>
  <c r="E537" i="5"/>
  <c r="J537" i="5"/>
  <c r="C538" i="5"/>
  <c r="B537" i="5"/>
  <c r="D537" i="5"/>
  <c r="B537" i="12" s="1"/>
  <c r="H537" i="5"/>
  <c r="R537" i="5"/>
  <c r="W537" i="5"/>
  <c r="H537" i="12" s="1"/>
  <c r="AE537" i="5"/>
  <c r="A537" i="12"/>
  <c r="E536" i="12"/>
  <c r="F536" i="6"/>
  <c r="L533" i="5"/>
  <c r="I533" i="12"/>
  <c r="AM533" i="5"/>
  <c r="I533" i="5"/>
  <c r="Z533" i="5"/>
  <c r="AC533" i="5"/>
  <c r="AJ533" i="6"/>
  <c r="X531" i="12"/>
  <c r="W531" i="12"/>
  <c r="E531" i="6"/>
  <c r="D531" i="12"/>
  <c r="AA532" i="5"/>
  <c r="AB532" i="5"/>
  <c r="C532" i="6"/>
  <c r="O532" i="5"/>
  <c r="BC534" i="6"/>
  <c r="AQ534" i="6"/>
  <c r="BD534" i="6"/>
  <c r="BZ534" i="6"/>
  <c r="BQ534" i="6"/>
  <c r="AR534" i="6"/>
  <c r="AW534" i="6"/>
  <c r="BY534" i="6"/>
  <c r="BN534" i="6"/>
  <c r="BS534" i="6"/>
  <c r="AP534" i="6"/>
  <c r="AY534" i="6"/>
  <c r="BW534" i="6"/>
  <c r="CA534" i="6"/>
  <c r="D536" i="6"/>
  <c r="CL535" i="6"/>
  <c r="BM535" i="6"/>
  <c r="BZ535" i="6"/>
  <c r="CH535" i="6"/>
  <c r="M535" i="6"/>
  <c r="H535" i="6"/>
  <c r="T535" i="5" s="1"/>
  <c r="G535" i="12" s="1"/>
  <c r="BN535" i="6"/>
  <c r="BY535" i="6"/>
  <c r="BT535" i="6"/>
  <c r="BG535" i="6"/>
  <c r="AS535" i="6"/>
  <c r="CG535" i="6"/>
  <c r="BS535" i="6"/>
  <c r="CA535" i="6"/>
  <c r="G535" i="6"/>
  <c r="CF535" i="6"/>
  <c r="BC535" i="6"/>
  <c r="BQ535" i="6"/>
  <c r="CK535" i="6"/>
  <c r="BV535" i="6"/>
  <c r="BJ535" i="6"/>
  <c r="AX535" i="6"/>
  <c r="AR535" i="6"/>
  <c r="CD535" i="6"/>
  <c r="BP535" i="6"/>
  <c r="BD535" i="6"/>
  <c r="CM535" i="6"/>
  <c r="CI535" i="6"/>
  <c r="CJ535" i="6"/>
  <c r="BI535" i="6"/>
  <c r="BF535" i="6"/>
  <c r="N535" i="6"/>
  <c r="BR535" i="6"/>
  <c r="AY535" i="6"/>
  <c r="BO535" i="6"/>
  <c r="CE535" i="6"/>
  <c r="BW535" i="6"/>
  <c r="BL535" i="6"/>
  <c r="BX535" i="6"/>
  <c r="BE535" i="6"/>
  <c r="BH535" i="6"/>
  <c r="BK535" i="6"/>
  <c r="CC535" i="6"/>
  <c r="CB535" i="6"/>
  <c r="CG534" i="6"/>
  <c r="BP534" i="6"/>
  <c r="CK534" i="6"/>
  <c r="CC534" i="6"/>
  <c r="BG534" i="6"/>
  <c r="BX534" i="6"/>
  <c r="AL534" i="6"/>
  <c r="BH534" i="6"/>
  <c r="BE534" i="6"/>
  <c r="CI534" i="6"/>
  <c r="AM534" i="6"/>
  <c r="AO534" i="6"/>
  <c r="BV534" i="6"/>
  <c r="N531" i="12"/>
  <c r="AL535" i="6" l="1"/>
  <c r="AZ535" i="6"/>
  <c r="G538" i="5"/>
  <c r="D538" i="5"/>
  <c r="B538" i="12" s="1"/>
  <c r="A538" i="12"/>
  <c r="C539" i="5"/>
  <c r="B538" i="6"/>
  <c r="J538" i="5"/>
  <c r="R538" i="5"/>
  <c r="W538" i="5"/>
  <c r="H538" i="12" s="1"/>
  <c r="B538" i="5"/>
  <c r="AE538" i="5"/>
  <c r="H538" i="5"/>
  <c r="E538" i="5"/>
  <c r="N538" i="5"/>
  <c r="AD538" i="5"/>
  <c r="F538" i="5"/>
  <c r="K538" i="5"/>
  <c r="AM535" i="6"/>
  <c r="N536" i="6"/>
  <c r="M536" i="6"/>
  <c r="CE536" i="6" s="1"/>
  <c r="BQ536" i="6"/>
  <c r="BP536" i="6"/>
  <c r="BS536" i="6"/>
  <c r="CK536" i="6"/>
  <c r="CL536" i="6"/>
  <c r="H536" i="6"/>
  <c r="T536" i="5" s="1"/>
  <c r="CM536" i="6"/>
  <c r="BW536" i="6"/>
  <c r="CF536" i="6"/>
  <c r="CD536" i="6"/>
  <c r="CB536" i="6"/>
  <c r="BN536" i="6"/>
  <c r="CG536" i="6"/>
  <c r="AT536" i="6"/>
  <c r="BG536" i="6"/>
  <c r="AY536" i="6"/>
  <c r="BF536" i="6"/>
  <c r="AM536" i="6"/>
  <c r="CC536" i="6"/>
  <c r="G536" i="6"/>
  <c r="BA536" i="6"/>
  <c r="BR536" i="6"/>
  <c r="CI536" i="6"/>
  <c r="AO536" i="6"/>
  <c r="AS536" i="6"/>
  <c r="AP536" i="6"/>
  <c r="AQ535" i="6"/>
  <c r="AV535" i="6"/>
  <c r="AT535" i="6"/>
  <c r="AU535" i="6"/>
  <c r="C533" i="12"/>
  <c r="M533" i="12"/>
  <c r="AO533" i="12"/>
  <c r="O533" i="12"/>
  <c r="N533" i="12" s="1"/>
  <c r="J537" i="12"/>
  <c r="L537" i="12"/>
  <c r="F537" i="6"/>
  <c r="E537" i="12"/>
  <c r="D537" i="6"/>
  <c r="V530" i="12"/>
  <c r="T530" i="12"/>
  <c r="U530" i="12"/>
  <c r="Y532" i="12"/>
  <c r="L534" i="5"/>
  <c r="AM534" i="5"/>
  <c r="I534" i="12"/>
  <c r="I534" i="5"/>
  <c r="Z534" i="5"/>
  <c r="AC534" i="5"/>
  <c r="AJ534" i="6"/>
  <c r="BA535" i="6"/>
  <c r="AO535" i="6"/>
  <c r="AK535" i="6"/>
  <c r="D532" i="12"/>
  <c r="E532" i="6"/>
  <c r="AJ535" i="6"/>
  <c r="AP535" i="6"/>
  <c r="AN535" i="6"/>
  <c r="AW535" i="6"/>
  <c r="U531" i="12"/>
  <c r="T531" i="12"/>
  <c r="V531" i="12"/>
  <c r="AA533" i="5"/>
  <c r="AB533" i="5"/>
  <c r="C533" i="6"/>
  <c r="O533" i="5"/>
  <c r="K537" i="12" l="1"/>
  <c r="Y533" i="12"/>
  <c r="AX536" i="6"/>
  <c r="D533" i="12"/>
  <c r="E533" i="6"/>
  <c r="C534" i="12"/>
  <c r="AO534" i="12"/>
  <c r="M534" i="12"/>
  <c r="O534" i="12"/>
  <c r="AK536" i="6"/>
  <c r="AA534" i="5"/>
  <c r="AB534" i="5"/>
  <c r="C534" i="6"/>
  <c r="O534" i="5"/>
  <c r="BT536" i="6"/>
  <c r="BO536" i="6"/>
  <c r="BJ536" i="6"/>
  <c r="BK536" i="6"/>
  <c r="BH536" i="6"/>
  <c r="BI536" i="6"/>
  <c r="BX536" i="6"/>
  <c r="AU536" i="6"/>
  <c r="BC536" i="6"/>
  <c r="BZ536" i="6"/>
  <c r="BD536" i="6"/>
  <c r="AR536" i="6"/>
  <c r="BM536" i="6"/>
  <c r="L538" i="12"/>
  <c r="J538" i="12"/>
  <c r="X533" i="12"/>
  <c r="W533" i="12"/>
  <c r="G536" i="12"/>
  <c r="X536" i="5"/>
  <c r="E538" i="12"/>
  <c r="F538" i="6"/>
  <c r="W532" i="12"/>
  <c r="X532" i="12"/>
  <c r="AW536" i="6"/>
  <c r="AN536" i="6"/>
  <c r="BL536" i="6"/>
  <c r="BE536" i="6"/>
  <c r="CJ536" i="6"/>
  <c r="BV536" i="6"/>
  <c r="BY536" i="6"/>
  <c r="AL536" i="6"/>
  <c r="CA536" i="6"/>
  <c r="CH536" i="6"/>
  <c r="AZ536" i="6"/>
  <c r="AV536" i="6"/>
  <c r="G537" i="6"/>
  <c r="M537" i="6"/>
  <c r="CI537" i="6" s="1"/>
  <c r="BN537" i="6"/>
  <c r="H537" i="6"/>
  <c r="T537" i="5" s="1"/>
  <c r="N537" i="6"/>
  <c r="CB537" i="6"/>
  <c r="AQ536" i="6"/>
  <c r="D538" i="6"/>
  <c r="J539" i="5"/>
  <c r="C540" i="5"/>
  <c r="B539" i="6"/>
  <c r="W539" i="5"/>
  <c r="H539" i="12" s="1"/>
  <c r="N539" i="5"/>
  <c r="K539" i="5"/>
  <c r="AD539" i="5"/>
  <c r="A539" i="12"/>
  <c r="B539" i="5"/>
  <c r="F539" i="5"/>
  <c r="G539" i="5"/>
  <c r="R539" i="5"/>
  <c r="E539" i="5"/>
  <c r="D539" i="5"/>
  <c r="B539" i="12" s="1"/>
  <c r="H539" i="5"/>
  <c r="AE539" i="5"/>
  <c r="BJ537" i="6" l="1"/>
  <c r="BO537" i="6"/>
  <c r="BH537" i="6"/>
  <c r="N534" i="12"/>
  <c r="AN537" i="6"/>
  <c r="Y534" i="12"/>
  <c r="AO537" i="6"/>
  <c r="BE537" i="6"/>
  <c r="AL537" i="6"/>
  <c r="CM537" i="6"/>
  <c r="BR537" i="6"/>
  <c r="BK537" i="6"/>
  <c r="U533" i="12"/>
  <c r="T533" i="12"/>
  <c r="V533" i="12"/>
  <c r="AK537" i="6"/>
  <c r="G537" i="12"/>
  <c r="X537" i="5"/>
  <c r="BA537" i="6"/>
  <c r="BF537" i="6"/>
  <c r="CG537" i="6"/>
  <c r="AS537" i="6"/>
  <c r="AX537" i="6"/>
  <c r="BX537" i="6"/>
  <c r="BC537" i="6"/>
  <c r="BG537" i="6"/>
  <c r="AM537" i="6"/>
  <c r="CL537" i="6"/>
  <c r="D534" i="12"/>
  <c r="E534" i="6"/>
  <c r="D539" i="6"/>
  <c r="M538" i="6"/>
  <c r="CA538" i="6" s="1"/>
  <c r="G538" i="6"/>
  <c r="N538" i="6"/>
  <c r="H538" i="6"/>
  <c r="T538" i="5" s="1"/>
  <c r="CJ537" i="6"/>
  <c r="AQ537" i="6"/>
  <c r="CC537" i="6"/>
  <c r="CE537" i="6"/>
  <c r="BM537" i="6"/>
  <c r="CD537" i="6"/>
  <c r="BL537" i="6"/>
  <c r="AU537" i="6"/>
  <c r="AP537" i="6"/>
  <c r="BS537" i="6"/>
  <c r="BW537" i="6"/>
  <c r="CF537" i="6"/>
  <c r="AW537" i="6"/>
  <c r="I536" i="12"/>
  <c r="L536" i="5"/>
  <c r="AM536" i="5"/>
  <c r="Z536" i="5"/>
  <c r="I536" i="5"/>
  <c r="AC536" i="5"/>
  <c r="K538" i="12"/>
  <c r="AJ536" i="6"/>
  <c r="AY537" i="6"/>
  <c r="W534" i="12"/>
  <c r="X534" i="12"/>
  <c r="AZ537" i="6"/>
  <c r="F539" i="6"/>
  <c r="E539" i="12"/>
  <c r="L539" i="12"/>
  <c r="J539" i="12"/>
  <c r="BV537" i="6"/>
  <c r="K540" i="5"/>
  <c r="AE540" i="5"/>
  <c r="D540" i="5"/>
  <c r="B540" i="12" s="1"/>
  <c r="N540" i="5"/>
  <c r="G540" i="5"/>
  <c r="J540" i="5"/>
  <c r="E540" i="5"/>
  <c r="AD540" i="5"/>
  <c r="B540" i="6"/>
  <c r="A540" i="12"/>
  <c r="W540" i="5"/>
  <c r="H540" i="12" s="1"/>
  <c r="B540" i="5"/>
  <c r="R540" i="5"/>
  <c r="F540" i="5"/>
  <c r="H540" i="5"/>
  <c r="C541" i="5"/>
  <c r="BP537" i="6"/>
  <c r="BI537" i="6"/>
  <c r="CA537" i="6"/>
  <c r="AV537" i="6"/>
  <c r="AR537" i="6"/>
  <c r="AT537" i="6"/>
  <c r="BZ537" i="6"/>
  <c r="CK537" i="6"/>
  <c r="BT537" i="6"/>
  <c r="BQ537" i="6"/>
  <c r="CH537" i="6"/>
  <c r="BD537" i="6"/>
  <c r="BY537" i="6"/>
  <c r="T532" i="12"/>
  <c r="V532" i="12"/>
  <c r="U532" i="12"/>
  <c r="CD538" i="6" l="1"/>
  <c r="CH538" i="6"/>
  <c r="BH538" i="6"/>
  <c r="CI538" i="6"/>
  <c r="CF538" i="6"/>
  <c r="CE538" i="6"/>
  <c r="BQ538" i="6"/>
  <c r="BY538" i="6"/>
  <c r="AM538" i="6"/>
  <c r="K539" i="12"/>
  <c r="AP538" i="6"/>
  <c r="AW538" i="6"/>
  <c r="AO538" i="6"/>
  <c r="BG538" i="6"/>
  <c r="V534" i="12"/>
  <c r="U534" i="12"/>
  <c r="T534" i="12"/>
  <c r="D540" i="6"/>
  <c r="C536" i="12"/>
  <c r="M536" i="12"/>
  <c r="AO536" i="12"/>
  <c r="O536" i="12"/>
  <c r="BW538" i="6"/>
  <c r="BV538" i="6"/>
  <c r="AZ538" i="6"/>
  <c r="AK538" i="6"/>
  <c r="BZ538" i="6"/>
  <c r="BF538" i="6"/>
  <c r="G538" i="12"/>
  <c r="X538" i="5"/>
  <c r="AL538" i="6"/>
  <c r="BO538" i="6"/>
  <c r="BM538" i="6"/>
  <c r="AT538" i="6"/>
  <c r="BX538" i="6"/>
  <c r="BL538" i="6"/>
  <c r="F541" i="5"/>
  <c r="B541" i="5"/>
  <c r="J541" i="5"/>
  <c r="E541" i="5"/>
  <c r="N541" i="5"/>
  <c r="AD541" i="5"/>
  <c r="R541" i="5"/>
  <c r="A541" i="12"/>
  <c r="C542" i="5"/>
  <c r="G541" i="5"/>
  <c r="AE541" i="5"/>
  <c r="K541" i="5"/>
  <c r="H541" i="5"/>
  <c r="W541" i="5"/>
  <c r="H541" i="12" s="1"/>
  <c r="D541" i="5"/>
  <c r="B541" i="12" s="1"/>
  <c r="B541" i="6"/>
  <c r="E540" i="12"/>
  <c r="F540" i="6"/>
  <c r="J540" i="12"/>
  <c r="L540" i="12"/>
  <c r="AB536" i="5"/>
  <c r="AA536" i="5"/>
  <c r="CL538" i="6"/>
  <c r="AN538" i="6"/>
  <c r="BP538" i="6"/>
  <c r="AY538" i="6"/>
  <c r="CC538" i="6"/>
  <c r="BC538" i="6"/>
  <c r="AQ538" i="6"/>
  <c r="AR538" i="6"/>
  <c r="BK538" i="6"/>
  <c r="BR538" i="6"/>
  <c r="CK538" i="6"/>
  <c r="BA538" i="6"/>
  <c r="CM538" i="6"/>
  <c r="BS538" i="6"/>
  <c r="N539" i="6"/>
  <c r="G539" i="6"/>
  <c r="M539" i="6"/>
  <c r="CG539" i="6" s="1"/>
  <c r="H539" i="6"/>
  <c r="T539" i="5" s="1"/>
  <c r="C536" i="6"/>
  <c r="O536" i="5"/>
  <c r="CG538" i="6"/>
  <c r="AU538" i="6"/>
  <c r="AV538" i="6"/>
  <c r="BE538" i="6"/>
  <c r="CB538" i="6"/>
  <c r="BI538" i="6"/>
  <c r="BD538" i="6"/>
  <c r="BJ538" i="6"/>
  <c r="AS538" i="6"/>
  <c r="AX538" i="6"/>
  <c r="CJ538" i="6"/>
  <c r="BN538" i="6"/>
  <c r="AJ538" i="6"/>
  <c r="BT538" i="6"/>
  <c r="AM537" i="5"/>
  <c r="L537" i="5"/>
  <c r="I537" i="12"/>
  <c r="Z537" i="5"/>
  <c r="I537" i="5"/>
  <c r="AC537" i="5"/>
  <c r="AJ537" i="6"/>
  <c r="CH539" i="6" l="1"/>
  <c r="AL539" i="6"/>
  <c r="BF539" i="6"/>
  <c r="Y536" i="12"/>
  <c r="X536" i="12" s="1"/>
  <c r="BA539" i="6"/>
  <c r="CE539" i="6"/>
  <c r="AZ539" i="6"/>
  <c r="CK539" i="6"/>
  <c r="BH539" i="6"/>
  <c r="BM539" i="6"/>
  <c r="CC539" i="6"/>
  <c r="BP539" i="6"/>
  <c r="BN539" i="6"/>
  <c r="K540" i="12"/>
  <c r="AT539" i="6"/>
  <c r="BK539" i="6"/>
  <c r="AS539" i="6"/>
  <c r="AM539" i="6"/>
  <c r="CB539" i="6"/>
  <c r="AR539" i="6"/>
  <c r="AY539" i="6"/>
  <c r="AV539" i="6"/>
  <c r="BD539" i="6"/>
  <c r="CA539" i="6"/>
  <c r="BW539" i="6"/>
  <c r="N536" i="12"/>
  <c r="AB537" i="5"/>
  <c r="AA537" i="5"/>
  <c r="G539" i="12"/>
  <c r="X539" i="5"/>
  <c r="AP539" i="6"/>
  <c r="BX539" i="6"/>
  <c r="BV539" i="6"/>
  <c r="BG539" i="6"/>
  <c r="BC539" i="6"/>
  <c r="AQ539" i="6"/>
  <c r="BT539" i="6"/>
  <c r="CF539" i="6"/>
  <c r="E541" i="12"/>
  <c r="F541" i="6"/>
  <c r="C537" i="12"/>
  <c r="AO537" i="12"/>
  <c r="O537" i="12"/>
  <c r="M537" i="12"/>
  <c r="AO539" i="6"/>
  <c r="CL539" i="6"/>
  <c r="BQ539" i="6"/>
  <c r="AW539" i="6"/>
  <c r="BO539" i="6"/>
  <c r="BJ539" i="6"/>
  <c r="CM539" i="6"/>
  <c r="C543" i="5"/>
  <c r="H542" i="5"/>
  <c r="B542" i="6"/>
  <c r="B542" i="5"/>
  <c r="E542" i="5"/>
  <c r="J542" i="5"/>
  <c r="N542" i="5"/>
  <c r="R542" i="5"/>
  <c r="F542" i="5"/>
  <c r="K542" i="5"/>
  <c r="AE542" i="5"/>
  <c r="W542" i="5"/>
  <c r="H542" i="12" s="1"/>
  <c r="D542" i="5"/>
  <c r="B542" i="12" s="1"/>
  <c r="A542" i="12"/>
  <c r="AD542" i="5"/>
  <c r="G542" i="5"/>
  <c r="C537" i="6"/>
  <c r="O537" i="5"/>
  <c r="D536" i="12"/>
  <c r="E536" i="6"/>
  <c r="BS539" i="6"/>
  <c r="BR539" i="6"/>
  <c r="BL539" i="6"/>
  <c r="BE539" i="6"/>
  <c r="AX539" i="6"/>
  <c r="AU539" i="6"/>
  <c r="BI539" i="6"/>
  <c r="CJ539" i="6"/>
  <c r="AK539" i="6"/>
  <c r="BZ539" i="6"/>
  <c r="CD539" i="6"/>
  <c r="AN539" i="6"/>
  <c r="CI539" i="6"/>
  <c r="BY539" i="6"/>
  <c r="J541" i="12"/>
  <c r="L541" i="12"/>
  <c r="D541" i="6"/>
  <c r="AM538" i="5"/>
  <c r="L538" i="5"/>
  <c r="I538" i="12"/>
  <c r="I538" i="5"/>
  <c r="Z538" i="5"/>
  <c r="AC538" i="5"/>
  <c r="G540" i="6"/>
  <c r="N540" i="6"/>
  <c r="H540" i="6"/>
  <c r="T540" i="5" s="1"/>
  <c r="M540" i="6"/>
  <c r="CC540" i="6" s="1"/>
  <c r="BF540" i="6"/>
  <c r="BP540" i="6"/>
  <c r="AU540" i="6" l="1"/>
  <c r="CJ540" i="6"/>
  <c r="BY540" i="6"/>
  <c r="BR540" i="6"/>
  <c r="BO540" i="6"/>
  <c r="CH540" i="6"/>
  <c r="CE540" i="6"/>
  <c r="BI540" i="6"/>
  <c r="BD540" i="6"/>
  <c r="BK540" i="6"/>
  <c r="CG540" i="6"/>
  <c r="BN540" i="6"/>
  <c r="CM540" i="6"/>
  <c r="BV540" i="6"/>
  <c r="CD540" i="6"/>
  <c r="W536" i="12"/>
  <c r="T536" i="12" s="1"/>
  <c r="AP540" i="6"/>
  <c r="AT540" i="6"/>
  <c r="BZ540" i="6"/>
  <c r="AY540" i="6"/>
  <c r="C538" i="6"/>
  <c r="O538" i="5"/>
  <c r="D542" i="6"/>
  <c r="V536" i="12"/>
  <c r="AM539" i="5"/>
  <c r="L539" i="5"/>
  <c r="I539" i="12"/>
  <c r="Z539" i="5"/>
  <c r="I539" i="5"/>
  <c r="AC539" i="5"/>
  <c r="AJ539" i="6"/>
  <c r="BS540" i="6"/>
  <c r="BX540" i="6"/>
  <c r="BL540" i="6"/>
  <c r="AR540" i="6"/>
  <c r="BH540" i="6"/>
  <c r="CF540" i="6"/>
  <c r="AW540" i="6"/>
  <c r="BT540" i="6"/>
  <c r="AO540" i="6"/>
  <c r="CA540" i="6"/>
  <c r="BC540" i="6"/>
  <c r="BM540" i="6"/>
  <c r="BW540" i="6"/>
  <c r="AL540" i="6"/>
  <c r="AB538" i="5"/>
  <c r="AA538" i="5"/>
  <c r="D537" i="12"/>
  <c r="E537" i="6"/>
  <c r="N537" i="12"/>
  <c r="H543" i="5"/>
  <c r="A543" i="12"/>
  <c r="G543" i="5"/>
  <c r="AD543" i="5"/>
  <c r="J543" i="5"/>
  <c r="E543" i="5"/>
  <c r="B543" i="5"/>
  <c r="W543" i="5"/>
  <c r="H543" i="12" s="1"/>
  <c r="B543" i="6"/>
  <c r="D543" i="5"/>
  <c r="B543" i="12" s="1"/>
  <c r="AE543" i="5"/>
  <c r="N543" i="5"/>
  <c r="R543" i="5"/>
  <c r="C544" i="5"/>
  <c r="K543" i="5"/>
  <c r="F543" i="5"/>
  <c r="AK540" i="6"/>
  <c r="AX540" i="6"/>
  <c r="BA540" i="6"/>
  <c r="CL540" i="6"/>
  <c r="AS540" i="6"/>
  <c r="AZ540" i="6"/>
  <c r="BE540" i="6"/>
  <c r="G541" i="6"/>
  <c r="N541" i="6"/>
  <c r="H541" i="6"/>
  <c r="T541" i="5" s="1"/>
  <c r="CA541" i="6"/>
  <c r="BW541" i="6"/>
  <c r="M541" i="6"/>
  <c r="BY541" i="6" s="1"/>
  <c r="BZ541" i="6"/>
  <c r="CH541" i="6"/>
  <c r="BE541" i="6"/>
  <c r="BR541" i="6"/>
  <c r="CB541" i="6"/>
  <c r="CK541" i="6"/>
  <c r="CM541" i="6"/>
  <c r="CL541" i="6"/>
  <c r="BV541" i="6"/>
  <c r="BG541" i="6"/>
  <c r="CG541" i="6"/>
  <c r="BI541" i="6"/>
  <c r="CF541" i="6"/>
  <c r="BD541" i="6"/>
  <c r="K541" i="12"/>
  <c r="Y537" i="12"/>
  <c r="BJ540" i="6"/>
  <c r="BG540" i="6"/>
  <c r="AQ540" i="6"/>
  <c r="AM540" i="6"/>
  <c r="CK540" i="6"/>
  <c r="G540" i="12"/>
  <c r="X540" i="5"/>
  <c r="BQ540" i="6"/>
  <c r="AN540" i="6"/>
  <c r="CI540" i="6"/>
  <c r="CB540" i="6"/>
  <c r="AV540" i="6"/>
  <c r="C538" i="12"/>
  <c r="AO538" i="12"/>
  <c r="O538" i="12"/>
  <c r="M538" i="12"/>
  <c r="L542" i="12"/>
  <c r="J542" i="12"/>
  <c r="E542" i="12"/>
  <c r="F542" i="6"/>
  <c r="U536" i="12" l="1"/>
  <c r="Y538" i="12"/>
  <c r="BN541" i="6"/>
  <c r="BX541" i="6"/>
  <c r="AS541" i="6"/>
  <c r="AO541" i="6"/>
  <c r="CC541" i="6"/>
  <c r="CI541" i="6"/>
  <c r="AP541" i="6"/>
  <c r="BJ541" i="6"/>
  <c r="BF541" i="6"/>
  <c r="AW541" i="6"/>
  <c r="AR541" i="6"/>
  <c r="AY541" i="6"/>
  <c r="CJ541" i="6"/>
  <c r="BM541" i="6"/>
  <c r="BA541" i="6"/>
  <c r="CE541" i="6"/>
  <c r="AZ541" i="6"/>
  <c r="BT541" i="6"/>
  <c r="BC541" i="6"/>
  <c r="AT541" i="6"/>
  <c r="BS541" i="6"/>
  <c r="D543" i="6"/>
  <c r="G541" i="12"/>
  <c r="X541" i="5"/>
  <c r="AN541" i="6"/>
  <c r="L543" i="12"/>
  <c r="J543" i="12"/>
  <c r="AA539" i="5"/>
  <c r="AB539" i="5"/>
  <c r="G542" i="6"/>
  <c r="H542" i="6"/>
  <c r="T542" i="5" s="1"/>
  <c r="N542" i="6"/>
  <c r="M542" i="6"/>
  <c r="BI542" i="6" s="1"/>
  <c r="BM542" i="6"/>
  <c r="BS542" i="6"/>
  <c r="AW542" i="6"/>
  <c r="BL542" i="6"/>
  <c r="AT542" i="6"/>
  <c r="BO542" i="6"/>
  <c r="CB542" i="6"/>
  <c r="CG542" i="6"/>
  <c r="W537" i="12"/>
  <c r="X537" i="12"/>
  <c r="AU541" i="6"/>
  <c r="AK541" i="6"/>
  <c r="BH541" i="6"/>
  <c r="BK541" i="6"/>
  <c r="CD541" i="6"/>
  <c r="AE544" i="5"/>
  <c r="K544" i="5"/>
  <c r="J544" i="5"/>
  <c r="G544" i="5"/>
  <c r="AD544" i="5"/>
  <c r="F544" i="5"/>
  <c r="R544" i="5"/>
  <c r="B544" i="6"/>
  <c r="H544" i="5"/>
  <c r="C545" i="5"/>
  <c r="N544" i="5"/>
  <c r="A544" i="12"/>
  <c r="W544" i="5"/>
  <c r="H544" i="12" s="1"/>
  <c r="B544" i="5"/>
  <c r="D544" i="5"/>
  <c r="B544" i="12" s="1"/>
  <c r="E544" i="5"/>
  <c r="C539" i="12"/>
  <c r="M539" i="12"/>
  <c r="O539" i="12"/>
  <c r="AO539" i="12"/>
  <c r="E538" i="6"/>
  <c r="D538" i="12"/>
  <c r="X538" i="12"/>
  <c r="W538" i="12"/>
  <c r="K542" i="12"/>
  <c r="N538" i="12"/>
  <c r="I540" i="12"/>
  <c r="AM540" i="5"/>
  <c r="L540" i="5"/>
  <c r="I540" i="5"/>
  <c r="Z540" i="5"/>
  <c r="AC540" i="5"/>
  <c r="AJ540" i="6"/>
  <c r="AX541" i="6"/>
  <c r="AM541" i="6"/>
  <c r="AQ541" i="6"/>
  <c r="BQ541" i="6"/>
  <c r="BO541" i="6"/>
  <c r="BL541" i="6"/>
  <c r="AL541" i="6"/>
  <c r="AV541" i="6"/>
  <c r="BP541" i="6"/>
  <c r="F543" i="6"/>
  <c r="E543" i="12"/>
  <c r="C539" i="6"/>
  <c r="O539" i="5"/>
  <c r="BT542" i="6" l="1"/>
  <c r="BN542" i="6"/>
  <c r="CA542" i="6"/>
  <c r="AP542" i="6"/>
  <c r="BR542" i="6"/>
  <c r="AY542" i="6"/>
  <c r="BX542" i="6"/>
  <c r="AN542" i="6"/>
  <c r="BE542" i="6"/>
  <c r="AR542" i="6"/>
  <c r="CH542" i="6"/>
  <c r="CM542" i="6"/>
  <c r="BF542" i="6"/>
  <c r="BQ542" i="6"/>
  <c r="CF542" i="6"/>
  <c r="CC542" i="6"/>
  <c r="CJ542" i="6"/>
  <c r="BD542" i="6"/>
  <c r="BH542" i="6"/>
  <c r="CE542" i="6"/>
  <c r="N539" i="12"/>
  <c r="AM542" i="6"/>
  <c r="AQ542" i="6"/>
  <c r="AL542" i="6"/>
  <c r="BZ542" i="6"/>
  <c r="BK542" i="6"/>
  <c r="AX542" i="6"/>
  <c r="CI542" i="6"/>
  <c r="AO542" i="6"/>
  <c r="BP542" i="6"/>
  <c r="AU542" i="6"/>
  <c r="BG542" i="6"/>
  <c r="BJ542" i="6"/>
  <c r="CL542" i="6"/>
  <c r="H545" i="5"/>
  <c r="D545" i="5"/>
  <c r="B545" i="12" s="1"/>
  <c r="G545" i="5"/>
  <c r="R545" i="5"/>
  <c r="N545" i="5"/>
  <c r="AD545" i="5"/>
  <c r="K545" i="5"/>
  <c r="E545" i="5"/>
  <c r="AE545" i="5"/>
  <c r="B545" i="6"/>
  <c r="C546" i="5"/>
  <c r="J545" i="5"/>
  <c r="W545" i="5"/>
  <c r="H545" i="12" s="1"/>
  <c r="F545" i="5"/>
  <c r="B545" i="5"/>
  <c r="A545" i="12"/>
  <c r="AM541" i="5"/>
  <c r="I541" i="12"/>
  <c r="L541" i="5"/>
  <c r="I541" i="5"/>
  <c r="Z541" i="5"/>
  <c r="AC541" i="5"/>
  <c r="AJ541" i="6"/>
  <c r="U538" i="12"/>
  <c r="T538" i="12"/>
  <c r="V538" i="12"/>
  <c r="Y539" i="12"/>
  <c r="U537" i="12"/>
  <c r="T537" i="12"/>
  <c r="V537" i="12"/>
  <c r="AZ542" i="6"/>
  <c r="CK542" i="6"/>
  <c r="BW542" i="6"/>
  <c r="BC542" i="6"/>
  <c r="BY542" i="6"/>
  <c r="E544" i="12"/>
  <c r="F544" i="6"/>
  <c r="AA540" i="5"/>
  <c r="AB540" i="5"/>
  <c r="G542" i="12"/>
  <c r="X542" i="5"/>
  <c r="K543" i="12"/>
  <c r="C540" i="6"/>
  <c r="O540" i="5"/>
  <c r="L544" i="12"/>
  <c r="J544" i="12"/>
  <c r="C540" i="12"/>
  <c r="O540" i="12"/>
  <c r="AO540" i="12"/>
  <c r="Y540" i="12" s="1"/>
  <c r="M540" i="12"/>
  <c r="D539" i="12"/>
  <c r="E539" i="6"/>
  <c r="D544" i="6"/>
  <c r="AV542" i="6"/>
  <c r="AS542" i="6"/>
  <c r="CD542" i="6"/>
  <c r="BV542" i="6"/>
  <c r="AK542" i="6"/>
  <c r="BA542" i="6"/>
  <c r="G543" i="6"/>
  <c r="M543" i="6"/>
  <c r="BW543" i="6" s="1"/>
  <c r="BP543" i="6"/>
  <c r="H543" i="6"/>
  <c r="T543" i="5" s="1"/>
  <c r="BG543" i="6"/>
  <c r="BY543" i="6"/>
  <c r="BM543" i="6"/>
  <c r="BZ543" i="6"/>
  <c r="N543" i="6"/>
  <c r="BJ543" i="6"/>
  <c r="CD543" i="6"/>
  <c r="CE543" i="6"/>
  <c r="BV543" i="6" l="1"/>
  <c r="BK543" i="6"/>
  <c r="CI543" i="6"/>
  <c r="CJ543" i="6"/>
  <c r="BC543" i="6"/>
  <c r="CK543" i="6"/>
  <c r="AS543" i="6"/>
  <c r="BR543" i="6"/>
  <c r="CF543" i="6"/>
  <c r="CL543" i="6"/>
  <c r="CH543" i="6"/>
  <c r="BX543" i="6"/>
  <c r="CA543" i="6"/>
  <c r="BL543" i="6"/>
  <c r="CG543" i="6"/>
  <c r="BS543" i="6"/>
  <c r="BF543" i="6"/>
  <c r="BH543" i="6"/>
  <c r="N540" i="12"/>
  <c r="BO543" i="6"/>
  <c r="BN543" i="6"/>
  <c r="CB543" i="6"/>
  <c r="AX543" i="6"/>
  <c r="CM543" i="6"/>
  <c r="BD543" i="6"/>
  <c r="BI543" i="6"/>
  <c r="CC543" i="6"/>
  <c r="BT543" i="6"/>
  <c r="BE543" i="6"/>
  <c r="BQ543" i="6"/>
  <c r="F545" i="6"/>
  <c r="E545" i="12"/>
  <c r="AZ543" i="6"/>
  <c r="AT543" i="6"/>
  <c r="AK543" i="6"/>
  <c r="AL543" i="6"/>
  <c r="AP543" i="6"/>
  <c r="K544" i="12"/>
  <c r="I542" i="12"/>
  <c r="L542" i="5"/>
  <c r="AM542" i="5"/>
  <c r="I542" i="5"/>
  <c r="Z542" i="5"/>
  <c r="AC542" i="5"/>
  <c r="AJ542" i="6"/>
  <c r="AB541" i="5"/>
  <c r="AA541" i="5"/>
  <c r="G543" i="12"/>
  <c r="X543" i="5"/>
  <c r="AJ543" i="6" s="1"/>
  <c r="AN543" i="6"/>
  <c r="C541" i="12"/>
  <c r="AO541" i="12"/>
  <c r="O541" i="12"/>
  <c r="M541" i="12"/>
  <c r="AR543" i="6"/>
  <c r="AU543" i="6"/>
  <c r="AW543" i="6"/>
  <c r="AV543" i="6"/>
  <c r="BA543" i="6"/>
  <c r="AY543" i="6"/>
  <c r="N544" i="6"/>
  <c r="M544" i="6"/>
  <c r="BV544" i="6" s="1"/>
  <c r="G544" i="6"/>
  <c r="H544" i="6"/>
  <c r="T544" i="5" s="1"/>
  <c r="X540" i="12"/>
  <c r="W540" i="12"/>
  <c r="D540" i="12"/>
  <c r="E540" i="6"/>
  <c r="J545" i="12"/>
  <c r="L545" i="12"/>
  <c r="E546" i="5"/>
  <c r="F546" i="5"/>
  <c r="D546" i="5"/>
  <c r="B546" i="12" s="1"/>
  <c r="B546" i="5"/>
  <c r="G546" i="5"/>
  <c r="AD546" i="5"/>
  <c r="R546" i="5"/>
  <c r="N546" i="5"/>
  <c r="C547" i="5"/>
  <c r="AE546" i="5"/>
  <c r="B546" i="6"/>
  <c r="W546" i="5"/>
  <c r="H546" i="12" s="1"/>
  <c r="H546" i="5"/>
  <c r="K546" i="5"/>
  <c r="A546" i="12"/>
  <c r="J546" i="5"/>
  <c r="D545" i="6"/>
  <c r="AQ543" i="6"/>
  <c r="AM543" i="6"/>
  <c r="AO543" i="6"/>
  <c r="X539" i="12"/>
  <c r="W539" i="12"/>
  <c r="C541" i="6"/>
  <c r="O541" i="5"/>
  <c r="BG544" i="6" l="1"/>
  <c r="BS544" i="6"/>
  <c r="K545" i="12"/>
  <c r="BJ544" i="6"/>
  <c r="N541" i="12"/>
  <c r="AR544" i="6"/>
  <c r="AS544" i="6"/>
  <c r="AP544" i="6"/>
  <c r="AK544" i="6"/>
  <c r="BX544" i="6"/>
  <c r="V540" i="12"/>
  <c r="U540" i="12"/>
  <c r="T540" i="12"/>
  <c r="CH544" i="6"/>
  <c r="AL544" i="6"/>
  <c r="AW544" i="6"/>
  <c r="BC544" i="6"/>
  <c r="AM544" i="6"/>
  <c r="CI544" i="6"/>
  <c r="CB544" i="6"/>
  <c r="CD544" i="6"/>
  <c r="BF544" i="6"/>
  <c r="AY544" i="6"/>
  <c r="BR544" i="6"/>
  <c r="Y541" i="12"/>
  <c r="C542" i="6"/>
  <c r="O542" i="5"/>
  <c r="AT544" i="6"/>
  <c r="AM543" i="5"/>
  <c r="L543" i="5"/>
  <c r="I543" i="12"/>
  <c r="I543" i="5"/>
  <c r="Z543" i="5"/>
  <c r="AC543" i="5"/>
  <c r="CL544" i="6"/>
  <c r="BO544" i="6"/>
  <c r="CF544" i="6"/>
  <c r="K547" i="5"/>
  <c r="B547" i="5"/>
  <c r="AD547" i="5"/>
  <c r="N547" i="5"/>
  <c r="R547" i="5"/>
  <c r="D547" i="5"/>
  <c r="B547" i="12" s="1"/>
  <c r="B547" i="6"/>
  <c r="C548" i="5"/>
  <c r="AE547" i="5"/>
  <c r="G547" i="5"/>
  <c r="E547" i="5"/>
  <c r="J547" i="5"/>
  <c r="W547" i="5"/>
  <c r="H547" i="12" s="1"/>
  <c r="F547" i="5"/>
  <c r="A547" i="12"/>
  <c r="H547" i="5"/>
  <c r="F546" i="6"/>
  <c r="E546" i="12"/>
  <c r="BT544" i="6"/>
  <c r="CC544" i="6"/>
  <c r="BY544" i="6"/>
  <c r="CJ544" i="6"/>
  <c r="BP544" i="6"/>
  <c r="BD544" i="6"/>
  <c r="BW544" i="6"/>
  <c r="CA544" i="6"/>
  <c r="AO544" i="6"/>
  <c r="CG544" i="6"/>
  <c r="AX544" i="6"/>
  <c r="BQ544" i="6"/>
  <c r="BE544" i="6"/>
  <c r="BI544" i="6"/>
  <c r="AA542" i="5"/>
  <c r="AB542" i="5"/>
  <c r="C542" i="12"/>
  <c r="AO542" i="12"/>
  <c r="O542" i="12"/>
  <c r="M542" i="12"/>
  <c r="G544" i="12"/>
  <c r="X544" i="5"/>
  <c r="BZ544" i="6"/>
  <c r="BA544" i="6"/>
  <c r="U539" i="12"/>
  <c r="V539" i="12"/>
  <c r="T539" i="12"/>
  <c r="D541" i="12"/>
  <c r="E541" i="6"/>
  <c r="G545" i="6"/>
  <c r="H545" i="6"/>
  <c r="T545" i="5" s="1"/>
  <c r="M545" i="6"/>
  <c r="BG545" i="6" s="1"/>
  <c r="BW545" i="6"/>
  <c r="AU545" i="6"/>
  <c r="N545" i="6"/>
  <c r="CD545" i="6"/>
  <c r="L546" i="12"/>
  <c r="J546" i="12"/>
  <c r="D546" i="6"/>
  <c r="AJ544" i="6"/>
  <c r="CK544" i="6"/>
  <c r="BH544" i="6"/>
  <c r="AQ544" i="6"/>
  <c r="BM544" i="6"/>
  <c r="AN544" i="6"/>
  <c r="AZ544" i="6"/>
  <c r="BL544" i="6"/>
  <c r="AV544" i="6"/>
  <c r="CE544" i="6"/>
  <c r="BK544" i="6"/>
  <c r="BN544" i="6"/>
  <c r="AU544" i="6"/>
  <c r="CM544" i="6"/>
  <c r="CC545" i="6" l="1"/>
  <c r="BY545" i="6"/>
  <c r="BR545" i="6"/>
  <c r="BP545" i="6"/>
  <c r="BM545" i="6"/>
  <c r="BK545" i="6"/>
  <c r="BI545" i="6"/>
  <c r="CG545" i="6"/>
  <c r="BJ545" i="6"/>
  <c r="AL545" i="6"/>
  <c r="BV545" i="6"/>
  <c r="BE545" i="6"/>
  <c r="CM545" i="6"/>
  <c r="BF545" i="6"/>
  <c r="CA545" i="6"/>
  <c r="BT545" i="6"/>
  <c r="BC545" i="6"/>
  <c r="BS545" i="6"/>
  <c r="BD545" i="6"/>
  <c r="BO545" i="6"/>
  <c r="CK545" i="6"/>
  <c r="BN545" i="6"/>
  <c r="BZ545" i="6"/>
  <c r="CL545" i="6"/>
  <c r="AO545" i="6"/>
  <c r="AS545" i="6"/>
  <c r="CI545" i="6"/>
  <c r="BQ545" i="6"/>
  <c r="CH545" i="6"/>
  <c r="AZ545" i="6"/>
  <c r="AN545" i="6"/>
  <c r="K546" i="12"/>
  <c r="AK545" i="6"/>
  <c r="BA545" i="6"/>
  <c r="AV545" i="6"/>
  <c r="AR545" i="6"/>
  <c r="CE545" i="6"/>
  <c r="CF545" i="6"/>
  <c r="AM545" i="6"/>
  <c r="AT545" i="6"/>
  <c r="AY545" i="6"/>
  <c r="AW545" i="6"/>
  <c r="AQ545" i="6"/>
  <c r="BH545" i="6"/>
  <c r="CJ545" i="6"/>
  <c r="AA543" i="5"/>
  <c r="AB543" i="5"/>
  <c r="N542" i="12"/>
  <c r="X541" i="12"/>
  <c r="W541" i="12"/>
  <c r="BL545" i="6"/>
  <c r="AP545" i="6"/>
  <c r="BX545" i="6"/>
  <c r="L544" i="5"/>
  <c r="I544" i="12"/>
  <c r="AM544" i="5"/>
  <c r="Z544" i="5"/>
  <c r="I544" i="5"/>
  <c r="AC544" i="5"/>
  <c r="Y542" i="12"/>
  <c r="N548" i="5"/>
  <c r="AD548" i="5"/>
  <c r="E548" i="5"/>
  <c r="R548" i="5"/>
  <c r="H548" i="5"/>
  <c r="D548" i="5"/>
  <c r="B548" i="12" s="1"/>
  <c r="B548" i="5"/>
  <c r="G548" i="5"/>
  <c r="AE548" i="5"/>
  <c r="F548" i="5"/>
  <c r="B548" i="6"/>
  <c r="J548" i="5"/>
  <c r="K548" i="5"/>
  <c r="A548" i="12"/>
  <c r="W548" i="5"/>
  <c r="H548" i="12" s="1"/>
  <c r="C549" i="5"/>
  <c r="C543" i="12"/>
  <c r="AO543" i="12"/>
  <c r="M543" i="12"/>
  <c r="O543" i="12"/>
  <c r="E542" i="6"/>
  <c r="D542" i="12"/>
  <c r="J547" i="12"/>
  <c r="L547" i="12"/>
  <c r="D547" i="6"/>
  <c r="H546" i="6"/>
  <c r="T546" i="5" s="1"/>
  <c r="BT546" i="6"/>
  <c r="BE546" i="6"/>
  <c r="CA546" i="6"/>
  <c r="G546" i="6"/>
  <c r="AV546" i="6"/>
  <c r="BN546" i="6"/>
  <c r="N546" i="6"/>
  <c r="BA546" i="6"/>
  <c r="M546" i="6"/>
  <c r="BW546" i="6" s="1"/>
  <c r="BV546" i="6"/>
  <c r="BR546" i="6"/>
  <c r="BL546" i="6"/>
  <c r="AW546" i="6"/>
  <c r="BH546" i="6"/>
  <c r="AT546" i="6"/>
  <c r="G545" i="12"/>
  <c r="X545" i="5"/>
  <c r="AX545" i="6"/>
  <c r="CB545" i="6"/>
  <c r="E547" i="12"/>
  <c r="F547" i="6"/>
  <c r="C543" i="6"/>
  <c r="O543" i="5"/>
  <c r="AK546" i="6" l="1"/>
  <c r="BM546" i="6"/>
  <c r="AZ546" i="6"/>
  <c r="BO546" i="6"/>
  <c r="BK546" i="6"/>
  <c r="BS546" i="6"/>
  <c r="AU546" i="6"/>
  <c r="AS546" i="6"/>
  <c r="CI546" i="6"/>
  <c r="AO546" i="6"/>
  <c r="AR546" i="6"/>
  <c r="BC546" i="6"/>
  <c r="BJ546" i="6"/>
  <c r="K547" i="12"/>
  <c r="CL546" i="6"/>
  <c r="BY546" i="6"/>
  <c r="BG546" i="6"/>
  <c r="CM546" i="6"/>
  <c r="AQ546" i="6"/>
  <c r="Y543" i="12"/>
  <c r="W543" i="12" s="1"/>
  <c r="AA544" i="5"/>
  <c r="AB544" i="5"/>
  <c r="G546" i="12"/>
  <c r="X546" i="5"/>
  <c r="E548" i="12"/>
  <c r="F548" i="6"/>
  <c r="X542" i="12"/>
  <c r="W542" i="12"/>
  <c r="N549" i="5"/>
  <c r="AE549" i="5"/>
  <c r="B549" i="6"/>
  <c r="D549" i="5"/>
  <c r="B549" i="12" s="1"/>
  <c r="A549" i="12"/>
  <c r="K549" i="5"/>
  <c r="C550" i="5"/>
  <c r="R549" i="5"/>
  <c r="J549" i="5"/>
  <c r="G549" i="5"/>
  <c r="AD549" i="5"/>
  <c r="F549" i="5"/>
  <c r="W549" i="5"/>
  <c r="H549" i="12" s="1"/>
  <c r="B549" i="5"/>
  <c r="H549" i="5"/>
  <c r="E549" i="5"/>
  <c r="L545" i="5"/>
  <c r="AM545" i="5"/>
  <c r="I545" i="12"/>
  <c r="Z545" i="5"/>
  <c r="I545" i="5"/>
  <c r="AC545" i="5"/>
  <c r="AJ545" i="6"/>
  <c r="CG546" i="6"/>
  <c r="AX546" i="6"/>
  <c r="CE546" i="6"/>
  <c r="CD546" i="6"/>
  <c r="CC546" i="6"/>
  <c r="AY546" i="6"/>
  <c r="BD546" i="6"/>
  <c r="BZ546" i="6"/>
  <c r="AM546" i="6"/>
  <c r="BF546" i="6"/>
  <c r="CJ546" i="6"/>
  <c r="L548" i="12"/>
  <c r="K548" i="12" s="1"/>
  <c r="J548" i="12"/>
  <c r="C544" i="12"/>
  <c r="O544" i="12"/>
  <c r="AO544" i="12"/>
  <c r="M544" i="12"/>
  <c r="D543" i="12"/>
  <c r="E543" i="6"/>
  <c r="D548" i="6"/>
  <c r="BX546" i="6"/>
  <c r="AL546" i="6"/>
  <c r="BQ546" i="6"/>
  <c r="AP546" i="6"/>
  <c r="BI546" i="6"/>
  <c r="AN546" i="6"/>
  <c r="CF546" i="6"/>
  <c r="BP546" i="6"/>
  <c r="CK546" i="6"/>
  <c r="CB546" i="6"/>
  <c r="CH546" i="6"/>
  <c r="H547" i="6"/>
  <c r="T547" i="5" s="1"/>
  <c r="G547" i="6"/>
  <c r="M547" i="6"/>
  <c r="BR547" i="6" s="1"/>
  <c r="N547" i="6"/>
  <c r="N543" i="12"/>
  <c r="C544" i="6"/>
  <c r="O544" i="5"/>
  <c r="U541" i="12"/>
  <c r="T541" i="12"/>
  <c r="V541" i="12"/>
  <c r="X543" i="12" l="1"/>
  <c r="Y544" i="12"/>
  <c r="BX547" i="6"/>
  <c r="CM547" i="6"/>
  <c r="BD547" i="6"/>
  <c r="AA545" i="5"/>
  <c r="AB545" i="5"/>
  <c r="BG547" i="6"/>
  <c r="CB547" i="6"/>
  <c r="CA547" i="6"/>
  <c r="C545" i="12"/>
  <c r="M545" i="12"/>
  <c r="O545" i="12"/>
  <c r="AO545" i="12"/>
  <c r="E550" i="5"/>
  <c r="H550" i="5"/>
  <c r="B550" i="6"/>
  <c r="J550" i="5"/>
  <c r="D550" i="5"/>
  <c r="B550" i="12" s="1"/>
  <c r="C551" i="5"/>
  <c r="B550" i="5"/>
  <c r="K550" i="5"/>
  <c r="R550" i="5"/>
  <c r="W550" i="5"/>
  <c r="H550" i="12" s="1"/>
  <c r="AE550" i="5"/>
  <c r="N550" i="5"/>
  <c r="F550" i="5"/>
  <c r="A550" i="12"/>
  <c r="G550" i="5"/>
  <c r="AD550" i="5"/>
  <c r="D549" i="6"/>
  <c r="BZ547" i="6"/>
  <c r="CL547" i="6"/>
  <c r="AO547" i="6"/>
  <c r="BA547" i="6"/>
  <c r="BQ547" i="6"/>
  <c r="E549" i="12"/>
  <c r="F549" i="6"/>
  <c r="I546" i="12"/>
  <c r="L546" i="5"/>
  <c r="AM546" i="5"/>
  <c r="Z546" i="5"/>
  <c r="I546" i="5"/>
  <c r="AC546" i="5"/>
  <c r="AJ546" i="6"/>
  <c r="BP547" i="6"/>
  <c r="CK547" i="6"/>
  <c r="BT547" i="6"/>
  <c r="AZ547" i="6"/>
  <c r="BE547" i="6"/>
  <c r="BV547" i="6"/>
  <c r="BF547" i="6"/>
  <c r="BI547" i="6"/>
  <c r="CJ547" i="6"/>
  <c r="BY547" i="6"/>
  <c r="AR547" i="6"/>
  <c r="AS547" i="6"/>
  <c r="CF547" i="6"/>
  <c r="AU547" i="6"/>
  <c r="CD547" i="6"/>
  <c r="BW547" i="6"/>
  <c r="G548" i="6"/>
  <c r="M548" i="6"/>
  <c r="BS548" i="6" s="1"/>
  <c r="N548" i="6"/>
  <c r="BE548" i="6"/>
  <c r="H548" i="6"/>
  <c r="T548" i="5" s="1"/>
  <c r="BJ548" i="6"/>
  <c r="CM548" i="6"/>
  <c r="W544" i="12"/>
  <c r="X544" i="12"/>
  <c r="T542" i="12"/>
  <c r="V542" i="12"/>
  <c r="U542" i="12"/>
  <c r="BH547" i="6"/>
  <c r="BK547" i="6"/>
  <c r="BM547" i="6"/>
  <c r="CE547" i="6"/>
  <c r="AT547" i="6"/>
  <c r="AL547" i="6"/>
  <c r="D544" i="12"/>
  <c r="E544" i="6"/>
  <c r="AK547" i="6"/>
  <c r="AP547" i="6"/>
  <c r="BC547" i="6"/>
  <c r="AW547" i="6"/>
  <c r="AN547" i="6"/>
  <c r="BJ547" i="6"/>
  <c r="AV547" i="6"/>
  <c r="BN547" i="6"/>
  <c r="CC547" i="6"/>
  <c r="CG547" i="6"/>
  <c r="AQ547" i="6"/>
  <c r="CI547" i="6"/>
  <c r="CH547" i="6"/>
  <c r="BL547" i="6"/>
  <c r="AX547" i="6"/>
  <c r="AM547" i="6"/>
  <c r="AY547" i="6"/>
  <c r="G547" i="12"/>
  <c r="X547" i="5"/>
  <c r="AJ547" i="6" s="1"/>
  <c r="BS547" i="6"/>
  <c r="BO547" i="6"/>
  <c r="N544" i="12"/>
  <c r="C545" i="6"/>
  <c r="O545" i="5"/>
  <c r="J549" i="12"/>
  <c r="L549" i="12"/>
  <c r="V543" i="12"/>
  <c r="T543" i="12"/>
  <c r="U543" i="12"/>
  <c r="BC548" i="6" l="1"/>
  <c r="BO548" i="6"/>
  <c r="Y545" i="12"/>
  <c r="BK548" i="6"/>
  <c r="CD548" i="6"/>
  <c r="CJ548" i="6"/>
  <c r="AL548" i="6"/>
  <c r="AN548" i="6"/>
  <c r="AU548" i="6"/>
  <c r="BX548" i="6"/>
  <c r="BT548" i="6"/>
  <c r="CC548" i="6"/>
  <c r="BM548" i="6"/>
  <c r="CB548" i="6"/>
  <c r="CH548" i="6"/>
  <c r="BR548" i="6"/>
  <c r="CE548" i="6"/>
  <c r="BZ548" i="6"/>
  <c r="CF548" i="6"/>
  <c r="CA548" i="6"/>
  <c r="BF548" i="6"/>
  <c r="CG548" i="6"/>
  <c r="CK548" i="6"/>
  <c r="BN548" i="6"/>
  <c r="BA548" i="6"/>
  <c r="K549" i="12"/>
  <c r="AV548" i="6"/>
  <c r="AY548" i="6"/>
  <c r="AK548" i="6"/>
  <c r="BD548" i="6"/>
  <c r="BW548" i="6"/>
  <c r="BY548" i="6"/>
  <c r="BG548" i="6"/>
  <c r="BL548" i="6"/>
  <c r="BV548" i="6"/>
  <c r="BI548" i="6"/>
  <c r="G548" i="12"/>
  <c r="X548" i="5"/>
  <c r="AJ548" i="6" s="1"/>
  <c r="AQ548" i="6"/>
  <c r="AZ548" i="6"/>
  <c r="AO548" i="6"/>
  <c r="AM548" i="6"/>
  <c r="C546" i="12"/>
  <c r="M546" i="12"/>
  <c r="AO546" i="12"/>
  <c r="O546" i="12"/>
  <c r="B551" i="6"/>
  <c r="AD551" i="5"/>
  <c r="R551" i="5"/>
  <c r="G551" i="5"/>
  <c r="H551" i="5"/>
  <c r="E551" i="5"/>
  <c r="A551" i="12"/>
  <c r="W551" i="5"/>
  <c r="H551" i="12" s="1"/>
  <c r="B551" i="5"/>
  <c r="N551" i="5"/>
  <c r="K551" i="5"/>
  <c r="J551" i="5"/>
  <c r="AE551" i="5"/>
  <c r="D551" i="5"/>
  <c r="B551" i="12" s="1"/>
  <c r="F551" i="5"/>
  <c r="C552" i="5"/>
  <c r="W545" i="12"/>
  <c r="X545" i="12"/>
  <c r="L547" i="5"/>
  <c r="AM547" i="5"/>
  <c r="I547" i="12"/>
  <c r="Z547" i="5"/>
  <c r="I547" i="5"/>
  <c r="AC547" i="5"/>
  <c r="AX548" i="6"/>
  <c r="AT548" i="6"/>
  <c r="AP548" i="6"/>
  <c r="BQ548" i="6"/>
  <c r="CL548" i="6"/>
  <c r="AS548" i="6"/>
  <c r="CI548" i="6"/>
  <c r="BH548" i="6"/>
  <c r="AB546" i="5"/>
  <c r="AA546" i="5"/>
  <c r="G549" i="6"/>
  <c r="N549" i="6"/>
  <c r="M549" i="6"/>
  <c r="CA549" i="6" s="1"/>
  <c r="BL549" i="6"/>
  <c r="H549" i="6"/>
  <c r="T549" i="5" s="1"/>
  <c r="CC549" i="6"/>
  <c r="D550" i="6"/>
  <c r="E550" i="12"/>
  <c r="F550" i="6"/>
  <c r="N545" i="12"/>
  <c r="C546" i="6"/>
  <c r="O546" i="5"/>
  <c r="E545" i="6"/>
  <c r="D545" i="12"/>
  <c r="V544" i="12"/>
  <c r="U544" i="12"/>
  <c r="T544" i="12"/>
  <c r="AW548" i="6"/>
  <c r="AR548" i="6"/>
  <c r="BP548" i="6"/>
  <c r="L550" i="12"/>
  <c r="J550" i="12"/>
  <c r="Y546" i="12" l="1"/>
  <c r="BZ549" i="6"/>
  <c r="BQ549" i="6"/>
  <c r="CK549" i="6"/>
  <c r="BE549" i="6"/>
  <c r="CH549" i="6"/>
  <c r="D546" i="12"/>
  <c r="E546" i="6"/>
  <c r="BC549" i="6"/>
  <c r="BD549" i="6"/>
  <c r="BN549" i="6"/>
  <c r="BM549" i="6"/>
  <c r="BA549" i="6"/>
  <c r="BO549" i="6"/>
  <c r="BH549" i="6"/>
  <c r="BG549" i="6"/>
  <c r="AR549" i="6"/>
  <c r="CG549" i="6"/>
  <c r="AL549" i="6"/>
  <c r="CJ549" i="6"/>
  <c r="BV549" i="6"/>
  <c r="BW549" i="6"/>
  <c r="C547" i="6"/>
  <c r="O547" i="5"/>
  <c r="B552" i="5"/>
  <c r="G552" i="5"/>
  <c r="AE552" i="5"/>
  <c r="B552" i="6"/>
  <c r="W552" i="5"/>
  <c r="H552" i="12" s="1"/>
  <c r="F552" i="5"/>
  <c r="J552" i="5"/>
  <c r="A552" i="12"/>
  <c r="N552" i="5"/>
  <c r="C553" i="5"/>
  <c r="E552" i="5"/>
  <c r="D552" i="5"/>
  <c r="B552" i="12" s="1"/>
  <c r="H552" i="5"/>
  <c r="K552" i="5"/>
  <c r="AD552" i="5"/>
  <c r="R552" i="5"/>
  <c r="BT549" i="6"/>
  <c r="AT549" i="6"/>
  <c r="AK549" i="6"/>
  <c r="BS549" i="6"/>
  <c r="K550" i="12"/>
  <c r="BY549" i="6"/>
  <c r="BI549" i="6"/>
  <c r="BJ549" i="6"/>
  <c r="CF549" i="6"/>
  <c r="CE549" i="6"/>
  <c r="CL549" i="6"/>
  <c r="CM549" i="6"/>
  <c r="BF549" i="6"/>
  <c r="AZ549" i="6"/>
  <c r="AW549" i="6"/>
  <c r="AP549" i="6"/>
  <c r="BR549" i="6"/>
  <c r="AS549" i="6"/>
  <c r="BX549" i="6"/>
  <c r="AA547" i="5"/>
  <c r="AB547" i="5"/>
  <c r="N546" i="12"/>
  <c r="I548" i="12"/>
  <c r="L548" i="5"/>
  <c r="AM548" i="5"/>
  <c r="I548" i="5"/>
  <c r="Z548" i="5"/>
  <c r="AC548" i="5"/>
  <c r="BP549" i="6"/>
  <c r="CB549" i="6"/>
  <c r="M550" i="6"/>
  <c r="BP550" i="6" s="1"/>
  <c r="CC550" i="6"/>
  <c r="N550" i="6"/>
  <c r="BN550" i="6"/>
  <c r="BK550" i="6"/>
  <c r="CL550" i="6"/>
  <c r="CD550" i="6"/>
  <c r="CE550" i="6"/>
  <c r="BY550" i="6"/>
  <c r="BE550" i="6"/>
  <c r="G550" i="6"/>
  <c r="BH550" i="6"/>
  <c r="BM550" i="6"/>
  <c r="CA550" i="6"/>
  <c r="BF550" i="6"/>
  <c r="CB550" i="6"/>
  <c r="BI550" i="6"/>
  <c r="BG550" i="6"/>
  <c r="BX550" i="6"/>
  <c r="CK550" i="6"/>
  <c r="H550" i="6"/>
  <c r="T550" i="5" s="1"/>
  <c r="CI550" i="6"/>
  <c r="CF550" i="6"/>
  <c r="AZ550" i="6"/>
  <c r="CJ550" i="6"/>
  <c r="CG550" i="6"/>
  <c r="BZ550" i="6"/>
  <c r="AX549" i="6"/>
  <c r="AN549" i="6"/>
  <c r="AV549" i="6"/>
  <c r="G549" i="12"/>
  <c r="X549" i="5"/>
  <c r="AO549" i="6"/>
  <c r="BK549" i="6"/>
  <c r="CD549" i="6"/>
  <c r="CI549" i="6"/>
  <c r="AM549" i="6"/>
  <c r="AU549" i="6"/>
  <c r="AQ549" i="6"/>
  <c r="AY549" i="6"/>
  <c r="C547" i="12"/>
  <c r="O547" i="12"/>
  <c r="M547" i="12"/>
  <c r="AO547" i="12"/>
  <c r="T545" i="12"/>
  <c r="U545" i="12"/>
  <c r="V545" i="12"/>
  <c r="D551" i="6"/>
  <c r="J551" i="12"/>
  <c r="L551" i="12"/>
  <c r="F551" i="6"/>
  <c r="E551" i="12"/>
  <c r="W546" i="12"/>
  <c r="X546" i="12"/>
  <c r="AY550" i="6" l="1"/>
  <c r="BJ550" i="6"/>
  <c r="AU550" i="6"/>
  <c r="BR550" i="6"/>
  <c r="BV550" i="6"/>
  <c r="BO550" i="6"/>
  <c r="AQ550" i="6"/>
  <c r="BA550" i="6"/>
  <c r="AM550" i="6"/>
  <c r="AA548" i="5"/>
  <c r="AB548" i="5"/>
  <c r="C548" i="12"/>
  <c r="M548" i="12"/>
  <c r="AO548" i="12"/>
  <c r="O548" i="12"/>
  <c r="D552" i="6"/>
  <c r="H551" i="6"/>
  <c r="T551" i="5" s="1"/>
  <c r="N551" i="6"/>
  <c r="G551" i="6"/>
  <c r="M551" i="6"/>
  <c r="CH551" i="6" s="1"/>
  <c r="AW550" i="6"/>
  <c r="AN550" i="6"/>
  <c r="AO550" i="6"/>
  <c r="BQ550" i="6"/>
  <c r="BW550" i="6"/>
  <c r="BT550" i="6"/>
  <c r="CH550" i="6"/>
  <c r="BL550" i="6"/>
  <c r="L552" i="12"/>
  <c r="J552" i="12"/>
  <c r="D547" i="12"/>
  <c r="E547" i="6"/>
  <c r="C548" i="6"/>
  <c r="O548" i="5"/>
  <c r="F552" i="6"/>
  <c r="E552" i="12"/>
  <c r="N547" i="12"/>
  <c r="G550" i="12"/>
  <c r="X550" i="5"/>
  <c r="AJ550" i="6" s="1"/>
  <c r="U546" i="12"/>
  <c r="T546" i="12"/>
  <c r="V546" i="12"/>
  <c r="K551" i="12"/>
  <c r="Y547" i="12"/>
  <c r="L549" i="5"/>
  <c r="I549" i="12"/>
  <c r="AM549" i="5"/>
  <c r="I549" i="5"/>
  <c r="Z549" i="5"/>
  <c r="AC549" i="5"/>
  <c r="AJ549" i="6"/>
  <c r="AL550" i="6"/>
  <c r="AR550" i="6"/>
  <c r="AP550" i="6"/>
  <c r="BD550" i="6"/>
  <c r="AK550" i="6"/>
  <c r="AS550" i="6"/>
  <c r="AV550" i="6"/>
  <c r="AX550" i="6"/>
  <c r="BC550" i="6"/>
  <c r="BS550" i="6"/>
  <c r="AT550" i="6"/>
  <c r="CM550" i="6"/>
  <c r="B553" i="5"/>
  <c r="G553" i="5"/>
  <c r="AE553" i="5"/>
  <c r="N553" i="5"/>
  <c r="C554" i="5"/>
  <c r="K553" i="5"/>
  <c r="AD553" i="5"/>
  <c r="H553" i="5"/>
  <c r="E553" i="5"/>
  <c r="D553" i="5"/>
  <c r="B553" i="12" s="1"/>
  <c r="B553" i="6"/>
  <c r="A553" i="12"/>
  <c r="R553" i="5"/>
  <c r="W553" i="5"/>
  <c r="H553" i="12" s="1"/>
  <c r="J553" i="5"/>
  <c r="F553" i="5"/>
  <c r="CJ551" i="6" l="1"/>
  <c r="AX551" i="6"/>
  <c r="AU551" i="6"/>
  <c r="AM551" i="6"/>
  <c r="CE551" i="6"/>
  <c r="BO551" i="6"/>
  <c r="K552" i="12"/>
  <c r="AW551" i="6"/>
  <c r="CK551" i="6"/>
  <c r="BT551" i="6"/>
  <c r="BK551" i="6"/>
  <c r="Y548" i="12"/>
  <c r="W548" i="12" s="1"/>
  <c r="CD551" i="6"/>
  <c r="CM551" i="6"/>
  <c r="BZ551" i="6"/>
  <c r="L553" i="12"/>
  <c r="J553" i="12"/>
  <c r="W547" i="12"/>
  <c r="X547" i="12"/>
  <c r="G551" i="12"/>
  <c r="X551" i="5"/>
  <c r="L550" i="5"/>
  <c r="AM550" i="5"/>
  <c r="I550" i="12"/>
  <c r="I550" i="5"/>
  <c r="Z550" i="5"/>
  <c r="AC550" i="5"/>
  <c r="CB551" i="6"/>
  <c r="BF551" i="6"/>
  <c r="AJ551" i="6"/>
  <c r="CG551" i="6"/>
  <c r="AR551" i="6"/>
  <c r="AY551" i="6"/>
  <c r="AP551" i="6"/>
  <c r="BH551" i="6"/>
  <c r="BJ551" i="6"/>
  <c r="AN551" i="6"/>
  <c r="AS551" i="6"/>
  <c r="AT551" i="6"/>
  <c r="AK551" i="6"/>
  <c r="AQ551" i="6"/>
  <c r="AV551" i="6"/>
  <c r="B554" i="6"/>
  <c r="I554" i="5"/>
  <c r="A554" i="12"/>
  <c r="F554" i="5"/>
  <c r="W554" i="5"/>
  <c r="H554" i="12" s="1"/>
  <c r="G554" i="5"/>
  <c r="AE554" i="5"/>
  <c r="E554" i="5"/>
  <c r="C555" i="5"/>
  <c r="H554" i="5"/>
  <c r="B554" i="5"/>
  <c r="N554" i="5"/>
  <c r="AD554" i="5"/>
  <c r="C549" i="12"/>
  <c r="O549" i="12"/>
  <c r="M549" i="12"/>
  <c r="AO549" i="12"/>
  <c r="E548" i="6"/>
  <c r="D548" i="12"/>
  <c r="CA551" i="6"/>
  <c r="BD551" i="6"/>
  <c r="BR551" i="6"/>
  <c r="CI551" i="6"/>
  <c r="AL551" i="6"/>
  <c r="CL551" i="6"/>
  <c r="CC551" i="6"/>
  <c r="BI551" i="6"/>
  <c r="BS551" i="6"/>
  <c r="AZ551" i="6"/>
  <c r="BE551" i="6"/>
  <c r="BP551" i="6"/>
  <c r="CF551" i="6"/>
  <c r="BA551" i="6"/>
  <c r="N552" i="6"/>
  <c r="H552" i="6"/>
  <c r="T552" i="5" s="1"/>
  <c r="M552" i="6"/>
  <c r="BZ552" i="6" s="1"/>
  <c r="BV552" i="6"/>
  <c r="G552" i="6"/>
  <c r="E553" i="12"/>
  <c r="F553" i="6"/>
  <c r="D553" i="6"/>
  <c r="AA549" i="5"/>
  <c r="AB549" i="5"/>
  <c r="C549" i="6"/>
  <c r="O549" i="5"/>
  <c r="BQ551" i="6"/>
  <c r="BN551" i="6"/>
  <c r="BX551" i="6"/>
  <c r="BW551" i="6"/>
  <c r="BG551" i="6"/>
  <c r="BM551" i="6"/>
  <c r="BV551" i="6"/>
  <c r="AO551" i="6"/>
  <c r="BY551" i="6"/>
  <c r="BL551" i="6"/>
  <c r="BC551" i="6"/>
  <c r="N548" i="12"/>
  <c r="CJ552" i="6" l="1"/>
  <c r="X548" i="12"/>
  <c r="CF552" i="6"/>
  <c r="BP552" i="6"/>
  <c r="BO552" i="6"/>
  <c r="CD552" i="6"/>
  <c r="BG552" i="6"/>
  <c r="BD552" i="6"/>
  <c r="CB552" i="6"/>
  <c r="K553" i="12"/>
  <c r="AM552" i="6"/>
  <c r="AV552" i="6"/>
  <c r="CG552" i="6"/>
  <c r="AW552" i="6"/>
  <c r="CM552" i="6"/>
  <c r="BC552" i="6"/>
  <c r="BH552" i="6"/>
  <c r="BL552" i="6"/>
  <c r="AK552" i="6"/>
  <c r="AX552" i="6"/>
  <c r="AB550" i="5"/>
  <c r="AA550" i="5"/>
  <c r="D549" i="12"/>
  <c r="E549" i="6"/>
  <c r="BJ552" i="6"/>
  <c r="AO552" i="6"/>
  <c r="CC552" i="6"/>
  <c r="CH552" i="6"/>
  <c r="AU552" i="6"/>
  <c r="BS552" i="6"/>
  <c r="BK552" i="6"/>
  <c r="N549" i="12"/>
  <c r="C550" i="6"/>
  <c r="O550" i="5"/>
  <c r="H553" i="6"/>
  <c r="T553" i="5" s="1"/>
  <c r="G553" i="6"/>
  <c r="M553" i="6"/>
  <c r="BZ553" i="6" s="1"/>
  <c r="CH553" i="6"/>
  <c r="CK553" i="6"/>
  <c r="N553" i="6"/>
  <c r="CA553" i="6"/>
  <c r="AZ553" i="6"/>
  <c r="BY553" i="6"/>
  <c r="BJ553" i="6"/>
  <c r="BX553" i="6"/>
  <c r="CL553" i="6"/>
  <c r="BR553" i="6"/>
  <c r="BN552" i="6"/>
  <c r="CK552" i="6"/>
  <c r="BM552" i="6"/>
  <c r="AQ552" i="6"/>
  <c r="BF552" i="6"/>
  <c r="AL552" i="6"/>
  <c r="BQ552" i="6"/>
  <c r="BT552" i="6"/>
  <c r="AY552" i="6"/>
  <c r="G552" i="12"/>
  <c r="X552" i="5"/>
  <c r="AJ552" i="6" s="1"/>
  <c r="AZ552" i="6"/>
  <c r="CA552" i="6"/>
  <c r="BR552" i="6"/>
  <c r="CL552" i="6"/>
  <c r="D554" i="6"/>
  <c r="C550" i="12"/>
  <c r="O550" i="12"/>
  <c r="M550" i="12"/>
  <c r="AO550" i="12"/>
  <c r="U548" i="12"/>
  <c r="T548" i="12"/>
  <c r="V548" i="12"/>
  <c r="T547" i="12"/>
  <c r="U547" i="12"/>
  <c r="V547" i="12"/>
  <c r="BW552" i="6"/>
  <c r="AS552" i="6"/>
  <c r="BA552" i="6"/>
  <c r="CI552" i="6"/>
  <c r="CE552" i="6"/>
  <c r="BY552" i="6"/>
  <c r="BE552" i="6"/>
  <c r="AT552" i="6"/>
  <c r="BI552" i="6"/>
  <c r="BX552" i="6"/>
  <c r="AR552" i="6"/>
  <c r="AP552" i="6"/>
  <c r="AN552" i="6"/>
  <c r="Y549" i="12"/>
  <c r="K555" i="5"/>
  <c r="D555" i="5"/>
  <c r="B555" i="12" s="1"/>
  <c r="AE555" i="5"/>
  <c r="A555" i="12"/>
  <c r="R555" i="5"/>
  <c r="E555" i="5"/>
  <c r="B555" i="5"/>
  <c r="H555" i="5"/>
  <c r="J555" i="5"/>
  <c r="AD555" i="5"/>
  <c r="N555" i="5"/>
  <c r="C556" i="5"/>
  <c r="B555" i="6"/>
  <c r="F555" i="5"/>
  <c r="W555" i="5"/>
  <c r="H555" i="12" s="1"/>
  <c r="G555" i="5"/>
  <c r="AM551" i="5"/>
  <c r="I551" i="12"/>
  <c r="L551" i="5"/>
  <c r="Z551" i="5"/>
  <c r="I551" i="5"/>
  <c r="AC551" i="5"/>
  <c r="AV553" i="6" l="1"/>
  <c r="CC553" i="6"/>
  <c r="CF553" i="6"/>
  <c r="BQ553" i="6"/>
  <c r="BN553" i="6"/>
  <c r="BH553" i="6"/>
  <c r="BP553" i="6"/>
  <c r="AW553" i="6"/>
  <c r="BC553" i="6"/>
  <c r="CG553" i="6"/>
  <c r="BE553" i="6"/>
  <c r="CB553" i="6"/>
  <c r="CM553" i="6"/>
  <c r="BV553" i="6"/>
  <c r="Y550" i="12"/>
  <c r="X550" i="12" s="1"/>
  <c r="CD553" i="6"/>
  <c r="CI553" i="6"/>
  <c r="BG553" i="6"/>
  <c r="BI553" i="6"/>
  <c r="BL553" i="6"/>
  <c r="BD553" i="6"/>
  <c r="CE553" i="6"/>
  <c r="BS553" i="6"/>
  <c r="F555" i="6"/>
  <c r="E555" i="12"/>
  <c r="G553" i="12"/>
  <c r="X553" i="5"/>
  <c r="C551" i="12"/>
  <c r="O551" i="12"/>
  <c r="M551" i="12"/>
  <c r="AO551" i="12"/>
  <c r="K556" i="5"/>
  <c r="F556" i="5"/>
  <c r="AD556" i="5"/>
  <c r="N556" i="5"/>
  <c r="J556" i="5"/>
  <c r="H556" i="5"/>
  <c r="B556" i="5"/>
  <c r="E556" i="5"/>
  <c r="G556" i="5"/>
  <c r="C557" i="5"/>
  <c r="AE556" i="5"/>
  <c r="R556" i="5"/>
  <c r="W556" i="5"/>
  <c r="H556" i="12" s="1"/>
  <c r="B556" i="6"/>
  <c r="A556" i="12"/>
  <c r="D556" i="5"/>
  <c r="B556" i="12" s="1"/>
  <c r="L555" i="12"/>
  <c r="K555" i="12" s="1"/>
  <c r="J555" i="12"/>
  <c r="X549" i="12"/>
  <c r="W549" i="12"/>
  <c r="AR553" i="6"/>
  <c r="AU553" i="6"/>
  <c r="AN553" i="6"/>
  <c r="AL553" i="6"/>
  <c r="AO553" i="6"/>
  <c r="AX553" i="6"/>
  <c r="BT553" i="6"/>
  <c r="BM553" i="6"/>
  <c r="BW553" i="6"/>
  <c r="BK553" i="6"/>
  <c r="D550" i="12"/>
  <c r="E550" i="6"/>
  <c r="C551" i="6"/>
  <c r="O551" i="5"/>
  <c r="D555" i="6"/>
  <c r="BE554" i="6"/>
  <c r="CM554" i="6"/>
  <c r="BT554" i="6"/>
  <c r="BY554" i="6"/>
  <c r="BP554" i="6"/>
  <c r="BG554" i="6"/>
  <c r="BZ554" i="6"/>
  <c r="CG554" i="6"/>
  <c r="CK554" i="6"/>
  <c r="BH554" i="6"/>
  <c r="CF554" i="6"/>
  <c r="BC554" i="6"/>
  <c r="BW554" i="6"/>
  <c r="CB554" i="6"/>
  <c r="BF554" i="6"/>
  <c r="M554" i="6"/>
  <c r="BX554" i="6"/>
  <c r="BV554" i="6"/>
  <c r="CJ554" i="6"/>
  <c r="G554" i="6"/>
  <c r="BD554" i="6"/>
  <c r="BM554" i="6"/>
  <c r="CA554" i="6"/>
  <c r="CI554" i="6"/>
  <c r="BK554" i="6"/>
  <c r="N554" i="6"/>
  <c r="BQ554" i="6"/>
  <c r="BN554" i="6"/>
  <c r="BJ554" i="6"/>
  <c r="BR554" i="6"/>
  <c r="CE554" i="6"/>
  <c r="BS554" i="6"/>
  <c r="BL554" i="6"/>
  <c r="CL554" i="6"/>
  <c r="CD554" i="6"/>
  <c r="CC554" i="6"/>
  <c r="CH554" i="6"/>
  <c r="H554" i="6"/>
  <c r="T554" i="5" s="1"/>
  <c r="G554" i="12" s="1"/>
  <c r="BI554" i="6"/>
  <c r="BO554" i="6"/>
  <c r="BA553" i="6"/>
  <c r="AY553" i="6"/>
  <c r="AM553" i="6"/>
  <c r="AS553" i="6"/>
  <c r="AA551" i="5"/>
  <c r="AB551" i="5"/>
  <c r="N550" i="12"/>
  <c r="I552" i="12"/>
  <c r="AM552" i="5"/>
  <c r="L552" i="5"/>
  <c r="Z552" i="5"/>
  <c r="I552" i="5"/>
  <c r="AC552" i="5"/>
  <c r="AJ553" i="6"/>
  <c r="AQ553" i="6"/>
  <c r="BO553" i="6"/>
  <c r="BF553" i="6"/>
  <c r="CJ553" i="6"/>
  <c r="AT553" i="6"/>
  <c r="AP553" i="6"/>
  <c r="AK553" i="6"/>
  <c r="AM554" i="6" l="1"/>
  <c r="W550" i="12"/>
  <c r="AX554" i="6"/>
  <c r="BA554" i="6"/>
  <c r="AL554" i="6"/>
  <c r="AR554" i="6"/>
  <c r="Y551" i="12"/>
  <c r="AV554" i="6"/>
  <c r="AY554" i="6"/>
  <c r="AP554" i="6"/>
  <c r="AS554" i="6"/>
  <c r="AN554" i="6"/>
  <c r="L553" i="5"/>
  <c r="AM553" i="5"/>
  <c r="I553" i="12"/>
  <c r="Z553" i="5"/>
  <c r="I553" i="5"/>
  <c r="AC553" i="5"/>
  <c r="AQ554" i="6"/>
  <c r="M555" i="6"/>
  <c r="CL555" i="6" s="1"/>
  <c r="N555" i="6"/>
  <c r="H555" i="6"/>
  <c r="T555" i="5" s="1"/>
  <c r="G555" i="6"/>
  <c r="AS555" i="6"/>
  <c r="V550" i="12"/>
  <c r="U550" i="12"/>
  <c r="T550" i="12"/>
  <c r="L556" i="12"/>
  <c r="J556" i="12"/>
  <c r="W551" i="12"/>
  <c r="X551" i="12"/>
  <c r="C552" i="12"/>
  <c r="AO552" i="12"/>
  <c r="O552" i="12"/>
  <c r="M552" i="12"/>
  <c r="AA552" i="5"/>
  <c r="AB552" i="5"/>
  <c r="AJ554" i="6"/>
  <c r="AT554" i="6"/>
  <c r="AZ554" i="6"/>
  <c r="AO554" i="6"/>
  <c r="N551" i="12"/>
  <c r="C552" i="6"/>
  <c r="O552" i="5"/>
  <c r="AW554" i="6"/>
  <c r="AK554" i="6"/>
  <c r="AU554" i="6"/>
  <c r="E551" i="6"/>
  <c r="D551" i="12"/>
  <c r="V549" i="12"/>
  <c r="T549" i="12"/>
  <c r="U549" i="12"/>
  <c r="E556" i="12"/>
  <c r="F556" i="6"/>
  <c r="N557" i="5"/>
  <c r="B557" i="6"/>
  <c r="C558" i="5"/>
  <c r="A557" i="12"/>
  <c r="K557" i="5"/>
  <c r="AE557" i="5"/>
  <c r="R557" i="5"/>
  <c r="W557" i="5"/>
  <c r="H557" i="12" s="1"/>
  <c r="B557" i="5"/>
  <c r="H557" i="5"/>
  <c r="J557" i="5"/>
  <c r="AD557" i="5"/>
  <c r="G557" i="5"/>
  <c r="F557" i="5"/>
  <c r="E557" i="5"/>
  <c r="D557" i="5"/>
  <c r="B557" i="12" s="1"/>
  <c r="D556" i="6"/>
  <c r="CG555" i="6" l="1"/>
  <c r="BN555" i="6"/>
  <c r="BJ555" i="6"/>
  <c r="BR555" i="6"/>
  <c r="AV555" i="6"/>
  <c r="CK555" i="6"/>
  <c r="CM555" i="6"/>
  <c r="CF555" i="6"/>
  <c r="C553" i="12"/>
  <c r="O553" i="12"/>
  <c r="AO553" i="12"/>
  <c r="M553" i="12"/>
  <c r="J557" i="12"/>
  <c r="L557" i="12"/>
  <c r="K557" i="12" s="1"/>
  <c r="N552" i="12"/>
  <c r="V551" i="12"/>
  <c r="U551" i="12"/>
  <c r="T551" i="12"/>
  <c r="BY555" i="6"/>
  <c r="CB555" i="6"/>
  <c r="AR555" i="6"/>
  <c r="BC555" i="6"/>
  <c r="BT555" i="6"/>
  <c r="CA555" i="6"/>
  <c r="CH555" i="6"/>
  <c r="AN555" i="6"/>
  <c r="AM555" i="6"/>
  <c r="AT555" i="6"/>
  <c r="BD555" i="6"/>
  <c r="AK555" i="6"/>
  <c r="BV555" i="6"/>
  <c r="BA555" i="6"/>
  <c r="N556" i="6"/>
  <c r="G556" i="6"/>
  <c r="H556" i="6"/>
  <c r="T556" i="5" s="1"/>
  <c r="M556" i="6"/>
  <c r="BW556" i="6" s="1"/>
  <c r="E557" i="12"/>
  <c r="F557" i="6"/>
  <c r="AE558" i="5"/>
  <c r="A558" i="12"/>
  <c r="F558" i="5"/>
  <c r="B558" i="5"/>
  <c r="E558" i="5"/>
  <c r="H558" i="5"/>
  <c r="C559" i="5"/>
  <c r="N558" i="5"/>
  <c r="B558" i="6"/>
  <c r="K558" i="5"/>
  <c r="R558" i="5"/>
  <c r="D558" i="5"/>
  <c r="B558" i="12" s="1"/>
  <c r="AD558" i="5"/>
  <c r="W558" i="5"/>
  <c r="H558" i="12" s="1"/>
  <c r="G558" i="5"/>
  <c r="J558" i="5"/>
  <c r="Y552" i="12"/>
  <c r="K556" i="12"/>
  <c r="AU555" i="6"/>
  <c r="CC555" i="6"/>
  <c r="BX555" i="6"/>
  <c r="BK555" i="6"/>
  <c r="BQ555" i="6"/>
  <c r="CD555" i="6"/>
  <c r="AQ555" i="6"/>
  <c r="AY555" i="6"/>
  <c r="AX555" i="6"/>
  <c r="BH555" i="6"/>
  <c r="BL555" i="6"/>
  <c r="AP555" i="6"/>
  <c r="BE555" i="6"/>
  <c r="BZ555" i="6"/>
  <c r="BF555" i="6"/>
  <c r="C553" i="6"/>
  <c r="O553" i="5"/>
  <c r="D557" i="6"/>
  <c r="G555" i="12"/>
  <c r="X555" i="5"/>
  <c r="CJ555" i="6"/>
  <c r="D552" i="12"/>
  <c r="E552" i="6"/>
  <c r="CE555" i="6"/>
  <c r="BS555" i="6"/>
  <c r="BO555" i="6"/>
  <c r="BG555" i="6"/>
  <c r="BP555" i="6"/>
  <c r="CI555" i="6"/>
  <c r="AO555" i="6"/>
  <c r="BM555" i="6"/>
  <c r="AZ555" i="6"/>
  <c r="AL555" i="6"/>
  <c r="BW555" i="6"/>
  <c r="BI555" i="6"/>
  <c r="AW555" i="6"/>
  <c r="AA553" i="5"/>
  <c r="AB553" i="5"/>
  <c r="CC556" i="6" l="1"/>
  <c r="AU556" i="6"/>
  <c r="AO556" i="6"/>
  <c r="BF556" i="6"/>
  <c r="BV556" i="6"/>
  <c r="AL556" i="6"/>
  <c r="BN556" i="6"/>
  <c r="AX556" i="6"/>
  <c r="CB556" i="6"/>
  <c r="BH556" i="6"/>
  <c r="BS556" i="6"/>
  <c r="AR556" i="6"/>
  <c r="CM556" i="6"/>
  <c r="Y553" i="12"/>
  <c r="W553" i="12" s="1"/>
  <c r="AW556" i="6"/>
  <c r="BT556" i="6"/>
  <c r="AY556" i="6"/>
  <c r="BJ556" i="6"/>
  <c r="BY556" i="6"/>
  <c r="CL556" i="6"/>
  <c r="BE556" i="6"/>
  <c r="AP556" i="6"/>
  <c r="AM556" i="6"/>
  <c r="CF556" i="6"/>
  <c r="CE556" i="6"/>
  <c r="G557" i="6"/>
  <c r="H557" i="6"/>
  <c r="T557" i="5" s="1"/>
  <c r="N557" i="6"/>
  <c r="M557" i="6"/>
  <c r="CI557" i="6" s="1"/>
  <c r="X552" i="12"/>
  <c r="W552" i="12"/>
  <c r="D558" i="6"/>
  <c r="AV556" i="6"/>
  <c r="CI556" i="6"/>
  <c r="BX556" i="6"/>
  <c r="BD556" i="6"/>
  <c r="CK556" i="6"/>
  <c r="X553" i="12"/>
  <c r="E558" i="12"/>
  <c r="F558" i="6"/>
  <c r="E559" i="5"/>
  <c r="F559" i="5"/>
  <c r="A559" i="12"/>
  <c r="H559" i="5"/>
  <c r="B559" i="6"/>
  <c r="J559" i="5"/>
  <c r="AD559" i="5"/>
  <c r="W559" i="5"/>
  <c r="H559" i="12" s="1"/>
  <c r="K559" i="5"/>
  <c r="B559" i="5"/>
  <c r="D559" i="5"/>
  <c r="B559" i="12" s="1"/>
  <c r="C560" i="5"/>
  <c r="N559" i="5"/>
  <c r="AE559" i="5"/>
  <c r="G559" i="5"/>
  <c r="R559" i="5"/>
  <c r="J558" i="12"/>
  <c r="L558" i="12"/>
  <c r="CD556" i="6"/>
  <c r="AN556" i="6"/>
  <c r="BI556" i="6"/>
  <c r="BZ556" i="6"/>
  <c r="BM556" i="6"/>
  <c r="BC556" i="6"/>
  <c r="AS556" i="6"/>
  <c r="AZ556" i="6"/>
  <c r="CJ556" i="6"/>
  <c r="CA556" i="6"/>
  <c r="BR556" i="6"/>
  <c r="CG556" i="6"/>
  <c r="AQ556" i="6"/>
  <c r="BL556" i="6"/>
  <c r="N553" i="12"/>
  <c r="I555" i="12"/>
  <c r="AM555" i="5"/>
  <c r="L555" i="5"/>
  <c r="I555" i="5"/>
  <c r="Z555" i="5"/>
  <c r="AC555" i="5"/>
  <c r="AJ555" i="6"/>
  <c r="D553" i="12"/>
  <c r="E553" i="6"/>
  <c r="G556" i="12"/>
  <c r="X556" i="5"/>
  <c r="AK556" i="6"/>
  <c r="BK556" i="6"/>
  <c r="BQ556" i="6"/>
  <c r="CH556" i="6"/>
  <c r="BP556" i="6"/>
  <c r="BO556" i="6"/>
  <c r="BA556" i="6"/>
  <c r="BG556" i="6"/>
  <c r="AT556" i="6"/>
  <c r="BH557" i="6" l="1"/>
  <c r="BA557" i="6"/>
  <c r="G557" i="12"/>
  <c r="X557" i="5"/>
  <c r="BK557" i="6"/>
  <c r="CB557" i="6"/>
  <c r="AQ557" i="6"/>
  <c r="AB555" i="5"/>
  <c r="AA555" i="5"/>
  <c r="C555" i="12"/>
  <c r="AO555" i="12"/>
  <c r="Y555" i="12" s="1"/>
  <c r="M555" i="12"/>
  <c r="O555" i="12"/>
  <c r="F560" i="5"/>
  <c r="AD560" i="5"/>
  <c r="D560" i="5"/>
  <c r="B560" i="12" s="1"/>
  <c r="G560" i="5"/>
  <c r="K560" i="5"/>
  <c r="N560" i="5"/>
  <c r="H560" i="5"/>
  <c r="W560" i="5"/>
  <c r="H560" i="12" s="1"/>
  <c r="A560" i="12"/>
  <c r="C561" i="5"/>
  <c r="E560" i="5"/>
  <c r="J560" i="5"/>
  <c r="R560" i="5"/>
  <c r="B560" i="5"/>
  <c r="B560" i="6"/>
  <c r="AE560" i="5"/>
  <c r="L559" i="12"/>
  <c r="J559" i="12"/>
  <c r="AZ557" i="6"/>
  <c r="BJ557" i="6"/>
  <c r="BX557" i="6"/>
  <c r="BL557" i="6"/>
  <c r="BQ557" i="6"/>
  <c r="BS557" i="6"/>
  <c r="AM557" i="6"/>
  <c r="BW557" i="6"/>
  <c r="BT557" i="6"/>
  <c r="BZ557" i="6"/>
  <c r="AR557" i="6"/>
  <c r="AT557" i="6"/>
  <c r="CE557" i="6"/>
  <c r="BP557" i="6"/>
  <c r="CH557" i="6"/>
  <c r="CM557" i="6"/>
  <c r="AN557" i="6"/>
  <c r="AL557" i="6"/>
  <c r="CG557" i="6"/>
  <c r="K558" i="12"/>
  <c r="T553" i="12"/>
  <c r="U553" i="12"/>
  <c r="V553" i="12"/>
  <c r="N558" i="6"/>
  <c r="H558" i="6"/>
  <c r="T558" i="5" s="1"/>
  <c r="G558" i="6"/>
  <c r="M558" i="6"/>
  <c r="CJ558" i="6"/>
  <c r="BD558" i="6"/>
  <c r="BG557" i="6"/>
  <c r="BD557" i="6"/>
  <c r="AX557" i="6"/>
  <c r="AP557" i="6"/>
  <c r="CD557" i="6"/>
  <c r="BM557" i="6"/>
  <c r="AY557" i="6"/>
  <c r="AW557" i="6"/>
  <c r="CA557" i="6"/>
  <c r="BO557" i="6"/>
  <c r="CL557" i="6"/>
  <c r="AK557" i="6"/>
  <c r="BE557" i="6"/>
  <c r="D559" i="6"/>
  <c r="CF557" i="6"/>
  <c r="BI557" i="6"/>
  <c r="BY557" i="6"/>
  <c r="I556" i="12"/>
  <c r="L556" i="5"/>
  <c r="AM556" i="5"/>
  <c r="Z556" i="5"/>
  <c r="I556" i="5"/>
  <c r="AC556" i="5"/>
  <c r="AJ556" i="6"/>
  <c r="C555" i="6"/>
  <c r="O555" i="5"/>
  <c r="E559" i="12"/>
  <c r="F559" i="6"/>
  <c r="T552" i="12"/>
  <c r="U552" i="12"/>
  <c r="V552" i="12"/>
  <c r="BN557" i="6"/>
  <c r="CC557" i="6"/>
  <c r="AO557" i="6"/>
  <c r="CJ557" i="6"/>
  <c r="AU557" i="6"/>
  <c r="BF557" i="6"/>
  <c r="BV557" i="6"/>
  <c r="AV557" i="6"/>
  <c r="CK557" i="6"/>
  <c r="BC557" i="6"/>
  <c r="BR557" i="6"/>
  <c r="AS557" i="6"/>
  <c r="AO558" i="6" l="1"/>
  <c r="AQ558" i="6"/>
  <c r="AY558" i="6"/>
  <c r="AT558" i="6"/>
  <c r="AW558" i="6"/>
  <c r="BF558" i="6"/>
  <c r="CC558" i="6"/>
  <c r="CK558" i="6"/>
  <c r="AX558" i="6"/>
  <c r="BG558" i="6"/>
  <c r="BO558" i="6"/>
  <c r="BW558" i="6"/>
  <c r="BJ558" i="6"/>
  <c r="BA558" i="6"/>
  <c r="CB558" i="6"/>
  <c r="BY558" i="6"/>
  <c r="BX558" i="6"/>
  <c r="AM558" i="6"/>
  <c r="CE558" i="6"/>
  <c r="BH558" i="6"/>
  <c r="AV558" i="6"/>
  <c r="CH558" i="6"/>
  <c r="BL558" i="6"/>
  <c r="BM558" i="6"/>
  <c r="K559" i="12"/>
  <c r="CF558" i="6"/>
  <c r="AL558" i="6"/>
  <c r="BC558" i="6"/>
  <c r="BN558" i="6"/>
  <c r="BQ558" i="6"/>
  <c r="AZ558" i="6"/>
  <c r="BP558" i="6"/>
  <c r="BR558" i="6"/>
  <c r="CL558" i="6"/>
  <c r="AA556" i="5"/>
  <c r="AB556" i="5"/>
  <c r="C556" i="6"/>
  <c r="O556" i="5"/>
  <c r="BK558" i="6"/>
  <c r="AP558" i="6"/>
  <c r="AS558" i="6"/>
  <c r="AN558" i="6"/>
  <c r="CI558" i="6"/>
  <c r="AU558" i="6"/>
  <c r="BZ558" i="6"/>
  <c r="CA558" i="6"/>
  <c r="BE558" i="6"/>
  <c r="CD558" i="6"/>
  <c r="BI558" i="6"/>
  <c r="BT558" i="6"/>
  <c r="CG558" i="6"/>
  <c r="F561" i="5"/>
  <c r="B561" i="5"/>
  <c r="K561" i="5"/>
  <c r="D561" i="5"/>
  <c r="B561" i="12" s="1"/>
  <c r="R561" i="5"/>
  <c r="AE561" i="5"/>
  <c r="E561" i="5"/>
  <c r="C562" i="5"/>
  <c r="B561" i="6"/>
  <c r="A561" i="12"/>
  <c r="G561" i="5"/>
  <c r="J561" i="5"/>
  <c r="AD561" i="5"/>
  <c r="W561" i="5"/>
  <c r="H561" i="12" s="1"/>
  <c r="N561" i="5"/>
  <c r="H561" i="5"/>
  <c r="AM557" i="5"/>
  <c r="I557" i="12"/>
  <c r="L557" i="5"/>
  <c r="I557" i="5"/>
  <c r="Z557" i="5"/>
  <c r="AC557" i="5"/>
  <c r="W555" i="12"/>
  <c r="X555" i="12"/>
  <c r="D555" i="12"/>
  <c r="E555" i="6"/>
  <c r="C556" i="12"/>
  <c r="O556" i="12"/>
  <c r="AO556" i="12"/>
  <c r="Y556" i="12" s="1"/>
  <c r="M556" i="12"/>
  <c r="N559" i="6"/>
  <c r="CK559" i="6"/>
  <c r="M559" i="6"/>
  <c r="BX559" i="6" s="1"/>
  <c r="H559" i="6"/>
  <c r="T559" i="5" s="1"/>
  <c r="CA559" i="6"/>
  <c r="BT559" i="6"/>
  <c r="CG559" i="6"/>
  <c r="CM559" i="6"/>
  <c r="BQ559" i="6"/>
  <c r="BF559" i="6"/>
  <c r="BZ559" i="6"/>
  <c r="BY559" i="6"/>
  <c r="G559" i="6"/>
  <c r="BV559" i="6"/>
  <c r="CB559" i="6"/>
  <c r="BW559" i="6"/>
  <c r="BO559" i="6"/>
  <c r="CC559" i="6"/>
  <c r="CE559" i="6"/>
  <c r="AJ557" i="6"/>
  <c r="AK558" i="6"/>
  <c r="CM558" i="6"/>
  <c r="BV558" i="6"/>
  <c r="AR558" i="6"/>
  <c r="BS558" i="6"/>
  <c r="G558" i="12"/>
  <c r="X558" i="5"/>
  <c r="F560" i="6"/>
  <c r="E560" i="12"/>
  <c r="L560" i="12"/>
  <c r="J560" i="12"/>
  <c r="D560" i="6"/>
  <c r="N555" i="12"/>
  <c r="CF559" i="6" l="1"/>
  <c r="BS559" i="6"/>
  <c r="BK559" i="6"/>
  <c r="BR559" i="6"/>
  <c r="BJ559" i="6"/>
  <c r="BE559" i="6"/>
  <c r="BP559" i="6"/>
  <c r="BN559" i="6"/>
  <c r="BG559" i="6"/>
  <c r="BC559" i="6"/>
  <c r="CL559" i="6"/>
  <c r="CI559" i="6"/>
  <c r="CD559" i="6"/>
  <c r="BA559" i="6"/>
  <c r="AZ559" i="6"/>
  <c r="AL559" i="6"/>
  <c r="BI559" i="6"/>
  <c r="AX559" i="6"/>
  <c r="BD559" i="6"/>
  <c r="AK559" i="6"/>
  <c r="CJ559" i="6"/>
  <c r="BH559" i="6"/>
  <c r="BL559" i="6"/>
  <c r="CH559" i="6"/>
  <c r="AS559" i="6"/>
  <c r="BM559" i="6"/>
  <c r="N556" i="12"/>
  <c r="AT559" i="6"/>
  <c r="AO559" i="6"/>
  <c r="X556" i="12"/>
  <c r="W556" i="12"/>
  <c r="AA557" i="5"/>
  <c r="AB557" i="5"/>
  <c r="G559" i="12"/>
  <c r="X559" i="5"/>
  <c r="AQ559" i="6"/>
  <c r="AV559" i="6"/>
  <c r="K560" i="12"/>
  <c r="AY559" i="6"/>
  <c r="AN559" i="6"/>
  <c r="AM559" i="6"/>
  <c r="AW559" i="6"/>
  <c r="V555" i="12"/>
  <c r="T555" i="12"/>
  <c r="U555" i="12"/>
  <c r="C557" i="6"/>
  <c r="O557" i="5"/>
  <c r="D561" i="6"/>
  <c r="F561" i="6"/>
  <c r="E561" i="12"/>
  <c r="E556" i="6"/>
  <c r="D556" i="12"/>
  <c r="G560" i="6"/>
  <c r="H560" i="6"/>
  <c r="T560" i="5" s="1"/>
  <c r="M560" i="6"/>
  <c r="CM560" i="6" s="1"/>
  <c r="AO560" i="6"/>
  <c r="BG560" i="6"/>
  <c r="CD560" i="6"/>
  <c r="BP560" i="6"/>
  <c r="CJ560" i="6"/>
  <c r="AX560" i="6"/>
  <c r="AL560" i="6"/>
  <c r="N560" i="6"/>
  <c r="AM558" i="5"/>
  <c r="L558" i="5"/>
  <c r="I558" i="12"/>
  <c r="I558" i="5"/>
  <c r="Z558" i="5"/>
  <c r="AC558" i="5"/>
  <c r="AJ558" i="6"/>
  <c r="AU559" i="6"/>
  <c r="AP559" i="6"/>
  <c r="AR559" i="6"/>
  <c r="C557" i="12"/>
  <c r="O557" i="12"/>
  <c r="AO557" i="12"/>
  <c r="M557" i="12"/>
  <c r="J561" i="12"/>
  <c r="L561" i="12"/>
  <c r="E562" i="5"/>
  <c r="J562" i="5"/>
  <c r="AD562" i="5"/>
  <c r="W562" i="5"/>
  <c r="H562" i="12" s="1"/>
  <c r="K562" i="5"/>
  <c r="C563" i="5"/>
  <c r="A562" i="12"/>
  <c r="AE562" i="5"/>
  <c r="B562" i="5"/>
  <c r="F562" i="5"/>
  <c r="G562" i="5"/>
  <c r="N562" i="5"/>
  <c r="B562" i="6"/>
  <c r="D562" i="5"/>
  <c r="B562" i="12" s="1"/>
  <c r="H562" i="5"/>
  <c r="R562" i="5"/>
  <c r="K561" i="12" l="1"/>
  <c r="BV560" i="6"/>
  <c r="BR560" i="6"/>
  <c r="AW560" i="6"/>
  <c r="F562" i="6"/>
  <c r="E562" i="12"/>
  <c r="Y557" i="12"/>
  <c r="AA558" i="5"/>
  <c r="AB558" i="5"/>
  <c r="BA560" i="6"/>
  <c r="AM560" i="6"/>
  <c r="BO560" i="6"/>
  <c r="CK560" i="6"/>
  <c r="AR560" i="6"/>
  <c r="CH560" i="6"/>
  <c r="AQ560" i="6"/>
  <c r="AS560" i="6"/>
  <c r="BW560" i="6"/>
  <c r="G560" i="12"/>
  <c r="X560" i="5"/>
  <c r="AJ560" i="6" s="1"/>
  <c r="BC560" i="6"/>
  <c r="BM560" i="6"/>
  <c r="BX560" i="6"/>
  <c r="N561" i="6"/>
  <c r="G561" i="6"/>
  <c r="H561" i="6"/>
  <c r="T561" i="5" s="1"/>
  <c r="M561" i="6"/>
  <c r="BD561" i="6" s="1"/>
  <c r="AU561" i="6"/>
  <c r="BJ560" i="6"/>
  <c r="BQ560" i="6"/>
  <c r="N557" i="12"/>
  <c r="CG560" i="6"/>
  <c r="BE560" i="6"/>
  <c r="AN560" i="6"/>
  <c r="BZ560" i="6"/>
  <c r="CB560" i="6"/>
  <c r="AT560" i="6"/>
  <c r="BY560" i="6"/>
  <c r="AV560" i="6"/>
  <c r="BT560" i="6"/>
  <c r="BN560" i="6"/>
  <c r="BL560" i="6"/>
  <c r="CI560" i="6"/>
  <c r="AU560" i="6"/>
  <c r="CE560" i="6"/>
  <c r="AY560" i="6"/>
  <c r="E557" i="6"/>
  <c r="D557" i="12"/>
  <c r="I559" i="12"/>
  <c r="AM559" i="5"/>
  <c r="L559" i="5"/>
  <c r="Z559" i="5"/>
  <c r="I559" i="5"/>
  <c r="AC559" i="5"/>
  <c r="AJ559" i="6"/>
  <c r="T556" i="12"/>
  <c r="V556" i="12"/>
  <c r="U556" i="12"/>
  <c r="AD563" i="5"/>
  <c r="J563" i="5"/>
  <c r="H563" i="5"/>
  <c r="AE563" i="5"/>
  <c r="A563" i="12"/>
  <c r="D563" i="5"/>
  <c r="B563" i="12" s="1"/>
  <c r="E563" i="5"/>
  <c r="C564" i="5"/>
  <c r="R563" i="5"/>
  <c r="B563" i="6"/>
  <c r="F563" i="5"/>
  <c r="W563" i="5"/>
  <c r="H563" i="12" s="1"/>
  <c r="N563" i="5"/>
  <c r="G563" i="5"/>
  <c r="K563" i="5"/>
  <c r="B563" i="5"/>
  <c r="C558" i="6"/>
  <c r="O558" i="5"/>
  <c r="D562" i="6"/>
  <c r="J562" i="12"/>
  <c r="L562" i="12"/>
  <c r="C558" i="12"/>
  <c r="M558" i="12"/>
  <c r="AO558" i="12"/>
  <c r="O558" i="12"/>
  <c r="BS560" i="6"/>
  <c r="BH560" i="6"/>
  <c r="CA560" i="6"/>
  <c r="CL560" i="6"/>
  <c r="BK560" i="6"/>
  <c r="CF560" i="6"/>
  <c r="BD560" i="6"/>
  <c r="BF560" i="6"/>
  <c r="AK560" i="6"/>
  <c r="BI560" i="6"/>
  <c r="CC560" i="6"/>
  <c r="AP560" i="6"/>
  <c r="AZ560" i="6"/>
  <c r="Y558" i="12" l="1"/>
  <c r="AK561" i="6"/>
  <c r="AW561" i="6"/>
  <c r="K562" i="12"/>
  <c r="CG561" i="6"/>
  <c r="BP561" i="6"/>
  <c r="AM561" i="6"/>
  <c r="X558" i="12"/>
  <c r="W558" i="12"/>
  <c r="CA561" i="6"/>
  <c r="BK561" i="6"/>
  <c r="N562" i="6"/>
  <c r="M562" i="6"/>
  <c r="CB562" i="6" s="1"/>
  <c r="G562" i="6"/>
  <c r="BN562" i="6"/>
  <c r="CC562" i="6"/>
  <c r="H562" i="6"/>
  <c r="T562" i="5" s="1"/>
  <c r="BF562" i="6"/>
  <c r="C559" i="6"/>
  <c r="O559" i="5"/>
  <c r="BX561" i="6"/>
  <c r="BF561" i="6"/>
  <c r="BY561" i="6"/>
  <c r="CM561" i="6"/>
  <c r="CL561" i="6"/>
  <c r="AY561" i="6"/>
  <c r="BS561" i="6"/>
  <c r="G561" i="12"/>
  <c r="X561" i="5"/>
  <c r="AT561" i="6"/>
  <c r="AL561" i="6"/>
  <c r="BR561" i="6"/>
  <c r="CJ561" i="6"/>
  <c r="BH561" i="6"/>
  <c r="BL561" i="6"/>
  <c r="L560" i="5"/>
  <c r="AM560" i="5"/>
  <c r="I560" i="12"/>
  <c r="Z560" i="5"/>
  <c r="I560" i="5"/>
  <c r="AC560" i="5"/>
  <c r="D563" i="6"/>
  <c r="CE561" i="6"/>
  <c r="E563" i="12"/>
  <c r="F563" i="6"/>
  <c r="E558" i="6"/>
  <c r="D558" i="12"/>
  <c r="N564" i="5"/>
  <c r="D564" i="5"/>
  <c r="B564" i="12" s="1"/>
  <c r="J564" i="5"/>
  <c r="K564" i="5"/>
  <c r="AD564" i="5"/>
  <c r="AE564" i="5"/>
  <c r="E564" i="5"/>
  <c r="W564" i="5"/>
  <c r="H564" i="12" s="1"/>
  <c r="A564" i="12"/>
  <c r="B564" i="6"/>
  <c r="B564" i="5"/>
  <c r="F564" i="5"/>
  <c r="G564" i="5"/>
  <c r="C565" i="5"/>
  <c r="H564" i="5"/>
  <c r="R564" i="5"/>
  <c r="BE561" i="6"/>
  <c r="CH561" i="6"/>
  <c r="BO561" i="6"/>
  <c r="AJ561" i="6"/>
  <c r="BA561" i="6"/>
  <c r="AV561" i="6"/>
  <c r="BI561" i="6"/>
  <c r="AX561" i="6"/>
  <c r="BW561" i="6"/>
  <c r="AN561" i="6"/>
  <c r="BN561" i="6"/>
  <c r="CI561" i="6"/>
  <c r="CF561" i="6"/>
  <c r="BC561" i="6"/>
  <c r="AB559" i="5"/>
  <c r="AA559" i="5"/>
  <c r="AP561" i="6"/>
  <c r="AO561" i="6"/>
  <c r="BG561" i="6"/>
  <c r="AZ561" i="6"/>
  <c r="L563" i="12"/>
  <c r="J563" i="12"/>
  <c r="N558" i="12"/>
  <c r="C559" i="12"/>
  <c r="AO559" i="12"/>
  <c r="O559" i="12"/>
  <c r="M559" i="12"/>
  <c r="AR561" i="6"/>
  <c r="CC561" i="6"/>
  <c r="CD561" i="6"/>
  <c r="BM561" i="6"/>
  <c r="CB561" i="6"/>
  <c r="BV561" i="6"/>
  <c r="BJ561" i="6"/>
  <c r="AQ561" i="6"/>
  <c r="BZ561" i="6"/>
  <c r="AS561" i="6"/>
  <c r="BT561" i="6"/>
  <c r="CK561" i="6"/>
  <c r="BQ561" i="6"/>
  <c r="X557" i="12"/>
  <c r="W557" i="12"/>
  <c r="BV562" i="6" l="1"/>
  <c r="BD562" i="6"/>
  <c r="AL562" i="6"/>
  <c r="BL562" i="6"/>
  <c r="K563" i="12"/>
  <c r="BP562" i="6"/>
  <c r="AU562" i="6"/>
  <c r="BE562" i="6"/>
  <c r="E559" i="6"/>
  <c r="D559" i="12"/>
  <c r="AN562" i="6"/>
  <c r="AW562" i="6"/>
  <c r="N559" i="12"/>
  <c r="D565" i="5"/>
  <c r="B565" i="12" s="1"/>
  <c r="B565" i="6"/>
  <c r="J565" i="5"/>
  <c r="N565" i="5"/>
  <c r="B565" i="5"/>
  <c r="AE565" i="5"/>
  <c r="E565" i="5"/>
  <c r="W565" i="5"/>
  <c r="H565" i="12" s="1"/>
  <c r="F565" i="5"/>
  <c r="H565" i="5"/>
  <c r="G565" i="5"/>
  <c r="R565" i="5"/>
  <c r="C566" i="5"/>
  <c r="AD565" i="5"/>
  <c r="K565" i="5"/>
  <c r="A565" i="12"/>
  <c r="AB560" i="5"/>
  <c r="AA560" i="5"/>
  <c r="G562" i="12"/>
  <c r="X562" i="5"/>
  <c r="AJ562" i="6" s="1"/>
  <c r="BG562" i="6"/>
  <c r="AK562" i="6"/>
  <c r="BW562" i="6"/>
  <c r="BY562" i="6"/>
  <c r="CM562" i="6"/>
  <c r="BO562" i="6"/>
  <c r="BT562" i="6"/>
  <c r="BA562" i="6"/>
  <c r="CL562" i="6"/>
  <c r="BH562" i="6"/>
  <c r="AM562" i="6"/>
  <c r="CJ562" i="6"/>
  <c r="L564" i="12"/>
  <c r="J564" i="12"/>
  <c r="BX562" i="6"/>
  <c r="Y559" i="12"/>
  <c r="M563" i="6"/>
  <c r="BP563" i="6" s="1"/>
  <c r="H563" i="6"/>
  <c r="T563" i="5" s="1"/>
  <c r="G563" i="6"/>
  <c r="BJ563" i="6"/>
  <c r="N563" i="6"/>
  <c r="C560" i="12"/>
  <c r="M560" i="12"/>
  <c r="O560" i="12"/>
  <c r="AO560" i="12"/>
  <c r="AS562" i="6"/>
  <c r="AO562" i="6"/>
  <c r="BJ562" i="6"/>
  <c r="AR562" i="6"/>
  <c r="CH562" i="6"/>
  <c r="BZ562" i="6"/>
  <c r="BC562" i="6"/>
  <c r="BI562" i="6"/>
  <c r="AQ562" i="6"/>
  <c r="CI562" i="6"/>
  <c r="CG562" i="6"/>
  <c r="CF562" i="6"/>
  <c r="BS562" i="6"/>
  <c r="BR562" i="6"/>
  <c r="V558" i="12"/>
  <c r="U558" i="12"/>
  <c r="T558" i="12"/>
  <c r="C560" i="6"/>
  <c r="O560" i="5"/>
  <c r="T557" i="12"/>
  <c r="U557" i="12"/>
  <c r="V557" i="12"/>
  <c r="F564" i="6"/>
  <c r="E564" i="12"/>
  <c r="D564" i="6"/>
  <c r="I561" i="12"/>
  <c r="L561" i="5"/>
  <c r="AM561" i="5"/>
  <c r="Z561" i="5"/>
  <c r="I561" i="5"/>
  <c r="AC561" i="5"/>
  <c r="BM562" i="6"/>
  <c r="AZ562" i="6"/>
  <c r="CE562" i="6"/>
  <c r="AX562" i="6"/>
  <c r="CA562" i="6"/>
  <c r="AT562" i="6"/>
  <c r="BK562" i="6"/>
  <c r="BQ562" i="6"/>
  <c r="AY562" i="6"/>
  <c r="AP562" i="6"/>
  <c r="CK562" i="6"/>
  <c r="CD562" i="6"/>
  <c r="AV562" i="6"/>
  <c r="CL563" i="6" l="1"/>
  <c r="AN563" i="6"/>
  <c r="BZ563" i="6"/>
  <c r="BV563" i="6"/>
  <c r="BH563" i="6"/>
  <c r="N560" i="12"/>
  <c r="BS563" i="6"/>
  <c r="AV563" i="6"/>
  <c r="BC563" i="6"/>
  <c r="BL563" i="6"/>
  <c r="BW563" i="6"/>
  <c r="BI563" i="6"/>
  <c r="AQ563" i="6"/>
  <c r="C561" i="12"/>
  <c r="O561" i="12"/>
  <c r="M561" i="12"/>
  <c r="AO561" i="12"/>
  <c r="E560" i="6"/>
  <c r="D560" i="12"/>
  <c r="AA561" i="5"/>
  <c r="AB561" i="5"/>
  <c r="BR563" i="6"/>
  <c r="BD563" i="6"/>
  <c r="CF563" i="6"/>
  <c r="AZ563" i="6"/>
  <c r="BQ563" i="6"/>
  <c r="BN563" i="6"/>
  <c r="BE563" i="6"/>
  <c r="AU563" i="6"/>
  <c r="CK563" i="6"/>
  <c r="AL563" i="6"/>
  <c r="CI563" i="6"/>
  <c r="CG563" i="6"/>
  <c r="BG563" i="6"/>
  <c r="W559" i="12"/>
  <c r="X559" i="12"/>
  <c r="AM562" i="5"/>
  <c r="I562" i="12"/>
  <c r="L562" i="5"/>
  <c r="Z562" i="5"/>
  <c r="I562" i="5"/>
  <c r="AC562" i="5"/>
  <c r="L565" i="12"/>
  <c r="J565" i="12"/>
  <c r="N564" i="6"/>
  <c r="H564" i="6"/>
  <c r="T564" i="5" s="1"/>
  <c r="BN564" i="6"/>
  <c r="CD564" i="6"/>
  <c r="G564" i="6"/>
  <c r="M564" i="6"/>
  <c r="BT564" i="6" s="1"/>
  <c r="AY564" i="6"/>
  <c r="AK563" i="6"/>
  <c r="AT563" i="6"/>
  <c r="BK563" i="6"/>
  <c r="CJ563" i="6"/>
  <c r="CA563" i="6"/>
  <c r="AM563" i="6"/>
  <c r="AO563" i="6"/>
  <c r="CH563" i="6"/>
  <c r="BY563" i="6"/>
  <c r="CM563" i="6"/>
  <c r="AY563" i="6"/>
  <c r="CE563" i="6"/>
  <c r="CC563" i="6"/>
  <c r="K564" i="12"/>
  <c r="B566" i="6"/>
  <c r="F566" i="5"/>
  <c r="A566" i="12"/>
  <c r="B566" i="5"/>
  <c r="R566" i="5"/>
  <c r="J566" i="5"/>
  <c r="C567" i="5"/>
  <c r="AE566" i="5"/>
  <c r="K566" i="5"/>
  <c r="G566" i="5"/>
  <c r="AD566" i="5"/>
  <c r="D566" i="5"/>
  <c r="B566" i="12" s="1"/>
  <c r="E566" i="5"/>
  <c r="N566" i="5"/>
  <c r="H566" i="5"/>
  <c r="W566" i="5"/>
  <c r="H566" i="12" s="1"/>
  <c r="C561" i="6"/>
  <c r="O561" i="5"/>
  <c r="Y560" i="12"/>
  <c r="CD563" i="6"/>
  <c r="AP563" i="6"/>
  <c r="CB563" i="6"/>
  <c r="AS563" i="6"/>
  <c r="BO563" i="6"/>
  <c r="AW563" i="6"/>
  <c r="BX563" i="6"/>
  <c r="BA563" i="6"/>
  <c r="AR563" i="6"/>
  <c r="BF563" i="6"/>
  <c r="BT563" i="6"/>
  <c r="BM563" i="6"/>
  <c r="AX563" i="6"/>
  <c r="G563" i="12"/>
  <c r="X563" i="5"/>
  <c r="F565" i="6"/>
  <c r="E565" i="12"/>
  <c r="D565" i="6"/>
  <c r="CF564" i="6" l="1"/>
  <c r="BR564" i="6"/>
  <c r="AR564" i="6"/>
  <c r="BZ564" i="6"/>
  <c r="AS564" i="6"/>
  <c r="BJ564" i="6"/>
  <c r="BI564" i="6"/>
  <c r="CH564" i="6"/>
  <c r="CG564" i="6"/>
  <c r="CL564" i="6"/>
  <c r="BX564" i="6"/>
  <c r="BF564" i="6"/>
  <c r="AP564" i="6"/>
  <c r="Y561" i="12"/>
  <c r="AN564" i="6"/>
  <c r="BK564" i="6"/>
  <c r="AM564" i="6"/>
  <c r="BS564" i="6"/>
  <c r="AV564" i="6"/>
  <c r="E566" i="12"/>
  <c r="F566" i="6"/>
  <c r="CI564" i="6"/>
  <c r="AT564" i="6"/>
  <c r="BW564" i="6"/>
  <c r="BP564" i="6"/>
  <c r="BV564" i="6"/>
  <c r="BL564" i="6"/>
  <c r="AX564" i="6"/>
  <c r="BH564" i="6"/>
  <c r="CB564" i="6"/>
  <c r="AQ564" i="6"/>
  <c r="BD564" i="6"/>
  <c r="BA564" i="6"/>
  <c r="K565" i="12"/>
  <c r="AA562" i="5"/>
  <c r="AB562" i="5"/>
  <c r="X561" i="12"/>
  <c r="W561" i="12"/>
  <c r="W560" i="12"/>
  <c r="X560" i="12"/>
  <c r="M565" i="6"/>
  <c r="BV565" i="6" s="1"/>
  <c r="H565" i="6"/>
  <c r="T565" i="5" s="1"/>
  <c r="G565" i="6"/>
  <c r="BF565" i="6"/>
  <c r="CH565" i="6"/>
  <c r="BT565" i="6"/>
  <c r="CG565" i="6"/>
  <c r="BL565" i="6"/>
  <c r="CD565" i="6"/>
  <c r="BG565" i="6"/>
  <c r="BM565" i="6"/>
  <c r="CA565" i="6"/>
  <c r="BI565" i="6"/>
  <c r="BZ565" i="6"/>
  <c r="BY565" i="6"/>
  <c r="BS565" i="6"/>
  <c r="BA565" i="6"/>
  <c r="AN565" i="6"/>
  <c r="BW565" i="6"/>
  <c r="BP565" i="6"/>
  <c r="CM565" i="6"/>
  <c r="AP565" i="6"/>
  <c r="BO565" i="6"/>
  <c r="CK565" i="6"/>
  <c r="BD565" i="6"/>
  <c r="BE565" i="6"/>
  <c r="CE565" i="6"/>
  <c r="CC565" i="6"/>
  <c r="CF565" i="6"/>
  <c r="AV565" i="6"/>
  <c r="AY565" i="6"/>
  <c r="AM565" i="6"/>
  <c r="CJ565" i="6"/>
  <c r="BC565" i="6"/>
  <c r="AW565" i="6"/>
  <c r="BJ565" i="6"/>
  <c r="N565" i="6"/>
  <c r="BR565" i="6"/>
  <c r="AT565" i="6"/>
  <c r="BK565" i="6"/>
  <c r="CI565" i="6"/>
  <c r="AK565" i="6"/>
  <c r="AL565" i="6"/>
  <c r="AX565" i="6"/>
  <c r="BX565" i="6"/>
  <c r="AO565" i="6"/>
  <c r="CL565" i="6"/>
  <c r="CB565" i="6"/>
  <c r="BH565" i="6"/>
  <c r="BN565" i="6"/>
  <c r="AQ565" i="6"/>
  <c r="AS565" i="6"/>
  <c r="L563" i="5"/>
  <c r="I563" i="12"/>
  <c r="AM563" i="5"/>
  <c r="Z563" i="5"/>
  <c r="I563" i="5"/>
  <c r="AC563" i="5"/>
  <c r="AJ563" i="6"/>
  <c r="D561" i="12"/>
  <c r="E561" i="6"/>
  <c r="D566" i="6"/>
  <c r="AD567" i="5"/>
  <c r="K567" i="5"/>
  <c r="E567" i="5"/>
  <c r="B567" i="6"/>
  <c r="N567" i="5"/>
  <c r="F567" i="5"/>
  <c r="AE567" i="5"/>
  <c r="W567" i="5"/>
  <c r="H567" i="12" s="1"/>
  <c r="B567" i="5"/>
  <c r="G567" i="5"/>
  <c r="H567" i="5"/>
  <c r="R567" i="5"/>
  <c r="D567" i="5"/>
  <c r="B567" i="12" s="1"/>
  <c r="C568" i="5"/>
  <c r="A567" i="12"/>
  <c r="J567" i="5"/>
  <c r="AU564" i="6"/>
  <c r="CA564" i="6"/>
  <c r="BC564" i="6"/>
  <c r="CK564" i="6"/>
  <c r="BQ564" i="6"/>
  <c r="BO564" i="6"/>
  <c r="AL564" i="6"/>
  <c r="BM564" i="6"/>
  <c r="AZ564" i="6"/>
  <c r="G564" i="12"/>
  <c r="X564" i="5"/>
  <c r="CJ564" i="6"/>
  <c r="BY564" i="6"/>
  <c r="AK564" i="6"/>
  <c r="C562" i="6"/>
  <c r="O562" i="5"/>
  <c r="T559" i="12"/>
  <c r="V559" i="12"/>
  <c r="U559" i="12"/>
  <c r="N561" i="12"/>
  <c r="J566" i="12"/>
  <c r="L566" i="12"/>
  <c r="K566" i="12" s="1"/>
  <c r="CE564" i="6"/>
  <c r="AO564" i="6"/>
  <c r="BE564" i="6"/>
  <c r="CC564" i="6"/>
  <c r="BG564" i="6"/>
  <c r="AJ564" i="6"/>
  <c r="CM564" i="6"/>
  <c r="AW564" i="6"/>
  <c r="C562" i="12"/>
  <c r="O562" i="12"/>
  <c r="AO562" i="12"/>
  <c r="M562" i="12"/>
  <c r="N562" i="12" l="1"/>
  <c r="BQ565" i="6"/>
  <c r="AR565" i="6"/>
  <c r="Y562" i="12"/>
  <c r="W562" i="12" s="1"/>
  <c r="D567" i="6"/>
  <c r="I564" i="12"/>
  <c r="AM564" i="5"/>
  <c r="L564" i="5"/>
  <c r="I564" i="5"/>
  <c r="Z564" i="5"/>
  <c r="AC564" i="5"/>
  <c r="AB563" i="5"/>
  <c r="AA563" i="5"/>
  <c r="G565" i="12"/>
  <c r="X565" i="5"/>
  <c r="U561" i="12"/>
  <c r="T561" i="12"/>
  <c r="V561" i="12"/>
  <c r="X562" i="12"/>
  <c r="E562" i="6"/>
  <c r="D562" i="12"/>
  <c r="J567" i="12"/>
  <c r="L567" i="12"/>
  <c r="K567" i="12" s="1"/>
  <c r="C563" i="6"/>
  <c r="O563" i="5"/>
  <c r="U560" i="12"/>
  <c r="V560" i="12"/>
  <c r="T560" i="12"/>
  <c r="E568" i="5"/>
  <c r="B568" i="6"/>
  <c r="AE568" i="5"/>
  <c r="AD568" i="5"/>
  <c r="G568" i="5"/>
  <c r="N568" i="5"/>
  <c r="W568" i="5"/>
  <c r="H568" i="12" s="1"/>
  <c r="B568" i="5"/>
  <c r="F568" i="5"/>
  <c r="K568" i="5"/>
  <c r="A568" i="12"/>
  <c r="C569" i="5"/>
  <c r="R568" i="5"/>
  <c r="H568" i="5"/>
  <c r="J568" i="5"/>
  <c r="D568" i="5"/>
  <c r="B568" i="12" s="1"/>
  <c r="E567" i="12"/>
  <c r="F567" i="6"/>
  <c r="N566" i="6"/>
  <c r="M566" i="6"/>
  <c r="BJ566" i="6" s="1"/>
  <c r="G566" i="6"/>
  <c r="BC566" i="6"/>
  <c r="H566" i="6"/>
  <c r="T566" i="5" s="1"/>
  <c r="BW566" i="6"/>
  <c r="C563" i="12"/>
  <c r="M563" i="12"/>
  <c r="AO563" i="12"/>
  <c r="O563" i="12"/>
  <c r="AU565" i="6"/>
  <c r="AZ565" i="6"/>
  <c r="Y563" i="12" l="1"/>
  <c r="BX566" i="6"/>
  <c r="AO566" i="6"/>
  <c r="BG566" i="6"/>
  <c r="BD566" i="6"/>
  <c r="N563" i="12"/>
  <c r="BV566" i="6"/>
  <c r="AR566" i="6"/>
  <c r="AW566" i="6"/>
  <c r="AM566" i="6"/>
  <c r="AT566" i="6"/>
  <c r="AZ566" i="6"/>
  <c r="G566" i="12"/>
  <c r="X566" i="5"/>
  <c r="BZ566" i="6"/>
  <c r="CJ566" i="6"/>
  <c r="CM566" i="6"/>
  <c r="BI566" i="6"/>
  <c r="CC566" i="6"/>
  <c r="BS566" i="6"/>
  <c r="AX566" i="6"/>
  <c r="AS566" i="6"/>
  <c r="CK566" i="6"/>
  <c r="BN566" i="6"/>
  <c r="CD566" i="6"/>
  <c r="AA564" i="5"/>
  <c r="AB564" i="5"/>
  <c r="C564" i="12"/>
  <c r="AO564" i="12"/>
  <c r="M564" i="12"/>
  <c r="O564" i="12"/>
  <c r="BT566" i="6"/>
  <c r="CH566" i="6"/>
  <c r="CB566" i="6"/>
  <c r="AM565" i="5"/>
  <c r="L565" i="5"/>
  <c r="I565" i="12"/>
  <c r="Z565" i="5"/>
  <c r="I565" i="5"/>
  <c r="AC565" i="5"/>
  <c r="AJ565" i="6"/>
  <c r="X563" i="12"/>
  <c r="W563" i="12"/>
  <c r="AU566" i="6"/>
  <c r="CG566" i="6"/>
  <c r="AJ566" i="6"/>
  <c r="BQ566" i="6"/>
  <c r="AV566" i="6"/>
  <c r="AY566" i="6"/>
  <c r="CL566" i="6"/>
  <c r="CF566" i="6"/>
  <c r="BK566" i="6"/>
  <c r="BM566" i="6"/>
  <c r="F568" i="6"/>
  <c r="E568" i="12"/>
  <c r="D563" i="12"/>
  <c r="E563" i="6"/>
  <c r="N567" i="6"/>
  <c r="BE567" i="6"/>
  <c r="G567" i="6"/>
  <c r="H567" i="6"/>
  <c r="T567" i="5" s="1"/>
  <c r="BA567" i="6"/>
  <c r="AY567" i="6"/>
  <c r="M567" i="6"/>
  <c r="CF567" i="6" s="1"/>
  <c r="J568" i="12"/>
  <c r="L568" i="12"/>
  <c r="T562" i="12"/>
  <c r="U562" i="12"/>
  <c r="V562" i="12"/>
  <c r="BE566" i="6"/>
  <c r="CA566" i="6"/>
  <c r="AK566" i="6"/>
  <c r="CE566" i="6"/>
  <c r="BP566" i="6"/>
  <c r="AL566" i="6"/>
  <c r="BF566" i="6"/>
  <c r="BO566" i="6"/>
  <c r="BR566" i="6"/>
  <c r="BH566" i="6"/>
  <c r="AN566" i="6"/>
  <c r="BA566" i="6"/>
  <c r="AP566" i="6"/>
  <c r="BL566" i="6"/>
  <c r="BY566" i="6"/>
  <c r="AQ566" i="6"/>
  <c r="CI566" i="6"/>
  <c r="F569" i="5"/>
  <c r="A569" i="12"/>
  <c r="AD569" i="5"/>
  <c r="W569" i="5"/>
  <c r="H569" i="12" s="1"/>
  <c r="E569" i="5"/>
  <c r="C570" i="5"/>
  <c r="B569" i="5"/>
  <c r="N569" i="5"/>
  <c r="AE569" i="5"/>
  <c r="B569" i="6"/>
  <c r="J569" i="5"/>
  <c r="H569" i="5"/>
  <c r="D569" i="5"/>
  <c r="B569" i="12" s="1"/>
  <c r="K569" i="5"/>
  <c r="G569" i="5"/>
  <c r="R569" i="5"/>
  <c r="D568" i="6"/>
  <c r="C564" i="6"/>
  <c r="O564" i="5"/>
  <c r="BD567" i="6" l="1"/>
  <c r="AS567" i="6"/>
  <c r="N564" i="12"/>
  <c r="CL567" i="6"/>
  <c r="K568" i="12"/>
  <c r="AK567" i="6"/>
  <c r="BW567" i="6"/>
  <c r="BK567" i="6"/>
  <c r="AM567" i="6"/>
  <c r="AX567" i="6"/>
  <c r="BL567" i="6"/>
  <c r="AR567" i="6"/>
  <c r="AN567" i="6"/>
  <c r="A570" i="12"/>
  <c r="AD570" i="5"/>
  <c r="D570" i="5"/>
  <c r="B570" i="12" s="1"/>
  <c r="J570" i="5"/>
  <c r="K570" i="5"/>
  <c r="G570" i="5"/>
  <c r="W570" i="5"/>
  <c r="H570" i="12" s="1"/>
  <c r="H570" i="5"/>
  <c r="B570" i="5"/>
  <c r="B570" i="6"/>
  <c r="F570" i="5"/>
  <c r="C571" i="5"/>
  <c r="E570" i="5"/>
  <c r="N570" i="5"/>
  <c r="AE570" i="5"/>
  <c r="R570" i="5"/>
  <c r="E564" i="6"/>
  <c r="D564" i="12"/>
  <c r="F569" i="6"/>
  <c r="E569" i="12"/>
  <c r="J569" i="12"/>
  <c r="L569" i="12"/>
  <c r="K569" i="12" s="1"/>
  <c r="CC567" i="6"/>
  <c r="AP567" i="6"/>
  <c r="BT567" i="6"/>
  <c r="BS567" i="6"/>
  <c r="BQ567" i="6"/>
  <c r="BN567" i="6"/>
  <c r="CK567" i="6"/>
  <c r="G567" i="12"/>
  <c r="X567" i="5"/>
  <c r="BX567" i="6"/>
  <c r="BF567" i="6"/>
  <c r="BC567" i="6"/>
  <c r="AJ567" i="6"/>
  <c r="AL567" i="6"/>
  <c r="CD567" i="6"/>
  <c r="BP567" i="6"/>
  <c r="AA565" i="5"/>
  <c r="AB565" i="5"/>
  <c r="AM566" i="5"/>
  <c r="I566" i="12"/>
  <c r="L566" i="5"/>
  <c r="I566" i="5"/>
  <c r="Z566" i="5"/>
  <c r="AC566" i="5"/>
  <c r="D569" i="6"/>
  <c r="V563" i="12"/>
  <c r="U563" i="12"/>
  <c r="T563" i="12"/>
  <c r="CA567" i="6"/>
  <c r="BJ567" i="6"/>
  <c r="BM567" i="6"/>
  <c r="AT567" i="6"/>
  <c r="AZ567" i="6"/>
  <c r="AU567" i="6"/>
  <c r="CI567" i="6"/>
  <c r="BZ567" i="6"/>
  <c r="BY567" i="6"/>
  <c r="BH567" i="6"/>
  <c r="AV567" i="6"/>
  <c r="CJ567" i="6"/>
  <c r="AO567" i="6"/>
  <c r="C565" i="12"/>
  <c r="M565" i="12"/>
  <c r="O565" i="12"/>
  <c r="N565" i="12" s="1"/>
  <c r="AO565" i="12"/>
  <c r="Y564" i="12"/>
  <c r="H568" i="6"/>
  <c r="T568" i="5" s="1"/>
  <c r="N568" i="6"/>
  <c r="G568" i="6"/>
  <c r="M568" i="6"/>
  <c r="CD568" i="6" s="1"/>
  <c r="CE567" i="6"/>
  <c r="BI567" i="6"/>
  <c r="BG567" i="6"/>
  <c r="CG567" i="6"/>
  <c r="BO567" i="6"/>
  <c r="BV567" i="6"/>
  <c r="AW567" i="6"/>
  <c r="CM567" i="6"/>
  <c r="AQ567" i="6"/>
  <c r="BR567" i="6"/>
  <c r="CB567" i="6"/>
  <c r="CH567" i="6"/>
  <c r="C565" i="6"/>
  <c r="O565" i="5"/>
  <c r="AS568" i="6" l="1"/>
  <c r="BQ568" i="6"/>
  <c r="BR568" i="6"/>
  <c r="AP568" i="6"/>
  <c r="AY568" i="6"/>
  <c r="BP568" i="6"/>
  <c r="AZ568" i="6"/>
  <c r="CH568" i="6"/>
  <c r="CB568" i="6"/>
  <c r="BH568" i="6"/>
  <c r="AT568" i="6"/>
  <c r="BO568" i="6"/>
  <c r="CK568" i="6"/>
  <c r="AU568" i="6"/>
  <c r="BT568" i="6"/>
  <c r="CE568" i="6"/>
  <c r="BY568" i="6"/>
  <c r="BX568" i="6"/>
  <c r="BN568" i="6"/>
  <c r="AR568" i="6"/>
  <c r="CL568" i="6"/>
  <c r="CA568" i="6"/>
  <c r="AX568" i="6"/>
  <c r="BF568" i="6"/>
  <c r="AM568" i="6"/>
  <c r="BJ568" i="6"/>
  <c r="BI568" i="6"/>
  <c r="BM568" i="6"/>
  <c r="BK568" i="6"/>
  <c r="CI568" i="6"/>
  <c r="AL568" i="6"/>
  <c r="CF568" i="6"/>
  <c r="BA568" i="6"/>
  <c r="CJ568" i="6"/>
  <c r="BZ568" i="6"/>
  <c r="BW568" i="6"/>
  <c r="C566" i="12"/>
  <c r="O566" i="12"/>
  <c r="AO566" i="12"/>
  <c r="M566" i="12"/>
  <c r="D570" i="6"/>
  <c r="C566" i="6"/>
  <c r="O566" i="5"/>
  <c r="L567" i="5"/>
  <c r="AM567" i="5"/>
  <c r="I567" i="12"/>
  <c r="I567" i="5"/>
  <c r="Z567" i="5"/>
  <c r="AC567" i="5"/>
  <c r="E565" i="6"/>
  <c r="D565" i="12"/>
  <c r="AK568" i="6"/>
  <c r="AQ568" i="6"/>
  <c r="BS568" i="6"/>
  <c r="G568" i="12"/>
  <c r="X568" i="5"/>
  <c r="CG568" i="6"/>
  <c r="AO568" i="6"/>
  <c r="BL568" i="6"/>
  <c r="W564" i="12"/>
  <c r="X564" i="12"/>
  <c r="AB566" i="5"/>
  <c r="AA566" i="5"/>
  <c r="F570" i="6"/>
  <c r="E570" i="12"/>
  <c r="J571" i="5"/>
  <c r="B571" i="6"/>
  <c r="K571" i="5"/>
  <c r="A571" i="12"/>
  <c r="E571" i="5"/>
  <c r="C572" i="5"/>
  <c r="G571" i="5"/>
  <c r="AD571" i="5"/>
  <c r="W571" i="5"/>
  <c r="H571" i="12" s="1"/>
  <c r="N571" i="5"/>
  <c r="F571" i="5"/>
  <c r="D571" i="5"/>
  <c r="B571" i="12" s="1"/>
  <c r="B571" i="5"/>
  <c r="R571" i="5"/>
  <c r="H571" i="5"/>
  <c r="AE571" i="5"/>
  <c r="N569" i="6"/>
  <c r="H569" i="6"/>
  <c r="T569" i="5" s="1"/>
  <c r="M569" i="6"/>
  <c r="BM569" i="6" s="1"/>
  <c r="G569" i="6"/>
  <c r="AN568" i="6"/>
  <c r="BC568" i="6"/>
  <c r="BG568" i="6"/>
  <c r="CM568" i="6"/>
  <c r="CC568" i="6"/>
  <c r="BE568" i="6"/>
  <c r="BD568" i="6"/>
  <c r="AV568" i="6"/>
  <c r="BV568" i="6"/>
  <c r="AW568" i="6"/>
  <c r="Y565" i="12"/>
  <c r="J570" i="12"/>
  <c r="L570" i="12"/>
  <c r="CI569" i="6" l="1"/>
  <c r="N566" i="12"/>
  <c r="AK569" i="6"/>
  <c r="BT569" i="6"/>
  <c r="CF569" i="6"/>
  <c r="AN569" i="6"/>
  <c r="BE569" i="6"/>
  <c r="AZ569" i="6"/>
  <c r="AY569" i="6"/>
  <c r="BS569" i="6"/>
  <c r="AR569" i="6"/>
  <c r="AX569" i="6"/>
  <c r="BP569" i="6"/>
  <c r="AW569" i="6"/>
  <c r="BY569" i="6"/>
  <c r="K570" i="12"/>
  <c r="AQ569" i="6"/>
  <c r="AU569" i="6"/>
  <c r="BQ569" i="6"/>
  <c r="BO569" i="6"/>
  <c r="BH569" i="6"/>
  <c r="CD569" i="6"/>
  <c r="CA569" i="6"/>
  <c r="BF569" i="6"/>
  <c r="BD569" i="6"/>
  <c r="BR569" i="6"/>
  <c r="BX569" i="6"/>
  <c r="AL569" i="6"/>
  <c r="CE569" i="6"/>
  <c r="AO569" i="6"/>
  <c r="BV569" i="6"/>
  <c r="CM569" i="6"/>
  <c r="X565" i="12"/>
  <c r="W565" i="12"/>
  <c r="AP569" i="6"/>
  <c r="BZ569" i="6"/>
  <c r="BJ569" i="6"/>
  <c r="BK569" i="6"/>
  <c r="BG569" i="6"/>
  <c r="AS569" i="6"/>
  <c r="V564" i="12"/>
  <c r="T564" i="12"/>
  <c r="U564" i="12"/>
  <c r="I568" i="12"/>
  <c r="L568" i="5"/>
  <c r="AM568" i="5"/>
  <c r="Z568" i="5"/>
  <c r="I568" i="5"/>
  <c r="AC568" i="5"/>
  <c r="AJ568" i="6"/>
  <c r="AA567" i="5"/>
  <c r="AB567" i="5"/>
  <c r="C567" i="6"/>
  <c r="O567" i="5"/>
  <c r="N570" i="6"/>
  <c r="G570" i="6"/>
  <c r="H570" i="6"/>
  <c r="T570" i="5" s="1"/>
  <c r="M570" i="6"/>
  <c r="BR570" i="6" s="1"/>
  <c r="CG569" i="6"/>
  <c r="CC569" i="6"/>
  <c r="BW569" i="6"/>
  <c r="AT569" i="6"/>
  <c r="G569" i="12"/>
  <c r="X569" i="5"/>
  <c r="AM569" i="6"/>
  <c r="BI569" i="6"/>
  <c r="BL569" i="6"/>
  <c r="E566" i="6"/>
  <c r="D566" i="12"/>
  <c r="L571" i="12"/>
  <c r="J571" i="12"/>
  <c r="CK569" i="6"/>
  <c r="BC569" i="6"/>
  <c r="CL569" i="6"/>
  <c r="CB569" i="6"/>
  <c r="BN569" i="6"/>
  <c r="CH569" i="6"/>
  <c r="CJ569" i="6"/>
  <c r="BA569" i="6"/>
  <c r="AV569" i="6"/>
  <c r="F571" i="6"/>
  <c r="E571" i="12"/>
  <c r="D571" i="6"/>
  <c r="D572" i="5"/>
  <c r="B572" i="12" s="1"/>
  <c r="H572" i="5"/>
  <c r="C573" i="5"/>
  <c r="N572" i="5"/>
  <c r="AD572" i="5"/>
  <c r="J572" i="5"/>
  <c r="K572" i="5"/>
  <c r="W572" i="5"/>
  <c r="H572" i="12" s="1"/>
  <c r="B572" i="6"/>
  <c r="AE572" i="5"/>
  <c r="B572" i="5"/>
  <c r="G572" i="5"/>
  <c r="E572" i="5"/>
  <c r="F572" i="5"/>
  <c r="R572" i="5"/>
  <c r="A572" i="12"/>
  <c r="C567" i="12"/>
  <c r="O567" i="12"/>
  <c r="AO567" i="12"/>
  <c r="M567" i="12"/>
  <c r="Y566" i="12"/>
  <c r="K571" i="12" l="1"/>
  <c r="N567" i="12"/>
  <c r="CJ570" i="6"/>
  <c r="W566" i="12"/>
  <c r="X566" i="12"/>
  <c r="G571" i="6"/>
  <c r="BK571" i="6"/>
  <c r="CI571" i="6"/>
  <c r="M571" i="6"/>
  <c r="CF571" i="6" s="1"/>
  <c r="BR571" i="6"/>
  <c r="CE571" i="6"/>
  <c r="BY571" i="6"/>
  <c r="BT571" i="6"/>
  <c r="BD571" i="6"/>
  <c r="BF571" i="6"/>
  <c r="CC571" i="6"/>
  <c r="BG571" i="6"/>
  <c r="BX571" i="6"/>
  <c r="CB571" i="6"/>
  <c r="CK571" i="6"/>
  <c r="BJ571" i="6"/>
  <c r="BN571" i="6"/>
  <c r="BI571" i="6"/>
  <c r="BM571" i="6"/>
  <c r="BP571" i="6"/>
  <c r="CM571" i="6"/>
  <c r="N571" i="6"/>
  <c r="BQ571" i="6"/>
  <c r="BE571" i="6"/>
  <c r="H571" i="6"/>
  <c r="T571" i="5" s="1"/>
  <c r="CL571" i="6"/>
  <c r="CH571" i="6"/>
  <c r="BV571" i="6"/>
  <c r="CG571" i="6"/>
  <c r="CJ571" i="6"/>
  <c r="BS571" i="6"/>
  <c r="BO571" i="6"/>
  <c r="AW570" i="6"/>
  <c r="CE570" i="6"/>
  <c r="CL570" i="6"/>
  <c r="BT570" i="6"/>
  <c r="BD570" i="6"/>
  <c r="AT570" i="6"/>
  <c r="BJ570" i="6"/>
  <c r="BV570" i="6"/>
  <c r="BK570" i="6"/>
  <c r="AS570" i="6"/>
  <c r="CH570" i="6"/>
  <c r="BP570" i="6"/>
  <c r="BM570" i="6"/>
  <c r="BQ570" i="6"/>
  <c r="BN570" i="6"/>
  <c r="BS570" i="6"/>
  <c r="AV570" i="6"/>
  <c r="BH570" i="6"/>
  <c r="CK570" i="6"/>
  <c r="AA568" i="5"/>
  <c r="AB568" i="5"/>
  <c r="E572" i="12"/>
  <c r="F572" i="6"/>
  <c r="D573" i="5"/>
  <c r="B573" i="12" s="1"/>
  <c r="E573" i="5"/>
  <c r="A573" i="12"/>
  <c r="B573" i="6"/>
  <c r="K573" i="5"/>
  <c r="AE573" i="5"/>
  <c r="R573" i="5"/>
  <c r="F573" i="5"/>
  <c r="C574" i="5"/>
  <c r="AD573" i="5"/>
  <c r="N573" i="5"/>
  <c r="B573" i="5"/>
  <c r="W573" i="5"/>
  <c r="H573" i="12" s="1"/>
  <c r="H573" i="5"/>
  <c r="J573" i="5"/>
  <c r="G573" i="5"/>
  <c r="G570" i="12"/>
  <c r="X570" i="5"/>
  <c r="AJ570" i="6" s="1"/>
  <c r="AN570" i="6"/>
  <c r="BX570" i="6"/>
  <c r="AR570" i="6"/>
  <c r="BY570" i="6"/>
  <c r="CM570" i="6"/>
  <c r="AZ570" i="6"/>
  <c r="C568" i="12"/>
  <c r="O568" i="12"/>
  <c r="M568" i="12"/>
  <c r="AO568" i="12"/>
  <c r="Y567" i="12"/>
  <c r="L569" i="5"/>
  <c r="AM569" i="5"/>
  <c r="I569" i="12"/>
  <c r="Z569" i="5"/>
  <c r="I569" i="5"/>
  <c r="AC569" i="5"/>
  <c r="AJ569" i="6"/>
  <c r="BL570" i="6"/>
  <c r="CG570" i="6"/>
  <c r="CB570" i="6"/>
  <c r="AL570" i="6"/>
  <c r="AU570" i="6"/>
  <c r="BO570" i="6"/>
  <c r="BE570" i="6"/>
  <c r="AM570" i="6"/>
  <c r="BG570" i="6"/>
  <c r="BF570" i="6"/>
  <c r="BC570" i="6"/>
  <c r="AO570" i="6"/>
  <c r="AQ570" i="6"/>
  <c r="CC570" i="6"/>
  <c r="E567" i="6"/>
  <c r="D567" i="12"/>
  <c r="U565" i="12"/>
  <c r="T565" i="12"/>
  <c r="V565" i="12"/>
  <c r="J572" i="12"/>
  <c r="L572" i="12"/>
  <c r="D572" i="6"/>
  <c r="BW570" i="6"/>
  <c r="CA570" i="6"/>
  <c r="CD570" i="6"/>
  <c r="AP570" i="6"/>
  <c r="AX570" i="6"/>
  <c r="BI570" i="6"/>
  <c r="CF570" i="6"/>
  <c r="AY570" i="6"/>
  <c r="BZ570" i="6"/>
  <c r="CI570" i="6"/>
  <c r="BA570" i="6"/>
  <c r="AK570" i="6"/>
  <c r="C568" i="6"/>
  <c r="O568" i="5"/>
  <c r="N568" i="12" l="1"/>
  <c r="AN571" i="6"/>
  <c r="AS571" i="6"/>
  <c r="AY571" i="6"/>
  <c r="AT571" i="6"/>
  <c r="AZ571" i="6"/>
  <c r="AU571" i="6"/>
  <c r="BZ571" i="6"/>
  <c r="AA569" i="5"/>
  <c r="AB569" i="5"/>
  <c r="W567" i="12"/>
  <c r="X567" i="12"/>
  <c r="AM570" i="5"/>
  <c r="L570" i="5"/>
  <c r="I570" i="12"/>
  <c r="Z570" i="5"/>
  <c r="I570" i="5"/>
  <c r="AC570" i="5"/>
  <c r="E573" i="12"/>
  <c r="F573" i="6"/>
  <c r="AL571" i="6"/>
  <c r="AR571" i="6"/>
  <c r="BW571" i="6"/>
  <c r="C569" i="6"/>
  <c r="O569" i="5"/>
  <c r="H572" i="6"/>
  <c r="T572" i="5" s="1"/>
  <c r="M572" i="6"/>
  <c r="CM572" i="6" s="1"/>
  <c r="BC572" i="6"/>
  <c r="CF572" i="6"/>
  <c r="BS572" i="6"/>
  <c r="CG572" i="6"/>
  <c r="CC572" i="6"/>
  <c r="BI572" i="6"/>
  <c r="AV572" i="6"/>
  <c r="G572" i="6"/>
  <c r="BO572" i="6"/>
  <c r="BD572" i="6"/>
  <c r="BZ572" i="6"/>
  <c r="AZ572" i="6"/>
  <c r="BW572" i="6"/>
  <c r="BV572" i="6"/>
  <c r="AT572" i="6"/>
  <c r="CL572" i="6"/>
  <c r="N572" i="6"/>
  <c r="CJ572" i="6"/>
  <c r="AY572" i="6"/>
  <c r="BM572" i="6"/>
  <c r="AO572" i="6"/>
  <c r="D568" i="12"/>
  <c r="E568" i="6"/>
  <c r="C569" i="12"/>
  <c r="M569" i="12"/>
  <c r="AO569" i="12"/>
  <c r="O569" i="12"/>
  <c r="Y568" i="12"/>
  <c r="J574" i="5"/>
  <c r="K574" i="5"/>
  <c r="F574" i="5"/>
  <c r="B574" i="6"/>
  <c r="N574" i="5"/>
  <c r="C575" i="5"/>
  <c r="AE574" i="5"/>
  <c r="R574" i="5"/>
  <c r="W574" i="5"/>
  <c r="H574" i="12" s="1"/>
  <c r="D574" i="5"/>
  <c r="B574" i="12" s="1"/>
  <c r="G574" i="5"/>
  <c r="B574" i="5"/>
  <c r="AD574" i="5"/>
  <c r="H574" i="5"/>
  <c r="E574" i="5"/>
  <c r="A574" i="12"/>
  <c r="L573" i="12"/>
  <c r="J573" i="12"/>
  <c r="G571" i="12"/>
  <c r="X571" i="5"/>
  <c r="AO571" i="6"/>
  <c r="AV571" i="6"/>
  <c r="AP571" i="6"/>
  <c r="CD571" i="6"/>
  <c r="BL571" i="6"/>
  <c r="CA571" i="6"/>
  <c r="D573" i="6"/>
  <c r="K572" i="12"/>
  <c r="BH571" i="6"/>
  <c r="BC571" i="6"/>
  <c r="AW571" i="6"/>
  <c r="AX571" i="6"/>
  <c r="AK571" i="6"/>
  <c r="AM571" i="6"/>
  <c r="AQ571" i="6"/>
  <c r="BA571" i="6"/>
  <c r="U566" i="12"/>
  <c r="V566" i="12"/>
  <c r="T566" i="12"/>
  <c r="BN572" i="6" l="1"/>
  <c r="BF572" i="6"/>
  <c r="BJ572" i="6"/>
  <c r="CA572" i="6"/>
  <c r="AN572" i="6"/>
  <c r="CE572" i="6"/>
  <c r="BR572" i="6"/>
  <c r="BQ572" i="6"/>
  <c r="BE572" i="6"/>
  <c r="BT572" i="6"/>
  <c r="BK572" i="6"/>
  <c r="AP572" i="6"/>
  <c r="AW572" i="6"/>
  <c r="AK572" i="6"/>
  <c r="BY572" i="6"/>
  <c r="BX572" i="6"/>
  <c r="BP572" i="6"/>
  <c r="CH572" i="6"/>
  <c r="BH572" i="6"/>
  <c r="CI572" i="6"/>
  <c r="BG572" i="6"/>
  <c r="CK572" i="6"/>
  <c r="BL572" i="6"/>
  <c r="Y569" i="12"/>
  <c r="X569" i="12" s="1"/>
  <c r="AA570" i="5"/>
  <c r="AB570" i="5"/>
  <c r="H573" i="6"/>
  <c r="T573" i="5" s="1"/>
  <c r="G573" i="6"/>
  <c r="M573" i="6"/>
  <c r="BP573" i="6" s="1"/>
  <c r="BW573" i="6"/>
  <c r="BK573" i="6"/>
  <c r="N573" i="6"/>
  <c r="BC573" i="6"/>
  <c r="AM573" i="6"/>
  <c r="AM571" i="5"/>
  <c r="L571" i="5"/>
  <c r="I571" i="12"/>
  <c r="I571" i="5"/>
  <c r="Z571" i="5"/>
  <c r="AC571" i="5"/>
  <c r="AJ571" i="6"/>
  <c r="F574" i="6"/>
  <c r="E574" i="12"/>
  <c r="C570" i="12"/>
  <c r="M570" i="12"/>
  <c r="O570" i="12"/>
  <c r="AO570" i="12"/>
  <c r="U567" i="12"/>
  <c r="T567" i="12"/>
  <c r="V567" i="12"/>
  <c r="G572" i="12"/>
  <c r="X572" i="5"/>
  <c r="C570" i="6"/>
  <c r="O570" i="5"/>
  <c r="L574" i="12"/>
  <c r="J574" i="12"/>
  <c r="D574" i="6"/>
  <c r="W569" i="12"/>
  <c r="K573" i="12"/>
  <c r="X568" i="12"/>
  <c r="W568" i="12"/>
  <c r="N575" i="5"/>
  <c r="B575" i="6"/>
  <c r="A575" i="12"/>
  <c r="G575" i="5"/>
  <c r="F575" i="5"/>
  <c r="C576" i="5"/>
  <c r="R575" i="5"/>
  <c r="W575" i="5"/>
  <c r="H575" i="12" s="1"/>
  <c r="E575" i="5"/>
  <c r="H575" i="5"/>
  <c r="AD575" i="5"/>
  <c r="AE575" i="5"/>
  <c r="B575" i="5"/>
  <c r="K575" i="5"/>
  <c r="J575" i="5"/>
  <c r="D575" i="5"/>
  <c r="B575" i="12" s="1"/>
  <c r="N569" i="12"/>
  <c r="AQ572" i="6"/>
  <c r="AR572" i="6"/>
  <c r="AM572" i="6"/>
  <c r="BA572" i="6"/>
  <c r="AU572" i="6"/>
  <c r="CB572" i="6"/>
  <c r="AL572" i="6"/>
  <c r="CD572" i="6"/>
  <c r="AS572" i="6"/>
  <c r="AX572" i="6"/>
  <c r="E569" i="6"/>
  <c r="D569" i="12"/>
  <c r="CF573" i="6" l="1"/>
  <c r="BM573" i="6"/>
  <c r="CL573" i="6"/>
  <c r="AL573" i="6"/>
  <c r="CJ573" i="6"/>
  <c r="BX573" i="6"/>
  <c r="AT573" i="6"/>
  <c r="BE573" i="6"/>
  <c r="BV573" i="6"/>
  <c r="BI573" i="6"/>
  <c r="CA573" i="6"/>
  <c r="N570" i="12"/>
  <c r="BY573" i="6"/>
  <c r="BH573" i="6"/>
  <c r="CD573" i="6"/>
  <c r="G573" i="12"/>
  <c r="X573" i="5"/>
  <c r="AJ573" i="6" s="1"/>
  <c r="AO573" i="6"/>
  <c r="G576" i="5"/>
  <c r="H576" i="5"/>
  <c r="E576" i="5"/>
  <c r="B576" i="5"/>
  <c r="C577" i="5"/>
  <c r="AD576" i="5"/>
  <c r="K576" i="5"/>
  <c r="W576" i="5"/>
  <c r="H576" i="12" s="1"/>
  <c r="AE576" i="5"/>
  <c r="A576" i="12"/>
  <c r="D576" i="5"/>
  <c r="B576" i="12" s="1"/>
  <c r="N576" i="5"/>
  <c r="F576" i="5"/>
  <c r="B576" i="6"/>
  <c r="R576" i="5"/>
  <c r="J576" i="5"/>
  <c r="C571" i="12"/>
  <c r="AO571" i="12"/>
  <c r="O571" i="12"/>
  <c r="M571" i="12"/>
  <c r="BQ573" i="6"/>
  <c r="BR573" i="6"/>
  <c r="AQ573" i="6"/>
  <c r="AX573" i="6"/>
  <c r="CE573" i="6"/>
  <c r="CC573" i="6"/>
  <c r="BA573" i="6"/>
  <c r="AV573" i="6"/>
  <c r="CB573" i="6"/>
  <c r="CG573" i="6"/>
  <c r="E575" i="12"/>
  <c r="F575" i="6"/>
  <c r="T569" i="12"/>
  <c r="U569" i="12"/>
  <c r="V569" i="12"/>
  <c r="D570" i="12"/>
  <c r="E570" i="6"/>
  <c r="H574" i="6"/>
  <c r="T574" i="5" s="1"/>
  <c r="G574" i="6"/>
  <c r="M574" i="6"/>
  <c r="BJ574" i="6" s="1"/>
  <c r="CA574" i="6"/>
  <c r="N574" i="6"/>
  <c r="BO574" i="6"/>
  <c r="L572" i="5"/>
  <c r="AM572" i="5"/>
  <c r="I572" i="12"/>
  <c r="I572" i="5"/>
  <c r="Z572" i="5"/>
  <c r="AC572" i="5"/>
  <c r="AJ572" i="6"/>
  <c r="C571" i="6"/>
  <c r="O571" i="5"/>
  <c r="AY573" i="6"/>
  <c r="AK573" i="6"/>
  <c r="BN573" i="6"/>
  <c r="BD573" i="6"/>
  <c r="CK573" i="6"/>
  <c r="BJ573" i="6"/>
  <c r="BF573" i="6"/>
  <c r="CH573" i="6"/>
  <c r="J575" i="12"/>
  <c r="L575" i="12"/>
  <c r="U568" i="12"/>
  <c r="T568" i="12"/>
  <c r="V568" i="12"/>
  <c r="AP573" i="6"/>
  <c r="AR573" i="6"/>
  <c r="D575" i="6"/>
  <c r="K574" i="12"/>
  <c r="Y570" i="12"/>
  <c r="AB571" i="5"/>
  <c r="AA571" i="5"/>
  <c r="AW573" i="6"/>
  <c r="AZ573" i="6"/>
  <c r="AS573" i="6"/>
  <c r="BO573" i="6"/>
  <c r="CM573" i="6"/>
  <c r="BL573" i="6"/>
  <c r="AN573" i="6"/>
  <c r="BZ573" i="6"/>
  <c r="CI573" i="6"/>
  <c r="BT573" i="6"/>
  <c r="BS573" i="6"/>
  <c r="AU573" i="6"/>
  <c r="BG573" i="6"/>
  <c r="AW574" i="6" l="1"/>
  <c r="CJ574" i="6"/>
  <c r="CC574" i="6"/>
  <c r="BM574" i="6"/>
  <c r="AP574" i="6"/>
  <c r="BV574" i="6"/>
  <c r="AU574" i="6"/>
  <c r="CL574" i="6"/>
  <c r="BN574" i="6"/>
  <c r="CF574" i="6"/>
  <c r="CG574" i="6"/>
  <c r="CM574" i="6"/>
  <c r="AM574" i="6"/>
  <c r="N571" i="12"/>
  <c r="BR574" i="6"/>
  <c r="BX574" i="6"/>
  <c r="BY574" i="6"/>
  <c r="BA574" i="6"/>
  <c r="CK574" i="6"/>
  <c r="CE574" i="6"/>
  <c r="BE574" i="6"/>
  <c r="AT574" i="6"/>
  <c r="BG574" i="6"/>
  <c r="BW574" i="6"/>
  <c r="AL574" i="6"/>
  <c r="AN574" i="6"/>
  <c r="BI574" i="6"/>
  <c r="CD574" i="6"/>
  <c r="AZ574" i="6"/>
  <c r="BD574" i="6"/>
  <c r="BP574" i="6"/>
  <c r="Y571" i="12"/>
  <c r="C572" i="12"/>
  <c r="M572" i="12"/>
  <c r="O572" i="12"/>
  <c r="AO572" i="12"/>
  <c r="H575" i="6"/>
  <c r="T575" i="5" s="1"/>
  <c r="N575" i="6"/>
  <c r="M575" i="6"/>
  <c r="BZ575" i="6" s="1"/>
  <c r="BV575" i="6"/>
  <c r="G575" i="6"/>
  <c r="BM575" i="6"/>
  <c r="AV575" i="6"/>
  <c r="K575" i="12"/>
  <c r="D571" i="12"/>
  <c r="E571" i="6"/>
  <c r="AB572" i="5"/>
  <c r="AA572" i="5"/>
  <c r="C572" i="6"/>
  <c r="O572" i="5"/>
  <c r="BL574" i="6"/>
  <c r="AR574" i="6"/>
  <c r="CB574" i="6"/>
  <c r="BZ574" i="6"/>
  <c r="BH574" i="6"/>
  <c r="AS574" i="6"/>
  <c r="AY574" i="6"/>
  <c r="CH574" i="6"/>
  <c r="CI574" i="6"/>
  <c r="BK574" i="6"/>
  <c r="BS574" i="6"/>
  <c r="BF574" i="6"/>
  <c r="F576" i="6"/>
  <c r="E576" i="12"/>
  <c r="D576" i="6"/>
  <c r="L573" i="5"/>
  <c r="I573" i="12"/>
  <c r="AM573" i="5"/>
  <c r="I573" i="5"/>
  <c r="Z573" i="5"/>
  <c r="AC573" i="5"/>
  <c r="X570" i="12"/>
  <c r="W570" i="12"/>
  <c r="G574" i="12"/>
  <c r="X574" i="5"/>
  <c r="L576" i="12"/>
  <c r="J576" i="12"/>
  <c r="AO574" i="6"/>
  <c r="AJ574" i="6"/>
  <c r="AX574" i="6"/>
  <c r="AK574" i="6"/>
  <c r="AQ574" i="6"/>
  <c r="BC574" i="6"/>
  <c r="BQ574" i="6"/>
  <c r="AV574" i="6"/>
  <c r="BT574" i="6"/>
  <c r="G577" i="5"/>
  <c r="C578" i="5"/>
  <c r="H577" i="5"/>
  <c r="F577" i="5"/>
  <c r="W577" i="5"/>
  <c r="H577" i="12" s="1"/>
  <c r="B577" i="5"/>
  <c r="AD577" i="5"/>
  <c r="N577" i="5"/>
  <c r="AE577" i="5"/>
  <c r="B577" i="6"/>
  <c r="E577" i="5"/>
  <c r="D577" i="5"/>
  <c r="B577" i="12" s="1"/>
  <c r="J577" i="5"/>
  <c r="R577" i="5"/>
  <c r="K577" i="5"/>
  <c r="A577" i="12"/>
  <c r="AW575" i="6" l="1"/>
  <c r="BP575" i="6"/>
  <c r="BW575" i="6"/>
  <c r="BS575" i="6"/>
  <c r="BJ575" i="6"/>
  <c r="CL575" i="6"/>
  <c r="AN575" i="6"/>
  <c r="BE575" i="6"/>
  <c r="AZ575" i="6"/>
  <c r="BF575" i="6"/>
  <c r="BC575" i="6"/>
  <c r="CE575" i="6"/>
  <c r="CF575" i="6"/>
  <c r="BI575" i="6"/>
  <c r="K576" i="12"/>
  <c r="AY575" i="6"/>
  <c r="AQ575" i="6"/>
  <c r="BT575" i="6"/>
  <c r="CC575" i="6"/>
  <c r="BY575" i="6"/>
  <c r="J577" i="12"/>
  <c r="L577" i="12"/>
  <c r="K577" i="12" s="1"/>
  <c r="U570" i="12"/>
  <c r="T570" i="12"/>
  <c r="V570" i="12"/>
  <c r="E572" i="6"/>
  <c r="D572" i="12"/>
  <c r="AM575" i="6"/>
  <c r="BN575" i="6"/>
  <c r="BA575" i="6"/>
  <c r="AO575" i="6"/>
  <c r="BG575" i="6"/>
  <c r="AU575" i="6"/>
  <c r="CG575" i="6"/>
  <c r="CA575" i="6"/>
  <c r="AR575" i="6"/>
  <c r="BL575" i="6"/>
  <c r="CJ575" i="6"/>
  <c r="G575" i="12"/>
  <c r="X575" i="5"/>
  <c r="C573" i="6"/>
  <c r="O573" i="5"/>
  <c r="E577" i="12"/>
  <c r="F577" i="6"/>
  <c r="M576" i="6"/>
  <c r="BO576" i="6" s="1"/>
  <c r="N576" i="6"/>
  <c r="H576" i="6"/>
  <c r="T576" i="5" s="1"/>
  <c r="CG576" i="6"/>
  <c r="BH576" i="6"/>
  <c r="G576" i="6"/>
  <c r="CE576" i="6"/>
  <c r="BQ576" i="6"/>
  <c r="AK575" i="6"/>
  <c r="AL575" i="6"/>
  <c r="CH575" i="6"/>
  <c r="BO575" i="6"/>
  <c r="AT575" i="6"/>
  <c r="BK575" i="6"/>
  <c r="BX575" i="6"/>
  <c r="BR575" i="6"/>
  <c r="CI575" i="6"/>
  <c r="BH575" i="6"/>
  <c r="Y572" i="12"/>
  <c r="W571" i="12"/>
  <c r="X571" i="12"/>
  <c r="AA573" i="5"/>
  <c r="AB573" i="5"/>
  <c r="D577" i="6"/>
  <c r="G578" i="5"/>
  <c r="K578" i="5"/>
  <c r="D578" i="5"/>
  <c r="B578" i="12" s="1"/>
  <c r="B578" i="6"/>
  <c r="C579" i="5"/>
  <c r="AD578" i="5"/>
  <c r="F578" i="5"/>
  <c r="R578" i="5"/>
  <c r="E578" i="5"/>
  <c r="AE578" i="5"/>
  <c r="N578" i="5"/>
  <c r="W578" i="5"/>
  <c r="H578" i="12" s="1"/>
  <c r="J578" i="5"/>
  <c r="H578" i="5"/>
  <c r="A578" i="12"/>
  <c r="B578" i="5"/>
  <c r="I574" i="12"/>
  <c r="L574" i="5"/>
  <c r="AM574" i="5"/>
  <c r="I574" i="5"/>
  <c r="Z574" i="5"/>
  <c r="AC574" i="5"/>
  <c r="C573" i="12"/>
  <c r="O573" i="12"/>
  <c r="AO573" i="12"/>
  <c r="M573" i="12"/>
  <c r="CK575" i="6"/>
  <c r="AP575" i="6"/>
  <c r="BD575" i="6"/>
  <c r="AS575" i="6"/>
  <c r="CD575" i="6"/>
  <c r="BQ575" i="6"/>
  <c r="AX575" i="6"/>
  <c r="CB575" i="6"/>
  <c r="CM575" i="6"/>
  <c r="N572" i="12"/>
  <c r="AM576" i="6" l="1"/>
  <c r="N573" i="12"/>
  <c r="CJ576" i="6"/>
  <c r="BG576" i="6"/>
  <c r="BD576" i="6"/>
  <c r="AT576" i="6"/>
  <c r="AV576" i="6"/>
  <c r="BS576" i="6"/>
  <c r="AP576" i="6"/>
  <c r="CM576" i="6"/>
  <c r="AN576" i="6"/>
  <c r="AY576" i="6"/>
  <c r="BP576" i="6"/>
  <c r="BY576" i="6"/>
  <c r="AS576" i="6"/>
  <c r="AW576" i="6"/>
  <c r="CD576" i="6"/>
  <c r="CL576" i="6"/>
  <c r="CI576" i="6"/>
  <c r="BJ576" i="6"/>
  <c r="BC576" i="6"/>
  <c r="AM575" i="5"/>
  <c r="I575" i="12"/>
  <c r="L575" i="5"/>
  <c r="Z575" i="5"/>
  <c r="I575" i="5"/>
  <c r="AC575" i="5"/>
  <c r="AJ575" i="6"/>
  <c r="X572" i="12"/>
  <c r="W572" i="12"/>
  <c r="B579" i="6"/>
  <c r="B579" i="5"/>
  <c r="D579" i="5"/>
  <c r="B579" i="12" s="1"/>
  <c r="J579" i="5"/>
  <c r="G579" i="5"/>
  <c r="C580" i="5"/>
  <c r="A579" i="12"/>
  <c r="AE579" i="5"/>
  <c r="N579" i="5"/>
  <c r="H579" i="5"/>
  <c r="AD579" i="5"/>
  <c r="F579" i="5"/>
  <c r="E579" i="5"/>
  <c r="R579" i="5"/>
  <c r="W579" i="5"/>
  <c r="H579" i="12" s="1"/>
  <c r="K579" i="5"/>
  <c r="M577" i="6"/>
  <c r="CE577" i="6" s="1"/>
  <c r="H577" i="6"/>
  <c r="T577" i="5" s="1"/>
  <c r="BP577" i="6"/>
  <c r="BQ577" i="6"/>
  <c r="CG577" i="6"/>
  <c r="G577" i="6"/>
  <c r="CD577" i="6"/>
  <c r="BF577" i="6"/>
  <c r="CF577" i="6"/>
  <c r="AW577" i="6"/>
  <c r="BI577" i="6"/>
  <c r="CC577" i="6"/>
  <c r="N577" i="6"/>
  <c r="CJ577" i="6"/>
  <c r="CH577" i="6"/>
  <c r="AV577" i="6"/>
  <c r="BJ577" i="6"/>
  <c r="AR576" i="6"/>
  <c r="CF576" i="6"/>
  <c r="BA576" i="6"/>
  <c r="AU576" i="6"/>
  <c r="AX576" i="6"/>
  <c r="AQ576" i="6"/>
  <c r="BL576" i="6"/>
  <c r="AZ576" i="6"/>
  <c r="AO576" i="6"/>
  <c r="BM576" i="6"/>
  <c r="BZ576" i="6"/>
  <c r="AL576" i="6"/>
  <c r="BF576" i="6"/>
  <c r="CK576" i="6"/>
  <c r="BW576" i="6"/>
  <c r="C574" i="6"/>
  <c r="O574" i="5"/>
  <c r="J578" i="12"/>
  <c r="L578" i="12"/>
  <c r="Y573" i="12"/>
  <c r="AB574" i="5"/>
  <c r="AA574" i="5"/>
  <c r="C574" i="12"/>
  <c r="AO574" i="12"/>
  <c r="M574" i="12"/>
  <c r="O574" i="12"/>
  <c r="N574" i="12" s="1"/>
  <c r="D578" i="6"/>
  <c r="F578" i="6"/>
  <c r="E578" i="12"/>
  <c r="V571" i="12"/>
  <c r="T571" i="12"/>
  <c r="U571" i="12"/>
  <c r="CA576" i="6"/>
  <c r="BX576" i="6"/>
  <c r="BI576" i="6"/>
  <c r="BR576" i="6"/>
  <c r="BV576" i="6"/>
  <c r="BT576" i="6"/>
  <c r="BN576" i="6"/>
  <c r="G576" i="12"/>
  <c r="X576" i="5"/>
  <c r="CC576" i="6"/>
  <c r="CH576" i="6"/>
  <c r="BK576" i="6"/>
  <c r="BE576" i="6"/>
  <c r="AK576" i="6"/>
  <c r="CB576" i="6"/>
  <c r="E573" i="6"/>
  <c r="D573" i="12"/>
  <c r="AR577" i="6" l="1"/>
  <c r="AU577" i="6"/>
  <c r="AM577" i="6"/>
  <c r="BV577" i="6"/>
  <c r="AX577" i="6"/>
  <c r="CA577" i="6"/>
  <c r="BK577" i="6"/>
  <c r="BO577" i="6"/>
  <c r="BL577" i="6"/>
  <c r="BZ577" i="6"/>
  <c r="AQ577" i="6"/>
  <c r="BG577" i="6"/>
  <c r="AK577" i="6"/>
  <c r="BE577" i="6"/>
  <c r="BW577" i="6"/>
  <c r="BS577" i="6"/>
  <c r="CB577" i="6"/>
  <c r="AY577" i="6"/>
  <c r="BH577" i="6"/>
  <c r="BT577" i="6"/>
  <c r="AL577" i="6"/>
  <c r="BR577" i="6"/>
  <c r="AO577" i="6"/>
  <c r="BY577" i="6"/>
  <c r="BC577" i="6"/>
  <c r="BX577" i="6"/>
  <c r="BD577" i="6"/>
  <c r="CL577" i="6"/>
  <c r="AT577" i="6"/>
  <c r="AN577" i="6"/>
  <c r="AS577" i="6"/>
  <c r="BA577" i="6"/>
  <c r="AZ577" i="6"/>
  <c r="L576" i="5"/>
  <c r="I576" i="12"/>
  <c r="AM576" i="5"/>
  <c r="I576" i="5"/>
  <c r="Z576" i="5"/>
  <c r="AC576" i="5"/>
  <c r="AJ576" i="6"/>
  <c r="C575" i="12"/>
  <c r="O575" i="12"/>
  <c r="M575" i="12"/>
  <c r="AO575" i="12"/>
  <c r="Y575" i="12" s="1"/>
  <c r="K578" i="12"/>
  <c r="AP577" i="6"/>
  <c r="CM577" i="6"/>
  <c r="BM577" i="6"/>
  <c r="CK577" i="6"/>
  <c r="BN577" i="6"/>
  <c r="CI577" i="6"/>
  <c r="G577" i="12"/>
  <c r="X577" i="5"/>
  <c r="AJ577" i="6" s="1"/>
  <c r="V572" i="12"/>
  <c r="T572" i="12"/>
  <c r="U572" i="12"/>
  <c r="E574" i="6"/>
  <c r="D574" i="12"/>
  <c r="M578" i="6"/>
  <c r="CB578" i="6" s="1"/>
  <c r="H578" i="6"/>
  <c r="T578" i="5" s="1"/>
  <c r="BF578" i="6"/>
  <c r="CC578" i="6"/>
  <c r="CI578" i="6"/>
  <c r="BO578" i="6"/>
  <c r="BQ578" i="6"/>
  <c r="CF578" i="6"/>
  <c r="BL578" i="6"/>
  <c r="AW578" i="6"/>
  <c r="G578" i="6"/>
  <c r="CL578" i="6"/>
  <c r="BS578" i="6"/>
  <c r="BV578" i="6"/>
  <c r="N578" i="6"/>
  <c r="BI578" i="6"/>
  <c r="BM578" i="6"/>
  <c r="BH578" i="6"/>
  <c r="BN578" i="6"/>
  <c r="CG578" i="6"/>
  <c r="CM578" i="6"/>
  <c r="Y574" i="12"/>
  <c r="X573" i="12"/>
  <c r="W573" i="12"/>
  <c r="D579" i="6"/>
  <c r="L579" i="12"/>
  <c r="J579" i="12"/>
  <c r="AB575" i="5"/>
  <c r="AA575" i="5"/>
  <c r="E579" i="12"/>
  <c r="F579" i="6"/>
  <c r="E580" i="5"/>
  <c r="I580" i="5"/>
  <c r="AD580" i="5"/>
  <c r="AE580" i="5"/>
  <c r="G580" i="5"/>
  <c r="C581" i="5"/>
  <c r="B580" i="6"/>
  <c r="W580" i="5"/>
  <c r="H580" i="12" s="1"/>
  <c r="H580" i="5"/>
  <c r="F580" i="5"/>
  <c r="N580" i="5"/>
  <c r="A580" i="12"/>
  <c r="B580" i="5"/>
  <c r="C575" i="6"/>
  <c r="O575" i="5"/>
  <c r="AR578" i="6" l="1"/>
  <c r="BT578" i="6"/>
  <c r="BD578" i="6"/>
  <c r="CK578" i="6"/>
  <c r="BC578" i="6"/>
  <c r="BZ578" i="6"/>
  <c r="CH578" i="6"/>
  <c r="BG578" i="6"/>
  <c r="CJ578" i="6"/>
  <c r="BE578" i="6"/>
  <c r="BW578" i="6"/>
  <c r="BP578" i="6"/>
  <c r="AS578" i="6"/>
  <c r="CD578" i="6"/>
  <c r="BJ578" i="6"/>
  <c r="BK578" i="6"/>
  <c r="CA578" i="6"/>
  <c r="BX578" i="6"/>
  <c r="K579" i="12"/>
  <c r="AM578" i="6"/>
  <c r="BR578" i="6"/>
  <c r="AZ578" i="6"/>
  <c r="BY578" i="6"/>
  <c r="G579" i="6"/>
  <c r="N579" i="6"/>
  <c r="M579" i="6"/>
  <c r="BP579" i="6" s="1"/>
  <c r="H579" i="6"/>
  <c r="T579" i="5" s="1"/>
  <c r="V573" i="12"/>
  <c r="T573" i="12"/>
  <c r="U573" i="12"/>
  <c r="AP578" i="6"/>
  <c r="AO578" i="6"/>
  <c r="W575" i="12"/>
  <c r="X575" i="12"/>
  <c r="AE581" i="5"/>
  <c r="H581" i="5"/>
  <c r="AD581" i="5"/>
  <c r="G581" i="5"/>
  <c r="A581" i="12"/>
  <c r="N581" i="5"/>
  <c r="F581" i="5"/>
  <c r="R581" i="5"/>
  <c r="B581" i="5"/>
  <c r="K581" i="5"/>
  <c r="E581" i="5"/>
  <c r="W581" i="5"/>
  <c r="H581" i="12" s="1"/>
  <c r="C582" i="5"/>
  <c r="B581" i="6"/>
  <c r="D581" i="5"/>
  <c r="B581" i="12" s="1"/>
  <c r="J581" i="5"/>
  <c r="AT578" i="6"/>
  <c r="AK578" i="6"/>
  <c r="BA578" i="6"/>
  <c r="AU578" i="6"/>
  <c r="AY578" i="6"/>
  <c r="AV578" i="6"/>
  <c r="AL578" i="6"/>
  <c r="C576" i="12"/>
  <c r="M576" i="12"/>
  <c r="O576" i="12"/>
  <c r="AO576" i="12"/>
  <c r="G578" i="12"/>
  <c r="X578" i="5"/>
  <c r="D575" i="12"/>
  <c r="E575" i="6"/>
  <c r="D580" i="6"/>
  <c r="X574" i="12"/>
  <c r="W574" i="12"/>
  <c r="AQ578" i="6"/>
  <c r="AJ578" i="6"/>
  <c r="AN578" i="6"/>
  <c r="AX578" i="6"/>
  <c r="CE578" i="6"/>
  <c r="L577" i="5"/>
  <c r="I577" i="12"/>
  <c r="AM577" i="5"/>
  <c r="I577" i="5"/>
  <c r="Z577" i="5"/>
  <c r="AC577" i="5"/>
  <c r="N575" i="12"/>
  <c r="AB576" i="5"/>
  <c r="AA576" i="5"/>
  <c r="C576" i="6"/>
  <c r="O576" i="5"/>
  <c r="BW579" i="6" l="1"/>
  <c r="CI579" i="6"/>
  <c r="BF579" i="6"/>
  <c r="CE579" i="6"/>
  <c r="BN579" i="6"/>
  <c r="BI579" i="6"/>
  <c r="BS579" i="6"/>
  <c r="CJ579" i="6"/>
  <c r="N576" i="12"/>
  <c r="CL579" i="6"/>
  <c r="BL579" i="6"/>
  <c r="CM579" i="6"/>
  <c r="CD579" i="6"/>
  <c r="CG579" i="6"/>
  <c r="BQ579" i="6"/>
  <c r="Y576" i="12"/>
  <c r="W576" i="12" s="1"/>
  <c r="CC579" i="6"/>
  <c r="BZ579" i="6"/>
  <c r="BG579" i="6"/>
  <c r="BT579" i="6"/>
  <c r="AZ579" i="6"/>
  <c r="AW579" i="6"/>
  <c r="X576" i="12"/>
  <c r="J582" i="5"/>
  <c r="AE582" i="5"/>
  <c r="K582" i="5"/>
  <c r="N582" i="5"/>
  <c r="A582" i="12"/>
  <c r="E582" i="5"/>
  <c r="W582" i="5"/>
  <c r="H582" i="12" s="1"/>
  <c r="F582" i="5"/>
  <c r="H582" i="5"/>
  <c r="C583" i="5"/>
  <c r="B582" i="6"/>
  <c r="AD582" i="5"/>
  <c r="G582" i="5"/>
  <c r="B582" i="5"/>
  <c r="R582" i="5"/>
  <c r="D582" i="5"/>
  <c r="B582" i="12" s="1"/>
  <c r="F581" i="6"/>
  <c r="E581" i="12"/>
  <c r="AT579" i="6"/>
  <c r="AR579" i="6"/>
  <c r="AN579" i="6"/>
  <c r="BM579" i="6"/>
  <c r="AU579" i="6"/>
  <c r="BK579" i="6"/>
  <c r="AQ579" i="6"/>
  <c r="BV579" i="6"/>
  <c r="CF579" i="6"/>
  <c r="BY579" i="6"/>
  <c r="AP579" i="6"/>
  <c r="L581" i="12"/>
  <c r="K581" i="12" s="1"/>
  <c r="J581" i="12"/>
  <c r="G579" i="12"/>
  <c r="X579" i="5"/>
  <c r="AS579" i="6"/>
  <c r="AV579" i="6"/>
  <c r="AK579" i="6"/>
  <c r="AL579" i="6"/>
  <c r="D576" i="12"/>
  <c r="E576" i="6"/>
  <c r="U574" i="12"/>
  <c r="T574" i="12"/>
  <c r="V574" i="12"/>
  <c r="C577" i="12"/>
  <c r="AO577" i="12"/>
  <c r="O577" i="12"/>
  <c r="M577" i="12"/>
  <c r="AO579" i="6"/>
  <c r="BC579" i="6"/>
  <c r="CH579" i="6"/>
  <c r="BR579" i="6"/>
  <c r="CB579" i="6"/>
  <c r="BX579" i="6"/>
  <c r="BH579" i="6"/>
  <c r="BZ580" i="6"/>
  <c r="BF580" i="6"/>
  <c r="CJ580" i="6"/>
  <c r="CG580" i="6"/>
  <c r="CF580" i="6"/>
  <c r="BR580" i="6"/>
  <c r="BY580" i="6"/>
  <c r="BW580" i="6"/>
  <c r="BG580" i="6"/>
  <c r="M580" i="6"/>
  <c r="CA580" i="6"/>
  <c r="CB580" i="6"/>
  <c r="BH580" i="6"/>
  <c r="CL580" i="6"/>
  <c r="G580" i="6"/>
  <c r="BL580" i="6"/>
  <c r="BS580" i="6"/>
  <c r="BO580" i="6"/>
  <c r="BI580" i="6"/>
  <c r="BE580" i="6"/>
  <c r="BK580" i="6"/>
  <c r="CD580" i="6"/>
  <c r="BJ580" i="6"/>
  <c r="N580" i="6"/>
  <c r="BD580" i="6"/>
  <c r="CI580" i="6"/>
  <c r="BC580" i="6"/>
  <c r="BP580" i="6"/>
  <c r="BQ580" i="6"/>
  <c r="CK580" i="6"/>
  <c r="BV580" i="6"/>
  <c r="BT580" i="6"/>
  <c r="CC580" i="6"/>
  <c r="CH580" i="6"/>
  <c r="BM580" i="6"/>
  <c r="CE580" i="6"/>
  <c r="BN580" i="6"/>
  <c r="H580" i="6"/>
  <c r="T580" i="5" s="1"/>
  <c r="G580" i="12" s="1"/>
  <c r="BX580" i="6"/>
  <c r="CM580" i="6"/>
  <c r="AA577" i="5"/>
  <c r="AB577" i="5"/>
  <c r="C577" i="6"/>
  <c r="O577" i="5"/>
  <c r="L578" i="5"/>
  <c r="AM578" i="5"/>
  <c r="I578" i="12"/>
  <c r="Z578" i="5"/>
  <c r="I578" i="5"/>
  <c r="AC578" i="5"/>
  <c r="D581" i="6"/>
  <c r="U575" i="12"/>
  <c r="T575" i="12"/>
  <c r="V575" i="12"/>
  <c r="BD579" i="6"/>
  <c r="AX579" i="6"/>
  <c r="BO579" i="6"/>
  <c r="BA579" i="6"/>
  <c r="BJ579" i="6"/>
  <c r="AY579" i="6"/>
  <c r="CA579" i="6"/>
  <c r="BE579" i="6"/>
  <c r="CK579" i="6"/>
  <c r="AM579" i="6"/>
  <c r="AT580" i="6" l="1"/>
  <c r="AJ580" i="6"/>
  <c r="AN580" i="6"/>
  <c r="AS580" i="6"/>
  <c r="AY580" i="6"/>
  <c r="N577" i="12"/>
  <c r="AE583" i="5"/>
  <c r="H583" i="5"/>
  <c r="F583" i="5"/>
  <c r="J583" i="5"/>
  <c r="N583" i="5"/>
  <c r="G583" i="5"/>
  <c r="B583" i="5"/>
  <c r="AD583" i="5"/>
  <c r="D583" i="5"/>
  <c r="B583" i="12" s="1"/>
  <c r="K583" i="5"/>
  <c r="B583" i="6"/>
  <c r="E583" i="5"/>
  <c r="R583" i="5"/>
  <c r="A583" i="12"/>
  <c r="C584" i="5"/>
  <c r="W583" i="5"/>
  <c r="H583" i="12" s="1"/>
  <c r="C578" i="6"/>
  <c r="O578" i="5"/>
  <c r="U576" i="12"/>
  <c r="T576" i="12"/>
  <c r="V576" i="12"/>
  <c r="L579" i="5"/>
  <c r="AM579" i="5"/>
  <c r="I579" i="12"/>
  <c r="Z579" i="5"/>
  <c r="I579" i="5"/>
  <c r="AC579" i="5"/>
  <c r="AW580" i="6"/>
  <c r="AU580" i="6"/>
  <c r="AJ579" i="6"/>
  <c r="H581" i="6"/>
  <c r="T581" i="5" s="1"/>
  <c r="M581" i="6"/>
  <c r="BM581" i="6" s="1"/>
  <c r="AT581" i="6"/>
  <c r="CB581" i="6"/>
  <c r="BD581" i="6"/>
  <c r="BT581" i="6"/>
  <c r="BK581" i="6"/>
  <c r="CA581" i="6"/>
  <c r="CL581" i="6"/>
  <c r="BQ581" i="6"/>
  <c r="AV581" i="6"/>
  <c r="AU581" i="6"/>
  <c r="BS581" i="6"/>
  <c r="BR581" i="6"/>
  <c r="AW581" i="6"/>
  <c r="BZ581" i="6"/>
  <c r="N581" i="6"/>
  <c r="BE581" i="6"/>
  <c r="CJ581" i="6"/>
  <c r="BH581" i="6"/>
  <c r="AP581" i="6"/>
  <c r="BC581" i="6"/>
  <c r="AS581" i="6"/>
  <c r="CM581" i="6"/>
  <c r="BI581" i="6"/>
  <c r="AO581" i="6"/>
  <c r="AX581" i="6"/>
  <c r="CF581" i="6"/>
  <c r="AY581" i="6"/>
  <c r="BJ581" i="6"/>
  <c r="CG581" i="6"/>
  <c r="CC581" i="6"/>
  <c r="CI581" i="6"/>
  <c r="BO581" i="6"/>
  <c r="AN581" i="6"/>
  <c r="BL581" i="6"/>
  <c r="CD581" i="6"/>
  <c r="G581" i="6"/>
  <c r="BV581" i="6"/>
  <c r="AZ581" i="6"/>
  <c r="BP581" i="6"/>
  <c r="CK581" i="6"/>
  <c r="CH581" i="6"/>
  <c r="BG581" i="6"/>
  <c r="AA578" i="5"/>
  <c r="AB578" i="5"/>
  <c r="E577" i="6"/>
  <c r="D577" i="12"/>
  <c r="BA580" i="6"/>
  <c r="AX580" i="6"/>
  <c r="AL580" i="6"/>
  <c r="AM580" i="6"/>
  <c r="AK580" i="6"/>
  <c r="AP580" i="6"/>
  <c r="AR580" i="6"/>
  <c r="J582" i="12"/>
  <c r="L582" i="12"/>
  <c r="Y577" i="12"/>
  <c r="C578" i="12"/>
  <c r="AO578" i="12"/>
  <c r="M578" i="12"/>
  <c r="O578" i="12"/>
  <c r="AV580" i="6"/>
  <c r="AO580" i="6"/>
  <c r="AZ580" i="6"/>
  <c r="AQ580" i="6"/>
  <c r="E582" i="12"/>
  <c r="F582" i="6"/>
  <c r="D582" i="6"/>
  <c r="N578" i="12" l="1"/>
  <c r="AQ581" i="6"/>
  <c r="BW581" i="6"/>
  <c r="BN581" i="6"/>
  <c r="CE581" i="6"/>
  <c r="BF581" i="6"/>
  <c r="Y578" i="12"/>
  <c r="K582" i="12"/>
  <c r="AL581" i="6"/>
  <c r="BY581" i="6"/>
  <c r="W578" i="12"/>
  <c r="X578" i="12"/>
  <c r="W577" i="12"/>
  <c r="X577" i="12"/>
  <c r="BA581" i="6"/>
  <c r="AM581" i="6"/>
  <c r="BX581" i="6"/>
  <c r="AA579" i="5"/>
  <c r="AB579" i="5"/>
  <c r="D583" i="6"/>
  <c r="M582" i="6"/>
  <c r="BC582" i="6" s="1"/>
  <c r="H582" i="6"/>
  <c r="T582" i="5" s="1"/>
  <c r="CC582" i="6"/>
  <c r="CH582" i="6"/>
  <c r="CL582" i="6"/>
  <c r="BN582" i="6"/>
  <c r="G582" i="6"/>
  <c r="BV582" i="6"/>
  <c r="BQ582" i="6"/>
  <c r="BP582" i="6"/>
  <c r="AP582" i="6"/>
  <c r="AT582" i="6"/>
  <c r="AZ582" i="6"/>
  <c r="CD582" i="6"/>
  <c r="AY582" i="6"/>
  <c r="BT582" i="6"/>
  <c r="BG582" i="6"/>
  <c r="BI582" i="6"/>
  <c r="BA582" i="6"/>
  <c r="CA582" i="6"/>
  <c r="BS582" i="6"/>
  <c r="BO582" i="6"/>
  <c r="BF582" i="6"/>
  <c r="BH582" i="6"/>
  <c r="BJ582" i="6"/>
  <c r="N582" i="6"/>
  <c r="BE582" i="6"/>
  <c r="BM582" i="6"/>
  <c r="BY582" i="6"/>
  <c r="BZ582" i="6"/>
  <c r="AU582" i="6"/>
  <c r="BX582" i="6"/>
  <c r="AK581" i="6"/>
  <c r="C579" i="12"/>
  <c r="O579" i="12"/>
  <c r="M579" i="12"/>
  <c r="AO579" i="12"/>
  <c r="G581" i="12"/>
  <c r="X581" i="5"/>
  <c r="B584" i="6"/>
  <c r="AE584" i="5"/>
  <c r="F584" i="5"/>
  <c r="J584" i="5"/>
  <c r="N584" i="5"/>
  <c r="B584" i="5"/>
  <c r="R584" i="5"/>
  <c r="W584" i="5"/>
  <c r="H584" i="12" s="1"/>
  <c r="K584" i="5"/>
  <c r="A584" i="12"/>
  <c r="E584" i="5"/>
  <c r="G584" i="5"/>
  <c r="D584" i="5"/>
  <c r="B584" i="12" s="1"/>
  <c r="AD584" i="5"/>
  <c r="H584" i="5"/>
  <c r="C585" i="5"/>
  <c r="J583" i="12"/>
  <c r="L583" i="12"/>
  <c r="AR581" i="6"/>
  <c r="C579" i="6"/>
  <c r="O579" i="5"/>
  <c r="E578" i="6"/>
  <c r="D578" i="12"/>
  <c r="E583" i="12"/>
  <c r="F583" i="6"/>
  <c r="CE582" i="6" l="1"/>
  <c r="BK582" i="6"/>
  <c r="BW582" i="6"/>
  <c r="BR582" i="6"/>
  <c r="N579" i="12"/>
  <c r="AX582" i="6"/>
  <c r="CJ582" i="6"/>
  <c r="CG582" i="6"/>
  <c r="K583" i="12"/>
  <c r="CK582" i="6"/>
  <c r="CB582" i="6"/>
  <c r="BL582" i="6"/>
  <c r="CI582" i="6"/>
  <c r="AM581" i="5"/>
  <c r="I581" i="12"/>
  <c r="L581" i="5"/>
  <c r="I581" i="5"/>
  <c r="Z581" i="5"/>
  <c r="AC581" i="5"/>
  <c r="AJ581" i="6"/>
  <c r="AK582" i="6"/>
  <c r="G582" i="12"/>
  <c r="X582" i="5"/>
  <c r="AR582" i="6"/>
  <c r="T577" i="12"/>
  <c r="U577" i="12"/>
  <c r="V577" i="12"/>
  <c r="D584" i="6"/>
  <c r="E579" i="6"/>
  <c r="D579" i="12"/>
  <c r="E585" i="5"/>
  <c r="C586" i="5"/>
  <c r="AD585" i="5"/>
  <c r="AE585" i="5"/>
  <c r="B585" i="5"/>
  <c r="F585" i="5"/>
  <c r="N585" i="5"/>
  <c r="A585" i="12"/>
  <c r="B585" i="6"/>
  <c r="J585" i="5"/>
  <c r="R585" i="5"/>
  <c r="K585" i="5"/>
  <c r="H585" i="5"/>
  <c r="G585" i="5"/>
  <c r="W585" i="5"/>
  <c r="H585" i="12" s="1"/>
  <c r="D585" i="5"/>
  <c r="B585" i="12" s="1"/>
  <c r="L584" i="12"/>
  <c r="J584" i="12"/>
  <c r="AN582" i="6"/>
  <c r="AJ582" i="6"/>
  <c r="AV582" i="6"/>
  <c r="AL582" i="6"/>
  <c r="H583" i="6"/>
  <c r="T583" i="5" s="1"/>
  <c r="M583" i="6"/>
  <c r="BQ583" i="6" s="1"/>
  <c r="BN583" i="6"/>
  <c r="BV583" i="6"/>
  <c r="G583" i="6"/>
  <c r="BL583" i="6"/>
  <c r="BE583" i="6"/>
  <c r="AW583" i="6"/>
  <c r="CI583" i="6"/>
  <c r="N583" i="6"/>
  <c r="BS583" i="6"/>
  <c r="Y579" i="12"/>
  <c r="F584" i="6"/>
  <c r="E584" i="12"/>
  <c r="AS582" i="6"/>
  <c r="AQ582" i="6"/>
  <c r="AM582" i="6"/>
  <c r="CM582" i="6"/>
  <c r="CF582" i="6"/>
  <c r="BD582" i="6"/>
  <c r="AW582" i="6"/>
  <c r="AO582" i="6"/>
  <c r="V578" i="12"/>
  <c r="T578" i="12"/>
  <c r="U578" i="12"/>
  <c r="BH583" i="6" l="1"/>
  <c r="CJ583" i="6"/>
  <c r="AO583" i="6"/>
  <c r="BM583" i="6"/>
  <c r="AT583" i="6"/>
  <c r="AN583" i="6"/>
  <c r="CB583" i="6"/>
  <c r="AQ583" i="6"/>
  <c r="CA583" i="6"/>
  <c r="BA583" i="6"/>
  <c r="BI583" i="6"/>
  <c r="BZ583" i="6"/>
  <c r="CE583" i="6"/>
  <c r="BD583" i="6"/>
  <c r="BJ583" i="6"/>
  <c r="BF583" i="6"/>
  <c r="CM583" i="6"/>
  <c r="CG583" i="6"/>
  <c r="CH583" i="6"/>
  <c r="AZ583" i="6"/>
  <c r="AY583" i="6"/>
  <c r="CD583" i="6"/>
  <c r="AM583" i="6"/>
  <c r="AK583" i="6"/>
  <c r="BY583" i="6"/>
  <c r="AX583" i="6"/>
  <c r="CF583" i="6"/>
  <c r="BO583" i="6"/>
  <c r="CL583" i="6"/>
  <c r="BW583" i="6"/>
  <c r="AP583" i="6"/>
  <c r="AU583" i="6"/>
  <c r="BR583" i="6"/>
  <c r="CK583" i="6"/>
  <c r="CC583" i="6"/>
  <c r="BC583" i="6"/>
  <c r="AL583" i="6"/>
  <c r="BG583" i="6"/>
  <c r="AV583" i="6"/>
  <c r="BK583" i="6"/>
  <c r="X579" i="12"/>
  <c r="W579" i="12"/>
  <c r="AS583" i="6"/>
  <c r="BX583" i="6"/>
  <c r="BT583" i="6"/>
  <c r="F586" i="5"/>
  <c r="A586" i="12"/>
  <c r="G586" i="5"/>
  <c r="E586" i="5"/>
  <c r="J586" i="5"/>
  <c r="H586" i="5"/>
  <c r="B586" i="6"/>
  <c r="N586" i="5"/>
  <c r="AD586" i="5"/>
  <c r="C587" i="5"/>
  <c r="D586" i="5"/>
  <c r="B586" i="12" s="1"/>
  <c r="AE586" i="5"/>
  <c r="B586" i="5"/>
  <c r="R586" i="5"/>
  <c r="W586" i="5"/>
  <c r="H586" i="12" s="1"/>
  <c r="K586" i="5"/>
  <c r="L585" i="12"/>
  <c r="J585" i="12"/>
  <c r="M584" i="6"/>
  <c r="BL584" i="6" s="1"/>
  <c r="N584" i="6"/>
  <c r="BY584" i="6"/>
  <c r="CL584" i="6"/>
  <c r="H584" i="6"/>
  <c r="T584" i="5" s="1"/>
  <c r="G584" i="6"/>
  <c r="BW584" i="6"/>
  <c r="BO584" i="6"/>
  <c r="C581" i="6"/>
  <c r="O581" i="5"/>
  <c r="G583" i="12"/>
  <c r="X583" i="5"/>
  <c r="E585" i="12"/>
  <c r="F585" i="6"/>
  <c r="D585" i="6"/>
  <c r="I582" i="12"/>
  <c r="L582" i="5"/>
  <c r="AM582" i="5"/>
  <c r="Z582" i="5"/>
  <c r="I582" i="5"/>
  <c r="AC582" i="5"/>
  <c r="C581" i="12"/>
  <c r="AO581" i="12"/>
  <c r="M581" i="12"/>
  <c r="O581" i="12"/>
  <c r="AR583" i="6"/>
  <c r="BP583" i="6"/>
  <c r="K584" i="12"/>
  <c r="AB581" i="5"/>
  <c r="AA581" i="5"/>
  <c r="BQ584" i="6" l="1"/>
  <c r="BF584" i="6"/>
  <c r="CG584" i="6"/>
  <c r="BG584" i="6"/>
  <c r="BK584" i="6"/>
  <c r="BS584" i="6"/>
  <c r="CJ584" i="6"/>
  <c r="BJ584" i="6"/>
  <c r="CF584" i="6"/>
  <c r="CA584" i="6"/>
  <c r="CH584" i="6"/>
  <c r="CB584" i="6"/>
  <c r="BP584" i="6"/>
  <c r="CK584" i="6"/>
  <c r="BD584" i="6"/>
  <c r="CM584" i="6"/>
  <c r="BT584" i="6"/>
  <c r="BN584" i="6"/>
  <c r="BH584" i="6"/>
  <c r="BC584" i="6"/>
  <c r="CD584" i="6"/>
  <c r="CC584" i="6"/>
  <c r="BX584" i="6"/>
  <c r="BV584" i="6"/>
  <c r="BE584" i="6"/>
  <c r="BM584" i="6"/>
  <c r="BR584" i="6"/>
  <c r="CI584" i="6"/>
  <c r="CE584" i="6"/>
  <c r="BI584" i="6"/>
  <c r="BZ584" i="6"/>
  <c r="AY584" i="6"/>
  <c r="AT584" i="6"/>
  <c r="G587" i="5"/>
  <c r="J587" i="5"/>
  <c r="F587" i="5"/>
  <c r="C588" i="5"/>
  <c r="A587" i="12"/>
  <c r="D587" i="5"/>
  <c r="B587" i="12" s="1"/>
  <c r="AE587" i="5"/>
  <c r="N587" i="5"/>
  <c r="R587" i="5"/>
  <c r="B587" i="6"/>
  <c r="B587" i="5"/>
  <c r="H587" i="5"/>
  <c r="W587" i="5"/>
  <c r="H587" i="12" s="1"/>
  <c r="E587" i="5"/>
  <c r="AD587" i="5"/>
  <c r="K587" i="5"/>
  <c r="C582" i="12"/>
  <c r="O582" i="12"/>
  <c r="M582" i="12"/>
  <c r="AO582" i="12"/>
  <c r="Y582" i="12" s="1"/>
  <c r="G584" i="12"/>
  <c r="X584" i="5"/>
  <c r="Y581" i="12"/>
  <c r="AA582" i="5"/>
  <c r="AB582" i="5"/>
  <c r="H585" i="6"/>
  <c r="T585" i="5" s="1"/>
  <c r="N585" i="6"/>
  <c r="G585" i="6"/>
  <c r="M585" i="6"/>
  <c r="BM585" i="6" s="1"/>
  <c r="BW585" i="6"/>
  <c r="L583" i="5"/>
  <c r="I583" i="12"/>
  <c r="AM583" i="5"/>
  <c r="Z583" i="5"/>
  <c r="I583" i="5"/>
  <c r="AC583" i="5"/>
  <c r="AJ583" i="6"/>
  <c r="AJ584" i="6"/>
  <c r="AS584" i="6"/>
  <c r="AO584" i="6"/>
  <c r="AM584" i="6"/>
  <c r="F586" i="6"/>
  <c r="E586" i="12"/>
  <c r="L586" i="12"/>
  <c r="J586" i="12"/>
  <c r="AQ584" i="6"/>
  <c r="AN584" i="6"/>
  <c r="AR584" i="6"/>
  <c r="AW584" i="6"/>
  <c r="K585" i="12"/>
  <c r="D586" i="6"/>
  <c r="V579" i="12"/>
  <c r="U579" i="12"/>
  <c r="T579" i="12"/>
  <c r="N581" i="12"/>
  <c r="C582" i="6"/>
  <c r="O582" i="5"/>
  <c r="E581" i="6"/>
  <c r="D581" i="12"/>
  <c r="BA584" i="6"/>
  <c r="AZ584" i="6"/>
  <c r="AV584" i="6"/>
  <c r="AL584" i="6"/>
  <c r="AP584" i="6"/>
  <c r="AU584" i="6"/>
  <c r="AK584" i="6"/>
  <c r="AX584" i="6"/>
  <c r="BE585" i="6" l="1"/>
  <c r="BL585" i="6"/>
  <c r="BN585" i="6"/>
  <c r="BC585" i="6"/>
  <c r="BG585" i="6"/>
  <c r="BD585" i="6"/>
  <c r="N582" i="12"/>
  <c r="AU585" i="6"/>
  <c r="BZ585" i="6"/>
  <c r="CJ585" i="6"/>
  <c r="BQ585" i="6"/>
  <c r="CB585" i="6"/>
  <c r="BF585" i="6"/>
  <c r="CG585" i="6"/>
  <c r="C583" i="6"/>
  <c r="O583" i="5"/>
  <c r="BI585" i="6"/>
  <c r="CF585" i="6"/>
  <c r="AM585" i="6"/>
  <c r="AN585" i="6"/>
  <c r="AX585" i="6"/>
  <c r="BH585" i="6"/>
  <c r="BT585" i="6"/>
  <c r="X582" i="12"/>
  <c r="W582" i="12"/>
  <c r="M586" i="6"/>
  <c r="BE586" i="6" s="1"/>
  <c r="N586" i="6"/>
  <c r="H586" i="6"/>
  <c r="T586" i="5" s="1"/>
  <c r="G586" i="6"/>
  <c r="BW586" i="6"/>
  <c r="K586" i="12"/>
  <c r="AB583" i="5"/>
  <c r="AA583" i="5"/>
  <c r="CI585" i="6"/>
  <c r="AV585" i="6"/>
  <c r="BX585" i="6"/>
  <c r="CL585" i="6"/>
  <c r="AP585" i="6"/>
  <c r="CC585" i="6"/>
  <c r="CK585" i="6"/>
  <c r="AL585" i="6"/>
  <c r="AK585" i="6"/>
  <c r="AQ585" i="6"/>
  <c r="AO585" i="6"/>
  <c r="CE585" i="6"/>
  <c r="CH585" i="6"/>
  <c r="BO585" i="6"/>
  <c r="W581" i="12"/>
  <c r="X581" i="12"/>
  <c r="E587" i="12"/>
  <c r="F587" i="6"/>
  <c r="L587" i="12"/>
  <c r="J587" i="12"/>
  <c r="E582" i="6"/>
  <c r="D582" i="12"/>
  <c r="BJ585" i="6"/>
  <c r="AT585" i="6"/>
  <c r="BV585" i="6"/>
  <c r="CM585" i="6"/>
  <c r="AY585" i="6"/>
  <c r="AS585" i="6"/>
  <c r="BK585" i="6"/>
  <c r="BS585" i="6"/>
  <c r="CA585" i="6"/>
  <c r="G585" i="12"/>
  <c r="X585" i="5"/>
  <c r="AM584" i="5"/>
  <c r="L584" i="5"/>
  <c r="I584" i="12"/>
  <c r="Z584" i="5"/>
  <c r="I584" i="5"/>
  <c r="AC584" i="5"/>
  <c r="D587" i="6"/>
  <c r="B588" i="6"/>
  <c r="C589" i="5"/>
  <c r="D588" i="5"/>
  <c r="B588" i="12" s="1"/>
  <c r="G588" i="5"/>
  <c r="N588" i="5"/>
  <c r="A588" i="12"/>
  <c r="R588" i="5"/>
  <c r="H588" i="5"/>
  <c r="J588" i="5"/>
  <c r="B588" i="5"/>
  <c r="F588" i="5"/>
  <c r="W588" i="5"/>
  <c r="H588" i="12" s="1"/>
  <c r="AE588" i="5"/>
  <c r="K588" i="5"/>
  <c r="E588" i="5"/>
  <c r="AD588" i="5"/>
  <c r="C583" i="12"/>
  <c r="AO583" i="12"/>
  <c r="M583" i="12"/>
  <c r="O583" i="12"/>
  <c r="N583" i="12" s="1"/>
  <c r="BA585" i="6"/>
  <c r="AR585" i="6"/>
  <c r="AW585" i="6"/>
  <c r="BR585" i="6"/>
  <c r="BP585" i="6"/>
  <c r="CD585" i="6"/>
  <c r="BY585" i="6"/>
  <c r="AZ585" i="6"/>
  <c r="BX586" i="6" l="1"/>
  <c r="CJ586" i="6"/>
  <c r="CK586" i="6"/>
  <c r="AW586" i="6"/>
  <c r="BN586" i="6"/>
  <c r="AU586" i="6"/>
  <c r="BJ586" i="6"/>
  <c r="BT586" i="6"/>
  <c r="Y583" i="12"/>
  <c r="AM586" i="6"/>
  <c r="CG586" i="6"/>
  <c r="AP586" i="6"/>
  <c r="AZ586" i="6"/>
  <c r="E588" i="12"/>
  <c r="F588" i="6"/>
  <c r="AA584" i="5"/>
  <c r="AB584" i="5"/>
  <c r="J588" i="12"/>
  <c r="L588" i="12"/>
  <c r="K588" i="12" s="1"/>
  <c r="C584" i="12"/>
  <c r="AO584" i="12"/>
  <c r="M584" i="12"/>
  <c r="O584" i="12"/>
  <c r="K587" i="12"/>
  <c r="V581" i="12"/>
  <c r="T581" i="12"/>
  <c r="U581" i="12"/>
  <c r="BZ586" i="6"/>
  <c r="BD586" i="6"/>
  <c r="AR586" i="6"/>
  <c r="BL586" i="6"/>
  <c r="BH586" i="6"/>
  <c r="G586" i="12"/>
  <c r="X586" i="5"/>
  <c r="CC586" i="6"/>
  <c r="BM586" i="6"/>
  <c r="BI586" i="6"/>
  <c r="BO586" i="6"/>
  <c r="CB586" i="6"/>
  <c r="AQ586" i="6"/>
  <c r="AL586" i="6"/>
  <c r="V582" i="12"/>
  <c r="U582" i="12"/>
  <c r="T582" i="12"/>
  <c r="D588" i="6"/>
  <c r="F589" i="5"/>
  <c r="K589" i="5"/>
  <c r="AE589" i="5"/>
  <c r="E589" i="5"/>
  <c r="J589" i="5"/>
  <c r="B589" i="6"/>
  <c r="R589" i="5"/>
  <c r="B589" i="5"/>
  <c r="G589" i="5"/>
  <c r="N589" i="5"/>
  <c r="A589" i="12"/>
  <c r="D589" i="5"/>
  <c r="B589" i="12" s="1"/>
  <c r="W589" i="5"/>
  <c r="H589" i="12" s="1"/>
  <c r="C590" i="5"/>
  <c r="H589" i="5"/>
  <c r="AD589" i="5"/>
  <c r="C584" i="6"/>
  <c r="O584" i="5"/>
  <c r="BY586" i="6"/>
  <c r="BF586" i="6"/>
  <c r="AX586" i="6"/>
  <c r="AV586" i="6"/>
  <c r="BA586" i="6"/>
  <c r="BC586" i="6"/>
  <c r="CI586" i="6"/>
  <c r="AN586" i="6"/>
  <c r="CD586" i="6"/>
  <c r="CF586" i="6"/>
  <c r="BK586" i="6"/>
  <c r="CE586" i="6"/>
  <c r="CL586" i="6"/>
  <c r="D583" i="12"/>
  <c r="E583" i="6"/>
  <c r="W583" i="12"/>
  <c r="X583" i="12"/>
  <c r="M587" i="6"/>
  <c r="CF587" i="6" s="1"/>
  <c r="N587" i="6"/>
  <c r="H587" i="6"/>
  <c r="T587" i="5" s="1"/>
  <c r="G587" i="6"/>
  <c r="BW587" i="6"/>
  <c r="BO587" i="6"/>
  <c r="I585" i="12"/>
  <c r="AM585" i="5"/>
  <c r="L585" i="5"/>
  <c r="Z585" i="5"/>
  <c r="I585" i="5"/>
  <c r="AC585" i="5"/>
  <c r="AJ585" i="6"/>
  <c r="AS586" i="6"/>
  <c r="CM586" i="6"/>
  <c r="BP586" i="6"/>
  <c r="BV586" i="6"/>
  <c r="BQ586" i="6"/>
  <c r="AY586" i="6"/>
  <c r="AK586" i="6"/>
  <c r="CH586" i="6"/>
  <c r="BS586" i="6"/>
  <c r="CA586" i="6"/>
  <c r="BG586" i="6"/>
  <c r="BR586" i="6"/>
  <c r="AT586" i="6"/>
  <c r="AO586" i="6"/>
  <c r="CJ587" i="6" l="1"/>
  <c r="CM587" i="6"/>
  <c r="BZ587" i="6"/>
  <c r="CA587" i="6"/>
  <c r="CI587" i="6"/>
  <c r="BJ587" i="6"/>
  <c r="AN587" i="6"/>
  <c r="BQ587" i="6"/>
  <c r="BG587" i="6"/>
  <c r="BV587" i="6"/>
  <c r="CH587" i="6"/>
  <c r="BT587" i="6"/>
  <c r="BK587" i="6"/>
  <c r="BS587" i="6"/>
  <c r="AW587" i="6"/>
  <c r="AS587" i="6"/>
  <c r="AU587" i="6"/>
  <c r="BN587" i="6"/>
  <c r="BR587" i="6"/>
  <c r="BE587" i="6"/>
  <c r="BX587" i="6"/>
  <c r="BM587" i="6"/>
  <c r="CE587" i="6"/>
  <c r="CG587" i="6"/>
  <c r="AZ587" i="6"/>
  <c r="AM587" i="6"/>
  <c r="AV587" i="6"/>
  <c r="AY587" i="6"/>
  <c r="CD587" i="6"/>
  <c r="BD587" i="6"/>
  <c r="BC587" i="6"/>
  <c r="BP587" i="6"/>
  <c r="BY587" i="6"/>
  <c r="BA587" i="6"/>
  <c r="AQ587" i="6"/>
  <c r="C585" i="12"/>
  <c r="AO585" i="12"/>
  <c r="M585" i="12"/>
  <c r="O585" i="12"/>
  <c r="N585" i="12" s="1"/>
  <c r="BL587" i="6"/>
  <c r="AL587" i="6"/>
  <c r="BH587" i="6"/>
  <c r="CK587" i="6"/>
  <c r="T583" i="12"/>
  <c r="V583" i="12"/>
  <c r="U583" i="12"/>
  <c r="E584" i="6"/>
  <c r="D584" i="12"/>
  <c r="N588" i="6"/>
  <c r="G588" i="6"/>
  <c r="M588" i="6"/>
  <c r="CK588" i="6" s="1"/>
  <c r="BT588" i="6"/>
  <c r="H588" i="6"/>
  <c r="T588" i="5" s="1"/>
  <c r="CB588" i="6"/>
  <c r="CC588" i="6"/>
  <c r="CD588" i="6"/>
  <c r="I586" i="12"/>
  <c r="L586" i="5"/>
  <c r="AM586" i="5"/>
  <c r="Z586" i="5"/>
  <c r="I586" i="5"/>
  <c r="AC586" i="5"/>
  <c r="AJ586" i="6"/>
  <c r="AA585" i="5"/>
  <c r="AB585" i="5"/>
  <c r="G590" i="5"/>
  <c r="J590" i="5"/>
  <c r="K590" i="5"/>
  <c r="N590" i="5"/>
  <c r="R590" i="5"/>
  <c r="B590" i="6"/>
  <c r="C591" i="5"/>
  <c r="B590" i="5"/>
  <c r="H590" i="5"/>
  <c r="W590" i="5"/>
  <c r="H590" i="12" s="1"/>
  <c r="D590" i="5"/>
  <c r="B590" i="12" s="1"/>
  <c r="E590" i="5"/>
  <c r="AE590" i="5"/>
  <c r="AD590" i="5"/>
  <c r="F590" i="5"/>
  <c r="A590" i="12"/>
  <c r="J589" i="12"/>
  <c r="L589" i="12"/>
  <c r="Y584" i="12"/>
  <c r="C585" i="6"/>
  <c r="O585" i="5"/>
  <c r="AK587" i="6"/>
  <c r="CB587" i="6"/>
  <c r="CC587" i="6"/>
  <c r="BF587" i="6"/>
  <c r="D589" i="6"/>
  <c r="G587" i="12"/>
  <c r="X587" i="5"/>
  <c r="AJ587" i="6" s="1"/>
  <c r="AX587" i="6"/>
  <c r="AO587" i="6"/>
  <c r="AR587" i="6"/>
  <c r="BI587" i="6"/>
  <c r="CL587" i="6"/>
  <c r="AP587" i="6"/>
  <c r="AT587" i="6"/>
  <c r="E589" i="12"/>
  <c r="F589" i="6"/>
  <c r="N584" i="12"/>
  <c r="CA588" i="6" l="1"/>
  <c r="BA588" i="6"/>
  <c r="AL588" i="6"/>
  <c r="AY588" i="6"/>
  <c r="AZ588" i="6"/>
  <c r="BM588" i="6"/>
  <c r="K589" i="12"/>
  <c r="BJ588" i="6"/>
  <c r="BH588" i="6"/>
  <c r="AK588" i="6"/>
  <c r="AP588" i="6"/>
  <c r="CH588" i="6"/>
  <c r="AO588" i="6"/>
  <c r="AS588" i="6"/>
  <c r="AX588" i="6"/>
  <c r="AU588" i="6"/>
  <c r="BF588" i="6"/>
  <c r="AR588" i="6"/>
  <c r="CE588" i="6"/>
  <c r="X584" i="12"/>
  <c r="W584" i="12"/>
  <c r="D590" i="6"/>
  <c r="C586" i="12"/>
  <c r="AO586" i="12"/>
  <c r="O586" i="12"/>
  <c r="M586" i="12"/>
  <c r="AQ588" i="6"/>
  <c r="BZ588" i="6"/>
  <c r="AV588" i="6"/>
  <c r="BL588" i="6"/>
  <c r="AW588" i="6"/>
  <c r="CJ588" i="6"/>
  <c r="AN588" i="6"/>
  <c r="G589" i="6"/>
  <c r="H589" i="6"/>
  <c r="T589" i="5" s="1"/>
  <c r="M589" i="6"/>
  <c r="BQ589" i="6" s="1"/>
  <c r="AZ589" i="6"/>
  <c r="CM589" i="6"/>
  <c r="CL589" i="6"/>
  <c r="AY589" i="6"/>
  <c r="N589" i="6"/>
  <c r="BY589" i="6"/>
  <c r="CA589" i="6"/>
  <c r="AU589" i="6"/>
  <c r="AA586" i="5"/>
  <c r="AB586" i="5"/>
  <c r="BO588" i="6"/>
  <c r="BC588" i="6"/>
  <c r="BG588" i="6"/>
  <c r="BR588" i="6"/>
  <c r="AM588" i="6"/>
  <c r="CM588" i="6"/>
  <c r="BI588" i="6"/>
  <c r="CL588" i="6"/>
  <c r="BY588" i="6"/>
  <c r="BS588" i="6"/>
  <c r="D585" i="12"/>
  <c r="E585" i="6"/>
  <c r="BV588" i="6"/>
  <c r="BK588" i="6"/>
  <c r="BQ588" i="6"/>
  <c r="Y585" i="12"/>
  <c r="AM587" i="5"/>
  <c r="I587" i="12"/>
  <c r="L587" i="5"/>
  <c r="Z587" i="5"/>
  <c r="I587" i="5"/>
  <c r="AC587" i="5"/>
  <c r="L590" i="12"/>
  <c r="J590" i="12"/>
  <c r="AD591" i="5"/>
  <c r="J591" i="5"/>
  <c r="C592" i="5"/>
  <c r="R591" i="5"/>
  <c r="W591" i="5"/>
  <c r="H591" i="12" s="1"/>
  <c r="N591" i="5"/>
  <c r="F591" i="5"/>
  <c r="K591" i="5"/>
  <c r="AE591" i="5"/>
  <c r="H591" i="5"/>
  <c r="E591" i="5"/>
  <c r="G591" i="5"/>
  <c r="A591" i="12"/>
  <c r="B591" i="6"/>
  <c r="D591" i="5"/>
  <c r="B591" i="12" s="1"/>
  <c r="B591" i="5"/>
  <c r="E590" i="12"/>
  <c r="F590" i="6"/>
  <c r="C586" i="6"/>
  <c r="O586" i="5"/>
  <c r="G588" i="12"/>
  <c r="X588" i="5"/>
  <c r="BX588" i="6"/>
  <c r="BE588" i="6"/>
  <c r="BP588" i="6"/>
  <c r="BN588" i="6"/>
  <c r="CG588" i="6"/>
  <c r="BD588" i="6"/>
  <c r="CI588" i="6"/>
  <c r="CF588" i="6"/>
  <c r="BW588" i="6"/>
  <c r="AT588" i="6"/>
  <c r="CG589" i="6" l="1"/>
  <c r="AM589" i="6"/>
  <c r="BJ589" i="6"/>
  <c r="AS589" i="6"/>
  <c r="BM589" i="6"/>
  <c r="BV589" i="6"/>
  <c r="CB589" i="6"/>
  <c r="CF589" i="6"/>
  <c r="AV589" i="6"/>
  <c r="BN589" i="6"/>
  <c r="BH589" i="6"/>
  <c r="BI589" i="6"/>
  <c r="CI589" i="6"/>
  <c r="BA589" i="6"/>
  <c r="BG589" i="6"/>
  <c r="BE589" i="6"/>
  <c r="AN589" i="6"/>
  <c r="BO589" i="6"/>
  <c r="BK589" i="6"/>
  <c r="BF589" i="6"/>
  <c r="BW589" i="6"/>
  <c r="CC589" i="6"/>
  <c r="AO589" i="6"/>
  <c r="BL589" i="6"/>
  <c r="BC589" i="6"/>
  <c r="CH589" i="6"/>
  <c r="CJ589" i="6"/>
  <c r="BD589" i="6"/>
  <c r="BX589" i="6"/>
  <c r="BZ589" i="6"/>
  <c r="BR589" i="6"/>
  <c r="AL589" i="6"/>
  <c r="AT589" i="6"/>
  <c r="AP589" i="6"/>
  <c r="AW589" i="6"/>
  <c r="E586" i="6"/>
  <c r="D586" i="12"/>
  <c r="AQ589" i="6"/>
  <c r="BT589" i="6"/>
  <c r="J591" i="12"/>
  <c r="L591" i="12"/>
  <c r="AB587" i="5"/>
  <c r="AA587" i="5"/>
  <c r="X585" i="12"/>
  <c r="W585" i="12"/>
  <c r="BS589" i="6"/>
  <c r="CE589" i="6"/>
  <c r="CD589" i="6"/>
  <c r="N586" i="12"/>
  <c r="N590" i="6"/>
  <c r="G590" i="6"/>
  <c r="H590" i="6"/>
  <c r="T590" i="5" s="1"/>
  <c r="M590" i="6"/>
  <c r="BR590" i="6" s="1"/>
  <c r="BL590" i="6"/>
  <c r="BQ590" i="6"/>
  <c r="BC590" i="6"/>
  <c r="BH590" i="6"/>
  <c r="BD590" i="6"/>
  <c r="CH590" i="6"/>
  <c r="BS590" i="6"/>
  <c r="CL590" i="6"/>
  <c r="BZ590" i="6"/>
  <c r="CJ590" i="6"/>
  <c r="CE590" i="6"/>
  <c r="CB590" i="6"/>
  <c r="CC590" i="6"/>
  <c r="CF590" i="6"/>
  <c r="CK590" i="6"/>
  <c r="BI590" i="6"/>
  <c r="BV590" i="6"/>
  <c r="CD590" i="6"/>
  <c r="CG590" i="6"/>
  <c r="I588" i="12"/>
  <c r="L588" i="5"/>
  <c r="AM588" i="5"/>
  <c r="Z588" i="5"/>
  <c r="I588" i="5"/>
  <c r="AC588" i="5"/>
  <c r="AJ588" i="6"/>
  <c r="E591" i="12"/>
  <c r="F591" i="6"/>
  <c r="K590" i="12"/>
  <c r="C587" i="6"/>
  <c r="O587" i="5"/>
  <c r="AR589" i="6"/>
  <c r="BP589" i="6"/>
  <c r="CK589" i="6"/>
  <c r="Y586" i="12"/>
  <c r="T584" i="12"/>
  <c r="U584" i="12"/>
  <c r="V584" i="12"/>
  <c r="D591" i="6"/>
  <c r="AD592" i="5"/>
  <c r="C593" i="5"/>
  <c r="G592" i="5"/>
  <c r="H592" i="5"/>
  <c r="W592" i="5"/>
  <c r="H592" i="12" s="1"/>
  <c r="F592" i="5"/>
  <c r="N592" i="5"/>
  <c r="AE592" i="5"/>
  <c r="B592" i="5"/>
  <c r="A592" i="12"/>
  <c r="I592" i="5"/>
  <c r="E592" i="5"/>
  <c r="B592" i="6"/>
  <c r="C587" i="12"/>
  <c r="O587" i="12"/>
  <c r="M587" i="12"/>
  <c r="AO587" i="12"/>
  <c r="AX589" i="6"/>
  <c r="AK589" i="6"/>
  <c r="G589" i="12"/>
  <c r="X589" i="5"/>
  <c r="AJ589" i="6" s="1"/>
  <c r="AW590" i="6" l="1"/>
  <c r="AO590" i="6"/>
  <c r="AQ590" i="6"/>
  <c r="N587" i="12"/>
  <c r="AK590" i="6"/>
  <c r="K591" i="12"/>
  <c r="D592" i="6"/>
  <c r="H591" i="6"/>
  <c r="T591" i="5" s="1"/>
  <c r="N591" i="6"/>
  <c r="M591" i="6"/>
  <c r="CC591" i="6" s="1"/>
  <c r="G591" i="6"/>
  <c r="BR591" i="6"/>
  <c r="CA591" i="6"/>
  <c r="BE591" i="6"/>
  <c r="BP591" i="6"/>
  <c r="BD591" i="6"/>
  <c r="CF591" i="6"/>
  <c r="CB591" i="6"/>
  <c r="BX591" i="6"/>
  <c r="CK591" i="6"/>
  <c r="AY591" i="6"/>
  <c r="BZ591" i="6"/>
  <c r="BJ591" i="6"/>
  <c r="BI591" i="6"/>
  <c r="BC591" i="6"/>
  <c r="BL591" i="6"/>
  <c r="X586" i="12"/>
  <c r="W586" i="12"/>
  <c r="C588" i="12"/>
  <c r="O588" i="12"/>
  <c r="M588" i="12"/>
  <c r="AO588" i="12"/>
  <c r="G590" i="12"/>
  <c r="X590" i="5"/>
  <c r="AN590" i="6"/>
  <c r="AR590" i="6"/>
  <c r="BY590" i="6"/>
  <c r="CM590" i="6"/>
  <c r="AL590" i="6"/>
  <c r="AM590" i="6"/>
  <c r="BJ590" i="6"/>
  <c r="AD593" i="5"/>
  <c r="K593" i="5"/>
  <c r="G593" i="5"/>
  <c r="R593" i="5"/>
  <c r="C594" i="5"/>
  <c r="B593" i="6"/>
  <c r="E593" i="5"/>
  <c r="AE593" i="5"/>
  <c r="A593" i="12"/>
  <c r="N593" i="5"/>
  <c r="B593" i="5"/>
  <c r="W593" i="5"/>
  <c r="H593" i="12" s="1"/>
  <c r="D593" i="5"/>
  <c r="B593" i="12" s="1"/>
  <c r="J593" i="5"/>
  <c r="F593" i="5"/>
  <c r="H593" i="5"/>
  <c r="D587" i="12"/>
  <c r="E587" i="6"/>
  <c r="AB588" i="5"/>
  <c r="AA588" i="5"/>
  <c r="AJ590" i="6"/>
  <c r="AS590" i="6"/>
  <c r="BW590" i="6"/>
  <c r="AP590" i="6"/>
  <c r="CA590" i="6"/>
  <c r="BF590" i="6"/>
  <c r="AT590" i="6"/>
  <c r="AX590" i="6"/>
  <c r="AM589" i="5"/>
  <c r="L589" i="5"/>
  <c r="I589" i="12"/>
  <c r="I589" i="5"/>
  <c r="Z589" i="5"/>
  <c r="AC589" i="5"/>
  <c r="Y587" i="12"/>
  <c r="AY590" i="6"/>
  <c r="BP590" i="6"/>
  <c r="AZ590" i="6"/>
  <c r="BO590" i="6"/>
  <c r="BN590" i="6"/>
  <c r="BM590" i="6"/>
  <c r="AU590" i="6"/>
  <c r="AV590" i="6"/>
  <c r="BK590" i="6"/>
  <c r="C588" i="6"/>
  <c r="O588" i="5"/>
  <c r="CI590" i="6"/>
  <c r="BX590" i="6"/>
  <c r="BG590" i="6"/>
  <c r="BT590" i="6"/>
  <c r="BE590" i="6"/>
  <c r="BA590" i="6"/>
  <c r="T585" i="12"/>
  <c r="V585" i="12"/>
  <c r="U585" i="12"/>
  <c r="AX591" i="6" l="1"/>
  <c r="BA591" i="6"/>
  <c r="AM591" i="6"/>
  <c r="AK591" i="6"/>
  <c r="AP591" i="6"/>
  <c r="N588" i="12"/>
  <c r="AU591" i="6"/>
  <c r="AT591" i="6"/>
  <c r="AV591" i="6"/>
  <c r="C589" i="6"/>
  <c r="O589" i="5"/>
  <c r="AM590" i="5"/>
  <c r="I590" i="12"/>
  <c r="L590" i="5"/>
  <c r="Z590" i="5"/>
  <c r="I590" i="5"/>
  <c r="AC590" i="5"/>
  <c r="CH591" i="6"/>
  <c r="CE591" i="6"/>
  <c r="BN591" i="6"/>
  <c r="CM591" i="6"/>
  <c r="AR591" i="6"/>
  <c r="BF591" i="6"/>
  <c r="CL591" i="6"/>
  <c r="AB589" i="5"/>
  <c r="AA589" i="5"/>
  <c r="E593" i="12"/>
  <c r="F593" i="6"/>
  <c r="BT591" i="6"/>
  <c r="BH591" i="6"/>
  <c r="AW591" i="6"/>
  <c r="BV591" i="6"/>
  <c r="AL591" i="6"/>
  <c r="BY591" i="6"/>
  <c r="G591" i="12"/>
  <c r="X591" i="5"/>
  <c r="D593" i="6"/>
  <c r="Y588" i="12"/>
  <c r="T586" i="12"/>
  <c r="U586" i="12"/>
  <c r="V586" i="12"/>
  <c r="CG591" i="6"/>
  <c r="BM591" i="6"/>
  <c r="BW591" i="6"/>
  <c r="CI591" i="6"/>
  <c r="CJ591" i="6"/>
  <c r="AN591" i="6"/>
  <c r="BS591" i="6"/>
  <c r="E588" i="6"/>
  <c r="D588" i="12"/>
  <c r="X587" i="12"/>
  <c r="W587" i="12"/>
  <c r="C589" i="12"/>
  <c r="M589" i="12"/>
  <c r="O589" i="12"/>
  <c r="AO589" i="12"/>
  <c r="Y589" i="12" s="1"/>
  <c r="L593" i="12"/>
  <c r="J593" i="12"/>
  <c r="AE594" i="5"/>
  <c r="J594" i="5"/>
  <c r="B594" i="6"/>
  <c r="N594" i="5"/>
  <c r="AD594" i="5"/>
  <c r="E594" i="5"/>
  <c r="G594" i="5"/>
  <c r="K594" i="5"/>
  <c r="F594" i="5"/>
  <c r="D594" i="5"/>
  <c r="B594" i="12" s="1"/>
  <c r="C595" i="5"/>
  <c r="R594" i="5"/>
  <c r="W594" i="5"/>
  <c r="H594" i="12" s="1"/>
  <c r="A594" i="12"/>
  <c r="H594" i="5"/>
  <c r="B594" i="5"/>
  <c r="AZ591" i="6"/>
  <c r="CD591" i="6"/>
  <c r="BQ591" i="6"/>
  <c r="BO591" i="6"/>
  <c r="AQ591" i="6"/>
  <c r="BG591" i="6"/>
  <c r="AO591" i="6"/>
  <c r="BK591" i="6"/>
  <c r="AS591" i="6"/>
  <c r="BJ592" i="6"/>
  <c r="BF592" i="6"/>
  <c r="BI592" i="6"/>
  <c r="CA592" i="6"/>
  <c r="G592" i="6"/>
  <c r="CI592" i="6"/>
  <c r="H592" i="6"/>
  <c r="T592" i="5" s="1"/>
  <c r="G592" i="12" s="1"/>
  <c r="M592" i="6"/>
  <c r="AT592" i="6" s="1"/>
  <c r="BT592" i="6"/>
  <c r="BE592" i="6"/>
  <c r="BL592" i="6"/>
  <c r="BA592" i="6"/>
  <c r="AW592" i="6"/>
  <c r="BP592" i="6"/>
  <c r="BX592" i="6"/>
  <c r="CE592" i="6"/>
  <c r="BG592" i="6"/>
  <c r="BN592" i="6"/>
  <c r="CF592" i="6"/>
  <c r="BW592" i="6"/>
  <c r="BC592" i="6"/>
  <c r="BK592" i="6"/>
  <c r="AL592" i="6"/>
  <c r="AP592" i="6"/>
  <c r="BO592" i="6"/>
  <c r="BY592" i="6"/>
  <c r="BQ592" i="6"/>
  <c r="CK592" i="6"/>
  <c r="CL592" i="6"/>
  <c r="CC592" i="6"/>
  <c r="BS592" i="6"/>
  <c r="BM592" i="6"/>
  <c r="BZ592" i="6"/>
  <c r="AS592" i="6"/>
  <c r="AV592" i="6"/>
  <c r="CD592" i="6"/>
  <c r="CM592" i="6"/>
  <c r="CG592" i="6"/>
  <c r="AZ592" i="6"/>
  <c r="N592" i="6"/>
  <c r="BD592" i="6"/>
  <c r="BV592" i="6"/>
  <c r="CJ592" i="6"/>
  <c r="CH592" i="6"/>
  <c r="AU592" i="6"/>
  <c r="BH592" i="6"/>
  <c r="BR592" i="6"/>
  <c r="CB592" i="6"/>
  <c r="AY592" i="6" l="1"/>
  <c r="AR592" i="6"/>
  <c r="AM592" i="6"/>
  <c r="AO592" i="6"/>
  <c r="AN592" i="6"/>
  <c r="AK592" i="6"/>
  <c r="AJ592" i="6"/>
  <c r="AQ592" i="6"/>
  <c r="D594" i="6"/>
  <c r="W588" i="12"/>
  <c r="X588" i="12"/>
  <c r="C590" i="12"/>
  <c r="AO590" i="12"/>
  <c r="O590" i="12"/>
  <c r="M590" i="12"/>
  <c r="K593" i="12"/>
  <c r="AM591" i="5"/>
  <c r="L591" i="5"/>
  <c r="I591" i="12"/>
  <c r="Z591" i="5"/>
  <c r="I591" i="5"/>
  <c r="AC591" i="5"/>
  <c r="AJ591" i="6"/>
  <c r="F594" i="6"/>
  <c r="E594" i="12"/>
  <c r="W589" i="12"/>
  <c r="X589" i="12"/>
  <c r="V587" i="12"/>
  <c r="T587" i="12"/>
  <c r="U587" i="12"/>
  <c r="AA590" i="5"/>
  <c r="AB590" i="5"/>
  <c r="E589" i="6"/>
  <c r="D589" i="12"/>
  <c r="AX592" i="6"/>
  <c r="J594" i="12"/>
  <c r="L594" i="12"/>
  <c r="F595" i="5"/>
  <c r="E595" i="5"/>
  <c r="B595" i="5"/>
  <c r="R595" i="5"/>
  <c r="N595" i="5"/>
  <c r="H595" i="5"/>
  <c r="B595" i="6"/>
  <c r="J595" i="5"/>
  <c r="W595" i="5"/>
  <c r="H595" i="12" s="1"/>
  <c r="AD595" i="5"/>
  <c r="C596" i="5"/>
  <c r="G595" i="5"/>
  <c r="K595" i="5"/>
  <c r="A595" i="12"/>
  <c r="D595" i="5"/>
  <c r="B595" i="12" s="1"/>
  <c r="AE595" i="5"/>
  <c r="N589" i="12"/>
  <c r="G593" i="6"/>
  <c r="BJ593" i="6"/>
  <c r="BW593" i="6"/>
  <c r="N593" i="6"/>
  <c r="M593" i="6"/>
  <c r="BN593" i="6" s="1"/>
  <c r="CM593" i="6"/>
  <c r="BS593" i="6"/>
  <c r="BX593" i="6"/>
  <c r="CI593" i="6"/>
  <c r="BY593" i="6"/>
  <c r="BE593" i="6"/>
  <c r="BV593" i="6"/>
  <c r="H593" i="6"/>
  <c r="T593" i="5" s="1"/>
  <c r="CF593" i="6"/>
  <c r="CA593" i="6"/>
  <c r="CB593" i="6"/>
  <c r="BC593" i="6"/>
  <c r="BF593" i="6"/>
  <c r="AM593" i="6"/>
  <c r="BM593" i="6"/>
  <c r="AQ593" i="6"/>
  <c r="AS593" i="6"/>
  <c r="BG593" i="6"/>
  <c r="BR593" i="6"/>
  <c r="CJ593" i="6"/>
  <c r="BQ593" i="6"/>
  <c r="BP593" i="6"/>
  <c r="AL593" i="6"/>
  <c r="BL593" i="6"/>
  <c r="CL593" i="6"/>
  <c r="AX593" i="6"/>
  <c r="BK593" i="6"/>
  <c r="C590" i="6"/>
  <c r="O590" i="5"/>
  <c r="Y590" i="12" l="1"/>
  <c r="BO593" i="6"/>
  <c r="K594" i="12"/>
  <c r="AW593" i="6"/>
  <c r="AV593" i="6"/>
  <c r="BH593" i="6"/>
  <c r="CG593" i="6"/>
  <c r="CK593" i="6"/>
  <c r="CD593" i="6"/>
  <c r="CE593" i="6"/>
  <c r="BZ593" i="6"/>
  <c r="BT593" i="6"/>
  <c r="BI593" i="6"/>
  <c r="AK593" i="6"/>
  <c r="AN593" i="6"/>
  <c r="AP593" i="6"/>
  <c r="CC593" i="6"/>
  <c r="BD593" i="6"/>
  <c r="CH593" i="6"/>
  <c r="N590" i="12"/>
  <c r="T588" i="12"/>
  <c r="V588" i="12"/>
  <c r="U588" i="12"/>
  <c r="AZ593" i="6"/>
  <c r="AU593" i="6"/>
  <c r="AT593" i="6"/>
  <c r="F595" i="6"/>
  <c r="E595" i="12"/>
  <c r="AA591" i="5"/>
  <c r="AB591" i="5"/>
  <c r="X590" i="12"/>
  <c r="W590" i="12"/>
  <c r="G594" i="6"/>
  <c r="H594" i="6"/>
  <c r="T594" i="5" s="1"/>
  <c r="N594" i="6"/>
  <c r="M594" i="6"/>
  <c r="BT594" i="6" s="1"/>
  <c r="G593" i="12"/>
  <c r="X593" i="5"/>
  <c r="AJ593" i="6" s="1"/>
  <c r="AR593" i="6"/>
  <c r="J595" i="12"/>
  <c r="L595" i="12"/>
  <c r="D595" i="6"/>
  <c r="C591" i="12"/>
  <c r="O591" i="12"/>
  <c r="M591" i="12"/>
  <c r="AO591" i="12"/>
  <c r="Y591" i="12" s="1"/>
  <c r="E590" i="6"/>
  <c r="D590" i="12"/>
  <c r="BA593" i="6"/>
  <c r="AY593" i="6"/>
  <c r="AO593" i="6"/>
  <c r="D596" i="5"/>
  <c r="B596" i="12" s="1"/>
  <c r="E596" i="5"/>
  <c r="K596" i="5"/>
  <c r="H596" i="5"/>
  <c r="R596" i="5"/>
  <c r="AD596" i="5"/>
  <c r="G596" i="5"/>
  <c r="N596" i="5"/>
  <c r="AE596" i="5"/>
  <c r="B596" i="5"/>
  <c r="B596" i="6"/>
  <c r="F596" i="5"/>
  <c r="W596" i="5"/>
  <c r="H596" i="12" s="1"/>
  <c r="C597" i="5"/>
  <c r="A596" i="12"/>
  <c r="J596" i="5"/>
  <c r="V589" i="12"/>
  <c r="U589" i="12"/>
  <c r="T589" i="12"/>
  <c r="C591" i="6"/>
  <c r="O591" i="5"/>
  <c r="BQ594" i="6" l="1"/>
  <c r="CD594" i="6"/>
  <c r="CL594" i="6"/>
  <c r="BL594" i="6"/>
  <c r="CB594" i="6"/>
  <c r="AW594" i="6"/>
  <c r="BY594" i="6"/>
  <c r="E596" i="12"/>
  <c r="F596" i="6"/>
  <c r="N591" i="12"/>
  <c r="K595" i="12"/>
  <c r="BP594" i="6"/>
  <c r="AQ594" i="6"/>
  <c r="CK594" i="6"/>
  <c r="BS594" i="6"/>
  <c r="BC594" i="6"/>
  <c r="AZ594" i="6"/>
  <c r="BG594" i="6"/>
  <c r="BA594" i="6"/>
  <c r="BE594" i="6"/>
  <c r="BZ594" i="6"/>
  <c r="BX594" i="6"/>
  <c r="CH594" i="6"/>
  <c r="BV594" i="6"/>
  <c r="D596" i="6"/>
  <c r="J596" i="12"/>
  <c r="L596" i="12"/>
  <c r="K596" i="12" s="1"/>
  <c r="BN594" i="6"/>
  <c r="CC594" i="6"/>
  <c r="AP594" i="6"/>
  <c r="AL594" i="6"/>
  <c r="AN594" i="6"/>
  <c r="CI594" i="6"/>
  <c r="BO594" i="6"/>
  <c r="AT594" i="6"/>
  <c r="AO594" i="6"/>
  <c r="AX594" i="6"/>
  <c r="CJ594" i="6"/>
  <c r="AV594" i="6"/>
  <c r="BK594" i="6"/>
  <c r="AS594" i="6"/>
  <c r="CM594" i="6"/>
  <c r="E591" i="6"/>
  <c r="D591" i="12"/>
  <c r="W591" i="12"/>
  <c r="X591" i="12"/>
  <c r="CG594" i="6"/>
  <c r="BJ594" i="6"/>
  <c r="BW594" i="6"/>
  <c r="AU594" i="6"/>
  <c r="AR594" i="6"/>
  <c r="BI594" i="6"/>
  <c r="G594" i="12"/>
  <c r="X594" i="5"/>
  <c r="CF594" i="6"/>
  <c r="CE594" i="6"/>
  <c r="BR594" i="6"/>
  <c r="BF594" i="6"/>
  <c r="J597" i="5"/>
  <c r="F597" i="5"/>
  <c r="R597" i="5"/>
  <c r="A597" i="12"/>
  <c r="G597" i="5"/>
  <c r="B597" i="6"/>
  <c r="B597" i="5"/>
  <c r="AD597" i="5"/>
  <c r="E597" i="5"/>
  <c r="AE597" i="5"/>
  <c r="C598" i="5"/>
  <c r="N597" i="5"/>
  <c r="W597" i="5"/>
  <c r="H597" i="12" s="1"/>
  <c r="K597" i="5"/>
  <c r="H597" i="5"/>
  <c r="D597" i="5"/>
  <c r="B597" i="12" s="1"/>
  <c r="N595" i="6"/>
  <c r="H595" i="6"/>
  <c r="T595" i="5" s="1"/>
  <c r="M595" i="6"/>
  <c r="BE595" i="6" s="1"/>
  <c r="CJ595" i="6"/>
  <c r="BD595" i="6"/>
  <c r="CF595" i="6"/>
  <c r="BT595" i="6"/>
  <c r="AN595" i="6"/>
  <c r="G595" i="6"/>
  <c r="BR595" i="6"/>
  <c r="CM595" i="6"/>
  <c r="BN595" i="6"/>
  <c r="CK595" i="6"/>
  <c r="BS595" i="6"/>
  <c r="L593" i="5"/>
  <c r="I593" i="12"/>
  <c r="AM593" i="5"/>
  <c r="I593" i="5"/>
  <c r="Z593" i="5"/>
  <c r="AC593" i="5"/>
  <c r="AJ594" i="6"/>
  <c r="CA594" i="6"/>
  <c r="BH594" i="6"/>
  <c r="BD594" i="6"/>
  <c r="AM594" i="6"/>
  <c r="BM594" i="6"/>
  <c r="AY594" i="6"/>
  <c r="AK594" i="6"/>
  <c r="U590" i="12"/>
  <c r="T590" i="12"/>
  <c r="V590" i="12"/>
  <c r="AT595" i="6" l="1"/>
  <c r="BP595" i="6"/>
  <c r="BK595" i="6"/>
  <c r="CH595" i="6"/>
  <c r="BY595" i="6"/>
  <c r="BH595" i="6"/>
  <c r="AR595" i="6"/>
  <c r="BL595" i="6"/>
  <c r="CI595" i="6"/>
  <c r="CB595" i="6"/>
  <c r="CD595" i="6"/>
  <c r="AS595" i="6"/>
  <c r="BV595" i="6"/>
  <c r="BM595" i="6"/>
  <c r="BG595" i="6"/>
  <c r="CA595" i="6"/>
  <c r="CG595" i="6"/>
  <c r="CE595" i="6"/>
  <c r="CC595" i="6"/>
  <c r="BQ595" i="6"/>
  <c r="CL595" i="6"/>
  <c r="AV595" i="6"/>
  <c r="AX595" i="6"/>
  <c r="BI595" i="6"/>
  <c r="AZ595" i="6"/>
  <c r="AP595" i="6"/>
  <c r="BJ595" i="6"/>
  <c r="C593" i="6"/>
  <c r="O593" i="5"/>
  <c r="AM595" i="6"/>
  <c r="AO595" i="6"/>
  <c r="AW595" i="6"/>
  <c r="BX595" i="6"/>
  <c r="BA595" i="6"/>
  <c r="BF595" i="6"/>
  <c r="BC595" i="6"/>
  <c r="BO595" i="6"/>
  <c r="I594" i="12"/>
  <c r="L594" i="5"/>
  <c r="AM594" i="5"/>
  <c r="Z594" i="5"/>
  <c r="I594" i="5"/>
  <c r="AC594" i="5"/>
  <c r="G596" i="6"/>
  <c r="H596" i="6"/>
  <c r="T596" i="5" s="1"/>
  <c r="M596" i="6"/>
  <c r="CA596" i="6" s="1"/>
  <c r="BT596" i="6"/>
  <c r="CE596" i="6"/>
  <c r="BY596" i="6"/>
  <c r="BV596" i="6"/>
  <c r="N596" i="6"/>
  <c r="BI596" i="6"/>
  <c r="AW596" i="6"/>
  <c r="AB593" i="5"/>
  <c r="AA593" i="5"/>
  <c r="AU595" i="6"/>
  <c r="AL595" i="6"/>
  <c r="BZ595" i="6"/>
  <c r="AY595" i="6"/>
  <c r="BW595" i="6"/>
  <c r="F597" i="6"/>
  <c r="E597" i="12"/>
  <c r="T591" i="12"/>
  <c r="U591" i="12"/>
  <c r="V591" i="12"/>
  <c r="G595" i="12"/>
  <c r="X595" i="5"/>
  <c r="AJ595" i="6" s="1"/>
  <c r="AQ595" i="6"/>
  <c r="C599" i="5"/>
  <c r="A598" i="12"/>
  <c r="J598" i="5"/>
  <c r="D598" i="5"/>
  <c r="B598" i="12" s="1"/>
  <c r="N598" i="5"/>
  <c r="B598" i="5"/>
  <c r="G598" i="5"/>
  <c r="R598" i="5"/>
  <c r="W598" i="5"/>
  <c r="H598" i="12" s="1"/>
  <c r="AE598" i="5"/>
  <c r="K598" i="5"/>
  <c r="E598" i="5"/>
  <c r="B598" i="6"/>
  <c r="F598" i="5"/>
  <c r="AD598" i="5"/>
  <c r="H598" i="5"/>
  <c r="C593" i="12"/>
  <c r="AO593" i="12"/>
  <c r="O593" i="12"/>
  <c r="M593" i="12"/>
  <c r="AK595" i="6"/>
  <c r="D597" i="6"/>
  <c r="L597" i="12"/>
  <c r="K597" i="12" s="1"/>
  <c r="J597" i="12"/>
  <c r="AR596" i="6" l="1"/>
  <c r="AQ596" i="6"/>
  <c r="CJ596" i="6"/>
  <c r="CD596" i="6"/>
  <c r="BN596" i="6"/>
  <c r="AT596" i="6"/>
  <c r="BD596" i="6"/>
  <c r="AS596" i="6"/>
  <c r="CC596" i="6"/>
  <c r="BX596" i="6"/>
  <c r="N593" i="12"/>
  <c r="AV596" i="6"/>
  <c r="AY596" i="6"/>
  <c r="BL596" i="6"/>
  <c r="AP596" i="6"/>
  <c r="BG596" i="6"/>
  <c r="BJ596" i="6"/>
  <c r="AN596" i="6"/>
  <c r="CB596" i="6"/>
  <c r="BC596" i="6"/>
  <c r="AO596" i="6"/>
  <c r="BZ596" i="6"/>
  <c r="AX596" i="6"/>
  <c r="BQ596" i="6"/>
  <c r="CL596" i="6"/>
  <c r="BP596" i="6"/>
  <c r="CF596" i="6"/>
  <c r="BE596" i="6"/>
  <c r="BM596" i="6"/>
  <c r="AM596" i="6"/>
  <c r="CH596" i="6"/>
  <c r="BF596" i="6"/>
  <c r="CM596" i="6"/>
  <c r="BW596" i="6"/>
  <c r="BR596" i="6"/>
  <c r="CG596" i="6"/>
  <c r="AU596" i="6"/>
  <c r="CI596" i="6"/>
  <c r="AM595" i="5"/>
  <c r="I595" i="12"/>
  <c r="L595" i="5"/>
  <c r="I595" i="5"/>
  <c r="Z595" i="5"/>
  <c r="AC595" i="5"/>
  <c r="AZ596" i="6"/>
  <c r="C594" i="6"/>
  <c r="O594" i="5"/>
  <c r="J598" i="12"/>
  <c r="L598" i="12"/>
  <c r="BA596" i="6"/>
  <c r="CK596" i="6"/>
  <c r="AL596" i="6"/>
  <c r="BH596" i="6"/>
  <c r="C594" i="12"/>
  <c r="AO594" i="12"/>
  <c r="O594" i="12"/>
  <c r="M594" i="12"/>
  <c r="D598" i="6"/>
  <c r="D599" i="5"/>
  <c r="B599" i="12" s="1"/>
  <c r="A599" i="12"/>
  <c r="N599" i="5"/>
  <c r="B599" i="5"/>
  <c r="C600" i="5" s="1"/>
  <c r="AD599" i="5"/>
  <c r="G599" i="5"/>
  <c r="B599" i="6"/>
  <c r="K599" i="5"/>
  <c r="H599" i="5"/>
  <c r="E599" i="5"/>
  <c r="W599" i="5"/>
  <c r="H599" i="12" s="1"/>
  <c r="J599" i="5"/>
  <c r="AE599" i="5"/>
  <c r="R599" i="5"/>
  <c r="F599" i="5"/>
  <c r="G596" i="12"/>
  <c r="X596" i="5"/>
  <c r="BO596" i="6"/>
  <c r="BS596" i="6"/>
  <c r="AA594" i="5"/>
  <c r="AB594" i="5"/>
  <c r="D593" i="12"/>
  <c r="E593" i="6"/>
  <c r="G597" i="6"/>
  <c r="N597" i="6"/>
  <c r="M597" i="6"/>
  <c r="CF597" i="6" s="1"/>
  <c r="BO597" i="6"/>
  <c r="BF597" i="6"/>
  <c r="H597" i="6"/>
  <c r="T597" i="5" s="1"/>
  <c r="CD597" i="6"/>
  <c r="CJ597" i="6"/>
  <c r="BY597" i="6"/>
  <c r="BE597" i="6"/>
  <c r="BK597" i="6"/>
  <c r="BJ597" i="6"/>
  <c r="Y593" i="12"/>
  <c r="E598" i="12"/>
  <c r="F598" i="6"/>
  <c r="BK596" i="6"/>
  <c r="AK596" i="6"/>
  <c r="CL597" i="6" l="1"/>
  <c r="CC597" i="6"/>
  <c r="BQ597" i="6"/>
  <c r="BN597" i="6"/>
  <c r="BC597" i="6"/>
  <c r="CG597" i="6"/>
  <c r="AR597" i="6"/>
  <c r="AM597" i="6"/>
  <c r="BT597" i="6"/>
  <c r="CK597" i="6"/>
  <c r="BH597" i="6"/>
  <c r="CM597" i="6"/>
  <c r="BZ597" i="6"/>
  <c r="CB597" i="6"/>
  <c r="CA597" i="6"/>
  <c r="BD597" i="6"/>
  <c r="AN597" i="6"/>
  <c r="BI597" i="6"/>
  <c r="Y594" i="12"/>
  <c r="AV597" i="6"/>
  <c r="AP597" i="6"/>
  <c r="AT597" i="6"/>
  <c r="AZ597" i="6"/>
  <c r="BA597" i="6"/>
  <c r="K598" i="12"/>
  <c r="BG597" i="6"/>
  <c r="BP597" i="6"/>
  <c r="BV597" i="6"/>
  <c r="BW597" i="6"/>
  <c r="AY597" i="6"/>
  <c r="L596" i="5"/>
  <c r="AM596" i="5"/>
  <c r="I596" i="12"/>
  <c r="I596" i="5"/>
  <c r="Z596" i="5"/>
  <c r="AC596" i="5"/>
  <c r="AJ596" i="6"/>
  <c r="E599" i="12"/>
  <c r="F599" i="6"/>
  <c r="F600" i="5"/>
  <c r="E600" i="5"/>
  <c r="B600" i="6"/>
  <c r="AD600" i="5"/>
  <c r="A600" i="12"/>
  <c r="I600" i="5"/>
  <c r="W600" i="5"/>
  <c r="H600" i="12" s="1"/>
  <c r="B600" i="5"/>
  <c r="N600" i="5"/>
  <c r="G600" i="5"/>
  <c r="AE600" i="5"/>
  <c r="C601" i="5"/>
  <c r="H600" i="5"/>
  <c r="X594" i="12"/>
  <c r="W594" i="12"/>
  <c r="D599" i="6"/>
  <c r="N598" i="6"/>
  <c r="G598" i="6"/>
  <c r="H598" i="6"/>
  <c r="T598" i="5" s="1"/>
  <c r="M598" i="6"/>
  <c r="BP598" i="6" s="1"/>
  <c r="BY598" i="6"/>
  <c r="C595" i="6"/>
  <c r="O595" i="5"/>
  <c r="AL597" i="6"/>
  <c r="BM597" i="6"/>
  <c r="AS597" i="6"/>
  <c r="BS597" i="6"/>
  <c r="BL597" i="6"/>
  <c r="J599" i="12"/>
  <c r="L599" i="12"/>
  <c r="C595" i="12"/>
  <c r="AO595" i="12"/>
  <c r="O595" i="12"/>
  <c r="M595" i="12"/>
  <c r="W593" i="12"/>
  <c r="X593" i="12"/>
  <c r="CE597" i="6"/>
  <c r="BR597" i="6"/>
  <c r="AW597" i="6"/>
  <c r="G597" i="12"/>
  <c r="X597" i="5"/>
  <c r="AK597" i="6"/>
  <c r="AU597" i="6"/>
  <c r="CH597" i="6"/>
  <c r="AQ597" i="6"/>
  <c r="CI597" i="6"/>
  <c r="BX597" i="6"/>
  <c r="AO597" i="6"/>
  <c r="AX597" i="6"/>
  <c r="N594" i="12"/>
  <c r="D594" i="12"/>
  <c r="E594" i="6"/>
  <c r="AA595" i="5"/>
  <c r="AB595" i="5"/>
  <c r="K599" i="12" l="1"/>
  <c r="BR598" i="6"/>
  <c r="CM598" i="6"/>
  <c r="BN598" i="6"/>
  <c r="BX598" i="6"/>
  <c r="CC598" i="6"/>
  <c r="CH598" i="6"/>
  <c r="AR598" i="6"/>
  <c r="AO598" i="6"/>
  <c r="AS598" i="6"/>
  <c r="BW598" i="6"/>
  <c r="BT598" i="6"/>
  <c r="AV598" i="6"/>
  <c r="CF598" i="6"/>
  <c r="BG598" i="6"/>
  <c r="BM598" i="6"/>
  <c r="CE598" i="6"/>
  <c r="BO598" i="6"/>
  <c r="BF598" i="6"/>
  <c r="BD598" i="6"/>
  <c r="AY598" i="6"/>
  <c r="AN598" i="6"/>
  <c r="BI598" i="6"/>
  <c r="BQ598" i="6"/>
  <c r="L597" i="5"/>
  <c r="AM597" i="5"/>
  <c r="I597" i="12"/>
  <c r="Z597" i="5"/>
  <c r="I597" i="5"/>
  <c r="AC597" i="5"/>
  <c r="AJ597" i="6"/>
  <c r="AW598" i="6"/>
  <c r="CJ598" i="6"/>
  <c r="CB598" i="6"/>
  <c r="CG598" i="6"/>
  <c r="C596" i="12"/>
  <c r="O596" i="12"/>
  <c r="M596" i="12"/>
  <c r="AO596" i="12"/>
  <c r="Y595" i="12"/>
  <c r="D595" i="12"/>
  <c r="E595" i="6"/>
  <c r="BC598" i="6"/>
  <c r="AZ598" i="6"/>
  <c r="BS598" i="6"/>
  <c r="CA598" i="6"/>
  <c r="AQ598" i="6"/>
  <c r="CD598" i="6"/>
  <c r="BV598" i="6"/>
  <c r="AK598" i="6"/>
  <c r="AP598" i="6"/>
  <c r="CK598" i="6"/>
  <c r="BK598" i="6"/>
  <c r="N601" i="5"/>
  <c r="J601" i="5"/>
  <c r="D601" i="5"/>
  <c r="B601" i="12" s="1"/>
  <c r="R601" i="5"/>
  <c r="A601" i="12"/>
  <c r="B601" i="5"/>
  <c r="E601" i="5"/>
  <c r="B601" i="6"/>
  <c r="C602" i="5"/>
  <c r="K601" i="5"/>
  <c r="AE601" i="5"/>
  <c r="W601" i="5"/>
  <c r="H601" i="12" s="1"/>
  <c r="AD601" i="5"/>
  <c r="F601" i="5"/>
  <c r="H601" i="5"/>
  <c r="G601" i="5"/>
  <c r="D600" i="6"/>
  <c r="N595" i="12"/>
  <c r="T593" i="12"/>
  <c r="U593" i="12"/>
  <c r="V593" i="12"/>
  <c r="AM598" i="6"/>
  <c r="AU598" i="6"/>
  <c r="BJ598" i="6"/>
  <c r="G598" i="12"/>
  <c r="X598" i="5"/>
  <c r="AT598" i="6"/>
  <c r="BE598" i="6"/>
  <c r="BL598" i="6"/>
  <c r="AL598" i="6"/>
  <c r="BA598" i="6"/>
  <c r="BZ598" i="6"/>
  <c r="CI598" i="6"/>
  <c r="H599" i="6"/>
  <c r="T599" i="5" s="1"/>
  <c r="G599" i="6"/>
  <c r="N599" i="6"/>
  <c r="M599" i="6"/>
  <c r="CB599" i="6" s="1"/>
  <c r="AA596" i="5"/>
  <c r="AB596" i="5"/>
  <c r="C596" i="6"/>
  <c r="O596" i="5"/>
  <c r="CL598" i="6"/>
  <c r="AX598" i="6"/>
  <c r="BH598" i="6"/>
  <c r="T594" i="12"/>
  <c r="U594" i="12"/>
  <c r="V594" i="12"/>
  <c r="AP599" i="6" l="1"/>
  <c r="BN599" i="6"/>
  <c r="CF599" i="6"/>
  <c r="BA599" i="6"/>
  <c r="CG599" i="6"/>
  <c r="CJ599" i="6"/>
  <c r="AU599" i="6"/>
  <c r="AK599" i="6"/>
  <c r="AW599" i="6"/>
  <c r="CC599" i="6"/>
  <c r="BM599" i="6"/>
  <c r="AX599" i="6"/>
  <c r="CA599" i="6"/>
  <c r="CI599" i="6"/>
  <c r="BO599" i="6"/>
  <c r="BZ599" i="6"/>
  <c r="Y596" i="12"/>
  <c r="AM599" i="6"/>
  <c r="BL599" i="6"/>
  <c r="BQ599" i="6"/>
  <c r="E596" i="6"/>
  <c r="D596" i="12"/>
  <c r="AO599" i="6"/>
  <c r="CD599" i="6"/>
  <c r="BS599" i="6"/>
  <c r="BD599" i="6"/>
  <c r="AY599" i="6"/>
  <c r="BR599" i="6"/>
  <c r="BP599" i="6"/>
  <c r="BJ599" i="6"/>
  <c r="CL599" i="6"/>
  <c r="BP600" i="6"/>
  <c r="BQ600" i="6"/>
  <c r="BE600" i="6"/>
  <c r="BN600" i="6"/>
  <c r="BW600" i="6"/>
  <c r="BI600" i="6"/>
  <c r="BX600" i="6"/>
  <c r="BR600" i="6"/>
  <c r="BH600" i="6"/>
  <c r="N600" i="6"/>
  <c r="BL600" i="6"/>
  <c r="BJ600" i="6"/>
  <c r="CL600" i="6"/>
  <c r="CE600" i="6"/>
  <c r="CC600" i="6"/>
  <c r="CG600" i="6"/>
  <c r="BK600" i="6"/>
  <c r="CM600" i="6"/>
  <c r="BO600" i="6"/>
  <c r="CK600" i="6"/>
  <c r="BY600" i="6"/>
  <c r="CF600" i="6"/>
  <c r="M600" i="6"/>
  <c r="CH600" i="6"/>
  <c r="CB600" i="6"/>
  <c r="CA600" i="6"/>
  <c r="BS600" i="6"/>
  <c r="BC600" i="6"/>
  <c r="BT600" i="6"/>
  <c r="CI600" i="6"/>
  <c r="BV600" i="6"/>
  <c r="H600" i="6"/>
  <c r="T600" i="5" s="1"/>
  <c r="G600" i="12" s="1"/>
  <c r="CD600" i="6"/>
  <c r="BG600" i="6"/>
  <c r="BM600" i="6"/>
  <c r="BD600" i="6"/>
  <c r="BF600" i="6"/>
  <c r="CJ600" i="6"/>
  <c r="G600" i="6"/>
  <c r="BZ600" i="6"/>
  <c r="J601" i="12"/>
  <c r="L601" i="12"/>
  <c r="X595" i="12"/>
  <c r="W595" i="12"/>
  <c r="AB597" i="5"/>
  <c r="AA597" i="5"/>
  <c r="CH599" i="6"/>
  <c r="BH599" i="6"/>
  <c r="BG599" i="6"/>
  <c r="BK599" i="6"/>
  <c r="CM599" i="6"/>
  <c r="BE599" i="6"/>
  <c r="G599" i="12"/>
  <c r="X599" i="5"/>
  <c r="AM598" i="5"/>
  <c r="L598" i="5"/>
  <c r="I598" i="12"/>
  <c r="Z598" i="5"/>
  <c r="I598" i="5"/>
  <c r="AC598" i="5"/>
  <c r="AJ598" i="6"/>
  <c r="X596" i="12"/>
  <c r="W596" i="12"/>
  <c r="C597" i="12"/>
  <c r="O597" i="12"/>
  <c r="AO597" i="12"/>
  <c r="M597" i="12"/>
  <c r="BI599" i="6"/>
  <c r="BX599" i="6"/>
  <c r="BF599" i="6"/>
  <c r="CK599" i="6"/>
  <c r="CE599" i="6"/>
  <c r="AQ599" i="6"/>
  <c r="BT599" i="6"/>
  <c r="D601" i="6"/>
  <c r="AN599" i="6"/>
  <c r="AV599" i="6"/>
  <c r="BV599" i="6"/>
  <c r="BW599" i="6"/>
  <c r="AZ599" i="6"/>
  <c r="AS599" i="6"/>
  <c r="BC599" i="6"/>
  <c r="BY599" i="6"/>
  <c r="AT599" i="6"/>
  <c r="AL599" i="6"/>
  <c r="AR599" i="6"/>
  <c r="B602" i="6"/>
  <c r="AE602" i="5"/>
  <c r="C603" i="5"/>
  <c r="G602" i="5"/>
  <c r="K602" i="5"/>
  <c r="B602" i="5"/>
  <c r="N602" i="5"/>
  <c r="R602" i="5"/>
  <c r="W602" i="5"/>
  <c r="H602" i="12" s="1"/>
  <c r="AD602" i="5"/>
  <c r="J602" i="5"/>
  <c r="A602" i="12"/>
  <c r="D602" i="5"/>
  <c r="B602" i="12" s="1"/>
  <c r="E602" i="5"/>
  <c r="F602" i="5"/>
  <c r="H602" i="5"/>
  <c r="E601" i="12"/>
  <c r="F601" i="6"/>
  <c r="N596" i="12"/>
  <c r="C597" i="6"/>
  <c r="O597" i="5"/>
  <c r="AW600" i="6" l="1"/>
  <c r="AX600" i="6"/>
  <c r="N597" i="12"/>
  <c r="AS600" i="6"/>
  <c r="F603" i="5"/>
  <c r="D603" i="5"/>
  <c r="B603" i="12" s="1"/>
  <c r="B603" i="6"/>
  <c r="A603" i="12"/>
  <c r="C604" i="5"/>
  <c r="AD603" i="5"/>
  <c r="B603" i="5"/>
  <c r="R603" i="5"/>
  <c r="W603" i="5"/>
  <c r="H603" i="12" s="1"/>
  <c r="H603" i="5"/>
  <c r="AE603" i="5"/>
  <c r="G603" i="5"/>
  <c r="N603" i="5"/>
  <c r="K603" i="5"/>
  <c r="E603" i="5"/>
  <c r="J603" i="5"/>
  <c r="Y597" i="12"/>
  <c r="C598" i="6"/>
  <c r="O598" i="5"/>
  <c r="V595" i="12"/>
  <c r="U595" i="12"/>
  <c r="T595" i="12"/>
  <c r="AO600" i="6"/>
  <c r="AJ600" i="6"/>
  <c r="AM600" i="6"/>
  <c r="AN600" i="6"/>
  <c r="AQ600" i="6"/>
  <c r="E602" i="12"/>
  <c r="F602" i="6"/>
  <c r="D602" i="6"/>
  <c r="M601" i="6"/>
  <c r="CH601" i="6" s="1"/>
  <c r="G601" i="6"/>
  <c r="BJ601" i="6"/>
  <c r="H601" i="6"/>
  <c r="T601" i="5" s="1"/>
  <c r="BT601" i="6"/>
  <c r="BG601" i="6"/>
  <c r="BN601" i="6"/>
  <c r="BI601" i="6"/>
  <c r="CK601" i="6"/>
  <c r="BS601" i="6"/>
  <c r="N601" i="6"/>
  <c r="CL601" i="6"/>
  <c r="BO601" i="6"/>
  <c r="CE601" i="6"/>
  <c r="BQ601" i="6"/>
  <c r="AB598" i="5"/>
  <c r="AA598" i="5"/>
  <c r="L599" i="5"/>
  <c r="AM599" i="5"/>
  <c r="I599" i="12"/>
  <c r="Z599" i="5"/>
  <c r="I599" i="5"/>
  <c r="AC599" i="5"/>
  <c r="AJ599" i="6"/>
  <c r="AR600" i="6"/>
  <c r="AV600" i="6"/>
  <c r="AU600" i="6"/>
  <c r="AK600" i="6"/>
  <c r="AT600" i="6"/>
  <c r="BA600" i="6"/>
  <c r="AL600" i="6"/>
  <c r="E597" i="6"/>
  <c r="D597" i="12"/>
  <c r="L602" i="12"/>
  <c r="J602" i="12"/>
  <c r="V596" i="12"/>
  <c r="U596" i="12"/>
  <c r="T596" i="12"/>
  <c r="C598" i="12"/>
  <c r="M598" i="12"/>
  <c r="O598" i="12"/>
  <c r="AO598" i="12"/>
  <c r="K601" i="12"/>
  <c r="AY600" i="6"/>
  <c r="AZ600" i="6"/>
  <c r="AP600" i="6"/>
  <c r="Y598" i="12" l="1"/>
  <c r="CG601" i="6"/>
  <c r="BM601" i="6"/>
  <c r="CF601" i="6"/>
  <c r="BR601" i="6"/>
  <c r="BD601" i="6"/>
  <c r="BC601" i="6"/>
  <c r="AK601" i="6"/>
  <c r="BH601" i="6"/>
  <c r="BK601" i="6"/>
  <c r="BL601" i="6"/>
  <c r="BP601" i="6"/>
  <c r="BE601" i="6"/>
  <c r="AX601" i="6"/>
  <c r="AP601" i="6"/>
  <c r="BV601" i="6"/>
  <c r="CD601" i="6"/>
  <c r="CJ601" i="6"/>
  <c r="BX601" i="6"/>
  <c r="CB601" i="6"/>
  <c r="BF601" i="6"/>
  <c r="CA601" i="6"/>
  <c r="BZ601" i="6"/>
  <c r="CI601" i="6"/>
  <c r="C599" i="6"/>
  <c r="O599" i="5"/>
  <c r="AQ601" i="6"/>
  <c r="AR601" i="6"/>
  <c r="AL601" i="6"/>
  <c r="AO601" i="6"/>
  <c r="AZ601" i="6"/>
  <c r="X597" i="12"/>
  <c r="W597" i="12"/>
  <c r="F603" i="6"/>
  <c r="E603" i="12"/>
  <c r="AB599" i="5"/>
  <c r="AA599" i="5"/>
  <c r="AW601" i="6"/>
  <c r="AN601" i="6"/>
  <c r="AU601" i="6"/>
  <c r="W598" i="12"/>
  <c r="X598" i="12"/>
  <c r="N598" i="12"/>
  <c r="K602" i="12"/>
  <c r="C599" i="12"/>
  <c r="M599" i="12"/>
  <c r="AO599" i="12"/>
  <c r="O599" i="12"/>
  <c r="AT601" i="6"/>
  <c r="AY601" i="6"/>
  <c r="AS601" i="6"/>
  <c r="AM601" i="6"/>
  <c r="BA601" i="6"/>
  <c r="CC601" i="6"/>
  <c r="BY601" i="6"/>
  <c r="BW601" i="6"/>
  <c r="CM601" i="6"/>
  <c r="G602" i="6"/>
  <c r="M602" i="6"/>
  <c r="BV602" i="6" s="1"/>
  <c r="BX602" i="6"/>
  <c r="CC602" i="6"/>
  <c r="H602" i="6"/>
  <c r="T602" i="5" s="1"/>
  <c r="CE602" i="6"/>
  <c r="BR602" i="6"/>
  <c r="BO602" i="6"/>
  <c r="BY602" i="6"/>
  <c r="BS602" i="6"/>
  <c r="AS602" i="6"/>
  <c r="BL602" i="6"/>
  <c r="BG602" i="6"/>
  <c r="BK602" i="6"/>
  <c r="BJ602" i="6"/>
  <c r="AY602" i="6"/>
  <c r="BF602" i="6"/>
  <c r="AP602" i="6"/>
  <c r="CK602" i="6"/>
  <c r="BP602" i="6"/>
  <c r="AQ602" i="6"/>
  <c r="BQ602" i="6"/>
  <c r="AT602" i="6"/>
  <c r="BZ602" i="6"/>
  <c r="AX602" i="6"/>
  <c r="CL602" i="6"/>
  <c r="CA602" i="6"/>
  <c r="CM602" i="6"/>
  <c r="CI602" i="6"/>
  <c r="BT602" i="6"/>
  <c r="BN602" i="6"/>
  <c r="BE602" i="6"/>
  <c r="AK602" i="6"/>
  <c r="BD602" i="6"/>
  <c r="AL602" i="6"/>
  <c r="AZ602" i="6"/>
  <c r="BM602" i="6"/>
  <c r="AV602" i="6"/>
  <c r="N602" i="6"/>
  <c r="BI602" i="6"/>
  <c r="AN602" i="6"/>
  <c r="E598" i="6"/>
  <c r="D598" i="12"/>
  <c r="G601" i="12"/>
  <c r="X601" i="5"/>
  <c r="AJ601" i="6" s="1"/>
  <c r="AV601" i="6"/>
  <c r="D603" i="6"/>
  <c r="A604" i="12"/>
  <c r="E604" i="5"/>
  <c r="H604" i="5"/>
  <c r="R604" i="5"/>
  <c r="B604" i="6"/>
  <c r="K604" i="5"/>
  <c r="C605" i="5"/>
  <c r="N604" i="5"/>
  <c r="F604" i="5"/>
  <c r="J604" i="5"/>
  <c r="AD604" i="5"/>
  <c r="W604" i="5"/>
  <c r="H604" i="12" s="1"/>
  <c r="D604" i="5"/>
  <c r="B604" i="12" s="1"/>
  <c r="AE604" i="5"/>
  <c r="G604" i="5"/>
  <c r="B604" i="5"/>
  <c r="L603" i="12"/>
  <c r="J603" i="12"/>
  <c r="K603" i="12" l="1"/>
  <c r="AW602" i="6"/>
  <c r="AR602" i="6"/>
  <c r="AO602" i="6"/>
  <c r="AM602" i="6"/>
  <c r="CD602" i="6"/>
  <c r="CB602" i="6"/>
  <c r="BC602" i="6"/>
  <c r="CG602" i="6"/>
  <c r="BW602" i="6"/>
  <c r="CJ602" i="6"/>
  <c r="BH602" i="6"/>
  <c r="CH602" i="6"/>
  <c r="Y599" i="12"/>
  <c r="E604" i="12"/>
  <c r="F604" i="6"/>
  <c r="N603" i="6"/>
  <c r="G603" i="6"/>
  <c r="H603" i="6"/>
  <c r="T603" i="5" s="1"/>
  <c r="BR603" i="6"/>
  <c r="M603" i="6"/>
  <c r="BD603" i="6" s="1"/>
  <c r="CI603" i="6"/>
  <c r="AS603" i="6"/>
  <c r="BZ603" i="6"/>
  <c r="AX603" i="6"/>
  <c r="CH603" i="6"/>
  <c r="CL603" i="6"/>
  <c r="BN603" i="6"/>
  <c r="BP603" i="6"/>
  <c r="AN603" i="6"/>
  <c r="AY603" i="6"/>
  <c r="BL603" i="6"/>
  <c r="BQ603" i="6"/>
  <c r="BO603" i="6"/>
  <c r="BG603" i="6"/>
  <c r="CC603" i="6"/>
  <c r="BK603" i="6"/>
  <c r="BI603" i="6"/>
  <c r="G602" i="12"/>
  <c r="X602" i="5"/>
  <c r="AJ602" i="6" s="1"/>
  <c r="BA602" i="6"/>
  <c r="V598" i="12"/>
  <c r="T598" i="12"/>
  <c r="U598" i="12"/>
  <c r="V597" i="12"/>
  <c r="U597" i="12"/>
  <c r="T597" i="12"/>
  <c r="E599" i="6"/>
  <c r="D599" i="12"/>
  <c r="D604" i="6"/>
  <c r="AU602" i="6"/>
  <c r="CF602" i="6"/>
  <c r="N599" i="12"/>
  <c r="G605" i="5"/>
  <c r="E605" i="5"/>
  <c r="AE605" i="5"/>
  <c r="N605" i="5"/>
  <c r="B605" i="6"/>
  <c r="H605" i="5"/>
  <c r="B605" i="5"/>
  <c r="R605" i="5"/>
  <c r="W605" i="5"/>
  <c r="H605" i="12" s="1"/>
  <c r="A605" i="12"/>
  <c r="J605" i="5"/>
  <c r="F605" i="5"/>
  <c r="C606" i="5"/>
  <c r="D605" i="5"/>
  <c r="B605" i="12" s="1"/>
  <c r="AD605" i="5"/>
  <c r="K605" i="5"/>
  <c r="L604" i="12"/>
  <c r="K604" i="12" s="1"/>
  <c r="J604" i="12"/>
  <c r="I601" i="12"/>
  <c r="AM601" i="5"/>
  <c r="L601" i="5"/>
  <c r="Z601" i="5"/>
  <c r="I601" i="5"/>
  <c r="AC601" i="5"/>
  <c r="X599" i="12"/>
  <c r="W599" i="12"/>
  <c r="AL603" i="6" l="1"/>
  <c r="CA603" i="6"/>
  <c r="BE603" i="6"/>
  <c r="AR603" i="6"/>
  <c r="AP603" i="6"/>
  <c r="BA603" i="6"/>
  <c r="BF603" i="6"/>
  <c r="V599" i="12"/>
  <c r="U599" i="12"/>
  <c r="T599" i="12"/>
  <c r="C601" i="6"/>
  <c r="O601" i="5"/>
  <c r="AV603" i="6"/>
  <c r="BC603" i="6"/>
  <c r="AQ603" i="6"/>
  <c r="CE603" i="6"/>
  <c r="CK603" i="6"/>
  <c r="BT603" i="6"/>
  <c r="AU603" i="6"/>
  <c r="BM603" i="6"/>
  <c r="AO603" i="6"/>
  <c r="BW603" i="6"/>
  <c r="F605" i="6"/>
  <c r="E605" i="12"/>
  <c r="D605" i="6"/>
  <c r="CG603" i="6"/>
  <c r="CF603" i="6"/>
  <c r="BY603" i="6"/>
  <c r="CM603" i="6"/>
  <c r="CB603" i="6"/>
  <c r="AK603" i="6"/>
  <c r="BS603" i="6"/>
  <c r="AW603" i="6"/>
  <c r="C601" i="12"/>
  <c r="M601" i="12"/>
  <c r="O601" i="12"/>
  <c r="AO601" i="12"/>
  <c r="B606" i="6"/>
  <c r="H606" i="5"/>
  <c r="D606" i="5"/>
  <c r="B606" i="12" s="1"/>
  <c r="C607" i="5"/>
  <c r="E606" i="5"/>
  <c r="F606" i="5"/>
  <c r="W606" i="5"/>
  <c r="H606" i="12" s="1"/>
  <c r="AE606" i="5"/>
  <c r="N606" i="5"/>
  <c r="AD606" i="5"/>
  <c r="B606" i="5"/>
  <c r="J606" i="5"/>
  <c r="K606" i="5"/>
  <c r="R606" i="5"/>
  <c r="A606" i="12"/>
  <c r="G606" i="5"/>
  <c r="G604" i="6"/>
  <c r="N604" i="6"/>
  <c r="M604" i="6"/>
  <c r="CJ604" i="6" s="1"/>
  <c r="H604" i="6"/>
  <c r="T604" i="5" s="1"/>
  <c r="BS604" i="6"/>
  <c r="L602" i="5"/>
  <c r="AM602" i="5"/>
  <c r="I602" i="12"/>
  <c r="I602" i="5"/>
  <c r="Z602" i="5"/>
  <c r="AC602" i="5"/>
  <c r="CD603" i="6"/>
  <c r="G603" i="12"/>
  <c r="X603" i="5"/>
  <c r="CJ603" i="6"/>
  <c r="AM603" i="6"/>
  <c r="BJ603" i="6"/>
  <c r="AB601" i="5"/>
  <c r="AA601" i="5"/>
  <c r="J605" i="12"/>
  <c r="L605" i="12"/>
  <c r="BX603" i="6"/>
  <c r="AZ603" i="6"/>
  <c r="BH603" i="6"/>
  <c r="BV603" i="6"/>
  <c r="AT603" i="6"/>
  <c r="BD604" i="6" l="1"/>
  <c r="CD604" i="6"/>
  <c r="CE604" i="6"/>
  <c r="BG604" i="6"/>
  <c r="CC604" i="6"/>
  <c r="Y601" i="12"/>
  <c r="BJ604" i="6"/>
  <c r="BF604" i="6"/>
  <c r="BY604" i="6"/>
  <c r="BM604" i="6"/>
  <c r="CI604" i="6"/>
  <c r="BN604" i="6"/>
  <c r="K605" i="12"/>
  <c r="CK604" i="6"/>
  <c r="CF604" i="6"/>
  <c r="CM604" i="6"/>
  <c r="BZ604" i="6"/>
  <c r="CB604" i="6"/>
  <c r="AN604" i="6"/>
  <c r="AV604" i="6"/>
  <c r="AZ604" i="6"/>
  <c r="AM604" i="6"/>
  <c r="AX604" i="6"/>
  <c r="AW604" i="6"/>
  <c r="AR604" i="6"/>
  <c r="CL604" i="6"/>
  <c r="BL604" i="6"/>
  <c r="BH604" i="6"/>
  <c r="BT604" i="6"/>
  <c r="BP604" i="6"/>
  <c r="BC604" i="6"/>
  <c r="AL604" i="6"/>
  <c r="CH604" i="6"/>
  <c r="BE604" i="6"/>
  <c r="N601" i="12"/>
  <c r="G604" i="12"/>
  <c r="X604" i="5"/>
  <c r="BX604" i="6"/>
  <c r="AT604" i="6"/>
  <c r="BV604" i="6"/>
  <c r="AU604" i="6"/>
  <c r="AY604" i="6"/>
  <c r="BQ604" i="6"/>
  <c r="BW604" i="6"/>
  <c r="BA604" i="6"/>
  <c r="CA604" i="6"/>
  <c r="BR604" i="6"/>
  <c r="X601" i="12"/>
  <c r="W601" i="12"/>
  <c r="C602" i="12"/>
  <c r="O602" i="12"/>
  <c r="M602" i="12"/>
  <c r="AO602" i="12"/>
  <c r="AO604" i="6"/>
  <c r="AQ604" i="6"/>
  <c r="AS604" i="6"/>
  <c r="BO604" i="6"/>
  <c r="BK604" i="6"/>
  <c r="L606" i="12"/>
  <c r="J606" i="12"/>
  <c r="D606" i="6"/>
  <c r="G605" i="6"/>
  <c r="N605" i="6"/>
  <c r="H605" i="6"/>
  <c r="T605" i="5" s="1"/>
  <c r="BQ605" i="6"/>
  <c r="BP605" i="6"/>
  <c r="BK605" i="6"/>
  <c r="AZ605" i="6"/>
  <c r="BY605" i="6"/>
  <c r="M605" i="6"/>
  <c r="BV605" i="6" s="1"/>
  <c r="CE605" i="6"/>
  <c r="AM605" i="6"/>
  <c r="AY605" i="6"/>
  <c r="BN605" i="6"/>
  <c r="BD605" i="6"/>
  <c r="AS605" i="6"/>
  <c r="AU605" i="6"/>
  <c r="BM605" i="6"/>
  <c r="BO605" i="6"/>
  <c r="BS605" i="6"/>
  <c r="AK605" i="6"/>
  <c r="BW605" i="6"/>
  <c r="BZ605" i="6"/>
  <c r="BL605" i="6"/>
  <c r="I603" i="12"/>
  <c r="L603" i="5"/>
  <c r="AM603" i="5"/>
  <c r="I603" i="5"/>
  <c r="Z603" i="5"/>
  <c r="AC603" i="5"/>
  <c r="CG604" i="6"/>
  <c r="AK604" i="6"/>
  <c r="AP604" i="6"/>
  <c r="BI604" i="6"/>
  <c r="AE607" i="5"/>
  <c r="B607" i="6"/>
  <c r="E607" i="5"/>
  <c r="R607" i="5"/>
  <c r="W607" i="5"/>
  <c r="H607" i="12" s="1"/>
  <c r="D607" i="5"/>
  <c r="B607" i="12" s="1"/>
  <c r="C608" i="5"/>
  <c r="J607" i="5"/>
  <c r="B607" i="5"/>
  <c r="H607" i="5"/>
  <c r="A607" i="12"/>
  <c r="K607" i="5"/>
  <c r="F607" i="5"/>
  <c r="AD607" i="5"/>
  <c r="N607" i="5"/>
  <c r="G607" i="5"/>
  <c r="AB602" i="5"/>
  <c r="AA602" i="5"/>
  <c r="C602" i="6"/>
  <c r="O602" i="5"/>
  <c r="E606" i="12"/>
  <c r="F606" i="6"/>
  <c r="AJ603" i="6"/>
  <c r="D601" i="12"/>
  <c r="E601" i="6"/>
  <c r="AL605" i="6" l="1"/>
  <c r="BX605" i="6"/>
  <c r="CF605" i="6"/>
  <c r="BA605" i="6"/>
  <c r="CI605" i="6"/>
  <c r="BR605" i="6"/>
  <c r="CM605" i="6"/>
  <c r="AO605" i="6"/>
  <c r="BT605" i="6"/>
  <c r="AV605" i="6"/>
  <c r="BI605" i="6"/>
  <c r="CH605" i="6"/>
  <c r="BG605" i="6"/>
  <c r="D602" i="12"/>
  <c r="E602" i="6"/>
  <c r="G605" i="12"/>
  <c r="X605" i="5"/>
  <c r="CL605" i="6"/>
  <c r="CC605" i="6"/>
  <c r="AW605" i="6"/>
  <c r="BJ605" i="6"/>
  <c r="BH605" i="6"/>
  <c r="N602" i="12"/>
  <c r="J607" i="12"/>
  <c r="L607" i="12"/>
  <c r="C603" i="12"/>
  <c r="AO603" i="12"/>
  <c r="M603" i="12"/>
  <c r="O603" i="12"/>
  <c r="N608" i="5"/>
  <c r="D608" i="5"/>
  <c r="B608" i="12" s="1"/>
  <c r="C609" i="5"/>
  <c r="F608" i="5"/>
  <c r="H608" i="5"/>
  <c r="AE608" i="5"/>
  <c r="E608" i="5"/>
  <c r="J608" i="5"/>
  <c r="AD608" i="5"/>
  <c r="K608" i="5"/>
  <c r="G608" i="5"/>
  <c r="W608" i="5"/>
  <c r="H608" i="12" s="1"/>
  <c r="B608" i="5"/>
  <c r="R608" i="5"/>
  <c r="B608" i="6"/>
  <c r="A608" i="12"/>
  <c r="BC605" i="6"/>
  <c r="AR605" i="6"/>
  <c r="CA605" i="6"/>
  <c r="AP605" i="6"/>
  <c r="AN605" i="6"/>
  <c r="BE605" i="6"/>
  <c r="CB605" i="6"/>
  <c r="AA603" i="5"/>
  <c r="AB603" i="5"/>
  <c r="D607" i="6"/>
  <c r="E607" i="12"/>
  <c r="F607" i="6"/>
  <c r="C603" i="6"/>
  <c r="O603" i="5"/>
  <c r="AQ605" i="6"/>
  <c r="CJ605" i="6"/>
  <c r="CK605" i="6"/>
  <c r="AJ605" i="6"/>
  <c r="AT605" i="6"/>
  <c r="BF605" i="6"/>
  <c r="CD605" i="6"/>
  <c r="AX605" i="6"/>
  <c r="CG605" i="6"/>
  <c r="M606" i="6"/>
  <c r="BJ606" i="6" s="1"/>
  <c r="N606" i="6"/>
  <c r="BY606" i="6"/>
  <c r="BP606" i="6"/>
  <c r="G606" i="6"/>
  <c r="BQ606" i="6"/>
  <c r="H606" i="6"/>
  <c r="T606" i="5" s="1"/>
  <c r="BO606" i="6"/>
  <c r="K606" i="12"/>
  <c r="Y602" i="12"/>
  <c r="V601" i="12"/>
  <c r="T601" i="12"/>
  <c r="U601" i="12"/>
  <c r="I604" i="12"/>
  <c r="AM604" i="5"/>
  <c r="L604" i="5"/>
  <c r="I604" i="5"/>
  <c r="Z604" i="5"/>
  <c r="AC604" i="5"/>
  <c r="AJ604" i="6"/>
  <c r="BT606" i="6" l="1"/>
  <c r="K607" i="12"/>
  <c r="BE606" i="6"/>
  <c r="CE606" i="6"/>
  <c r="AK606" i="6"/>
  <c r="CJ606" i="6"/>
  <c r="BF606" i="6"/>
  <c r="CC606" i="6"/>
  <c r="BK606" i="6"/>
  <c r="BR606" i="6"/>
  <c r="CF606" i="6"/>
  <c r="CB606" i="6"/>
  <c r="BC606" i="6"/>
  <c r="CD606" i="6"/>
  <c r="BH606" i="6"/>
  <c r="CL606" i="6"/>
  <c r="AN606" i="6"/>
  <c r="AV606" i="6"/>
  <c r="CH606" i="6"/>
  <c r="BN606" i="6"/>
  <c r="BS606" i="6"/>
  <c r="BM606" i="6"/>
  <c r="CI606" i="6"/>
  <c r="BD606" i="6"/>
  <c r="BZ606" i="6"/>
  <c r="CG606" i="6"/>
  <c r="AT606" i="6"/>
  <c r="AZ606" i="6"/>
  <c r="D603" i="12"/>
  <c r="E603" i="6"/>
  <c r="D608" i="6"/>
  <c r="AM605" i="5"/>
  <c r="I605" i="12"/>
  <c r="L605" i="5"/>
  <c r="Z605" i="5"/>
  <c r="I605" i="5"/>
  <c r="AC605" i="5"/>
  <c r="C604" i="6"/>
  <c r="O604" i="5"/>
  <c r="G606" i="12"/>
  <c r="X606" i="5"/>
  <c r="AU606" i="6"/>
  <c r="AM606" i="6"/>
  <c r="BA606" i="6"/>
  <c r="AX606" i="6"/>
  <c r="AQ606" i="6"/>
  <c r="AW606" i="6"/>
  <c r="N607" i="6"/>
  <c r="M607" i="6"/>
  <c r="BY607" i="6" s="1"/>
  <c r="BQ607" i="6"/>
  <c r="BJ607" i="6"/>
  <c r="BH607" i="6"/>
  <c r="BL607" i="6"/>
  <c r="BI607" i="6"/>
  <c r="G607" i="6"/>
  <c r="H607" i="6"/>
  <c r="T607" i="5" s="1"/>
  <c r="BC607" i="6"/>
  <c r="CL607" i="6"/>
  <c r="N603" i="12"/>
  <c r="AO606" i="6"/>
  <c r="AY606" i="6"/>
  <c r="E608" i="12"/>
  <c r="F608" i="6"/>
  <c r="B609" i="5"/>
  <c r="G609" i="5"/>
  <c r="A609" i="12"/>
  <c r="F609" i="5"/>
  <c r="R609" i="5"/>
  <c r="D609" i="5"/>
  <c r="B609" i="12" s="1"/>
  <c r="AD609" i="5"/>
  <c r="H609" i="5"/>
  <c r="E609" i="5"/>
  <c r="C610" i="5"/>
  <c r="AE609" i="5"/>
  <c r="W609" i="5"/>
  <c r="H609" i="12" s="1"/>
  <c r="K609" i="5"/>
  <c r="J609" i="5"/>
  <c r="N609" i="5"/>
  <c r="B609" i="6"/>
  <c r="AS606" i="6"/>
  <c r="AB604" i="5"/>
  <c r="AA604" i="5"/>
  <c r="C604" i="12"/>
  <c r="M604" i="12"/>
  <c r="O604" i="12"/>
  <c r="AO604" i="12"/>
  <c r="Y604" i="12" s="1"/>
  <c r="W602" i="12"/>
  <c r="X602" i="12"/>
  <c r="AR606" i="6"/>
  <c r="AL606" i="6"/>
  <c r="AP606" i="6"/>
  <c r="BL606" i="6"/>
  <c r="BW606" i="6"/>
  <c r="CA606" i="6"/>
  <c r="BI606" i="6"/>
  <c r="CK606" i="6"/>
  <c r="BX606" i="6"/>
  <c r="BG606" i="6"/>
  <c r="BV606" i="6"/>
  <c r="CM606" i="6"/>
  <c r="J608" i="12"/>
  <c r="L608" i="12"/>
  <c r="K608" i="12" s="1"/>
  <c r="Y603" i="12"/>
  <c r="BZ607" i="6" l="1"/>
  <c r="CD607" i="6"/>
  <c r="CC607" i="6"/>
  <c r="BN607" i="6"/>
  <c r="CG607" i="6"/>
  <c r="CI607" i="6"/>
  <c r="BF607" i="6"/>
  <c r="CJ607" i="6"/>
  <c r="BV607" i="6"/>
  <c r="CM607" i="6"/>
  <c r="BX607" i="6"/>
  <c r="BP607" i="6"/>
  <c r="L609" i="12"/>
  <c r="J609" i="12"/>
  <c r="G607" i="12"/>
  <c r="X607" i="5"/>
  <c r="AJ607" i="6" s="1"/>
  <c r="AU607" i="6"/>
  <c r="AS607" i="6"/>
  <c r="AM607" i="6"/>
  <c r="CF607" i="6"/>
  <c r="BS607" i="6"/>
  <c r="I606" i="12"/>
  <c r="L606" i="5"/>
  <c r="AM606" i="5"/>
  <c r="I606" i="5"/>
  <c r="Z606" i="5"/>
  <c r="AC606" i="5"/>
  <c r="AJ606" i="6"/>
  <c r="C605" i="12"/>
  <c r="O605" i="12"/>
  <c r="AO605" i="12"/>
  <c r="M605" i="12"/>
  <c r="V602" i="12"/>
  <c r="T602" i="12"/>
  <c r="U602" i="12"/>
  <c r="AN607" i="6"/>
  <c r="AX607" i="6"/>
  <c r="BA607" i="6"/>
  <c r="AZ607" i="6"/>
  <c r="BT607" i="6"/>
  <c r="BE607" i="6"/>
  <c r="AQ607" i="6"/>
  <c r="BD607" i="6"/>
  <c r="X603" i="12"/>
  <c r="W603" i="12"/>
  <c r="X604" i="12"/>
  <c r="W604" i="12"/>
  <c r="F609" i="6"/>
  <c r="E609" i="12"/>
  <c r="AK607" i="6"/>
  <c r="AR607" i="6"/>
  <c r="AV607" i="6"/>
  <c r="BW607" i="6"/>
  <c r="CB607" i="6"/>
  <c r="AW607" i="6"/>
  <c r="BR607" i="6"/>
  <c r="BG607" i="6"/>
  <c r="AT607" i="6"/>
  <c r="AY607" i="6"/>
  <c r="CE607" i="6"/>
  <c r="D604" i="12"/>
  <c r="E604" i="6"/>
  <c r="AA605" i="5"/>
  <c r="AB605" i="5"/>
  <c r="N604" i="12"/>
  <c r="D609" i="6"/>
  <c r="J610" i="5"/>
  <c r="H610" i="5"/>
  <c r="D610" i="5"/>
  <c r="B610" i="12" s="1"/>
  <c r="B610" i="6"/>
  <c r="AE610" i="5"/>
  <c r="B610" i="5"/>
  <c r="A610" i="12"/>
  <c r="R610" i="5"/>
  <c r="W610" i="5"/>
  <c r="H610" i="12" s="1"/>
  <c r="AD610" i="5"/>
  <c r="G610" i="5"/>
  <c r="N610" i="5"/>
  <c r="C611" i="5"/>
  <c r="E610" i="5"/>
  <c r="K610" i="5"/>
  <c r="F610" i="5"/>
  <c r="BO607" i="6"/>
  <c r="BM607" i="6"/>
  <c r="CH607" i="6"/>
  <c r="AL607" i="6"/>
  <c r="CK607" i="6"/>
  <c r="CA607" i="6"/>
  <c r="BK607" i="6"/>
  <c r="AO607" i="6"/>
  <c r="AP607" i="6"/>
  <c r="C605" i="6"/>
  <c r="O605" i="5"/>
  <c r="M608" i="6"/>
  <c r="BQ608" i="6" s="1"/>
  <c r="BD608" i="6"/>
  <c r="G608" i="6"/>
  <c r="CD608" i="6"/>
  <c r="H608" i="6"/>
  <c r="T608" i="5" s="1"/>
  <c r="N608" i="6"/>
  <c r="CE608" i="6"/>
  <c r="Y605" i="12" l="1"/>
  <c r="N605" i="12"/>
  <c r="BC608" i="6"/>
  <c r="CK608" i="6"/>
  <c r="BP608" i="6"/>
  <c r="AN608" i="6"/>
  <c r="BL608" i="6"/>
  <c r="BV608" i="6"/>
  <c r="AR608" i="6"/>
  <c r="BF608" i="6"/>
  <c r="CA608" i="6"/>
  <c r="CB608" i="6"/>
  <c r="CH608" i="6"/>
  <c r="CC608" i="6"/>
  <c r="AV608" i="6"/>
  <c r="CL608" i="6"/>
  <c r="BG608" i="6"/>
  <c r="CG608" i="6"/>
  <c r="BE608" i="6"/>
  <c r="BK608" i="6"/>
  <c r="BI608" i="6"/>
  <c r="BN608" i="6"/>
  <c r="BR608" i="6"/>
  <c r="CJ608" i="6"/>
  <c r="AQ608" i="6"/>
  <c r="BA608" i="6"/>
  <c r="AZ608" i="6"/>
  <c r="AO608" i="6"/>
  <c r="K609" i="12"/>
  <c r="AW608" i="6"/>
  <c r="AL608" i="6"/>
  <c r="AT608" i="6"/>
  <c r="CM608" i="6"/>
  <c r="E605" i="6"/>
  <c r="D605" i="12"/>
  <c r="E610" i="12"/>
  <c r="F610" i="6"/>
  <c r="AM608" i="6"/>
  <c r="AU608" i="6"/>
  <c r="BY608" i="6"/>
  <c r="BT608" i="6"/>
  <c r="BX608" i="6"/>
  <c r="BJ608" i="6"/>
  <c r="AP608" i="6"/>
  <c r="BH608" i="6"/>
  <c r="BZ608" i="6"/>
  <c r="CF608" i="6"/>
  <c r="J610" i="12"/>
  <c r="L610" i="12"/>
  <c r="T604" i="12"/>
  <c r="U604" i="12"/>
  <c r="V604" i="12"/>
  <c r="AM607" i="5"/>
  <c r="I607" i="12"/>
  <c r="L607" i="5"/>
  <c r="Z607" i="5"/>
  <c r="I607" i="5"/>
  <c r="AC607" i="5"/>
  <c r="G608" i="12"/>
  <c r="X608" i="5"/>
  <c r="AJ608" i="6" s="1"/>
  <c r="AS608" i="6"/>
  <c r="AK608" i="6"/>
  <c r="BS608" i="6"/>
  <c r="CI608" i="6"/>
  <c r="BW608" i="6"/>
  <c r="BM608" i="6"/>
  <c r="BO608" i="6"/>
  <c r="AX608" i="6"/>
  <c r="AY608" i="6"/>
  <c r="AE611" i="5"/>
  <c r="B611" i="5"/>
  <c r="A611" i="12"/>
  <c r="H611" i="5"/>
  <c r="K611" i="5"/>
  <c r="D611" i="5"/>
  <c r="B611" i="12" s="1"/>
  <c r="E611" i="5"/>
  <c r="J611" i="5"/>
  <c r="F611" i="5"/>
  <c r="AD611" i="5"/>
  <c r="N611" i="5"/>
  <c r="R611" i="5"/>
  <c r="G611" i="5"/>
  <c r="C612" i="5"/>
  <c r="B611" i="6"/>
  <c r="W611" i="5"/>
  <c r="H611" i="12" s="1"/>
  <c r="N609" i="6"/>
  <c r="G609" i="6"/>
  <c r="M609" i="6"/>
  <c r="BI609" i="6" s="1"/>
  <c r="H609" i="6"/>
  <c r="T609" i="5" s="1"/>
  <c r="W605" i="12"/>
  <c r="X605" i="12"/>
  <c r="C606" i="6"/>
  <c r="O606" i="5"/>
  <c r="D610" i="6"/>
  <c r="U603" i="12"/>
  <c r="V603" i="12"/>
  <c r="T603" i="12"/>
  <c r="AA606" i="5"/>
  <c r="AB606" i="5"/>
  <c r="C606" i="12"/>
  <c r="AO606" i="12"/>
  <c r="O606" i="12"/>
  <c r="M606" i="12"/>
  <c r="AM609" i="6" l="1"/>
  <c r="BS609" i="6"/>
  <c r="BM609" i="6"/>
  <c r="CL609" i="6"/>
  <c r="CF609" i="6"/>
  <c r="BV609" i="6"/>
  <c r="CK609" i="6"/>
  <c r="BP609" i="6"/>
  <c r="AT609" i="6"/>
  <c r="AP609" i="6"/>
  <c r="BQ609" i="6"/>
  <c r="AS609" i="6"/>
  <c r="BR609" i="6"/>
  <c r="BL609" i="6"/>
  <c r="CG609" i="6"/>
  <c r="BH609" i="6"/>
  <c r="BJ609" i="6"/>
  <c r="CJ609" i="6"/>
  <c r="AU609" i="6"/>
  <c r="CM609" i="6"/>
  <c r="AK609" i="6"/>
  <c r="BN609" i="6"/>
  <c r="BW609" i="6"/>
  <c r="CA609" i="6"/>
  <c r="AX609" i="6"/>
  <c r="BT609" i="6"/>
  <c r="K610" i="12"/>
  <c r="N606" i="12"/>
  <c r="AZ609" i="6"/>
  <c r="AW609" i="6"/>
  <c r="AD612" i="5"/>
  <c r="B612" i="6"/>
  <c r="A612" i="12"/>
  <c r="N612" i="5"/>
  <c r="C613" i="5"/>
  <c r="B612" i="5"/>
  <c r="D612" i="5"/>
  <c r="B612" i="12" s="1"/>
  <c r="K612" i="5"/>
  <c r="F612" i="5"/>
  <c r="H612" i="5"/>
  <c r="E612" i="5"/>
  <c r="R612" i="5"/>
  <c r="AE612" i="5"/>
  <c r="G612" i="5"/>
  <c r="W612" i="5"/>
  <c r="H612" i="12" s="1"/>
  <c r="J612" i="5"/>
  <c r="C607" i="6"/>
  <c r="O607" i="5"/>
  <c r="Y606" i="12"/>
  <c r="N610" i="6"/>
  <c r="M610" i="6"/>
  <c r="CA610" i="6" s="1"/>
  <c r="H610" i="6"/>
  <c r="T610" i="5" s="1"/>
  <c r="CC610" i="6"/>
  <c r="AR610" i="6"/>
  <c r="G610" i="6"/>
  <c r="BW610" i="6"/>
  <c r="CG610" i="6"/>
  <c r="T605" i="12"/>
  <c r="V605" i="12"/>
  <c r="U605" i="12"/>
  <c r="AN609" i="6"/>
  <c r="CH609" i="6"/>
  <c r="BD609" i="6"/>
  <c r="BZ609" i="6"/>
  <c r="AR609" i="6"/>
  <c r="BF609" i="6"/>
  <c r="CB609" i="6"/>
  <c r="CE609" i="6"/>
  <c r="C607" i="12"/>
  <c r="AO607" i="12"/>
  <c r="M607" i="12"/>
  <c r="O607" i="12"/>
  <c r="E606" i="6"/>
  <c r="D606" i="12"/>
  <c r="AL609" i="6"/>
  <c r="BG609" i="6"/>
  <c r="BA609" i="6"/>
  <c r="CC609" i="6"/>
  <c r="AY609" i="6"/>
  <c r="BO609" i="6"/>
  <c r="BY609" i="6"/>
  <c r="BK609" i="6"/>
  <c r="AV609" i="6"/>
  <c r="CD609" i="6"/>
  <c r="BC609" i="6"/>
  <c r="BX609" i="6"/>
  <c r="F611" i="6"/>
  <c r="E611" i="12"/>
  <c r="G609" i="12"/>
  <c r="X609" i="5"/>
  <c r="AQ609" i="6"/>
  <c r="AO609" i="6"/>
  <c r="BE609" i="6"/>
  <c r="CI609" i="6"/>
  <c r="D611" i="6"/>
  <c r="J611" i="12"/>
  <c r="L611" i="12"/>
  <c r="AM608" i="5"/>
  <c r="L608" i="5"/>
  <c r="I608" i="12"/>
  <c r="Z608" i="5"/>
  <c r="I608" i="5"/>
  <c r="AC608" i="5"/>
  <c r="AB607" i="5"/>
  <c r="AA607" i="5"/>
  <c r="CK610" i="6" l="1"/>
  <c r="BT610" i="6"/>
  <c r="AO610" i="6"/>
  <c r="BN610" i="6"/>
  <c r="BQ610" i="6"/>
  <c r="BH610" i="6"/>
  <c r="CF610" i="6"/>
  <c r="CE610" i="6"/>
  <c r="Y607" i="12"/>
  <c r="CJ610" i="6"/>
  <c r="CB610" i="6"/>
  <c r="BC610" i="6"/>
  <c r="AY610" i="6"/>
  <c r="BE610" i="6"/>
  <c r="BY610" i="6"/>
  <c r="BO610" i="6"/>
  <c r="G610" i="12"/>
  <c r="X610" i="5"/>
  <c r="I609" i="12"/>
  <c r="L609" i="5"/>
  <c r="AM609" i="5"/>
  <c r="I609" i="5"/>
  <c r="Z609" i="5"/>
  <c r="AC609" i="5"/>
  <c r="AJ609" i="6"/>
  <c r="AZ610" i="6"/>
  <c r="AL610" i="6"/>
  <c r="AQ610" i="6"/>
  <c r="CI610" i="6"/>
  <c r="CL610" i="6"/>
  <c r="E607" i="6"/>
  <c r="D607" i="12"/>
  <c r="D612" i="6"/>
  <c r="C608" i="6"/>
  <c r="O608" i="5"/>
  <c r="N611" i="6"/>
  <c r="H611" i="6"/>
  <c r="T611" i="5" s="1"/>
  <c r="M611" i="6"/>
  <c r="CI611" i="6" s="1"/>
  <c r="CD611" i="6"/>
  <c r="BE611" i="6"/>
  <c r="BW611" i="6"/>
  <c r="BL611" i="6"/>
  <c r="BG611" i="6"/>
  <c r="CJ611" i="6"/>
  <c r="G611" i="6"/>
  <c r="BY611" i="6"/>
  <c r="BF611" i="6"/>
  <c r="BR611" i="6"/>
  <c r="BQ611" i="6"/>
  <c r="CM611" i="6"/>
  <c r="BX611" i="6"/>
  <c r="X606" i="12"/>
  <c r="W606" i="12"/>
  <c r="AP610" i="6"/>
  <c r="AX610" i="6"/>
  <c r="BD610" i="6"/>
  <c r="AU610" i="6"/>
  <c r="BP610" i="6"/>
  <c r="BZ610" i="6"/>
  <c r="AW610" i="6"/>
  <c r="AT610" i="6"/>
  <c r="BJ610" i="6"/>
  <c r="BF610" i="6"/>
  <c r="AV610" i="6"/>
  <c r="CH610" i="6"/>
  <c r="AJ610" i="6"/>
  <c r="CD610" i="6"/>
  <c r="AS610" i="6"/>
  <c r="BM610" i="6"/>
  <c r="E612" i="12"/>
  <c r="F612" i="6"/>
  <c r="J612" i="12"/>
  <c r="L612" i="12"/>
  <c r="W607" i="12"/>
  <c r="X607" i="12"/>
  <c r="AA608" i="5"/>
  <c r="AB608" i="5"/>
  <c r="C608" i="12"/>
  <c r="M608" i="12"/>
  <c r="O608" i="12"/>
  <c r="AO608" i="12"/>
  <c r="Y608" i="12" s="1"/>
  <c r="K611" i="12"/>
  <c r="N607" i="12"/>
  <c r="BG610" i="6"/>
  <c r="BA610" i="6"/>
  <c r="BK610" i="6"/>
  <c r="BV610" i="6"/>
  <c r="CM610" i="6"/>
  <c r="BX610" i="6"/>
  <c r="BS610" i="6"/>
  <c r="BI610" i="6"/>
  <c r="BR610" i="6"/>
  <c r="AM610" i="6"/>
  <c r="BL610" i="6"/>
  <c r="AN610" i="6"/>
  <c r="AK610" i="6"/>
  <c r="N613" i="5"/>
  <c r="J613" i="5"/>
  <c r="AD613" i="5"/>
  <c r="F613" i="5"/>
  <c r="A613" i="12"/>
  <c r="E613" i="5"/>
  <c r="D613" i="5"/>
  <c r="B613" i="12" s="1"/>
  <c r="B613" i="5"/>
  <c r="K613" i="5"/>
  <c r="G613" i="5"/>
  <c r="W613" i="5"/>
  <c r="H613" i="12" s="1"/>
  <c r="AE613" i="5"/>
  <c r="R613" i="5"/>
  <c r="B613" i="6"/>
  <c r="H613" i="5"/>
  <c r="C614" i="5"/>
  <c r="CL611" i="6" l="1"/>
  <c r="CE611" i="6"/>
  <c r="BD611" i="6"/>
  <c r="K612" i="12"/>
  <c r="BK611" i="6"/>
  <c r="BS611" i="6"/>
  <c r="CA611" i="6"/>
  <c r="CB611" i="6"/>
  <c r="CG611" i="6"/>
  <c r="CF611" i="6"/>
  <c r="BZ611" i="6"/>
  <c r="BM611" i="6"/>
  <c r="BO611" i="6"/>
  <c r="G611" i="12"/>
  <c r="X611" i="5"/>
  <c r="AY611" i="6"/>
  <c r="AW611" i="6"/>
  <c r="D608" i="12"/>
  <c r="E608" i="6"/>
  <c r="C609" i="6"/>
  <c r="O609" i="5"/>
  <c r="AO611" i="6"/>
  <c r="AU611" i="6"/>
  <c r="L613" i="12"/>
  <c r="K613" i="12" s="1"/>
  <c r="J613" i="12"/>
  <c r="J614" i="5"/>
  <c r="D614" i="5"/>
  <c r="B614" i="12" s="1"/>
  <c r="F614" i="5"/>
  <c r="B614" i="5"/>
  <c r="R614" i="5"/>
  <c r="W614" i="5"/>
  <c r="H614" i="12" s="1"/>
  <c r="AD614" i="5"/>
  <c r="K614" i="5"/>
  <c r="H614" i="5"/>
  <c r="N614" i="5"/>
  <c r="G614" i="5"/>
  <c r="C615" i="5"/>
  <c r="E614" i="5"/>
  <c r="AE614" i="5"/>
  <c r="B614" i="6"/>
  <c r="A614" i="12"/>
  <c r="D613" i="6"/>
  <c r="W608" i="12"/>
  <c r="X608" i="12"/>
  <c r="AP611" i="6"/>
  <c r="AL611" i="6"/>
  <c r="AB609" i="5"/>
  <c r="AA609" i="5"/>
  <c r="C609" i="12"/>
  <c r="M609" i="12"/>
  <c r="O609" i="12"/>
  <c r="N609" i="12" s="1"/>
  <c r="AO609" i="12"/>
  <c r="F613" i="6"/>
  <c r="E613" i="12"/>
  <c r="N608" i="12"/>
  <c r="BJ611" i="6"/>
  <c r="AN611" i="6"/>
  <c r="AJ611" i="6"/>
  <c r="CK611" i="6"/>
  <c r="CH611" i="6"/>
  <c r="AV611" i="6"/>
  <c r="BI611" i="6"/>
  <c r="BV611" i="6"/>
  <c r="CC611" i="6"/>
  <c r="BT611" i="6"/>
  <c r="BC611" i="6"/>
  <c r="AX611" i="6"/>
  <c r="BH611" i="6"/>
  <c r="BN611" i="6"/>
  <c r="M612" i="6"/>
  <c r="BN612" i="6" s="1"/>
  <c r="BX612" i="6"/>
  <c r="N612" i="6"/>
  <c r="CL612" i="6"/>
  <c r="H612" i="6"/>
  <c r="T612" i="5" s="1"/>
  <c r="G612" i="6"/>
  <c r="BF612" i="6"/>
  <c r="BJ612" i="6"/>
  <c r="BQ612" i="6"/>
  <c r="CF612" i="6"/>
  <c r="BR612" i="6"/>
  <c r="BG612" i="6"/>
  <c r="CM612" i="6"/>
  <c r="CK612" i="6"/>
  <c r="CB612" i="6"/>
  <c r="CE612" i="6"/>
  <c r="BP612" i="6"/>
  <c r="L610" i="5"/>
  <c r="I610" i="12"/>
  <c r="AM610" i="5"/>
  <c r="Z610" i="5"/>
  <c r="I610" i="5"/>
  <c r="AC610" i="5"/>
  <c r="T607" i="12"/>
  <c r="V607" i="12"/>
  <c r="U607" i="12"/>
  <c r="V606" i="12"/>
  <c r="U606" i="12"/>
  <c r="T606" i="12"/>
  <c r="AK611" i="6"/>
  <c r="AM611" i="6"/>
  <c r="AZ611" i="6"/>
  <c r="AR611" i="6"/>
  <c r="AT611" i="6"/>
  <c r="AS611" i="6"/>
  <c r="BA611" i="6"/>
  <c r="AQ611" i="6"/>
  <c r="BP611" i="6"/>
  <c r="BH612" i="6" l="1"/>
  <c r="CJ612" i="6"/>
  <c r="BK612" i="6"/>
  <c r="CG612" i="6"/>
  <c r="CA612" i="6"/>
  <c r="BI612" i="6"/>
  <c r="BZ612" i="6"/>
  <c r="CI612" i="6"/>
  <c r="BE612" i="6"/>
  <c r="BO612" i="6"/>
  <c r="CD612" i="6"/>
  <c r="BC612" i="6"/>
  <c r="BV612" i="6"/>
  <c r="BD612" i="6"/>
  <c r="BS612" i="6"/>
  <c r="G612" i="12"/>
  <c r="X612" i="5"/>
  <c r="AS612" i="6"/>
  <c r="AQ612" i="6"/>
  <c r="AW612" i="6"/>
  <c r="V608" i="12"/>
  <c r="U608" i="12"/>
  <c r="T608" i="12"/>
  <c r="F614" i="6"/>
  <c r="E614" i="12"/>
  <c r="D609" i="12"/>
  <c r="E609" i="6"/>
  <c r="AJ612" i="6"/>
  <c r="AU612" i="6"/>
  <c r="AN612" i="6"/>
  <c r="AY612" i="6"/>
  <c r="G613" i="6"/>
  <c r="H613" i="6"/>
  <c r="T613" i="5" s="1"/>
  <c r="N613" i="6"/>
  <c r="M613" i="6"/>
  <c r="CJ613" i="6" s="1"/>
  <c r="D614" i="6"/>
  <c r="AA610" i="5"/>
  <c r="AB610" i="5"/>
  <c r="C610" i="12"/>
  <c r="M610" i="12"/>
  <c r="AO610" i="12"/>
  <c r="O610" i="12"/>
  <c r="AV612" i="6"/>
  <c r="BA612" i="6"/>
  <c r="BW612" i="6"/>
  <c r="BM612" i="6"/>
  <c r="CC612" i="6"/>
  <c r="BT612" i="6"/>
  <c r="CH612" i="6"/>
  <c r="BL612" i="6"/>
  <c r="BY612" i="6"/>
  <c r="AZ612" i="6"/>
  <c r="L611" i="5"/>
  <c r="AM611" i="5"/>
  <c r="I611" i="12"/>
  <c r="Z611" i="5"/>
  <c r="I611" i="5"/>
  <c r="AC611" i="5"/>
  <c r="AO612" i="6"/>
  <c r="AT612" i="6"/>
  <c r="C610" i="6"/>
  <c r="O610" i="5"/>
  <c r="AP612" i="6"/>
  <c r="AM612" i="6"/>
  <c r="AX612" i="6"/>
  <c r="AL612" i="6"/>
  <c r="AK612" i="6"/>
  <c r="AR612" i="6"/>
  <c r="Y609" i="12"/>
  <c r="L614" i="12"/>
  <c r="J614" i="12"/>
  <c r="D615" i="5"/>
  <c r="B615" i="12" s="1"/>
  <c r="J615" i="5"/>
  <c r="N615" i="5"/>
  <c r="B615" i="5"/>
  <c r="AE615" i="5"/>
  <c r="B615" i="6"/>
  <c r="E615" i="5"/>
  <c r="G615" i="5"/>
  <c r="F615" i="5"/>
  <c r="K615" i="5"/>
  <c r="R615" i="5"/>
  <c r="W615" i="5"/>
  <c r="H615" i="12" s="1"/>
  <c r="AD615" i="5"/>
  <c r="H615" i="5"/>
  <c r="A615" i="12"/>
  <c r="C616" i="5"/>
  <c r="BJ613" i="6" l="1"/>
  <c r="CL613" i="6"/>
  <c r="K614" i="12"/>
  <c r="N610" i="12"/>
  <c r="CH613" i="6"/>
  <c r="AU613" i="6"/>
  <c r="Y610" i="12"/>
  <c r="AS613" i="6"/>
  <c r="E615" i="12"/>
  <c r="F615" i="6"/>
  <c r="AB611" i="5"/>
  <c r="AA611" i="5"/>
  <c r="M614" i="6"/>
  <c r="CL614" i="6" s="1"/>
  <c r="N614" i="6"/>
  <c r="CB614" i="6"/>
  <c r="BQ614" i="6"/>
  <c r="H614" i="6"/>
  <c r="T614" i="5" s="1"/>
  <c r="CJ614" i="6"/>
  <c r="G614" i="6"/>
  <c r="BS614" i="6"/>
  <c r="BM614" i="6"/>
  <c r="BJ614" i="6"/>
  <c r="CG614" i="6"/>
  <c r="BR614" i="6"/>
  <c r="BG614" i="6"/>
  <c r="BC613" i="6"/>
  <c r="AX613" i="6"/>
  <c r="AO613" i="6"/>
  <c r="BO613" i="6"/>
  <c r="CB613" i="6"/>
  <c r="CF613" i="6"/>
  <c r="AL613" i="6"/>
  <c r="AT613" i="6"/>
  <c r="BR613" i="6"/>
  <c r="BQ613" i="6"/>
  <c r="BZ613" i="6"/>
  <c r="BM613" i="6"/>
  <c r="BS613" i="6"/>
  <c r="J615" i="12"/>
  <c r="L615" i="12"/>
  <c r="D615" i="6"/>
  <c r="W609" i="12"/>
  <c r="X609" i="12"/>
  <c r="J616" i="5"/>
  <c r="A616" i="12"/>
  <c r="F616" i="5"/>
  <c r="D616" i="5"/>
  <c r="B616" i="12" s="1"/>
  <c r="W616" i="5"/>
  <c r="H616" i="12" s="1"/>
  <c r="H616" i="5"/>
  <c r="N616" i="5"/>
  <c r="C617" i="5"/>
  <c r="R616" i="5"/>
  <c r="AE616" i="5"/>
  <c r="B616" i="6"/>
  <c r="E616" i="5"/>
  <c r="AD616" i="5"/>
  <c r="K616" i="5"/>
  <c r="G616" i="5"/>
  <c r="B616" i="5"/>
  <c r="C611" i="12"/>
  <c r="M611" i="12"/>
  <c r="AO611" i="12"/>
  <c r="O611" i="12"/>
  <c r="CM613" i="6"/>
  <c r="BN613" i="6"/>
  <c r="CC613" i="6"/>
  <c r="BA613" i="6"/>
  <c r="BH613" i="6"/>
  <c r="CD613" i="6"/>
  <c r="BD613" i="6"/>
  <c r="BL613" i="6"/>
  <c r="BI613" i="6"/>
  <c r="BK613" i="6"/>
  <c r="AQ613" i="6"/>
  <c r="BP613" i="6"/>
  <c r="CG613" i="6"/>
  <c r="AV613" i="6"/>
  <c r="E610" i="6"/>
  <c r="D610" i="12"/>
  <c r="BT613" i="6"/>
  <c r="CA613" i="6"/>
  <c r="CI613" i="6"/>
  <c r="CK613" i="6"/>
  <c r="BG613" i="6"/>
  <c r="BE613" i="6"/>
  <c r="CE613" i="6"/>
  <c r="AN613" i="6"/>
  <c r="BX613" i="6"/>
  <c r="BF613" i="6"/>
  <c r="AY613" i="6"/>
  <c r="AM612" i="5"/>
  <c r="L612" i="5"/>
  <c r="I612" i="12"/>
  <c r="Z612" i="5"/>
  <c r="I612" i="5"/>
  <c r="AC612" i="5"/>
  <c r="C611" i="6"/>
  <c r="O611" i="5"/>
  <c r="W610" i="12"/>
  <c r="X610" i="12"/>
  <c r="AK613" i="6"/>
  <c r="AZ613" i="6"/>
  <c r="AR613" i="6"/>
  <c r="AM613" i="6"/>
  <c r="BY613" i="6"/>
  <c r="BW613" i="6"/>
  <c r="G613" i="12"/>
  <c r="X613" i="5"/>
  <c r="AW613" i="6"/>
  <c r="BV613" i="6"/>
  <c r="AP613" i="6"/>
  <c r="BO614" i="6" l="1"/>
  <c r="BE614" i="6"/>
  <c r="BP614" i="6"/>
  <c r="CC614" i="6"/>
  <c r="Y611" i="12"/>
  <c r="BI614" i="6"/>
  <c r="BL614" i="6"/>
  <c r="BK614" i="6"/>
  <c r="BD614" i="6"/>
  <c r="CK614" i="6"/>
  <c r="CE614" i="6"/>
  <c r="BC614" i="6"/>
  <c r="K615" i="12"/>
  <c r="CA614" i="6"/>
  <c r="BN614" i="6"/>
  <c r="CF614" i="6"/>
  <c r="BT614" i="6"/>
  <c r="CI614" i="6"/>
  <c r="CD614" i="6"/>
  <c r="BY614" i="6"/>
  <c r="BF614" i="6"/>
  <c r="L613" i="5"/>
  <c r="AM613" i="5"/>
  <c r="I613" i="12"/>
  <c r="Z613" i="5"/>
  <c r="I613" i="5"/>
  <c r="AC613" i="5"/>
  <c r="AJ613" i="6"/>
  <c r="C612" i="6"/>
  <c r="O612" i="5"/>
  <c r="C612" i="12"/>
  <c r="AO612" i="12"/>
  <c r="M612" i="12"/>
  <c r="O612" i="12"/>
  <c r="AM614" i="6"/>
  <c r="AR614" i="6"/>
  <c r="CH614" i="6"/>
  <c r="AV614" i="6"/>
  <c r="E616" i="12"/>
  <c r="F616" i="6"/>
  <c r="V609" i="12"/>
  <c r="U609" i="12"/>
  <c r="T609" i="12"/>
  <c r="G614" i="12"/>
  <c r="X614" i="5"/>
  <c r="AW614" i="6"/>
  <c r="AN614" i="6"/>
  <c r="CM614" i="6"/>
  <c r="BW614" i="6"/>
  <c r="AS614" i="6"/>
  <c r="T610" i="12"/>
  <c r="V610" i="12"/>
  <c r="U610" i="12"/>
  <c r="N611" i="12"/>
  <c r="F617" i="5"/>
  <c r="B617" i="5"/>
  <c r="C618" i="5" s="1"/>
  <c r="AD617" i="5"/>
  <c r="J617" i="5"/>
  <c r="R617" i="5"/>
  <c r="G617" i="5"/>
  <c r="N617" i="5"/>
  <c r="B617" i="6"/>
  <c r="W617" i="5"/>
  <c r="H617" i="12" s="1"/>
  <c r="AE617" i="5"/>
  <c r="D617" i="5"/>
  <c r="B617" i="12" s="1"/>
  <c r="E617" i="5"/>
  <c r="H617" i="5"/>
  <c r="A617" i="12"/>
  <c r="K617" i="5"/>
  <c r="L616" i="12"/>
  <c r="J616" i="12"/>
  <c r="G615" i="6"/>
  <c r="M615" i="6"/>
  <c r="CD615" i="6" s="1"/>
  <c r="H615" i="6"/>
  <c r="T615" i="5" s="1"/>
  <c r="CI615" i="6"/>
  <c r="BW615" i="6"/>
  <c r="N615" i="6"/>
  <c r="CM615" i="6"/>
  <c r="BY615" i="6"/>
  <c r="CE615" i="6"/>
  <c r="AZ614" i="6"/>
  <c r="AK614" i="6"/>
  <c r="AY614" i="6"/>
  <c r="BX614" i="6"/>
  <c r="BH614" i="6"/>
  <c r="AL614" i="6"/>
  <c r="AU614" i="6"/>
  <c r="D611" i="12"/>
  <c r="E611" i="6"/>
  <c r="AB612" i="5"/>
  <c r="AA612" i="5"/>
  <c r="W611" i="12"/>
  <c r="X611" i="12"/>
  <c r="D616" i="6"/>
  <c r="AO614" i="6"/>
  <c r="AP614" i="6"/>
  <c r="BA614" i="6"/>
  <c r="AQ614" i="6"/>
  <c r="BZ614" i="6"/>
  <c r="BV614" i="6"/>
  <c r="AX614" i="6"/>
  <c r="AT614" i="6"/>
  <c r="Y612" i="12" l="1"/>
  <c r="BL615" i="6"/>
  <c r="AV615" i="6"/>
  <c r="BQ615" i="6"/>
  <c r="BJ615" i="6"/>
  <c r="CJ615" i="6"/>
  <c r="K616" i="12"/>
  <c r="A618" i="12"/>
  <c r="G618" i="5"/>
  <c r="I618" i="5"/>
  <c r="AE618" i="5"/>
  <c r="N618" i="5"/>
  <c r="AD618" i="5"/>
  <c r="B618" i="6"/>
  <c r="C619" i="5"/>
  <c r="F618" i="5"/>
  <c r="H618" i="5"/>
  <c r="W618" i="5"/>
  <c r="H618" i="12" s="1"/>
  <c r="E618" i="5"/>
  <c r="B618" i="5"/>
  <c r="G615" i="12"/>
  <c r="X615" i="5"/>
  <c r="AU615" i="6"/>
  <c r="BS615" i="6"/>
  <c r="BD615" i="6"/>
  <c r="BZ615" i="6"/>
  <c r="I614" i="12"/>
  <c r="AM614" i="5"/>
  <c r="L614" i="5"/>
  <c r="I614" i="5"/>
  <c r="Z614" i="5"/>
  <c r="AC614" i="5"/>
  <c r="AJ614" i="6"/>
  <c r="AA613" i="5"/>
  <c r="AB613" i="5"/>
  <c r="M616" i="6"/>
  <c r="BC616" i="6" s="1"/>
  <c r="CK616" i="6"/>
  <c r="BE616" i="6"/>
  <c r="BH616" i="6"/>
  <c r="G616" i="6"/>
  <c r="H616" i="6"/>
  <c r="T616" i="5" s="1"/>
  <c r="AW616" i="6"/>
  <c r="CI616" i="6"/>
  <c r="AN616" i="6"/>
  <c r="BL616" i="6"/>
  <c r="BG616" i="6"/>
  <c r="AX616" i="6"/>
  <c r="BJ616" i="6"/>
  <c r="N616" i="6"/>
  <c r="BA616" i="6"/>
  <c r="CM616" i="6"/>
  <c r="BD616" i="6"/>
  <c r="BZ616" i="6"/>
  <c r="CJ616" i="6"/>
  <c r="CL616" i="6"/>
  <c r="BO616" i="6"/>
  <c r="BN616" i="6"/>
  <c r="BV616" i="6"/>
  <c r="CG616" i="6"/>
  <c r="BM616" i="6"/>
  <c r="CA616" i="6"/>
  <c r="AQ615" i="6"/>
  <c r="AR615" i="6"/>
  <c r="CC615" i="6"/>
  <c r="BA615" i="6"/>
  <c r="BR615" i="6"/>
  <c r="AK615" i="6"/>
  <c r="BF615" i="6"/>
  <c r="AN615" i="6"/>
  <c r="BG615" i="6"/>
  <c r="BT615" i="6"/>
  <c r="BN615" i="6"/>
  <c r="AJ615" i="6"/>
  <c r="AZ615" i="6"/>
  <c r="BM615" i="6"/>
  <c r="CF615" i="6"/>
  <c r="D617" i="6"/>
  <c r="W612" i="12"/>
  <c r="X612" i="12"/>
  <c r="C613" i="12"/>
  <c r="O613" i="12"/>
  <c r="M613" i="12"/>
  <c r="AO613" i="12"/>
  <c r="V611" i="12"/>
  <c r="T611" i="12"/>
  <c r="U611" i="12"/>
  <c r="AP615" i="6"/>
  <c r="BP615" i="6"/>
  <c r="BV615" i="6"/>
  <c r="CH615" i="6"/>
  <c r="BX615" i="6"/>
  <c r="BK615" i="6"/>
  <c r="CA615" i="6"/>
  <c r="AS615" i="6"/>
  <c r="AY615" i="6"/>
  <c r="CB615" i="6"/>
  <c r="CL615" i="6"/>
  <c r="AT615" i="6"/>
  <c r="AM615" i="6"/>
  <c r="AO615" i="6"/>
  <c r="AL615" i="6"/>
  <c r="E617" i="12"/>
  <c r="F617" i="6"/>
  <c r="BO615" i="6"/>
  <c r="BH615" i="6"/>
  <c r="CK615" i="6"/>
  <c r="BE615" i="6"/>
  <c r="BC615" i="6"/>
  <c r="AW615" i="6"/>
  <c r="BI615" i="6"/>
  <c r="CG615" i="6"/>
  <c r="AX615" i="6"/>
  <c r="L617" i="12"/>
  <c r="J617" i="12"/>
  <c r="N612" i="12"/>
  <c r="D612" i="12"/>
  <c r="E612" i="6"/>
  <c r="C613" i="6"/>
  <c r="O613" i="5"/>
  <c r="BK616" i="6" l="1"/>
  <c r="CB616" i="6"/>
  <c r="BT616" i="6"/>
  <c r="BP616" i="6"/>
  <c r="AY616" i="6"/>
  <c r="AL616" i="6"/>
  <c r="N613" i="12"/>
  <c r="CE616" i="6"/>
  <c r="AR616" i="6"/>
  <c r="CD616" i="6"/>
  <c r="BQ616" i="6"/>
  <c r="AQ616" i="6"/>
  <c r="BS616" i="6"/>
  <c r="Y613" i="12"/>
  <c r="BX616" i="6"/>
  <c r="AV616" i="6"/>
  <c r="AM616" i="6"/>
  <c r="D613" i="12"/>
  <c r="E613" i="6"/>
  <c r="T612" i="12"/>
  <c r="U612" i="12"/>
  <c r="V612" i="12"/>
  <c r="BY616" i="6"/>
  <c r="BR616" i="6"/>
  <c r="AS616" i="6"/>
  <c r="BI616" i="6"/>
  <c r="CF616" i="6"/>
  <c r="AA614" i="5"/>
  <c r="AB614" i="5"/>
  <c r="C614" i="12"/>
  <c r="AO614" i="12"/>
  <c r="M614" i="12"/>
  <c r="O614" i="12"/>
  <c r="E619" i="5"/>
  <c r="H619" i="5"/>
  <c r="F619" i="5"/>
  <c r="J619" i="5"/>
  <c r="C620" i="5"/>
  <c r="K619" i="5"/>
  <c r="B619" i="5"/>
  <c r="N619" i="5"/>
  <c r="AD619" i="5"/>
  <c r="G619" i="5"/>
  <c r="R619" i="5"/>
  <c r="W619" i="5"/>
  <c r="H619" i="12" s="1"/>
  <c r="B619" i="6"/>
  <c r="AE619" i="5"/>
  <c r="D619" i="5"/>
  <c r="B619" i="12" s="1"/>
  <c r="A619" i="12"/>
  <c r="C614" i="6"/>
  <c r="O614" i="5"/>
  <c r="K617" i="12"/>
  <c r="N617" i="6"/>
  <c r="G617" i="6"/>
  <c r="M617" i="6"/>
  <c r="BQ617" i="6" s="1"/>
  <c r="H617" i="6"/>
  <c r="T617" i="5" s="1"/>
  <c r="BC617" i="6"/>
  <c r="BI617" i="6"/>
  <c r="CL617" i="6"/>
  <c r="CK617" i="6"/>
  <c r="G616" i="12"/>
  <c r="X616" i="5"/>
  <c r="AP616" i="6"/>
  <c r="CC616" i="6"/>
  <c r="CH616" i="6"/>
  <c r="BW616" i="6"/>
  <c r="BF616" i="6"/>
  <c r="L615" i="5"/>
  <c r="I615" i="12"/>
  <c r="AM615" i="5"/>
  <c r="Z615" i="5"/>
  <c r="I615" i="5"/>
  <c r="AC615" i="5"/>
  <c r="W613" i="12"/>
  <c r="X613" i="12"/>
  <c r="AT616" i="6"/>
  <c r="AK616" i="6"/>
  <c r="AU616" i="6"/>
  <c r="AO616" i="6"/>
  <c r="AZ616" i="6"/>
  <c r="D618" i="6"/>
  <c r="AP617" i="6" l="1"/>
  <c r="AX617" i="6"/>
  <c r="BY617" i="6"/>
  <c r="AU617" i="6"/>
  <c r="BT617" i="6"/>
  <c r="BH617" i="6"/>
  <c r="AQ617" i="6"/>
  <c r="BP617" i="6"/>
  <c r="BK617" i="6"/>
  <c r="BA617" i="6"/>
  <c r="BG617" i="6"/>
  <c r="CC617" i="6"/>
  <c r="AV617" i="6"/>
  <c r="CM617" i="6"/>
  <c r="AS617" i="6"/>
  <c r="BR617" i="6"/>
  <c r="CI617" i="6"/>
  <c r="BW617" i="6"/>
  <c r="AM617" i="6"/>
  <c r="BZ617" i="6"/>
  <c r="AZ617" i="6"/>
  <c r="N614" i="12"/>
  <c r="CA617" i="6"/>
  <c r="CE617" i="6"/>
  <c r="AY617" i="6"/>
  <c r="CF617" i="6"/>
  <c r="BX617" i="6"/>
  <c r="BE617" i="6"/>
  <c r="BO617" i="6"/>
  <c r="BG618" i="6"/>
  <c r="BO618" i="6"/>
  <c r="BP618" i="6"/>
  <c r="CH618" i="6"/>
  <c r="BL618" i="6"/>
  <c r="CA618" i="6"/>
  <c r="BV618" i="6"/>
  <c r="BM618" i="6"/>
  <c r="BE618" i="6"/>
  <c r="BY618" i="6"/>
  <c r="BT618" i="6"/>
  <c r="BH618" i="6"/>
  <c r="BD618" i="6"/>
  <c r="CI618" i="6"/>
  <c r="BJ618" i="6"/>
  <c r="BX618" i="6"/>
  <c r="CJ618" i="6"/>
  <c r="BR618" i="6"/>
  <c r="CM618" i="6"/>
  <c r="BI618" i="6"/>
  <c r="BW618" i="6"/>
  <c r="CE618" i="6"/>
  <c r="BS618" i="6"/>
  <c r="BF618" i="6"/>
  <c r="CF618" i="6"/>
  <c r="CK618" i="6"/>
  <c r="M618" i="6"/>
  <c r="AU618" i="6" s="1"/>
  <c r="BN618" i="6"/>
  <c r="CG618" i="6"/>
  <c r="BQ618" i="6"/>
  <c r="AP618" i="6"/>
  <c r="H618" i="6"/>
  <c r="T618" i="5" s="1"/>
  <c r="G618" i="12" s="1"/>
  <c r="CB618" i="6"/>
  <c r="CC618" i="6"/>
  <c r="AY618" i="6"/>
  <c r="BK618" i="6"/>
  <c r="CL618" i="6"/>
  <c r="BZ618" i="6"/>
  <c r="CD618" i="6"/>
  <c r="BC618" i="6"/>
  <c r="N618" i="6"/>
  <c r="G618" i="6"/>
  <c r="C615" i="12"/>
  <c r="AO615" i="12"/>
  <c r="M615" i="12"/>
  <c r="O615" i="12"/>
  <c r="CB617" i="6"/>
  <c r="CH617" i="6"/>
  <c r="BN617" i="6"/>
  <c r="BV617" i="6"/>
  <c r="BL617" i="6"/>
  <c r="CJ617" i="6"/>
  <c r="E614" i="6"/>
  <c r="D614" i="12"/>
  <c r="C615" i="6"/>
  <c r="O615" i="5"/>
  <c r="BJ617" i="6"/>
  <c r="AN617" i="6"/>
  <c r="AR617" i="6"/>
  <c r="BS617" i="6"/>
  <c r="AO617" i="6"/>
  <c r="AL617" i="6"/>
  <c r="AK617" i="6"/>
  <c r="CG617" i="6"/>
  <c r="J619" i="12"/>
  <c r="L619" i="12"/>
  <c r="K619" i="12" s="1"/>
  <c r="D619" i="6"/>
  <c r="H620" i="5"/>
  <c r="AD620" i="5"/>
  <c r="G620" i="5"/>
  <c r="N620" i="5"/>
  <c r="K620" i="5"/>
  <c r="A620" i="12"/>
  <c r="D620" i="5"/>
  <c r="B620" i="12" s="1"/>
  <c r="R620" i="5"/>
  <c r="AE620" i="5"/>
  <c r="J620" i="5"/>
  <c r="E620" i="5"/>
  <c r="B620" i="5"/>
  <c r="C621" i="5"/>
  <c r="F620" i="5"/>
  <c r="B620" i="6"/>
  <c r="W620" i="5"/>
  <c r="H620" i="12" s="1"/>
  <c r="Y614" i="12"/>
  <c r="AB615" i="5"/>
  <c r="AA615" i="5"/>
  <c r="V613" i="12"/>
  <c r="T613" i="12"/>
  <c r="U613" i="12"/>
  <c r="AM616" i="5"/>
  <c r="I616" i="12"/>
  <c r="L616" i="5"/>
  <c r="I616" i="5"/>
  <c r="Z616" i="5"/>
  <c r="AC616" i="5"/>
  <c r="AJ616" i="6"/>
  <c r="G617" i="12"/>
  <c r="X617" i="5"/>
  <c r="AW617" i="6"/>
  <c r="BF617" i="6"/>
  <c r="CD617" i="6"/>
  <c r="BM617" i="6"/>
  <c r="BD617" i="6"/>
  <c r="AT617" i="6"/>
  <c r="F619" i="6"/>
  <c r="E619" i="12"/>
  <c r="N615" i="12" l="1"/>
  <c r="AS618" i="6"/>
  <c r="AV618" i="6"/>
  <c r="AL618" i="6"/>
  <c r="C616" i="12"/>
  <c r="M616" i="12"/>
  <c r="O616" i="12"/>
  <c r="N616" i="12" s="1"/>
  <c r="AO616" i="12"/>
  <c r="B621" i="6"/>
  <c r="E621" i="5"/>
  <c r="D621" i="5"/>
  <c r="B621" i="12" s="1"/>
  <c r="J621" i="5"/>
  <c r="AE621" i="5"/>
  <c r="F621" i="5"/>
  <c r="R621" i="5"/>
  <c r="B621" i="5"/>
  <c r="G621" i="5"/>
  <c r="K621" i="5"/>
  <c r="H621" i="5"/>
  <c r="W621" i="5"/>
  <c r="H621" i="12" s="1"/>
  <c r="AD621" i="5"/>
  <c r="A621" i="12"/>
  <c r="C622" i="5"/>
  <c r="N621" i="5"/>
  <c r="F620" i="6"/>
  <c r="E620" i="12"/>
  <c r="D620" i="6"/>
  <c r="Y615" i="12"/>
  <c r="AQ618" i="6"/>
  <c r="AX618" i="6"/>
  <c r="AK618" i="6"/>
  <c r="I617" i="12"/>
  <c r="L617" i="5"/>
  <c r="AM617" i="5"/>
  <c r="I617" i="5"/>
  <c r="Z617" i="5"/>
  <c r="AC617" i="5"/>
  <c r="AJ617" i="6"/>
  <c r="AR618" i="6"/>
  <c r="AJ618" i="6"/>
  <c r="BA618" i="6"/>
  <c r="AB616" i="5"/>
  <c r="AA616" i="5"/>
  <c r="J620" i="12"/>
  <c r="L620" i="12"/>
  <c r="K620" i="12" s="1"/>
  <c r="AO618" i="6"/>
  <c r="AN618" i="6"/>
  <c r="N619" i="6"/>
  <c r="M619" i="6"/>
  <c r="CH619" i="6" s="1"/>
  <c r="G619" i="6"/>
  <c r="H619" i="6"/>
  <c r="T619" i="5" s="1"/>
  <c r="BJ619" i="6"/>
  <c r="C616" i="6"/>
  <c r="O616" i="5"/>
  <c r="W614" i="12"/>
  <c r="X614" i="12"/>
  <c r="E615" i="6"/>
  <c r="D615" i="12"/>
  <c r="AT618" i="6"/>
  <c r="AM618" i="6"/>
  <c r="AW618" i="6"/>
  <c r="AZ618" i="6"/>
  <c r="BM619" i="6" l="1"/>
  <c r="BP619" i="6"/>
  <c r="CG619" i="6"/>
  <c r="AV619" i="6"/>
  <c r="BT619" i="6"/>
  <c r="BE619" i="6"/>
  <c r="CM619" i="6"/>
  <c r="BZ619" i="6"/>
  <c r="BR619" i="6"/>
  <c r="BD619" i="6"/>
  <c r="CI619" i="6"/>
  <c r="BY619" i="6"/>
  <c r="BF619" i="6"/>
  <c r="BC619" i="6"/>
  <c r="BI619" i="6"/>
  <c r="BV619" i="6"/>
  <c r="AX619" i="6"/>
  <c r="CJ619" i="6"/>
  <c r="AP619" i="6"/>
  <c r="CE619" i="6"/>
  <c r="BG619" i="6"/>
  <c r="BX619" i="6"/>
  <c r="CL619" i="6"/>
  <c r="CB619" i="6"/>
  <c r="CK619" i="6"/>
  <c r="CD619" i="6"/>
  <c r="BS619" i="6"/>
  <c r="CC619" i="6"/>
  <c r="BL619" i="6"/>
  <c r="BH619" i="6"/>
  <c r="BK619" i="6"/>
  <c r="AQ619" i="6"/>
  <c r="CA619" i="6"/>
  <c r="BW619" i="6"/>
  <c r="AT619" i="6"/>
  <c r="CF619" i="6"/>
  <c r="BQ619" i="6"/>
  <c r="BN619" i="6"/>
  <c r="BO619" i="6"/>
  <c r="G619" i="12"/>
  <c r="X619" i="5"/>
  <c r="AJ619" i="6" s="1"/>
  <c r="AY619" i="6"/>
  <c r="C617" i="6"/>
  <c r="O617" i="5"/>
  <c r="J621" i="12"/>
  <c r="L621" i="12"/>
  <c r="Y616" i="12"/>
  <c r="AN619" i="6"/>
  <c r="AS619" i="6"/>
  <c r="AU619" i="6"/>
  <c r="AA617" i="5"/>
  <c r="AB617" i="5"/>
  <c r="C617" i="12"/>
  <c r="M617" i="12"/>
  <c r="O617" i="12"/>
  <c r="AO617" i="12"/>
  <c r="X615" i="12"/>
  <c r="W615" i="12"/>
  <c r="V614" i="12"/>
  <c r="U614" i="12"/>
  <c r="T614" i="12"/>
  <c r="AR619" i="6"/>
  <c r="AK619" i="6"/>
  <c r="AW619" i="6"/>
  <c r="D621" i="6"/>
  <c r="F621" i="6"/>
  <c r="E621" i="12"/>
  <c r="D616" i="12"/>
  <c r="E616" i="6"/>
  <c r="AO619" i="6"/>
  <c r="AL619" i="6"/>
  <c r="AM619" i="6"/>
  <c r="AZ619" i="6"/>
  <c r="BA619" i="6"/>
  <c r="M620" i="6"/>
  <c r="BS620" i="6" s="1"/>
  <c r="N620" i="6"/>
  <c r="CM620" i="6"/>
  <c r="CJ620" i="6"/>
  <c r="BD620" i="6"/>
  <c r="BJ620" i="6"/>
  <c r="BW620" i="6"/>
  <c r="BK620" i="6"/>
  <c r="CA620" i="6"/>
  <c r="BN620" i="6"/>
  <c r="BX620" i="6"/>
  <c r="CD620" i="6"/>
  <c r="BL620" i="6"/>
  <c r="CK620" i="6"/>
  <c r="BH620" i="6"/>
  <c r="CB620" i="6"/>
  <c r="CF620" i="6"/>
  <c r="CH620" i="6"/>
  <c r="BC620" i="6"/>
  <c r="H620" i="6"/>
  <c r="T620" i="5" s="1"/>
  <c r="CE620" i="6"/>
  <c r="BT620" i="6"/>
  <c r="BF620" i="6"/>
  <c r="BR620" i="6"/>
  <c r="CL620" i="6"/>
  <c r="CG620" i="6"/>
  <c r="BV620" i="6"/>
  <c r="BM620" i="6"/>
  <c r="BO620" i="6"/>
  <c r="BI620" i="6"/>
  <c r="BY620" i="6"/>
  <c r="BG620" i="6"/>
  <c r="BP620" i="6"/>
  <c r="AK620" i="6"/>
  <c r="G620" i="6"/>
  <c r="CI620" i="6"/>
  <c r="CC620" i="6"/>
  <c r="A622" i="12"/>
  <c r="B622" i="5"/>
  <c r="E622" i="5"/>
  <c r="G622" i="5"/>
  <c r="J622" i="5"/>
  <c r="K622" i="5"/>
  <c r="D622" i="5"/>
  <c r="B622" i="12" s="1"/>
  <c r="F622" i="5"/>
  <c r="N622" i="5"/>
  <c r="C623" i="5"/>
  <c r="R622" i="5"/>
  <c r="W622" i="5"/>
  <c r="H622" i="12" s="1"/>
  <c r="H622" i="5"/>
  <c r="B622" i="6"/>
  <c r="AE622" i="5"/>
  <c r="AD622" i="5"/>
  <c r="AL620" i="6" l="1"/>
  <c r="AN620" i="6"/>
  <c r="BZ620" i="6"/>
  <c r="Y617" i="12"/>
  <c r="K621" i="12"/>
  <c r="BE620" i="6"/>
  <c r="BQ620" i="6"/>
  <c r="D622" i="6"/>
  <c r="E622" i="12"/>
  <c r="F622" i="6"/>
  <c r="AZ620" i="6"/>
  <c r="BA620" i="6"/>
  <c r="AY620" i="6"/>
  <c r="AQ620" i="6"/>
  <c r="AV620" i="6"/>
  <c r="AW620" i="6"/>
  <c r="W617" i="12"/>
  <c r="X617" i="12"/>
  <c r="H623" i="5"/>
  <c r="B623" i="5"/>
  <c r="J623" i="5"/>
  <c r="W623" i="5"/>
  <c r="H623" i="12" s="1"/>
  <c r="K623" i="5"/>
  <c r="A623" i="12"/>
  <c r="N623" i="5"/>
  <c r="AE623" i="5"/>
  <c r="G623" i="5"/>
  <c r="B623" i="6"/>
  <c r="E623" i="5"/>
  <c r="R623" i="5"/>
  <c r="F623" i="5"/>
  <c r="C624" i="5"/>
  <c r="AD623" i="5"/>
  <c r="D623" i="5"/>
  <c r="B623" i="12" s="1"/>
  <c r="J622" i="12"/>
  <c r="L622" i="12"/>
  <c r="K622" i="12" s="1"/>
  <c r="AS620" i="6"/>
  <c r="AO620" i="6"/>
  <c r="AP620" i="6"/>
  <c r="AR620" i="6"/>
  <c r="AU620" i="6"/>
  <c r="N617" i="12"/>
  <c r="X616" i="12"/>
  <c r="W616" i="12"/>
  <c r="G620" i="12"/>
  <c r="X620" i="5"/>
  <c r="N621" i="6"/>
  <c r="H621" i="6"/>
  <c r="T621" i="5" s="1"/>
  <c r="M621" i="6"/>
  <c r="CG621" i="6" s="1"/>
  <c r="CI621" i="6"/>
  <c r="BX621" i="6"/>
  <c r="BF621" i="6"/>
  <c r="BE621" i="6"/>
  <c r="BN621" i="6"/>
  <c r="CE621" i="6"/>
  <c r="BR621" i="6"/>
  <c r="AK621" i="6"/>
  <c r="CA621" i="6"/>
  <c r="AP621" i="6"/>
  <c r="G621" i="6"/>
  <c r="T615" i="12"/>
  <c r="U615" i="12"/>
  <c r="V615" i="12"/>
  <c r="AM619" i="5"/>
  <c r="I619" i="12"/>
  <c r="L619" i="5"/>
  <c r="Z619" i="5"/>
  <c r="I619" i="5"/>
  <c r="AC619" i="5"/>
  <c r="AT620" i="6"/>
  <c r="AX620" i="6"/>
  <c r="AM620" i="6"/>
  <c r="E617" i="6"/>
  <c r="D617" i="12"/>
  <c r="AQ621" i="6" l="1"/>
  <c r="C619" i="12"/>
  <c r="M619" i="12"/>
  <c r="AO619" i="12"/>
  <c r="O619" i="12"/>
  <c r="AY621" i="6"/>
  <c r="BW621" i="6"/>
  <c r="CJ621" i="6"/>
  <c r="CC621" i="6"/>
  <c r="AM621" i="6"/>
  <c r="BT621" i="6"/>
  <c r="AN621" i="6"/>
  <c r="BP621" i="6"/>
  <c r="CH621" i="6"/>
  <c r="BZ621" i="6"/>
  <c r="BC621" i="6"/>
  <c r="AO621" i="6"/>
  <c r="BM621" i="6"/>
  <c r="BA621" i="6"/>
  <c r="BY621" i="6"/>
  <c r="T616" i="12"/>
  <c r="V616" i="12"/>
  <c r="U616" i="12"/>
  <c r="K624" i="5"/>
  <c r="E624" i="5"/>
  <c r="H624" i="5"/>
  <c r="B624" i="6"/>
  <c r="R624" i="5"/>
  <c r="W624" i="5"/>
  <c r="H624" i="12" s="1"/>
  <c r="F624" i="5"/>
  <c r="A624" i="12"/>
  <c r="AD624" i="5"/>
  <c r="G624" i="5"/>
  <c r="J624" i="5"/>
  <c r="D624" i="5"/>
  <c r="B624" i="12" s="1"/>
  <c r="B624" i="5"/>
  <c r="N624" i="5"/>
  <c r="C625" i="5"/>
  <c r="AE624" i="5"/>
  <c r="F623" i="6"/>
  <c r="E623" i="12"/>
  <c r="D623" i="6"/>
  <c r="T617" i="12"/>
  <c r="U617" i="12"/>
  <c r="V617" i="12"/>
  <c r="BI621" i="6"/>
  <c r="AB619" i="5"/>
  <c r="AA619" i="5"/>
  <c r="BO621" i="6"/>
  <c r="BH621" i="6"/>
  <c r="CD621" i="6"/>
  <c r="BS621" i="6"/>
  <c r="BV621" i="6"/>
  <c r="BL621" i="6"/>
  <c r="AR621" i="6"/>
  <c r="AS621" i="6"/>
  <c r="CL621" i="6"/>
  <c r="G621" i="12"/>
  <c r="X621" i="5"/>
  <c r="CB621" i="6"/>
  <c r="CM621" i="6"/>
  <c r="BJ621" i="6"/>
  <c r="L623" i="12"/>
  <c r="J623" i="12"/>
  <c r="BG621" i="6"/>
  <c r="C619" i="6"/>
  <c r="O619" i="5"/>
  <c r="CF621" i="6"/>
  <c r="AV621" i="6"/>
  <c r="AU621" i="6"/>
  <c r="BQ621" i="6"/>
  <c r="AW621" i="6"/>
  <c r="BD621" i="6"/>
  <c r="BK621" i="6"/>
  <c r="AZ621" i="6"/>
  <c r="AL621" i="6"/>
  <c r="CK621" i="6"/>
  <c r="AJ621" i="6"/>
  <c r="AT621" i="6"/>
  <c r="AX621" i="6"/>
  <c r="L620" i="5"/>
  <c r="AM620" i="5"/>
  <c r="I620" i="12"/>
  <c r="Z620" i="5"/>
  <c r="I620" i="5"/>
  <c r="AC620" i="5"/>
  <c r="AJ620" i="6"/>
  <c r="G622" i="6"/>
  <c r="M622" i="6"/>
  <c r="CE622" i="6" s="1"/>
  <c r="BW622" i="6"/>
  <c r="BX622" i="6"/>
  <c r="BL622" i="6"/>
  <c r="BF622" i="6"/>
  <c r="BH622" i="6"/>
  <c r="N622" i="6"/>
  <c r="BJ622" i="6"/>
  <c r="CG622" i="6"/>
  <c r="BK622" i="6"/>
  <c r="H622" i="6"/>
  <c r="T622" i="5" s="1"/>
  <c r="BO622" i="6" l="1"/>
  <c r="BS622" i="6"/>
  <c r="BC622" i="6"/>
  <c r="BT622" i="6"/>
  <c r="CL622" i="6"/>
  <c r="BG622" i="6"/>
  <c r="BY622" i="6"/>
  <c r="CD622" i="6"/>
  <c r="BR622" i="6"/>
  <c r="N619" i="12"/>
  <c r="AT622" i="6"/>
  <c r="BZ622" i="6"/>
  <c r="BN622" i="6"/>
  <c r="BV622" i="6"/>
  <c r="CA622" i="6"/>
  <c r="CC622" i="6"/>
  <c r="BM622" i="6"/>
  <c r="CI622" i="6"/>
  <c r="BI622" i="6"/>
  <c r="BD622" i="6"/>
  <c r="CF622" i="6"/>
  <c r="G622" i="12"/>
  <c r="X622" i="5"/>
  <c r="AJ622" i="6"/>
  <c r="AX622" i="6"/>
  <c r="AL622" i="6"/>
  <c r="BA622" i="6"/>
  <c r="CJ622" i="6"/>
  <c r="AO622" i="6"/>
  <c r="CH622" i="6"/>
  <c r="AY622" i="6"/>
  <c r="CM622" i="6"/>
  <c r="C620" i="6"/>
  <c r="O620" i="5"/>
  <c r="AP622" i="6"/>
  <c r="AS622" i="6"/>
  <c r="AW622" i="6"/>
  <c r="BQ622" i="6"/>
  <c r="CB622" i="6"/>
  <c r="BE622" i="6"/>
  <c r="AR622" i="6"/>
  <c r="AA620" i="5"/>
  <c r="AB620" i="5"/>
  <c r="K623" i="12"/>
  <c r="N623" i="6"/>
  <c r="M623" i="6"/>
  <c r="CM623" i="6" s="1"/>
  <c r="H623" i="6"/>
  <c r="T623" i="5" s="1"/>
  <c r="CB623" i="6"/>
  <c r="CL623" i="6"/>
  <c r="AV623" i="6"/>
  <c r="AP623" i="6"/>
  <c r="BZ623" i="6"/>
  <c r="BJ623" i="6"/>
  <c r="CK623" i="6"/>
  <c r="AY623" i="6"/>
  <c r="CC623" i="6"/>
  <c r="BO623" i="6"/>
  <c r="BY623" i="6"/>
  <c r="AX623" i="6"/>
  <c r="AR623" i="6"/>
  <c r="AN623" i="6"/>
  <c r="AQ623" i="6"/>
  <c r="G623" i="6"/>
  <c r="BX623" i="6"/>
  <c r="BF623" i="6"/>
  <c r="BE623" i="6"/>
  <c r="CE623" i="6"/>
  <c r="BR623" i="6"/>
  <c r="AS623" i="6"/>
  <c r="AT623" i="6"/>
  <c r="CD623" i="6"/>
  <c r="BI623" i="6"/>
  <c r="AW623" i="6"/>
  <c r="E624" i="12"/>
  <c r="F624" i="6"/>
  <c r="Y619" i="12"/>
  <c r="AQ622" i="6"/>
  <c r="AU622" i="6"/>
  <c r="BP622" i="6"/>
  <c r="CK622" i="6"/>
  <c r="C620" i="12"/>
  <c r="M620" i="12"/>
  <c r="AO620" i="12"/>
  <c r="O620" i="12"/>
  <c r="D619" i="12"/>
  <c r="E619" i="6"/>
  <c r="L624" i="12"/>
  <c r="J624" i="12"/>
  <c r="AN622" i="6"/>
  <c r="AZ622" i="6"/>
  <c r="AM622" i="6"/>
  <c r="AV622" i="6"/>
  <c r="AK622" i="6"/>
  <c r="AM621" i="5"/>
  <c r="I621" i="12"/>
  <c r="L621" i="5"/>
  <c r="I621" i="5"/>
  <c r="Z621" i="5"/>
  <c r="AC621" i="5"/>
  <c r="J625" i="5"/>
  <c r="AD625" i="5"/>
  <c r="B625" i="6"/>
  <c r="G625" i="5"/>
  <c r="F625" i="5"/>
  <c r="N625" i="5"/>
  <c r="B625" i="5"/>
  <c r="R625" i="5"/>
  <c r="H625" i="5"/>
  <c r="C626" i="5"/>
  <c r="D625" i="5"/>
  <c r="B625" i="12" s="1"/>
  <c r="E625" i="5"/>
  <c r="AE625" i="5"/>
  <c r="W625" i="5"/>
  <c r="H625" i="12" s="1"/>
  <c r="A625" i="12"/>
  <c r="K625" i="5"/>
  <c r="D624" i="6"/>
  <c r="N620" i="12" l="1"/>
  <c r="BP623" i="6"/>
  <c r="BQ623" i="6"/>
  <c r="K624" i="12"/>
  <c r="CA623" i="6"/>
  <c r="AK623" i="6"/>
  <c r="AO623" i="6"/>
  <c r="CI623" i="6"/>
  <c r="CH623" i="6"/>
  <c r="BG623" i="6"/>
  <c r="BT623" i="6"/>
  <c r="BN623" i="6"/>
  <c r="BV623" i="6"/>
  <c r="BD623" i="6"/>
  <c r="AZ623" i="6"/>
  <c r="CF623" i="6"/>
  <c r="BA623" i="6"/>
  <c r="BH623" i="6"/>
  <c r="BW623" i="6"/>
  <c r="BS623" i="6"/>
  <c r="BL623" i="6"/>
  <c r="CJ623" i="6"/>
  <c r="BC623" i="6"/>
  <c r="BM623" i="6"/>
  <c r="AB621" i="5"/>
  <c r="AA621" i="5"/>
  <c r="C627" i="5"/>
  <c r="B626" i="6"/>
  <c r="N626" i="5"/>
  <c r="W626" i="5"/>
  <c r="H626" i="12" s="1"/>
  <c r="AD626" i="5"/>
  <c r="A626" i="12"/>
  <c r="E626" i="5"/>
  <c r="AE626" i="5"/>
  <c r="J626" i="5"/>
  <c r="K626" i="5"/>
  <c r="H626" i="5"/>
  <c r="F626" i="5"/>
  <c r="R626" i="5"/>
  <c r="G626" i="5"/>
  <c r="B626" i="5"/>
  <c r="D626" i="5"/>
  <c r="B626" i="12" s="1"/>
  <c r="E625" i="12"/>
  <c r="F625" i="6"/>
  <c r="X619" i="12"/>
  <c r="W619" i="12"/>
  <c r="AL623" i="6"/>
  <c r="C621" i="6"/>
  <c r="O621" i="5"/>
  <c r="Y620" i="12"/>
  <c r="G623" i="12"/>
  <c r="X623" i="5"/>
  <c r="AM623" i="6"/>
  <c r="L625" i="12"/>
  <c r="J625" i="12"/>
  <c r="M624" i="6"/>
  <c r="CF624" i="6" s="1"/>
  <c r="BT624" i="6"/>
  <c r="G624" i="6"/>
  <c r="BD624" i="6"/>
  <c r="BW624" i="6"/>
  <c r="BS624" i="6"/>
  <c r="H624" i="6"/>
  <c r="T624" i="5" s="1"/>
  <c r="N624" i="6"/>
  <c r="BR624" i="6"/>
  <c r="BC624" i="6"/>
  <c r="BX624" i="6"/>
  <c r="CM624" i="6"/>
  <c r="AZ624" i="6"/>
  <c r="D625" i="6"/>
  <c r="C621" i="12"/>
  <c r="O621" i="12"/>
  <c r="AO621" i="12"/>
  <c r="M621" i="12"/>
  <c r="AU623" i="6"/>
  <c r="CG623" i="6"/>
  <c r="BK623" i="6"/>
  <c r="L622" i="5"/>
  <c r="AM622" i="5"/>
  <c r="I622" i="12"/>
  <c r="I622" i="5"/>
  <c r="Z622" i="5"/>
  <c r="AC622" i="5"/>
  <c r="E620" i="6"/>
  <c r="D620" i="12"/>
  <c r="AP624" i="6" l="1"/>
  <c r="CG624" i="6"/>
  <c r="BO624" i="6"/>
  <c r="CJ624" i="6"/>
  <c r="CL624" i="6"/>
  <c r="BP624" i="6"/>
  <c r="BN624" i="6"/>
  <c r="CH624" i="6"/>
  <c r="CE624" i="6"/>
  <c r="BE624" i="6"/>
  <c r="BJ624" i="6"/>
  <c r="BZ624" i="6"/>
  <c r="BF624" i="6"/>
  <c r="BL624" i="6"/>
  <c r="CD624" i="6"/>
  <c r="BH624" i="6"/>
  <c r="BK624" i="6"/>
  <c r="CK624" i="6"/>
  <c r="AS624" i="6"/>
  <c r="BM624" i="6"/>
  <c r="BQ624" i="6"/>
  <c r="CC624" i="6"/>
  <c r="BG624" i="6"/>
  <c r="CI624" i="6"/>
  <c r="CB624" i="6"/>
  <c r="Y621" i="12"/>
  <c r="AX624" i="6"/>
  <c r="AV624" i="6"/>
  <c r="BI624" i="6"/>
  <c r="AR624" i="6"/>
  <c r="K625" i="12"/>
  <c r="AA622" i="5"/>
  <c r="AB622" i="5"/>
  <c r="C622" i="6"/>
  <c r="O622" i="5"/>
  <c r="G625" i="6"/>
  <c r="N625" i="6"/>
  <c r="M625" i="6"/>
  <c r="BH625" i="6" s="1"/>
  <c r="BR625" i="6"/>
  <c r="BP625" i="6"/>
  <c r="BT625" i="6"/>
  <c r="BW625" i="6"/>
  <c r="BS625" i="6"/>
  <c r="BJ625" i="6"/>
  <c r="H625" i="6"/>
  <c r="T625" i="5" s="1"/>
  <c r="CG625" i="6"/>
  <c r="BF625" i="6"/>
  <c r="BK625" i="6"/>
  <c r="CF625" i="6"/>
  <c r="CB625" i="6"/>
  <c r="AO625" i="6"/>
  <c r="BL625" i="6"/>
  <c r="BI625" i="6"/>
  <c r="BG625" i="6"/>
  <c r="BN625" i="6"/>
  <c r="CL625" i="6"/>
  <c r="CM625" i="6"/>
  <c r="BM625" i="6"/>
  <c r="CJ625" i="6"/>
  <c r="BO625" i="6"/>
  <c r="BQ625" i="6"/>
  <c r="BX625" i="6"/>
  <c r="AZ625" i="6"/>
  <c r="BC625" i="6"/>
  <c r="BY625" i="6"/>
  <c r="AQ625" i="6"/>
  <c r="AN625" i="6"/>
  <c r="CC625" i="6"/>
  <c r="AP625" i="6"/>
  <c r="BD625" i="6"/>
  <c r="AK624" i="6"/>
  <c r="W620" i="12"/>
  <c r="X620" i="12"/>
  <c r="U619" i="12"/>
  <c r="V619" i="12"/>
  <c r="T619" i="12"/>
  <c r="G624" i="12"/>
  <c r="X624" i="5"/>
  <c r="AU624" i="6"/>
  <c r="AY624" i="6"/>
  <c r="BY624" i="6"/>
  <c r="CA624" i="6"/>
  <c r="D621" i="12"/>
  <c r="E621" i="6"/>
  <c r="F626" i="6"/>
  <c r="E626" i="12"/>
  <c r="B627" i="6"/>
  <c r="F627" i="5"/>
  <c r="G627" i="5"/>
  <c r="W627" i="5"/>
  <c r="H627" i="12" s="1"/>
  <c r="H627" i="5"/>
  <c r="J627" i="5"/>
  <c r="B627" i="5"/>
  <c r="A627" i="12"/>
  <c r="K627" i="5"/>
  <c r="N627" i="5"/>
  <c r="C628" i="5"/>
  <c r="D627" i="5"/>
  <c r="B627" i="12" s="1"/>
  <c r="R627" i="5"/>
  <c r="AE627" i="5"/>
  <c r="E627" i="5"/>
  <c r="AD627" i="5"/>
  <c r="X621" i="12"/>
  <c r="W621" i="12"/>
  <c r="C622" i="12"/>
  <c r="O622" i="12"/>
  <c r="N622" i="12" s="1"/>
  <c r="M622" i="12"/>
  <c r="AO622" i="12"/>
  <c r="N621" i="12"/>
  <c r="AO624" i="6"/>
  <c r="AW624" i="6"/>
  <c r="BA624" i="6"/>
  <c r="AQ624" i="6"/>
  <c r="BV624" i="6"/>
  <c r="AM624" i="6"/>
  <c r="AM623" i="5"/>
  <c r="I623" i="12"/>
  <c r="L623" i="5"/>
  <c r="I623" i="5"/>
  <c r="Z623" i="5"/>
  <c r="AC623" i="5"/>
  <c r="AJ623" i="6"/>
  <c r="L626" i="12"/>
  <c r="J626" i="12"/>
  <c r="AT624" i="6"/>
  <c r="AL624" i="6"/>
  <c r="AN624" i="6"/>
  <c r="AJ624" i="6"/>
  <c r="D626" i="6"/>
  <c r="CD625" i="6" l="1"/>
  <c r="C623" i="6"/>
  <c r="O623" i="5"/>
  <c r="D627" i="6"/>
  <c r="V620" i="12"/>
  <c r="T620" i="12"/>
  <c r="U620" i="12"/>
  <c r="CA625" i="6"/>
  <c r="CH625" i="6"/>
  <c r="E622" i="6"/>
  <c r="D622" i="12"/>
  <c r="C623" i="12"/>
  <c r="M623" i="12"/>
  <c r="AO623" i="12"/>
  <c r="O623" i="12"/>
  <c r="F627" i="6"/>
  <c r="E627" i="12"/>
  <c r="AV625" i="6"/>
  <c r="AR625" i="6"/>
  <c r="AY625" i="6"/>
  <c r="AT625" i="6"/>
  <c r="BV625" i="6"/>
  <c r="AU625" i="6"/>
  <c r="G626" i="6"/>
  <c r="N626" i="6"/>
  <c r="H626" i="6"/>
  <c r="T626" i="5" s="1"/>
  <c r="M626" i="6"/>
  <c r="BK626" i="6" s="1"/>
  <c r="CD626" i="6"/>
  <c r="BO626" i="6"/>
  <c r="AQ626" i="6"/>
  <c r="BV626" i="6"/>
  <c r="AN626" i="6"/>
  <c r="CH626" i="6"/>
  <c r="AZ626" i="6"/>
  <c r="CE626" i="6"/>
  <c r="CC626" i="6"/>
  <c r="AR626" i="6"/>
  <c r="BA626" i="6"/>
  <c r="K626" i="12"/>
  <c r="AB623" i="5"/>
  <c r="AA623" i="5"/>
  <c r="Y622" i="12"/>
  <c r="T621" i="12"/>
  <c r="V621" i="12"/>
  <c r="U621" i="12"/>
  <c r="L624" i="5"/>
  <c r="I624" i="12"/>
  <c r="AM624" i="5"/>
  <c r="I624" i="5"/>
  <c r="Z624" i="5"/>
  <c r="AC624" i="5"/>
  <c r="AM625" i="6"/>
  <c r="AW625" i="6"/>
  <c r="CE625" i="6"/>
  <c r="BA625" i="6"/>
  <c r="CI625" i="6"/>
  <c r="BE625" i="6"/>
  <c r="AS625" i="6"/>
  <c r="BZ625" i="6"/>
  <c r="AK625" i="6"/>
  <c r="AL625" i="6"/>
  <c r="H628" i="5"/>
  <c r="E628" i="5"/>
  <c r="F628" i="5"/>
  <c r="B628" i="6"/>
  <c r="A628" i="12"/>
  <c r="G628" i="5"/>
  <c r="AE628" i="5"/>
  <c r="I628" i="5"/>
  <c r="N628" i="5"/>
  <c r="W628" i="5"/>
  <c r="H628" i="12" s="1"/>
  <c r="AD628" i="5"/>
  <c r="B628" i="5"/>
  <c r="C629" i="5" s="1"/>
  <c r="J627" i="12"/>
  <c r="L627" i="12"/>
  <c r="K627" i="12" s="1"/>
  <c r="G625" i="12"/>
  <c r="X625" i="5"/>
  <c r="CK625" i="6"/>
  <c r="AX625" i="6"/>
  <c r="Y623" i="12" l="1"/>
  <c r="B629" i="6"/>
  <c r="H629" i="5"/>
  <c r="C630" i="5"/>
  <c r="B629" i="5"/>
  <c r="AE629" i="5"/>
  <c r="AD629" i="5"/>
  <c r="F629" i="5"/>
  <c r="E629" i="5"/>
  <c r="N629" i="5"/>
  <c r="I629" i="5"/>
  <c r="A629" i="12"/>
  <c r="G629" i="5"/>
  <c r="W629" i="5"/>
  <c r="H629" i="12" s="1"/>
  <c r="I625" i="12"/>
  <c r="AM625" i="5"/>
  <c r="L625" i="5"/>
  <c r="I625" i="5"/>
  <c r="Z625" i="5"/>
  <c r="AC625" i="5"/>
  <c r="AJ625" i="6"/>
  <c r="AP626" i="6"/>
  <c r="CL626" i="6"/>
  <c r="CA626" i="6"/>
  <c r="BN626" i="6"/>
  <c r="AM626" i="6"/>
  <c r="BY626" i="6"/>
  <c r="BL626" i="6"/>
  <c r="CB626" i="6"/>
  <c r="BF626" i="6"/>
  <c r="BH626" i="6"/>
  <c r="AV626" i="6"/>
  <c r="BJ626" i="6"/>
  <c r="AS626" i="6"/>
  <c r="G626" i="12"/>
  <c r="X626" i="5"/>
  <c r="AJ626" i="6" s="1"/>
  <c r="BT626" i="6"/>
  <c r="BW626" i="6"/>
  <c r="CG626" i="6"/>
  <c r="CM626" i="6"/>
  <c r="AW626" i="6"/>
  <c r="AT626" i="6"/>
  <c r="N623" i="12"/>
  <c r="G627" i="6"/>
  <c r="H627" i="6"/>
  <c r="T627" i="5" s="1"/>
  <c r="N627" i="6"/>
  <c r="M627" i="6"/>
  <c r="BH627" i="6" s="1"/>
  <c r="D628" i="6"/>
  <c r="C624" i="12"/>
  <c r="O624" i="12"/>
  <c r="M624" i="12"/>
  <c r="AO624" i="12"/>
  <c r="AY626" i="6"/>
  <c r="BD626" i="6"/>
  <c r="BG626" i="6"/>
  <c r="CF626" i="6"/>
  <c r="BC626" i="6"/>
  <c r="BS626" i="6"/>
  <c r="BM626" i="6"/>
  <c r="AU626" i="6"/>
  <c r="BI626" i="6"/>
  <c r="X623" i="12"/>
  <c r="W623" i="12"/>
  <c r="D623" i="12"/>
  <c r="E623" i="6"/>
  <c r="AB624" i="5"/>
  <c r="AA624" i="5"/>
  <c r="C624" i="6"/>
  <c r="O624" i="5"/>
  <c r="X622" i="12"/>
  <c r="W622" i="12"/>
  <c r="BZ626" i="6"/>
  <c r="AX626" i="6"/>
  <c r="CJ626" i="6"/>
  <c r="BQ626" i="6"/>
  <c r="AK626" i="6"/>
  <c r="BX626" i="6"/>
  <c r="AO626" i="6"/>
  <c r="CI626" i="6"/>
  <c r="BP626" i="6"/>
  <c r="CK626" i="6"/>
  <c r="AL626" i="6"/>
  <c r="BR626" i="6"/>
  <c r="BE626" i="6"/>
  <c r="CG627" i="6" l="1"/>
  <c r="Y624" i="12"/>
  <c r="AY627" i="6"/>
  <c r="U622" i="12"/>
  <c r="T622" i="12"/>
  <c r="V622" i="12"/>
  <c r="V623" i="12"/>
  <c r="T623" i="12"/>
  <c r="U623" i="12"/>
  <c r="X624" i="12"/>
  <c r="W624" i="12"/>
  <c r="BK627" i="6"/>
  <c r="AV627" i="6"/>
  <c r="BX627" i="6"/>
  <c r="AO627" i="6"/>
  <c r="BR627" i="6"/>
  <c r="BW627" i="6"/>
  <c r="CK627" i="6"/>
  <c r="AT627" i="6"/>
  <c r="AZ627" i="6"/>
  <c r="AR627" i="6"/>
  <c r="BZ627" i="6"/>
  <c r="BD627" i="6"/>
  <c r="BL627" i="6"/>
  <c r="AM626" i="5"/>
  <c r="I626" i="12"/>
  <c r="L626" i="5"/>
  <c r="Z626" i="5"/>
  <c r="I626" i="5"/>
  <c r="AC626" i="5"/>
  <c r="BP627" i="6"/>
  <c r="AN627" i="6"/>
  <c r="BC627" i="6"/>
  <c r="AQ627" i="6"/>
  <c r="BS627" i="6"/>
  <c r="BV627" i="6"/>
  <c r="BO627" i="6"/>
  <c r="BJ627" i="6"/>
  <c r="BI627" i="6"/>
  <c r="AM627" i="6"/>
  <c r="AW627" i="6"/>
  <c r="AS627" i="6"/>
  <c r="BY627" i="6"/>
  <c r="AB625" i="5"/>
  <c r="AA625" i="5"/>
  <c r="C625" i="12"/>
  <c r="M625" i="12"/>
  <c r="AO625" i="12"/>
  <c r="O625" i="12"/>
  <c r="AD630" i="5"/>
  <c r="F630" i="5"/>
  <c r="R630" i="5"/>
  <c r="W630" i="5"/>
  <c r="H630" i="12" s="1"/>
  <c r="J630" i="5"/>
  <c r="A630" i="12"/>
  <c r="B630" i="5"/>
  <c r="N630" i="5"/>
  <c r="K630" i="5"/>
  <c r="E630" i="5"/>
  <c r="G630" i="5"/>
  <c r="AE630" i="5"/>
  <c r="B630" i="6"/>
  <c r="C631" i="5"/>
  <c r="H630" i="5"/>
  <c r="D630" i="5"/>
  <c r="B630" i="12" s="1"/>
  <c r="E624" i="6"/>
  <c r="D624" i="12"/>
  <c r="N624" i="12"/>
  <c r="CI628" i="6"/>
  <c r="BI628" i="6"/>
  <c r="CD628" i="6"/>
  <c r="CE628" i="6"/>
  <c r="CA628" i="6"/>
  <c r="H628" i="6"/>
  <c r="T628" i="5" s="1"/>
  <c r="G628" i="12" s="1"/>
  <c r="BR628" i="6"/>
  <c r="BP628" i="6"/>
  <c r="BC628" i="6"/>
  <c r="BG628" i="6"/>
  <c r="CC628" i="6"/>
  <c r="N628" i="6"/>
  <c r="CL628" i="6"/>
  <c r="BF628" i="6"/>
  <c r="CK628" i="6"/>
  <c r="BV628" i="6"/>
  <c r="BX628" i="6"/>
  <c r="BS628" i="6"/>
  <c r="BJ628" i="6"/>
  <c r="BL628" i="6"/>
  <c r="BQ628" i="6"/>
  <c r="BZ628" i="6"/>
  <c r="BY628" i="6"/>
  <c r="G628" i="6"/>
  <c r="BO628" i="6"/>
  <c r="M628" i="6"/>
  <c r="BA628" i="6" s="1"/>
  <c r="BM628" i="6"/>
  <c r="BW628" i="6"/>
  <c r="BH628" i="6"/>
  <c r="AX628" i="6"/>
  <c r="BK628" i="6"/>
  <c r="CG628" i="6"/>
  <c r="BD628" i="6"/>
  <c r="BE628" i="6"/>
  <c r="CF628" i="6"/>
  <c r="AO628" i="6"/>
  <c r="BN628" i="6"/>
  <c r="CM628" i="6"/>
  <c r="CH628" i="6"/>
  <c r="CJ628" i="6"/>
  <c r="CB628" i="6"/>
  <c r="BT628" i="6"/>
  <c r="CM627" i="6"/>
  <c r="BQ627" i="6"/>
  <c r="CB627" i="6"/>
  <c r="CH627" i="6"/>
  <c r="BE627" i="6"/>
  <c r="CI627" i="6"/>
  <c r="CD627" i="6"/>
  <c r="BM627" i="6"/>
  <c r="AX627" i="6"/>
  <c r="CC627" i="6"/>
  <c r="CF627" i="6"/>
  <c r="AK627" i="6"/>
  <c r="AL627" i="6"/>
  <c r="BF627" i="6"/>
  <c r="CL627" i="6"/>
  <c r="CA627" i="6"/>
  <c r="BG627" i="6"/>
  <c r="BA627" i="6"/>
  <c r="BT627" i="6"/>
  <c r="AP627" i="6"/>
  <c r="BN627" i="6"/>
  <c r="AU627" i="6"/>
  <c r="G627" i="12"/>
  <c r="X627" i="5"/>
  <c r="CJ627" i="6"/>
  <c r="CE627" i="6"/>
  <c r="C625" i="6"/>
  <c r="O625" i="5"/>
  <c r="D629" i="6"/>
  <c r="AN628" i="6" l="1"/>
  <c r="AP628" i="6"/>
  <c r="AV628" i="6"/>
  <c r="N625" i="12"/>
  <c r="I627" i="12"/>
  <c r="L627" i="5"/>
  <c r="AM627" i="5"/>
  <c r="I627" i="5"/>
  <c r="Z627" i="5"/>
  <c r="AC627" i="5"/>
  <c r="E630" i="12"/>
  <c r="F630" i="6"/>
  <c r="C626" i="12"/>
  <c r="O626" i="12"/>
  <c r="N626" i="12" s="1"/>
  <c r="AO626" i="12"/>
  <c r="M626" i="12"/>
  <c r="AJ627" i="6"/>
  <c r="V624" i="12"/>
  <c r="U624" i="12"/>
  <c r="T624" i="12"/>
  <c r="AZ628" i="6"/>
  <c r="AT628" i="6"/>
  <c r="AY628" i="6"/>
  <c r="E631" i="5"/>
  <c r="B631" i="6"/>
  <c r="A631" i="12"/>
  <c r="D631" i="5"/>
  <c r="B631" i="12" s="1"/>
  <c r="W631" i="5"/>
  <c r="H631" i="12" s="1"/>
  <c r="C632" i="5"/>
  <c r="H631" i="5"/>
  <c r="K631" i="5"/>
  <c r="N631" i="5"/>
  <c r="J631" i="5"/>
  <c r="AE631" i="5"/>
  <c r="G631" i="5"/>
  <c r="AD631" i="5"/>
  <c r="B631" i="5"/>
  <c r="R631" i="5"/>
  <c r="F631" i="5"/>
  <c r="D630" i="6"/>
  <c r="AW628" i="6"/>
  <c r="AU628" i="6"/>
  <c r="AL628" i="6"/>
  <c r="AQ628" i="6"/>
  <c r="Y625" i="12"/>
  <c r="AA626" i="5"/>
  <c r="AB626" i="5"/>
  <c r="D625" i="12"/>
  <c r="E625" i="6"/>
  <c r="CG629" i="6"/>
  <c r="BF629" i="6"/>
  <c r="BD629" i="6"/>
  <c r="N629" i="6"/>
  <c r="CB629" i="6"/>
  <c r="BR629" i="6"/>
  <c r="BQ629" i="6"/>
  <c r="BT629" i="6"/>
  <c r="BM629" i="6"/>
  <c r="BV629" i="6"/>
  <c r="BC629" i="6"/>
  <c r="CE629" i="6"/>
  <c r="CL629" i="6"/>
  <c r="M629" i="6"/>
  <c r="BX629" i="6"/>
  <c r="CD629" i="6"/>
  <c r="CC629" i="6"/>
  <c r="CM629" i="6"/>
  <c r="BP629" i="6"/>
  <c r="BK629" i="6"/>
  <c r="BI629" i="6"/>
  <c r="G629" i="6"/>
  <c r="BZ629" i="6"/>
  <c r="BJ629" i="6"/>
  <c r="BY629" i="6"/>
  <c r="CK629" i="6"/>
  <c r="BL629" i="6"/>
  <c r="H629" i="6"/>
  <c r="T629" i="5" s="1"/>
  <c r="G629" i="12" s="1"/>
  <c r="CJ629" i="6"/>
  <c r="BO629" i="6"/>
  <c r="CF629" i="6"/>
  <c r="BG629" i="6"/>
  <c r="BN629" i="6"/>
  <c r="BS629" i="6"/>
  <c r="CH629" i="6"/>
  <c r="BW629" i="6"/>
  <c r="BH629" i="6"/>
  <c r="CA629" i="6"/>
  <c r="BE629" i="6"/>
  <c r="CI629" i="6"/>
  <c r="AS628" i="6"/>
  <c r="AK628" i="6"/>
  <c r="AJ628" i="6"/>
  <c r="AM628" i="6"/>
  <c r="AR628" i="6"/>
  <c r="L630" i="12"/>
  <c r="J630" i="12"/>
  <c r="C626" i="6"/>
  <c r="O626" i="5"/>
  <c r="AK629" i="6" l="1"/>
  <c r="AV629" i="6"/>
  <c r="AO629" i="6"/>
  <c r="AS629" i="6"/>
  <c r="E626" i="6"/>
  <c r="D626" i="12"/>
  <c r="AP629" i="6"/>
  <c r="AJ629" i="6"/>
  <c r="AX629" i="6"/>
  <c r="AY629" i="6"/>
  <c r="E631" i="12"/>
  <c r="F631" i="6"/>
  <c r="D631" i="6"/>
  <c r="K630" i="12"/>
  <c r="AZ629" i="6"/>
  <c r="AN629" i="6"/>
  <c r="AR629" i="6"/>
  <c r="AL629" i="6"/>
  <c r="AQ629" i="6"/>
  <c r="W625" i="12"/>
  <c r="X625" i="12"/>
  <c r="M630" i="6"/>
  <c r="BY630" i="6" s="1"/>
  <c r="BQ630" i="6"/>
  <c r="BN630" i="6"/>
  <c r="N630" i="6"/>
  <c r="CM630" i="6"/>
  <c r="BH630" i="6"/>
  <c r="CC630" i="6"/>
  <c r="BG630" i="6"/>
  <c r="BX630" i="6"/>
  <c r="CA630" i="6"/>
  <c r="BS630" i="6"/>
  <c r="G630" i="6"/>
  <c r="CL630" i="6"/>
  <c r="CE630" i="6"/>
  <c r="CG630" i="6"/>
  <c r="CH630" i="6"/>
  <c r="BO630" i="6"/>
  <c r="BK630" i="6"/>
  <c r="BM630" i="6"/>
  <c r="BP630" i="6"/>
  <c r="BF630" i="6"/>
  <c r="H630" i="6"/>
  <c r="T630" i="5" s="1"/>
  <c r="CF630" i="6"/>
  <c r="B632" i="6"/>
  <c r="F632" i="5"/>
  <c r="D632" i="5"/>
  <c r="B632" i="12" s="1"/>
  <c r="J632" i="5"/>
  <c r="W632" i="5"/>
  <c r="H632" i="12" s="1"/>
  <c r="H632" i="5"/>
  <c r="G632" i="5"/>
  <c r="R632" i="5"/>
  <c r="AD632" i="5"/>
  <c r="E632" i="5"/>
  <c r="B632" i="5"/>
  <c r="AE632" i="5"/>
  <c r="N632" i="5"/>
  <c r="A632" i="12"/>
  <c r="C633" i="5"/>
  <c r="K632" i="5"/>
  <c r="Y626" i="12"/>
  <c r="AT629" i="6"/>
  <c r="AU629" i="6"/>
  <c r="L631" i="12"/>
  <c r="J631" i="12"/>
  <c r="C627" i="6"/>
  <c r="O627" i="5"/>
  <c r="BA629" i="6"/>
  <c r="AM629" i="6"/>
  <c r="AW629" i="6"/>
  <c r="AA627" i="5"/>
  <c r="AB627" i="5"/>
  <c r="C627" i="12"/>
  <c r="O627" i="12"/>
  <c r="AO627" i="12"/>
  <c r="Y627" i="12" s="1"/>
  <c r="M627" i="12"/>
  <c r="D632" i="6" l="1"/>
  <c r="AW630" i="6"/>
  <c r="AK630" i="6"/>
  <c r="AN630" i="6"/>
  <c r="AQ630" i="6"/>
  <c r="CB630" i="6"/>
  <c r="AM630" i="6"/>
  <c r="W627" i="12"/>
  <c r="X627" i="12"/>
  <c r="D627" i="12"/>
  <c r="E627" i="6"/>
  <c r="N627" i="12"/>
  <c r="W626" i="12"/>
  <c r="X626" i="12"/>
  <c r="E633" i="5"/>
  <c r="B633" i="5"/>
  <c r="A633" i="12"/>
  <c r="K633" i="5"/>
  <c r="AD633" i="5"/>
  <c r="C634" i="5"/>
  <c r="N633" i="5"/>
  <c r="W633" i="5"/>
  <c r="H633" i="12" s="1"/>
  <c r="F633" i="5"/>
  <c r="J633" i="5"/>
  <c r="G633" i="5"/>
  <c r="R633" i="5"/>
  <c r="D633" i="5"/>
  <c r="B633" i="12" s="1"/>
  <c r="H633" i="5"/>
  <c r="B633" i="6"/>
  <c r="AE633" i="5"/>
  <c r="G630" i="12"/>
  <c r="X630" i="5"/>
  <c r="AJ630" i="6" s="1"/>
  <c r="AU630" i="6"/>
  <c r="CI630" i="6"/>
  <c r="BR630" i="6"/>
  <c r="CJ630" i="6"/>
  <c r="AL630" i="6"/>
  <c r="BZ630" i="6"/>
  <c r="BV630" i="6"/>
  <c r="BI630" i="6"/>
  <c r="BW630" i="6"/>
  <c r="BD630" i="6"/>
  <c r="K631" i="12"/>
  <c r="AP630" i="6"/>
  <c r="BE630" i="6"/>
  <c r="BL630" i="6"/>
  <c r="AT630" i="6"/>
  <c r="AS630" i="6"/>
  <c r="AZ630" i="6"/>
  <c r="AO630" i="6"/>
  <c r="BT630" i="6"/>
  <c r="J632" i="12"/>
  <c r="L632" i="12"/>
  <c r="E632" i="12"/>
  <c r="F632" i="6"/>
  <c r="AY630" i="6"/>
  <c r="AX630" i="6"/>
  <c r="AR630" i="6"/>
  <c r="BC630" i="6"/>
  <c r="CK630" i="6"/>
  <c r="AV630" i="6"/>
  <c r="BJ630" i="6"/>
  <c r="BA630" i="6"/>
  <c r="CD630" i="6"/>
  <c r="T625" i="12"/>
  <c r="V625" i="12"/>
  <c r="U625" i="12"/>
  <c r="H631" i="6"/>
  <c r="T631" i="5" s="1"/>
  <c r="G631" i="6"/>
  <c r="M631" i="6"/>
  <c r="CC631" i="6" s="1"/>
  <c r="N631" i="6"/>
  <c r="CH631" i="6" l="1"/>
  <c r="AZ631" i="6"/>
  <c r="CG631" i="6"/>
  <c r="BV631" i="6"/>
  <c r="BD631" i="6"/>
  <c r="AS631" i="6"/>
  <c r="CK631" i="6"/>
  <c r="AM631" i="6"/>
  <c r="AO631" i="6"/>
  <c r="BG631" i="6"/>
  <c r="BM631" i="6"/>
  <c r="BC631" i="6"/>
  <c r="AY631" i="6"/>
  <c r="BO631" i="6"/>
  <c r="AU631" i="6"/>
  <c r="BI631" i="6"/>
  <c r="BH631" i="6"/>
  <c r="CB631" i="6"/>
  <c r="BA631" i="6"/>
  <c r="BN631" i="6"/>
  <c r="AQ631" i="6"/>
  <c r="D633" i="6"/>
  <c r="J633" i="12"/>
  <c r="L633" i="12"/>
  <c r="U626" i="12"/>
  <c r="V626" i="12"/>
  <c r="T626" i="12"/>
  <c r="BQ631" i="6"/>
  <c r="AX631" i="6"/>
  <c r="CE631" i="6"/>
  <c r="AV631" i="6"/>
  <c r="BX631" i="6"/>
  <c r="AR631" i="6"/>
  <c r="BY631" i="6"/>
  <c r="B634" i="5"/>
  <c r="H634" i="5"/>
  <c r="B634" i="6"/>
  <c r="I634" i="5"/>
  <c r="E634" i="5"/>
  <c r="A634" i="12"/>
  <c r="AD634" i="5"/>
  <c r="N634" i="5"/>
  <c r="G634" i="5"/>
  <c r="F634" i="5"/>
  <c r="W634" i="5"/>
  <c r="H634" i="12" s="1"/>
  <c r="C635" i="5"/>
  <c r="AE634" i="5"/>
  <c r="U627" i="12"/>
  <c r="T627" i="12"/>
  <c r="V627" i="12"/>
  <c r="CD631" i="6"/>
  <c r="BP631" i="6"/>
  <c r="CJ631" i="6"/>
  <c r="G631" i="12"/>
  <c r="X631" i="5"/>
  <c r="K632" i="12"/>
  <c r="F633" i="6"/>
  <c r="E633" i="12"/>
  <c r="H632" i="6"/>
  <c r="T632" i="5" s="1"/>
  <c r="N632" i="6"/>
  <c r="G632" i="6"/>
  <c r="M632" i="6"/>
  <c r="BT632" i="6" s="1"/>
  <c r="CF631" i="6"/>
  <c r="CA631" i="6"/>
  <c r="BR631" i="6"/>
  <c r="AP631" i="6"/>
  <c r="CI631" i="6"/>
  <c r="BZ631" i="6"/>
  <c r="AT631" i="6"/>
  <c r="AK631" i="6"/>
  <c r="BT631" i="6"/>
  <c r="BF631" i="6"/>
  <c r="BK631" i="6"/>
  <c r="BL631" i="6"/>
  <c r="BJ631" i="6"/>
  <c r="CL631" i="6"/>
  <c r="AW631" i="6"/>
  <c r="CM631" i="6"/>
  <c r="AN631" i="6"/>
  <c r="BE631" i="6"/>
  <c r="BS631" i="6"/>
  <c r="AJ631" i="6"/>
  <c r="BW631" i="6"/>
  <c r="AL631" i="6"/>
  <c r="AM630" i="5"/>
  <c r="L630" i="5"/>
  <c r="I630" i="12"/>
  <c r="Z630" i="5"/>
  <c r="I630" i="5"/>
  <c r="AC630" i="5"/>
  <c r="K633" i="12" l="1"/>
  <c r="CC632" i="6"/>
  <c r="CJ632" i="6"/>
  <c r="C630" i="6"/>
  <c r="O630" i="5"/>
  <c r="AR632" i="6"/>
  <c r="AX632" i="6"/>
  <c r="AK632" i="6"/>
  <c r="BZ632" i="6"/>
  <c r="BO632" i="6"/>
  <c r="AO632" i="6"/>
  <c r="BD632" i="6"/>
  <c r="BC632" i="6"/>
  <c r="BS632" i="6"/>
  <c r="AY632" i="6"/>
  <c r="BX632" i="6"/>
  <c r="BI632" i="6"/>
  <c r="AZ632" i="6"/>
  <c r="BE632" i="6"/>
  <c r="CM632" i="6"/>
  <c r="BJ632" i="6"/>
  <c r="BG632" i="6"/>
  <c r="CG632" i="6"/>
  <c r="BK632" i="6"/>
  <c r="CB632" i="6"/>
  <c r="BN632" i="6"/>
  <c r="CA632" i="6"/>
  <c r="BR632" i="6"/>
  <c r="BW632" i="6"/>
  <c r="CL632" i="6"/>
  <c r="AP632" i="6"/>
  <c r="AL632" i="6"/>
  <c r="CE632" i="6"/>
  <c r="G632" i="12"/>
  <c r="X632" i="5"/>
  <c r="AJ632" i="6" s="1"/>
  <c r="I631" i="12"/>
  <c r="AM631" i="5"/>
  <c r="L631" i="5"/>
  <c r="I631" i="5"/>
  <c r="Z631" i="5"/>
  <c r="AC631" i="5"/>
  <c r="M633" i="6"/>
  <c r="BL633" i="6" s="1"/>
  <c r="H633" i="6"/>
  <c r="T633" i="5" s="1"/>
  <c r="CA633" i="6"/>
  <c r="BX633" i="6"/>
  <c r="BT633" i="6"/>
  <c r="BW633" i="6"/>
  <c r="N633" i="6"/>
  <c r="BP633" i="6"/>
  <c r="CJ633" i="6"/>
  <c r="BV633" i="6"/>
  <c r="AP633" i="6"/>
  <c r="CG633" i="6"/>
  <c r="BD633" i="6"/>
  <c r="BZ633" i="6"/>
  <c r="AV633" i="6"/>
  <c r="G633" i="6"/>
  <c r="CF633" i="6"/>
  <c r="CC633" i="6"/>
  <c r="BS633" i="6"/>
  <c r="BQ633" i="6"/>
  <c r="BK633" i="6"/>
  <c r="BH633" i="6"/>
  <c r="BN633" i="6"/>
  <c r="AB630" i="5"/>
  <c r="AA630" i="5"/>
  <c r="AS632" i="6"/>
  <c r="CH632" i="6"/>
  <c r="BQ632" i="6"/>
  <c r="CI632" i="6"/>
  <c r="AW632" i="6"/>
  <c r="AT632" i="6"/>
  <c r="AV632" i="6"/>
  <c r="AQ632" i="6"/>
  <c r="BM632" i="6"/>
  <c r="G635" i="5"/>
  <c r="H635" i="5"/>
  <c r="E635" i="5"/>
  <c r="R635" i="5"/>
  <c r="B635" i="6"/>
  <c r="AE635" i="5"/>
  <c r="B635" i="5"/>
  <c r="AD635" i="5"/>
  <c r="A635" i="12"/>
  <c r="N635" i="5"/>
  <c r="C636" i="5"/>
  <c r="W635" i="5"/>
  <c r="H635" i="12" s="1"/>
  <c r="J635" i="5"/>
  <c r="F635" i="5"/>
  <c r="K635" i="5"/>
  <c r="D635" i="5"/>
  <c r="B635" i="12" s="1"/>
  <c r="D634" i="6"/>
  <c r="C630" i="12"/>
  <c r="O630" i="12"/>
  <c r="AO630" i="12"/>
  <c r="Y630" i="12" s="1"/>
  <c r="M630" i="12"/>
  <c r="AU632" i="6"/>
  <c r="BL632" i="6"/>
  <c r="AM632" i="6"/>
  <c r="AN632" i="6"/>
  <c r="BA632" i="6"/>
  <c r="CK632" i="6"/>
  <c r="BH632" i="6"/>
  <c r="BF632" i="6"/>
  <c r="CF632" i="6"/>
  <c r="BV632" i="6"/>
  <c r="BY632" i="6"/>
  <c r="CD632" i="6"/>
  <c r="BP632" i="6"/>
  <c r="CL633" i="6" l="1"/>
  <c r="CI633" i="6"/>
  <c r="AT633" i="6"/>
  <c r="AN633" i="6"/>
  <c r="BA633" i="6"/>
  <c r="N630" i="12"/>
  <c r="BM633" i="6"/>
  <c r="CK633" i="6"/>
  <c r="CB633" i="6"/>
  <c r="AU633" i="6"/>
  <c r="BR633" i="6"/>
  <c r="AQ633" i="6"/>
  <c r="AW633" i="6"/>
  <c r="BY633" i="6"/>
  <c r="BF633" i="6"/>
  <c r="AK633" i="6"/>
  <c r="BC633" i="6"/>
  <c r="BO633" i="6"/>
  <c r="AM633" i="6"/>
  <c r="AY633" i="6"/>
  <c r="CD633" i="6"/>
  <c r="BI633" i="6"/>
  <c r="CM633" i="6"/>
  <c r="BJ633" i="6"/>
  <c r="BG633" i="6"/>
  <c r="BE633" i="6"/>
  <c r="CE633" i="6"/>
  <c r="AS633" i="6"/>
  <c r="AO633" i="6"/>
  <c r="AX633" i="6"/>
  <c r="AL633" i="6"/>
  <c r="D635" i="6"/>
  <c r="C631" i="6"/>
  <c r="O631" i="5"/>
  <c r="L635" i="12"/>
  <c r="K635" i="12" s="1"/>
  <c r="J635" i="12"/>
  <c r="CH633" i="6"/>
  <c r="F635" i="6"/>
  <c r="E635" i="12"/>
  <c r="AZ633" i="6"/>
  <c r="AR633" i="6"/>
  <c r="G633" i="12"/>
  <c r="X633" i="5"/>
  <c r="AA631" i="5"/>
  <c r="AB631" i="5"/>
  <c r="C631" i="12"/>
  <c r="M631" i="12"/>
  <c r="O631" i="12"/>
  <c r="AO631" i="12"/>
  <c r="D630" i="12"/>
  <c r="E630" i="6"/>
  <c r="W630" i="12"/>
  <c r="X630" i="12"/>
  <c r="BG634" i="6"/>
  <c r="BC634" i="6"/>
  <c r="CI634" i="6"/>
  <c r="BP634" i="6"/>
  <c r="G634" i="6"/>
  <c r="BL634" i="6"/>
  <c r="CB634" i="6"/>
  <c r="BS634" i="6"/>
  <c r="BW634" i="6"/>
  <c r="CD634" i="6"/>
  <c r="CH634" i="6"/>
  <c r="CM634" i="6"/>
  <c r="BQ634" i="6"/>
  <c r="BK634" i="6"/>
  <c r="CC634" i="6"/>
  <c r="BZ634" i="6"/>
  <c r="CG634" i="6"/>
  <c r="CF634" i="6"/>
  <c r="BD634" i="6"/>
  <c r="CK634" i="6"/>
  <c r="BX634" i="6"/>
  <c r="H634" i="6"/>
  <c r="T634" i="5" s="1"/>
  <c r="G634" i="12" s="1"/>
  <c r="BV634" i="6"/>
  <c r="BM634" i="6"/>
  <c r="CL634" i="6"/>
  <c r="BH634" i="6"/>
  <c r="BI634" i="6"/>
  <c r="CJ634" i="6"/>
  <c r="M634" i="6"/>
  <c r="BF634" i="6"/>
  <c r="BY634" i="6"/>
  <c r="BR634" i="6"/>
  <c r="N634" i="6"/>
  <c r="CA634" i="6"/>
  <c r="CE634" i="6"/>
  <c r="BT634" i="6"/>
  <c r="BO634" i="6"/>
  <c r="BE634" i="6"/>
  <c r="BJ634" i="6"/>
  <c r="BN634" i="6"/>
  <c r="H636" i="5"/>
  <c r="F636" i="5"/>
  <c r="B636" i="6"/>
  <c r="N636" i="5"/>
  <c r="AE636" i="5"/>
  <c r="G636" i="5"/>
  <c r="K634" i="5" s="1"/>
  <c r="AD636" i="5"/>
  <c r="I636" i="5"/>
  <c r="B636" i="5"/>
  <c r="C637" i="5"/>
  <c r="A636" i="12"/>
  <c r="W636" i="5"/>
  <c r="H636" i="12" s="1"/>
  <c r="E636" i="5"/>
  <c r="AM632" i="5"/>
  <c r="I632" i="12"/>
  <c r="L632" i="5"/>
  <c r="Z632" i="5"/>
  <c r="I632" i="5"/>
  <c r="AC632" i="5"/>
  <c r="Y631" i="12" l="1"/>
  <c r="AX634" i="6"/>
  <c r="AW634" i="6"/>
  <c r="AR634" i="6"/>
  <c r="AY634" i="6"/>
  <c r="N637" i="5"/>
  <c r="J637" i="5"/>
  <c r="H637" i="5"/>
  <c r="K637" i="5"/>
  <c r="F637" i="5"/>
  <c r="G637" i="5"/>
  <c r="C638" i="5"/>
  <c r="R637" i="5"/>
  <c r="AD637" i="5"/>
  <c r="B637" i="6"/>
  <c r="E637" i="5"/>
  <c r="D637" i="5"/>
  <c r="B637" i="12" s="1"/>
  <c r="A637" i="12"/>
  <c r="W637" i="5"/>
  <c r="H637" i="12" s="1"/>
  <c r="B637" i="5"/>
  <c r="AE637" i="5"/>
  <c r="AM634" i="6"/>
  <c r="AU634" i="6"/>
  <c r="BA634" i="6"/>
  <c r="AL634" i="6"/>
  <c r="AV634" i="6"/>
  <c r="X631" i="12"/>
  <c r="W631" i="12"/>
  <c r="E631" i="6"/>
  <c r="D631" i="12"/>
  <c r="AA632" i="5"/>
  <c r="AB632" i="5"/>
  <c r="AP634" i="6"/>
  <c r="AZ634" i="6"/>
  <c r="AK634" i="6"/>
  <c r="AQ634" i="6"/>
  <c r="T630" i="12"/>
  <c r="V630" i="12"/>
  <c r="U630" i="12"/>
  <c r="N631" i="12"/>
  <c r="C632" i="6"/>
  <c r="O632" i="5"/>
  <c r="D636" i="6"/>
  <c r="AT634" i="6"/>
  <c r="AO634" i="6"/>
  <c r="L633" i="5"/>
  <c r="AM633" i="5"/>
  <c r="I633" i="12"/>
  <c r="I633" i="5"/>
  <c r="Z633" i="5"/>
  <c r="AC633" i="5"/>
  <c r="AJ633" i="6"/>
  <c r="M635" i="6"/>
  <c r="BT635" i="6" s="1"/>
  <c r="N635" i="6"/>
  <c r="CM635" i="6"/>
  <c r="G635" i="6"/>
  <c r="CA635" i="6"/>
  <c r="H635" i="6"/>
  <c r="T635" i="5" s="1"/>
  <c r="BC635" i="6"/>
  <c r="C632" i="12"/>
  <c r="M632" i="12"/>
  <c r="AO632" i="12"/>
  <c r="O632" i="12"/>
  <c r="AN634" i="6"/>
  <c r="AS634" i="6"/>
  <c r="AJ634" i="6"/>
  <c r="BN635" i="6" l="1"/>
  <c r="BF635" i="6"/>
  <c r="BV635" i="6"/>
  <c r="BP635" i="6"/>
  <c r="CC635" i="6"/>
  <c r="CH635" i="6"/>
  <c r="BX635" i="6"/>
  <c r="BS635" i="6"/>
  <c r="BL635" i="6"/>
  <c r="BQ635" i="6"/>
  <c r="BK635" i="6"/>
  <c r="BY635" i="6"/>
  <c r="BJ635" i="6"/>
  <c r="BO635" i="6"/>
  <c r="CD635" i="6"/>
  <c r="BD635" i="6"/>
  <c r="BR635" i="6"/>
  <c r="CE635" i="6"/>
  <c r="CF635" i="6"/>
  <c r="BI635" i="6"/>
  <c r="CB635" i="6"/>
  <c r="BZ635" i="6"/>
  <c r="BM635" i="6"/>
  <c r="BG635" i="6"/>
  <c r="BE635" i="6"/>
  <c r="CL635" i="6"/>
  <c r="CI635" i="6"/>
  <c r="CK635" i="6"/>
  <c r="BW635" i="6"/>
  <c r="CG635" i="6"/>
  <c r="CJ635" i="6"/>
  <c r="BH635" i="6"/>
  <c r="G635" i="12"/>
  <c r="X635" i="5"/>
  <c r="AJ635" i="6" s="1"/>
  <c r="AL635" i="6"/>
  <c r="AY635" i="6"/>
  <c r="AP635" i="6"/>
  <c r="AK635" i="6"/>
  <c r="AQ635" i="6"/>
  <c r="AT635" i="6"/>
  <c r="N632" i="12"/>
  <c r="AZ635" i="6"/>
  <c r="AN635" i="6"/>
  <c r="AX635" i="6"/>
  <c r="AS635" i="6"/>
  <c r="AM635" i="6"/>
  <c r="AA633" i="5"/>
  <c r="AB633" i="5"/>
  <c r="C633" i="6"/>
  <c r="O633" i="5"/>
  <c r="BX636" i="6"/>
  <c r="BI636" i="6"/>
  <c r="BZ636" i="6"/>
  <c r="BS636" i="6"/>
  <c r="CA636" i="6"/>
  <c r="BO636" i="6"/>
  <c r="BK636" i="6"/>
  <c r="BH636" i="6"/>
  <c r="BD636" i="6"/>
  <c r="BL636" i="6"/>
  <c r="BJ636" i="6"/>
  <c r="BT636" i="6"/>
  <c r="CG636" i="6"/>
  <c r="BY636" i="6"/>
  <c r="CK636" i="6"/>
  <c r="CJ636" i="6"/>
  <c r="H636" i="6"/>
  <c r="T636" i="5" s="1"/>
  <c r="G636" i="12" s="1"/>
  <c r="BN636" i="6"/>
  <c r="BV636" i="6"/>
  <c r="BW636" i="6"/>
  <c r="BQ636" i="6"/>
  <c r="BG636" i="6"/>
  <c r="CE636" i="6"/>
  <c r="CH636" i="6"/>
  <c r="CL636" i="6"/>
  <c r="CF636" i="6"/>
  <c r="CD636" i="6"/>
  <c r="N636" i="6"/>
  <c r="CI636" i="6"/>
  <c r="BR636" i="6"/>
  <c r="BF636" i="6"/>
  <c r="CB636" i="6"/>
  <c r="BP636" i="6"/>
  <c r="CC636" i="6"/>
  <c r="BE636" i="6"/>
  <c r="CM636" i="6"/>
  <c r="M636" i="6"/>
  <c r="AJ636" i="6" s="1"/>
  <c r="BM636" i="6"/>
  <c r="BC636" i="6"/>
  <c r="G636" i="6"/>
  <c r="E637" i="12"/>
  <c r="F637" i="6"/>
  <c r="AW635" i="6"/>
  <c r="Y632" i="12"/>
  <c r="AR635" i="6"/>
  <c r="AO635" i="6"/>
  <c r="AV635" i="6"/>
  <c r="BA635" i="6"/>
  <c r="AU635" i="6"/>
  <c r="D632" i="12"/>
  <c r="E632" i="6"/>
  <c r="U631" i="12"/>
  <c r="V631" i="12"/>
  <c r="T631" i="12"/>
  <c r="L637" i="12"/>
  <c r="J637" i="12"/>
  <c r="E638" i="5"/>
  <c r="C639" i="5"/>
  <c r="D638" i="5"/>
  <c r="B638" i="12" s="1"/>
  <c r="K638" i="5"/>
  <c r="G638" i="5"/>
  <c r="A638" i="12"/>
  <c r="R638" i="5"/>
  <c r="J638" i="5"/>
  <c r="B638" i="5"/>
  <c r="N638" i="5"/>
  <c r="AE638" i="5"/>
  <c r="W638" i="5"/>
  <c r="H638" i="12" s="1"/>
  <c r="F638" i="5"/>
  <c r="H638" i="5"/>
  <c r="AD638" i="5"/>
  <c r="B638" i="6"/>
  <c r="D637" i="6"/>
  <c r="C633" i="12"/>
  <c r="O633" i="12"/>
  <c r="AO633" i="12"/>
  <c r="M633" i="12"/>
  <c r="K637" i="12" l="1"/>
  <c r="Y633" i="12"/>
  <c r="AN636" i="6"/>
  <c r="AS636" i="6"/>
  <c r="AR636" i="6"/>
  <c r="AZ636" i="6"/>
  <c r="AV636" i="6"/>
  <c r="AL636" i="6"/>
  <c r="X632" i="12"/>
  <c r="W632" i="12"/>
  <c r="AP636" i="6"/>
  <c r="X633" i="12"/>
  <c r="W633" i="12"/>
  <c r="D638" i="6"/>
  <c r="F638" i="6"/>
  <c r="E638" i="12"/>
  <c r="AO636" i="6"/>
  <c r="AU636" i="6"/>
  <c r="N633" i="12"/>
  <c r="N637" i="6"/>
  <c r="M637" i="6"/>
  <c r="BV637" i="6" s="1"/>
  <c r="H637" i="6"/>
  <c r="T637" i="5" s="1"/>
  <c r="CG637" i="6"/>
  <c r="BP637" i="6"/>
  <c r="BC637" i="6"/>
  <c r="BG637" i="6"/>
  <c r="BR637" i="6"/>
  <c r="BX637" i="6"/>
  <c r="BF637" i="6"/>
  <c r="CE637" i="6"/>
  <c r="CC637" i="6"/>
  <c r="AS637" i="6"/>
  <c r="AL637" i="6"/>
  <c r="AY637" i="6"/>
  <c r="AO637" i="6"/>
  <c r="BN637" i="6"/>
  <c r="BH637" i="6"/>
  <c r="BM637" i="6"/>
  <c r="BS637" i="6"/>
  <c r="CI637" i="6"/>
  <c r="BI637" i="6"/>
  <c r="CF637" i="6"/>
  <c r="BJ637" i="6"/>
  <c r="BL637" i="6"/>
  <c r="CJ637" i="6"/>
  <c r="AM637" i="6"/>
  <c r="AW637" i="6"/>
  <c r="AU637" i="6"/>
  <c r="CM637" i="6"/>
  <c r="BQ637" i="6"/>
  <c r="AV637" i="6"/>
  <c r="AQ637" i="6"/>
  <c r="CB637" i="6"/>
  <c r="BY637" i="6"/>
  <c r="BT637" i="6"/>
  <c r="G637" i="6"/>
  <c r="BK637" i="6"/>
  <c r="CL637" i="6"/>
  <c r="AR637" i="6"/>
  <c r="BW637" i="6"/>
  <c r="AX637" i="6"/>
  <c r="AP637" i="6"/>
  <c r="L638" i="12"/>
  <c r="J638" i="12"/>
  <c r="BA636" i="6"/>
  <c r="AK636" i="6"/>
  <c r="AT636" i="6"/>
  <c r="D633" i="12"/>
  <c r="E633" i="6"/>
  <c r="L635" i="5"/>
  <c r="I635" i="12"/>
  <c r="AM635" i="5"/>
  <c r="Z635" i="5"/>
  <c r="I635" i="5"/>
  <c r="AC635" i="5"/>
  <c r="C640" i="5"/>
  <c r="G639" i="5"/>
  <c r="E639" i="5"/>
  <c r="AE639" i="5"/>
  <c r="D639" i="5"/>
  <c r="B639" i="12" s="1"/>
  <c r="A639" i="12"/>
  <c r="B639" i="5"/>
  <c r="F639" i="5"/>
  <c r="J639" i="5"/>
  <c r="B639" i="6"/>
  <c r="K639" i="5"/>
  <c r="W639" i="5"/>
  <c r="H639" i="12" s="1"/>
  <c r="H639" i="5"/>
  <c r="N639" i="5"/>
  <c r="AD639" i="5"/>
  <c r="R639" i="5"/>
  <c r="AX636" i="6"/>
  <c r="AY636" i="6"/>
  <c r="AM636" i="6"/>
  <c r="AQ636" i="6"/>
  <c r="AW636" i="6"/>
  <c r="CA637" i="6" l="1"/>
  <c r="AZ637" i="6"/>
  <c r="AT637" i="6"/>
  <c r="BD637" i="6"/>
  <c r="D639" i="6"/>
  <c r="H640" i="5"/>
  <c r="A640" i="12"/>
  <c r="D640" i="5"/>
  <c r="B640" i="12" s="1"/>
  <c r="N640" i="5"/>
  <c r="G640" i="5"/>
  <c r="B640" i="5"/>
  <c r="J640" i="5"/>
  <c r="B640" i="6"/>
  <c r="C641" i="5"/>
  <c r="F640" i="5"/>
  <c r="R640" i="5"/>
  <c r="W640" i="5"/>
  <c r="H640" i="12" s="1"/>
  <c r="AD640" i="5"/>
  <c r="K640" i="5"/>
  <c r="AE640" i="5"/>
  <c r="E640" i="5"/>
  <c r="AB635" i="5"/>
  <c r="AA635" i="5"/>
  <c r="BA637" i="6"/>
  <c r="BE637" i="6"/>
  <c r="BZ637" i="6"/>
  <c r="M638" i="6"/>
  <c r="BD638" i="6"/>
  <c r="BQ638" i="6"/>
  <c r="BX638" i="6"/>
  <c r="BJ638" i="6"/>
  <c r="BI638" i="6"/>
  <c r="BW638" i="6"/>
  <c r="CL638" i="6"/>
  <c r="BT638" i="6"/>
  <c r="BO638" i="6"/>
  <c r="CA638" i="6"/>
  <c r="BN638" i="6"/>
  <c r="CH638" i="6"/>
  <c r="CD638" i="6"/>
  <c r="CE638" i="6"/>
  <c r="BR638" i="6"/>
  <c r="BV638" i="6"/>
  <c r="CI638" i="6"/>
  <c r="CB638" i="6"/>
  <c r="BE638" i="6"/>
  <c r="H638" i="6"/>
  <c r="T638" i="5" s="1"/>
  <c r="G638" i="6"/>
  <c r="BH638" i="6"/>
  <c r="BC638" i="6"/>
  <c r="BF638" i="6"/>
  <c r="AW638" i="6"/>
  <c r="CG638" i="6"/>
  <c r="CC638" i="6"/>
  <c r="AZ638" i="6"/>
  <c r="CF638" i="6"/>
  <c r="AY638" i="6"/>
  <c r="BG638" i="6"/>
  <c r="BL638" i="6"/>
  <c r="CM638" i="6"/>
  <c r="CK638" i="6"/>
  <c r="BK638" i="6"/>
  <c r="AT638" i="6"/>
  <c r="CJ638" i="6"/>
  <c r="BY638" i="6"/>
  <c r="BM638" i="6"/>
  <c r="BZ638" i="6"/>
  <c r="N638" i="6"/>
  <c r="AP638" i="6"/>
  <c r="BS638" i="6"/>
  <c r="AR638" i="6"/>
  <c r="AM638" i="6"/>
  <c r="BP638" i="6"/>
  <c r="AN638" i="6"/>
  <c r="C635" i="12"/>
  <c r="M635" i="12"/>
  <c r="O635" i="12"/>
  <c r="AO635" i="12"/>
  <c r="AN637" i="6"/>
  <c r="CD637" i="6"/>
  <c r="CK637" i="6"/>
  <c r="BO637" i="6"/>
  <c r="T632" i="12"/>
  <c r="V632" i="12"/>
  <c r="U632" i="12"/>
  <c r="E639" i="12"/>
  <c r="F639" i="6"/>
  <c r="L639" i="12"/>
  <c r="J639" i="12"/>
  <c r="C635" i="6"/>
  <c r="O635" i="5"/>
  <c r="K638" i="12"/>
  <c r="G637" i="12"/>
  <c r="X637" i="5"/>
  <c r="AK637" i="6"/>
  <c r="CH637" i="6"/>
  <c r="V633" i="12"/>
  <c r="T633" i="12"/>
  <c r="U633" i="12"/>
  <c r="K639" i="12" l="1"/>
  <c r="Y635" i="12"/>
  <c r="E635" i="6"/>
  <c r="D635" i="12"/>
  <c r="AM637" i="5"/>
  <c r="I637" i="12"/>
  <c r="L637" i="5"/>
  <c r="Z637" i="5"/>
  <c r="I637" i="5"/>
  <c r="AC637" i="5"/>
  <c r="AJ637" i="6"/>
  <c r="G638" i="12"/>
  <c r="X638" i="5"/>
  <c r="AV638" i="6"/>
  <c r="AS638" i="6"/>
  <c r="J640" i="12"/>
  <c r="L640" i="12"/>
  <c r="X635" i="12"/>
  <c r="W635" i="12"/>
  <c r="AK638" i="6"/>
  <c r="AX638" i="6"/>
  <c r="E640" i="12"/>
  <c r="F640" i="6"/>
  <c r="D640" i="6"/>
  <c r="N635" i="12"/>
  <c r="AO638" i="6"/>
  <c r="AU638" i="6"/>
  <c r="AQ638" i="6"/>
  <c r="AL638" i="6"/>
  <c r="N639" i="6"/>
  <c r="G639" i="6"/>
  <c r="BT639" i="6"/>
  <c r="M639" i="6"/>
  <c r="BK639" i="6" s="1"/>
  <c r="CH639" i="6"/>
  <c r="CI639" i="6"/>
  <c r="BV639" i="6"/>
  <c r="H639" i="6"/>
  <c r="T639" i="5" s="1"/>
  <c r="BA638" i="6"/>
  <c r="AE641" i="5"/>
  <c r="C642" i="5"/>
  <c r="B641" i="5"/>
  <c r="F641" i="5"/>
  <c r="J641" i="5"/>
  <c r="G641" i="5"/>
  <c r="E641" i="5"/>
  <c r="W641" i="5"/>
  <c r="H641" i="12" s="1"/>
  <c r="H641" i="5"/>
  <c r="K641" i="5"/>
  <c r="AD641" i="5"/>
  <c r="N641" i="5"/>
  <c r="A641" i="12"/>
  <c r="B641" i="6"/>
  <c r="D641" i="5"/>
  <c r="B641" i="12" s="1"/>
  <c r="R641" i="5"/>
  <c r="BA639" i="6" l="1"/>
  <c r="K640" i="12"/>
  <c r="BE639" i="6"/>
  <c r="N642" i="5"/>
  <c r="AE642" i="5"/>
  <c r="C643" i="5"/>
  <c r="A642" i="12"/>
  <c r="D642" i="5"/>
  <c r="B642" i="12" s="1"/>
  <c r="G642" i="5"/>
  <c r="J642" i="5"/>
  <c r="AD642" i="5"/>
  <c r="W642" i="5"/>
  <c r="H642" i="12" s="1"/>
  <c r="F642" i="5"/>
  <c r="H642" i="5"/>
  <c r="E642" i="5"/>
  <c r="B642" i="5"/>
  <c r="K642" i="5"/>
  <c r="R642" i="5"/>
  <c r="B642" i="6"/>
  <c r="CD639" i="6"/>
  <c r="AP639" i="6"/>
  <c r="BI639" i="6"/>
  <c r="BD639" i="6"/>
  <c r="AS639" i="6"/>
  <c r="BR639" i="6"/>
  <c r="CE639" i="6"/>
  <c r="BS639" i="6"/>
  <c r="BH639" i="6"/>
  <c r="U635" i="12"/>
  <c r="T635" i="12"/>
  <c r="V635" i="12"/>
  <c r="C637" i="12"/>
  <c r="O637" i="12"/>
  <c r="N637" i="12" s="1"/>
  <c r="M637" i="12"/>
  <c r="AO637" i="12"/>
  <c r="Y637" i="12" s="1"/>
  <c r="D641" i="6"/>
  <c r="AX639" i="6"/>
  <c r="AQ639" i="6"/>
  <c r="CK639" i="6"/>
  <c r="CG639" i="6"/>
  <c r="BY639" i="6"/>
  <c r="BP639" i="6"/>
  <c r="AK639" i="6"/>
  <c r="AM639" i="6"/>
  <c r="AW639" i="6"/>
  <c r="CC639" i="6"/>
  <c r="BG639" i="6"/>
  <c r="AN639" i="6"/>
  <c r="AY639" i="6"/>
  <c r="I638" i="12"/>
  <c r="L638" i="5"/>
  <c r="AM638" i="5"/>
  <c r="Z638" i="5"/>
  <c r="I638" i="5"/>
  <c r="AC638" i="5"/>
  <c r="AJ638" i="6"/>
  <c r="F641" i="6"/>
  <c r="E641" i="12"/>
  <c r="G639" i="12"/>
  <c r="X639" i="5"/>
  <c r="AJ639" i="6" s="1"/>
  <c r="AT639" i="6"/>
  <c r="BJ639" i="6"/>
  <c r="CA639" i="6"/>
  <c r="AV639" i="6"/>
  <c r="BL639" i="6"/>
  <c r="AL639" i="6"/>
  <c r="BN639" i="6"/>
  <c r="BQ639" i="6"/>
  <c r="BM639" i="6"/>
  <c r="CL639" i="6"/>
  <c r="AB637" i="5"/>
  <c r="AA637" i="5"/>
  <c r="L641" i="12"/>
  <c r="J641" i="12"/>
  <c r="BW639" i="6"/>
  <c r="CF639" i="6"/>
  <c r="BF639" i="6"/>
  <c r="CB639" i="6"/>
  <c r="AO639" i="6"/>
  <c r="AU639" i="6"/>
  <c r="CM639" i="6"/>
  <c r="BZ639" i="6"/>
  <c r="AZ639" i="6"/>
  <c r="CJ639" i="6"/>
  <c r="BC639" i="6"/>
  <c r="BO639" i="6"/>
  <c r="BX639" i="6"/>
  <c r="AR639" i="6"/>
  <c r="H640" i="6"/>
  <c r="T640" i="5" s="1"/>
  <c r="G640" i="6"/>
  <c r="N640" i="6"/>
  <c r="CM640" i="6"/>
  <c r="AN640" i="6"/>
  <c r="M640" i="6"/>
  <c r="BE640" i="6" s="1"/>
  <c r="C637" i="6"/>
  <c r="O637" i="5"/>
  <c r="CD640" i="6" l="1"/>
  <c r="CE640" i="6"/>
  <c r="BC640" i="6"/>
  <c r="BY640" i="6"/>
  <c r="AY640" i="6"/>
  <c r="AQ640" i="6"/>
  <c r="BI640" i="6"/>
  <c r="CK640" i="6"/>
  <c r="AZ640" i="6"/>
  <c r="BZ640" i="6"/>
  <c r="BP640" i="6"/>
  <c r="CF640" i="6"/>
  <c r="BF640" i="6"/>
  <c r="C638" i="6"/>
  <c r="O638" i="5"/>
  <c r="J642" i="12"/>
  <c r="L642" i="12"/>
  <c r="BO640" i="6"/>
  <c r="AO640" i="6"/>
  <c r="BG640" i="6"/>
  <c r="CJ640" i="6"/>
  <c r="BX640" i="6"/>
  <c r="CH640" i="6"/>
  <c r="CI640" i="6"/>
  <c r="BR640" i="6"/>
  <c r="CB640" i="6"/>
  <c r="C638" i="12"/>
  <c r="O638" i="12"/>
  <c r="AO638" i="12"/>
  <c r="M638" i="12"/>
  <c r="N641" i="6"/>
  <c r="G641" i="6"/>
  <c r="M641" i="6"/>
  <c r="BO641" i="6" s="1"/>
  <c r="H641" i="6"/>
  <c r="T641" i="5" s="1"/>
  <c r="BC641" i="6"/>
  <c r="CH641" i="6"/>
  <c r="BD641" i="6"/>
  <c r="BE641" i="6"/>
  <c r="CA641" i="6"/>
  <c r="CL641" i="6"/>
  <c r="C644" i="5"/>
  <c r="AE643" i="5"/>
  <c r="AD643" i="5"/>
  <c r="W643" i="5"/>
  <c r="H643" i="12" s="1"/>
  <c r="B643" i="5"/>
  <c r="K643" i="5"/>
  <c r="F643" i="5"/>
  <c r="A643" i="12"/>
  <c r="N643" i="5"/>
  <c r="G643" i="5"/>
  <c r="J643" i="5"/>
  <c r="H643" i="5"/>
  <c r="E643" i="5"/>
  <c r="B643" i="6"/>
  <c r="R643" i="5"/>
  <c r="D643" i="5"/>
  <c r="B643" i="12" s="1"/>
  <c r="BJ640" i="6"/>
  <c r="D637" i="12"/>
  <c r="E637" i="6"/>
  <c r="AK640" i="6"/>
  <c r="AL640" i="6"/>
  <c r="AU640" i="6"/>
  <c r="BS640" i="6"/>
  <c r="BA640" i="6"/>
  <c r="CL640" i="6"/>
  <c r="BH640" i="6"/>
  <c r="AV640" i="6"/>
  <c r="K641" i="12"/>
  <c r="AB638" i="5"/>
  <c r="AA638" i="5"/>
  <c r="X637" i="12"/>
  <c r="W637" i="12"/>
  <c r="BT640" i="6"/>
  <c r="BL640" i="6"/>
  <c r="AM640" i="6"/>
  <c r="BW640" i="6"/>
  <c r="AR640" i="6"/>
  <c r="CG640" i="6"/>
  <c r="AP640" i="6"/>
  <c r="BN640" i="6"/>
  <c r="BV640" i="6"/>
  <c r="AW640" i="6"/>
  <c r="BD640" i="6"/>
  <c r="AT640" i="6"/>
  <c r="BM640" i="6"/>
  <c r="CA640" i="6"/>
  <c r="CC640" i="6"/>
  <c r="BK640" i="6"/>
  <c r="AX640" i="6"/>
  <c r="G640" i="12"/>
  <c r="X640" i="5"/>
  <c r="BQ640" i="6"/>
  <c r="AS640" i="6"/>
  <c r="I639" i="12"/>
  <c r="AM639" i="5"/>
  <c r="L639" i="5"/>
  <c r="Z639" i="5"/>
  <c r="I639" i="5"/>
  <c r="AC639" i="5"/>
  <c r="E642" i="12"/>
  <c r="F642" i="6"/>
  <c r="D642" i="6"/>
  <c r="N638" i="12" l="1"/>
  <c r="BS641" i="6"/>
  <c r="AV641" i="6"/>
  <c r="CD641" i="6"/>
  <c r="BA641" i="6"/>
  <c r="AO641" i="6"/>
  <c r="BZ641" i="6"/>
  <c r="AN641" i="6"/>
  <c r="BT641" i="6"/>
  <c r="AZ641" i="6"/>
  <c r="CM641" i="6"/>
  <c r="CB641" i="6"/>
  <c r="BG641" i="6"/>
  <c r="CI641" i="6"/>
  <c r="BH641" i="6"/>
  <c r="BQ641" i="6"/>
  <c r="AP641" i="6"/>
  <c r="BJ641" i="6"/>
  <c r="CJ641" i="6"/>
  <c r="AR641" i="6"/>
  <c r="BK641" i="6"/>
  <c r="AM641" i="6"/>
  <c r="CK641" i="6"/>
  <c r="CE641" i="6"/>
  <c r="CF641" i="6"/>
  <c r="AQ641" i="6"/>
  <c r="AX641" i="6"/>
  <c r="BP641" i="6"/>
  <c r="N642" i="6"/>
  <c r="M642" i="6"/>
  <c r="BF642" i="6" s="1"/>
  <c r="G642" i="6"/>
  <c r="BQ642" i="6"/>
  <c r="BN642" i="6"/>
  <c r="BZ642" i="6"/>
  <c r="CC642" i="6"/>
  <c r="H642" i="6"/>
  <c r="T642" i="5" s="1"/>
  <c r="C639" i="12"/>
  <c r="M639" i="12"/>
  <c r="O639" i="12"/>
  <c r="AO639" i="12"/>
  <c r="C639" i="6"/>
  <c r="O639" i="5"/>
  <c r="L640" i="5"/>
  <c r="AM640" i="5"/>
  <c r="I640" i="12"/>
  <c r="I640" i="5"/>
  <c r="Z640" i="5"/>
  <c r="AC640" i="5"/>
  <c r="J644" i="5"/>
  <c r="C645" i="5"/>
  <c r="W644" i="5"/>
  <c r="H644" i="12" s="1"/>
  <c r="G644" i="5"/>
  <c r="N644" i="5"/>
  <c r="F644" i="5"/>
  <c r="A644" i="12"/>
  <c r="AD644" i="5"/>
  <c r="B644" i="6"/>
  <c r="B644" i="5"/>
  <c r="AE644" i="5"/>
  <c r="D644" i="5"/>
  <c r="B644" i="12" s="1"/>
  <c r="K644" i="5"/>
  <c r="E644" i="5"/>
  <c r="R644" i="5"/>
  <c r="H644" i="5"/>
  <c r="G641" i="12"/>
  <c r="X641" i="5"/>
  <c r="AL641" i="6"/>
  <c r="AJ641" i="6"/>
  <c r="BM641" i="6"/>
  <c r="AU641" i="6"/>
  <c r="AT641" i="6"/>
  <c r="BI641" i="6"/>
  <c r="BR641" i="6"/>
  <c r="Y638" i="12"/>
  <c r="K642" i="12"/>
  <c r="E643" i="12"/>
  <c r="F643" i="6"/>
  <c r="J643" i="12"/>
  <c r="L643" i="12"/>
  <c r="AA639" i="5"/>
  <c r="AB639" i="5"/>
  <c r="AW641" i="6"/>
  <c r="BW641" i="6"/>
  <c r="BN641" i="6"/>
  <c r="BV641" i="6"/>
  <c r="AS641" i="6"/>
  <c r="CG641" i="6"/>
  <c r="BF641" i="6"/>
  <c r="BY641" i="6"/>
  <c r="AY641" i="6"/>
  <c r="CC641" i="6"/>
  <c r="BX641" i="6"/>
  <c r="AJ640" i="6"/>
  <c r="E638" i="6"/>
  <c r="D638" i="12"/>
  <c r="T637" i="12"/>
  <c r="V637" i="12"/>
  <c r="U637" i="12"/>
  <c r="D643" i="6"/>
  <c r="BL641" i="6"/>
  <c r="AK641" i="6"/>
  <c r="CL642" i="6" l="1"/>
  <c r="CM642" i="6"/>
  <c r="Y639" i="12"/>
  <c r="BV642" i="6"/>
  <c r="BJ642" i="6"/>
  <c r="BW642" i="6"/>
  <c r="BC642" i="6"/>
  <c r="CB642" i="6"/>
  <c r="CE642" i="6"/>
  <c r="BP642" i="6"/>
  <c r="BK642" i="6"/>
  <c r="CF642" i="6"/>
  <c r="BG642" i="6"/>
  <c r="BM642" i="6"/>
  <c r="BL642" i="6"/>
  <c r="CA642" i="6"/>
  <c r="BR642" i="6"/>
  <c r="CJ642" i="6"/>
  <c r="BO642" i="6"/>
  <c r="CK642" i="6"/>
  <c r="CI642" i="6"/>
  <c r="BI642" i="6"/>
  <c r="BE642" i="6"/>
  <c r="CH642" i="6"/>
  <c r="BY642" i="6"/>
  <c r="CD642" i="6"/>
  <c r="BS642" i="6"/>
  <c r="BX642" i="6"/>
  <c r="AT642" i="6"/>
  <c r="BH642" i="6"/>
  <c r="AQ642" i="6"/>
  <c r="AO642" i="6"/>
  <c r="AZ642" i="6"/>
  <c r="CG642" i="6"/>
  <c r="BD642" i="6"/>
  <c r="AY642" i="6"/>
  <c r="AV642" i="6"/>
  <c r="AX642" i="6"/>
  <c r="D645" i="5"/>
  <c r="B645" i="12" s="1"/>
  <c r="N645" i="5"/>
  <c r="E645" i="5"/>
  <c r="A645" i="12"/>
  <c r="AD645" i="5"/>
  <c r="B645" i="6"/>
  <c r="R645" i="5"/>
  <c r="J645" i="5"/>
  <c r="G645" i="5"/>
  <c r="C646" i="5"/>
  <c r="H645" i="5"/>
  <c r="K645" i="5"/>
  <c r="W645" i="5"/>
  <c r="H645" i="12" s="1"/>
  <c r="B645" i="5"/>
  <c r="F645" i="5"/>
  <c r="AE645" i="5"/>
  <c r="L644" i="12"/>
  <c r="J644" i="12"/>
  <c r="C640" i="12"/>
  <c r="M640" i="12"/>
  <c r="AO640" i="12"/>
  <c r="O640" i="12"/>
  <c r="AR642" i="6"/>
  <c r="W638" i="12"/>
  <c r="X638" i="12"/>
  <c r="I641" i="12"/>
  <c r="AM641" i="5"/>
  <c r="L641" i="5"/>
  <c r="Z641" i="5"/>
  <c r="I641" i="5"/>
  <c r="AC641" i="5"/>
  <c r="W639" i="12"/>
  <c r="X639" i="12"/>
  <c r="AN642" i="6"/>
  <c r="AS642" i="6"/>
  <c r="AM642" i="6"/>
  <c r="AL642" i="6"/>
  <c r="AK642" i="6"/>
  <c r="H643" i="6"/>
  <c r="T643" i="5" s="1"/>
  <c r="N643" i="6"/>
  <c r="M643" i="6"/>
  <c r="BS643" i="6" s="1"/>
  <c r="CH643" i="6"/>
  <c r="G643" i="6"/>
  <c r="BD643" i="6"/>
  <c r="E639" i="6"/>
  <c r="D639" i="12"/>
  <c r="G642" i="12"/>
  <c r="X642" i="5"/>
  <c r="K643" i="12"/>
  <c r="E644" i="12"/>
  <c r="F644" i="6"/>
  <c r="D644" i="6"/>
  <c r="AB640" i="5"/>
  <c r="AA640" i="5"/>
  <c r="C640" i="6"/>
  <c r="O640" i="5"/>
  <c r="N639" i="12"/>
  <c r="AU642" i="6"/>
  <c r="AW642" i="6"/>
  <c r="AP642" i="6"/>
  <c r="BA642" i="6"/>
  <c r="BT642" i="6"/>
  <c r="AM643" i="6" l="1"/>
  <c r="Y640" i="12"/>
  <c r="BO643" i="6"/>
  <c r="BG643" i="6"/>
  <c r="AX643" i="6"/>
  <c r="AW643" i="6"/>
  <c r="AN643" i="6"/>
  <c r="BF643" i="6"/>
  <c r="BA643" i="6"/>
  <c r="CC643" i="6"/>
  <c r="BN643" i="6"/>
  <c r="CK643" i="6"/>
  <c r="BV643" i="6"/>
  <c r="BL643" i="6"/>
  <c r="CA643" i="6"/>
  <c r="AZ643" i="6"/>
  <c r="AO643" i="6"/>
  <c r="BK643" i="6"/>
  <c r="AR643" i="6"/>
  <c r="AM642" i="5"/>
  <c r="L642" i="5"/>
  <c r="I642" i="12"/>
  <c r="Z642" i="5"/>
  <c r="I642" i="5"/>
  <c r="AC642" i="5"/>
  <c r="AT643" i="6"/>
  <c r="BC643" i="6"/>
  <c r="CB643" i="6"/>
  <c r="CL643" i="6"/>
  <c r="BX643" i="6"/>
  <c r="BW643" i="6"/>
  <c r="CJ643" i="6"/>
  <c r="U639" i="12"/>
  <c r="T639" i="12"/>
  <c r="V639" i="12"/>
  <c r="C641" i="6"/>
  <c r="O641" i="5"/>
  <c r="T638" i="12"/>
  <c r="U638" i="12"/>
  <c r="V638" i="12"/>
  <c r="E645" i="12"/>
  <c r="F645" i="6"/>
  <c r="E640" i="6"/>
  <c r="D640" i="12"/>
  <c r="AB641" i="5"/>
  <c r="AA641" i="5"/>
  <c r="D645" i="6"/>
  <c r="AY643" i="6"/>
  <c r="BR643" i="6"/>
  <c r="AK643" i="6"/>
  <c r="CE643" i="6"/>
  <c r="CM643" i="6"/>
  <c r="BI643" i="6"/>
  <c r="AQ643" i="6"/>
  <c r="CF643" i="6"/>
  <c r="AU643" i="6"/>
  <c r="BY643" i="6"/>
  <c r="BM643" i="6"/>
  <c r="BP643" i="6"/>
  <c r="G643" i="12"/>
  <c r="X643" i="5"/>
  <c r="AJ643" i="6" s="1"/>
  <c r="J645" i="12"/>
  <c r="L645" i="12"/>
  <c r="K645" i="12" s="1"/>
  <c r="M644" i="6"/>
  <c r="BX644" i="6" s="1"/>
  <c r="CA644" i="6"/>
  <c r="BN644" i="6"/>
  <c r="G644" i="6"/>
  <c r="H644" i="6"/>
  <c r="T644" i="5" s="1"/>
  <c r="BC644" i="6"/>
  <c r="BW644" i="6"/>
  <c r="AN644" i="6"/>
  <c r="BL644" i="6"/>
  <c r="BT644" i="6"/>
  <c r="BF644" i="6"/>
  <c r="N644" i="6"/>
  <c r="BV644" i="6"/>
  <c r="AR644" i="6"/>
  <c r="X640" i="12"/>
  <c r="W640" i="12"/>
  <c r="N646" i="5"/>
  <c r="J646" i="5"/>
  <c r="AE646" i="5"/>
  <c r="E646" i="5"/>
  <c r="B646" i="5"/>
  <c r="C647" i="5" s="1"/>
  <c r="F646" i="5"/>
  <c r="R646" i="5"/>
  <c r="W646" i="5"/>
  <c r="H646" i="12" s="1"/>
  <c r="AD646" i="5"/>
  <c r="K646" i="5"/>
  <c r="H646" i="5"/>
  <c r="G646" i="5"/>
  <c r="D646" i="5"/>
  <c r="B646" i="12" s="1"/>
  <c r="A646" i="12"/>
  <c r="B646" i="6"/>
  <c r="AJ642" i="6"/>
  <c r="BJ643" i="6"/>
  <c r="CG643" i="6"/>
  <c r="BQ643" i="6"/>
  <c r="AS643" i="6"/>
  <c r="BZ643" i="6"/>
  <c r="BT643" i="6"/>
  <c r="AP643" i="6"/>
  <c r="CD643" i="6"/>
  <c r="AV643" i="6"/>
  <c r="AL643" i="6"/>
  <c r="BE643" i="6"/>
  <c r="CI643" i="6"/>
  <c r="BH643" i="6"/>
  <c r="C641" i="12"/>
  <c r="M641" i="12"/>
  <c r="O641" i="12"/>
  <c r="N641" i="12" s="1"/>
  <c r="AO641" i="12"/>
  <c r="N640" i="12"/>
  <c r="K644" i="12"/>
  <c r="BM644" i="6" l="1"/>
  <c r="BJ644" i="6"/>
  <c r="CK644" i="6"/>
  <c r="CG644" i="6"/>
  <c r="BS644" i="6"/>
  <c r="BI644" i="6"/>
  <c r="AU644" i="6"/>
  <c r="AO644" i="6"/>
  <c r="AP644" i="6"/>
  <c r="CM644" i="6"/>
  <c r="BO644" i="6"/>
  <c r="AQ644" i="6"/>
  <c r="AK644" i="6"/>
  <c r="BZ644" i="6"/>
  <c r="BY644" i="6"/>
  <c r="BR644" i="6"/>
  <c r="CI644" i="6"/>
  <c r="BK644" i="6"/>
  <c r="AL644" i="6"/>
  <c r="CH644" i="6"/>
  <c r="BD644" i="6"/>
  <c r="BG644" i="6"/>
  <c r="CJ644" i="6"/>
  <c r="CB644" i="6"/>
  <c r="CE644" i="6"/>
  <c r="BH644" i="6"/>
  <c r="BQ644" i="6"/>
  <c r="BE644" i="6"/>
  <c r="AV644" i="6"/>
  <c r="AM644" i="6"/>
  <c r="CC644" i="6"/>
  <c r="AW644" i="6"/>
  <c r="AT644" i="6"/>
  <c r="BA644" i="6"/>
  <c r="AS644" i="6"/>
  <c r="AY644" i="6"/>
  <c r="AB642" i="5"/>
  <c r="AA642" i="5"/>
  <c r="G644" i="12"/>
  <c r="X644" i="5"/>
  <c r="AZ644" i="6"/>
  <c r="BP644" i="6"/>
  <c r="CD644" i="6"/>
  <c r="CF644" i="6"/>
  <c r="AX644" i="6"/>
  <c r="CL644" i="6"/>
  <c r="C642" i="12"/>
  <c r="AO642" i="12"/>
  <c r="O642" i="12"/>
  <c r="M642" i="12"/>
  <c r="B647" i="5"/>
  <c r="E647" i="5"/>
  <c r="AD647" i="5"/>
  <c r="H647" i="5"/>
  <c r="G647" i="5"/>
  <c r="N647" i="5"/>
  <c r="I647" i="5"/>
  <c r="W647" i="5"/>
  <c r="H647" i="12" s="1"/>
  <c r="C648" i="5"/>
  <c r="B647" i="6"/>
  <c r="A647" i="12"/>
  <c r="AE647" i="5"/>
  <c r="F647" i="5"/>
  <c r="AM643" i="5"/>
  <c r="I643" i="12"/>
  <c r="L643" i="5"/>
  <c r="I643" i="5"/>
  <c r="Z643" i="5"/>
  <c r="AC643" i="5"/>
  <c r="J646" i="12"/>
  <c r="L646" i="12"/>
  <c r="F646" i="6"/>
  <c r="E646" i="12"/>
  <c r="D646" i="6"/>
  <c r="E641" i="6"/>
  <c r="D641" i="12"/>
  <c r="C642" i="6"/>
  <c r="O642" i="5"/>
  <c r="H645" i="6"/>
  <c r="T645" i="5" s="1"/>
  <c r="N645" i="6"/>
  <c r="G645" i="6"/>
  <c r="BO645" i="6"/>
  <c r="CB645" i="6"/>
  <c r="BY645" i="6"/>
  <c r="M645" i="6"/>
  <c r="BL645" i="6" s="1"/>
  <c r="Y641" i="12"/>
  <c r="T640" i="12"/>
  <c r="V640" i="12"/>
  <c r="U640" i="12"/>
  <c r="CH645" i="6" l="1"/>
  <c r="CL645" i="6"/>
  <c r="CC645" i="6"/>
  <c r="AX645" i="6"/>
  <c r="AV645" i="6"/>
  <c r="CD645" i="6"/>
  <c r="BT645" i="6"/>
  <c r="N642" i="12"/>
  <c r="CM645" i="6"/>
  <c r="BX645" i="6"/>
  <c r="BE645" i="6"/>
  <c r="CG645" i="6"/>
  <c r="K646" i="12"/>
  <c r="AW645" i="6"/>
  <c r="BA645" i="6"/>
  <c r="BS645" i="6"/>
  <c r="BN645" i="6"/>
  <c r="BM645" i="6"/>
  <c r="AR645" i="6"/>
  <c r="AQ645" i="6"/>
  <c r="AM645" i="6"/>
  <c r="BK645" i="6"/>
  <c r="Y642" i="12"/>
  <c r="W642" i="12" s="1"/>
  <c r="AZ645" i="6"/>
  <c r="AP645" i="6"/>
  <c r="BD645" i="6"/>
  <c r="BG645" i="6"/>
  <c r="D647" i="6"/>
  <c r="AM644" i="5"/>
  <c r="I644" i="12"/>
  <c r="L644" i="5"/>
  <c r="Z644" i="5"/>
  <c r="I644" i="5"/>
  <c r="AC644" i="5"/>
  <c r="AJ644" i="6"/>
  <c r="AY645" i="6"/>
  <c r="AO645" i="6"/>
  <c r="AU645" i="6"/>
  <c r="BW645" i="6"/>
  <c r="BP645" i="6"/>
  <c r="AS645" i="6"/>
  <c r="BQ645" i="6"/>
  <c r="BV645" i="6"/>
  <c r="CA645" i="6"/>
  <c r="AN645" i="6"/>
  <c r="BF645" i="6"/>
  <c r="BZ645" i="6"/>
  <c r="G645" i="12"/>
  <c r="X645" i="5"/>
  <c r="AJ645" i="6" s="1"/>
  <c r="E648" i="5"/>
  <c r="H648" i="5"/>
  <c r="G648" i="5"/>
  <c r="K648" i="5"/>
  <c r="AD648" i="5"/>
  <c r="F648" i="5"/>
  <c r="R648" i="5"/>
  <c r="A648" i="12"/>
  <c r="N648" i="5"/>
  <c r="B648" i="6"/>
  <c r="AE648" i="5"/>
  <c r="J648" i="5"/>
  <c r="W648" i="5"/>
  <c r="H648" i="12" s="1"/>
  <c r="B648" i="5"/>
  <c r="C649" i="5"/>
  <c r="D648" i="5"/>
  <c r="B648" i="12" s="1"/>
  <c r="AB643" i="5"/>
  <c r="AA643" i="5"/>
  <c r="BI645" i="6"/>
  <c r="CE645" i="6"/>
  <c r="CI645" i="6"/>
  <c r="AT645" i="6"/>
  <c r="CF645" i="6"/>
  <c r="BH645" i="6"/>
  <c r="AK645" i="6"/>
  <c r="CJ645" i="6"/>
  <c r="BC645" i="6"/>
  <c r="BR645" i="6"/>
  <c r="AL645" i="6"/>
  <c r="CK645" i="6"/>
  <c r="BJ645" i="6"/>
  <c r="D642" i="12"/>
  <c r="E642" i="6"/>
  <c r="C643" i="6"/>
  <c r="O643" i="5"/>
  <c r="X641" i="12"/>
  <c r="W641" i="12"/>
  <c r="G646" i="6"/>
  <c r="N646" i="6"/>
  <c r="M646" i="6"/>
  <c r="CH646" i="6" s="1"/>
  <c r="H646" i="6"/>
  <c r="T646" i="5" s="1"/>
  <c r="BY646" i="6"/>
  <c r="BO646" i="6"/>
  <c r="CG646" i="6"/>
  <c r="CD646" i="6"/>
  <c r="BP646" i="6"/>
  <c r="CK646" i="6"/>
  <c r="BI646" i="6"/>
  <c r="BH646" i="6"/>
  <c r="BZ646" i="6"/>
  <c r="BQ646" i="6"/>
  <c r="C643" i="12"/>
  <c r="M643" i="12"/>
  <c r="AO643" i="12"/>
  <c r="O643" i="12"/>
  <c r="CF646" i="6" l="1"/>
  <c r="BW646" i="6"/>
  <c r="CJ646" i="6"/>
  <c r="BS646" i="6"/>
  <c r="CI646" i="6"/>
  <c r="BX646" i="6"/>
  <c r="BG646" i="6"/>
  <c r="BF646" i="6"/>
  <c r="CA646" i="6"/>
  <c r="BK646" i="6"/>
  <c r="CB646" i="6"/>
  <c r="X642" i="12"/>
  <c r="N643" i="12"/>
  <c r="BL646" i="6"/>
  <c r="BN646" i="6"/>
  <c r="AT646" i="6"/>
  <c r="AN646" i="6"/>
  <c r="CC646" i="6"/>
  <c r="BC646" i="6"/>
  <c r="CL646" i="6"/>
  <c r="CM646" i="6"/>
  <c r="BJ646" i="6"/>
  <c r="D649" i="5"/>
  <c r="B649" i="12" s="1"/>
  <c r="H649" i="5"/>
  <c r="G649" i="5"/>
  <c r="B649" i="6"/>
  <c r="K649" i="5"/>
  <c r="R649" i="5"/>
  <c r="W649" i="5"/>
  <c r="H649" i="12" s="1"/>
  <c r="AD649" i="5"/>
  <c r="F649" i="5"/>
  <c r="E649" i="5"/>
  <c r="AE649" i="5"/>
  <c r="J649" i="5"/>
  <c r="N649" i="5"/>
  <c r="A649" i="12"/>
  <c r="B649" i="5"/>
  <c r="C650" i="5" s="1"/>
  <c r="F648" i="6"/>
  <c r="E648" i="12"/>
  <c r="C644" i="12"/>
  <c r="O644" i="12"/>
  <c r="M644" i="12"/>
  <c r="AO644" i="12"/>
  <c r="Y643" i="12"/>
  <c r="AY646" i="6"/>
  <c r="AR646" i="6"/>
  <c r="AX646" i="6"/>
  <c r="AS646" i="6"/>
  <c r="AK646" i="6"/>
  <c r="BT646" i="6"/>
  <c r="BV646" i="6"/>
  <c r="BR646" i="6"/>
  <c r="BD646" i="6"/>
  <c r="E643" i="6"/>
  <c r="D643" i="12"/>
  <c r="L645" i="5"/>
  <c r="AM645" i="5"/>
  <c r="I645" i="12"/>
  <c r="Z645" i="5"/>
  <c r="I645" i="5"/>
  <c r="AC645" i="5"/>
  <c r="AQ646" i="6"/>
  <c r="AM646" i="6"/>
  <c r="AW646" i="6"/>
  <c r="AJ646" i="6"/>
  <c r="BA646" i="6"/>
  <c r="BM646" i="6"/>
  <c r="CE646" i="6"/>
  <c r="U641" i="12"/>
  <c r="T641" i="12"/>
  <c r="V641" i="12"/>
  <c r="U642" i="12"/>
  <c r="T642" i="12"/>
  <c r="V642" i="12"/>
  <c r="D648" i="6"/>
  <c r="AA644" i="5"/>
  <c r="AB644" i="5"/>
  <c r="G646" i="12"/>
  <c r="X646" i="5"/>
  <c r="AZ646" i="6"/>
  <c r="AU646" i="6"/>
  <c r="AP646" i="6"/>
  <c r="AO646" i="6"/>
  <c r="AL646" i="6"/>
  <c r="AV646" i="6"/>
  <c r="BE646" i="6"/>
  <c r="J648" i="12"/>
  <c r="L648" i="12"/>
  <c r="C644" i="6"/>
  <c r="O644" i="5"/>
  <c r="CL647" i="6"/>
  <c r="BS647" i="6"/>
  <c r="BW647" i="6"/>
  <c r="BP647" i="6"/>
  <c r="CG647" i="6"/>
  <c r="BE647" i="6"/>
  <c r="CE647" i="6"/>
  <c r="CK647" i="6"/>
  <c r="N647" i="6"/>
  <c r="BX647" i="6"/>
  <c r="BV647" i="6"/>
  <c r="BM647" i="6"/>
  <c r="H647" i="6"/>
  <c r="T647" i="5" s="1"/>
  <c r="G647" i="12" s="1"/>
  <c r="CC647" i="6"/>
  <c r="BD647" i="6"/>
  <c r="CF647" i="6"/>
  <c r="BN647" i="6"/>
  <c r="BR647" i="6"/>
  <c r="G647" i="6"/>
  <c r="BL647" i="6"/>
  <c r="BH647" i="6"/>
  <c r="AJ647" i="6"/>
  <c r="AO647" i="6"/>
  <c r="M647" i="6"/>
  <c r="AT647" i="6" s="1"/>
  <c r="CI647" i="6"/>
  <c r="BZ647" i="6"/>
  <c r="BO647" i="6"/>
  <c r="BI647" i="6"/>
  <c r="CH647" i="6"/>
  <c r="CB647" i="6"/>
  <c r="BK647" i="6"/>
  <c r="CJ647" i="6"/>
  <c r="AZ647" i="6"/>
  <c r="AM647" i="6"/>
  <c r="BC647" i="6"/>
  <c r="BG647" i="6"/>
  <c r="BA647" i="6"/>
  <c r="BF647" i="6"/>
  <c r="CA647" i="6"/>
  <c r="BT647" i="6"/>
  <c r="BQ647" i="6"/>
  <c r="BY647" i="6"/>
  <c r="CD647" i="6"/>
  <c r="AV647" i="6"/>
  <c r="CM647" i="6"/>
  <c r="BJ647" i="6"/>
  <c r="AR647" i="6" l="1"/>
  <c r="AU647" i="6"/>
  <c r="AP647" i="6"/>
  <c r="AK647" i="6"/>
  <c r="AX647" i="6"/>
  <c r="AL647" i="6"/>
  <c r="AN647" i="6"/>
  <c r="Y644" i="12"/>
  <c r="X644" i="12" s="1"/>
  <c r="I646" i="12"/>
  <c r="AM646" i="5"/>
  <c r="L646" i="5"/>
  <c r="I646" i="5"/>
  <c r="Z646" i="5"/>
  <c r="AC646" i="5"/>
  <c r="C645" i="6"/>
  <c r="O645" i="5"/>
  <c r="D649" i="6"/>
  <c r="W650" i="5"/>
  <c r="H650" i="12" s="1"/>
  <c r="C651" i="5"/>
  <c r="I650" i="5"/>
  <c r="F650" i="5"/>
  <c r="E650" i="5"/>
  <c r="G650" i="5"/>
  <c r="B650" i="5"/>
  <c r="A650" i="12"/>
  <c r="N650" i="5"/>
  <c r="B650" i="6"/>
  <c r="H650" i="5"/>
  <c r="AE650" i="5"/>
  <c r="AD650" i="5"/>
  <c r="K648" i="12"/>
  <c r="G648" i="6"/>
  <c r="N648" i="6"/>
  <c r="H648" i="6"/>
  <c r="T648" i="5" s="1"/>
  <c r="AT648" i="6"/>
  <c r="M648" i="6"/>
  <c r="CC648" i="6" s="1"/>
  <c r="AK648" i="6"/>
  <c r="AA645" i="5"/>
  <c r="AB645" i="5"/>
  <c r="N644" i="12"/>
  <c r="J649" i="12"/>
  <c r="L649" i="12"/>
  <c r="F649" i="6"/>
  <c r="E649" i="12"/>
  <c r="AS647" i="6"/>
  <c r="AQ647" i="6"/>
  <c r="AW647" i="6"/>
  <c r="AY647" i="6"/>
  <c r="D644" i="12"/>
  <c r="E644" i="6"/>
  <c r="C645" i="12"/>
  <c r="M645" i="12"/>
  <c r="AO645" i="12"/>
  <c r="O645" i="12"/>
  <c r="N645" i="12" s="1"/>
  <c r="X643" i="12"/>
  <c r="W643" i="12"/>
  <c r="AL648" i="6" l="1"/>
  <c r="AW648" i="6"/>
  <c r="BA648" i="6"/>
  <c r="AM648" i="6"/>
  <c r="CM648" i="6"/>
  <c r="AV648" i="6"/>
  <c r="BP648" i="6"/>
  <c r="CD648" i="6"/>
  <c r="BD648" i="6"/>
  <c r="W644" i="12"/>
  <c r="K649" i="12"/>
  <c r="BY648" i="6"/>
  <c r="BF648" i="6"/>
  <c r="BO648" i="6"/>
  <c r="Y645" i="12"/>
  <c r="CJ648" i="6"/>
  <c r="AU648" i="6"/>
  <c r="BL648" i="6"/>
  <c r="BI648" i="6"/>
  <c r="BX648" i="6"/>
  <c r="AN648" i="6"/>
  <c r="BK648" i="6"/>
  <c r="BS648" i="6"/>
  <c r="BJ648" i="6"/>
  <c r="CA648" i="6"/>
  <c r="CG648" i="6"/>
  <c r="CF648" i="6"/>
  <c r="BM648" i="6"/>
  <c r="BZ648" i="6"/>
  <c r="BN648" i="6"/>
  <c r="H649" i="6"/>
  <c r="T649" i="5" s="1"/>
  <c r="N649" i="6"/>
  <c r="G649" i="6"/>
  <c r="M649" i="6"/>
  <c r="BR649" i="6" s="1"/>
  <c r="CC649" i="6"/>
  <c r="CG649" i="6"/>
  <c r="BX649" i="6"/>
  <c r="AB646" i="5"/>
  <c r="AA646" i="5"/>
  <c r="C646" i="12"/>
  <c r="AO646" i="12"/>
  <c r="M646" i="12"/>
  <c r="O646" i="12"/>
  <c r="V643" i="12"/>
  <c r="T643" i="12"/>
  <c r="U643" i="12"/>
  <c r="AO648" i="6"/>
  <c r="BV648" i="6"/>
  <c r="BE648" i="6"/>
  <c r="G648" i="12"/>
  <c r="X648" i="5"/>
  <c r="AS648" i="6"/>
  <c r="AP648" i="6"/>
  <c r="BW648" i="6"/>
  <c r="CK648" i="6"/>
  <c r="CB648" i="6"/>
  <c r="BQ648" i="6"/>
  <c r="CH648" i="6"/>
  <c r="K647" i="5"/>
  <c r="A651" i="12"/>
  <c r="E651" i="5"/>
  <c r="B651" i="5"/>
  <c r="F651" i="5"/>
  <c r="G651" i="5"/>
  <c r="H651" i="5"/>
  <c r="K651" i="5"/>
  <c r="R651" i="5"/>
  <c r="C652" i="5"/>
  <c r="B651" i="6"/>
  <c r="AD651" i="5"/>
  <c r="N651" i="5"/>
  <c r="W651" i="5"/>
  <c r="H651" i="12" s="1"/>
  <c r="J651" i="5"/>
  <c r="AE651" i="5"/>
  <c r="D651" i="5"/>
  <c r="B651" i="12" s="1"/>
  <c r="E645" i="6"/>
  <c r="D645" i="12"/>
  <c r="AQ648" i="6"/>
  <c r="AR648" i="6"/>
  <c r="BC648" i="6"/>
  <c r="BT648" i="6"/>
  <c r="AY648" i="6"/>
  <c r="CL648" i="6"/>
  <c r="AZ648" i="6"/>
  <c r="CE648" i="6"/>
  <c r="CI648" i="6"/>
  <c r="AX648" i="6"/>
  <c r="BG648" i="6"/>
  <c r="BH648" i="6"/>
  <c r="BR648" i="6"/>
  <c r="D650" i="6"/>
  <c r="C646" i="6"/>
  <c r="O646" i="5"/>
  <c r="V644" i="12"/>
  <c r="U644" i="12"/>
  <c r="T644" i="12"/>
  <c r="AT649" i="6" l="1"/>
  <c r="AM649" i="6"/>
  <c r="CB649" i="6"/>
  <c r="CL649" i="6"/>
  <c r="N646" i="12"/>
  <c r="AK649" i="6"/>
  <c r="AV649" i="6"/>
  <c r="AX649" i="6"/>
  <c r="AP649" i="6"/>
  <c r="BS649" i="6"/>
  <c r="BM649" i="6"/>
  <c r="CF649" i="6"/>
  <c r="AO649" i="6"/>
  <c r="BT649" i="6"/>
  <c r="BW649" i="6"/>
  <c r="CI649" i="6"/>
  <c r="E646" i="6"/>
  <c r="D646" i="12"/>
  <c r="J651" i="12"/>
  <c r="L651" i="12"/>
  <c r="AN649" i="6"/>
  <c r="CA649" i="6"/>
  <c r="CE649" i="6"/>
  <c r="BP649" i="6"/>
  <c r="AQ649" i="6"/>
  <c r="BL649" i="6"/>
  <c r="BG649" i="6"/>
  <c r="AS649" i="6"/>
  <c r="BY649" i="6"/>
  <c r="BJ649" i="6"/>
  <c r="BA649" i="6"/>
  <c r="CJ649" i="6"/>
  <c r="BZ649" i="6"/>
  <c r="N650" i="6"/>
  <c r="BS650" i="6"/>
  <c r="H650" i="6"/>
  <c r="T650" i="5" s="1"/>
  <c r="G650" i="12" s="1"/>
  <c r="CC650" i="6"/>
  <c r="BV650" i="6"/>
  <c r="BM650" i="6"/>
  <c r="CG650" i="6"/>
  <c r="BG650" i="6"/>
  <c r="BO650" i="6"/>
  <c r="BJ650" i="6"/>
  <c r="BP650" i="6"/>
  <c r="BX650" i="6"/>
  <c r="BI650" i="6"/>
  <c r="CM650" i="6"/>
  <c r="BD650" i="6"/>
  <c r="CF650" i="6"/>
  <c r="CK650" i="6"/>
  <c r="CL650" i="6"/>
  <c r="CE650" i="6"/>
  <c r="CJ650" i="6"/>
  <c r="BL650" i="6"/>
  <c r="BY650" i="6"/>
  <c r="CA650" i="6"/>
  <c r="BE650" i="6"/>
  <c r="BW650" i="6"/>
  <c r="BR650" i="6"/>
  <c r="CD650" i="6"/>
  <c r="BQ650" i="6"/>
  <c r="BN650" i="6"/>
  <c r="G650" i="6"/>
  <c r="CI650" i="6"/>
  <c r="CB650" i="6"/>
  <c r="M650" i="6"/>
  <c r="AV650" i="6" s="1"/>
  <c r="BZ650" i="6"/>
  <c r="BH650" i="6"/>
  <c r="BC650" i="6"/>
  <c r="BF650" i="6"/>
  <c r="CH650" i="6"/>
  <c r="BT650" i="6"/>
  <c r="BK650" i="6"/>
  <c r="E651" i="12"/>
  <c r="F651" i="6"/>
  <c r="N652" i="5"/>
  <c r="D652" i="5"/>
  <c r="B652" i="12" s="1"/>
  <c r="AE652" i="5"/>
  <c r="AD652" i="5"/>
  <c r="F652" i="5"/>
  <c r="B652" i="6"/>
  <c r="C653" i="5"/>
  <c r="W652" i="5"/>
  <c r="H652" i="12" s="1"/>
  <c r="A652" i="12"/>
  <c r="J652" i="5"/>
  <c r="K652" i="5"/>
  <c r="B652" i="5"/>
  <c r="G652" i="5"/>
  <c r="H652" i="5"/>
  <c r="R652" i="5"/>
  <c r="E652" i="5"/>
  <c r="Y646" i="12"/>
  <c r="CK649" i="6"/>
  <c r="BF649" i="6"/>
  <c r="AY649" i="6"/>
  <c r="CH649" i="6"/>
  <c r="BK649" i="6"/>
  <c r="AU649" i="6"/>
  <c r="BV649" i="6"/>
  <c r="AR649" i="6"/>
  <c r="BC649" i="6"/>
  <c r="BO649" i="6"/>
  <c r="AL649" i="6"/>
  <c r="BQ649" i="6"/>
  <c r="BD649" i="6"/>
  <c r="D651" i="6"/>
  <c r="L648" i="5"/>
  <c r="I648" i="12"/>
  <c r="AM648" i="5"/>
  <c r="I648" i="5"/>
  <c r="Z648" i="5"/>
  <c r="AC648" i="5"/>
  <c r="AJ648" i="6"/>
  <c r="BH649" i="6"/>
  <c r="AZ649" i="6"/>
  <c r="BE649" i="6"/>
  <c r="BN649" i="6"/>
  <c r="AW649" i="6"/>
  <c r="BI649" i="6"/>
  <c r="CM649" i="6"/>
  <c r="CD649" i="6"/>
  <c r="G649" i="12"/>
  <c r="X649" i="5"/>
  <c r="AJ649" i="6" s="1"/>
  <c r="X645" i="12"/>
  <c r="W645" i="12"/>
  <c r="AO650" i="6" l="1"/>
  <c r="AM650" i="6"/>
  <c r="AN650" i="6"/>
  <c r="AJ650" i="6"/>
  <c r="AW650" i="6"/>
  <c r="AX650" i="6"/>
  <c r="AY650" i="6"/>
  <c r="AR650" i="6"/>
  <c r="AS650" i="6"/>
  <c r="AA648" i="5"/>
  <c r="AB648" i="5"/>
  <c r="E652" i="12"/>
  <c r="F652" i="6"/>
  <c r="H651" i="6"/>
  <c r="T651" i="5" s="1"/>
  <c r="N651" i="6"/>
  <c r="G651" i="6"/>
  <c r="M651" i="6"/>
  <c r="BT651" i="6"/>
  <c r="L652" i="12"/>
  <c r="J652" i="12"/>
  <c r="AL650" i="6"/>
  <c r="AQ650" i="6"/>
  <c r="AK650" i="6"/>
  <c r="L649" i="5"/>
  <c r="I649" i="12"/>
  <c r="AM649" i="5"/>
  <c r="Z649" i="5"/>
  <c r="I649" i="5"/>
  <c r="AC649" i="5"/>
  <c r="C648" i="6"/>
  <c r="O648" i="5"/>
  <c r="X646" i="12"/>
  <c r="W646" i="12"/>
  <c r="T645" i="12"/>
  <c r="V645" i="12"/>
  <c r="U645" i="12"/>
  <c r="C648" i="12"/>
  <c r="AO648" i="12"/>
  <c r="O648" i="12"/>
  <c r="M648" i="12"/>
  <c r="A653" i="12"/>
  <c r="D653" i="5"/>
  <c r="B653" i="12" s="1"/>
  <c r="E653" i="5"/>
  <c r="K653" i="5"/>
  <c r="B653" i="5"/>
  <c r="J653" i="5"/>
  <c r="F653" i="5"/>
  <c r="R653" i="5"/>
  <c r="N653" i="5"/>
  <c r="H653" i="5"/>
  <c r="C654" i="5"/>
  <c r="AE653" i="5"/>
  <c r="G653" i="5"/>
  <c r="AD653" i="5"/>
  <c r="W653" i="5"/>
  <c r="H653" i="12" s="1"/>
  <c r="B653" i="6"/>
  <c r="D652" i="6"/>
  <c r="BA650" i="6"/>
  <c r="AZ650" i="6"/>
  <c r="AP650" i="6"/>
  <c r="AT650" i="6"/>
  <c r="AU650" i="6"/>
  <c r="K651" i="12"/>
  <c r="BA651" i="6" l="1"/>
  <c r="Y648" i="12"/>
  <c r="CC651" i="6"/>
  <c r="AR651" i="6"/>
  <c r="BV651" i="6"/>
  <c r="AU651" i="6"/>
  <c r="CF651" i="6"/>
  <c r="CG651" i="6"/>
  <c r="BG651" i="6"/>
  <c r="BH651" i="6"/>
  <c r="K652" i="12"/>
  <c r="BZ651" i="6"/>
  <c r="CK651" i="6"/>
  <c r="AN651" i="6"/>
  <c r="BC651" i="6"/>
  <c r="AX651" i="6"/>
  <c r="CH651" i="6"/>
  <c r="BS651" i="6"/>
  <c r="E653" i="12"/>
  <c r="F653" i="6"/>
  <c r="C649" i="6"/>
  <c r="O649" i="5"/>
  <c r="BN651" i="6"/>
  <c r="BO651" i="6"/>
  <c r="BW651" i="6"/>
  <c r="BX651" i="6"/>
  <c r="AS651" i="6"/>
  <c r="AV651" i="6"/>
  <c r="AM651" i="6"/>
  <c r="BL651" i="6"/>
  <c r="CE651" i="6"/>
  <c r="BE651" i="6"/>
  <c r="D653" i="6"/>
  <c r="G652" i="6"/>
  <c r="N652" i="6"/>
  <c r="H652" i="6"/>
  <c r="T652" i="5" s="1"/>
  <c r="M652" i="6"/>
  <c r="BR652" i="6" s="1"/>
  <c r="N648" i="12"/>
  <c r="E648" i="6"/>
  <c r="D648" i="12"/>
  <c r="AB649" i="5"/>
  <c r="AA649" i="5"/>
  <c r="AL651" i="6"/>
  <c r="AO651" i="6"/>
  <c r="BD651" i="6"/>
  <c r="CM651" i="6"/>
  <c r="CB651" i="6"/>
  <c r="BY651" i="6"/>
  <c r="BF651" i="6"/>
  <c r="AQ651" i="6"/>
  <c r="AP651" i="6"/>
  <c r="AT651" i="6"/>
  <c r="BQ651" i="6"/>
  <c r="BP651" i="6"/>
  <c r="BI651" i="6"/>
  <c r="BM651" i="6"/>
  <c r="J653" i="12"/>
  <c r="L653" i="12"/>
  <c r="T646" i="12"/>
  <c r="V646" i="12"/>
  <c r="U646" i="12"/>
  <c r="C649" i="12"/>
  <c r="M649" i="12"/>
  <c r="O649" i="12"/>
  <c r="AO649" i="12"/>
  <c r="B654" i="5"/>
  <c r="E654" i="5"/>
  <c r="F654" i="5"/>
  <c r="J654" i="5"/>
  <c r="C655" i="5"/>
  <c r="AD654" i="5"/>
  <c r="B654" i="6"/>
  <c r="AE654" i="5"/>
  <c r="N654" i="5"/>
  <c r="A654" i="12"/>
  <c r="D654" i="5"/>
  <c r="B654" i="12" s="1"/>
  <c r="R654" i="5"/>
  <c r="W654" i="5"/>
  <c r="H654" i="12" s="1"/>
  <c r="G654" i="5"/>
  <c r="H654" i="5"/>
  <c r="K654" i="5"/>
  <c r="X648" i="12"/>
  <c r="W648" i="12"/>
  <c r="BR651" i="6"/>
  <c r="AZ651" i="6"/>
  <c r="AK651" i="6"/>
  <c r="CL651" i="6"/>
  <c r="BJ651" i="6"/>
  <c r="CJ651" i="6"/>
  <c r="AW651" i="6"/>
  <c r="BK651" i="6"/>
  <c r="CI651" i="6"/>
  <c r="AY651" i="6"/>
  <c r="CA651" i="6"/>
  <c r="CD651" i="6"/>
  <c r="G651" i="12"/>
  <c r="X651" i="5"/>
  <c r="CG652" i="6" l="1"/>
  <c r="CA652" i="6"/>
  <c r="BM652" i="6"/>
  <c r="CH652" i="6"/>
  <c r="N649" i="12"/>
  <c r="CI652" i="6"/>
  <c r="CD652" i="6"/>
  <c r="AT652" i="6"/>
  <c r="AN652" i="6"/>
  <c r="AO652" i="6"/>
  <c r="BC652" i="6"/>
  <c r="CE652" i="6"/>
  <c r="BH652" i="6"/>
  <c r="AU652" i="6"/>
  <c r="AV652" i="6"/>
  <c r="BW652" i="6"/>
  <c r="AZ652" i="6"/>
  <c r="K653" i="12"/>
  <c r="AS652" i="6"/>
  <c r="BT652" i="6"/>
  <c r="BQ652" i="6"/>
  <c r="BL652" i="6"/>
  <c r="CK652" i="6"/>
  <c r="CC652" i="6"/>
  <c r="BE652" i="6"/>
  <c r="BG652" i="6"/>
  <c r="AY652" i="6"/>
  <c r="BK652" i="6"/>
  <c r="AQ652" i="6"/>
  <c r="AX652" i="6"/>
  <c r="BJ652" i="6"/>
  <c r="BO652" i="6"/>
  <c r="AM652" i="6"/>
  <c r="BD652" i="6"/>
  <c r="AW652" i="6"/>
  <c r="BV652" i="6"/>
  <c r="E654" i="12"/>
  <c r="F654" i="6"/>
  <c r="AR652" i="6"/>
  <c r="G652" i="12"/>
  <c r="X652" i="5"/>
  <c r="BX652" i="6"/>
  <c r="CF652" i="6"/>
  <c r="AP652" i="6"/>
  <c r="G653" i="6"/>
  <c r="M653" i="6"/>
  <c r="BJ653" i="6" s="1"/>
  <c r="CI653" i="6"/>
  <c r="CG653" i="6"/>
  <c r="H653" i="6"/>
  <c r="T653" i="5" s="1"/>
  <c r="BZ653" i="6"/>
  <c r="CH653" i="6"/>
  <c r="BC653" i="6"/>
  <c r="CM653" i="6"/>
  <c r="AR653" i="6"/>
  <c r="BR653" i="6"/>
  <c r="AU653" i="6"/>
  <c r="BV653" i="6"/>
  <c r="CC653" i="6"/>
  <c r="BO653" i="6"/>
  <c r="BM653" i="6"/>
  <c r="AQ653" i="6"/>
  <c r="AZ653" i="6"/>
  <c r="AT653" i="6"/>
  <c r="N653" i="6"/>
  <c r="BX653" i="6"/>
  <c r="BD653" i="6"/>
  <c r="BI653" i="6"/>
  <c r="T648" i="12"/>
  <c r="V648" i="12"/>
  <c r="U648" i="12"/>
  <c r="H655" i="5"/>
  <c r="G655" i="5"/>
  <c r="E655" i="5"/>
  <c r="W655" i="5"/>
  <c r="H655" i="12" s="1"/>
  <c r="AE655" i="5"/>
  <c r="C656" i="5"/>
  <c r="B655" i="5"/>
  <c r="AD655" i="5"/>
  <c r="F655" i="5"/>
  <c r="J655" i="5"/>
  <c r="N655" i="5"/>
  <c r="B655" i="6"/>
  <c r="D655" i="5"/>
  <c r="B655" i="12" s="1"/>
  <c r="A655" i="12"/>
  <c r="K655" i="5"/>
  <c r="R655" i="5"/>
  <c r="E649" i="6"/>
  <c r="D649" i="12"/>
  <c r="AM651" i="5"/>
  <c r="I651" i="12"/>
  <c r="L651" i="5"/>
  <c r="I651" i="5"/>
  <c r="Z651" i="5"/>
  <c r="AC651" i="5"/>
  <c r="AJ651" i="6"/>
  <c r="BZ652" i="6"/>
  <c r="BP652" i="6"/>
  <c r="BY652" i="6"/>
  <c r="BI652" i="6"/>
  <c r="CB652" i="6"/>
  <c r="CM652" i="6"/>
  <c r="AK652" i="6"/>
  <c r="CL652" i="6"/>
  <c r="BF652" i="6"/>
  <c r="D654" i="6"/>
  <c r="J654" i="12"/>
  <c r="L654" i="12"/>
  <c r="Y649" i="12"/>
  <c r="BA652" i="6"/>
  <c r="BN652" i="6"/>
  <c r="CJ652" i="6"/>
  <c r="BS652" i="6"/>
  <c r="AL652" i="6"/>
  <c r="AX653" i="6" l="1"/>
  <c r="BQ653" i="6"/>
  <c r="CL653" i="6"/>
  <c r="K654" i="12"/>
  <c r="AW653" i="6"/>
  <c r="CE653" i="6"/>
  <c r="CA653" i="6"/>
  <c r="CB653" i="6"/>
  <c r="CJ653" i="6"/>
  <c r="BY653" i="6"/>
  <c r="BE653" i="6"/>
  <c r="AS653" i="6"/>
  <c r="CK653" i="6"/>
  <c r="AY653" i="6"/>
  <c r="BW653" i="6"/>
  <c r="BA653" i="6"/>
  <c r="BN653" i="6"/>
  <c r="AL653" i="6"/>
  <c r="BK653" i="6"/>
  <c r="BP653" i="6"/>
  <c r="BH653" i="6"/>
  <c r="AO653" i="6"/>
  <c r="BF653" i="6"/>
  <c r="BT653" i="6"/>
  <c r="CD653" i="6"/>
  <c r="BL653" i="6"/>
  <c r="CF653" i="6"/>
  <c r="BG653" i="6"/>
  <c r="BS653" i="6"/>
  <c r="E655" i="12"/>
  <c r="F655" i="6"/>
  <c r="AB651" i="5"/>
  <c r="AA651" i="5"/>
  <c r="AK653" i="6"/>
  <c r="AM653" i="6"/>
  <c r="AV653" i="6"/>
  <c r="AN653" i="6"/>
  <c r="G654" i="6"/>
  <c r="N654" i="6"/>
  <c r="H654" i="6"/>
  <c r="T654" i="5" s="1"/>
  <c r="M654" i="6"/>
  <c r="CK654" i="6" s="1"/>
  <c r="D655" i="6"/>
  <c r="W649" i="12"/>
  <c r="X649" i="12"/>
  <c r="J655" i="12"/>
  <c r="L655" i="12"/>
  <c r="AP653" i="6"/>
  <c r="AM652" i="5"/>
  <c r="I652" i="12"/>
  <c r="L652" i="5"/>
  <c r="Z652" i="5"/>
  <c r="I652" i="5"/>
  <c r="AC652" i="5"/>
  <c r="AJ652" i="6"/>
  <c r="C651" i="12"/>
  <c r="AO651" i="12"/>
  <c r="M651" i="12"/>
  <c r="O651" i="12"/>
  <c r="C651" i="6"/>
  <c r="O651" i="5"/>
  <c r="J656" i="5"/>
  <c r="AD656" i="5"/>
  <c r="K656" i="5"/>
  <c r="B656" i="5"/>
  <c r="B656" i="6"/>
  <c r="E656" i="5"/>
  <c r="A656" i="12"/>
  <c r="C657" i="5"/>
  <c r="W656" i="5"/>
  <c r="H656" i="12" s="1"/>
  <c r="D656" i="5"/>
  <c r="B656" i="12" s="1"/>
  <c r="H656" i="5"/>
  <c r="F656" i="5"/>
  <c r="AE656" i="5"/>
  <c r="N656" i="5"/>
  <c r="G656" i="5"/>
  <c r="R656" i="5"/>
  <c r="G653" i="12"/>
  <c r="X653" i="5"/>
  <c r="K655" i="12" l="1"/>
  <c r="AU654" i="6"/>
  <c r="BX654" i="6"/>
  <c r="AS654" i="6"/>
  <c r="BV654" i="6"/>
  <c r="BL654" i="6"/>
  <c r="BJ654" i="6"/>
  <c r="BK654" i="6"/>
  <c r="CF654" i="6"/>
  <c r="BC654" i="6"/>
  <c r="BZ654" i="6"/>
  <c r="M655" i="6"/>
  <c r="BG655" i="6" s="1"/>
  <c r="BL655" i="6"/>
  <c r="G655" i="6"/>
  <c r="BY655" i="6"/>
  <c r="BV655" i="6"/>
  <c r="H655" i="6"/>
  <c r="T655" i="5" s="1"/>
  <c r="N655" i="6"/>
  <c r="BS655" i="6"/>
  <c r="BP655" i="6"/>
  <c r="CK655" i="6"/>
  <c r="AY655" i="6"/>
  <c r="CB655" i="6"/>
  <c r="AV654" i="6"/>
  <c r="AP654" i="6"/>
  <c r="AM653" i="5"/>
  <c r="L653" i="5"/>
  <c r="I653" i="12"/>
  <c r="Z653" i="5"/>
  <c r="I653" i="5"/>
  <c r="AC653" i="5"/>
  <c r="E651" i="6"/>
  <c r="D651" i="12"/>
  <c r="Y651" i="12"/>
  <c r="V649" i="12"/>
  <c r="U649" i="12"/>
  <c r="T649" i="12"/>
  <c r="BS654" i="6"/>
  <c r="BI654" i="6"/>
  <c r="CJ654" i="6"/>
  <c r="CH654" i="6"/>
  <c r="CG654" i="6"/>
  <c r="CM654" i="6"/>
  <c r="BY654" i="6"/>
  <c r="BQ654" i="6"/>
  <c r="AZ654" i="6"/>
  <c r="AT654" i="6"/>
  <c r="AW654" i="6"/>
  <c r="AN654" i="6"/>
  <c r="BN654" i="6"/>
  <c r="AY654" i="6"/>
  <c r="J656" i="12"/>
  <c r="L656" i="12"/>
  <c r="C652" i="12"/>
  <c r="AO652" i="12"/>
  <c r="M652" i="12"/>
  <c r="O652" i="12"/>
  <c r="G654" i="12"/>
  <c r="X654" i="5"/>
  <c r="AJ654" i="6" s="1"/>
  <c r="AO654" i="6"/>
  <c r="AA652" i="5"/>
  <c r="AB652" i="5"/>
  <c r="AR654" i="6"/>
  <c r="CE654" i="6"/>
  <c r="BG654" i="6"/>
  <c r="CL654" i="6"/>
  <c r="CA654" i="6"/>
  <c r="AQ654" i="6"/>
  <c r="AL654" i="6"/>
  <c r="BT654" i="6"/>
  <c r="AX654" i="6"/>
  <c r="CB654" i="6"/>
  <c r="BH654" i="6"/>
  <c r="BW654" i="6"/>
  <c r="BP654" i="6"/>
  <c r="BE654" i="6"/>
  <c r="BF654" i="6"/>
  <c r="AJ653" i="6"/>
  <c r="D656" i="6"/>
  <c r="E656" i="12"/>
  <c r="F656" i="6"/>
  <c r="A657" i="12"/>
  <c r="E657" i="5"/>
  <c r="F657" i="5"/>
  <c r="W657" i="5"/>
  <c r="H657" i="12" s="1"/>
  <c r="B657" i="6"/>
  <c r="I657" i="5"/>
  <c r="B657" i="5"/>
  <c r="C658" i="5"/>
  <c r="N657" i="5"/>
  <c r="AD657" i="5"/>
  <c r="H657" i="5"/>
  <c r="AE657" i="5"/>
  <c r="G657" i="5"/>
  <c r="N651" i="12"/>
  <c r="C652" i="6"/>
  <c r="O652" i="5"/>
  <c r="BD654" i="6"/>
  <c r="BA654" i="6"/>
  <c r="AM654" i="6"/>
  <c r="BM654" i="6"/>
  <c r="CI654" i="6"/>
  <c r="BO654" i="6"/>
  <c r="AK654" i="6"/>
  <c r="CD654" i="6"/>
  <c r="CC654" i="6"/>
  <c r="BR654" i="6"/>
  <c r="Y652" i="12" l="1"/>
  <c r="AN655" i="6"/>
  <c r="BH655" i="6"/>
  <c r="AW655" i="6"/>
  <c r="AS655" i="6"/>
  <c r="AK655" i="6"/>
  <c r="BI655" i="6"/>
  <c r="BR655" i="6"/>
  <c r="BM655" i="6"/>
  <c r="BA655" i="6"/>
  <c r="CE655" i="6"/>
  <c r="BD655" i="6"/>
  <c r="BK655" i="6"/>
  <c r="CA655" i="6"/>
  <c r="BO655" i="6"/>
  <c r="CC655" i="6"/>
  <c r="AL655" i="6"/>
  <c r="CG655" i="6"/>
  <c r="BJ655" i="6"/>
  <c r="BC655" i="6"/>
  <c r="CL655" i="6"/>
  <c r="BQ655" i="6"/>
  <c r="CD655" i="6"/>
  <c r="CM655" i="6"/>
  <c r="CI655" i="6"/>
  <c r="AX655" i="6"/>
  <c r="AT655" i="6"/>
  <c r="AU655" i="6"/>
  <c r="BE655" i="6"/>
  <c r="AM655" i="6"/>
  <c r="CF655" i="6"/>
  <c r="BT655" i="6"/>
  <c r="CH655" i="6"/>
  <c r="BF655" i="6"/>
  <c r="BN655" i="6"/>
  <c r="BX655" i="6"/>
  <c r="BW655" i="6"/>
  <c r="CJ655" i="6"/>
  <c r="BZ655" i="6"/>
  <c r="E652" i="6"/>
  <c r="D652" i="12"/>
  <c r="AB653" i="5"/>
  <c r="AA653" i="5"/>
  <c r="N652" i="12"/>
  <c r="C653" i="12"/>
  <c r="O653" i="12"/>
  <c r="AO653" i="12"/>
  <c r="Y653" i="12" s="1"/>
  <c r="M653" i="12"/>
  <c r="AR655" i="6"/>
  <c r="AO655" i="6"/>
  <c r="G658" i="5"/>
  <c r="F658" i="5"/>
  <c r="E658" i="5"/>
  <c r="A658" i="12"/>
  <c r="C659" i="5"/>
  <c r="H658" i="5"/>
  <c r="D658" i="5"/>
  <c r="B658" i="12" s="1"/>
  <c r="B658" i="6"/>
  <c r="AD658" i="5"/>
  <c r="N658" i="5"/>
  <c r="W658" i="5"/>
  <c r="H658" i="12" s="1"/>
  <c r="J658" i="5"/>
  <c r="B658" i="5"/>
  <c r="R658" i="5"/>
  <c r="K658" i="5"/>
  <c r="AE658" i="5"/>
  <c r="G656" i="6"/>
  <c r="H656" i="6"/>
  <c r="T656" i="5" s="1"/>
  <c r="N656" i="6"/>
  <c r="M656" i="6"/>
  <c r="BQ656" i="6" s="1"/>
  <c r="K656" i="12"/>
  <c r="C653" i="6"/>
  <c r="O653" i="5"/>
  <c r="G655" i="12"/>
  <c r="X655" i="5"/>
  <c r="AZ655" i="6"/>
  <c r="D657" i="6"/>
  <c r="AM654" i="5"/>
  <c r="L654" i="5"/>
  <c r="I654" i="12"/>
  <c r="I654" i="5"/>
  <c r="Z654" i="5"/>
  <c r="AC654" i="5"/>
  <c r="X652" i="12"/>
  <c r="W652" i="12"/>
  <c r="X651" i="12"/>
  <c r="W651" i="12"/>
  <c r="AQ655" i="6"/>
  <c r="AV655" i="6"/>
  <c r="AP655" i="6"/>
  <c r="CF656" i="6" l="1"/>
  <c r="CB656" i="6"/>
  <c r="BI656" i="6"/>
  <c r="AO656" i="6"/>
  <c r="AP656" i="6"/>
  <c r="BC656" i="6"/>
  <c r="BN656" i="6"/>
  <c r="BT656" i="6"/>
  <c r="BR656" i="6"/>
  <c r="CH656" i="6"/>
  <c r="AX656" i="6"/>
  <c r="BX656" i="6"/>
  <c r="BA656" i="6"/>
  <c r="BJ656" i="6"/>
  <c r="CE656" i="6"/>
  <c r="N653" i="12"/>
  <c r="AV656" i="6"/>
  <c r="CG656" i="6"/>
  <c r="AZ656" i="6"/>
  <c r="BS656" i="6"/>
  <c r="BF656" i="6"/>
  <c r="BP656" i="6"/>
  <c r="AQ656" i="6"/>
  <c r="AY656" i="6"/>
  <c r="CM656" i="6"/>
  <c r="BL656" i="6"/>
  <c r="CL656" i="6"/>
  <c r="J658" i="12"/>
  <c r="L658" i="12"/>
  <c r="U652" i="12"/>
  <c r="V652" i="12"/>
  <c r="T652" i="12"/>
  <c r="AM655" i="5"/>
  <c r="I655" i="12"/>
  <c r="L655" i="5"/>
  <c r="I655" i="5"/>
  <c r="Z655" i="5"/>
  <c r="AC655" i="5"/>
  <c r="AJ655" i="6"/>
  <c r="W653" i="12"/>
  <c r="X653" i="12"/>
  <c r="C654" i="6"/>
  <c r="O654" i="5"/>
  <c r="N657" i="6"/>
  <c r="CL657" i="6"/>
  <c r="CE657" i="6"/>
  <c r="CF657" i="6"/>
  <c r="G657" i="6"/>
  <c r="CH657" i="6"/>
  <c r="BO657" i="6"/>
  <c r="CG657" i="6"/>
  <c r="BW657" i="6"/>
  <c r="BS657" i="6"/>
  <c r="BP657" i="6"/>
  <c r="M657" i="6"/>
  <c r="BV657" i="6"/>
  <c r="CM657" i="6"/>
  <c r="H657" i="6"/>
  <c r="T657" i="5" s="1"/>
  <c r="G657" i="12" s="1"/>
  <c r="BT657" i="6"/>
  <c r="BZ657" i="6"/>
  <c r="BD657" i="6"/>
  <c r="CD657" i="6"/>
  <c r="CA657" i="6"/>
  <c r="BM657" i="6"/>
  <c r="CI657" i="6"/>
  <c r="AW657" i="6"/>
  <c r="BL657" i="6"/>
  <c r="BH657" i="6"/>
  <c r="CK657" i="6"/>
  <c r="BE657" i="6"/>
  <c r="BJ657" i="6"/>
  <c r="BK657" i="6"/>
  <c r="CJ657" i="6"/>
  <c r="BC657" i="6"/>
  <c r="BI657" i="6"/>
  <c r="BX657" i="6"/>
  <c r="BQ657" i="6"/>
  <c r="BR657" i="6"/>
  <c r="BN657" i="6"/>
  <c r="CB657" i="6"/>
  <c r="AV657" i="6"/>
  <c r="BF657" i="6"/>
  <c r="BG657" i="6"/>
  <c r="CC657" i="6"/>
  <c r="BY657" i="6"/>
  <c r="E653" i="6"/>
  <c r="D653" i="12"/>
  <c r="CJ656" i="6"/>
  <c r="BE656" i="6"/>
  <c r="BH656" i="6"/>
  <c r="AU656" i="6"/>
  <c r="CK656" i="6"/>
  <c r="AS656" i="6"/>
  <c r="CI656" i="6"/>
  <c r="BV656" i="6"/>
  <c r="BK656" i="6"/>
  <c r="BO656" i="6"/>
  <c r="G656" i="12"/>
  <c r="X656" i="5"/>
  <c r="AJ656" i="6" s="1"/>
  <c r="CC656" i="6"/>
  <c r="AL656" i="6"/>
  <c r="BY656" i="6"/>
  <c r="CD656" i="6"/>
  <c r="D658" i="6"/>
  <c r="F659" i="5"/>
  <c r="A659" i="12"/>
  <c r="B659" i="5"/>
  <c r="H659" i="5"/>
  <c r="R659" i="5"/>
  <c r="D659" i="5"/>
  <c r="B659" i="12" s="1"/>
  <c r="G659" i="5"/>
  <c r="J659" i="5"/>
  <c r="W659" i="5"/>
  <c r="H659" i="12" s="1"/>
  <c r="N659" i="5"/>
  <c r="AD659" i="5"/>
  <c r="K659" i="5"/>
  <c r="AE659" i="5"/>
  <c r="E659" i="5"/>
  <c r="B659" i="6"/>
  <c r="C660" i="5"/>
  <c r="C654" i="12"/>
  <c r="AO654" i="12"/>
  <c r="O654" i="12"/>
  <c r="N654" i="12" s="1"/>
  <c r="M654" i="12"/>
  <c r="U651" i="12"/>
  <c r="V651" i="12"/>
  <c r="T651" i="12"/>
  <c r="AA654" i="5"/>
  <c r="AB654" i="5"/>
  <c r="CA656" i="6"/>
  <c r="AN656" i="6"/>
  <c r="BW656" i="6"/>
  <c r="AT656" i="6"/>
  <c r="BD656" i="6"/>
  <c r="BM656" i="6"/>
  <c r="AW656" i="6"/>
  <c r="BZ656" i="6"/>
  <c r="AR656" i="6"/>
  <c r="AM656" i="6"/>
  <c r="BG656" i="6"/>
  <c r="AK656" i="6"/>
  <c r="E658" i="12"/>
  <c r="F658" i="6"/>
  <c r="AX657" i="6" l="1"/>
  <c r="AY657" i="6"/>
  <c r="AN657" i="6"/>
  <c r="K658" i="12"/>
  <c r="AQ657" i="6"/>
  <c r="BA657" i="6"/>
  <c r="AP657" i="6"/>
  <c r="AM657" i="6"/>
  <c r="Y654" i="12"/>
  <c r="C661" i="5"/>
  <c r="E660" i="5"/>
  <c r="AE660" i="5"/>
  <c r="K660" i="5"/>
  <c r="W660" i="5"/>
  <c r="H660" i="12" s="1"/>
  <c r="G660" i="5"/>
  <c r="J660" i="5"/>
  <c r="A660" i="12"/>
  <c r="B660" i="5"/>
  <c r="F660" i="5"/>
  <c r="N660" i="5"/>
  <c r="D660" i="5"/>
  <c r="B660" i="12" s="1"/>
  <c r="B660" i="6"/>
  <c r="R660" i="5"/>
  <c r="AD660" i="5"/>
  <c r="H660" i="5"/>
  <c r="M658" i="6"/>
  <c r="BO658" i="6" s="1"/>
  <c r="G658" i="6"/>
  <c r="N658" i="6"/>
  <c r="BI658" i="6"/>
  <c r="H658" i="6"/>
  <c r="T658" i="5" s="1"/>
  <c r="BT658" i="6"/>
  <c r="AS657" i="6"/>
  <c r="AO657" i="6"/>
  <c r="AR657" i="6"/>
  <c r="AB655" i="5"/>
  <c r="AA655" i="5"/>
  <c r="F659" i="6"/>
  <c r="E659" i="12"/>
  <c r="AT657" i="6"/>
  <c r="AU657" i="6"/>
  <c r="AJ657" i="6"/>
  <c r="AK657" i="6"/>
  <c r="T653" i="12"/>
  <c r="V653" i="12"/>
  <c r="U653" i="12"/>
  <c r="D659" i="6"/>
  <c r="C655" i="12"/>
  <c r="O655" i="12"/>
  <c r="AO655" i="12"/>
  <c r="M655" i="12"/>
  <c r="J659" i="12"/>
  <c r="L659" i="12"/>
  <c r="AM656" i="5"/>
  <c r="L656" i="5"/>
  <c r="I656" i="12"/>
  <c r="I656" i="5"/>
  <c r="Z656" i="5"/>
  <c r="AC656" i="5"/>
  <c r="AZ657" i="6"/>
  <c r="AL657" i="6"/>
  <c r="E654" i="6"/>
  <c r="D654" i="12"/>
  <c r="C655" i="6"/>
  <c r="O655" i="5"/>
  <c r="CA658" i="6" l="1"/>
  <c r="AM658" i="6"/>
  <c r="AU658" i="6"/>
  <c r="BH658" i="6"/>
  <c r="K659" i="12"/>
  <c r="CD658" i="6"/>
  <c r="AT658" i="6"/>
  <c r="BD658" i="6"/>
  <c r="D655" i="12"/>
  <c r="E655" i="6"/>
  <c r="AQ658" i="6"/>
  <c r="F660" i="6"/>
  <c r="E660" i="12"/>
  <c r="CE658" i="6"/>
  <c r="G658" i="12"/>
  <c r="X658" i="5"/>
  <c r="AJ658" i="6" s="1"/>
  <c r="AO658" i="6"/>
  <c r="AX658" i="6"/>
  <c r="BG658" i="6"/>
  <c r="AN658" i="6"/>
  <c r="BL658" i="6"/>
  <c r="CL658" i="6"/>
  <c r="AK658" i="6"/>
  <c r="AY658" i="6"/>
  <c r="CB658" i="6"/>
  <c r="AL658" i="6"/>
  <c r="CC658" i="6"/>
  <c r="J660" i="12"/>
  <c r="L660" i="12"/>
  <c r="H661" i="5"/>
  <c r="AD661" i="5"/>
  <c r="AE661" i="5"/>
  <c r="G661" i="5"/>
  <c r="B661" i="5"/>
  <c r="J661" i="5"/>
  <c r="B661" i="6"/>
  <c r="W661" i="5"/>
  <c r="H661" i="12" s="1"/>
  <c r="N661" i="5"/>
  <c r="A661" i="12"/>
  <c r="F661" i="5"/>
  <c r="C662" i="5"/>
  <c r="K661" i="5"/>
  <c r="E661" i="5"/>
  <c r="R661" i="5"/>
  <c r="D661" i="5"/>
  <c r="B661" i="12" s="1"/>
  <c r="BV658" i="6"/>
  <c r="CM658" i="6"/>
  <c r="D660" i="6"/>
  <c r="C656" i="12"/>
  <c r="AO656" i="12"/>
  <c r="O656" i="12"/>
  <c r="M656" i="12"/>
  <c r="C656" i="6"/>
  <c r="O656" i="5"/>
  <c r="Y655" i="12"/>
  <c r="M659" i="6"/>
  <c r="BF659" i="6" s="1"/>
  <c r="BV659" i="6"/>
  <c r="G659" i="6"/>
  <c r="BN659" i="6"/>
  <c r="H659" i="6"/>
  <c r="T659" i="5" s="1"/>
  <c r="BI659" i="6"/>
  <c r="N659" i="6"/>
  <c r="BY659" i="6"/>
  <c r="CJ658" i="6"/>
  <c r="BR658" i="6"/>
  <c r="CG658" i="6"/>
  <c r="BQ658" i="6"/>
  <c r="AZ658" i="6"/>
  <c r="CI658" i="6"/>
  <c r="BS658" i="6"/>
  <c r="BJ658" i="6"/>
  <c r="AV658" i="6"/>
  <c r="CF658" i="6"/>
  <c r="BK658" i="6"/>
  <c r="BX658" i="6"/>
  <c r="BC658" i="6"/>
  <c r="AP658" i="6"/>
  <c r="BZ658" i="6"/>
  <c r="X654" i="12"/>
  <c r="W654" i="12"/>
  <c r="BW658" i="6"/>
  <c r="AA656" i="5"/>
  <c r="AB656" i="5"/>
  <c r="N655" i="12"/>
  <c r="CK658" i="6"/>
  <c r="AR658" i="6"/>
  <c r="AW658" i="6"/>
  <c r="AS658" i="6"/>
  <c r="CH658" i="6"/>
  <c r="BP658" i="6"/>
  <c r="BE658" i="6"/>
  <c r="BA658" i="6"/>
  <c r="BF658" i="6"/>
  <c r="BN658" i="6"/>
  <c r="BM658" i="6"/>
  <c r="BY658" i="6"/>
  <c r="BL659" i="6" l="1"/>
  <c r="BS659" i="6"/>
  <c r="BA659" i="6"/>
  <c r="AN659" i="6"/>
  <c r="AR659" i="6"/>
  <c r="AY659" i="6"/>
  <c r="AW659" i="6"/>
  <c r="AQ659" i="6"/>
  <c r="CF659" i="6"/>
  <c r="CI659" i="6"/>
  <c r="CC659" i="6"/>
  <c r="CL659" i="6"/>
  <c r="CB659" i="6"/>
  <c r="BW659" i="6"/>
  <c r="BG659" i="6"/>
  <c r="AO659" i="6"/>
  <c r="CG659" i="6"/>
  <c r="BH659" i="6"/>
  <c r="BT659" i="6"/>
  <c r="BO659" i="6"/>
  <c r="AK659" i="6"/>
  <c r="AZ659" i="6"/>
  <c r="CH659" i="6"/>
  <c r="AV659" i="6"/>
  <c r="AM659" i="6"/>
  <c r="AL659" i="6"/>
  <c r="BC659" i="6"/>
  <c r="AX659" i="6"/>
  <c r="BD659" i="6"/>
  <c r="AU659" i="6"/>
  <c r="CA659" i="6"/>
  <c r="AP659" i="6"/>
  <c r="BE659" i="6"/>
  <c r="BX659" i="6"/>
  <c r="W655" i="12"/>
  <c r="X655" i="12"/>
  <c r="N656" i="12"/>
  <c r="L661" i="12"/>
  <c r="J661" i="12"/>
  <c r="BO660" i="6"/>
  <c r="G660" i="6"/>
  <c r="BR660" i="6"/>
  <c r="N660" i="6"/>
  <c r="H660" i="6"/>
  <c r="T660" i="5" s="1"/>
  <c r="CI660" i="6"/>
  <c r="BY660" i="6"/>
  <c r="M660" i="6"/>
  <c r="BT660" i="6" s="1"/>
  <c r="CJ660" i="6"/>
  <c r="BX660" i="6"/>
  <c r="CM660" i="6"/>
  <c r="U654" i="12"/>
  <c r="V654" i="12"/>
  <c r="T654" i="12"/>
  <c r="BP659" i="6"/>
  <c r="CJ659" i="6"/>
  <c r="G659" i="12"/>
  <c r="X659" i="5"/>
  <c r="BJ659" i="6"/>
  <c r="CE659" i="6"/>
  <c r="BK659" i="6"/>
  <c r="CK659" i="6"/>
  <c r="AT659" i="6"/>
  <c r="BZ659" i="6"/>
  <c r="BR659" i="6"/>
  <c r="CM659" i="6"/>
  <c r="CD659" i="6"/>
  <c r="BQ659" i="6"/>
  <c r="D656" i="12"/>
  <c r="E656" i="6"/>
  <c r="Y656" i="12"/>
  <c r="E661" i="12"/>
  <c r="F661" i="6"/>
  <c r="D661" i="6"/>
  <c r="L658" i="5"/>
  <c r="AM658" i="5"/>
  <c r="I658" i="12"/>
  <c r="I658" i="5"/>
  <c r="Z658" i="5"/>
  <c r="AC658" i="5"/>
  <c r="BM659" i="6"/>
  <c r="AS659" i="6"/>
  <c r="B662" i="6"/>
  <c r="D662" i="5"/>
  <c r="B662" i="12" s="1"/>
  <c r="G662" i="5"/>
  <c r="B662" i="5"/>
  <c r="R662" i="5"/>
  <c r="H662" i="5"/>
  <c r="A662" i="12"/>
  <c r="AE662" i="5"/>
  <c r="W662" i="5"/>
  <c r="H662" i="12" s="1"/>
  <c r="AD662" i="5"/>
  <c r="J662" i="5"/>
  <c r="F662" i="5"/>
  <c r="C663" i="5"/>
  <c r="E662" i="5"/>
  <c r="N662" i="5"/>
  <c r="K662" i="5"/>
  <c r="K660" i="12"/>
  <c r="BE660" i="6" l="1"/>
  <c r="BL660" i="6"/>
  <c r="BC660" i="6"/>
  <c r="BD660" i="6"/>
  <c r="CK660" i="6"/>
  <c r="BS660" i="6"/>
  <c r="AM660" i="6"/>
  <c r="AQ660" i="6"/>
  <c r="AW660" i="6"/>
  <c r="AY660" i="6"/>
  <c r="AZ660" i="6"/>
  <c r="BV660" i="6"/>
  <c r="BN660" i="6"/>
  <c r="K661" i="12"/>
  <c r="H661" i="6"/>
  <c r="T661" i="5" s="1"/>
  <c r="G661" i="6"/>
  <c r="M661" i="6"/>
  <c r="N661" i="6"/>
  <c r="AQ661" i="6"/>
  <c r="BJ660" i="6"/>
  <c r="CE660" i="6"/>
  <c r="CD660" i="6"/>
  <c r="BQ660" i="6"/>
  <c r="CC660" i="6"/>
  <c r="G660" i="12"/>
  <c r="X660" i="5"/>
  <c r="CF660" i="6"/>
  <c r="BA660" i="6"/>
  <c r="AP660" i="6"/>
  <c r="BG660" i="6"/>
  <c r="BI660" i="6"/>
  <c r="CG660" i="6"/>
  <c r="BK660" i="6"/>
  <c r="U655" i="12"/>
  <c r="T655" i="12"/>
  <c r="V655" i="12"/>
  <c r="I659" i="12"/>
  <c r="L659" i="5"/>
  <c r="AM659" i="5"/>
  <c r="Z659" i="5"/>
  <c r="I659" i="5"/>
  <c r="AC659" i="5"/>
  <c r="AJ659" i="6"/>
  <c r="K663" i="5"/>
  <c r="E663" i="5"/>
  <c r="D663" i="5"/>
  <c r="B663" i="12" s="1"/>
  <c r="AD663" i="5"/>
  <c r="N663" i="5"/>
  <c r="B663" i="6"/>
  <c r="C664" i="5"/>
  <c r="G663" i="5"/>
  <c r="AE663" i="5"/>
  <c r="F663" i="5"/>
  <c r="B663" i="5"/>
  <c r="R663" i="5"/>
  <c r="A663" i="12"/>
  <c r="W663" i="5"/>
  <c r="H663" i="12" s="1"/>
  <c r="J663" i="5"/>
  <c r="H663" i="5"/>
  <c r="E662" i="12"/>
  <c r="F662" i="6"/>
  <c r="AA658" i="5"/>
  <c r="AB658" i="5"/>
  <c r="C658" i="6"/>
  <c r="O658" i="5"/>
  <c r="BF660" i="6"/>
  <c r="AU660" i="6"/>
  <c r="AR660" i="6"/>
  <c r="BW660" i="6"/>
  <c r="AN660" i="6"/>
  <c r="AO660" i="6"/>
  <c r="CA660" i="6"/>
  <c r="BM660" i="6"/>
  <c r="C658" i="12"/>
  <c r="M658" i="12"/>
  <c r="AO658" i="12"/>
  <c r="O658" i="12"/>
  <c r="D662" i="6"/>
  <c r="J662" i="12"/>
  <c r="L662" i="12"/>
  <c r="W656" i="12"/>
  <c r="X656" i="12"/>
  <c r="BP660" i="6"/>
  <c r="CL660" i="6"/>
  <c r="BZ660" i="6"/>
  <c r="CH660" i="6"/>
  <c r="CB660" i="6"/>
  <c r="AT660" i="6"/>
  <c r="AL660" i="6"/>
  <c r="AJ660" i="6"/>
  <c r="AK660" i="6"/>
  <c r="AS660" i="6"/>
  <c r="AX660" i="6"/>
  <c r="BH660" i="6"/>
  <c r="AV660" i="6"/>
  <c r="AO661" i="6" l="1"/>
  <c r="AN661" i="6"/>
  <c r="BQ661" i="6"/>
  <c r="BM661" i="6"/>
  <c r="BV661" i="6"/>
  <c r="K662" i="12"/>
  <c r="BK661" i="6"/>
  <c r="AX661" i="6"/>
  <c r="BZ661" i="6"/>
  <c r="BD661" i="6"/>
  <c r="BT661" i="6"/>
  <c r="BW661" i="6"/>
  <c r="AR661" i="6"/>
  <c r="AL661" i="6"/>
  <c r="BA661" i="6"/>
  <c r="AS661" i="6"/>
  <c r="BS661" i="6"/>
  <c r="CH661" i="6"/>
  <c r="CF661" i="6"/>
  <c r="CC661" i="6"/>
  <c r="CI661" i="6"/>
  <c r="BI661" i="6"/>
  <c r="BY661" i="6"/>
  <c r="CK661" i="6"/>
  <c r="BE661" i="6"/>
  <c r="AT661" i="6"/>
  <c r="BL661" i="6"/>
  <c r="BR661" i="6"/>
  <c r="CJ661" i="6"/>
  <c r="BO661" i="6"/>
  <c r="BH661" i="6"/>
  <c r="CB661" i="6"/>
  <c r="AM661" i="6"/>
  <c r="AU661" i="6"/>
  <c r="BX661" i="6"/>
  <c r="CG661" i="6"/>
  <c r="BP661" i="6"/>
  <c r="BF661" i="6"/>
  <c r="BG661" i="6"/>
  <c r="BC661" i="6"/>
  <c r="AK661" i="6"/>
  <c r="AV661" i="6"/>
  <c r="C659" i="12"/>
  <c r="AO659" i="12"/>
  <c r="O659" i="12"/>
  <c r="M659" i="12"/>
  <c r="L663" i="12"/>
  <c r="J663" i="12"/>
  <c r="AB659" i="5"/>
  <c r="AA659" i="5"/>
  <c r="V656" i="12"/>
  <c r="U656" i="12"/>
  <c r="T656" i="12"/>
  <c r="N658" i="12"/>
  <c r="D658" i="12"/>
  <c r="E658" i="6"/>
  <c r="F663" i="6"/>
  <c r="E663" i="12"/>
  <c r="AP661" i="6"/>
  <c r="CA661" i="6"/>
  <c r="CD661" i="6"/>
  <c r="CE661" i="6"/>
  <c r="CL661" i="6"/>
  <c r="BJ661" i="6"/>
  <c r="G662" i="6"/>
  <c r="N662" i="6"/>
  <c r="H662" i="6"/>
  <c r="T662" i="5" s="1"/>
  <c r="BX662" i="6"/>
  <c r="M662" i="6"/>
  <c r="BR662" i="6" s="1"/>
  <c r="BN662" i="6"/>
  <c r="BM662" i="6"/>
  <c r="BD662" i="6"/>
  <c r="BW662" i="6"/>
  <c r="CM662" i="6"/>
  <c r="BE662" i="6"/>
  <c r="BL662" i="6"/>
  <c r="BJ662" i="6"/>
  <c r="AU662" i="6"/>
  <c r="BF662" i="6"/>
  <c r="AT662" i="6"/>
  <c r="J664" i="5"/>
  <c r="K664" i="5"/>
  <c r="C665" i="5"/>
  <c r="H664" i="5"/>
  <c r="D664" i="5"/>
  <c r="B664" i="12" s="1"/>
  <c r="G664" i="5"/>
  <c r="A664" i="12"/>
  <c r="N664" i="5"/>
  <c r="B664" i="6"/>
  <c r="AE664" i="5"/>
  <c r="F664" i="5"/>
  <c r="R664" i="5"/>
  <c r="W664" i="5"/>
  <c r="H664" i="12" s="1"/>
  <c r="B664" i="5"/>
  <c r="AD664" i="5"/>
  <c r="E664" i="5"/>
  <c r="Y658" i="12"/>
  <c r="D663" i="6"/>
  <c r="C659" i="6"/>
  <c r="O659" i="5"/>
  <c r="AM660" i="5"/>
  <c r="L660" i="5"/>
  <c r="I660" i="12"/>
  <c r="Z660" i="5"/>
  <c r="I660" i="5"/>
  <c r="AC660" i="5"/>
  <c r="AW661" i="6"/>
  <c r="AY661" i="6"/>
  <c r="CM661" i="6"/>
  <c r="AZ661" i="6"/>
  <c r="BN661" i="6"/>
  <c r="G661" i="12"/>
  <c r="X661" i="5"/>
  <c r="AJ661" i="6" s="1"/>
  <c r="CI662" i="6" l="1"/>
  <c r="CD662" i="6"/>
  <c r="CE662" i="6"/>
  <c r="BT662" i="6"/>
  <c r="CC662" i="6"/>
  <c r="CH662" i="6"/>
  <c r="CJ662" i="6"/>
  <c r="BK662" i="6"/>
  <c r="BI662" i="6"/>
  <c r="BC662" i="6"/>
  <c r="BP662" i="6"/>
  <c r="BG662" i="6"/>
  <c r="CK662" i="6"/>
  <c r="BO662" i="6"/>
  <c r="BH662" i="6"/>
  <c r="BY662" i="6"/>
  <c r="CB662" i="6"/>
  <c r="AP662" i="6"/>
  <c r="AR662" i="6"/>
  <c r="K663" i="12"/>
  <c r="AS662" i="6"/>
  <c r="AQ662" i="6"/>
  <c r="AM662" i="6"/>
  <c r="AX662" i="6"/>
  <c r="AY662" i="6"/>
  <c r="BZ662" i="6"/>
  <c r="CL662" i="6"/>
  <c r="BV662" i="6"/>
  <c r="CA662" i="6"/>
  <c r="AV662" i="6"/>
  <c r="AK662" i="6"/>
  <c r="AO662" i="6"/>
  <c r="AZ662" i="6"/>
  <c r="D664" i="6"/>
  <c r="AB660" i="5"/>
  <c r="AA660" i="5"/>
  <c r="C666" i="5"/>
  <c r="AD665" i="5"/>
  <c r="H665" i="5"/>
  <c r="N665" i="5"/>
  <c r="E665" i="5"/>
  <c r="B665" i="5"/>
  <c r="K665" i="5"/>
  <c r="D665" i="5"/>
  <c r="B665" i="12" s="1"/>
  <c r="W665" i="5"/>
  <c r="H665" i="12" s="1"/>
  <c r="J665" i="5"/>
  <c r="A665" i="12"/>
  <c r="F665" i="5"/>
  <c r="G665" i="5"/>
  <c r="B665" i="6"/>
  <c r="AE665" i="5"/>
  <c r="R665" i="5"/>
  <c r="BQ662" i="6"/>
  <c r="N659" i="12"/>
  <c r="AM661" i="5"/>
  <c r="L661" i="5"/>
  <c r="I661" i="12"/>
  <c r="I661" i="5"/>
  <c r="Z661" i="5"/>
  <c r="AC661" i="5"/>
  <c r="N663" i="6"/>
  <c r="G663" i="6"/>
  <c r="M663" i="6"/>
  <c r="CA663" i="6" s="1"/>
  <c r="CL663" i="6"/>
  <c r="H663" i="6"/>
  <c r="T663" i="5" s="1"/>
  <c r="CM663" i="6"/>
  <c r="E659" i="6"/>
  <c r="D659" i="12"/>
  <c r="X658" i="12"/>
  <c r="W658" i="12"/>
  <c r="L664" i="12"/>
  <c r="J664" i="12"/>
  <c r="C660" i="12"/>
  <c r="O660" i="12"/>
  <c r="AO660" i="12"/>
  <c r="Y660" i="12" s="1"/>
  <c r="M660" i="12"/>
  <c r="CF662" i="6"/>
  <c r="AL662" i="6"/>
  <c r="G662" i="12"/>
  <c r="X662" i="5"/>
  <c r="AW662" i="6"/>
  <c r="CG662" i="6"/>
  <c r="BS662" i="6"/>
  <c r="Y659" i="12"/>
  <c r="E664" i="12"/>
  <c r="F664" i="6"/>
  <c r="C660" i="6"/>
  <c r="O660" i="5"/>
  <c r="AN662" i="6"/>
  <c r="BA662" i="6"/>
  <c r="CC663" i="6" l="1"/>
  <c r="AN663" i="6"/>
  <c r="BO663" i="6"/>
  <c r="CB663" i="6"/>
  <c r="BS663" i="6"/>
  <c r="BT663" i="6"/>
  <c r="BG663" i="6"/>
  <c r="CF663" i="6"/>
  <c r="CG663" i="6"/>
  <c r="CH663" i="6"/>
  <c r="BC663" i="6"/>
  <c r="BR663" i="6"/>
  <c r="BK663" i="6"/>
  <c r="BE663" i="6"/>
  <c r="AV663" i="6"/>
  <c r="AO663" i="6"/>
  <c r="AL663" i="6"/>
  <c r="N660" i="12"/>
  <c r="AX663" i="6"/>
  <c r="AQ663" i="6"/>
  <c r="CJ663" i="6"/>
  <c r="BF663" i="6"/>
  <c r="V658" i="12"/>
  <c r="T658" i="12"/>
  <c r="U658" i="12"/>
  <c r="D665" i="6"/>
  <c r="G663" i="12"/>
  <c r="X663" i="5"/>
  <c r="BD663" i="6"/>
  <c r="BI663" i="6"/>
  <c r="AM663" i="6"/>
  <c r="AS663" i="6"/>
  <c r="AZ663" i="6"/>
  <c r="BP663" i="6"/>
  <c r="BM663" i="6"/>
  <c r="BX663" i="6"/>
  <c r="AT663" i="6"/>
  <c r="BZ663" i="6"/>
  <c r="AU663" i="6"/>
  <c r="C661" i="12"/>
  <c r="M661" i="12"/>
  <c r="O661" i="12"/>
  <c r="AO661" i="12"/>
  <c r="BY663" i="6"/>
  <c r="BL663" i="6"/>
  <c r="AW663" i="6"/>
  <c r="CK663" i="6"/>
  <c r="BW663" i="6"/>
  <c r="BN663" i="6"/>
  <c r="C661" i="6"/>
  <c r="O661" i="5"/>
  <c r="E665" i="12"/>
  <c r="F665" i="6"/>
  <c r="J665" i="12"/>
  <c r="L665" i="12"/>
  <c r="N664" i="6"/>
  <c r="H664" i="6"/>
  <c r="T664" i="5" s="1"/>
  <c r="M664" i="6"/>
  <c r="BN664" i="6" s="1"/>
  <c r="BC664" i="6"/>
  <c r="BW664" i="6"/>
  <c r="BI664" i="6"/>
  <c r="BP664" i="6"/>
  <c r="CM664" i="6"/>
  <c r="BL664" i="6"/>
  <c r="CK664" i="6"/>
  <c r="G664" i="6"/>
  <c r="X660" i="12"/>
  <c r="W660" i="12"/>
  <c r="D660" i="12"/>
  <c r="E660" i="6"/>
  <c r="X659" i="12"/>
  <c r="W659" i="12"/>
  <c r="I662" i="12"/>
  <c r="AM662" i="5"/>
  <c r="L662" i="5"/>
  <c r="I662" i="5"/>
  <c r="Z662" i="5"/>
  <c r="AC662" i="5"/>
  <c r="AJ662" i="6"/>
  <c r="K664" i="12"/>
  <c r="CE663" i="6"/>
  <c r="CI663" i="6"/>
  <c r="BH663" i="6"/>
  <c r="AK663" i="6"/>
  <c r="BV663" i="6"/>
  <c r="BJ663" i="6"/>
  <c r="AY663" i="6"/>
  <c r="CD663" i="6"/>
  <c r="BQ663" i="6"/>
  <c r="AR663" i="6"/>
  <c r="AP663" i="6"/>
  <c r="BA663" i="6"/>
  <c r="AB661" i="5"/>
  <c r="AA661" i="5"/>
  <c r="B666" i="6"/>
  <c r="C667" i="5"/>
  <c r="J666" i="5"/>
  <c r="R666" i="5"/>
  <c r="N666" i="5"/>
  <c r="A666" i="12"/>
  <c r="G666" i="5"/>
  <c r="E666" i="5"/>
  <c r="W666" i="5"/>
  <c r="H666" i="12" s="1"/>
  <c r="F666" i="5"/>
  <c r="AE666" i="5"/>
  <c r="B666" i="5"/>
  <c r="K666" i="5"/>
  <c r="H666" i="5"/>
  <c r="AD666" i="5"/>
  <c r="D666" i="5"/>
  <c r="B666" i="12" s="1"/>
  <c r="CD664" i="6" l="1"/>
  <c r="AX664" i="6"/>
  <c r="BY664" i="6"/>
  <c r="BR664" i="6"/>
  <c r="CE664" i="6"/>
  <c r="BF664" i="6"/>
  <c r="CA664" i="6"/>
  <c r="BK664" i="6"/>
  <c r="AZ664" i="6"/>
  <c r="AL664" i="6"/>
  <c r="AR664" i="6"/>
  <c r="BT664" i="6"/>
  <c r="BM664" i="6"/>
  <c r="AY664" i="6"/>
  <c r="AN664" i="6"/>
  <c r="CL664" i="6"/>
  <c r="BS664" i="6"/>
  <c r="BX664" i="6"/>
  <c r="AS664" i="6"/>
  <c r="BO664" i="6"/>
  <c r="BV664" i="6"/>
  <c r="AT664" i="6"/>
  <c r="CC664" i="6"/>
  <c r="AM664" i="6"/>
  <c r="CB664" i="6"/>
  <c r="CF664" i="6"/>
  <c r="CH664" i="6"/>
  <c r="BH664" i="6"/>
  <c r="CJ664" i="6"/>
  <c r="AV664" i="6"/>
  <c r="CG664" i="6"/>
  <c r="BZ664" i="6"/>
  <c r="AP664" i="6"/>
  <c r="BQ664" i="6"/>
  <c r="BD664" i="6"/>
  <c r="AK664" i="6"/>
  <c r="BG664" i="6"/>
  <c r="BA664" i="6"/>
  <c r="BJ664" i="6"/>
  <c r="AW664" i="6"/>
  <c r="AO664" i="6"/>
  <c r="AU664" i="6"/>
  <c r="CI664" i="6"/>
  <c r="K665" i="12"/>
  <c r="C662" i="6"/>
  <c r="O662" i="5"/>
  <c r="G664" i="12"/>
  <c r="X664" i="5"/>
  <c r="I663" i="12"/>
  <c r="AM663" i="5"/>
  <c r="L663" i="5"/>
  <c r="Z663" i="5"/>
  <c r="I663" i="5"/>
  <c r="AC663" i="5"/>
  <c r="AJ663" i="6"/>
  <c r="E666" i="12"/>
  <c r="F666" i="6"/>
  <c r="J666" i="12"/>
  <c r="L666" i="12"/>
  <c r="AA662" i="5"/>
  <c r="AB662" i="5"/>
  <c r="C662" i="12"/>
  <c r="AO662" i="12"/>
  <c r="M662" i="12"/>
  <c r="O662" i="12"/>
  <c r="AQ664" i="6"/>
  <c r="BE664" i="6"/>
  <c r="E661" i="6"/>
  <c r="D661" i="12"/>
  <c r="Y661" i="12"/>
  <c r="D666" i="6"/>
  <c r="F667" i="5"/>
  <c r="H667" i="5"/>
  <c r="R667" i="5"/>
  <c r="W667" i="5"/>
  <c r="H667" i="12" s="1"/>
  <c r="K667" i="5"/>
  <c r="E667" i="5"/>
  <c r="AD667" i="5"/>
  <c r="B667" i="6"/>
  <c r="G667" i="5"/>
  <c r="AE667" i="5"/>
  <c r="A667" i="12"/>
  <c r="J667" i="5"/>
  <c r="B667" i="5"/>
  <c r="C668" i="5" s="1"/>
  <c r="D667" i="5"/>
  <c r="B667" i="12" s="1"/>
  <c r="N667" i="5"/>
  <c r="V659" i="12"/>
  <c r="T659" i="12"/>
  <c r="U659" i="12"/>
  <c r="V660" i="12"/>
  <c r="U660" i="12"/>
  <c r="T660" i="12"/>
  <c r="N661" i="12"/>
  <c r="G665" i="6"/>
  <c r="H665" i="6"/>
  <c r="T665" i="5" s="1"/>
  <c r="N665" i="6"/>
  <c r="M665" i="6"/>
  <c r="BC665" i="6" s="1"/>
  <c r="BF665" i="6" l="1"/>
  <c r="BQ665" i="6"/>
  <c r="BK665" i="6"/>
  <c r="CI665" i="6"/>
  <c r="AR665" i="6"/>
  <c r="BX665" i="6"/>
  <c r="BI665" i="6"/>
  <c r="N662" i="12"/>
  <c r="BL665" i="6"/>
  <c r="CJ665" i="6"/>
  <c r="CK665" i="6"/>
  <c r="CM665" i="6"/>
  <c r="BM665" i="6"/>
  <c r="BW665" i="6"/>
  <c r="AN665" i="6"/>
  <c r="BR665" i="6"/>
  <c r="G668" i="5"/>
  <c r="C669" i="5"/>
  <c r="E668" i="5"/>
  <c r="A668" i="12"/>
  <c r="F668" i="5"/>
  <c r="B668" i="6"/>
  <c r="N668" i="5"/>
  <c r="I668" i="5"/>
  <c r="AE668" i="5"/>
  <c r="B668" i="5"/>
  <c r="H668" i="5"/>
  <c r="AD668" i="5"/>
  <c r="W668" i="5"/>
  <c r="H668" i="12" s="1"/>
  <c r="AB663" i="5"/>
  <c r="AA663" i="5"/>
  <c r="AM664" i="5"/>
  <c r="L664" i="5"/>
  <c r="I664" i="12"/>
  <c r="Z664" i="5"/>
  <c r="I664" i="5"/>
  <c r="AC664" i="5"/>
  <c r="AJ664" i="6"/>
  <c r="CA665" i="6"/>
  <c r="BP665" i="6"/>
  <c r="AS665" i="6"/>
  <c r="AK665" i="6"/>
  <c r="CB665" i="6"/>
  <c r="AZ665" i="6"/>
  <c r="CD665" i="6"/>
  <c r="CH665" i="6"/>
  <c r="BS665" i="6"/>
  <c r="AL665" i="6"/>
  <c r="AY665" i="6"/>
  <c r="BA665" i="6"/>
  <c r="CF665" i="6"/>
  <c r="L667" i="12"/>
  <c r="K667" i="12" s="1"/>
  <c r="J667" i="12"/>
  <c r="E667" i="12"/>
  <c r="F667" i="6"/>
  <c r="C663" i="6"/>
  <c r="O663" i="5"/>
  <c r="CE665" i="6"/>
  <c r="AW665" i="6"/>
  <c r="G665" i="12"/>
  <c r="X665" i="5"/>
  <c r="AJ665" i="6" s="1"/>
  <c r="AO665" i="6"/>
  <c r="AV665" i="6"/>
  <c r="AP665" i="6"/>
  <c r="BE665" i="6"/>
  <c r="G666" i="6"/>
  <c r="H666" i="6"/>
  <c r="T666" i="5" s="1"/>
  <c r="BK666" i="6"/>
  <c r="BP666" i="6"/>
  <c r="BX666" i="6"/>
  <c r="BT666" i="6"/>
  <c r="M666" i="6"/>
  <c r="BG666" i="6" s="1"/>
  <c r="BS666" i="6"/>
  <c r="N666" i="6"/>
  <c r="CB666" i="6"/>
  <c r="BQ666" i="6"/>
  <c r="BI666" i="6"/>
  <c r="CE666" i="6"/>
  <c r="CC666" i="6"/>
  <c r="CG666" i="6"/>
  <c r="Y662" i="12"/>
  <c r="D662" i="12"/>
  <c r="E662" i="6"/>
  <c r="BT665" i="6"/>
  <c r="CL665" i="6"/>
  <c r="BZ665" i="6"/>
  <c r="CC665" i="6"/>
  <c r="BD665" i="6"/>
  <c r="BY665" i="6"/>
  <c r="BV665" i="6"/>
  <c r="BN665" i="6"/>
  <c r="BG665" i="6"/>
  <c r="AT665" i="6"/>
  <c r="BH665" i="6"/>
  <c r="AQ665" i="6"/>
  <c r="CG665" i="6"/>
  <c r="BO665" i="6"/>
  <c r="AU665" i="6"/>
  <c r="BJ665" i="6"/>
  <c r="AM665" i="6"/>
  <c r="AX665" i="6"/>
  <c r="D667" i="6"/>
  <c r="X661" i="12"/>
  <c r="W661" i="12"/>
  <c r="K666" i="12"/>
  <c r="C663" i="12"/>
  <c r="O663" i="12"/>
  <c r="M663" i="12"/>
  <c r="AO663" i="12"/>
  <c r="Y663" i="12" s="1"/>
  <c r="BO666" i="6" l="1"/>
  <c r="BL666" i="6"/>
  <c r="BH666" i="6"/>
  <c r="CF666" i="6"/>
  <c r="CA666" i="6"/>
  <c r="BZ666" i="6"/>
  <c r="AX666" i="6"/>
  <c r="AS666" i="6"/>
  <c r="AP666" i="6"/>
  <c r="BJ666" i="6"/>
  <c r="CM666" i="6"/>
  <c r="CK666" i="6"/>
  <c r="D668" i="6"/>
  <c r="N663" i="12"/>
  <c r="X662" i="12"/>
  <c r="W662" i="12"/>
  <c r="AY666" i="6"/>
  <c r="AK666" i="6"/>
  <c r="BY666" i="6"/>
  <c r="CD666" i="6"/>
  <c r="AQ666" i="6"/>
  <c r="AU666" i="6"/>
  <c r="BR666" i="6"/>
  <c r="BC666" i="6"/>
  <c r="CH666" i="6"/>
  <c r="CL666" i="6"/>
  <c r="BN666" i="6"/>
  <c r="AB664" i="5"/>
  <c r="AA664" i="5"/>
  <c r="AV666" i="6"/>
  <c r="AR666" i="6"/>
  <c r="AN666" i="6"/>
  <c r="BW666" i="6"/>
  <c r="BF666" i="6"/>
  <c r="BE666" i="6"/>
  <c r="AZ666" i="6"/>
  <c r="AW666" i="6"/>
  <c r="BM666" i="6"/>
  <c r="C664" i="12"/>
  <c r="M664" i="12"/>
  <c r="O664" i="12"/>
  <c r="AO664" i="12"/>
  <c r="E669" i="5"/>
  <c r="B669" i="5"/>
  <c r="B669" i="6"/>
  <c r="J669" i="5"/>
  <c r="R669" i="5"/>
  <c r="A669" i="12"/>
  <c r="K669" i="5"/>
  <c r="H669" i="5"/>
  <c r="W669" i="5"/>
  <c r="H669" i="12" s="1"/>
  <c r="AD669" i="5"/>
  <c r="D669" i="5"/>
  <c r="B669" i="12" s="1"/>
  <c r="G669" i="5"/>
  <c r="N669" i="5"/>
  <c r="AE669" i="5"/>
  <c r="C670" i="5"/>
  <c r="F669" i="5"/>
  <c r="T661" i="12"/>
  <c r="V661" i="12"/>
  <c r="U661" i="12"/>
  <c r="G666" i="12"/>
  <c r="X666" i="5"/>
  <c r="L665" i="5"/>
  <c r="I665" i="12"/>
  <c r="AM665" i="5"/>
  <c r="Z665" i="5"/>
  <c r="I665" i="5"/>
  <c r="AC665" i="5"/>
  <c r="D663" i="12"/>
  <c r="E663" i="6"/>
  <c r="W663" i="12"/>
  <c r="X663" i="12"/>
  <c r="H667" i="6"/>
  <c r="T667" i="5" s="1"/>
  <c r="M667" i="6"/>
  <c r="BE667" i="6" s="1"/>
  <c r="N667" i="6"/>
  <c r="G667" i="6"/>
  <c r="AO666" i="6"/>
  <c r="BA666" i="6"/>
  <c r="AM666" i="6"/>
  <c r="AT666" i="6"/>
  <c r="CI666" i="6"/>
  <c r="CJ666" i="6"/>
  <c r="BD666" i="6"/>
  <c r="AL666" i="6"/>
  <c r="BV666" i="6"/>
  <c r="C664" i="6"/>
  <c r="O664" i="5"/>
  <c r="BQ667" i="6" l="1"/>
  <c r="CB667" i="6"/>
  <c r="BI667" i="6"/>
  <c r="AM667" i="6"/>
  <c r="CI667" i="6"/>
  <c r="BT667" i="6"/>
  <c r="BX667" i="6"/>
  <c r="N664" i="12"/>
  <c r="AN667" i="6"/>
  <c r="CK667" i="6"/>
  <c r="L666" i="5"/>
  <c r="AM666" i="5"/>
  <c r="I666" i="12"/>
  <c r="I666" i="5"/>
  <c r="Z666" i="5"/>
  <c r="AC666" i="5"/>
  <c r="E664" i="6"/>
  <c r="D664" i="12"/>
  <c r="AY667" i="6"/>
  <c r="AL667" i="6"/>
  <c r="CH667" i="6"/>
  <c r="AX667" i="6"/>
  <c r="CA667" i="6"/>
  <c r="BH667" i="6"/>
  <c r="AU667" i="6"/>
  <c r="BN667" i="6"/>
  <c r="BG667" i="6"/>
  <c r="CM667" i="6"/>
  <c r="BD667" i="6"/>
  <c r="CG667" i="6"/>
  <c r="AS667" i="6"/>
  <c r="BR667" i="6"/>
  <c r="G667" i="12"/>
  <c r="X667" i="5"/>
  <c r="D669" i="6"/>
  <c r="J669" i="12"/>
  <c r="L669" i="12"/>
  <c r="AJ666" i="6"/>
  <c r="CF667" i="6"/>
  <c r="AD670" i="5"/>
  <c r="H670" i="5"/>
  <c r="B670" i="5"/>
  <c r="W670" i="5"/>
  <c r="H670" i="12" s="1"/>
  <c r="B670" i="6"/>
  <c r="AE670" i="5"/>
  <c r="A670" i="12"/>
  <c r="J670" i="5"/>
  <c r="D670" i="5"/>
  <c r="B670" i="12" s="1"/>
  <c r="C671" i="5"/>
  <c r="G670" i="5"/>
  <c r="K670" i="5"/>
  <c r="F670" i="5"/>
  <c r="N670" i="5"/>
  <c r="R670" i="5"/>
  <c r="E670" i="5"/>
  <c r="CD667" i="6"/>
  <c r="BY667" i="6"/>
  <c r="AR667" i="6"/>
  <c r="CC667" i="6"/>
  <c r="AW667" i="6"/>
  <c r="CJ667" i="6"/>
  <c r="BJ667" i="6"/>
  <c r="BA667" i="6"/>
  <c r="BS667" i="6"/>
  <c r="BF667" i="6"/>
  <c r="AZ667" i="6"/>
  <c r="BM667" i="6"/>
  <c r="BL667" i="6"/>
  <c r="C665" i="12"/>
  <c r="M665" i="12"/>
  <c r="O665" i="12"/>
  <c r="AO665" i="12"/>
  <c r="Y665" i="12" s="1"/>
  <c r="E669" i="12"/>
  <c r="F669" i="6"/>
  <c r="V662" i="12"/>
  <c r="U662" i="12"/>
  <c r="T662" i="12"/>
  <c r="BZ668" i="6"/>
  <c r="CL668" i="6"/>
  <c r="BY668" i="6"/>
  <c r="BT668" i="6"/>
  <c r="BP668" i="6"/>
  <c r="M668" i="6"/>
  <c r="BI668" i="6"/>
  <c r="CI668" i="6"/>
  <c r="CC668" i="6"/>
  <c r="BL668" i="6"/>
  <c r="AO668" i="6"/>
  <c r="CH668" i="6"/>
  <c r="BK668" i="6"/>
  <c r="BH668" i="6"/>
  <c r="BX668" i="6"/>
  <c r="CB668" i="6"/>
  <c r="CD668" i="6"/>
  <c r="BJ668" i="6"/>
  <c r="BR668" i="6"/>
  <c r="BQ668" i="6"/>
  <c r="CE668" i="6"/>
  <c r="AL668" i="6"/>
  <c r="N668" i="6"/>
  <c r="CG668" i="6"/>
  <c r="BS668" i="6"/>
  <c r="BC668" i="6"/>
  <c r="BW668" i="6"/>
  <c r="CM668" i="6"/>
  <c r="CF668" i="6"/>
  <c r="BV668" i="6"/>
  <c r="CJ668" i="6"/>
  <c r="BD668" i="6"/>
  <c r="AU668" i="6"/>
  <c r="BM668" i="6"/>
  <c r="BE668" i="6"/>
  <c r="AT668" i="6"/>
  <c r="H668" i="6"/>
  <c r="T668" i="5" s="1"/>
  <c r="G668" i="12" s="1"/>
  <c r="BO668" i="6"/>
  <c r="CK668" i="6"/>
  <c r="BN668" i="6"/>
  <c r="BG668" i="6"/>
  <c r="G668" i="6"/>
  <c r="CA668" i="6"/>
  <c r="BA668" i="6"/>
  <c r="BF668" i="6"/>
  <c r="CE667" i="6"/>
  <c r="CL667" i="6"/>
  <c r="AT667" i="6"/>
  <c r="AB665" i="5"/>
  <c r="AA665" i="5"/>
  <c r="AO667" i="6"/>
  <c r="AJ667" i="6"/>
  <c r="BO667" i="6"/>
  <c r="BW667" i="6"/>
  <c r="AQ667" i="6"/>
  <c r="BZ667" i="6"/>
  <c r="BV667" i="6"/>
  <c r="AV667" i="6"/>
  <c r="AP667" i="6"/>
  <c r="BC667" i="6"/>
  <c r="AK667" i="6"/>
  <c r="BK667" i="6"/>
  <c r="BP667" i="6"/>
  <c r="U663" i="12"/>
  <c r="V663" i="12"/>
  <c r="T663" i="12"/>
  <c r="C665" i="6"/>
  <c r="O665" i="5"/>
  <c r="Y664" i="12"/>
  <c r="AQ668" i="6" l="1"/>
  <c r="AS668" i="6"/>
  <c r="AJ668" i="6"/>
  <c r="AZ668" i="6"/>
  <c r="AR668" i="6"/>
  <c r="AW668" i="6"/>
  <c r="AX668" i="6"/>
  <c r="AK668" i="6"/>
  <c r="AP668" i="6"/>
  <c r="AN668" i="6"/>
  <c r="K669" i="12"/>
  <c r="F670" i="6"/>
  <c r="E670" i="12"/>
  <c r="J671" i="5"/>
  <c r="B671" i="6"/>
  <c r="AE671" i="5"/>
  <c r="G671" i="5"/>
  <c r="B671" i="5"/>
  <c r="D671" i="5"/>
  <c r="B671" i="12" s="1"/>
  <c r="E671" i="5"/>
  <c r="R671" i="5"/>
  <c r="H671" i="5"/>
  <c r="C672" i="5"/>
  <c r="F671" i="5"/>
  <c r="W671" i="5"/>
  <c r="H671" i="12" s="1"/>
  <c r="K671" i="5"/>
  <c r="A671" i="12"/>
  <c r="AD671" i="5"/>
  <c r="N671" i="5"/>
  <c r="L670" i="12"/>
  <c r="J670" i="12"/>
  <c r="M669" i="6"/>
  <c r="CL669" i="6" s="1"/>
  <c r="G669" i="6"/>
  <c r="N669" i="6"/>
  <c r="BI669" i="6"/>
  <c r="H669" i="6"/>
  <c r="T669" i="5" s="1"/>
  <c r="BZ669" i="6"/>
  <c r="AB666" i="5"/>
  <c r="AA666" i="5"/>
  <c r="C666" i="6"/>
  <c r="O666" i="5"/>
  <c r="W665" i="12"/>
  <c r="X665" i="12"/>
  <c r="D670" i="6"/>
  <c r="AM667" i="5"/>
  <c r="L667" i="5"/>
  <c r="I667" i="12"/>
  <c r="I667" i="5"/>
  <c r="Z667" i="5"/>
  <c r="AC667" i="5"/>
  <c r="X664" i="12"/>
  <c r="W664" i="12"/>
  <c r="E665" i="6"/>
  <c r="D665" i="12"/>
  <c r="AM668" i="6"/>
  <c r="AV668" i="6"/>
  <c r="AY668" i="6"/>
  <c r="N665" i="12"/>
  <c r="C666" i="12"/>
  <c r="M666" i="12"/>
  <c r="AO666" i="12"/>
  <c r="O666" i="12"/>
  <c r="CG669" i="6" l="1"/>
  <c r="BE669" i="6"/>
  <c r="BW669" i="6"/>
  <c r="Y666" i="12"/>
  <c r="X666" i="12" s="1"/>
  <c r="BJ669" i="6"/>
  <c r="BK669" i="6"/>
  <c r="CM669" i="6"/>
  <c r="CF669" i="6"/>
  <c r="CD669" i="6"/>
  <c r="BO669" i="6"/>
  <c r="BL669" i="6"/>
  <c r="CK669" i="6"/>
  <c r="CC669" i="6"/>
  <c r="CI669" i="6"/>
  <c r="BG669" i="6"/>
  <c r="BM669" i="6"/>
  <c r="BH669" i="6"/>
  <c r="BN669" i="6"/>
  <c r="BR669" i="6"/>
  <c r="N666" i="12"/>
  <c r="CE669" i="6"/>
  <c r="BQ669" i="6"/>
  <c r="BF669" i="6"/>
  <c r="BP669" i="6"/>
  <c r="BV669" i="6"/>
  <c r="G669" i="12"/>
  <c r="X669" i="5"/>
  <c r="AO669" i="6"/>
  <c r="D666" i="12"/>
  <c r="E666" i="6"/>
  <c r="AY669" i="6"/>
  <c r="AL669" i="6"/>
  <c r="CB669" i="6"/>
  <c r="BT669" i="6"/>
  <c r="BX669" i="6"/>
  <c r="L671" i="12"/>
  <c r="J671" i="12"/>
  <c r="B672" i="5"/>
  <c r="I672" i="5"/>
  <c r="G672" i="5"/>
  <c r="B672" i="6"/>
  <c r="A672" i="12"/>
  <c r="AD672" i="5"/>
  <c r="C673" i="5"/>
  <c r="N672" i="5"/>
  <c r="E672" i="5"/>
  <c r="H672" i="5"/>
  <c r="W672" i="5"/>
  <c r="H672" i="12" s="1"/>
  <c r="F672" i="5"/>
  <c r="K668" i="5" s="1"/>
  <c r="AE672" i="5"/>
  <c r="V665" i="12"/>
  <c r="U665" i="12"/>
  <c r="T665" i="12"/>
  <c r="AU669" i="6"/>
  <c r="AJ669" i="6"/>
  <c r="D671" i="6"/>
  <c r="E671" i="12"/>
  <c r="F671" i="6"/>
  <c r="T664" i="12"/>
  <c r="U664" i="12"/>
  <c r="V664" i="12"/>
  <c r="AW669" i="6"/>
  <c r="AX669" i="6"/>
  <c r="C667" i="12"/>
  <c r="M667" i="12"/>
  <c r="O667" i="12"/>
  <c r="AO667" i="12"/>
  <c r="Y667" i="12" s="1"/>
  <c r="N670" i="6"/>
  <c r="M670" i="6"/>
  <c r="CD670" i="6" s="1"/>
  <c r="H670" i="6"/>
  <c r="T670" i="5" s="1"/>
  <c r="BI670" i="6"/>
  <c r="CA670" i="6"/>
  <c r="G670" i="6"/>
  <c r="BY669" i="6"/>
  <c r="AZ669" i="6"/>
  <c r="BS669" i="6"/>
  <c r="AP669" i="6"/>
  <c r="BD669" i="6"/>
  <c r="BC669" i="6"/>
  <c r="BA669" i="6"/>
  <c r="CJ669" i="6"/>
  <c r="CA669" i="6"/>
  <c r="AS669" i="6"/>
  <c r="AN669" i="6"/>
  <c r="CH669" i="6"/>
  <c r="W666" i="12"/>
  <c r="AB667" i="5"/>
  <c r="AA667" i="5"/>
  <c r="C667" i="6"/>
  <c r="O667" i="5"/>
  <c r="AM669" i="6"/>
  <c r="AK669" i="6"/>
  <c r="AV669" i="6"/>
  <c r="AR669" i="6"/>
  <c r="AQ669" i="6"/>
  <c r="AT669" i="6"/>
  <c r="K670" i="12"/>
  <c r="BO670" i="6" l="1"/>
  <c r="CH670" i="6"/>
  <c r="BS670" i="6"/>
  <c r="BL670" i="6"/>
  <c r="BP670" i="6"/>
  <c r="N667" i="12"/>
  <c r="K671" i="12"/>
  <c r="G670" i="12"/>
  <c r="X670" i="5"/>
  <c r="AJ670" i="6" s="1"/>
  <c r="AL670" i="6"/>
  <c r="BQ670" i="6"/>
  <c r="V666" i="12"/>
  <c r="T666" i="12"/>
  <c r="U666" i="12"/>
  <c r="BH670" i="6"/>
  <c r="BA670" i="6"/>
  <c r="W667" i="12"/>
  <c r="X667" i="12"/>
  <c r="AE673" i="5"/>
  <c r="H673" i="5"/>
  <c r="B673" i="6"/>
  <c r="AD673" i="5"/>
  <c r="E673" i="5"/>
  <c r="N673" i="5"/>
  <c r="F673" i="5"/>
  <c r="C674" i="5"/>
  <c r="D673" i="5"/>
  <c r="B673" i="12" s="1"/>
  <c r="K673" i="5"/>
  <c r="B673" i="5"/>
  <c r="G673" i="5"/>
  <c r="A673" i="12"/>
  <c r="R673" i="5"/>
  <c r="W673" i="5"/>
  <c r="H673" i="12" s="1"/>
  <c r="J673" i="5"/>
  <c r="BF670" i="6"/>
  <c r="AT670" i="6"/>
  <c r="CC670" i="6"/>
  <c r="CE670" i="6"/>
  <c r="CL670" i="6"/>
  <c r="AK670" i="6"/>
  <c r="BR670" i="6"/>
  <c r="AS670" i="6"/>
  <c r="BE670" i="6"/>
  <c r="BN670" i="6"/>
  <c r="BV670" i="6"/>
  <c r="CJ670" i="6"/>
  <c r="BM670" i="6"/>
  <c r="CK670" i="6"/>
  <c r="BJ670" i="6"/>
  <c r="AX670" i="6"/>
  <c r="AU670" i="6"/>
  <c r="AN670" i="6"/>
  <c r="CG670" i="6"/>
  <c r="AM669" i="5"/>
  <c r="L669" i="5"/>
  <c r="I669" i="12"/>
  <c r="Z669" i="5"/>
  <c r="I669" i="5"/>
  <c r="AC669" i="5"/>
  <c r="E667" i="6"/>
  <c r="D667" i="12"/>
  <c r="CM670" i="6"/>
  <c r="CF670" i="6"/>
  <c r="AQ670" i="6"/>
  <c r="AR670" i="6"/>
  <c r="AO670" i="6"/>
  <c r="AZ670" i="6"/>
  <c r="BT670" i="6"/>
  <c r="BC670" i="6"/>
  <c r="CB670" i="6"/>
  <c r="CI670" i="6"/>
  <c r="BY670" i="6"/>
  <c r="BW670" i="6"/>
  <c r="BD670" i="6"/>
  <c r="AV670" i="6"/>
  <c r="BX670" i="6"/>
  <c r="BZ670" i="6"/>
  <c r="BK670" i="6"/>
  <c r="BG670" i="6"/>
  <c r="AP670" i="6"/>
  <c r="AM670" i="6"/>
  <c r="AY670" i="6"/>
  <c r="AW670" i="6"/>
  <c r="M671" i="6"/>
  <c r="BL671" i="6" s="1"/>
  <c r="G671" i="6"/>
  <c r="N671" i="6"/>
  <c r="H671" i="6"/>
  <c r="T671" i="5" s="1"/>
  <c r="D672" i="6"/>
  <c r="BE671" i="6" l="1"/>
  <c r="BQ671" i="6"/>
  <c r="BT671" i="6"/>
  <c r="BO671" i="6"/>
  <c r="CC671" i="6"/>
  <c r="BG671" i="6"/>
  <c r="BC671" i="6"/>
  <c r="CL671" i="6"/>
  <c r="BW671" i="6"/>
  <c r="CJ671" i="6"/>
  <c r="BM671" i="6"/>
  <c r="CG671" i="6"/>
  <c r="BR671" i="6"/>
  <c r="BV671" i="6"/>
  <c r="CI671" i="6"/>
  <c r="BA671" i="6"/>
  <c r="BP671" i="6"/>
  <c r="BS671" i="6"/>
  <c r="BX671" i="6"/>
  <c r="BD671" i="6"/>
  <c r="AY671" i="6"/>
  <c r="AK671" i="6"/>
  <c r="BZ671" i="6"/>
  <c r="CK671" i="6"/>
  <c r="CE671" i="6"/>
  <c r="AL671" i="6"/>
  <c r="BJ671" i="6"/>
  <c r="CH671" i="6"/>
  <c r="AP671" i="6"/>
  <c r="AN671" i="6"/>
  <c r="BN671" i="6"/>
  <c r="BH671" i="6"/>
  <c r="CM671" i="6"/>
  <c r="BK671" i="6"/>
  <c r="CD671" i="6"/>
  <c r="AQ671" i="6"/>
  <c r="CF671" i="6"/>
  <c r="BY671" i="6"/>
  <c r="BI671" i="6"/>
  <c r="BF671" i="6"/>
  <c r="CA671" i="6"/>
  <c r="CB671" i="6"/>
  <c r="J673" i="12"/>
  <c r="L673" i="12"/>
  <c r="K673" i="12" s="1"/>
  <c r="C675" i="5"/>
  <c r="AD674" i="5"/>
  <c r="H674" i="5"/>
  <c r="K674" i="5"/>
  <c r="R674" i="5"/>
  <c r="G674" i="5"/>
  <c r="AE674" i="5"/>
  <c r="F674" i="5"/>
  <c r="J674" i="5"/>
  <c r="A674" i="12"/>
  <c r="B674" i="6"/>
  <c r="D674" i="5"/>
  <c r="B674" i="12" s="1"/>
  <c r="W674" i="5"/>
  <c r="H674" i="12" s="1"/>
  <c r="B674" i="5"/>
  <c r="E674" i="5"/>
  <c r="N674" i="5"/>
  <c r="G671" i="12"/>
  <c r="X671" i="5"/>
  <c r="AS671" i="6"/>
  <c r="AR671" i="6"/>
  <c r="AZ671" i="6"/>
  <c r="AA669" i="5"/>
  <c r="AB669" i="5"/>
  <c r="U667" i="12"/>
  <c r="T667" i="12"/>
  <c r="V667" i="12"/>
  <c r="AM670" i="5"/>
  <c r="L670" i="5"/>
  <c r="I670" i="12"/>
  <c r="Z670" i="5"/>
  <c r="I670" i="5"/>
  <c r="AC670" i="5"/>
  <c r="AX671" i="6"/>
  <c r="AT671" i="6"/>
  <c r="AV671" i="6"/>
  <c r="AU671" i="6"/>
  <c r="C669" i="12"/>
  <c r="O669" i="12"/>
  <c r="M669" i="12"/>
  <c r="AO669" i="12"/>
  <c r="D673" i="6"/>
  <c r="BK672" i="6"/>
  <c r="BX672" i="6"/>
  <c r="BH672" i="6"/>
  <c r="CC672" i="6"/>
  <c r="BD672" i="6"/>
  <c r="CL672" i="6"/>
  <c r="CE672" i="6"/>
  <c r="CA672" i="6"/>
  <c r="G672" i="6"/>
  <c r="CG672" i="6"/>
  <c r="AU672" i="6"/>
  <c r="AX672" i="6"/>
  <c r="BP672" i="6"/>
  <c r="BI672" i="6"/>
  <c r="BN672" i="6"/>
  <c r="CB672" i="6"/>
  <c r="CK672" i="6"/>
  <c r="CH672" i="6"/>
  <c r="CF672" i="6"/>
  <c r="BE672" i="6"/>
  <c r="BO672" i="6"/>
  <c r="H672" i="6"/>
  <c r="T672" i="5" s="1"/>
  <c r="G672" i="12" s="1"/>
  <c r="AS672" i="6"/>
  <c r="BJ672" i="6"/>
  <c r="CJ672" i="6"/>
  <c r="BS672" i="6"/>
  <c r="BV672" i="6"/>
  <c r="CM672" i="6"/>
  <c r="BT672" i="6"/>
  <c r="BR672" i="6"/>
  <c r="BL672" i="6"/>
  <c r="N672" i="6"/>
  <c r="BW672" i="6"/>
  <c r="AT672" i="6"/>
  <c r="BM672" i="6"/>
  <c r="BF672" i="6"/>
  <c r="M672" i="6"/>
  <c r="BG672" i="6"/>
  <c r="BQ672" i="6"/>
  <c r="BC672" i="6"/>
  <c r="BZ672" i="6"/>
  <c r="AK672" i="6"/>
  <c r="CI672" i="6"/>
  <c r="CD672" i="6"/>
  <c r="BY672" i="6"/>
  <c r="AM671" i="6"/>
  <c r="AO671" i="6"/>
  <c r="AW671" i="6"/>
  <c r="C669" i="6"/>
  <c r="O669" i="5"/>
  <c r="F673" i="6"/>
  <c r="E673" i="12"/>
  <c r="AN672" i="6" l="1"/>
  <c r="AY672" i="6"/>
  <c r="AP672" i="6"/>
  <c r="AL672" i="6"/>
  <c r="N669" i="12"/>
  <c r="AA670" i="5"/>
  <c r="AB670" i="5"/>
  <c r="D674" i="6"/>
  <c r="J674" i="12"/>
  <c r="L674" i="12"/>
  <c r="BA672" i="6"/>
  <c r="AJ672" i="6"/>
  <c r="AW672" i="6"/>
  <c r="AM672" i="6"/>
  <c r="AZ672" i="6"/>
  <c r="G673" i="6"/>
  <c r="H673" i="6"/>
  <c r="T673" i="5" s="1"/>
  <c r="N673" i="6"/>
  <c r="M673" i="6"/>
  <c r="BX673" i="6" s="1"/>
  <c r="BL673" i="6"/>
  <c r="CM673" i="6"/>
  <c r="CK673" i="6"/>
  <c r="C670" i="12"/>
  <c r="O670" i="12"/>
  <c r="AO670" i="12"/>
  <c r="M670" i="12"/>
  <c r="E674" i="12"/>
  <c r="F674" i="6"/>
  <c r="H675" i="5"/>
  <c r="B675" i="6"/>
  <c r="AD675" i="5"/>
  <c r="R675" i="5"/>
  <c r="W675" i="5"/>
  <c r="H675" i="12" s="1"/>
  <c r="D675" i="5"/>
  <c r="B675" i="12" s="1"/>
  <c r="AE675" i="5"/>
  <c r="E675" i="5"/>
  <c r="N675" i="5"/>
  <c r="J675" i="5"/>
  <c r="K675" i="5"/>
  <c r="A675" i="12"/>
  <c r="C676" i="5"/>
  <c r="B675" i="5"/>
  <c r="F675" i="5"/>
  <c r="G675" i="5"/>
  <c r="D669" i="12"/>
  <c r="E669" i="6"/>
  <c r="AV672" i="6"/>
  <c r="AQ672" i="6"/>
  <c r="AR672" i="6"/>
  <c r="AO672" i="6"/>
  <c r="Y669" i="12"/>
  <c r="C670" i="6"/>
  <c r="O670" i="5"/>
  <c r="L671" i="5"/>
  <c r="AM671" i="5"/>
  <c r="I671" i="12"/>
  <c r="I671" i="5"/>
  <c r="Z671" i="5"/>
  <c r="AC671" i="5"/>
  <c r="AJ671" i="6"/>
  <c r="Y670" i="12" l="1"/>
  <c r="AT673" i="6"/>
  <c r="AV673" i="6"/>
  <c r="AP673" i="6"/>
  <c r="AZ673" i="6"/>
  <c r="AX673" i="6"/>
  <c r="G673" i="12"/>
  <c r="X673" i="5"/>
  <c r="AJ673" i="6" s="1"/>
  <c r="J676" i="5"/>
  <c r="H676" i="5"/>
  <c r="K676" i="5"/>
  <c r="F676" i="5"/>
  <c r="C677" i="5"/>
  <c r="B676" i="5"/>
  <c r="W676" i="5"/>
  <c r="H676" i="12" s="1"/>
  <c r="E676" i="5"/>
  <c r="B676" i="6"/>
  <c r="A676" i="12"/>
  <c r="G676" i="5"/>
  <c r="R676" i="5"/>
  <c r="D676" i="5"/>
  <c r="B676" i="12" s="1"/>
  <c r="AD676" i="5"/>
  <c r="AE676" i="5"/>
  <c r="N676" i="5"/>
  <c r="W670" i="12"/>
  <c r="X670" i="12"/>
  <c r="BS673" i="6"/>
  <c r="AN673" i="6"/>
  <c r="CJ673" i="6"/>
  <c r="BP673" i="6"/>
  <c r="CC673" i="6"/>
  <c r="CH673" i="6"/>
  <c r="CE673" i="6"/>
  <c r="BA673" i="6"/>
  <c r="AY673" i="6"/>
  <c r="AM673" i="6"/>
  <c r="BN673" i="6"/>
  <c r="AQ673" i="6"/>
  <c r="BG673" i="6"/>
  <c r="N674" i="6"/>
  <c r="M674" i="6"/>
  <c r="BD674" i="6" s="1"/>
  <c r="H674" i="6"/>
  <c r="T674" i="5" s="1"/>
  <c r="CJ674" i="6"/>
  <c r="BQ674" i="6"/>
  <c r="BI674" i="6"/>
  <c r="BT674" i="6"/>
  <c r="CC674" i="6"/>
  <c r="G674" i="6"/>
  <c r="CM674" i="6"/>
  <c r="C671" i="12"/>
  <c r="O671" i="12"/>
  <c r="M671" i="12"/>
  <c r="AO671" i="12"/>
  <c r="CL673" i="6"/>
  <c r="BH673" i="6"/>
  <c r="BQ673" i="6"/>
  <c r="BC673" i="6"/>
  <c r="AA671" i="5"/>
  <c r="AB671" i="5"/>
  <c r="C671" i="6"/>
  <c r="O671" i="5"/>
  <c r="F675" i="6"/>
  <c r="E675" i="12"/>
  <c r="N670" i="12"/>
  <c r="CI673" i="6"/>
  <c r="CA673" i="6"/>
  <c r="BR673" i="6"/>
  <c r="AU673" i="6"/>
  <c r="AL673" i="6"/>
  <c r="BK673" i="6"/>
  <c r="BJ673" i="6"/>
  <c r="BI673" i="6"/>
  <c r="AO673" i="6"/>
  <c r="BV673" i="6"/>
  <c r="BY673" i="6"/>
  <c r="BM673" i="6"/>
  <c r="AW673" i="6"/>
  <c r="BD673" i="6"/>
  <c r="D675" i="6"/>
  <c r="X669" i="12"/>
  <c r="W669" i="12"/>
  <c r="E670" i="6"/>
  <c r="D670" i="12"/>
  <c r="L675" i="12"/>
  <c r="J675" i="12"/>
  <c r="BW673" i="6"/>
  <c r="BT673" i="6"/>
  <c r="CF673" i="6"/>
  <c r="CB673" i="6"/>
  <c r="AR673" i="6"/>
  <c r="CD673" i="6"/>
  <c r="BZ673" i="6"/>
  <c r="AS673" i="6"/>
  <c r="CG673" i="6"/>
  <c r="BE673" i="6"/>
  <c r="BF673" i="6"/>
  <c r="BO673" i="6"/>
  <c r="AK673" i="6"/>
  <c r="K674" i="12"/>
  <c r="BL674" i="6" l="1"/>
  <c r="CG674" i="6"/>
  <c r="K675" i="12"/>
  <c r="AY674" i="6"/>
  <c r="Y671" i="12"/>
  <c r="X671" i="12" s="1"/>
  <c r="CE674" i="6"/>
  <c r="AO674" i="6"/>
  <c r="AL674" i="6"/>
  <c r="AR674" i="6"/>
  <c r="E676" i="12"/>
  <c r="F676" i="6"/>
  <c r="T669" i="12"/>
  <c r="U669" i="12"/>
  <c r="V669" i="12"/>
  <c r="AP674" i="6"/>
  <c r="CA674" i="6"/>
  <c r="AV674" i="6"/>
  <c r="BE674" i="6"/>
  <c r="AW674" i="6"/>
  <c r="BW674" i="6"/>
  <c r="AT674" i="6"/>
  <c r="AU674" i="6"/>
  <c r="AK674" i="6"/>
  <c r="CH674" i="6"/>
  <c r="CK674" i="6"/>
  <c r="BF674" i="6"/>
  <c r="BK674" i="6"/>
  <c r="BV674" i="6"/>
  <c r="U670" i="12"/>
  <c r="T670" i="12"/>
  <c r="V670" i="12"/>
  <c r="B677" i="6"/>
  <c r="G677" i="5"/>
  <c r="J677" i="5"/>
  <c r="B677" i="5"/>
  <c r="C678" i="5"/>
  <c r="AE677" i="5"/>
  <c r="D677" i="5"/>
  <c r="B677" i="12" s="1"/>
  <c r="F677" i="5"/>
  <c r="A677" i="12"/>
  <c r="N677" i="5"/>
  <c r="W677" i="5"/>
  <c r="H677" i="12" s="1"/>
  <c r="H677" i="5"/>
  <c r="K677" i="5"/>
  <c r="R677" i="5"/>
  <c r="E677" i="5"/>
  <c r="AD677" i="5"/>
  <c r="H675" i="6"/>
  <c r="T675" i="5" s="1"/>
  <c r="N675" i="6"/>
  <c r="G675" i="6"/>
  <c r="M675" i="6"/>
  <c r="BF675" i="6" s="1"/>
  <c r="E671" i="6"/>
  <c r="D671" i="12"/>
  <c r="W671" i="12"/>
  <c r="L673" i="5"/>
  <c r="I673" i="12"/>
  <c r="AM673" i="5"/>
  <c r="I673" i="5"/>
  <c r="Z673" i="5"/>
  <c r="AC673" i="5"/>
  <c r="N671" i="12"/>
  <c r="BH674" i="6"/>
  <c r="AN674" i="6"/>
  <c r="CI674" i="6"/>
  <c r="CL674" i="6"/>
  <c r="CD674" i="6"/>
  <c r="BN674" i="6"/>
  <c r="AM674" i="6"/>
  <c r="CB674" i="6"/>
  <c r="BZ674" i="6"/>
  <c r="AQ674" i="6"/>
  <c r="BS674" i="6"/>
  <c r="BP674" i="6"/>
  <c r="BM674" i="6"/>
  <c r="D676" i="6"/>
  <c r="L676" i="12"/>
  <c r="J676" i="12"/>
  <c r="G674" i="12"/>
  <c r="X674" i="5"/>
  <c r="BA674" i="6"/>
  <c r="BJ674" i="6"/>
  <c r="CF674" i="6"/>
  <c r="AJ674" i="6"/>
  <c r="BC674" i="6"/>
  <c r="BO674" i="6"/>
  <c r="BR674" i="6"/>
  <c r="AX674" i="6"/>
  <c r="AZ674" i="6"/>
  <c r="BY674" i="6"/>
  <c r="BG674" i="6"/>
  <c r="BX674" i="6"/>
  <c r="AS674" i="6"/>
  <c r="AK675" i="6" l="1"/>
  <c r="BY675" i="6"/>
  <c r="L677" i="12"/>
  <c r="J677" i="12"/>
  <c r="BX675" i="6"/>
  <c r="CF675" i="6"/>
  <c r="BE675" i="6"/>
  <c r="AX675" i="6"/>
  <c r="CM675" i="6"/>
  <c r="AO675" i="6"/>
  <c r="CE675" i="6"/>
  <c r="AU675" i="6"/>
  <c r="CB675" i="6"/>
  <c r="BC675" i="6"/>
  <c r="BQ675" i="6"/>
  <c r="G675" i="12"/>
  <c r="X675" i="5"/>
  <c r="BG675" i="6"/>
  <c r="BL675" i="6"/>
  <c r="BR675" i="6"/>
  <c r="L674" i="5"/>
  <c r="I674" i="12"/>
  <c r="AM674" i="5"/>
  <c r="Z674" i="5"/>
  <c r="I674" i="5"/>
  <c r="AC674" i="5"/>
  <c r="C673" i="6"/>
  <c r="O673" i="5"/>
  <c r="BA675" i="6"/>
  <c r="BP675" i="6"/>
  <c r="AV675" i="6"/>
  <c r="CH675" i="6"/>
  <c r="K676" i="12"/>
  <c r="V671" i="12"/>
  <c r="T671" i="12"/>
  <c r="U671" i="12"/>
  <c r="BS675" i="6"/>
  <c r="CJ675" i="6"/>
  <c r="AR675" i="6"/>
  <c r="CC675" i="6"/>
  <c r="BD675" i="6"/>
  <c r="BV675" i="6"/>
  <c r="AQ675" i="6"/>
  <c r="CL675" i="6"/>
  <c r="BW675" i="6"/>
  <c r="AM675" i="6"/>
  <c r="AZ675" i="6"/>
  <c r="BK675" i="6"/>
  <c r="BN675" i="6"/>
  <c r="BI675" i="6"/>
  <c r="E677" i="12"/>
  <c r="F677" i="6"/>
  <c r="AA673" i="5"/>
  <c r="AB673" i="5"/>
  <c r="AN675" i="6"/>
  <c r="BZ675" i="6"/>
  <c r="AS675" i="6"/>
  <c r="CK675" i="6"/>
  <c r="BT675" i="6"/>
  <c r="M676" i="6"/>
  <c r="CD676" i="6" s="1"/>
  <c r="G676" i="6"/>
  <c r="H676" i="6"/>
  <c r="T676" i="5" s="1"/>
  <c r="BM676" i="6"/>
  <c r="N676" i="6"/>
  <c r="C673" i="12"/>
  <c r="AO673" i="12"/>
  <c r="O673" i="12"/>
  <c r="M673" i="12"/>
  <c r="CA675" i="6"/>
  <c r="BO675" i="6"/>
  <c r="BJ675" i="6"/>
  <c r="AW675" i="6"/>
  <c r="BM675" i="6"/>
  <c r="AT675" i="6"/>
  <c r="CG675" i="6"/>
  <c r="AY675" i="6"/>
  <c r="BH675" i="6"/>
  <c r="CI675" i="6"/>
  <c r="AL675" i="6"/>
  <c r="AP675" i="6"/>
  <c r="CD675" i="6"/>
  <c r="D677" i="6"/>
  <c r="G678" i="5"/>
  <c r="A678" i="12"/>
  <c r="AE678" i="5"/>
  <c r="K678" i="5"/>
  <c r="F678" i="5"/>
  <c r="B678" i="5"/>
  <c r="W678" i="5"/>
  <c r="H678" i="12" s="1"/>
  <c r="J678" i="5"/>
  <c r="B678" i="6"/>
  <c r="AD678" i="5"/>
  <c r="C679" i="5"/>
  <c r="H678" i="5"/>
  <c r="R678" i="5"/>
  <c r="E678" i="5"/>
  <c r="D678" i="5"/>
  <c r="B678" i="12" s="1"/>
  <c r="N678" i="5"/>
  <c r="BS676" i="6" l="1"/>
  <c r="CL676" i="6"/>
  <c r="BG676" i="6"/>
  <c r="BC676" i="6"/>
  <c r="BO676" i="6"/>
  <c r="CE676" i="6"/>
  <c r="BN676" i="6"/>
  <c r="AZ676" i="6"/>
  <c r="Y673" i="12"/>
  <c r="W673" i="12" s="1"/>
  <c r="BT676" i="6"/>
  <c r="BI676" i="6"/>
  <c r="BX676" i="6"/>
  <c r="BF676" i="6"/>
  <c r="BW676" i="6"/>
  <c r="BE676" i="6"/>
  <c r="CI676" i="6"/>
  <c r="BQ676" i="6"/>
  <c r="AK676" i="6"/>
  <c r="BL676" i="6"/>
  <c r="CG676" i="6"/>
  <c r="BH676" i="6"/>
  <c r="CF676" i="6"/>
  <c r="BZ676" i="6"/>
  <c r="BY676" i="6"/>
  <c r="BD676" i="6"/>
  <c r="CA676" i="6"/>
  <c r="CC676" i="6"/>
  <c r="CK676" i="6"/>
  <c r="CB676" i="6"/>
  <c r="CM676" i="6"/>
  <c r="BK676" i="6"/>
  <c r="CJ676" i="6"/>
  <c r="CH676" i="6"/>
  <c r="BR676" i="6"/>
  <c r="BV676" i="6"/>
  <c r="BJ676" i="6"/>
  <c r="BP676" i="6"/>
  <c r="AX676" i="6"/>
  <c r="I675" i="12"/>
  <c r="AM675" i="5"/>
  <c r="L675" i="5"/>
  <c r="I675" i="5"/>
  <c r="Z675" i="5"/>
  <c r="AC675" i="5"/>
  <c r="F679" i="5"/>
  <c r="E679" i="5"/>
  <c r="J679" i="5"/>
  <c r="AD679" i="5"/>
  <c r="G679" i="5"/>
  <c r="H679" i="5"/>
  <c r="B679" i="5"/>
  <c r="AE679" i="5"/>
  <c r="D679" i="5"/>
  <c r="B679" i="12" s="1"/>
  <c r="A679" i="12"/>
  <c r="B679" i="6"/>
  <c r="R679" i="5"/>
  <c r="W679" i="5"/>
  <c r="H679" i="12" s="1"/>
  <c r="N679" i="5"/>
  <c r="C680" i="5"/>
  <c r="K679" i="5"/>
  <c r="AU676" i="6"/>
  <c r="BA676" i="6"/>
  <c r="D673" i="12"/>
  <c r="E673" i="6"/>
  <c r="AA674" i="5"/>
  <c r="AB674" i="5"/>
  <c r="K677" i="12"/>
  <c r="AY676" i="6"/>
  <c r="AV676" i="6"/>
  <c r="AN676" i="6"/>
  <c r="C674" i="6"/>
  <c r="O674" i="5"/>
  <c r="D678" i="6"/>
  <c r="E678" i="12"/>
  <c r="F678" i="6"/>
  <c r="N673" i="12"/>
  <c r="AR676" i="6"/>
  <c r="AO676" i="6"/>
  <c r="AT676" i="6"/>
  <c r="AJ675" i="6"/>
  <c r="J678" i="12"/>
  <c r="L678" i="12"/>
  <c r="G676" i="12"/>
  <c r="X676" i="5"/>
  <c r="AL676" i="6"/>
  <c r="G677" i="6"/>
  <c r="N677" i="6"/>
  <c r="H677" i="6"/>
  <c r="T677" i="5" s="1"/>
  <c r="M677" i="6"/>
  <c r="BM677" i="6" s="1"/>
  <c r="CB677" i="6"/>
  <c r="BK677" i="6"/>
  <c r="BJ677" i="6"/>
  <c r="BL677" i="6"/>
  <c r="BG677" i="6"/>
  <c r="CC677" i="6"/>
  <c r="CD677" i="6"/>
  <c r="X673" i="12"/>
  <c r="AQ676" i="6"/>
  <c r="AP676" i="6"/>
  <c r="AS676" i="6"/>
  <c r="AM676" i="6"/>
  <c r="AW676" i="6"/>
  <c r="C674" i="12"/>
  <c r="M674" i="12"/>
  <c r="O674" i="12"/>
  <c r="N674" i="12" s="1"/>
  <c r="AO674" i="12"/>
  <c r="BW677" i="6" l="1"/>
  <c r="BS677" i="6"/>
  <c r="AT677" i="6"/>
  <c r="K678" i="12"/>
  <c r="AQ677" i="6"/>
  <c r="BH677" i="6"/>
  <c r="AN677" i="6"/>
  <c r="AW677" i="6"/>
  <c r="CM677" i="6"/>
  <c r="AR677" i="6"/>
  <c r="AL677" i="6"/>
  <c r="BV677" i="6"/>
  <c r="AX677" i="6"/>
  <c r="BY677" i="6"/>
  <c r="AO677" i="6"/>
  <c r="BA677" i="6"/>
  <c r="BZ677" i="6"/>
  <c r="BR677" i="6"/>
  <c r="BE677" i="6"/>
  <c r="BF677" i="6"/>
  <c r="AU677" i="6"/>
  <c r="BX677" i="6"/>
  <c r="BC677" i="6"/>
  <c r="M678" i="6"/>
  <c r="CC678" i="6" s="1"/>
  <c r="N678" i="6"/>
  <c r="G678" i="6"/>
  <c r="BM678" i="6"/>
  <c r="H678" i="6"/>
  <c r="T678" i="5" s="1"/>
  <c r="BF678" i="6"/>
  <c r="H680" i="5"/>
  <c r="K680" i="5"/>
  <c r="C681" i="5"/>
  <c r="G680" i="5"/>
  <c r="B680" i="6"/>
  <c r="AD680" i="5"/>
  <c r="B680" i="5"/>
  <c r="F680" i="5"/>
  <c r="N680" i="5"/>
  <c r="J680" i="5"/>
  <c r="R680" i="5"/>
  <c r="W680" i="5"/>
  <c r="H680" i="12" s="1"/>
  <c r="A680" i="12"/>
  <c r="AE680" i="5"/>
  <c r="D680" i="5"/>
  <c r="B680" i="12" s="1"/>
  <c r="E680" i="5"/>
  <c r="AS677" i="6"/>
  <c r="CE677" i="6"/>
  <c r="CL677" i="6"/>
  <c r="CK677" i="6"/>
  <c r="AY677" i="6"/>
  <c r="BQ677" i="6"/>
  <c r="CH677" i="6"/>
  <c r="I676" i="12"/>
  <c r="AM676" i="5"/>
  <c r="L676" i="5"/>
  <c r="Z676" i="5"/>
  <c r="I676" i="5"/>
  <c r="AC676" i="5"/>
  <c r="D674" i="12"/>
  <c r="E674" i="6"/>
  <c r="AJ676" i="6"/>
  <c r="D679" i="6"/>
  <c r="AB675" i="5"/>
  <c r="AA675" i="5"/>
  <c r="C675" i="12"/>
  <c r="O675" i="12"/>
  <c r="AO675" i="12"/>
  <c r="M675" i="12"/>
  <c r="F679" i="6"/>
  <c r="E679" i="12"/>
  <c r="T673" i="12"/>
  <c r="V673" i="12"/>
  <c r="U673" i="12"/>
  <c r="BO677" i="6"/>
  <c r="BN677" i="6"/>
  <c r="CA677" i="6"/>
  <c r="BI677" i="6"/>
  <c r="BT677" i="6"/>
  <c r="AZ677" i="6"/>
  <c r="BD677" i="6"/>
  <c r="BP677" i="6"/>
  <c r="AP677" i="6"/>
  <c r="CG677" i="6"/>
  <c r="G677" i="12"/>
  <c r="X677" i="5"/>
  <c r="CF677" i="6"/>
  <c r="AM677" i="6"/>
  <c r="CJ677" i="6"/>
  <c r="CI677" i="6"/>
  <c r="J679" i="12"/>
  <c r="L679" i="12"/>
  <c r="Y674" i="12"/>
  <c r="AK677" i="6"/>
  <c r="AV677" i="6"/>
  <c r="C675" i="6"/>
  <c r="O675" i="5"/>
  <c r="BZ678" i="6" l="1"/>
  <c r="BH678" i="6"/>
  <c r="BJ678" i="6"/>
  <c r="CA678" i="6"/>
  <c r="BT678" i="6"/>
  <c r="BG678" i="6"/>
  <c r="AM678" i="6"/>
  <c r="AP678" i="6"/>
  <c r="CF678" i="6"/>
  <c r="K679" i="12"/>
  <c r="CI678" i="6"/>
  <c r="BD678" i="6"/>
  <c r="BO678" i="6"/>
  <c r="CL678" i="6"/>
  <c r="BQ678" i="6"/>
  <c r="BI678" i="6"/>
  <c r="CG678" i="6"/>
  <c r="CD678" i="6"/>
  <c r="BX678" i="6"/>
  <c r="BE678" i="6"/>
  <c r="BR678" i="6"/>
  <c r="BC678" i="6"/>
  <c r="BY678" i="6"/>
  <c r="BW678" i="6"/>
  <c r="AY678" i="6"/>
  <c r="BN678" i="6"/>
  <c r="BS678" i="6"/>
  <c r="CE678" i="6"/>
  <c r="BV678" i="6"/>
  <c r="CB678" i="6"/>
  <c r="AT678" i="6"/>
  <c r="AN678" i="6"/>
  <c r="AK678" i="6"/>
  <c r="BP678" i="6"/>
  <c r="CK678" i="6"/>
  <c r="CM678" i="6"/>
  <c r="CJ678" i="6"/>
  <c r="CH678" i="6"/>
  <c r="AO678" i="6"/>
  <c r="BK678" i="6"/>
  <c r="BL678" i="6"/>
  <c r="C676" i="12"/>
  <c r="O676" i="12"/>
  <c r="AO676" i="12"/>
  <c r="Y676" i="12" s="1"/>
  <c r="M676" i="12"/>
  <c r="X674" i="12"/>
  <c r="W674" i="12"/>
  <c r="Y675" i="12"/>
  <c r="AA676" i="5"/>
  <c r="AB676" i="5"/>
  <c r="F680" i="6"/>
  <c r="E680" i="12"/>
  <c r="AU678" i="6"/>
  <c r="AZ678" i="6"/>
  <c r="AW678" i="6"/>
  <c r="AR678" i="6"/>
  <c r="D675" i="12"/>
  <c r="E675" i="6"/>
  <c r="N675" i="12"/>
  <c r="C676" i="6"/>
  <c r="O676" i="5"/>
  <c r="J680" i="12"/>
  <c r="L680" i="12"/>
  <c r="G678" i="12"/>
  <c r="X678" i="5"/>
  <c r="AX678" i="6"/>
  <c r="I677" i="12"/>
  <c r="AM677" i="5"/>
  <c r="L677" i="5"/>
  <c r="Z677" i="5"/>
  <c r="I677" i="5"/>
  <c r="AC677" i="5"/>
  <c r="AJ677" i="6"/>
  <c r="H679" i="6"/>
  <c r="T679" i="5" s="1"/>
  <c r="N679" i="6"/>
  <c r="G679" i="6"/>
  <c r="M679" i="6"/>
  <c r="CH679" i="6" s="1"/>
  <c r="CL679" i="6"/>
  <c r="CI679" i="6"/>
  <c r="D680" i="6"/>
  <c r="N681" i="5"/>
  <c r="B681" i="5"/>
  <c r="D681" i="5"/>
  <c r="B681" i="12" s="1"/>
  <c r="E681" i="5"/>
  <c r="R681" i="5"/>
  <c r="G681" i="5"/>
  <c r="B681" i="6"/>
  <c r="W681" i="5"/>
  <c r="H681" i="12" s="1"/>
  <c r="J681" i="5"/>
  <c r="C682" i="5"/>
  <c r="AE681" i="5"/>
  <c r="H681" i="5"/>
  <c r="A681" i="12"/>
  <c r="K681" i="5"/>
  <c r="AD681" i="5"/>
  <c r="F681" i="5"/>
  <c r="BA678" i="6"/>
  <c r="AV678" i="6"/>
  <c r="AQ678" i="6"/>
  <c r="AL678" i="6"/>
  <c r="AS678" i="6"/>
  <c r="BV679" i="6" l="1"/>
  <c r="BC679" i="6"/>
  <c r="CB679" i="6"/>
  <c r="BH679" i="6"/>
  <c r="BS679" i="6"/>
  <c r="CC679" i="6"/>
  <c r="AW679" i="6"/>
  <c r="BM679" i="6"/>
  <c r="AM679" i="6"/>
  <c r="BN679" i="6"/>
  <c r="BQ679" i="6"/>
  <c r="BE679" i="6"/>
  <c r="CJ679" i="6"/>
  <c r="AX679" i="6"/>
  <c r="K680" i="12"/>
  <c r="BX679" i="6"/>
  <c r="AR679" i="6"/>
  <c r="CA679" i="6"/>
  <c r="BD679" i="6"/>
  <c r="AM678" i="5"/>
  <c r="L678" i="5"/>
  <c r="I678" i="12"/>
  <c r="I678" i="5"/>
  <c r="Z678" i="5"/>
  <c r="AC678" i="5"/>
  <c r="H680" i="6"/>
  <c r="T680" i="5" s="1"/>
  <c r="N680" i="6"/>
  <c r="G680" i="6"/>
  <c r="M680" i="6"/>
  <c r="BH680" i="6" s="1"/>
  <c r="BR679" i="6"/>
  <c r="AU679" i="6"/>
  <c r="BW679" i="6"/>
  <c r="BZ679" i="6"/>
  <c r="CG679" i="6"/>
  <c r="BT679" i="6"/>
  <c r="AP679" i="6"/>
  <c r="AV679" i="6"/>
  <c r="AL679" i="6"/>
  <c r="BA679" i="6"/>
  <c r="AK679" i="6"/>
  <c r="BI679" i="6"/>
  <c r="AT679" i="6"/>
  <c r="CK679" i="6"/>
  <c r="W675" i="12"/>
  <c r="X675" i="12"/>
  <c r="X676" i="12"/>
  <c r="W676" i="12"/>
  <c r="C677" i="6"/>
  <c r="O677" i="5"/>
  <c r="CF679" i="6"/>
  <c r="CE679" i="6"/>
  <c r="BL679" i="6"/>
  <c r="CM679" i="6"/>
  <c r="AN679" i="6"/>
  <c r="BK679" i="6"/>
  <c r="BG679" i="6"/>
  <c r="AY679" i="6"/>
  <c r="AO679" i="6"/>
  <c r="BP679" i="6"/>
  <c r="AQ679" i="6"/>
  <c r="BY679" i="6"/>
  <c r="BF679" i="6"/>
  <c r="AS679" i="6"/>
  <c r="C677" i="12"/>
  <c r="M677" i="12"/>
  <c r="AO677" i="12"/>
  <c r="O677" i="12"/>
  <c r="AJ678" i="6"/>
  <c r="U674" i="12"/>
  <c r="V674" i="12"/>
  <c r="T674" i="12"/>
  <c r="N676" i="12"/>
  <c r="L681" i="12"/>
  <c r="J681" i="12"/>
  <c r="D682" i="5"/>
  <c r="B682" i="12" s="1"/>
  <c r="G682" i="5"/>
  <c r="B682" i="6"/>
  <c r="B682" i="5"/>
  <c r="J682" i="5"/>
  <c r="K682" i="5"/>
  <c r="F682" i="5"/>
  <c r="AD682" i="5"/>
  <c r="A682" i="12"/>
  <c r="H682" i="5"/>
  <c r="W682" i="5"/>
  <c r="H682" i="12" s="1"/>
  <c r="E682" i="5"/>
  <c r="AE682" i="5"/>
  <c r="C683" i="5"/>
  <c r="R682" i="5"/>
  <c r="N682" i="5"/>
  <c r="F681" i="6"/>
  <c r="E681" i="12"/>
  <c r="D681" i="6"/>
  <c r="AZ679" i="6"/>
  <c r="BO679" i="6"/>
  <c r="BJ679" i="6"/>
  <c r="CD679" i="6"/>
  <c r="G679" i="12"/>
  <c r="X679" i="5"/>
  <c r="AJ679" i="6" s="1"/>
  <c r="AA677" i="5"/>
  <c r="AB677" i="5"/>
  <c r="D676" i="12"/>
  <c r="E676" i="6"/>
  <c r="K681" i="12" l="1"/>
  <c r="AO680" i="6"/>
  <c r="CB680" i="6"/>
  <c r="BQ680" i="6"/>
  <c r="CE680" i="6"/>
  <c r="CK680" i="6"/>
  <c r="CD680" i="6"/>
  <c r="BJ680" i="6"/>
  <c r="BN680" i="6"/>
  <c r="CA680" i="6"/>
  <c r="CL680" i="6"/>
  <c r="CH680" i="6"/>
  <c r="AX680" i="6"/>
  <c r="CG680" i="6"/>
  <c r="BY680" i="6"/>
  <c r="BX680" i="6"/>
  <c r="BO680" i="6"/>
  <c r="BC680" i="6"/>
  <c r="BR680" i="6"/>
  <c r="BP680" i="6"/>
  <c r="AM680" i="6"/>
  <c r="AS680" i="6"/>
  <c r="CJ680" i="6"/>
  <c r="BS680" i="6"/>
  <c r="AV680" i="6"/>
  <c r="BF680" i="6"/>
  <c r="AL680" i="6"/>
  <c r="E683" i="5"/>
  <c r="C684" i="5"/>
  <c r="J683" i="5"/>
  <c r="AD683" i="5"/>
  <c r="D683" i="5"/>
  <c r="B683" i="12" s="1"/>
  <c r="AE683" i="5"/>
  <c r="N683" i="5"/>
  <c r="R683" i="5"/>
  <c r="F683" i="5"/>
  <c r="H683" i="5"/>
  <c r="B683" i="5"/>
  <c r="A683" i="12"/>
  <c r="K683" i="5"/>
  <c r="W683" i="5"/>
  <c r="H683" i="12" s="1"/>
  <c r="B683" i="6"/>
  <c r="G683" i="5"/>
  <c r="J682" i="12"/>
  <c r="L682" i="12"/>
  <c r="D677" i="12"/>
  <c r="E677" i="6"/>
  <c r="V675" i="12"/>
  <c r="U675" i="12"/>
  <c r="T675" i="12"/>
  <c r="AN680" i="6"/>
  <c r="AW680" i="6"/>
  <c r="BV680" i="6"/>
  <c r="AQ680" i="6"/>
  <c r="BE680" i="6"/>
  <c r="BG680" i="6"/>
  <c r="AY680" i="6"/>
  <c r="BA680" i="6"/>
  <c r="BW680" i="6"/>
  <c r="AU680" i="6"/>
  <c r="BL680" i="6"/>
  <c r="BD680" i="6"/>
  <c r="C678" i="12"/>
  <c r="AO678" i="12"/>
  <c r="M678" i="12"/>
  <c r="O678" i="12"/>
  <c r="D682" i="6"/>
  <c r="N677" i="12"/>
  <c r="T676" i="12"/>
  <c r="U676" i="12"/>
  <c r="V676" i="12"/>
  <c r="G680" i="12"/>
  <c r="X680" i="5"/>
  <c r="AZ680" i="6"/>
  <c r="CI680" i="6"/>
  <c r="C678" i="6"/>
  <c r="O678" i="5"/>
  <c r="AM679" i="5"/>
  <c r="I679" i="12"/>
  <c r="L679" i="5"/>
  <c r="Z679" i="5"/>
  <c r="I679" i="5"/>
  <c r="AC679" i="5"/>
  <c r="N681" i="6"/>
  <c r="G681" i="6"/>
  <c r="H681" i="6"/>
  <c r="T681" i="5" s="1"/>
  <c r="M681" i="6"/>
  <c r="BP681" i="6" s="1"/>
  <c r="F682" i="6"/>
  <c r="E682" i="12"/>
  <c r="Y677" i="12"/>
  <c r="AP680" i="6"/>
  <c r="AR680" i="6"/>
  <c r="AT680" i="6"/>
  <c r="CM680" i="6"/>
  <c r="CF680" i="6"/>
  <c r="BZ680" i="6"/>
  <c r="BK680" i="6"/>
  <c r="BT680" i="6"/>
  <c r="BI680" i="6"/>
  <c r="BM680" i="6"/>
  <c r="CC680" i="6"/>
  <c r="AK680" i="6"/>
  <c r="AB678" i="5"/>
  <c r="AA678" i="5"/>
  <c r="BY681" i="6" l="1"/>
  <c r="BA681" i="6"/>
  <c r="AT681" i="6"/>
  <c r="AN681" i="6"/>
  <c r="BG681" i="6"/>
  <c r="CJ681" i="6"/>
  <c r="BR681" i="6"/>
  <c r="AM681" i="6"/>
  <c r="AP681" i="6"/>
  <c r="BW681" i="6"/>
  <c r="AY681" i="6"/>
  <c r="CB681" i="6"/>
  <c r="BF681" i="6"/>
  <c r="AV681" i="6"/>
  <c r="N678" i="12"/>
  <c r="BT681" i="6"/>
  <c r="AR681" i="6"/>
  <c r="AW681" i="6"/>
  <c r="AQ681" i="6"/>
  <c r="CL681" i="6"/>
  <c r="CM681" i="6"/>
  <c r="CG681" i="6"/>
  <c r="AL681" i="6"/>
  <c r="CF681" i="6"/>
  <c r="BI681" i="6"/>
  <c r="BD681" i="6"/>
  <c r="BK681" i="6"/>
  <c r="BL681" i="6"/>
  <c r="BH681" i="6"/>
  <c r="AA679" i="5"/>
  <c r="AB679" i="5"/>
  <c r="X677" i="12"/>
  <c r="W677" i="12"/>
  <c r="AO681" i="6"/>
  <c r="CK681" i="6"/>
  <c r="BM681" i="6"/>
  <c r="BQ681" i="6"/>
  <c r="BV681" i="6"/>
  <c r="C679" i="6"/>
  <c r="O679" i="5"/>
  <c r="D678" i="12"/>
  <c r="E678" i="6"/>
  <c r="BN681" i="6"/>
  <c r="AK681" i="6"/>
  <c r="CE681" i="6"/>
  <c r="BX681" i="6"/>
  <c r="CC681" i="6"/>
  <c r="BO681" i="6"/>
  <c r="AS681" i="6"/>
  <c r="AZ681" i="6"/>
  <c r="C679" i="12"/>
  <c r="AO679" i="12"/>
  <c r="O679" i="12"/>
  <c r="M679" i="12"/>
  <c r="H682" i="6"/>
  <c r="T682" i="5" s="1"/>
  <c r="N682" i="6"/>
  <c r="M682" i="6"/>
  <c r="CA682" i="6" s="1"/>
  <c r="G682" i="6"/>
  <c r="Y678" i="12"/>
  <c r="B684" i="5"/>
  <c r="H684" i="5"/>
  <c r="B684" i="6"/>
  <c r="N684" i="5"/>
  <c r="C685" i="5"/>
  <c r="F684" i="5"/>
  <c r="A684" i="12"/>
  <c r="E684" i="5"/>
  <c r="W684" i="5"/>
  <c r="H684" i="12" s="1"/>
  <c r="D684" i="5"/>
  <c r="B684" i="12" s="1"/>
  <c r="AD684" i="5"/>
  <c r="K684" i="5"/>
  <c r="AE684" i="5"/>
  <c r="G684" i="5"/>
  <c r="J684" i="5"/>
  <c r="R684" i="5"/>
  <c r="I680" i="12"/>
  <c r="L680" i="5"/>
  <c r="AM680" i="5"/>
  <c r="Z680" i="5"/>
  <c r="I680" i="5"/>
  <c r="AC680" i="5"/>
  <c r="AJ680" i="6"/>
  <c r="D683" i="6"/>
  <c r="G681" i="12"/>
  <c r="X681" i="5"/>
  <c r="AU681" i="6"/>
  <c r="CA681" i="6"/>
  <c r="CD681" i="6"/>
  <c r="BC681" i="6"/>
  <c r="CH681" i="6"/>
  <c r="CI681" i="6"/>
  <c r="BZ681" i="6"/>
  <c r="AX681" i="6"/>
  <c r="BE681" i="6"/>
  <c r="BJ681" i="6"/>
  <c r="BS681" i="6"/>
  <c r="K682" i="12"/>
  <c r="L683" i="12"/>
  <c r="J683" i="12"/>
  <c r="F683" i="6"/>
  <c r="E683" i="12"/>
  <c r="BC682" i="6" l="1"/>
  <c r="CL682" i="6"/>
  <c r="BF682" i="6"/>
  <c r="BG682" i="6"/>
  <c r="BD682" i="6"/>
  <c r="CH682" i="6"/>
  <c r="CJ682" i="6"/>
  <c r="BS682" i="6"/>
  <c r="CD682" i="6"/>
  <c r="AY682" i="6"/>
  <c r="BR682" i="6"/>
  <c r="CM682" i="6"/>
  <c r="BV682" i="6"/>
  <c r="CK682" i="6"/>
  <c r="BL682" i="6"/>
  <c r="BQ682" i="6"/>
  <c r="BJ682" i="6"/>
  <c r="BZ682" i="6"/>
  <c r="BY682" i="6"/>
  <c r="AR682" i="6"/>
  <c r="BN682" i="6"/>
  <c r="AK682" i="6"/>
  <c r="BH682" i="6"/>
  <c r="BI682" i="6"/>
  <c r="BM682" i="6"/>
  <c r="N679" i="12"/>
  <c r="CI682" i="6"/>
  <c r="BW682" i="6"/>
  <c r="CB682" i="6"/>
  <c r="C680" i="6"/>
  <c r="O680" i="5"/>
  <c r="J684" i="12"/>
  <c r="L684" i="12"/>
  <c r="G682" i="12"/>
  <c r="X682" i="5"/>
  <c r="V677" i="12"/>
  <c r="U677" i="12"/>
  <c r="T677" i="12"/>
  <c r="C680" i="12"/>
  <c r="O680" i="12"/>
  <c r="M680" i="12"/>
  <c r="AO680" i="12"/>
  <c r="AW682" i="6"/>
  <c r="BE682" i="6"/>
  <c r="BK682" i="6"/>
  <c r="CF682" i="6"/>
  <c r="BP682" i="6"/>
  <c r="BT682" i="6"/>
  <c r="CG682" i="6"/>
  <c r="BO682" i="6"/>
  <c r="BX682" i="6"/>
  <c r="AT682" i="6"/>
  <c r="CC682" i="6"/>
  <c r="AV682" i="6"/>
  <c r="CE682" i="6"/>
  <c r="Y679" i="12"/>
  <c r="D679" i="12"/>
  <c r="E679" i="6"/>
  <c r="D684" i="6"/>
  <c r="W678" i="12"/>
  <c r="X678" i="12"/>
  <c r="H683" i="6"/>
  <c r="T683" i="5" s="1"/>
  <c r="N683" i="6"/>
  <c r="G683" i="6"/>
  <c r="M683" i="6"/>
  <c r="CM683" i="6" s="1"/>
  <c r="AX683" i="6"/>
  <c r="AL683" i="6"/>
  <c r="AB680" i="5"/>
  <c r="AA680" i="5"/>
  <c r="F685" i="5"/>
  <c r="J685" i="5"/>
  <c r="H685" i="5"/>
  <c r="W685" i="5"/>
  <c r="H685" i="12" s="1"/>
  <c r="AD685" i="5"/>
  <c r="E685" i="5"/>
  <c r="C686" i="5"/>
  <c r="N685" i="5"/>
  <c r="G685" i="5"/>
  <c r="AE685" i="5"/>
  <c r="A685" i="12"/>
  <c r="R685" i="5"/>
  <c r="B685" i="5"/>
  <c r="B685" i="6"/>
  <c r="D685" i="5"/>
  <c r="B685" i="12" s="1"/>
  <c r="K685" i="5"/>
  <c r="AQ682" i="6"/>
  <c r="AJ682" i="6"/>
  <c r="AU682" i="6"/>
  <c r="AZ682" i="6"/>
  <c r="AS682" i="6"/>
  <c r="K683" i="12"/>
  <c r="L681" i="5"/>
  <c r="AM681" i="5"/>
  <c r="I681" i="12"/>
  <c r="I681" i="5"/>
  <c r="Z681" i="5"/>
  <c r="AC681" i="5"/>
  <c r="AJ681" i="6"/>
  <c r="F684" i="6"/>
  <c r="E684" i="12"/>
  <c r="BA682" i="6"/>
  <c r="AX682" i="6"/>
  <c r="AL682" i="6"/>
  <c r="AP682" i="6"/>
  <c r="AO682" i="6"/>
  <c r="AM682" i="6"/>
  <c r="AN682" i="6"/>
  <c r="BP683" i="6" l="1"/>
  <c r="K684" i="12"/>
  <c r="AO683" i="6"/>
  <c r="AS683" i="6"/>
  <c r="CL683" i="6"/>
  <c r="N680" i="12"/>
  <c r="BA683" i="6"/>
  <c r="CC683" i="6"/>
  <c r="CB683" i="6"/>
  <c r="BS683" i="6"/>
  <c r="AY683" i="6"/>
  <c r="CH683" i="6"/>
  <c r="AV683" i="6"/>
  <c r="AZ683" i="6"/>
  <c r="AW683" i="6"/>
  <c r="BH683" i="6"/>
  <c r="AK683" i="6"/>
  <c r="BN683" i="6"/>
  <c r="BI683" i="6"/>
  <c r="BQ683" i="6"/>
  <c r="BX683" i="6"/>
  <c r="BZ683" i="6"/>
  <c r="Y680" i="12"/>
  <c r="CE683" i="6"/>
  <c r="BM683" i="6"/>
  <c r="BY683" i="6"/>
  <c r="AN683" i="6"/>
  <c r="BK683" i="6"/>
  <c r="BE683" i="6"/>
  <c r="AM683" i="6"/>
  <c r="BO683" i="6"/>
  <c r="BG683" i="6"/>
  <c r="BL683" i="6"/>
  <c r="AT683" i="6"/>
  <c r="CG683" i="6"/>
  <c r="CA683" i="6"/>
  <c r="E685" i="12"/>
  <c r="F685" i="6"/>
  <c r="BD683" i="6"/>
  <c r="CD683" i="6"/>
  <c r="BR683" i="6"/>
  <c r="AP683" i="6"/>
  <c r="AQ683" i="6"/>
  <c r="CF683" i="6"/>
  <c r="BF683" i="6"/>
  <c r="V678" i="12"/>
  <c r="U678" i="12"/>
  <c r="T678" i="12"/>
  <c r="G686" i="5"/>
  <c r="J686" i="5"/>
  <c r="AE686" i="5"/>
  <c r="B686" i="6"/>
  <c r="C687" i="5"/>
  <c r="F686" i="5"/>
  <c r="A686" i="12"/>
  <c r="R686" i="5"/>
  <c r="AD686" i="5"/>
  <c r="B686" i="5"/>
  <c r="E686" i="5"/>
  <c r="D686" i="5"/>
  <c r="B686" i="12" s="1"/>
  <c r="K686" i="5"/>
  <c r="W686" i="5"/>
  <c r="H686" i="12" s="1"/>
  <c r="N686" i="5"/>
  <c r="H686" i="5"/>
  <c r="X680" i="12"/>
  <c r="W680" i="12"/>
  <c r="C681" i="12"/>
  <c r="O681" i="12"/>
  <c r="AO681" i="12"/>
  <c r="M681" i="12"/>
  <c r="J685" i="12"/>
  <c r="L685" i="12"/>
  <c r="K685" i="12" s="1"/>
  <c r="CK683" i="6"/>
  <c r="BC683" i="6"/>
  <c r="AR683" i="6"/>
  <c r="BV683" i="6"/>
  <c r="BW683" i="6"/>
  <c r="AU683" i="6"/>
  <c r="CJ683" i="6"/>
  <c r="CI683" i="6"/>
  <c r="BT683" i="6"/>
  <c r="BJ683" i="6"/>
  <c r="X679" i="12"/>
  <c r="W679" i="12"/>
  <c r="D680" i="12"/>
  <c r="E680" i="6"/>
  <c r="AB681" i="5"/>
  <c r="AA681" i="5"/>
  <c r="C681" i="6"/>
  <c r="O681" i="5"/>
  <c r="D685" i="6"/>
  <c r="G683" i="12"/>
  <c r="X683" i="5"/>
  <c r="G684" i="6"/>
  <c r="H684" i="6"/>
  <c r="T684" i="5" s="1"/>
  <c r="N684" i="6"/>
  <c r="M684" i="6"/>
  <c r="BJ684" i="6" s="1"/>
  <c r="L682" i="5"/>
  <c r="I682" i="12"/>
  <c r="AM682" i="5"/>
  <c r="Z682" i="5"/>
  <c r="I682" i="5"/>
  <c r="AC682" i="5"/>
  <c r="BL684" i="6" l="1"/>
  <c r="AK684" i="6"/>
  <c r="BO684" i="6"/>
  <c r="BX684" i="6"/>
  <c r="AV684" i="6"/>
  <c r="BS684" i="6"/>
  <c r="CG684" i="6"/>
  <c r="BM684" i="6"/>
  <c r="BW684" i="6"/>
  <c r="AO684" i="6"/>
  <c r="CL684" i="6"/>
  <c r="CD684" i="6"/>
  <c r="AW684" i="6"/>
  <c r="BE684" i="6"/>
  <c r="CA684" i="6"/>
  <c r="C682" i="12"/>
  <c r="AO682" i="12"/>
  <c r="M682" i="12"/>
  <c r="O682" i="12"/>
  <c r="N682" i="12" s="1"/>
  <c r="AZ684" i="6"/>
  <c r="CM684" i="6"/>
  <c r="AS684" i="6"/>
  <c r="CB684" i="6"/>
  <c r="AY684" i="6"/>
  <c r="BA684" i="6"/>
  <c r="BQ684" i="6"/>
  <c r="BD684" i="6"/>
  <c r="AQ684" i="6"/>
  <c r="CC684" i="6"/>
  <c r="AL684" i="6"/>
  <c r="BV684" i="6"/>
  <c r="BN684" i="6"/>
  <c r="I683" i="12"/>
  <c r="L683" i="5"/>
  <c r="AM683" i="5"/>
  <c r="I683" i="5"/>
  <c r="Z683" i="5"/>
  <c r="AC683" i="5"/>
  <c r="AJ683" i="6"/>
  <c r="D681" i="12"/>
  <c r="E681" i="6"/>
  <c r="Y681" i="12"/>
  <c r="D686" i="6"/>
  <c r="L686" i="12"/>
  <c r="J686" i="12"/>
  <c r="C682" i="6"/>
  <c r="O682" i="5"/>
  <c r="BY684" i="6"/>
  <c r="BP684" i="6"/>
  <c r="AX684" i="6"/>
  <c r="G684" i="12"/>
  <c r="X684" i="5"/>
  <c r="AJ684" i="6" s="1"/>
  <c r="BH684" i="6"/>
  <c r="AM684" i="6"/>
  <c r="BR684" i="6"/>
  <c r="N681" i="12"/>
  <c r="N687" i="5"/>
  <c r="K687" i="5"/>
  <c r="AE687" i="5"/>
  <c r="J687" i="5"/>
  <c r="D687" i="5"/>
  <c r="B687" i="12" s="1"/>
  <c r="G687" i="5"/>
  <c r="R687" i="5"/>
  <c r="W687" i="5"/>
  <c r="H687" i="12" s="1"/>
  <c r="B687" i="6"/>
  <c r="F687" i="5"/>
  <c r="H687" i="5"/>
  <c r="E687" i="5"/>
  <c r="A687" i="12"/>
  <c r="B687" i="5"/>
  <c r="C688" i="5" s="1"/>
  <c r="AD687" i="5"/>
  <c r="U680" i="12"/>
  <c r="V680" i="12"/>
  <c r="T680" i="12"/>
  <c r="CE684" i="6"/>
  <c r="CK684" i="6"/>
  <c r="CI684" i="6"/>
  <c r="CH684" i="6"/>
  <c r="AN684" i="6"/>
  <c r="BC684" i="6"/>
  <c r="AB682" i="5"/>
  <c r="AA682" i="5"/>
  <c r="AT684" i="6"/>
  <c r="AR684" i="6"/>
  <c r="BZ684" i="6"/>
  <c r="BT684" i="6"/>
  <c r="CF684" i="6"/>
  <c r="AU684" i="6"/>
  <c r="BF684" i="6"/>
  <c r="AP684" i="6"/>
  <c r="CJ684" i="6"/>
  <c r="BG684" i="6"/>
  <c r="BI684" i="6"/>
  <c r="BK684" i="6"/>
  <c r="CD685" i="6"/>
  <c r="G685" i="6"/>
  <c r="M685" i="6"/>
  <c r="BF685" i="6" s="1"/>
  <c r="BJ685" i="6"/>
  <c r="BH685" i="6"/>
  <c r="CI685" i="6"/>
  <c r="N685" i="6"/>
  <c r="CG685" i="6"/>
  <c r="BX685" i="6"/>
  <c r="BD685" i="6"/>
  <c r="BI685" i="6"/>
  <c r="CK685" i="6"/>
  <c r="BP685" i="6"/>
  <c r="BO685" i="6"/>
  <c r="CM685" i="6"/>
  <c r="BM685" i="6"/>
  <c r="BE685" i="6"/>
  <c r="AQ685" i="6"/>
  <c r="H685" i="6"/>
  <c r="T685" i="5" s="1"/>
  <c r="CJ685" i="6"/>
  <c r="CF685" i="6"/>
  <c r="BT685" i="6"/>
  <c r="AU685" i="6"/>
  <c r="BV685" i="6"/>
  <c r="U679" i="12"/>
  <c r="T679" i="12"/>
  <c r="V679" i="12"/>
  <c r="F686" i="6"/>
  <c r="E686" i="12"/>
  <c r="AP685" i="6" l="1"/>
  <c r="BA685" i="6"/>
  <c r="BC685" i="6"/>
  <c r="AK685" i="6"/>
  <c r="CB685" i="6"/>
  <c r="BQ685" i="6"/>
  <c r="CE685" i="6"/>
  <c r="BK685" i="6"/>
  <c r="BY685" i="6"/>
  <c r="AO685" i="6"/>
  <c r="AT685" i="6"/>
  <c r="BN685" i="6"/>
  <c r="BS685" i="6"/>
  <c r="AM685" i="6"/>
  <c r="BG685" i="6"/>
  <c r="B688" i="5"/>
  <c r="G688" i="5"/>
  <c r="I688" i="5"/>
  <c r="AE688" i="5"/>
  <c r="H688" i="5"/>
  <c r="B688" i="6"/>
  <c r="AD688" i="5"/>
  <c r="F688" i="5"/>
  <c r="N688" i="5"/>
  <c r="C689" i="5"/>
  <c r="A688" i="12"/>
  <c r="W688" i="5"/>
  <c r="H688" i="12" s="1"/>
  <c r="E688" i="5"/>
  <c r="M686" i="6"/>
  <c r="BC686" i="6" s="1"/>
  <c r="BE686" i="6"/>
  <c r="BK686" i="6"/>
  <c r="BL686" i="6"/>
  <c r="BY686" i="6"/>
  <c r="BO686" i="6"/>
  <c r="BR686" i="6"/>
  <c r="BT686" i="6"/>
  <c r="BF686" i="6"/>
  <c r="BV686" i="6"/>
  <c r="CE686" i="6"/>
  <c r="N686" i="6"/>
  <c r="BP686" i="6"/>
  <c r="BH686" i="6"/>
  <c r="CF686" i="6"/>
  <c r="BG686" i="6"/>
  <c r="CD686" i="6"/>
  <c r="H686" i="6"/>
  <c r="T686" i="5" s="1"/>
  <c r="G686" i="6"/>
  <c r="BZ686" i="6"/>
  <c r="BD686" i="6"/>
  <c r="BW686" i="6"/>
  <c r="BX686" i="6"/>
  <c r="CG686" i="6"/>
  <c r="CM686" i="6"/>
  <c r="BJ686" i="6"/>
  <c r="CB686" i="6"/>
  <c r="CK686" i="6"/>
  <c r="BS686" i="6"/>
  <c r="CI686" i="6"/>
  <c r="CL686" i="6"/>
  <c r="CC686" i="6"/>
  <c r="J687" i="12"/>
  <c r="L687" i="12"/>
  <c r="W681" i="12"/>
  <c r="X681" i="12"/>
  <c r="C683" i="6"/>
  <c r="O683" i="5"/>
  <c r="BZ685" i="6"/>
  <c r="D687" i="6"/>
  <c r="K686" i="12"/>
  <c r="AB683" i="5"/>
  <c r="AA683" i="5"/>
  <c r="C683" i="12"/>
  <c r="O683" i="12"/>
  <c r="AO683" i="12"/>
  <c r="M683" i="12"/>
  <c r="Y682" i="12"/>
  <c r="E682" i="6"/>
  <c r="D682" i="12"/>
  <c r="G685" i="12"/>
  <c r="X685" i="5"/>
  <c r="AX685" i="6"/>
  <c r="AR685" i="6"/>
  <c r="CC685" i="6"/>
  <c r="AL685" i="6"/>
  <c r="AW685" i="6"/>
  <c r="AS685" i="6"/>
  <c r="BL685" i="6"/>
  <c r="AY685" i="6"/>
  <c r="AZ685" i="6"/>
  <c r="CL685" i="6"/>
  <c r="BR685" i="6"/>
  <c r="AN685" i="6"/>
  <c r="CA685" i="6"/>
  <c r="CH685" i="6"/>
  <c r="AV685" i="6"/>
  <c r="BW685" i="6"/>
  <c r="E687" i="12"/>
  <c r="F687" i="6"/>
  <c r="I684" i="12"/>
  <c r="L684" i="5"/>
  <c r="AM684" i="5"/>
  <c r="I684" i="5"/>
  <c r="Z684" i="5"/>
  <c r="AC684" i="5"/>
  <c r="AO686" i="6" l="1"/>
  <c r="AT686" i="6"/>
  <c r="AX686" i="6"/>
  <c r="AP686" i="6"/>
  <c r="K687" i="12"/>
  <c r="BA686" i="6"/>
  <c r="AM686" i="6"/>
  <c r="AW686" i="6"/>
  <c r="AZ686" i="6"/>
  <c r="AQ686" i="6"/>
  <c r="N683" i="12"/>
  <c r="AR686" i="6"/>
  <c r="AK686" i="6"/>
  <c r="AV686" i="6"/>
  <c r="D683" i="12"/>
  <c r="E683" i="6"/>
  <c r="W682" i="12"/>
  <c r="X682" i="12"/>
  <c r="N689" i="5"/>
  <c r="H689" i="5"/>
  <c r="D689" i="5"/>
  <c r="B689" i="12" s="1"/>
  <c r="E689" i="5"/>
  <c r="B689" i="5"/>
  <c r="AE689" i="5"/>
  <c r="R689" i="5"/>
  <c r="J689" i="5"/>
  <c r="A689" i="12"/>
  <c r="B689" i="6"/>
  <c r="C690" i="5"/>
  <c r="AD689" i="5"/>
  <c r="F689" i="5"/>
  <c r="W689" i="5"/>
  <c r="H689" i="12" s="1"/>
  <c r="G689" i="5"/>
  <c r="K689" i="5"/>
  <c r="C684" i="6"/>
  <c r="O684" i="5"/>
  <c r="I685" i="12"/>
  <c r="AM685" i="5"/>
  <c r="L685" i="5"/>
  <c r="I685" i="5"/>
  <c r="Z685" i="5"/>
  <c r="AC685" i="5"/>
  <c r="AJ685" i="6"/>
  <c r="H687" i="6"/>
  <c r="T687" i="5" s="1"/>
  <c r="N687" i="6"/>
  <c r="G687" i="6"/>
  <c r="M687" i="6"/>
  <c r="BH687" i="6" s="1"/>
  <c r="AA684" i="5"/>
  <c r="AB684" i="5"/>
  <c r="C684" i="12"/>
  <c r="M684" i="12"/>
  <c r="O684" i="12"/>
  <c r="AO684" i="12"/>
  <c r="Y683" i="12"/>
  <c r="V681" i="12"/>
  <c r="T681" i="12"/>
  <c r="U681" i="12"/>
  <c r="CH686" i="6"/>
  <c r="CA686" i="6"/>
  <c r="CJ686" i="6"/>
  <c r="AS686" i="6"/>
  <c r="BM686" i="6"/>
  <c r="AN686" i="6"/>
  <c r="G686" i="12"/>
  <c r="X686" i="5"/>
  <c r="AL686" i="6"/>
  <c r="AY686" i="6"/>
  <c r="AU686" i="6"/>
  <c r="BI686" i="6"/>
  <c r="BQ686" i="6"/>
  <c r="BN686" i="6"/>
  <c r="D688" i="6"/>
  <c r="CB687" i="6" l="1"/>
  <c r="CM687" i="6"/>
  <c r="AK687" i="6"/>
  <c r="BV687" i="6"/>
  <c r="AM687" i="6"/>
  <c r="BJ687" i="6"/>
  <c r="N684" i="12"/>
  <c r="BP687" i="6"/>
  <c r="BY687" i="6"/>
  <c r="BW687" i="6"/>
  <c r="AQ687" i="6"/>
  <c r="AN687" i="6"/>
  <c r="AV687" i="6"/>
  <c r="CJ687" i="6"/>
  <c r="BS687" i="6"/>
  <c r="BA687" i="6"/>
  <c r="AU687" i="6"/>
  <c r="BR687" i="6"/>
  <c r="BG687" i="6"/>
  <c r="BE687" i="6"/>
  <c r="BL687" i="6"/>
  <c r="BO687" i="6"/>
  <c r="AS687" i="6"/>
  <c r="BF687" i="6"/>
  <c r="BX687" i="6"/>
  <c r="AL687" i="6"/>
  <c r="AW687" i="6"/>
  <c r="CC687" i="6"/>
  <c r="CH687" i="6"/>
  <c r="CG687" i="6"/>
  <c r="BC687" i="6"/>
  <c r="BN687" i="6"/>
  <c r="CC688" i="6"/>
  <c r="BJ688" i="6"/>
  <c r="BW688" i="6"/>
  <c r="CK688" i="6"/>
  <c r="CI688" i="6"/>
  <c r="BN688" i="6"/>
  <c r="BK688" i="6"/>
  <c r="CH688" i="6"/>
  <c r="CL688" i="6"/>
  <c r="BR688" i="6"/>
  <c r="CG688" i="6"/>
  <c r="BL688" i="6"/>
  <c r="BI688" i="6"/>
  <c r="BG688" i="6"/>
  <c r="CM688" i="6"/>
  <c r="G688" i="6"/>
  <c r="BX688" i="6"/>
  <c r="N688" i="6"/>
  <c r="BQ688" i="6"/>
  <c r="CF688" i="6"/>
  <c r="BZ688" i="6"/>
  <c r="BV688" i="6"/>
  <c r="CA688" i="6"/>
  <c r="BC688" i="6"/>
  <c r="BO688" i="6"/>
  <c r="BE688" i="6"/>
  <c r="BP688" i="6"/>
  <c r="BD688" i="6"/>
  <c r="CB688" i="6"/>
  <c r="BF688" i="6"/>
  <c r="BS688" i="6"/>
  <c r="CJ688" i="6"/>
  <c r="BY688" i="6"/>
  <c r="M688" i="6"/>
  <c r="BT688" i="6"/>
  <c r="CE688" i="6"/>
  <c r="BH688" i="6"/>
  <c r="CD688" i="6"/>
  <c r="BM688" i="6"/>
  <c r="H688" i="6"/>
  <c r="T688" i="5" s="1"/>
  <c r="G688" i="12" s="1"/>
  <c r="V682" i="12"/>
  <c r="U682" i="12"/>
  <c r="T682" i="12"/>
  <c r="G687" i="12"/>
  <c r="X687" i="5"/>
  <c r="CI687" i="6"/>
  <c r="BT687" i="6"/>
  <c r="BM687" i="6"/>
  <c r="AA685" i="5"/>
  <c r="AB685" i="5"/>
  <c r="C685" i="12"/>
  <c r="M685" i="12"/>
  <c r="O685" i="12"/>
  <c r="AO685" i="12"/>
  <c r="E690" i="5"/>
  <c r="F690" i="5"/>
  <c r="D690" i="5"/>
  <c r="B690" i="12" s="1"/>
  <c r="B690" i="6"/>
  <c r="R690" i="5"/>
  <c r="W690" i="5"/>
  <c r="H690" i="12" s="1"/>
  <c r="AD690" i="5"/>
  <c r="H690" i="5"/>
  <c r="C691" i="5"/>
  <c r="K690" i="5"/>
  <c r="AE690" i="5"/>
  <c r="J690" i="5"/>
  <c r="B690" i="5"/>
  <c r="N690" i="5"/>
  <c r="G690" i="5"/>
  <c r="A690" i="12"/>
  <c r="D689" i="6"/>
  <c r="X683" i="12"/>
  <c r="W683" i="12"/>
  <c r="CD687" i="6"/>
  <c r="CE687" i="6"/>
  <c r="BZ687" i="6"/>
  <c r="AP687" i="6"/>
  <c r="AT687" i="6"/>
  <c r="CK687" i="6"/>
  <c r="CL687" i="6"/>
  <c r="AO687" i="6"/>
  <c r="BQ687" i="6"/>
  <c r="BK687" i="6"/>
  <c r="CF687" i="6"/>
  <c r="BI687" i="6"/>
  <c r="BD687" i="6"/>
  <c r="CA687" i="6"/>
  <c r="D684" i="12"/>
  <c r="E684" i="6"/>
  <c r="AM686" i="5"/>
  <c r="I686" i="12"/>
  <c r="L686" i="5"/>
  <c r="I686" i="5"/>
  <c r="Z686" i="5"/>
  <c r="AC686" i="5"/>
  <c r="AJ686" i="6"/>
  <c r="Y684" i="12"/>
  <c r="AR687" i="6"/>
  <c r="AY687" i="6"/>
  <c r="AX687" i="6"/>
  <c r="AZ687" i="6"/>
  <c r="C685" i="6"/>
  <c r="O685" i="5"/>
  <c r="J689" i="12"/>
  <c r="L689" i="12"/>
  <c r="E689" i="12"/>
  <c r="F689" i="6"/>
  <c r="Y685" i="12" l="1"/>
  <c r="AR688" i="6"/>
  <c r="K689" i="12"/>
  <c r="AB686" i="5"/>
  <c r="AA686" i="5"/>
  <c r="N689" i="6"/>
  <c r="G689" i="6"/>
  <c r="H689" i="6"/>
  <c r="T689" i="5" s="1"/>
  <c r="M689" i="6"/>
  <c r="BE689" i="6" s="1"/>
  <c r="BV689" i="6"/>
  <c r="BM689" i="6"/>
  <c r="F691" i="5"/>
  <c r="G691" i="5"/>
  <c r="E691" i="5"/>
  <c r="H691" i="5"/>
  <c r="N691" i="5"/>
  <c r="A691" i="12"/>
  <c r="D691" i="5"/>
  <c r="B691" i="12" s="1"/>
  <c r="R691" i="5"/>
  <c r="K691" i="5"/>
  <c r="B691" i="5"/>
  <c r="AD691" i="5"/>
  <c r="W691" i="5"/>
  <c r="H691" i="12" s="1"/>
  <c r="AE691" i="5"/>
  <c r="C692" i="5"/>
  <c r="J691" i="5"/>
  <c r="B691" i="6"/>
  <c r="W685" i="12"/>
  <c r="X685" i="12"/>
  <c r="AW688" i="6"/>
  <c r="AO688" i="6"/>
  <c r="X684" i="12"/>
  <c r="W684" i="12"/>
  <c r="V683" i="12"/>
  <c r="T683" i="12"/>
  <c r="U683" i="12"/>
  <c r="D690" i="6"/>
  <c r="N685" i="12"/>
  <c r="AM687" i="5"/>
  <c r="I687" i="12"/>
  <c r="L687" i="5"/>
  <c r="I687" i="5"/>
  <c r="Z687" i="5"/>
  <c r="AC687" i="5"/>
  <c r="AJ687" i="6"/>
  <c r="AQ688" i="6"/>
  <c r="AS688" i="6"/>
  <c r="AV688" i="6"/>
  <c r="AT688" i="6"/>
  <c r="C686" i="6"/>
  <c r="O686" i="5"/>
  <c r="L690" i="12"/>
  <c r="K690" i="12" s="1"/>
  <c r="J690" i="12"/>
  <c r="F690" i="6"/>
  <c r="E690" i="12"/>
  <c r="AP688" i="6"/>
  <c r="AU688" i="6"/>
  <c r="AY688" i="6"/>
  <c r="AX688" i="6"/>
  <c r="AM688" i="6"/>
  <c r="E685" i="6"/>
  <c r="D685" i="12"/>
  <c r="C686" i="12"/>
  <c r="M686" i="12"/>
  <c r="O686" i="12"/>
  <c r="AO686" i="12"/>
  <c r="Y686" i="12" s="1"/>
  <c r="AZ688" i="6"/>
  <c r="BA688" i="6"/>
  <c r="AJ688" i="6"/>
  <c r="AL688" i="6"/>
  <c r="AN688" i="6"/>
  <c r="AK688" i="6"/>
  <c r="BL689" i="6" l="1"/>
  <c r="BN689" i="6"/>
  <c r="AO689" i="6"/>
  <c r="CL689" i="6"/>
  <c r="CJ689" i="6"/>
  <c r="BP689" i="6"/>
  <c r="CK689" i="6"/>
  <c r="BJ689" i="6"/>
  <c r="AW689" i="6"/>
  <c r="CA689" i="6"/>
  <c r="AM689" i="6"/>
  <c r="BF689" i="6"/>
  <c r="CB689" i="6"/>
  <c r="AX689" i="6"/>
  <c r="CI689" i="6"/>
  <c r="BD689" i="6"/>
  <c r="D686" i="12"/>
  <c r="E686" i="6"/>
  <c r="L691" i="12"/>
  <c r="J691" i="12"/>
  <c r="BK689" i="6"/>
  <c r="CH689" i="6"/>
  <c r="BT689" i="6"/>
  <c r="AN689" i="6"/>
  <c r="BS689" i="6"/>
  <c r="AY689" i="6"/>
  <c r="BI689" i="6"/>
  <c r="CE689" i="6"/>
  <c r="AK689" i="6"/>
  <c r="CC689" i="6"/>
  <c r="CM689" i="6"/>
  <c r="AL689" i="6"/>
  <c r="BW689" i="6"/>
  <c r="BC689" i="6"/>
  <c r="AA687" i="5"/>
  <c r="AB687" i="5"/>
  <c r="B692" i="6"/>
  <c r="D692" i="5"/>
  <c r="B692" i="12" s="1"/>
  <c r="J692" i="5"/>
  <c r="AE692" i="5"/>
  <c r="AD692" i="5"/>
  <c r="A692" i="12"/>
  <c r="B692" i="5"/>
  <c r="E692" i="5"/>
  <c r="K692" i="5"/>
  <c r="C693" i="5"/>
  <c r="F692" i="5"/>
  <c r="R692" i="5"/>
  <c r="W692" i="5"/>
  <c r="H692" i="12" s="1"/>
  <c r="G692" i="5"/>
  <c r="N692" i="5"/>
  <c r="H692" i="5"/>
  <c r="W686" i="12"/>
  <c r="X686" i="12"/>
  <c r="C687" i="6"/>
  <c r="O687" i="5"/>
  <c r="D691" i="6"/>
  <c r="CF689" i="6"/>
  <c r="BR689" i="6"/>
  <c r="CG689" i="6"/>
  <c r="AR689" i="6"/>
  <c r="BO689" i="6"/>
  <c r="BX689" i="6"/>
  <c r="BQ689" i="6"/>
  <c r="BH689" i="6"/>
  <c r="AU689" i="6"/>
  <c r="AZ689" i="6"/>
  <c r="U685" i="12"/>
  <c r="V685" i="12"/>
  <c r="T685" i="12"/>
  <c r="N686" i="12"/>
  <c r="C687" i="12"/>
  <c r="AO687" i="12"/>
  <c r="O687" i="12"/>
  <c r="M687" i="12"/>
  <c r="G690" i="6"/>
  <c r="N690" i="6"/>
  <c r="M690" i="6"/>
  <c r="CF690" i="6" s="1"/>
  <c r="H690" i="6"/>
  <c r="T690" i="5" s="1"/>
  <c r="CG690" i="6"/>
  <c r="BE690" i="6"/>
  <c r="T684" i="12"/>
  <c r="U684" i="12"/>
  <c r="V684" i="12"/>
  <c r="F691" i="6"/>
  <c r="E691" i="12"/>
  <c r="BY689" i="6"/>
  <c r="CD689" i="6"/>
  <c r="AV689" i="6"/>
  <c r="BG689" i="6"/>
  <c r="BZ689" i="6"/>
  <c r="G689" i="12"/>
  <c r="X689" i="5"/>
  <c r="AP689" i="6"/>
  <c r="AQ689" i="6"/>
  <c r="AT689" i="6"/>
  <c r="BA689" i="6"/>
  <c r="AS689" i="6"/>
  <c r="BJ690" i="6" l="1"/>
  <c r="CI690" i="6"/>
  <c r="CH690" i="6"/>
  <c r="BY690" i="6"/>
  <c r="BI690" i="6"/>
  <c r="BM690" i="6"/>
  <c r="Y687" i="12"/>
  <c r="CE690" i="6"/>
  <c r="BR690" i="6"/>
  <c r="BT690" i="6"/>
  <c r="CJ690" i="6"/>
  <c r="BH690" i="6"/>
  <c r="BG690" i="6"/>
  <c r="CD690" i="6"/>
  <c r="CL690" i="6"/>
  <c r="CC690" i="6"/>
  <c r="BO690" i="6"/>
  <c r="CB690" i="6"/>
  <c r="CM690" i="6"/>
  <c r="BD690" i="6"/>
  <c r="BF690" i="6"/>
  <c r="BP690" i="6"/>
  <c r="CA690" i="6"/>
  <c r="BX690" i="6"/>
  <c r="CK690" i="6"/>
  <c r="BV690" i="6"/>
  <c r="BN690" i="6"/>
  <c r="BQ690" i="6"/>
  <c r="BS690" i="6"/>
  <c r="BK690" i="6"/>
  <c r="BZ690" i="6"/>
  <c r="BC690" i="6"/>
  <c r="AW690" i="6"/>
  <c r="AL690" i="6"/>
  <c r="AJ690" i="6"/>
  <c r="AX690" i="6"/>
  <c r="G690" i="12"/>
  <c r="X690" i="5"/>
  <c r="AZ690" i="6"/>
  <c r="BA690" i="6"/>
  <c r="AM690" i="6"/>
  <c r="AT690" i="6"/>
  <c r="AK690" i="6"/>
  <c r="BL690" i="6"/>
  <c r="AY690" i="6"/>
  <c r="BW690" i="6"/>
  <c r="AS690" i="6"/>
  <c r="AO690" i="6"/>
  <c r="AV690" i="6"/>
  <c r="N687" i="12"/>
  <c r="U686" i="12"/>
  <c r="V686" i="12"/>
  <c r="T686" i="12"/>
  <c r="B693" i="5"/>
  <c r="H693" i="5"/>
  <c r="N693" i="5"/>
  <c r="AE693" i="5"/>
  <c r="B693" i="6"/>
  <c r="D693" i="5"/>
  <c r="B693" i="12" s="1"/>
  <c r="K693" i="5"/>
  <c r="J693" i="5"/>
  <c r="R693" i="5"/>
  <c r="W693" i="5"/>
  <c r="H693" i="12" s="1"/>
  <c r="A693" i="12"/>
  <c r="G693" i="5"/>
  <c r="F693" i="5"/>
  <c r="AD693" i="5"/>
  <c r="E693" i="5"/>
  <c r="C694" i="5"/>
  <c r="AR690" i="6"/>
  <c r="E692" i="12"/>
  <c r="F692" i="6"/>
  <c r="AN690" i="6"/>
  <c r="AP690" i="6"/>
  <c r="AU690" i="6"/>
  <c r="BI691" i="6"/>
  <c r="M691" i="6"/>
  <c r="BW691" i="6" s="1"/>
  <c r="N691" i="6"/>
  <c r="CA691" i="6"/>
  <c r="BV691" i="6"/>
  <c r="BK691" i="6"/>
  <c r="G691" i="6"/>
  <c r="BD691" i="6"/>
  <c r="BG691" i="6"/>
  <c r="BR691" i="6"/>
  <c r="CD691" i="6"/>
  <c r="CC691" i="6"/>
  <c r="CH691" i="6"/>
  <c r="BN691" i="6"/>
  <c r="CF691" i="6"/>
  <c r="BY691" i="6"/>
  <c r="H691" i="6"/>
  <c r="T691" i="5" s="1"/>
  <c r="CE691" i="6"/>
  <c r="CB691" i="6"/>
  <c r="BT691" i="6"/>
  <c r="D692" i="6"/>
  <c r="L689" i="5"/>
  <c r="AM689" i="5"/>
  <c r="I689" i="12"/>
  <c r="I689" i="5"/>
  <c r="Z689" i="5"/>
  <c r="AC689" i="5"/>
  <c r="AQ690" i="6"/>
  <c r="W687" i="12"/>
  <c r="X687" i="12"/>
  <c r="AJ689" i="6"/>
  <c r="E687" i="6"/>
  <c r="D687" i="12"/>
  <c r="L692" i="12"/>
  <c r="J692" i="12"/>
  <c r="K691" i="12"/>
  <c r="BF691" i="6" l="1"/>
  <c r="AR691" i="6"/>
  <c r="AP691" i="6"/>
  <c r="BQ691" i="6"/>
  <c r="BO691" i="6"/>
  <c r="BE691" i="6"/>
  <c r="BX691" i="6"/>
  <c r="CG691" i="6"/>
  <c r="CM691" i="6"/>
  <c r="AY691" i="6"/>
  <c r="BC691" i="6"/>
  <c r="CJ691" i="6"/>
  <c r="AU691" i="6"/>
  <c r="AL691" i="6"/>
  <c r="BJ691" i="6"/>
  <c r="G691" i="12"/>
  <c r="X691" i="5"/>
  <c r="AJ691" i="6" s="1"/>
  <c r="AO691" i="6"/>
  <c r="AW691" i="6"/>
  <c r="AT691" i="6"/>
  <c r="AK691" i="6"/>
  <c r="AQ691" i="6"/>
  <c r="BM691" i="6"/>
  <c r="BS691" i="6"/>
  <c r="BL691" i="6"/>
  <c r="E693" i="12"/>
  <c r="F693" i="6"/>
  <c r="C689" i="12"/>
  <c r="O689" i="12"/>
  <c r="M689" i="12"/>
  <c r="AO689" i="12"/>
  <c r="D693" i="6"/>
  <c r="K692" i="12"/>
  <c r="AB689" i="5"/>
  <c r="AA689" i="5"/>
  <c r="C689" i="6"/>
  <c r="O689" i="5"/>
  <c r="AM691" i="6"/>
  <c r="AS691" i="6"/>
  <c r="BH691" i="6"/>
  <c r="BA691" i="6"/>
  <c r="CK691" i="6"/>
  <c r="BP691" i="6"/>
  <c r="BZ691" i="6"/>
  <c r="AV691" i="6"/>
  <c r="CI691" i="6"/>
  <c r="AX691" i="6"/>
  <c r="CL691" i="6"/>
  <c r="AD694" i="5"/>
  <c r="E694" i="5"/>
  <c r="N694" i="5"/>
  <c r="B694" i="5"/>
  <c r="D694" i="5"/>
  <c r="B694" i="12" s="1"/>
  <c r="A694" i="12"/>
  <c r="C695" i="5"/>
  <c r="K694" i="5"/>
  <c r="H694" i="5"/>
  <c r="B694" i="6"/>
  <c r="J694" i="5"/>
  <c r="F694" i="5"/>
  <c r="R694" i="5"/>
  <c r="AE694" i="5"/>
  <c r="G694" i="5"/>
  <c r="W694" i="5"/>
  <c r="H694" i="12" s="1"/>
  <c r="AM690" i="5"/>
  <c r="L690" i="5"/>
  <c r="I690" i="12"/>
  <c r="I690" i="5"/>
  <c r="Z690" i="5"/>
  <c r="AC690" i="5"/>
  <c r="H692" i="6"/>
  <c r="T692" i="5" s="1"/>
  <c r="N692" i="6"/>
  <c r="M692" i="6"/>
  <c r="BY692" i="6" s="1"/>
  <c r="CB692" i="6"/>
  <c r="CI692" i="6"/>
  <c r="G692" i="6"/>
  <c r="AV692" i="6"/>
  <c r="CF692" i="6"/>
  <c r="U687" i="12"/>
  <c r="T687" i="12"/>
  <c r="V687" i="12"/>
  <c r="AN691" i="6"/>
  <c r="AZ691" i="6"/>
  <c r="J693" i="12"/>
  <c r="L693" i="12"/>
  <c r="K693" i="12" s="1"/>
  <c r="BW692" i="6" l="1"/>
  <c r="CA692" i="6"/>
  <c r="CG692" i="6"/>
  <c r="CE692" i="6"/>
  <c r="CH692" i="6"/>
  <c r="BL692" i="6"/>
  <c r="BT692" i="6"/>
  <c r="BF692" i="6"/>
  <c r="BN692" i="6"/>
  <c r="Y689" i="12"/>
  <c r="BD692" i="6"/>
  <c r="CM692" i="6"/>
  <c r="BQ692" i="6"/>
  <c r="BV692" i="6"/>
  <c r="CD692" i="6"/>
  <c r="BO692" i="6"/>
  <c r="CL692" i="6"/>
  <c r="CC692" i="6"/>
  <c r="CK692" i="6"/>
  <c r="BX692" i="6"/>
  <c r="CJ692" i="6"/>
  <c r="BK692" i="6"/>
  <c r="BH692" i="6"/>
  <c r="BZ692" i="6"/>
  <c r="AR692" i="6"/>
  <c r="AX692" i="6"/>
  <c r="AN692" i="6"/>
  <c r="C690" i="12"/>
  <c r="AO690" i="12"/>
  <c r="M690" i="12"/>
  <c r="O690" i="12"/>
  <c r="N690" i="12" s="1"/>
  <c r="W689" i="12"/>
  <c r="X689" i="12"/>
  <c r="AS692" i="6"/>
  <c r="BA692" i="6"/>
  <c r="AL692" i="6"/>
  <c r="AO692" i="6"/>
  <c r="AQ692" i="6"/>
  <c r="AK692" i="6"/>
  <c r="C690" i="6"/>
  <c r="O690" i="5"/>
  <c r="E689" i="6"/>
  <c r="D689" i="12"/>
  <c r="AZ692" i="6"/>
  <c r="AW692" i="6"/>
  <c r="AM692" i="6"/>
  <c r="BJ692" i="6"/>
  <c r="BP692" i="6"/>
  <c r="BM692" i="6"/>
  <c r="BC692" i="6"/>
  <c r="BG692" i="6"/>
  <c r="BR692" i="6"/>
  <c r="AA690" i="5"/>
  <c r="AB690" i="5"/>
  <c r="D695" i="5"/>
  <c r="B695" i="12" s="1"/>
  <c r="J695" i="5"/>
  <c r="B695" i="5"/>
  <c r="F695" i="5"/>
  <c r="AD695" i="5"/>
  <c r="C696" i="5"/>
  <c r="G695" i="5"/>
  <c r="A695" i="12"/>
  <c r="N695" i="5"/>
  <c r="B695" i="6"/>
  <c r="E695" i="5"/>
  <c r="H695" i="5"/>
  <c r="W695" i="5"/>
  <c r="H695" i="12" s="1"/>
  <c r="AE695" i="5"/>
  <c r="K695" i="5"/>
  <c r="R695" i="5"/>
  <c r="D694" i="6"/>
  <c r="N693" i="6"/>
  <c r="G693" i="6"/>
  <c r="H693" i="6"/>
  <c r="T693" i="5" s="1"/>
  <c r="M693" i="6"/>
  <c r="CF693" i="6" s="1"/>
  <c r="BN693" i="6"/>
  <c r="N689" i="12"/>
  <c r="AM691" i="5"/>
  <c r="L691" i="5"/>
  <c r="I691" i="12"/>
  <c r="I691" i="5"/>
  <c r="Z691" i="5"/>
  <c r="AC691" i="5"/>
  <c r="G692" i="12"/>
  <c r="X692" i="5"/>
  <c r="AJ692" i="6" s="1"/>
  <c r="AY692" i="6"/>
  <c r="AT692" i="6"/>
  <c r="AU692" i="6"/>
  <c r="AP692" i="6"/>
  <c r="BS692" i="6"/>
  <c r="BE692" i="6"/>
  <c r="BI692" i="6"/>
  <c r="F694" i="6"/>
  <c r="E694" i="12"/>
  <c r="L694" i="12"/>
  <c r="J694" i="12"/>
  <c r="BO693" i="6" l="1"/>
  <c r="BH693" i="6"/>
  <c r="BM693" i="6"/>
  <c r="AX693" i="6"/>
  <c r="BW693" i="6"/>
  <c r="BI693" i="6"/>
  <c r="CD693" i="6"/>
  <c r="AR693" i="6"/>
  <c r="BD693" i="6"/>
  <c r="CM693" i="6"/>
  <c r="BG693" i="6"/>
  <c r="BR693" i="6"/>
  <c r="AT693" i="6"/>
  <c r="C691" i="6"/>
  <c r="O691" i="5"/>
  <c r="G693" i="12"/>
  <c r="X693" i="5"/>
  <c r="CE693" i="6"/>
  <c r="CA693" i="6"/>
  <c r="AZ693" i="6"/>
  <c r="AN693" i="6"/>
  <c r="BY693" i="6"/>
  <c r="AO693" i="6"/>
  <c r="E695" i="12"/>
  <c r="F695" i="6"/>
  <c r="D695" i="6"/>
  <c r="T689" i="12"/>
  <c r="U689" i="12"/>
  <c r="V689" i="12"/>
  <c r="K694" i="12"/>
  <c r="AA691" i="5"/>
  <c r="AB691" i="5"/>
  <c r="BP693" i="6"/>
  <c r="BE693" i="6"/>
  <c r="CL693" i="6"/>
  <c r="BS693" i="6"/>
  <c r="BC693" i="6"/>
  <c r="CI693" i="6"/>
  <c r="AW693" i="6"/>
  <c r="BV693" i="6"/>
  <c r="AS693" i="6"/>
  <c r="AY693" i="6"/>
  <c r="BK693" i="6"/>
  <c r="BX693" i="6"/>
  <c r="AP693" i="6"/>
  <c r="BJ693" i="6"/>
  <c r="J695" i="12"/>
  <c r="L695" i="12"/>
  <c r="K695" i="12" s="1"/>
  <c r="AM692" i="5"/>
  <c r="L692" i="5"/>
  <c r="I692" i="12"/>
  <c r="I692" i="5"/>
  <c r="Z692" i="5"/>
  <c r="AC692" i="5"/>
  <c r="CK693" i="6"/>
  <c r="CC693" i="6"/>
  <c r="BT693" i="6"/>
  <c r="BZ693" i="6"/>
  <c r="CG693" i="6"/>
  <c r="AK693" i="6"/>
  <c r="CJ693" i="6"/>
  <c r="BL693" i="6"/>
  <c r="CH693" i="6"/>
  <c r="AL693" i="6"/>
  <c r="AM693" i="6"/>
  <c r="BA693" i="6"/>
  <c r="N694" i="6"/>
  <c r="BY694" i="6"/>
  <c r="G694" i="6"/>
  <c r="H694" i="6"/>
  <c r="T694" i="5" s="1"/>
  <c r="M694" i="6"/>
  <c r="CC694" i="6" s="1"/>
  <c r="CK694" i="6"/>
  <c r="BT694" i="6"/>
  <c r="CI694" i="6"/>
  <c r="BM694" i="6"/>
  <c r="BC694" i="6"/>
  <c r="BV694" i="6"/>
  <c r="D690" i="12"/>
  <c r="E690" i="6"/>
  <c r="C691" i="12"/>
  <c r="AO691" i="12"/>
  <c r="O691" i="12"/>
  <c r="N691" i="12" s="1"/>
  <c r="M691" i="12"/>
  <c r="AV693" i="6"/>
  <c r="BQ693" i="6"/>
  <c r="AQ693" i="6"/>
  <c r="AU693" i="6"/>
  <c r="CB693" i="6"/>
  <c r="BF693" i="6"/>
  <c r="H696" i="5"/>
  <c r="J696" i="5"/>
  <c r="B696" i="5"/>
  <c r="E696" i="5"/>
  <c r="B696" i="6"/>
  <c r="N696" i="5"/>
  <c r="C697" i="5"/>
  <c r="G696" i="5"/>
  <c r="AD696" i="5"/>
  <c r="AE696" i="5"/>
  <c r="K696" i="5"/>
  <c r="A696" i="12"/>
  <c r="D696" i="5"/>
  <c r="B696" i="12" s="1"/>
  <c r="R696" i="5"/>
  <c r="W696" i="5"/>
  <c r="H696" i="12" s="1"/>
  <c r="F696" i="5"/>
  <c r="Y690" i="12"/>
  <c r="CB694" i="6" l="1"/>
  <c r="BD694" i="6"/>
  <c r="BR694" i="6"/>
  <c r="CL694" i="6"/>
  <c r="CJ694" i="6"/>
  <c r="BJ694" i="6"/>
  <c r="BN694" i="6"/>
  <c r="BS694" i="6"/>
  <c r="AQ694" i="6"/>
  <c r="CD694" i="6"/>
  <c r="CA694" i="6"/>
  <c r="BF694" i="6"/>
  <c r="CM694" i="6"/>
  <c r="CG694" i="6"/>
  <c r="BQ694" i="6"/>
  <c r="BW694" i="6"/>
  <c r="G694" i="12"/>
  <c r="X694" i="5"/>
  <c r="AA692" i="5"/>
  <c r="AB692" i="5"/>
  <c r="AM693" i="5"/>
  <c r="L693" i="5"/>
  <c r="I693" i="12"/>
  <c r="Z693" i="5"/>
  <c r="I693" i="5"/>
  <c r="AC693" i="5"/>
  <c r="AJ693" i="6"/>
  <c r="X690" i="12"/>
  <c r="W690" i="12"/>
  <c r="AT694" i="6"/>
  <c r="Y691" i="12"/>
  <c r="BP694" i="6"/>
  <c r="AN694" i="6"/>
  <c r="CH694" i="6"/>
  <c r="BI694" i="6"/>
  <c r="BZ694" i="6"/>
  <c r="BO694" i="6"/>
  <c r="AM694" i="6"/>
  <c r="AV694" i="6"/>
  <c r="AK694" i="6"/>
  <c r="BK694" i="6"/>
  <c r="CE694" i="6"/>
  <c r="CF694" i="6"/>
  <c r="AS694" i="6"/>
  <c r="AX694" i="6"/>
  <c r="BE694" i="6"/>
  <c r="AE697" i="5"/>
  <c r="F697" i="5"/>
  <c r="G697" i="5"/>
  <c r="B697" i="6"/>
  <c r="C698" i="5"/>
  <c r="E697" i="5"/>
  <c r="AD697" i="5"/>
  <c r="B697" i="5"/>
  <c r="A697" i="12"/>
  <c r="N697" i="5"/>
  <c r="W697" i="5"/>
  <c r="H697" i="12" s="1"/>
  <c r="J697" i="5"/>
  <c r="H697" i="5"/>
  <c r="R697" i="5"/>
  <c r="K697" i="5"/>
  <c r="D697" i="5"/>
  <c r="B697" i="12" s="1"/>
  <c r="BA694" i="6"/>
  <c r="AO694" i="6"/>
  <c r="BG694" i="6"/>
  <c r="BX694" i="6"/>
  <c r="AU694" i="6"/>
  <c r="AR694" i="6"/>
  <c r="BH694" i="6"/>
  <c r="AW694" i="6"/>
  <c r="C692" i="12"/>
  <c r="O692" i="12"/>
  <c r="M692" i="12"/>
  <c r="AO692" i="12"/>
  <c r="D691" i="12"/>
  <c r="E691" i="6"/>
  <c r="E696" i="12"/>
  <c r="F696" i="6"/>
  <c r="L696" i="12"/>
  <c r="J696" i="12"/>
  <c r="D696" i="6"/>
  <c r="AL694" i="6"/>
  <c r="AY694" i="6"/>
  <c r="AP694" i="6"/>
  <c r="BL694" i="6"/>
  <c r="AZ694" i="6"/>
  <c r="C692" i="6"/>
  <c r="O692" i="5"/>
  <c r="H695" i="6"/>
  <c r="T695" i="5" s="1"/>
  <c r="G695" i="6"/>
  <c r="N695" i="6"/>
  <c r="M695" i="6"/>
  <c r="BL695" i="6" s="1"/>
  <c r="CM695" i="6" l="1"/>
  <c r="BK695" i="6"/>
  <c r="CD695" i="6"/>
  <c r="BD695" i="6"/>
  <c r="AK695" i="6"/>
  <c r="AT695" i="6"/>
  <c r="AO695" i="6"/>
  <c r="CG695" i="6"/>
  <c r="CF695" i="6"/>
  <c r="CK695" i="6"/>
  <c r="N692" i="12"/>
  <c r="CH695" i="6"/>
  <c r="CJ695" i="6"/>
  <c r="AM695" i="6"/>
  <c r="AP695" i="6"/>
  <c r="K696" i="12"/>
  <c r="AL695" i="6"/>
  <c r="CL695" i="6"/>
  <c r="CC695" i="6"/>
  <c r="BR695" i="6"/>
  <c r="CE695" i="6"/>
  <c r="AZ695" i="6"/>
  <c r="AV695" i="6"/>
  <c r="BV695" i="6"/>
  <c r="BP695" i="6"/>
  <c r="AR695" i="6"/>
  <c r="BN695" i="6"/>
  <c r="AY695" i="6"/>
  <c r="BJ695" i="6"/>
  <c r="BZ695" i="6"/>
  <c r="BX695" i="6"/>
  <c r="BE695" i="6"/>
  <c r="Y692" i="12"/>
  <c r="AB693" i="5"/>
  <c r="AA693" i="5"/>
  <c r="CB695" i="6"/>
  <c r="BI695" i="6"/>
  <c r="CI695" i="6"/>
  <c r="BO695" i="6"/>
  <c r="BS695" i="6"/>
  <c r="AS695" i="6"/>
  <c r="BF695" i="6"/>
  <c r="G695" i="12"/>
  <c r="X695" i="5"/>
  <c r="M696" i="6"/>
  <c r="BH696" i="6" s="1"/>
  <c r="BL696" i="6"/>
  <c r="BR696" i="6"/>
  <c r="BY696" i="6"/>
  <c r="BZ696" i="6"/>
  <c r="BM696" i="6"/>
  <c r="BK696" i="6"/>
  <c r="CE696" i="6"/>
  <c r="CH696" i="6"/>
  <c r="BT696" i="6"/>
  <c r="H696" i="6"/>
  <c r="T696" i="5" s="1"/>
  <c r="N696" i="6"/>
  <c r="CB696" i="6"/>
  <c r="BX696" i="6"/>
  <c r="BC696" i="6"/>
  <c r="CJ696" i="6"/>
  <c r="CI696" i="6"/>
  <c r="CL696" i="6"/>
  <c r="CG696" i="6"/>
  <c r="CA696" i="6"/>
  <c r="G696" i="6"/>
  <c r="BS696" i="6"/>
  <c r="L697" i="12"/>
  <c r="J697" i="12"/>
  <c r="G698" i="5"/>
  <c r="H698" i="5"/>
  <c r="B698" i="5"/>
  <c r="N698" i="5"/>
  <c r="R698" i="5"/>
  <c r="A698" i="12"/>
  <c r="C699" i="5"/>
  <c r="B698" i="6"/>
  <c r="AD698" i="5"/>
  <c r="AE698" i="5"/>
  <c r="K698" i="5"/>
  <c r="F698" i="5"/>
  <c r="D698" i="5"/>
  <c r="B698" i="12" s="1"/>
  <c r="W698" i="5"/>
  <c r="H698" i="12" s="1"/>
  <c r="J698" i="5"/>
  <c r="E698" i="5"/>
  <c r="W691" i="12"/>
  <c r="X691" i="12"/>
  <c r="C693" i="12"/>
  <c r="O693" i="12"/>
  <c r="N693" i="12" s="1"/>
  <c r="AO693" i="12"/>
  <c r="M693" i="12"/>
  <c r="CA695" i="6"/>
  <c r="AW695" i="6"/>
  <c r="AX695" i="6"/>
  <c r="BC695" i="6"/>
  <c r="AU695" i="6"/>
  <c r="BH695" i="6"/>
  <c r="BM695" i="6"/>
  <c r="BQ695" i="6"/>
  <c r="BW695" i="6"/>
  <c r="E692" i="6"/>
  <c r="D692" i="12"/>
  <c r="F697" i="6"/>
  <c r="E697" i="12"/>
  <c r="C693" i="6"/>
  <c r="O693" i="5"/>
  <c r="I694" i="12"/>
  <c r="AM694" i="5"/>
  <c r="L694" i="5"/>
  <c r="Z694" i="5"/>
  <c r="I694" i="5"/>
  <c r="AC694" i="5"/>
  <c r="AJ694" i="6"/>
  <c r="AQ695" i="6"/>
  <c r="AN695" i="6"/>
  <c r="BA695" i="6"/>
  <c r="BY695" i="6"/>
  <c r="BT695" i="6"/>
  <c r="BG695" i="6"/>
  <c r="D697" i="6"/>
  <c r="T690" i="12"/>
  <c r="V690" i="12"/>
  <c r="U690" i="12"/>
  <c r="AK696" i="6" l="1"/>
  <c r="AU696" i="6"/>
  <c r="AM696" i="6"/>
  <c r="AX696" i="6"/>
  <c r="AN696" i="6"/>
  <c r="AT696" i="6"/>
  <c r="AR696" i="6"/>
  <c r="BE696" i="6"/>
  <c r="BI696" i="6"/>
  <c r="CD696" i="6"/>
  <c r="CF696" i="6"/>
  <c r="CM696" i="6"/>
  <c r="BQ696" i="6"/>
  <c r="BN696" i="6"/>
  <c r="BO696" i="6"/>
  <c r="BG696" i="6"/>
  <c r="BA696" i="6"/>
  <c r="AZ696" i="6"/>
  <c r="BP696" i="6"/>
  <c r="BV696" i="6"/>
  <c r="BF696" i="6"/>
  <c r="BW696" i="6"/>
  <c r="CC696" i="6"/>
  <c r="CK696" i="6"/>
  <c r="BJ696" i="6"/>
  <c r="BD696" i="6"/>
  <c r="F699" i="5"/>
  <c r="AE699" i="5"/>
  <c r="G699" i="5"/>
  <c r="E699" i="5"/>
  <c r="C700" i="5"/>
  <c r="N699" i="5"/>
  <c r="B699" i="5"/>
  <c r="AD699" i="5"/>
  <c r="I699" i="5"/>
  <c r="W699" i="5"/>
  <c r="H699" i="12" s="1"/>
  <c r="H699" i="5"/>
  <c r="B699" i="6"/>
  <c r="A699" i="12"/>
  <c r="E698" i="12"/>
  <c r="F698" i="6"/>
  <c r="AW696" i="6"/>
  <c r="AY696" i="6"/>
  <c r="AS696" i="6"/>
  <c r="AM695" i="5"/>
  <c r="I695" i="12"/>
  <c r="L695" i="5"/>
  <c r="Z695" i="5"/>
  <c r="I695" i="5"/>
  <c r="AC695" i="5"/>
  <c r="AJ695" i="6"/>
  <c r="G697" i="6"/>
  <c r="M697" i="6"/>
  <c r="BO697" i="6" s="1"/>
  <c r="BV697" i="6"/>
  <c r="CH697" i="6"/>
  <c r="BP697" i="6"/>
  <c r="CK697" i="6"/>
  <c r="CL697" i="6"/>
  <c r="CI697" i="6"/>
  <c r="H697" i="6"/>
  <c r="T697" i="5" s="1"/>
  <c r="BH697" i="6"/>
  <c r="CJ697" i="6"/>
  <c r="CD697" i="6"/>
  <c r="BS697" i="6"/>
  <c r="BJ697" i="6"/>
  <c r="CC697" i="6"/>
  <c r="CM697" i="6"/>
  <c r="BZ697" i="6"/>
  <c r="BD697" i="6"/>
  <c r="BI697" i="6"/>
  <c r="BW697" i="6"/>
  <c r="BR697" i="6"/>
  <c r="CE697" i="6"/>
  <c r="BC697" i="6"/>
  <c r="BG697" i="6"/>
  <c r="BX697" i="6"/>
  <c r="BF697" i="6"/>
  <c r="BM697" i="6"/>
  <c r="BN697" i="6"/>
  <c r="BE697" i="6"/>
  <c r="CB697" i="6"/>
  <c r="N697" i="6"/>
  <c r="CA697" i="6"/>
  <c r="J698" i="12"/>
  <c r="L698" i="12"/>
  <c r="K698" i="12" s="1"/>
  <c r="D698" i="6"/>
  <c r="K697" i="12"/>
  <c r="AO696" i="6"/>
  <c r="AP696" i="6"/>
  <c r="C694" i="12"/>
  <c r="M694" i="12"/>
  <c r="O694" i="12"/>
  <c r="AO694" i="12"/>
  <c r="Y694" i="12" s="1"/>
  <c r="AB694" i="5"/>
  <c r="AA694" i="5"/>
  <c r="E693" i="6"/>
  <c r="D693" i="12"/>
  <c r="Y693" i="12"/>
  <c r="V691" i="12"/>
  <c r="U691" i="12"/>
  <c r="T691" i="12"/>
  <c r="AV696" i="6"/>
  <c r="C694" i="6"/>
  <c r="O694" i="5"/>
  <c r="G696" i="12"/>
  <c r="X696" i="5"/>
  <c r="AQ696" i="6"/>
  <c r="AL696" i="6"/>
  <c r="X692" i="12"/>
  <c r="W692" i="12"/>
  <c r="AW697" i="6" l="1"/>
  <c r="AM697" i="6"/>
  <c r="AT697" i="6"/>
  <c r="AQ697" i="6"/>
  <c r="AO697" i="6"/>
  <c r="CF697" i="6"/>
  <c r="BY697" i="6"/>
  <c r="AY697" i="6"/>
  <c r="BA697" i="6"/>
  <c r="BL697" i="6"/>
  <c r="CG697" i="6"/>
  <c r="BQ697" i="6"/>
  <c r="BT697" i="6"/>
  <c r="BK697" i="6"/>
  <c r="AP697" i="6"/>
  <c r="AV697" i="6"/>
  <c r="AN697" i="6"/>
  <c r="AR697" i="6"/>
  <c r="AU697" i="6"/>
  <c r="AX697" i="6"/>
  <c r="AS697" i="6"/>
  <c r="AM696" i="5"/>
  <c r="L696" i="5"/>
  <c r="I696" i="12"/>
  <c r="Z696" i="5"/>
  <c r="I696" i="5"/>
  <c r="AC696" i="5"/>
  <c r="D699" i="6"/>
  <c r="T692" i="12"/>
  <c r="U692" i="12"/>
  <c r="V692" i="12"/>
  <c r="X693" i="12"/>
  <c r="W693" i="12"/>
  <c r="G698" i="6"/>
  <c r="N698" i="6"/>
  <c r="M698" i="6"/>
  <c r="BO698" i="6" s="1"/>
  <c r="H698" i="6"/>
  <c r="T698" i="5" s="1"/>
  <c r="AB695" i="5"/>
  <c r="AA695" i="5"/>
  <c r="AZ697" i="6"/>
  <c r="AL697" i="6"/>
  <c r="C695" i="6"/>
  <c r="O695" i="5"/>
  <c r="F700" i="5"/>
  <c r="J700" i="5"/>
  <c r="AE700" i="5"/>
  <c r="N700" i="5"/>
  <c r="H700" i="5"/>
  <c r="B700" i="5"/>
  <c r="B700" i="6"/>
  <c r="G700" i="5"/>
  <c r="E700" i="5"/>
  <c r="A700" i="12"/>
  <c r="D700" i="5"/>
  <c r="B700" i="12" s="1"/>
  <c r="AD700" i="5"/>
  <c r="W700" i="5"/>
  <c r="H700" i="12" s="1"/>
  <c r="C701" i="5"/>
  <c r="K700" i="5"/>
  <c r="R700" i="5"/>
  <c r="AJ696" i="6"/>
  <c r="X694" i="12"/>
  <c r="W694" i="12"/>
  <c r="E694" i="6"/>
  <c r="D694" i="12"/>
  <c r="N694" i="12"/>
  <c r="G697" i="12"/>
  <c r="X697" i="5"/>
  <c r="AK697" i="6"/>
  <c r="C695" i="12"/>
  <c r="M695" i="12"/>
  <c r="O695" i="12"/>
  <c r="AO695" i="12"/>
  <c r="N695" i="12" l="1"/>
  <c r="BI698" i="6"/>
  <c r="BN698" i="6"/>
  <c r="CB698" i="6"/>
  <c r="Y695" i="12"/>
  <c r="W695" i="12"/>
  <c r="X695" i="12"/>
  <c r="CK698" i="6"/>
  <c r="CI698" i="6"/>
  <c r="CF698" i="6"/>
  <c r="AY698" i="6"/>
  <c r="BF698" i="6"/>
  <c r="CD698" i="6"/>
  <c r="BJ698" i="6"/>
  <c r="AO698" i="6"/>
  <c r="AR698" i="6"/>
  <c r="BG698" i="6"/>
  <c r="BE698" i="6"/>
  <c r="CJ698" i="6"/>
  <c r="BE699" i="6"/>
  <c r="BC699" i="6"/>
  <c r="CD699" i="6"/>
  <c r="BT699" i="6"/>
  <c r="BH699" i="6"/>
  <c r="BY699" i="6"/>
  <c r="N699" i="6"/>
  <c r="H699" i="6"/>
  <c r="T699" i="5" s="1"/>
  <c r="G699" i="12" s="1"/>
  <c r="BL699" i="6"/>
  <c r="BG699" i="6"/>
  <c r="BR699" i="6"/>
  <c r="BZ699" i="6"/>
  <c r="CF699" i="6"/>
  <c r="CA699" i="6"/>
  <c r="BM699" i="6"/>
  <c r="CG699" i="6"/>
  <c r="CC699" i="6"/>
  <c r="BD699" i="6"/>
  <c r="BN699" i="6"/>
  <c r="BK699" i="6"/>
  <c r="CB699" i="6"/>
  <c r="CL699" i="6"/>
  <c r="BO699" i="6"/>
  <c r="BF699" i="6"/>
  <c r="BS699" i="6"/>
  <c r="CI699" i="6"/>
  <c r="M699" i="6"/>
  <c r="AO699" i="6" s="1"/>
  <c r="BV699" i="6"/>
  <c r="BI699" i="6"/>
  <c r="BJ699" i="6"/>
  <c r="CJ699" i="6"/>
  <c r="CE699" i="6"/>
  <c r="AN699" i="6"/>
  <c r="BX699" i="6"/>
  <c r="BW699" i="6"/>
  <c r="BQ699" i="6"/>
  <c r="BP699" i="6"/>
  <c r="G699" i="6"/>
  <c r="CK699" i="6"/>
  <c r="CM699" i="6"/>
  <c r="CH699" i="6"/>
  <c r="C696" i="12"/>
  <c r="O696" i="12"/>
  <c r="AO696" i="12"/>
  <c r="M696" i="12"/>
  <c r="U694" i="12"/>
  <c r="T694" i="12"/>
  <c r="V694" i="12"/>
  <c r="J700" i="12"/>
  <c r="L700" i="12"/>
  <c r="K700" i="12" s="1"/>
  <c r="D700" i="6"/>
  <c r="D695" i="12"/>
  <c r="E695" i="6"/>
  <c r="AX698" i="6"/>
  <c r="BK698" i="6"/>
  <c r="AU698" i="6"/>
  <c r="AM698" i="6"/>
  <c r="CE698" i="6"/>
  <c r="BH698" i="6"/>
  <c r="BQ698" i="6"/>
  <c r="BT698" i="6"/>
  <c r="BC698" i="6"/>
  <c r="BS698" i="6"/>
  <c r="BA698" i="6"/>
  <c r="CG698" i="6"/>
  <c r="BM698" i="6"/>
  <c r="BR698" i="6"/>
  <c r="C696" i="6"/>
  <c r="O696" i="5"/>
  <c r="AZ698" i="6"/>
  <c r="BP698" i="6"/>
  <c r="BW698" i="6"/>
  <c r="AW698" i="6"/>
  <c r="BV698" i="6"/>
  <c r="CM698" i="6"/>
  <c r="CA698" i="6"/>
  <c r="AP698" i="6"/>
  <c r="AN698" i="6"/>
  <c r="AQ698" i="6"/>
  <c r="AS698" i="6"/>
  <c r="CL698" i="6"/>
  <c r="V693" i="12"/>
  <c r="U693" i="12"/>
  <c r="T693" i="12"/>
  <c r="L697" i="5"/>
  <c r="I697" i="12"/>
  <c r="AM697" i="5"/>
  <c r="Z697" i="5"/>
  <c r="I697" i="5"/>
  <c r="AC697" i="5"/>
  <c r="AJ697" i="6"/>
  <c r="E700" i="12"/>
  <c r="F700" i="6"/>
  <c r="AE701" i="5"/>
  <c r="A701" i="12"/>
  <c r="K701" i="5"/>
  <c r="J701" i="5"/>
  <c r="W701" i="5"/>
  <c r="H701" i="12" s="1"/>
  <c r="AD701" i="5"/>
  <c r="F701" i="5"/>
  <c r="N701" i="5"/>
  <c r="H701" i="5"/>
  <c r="B701" i="5"/>
  <c r="C702" i="5" s="1"/>
  <c r="D701" i="5"/>
  <c r="B701" i="12" s="1"/>
  <c r="B701" i="6"/>
  <c r="E701" i="5"/>
  <c r="R701" i="5"/>
  <c r="G701" i="5"/>
  <c r="G698" i="12"/>
  <c r="X698" i="5"/>
  <c r="AJ698" i="6" s="1"/>
  <c r="CC698" i="6"/>
  <c r="BY698" i="6"/>
  <c r="BZ698" i="6"/>
  <c r="BD698" i="6"/>
  <c r="BX698" i="6"/>
  <c r="CH698" i="6"/>
  <c r="AV698" i="6"/>
  <c r="BL698" i="6"/>
  <c r="AK698" i="6"/>
  <c r="AT698" i="6"/>
  <c r="AL698" i="6"/>
  <c r="AB696" i="5"/>
  <c r="AA696" i="5"/>
  <c r="AM699" i="6" l="1"/>
  <c r="AP699" i="6"/>
  <c r="N696" i="12"/>
  <c r="J699" i="5"/>
  <c r="H702" i="5"/>
  <c r="E702" i="5"/>
  <c r="F702" i="5"/>
  <c r="N702" i="5"/>
  <c r="W702" i="5"/>
  <c r="H702" i="12" s="1"/>
  <c r="AE702" i="5"/>
  <c r="B702" i="5"/>
  <c r="C703" i="5"/>
  <c r="B702" i="6"/>
  <c r="G702" i="5"/>
  <c r="I702" i="5"/>
  <c r="AD702" i="5"/>
  <c r="A702" i="12"/>
  <c r="J701" i="12"/>
  <c r="L701" i="12"/>
  <c r="AW699" i="6"/>
  <c r="AJ699" i="6"/>
  <c r="C697" i="12"/>
  <c r="M697" i="12"/>
  <c r="AO697" i="12"/>
  <c r="Y697" i="12" s="1"/>
  <c r="O697" i="12"/>
  <c r="N700" i="6"/>
  <c r="G700" i="6"/>
  <c r="M700" i="6"/>
  <c r="BF700" i="6" s="1"/>
  <c r="H700" i="6"/>
  <c r="T700" i="5" s="1"/>
  <c r="AX699" i="6"/>
  <c r="AT699" i="6"/>
  <c r="AS699" i="6"/>
  <c r="BA699" i="6"/>
  <c r="AY699" i="6"/>
  <c r="I698" i="12"/>
  <c r="L698" i="5"/>
  <c r="AM698" i="5"/>
  <c r="Z698" i="5"/>
  <c r="I698" i="5"/>
  <c r="AC698" i="5"/>
  <c r="F701" i="6"/>
  <c r="E701" i="12"/>
  <c r="D701" i="6"/>
  <c r="C697" i="6"/>
  <c r="O697" i="5"/>
  <c r="D696" i="12"/>
  <c r="E696" i="6"/>
  <c r="AV699" i="6"/>
  <c r="AR699" i="6"/>
  <c r="AK699" i="6"/>
  <c r="AL699" i="6"/>
  <c r="AB697" i="5"/>
  <c r="AA697" i="5"/>
  <c r="Y696" i="12"/>
  <c r="AZ699" i="6"/>
  <c r="AQ699" i="6"/>
  <c r="AU699" i="6"/>
  <c r="V695" i="12"/>
  <c r="T695" i="12"/>
  <c r="U695" i="12"/>
  <c r="BC700" i="6" l="1"/>
  <c r="CK700" i="6"/>
  <c r="AU700" i="6"/>
  <c r="BD700" i="6"/>
  <c r="CI700" i="6"/>
  <c r="AW700" i="6"/>
  <c r="CM700" i="6"/>
  <c r="BI700" i="6"/>
  <c r="AV700" i="6"/>
  <c r="K701" i="12"/>
  <c r="CD700" i="6"/>
  <c r="AP700" i="6"/>
  <c r="BA700" i="6"/>
  <c r="AR700" i="6"/>
  <c r="AZ700" i="6"/>
  <c r="BH700" i="6"/>
  <c r="AK700" i="6"/>
  <c r="BO700" i="6"/>
  <c r="CB700" i="6"/>
  <c r="BJ700" i="6"/>
  <c r="BG700" i="6"/>
  <c r="D697" i="12"/>
  <c r="E697" i="6"/>
  <c r="AB698" i="5"/>
  <c r="AA698" i="5"/>
  <c r="X697" i="12"/>
  <c r="W697" i="12"/>
  <c r="BS700" i="6"/>
  <c r="CL700" i="6"/>
  <c r="CJ700" i="6"/>
  <c r="BT700" i="6"/>
  <c r="BZ700" i="6"/>
  <c r="G700" i="12"/>
  <c r="X700" i="5"/>
  <c r="AX700" i="6"/>
  <c r="BR700" i="6"/>
  <c r="BL700" i="6"/>
  <c r="BV700" i="6"/>
  <c r="AT700" i="6"/>
  <c r="BW700" i="6"/>
  <c r="CA700" i="6"/>
  <c r="BQ700" i="6"/>
  <c r="H701" i="6"/>
  <c r="T701" i="5" s="1"/>
  <c r="N701" i="6"/>
  <c r="M701" i="6"/>
  <c r="BX701" i="6" s="1"/>
  <c r="G701" i="6"/>
  <c r="CG701" i="6"/>
  <c r="BG701" i="6"/>
  <c r="AL701" i="6"/>
  <c r="C698" i="6"/>
  <c r="O698" i="5"/>
  <c r="BE700" i="6"/>
  <c r="BM700" i="6"/>
  <c r="CE700" i="6"/>
  <c r="AQ700" i="6"/>
  <c r="BN700" i="6"/>
  <c r="CH700" i="6"/>
  <c r="H703" i="5"/>
  <c r="F703" i="5"/>
  <c r="E703" i="5"/>
  <c r="G703" i="5"/>
  <c r="B703" i="6"/>
  <c r="C704" i="5"/>
  <c r="AD703" i="5"/>
  <c r="I703" i="5"/>
  <c r="W703" i="5"/>
  <c r="H703" i="12" s="1"/>
  <c r="AE703" i="5"/>
  <c r="N703" i="5"/>
  <c r="B703" i="5"/>
  <c r="A703" i="12"/>
  <c r="W696" i="12"/>
  <c r="X696" i="12"/>
  <c r="C698" i="12"/>
  <c r="AO698" i="12"/>
  <c r="O698" i="12"/>
  <c r="M698" i="12"/>
  <c r="BP700" i="6"/>
  <c r="CF700" i="6"/>
  <c r="BX700" i="6"/>
  <c r="AL700" i="6"/>
  <c r="CG700" i="6"/>
  <c r="CC700" i="6"/>
  <c r="AN700" i="6"/>
  <c r="AO700" i="6"/>
  <c r="BK700" i="6"/>
  <c r="BY700" i="6"/>
  <c r="AS700" i="6"/>
  <c r="AY700" i="6"/>
  <c r="AM700" i="6"/>
  <c r="N697" i="12"/>
  <c r="D702" i="6"/>
  <c r="BA701" i="6" l="1"/>
  <c r="AW701" i="6"/>
  <c r="BV701" i="6"/>
  <c r="AS701" i="6"/>
  <c r="AY701" i="6"/>
  <c r="BP701" i="6"/>
  <c r="Y698" i="12"/>
  <c r="CC701" i="6"/>
  <c r="BL701" i="6"/>
  <c r="CD701" i="6"/>
  <c r="AT701" i="6"/>
  <c r="BI701" i="6"/>
  <c r="AP701" i="6"/>
  <c r="BZ701" i="6"/>
  <c r="CK701" i="6"/>
  <c r="BF701" i="6"/>
  <c r="AK701" i="6"/>
  <c r="CB702" i="6"/>
  <c r="BD702" i="6"/>
  <c r="BW702" i="6"/>
  <c r="CH702" i="6"/>
  <c r="BH702" i="6"/>
  <c r="CD702" i="6"/>
  <c r="BR702" i="6"/>
  <c r="BP702" i="6"/>
  <c r="BQ702" i="6"/>
  <c r="BX702" i="6"/>
  <c r="BM702" i="6"/>
  <c r="BT702" i="6"/>
  <c r="BV702" i="6"/>
  <c r="BG702" i="6"/>
  <c r="CI702" i="6"/>
  <c r="BS702" i="6"/>
  <c r="BL702" i="6"/>
  <c r="N702" i="6"/>
  <c r="BN702" i="6"/>
  <c r="BZ702" i="6"/>
  <c r="CA702" i="6"/>
  <c r="CJ702" i="6"/>
  <c r="CG702" i="6"/>
  <c r="BY702" i="6"/>
  <c r="CE702" i="6"/>
  <c r="BI702" i="6"/>
  <c r="CL702" i="6"/>
  <c r="BJ702" i="6"/>
  <c r="BO702" i="6"/>
  <c r="BF702" i="6"/>
  <c r="M702" i="6"/>
  <c r="BC702" i="6"/>
  <c r="G702" i="6"/>
  <c r="CM702" i="6"/>
  <c r="BE702" i="6"/>
  <c r="CF702" i="6"/>
  <c r="CK702" i="6"/>
  <c r="BK702" i="6"/>
  <c r="H702" i="6"/>
  <c r="AQ702" i="6" s="1"/>
  <c r="CC702" i="6"/>
  <c r="N698" i="12"/>
  <c r="T696" i="12"/>
  <c r="U696" i="12"/>
  <c r="V696" i="12"/>
  <c r="D698" i="12"/>
  <c r="E698" i="6"/>
  <c r="CB701" i="6"/>
  <c r="BJ701" i="6"/>
  <c r="CF701" i="6"/>
  <c r="BM701" i="6"/>
  <c r="CI701" i="6"/>
  <c r="CL701" i="6"/>
  <c r="AM701" i="6"/>
  <c r="AO701" i="6"/>
  <c r="AU701" i="6"/>
  <c r="BO701" i="6"/>
  <c r="AR701" i="6"/>
  <c r="BQ701" i="6"/>
  <c r="AM700" i="5"/>
  <c r="L700" i="5"/>
  <c r="I700" i="12"/>
  <c r="Z700" i="5"/>
  <c r="I700" i="5"/>
  <c r="AC700" i="5"/>
  <c r="X698" i="12"/>
  <c r="W698" i="12"/>
  <c r="D703" i="6"/>
  <c r="AX701" i="6"/>
  <c r="BW701" i="6"/>
  <c r="CM701" i="6"/>
  <c r="CJ701" i="6"/>
  <c r="CE701" i="6"/>
  <c r="BS701" i="6"/>
  <c r="V697" i="12"/>
  <c r="U697" i="12"/>
  <c r="T697" i="12"/>
  <c r="BC701" i="6"/>
  <c r="AZ701" i="6"/>
  <c r="BH701" i="6"/>
  <c r="AN701" i="6"/>
  <c r="BT701" i="6"/>
  <c r="BY701" i="6"/>
  <c r="CH701" i="6"/>
  <c r="CA701" i="6"/>
  <c r="BD701" i="6"/>
  <c r="H704" i="5"/>
  <c r="AD704" i="5"/>
  <c r="N704" i="5"/>
  <c r="R704" i="5"/>
  <c r="E704" i="5"/>
  <c r="C705" i="5"/>
  <c r="G704" i="5"/>
  <c r="AE704" i="5"/>
  <c r="A704" i="12"/>
  <c r="J704" i="5"/>
  <c r="B704" i="5"/>
  <c r="D704" i="5"/>
  <c r="B704" i="12" s="1"/>
  <c r="K704" i="5"/>
  <c r="W704" i="5"/>
  <c r="H704" i="12" s="1"/>
  <c r="F704" i="5"/>
  <c r="B704" i="6"/>
  <c r="BN701" i="6"/>
  <c r="AV701" i="6"/>
  <c r="BR701" i="6"/>
  <c r="BE701" i="6"/>
  <c r="AQ701" i="6"/>
  <c r="BK701" i="6"/>
  <c r="G701" i="12"/>
  <c r="X701" i="5"/>
  <c r="AJ700" i="6"/>
  <c r="C700" i="12" l="1"/>
  <c r="AO700" i="12"/>
  <c r="O700" i="12"/>
  <c r="M700" i="12"/>
  <c r="AK702" i="6"/>
  <c r="AS702" i="6"/>
  <c r="AM702" i="6"/>
  <c r="AV702" i="6"/>
  <c r="AU702" i="6"/>
  <c r="AO702" i="6"/>
  <c r="F704" i="6"/>
  <c r="E704" i="12"/>
  <c r="CF703" i="6"/>
  <c r="CA703" i="6"/>
  <c r="G703" i="6"/>
  <c r="BQ703" i="6"/>
  <c r="BP703" i="6"/>
  <c r="CH703" i="6"/>
  <c r="BK703" i="6"/>
  <c r="N703" i="6"/>
  <c r="CM703" i="6"/>
  <c r="CJ703" i="6"/>
  <c r="BS703" i="6"/>
  <c r="CC703" i="6"/>
  <c r="BC703" i="6"/>
  <c r="BI703" i="6"/>
  <c r="BT703" i="6"/>
  <c r="BM703" i="6"/>
  <c r="BO703" i="6"/>
  <c r="BE703" i="6"/>
  <c r="BY703" i="6"/>
  <c r="BR703" i="6"/>
  <c r="BL703" i="6"/>
  <c r="BF703" i="6"/>
  <c r="CG703" i="6"/>
  <c r="CK703" i="6"/>
  <c r="BV703" i="6"/>
  <c r="M703" i="6"/>
  <c r="CD703" i="6"/>
  <c r="BX703" i="6"/>
  <c r="CI703" i="6"/>
  <c r="BN703" i="6"/>
  <c r="BZ703" i="6"/>
  <c r="BG703" i="6"/>
  <c r="CL703" i="6"/>
  <c r="CE703" i="6"/>
  <c r="H703" i="6"/>
  <c r="AZ703" i="6" s="1"/>
  <c r="BH703" i="6"/>
  <c r="BJ703" i="6"/>
  <c r="BW703" i="6"/>
  <c r="BD703" i="6"/>
  <c r="CB703" i="6"/>
  <c r="C700" i="6"/>
  <c r="O700" i="5"/>
  <c r="AP702" i="6"/>
  <c r="AX702" i="6"/>
  <c r="AN702" i="6"/>
  <c r="AT702" i="6"/>
  <c r="AW702" i="6"/>
  <c r="I701" i="12"/>
  <c r="AM701" i="5"/>
  <c r="L701" i="5"/>
  <c r="Z701" i="5"/>
  <c r="I701" i="5"/>
  <c r="AC701" i="5"/>
  <c r="J704" i="12"/>
  <c r="L704" i="12"/>
  <c r="K704" i="12" s="1"/>
  <c r="D704" i="6"/>
  <c r="AJ701" i="6"/>
  <c r="AZ702" i="6"/>
  <c r="AY702" i="6"/>
  <c r="AR702" i="6"/>
  <c r="AL702" i="6"/>
  <c r="K705" i="5"/>
  <c r="N705" i="5"/>
  <c r="G705" i="5"/>
  <c r="R705" i="5"/>
  <c r="W705" i="5"/>
  <c r="H705" i="12" s="1"/>
  <c r="F705" i="5"/>
  <c r="B705" i="6"/>
  <c r="H705" i="5"/>
  <c r="A705" i="12"/>
  <c r="E705" i="5"/>
  <c r="AE705" i="5"/>
  <c r="C706" i="5"/>
  <c r="D705" i="5"/>
  <c r="B705" i="12" s="1"/>
  <c r="AD705" i="5"/>
  <c r="J705" i="5"/>
  <c r="B705" i="5"/>
  <c r="V698" i="12"/>
  <c r="U698" i="12"/>
  <c r="T698" i="12"/>
  <c r="AB700" i="5"/>
  <c r="AA700" i="5"/>
  <c r="AJ702" i="6"/>
  <c r="BA702" i="6"/>
  <c r="AS703" i="6" l="1"/>
  <c r="AY703" i="6"/>
  <c r="AO703" i="6"/>
  <c r="N700" i="12"/>
  <c r="AP703" i="6"/>
  <c r="L705" i="12"/>
  <c r="J705" i="12"/>
  <c r="C701" i="12"/>
  <c r="M701" i="12"/>
  <c r="AO701" i="12"/>
  <c r="O701" i="12"/>
  <c r="AV703" i="6"/>
  <c r="AU703" i="6"/>
  <c r="AQ703" i="6"/>
  <c r="D705" i="6"/>
  <c r="M704" i="6"/>
  <c r="BZ704" i="6" s="1"/>
  <c r="BW704" i="6"/>
  <c r="CE704" i="6"/>
  <c r="BK704" i="6"/>
  <c r="BE704" i="6"/>
  <c r="CK704" i="6"/>
  <c r="BO704" i="6"/>
  <c r="CH704" i="6"/>
  <c r="BY704" i="6"/>
  <c r="BT704" i="6"/>
  <c r="BG704" i="6"/>
  <c r="BD704" i="6"/>
  <c r="BV704" i="6"/>
  <c r="BC704" i="6"/>
  <c r="N704" i="6"/>
  <c r="H704" i="6"/>
  <c r="T704" i="5" s="1"/>
  <c r="BS704" i="6"/>
  <c r="BH704" i="6"/>
  <c r="BX704" i="6"/>
  <c r="AM704" i="6"/>
  <c r="AN704" i="6"/>
  <c r="AO704" i="6"/>
  <c r="CM704" i="6"/>
  <c r="CA704" i="6"/>
  <c r="BF704" i="6"/>
  <c r="CB704" i="6"/>
  <c r="G704" i="6"/>
  <c r="AL704" i="6"/>
  <c r="AX704" i="6"/>
  <c r="CI704" i="6"/>
  <c r="AV704" i="6"/>
  <c r="BR704" i="6"/>
  <c r="BM704" i="6"/>
  <c r="BI704" i="6"/>
  <c r="AS704" i="6"/>
  <c r="CL704" i="6"/>
  <c r="BP704" i="6"/>
  <c r="CJ704" i="6"/>
  <c r="BN704" i="6"/>
  <c r="AA701" i="5"/>
  <c r="AB701" i="5"/>
  <c r="AN703" i="6"/>
  <c r="AM703" i="6"/>
  <c r="AX703" i="6"/>
  <c r="C701" i="6"/>
  <c r="O701" i="5"/>
  <c r="D700" i="12"/>
  <c r="E700" i="6"/>
  <c r="AW703" i="6"/>
  <c r="AT703" i="6"/>
  <c r="AL703" i="6"/>
  <c r="Y700" i="12"/>
  <c r="G706" i="5"/>
  <c r="H706" i="5"/>
  <c r="AE706" i="5"/>
  <c r="B706" i="6"/>
  <c r="N706" i="5"/>
  <c r="K706" i="5"/>
  <c r="D706" i="5"/>
  <c r="B706" i="12" s="1"/>
  <c r="W706" i="5"/>
  <c r="H706" i="12" s="1"/>
  <c r="F706" i="5"/>
  <c r="J706" i="5"/>
  <c r="A706" i="12"/>
  <c r="E706" i="5"/>
  <c r="AD706" i="5"/>
  <c r="R706" i="5"/>
  <c r="B706" i="5"/>
  <c r="C707" i="5" s="1"/>
  <c r="E705" i="12"/>
  <c r="F705" i="6"/>
  <c r="AR703" i="6"/>
  <c r="AK703" i="6"/>
  <c r="AJ703" i="6"/>
  <c r="BA703" i="6"/>
  <c r="AY704" i="6" l="1"/>
  <c r="AR704" i="6"/>
  <c r="BQ704" i="6"/>
  <c r="N701" i="12"/>
  <c r="K705" i="12"/>
  <c r="BL704" i="6"/>
  <c r="CC704" i="6"/>
  <c r="CF704" i="6"/>
  <c r="BJ704" i="6"/>
  <c r="CG704" i="6"/>
  <c r="B707" i="6"/>
  <c r="A707" i="12"/>
  <c r="AE707" i="5"/>
  <c r="H707" i="5"/>
  <c r="E707" i="5"/>
  <c r="G707" i="5"/>
  <c r="W707" i="5"/>
  <c r="H707" i="12" s="1"/>
  <c r="N707" i="5"/>
  <c r="B707" i="5"/>
  <c r="F707" i="5"/>
  <c r="AD707" i="5"/>
  <c r="I707" i="5"/>
  <c r="C708" i="5"/>
  <c r="BA704" i="6"/>
  <c r="AP704" i="6"/>
  <c r="E701" i="6"/>
  <c r="D701" i="12"/>
  <c r="G704" i="12"/>
  <c r="X704" i="5"/>
  <c r="AT704" i="6"/>
  <c r="E706" i="12"/>
  <c r="F706" i="6"/>
  <c r="M705" i="6"/>
  <c r="CH705" i="6" s="1"/>
  <c r="G705" i="6"/>
  <c r="N705" i="6"/>
  <c r="H705" i="6"/>
  <c r="T705" i="5" s="1"/>
  <c r="J706" i="12"/>
  <c r="L706" i="12"/>
  <c r="D706" i="6"/>
  <c r="W700" i="12"/>
  <c r="X700" i="12"/>
  <c r="AW704" i="6"/>
  <c r="AZ704" i="6"/>
  <c r="AQ704" i="6"/>
  <c r="AU704" i="6"/>
  <c r="AK704" i="6"/>
  <c r="CD704" i="6"/>
  <c r="Y701" i="12"/>
  <c r="BX705" i="6" l="1"/>
  <c r="CG705" i="6"/>
  <c r="BD705" i="6"/>
  <c r="BM705" i="6"/>
  <c r="BL705" i="6"/>
  <c r="BS705" i="6"/>
  <c r="CC705" i="6"/>
  <c r="CD705" i="6"/>
  <c r="CK705" i="6"/>
  <c r="BW705" i="6"/>
  <c r="BV705" i="6"/>
  <c r="BQ705" i="6"/>
  <c r="BK705" i="6"/>
  <c r="BG705" i="6"/>
  <c r="CE705" i="6"/>
  <c r="BO705" i="6"/>
  <c r="BZ705" i="6"/>
  <c r="CI705" i="6"/>
  <c r="CL705" i="6"/>
  <c r="K706" i="12"/>
  <c r="BC705" i="6"/>
  <c r="BI705" i="6"/>
  <c r="BN705" i="6"/>
  <c r="BY705" i="6"/>
  <c r="BP705" i="6"/>
  <c r="G705" i="12"/>
  <c r="X705" i="5"/>
  <c r="BA705" i="6"/>
  <c r="AS705" i="6"/>
  <c r="AN705" i="6"/>
  <c r="BR705" i="6"/>
  <c r="BJ705" i="6"/>
  <c r="CM705" i="6"/>
  <c r="AQ705" i="6"/>
  <c r="CJ705" i="6"/>
  <c r="BF705" i="6"/>
  <c r="AR705" i="6"/>
  <c r="AW705" i="6"/>
  <c r="AM705" i="6"/>
  <c r="AZ705" i="6"/>
  <c r="W701" i="12"/>
  <c r="X701" i="12"/>
  <c r="V700" i="12"/>
  <c r="U700" i="12"/>
  <c r="T700" i="12"/>
  <c r="BT705" i="6"/>
  <c r="CB705" i="6"/>
  <c r="AX705" i="6"/>
  <c r="CA705" i="6"/>
  <c r="CF705" i="6"/>
  <c r="BH705" i="6"/>
  <c r="BE705" i="6"/>
  <c r="AT705" i="6"/>
  <c r="AP705" i="6"/>
  <c r="D707" i="6"/>
  <c r="AU705" i="6"/>
  <c r="G706" i="6"/>
  <c r="H706" i="6"/>
  <c r="T706" i="5" s="1"/>
  <c r="M706" i="6"/>
  <c r="BD706" i="6" s="1"/>
  <c r="CC706" i="6"/>
  <c r="N706" i="6"/>
  <c r="AJ705" i="6"/>
  <c r="AK705" i="6"/>
  <c r="AL705" i="6"/>
  <c r="AO705" i="6"/>
  <c r="AV705" i="6"/>
  <c r="AY705" i="6"/>
  <c r="AM704" i="5"/>
  <c r="L704" i="5"/>
  <c r="I704" i="12"/>
  <c r="Z704" i="5"/>
  <c r="I704" i="5"/>
  <c r="AC704" i="5"/>
  <c r="AJ704" i="6"/>
  <c r="K708" i="5"/>
  <c r="D708" i="5"/>
  <c r="B708" i="12" s="1"/>
  <c r="AD708" i="5"/>
  <c r="G708" i="5"/>
  <c r="J708" i="5"/>
  <c r="B708" i="5"/>
  <c r="N708" i="5"/>
  <c r="B708" i="6"/>
  <c r="E708" i="5"/>
  <c r="A708" i="12"/>
  <c r="R708" i="5"/>
  <c r="W708" i="5"/>
  <c r="H708" i="12" s="1"/>
  <c r="AE708" i="5"/>
  <c r="C709" i="5"/>
  <c r="H708" i="5"/>
  <c r="F708" i="5"/>
  <c r="BT706" i="6" l="1"/>
  <c r="BV706" i="6"/>
  <c r="BI706" i="6"/>
  <c r="BZ706" i="6"/>
  <c r="BJ706" i="6"/>
  <c r="BN706" i="6"/>
  <c r="AK706" i="6"/>
  <c r="CG706" i="6"/>
  <c r="CL706" i="6"/>
  <c r="CI706" i="6"/>
  <c r="BX706" i="6"/>
  <c r="BS706" i="6"/>
  <c r="AU706" i="6"/>
  <c r="AZ706" i="6"/>
  <c r="BY706" i="6"/>
  <c r="AS706" i="6"/>
  <c r="CJ706" i="6"/>
  <c r="BC706" i="6"/>
  <c r="BF706" i="6"/>
  <c r="AT706" i="6"/>
  <c r="AO706" i="6"/>
  <c r="BQ706" i="6"/>
  <c r="E708" i="12"/>
  <c r="F708" i="6"/>
  <c r="D708" i="6"/>
  <c r="C704" i="6"/>
  <c r="O704" i="5"/>
  <c r="AR706" i="6"/>
  <c r="AQ706" i="6"/>
  <c r="CE706" i="6"/>
  <c r="BM706" i="6"/>
  <c r="BR706" i="6"/>
  <c r="AY706" i="6"/>
  <c r="CD706" i="6"/>
  <c r="CK706" i="6"/>
  <c r="BK706" i="6"/>
  <c r="CM706" i="6"/>
  <c r="CH706" i="6"/>
  <c r="BE706" i="6"/>
  <c r="BW706" i="6"/>
  <c r="G706" i="12"/>
  <c r="X706" i="5"/>
  <c r="BN707" i="6"/>
  <c r="CG707" i="6"/>
  <c r="BI707" i="6"/>
  <c r="BJ707" i="6"/>
  <c r="CE707" i="6"/>
  <c r="BD707" i="6"/>
  <c r="CI707" i="6"/>
  <c r="BW707" i="6"/>
  <c r="BG707" i="6"/>
  <c r="BF707" i="6"/>
  <c r="CD707" i="6"/>
  <c r="BP707" i="6"/>
  <c r="CF707" i="6"/>
  <c r="BR707" i="6"/>
  <c r="BH707" i="6"/>
  <c r="BT707" i="6"/>
  <c r="BK707" i="6"/>
  <c r="N707" i="6"/>
  <c r="BL707" i="6"/>
  <c r="CC707" i="6"/>
  <c r="CA707" i="6"/>
  <c r="H707" i="6"/>
  <c r="G707" i="6"/>
  <c r="CK707" i="6"/>
  <c r="CM707" i="6"/>
  <c r="BX707" i="6"/>
  <c r="CL707" i="6"/>
  <c r="BV707" i="6"/>
  <c r="BE707" i="6"/>
  <c r="BO707" i="6"/>
  <c r="BC707" i="6"/>
  <c r="BS707" i="6"/>
  <c r="BZ707" i="6"/>
  <c r="CH707" i="6"/>
  <c r="CB707" i="6"/>
  <c r="BY707" i="6"/>
  <c r="CJ707" i="6"/>
  <c r="BM707" i="6"/>
  <c r="BQ707" i="6"/>
  <c r="M707" i="6"/>
  <c r="C704" i="12"/>
  <c r="O704" i="12"/>
  <c r="M704" i="12"/>
  <c r="AO704" i="12"/>
  <c r="J708" i="12"/>
  <c r="L708" i="12"/>
  <c r="K708" i="12" s="1"/>
  <c r="AL706" i="6"/>
  <c r="L705" i="5"/>
  <c r="AM705" i="5"/>
  <c r="I705" i="12"/>
  <c r="I705" i="5"/>
  <c r="Z705" i="5"/>
  <c r="AC705" i="5"/>
  <c r="B709" i="5"/>
  <c r="A709" i="12"/>
  <c r="K709" i="5"/>
  <c r="W709" i="5"/>
  <c r="H709" i="12" s="1"/>
  <c r="F709" i="5"/>
  <c r="B709" i="6"/>
  <c r="AE709" i="5"/>
  <c r="J709" i="5"/>
  <c r="D709" i="5"/>
  <c r="B709" i="12" s="1"/>
  <c r="AD709" i="5"/>
  <c r="N709" i="5"/>
  <c r="E709" i="5"/>
  <c r="G709" i="5"/>
  <c r="R709" i="5"/>
  <c r="H709" i="5"/>
  <c r="A5" i="5"/>
  <c r="O146" i="5" s="1"/>
  <c r="AM706" i="6"/>
  <c r="CB706" i="6"/>
  <c r="AN706" i="6"/>
  <c r="AB704" i="5"/>
  <c r="AA704" i="5"/>
  <c r="AP706" i="6"/>
  <c r="BH706" i="6"/>
  <c r="AW706" i="6"/>
  <c r="CF706" i="6"/>
  <c r="AX706" i="6"/>
  <c r="BP706" i="6"/>
  <c r="AV706" i="6"/>
  <c r="CA706" i="6"/>
  <c r="BL706" i="6"/>
  <c r="BA706" i="6"/>
  <c r="AJ706" i="6"/>
  <c r="BG706" i="6"/>
  <c r="BO706" i="6"/>
  <c r="T701" i="12"/>
  <c r="V701" i="12"/>
  <c r="U701" i="12"/>
  <c r="Y704" i="12" l="1"/>
  <c r="BA707" i="6"/>
  <c r="AN707" i="6"/>
  <c r="AL707" i="6"/>
  <c r="AT707" i="6"/>
  <c r="AP707" i="6"/>
  <c r="AM707" i="6"/>
  <c r="D146" i="12"/>
  <c r="E146" i="6"/>
  <c r="E47" i="8"/>
  <c r="E48" i="8" s="1"/>
  <c r="E38" i="8"/>
  <c r="E39" i="8" s="1"/>
  <c r="E86" i="8"/>
  <c r="E87" i="8" s="1"/>
  <c r="E20" i="8"/>
  <c r="E21" i="8" s="1"/>
  <c r="E41" i="8"/>
  <c r="E42" i="8" s="1"/>
  <c r="E26" i="8"/>
  <c r="E27" i="8" s="1"/>
  <c r="E62" i="8"/>
  <c r="E63" i="8" s="1"/>
  <c r="E65" i="8"/>
  <c r="E66" i="8" s="1"/>
  <c r="E17" i="8"/>
  <c r="E18" i="8" s="1"/>
  <c r="E59" i="8"/>
  <c r="E60" i="8" s="1"/>
  <c r="E68" i="8"/>
  <c r="E69" i="8" s="1"/>
  <c r="E74" i="8"/>
  <c r="E75" i="8" s="1"/>
  <c r="E14" i="8"/>
  <c r="E15" i="8" s="1"/>
  <c r="E29" i="8"/>
  <c r="E30" i="8" s="1"/>
  <c r="E80" i="8"/>
  <c r="E81" i="8" s="1"/>
  <c r="E44" i="8"/>
  <c r="E45" i="8" s="1"/>
  <c r="E53" i="8"/>
  <c r="E54" i="8" s="1"/>
  <c r="E77" i="8"/>
  <c r="E78" i="8" s="1"/>
  <c r="E92" i="8"/>
  <c r="E93" i="8" s="1"/>
  <c r="E50" i="8"/>
  <c r="E51" i="8" s="1"/>
  <c r="E89" i="8"/>
  <c r="E90" i="8" s="1"/>
  <c r="E95" i="8"/>
  <c r="E96" i="8" s="1"/>
  <c r="E83" i="8"/>
  <c r="E84" i="8" s="1"/>
  <c r="E56" i="8"/>
  <c r="E57" i="8" s="1"/>
  <c r="E23" i="8"/>
  <c r="E24" i="8" s="1"/>
  <c r="E32" i="8"/>
  <c r="E33" i="8" s="1"/>
  <c r="E1" i="8"/>
  <c r="E2" i="8" s="1"/>
  <c r="E71" i="8"/>
  <c r="E72" i="8" s="1"/>
  <c r="E35" i="8"/>
  <c r="E36" i="8" s="1"/>
  <c r="L709" i="12"/>
  <c r="J709" i="12"/>
  <c r="N704" i="12"/>
  <c r="AW707" i="6"/>
  <c r="AV707" i="6"/>
  <c r="AZ707" i="6"/>
  <c r="AU707" i="6"/>
  <c r="AR707" i="6"/>
  <c r="AM706" i="5"/>
  <c r="L706" i="5"/>
  <c r="I706" i="12"/>
  <c r="Z706" i="5"/>
  <c r="I706" i="5"/>
  <c r="AC706" i="5"/>
  <c r="E709" i="12"/>
  <c r="F709" i="6"/>
  <c r="J17" i="5"/>
  <c r="K17" i="5"/>
  <c r="D17" i="5" s="1"/>
  <c r="J28" i="5"/>
  <c r="K28" i="5"/>
  <c r="J48" i="5"/>
  <c r="K48" i="5"/>
  <c r="D48" i="5" s="1"/>
  <c r="J92" i="5"/>
  <c r="K92" i="5"/>
  <c r="J152" i="5"/>
  <c r="K152" i="5"/>
  <c r="J172" i="5"/>
  <c r="K172" i="5"/>
  <c r="J219" i="5"/>
  <c r="K219" i="5"/>
  <c r="K238" i="5"/>
  <c r="J238" i="5"/>
  <c r="J243" i="5"/>
  <c r="K243" i="5"/>
  <c r="J259" i="5"/>
  <c r="K259" i="5"/>
  <c r="K282" i="5"/>
  <c r="J282" i="5"/>
  <c r="J301" i="5"/>
  <c r="K301" i="5"/>
  <c r="K371" i="5"/>
  <c r="J371" i="5"/>
  <c r="J390" i="5"/>
  <c r="K390" i="5"/>
  <c r="K446" i="5"/>
  <c r="J446" i="5"/>
  <c r="K482" i="5"/>
  <c r="J482" i="5"/>
  <c r="J491" i="5"/>
  <c r="K491" i="5"/>
  <c r="J528" i="5"/>
  <c r="K528" i="5"/>
  <c r="J618" i="5"/>
  <c r="K618" i="5"/>
  <c r="K628" i="5"/>
  <c r="J628" i="5"/>
  <c r="J668" i="5"/>
  <c r="D668" i="5" s="1"/>
  <c r="J672" i="5"/>
  <c r="K672" i="5"/>
  <c r="J688" i="5"/>
  <c r="K688" i="5"/>
  <c r="K699" i="5"/>
  <c r="D699" i="5" s="1"/>
  <c r="K703" i="5"/>
  <c r="C705" i="12"/>
  <c r="M705" i="12"/>
  <c r="AO705" i="12"/>
  <c r="O705" i="12"/>
  <c r="AS707" i="6"/>
  <c r="AO707" i="6"/>
  <c r="J703" i="5"/>
  <c r="J29" i="5"/>
  <c r="D29" i="5" s="1"/>
  <c r="J31" i="5"/>
  <c r="D31" i="5" s="1"/>
  <c r="J36" i="5"/>
  <c r="D36" i="5" s="1"/>
  <c r="J40" i="5"/>
  <c r="D40" i="5" s="1"/>
  <c r="K43" i="5"/>
  <c r="D43" i="5" s="1"/>
  <c r="J49" i="5"/>
  <c r="K49" i="5"/>
  <c r="J56" i="5"/>
  <c r="K56" i="5"/>
  <c r="K66" i="5"/>
  <c r="J66" i="5"/>
  <c r="K73" i="5"/>
  <c r="J73" i="5"/>
  <c r="J82" i="5"/>
  <c r="D82" i="5" s="1"/>
  <c r="K86" i="5"/>
  <c r="D86" i="5" s="1"/>
  <c r="J93" i="5"/>
  <c r="K93" i="5"/>
  <c r="K102" i="5"/>
  <c r="J102" i="5"/>
  <c r="J107" i="5"/>
  <c r="D107" i="5" s="1"/>
  <c r="J112" i="5"/>
  <c r="K112" i="5"/>
  <c r="K122" i="5"/>
  <c r="J122" i="5"/>
  <c r="J131" i="5"/>
  <c r="J129" i="5"/>
  <c r="D129" i="5" s="1"/>
  <c r="K131" i="5"/>
  <c r="J137" i="5"/>
  <c r="D137" i="5" s="1"/>
  <c r="J142" i="5"/>
  <c r="D142" i="5" s="1"/>
  <c r="K150" i="5"/>
  <c r="D150" i="5" s="1"/>
  <c r="J153" i="5"/>
  <c r="D153" i="5" s="1"/>
  <c r="J155" i="5"/>
  <c r="K155" i="5"/>
  <c r="K161" i="5"/>
  <c r="J161" i="5"/>
  <c r="K167" i="5"/>
  <c r="J167" i="5"/>
  <c r="J173" i="5"/>
  <c r="D173" i="5" s="1"/>
  <c r="J177" i="5"/>
  <c r="D177" i="5" s="1"/>
  <c r="J181" i="5"/>
  <c r="K181" i="5"/>
  <c r="K193" i="5"/>
  <c r="J193" i="5"/>
  <c r="J210" i="5"/>
  <c r="D210" i="5" s="1"/>
  <c r="K212" i="5"/>
  <c r="J212" i="5"/>
  <c r="K220" i="5"/>
  <c r="J220" i="5"/>
  <c r="K234" i="5"/>
  <c r="D234" i="5" s="1"/>
  <c r="J244" i="5"/>
  <c r="K244" i="5"/>
  <c r="K256" i="5"/>
  <c r="D256" i="5" s="1"/>
  <c r="J260" i="5"/>
  <c r="K260" i="5"/>
  <c r="K269" i="5"/>
  <c r="J269" i="5"/>
  <c r="K283" i="5"/>
  <c r="J283" i="5"/>
  <c r="K298" i="5"/>
  <c r="D298" i="5" s="1"/>
  <c r="K302" i="5"/>
  <c r="J302" i="5"/>
  <c r="J351" i="5"/>
  <c r="K351" i="5"/>
  <c r="J360" i="5"/>
  <c r="D360" i="5" s="1"/>
  <c r="J364" i="5"/>
  <c r="D364" i="5" s="1"/>
  <c r="K369" i="5"/>
  <c r="D369" i="5" s="1"/>
  <c r="J372" i="5"/>
  <c r="K372" i="5"/>
  <c r="D372" i="5" s="1"/>
  <c r="K386" i="5"/>
  <c r="D386" i="5" s="1"/>
  <c r="J391" i="5"/>
  <c r="K391" i="5"/>
  <c r="J426" i="5"/>
  <c r="D426" i="5" s="1"/>
  <c r="J429" i="5"/>
  <c r="K429" i="5"/>
  <c r="J492" i="5"/>
  <c r="D492" i="5" s="1"/>
  <c r="J495" i="5"/>
  <c r="K495" i="5"/>
  <c r="J503" i="5"/>
  <c r="D503" i="5" s="1"/>
  <c r="J507" i="5"/>
  <c r="K507" i="5"/>
  <c r="D507" i="5" s="1"/>
  <c r="J513" i="5"/>
  <c r="K513" i="5"/>
  <c r="J523" i="5"/>
  <c r="K523" i="5"/>
  <c r="D523" i="5" s="1"/>
  <c r="J529" i="5"/>
  <c r="K529" i="5"/>
  <c r="K535" i="5"/>
  <c r="J535" i="5"/>
  <c r="J554" i="5"/>
  <c r="K554" i="5"/>
  <c r="K580" i="5"/>
  <c r="J580" i="5"/>
  <c r="K592" i="5"/>
  <c r="J592" i="5"/>
  <c r="K600" i="5"/>
  <c r="J600" i="5"/>
  <c r="K629" i="5"/>
  <c r="J629" i="5"/>
  <c r="J634" i="5"/>
  <c r="D634" i="5" s="1"/>
  <c r="K636" i="5"/>
  <c r="J636" i="5"/>
  <c r="J647" i="5"/>
  <c r="D647" i="5" s="1"/>
  <c r="J650" i="5"/>
  <c r="K650" i="5"/>
  <c r="D650" i="5" s="1"/>
  <c r="J657" i="5"/>
  <c r="K657" i="5"/>
  <c r="A20" i="13"/>
  <c r="A17" i="13"/>
  <c r="B16" i="11"/>
  <c r="A19" i="13"/>
  <c r="B22" i="11"/>
  <c r="A21" i="13"/>
  <c r="B17" i="11"/>
  <c r="J16" i="5"/>
  <c r="B12" i="11"/>
  <c r="B19" i="11"/>
  <c r="K16" i="5"/>
  <c r="A22" i="13"/>
  <c r="B18" i="11"/>
  <c r="B20" i="11"/>
  <c r="A15" i="13"/>
  <c r="A12" i="13"/>
  <c r="B15" i="11"/>
  <c r="A18" i="13"/>
  <c r="A16" i="13"/>
  <c r="B23" i="11"/>
  <c r="A23" i="13"/>
  <c r="B21" i="11"/>
  <c r="K702" i="5"/>
  <c r="J702" i="5"/>
  <c r="W704" i="12"/>
  <c r="X704" i="12"/>
  <c r="AY707" i="6"/>
  <c r="AX707" i="6"/>
  <c r="AJ707" i="6"/>
  <c r="AQ707" i="6"/>
  <c r="G708" i="6"/>
  <c r="N708" i="6"/>
  <c r="H708" i="6"/>
  <c r="T708" i="5" s="1"/>
  <c r="M708" i="6"/>
  <c r="BY708" i="6" s="1"/>
  <c r="K707" i="5"/>
  <c r="D709" i="6"/>
  <c r="AB705" i="5"/>
  <c r="AA705" i="5"/>
  <c r="C705" i="6"/>
  <c r="O705" i="5"/>
  <c r="AK707" i="6"/>
  <c r="E704" i="6"/>
  <c r="D704" i="12"/>
  <c r="J707" i="5"/>
  <c r="D167" i="5" l="1"/>
  <c r="Y705" i="12"/>
  <c r="D618" i="5"/>
  <c r="D491" i="5"/>
  <c r="AN708" i="6"/>
  <c r="N705" i="12"/>
  <c r="CL708" i="6"/>
  <c r="D702" i="5"/>
  <c r="D16" i="5"/>
  <c r="D629" i="5"/>
  <c r="D592" i="5"/>
  <c r="D283" i="5"/>
  <c r="D212" i="5"/>
  <c r="D628" i="5"/>
  <c r="D482" i="5"/>
  <c r="D238" i="5"/>
  <c r="D636" i="5"/>
  <c r="D302" i="5"/>
  <c r="D73" i="5"/>
  <c r="D243" i="5"/>
  <c r="B243" i="12" s="1"/>
  <c r="D219" i="5"/>
  <c r="D152" i="5"/>
  <c r="BF708" i="6"/>
  <c r="D391" i="5"/>
  <c r="B391" i="12" s="1"/>
  <c r="D351" i="5"/>
  <c r="D244" i="5"/>
  <c r="D49" i="5"/>
  <c r="D688" i="5"/>
  <c r="B688" i="12" s="1"/>
  <c r="K709" i="12"/>
  <c r="K20" i="11"/>
  <c r="J20" i="13" s="1"/>
  <c r="C20" i="13"/>
  <c r="AB20" i="11"/>
  <c r="N20" i="11" s="1"/>
  <c r="G20" i="11"/>
  <c r="F20" i="13" s="1"/>
  <c r="O20" i="11"/>
  <c r="AA20" i="11"/>
  <c r="AO17" i="13"/>
  <c r="AL17" i="13"/>
  <c r="B17" i="13"/>
  <c r="AJ17" i="13" s="1"/>
  <c r="B650" i="12"/>
  <c r="AB650" i="5"/>
  <c r="X650" i="5"/>
  <c r="AA650" i="5"/>
  <c r="B636" i="12"/>
  <c r="X636" i="5"/>
  <c r="AB636" i="5"/>
  <c r="AA636" i="5"/>
  <c r="B523" i="12"/>
  <c r="X523" i="5"/>
  <c r="AA523" i="5"/>
  <c r="AB523" i="5"/>
  <c r="B507" i="12"/>
  <c r="AB507" i="5"/>
  <c r="AA507" i="5"/>
  <c r="X507" i="5"/>
  <c r="B426" i="12"/>
  <c r="AB426" i="5"/>
  <c r="X426" i="5"/>
  <c r="AA426" i="5"/>
  <c r="B372" i="12"/>
  <c r="X372" i="5"/>
  <c r="AA372" i="5"/>
  <c r="AB372" i="5"/>
  <c r="B360" i="12"/>
  <c r="AA360" i="5"/>
  <c r="X360" i="5"/>
  <c r="AB360" i="5"/>
  <c r="B302" i="12"/>
  <c r="AA302" i="5"/>
  <c r="X302" i="5"/>
  <c r="AB302" i="5"/>
  <c r="B256" i="12"/>
  <c r="AB256" i="5"/>
  <c r="X256" i="5"/>
  <c r="AA256" i="5"/>
  <c r="B210" i="12"/>
  <c r="AA210" i="5"/>
  <c r="X210" i="5"/>
  <c r="AB210" i="5"/>
  <c r="B167" i="12"/>
  <c r="AB167" i="5"/>
  <c r="AA167" i="5"/>
  <c r="X167" i="5"/>
  <c r="B137" i="12"/>
  <c r="AA137" i="5"/>
  <c r="X137" i="5"/>
  <c r="AB137" i="5"/>
  <c r="B107" i="12"/>
  <c r="X107" i="5"/>
  <c r="AA107" i="5"/>
  <c r="AB107" i="5"/>
  <c r="B73" i="12"/>
  <c r="X73" i="5"/>
  <c r="AA73" i="5"/>
  <c r="AB73" i="5"/>
  <c r="B40" i="12"/>
  <c r="X40" i="5"/>
  <c r="AB40" i="5"/>
  <c r="AA40" i="5"/>
  <c r="W705" i="12"/>
  <c r="X705" i="12"/>
  <c r="B699" i="12"/>
  <c r="X699" i="5"/>
  <c r="AA699" i="5"/>
  <c r="AB699" i="5"/>
  <c r="B618" i="12"/>
  <c r="AB618" i="5"/>
  <c r="AA618" i="5"/>
  <c r="X618" i="5"/>
  <c r="B491" i="12"/>
  <c r="AB491" i="5"/>
  <c r="AA491" i="5"/>
  <c r="X491" i="5"/>
  <c r="X243" i="5"/>
  <c r="R41" i="8" s="1"/>
  <c r="F42" i="8" s="1"/>
  <c r="B219" i="12"/>
  <c r="X219" i="5"/>
  <c r="AA219" i="5"/>
  <c r="AB219" i="5"/>
  <c r="B152" i="12"/>
  <c r="X152" i="5"/>
  <c r="R29" i="8" s="1"/>
  <c r="AB152" i="5"/>
  <c r="AA152" i="5"/>
  <c r="B48" i="12"/>
  <c r="AA48" i="5"/>
  <c r="X48" i="5"/>
  <c r="AB48" i="5"/>
  <c r="B17" i="12"/>
  <c r="AB17" i="5"/>
  <c r="AA17" i="5"/>
  <c r="X17" i="5"/>
  <c r="C706" i="6"/>
  <c r="O706" i="5"/>
  <c r="I32" i="8"/>
  <c r="L32" i="8"/>
  <c r="O32" i="8" s="1"/>
  <c r="L95" i="8"/>
  <c r="M95" i="8" s="1"/>
  <c r="I95" i="8"/>
  <c r="I77" i="8"/>
  <c r="L77" i="8"/>
  <c r="O77" i="8" s="1"/>
  <c r="L29" i="8"/>
  <c r="I29" i="8"/>
  <c r="I59" i="8"/>
  <c r="L59" i="8"/>
  <c r="I26" i="8"/>
  <c r="L26" i="8"/>
  <c r="O26" i="8" s="1"/>
  <c r="L38" i="8"/>
  <c r="P38" i="8" s="1"/>
  <c r="I38" i="8"/>
  <c r="CA708" i="6"/>
  <c r="G708" i="12"/>
  <c r="X708" i="5"/>
  <c r="AJ708" i="6" s="1"/>
  <c r="AT708" i="6"/>
  <c r="CD708" i="6"/>
  <c r="BM708" i="6"/>
  <c r="AS708" i="6"/>
  <c r="BW708" i="6"/>
  <c r="BJ708" i="6"/>
  <c r="BR708" i="6"/>
  <c r="C19" i="13"/>
  <c r="O19" i="11"/>
  <c r="AA19" i="11"/>
  <c r="AB19" i="11"/>
  <c r="N19" i="11" s="1"/>
  <c r="G19" i="11"/>
  <c r="F19" i="13" s="1"/>
  <c r="K19" i="11"/>
  <c r="J19" i="13" s="1"/>
  <c r="AP708" i="6"/>
  <c r="CJ708" i="6"/>
  <c r="BN708" i="6"/>
  <c r="AU708" i="6"/>
  <c r="AY708" i="6"/>
  <c r="V704" i="12"/>
  <c r="T704" i="12"/>
  <c r="U704" i="12"/>
  <c r="C15" i="13"/>
  <c r="K15" i="11"/>
  <c r="J15" i="13" s="1"/>
  <c r="G15" i="11"/>
  <c r="F15" i="13" s="1"/>
  <c r="AB18" i="11"/>
  <c r="N18" i="11" s="1"/>
  <c r="C18" i="13"/>
  <c r="G18" i="11"/>
  <c r="F18" i="13" s="1"/>
  <c r="AA18" i="11"/>
  <c r="O18" i="11"/>
  <c r="K18" i="11"/>
  <c r="J18" i="13" s="1"/>
  <c r="O12" i="11"/>
  <c r="AA12" i="11"/>
  <c r="K12" i="11"/>
  <c r="J12" i="13" s="1"/>
  <c r="AB12" i="11"/>
  <c r="N12" i="11" s="1"/>
  <c r="C12" i="13"/>
  <c r="G12" i="11"/>
  <c r="F12" i="13" s="1"/>
  <c r="O22" i="11"/>
  <c r="AB22" i="11"/>
  <c r="N22" i="11" s="1"/>
  <c r="G22" i="11"/>
  <c r="F22" i="13" s="1"/>
  <c r="AA22" i="11"/>
  <c r="K22" i="11"/>
  <c r="J22" i="13" s="1"/>
  <c r="C22" i="13"/>
  <c r="B20" i="13"/>
  <c r="AN20" i="13" s="1"/>
  <c r="AL20" i="13"/>
  <c r="AO20" i="13"/>
  <c r="B634" i="12"/>
  <c r="AB634" i="5"/>
  <c r="X634" i="5"/>
  <c r="AA634" i="5"/>
  <c r="D600" i="5"/>
  <c r="D580" i="5"/>
  <c r="D535" i="5"/>
  <c r="B492" i="12"/>
  <c r="AB492" i="5"/>
  <c r="AA492" i="5"/>
  <c r="X492" i="5"/>
  <c r="X391" i="5"/>
  <c r="AA391" i="5"/>
  <c r="B351" i="12"/>
  <c r="AA351" i="5"/>
  <c r="X351" i="5"/>
  <c r="AB351" i="5"/>
  <c r="B298" i="12"/>
  <c r="AA298" i="5"/>
  <c r="X298" i="5"/>
  <c r="AB298" i="5"/>
  <c r="D269" i="5"/>
  <c r="B244" i="12"/>
  <c r="AA244" i="5"/>
  <c r="X244" i="5"/>
  <c r="AB244" i="5"/>
  <c r="D220" i="5"/>
  <c r="B177" i="12"/>
  <c r="X177" i="5"/>
  <c r="AB177" i="5"/>
  <c r="AA177" i="5"/>
  <c r="B153" i="12"/>
  <c r="AB153" i="5"/>
  <c r="AA153" i="5"/>
  <c r="X153" i="5"/>
  <c r="D131" i="5"/>
  <c r="D122" i="5"/>
  <c r="B86" i="12"/>
  <c r="X86" i="5"/>
  <c r="AB86" i="5"/>
  <c r="AA86" i="5"/>
  <c r="B49" i="12"/>
  <c r="AA49" i="5"/>
  <c r="AB49" i="5"/>
  <c r="X49" i="5"/>
  <c r="B36" i="12"/>
  <c r="X36" i="5"/>
  <c r="AA36" i="5"/>
  <c r="AB36" i="5"/>
  <c r="AB688" i="5"/>
  <c r="AA688" i="5"/>
  <c r="X688" i="5"/>
  <c r="B668" i="12"/>
  <c r="X668" i="5"/>
  <c r="AA668" i="5"/>
  <c r="AB668" i="5"/>
  <c r="D446" i="5"/>
  <c r="D371" i="5"/>
  <c r="D282" i="5"/>
  <c r="L35" i="8"/>
  <c r="O35" i="8" s="1"/>
  <c r="I35" i="8"/>
  <c r="R35" i="8"/>
  <c r="F35" i="8" s="1"/>
  <c r="L23" i="8"/>
  <c r="O23" i="8" s="1"/>
  <c r="I23" i="8"/>
  <c r="R23" i="8"/>
  <c r="F24" i="8" s="1"/>
  <c r="L89" i="8"/>
  <c r="N89" i="8" s="1"/>
  <c r="I89" i="8"/>
  <c r="L53" i="8"/>
  <c r="O53" i="8" s="1"/>
  <c r="I53" i="8"/>
  <c r="P53" i="8"/>
  <c r="L14" i="8"/>
  <c r="P14" i="8" s="1"/>
  <c r="I14" i="8"/>
  <c r="R17" i="8"/>
  <c r="F17" i="8" s="1"/>
  <c r="L17" i="8"/>
  <c r="O17" i="8" s="1"/>
  <c r="I17" i="8"/>
  <c r="I41" i="8"/>
  <c r="L41" i="8"/>
  <c r="I47" i="8"/>
  <c r="L47" i="8"/>
  <c r="O47" i="8" s="1"/>
  <c r="AO18" i="13"/>
  <c r="B18" i="13"/>
  <c r="AM18" i="13" s="1"/>
  <c r="AL18" i="13"/>
  <c r="AL21" i="13"/>
  <c r="B21" i="13"/>
  <c r="AJ21" i="13" s="1"/>
  <c r="AO21" i="13"/>
  <c r="D707" i="5"/>
  <c r="AW708" i="6"/>
  <c r="BT708" i="6"/>
  <c r="BA708" i="6"/>
  <c r="CE708" i="6"/>
  <c r="BS708" i="6"/>
  <c r="BE708" i="6"/>
  <c r="AM708" i="6"/>
  <c r="AK708" i="6"/>
  <c r="AO23" i="13"/>
  <c r="AL23" i="13"/>
  <c r="B23" i="13"/>
  <c r="AJ23" i="13" s="1"/>
  <c r="BX708" i="6"/>
  <c r="CC708" i="6"/>
  <c r="AO708" i="6"/>
  <c r="CG708" i="6"/>
  <c r="CM708" i="6"/>
  <c r="BG708" i="6"/>
  <c r="CH708" i="6"/>
  <c r="BV708" i="6"/>
  <c r="AR708" i="6"/>
  <c r="AQ708" i="6"/>
  <c r="BO708" i="6"/>
  <c r="CF708" i="6"/>
  <c r="BD708" i="6"/>
  <c r="BC708" i="6"/>
  <c r="CK708" i="6"/>
  <c r="AA23" i="11"/>
  <c r="AB23" i="11"/>
  <c r="N23" i="11" s="1"/>
  <c r="G23" i="11"/>
  <c r="F23" i="13" s="1"/>
  <c r="K23" i="11"/>
  <c r="J23" i="13" s="1"/>
  <c r="C23" i="13"/>
  <c r="O23" i="11"/>
  <c r="B12" i="13"/>
  <c r="AJ12" i="13" s="1"/>
  <c r="AO12" i="13"/>
  <c r="AL12" i="13"/>
  <c r="AN12" i="13"/>
  <c r="AK12" i="13"/>
  <c r="AJ22" i="13"/>
  <c r="B22" i="13"/>
  <c r="AN22" i="13" s="1"/>
  <c r="AO22" i="13"/>
  <c r="AK22" i="13"/>
  <c r="AL22" i="13"/>
  <c r="B19" i="13"/>
  <c r="AK19" i="13" s="1"/>
  <c r="AL19" i="13"/>
  <c r="AO19" i="13"/>
  <c r="AM19" i="13"/>
  <c r="D657" i="5"/>
  <c r="B647" i="12"/>
  <c r="AB647" i="5"/>
  <c r="AA647" i="5"/>
  <c r="X647" i="5"/>
  <c r="D554" i="5"/>
  <c r="D529" i="5"/>
  <c r="D513" i="5"/>
  <c r="B503" i="12"/>
  <c r="AA503" i="5"/>
  <c r="AB503" i="5"/>
  <c r="X503" i="5"/>
  <c r="D429" i="5"/>
  <c r="B369" i="12"/>
  <c r="AA369" i="5"/>
  <c r="X369" i="5"/>
  <c r="AB369" i="5"/>
  <c r="D260" i="5"/>
  <c r="D193" i="5"/>
  <c r="B173" i="12"/>
  <c r="AB173" i="5"/>
  <c r="AA173" i="5"/>
  <c r="X173" i="5"/>
  <c r="D161" i="5"/>
  <c r="B150" i="12"/>
  <c r="X150" i="5"/>
  <c r="AA150" i="5"/>
  <c r="AB150" i="5"/>
  <c r="B129" i="12"/>
  <c r="AB129" i="5"/>
  <c r="AA129" i="5"/>
  <c r="X129" i="5"/>
  <c r="D112" i="5"/>
  <c r="D102" i="5"/>
  <c r="B82" i="12"/>
  <c r="AB82" i="5"/>
  <c r="AA82" i="5"/>
  <c r="X82" i="5"/>
  <c r="D66" i="5"/>
  <c r="B31" i="12"/>
  <c r="X31" i="5"/>
  <c r="AA31" i="5"/>
  <c r="AB31" i="5"/>
  <c r="D528" i="5"/>
  <c r="D390" i="5"/>
  <c r="D301" i="5"/>
  <c r="D259" i="5"/>
  <c r="D172" i="5"/>
  <c r="D92" i="5"/>
  <c r="D28" i="5"/>
  <c r="AA706" i="5"/>
  <c r="AB706" i="5"/>
  <c r="I71" i="8"/>
  <c r="R71" i="8"/>
  <c r="F71" i="8" s="1"/>
  <c r="L71" i="8"/>
  <c r="L56" i="8"/>
  <c r="I56" i="8"/>
  <c r="I50" i="8"/>
  <c r="L50" i="8"/>
  <c r="O50" i="8" s="1"/>
  <c r="I44" i="8"/>
  <c r="L44" i="8"/>
  <c r="O44" i="8" s="1"/>
  <c r="L74" i="8"/>
  <c r="P74" i="8" s="1"/>
  <c r="I74" i="8"/>
  <c r="L65" i="8"/>
  <c r="P65" i="8" s="1"/>
  <c r="R65" i="8"/>
  <c r="F66" i="8" s="1"/>
  <c r="I65" i="8"/>
  <c r="L20" i="8"/>
  <c r="I20" i="8"/>
  <c r="P20" i="8"/>
  <c r="H709" i="6"/>
  <c r="T709" i="5" s="1"/>
  <c r="M709" i="6"/>
  <c r="F15" i="7" s="1"/>
  <c r="A15" i="10" s="1"/>
  <c r="BN709" i="6"/>
  <c r="AM709" i="6"/>
  <c r="AM15" i="6" s="1"/>
  <c r="T15" i="6" s="1"/>
  <c r="G709" i="6"/>
  <c r="BM709" i="6"/>
  <c r="CI709" i="6"/>
  <c r="BH709" i="6"/>
  <c r="BQ709" i="6"/>
  <c r="CG709" i="6"/>
  <c r="BJ709" i="6"/>
  <c r="BP709" i="6"/>
  <c r="CJ709" i="6"/>
  <c r="N709" i="6"/>
  <c r="CM709" i="6"/>
  <c r="BX709" i="6"/>
  <c r="BZ709" i="6"/>
  <c r="CK709" i="6"/>
  <c r="C21" i="13"/>
  <c r="K21" i="11"/>
  <c r="J21" i="13" s="1"/>
  <c r="AB21" i="11"/>
  <c r="N21" i="11" s="1"/>
  <c r="AA21" i="11"/>
  <c r="O21" i="11"/>
  <c r="G21" i="11"/>
  <c r="F21" i="13" s="1"/>
  <c r="D705" i="12"/>
  <c r="E705" i="6"/>
  <c r="BQ708" i="6"/>
  <c r="BK708" i="6"/>
  <c r="BI708" i="6"/>
  <c r="CB708" i="6"/>
  <c r="BZ708" i="6"/>
  <c r="BH708" i="6"/>
  <c r="AZ708" i="6"/>
  <c r="AL708" i="6"/>
  <c r="BP708" i="6"/>
  <c r="BL708" i="6"/>
  <c r="CI708" i="6"/>
  <c r="AX708" i="6"/>
  <c r="AV708" i="6"/>
  <c r="B702" i="12"/>
  <c r="AO16" i="13"/>
  <c r="AL16" i="13"/>
  <c r="B16" i="13"/>
  <c r="AK16" i="13" s="1"/>
  <c r="B15" i="13"/>
  <c r="B16" i="12"/>
  <c r="X16" i="5"/>
  <c r="AB16" i="5"/>
  <c r="AB14" i="11" s="1"/>
  <c r="AA16" i="5"/>
  <c r="AA14" i="11" s="1"/>
  <c r="B14" i="13"/>
  <c r="C17" i="13"/>
  <c r="O17" i="11"/>
  <c r="AB17" i="11"/>
  <c r="N17" i="11" s="1"/>
  <c r="K17" i="11"/>
  <c r="J17" i="13" s="1"/>
  <c r="AA17" i="11"/>
  <c r="G17" i="11"/>
  <c r="F17" i="13" s="1"/>
  <c r="K16" i="11"/>
  <c r="J16" i="13" s="1"/>
  <c r="G16" i="11"/>
  <c r="F16" i="13" s="1"/>
  <c r="O16" i="11"/>
  <c r="AB16" i="11"/>
  <c r="N16" i="11" s="1"/>
  <c r="AA16" i="11"/>
  <c r="C16" i="13"/>
  <c r="B629" i="12"/>
  <c r="AB629" i="5"/>
  <c r="AA629" i="5"/>
  <c r="X629" i="5"/>
  <c r="B592" i="12"/>
  <c r="AA592" i="5"/>
  <c r="X592" i="5"/>
  <c r="AB592" i="5"/>
  <c r="D495" i="5"/>
  <c r="B386" i="12"/>
  <c r="X386" i="5"/>
  <c r="AA386" i="5"/>
  <c r="AB386" i="5"/>
  <c r="B364" i="12"/>
  <c r="AA364" i="5"/>
  <c r="AB364" i="5"/>
  <c r="X364" i="5"/>
  <c r="B283" i="12"/>
  <c r="X283" i="5"/>
  <c r="AB283" i="5"/>
  <c r="AA283" i="5"/>
  <c r="B234" i="12"/>
  <c r="AA234" i="5"/>
  <c r="AB234" i="5"/>
  <c r="X234" i="5"/>
  <c r="B212" i="12"/>
  <c r="X212" i="5"/>
  <c r="AB212" i="5"/>
  <c r="AA212" i="5"/>
  <c r="D181" i="5"/>
  <c r="D155" i="5"/>
  <c r="B142" i="12"/>
  <c r="AB142" i="5"/>
  <c r="AA142" i="5"/>
  <c r="X142" i="5"/>
  <c r="D93" i="5"/>
  <c r="D56" i="5"/>
  <c r="B43" i="12"/>
  <c r="X43" i="5"/>
  <c r="AA43" i="5"/>
  <c r="AB43" i="5"/>
  <c r="B29" i="12"/>
  <c r="AB29" i="5"/>
  <c r="X29" i="5"/>
  <c r="AA29" i="5"/>
  <c r="D703" i="5"/>
  <c r="D672" i="5"/>
  <c r="B628" i="12"/>
  <c r="AA628" i="5"/>
  <c r="AB628" i="5"/>
  <c r="X628" i="5"/>
  <c r="B482" i="12"/>
  <c r="AB482" i="5"/>
  <c r="AA482" i="5"/>
  <c r="X482" i="5"/>
  <c r="R62" i="8" s="1"/>
  <c r="B238" i="12"/>
  <c r="AA238" i="5"/>
  <c r="X238" i="5"/>
  <c r="R38" i="8" s="1"/>
  <c r="AB238" i="5"/>
  <c r="C706" i="12"/>
  <c r="O706" i="12"/>
  <c r="AO706" i="12"/>
  <c r="M706" i="12"/>
  <c r="L1" i="8"/>
  <c r="I1" i="8"/>
  <c r="N1" i="8"/>
  <c r="H1" i="8"/>
  <c r="M1" i="8"/>
  <c r="R1" i="8"/>
  <c r="P1" i="8"/>
  <c r="O1" i="8"/>
  <c r="L83" i="8"/>
  <c r="P83" i="8" s="1"/>
  <c r="I83" i="8"/>
  <c r="R83" i="8"/>
  <c r="F83" i="8"/>
  <c r="O83" i="8"/>
  <c r="I92" i="8"/>
  <c r="L92" i="8"/>
  <c r="O92" i="8" s="1"/>
  <c r="O80" i="8"/>
  <c r="L80" i="8"/>
  <c r="N80" i="8" s="1"/>
  <c r="I80" i="8"/>
  <c r="P80" i="8"/>
  <c r="I68" i="8"/>
  <c r="L68" i="8"/>
  <c r="P68" i="8" s="1"/>
  <c r="L62" i="8"/>
  <c r="N62" i="8" s="1"/>
  <c r="I62" i="8"/>
  <c r="R86" i="8"/>
  <c r="F86" i="8" s="1"/>
  <c r="L86" i="8"/>
  <c r="O86" i="8" s="1"/>
  <c r="P86" i="8"/>
  <c r="I86" i="8"/>
  <c r="AN21" i="13" l="1"/>
  <c r="P47" i="8"/>
  <c r="F65" i="8"/>
  <c r="N74" i="8"/>
  <c r="N23" i="8"/>
  <c r="AN16" i="13"/>
  <c r="AR709" i="6"/>
  <c r="AR15" i="6" s="1"/>
  <c r="Y15" i="6" s="1"/>
  <c r="AN709" i="6"/>
  <c r="AN15" i="6" s="1"/>
  <c r="U15" i="6" s="1"/>
  <c r="Y706" i="12"/>
  <c r="AJ16" i="13"/>
  <c r="BE709" i="6"/>
  <c r="BF709" i="6"/>
  <c r="BK709" i="6"/>
  <c r="AQ709" i="6"/>
  <c r="AQ15" i="6" s="1"/>
  <c r="X15" i="6" s="1"/>
  <c r="BR709" i="6"/>
  <c r="BT709" i="6"/>
  <c r="AK709" i="6"/>
  <c r="AK15" i="6" s="1"/>
  <c r="R15" i="6" s="1"/>
  <c r="AY709" i="6"/>
  <c r="AY15" i="6" s="1"/>
  <c r="AF15" i="6" s="1"/>
  <c r="BO709" i="6"/>
  <c r="AN19" i="13"/>
  <c r="F18" i="8"/>
  <c r="P23" i="8"/>
  <c r="AB391" i="5"/>
  <c r="P95" i="8"/>
  <c r="AB243" i="5"/>
  <c r="N20" i="8"/>
  <c r="P35" i="8"/>
  <c r="N29" i="8"/>
  <c r="AA243" i="5"/>
  <c r="M86" i="8"/>
  <c r="CE709" i="6"/>
  <c r="CA709" i="6"/>
  <c r="AO709" i="6"/>
  <c r="AO15" i="6" s="1"/>
  <c r="V15" i="6" s="1"/>
  <c r="BI709" i="6"/>
  <c r="BS709" i="6"/>
  <c r="CL709" i="6"/>
  <c r="CF709" i="6"/>
  <c r="AM22" i="13"/>
  <c r="AK23" i="13"/>
  <c r="AK21" i="13"/>
  <c r="AM21" i="13"/>
  <c r="AJ18" i="13"/>
  <c r="F23" i="8"/>
  <c r="O62" i="8"/>
  <c r="M68" i="8"/>
  <c r="N92" i="8"/>
  <c r="M83" i="8"/>
  <c r="N68" i="8"/>
  <c r="P92" i="8"/>
  <c r="M53" i="8"/>
  <c r="AJ19" i="13"/>
  <c r="F41" i="8"/>
  <c r="O89" i="8"/>
  <c r="F36" i="8"/>
  <c r="O29" i="8"/>
  <c r="N65" i="8"/>
  <c r="P44" i="8"/>
  <c r="M71" i="8"/>
  <c r="P89" i="8"/>
  <c r="P77" i="8"/>
  <c r="O95" i="8"/>
  <c r="P32" i="8"/>
  <c r="M47" i="8"/>
  <c r="M23" i="8"/>
  <c r="O74" i="8"/>
  <c r="N44" i="8"/>
  <c r="N50" i="8"/>
  <c r="N56" i="8"/>
  <c r="M17" i="8"/>
  <c r="AM20" i="13"/>
  <c r="N26" i="8"/>
  <c r="N95" i="8"/>
  <c r="G38" i="8"/>
  <c r="I39" i="8" s="1"/>
  <c r="G39" i="8"/>
  <c r="F39" i="8"/>
  <c r="F38" i="8"/>
  <c r="G30" i="8"/>
  <c r="G29" i="8"/>
  <c r="I30" i="8" s="1"/>
  <c r="F29" i="8"/>
  <c r="F30" i="8"/>
  <c r="I628" i="12"/>
  <c r="AM628" i="5"/>
  <c r="L628" i="5"/>
  <c r="Z628" i="5"/>
  <c r="AC628" i="5"/>
  <c r="L43" i="5"/>
  <c r="AM43" i="5"/>
  <c r="I43" i="12"/>
  <c r="Z43" i="5"/>
  <c r="AC43" i="5"/>
  <c r="L212" i="5"/>
  <c r="AM212" i="5"/>
  <c r="I212" i="12"/>
  <c r="Z212" i="5"/>
  <c r="AC212" i="5"/>
  <c r="AO16" i="12"/>
  <c r="M16" i="12"/>
  <c r="AL14" i="13" s="1"/>
  <c r="M14" i="13" s="1"/>
  <c r="O16" i="12"/>
  <c r="G84" i="8"/>
  <c r="G83" i="8"/>
  <c r="I84" i="8" s="1"/>
  <c r="G2" i="8"/>
  <c r="G1" i="8"/>
  <c r="I2" i="8" s="1"/>
  <c r="W706" i="12"/>
  <c r="X706" i="12"/>
  <c r="B703" i="12"/>
  <c r="AB703" i="5"/>
  <c r="AA703" i="5"/>
  <c r="X703" i="5"/>
  <c r="O29" i="12"/>
  <c r="N29" i="12" s="1"/>
  <c r="AO29" i="12"/>
  <c r="M29" i="12"/>
  <c r="O43" i="12"/>
  <c r="AO43" i="12"/>
  <c r="M43" i="12"/>
  <c r="B181" i="12"/>
  <c r="X181" i="5"/>
  <c r="AB181" i="5"/>
  <c r="AA181" i="5"/>
  <c r="O212" i="12"/>
  <c r="M212" i="12"/>
  <c r="AO212" i="12"/>
  <c r="Y212" i="12" s="1"/>
  <c r="M234" i="12"/>
  <c r="O234" i="12"/>
  <c r="AO234" i="12"/>
  <c r="Y234" i="12" s="1"/>
  <c r="AO283" i="12"/>
  <c r="Y283" i="12" s="1"/>
  <c r="M283" i="12"/>
  <c r="O283" i="12"/>
  <c r="M364" i="12"/>
  <c r="AO364" i="12"/>
  <c r="O364" i="12"/>
  <c r="O386" i="12"/>
  <c r="AO386" i="12"/>
  <c r="Y386" i="12" s="1"/>
  <c r="M386" i="12"/>
  <c r="C17" i="11"/>
  <c r="Z17" i="11"/>
  <c r="L17" i="13"/>
  <c r="F87" i="8"/>
  <c r="R82" i="8"/>
  <c r="M92" i="8"/>
  <c r="N83" i="8"/>
  <c r="F1" i="8"/>
  <c r="F2" i="8"/>
  <c r="N706" i="12"/>
  <c r="B56" i="12"/>
  <c r="AB56" i="5"/>
  <c r="X56" i="5"/>
  <c r="AA56" i="5"/>
  <c r="L234" i="5"/>
  <c r="I234" i="12"/>
  <c r="AM234" i="5"/>
  <c r="Z234" i="5"/>
  <c r="AC234" i="5"/>
  <c r="AM364" i="5"/>
  <c r="L364" i="5"/>
  <c r="I364" i="12"/>
  <c r="Z364" i="5"/>
  <c r="AC364" i="5"/>
  <c r="B495" i="12"/>
  <c r="X495" i="5"/>
  <c r="AB495" i="5"/>
  <c r="AA495" i="5"/>
  <c r="M592" i="12"/>
  <c r="O592" i="12"/>
  <c r="AO592" i="12"/>
  <c r="M629" i="12"/>
  <c r="O629" i="12"/>
  <c r="AO629" i="12"/>
  <c r="C16" i="11"/>
  <c r="Z16" i="11"/>
  <c r="L16" i="13"/>
  <c r="K17" i="13"/>
  <c r="O17" i="13"/>
  <c r="S17" i="13"/>
  <c r="U17" i="13"/>
  <c r="M17" i="13"/>
  <c r="T17" i="13"/>
  <c r="R17" i="13"/>
  <c r="D15" i="5"/>
  <c r="BA709" i="6"/>
  <c r="BA15" i="6" s="1"/>
  <c r="AH15" i="6" s="1"/>
  <c r="AU709" i="6"/>
  <c r="AU15" i="6" s="1"/>
  <c r="AB15" i="6" s="1"/>
  <c r="AZ709" i="6"/>
  <c r="AZ15" i="6" s="1"/>
  <c r="AG15" i="6" s="1"/>
  <c r="AP709" i="6"/>
  <c r="AP15" i="6" s="1"/>
  <c r="W15" i="6" s="1"/>
  <c r="BY709" i="6"/>
  <c r="AX709" i="6"/>
  <c r="AX15" i="6" s="1"/>
  <c r="AE15" i="6" s="1"/>
  <c r="CD709" i="6"/>
  <c r="BG709" i="6"/>
  <c r="BV709" i="6"/>
  <c r="CB709" i="6"/>
  <c r="BW709" i="6"/>
  <c r="AL709" i="6"/>
  <c r="AL15" i="6" s="1"/>
  <c r="S15" i="6" s="1"/>
  <c r="BD709" i="6"/>
  <c r="O20" i="8"/>
  <c r="G65" i="8"/>
  <c r="I66" i="8" s="1"/>
  <c r="G66" i="8"/>
  <c r="R74" i="8"/>
  <c r="P50" i="8"/>
  <c r="P56" i="8"/>
  <c r="F72" i="8"/>
  <c r="P71" i="8"/>
  <c r="B28" i="12"/>
  <c r="AB28" i="5"/>
  <c r="AA28" i="5"/>
  <c r="X28" i="5"/>
  <c r="B301" i="12"/>
  <c r="AA301" i="5"/>
  <c r="AB301" i="5"/>
  <c r="X301" i="5"/>
  <c r="AM82" i="5"/>
  <c r="I82" i="12"/>
  <c r="L82" i="5"/>
  <c r="Z82" i="5"/>
  <c r="AC82" i="5"/>
  <c r="B102" i="12"/>
  <c r="X102" i="5"/>
  <c r="AB102" i="5"/>
  <c r="AA102" i="5"/>
  <c r="L150" i="5"/>
  <c r="I150" i="12"/>
  <c r="AM150" i="5"/>
  <c r="Z150" i="5"/>
  <c r="AC150" i="5"/>
  <c r="B260" i="12"/>
  <c r="AB260" i="5"/>
  <c r="X260" i="5"/>
  <c r="AA260" i="5"/>
  <c r="O369" i="12"/>
  <c r="N369" i="12" s="1"/>
  <c r="M369" i="12"/>
  <c r="AO369" i="12"/>
  <c r="B554" i="12"/>
  <c r="AB554" i="5"/>
  <c r="X554" i="5"/>
  <c r="AA554" i="5"/>
  <c r="O647" i="12"/>
  <c r="AO647" i="12"/>
  <c r="Y647" i="12" s="1"/>
  <c r="M647" i="12"/>
  <c r="AM12" i="13"/>
  <c r="T23" i="13"/>
  <c r="S23" i="13"/>
  <c r="M23" i="13"/>
  <c r="U23" i="13"/>
  <c r="K23" i="13"/>
  <c r="R23" i="13"/>
  <c r="O23" i="13"/>
  <c r="AM23" i="13"/>
  <c r="AN23" i="13"/>
  <c r="B707" i="12"/>
  <c r="AN18" i="13"/>
  <c r="R49" i="8"/>
  <c r="O41" i="8"/>
  <c r="P41" i="8"/>
  <c r="P17" i="8"/>
  <c r="O14" i="8"/>
  <c r="R55" i="8"/>
  <c r="R91" i="8"/>
  <c r="M89" i="8"/>
  <c r="Q89" i="8" s="1"/>
  <c r="Q23" i="8"/>
  <c r="R25" i="8"/>
  <c r="N35" i="8"/>
  <c r="M35" i="8"/>
  <c r="B371" i="12"/>
  <c r="AB371" i="5"/>
  <c r="AA371" i="5"/>
  <c r="X371" i="5"/>
  <c r="L668" i="5"/>
  <c r="AM668" i="5"/>
  <c r="I668" i="12"/>
  <c r="Z668" i="5"/>
  <c r="AC668" i="5"/>
  <c r="L36" i="5"/>
  <c r="I36" i="12"/>
  <c r="AM36" i="5"/>
  <c r="Z36" i="5"/>
  <c r="AC36" i="5"/>
  <c r="L86" i="5"/>
  <c r="AM86" i="5"/>
  <c r="I86" i="12"/>
  <c r="Z86" i="5"/>
  <c r="AC86" i="5"/>
  <c r="L153" i="5"/>
  <c r="AM153" i="5"/>
  <c r="I153" i="12"/>
  <c r="Z153" i="5"/>
  <c r="AC153" i="5"/>
  <c r="B220" i="12"/>
  <c r="AB220" i="5"/>
  <c r="AA220" i="5"/>
  <c r="X220" i="5"/>
  <c r="AO244" i="12"/>
  <c r="M244" i="12"/>
  <c r="O244" i="12"/>
  <c r="AM391" i="5"/>
  <c r="I391" i="12"/>
  <c r="L391" i="5"/>
  <c r="Z391" i="5"/>
  <c r="AC391" i="5"/>
  <c r="B600" i="12"/>
  <c r="AB600" i="5"/>
  <c r="X600" i="5"/>
  <c r="AA600" i="5"/>
  <c r="AO634" i="12"/>
  <c r="M634" i="12"/>
  <c r="O634" i="12"/>
  <c r="M22" i="13"/>
  <c r="K22" i="13"/>
  <c r="R22" i="13"/>
  <c r="T22" i="13"/>
  <c r="U22" i="13"/>
  <c r="S22" i="13"/>
  <c r="O22" i="13"/>
  <c r="U18" i="13"/>
  <c r="O18" i="13"/>
  <c r="R18" i="13"/>
  <c r="M18" i="13"/>
  <c r="T18" i="13"/>
  <c r="S18" i="13"/>
  <c r="K18" i="13"/>
  <c r="K15" i="13"/>
  <c r="R40" i="8"/>
  <c r="P26" i="8"/>
  <c r="R77" i="8"/>
  <c r="R97" i="8"/>
  <c r="Q95" i="8"/>
  <c r="AO17" i="12"/>
  <c r="M17" i="12"/>
  <c r="O17" i="12"/>
  <c r="O48" i="12"/>
  <c r="AO48" i="12"/>
  <c r="M48" i="12"/>
  <c r="O152" i="12"/>
  <c r="M152" i="12"/>
  <c r="AO152" i="12"/>
  <c r="AO219" i="12"/>
  <c r="O219" i="12"/>
  <c r="M219" i="12"/>
  <c r="O243" i="12"/>
  <c r="M243" i="12"/>
  <c r="AO243" i="12"/>
  <c r="AO491" i="12"/>
  <c r="O491" i="12"/>
  <c r="M491" i="12"/>
  <c r="AO618" i="12"/>
  <c r="O618" i="12"/>
  <c r="M618" i="12"/>
  <c r="O699" i="12"/>
  <c r="AO699" i="12"/>
  <c r="M699" i="12"/>
  <c r="L137" i="5"/>
  <c r="I137" i="12"/>
  <c r="AM137" i="5"/>
  <c r="Z137" i="5"/>
  <c r="AC137" i="5"/>
  <c r="L210" i="5"/>
  <c r="I210" i="12"/>
  <c r="AM210" i="5"/>
  <c r="Z210" i="5"/>
  <c r="AC210" i="5"/>
  <c r="AM256" i="5"/>
  <c r="I256" i="12"/>
  <c r="L256" i="5"/>
  <c r="Z256" i="5"/>
  <c r="AC256" i="5"/>
  <c r="L302" i="5"/>
  <c r="AM302" i="5"/>
  <c r="I302" i="12"/>
  <c r="Z302" i="5"/>
  <c r="AC302" i="5"/>
  <c r="I360" i="12"/>
  <c r="AM360" i="5"/>
  <c r="L360" i="5"/>
  <c r="Z360" i="5"/>
  <c r="AC360" i="5"/>
  <c r="AM426" i="5"/>
  <c r="I426" i="12"/>
  <c r="L426" i="5"/>
  <c r="Z426" i="5"/>
  <c r="AC426" i="5"/>
  <c r="AM650" i="5"/>
  <c r="L650" i="5"/>
  <c r="I650" i="12"/>
  <c r="Z650" i="5"/>
  <c r="AC650" i="5"/>
  <c r="AN17" i="13"/>
  <c r="G62" i="8"/>
  <c r="I63" i="8" s="1"/>
  <c r="G63" i="8"/>
  <c r="F63" i="8"/>
  <c r="B672" i="12"/>
  <c r="AA672" i="5"/>
  <c r="X672" i="5"/>
  <c r="AB672" i="5"/>
  <c r="L142" i="5"/>
  <c r="AM142" i="5"/>
  <c r="I142" i="12"/>
  <c r="Z142" i="5"/>
  <c r="AC142" i="5"/>
  <c r="L283" i="5"/>
  <c r="AM283" i="5"/>
  <c r="I283" i="12"/>
  <c r="Z283" i="5"/>
  <c r="AC283" i="5"/>
  <c r="AM386" i="5"/>
  <c r="I386" i="12"/>
  <c r="L386" i="5"/>
  <c r="Z386" i="5"/>
  <c r="AC386" i="5"/>
  <c r="R88" i="8"/>
  <c r="Q86" i="8"/>
  <c r="M62" i="8"/>
  <c r="Q62" i="8" s="1"/>
  <c r="R64" i="8"/>
  <c r="Q83" i="8"/>
  <c r="R85" i="8"/>
  <c r="L238" i="5"/>
  <c r="AM238" i="5"/>
  <c r="I238" i="12"/>
  <c r="Z238" i="5"/>
  <c r="AC238" i="5"/>
  <c r="N86" i="8"/>
  <c r="G86" i="8"/>
  <c r="I87" i="8" s="1"/>
  <c r="G87" i="8"/>
  <c r="F62" i="8"/>
  <c r="P62" i="8"/>
  <c r="Q68" i="8"/>
  <c r="R70" i="8"/>
  <c r="O68" i="8"/>
  <c r="M80" i="8"/>
  <c r="Q80" i="8" s="1"/>
  <c r="R94" i="8"/>
  <c r="Q92" i="8"/>
  <c r="F84" i="8"/>
  <c r="Q1" i="8"/>
  <c r="R3" i="8"/>
  <c r="M238" i="12"/>
  <c r="AO238" i="12"/>
  <c r="O238" i="12"/>
  <c r="O482" i="12"/>
  <c r="M482" i="12"/>
  <c r="AO482" i="12"/>
  <c r="AO628" i="12"/>
  <c r="M628" i="12"/>
  <c r="O628" i="12"/>
  <c r="AM29" i="5"/>
  <c r="I29" i="12"/>
  <c r="L29" i="5"/>
  <c r="Z29" i="5"/>
  <c r="AC29" i="5"/>
  <c r="B93" i="12"/>
  <c r="AB93" i="5"/>
  <c r="AA93" i="5"/>
  <c r="X93" i="5"/>
  <c r="M142" i="12"/>
  <c r="AO142" i="12"/>
  <c r="O142" i="12"/>
  <c r="N142" i="12" s="1"/>
  <c r="L629" i="5"/>
  <c r="AM629" i="5"/>
  <c r="I629" i="12"/>
  <c r="Z629" i="5"/>
  <c r="AC629" i="5"/>
  <c r="T16" i="13"/>
  <c r="R16" i="13"/>
  <c r="M16" i="13"/>
  <c r="U16" i="13"/>
  <c r="K16" i="13"/>
  <c r="S16" i="13"/>
  <c r="O16" i="13"/>
  <c r="L16" i="5"/>
  <c r="AC16" i="5"/>
  <c r="O14" i="11"/>
  <c r="Z16" i="5"/>
  <c r="AM16" i="5"/>
  <c r="I16" i="12"/>
  <c r="AM16" i="13"/>
  <c r="L21" i="13"/>
  <c r="C21" i="11"/>
  <c r="Z21" i="11"/>
  <c r="U21" i="13"/>
  <c r="O21" i="13"/>
  <c r="K21" i="13"/>
  <c r="S21" i="13"/>
  <c r="M21" i="13"/>
  <c r="R21" i="13"/>
  <c r="T21" i="13"/>
  <c r="AS709" i="6"/>
  <c r="AS15" i="6" s="1"/>
  <c r="Z15" i="6" s="1"/>
  <c r="AV709" i="6"/>
  <c r="AV15" i="6" s="1"/>
  <c r="AC15" i="6" s="1"/>
  <c r="AW709" i="6"/>
  <c r="AW15" i="6" s="1"/>
  <c r="AD15" i="6" s="1"/>
  <c r="AT709" i="6"/>
  <c r="AT15" i="6" s="1"/>
  <c r="AA15" i="6" s="1"/>
  <c r="BL709" i="6"/>
  <c r="BC709" i="6"/>
  <c r="CH709" i="6"/>
  <c r="CC709" i="6"/>
  <c r="R22" i="8"/>
  <c r="M65" i="8"/>
  <c r="Q65" i="8" s="1"/>
  <c r="R52" i="8"/>
  <c r="O56" i="8"/>
  <c r="N71" i="8"/>
  <c r="G72" i="8"/>
  <c r="G71" i="8"/>
  <c r="I72" i="8" s="1"/>
  <c r="B92" i="12"/>
  <c r="AB92" i="5"/>
  <c r="AA92" i="5"/>
  <c r="X92" i="5"/>
  <c r="B390" i="12"/>
  <c r="AB390" i="5"/>
  <c r="AA390" i="5"/>
  <c r="X390" i="5"/>
  <c r="AM31" i="5"/>
  <c r="L31" i="5"/>
  <c r="I31" i="12"/>
  <c r="Z31" i="5"/>
  <c r="AC31" i="5"/>
  <c r="B112" i="12"/>
  <c r="X112" i="5"/>
  <c r="AB112" i="5"/>
  <c r="AA112" i="5"/>
  <c r="M129" i="12"/>
  <c r="AO129" i="12"/>
  <c r="O129" i="12"/>
  <c r="N129" i="12" s="1"/>
  <c r="AO150" i="12"/>
  <c r="O150" i="12"/>
  <c r="M150" i="12"/>
  <c r="B429" i="12"/>
  <c r="AB429" i="5"/>
  <c r="X429" i="5"/>
  <c r="AA429" i="5"/>
  <c r="O503" i="12"/>
  <c r="AO503" i="12"/>
  <c r="M503" i="12"/>
  <c r="L647" i="5"/>
  <c r="I647" i="12"/>
  <c r="AM647" i="5"/>
  <c r="Z647" i="5"/>
  <c r="AC647" i="5"/>
  <c r="B657" i="12"/>
  <c r="AA657" i="5"/>
  <c r="AB657" i="5"/>
  <c r="X657" i="5"/>
  <c r="AK18" i="13"/>
  <c r="N47" i="8"/>
  <c r="Q47" i="8" s="1"/>
  <c r="G17" i="8"/>
  <c r="I18" i="8" s="1"/>
  <c r="G18" i="8"/>
  <c r="G24" i="8"/>
  <c r="G23" i="8"/>
  <c r="I24" i="8" s="1"/>
  <c r="B446" i="12"/>
  <c r="X446" i="5"/>
  <c r="AB446" i="5"/>
  <c r="AA446" i="5"/>
  <c r="M668" i="12"/>
  <c r="O668" i="12"/>
  <c r="AO668" i="12"/>
  <c r="AO688" i="12"/>
  <c r="M688" i="12"/>
  <c r="O688" i="12"/>
  <c r="AO36" i="12"/>
  <c r="Y36" i="12" s="1"/>
  <c r="O36" i="12"/>
  <c r="M36" i="12"/>
  <c r="AO49" i="12"/>
  <c r="O49" i="12"/>
  <c r="N49" i="12" s="1"/>
  <c r="M49" i="12"/>
  <c r="O86" i="12"/>
  <c r="M86" i="12"/>
  <c r="AO86" i="12"/>
  <c r="Y86" i="12" s="1"/>
  <c r="B269" i="12"/>
  <c r="X269" i="5"/>
  <c r="AB269" i="5"/>
  <c r="AA269" i="5"/>
  <c r="M298" i="12"/>
  <c r="O298" i="12"/>
  <c r="AO298" i="12"/>
  <c r="AO351" i="12"/>
  <c r="Y351" i="12" s="1"/>
  <c r="M351" i="12"/>
  <c r="O351" i="12"/>
  <c r="AO391" i="12"/>
  <c r="Y391" i="12" s="1"/>
  <c r="M391" i="12"/>
  <c r="O391" i="12"/>
  <c r="M492" i="12"/>
  <c r="O492" i="12"/>
  <c r="AO492" i="12"/>
  <c r="AJ20" i="13"/>
  <c r="L22" i="13"/>
  <c r="C22" i="11"/>
  <c r="Z22" i="11"/>
  <c r="L18" i="13"/>
  <c r="Z18" i="11"/>
  <c r="C18" i="11"/>
  <c r="Z19" i="11"/>
  <c r="C19" i="11"/>
  <c r="L19" i="13"/>
  <c r="M38" i="8"/>
  <c r="M26" i="8"/>
  <c r="Q26" i="8" s="1"/>
  <c r="R61" i="8"/>
  <c r="P59" i="8"/>
  <c r="P29" i="8"/>
  <c r="R79" i="8"/>
  <c r="N77" i="8"/>
  <c r="L17" i="5"/>
  <c r="I17" i="12"/>
  <c r="AM17" i="5"/>
  <c r="Z17" i="5"/>
  <c r="AC17" i="5"/>
  <c r="AM243" i="5"/>
  <c r="I243" i="12"/>
  <c r="L243" i="5"/>
  <c r="Z243" i="5"/>
  <c r="AC243" i="5"/>
  <c r="AM491" i="5"/>
  <c r="L491" i="5"/>
  <c r="I491" i="12"/>
  <c r="Z491" i="5"/>
  <c r="AC491" i="5"/>
  <c r="L618" i="5"/>
  <c r="I618" i="12"/>
  <c r="AM618" i="5"/>
  <c r="Z618" i="5"/>
  <c r="AC618" i="5"/>
  <c r="I40" i="12"/>
  <c r="L40" i="5"/>
  <c r="AM40" i="5"/>
  <c r="Z40" i="5"/>
  <c r="AC40" i="5"/>
  <c r="AM73" i="5"/>
  <c r="I73" i="12"/>
  <c r="L73" i="5"/>
  <c r="Z73" i="5"/>
  <c r="AC73" i="5"/>
  <c r="L107" i="5"/>
  <c r="I107" i="12"/>
  <c r="AM107" i="5"/>
  <c r="Z107" i="5"/>
  <c r="AC107" i="5"/>
  <c r="AM372" i="5"/>
  <c r="L372" i="5"/>
  <c r="I372" i="12"/>
  <c r="Z372" i="5"/>
  <c r="AC372" i="5"/>
  <c r="I523" i="12"/>
  <c r="L523" i="5"/>
  <c r="AM523" i="5"/>
  <c r="Z523" i="5"/>
  <c r="AC523" i="5"/>
  <c r="AM636" i="5"/>
  <c r="L636" i="5"/>
  <c r="I636" i="12"/>
  <c r="Z636" i="5"/>
  <c r="AC636" i="5"/>
  <c r="AK17" i="13"/>
  <c r="AM482" i="5"/>
  <c r="L482" i="5"/>
  <c r="I482" i="12"/>
  <c r="Z482" i="5"/>
  <c r="AC482" i="5"/>
  <c r="B155" i="12"/>
  <c r="AA155" i="5"/>
  <c r="AB155" i="5"/>
  <c r="X155" i="5"/>
  <c r="L592" i="5"/>
  <c r="I592" i="12"/>
  <c r="AM592" i="5"/>
  <c r="Z592" i="5"/>
  <c r="AC592" i="5"/>
  <c r="O65" i="8"/>
  <c r="R76" i="8"/>
  <c r="R46" i="8"/>
  <c r="M44" i="8"/>
  <c r="Q44" i="8" s="1"/>
  <c r="M50" i="8"/>
  <c r="Q50" i="8" s="1"/>
  <c r="R58" i="8"/>
  <c r="R73" i="8"/>
  <c r="Q71" i="8"/>
  <c r="O71" i="8"/>
  <c r="B172" i="12"/>
  <c r="X172" i="5"/>
  <c r="AA172" i="5"/>
  <c r="AB172" i="5"/>
  <c r="B528" i="12"/>
  <c r="X528" i="5"/>
  <c r="AB528" i="5"/>
  <c r="AA528" i="5"/>
  <c r="O31" i="12"/>
  <c r="M31" i="12"/>
  <c r="AO31" i="12"/>
  <c r="AM129" i="5"/>
  <c r="I129" i="12"/>
  <c r="L129" i="5"/>
  <c r="Z129" i="5"/>
  <c r="AC129" i="5"/>
  <c r="B161" i="12"/>
  <c r="AB161" i="5"/>
  <c r="X161" i="5"/>
  <c r="AA161" i="5"/>
  <c r="AO173" i="12"/>
  <c r="O173" i="12"/>
  <c r="M173" i="12"/>
  <c r="I369" i="12"/>
  <c r="L369" i="5"/>
  <c r="AM369" i="5"/>
  <c r="Z369" i="5"/>
  <c r="AC369" i="5"/>
  <c r="I503" i="12"/>
  <c r="L503" i="5"/>
  <c r="AM503" i="5"/>
  <c r="Z503" i="5"/>
  <c r="AC503" i="5"/>
  <c r="B513" i="12"/>
  <c r="X513" i="5"/>
  <c r="AB513" i="5"/>
  <c r="AA513" i="5"/>
  <c r="G42" i="8"/>
  <c r="G41" i="8"/>
  <c r="I42" i="8" s="1"/>
  <c r="N41" i="8"/>
  <c r="N17" i="8"/>
  <c r="Q17" i="8" s="1"/>
  <c r="R16" i="8"/>
  <c r="R14" i="8"/>
  <c r="N14" i="8"/>
  <c r="G36" i="8"/>
  <c r="G35" i="8"/>
  <c r="I36" i="8" s="1"/>
  <c r="R37" i="8"/>
  <c r="Q35" i="8"/>
  <c r="L688" i="5"/>
  <c r="I688" i="12"/>
  <c r="AM688" i="5"/>
  <c r="Z688" i="5"/>
  <c r="AC688" i="5"/>
  <c r="I49" i="12"/>
  <c r="L49" i="5"/>
  <c r="AM49" i="5"/>
  <c r="Z49" i="5"/>
  <c r="AC49" i="5"/>
  <c r="B122" i="12"/>
  <c r="X122" i="5"/>
  <c r="AA122" i="5"/>
  <c r="AB122" i="5"/>
  <c r="AM177" i="5"/>
  <c r="I177" i="12"/>
  <c r="L177" i="5"/>
  <c r="Z177" i="5"/>
  <c r="AC177" i="5"/>
  <c r="L244" i="5"/>
  <c r="AM244" i="5"/>
  <c r="I244" i="12"/>
  <c r="Z244" i="5"/>
  <c r="AC244" i="5"/>
  <c r="L492" i="5"/>
  <c r="I492" i="12"/>
  <c r="AM492" i="5"/>
  <c r="Z492" i="5"/>
  <c r="AC492" i="5"/>
  <c r="B535" i="12"/>
  <c r="AB535" i="5"/>
  <c r="AA535" i="5"/>
  <c r="X535" i="5"/>
  <c r="I634" i="12"/>
  <c r="AM634" i="5"/>
  <c r="L634" i="5"/>
  <c r="Z634" i="5"/>
  <c r="AC634" i="5"/>
  <c r="AK20" i="13"/>
  <c r="U19" i="13"/>
  <c r="S19" i="13"/>
  <c r="R19" i="13"/>
  <c r="T19" i="13"/>
  <c r="O19" i="13"/>
  <c r="M19" i="13"/>
  <c r="K19" i="13"/>
  <c r="I708" i="12"/>
  <c r="AM708" i="5"/>
  <c r="L708" i="5"/>
  <c r="I708" i="5"/>
  <c r="Z708" i="5"/>
  <c r="AC708" i="5"/>
  <c r="O38" i="8"/>
  <c r="N59" i="8"/>
  <c r="O59" i="8"/>
  <c r="M77" i="8"/>
  <c r="Q77" i="8" s="1"/>
  <c r="M32" i="8"/>
  <c r="AM48" i="5"/>
  <c r="L48" i="5"/>
  <c r="I48" i="12"/>
  <c r="Z48" i="5"/>
  <c r="AC48" i="5"/>
  <c r="T705" i="12"/>
  <c r="V705" i="12"/>
  <c r="U705" i="12"/>
  <c r="AO40" i="12"/>
  <c r="M40" i="12"/>
  <c r="O40" i="12"/>
  <c r="N40" i="12" s="1"/>
  <c r="O73" i="12"/>
  <c r="N73" i="12" s="1"/>
  <c r="M73" i="12"/>
  <c r="AO73" i="12"/>
  <c r="AO107" i="12"/>
  <c r="Y107" i="12" s="1"/>
  <c r="M107" i="12"/>
  <c r="O107" i="12"/>
  <c r="M137" i="12"/>
  <c r="O137" i="12"/>
  <c r="N137" i="12" s="1"/>
  <c r="AO137" i="12"/>
  <c r="Y137" i="12" s="1"/>
  <c r="M167" i="12"/>
  <c r="O167" i="12"/>
  <c r="AO167" i="12"/>
  <c r="Y167" i="12" s="1"/>
  <c r="AO210" i="12"/>
  <c r="Y210" i="12" s="1"/>
  <c r="O210" i="12"/>
  <c r="M210" i="12"/>
  <c r="O256" i="12"/>
  <c r="M256" i="12"/>
  <c r="AO256" i="12"/>
  <c r="O302" i="12"/>
  <c r="M302" i="12"/>
  <c r="AO302" i="12"/>
  <c r="Y302" i="12" s="1"/>
  <c r="AO360" i="12"/>
  <c r="M360" i="12"/>
  <c r="O360" i="12"/>
  <c r="N360" i="12" s="1"/>
  <c r="AO372" i="12"/>
  <c r="Y372" i="12" s="1"/>
  <c r="M372" i="12"/>
  <c r="O372" i="12"/>
  <c r="O426" i="12"/>
  <c r="M426" i="12"/>
  <c r="AO426" i="12"/>
  <c r="O507" i="12"/>
  <c r="M507" i="12"/>
  <c r="AO507" i="12"/>
  <c r="Y507" i="12" s="1"/>
  <c r="M523" i="12"/>
  <c r="O523" i="12"/>
  <c r="AO523" i="12"/>
  <c r="Y523" i="12" s="1"/>
  <c r="AO636" i="12"/>
  <c r="Y636" i="12" s="1"/>
  <c r="M636" i="12"/>
  <c r="O636" i="12"/>
  <c r="AO650" i="12"/>
  <c r="Y650" i="12" s="1"/>
  <c r="M650" i="12"/>
  <c r="O650" i="12"/>
  <c r="T20" i="13"/>
  <c r="O20" i="13"/>
  <c r="U20" i="13"/>
  <c r="R20" i="13"/>
  <c r="S20" i="13"/>
  <c r="M20" i="13"/>
  <c r="K20" i="13"/>
  <c r="N14" i="11"/>
  <c r="G709" i="12"/>
  <c r="X709" i="5"/>
  <c r="M20" i="8"/>
  <c r="Q20" i="8" s="1"/>
  <c r="R67" i="8"/>
  <c r="M74" i="8"/>
  <c r="Q74" i="8" s="1"/>
  <c r="M56" i="8"/>
  <c r="Q56" i="8" s="1"/>
  <c r="B259" i="12"/>
  <c r="AB259" i="5"/>
  <c r="X259" i="5"/>
  <c r="AA259" i="5"/>
  <c r="B66" i="12"/>
  <c r="AA66" i="5"/>
  <c r="X66" i="5"/>
  <c r="AB66" i="5"/>
  <c r="O82" i="12"/>
  <c r="AO82" i="12"/>
  <c r="Y82" i="12" s="1"/>
  <c r="M82" i="12"/>
  <c r="I173" i="12"/>
  <c r="AM173" i="5"/>
  <c r="L173" i="5"/>
  <c r="Z173" i="5"/>
  <c r="AC173" i="5"/>
  <c r="B193" i="12"/>
  <c r="AB193" i="5"/>
  <c r="X193" i="5"/>
  <c r="AA193" i="5"/>
  <c r="B529" i="12"/>
  <c r="X529" i="5"/>
  <c r="AB529" i="5"/>
  <c r="AA529" i="5"/>
  <c r="C23" i="11"/>
  <c r="L23" i="13"/>
  <c r="Z23" i="11"/>
  <c r="M41" i="8"/>
  <c r="Q41" i="8" s="1"/>
  <c r="R43" i="8"/>
  <c r="R19" i="8"/>
  <c r="M14" i="8"/>
  <c r="Q14" i="8" s="1"/>
  <c r="N53" i="8"/>
  <c r="Q53" i="8" s="1"/>
  <c r="B282" i="12"/>
  <c r="X282" i="5"/>
  <c r="AB282" i="5"/>
  <c r="AA282" i="5"/>
  <c r="B131" i="12"/>
  <c r="X131" i="5"/>
  <c r="AA131" i="5"/>
  <c r="AB131" i="5"/>
  <c r="M153" i="12"/>
  <c r="O153" i="12"/>
  <c r="N153" i="12" s="1"/>
  <c r="AO153" i="12"/>
  <c r="M177" i="12"/>
  <c r="AO177" i="12"/>
  <c r="O177" i="12"/>
  <c r="L298" i="5"/>
  <c r="I298" i="12"/>
  <c r="AM298" i="5"/>
  <c r="Z298" i="5"/>
  <c r="AC298" i="5"/>
  <c r="I351" i="12"/>
  <c r="L351" i="5"/>
  <c r="AM351" i="5"/>
  <c r="Z351" i="5"/>
  <c r="AC351" i="5"/>
  <c r="B580" i="12"/>
  <c r="AA580" i="5"/>
  <c r="AB580" i="5"/>
  <c r="X580" i="5"/>
  <c r="K12" i="13"/>
  <c r="T12" i="13"/>
  <c r="S12" i="13"/>
  <c r="R12" i="13"/>
  <c r="M12" i="13"/>
  <c r="U12" i="13"/>
  <c r="O12" i="13"/>
  <c r="C12" i="11"/>
  <c r="Z12" i="11"/>
  <c r="L12" i="13"/>
  <c r="W12" i="11"/>
  <c r="N38" i="8"/>
  <c r="R28" i="8"/>
  <c r="M59" i="8"/>
  <c r="Q59" i="8" s="1"/>
  <c r="M29" i="8"/>
  <c r="Q29" i="8" s="1"/>
  <c r="R31" i="8"/>
  <c r="R34" i="8"/>
  <c r="N32" i="8"/>
  <c r="D706" i="12"/>
  <c r="E706" i="6"/>
  <c r="L152" i="5"/>
  <c r="AM152" i="5"/>
  <c r="I152" i="12"/>
  <c r="Z152" i="5"/>
  <c r="AC152" i="5"/>
  <c r="I219" i="12"/>
  <c r="L219" i="5"/>
  <c r="AM219" i="5"/>
  <c r="Z219" i="5"/>
  <c r="AC219" i="5"/>
  <c r="I699" i="12"/>
  <c r="AM699" i="5"/>
  <c r="L699" i="5"/>
  <c r="Z699" i="5"/>
  <c r="AC699" i="5"/>
  <c r="I167" i="12"/>
  <c r="L167" i="5"/>
  <c r="AM167" i="5"/>
  <c r="Z167" i="5"/>
  <c r="AC167" i="5"/>
  <c r="I507" i="12"/>
  <c r="AM507" i="5"/>
  <c r="L507" i="5"/>
  <c r="Z507" i="5"/>
  <c r="AC507" i="5"/>
  <c r="AM17" i="13"/>
  <c r="Z20" i="11"/>
  <c r="C20" i="11"/>
  <c r="L20" i="13"/>
  <c r="N503" i="12" l="1"/>
  <c r="N629" i="12"/>
  <c r="N364" i="12"/>
  <c r="Y43" i="12"/>
  <c r="Y153" i="12"/>
  <c r="N210" i="12"/>
  <c r="N173" i="12"/>
  <c r="N36" i="12"/>
  <c r="Y238" i="12"/>
  <c r="N491" i="12"/>
  <c r="N243" i="12"/>
  <c r="Y152" i="12"/>
  <c r="Y48" i="12"/>
  <c r="Y17" i="12"/>
  <c r="Y629" i="12"/>
  <c r="N592" i="12"/>
  <c r="Q38" i="8"/>
  <c r="N492" i="12"/>
  <c r="Y298" i="12"/>
  <c r="Y49" i="12"/>
  <c r="N688" i="12"/>
  <c r="N668" i="12"/>
  <c r="Y129" i="12"/>
  <c r="Y142" i="12"/>
  <c r="N482" i="12"/>
  <c r="Y699" i="12"/>
  <c r="Y618" i="12"/>
  <c r="N219" i="12"/>
  <c r="N152" i="12"/>
  <c r="N17" i="12"/>
  <c r="Y364" i="12"/>
  <c r="Q32" i="8"/>
  <c r="AB32" i="8" s="1"/>
  <c r="N699" i="12"/>
  <c r="Y634" i="12"/>
  <c r="Y244" i="12"/>
  <c r="AB53" i="8"/>
  <c r="AJ53" i="8"/>
  <c r="D53" i="8"/>
  <c r="U53" i="8"/>
  <c r="Y53" i="8"/>
  <c r="AG53" i="8"/>
  <c r="AO53" i="8"/>
  <c r="AC53" i="8"/>
  <c r="AE53" i="8"/>
  <c r="AI53" i="8"/>
  <c r="X53" i="8"/>
  <c r="AN53" i="8"/>
  <c r="V53" i="8"/>
  <c r="AP53" i="8"/>
  <c r="AA53" i="8"/>
  <c r="AK53" i="8"/>
  <c r="T53" i="8"/>
  <c r="E55" i="8"/>
  <c r="W53" i="8"/>
  <c r="AD53" i="8"/>
  <c r="AF53" i="8"/>
  <c r="AH53" i="8"/>
  <c r="AQ53" i="8"/>
  <c r="AL53" i="8"/>
  <c r="Z53" i="8"/>
  <c r="AM53" i="8"/>
  <c r="W80" i="8"/>
  <c r="AJ80" i="8"/>
  <c r="U80" i="8"/>
  <c r="AH80" i="8"/>
  <c r="AK80" i="8"/>
  <c r="AG80" i="8"/>
  <c r="AD80" i="8"/>
  <c r="AC80" i="8"/>
  <c r="AB80" i="8"/>
  <c r="D80" i="8"/>
  <c r="T80" i="8"/>
  <c r="X80" i="8"/>
  <c r="Z80" i="8"/>
  <c r="AL80" i="8"/>
  <c r="AM80" i="8"/>
  <c r="Y80" i="8"/>
  <c r="E82" i="8"/>
  <c r="AF80" i="8"/>
  <c r="AA80" i="8"/>
  <c r="AN80" i="8"/>
  <c r="V80" i="8"/>
  <c r="AO80" i="8"/>
  <c r="AI80" i="8"/>
  <c r="AP80" i="8"/>
  <c r="AE80" i="8"/>
  <c r="AQ80" i="8"/>
  <c r="E61" i="8"/>
  <c r="AQ59" i="8"/>
  <c r="Z59" i="8"/>
  <c r="AK59" i="8"/>
  <c r="AM59" i="8"/>
  <c r="Y59" i="8"/>
  <c r="AO59" i="8"/>
  <c r="AG59" i="8"/>
  <c r="W59" i="8"/>
  <c r="AB59" i="8"/>
  <c r="AH59" i="8"/>
  <c r="AJ59" i="8"/>
  <c r="AL59" i="8"/>
  <c r="T59" i="8"/>
  <c r="AE59" i="8"/>
  <c r="U59" i="8"/>
  <c r="V59" i="8"/>
  <c r="AI59" i="8"/>
  <c r="AD59" i="8"/>
  <c r="AC59" i="8"/>
  <c r="D59" i="8"/>
  <c r="AF59" i="8"/>
  <c r="X59" i="8"/>
  <c r="AP59" i="8"/>
  <c r="AN59" i="8"/>
  <c r="AA59" i="8"/>
  <c r="B14" i="8"/>
  <c r="E16" i="8"/>
  <c r="C14" i="8"/>
  <c r="T47" i="8"/>
  <c r="AB47" i="8"/>
  <c r="AE47" i="8"/>
  <c r="AI47" i="8"/>
  <c r="AH47" i="8"/>
  <c r="U47" i="8"/>
  <c r="AA47" i="8"/>
  <c r="AL47" i="8"/>
  <c r="AD47" i="8"/>
  <c r="AJ47" i="8"/>
  <c r="Y47" i="8"/>
  <c r="E49" i="8"/>
  <c r="AP47" i="8"/>
  <c r="AQ47" i="8"/>
  <c r="AK47" i="8"/>
  <c r="AC47" i="8"/>
  <c r="X47" i="8"/>
  <c r="Z47" i="8"/>
  <c r="AN47" i="8"/>
  <c r="AG47" i="8"/>
  <c r="AM47" i="8"/>
  <c r="V47" i="8"/>
  <c r="D47" i="8"/>
  <c r="AO47" i="8"/>
  <c r="AF47" i="8"/>
  <c r="W47" i="8"/>
  <c r="AK62" i="8"/>
  <c r="AD62" i="8"/>
  <c r="AE62" i="8"/>
  <c r="AA62" i="8"/>
  <c r="T62" i="8"/>
  <c r="AP62" i="8"/>
  <c r="V62" i="8"/>
  <c r="X62" i="8"/>
  <c r="AN62" i="8"/>
  <c r="W62" i="8"/>
  <c r="AI62" i="8"/>
  <c r="AF62" i="8"/>
  <c r="AH62" i="8"/>
  <c r="E64" i="8"/>
  <c r="AL62" i="8"/>
  <c r="Z62" i="8"/>
  <c r="AM64" i="8"/>
  <c r="AL64" i="8"/>
  <c r="AA64" i="8"/>
  <c r="AE64" i="8"/>
  <c r="AB62" i="8"/>
  <c r="AQ62" i="8"/>
  <c r="AJ62" i="8"/>
  <c r="AG62" i="8"/>
  <c r="AJ64" i="8"/>
  <c r="AG64" i="8"/>
  <c r="C62" i="8"/>
  <c r="W64" i="8"/>
  <c r="B62" i="8"/>
  <c r="AI64" i="8"/>
  <c r="Z64" i="8"/>
  <c r="AP64" i="8"/>
  <c r="AO64" i="8"/>
  <c r="Y62" i="8"/>
  <c r="AO62" i="8"/>
  <c r="AM62" i="8"/>
  <c r="AD64" i="8"/>
  <c r="AK64" i="8"/>
  <c r="AN64" i="8"/>
  <c r="D64" i="8"/>
  <c r="Y64" i="8"/>
  <c r="AQ64" i="8"/>
  <c r="AB64" i="8"/>
  <c r="U64" i="8"/>
  <c r="V64" i="8"/>
  <c r="AC64" i="8"/>
  <c r="AH64" i="8"/>
  <c r="AC62" i="8"/>
  <c r="D62" i="8"/>
  <c r="U62" i="8"/>
  <c r="X64" i="8"/>
  <c r="T64" i="8"/>
  <c r="AF64" i="8"/>
  <c r="E91" i="8"/>
  <c r="C89" i="8"/>
  <c r="B89" i="8"/>
  <c r="AI20" i="8"/>
  <c r="AB20" i="8"/>
  <c r="E22" i="8"/>
  <c r="AK20" i="8"/>
  <c r="AM20" i="8"/>
  <c r="AN20" i="8"/>
  <c r="V20" i="8"/>
  <c r="AC20" i="8"/>
  <c r="AQ20" i="8"/>
  <c r="AP20" i="8"/>
  <c r="AO20" i="8"/>
  <c r="AH20" i="8"/>
  <c r="D20" i="8"/>
  <c r="X20" i="8"/>
  <c r="Z20" i="8"/>
  <c r="AJ20" i="8"/>
  <c r="AA20" i="8"/>
  <c r="T20" i="8"/>
  <c r="AD20" i="8"/>
  <c r="AL20" i="8"/>
  <c r="Y20" i="8"/>
  <c r="AE20" i="8"/>
  <c r="W20" i="8"/>
  <c r="U20" i="8"/>
  <c r="AG20" i="8"/>
  <c r="AF20" i="8"/>
  <c r="AM32" i="8"/>
  <c r="Y44" i="8"/>
  <c r="AG44" i="8"/>
  <c r="U44" i="8"/>
  <c r="X44" i="8"/>
  <c r="AA44" i="8"/>
  <c r="T44" i="8"/>
  <c r="V44" i="8"/>
  <c r="AI44" i="8"/>
  <c r="E46" i="8"/>
  <c r="AD44" i="8"/>
  <c r="AL44" i="8"/>
  <c r="AP44" i="8"/>
  <c r="AF44" i="8"/>
  <c r="AC44" i="8"/>
  <c r="AQ44" i="8"/>
  <c r="AM44" i="8"/>
  <c r="AN44" i="8"/>
  <c r="AJ44" i="8"/>
  <c r="D44" i="8"/>
  <c r="AE44" i="8"/>
  <c r="AK44" i="8"/>
  <c r="AH44" i="8"/>
  <c r="W44" i="8"/>
  <c r="AO44" i="8"/>
  <c r="AB44" i="8"/>
  <c r="Z44" i="8"/>
  <c r="AH56" i="8"/>
  <c r="E58" i="8"/>
  <c r="AJ56" i="8"/>
  <c r="V56" i="8"/>
  <c r="AP56" i="8"/>
  <c r="Z56" i="8"/>
  <c r="W56" i="8"/>
  <c r="AF56" i="8"/>
  <c r="AD56" i="8"/>
  <c r="AN56" i="8"/>
  <c r="AQ56" i="8"/>
  <c r="AG56" i="8"/>
  <c r="U56" i="8"/>
  <c r="AE56" i="8"/>
  <c r="AI56" i="8"/>
  <c r="AO56" i="8"/>
  <c r="AC56" i="8"/>
  <c r="AM56" i="8"/>
  <c r="D56" i="8"/>
  <c r="AA56" i="8"/>
  <c r="AK56" i="8"/>
  <c r="T56" i="8"/>
  <c r="Y56" i="8"/>
  <c r="AL56" i="8"/>
  <c r="X56" i="8"/>
  <c r="AB56" i="8"/>
  <c r="AN74" i="8"/>
  <c r="Y76" i="8"/>
  <c r="AG74" i="8"/>
  <c r="AJ74" i="8"/>
  <c r="U76" i="8"/>
  <c r="Y74" i="8"/>
  <c r="U74" i="8"/>
  <c r="D74" i="8"/>
  <c r="W76" i="8"/>
  <c r="AH74" i="8"/>
  <c r="AH76" i="8"/>
  <c r="AI76" i="8"/>
  <c r="AM74" i="8"/>
  <c r="W74" i="8"/>
  <c r="AA74" i="8"/>
  <c r="AN76" i="8"/>
  <c r="AO74" i="8"/>
  <c r="AL76" i="8"/>
  <c r="AF74" i="8"/>
  <c r="AK74" i="8"/>
  <c r="AM76" i="8"/>
  <c r="B74" i="8"/>
  <c r="AE76" i="8"/>
  <c r="AK76" i="8"/>
  <c r="AJ76" i="8"/>
  <c r="AC74" i="8"/>
  <c r="AQ76" i="8"/>
  <c r="AP76" i="8"/>
  <c r="C74" i="8"/>
  <c r="X74" i="8"/>
  <c r="Z76" i="8"/>
  <c r="X76" i="8"/>
  <c r="V74" i="8"/>
  <c r="AO76" i="8"/>
  <c r="AD76" i="8"/>
  <c r="AI74" i="8"/>
  <c r="AL74" i="8"/>
  <c r="V76" i="8"/>
  <c r="AQ74" i="8"/>
  <c r="AB76" i="8"/>
  <c r="AD74" i="8"/>
  <c r="AB74" i="8"/>
  <c r="AG76" i="8"/>
  <c r="AC76" i="8"/>
  <c r="D76" i="8"/>
  <c r="AF76" i="8"/>
  <c r="T74" i="8"/>
  <c r="AP74" i="8"/>
  <c r="T76" i="8"/>
  <c r="AE74" i="8"/>
  <c r="Z74" i="8"/>
  <c r="AA76" i="8"/>
  <c r="E76" i="8"/>
  <c r="AD79" i="8"/>
  <c r="Z79" i="8"/>
  <c r="Y77" i="8"/>
  <c r="AM79" i="8"/>
  <c r="U79" i="8"/>
  <c r="C77" i="8"/>
  <c r="AJ79" i="8"/>
  <c r="AO77" i="8"/>
  <c r="T77" i="8"/>
  <c r="AC77" i="8"/>
  <c r="AP77" i="8"/>
  <c r="AF77" i="8"/>
  <c r="AH79" i="8"/>
  <c r="AK79" i="8"/>
  <c r="AO79" i="8"/>
  <c r="U77" i="8"/>
  <c r="AH77" i="8"/>
  <c r="AI77" i="8"/>
  <c r="AE77" i="8"/>
  <c r="V77" i="8"/>
  <c r="X79" i="8"/>
  <c r="AN79" i="8"/>
  <c r="AE79" i="8"/>
  <c r="AK77" i="8"/>
  <c r="AP79" i="8"/>
  <c r="W79" i="8"/>
  <c r="AG79" i="8"/>
  <c r="AL79" i="8"/>
  <c r="AQ79" i="8"/>
  <c r="AL77" i="8"/>
  <c r="T79" i="8"/>
  <c r="W77" i="8"/>
  <c r="D79" i="8"/>
  <c r="AC79" i="8"/>
  <c r="AF79" i="8"/>
  <c r="E79" i="8"/>
  <c r="AB79" i="8"/>
  <c r="D77" i="8"/>
  <c r="AN77" i="8"/>
  <c r="AJ77" i="8"/>
  <c r="Y79" i="8"/>
  <c r="V79" i="8"/>
  <c r="AB77" i="8"/>
  <c r="AG77" i="8"/>
  <c r="AD77" i="8"/>
  <c r="AM77" i="8"/>
  <c r="Z77" i="8"/>
  <c r="AA79" i="8"/>
  <c r="AA77" i="8"/>
  <c r="AI79" i="8"/>
  <c r="AQ77" i="8"/>
  <c r="X77" i="8"/>
  <c r="B77" i="8"/>
  <c r="E52" i="8"/>
  <c r="AN50" i="8"/>
  <c r="AH50" i="8"/>
  <c r="AQ50" i="8"/>
  <c r="T50" i="8"/>
  <c r="AJ50" i="8"/>
  <c r="AE50" i="8"/>
  <c r="AL50" i="8"/>
  <c r="Y50" i="8"/>
  <c r="AB50" i="8"/>
  <c r="AF50" i="8"/>
  <c r="AI50" i="8"/>
  <c r="AK50" i="8"/>
  <c r="Z50" i="8"/>
  <c r="AG50" i="8"/>
  <c r="AC50" i="8"/>
  <c r="U50" i="8"/>
  <c r="AD50" i="8"/>
  <c r="AO50" i="8"/>
  <c r="V50" i="8"/>
  <c r="W50" i="8"/>
  <c r="AA50" i="8"/>
  <c r="AP50" i="8"/>
  <c r="D50" i="8"/>
  <c r="X50" i="8"/>
  <c r="AM50" i="8"/>
  <c r="AC38" i="8"/>
  <c r="AL38" i="8"/>
  <c r="AM38" i="8"/>
  <c r="AO40" i="8"/>
  <c r="AL40" i="8"/>
  <c r="D38" i="8"/>
  <c r="Y38" i="8"/>
  <c r="U38" i="8"/>
  <c r="AF40" i="8"/>
  <c r="AB38" i="8"/>
  <c r="AQ38" i="8"/>
  <c r="Z40" i="8"/>
  <c r="AM40" i="8"/>
  <c r="AC40" i="8"/>
  <c r="AP38" i="8"/>
  <c r="W38" i="8"/>
  <c r="W40" i="8"/>
  <c r="Z38" i="8"/>
  <c r="AQ40" i="8"/>
  <c r="AK40" i="8"/>
  <c r="AP40" i="8"/>
  <c r="AD40" i="8"/>
  <c r="AE38" i="8"/>
  <c r="AA40" i="8"/>
  <c r="AJ38" i="8"/>
  <c r="AO38" i="8"/>
  <c r="AG40" i="8"/>
  <c r="C38" i="8"/>
  <c r="AJ40" i="8"/>
  <c r="AE40" i="8"/>
  <c r="T40" i="8"/>
  <c r="E40" i="8"/>
  <c r="AF38" i="8"/>
  <c r="T38" i="8"/>
  <c r="AD38" i="8"/>
  <c r="AG38" i="8"/>
  <c r="AH38" i="8"/>
  <c r="AI38" i="8"/>
  <c r="Y40" i="8"/>
  <c r="B38" i="8"/>
  <c r="U40" i="8"/>
  <c r="AB40" i="8"/>
  <c r="V40" i="8"/>
  <c r="V38" i="8"/>
  <c r="AK38" i="8"/>
  <c r="AN38" i="8"/>
  <c r="D40" i="8"/>
  <c r="X38" i="8"/>
  <c r="AA38" i="8"/>
  <c r="AI40" i="8"/>
  <c r="AH40" i="8"/>
  <c r="X40" i="8"/>
  <c r="AN40" i="8"/>
  <c r="C219" i="6"/>
  <c r="O219" i="5"/>
  <c r="C152" i="12"/>
  <c r="L152" i="12"/>
  <c r="J152" i="12"/>
  <c r="AM26" i="8"/>
  <c r="AA26" i="8"/>
  <c r="AI26" i="8"/>
  <c r="AN26" i="8"/>
  <c r="AB26" i="8"/>
  <c r="X26" i="8"/>
  <c r="AF26" i="8"/>
  <c r="AE26" i="8"/>
  <c r="T26" i="8"/>
  <c r="AL26" i="8"/>
  <c r="D26" i="8"/>
  <c r="AG26" i="8"/>
  <c r="U26" i="8"/>
  <c r="AO26" i="8"/>
  <c r="V26" i="8"/>
  <c r="E28" i="8"/>
  <c r="AK26" i="8"/>
  <c r="Z26" i="8"/>
  <c r="AC26" i="8"/>
  <c r="AP26" i="8"/>
  <c r="AD26" i="8"/>
  <c r="AJ26" i="8"/>
  <c r="Y26" i="8"/>
  <c r="AH26" i="8"/>
  <c r="AQ26" i="8"/>
  <c r="W26" i="8"/>
  <c r="N12" i="13"/>
  <c r="P12" i="13"/>
  <c r="W153" i="12"/>
  <c r="X153" i="12"/>
  <c r="AA43" i="8"/>
  <c r="AF43" i="8"/>
  <c r="D41" i="8"/>
  <c r="C41" i="8"/>
  <c r="AP43" i="8"/>
  <c r="AO43" i="8"/>
  <c r="AF41" i="8"/>
  <c r="AM41" i="8"/>
  <c r="AI43" i="8"/>
  <c r="Y43" i="8"/>
  <c r="AB43" i="8"/>
  <c r="AJ41" i="8"/>
  <c r="AL41" i="8"/>
  <c r="AH43" i="8"/>
  <c r="D43" i="8"/>
  <c r="AG41" i="8"/>
  <c r="U41" i="8"/>
  <c r="AL43" i="8"/>
  <c r="AN43" i="8"/>
  <c r="AE41" i="8"/>
  <c r="AN41" i="8"/>
  <c r="AQ41" i="8"/>
  <c r="AG43" i="8"/>
  <c r="T43" i="8"/>
  <c r="Y41" i="8"/>
  <c r="X41" i="8"/>
  <c r="T41" i="8"/>
  <c r="AP41" i="8"/>
  <c r="X43" i="8"/>
  <c r="AD43" i="8"/>
  <c r="V43" i="8"/>
  <c r="AE43" i="8"/>
  <c r="V41" i="8"/>
  <c r="AD41" i="8"/>
  <c r="B41" i="8"/>
  <c r="AK41" i="8"/>
  <c r="E43" i="8"/>
  <c r="AO41" i="8"/>
  <c r="AH41" i="8"/>
  <c r="AA41" i="8"/>
  <c r="AJ43" i="8"/>
  <c r="AI41" i="8"/>
  <c r="W41" i="8"/>
  <c r="Z43" i="8"/>
  <c r="Z41" i="8"/>
  <c r="AK43" i="8"/>
  <c r="W43" i="8"/>
  <c r="AB41" i="8"/>
  <c r="AM43" i="8"/>
  <c r="AC43" i="8"/>
  <c r="AC41" i="8"/>
  <c r="U43" i="8"/>
  <c r="AQ43" i="8"/>
  <c r="AM66" i="5"/>
  <c r="L66" i="5"/>
  <c r="I66" i="12"/>
  <c r="Z66" i="5"/>
  <c r="AC66" i="5"/>
  <c r="I709" i="12"/>
  <c r="AM709" i="5"/>
  <c r="L709" i="5"/>
  <c r="X15" i="5"/>
  <c r="Z709" i="5"/>
  <c r="I709" i="5"/>
  <c r="AC709" i="5"/>
  <c r="X702" i="5"/>
  <c r="AJ709" i="6"/>
  <c r="AJ15" i="6" s="1"/>
  <c r="C507" i="12"/>
  <c r="J507" i="12"/>
  <c r="L507" i="12"/>
  <c r="K507" i="12" s="1"/>
  <c r="C152" i="6"/>
  <c r="O152" i="5"/>
  <c r="V12" i="13"/>
  <c r="D12" i="13"/>
  <c r="N177" i="12"/>
  <c r="C167" i="12"/>
  <c r="J167" i="12"/>
  <c r="L167" i="12"/>
  <c r="K167" i="12" s="1"/>
  <c r="M580" i="12"/>
  <c r="AO580" i="12"/>
  <c r="O580" i="12"/>
  <c r="C351" i="6"/>
  <c r="O351" i="5"/>
  <c r="Y177" i="12"/>
  <c r="AO131" i="12"/>
  <c r="O131" i="12"/>
  <c r="N131" i="12" s="1"/>
  <c r="M131" i="12"/>
  <c r="O282" i="12"/>
  <c r="M282" i="12"/>
  <c r="AO282" i="12"/>
  <c r="Y282" i="12" s="1"/>
  <c r="Z17" i="8"/>
  <c r="AD19" i="8"/>
  <c r="T19" i="8"/>
  <c r="AE19" i="8"/>
  <c r="AL17" i="8"/>
  <c r="AC17" i="8"/>
  <c r="AK19" i="8"/>
  <c r="AC19" i="8"/>
  <c r="AP19" i="8"/>
  <c r="AG19" i="8"/>
  <c r="AO19" i="8"/>
  <c r="AG17" i="8"/>
  <c r="AN17" i="8"/>
  <c r="AA17" i="8"/>
  <c r="AD17" i="8"/>
  <c r="U19" i="8"/>
  <c r="Z19" i="8"/>
  <c r="AN19" i="8"/>
  <c r="AO17" i="8"/>
  <c r="B17" i="8"/>
  <c r="W19" i="8"/>
  <c r="V19" i="8"/>
  <c r="AI17" i="8"/>
  <c r="AM17" i="8"/>
  <c r="AQ17" i="8"/>
  <c r="AH17" i="8"/>
  <c r="X19" i="8"/>
  <c r="AF17" i="8"/>
  <c r="Y19" i="8"/>
  <c r="T17" i="8"/>
  <c r="AJ19" i="8"/>
  <c r="AL19" i="8"/>
  <c r="AB19" i="8"/>
  <c r="AJ17" i="8"/>
  <c r="D19" i="8"/>
  <c r="AB17" i="8"/>
  <c r="AE17" i="8"/>
  <c r="AH19" i="8"/>
  <c r="X17" i="8"/>
  <c r="E19" i="8"/>
  <c r="AP17" i="8"/>
  <c r="C17" i="8"/>
  <c r="AM19" i="8"/>
  <c r="Y17" i="8"/>
  <c r="AQ19" i="8"/>
  <c r="AF19" i="8"/>
  <c r="AA19" i="8"/>
  <c r="AK17" i="8"/>
  <c r="W17" i="8"/>
  <c r="AI19" i="8"/>
  <c r="V17" i="8"/>
  <c r="D17" i="8"/>
  <c r="U17" i="8"/>
  <c r="M529" i="12"/>
  <c r="O529" i="12"/>
  <c r="N529" i="12" s="1"/>
  <c r="AO529" i="12"/>
  <c r="Y529" i="12" s="1"/>
  <c r="AO193" i="12"/>
  <c r="Y193" i="12" s="1"/>
  <c r="O193" i="12"/>
  <c r="M193" i="12"/>
  <c r="N82" i="12"/>
  <c r="M66" i="12"/>
  <c r="O66" i="12"/>
  <c r="AO66" i="12"/>
  <c r="Y66" i="12" s="1"/>
  <c r="M259" i="12"/>
  <c r="AO259" i="12"/>
  <c r="Y259" i="12" s="1"/>
  <c r="O259" i="12"/>
  <c r="C65" i="8"/>
  <c r="V65" i="8"/>
  <c r="U65" i="8"/>
  <c r="AD65" i="8"/>
  <c r="X65" i="8"/>
  <c r="AF65" i="8"/>
  <c r="AP65" i="8"/>
  <c r="Z65" i="8"/>
  <c r="AH65" i="8"/>
  <c r="AN65" i="8"/>
  <c r="Y65" i="8"/>
  <c r="AF67" i="8"/>
  <c r="AB65" i="8"/>
  <c r="AO67" i="8"/>
  <c r="AM67" i="8"/>
  <c r="AM65" i="8"/>
  <c r="AE65" i="8"/>
  <c r="AG65" i="8"/>
  <c r="D65" i="8"/>
  <c r="AQ65" i="8"/>
  <c r="X67" i="8"/>
  <c r="AG67" i="8"/>
  <c r="B65" i="8"/>
  <c r="W67" i="8"/>
  <c r="AA67" i="8"/>
  <c r="Z67" i="8"/>
  <c r="AD67" i="8"/>
  <c r="AL67" i="8"/>
  <c r="AK67" i="8"/>
  <c r="T65" i="8"/>
  <c r="E67" i="8"/>
  <c r="AO65" i="8"/>
  <c r="AI65" i="8"/>
  <c r="W65" i="8"/>
  <c r="AP67" i="8"/>
  <c r="V67" i="8"/>
  <c r="AN67" i="8"/>
  <c r="AQ67" i="8"/>
  <c r="AC67" i="8"/>
  <c r="AI67" i="8"/>
  <c r="AJ67" i="8"/>
  <c r="Y67" i="8"/>
  <c r="T67" i="8"/>
  <c r="D67" i="8"/>
  <c r="U67" i="8"/>
  <c r="AJ65" i="8"/>
  <c r="AA65" i="8"/>
  <c r="AC65" i="8"/>
  <c r="AL65" i="8"/>
  <c r="AK65" i="8"/>
  <c r="AB67" i="8"/>
  <c r="AE67" i="8"/>
  <c r="AH67" i="8"/>
  <c r="N650" i="12"/>
  <c r="Y426" i="12"/>
  <c r="Y360" i="12"/>
  <c r="Y256" i="12"/>
  <c r="N107" i="12"/>
  <c r="Y40" i="12"/>
  <c r="L535" i="5"/>
  <c r="I535" i="12"/>
  <c r="AM535" i="5"/>
  <c r="Z535" i="5"/>
  <c r="AC535" i="5"/>
  <c r="C492" i="6"/>
  <c r="O492" i="5"/>
  <c r="C177" i="6"/>
  <c r="O177" i="5"/>
  <c r="C688" i="6"/>
  <c r="O688" i="5"/>
  <c r="I513" i="12"/>
  <c r="L513" i="5"/>
  <c r="AM513" i="5"/>
  <c r="Z513" i="5"/>
  <c r="AC513" i="5"/>
  <c r="L161" i="5"/>
  <c r="I161" i="12"/>
  <c r="AM161" i="5"/>
  <c r="Z161" i="5"/>
  <c r="AC161" i="5"/>
  <c r="Y31" i="12"/>
  <c r="Y73" i="8"/>
  <c r="AP71" i="8"/>
  <c r="AD71" i="8"/>
  <c r="C71" i="8"/>
  <c r="T73" i="8"/>
  <c r="AQ71" i="8"/>
  <c r="W71" i="8"/>
  <c r="AB71" i="8"/>
  <c r="Z71" i="8"/>
  <c r="AQ73" i="8"/>
  <c r="AD73" i="8"/>
  <c r="AO73" i="8"/>
  <c r="AN73" i="8"/>
  <c r="D73" i="8"/>
  <c r="AG71" i="8"/>
  <c r="AH71" i="8"/>
  <c r="X71" i="8"/>
  <c r="AO71" i="8"/>
  <c r="Z73" i="8"/>
  <c r="AK71" i="8"/>
  <c r="AI71" i="8"/>
  <c r="B71" i="8"/>
  <c r="V73" i="8"/>
  <c r="AJ71" i="8"/>
  <c r="AE73" i="8"/>
  <c r="T71" i="8"/>
  <c r="AF73" i="8"/>
  <c r="AJ73" i="8"/>
  <c r="AB73" i="8"/>
  <c r="AL73" i="8"/>
  <c r="Y71" i="8"/>
  <c r="U73" i="8"/>
  <c r="AL71" i="8"/>
  <c r="AA71" i="8"/>
  <c r="AM73" i="8"/>
  <c r="AG73" i="8"/>
  <c r="AK73" i="8"/>
  <c r="U71" i="8"/>
  <c r="AP73" i="8"/>
  <c r="V71" i="8"/>
  <c r="AI73" i="8"/>
  <c r="AE71" i="8"/>
  <c r="AF71" i="8"/>
  <c r="AC71" i="8"/>
  <c r="X73" i="8"/>
  <c r="AN71" i="8"/>
  <c r="AA73" i="8"/>
  <c r="AC73" i="8"/>
  <c r="D71" i="8"/>
  <c r="E73" i="8"/>
  <c r="W73" i="8"/>
  <c r="AH73" i="8"/>
  <c r="AM71" i="8"/>
  <c r="L155" i="5"/>
  <c r="AM155" i="5"/>
  <c r="I155" i="12"/>
  <c r="Z155" i="5"/>
  <c r="AC155" i="5"/>
  <c r="C636" i="12"/>
  <c r="J636" i="12"/>
  <c r="L636" i="12"/>
  <c r="K636" i="12" s="1"/>
  <c r="C107" i="12"/>
  <c r="L107" i="12"/>
  <c r="J107" i="12"/>
  <c r="C73" i="6"/>
  <c r="O73" i="5"/>
  <c r="C618" i="6"/>
  <c r="O618" i="5"/>
  <c r="C491" i="6"/>
  <c r="O491" i="5"/>
  <c r="C243" i="6"/>
  <c r="O243" i="5"/>
  <c r="N391" i="12"/>
  <c r="M269" i="12"/>
  <c r="AO269" i="12"/>
  <c r="O269" i="12"/>
  <c r="Y688" i="12"/>
  <c r="Y503" i="12"/>
  <c r="Y150" i="12"/>
  <c r="M390" i="12"/>
  <c r="AO390" i="12"/>
  <c r="Y390" i="12" s="1"/>
  <c r="O390" i="12"/>
  <c r="N390" i="12" s="1"/>
  <c r="O92" i="12"/>
  <c r="AO92" i="12"/>
  <c r="M92" i="12"/>
  <c r="C16" i="6"/>
  <c r="O16" i="5"/>
  <c r="C629" i="6"/>
  <c r="O629" i="5"/>
  <c r="I93" i="12"/>
  <c r="L93" i="5"/>
  <c r="AM93" i="5"/>
  <c r="Z93" i="5"/>
  <c r="AC93" i="5"/>
  <c r="Y482" i="12"/>
  <c r="X238" i="12"/>
  <c r="W238" i="12"/>
  <c r="C238" i="6"/>
  <c r="O238" i="5"/>
  <c r="C386" i="12"/>
  <c r="J386" i="12"/>
  <c r="L386" i="12"/>
  <c r="C283" i="12"/>
  <c r="L283" i="12"/>
  <c r="J283" i="12"/>
  <c r="C426" i="12"/>
  <c r="L426" i="12"/>
  <c r="J426" i="12"/>
  <c r="C360" i="6"/>
  <c r="O360" i="5"/>
  <c r="C210" i="12"/>
  <c r="L210" i="12"/>
  <c r="J210" i="12"/>
  <c r="X699" i="12"/>
  <c r="W699" i="12"/>
  <c r="W618" i="12"/>
  <c r="X618" i="12"/>
  <c r="Y243" i="12"/>
  <c r="P22" i="13"/>
  <c r="N22" i="13"/>
  <c r="C391" i="6"/>
  <c r="O391" i="5"/>
  <c r="C153" i="12"/>
  <c r="L153" i="12"/>
  <c r="J153" i="12"/>
  <c r="C36" i="6"/>
  <c r="O36" i="5"/>
  <c r="Y369" i="12"/>
  <c r="L260" i="5"/>
  <c r="I260" i="12"/>
  <c r="AM260" i="5"/>
  <c r="Z260" i="5"/>
  <c r="AC260" i="5"/>
  <c r="O301" i="12"/>
  <c r="N301" i="12" s="1"/>
  <c r="M301" i="12"/>
  <c r="AO301" i="12"/>
  <c r="O28" i="12"/>
  <c r="M28" i="12"/>
  <c r="AO28" i="12"/>
  <c r="N17" i="13"/>
  <c r="P17" i="13"/>
  <c r="W629" i="12"/>
  <c r="X629" i="12"/>
  <c r="L495" i="5"/>
  <c r="AM495" i="5"/>
  <c r="I495" i="12"/>
  <c r="Z495" i="5"/>
  <c r="AC495" i="5"/>
  <c r="C364" i="12"/>
  <c r="L364" i="12"/>
  <c r="K364" i="12" s="1"/>
  <c r="J364" i="12"/>
  <c r="Y29" i="12"/>
  <c r="AO14" i="13"/>
  <c r="O14" i="13" s="1"/>
  <c r="N16" i="12"/>
  <c r="C212" i="6"/>
  <c r="O212" i="5"/>
  <c r="C628" i="6"/>
  <c r="O628" i="5"/>
  <c r="C507" i="6"/>
  <c r="O507" i="5"/>
  <c r="C699" i="12"/>
  <c r="L699" i="12"/>
  <c r="K699" i="12" s="1"/>
  <c r="J699" i="12"/>
  <c r="C173" i="12"/>
  <c r="J173" i="12"/>
  <c r="L173" i="12"/>
  <c r="N20" i="13"/>
  <c r="P20" i="13"/>
  <c r="W636" i="12"/>
  <c r="X636" i="12"/>
  <c r="W507" i="12"/>
  <c r="X507" i="12"/>
  <c r="X372" i="12"/>
  <c r="W372" i="12"/>
  <c r="X302" i="12"/>
  <c r="W302" i="12"/>
  <c r="X210" i="12"/>
  <c r="W210" i="12"/>
  <c r="X137" i="12"/>
  <c r="W137" i="12"/>
  <c r="C708" i="6"/>
  <c r="O708" i="5"/>
  <c r="C634" i="6"/>
  <c r="O634" i="5"/>
  <c r="C244" i="6"/>
  <c r="O244" i="5"/>
  <c r="C177" i="12"/>
  <c r="J177" i="12"/>
  <c r="L177" i="12"/>
  <c r="K177" i="12" s="1"/>
  <c r="I122" i="12"/>
  <c r="AM122" i="5"/>
  <c r="L122" i="5"/>
  <c r="Z122" i="5"/>
  <c r="AC122" i="5"/>
  <c r="AE35" i="8"/>
  <c r="AM35" i="8"/>
  <c r="AD35" i="8"/>
  <c r="T35" i="8"/>
  <c r="Y35" i="8"/>
  <c r="W35" i="8"/>
  <c r="V35" i="8"/>
  <c r="AN35" i="8"/>
  <c r="X35" i="8"/>
  <c r="D35" i="8"/>
  <c r="AF35" i="8"/>
  <c r="U35" i="8"/>
  <c r="Z35" i="8"/>
  <c r="AQ37" i="8"/>
  <c r="AH35" i="8"/>
  <c r="AL35" i="8"/>
  <c r="AG35" i="8"/>
  <c r="X37" i="8"/>
  <c r="AN37" i="8"/>
  <c r="U37" i="8"/>
  <c r="AA35" i="8"/>
  <c r="AB35" i="8"/>
  <c r="E37" i="8"/>
  <c r="AO37" i="8"/>
  <c r="T37" i="8"/>
  <c r="V37" i="8"/>
  <c r="Z37" i="8"/>
  <c r="AH37" i="8"/>
  <c r="AD37" i="8"/>
  <c r="D37" i="8"/>
  <c r="AK35" i="8"/>
  <c r="AC35" i="8"/>
  <c r="AP35" i="8"/>
  <c r="AK37" i="8"/>
  <c r="C35" i="8"/>
  <c r="AC37" i="8"/>
  <c r="AG37" i="8"/>
  <c r="AI37" i="8"/>
  <c r="AA37" i="8"/>
  <c r="AP37" i="8"/>
  <c r="AM37" i="8"/>
  <c r="AB37" i="8"/>
  <c r="AL37" i="8"/>
  <c r="AJ37" i="8"/>
  <c r="B35" i="8"/>
  <c r="AE37" i="8"/>
  <c r="AJ35" i="8"/>
  <c r="AO35" i="8"/>
  <c r="AI35" i="8"/>
  <c r="AQ35" i="8"/>
  <c r="W37" i="8"/>
  <c r="Y37" i="8"/>
  <c r="AF37" i="8"/>
  <c r="M513" i="12"/>
  <c r="O513" i="12"/>
  <c r="N513" i="12" s="1"/>
  <c r="AO513" i="12"/>
  <c r="C503" i="6"/>
  <c r="O503" i="5"/>
  <c r="C129" i="6"/>
  <c r="O129" i="5"/>
  <c r="I528" i="12"/>
  <c r="L528" i="5"/>
  <c r="AM528" i="5"/>
  <c r="Z528" i="5"/>
  <c r="AC528" i="5"/>
  <c r="R68" i="8"/>
  <c r="I172" i="12"/>
  <c r="L172" i="5"/>
  <c r="AM172" i="5"/>
  <c r="Z172" i="5"/>
  <c r="AC172" i="5"/>
  <c r="R32" i="8"/>
  <c r="C636" i="6"/>
  <c r="O636" i="5"/>
  <c r="C107" i="6"/>
  <c r="O107" i="5"/>
  <c r="C73" i="12"/>
  <c r="J73" i="12"/>
  <c r="L73" i="12"/>
  <c r="K73" i="12" s="1"/>
  <c r="C243" i="12"/>
  <c r="L243" i="12"/>
  <c r="J243" i="12"/>
  <c r="Y492" i="12"/>
  <c r="W351" i="12"/>
  <c r="X351" i="12"/>
  <c r="X86" i="12"/>
  <c r="W86" i="12"/>
  <c r="X36" i="12"/>
  <c r="W36" i="12"/>
  <c r="Y668" i="12"/>
  <c r="AO657" i="12"/>
  <c r="Y657" i="12" s="1"/>
  <c r="M657" i="12"/>
  <c r="O657" i="12"/>
  <c r="C647" i="12"/>
  <c r="J647" i="12"/>
  <c r="L647" i="12"/>
  <c r="M429" i="12"/>
  <c r="O429" i="12"/>
  <c r="AO429" i="12"/>
  <c r="Y429" i="12" s="1"/>
  <c r="L390" i="5"/>
  <c r="AM390" i="5"/>
  <c r="I390" i="12"/>
  <c r="Z390" i="5"/>
  <c r="AC390" i="5"/>
  <c r="R56" i="8"/>
  <c r="Y58" i="8" s="1"/>
  <c r="I92" i="12"/>
  <c r="L92" i="5"/>
  <c r="AM92" i="5"/>
  <c r="Z92" i="5"/>
  <c r="AC92" i="5"/>
  <c r="R26" i="8"/>
  <c r="AL28" i="8" s="1"/>
  <c r="D21" i="13"/>
  <c r="N16" i="13"/>
  <c r="P16" i="13"/>
  <c r="N628" i="12"/>
  <c r="E94" i="8"/>
  <c r="AO92" i="8"/>
  <c r="AK92" i="8"/>
  <c r="V92" i="8"/>
  <c r="U92" i="8"/>
  <c r="AA92" i="8"/>
  <c r="AQ92" i="8"/>
  <c r="AC92" i="8"/>
  <c r="Y92" i="8"/>
  <c r="W92" i="8"/>
  <c r="AM92" i="8"/>
  <c r="AP92" i="8"/>
  <c r="AF92" i="8"/>
  <c r="AI92" i="8"/>
  <c r="D92" i="8"/>
  <c r="Z92" i="8"/>
  <c r="AN92" i="8"/>
  <c r="T92" i="8"/>
  <c r="AD92" i="8"/>
  <c r="AH92" i="8"/>
  <c r="X92" i="8"/>
  <c r="AE92" i="8"/>
  <c r="AG92" i="8"/>
  <c r="AL92" i="8"/>
  <c r="AJ92" i="8"/>
  <c r="AB92" i="8"/>
  <c r="C142" i="12"/>
  <c r="L142" i="12"/>
  <c r="K142" i="12" s="1"/>
  <c r="J142" i="12"/>
  <c r="AM672" i="5"/>
  <c r="I672" i="12"/>
  <c r="L672" i="5"/>
  <c r="Z672" i="5"/>
  <c r="AC672" i="5"/>
  <c r="R80" i="8"/>
  <c r="C80" i="8" s="1"/>
  <c r="C302" i="12"/>
  <c r="L302" i="12"/>
  <c r="K302" i="12" s="1"/>
  <c r="J302" i="12"/>
  <c r="C210" i="6"/>
  <c r="O210" i="5"/>
  <c r="C137" i="12"/>
  <c r="J137" i="12"/>
  <c r="L137" i="12"/>
  <c r="Y219" i="12"/>
  <c r="G78" i="8"/>
  <c r="G77" i="8"/>
  <c r="I78" i="8" s="1"/>
  <c r="F77" i="8"/>
  <c r="F78" i="8"/>
  <c r="W634" i="12"/>
  <c r="X634" i="12"/>
  <c r="O600" i="12"/>
  <c r="M600" i="12"/>
  <c r="AO600" i="12"/>
  <c r="Y600" i="12" s="1"/>
  <c r="C391" i="12"/>
  <c r="J391" i="12"/>
  <c r="L391" i="12"/>
  <c r="K391" i="12" s="1"/>
  <c r="X244" i="12"/>
  <c r="W244" i="12"/>
  <c r="AO220" i="12"/>
  <c r="M220" i="12"/>
  <c r="O220" i="12"/>
  <c r="C86" i="12"/>
  <c r="J86" i="12"/>
  <c r="L86" i="12"/>
  <c r="K86" i="12" s="1"/>
  <c r="C668" i="6"/>
  <c r="O668" i="5"/>
  <c r="M371" i="12"/>
  <c r="AO371" i="12"/>
  <c r="Y371" i="12" s="1"/>
  <c r="O371" i="12"/>
  <c r="N371" i="12" s="1"/>
  <c r="Y25" i="8"/>
  <c r="AF25" i="8"/>
  <c r="X23" i="8"/>
  <c r="AQ25" i="8"/>
  <c r="AM25" i="8"/>
  <c r="AQ23" i="8"/>
  <c r="AM23" i="8"/>
  <c r="V25" i="8"/>
  <c r="AO25" i="8"/>
  <c r="AP25" i="8"/>
  <c r="AG25" i="8"/>
  <c r="AH25" i="8"/>
  <c r="D25" i="8"/>
  <c r="V23" i="8"/>
  <c r="AH23" i="8"/>
  <c r="AG23" i="8"/>
  <c r="Z23" i="8"/>
  <c r="AO23" i="8"/>
  <c r="AA23" i="8"/>
  <c r="AD23" i="8"/>
  <c r="AL25" i="8"/>
  <c r="AN25" i="8"/>
  <c r="C23" i="8"/>
  <c r="AL23" i="8"/>
  <c r="E25" i="8"/>
  <c r="AE23" i="8"/>
  <c r="AB23" i="8"/>
  <c r="U23" i="8"/>
  <c r="AD25" i="8"/>
  <c r="AA25" i="8"/>
  <c r="Y23" i="8"/>
  <c r="AB25" i="8"/>
  <c r="W25" i="8"/>
  <c r="AP23" i="8"/>
  <c r="D23" i="8"/>
  <c r="AI23" i="8"/>
  <c r="W23" i="8"/>
  <c r="U25" i="8"/>
  <c r="AC23" i="8"/>
  <c r="X25" i="8"/>
  <c r="B23" i="8"/>
  <c r="AC25" i="8"/>
  <c r="AJ25" i="8"/>
  <c r="AN23" i="8"/>
  <c r="AE25" i="8"/>
  <c r="AJ23" i="8"/>
  <c r="AF23" i="8"/>
  <c r="AK23" i="8"/>
  <c r="T23" i="8"/>
  <c r="AK25" i="8"/>
  <c r="Z25" i="8"/>
  <c r="T25" i="8"/>
  <c r="AI25" i="8"/>
  <c r="N23" i="13"/>
  <c r="P23" i="13"/>
  <c r="AM554" i="5"/>
  <c r="L554" i="5"/>
  <c r="I554" i="12"/>
  <c r="Z554" i="5"/>
  <c r="AC554" i="5"/>
  <c r="I301" i="12"/>
  <c r="AM301" i="5"/>
  <c r="L301" i="5"/>
  <c r="Z301" i="5"/>
  <c r="AC301" i="5"/>
  <c r="R50" i="8"/>
  <c r="Y52" i="8" s="1"/>
  <c r="L28" i="5"/>
  <c r="I28" i="12"/>
  <c r="AM28" i="5"/>
  <c r="Z28" i="5"/>
  <c r="AC28" i="5"/>
  <c r="R20" i="8"/>
  <c r="Y22" i="8" s="1"/>
  <c r="G75" i="8"/>
  <c r="G74" i="8"/>
  <c r="I75" i="8" s="1"/>
  <c r="F74" i="8"/>
  <c r="F75" i="8"/>
  <c r="D16" i="13"/>
  <c r="AO495" i="12"/>
  <c r="O495" i="12"/>
  <c r="N495" i="12" s="1"/>
  <c r="M495" i="12"/>
  <c r="C364" i="6"/>
  <c r="O364" i="5"/>
  <c r="I56" i="12"/>
  <c r="AM56" i="5"/>
  <c r="L56" i="5"/>
  <c r="Z56" i="5"/>
  <c r="AC56" i="5"/>
  <c r="D17" i="13"/>
  <c r="X364" i="12"/>
  <c r="W364" i="12"/>
  <c r="X283" i="12"/>
  <c r="W283" i="12"/>
  <c r="W212" i="12"/>
  <c r="X212" i="12"/>
  <c r="X43" i="12"/>
  <c r="W43" i="12"/>
  <c r="AO703" i="12"/>
  <c r="M703" i="12"/>
  <c r="O703" i="12"/>
  <c r="C43" i="6"/>
  <c r="O43" i="5"/>
  <c r="D20" i="13"/>
  <c r="AN29" i="8"/>
  <c r="AB29" i="8"/>
  <c r="AM31" i="8"/>
  <c r="T31" i="8"/>
  <c r="X29" i="8"/>
  <c r="AP29" i="8"/>
  <c r="AE29" i="8"/>
  <c r="V29" i="8"/>
  <c r="AP31" i="8"/>
  <c r="C29" i="8"/>
  <c r="W29" i="8"/>
  <c r="AO31" i="8"/>
  <c r="AK31" i="8"/>
  <c r="AH29" i="8"/>
  <c r="Y29" i="8"/>
  <c r="T29" i="8"/>
  <c r="Z31" i="8"/>
  <c r="U31" i="8"/>
  <c r="AE31" i="8"/>
  <c r="AC31" i="8"/>
  <c r="AO29" i="8"/>
  <c r="AF29" i="8"/>
  <c r="Y31" i="8"/>
  <c r="AL29" i="8"/>
  <c r="Z29" i="8"/>
  <c r="U29" i="8"/>
  <c r="AQ29" i="8"/>
  <c r="AL31" i="8"/>
  <c r="D29" i="8"/>
  <c r="W31" i="8"/>
  <c r="AN31" i="8"/>
  <c r="AH31" i="8"/>
  <c r="AJ31" i="8"/>
  <c r="AI31" i="8"/>
  <c r="AC29" i="8"/>
  <c r="V31" i="8"/>
  <c r="AG31" i="8"/>
  <c r="AI29" i="8"/>
  <c r="AJ29" i="8"/>
  <c r="E31" i="8"/>
  <c r="B29" i="8"/>
  <c r="D31" i="8"/>
  <c r="AB31" i="8"/>
  <c r="AA29" i="8"/>
  <c r="AK29" i="8"/>
  <c r="AD29" i="8"/>
  <c r="AM29" i="8"/>
  <c r="AF31" i="8"/>
  <c r="AG29" i="8"/>
  <c r="AA31" i="8"/>
  <c r="AD31" i="8"/>
  <c r="X31" i="8"/>
  <c r="AQ31" i="8"/>
  <c r="L580" i="5"/>
  <c r="AM580" i="5"/>
  <c r="I580" i="12"/>
  <c r="Z580" i="5"/>
  <c r="AC580" i="5"/>
  <c r="C298" i="6"/>
  <c r="O298" i="5"/>
  <c r="AM193" i="5"/>
  <c r="L193" i="5"/>
  <c r="I193" i="12"/>
  <c r="Z193" i="5"/>
  <c r="AC193" i="5"/>
  <c r="AM259" i="5"/>
  <c r="L259" i="5"/>
  <c r="I259" i="12"/>
  <c r="Z259" i="5"/>
  <c r="AC259" i="5"/>
  <c r="R44" i="8"/>
  <c r="X650" i="12"/>
  <c r="W650" i="12"/>
  <c r="N426" i="12"/>
  <c r="N256" i="12"/>
  <c r="X167" i="12"/>
  <c r="W167" i="12"/>
  <c r="X107" i="12"/>
  <c r="W107" i="12"/>
  <c r="C48" i="12"/>
  <c r="J48" i="12"/>
  <c r="L48" i="12"/>
  <c r="P19" i="13"/>
  <c r="N19" i="13"/>
  <c r="AO122" i="12"/>
  <c r="O122" i="12"/>
  <c r="N122" i="12" s="1"/>
  <c r="M122" i="12"/>
  <c r="C49" i="6"/>
  <c r="O49" i="5"/>
  <c r="G14" i="8"/>
  <c r="I15" i="8" s="1"/>
  <c r="G15" i="8"/>
  <c r="F14" i="8"/>
  <c r="F15" i="8"/>
  <c r="C503" i="12"/>
  <c r="L503" i="12"/>
  <c r="J503" i="12"/>
  <c r="C369" i="6"/>
  <c r="O369" i="5"/>
  <c r="Y173" i="12"/>
  <c r="O161" i="12"/>
  <c r="AO161" i="12"/>
  <c r="M161" i="12"/>
  <c r="C129" i="12"/>
  <c r="L129" i="12"/>
  <c r="J129" i="12"/>
  <c r="N31" i="12"/>
  <c r="AO528" i="12"/>
  <c r="O528" i="12"/>
  <c r="M528" i="12"/>
  <c r="M172" i="12"/>
  <c r="O172" i="12"/>
  <c r="AO172" i="12"/>
  <c r="Y172" i="12" s="1"/>
  <c r="C592" i="12"/>
  <c r="L592" i="12"/>
  <c r="J592" i="12"/>
  <c r="C482" i="12"/>
  <c r="J482" i="12"/>
  <c r="L482" i="12"/>
  <c r="C523" i="6"/>
  <c r="O523" i="5"/>
  <c r="C372" i="12"/>
  <c r="J372" i="12"/>
  <c r="L372" i="12"/>
  <c r="C40" i="6"/>
  <c r="O40" i="5"/>
  <c r="C17" i="12"/>
  <c r="L17" i="12"/>
  <c r="J17" i="12"/>
  <c r="D18" i="13"/>
  <c r="W391" i="12"/>
  <c r="X391" i="12"/>
  <c r="X298" i="12"/>
  <c r="W298" i="12"/>
  <c r="W49" i="12"/>
  <c r="X49" i="12"/>
  <c r="AM446" i="5"/>
  <c r="L446" i="5"/>
  <c r="I446" i="12"/>
  <c r="Z446" i="5"/>
  <c r="AC446" i="5"/>
  <c r="R59" i="8"/>
  <c r="AD61" i="8" s="1"/>
  <c r="L657" i="5"/>
  <c r="AM657" i="5"/>
  <c r="I657" i="12"/>
  <c r="Z657" i="5"/>
  <c r="AC657" i="5"/>
  <c r="C647" i="6"/>
  <c r="O647" i="5"/>
  <c r="X129" i="12"/>
  <c r="W129" i="12"/>
  <c r="L112" i="5"/>
  <c r="AM112" i="5"/>
  <c r="I112" i="12"/>
  <c r="Z112" i="5"/>
  <c r="AC112" i="5"/>
  <c r="C31" i="12"/>
  <c r="J31" i="12"/>
  <c r="L31" i="12"/>
  <c r="C14" i="11"/>
  <c r="Z14" i="11"/>
  <c r="L14" i="13"/>
  <c r="C629" i="12"/>
  <c r="L629" i="12"/>
  <c r="J629" i="12"/>
  <c r="W142" i="12"/>
  <c r="X142" i="12"/>
  <c r="C29" i="6"/>
  <c r="O29" i="5"/>
  <c r="AD68" i="8"/>
  <c r="AF68" i="8"/>
  <c r="AC68" i="8"/>
  <c r="D68" i="8"/>
  <c r="Y68" i="8"/>
  <c r="T68" i="8"/>
  <c r="AM68" i="8"/>
  <c r="AE68" i="8"/>
  <c r="U68" i="8"/>
  <c r="AQ68" i="8"/>
  <c r="AL68" i="8"/>
  <c r="AJ68" i="8"/>
  <c r="X68" i="8"/>
  <c r="AN68" i="8"/>
  <c r="AO68" i="8"/>
  <c r="E70" i="8"/>
  <c r="X70" i="8"/>
  <c r="AF70" i="8"/>
  <c r="B68" i="8"/>
  <c r="AA68" i="8"/>
  <c r="AH68" i="8"/>
  <c r="AB68" i="8"/>
  <c r="V70" i="8"/>
  <c r="U70" i="8"/>
  <c r="AE70" i="8"/>
  <c r="AP70" i="8"/>
  <c r="AM70" i="8"/>
  <c r="AJ70" i="8"/>
  <c r="AO70" i="8"/>
  <c r="AN70" i="8"/>
  <c r="AC70" i="8"/>
  <c r="AD70" i="8"/>
  <c r="AI68" i="8"/>
  <c r="V68" i="8"/>
  <c r="W68" i="8"/>
  <c r="W70" i="8"/>
  <c r="AI70" i="8"/>
  <c r="Z70" i="8"/>
  <c r="AG70" i="8"/>
  <c r="D70" i="8"/>
  <c r="AB70" i="8"/>
  <c r="AQ70" i="8"/>
  <c r="AH70" i="8"/>
  <c r="C68" i="8"/>
  <c r="AK70" i="8"/>
  <c r="AA70" i="8"/>
  <c r="T70" i="8"/>
  <c r="Y70" i="8"/>
  <c r="AG68" i="8"/>
  <c r="AK68" i="8"/>
  <c r="Z68" i="8"/>
  <c r="AP68" i="8"/>
  <c r="AL70" i="8"/>
  <c r="C238" i="12"/>
  <c r="J238" i="12"/>
  <c r="L238" i="12"/>
  <c r="K238" i="12" s="1"/>
  <c r="Z85" i="8"/>
  <c r="AN85" i="8"/>
  <c r="AA83" i="8"/>
  <c r="AN83" i="8"/>
  <c r="AL83" i="8"/>
  <c r="D83" i="8"/>
  <c r="AF83" i="8"/>
  <c r="Y83" i="8"/>
  <c r="AJ85" i="8"/>
  <c r="AE85" i="8"/>
  <c r="X85" i="8"/>
  <c r="U83" i="8"/>
  <c r="AO85" i="8"/>
  <c r="W85" i="8"/>
  <c r="AD85" i="8"/>
  <c r="AQ83" i="8"/>
  <c r="W83" i="8"/>
  <c r="D85" i="8"/>
  <c r="AI85" i="8"/>
  <c r="AB85" i="8"/>
  <c r="AO83" i="8"/>
  <c r="AG85" i="8"/>
  <c r="AH85" i="8"/>
  <c r="AE83" i="8"/>
  <c r="AG83" i="8"/>
  <c r="AJ83" i="8"/>
  <c r="AQ85" i="8"/>
  <c r="AD83" i="8"/>
  <c r="C83" i="8"/>
  <c r="AI83" i="8"/>
  <c r="AA85" i="8"/>
  <c r="E85" i="8"/>
  <c r="V83" i="8"/>
  <c r="AP85" i="8"/>
  <c r="AB83" i="8"/>
  <c r="Z83" i="8"/>
  <c r="AF85" i="8"/>
  <c r="AC85" i="8"/>
  <c r="U85" i="8"/>
  <c r="AL85" i="8"/>
  <c r="AC83" i="8"/>
  <c r="V85" i="8"/>
  <c r="AK83" i="8"/>
  <c r="T85" i="8"/>
  <c r="Y85" i="8"/>
  <c r="X83" i="8"/>
  <c r="T83" i="8"/>
  <c r="B83" i="8"/>
  <c r="AH83" i="8"/>
  <c r="AP83" i="8"/>
  <c r="AM85" i="8"/>
  <c r="AM83" i="8"/>
  <c r="AK85" i="8"/>
  <c r="AC88" i="8"/>
  <c r="AF88" i="8"/>
  <c r="AD86" i="8"/>
  <c r="T86" i="8"/>
  <c r="AB88" i="8"/>
  <c r="AE88" i="8"/>
  <c r="Y88" i="8"/>
  <c r="AD88" i="8"/>
  <c r="AO88" i="8"/>
  <c r="AC86" i="8"/>
  <c r="U86" i="8"/>
  <c r="AP86" i="8"/>
  <c r="AL86" i="8"/>
  <c r="AM88" i="8"/>
  <c r="AQ86" i="8"/>
  <c r="AE86" i="8"/>
  <c r="AG86" i="8"/>
  <c r="AL88" i="8"/>
  <c r="Z86" i="8"/>
  <c r="D88" i="8"/>
  <c r="W86" i="8"/>
  <c r="AO86" i="8"/>
  <c r="U88" i="8"/>
  <c r="AJ86" i="8"/>
  <c r="AB86" i="8"/>
  <c r="AN88" i="8"/>
  <c r="AA88" i="8"/>
  <c r="V86" i="8"/>
  <c r="AP88" i="8"/>
  <c r="AK86" i="8"/>
  <c r="E88" i="8"/>
  <c r="Z88" i="8"/>
  <c r="AI88" i="8"/>
  <c r="AA86" i="8"/>
  <c r="C86" i="8"/>
  <c r="T88" i="8"/>
  <c r="AQ88" i="8"/>
  <c r="AH88" i="8"/>
  <c r="AK88" i="8"/>
  <c r="AG88" i="8"/>
  <c r="AN86" i="8"/>
  <c r="W88" i="8"/>
  <c r="AH86" i="8"/>
  <c r="Y86" i="8"/>
  <c r="V88" i="8"/>
  <c r="AI86" i="8"/>
  <c r="AF86" i="8"/>
  <c r="AM86" i="8"/>
  <c r="D86" i="8"/>
  <c r="AJ88" i="8"/>
  <c r="X88" i="8"/>
  <c r="B86" i="8"/>
  <c r="X86" i="8"/>
  <c r="C283" i="6"/>
  <c r="O283" i="5"/>
  <c r="C650" i="12"/>
  <c r="J650" i="12"/>
  <c r="L650" i="12"/>
  <c r="C360" i="12"/>
  <c r="L360" i="12"/>
  <c r="K360" i="12" s="1"/>
  <c r="J360" i="12"/>
  <c r="C256" i="6"/>
  <c r="O256" i="5"/>
  <c r="C137" i="6"/>
  <c r="O137" i="5"/>
  <c r="W152" i="12"/>
  <c r="X152" i="12"/>
  <c r="X48" i="12"/>
  <c r="W48" i="12"/>
  <c r="X17" i="12"/>
  <c r="W17" i="12"/>
  <c r="N18" i="13"/>
  <c r="P18" i="13"/>
  <c r="I220" i="12"/>
  <c r="L220" i="5"/>
  <c r="AM220" i="5"/>
  <c r="Z220" i="5"/>
  <c r="AC220" i="5"/>
  <c r="C153" i="6"/>
  <c r="O153" i="5"/>
  <c r="AM371" i="5"/>
  <c r="I371" i="12"/>
  <c r="L371" i="5"/>
  <c r="Z371" i="5"/>
  <c r="AC371" i="5"/>
  <c r="R53" i="8"/>
  <c r="AQ55" i="8" s="1"/>
  <c r="W647" i="12"/>
  <c r="X647" i="12"/>
  <c r="M260" i="12"/>
  <c r="O260" i="12"/>
  <c r="AO260" i="12"/>
  <c r="Y260" i="12" s="1"/>
  <c r="C150" i="12"/>
  <c r="J150" i="12"/>
  <c r="L150" i="12"/>
  <c r="L102" i="5"/>
  <c r="AM102" i="5"/>
  <c r="I102" i="12"/>
  <c r="Z102" i="5"/>
  <c r="AC102" i="5"/>
  <c r="C82" i="6"/>
  <c r="O82" i="5"/>
  <c r="C234" i="12"/>
  <c r="L234" i="12"/>
  <c r="J234" i="12"/>
  <c r="X386" i="12"/>
  <c r="W386" i="12"/>
  <c r="X234" i="12"/>
  <c r="W234" i="12"/>
  <c r="L181" i="5"/>
  <c r="I181" i="12"/>
  <c r="AM181" i="5"/>
  <c r="Z181" i="5"/>
  <c r="AC181" i="5"/>
  <c r="N43" i="12"/>
  <c r="I703" i="12"/>
  <c r="AM703" i="5"/>
  <c r="L703" i="5"/>
  <c r="Z703" i="5"/>
  <c r="AC703" i="5"/>
  <c r="R92" i="8"/>
  <c r="Y16" i="12"/>
  <c r="C212" i="12"/>
  <c r="L212" i="12"/>
  <c r="J212" i="12"/>
  <c r="C628" i="12"/>
  <c r="L628" i="12"/>
  <c r="J628" i="12"/>
  <c r="C351" i="12"/>
  <c r="L351" i="12"/>
  <c r="J351" i="12"/>
  <c r="C298" i="12"/>
  <c r="J298" i="12"/>
  <c r="L298" i="12"/>
  <c r="C219" i="12"/>
  <c r="L219" i="12"/>
  <c r="J219" i="12"/>
  <c r="X523" i="12"/>
  <c r="W523" i="12"/>
  <c r="C167" i="6"/>
  <c r="O167" i="5"/>
  <c r="C699" i="6"/>
  <c r="O699" i="5"/>
  <c r="AM131" i="5"/>
  <c r="L131" i="5"/>
  <c r="I131" i="12"/>
  <c r="Z131" i="5"/>
  <c r="AC131" i="5"/>
  <c r="I282" i="12"/>
  <c r="AM282" i="5"/>
  <c r="L282" i="5"/>
  <c r="Z282" i="5"/>
  <c r="AC282" i="5"/>
  <c r="R47" i="8"/>
  <c r="AE49" i="8" s="1"/>
  <c r="D23" i="13"/>
  <c r="L529" i="5"/>
  <c r="AM529" i="5"/>
  <c r="I529" i="12"/>
  <c r="Z529" i="5"/>
  <c r="AC529" i="5"/>
  <c r="C173" i="6"/>
  <c r="O173" i="5"/>
  <c r="X82" i="12"/>
  <c r="W82" i="12"/>
  <c r="N636" i="12"/>
  <c r="N523" i="12"/>
  <c r="N507" i="12"/>
  <c r="N372" i="12"/>
  <c r="N302" i="12"/>
  <c r="N167" i="12"/>
  <c r="Y73" i="12"/>
  <c r="C48" i="6"/>
  <c r="O48" i="5"/>
  <c r="AB708" i="5"/>
  <c r="AA708" i="5"/>
  <c r="C708" i="12"/>
  <c r="O708" i="12"/>
  <c r="AO708" i="12"/>
  <c r="M708" i="12"/>
  <c r="C634" i="12"/>
  <c r="J634" i="12"/>
  <c r="L634" i="12"/>
  <c r="M535" i="12"/>
  <c r="O535" i="12"/>
  <c r="AO535" i="12"/>
  <c r="C492" i="12"/>
  <c r="L492" i="12"/>
  <c r="J492" i="12"/>
  <c r="C244" i="12"/>
  <c r="L244" i="12"/>
  <c r="K244" i="12" s="1"/>
  <c r="J244" i="12"/>
  <c r="C49" i="12"/>
  <c r="L49" i="12"/>
  <c r="J49" i="12"/>
  <c r="C688" i="12"/>
  <c r="L688" i="12"/>
  <c r="J688" i="12"/>
  <c r="C369" i="12"/>
  <c r="J369" i="12"/>
  <c r="L369" i="12"/>
  <c r="C592" i="6"/>
  <c r="O592" i="5"/>
  <c r="O155" i="12"/>
  <c r="AO155" i="12"/>
  <c r="M155" i="12"/>
  <c r="C482" i="6"/>
  <c r="O482" i="5"/>
  <c r="C523" i="12"/>
  <c r="J523" i="12"/>
  <c r="L523" i="12"/>
  <c r="C372" i="6"/>
  <c r="O372" i="5"/>
  <c r="C40" i="12"/>
  <c r="J40" i="12"/>
  <c r="L40" i="12"/>
  <c r="C618" i="12"/>
  <c r="J618" i="12"/>
  <c r="L618" i="12"/>
  <c r="C491" i="12"/>
  <c r="L491" i="12"/>
  <c r="J491" i="12"/>
  <c r="C17" i="6"/>
  <c r="O17" i="5"/>
  <c r="D19" i="13"/>
  <c r="D22" i="13"/>
  <c r="N351" i="12"/>
  <c r="N298" i="12"/>
  <c r="L269" i="5"/>
  <c r="I269" i="12"/>
  <c r="AM269" i="5"/>
  <c r="Z269" i="5"/>
  <c r="AC269" i="5"/>
  <c r="N86" i="12"/>
  <c r="AO446" i="12"/>
  <c r="O446" i="12"/>
  <c r="M446" i="12"/>
  <c r="AM429" i="5"/>
  <c r="I429" i="12"/>
  <c r="L429" i="5"/>
  <c r="Z429" i="5"/>
  <c r="AC429" i="5"/>
  <c r="N150" i="12"/>
  <c r="AO112" i="12"/>
  <c r="O112" i="12"/>
  <c r="M112" i="12"/>
  <c r="C31" i="6"/>
  <c r="O31" i="5"/>
  <c r="P21" i="13"/>
  <c r="N21" i="13"/>
  <c r="C16" i="12"/>
  <c r="L16" i="12"/>
  <c r="J16" i="12"/>
  <c r="M93" i="12"/>
  <c r="AO93" i="12"/>
  <c r="Y93" i="12" s="1"/>
  <c r="O93" i="12"/>
  <c r="C29" i="12"/>
  <c r="L29" i="12"/>
  <c r="K29" i="12" s="1"/>
  <c r="J29" i="12"/>
  <c r="Y628" i="12"/>
  <c r="N238" i="12"/>
  <c r="X1" i="8"/>
  <c r="AE3" i="8"/>
  <c r="W3" i="8"/>
  <c r="AP1" i="8"/>
  <c r="AM3" i="8"/>
  <c r="AE1" i="8"/>
  <c r="AP3" i="8"/>
  <c r="AO3" i="8"/>
  <c r="AF1" i="8"/>
  <c r="AB1" i="8"/>
  <c r="B1" i="8"/>
  <c r="AK3" i="8"/>
  <c r="AF3" i="8"/>
  <c r="W1" i="8"/>
  <c r="AQ1" i="8"/>
  <c r="C1" i="8"/>
  <c r="AC3" i="8"/>
  <c r="AQ3" i="8"/>
  <c r="AC1" i="8"/>
  <c r="T3" i="8"/>
  <c r="AL3" i="8"/>
  <c r="E3" i="8"/>
  <c r="V3" i="8"/>
  <c r="AG3" i="8"/>
  <c r="U1" i="8"/>
  <c r="AJ3" i="8"/>
  <c r="Y1" i="8"/>
  <c r="AI3" i="8"/>
  <c r="AN3" i="8"/>
  <c r="AO1" i="8"/>
  <c r="AJ1" i="8"/>
  <c r="AA3" i="8"/>
  <c r="U3" i="8"/>
  <c r="AM1" i="8"/>
  <c r="D3" i="8"/>
  <c r="AL1" i="8"/>
  <c r="AH3" i="8"/>
  <c r="V1" i="8"/>
  <c r="AD3" i="8"/>
  <c r="AG1" i="8"/>
  <c r="Z1" i="8"/>
  <c r="T1" i="8"/>
  <c r="Y3" i="8"/>
  <c r="AH1" i="8"/>
  <c r="AB3" i="8"/>
  <c r="D1" i="8"/>
  <c r="X3" i="8"/>
  <c r="Z3" i="8"/>
  <c r="AD1" i="8"/>
  <c r="AK1" i="8"/>
  <c r="AI1" i="8"/>
  <c r="AN1" i="8"/>
  <c r="AA1" i="8"/>
  <c r="C386" i="6"/>
  <c r="O386" i="5"/>
  <c r="C142" i="6"/>
  <c r="O142" i="5"/>
  <c r="AO672" i="12"/>
  <c r="M672" i="12"/>
  <c r="O672" i="12"/>
  <c r="N672" i="12" s="1"/>
  <c r="C650" i="6"/>
  <c r="O650" i="5"/>
  <c r="C426" i="6"/>
  <c r="O426" i="5"/>
  <c r="C302" i="6"/>
  <c r="O302" i="5"/>
  <c r="C256" i="12"/>
  <c r="L256" i="12"/>
  <c r="J256" i="12"/>
  <c r="N618" i="12"/>
  <c r="Y491" i="12"/>
  <c r="N48" i="12"/>
  <c r="AG95" i="8"/>
  <c r="AL95" i="8"/>
  <c r="Y95" i="8"/>
  <c r="AN95" i="8"/>
  <c r="AF95" i="8"/>
  <c r="Z95" i="8"/>
  <c r="AK95" i="8"/>
  <c r="E97" i="8"/>
  <c r="AP95" i="8"/>
  <c r="AA95" i="8"/>
  <c r="AJ95" i="8"/>
  <c r="AB95" i="8"/>
  <c r="W95" i="8"/>
  <c r="X95" i="8"/>
  <c r="D95" i="8"/>
  <c r="AD95" i="8"/>
  <c r="AO95" i="8"/>
  <c r="AM95" i="8"/>
  <c r="V95" i="8"/>
  <c r="AQ95" i="8"/>
  <c r="AC95" i="8"/>
  <c r="U95" i="8"/>
  <c r="T95" i="8"/>
  <c r="AI95" i="8"/>
  <c r="AE95" i="8"/>
  <c r="AH95" i="8"/>
  <c r="N634" i="12"/>
  <c r="AM600" i="5"/>
  <c r="I600" i="12"/>
  <c r="L600" i="5"/>
  <c r="Z600" i="5"/>
  <c r="AC600" i="5"/>
  <c r="N244" i="12"/>
  <c r="C86" i="6"/>
  <c r="O86" i="5"/>
  <c r="C36" i="12"/>
  <c r="L36" i="12"/>
  <c r="J36" i="12"/>
  <c r="C668" i="12"/>
  <c r="L668" i="12"/>
  <c r="J668" i="12"/>
  <c r="X707" i="5"/>
  <c r="N647" i="12"/>
  <c r="O554" i="12"/>
  <c r="M554" i="12"/>
  <c r="AO554" i="12"/>
  <c r="Y554" i="12" s="1"/>
  <c r="C150" i="6"/>
  <c r="O150" i="5"/>
  <c r="AO102" i="12"/>
  <c r="Y102" i="12" s="1"/>
  <c r="M102" i="12"/>
  <c r="O102" i="12"/>
  <c r="C82" i="12"/>
  <c r="L82" i="12"/>
  <c r="J82" i="12"/>
  <c r="Y592" i="12"/>
  <c r="C234" i="6"/>
  <c r="O234" i="5"/>
  <c r="M56" i="12"/>
  <c r="O56" i="12"/>
  <c r="AO56" i="12"/>
  <c r="N386" i="12"/>
  <c r="N283" i="12"/>
  <c r="N234" i="12"/>
  <c r="N212" i="12"/>
  <c r="M181" i="12"/>
  <c r="AO181" i="12"/>
  <c r="Y181" i="12" s="1"/>
  <c r="O181" i="12"/>
  <c r="U706" i="12"/>
  <c r="T706" i="12"/>
  <c r="V706" i="12"/>
  <c r="C43" i="12"/>
  <c r="J43" i="12"/>
  <c r="L43" i="12"/>
  <c r="K43" i="12" s="1"/>
  <c r="AJ32" i="8" l="1"/>
  <c r="U32" i="8"/>
  <c r="AE32" i="8"/>
  <c r="AG32" i="8"/>
  <c r="AH32" i="8"/>
  <c r="N112" i="12"/>
  <c r="K688" i="12"/>
  <c r="K219" i="12"/>
  <c r="K212" i="12"/>
  <c r="K234" i="12"/>
  <c r="N528" i="12"/>
  <c r="K129" i="12"/>
  <c r="N161" i="12"/>
  <c r="AL32" i="8"/>
  <c r="AC32" i="8"/>
  <c r="D32" i="8"/>
  <c r="T32" i="8"/>
  <c r="X32" i="8"/>
  <c r="Y32" i="8"/>
  <c r="K16" i="12"/>
  <c r="Y112" i="12"/>
  <c r="N446" i="12"/>
  <c r="K492" i="12"/>
  <c r="K150" i="12"/>
  <c r="N260" i="12"/>
  <c r="K650" i="12"/>
  <c r="K372" i="12"/>
  <c r="N172" i="12"/>
  <c r="K426" i="12"/>
  <c r="Y269" i="12"/>
  <c r="K107" i="12"/>
  <c r="W32" i="8"/>
  <c r="AI32" i="8"/>
  <c r="V32" i="8"/>
  <c r="AN32" i="8"/>
  <c r="E34" i="8"/>
  <c r="AK32" i="8"/>
  <c r="AO32" i="8"/>
  <c r="K634" i="12"/>
  <c r="K31" i="12"/>
  <c r="K48" i="12"/>
  <c r="AA32" i="8"/>
  <c r="AD32" i="8"/>
  <c r="AQ32" i="8"/>
  <c r="AF32" i="8"/>
  <c r="AP32" i="8"/>
  <c r="Z32" i="8"/>
  <c r="D31" i="12"/>
  <c r="E31" i="6"/>
  <c r="K82" i="12"/>
  <c r="X102" i="12"/>
  <c r="W102" i="12"/>
  <c r="N181" i="12"/>
  <c r="N56" i="12"/>
  <c r="X592" i="12"/>
  <c r="W592" i="12"/>
  <c r="N102" i="12"/>
  <c r="E86" i="6"/>
  <c r="D86" i="12"/>
  <c r="E302" i="6"/>
  <c r="D302" i="12"/>
  <c r="D650" i="12"/>
  <c r="E650" i="6"/>
  <c r="Y672" i="12"/>
  <c r="X93" i="12"/>
  <c r="W93" i="12"/>
  <c r="C269" i="6"/>
  <c r="O269" i="5"/>
  <c r="K618" i="12"/>
  <c r="K523" i="12"/>
  <c r="D592" i="12"/>
  <c r="E592" i="6"/>
  <c r="X73" i="12"/>
  <c r="W73" i="12"/>
  <c r="G93" i="8"/>
  <c r="G92" i="8"/>
  <c r="I93" i="8" s="1"/>
  <c r="F92" i="8"/>
  <c r="F93" i="8"/>
  <c r="T234" i="12"/>
  <c r="U234" i="12"/>
  <c r="V234" i="12"/>
  <c r="D153" i="12"/>
  <c r="E153" i="6"/>
  <c r="T142" i="12"/>
  <c r="V142" i="12"/>
  <c r="U142" i="12"/>
  <c r="D14" i="13"/>
  <c r="V14" i="13"/>
  <c r="D647" i="12"/>
  <c r="E647" i="6"/>
  <c r="C657" i="12"/>
  <c r="J657" i="12"/>
  <c r="L657" i="12"/>
  <c r="D40" i="12"/>
  <c r="E40" i="6"/>
  <c r="Y161" i="12"/>
  <c r="V107" i="12"/>
  <c r="T107" i="12"/>
  <c r="U107" i="12"/>
  <c r="G44" i="8"/>
  <c r="I45" i="8" s="1"/>
  <c r="G45" i="8"/>
  <c r="F44" i="8"/>
  <c r="F45" i="8"/>
  <c r="C259" i="6"/>
  <c r="O259" i="5"/>
  <c r="C193" i="12"/>
  <c r="J193" i="12"/>
  <c r="L193" i="12"/>
  <c r="K193" i="12" s="1"/>
  <c r="N703" i="12"/>
  <c r="C301" i="12"/>
  <c r="J301" i="12"/>
  <c r="L301" i="12"/>
  <c r="K301" i="12" s="1"/>
  <c r="C554" i="6"/>
  <c r="O554" i="5"/>
  <c r="N220" i="12"/>
  <c r="X600" i="12"/>
  <c r="W600" i="12"/>
  <c r="V634" i="12"/>
  <c r="T634" i="12"/>
  <c r="U634" i="12"/>
  <c r="AL94" i="8"/>
  <c r="W94" i="8"/>
  <c r="Y94" i="8"/>
  <c r="AF94" i="8"/>
  <c r="AP94" i="8"/>
  <c r="C92" i="8"/>
  <c r="Z94" i="8"/>
  <c r="C390" i="6"/>
  <c r="O390" i="5"/>
  <c r="K647" i="12"/>
  <c r="U351" i="12"/>
  <c r="T351" i="12"/>
  <c r="V351" i="12"/>
  <c r="D107" i="12"/>
  <c r="E107" i="6"/>
  <c r="G32" i="8"/>
  <c r="I33" i="8" s="1"/>
  <c r="G33" i="8"/>
  <c r="F33" i="8"/>
  <c r="F32" i="8"/>
  <c r="C172" i="6"/>
  <c r="O172" i="5"/>
  <c r="E129" i="6"/>
  <c r="D129" i="12"/>
  <c r="Y513" i="12"/>
  <c r="C122" i="12"/>
  <c r="L122" i="12"/>
  <c r="J122" i="12"/>
  <c r="D244" i="12"/>
  <c r="E244" i="6"/>
  <c r="D708" i="12"/>
  <c r="E708" i="6"/>
  <c r="V210" i="12"/>
  <c r="T210" i="12"/>
  <c r="U210" i="12"/>
  <c r="U372" i="12"/>
  <c r="V372" i="12"/>
  <c r="T372" i="12"/>
  <c r="K173" i="12"/>
  <c r="D628" i="12"/>
  <c r="E628" i="6"/>
  <c r="H74" i="8"/>
  <c r="C495" i="12"/>
  <c r="L495" i="12"/>
  <c r="J495" i="12"/>
  <c r="T629" i="12"/>
  <c r="V629" i="12"/>
  <c r="U629" i="12"/>
  <c r="AJ14" i="13"/>
  <c r="R14" i="13" s="1"/>
  <c r="AK14" i="13"/>
  <c r="S14" i="13" s="1"/>
  <c r="C260" i="12"/>
  <c r="J260" i="12"/>
  <c r="L260" i="12"/>
  <c r="K260" i="12" s="1"/>
  <c r="D391" i="12"/>
  <c r="E391" i="6"/>
  <c r="X243" i="12"/>
  <c r="W243" i="12"/>
  <c r="E360" i="6"/>
  <c r="D360" i="12"/>
  <c r="K386" i="12"/>
  <c r="C93" i="12"/>
  <c r="J93" i="12"/>
  <c r="L93" i="12"/>
  <c r="W503" i="12"/>
  <c r="X503" i="12"/>
  <c r="D491" i="12"/>
  <c r="E491" i="6"/>
  <c r="H65" i="8"/>
  <c r="D73" i="12"/>
  <c r="E73" i="6"/>
  <c r="C155" i="6"/>
  <c r="O155" i="5"/>
  <c r="C513" i="12"/>
  <c r="J513" i="12"/>
  <c r="L513" i="12"/>
  <c r="W40" i="12"/>
  <c r="X40" i="12"/>
  <c r="W426" i="12"/>
  <c r="X426" i="12"/>
  <c r="X259" i="12"/>
  <c r="W259" i="12"/>
  <c r="X193" i="12"/>
  <c r="W193" i="12"/>
  <c r="E351" i="6"/>
  <c r="D351" i="12"/>
  <c r="Q15" i="6"/>
  <c r="F14" i="7"/>
  <c r="F19" i="7"/>
  <c r="F16" i="7"/>
  <c r="F18" i="7"/>
  <c r="F17" i="7"/>
  <c r="F20" i="7"/>
  <c r="F21" i="7"/>
  <c r="F22" i="7"/>
  <c r="F23" i="7"/>
  <c r="AB709" i="5"/>
  <c r="AB15" i="5" s="1"/>
  <c r="AA709" i="5"/>
  <c r="AA15" i="5" s="1"/>
  <c r="C709" i="12"/>
  <c r="AO709" i="12"/>
  <c r="Y709" i="12" s="1"/>
  <c r="M709" i="12"/>
  <c r="M702" i="12" s="1"/>
  <c r="O709" i="12"/>
  <c r="N709" i="12" s="1"/>
  <c r="C66" i="6"/>
  <c r="O66" i="5"/>
  <c r="T153" i="12"/>
  <c r="U153" i="12"/>
  <c r="V153" i="12"/>
  <c r="AI28" i="8"/>
  <c r="AN28" i="8"/>
  <c r="AO28" i="8"/>
  <c r="Y28" i="8"/>
  <c r="C26" i="8"/>
  <c r="AG28" i="8"/>
  <c r="T28" i="8"/>
  <c r="AQ28" i="8"/>
  <c r="W28" i="8"/>
  <c r="C50" i="8"/>
  <c r="AH52" i="8"/>
  <c r="AG52" i="8"/>
  <c r="D52" i="8"/>
  <c r="AF52" i="8"/>
  <c r="AO52" i="8"/>
  <c r="AH58" i="8"/>
  <c r="AB58" i="8"/>
  <c r="V58" i="8"/>
  <c r="U58" i="8"/>
  <c r="B56" i="8"/>
  <c r="AG58" i="8"/>
  <c r="AO58" i="8"/>
  <c r="AJ58" i="8"/>
  <c r="AG46" i="8"/>
  <c r="AI46" i="8"/>
  <c r="W46" i="8"/>
  <c r="AF46" i="8"/>
  <c r="Z34" i="8"/>
  <c r="D34" i="8"/>
  <c r="AC34" i="8"/>
  <c r="AK34" i="8"/>
  <c r="AG34" i="8"/>
  <c r="X34" i="8"/>
  <c r="AA34" i="8"/>
  <c r="T34" i="8"/>
  <c r="AA22" i="8"/>
  <c r="T22" i="8"/>
  <c r="AF22" i="8"/>
  <c r="AM22" i="8"/>
  <c r="C20" i="8"/>
  <c r="AO22" i="8"/>
  <c r="AG49" i="8"/>
  <c r="AM49" i="8"/>
  <c r="X49" i="8"/>
  <c r="AQ49" i="8"/>
  <c r="AD49" i="8"/>
  <c r="AO49" i="8"/>
  <c r="C47" i="8"/>
  <c r="AQ61" i="8"/>
  <c r="Y61" i="8"/>
  <c r="AF61" i="8"/>
  <c r="AC61" i="8"/>
  <c r="T82" i="8"/>
  <c r="AM82" i="8"/>
  <c r="AK82" i="8"/>
  <c r="AF82" i="8"/>
  <c r="AP55" i="8"/>
  <c r="C53" i="8"/>
  <c r="U55" i="8"/>
  <c r="AE55" i="8"/>
  <c r="X55" i="8"/>
  <c r="AD55" i="8"/>
  <c r="AC55" i="8"/>
  <c r="X181" i="12"/>
  <c r="W181" i="12"/>
  <c r="X554" i="12"/>
  <c r="W554" i="12"/>
  <c r="X112" i="12"/>
  <c r="W112" i="12"/>
  <c r="Y708" i="12"/>
  <c r="AB702" i="5"/>
  <c r="AB15" i="11" s="1"/>
  <c r="AB707" i="5"/>
  <c r="D173" i="12"/>
  <c r="E173" i="6"/>
  <c r="C529" i="12"/>
  <c r="L529" i="12"/>
  <c r="J529" i="12"/>
  <c r="C282" i="6"/>
  <c r="O282" i="5"/>
  <c r="D699" i="12"/>
  <c r="E699" i="6"/>
  <c r="H86" i="8"/>
  <c r="V523" i="12"/>
  <c r="U523" i="12"/>
  <c r="T523" i="12"/>
  <c r="C703" i="12"/>
  <c r="L703" i="12"/>
  <c r="J703" i="12"/>
  <c r="C102" i="6"/>
  <c r="O102" i="5"/>
  <c r="X260" i="12"/>
  <c r="W260" i="12"/>
  <c r="U647" i="12"/>
  <c r="V647" i="12"/>
  <c r="T647" i="12"/>
  <c r="C371" i="6"/>
  <c r="O371" i="5"/>
  <c r="C220" i="6"/>
  <c r="O220" i="5"/>
  <c r="U17" i="12"/>
  <c r="V17" i="12"/>
  <c r="T17" i="12"/>
  <c r="E256" i="6"/>
  <c r="D256" i="12"/>
  <c r="E283" i="6"/>
  <c r="D283" i="12"/>
  <c r="D29" i="12"/>
  <c r="E29" i="6"/>
  <c r="C112" i="6"/>
  <c r="O112" i="5"/>
  <c r="E523" i="6"/>
  <c r="D523" i="12"/>
  <c r="W172" i="12"/>
  <c r="X172" i="12"/>
  <c r="C193" i="6"/>
  <c r="O193" i="5"/>
  <c r="C580" i="6"/>
  <c r="O580" i="5"/>
  <c r="E43" i="6"/>
  <c r="D43" i="12"/>
  <c r="U364" i="12"/>
  <c r="V364" i="12"/>
  <c r="T364" i="12"/>
  <c r="C56" i="12"/>
  <c r="L56" i="12"/>
  <c r="J56" i="12"/>
  <c r="G21" i="8"/>
  <c r="G20" i="8"/>
  <c r="I21" i="8" s="1"/>
  <c r="F21" i="8"/>
  <c r="F20" i="8"/>
  <c r="C28" i="12"/>
  <c r="J28" i="12"/>
  <c r="L28" i="12"/>
  <c r="M707" i="12"/>
  <c r="X371" i="12"/>
  <c r="W371" i="12"/>
  <c r="W219" i="12"/>
  <c r="X219" i="12"/>
  <c r="E210" i="6"/>
  <c r="D210" i="12"/>
  <c r="C672" i="6"/>
  <c r="O672" i="5"/>
  <c r="V94" i="8"/>
  <c r="AQ94" i="8"/>
  <c r="AA94" i="8"/>
  <c r="AO94" i="8"/>
  <c r="U94" i="8"/>
  <c r="AB94" i="8"/>
  <c r="G27" i="8"/>
  <c r="G26" i="8"/>
  <c r="I27" i="8" s="1"/>
  <c r="F27" i="8"/>
  <c r="F26" i="8"/>
  <c r="C92" i="6"/>
  <c r="O92" i="5"/>
  <c r="X429" i="12"/>
  <c r="W429" i="12"/>
  <c r="W657" i="12"/>
  <c r="X657" i="12"/>
  <c r="T86" i="12"/>
  <c r="U86" i="12"/>
  <c r="V86" i="12"/>
  <c r="X492" i="12"/>
  <c r="W492" i="12"/>
  <c r="C172" i="12"/>
  <c r="L172" i="12"/>
  <c r="J172" i="12"/>
  <c r="T636" i="12"/>
  <c r="U636" i="12"/>
  <c r="V636" i="12"/>
  <c r="N14" i="13"/>
  <c r="P14" i="13"/>
  <c r="N28" i="12"/>
  <c r="AN14" i="13"/>
  <c r="U14" i="13" s="1"/>
  <c r="C260" i="6"/>
  <c r="O260" i="5"/>
  <c r="V238" i="12"/>
  <c r="T238" i="12"/>
  <c r="U238" i="12"/>
  <c r="D629" i="12"/>
  <c r="E629" i="6"/>
  <c r="X390" i="12"/>
  <c r="W390" i="12"/>
  <c r="X688" i="12"/>
  <c r="W688" i="12"/>
  <c r="E688" i="6"/>
  <c r="D688" i="12"/>
  <c r="H83" i="8"/>
  <c r="E492" i="6"/>
  <c r="D492" i="12"/>
  <c r="X529" i="12"/>
  <c r="W529" i="12"/>
  <c r="X282" i="12"/>
  <c r="W282" i="12"/>
  <c r="L702" i="5"/>
  <c r="AM702" i="5"/>
  <c r="I702" i="12"/>
  <c r="Z702" i="5"/>
  <c r="AC702" i="5"/>
  <c r="R89" i="8"/>
  <c r="O15" i="11"/>
  <c r="Q32" i="10"/>
  <c r="I32" i="10"/>
  <c r="K32" i="10"/>
  <c r="W32" i="10"/>
  <c r="AE32" i="10"/>
  <c r="AM15" i="5"/>
  <c r="Z15" i="5"/>
  <c r="Y32" i="10"/>
  <c r="U32" i="10"/>
  <c r="O32" i="10"/>
  <c r="S32" i="10"/>
  <c r="M32" i="10"/>
  <c r="AC32" i="10"/>
  <c r="AA32" i="10"/>
  <c r="AK28" i="8"/>
  <c r="AP28" i="8"/>
  <c r="AC28" i="8"/>
  <c r="AM28" i="8"/>
  <c r="V28" i="8"/>
  <c r="AD28" i="8"/>
  <c r="B26" i="8"/>
  <c r="AF28" i="8"/>
  <c r="K152" i="12"/>
  <c r="T52" i="8"/>
  <c r="AJ52" i="8"/>
  <c r="AM52" i="8"/>
  <c r="X52" i="8"/>
  <c r="AI52" i="8"/>
  <c r="B50" i="8"/>
  <c r="AN52" i="8"/>
  <c r="AC58" i="8"/>
  <c r="AL58" i="8"/>
  <c r="AP58" i="8"/>
  <c r="AE58" i="8"/>
  <c r="AK58" i="8"/>
  <c r="AQ58" i="8"/>
  <c r="Z46" i="8"/>
  <c r="T46" i="8"/>
  <c r="AD46" i="8"/>
  <c r="AA46" i="8"/>
  <c r="AH46" i="8"/>
  <c r="U46" i="8"/>
  <c r="AB46" i="8"/>
  <c r="AO34" i="8"/>
  <c r="AE34" i="8"/>
  <c r="AM34" i="8"/>
  <c r="AD34" i="8"/>
  <c r="AP34" i="8"/>
  <c r="AN34" i="8"/>
  <c r="AP22" i="8"/>
  <c r="D22" i="8"/>
  <c r="Z22" i="8"/>
  <c r="AL22" i="8"/>
  <c r="B20" i="8"/>
  <c r="U22" i="8"/>
  <c r="W49" i="8"/>
  <c r="AC49" i="8"/>
  <c r="AJ49" i="8"/>
  <c r="Z49" i="8"/>
  <c r="AB49" i="8"/>
  <c r="U49" i="8"/>
  <c r="U61" i="8"/>
  <c r="AM61" i="8"/>
  <c r="Z61" i="8"/>
  <c r="AJ61" i="8"/>
  <c r="AI61" i="8"/>
  <c r="AN61" i="8"/>
  <c r="AP61" i="8"/>
  <c r="AE61" i="8"/>
  <c r="AK61" i="8"/>
  <c r="X82" i="8"/>
  <c r="AH82" i="8"/>
  <c r="B80" i="8"/>
  <c r="U82" i="8"/>
  <c r="AG82" i="8"/>
  <c r="Z82" i="8"/>
  <c r="AJ82" i="8"/>
  <c r="T55" i="8"/>
  <c r="AA55" i="8"/>
  <c r="AF55" i="8"/>
  <c r="AI55" i="8"/>
  <c r="B53" i="8"/>
  <c r="AM14" i="13"/>
  <c r="T14" i="13" s="1"/>
  <c r="C429" i="12"/>
  <c r="J429" i="12"/>
  <c r="L429" i="12"/>
  <c r="Y446" i="12"/>
  <c r="K491" i="12"/>
  <c r="E372" i="6"/>
  <c r="D372" i="12"/>
  <c r="Y155" i="12"/>
  <c r="K369" i="12"/>
  <c r="K49" i="12"/>
  <c r="Y535" i="12"/>
  <c r="N708" i="12"/>
  <c r="O702" i="12"/>
  <c r="E48" i="6"/>
  <c r="D48" i="12"/>
  <c r="H23" i="8"/>
  <c r="G47" i="8"/>
  <c r="I48" i="8" s="1"/>
  <c r="G48" i="8"/>
  <c r="F48" i="8"/>
  <c r="F47" i="8"/>
  <c r="C131" i="12"/>
  <c r="J131" i="12"/>
  <c r="L131" i="12"/>
  <c r="K628" i="12"/>
  <c r="C181" i="12"/>
  <c r="J181" i="12"/>
  <c r="L181" i="12"/>
  <c r="U386" i="12"/>
  <c r="T386" i="12"/>
  <c r="V386" i="12"/>
  <c r="G54" i="8"/>
  <c r="G53" i="8"/>
  <c r="I54" i="8" s="1"/>
  <c r="F54" i="8"/>
  <c r="F53" i="8"/>
  <c r="C371" i="12"/>
  <c r="J371" i="12"/>
  <c r="L371" i="12"/>
  <c r="C220" i="12"/>
  <c r="L220" i="12"/>
  <c r="J220" i="12"/>
  <c r="T152" i="12"/>
  <c r="U152" i="12"/>
  <c r="V152" i="12"/>
  <c r="K629" i="12"/>
  <c r="V129" i="12"/>
  <c r="U129" i="12"/>
  <c r="T129" i="12"/>
  <c r="C657" i="6"/>
  <c r="O657" i="5"/>
  <c r="C446" i="12"/>
  <c r="L446" i="12"/>
  <c r="J446" i="12"/>
  <c r="V49" i="12"/>
  <c r="T49" i="12"/>
  <c r="U49" i="12"/>
  <c r="U391" i="12"/>
  <c r="T391" i="12"/>
  <c r="V391" i="12"/>
  <c r="K17" i="12"/>
  <c r="Y528" i="12"/>
  <c r="W173" i="12"/>
  <c r="X173" i="12"/>
  <c r="K503" i="12"/>
  <c r="E49" i="6"/>
  <c r="D49" i="12"/>
  <c r="Y122" i="12"/>
  <c r="V167" i="12"/>
  <c r="U167" i="12"/>
  <c r="T167" i="12"/>
  <c r="U650" i="12"/>
  <c r="V650" i="12"/>
  <c r="T650" i="12"/>
  <c r="Y703" i="12"/>
  <c r="T212" i="12"/>
  <c r="V212" i="12"/>
  <c r="U212" i="12"/>
  <c r="D364" i="12"/>
  <c r="E364" i="6"/>
  <c r="Y495" i="12"/>
  <c r="C28" i="6"/>
  <c r="O28" i="5"/>
  <c r="C301" i="6"/>
  <c r="O301" i="5"/>
  <c r="O707" i="12"/>
  <c r="N707" i="12" s="1"/>
  <c r="Y220" i="12"/>
  <c r="N600" i="12"/>
  <c r="K137" i="12"/>
  <c r="G81" i="8"/>
  <c r="G80" i="8"/>
  <c r="I81" i="8" s="1"/>
  <c r="F80" i="8"/>
  <c r="F81" i="8"/>
  <c r="C672" i="12"/>
  <c r="L672" i="12"/>
  <c r="J672" i="12"/>
  <c r="AE94" i="8"/>
  <c r="AK94" i="8"/>
  <c r="AN94" i="8"/>
  <c r="AD94" i="8"/>
  <c r="AH94" i="8"/>
  <c r="D94" i="8"/>
  <c r="T94" i="8"/>
  <c r="X94" i="8"/>
  <c r="C92" i="12"/>
  <c r="L92" i="12"/>
  <c r="J92" i="12"/>
  <c r="C390" i="12"/>
  <c r="L390" i="12"/>
  <c r="J390" i="12"/>
  <c r="N429" i="12"/>
  <c r="W668" i="12"/>
  <c r="X668" i="12"/>
  <c r="D636" i="12"/>
  <c r="E636" i="6"/>
  <c r="G69" i="8"/>
  <c r="G68" i="8"/>
  <c r="I69" i="8" s="1"/>
  <c r="F68" i="8"/>
  <c r="F69" i="8"/>
  <c r="C528" i="6"/>
  <c r="O528" i="5"/>
  <c r="E503" i="6"/>
  <c r="D503" i="12"/>
  <c r="C122" i="6"/>
  <c r="O122" i="5"/>
  <c r="D634" i="12"/>
  <c r="E634" i="6"/>
  <c r="V137" i="12"/>
  <c r="U137" i="12"/>
  <c r="T137" i="12"/>
  <c r="U302" i="12"/>
  <c r="T302" i="12"/>
  <c r="V302" i="12"/>
  <c r="E507" i="6"/>
  <c r="D507" i="12"/>
  <c r="E212" i="6"/>
  <c r="D212" i="12"/>
  <c r="X29" i="12"/>
  <c r="W29" i="12"/>
  <c r="C495" i="6"/>
  <c r="O495" i="5"/>
  <c r="Y301" i="12"/>
  <c r="W369" i="12"/>
  <c r="X369" i="12"/>
  <c r="K153" i="12"/>
  <c r="T618" i="12"/>
  <c r="V618" i="12"/>
  <c r="U618" i="12"/>
  <c r="K210" i="12"/>
  <c r="K283" i="12"/>
  <c r="Y92" i="12"/>
  <c r="N269" i="12"/>
  <c r="E243" i="6"/>
  <c r="D243" i="12"/>
  <c r="H41" i="8"/>
  <c r="D618" i="12"/>
  <c r="E618" i="6"/>
  <c r="H71" i="8"/>
  <c r="C155" i="12"/>
  <c r="J155" i="12"/>
  <c r="L155" i="12"/>
  <c r="X31" i="12"/>
  <c r="W31" i="12"/>
  <c r="C161" i="12"/>
  <c r="L161" i="12"/>
  <c r="J161" i="12"/>
  <c r="C535" i="12"/>
  <c r="L535" i="12"/>
  <c r="J535" i="12"/>
  <c r="X256" i="12"/>
  <c r="W256" i="12"/>
  <c r="X66" i="12"/>
  <c r="W66" i="12"/>
  <c r="Y131" i="12"/>
  <c r="N580" i="12"/>
  <c r="C709" i="6"/>
  <c r="O709" i="5"/>
  <c r="U28" i="8"/>
  <c r="AA28" i="8"/>
  <c r="AJ28" i="8"/>
  <c r="AB28" i="8"/>
  <c r="X28" i="8"/>
  <c r="AE28" i="8"/>
  <c r="AA52" i="8"/>
  <c r="AP52" i="8"/>
  <c r="U52" i="8"/>
  <c r="W52" i="8"/>
  <c r="AC52" i="8"/>
  <c r="AD52" i="8"/>
  <c r="AB52" i="8"/>
  <c r="T58" i="8"/>
  <c r="AA58" i="8"/>
  <c r="AM58" i="8"/>
  <c r="AF58" i="8"/>
  <c r="X58" i="8"/>
  <c r="AD58" i="8"/>
  <c r="AL46" i="8"/>
  <c r="AK46" i="8"/>
  <c r="AN46" i="8"/>
  <c r="Y46" i="8"/>
  <c r="C44" i="8"/>
  <c r="AO46" i="8"/>
  <c r="AQ46" i="8"/>
  <c r="AE46" i="8"/>
  <c r="X46" i="8"/>
  <c r="AB34" i="8"/>
  <c r="AJ34" i="8"/>
  <c r="B32" i="8"/>
  <c r="Y34" i="8"/>
  <c r="C32" i="8"/>
  <c r="AF34" i="8"/>
  <c r="AD22" i="8"/>
  <c r="AD16" i="8" s="1"/>
  <c r="AD14" i="8" s="1"/>
  <c r="W22" i="8"/>
  <c r="AI22" i="8"/>
  <c r="AC22" i="8"/>
  <c r="X22" i="8"/>
  <c r="X16" i="8" s="1"/>
  <c r="X14" i="8" s="1"/>
  <c r="AB22" i="8"/>
  <c r="AG22" i="8"/>
  <c r="V49" i="8"/>
  <c r="AK49" i="8"/>
  <c r="D49" i="8"/>
  <c r="Y49" i="8"/>
  <c r="B47" i="8"/>
  <c r="AP49" i="8"/>
  <c r="V61" i="8"/>
  <c r="B59" i="8"/>
  <c r="D61" i="8"/>
  <c r="AL61" i="8"/>
  <c r="T61" i="8"/>
  <c r="X61" i="8"/>
  <c r="AG61" i="8"/>
  <c r="AN82" i="8"/>
  <c r="Y82" i="8"/>
  <c r="AC82" i="8"/>
  <c r="AQ82" i="8"/>
  <c r="AA82" i="8"/>
  <c r="AI82" i="8"/>
  <c r="AE82" i="8"/>
  <c r="W82" i="8"/>
  <c r="AO55" i="8"/>
  <c r="AM55" i="8"/>
  <c r="AB55" i="8"/>
  <c r="W55" i="8"/>
  <c r="Y55" i="8"/>
  <c r="AL55" i="8"/>
  <c r="AK55" i="8"/>
  <c r="I707" i="12"/>
  <c r="AM707" i="5"/>
  <c r="L707" i="5"/>
  <c r="Z707" i="5"/>
  <c r="AC707" i="5"/>
  <c r="R95" i="8"/>
  <c r="C600" i="6"/>
  <c r="O600" i="5"/>
  <c r="D142" i="12"/>
  <c r="E142" i="6"/>
  <c r="C429" i="6"/>
  <c r="O429" i="5"/>
  <c r="D234" i="12"/>
  <c r="E234" i="6"/>
  <c r="K36" i="12"/>
  <c r="C600" i="12"/>
  <c r="L600" i="12"/>
  <c r="J600" i="12"/>
  <c r="K256" i="12"/>
  <c r="D426" i="12"/>
  <c r="E426" i="6"/>
  <c r="Y56" i="12"/>
  <c r="E150" i="6"/>
  <c r="D150" i="12"/>
  <c r="N554" i="12"/>
  <c r="K668" i="12"/>
  <c r="W491" i="12"/>
  <c r="X491" i="12"/>
  <c r="E386" i="6"/>
  <c r="D386" i="12"/>
  <c r="W628" i="12"/>
  <c r="X628" i="12"/>
  <c r="N93" i="12"/>
  <c r="C269" i="12"/>
  <c r="L269" i="12"/>
  <c r="J269" i="12"/>
  <c r="D17" i="12"/>
  <c r="E17" i="6"/>
  <c r="H17" i="8"/>
  <c r="K40" i="12"/>
  <c r="E482" i="6"/>
  <c r="D482" i="12"/>
  <c r="H62" i="8"/>
  <c r="N155" i="12"/>
  <c r="N535" i="12"/>
  <c r="U82" i="12"/>
  <c r="T82" i="12"/>
  <c r="V82" i="12"/>
  <c r="C529" i="6"/>
  <c r="O529" i="5"/>
  <c r="C282" i="12"/>
  <c r="L282" i="12"/>
  <c r="J282" i="12"/>
  <c r="C131" i="6"/>
  <c r="O131" i="5"/>
  <c r="D167" i="12"/>
  <c r="E167" i="6"/>
  <c r="K298" i="12"/>
  <c r="K351" i="12"/>
  <c r="X16" i="12"/>
  <c r="W16" i="12"/>
  <c r="C703" i="6"/>
  <c r="O703" i="5"/>
  <c r="C181" i="6"/>
  <c r="O181" i="5"/>
  <c r="D82" i="12"/>
  <c r="E82" i="6"/>
  <c r="C102" i="12"/>
  <c r="J102" i="12"/>
  <c r="L102" i="12"/>
  <c r="K102" i="12" s="1"/>
  <c r="V48" i="12"/>
  <c r="U48" i="12"/>
  <c r="T48" i="12"/>
  <c r="E137" i="6"/>
  <c r="D137" i="12"/>
  <c r="C112" i="12"/>
  <c r="J112" i="12"/>
  <c r="L112" i="12"/>
  <c r="K112" i="12" s="1"/>
  <c r="G60" i="8"/>
  <c r="G59" i="8"/>
  <c r="I60" i="8" s="1"/>
  <c r="F59" i="8"/>
  <c r="F60" i="8"/>
  <c r="C446" i="6"/>
  <c r="O446" i="5"/>
  <c r="T298" i="12"/>
  <c r="V298" i="12"/>
  <c r="U298" i="12"/>
  <c r="K482" i="12"/>
  <c r="K592" i="12"/>
  <c r="E369" i="6"/>
  <c r="D369" i="12"/>
  <c r="C259" i="12"/>
  <c r="J259" i="12"/>
  <c r="L259" i="12"/>
  <c r="K259" i="12" s="1"/>
  <c r="D298" i="12"/>
  <c r="E298" i="6"/>
  <c r="C580" i="12"/>
  <c r="L580" i="12"/>
  <c r="J580" i="12"/>
  <c r="U43" i="12"/>
  <c r="V43" i="12"/>
  <c r="T43" i="12"/>
  <c r="T283" i="12"/>
  <c r="U283" i="12"/>
  <c r="V283" i="12"/>
  <c r="C56" i="6"/>
  <c r="O56" i="5"/>
  <c r="G51" i="8"/>
  <c r="G50" i="8"/>
  <c r="I51" i="8" s="1"/>
  <c r="F50" i="8"/>
  <c r="F51" i="8"/>
  <c r="C554" i="12"/>
  <c r="L554" i="12"/>
  <c r="J554" i="12"/>
  <c r="D668" i="12"/>
  <c r="E668" i="6"/>
  <c r="H77" i="8"/>
  <c r="U244" i="12"/>
  <c r="V244" i="12"/>
  <c r="T244" i="12"/>
  <c r="AI94" i="8"/>
  <c r="AJ94" i="8"/>
  <c r="AG94" i="8"/>
  <c r="AM94" i="8"/>
  <c r="B92" i="8"/>
  <c r="AC94" i="8"/>
  <c r="G57" i="8"/>
  <c r="G56" i="8"/>
  <c r="I57" i="8" s="1"/>
  <c r="F56" i="8"/>
  <c r="F57" i="8"/>
  <c r="N657" i="12"/>
  <c r="V36" i="12"/>
  <c r="U36" i="12"/>
  <c r="T36" i="12"/>
  <c r="K243" i="12"/>
  <c r="C528" i="12"/>
  <c r="J528" i="12"/>
  <c r="L528" i="12"/>
  <c r="K528" i="12" s="1"/>
  <c r="V507" i="12"/>
  <c r="U507" i="12"/>
  <c r="T507" i="12"/>
  <c r="Y28" i="12"/>
  <c r="D36" i="12"/>
  <c r="E36" i="6"/>
  <c r="U699" i="12"/>
  <c r="V699" i="12"/>
  <c r="T699" i="12"/>
  <c r="D238" i="12"/>
  <c r="E238" i="6"/>
  <c r="H38" i="8"/>
  <c r="W482" i="12"/>
  <c r="X482" i="12"/>
  <c r="C93" i="6"/>
  <c r="O93" i="5"/>
  <c r="E16" i="6"/>
  <c r="D16" i="12"/>
  <c r="H14" i="8"/>
  <c r="N92" i="12"/>
  <c r="W150" i="12"/>
  <c r="X150" i="12"/>
  <c r="W269" i="12"/>
  <c r="X269" i="12"/>
  <c r="C161" i="6"/>
  <c r="O161" i="5"/>
  <c r="C513" i="6"/>
  <c r="O513" i="5"/>
  <c r="E177" i="6"/>
  <c r="D177" i="12"/>
  <c r="C535" i="6"/>
  <c r="O535" i="5"/>
  <c r="W360" i="12"/>
  <c r="X360" i="12"/>
  <c r="N259" i="12"/>
  <c r="N66" i="12"/>
  <c r="N193" i="12"/>
  <c r="N282" i="12"/>
  <c r="X177" i="12"/>
  <c r="W177" i="12"/>
  <c r="Y580" i="12"/>
  <c r="D152" i="12"/>
  <c r="E152" i="6"/>
  <c r="H29" i="8"/>
  <c r="C66" i="12"/>
  <c r="J66" i="12"/>
  <c r="L66" i="12"/>
  <c r="Z28" i="8"/>
  <c r="AH28" i="8"/>
  <c r="D28" i="8"/>
  <c r="E219" i="6"/>
  <c r="D219" i="12"/>
  <c r="H35" i="8"/>
  <c r="AQ52" i="8"/>
  <c r="AE52" i="8"/>
  <c r="AK52" i="8"/>
  <c r="AL52" i="8"/>
  <c r="Z52" i="8"/>
  <c r="V52" i="8"/>
  <c r="C56" i="8"/>
  <c r="AN58" i="8"/>
  <c r="W58" i="8"/>
  <c r="AI58" i="8"/>
  <c r="D58" i="8"/>
  <c r="Z58" i="8"/>
  <c r="AC46" i="8"/>
  <c r="V46" i="8"/>
  <c r="AM46" i="8"/>
  <c r="AP46" i="8"/>
  <c r="AJ46" i="8"/>
  <c r="B44" i="8"/>
  <c r="D46" i="8"/>
  <c r="AL34" i="8"/>
  <c r="AH34" i="8"/>
  <c r="AQ34" i="8"/>
  <c r="W34" i="8"/>
  <c r="AI34" i="8"/>
  <c r="U34" i="8"/>
  <c r="V34" i="8"/>
  <c r="AH22" i="8"/>
  <c r="AK22" i="8"/>
  <c r="AQ22" i="8"/>
  <c r="AE22" i="8"/>
  <c r="V22" i="8"/>
  <c r="V16" i="8" s="1"/>
  <c r="V14" i="8" s="1"/>
  <c r="AJ22" i="8"/>
  <c r="AN22" i="8"/>
  <c r="AI49" i="8"/>
  <c r="AF49" i="8"/>
  <c r="AH49" i="8"/>
  <c r="AL49" i="8"/>
  <c r="AN49" i="8"/>
  <c r="AA49" i="8"/>
  <c r="T49" i="8"/>
  <c r="AH61" i="8"/>
  <c r="W61" i="8"/>
  <c r="C59" i="8"/>
  <c r="AB61" i="8"/>
  <c r="AA61" i="8"/>
  <c r="AO61" i="8"/>
  <c r="D82" i="8"/>
  <c r="AO82" i="8"/>
  <c r="V82" i="8"/>
  <c r="AB82" i="8"/>
  <c r="AL82" i="8"/>
  <c r="AD82" i="8"/>
  <c r="AP82" i="8"/>
  <c r="V55" i="8"/>
  <c r="AJ55" i="8"/>
  <c r="AN55" i="8"/>
  <c r="Z55" i="8"/>
  <c r="AG55" i="8"/>
  <c r="AH55" i="8"/>
  <c r="D55" i="8"/>
  <c r="K269" i="12" l="1"/>
  <c r="K161" i="12"/>
  <c r="K390" i="12"/>
  <c r="K446" i="12"/>
  <c r="K220" i="12"/>
  <c r="AC16" i="8"/>
  <c r="AC14" i="8" s="1"/>
  <c r="Z16" i="8"/>
  <c r="Z14" i="8" s="1"/>
  <c r="K529" i="12"/>
  <c r="AA16" i="8"/>
  <c r="AA14" i="8" s="1"/>
  <c r="Y16" i="8"/>
  <c r="Y14" i="8" s="1"/>
  <c r="AE16" i="8"/>
  <c r="AE14" i="8" s="1"/>
  <c r="AN16" i="8"/>
  <c r="AN14" i="8" s="1"/>
  <c r="AQ16" i="8"/>
  <c r="AQ14" i="8" s="1"/>
  <c r="K282" i="12"/>
  <c r="AG16" i="8"/>
  <c r="AG14" i="8" s="1"/>
  <c r="AI16" i="8"/>
  <c r="AI14" i="8" s="1"/>
  <c r="K92" i="12"/>
  <c r="U16" i="8"/>
  <c r="U14" i="8" s="1"/>
  <c r="D16" i="8"/>
  <c r="D14" i="8" s="1"/>
  <c r="AM16" i="8"/>
  <c r="AM14" i="8" s="1"/>
  <c r="AH16" i="8"/>
  <c r="AH14" i="8" s="1"/>
  <c r="AJ16" i="8"/>
  <c r="AJ14" i="8" s="1"/>
  <c r="AK16" i="8"/>
  <c r="AK14" i="8" s="1"/>
  <c r="AB16" i="8"/>
  <c r="AB14" i="8" s="1"/>
  <c r="W16" i="8"/>
  <c r="W14" i="8" s="1"/>
  <c r="K155" i="12"/>
  <c r="K181" i="12"/>
  <c r="K131" i="12"/>
  <c r="K429" i="12"/>
  <c r="AP16" i="8"/>
  <c r="AP14" i="8" s="1"/>
  <c r="AC11" i="5"/>
  <c r="AF16" i="8"/>
  <c r="AF14" i="8" s="1"/>
  <c r="AL16" i="8"/>
  <c r="AL14" i="8" s="1"/>
  <c r="AO16" i="8"/>
  <c r="AO14" i="8" s="1"/>
  <c r="T16" i="8"/>
  <c r="T14" i="8" s="1"/>
  <c r="AL15" i="13"/>
  <c r="M15" i="13" s="1"/>
  <c r="M28" i="13" s="1"/>
  <c r="AK15" i="13"/>
  <c r="S15" i="13" s="1"/>
  <c r="M27" i="13" s="1"/>
  <c r="X580" i="12"/>
  <c r="W580" i="12"/>
  <c r="U360" i="12"/>
  <c r="V360" i="12"/>
  <c r="T360" i="12"/>
  <c r="E56" i="6"/>
  <c r="D56" i="12"/>
  <c r="AC31" i="10"/>
  <c r="AC30" i="10"/>
  <c r="AC29" i="10" s="1"/>
  <c r="T177" i="12"/>
  <c r="V177" i="12"/>
  <c r="U177" i="12"/>
  <c r="D513" i="12"/>
  <c r="E513" i="6"/>
  <c r="W28" i="12"/>
  <c r="X28" i="12"/>
  <c r="K580" i="12"/>
  <c r="D529" i="12"/>
  <c r="E529" i="6"/>
  <c r="X56" i="12"/>
  <c r="W56" i="12"/>
  <c r="G96" i="8"/>
  <c r="G95" i="8"/>
  <c r="I96" i="8" s="1"/>
  <c r="F95" i="8"/>
  <c r="F96" i="8"/>
  <c r="AF97" i="8"/>
  <c r="AF91" i="8" s="1"/>
  <c r="AF89" i="8" s="1"/>
  <c r="AP97" i="8"/>
  <c r="AP91" i="8" s="1"/>
  <c r="AP89" i="8" s="1"/>
  <c r="AB97" i="8"/>
  <c r="AB91" i="8" s="1"/>
  <c r="AB89" i="8" s="1"/>
  <c r="AJ97" i="8"/>
  <c r="AJ91" i="8" s="1"/>
  <c r="AJ89" i="8" s="1"/>
  <c r="AH97" i="8"/>
  <c r="AH91" i="8" s="1"/>
  <c r="AH89" i="8" s="1"/>
  <c r="AL97" i="8"/>
  <c r="AO97" i="8"/>
  <c r="AA97" i="8"/>
  <c r="AA91" i="8" s="1"/>
  <c r="AA89" i="8" s="1"/>
  <c r="AN97" i="8"/>
  <c r="AN91" i="8" s="1"/>
  <c r="AN89" i="8" s="1"/>
  <c r="AM97" i="8"/>
  <c r="AM91" i="8" s="1"/>
  <c r="AM89" i="8" s="1"/>
  <c r="AK97" i="8"/>
  <c r="AK91" i="8" s="1"/>
  <c r="AK89" i="8" s="1"/>
  <c r="D97" i="8"/>
  <c r="D91" i="8" s="1"/>
  <c r="D89" i="8" s="1"/>
  <c r="D107" i="8" s="1" a="1"/>
  <c r="D107" i="8" s="1"/>
  <c r="D102" i="8" s="1"/>
  <c r="Z97" i="8"/>
  <c r="U97" i="8"/>
  <c r="U91" i="8" s="1"/>
  <c r="U89" i="8" s="1"/>
  <c r="Y97" i="8"/>
  <c r="Y91" i="8" s="1"/>
  <c r="Y89" i="8" s="1"/>
  <c r="W97" i="8"/>
  <c r="W91" i="8" s="1"/>
  <c r="W89" i="8" s="1"/>
  <c r="C95" i="8"/>
  <c r="AD97" i="8"/>
  <c r="AD91" i="8" s="1"/>
  <c r="AD89" i="8" s="1"/>
  <c r="AG97" i="8"/>
  <c r="AG91" i="8" s="1"/>
  <c r="AG89" i="8" s="1"/>
  <c r="X97" i="8"/>
  <c r="X91" i="8" s="1"/>
  <c r="X89" i="8" s="1"/>
  <c r="V97" i="8"/>
  <c r="V91" i="8" s="1"/>
  <c r="V89" i="8" s="1"/>
  <c r="AC97" i="8"/>
  <c r="AC91" i="8" s="1"/>
  <c r="AC89" i="8" s="1"/>
  <c r="T97" i="8"/>
  <c r="T91" i="8" s="1"/>
  <c r="AQ97" i="8"/>
  <c r="AQ91" i="8" s="1"/>
  <c r="AQ89" i="8" s="1"/>
  <c r="B95" i="8"/>
  <c r="AE97" i="8"/>
  <c r="AE91" i="8" s="1"/>
  <c r="AE89" i="8" s="1"/>
  <c r="AI97" i="8"/>
  <c r="AI91" i="8" s="1"/>
  <c r="AI89" i="8" s="1"/>
  <c r="Z91" i="8"/>
  <c r="Z89" i="8" s="1"/>
  <c r="K535" i="12"/>
  <c r="T668" i="12"/>
  <c r="V668" i="12"/>
  <c r="U668" i="12"/>
  <c r="W122" i="12"/>
  <c r="X122" i="12"/>
  <c r="M30" i="10"/>
  <c r="M29" i="10" s="1"/>
  <c r="M31" i="10"/>
  <c r="Y31" i="10"/>
  <c r="Y30" i="10"/>
  <c r="Y29" i="10" s="1"/>
  <c r="W30" i="10"/>
  <c r="W29" i="10" s="1"/>
  <c r="W31" i="10"/>
  <c r="C15" i="11"/>
  <c r="L15" i="13"/>
  <c r="O24" i="11"/>
  <c r="C702" i="12"/>
  <c r="J702" i="12"/>
  <c r="L702" i="12"/>
  <c r="K702" i="12" s="1"/>
  <c r="V688" i="12"/>
  <c r="U688" i="12"/>
  <c r="T688" i="12"/>
  <c r="K172" i="12"/>
  <c r="U657" i="12"/>
  <c r="T657" i="12"/>
  <c r="V657" i="12"/>
  <c r="U219" i="12"/>
  <c r="V219" i="12"/>
  <c r="T219" i="12"/>
  <c r="K28" i="12"/>
  <c r="K56" i="12"/>
  <c r="T172" i="12"/>
  <c r="V172" i="12"/>
  <c r="U172" i="12"/>
  <c r="D371" i="12"/>
  <c r="E371" i="6"/>
  <c r="H53" i="8"/>
  <c r="X708" i="12"/>
  <c r="W708" i="12"/>
  <c r="A20" i="10"/>
  <c r="A20" i="9"/>
  <c r="A19" i="10"/>
  <c r="A19" i="9"/>
  <c r="T40" i="12"/>
  <c r="U40" i="12"/>
  <c r="V40" i="12"/>
  <c r="D155" i="12"/>
  <c r="E155" i="6"/>
  <c r="T503" i="12"/>
  <c r="U503" i="12"/>
  <c r="V503" i="12"/>
  <c r="K495" i="12"/>
  <c r="E269" i="6"/>
  <c r="D269" i="12"/>
  <c r="X672" i="12"/>
  <c r="W672" i="12"/>
  <c r="V592" i="12"/>
  <c r="T592" i="12"/>
  <c r="U592" i="12"/>
  <c r="T102" i="12"/>
  <c r="U102" i="12"/>
  <c r="V102" i="12"/>
  <c r="T150" i="12"/>
  <c r="V150" i="12"/>
  <c r="U150" i="12"/>
  <c r="T482" i="12"/>
  <c r="U482" i="12"/>
  <c r="V482" i="12"/>
  <c r="U30" i="10"/>
  <c r="U29" i="10" s="1"/>
  <c r="U31" i="10"/>
  <c r="D535" i="12"/>
  <c r="E535" i="6"/>
  <c r="E93" i="6"/>
  <c r="D93" i="12"/>
  <c r="K66" i="12"/>
  <c r="U269" i="12"/>
  <c r="V269" i="12"/>
  <c r="T269" i="12"/>
  <c r="K554" i="12"/>
  <c r="D181" i="12"/>
  <c r="E181" i="6"/>
  <c r="U16" i="12"/>
  <c r="V16" i="12"/>
  <c r="T16" i="12"/>
  <c r="K600" i="12"/>
  <c r="C707" i="12"/>
  <c r="J707" i="12"/>
  <c r="L707" i="12"/>
  <c r="AL91" i="8"/>
  <c r="AL89" i="8" s="1"/>
  <c r="U256" i="12"/>
  <c r="V256" i="12"/>
  <c r="T256" i="12"/>
  <c r="T31" i="12"/>
  <c r="V31" i="12"/>
  <c r="U31" i="12"/>
  <c r="W92" i="12"/>
  <c r="X92" i="12"/>
  <c r="T369" i="12"/>
  <c r="V369" i="12"/>
  <c r="U369" i="12"/>
  <c r="T29" i="12"/>
  <c r="U29" i="12"/>
  <c r="V29" i="12"/>
  <c r="K672" i="12"/>
  <c r="X220" i="12"/>
  <c r="W220" i="12"/>
  <c r="E28" i="6"/>
  <c r="D28" i="12"/>
  <c r="H20" i="8"/>
  <c r="X703" i="12"/>
  <c r="W703" i="12"/>
  <c r="V173" i="12"/>
  <c r="T173" i="12"/>
  <c r="U173" i="12"/>
  <c r="D657" i="12"/>
  <c r="E657" i="6"/>
  <c r="K371" i="12"/>
  <c r="N702" i="12"/>
  <c r="AO15" i="13"/>
  <c r="O15" i="13" s="1"/>
  <c r="AN15" i="13"/>
  <c r="U15" i="13" s="1"/>
  <c r="S30" i="10"/>
  <c r="S29" i="10" s="1"/>
  <c r="S31" i="10"/>
  <c r="K31" i="10"/>
  <c r="K30" i="10"/>
  <c r="K29" i="10" s="1"/>
  <c r="G90" i="8"/>
  <c r="G89" i="8"/>
  <c r="I90" i="8" s="1"/>
  <c r="F90" i="8"/>
  <c r="F89" i="8"/>
  <c r="Q99" i="8"/>
  <c r="H99" i="8" s="1"/>
  <c r="T529" i="12"/>
  <c r="U529" i="12"/>
  <c r="V529" i="12"/>
  <c r="E260" i="6"/>
  <c r="D260" i="12"/>
  <c r="V429" i="12"/>
  <c r="U429" i="12"/>
  <c r="T429" i="12"/>
  <c r="U371" i="12"/>
  <c r="V371" i="12"/>
  <c r="T371" i="12"/>
  <c r="D193" i="12"/>
  <c r="E193" i="6"/>
  <c r="U260" i="12"/>
  <c r="T260" i="12"/>
  <c r="V260" i="12"/>
  <c r="U112" i="12"/>
  <c r="V112" i="12"/>
  <c r="T112" i="12"/>
  <c r="V181" i="12"/>
  <c r="T181" i="12"/>
  <c r="U181" i="12"/>
  <c r="E66" i="6"/>
  <c r="D66" i="12"/>
  <c r="W709" i="12"/>
  <c r="X709" i="12"/>
  <c r="A23" i="10"/>
  <c r="A23" i="9"/>
  <c r="A17" i="9"/>
  <c r="A17" i="10"/>
  <c r="V193" i="12"/>
  <c r="T193" i="12"/>
  <c r="U193" i="12"/>
  <c r="K513" i="12"/>
  <c r="K93" i="12"/>
  <c r="K122" i="12"/>
  <c r="E554" i="6"/>
  <c r="D554" i="12"/>
  <c r="AA707" i="5"/>
  <c r="AO707" i="12"/>
  <c r="Y707" i="12" s="1"/>
  <c r="E703" i="6"/>
  <c r="D703" i="12"/>
  <c r="H92" i="8"/>
  <c r="E131" i="6"/>
  <c r="D131" i="12"/>
  <c r="U628" i="12"/>
  <c r="V628" i="12"/>
  <c r="T628" i="12"/>
  <c r="T491" i="12"/>
  <c r="V491" i="12"/>
  <c r="U491" i="12"/>
  <c r="C707" i="6"/>
  <c r="O707" i="5"/>
  <c r="D709" i="12"/>
  <c r="E709" i="6"/>
  <c r="V66" i="12"/>
  <c r="T66" i="12"/>
  <c r="U66" i="12"/>
  <c r="E495" i="6"/>
  <c r="D495" i="12"/>
  <c r="D122" i="12"/>
  <c r="E122" i="6"/>
  <c r="D528" i="12"/>
  <c r="E528" i="6"/>
  <c r="H68" i="8"/>
  <c r="D301" i="12"/>
  <c r="E301" i="6"/>
  <c r="H50" i="8"/>
  <c r="W495" i="12"/>
  <c r="X495" i="12"/>
  <c r="W535" i="12"/>
  <c r="X535" i="12"/>
  <c r="D161" i="12"/>
  <c r="E161" i="6"/>
  <c r="D446" i="12"/>
  <c r="E446" i="6"/>
  <c r="H59" i="8"/>
  <c r="E429" i="6"/>
  <c r="D429" i="12"/>
  <c r="E600" i="6"/>
  <c r="D600" i="12"/>
  <c r="X131" i="12"/>
  <c r="W131" i="12"/>
  <c r="W301" i="12"/>
  <c r="X301" i="12"/>
  <c r="X528" i="12"/>
  <c r="W528" i="12"/>
  <c r="W155" i="12"/>
  <c r="X155" i="12"/>
  <c r="X446" i="12"/>
  <c r="W446" i="12"/>
  <c r="AO91" i="8"/>
  <c r="AO89" i="8" s="1"/>
  <c r="AA31" i="10"/>
  <c r="AA30" i="10"/>
  <c r="AA29" i="10" s="1"/>
  <c r="O30" i="10"/>
  <c r="O29" i="10" s="1"/>
  <c r="O31" i="10"/>
  <c r="I31" i="10"/>
  <c r="AE9" i="10" s="1"/>
  <c r="I30" i="10"/>
  <c r="I29" i="10" s="1"/>
  <c r="Y9" i="10" s="1"/>
  <c r="C702" i="6"/>
  <c r="O702" i="5"/>
  <c r="T390" i="12"/>
  <c r="U390" i="12"/>
  <c r="V390" i="12"/>
  <c r="V492" i="12"/>
  <c r="T492" i="12"/>
  <c r="U492" i="12"/>
  <c r="D220" i="12"/>
  <c r="E220" i="6"/>
  <c r="K703" i="12"/>
  <c r="D282" i="12"/>
  <c r="E282" i="6"/>
  <c r="H47" i="8"/>
  <c r="N15" i="11"/>
  <c r="N24" i="11" s="1"/>
  <c r="AB24" i="11"/>
  <c r="A22" i="10"/>
  <c r="A22" i="9"/>
  <c r="A18" i="10"/>
  <c r="A18" i="9"/>
  <c r="U426" i="12"/>
  <c r="V426" i="12"/>
  <c r="T426" i="12"/>
  <c r="E172" i="6"/>
  <c r="D172" i="12"/>
  <c r="H32" i="8"/>
  <c r="D390" i="12"/>
  <c r="E390" i="6"/>
  <c r="H56" i="8"/>
  <c r="V600" i="12"/>
  <c r="T600" i="12"/>
  <c r="U600" i="12"/>
  <c r="D259" i="12"/>
  <c r="E259" i="6"/>
  <c r="H44" i="8"/>
  <c r="K657" i="12"/>
  <c r="AA702" i="5"/>
  <c r="AA15" i="11" s="1"/>
  <c r="V93" i="12"/>
  <c r="T93" i="12"/>
  <c r="U93" i="12"/>
  <c r="AE30" i="10"/>
  <c r="AE29" i="10" s="1"/>
  <c r="AE31" i="10"/>
  <c r="Q31" i="10"/>
  <c r="Q30" i="10"/>
  <c r="Q29" i="10" s="1"/>
  <c r="T282" i="12"/>
  <c r="U282" i="12"/>
  <c r="V282" i="12"/>
  <c r="AD4" i="13"/>
  <c r="D92" i="12"/>
  <c r="E92" i="6"/>
  <c r="H26" i="8"/>
  <c r="D672" i="12"/>
  <c r="E672" i="6"/>
  <c r="H80" i="8"/>
  <c r="E580" i="6"/>
  <c r="D580" i="12"/>
  <c r="E112" i="6"/>
  <c r="D112" i="12"/>
  <c r="D102" i="12"/>
  <c r="E102" i="6"/>
  <c r="AO702" i="12"/>
  <c r="Y702" i="12" s="1"/>
  <c r="T554" i="12"/>
  <c r="V554" i="12"/>
  <c r="U554" i="12"/>
  <c r="A21" i="10"/>
  <c r="A21" i="9"/>
  <c r="A16" i="9"/>
  <c r="A16" i="10"/>
  <c r="U259" i="12"/>
  <c r="V259" i="12"/>
  <c r="T259" i="12"/>
  <c r="V243" i="12"/>
  <c r="T243" i="12"/>
  <c r="U243" i="12"/>
  <c r="W513" i="12"/>
  <c r="X513" i="12"/>
  <c r="W161" i="12"/>
  <c r="X161" i="12"/>
  <c r="V73" i="12"/>
  <c r="T73" i="12"/>
  <c r="U73" i="12"/>
  <c r="AM15" i="13" l="1"/>
  <c r="T15" i="13" s="1"/>
  <c r="AD3" i="13" s="1"/>
  <c r="D106" i="8" a="1"/>
  <c r="D106" i="8" s="1"/>
  <c r="D101" i="8" s="1"/>
  <c r="T89" i="8"/>
  <c r="T108" i="8"/>
  <c r="U446" i="12"/>
  <c r="V446" i="12"/>
  <c r="T446" i="12"/>
  <c r="T535" i="12"/>
  <c r="U535" i="12"/>
  <c r="V535" i="12"/>
  <c r="AA24" i="11"/>
  <c r="E702" i="6"/>
  <c r="D702" i="12"/>
  <c r="H89" i="8"/>
  <c r="U92" i="12"/>
  <c r="V92" i="12"/>
  <c r="T92" i="12"/>
  <c r="K707" i="12"/>
  <c r="T672" i="12"/>
  <c r="U672" i="12"/>
  <c r="V672" i="12"/>
  <c r="V15" i="13"/>
  <c r="D15" i="13"/>
  <c r="L28" i="13"/>
  <c r="M24" i="13" s="1"/>
  <c r="U580" i="12"/>
  <c r="V580" i="12"/>
  <c r="T580" i="12"/>
  <c r="V528" i="12"/>
  <c r="T528" i="12"/>
  <c r="U528" i="12"/>
  <c r="T122" i="12"/>
  <c r="U122" i="12"/>
  <c r="V122" i="12"/>
  <c r="U28" i="12"/>
  <c r="V28" i="12"/>
  <c r="T28" i="12"/>
  <c r="V513" i="12"/>
  <c r="U513" i="12"/>
  <c r="T513" i="12"/>
  <c r="X702" i="12"/>
  <c r="W702" i="12"/>
  <c r="V495" i="12"/>
  <c r="U495" i="12"/>
  <c r="T495" i="12"/>
  <c r="E707" i="6"/>
  <c r="D707" i="12"/>
  <c r="H95" i="8"/>
  <c r="U709" i="12"/>
  <c r="V709" i="12"/>
  <c r="T709" i="12"/>
  <c r="N15" i="13"/>
  <c r="P15" i="13"/>
  <c r="O28" i="13"/>
  <c r="V703" i="12"/>
  <c r="T703" i="12"/>
  <c r="U703" i="12"/>
  <c r="U56" i="12"/>
  <c r="V56" i="12"/>
  <c r="T56" i="12"/>
  <c r="D108" i="8"/>
  <c r="AJ15" i="13"/>
  <c r="R15" i="13" s="1"/>
  <c r="M26" i="13" s="1"/>
  <c r="M25" i="13" s="1"/>
  <c r="N25" i="11"/>
  <c r="L27" i="13"/>
  <c r="D32" i="14" s="1"/>
  <c r="V131" i="12"/>
  <c r="T131" i="12"/>
  <c r="U131" i="12"/>
  <c r="T708" i="12"/>
  <c r="U708" i="12"/>
  <c r="V708" i="12"/>
  <c r="T161" i="12"/>
  <c r="U161" i="12"/>
  <c r="V161" i="12"/>
  <c r="T155" i="12"/>
  <c r="U155" i="12"/>
  <c r="V155" i="12"/>
  <c r="T301" i="12"/>
  <c r="V301" i="12"/>
  <c r="U301" i="12"/>
  <c r="X707" i="12"/>
  <c r="W707" i="12"/>
  <c r="U220" i="12"/>
  <c r="T220" i="12"/>
  <c r="V220" i="12"/>
  <c r="AB7" i="11"/>
  <c r="O25" i="11"/>
  <c r="AA3" i="11"/>
  <c r="AA7" i="11"/>
  <c r="Z15" i="11"/>
  <c r="Z24" i="11" s="1"/>
  <c r="O29" i="13" l="1"/>
  <c r="Z3" i="11"/>
  <c r="F33" i="14"/>
  <c r="AD6" i="13"/>
  <c r="P24" i="13"/>
  <c r="AC27" i="13"/>
  <c r="AD27" i="13"/>
  <c r="N28" i="13"/>
  <c r="O24" i="13"/>
  <c r="V702" i="12"/>
  <c r="U702" i="12"/>
  <c r="T702" i="12"/>
  <c r="D33" i="14"/>
  <c r="L24" i="13"/>
  <c r="U707" i="12"/>
  <c r="V707" i="12"/>
  <c r="T707" i="12"/>
  <c r="D103" i="8"/>
  <c r="D99" i="8" s="1"/>
  <c r="D104" i="8"/>
  <c r="D105" i="8"/>
  <c r="D100" i="8" s="1"/>
  <c r="U108" i="8"/>
  <c r="T104" i="8"/>
  <c r="T103" i="8"/>
  <c r="T99" i="8" s="1"/>
  <c r="AD12" i="11"/>
  <c r="AD15" i="11"/>
  <c r="AD17" i="11"/>
  <c r="AD16" i="11"/>
  <c r="AD23" i="11"/>
  <c r="AD18" i="11"/>
  <c r="AD20" i="11"/>
  <c r="AD21" i="11"/>
  <c r="AD19" i="11"/>
  <c r="AD14" i="11"/>
  <c r="AD22" i="11"/>
  <c r="V16" i="13"/>
  <c r="V17" i="13" s="1"/>
  <c r="V18" i="13" s="1"/>
  <c r="V19" i="13" s="1"/>
  <c r="V20" i="13" s="1"/>
  <c r="V21" i="13" s="1"/>
  <c r="V22" i="13" s="1"/>
  <c r="V23" i="13" s="1"/>
  <c r="I14" i="14" s="1"/>
  <c r="J14" i="14" s="1"/>
  <c r="K14" i="14" s="1"/>
  <c r="L14" i="14" s="1"/>
  <c r="T106" i="8" a="1"/>
  <c r="T106" i="8" s="1"/>
  <c r="T107" i="8" a="1"/>
  <c r="T107" i="8" s="1"/>
  <c r="I16" i="14" l="1"/>
  <c r="J16" i="14" s="1"/>
  <c r="K16" i="14" s="1"/>
  <c r="L16" i="14" s="1"/>
  <c r="I24" i="14"/>
  <c r="J24" i="14" s="1"/>
  <c r="K24" i="14" s="1"/>
  <c r="L24" i="14" s="1"/>
  <c r="I31" i="14"/>
  <c r="J31" i="14" s="1"/>
  <c r="K31" i="14" s="1"/>
  <c r="L31" i="14" s="1"/>
  <c r="I35" i="14"/>
  <c r="J35" i="14" s="1"/>
  <c r="K35" i="14" s="1"/>
  <c r="L35" i="14" s="1"/>
  <c r="I17" i="14"/>
  <c r="J17" i="14" s="1"/>
  <c r="K17" i="14" s="1"/>
  <c r="L17" i="14" s="1"/>
  <c r="I46" i="14"/>
  <c r="J46" i="14" s="1"/>
  <c r="K46" i="14" s="1"/>
  <c r="L46" i="14" s="1"/>
  <c r="I41" i="14"/>
  <c r="J41" i="14" s="1"/>
  <c r="K41" i="14" s="1"/>
  <c r="L41" i="14" s="1"/>
  <c r="I44" i="14"/>
  <c r="J44" i="14" s="1"/>
  <c r="K44" i="14" s="1"/>
  <c r="L44" i="14" s="1"/>
  <c r="I23" i="14"/>
  <c r="J23" i="14" s="1"/>
  <c r="K23" i="14" s="1"/>
  <c r="L23" i="14" s="1"/>
  <c r="I38" i="14"/>
  <c r="J38" i="14" s="1"/>
  <c r="K38" i="14" s="1"/>
  <c r="L38" i="14" s="1"/>
  <c r="I37" i="14"/>
  <c r="J37" i="14" s="1"/>
  <c r="K37" i="14" s="1"/>
  <c r="L37" i="14" s="1"/>
  <c r="I30" i="14"/>
  <c r="J30" i="14" s="1"/>
  <c r="K30" i="14" s="1"/>
  <c r="L30" i="14" s="1"/>
  <c r="I33" i="14"/>
  <c r="J33" i="14" s="1"/>
  <c r="K33" i="14" s="1"/>
  <c r="L33" i="14" s="1"/>
  <c r="I20" i="14"/>
  <c r="J20" i="14" s="1"/>
  <c r="K20" i="14" s="1"/>
  <c r="L20" i="14" s="1"/>
  <c r="I15" i="14"/>
  <c r="J15" i="14" s="1"/>
  <c r="K15" i="14" s="1"/>
  <c r="L15" i="14" s="1"/>
  <c r="AE18" i="11"/>
  <c r="M18" i="11" s="1"/>
  <c r="L18" i="11" s="1"/>
  <c r="I43" i="14"/>
  <c r="J43" i="14" s="1"/>
  <c r="K43" i="14" s="1"/>
  <c r="L43" i="14" s="1"/>
  <c r="I7" i="14"/>
  <c r="J7" i="14" s="1"/>
  <c r="K7" i="14" s="1"/>
  <c r="L7" i="14" s="1"/>
  <c r="I6" i="14"/>
  <c r="J6" i="14" s="1"/>
  <c r="K6" i="14" s="1"/>
  <c r="L6" i="14" s="1"/>
  <c r="I8" i="14"/>
  <c r="J8" i="14" s="1"/>
  <c r="K8" i="14" s="1"/>
  <c r="L8" i="14" s="1"/>
  <c r="I28" i="14"/>
  <c r="J28" i="14" s="1"/>
  <c r="K28" i="14" s="1"/>
  <c r="L28" i="14" s="1"/>
  <c r="AE20" i="11"/>
  <c r="M20" i="11" s="1"/>
  <c r="L20" i="11" s="1"/>
  <c r="AE15" i="11"/>
  <c r="M15" i="11" s="1"/>
  <c r="L15" i="11" s="1"/>
  <c r="E34" i="14"/>
  <c r="N24" i="13"/>
  <c r="E33" i="14"/>
  <c r="V108" i="8"/>
  <c r="U104" i="8"/>
  <c r="U103" i="8"/>
  <c r="U99" i="8" s="1"/>
  <c r="U107" i="8" a="1"/>
  <c r="U107" i="8" s="1"/>
  <c r="T102" i="8"/>
  <c r="I21" i="14"/>
  <c r="J21" i="14" s="1"/>
  <c r="K21" i="14" s="1"/>
  <c r="L21" i="14" s="1"/>
  <c r="I29" i="14"/>
  <c r="J29" i="14" s="1"/>
  <c r="K29" i="14" s="1"/>
  <c r="L29" i="14" s="1"/>
  <c r="I39" i="14"/>
  <c r="J39" i="14" s="1"/>
  <c r="K39" i="14" s="1"/>
  <c r="L39" i="14" s="1"/>
  <c r="I34" i="14"/>
  <c r="J34" i="14" s="1"/>
  <c r="K34" i="14" s="1"/>
  <c r="L34" i="14" s="1"/>
  <c r="I11" i="14"/>
  <c r="J11" i="14" s="1"/>
  <c r="K11" i="14" s="1"/>
  <c r="L11" i="14" s="1"/>
  <c r="I22" i="14"/>
  <c r="J22" i="14" s="1"/>
  <c r="K22" i="14" s="1"/>
  <c r="L22" i="14" s="1"/>
  <c r="I19" i="14"/>
  <c r="J19" i="14" s="1"/>
  <c r="K19" i="14" s="1"/>
  <c r="L19" i="14" s="1"/>
  <c r="I42" i="14"/>
  <c r="J42" i="14" s="1"/>
  <c r="K42" i="14" s="1"/>
  <c r="L42" i="14" s="1"/>
  <c r="I12" i="14"/>
  <c r="J12" i="14" s="1"/>
  <c r="K12" i="14" s="1"/>
  <c r="L12" i="14" s="1"/>
  <c r="I9" i="14"/>
  <c r="J9" i="14" s="1"/>
  <c r="K9" i="14" s="1"/>
  <c r="L9" i="14" s="1"/>
  <c r="AE21" i="11"/>
  <c r="M21" i="11" s="1"/>
  <c r="L21" i="11" s="1"/>
  <c r="AE19" i="11"/>
  <c r="M19" i="11" s="1"/>
  <c r="L19" i="11" s="1"/>
  <c r="AE16" i="11"/>
  <c r="M16" i="11" s="1"/>
  <c r="L16" i="11" s="1"/>
  <c r="G10" i="13"/>
  <c r="F34" i="14"/>
  <c r="AE23" i="11"/>
  <c r="M23" i="11" s="1"/>
  <c r="L23" i="11" s="1"/>
  <c r="AE22" i="11"/>
  <c r="M22" i="11" s="1"/>
  <c r="L22" i="11" s="1"/>
  <c r="U106" i="8" a="1"/>
  <c r="U106" i="8" s="1"/>
  <c r="T101" i="8"/>
  <c r="I18" i="14"/>
  <c r="J18" i="14" s="1"/>
  <c r="K18" i="14" s="1"/>
  <c r="L18" i="14" s="1"/>
  <c r="I25" i="14"/>
  <c r="J25" i="14" s="1"/>
  <c r="K25" i="14" s="1"/>
  <c r="L25" i="14" s="1"/>
  <c r="I26" i="14"/>
  <c r="J26" i="14" s="1"/>
  <c r="K26" i="14" s="1"/>
  <c r="L26" i="14" s="1"/>
  <c r="I36" i="14"/>
  <c r="J36" i="14" s="1"/>
  <c r="K36" i="14" s="1"/>
  <c r="L36" i="14" s="1"/>
  <c r="I13" i="14"/>
  <c r="J13" i="14" s="1"/>
  <c r="K13" i="14" s="1"/>
  <c r="L13" i="14" s="1"/>
  <c r="I10" i="14"/>
  <c r="J10" i="14" s="1"/>
  <c r="K10" i="14" s="1"/>
  <c r="L10" i="14" s="1"/>
  <c r="I27" i="14"/>
  <c r="J27" i="14" s="1"/>
  <c r="K27" i="14" s="1"/>
  <c r="L27" i="14" s="1"/>
  <c r="I32" i="14"/>
  <c r="J32" i="14" s="1"/>
  <c r="K32" i="14" s="1"/>
  <c r="L32" i="14" s="1"/>
  <c r="I40" i="14"/>
  <c r="J40" i="14" s="1"/>
  <c r="K40" i="14" s="1"/>
  <c r="L40" i="14" s="1"/>
  <c r="I45" i="14"/>
  <c r="J45" i="14" s="1"/>
  <c r="K45" i="14" s="1"/>
  <c r="L45" i="14" s="1"/>
  <c r="AE12" i="11"/>
  <c r="M12" i="11" s="1"/>
  <c r="L12" i="11" s="1"/>
  <c r="AE17" i="11"/>
  <c r="M17" i="11" s="1"/>
  <c r="L17" i="11" s="1"/>
  <c r="AE14" i="11"/>
  <c r="M14" i="11" s="1"/>
  <c r="T105" i="8"/>
  <c r="T100" i="8" s="1"/>
  <c r="AD2" i="13"/>
  <c r="AE6" i="13"/>
  <c r="AE4" i="13"/>
  <c r="O27" i="13" s="1"/>
  <c r="U102" i="8" l="1"/>
  <c r="V107" i="8" a="1"/>
  <c r="V107" i="8" s="1"/>
  <c r="V104" i="8"/>
  <c r="V103" i="8"/>
  <c r="V99" i="8" s="1"/>
  <c r="W108" i="8"/>
  <c r="F32" i="14"/>
  <c r="N27" i="13"/>
  <c r="V106" i="8" a="1"/>
  <c r="V106" i="8" s="1"/>
  <c r="U101" i="8"/>
  <c r="M24" i="11"/>
  <c r="L14" i="11"/>
  <c r="L24" i="11" s="1"/>
  <c r="U105" i="8"/>
  <c r="U100" i="8" s="1"/>
  <c r="W106" i="8" l="1" a="1"/>
  <c r="W106" i="8" s="1"/>
  <c r="V101" i="8"/>
  <c r="M10" i="11"/>
  <c r="N10" i="13" s="1"/>
  <c r="M25" i="11"/>
  <c r="L26" i="13"/>
  <c r="E32" i="14"/>
  <c r="AE3" i="13"/>
  <c r="V102" i="8"/>
  <c r="W107" i="8" a="1"/>
  <c r="W107" i="8" s="1"/>
  <c r="W104" i="8"/>
  <c r="W103" i="8"/>
  <c r="W99" i="8" s="1"/>
  <c r="X108" i="8"/>
  <c r="L10" i="11"/>
  <c r="M10" i="13" s="1"/>
  <c r="L25" i="13"/>
  <c r="D30" i="14" s="1"/>
  <c r="L25" i="11"/>
  <c r="V105" i="8"/>
  <c r="V100" i="8" s="1"/>
  <c r="G9" i="11" l="1"/>
  <c r="W102" i="8"/>
  <c r="X107" i="8" a="1"/>
  <c r="X107" i="8" s="1"/>
  <c r="D31" i="14"/>
  <c r="AC26" i="13"/>
  <c r="AD26" i="13"/>
  <c r="O26" i="13"/>
  <c r="AE2" i="13"/>
  <c r="W105" i="8"/>
  <c r="W100" i="8" s="1"/>
  <c r="Y108" i="8"/>
  <c r="X104" i="8"/>
  <c r="X103" i="8"/>
  <c r="X99" i="8" s="1"/>
  <c r="X106" i="8" a="1"/>
  <c r="X106" i="8" s="1"/>
  <c r="W101" i="8"/>
  <c r="X105" i="8" l="1"/>
  <c r="X100" i="8" s="1"/>
  <c r="F31" i="14"/>
  <c r="N26" i="13"/>
  <c r="E31" i="14" s="1"/>
  <c r="O25" i="13"/>
  <c r="X102" i="8"/>
  <c r="Y107" i="8" a="1"/>
  <c r="Y107" i="8" s="1"/>
  <c r="Y106" i="8" a="1"/>
  <c r="Y106" i="8" s="1"/>
  <c r="X101" i="8"/>
  <c r="Z108" i="8"/>
  <c r="Y104" i="8"/>
  <c r="Y103" i="8"/>
  <c r="Y99" i="8" s="1"/>
  <c r="Y105" i="8" l="1"/>
  <c r="Y100" i="8" s="1"/>
  <c r="Z104" i="8"/>
  <c r="AA108" i="8"/>
  <c r="Z103" i="8"/>
  <c r="Z99" i="8" s="1"/>
  <c r="N25" i="13"/>
  <c r="E30" i="14" s="1"/>
  <c r="F30" i="14"/>
  <c r="Y101" i="8"/>
  <c r="Z106" i="8" a="1"/>
  <c r="Z106" i="8" s="1"/>
  <c r="Z107" i="8" a="1"/>
  <c r="Z107" i="8" s="1"/>
  <c r="Z105" i="8" s="1"/>
  <c r="Z100" i="8" s="1"/>
  <c r="Y102" i="8"/>
  <c r="AA106" i="8" l="1" a="1"/>
  <c r="AA106" i="8" s="1"/>
  <c r="Z101" i="8"/>
  <c r="AA104" i="8"/>
  <c r="AB108" i="8"/>
  <c r="AA103" i="8"/>
  <c r="AA99" i="8" s="1"/>
  <c r="Z102" i="8"/>
  <c r="AA107" i="8" a="1"/>
  <c r="AA107" i="8" s="1"/>
  <c r="AC108" i="8" l="1"/>
  <c r="AB103" i="8"/>
  <c r="AB99" i="8" s="1"/>
  <c r="AB104" i="8"/>
  <c r="AA102" i="8"/>
  <c r="AB107" i="8" a="1"/>
  <c r="AB107" i="8" s="1"/>
  <c r="AB105" i="8" s="1"/>
  <c r="AB100" i="8" s="1"/>
  <c r="AA105" i="8"/>
  <c r="AA100" i="8" s="1"/>
  <c r="AB106" i="8" a="1"/>
  <c r="AB106" i="8" s="1"/>
  <c r="AA101" i="8"/>
  <c r="AB101" i="8" l="1"/>
  <c r="AC106" i="8" a="1"/>
  <c r="AC106" i="8" s="1"/>
  <c r="AC107" i="8" a="1"/>
  <c r="AC107" i="8" s="1"/>
  <c r="AB102" i="8"/>
  <c r="AC103" i="8"/>
  <c r="AC99" i="8" s="1"/>
  <c r="AC104" i="8"/>
  <c r="AD108" i="8"/>
  <c r="AD107" i="8" l="1" a="1"/>
  <c r="AD107" i="8" s="1"/>
  <c r="AC102" i="8"/>
  <c r="AD106" i="8" a="1"/>
  <c r="AD106" i="8" s="1"/>
  <c r="AC101" i="8"/>
  <c r="AC105" i="8"/>
  <c r="AC100" i="8" s="1"/>
  <c r="AE108" i="8"/>
  <c r="AD104" i="8"/>
  <c r="AD103" i="8"/>
  <c r="AD99" i="8" s="1"/>
  <c r="AD105" i="8" l="1"/>
  <c r="AD100" i="8" s="1"/>
  <c r="AE106" i="8" a="1"/>
  <c r="AE106" i="8" s="1"/>
  <c r="AD101" i="8"/>
  <c r="AF108" i="8"/>
  <c r="AE103" i="8"/>
  <c r="AE99" i="8" s="1"/>
  <c r="AR108" i="8"/>
  <c r="AE104" i="8"/>
  <c r="AD102" i="8"/>
  <c r="AE107" i="8" a="1"/>
  <c r="AE107" i="8" s="1"/>
  <c r="AE105" i="8" l="1"/>
  <c r="AR105" i="8" s="1"/>
  <c r="AE100" i="8"/>
  <c r="AE102" i="8"/>
  <c r="AF107" i="8" a="1"/>
  <c r="AF107" i="8" s="1"/>
  <c r="AG108" i="8"/>
  <c r="AF104" i="8"/>
  <c r="AF103" i="8"/>
  <c r="AF99" i="8" s="1"/>
  <c r="AR106" i="8"/>
  <c r="AE101" i="8"/>
  <c r="AF106" i="8" a="1"/>
  <c r="AF106" i="8" s="1"/>
  <c r="AF105" i="8" l="1"/>
  <c r="AF100" i="8" s="1"/>
  <c r="AR107" i="8"/>
  <c r="AG106" i="8" a="1"/>
  <c r="AG106" i="8" s="1"/>
  <c r="AF101" i="8"/>
  <c r="AH108" i="8"/>
  <c r="AG104" i="8"/>
  <c r="AG103" i="8"/>
  <c r="AG99" i="8" s="1"/>
  <c r="AF102" i="8"/>
  <c r="AG107" i="8" a="1"/>
  <c r="AG107" i="8" s="1"/>
  <c r="AG102" i="8" l="1"/>
  <c r="AH107" i="8" a="1"/>
  <c r="AH107" i="8" s="1"/>
  <c r="AG105" i="8"/>
  <c r="AG100" i="8" s="1"/>
  <c r="AI108" i="8"/>
  <c r="AH103" i="8"/>
  <c r="AH99" i="8" s="1"/>
  <c r="AH104" i="8"/>
  <c r="AH106" i="8" a="1"/>
  <c r="AH106" i="8" s="1"/>
  <c r="AG101" i="8"/>
  <c r="AI104" i="8" l="1"/>
  <c r="AI103" i="8"/>
  <c r="AI99" i="8" s="1"/>
  <c r="AJ108" i="8"/>
  <c r="AI107" i="8" a="1"/>
  <c r="AI107" i="8" s="1"/>
  <c r="AI105" i="8" s="1"/>
  <c r="AI100" i="8" s="1"/>
  <c r="AH102" i="8"/>
  <c r="AI106" i="8" a="1"/>
  <c r="AI106" i="8" s="1"/>
  <c r="AH101" i="8"/>
  <c r="AH105" i="8"/>
  <c r="AH100" i="8" s="1"/>
  <c r="AJ104" i="8" l="1"/>
  <c r="AK108" i="8"/>
  <c r="AJ103" i="8"/>
  <c r="AJ99" i="8" s="1"/>
  <c r="AJ106" i="8" a="1"/>
  <c r="AJ106" i="8" s="1"/>
  <c r="AI101" i="8"/>
  <c r="AI102" i="8"/>
  <c r="AJ107" i="8" a="1"/>
  <c r="AJ107" i="8" s="1"/>
  <c r="AJ102" i="8" l="1"/>
  <c r="AK107" i="8" a="1"/>
  <c r="AK107" i="8" s="1"/>
  <c r="AL108" i="8"/>
  <c r="AK103" i="8"/>
  <c r="AK99" i="8" s="1"/>
  <c r="AK104" i="8"/>
  <c r="AJ105" i="8"/>
  <c r="AJ100" i="8" s="1"/>
  <c r="AJ101" i="8"/>
  <c r="AK106" i="8" a="1"/>
  <c r="AK106" i="8" s="1"/>
  <c r="AK105" i="8" l="1"/>
  <c r="AK100" i="8" s="1"/>
  <c r="AL104" i="8"/>
  <c r="AL103" i="8"/>
  <c r="AL99" i="8" s="1"/>
  <c r="AM108" i="8"/>
  <c r="AK102" i="8"/>
  <c r="AL107" i="8" a="1"/>
  <c r="AL107" i="8" s="1"/>
  <c r="AK101" i="8"/>
  <c r="AL106" i="8" a="1"/>
  <c r="AL106" i="8" s="1"/>
  <c r="AL101" i="8" l="1"/>
  <c r="AM106" i="8" a="1"/>
  <c r="AM106" i="8" s="1"/>
  <c r="AL102" i="8"/>
  <c r="AM107" i="8" a="1"/>
  <c r="AM107" i="8" s="1"/>
  <c r="AL105" i="8"/>
  <c r="AL100" i="8" s="1"/>
  <c r="AM104" i="8"/>
  <c r="AN108" i="8"/>
  <c r="AM103" i="8"/>
  <c r="AM99" i="8" s="1"/>
  <c r="AN104" i="8" l="1"/>
  <c r="AO108" i="8"/>
  <c r="AN103" i="8"/>
  <c r="AN99" i="8" s="1"/>
  <c r="AN106" i="8" a="1"/>
  <c r="AN106" i="8" s="1"/>
  <c r="AM101" i="8"/>
  <c r="AM102" i="8"/>
  <c r="AN107" i="8" a="1"/>
  <c r="AN107" i="8" s="1"/>
  <c r="AM105" i="8"/>
  <c r="AM100" i="8" s="1"/>
  <c r="AP108" i="8" l="1"/>
  <c r="AO103" i="8"/>
  <c r="AO99" i="8" s="1"/>
  <c r="AO104" i="8"/>
  <c r="AN102" i="8"/>
  <c r="AO107" i="8" a="1"/>
  <c r="AO107" i="8" s="1"/>
  <c r="AN101" i="8"/>
  <c r="AO106" i="8" a="1"/>
  <c r="AO106" i="8" s="1"/>
  <c r="AN105" i="8"/>
  <c r="AN100" i="8" s="1"/>
  <c r="AO101" i="8" l="1"/>
  <c r="AP106" i="8" a="1"/>
  <c r="AP106" i="8" s="1"/>
  <c r="AO102" i="8"/>
  <c r="AP107" i="8" a="1"/>
  <c r="AP107" i="8" s="1"/>
  <c r="AO105" i="8"/>
  <c r="AO100" i="8" s="1"/>
  <c r="AQ108" i="8"/>
  <c r="AP103" i="8"/>
  <c r="AP99" i="8" s="1"/>
  <c r="AP104" i="8"/>
  <c r="AP102" i="8" l="1"/>
  <c r="AQ107" i="8" a="1"/>
  <c r="AQ107" i="8" s="1"/>
  <c r="AQ102" i="8" s="1"/>
  <c r="AP101" i="8"/>
  <c r="AQ106" i="8" a="1"/>
  <c r="AQ106" i="8" s="1"/>
  <c r="AQ101" i="8" s="1"/>
  <c r="AQ104" i="8"/>
  <c r="AQ103" i="8"/>
  <c r="AQ99" i="8" s="1"/>
  <c r="J10" i="8"/>
  <c r="AP105" i="8"/>
  <c r="AP100" i="8" s="1"/>
  <c r="AQ105" i="8" l="1"/>
  <c r="AQ100" i="8" s="1"/>
</calcChain>
</file>

<file path=xl/comments1.xml><?xml version="1.0" encoding="utf-8"?>
<comments xmlns="http://schemas.openxmlformats.org/spreadsheetml/2006/main">
  <authors>
    <author/>
  </authors>
  <commentList>
    <comment ref="F40" authorId="0" shapeId="0">
      <text>
        <r>
          <rPr>
            <sz val="9"/>
            <color indexed="8"/>
            <rFont val="Segoe UI"/>
            <family val="2"/>
          </rPr>
          <t>Informar a data-base do CTEF no formato mm-aaaa.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I6" authorId="0" shapeId="0">
      <text>
        <r>
          <rPr>
            <b/>
            <sz val="9"/>
            <color indexed="8"/>
            <rFont val="Tahoma"/>
            <family val="2"/>
          </rPr>
          <t xml:space="preserve">FILTRO:
</t>
        </r>
        <r>
          <rPr>
            <sz val="9"/>
            <color indexed="8"/>
            <rFont val="Tahoma"/>
            <family val="2"/>
          </rPr>
          <t>Após a conclusão do Orçamento, utilize o filtro nessa coluna com o valor "F" para ocultar linhas não utilizadas.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AJ7" authorId="0" shapeId="0">
      <text>
        <r>
          <rPr>
            <b/>
            <sz val="9"/>
            <color indexed="8"/>
            <rFont val="Tahoma"/>
            <family val="2"/>
          </rPr>
          <t xml:space="preserve">QUANTIDADES:
</t>
        </r>
        <r>
          <rPr>
            <sz val="9"/>
            <color indexed="8"/>
            <rFont val="Tahoma"/>
            <family val="2"/>
          </rPr>
          <t>PREENCHA AS QUANTIDADES AQUI PARA ACOMPANHAMENTOS POR BM.</t>
        </r>
      </text>
    </comment>
    <comment ref="AL7" authorId="0" shapeId="0">
      <text>
        <r>
          <rPr>
            <b/>
            <sz val="9"/>
            <color indexed="8"/>
            <rFont val="Tahoma"/>
            <family val="2"/>
          </rPr>
          <t xml:space="preserve">PREÇO UNITÁRIO LICITADO:
</t>
        </r>
        <r>
          <rPr>
            <sz val="9"/>
            <color indexed="8"/>
            <rFont val="Tahoma"/>
            <family val="2"/>
          </rPr>
          <t>PREENCHA AQUI O PREÇO UNITÁRIO DA LICITAÇÃO.</t>
        </r>
      </text>
    </comment>
    <comment ref="L8" authorId="0" shapeId="0">
      <text>
        <r>
          <rPr>
            <b/>
            <sz val="9"/>
            <color indexed="8"/>
            <rFont val="Tahoma"/>
            <family val="2"/>
          </rPr>
          <t xml:space="preserve">FILTRO:
</t>
        </r>
        <r>
          <rPr>
            <sz val="9"/>
            <color indexed="8"/>
            <rFont val="Tahoma"/>
            <family val="2"/>
          </rPr>
          <t>Após a conclusão do Orçamento, utilize o filtro nessa coluna com o valor "F" para ocultar linhas não utilizadas.</t>
        </r>
      </text>
    </comment>
    <comment ref="Y8" authorId="0" shapeId="0">
      <text>
        <r>
          <rPr>
            <b/>
            <sz val="9"/>
            <color indexed="8"/>
            <rFont val="Tahoma"/>
            <family val="2"/>
          </rPr>
          <t xml:space="preserve">RECURSO:
</t>
        </r>
        <r>
          <rPr>
            <sz val="9"/>
            <color indexed="8"/>
            <rFont val="Tahoma"/>
            <family val="2"/>
          </rPr>
          <t>Selecione a composição do item do Orçamento no Investimento.
RA: Rateio proporcional entre Repasse e Contrapartida.
RP: 100% valor de Repasse.
CP: 100%  valor de Contrapartida.
OU: 100% valor "Outros".</t>
        </r>
      </text>
    </comment>
  </commentList>
</comments>
</file>

<file path=xl/comments4.xml><?xml version="1.0" encoding="utf-8"?>
<comments xmlns="http://schemas.openxmlformats.org/spreadsheetml/2006/main">
  <authors>
    <author/>
  </authors>
  <commentList>
    <comment ref="D15" authorId="0" shapeId="0">
      <text>
        <r>
          <rPr>
            <sz val="9"/>
            <color indexed="8"/>
            <rFont val="Segoe UI"/>
            <family val="2"/>
          </rPr>
          <t>O evento de administração local é fixo, de uso opcional.
Os serviços agrupados neste evento serão medidos proporcionalmente à execução dos demais eventos.</t>
        </r>
      </text>
    </comment>
  </commentList>
</comments>
</file>

<file path=xl/comments5.xml><?xml version="1.0" encoding="utf-8"?>
<comments xmlns="http://schemas.openxmlformats.org/spreadsheetml/2006/main">
  <authors>
    <author/>
  </authors>
  <commentList>
    <comment ref="C7" authorId="0" shapeId="0">
      <text>
        <r>
          <rPr>
            <b/>
            <sz val="9"/>
            <color indexed="8"/>
            <rFont val="Tahoma"/>
            <family val="2"/>
          </rPr>
          <t xml:space="preserve">FILTRO:
</t>
        </r>
        <r>
          <rPr>
            <sz val="9"/>
            <color indexed="8"/>
            <rFont val="Tahoma"/>
            <family val="2"/>
          </rPr>
          <t>Após a conclusão do Orçamento, utilize o filtro nessa coluna com o valor "F" para ocultar linhas não utilizadas.</t>
        </r>
      </text>
    </comment>
  </commentList>
</comments>
</file>

<file path=xl/comments6.xml><?xml version="1.0" encoding="utf-8"?>
<comments xmlns="http://schemas.openxmlformats.org/spreadsheetml/2006/main">
  <authors>
    <author/>
  </authors>
  <commentList>
    <comment ref="C8" authorId="0" shapeId="0">
      <text>
        <r>
          <rPr>
            <b/>
            <sz val="9"/>
            <color indexed="8"/>
            <rFont val="Tahoma"/>
            <family val="2"/>
          </rPr>
          <t xml:space="preserve">FILTRO:
</t>
        </r>
        <r>
          <rPr>
            <sz val="9"/>
            <color indexed="8"/>
            <rFont val="Tahoma"/>
            <family val="2"/>
          </rPr>
          <t>Após a conclusão do Orçamento, utilize o filtro nessa coluna com o valor "F" para ocultar linhas não utilizadas.</t>
        </r>
      </text>
    </comment>
    <comment ref="AB12" authorId="0" shapeId="0">
      <text>
        <r>
          <rPr>
            <sz val="9"/>
            <color indexed="8"/>
            <rFont val="Segoe UI"/>
            <family val="2"/>
          </rPr>
          <t>Digite nestes campos as datas das medições</t>
        </r>
      </text>
    </comment>
    <comment ref="AB13" authorId="0" shapeId="0">
      <text>
        <r>
          <rPr>
            <sz val="9"/>
            <color indexed="8"/>
            <rFont val="Tahoma"/>
            <family val="2"/>
          </rPr>
          <t xml:space="preserve">Para medições além da 12ª, preencha esta coluna com as </t>
        </r>
        <r>
          <rPr>
            <b/>
            <sz val="9"/>
            <color indexed="8"/>
            <rFont val="Tahoma"/>
            <family val="2"/>
          </rPr>
          <t>quantidades acumuladas.</t>
        </r>
      </text>
    </comment>
  </commentList>
</comments>
</file>

<file path=xl/comments7.xml><?xml version="1.0" encoding="utf-8"?>
<comments xmlns="http://schemas.openxmlformats.org/spreadsheetml/2006/main">
  <authors>
    <author/>
  </authors>
  <commentList>
    <comment ref="D7" authorId="0" shapeId="0">
      <text>
        <r>
          <rPr>
            <b/>
            <sz val="9"/>
            <color indexed="8"/>
            <rFont val="Tahoma"/>
            <family val="2"/>
          </rPr>
          <t xml:space="preserve">FILTRO:
</t>
        </r>
        <r>
          <rPr>
            <sz val="9"/>
            <color indexed="8"/>
            <rFont val="Tahoma"/>
            <family val="2"/>
          </rPr>
          <t>Após a conclusão do Orçamento, utilize o filtro nessa coluna com o valor "F" para ocultar linhas não utilizadas.</t>
        </r>
      </text>
    </comment>
    <comment ref="Z25" authorId="0" shapeId="0">
      <text>
        <r>
          <rPr>
            <b/>
            <sz val="9"/>
            <color indexed="8"/>
            <rFont val="Segoe UI"/>
            <family val="2"/>
          </rPr>
          <t xml:space="preserve">Valores de Contrapartida e Outros:
</t>
        </r>
        <r>
          <rPr>
            <sz val="9"/>
            <color indexed="8"/>
            <rFont val="Segoe UI"/>
            <family val="2"/>
          </rPr>
          <t>Digite somente para desbloquear valores diferentes do previsto no RRE.</t>
        </r>
      </text>
    </comment>
  </commentList>
</comments>
</file>

<file path=xl/sharedStrings.xml><?xml version="1.0" encoding="utf-8"?>
<sst xmlns="http://schemas.openxmlformats.org/spreadsheetml/2006/main" count="4843" uniqueCount="640">
  <si>
    <t>PM</t>
  </si>
  <si>
    <t>Licitado</t>
  </si>
  <si>
    <t>Fundo amarelo: células para preencher</t>
  </si>
  <si>
    <t>Fundo azul: células para seleção de opções</t>
  </si>
  <si>
    <t>BM</t>
  </si>
  <si>
    <t>A. DOCUMENTAÇÃO DA PROPOSTA</t>
  </si>
  <si>
    <t>Sub-Itens de Investimento</t>
  </si>
  <si>
    <t>Itens de Investimento</t>
  </si>
  <si>
    <t>Unidades habitacionais</t>
  </si>
  <si>
    <t>Equipamentos comunitários</t>
  </si>
  <si>
    <t>Pavimentação</t>
  </si>
  <si>
    <t xml:space="preserve">Drenagem </t>
  </si>
  <si>
    <t>Abastecimento de água</t>
  </si>
  <si>
    <t>Esgotamento sanitário</t>
  </si>
  <si>
    <t>Energia elétrica e iluminação pública</t>
  </si>
  <si>
    <t>Coleta e tratamento de resíduos sólidos</t>
  </si>
  <si>
    <t xml:space="preserve">Contenção e estabilização de encostas </t>
  </si>
  <si>
    <t>Regularização fundiária</t>
  </si>
  <si>
    <t>Aquisição de terreno</t>
  </si>
  <si>
    <t>Aquisição de equipamentos e insumos</t>
  </si>
  <si>
    <t>Elaboração de estudos e projetos</t>
  </si>
  <si>
    <t>Instrumentos e ações em planejamento e gestão pública</t>
  </si>
  <si>
    <t>Ações complementares às obras</t>
  </si>
  <si>
    <t>Gerenciamento</t>
  </si>
  <si>
    <t>Trabalho social</t>
  </si>
  <si>
    <t>Dados do Contrato (Inicial)</t>
  </si>
  <si>
    <t>Aquisição</t>
  </si>
  <si>
    <t>un</t>
  </si>
  <si>
    <t>Convivência comunitária, assistência social e/ou comunitária</t>
  </si>
  <si>
    <t>m²</t>
  </si>
  <si>
    <t>Capeamento de vias</t>
  </si>
  <si>
    <t xml:space="preserve">Obras de microdrenagem </t>
  </si>
  <si>
    <t>m</t>
  </si>
  <si>
    <t>Captação subterrânea</t>
  </si>
  <si>
    <t>m³/s</t>
  </si>
  <si>
    <t>Ligações domiciliares e/ou intradomiciliares</t>
  </si>
  <si>
    <t>Iluminação pública - luminárias</t>
  </si>
  <si>
    <t xml:space="preserve">Acondicionamento </t>
  </si>
  <si>
    <t>Estabilização de taludes</t>
  </si>
  <si>
    <t>Desapropriacões/Indenizações</t>
  </si>
  <si>
    <t>Avaliação pós intervenção</t>
  </si>
  <si>
    <t>%CT</t>
  </si>
  <si>
    <t>Projeto de Trabalho Social Preliminar</t>
  </si>
  <si>
    <t>nº fam</t>
  </si>
  <si>
    <t>Fonte de recursos:</t>
  </si>
  <si>
    <t>Construção</t>
  </si>
  <si>
    <t>Educação e cultura</t>
  </si>
  <si>
    <t>Recapeamento de vias</t>
  </si>
  <si>
    <t>Desassoreamento de cursos de água</t>
  </si>
  <si>
    <t>Captação superficial</t>
  </si>
  <si>
    <t>Rede coletora e/ou condominial</t>
  </si>
  <si>
    <t>Ligações domiciliares</t>
  </si>
  <si>
    <t>Aterro sanitário e/ou disposição final</t>
  </si>
  <si>
    <t>m³</t>
  </si>
  <si>
    <t>Obras complementares a ações de redução de risco e/ou contenções</t>
  </si>
  <si>
    <t>Projeto de Regularização Fundiária</t>
  </si>
  <si>
    <t>Benfeitorias</t>
  </si>
  <si>
    <t>Demolições</t>
  </si>
  <si>
    <t>Projeto de Trabalho Social</t>
  </si>
  <si>
    <t>Proponente/Tomador:</t>
  </si>
  <si>
    <t>Reforma e/ou melhoria</t>
  </si>
  <si>
    <t>Esportes</t>
  </si>
  <si>
    <t>Obras de artes especiais</t>
  </si>
  <si>
    <t>Canalização de cursos de água</t>
  </si>
  <si>
    <t>Estação de bombeamento de água bruta</t>
  </si>
  <si>
    <t>Coletor tronco e/ou interceptores</t>
  </si>
  <si>
    <t xml:space="preserve">Linhas de distribuição - baixa tensão </t>
  </si>
  <si>
    <t>Erradicação de lixões</t>
  </si>
  <si>
    <t>Plano de Reassentamento e medidas compensatórias</t>
  </si>
  <si>
    <t>Plano de Desenvolvimento Socioterritorial</t>
  </si>
  <si>
    <t>Município/UF:</t>
  </si>
  <si>
    <t>Lazer e turismo</t>
  </si>
  <si>
    <t>Pavimentação de calçadas</t>
  </si>
  <si>
    <t>Recomposição de vegetação ciliar, renaturalização de cursos de água ou restauração de margens</t>
  </si>
  <si>
    <t>Adução</t>
  </si>
  <si>
    <t>Emissário</t>
  </si>
  <si>
    <t xml:space="preserve">Linhas de transmissão - alta tensão </t>
  </si>
  <si>
    <t>Sistema de coleta seletiva tradicional, transporte e/ou equipamentos</t>
  </si>
  <si>
    <t>Plano de Gestão Condominial</t>
  </si>
  <si>
    <t>Nº da Operação (0000000-00):</t>
  </si>
  <si>
    <t>Saúde</t>
  </si>
  <si>
    <t>Pavimentação de vias</t>
  </si>
  <si>
    <t>Reservatório de amortecimento de cheias</t>
  </si>
  <si>
    <t>Estação de Tratamento de Água (ETA)</t>
  </si>
  <si>
    <t>Estação Elevatória</t>
  </si>
  <si>
    <t xml:space="preserve">Tratamento local </t>
  </si>
  <si>
    <t>Nº do SICONV (000000):</t>
  </si>
  <si>
    <t>Segurança pública</t>
  </si>
  <si>
    <t>Sinalização</t>
  </si>
  <si>
    <t>Estação de Bombeamento</t>
  </si>
  <si>
    <t>Estação de bombeamento de água tratada</t>
  </si>
  <si>
    <t>Estação de Tratamento de Esgoto (ETE)</t>
  </si>
  <si>
    <t xml:space="preserve">Usinas de reciclagem </t>
  </si>
  <si>
    <t>Linha de recalque</t>
  </si>
  <si>
    <t>Sistema simplificado de tratamento</t>
  </si>
  <si>
    <t>Valor de Contrapartida Contratada (R$):</t>
  </si>
  <si>
    <t>Reservação</t>
  </si>
  <si>
    <t>Unidades sanitárias</t>
  </si>
  <si>
    <t>% mínimo de Contrapartida:</t>
  </si>
  <si>
    <t>Rede de distribuição</t>
  </si>
  <si>
    <t>R$ mínimo de Contrapartida (se houver):</t>
  </si>
  <si>
    <t>% máximo de Contrapartida:</t>
  </si>
  <si>
    <t>Sistema simplificado de abastecimento</t>
  </si>
  <si>
    <t>Dados do Empreendimento e Orçamento</t>
  </si>
  <si>
    <t>Nome/apelido:</t>
  </si>
  <si>
    <t>Descrição do Objeto do Lote / CTEF:</t>
  </si>
  <si>
    <t>Regime previdenciário previsto para a obra:</t>
  </si>
  <si>
    <t>Data base do Orçamento:</t>
  </si>
  <si>
    <t>Responsável pelo Orçamento</t>
  </si>
  <si>
    <t>Nome:</t>
  </si>
  <si>
    <t>CREA/CAU:</t>
  </si>
  <si>
    <t>ART/RRT:</t>
  </si>
  <si>
    <t>Data do preenchimento:</t>
  </si>
  <si>
    <t>Responsável pelo Tomador (Prefeito, no caso de Municípios)</t>
  </si>
  <si>
    <t>Cargo:</t>
  </si>
  <si>
    <t>B. RESULTADO DO PROCESSO LICITATÓRIO</t>
  </si>
  <si>
    <t>Licitação</t>
  </si>
  <si>
    <t>Data de emissão dos documentos de licitação:</t>
  </si>
  <si>
    <t>Nº do CTEF (contrato com empresa):</t>
  </si>
  <si>
    <t>Nome da empresa:</t>
  </si>
  <si>
    <t>CNPJ da empresa:</t>
  </si>
  <si>
    <t>Regime de execução do CTEF:</t>
  </si>
  <si>
    <t>Data base do CTEF:</t>
  </si>
  <si>
    <t>C. ACOMPANHAMENTO DO EMPREENDIMENTO</t>
  </si>
  <si>
    <t>Dados da obra</t>
  </si>
  <si>
    <t>Data do Início da Obra:</t>
  </si>
  <si>
    <t>Data de fechamento do RRE:</t>
  </si>
  <si>
    <t>Responsável pela Fiscalização</t>
  </si>
  <si>
    <t>Profissão:</t>
  </si>
  <si>
    <t>CREA/CAU (para obras/projetos):</t>
  </si>
  <si>
    <t>ART/RRT (para obras/projetos):</t>
  </si>
  <si>
    <t>D. ACOMPANHAMENTO CAIXA</t>
  </si>
  <si>
    <t>Responsável Gerencial</t>
  </si>
  <si>
    <t>Função:</t>
  </si>
  <si>
    <t>Novidades da Versão</t>
  </si>
  <si>
    <t>V3.0.0</t>
  </si>
  <si>
    <t>GERAL</t>
  </si>
  <si>
    <t>Lançamento: Adequação à Portaria 424/2016. Acompanhamento por Eventos.</t>
  </si>
  <si>
    <t>MIN</t>
  </si>
  <si>
    <t>MED</t>
  </si>
  <si>
    <t>MAX</t>
  </si>
  <si>
    <t>Grau de Sigilo</t>
  </si>
  <si>
    <t>Construção e Reforma de Edifícios</t>
  </si>
  <si>
    <t>AC</t>
  </si>
  <si>
    <t>#PUBLICO</t>
  </si>
  <si>
    <t>SG</t>
  </si>
  <si>
    <t>R</t>
  </si>
  <si>
    <t>Nº OPERAÇÃO</t>
  </si>
  <si>
    <t>Nº SICONV</t>
  </si>
  <si>
    <t>PROPONENTE / TOMADOR</t>
  </si>
  <si>
    <t>DF</t>
  </si>
  <si>
    <t>L</t>
  </si>
  <si>
    <t>BDI PAD</t>
  </si>
  <si>
    <t>APELIDO DO EMPREENDIMENTO / DESCRIÇÃO DO LOTE</t>
  </si>
  <si>
    <t>Construção de Praças Urbanas, Rodovias, Ferrovias e recapeamento e pavimentação de vias urbanas</t>
  </si>
  <si>
    <t>Conforme legislação tributária municipal, definir estimativa de percentual da base de cálculo para o ISS:</t>
  </si>
  <si>
    <t>Sobre a base de cálculo, definir a respectiva alíquota do ISS (entre 2% e 5%):</t>
  </si>
  <si>
    <t>Construção de Redes de Abastecimento de Água, Coleta de Esgoto</t>
  </si>
  <si>
    <t>BDI 1</t>
  </si>
  <si>
    <t>TIPO DE OBRA</t>
  </si>
  <si>
    <t>Itens</t>
  </si>
  <si>
    <t>Siglas</t>
  </si>
  <si>
    <t>% Adotado</t>
  </si>
  <si>
    <t>Situação</t>
  </si>
  <si>
    <t>1º Quartil</t>
  </si>
  <si>
    <t>Médio</t>
  </si>
  <si>
    <t>3º Quartil</t>
  </si>
  <si>
    <t>Construção e Manutenção de Estações e Redes de Distribuição de Energia Elétrica</t>
  </si>
  <si>
    <t>-</t>
  </si>
  <si>
    <t>Obras Portuárias, Marítimas e Fluviais</t>
  </si>
  <si>
    <t>Tributos (impostos COFINS 3%, e  PIS 0,65%)</t>
  </si>
  <si>
    <t>CP</t>
  </si>
  <si>
    <t>Tributos (ISS, variável de acordo com o município)</t>
  </si>
  <si>
    <t>ISS</t>
  </si>
  <si>
    <t>Tributos (Contribuição Previdenciária sobre a Receita Bruta - 0% ou 4,5% - Desoneração)</t>
  </si>
  <si>
    <t>CPRB</t>
  </si>
  <si>
    <t>BDI SEM desoneração (Fórmula Acórdão TCU)</t>
  </si>
  <si>
    <t>BDI COM desoneração</t>
  </si>
  <si>
    <t>BDI DES</t>
  </si>
  <si>
    <t>Fornecimento de Materiais e Equipamentos (aquisição indireta - em conjunto com licitação de obras)</t>
  </si>
  <si>
    <t>Os valores de BDI foram calculados com o emprego da fórmula:</t>
  </si>
  <si>
    <t>BDI =</t>
  </si>
  <si>
    <t xml:space="preserve"> - 1</t>
  </si>
  <si>
    <t>(1-CP-ISS-CRPB)</t>
  </si>
  <si>
    <t>Fornecimento de Materiais e Equipamentos (aquisição direta)</t>
  </si>
  <si>
    <t>Estudos e Projetos, Planos e Gerenciamento e outros correlatos</t>
  </si>
  <si>
    <t>K1</t>
  </si>
  <si>
    <t>K2</t>
  </si>
  <si>
    <t>K3</t>
  </si>
  <si>
    <t>Observações:</t>
  </si>
  <si>
    <t>Local</t>
  </si>
  <si>
    <t>Data</t>
  </si>
  <si>
    <t>Responsável Técnico</t>
  </si>
  <si>
    <t>BDI 2</t>
  </si>
  <si>
    <t>BDI 3</t>
  </si>
  <si>
    <t>PO - PLANILHA ORÇAMENTÁRIA</t>
  </si>
  <si>
    <t>LOTE</t>
  </si>
  <si>
    <t>Meta</t>
  </si>
  <si>
    <t>Nível 2</t>
  </si>
  <si>
    <t>Nível 3</t>
  </si>
  <si>
    <t>Nível 4</t>
  </si>
  <si>
    <t>Serviço</t>
  </si>
  <si>
    <t>Arredondamento</t>
  </si>
  <si>
    <t>Nmax</t>
  </si>
  <si>
    <t>APELIDO DO EMPREENDIMENTO</t>
  </si>
  <si>
    <t>Quantidade</t>
  </si>
  <si>
    <t>LOCALIDADE SINAPI</t>
  </si>
  <si>
    <t>DATA BASE</t>
  </si>
  <si>
    <t>Custo Unitáro</t>
  </si>
  <si>
    <t>QUANTIDADES: ACOMP. POR BM</t>
  </si>
  <si>
    <t>PREÇO UNITÁRIO LICITADO</t>
  </si>
  <si>
    <t>FILTRO</t>
  </si>
  <si>
    <t>RECURSO</t>
  </si>
  <si>
    <t>SGL RECURSO</t>
  </si>
  <si>
    <t>BDI</t>
  </si>
  <si>
    <t>Preço Unitário</t>
  </si>
  <si>
    <t>ERRO GERAL</t>
  </si>
  <si>
    <t>Preço Total</t>
  </si>
  <si>
    <t>Valores não Arredondados</t>
  </si>
  <si>
    <t>↓</t>
  </si>
  <si>
    <t>Nível E</t>
  </si>
  <si>
    <t>Save Nivel</t>
  </si>
  <si>
    <t>Nível C</t>
  </si>
  <si>
    <t>Altura</t>
  </si>
  <si>
    <t>n1</t>
  </si>
  <si>
    <t>n2</t>
  </si>
  <si>
    <t>n3</t>
  </si>
  <si>
    <t>n4</t>
  </si>
  <si>
    <t>n5</t>
  </si>
  <si>
    <t>Czero</t>
  </si>
  <si>
    <t>Cnível</t>
  </si>
  <si>
    <t>Nível</t>
  </si>
  <si>
    <t>Nível Corrigido</t>
  </si>
  <si>
    <t>Item</t>
  </si>
  <si>
    <t>Fonte</t>
  </si>
  <si>
    <t>Código</t>
  </si>
  <si>
    <t>Descrição</t>
  </si>
  <si>
    <t>Unidade</t>
  </si>
  <si>
    <t>Preço Unitário (com BDI) (R$)</t>
  </si>
  <si>
    <t>Preço Total
(R$)</t>
  </si>
  <si>
    <t>Contrapartida (R$)</t>
  </si>
  <si>
    <t>Outros (R$)</t>
  </si>
  <si>
    <t>Erro de Dados</t>
  </si>
  <si>
    <t>Lista Crono</t>
  </si>
  <si>
    <t>Concatenação Fonte-Código</t>
  </si>
  <si>
    <t>BancoDesloc</t>
  </si>
  <si>
    <t>Preço Total
Licit. (R$)</t>
  </si>
  <si>
    <t>RA</t>
  </si>
  <si>
    <t>F</t>
  </si>
  <si>
    <t>SINAPI</t>
  </si>
  <si>
    <t>Encargos sociais:</t>
  </si>
  <si>
    <t>Para elaboração deste orçamento, foram utilizados os encargos sociais do SINAPI para a Unidade da Federação indicada.</t>
  </si>
  <si>
    <t>Siglas da Composição do Investimento: RA - Rateio proporcional entre Repasse e Contrapartida; RP - 100% Repasse; CP - 100% Contrapartida; OU - 100% Outros.</t>
  </si>
  <si>
    <t>Preços dos serviços por frente</t>
  </si>
  <si>
    <t>Mês do cronograma</t>
  </si>
  <si>
    <t>Número da Medição</t>
  </si>
  <si>
    <t>Empty</t>
  </si>
  <si>
    <t>.</t>
  </si>
  <si>
    <t>Nº AGRUPADOR DE EVENTOS</t>
  </si>
  <si>
    <t>FRENTES DE OBRA:</t>
  </si>
  <si>
    <t>AUTOEVENTO</t>
  </si>
  <si>
    <t>Memória de Cálculo</t>
  </si>
  <si>
    <t>Nº</t>
  </si>
  <si>
    <t># Evento</t>
  </si>
  <si>
    <t>Agrupador de Eventos</t>
  </si>
  <si>
    <t>TOTAL FINANC. POR FRENTE (R$):</t>
  </si>
  <si>
    <t>AGRUPADORES DE EVENTOS</t>
  </si>
  <si>
    <t>1. Selecione abaixo a forma de definição dos agrupadores de eventos:</t>
  </si>
  <si>
    <t>Nº do Evento</t>
  </si>
  <si>
    <t>Título do Evento</t>
  </si>
  <si>
    <t>Valor Total dos Eventos (R$)</t>
  </si>
  <si>
    <t>Administração Local</t>
  </si>
  <si>
    <t>% Período:</t>
  </si>
  <si>
    <t>Níveis a Exibir no Cronograma:</t>
  </si>
  <si>
    <t>PROPONENTE TOMADOR</t>
  </si>
  <si>
    <t>APELIDO EMPREENDIMENTO</t>
  </si>
  <si>
    <t>Falta distribuir:</t>
  </si>
  <si>
    <t>Valor (R$)</t>
  </si>
  <si>
    <t>Parcelas:</t>
  </si>
  <si>
    <t>Item CRONO</t>
  </si>
  <si>
    <t>OU</t>
  </si>
  <si>
    <t>Linha PO
Linha QCI
Total Adm Local</t>
  </si>
  <si>
    <t>Linhas a somar</t>
  </si>
  <si>
    <t>#</t>
  </si>
  <si>
    <t>%:</t>
  </si>
  <si>
    <t>Período:</t>
  </si>
  <si>
    <t>Contrapartida:</t>
  </si>
  <si>
    <t>Outros:</t>
  </si>
  <si>
    <t>Investimento:</t>
  </si>
  <si>
    <t>Acumulado:</t>
  </si>
  <si>
    <t>CRONOGRAMA PREVISTO PLE</t>
  </si>
  <si>
    <t>1. Digite nas células em amarelo o número do período em que os eventos serão concluídos:</t>
  </si>
  <si>
    <t>Filtro</t>
  </si>
  <si>
    <t>Título dos Eventos</t>
  </si>
  <si>
    <t>Informe abaixo o NÚMERO DO PERÍODO em que os eventos serão concluídos</t>
  </si>
  <si>
    <t>PLE - PLANILHA DE LEVANTAMENTO DE EVENTOS</t>
  </si>
  <si>
    <t>Medição:</t>
  </si>
  <si>
    <t>% Realizado Período.:</t>
  </si>
  <si>
    <t>% Realizado Acum.:</t>
  </si>
  <si>
    <t>Informe abaixo o NÚMERO DA MEDIÇÃO em que os eventos foram concluídos</t>
  </si>
  <si>
    <t>Data das Medições</t>
  </si>
  <si>
    <t>Medições</t>
  </si>
  <si>
    <t>%</t>
  </si>
  <si>
    <t>R$</t>
  </si>
  <si>
    <t>Responsável Técnico pela Fiscalização</t>
  </si>
  <si>
    <t>QCI - Quadro de Composição do Investimento</t>
  </si>
  <si>
    <t>% Maior:</t>
  </si>
  <si>
    <t>% Rateio CP Fin:</t>
  </si>
  <si>
    <t>MUNICÍPIO / UF</t>
  </si>
  <si>
    <t>VALORES CONTRATADOS (R$):</t>
  </si>
  <si>
    <t>CONTRAPARTIDA</t>
  </si>
  <si>
    <t>INVESTIMENTO</t>
  </si>
  <si>
    <t>% CP Min Prog:</t>
  </si>
  <si>
    <t>% CP Absoluta:</t>
  </si>
  <si>
    <t>% CP Max Rep:</t>
  </si>
  <si>
    <t>Saldo a Reprogramar</t>
  </si>
  <si>
    <t>Ordem Meta</t>
  </si>
  <si>
    <t>Arred</t>
  </si>
  <si>
    <t>Repasse (R$)</t>
  </si>
  <si>
    <t>Proporcional</t>
  </si>
  <si>
    <t>Busca</t>
  </si>
  <si>
    <t>Item de Investimento</t>
  </si>
  <si>
    <t>Subitem de Investimento</t>
  </si>
  <si>
    <t>Descrição da Meta</t>
  </si>
  <si>
    <t>Unid.</t>
  </si>
  <si>
    <t>Lote de Licitação / nº do CTEF</t>
  </si>
  <si>
    <t>Contrapartida Financeira (R$)</t>
  </si>
  <si>
    <t>Investimento (R$)</t>
  </si>
  <si>
    <t>Divisão do Investimento</t>
  </si>
  <si>
    <t>TR$</t>
  </si>
  <si>
    <t>TOTAL</t>
  </si>
  <si>
    <t>T%</t>
  </si>
  <si>
    <t>Representante Tomador</t>
  </si>
  <si>
    <t>Modo CAIXA</t>
  </si>
  <si>
    <t>INÍCIO DE OBRA</t>
  </si>
  <si>
    <t xml:space="preserve">Regime </t>
  </si>
  <si>
    <t>Fórmula CopMed</t>
  </si>
  <si>
    <t>Nº CTEF</t>
  </si>
  <si>
    <t>EMPRESA EXECUTORA</t>
  </si>
  <si>
    <t>CNPJ</t>
  </si>
  <si>
    <t>PERÍODO DA MEDIÇÃO</t>
  </si>
  <si>
    <t>Nº MEDIÇÃO</t>
  </si>
  <si>
    <t>ARREDMED</t>
  </si>
  <si>
    <t>Anexo</t>
  </si>
  <si>
    <t>Datas das Medições</t>
  </si>
  <si>
    <t>Orçamento Contratado</t>
  </si>
  <si>
    <t>Evolução Financeira (R$)</t>
  </si>
  <si>
    <t>Quadro de Glosas</t>
  </si>
  <si>
    <t>Acum. Anterior</t>
  </si>
  <si>
    <t>Período</t>
  </si>
  <si>
    <t>Acum. Incluindo o Período</t>
  </si>
  <si>
    <t>Valor Total Glosado (R$)</t>
  </si>
  <si>
    <t>Motivo da Glosa</t>
  </si>
  <si>
    <t>Valor Total Medido (R$)</t>
  </si>
  <si>
    <t>TOTAL:</t>
  </si>
  <si>
    <t>Observações</t>
  </si>
  <si>
    <t>Profissional CAIXA:</t>
  </si>
  <si>
    <t>Matrícula</t>
  </si>
  <si>
    <t>Acum. Previsto</t>
  </si>
  <si>
    <t>Acum. Chegada</t>
  </si>
  <si>
    <t>Outros</t>
  </si>
  <si>
    <t>Nº RRE</t>
  </si>
  <si>
    <t>Investimento</t>
  </si>
  <si>
    <t>Situação do TC/CR:</t>
  </si>
  <si>
    <t>Percentual previsto em:</t>
  </si>
  <si>
    <t>Lista CTEF</t>
  </si>
  <si>
    <t>PLE</t>
  </si>
  <si>
    <t>Acumulado Período Anterior</t>
  </si>
  <si>
    <t>Acumulado incluindo o Período</t>
  </si>
  <si>
    <t>Linha
PO</t>
  </si>
  <si>
    <t>BM / PLE nº</t>
  </si>
  <si>
    <t>Valor Total (R$)</t>
  </si>
  <si>
    <t>Acum. Período Anterior - CP</t>
  </si>
  <si>
    <t>Acum. Período Anterior - Outros</t>
  </si>
  <si>
    <t>No Período</t>
  </si>
  <si>
    <t>Acum. Incluindo Período - CP</t>
  </si>
  <si>
    <t>Acum. Incluindo Período - Outros</t>
  </si>
  <si>
    <t>Execução Física Acum.</t>
  </si>
  <si>
    <t>(%)</t>
  </si>
  <si>
    <t>Anterior (R$)</t>
  </si>
  <si>
    <t>Acumulado (R$)</t>
  </si>
  <si>
    <t>Max CP/OU Ant.</t>
  </si>
  <si>
    <t>Max CP/OU Acum.</t>
  </si>
  <si>
    <t>Contrapartida</t>
  </si>
  <si>
    <t># PÚBLICO</t>
  </si>
  <si>
    <t>Resumo de Valores por CTEF:</t>
  </si>
  <si>
    <t>CTEF:</t>
  </si>
  <si>
    <t>Valor Vigente (R$)</t>
  </si>
  <si>
    <t>Valor desta Medição (R$)</t>
  </si>
  <si>
    <t>Valor Acumulado (R$)</t>
  </si>
  <si>
    <t>Ofício n°:</t>
  </si>
  <si>
    <t>À</t>
  </si>
  <si>
    <t>CAIXA ECONÔMICA FEDERAL</t>
  </si>
  <si>
    <t>Assunto:</t>
  </si>
  <si>
    <t>REF:</t>
  </si>
  <si>
    <t>Objeto:</t>
  </si>
  <si>
    <t>Proponente / Tomador:</t>
  </si>
  <si>
    <t>Valores Vigentes do TC/CR</t>
  </si>
  <si>
    <t>Valores Medidos Acumulados</t>
  </si>
  <si>
    <t>Contrapartida Financeira:</t>
  </si>
  <si>
    <t>Execução Física:</t>
  </si>
  <si>
    <t>Atenciosamente,</t>
  </si>
  <si>
    <t>DADOS DO CONTRATO</t>
  </si>
  <si>
    <t>NOVIDADES DA VERSÃO</t>
  </si>
  <si>
    <t>LEGENDA:</t>
  </si>
  <si>
    <t>Fundo azul: navegação entre abas</t>
  </si>
  <si>
    <t>Fundo laranja: execução de macro</t>
  </si>
  <si>
    <r>
      <t xml:space="preserve">Cores das </t>
    </r>
    <r>
      <rPr>
        <b/>
        <sz val="10"/>
        <rFont val="Arial"/>
        <family val="2"/>
      </rPr>
      <t>células</t>
    </r>
    <r>
      <rPr>
        <sz val="10"/>
        <rFont val="Arial"/>
        <family val="2"/>
      </rPr>
      <t>:</t>
    </r>
  </si>
  <si>
    <r>
      <t xml:space="preserve">Cores dos </t>
    </r>
    <r>
      <rPr>
        <b/>
        <sz val="10"/>
        <rFont val="Arial"/>
        <family val="2"/>
      </rPr>
      <t>botões</t>
    </r>
    <r>
      <rPr>
        <sz val="10"/>
        <rFont val="Arial"/>
        <family val="2"/>
      </rPr>
      <t>:</t>
    </r>
  </si>
  <si>
    <t>Proposto</t>
  </si>
  <si>
    <t>(SELECIONAR)</t>
  </si>
  <si>
    <t>Lista CTEFs</t>
  </si>
  <si>
    <t>V3.0.1</t>
  </si>
  <si>
    <t>PO</t>
  </si>
  <si>
    <t>Preço Unitário Edital (R$)</t>
  </si>
  <si>
    <t>Ajustes de formatações.</t>
  </si>
  <si>
    <t>Correção da aplicação do BDI não desonerado.</t>
  </si>
  <si>
    <t>Inclusão de coluna exclusiva "Preço Unitário Edital", para o Modo 'Orçamento Licitado'.</t>
  </si>
  <si>
    <t>Custo Unitário Referência (R$)</t>
  </si>
  <si>
    <t>V3.0.2</t>
  </si>
  <si>
    <t>CRONOGRAMA</t>
  </si>
  <si>
    <t>QCI</t>
  </si>
  <si>
    <t>Correção na formulação do total por Repasse, CP e Outros.</t>
  </si>
  <si>
    <t>Correção na formulação do arredondamento no rateio dos valores do QCI.</t>
  </si>
  <si>
    <t>Correção na formulação do total acumulado por Repasse, CP e Outros</t>
  </si>
  <si>
    <t>RRE</t>
  </si>
  <si>
    <t>ORÇAMENTO</t>
  </si>
  <si>
    <t>Ampliada obtenção de dados da Planilha Referência de 20.000 para 65.536 linhas.</t>
  </si>
  <si>
    <t>Correção do Problema de Guias ocultas no BROFFICE.</t>
  </si>
  <si>
    <t>V3.0.3</t>
  </si>
  <si>
    <t>CÁLCULO</t>
  </si>
  <si>
    <t>Corrigida lentidão e travamento ao incluir e excluir frentes.</t>
  </si>
  <si>
    <t>V3.0.4</t>
  </si>
  <si>
    <t>Correção da CPRB que exibia 4,5% mesmo quando não desonerado.</t>
  </si>
  <si>
    <t>Correção da distribuição de Repasse, CP e Outros para as metas manuais.</t>
  </si>
  <si>
    <t>Adicionado botão para adotar a CP do QCI como CP do contrato (zera saldo a reprogramar de CP).</t>
  </si>
  <si>
    <t>V3.0.5</t>
  </si>
  <si>
    <t>Corrigido modo de Cálculo da Planilha para Automático.</t>
  </si>
  <si>
    <t>v3.0.5</t>
  </si>
  <si>
    <t>NÃO DESONERADO</t>
  </si>
  <si>
    <t>Prefeito</t>
  </si>
  <si>
    <t>Composição</t>
  </si>
  <si>
    <t>Em Análise</t>
  </si>
  <si>
    <t>Samir Azmi Ibrahim Muhammad Ahmad</t>
  </si>
  <si>
    <t>Norton dos Santos Filho</t>
  </si>
  <si>
    <t>139329-8</t>
  </si>
  <si>
    <t>CP-03</t>
  </si>
  <si>
    <t>CP-08</t>
  </si>
  <si>
    <t>CP-09</t>
  </si>
  <si>
    <t>CP-10</t>
  </si>
  <si>
    <t>CP-11</t>
  </si>
  <si>
    <t>CP-12</t>
  </si>
  <si>
    <t>CP-13</t>
  </si>
  <si>
    <t>BDI Diferenciado.</t>
  </si>
  <si>
    <t>CP-15</t>
  </si>
  <si>
    <t xml:space="preserve">ESCOLA BILÍNGUE (PADRÃO FNDE - 5 SALAS)     </t>
  </si>
  <si>
    <t>CP-01</t>
  </si>
  <si>
    <t>CP-02</t>
  </si>
  <si>
    <t>CP-04</t>
  </si>
  <si>
    <t>CP-05</t>
  </si>
  <si>
    <t>CP-06</t>
  </si>
  <si>
    <t>CP-07</t>
  </si>
  <si>
    <t>CP-14</t>
  </si>
  <si>
    <t>CP-16</t>
  </si>
  <si>
    <t>CP-17</t>
  </si>
  <si>
    <t>CP-28</t>
  </si>
  <si>
    <t>CT-01</t>
  </si>
  <si>
    <t>CT-02</t>
  </si>
  <si>
    <t>CP-18</t>
  </si>
  <si>
    <t>CP-22</t>
  </si>
  <si>
    <t>CP-23</t>
  </si>
  <si>
    <t>CP-24</t>
  </si>
  <si>
    <t>CP-25</t>
  </si>
  <si>
    <t>CP-26</t>
  </si>
  <si>
    <t>CP-21</t>
  </si>
  <si>
    <t>CP-27</t>
  </si>
  <si>
    <t>CP-19</t>
  </si>
  <si>
    <t>CP-20</t>
  </si>
  <si>
    <t>SERVIÇOS INICIAIS</t>
  </si>
  <si>
    <t>MOVIMENTO DE TERRA PARA FUNDAÇÕES</t>
  </si>
  <si>
    <t>SAPATAS</t>
  </si>
  <si>
    <t>EDIFICAÇÃO</t>
  </si>
  <si>
    <t>RESERVATÓRIO</t>
  </si>
  <si>
    <t>ESTRUTURA METÁLICA</t>
  </si>
  <si>
    <t>MURO</t>
  </si>
  <si>
    <t>FUNDAÇÕES</t>
  </si>
  <si>
    <t>CONCRETO ARMADO PARA FUNDAÇÕES - SAPATAS</t>
  </si>
  <si>
    <t>CONCRETO ARMADO PARA FUNDAÇÕES - VIGAS BALDRAMES</t>
  </si>
  <si>
    <t>CONCRETO ARMADO PARA FUNDAÇÕES - VIGAS BALDRAMES - MURO</t>
  </si>
  <si>
    <t>CONCRETO ARMADO PARA FUNDAÇÕES - VIGAS BALDRAMES - RESERVATÓRIO</t>
  </si>
  <si>
    <t>CONCRETO ARMADO - RADIER - RESERVATÓRIO</t>
  </si>
  <si>
    <t>CONCRETO ARMADO PARA FUNDAÇÕES - VIGAS BALDRAMES - METÁLICA</t>
  </si>
  <si>
    <t xml:space="preserve">SUPERESTRUTURA </t>
  </si>
  <si>
    <t>CONCRETO ARMADO - PILARES</t>
  </si>
  <si>
    <t>CONCRETO ARMADO - PILARES - MURO</t>
  </si>
  <si>
    <t>CONCRETO ARMADO - PILARES E VIGAS- RESERVATÓRIO</t>
  </si>
  <si>
    <t>CONCRETO ARMADO - VIGAS</t>
  </si>
  <si>
    <t>CONCRETO ARMADO - VIGAS - MURO</t>
  </si>
  <si>
    <t>CONCRETO ARMADO PARA VERGAS</t>
  </si>
  <si>
    <t>CONCRETO ARMADO - PISO PARA QUADRA</t>
  </si>
  <si>
    <t>CONCRETO ARMADO - LAJE</t>
  </si>
  <si>
    <t>CONCRETO ARMADO - LAJE - MURO</t>
  </si>
  <si>
    <t>CONCRETO ARMADO - LAJE - RESERVATÓRIO</t>
  </si>
  <si>
    <t>SISTEMA DE VEDAÇÃO VERTICAL</t>
  </si>
  <si>
    <t>ELEMENTOS VAZADOS</t>
  </si>
  <si>
    <t>ALVENARIA DE VEDAÇÃO</t>
  </si>
  <si>
    <t>DIVISÓRIAS</t>
  </si>
  <si>
    <t>ALVENARIA DE VEDAÇÃO - MURO</t>
  </si>
  <si>
    <t>ESQUADRIAS</t>
  </si>
  <si>
    <t>PORTAS DE MADEIRA</t>
  </si>
  <si>
    <t>FERRAGENS E ACESSÓRIOS</t>
  </si>
  <si>
    <t>PORTAS EM ALUMÍNIO</t>
  </si>
  <si>
    <t>JANELAS DE ALUMÍNIO</t>
  </si>
  <si>
    <t>VIDROS</t>
  </si>
  <si>
    <t>ESQUADRIA - GERAL</t>
  </si>
  <si>
    <t>SISTEMAS DE COBERTURA</t>
  </si>
  <si>
    <t>QUADRA</t>
  </si>
  <si>
    <t xml:space="preserve">IMPERMEABILIZAÇÃO </t>
  </si>
  <si>
    <t>REVESTIMENTOS INTERNO E EXTERNO</t>
  </si>
  <si>
    <t>MURETA</t>
  </si>
  <si>
    <t>SISTEMAS DE PISOS</t>
  </si>
  <si>
    <t>PAVIMENTAÇÃO INTERNA</t>
  </si>
  <si>
    <t>PAVIMENTAÇÃO EXTERNA</t>
  </si>
  <si>
    <t>PASSEIO COM ACESSIBILIDADE</t>
  </si>
  <si>
    <t>PINTURAS E ACABAMENTOS</t>
  </si>
  <si>
    <t xml:space="preserve">INSTALAÇÃO HIDRÁULICA </t>
  </si>
  <si>
    <t>TUBULAÇÕES E CONEXÕES DE PVC RÍGIDO</t>
  </si>
  <si>
    <t>TUBULAÇÕES E CONEXÕES - METAIS</t>
  </si>
  <si>
    <t>DIVERSOS</t>
  </si>
  <si>
    <t>SISTEMA DE REUSO DE ÁGUA</t>
  </si>
  <si>
    <t>CAIXA DÁGUA - 40.000L</t>
  </si>
  <si>
    <t>DRENAGEM DE ÁGUAS PLUVIAIS</t>
  </si>
  <si>
    <t>TUBULAÇÕES E CONEXÕES DE PVC</t>
  </si>
  <si>
    <t>ACESSÓRIOS</t>
  </si>
  <si>
    <t>INSTALAÇÃO SANITÁRIA</t>
  </si>
  <si>
    <t>TUBULAÇÕES E CONEXÕES</t>
  </si>
  <si>
    <t>VENTILAÇÃO</t>
  </si>
  <si>
    <t>LOUÇAS, ACESSÓRIOS E METAIS</t>
  </si>
  <si>
    <t>INSTALAÇÃO DE GÁS COMBUSTÍVEL</t>
  </si>
  <si>
    <t>SISTEMA DE PROTEÇÃO CONTRA INCÊNDIO</t>
  </si>
  <si>
    <t>EXTINTOR</t>
  </si>
  <si>
    <t>FERRO MALEAVEL CLASSE 10</t>
  </si>
  <si>
    <t>METAIS</t>
  </si>
  <si>
    <t>HIDRANTES</t>
  </si>
  <si>
    <t>ALARME MANUAL</t>
  </si>
  <si>
    <t>OUTROS</t>
  </si>
  <si>
    <t>INSTALAÇÃO ELÉTRICA - 220V</t>
  </si>
  <si>
    <t>CENTRO DE DISTRIBUIÇÃO</t>
  </si>
  <si>
    <t>DISJUNTORES</t>
  </si>
  <si>
    <t>ELETRODUTOS E ACESSÓRIOS</t>
  </si>
  <si>
    <t>CABOS E FIOS (CONDUTORES)</t>
  </si>
  <si>
    <t>ELETROCALHAS</t>
  </si>
  <si>
    <t>ILUMINAÇÃO E TOMADAS</t>
  </si>
  <si>
    <t>PADRÃO DE ENTRADA DE ENERGIA</t>
  </si>
  <si>
    <t>INSTALAÇÕES DE CLIMATIZAÇÃO</t>
  </si>
  <si>
    <t>INSTALAÇÕES DE CABEAMENTO ESTRUTURADO</t>
  </si>
  <si>
    <t>EQUIPAMENTOS PASSIVOS</t>
  </si>
  <si>
    <t>CABOS EM PAR TRANÇADOS</t>
  </si>
  <si>
    <t>ACESSÓRIOS PARA ELETRODUTOS</t>
  </si>
  <si>
    <t>ACESSÓRIOS PARA TELEFONIA</t>
  </si>
  <si>
    <t>CAIXAS E ACESSÓRIOS</t>
  </si>
  <si>
    <t>SISTEMA DE EXAUSTÃO MECÂNICA</t>
  </si>
  <si>
    <t>SISTEMA DE PROTEÇÃO CONTRA DESCARGAS ATMOSFÉRICAS (SPDA)</t>
  </si>
  <si>
    <t>SERVIÇOS COMPLEMENTARES</t>
  </si>
  <si>
    <t>SERVIÇOS FINAIS</t>
  </si>
  <si>
    <t>Placa de Obra</t>
  </si>
  <si>
    <t>Canteiro de Obras</t>
  </si>
  <si>
    <t>Preparação da Base</t>
  </si>
  <si>
    <t xml:space="preserve">Base </t>
  </si>
  <si>
    <t>Drenagem</t>
  </si>
  <si>
    <t>Grama Sintética</t>
  </si>
  <si>
    <t>Equipamentos</t>
  </si>
  <si>
    <t>Única</t>
  </si>
  <si>
    <t>LAGUNA/SC</t>
  </si>
  <si>
    <t>SR</t>
  </si>
  <si>
    <t>PREFEITURA DO MUNICÍPIO DE LAGUNA</t>
  </si>
  <si>
    <t>EMPREITADA POR PREÇO UNITÁRIO</t>
  </si>
  <si>
    <t>9200819-3</t>
  </si>
  <si>
    <t>SIURB</t>
  </si>
  <si>
    <t>Cotação</t>
  </si>
  <si>
    <t>CT-03</t>
  </si>
  <si>
    <t>CP-29</t>
  </si>
  <si>
    <t>CP-32</t>
  </si>
  <si>
    <t>RP</t>
  </si>
  <si>
    <t>Definir Manualmente</t>
  </si>
  <si>
    <t>PLANILHA ORÇAMENTÁRIA - FNDE</t>
  </si>
  <si>
    <t>PLANILHA ORÇAMENTÁRIA - MUNICIPAL</t>
  </si>
  <si>
    <t>96622</t>
  </si>
  <si>
    <t>105022</t>
  </si>
  <si>
    <t>CP-30</t>
  </si>
  <si>
    <t>CP-31</t>
  </si>
  <si>
    <t>CP-33</t>
  </si>
  <si>
    <t>CP-34</t>
  </si>
  <si>
    <t>CP-35</t>
  </si>
  <si>
    <t>CP-36</t>
  </si>
  <si>
    <t>LIGAÇÃO PREDIAL NA REDE PÚBLICA DE ESGOTO</t>
  </si>
  <si>
    <t>94499</t>
  </si>
  <si>
    <t>CP-37</t>
  </si>
  <si>
    <t>CP-38</t>
  </si>
  <si>
    <t>SUDECAP</t>
  </si>
  <si>
    <t>11.92.17</t>
  </si>
  <si>
    <t>CP-39</t>
  </si>
  <si>
    <t>CP-40</t>
  </si>
  <si>
    <t>CP-41</t>
  </si>
  <si>
    <t>CP-42</t>
  </si>
  <si>
    <t>CP-43</t>
  </si>
  <si>
    <t>CP-44</t>
  </si>
  <si>
    <t>CP-45</t>
  </si>
  <si>
    <t>CP-46</t>
  </si>
  <si>
    <t>CP-48</t>
  </si>
  <si>
    <t>CP-49</t>
  </si>
  <si>
    <t>CP-50</t>
  </si>
  <si>
    <t>CP-47</t>
  </si>
  <si>
    <t>CP-51</t>
  </si>
  <si>
    <t>CP-52</t>
  </si>
  <si>
    <t>CP-53</t>
  </si>
  <si>
    <t>CP-54</t>
  </si>
  <si>
    <t>CP-55</t>
  </si>
  <si>
    <t>11.82.10</t>
  </si>
  <si>
    <t>11.82.21</t>
  </si>
  <si>
    <t>CP-56</t>
  </si>
  <si>
    <t>- Em concordância com a Lei Federal 14.133/2021 e o Decreto 6951/2023 do Município de Laguna, os itens que não foram encontrados nas tabelas SINAPI e SICRO foram substituídos por itens de tabelas oficiais (SIURB/SP e SUDECAP/MG - 01/2024) e pesquisa de preço em sites especializados de amplo domínio.
- Os quantitativos e referências são em conformidade com a planilha orçamentária do FNDE (Escola 5 Salas) e respectivos projetos complementares adaptados pelo munícipio, portanto estes devem ser consultados em caso de dúvidas.</t>
  </si>
  <si>
    <t>CP-58</t>
  </si>
  <si>
    <t>CP-59</t>
  </si>
  <si>
    <t>CP-60</t>
  </si>
  <si>
    <t>CP-61</t>
  </si>
  <si>
    <t>CP-62</t>
  </si>
  <si>
    <t>CP-63</t>
  </si>
  <si>
    <t>CP-64</t>
  </si>
  <si>
    <t>CP-65</t>
  </si>
  <si>
    <t>CP-66</t>
  </si>
  <si>
    <t>CP-67</t>
  </si>
  <si>
    <t>CP-68</t>
  </si>
  <si>
    <t>CP-69</t>
  </si>
  <si>
    <t>CP-70</t>
  </si>
  <si>
    <t>CP-71</t>
  </si>
  <si>
    <t>CP-73</t>
  </si>
  <si>
    <t>CP-72</t>
  </si>
  <si>
    <t>CP-74</t>
  </si>
  <si>
    <t>CP-75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</si>
</sst>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3">
    <numFmt numFmtId="164" formatCode="_(&quot;R$ &quot;* #,##0.00_);_(&quot;R$ &quot;* \(#,##0.00\);_(&quot;R$ &quot;* \-??_);_(@_)"/>
    <numFmt numFmtId="165" formatCode="_-* #,##0.00_-;\-* #,##0.00_-;_-* \-??_-;_-@_-"/>
    <numFmt numFmtId="166" formatCode="mm\-yyyy"/>
    <numFmt numFmtId="167" formatCode="General;General"/>
    <numFmt numFmtId="168" formatCode="dddd&quot;, &quot;mmmm\ dd&quot;, &quot;yyyy"/>
    <numFmt numFmtId="169" formatCode="dd&quot; de &quot;mmmm&quot; de &quot;yyyy"/>
    <numFmt numFmtId="170" formatCode="mmm\-yy;@"/>
    <numFmt numFmtId="171" formatCode="_(* #,##0.00_);_(* \(#,##0.00\);_(* \-??_);_(@_)"/>
    <numFmt numFmtId="172" formatCode="0\."/>
    <numFmt numFmtId="173" formatCode="_(\ #,##0.00_);_(&quot; (&quot;#,##0.00\);_(&quot; -&quot;??_);_(@_)"/>
    <numFmt numFmtId="174" formatCode="mm/yy"/>
    <numFmt numFmtId="175" formatCode="General;;"/>
    <numFmt numFmtId="176" formatCode="&quot;Medição &quot;0"/>
    <numFmt numFmtId="177" formatCode="_(#,##0.00_);_(* \(#,##0.00\);_(* \-??_);_(@_)"/>
    <numFmt numFmtId="178" formatCode="_-#,##0.00_-;\-#,##0.00_-;_-&quot; -&quot;??_-;_-@_-"/>
    <numFmt numFmtId="179" formatCode="##\."/>
    <numFmt numFmtId="180" formatCode="_-&quot;R$ &quot;* #,##0.00_-;&quot;-R$ &quot;* #,##0.00_-;_-&quot;R$ &quot;* \-??_-;_-@_-"/>
    <numFmt numFmtId="181" formatCode="&quot;( &quot;0.00%&quot; )&quot;"/>
    <numFmt numFmtId="182" formatCode="dd/mm/yy;@"/>
    <numFmt numFmtId="183" formatCode="&quot;Medição &quot;##"/>
    <numFmt numFmtId="184" formatCode="#,##0.00_ ;\-#,##0.00\ "/>
    <numFmt numFmtId="185" formatCode="_(* #,##0.00_);_(* \(#,##0.00\);;_(@_)"/>
    <numFmt numFmtId="186" formatCode="[$-F800]dddd\,\ mmmm\ dd\,\ yyyy"/>
  </numFmts>
  <fonts count="67" x14ac:knownFonts="1"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9"/>
      <name val="Arial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b/>
      <sz val="15"/>
      <color indexed="54"/>
      <name val="Calibri"/>
      <family val="2"/>
    </font>
    <font>
      <b/>
      <sz val="13"/>
      <color indexed="54"/>
      <name val="Calibri"/>
      <family val="2"/>
    </font>
    <font>
      <b/>
      <sz val="11"/>
      <color indexed="54"/>
      <name val="Calibri"/>
      <family val="2"/>
    </font>
    <font>
      <sz val="18"/>
      <color indexed="54"/>
      <name val="Calibri Light"/>
      <family val="2"/>
    </font>
    <font>
      <b/>
      <sz val="11"/>
      <name val="Arial"/>
      <family val="2"/>
    </font>
    <font>
      <b/>
      <sz val="13"/>
      <name val="Arial"/>
      <family val="2"/>
    </font>
    <font>
      <b/>
      <sz val="18"/>
      <name val="Arial"/>
      <family val="2"/>
    </font>
    <font>
      <b/>
      <sz val="11"/>
      <color indexed="10"/>
      <name val="Arial"/>
      <family val="2"/>
    </font>
    <font>
      <i/>
      <sz val="10"/>
      <name val="Arial"/>
      <family val="2"/>
    </font>
    <font>
      <b/>
      <sz val="10"/>
      <color indexed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9"/>
      <color indexed="8"/>
      <name val="Segoe UI"/>
      <family val="2"/>
    </font>
    <font>
      <b/>
      <sz val="18"/>
      <color indexed="8"/>
      <name val="Calibri"/>
      <family val="2"/>
    </font>
    <font>
      <b/>
      <sz val="14"/>
      <color indexed="8"/>
      <name val="Calibri"/>
      <family val="2"/>
    </font>
    <font>
      <u/>
      <sz val="11"/>
      <color indexed="8"/>
      <name val="Calibri"/>
      <family val="2"/>
    </font>
    <font>
      <b/>
      <sz val="10"/>
      <color indexed="12"/>
      <name val="Arial"/>
      <family val="2"/>
    </font>
    <font>
      <sz val="11"/>
      <name val="Arial"/>
      <family val="2"/>
    </font>
    <font>
      <b/>
      <sz val="12"/>
      <color indexed="10"/>
      <name val="Arial"/>
      <family val="2"/>
    </font>
    <font>
      <sz val="10"/>
      <color indexed="10"/>
      <name val="Arial"/>
      <family val="2"/>
    </font>
    <font>
      <i/>
      <sz val="12"/>
      <name val="Calibri"/>
      <family val="2"/>
    </font>
    <font>
      <i/>
      <u/>
      <sz val="12"/>
      <name val="Calibri"/>
      <family val="2"/>
    </font>
    <font>
      <u/>
      <sz val="10"/>
      <name val="Arial"/>
      <family val="2"/>
    </font>
    <font>
      <sz val="14"/>
      <color indexed="9"/>
      <name val="Arial"/>
      <family val="2"/>
    </font>
    <font>
      <sz val="12"/>
      <name val="Arial"/>
      <family val="2"/>
    </font>
    <font>
      <sz val="8"/>
      <name val="Arial"/>
      <family val="2"/>
    </font>
    <font>
      <sz val="10"/>
      <name val="Calibri"/>
      <family val="2"/>
    </font>
    <font>
      <b/>
      <sz val="9"/>
      <color indexed="8"/>
      <name val="Tahoma"/>
      <family val="2"/>
    </font>
    <font>
      <sz val="9"/>
      <color indexed="8"/>
      <name val="Tahoma"/>
      <family val="2"/>
    </font>
    <font>
      <b/>
      <sz val="9"/>
      <name val="Arial"/>
      <family val="2"/>
    </font>
    <font>
      <b/>
      <sz val="8"/>
      <name val="Arial"/>
      <family val="2"/>
    </font>
    <font>
      <sz val="8"/>
      <name val="Calibri"/>
      <family val="2"/>
    </font>
    <font>
      <b/>
      <sz val="7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0"/>
      <color indexed="22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name val="Arial Narrow"/>
      <family val="2"/>
    </font>
    <font>
      <sz val="11"/>
      <color indexed="10"/>
      <name val="Arial"/>
      <family val="2"/>
    </font>
    <font>
      <b/>
      <i/>
      <sz val="10"/>
      <name val="Arial"/>
      <family val="2"/>
    </font>
    <font>
      <b/>
      <sz val="9"/>
      <color indexed="8"/>
      <name val="Segoe UI"/>
      <family val="2"/>
    </font>
    <font>
      <i/>
      <sz val="8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0"/>
      <color indexed="9"/>
      <name val="Arial"/>
      <family val="2"/>
    </font>
    <font>
      <b/>
      <sz val="12"/>
      <color indexed="10"/>
      <name val="Arial"/>
      <family val="2"/>
    </font>
    <font>
      <b/>
      <sz val="8"/>
      <color indexed="10"/>
      <name val="Calibri"/>
      <family val="2"/>
    </font>
    <font>
      <b/>
      <sz val="11"/>
      <color indexed="10"/>
      <name val="Calibri"/>
      <family val="2"/>
    </font>
    <font>
      <sz val="10"/>
      <color indexed="44"/>
      <name val="Arial"/>
      <family val="2"/>
    </font>
    <font>
      <u/>
      <sz val="10"/>
      <color theme="10"/>
      <name val="Arial"/>
      <family val="2"/>
    </font>
    <font>
      <sz val="11"/>
      <color theme="1"/>
      <name val="Calibri"/>
      <family val="2"/>
      <scheme val="minor"/>
    </font>
    <font>
      <sz val="8"/>
      <color rgb="FF000000"/>
      <name val="Segoe UI"/>
      <family val="2"/>
    </font>
  </fonts>
  <fills count="30">
    <fill>
      <patternFill patternType="none"/>
    </fill>
    <fill>
      <patternFill patternType="gray125"/>
    </fill>
    <fill>
      <patternFill patternType="solid">
        <fgColor indexed="27"/>
        <bgColor indexed="41"/>
      </patternFill>
    </fill>
    <fill>
      <patternFill patternType="solid">
        <fgColor indexed="47"/>
        <bgColor indexed="42"/>
      </patternFill>
    </fill>
    <fill>
      <patternFill patternType="solid">
        <fgColor indexed="42"/>
        <bgColor indexed="31"/>
      </patternFill>
    </fill>
    <fill>
      <patternFill patternType="solid">
        <fgColor indexed="26"/>
        <bgColor indexed="9"/>
      </patternFill>
    </fill>
    <fill>
      <patternFill patternType="solid">
        <fgColor indexed="43"/>
        <bgColor indexed="26"/>
      </patternFill>
    </fill>
    <fill>
      <patternFill patternType="solid">
        <fgColor indexed="24"/>
        <bgColor indexed="46"/>
      </patternFill>
    </fill>
    <fill>
      <patternFill patternType="solid">
        <fgColor indexed="22"/>
        <bgColor indexed="44"/>
      </patternFill>
    </fill>
    <fill>
      <patternFill patternType="solid">
        <fgColor indexed="49"/>
        <bgColor indexed="40"/>
      </patternFill>
    </fill>
    <fill>
      <patternFill patternType="solid">
        <fgColor indexed="57"/>
        <bgColor indexed="21"/>
      </patternFill>
    </fill>
    <fill>
      <patternFill patternType="solid">
        <fgColor indexed="9"/>
        <bgColor indexed="41"/>
      </patternFill>
    </fill>
    <fill>
      <patternFill patternType="solid">
        <fgColor indexed="55"/>
        <bgColor indexed="46"/>
      </patternFill>
    </fill>
    <fill>
      <patternFill patternType="solid">
        <fgColor indexed="53"/>
        <bgColor indexed="52"/>
      </patternFill>
    </fill>
    <fill>
      <patternFill patternType="solid">
        <fgColor indexed="51"/>
        <bgColor indexed="13"/>
      </patternFill>
    </fill>
    <fill>
      <patternFill patternType="solid">
        <fgColor indexed="62"/>
        <bgColor indexed="56"/>
      </patternFill>
    </fill>
    <fill>
      <patternFill patternType="solid">
        <fgColor indexed="31"/>
        <bgColor indexed="42"/>
      </patternFill>
    </fill>
    <fill>
      <patternFill patternType="solid">
        <fgColor indexed="23"/>
        <bgColor indexed="55"/>
      </patternFill>
    </fill>
    <fill>
      <patternFill patternType="solid">
        <fgColor indexed="44"/>
        <bgColor indexed="22"/>
      </patternFill>
    </fill>
    <fill>
      <patternFill patternType="solid">
        <fgColor indexed="41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4"/>
        <bgColor indexed="26"/>
      </patternFill>
    </fill>
    <fill>
      <patternFill patternType="lightUp"/>
    </fill>
    <fill>
      <patternFill patternType="lightUp">
        <fgColor indexed="22"/>
      </patternFill>
    </fill>
    <fill>
      <patternFill patternType="lightUp">
        <bgColor indexed="42"/>
      </patternFill>
    </fill>
    <fill>
      <patternFill patternType="lightUp">
        <fgColor indexed="31"/>
      </patternFill>
    </fill>
  </fills>
  <borders count="11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44"/>
      </left>
      <right style="thin">
        <color indexed="44"/>
      </right>
      <top style="thin">
        <color indexed="44"/>
      </top>
      <bottom style="thin">
        <color indexed="4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4"/>
      </bottom>
      <diagonal/>
    </border>
    <border>
      <left/>
      <right/>
      <top/>
      <bottom style="medium">
        <color indexed="2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hair">
        <color indexed="8"/>
      </right>
      <top style="medium">
        <color indexed="8"/>
      </top>
      <bottom style="hair">
        <color indexed="8"/>
      </bottom>
      <diagonal/>
    </border>
    <border>
      <left/>
      <right style="medium">
        <color indexed="8"/>
      </right>
      <top style="medium">
        <color indexed="8"/>
      </top>
      <bottom style="hair">
        <color indexed="8"/>
      </bottom>
      <diagonal/>
    </border>
    <border>
      <left style="medium">
        <color indexed="8"/>
      </left>
      <right style="hair">
        <color indexed="8"/>
      </right>
      <top/>
      <bottom style="hair">
        <color indexed="8"/>
      </bottom>
      <diagonal/>
    </border>
    <border>
      <left/>
      <right style="medium">
        <color indexed="8"/>
      </right>
      <top/>
      <bottom style="hair">
        <color indexed="8"/>
      </bottom>
      <diagonal/>
    </border>
    <border>
      <left style="medium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 style="medium">
        <color indexed="8"/>
      </right>
      <top style="hair">
        <color indexed="8"/>
      </top>
      <bottom style="hair">
        <color indexed="8"/>
      </bottom>
      <diagonal/>
    </border>
    <border>
      <left style="medium">
        <color indexed="8"/>
      </left>
      <right style="hair">
        <color indexed="8"/>
      </right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hair">
        <color indexed="8"/>
      </right>
      <top style="medium">
        <color indexed="8"/>
      </top>
      <bottom/>
      <diagonal/>
    </border>
    <border>
      <left style="hair">
        <color indexed="8"/>
      </left>
      <right style="medium">
        <color indexed="8"/>
      </right>
      <top style="medium">
        <color indexed="8"/>
      </top>
      <bottom/>
      <diagonal/>
    </border>
    <border>
      <left style="hair">
        <color indexed="8"/>
      </left>
      <right style="medium">
        <color indexed="8"/>
      </right>
      <top style="hair">
        <color indexed="8"/>
      </top>
      <bottom style="hair">
        <color indexed="8"/>
      </bottom>
      <diagonal/>
    </border>
    <border>
      <left style="medium">
        <color indexed="8"/>
      </left>
      <right style="hair">
        <color indexed="8"/>
      </right>
      <top style="hair">
        <color indexed="8"/>
      </top>
      <bottom style="medium">
        <color indexed="8"/>
      </bottom>
      <diagonal/>
    </border>
    <border>
      <left style="hair">
        <color indexed="8"/>
      </left>
      <right style="medium">
        <color indexed="8"/>
      </right>
      <top style="hair">
        <color indexed="8"/>
      </top>
      <bottom style="medium">
        <color indexed="8"/>
      </bottom>
      <diagonal/>
    </border>
    <border>
      <left/>
      <right style="medium">
        <color indexed="8"/>
      </right>
      <top style="hair">
        <color indexed="8"/>
      </top>
      <bottom style="medium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hair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hair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/>
      <diagonal/>
    </border>
    <border>
      <left style="thin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 style="thin">
        <color indexed="8"/>
      </bottom>
      <diagonal/>
    </border>
    <border>
      <left style="thin">
        <color indexed="8"/>
      </left>
      <right style="hair">
        <color indexed="8"/>
      </right>
      <top/>
      <bottom style="thin">
        <color indexed="8"/>
      </bottom>
      <diagonal/>
    </border>
    <border>
      <left style="hair">
        <color indexed="8"/>
      </left>
      <right style="thin">
        <color indexed="8"/>
      </right>
      <top/>
      <bottom style="thin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hair">
        <color indexed="55"/>
      </bottom>
      <diagonal/>
    </border>
    <border>
      <left style="thin">
        <color indexed="8"/>
      </left>
      <right/>
      <top style="hair">
        <color indexed="8"/>
      </top>
      <bottom/>
      <diagonal/>
    </border>
    <border>
      <left/>
      <right/>
      <top style="hair">
        <color indexed="8"/>
      </top>
      <bottom/>
      <diagonal/>
    </border>
    <border>
      <left/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 style="hair">
        <color indexed="8"/>
      </right>
      <top style="thin">
        <color indexed="8"/>
      </top>
      <bottom style="hair">
        <color indexed="55"/>
      </bottom>
      <diagonal/>
    </border>
    <border>
      <left style="hair">
        <color indexed="8"/>
      </left>
      <right style="thin">
        <color indexed="8"/>
      </right>
      <top style="thin">
        <color indexed="8"/>
      </top>
      <bottom style="hair">
        <color indexed="55"/>
      </bottom>
      <diagonal/>
    </border>
    <border>
      <left/>
      <right/>
      <top/>
      <bottom style="hair">
        <color indexed="8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hair">
        <color indexed="8"/>
      </bottom>
      <diagonal/>
    </border>
    <border>
      <left/>
      <right style="thin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/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/>
      <top style="hair">
        <color indexed="8"/>
      </top>
      <bottom style="thin">
        <color indexed="8"/>
      </bottom>
      <diagonal/>
    </border>
    <border>
      <left/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/>
      <right/>
      <top style="thin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medium">
        <color indexed="8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medium">
        <color indexed="8"/>
      </right>
      <top/>
      <bottom style="hair">
        <color indexed="8"/>
      </bottom>
      <diagonal/>
    </border>
    <border>
      <left/>
      <right style="hair">
        <color indexed="8"/>
      </right>
      <top style="hair">
        <color indexed="55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8"/>
      </right>
      <top style="hair">
        <color indexed="8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hair">
        <color indexed="8"/>
      </left>
      <right style="hair">
        <color indexed="8"/>
      </right>
      <top style="hair">
        <color indexed="55"/>
      </top>
      <bottom/>
      <diagonal/>
    </border>
    <border>
      <left style="thin">
        <color indexed="8"/>
      </left>
      <right style="hair">
        <color indexed="8"/>
      </right>
      <top style="hair">
        <color indexed="55"/>
      </top>
      <bottom/>
      <diagonal/>
    </border>
    <border>
      <left style="hair">
        <color indexed="8"/>
      </left>
      <right style="thin">
        <color indexed="8"/>
      </right>
      <top style="hair">
        <color indexed="55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/>
      <bottom style="thin">
        <color indexed="23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8"/>
      </right>
      <top style="hair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hair">
        <color indexed="8"/>
      </bottom>
      <diagonal/>
    </border>
    <border>
      <left style="medium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hair">
        <color indexed="8"/>
      </bottom>
      <diagonal/>
    </border>
  </borders>
  <cellStyleXfs count="51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3" borderId="0" applyNumberFormat="0" applyBorder="0" applyAlignment="0" applyProtection="0"/>
    <xf numFmtId="0" fontId="2" fillId="8" borderId="0" applyNumberFormat="0" applyBorder="0" applyAlignment="0" applyProtection="0"/>
    <xf numFmtId="0" fontId="2" fillId="6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3" fillId="2" borderId="0" applyNumberFormat="0" applyBorder="0" applyAlignment="0" applyProtection="0"/>
    <xf numFmtId="0" fontId="4" fillId="11" borderId="1" applyNumberFormat="0" applyAlignment="0" applyProtection="0"/>
    <xf numFmtId="0" fontId="5" fillId="12" borderId="2" applyNumberFormat="0" applyAlignment="0" applyProtection="0"/>
    <xf numFmtId="0" fontId="6" fillId="0" borderId="3" applyNumberFormat="0" applyFill="0" applyAlignment="0" applyProtection="0"/>
    <xf numFmtId="0" fontId="2" fillId="9" borderId="0" applyNumberFormat="0" applyBorder="0" applyAlignment="0" applyProtection="0"/>
    <xf numFmtId="0" fontId="2" fillId="13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0" borderId="0" applyNumberFormat="0" applyBorder="0" applyAlignment="0" applyProtection="0"/>
    <xf numFmtId="0" fontId="7" fillId="3" borderId="1" applyNumberFormat="0" applyAlignment="0" applyProtection="0"/>
    <xf numFmtId="0" fontId="64" fillId="0" borderId="0" applyNumberFormat="0" applyFill="0" applyBorder="0" applyAlignment="0" applyProtection="0"/>
    <xf numFmtId="180" fontId="56" fillId="0" borderId="0" applyFill="0" applyBorder="0" applyAlignment="0" applyProtection="0"/>
    <xf numFmtId="164" fontId="56" fillId="0" borderId="0" applyFill="0" applyBorder="0" applyAlignment="0" applyProtection="0"/>
    <xf numFmtId="0" fontId="56" fillId="0" borderId="0"/>
    <xf numFmtId="0" fontId="1" fillId="0" borderId="0"/>
    <xf numFmtId="0" fontId="65" fillId="0" borderId="0"/>
    <xf numFmtId="0" fontId="8" fillId="0" borderId="0"/>
    <xf numFmtId="0" fontId="56" fillId="5" borderId="4" applyNumberFormat="0" applyAlignment="0" applyProtection="0"/>
    <xf numFmtId="9" fontId="56" fillId="0" borderId="0" applyFill="0" applyBorder="0" applyAlignment="0" applyProtection="0"/>
    <xf numFmtId="9" fontId="56" fillId="0" borderId="0" applyFill="0" applyBorder="0" applyAlignment="0" applyProtection="0"/>
    <xf numFmtId="0" fontId="9" fillId="11" borderId="5" applyNumberFormat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5" fillId="0" borderId="8" applyNumberFormat="0" applyFill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2" fillId="0" borderId="9" applyNumberFormat="0" applyFill="0" applyAlignment="0" applyProtection="0"/>
    <xf numFmtId="171" fontId="56" fillId="0" borderId="0" applyFill="0" applyBorder="0" applyAlignment="0" applyProtection="0"/>
    <xf numFmtId="165" fontId="56" fillId="0" borderId="0" applyFill="0" applyBorder="0" applyAlignment="0" applyProtection="0"/>
  </cellStyleXfs>
  <cellXfs count="840">
    <xf numFmtId="0" fontId="0" fillId="0" borderId="0" xfId="0"/>
    <xf numFmtId="0" fontId="0" fillId="0" borderId="10" xfId="0" applyFill="1" applyBorder="1"/>
    <xf numFmtId="0" fontId="0" fillId="0" borderId="11" xfId="0" applyFill="1" applyBorder="1"/>
    <xf numFmtId="0" fontId="0" fillId="0" borderId="0" xfId="0" applyFont="1" applyFill="1" applyBorder="1"/>
    <xf numFmtId="0" fontId="0" fillId="0" borderId="0" xfId="0" applyFont="1" applyFill="1" applyBorder="1" applyAlignment="1">
      <alignment vertical="center"/>
    </xf>
    <xf numFmtId="0" fontId="0" fillId="0" borderId="12" xfId="0" applyFill="1" applyBorder="1"/>
    <xf numFmtId="0" fontId="0" fillId="6" borderId="0" xfId="0" applyFont="1" applyFill="1" applyBorder="1"/>
    <xf numFmtId="0" fontId="0" fillId="16" borderId="0" xfId="0" applyFont="1" applyFill="1" applyBorder="1" applyAlignment="1" applyProtection="1">
      <alignment vertical="center"/>
    </xf>
    <xf numFmtId="0" fontId="0" fillId="0" borderId="0" xfId="0" applyFill="1" applyAlignment="1">
      <alignment vertical="center"/>
    </xf>
    <xf numFmtId="0" fontId="0" fillId="0" borderId="0" xfId="0" applyAlignment="1">
      <alignment horizontal="center"/>
    </xf>
    <xf numFmtId="0" fontId="23" fillId="0" borderId="0" xfId="0" applyFont="1" applyAlignment="1">
      <alignment vertical="center"/>
    </xf>
    <xf numFmtId="0" fontId="0" fillId="0" borderId="13" xfId="0" applyBorder="1"/>
    <xf numFmtId="0" fontId="24" fillId="0" borderId="0" xfId="0" applyFont="1"/>
    <xf numFmtId="0" fontId="24" fillId="0" borderId="14" xfId="0" applyFont="1" applyBorder="1" applyAlignment="1" applyProtection="1">
      <alignment horizontal="left"/>
    </xf>
    <xf numFmtId="0" fontId="24" fillId="0" borderId="14" xfId="0" applyFont="1" applyBorder="1" applyAlignment="1" applyProtection="1">
      <alignment horizontal="center"/>
    </xf>
    <xf numFmtId="0" fontId="0" fillId="0" borderId="0" xfId="0" applyFont="1" applyAlignment="1" applyProtection="1">
      <alignment horizontal="left"/>
    </xf>
    <xf numFmtId="0" fontId="0" fillId="0" borderId="0" xfId="0" applyFont="1" applyProtection="1"/>
    <xf numFmtId="0" fontId="0" fillId="0" borderId="0" xfId="0" applyFont="1" applyFill="1" applyAlignment="1" applyProtection="1">
      <alignment horizontal="center"/>
    </xf>
    <xf numFmtId="0" fontId="0" fillId="0" borderId="0" xfId="0" applyFont="1" applyFill="1" applyAlignment="1" applyProtection="1">
      <alignment horizontal="left"/>
    </xf>
    <xf numFmtId="0" fontId="0" fillId="0" borderId="0" xfId="0" applyFont="1" applyFill="1" applyProtection="1"/>
    <xf numFmtId="0" fontId="0" fillId="0" borderId="0" xfId="0" applyFont="1" applyAlignment="1" applyProtection="1">
      <alignment horizontal="center"/>
    </xf>
    <xf numFmtId="0" fontId="0" fillId="0" borderId="15" xfId="0" applyFont="1" applyBorder="1" applyAlignment="1">
      <alignment vertical="center"/>
    </xf>
    <xf numFmtId="0" fontId="0" fillId="16" borderId="16" xfId="0" applyFont="1" applyFill="1" applyBorder="1" applyAlignment="1" applyProtection="1">
      <alignment vertical="center"/>
      <protection locked="0"/>
    </xf>
    <xf numFmtId="0" fontId="0" fillId="0" borderId="17" xfId="0" applyFont="1" applyBorder="1" applyAlignment="1">
      <alignment vertical="center"/>
    </xf>
    <xf numFmtId="49" fontId="0" fillId="6" borderId="18" xfId="0" applyNumberFormat="1" applyFont="1" applyFill="1" applyBorder="1" applyAlignment="1" applyProtection="1">
      <alignment vertical="center"/>
      <protection locked="0"/>
    </xf>
    <xf numFmtId="0" fontId="0" fillId="0" borderId="19" xfId="0" applyFont="1" applyBorder="1" applyAlignment="1">
      <alignment vertical="center"/>
    </xf>
    <xf numFmtId="49" fontId="0" fillId="6" borderId="20" xfId="0" applyNumberFormat="1" applyFont="1" applyFill="1" applyBorder="1" applyAlignment="1" applyProtection="1">
      <alignment vertical="center"/>
      <protection locked="0"/>
    </xf>
    <xf numFmtId="4" fontId="0" fillId="6" borderId="20" xfId="0" applyNumberFormat="1" applyFill="1" applyBorder="1" applyAlignment="1" applyProtection="1">
      <alignment horizontal="left" vertical="center"/>
      <protection locked="0"/>
    </xf>
    <xf numFmtId="10" fontId="0" fillId="6" borderId="20" xfId="0" applyNumberFormat="1" applyFill="1" applyBorder="1" applyAlignment="1" applyProtection="1">
      <alignment horizontal="left" vertical="center"/>
      <protection locked="0"/>
    </xf>
    <xf numFmtId="0" fontId="0" fillId="0" borderId="21" xfId="0" applyFont="1" applyBorder="1" applyAlignment="1">
      <alignment vertical="center"/>
    </xf>
    <xf numFmtId="10" fontId="0" fillId="6" borderId="22" xfId="0" applyNumberFormat="1" applyFill="1" applyBorder="1" applyAlignment="1" applyProtection="1">
      <alignment horizontal="left" vertical="center"/>
      <protection locked="0"/>
    </xf>
    <xf numFmtId="10" fontId="0" fillId="0" borderId="0" xfId="0" applyNumberFormat="1" applyFill="1" applyBorder="1" applyAlignment="1" applyProtection="1">
      <alignment horizontal="left" vertical="center"/>
    </xf>
    <xf numFmtId="0" fontId="0" fillId="0" borderId="23" xfId="0" applyFont="1" applyBorder="1" applyAlignment="1">
      <alignment vertical="center"/>
    </xf>
    <xf numFmtId="49" fontId="0" fillId="6" borderId="24" xfId="0" applyNumberFormat="1" applyFont="1" applyFill="1" applyBorder="1" applyAlignment="1" applyProtection="1">
      <alignment vertical="center" wrapText="1"/>
      <protection locked="0"/>
    </xf>
    <xf numFmtId="49" fontId="0" fillId="6" borderId="25" xfId="0" applyNumberFormat="1" applyFont="1" applyFill="1" applyBorder="1" applyAlignment="1" applyProtection="1">
      <alignment vertical="center" wrapText="1"/>
      <protection locked="0"/>
    </xf>
    <xf numFmtId="0" fontId="0" fillId="0" borderId="19" xfId="0" applyFont="1" applyFill="1" applyBorder="1" applyAlignment="1">
      <alignment vertical="center"/>
    </xf>
    <xf numFmtId="0" fontId="0" fillId="16" borderId="25" xfId="0" applyFont="1" applyFill="1" applyBorder="1" applyAlignment="1" applyProtection="1">
      <alignment vertical="center"/>
      <protection locked="0"/>
    </xf>
    <xf numFmtId="0" fontId="0" fillId="0" borderId="26" xfId="0" applyFont="1" applyBorder="1" applyAlignment="1">
      <alignment vertical="center"/>
    </xf>
    <xf numFmtId="166" fontId="0" fillId="6" borderId="22" xfId="0" applyNumberFormat="1" applyFill="1" applyBorder="1" applyAlignment="1" applyProtection="1">
      <alignment horizontal="left" vertical="center"/>
      <protection locked="0"/>
    </xf>
    <xf numFmtId="0" fontId="0" fillId="0" borderId="0" xfId="0" applyAlignment="1">
      <alignment vertical="center"/>
    </xf>
    <xf numFmtId="4" fontId="0" fillId="0" borderId="0" xfId="0" applyNumberFormat="1" applyAlignment="1">
      <alignment vertical="center"/>
    </xf>
    <xf numFmtId="0" fontId="0" fillId="6" borderId="18" xfId="0" applyFont="1" applyFill="1" applyBorder="1" applyAlignment="1" applyProtection="1">
      <alignment vertical="center"/>
      <protection locked="0"/>
    </xf>
    <xf numFmtId="14" fontId="0" fillId="6" borderId="22" xfId="0" applyNumberFormat="1" applyFill="1" applyBorder="1" applyAlignment="1" applyProtection="1">
      <alignment horizontal="left" vertical="center"/>
      <protection locked="0"/>
    </xf>
    <xf numFmtId="0" fontId="0" fillId="6" borderId="22" xfId="0" applyFont="1" applyFill="1" applyBorder="1" applyAlignment="1" applyProtection="1">
      <alignment vertical="center"/>
      <protection locked="0"/>
    </xf>
    <xf numFmtId="14" fontId="0" fillId="6" borderId="16" xfId="0" applyNumberFormat="1" applyFill="1" applyBorder="1" applyAlignment="1" applyProtection="1">
      <alignment horizontal="left" vertical="center"/>
      <protection locked="0"/>
    </xf>
    <xf numFmtId="0" fontId="0" fillId="0" borderId="17" xfId="0" applyFont="1" applyFill="1" applyBorder="1" applyAlignment="1">
      <alignment vertical="center"/>
    </xf>
    <xf numFmtId="0" fontId="0" fillId="0" borderId="26" xfId="0" applyFont="1" applyFill="1" applyBorder="1" applyAlignment="1">
      <alignment vertical="center"/>
    </xf>
    <xf numFmtId="166" fontId="0" fillId="6" borderId="27" xfId="0" applyNumberFormat="1" applyFill="1" applyBorder="1" applyAlignment="1" applyProtection="1">
      <alignment horizontal="left" vertical="center"/>
      <protection locked="0"/>
    </xf>
    <xf numFmtId="14" fontId="0" fillId="6" borderId="28" xfId="0" applyNumberFormat="1" applyFill="1" applyBorder="1" applyAlignment="1" applyProtection="1">
      <alignment horizontal="left" vertical="center"/>
      <protection locked="0"/>
    </xf>
    <xf numFmtId="49" fontId="0" fillId="6" borderId="16" xfId="0" applyNumberFormat="1" applyFont="1" applyFill="1" applyBorder="1" applyAlignment="1" applyProtection="1">
      <alignment vertical="center"/>
      <protection locked="0"/>
    </xf>
    <xf numFmtId="49" fontId="0" fillId="6" borderId="28" xfId="0" applyNumberFormat="1" applyFont="1" applyFill="1" applyBorder="1" applyAlignment="1" applyProtection="1">
      <alignment vertical="center"/>
      <protection locked="0"/>
    </xf>
    <xf numFmtId="49" fontId="0" fillId="6" borderId="16" xfId="0" applyNumberFormat="1" applyFill="1" applyBorder="1" applyAlignment="1" applyProtection="1">
      <alignment vertical="center"/>
      <protection locked="0"/>
    </xf>
    <xf numFmtId="49" fontId="0" fillId="6" borderId="22" xfId="0" applyNumberFormat="1" applyFill="1" applyBorder="1" applyAlignment="1" applyProtection="1">
      <alignment vertical="center"/>
      <protection locked="0"/>
    </xf>
    <xf numFmtId="0" fontId="26" fillId="0" borderId="12" xfId="0" applyFont="1" applyBorder="1" applyAlignment="1">
      <alignment horizontal="left"/>
    </xf>
    <xf numFmtId="0" fontId="0" fillId="0" borderId="29" xfId="0" applyBorder="1"/>
    <xf numFmtId="0" fontId="27" fillId="0" borderId="30" xfId="0" applyFont="1" applyBorder="1" applyAlignment="1">
      <alignment horizontal="left" indent="1"/>
    </xf>
    <xf numFmtId="0" fontId="0" fillId="0" borderId="30" xfId="0" applyBorder="1" applyAlignment="1">
      <alignment vertical="center"/>
    </xf>
    <xf numFmtId="0" fontId="28" fillId="0" borderId="12" xfId="0" applyFont="1" applyBorder="1"/>
    <xf numFmtId="0" fontId="27" fillId="0" borderId="0" xfId="0" applyFont="1" applyAlignment="1">
      <alignment horizontal="left" indent="1"/>
    </xf>
    <xf numFmtId="0" fontId="0" fillId="0" borderId="12" xfId="0" applyBorder="1"/>
    <xf numFmtId="0" fontId="12" fillId="0" borderId="0" xfId="0" applyFont="1" applyAlignment="1">
      <alignment horizontal="left" indent="1"/>
    </xf>
    <xf numFmtId="0" fontId="12" fillId="0" borderId="0" xfId="0" applyFont="1" applyAlignment="1">
      <alignment horizontal="left" vertical="top" indent="1"/>
    </xf>
    <xf numFmtId="0" fontId="12" fillId="0" borderId="0" xfId="0" applyFont="1" applyBorder="1" applyAlignment="1">
      <alignment horizontal="left" indent="1"/>
    </xf>
    <xf numFmtId="0" fontId="12" fillId="0" borderId="0" xfId="0" applyFont="1" applyBorder="1" applyAlignment="1">
      <alignment horizontal="left" vertical="top" indent="1"/>
    </xf>
    <xf numFmtId="0" fontId="0" fillId="0" borderId="0" xfId="0" applyBorder="1" applyAlignment="1">
      <alignment vertical="center"/>
    </xf>
    <xf numFmtId="0" fontId="0" fillId="0" borderId="0" xfId="33" applyFont="1" applyProtection="1"/>
    <xf numFmtId="0" fontId="24" fillId="0" borderId="0" xfId="33" applyFont="1" applyAlignment="1" applyProtection="1">
      <alignment horizontal="center"/>
    </xf>
    <xf numFmtId="0" fontId="23" fillId="0" borderId="0" xfId="33" applyFont="1" applyAlignment="1" applyProtection="1">
      <alignment horizontal="center"/>
    </xf>
    <xf numFmtId="0" fontId="0" fillId="0" borderId="31" xfId="0" applyFont="1" applyBorder="1" applyAlignment="1" applyProtection="1">
      <alignment horizontal="center"/>
    </xf>
    <xf numFmtId="0" fontId="24" fillId="0" borderId="32" xfId="33" applyFont="1" applyBorder="1" applyAlignment="1" applyProtection="1">
      <alignment horizontal="center"/>
    </xf>
    <xf numFmtId="10" fontId="29" fillId="0" borderId="32" xfId="33" applyNumberFormat="1" applyFont="1" applyFill="1" applyBorder="1" applyAlignment="1" applyProtection="1">
      <alignment horizontal="center"/>
    </xf>
    <xf numFmtId="0" fontId="24" fillId="0" borderId="31" xfId="36" applyFont="1" applyBorder="1" applyAlignment="1" applyProtection="1">
      <alignment horizontal="left" vertical="top"/>
    </xf>
    <xf numFmtId="0" fontId="0" fillId="0" borderId="14" xfId="33" applyFont="1" applyFill="1" applyBorder="1" applyAlignment="1" applyProtection="1">
      <alignment horizontal="left" vertical="top" wrapText="1"/>
    </xf>
    <xf numFmtId="0" fontId="24" fillId="0" borderId="0" xfId="33" applyFont="1" applyProtection="1"/>
    <xf numFmtId="0" fontId="24" fillId="0" borderId="32" xfId="33" applyFont="1" applyFill="1" applyBorder="1" applyAlignment="1" applyProtection="1">
      <alignment horizontal="center" vertical="center" wrapText="1"/>
    </xf>
    <xf numFmtId="0" fontId="8" fillId="0" borderId="0" xfId="33" applyFont="1" applyFill="1" applyBorder="1" applyAlignment="1" applyProtection="1">
      <alignment horizontal="left"/>
    </xf>
    <xf numFmtId="0" fontId="30" fillId="0" borderId="32" xfId="33" applyFont="1" applyBorder="1" applyAlignment="1" applyProtection="1">
      <alignment horizontal="center" vertical="center"/>
    </xf>
    <xf numFmtId="10" fontId="30" fillId="6" borderId="32" xfId="33" applyNumberFormat="1" applyFont="1" applyFill="1" applyBorder="1" applyAlignment="1" applyProtection="1">
      <alignment horizontal="center" vertical="center"/>
      <protection locked="0"/>
    </xf>
    <xf numFmtId="10" fontId="30" fillId="0" borderId="32" xfId="33" applyNumberFormat="1" applyFont="1" applyFill="1" applyBorder="1" applyAlignment="1" applyProtection="1">
      <alignment horizontal="center" vertical="center"/>
    </xf>
    <xf numFmtId="10" fontId="30" fillId="0" borderId="32" xfId="33" applyNumberFormat="1" applyFont="1" applyFill="1" applyBorder="1" applyAlignment="1" applyProtection="1">
      <alignment horizontal="center" vertical="center" wrapText="1"/>
    </xf>
    <xf numFmtId="0" fontId="30" fillId="0" borderId="32" xfId="33" applyFont="1" applyFill="1" applyBorder="1" applyAlignment="1" applyProtection="1">
      <alignment horizontal="center" vertical="center" wrapText="1"/>
    </xf>
    <xf numFmtId="0" fontId="30" fillId="8" borderId="32" xfId="33" applyFont="1" applyFill="1" applyBorder="1" applyAlignment="1" applyProtection="1">
      <alignment horizontal="center" vertical="center" wrapText="1"/>
    </xf>
    <xf numFmtId="10" fontId="17" fillId="8" borderId="32" xfId="33" applyNumberFormat="1" applyFont="1" applyFill="1" applyBorder="1" applyAlignment="1" applyProtection="1">
      <alignment horizontal="center" vertical="center"/>
    </xf>
    <xf numFmtId="0" fontId="31" fillId="0" borderId="0" xfId="33" applyFont="1" applyBorder="1" applyAlignment="1" applyProtection="1">
      <alignment horizontal="right" vertical="center"/>
    </xf>
    <xf numFmtId="0" fontId="0" fillId="0" borderId="0" xfId="33" applyFont="1" applyBorder="1" applyAlignment="1" applyProtection="1">
      <alignment horizontal="center" vertical="top"/>
    </xf>
    <xf numFmtId="0" fontId="33" fillId="0" borderId="0" xfId="0" applyFont="1" applyBorder="1" applyAlignment="1" applyProtection="1">
      <alignment horizontal="right" vertical="center"/>
    </xf>
    <xf numFmtId="0" fontId="33" fillId="0" borderId="0" xfId="0" applyFont="1" applyBorder="1" applyAlignment="1" applyProtection="1">
      <alignment horizontal="left" vertical="center"/>
    </xf>
    <xf numFmtId="0" fontId="33" fillId="0" borderId="0" xfId="0" applyFont="1" applyBorder="1" applyAlignment="1" applyProtection="1">
      <alignment horizontal="center" vertical="top"/>
    </xf>
    <xf numFmtId="0" fontId="35" fillId="0" borderId="0" xfId="33" applyFont="1" applyBorder="1" applyAlignment="1" applyProtection="1">
      <alignment horizontal="center" vertical="top"/>
    </xf>
    <xf numFmtId="169" fontId="0" fillId="0" borderId="0" xfId="33" applyNumberFormat="1" applyFont="1" applyAlignment="1" applyProtection="1"/>
    <xf numFmtId="0" fontId="24" fillId="0" borderId="10" xfId="33" applyFont="1" applyBorder="1" applyAlignment="1" applyProtection="1">
      <alignment horizontal="left"/>
    </xf>
    <xf numFmtId="0" fontId="0" fillId="0" borderId="10" xfId="33" applyFont="1" applyBorder="1" applyProtection="1"/>
    <xf numFmtId="0" fontId="30" fillId="0" borderId="0" xfId="33" applyFont="1" applyBorder="1" applyProtection="1"/>
    <xf numFmtId="0" fontId="0" fillId="0" borderId="0" xfId="33" applyFont="1" applyBorder="1" applyProtection="1"/>
    <xf numFmtId="0" fontId="24" fillId="0" borderId="0" xfId="36" applyFont="1" applyBorder="1" applyAlignment="1" applyProtection="1">
      <alignment horizontal="left" vertical="top"/>
    </xf>
    <xf numFmtId="0" fontId="0" fillId="0" borderId="0" xfId="33" applyNumberFormat="1" applyFont="1" applyFill="1" applyBorder="1" applyAlignment="1" applyProtection="1">
      <alignment vertical="top"/>
    </xf>
    <xf numFmtId="167" fontId="0" fillId="0" borderId="0" xfId="33" applyNumberFormat="1" applyFont="1" applyFill="1" applyBorder="1" applyAlignment="1" applyProtection="1"/>
    <xf numFmtId="0" fontId="30" fillId="0" borderId="0" xfId="33" applyFont="1" applyProtection="1"/>
    <xf numFmtId="167" fontId="0" fillId="0" borderId="0" xfId="33" applyNumberFormat="1" applyFont="1" applyFill="1" applyBorder="1" applyAlignment="1" applyProtection="1">
      <alignment vertical="top"/>
    </xf>
    <xf numFmtId="0" fontId="0" fillId="0" borderId="0" xfId="0" applyFont="1" applyFill="1"/>
    <xf numFmtId="0" fontId="0" fillId="0" borderId="0" xfId="0" applyBorder="1"/>
    <xf numFmtId="0" fontId="36" fillId="0" borderId="0" xfId="0" applyFont="1" applyFill="1" applyAlignment="1">
      <alignment vertical="center"/>
    </xf>
    <xf numFmtId="0" fontId="23" fillId="0" borderId="0" xfId="0" applyFont="1" applyAlignment="1">
      <alignment horizontal="left" vertical="center"/>
    </xf>
    <xf numFmtId="0" fontId="0" fillId="0" borderId="0" xfId="0" applyFont="1" applyBorder="1" applyAlignment="1" applyProtection="1">
      <alignment horizontal="center"/>
    </xf>
    <xf numFmtId="0" fontId="0" fillId="0" borderId="0" xfId="0" applyFont="1"/>
    <xf numFmtId="0" fontId="0" fillId="0" borderId="0" xfId="0" applyFont="1" applyBorder="1"/>
    <xf numFmtId="0" fontId="37" fillId="0" borderId="0" xfId="0" applyFont="1" applyAlignment="1">
      <alignment horizontal="left" vertical="center"/>
    </xf>
    <xf numFmtId="0" fontId="24" fillId="0" borderId="0" xfId="0" applyFont="1" applyBorder="1" applyAlignment="1" applyProtection="1">
      <alignment horizontal="center"/>
    </xf>
    <xf numFmtId="0" fontId="38" fillId="0" borderId="0" xfId="0" applyFont="1"/>
    <xf numFmtId="0" fontId="0" fillId="0" borderId="0" xfId="0" applyFont="1" applyAlignment="1">
      <alignment wrapText="1"/>
    </xf>
    <xf numFmtId="10" fontId="0" fillId="0" borderId="0" xfId="0" applyNumberFormat="1" applyFont="1"/>
    <xf numFmtId="0" fontId="24" fillId="0" borderId="31" xfId="36" applyFont="1" applyBorder="1" applyAlignment="1" applyProtection="1">
      <alignment vertical="top"/>
    </xf>
    <xf numFmtId="0" fontId="0" fillId="0" borderId="32" xfId="0" applyFont="1" applyBorder="1"/>
    <xf numFmtId="0" fontId="0" fillId="0" borderId="32" xfId="0" applyFont="1" applyBorder="1" applyProtection="1">
      <protection locked="0"/>
    </xf>
    <xf numFmtId="0" fontId="0" fillId="0" borderId="0" xfId="0" applyFont="1" applyAlignment="1">
      <alignment horizontal="center"/>
    </xf>
    <xf numFmtId="10" fontId="0" fillId="0" borderId="0" xfId="0" applyNumberFormat="1" applyBorder="1"/>
    <xf numFmtId="10" fontId="0" fillId="0" borderId="0" xfId="0" applyNumberFormat="1"/>
    <xf numFmtId="0" fontId="0" fillId="0" borderId="14" xfId="33" applyFont="1" applyFill="1" applyBorder="1" applyAlignment="1" applyProtection="1">
      <alignment vertical="top" wrapText="1"/>
    </xf>
    <xf numFmtId="0" fontId="0" fillId="0" borderId="29" xfId="33" applyFont="1" applyFill="1" applyBorder="1" applyAlignment="1" applyProtection="1">
      <alignment vertical="top" wrapText="1"/>
    </xf>
    <xf numFmtId="0" fontId="0" fillId="0" borderId="0" xfId="33" applyFont="1" applyFill="1" applyBorder="1" applyAlignment="1" applyProtection="1">
      <alignment horizontal="left" vertical="top" wrapText="1"/>
    </xf>
    <xf numFmtId="0" fontId="0" fillId="0" borderId="32" xfId="0" applyNumberFormat="1" applyFont="1" applyBorder="1" applyProtection="1">
      <protection locked="0"/>
    </xf>
    <xf numFmtId="0" fontId="0" fillId="0" borderId="10" xfId="33" applyFont="1" applyFill="1" applyBorder="1" applyAlignment="1" applyProtection="1">
      <alignment horizontal="left" vertical="top" wrapText="1"/>
    </xf>
    <xf numFmtId="0" fontId="0" fillId="0" borderId="10" xfId="33" applyFont="1" applyFill="1" applyBorder="1" applyAlignment="1" applyProtection="1">
      <alignment vertical="top" wrapText="1"/>
    </xf>
    <xf numFmtId="0" fontId="22" fillId="0" borderId="0" xfId="0" applyFont="1" applyBorder="1" applyAlignment="1">
      <alignment horizontal="center"/>
    </xf>
    <xf numFmtId="0" fontId="24" fillId="0" borderId="33" xfId="36" applyFont="1" applyBorder="1" applyAlignment="1" applyProtection="1">
      <alignment horizontal="left" vertical="top"/>
    </xf>
    <xf numFmtId="0" fontId="24" fillId="0" borderId="0" xfId="36" applyFont="1" applyBorder="1" applyAlignment="1" applyProtection="1">
      <alignment horizontal="center" vertical="top"/>
    </xf>
    <xf numFmtId="0" fontId="24" fillId="0" borderId="31" xfId="36" applyFont="1" applyBorder="1" applyAlignment="1" applyProtection="1">
      <alignment horizontal="center" vertical="top"/>
    </xf>
    <xf numFmtId="0" fontId="0" fillId="0" borderId="0" xfId="0" applyFont="1" applyFill="1" applyAlignment="1" applyProtection="1"/>
    <xf numFmtId="170" fontId="0" fillId="0" borderId="14" xfId="33" applyNumberFormat="1" applyFont="1" applyFill="1" applyBorder="1" applyAlignment="1" applyProtection="1">
      <alignment vertical="top" shrinkToFit="1"/>
    </xf>
    <xf numFmtId="0" fontId="0" fillId="0" borderId="30" xfId="33" applyFont="1" applyFill="1" applyBorder="1" applyAlignment="1" applyProtection="1">
      <alignment horizontal="center" vertical="top" wrapText="1"/>
    </xf>
    <xf numFmtId="0" fontId="0" fillId="0" borderId="14" xfId="33" applyFont="1" applyFill="1" applyBorder="1" applyAlignment="1" applyProtection="1">
      <alignment horizontal="center" vertical="top" wrapText="1"/>
    </xf>
    <xf numFmtId="10" fontId="0" fillId="0" borderId="0" xfId="0" applyNumberFormat="1" applyFont="1" applyAlignment="1" applyProtection="1">
      <alignment vertical="center" wrapText="1"/>
    </xf>
    <xf numFmtId="0" fontId="42" fillId="0" borderId="34" xfId="0" applyFont="1" applyBorder="1" applyAlignment="1" applyProtection="1">
      <alignment horizontal="center" vertical="center" wrapText="1"/>
    </xf>
    <xf numFmtId="0" fontId="43" fillId="0" borderId="0" xfId="0" applyFont="1"/>
    <xf numFmtId="0" fontId="22" fillId="0" borderId="14" xfId="0" applyFont="1" applyBorder="1" applyAlignment="1">
      <alignment horizontal="center"/>
    </xf>
    <xf numFmtId="1" fontId="44" fillId="0" borderId="0" xfId="0" applyNumberFormat="1" applyFont="1" applyAlignment="1">
      <alignment horizontal="center" vertical="center"/>
    </xf>
    <xf numFmtId="0" fontId="24" fillId="0" borderId="32" xfId="0" applyFont="1" applyBorder="1" applyAlignment="1" applyProtection="1">
      <alignment horizontal="center" vertical="center" wrapText="1"/>
    </xf>
    <xf numFmtId="0" fontId="45" fillId="0" borderId="32" xfId="0" applyFont="1" applyBorder="1" applyAlignment="1" applyProtection="1">
      <alignment horizontal="center" vertical="center" wrapText="1"/>
    </xf>
    <xf numFmtId="0" fontId="24" fillId="0" borderId="32" xfId="0" applyFont="1" applyBorder="1" applyAlignment="1" applyProtection="1">
      <alignment horizontal="center" vertical="center"/>
    </xf>
    <xf numFmtId="0" fontId="24" fillId="0" borderId="35" xfId="0" applyFont="1" applyFill="1" applyBorder="1" applyAlignment="1" applyProtection="1">
      <alignment horizontal="center" vertical="center" wrapText="1"/>
    </xf>
    <xf numFmtId="0" fontId="24" fillId="0" borderId="36" xfId="0" applyFont="1" applyFill="1" applyBorder="1" applyAlignment="1" applyProtection="1">
      <alignment horizontal="center" vertical="center" wrapText="1"/>
    </xf>
    <xf numFmtId="0" fontId="24" fillId="0" borderId="0" xfId="0" applyFont="1" applyFill="1" applyBorder="1" applyAlignment="1" applyProtection="1">
      <alignment horizontal="center" vertical="center" wrapText="1"/>
    </xf>
    <xf numFmtId="0" fontId="24" fillId="0" borderId="37" xfId="0" applyFont="1" applyBorder="1" applyAlignment="1" applyProtection="1">
      <alignment horizontal="center" vertical="center" wrapText="1"/>
    </xf>
    <xf numFmtId="0" fontId="39" fillId="0" borderId="0" xfId="0" applyFont="1" applyAlignment="1">
      <alignment horizontal="center"/>
    </xf>
    <xf numFmtId="0" fontId="8" fillId="16" borderId="38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38" xfId="0" applyNumberFormat="1" applyFont="1" applyFill="1" applyBorder="1" applyAlignment="1" applyProtection="1">
      <alignment horizontal="center" vertical="center" wrapText="1"/>
    </xf>
    <xf numFmtId="0" fontId="0" fillId="0" borderId="39" xfId="0" applyNumberFormat="1" applyFont="1" applyFill="1" applyBorder="1" applyAlignment="1">
      <alignment vertical="center" wrapText="1" shrinkToFit="1"/>
    </xf>
    <xf numFmtId="49" fontId="0" fillId="16" borderId="40" xfId="0" applyNumberFormat="1" applyFont="1" applyFill="1" applyBorder="1" applyAlignment="1" applyProtection="1">
      <alignment horizontal="center" vertical="center" wrapText="1"/>
      <protection locked="0"/>
    </xf>
    <xf numFmtId="49" fontId="0" fillId="6" borderId="40" xfId="0" applyNumberFormat="1" applyFont="1" applyFill="1" applyBorder="1" applyAlignment="1" applyProtection="1">
      <alignment horizontal="center" vertical="center" wrapText="1"/>
      <protection locked="0"/>
    </xf>
    <xf numFmtId="0" fontId="0" fillId="6" borderId="40" xfId="0" applyNumberFormat="1" applyFont="1" applyFill="1" applyBorder="1" applyAlignment="1" applyProtection="1">
      <alignment horizontal="left" vertical="center" wrapText="1"/>
      <protection locked="0"/>
    </xf>
    <xf numFmtId="0" fontId="0" fillId="6" borderId="40" xfId="0" applyNumberFormat="1" applyFont="1" applyFill="1" applyBorder="1" applyAlignment="1" applyProtection="1">
      <alignment horizontal="center" vertical="center" wrapText="1"/>
      <protection locked="0"/>
    </xf>
    <xf numFmtId="171" fontId="0" fillId="0" borderId="40" xfId="49" applyNumberFormat="1" applyFont="1" applyFill="1" applyBorder="1" applyAlignment="1" applyProtection="1">
      <alignment vertical="center" shrinkToFit="1"/>
    </xf>
    <xf numFmtId="171" fontId="0" fillId="6" borderId="40" xfId="49" applyFont="1" applyFill="1" applyBorder="1" applyAlignment="1" applyProtection="1">
      <alignment vertical="center" wrapText="1"/>
      <protection locked="0"/>
    </xf>
    <xf numFmtId="10" fontId="0" fillId="16" borderId="40" xfId="38" applyNumberFormat="1" applyFont="1" applyFill="1" applyBorder="1" applyAlignment="1" applyProtection="1">
      <alignment horizontal="center" vertical="center" wrapText="1"/>
      <protection locked="0"/>
    </xf>
    <xf numFmtId="171" fontId="0" fillId="0" borderId="41" xfId="49" applyNumberFormat="1" applyFont="1" applyFill="1" applyBorder="1" applyAlignment="1" applyProtection="1">
      <alignment horizontal="center" vertical="center" shrinkToFit="1"/>
    </xf>
    <xf numFmtId="10" fontId="39" fillId="16" borderId="42" xfId="38" applyNumberFormat="1" applyFont="1" applyFill="1" applyBorder="1" applyAlignment="1" applyProtection="1">
      <alignment horizontal="center" vertical="center"/>
      <protection locked="0"/>
    </xf>
    <xf numFmtId="0" fontId="0" fillId="0" borderId="43" xfId="0" applyFont="1" applyBorder="1"/>
    <xf numFmtId="0" fontId="0" fillId="0" borderId="44" xfId="0" applyFont="1" applyBorder="1"/>
    <xf numFmtId="0" fontId="22" fillId="0" borderId="0" xfId="0" applyFont="1" applyFill="1"/>
    <xf numFmtId="0" fontId="0" fillId="0" borderId="0" xfId="0" applyFont="1" applyAlignment="1">
      <alignment horizontal="left"/>
    </xf>
    <xf numFmtId="0" fontId="24" fillId="17" borderId="32" xfId="0" applyNumberFormat="1" applyFont="1" applyFill="1" applyBorder="1" applyAlignment="1" applyProtection="1">
      <alignment horizontal="center" vertical="center"/>
    </xf>
    <xf numFmtId="49" fontId="24" fillId="17" borderId="45" xfId="0" applyNumberFormat="1" applyFont="1" applyFill="1" applyBorder="1" applyAlignment="1" applyProtection="1">
      <alignment horizontal="center" vertical="center"/>
    </xf>
    <xf numFmtId="171" fontId="24" fillId="17" borderId="45" xfId="49" applyNumberFormat="1" applyFont="1" applyFill="1" applyBorder="1" applyAlignment="1" applyProtection="1">
      <alignment horizontal="center" vertical="center"/>
    </xf>
    <xf numFmtId="10" fontId="24" fillId="17" borderId="45" xfId="38" applyNumberFormat="1" applyFont="1" applyFill="1" applyBorder="1" applyAlignment="1" applyProtection="1">
      <alignment horizontal="center" vertical="center"/>
    </xf>
    <xf numFmtId="171" fontId="24" fillId="17" borderId="46" xfId="49" applyNumberFormat="1" applyFont="1" applyFill="1" applyBorder="1" applyAlignment="1" applyProtection="1">
      <alignment horizontal="center" vertical="center" shrinkToFit="1"/>
    </xf>
    <xf numFmtId="171" fontId="21" fillId="17" borderId="46" xfId="49" applyNumberFormat="1" applyFont="1" applyFill="1" applyBorder="1" applyAlignment="1" applyProtection="1">
      <alignment horizontal="center" vertical="center" shrinkToFit="1"/>
    </xf>
    <xf numFmtId="0" fontId="22" fillId="0" borderId="0" xfId="0" applyFont="1"/>
    <xf numFmtId="0" fontId="0" fillId="4" borderId="13" xfId="0" applyFont="1" applyFill="1" applyBorder="1"/>
    <xf numFmtId="0" fontId="0" fillId="4" borderId="46" xfId="0" applyFont="1" applyFill="1" applyBorder="1"/>
    <xf numFmtId="0" fontId="30" fillId="0" borderId="0" xfId="0" applyFont="1"/>
    <xf numFmtId="0" fontId="30" fillId="0" borderId="33" xfId="0" applyFont="1" applyBorder="1" applyAlignment="1" applyProtection="1">
      <alignment horizontal="left" vertical="center"/>
    </xf>
    <xf numFmtId="0" fontId="0" fillId="0" borderId="12" xfId="0" applyFont="1" applyBorder="1"/>
    <xf numFmtId="0" fontId="30" fillId="0" borderId="0" xfId="0" applyFont="1" applyFill="1" applyBorder="1" applyAlignment="1" applyProtection="1">
      <alignment horizontal="left" wrapText="1"/>
      <protection locked="0"/>
    </xf>
    <xf numFmtId="0" fontId="17" fillId="0" borderId="0" xfId="0" applyFont="1" applyFill="1" applyBorder="1" applyAlignment="1" applyProtection="1">
      <alignment horizontal="left" wrapText="1"/>
    </xf>
    <xf numFmtId="167" fontId="0" fillId="0" borderId="30" xfId="0" applyNumberFormat="1" applyFont="1" applyBorder="1" applyAlignment="1" applyProtection="1">
      <alignment horizontal="left"/>
    </xf>
    <xf numFmtId="0" fontId="17" fillId="0" borderId="30" xfId="33" applyFont="1" applyBorder="1" applyAlignment="1" applyProtection="1">
      <alignment vertical="center"/>
    </xf>
    <xf numFmtId="0" fontId="0" fillId="0" borderId="0" xfId="0" applyFill="1"/>
    <xf numFmtId="0" fontId="24" fillId="0" borderId="10" xfId="0" applyFont="1" applyBorder="1"/>
    <xf numFmtId="0" fontId="0" fillId="0" borderId="10" xfId="0" applyFont="1" applyBorder="1"/>
    <xf numFmtId="0" fontId="23" fillId="0" borderId="0" xfId="0" applyFont="1" applyAlignment="1">
      <alignment horizontal="left" vertical="center" indent="10"/>
    </xf>
    <xf numFmtId="0" fontId="23" fillId="0" borderId="0" xfId="0" applyFont="1" applyAlignment="1">
      <alignment horizontal="center" vertical="center"/>
    </xf>
    <xf numFmtId="0" fontId="37" fillId="0" borderId="0" xfId="0" applyFont="1" applyAlignment="1">
      <alignment horizontal="left" vertical="center" indent="10"/>
    </xf>
    <xf numFmtId="0" fontId="37" fillId="0" borderId="0" xfId="0" applyFont="1" applyAlignment="1">
      <alignment horizontal="center" vertical="center"/>
    </xf>
    <xf numFmtId="0" fontId="24" fillId="0" borderId="33" xfId="36" applyFont="1" applyBorder="1" applyAlignment="1" applyProtection="1">
      <alignment vertical="top"/>
    </xf>
    <xf numFmtId="0" fontId="24" fillId="0" borderId="0" xfId="36" applyFont="1" applyBorder="1" applyAlignment="1" applyProtection="1">
      <alignment vertical="top"/>
    </xf>
    <xf numFmtId="0" fontId="24" fillId="0" borderId="12" xfId="36" applyFont="1" applyBorder="1" applyAlignment="1" applyProtection="1">
      <alignment vertical="top"/>
    </xf>
    <xf numFmtId="0" fontId="0" fillId="0" borderId="47" xfId="33" applyNumberFormat="1" applyFont="1" applyFill="1" applyBorder="1" applyAlignment="1" applyProtection="1">
      <alignment vertical="top"/>
    </xf>
    <xf numFmtId="0" fontId="0" fillId="0" borderId="30" xfId="33" applyFont="1" applyFill="1" applyBorder="1" applyAlignment="1" applyProtection="1">
      <alignment vertical="top" wrapText="1"/>
    </xf>
    <xf numFmtId="0" fontId="32" fillId="0" borderId="0" xfId="0" applyFont="1" applyAlignment="1">
      <alignment horizontal="center"/>
    </xf>
    <xf numFmtId="0" fontId="22" fillId="0" borderId="30" xfId="0" applyFont="1" applyBorder="1" applyAlignment="1">
      <alignment vertical="center" wrapText="1"/>
    </xf>
    <xf numFmtId="0" fontId="22" fillId="0" borderId="30" xfId="0" applyFont="1" applyBorder="1" applyAlignment="1">
      <alignment horizontal="right" vertical="center" wrapText="1"/>
    </xf>
    <xf numFmtId="0" fontId="47" fillId="0" borderId="0" xfId="0" applyFont="1"/>
    <xf numFmtId="1" fontId="44" fillId="0" borderId="0" xfId="0" applyNumberFormat="1" applyFont="1" applyAlignment="1">
      <alignment horizontal="left" textRotation="90" wrapText="1"/>
    </xf>
    <xf numFmtId="0" fontId="22" fillId="0" borderId="30" xfId="0" applyFont="1" applyBorder="1" applyAlignment="1">
      <alignment horizontal="center" vertical="center" wrapText="1"/>
    </xf>
    <xf numFmtId="0" fontId="0" fillId="6" borderId="48" xfId="0" applyFill="1" applyBorder="1" applyAlignment="1" applyProtection="1">
      <alignment horizontal="center" textRotation="90" wrapText="1"/>
      <protection locked="0"/>
    </xf>
    <xf numFmtId="0" fontId="0" fillId="6" borderId="49" xfId="0" applyFill="1" applyBorder="1" applyAlignment="1" applyProtection="1">
      <alignment horizontal="center" textRotation="90" wrapText="1"/>
      <protection locked="0"/>
    </xf>
    <xf numFmtId="0" fontId="0" fillId="0" borderId="37" xfId="0" applyFill="1" applyBorder="1" applyAlignment="1" applyProtection="1">
      <alignment horizontal="center" textRotation="90" wrapText="1"/>
    </xf>
    <xf numFmtId="0" fontId="0" fillId="0" borderId="48" xfId="0" applyFill="1" applyBorder="1" applyAlignment="1" applyProtection="1">
      <alignment horizontal="center" textRotation="90" wrapText="1"/>
    </xf>
    <xf numFmtId="0" fontId="0" fillId="0" borderId="49" xfId="0" applyFill="1" applyBorder="1" applyAlignment="1" applyProtection="1">
      <alignment horizontal="center" textRotation="90" wrapText="1"/>
    </xf>
    <xf numFmtId="0" fontId="24" fillId="0" borderId="0" xfId="0" applyFont="1" applyAlignment="1">
      <alignment horizontal="center"/>
    </xf>
    <xf numFmtId="0" fontId="24" fillId="0" borderId="50" xfId="0" applyFont="1" applyBorder="1" applyAlignment="1" applyProtection="1">
      <alignment horizontal="center" vertical="center" wrapText="1"/>
    </xf>
    <xf numFmtId="0" fontId="24" fillId="0" borderId="51" xfId="0" applyFont="1" applyBorder="1" applyAlignment="1" applyProtection="1">
      <alignment horizontal="center" vertical="center" wrapText="1"/>
    </xf>
    <xf numFmtId="0" fontId="24" fillId="0" borderId="52" xfId="0" applyFont="1" applyBorder="1" applyAlignment="1" applyProtection="1">
      <alignment horizontal="center" vertical="center" wrapText="1"/>
    </xf>
    <xf numFmtId="0" fontId="24" fillId="0" borderId="48" xfId="0" applyFont="1" applyBorder="1" applyAlignment="1" applyProtection="1">
      <alignment horizontal="center" vertical="center" wrapText="1"/>
    </xf>
    <xf numFmtId="0" fontId="24" fillId="0" borderId="49" xfId="0" applyFont="1" applyBorder="1" applyAlignment="1" applyProtection="1">
      <alignment horizontal="center" vertical="center" wrapText="1"/>
    </xf>
    <xf numFmtId="0" fontId="0" fillId="0" borderId="39" xfId="0" applyNumberFormat="1" applyFont="1" applyFill="1" applyBorder="1" applyAlignment="1" applyProtection="1">
      <alignment vertical="center" wrapText="1" shrinkToFit="1"/>
    </xf>
    <xf numFmtId="0" fontId="0" fillId="0" borderId="40" xfId="0" applyNumberFormat="1" applyFont="1" applyFill="1" applyBorder="1" applyAlignment="1" applyProtection="1">
      <alignment horizontal="left" vertical="center" wrapText="1"/>
    </xf>
    <xf numFmtId="0" fontId="0" fillId="0" borderId="40" xfId="0" applyNumberFormat="1" applyFont="1" applyFill="1" applyBorder="1" applyAlignment="1" applyProtection="1">
      <alignment horizontal="center" vertical="center" wrapText="1"/>
    </xf>
    <xf numFmtId="0" fontId="0" fillId="16" borderId="42" xfId="49" applyNumberFormat="1" applyFont="1" applyFill="1" applyBorder="1" applyAlignment="1" applyProtection="1">
      <alignment horizontal="left" vertical="center"/>
      <protection locked="0"/>
    </xf>
    <xf numFmtId="0" fontId="47" fillId="0" borderId="0" xfId="0" applyFont="1" applyAlignment="1">
      <alignment horizontal="center"/>
    </xf>
    <xf numFmtId="0" fontId="21" fillId="0" borderId="36" xfId="49" applyNumberFormat="1" applyFont="1" applyFill="1" applyBorder="1" applyAlignment="1" applyProtection="1">
      <alignment horizontal="center" vertical="center" wrapText="1" shrinkToFit="1"/>
    </xf>
    <xf numFmtId="0" fontId="21" fillId="0" borderId="42" xfId="49" applyNumberFormat="1" applyFont="1" applyFill="1" applyBorder="1" applyAlignment="1" applyProtection="1">
      <alignment vertical="center" wrapText="1" shrinkToFit="1"/>
    </xf>
    <xf numFmtId="171" fontId="0" fillId="6" borderId="39" xfId="49" applyFont="1" applyFill="1" applyBorder="1" applyAlignment="1" applyProtection="1">
      <alignment vertical="center" shrinkToFit="1"/>
      <protection locked="0"/>
    </xf>
    <xf numFmtId="171" fontId="0" fillId="6" borderId="40" xfId="49" applyFont="1" applyFill="1" applyBorder="1" applyAlignment="1" applyProtection="1">
      <alignment vertical="center" shrinkToFit="1"/>
      <protection locked="0"/>
    </xf>
    <xf numFmtId="171" fontId="0" fillId="6" borderId="41" xfId="49" applyFont="1" applyFill="1" applyBorder="1" applyAlignment="1" applyProtection="1">
      <alignment vertical="center" shrinkToFit="1"/>
      <protection locked="0"/>
    </xf>
    <xf numFmtId="1" fontId="0" fillId="0" borderId="53" xfId="49" applyNumberFormat="1" applyFont="1" applyFill="1" applyBorder="1" applyAlignment="1" applyProtection="1">
      <alignment horizontal="center" vertical="center" shrinkToFit="1"/>
    </xf>
    <xf numFmtId="1" fontId="0" fillId="0" borderId="54" xfId="49" applyNumberFormat="1" applyFont="1" applyFill="1" applyBorder="1" applyAlignment="1" applyProtection="1">
      <alignment horizontal="center" vertical="center" shrinkToFit="1"/>
    </xf>
    <xf numFmtId="0" fontId="24" fillId="17" borderId="32" xfId="0" applyNumberFormat="1" applyFont="1" applyFill="1" applyBorder="1" applyAlignment="1" applyProtection="1">
      <alignment horizontal="left" vertical="center"/>
    </xf>
    <xf numFmtId="0" fontId="24" fillId="14" borderId="32" xfId="0" applyNumberFormat="1" applyFont="1" applyFill="1" applyBorder="1" applyAlignment="1" applyProtection="1">
      <alignment horizontal="center" vertical="center"/>
    </xf>
    <xf numFmtId="0" fontId="24" fillId="17" borderId="32" xfId="0" applyNumberFormat="1" applyFont="1" applyFill="1" applyBorder="1" applyAlignment="1" applyProtection="1">
      <alignment horizontal="right" vertical="center"/>
    </xf>
    <xf numFmtId="4" fontId="24" fillId="17" borderId="55" xfId="0" applyNumberFormat="1" applyFont="1" applyFill="1" applyBorder="1" applyAlignment="1" applyProtection="1">
      <alignment horizontal="right" vertical="center" shrinkToFit="1"/>
    </xf>
    <xf numFmtId="4" fontId="24" fillId="17" borderId="56" xfId="0" applyNumberFormat="1" applyFont="1" applyFill="1" applyBorder="1" applyAlignment="1" applyProtection="1">
      <alignment horizontal="right" vertical="center" shrinkToFit="1"/>
    </xf>
    <xf numFmtId="4" fontId="24" fillId="17" borderId="57" xfId="0" applyNumberFormat="1" applyFont="1" applyFill="1" applyBorder="1" applyAlignment="1" applyProtection="1">
      <alignment horizontal="right" vertical="center" shrinkToFit="1"/>
    </xf>
    <xf numFmtId="4" fontId="24" fillId="17" borderId="37" xfId="0" applyNumberFormat="1" applyFont="1" applyFill="1" applyBorder="1" applyAlignment="1" applyProtection="1">
      <alignment horizontal="right" vertical="center" shrinkToFit="1"/>
    </xf>
    <xf numFmtId="0" fontId="24" fillId="17" borderId="37" xfId="0" applyNumberFormat="1" applyFont="1" applyFill="1" applyBorder="1" applyAlignment="1" applyProtection="1">
      <alignment horizontal="right" vertical="center" shrinkToFit="1"/>
    </xf>
    <xf numFmtId="0" fontId="0" fillId="18" borderId="13" xfId="0" applyFill="1" applyBorder="1"/>
    <xf numFmtId="0" fontId="0" fillId="4" borderId="45" xfId="0" applyFont="1" applyFill="1" applyBorder="1"/>
    <xf numFmtId="167" fontId="0" fillId="0" borderId="30" xfId="0" applyNumberFormat="1" applyFont="1" applyBorder="1" applyAlignment="1" applyProtection="1"/>
    <xf numFmtId="0" fontId="0" fillId="0" borderId="30" xfId="0" applyBorder="1"/>
    <xf numFmtId="0" fontId="0" fillId="0" borderId="0" xfId="33" applyFont="1" applyBorder="1" applyAlignment="1" applyProtection="1">
      <alignment vertical="center"/>
    </xf>
    <xf numFmtId="0" fontId="12" fillId="0" borderId="32" xfId="0" applyFont="1" applyBorder="1" applyProtection="1"/>
    <xf numFmtId="0" fontId="12" fillId="0" borderId="32" xfId="0" applyFont="1" applyBorder="1" applyAlignment="1" applyProtection="1">
      <alignment horizontal="center"/>
    </xf>
    <xf numFmtId="0" fontId="46" fillId="0" borderId="32" xfId="0" applyFont="1" applyBorder="1" applyAlignment="1">
      <alignment horizontal="center" vertical="center"/>
    </xf>
    <xf numFmtId="171" fontId="56" fillId="0" borderId="32" xfId="49" applyFill="1" applyBorder="1" applyAlignment="1" applyProtection="1"/>
    <xf numFmtId="0" fontId="46" fillId="18" borderId="32" xfId="0" applyFont="1" applyFill="1" applyBorder="1" applyAlignment="1">
      <alignment horizontal="center" vertical="center"/>
    </xf>
    <xf numFmtId="171" fontId="56" fillId="18" borderId="32" xfId="49" applyFill="1" applyBorder="1" applyAlignment="1" applyProtection="1"/>
    <xf numFmtId="0" fontId="0" fillId="18" borderId="45" xfId="0" applyFill="1" applyBorder="1"/>
    <xf numFmtId="0" fontId="0" fillId="18" borderId="46" xfId="0" applyFill="1" applyBorder="1"/>
    <xf numFmtId="0" fontId="46" fillId="0" borderId="0" xfId="34" applyFont="1" applyAlignment="1">
      <alignment horizontal="center"/>
    </xf>
    <xf numFmtId="0" fontId="46" fillId="0" borderId="0" xfId="34" applyFont="1"/>
    <xf numFmtId="165" fontId="0" fillId="0" borderId="0" xfId="50" applyFont="1" applyFill="1" applyBorder="1" applyAlignment="1" applyProtection="1">
      <alignment horizontal="center"/>
    </xf>
    <xf numFmtId="10" fontId="47" fillId="0" borderId="58" xfId="39" applyNumberFormat="1" applyFont="1" applyFill="1" applyBorder="1" applyAlignment="1" applyProtection="1">
      <alignment horizontal="center"/>
    </xf>
    <xf numFmtId="10" fontId="46" fillId="0" borderId="34" xfId="34" applyNumberFormat="1" applyFont="1" applyBorder="1" applyAlignment="1">
      <alignment horizontal="center"/>
    </xf>
    <xf numFmtId="172" fontId="46" fillId="0" borderId="59" xfId="34" applyNumberFormat="1" applyFont="1" applyBorder="1" applyAlignment="1">
      <alignment horizontal="left"/>
    </xf>
    <xf numFmtId="10" fontId="46" fillId="0" borderId="60" xfId="34" applyNumberFormat="1" applyFont="1" applyBorder="1" applyAlignment="1">
      <alignment horizontal="left"/>
    </xf>
    <xf numFmtId="1" fontId="46" fillId="0" borderId="60" xfId="34" applyNumberFormat="1" applyFont="1" applyBorder="1" applyAlignment="1">
      <alignment horizontal="center"/>
    </xf>
    <xf numFmtId="0" fontId="46" fillId="0" borderId="60" xfId="34" applyFont="1" applyBorder="1" applyAlignment="1">
      <alignment horizontal="center"/>
    </xf>
    <xf numFmtId="173" fontId="56" fillId="0" borderId="61" xfId="49" applyNumberFormat="1" applyFill="1" applyBorder="1" applyAlignment="1" applyProtection="1">
      <alignment horizontal="right" shrinkToFit="1"/>
    </xf>
    <xf numFmtId="173" fontId="0" fillId="0" borderId="34" xfId="49" applyNumberFormat="1" applyFont="1" applyFill="1" applyBorder="1" applyAlignment="1" applyProtection="1">
      <alignment horizontal="center" vertical="center"/>
    </xf>
    <xf numFmtId="10" fontId="47" fillId="0" borderId="62" xfId="39" applyNumberFormat="1" applyFont="1" applyFill="1" applyBorder="1" applyAlignment="1" applyProtection="1">
      <alignment horizontal="center"/>
    </xf>
    <xf numFmtId="10" fontId="47" fillId="0" borderId="63" xfId="39" applyNumberFormat="1" applyFont="1" applyFill="1" applyBorder="1" applyAlignment="1" applyProtection="1">
      <alignment horizontal="center"/>
    </xf>
    <xf numFmtId="0" fontId="46" fillId="0" borderId="31" xfId="34" applyFont="1" applyBorder="1" applyAlignment="1">
      <alignment horizontal="center"/>
    </xf>
    <xf numFmtId="0" fontId="46" fillId="0" borderId="64" xfId="34" applyFont="1" applyBorder="1"/>
    <xf numFmtId="0" fontId="32" fillId="0" borderId="64" xfId="34" applyFont="1" applyBorder="1" applyAlignment="1"/>
    <xf numFmtId="0" fontId="46" fillId="0" borderId="64" xfId="34" applyFont="1" applyBorder="1" applyAlignment="1">
      <alignment horizontal="center"/>
    </xf>
    <xf numFmtId="165" fontId="0" fillId="0" borderId="64" xfId="50" applyFont="1" applyFill="1" applyBorder="1" applyAlignment="1" applyProtection="1">
      <alignment horizontal="right" shrinkToFit="1"/>
    </xf>
    <xf numFmtId="173" fontId="0" fillId="0" borderId="31" xfId="49" applyNumberFormat="1" applyFont="1" applyFill="1" applyBorder="1" applyAlignment="1" applyProtection="1">
      <alignment horizontal="center" vertical="center"/>
    </xf>
    <xf numFmtId="165" fontId="48" fillId="0" borderId="65" xfId="50" applyFont="1" applyFill="1" applyBorder="1" applyAlignment="1" applyProtection="1">
      <alignment horizontal="center"/>
    </xf>
    <xf numFmtId="0" fontId="46" fillId="0" borderId="14" xfId="34" applyFont="1" applyBorder="1" applyAlignment="1">
      <alignment horizontal="center"/>
    </xf>
    <xf numFmtId="165" fontId="48" fillId="0" borderId="0" xfId="50" applyFont="1" applyFill="1" applyBorder="1" applyAlignment="1" applyProtection="1">
      <alignment horizontal="center"/>
    </xf>
    <xf numFmtId="165" fontId="0" fillId="0" borderId="14" xfId="50" applyFont="1" applyFill="1" applyBorder="1" applyAlignment="1" applyProtection="1">
      <alignment horizontal="center"/>
    </xf>
    <xf numFmtId="165" fontId="48" fillId="0" borderId="56" xfId="50" applyFont="1" applyFill="1" applyBorder="1" applyAlignment="1" applyProtection="1">
      <alignment horizontal="center"/>
    </xf>
    <xf numFmtId="165" fontId="48" fillId="0" borderId="57" xfId="50" applyFont="1" applyFill="1" applyBorder="1" applyAlignment="1" applyProtection="1">
      <alignment horizontal="center"/>
    </xf>
    <xf numFmtId="165" fontId="23" fillId="0" borderId="0" xfId="50" applyFont="1" applyFill="1" applyBorder="1" applyAlignment="1" applyProtection="1">
      <alignment horizontal="left"/>
    </xf>
    <xf numFmtId="0" fontId="46" fillId="0" borderId="0" xfId="34" applyFont="1" applyBorder="1"/>
    <xf numFmtId="0" fontId="46" fillId="0" borderId="0" xfId="34" applyFont="1" applyBorder="1" applyAlignment="1">
      <alignment horizontal="center"/>
    </xf>
    <xf numFmtId="0" fontId="39" fillId="0" borderId="0" xfId="0" applyFont="1" applyAlignment="1">
      <alignment horizontal="center" textRotation="90"/>
    </xf>
    <xf numFmtId="0" fontId="49" fillId="0" borderId="33" xfId="34" applyFont="1" applyBorder="1"/>
    <xf numFmtId="0" fontId="46" fillId="0" borderId="12" xfId="34" applyFont="1" applyBorder="1"/>
    <xf numFmtId="0" fontId="24" fillId="0" borderId="33" xfId="50" applyNumberFormat="1" applyFont="1" applyFill="1" applyBorder="1" applyAlignment="1" applyProtection="1">
      <alignment horizontal="left"/>
    </xf>
    <xf numFmtId="165" fontId="24" fillId="0" borderId="33" xfId="50" applyFont="1" applyFill="1" applyBorder="1" applyAlignment="1" applyProtection="1">
      <alignment horizontal="left"/>
    </xf>
    <xf numFmtId="165" fontId="0" fillId="0" borderId="12" xfId="50" applyFont="1" applyFill="1" applyBorder="1" applyAlignment="1" applyProtection="1">
      <alignment horizontal="center"/>
    </xf>
    <xf numFmtId="0" fontId="49" fillId="0" borderId="31" xfId="34" applyFont="1" applyBorder="1" applyAlignment="1">
      <alignment horizontal="center"/>
    </xf>
    <xf numFmtId="0" fontId="46" fillId="0" borderId="47" xfId="34" applyFont="1" applyBorder="1" applyAlignment="1"/>
    <xf numFmtId="0" fontId="46" fillId="0" borderId="14" xfId="34" applyNumberFormat="1" applyFont="1" applyBorder="1" applyAlignment="1">
      <alignment horizontal="center"/>
    </xf>
    <xf numFmtId="0" fontId="46" fillId="16" borderId="32" xfId="34" applyFont="1" applyFill="1" applyBorder="1" applyAlignment="1" applyProtection="1">
      <alignment horizontal="center"/>
      <protection locked="0"/>
    </xf>
    <xf numFmtId="0" fontId="46" fillId="0" borderId="30" xfId="34" applyFont="1" applyBorder="1" applyAlignment="1"/>
    <xf numFmtId="0" fontId="49" fillId="0" borderId="50" xfId="34" applyFont="1" applyBorder="1" applyAlignment="1">
      <alignment horizontal="center"/>
    </xf>
    <xf numFmtId="0" fontId="49" fillId="0" borderId="10" xfId="34" applyFont="1" applyBorder="1" applyAlignment="1">
      <alignment horizontal="left" vertical="center" wrapText="1"/>
    </xf>
    <xf numFmtId="0" fontId="46" fillId="0" borderId="10" xfId="34" applyFont="1" applyBorder="1" applyAlignment="1">
      <alignment horizontal="center" vertical="center"/>
    </xf>
    <xf numFmtId="0" fontId="49" fillId="0" borderId="51" xfId="34" applyFont="1" applyFill="1" applyBorder="1" applyAlignment="1" applyProtection="1">
      <alignment horizontal="center"/>
      <protection locked="0"/>
    </xf>
    <xf numFmtId="0" fontId="49" fillId="0" borderId="52" xfId="34" applyFont="1" applyBorder="1" applyAlignment="1">
      <alignment horizontal="center"/>
    </xf>
    <xf numFmtId="0" fontId="46" fillId="0" borderId="0" xfId="34" applyFont="1" applyAlignment="1">
      <alignment horizontal="center" wrapText="1"/>
    </xf>
    <xf numFmtId="174" fontId="49" fillId="0" borderId="55" xfId="34" applyNumberFormat="1" applyFont="1" applyBorder="1" applyAlignment="1">
      <alignment horizontal="center"/>
    </xf>
    <xf numFmtId="0" fontId="49" fillId="0" borderId="30" xfId="34" applyFont="1" applyBorder="1" applyAlignment="1">
      <alignment horizontal="left" vertical="center" wrapText="1"/>
    </xf>
    <xf numFmtId="0" fontId="46" fillId="0" borderId="30" xfId="34" applyFont="1" applyBorder="1" applyAlignment="1">
      <alignment horizontal="center" vertical="center"/>
    </xf>
    <xf numFmtId="0" fontId="46" fillId="0" borderId="30" xfId="34" applyFont="1" applyBorder="1" applyAlignment="1">
      <alignment horizontal="center" vertical="center" wrapText="1"/>
    </xf>
    <xf numFmtId="174" fontId="49" fillId="0" borderId="56" xfId="34" applyNumberFormat="1" applyFont="1" applyFill="1" applyBorder="1" applyAlignment="1" applyProtection="1">
      <alignment horizontal="center"/>
      <protection locked="0"/>
    </xf>
    <xf numFmtId="174" fontId="49" fillId="0" borderId="57" xfId="34" applyNumberFormat="1" applyFont="1" applyBorder="1" applyAlignment="1">
      <alignment horizontal="center"/>
    </xf>
    <xf numFmtId="10" fontId="0" fillId="0" borderId="54" xfId="39" applyNumberFormat="1" applyFont="1" applyFill="1" applyBorder="1" applyAlignment="1" applyProtection="1"/>
    <xf numFmtId="0" fontId="46" fillId="8" borderId="34" xfId="34" applyFont="1" applyFill="1" applyBorder="1"/>
    <xf numFmtId="165" fontId="24" fillId="0" borderId="0" xfId="50" applyFont="1" applyFill="1" applyBorder="1" applyAlignment="1" applyProtection="1">
      <alignment horizontal="center" shrinkToFit="1"/>
    </xf>
    <xf numFmtId="165" fontId="0" fillId="8" borderId="66" xfId="50" applyFont="1" applyFill="1" applyBorder="1" applyAlignment="1" applyProtection="1">
      <alignment horizontal="center"/>
    </xf>
    <xf numFmtId="165" fontId="0" fillId="8" borderId="67" xfId="50" applyFont="1" applyFill="1" applyBorder="1" applyAlignment="1" applyProtection="1">
      <alignment horizontal="right"/>
    </xf>
    <xf numFmtId="10" fontId="0" fillId="8" borderId="53" xfId="39" applyNumberFormat="1" applyFont="1" applyFill="1" applyBorder="1" applyAlignment="1" applyProtection="1"/>
    <xf numFmtId="10" fontId="0" fillId="8" borderId="54" xfId="39" applyNumberFormat="1" applyFont="1" applyFill="1" applyBorder="1" applyAlignment="1" applyProtection="1"/>
    <xf numFmtId="10" fontId="0" fillId="8" borderId="68" xfId="39" applyNumberFormat="1" applyFont="1" applyFill="1" applyBorder="1" applyAlignment="1" applyProtection="1"/>
    <xf numFmtId="171" fontId="56" fillId="0" borderId="40" xfId="49" applyFill="1" applyBorder="1" applyAlignment="1" applyProtection="1">
      <alignment shrinkToFit="1"/>
    </xf>
    <xf numFmtId="0" fontId="46" fillId="8" borderId="31" xfId="34" applyFont="1" applyFill="1" applyBorder="1"/>
    <xf numFmtId="165" fontId="0" fillId="0" borderId="38" xfId="50" applyFont="1" applyFill="1" applyBorder="1" applyAlignment="1" applyProtection="1">
      <alignment horizontal="center"/>
    </xf>
    <xf numFmtId="165" fontId="0" fillId="0" borderId="69" xfId="50" applyFont="1" applyFill="1" applyBorder="1" applyAlignment="1" applyProtection="1">
      <alignment horizontal="right"/>
    </xf>
    <xf numFmtId="171" fontId="56" fillId="0" borderId="39" xfId="49" applyFill="1" applyBorder="1" applyAlignment="1" applyProtection="1">
      <alignment shrinkToFit="1"/>
    </xf>
    <xf numFmtId="171" fontId="56" fillId="0" borderId="41" xfId="49" applyFill="1" applyBorder="1" applyAlignment="1" applyProtection="1">
      <alignment shrinkToFit="1"/>
    </xf>
    <xf numFmtId="0" fontId="49" fillId="0" borderId="0" xfId="34" applyFont="1" applyAlignment="1">
      <alignment horizontal="left"/>
    </xf>
    <xf numFmtId="0" fontId="46" fillId="8" borderId="31" xfId="34" applyFont="1" applyFill="1" applyBorder="1" applyAlignment="1">
      <alignment horizontal="center"/>
    </xf>
    <xf numFmtId="165" fontId="0" fillId="8" borderId="38" xfId="50" applyFont="1" applyFill="1" applyBorder="1" applyAlignment="1" applyProtection="1">
      <alignment horizontal="center"/>
    </xf>
    <xf numFmtId="165" fontId="0" fillId="8" borderId="69" xfId="50" applyFont="1" applyFill="1" applyBorder="1" applyAlignment="1" applyProtection="1">
      <alignment horizontal="right"/>
    </xf>
    <xf numFmtId="171" fontId="56" fillId="8" borderId="39" xfId="49" applyFill="1" applyBorder="1" applyAlignment="1" applyProtection="1">
      <alignment shrinkToFit="1"/>
    </xf>
    <xf numFmtId="171" fontId="56" fillId="8" borderId="40" xfId="49" applyFill="1" applyBorder="1" applyAlignment="1" applyProtection="1">
      <alignment shrinkToFit="1"/>
    </xf>
    <xf numFmtId="171" fontId="56" fillId="8" borderId="41" xfId="49" applyFill="1" applyBorder="1" applyAlignment="1" applyProtection="1">
      <alignment shrinkToFit="1"/>
    </xf>
    <xf numFmtId="171" fontId="56" fillId="0" borderId="43" xfId="49" applyFill="1" applyBorder="1" applyAlignment="1" applyProtection="1">
      <alignment shrinkToFit="1"/>
    </xf>
    <xf numFmtId="165" fontId="0" fillId="0" borderId="59" xfId="50" applyFont="1" applyFill="1" applyBorder="1" applyAlignment="1" applyProtection="1">
      <alignment horizontal="center"/>
    </xf>
    <xf numFmtId="165" fontId="0" fillId="0" borderId="61" xfId="50" applyFont="1" applyFill="1" applyBorder="1" applyAlignment="1" applyProtection="1">
      <alignment horizontal="right"/>
    </xf>
    <xf numFmtId="171" fontId="56" fillId="0" borderId="70" xfId="49" applyFill="1" applyBorder="1" applyAlignment="1" applyProtection="1">
      <alignment shrinkToFit="1"/>
    </xf>
    <xf numFmtId="171" fontId="56" fillId="0" borderId="44" xfId="49" applyFill="1" applyBorder="1" applyAlignment="1" applyProtection="1">
      <alignment shrinkToFit="1"/>
    </xf>
    <xf numFmtId="165" fontId="24" fillId="0" borderId="71" xfId="50" applyFont="1" applyFill="1" applyBorder="1" applyAlignment="1" applyProtection="1">
      <alignment shrinkToFit="1"/>
    </xf>
    <xf numFmtId="0" fontId="46" fillId="8" borderId="14" xfId="34" applyFont="1" applyFill="1" applyBorder="1"/>
    <xf numFmtId="165" fontId="24" fillId="8" borderId="72" xfId="50" applyFont="1" applyFill="1" applyBorder="1" applyAlignment="1" applyProtection="1">
      <alignment horizontal="center"/>
    </xf>
    <xf numFmtId="165" fontId="24" fillId="8" borderId="73" xfId="50" applyFont="1" applyFill="1" applyBorder="1" applyAlignment="1" applyProtection="1">
      <alignment horizontal="right"/>
    </xf>
    <xf numFmtId="165" fontId="24" fillId="8" borderId="74" xfId="50" applyFont="1" applyFill="1" applyBorder="1" applyAlignment="1" applyProtection="1">
      <alignment shrinkToFit="1"/>
    </xf>
    <xf numFmtId="165" fontId="24" fillId="8" borderId="71" xfId="50" applyFont="1" applyFill="1" applyBorder="1" applyAlignment="1" applyProtection="1">
      <alignment shrinkToFit="1"/>
    </xf>
    <xf numFmtId="165" fontId="24" fillId="8" borderId="75" xfId="50" applyFont="1" applyFill="1" applyBorder="1" applyAlignment="1" applyProtection="1">
      <alignment shrinkToFit="1"/>
    </xf>
    <xf numFmtId="0" fontId="0" fillId="0" borderId="30" xfId="0" applyFont="1" applyBorder="1"/>
    <xf numFmtId="0" fontId="46" fillId="0" borderId="30" xfId="34" applyFont="1" applyBorder="1" applyAlignment="1">
      <alignment horizontal="center"/>
    </xf>
    <xf numFmtId="165" fontId="0" fillId="0" borderId="30" xfId="50" applyFont="1" applyFill="1" applyBorder="1" applyAlignment="1" applyProtection="1">
      <alignment horizontal="center"/>
    </xf>
    <xf numFmtId="0" fontId="24" fillId="0" borderId="0" xfId="0" applyFont="1" applyBorder="1"/>
    <xf numFmtId="0" fontId="0" fillId="0" borderId="40" xfId="0" applyBorder="1" applyAlignment="1">
      <alignment horizontal="center"/>
    </xf>
    <xf numFmtId="0" fontId="0" fillId="0" borderId="40" xfId="0" applyBorder="1" applyAlignment="1">
      <alignment horizontal="left"/>
    </xf>
    <xf numFmtId="1" fontId="0" fillId="6" borderId="40" xfId="0" applyNumberFormat="1" applyFill="1" applyBorder="1" applyAlignment="1" applyProtection="1">
      <alignment horizontal="center"/>
      <protection locked="0"/>
    </xf>
    <xf numFmtId="0" fontId="20" fillId="0" borderId="0" xfId="0" applyFont="1"/>
    <xf numFmtId="0" fontId="0" fillId="0" borderId="0" xfId="0" applyFont="1" applyAlignment="1">
      <alignment textRotation="90"/>
    </xf>
    <xf numFmtId="4" fontId="0" fillId="0" borderId="0" xfId="0" applyNumberFormat="1"/>
    <xf numFmtId="175" fontId="51" fillId="8" borderId="1" xfId="0" applyNumberFormat="1" applyFont="1" applyFill="1" applyBorder="1" applyAlignment="1">
      <alignment horizontal="center" textRotation="90" wrapText="1"/>
    </xf>
    <xf numFmtId="0" fontId="24" fillId="8" borderId="1" xfId="0" applyFont="1" applyFill="1" applyBorder="1" applyAlignment="1">
      <alignment horizontal="center"/>
    </xf>
    <xf numFmtId="0" fontId="24" fillId="8" borderId="76" xfId="0" applyFont="1" applyFill="1" applyBorder="1" applyAlignment="1"/>
    <xf numFmtId="0" fontId="24" fillId="8" borderId="77" xfId="0" applyFont="1" applyFill="1" applyBorder="1" applyAlignment="1"/>
    <xf numFmtId="0" fontId="24" fillId="8" borderId="78" xfId="0" applyFont="1" applyFill="1" applyBorder="1" applyAlignment="1"/>
    <xf numFmtId="0" fontId="0" fillId="18" borderId="40" xfId="0" applyFill="1" applyBorder="1" applyAlignment="1">
      <alignment horizontal="center"/>
    </xf>
    <xf numFmtId="0" fontId="0" fillId="18" borderId="40" xfId="0" applyFont="1" applyFill="1" applyBorder="1"/>
    <xf numFmtId="0" fontId="0" fillId="8" borderId="79" xfId="0" applyFill="1" applyBorder="1"/>
    <xf numFmtId="0" fontId="0" fillId="8" borderId="80" xfId="0" applyFont="1" applyFill="1" applyBorder="1"/>
    <xf numFmtId="0" fontId="0" fillId="8" borderId="81" xfId="0" applyFill="1" applyBorder="1"/>
    <xf numFmtId="0" fontId="46" fillId="19" borderId="32" xfId="34" applyFont="1" applyFill="1" applyBorder="1" applyAlignment="1">
      <alignment horizontal="center"/>
    </xf>
    <xf numFmtId="0" fontId="49" fillId="0" borderId="12" xfId="34" applyFont="1" applyBorder="1"/>
    <xf numFmtId="0" fontId="46" fillId="0" borderId="12" xfId="34" applyFont="1" applyBorder="1" applyAlignment="1">
      <alignment horizontal="center"/>
    </xf>
    <xf numFmtId="0" fontId="0" fillId="0" borderId="33" xfId="0" applyBorder="1"/>
    <xf numFmtId="0" fontId="52" fillId="0" borderId="0" xfId="0" applyFont="1"/>
    <xf numFmtId="0" fontId="24" fillId="0" borderId="0" xfId="0" applyFont="1" applyAlignment="1">
      <alignment horizontal="right"/>
    </xf>
    <xf numFmtId="0" fontId="23" fillId="0" borderId="33" xfId="0" applyFont="1" applyBorder="1" applyAlignment="1"/>
    <xf numFmtId="0" fontId="0" fillId="4" borderId="13" xfId="0" applyFill="1" applyBorder="1"/>
    <xf numFmtId="0" fontId="24" fillId="8" borderId="32" xfId="0" applyFont="1" applyFill="1" applyBorder="1" applyAlignment="1">
      <alignment horizontal="center"/>
    </xf>
    <xf numFmtId="0" fontId="24" fillId="0" borderId="34" xfId="0" applyFont="1" applyBorder="1" applyAlignment="1">
      <alignment horizontal="center"/>
    </xf>
    <xf numFmtId="0" fontId="24" fillId="0" borderId="14" xfId="0" applyFont="1" applyBorder="1" applyAlignment="1">
      <alignment horizontal="center"/>
    </xf>
    <xf numFmtId="0" fontId="0" fillId="0" borderId="0" xfId="33" applyNumberFormat="1" applyFont="1" applyFill="1" applyBorder="1" applyAlignment="1" applyProtection="1">
      <alignment horizontal="left" vertical="top"/>
    </xf>
    <xf numFmtId="0" fontId="0" fillId="0" borderId="0" xfId="0" applyAlignment="1">
      <alignment horizontal="left"/>
    </xf>
    <xf numFmtId="0" fontId="23" fillId="0" borderId="0" xfId="0" applyFont="1" applyAlignment="1">
      <alignment horizontal="left" vertical="center" indent="2"/>
    </xf>
    <xf numFmtId="0" fontId="0" fillId="0" borderId="32" xfId="0" applyFont="1" applyFill="1" applyBorder="1" applyAlignment="1" applyProtection="1"/>
    <xf numFmtId="10" fontId="0" fillId="0" borderId="32" xfId="0" applyNumberFormat="1" applyFont="1" applyBorder="1" applyAlignment="1" applyProtection="1">
      <alignment horizontal="center" vertical="center" wrapText="1"/>
    </xf>
    <xf numFmtId="0" fontId="24" fillId="0" borderId="31" xfId="0" applyFont="1" applyBorder="1"/>
    <xf numFmtId="0" fontId="0" fillId="0" borderId="14" xfId="0" applyBorder="1"/>
    <xf numFmtId="4" fontId="0" fillId="0" borderId="14" xfId="33" applyNumberFormat="1" applyFont="1" applyFill="1" applyBorder="1" applyAlignment="1" applyProtection="1">
      <alignment vertical="top" wrapText="1"/>
    </xf>
    <xf numFmtId="0" fontId="0" fillId="0" borderId="0" xfId="33" applyFont="1" applyFill="1" applyBorder="1" applyAlignment="1" applyProtection="1">
      <alignment vertical="top" wrapText="1"/>
    </xf>
    <xf numFmtId="0" fontId="21" fillId="0" borderId="34" xfId="0" applyFont="1" applyBorder="1" applyAlignment="1">
      <alignment horizontal="center"/>
    </xf>
    <xf numFmtId="178" fontId="0" fillId="0" borderId="47" xfId="0" applyNumberFormat="1" applyBorder="1" applyAlignment="1">
      <alignment horizontal="center" vertical="center"/>
    </xf>
    <xf numFmtId="178" fontId="0" fillId="0" borderId="14" xfId="0" applyNumberFormat="1" applyBorder="1" applyAlignment="1">
      <alignment horizontal="center" vertical="center"/>
    </xf>
    <xf numFmtId="179" fontId="24" fillId="0" borderId="39" xfId="0" applyNumberFormat="1" applyFont="1" applyBorder="1" applyAlignment="1">
      <alignment horizontal="center" vertical="center"/>
    </xf>
    <xf numFmtId="49" fontId="0" fillId="16" borderId="40" xfId="0" applyNumberFormat="1" applyFill="1" applyBorder="1" applyAlignment="1" applyProtection="1">
      <alignment horizontal="center" vertical="center" wrapText="1"/>
      <protection locked="0"/>
    </xf>
    <xf numFmtId="0" fontId="0" fillId="0" borderId="40" xfId="0" applyBorder="1" applyAlignment="1">
      <alignment horizontal="center" vertical="center"/>
    </xf>
    <xf numFmtId="178" fontId="0" fillId="0" borderId="38" xfId="0" applyNumberFormat="1" applyBorder="1" applyAlignment="1">
      <alignment horizontal="center" vertical="center"/>
    </xf>
    <xf numFmtId="178" fontId="0" fillId="0" borderId="79" xfId="0" applyNumberFormat="1" applyBorder="1" applyAlignment="1">
      <alignment horizontal="center" vertical="center"/>
    </xf>
    <xf numFmtId="178" fontId="0" fillId="0" borderId="69" xfId="0" applyNumberFormat="1" applyBorder="1" applyAlignment="1">
      <alignment horizontal="center" vertical="center"/>
    </xf>
    <xf numFmtId="178" fontId="0" fillId="0" borderId="42" xfId="0" applyNumberFormat="1" applyBorder="1" applyAlignment="1">
      <alignment horizontal="center" vertical="center"/>
    </xf>
    <xf numFmtId="49" fontId="0" fillId="6" borderId="70" xfId="0" applyNumberFormat="1" applyFill="1" applyBorder="1" applyAlignment="1" applyProtection="1">
      <alignment horizontal="center"/>
      <protection locked="0"/>
    </xf>
    <xf numFmtId="178" fontId="0" fillId="6" borderId="70" xfId="0" applyNumberFormat="1" applyFill="1" applyBorder="1" applyAlignment="1" applyProtection="1">
      <alignment horizontal="center" vertical="center"/>
      <protection locked="0"/>
    </xf>
    <xf numFmtId="178" fontId="0" fillId="6" borderId="43" xfId="0" applyNumberFormat="1" applyFill="1" applyBorder="1" applyAlignment="1" applyProtection="1">
      <alignment horizontal="center" vertical="center"/>
      <protection locked="0"/>
    </xf>
    <xf numFmtId="178" fontId="0" fillId="6" borderId="44" xfId="0" applyNumberFormat="1" applyFill="1" applyBorder="1" applyAlignment="1" applyProtection="1">
      <alignment horizontal="center" vertical="center"/>
      <protection locked="0"/>
    </xf>
    <xf numFmtId="0" fontId="0" fillId="0" borderId="0" xfId="0" applyNumberFormat="1"/>
    <xf numFmtId="4" fontId="0" fillId="0" borderId="0" xfId="31" applyNumberFormat="1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24" fillId="0" borderId="0" xfId="0" applyFont="1" applyAlignment="1">
      <alignment wrapText="1"/>
    </xf>
    <xf numFmtId="0" fontId="24" fillId="0" borderId="13" xfId="0" applyFont="1" applyBorder="1" applyAlignment="1" applyProtection="1">
      <alignment horizontal="center" vertical="center" wrapText="1"/>
    </xf>
    <xf numFmtId="0" fontId="24" fillId="0" borderId="45" xfId="0" applyFont="1" applyBorder="1" applyAlignment="1" applyProtection="1">
      <alignment horizontal="center" vertical="center" wrapText="1"/>
    </xf>
    <xf numFmtId="0" fontId="24" fillId="0" borderId="46" xfId="0" applyFont="1" applyBorder="1" applyAlignment="1" applyProtection="1">
      <alignment horizontal="center" vertical="center" wrapText="1"/>
    </xf>
    <xf numFmtId="0" fontId="24" fillId="0" borderId="34" xfId="0" applyFont="1" applyBorder="1" applyAlignment="1" applyProtection="1">
      <alignment horizontal="center" vertical="center" wrapText="1"/>
    </xf>
    <xf numFmtId="0" fontId="24" fillId="0" borderId="11" xfId="0" applyFont="1" applyBorder="1" applyAlignment="1" applyProtection="1">
      <alignment horizontal="center" vertical="center" wrapText="1"/>
    </xf>
    <xf numFmtId="0" fontId="0" fillId="8" borderId="82" xfId="0" applyFill="1" applyBorder="1"/>
    <xf numFmtId="0" fontId="0" fillId="8" borderId="10" xfId="0" applyFill="1" applyBorder="1"/>
    <xf numFmtId="178" fontId="17" fillId="8" borderId="82" xfId="0" applyNumberFormat="1" applyFont="1" applyFill="1" applyBorder="1" applyAlignment="1">
      <alignment horizontal="center" vertical="center"/>
    </xf>
    <xf numFmtId="178" fontId="17" fillId="8" borderId="10" xfId="0" applyNumberFormat="1" applyFont="1" applyFill="1" applyBorder="1" applyAlignment="1">
      <alignment horizontal="center" vertical="center"/>
    </xf>
    <xf numFmtId="178" fontId="17" fillId="8" borderId="11" xfId="0" applyNumberFormat="1" applyFont="1" applyFill="1" applyBorder="1" applyAlignment="1">
      <alignment horizontal="center" vertical="center"/>
    </xf>
    <xf numFmtId="178" fontId="17" fillId="8" borderId="34" xfId="0" applyNumberFormat="1" applyFont="1" applyFill="1" applyBorder="1" applyAlignment="1">
      <alignment horizontal="center" vertical="center"/>
    </xf>
    <xf numFmtId="0" fontId="0" fillId="18" borderId="34" xfId="0" applyFill="1" applyBorder="1"/>
    <xf numFmtId="0" fontId="0" fillId="18" borderId="34" xfId="0" applyFill="1" applyBorder="1" applyAlignment="1">
      <alignment horizontal="center"/>
    </xf>
    <xf numFmtId="0" fontId="0" fillId="18" borderId="82" xfId="0" applyFill="1" applyBorder="1"/>
    <xf numFmtId="0" fontId="0" fillId="18" borderId="10" xfId="0" applyFill="1" applyBorder="1" applyAlignment="1">
      <alignment horizontal="center"/>
    </xf>
    <xf numFmtId="0" fontId="0" fillId="18" borderId="10" xfId="0" applyFill="1" applyBorder="1"/>
    <xf numFmtId="0" fontId="0" fillId="18" borderId="11" xfId="0" applyFill="1" applyBorder="1"/>
    <xf numFmtId="0" fontId="0" fillId="0" borderId="32" xfId="0" applyBorder="1"/>
    <xf numFmtId="0" fontId="0" fillId="8" borderId="47" xfId="0" applyFill="1" applyBorder="1"/>
    <xf numFmtId="0" fontId="0" fillId="8" borderId="30" xfId="0" applyFill="1" applyBorder="1"/>
    <xf numFmtId="181" fontId="8" fillId="8" borderId="47" xfId="0" applyNumberFormat="1" applyFont="1" applyFill="1" applyBorder="1" applyAlignment="1">
      <alignment horizontal="center"/>
    </xf>
    <xf numFmtId="181" fontId="8" fillId="8" borderId="30" xfId="0" applyNumberFormat="1" applyFont="1" applyFill="1" applyBorder="1" applyAlignment="1">
      <alignment horizontal="center"/>
    </xf>
    <xf numFmtId="181" fontId="8" fillId="8" borderId="29" xfId="0" applyNumberFormat="1" applyFont="1" applyFill="1" applyBorder="1" applyAlignment="1">
      <alignment horizontal="center"/>
    </xf>
    <xf numFmtId="181" fontId="8" fillId="8" borderId="14" xfId="0" applyNumberFormat="1" applyFont="1" applyFill="1" applyBorder="1" applyAlignment="1">
      <alignment horizontal="center"/>
    </xf>
    <xf numFmtId="0" fontId="0" fillId="18" borderId="14" xfId="0" applyFill="1" applyBorder="1"/>
    <xf numFmtId="0" fontId="0" fillId="18" borderId="14" xfId="0" applyFill="1" applyBorder="1" applyAlignment="1">
      <alignment horizontal="center"/>
    </xf>
    <xf numFmtId="0" fontId="0" fillId="18" borderId="47" xfId="0" applyFill="1" applyBorder="1"/>
    <xf numFmtId="0" fontId="0" fillId="18" borderId="30" xfId="0" applyFill="1" applyBorder="1" applyAlignment="1">
      <alignment horizontal="center"/>
    </xf>
    <xf numFmtId="0" fontId="0" fillId="18" borderId="30" xfId="0" applyFill="1" applyBorder="1"/>
    <xf numFmtId="0" fontId="0" fillId="18" borderId="29" xfId="0" applyFill="1" applyBorder="1"/>
    <xf numFmtId="0" fontId="23" fillId="0" borderId="0" xfId="0" applyFont="1" applyAlignment="1">
      <alignment horizontal="left" vertical="center" indent="12"/>
    </xf>
    <xf numFmtId="0" fontId="0" fillId="0" borderId="0" xfId="0" applyFont="1" applyFill="1" applyAlignment="1">
      <alignment horizontal="center" vertical="top"/>
    </xf>
    <xf numFmtId="0" fontId="0" fillId="0" borderId="82" xfId="0" applyFont="1" applyBorder="1"/>
    <xf numFmtId="0" fontId="0" fillId="0" borderId="11" xfId="0" applyBorder="1"/>
    <xf numFmtId="0" fontId="37" fillId="0" borderId="0" xfId="0" applyFont="1" applyAlignment="1">
      <alignment horizontal="left" vertical="center" indent="12"/>
    </xf>
    <xf numFmtId="0" fontId="0" fillId="0" borderId="47" xfId="33" applyFont="1" applyFill="1" applyBorder="1" applyAlignment="1" applyProtection="1">
      <alignment vertical="top" wrapText="1"/>
    </xf>
    <xf numFmtId="182" fontId="0" fillId="0" borderId="29" xfId="33" applyNumberFormat="1" applyFont="1" applyFill="1" applyBorder="1" applyAlignment="1" applyProtection="1">
      <alignment horizontal="left" vertical="top" wrapText="1"/>
    </xf>
    <xf numFmtId="0" fontId="0" fillId="0" borderId="34" xfId="0" applyFont="1" applyBorder="1"/>
    <xf numFmtId="0" fontId="0" fillId="0" borderId="31" xfId="0" applyBorder="1"/>
    <xf numFmtId="49" fontId="0" fillId="0" borderId="14" xfId="33" applyNumberFormat="1" applyFont="1" applyFill="1" applyBorder="1" applyAlignment="1" applyProtection="1">
      <alignment vertical="top" wrapText="1"/>
    </xf>
    <xf numFmtId="0" fontId="23" fillId="0" borderId="47" xfId="0" applyFont="1" applyBorder="1"/>
    <xf numFmtId="14" fontId="24" fillId="6" borderId="37" xfId="0" applyNumberFormat="1" applyFont="1" applyFill="1" applyBorder="1" applyAlignment="1" applyProtection="1">
      <alignment horizontal="center" vertical="center" wrapText="1"/>
      <protection locked="0"/>
    </xf>
    <xf numFmtId="14" fontId="24" fillId="6" borderId="48" xfId="0" applyNumberFormat="1" applyFont="1" applyFill="1" applyBorder="1" applyAlignment="1" applyProtection="1">
      <alignment horizontal="center" vertical="center" wrapText="1"/>
      <protection locked="0"/>
    </xf>
    <xf numFmtId="14" fontId="24" fillId="6" borderId="49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34" xfId="0" applyFont="1" applyBorder="1" applyAlignment="1" applyProtection="1">
      <alignment horizontal="center" vertical="center"/>
    </xf>
    <xf numFmtId="0" fontId="24" fillId="0" borderId="0" xfId="0" applyFont="1" applyBorder="1" applyAlignment="1" applyProtection="1">
      <alignment horizontal="center" vertical="center" wrapText="1"/>
    </xf>
    <xf numFmtId="183" fontId="24" fillId="8" borderId="34" xfId="0" applyNumberFormat="1" applyFont="1" applyFill="1" applyBorder="1" applyAlignment="1" applyProtection="1">
      <alignment horizontal="center" vertical="center" wrapText="1"/>
    </xf>
    <xf numFmtId="171" fontId="0" fillId="0" borderId="38" xfId="49" applyNumberFormat="1" applyFont="1" applyFill="1" applyBorder="1" applyAlignment="1" applyProtection="1">
      <alignment vertical="center" shrinkToFit="1"/>
    </xf>
    <xf numFmtId="171" fontId="0" fillId="0" borderId="69" xfId="49" applyNumberFormat="1" applyFont="1" applyFill="1" applyBorder="1" applyAlignment="1" applyProtection="1">
      <alignment vertical="center" shrinkToFit="1"/>
    </xf>
    <xf numFmtId="171" fontId="0" fillId="0" borderId="39" xfId="49" applyNumberFormat="1" applyFont="1" applyFill="1" applyBorder="1" applyAlignment="1" applyProtection="1">
      <alignment horizontal="center" vertical="center" shrinkToFit="1"/>
    </xf>
    <xf numFmtId="171" fontId="0" fillId="0" borderId="40" xfId="49" applyNumberFormat="1" applyFont="1" applyFill="1" applyBorder="1" applyAlignment="1" applyProtection="1">
      <alignment horizontal="center" vertical="center" shrinkToFit="1"/>
    </xf>
    <xf numFmtId="171" fontId="0" fillId="6" borderId="39" xfId="49" applyFont="1" applyFill="1" applyBorder="1" applyAlignment="1" applyProtection="1">
      <protection locked="0"/>
    </xf>
    <xf numFmtId="171" fontId="0" fillId="6" borderId="41" xfId="49" applyFont="1" applyFill="1" applyBorder="1" applyAlignment="1" applyProtection="1">
      <protection locked="0"/>
    </xf>
    <xf numFmtId="165" fontId="0" fillId="0" borderId="40" xfId="0" applyNumberFormat="1" applyBorder="1"/>
    <xf numFmtId="0" fontId="0" fillId="16" borderId="41" xfId="0" applyFill="1" applyBorder="1" applyAlignment="1">
      <alignment shrinkToFit="1"/>
    </xf>
    <xf numFmtId="171" fontId="24" fillId="17" borderId="14" xfId="49" applyNumberFormat="1" applyFont="1" applyFill="1" applyBorder="1" applyAlignment="1" applyProtection="1">
      <alignment horizontal="center" vertical="center"/>
    </xf>
    <xf numFmtId="171" fontId="24" fillId="17" borderId="14" xfId="49" applyNumberFormat="1" applyFont="1" applyFill="1" applyBorder="1" applyAlignment="1" applyProtection="1">
      <alignment horizontal="center" vertical="center" shrinkToFit="1"/>
    </xf>
    <xf numFmtId="0" fontId="0" fillId="17" borderId="42" xfId="0" applyFill="1" applyBorder="1"/>
    <xf numFmtId="0" fontId="0" fillId="17" borderId="35" xfId="0" applyFill="1" applyBorder="1"/>
    <xf numFmtId="0" fontId="0" fillId="17" borderId="64" xfId="0" applyFill="1" applyBorder="1"/>
    <xf numFmtId="0" fontId="0" fillId="17" borderId="83" xfId="0" applyFill="1" applyBorder="1"/>
    <xf numFmtId="0" fontId="23" fillId="0" borderId="0" xfId="0" applyFont="1" applyAlignment="1">
      <alignment horizontal="left" vertical="center" indent="15"/>
    </xf>
    <xf numFmtId="0" fontId="0" fillId="0" borderId="13" xfId="0" applyFont="1" applyFill="1" applyBorder="1" applyAlignment="1" applyProtection="1">
      <alignment horizontal="center" wrapText="1"/>
    </xf>
    <xf numFmtId="0" fontId="0" fillId="0" borderId="46" xfId="0" applyFont="1" applyFill="1" applyBorder="1" applyAlignment="1" applyProtection="1">
      <alignment horizontal="center" wrapText="1"/>
    </xf>
    <xf numFmtId="0" fontId="24" fillId="0" borderId="32" xfId="0" applyFont="1" applyFill="1" applyBorder="1" applyAlignment="1" applyProtection="1">
      <alignment horizontal="right" vertical="center" wrapText="1"/>
    </xf>
    <xf numFmtId="184" fontId="24" fillId="0" borderId="32" xfId="31" applyNumberFormat="1" applyFont="1" applyFill="1" applyBorder="1" applyAlignment="1" applyProtection="1">
      <alignment horizontal="right" vertical="center" shrinkToFit="1"/>
    </xf>
    <xf numFmtId="0" fontId="0" fillId="0" borderId="0" xfId="0" applyBorder="1" applyAlignment="1"/>
    <xf numFmtId="0" fontId="24" fillId="0" borderId="12" xfId="36" applyFont="1" applyBorder="1" applyAlignment="1" applyProtection="1"/>
    <xf numFmtId="0" fontId="0" fillId="0" borderId="29" xfId="0" applyBorder="1" applyAlignment="1">
      <alignment shrinkToFit="1"/>
    </xf>
    <xf numFmtId="0" fontId="0" fillId="0" borderId="31" xfId="33" applyFont="1" applyFill="1" applyBorder="1" applyAlignment="1" applyProtection="1">
      <alignment vertical="top" wrapText="1"/>
    </xf>
    <xf numFmtId="4" fontId="0" fillId="0" borderId="14" xfId="33" applyNumberFormat="1" applyFont="1" applyFill="1" applyBorder="1" applyAlignment="1" applyProtection="1">
      <alignment horizontal="left" vertical="top" wrapText="1"/>
    </xf>
    <xf numFmtId="4" fontId="0" fillId="0" borderId="47" xfId="33" applyNumberFormat="1" applyFont="1" applyFill="1" applyBorder="1" applyAlignment="1" applyProtection="1">
      <alignment horizontal="left" vertical="top" wrapText="1"/>
    </xf>
    <xf numFmtId="0" fontId="22" fillId="0" borderId="0" xfId="0" applyFont="1" applyAlignment="1">
      <alignment wrapText="1"/>
    </xf>
    <xf numFmtId="0" fontId="21" fillId="0" borderId="11" xfId="0" applyFont="1" applyBorder="1" applyAlignment="1">
      <alignment horizontal="center"/>
    </xf>
    <xf numFmtId="0" fontId="53" fillId="0" borderId="0" xfId="0" applyFont="1" applyBorder="1" applyAlignment="1" applyProtection="1">
      <alignment horizontal="center" vertical="center" wrapText="1"/>
    </xf>
    <xf numFmtId="170" fontId="24" fillId="0" borderId="47" xfId="0" applyNumberFormat="1" applyFont="1" applyBorder="1" applyAlignment="1" applyProtection="1">
      <alignment horizontal="center"/>
    </xf>
    <xf numFmtId="10" fontId="24" fillId="0" borderId="29" xfId="0" applyNumberFormat="1" applyFont="1" applyFill="1" applyBorder="1" applyAlignment="1" applyProtection="1">
      <alignment horizontal="center" shrinkToFit="1"/>
    </xf>
    <xf numFmtId="178" fontId="0" fillId="0" borderId="30" xfId="0" applyNumberFormat="1" applyBorder="1" applyAlignment="1">
      <alignment horizontal="center" vertical="center"/>
    </xf>
    <xf numFmtId="0" fontId="0" fillId="0" borderId="10" xfId="0" applyFont="1" applyBorder="1" applyAlignment="1" applyProtection="1">
      <alignment wrapText="1"/>
    </xf>
    <xf numFmtId="0" fontId="24" fillId="0" borderId="32" xfId="0" applyFont="1" applyBorder="1" applyAlignment="1">
      <alignment horizontal="center" vertical="center"/>
    </xf>
    <xf numFmtId="179" fontId="24" fillId="0" borderId="39" xfId="0" applyNumberFormat="1" applyFont="1" applyBorder="1" applyAlignment="1" applyProtection="1">
      <alignment horizontal="center" vertical="center"/>
    </xf>
    <xf numFmtId="0" fontId="0" fillId="0" borderId="40" xfId="0" applyBorder="1" applyAlignment="1" applyProtection="1">
      <alignment horizontal="left" vertical="top"/>
    </xf>
    <xf numFmtId="49" fontId="0" fillId="0" borderId="40" xfId="0" applyNumberFormat="1" applyFill="1" applyBorder="1" applyAlignment="1" applyProtection="1">
      <alignment horizontal="center" vertical="center" wrapText="1"/>
    </xf>
    <xf numFmtId="0" fontId="0" fillId="0" borderId="40" xfId="0" applyFill="1" applyBorder="1" applyAlignment="1" applyProtection="1">
      <alignment horizontal="center"/>
    </xf>
    <xf numFmtId="0" fontId="0" fillId="0" borderId="40" xfId="0" applyBorder="1" applyAlignment="1" applyProtection="1">
      <alignment horizontal="center" vertical="center"/>
    </xf>
    <xf numFmtId="0" fontId="0" fillId="0" borderId="41" xfId="0" applyBorder="1" applyAlignment="1" applyProtection="1">
      <alignment horizontal="center" vertical="center"/>
    </xf>
    <xf numFmtId="0" fontId="0" fillId="0" borderId="79" xfId="0" applyBorder="1" applyAlignment="1" applyProtection="1">
      <alignment horizontal="center" vertical="center"/>
    </xf>
    <xf numFmtId="178" fontId="0" fillId="0" borderId="42" xfId="0" applyNumberFormat="1" applyBorder="1" applyAlignment="1" applyProtection="1">
      <alignment horizontal="center" vertical="center"/>
    </xf>
    <xf numFmtId="178" fontId="0" fillId="0" borderId="0" xfId="0" applyNumberFormat="1" applyFont="1" applyBorder="1" applyAlignment="1" applyProtection="1">
      <alignment horizontal="center" vertical="center"/>
    </xf>
    <xf numFmtId="178" fontId="0" fillId="0" borderId="38" xfId="0" applyNumberFormat="1" applyBorder="1" applyAlignment="1" applyProtection="1">
      <alignment horizontal="center" vertical="center"/>
    </xf>
    <xf numFmtId="178" fontId="0" fillId="0" borderId="79" xfId="0" applyNumberFormat="1" applyBorder="1" applyAlignment="1" applyProtection="1">
      <alignment horizontal="center" vertical="center"/>
    </xf>
    <xf numFmtId="178" fontId="0" fillId="0" borderId="69" xfId="0" applyNumberFormat="1" applyBorder="1" applyAlignment="1" applyProtection="1">
      <alignment horizontal="center" vertical="center"/>
    </xf>
    <xf numFmtId="10" fontId="0" fillId="0" borderId="69" xfId="0" applyNumberFormat="1" applyBorder="1" applyAlignment="1" applyProtection="1">
      <alignment horizontal="center" vertical="center"/>
    </xf>
    <xf numFmtId="0" fontId="0" fillId="0" borderId="33" xfId="0" applyFont="1" applyBorder="1" applyAlignment="1" applyProtection="1">
      <alignment horizontal="center" vertical="center" wrapText="1"/>
    </xf>
    <xf numFmtId="181" fontId="8" fillId="8" borderId="84" xfId="0" applyNumberFormat="1" applyFont="1" applyFill="1" applyBorder="1" applyAlignment="1">
      <alignment horizontal="center"/>
    </xf>
    <xf numFmtId="181" fontId="8" fillId="8" borderId="85" xfId="0" applyNumberFormat="1" applyFont="1" applyFill="1" applyBorder="1" applyAlignment="1">
      <alignment horizontal="center"/>
    </xf>
    <xf numFmtId="181" fontId="8" fillId="8" borderId="66" xfId="0" applyNumberFormat="1" applyFont="1" applyFill="1" applyBorder="1" applyAlignment="1">
      <alignment horizontal="center"/>
    </xf>
    <xf numFmtId="181" fontId="8" fillId="8" borderId="67" xfId="0" applyNumberFormat="1" applyFont="1" applyFill="1" applyBorder="1" applyAlignment="1">
      <alignment horizontal="center"/>
    </xf>
    <xf numFmtId="0" fontId="0" fillId="18" borderId="82" xfId="0" applyFill="1" applyBorder="1" applyAlignment="1"/>
    <xf numFmtId="0" fontId="0" fillId="18" borderId="10" xfId="0" applyFill="1" applyBorder="1" applyAlignment="1"/>
    <xf numFmtId="0" fontId="0" fillId="18" borderId="11" xfId="0" applyFill="1" applyBorder="1" applyAlignment="1"/>
    <xf numFmtId="178" fontId="0" fillId="0" borderId="42" xfId="0" applyNumberFormat="1" applyFont="1" applyFill="1" applyBorder="1" applyAlignment="1">
      <alignment horizontal="center" vertical="center"/>
    </xf>
    <xf numFmtId="178" fontId="0" fillId="0" borderId="38" xfId="0" applyNumberFormat="1" applyFont="1" applyFill="1" applyBorder="1" applyAlignment="1">
      <alignment horizontal="center" vertical="center"/>
    </xf>
    <xf numFmtId="178" fontId="0" fillId="0" borderId="79" xfId="0" applyNumberFormat="1" applyFont="1" applyFill="1" applyBorder="1" applyAlignment="1">
      <alignment horizontal="center" vertical="center"/>
    </xf>
    <xf numFmtId="178" fontId="0" fillId="0" borderId="69" xfId="0" applyNumberFormat="1" applyFont="1" applyFill="1" applyBorder="1" applyAlignment="1">
      <alignment horizontal="center" vertical="center"/>
    </xf>
    <xf numFmtId="0" fontId="0" fillId="18" borderId="33" xfId="0" applyFill="1" applyBorder="1" applyAlignment="1"/>
    <xf numFmtId="0" fontId="0" fillId="18" borderId="0" xfId="0" applyFont="1" applyFill="1" applyBorder="1" applyAlignment="1">
      <alignment horizontal="center"/>
    </xf>
    <xf numFmtId="0" fontId="0" fillId="18" borderId="12" xfId="0" applyFont="1" applyFill="1" applyBorder="1" applyAlignment="1">
      <alignment horizontal="center"/>
    </xf>
    <xf numFmtId="0" fontId="21" fillId="0" borderId="0" xfId="0" applyFont="1"/>
    <xf numFmtId="178" fontId="0" fillId="8" borderId="42" xfId="0" applyNumberFormat="1" applyFont="1" applyFill="1" applyBorder="1" applyAlignment="1">
      <alignment horizontal="center" vertical="center"/>
    </xf>
    <xf numFmtId="178" fontId="0" fillId="8" borderId="38" xfId="0" applyNumberFormat="1" applyFont="1" applyFill="1" applyBorder="1" applyAlignment="1">
      <alignment horizontal="center" vertical="center"/>
    </xf>
    <xf numFmtId="178" fontId="0" fillId="8" borderId="79" xfId="0" applyNumberFormat="1" applyFont="1" applyFill="1" applyBorder="1" applyAlignment="1">
      <alignment horizontal="center" vertical="center"/>
    </xf>
    <xf numFmtId="178" fontId="0" fillId="8" borderId="69" xfId="0" applyNumberFormat="1" applyFont="1" applyFill="1" applyBorder="1" applyAlignment="1">
      <alignment horizontal="center" vertical="center"/>
    </xf>
    <xf numFmtId="0" fontId="0" fillId="18" borderId="84" xfId="0" applyFont="1" applyFill="1" applyBorder="1" applyAlignment="1">
      <alignment horizontal="right"/>
    </xf>
    <xf numFmtId="178" fontId="55" fillId="0" borderId="40" xfId="0" applyNumberFormat="1" applyFont="1" applyBorder="1"/>
    <xf numFmtId="178" fontId="0" fillId="0" borderId="86" xfId="0" applyNumberFormat="1" applyFont="1" applyFill="1" applyBorder="1" applyAlignment="1">
      <alignment horizontal="center" vertical="center"/>
    </xf>
    <xf numFmtId="178" fontId="0" fillId="0" borderId="59" xfId="0" applyNumberFormat="1" applyFont="1" applyFill="1" applyBorder="1" applyAlignment="1">
      <alignment horizontal="center" vertical="center"/>
    </xf>
    <xf numFmtId="178" fontId="0" fillId="0" borderId="60" xfId="0" applyNumberFormat="1" applyFont="1" applyFill="1" applyBorder="1" applyAlignment="1">
      <alignment horizontal="center" vertical="center"/>
    </xf>
    <xf numFmtId="178" fontId="0" fillId="0" borderId="61" xfId="0" applyNumberFormat="1" applyFont="1" applyFill="1" applyBorder="1" applyAlignment="1">
      <alignment horizontal="center" vertical="center"/>
    </xf>
    <xf numFmtId="0" fontId="0" fillId="18" borderId="87" xfId="0" applyFont="1" applyFill="1" applyBorder="1" applyAlignment="1">
      <alignment horizontal="right"/>
    </xf>
    <xf numFmtId="178" fontId="17" fillId="8" borderId="32" xfId="0" applyNumberFormat="1" applyFont="1" applyFill="1" applyBorder="1" applyAlignment="1">
      <alignment horizontal="center" vertical="center"/>
    </xf>
    <xf numFmtId="178" fontId="17" fillId="8" borderId="13" xfId="0" applyNumberFormat="1" applyFont="1" applyFill="1" applyBorder="1" applyAlignment="1">
      <alignment horizontal="center" vertical="center"/>
    </xf>
    <xf numFmtId="178" fontId="17" fillId="8" borderId="45" xfId="0" applyNumberFormat="1" applyFont="1" applyFill="1" applyBorder="1" applyAlignment="1">
      <alignment horizontal="center" vertical="center"/>
    </xf>
    <xf numFmtId="178" fontId="17" fillId="8" borderId="46" xfId="0" applyNumberFormat="1" applyFont="1" applyFill="1" applyBorder="1" applyAlignment="1">
      <alignment horizontal="center" vertical="center"/>
    </xf>
    <xf numFmtId="0" fontId="0" fillId="18" borderId="47" xfId="0" applyFill="1" applyBorder="1" applyAlignment="1"/>
    <xf numFmtId="0" fontId="0" fillId="18" borderId="30" xfId="0" applyFill="1" applyBorder="1" applyAlignment="1"/>
    <xf numFmtId="0" fontId="0" fillId="18" borderId="29" xfId="0" applyFill="1" applyBorder="1" applyAlignment="1"/>
    <xf numFmtId="178" fontId="0" fillId="0" borderId="0" xfId="0" applyNumberFormat="1"/>
    <xf numFmtId="0" fontId="17" fillId="0" borderId="0" xfId="33" applyFont="1" applyBorder="1" applyAlignment="1" applyProtection="1">
      <alignment vertical="center"/>
    </xf>
    <xf numFmtId="0" fontId="0" fillId="0" borderId="0" xfId="33" applyFont="1" applyBorder="1" applyAlignment="1" applyProtection="1">
      <alignment horizontal="left" vertical="center"/>
    </xf>
    <xf numFmtId="0" fontId="0" fillId="0" borderId="0" xfId="33" applyFont="1"/>
    <xf numFmtId="0" fontId="0" fillId="0" borderId="0" xfId="33" applyFont="1" applyFill="1" applyBorder="1" applyAlignment="1" applyProtection="1"/>
    <xf numFmtId="0" fontId="0" fillId="0" borderId="10" xfId="0" applyFont="1" applyBorder="1" applyAlignment="1" applyProtection="1">
      <alignment horizontal="right"/>
    </xf>
    <xf numFmtId="171" fontId="21" fillId="0" borderId="0" xfId="49" applyFont="1" applyFill="1" applyBorder="1" applyAlignment="1" applyProtection="1"/>
    <xf numFmtId="168" fontId="0" fillId="0" borderId="0" xfId="33" applyNumberFormat="1" applyFont="1" applyFill="1" applyBorder="1" applyAlignment="1" applyProtection="1">
      <alignment horizontal="left"/>
    </xf>
    <xf numFmtId="0" fontId="0" fillId="0" borderId="0" xfId="33" applyFont="1" applyAlignment="1" applyProtection="1"/>
    <xf numFmtId="171" fontId="56" fillId="0" borderId="0" xfId="49" applyFill="1" applyBorder="1" applyAlignment="1" applyProtection="1"/>
    <xf numFmtId="0" fontId="0" fillId="0" borderId="0" xfId="33" applyFont="1" applyFill="1" applyBorder="1" applyAlignment="1" applyProtection="1">
      <alignment horizontal="left"/>
    </xf>
    <xf numFmtId="0" fontId="0" fillId="6" borderId="0" xfId="33" applyFont="1" applyFill="1" applyBorder="1" applyAlignment="1" applyProtection="1">
      <alignment vertical="top"/>
      <protection locked="0"/>
    </xf>
    <xf numFmtId="0" fontId="24" fillId="0" borderId="0" xfId="33" applyFont="1" applyFill="1" applyBorder="1" applyAlignment="1" applyProtection="1">
      <alignment vertical="top"/>
    </xf>
    <xf numFmtId="0" fontId="0" fillId="0" borderId="0" xfId="33" applyFont="1" applyFill="1" applyBorder="1" applyAlignment="1" applyProtection="1">
      <alignment horizontal="left" vertical="top"/>
    </xf>
    <xf numFmtId="180" fontId="24" fillId="0" borderId="40" xfId="49" applyNumberFormat="1" applyFont="1" applyFill="1" applyBorder="1" applyAlignment="1" applyProtection="1">
      <alignment vertical="top" shrinkToFit="1"/>
    </xf>
    <xf numFmtId="180" fontId="24" fillId="0" borderId="71" xfId="49" applyNumberFormat="1" applyFont="1" applyFill="1" applyBorder="1" applyAlignment="1" applyProtection="1">
      <alignment horizontal="right" vertical="top" shrinkToFit="1"/>
    </xf>
    <xf numFmtId="10" fontId="24" fillId="0" borderId="71" xfId="38" applyNumberFormat="1" applyFont="1" applyFill="1" applyBorder="1" applyAlignment="1" applyProtection="1">
      <alignment horizontal="right" vertical="top" shrinkToFit="1"/>
    </xf>
    <xf numFmtId="0" fontId="0" fillId="6" borderId="0" xfId="33" applyFont="1" applyFill="1" applyBorder="1" applyAlignment="1" applyProtection="1">
      <alignment vertical="top" wrapText="1"/>
      <protection locked="0"/>
    </xf>
    <xf numFmtId="0" fontId="0" fillId="0" borderId="30" xfId="33" applyFont="1" applyBorder="1" applyAlignment="1" applyProtection="1"/>
    <xf numFmtId="0" fontId="0" fillId="0" borderId="0" xfId="33" applyFont="1" applyBorder="1" applyAlignment="1" applyProtection="1"/>
    <xf numFmtId="0" fontId="59" fillId="0" borderId="0" xfId="0" applyFont="1" applyAlignment="1">
      <alignment horizontal="center"/>
    </xf>
    <xf numFmtId="0" fontId="0" fillId="0" borderId="0" xfId="0" applyFill="1" applyBorder="1"/>
    <xf numFmtId="0" fontId="0" fillId="20" borderId="0" xfId="0" applyFill="1"/>
    <xf numFmtId="0" fontId="0" fillId="20" borderId="0" xfId="0" applyFill="1" applyAlignment="1">
      <alignment horizontal="center" vertical="center"/>
    </xf>
    <xf numFmtId="0" fontId="18" fillId="20" borderId="0" xfId="0" applyFont="1" applyFill="1" applyAlignment="1">
      <alignment vertical="center"/>
    </xf>
    <xf numFmtId="0" fontId="19" fillId="20" borderId="0" xfId="0" applyFont="1" applyFill="1" applyAlignment="1">
      <alignment horizontal="center" vertical="top"/>
    </xf>
    <xf numFmtId="0" fontId="19" fillId="20" borderId="0" xfId="0" applyFont="1" applyFill="1" applyAlignment="1">
      <alignment vertical="top"/>
    </xf>
    <xf numFmtId="0" fontId="0" fillId="20" borderId="0" xfId="0" applyFill="1" applyBorder="1"/>
    <xf numFmtId="0" fontId="0" fillId="20" borderId="0" xfId="0" applyFill="1" applyBorder="1" applyAlignment="1">
      <alignment horizontal="center" vertical="center"/>
    </xf>
    <xf numFmtId="0" fontId="58" fillId="21" borderId="88" xfId="30" applyFont="1" applyFill="1" applyBorder="1" applyAlignment="1">
      <alignment horizontal="center" vertical="center"/>
    </xf>
    <xf numFmtId="0" fontId="17" fillId="22" borderId="88" xfId="30" applyFont="1" applyFill="1" applyBorder="1" applyAlignment="1">
      <alignment horizontal="center" vertical="center"/>
    </xf>
    <xf numFmtId="0" fontId="23" fillId="22" borderId="88" xfId="30" applyFont="1" applyFill="1" applyBorder="1" applyAlignment="1">
      <alignment horizontal="center" vertical="center"/>
    </xf>
    <xf numFmtId="0" fontId="57" fillId="22" borderId="88" xfId="30" applyFont="1" applyFill="1" applyBorder="1" applyAlignment="1">
      <alignment horizontal="center" vertical="center"/>
    </xf>
    <xf numFmtId="0" fontId="59" fillId="0" borderId="0" xfId="0" applyFont="1" applyFill="1" applyBorder="1" applyAlignment="1" applyProtection="1">
      <alignment horizontal="center" vertical="center"/>
      <protection locked="0"/>
    </xf>
    <xf numFmtId="0" fontId="17" fillId="23" borderId="88" xfId="30" applyFont="1" applyFill="1" applyBorder="1" applyAlignment="1">
      <alignment horizontal="center" vertical="center"/>
    </xf>
    <xf numFmtId="0" fontId="57" fillId="23" borderId="88" xfId="30" applyFont="1" applyFill="1" applyBorder="1" applyAlignment="1">
      <alignment horizontal="center" vertical="center"/>
    </xf>
    <xf numFmtId="0" fontId="24" fillId="24" borderId="88" xfId="30" applyFont="1" applyFill="1" applyBorder="1" applyAlignment="1">
      <alignment horizontal="center" vertical="center"/>
    </xf>
    <xf numFmtId="0" fontId="23" fillId="24" borderId="88" xfId="30" applyFont="1" applyFill="1" applyBorder="1" applyAlignment="1">
      <alignment horizontal="center" vertical="center"/>
    </xf>
    <xf numFmtId="0" fontId="57" fillId="24" borderId="88" xfId="30" applyFont="1" applyFill="1" applyBorder="1" applyAlignment="1">
      <alignment horizontal="center" vertical="center"/>
    </xf>
    <xf numFmtId="0" fontId="0" fillId="25" borderId="0" xfId="0" applyFont="1" applyFill="1" applyBorder="1"/>
    <xf numFmtId="0" fontId="0" fillId="3" borderId="0" xfId="0" applyFont="1" applyFill="1" applyBorder="1" applyAlignment="1" applyProtection="1">
      <alignment vertical="center"/>
    </xf>
    <xf numFmtId="0" fontId="0" fillId="0" borderId="89" xfId="0" applyBorder="1"/>
    <xf numFmtId="0" fontId="0" fillId="0" borderId="90" xfId="0" applyBorder="1"/>
    <xf numFmtId="0" fontId="0" fillId="0" borderId="91" xfId="0" applyBorder="1"/>
    <xf numFmtId="0" fontId="0" fillId="0" borderId="92" xfId="0" applyBorder="1"/>
    <xf numFmtId="0" fontId="24" fillId="0" borderId="0" xfId="0" applyFont="1" applyBorder="1" applyAlignment="1">
      <alignment vertical="center"/>
    </xf>
    <xf numFmtId="0" fontId="0" fillId="0" borderId="93" xfId="0" applyBorder="1"/>
    <xf numFmtId="0" fontId="0" fillId="0" borderId="93" xfId="0" applyFont="1" applyFill="1" applyBorder="1" applyAlignment="1">
      <alignment vertical="center"/>
    </xf>
    <xf numFmtId="0" fontId="0" fillId="0" borderId="93" xfId="0" applyFont="1" applyFill="1" applyBorder="1"/>
    <xf numFmtId="0" fontId="0" fillId="0" borderId="94" xfId="0" applyBorder="1"/>
    <xf numFmtId="0" fontId="0" fillId="0" borderId="95" xfId="0" applyBorder="1"/>
    <xf numFmtId="0" fontId="0" fillId="0" borderId="96" xfId="0" applyBorder="1"/>
    <xf numFmtId="0" fontId="59" fillId="0" borderId="0" xfId="0" applyFont="1"/>
    <xf numFmtId="0" fontId="0" fillId="0" borderId="45" xfId="0" applyFont="1" applyFill="1" applyBorder="1"/>
    <xf numFmtId="0" fontId="47" fillId="0" borderId="0" xfId="0" applyFont="1" applyFill="1" applyAlignment="1">
      <alignment horizontal="center"/>
    </xf>
    <xf numFmtId="0" fontId="47" fillId="26" borderId="13" xfId="0" applyFont="1" applyFill="1" applyBorder="1"/>
    <xf numFmtId="0" fontId="0" fillId="26" borderId="13" xfId="0" applyFill="1" applyBorder="1"/>
    <xf numFmtId="0" fontId="0" fillId="26" borderId="45" xfId="0" applyFont="1" applyFill="1" applyBorder="1"/>
    <xf numFmtId="0" fontId="0" fillId="26" borderId="46" xfId="0" applyFont="1" applyFill="1" applyBorder="1"/>
    <xf numFmtId="0" fontId="0" fillId="26" borderId="32" xfId="0" applyFont="1" applyFill="1" applyBorder="1" applyProtection="1"/>
    <xf numFmtId="0" fontId="0" fillId="26" borderId="13" xfId="0" applyFont="1" applyFill="1" applyBorder="1"/>
    <xf numFmtId="0" fontId="0" fillId="26" borderId="32" xfId="0" applyFont="1" applyFill="1" applyBorder="1" applyAlignment="1">
      <alignment horizontal="left"/>
    </xf>
    <xf numFmtId="0" fontId="0" fillId="26" borderId="32" xfId="0" applyFont="1" applyFill="1" applyBorder="1" applyAlignment="1" applyProtection="1">
      <alignment horizontal="center"/>
    </xf>
    <xf numFmtId="0" fontId="24" fillId="6" borderId="14" xfId="0" applyNumberFormat="1" applyFont="1" applyFill="1" applyBorder="1" applyAlignment="1" applyProtection="1">
      <alignment horizontal="center" vertical="center" wrapText="1"/>
      <protection locked="0"/>
    </xf>
    <xf numFmtId="0" fontId="24" fillId="6" borderId="29" xfId="0" applyNumberFormat="1" applyFont="1" applyFill="1" applyBorder="1" applyAlignment="1" applyProtection="1">
      <alignment horizontal="center" vertical="center" wrapText="1"/>
      <protection locked="0"/>
    </xf>
    <xf numFmtId="0" fontId="0" fillId="27" borderId="13" xfId="0" applyFont="1" applyFill="1" applyBorder="1"/>
    <xf numFmtId="0" fontId="0" fillId="27" borderId="46" xfId="0" applyFont="1" applyFill="1" applyBorder="1" applyProtection="1"/>
    <xf numFmtId="0" fontId="0" fillId="27" borderId="45" xfId="0" applyFont="1" applyFill="1" applyBorder="1"/>
    <xf numFmtId="0" fontId="0" fillId="27" borderId="46" xfId="0" applyFont="1" applyFill="1" applyBorder="1"/>
    <xf numFmtId="0" fontId="0" fillId="28" borderId="32" xfId="0" applyFont="1" applyFill="1" applyBorder="1"/>
    <xf numFmtId="171" fontId="21" fillId="17" borderId="32" xfId="49" applyNumberFormat="1" applyFont="1" applyFill="1" applyBorder="1" applyAlignment="1" applyProtection="1">
      <alignment horizontal="center" vertical="center" shrinkToFit="1"/>
    </xf>
    <xf numFmtId="0" fontId="42" fillId="0" borderId="52" xfId="0" applyFont="1" applyBorder="1" applyAlignment="1" applyProtection="1">
      <alignment horizontal="center" vertical="center" wrapText="1"/>
    </xf>
    <xf numFmtId="171" fontId="0" fillId="0" borderId="39" xfId="49" applyNumberFormat="1" applyFont="1" applyFill="1" applyBorder="1" applyAlignment="1" applyProtection="1">
      <alignment vertical="center" shrinkToFit="1"/>
    </xf>
    <xf numFmtId="10" fontId="0" fillId="0" borderId="41" xfId="49" applyNumberFormat="1" applyFont="1" applyFill="1" applyBorder="1" applyAlignment="1" applyProtection="1">
      <alignment vertical="center" shrinkToFit="1"/>
    </xf>
    <xf numFmtId="10" fontId="24" fillId="17" borderId="14" xfId="49" applyNumberFormat="1" applyFont="1" applyFill="1" applyBorder="1" applyAlignment="1" applyProtection="1">
      <alignment horizontal="center" vertical="center"/>
    </xf>
    <xf numFmtId="171" fontId="0" fillId="6" borderId="42" xfId="49" applyFont="1" applyFill="1" applyBorder="1" applyAlignment="1" applyProtection="1">
      <alignment vertical="center" wrapText="1"/>
      <protection locked="0"/>
    </xf>
    <xf numFmtId="0" fontId="46" fillId="28" borderId="45" xfId="34" applyFont="1" applyFill="1" applyBorder="1"/>
    <xf numFmtId="0" fontId="46" fillId="26" borderId="0" xfId="34" applyFont="1" applyFill="1"/>
    <xf numFmtId="0" fontId="46" fillId="27" borderId="32" xfId="34" applyFont="1" applyFill="1" applyBorder="1" applyAlignment="1">
      <alignment horizontal="center"/>
    </xf>
    <xf numFmtId="0" fontId="46" fillId="27" borderId="13" xfId="34" applyFont="1" applyFill="1" applyBorder="1"/>
    <xf numFmtId="0" fontId="46" fillId="27" borderId="45" xfId="34" applyFont="1" applyFill="1" applyBorder="1"/>
    <xf numFmtId="0" fontId="46" fillId="29" borderId="45" xfId="34" applyFont="1" applyFill="1" applyBorder="1" applyAlignment="1">
      <alignment horizontal="center"/>
    </xf>
    <xf numFmtId="165" fontId="0" fillId="27" borderId="45" xfId="50" applyFont="1" applyFill="1" applyBorder="1" applyAlignment="1" applyProtection="1">
      <alignment horizontal="center"/>
    </xf>
    <xf numFmtId="0" fontId="46" fillId="27" borderId="46" xfId="34" applyFont="1" applyFill="1" applyBorder="1"/>
    <xf numFmtId="0" fontId="46" fillId="26" borderId="13" xfId="34" applyFont="1" applyFill="1" applyBorder="1" applyAlignment="1">
      <alignment horizontal="center"/>
    </xf>
    <xf numFmtId="0" fontId="46" fillId="26" borderId="46" xfId="34" applyFont="1" applyFill="1" applyBorder="1" applyAlignment="1">
      <alignment horizontal="center"/>
    </xf>
    <xf numFmtId="0" fontId="46" fillId="26" borderId="45" xfId="34" applyFont="1" applyFill="1" applyBorder="1" applyAlignment="1">
      <alignment horizontal="center"/>
    </xf>
    <xf numFmtId="0" fontId="0" fillId="26" borderId="45" xfId="0" applyFill="1" applyBorder="1"/>
    <xf numFmtId="0" fontId="0" fillId="26" borderId="46" xfId="0" applyFill="1" applyBorder="1"/>
    <xf numFmtId="0" fontId="0" fillId="26" borderId="37" xfId="0" applyFont="1" applyFill="1" applyBorder="1"/>
    <xf numFmtId="0" fontId="0" fillId="26" borderId="48" xfId="0" applyFont="1" applyFill="1" applyBorder="1"/>
    <xf numFmtId="0" fontId="0" fillId="26" borderId="49" xfId="0" applyFont="1" applyFill="1" applyBorder="1"/>
    <xf numFmtId="171" fontId="0" fillId="6" borderId="40" xfId="49" applyFont="1" applyFill="1" applyBorder="1" applyAlignment="1" applyProtection="1">
      <protection locked="0"/>
    </xf>
    <xf numFmtId="0" fontId="0" fillId="8" borderId="19" xfId="0" applyFill="1" applyBorder="1" applyAlignment="1">
      <alignment horizontal="center"/>
    </xf>
    <xf numFmtId="4" fontId="0" fillId="8" borderId="40" xfId="0" applyNumberFormat="1" applyFill="1" applyBorder="1"/>
    <xf numFmtId="4" fontId="0" fillId="8" borderId="25" xfId="0" applyNumberFormat="1" applyFill="1" applyBorder="1"/>
    <xf numFmtId="0" fontId="0" fillId="8" borderId="26" xfId="0" applyFill="1" applyBorder="1" applyAlignment="1">
      <alignment horizontal="center"/>
    </xf>
    <xf numFmtId="4" fontId="0" fillId="8" borderId="97" xfId="0" applyNumberFormat="1" applyFill="1" applyBorder="1"/>
    <xf numFmtId="4" fontId="0" fillId="8" borderId="27" xfId="0" applyNumberFormat="1" applyFill="1" applyBorder="1"/>
    <xf numFmtId="0" fontId="0" fillId="8" borderId="17" xfId="0" applyFill="1" applyBorder="1" applyAlignment="1">
      <alignment horizontal="center"/>
    </xf>
    <xf numFmtId="4" fontId="0" fillId="8" borderId="98" xfId="0" applyNumberFormat="1" applyFill="1" applyBorder="1"/>
    <xf numFmtId="4" fontId="0" fillId="8" borderId="99" xfId="0" applyNumberFormat="1" applyFill="1" applyBorder="1"/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left"/>
    </xf>
    <xf numFmtId="1" fontId="0" fillId="6" borderId="0" xfId="0" applyNumberFormat="1" applyFill="1" applyBorder="1" applyAlignment="1" applyProtection="1">
      <alignment horizontal="center"/>
      <protection locked="0"/>
    </xf>
    <xf numFmtId="171" fontId="0" fillId="6" borderId="39" xfId="49" applyFont="1" applyFill="1" applyBorder="1" applyAlignment="1" applyProtection="1">
      <alignment vertical="center" wrapText="1"/>
      <protection locked="0"/>
    </xf>
    <xf numFmtId="10" fontId="24" fillId="17" borderId="74" xfId="49" applyNumberFormat="1" applyFont="1" applyFill="1" applyBorder="1" applyAlignment="1" applyProtection="1">
      <alignment horizontal="center" vertical="center"/>
    </xf>
    <xf numFmtId="171" fontId="24" fillId="17" borderId="74" xfId="49" applyNumberFormat="1" applyFont="1" applyFill="1" applyBorder="1" applyAlignment="1" applyProtection="1">
      <alignment horizontal="center" vertical="center"/>
    </xf>
    <xf numFmtId="10" fontId="24" fillId="17" borderId="75" xfId="49" applyNumberFormat="1" applyFont="1" applyFill="1" applyBorder="1" applyAlignment="1" applyProtection="1">
      <alignment horizontal="center" vertical="center"/>
    </xf>
    <xf numFmtId="0" fontId="0" fillId="0" borderId="47" xfId="0" applyNumberFormat="1" applyBorder="1" applyProtection="1">
      <protection locked="0"/>
    </xf>
    <xf numFmtId="184" fontId="0" fillId="0" borderId="0" xfId="0" applyNumberFormat="1"/>
    <xf numFmtId="10" fontId="47" fillId="0" borderId="100" xfId="39" applyNumberFormat="1" applyFont="1" applyFill="1" applyBorder="1" applyAlignment="1" applyProtection="1">
      <alignment horizontal="center"/>
      <protection locked="0"/>
    </xf>
    <xf numFmtId="0" fontId="30" fillId="0" borderId="0" xfId="0" applyFont="1" applyFill="1" applyBorder="1" applyAlignment="1" applyProtection="1">
      <alignment horizontal="left" wrapText="1"/>
    </xf>
    <xf numFmtId="0" fontId="0" fillId="0" borderId="0" xfId="0" applyProtection="1"/>
    <xf numFmtId="4" fontId="0" fillId="6" borderId="53" xfId="0" applyNumberFormat="1" applyFill="1" applyBorder="1" applyAlignment="1" applyProtection="1">
      <protection locked="0"/>
    </xf>
    <xf numFmtId="4" fontId="0" fillId="6" borderId="68" xfId="0" applyNumberFormat="1" applyFill="1" applyBorder="1" applyAlignment="1" applyProtection="1">
      <protection locked="0"/>
    </xf>
    <xf numFmtId="4" fontId="0" fillId="6" borderId="74" xfId="0" applyNumberFormat="1" applyFill="1" applyBorder="1" applyAlignment="1" applyProtection="1">
      <protection locked="0"/>
    </xf>
    <xf numFmtId="4" fontId="0" fillId="6" borderId="75" xfId="0" applyNumberFormat="1" applyFill="1" applyBorder="1" applyAlignment="1" applyProtection="1">
      <protection locked="0"/>
    </xf>
    <xf numFmtId="0" fontId="0" fillId="0" borderId="101" xfId="0" applyBorder="1" applyAlignment="1">
      <alignment horizontal="center"/>
    </xf>
    <xf numFmtId="0" fontId="0" fillId="0" borderId="102" xfId="0" applyBorder="1" applyAlignment="1">
      <alignment horizontal="center"/>
    </xf>
    <xf numFmtId="0" fontId="0" fillId="0" borderId="103" xfId="0" applyBorder="1" applyAlignment="1">
      <alignment horizontal="center"/>
    </xf>
    <xf numFmtId="0" fontId="24" fillId="0" borderId="64" xfId="0" applyFont="1" applyBorder="1" applyAlignment="1"/>
    <xf numFmtId="0" fontId="0" fillId="0" borderId="93" xfId="0" applyFont="1" applyBorder="1"/>
    <xf numFmtId="0" fontId="0" fillId="6" borderId="37" xfId="0" applyFill="1" applyBorder="1" applyAlignment="1" applyProtection="1">
      <alignment horizontal="center" textRotation="90" wrapText="1"/>
      <protection locked="0"/>
    </xf>
    <xf numFmtId="171" fontId="0" fillId="0" borderId="37" xfId="49" applyFont="1" applyFill="1" applyBorder="1" applyAlignment="1" applyProtection="1">
      <alignment vertical="center" shrinkToFit="1"/>
    </xf>
    <xf numFmtId="171" fontId="0" fillId="0" borderId="48" xfId="49" applyFont="1" applyFill="1" applyBorder="1" applyAlignment="1" applyProtection="1">
      <alignment vertical="center" shrinkToFit="1"/>
    </xf>
    <xf numFmtId="171" fontId="0" fillId="0" borderId="49" xfId="49" applyFont="1" applyFill="1" applyBorder="1" applyAlignment="1" applyProtection="1">
      <alignment vertical="center" shrinkToFit="1"/>
    </xf>
    <xf numFmtId="185" fontId="0" fillId="0" borderId="40" xfId="49" applyNumberFormat="1" applyFont="1" applyFill="1" applyBorder="1" applyAlignment="1" applyProtection="1">
      <alignment vertical="center" shrinkToFit="1"/>
    </xf>
    <xf numFmtId="49" fontId="24" fillId="17" borderId="30" xfId="0" applyNumberFormat="1" applyFont="1" applyFill="1" applyBorder="1" applyAlignment="1" applyProtection="1">
      <alignment horizontal="center" vertical="center"/>
    </xf>
    <xf numFmtId="171" fontId="24" fillId="17" borderId="30" xfId="49" applyNumberFormat="1" applyFont="1" applyFill="1" applyBorder="1" applyAlignment="1" applyProtection="1">
      <alignment horizontal="center" vertical="center"/>
    </xf>
    <xf numFmtId="171" fontId="24" fillId="17" borderId="29" xfId="49" applyNumberFormat="1" applyFont="1" applyFill="1" applyBorder="1" applyAlignment="1" applyProtection="1">
      <alignment horizontal="center" vertical="center" shrinkToFit="1"/>
    </xf>
    <xf numFmtId="1" fontId="61" fillId="0" borderId="0" xfId="0" applyNumberFormat="1" applyFont="1" applyAlignment="1">
      <alignment horizontal="center" vertical="center"/>
    </xf>
    <xf numFmtId="186" fontId="0" fillId="0" borderId="30" xfId="0" applyNumberFormat="1" applyFont="1" applyBorder="1" applyAlignment="1" applyProtection="1">
      <alignment horizontal="left"/>
    </xf>
    <xf numFmtId="0" fontId="17" fillId="0" borderId="95" xfId="33" applyFont="1" applyBorder="1" applyAlignment="1" applyProtection="1">
      <alignment vertical="center"/>
    </xf>
    <xf numFmtId="0" fontId="0" fillId="0" borderId="95" xfId="0" applyBorder="1" applyAlignment="1">
      <alignment horizontal="center"/>
    </xf>
    <xf numFmtId="0" fontId="24" fillId="0" borderId="0" xfId="33" applyNumberFormat="1" applyFont="1" applyFill="1" applyBorder="1" applyAlignment="1" applyProtection="1">
      <alignment vertical="top"/>
    </xf>
    <xf numFmtId="0" fontId="46" fillId="0" borderId="95" xfId="34" applyFont="1" applyBorder="1" applyAlignment="1">
      <alignment horizontal="center"/>
    </xf>
    <xf numFmtId="0" fontId="0" fillId="0" borderId="41" xfId="0" applyBorder="1" applyAlignment="1">
      <alignment horizontal="center" vertical="center" wrapText="1"/>
    </xf>
    <xf numFmtId="165" fontId="0" fillId="6" borderId="40" xfId="0" applyNumberFormat="1" applyFill="1" applyBorder="1" applyAlignment="1" applyProtection="1">
      <alignment horizontal="center" vertical="center"/>
      <protection locked="0"/>
    </xf>
    <xf numFmtId="0" fontId="0" fillId="0" borderId="40" xfId="0" applyBorder="1" applyAlignment="1">
      <alignment horizontal="left" vertical="center" wrapText="1"/>
    </xf>
    <xf numFmtId="0" fontId="0" fillId="6" borderId="86" xfId="0" applyFill="1" applyBorder="1" applyAlignment="1" applyProtection="1">
      <alignment horizontal="left" vertical="center" wrapText="1"/>
      <protection locked="0"/>
    </xf>
    <xf numFmtId="49" fontId="0" fillId="6" borderId="70" xfId="0" applyNumberFormat="1" applyFill="1" applyBorder="1" applyAlignment="1" applyProtection="1">
      <alignment horizontal="center" vertical="center" wrapText="1"/>
      <protection locked="0"/>
    </xf>
    <xf numFmtId="49" fontId="0" fillId="16" borderId="104" xfId="0" applyNumberFormat="1" applyFont="1" applyFill="1" applyBorder="1" applyAlignment="1" applyProtection="1">
      <alignment horizontal="center" vertical="center"/>
      <protection locked="0"/>
    </xf>
    <xf numFmtId="49" fontId="0" fillId="6" borderId="41" xfId="49" applyNumberFormat="1" applyFont="1" applyFill="1" applyBorder="1" applyAlignment="1" applyProtection="1">
      <alignment horizontal="left" vertical="center" wrapText="1" shrinkToFit="1"/>
      <protection locked="0"/>
    </xf>
    <xf numFmtId="49" fontId="24" fillId="17" borderId="32" xfId="0" applyNumberFormat="1" applyFont="1" applyFill="1" applyBorder="1" applyAlignment="1" applyProtection="1">
      <alignment horizontal="left" vertical="center"/>
    </xf>
    <xf numFmtId="0" fontId="28" fillId="0" borderId="105" xfId="0" applyFont="1" applyBorder="1"/>
    <xf numFmtId="0" fontId="27" fillId="0" borderId="90" xfId="0" applyFont="1" applyBorder="1" applyAlignment="1">
      <alignment horizontal="left" indent="1"/>
    </xf>
    <xf numFmtId="0" fontId="0" fillId="0" borderId="90" xfId="0" applyBorder="1" applyAlignment="1">
      <alignment vertical="center"/>
    </xf>
    <xf numFmtId="171" fontId="0" fillId="0" borderId="41" xfId="49" applyNumberFormat="1" applyFont="1" applyFill="1" applyBorder="1" applyAlignment="1" applyProtection="1">
      <alignment vertical="center" shrinkToFit="1"/>
    </xf>
    <xf numFmtId="171" fontId="24" fillId="17" borderId="71" xfId="49" applyNumberFormat="1" applyFont="1" applyFill="1" applyBorder="1" applyAlignment="1" applyProtection="1">
      <alignment horizontal="center" vertical="center" shrinkToFit="1"/>
    </xf>
    <xf numFmtId="171" fontId="24" fillId="17" borderId="75" xfId="49" applyNumberFormat="1" applyFont="1" applyFill="1" applyBorder="1" applyAlignment="1" applyProtection="1">
      <alignment horizontal="center" vertical="center"/>
    </xf>
    <xf numFmtId="10" fontId="63" fillId="0" borderId="106" xfId="39" applyNumberFormat="1" applyFont="1" applyFill="1" applyBorder="1" applyAlignment="1" applyProtection="1">
      <alignment horizontal="center"/>
      <protection locked="0"/>
    </xf>
    <xf numFmtId="10" fontId="63" fillId="0" borderId="107" xfId="39" applyNumberFormat="1" applyFont="1" applyFill="1" applyBorder="1" applyAlignment="1" applyProtection="1">
      <alignment horizontal="center"/>
      <protection locked="0"/>
    </xf>
    <xf numFmtId="10" fontId="63" fillId="0" borderId="108" xfId="39" applyNumberFormat="1" applyFont="1" applyFill="1" applyBorder="1" applyAlignment="1" applyProtection="1">
      <alignment horizontal="center"/>
      <protection locked="0"/>
    </xf>
    <xf numFmtId="0" fontId="0" fillId="6" borderId="16" xfId="0" applyFont="1" applyFill="1" applyBorder="1" applyAlignment="1" applyProtection="1">
      <alignment vertical="center" wrapText="1"/>
      <protection locked="0"/>
    </xf>
    <xf numFmtId="0" fontId="23" fillId="0" borderId="0" xfId="0" applyFont="1" applyAlignment="1">
      <alignment horizontal="left" vertical="center" wrapText="1"/>
    </xf>
    <xf numFmtId="0" fontId="37" fillId="0" borderId="0" xfId="0" applyFont="1" applyAlignment="1">
      <alignment horizontal="left" vertical="center" wrapText="1"/>
    </xf>
    <xf numFmtId="0" fontId="24" fillId="0" borderId="31" xfId="36" applyFont="1" applyBorder="1" applyAlignment="1" applyProtection="1">
      <alignment vertical="top" wrapText="1"/>
    </xf>
    <xf numFmtId="0" fontId="0" fillId="27" borderId="45" xfId="0" applyFont="1" applyFill="1" applyBorder="1" applyAlignment="1">
      <alignment wrapText="1"/>
    </xf>
    <xf numFmtId="0" fontId="0" fillId="0" borderId="0" xfId="0" applyFont="1" applyBorder="1" applyAlignment="1">
      <alignment wrapText="1"/>
    </xf>
    <xf numFmtId="0" fontId="18" fillId="0" borderId="32" xfId="0" applyFont="1" applyFill="1" applyBorder="1" applyAlignment="1">
      <alignment horizontal="center" vertical="center"/>
    </xf>
    <xf numFmtId="0" fontId="19" fillId="20" borderId="0" xfId="0" applyFont="1" applyFill="1" applyAlignment="1">
      <alignment horizontal="center" vertical="center"/>
    </xf>
    <xf numFmtId="0" fontId="12" fillId="0" borderId="109" xfId="0" applyFont="1" applyBorder="1" applyAlignment="1">
      <alignment horizontal="center" vertical="center"/>
    </xf>
    <xf numFmtId="0" fontId="24" fillId="0" borderId="46" xfId="0" applyFont="1" applyBorder="1" applyAlignment="1">
      <alignment horizontal="center"/>
    </xf>
    <xf numFmtId="0" fontId="12" fillId="0" borderId="109" xfId="0" applyFont="1" applyFill="1" applyBorder="1" applyAlignment="1">
      <alignment horizontal="center" vertical="center"/>
    </xf>
    <xf numFmtId="0" fontId="0" fillId="0" borderId="14" xfId="33" applyFont="1" applyFill="1" applyBorder="1" applyAlignment="1" applyProtection="1">
      <alignment horizontal="left" vertical="top" wrapText="1"/>
    </xf>
    <xf numFmtId="0" fontId="0" fillId="0" borderId="31" xfId="0" applyFont="1" applyBorder="1" applyAlignment="1" applyProtection="1">
      <alignment horizontal="center"/>
    </xf>
    <xf numFmtId="0" fontId="24" fillId="0" borderId="14" xfId="0" applyFont="1" applyBorder="1" applyAlignment="1" applyProtection="1">
      <alignment horizontal="center"/>
    </xf>
    <xf numFmtId="0" fontId="24" fillId="0" borderId="31" xfId="36" applyFont="1" applyBorder="1" applyAlignment="1" applyProtection="1">
      <alignment horizontal="left" vertical="top"/>
    </xf>
    <xf numFmtId="0" fontId="8" fillId="0" borderId="32" xfId="33" applyFont="1" applyFill="1" applyBorder="1" applyAlignment="1" applyProtection="1">
      <alignment horizontal="left"/>
    </xf>
    <xf numFmtId="10" fontId="8" fillId="6" borderId="32" xfId="33" applyNumberFormat="1" applyFont="1" applyFill="1" applyBorder="1" applyAlignment="1" applyProtection="1">
      <alignment horizontal="center"/>
      <protection locked="0"/>
    </xf>
    <xf numFmtId="0" fontId="8" fillId="0" borderId="14" xfId="32" applyNumberFormat="1" applyFont="1" applyFill="1" applyBorder="1" applyAlignment="1" applyProtection="1">
      <alignment horizontal="left" wrapText="1"/>
    </xf>
    <xf numFmtId="0" fontId="8" fillId="0" borderId="32" xfId="33" applyFont="1" applyFill="1" applyBorder="1" applyAlignment="1" applyProtection="1">
      <alignment horizontal="left" wrapText="1"/>
    </xf>
    <xf numFmtId="0" fontId="24" fillId="0" borderId="32" xfId="33" applyFont="1" applyFill="1" applyBorder="1" applyAlignment="1" applyProtection="1">
      <alignment horizontal="center" vertical="center"/>
    </xf>
    <xf numFmtId="164" fontId="8" fillId="16" borderId="14" xfId="32" applyFont="1" applyFill="1" applyBorder="1" applyAlignment="1" applyProtection="1">
      <alignment horizontal="left"/>
      <protection locked="0"/>
    </xf>
    <xf numFmtId="4" fontId="17" fillId="0" borderId="32" xfId="33" applyNumberFormat="1" applyFont="1" applyFill="1" applyBorder="1" applyAlignment="1" applyProtection="1">
      <alignment horizontal="center" vertical="center" wrapText="1"/>
    </xf>
    <xf numFmtId="0" fontId="17" fillId="0" borderId="32" xfId="33" applyFont="1" applyBorder="1" applyAlignment="1" applyProtection="1">
      <alignment horizontal="center" vertical="center"/>
    </xf>
    <xf numFmtId="0" fontId="23" fillId="0" borderId="32" xfId="33" applyFont="1" applyBorder="1" applyAlignment="1" applyProtection="1">
      <alignment horizontal="center"/>
    </xf>
    <xf numFmtId="0" fontId="0" fillId="0" borderId="32" xfId="33" applyFont="1" applyBorder="1" applyAlignment="1" applyProtection="1">
      <alignment horizontal="center" vertical="center" wrapText="1"/>
    </xf>
    <xf numFmtId="4" fontId="17" fillId="0" borderId="32" xfId="33" applyNumberFormat="1" applyFont="1" applyFill="1" applyBorder="1" applyAlignment="1" applyProtection="1">
      <alignment horizontal="center" vertical="center"/>
    </xf>
    <xf numFmtId="0" fontId="33" fillId="0" borderId="0" xfId="0" applyFont="1" applyBorder="1" applyAlignment="1" applyProtection="1">
      <alignment horizontal="center" vertical="top"/>
    </xf>
    <xf numFmtId="0" fontId="8" fillId="0" borderId="32" xfId="33" applyFont="1" applyBorder="1" applyAlignment="1" applyProtection="1">
      <alignment horizontal="left" vertical="center" wrapText="1"/>
    </xf>
    <xf numFmtId="0" fontId="30" fillId="8" borderId="32" xfId="33" applyFont="1" applyFill="1" applyBorder="1" applyAlignment="1" applyProtection="1">
      <alignment horizontal="center" vertical="center" wrapText="1"/>
    </xf>
    <xf numFmtId="0" fontId="32" fillId="0" borderId="0" xfId="33" applyFont="1" applyBorder="1" applyAlignment="1" applyProtection="1">
      <alignment horizontal="left" vertical="center" indent="1"/>
    </xf>
    <xf numFmtId="0" fontId="0" fillId="0" borderId="0" xfId="33" applyFont="1" applyBorder="1" applyAlignment="1" applyProtection="1">
      <alignment horizontal="center" vertical="center"/>
    </xf>
    <xf numFmtId="0" fontId="33" fillId="0" borderId="0" xfId="0" applyFont="1" applyBorder="1" applyAlignment="1" applyProtection="1">
      <alignment horizontal="right" vertical="center"/>
    </xf>
    <xf numFmtId="0" fontId="0" fillId="0" borderId="10" xfId="33" applyFont="1" applyBorder="1" applyAlignment="1" applyProtection="1">
      <alignment horizontal="left" vertical="center"/>
    </xf>
    <xf numFmtId="167" fontId="0" fillId="0" borderId="30" xfId="33" applyNumberFormat="1" applyFont="1" applyFill="1" applyBorder="1" applyAlignment="1" applyProtection="1">
      <alignment horizontal="left"/>
    </xf>
    <xf numFmtId="186" fontId="0" fillId="0" borderId="30" xfId="33" applyNumberFormat="1" applyFont="1" applyFill="1" applyBorder="1" applyAlignment="1" applyProtection="1">
      <alignment horizontal="left"/>
    </xf>
    <xf numFmtId="0" fontId="24" fillId="0" borderId="0" xfId="33" applyFont="1" applyBorder="1" applyAlignment="1" applyProtection="1">
      <alignment horizontal="left" vertical="center"/>
    </xf>
    <xf numFmtId="0" fontId="17" fillId="0" borderId="0" xfId="33" applyFont="1" applyBorder="1" applyAlignment="1" applyProtection="1">
      <alignment horizontal="left" vertical="center"/>
    </xf>
    <xf numFmtId="0" fontId="34" fillId="0" borderId="0" xfId="0" applyFont="1" applyBorder="1" applyAlignment="1" applyProtection="1">
      <alignment horizontal="center"/>
    </xf>
    <xf numFmtId="0" fontId="33" fillId="0" borderId="0" xfId="0" applyFont="1" applyBorder="1" applyAlignment="1" applyProtection="1">
      <alignment horizontal="left" vertical="center"/>
    </xf>
    <xf numFmtId="49" fontId="0" fillId="6" borderId="32" xfId="33" applyNumberFormat="1" applyFont="1" applyFill="1" applyBorder="1" applyAlignment="1" applyProtection="1">
      <alignment horizontal="left" vertical="top" wrapText="1"/>
      <protection locked="0"/>
    </xf>
    <xf numFmtId="0" fontId="39" fillId="0" borderId="0" xfId="0" applyFont="1" applyBorder="1" applyAlignment="1">
      <alignment horizontal="center" textRotation="90"/>
    </xf>
    <xf numFmtId="186" fontId="0" fillId="0" borderId="0" xfId="0" applyNumberFormat="1" applyFont="1" applyBorder="1" applyAlignment="1" applyProtection="1">
      <alignment horizontal="left"/>
    </xf>
    <xf numFmtId="0" fontId="24" fillId="17" borderId="13" xfId="0" applyNumberFormat="1" applyFont="1" applyFill="1" applyBorder="1" applyAlignment="1" applyProtection="1">
      <alignment horizontal="left" vertical="center" wrapText="1"/>
    </xf>
    <xf numFmtId="0" fontId="30" fillId="0" borderId="32" xfId="0" applyFont="1" applyBorder="1" applyAlignment="1" applyProtection="1">
      <alignment horizontal="left" vertical="center"/>
      <protection locked="0"/>
    </xf>
    <xf numFmtId="0" fontId="30" fillId="6" borderId="14" xfId="0" quotePrefix="1" applyFont="1" applyFill="1" applyBorder="1" applyAlignment="1" applyProtection="1">
      <alignment horizontal="left" vertical="top" wrapText="1"/>
      <protection locked="0"/>
    </xf>
    <xf numFmtId="0" fontId="30" fillId="6" borderId="14" xfId="0" applyFont="1" applyFill="1" applyBorder="1" applyAlignment="1" applyProtection="1">
      <alignment horizontal="left" vertical="top" wrapText="1"/>
      <protection locked="0"/>
    </xf>
    <xf numFmtId="0" fontId="17" fillId="0" borderId="32" xfId="0" applyFont="1" applyFill="1" applyBorder="1" applyAlignment="1" applyProtection="1">
      <alignment horizontal="left" wrapText="1"/>
    </xf>
    <xf numFmtId="167" fontId="0" fillId="0" borderId="30" xfId="0" applyNumberFormat="1" applyFont="1" applyBorder="1" applyAlignment="1" applyProtection="1">
      <alignment horizontal="left"/>
    </xf>
    <xf numFmtId="0" fontId="0" fillId="0" borderId="32" xfId="0" applyFont="1" applyFill="1" applyBorder="1" applyAlignment="1" applyProtection="1">
      <alignment horizontal="left" wrapText="1"/>
    </xf>
    <xf numFmtId="0" fontId="0" fillId="14" borderId="0" xfId="0" applyFont="1" applyFill="1" applyBorder="1" applyAlignment="1">
      <alignment horizontal="left"/>
    </xf>
    <xf numFmtId="0" fontId="0" fillId="0" borderId="47" xfId="33" applyFont="1" applyFill="1" applyBorder="1" applyAlignment="1" applyProtection="1">
      <alignment horizontal="left" vertical="top" wrapText="1"/>
    </xf>
    <xf numFmtId="0" fontId="0" fillId="0" borderId="32" xfId="0" applyFont="1" applyBorder="1" applyAlignment="1">
      <alignment horizontal="center"/>
    </xf>
    <xf numFmtId="0" fontId="24" fillId="0" borderId="33" xfId="36" applyFont="1" applyBorder="1" applyAlignment="1" applyProtection="1">
      <alignment horizontal="left" vertical="top"/>
    </xf>
    <xf numFmtId="0" fontId="62" fillId="0" borderId="0" xfId="0" applyFont="1" applyBorder="1" applyAlignment="1">
      <alignment horizontal="center" textRotation="90" wrapText="1"/>
    </xf>
    <xf numFmtId="0" fontId="24" fillId="0" borderId="12" xfId="0" applyFont="1" applyBorder="1" applyAlignment="1">
      <alignment horizontal="center"/>
    </xf>
    <xf numFmtId="0" fontId="39" fillId="0" borderId="0" xfId="0" applyFont="1" applyBorder="1" applyAlignment="1">
      <alignment horizontal="center" textRotation="90" wrapText="1"/>
    </xf>
    <xf numFmtId="0" fontId="23" fillId="0" borderId="0" xfId="0" applyFont="1" applyBorder="1" applyAlignment="1">
      <alignment horizontal="left" vertical="center" indent="10"/>
    </xf>
    <xf numFmtId="0" fontId="37" fillId="0" borderId="0" xfId="0" applyFont="1" applyBorder="1" applyAlignment="1">
      <alignment horizontal="left" vertical="center" indent="10"/>
    </xf>
    <xf numFmtId="0" fontId="24" fillId="17" borderId="32" xfId="0" applyNumberFormat="1" applyFont="1" applyFill="1" applyBorder="1" applyAlignment="1" applyProtection="1">
      <alignment horizontal="left" vertical="center" wrapText="1"/>
    </xf>
    <xf numFmtId="0" fontId="46" fillId="6" borderId="32" xfId="0" applyFont="1" applyFill="1" applyBorder="1" applyAlignment="1" applyProtection="1">
      <alignment horizontal="left" vertical="center"/>
      <protection locked="0"/>
    </xf>
    <xf numFmtId="0" fontId="0" fillId="16" borderId="109" xfId="0" applyFont="1" applyFill="1" applyBorder="1" applyAlignment="1" applyProtection="1">
      <alignment horizontal="left" vertical="center"/>
      <protection locked="0"/>
    </xf>
    <xf numFmtId="0" fontId="31" fillId="0" borderId="0" xfId="0" applyFont="1" applyBorder="1" applyAlignment="1">
      <alignment horizontal="left" vertical="top" wrapText="1"/>
    </xf>
    <xf numFmtId="0" fontId="12" fillId="0" borderId="32" xfId="0" applyFont="1" applyBorder="1" applyProtection="1"/>
    <xf numFmtId="0" fontId="46" fillId="18" borderId="32" xfId="0" applyFont="1" applyFill="1" applyBorder="1" applyAlignment="1" applyProtection="1">
      <alignment horizontal="left" vertical="center"/>
    </xf>
    <xf numFmtId="186" fontId="0" fillId="0" borderId="30" xfId="0" applyNumberFormat="1" applyFont="1" applyBorder="1" applyAlignment="1" applyProtection="1">
      <alignment horizontal="left"/>
    </xf>
    <xf numFmtId="0" fontId="49" fillId="0" borderId="13" xfId="34" applyFont="1" applyBorder="1" applyAlignment="1">
      <alignment horizontal="center" vertical="center" wrapText="1"/>
    </xf>
    <xf numFmtId="165" fontId="24" fillId="0" borderId="46" xfId="50" applyFont="1" applyFill="1" applyBorder="1" applyAlignment="1" applyProtection="1">
      <alignment horizontal="center" vertical="center" wrapText="1"/>
    </xf>
    <xf numFmtId="0" fontId="49" fillId="0" borderId="45" xfId="34" applyFont="1" applyBorder="1" applyAlignment="1">
      <alignment horizontal="left" vertical="center" wrapText="1"/>
    </xf>
    <xf numFmtId="0" fontId="50" fillId="0" borderId="11" xfId="34" applyFont="1" applyBorder="1" applyAlignment="1">
      <alignment horizontal="left" vertical="top"/>
    </xf>
    <xf numFmtId="0" fontId="46" fillId="0" borderId="32" xfId="34" applyFont="1" applyBorder="1" applyAlignment="1">
      <alignment horizontal="center" wrapText="1"/>
    </xf>
    <xf numFmtId="0" fontId="46" fillId="0" borderId="47" xfId="34" applyFont="1" applyBorder="1" applyAlignment="1">
      <alignment horizontal="left"/>
    </xf>
    <xf numFmtId="165" fontId="0" fillId="0" borderId="14" xfId="50" applyFont="1" applyFill="1" applyBorder="1" applyAlignment="1" applyProtection="1">
      <alignment horizontal="left"/>
    </xf>
    <xf numFmtId="0" fontId="46" fillId="0" borderId="14" xfId="34" applyFont="1" applyBorder="1" applyAlignment="1">
      <alignment horizontal="left"/>
    </xf>
    <xf numFmtId="0" fontId="22" fillId="0" borderId="30" xfId="34" applyFont="1" applyBorder="1" applyAlignment="1">
      <alignment horizontal="center" vertical="center" wrapText="1"/>
    </xf>
    <xf numFmtId="173" fontId="24" fillId="0" borderId="32" xfId="49" applyNumberFormat="1" applyFont="1" applyFill="1" applyBorder="1" applyAlignment="1" applyProtection="1">
      <alignment horizontal="center" vertical="center"/>
    </xf>
    <xf numFmtId="0" fontId="46" fillId="0" borderId="0" xfId="34" applyFont="1" applyBorder="1" applyAlignment="1">
      <alignment horizontal="center" wrapText="1"/>
    </xf>
    <xf numFmtId="0" fontId="24" fillId="8" borderId="1" xfId="0" applyFont="1" applyFill="1" applyBorder="1" applyAlignment="1">
      <alignment horizontal="center" wrapText="1"/>
    </xf>
    <xf numFmtId="0" fontId="0" fillId="0" borderId="40" xfId="0" applyBorder="1" applyAlignment="1">
      <alignment horizontal="left"/>
    </xf>
    <xf numFmtId="0" fontId="49" fillId="0" borderId="31" xfId="34" applyFont="1" applyBorder="1" applyAlignment="1">
      <alignment horizontal="center"/>
    </xf>
    <xf numFmtId="0" fontId="60" fillId="0" borderId="110" xfId="0" applyFont="1" applyBorder="1" applyAlignment="1">
      <alignment horizontal="center" vertical="top" wrapText="1"/>
    </xf>
    <xf numFmtId="10" fontId="23" fillId="0" borderId="14" xfId="38" applyNumberFormat="1" applyFont="1" applyFill="1" applyBorder="1" applyAlignment="1" applyProtection="1">
      <alignment horizontal="center"/>
    </xf>
    <xf numFmtId="0" fontId="23" fillId="6" borderId="14" xfId="0" applyFont="1" applyFill="1" applyBorder="1" applyAlignment="1" applyProtection="1">
      <alignment horizontal="center"/>
      <protection locked="0"/>
    </xf>
    <xf numFmtId="0" fontId="23" fillId="0" borderId="14" xfId="0" applyFont="1" applyBorder="1" applyAlignment="1">
      <alignment horizontal="center"/>
    </xf>
    <xf numFmtId="14" fontId="0" fillId="6" borderId="48" xfId="0" applyNumberFormat="1" applyFill="1" applyBorder="1" applyAlignment="1" applyProtection="1">
      <alignment horizontal="center"/>
      <protection locked="0"/>
    </xf>
    <xf numFmtId="0" fontId="24" fillId="8" borderId="32" xfId="0" applyFont="1" applyFill="1" applyBorder="1" applyAlignment="1">
      <alignment horizontal="center"/>
    </xf>
    <xf numFmtId="0" fontId="0" fillId="18" borderId="40" xfId="0" applyFont="1" applyFill="1" applyBorder="1"/>
    <xf numFmtId="10" fontId="56" fillId="0" borderId="34" xfId="38" applyNumberFormat="1" applyFill="1" applyBorder="1" applyAlignment="1" applyProtection="1">
      <alignment horizontal="center"/>
    </xf>
    <xf numFmtId="176" fontId="24" fillId="8" borderId="32" xfId="0" applyNumberFormat="1" applyFont="1" applyFill="1" applyBorder="1" applyAlignment="1">
      <alignment horizontal="center" shrinkToFit="1"/>
    </xf>
    <xf numFmtId="0" fontId="46" fillId="0" borderId="14" xfId="34" applyNumberFormat="1" applyFont="1" applyBorder="1" applyAlignment="1">
      <alignment horizontal="center"/>
    </xf>
    <xf numFmtId="14" fontId="0" fillId="6" borderId="49" xfId="0" applyNumberFormat="1" applyFill="1" applyBorder="1" applyAlignment="1" applyProtection="1">
      <alignment horizontal="center"/>
      <protection locked="0"/>
    </xf>
    <xf numFmtId="10" fontId="56" fillId="0" borderId="0" xfId="38" applyNumberFormat="1" applyFill="1" applyBorder="1" applyAlignment="1" applyProtection="1">
      <alignment horizontal="center"/>
    </xf>
    <xf numFmtId="10" fontId="56" fillId="0" borderId="31" xfId="38" applyNumberFormat="1" applyFill="1" applyBorder="1" applyAlignment="1" applyProtection="1">
      <alignment horizontal="center"/>
    </xf>
    <xf numFmtId="10" fontId="56" fillId="0" borderId="10" xfId="38" applyNumberFormat="1" applyFill="1" applyBorder="1" applyAlignment="1" applyProtection="1">
      <alignment horizontal="center"/>
    </xf>
    <xf numFmtId="0" fontId="24" fillId="0" borderId="32" xfId="0" applyFont="1" applyBorder="1" applyAlignment="1">
      <alignment horizontal="right" vertical="center"/>
    </xf>
    <xf numFmtId="177" fontId="56" fillId="0" borderId="14" xfId="49" applyNumberFormat="1" applyFill="1" applyBorder="1" applyAlignment="1" applyProtection="1">
      <alignment horizontal="center" shrinkToFit="1"/>
    </xf>
    <xf numFmtId="10" fontId="56" fillId="0" borderId="33" xfId="38" applyNumberFormat="1" applyFill="1" applyBorder="1" applyAlignment="1" applyProtection="1">
      <alignment horizontal="center"/>
    </xf>
    <xf numFmtId="177" fontId="56" fillId="0" borderId="30" xfId="49" applyNumberFormat="1" applyFill="1" applyBorder="1" applyAlignment="1" applyProtection="1">
      <alignment horizontal="center" shrinkToFit="1"/>
    </xf>
    <xf numFmtId="177" fontId="56" fillId="0" borderId="47" xfId="49" applyNumberFormat="1" applyFill="1" applyBorder="1" applyAlignment="1" applyProtection="1">
      <alignment horizontal="center" shrinkToFit="1"/>
    </xf>
    <xf numFmtId="10" fontId="56" fillId="0" borderId="82" xfId="38" applyNumberFormat="1" applyFill="1" applyBorder="1" applyAlignment="1" applyProtection="1">
      <alignment horizontal="center"/>
    </xf>
    <xf numFmtId="14" fontId="0" fillId="6" borderId="37" xfId="0" applyNumberFormat="1" applyFill="1" applyBorder="1" applyAlignment="1" applyProtection="1">
      <alignment horizontal="center"/>
      <protection locked="0"/>
    </xf>
    <xf numFmtId="4" fontId="24" fillId="0" borderId="33" xfId="0" applyNumberFormat="1" applyFont="1" applyBorder="1" applyAlignment="1">
      <alignment horizontal="left"/>
    </xf>
    <xf numFmtId="0" fontId="24" fillId="0" borderId="31" xfId="36" applyFont="1" applyBorder="1" applyAlignment="1" applyProtection="1">
      <alignment horizontal="center"/>
    </xf>
    <xf numFmtId="49" fontId="0" fillId="0" borderId="47" xfId="0" applyNumberFormat="1" applyBorder="1" applyAlignment="1">
      <alignment horizontal="left"/>
    </xf>
    <xf numFmtId="0" fontId="0" fillId="0" borderId="0" xfId="0" applyFont="1" applyBorder="1" applyAlignment="1" applyProtection="1">
      <alignment horizontal="center" wrapText="1"/>
    </xf>
    <xf numFmtId="0" fontId="24" fillId="8" borderId="46" xfId="0" applyFont="1" applyFill="1" applyBorder="1" applyAlignment="1">
      <alignment horizontal="center" vertical="center"/>
    </xf>
    <xf numFmtId="0" fontId="22" fillId="0" borderId="12" xfId="0" applyFont="1" applyBorder="1" applyAlignment="1">
      <alignment horizontal="center" wrapText="1"/>
    </xf>
    <xf numFmtId="0" fontId="53" fillId="0" borderId="13" xfId="0" applyFont="1" applyBorder="1" applyAlignment="1" applyProtection="1">
      <alignment horizontal="center" vertical="center" wrapText="1"/>
    </xf>
    <xf numFmtId="0" fontId="24" fillId="0" borderId="0" xfId="0" applyFont="1" applyBorder="1" applyAlignment="1">
      <alignment horizontal="center" wrapText="1"/>
    </xf>
    <xf numFmtId="0" fontId="0" fillId="0" borderId="14" xfId="0" applyNumberFormat="1" applyBorder="1" applyAlignment="1">
      <alignment horizontal="center"/>
    </xf>
    <xf numFmtId="0" fontId="31" fillId="0" borderId="0" xfId="0" applyFont="1" applyBorder="1" applyAlignment="1">
      <alignment horizontal="right" vertical="center" wrapText="1"/>
    </xf>
    <xf numFmtId="165" fontId="23" fillId="0" borderId="0" xfId="0" applyNumberFormat="1" applyFont="1" applyBorder="1" applyAlignment="1">
      <alignment horizontal="right" vertical="top"/>
    </xf>
    <xf numFmtId="0" fontId="24" fillId="8" borderId="32" xfId="0" applyFont="1" applyFill="1" applyBorder="1" applyAlignment="1" applyProtection="1">
      <alignment horizontal="center"/>
    </xf>
    <xf numFmtId="0" fontId="24" fillId="0" borderId="14" xfId="0" applyFont="1" applyBorder="1" applyAlignment="1">
      <alignment horizontal="center"/>
    </xf>
    <xf numFmtId="0" fontId="24" fillId="0" borderId="14" xfId="0" applyFont="1" applyFill="1" applyBorder="1" applyAlignment="1">
      <alignment horizontal="center"/>
    </xf>
    <xf numFmtId="0" fontId="23" fillId="6" borderId="33" xfId="0" applyFont="1" applyFill="1" applyBorder="1" applyAlignment="1">
      <alignment horizontal="left"/>
    </xf>
    <xf numFmtId="0" fontId="0" fillId="0" borderId="0" xfId="0" applyFont="1" applyFill="1" applyBorder="1" applyAlignment="1" applyProtection="1">
      <alignment horizontal="left" wrapText="1"/>
    </xf>
    <xf numFmtId="171" fontId="24" fillId="8" borderId="14" xfId="49" applyNumberFormat="1" applyFont="1" applyFill="1" applyBorder="1" applyAlignment="1" applyProtection="1">
      <alignment horizontal="center" vertical="center" shrinkToFit="1"/>
    </xf>
    <xf numFmtId="0" fontId="30" fillId="0" borderId="31" xfId="0" applyFont="1" applyBorder="1" applyAlignment="1" applyProtection="1">
      <alignment horizontal="left" vertical="center"/>
    </xf>
    <xf numFmtId="0" fontId="0" fillId="0" borderId="31" xfId="0" applyFont="1" applyBorder="1" applyAlignment="1">
      <alignment horizontal="left"/>
    </xf>
    <xf numFmtId="0" fontId="0" fillId="6" borderId="14" xfId="0" applyFill="1" applyBorder="1" applyAlignment="1" applyProtection="1">
      <alignment horizontal="left" vertical="top"/>
      <protection locked="0"/>
    </xf>
    <xf numFmtId="0" fontId="24" fillId="17" borderId="47" xfId="0" applyNumberFormat="1" applyFont="1" applyFill="1" applyBorder="1" applyAlignment="1" applyProtection="1">
      <alignment horizontal="left" vertical="center" wrapText="1"/>
    </xf>
    <xf numFmtId="0" fontId="0" fillId="6" borderId="0" xfId="33" applyNumberFormat="1" applyFont="1" applyFill="1" applyBorder="1" applyAlignment="1" applyProtection="1">
      <alignment horizontal="left" vertical="top"/>
      <protection locked="0"/>
    </xf>
    <xf numFmtId="0" fontId="0" fillId="0" borderId="0" xfId="0" applyFont="1" applyBorder="1" applyAlignment="1">
      <alignment horizontal="left"/>
    </xf>
    <xf numFmtId="0" fontId="17" fillId="0" borderId="30" xfId="33" applyFont="1" applyBorder="1" applyAlignment="1" applyProtection="1">
      <alignment horizontal="center" vertical="center"/>
    </xf>
    <xf numFmtId="4" fontId="24" fillId="0" borderId="31" xfId="0" applyNumberFormat="1" applyFont="1" applyBorder="1" applyAlignment="1">
      <alignment horizontal="left"/>
    </xf>
    <xf numFmtId="49" fontId="0" fillId="0" borderId="14" xfId="0" applyNumberFormat="1" applyBorder="1" applyAlignment="1">
      <alignment horizontal="left"/>
    </xf>
    <xf numFmtId="0" fontId="24" fillId="0" borderId="34" xfId="0" applyFont="1" applyBorder="1" applyAlignment="1" applyProtection="1">
      <alignment horizontal="center"/>
    </xf>
    <xf numFmtId="0" fontId="53" fillId="0" borderId="32" xfId="0" applyFont="1" applyBorder="1" applyAlignment="1" applyProtection="1">
      <alignment horizontal="center" vertical="center" wrapText="1"/>
    </xf>
    <xf numFmtId="0" fontId="24" fillId="0" borderId="32" xfId="0" applyFont="1" applyBorder="1" applyAlignment="1">
      <alignment horizontal="center"/>
    </xf>
    <xf numFmtId="0" fontId="24" fillId="0" borderId="64" xfId="0" applyFont="1" applyBorder="1" applyAlignment="1">
      <alignment horizontal="center"/>
    </xf>
    <xf numFmtId="0" fontId="24" fillId="0" borderId="32" xfId="0" applyFont="1" applyBorder="1" applyAlignment="1">
      <alignment horizontal="center" vertical="center"/>
    </xf>
    <xf numFmtId="0" fontId="0" fillId="8" borderId="84" xfId="0" applyFont="1" applyFill="1" applyBorder="1" applyAlignment="1">
      <alignment horizontal="center" vertical="center"/>
    </xf>
    <xf numFmtId="0" fontId="0" fillId="8" borderId="67" xfId="0" applyFont="1" applyFill="1" applyBorder="1" applyAlignment="1">
      <alignment horizontal="center" vertical="center"/>
    </xf>
    <xf numFmtId="10" fontId="24" fillId="8" borderId="32" xfId="0" applyNumberFormat="1" applyFont="1" applyFill="1" applyBorder="1" applyAlignment="1">
      <alignment horizontal="center" vertical="center"/>
    </xf>
    <xf numFmtId="0" fontId="0" fillId="0" borderId="42" xfId="0" applyFont="1" applyFill="1" applyBorder="1" applyAlignment="1">
      <alignment horizontal="center" vertical="center"/>
    </xf>
    <xf numFmtId="0" fontId="0" fillId="0" borderId="69" xfId="0" applyFont="1" applyFill="1" applyBorder="1" applyAlignment="1">
      <alignment horizontal="center" vertical="center"/>
    </xf>
    <xf numFmtId="0" fontId="0" fillId="8" borderId="42" xfId="0" applyFont="1" applyFill="1" applyBorder="1" applyAlignment="1">
      <alignment horizontal="center" vertical="center"/>
    </xf>
    <xf numFmtId="0" fontId="0" fillId="8" borderId="69" xfId="0" applyFont="1" applyFill="1" applyBorder="1" applyAlignment="1">
      <alignment horizontal="center" vertical="center"/>
    </xf>
    <xf numFmtId="0" fontId="0" fillId="0" borderId="87" xfId="0" applyFont="1" applyFill="1" applyBorder="1" applyAlignment="1">
      <alignment horizontal="center" vertical="center"/>
    </xf>
    <xf numFmtId="0" fontId="0" fillId="0" borderId="73" xfId="0" applyFont="1" applyFill="1" applyBorder="1" applyAlignment="1">
      <alignment horizontal="center" vertical="center"/>
    </xf>
    <xf numFmtId="0" fontId="17" fillId="8" borderId="32" xfId="0" applyFont="1" applyFill="1" applyBorder="1" applyAlignment="1">
      <alignment horizontal="center" vertical="center"/>
    </xf>
    <xf numFmtId="0" fontId="17" fillId="8" borderId="46" xfId="0" applyFont="1" applyFill="1" applyBorder="1" applyAlignment="1">
      <alignment horizontal="center" vertical="center"/>
    </xf>
    <xf numFmtId="0" fontId="8" fillId="0" borderId="10" xfId="0" applyFont="1" applyBorder="1" applyAlignment="1">
      <alignment horizontal="right"/>
    </xf>
    <xf numFmtId="0" fontId="24" fillId="0" borderId="33" xfId="36" applyFont="1" applyBorder="1" applyAlignment="1" applyProtection="1">
      <alignment horizontal="center"/>
    </xf>
    <xf numFmtId="0" fontId="24" fillId="0" borderId="0" xfId="36" applyFont="1" applyBorder="1" applyAlignment="1" applyProtection="1">
      <alignment horizontal="center"/>
    </xf>
    <xf numFmtId="0" fontId="24" fillId="0" borderId="12" xfId="36" applyFont="1" applyBorder="1" applyAlignment="1" applyProtection="1">
      <alignment horizontal="center"/>
    </xf>
    <xf numFmtId="0" fontId="30" fillId="6" borderId="33" xfId="0" applyFont="1" applyFill="1" applyBorder="1" applyAlignment="1" applyProtection="1">
      <alignment horizontal="left" vertical="top" wrapText="1"/>
      <protection locked="0"/>
    </xf>
    <xf numFmtId="0" fontId="30" fillId="6" borderId="0" xfId="0" applyFont="1" applyFill="1" applyBorder="1" applyAlignment="1" applyProtection="1">
      <alignment horizontal="left" vertical="top" wrapText="1"/>
      <protection locked="0"/>
    </xf>
    <xf numFmtId="0" fontId="30" fillId="6" borderId="12" xfId="0" applyFont="1" applyFill="1" applyBorder="1" applyAlignment="1" applyProtection="1">
      <alignment horizontal="left" vertical="top" wrapText="1"/>
      <protection locked="0"/>
    </xf>
    <xf numFmtId="0" fontId="30" fillId="6" borderId="47" xfId="0" applyFont="1" applyFill="1" applyBorder="1" applyAlignment="1" applyProtection="1">
      <alignment horizontal="left" vertical="top" wrapText="1"/>
      <protection locked="0"/>
    </xf>
    <xf numFmtId="0" fontId="30" fillId="6" borderId="30" xfId="0" applyFont="1" applyFill="1" applyBorder="1" applyAlignment="1" applyProtection="1">
      <alignment horizontal="left" vertical="top" wrapText="1"/>
      <protection locked="0"/>
    </xf>
    <xf numFmtId="0" fontId="30" fillId="6" borderId="29" xfId="0" applyFont="1" applyFill="1" applyBorder="1" applyAlignment="1" applyProtection="1">
      <alignment horizontal="left" vertical="top" wrapText="1"/>
      <protection locked="0"/>
    </xf>
    <xf numFmtId="0" fontId="0" fillId="0" borderId="0" xfId="0" applyAlignment="1">
      <alignment horizontal="left"/>
    </xf>
    <xf numFmtId="0" fontId="24" fillId="8" borderId="111" xfId="0" applyFont="1" applyFill="1" applyBorder="1" applyAlignment="1">
      <alignment horizontal="center" vertical="center" wrapText="1"/>
    </xf>
    <xf numFmtId="0" fontId="24" fillId="8" borderId="112" xfId="0" applyFont="1" applyFill="1" applyBorder="1" applyAlignment="1">
      <alignment horizontal="center" vertical="center" wrapText="1"/>
    </xf>
    <xf numFmtId="49" fontId="0" fillId="6" borderId="0" xfId="33" applyNumberFormat="1" applyFont="1" applyFill="1" applyBorder="1" applyAlignment="1" applyProtection="1">
      <alignment horizontal="left"/>
      <protection locked="0"/>
    </xf>
    <xf numFmtId="168" fontId="0" fillId="0" borderId="0" xfId="33" applyNumberFormat="1" applyFont="1" applyFill="1" applyBorder="1" applyAlignment="1" applyProtection="1">
      <alignment horizontal="right"/>
    </xf>
    <xf numFmtId="0" fontId="0" fillId="0" borderId="0" xfId="33" applyFont="1" applyFill="1" applyBorder="1" applyAlignment="1" applyProtection="1">
      <alignment horizontal="left"/>
    </xf>
    <xf numFmtId="0" fontId="0" fillId="0" borderId="0" xfId="33" applyFont="1" applyBorder="1" applyAlignment="1" applyProtection="1">
      <alignment horizontal="center"/>
    </xf>
    <xf numFmtId="171" fontId="24" fillId="8" borderId="113" xfId="49" applyFont="1" applyFill="1" applyBorder="1" applyAlignment="1" applyProtection="1">
      <alignment horizontal="center" vertical="center"/>
    </xf>
    <xf numFmtId="171" fontId="24" fillId="8" borderId="114" xfId="49" applyFont="1" applyFill="1" applyBorder="1" applyAlignment="1" applyProtection="1">
      <alignment horizontal="center" vertical="center"/>
    </xf>
    <xf numFmtId="0" fontId="24" fillId="8" borderId="115" xfId="0" applyFont="1" applyFill="1" applyBorder="1" applyAlignment="1">
      <alignment horizontal="center" vertical="center" wrapText="1"/>
    </xf>
    <xf numFmtId="0" fontId="24" fillId="8" borderId="87" xfId="0" applyFont="1" applyFill="1" applyBorder="1" applyAlignment="1">
      <alignment horizontal="center" vertical="center" wrapText="1"/>
    </xf>
    <xf numFmtId="0" fontId="0" fillId="0" borderId="0" xfId="33" applyFont="1" applyBorder="1" applyAlignment="1" applyProtection="1">
      <alignment horizontal="left" vertical="top" wrapText="1"/>
    </xf>
    <xf numFmtId="0" fontId="0" fillId="0" borderId="53" xfId="33" applyFont="1" applyBorder="1" applyAlignment="1" applyProtection="1">
      <alignment horizontal="center"/>
    </xf>
    <xf numFmtId="0" fontId="0" fillId="0" borderId="0" xfId="33" applyFont="1" applyFill="1" applyBorder="1" applyAlignment="1" applyProtection="1">
      <alignment horizontal="left" wrapText="1"/>
    </xf>
    <xf numFmtId="0" fontId="0" fillId="0" borderId="0" xfId="33" applyNumberFormat="1" applyFont="1" applyFill="1" applyBorder="1" applyAlignment="1" applyProtection="1">
      <alignment vertical="center"/>
    </xf>
    <xf numFmtId="0" fontId="0" fillId="6" borderId="0" xfId="33" applyFont="1" applyFill="1" applyBorder="1" applyAlignment="1" applyProtection="1">
      <alignment horizontal="left" vertical="top"/>
      <protection locked="0"/>
    </xf>
    <xf numFmtId="0" fontId="0" fillId="0" borderId="0" xfId="33" applyFont="1" applyFill="1" applyBorder="1" applyAlignment="1" applyProtection="1">
      <alignment horizontal="left" vertical="top" wrapText="1" shrinkToFit="1"/>
    </xf>
    <xf numFmtId="0" fontId="0" fillId="0" borderId="0" xfId="33" applyNumberFormat="1" applyFont="1" applyFill="1" applyBorder="1" applyAlignment="1" applyProtection="1">
      <alignment horizontal="left" vertical="top" wrapText="1"/>
    </xf>
    <xf numFmtId="0" fontId="0" fillId="6" borderId="0" xfId="33" applyFont="1" applyFill="1" applyBorder="1" applyAlignment="1" applyProtection="1">
      <alignment horizontal="left" vertical="top" wrapText="1"/>
      <protection locked="0"/>
    </xf>
    <xf numFmtId="0" fontId="0" fillId="0" borderId="54" xfId="33" applyFont="1" applyFill="1" applyBorder="1" applyAlignment="1" applyProtection="1">
      <alignment horizontal="center" vertical="center" wrapText="1"/>
    </xf>
    <xf numFmtId="0" fontId="0" fillId="0" borderId="68" xfId="33" applyFont="1" applyBorder="1" applyAlignment="1" applyProtection="1">
      <alignment horizontal="center" vertical="center" wrapText="1"/>
    </xf>
    <xf numFmtId="0" fontId="0" fillId="0" borderId="39" xfId="33" applyFont="1" applyBorder="1" applyAlignment="1" applyProtection="1">
      <alignment horizontal="right"/>
    </xf>
    <xf numFmtId="180" fontId="24" fillId="0" borderId="41" xfId="49" applyNumberFormat="1" applyFont="1" applyFill="1" applyBorder="1" applyAlignment="1" applyProtection="1">
      <alignment vertical="top" shrinkToFit="1"/>
    </xf>
    <xf numFmtId="0" fontId="0" fillId="0" borderId="0" xfId="33" applyNumberFormat="1" applyFont="1" applyFill="1" applyBorder="1" applyAlignment="1" applyProtection="1">
      <alignment horizontal="left" vertical="top"/>
    </xf>
    <xf numFmtId="0" fontId="0" fillId="0" borderId="0" xfId="0" applyFont="1"/>
    <xf numFmtId="0" fontId="0" fillId="0" borderId="74" xfId="33" applyFont="1" applyBorder="1" applyAlignment="1" applyProtection="1">
      <alignment horizontal="right"/>
    </xf>
    <xf numFmtId="10" fontId="24" fillId="0" borderId="75" xfId="38" applyNumberFormat="1" applyFont="1" applyFill="1" applyBorder="1" applyAlignment="1" applyProtection="1">
      <alignment horizontal="right" vertical="top" shrinkToFit="1"/>
    </xf>
  </cellXfs>
  <cellStyles count="51">
    <cellStyle name="20% - Ênfase1" xfId="1" builtinId="30" customBuiltin="1"/>
    <cellStyle name="20% - Ênfase2" xfId="2" builtinId="34" customBuiltin="1"/>
    <cellStyle name="20% - Ênfase3" xfId="3" builtinId="38" customBuiltin="1"/>
    <cellStyle name="20% - Ênfase4" xfId="4" builtinId="42" customBuiltin="1"/>
    <cellStyle name="20% - Ênfase5" xfId="5" builtinId="46" customBuiltin="1"/>
    <cellStyle name="20% - Ênfase6" xfId="6" builtinId="50" customBuiltin="1"/>
    <cellStyle name="40% - Ênfase1" xfId="7" builtinId="31" customBuiltin="1"/>
    <cellStyle name="40% - Ênfase2" xfId="8" builtinId="35" customBuiltin="1"/>
    <cellStyle name="40% - Ênfase3" xfId="9" builtinId="39" customBuiltin="1"/>
    <cellStyle name="40% - Ênfase4" xfId="10" builtinId="43" customBuiltin="1"/>
    <cellStyle name="40% - Ênfase5" xfId="11" builtinId="47" customBuiltin="1"/>
    <cellStyle name="40% - Ênfase6" xfId="12" builtinId="51" customBuiltin="1"/>
    <cellStyle name="60% - Ênfase1" xfId="13" builtinId="32" customBuiltin="1"/>
    <cellStyle name="60% - Ênfase2" xfId="14" builtinId="36" customBuiltin="1"/>
    <cellStyle name="60% - Ênfase3" xfId="15" builtinId="40" customBuiltin="1"/>
    <cellStyle name="60% - Ênfase4" xfId="16" builtinId="44" customBuiltin="1"/>
    <cellStyle name="60% - Ênfase5" xfId="17" builtinId="48" customBuiltin="1"/>
    <cellStyle name="60% - Ênfase6" xfId="18" builtinId="52" customBuiltin="1"/>
    <cellStyle name="Bom" xfId="19" builtinId="26" customBuiltin="1"/>
    <cellStyle name="Cálculo" xfId="20" builtinId="22" customBuiltin="1"/>
    <cellStyle name="Célula de Verificação" xfId="21" builtinId="23" customBuiltin="1"/>
    <cellStyle name="Célula Vinculada" xfId="22" builtinId="24" customBuiltin="1"/>
    <cellStyle name="Ênfase1" xfId="23" builtinId="29" customBuiltin="1"/>
    <cellStyle name="Ênfase2" xfId="24" builtinId="33" customBuiltin="1"/>
    <cellStyle name="Ênfase3" xfId="25" builtinId="37" customBuiltin="1"/>
    <cellStyle name="Ênfase4" xfId="26" builtinId="41" customBuiltin="1"/>
    <cellStyle name="Ênfase5" xfId="27" builtinId="45" customBuiltin="1"/>
    <cellStyle name="Ênfase6" xfId="28" builtinId="49" customBuiltin="1"/>
    <cellStyle name="Entrada" xfId="29" builtinId="20" customBuiltin="1"/>
    <cellStyle name="Hiperlink" xfId="30" builtinId="8"/>
    <cellStyle name="Moeda" xfId="31" builtinId="4"/>
    <cellStyle name="Moeda_Composicao BDI v2.1" xfId="32"/>
    <cellStyle name="Normal" xfId="0" builtinId="0"/>
    <cellStyle name="Normal 2" xfId="33"/>
    <cellStyle name="Normal 3" xfId="34"/>
    <cellStyle name="Normal 4" xfId="35"/>
    <cellStyle name="Normal_FICHA DE VERIFICAÇÃO PRELIMINAR - Plano R" xfId="36"/>
    <cellStyle name="Nota" xfId="37" builtinId="10" customBuiltin="1"/>
    <cellStyle name="Porcentagem" xfId="38" builtinId="5"/>
    <cellStyle name="Porcentagem 2" xfId="39"/>
    <cellStyle name="Saída" xfId="40" builtinId="21" customBuiltin="1"/>
    <cellStyle name="Texto de Aviso" xfId="41" builtinId="11" customBuiltin="1"/>
    <cellStyle name="Texto Explicativo" xfId="42" builtinId="53" customBuiltin="1"/>
    <cellStyle name="Título 1" xfId="43" builtinId="16" customBuiltin="1"/>
    <cellStyle name="Título 2" xfId="44" builtinId="17" customBuiltin="1"/>
    <cellStyle name="Título 3" xfId="45" builtinId="18" customBuiltin="1"/>
    <cellStyle name="Título 4" xfId="46" builtinId="19" customBuiltin="1"/>
    <cellStyle name="Título 5" xfId="47"/>
    <cellStyle name="Total" xfId="48" builtinId="25" customBuiltin="1"/>
    <cellStyle name="Vírgula" xfId="49" builtinId="3"/>
    <cellStyle name="Vírgula 2" xfId="50"/>
  </cellStyles>
  <dxfs count="1944">
    <dxf>
      <font>
        <b/>
        <i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color indexed="44"/>
      </font>
      <fill>
        <patternFill patternType="solid">
          <fgColor indexed="22"/>
          <bgColor indexed="44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color indexed="44"/>
      </font>
      <fill>
        <patternFill patternType="solid">
          <fgColor indexed="22"/>
          <bgColor indexed="44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</dxf>
    <dxf>
      <font>
        <b val="0"/>
        <condense val="0"/>
        <extend val="0"/>
        <color indexed="44"/>
      </font>
      <fill>
        <patternFill patternType="solid">
          <fgColor indexed="22"/>
          <bgColor indexed="44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13"/>
          <bgColor indexed="51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13"/>
          <bgColor indexed="51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44"/>
      </font>
      <fill>
        <patternFill patternType="solid">
          <fgColor indexed="22"/>
          <bgColor indexed="44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color indexed="44"/>
      </font>
      <fill>
        <patternFill patternType="solid">
          <fgColor indexed="22"/>
          <bgColor indexed="44"/>
        </patternFill>
      </fill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44"/>
      </font>
      <fill>
        <patternFill patternType="solid">
          <fgColor indexed="22"/>
          <bgColor indexed="44"/>
        </patternFill>
      </fill>
    </dxf>
    <dxf>
      <font>
        <b val="0"/>
        <condense val="0"/>
        <extend val="0"/>
        <color indexed="44"/>
      </font>
      <fill>
        <patternFill patternType="solid">
          <fgColor indexed="22"/>
          <bgColor indexed="44"/>
        </patternFill>
      </fill>
    </dxf>
    <dxf>
      <font>
        <b val="0"/>
        <condense val="0"/>
        <extend val="0"/>
        <color indexed="9"/>
      </font>
    </dxf>
    <dxf>
      <font>
        <b/>
        <i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color indexed="44"/>
      </font>
      <fill>
        <patternFill patternType="solid">
          <fgColor indexed="22"/>
          <bgColor indexed="44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color indexed="44"/>
      </font>
      <fill>
        <patternFill patternType="solid">
          <fgColor indexed="22"/>
          <bgColor indexed="44"/>
        </patternFill>
      </fill>
    </dxf>
    <dxf>
      <font>
        <b/>
        <i val="0"/>
        <condense val="0"/>
        <extend val="0"/>
      </font>
      <fill>
        <patternFill patternType="solid">
          <fgColor indexed="21"/>
          <bgColor indexed="57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21"/>
          <bgColor indexed="57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9"/>
      </font>
      <border>
        <left/>
        <right style="thin">
          <color indexed="64"/>
        </right>
      </border>
    </dxf>
    <dxf>
      <font>
        <b/>
        <i val="0"/>
        <condense val="0"/>
        <extend val="0"/>
      </font>
      <fill>
        <patternFill patternType="solid">
          <fgColor indexed="21"/>
          <bgColor indexed="57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21"/>
          <bgColor indexed="57"/>
        </patternFill>
      </fill>
    </dxf>
    <dxf>
      <font>
        <b/>
        <i val="0"/>
        <condense val="0"/>
        <extend val="0"/>
      </font>
      <fill>
        <patternFill patternType="solid">
          <fgColor indexed="21"/>
          <bgColor indexed="57"/>
        </patternFill>
      </fill>
    </dxf>
    <dxf>
      <font>
        <b/>
        <i val="0"/>
        <condense val="0"/>
        <extend val="0"/>
      </font>
      <fill>
        <patternFill patternType="solid">
          <fgColor indexed="21"/>
          <bgColor indexed="57"/>
        </patternFill>
      </fill>
    </dxf>
    <dxf>
      <font>
        <b/>
        <i val="0"/>
        <condense val="0"/>
        <extend val="0"/>
      </font>
      <fill>
        <patternFill patternType="solid">
          <fgColor indexed="21"/>
          <bgColor indexed="57"/>
        </patternFill>
      </fill>
    </dxf>
    <dxf>
      <font>
        <b/>
        <i val="0"/>
        <condense val="0"/>
        <extend val="0"/>
      </font>
      <fill>
        <patternFill patternType="solid">
          <fgColor indexed="21"/>
          <bgColor indexed="57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8"/>
      </font>
      <fill>
        <patternFill patternType="solid">
          <fgColor indexed="46"/>
          <bgColor indexed="24"/>
        </patternFill>
      </fill>
    </dxf>
    <dxf>
      <font>
        <b val="0"/>
        <condense val="0"/>
        <extend val="0"/>
        <color indexed="8"/>
      </font>
      <fill>
        <patternFill patternType="solid">
          <fgColor indexed="26"/>
          <bgColor indexed="43"/>
        </patternFill>
      </fill>
    </dxf>
    <dxf>
      <font>
        <b val="0"/>
        <condense val="0"/>
        <extend val="0"/>
        <color indexed="8"/>
      </font>
      <fill>
        <patternFill patternType="solid">
          <fgColor indexed="46"/>
          <bgColor indexed="24"/>
        </patternFill>
      </fill>
    </dxf>
    <dxf>
      <font>
        <b val="0"/>
        <condense val="0"/>
        <extend val="0"/>
        <color indexed="8"/>
      </font>
      <fill>
        <patternFill patternType="solid">
          <fgColor indexed="26"/>
          <bgColor indexed="43"/>
        </patternFill>
      </fill>
    </dxf>
    <dxf>
      <font>
        <b val="0"/>
        <condense val="0"/>
        <extend val="0"/>
        <color indexed="8"/>
      </font>
      <fill>
        <patternFill patternType="solid">
          <fgColor indexed="46"/>
          <bgColor indexed="24"/>
        </patternFill>
      </fill>
    </dxf>
    <dxf>
      <font>
        <b val="0"/>
        <condense val="0"/>
        <extend val="0"/>
        <color indexed="8"/>
      </font>
      <fill>
        <patternFill patternType="solid">
          <fgColor indexed="26"/>
          <bgColor indexed="43"/>
        </patternFill>
      </fill>
    </dxf>
    <dxf>
      <font>
        <b val="0"/>
        <condense val="0"/>
        <extend val="0"/>
        <color indexed="8"/>
      </font>
      <fill>
        <patternFill patternType="solid">
          <fgColor indexed="46"/>
          <bgColor indexed="24"/>
        </patternFill>
      </fill>
    </dxf>
    <dxf>
      <font>
        <b val="0"/>
        <condense val="0"/>
        <extend val="0"/>
        <color indexed="8"/>
      </font>
      <fill>
        <patternFill patternType="solid">
          <fgColor indexed="26"/>
          <bgColor indexed="43"/>
        </patternFill>
      </fill>
    </dxf>
    <dxf>
      <font>
        <b val="0"/>
        <condense val="0"/>
        <extend val="0"/>
        <color indexed="8"/>
      </font>
      <fill>
        <patternFill patternType="solid">
          <fgColor indexed="46"/>
          <bgColor indexed="24"/>
        </patternFill>
      </fill>
    </dxf>
    <dxf>
      <font>
        <b val="0"/>
        <condense val="0"/>
        <extend val="0"/>
        <color indexed="8"/>
      </font>
      <fill>
        <patternFill patternType="solid">
          <fgColor indexed="26"/>
          <bgColor indexed="43"/>
        </patternFill>
      </fill>
    </dxf>
    <dxf>
      <font>
        <b val="0"/>
        <condense val="0"/>
        <extend val="0"/>
        <color indexed="8"/>
      </font>
      <fill>
        <patternFill patternType="solid">
          <fgColor indexed="46"/>
          <bgColor indexed="24"/>
        </patternFill>
      </fill>
    </dxf>
    <dxf>
      <font>
        <b val="0"/>
        <condense val="0"/>
        <extend val="0"/>
        <color indexed="8"/>
      </font>
      <fill>
        <patternFill patternType="solid">
          <fgColor indexed="26"/>
          <bgColor indexed="43"/>
        </patternFill>
      </fill>
    </dxf>
    <dxf>
      <font>
        <b val="0"/>
        <condense val="0"/>
        <extend val="0"/>
        <color indexed="8"/>
      </font>
      <fill>
        <patternFill patternType="solid">
          <fgColor indexed="46"/>
          <bgColor indexed="24"/>
        </patternFill>
      </fill>
    </dxf>
    <dxf>
      <font>
        <b val="0"/>
        <condense val="0"/>
        <extend val="0"/>
        <color indexed="8"/>
      </font>
      <fill>
        <patternFill patternType="solid">
          <fgColor indexed="26"/>
          <bgColor indexed="43"/>
        </patternFill>
      </fill>
    </dxf>
    <dxf>
      <font>
        <b val="0"/>
        <condense val="0"/>
        <extend val="0"/>
        <color indexed="8"/>
      </font>
      <fill>
        <patternFill patternType="solid">
          <fgColor indexed="46"/>
          <bgColor indexed="24"/>
        </patternFill>
      </fill>
    </dxf>
    <dxf>
      <font>
        <b val="0"/>
        <condense val="0"/>
        <extend val="0"/>
        <color indexed="8"/>
      </font>
      <fill>
        <patternFill patternType="solid">
          <fgColor indexed="26"/>
          <bgColor indexed="43"/>
        </patternFill>
      </fill>
    </dxf>
    <dxf>
      <font>
        <b val="0"/>
        <condense val="0"/>
        <extend val="0"/>
        <color indexed="8"/>
      </font>
      <fill>
        <patternFill patternType="solid">
          <fgColor indexed="46"/>
          <bgColor indexed="24"/>
        </patternFill>
      </fill>
    </dxf>
    <dxf>
      <font>
        <b val="0"/>
        <condense val="0"/>
        <extend val="0"/>
        <color indexed="8"/>
      </font>
      <fill>
        <patternFill patternType="solid">
          <fgColor indexed="26"/>
          <bgColor indexed="43"/>
        </patternFill>
      </fill>
    </dxf>
    <dxf>
      <font>
        <b val="0"/>
        <condense val="0"/>
        <extend val="0"/>
        <color indexed="8"/>
      </font>
      <fill>
        <patternFill patternType="solid">
          <fgColor indexed="46"/>
          <bgColor indexed="24"/>
        </patternFill>
      </fill>
    </dxf>
    <dxf>
      <font>
        <b val="0"/>
        <condense val="0"/>
        <extend val="0"/>
        <color indexed="8"/>
      </font>
      <fill>
        <patternFill patternType="solid">
          <fgColor indexed="26"/>
          <bgColor indexed="43"/>
        </patternFill>
      </fill>
    </dxf>
    <dxf>
      <font>
        <b val="0"/>
        <condense val="0"/>
        <extend val="0"/>
        <color indexed="8"/>
      </font>
      <fill>
        <patternFill patternType="solid">
          <fgColor indexed="46"/>
          <bgColor indexed="24"/>
        </patternFill>
      </fill>
    </dxf>
    <dxf>
      <font>
        <b val="0"/>
        <condense val="0"/>
        <extend val="0"/>
        <color indexed="8"/>
      </font>
      <fill>
        <patternFill patternType="solid">
          <fgColor indexed="26"/>
          <bgColor indexed="43"/>
        </patternFill>
      </fill>
    </dxf>
    <dxf>
      <font>
        <color theme="0"/>
      </font>
      <border>
        <left/>
        <right/>
      </border>
    </dxf>
    <dxf>
      <font>
        <b val="0"/>
        <condense val="0"/>
        <extend val="0"/>
        <color indexed="8"/>
      </font>
      <fill>
        <patternFill patternType="solid">
          <fgColor indexed="46"/>
          <bgColor indexed="24"/>
        </patternFill>
      </fill>
    </dxf>
    <dxf>
      <font>
        <b val="0"/>
        <condense val="0"/>
        <extend val="0"/>
        <color indexed="9"/>
      </font>
      <border>
        <left/>
      </border>
    </dxf>
    <dxf>
      <font>
        <b val="0"/>
        <condense val="0"/>
        <extend val="0"/>
        <color indexed="44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44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8"/>
      </font>
      <fill>
        <patternFill patternType="solid">
          <fgColor indexed="26"/>
          <bgColor indexed="43"/>
        </patternFill>
      </fill>
    </dxf>
    <dxf>
      <font>
        <b val="0"/>
        <condense val="0"/>
        <extend val="0"/>
        <color indexed="8"/>
      </font>
      <fill>
        <patternFill patternType="solid">
          <fgColor indexed="46"/>
          <bgColor indexed="24"/>
        </patternFill>
      </fill>
    </dxf>
    <dxf>
      <font>
        <b val="0"/>
        <condense val="0"/>
        <extend val="0"/>
        <color indexed="8"/>
      </font>
      <fill>
        <patternFill patternType="solid">
          <fgColor indexed="26"/>
          <bgColor indexed="43"/>
        </patternFill>
      </fill>
    </dxf>
    <dxf>
      <font>
        <b val="0"/>
        <condense val="0"/>
        <extend val="0"/>
        <color indexed="8"/>
      </font>
      <fill>
        <patternFill patternType="solid">
          <fgColor indexed="46"/>
          <bgColor indexed="24"/>
        </patternFill>
      </fill>
    </dxf>
    <dxf>
      <font>
        <b val="0"/>
        <condense val="0"/>
        <extend val="0"/>
        <color indexed="8"/>
      </font>
      <fill>
        <patternFill patternType="solid">
          <fgColor indexed="26"/>
          <bgColor indexed="43"/>
        </patternFill>
      </fill>
    </dxf>
    <dxf>
      <font>
        <b val="0"/>
        <condense val="0"/>
        <extend val="0"/>
        <color indexed="8"/>
      </font>
      <fill>
        <patternFill patternType="solid">
          <fgColor indexed="46"/>
          <bgColor indexed="24"/>
        </patternFill>
      </fill>
    </dxf>
    <dxf>
      <font>
        <b val="0"/>
        <condense val="0"/>
        <extend val="0"/>
        <color indexed="8"/>
      </font>
      <fill>
        <patternFill patternType="solid">
          <fgColor indexed="26"/>
          <bgColor indexed="43"/>
        </patternFill>
      </fill>
    </dxf>
    <dxf>
      <font>
        <b val="0"/>
        <condense val="0"/>
        <extend val="0"/>
        <color indexed="8"/>
      </font>
      <fill>
        <patternFill patternType="solid">
          <fgColor indexed="46"/>
          <bgColor indexed="24"/>
        </patternFill>
      </fill>
    </dxf>
    <dxf>
      <font>
        <b val="0"/>
        <condense val="0"/>
        <extend val="0"/>
        <color indexed="8"/>
      </font>
      <fill>
        <patternFill patternType="solid">
          <fgColor indexed="26"/>
          <bgColor indexed="43"/>
        </patternFill>
      </fill>
    </dxf>
    <dxf>
      <font>
        <b val="0"/>
        <condense val="0"/>
        <extend val="0"/>
        <color indexed="8"/>
      </font>
      <fill>
        <patternFill patternType="solid">
          <fgColor indexed="46"/>
          <bgColor indexed="24"/>
        </patternFill>
      </fill>
    </dxf>
    <dxf>
      <font>
        <b val="0"/>
        <condense val="0"/>
        <extend val="0"/>
        <color indexed="8"/>
      </font>
      <fill>
        <patternFill patternType="solid">
          <fgColor indexed="26"/>
          <bgColor indexed="43"/>
        </patternFill>
      </fill>
    </dxf>
    <dxf>
      <font>
        <b val="0"/>
        <condense val="0"/>
        <extend val="0"/>
        <color indexed="8"/>
      </font>
      <fill>
        <patternFill patternType="solid">
          <fgColor indexed="46"/>
          <bgColor indexed="24"/>
        </patternFill>
      </fill>
    </dxf>
    <dxf>
      <font>
        <b val="0"/>
        <condense val="0"/>
        <extend val="0"/>
        <color indexed="8"/>
      </font>
      <fill>
        <patternFill patternType="solid">
          <fgColor indexed="26"/>
          <bgColor indexed="43"/>
        </patternFill>
      </fill>
    </dxf>
    <dxf>
      <font>
        <b val="0"/>
        <condense val="0"/>
        <extend val="0"/>
        <color indexed="8"/>
      </font>
      <fill>
        <patternFill patternType="solid">
          <fgColor indexed="46"/>
          <bgColor indexed="24"/>
        </patternFill>
      </fill>
    </dxf>
    <dxf>
      <font>
        <b val="0"/>
        <condense val="0"/>
        <extend val="0"/>
        <color indexed="8"/>
      </font>
      <fill>
        <patternFill patternType="solid">
          <fgColor indexed="26"/>
          <bgColor indexed="43"/>
        </patternFill>
      </fill>
    </dxf>
    <dxf>
      <font>
        <b val="0"/>
        <condense val="0"/>
        <extend val="0"/>
        <color indexed="8"/>
      </font>
      <fill>
        <patternFill patternType="solid">
          <fgColor indexed="46"/>
          <bgColor indexed="24"/>
        </patternFill>
      </fill>
    </dxf>
    <dxf>
      <font>
        <b val="0"/>
        <condense val="0"/>
        <extend val="0"/>
        <color indexed="8"/>
      </font>
      <fill>
        <patternFill patternType="solid">
          <fgColor indexed="26"/>
          <bgColor indexed="43"/>
        </patternFill>
      </fill>
    </dxf>
    <dxf>
      <font>
        <b val="0"/>
        <condense val="0"/>
        <extend val="0"/>
        <color indexed="8"/>
      </font>
      <fill>
        <patternFill patternType="solid">
          <fgColor indexed="46"/>
          <bgColor indexed="24"/>
        </patternFill>
      </fill>
    </dxf>
    <dxf>
      <font>
        <b val="0"/>
        <condense val="0"/>
        <extend val="0"/>
        <color indexed="8"/>
      </font>
      <fill>
        <patternFill patternType="solid">
          <fgColor indexed="26"/>
          <bgColor indexed="43"/>
        </patternFill>
      </fill>
    </dxf>
    <dxf>
      <font>
        <color theme="0"/>
      </font>
      <border>
        <left/>
        <right/>
      </border>
    </dxf>
    <dxf>
      <font>
        <b val="0"/>
        <condense val="0"/>
        <extend val="0"/>
        <color indexed="8"/>
      </font>
      <fill>
        <patternFill patternType="solid">
          <fgColor indexed="46"/>
          <bgColor indexed="24"/>
        </patternFill>
      </fill>
    </dxf>
    <dxf>
      <font>
        <b val="0"/>
        <condense val="0"/>
        <extend val="0"/>
        <color indexed="9"/>
      </font>
      <border>
        <left/>
      </border>
    </dxf>
    <dxf>
      <font>
        <b val="0"/>
        <condense val="0"/>
        <extend val="0"/>
        <color indexed="44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44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8"/>
      </font>
      <fill>
        <patternFill patternType="solid">
          <fgColor indexed="26"/>
          <bgColor indexed="43"/>
        </patternFill>
      </fill>
    </dxf>
    <dxf>
      <fill>
        <patternFill patternType="solid">
          <fgColor indexed="26"/>
          <bgColor indexed="43"/>
        </patternFill>
      </fill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/>
        <i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/>
        <i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/>
        <i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/>
        <i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/>
        <i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/>
        <i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/>
        <i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/>
        <i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/>
        <i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/>
        <i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/>
        <i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/>
        <i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/>
        <i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/>
        <i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/>
        <i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/>
        <i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/>
        <i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/>
        <i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/>
        <i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/>
        <i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/>
        <i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/>
        <i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/>
        <i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/>
        <i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/>
        <i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/>
        <i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/>
        <i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/>
        <i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/>
        <i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/>
        <i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/>
        <i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/>
        <i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/>
        <i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/>
        <i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/>
        <i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/>
        <i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/>
        <i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/>
        <i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/>
        <i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/>
        <i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/>
        <i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/>
        <i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/>
        <i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/>
        <i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/>
        <i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/>
        <i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/>
        <i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/>
        <i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/>
        <i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/>
        <i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/>
        <i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/>
        <i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/>
        <i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/>
        <i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/>
        <i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/>
        <i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/>
        <i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/>
        <i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/>
        <i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/>
        <i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/>
        <i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/>
        <i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/>
        <i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/>
        <i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/>
        <i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/>
        <i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/>
        <i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/>
        <i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/>
        <i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/>
        <i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/>
        <i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/>
        <i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/>
        <i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/>
        <i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/>
        <i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/>
        <i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/>
        <i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/>
        <i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/>
        <i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/>
        <i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/>
        <i val="0"/>
        <condense val="0"/>
        <extend val="0"/>
      </font>
    </dxf>
    <dxf>
      <font>
        <b val="0"/>
        <condense val="0"/>
        <extend val="0"/>
        <color indexed="17"/>
      </font>
      <border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ont>
        <b val="0"/>
        <condense val="0"/>
        <extend val="0"/>
        <color indexed="10"/>
      </font>
      <border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ont>
        <b/>
        <i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 style="thin">
          <color indexed="64"/>
        </top>
        <bottom/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9"/>
      </font>
      <fill>
        <patternFill patternType="none">
          <fgColor indexed="64"/>
          <bgColor indexed="65"/>
        </patternFill>
      </fill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color rgb="FFC0C0C0"/>
      </font>
      <fill>
        <patternFill>
          <bgColor rgb="FFC0C0C0"/>
        </patternFill>
      </fill>
      <border>
        <left/>
        <right/>
        <top/>
        <bottom/>
      </border>
    </dxf>
    <dxf>
      <font>
        <color rgb="FFC0C0C0"/>
      </font>
      <fill>
        <patternFill>
          <bgColor rgb="FFC0C0C0"/>
        </patternFill>
      </fill>
      <border>
        <left/>
        <right/>
        <top/>
        <bottom/>
      </border>
    </dxf>
    <dxf>
      <font>
        <color rgb="FFC0C0C0"/>
      </font>
      <fill>
        <patternFill>
          <bgColor rgb="FFC0C0C0"/>
        </patternFill>
      </fill>
      <border>
        <left/>
        <right/>
        <top/>
        <bottom/>
      </border>
    </dxf>
    <dxf>
      <font>
        <color rgb="FFC0C0C0"/>
      </font>
      <fill>
        <patternFill>
          <bgColor rgb="FFC0C0C0"/>
        </patternFill>
      </fill>
      <border>
        <left/>
        <right/>
        <top/>
        <bottom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F2F2FF"/>
      <rgbColor rgb="00DFDFDF"/>
      <rgbColor rgb="00FFFF99"/>
      <rgbColor rgb="00BFBFBF"/>
      <rgbColor rgb="00FF99CC"/>
      <rgbColor rgb="00A7A7A7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trlProps/ctrlProp1.xml><?xml version="1.0" encoding="utf-8"?>
<formControlPr xmlns="http://schemas.microsoft.com/office/spreadsheetml/2009/9/main" objectType="GBox" noThreeD="1"/>
</file>

<file path=xl/ctrlProps/ctrlProp10.xml><?xml version="1.0" encoding="utf-8"?>
<formControlPr xmlns="http://schemas.microsoft.com/office/spreadsheetml/2009/9/main" objectType="Spin" dx="15" fmlaLink="$J$9" max="30000" min="1" page="10"/>
</file>

<file path=xl/ctrlProps/ctrlProp11.xml><?xml version="1.0" encoding="utf-8"?>
<formControlPr xmlns="http://schemas.microsoft.com/office/spreadsheetml/2009/9/main" objectType="CheckBox" checked="Checked" fmlaLink="$A$9" noThreeD="1"/>
</file>

<file path=xl/ctrlProps/ctrlProp12.xml><?xml version="1.0" encoding="utf-8"?>
<formControlPr xmlns="http://schemas.microsoft.com/office/spreadsheetml/2009/9/main" objectType="Spin" dx="15" fmlaLink="$O$8" max="30000" min="1" page="10"/>
</file>

<file path=xl/ctrlProps/ctrlProp2.xml><?xml version="1.0" encoding="utf-8"?>
<formControlPr xmlns="http://schemas.microsoft.com/office/spreadsheetml/2009/9/main" objectType="Drop" dropStyle="combo" dx="26" fmlaLink="$O$4" fmlaRange="$J$7:$J$8" noThreeD="1" sel="2" val="0"/>
</file>

<file path=xl/ctrlProps/ctrlProp3.xml><?xml version="1.0" encoding="utf-8"?>
<formControlPr xmlns="http://schemas.microsoft.com/office/spreadsheetml/2009/9/main" objectType="GBox" noThreeD="1"/>
</file>

<file path=xl/ctrlProps/ctrlProp4.xml><?xml version="1.0" encoding="utf-8"?>
<formControlPr xmlns="http://schemas.microsoft.com/office/spreadsheetml/2009/9/main" objectType="Drop" dropStyle="combo" dx="26" fmlaLink="$O$3" fmlaRange="$J$5:$J$6" noThreeD="1" sel="1" val="0"/>
</file>

<file path=xl/ctrlProps/ctrlProp5.xml><?xml version="1.0" encoding="utf-8"?>
<formControlPr xmlns="http://schemas.microsoft.com/office/spreadsheetml/2009/9/main" objectType="CheckBox" checked="Checked" fmlaLink="$AF$7"/>
</file>

<file path=xl/ctrlProps/ctrlProp6.xml><?xml version="1.0" encoding="utf-8"?>
<formControlPr xmlns="http://schemas.microsoft.com/office/spreadsheetml/2009/9/main" objectType="CheckBox" checked="Checked" fmlaLink="$AF$8"/>
</file>

<file path=xl/ctrlProps/ctrlProp7.xml><?xml version="1.0" encoding="utf-8"?>
<formControlPr xmlns="http://schemas.microsoft.com/office/spreadsheetml/2009/9/main" objectType="CheckBox" checked="Checked" fmlaLink="$AF$9"/>
</file>

<file path=xl/ctrlProps/ctrlProp8.xml><?xml version="1.0" encoding="utf-8"?>
<formControlPr xmlns="http://schemas.microsoft.com/office/spreadsheetml/2009/9/main" objectType="CheckBox" checked="Checked" fmlaLink="$AF$10"/>
</file>

<file path=xl/ctrlProps/ctrlProp9.xml><?xml version="1.0" encoding="utf-8"?>
<formControlPr xmlns="http://schemas.microsoft.com/office/spreadsheetml/2009/9/main" objectType="CheckBox" checked="Checked" fmlaLink="$AF$1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C&#193;LCULO!D13"/><Relationship Id="rId2" Type="http://schemas.openxmlformats.org/officeDocument/2006/relationships/hyperlink" Target="#Menu!E6"/><Relationship Id="rId1" Type="http://schemas.openxmlformats.org/officeDocument/2006/relationships/image" Target="../media/image2.emf"/><Relationship Id="rId4" Type="http://schemas.openxmlformats.org/officeDocument/2006/relationships/hyperlink" Target="#RRE!E13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Menu!E6"/><Relationship Id="rId1" Type="http://schemas.openxmlformats.org/officeDocument/2006/relationships/image" Target="../media/image2.emf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RRE!E13"/><Relationship Id="rId2" Type="http://schemas.openxmlformats.org/officeDocument/2006/relationships/image" Target="../media/image2.emf"/><Relationship Id="rId1" Type="http://schemas.openxmlformats.org/officeDocument/2006/relationships/hyperlink" Target="#Menu!E6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Of&#237;cio!C6"/><Relationship Id="rId2" Type="http://schemas.openxmlformats.org/officeDocument/2006/relationships/hyperlink" Target="#Menu!E6"/><Relationship Id="rId1" Type="http://schemas.openxmlformats.org/officeDocument/2006/relationships/image" Target="../media/image2.emf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RRE!E13"/><Relationship Id="rId1" Type="http://schemas.openxmlformats.org/officeDocument/2006/relationships/hyperlink" Target="#Menu!E6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Menu!E6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Menu!E6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OR&#199;AMENTO!M13"/><Relationship Id="rId2" Type="http://schemas.openxmlformats.org/officeDocument/2006/relationships/hyperlink" Target="#Menu!E6"/><Relationship Id="rId1" Type="http://schemas.openxmlformats.org/officeDocument/2006/relationships/image" Target="../media/image2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BDI!Q11"/><Relationship Id="rId2" Type="http://schemas.openxmlformats.org/officeDocument/2006/relationships/hyperlink" Target="#Menu!E6"/><Relationship Id="rId1" Type="http://schemas.openxmlformats.org/officeDocument/2006/relationships/image" Target="../media/image2.emf"/><Relationship Id="rId4" Type="http://schemas.openxmlformats.org/officeDocument/2006/relationships/hyperlink" Target="#C&#193;LCULO!D13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EVENTOS!A1"/><Relationship Id="rId2" Type="http://schemas.openxmlformats.org/officeDocument/2006/relationships/hyperlink" Target="#Menu!E6"/><Relationship Id="rId1" Type="http://schemas.openxmlformats.org/officeDocument/2006/relationships/image" Target="../media/image2.emf"/><Relationship Id="rId4" Type="http://schemas.openxmlformats.org/officeDocument/2006/relationships/hyperlink" Target="#OR&#199;AMENTO!M13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C&#193;LCULO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CRONOPLE!B2"/><Relationship Id="rId2" Type="http://schemas.openxmlformats.org/officeDocument/2006/relationships/hyperlink" Target="#Menu!E6"/><Relationship Id="rId1" Type="http://schemas.openxmlformats.org/officeDocument/2006/relationships/image" Target="../media/image2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CRONO!E7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2087880</xdr:colOff>
      <xdr:row>2</xdr:row>
      <xdr:rowOff>259080</xdr:rowOff>
    </xdr:to>
    <xdr:pic>
      <xdr:nvPicPr>
        <xdr:cNvPr id="129297" name="Imagem 2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190500"/>
          <a:ext cx="2476500" cy="541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9526</xdr:colOff>
      <xdr:row>6</xdr:row>
      <xdr:rowOff>158114</xdr:rowOff>
    </xdr:from>
    <xdr:to>
      <xdr:col>9</xdr:col>
      <xdr:colOff>1146814</xdr:colOff>
      <xdr:row>9</xdr:row>
      <xdr:rowOff>38107</xdr:rowOff>
    </xdr:to>
    <xdr:sp macro="[0]!imprimirPROPOSTA" textlink="" fLocksText="0">
      <xdr:nvSpPr>
        <xdr:cNvPr id="10" name="Bot.ImprimirProposta"/>
        <xdr:cNvSpPr>
          <a:spLocks noChangeArrowheads="1"/>
        </xdr:cNvSpPr>
      </xdr:nvSpPr>
      <xdr:spPr bwMode="auto">
        <a:xfrm>
          <a:off x="9629776" y="1600199"/>
          <a:ext cx="1104900" cy="485775"/>
        </a:xfrm>
        <a:prstGeom prst="roundRect">
          <a:avLst>
            <a:gd name="adj" fmla="val 16667"/>
          </a:avLst>
        </a:prstGeom>
        <a:solidFill>
          <a:srgbClr val="FFCC99"/>
        </a:solidFill>
        <a:ln w="9360">
          <a:solidFill>
            <a:srgbClr val="808080"/>
          </a:solidFill>
          <a:miter lim="800000"/>
          <a:headEnd/>
          <a:tailEnd/>
        </a:ln>
        <a:effectLst/>
      </xdr:spPr>
      <xdr:txBody>
        <a:bodyPr vertOverflow="clip" wrap="square" lIns="27360" tIns="27360" rIns="27360" bIns="27360" anchor="ctr"/>
        <a:lstStyle/>
        <a:p>
          <a:pPr algn="ctr" rtl="0">
            <a:defRPr sz="1000"/>
          </a:pPr>
          <a:r>
            <a:rPr lang="pt-BR" sz="1100" b="1" i="0" u="none" strike="noStrike" baseline="0">
              <a:solidFill>
                <a:srgbClr val="000000"/>
              </a:solidFill>
              <a:latin typeface="Calibri"/>
            </a:rPr>
            <a:t>IMPRIMIR DOCUMENTOS</a:t>
          </a:r>
        </a:p>
      </xdr:txBody>
    </xdr:sp>
    <xdr:clientData/>
  </xdr:twoCellAnchor>
  <xdr:twoCellAnchor>
    <xdr:from>
      <xdr:col>9</xdr:col>
      <xdr:colOff>9525</xdr:colOff>
      <xdr:row>14</xdr:row>
      <xdr:rowOff>158115</xdr:rowOff>
    </xdr:from>
    <xdr:to>
      <xdr:col>9</xdr:col>
      <xdr:colOff>1146813</xdr:colOff>
      <xdr:row>17</xdr:row>
      <xdr:rowOff>38108</xdr:rowOff>
    </xdr:to>
    <xdr:sp macro="[0]!imprimirLICITADO" textlink="" fLocksText="0">
      <xdr:nvSpPr>
        <xdr:cNvPr id="12" name="Bot.ImprimirLicitacao"/>
        <xdr:cNvSpPr>
          <a:spLocks noChangeArrowheads="1"/>
        </xdr:cNvSpPr>
      </xdr:nvSpPr>
      <xdr:spPr bwMode="auto">
        <a:xfrm>
          <a:off x="9629775" y="3228975"/>
          <a:ext cx="1104900" cy="485775"/>
        </a:xfrm>
        <a:prstGeom prst="roundRect">
          <a:avLst>
            <a:gd name="adj" fmla="val 16667"/>
          </a:avLst>
        </a:prstGeom>
        <a:solidFill>
          <a:srgbClr val="FFCC99"/>
        </a:solidFill>
        <a:ln w="9360">
          <a:solidFill>
            <a:srgbClr val="808080"/>
          </a:solidFill>
          <a:miter lim="800000"/>
          <a:headEnd/>
          <a:tailEnd/>
        </a:ln>
        <a:effectLst/>
      </xdr:spPr>
      <xdr:txBody>
        <a:bodyPr vertOverflow="clip" wrap="square" lIns="27360" tIns="27360" rIns="27360" bIns="27360" anchor="ctr"/>
        <a:lstStyle/>
        <a:p>
          <a:pPr algn="ctr" rtl="0">
            <a:defRPr sz="1000"/>
          </a:pPr>
          <a:r>
            <a:rPr lang="pt-BR" sz="1100" b="1" i="0" u="none" strike="noStrike" baseline="0">
              <a:solidFill>
                <a:srgbClr val="000000"/>
              </a:solidFill>
              <a:latin typeface="Calibri"/>
            </a:rPr>
            <a:t>IMPRIMIR DOCUMENTOS</a:t>
          </a:r>
        </a:p>
      </xdr:txBody>
    </xdr:sp>
    <xdr:clientData/>
  </xdr:twoCellAnchor>
  <xdr:twoCellAnchor>
    <xdr:from>
      <xdr:col>9</xdr:col>
      <xdr:colOff>0</xdr:colOff>
      <xdr:row>18</xdr:row>
      <xdr:rowOff>142875</xdr:rowOff>
    </xdr:from>
    <xdr:to>
      <xdr:col>9</xdr:col>
      <xdr:colOff>1137288</xdr:colOff>
      <xdr:row>21</xdr:row>
      <xdr:rowOff>28575</xdr:rowOff>
    </xdr:to>
    <xdr:sp macro="[0]!imprimirMedicao" textlink="" fLocksText="0">
      <xdr:nvSpPr>
        <xdr:cNvPr id="13" name="Bot.ImprimirAcompanhamento"/>
        <xdr:cNvSpPr>
          <a:spLocks noChangeArrowheads="1"/>
        </xdr:cNvSpPr>
      </xdr:nvSpPr>
      <xdr:spPr bwMode="auto">
        <a:xfrm>
          <a:off x="9620250" y="4086225"/>
          <a:ext cx="1104900" cy="485775"/>
        </a:xfrm>
        <a:prstGeom prst="roundRect">
          <a:avLst>
            <a:gd name="adj" fmla="val 16667"/>
          </a:avLst>
        </a:prstGeom>
        <a:solidFill>
          <a:srgbClr val="FFCC99"/>
        </a:solidFill>
        <a:ln w="9360">
          <a:solidFill>
            <a:srgbClr val="808080"/>
          </a:solidFill>
          <a:miter lim="800000"/>
          <a:headEnd/>
          <a:tailEnd/>
        </a:ln>
        <a:effectLst/>
      </xdr:spPr>
      <xdr:txBody>
        <a:bodyPr vertOverflow="clip" wrap="square" lIns="27360" tIns="27360" rIns="27360" bIns="27360" anchor="ctr"/>
        <a:lstStyle/>
        <a:p>
          <a:pPr algn="ctr" rtl="0">
            <a:defRPr sz="1000"/>
          </a:pPr>
          <a:r>
            <a:rPr lang="pt-BR" sz="1100" b="1" i="0" u="none" strike="noStrike" baseline="0">
              <a:solidFill>
                <a:srgbClr val="000000"/>
              </a:solidFill>
              <a:latin typeface="Calibri"/>
            </a:rPr>
            <a:t>IMPRIMIR DOCUMENTOS</a:t>
          </a:r>
        </a:p>
      </xdr:txBody>
    </xdr:sp>
    <xdr:clientData/>
  </xdr:twoCellAnchor>
  <xdr:twoCellAnchor>
    <xdr:from>
      <xdr:col>9</xdr:col>
      <xdr:colOff>9524</xdr:colOff>
      <xdr:row>2</xdr:row>
      <xdr:rowOff>0</xdr:rowOff>
    </xdr:from>
    <xdr:to>
      <xdr:col>11</xdr:col>
      <xdr:colOff>47625</xdr:colOff>
      <xdr:row>5</xdr:row>
      <xdr:rowOff>66675</xdr:rowOff>
    </xdr:to>
    <xdr:sp macro="[0]!Importar" textlink="" fLocksText="0">
      <xdr:nvSpPr>
        <xdr:cNvPr id="14" name="Bot.Importar"/>
        <xdr:cNvSpPr>
          <a:spLocks noChangeArrowheads="1"/>
        </xdr:cNvSpPr>
      </xdr:nvSpPr>
      <xdr:spPr bwMode="auto">
        <a:xfrm>
          <a:off x="9629774" y="476250"/>
          <a:ext cx="1504951" cy="771525"/>
        </a:xfrm>
        <a:prstGeom prst="roundRect">
          <a:avLst>
            <a:gd name="adj" fmla="val 16667"/>
          </a:avLst>
        </a:prstGeom>
        <a:solidFill>
          <a:srgbClr val="FFCC99"/>
        </a:solidFill>
        <a:ln w="9360">
          <a:solidFill>
            <a:srgbClr val="808080"/>
          </a:solidFill>
          <a:miter lim="800000"/>
          <a:headEnd/>
          <a:tailEnd/>
        </a:ln>
        <a:effectLst/>
      </xdr:spPr>
      <xdr:txBody>
        <a:bodyPr vertOverflow="clip" wrap="square" lIns="27360" tIns="27360" rIns="27360" bIns="27360" anchor="ctr"/>
        <a:lstStyle/>
        <a:p>
          <a:pPr algn="ctr" rtl="0">
            <a:defRPr sz="1000"/>
          </a:pPr>
          <a:r>
            <a:rPr lang="pt-BR" sz="1100" b="1" i="0" u="none" strike="noStrike" baseline="0">
              <a:solidFill>
                <a:srgbClr val="000000"/>
              </a:solidFill>
              <a:latin typeface="Calibri"/>
            </a:rPr>
            <a:t>IMPORTAR DE OUTRA PLANILHA MÚLTIPLA (A PARTIR DA VERSÃO 3)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7620</xdr:colOff>
          <xdr:row>4</xdr:row>
          <xdr:rowOff>0</xdr:rowOff>
        </xdr:from>
        <xdr:to>
          <xdr:col>2</xdr:col>
          <xdr:colOff>1264920</xdr:colOff>
          <xdr:row>6</xdr:row>
          <xdr:rowOff>7620</xdr:rowOff>
        </xdr:to>
        <xdr:grpSp>
          <xdr:nvGrpSpPr>
            <xdr:cNvPr id="129302" name="TipoOrçamento"/>
            <xdr:cNvGrpSpPr>
              <a:grpSpLocks/>
            </xdr:cNvGrpSpPr>
          </xdr:nvGrpSpPr>
          <xdr:grpSpPr bwMode="auto">
            <a:xfrm>
              <a:off x="594360" y="967741"/>
              <a:ext cx="1257300" cy="487680"/>
              <a:chOff x="523876" y="971551"/>
              <a:chExt cx="1257300" cy="485775"/>
            </a:xfrm>
          </xdr:grpSpPr>
          <xdr:sp macro="" textlink="">
            <xdr:nvSpPr>
              <xdr:cNvPr id="15377" name="Group Box 17" descr="Tipo de Orçamento          " hidden="1">
                <a:extLst>
                  <a:ext uri="{63B3BB69-23CF-44E3-9099-C40C66FF867C}">
                    <a14:compatExt spid="_x0000_s15377"/>
                  </a:ext>
                </a:extLst>
              </xdr:cNvPr>
              <xdr:cNvSpPr/>
            </xdr:nvSpPr>
            <xdr:spPr bwMode="auto">
              <a:xfrm>
                <a:off x="523876" y="971551"/>
                <a:ext cx="1257300" cy="485775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7432" rIns="0" bIns="0" anchor="t" upright="1"/>
              <a:lstStyle/>
              <a:p>
                <a:pPr algn="l" rtl="0">
                  <a:defRPr sz="1000"/>
                </a:pPr>
                <a:r>
                  <a:rPr lang="pt-BR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Tipo de Orçamento          </a:t>
                </a:r>
              </a:p>
            </xdr:txBody>
          </xdr:sp>
          <xdr:sp macro="" textlink="">
            <xdr:nvSpPr>
              <xdr:cNvPr id="15453" name="Drop Down 93" hidden="1">
                <a:extLst>
                  <a:ext uri="{63B3BB69-23CF-44E3-9099-C40C66FF867C}">
                    <a14:compatExt spid="_x0000_s15453"/>
                  </a:ext>
                </a:extLst>
              </xdr:cNvPr>
              <xdr:cNvSpPr/>
            </xdr:nvSpPr>
            <xdr:spPr bwMode="auto">
              <a:xfrm>
                <a:off x="647699" y="1133476"/>
                <a:ext cx="981076" cy="219074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1363980</xdr:colOff>
          <xdr:row>4</xdr:row>
          <xdr:rowOff>0</xdr:rowOff>
        </xdr:from>
        <xdr:to>
          <xdr:col>3</xdr:col>
          <xdr:colOff>22860</xdr:colOff>
          <xdr:row>6</xdr:row>
          <xdr:rowOff>7620</xdr:rowOff>
        </xdr:to>
        <xdr:grpSp>
          <xdr:nvGrpSpPr>
            <xdr:cNvPr id="129303" name="Acompanhamento"/>
            <xdr:cNvGrpSpPr>
              <a:grpSpLocks/>
            </xdr:cNvGrpSpPr>
          </xdr:nvGrpSpPr>
          <xdr:grpSpPr bwMode="auto">
            <a:xfrm>
              <a:off x="1950719" y="967741"/>
              <a:ext cx="1303020" cy="487680"/>
              <a:chOff x="1790699" y="971551"/>
              <a:chExt cx="1304925" cy="485775"/>
            </a:xfrm>
          </xdr:grpSpPr>
          <xdr:sp macro="" textlink="">
            <xdr:nvSpPr>
              <xdr:cNvPr id="15384" name="Group Box 24" hidden="1">
                <a:extLst>
                  <a:ext uri="{63B3BB69-23CF-44E3-9099-C40C66FF867C}">
                    <a14:compatExt spid="_x0000_s15384"/>
                  </a:ext>
                </a:extLst>
              </xdr:cNvPr>
              <xdr:cNvSpPr/>
            </xdr:nvSpPr>
            <xdr:spPr bwMode="auto">
              <a:xfrm>
                <a:off x="1790699" y="971551"/>
                <a:ext cx="1304925" cy="485775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7432" rIns="0" bIns="0" anchor="t" upright="1"/>
              <a:lstStyle/>
              <a:p>
                <a:pPr algn="l" rtl="0">
                  <a:defRPr sz="1000"/>
                </a:pPr>
                <a:r>
                  <a:rPr lang="pt-BR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Acompanhamento     </a:t>
                </a:r>
              </a:p>
            </xdr:txBody>
          </xdr:sp>
          <xdr:sp macro="" textlink="">
            <xdr:nvSpPr>
              <xdr:cNvPr id="15454" name="Drop Down 94" hidden="1">
                <a:extLst>
                  <a:ext uri="{63B3BB69-23CF-44E3-9099-C40C66FF867C}">
                    <a14:compatExt spid="_x0000_s15454"/>
                  </a:ext>
                </a:extLst>
              </xdr:cNvPr>
              <xdr:cNvSpPr/>
            </xdr:nvSpPr>
            <xdr:spPr bwMode="auto">
              <a:xfrm>
                <a:off x="1924050" y="1133475"/>
                <a:ext cx="981075" cy="21907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3</xdr:col>
      <xdr:colOff>137160</xdr:colOff>
      <xdr:row>3</xdr:row>
      <xdr:rowOff>182880</xdr:rowOff>
    </xdr:to>
    <xdr:pic>
      <xdr:nvPicPr>
        <xdr:cNvPr id="13634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0"/>
          <a:ext cx="185928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</xdr:row>
      <xdr:rowOff>147108</xdr:rowOff>
    </xdr:from>
    <xdr:to>
      <xdr:col>2</xdr:col>
      <xdr:colOff>26808</xdr:colOff>
      <xdr:row>9</xdr:row>
      <xdr:rowOff>116950</xdr:rowOff>
    </xdr:to>
    <xdr:sp macro="" textlink="" fLocksText="0">
      <xdr:nvSpPr>
        <xdr:cNvPr id="10243" name="AutoShape 67">
          <a:hlinkClick xmlns:r="http://schemas.openxmlformats.org/officeDocument/2006/relationships" r:id="rId2"/>
        </xdr:cNvPr>
        <xdr:cNvSpPr>
          <a:spLocks noChangeArrowheads="1"/>
        </xdr:cNvSpPr>
      </xdr:nvSpPr>
      <xdr:spPr bwMode="auto">
        <a:xfrm>
          <a:off x="254000" y="1025525"/>
          <a:ext cx="568325" cy="314325"/>
        </a:xfrm>
        <a:prstGeom prst="roundRect">
          <a:avLst>
            <a:gd name="adj" fmla="val 16667"/>
          </a:avLst>
        </a:prstGeom>
        <a:solidFill>
          <a:srgbClr val="99CCFF"/>
        </a:solidFill>
        <a:ln w="9360">
          <a:solidFill>
            <a:srgbClr val="808080"/>
          </a:solidFill>
          <a:miter lim="800000"/>
          <a:headEnd/>
          <a:tailEnd/>
        </a:ln>
        <a:effectLst/>
      </xdr:spPr>
      <xdr:txBody>
        <a:bodyPr vertOverflow="clip" wrap="square" lIns="27360" tIns="27360" rIns="27360" bIns="27360" anchor="ctr"/>
        <a:lstStyle/>
        <a:p>
          <a:pPr algn="ctr" rtl="0">
            <a:defRPr sz="1000"/>
          </a:pPr>
          <a:r>
            <a:rPr lang="pt-BR" sz="1100" b="1" i="0" u="none" strike="noStrike" baseline="0">
              <a:solidFill>
                <a:srgbClr val="000000"/>
              </a:solidFill>
              <a:latin typeface="Calibri"/>
            </a:rPr>
            <a:t>MENU</a:t>
          </a:r>
        </a:p>
      </xdr:txBody>
    </xdr:sp>
    <xdr:clientData fPrintsWithSheet="0"/>
  </xdr:twoCellAnchor>
  <xdr:twoCellAnchor>
    <xdr:from>
      <xdr:col>1</xdr:col>
      <xdr:colOff>0</xdr:colOff>
      <xdr:row>10</xdr:row>
      <xdr:rowOff>0</xdr:rowOff>
    </xdr:from>
    <xdr:to>
      <xdr:col>2</xdr:col>
      <xdr:colOff>29973</xdr:colOff>
      <xdr:row>10</xdr:row>
      <xdr:rowOff>302683</xdr:rowOff>
    </xdr:to>
    <xdr:sp macro="" textlink="" fLocksText="0">
      <xdr:nvSpPr>
        <xdr:cNvPr id="5" name="AutoShape 67">
          <a:hlinkClick xmlns:r="http://schemas.openxmlformats.org/officeDocument/2006/relationships" r:id="rId3"/>
        </xdr:cNvPr>
        <xdr:cNvSpPr>
          <a:spLocks noChangeArrowheads="1"/>
        </xdr:cNvSpPr>
      </xdr:nvSpPr>
      <xdr:spPr bwMode="auto">
        <a:xfrm>
          <a:off x="254000" y="1397000"/>
          <a:ext cx="571501" cy="302683"/>
        </a:xfrm>
        <a:prstGeom prst="roundRect">
          <a:avLst>
            <a:gd name="adj" fmla="val 16667"/>
          </a:avLst>
        </a:prstGeom>
        <a:solidFill>
          <a:srgbClr val="99CCFF"/>
        </a:solidFill>
        <a:ln w="9360">
          <a:solidFill>
            <a:srgbClr val="808080"/>
          </a:solidFill>
          <a:miter lim="800000"/>
          <a:headEnd/>
          <a:tailEnd/>
        </a:ln>
        <a:effectLst/>
      </xdr:spPr>
      <xdr:txBody>
        <a:bodyPr vertOverflow="clip" wrap="square" lIns="27360" tIns="27360" rIns="27360" bIns="27360" anchor="ctr"/>
        <a:lstStyle/>
        <a:p>
          <a:pPr algn="ctr" rtl="0">
            <a:defRPr sz="1000"/>
          </a:pPr>
          <a:r>
            <a:rPr lang="pt-BR" sz="1100" b="1" i="0" u="none" strike="noStrike" baseline="0">
              <a:solidFill>
                <a:srgbClr val="000000"/>
              </a:solidFill>
              <a:latin typeface="Calibri" panose="020F0502020204030204" pitchFamily="34" charset="0"/>
            </a:rPr>
            <a:t>←</a:t>
          </a:r>
          <a:endParaRPr lang="pt-BR" sz="1100" b="1" i="0" u="none" strike="noStrike" baseline="0">
            <a:solidFill>
              <a:srgbClr val="000000"/>
            </a:solidFill>
            <a:latin typeface="Calibri"/>
          </a:endParaRPr>
        </a:p>
      </xdr:txBody>
    </xdr:sp>
    <xdr:clientData fPrintsWithSheet="0"/>
  </xdr:twoCellAnchor>
  <xdr:twoCellAnchor>
    <xdr:from>
      <xdr:col>1</xdr:col>
      <xdr:colOff>0</xdr:colOff>
      <xdr:row>10</xdr:row>
      <xdr:rowOff>367453</xdr:rowOff>
    </xdr:from>
    <xdr:to>
      <xdr:col>2</xdr:col>
      <xdr:colOff>29973</xdr:colOff>
      <xdr:row>10</xdr:row>
      <xdr:rowOff>678101</xdr:rowOff>
    </xdr:to>
    <xdr:sp macro="" textlink="" fLocksText="0">
      <xdr:nvSpPr>
        <xdr:cNvPr id="6" name="AutoShape 67">
          <a:hlinkClick xmlns:r="http://schemas.openxmlformats.org/officeDocument/2006/relationships" r:id="rId4"/>
        </xdr:cNvPr>
        <xdr:cNvSpPr>
          <a:spLocks noChangeArrowheads="1"/>
        </xdr:cNvSpPr>
      </xdr:nvSpPr>
      <xdr:spPr bwMode="auto">
        <a:xfrm>
          <a:off x="254000" y="1756833"/>
          <a:ext cx="571501" cy="302683"/>
        </a:xfrm>
        <a:prstGeom prst="roundRect">
          <a:avLst>
            <a:gd name="adj" fmla="val 16667"/>
          </a:avLst>
        </a:prstGeom>
        <a:solidFill>
          <a:srgbClr val="99CCFF"/>
        </a:solidFill>
        <a:ln w="9360">
          <a:solidFill>
            <a:srgbClr val="808080"/>
          </a:solidFill>
          <a:miter lim="800000"/>
          <a:headEnd/>
          <a:tailEnd/>
        </a:ln>
        <a:effectLst/>
      </xdr:spPr>
      <xdr:txBody>
        <a:bodyPr vertOverflow="clip" wrap="square" lIns="27360" tIns="27360" rIns="27360" bIns="27360" anchor="ctr"/>
        <a:lstStyle/>
        <a:p>
          <a:pPr algn="ctr" rtl="0">
            <a:defRPr sz="1000"/>
          </a:pPr>
          <a:r>
            <a:rPr lang="pt-BR" sz="1100" b="1" i="0" u="none" strike="noStrike" baseline="0">
              <a:solidFill>
                <a:srgbClr val="000000"/>
              </a:solidFill>
              <a:latin typeface="Calibri" panose="020F0502020204030204" pitchFamily="34" charset="0"/>
            </a:rPr>
            <a:t>→</a:t>
          </a:r>
          <a:endParaRPr lang="pt-BR" sz="1100" b="1" i="0" u="none" strike="noStrike" baseline="0">
            <a:solidFill>
              <a:srgbClr val="000000"/>
            </a:solidFill>
            <a:latin typeface="Calibri"/>
          </a:endParaRP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8</xdr:row>
          <xdr:rowOff>7620</xdr:rowOff>
        </xdr:from>
        <xdr:to>
          <xdr:col>11</xdr:col>
          <xdr:colOff>213360</xdr:colOff>
          <xdr:row>9</xdr:row>
          <xdr:rowOff>0</xdr:rowOff>
        </xdr:to>
        <xdr:sp macro="" textlink="">
          <xdr:nvSpPr>
            <xdr:cNvPr id="10246" name="Botão de rotação 275" hidden="1">
              <a:extLst>
                <a:ext uri="{63B3BB69-23CF-44E3-9099-C40C66FF867C}">
                  <a14:compatExt spid="_x0000_s10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7620</xdr:colOff>
      <xdr:row>0</xdr:row>
      <xdr:rowOff>0</xdr:rowOff>
    </xdr:from>
    <xdr:to>
      <xdr:col>5</xdr:col>
      <xdr:colOff>114300</xdr:colOff>
      <xdr:row>0</xdr:row>
      <xdr:rowOff>381000</xdr:rowOff>
    </xdr:to>
    <xdr:pic>
      <xdr:nvPicPr>
        <xdr:cNvPr id="13745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0"/>
          <a:ext cx="184404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116417</xdr:colOff>
      <xdr:row>7</xdr:row>
      <xdr:rowOff>140970</xdr:rowOff>
    </xdr:from>
    <xdr:to>
      <xdr:col>15</xdr:col>
      <xdr:colOff>2988</xdr:colOff>
      <xdr:row>10</xdr:row>
      <xdr:rowOff>148236</xdr:rowOff>
    </xdr:to>
    <xdr:sp macro="" textlink="" fLocksText="0">
      <xdr:nvSpPr>
        <xdr:cNvPr id="11268" name="AutoShape 317"/>
        <xdr:cNvSpPr>
          <a:spLocks noChangeArrowheads="1"/>
        </xdr:cNvSpPr>
      </xdr:nvSpPr>
      <xdr:spPr bwMode="auto">
        <a:xfrm>
          <a:off x="12096750" y="1361017"/>
          <a:ext cx="2116667" cy="491066"/>
        </a:xfrm>
        <a:prstGeom prst="wedgeRectCallout">
          <a:avLst>
            <a:gd name="adj1" fmla="val 121111"/>
            <a:gd name="adj2" fmla="val 52440"/>
          </a:avLst>
        </a:prstGeom>
        <a:solidFill>
          <a:srgbClr val="FFFF99"/>
        </a:solidFill>
        <a:ln w="9360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27360" tIns="22680" rIns="0" bIns="0" anchor="t"/>
        <a:lstStyle/>
        <a:p>
          <a:pPr algn="l" rtl="0">
            <a:defRPr sz="1000"/>
          </a:pPr>
          <a:r>
            <a:rPr lang="pt-B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Para inclusão de metas de outras Plan. Mult., digite a descrição e valores manualmente ao lado.</a:t>
          </a:r>
        </a:p>
      </xdr:txBody>
    </xdr:sp>
    <xdr:clientData fPrintsWithSheet="0"/>
  </xdr:twoCellAnchor>
  <xdr:twoCellAnchor>
    <xdr:from>
      <xdr:col>3</xdr:col>
      <xdr:colOff>66675</xdr:colOff>
      <xdr:row>8</xdr:row>
      <xdr:rowOff>11430</xdr:rowOff>
    </xdr:from>
    <xdr:to>
      <xdr:col>4</xdr:col>
      <xdr:colOff>196165</xdr:colOff>
      <xdr:row>10</xdr:row>
      <xdr:rowOff>1391</xdr:rowOff>
    </xdr:to>
    <xdr:sp macro="" textlink="" fLocksText="0">
      <xdr:nvSpPr>
        <xdr:cNvPr id="11269" name="AutoShape 67">
          <a:hlinkClick xmlns:r="http://schemas.openxmlformats.org/officeDocument/2006/relationships" r:id="rId2"/>
        </xdr:cNvPr>
        <xdr:cNvSpPr>
          <a:spLocks noChangeArrowheads="1"/>
        </xdr:cNvSpPr>
      </xdr:nvSpPr>
      <xdr:spPr bwMode="auto">
        <a:xfrm>
          <a:off x="2066925" y="1419225"/>
          <a:ext cx="571500" cy="314325"/>
        </a:xfrm>
        <a:prstGeom prst="roundRect">
          <a:avLst>
            <a:gd name="adj" fmla="val 16667"/>
          </a:avLst>
        </a:prstGeom>
        <a:solidFill>
          <a:srgbClr val="99CCFF"/>
        </a:solidFill>
        <a:ln w="9360">
          <a:solidFill>
            <a:srgbClr val="808080"/>
          </a:solidFill>
          <a:miter lim="800000"/>
          <a:headEnd/>
          <a:tailEnd/>
        </a:ln>
        <a:effectLst/>
      </xdr:spPr>
      <xdr:txBody>
        <a:bodyPr vertOverflow="clip" wrap="square" lIns="27360" tIns="27360" rIns="27360" bIns="27360" anchor="ctr"/>
        <a:lstStyle/>
        <a:p>
          <a:pPr algn="ctr" rtl="0">
            <a:defRPr sz="1000"/>
          </a:pPr>
          <a:r>
            <a:rPr lang="pt-BR" sz="1100" b="1" i="0" u="none" strike="noStrike" baseline="0">
              <a:solidFill>
                <a:srgbClr val="000000"/>
              </a:solidFill>
              <a:latin typeface="Calibri"/>
            </a:rPr>
            <a:t>MENU</a:t>
          </a:r>
        </a:p>
      </xdr:txBody>
    </xdr:sp>
    <xdr:clientData fPrintsWithSheet="0"/>
  </xdr:twoCellAnchor>
  <xdr:twoCellAnchor>
    <xdr:from>
      <xdr:col>4</xdr:col>
      <xdr:colOff>367665</xdr:colOff>
      <xdr:row>8</xdr:row>
      <xdr:rowOff>13335</xdr:rowOff>
    </xdr:from>
    <xdr:to>
      <xdr:col>5</xdr:col>
      <xdr:colOff>554392</xdr:colOff>
      <xdr:row>10</xdr:row>
      <xdr:rowOff>9807</xdr:rowOff>
    </xdr:to>
    <xdr:sp macro="[0]!Linhas.AddLinha" textlink="" fLocksText="0">
      <xdr:nvSpPr>
        <xdr:cNvPr id="11270" name="AutoShape 67"/>
        <xdr:cNvSpPr>
          <a:spLocks noChangeArrowheads="1"/>
        </xdr:cNvSpPr>
      </xdr:nvSpPr>
      <xdr:spPr bwMode="auto">
        <a:xfrm>
          <a:off x="2809875" y="1428750"/>
          <a:ext cx="1428750" cy="314325"/>
        </a:xfrm>
        <a:prstGeom prst="roundRect">
          <a:avLst>
            <a:gd name="adj" fmla="val 16667"/>
          </a:avLst>
        </a:prstGeom>
        <a:solidFill>
          <a:srgbClr val="FFCC99"/>
        </a:solidFill>
        <a:ln w="9360">
          <a:solidFill>
            <a:srgbClr val="808080"/>
          </a:solidFill>
          <a:miter lim="800000"/>
          <a:headEnd/>
          <a:tailEnd/>
        </a:ln>
        <a:effectLst/>
      </xdr:spPr>
      <xdr:txBody>
        <a:bodyPr vertOverflow="clip" wrap="square" lIns="27360" tIns="27360" rIns="27360" bIns="27360" anchor="ctr"/>
        <a:lstStyle/>
        <a:p>
          <a:pPr algn="ctr" rtl="0">
            <a:defRPr sz="1000"/>
          </a:pPr>
          <a:r>
            <a:rPr lang="pt-BR" sz="1100" b="1" i="0" u="none" strike="noStrike" baseline="0">
              <a:solidFill>
                <a:srgbClr val="000000"/>
              </a:solidFill>
              <a:latin typeface="Calibri"/>
            </a:rPr>
            <a:t>ADICIONAR LINHAS</a:t>
          </a:r>
        </a:p>
      </xdr:txBody>
    </xdr:sp>
    <xdr:clientData fPrintsWithSheet="0"/>
  </xdr:twoCellAnchor>
  <xdr:twoCellAnchor>
    <xdr:from>
      <xdr:col>5</xdr:col>
      <xdr:colOff>687705</xdr:colOff>
      <xdr:row>8</xdr:row>
      <xdr:rowOff>11430</xdr:rowOff>
    </xdr:from>
    <xdr:to>
      <xdr:col>6</xdr:col>
      <xdr:colOff>196223</xdr:colOff>
      <xdr:row>10</xdr:row>
      <xdr:rowOff>1391</xdr:rowOff>
    </xdr:to>
    <xdr:sp macro="[0]!Linhas.ExcLinhas" textlink="" fLocksText="0">
      <xdr:nvSpPr>
        <xdr:cNvPr id="11271" name="AutoShape 67"/>
        <xdr:cNvSpPr>
          <a:spLocks noChangeArrowheads="1"/>
        </xdr:cNvSpPr>
      </xdr:nvSpPr>
      <xdr:spPr bwMode="auto">
        <a:xfrm>
          <a:off x="4371975" y="1419225"/>
          <a:ext cx="1428750" cy="314325"/>
        </a:xfrm>
        <a:prstGeom prst="roundRect">
          <a:avLst>
            <a:gd name="adj" fmla="val 16667"/>
          </a:avLst>
        </a:prstGeom>
        <a:solidFill>
          <a:srgbClr val="FFCC99"/>
        </a:solidFill>
        <a:ln w="9360">
          <a:solidFill>
            <a:srgbClr val="808080"/>
          </a:solidFill>
          <a:miter lim="800000"/>
          <a:headEnd/>
          <a:tailEnd/>
        </a:ln>
        <a:effectLst/>
      </xdr:spPr>
      <xdr:txBody>
        <a:bodyPr vertOverflow="clip" wrap="square" lIns="27360" tIns="27360" rIns="27360" bIns="27360" anchor="ctr"/>
        <a:lstStyle/>
        <a:p>
          <a:pPr algn="ctr" rtl="0">
            <a:defRPr sz="1000"/>
          </a:pPr>
          <a:r>
            <a:rPr lang="pt-BR" sz="1100" b="1" i="0" u="none" strike="noStrike" baseline="0">
              <a:solidFill>
                <a:srgbClr val="000000"/>
              </a:solidFill>
              <a:latin typeface="Calibri"/>
            </a:rPr>
            <a:t>EXCLUIR LINHAS</a:t>
          </a:r>
        </a:p>
      </xdr:txBody>
    </xdr:sp>
    <xdr:clientData fPrintsWithSheet="0"/>
  </xdr:twoCellAnchor>
  <xdr:twoCellAnchor>
    <xdr:from>
      <xdr:col>7</xdr:col>
      <xdr:colOff>762847</xdr:colOff>
      <xdr:row>8</xdr:row>
      <xdr:rowOff>12488</xdr:rowOff>
    </xdr:from>
    <xdr:to>
      <xdr:col>9</xdr:col>
      <xdr:colOff>461901</xdr:colOff>
      <xdr:row>10</xdr:row>
      <xdr:rowOff>4839</xdr:rowOff>
    </xdr:to>
    <xdr:sp macro="[0]!cpQCItoCR" textlink="" fLocksText="0">
      <xdr:nvSpPr>
        <xdr:cNvPr id="7" name="AutoShape 67"/>
        <xdr:cNvSpPr>
          <a:spLocks noChangeArrowheads="1"/>
        </xdr:cNvSpPr>
      </xdr:nvSpPr>
      <xdr:spPr bwMode="auto">
        <a:xfrm>
          <a:off x="6985000" y="1397000"/>
          <a:ext cx="1599141" cy="311150"/>
        </a:xfrm>
        <a:prstGeom prst="roundRect">
          <a:avLst>
            <a:gd name="adj" fmla="val 16667"/>
          </a:avLst>
        </a:prstGeom>
        <a:solidFill>
          <a:srgbClr val="FFCC99"/>
        </a:solidFill>
        <a:ln w="9360">
          <a:solidFill>
            <a:srgbClr val="808080"/>
          </a:solidFill>
          <a:miter lim="800000"/>
          <a:headEnd/>
          <a:tailEnd/>
        </a:ln>
        <a:effectLst/>
      </xdr:spPr>
      <xdr:txBody>
        <a:bodyPr vertOverflow="clip" wrap="square" lIns="27360" tIns="27360" rIns="27360" bIns="27360" anchor="ctr"/>
        <a:lstStyle/>
        <a:p>
          <a:pPr algn="ctr" rtl="0">
            <a:defRPr sz="1000"/>
          </a:pPr>
          <a:r>
            <a:rPr lang="pt-BR" sz="1100" b="1" i="0" u="none" strike="noStrike" baseline="0">
              <a:solidFill>
                <a:srgbClr val="000000"/>
              </a:solidFill>
              <a:latin typeface="Calibri"/>
            </a:rPr>
            <a:t>CP QCI = CP CONTRATO</a:t>
          </a:r>
        </a:p>
      </xdr:txBody>
    </xdr:sp>
    <xdr:clientData fPrintsWithSheet="0"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1276350</xdr:colOff>
      <xdr:row>8</xdr:row>
      <xdr:rowOff>57150</xdr:rowOff>
    </xdr:from>
    <xdr:to>
      <xdr:col>12</xdr:col>
      <xdr:colOff>443974</xdr:colOff>
      <xdr:row>10</xdr:row>
      <xdr:rowOff>85725</xdr:rowOff>
    </xdr:to>
    <xdr:sp macro="" textlink="" fLocksText="0">
      <xdr:nvSpPr>
        <xdr:cNvPr id="12293" name="TextBoxArred"/>
        <xdr:cNvSpPr txBox="1">
          <a:spLocks noChangeArrowheads="1"/>
        </xdr:cNvSpPr>
      </xdr:nvSpPr>
      <xdr:spPr bwMode="auto">
        <a:xfrm flipH="1">
          <a:off x="12411075" y="1314450"/>
          <a:ext cx="2790825" cy="352425"/>
        </a:xfrm>
        <a:prstGeom prst="rect">
          <a:avLst/>
        </a:prstGeom>
        <a:noFill/>
        <a:ln w="6480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27360" tIns="22680" rIns="27360" bIns="0" anchor="t"/>
        <a:lstStyle/>
        <a:p>
          <a:pPr algn="ctr" rtl="0">
            <a:defRPr sz="1000"/>
          </a:pPr>
          <a:r>
            <a:rPr lang="pt-B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Considerar valores arredondados com (0,00)</a:t>
          </a:r>
        </a:p>
      </xdr:txBody>
    </xdr:sp>
    <xdr:clientData fPrintsWithSheet="0"/>
  </xdr:twoCellAnchor>
  <xdr:twoCellAnchor>
    <xdr:from>
      <xdr:col>3</xdr:col>
      <xdr:colOff>95250</xdr:colOff>
      <xdr:row>8</xdr:row>
      <xdr:rowOff>114300</xdr:rowOff>
    </xdr:from>
    <xdr:to>
      <xdr:col>3</xdr:col>
      <xdr:colOff>678205</xdr:colOff>
      <xdr:row>10</xdr:row>
      <xdr:rowOff>95442</xdr:rowOff>
    </xdr:to>
    <xdr:sp macro="" textlink="" fLocksText="0">
      <xdr:nvSpPr>
        <xdr:cNvPr id="12294" name="AutoShape 67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3895725" y="1371600"/>
          <a:ext cx="571500" cy="314325"/>
        </a:xfrm>
        <a:prstGeom prst="roundRect">
          <a:avLst>
            <a:gd name="adj" fmla="val 16667"/>
          </a:avLst>
        </a:prstGeom>
        <a:solidFill>
          <a:srgbClr val="99CCFF"/>
        </a:solidFill>
        <a:ln w="9360">
          <a:solidFill>
            <a:srgbClr val="808080"/>
          </a:solidFill>
          <a:miter lim="800000"/>
          <a:headEnd/>
          <a:tailEnd/>
        </a:ln>
        <a:effectLst/>
      </xdr:spPr>
      <xdr:txBody>
        <a:bodyPr vertOverflow="clip" wrap="square" lIns="27360" tIns="27360" rIns="27360" bIns="27360" anchor="ctr"/>
        <a:lstStyle/>
        <a:p>
          <a:pPr algn="ctr" rtl="0">
            <a:defRPr sz="1000"/>
          </a:pPr>
          <a:r>
            <a:rPr lang="pt-BR" sz="1100" b="1" i="0" u="none" strike="noStrike" baseline="0">
              <a:solidFill>
                <a:srgbClr val="000000"/>
              </a:solidFill>
              <a:latin typeface="Calibri"/>
            </a:rPr>
            <a:t>MENU</a:t>
          </a:r>
        </a:p>
      </xdr:txBody>
    </xdr:sp>
    <xdr:clientData fPrintsWithSheet="0"/>
  </xdr:twoCellAnchor>
  <xdr:twoCellAnchor>
    <xdr:from>
      <xdr:col>3</xdr:col>
      <xdr:colOff>22860</xdr:colOff>
      <xdr:row>0</xdr:row>
      <xdr:rowOff>15240</xdr:rowOff>
    </xdr:from>
    <xdr:to>
      <xdr:col>4</xdr:col>
      <xdr:colOff>1135380</xdr:colOff>
      <xdr:row>2</xdr:row>
      <xdr:rowOff>22860</xdr:rowOff>
    </xdr:to>
    <xdr:pic>
      <xdr:nvPicPr>
        <xdr:cNvPr id="13847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" y="15240"/>
          <a:ext cx="184404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798195</xdr:colOff>
      <xdr:row>8</xdr:row>
      <xdr:rowOff>112395</xdr:rowOff>
    </xdr:from>
    <xdr:to>
      <xdr:col>4</xdr:col>
      <xdr:colOff>2676532</xdr:colOff>
      <xdr:row>10</xdr:row>
      <xdr:rowOff>86021</xdr:rowOff>
    </xdr:to>
    <xdr:sp macro="[0]!BM.alternaModo" textlink="" fLocksText="0">
      <xdr:nvSpPr>
        <xdr:cNvPr id="12298" name="ShapeModoBM"/>
        <xdr:cNvSpPr>
          <a:spLocks noChangeArrowheads="1"/>
        </xdr:cNvSpPr>
      </xdr:nvSpPr>
      <xdr:spPr bwMode="auto">
        <a:xfrm>
          <a:off x="1734608" y="1343025"/>
          <a:ext cx="1828800" cy="307975"/>
        </a:xfrm>
        <a:prstGeom prst="roundRect">
          <a:avLst>
            <a:gd name="adj" fmla="val 16667"/>
          </a:avLst>
        </a:prstGeom>
        <a:solidFill>
          <a:srgbClr val="FFCC99"/>
        </a:solidFill>
        <a:ln w="9360">
          <a:solidFill>
            <a:srgbClr val="808080"/>
          </a:solidFill>
          <a:miter lim="800000"/>
          <a:headEnd/>
          <a:tailEnd/>
        </a:ln>
        <a:effectLst/>
      </xdr:spPr>
      <xdr:txBody>
        <a:bodyPr vertOverflow="clip" wrap="square" lIns="27360" tIns="27360" rIns="27360" bIns="27360" anchor="ctr"/>
        <a:lstStyle/>
        <a:p>
          <a:pPr algn="ctr" rtl="0">
            <a:defRPr sz="1000"/>
          </a:pPr>
          <a:r>
            <a:rPr lang="pt-BR" sz="1100" b="1" i="0" u="none" strike="noStrike" baseline="0">
              <a:solidFill>
                <a:srgbClr val="000000"/>
              </a:solidFill>
              <a:latin typeface="Calibri"/>
            </a:rPr>
            <a:t>Habilitar Modo CAIXA</a:t>
          </a:r>
        </a:p>
      </xdr:txBody>
    </xdr:sp>
    <xdr:clientData fPrintsWithSheet="0"/>
  </xdr:twoCellAnchor>
  <xdr:twoCellAnchor>
    <xdr:from>
      <xdr:col>16</xdr:col>
      <xdr:colOff>0</xdr:colOff>
      <xdr:row>6</xdr:row>
      <xdr:rowOff>44238</xdr:rowOff>
    </xdr:from>
    <xdr:to>
      <xdr:col>16</xdr:col>
      <xdr:colOff>0</xdr:colOff>
      <xdr:row>9</xdr:row>
      <xdr:rowOff>102627</xdr:rowOff>
    </xdr:to>
    <xdr:sp macro="[0]!CopiarMedição" textlink="" fLocksText="0">
      <xdr:nvSpPr>
        <xdr:cNvPr id="8" name="ShapeCopiarMed"/>
        <xdr:cNvSpPr>
          <a:spLocks noChangeArrowheads="1"/>
        </xdr:cNvSpPr>
      </xdr:nvSpPr>
      <xdr:spPr bwMode="auto">
        <a:xfrm>
          <a:off x="17187333" y="963083"/>
          <a:ext cx="709083" cy="529167"/>
        </a:xfrm>
        <a:prstGeom prst="roundRect">
          <a:avLst>
            <a:gd name="adj" fmla="val 16667"/>
          </a:avLst>
        </a:prstGeom>
        <a:solidFill>
          <a:srgbClr val="FFCC99"/>
        </a:solidFill>
        <a:ln w="9360">
          <a:solidFill>
            <a:srgbClr val="808080"/>
          </a:solidFill>
          <a:miter lim="800000"/>
          <a:headEnd/>
          <a:tailEnd/>
        </a:ln>
        <a:effectLst/>
      </xdr:spPr>
      <xdr:txBody>
        <a:bodyPr vertOverflow="clip" wrap="square" lIns="27360" tIns="27360" rIns="27360" bIns="27360" anchor="ctr"/>
        <a:lstStyle/>
        <a:p>
          <a:pPr algn="ctr" rtl="0">
            <a:defRPr sz="1000"/>
          </a:pPr>
          <a:r>
            <a:rPr lang="pt-BR" sz="1100" b="1" i="0" u="none" strike="noStrike" baseline="0">
              <a:solidFill>
                <a:srgbClr val="000000"/>
              </a:solidFill>
              <a:latin typeface="Calibri"/>
            </a:rPr>
            <a:t>Copiar da Medição</a:t>
          </a:r>
        </a:p>
      </xdr:txBody>
    </xdr:sp>
    <xdr:clientData/>
  </xdr:twoCellAnchor>
  <xdr:twoCellAnchor>
    <xdr:from>
      <xdr:col>4</xdr:col>
      <xdr:colOff>61595</xdr:colOff>
      <xdr:row>8</xdr:row>
      <xdr:rowOff>116417</xdr:rowOff>
    </xdr:from>
    <xdr:to>
      <xdr:col>4</xdr:col>
      <xdr:colOff>654107</xdr:colOff>
      <xdr:row>10</xdr:row>
      <xdr:rowOff>92141</xdr:rowOff>
    </xdr:to>
    <xdr:sp macro="" textlink="" fLocksText="0">
      <xdr:nvSpPr>
        <xdr:cNvPr id="9" name="AutoShape 67">
          <a:hlinkClick xmlns:r="http://schemas.openxmlformats.org/officeDocument/2006/relationships" r:id="rId3"/>
        </xdr:cNvPr>
        <xdr:cNvSpPr>
          <a:spLocks noChangeArrowheads="1"/>
        </xdr:cNvSpPr>
      </xdr:nvSpPr>
      <xdr:spPr bwMode="auto">
        <a:xfrm>
          <a:off x="1026583" y="1354667"/>
          <a:ext cx="571501" cy="302683"/>
        </a:xfrm>
        <a:prstGeom prst="roundRect">
          <a:avLst>
            <a:gd name="adj" fmla="val 16667"/>
          </a:avLst>
        </a:prstGeom>
        <a:solidFill>
          <a:srgbClr val="99CCFF"/>
        </a:solidFill>
        <a:ln w="9360">
          <a:solidFill>
            <a:srgbClr val="808080"/>
          </a:solidFill>
          <a:miter lim="800000"/>
          <a:headEnd/>
          <a:tailEnd/>
        </a:ln>
        <a:effectLst/>
      </xdr:spPr>
      <xdr:txBody>
        <a:bodyPr vertOverflow="clip" wrap="square" lIns="27360" tIns="27360" rIns="27360" bIns="27360" anchor="ctr"/>
        <a:lstStyle/>
        <a:p>
          <a:pPr algn="ctr" rtl="0">
            <a:defRPr sz="1000"/>
          </a:pPr>
          <a:r>
            <a:rPr lang="pt-BR" sz="1100" b="1" i="0" u="none" strike="noStrike" baseline="0">
              <a:solidFill>
                <a:srgbClr val="000000"/>
              </a:solidFill>
              <a:latin typeface="Calibri" panose="020F0502020204030204" pitchFamily="34" charset="0"/>
            </a:rPr>
            <a:t>→</a:t>
          </a:r>
          <a:endParaRPr lang="pt-BR" sz="1100" b="1" i="0" u="none" strike="noStrike" baseline="0">
            <a:solidFill>
              <a:srgbClr val="000000"/>
            </a:solidFill>
            <a:latin typeface="Calibri"/>
          </a:endParaRP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220980</xdr:colOff>
          <xdr:row>9</xdr:row>
          <xdr:rowOff>45720</xdr:rowOff>
        </xdr:from>
        <xdr:to>
          <xdr:col>10</xdr:col>
          <xdr:colOff>525780</xdr:colOff>
          <xdr:row>10</xdr:row>
          <xdr:rowOff>114300</xdr:rowOff>
        </xdr:to>
        <xdr:sp macro="" textlink="">
          <xdr:nvSpPr>
            <xdr:cNvPr id="12295" name="CaixaArredMed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30480</xdr:colOff>
          <xdr:row>6</xdr:row>
          <xdr:rowOff>121920</xdr:rowOff>
        </xdr:from>
        <xdr:to>
          <xdr:col>15</xdr:col>
          <xdr:colOff>266700</xdr:colOff>
          <xdr:row>8</xdr:row>
          <xdr:rowOff>0</xdr:rowOff>
        </xdr:to>
        <xdr:sp macro="" textlink="">
          <xdr:nvSpPr>
            <xdr:cNvPr id="12296" name="Botão de rotação 23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5</xdr:col>
      <xdr:colOff>1386840</xdr:colOff>
      <xdr:row>0</xdr:row>
      <xdr:rowOff>381000</xdr:rowOff>
    </xdr:to>
    <xdr:pic>
      <xdr:nvPicPr>
        <xdr:cNvPr id="13942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" y="0"/>
          <a:ext cx="191262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102870</xdr:colOff>
      <xdr:row>7</xdr:row>
      <xdr:rowOff>158115</xdr:rowOff>
    </xdr:from>
    <xdr:to>
      <xdr:col>24</xdr:col>
      <xdr:colOff>177176</xdr:colOff>
      <xdr:row>10</xdr:row>
      <xdr:rowOff>51513</xdr:rowOff>
    </xdr:to>
    <xdr:sp macro="" textlink="" fLocksText="0">
      <xdr:nvSpPr>
        <xdr:cNvPr id="13317" name="AutoShape 317"/>
        <xdr:cNvSpPr>
          <a:spLocks noChangeArrowheads="1"/>
        </xdr:cNvSpPr>
      </xdr:nvSpPr>
      <xdr:spPr bwMode="auto">
        <a:xfrm>
          <a:off x="10487025" y="1562100"/>
          <a:ext cx="2724150" cy="390525"/>
        </a:xfrm>
        <a:prstGeom prst="wedgeRectCallout">
          <a:avLst>
            <a:gd name="adj1" fmla="val 72181"/>
            <a:gd name="adj2" fmla="val 58333"/>
          </a:avLst>
        </a:prstGeom>
        <a:solidFill>
          <a:srgbClr val="FFFF99"/>
        </a:solidFill>
        <a:ln w="9360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27360" tIns="22680" rIns="0" bIns="0" anchor="t"/>
        <a:lstStyle/>
        <a:p>
          <a:pPr algn="l" rtl="0">
            <a:defRPr sz="1000"/>
          </a:pPr>
          <a:r>
            <a:rPr lang="pt-B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Para Metas preenchidas manualmente, digite o valor medido nas colunas à direita.</a:t>
          </a:r>
        </a:p>
      </xdr:txBody>
    </xdr:sp>
    <xdr:clientData fPrintsWithSheet="0"/>
  </xdr:twoCellAnchor>
  <xdr:twoCellAnchor>
    <xdr:from>
      <xdr:col>4</xdr:col>
      <xdr:colOff>95250</xdr:colOff>
      <xdr:row>8</xdr:row>
      <xdr:rowOff>28575</xdr:rowOff>
    </xdr:from>
    <xdr:to>
      <xdr:col>5</xdr:col>
      <xdr:colOff>142962</xdr:colOff>
      <xdr:row>10</xdr:row>
      <xdr:rowOff>13459</xdr:rowOff>
    </xdr:to>
    <xdr:sp macro="" textlink="" fLocksText="0">
      <xdr:nvSpPr>
        <xdr:cNvPr id="13318" name="AutoShape 67">
          <a:hlinkClick xmlns:r="http://schemas.openxmlformats.org/officeDocument/2006/relationships" r:id="rId2"/>
        </xdr:cNvPr>
        <xdr:cNvSpPr>
          <a:spLocks noChangeArrowheads="1"/>
        </xdr:cNvSpPr>
      </xdr:nvSpPr>
      <xdr:spPr bwMode="auto">
        <a:xfrm>
          <a:off x="333375" y="1600200"/>
          <a:ext cx="571500" cy="314325"/>
        </a:xfrm>
        <a:prstGeom prst="roundRect">
          <a:avLst>
            <a:gd name="adj" fmla="val 16667"/>
          </a:avLst>
        </a:prstGeom>
        <a:solidFill>
          <a:srgbClr val="99CCFF"/>
        </a:solidFill>
        <a:ln w="9360">
          <a:solidFill>
            <a:srgbClr val="808080"/>
          </a:solidFill>
          <a:miter lim="800000"/>
          <a:headEnd/>
          <a:tailEnd/>
        </a:ln>
        <a:effectLst/>
      </xdr:spPr>
      <xdr:txBody>
        <a:bodyPr vertOverflow="clip" wrap="square" lIns="27360" tIns="27360" rIns="27360" bIns="27360" anchor="ctr"/>
        <a:lstStyle/>
        <a:p>
          <a:pPr algn="ctr" rtl="0">
            <a:defRPr sz="1000"/>
          </a:pPr>
          <a:r>
            <a:rPr lang="pt-BR" sz="1100" b="1" i="0" u="none" strike="noStrike" baseline="0">
              <a:solidFill>
                <a:srgbClr val="000000"/>
              </a:solidFill>
              <a:latin typeface="Calibri"/>
            </a:rPr>
            <a:t>MENU</a:t>
          </a:r>
        </a:p>
      </xdr:txBody>
    </xdr:sp>
    <xdr:clientData fPrintsWithSheet="0"/>
  </xdr:twoCellAnchor>
  <xdr:twoCellAnchor>
    <xdr:from>
      <xdr:col>5</xdr:col>
      <xdr:colOff>238548</xdr:colOff>
      <xdr:row>8</xdr:row>
      <xdr:rowOff>31750</xdr:rowOff>
    </xdr:from>
    <xdr:to>
      <xdr:col>5</xdr:col>
      <xdr:colOff>830857</xdr:colOff>
      <xdr:row>10</xdr:row>
      <xdr:rowOff>9447</xdr:rowOff>
    </xdr:to>
    <xdr:sp macro="" textlink="" fLocksText="0">
      <xdr:nvSpPr>
        <xdr:cNvPr id="5" name="AutoShape 67">
          <a:hlinkClick xmlns:r="http://schemas.openxmlformats.org/officeDocument/2006/relationships" r:id="rId3"/>
        </xdr:cNvPr>
        <xdr:cNvSpPr>
          <a:spLocks noChangeArrowheads="1"/>
        </xdr:cNvSpPr>
      </xdr:nvSpPr>
      <xdr:spPr bwMode="auto">
        <a:xfrm>
          <a:off x="994833" y="1587500"/>
          <a:ext cx="571501" cy="302683"/>
        </a:xfrm>
        <a:prstGeom prst="roundRect">
          <a:avLst>
            <a:gd name="adj" fmla="val 16667"/>
          </a:avLst>
        </a:prstGeom>
        <a:solidFill>
          <a:srgbClr val="99CCFF"/>
        </a:solidFill>
        <a:ln w="9360">
          <a:solidFill>
            <a:srgbClr val="808080"/>
          </a:solidFill>
          <a:miter lim="800000"/>
          <a:headEnd/>
          <a:tailEnd/>
        </a:ln>
        <a:effectLst/>
      </xdr:spPr>
      <xdr:txBody>
        <a:bodyPr vertOverflow="clip" wrap="square" lIns="27360" tIns="27360" rIns="27360" bIns="27360" anchor="ctr"/>
        <a:lstStyle/>
        <a:p>
          <a:pPr algn="ctr" rtl="0">
            <a:defRPr sz="1000"/>
          </a:pPr>
          <a:r>
            <a:rPr lang="pt-BR" sz="1100" b="1" i="0" u="none" strike="noStrike" baseline="0">
              <a:solidFill>
                <a:srgbClr val="000000"/>
              </a:solidFill>
              <a:latin typeface="Calibri" panose="020F0502020204030204" pitchFamily="34" charset="0"/>
            </a:rPr>
            <a:t>→</a:t>
          </a:r>
          <a:endParaRPr lang="pt-BR" sz="1100" b="1" i="0" u="none" strike="noStrike" baseline="0">
            <a:solidFill>
              <a:srgbClr val="000000"/>
            </a:solidFill>
            <a:latin typeface="Calibri"/>
          </a:endParaRPr>
        </a:p>
      </xdr:txBody>
    </xdr:sp>
    <xdr:clientData fPrintsWithSheet="0"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457624</xdr:colOff>
      <xdr:row>1</xdr:row>
      <xdr:rowOff>64559</xdr:rowOff>
    </xdr:from>
    <xdr:to>
      <xdr:col>5</xdr:col>
      <xdr:colOff>484296</xdr:colOff>
      <xdr:row>2</xdr:row>
      <xdr:rowOff>208209</xdr:rowOff>
    </xdr:to>
    <xdr:sp macro="[0]!Plan12.InsereFigura" textlink="" fLocksText="0">
      <xdr:nvSpPr>
        <xdr:cNvPr id="14337" name="ShapeBrasao"/>
        <xdr:cNvSpPr>
          <a:spLocks noChangeArrowheads="1"/>
        </xdr:cNvSpPr>
      </xdr:nvSpPr>
      <xdr:spPr bwMode="auto">
        <a:xfrm>
          <a:off x="3468159" y="223309"/>
          <a:ext cx="1405467" cy="302400"/>
        </a:xfrm>
        <a:prstGeom prst="roundRect">
          <a:avLst>
            <a:gd name="adj" fmla="val 16667"/>
          </a:avLst>
        </a:prstGeom>
        <a:solidFill>
          <a:srgbClr val="FFCC99"/>
        </a:solidFill>
        <a:ln w="9360">
          <a:solidFill>
            <a:srgbClr val="808080"/>
          </a:solidFill>
          <a:miter lim="800000"/>
          <a:headEnd/>
          <a:tailEnd/>
        </a:ln>
        <a:effectLst/>
      </xdr:spPr>
      <xdr:txBody>
        <a:bodyPr vertOverflow="clip" wrap="square" lIns="27360" tIns="27360" rIns="27360" bIns="27360" anchor="ctr"/>
        <a:lstStyle/>
        <a:p>
          <a:pPr algn="ctr" rtl="0">
            <a:defRPr sz="1000"/>
          </a:pPr>
          <a:r>
            <a:rPr lang="pt-BR" sz="1100" b="1" i="0" u="none" strike="noStrike" baseline="0">
              <a:solidFill>
                <a:srgbClr val="000000"/>
              </a:solidFill>
              <a:latin typeface="Calibri"/>
            </a:rPr>
            <a:t>INSERIR BRASÃO</a:t>
          </a:r>
        </a:p>
      </xdr:txBody>
    </xdr:sp>
    <xdr:clientData fPrintsWithSheet="0"/>
  </xdr:twoCellAnchor>
  <xdr:twoCellAnchor>
    <xdr:from>
      <xdr:col>3</xdr:col>
      <xdr:colOff>592455</xdr:colOff>
      <xdr:row>1</xdr:row>
      <xdr:rowOff>66675</xdr:rowOff>
    </xdr:from>
    <xdr:to>
      <xdr:col>3</xdr:col>
      <xdr:colOff>1184966</xdr:colOff>
      <xdr:row>2</xdr:row>
      <xdr:rowOff>193287</xdr:rowOff>
    </xdr:to>
    <xdr:sp macro="" textlink="" fLocksText="0">
      <xdr:nvSpPr>
        <xdr:cNvPr id="14338" name="AutoShape 67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2210858" y="225425"/>
          <a:ext cx="571500" cy="302400"/>
        </a:xfrm>
        <a:prstGeom prst="roundRect">
          <a:avLst>
            <a:gd name="adj" fmla="val 16667"/>
          </a:avLst>
        </a:prstGeom>
        <a:solidFill>
          <a:srgbClr val="99CCFF"/>
        </a:solidFill>
        <a:ln w="9360">
          <a:solidFill>
            <a:srgbClr val="808080"/>
          </a:solidFill>
          <a:miter lim="800000"/>
          <a:headEnd/>
          <a:tailEnd/>
        </a:ln>
        <a:effectLst/>
      </xdr:spPr>
      <xdr:txBody>
        <a:bodyPr vertOverflow="clip" wrap="square" lIns="27360" tIns="27360" rIns="27360" bIns="27360" anchor="ctr"/>
        <a:lstStyle/>
        <a:p>
          <a:pPr algn="ctr" rtl="0">
            <a:defRPr sz="1000"/>
          </a:pPr>
          <a:r>
            <a:rPr lang="pt-BR" sz="1100" b="1" i="0" u="none" strike="noStrike" baseline="0">
              <a:solidFill>
                <a:srgbClr val="000000"/>
              </a:solidFill>
              <a:latin typeface="Calibri"/>
            </a:rPr>
            <a:t>MENU</a:t>
          </a:r>
        </a:p>
      </xdr:txBody>
    </xdr:sp>
    <xdr:clientData fPrintsWithSheet="0"/>
  </xdr:twoCellAnchor>
  <xdr:twoCellAnchor>
    <xdr:from>
      <xdr:col>3</xdr:col>
      <xdr:colOff>1236981</xdr:colOff>
      <xdr:row>1</xdr:row>
      <xdr:rowOff>63499</xdr:rowOff>
    </xdr:from>
    <xdr:to>
      <xdr:col>4</xdr:col>
      <xdr:colOff>397650</xdr:colOff>
      <xdr:row>2</xdr:row>
      <xdr:rowOff>207432</xdr:rowOff>
    </xdr:to>
    <xdr:sp macro="" textlink="" fLocksText="0">
      <xdr:nvSpPr>
        <xdr:cNvPr id="4" name="AutoShape 67">
          <a:hlinkClick xmlns:r="http://schemas.openxmlformats.org/officeDocument/2006/relationships" r:id="rId2"/>
        </xdr:cNvPr>
        <xdr:cNvSpPr>
          <a:spLocks noChangeArrowheads="1"/>
        </xdr:cNvSpPr>
      </xdr:nvSpPr>
      <xdr:spPr bwMode="auto">
        <a:xfrm>
          <a:off x="2836334" y="222249"/>
          <a:ext cx="571501" cy="302683"/>
        </a:xfrm>
        <a:prstGeom prst="roundRect">
          <a:avLst>
            <a:gd name="adj" fmla="val 16667"/>
          </a:avLst>
        </a:prstGeom>
        <a:solidFill>
          <a:srgbClr val="99CCFF"/>
        </a:solidFill>
        <a:ln w="9360">
          <a:solidFill>
            <a:srgbClr val="808080"/>
          </a:solidFill>
          <a:miter lim="800000"/>
          <a:headEnd/>
          <a:tailEnd/>
        </a:ln>
        <a:effectLst/>
      </xdr:spPr>
      <xdr:txBody>
        <a:bodyPr vertOverflow="clip" wrap="square" lIns="27360" tIns="27360" rIns="27360" bIns="27360" anchor="ctr"/>
        <a:lstStyle/>
        <a:p>
          <a:pPr algn="ctr" rtl="0">
            <a:defRPr sz="1000"/>
          </a:pPr>
          <a:r>
            <a:rPr lang="pt-BR" sz="1100" b="1" i="0" u="none" strike="noStrike" baseline="0">
              <a:solidFill>
                <a:srgbClr val="000000"/>
              </a:solidFill>
              <a:latin typeface="Calibri" panose="020F0502020204030204" pitchFamily="34" charset="0"/>
            </a:rPr>
            <a:t>←</a:t>
          </a:r>
          <a:endParaRPr lang="pt-BR" sz="1100" b="1" i="0" u="none" strike="noStrike" baseline="0">
            <a:solidFill>
              <a:srgbClr val="000000"/>
            </a:solidFill>
            <a:latin typeface="Calibri"/>
          </a:endParaRPr>
        </a:p>
      </xdr:txBody>
    </xdr:sp>
    <xdr:clientData fPrintsWithSheet="0"/>
  </xdr:twoCellAnchor>
  <xdr:twoCellAnchor editAs="oneCell">
    <xdr:from>
      <xdr:col>1</xdr:col>
      <xdr:colOff>0</xdr:colOff>
      <xdr:row>1</xdr:row>
      <xdr:rowOff>30480</xdr:rowOff>
    </xdr:from>
    <xdr:to>
      <xdr:col>2</xdr:col>
      <xdr:colOff>358140</xdr:colOff>
      <xdr:row>2</xdr:row>
      <xdr:rowOff>251460</xdr:rowOff>
    </xdr:to>
    <xdr:pic>
      <xdr:nvPicPr>
        <xdr:cNvPr id="140447" name="Imagem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" y="198120"/>
          <a:ext cx="143256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0</xdr:row>
      <xdr:rowOff>47625</xdr:rowOff>
    </xdr:from>
    <xdr:to>
      <xdr:col>3</xdr:col>
      <xdr:colOff>161925</xdr:colOff>
      <xdr:row>1</xdr:row>
      <xdr:rowOff>152400</xdr:rowOff>
    </xdr:to>
    <xdr:sp macro="" textlink="" fLocksText="0">
      <xdr:nvSpPr>
        <xdr:cNvPr id="2050" name="AutoShape 67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200025" y="47625"/>
          <a:ext cx="1790700" cy="304800"/>
        </a:xfrm>
        <a:prstGeom prst="roundRect">
          <a:avLst>
            <a:gd name="adj" fmla="val 16667"/>
          </a:avLst>
        </a:prstGeom>
        <a:solidFill>
          <a:srgbClr val="99CCFF"/>
        </a:solidFill>
        <a:ln w="9360">
          <a:solidFill>
            <a:srgbClr val="808080"/>
          </a:solidFill>
          <a:miter lim="800000"/>
          <a:headEnd/>
          <a:tailEnd/>
        </a:ln>
        <a:effectLst/>
      </xdr:spPr>
      <xdr:txBody>
        <a:bodyPr vertOverflow="clip" wrap="square" lIns="27360" tIns="27360" rIns="27360" bIns="27360" anchor="ctr"/>
        <a:lstStyle/>
        <a:p>
          <a:pPr algn="ctr" rtl="0">
            <a:defRPr sz="1000"/>
          </a:pPr>
          <a:r>
            <a:rPr lang="pt-BR" sz="1100" b="1" i="0" u="none" strike="noStrike" baseline="0">
              <a:solidFill>
                <a:srgbClr val="000000"/>
              </a:solidFill>
              <a:latin typeface="Calibri"/>
            </a:rPr>
            <a:t>MENU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76200</xdr:rowOff>
    </xdr:from>
    <xdr:to>
      <xdr:col>1</xdr:col>
      <xdr:colOff>102923</xdr:colOff>
      <xdr:row>2</xdr:row>
      <xdr:rowOff>41930</xdr:rowOff>
    </xdr:to>
    <xdr:sp macro="" textlink="" fLocksText="0">
      <xdr:nvSpPr>
        <xdr:cNvPr id="3073" name="AutoShape 67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104775" y="76200"/>
          <a:ext cx="571500" cy="304800"/>
        </a:xfrm>
        <a:prstGeom prst="roundRect">
          <a:avLst>
            <a:gd name="adj" fmla="val 16667"/>
          </a:avLst>
        </a:prstGeom>
        <a:solidFill>
          <a:srgbClr val="99CCFF"/>
        </a:solidFill>
        <a:ln w="9360">
          <a:solidFill>
            <a:srgbClr val="808080"/>
          </a:solidFill>
          <a:miter lim="800000"/>
          <a:headEnd/>
          <a:tailEnd/>
        </a:ln>
        <a:effectLst/>
      </xdr:spPr>
      <xdr:txBody>
        <a:bodyPr vertOverflow="clip" wrap="square" lIns="27360" tIns="27360" rIns="27360" bIns="27360" anchor="ctr"/>
        <a:lstStyle/>
        <a:p>
          <a:pPr algn="ctr" rtl="0">
            <a:defRPr sz="1000"/>
          </a:pPr>
          <a:r>
            <a:rPr lang="pt-BR" sz="1100" b="1" i="0" u="none" strike="noStrike" baseline="0">
              <a:solidFill>
                <a:srgbClr val="000000"/>
              </a:solidFill>
              <a:latin typeface="Calibri"/>
            </a:rPr>
            <a:t>MENU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30480</xdr:colOff>
      <xdr:row>0</xdr:row>
      <xdr:rowOff>15240</xdr:rowOff>
    </xdr:from>
    <xdr:to>
      <xdr:col>11</xdr:col>
      <xdr:colOff>403860</xdr:colOff>
      <xdr:row>2</xdr:row>
      <xdr:rowOff>38100</xdr:rowOff>
    </xdr:to>
    <xdr:pic>
      <xdr:nvPicPr>
        <xdr:cNvPr id="132213" name="Logo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3460" y="15240"/>
          <a:ext cx="183642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287020</xdr:colOff>
      <xdr:row>1</xdr:row>
      <xdr:rowOff>38523</xdr:rowOff>
    </xdr:from>
    <xdr:to>
      <xdr:col>8</xdr:col>
      <xdr:colOff>146485</xdr:colOff>
      <xdr:row>3</xdr:row>
      <xdr:rowOff>8644</xdr:rowOff>
    </xdr:to>
    <xdr:sp macro="" textlink="" fLocksText="0">
      <xdr:nvSpPr>
        <xdr:cNvPr id="4098" name="AutoShape 67">
          <a:hlinkClick xmlns:r="http://schemas.openxmlformats.org/officeDocument/2006/relationships" r:id="rId2"/>
        </xdr:cNvPr>
        <xdr:cNvSpPr>
          <a:spLocks noChangeArrowheads="1"/>
        </xdr:cNvSpPr>
      </xdr:nvSpPr>
      <xdr:spPr bwMode="auto">
        <a:xfrm>
          <a:off x="15096067" y="224366"/>
          <a:ext cx="571500" cy="302683"/>
        </a:xfrm>
        <a:prstGeom prst="roundRect">
          <a:avLst>
            <a:gd name="adj" fmla="val 16667"/>
          </a:avLst>
        </a:prstGeom>
        <a:solidFill>
          <a:srgbClr val="99CCFF"/>
        </a:solidFill>
        <a:ln w="9360">
          <a:solidFill>
            <a:srgbClr val="808080"/>
          </a:solidFill>
          <a:miter lim="800000"/>
          <a:headEnd/>
          <a:tailEnd/>
        </a:ln>
        <a:effectLst/>
      </xdr:spPr>
      <xdr:txBody>
        <a:bodyPr vertOverflow="clip" wrap="square" lIns="27360" tIns="27360" rIns="27360" bIns="27360" anchor="ctr"/>
        <a:lstStyle/>
        <a:p>
          <a:pPr algn="ctr" rtl="0">
            <a:defRPr sz="1000"/>
          </a:pPr>
          <a:r>
            <a:rPr lang="pt-BR" sz="1100" b="1" i="0" u="none" strike="noStrike" baseline="0">
              <a:solidFill>
                <a:srgbClr val="000000"/>
              </a:solidFill>
              <a:latin typeface="Calibri"/>
            </a:rPr>
            <a:t>MENU</a:t>
          </a:r>
        </a:p>
      </xdr:txBody>
    </xdr:sp>
    <xdr:clientData/>
  </xdr:twoCellAnchor>
  <xdr:twoCellAnchor>
    <xdr:from>
      <xdr:col>7</xdr:col>
      <xdr:colOff>287019</xdr:colOff>
      <xdr:row>3</xdr:row>
      <xdr:rowOff>47625</xdr:rowOff>
    </xdr:from>
    <xdr:to>
      <xdr:col>8</xdr:col>
      <xdr:colOff>146484</xdr:colOff>
      <xdr:row>5</xdr:row>
      <xdr:rowOff>42267</xdr:rowOff>
    </xdr:to>
    <xdr:sp macro="" textlink="" fLocksText="0">
      <xdr:nvSpPr>
        <xdr:cNvPr id="5" name="AutoShape 67">
          <a:hlinkClick xmlns:r="http://schemas.openxmlformats.org/officeDocument/2006/relationships" r:id="rId3"/>
        </xdr:cNvPr>
        <xdr:cNvSpPr>
          <a:spLocks noChangeArrowheads="1"/>
        </xdr:cNvSpPr>
      </xdr:nvSpPr>
      <xdr:spPr bwMode="auto">
        <a:xfrm>
          <a:off x="279399" y="575733"/>
          <a:ext cx="571501" cy="302683"/>
        </a:xfrm>
        <a:prstGeom prst="roundRect">
          <a:avLst>
            <a:gd name="adj" fmla="val 16667"/>
          </a:avLst>
        </a:prstGeom>
        <a:solidFill>
          <a:srgbClr val="99CCFF"/>
        </a:solidFill>
        <a:ln w="9360">
          <a:solidFill>
            <a:srgbClr val="808080"/>
          </a:solidFill>
          <a:miter lim="800000"/>
          <a:headEnd/>
          <a:tailEnd/>
        </a:ln>
        <a:effectLst/>
      </xdr:spPr>
      <xdr:txBody>
        <a:bodyPr vertOverflow="clip" wrap="square" lIns="27360" tIns="27360" rIns="27360" bIns="27360" anchor="ctr"/>
        <a:lstStyle/>
        <a:p>
          <a:pPr algn="ctr" rtl="0">
            <a:defRPr sz="1000"/>
          </a:pPr>
          <a:r>
            <a:rPr lang="pt-BR" sz="1100" b="1" i="0" u="none" strike="noStrike" baseline="0">
              <a:solidFill>
                <a:srgbClr val="000000"/>
              </a:solidFill>
              <a:latin typeface="Calibri" panose="020F0502020204030204" pitchFamily="34" charset="0"/>
            </a:rPr>
            <a:t>→</a:t>
          </a:r>
          <a:endParaRPr lang="pt-BR" sz="1100" b="1" i="0" u="none" strike="noStrike" baseline="0">
            <a:solidFill>
              <a:srgbClr val="000000"/>
            </a:solidFill>
            <a:latin typeface="Calibri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60960</xdr:colOff>
      <xdr:row>0</xdr:row>
      <xdr:rowOff>15240</xdr:rowOff>
    </xdr:from>
    <xdr:to>
      <xdr:col>15</xdr:col>
      <xdr:colOff>1043940</xdr:colOff>
      <xdr:row>1</xdr:row>
      <xdr:rowOff>167640</xdr:rowOff>
    </xdr:to>
    <xdr:pic>
      <xdr:nvPicPr>
        <xdr:cNvPr id="12879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1140" y="15240"/>
          <a:ext cx="182880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5715</xdr:colOff>
      <xdr:row>8</xdr:row>
      <xdr:rowOff>152400</xdr:rowOff>
    </xdr:from>
    <xdr:to>
      <xdr:col>23</xdr:col>
      <xdr:colOff>1055411</xdr:colOff>
      <xdr:row>11</xdr:row>
      <xdr:rowOff>28575</xdr:rowOff>
    </xdr:to>
    <xdr:sp macro="" textlink="" fLocksText="0">
      <xdr:nvSpPr>
        <xdr:cNvPr id="5127" name="TextBoxArred"/>
        <xdr:cNvSpPr txBox="1">
          <a:spLocks noChangeArrowheads="1"/>
        </xdr:cNvSpPr>
      </xdr:nvSpPr>
      <xdr:spPr bwMode="auto">
        <a:xfrm flipH="1">
          <a:off x="15811500" y="1438275"/>
          <a:ext cx="4686300" cy="361950"/>
        </a:xfrm>
        <a:prstGeom prst="rect">
          <a:avLst/>
        </a:prstGeom>
        <a:noFill/>
        <a:ln w="6480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27360" tIns="22680" rIns="27360" bIns="0" anchor="t"/>
        <a:lstStyle/>
        <a:p>
          <a:pPr algn="ctr" rtl="0">
            <a:defRPr sz="1000"/>
          </a:pPr>
          <a:r>
            <a:rPr lang="pt-B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Considerar valores arredondados com (0,00)</a:t>
          </a:r>
        </a:p>
      </xdr:txBody>
    </xdr:sp>
    <xdr:clientData fPrintsWithSheet="0"/>
  </xdr:twoCellAnchor>
  <xdr:twoCellAnchor>
    <xdr:from>
      <xdr:col>12</xdr:col>
      <xdr:colOff>308610</xdr:colOff>
      <xdr:row>0</xdr:row>
      <xdr:rowOff>146685</xdr:rowOff>
    </xdr:from>
    <xdr:to>
      <xdr:col>13</xdr:col>
      <xdr:colOff>285792</xdr:colOff>
      <xdr:row>2</xdr:row>
      <xdr:rowOff>38086</xdr:rowOff>
    </xdr:to>
    <xdr:sp macro="" textlink="" fLocksText="0">
      <xdr:nvSpPr>
        <xdr:cNvPr id="5133" name="AutoShape 67">
          <a:hlinkClick xmlns:r="http://schemas.openxmlformats.org/officeDocument/2006/relationships" r:id="rId2"/>
        </xdr:cNvPr>
        <xdr:cNvSpPr>
          <a:spLocks noChangeArrowheads="1"/>
        </xdr:cNvSpPr>
      </xdr:nvSpPr>
      <xdr:spPr bwMode="auto">
        <a:xfrm>
          <a:off x="6905625" y="152400"/>
          <a:ext cx="571500" cy="304800"/>
        </a:xfrm>
        <a:prstGeom prst="roundRect">
          <a:avLst>
            <a:gd name="adj" fmla="val 16667"/>
          </a:avLst>
        </a:prstGeom>
        <a:solidFill>
          <a:srgbClr val="99CCFF"/>
        </a:solidFill>
        <a:ln w="9360">
          <a:solidFill>
            <a:srgbClr val="808080"/>
          </a:solidFill>
          <a:miter lim="800000"/>
          <a:headEnd/>
          <a:tailEnd/>
        </a:ln>
        <a:effectLst/>
      </xdr:spPr>
      <xdr:txBody>
        <a:bodyPr vertOverflow="clip" wrap="square" lIns="27360" tIns="27360" rIns="27360" bIns="27360" anchor="ctr"/>
        <a:lstStyle/>
        <a:p>
          <a:pPr algn="ctr" rtl="0">
            <a:defRPr sz="1000"/>
          </a:pPr>
          <a:r>
            <a:rPr lang="pt-BR" sz="1100" b="1" i="0" u="none" strike="noStrike" baseline="0">
              <a:solidFill>
                <a:srgbClr val="000000"/>
              </a:solidFill>
              <a:latin typeface="Calibri"/>
            </a:rPr>
            <a:t>MENU</a:t>
          </a:r>
        </a:p>
      </xdr:txBody>
    </xdr:sp>
    <xdr:clientData/>
  </xdr:twoCellAnchor>
  <xdr:twoCellAnchor>
    <xdr:from>
      <xdr:col>14</xdr:col>
      <xdr:colOff>36195</xdr:colOff>
      <xdr:row>9</xdr:row>
      <xdr:rowOff>0</xdr:rowOff>
    </xdr:from>
    <xdr:to>
      <xdr:col>15</xdr:col>
      <xdr:colOff>630500</xdr:colOff>
      <xdr:row>10</xdr:row>
      <xdr:rowOff>167462</xdr:rowOff>
    </xdr:to>
    <xdr:sp macro="[0]!Linhas.AddLinha" textlink="" fLocksText="0">
      <xdr:nvSpPr>
        <xdr:cNvPr id="5134" name="AutoShape 67"/>
        <xdr:cNvSpPr>
          <a:spLocks noChangeArrowheads="1"/>
        </xdr:cNvSpPr>
      </xdr:nvSpPr>
      <xdr:spPr bwMode="auto">
        <a:xfrm>
          <a:off x="7800975" y="1447800"/>
          <a:ext cx="1428750" cy="314325"/>
        </a:xfrm>
        <a:prstGeom prst="roundRect">
          <a:avLst>
            <a:gd name="adj" fmla="val 16667"/>
          </a:avLst>
        </a:prstGeom>
        <a:solidFill>
          <a:srgbClr val="FFCC99"/>
        </a:solidFill>
        <a:ln w="9360">
          <a:solidFill>
            <a:srgbClr val="808080"/>
          </a:solidFill>
          <a:miter lim="800000"/>
          <a:headEnd/>
          <a:tailEnd/>
        </a:ln>
        <a:effectLst/>
      </xdr:spPr>
      <xdr:txBody>
        <a:bodyPr vertOverflow="clip" wrap="square" lIns="27360" tIns="27360" rIns="27360" bIns="27360" anchor="ctr"/>
        <a:lstStyle/>
        <a:p>
          <a:pPr algn="ctr" rtl="0">
            <a:defRPr sz="1000"/>
          </a:pPr>
          <a:r>
            <a:rPr lang="pt-BR" sz="1100" b="1" i="0" u="none" strike="noStrike" baseline="0">
              <a:solidFill>
                <a:srgbClr val="000000"/>
              </a:solidFill>
              <a:latin typeface="Calibri"/>
            </a:rPr>
            <a:t>ADICIONAR LINHAS</a:t>
          </a:r>
        </a:p>
      </xdr:txBody>
    </xdr:sp>
    <xdr:clientData fPrintsWithSheet="0"/>
  </xdr:twoCellAnchor>
  <xdr:twoCellAnchor>
    <xdr:from>
      <xdr:col>17</xdr:col>
      <xdr:colOff>93345</xdr:colOff>
      <xdr:row>9</xdr:row>
      <xdr:rowOff>0</xdr:rowOff>
    </xdr:from>
    <xdr:to>
      <xdr:col>17</xdr:col>
      <xdr:colOff>1552800</xdr:colOff>
      <xdr:row>10</xdr:row>
      <xdr:rowOff>167462</xdr:rowOff>
    </xdr:to>
    <xdr:sp macro="[0]!Descrição.fixar" textlink="" fLocksText="0">
      <xdr:nvSpPr>
        <xdr:cNvPr id="5135" name="AutoShape 67"/>
        <xdr:cNvSpPr>
          <a:spLocks noChangeArrowheads="1"/>
        </xdr:cNvSpPr>
      </xdr:nvSpPr>
      <xdr:spPr bwMode="auto">
        <a:xfrm>
          <a:off x="10801350" y="1447800"/>
          <a:ext cx="1428750" cy="314325"/>
        </a:xfrm>
        <a:prstGeom prst="roundRect">
          <a:avLst>
            <a:gd name="adj" fmla="val 16667"/>
          </a:avLst>
        </a:prstGeom>
        <a:solidFill>
          <a:srgbClr val="FFCC99"/>
        </a:solidFill>
        <a:ln w="9360">
          <a:solidFill>
            <a:srgbClr val="808080"/>
          </a:solidFill>
          <a:miter lim="800000"/>
          <a:headEnd/>
          <a:tailEnd/>
        </a:ln>
        <a:effectLst/>
      </xdr:spPr>
      <xdr:txBody>
        <a:bodyPr vertOverflow="clip" wrap="square" lIns="27360" tIns="27360" rIns="27360" bIns="27360" anchor="ctr"/>
        <a:lstStyle/>
        <a:p>
          <a:pPr algn="ctr" rtl="0">
            <a:defRPr sz="1000"/>
          </a:pPr>
          <a:r>
            <a:rPr lang="pt-BR" sz="1100" b="1" i="0" u="none" strike="noStrike" baseline="0">
              <a:solidFill>
                <a:srgbClr val="000000"/>
              </a:solidFill>
              <a:latin typeface="Calibri"/>
            </a:rPr>
            <a:t>FIXAR DESCRIÇÕES</a:t>
          </a:r>
        </a:p>
      </xdr:txBody>
    </xdr:sp>
    <xdr:clientData fPrintsWithSheet="0"/>
  </xdr:twoCellAnchor>
  <xdr:twoCellAnchor>
    <xdr:from>
      <xdr:col>15</xdr:col>
      <xdr:colOff>704850</xdr:colOff>
      <xdr:row>9</xdr:row>
      <xdr:rowOff>0</xdr:rowOff>
    </xdr:from>
    <xdr:to>
      <xdr:col>17</xdr:col>
      <xdr:colOff>11480</xdr:colOff>
      <xdr:row>10</xdr:row>
      <xdr:rowOff>167462</xdr:rowOff>
    </xdr:to>
    <xdr:sp macro="[0]!Linhas.ExcLinhas" textlink="" fLocksText="0">
      <xdr:nvSpPr>
        <xdr:cNvPr id="5136" name="AutoShape 67"/>
        <xdr:cNvSpPr>
          <a:spLocks noChangeArrowheads="1"/>
        </xdr:cNvSpPr>
      </xdr:nvSpPr>
      <xdr:spPr bwMode="auto">
        <a:xfrm>
          <a:off x="9296400" y="1447800"/>
          <a:ext cx="1428750" cy="314325"/>
        </a:xfrm>
        <a:prstGeom prst="roundRect">
          <a:avLst>
            <a:gd name="adj" fmla="val 16667"/>
          </a:avLst>
        </a:prstGeom>
        <a:solidFill>
          <a:srgbClr val="FFCC99"/>
        </a:solidFill>
        <a:ln w="9360">
          <a:solidFill>
            <a:srgbClr val="808080"/>
          </a:solidFill>
          <a:miter lim="800000"/>
          <a:headEnd/>
          <a:tailEnd/>
        </a:ln>
        <a:effectLst/>
      </xdr:spPr>
      <xdr:txBody>
        <a:bodyPr vertOverflow="clip" wrap="square" lIns="27360" tIns="27360" rIns="27360" bIns="27360" anchor="ctr"/>
        <a:lstStyle/>
        <a:p>
          <a:pPr algn="ctr" rtl="0">
            <a:defRPr sz="1000"/>
          </a:pPr>
          <a:r>
            <a:rPr lang="pt-BR" sz="1100" b="1" i="0" u="none" strike="noStrike" baseline="0">
              <a:solidFill>
                <a:srgbClr val="000000"/>
              </a:solidFill>
              <a:latin typeface="Calibri"/>
            </a:rPr>
            <a:t>EXCLUIR LINHAS</a:t>
          </a:r>
        </a:p>
      </xdr:txBody>
    </xdr:sp>
    <xdr:clientData fPrintsWithSheet="0"/>
  </xdr:twoCellAnchor>
  <xdr:twoCellAnchor>
    <xdr:from>
      <xdr:col>17</xdr:col>
      <xdr:colOff>1644015</xdr:colOff>
      <xdr:row>9</xdr:row>
      <xdr:rowOff>0</xdr:rowOff>
    </xdr:from>
    <xdr:to>
      <xdr:col>17</xdr:col>
      <xdr:colOff>3337314</xdr:colOff>
      <xdr:row>10</xdr:row>
      <xdr:rowOff>167462</xdr:rowOff>
    </xdr:to>
    <xdr:sp macro="[0]!Descrição.recuperar" textlink="" fLocksText="0">
      <xdr:nvSpPr>
        <xdr:cNvPr id="5137" name="AutoShape 67"/>
        <xdr:cNvSpPr>
          <a:spLocks noChangeArrowheads="1"/>
        </xdr:cNvSpPr>
      </xdr:nvSpPr>
      <xdr:spPr bwMode="auto">
        <a:xfrm>
          <a:off x="12306300" y="1447800"/>
          <a:ext cx="1657350" cy="314325"/>
        </a:xfrm>
        <a:prstGeom prst="roundRect">
          <a:avLst>
            <a:gd name="adj" fmla="val 16667"/>
          </a:avLst>
        </a:prstGeom>
        <a:solidFill>
          <a:srgbClr val="FFCC99"/>
        </a:solidFill>
        <a:ln w="9360">
          <a:solidFill>
            <a:srgbClr val="808080"/>
          </a:solidFill>
          <a:miter lim="800000"/>
          <a:headEnd/>
          <a:tailEnd/>
        </a:ln>
        <a:effectLst/>
      </xdr:spPr>
      <xdr:txBody>
        <a:bodyPr vertOverflow="clip" wrap="square" lIns="27360" tIns="27360" rIns="27360" bIns="27360" anchor="ctr"/>
        <a:lstStyle/>
        <a:p>
          <a:pPr algn="ctr" rtl="0">
            <a:defRPr sz="1000"/>
          </a:pPr>
          <a:r>
            <a:rPr lang="pt-BR" sz="1100" b="1" i="0" u="none" strike="noStrike" baseline="0">
              <a:solidFill>
                <a:srgbClr val="000000"/>
              </a:solidFill>
              <a:latin typeface="Calibri"/>
            </a:rPr>
            <a:t>RECUPERAR FÓRMULAS</a:t>
          </a:r>
        </a:p>
      </xdr:txBody>
    </xdr:sp>
    <xdr:clientData fPrintsWithSheet="0"/>
  </xdr:twoCellAnchor>
  <xdr:twoCellAnchor>
    <xdr:from>
      <xdr:col>17</xdr:col>
      <xdr:colOff>3409738</xdr:colOff>
      <xdr:row>9</xdr:row>
      <xdr:rowOff>1</xdr:rowOff>
    </xdr:from>
    <xdr:to>
      <xdr:col>18</xdr:col>
      <xdr:colOff>280244</xdr:colOff>
      <xdr:row>10</xdr:row>
      <xdr:rowOff>167463</xdr:rowOff>
    </xdr:to>
    <xdr:sp macro="[0]!buscarcodigo" textlink="" fLocksText="0">
      <xdr:nvSpPr>
        <xdr:cNvPr id="14" name="AutoShape 67"/>
        <xdr:cNvSpPr>
          <a:spLocks noChangeArrowheads="1"/>
        </xdr:cNvSpPr>
      </xdr:nvSpPr>
      <xdr:spPr bwMode="auto">
        <a:xfrm>
          <a:off x="7662333" y="1428751"/>
          <a:ext cx="1333500" cy="311150"/>
        </a:xfrm>
        <a:prstGeom prst="roundRect">
          <a:avLst>
            <a:gd name="adj" fmla="val 16667"/>
          </a:avLst>
        </a:prstGeom>
        <a:solidFill>
          <a:srgbClr val="FFCC99"/>
        </a:solidFill>
        <a:ln w="9360">
          <a:solidFill>
            <a:srgbClr val="808080"/>
          </a:solidFill>
          <a:miter lim="800000"/>
          <a:headEnd/>
          <a:tailEnd/>
        </a:ln>
        <a:effectLst/>
      </xdr:spPr>
      <xdr:txBody>
        <a:bodyPr vertOverflow="clip" wrap="square" lIns="27360" tIns="27360" rIns="27360" bIns="27360" anchor="ctr"/>
        <a:lstStyle/>
        <a:p>
          <a:pPr algn="ctr" rtl="0">
            <a:defRPr sz="1000"/>
          </a:pPr>
          <a:r>
            <a:rPr lang="pt-BR" sz="1100" b="1" i="0" u="none" strike="noStrike" baseline="0">
              <a:solidFill>
                <a:srgbClr val="000000"/>
              </a:solidFill>
              <a:latin typeface="Calibri"/>
            </a:rPr>
            <a:t>BUSCAR CÓDIGO</a:t>
          </a:r>
        </a:p>
      </xdr:txBody>
    </xdr:sp>
    <xdr:clientData fPrintsWithSheet="0"/>
  </xdr:twoCellAnchor>
  <xdr:twoCellAnchor>
    <xdr:from>
      <xdr:col>12</xdr:col>
      <xdr:colOff>309668</xdr:colOff>
      <xdr:row>2</xdr:row>
      <xdr:rowOff>99907</xdr:rowOff>
    </xdr:from>
    <xdr:to>
      <xdr:col>13</xdr:col>
      <xdr:colOff>285818</xdr:colOff>
      <xdr:row>4</xdr:row>
      <xdr:rowOff>69830</xdr:rowOff>
    </xdr:to>
    <xdr:sp macro="" textlink="" fLocksText="0">
      <xdr:nvSpPr>
        <xdr:cNvPr id="15" name="AutoShape 67">
          <a:hlinkClick xmlns:r="http://schemas.openxmlformats.org/officeDocument/2006/relationships" r:id="rId3"/>
        </xdr:cNvPr>
        <xdr:cNvSpPr>
          <a:spLocks noChangeArrowheads="1"/>
        </xdr:cNvSpPr>
      </xdr:nvSpPr>
      <xdr:spPr bwMode="auto">
        <a:xfrm>
          <a:off x="539750" y="508000"/>
          <a:ext cx="571501" cy="302683"/>
        </a:xfrm>
        <a:prstGeom prst="roundRect">
          <a:avLst>
            <a:gd name="adj" fmla="val 16667"/>
          </a:avLst>
        </a:prstGeom>
        <a:solidFill>
          <a:srgbClr val="99CCFF"/>
        </a:solidFill>
        <a:ln w="9360">
          <a:solidFill>
            <a:srgbClr val="808080"/>
          </a:solidFill>
          <a:miter lim="800000"/>
          <a:headEnd/>
          <a:tailEnd/>
        </a:ln>
        <a:effectLst/>
      </xdr:spPr>
      <xdr:txBody>
        <a:bodyPr vertOverflow="clip" wrap="square" lIns="27360" tIns="27360" rIns="27360" bIns="27360" anchor="ctr"/>
        <a:lstStyle/>
        <a:p>
          <a:pPr algn="ctr" rtl="0">
            <a:defRPr sz="1000"/>
          </a:pPr>
          <a:r>
            <a:rPr lang="pt-BR" sz="1100" b="1" i="0" u="none" strike="noStrike" baseline="0">
              <a:solidFill>
                <a:srgbClr val="000000"/>
              </a:solidFill>
              <a:latin typeface="Calibri"/>
            </a:rPr>
            <a:t>←</a:t>
          </a:r>
        </a:p>
      </xdr:txBody>
    </xdr:sp>
    <xdr:clientData/>
  </xdr:twoCellAnchor>
  <xdr:twoCellAnchor>
    <xdr:from>
      <xdr:col>12</xdr:col>
      <xdr:colOff>313901</xdr:colOff>
      <xdr:row>4</xdr:row>
      <xdr:rowOff>120650</xdr:rowOff>
    </xdr:from>
    <xdr:to>
      <xdr:col>13</xdr:col>
      <xdr:colOff>289896</xdr:colOff>
      <xdr:row>7</xdr:row>
      <xdr:rowOff>52916</xdr:rowOff>
    </xdr:to>
    <xdr:sp macro="" textlink="" fLocksText="0">
      <xdr:nvSpPr>
        <xdr:cNvPr id="16" name="AutoShape 67">
          <a:hlinkClick xmlns:r="http://schemas.openxmlformats.org/officeDocument/2006/relationships" r:id="rId4"/>
        </xdr:cNvPr>
        <xdr:cNvSpPr>
          <a:spLocks noChangeArrowheads="1"/>
        </xdr:cNvSpPr>
      </xdr:nvSpPr>
      <xdr:spPr bwMode="auto">
        <a:xfrm>
          <a:off x="543983" y="861483"/>
          <a:ext cx="571501" cy="302683"/>
        </a:xfrm>
        <a:prstGeom prst="roundRect">
          <a:avLst>
            <a:gd name="adj" fmla="val 16667"/>
          </a:avLst>
        </a:prstGeom>
        <a:solidFill>
          <a:srgbClr val="99CCFF"/>
        </a:solidFill>
        <a:ln w="9360">
          <a:solidFill>
            <a:srgbClr val="808080"/>
          </a:solidFill>
          <a:miter lim="800000"/>
          <a:headEnd/>
          <a:tailEnd/>
        </a:ln>
        <a:effectLst/>
      </xdr:spPr>
      <xdr:txBody>
        <a:bodyPr vertOverflow="clip" wrap="square" lIns="27360" tIns="27360" rIns="27360" bIns="27360" anchor="ctr"/>
        <a:lstStyle/>
        <a:p>
          <a:pPr algn="ctr" rtl="0">
            <a:defRPr sz="1000"/>
          </a:pPr>
          <a:r>
            <a:rPr lang="pt-BR" sz="1100" b="1" i="0" u="none" strike="noStrike" baseline="0">
              <a:solidFill>
                <a:srgbClr val="000000"/>
              </a:solidFill>
              <a:latin typeface="Calibri" panose="020F0502020204030204" pitchFamily="34" charset="0"/>
            </a:rPr>
            <a:t>→</a:t>
          </a:r>
          <a:endParaRPr lang="pt-BR" sz="1100" b="1" i="0" u="none" strike="noStrike" baseline="0">
            <a:solidFill>
              <a:srgbClr val="000000"/>
            </a:solidFill>
            <a:latin typeface="Calibri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457200</xdr:colOff>
          <xdr:row>9</xdr:row>
          <xdr:rowOff>121920</xdr:rowOff>
        </xdr:from>
        <xdr:to>
          <xdr:col>19</xdr:col>
          <xdr:colOff>891540</xdr:colOff>
          <xdr:row>11</xdr:row>
          <xdr:rowOff>38100</xdr:rowOff>
        </xdr:to>
        <xdr:sp macro="" textlink="">
          <xdr:nvSpPr>
            <xdr:cNvPr id="5128" name="CaixaArredQuant" hidden="1">
              <a:extLst>
                <a:ext uri="{63B3BB69-23CF-44E3-9099-C40C66FF867C}">
                  <a14:compatExt spid="_x0000_s5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</xdr:col>
          <xdr:colOff>449580</xdr:colOff>
          <xdr:row>9</xdr:row>
          <xdr:rowOff>121920</xdr:rowOff>
        </xdr:from>
        <xdr:to>
          <xdr:col>20</xdr:col>
          <xdr:colOff>876300</xdr:colOff>
          <xdr:row>11</xdr:row>
          <xdr:rowOff>38100</xdr:rowOff>
        </xdr:to>
        <xdr:sp macro="" textlink="">
          <xdr:nvSpPr>
            <xdr:cNvPr id="5129" name="CaixaArredCustoUnit" hidden="1">
              <a:extLst>
                <a:ext uri="{63B3BB69-23CF-44E3-9099-C40C66FF867C}">
                  <a14:compatExt spid="_x0000_s5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281940</xdr:colOff>
          <xdr:row>9</xdr:row>
          <xdr:rowOff>121920</xdr:rowOff>
        </xdr:from>
        <xdr:to>
          <xdr:col>21</xdr:col>
          <xdr:colOff>708660</xdr:colOff>
          <xdr:row>11</xdr:row>
          <xdr:rowOff>38100</xdr:rowOff>
        </xdr:to>
        <xdr:sp macro="" textlink="">
          <xdr:nvSpPr>
            <xdr:cNvPr id="5130" name="CaixaArredBDI" hidden="1">
              <a:extLst>
                <a:ext uri="{63B3BB69-23CF-44E3-9099-C40C66FF867C}">
                  <a14:compatExt spid="_x0000_s5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358140</xdr:colOff>
          <xdr:row>9</xdr:row>
          <xdr:rowOff>121920</xdr:rowOff>
        </xdr:from>
        <xdr:to>
          <xdr:col>22</xdr:col>
          <xdr:colOff>792480</xdr:colOff>
          <xdr:row>11</xdr:row>
          <xdr:rowOff>38100</xdr:rowOff>
        </xdr:to>
        <xdr:sp macro="" textlink="">
          <xdr:nvSpPr>
            <xdr:cNvPr id="5131" name="CaixaArredPrecoUnit" hidden="1">
              <a:extLst>
                <a:ext uri="{63B3BB69-23CF-44E3-9099-C40C66FF867C}">
                  <a14:compatExt spid="_x0000_s5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449580</xdr:colOff>
          <xdr:row>9</xdr:row>
          <xdr:rowOff>106680</xdr:rowOff>
        </xdr:from>
        <xdr:to>
          <xdr:col>23</xdr:col>
          <xdr:colOff>876300</xdr:colOff>
          <xdr:row>11</xdr:row>
          <xdr:rowOff>30480</xdr:rowOff>
        </xdr:to>
        <xdr:sp macro="" textlink="">
          <xdr:nvSpPr>
            <xdr:cNvPr id="5132" name="CaixaArredPrecoTotal" hidden="1">
              <a:extLst>
                <a:ext uri="{63B3BB69-23CF-44E3-9099-C40C66FF867C}">
                  <a14:compatExt spid="_x0000_s5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</xdr:colOff>
      <xdr:row>0</xdr:row>
      <xdr:rowOff>15240</xdr:rowOff>
    </xdr:from>
    <xdr:to>
      <xdr:col>5</xdr:col>
      <xdr:colOff>1036320</xdr:colOff>
      <xdr:row>2</xdr:row>
      <xdr:rowOff>7620</xdr:rowOff>
    </xdr:to>
    <xdr:pic>
      <xdr:nvPicPr>
        <xdr:cNvPr id="13335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" y="15240"/>
          <a:ext cx="18669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152400</xdr:colOff>
      <xdr:row>1</xdr:row>
      <xdr:rowOff>9525</xdr:rowOff>
    </xdr:from>
    <xdr:to>
      <xdr:col>3</xdr:col>
      <xdr:colOff>472272</xdr:colOff>
      <xdr:row>2</xdr:row>
      <xdr:rowOff>123825</xdr:rowOff>
    </xdr:to>
    <xdr:sp macro="" textlink="" fLocksText="0">
      <xdr:nvSpPr>
        <xdr:cNvPr id="6147" name="AutoShape 67">
          <a:hlinkClick xmlns:r="http://schemas.openxmlformats.org/officeDocument/2006/relationships" r:id="rId2"/>
        </xdr:cNvPr>
        <xdr:cNvSpPr>
          <a:spLocks noChangeArrowheads="1"/>
        </xdr:cNvSpPr>
      </xdr:nvSpPr>
      <xdr:spPr bwMode="auto">
        <a:xfrm>
          <a:off x="152400" y="209550"/>
          <a:ext cx="561975" cy="304800"/>
        </a:xfrm>
        <a:prstGeom prst="roundRect">
          <a:avLst>
            <a:gd name="adj" fmla="val 16667"/>
          </a:avLst>
        </a:prstGeom>
        <a:solidFill>
          <a:srgbClr val="99CCFF"/>
        </a:solidFill>
        <a:ln w="9360">
          <a:solidFill>
            <a:srgbClr val="808080"/>
          </a:solidFill>
          <a:miter lim="800000"/>
          <a:headEnd/>
          <a:tailEnd/>
        </a:ln>
        <a:effectLst/>
      </xdr:spPr>
      <xdr:txBody>
        <a:bodyPr vertOverflow="clip" wrap="square" lIns="27360" tIns="27360" rIns="27360" bIns="27360" anchor="ctr"/>
        <a:lstStyle/>
        <a:p>
          <a:pPr algn="ctr" rtl="0">
            <a:defRPr sz="1000"/>
          </a:pPr>
          <a:r>
            <a:rPr lang="pt-BR" sz="1100" b="1" i="0" u="none" strike="noStrike" baseline="0">
              <a:solidFill>
                <a:srgbClr val="000000"/>
              </a:solidFill>
              <a:latin typeface="Calibri"/>
            </a:rPr>
            <a:t>MENU</a:t>
          </a:r>
        </a:p>
      </xdr:txBody>
    </xdr:sp>
    <xdr:clientData/>
  </xdr:twoCellAnchor>
  <xdr:twoCellAnchor>
    <xdr:from>
      <xdr:col>5</xdr:col>
      <xdr:colOff>186690</xdr:colOff>
      <xdr:row>11</xdr:row>
      <xdr:rowOff>266700</xdr:rowOff>
    </xdr:from>
    <xdr:to>
      <xdr:col>5</xdr:col>
      <xdr:colOff>2914313</xdr:colOff>
      <xdr:row>11</xdr:row>
      <xdr:rowOff>571500</xdr:rowOff>
    </xdr:to>
    <xdr:sp macro="" textlink="" fLocksText="0">
      <xdr:nvSpPr>
        <xdr:cNvPr id="6148" name="AutoShape 67">
          <a:hlinkClick xmlns:r="http://schemas.openxmlformats.org/officeDocument/2006/relationships" r:id="rId3"/>
        </xdr:cNvPr>
        <xdr:cNvSpPr>
          <a:spLocks noChangeArrowheads="1"/>
        </xdr:cNvSpPr>
      </xdr:nvSpPr>
      <xdr:spPr bwMode="auto">
        <a:xfrm>
          <a:off x="1847850" y="1304925"/>
          <a:ext cx="2657475" cy="304800"/>
        </a:xfrm>
        <a:prstGeom prst="roundRect">
          <a:avLst>
            <a:gd name="adj" fmla="val 16667"/>
          </a:avLst>
        </a:prstGeom>
        <a:solidFill>
          <a:srgbClr val="99CCFF"/>
        </a:solidFill>
        <a:ln w="9360">
          <a:solidFill>
            <a:srgbClr val="808080"/>
          </a:solidFill>
          <a:miter lim="800000"/>
          <a:headEnd/>
          <a:tailEnd/>
        </a:ln>
        <a:effectLst/>
      </xdr:spPr>
      <xdr:txBody>
        <a:bodyPr vertOverflow="clip" wrap="square" lIns="27360" tIns="27360" rIns="27360" bIns="27360" anchor="ctr"/>
        <a:lstStyle/>
        <a:p>
          <a:pPr algn="ctr" rtl="0">
            <a:defRPr sz="1000"/>
          </a:pPr>
          <a:r>
            <a:rPr lang="pt-BR" sz="1100" b="1" i="0" u="none" strike="noStrike" baseline="0">
              <a:solidFill>
                <a:srgbClr val="000000"/>
              </a:solidFill>
              <a:latin typeface="Calibri"/>
            </a:rPr>
            <a:t>REDEFINIR AGRUPADORES DE EVENTOS</a:t>
          </a:r>
        </a:p>
      </xdr:txBody>
    </xdr:sp>
    <xdr:clientData fPrintsWithSheet="0"/>
  </xdr:twoCellAnchor>
  <xdr:twoCellAnchor>
    <xdr:from>
      <xdr:col>5</xdr:col>
      <xdr:colOff>2985135</xdr:colOff>
      <xdr:row>11</xdr:row>
      <xdr:rowOff>266700</xdr:rowOff>
    </xdr:from>
    <xdr:to>
      <xdr:col>6</xdr:col>
      <xdr:colOff>33651</xdr:colOff>
      <xdr:row>11</xdr:row>
      <xdr:rowOff>571500</xdr:rowOff>
    </xdr:to>
    <xdr:sp macro="[0]!Colunas.incluirpag" textlink="" fLocksText="0">
      <xdr:nvSpPr>
        <xdr:cNvPr id="6149" name="AutoShape 67"/>
        <xdr:cNvSpPr>
          <a:spLocks noChangeArrowheads="1"/>
        </xdr:cNvSpPr>
      </xdr:nvSpPr>
      <xdr:spPr bwMode="auto">
        <a:xfrm>
          <a:off x="4562475" y="1304925"/>
          <a:ext cx="1514475" cy="304800"/>
        </a:xfrm>
        <a:prstGeom prst="roundRect">
          <a:avLst>
            <a:gd name="adj" fmla="val 16667"/>
          </a:avLst>
        </a:prstGeom>
        <a:solidFill>
          <a:srgbClr val="FFCC99"/>
        </a:solidFill>
        <a:ln w="9360">
          <a:solidFill>
            <a:srgbClr val="808080"/>
          </a:solidFill>
          <a:miter lim="800000"/>
          <a:headEnd/>
          <a:tailEnd/>
        </a:ln>
        <a:effectLst/>
      </xdr:spPr>
      <xdr:txBody>
        <a:bodyPr vertOverflow="clip" wrap="square" lIns="27360" tIns="27360" rIns="27360" bIns="27360" anchor="ctr"/>
        <a:lstStyle/>
        <a:p>
          <a:pPr algn="ctr" rtl="0">
            <a:defRPr sz="1000"/>
          </a:pPr>
          <a:r>
            <a:rPr lang="pt-BR" sz="1100" b="1" i="0" u="none" strike="noStrike" baseline="0">
              <a:solidFill>
                <a:srgbClr val="000000"/>
              </a:solidFill>
              <a:latin typeface="Calibri"/>
            </a:rPr>
            <a:t>ADICIONAR 8 FRENTES</a:t>
          </a:r>
        </a:p>
      </xdr:txBody>
    </xdr:sp>
    <xdr:clientData fPrintsWithSheet="0"/>
  </xdr:twoCellAnchor>
  <xdr:twoCellAnchor>
    <xdr:from>
      <xdr:col>6</xdr:col>
      <xdr:colOff>100965</xdr:colOff>
      <xdr:row>11</xdr:row>
      <xdr:rowOff>266700</xdr:rowOff>
    </xdr:from>
    <xdr:to>
      <xdr:col>7</xdr:col>
      <xdr:colOff>912599</xdr:colOff>
      <xdr:row>11</xdr:row>
      <xdr:rowOff>581025</xdr:rowOff>
    </xdr:to>
    <xdr:sp macro="[0]!Colunas.excluirpag" textlink="" fLocksText="0">
      <xdr:nvSpPr>
        <xdr:cNvPr id="6150" name="AutoShape 67"/>
        <xdr:cNvSpPr>
          <a:spLocks noChangeArrowheads="1"/>
        </xdr:cNvSpPr>
      </xdr:nvSpPr>
      <xdr:spPr bwMode="auto">
        <a:xfrm>
          <a:off x="6143625" y="1304925"/>
          <a:ext cx="1514475" cy="314325"/>
        </a:xfrm>
        <a:prstGeom prst="roundRect">
          <a:avLst>
            <a:gd name="adj" fmla="val 16667"/>
          </a:avLst>
        </a:prstGeom>
        <a:solidFill>
          <a:srgbClr val="FFCC99"/>
        </a:solidFill>
        <a:ln w="9360">
          <a:solidFill>
            <a:srgbClr val="808080"/>
          </a:solidFill>
          <a:miter lim="800000"/>
          <a:headEnd/>
          <a:tailEnd/>
        </a:ln>
        <a:effectLst/>
      </xdr:spPr>
      <xdr:txBody>
        <a:bodyPr vertOverflow="clip" wrap="square" lIns="27360" tIns="27360" rIns="27360" bIns="27360" anchor="ctr"/>
        <a:lstStyle/>
        <a:p>
          <a:pPr algn="ctr" rtl="0">
            <a:defRPr sz="1000"/>
          </a:pPr>
          <a:r>
            <a:rPr lang="pt-BR" sz="1100" b="1" i="0" u="none" strike="noStrike" baseline="0">
              <a:solidFill>
                <a:srgbClr val="000000"/>
              </a:solidFill>
              <a:latin typeface="Calibri"/>
            </a:rPr>
            <a:t>EXCLUIR 8 FRENTES</a:t>
          </a:r>
        </a:p>
      </xdr:txBody>
    </xdr:sp>
    <xdr:clientData fPrintsWithSheet="0"/>
  </xdr:twoCellAnchor>
  <xdr:twoCellAnchor>
    <xdr:from>
      <xdr:col>2</xdr:col>
      <xdr:colOff>137584</xdr:colOff>
      <xdr:row>3</xdr:row>
      <xdr:rowOff>15452</xdr:rowOff>
    </xdr:from>
    <xdr:to>
      <xdr:col>3</xdr:col>
      <xdr:colOff>471269</xdr:colOff>
      <xdr:row>5</xdr:row>
      <xdr:rowOff>907</xdr:rowOff>
    </xdr:to>
    <xdr:sp macro="" textlink="" fLocksText="0">
      <xdr:nvSpPr>
        <xdr:cNvPr id="7" name="AutoShape 67">
          <a:hlinkClick xmlns:r="http://schemas.openxmlformats.org/officeDocument/2006/relationships" r:id="rId4"/>
        </xdr:cNvPr>
        <xdr:cNvSpPr>
          <a:spLocks noChangeArrowheads="1"/>
        </xdr:cNvSpPr>
      </xdr:nvSpPr>
      <xdr:spPr bwMode="auto">
        <a:xfrm>
          <a:off x="137584" y="571500"/>
          <a:ext cx="571501" cy="302683"/>
        </a:xfrm>
        <a:prstGeom prst="roundRect">
          <a:avLst>
            <a:gd name="adj" fmla="val 16667"/>
          </a:avLst>
        </a:prstGeom>
        <a:solidFill>
          <a:srgbClr val="99CCFF"/>
        </a:solidFill>
        <a:ln w="9360">
          <a:solidFill>
            <a:srgbClr val="808080"/>
          </a:solidFill>
          <a:miter lim="800000"/>
          <a:headEnd/>
          <a:tailEnd/>
        </a:ln>
        <a:effectLst/>
      </xdr:spPr>
      <xdr:txBody>
        <a:bodyPr vertOverflow="clip" wrap="square" lIns="27360" tIns="27360" rIns="27360" bIns="27360" anchor="ctr"/>
        <a:lstStyle/>
        <a:p>
          <a:pPr algn="ctr" rtl="0">
            <a:defRPr sz="1000"/>
          </a:pPr>
          <a:r>
            <a:rPr lang="pt-BR" sz="1100" b="1" i="0" u="none" strike="noStrike" baseline="0">
              <a:solidFill>
                <a:srgbClr val="000000"/>
              </a:solidFill>
              <a:latin typeface="Calibri"/>
            </a:rPr>
            <a:t>←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7</xdr:row>
      <xdr:rowOff>0</xdr:rowOff>
    </xdr:from>
    <xdr:to>
      <xdr:col>2</xdr:col>
      <xdr:colOff>705227</xdr:colOff>
      <xdr:row>7</xdr:row>
      <xdr:rowOff>304800</xdr:rowOff>
    </xdr:to>
    <xdr:sp macro="" textlink="" fLocksText="0">
      <xdr:nvSpPr>
        <xdr:cNvPr id="7170" name="AutoShape 67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609600" y="1009650"/>
          <a:ext cx="695325" cy="304800"/>
        </a:xfrm>
        <a:prstGeom prst="roundRect">
          <a:avLst>
            <a:gd name="adj" fmla="val 16667"/>
          </a:avLst>
        </a:prstGeom>
        <a:solidFill>
          <a:srgbClr val="99CCFF"/>
        </a:solidFill>
        <a:ln w="9360">
          <a:solidFill>
            <a:srgbClr val="808080"/>
          </a:solidFill>
          <a:miter lim="800000"/>
          <a:headEnd/>
          <a:tailEnd/>
        </a:ln>
        <a:effectLst/>
      </xdr:spPr>
      <xdr:txBody>
        <a:bodyPr vertOverflow="clip" wrap="square" lIns="27360" tIns="27360" rIns="27360" bIns="27360" anchor="ctr"/>
        <a:lstStyle/>
        <a:p>
          <a:pPr algn="ctr" rtl="0">
            <a:defRPr sz="1000"/>
          </a:pPr>
          <a:r>
            <a:rPr lang="pt-BR" sz="1100" b="1" i="0" u="none" strike="noStrike" baseline="0">
              <a:solidFill>
                <a:srgbClr val="000000"/>
              </a:solidFill>
              <a:latin typeface="Calibri"/>
            </a:rPr>
            <a:t>VOLTAR</a:t>
          </a:r>
        </a:p>
      </xdr:txBody>
    </xdr:sp>
    <xdr:clientData fPrintsWithSheet="0"/>
  </xdr:twoCellAnchor>
  <xdr:twoCellAnchor>
    <xdr:from>
      <xdr:col>3</xdr:col>
      <xdr:colOff>544830</xdr:colOff>
      <xdr:row>7</xdr:row>
      <xdr:rowOff>0</xdr:rowOff>
    </xdr:from>
    <xdr:to>
      <xdr:col>3</xdr:col>
      <xdr:colOff>1996227</xdr:colOff>
      <xdr:row>7</xdr:row>
      <xdr:rowOff>304800</xdr:rowOff>
    </xdr:to>
    <xdr:sp macro="[0]!Linhas.AddLinha" textlink="" fLocksText="0">
      <xdr:nvSpPr>
        <xdr:cNvPr id="7171" name="AutoShape 67"/>
        <xdr:cNvSpPr>
          <a:spLocks noChangeArrowheads="1"/>
        </xdr:cNvSpPr>
      </xdr:nvSpPr>
      <xdr:spPr bwMode="auto">
        <a:xfrm>
          <a:off x="1990725" y="1009650"/>
          <a:ext cx="1428750" cy="304800"/>
        </a:xfrm>
        <a:prstGeom prst="roundRect">
          <a:avLst>
            <a:gd name="adj" fmla="val 16667"/>
          </a:avLst>
        </a:prstGeom>
        <a:solidFill>
          <a:srgbClr val="FFCC99"/>
        </a:solidFill>
        <a:ln w="9360">
          <a:solidFill>
            <a:srgbClr val="808080"/>
          </a:solidFill>
          <a:miter lim="800000"/>
          <a:headEnd/>
          <a:tailEnd/>
        </a:ln>
        <a:effectLst/>
      </xdr:spPr>
      <xdr:txBody>
        <a:bodyPr vertOverflow="clip" wrap="square" lIns="27360" tIns="27360" rIns="27360" bIns="27360" anchor="ctr"/>
        <a:lstStyle/>
        <a:p>
          <a:pPr algn="ctr" rtl="0">
            <a:defRPr sz="1000"/>
          </a:pPr>
          <a:r>
            <a:rPr lang="pt-BR" sz="1100" b="1" i="0" u="none" strike="noStrike" baseline="0">
              <a:solidFill>
                <a:srgbClr val="000000"/>
              </a:solidFill>
              <a:latin typeface="Calibri"/>
            </a:rPr>
            <a:t>ADICIONAR LINHAS</a:t>
          </a:r>
        </a:p>
      </xdr:txBody>
    </xdr:sp>
    <xdr:clientData fPrintsWithSheet="0"/>
  </xdr:twoCellAnchor>
  <xdr:twoCellAnchor>
    <xdr:from>
      <xdr:col>3</xdr:col>
      <xdr:colOff>2070735</xdr:colOff>
      <xdr:row>7</xdr:row>
      <xdr:rowOff>0</xdr:rowOff>
    </xdr:from>
    <xdr:to>
      <xdr:col>5</xdr:col>
      <xdr:colOff>809579</xdr:colOff>
      <xdr:row>7</xdr:row>
      <xdr:rowOff>304800</xdr:rowOff>
    </xdr:to>
    <xdr:sp macro="[0]!Linhas.ExcLinhas" textlink="" fLocksText="0">
      <xdr:nvSpPr>
        <xdr:cNvPr id="7172" name="AutoShape 67"/>
        <xdr:cNvSpPr>
          <a:spLocks noChangeArrowheads="1"/>
        </xdr:cNvSpPr>
      </xdr:nvSpPr>
      <xdr:spPr bwMode="auto">
        <a:xfrm>
          <a:off x="3486150" y="1009650"/>
          <a:ext cx="1428750" cy="304800"/>
        </a:xfrm>
        <a:prstGeom prst="roundRect">
          <a:avLst>
            <a:gd name="adj" fmla="val 16667"/>
          </a:avLst>
        </a:prstGeom>
        <a:solidFill>
          <a:srgbClr val="FFCC99"/>
        </a:solidFill>
        <a:ln w="9360">
          <a:solidFill>
            <a:srgbClr val="808080"/>
          </a:solidFill>
          <a:miter lim="800000"/>
          <a:headEnd/>
          <a:tailEnd/>
        </a:ln>
        <a:effectLst/>
      </xdr:spPr>
      <xdr:txBody>
        <a:bodyPr vertOverflow="clip" wrap="square" lIns="27360" tIns="27360" rIns="27360" bIns="27360" anchor="ctr"/>
        <a:lstStyle/>
        <a:p>
          <a:pPr algn="ctr" rtl="0">
            <a:defRPr sz="1000"/>
          </a:pPr>
          <a:r>
            <a:rPr lang="pt-BR" sz="1100" b="1" i="0" u="none" strike="noStrike" baseline="0">
              <a:solidFill>
                <a:srgbClr val="000000"/>
              </a:solidFill>
              <a:latin typeface="Calibri"/>
            </a:rPr>
            <a:t>EXCLUIR LINHAS</a:t>
          </a:r>
        </a:p>
      </xdr:txBody>
    </xdr:sp>
    <xdr:clientData fPrint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0</xdr:rowOff>
    </xdr:from>
    <xdr:to>
      <xdr:col>9</xdr:col>
      <xdr:colOff>365760</xdr:colOff>
      <xdr:row>4</xdr:row>
      <xdr:rowOff>167640</xdr:rowOff>
    </xdr:to>
    <xdr:pic>
      <xdr:nvPicPr>
        <xdr:cNvPr id="13437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140" y="0"/>
          <a:ext cx="1851660" cy="358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142875</xdr:colOff>
      <xdr:row>3</xdr:row>
      <xdr:rowOff>85725</xdr:rowOff>
    </xdr:from>
    <xdr:to>
      <xdr:col>6</xdr:col>
      <xdr:colOff>735183</xdr:colOff>
      <xdr:row>5</xdr:row>
      <xdr:rowOff>0</xdr:rowOff>
    </xdr:to>
    <xdr:sp macro="" textlink="" fLocksText="0">
      <xdr:nvSpPr>
        <xdr:cNvPr id="8195" name="AutoShape 67">
          <a:hlinkClick xmlns:r="http://schemas.openxmlformats.org/officeDocument/2006/relationships" r:id="rId2"/>
        </xdr:cNvPr>
        <xdr:cNvSpPr>
          <a:spLocks noChangeArrowheads="1"/>
        </xdr:cNvSpPr>
      </xdr:nvSpPr>
      <xdr:spPr bwMode="auto">
        <a:xfrm>
          <a:off x="3181350" y="571500"/>
          <a:ext cx="571500" cy="304800"/>
        </a:xfrm>
        <a:prstGeom prst="roundRect">
          <a:avLst>
            <a:gd name="adj" fmla="val 16667"/>
          </a:avLst>
        </a:prstGeom>
        <a:solidFill>
          <a:srgbClr val="99CCFF"/>
        </a:solidFill>
        <a:ln w="9360">
          <a:solidFill>
            <a:srgbClr val="808080"/>
          </a:solidFill>
          <a:miter lim="800000"/>
          <a:headEnd/>
          <a:tailEnd/>
        </a:ln>
        <a:effectLst/>
      </xdr:spPr>
      <xdr:txBody>
        <a:bodyPr vertOverflow="clip" wrap="square" lIns="27360" tIns="27360" rIns="27360" bIns="27360" anchor="ctr"/>
        <a:lstStyle/>
        <a:p>
          <a:pPr algn="ctr" rtl="0">
            <a:defRPr sz="1000"/>
          </a:pPr>
          <a:r>
            <a:rPr lang="pt-BR" sz="1100" b="1" i="0" u="none" strike="noStrike" baseline="0">
              <a:solidFill>
                <a:srgbClr val="000000"/>
              </a:solidFill>
              <a:latin typeface="Calibri"/>
            </a:rPr>
            <a:t>MENU</a:t>
          </a:r>
        </a:p>
      </xdr:txBody>
    </xdr:sp>
    <xdr:clientData/>
  </xdr:twoCellAnchor>
  <xdr:twoCellAnchor>
    <xdr:from>
      <xdr:col>20</xdr:col>
      <xdr:colOff>104776</xdr:colOff>
      <xdr:row>8</xdr:row>
      <xdr:rowOff>91440</xdr:rowOff>
    </xdr:from>
    <xdr:to>
      <xdr:col>23</xdr:col>
      <xdr:colOff>2956</xdr:colOff>
      <xdr:row>10</xdr:row>
      <xdr:rowOff>76307</xdr:rowOff>
    </xdr:to>
    <xdr:sp macro="" textlink="" fLocksText="0">
      <xdr:nvSpPr>
        <xdr:cNvPr id="8196" name="CRONO.b.preenchEventos">
          <a:hlinkClick xmlns:r="http://schemas.openxmlformats.org/officeDocument/2006/relationships" r:id="rId3"/>
        </xdr:cNvPr>
        <xdr:cNvSpPr>
          <a:spLocks noChangeArrowheads="1"/>
        </xdr:cNvSpPr>
      </xdr:nvSpPr>
      <xdr:spPr bwMode="auto">
        <a:xfrm>
          <a:off x="11026776" y="1271058"/>
          <a:ext cx="2096558" cy="307975"/>
        </a:xfrm>
        <a:prstGeom prst="roundRect">
          <a:avLst>
            <a:gd name="adj" fmla="val 16667"/>
          </a:avLst>
        </a:prstGeom>
        <a:solidFill>
          <a:srgbClr val="99CCFF"/>
        </a:solidFill>
        <a:ln w="9360">
          <a:solidFill>
            <a:srgbClr val="808080"/>
          </a:solidFill>
          <a:miter lim="800000"/>
          <a:headEnd/>
          <a:tailEnd/>
        </a:ln>
        <a:effectLst/>
      </xdr:spPr>
      <xdr:txBody>
        <a:bodyPr vertOverflow="clip" wrap="square" lIns="27360" tIns="27360" rIns="27360" bIns="27360" anchor="ctr"/>
        <a:lstStyle/>
        <a:p>
          <a:pPr algn="ctr" rtl="0">
            <a:defRPr sz="1000"/>
          </a:pPr>
          <a:r>
            <a:rPr lang="pt-BR" sz="1100" b="1" i="0" u="none" strike="noStrike" baseline="0">
              <a:solidFill>
                <a:srgbClr val="000000"/>
              </a:solidFill>
              <a:latin typeface="Calibri"/>
            </a:rPr>
            <a:t>PREENCHIMENTO POR EVENTOS</a:t>
          </a:r>
        </a:p>
      </xdr:txBody>
    </xdr:sp>
    <xdr:clientData fPrintsWithSheet="0"/>
  </xdr:twoCellAnchor>
  <xdr:twoCellAnchor>
    <xdr:from>
      <xdr:col>7</xdr:col>
      <xdr:colOff>93345</xdr:colOff>
      <xdr:row>8</xdr:row>
      <xdr:rowOff>91440</xdr:rowOff>
    </xdr:from>
    <xdr:to>
      <xdr:col>9</xdr:col>
      <xdr:colOff>76225</xdr:colOff>
      <xdr:row>10</xdr:row>
      <xdr:rowOff>76307</xdr:rowOff>
    </xdr:to>
    <xdr:sp macro="[0]!CRONO.AtualizarLinhas" textlink="" fLocksText="0">
      <xdr:nvSpPr>
        <xdr:cNvPr id="8197" name="AutoShape 67"/>
        <xdr:cNvSpPr>
          <a:spLocks noChangeArrowheads="1"/>
        </xdr:cNvSpPr>
      </xdr:nvSpPr>
      <xdr:spPr bwMode="auto">
        <a:xfrm>
          <a:off x="3981450" y="1447800"/>
          <a:ext cx="1428750" cy="314325"/>
        </a:xfrm>
        <a:prstGeom prst="roundRect">
          <a:avLst>
            <a:gd name="adj" fmla="val 16667"/>
          </a:avLst>
        </a:prstGeom>
        <a:solidFill>
          <a:srgbClr val="FFCC99"/>
        </a:solidFill>
        <a:ln w="9360">
          <a:solidFill>
            <a:srgbClr val="808080"/>
          </a:solidFill>
          <a:miter lim="800000"/>
          <a:headEnd/>
          <a:tailEnd/>
        </a:ln>
        <a:effectLst/>
      </xdr:spPr>
      <xdr:txBody>
        <a:bodyPr vertOverflow="clip" wrap="square" lIns="27360" tIns="27360" rIns="27360" bIns="27360" anchor="ctr"/>
        <a:lstStyle/>
        <a:p>
          <a:pPr algn="ctr" rtl="0">
            <a:defRPr sz="1000"/>
          </a:pPr>
          <a:r>
            <a:rPr lang="pt-BR" sz="1100" b="1" i="0" u="none" strike="noStrike" baseline="0">
              <a:solidFill>
                <a:srgbClr val="000000"/>
              </a:solidFill>
              <a:latin typeface="Calibri"/>
            </a:rPr>
            <a:t>ATUALIZAR LINHAS</a:t>
          </a:r>
        </a:p>
      </xdr:txBody>
    </xdr:sp>
    <xdr:clientData fPrintsWithSheet="0"/>
  </xdr:twoCellAnchor>
  <xdr:twoCellAnchor>
    <xdr:from>
      <xdr:col>23</xdr:col>
      <xdr:colOff>109008</xdr:colOff>
      <xdr:row>8</xdr:row>
      <xdr:rowOff>91440</xdr:rowOff>
    </xdr:from>
    <xdr:to>
      <xdr:col>25</xdr:col>
      <xdr:colOff>80433</xdr:colOff>
      <xdr:row>10</xdr:row>
      <xdr:rowOff>76307</xdr:rowOff>
    </xdr:to>
    <xdr:sp macro="[0]!incluirpag" textlink="" fLocksText="0">
      <xdr:nvSpPr>
        <xdr:cNvPr id="8198" name="AutoShape 67"/>
        <xdr:cNvSpPr>
          <a:spLocks noChangeArrowheads="1"/>
        </xdr:cNvSpPr>
      </xdr:nvSpPr>
      <xdr:spPr bwMode="auto">
        <a:xfrm>
          <a:off x="13221758" y="1271058"/>
          <a:ext cx="1431925" cy="307975"/>
        </a:xfrm>
        <a:prstGeom prst="roundRect">
          <a:avLst>
            <a:gd name="adj" fmla="val 16667"/>
          </a:avLst>
        </a:prstGeom>
        <a:solidFill>
          <a:srgbClr val="FFCC99"/>
        </a:solidFill>
        <a:ln w="9360">
          <a:solidFill>
            <a:srgbClr val="808080"/>
          </a:solidFill>
          <a:miter lim="800000"/>
          <a:headEnd/>
          <a:tailEnd/>
        </a:ln>
        <a:effectLst/>
      </xdr:spPr>
      <xdr:txBody>
        <a:bodyPr vertOverflow="clip" wrap="square" lIns="27360" tIns="27360" rIns="27360" bIns="27360" anchor="ctr"/>
        <a:lstStyle/>
        <a:p>
          <a:pPr algn="ctr" rtl="0">
            <a:defRPr sz="1000"/>
          </a:pPr>
          <a:r>
            <a:rPr lang="pt-BR" sz="1100" b="1" i="0" u="none" strike="noStrike" baseline="0">
              <a:solidFill>
                <a:srgbClr val="000000"/>
              </a:solidFill>
              <a:latin typeface="Calibri"/>
            </a:rPr>
            <a:t>ADIC. 12 PARCELAS</a:t>
          </a:r>
        </a:p>
      </xdr:txBody>
    </xdr:sp>
    <xdr:clientData fPrintsWithSheet="0"/>
  </xdr:twoCellAnchor>
  <xdr:twoCellAnchor>
    <xdr:from>
      <xdr:col>25</xdr:col>
      <xdr:colOff>135678</xdr:colOff>
      <xdr:row>8</xdr:row>
      <xdr:rowOff>91440</xdr:rowOff>
    </xdr:from>
    <xdr:to>
      <xdr:col>27</xdr:col>
      <xdr:colOff>99533</xdr:colOff>
      <xdr:row>10</xdr:row>
      <xdr:rowOff>76307</xdr:rowOff>
    </xdr:to>
    <xdr:sp macro="[0]!excluirpag" textlink="" fLocksText="0">
      <xdr:nvSpPr>
        <xdr:cNvPr id="8199" name="AutoShape 67"/>
        <xdr:cNvSpPr>
          <a:spLocks noChangeArrowheads="1"/>
        </xdr:cNvSpPr>
      </xdr:nvSpPr>
      <xdr:spPr bwMode="auto">
        <a:xfrm>
          <a:off x="14710833" y="1271058"/>
          <a:ext cx="1422400" cy="307975"/>
        </a:xfrm>
        <a:prstGeom prst="roundRect">
          <a:avLst>
            <a:gd name="adj" fmla="val 16667"/>
          </a:avLst>
        </a:prstGeom>
        <a:solidFill>
          <a:srgbClr val="FFCC99"/>
        </a:solidFill>
        <a:ln w="9360">
          <a:solidFill>
            <a:srgbClr val="808080"/>
          </a:solidFill>
          <a:miter lim="800000"/>
          <a:headEnd/>
          <a:tailEnd/>
        </a:ln>
        <a:effectLst/>
      </xdr:spPr>
      <xdr:txBody>
        <a:bodyPr vertOverflow="clip" wrap="square" lIns="27360" tIns="27360" rIns="27360" bIns="27360" anchor="ctr"/>
        <a:lstStyle/>
        <a:p>
          <a:pPr algn="ctr" rtl="0">
            <a:defRPr sz="1000"/>
          </a:pPr>
          <a:r>
            <a:rPr lang="pt-BR" sz="1100" b="1" i="0" u="none" strike="noStrike" baseline="0">
              <a:solidFill>
                <a:srgbClr val="000000"/>
              </a:solidFill>
              <a:latin typeface="Calibri"/>
            </a:rPr>
            <a:t>EXC. 12 PARCELAS</a:t>
          </a:r>
        </a:p>
      </xdr:txBody>
    </xdr:sp>
    <xdr:clientData fPrint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280035</xdr:colOff>
      <xdr:row>10</xdr:row>
      <xdr:rowOff>228600</xdr:rowOff>
    </xdr:from>
    <xdr:to>
      <xdr:col>2</xdr:col>
      <xdr:colOff>415361</xdr:colOff>
      <xdr:row>10</xdr:row>
      <xdr:rowOff>542925</xdr:rowOff>
    </xdr:to>
    <xdr:sp macro="" textlink="" fLocksText="0">
      <xdr:nvSpPr>
        <xdr:cNvPr id="9218" name="AutoShape 67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514350" y="1428750"/>
          <a:ext cx="695325" cy="314325"/>
        </a:xfrm>
        <a:prstGeom prst="roundRect">
          <a:avLst>
            <a:gd name="adj" fmla="val 16667"/>
          </a:avLst>
        </a:prstGeom>
        <a:solidFill>
          <a:srgbClr val="99CCFF"/>
        </a:solidFill>
        <a:ln w="9360">
          <a:solidFill>
            <a:srgbClr val="808080"/>
          </a:solidFill>
          <a:miter lim="800000"/>
          <a:headEnd/>
          <a:tailEnd/>
        </a:ln>
        <a:effectLst/>
      </xdr:spPr>
      <xdr:txBody>
        <a:bodyPr vertOverflow="clip" wrap="square" lIns="27360" tIns="27360" rIns="27360" bIns="27360" anchor="ctr"/>
        <a:lstStyle/>
        <a:p>
          <a:pPr algn="ctr" rtl="0">
            <a:defRPr sz="1000"/>
          </a:pPr>
          <a:r>
            <a:rPr lang="pt-BR" sz="1100" b="1" i="0" u="none" strike="noStrike" baseline="0">
              <a:solidFill>
                <a:srgbClr val="000000"/>
              </a:solidFill>
              <a:latin typeface="Calibri"/>
            </a:rPr>
            <a:t>VOLTAR</a:t>
          </a:r>
        </a:p>
      </xdr:txBody>
    </xdr:sp>
    <xdr:clientData/>
  </xdr:twoCellAnchor>
  <xdr:twoCellAnchor>
    <xdr:from>
      <xdr:col>2</xdr:col>
      <xdr:colOff>617220</xdr:colOff>
      <xdr:row>10</xdr:row>
      <xdr:rowOff>238125</xdr:rowOff>
    </xdr:from>
    <xdr:to>
      <xdr:col>2</xdr:col>
      <xdr:colOff>2074292</xdr:colOff>
      <xdr:row>10</xdr:row>
      <xdr:rowOff>542925</xdr:rowOff>
    </xdr:to>
    <xdr:sp macro="[0]!CRONO.AtualizarLinhas" textlink="" fLocksText="0">
      <xdr:nvSpPr>
        <xdr:cNvPr id="9219" name="AutoShape 67"/>
        <xdr:cNvSpPr>
          <a:spLocks noChangeArrowheads="1"/>
        </xdr:cNvSpPr>
      </xdr:nvSpPr>
      <xdr:spPr bwMode="auto">
        <a:xfrm>
          <a:off x="1390650" y="1438275"/>
          <a:ext cx="1428750" cy="304800"/>
        </a:xfrm>
        <a:prstGeom prst="roundRect">
          <a:avLst>
            <a:gd name="adj" fmla="val 16667"/>
          </a:avLst>
        </a:prstGeom>
        <a:solidFill>
          <a:srgbClr val="FFCC99"/>
        </a:solidFill>
        <a:ln w="9360">
          <a:solidFill>
            <a:srgbClr val="808080"/>
          </a:solidFill>
          <a:miter lim="800000"/>
          <a:headEnd/>
          <a:tailEnd/>
        </a:ln>
        <a:effectLst/>
      </xdr:spPr>
      <xdr:txBody>
        <a:bodyPr vertOverflow="clip" wrap="square" lIns="27360" tIns="27360" rIns="27360" bIns="27360" anchor="ctr"/>
        <a:lstStyle/>
        <a:p>
          <a:pPr algn="ctr" rtl="0">
            <a:defRPr sz="1000"/>
          </a:pPr>
          <a:r>
            <a:rPr lang="pt-BR" sz="1100" b="1" i="0" u="none" strike="noStrike" baseline="0">
              <a:solidFill>
                <a:srgbClr val="000000"/>
              </a:solidFill>
              <a:latin typeface="Calibri"/>
            </a:rPr>
            <a:t>ATUALIZAR LINHAS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trlProp" Target="../ctrlProps/ctrlProp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6" Type="http://schemas.openxmlformats.org/officeDocument/2006/relationships/comments" Target="../comments6.xml"/><Relationship Id="rId5" Type="http://schemas.openxmlformats.org/officeDocument/2006/relationships/ctrlProp" Target="../ctrlProps/ctrlProp12.xml"/><Relationship Id="rId4" Type="http://schemas.openxmlformats.org/officeDocument/2006/relationships/ctrlProp" Target="../ctrlProps/ctrlProp11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9.xml"/><Relationship Id="rId3" Type="http://schemas.openxmlformats.org/officeDocument/2006/relationships/vmlDrawing" Target="../drawings/vmlDrawing4.vml"/><Relationship Id="rId7" Type="http://schemas.openxmlformats.org/officeDocument/2006/relationships/ctrlProp" Target="../ctrlProps/ctrlProp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7.xml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Relationship Id="rId9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4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5"/>
  <dimension ref="A1:O25"/>
  <sheetViews>
    <sheetView showGridLines="0" zoomScaleNormal="100" zoomScaleSheetLayoutView="85" workbookViewId="0">
      <selection activeCell="E19" sqref="E19"/>
    </sheetView>
  </sheetViews>
  <sheetFormatPr defaultRowHeight="13.2" x14ac:dyDescent="0.25"/>
  <cols>
    <col min="1" max="1" width="2.88671875" style="176" customWidth="1"/>
    <col min="2" max="2" width="5.6640625" style="176" customWidth="1"/>
    <col min="3" max="3" width="38.5546875" style="176" customWidth="1"/>
    <col min="4" max="4" width="5.6640625" style="176" customWidth="1"/>
    <col min="5" max="5" width="38.5546875" style="176" customWidth="1"/>
    <col min="6" max="6" width="5.6640625" style="176" customWidth="1"/>
    <col min="7" max="7" width="38.5546875" style="176" customWidth="1"/>
    <col min="8" max="8" width="5.6640625" style="176" customWidth="1"/>
    <col min="9" max="9" width="2.88671875" style="176" customWidth="1"/>
    <col min="10" max="10" width="19" customWidth="1"/>
    <col min="11" max="11" width="3" customWidth="1"/>
    <col min="13" max="13" width="1.5546875" customWidth="1"/>
    <col min="14" max="14" width="38.88671875" customWidth="1"/>
  </cols>
  <sheetData>
    <row r="1" spans="1:15" ht="15" customHeight="1" x14ac:dyDescent="0.25">
      <c r="A1" s="529"/>
      <c r="B1" s="529"/>
      <c r="C1" s="529"/>
      <c r="D1" s="529"/>
      <c r="E1" s="529"/>
      <c r="F1" s="529"/>
      <c r="G1" s="529"/>
      <c r="H1" s="529"/>
      <c r="I1" s="529"/>
      <c r="J1" t="s">
        <v>0</v>
      </c>
    </row>
    <row r="2" spans="1:15" ht="22.5" customHeight="1" x14ac:dyDescent="0.25">
      <c r="A2" s="529"/>
      <c r="B2" s="531"/>
      <c r="C2" s="531"/>
      <c r="D2" s="531"/>
      <c r="E2" s="668" t="str">
        <f>CHOOSE(MATCH(Objeto,{"PM","PO"}),"PLANILHA MÚLTIPLA ","PLANILHA ORÇAMENTÁRIA ")&amp; Versao</f>
        <v>PLANILHA MÚLTIPLA v3.0.5</v>
      </c>
      <c r="F2" s="668"/>
      <c r="G2" s="668"/>
      <c r="H2" s="533"/>
      <c r="I2" s="531"/>
      <c r="J2" t="s">
        <v>438</v>
      </c>
    </row>
    <row r="3" spans="1:15" ht="22.5" customHeight="1" x14ac:dyDescent="0.25">
      <c r="A3" s="529"/>
      <c r="B3" s="531"/>
      <c r="C3" s="531"/>
      <c r="D3" s="531"/>
      <c r="E3" s="668"/>
      <c r="F3" s="668"/>
      <c r="G3" s="668"/>
      <c r="H3" s="533"/>
      <c r="I3" s="531"/>
      <c r="O3" s="540">
        <v>1</v>
      </c>
    </row>
    <row r="4" spans="1:15" ht="17.100000000000001" customHeight="1" x14ac:dyDescent="0.25">
      <c r="A4" s="529"/>
      <c r="B4" s="531"/>
      <c r="C4" s="531"/>
      <c r="D4" s="531"/>
      <c r="E4" s="531"/>
      <c r="F4" s="532"/>
      <c r="G4" s="533"/>
      <c r="H4" s="533"/>
      <c r="I4" s="531"/>
      <c r="O4" s="540">
        <v>2</v>
      </c>
    </row>
    <row r="5" spans="1:15" ht="17.100000000000001" customHeight="1" thickBot="1" x14ac:dyDescent="0.3">
      <c r="A5" s="529"/>
      <c r="B5" s="531"/>
      <c r="C5" s="531"/>
      <c r="D5" s="531"/>
      <c r="E5" s="531"/>
      <c r="F5" s="532"/>
      <c r="G5" s="533"/>
      <c r="H5" s="533"/>
      <c r="I5" s="531"/>
      <c r="J5" s="559" t="s">
        <v>409</v>
      </c>
    </row>
    <row r="6" spans="1:15" ht="21" customHeight="1" thickBot="1" x14ac:dyDescent="0.3">
      <c r="A6" s="529"/>
      <c r="B6" s="534"/>
      <c r="C6" s="534"/>
      <c r="D6" s="534"/>
      <c r="E6" s="536" t="s">
        <v>402</v>
      </c>
      <c r="F6" s="535"/>
      <c r="G6" s="536" t="s">
        <v>403</v>
      </c>
      <c r="H6" s="534"/>
      <c r="I6" s="529"/>
      <c r="J6" s="559" t="s">
        <v>1</v>
      </c>
    </row>
    <row r="7" spans="1:15" x14ac:dyDescent="0.25">
      <c r="A7" s="529"/>
      <c r="B7" s="529"/>
      <c r="C7" s="529"/>
      <c r="D7" s="529"/>
      <c r="E7" s="529"/>
      <c r="F7" s="529"/>
      <c r="G7" s="529"/>
      <c r="H7" s="529"/>
      <c r="I7" s="529"/>
      <c r="J7" s="559" t="s">
        <v>366</v>
      </c>
      <c r="K7" s="548"/>
      <c r="L7" s="549"/>
      <c r="M7" s="549"/>
      <c r="N7" s="550"/>
    </row>
    <row r="8" spans="1:15" ht="21" customHeight="1" x14ac:dyDescent="0.25">
      <c r="A8" s="531"/>
      <c r="B8" s="667" t="str">
        <f>IF($O$3&lt;&gt;2,"DOCUMENTAÇÃO DA PROPOSTA","PROPOSTA: Para visualizar/preencher esta seção, altere o TIPO DE ORÇAMENTO para 'Proposto'")</f>
        <v>DOCUMENTAÇÃO DA PROPOSTA</v>
      </c>
      <c r="C8" s="667"/>
      <c r="D8" s="667"/>
      <c r="E8" s="667"/>
      <c r="F8" s="667"/>
      <c r="G8" s="667"/>
      <c r="H8" s="667"/>
      <c r="I8" s="529"/>
      <c r="J8" s="559" t="s">
        <v>4</v>
      </c>
      <c r="K8" s="551"/>
      <c r="L8" s="552" t="s">
        <v>404</v>
      </c>
      <c r="M8" s="552"/>
      <c r="N8" s="553"/>
    </row>
    <row r="9" spans="1:15" ht="13.8" thickBot="1" x14ac:dyDescent="0.3">
      <c r="A9" s="529"/>
      <c r="B9" s="529"/>
      <c r="C9" s="529"/>
      <c r="D9" s="529"/>
      <c r="E9" s="529"/>
      <c r="F9" s="529"/>
      <c r="G9" s="529"/>
      <c r="H9" s="529"/>
      <c r="I9" s="529"/>
      <c r="K9" s="551"/>
      <c r="L9" s="100" t="s">
        <v>407</v>
      </c>
      <c r="M9" s="100"/>
      <c r="N9" s="553"/>
    </row>
    <row r="10" spans="1:15" ht="21" customHeight="1" thickBot="1" x14ac:dyDescent="0.3">
      <c r="A10" s="529"/>
      <c r="B10" s="529"/>
      <c r="C10" s="539" t="str">
        <f>IF(TIPOORCAMENTO&lt;&gt;"Proposto","","                    BDI                    ")</f>
        <v xml:space="preserve">                    BDI                    </v>
      </c>
      <c r="D10" s="530"/>
      <c r="E10" s="539" t="str">
        <f>IF(TIPOORCAMENTO&lt;&gt;"Proposto","","             ORÇAMENTO             ")</f>
        <v xml:space="preserve">             ORÇAMENTO             </v>
      </c>
      <c r="F10" s="530"/>
      <c r="G10" s="538" t="str">
        <f>IF(TIPOORCAMENTO&lt;&gt;"Proposto","","MEMÓRIA DE CÁLCULO / PLQ")</f>
        <v>MEMÓRIA DE CÁLCULO / PLQ</v>
      </c>
      <c r="H10" s="529"/>
      <c r="I10" s="529"/>
      <c r="K10" s="551"/>
      <c r="L10" s="6"/>
      <c r="M10" s="4"/>
      <c r="N10" s="554" t="s">
        <v>2</v>
      </c>
    </row>
    <row r="11" spans="1:15" ht="13.8" thickBot="1" x14ac:dyDescent="0.3">
      <c r="A11" s="529"/>
      <c r="B11" s="529"/>
      <c r="C11" s="530"/>
      <c r="D11" s="530"/>
      <c r="E11" s="530"/>
      <c r="F11" s="530"/>
      <c r="G11" s="530"/>
      <c r="H11" s="529"/>
      <c r="I11" s="529"/>
      <c r="K11" s="551"/>
      <c r="L11" s="3"/>
      <c r="M11" s="3"/>
      <c r="N11" s="555"/>
    </row>
    <row r="12" spans="1:15" ht="21" customHeight="1" thickBot="1" x14ac:dyDescent="0.3">
      <c r="A12" s="529"/>
      <c r="B12" s="529"/>
      <c r="C12" s="539" t="str">
        <f>IF(TIPOORCAMENTO&lt;&gt;"Proposto","","                    QCI                    ")</f>
        <v xml:space="preserve">                    QCI                    </v>
      </c>
      <c r="D12" s="530"/>
      <c r="E12" s="537" t="str">
        <f>IF(TIPOORCAMENTO&lt;&gt;"Proposto","","CRONOGRAMA FÍSICO-FINANCEIRO")</f>
        <v>CRONOGRAMA FÍSICO-FINANCEIRO</v>
      </c>
      <c r="F12" s="530"/>
      <c r="G12" s="530"/>
      <c r="H12" s="529"/>
      <c r="I12" s="529"/>
      <c r="K12" s="551"/>
      <c r="L12" s="7"/>
      <c r="M12" s="4"/>
      <c r="N12" s="554" t="s">
        <v>3</v>
      </c>
    </row>
    <row r="13" spans="1:15" x14ac:dyDescent="0.25">
      <c r="A13" s="529"/>
      <c r="B13" s="529"/>
      <c r="C13" s="529"/>
      <c r="D13" s="529"/>
      <c r="E13" s="529"/>
      <c r="F13" s="529"/>
      <c r="G13" s="529"/>
      <c r="H13" s="529"/>
      <c r="I13" s="529"/>
      <c r="K13" s="551"/>
      <c r="L13" s="100"/>
      <c r="M13" s="100"/>
      <c r="N13" s="553"/>
    </row>
    <row r="14" spans="1:15" x14ac:dyDescent="0.25">
      <c r="A14" s="529"/>
      <c r="B14" s="529"/>
      <c r="C14" s="529" t="str">
        <f ca="1">IF(TIPOORCAMENTO&lt;&gt;"Proposto","","Obs: Composições e Cotações devem ser preenchidas diretamente no arquivo Referência "&amp;IF(ISBLANK(Import.DataBase),"mm-aaaa",TEXT(Import.DataBase,"mm-aaaa"))&amp;".xls.")</f>
        <v>Obs: Composições e Cotações devem ser preenchidas diretamente no arquivo Referência 05-2024.xls.</v>
      </c>
      <c r="D14" s="529"/>
      <c r="E14" s="529"/>
      <c r="F14" s="529"/>
      <c r="G14" s="529"/>
      <c r="H14" s="529"/>
      <c r="I14" s="529"/>
      <c r="K14" s="551"/>
      <c r="L14" s="100"/>
      <c r="M14" s="100"/>
      <c r="N14" s="553"/>
    </row>
    <row r="15" spans="1:15" x14ac:dyDescent="0.25">
      <c r="A15" s="529"/>
      <c r="B15" s="529"/>
      <c r="C15" s="529"/>
      <c r="D15" s="529"/>
      <c r="E15" s="529"/>
      <c r="F15" s="529"/>
      <c r="G15" s="529"/>
      <c r="H15" s="529"/>
      <c r="I15" s="529"/>
      <c r="K15" s="551"/>
      <c r="L15" s="100" t="s">
        <v>408</v>
      </c>
      <c r="M15" s="100"/>
      <c r="N15" s="553"/>
    </row>
    <row r="16" spans="1:15" ht="21" customHeight="1" x14ac:dyDescent="0.25">
      <c r="A16" s="529"/>
      <c r="B16" s="667" t="str">
        <f>IF($O$3&lt;&gt;2,"PÓS-LICITADO: Para visualizar/preencher esta seção, altere o TIPO DE ORÇAMENTO para 'Licitado'","RESULTADO DO PROCESSO LICITATÓRIO")</f>
        <v>PÓS-LICITADO: Para visualizar/preencher esta seção, altere o TIPO DE ORÇAMENTO para 'Licitado'</v>
      </c>
      <c r="C16" s="667"/>
      <c r="D16" s="667"/>
      <c r="E16" s="667"/>
      <c r="F16" s="667"/>
      <c r="G16" s="667"/>
      <c r="H16" s="667"/>
      <c r="I16" s="529"/>
      <c r="K16" s="551"/>
      <c r="L16" s="546"/>
      <c r="M16" s="4"/>
      <c r="N16" s="554" t="s">
        <v>405</v>
      </c>
    </row>
    <row r="17" spans="1:14" ht="13.8" thickBot="1" x14ac:dyDescent="0.3">
      <c r="A17" s="529"/>
      <c r="B17" s="529"/>
      <c r="C17" s="529"/>
      <c r="D17" s="529"/>
      <c r="E17" s="529"/>
      <c r="F17" s="529"/>
      <c r="G17" s="529"/>
      <c r="H17" s="529"/>
      <c r="I17" s="529"/>
      <c r="K17" s="551"/>
      <c r="L17" s="3"/>
      <c r="M17" s="3"/>
      <c r="N17" s="555"/>
    </row>
    <row r="18" spans="1:14" ht="21" customHeight="1" thickBot="1" x14ac:dyDescent="0.3">
      <c r="A18" s="529"/>
      <c r="B18" s="529"/>
      <c r="C18" s="542" t="str">
        <f>IF(TIPOORCAMENTO&lt;&gt;"Licitado","","             ORÇAMENTO             ")</f>
        <v/>
      </c>
      <c r="D18" s="530"/>
      <c r="E18" s="542" t="str">
        <f>IF(TIPOORCAMENTO&lt;&gt;"Licitado","","                    QCI                    ")</f>
        <v/>
      </c>
      <c r="F18" s="530"/>
      <c r="G18" s="541" t="str">
        <f>IF(TIPOORCAMENTO&lt;&gt;"Licitado","","CRONOGRAMA FÍSICO-FINANCEIRO")</f>
        <v/>
      </c>
      <c r="H18" s="529"/>
      <c r="I18" s="529"/>
      <c r="K18" s="551"/>
      <c r="L18" s="547"/>
      <c r="M18" s="4"/>
      <c r="N18" s="554" t="s">
        <v>406</v>
      </c>
    </row>
    <row r="19" spans="1:14" x14ac:dyDescent="0.25">
      <c r="A19" s="529"/>
      <c r="B19" s="529"/>
      <c r="C19" s="529"/>
      <c r="D19" s="529"/>
      <c r="E19" s="529"/>
      <c r="F19" s="529"/>
      <c r="G19" s="529"/>
      <c r="H19" s="529"/>
      <c r="I19" s="529"/>
      <c r="K19" s="556"/>
      <c r="L19" s="557"/>
      <c r="M19" s="557"/>
      <c r="N19" s="558"/>
    </row>
    <row r="20" spans="1:14" ht="21" customHeight="1" x14ac:dyDescent="0.25">
      <c r="A20" s="531"/>
      <c r="B20" s="667" t="str">
        <f>IF($O$3&lt;&gt;2,"ACOMPANHAMENTO: Para visualizar/preencher esta seção, altere o TIPO DE ORÇAMENTO para 'Licitado'","ACOMPANHAMENTO DO EMPREENDIMENTO")</f>
        <v>ACOMPANHAMENTO: Para visualizar/preencher esta seção, altere o TIPO DE ORÇAMENTO para 'Licitado'</v>
      </c>
      <c r="C20" s="667"/>
      <c r="D20" s="667"/>
      <c r="E20" s="667"/>
      <c r="F20" s="667"/>
      <c r="G20" s="667"/>
      <c r="H20" s="667"/>
      <c r="I20" s="529"/>
    </row>
    <row r="21" spans="1:14" ht="13.8" thickBot="1" x14ac:dyDescent="0.3">
      <c r="A21" s="529"/>
      <c r="B21" s="529"/>
      <c r="C21" s="529"/>
      <c r="D21" s="529"/>
      <c r="E21" s="529"/>
      <c r="F21" s="529"/>
      <c r="G21" s="529"/>
      <c r="H21" s="529"/>
      <c r="I21" s="529"/>
    </row>
    <row r="22" spans="1:14" ht="21" customHeight="1" thickBot="1" x14ac:dyDescent="0.3">
      <c r="A22" s="529"/>
      <c r="B22" s="529"/>
      <c r="C22" s="543" t="str">
        <f>IF(OR(TIPOORCAMENTO&lt;&gt;"Licitado",ACOMPANHAMENTO&lt;&gt;"PLE"),"","PLAN. DE LEVANT. DE EVENTOS - PLE")</f>
        <v/>
      </c>
      <c r="D22" s="530"/>
      <c r="E22" s="545" t="str">
        <f>IF(TIPOORCAMENTO&lt;&gt;"Licitado","","                    RRE                    ")</f>
        <v/>
      </c>
      <c r="F22" s="530"/>
      <c r="G22" s="544" t="str">
        <f>IF(OR(TIPOORCAMENTO&lt;&gt;"Licitado",ACOMPANHAMENTO&lt;&gt;"BM"),"","  BOLETIM DE MEDIÇÃO - BM  ")</f>
        <v/>
      </c>
      <c r="H22" s="529"/>
      <c r="I22" s="529"/>
    </row>
    <row r="23" spans="1:14" ht="13.8" thickBot="1" x14ac:dyDescent="0.3">
      <c r="A23" s="529"/>
      <c r="B23" s="529"/>
      <c r="C23" s="530"/>
      <c r="D23" s="530"/>
      <c r="E23" s="530"/>
      <c r="F23" s="530"/>
      <c r="G23" s="530"/>
      <c r="H23" s="529"/>
      <c r="I23" s="529"/>
    </row>
    <row r="24" spans="1:14" ht="21" customHeight="1" thickBot="1" x14ac:dyDescent="0.3">
      <c r="A24" s="529"/>
      <c r="B24" s="529"/>
      <c r="C24" s="530"/>
      <c r="D24" s="530"/>
      <c r="E24" s="543" t="str">
        <f>IF(TIPOORCAMENTO&lt;&gt;"Licitado","","OF. DE SOLICITAÇÃO DE DESBLOQUEIO")</f>
        <v/>
      </c>
      <c r="F24" s="530"/>
      <c r="G24" s="530"/>
      <c r="H24" s="529"/>
      <c r="I24" s="529"/>
    </row>
    <row r="25" spans="1:14" x14ac:dyDescent="0.25">
      <c r="A25" s="529"/>
      <c r="B25" s="529"/>
      <c r="C25" s="529"/>
      <c r="D25" s="529"/>
      <c r="E25" s="529"/>
      <c r="F25" s="529"/>
      <c r="G25" s="529"/>
      <c r="H25" s="529"/>
      <c r="I25" s="529"/>
    </row>
  </sheetData>
  <sheetProtection password="BD1F" sheet="1" objects="1" scenarios="1" autoFilter="0"/>
  <mergeCells count="4">
    <mergeCell ref="B20:H20"/>
    <mergeCell ref="B8:H8"/>
    <mergeCell ref="E2:G3"/>
    <mergeCell ref="B16:H16"/>
  </mergeCells>
  <phoneticPr fontId="38" type="noConversion"/>
  <conditionalFormatting sqref="C10:G14">
    <cfRule type="expression" dxfId="1943" priority="70" stopIfTrue="1">
      <formula>TIPOORCAMENTO="Licitado"</formula>
    </cfRule>
  </conditionalFormatting>
  <conditionalFormatting sqref="C18:G18 E22:E24">
    <cfRule type="expression" dxfId="1942" priority="71" stopIfTrue="1">
      <formula>TIPOORCAMENTO&lt;&gt;"Licitado"</formula>
    </cfRule>
  </conditionalFormatting>
  <conditionalFormatting sqref="C22">
    <cfRule type="expression" dxfId="1941" priority="73" stopIfTrue="1">
      <formula>OR(TIPOORCAMENTO&lt;&gt;"Licitado",ACOMPANHAMENTO&lt;&gt;"PLE")</formula>
    </cfRule>
  </conditionalFormatting>
  <conditionalFormatting sqref="G22">
    <cfRule type="expression" dxfId="1940" priority="74" stopIfTrue="1">
      <formula>OR(TIPOORCAMENTO&lt;&gt;"Licitado",ACOMPANHAMENTO&lt;&gt;"BM")</formula>
    </cfRule>
  </conditionalFormatting>
  <conditionalFormatting sqref="B16:H16 B20:H20">
    <cfRule type="expression" dxfId="1939" priority="599" stopIfTrue="1">
      <formula>$O$3&lt;&gt;2</formula>
    </cfRule>
  </conditionalFormatting>
  <conditionalFormatting sqref="B8:H8">
    <cfRule type="expression" dxfId="1938" priority="601" stopIfTrue="1">
      <formula>$O$3&lt;&gt;1</formula>
    </cfRule>
  </conditionalFormatting>
  <hyperlinks>
    <hyperlink ref="E6" location="DADOS!E3" display="DADOS DO CONTRATO"/>
    <hyperlink ref="G6" location="Novo!A1" display="NOVIDADES DA VERSÃO"/>
    <hyperlink ref="C10" location="BDI!Q11" display="BDI!Q11"/>
    <hyperlink ref="E10" location="ORÇAMENTO!M13" display="ORÇAMENTO"/>
    <hyperlink ref="G10" location="CÁLCULO!D13" display="MEMÓRIA DE CÁLCULO / PLQ"/>
    <hyperlink ref="E12" location="CRONO!G12" display="CRONOGRAMA FÍSICO-FINANCEIRO"/>
    <hyperlink ref="C18" location="ORÇAMENTO!AM15" display="             ORÇAMENTO             "/>
    <hyperlink ref="E18" location="QCI!D13" display="                    QCI                    "/>
    <hyperlink ref="G18" location="CRONO!G12" display="CRONOGRAMA FÍSICO-FINANCEIRO"/>
    <hyperlink ref="C22" location="PLE!J8" display="PLAN. DE LEVANT. DE EVENTOS - PLE"/>
    <hyperlink ref="E22" location="RRE!E13" display="                    RRE                    "/>
    <hyperlink ref="G22" location="BM!D13" display="BM!D13"/>
    <hyperlink ref="E24" location="Ofício!C6" display="OF. DE SOLICITAÇÃO DE DESBLOQUEIO"/>
    <hyperlink ref="C12" location="QCI!D13" display="QCI!D13"/>
  </hyperlinks>
  <pageMargins left="0.78740157480314998" right="0.78740157480314998" top="0.78740157480314998" bottom="0.78740157480314998" header="5.7086614173228396" footer="0.59055118110236204"/>
  <pageSetup paperSize="9" scale="60" firstPageNumber="0" orientation="portrait" horizontalDpi="300" verticalDpi="300" r:id="rId1"/>
  <headerFooter alignWithMargins="0">
    <oddHeader>&amp;L_</oddHeader>
    <oddFooter>&amp;LPMv3.0.4&amp;R&amp;P / &amp;N</oddFooter>
  </headerFooter>
  <colBreaks count="1" manualBreakCount="1">
    <brk id="9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84" r:id="rId4" name="Group Box 24">
              <controlPr defaultSize="0" autoFill="0" autoPict="0">
                <anchor moveWithCells="1" sizeWithCells="1">
                  <from>
                    <xdr:col>2</xdr:col>
                    <xdr:colOff>1363980</xdr:colOff>
                    <xdr:row>4</xdr:row>
                    <xdr:rowOff>0</xdr:rowOff>
                  </from>
                  <to>
                    <xdr:col>3</xdr:col>
                    <xdr:colOff>22860</xdr:colOff>
                    <xdr:row>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54" r:id="rId5" name="Drop Down 94">
              <controlPr defaultSize="0" autoLine="0" autoPict="0">
                <anchor moveWithCells="1" sizeWithCells="1">
                  <from>
                    <xdr:col>2</xdr:col>
                    <xdr:colOff>1493520</xdr:colOff>
                    <xdr:row>4</xdr:row>
                    <xdr:rowOff>160020</xdr:rowOff>
                  </from>
                  <to>
                    <xdr:col>2</xdr:col>
                    <xdr:colOff>2476500</xdr:colOff>
                    <xdr:row>5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7" r:id="rId6" name="Group Box 17">
              <controlPr defaultSize="0" autoFill="0" autoPict="0" altText="Tipo de Orçamento          ">
                <anchor moveWithCells="1" sizeWithCells="1">
                  <from>
                    <xdr:col>2</xdr:col>
                    <xdr:colOff>7620</xdr:colOff>
                    <xdr:row>4</xdr:row>
                    <xdr:rowOff>0</xdr:rowOff>
                  </from>
                  <to>
                    <xdr:col>2</xdr:col>
                    <xdr:colOff>1264920</xdr:colOff>
                    <xdr:row>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53" r:id="rId7" name="Drop Down 93">
              <controlPr defaultSize="0" autoLine="0" autoPict="0">
                <anchor moveWithCells="1" sizeWithCells="1">
                  <from>
                    <xdr:col>2</xdr:col>
                    <xdr:colOff>129540</xdr:colOff>
                    <xdr:row>4</xdr:row>
                    <xdr:rowOff>160020</xdr:rowOff>
                  </from>
                  <to>
                    <xdr:col>2</xdr:col>
                    <xdr:colOff>1112520</xdr:colOff>
                    <xdr:row>5</xdr:row>
                    <xdr:rowOff>167640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1"/>
  <dimension ref="A1:AG39"/>
  <sheetViews>
    <sheetView showGridLines="0" zoomScale="90" zoomScaleNormal="90" zoomScaleSheetLayoutView="100" workbookViewId="0">
      <pane xSplit="4" ySplit="13" topLeftCell="E14" activePane="bottomRight" state="frozen"/>
      <selection pane="topRight" activeCell="E1" sqref="E1"/>
      <selection pane="bottomLeft" activeCell="A13" sqref="A13"/>
      <selection pane="bottomRight" activeCell="A16" sqref="A16"/>
    </sheetView>
  </sheetViews>
  <sheetFormatPr defaultRowHeight="13.2" x14ac:dyDescent="0.25"/>
  <cols>
    <col min="1" max="1" width="3.88671875" customWidth="1"/>
    <col min="2" max="2" width="8.109375" customWidth="1"/>
    <col min="3" max="3" width="17" customWidth="1"/>
    <col min="4" max="4" width="19.88671875" customWidth="1"/>
    <col min="5" max="5" width="1.44140625" customWidth="1"/>
    <col min="6" max="7" width="0" hidden="1" customWidth="1"/>
    <col min="8" max="32" width="5.6640625" customWidth="1"/>
    <col min="33" max="33" width="0.109375" customWidth="1"/>
  </cols>
  <sheetData>
    <row r="1" spans="1:33" hidden="1" x14ac:dyDescent="0.25">
      <c r="A1" s="9" t="e">
        <f ca="1">IF(AUTOEVENTO="Manual",IF(OFFSET(EVENTOS!$F$14,PLE!$B1,0)&gt;0,"F",""),IF(PLE!B1&lt;=MAX(CÁLCULO!$M$15:$M$710),"F",""))</f>
        <v>#REF!</v>
      </c>
      <c r="B1" s="326" t="e">
        <f ca="1">OFFSET(B1,-1,0)+1</f>
        <v>#REF!</v>
      </c>
      <c r="C1" s="738" t="e">
        <f ca="1">IF(AUTOEVENTO="Manual",IF($B1&lt;&gt;1,OFFSET(EVENTOS!$D$14,$B1,0),0),IF(B1&lt;=MAX(CÁLCULO!$M$15:$M$710),VLOOKUP($B1,CÁLCULO!$M$15:$N$710,2,FALSE),0))</f>
        <v>#REF!</v>
      </c>
      <c r="D1" s="738"/>
      <c r="F1" s="328"/>
      <c r="H1" s="328"/>
      <c r="I1" s="328"/>
      <c r="J1" s="328"/>
      <c r="K1" s="328"/>
      <c r="L1" s="328"/>
      <c r="M1" s="328"/>
      <c r="N1" s="328"/>
      <c r="O1" s="328"/>
      <c r="P1" s="328"/>
      <c r="Q1" s="328"/>
      <c r="R1" s="328"/>
      <c r="S1" s="328"/>
      <c r="T1" s="328"/>
      <c r="U1" s="328"/>
      <c r="V1" s="328"/>
      <c r="W1" s="328"/>
      <c r="X1" s="328"/>
      <c r="Y1" s="328"/>
      <c r="Z1" s="328"/>
      <c r="AA1" s="328"/>
      <c r="AB1" s="328"/>
      <c r="AC1" s="328"/>
      <c r="AD1" s="328"/>
      <c r="AE1" s="328"/>
      <c r="AF1" s="328"/>
    </row>
    <row r="2" spans="1:33" hidden="1" x14ac:dyDescent="0.25">
      <c r="A2" s="9"/>
      <c r="B2" s="609"/>
      <c r="C2" s="610"/>
      <c r="D2" s="610"/>
      <c r="F2" s="611"/>
    </row>
    <row r="3" spans="1:33" ht="15.6" x14ac:dyDescent="0.3">
      <c r="H3" s="263" t="s">
        <v>295</v>
      </c>
      <c r="AD3" s="673" t="s">
        <v>141</v>
      </c>
      <c r="AE3" s="673"/>
      <c r="AF3" s="673"/>
    </row>
    <row r="4" spans="1:33" ht="15.6" x14ac:dyDescent="0.25">
      <c r="B4" s="102"/>
      <c r="C4" s="102"/>
      <c r="H4" s="106" t="str">
        <f>import.recurso</f>
        <v>(SELECIONAR)</v>
      </c>
      <c r="AD4" s="674" t="s">
        <v>144</v>
      </c>
      <c r="AE4" s="674"/>
      <c r="AF4" s="674"/>
    </row>
    <row r="6" spans="1:33" x14ac:dyDescent="0.25">
      <c r="B6" s="267" t="s">
        <v>147</v>
      </c>
      <c r="C6" s="343"/>
      <c r="D6" s="269" t="s">
        <v>148</v>
      </c>
      <c r="E6" s="59"/>
      <c r="H6" s="270" t="s">
        <v>274</v>
      </c>
      <c r="I6" s="264"/>
      <c r="J6" s="264"/>
      <c r="K6" s="264"/>
      <c r="L6" s="265"/>
      <c r="M6" s="265"/>
      <c r="N6" s="344"/>
      <c r="O6" s="267" t="s">
        <v>275</v>
      </c>
      <c r="P6" s="271"/>
      <c r="Q6" s="100"/>
      <c r="R6" s="264"/>
      <c r="S6" s="264"/>
      <c r="T6" s="264"/>
      <c r="U6" s="268"/>
      <c r="V6" s="267" t="str">
        <f>IF(TIPOORCAMENTO="Licitado","NOME DA EMPRESA","DESCRIÇÃO DO LOTE")</f>
        <v>DESCRIÇÃO DO LOTE</v>
      </c>
      <c r="W6" s="264"/>
      <c r="X6" s="264"/>
      <c r="Y6" s="264"/>
      <c r="Z6" s="100"/>
      <c r="AA6" s="100"/>
      <c r="AB6" s="100"/>
      <c r="AC6" s="100"/>
      <c r="AD6" s="59"/>
      <c r="AE6" s="739" t="str">
        <f>IF(TIPOORCAMENTO="Licitado","Nº CTEF","")</f>
        <v/>
      </c>
      <c r="AF6" s="739"/>
    </row>
    <row r="7" spans="1:33" x14ac:dyDescent="0.25">
      <c r="B7" s="733">
        <f>Import.CR</f>
        <v>0</v>
      </c>
      <c r="C7" s="733"/>
      <c r="D7" s="273">
        <f>Import.SICONV</f>
        <v>0</v>
      </c>
      <c r="E7" s="54"/>
      <c r="H7" s="732" t="str">
        <f>Import.Proponente</f>
        <v>PREFEITURA DO MUNICÍPIO DE LAGUNA</v>
      </c>
      <c r="I7" s="732"/>
      <c r="J7" s="732"/>
      <c r="K7" s="732"/>
      <c r="L7" s="732"/>
      <c r="M7" s="732"/>
      <c r="N7" s="732"/>
      <c r="O7" s="733" t="str">
        <f>Import.Apelido</f>
        <v xml:space="preserve">ESCOLA BILÍNGUE (PADRÃO FNDE - 5 SALAS)     </v>
      </c>
      <c r="P7" s="733"/>
      <c r="Q7" s="733"/>
      <c r="R7" s="733"/>
      <c r="S7" s="733"/>
      <c r="T7" s="733"/>
      <c r="U7" s="733"/>
      <c r="V7" s="733" t="str">
        <f>IF(TIPOORCAMENTO="Licitado",Import.empresa,Import.DescLote)</f>
        <v xml:space="preserve">ESCOLA BILÍNGUE (PADRÃO FNDE - 5 SALAS)     </v>
      </c>
      <c r="W7" s="733"/>
      <c r="X7" s="733"/>
      <c r="Y7" s="733"/>
      <c r="Z7" s="733"/>
      <c r="AA7" s="733"/>
      <c r="AB7" s="733"/>
      <c r="AC7" s="733"/>
      <c r="AD7" s="733"/>
      <c r="AE7" s="749" t="str">
        <f>IF(TIPOORCAMENTO="Licitado",Import.CTEF,"")</f>
        <v/>
      </c>
      <c r="AF7" s="749"/>
      <c r="AG7" s="345"/>
    </row>
    <row r="8" spans="1:33" x14ac:dyDescent="0.25">
      <c r="AG8" s="100"/>
    </row>
    <row r="9" spans="1:33" ht="15.6" x14ac:dyDescent="0.3">
      <c r="A9" s="527">
        <v>0</v>
      </c>
      <c r="B9" s="346"/>
      <c r="C9" s="346"/>
      <c r="I9" s="347" t="s">
        <v>296</v>
      </c>
      <c r="J9" s="742">
        <v>1</v>
      </c>
      <c r="K9" s="742"/>
      <c r="M9" s="347" t="s">
        <v>285</v>
      </c>
      <c r="N9" s="743" t="str">
        <f ca="1">TEXT(IF(PLE.Medicao=1,Import.DataInicioObra,OFFSET($H$27,0,1+(PLE.Medicao-$I$28)*2-2)+1),"dd/mm/aaaa")&amp;" a "&amp;TEXT(OFFSET($H$27,0,1+(PLE.Medicao-$I$28)*2),"dd/mm/aaaa")</f>
        <v>00/01/1900 a 00/01/1900</v>
      </c>
      <c r="O9" s="743"/>
      <c r="P9" s="743"/>
      <c r="Q9" s="743"/>
      <c r="R9" s="743"/>
      <c r="S9" s="743"/>
      <c r="T9" s="743"/>
      <c r="U9" s="348"/>
      <c r="X9" s="347" t="s">
        <v>297</v>
      </c>
      <c r="Y9" s="741" t="e">
        <f ca="1">OFFSET($I$28,1+8*(ROUNDUP(($J$9-0)/((COLUMN($AG$14)-COLUMN($G$14)-1)/25*12),0)-1),ROUNDDOWN((($J$9-0)-OFFSET($I$28,8*(ROUNDUP(($J$9-0)/((COLUMN($AG$14)-COLUMN($G$14)-1)/25*12),0)-1),0))*(2+1/12),0))</f>
        <v>#DIV/0!</v>
      </c>
      <c r="Z9" s="741"/>
      <c r="AD9" s="347" t="s">
        <v>298</v>
      </c>
      <c r="AE9" s="741" t="e">
        <f ca="1">OFFSET($I$28,3+8*(ROUNDUP(($J$9-0)/((COLUMN($AG$14)-COLUMN($G$14)-1)/25*12),0)-1),ROUNDDOWN((($J$9-0)-OFFSET($I$28,8*(ROUNDUP(($J$9-0)/((COLUMN($AG$14)-COLUMN($G$14)-1)/25*12),0)-1),0))*(2+1/12),0))</f>
        <v>#DIV/0!</v>
      </c>
      <c r="AF9" s="741"/>
    </row>
    <row r="11" spans="1:33" ht="65.25" customHeight="1" x14ac:dyDescent="0.25">
      <c r="A11" s="330" t="s">
        <v>292</v>
      </c>
      <c r="C11" s="740" t="str">
        <f>IF(TIPOORCAMENTO="proposto","ALTERE O TIPO DE ORÇAMENTO NA ABA 'MENU' PARA LICITADO.",IF(ACOMPANHAMENTO="BM","FOI SELECIONADO NA ABA 'MENU' O ACOMPANHAMENTO POR BM.",""))</f>
        <v>ALTERE O TIPO DE ORÇAMENTO NA ABA 'MENU' PARA LICITADO.</v>
      </c>
      <c r="D11" s="740"/>
      <c r="F11" s="332" t="str">
        <f ca="1">IF(F$12&gt;CÁLCULO.NúmeroDeFrentes,"",OFFSET(CÁLCULO!$P$12,0,F$12))</f>
        <v>Única</v>
      </c>
      <c r="H11" s="332" t="str">
        <f ca="1">IF(H$12&gt;CÁLCULO.NúmeroDeFrentes,"",OFFSET(CÁLCULO!$P$12,0,H$12))</f>
        <v>Única</v>
      </c>
      <c r="I11" s="332">
        <f ca="1">IF(I$12&gt;CÁLCULO.NúmeroDeFrentes,"",OFFSET(CÁLCULO!$P$12,0,I$12))</f>
        <v>0</v>
      </c>
      <c r="J11" s="332">
        <f ca="1">IF(J$12&gt;CÁLCULO.NúmeroDeFrentes,"",OFFSET(CÁLCULO!$P$12,0,J$12))</f>
        <v>0</v>
      </c>
      <c r="K11" s="332">
        <f ca="1">IF(K$12&gt;CÁLCULO.NúmeroDeFrentes,"",OFFSET(CÁLCULO!$P$12,0,K$12))</f>
        <v>0</v>
      </c>
      <c r="L11" s="332">
        <f ca="1">IF(L$12&gt;CÁLCULO.NúmeroDeFrentes,"",OFFSET(CÁLCULO!$P$12,0,L$12))</f>
        <v>0</v>
      </c>
      <c r="M11" s="332">
        <f ca="1">IF(M$12&gt;CÁLCULO.NúmeroDeFrentes,"",OFFSET(CÁLCULO!$P$12,0,M$12))</f>
        <v>0</v>
      </c>
      <c r="N11" s="332">
        <f ca="1">IF(N$12&gt;CÁLCULO.NúmeroDeFrentes,"",OFFSET(CÁLCULO!$P$12,0,N$12))</f>
        <v>0</v>
      </c>
      <c r="O11" s="332">
        <f ca="1">IF(O$12&gt;CÁLCULO.NúmeroDeFrentes,"",OFFSET(CÁLCULO!$P$12,0,O$12))</f>
        <v>0</v>
      </c>
      <c r="P11" s="332">
        <f ca="1">IF(P$12&gt;CÁLCULO.NúmeroDeFrentes,"",OFFSET(CÁLCULO!$P$12,0,P$12))</f>
        <v>0</v>
      </c>
      <c r="Q11" s="332">
        <f ca="1">IF(Q$12&gt;CÁLCULO.NúmeroDeFrentes,"",OFFSET(CÁLCULO!$P$12,0,Q$12))</f>
        <v>0</v>
      </c>
      <c r="R11" s="332">
        <f ca="1">IF(R$12&gt;CÁLCULO.NúmeroDeFrentes,"",OFFSET(CÁLCULO!$P$12,0,R$12))</f>
        <v>0</v>
      </c>
      <c r="S11" s="332">
        <f ca="1">IF(S$12&gt;CÁLCULO.NúmeroDeFrentes,"",OFFSET(CÁLCULO!$P$12,0,S$12))</f>
        <v>0</v>
      </c>
      <c r="T11" s="332">
        <f ca="1">IF(T$12&gt;CÁLCULO.NúmeroDeFrentes,"",OFFSET(CÁLCULO!$P$12,0,T$12))</f>
        <v>0</v>
      </c>
      <c r="U11" s="332">
        <f ca="1">IF(U$12&gt;CÁLCULO.NúmeroDeFrentes,"",OFFSET(CÁLCULO!$P$12,0,U$12))</f>
        <v>0</v>
      </c>
      <c r="V11" s="332">
        <f ca="1">IF(V$12&gt;CÁLCULO.NúmeroDeFrentes,"",OFFSET(CÁLCULO!$P$12,0,V$12))</f>
        <v>0</v>
      </c>
      <c r="W11" s="332">
        <f ca="1">IF(W$12&gt;CÁLCULO.NúmeroDeFrentes,"",OFFSET(CÁLCULO!$P$12,0,W$12))</f>
        <v>0</v>
      </c>
      <c r="X11" s="332">
        <f ca="1">IF(X$12&gt;CÁLCULO.NúmeroDeFrentes,"",OFFSET(CÁLCULO!$P$12,0,X$12))</f>
        <v>0</v>
      </c>
      <c r="Y11" s="332">
        <f ca="1">IF(Y$12&gt;CÁLCULO.NúmeroDeFrentes,"",OFFSET(CÁLCULO!$P$12,0,Y$12))</f>
        <v>0</v>
      </c>
      <c r="Z11" s="332" t="str">
        <f ca="1">IF(Z$12&gt;CÁLCULO.NúmeroDeFrentes,"",OFFSET(CÁLCULO!$P$12,0,Z$12))</f>
        <v/>
      </c>
      <c r="AA11" s="332" t="str">
        <f ca="1">IF(AA$12&gt;CÁLCULO.NúmeroDeFrentes,"",OFFSET(CÁLCULO!$P$12,0,AA$12))</f>
        <v/>
      </c>
      <c r="AB11" s="332" t="str">
        <f ca="1">IF(AB$12&gt;CÁLCULO.NúmeroDeFrentes,"",OFFSET(CÁLCULO!$P$12,0,AB$12))</f>
        <v/>
      </c>
      <c r="AC11" s="332" t="str">
        <f ca="1">IF(AC$12&gt;CÁLCULO.NúmeroDeFrentes,"",OFFSET(CÁLCULO!$P$12,0,AC$12))</f>
        <v/>
      </c>
      <c r="AD11" s="332" t="str">
        <f ca="1">IF(AD$12&gt;CÁLCULO.NúmeroDeFrentes,"",OFFSET(CÁLCULO!$P$12,0,AD$12))</f>
        <v/>
      </c>
      <c r="AE11" s="332" t="str">
        <f ca="1">IF(AE$12&gt;CÁLCULO.NúmeroDeFrentes,"",OFFSET(CÁLCULO!$P$12,0,AE$12))</f>
        <v/>
      </c>
      <c r="AF11" s="332" t="str">
        <f ca="1">IF(AF$12&gt;CÁLCULO.NúmeroDeFrentes,"",OFFSET(CÁLCULO!$P$12,0,AF$12))</f>
        <v/>
      </c>
    </row>
    <row r="12" spans="1:33" ht="12.75" customHeight="1" x14ac:dyDescent="0.25">
      <c r="A12" s="135" t="s">
        <v>219</v>
      </c>
      <c r="B12" s="737" t="s">
        <v>268</v>
      </c>
      <c r="C12" s="737" t="s">
        <v>293</v>
      </c>
      <c r="D12" s="737"/>
      <c r="F12" s="333">
        <f ca="1">OFFSET(F12,0,-1)+1</f>
        <v>1</v>
      </c>
      <c r="H12" s="333">
        <f ca="1">OFFSET(H12,0,-1)+1</f>
        <v>1</v>
      </c>
      <c r="I12" s="333">
        <f ca="1">OFFSET(I12,0,-1)+1</f>
        <v>2</v>
      </c>
      <c r="J12" s="333">
        <f t="shared" ref="J12:AF12" ca="1" si="0">OFFSET(J12,0,-1)+1</f>
        <v>3</v>
      </c>
      <c r="K12" s="333">
        <f t="shared" ca="1" si="0"/>
        <v>4</v>
      </c>
      <c r="L12" s="333">
        <f t="shared" ca="1" si="0"/>
        <v>5</v>
      </c>
      <c r="M12" s="333">
        <f t="shared" ca="1" si="0"/>
        <v>6</v>
      </c>
      <c r="N12" s="333">
        <f t="shared" ca="1" si="0"/>
        <v>7</v>
      </c>
      <c r="O12" s="333">
        <f t="shared" ca="1" si="0"/>
        <v>8</v>
      </c>
      <c r="P12" s="333">
        <f t="shared" ca="1" si="0"/>
        <v>9</v>
      </c>
      <c r="Q12" s="333">
        <f t="shared" ca="1" si="0"/>
        <v>10</v>
      </c>
      <c r="R12" s="333">
        <f t="shared" ca="1" si="0"/>
        <v>11</v>
      </c>
      <c r="S12" s="333">
        <f t="shared" ca="1" si="0"/>
        <v>12</v>
      </c>
      <c r="T12" s="333">
        <f t="shared" ca="1" si="0"/>
        <v>13</v>
      </c>
      <c r="U12" s="333">
        <f t="shared" ca="1" si="0"/>
        <v>14</v>
      </c>
      <c r="V12" s="333">
        <f t="shared" ca="1" si="0"/>
        <v>15</v>
      </c>
      <c r="W12" s="333">
        <f t="shared" ca="1" si="0"/>
        <v>16</v>
      </c>
      <c r="X12" s="333">
        <f t="shared" ca="1" si="0"/>
        <v>17</v>
      </c>
      <c r="Y12" s="333">
        <f t="shared" ca="1" si="0"/>
        <v>18</v>
      </c>
      <c r="Z12" s="333">
        <f t="shared" ca="1" si="0"/>
        <v>19</v>
      </c>
      <c r="AA12" s="333">
        <f t="shared" ca="1" si="0"/>
        <v>20</v>
      </c>
      <c r="AB12" s="333">
        <f t="shared" ca="1" si="0"/>
        <v>21</v>
      </c>
      <c r="AC12" s="333">
        <f t="shared" ca="1" si="0"/>
        <v>22</v>
      </c>
      <c r="AD12" s="333">
        <f t="shared" ca="1" si="0"/>
        <v>23</v>
      </c>
      <c r="AE12" s="333">
        <f t="shared" ca="1" si="0"/>
        <v>24</v>
      </c>
      <c r="AF12" s="333">
        <f t="shared" ca="1" si="0"/>
        <v>25</v>
      </c>
    </row>
    <row r="13" spans="1:33" x14ac:dyDescent="0.25">
      <c r="B13" s="737"/>
      <c r="C13" s="737"/>
      <c r="D13" s="737"/>
      <c r="F13" s="335"/>
      <c r="H13" s="335"/>
      <c r="I13" s="334"/>
      <c r="J13" s="334"/>
      <c r="K13" s="334"/>
      <c r="L13" s="334"/>
      <c r="M13" s="334"/>
      <c r="N13" s="334" t="s">
        <v>299</v>
      </c>
      <c r="O13" s="334"/>
      <c r="P13" s="334"/>
      <c r="Q13" s="334"/>
      <c r="R13" s="334"/>
      <c r="S13" s="334"/>
      <c r="T13" s="334"/>
      <c r="U13" s="334"/>
      <c r="V13" s="334"/>
      <c r="W13" s="334"/>
      <c r="X13" s="334"/>
      <c r="Y13" s="334"/>
      <c r="Z13" s="334"/>
      <c r="AA13" s="334"/>
      <c r="AB13" s="334"/>
      <c r="AC13" s="334"/>
      <c r="AD13" s="334"/>
      <c r="AE13" s="334"/>
      <c r="AF13" s="336"/>
    </row>
    <row r="14" spans="1:33" ht="7.5" customHeight="1" x14ac:dyDescent="0.25">
      <c r="A14" s="9" t="s">
        <v>248</v>
      </c>
    </row>
    <row r="15" spans="1:33" x14ac:dyDescent="0.25">
      <c r="A15" s="9" t="str">
        <f ca="1">IF(AND(AUTOEVENTO="Manual",OFFSET(EVENTOS!$F$14,1,0)&gt;0),"F","")</f>
        <v/>
      </c>
      <c r="B15" s="337">
        <v>1</v>
      </c>
      <c r="C15" s="746" t="s">
        <v>271</v>
      </c>
      <c r="D15" s="746"/>
      <c r="F15" s="340"/>
      <c r="H15" s="340" t="str">
        <f ca="1">IF(AUTOEVENTO="MANUAL","A administração local será proporcional a execução dos demais eventos, independente de frentes de obra.","Para aplicação de Adm. Local é necessário definir os eventos manualmente.")</f>
        <v>A administração local será proporcional a execução dos demais eventos, independente de frentes de obra.</v>
      </c>
      <c r="I15" s="339"/>
      <c r="J15" s="339"/>
      <c r="K15" s="339"/>
      <c r="L15" s="339"/>
      <c r="M15" s="339"/>
      <c r="N15" s="339"/>
      <c r="O15" s="339"/>
      <c r="P15" s="339"/>
      <c r="Q15" s="339"/>
      <c r="R15" s="339"/>
      <c r="S15" s="339"/>
      <c r="T15" s="339"/>
      <c r="U15" s="339"/>
      <c r="V15" s="339"/>
      <c r="W15" s="339"/>
      <c r="X15" s="339"/>
      <c r="Y15" s="339"/>
      <c r="Z15" s="339"/>
      <c r="AA15" s="339"/>
      <c r="AB15" s="339"/>
      <c r="AC15" s="339"/>
      <c r="AD15" s="339"/>
      <c r="AE15" s="339"/>
      <c r="AF15" s="341"/>
    </row>
    <row r="16" spans="1:33" x14ac:dyDescent="0.25">
      <c r="A16" s="9" t="str">
        <f ca="1">IF(AUTOEVENTO="Manual",IF(OFFSET(EVENTOS!$F$14,PLE!$B16,0)&gt;0,"F",""),IF(PLE!B16&lt;=MAX(CÁLCULO!$M$15:$M$710),"F",""))</f>
        <v/>
      </c>
      <c r="B16" s="326">
        <f t="shared" ref="B16:B23" ca="1" si="1">OFFSET(B16,-1,0)+1</f>
        <v>2</v>
      </c>
      <c r="C16" s="738" t="str">
        <f ca="1">IF(AUTOEVENTO="Manual",IF($B16&lt;&gt;1,OFFSET(EVENTOS!$D$14,$B16,0),0),IF(B16&lt;=MAX(CÁLCULO!$M$15:$M$710),VLOOKUP($B16,CÁLCULO!$M$15:$N$710,2,FALSE),0))</f>
        <v>Administração Local</v>
      </c>
      <c r="D16" s="738"/>
      <c r="F16" s="328"/>
      <c r="H16" s="328"/>
      <c r="I16" s="328"/>
      <c r="J16" s="328"/>
      <c r="K16" s="328"/>
      <c r="L16" s="328"/>
      <c r="M16" s="328"/>
      <c r="N16" s="328"/>
      <c r="O16" s="328"/>
      <c r="P16" s="328"/>
      <c r="Q16" s="328"/>
      <c r="R16" s="328"/>
      <c r="S16" s="328"/>
      <c r="T16" s="328"/>
      <c r="U16" s="328"/>
      <c r="V16" s="328"/>
      <c r="W16" s="328"/>
      <c r="X16" s="328"/>
      <c r="Y16" s="328"/>
      <c r="Z16" s="328"/>
      <c r="AA16" s="328"/>
      <c r="AB16" s="328"/>
      <c r="AC16" s="328"/>
      <c r="AD16" s="328"/>
      <c r="AE16" s="328"/>
      <c r="AF16" s="328"/>
    </row>
    <row r="17" spans="1:32" x14ac:dyDescent="0.25">
      <c r="A17" s="9" t="str">
        <f ca="1">IF(AUTOEVENTO="Manual",IF(OFFSET(EVENTOS!$F$14,PLE!$B17,0)&gt;0,"F",""),IF(PLE!B17&lt;=MAX(CÁLCULO!$M$15:$M$710),"F",""))</f>
        <v/>
      </c>
      <c r="B17" s="326">
        <f t="shared" ca="1" si="1"/>
        <v>3</v>
      </c>
      <c r="C17" s="738" t="str">
        <f ca="1">IF(AUTOEVENTO="Manual",IF($B17&lt;&gt;1,OFFSET(EVENTOS!$D$14,$B17,0),0),IF(B17&lt;=MAX(CÁLCULO!$M$15:$M$710),VLOOKUP($B17,CÁLCULO!$M$15:$N$710,2,FALSE),0))</f>
        <v>Placa de Obra</v>
      </c>
      <c r="D17" s="738"/>
      <c r="F17" s="328"/>
      <c r="H17" s="328"/>
      <c r="I17" s="328"/>
      <c r="J17" s="328"/>
      <c r="K17" s="328"/>
      <c r="L17" s="328"/>
      <c r="M17" s="328"/>
      <c r="N17" s="328"/>
      <c r="O17" s="328"/>
      <c r="P17" s="328"/>
      <c r="Q17" s="328"/>
      <c r="R17" s="328"/>
      <c r="S17" s="328"/>
      <c r="T17" s="328"/>
      <c r="U17" s="328"/>
      <c r="V17" s="328"/>
      <c r="W17" s="328"/>
      <c r="X17" s="328"/>
      <c r="Y17" s="328"/>
      <c r="Z17" s="328"/>
      <c r="AA17" s="328"/>
      <c r="AB17" s="328"/>
      <c r="AC17" s="328"/>
      <c r="AD17" s="328"/>
      <c r="AE17" s="328"/>
      <c r="AF17" s="328"/>
    </row>
    <row r="18" spans="1:32" x14ac:dyDescent="0.25">
      <c r="A18" s="9" t="str">
        <f ca="1">IF(AUTOEVENTO="Manual",IF(OFFSET(EVENTOS!$F$14,PLE!$B18,0)&gt;0,"F",""),IF(PLE!B18&lt;=MAX(CÁLCULO!$M$15:$M$710),"F",""))</f>
        <v/>
      </c>
      <c r="B18" s="326">
        <f t="shared" ca="1" si="1"/>
        <v>4</v>
      </c>
      <c r="C18" s="738" t="str">
        <f ca="1">IF(AUTOEVENTO="Manual",IF($B18&lt;&gt;1,OFFSET(EVENTOS!$D$14,$B18,0),0),IF(B18&lt;=MAX(CÁLCULO!$M$15:$M$710),VLOOKUP($B18,CÁLCULO!$M$15:$N$710,2,FALSE),0))</f>
        <v>Canteiro de Obras</v>
      </c>
      <c r="D18" s="738"/>
      <c r="F18" s="328"/>
      <c r="H18" s="328"/>
      <c r="I18" s="328"/>
      <c r="J18" s="328"/>
      <c r="K18" s="328"/>
      <c r="L18" s="328"/>
      <c r="M18" s="328"/>
      <c r="N18" s="328"/>
      <c r="O18" s="328"/>
      <c r="P18" s="328"/>
      <c r="Q18" s="328"/>
      <c r="R18" s="328"/>
      <c r="S18" s="328"/>
      <c r="T18" s="328"/>
      <c r="U18" s="328"/>
      <c r="V18" s="328"/>
      <c r="W18" s="328"/>
      <c r="X18" s="328"/>
      <c r="Y18" s="328"/>
      <c r="Z18" s="328"/>
      <c r="AA18" s="328"/>
      <c r="AB18" s="328"/>
      <c r="AC18" s="328"/>
      <c r="AD18" s="328"/>
      <c r="AE18" s="328"/>
      <c r="AF18" s="328"/>
    </row>
    <row r="19" spans="1:32" x14ac:dyDescent="0.25">
      <c r="A19" s="9" t="str">
        <f ca="1">IF(AUTOEVENTO="Manual",IF(OFFSET(EVENTOS!$F$14,PLE!$B19,0)&gt;0,"F",""),IF(PLE!B19&lt;=MAX(CÁLCULO!$M$15:$M$710),"F",""))</f>
        <v/>
      </c>
      <c r="B19" s="326">
        <f t="shared" ca="1" si="1"/>
        <v>5</v>
      </c>
      <c r="C19" s="738" t="str">
        <f ca="1">IF(AUTOEVENTO="Manual",IF($B19&lt;&gt;1,OFFSET(EVENTOS!$D$14,$B19,0),0),IF(B19&lt;=MAX(CÁLCULO!$M$15:$M$710),VLOOKUP($B19,CÁLCULO!$M$15:$N$710,2,FALSE),0))</f>
        <v>Preparação da Base</v>
      </c>
      <c r="D19" s="738"/>
      <c r="F19" s="328"/>
      <c r="H19" s="328"/>
      <c r="I19" s="328"/>
      <c r="J19" s="328"/>
      <c r="K19" s="328"/>
      <c r="L19" s="328"/>
      <c r="M19" s="328"/>
      <c r="N19" s="328"/>
      <c r="O19" s="328"/>
      <c r="P19" s="328"/>
      <c r="Q19" s="328"/>
      <c r="R19" s="328"/>
      <c r="S19" s="328"/>
      <c r="T19" s="328"/>
      <c r="U19" s="328"/>
      <c r="V19" s="328"/>
      <c r="W19" s="328"/>
      <c r="X19" s="328"/>
      <c r="Y19" s="328"/>
      <c r="Z19" s="328"/>
      <c r="AA19" s="328"/>
      <c r="AB19" s="328"/>
      <c r="AC19" s="328"/>
      <c r="AD19" s="328"/>
      <c r="AE19" s="328"/>
      <c r="AF19" s="328"/>
    </row>
    <row r="20" spans="1:32" x14ac:dyDescent="0.25">
      <c r="A20" s="9" t="str">
        <f ca="1">IF(AUTOEVENTO="Manual",IF(OFFSET(EVENTOS!$F$14,PLE!$B20,0)&gt;0,"F",""),IF(PLE!B20&lt;=MAX(CÁLCULO!$M$15:$M$710),"F",""))</f>
        <v/>
      </c>
      <c r="B20" s="326">
        <f t="shared" ca="1" si="1"/>
        <v>6</v>
      </c>
      <c r="C20" s="738" t="str">
        <f ca="1">IF(AUTOEVENTO="Manual",IF($B20&lt;&gt;1,OFFSET(EVENTOS!$D$14,$B20,0),0),IF(B20&lt;=MAX(CÁLCULO!$M$15:$M$710),VLOOKUP($B20,CÁLCULO!$M$15:$N$710,2,FALSE),0))</f>
        <v xml:space="preserve">Base </v>
      </c>
      <c r="D20" s="738"/>
      <c r="F20" s="328"/>
      <c r="H20" s="328"/>
      <c r="I20" s="328"/>
      <c r="J20" s="328"/>
      <c r="K20" s="328"/>
      <c r="L20" s="328"/>
      <c r="M20" s="328"/>
      <c r="N20" s="328"/>
      <c r="O20" s="328"/>
      <c r="P20" s="328"/>
      <c r="Q20" s="328"/>
      <c r="R20" s="328"/>
      <c r="S20" s="328"/>
      <c r="T20" s="328"/>
      <c r="U20" s="328"/>
      <c r="V20" s="328"/>
      <c r="W20" s="328"/>
      <c r="X20" s="328"/>
      <c r="Y20" s="328"/>
      <c r="Z20" s="328"/>
      <c r="AA20" s="328"/>
      <c r="AB20" s="328"/>
      <c r="AC20" s="328"/>
      <c r="AD20" s="328"/>
      <c r="AE20" s="328"/>
      <c r="AF20" s="328"/>
    </row>
    <row r="21" spans="1:32" x14ac:dyDescent="0.25">
      <c r="A21" s="9" t="str">
        <f ca="1">IF(AUTOEVENTO="Manual",IF(OFFSET(EVENTOS!$F$14,PLE!$B21,0)&gt;0,"F",""),IF(PLE!B21&lt;=MAX(CÁLCULO!$M$15:$M$710),"F",""))</f>
        <v/>
      </c>
      <c r="B21" s="326">
        <f t="shared" ca="1" si="1"/>
        <v>7</v>
      </c>
      <c r="C21" s="738" t="str">
        <f ca="1">IF(AUTOEVENTO="Manual",IF($B21&lt;&gt;1,OFFSET(EVENTOS!$D$14,$B21,0),0),IF(B21&lt;=MAX(CÁLCULO!$M$15:$M$710),VLOOKUP($B21,CÁLCULO!$M$15:$N$710,2,FALSE),0))</f>
        <v>Drenagem</v>
      </c>
      <c r="D21" s="738"/>
      <c r="F21" s="328"/>
      <c r="H21" s="328"/>
      <c r="I21" s="328"/>
      <c r="J21" s="328"/>
      <c r="K21" s="328"/>
      <c r="L21" s="328"/>
      <c r="M21" s="328"/>
      <c r="N21" s="328"/>
      <c r="O21" s="328"/>
      <c r="P21" s="328"/>
      <c r="Q21" s="328"/>
      <c r="R21" s="328"/>
      <c r="S21" s="328"/>
      <c r="T21" s="328"/>
      <c r="U21" s="328"/>
      <c r="V21" s="328"/>
      <c r="W21" s="328"/>
      <c r="X21" s="328"/>
      <c r="Y21" s="328"/>
      <c r="Z21" s="328"/>
      <c r="AA21" s="328"/>
      <c r="AB21" s="328"/>
      <c r="AC21" s="328"/>
      <c r="AD21" s="328"/>
      <c r="AE21" s="328"/>
      <c r="AF21" s="328"/>
    </row>
    <row r="22" spans="1:32" x14ac:dyDescent="0.25">
      <c r="A22" s="9" t="str">
        <f ca="1">IF(AUTOEVENTO="Manual",IF(OFFSET(EVENTOS!$F$14,PLE!$B22,0)&gt;0,"F",""),IF(PLE!B22&lt;=MAX(CÁLCULO!$M$15:$M$710),"F",""))</f>
        <v/>
      </c>
      <c r="B22" s="326">
        <f t="shared" ca="1" si="1"/>
        <v>8</v>
      </c>
      <c r="C22" s="738" t="str">
        <f ca="1">IF(AUTOEVENTO="Manual",IF($B22&lt;&gt;1,OFFSET(EVENTOS!$D$14,$B22,0),0),IF(B22&lt;=MAX(CÁLCULO!$M$15:$M$710),VLOOKUP($B22,CÁLCULO!$M$15:$N$710,2,FALSE),0))</f>
        <v>Grama Sintética</v>
      </c>
      <c r="D22" s="738"/>
      <c r="F22" s="328"/>
      <c r="H22" s="328"/>
      <c r="I22" s="328"/>
      <c r="J22" s="328"/>
      <c r="K22" s="328"/>
      <c r="L22" s="328"/>
      <c r="M22" s="328"/>
      <c r="N22" s="328"/>
      <c r="O22" s="328"/>
      <c r="P22" s="328"/>
      <c r="Q22" s="328"/>
      <c r="R22" s="328"/>
      <c r="S22" s="328"/>
      <c r="T22" s="328"/>
      <c r="U22" s="328"/>
      <c r="V22" s="328"/>
      <c r="W22" s="328"/>
      <c r="X22" s="328"/>
      <c r="Y22" s="328"/>
      <c r="Z22" s="328"/>
      <c r="AA22" s="328"/>
      <c r="AB22" s="328"/>
      <c r="AC22" s="328"/>
      <c r="AD22" s="328"/>
      <c r="AE22" s="328"/>
      <c r="AF22" s="328"/>
    </row>
    <row r="23" spans="1:32" x14ac:dyDescent="0.25">
      <c r="A23" s="9" t="str">
        <f ca="1">IF(AUTOEVENTO="Manual",IF(OFFSET(EVENTOS!$F$14,PLE!$B23,0)&gt;0,"F",""),IF(PLE!B23&lt;=MAX(CÁLCULO!$M$15:$M$710),"F",""))</f>
        <v/>
      </c>
      <c r="B23" s="326">
        <f t="shared" ca="1" si="1"/>
        <v>9</v>
      </c>
      <c r="C23" s="738" t="str">
        <f ca="1">IF(AUTOEVENTO="Manual",IF($B23&lt;&gt;1,OFFSET(EVENTOS!$D$14,$B23,0),0),IF(B23&lt;=MAX(CÁLCULO!$M$15:$M$710),VLOOKUP($B23,CÁLCULO!$M$15:$N$710,2,FALSE),0))</f>
        <v>Equipamentos</v>
      </c>
      <c r="D23" s="738"/>
      <c r="F23" s="328"/>
      <c r="H23" s="328"/>
      <c r="I23" s="328"/>
      <c r="J23" s="328"/>
      <c r="K23" s="328"/>
      <c r="L23" s="328"/>
      <c r="M23" s="328"/>
      <c r="N23" s="328"/>
      <c r="O23" s="328"/>
      <c r="P23" s="328"/>
      <c r="Q23" s="328"/>
      <c r="R23" s="328"/>
      <c r="S23" s="328"/>
      <c r="T23" s="328"/>
      <c r="U23" s="328"/>
      <c r="V23" s="328"/>
      <c r="W23" s="328"/>
      <c r="X23" s="328"/>
      <c r="Y23" s="328"/>
      <c r="Z23" s="328"/>
      <c r="AA23" s="328"/>
      <c r="AB23" s="328"/>
      <c r="AC23" s="328"/>
      <c r="AD23" s="328"/>
      <c r="AE23" s="328"/>
      <c r="AF23" s="328"/>
    </row>
    <row r="24" spans="1:32" ht="4.5" customHeight="1" x14ac:dyDescent="0.25">
      <c r="A24" s="9" t="s">
        <v>248</v>
      </c>
      <c r="B24" s="563"/>
      <c r="C24" s="594"/>
      <c r="D24" s="595"/>
      <c r="F24" s="349"/>
      <c r="H24" s="563"/>
      <c r="I24" s="594"/>
      <c r="J24" s="594"/>
      <c r="K24" s="594"/>
      <c r="L24" s="594"/>
      <c r="M24" s="594"/>
      <c r="N24" s="594"/>
      <c r="O24" s="594"/>
      <c r="P24" s="594"/>
      <c r="Q24" s="594"/>
      <c r="R24" s="594"/>
      <c r="S24" s="594"/>
      <c r="T24" s="594"/>
      <c r="U24" s="594"/>
      <c r="V24" s="594"/>
      <c r="W24" s="594"/>
      <c r="X24" s="594"/>
      <c r="Y24" s="594"/>
      <c r="Z24" s="594"/>
      <c r="AA24" s="594"/>
      <c r="AB24" s="594"/>
      <c r="AC24" s="594"/>
      <c r="AD24" s="594"/>
      <c r="AE24" s="594"/>
      <c r="AF24" s="595"/>
    </row>
    <row r="25" spans="1:32" x14ac:dyDescent="0.25">
      <c r="A25" s="9" t="s">
        <v>248</v>
      </c>
    </row>
    <row r="26" spans="1:32" x14ac:dyDescent="0.25">
      <c r="A26" s="9" t="s">
        <v>248</v>
      </c>
      <c r="I26" s="745" t="s">
        <v>300</v>
      </c>
      <c r="J26" s="745"/>
      <c r="K26" s="745"/>
      <c r="L26" s="745"/>
      <c r="M26" s="745"/>
      <c r="N26" s="745"/>
      <c r="O26" s="745"/>
      <c r="P26" s="745"/>
      <c r="Q26" s="745"/>
      <c r="R26" s="745"/>
      <c r="S26" s="745"/>
      <c r="T26" s="745"/>
      <c r="U26" s="745"/>
      <c r="V26" s="745"/>
      <c r="W26" s="745"/>
      <c r="X26" s="745"/>
      <c r="Y26" s="745"/>
      <c r="Z26" s="745"/>
      <c r="AA26" s="745"/>
      <c r="AB26" s="745"/>
      <c r="AC26" s="745"/>
      <c r="AD26" s="745"/>
      <c r="AE26" s="745"/>
      <c r="AF26" s="745"/>
    </row>
    <row r="27" spans="1:32" x14ac:dyDescent="0.25">
      <c r="A27" s="9" t="s">
        <v>248</v>
      </c>
      <c r="H27" s="620"/>
      <c r="I27" s="760"/>
      <c r="J27" s="744"/>
      <c r="K27" s="744"/>
      <c r="L27" s="744"/>
      <c r="M27" s="744"/>
      <c r="N27" s="744"/>
      <c r="O27" s="744"/>
      <c r="P27" s="744"/>
      <c r="Q27" s="744"/>
      <c r="R27" s="744"/>
      <c r="S27" s="744"/>
      <c r="T27" s="744"/>
      <c r="U27" s="744"/>
      <c r="V27" s="744"/>
      <c r="W27" s="744"/>
      <c r="X27" s="744"/>
      <c r="Y27" s="744"/>
      <c r="Z27" s="744"/>
      <c r="AA27" s="744"/>
      <c r="AB27" s="744"/>
      <c r="AC27" s="744"/>
      <c r="AD27" s="744"/>
      <c r="AE27" s="744"/>
      <c r="AF27" s="750"/>
    </row>
    <row r="28" spans="1:32" x14ac:dyDescent="0.25">
      <c r="A28" s="9" t="s">
        <v>248</v>
      </c>
      <c r="D28" s="350" t="s">
        <v>301</v>
      </c>
      <c r="I28" s="748">
        <f>IF(PLE.Medicao&lt;=12,1,TRUNC((PLE.Medicao - 2)/11,0) * 11 + 1)</f>
        <v>1</v>
      </c>
      <c r="J28" s="748"/>
      <c r="K28" s="748">
        <f>I28+1</f>
        <v>2</v>
      </c>
      <c r="L28" s="748"/>
      <c r="M28" s="748">
        <f>K28+1</f>
        <v>3</v>
      </c>
      <c r="N28" s="748"/>
      <c r="O28" s="748">
        <f>M28+1</f>
        <v>4</v>
      </c>
      <c r="P28" s="748"/>
      <c r="Q28" s="748">
        <f>O28+1</f>
        <v>5</v>
      </c>
      <c r="R28" s="748"/>
      <c r="S28" s="748">
        <f>Q28+1</f>
        <v>6</v>
      </c>
      <c r="T28" s="748"/>
      <c r="U28" s="748">
        <f>S28+1</f>
        <v>7</v>
      </c>
      <c r="V28" s="748"/>
      <c r="W28" s="748">
        <f>U28+1</f>
        <v>8</v>
      </c>
      <c r="X28" s="748"/>
      <c r="Y28" s="748">
        <f>W28+1</f>
        <v>9</v>
      </c>
      <c r="Z28" s="748"/>
      <c r="AA28" s="748">
        <f>Y28+1</f>
        <v>10</v>
      </c>
      <c r="AB28" s="748"/>
      <c r="AC28" s="748">
        <f>AA28+1</f>
        <v>11</v>
      </c>
      <c r="AD28" s="748"/>
      <c r="AE28" s="748">
        <f>AC28+1</f>
        <v>12</v>
      </c>
      <c r="AF28" s="748"/>
    </row>
    <row r="29" spans="1:32" x14ac:dyDescent="0.25">
      <c r="A29" s="9" t="s">
        <v>248</v>
      </c>
      <c r="D29" s="754" t="s">
        <v>285</v>
      </c>
      <c r="H29" s="351" t="s">
        <v>302</v>
      </c>
      <c r="I29" s="759" t="e">
        <f ca="1">ROUND(I30,2)/ORÇAMENTO!$X$15</f>
        <v>#DIV/0!</v>
      </c>
      <c r="J29" s="759"/>
      <c r="K29" s="747" t="e">
        <f ca="1">ROUND(K30,2)/ORÇAMENTO!$X$15</f>
        <v>#DIV/0!</v>
      </c>
      <c r="L29" s="747"/>
      <c r="M29" s="753" t="e">
        <f ca="1">ROUND(M30,2)/ORÇAMENTO!$X$15</f>
        <v>#DIV/0!</v>
      </c>
      <c r="N29" s="753"/>
      <c r="O29" s="747" t="e">
        <f ca="1">ROUND(O30,2)/ORÇAMENTO!$X$15</f>
        <v>#DIV/0!</v>
      </c>
      <c r="P29" s="747"/>
      <c r="Q29" s="753" t="e">
        <f ca="1">ROUND(Q30,2)/ORÇAMENTO!$X$15</f>
        <v>#DIV/0!</v>
      </c>
      <c r="R29" s="753"/>
      <c r="S29" s="747" t="e">
        <f ca="1">ROUND(S30,2)/ORÇAMENTO!$X$15</f>
        <v>#DIV/0!</v>
      </c>
      <c r="T29" s="747"/>
      <c r="U29" s="753" t="e">
        <f ca="1">ROUND(U30,2)/ORÇAMENTO!$X$15</f>
        <v>#DIV/0!</v>
      </c>
      <c r="V29" s="753"/>
      <c r="W29" s="747" t="e">
        <f ca="1">ROUND(W30,2)/ORÇAMENTO!$X$15</f>
        <v>#DIV/0!</v>
      </c>
      <c r="X29" s="747"/>
      <c r="Y29" s="753" t="e">
        <f ca="1">ROUND(Y30,2)/ORÇAMENTO!$X$15</f>
        <v>#DIV/0!</v>
      </c>
      <c r="Z29" s="753"/>
      <c r="AA29" s="747" t="e">
        <f ca="1">ROUND(AA30,2)/ORÇAMENTO!$X$15</f>
        <v>#DIV/0!</v>
      </c>
      <c r="AB29" s="747"/>
      <c r="AC29" s="753" t="e">
        <f ca="1">ROUND(AC30,2)/ORÇAMENTO!$X$15</f>
        <v>#DIV/0!</v>
      </c>
      <c r="AD29" s="753"/>
      <c r="AE29" s="747" t="e">
        <f ca="1">ROUND(AE30,2)/ORÇAMENTO!$X$15</f>
        <v>#DIV/0!</v>
      </c>
      <c r="AF29" s="747"/>
    </row>
    <row r="30" spans="1:32" x14ac:dyDescent="0.25">
      <c r="A30" s="9" t="s">
        <v>248</v>
      </c>
      <c r="D30" s="754"/>
      <c r="H30" s="352" t="s">
        <v>303</v>
      </c>
      <c r="I30" s="755" t="e">
        <f ca="1">IF(I28=1,I32,ROUND(I32,2)-ROUND(SUMIF(CÁLCULO!$BV$15:$CN$710,"&lt;="&amp;PLE!I28-1,CÁLCULO!$AJ$15:$BB$710)*(1+CÁLCULO.TotalAdmLocal/(ORÇAMENTO!$X$15-CÁLCULO.TotalAdmLocal)),2))</f>
        <v>#DIV/0!</v>
      </c>
      <c r="J30" s="755"/>
      <c r="K30" s="755" t="e">
        <f ca="1">ROUND(K32,2)-ROUND(I32,2)</f>
        <v>#DIV/0!</v>
      </c>
      <c r="L30" s="755"/>
      <c r="M30" s="757" t="e">
        <f ca="1">ROUND(M32,2)-ROUND(K32,2)</f>
        <v>#DIV/0!</v>
      </c>
      <c r="N30" s="757"/>
      <c r="O30" s="755" t="e">
        <f ca="1">ROUND(O32,2)-ROUND(M32,2)</f>
        <v>#DIV/0!</v>
      </c>
      <c r="P30" s="755"/>
      <c r="Q30" s="757" t="e">
        <f ca="1">ROUND(Q32,2)-ROUND(O32,2)</f>
        <v>#DIV/0!</v>
      </c>
      <c r="R30" s="757"/>
      <c r="S30" s="755" t="e">
        <f ca="1">ROUND(S32,2)-ROUND(Q32,2)</f>
        <v>#DIV/0!</v>
      </c>
      <c r="T30" s="755"/>
      <c r="U30" s="757" t="e">
        <f ca="1">ROUND(U32,2)-ROUND(S32,2)</f>
        <v>#DIV/0!</v>
      </c>
      <c r="V30" s="757"/>
      <c r="W30" s="755" t="e">
        <f ca="1">ROUND(W32,2)-ROUND(U32,2)</f>
        <v>#DIV/0!</v>
      </c>
      <c r="X30" s="755"/>
      <c r="Y30" s="757" t="e">
        <f ca="1">ROUND(Y32,2)-ROUND(W32,2)</f>
        <v>#DIV/0!</v>
      </c>
      <c r="Z30" s="757"/>
      <c r="AA30" s="755" t="e">
        <f ca="1">ROUND(AA32,2)-ROUND(Y32,2)</f>
        <v>#DIV/0!</v>
      </c>
      <c r="AB30" s="755"/>
      <c r="AC30" s="757" t="e">
        <f ca="1">ROUND(AC32,2)-ROUND(AA32,2)</f>
        <v>#DIV/0!</v>
      </c>
      <c r="AD30" s="757"/>
      <c r="AE30" s="755" t="e">
        <f ca="1">ROUND(AE32,2)-ROUND(AC32,2)</f>
        <v>#DIV/0!</v>
      </c>
      <c r="AF30" s="755"/>
    </row>
    <row r="31" spans="1:32" x14ac:dyDescent="0.25">
      <c r="A31" s="9" t="s">
        <v>248</v>
      </c>
      <c r="D31" s="754" t="s">
        <v>289</v>
      </c>
      <c r="H31" s="351" t="s">
        <v>302</v>
      </c>
      <c r="I31" s="756" t="e">
        <f ca="1">ROUND(I32,2)/ORÇAMENTO!$X$15</f>
        <v>#DIV/0!</v>
      </c>
      <c r="J31" s="756"/>
      <c r="K31" s="752" t="e">
        <f ca="1">ROUND(K32,2)/ORÇAMENTO!$X$15</f>
        <v>#DIV/0!</v>
      </c>
      <c r="L31" s="752"/>
      <c r="M31" s="751" t="e">
        <f ca="1">ROUND(M32,2)/ORÇAMENTO!$X$15</f>
        <v>#DIV/0!</v>
      </c>
      <c r="N31" s="751"/>
      <c r="O31" s="752" t="e">
        <f ca="1">ROUND(O32,2)/ORÇAMENTO!$X$15</f>
        <v>#DIV/0!</v>
      </c>
      <c r="P31" s="752"/>
      <c r="Q31" s="751" t="e">
        <f ca="1">ROUND(Q32,2)/ORÇAMENTO!$X$15</f>
        <v>#DIV/0!</v>
      </c>
      <c r="R31" s="751"/>
      <c r="S31" s="752" t="e">
        <f ca="1">ROUND(S32,2)/ORÇAMENTO!$X$15</f>
        <v>#DIV/0!</v>
      </c>
      <c r="T31" s="752"/>
      <c r="U31" s="751" t="e">
        <f ca="1">ROUND(U32,2)/ORÇAMENTO!$X$15</f>
        <v>#DIV/0!</v>
      </c>
      <c r="V31" s="751"/>
      <c r="W31" s="752" t="e">
        <f ca="1">ROUND(W32,2)/ORÇAMENTO!$X$15</f>
        <v>#DIV/0!</v>
      </c>
      <c r="X31" s="752"/>
      <c r="Y31" s="751" t="e">
        <f ca="1">ROUND(Y32,2)/ORÇAMENTO!$X$15</f>
        <v>#DIV/0!</v>
      </c>
      <c r="Z31" s="751"/>
      <c r="AA31" s="752" t="e">
        <f ca="1">ROUND(AA32,2)/ORÇAMENTO!$X$15</f>
        <v>#DIV/0!</v>
      </c>
      <c r="AB31" s="752"/>
      <c r="AC31" s="751" t="e">
        <f ca="1">ROUND(AC32,2)/ORÇAMENTO!$X$15</f>
        <v>#DIV/0!</v>
      </c>
      <c r="AD31" s="751"/>
      <c r="AE31" s="752" t="e">
        <f ca="1">ROUND(AE32,2)/ORÇAMENTO!$X$15</f>
        <v>#DIV/0!</v>
      </c>
      <c r="AF31" s="752"/>
    </row>
    <row r="32" spans="1:32" x14ac:dyDescent="0.25">
      <c r="A32" s="9" t="s">
        <v>248</v>
      </c>
      <c r="D32" s="754"/>
      <c r="H32" s="352" t="s">
        <v>303</v>
      </c>
      <c r="I32" s="758" t="e">
        <f ca="1">SUMIF(CÁLCULO!$BV$15:$CN$710,"&lt;="&amp;PLE!I28,CÁLCULO!$AJ$15:$BB$710)*(1+CÁLCULO.TotalAdmLocal/(ORÇAMENTO!$X$15-CÁLCULO.TotalAdmLocal))</f>
        <v>#DIV/0!</v>
      </c>
      <c r="J32" s="758"/>
      <c r="K32" s="755" t="e">
        <f ca="1">SUMIF(CÁLCULO!$BV$15:$CN$710,"&lt;="&amp;PLE!K28,CÁLCULO!$AJ$15:$BB$710)*(1+CÁLCULO.TotalAdmLocal/(ORÇAMENTO!$X$15-CÁLCULO.TotalAdmLocal))</f>
        <v>#DIV/0!</v>
      </c>
      <c r="L32" s="755"/>
      <c r="M32" s="757" t="e">
        <f ca="1">SUMIF(CÁLCULO!$BV$15:$CN$710,"&lt;="&amp;PLE!M28,CÁLCULO!$AJ$15:$BB$710)*(1+CÁLCULO.TotalAdmLocal/(ORÇAMENTO!$X$15-CÁLCULO.TotalAdmLocal))</f>
        <v>#DIV/0!</v>
      </c>
      <c r="N32" s="757"/>
      <c r="O32" s="755" t="e">
        <f ca="1">SUMIF(CÁLCULO!$BV$15:$CN$710,"&lt;="&amp;PLE!O28,CÁLCULO!$AJ$15:$BB$710)*(1+CÁLCULO.TotalAdmLocal/(ORÇAMENTO!$X$15-CÁLCULO.TotalAdmLocal))</f>
        <v>#DIV/0!</v>
      </c>
      <c r="P32" s="755"/>
      <c r="Q32" s="757" t="e">
        <f ca="1">SUMIF(CÁLCULO!$BV$15:$CN$710,"&lt;="&amp;PLE!Q28,CÁLCULO!$AJ$15:$BB$710)*(1+CÁLCULO.TotalAdmLocal/(ORÇAMENTO!$X$15-CÁLCULO.TotalAdmLocal))</f>
        <v>#DIV/0!</v>
      </c>
      <c r="R32" s="757"/>
      <c r="S32" s="755" t="e">
        <f ca="1">SUMIF(CÁLCULO!$BV$15:$CN$710,"&lt;="&amp;PLE!S28,CÁLCULO!$AJ$15:$BB$710)*(1+CÁLCULO.TotalAdmLocal/(ORÇAMENTO!$X$15-CÁLCULO.TotalAdmLocal))</f>
        <v>#DIV/0!</v>
      </c>
      <c r="T32" s="755"/>
      <c r="U32" s="757" t="e">
        <f ca="1">SUMIF(CÁLCULO!$BV$15:$CN$710,"&lt;="&amp;PLE!U28,CÁLCULO!$AJ$15:$BB$710)*(1+CÁLCULO.TotalAdmLocal/(ORÇAMENTO!$X$15-CÁLCULO.TotalAdmLocal))</f>
        <v>#DIV/0!</v>
      </c>
      <c r="V32" s="757"/>
      <c r="W32" s="755" t="e">
        <f ca="1">SUMIF(CÁLCULO!$BV$15:$CN$710,"&lt;="&amp;PLE!W28,CÁLCULO!$AJ$15:$BB$710)*(1+CÁLCULO.TotalAdmLocal/(ORÇAMENTO!$X$15-CÁLCULO.TotalAdmLocal))</f>
        <v>#DIV/0!</v>
      </c>
      <c r="X32" s="755"/>
      <c r="Y32" s="757" t="e">
        <f ca="1">SUMIF(CÁLCULO!$BV$15:$CN$710,"&lt;="&amp;PLE!Y28,CÁLCULO!$AJ$15:$BB$710)*(1+CÁLCULO.TotalAdmLocal/(ORÇAMENTO!$X$15-CÁLCULO.TotalAdmLocal))</f>
        <v>#DIV/0!</v>
      </c>
      <c r="Z32" s="757"/>
      <c r="AA32" s="755" t="e">
        <f ca="1">SUMIF(CÁLCULO!$BV$15:$CN$710,"&lt;="&amp;PLE!AA28,CÁLCULO!$AJ$15:$BB$710)*(1+CÁLCULO.TotalAdmLocal/(ORÇAMENTO!$X$15-CÁLCULO.TotalAdmLocal))</f>
        <v>#DIV/0!</v>
      </c>
      <c r="AB32" s="755"/>
      <c r="AC32" s="757" t="e">
        <f ca="1">SUMIF(CÁLCULO!$BV$15:$CN$710,"&lt;="&amp;PLE!AC28,CÁLCULO!$AJ$15:$BB$710)*(1+CÁLCULO.TotalAdmLocal/(ORÇAMENTO!$X$15-CÁLCULO.TotalAdmLocal))</f>
        <v>#DIV/0!</v>
      </c>
      <c r="AD32" s="757"/>
      <c r="AE32" s="755" t="e">
        <f ca="1">SUMIF(CÁLCULO!$BV$15:$CN$710,"&lt;="&amp;PLE!AE28,CÁLCULO!$AJ$15:$BB$710)*(1+CÁLCULO.TotalAdmLocal/(ORÇAMENTO!$X$15-CÁLCULO.TotalAdmLocal))</f>
        <v>#DIV/0!</v>
      </c>
      <c r="AF32" s="755"/>
    </row>
    <row r="33" spans="1:30" ht="20.25" customHeight="1" x14ac:dyDescent="0.25">
      <c r="A33" s="9" t="s">
        <v>248</v>
      </c>
    </row>
    <row r="34" spans="1:30" ht="13.8" x14ac:dyDescent="0.25">
      <c r="A34" s="9" t="s">
        <v>248</v>
      </c>
      <c r="B34" s="708" t="str">
        <f>Import.Município</f>
        <v>LAGUNA/SC</v>
      </c>
      <c r="C34" s="708"/>
      <c r="D34" s="708"/>
      <c r="E34" s="104"/>
      <c r="K34" s="104"/>
      <c r="U34" s="175"/>
      <c r="V34" s="175"/>
      <c r="W34" s="175"/>
      <c r="X34" s="175"/>
      <c r="Y34" s="228"/>
      <c r="Z34" s="228"/>
      <c r="AA34" s="228"/>
      <c r="AB34" s="228"/>
      <c r="AC34" s="228"/>
      <c r="AD34" s="228"/>
    </row>
    <row r="35" spans="1:30" x14ac:dyDescent="0.25">
      <c r="A35" s="9" t="s">
        <v>248</v>
      </c>
      <c r="B35" s="12" t="s">
        <v>190</v>
      </c>
      <c r="C35" s="104"/>
      <c r="D35" s="104"/>
      <c r="E35" s="104"/>
      <c r="K35" s="104"/>
      <c r="U35" s="229" t="s">
        <v>304</v>
      </c>
      <c r="V35" s="104"/>
      <c r="W35" s="104"/>
      <c r="X35" s="104"/>
    </row>
    <row r="36" spans="1:30" x14ac:dyDescent="0.25">
      <c r="A36" s="9" t="s">
        <v>248</v>
      </c>
      <c r="B36" s="104"/>
      <c r="C36" s="104"/>
      <c r="D36" s="104"/>
      <c r="E36" s="104"/>
      <c r="I36" s="96"/>
      <c r="K36" s="104"/>
      <c r="U36" s="94" t="s">
        <v>109</v>
      </c>
      <c r="W36" s="353">
        <f t="array" ref="W36:W39">Import.RespFiscalização</f>
        <v>0</v>
      </c>
      <c r="X36" s="104"/>
    </row>
    <row r="37" spans="1:30" x14ac:dyDescent="0.25">
      <c r="A37" s="9" t="s">
        <v>248</v>
      </c>
      <c r="B37" s="702">
        <f>DADOS!$F$47</f>
        <v>0</v>
      </c>
      <c r="C37" s="702"/>
      <c r="D37" s="702"/>
      <c r="E37" s="104"/>
      <c r="I37" s="96"/>
      <c r="K37" s="104"/>
      <c r="U37" s="94" t="s">
        <v>128</v>
      </c>
      <c r="W37" s="353">
        <v>0</v>
      </c>
      <c r="X37" s="104"/>
    </row>
    <row r="38" spans="1:30" x14ac:dyDescent="0.25">
      <c r="A38" s="9" t="s">
        <v>248</v>
      </c>
      <c r="B38" s="177" t="s">
        <v>191</v>
      </c>
      <c r="C38" s="178"/>
      <c r="D38" s="178"/>
      <c r="E38" s="104"/>
      <c r="I38" s="96"/>
      <c r="K38" s="104"/>
      <c r="U38" s="94" t="s">
        <v>110</v>
      </c>
      <c r="W38" s="353">
        <v>0</v>
      </c>
      <c r="X38" s="104"/>
    </row>
    <row r="39" spans="1:30" x14ac:dyDescent="0.25">
      <c r="U39" s="94" t="s">
        <v>111</v>
      </c>
      <c r="W39" s="354">
        <v>0</v>
      </c>
    </row>
  </sheetData>
  <sheetProtection password="BD1F" sheet="1" objects="1" scenarios="1" autoFilter="0"/>
  <autoFilter ref="A13:A38"/>
  <mergeCells count="102">
    <mergeCell ref="I28:J28"/>
    <mergeCell ref="I29:J29"/>
    <mergeCell ref="I27:J27"/>
    <mergeCell ref="O27:P27"/>
    <mergeCell ref="K28:L28"/>
    <mergeCell ref="M28:N28"/>
    <mergeCell ref="O28:P28"/>
    <mergeCell ref="W28:X28"/>
    <mergeCell ref="M30:N30"/>
    <mergeCell ref="AA30:AB30"/>
    <mergeCell ref="S30:T30"/>
    <mergeCell ref="O29:P29"/>
    <mergeCell ref="K27:L27"/>
    <mergeCell ref="K29:L29"/>
    <mergeCell ref="AE30:AF30"/>
    <mergeCell ref="AE32:AF32"/>
    <mergeCell ref="Q32:R32"/>
    <mergeCell ref="Y32:Z32"/>
    <mergeCell ref="AA32:AB32"/>
    <mergeCell ref="O30:P30"/>
    <mergeCell ref="Q30:R30"/>
    <mergeCell ref="AE31:AF31"/>
    <mergeCell ref="Q31:R31"/>
    <mergeCell ref="W30:X30"/>
    <mergeCell ref="Y30:Z30"/>
    <mergeCell ref="U30:V30"/>
    <mergeCell ref="W32:X32"/>
    <mergeCell ref="W31:X31"/>
    <mergeCell ref="U31:V31"/>
    <mergeCell ref="Y31:Z31"/>
    <mergeCell ref="U32:V32"/>
    <mergeCell ref="AC32:AD32"/>
    <mergeCell ref="AC30:AD30"/>
    <mergeCell ref="D29:D30"/>
    <mergeCell ref="K32:L32"/>
    <mergeCell ref="K31:L31"/>
    <mergeCell ref="I31:J31"/>
    <mergeCell ref="K30:L30"/>
    <mergeCell ref="I30:J30"/>
    <mergeCell ref="O32:P32"/>
    <mergeCell ref="S31:T31"/>
    <mergeCell ref="B37:D37"/>
    <mergeCell ref="B34:D34"/>
    <mergeCell ref="D31:D32"/>
    <mergeCell ref="M31:N31"/>
    <mergeCell ref="M32:N32"/>
    <mergeCell ref="I32:J32"/>
    <mergeCell ref="S32:T32"/>
    <mergeCell ref="AC31:AD31"/>
    <mergeCell ref="AA31:AB31"/>
    <mergeCell ref="AA29:AB29"/>
    <mergeCell ref="M29:N29"/>
    <mergeCell ref="Y29:Z29"/>
    <mergeCell ref="W29:X29"/>
    <mergeCell ref="U29:V29"/>
    <mergeCell ref="O31:P31"/>
    <mergeCell ref="Q29:R29"/>
    <mergeCell ref="S29:T29"/>
    <mergeCell ref="AC29:AD29"/>
    <mergeCell ref="AE29:AF29"/>
    <mergeCell ref="AA27:AB27"/>
    <mergeCell ref="Y27:Z27"/>
    <mergeCell ref="AE28:AF28"/>
    <mergeCell ref="AC28:AD28"/>
    <mergeCell ref="AA28:AB28"/>
    <mergeCell ref="Y28:Z28"/>
    <mergeCell ref="U28:V28"/>
    <mergeCell ref="Q28:R28"/>
    <mergeCell ref="S28:T28"/>
    <mergeCell ref="U27:V27"/>
    <mergeCell ref="AE27:AF27"/>
    <mergeCell ref="AC27:AD27"/>
    <mergeCell ref="W27:X27"/>
    <mergeCell ref="C23:D23"/>
    <mergeCell ref="J9:K9"/>
    <mergeCell ref="N9:T9"/>
    <mergeCell ref="B7:C7"/>
    <mergeCell ref="Q27:R27"/>
    <mergeCell ref="S27:T27"/>
    <mergeCell ref="M27:N27"/>
    <mergeCell ref="C18:D18"/>
    <mergeCell ref="C19:D19"/>
    <mergeCell ref="I26:AF26"/>
    <mergeCell ref="C15:D15"/>
    <mergeCell ref="C16:D16"/>
    <mergeCell ref="C17:D17"/>
    <mergeCell ref="C20:D20"/>
    <mergeCell ref="C21:D21"/>
    <mergeCell ref="C22:D22"/>
    <mergeCell ref="AE7:AF7"/>
    <mergeCell ref="V7:AD7"/>
    <mergeCell ref="Y9:Z9"/>
    <mergeCell ref="C12:D13"/>
    <mergeCell ref="B12:B13"/>
    <mergeCell ref="C1:D1"/>
    <mergeCell ref="AD3:AF3"/>
    <mergeCell ref="AD4:AF4"/>
    <mergeCell ref="AE6:AF6"/>
    <mergeCell ref="H7:N7"/>
    <mergeCell ref="O7:U7"/>
    <mergeCell ref="C11:D11"/>
    <mergeCell ref="AE9:AF9"/>
  </mergeCells>
  <phoneticPr fontId="38" type="noConversion"/>
  <conditionalFormatting sqref="F1:F2">
    <cfRule type="expression" dxfId="442" priority="460" stopIfTrue="1">
      <formula>IF(OR(ACOMPANHAMENTO="BM",F$12&gt;CÁLCULO.NúmeroDeFrentes),TRUE,PLE.ValorDoEvento=0)</formula>
    </cfRule>
    <cfRule type="cellIs" dxfId="441" priority="461" stopIfTrue="1" operator="equal">
      <formula>$J$9</formula>
    </cfRule>
  </conditionalFormatting>
  <conditionalFormatting sqref="I29:AF29">
    <cfRule type="expression" dxfId="440" priority="462" stopIfTrue="1">
      <formula>I28=$J$9</formula>
    </cfRule>
  </conditionalFormatting>
  <conditionalFormatting sqref="I30:AF30">
    <cfRule type="expression" dxfId="439" priority="463" stopIfTrue="1">
      <formula>I28=$J$9</formula>
    </cfRule>
  </conditionalFormatting>
  <conditionalFormatting sqref="I31:AF31">
    <cfRule type="expression" dxfId="438" priority="464" stopIfTrue="1">
      <formula>I28=$J$9</formula>
    </cfRule>
  </conditionalFormatting>
  <conditionalFormatting sqref="I32:AF32">
    <cfRule type="expression" dxfId="437" priority="465" stopIfTrue="1">
      <formula>I28=$J$9</formula>
    </cfRule>
  </conditionalFormatting>
  <conditionalFormatting sqref="H1:AF1">
    <cfRule type="expression" dxfId="436" priority="477" stopIfTrue="1">
      <formula>IF(OR(ACOMPANHAMENTO="BM",TIPOORCAMENTO="Proposto",H$12&gt;CÁLCULO.NúmeroDeFrentes),TRUE,PLE.ValorDoEvento=0)</formula>
    </cfRule>
    <cfRule type="cellIs" dxfId="435" priority="478" stopIfTrue="1" operator="equal">
      <formula>$J$9</formula>
    </cfRule>
  </conditionalFormatting>
  <conditionalFormatting sqref="AE6:AE7">
    <cfRule type="expression" dxfId="434" priority="466" stopIfTrue="1">
      <formula>TIPOORCAMENTO&lt;&gt;"Licitado"</formula>
    </cfRule>
  </conditionalFormatting>
  <conditionalFormatting sqref="N9:T9">
    <cfRule type="expression" dxfId="433" priority="467" stopIfTrue="1">
      <formula>COLUMN(N9)&gt;COLUMN($AF$12)</formula>
    </cfRule>
    <cfRule type="expression" dxfId="432" priority="468" stopIfTrue="1">
      <formula>$N$9="DIGITE A DATA DA MEDIÇÃO"</formula>
    </cfRule>
  </conditionalFormatting>
  <conditionalFormatting sqref="I9:M9 U9:AF9">
    <cfRule type="expression" dxfId="431" priority="469" stopIfTrue="1">
      <formula>COLUMN(I9)&gt;COLUMN($AF$12)</formula>
    </cfRule>
  </conditionalFormatting>
  <conditionalFormatting sqref="F16:F23">
    <cfRule type="expression" dxfId="430" priority="1" stopIfTrue="1">
      <formula>IF(OR(ACOMPANHAMENTO="BM",F$12&gt;CÁLCULO.NúmeroDeFrentes),TRUE,PLE.ValorDoEvento=0)</formula>
    </cfRule>
    <cfRule type="cellIs" dxfId="429" priority="2" stopIfTrue="1" operator="equal">
      <formula>$J$9</formula>
    </cfRule>
  </conditionalFormatting>
  <conditionalFormatting sqref="H16:AF23">
    <cfRule type="expression" dxfId="428" priority="3" stopIfTrue="1">
      <formula>IF(OR(ACOMPANHAMENTO="BM",TIPOORCAMENTO="Proposto",H$12&gt;CÁLCULO.NúmeroDeFrentes),TRUE,PLE.ValorDoEvento=0)</formula>
    </cfRule>
    <cfRule type="cellIs" dxfId="427" priority="4" stopIfTrue="1" operator="equal">
      <formula>$J$9</formula>
    </cfRule>
  </conditionalFormatting>
  <dataValidations count="3">
    <dataValidation type="whole" operator="greaterThan" allowBlank="1" showErrorMessage="1" sqref="F1:F4 I3:AC4 J9:K9 F16:F23">
      <formula1>0</formula1>
      <formula2>0</formula2>
    </dataValidation>
    <dataValidation allowBlank="1" showInputMessage="1" showErrorMessage="1" prompt="Digite a data de medição abaixo dos eventos." sqref="N9:T9">
      <formula1>0</formula1>
      <formula2>0</formula2>
    </dataValidation>
    <dataValidation type="whole" operator="equal" allowBlank="1" showErrorMessage="1" errorTitle="Errp de entrada" error="Preencha somente com o número da medição atual." sqref="H1:AF1 H16:AF23">
      <formula1>PLE.Medicao</formula1>
    </dataValidation>
  </dataValidations>
  <printOptions horizontalCentered="1"/>
  <pageMargins left="0.78740157480314998" right="0.78740157480314998" top="0.78740157480314998" bottom="0.78740157480314998" header="0.59055118110236204" footer="0.59055118110236204"/>
  <pageSetup paperSize="9" scale="69" firstPageNumber="0" orientation="landscape" r:id="rId1"/>
  <headerFooter alignWithMargins="0">
    <oddHeader>&amp;C&amp;14I</oddHeader>
    <oddFooter>&amp;LPMv3.0.4&amp;R&amp;P / &amp;N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6" r:id="rId4" name="Botão de rotação 275">
              <controlPr defaultSize="0" print="0" autoFill="0" autoLine="0" autoPict="0">
                <anchor moveWithCells="1" sizeWithCells="1">
                  <from>
                    <xdr:col>11</xdr:col>
                    <xdr:colOff>0</xdr:colOff>
                    <xdr:row>8</xdr:row>
                    <xdr:rowOff>7620</xdr:rowOff>
                  </from>
                  <to>
                    <xdr:col>11</xdr:col>
                    <xdr:colOff>213360</xdr:colOff>
                    <xdr:row>9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7"/>
  <dimension ref="A1:AE37"/>
  <sheetViews>
    <sheetView showGridLines="0" topLeftCell="C1" zoomScale="90" zoomScaleNormal="90" zoomScaleSheetLayoutView="90" workbookViewId="0">
      <pane xSplit="5" ySplit="13" topLeftCell="H14" activePane="bottomRight" state="frozen"/>
      <selection activeCell="C1" sqref="C1"/>
      <selection pane="topRight" activeCell="H1" sqref="H1"/>
      <selection pane="bottomLeft" activeCell="C14" sqref="C14"/>
      <selection pane="bottomRight" activeCell="I19" sqref="I19"/>
    </sheetView>
  </sheetViews>
  <sheetFormatPr defaultRowHeight="13.2" x14ac:dyDescent="0.25"/>
  <cols>
    <col min="1" max="1" width="15.88671875" hidden="1" customWidth="1"/>
    <col min="2" max="2" width="10.44140625" hidden="1" customWidth="1"/>
    <col min="3" max="3" width="3.6640625" customWidth="1"/>
    <col min="4" max="4" width="6.6640625" customWidth="1"/>
    <col min="5" max="5" width="18.6640625" customWidth="1"/>
    <col min="6" max="6" width="28.6640625" customWidth="1"/>
    <col min="7" max="7" width="35.6640625" customWidth="1"/>
    <col min="8" max="8" width="15.6640625" customWidth="1"/>
    <col min="9" max="9" width="12.6640625" customWidth="1"/>
    <col min="10" max="10" width="7.6640625" customWidth="1"/>
    <col min="11" max="15" width="16.6640625" customWidth="1"/>
    <col min="16" max="17" width="5.6640625" customWidth="1"/>
    <col min="18" max="18" width="35.6640625" customWidth="1"/>
    <col min="19" max="19" width="1.6640625" customWidth="1"/>
    <col min="20" max="21" width="16.6640625" customWidth="1"/>
    <col min="22" max="22" width="13.6640625" customWidth="1"/>
    <col min="23" max="24" width="16.6640625" customWidth="1"/>
    <col min="25" max="25" width="1.6640625" customWidth="1"/>
    <col min="26" max="28" width="9.109375" hidden="1" customWidth="1"/>
    <col min="29" max="29" width="3.6640625" hidden="1" customWidth="1"/>
    <col min="30" max="30" width="13.44140625" hidden="1" customWidth="1"/>
    <col min="31" max="31" width="9.109375" hidden="1" customWidth="1"/>
  </cols>
  <sheetData>
    <row r="1" spans="1:31" ht="30" customHeight="1" x14ac:dyDescent="0.25">
      <c r="F1" s="355" t="s">
        <v>305</v>
      </c>
      <c r="I1" s="10"/>
      <c r="J1" s="10"/>
    </row>
    <row r="2" spans="1:31" x14ac:dyDescent="0.25">
      <c r="Z2" s="127" t="s">
        <v>306</v>
      </c>
      <c r="AA2" s="356" t="s">
        <v>307</v>
      </c>
      <c r="AB2" s="94"/>
    </row>
    <row r="3" spans="1:31" x14ac:dyDescent="0.25">
      <c r="D3" s="675" t="s">
        <v>147</v>
      </c>
      <c r="E3" s="675"/>
      <c r="F3" s="111" t="s">
        <v>148</v>
      </c>
      <c r="G3" s="675" t="s">
        <v>149</v>
      </c>
      <c r="H3" s="675"/>
      <c r="I3" s="675"/>
      <c r="J3" s="761" t="s">
        <v>308</v>
      </c>
      <c r="K3" s="761"/>
      <c r="L3" s="761"/>
      <c r="M3" s="762" t="s">
        <v>309</v>
      </c>
      <c r="N3" s="762"/>
      <c r="O3" s="762"/>
      <c r="Z3" s="131">
        <f ca="1">MAX(Z7:AB7)</f>
        <v>0</v>
      </c>
      <c r="AA3" s="357">
        <f ca="1">IF(OR($O$24=ORÇAMENTO.SumINVMANUAL+QCI.SumINVMANUAL,$O$24=0),0,MIN(MAX(0,($Z$3*$O$24-ORÇAMENTO.SumCPMANUAL-QCI.SumCPMANUAL)/($O$24-ORÇAMENTO.SumINVMANUAL-QCI.SumINVMANUAL)),1))</f>
        <v>0</v>
      </c>
      <c r="AB3" s="119"/>
    </row>
    <row r="4" spans="1:31" x14ac:dyDescent="0.25">
      <c r="D4" s="672">
        <f>Import.CR</f>
        <v>0</v>
      </c>
      <c r="E4" s="672"/>
      <c r="F4" s="72">
        <f>Import.SICONV</f>
        <v>0</v>
      </c>
      <c r="G4" s="672" t="str">
        <f>Import.Proponente</f>
        <v>PREFEITURA DO MUNICÍPIO DE LAGUNA</v>
      </c>
      <c r="H4" s="672"/>
      <c r="I4" s="672"/>
      <c r="J4" s="763" t="str">
        <f>Import.Município</f>
        <v>LAGUNA/SC</v>
      </c>
      <c r="K4" s="763"/>
      <c r="L4" s="763"/>
      <c r="M4" s="762"/>
      <c r="N4" s="762"/>
      <c r="O4" s="762"/>
      <c r="R4" s="166"/>
      <c r="Z4" s="119"/>
      <c r="AA4" s="119"/>
      <c r="AB4" s="119"/>
    </row>
    <row r="5" spans="1:31" ht="5.0999999999999996" customHeight="1" x14ac:dyDescent="0.25">
      <c r="M5" s="345"/>
      <c r="N5" s="100"/>
      <c r="O5" s="59"/>
      <c r="Z5" s="127"/>
      <c r="AA5" s="16"/>
      <c r="AB5" s="127"/>
    </row>
    <row r="6" spans="1:31" x14ac:dyDescent="0.25">
      <c r="D6" s="675" t="s">
        <v>204</v>
      </c>
      <c r="E6" s="675"/>
      <c r="F6" s="675"/>
      <c r="G6" s="675"/>
      <c r="H6" s="675"/>
      <c r="I6" s="675"/>
      <c r="J6" s="675"/>
      <c r="K6" s="675"/>
      <c r="L6" s="358" t="s">
        <v>212</v>
      </c>
      <c r="M6" s="111" t="str">
        <f>IF(import.recurso="FGTS","FINANCIAMENTO","REPASSE")</f>
        <v>REPASSE</v>
      </c>
      <c r="N6" s="111" t="s">
        <v>310</v>
      </c>
      <c r="O6" s="111" t="s">
        <v>311</v>
      </c>
      <c r="Z6" s="127" t="s">
        <v>312</v>
      </c>
      <c r="AA6" s="16" t="s">
        <v>313</v>
      </c>
      <c r="AB6" s="127" t="s">
        <v>314</v>
      </c>
    </row>
    <row r="7" spans="1:31" ht="12.75" customHeight="1" x14ac:dyDescent="0.25">
      <c r="C7" s="701" t="s">
        <v>211</v>
      </c>
      <c r="D7" s="672" t="str">
        <f>Import.Apelido</f>
        <v xml:space="preserve">ESCOLA BILÍNGUE (PADRÃO FNDE - 5 SALAS)     </v>
      </c>
      <c r="E7" s="672"/>
      <c r="F7" s="672"/>
      <c r="G7" s="672"/>
      <c r="H7" s="672"/>
      <c r="I7" s="672"/>
      <c r="J7" s="672"/>
      <c r="K7" s="672"/>
      <c r="L7" s="359" t="str">
        <f>import.recurso</f>
        <v>(SELECIONAR)</v>
      </c>
      <c r="M7" s="360">
        <f>Import.Repasse</f>
        <v>7408271.5599999996</v>
      </c>
      <c r="N7" s="360">
        <f>Import.Contrapartida</f>
        <v>0</v>
      </c>
      <c r="O7" s="360">
        <f>M7+N7</f>
        <v>7408271.5599999996</v>
      </c>
      <c r="Z7" s="131">
        <f>ROUND(Import.CPMinPerc,4)</f>
        <v>0</v>
      </c>
      <c r="AA7" s="131">
        <f ca="1">IF($O$24=0,0,Import.CPMinAbsoluta/$O$24)</f>
        <v>0</v>
      </c>
      <c r="AB7" s="131">
        <f ca="1">IF($O$24=0,0,($O$24-$AB$24-Import.Repasse)/($O$24))</f>
        <v>0</v>
      </c>
    </row>
    <row r="8" spans="1:31" x14ac:dyDescent="0.25">
      <c r="C8" s="701"/>
      <c r="D8" s="119"/>
      <c r="E8" s="119"/>
      <c r="F8" s="361"/>
      <c r="G8" s="119"/>
      <c r="H8" s="119"/>
      <c r="I8" s="119"/>
      <c r="J8" s="119"/>
      <c r="K8" s="119"/>
      <c r="L8" s="119"/>
      <c r="M8" s="119"/>
      <c r="N8" s="119"/>
      <c r="O8" s="119"/>
    </row>
    <row r="9" spans="1:31" ht="12.75" customHeight="1" x14ac:dyDescent="0.25">
      <c r="C9" s="701"/>
      <c r="E9" s="16"/>
      <c r="G9" s="766" t="str">
        <f ca="1">CHOOSE(1+LOG(1+2*(AND($O$24&gt;0,$M$25&gt;Import.CPMaxPerc,Import.CPMaxPerc&gt;0))+4*(OR(AND($O$24&gt;0,$M$25&lt;QCI!$Z$7),$M$24&lt;ROUND(Import.CPMinAbsoluta,2)))+8*(OR($L$10&lt;0,$M$10&lt;0))+16*(COUNTIF($L$13:$L$24,"&lt;0")&gt;0)+32*(OFFSET($A$24,-1,0)&lt;OFFSET(ORÇAMENTO!$E$710,-1,0)),2),"","ERRO: CONTRAPARTIDA MAIOR QUE A MÁXIMA","ERRO: CONTRAPARTIDA MENOR QUE A MÍNIMA","ERRO: SALDO NEGATIVO","ERRO: VALORES DE REPASSE NEGATIVOS","ERRO: NÚMERO DE LINHAS DO QCI INSUFICIENTE. CLIQUE NO BOTÃO ADICIONAR LINHAS")</f>
        <v/>
      </c>
      <c r="H9" s="766"/>
      <c r="I9" s="766"/>
      <c r="J9" s="766"/>
      <c r="K9" s="767" t="s">
        <v>315</v>
      </c>
      <c r="L9" s="362" t="str">
        <f>$L$13</f>
        <v>Repasse (R$)</v>
      </c>
      <c r="M9" s="362" t="s">
        <v>240</v>
      </c>
      <c r="AD9" s="764"/>
      <c r="AE9" s="764"/>
    </row>
    <row r="10" spans="1:31" ht="12.75" customHeight="1" x14ac:dyDescent="0.25">
      <c r="A10" s="768" t="s">
        <v>316</v>
      </c>
      <c r="C10" s="701"/>
      <c r="G10" s="766"/>
      <c r="H10" s="766"/>
      <c r="I10" s="766"/>
      <c r="J10" s="766"/>
      <c r="K10" s="767"/>
      <c r="L10" s="363">
        <f ca="1">Import.Repasse-L24</f>
        <v>7408271.5599999996</v>
      </c>
      <c r="M10" s="364">
        <f ca="1">Import.Contrapartida-M24</f>
        <v>0</v>
      </c>
      <c r="Z10" s="715" t="s">
        <v>218</v>
      </c>
      <c r="AA10" s="715"/>
      <c r="AB10" s="715"/>
      <c r="AD10" s="764" t="s">
        <v>317</v>
      </c>
      <c r="AE10" s="764"/>
    </row>
    <row r="11" spans="1:31" ht="20.100000000000001" customHeight="1" x14ac:dyDescent="0.25">
      <c r="A11" s="768"/>
      <c r="C11" s="701"/>
      <c r="Z11" s="139" t="s">
        <v>318</v>
      </c>
      <c r="AA11" s="139" t="s">
        <v>240</v>
      </c>
      <c r="AB11" s="140" t="s">
        <v>241</v>
      </c>
    </row>
    <row r="12" spans="1:31" hidden="1" x14ac:dyDescent="0.25">
      <c r="A12">
        <f ca="1">IF(NOT(ISBLANK(QCI.DescManual)),OFFSET(A12,-1,0),D12)</f>
        <v>-1</v>
      </c>
      <c r="B12" t="str">
        <f ca="1">IF(NOT(ISBLANK(QCI.DescManual)),IF(QCI.Divisao="Calculado","Manual","SemiAuto"),IF(ISERROR(MATCH($A12,ORÇAMENTO!$E$15:$E$710,0)),"Branco","Automático"))</f>
        <v>Branco</v>
      </c>
      <c r="C12" t="str">
        <f ca="1">IF(O12&gt;0,"F","")</f>
        <v/>
      </c>
      <c r="D12" s="365">
        <f>ROW()-ROW($D$13)</f>
        <v>-1</v>
      </c>
      <c r="E12" s="147"/>
      <c r="F12" s="366"/>
      <c r="G12" s="646" t="str">
        <f ca="1">IF(OR($B12="Manual",$B12="SemiAuto"),QCI.DescManual,IF($B12="Automático",INDEX(ORÇAMENTO!$R$15:$R$710,MATCH($A12,ORÇAMENTO!$E$15:$E$710,0)),""))</f>
        <v/>
      </c>
      <c r="H12" s="147"/>
      <c r="I12" s="645"/>
      <c r="J12" s="367" t="str">
        <f ca="1">IF(AND(ISBLANK(E12),ISBLANK(F12)),"",VLOOKUP($F12,OFFSET(DADOS!$A$2,1,MATCH(QCI!$E12,DADOS!$2:$2,0)-1,100,50),2,FALSE))</f>
        <v/>
      </c>
      <c r="K12" s="644" t="str">
        <f ca="1">IF(OR($B12="Manual",$B12="SemiAuto"),QCI.LoteManual,IF($B12="Automático",IF(TIPOORCAMENTO="Licitado",Import.CTEF,"LOTE 1"),""))</f>
        <v/>
      </c>
      <c r="L12" s="368">
        <f ca="1">ROUND($O12,2)-ROUND($M12,2)-ROUND($N12,2)</f>
        <v>0</v>
      </c>
      <c r="M12" s="369">
        <f ca="1">ROUND($AA12,2)-ROUND($AE12,2)</f>
        <v>0</v>
      </c>
      <c r="N12" s="370">
        <f ca="1">ROUND($AB12,2)</f>
        <v>0</v>
      </c>
      <c r="O12" s="371">
        <f ca="1">IF($B12="Branco",0,IF(OR($B12="Manual",$B12="SemiAuto"),QCI.InvManual,INDEX(ORÇAMENTO!X$15:X$710,MATCH($A12,ORÇAMENTO!$E$15:$E$710,0))))</f>
        <v>0</v>
      </c>
      <c r="P12" s="617"/>
      <c r="R12" s="647"/>
      <c r="T12" s="648"/>
      <c r="U12" s="373"/>
      <c r="V12" s="649" t="s">
        <v>319</v>
      </c>
      <c r="W12" s="374">
        <f ca="1">$O12</f>
        <v>0</v>
      </c>
      <c r="X12" s="375">
        <v>0</v>
      </c>
      <c r="Z12" s="376">
        <f ca="1">$O12-$AA12-$AB12</f>
        <v>0</v>
      </c>
      <c r="AA12">
        <f ca="1">IF($B12="Branco",0,IF($B12="Manual",QCI.CPManual,IF($B12="SemiAuto",ROUND(QCI!$AA$3*QCI.InvManual,2),INDEX(ORÇAMENTO!$AA$15:$AA$710,MATCH($A12,ORÇAMENTO!$E$15:$E$710,0)))))</f>
        <v>0</v>
      </c>
      <c r="AB12">
        <f ca="1">IF($B12="Branco",0,IF($B12="Manual",QCI.OutrosManual,IF($B12="SemiAuto",0,INDEX(ORÇAMENTO!$AB$15:$AB$710,MATCH($A12,ORÇAMENTO!$E$15:$E$710,0)))))</f>
        <v>0</v>
      </c>
      <c r="AD12" s="377" t="b">
        <f ca="1">AND($AA$3&gt;0,$AA$3&lt;1,$O12&gt;0,OR($B12="Automático",$B12="SemiAuto"),OR(QCI!$Z$3=QCI!$Z$7,QCI!$Z$3=QCI!$AA$7,QCI!$Z$3=QCI!$AB$7))</f>
        <v>0</v>
      </c>
      <c r="AE12" s="377">
        <f ca="1">IF(AND($AD12,$O12&gt;0,COUNTIF(OFFSET($AD12,1,0):$AD$24,TRUE)=0),CHOOSE(1+LOG(1+2*(QCI!$Z$3=QCI!$Z$7)+4*(QCI!$Z$3=QCI!$AA$7)+8*(QCI!$Z$3=QCI!$AB$7),2),0,$AA$24-ROUND(Import.CPMinPerc*$O$24,2),$AA$24-Import.CPMinAbsoluta,Import.Repasse-$Z$24),0)</f>
        <v>0</v>
      </c>
    </row>
    <row r="13" spans="1:31" ht="25.5" customHeight="1" x14ac:dyDescent="0.25">
      <c r="A13" s="378">
        <v>0</v>
      </c>
      <c r="B13" s="379" t="s">
        <v>320</v>
      </c>
      <c r="C13" s="135" t="s">
        <v>219</v>
      </c>
      <c r="D13" s="136" t="s">
        <v>197</v>
      </c>
      <c r="E13" s="136" t="s">
        <v>321</v>
      </c>
      <c r="F13" s="136" t="s">
        <v>322</v>
      </c>
      <c r="G13" s="136" t="s">
        <v>323</v>
      </c>
      <c r="H13" s="136" t="s">
        <v>163</v>
      </c>
      <c r="I13" s="136" t="s">
        <v>205</v>
      </c>
      <c r="J13" s="136" t="s">
        <v>324</v>
      </c>
      <c r="K13" s="136" t="s">
        <v>325</v>
      </c>
      <c r="L13" s="380" t="str">
        <f>IF(import.recurso="FGTS","Financiamento (R$)","Repasse (R$)")</f>
        <v>Repasse (R$)</v>
      </c>
      <c r="M13" s="381" t="s">
        <v>326</v>
      </c>
      <c r="N13" s="382" t="s">
        <v>241</v>
      </c>
      <c r="O13" s="136" t="s">
        <v>327</v>
      </c>
      <c r="R13" s="383" t="s">
        <v>323</v>
      </c>
      <c r="T13" s="383" t="s">
        <v>325</v>
      </c>
      <c r="U13" s="201" t="s">
        <v>327</v>
      </c>
      <c r="V13" s="384" t="s">
        <v>328</v>
      </c>
      <c r="W13" s="200" t="s">
        <v>326</v>
      </c>
      <c r="X13" s="202" t="s">
        <v>241</v>
      </c>
    </row>
    <row r="14" spans="1:31" ht="26.4" x14ac:dyDescent="0.25">
      <c r="A14">
        <f t="shared" ref="A14:A23" ca="1" si="0">IF(NOT(ISBLANK(QCI.DescManual)),OFFSET(A14,-1,0),D14)</f>
        <v>1</v>
      </c>
      <c r="B14" t="str">
        <f ca="1">IF(NOT(ISBLANK(QCI.DescManual)),IF(QCI.Divisao="Calculado","Manual","SemiAuto"),IF(ISERROR(MATCH($A14,ORÇAMENTO!$E$15:$E$710,0)),"Branco","Automático"))</f>
        <v>Automático</v>
      </c>
      <c r="C14" t="str">
        <f t="shared" ref="C14:C22" ca="1" si="1">IF(O14&gt;0,"F","")</f>
        <v/>
      </c>
      <c r="D14" s="365">
        <f t="shared" ref="D14:D22" si="2">ROW()-ROW($D$13)</f>
        <v>1</v>
      </c>
      <c r="E14" s="147" t="s">
        <v>9</v>
      </c>
      <c r="F14" s="366" t="s">
        <v>46</v>
      </c>
      <c r="G14" s="646" t="str">
        <f ca="1">IF(OR($B14="Manual",$B14="SemiAuto"),QCI.DescManual,IF($B14="Automático",INDEX(ORÇAMENTO!$R$15:$R$710,MATCH($A14,ORÇAMENTO!$E$15:$E$710,0)),""))</f>
        <v>PLANILHA ORÇAMENTÁRIA - FNDE</v>
      </c>
      <c r="H14" s="147" t="s">
        <v>442</v>
      </c>
      <c r="I14" s="645">
        <v>2935.92</v>
      </c>
      <c r="J14" s="367" t="str">
        <f ca="1">IF(AND(ISBLANK(E14),ISBLANK(F14)),"",VLOOKUP($F14,OFFSET(DADOS!$A$2,1,MATCH(QCI!$E14,DADOS!$2:$2,0)-1,100,50),2,FALSE))</f>
        <v>m²</v>
      </c>
      <c r="K14" s="644" t="str">
        <f t="shared" ref="K14:K23" ca="1" si="3">IF(OR($B14="Manual",$B14="SemiAuto"),QCI.LoteManual,IF($B14="Automático",IF(TIPOORCAMENTO="Licitado",Import.CTEF,"LOTE 1"),""))</f>
        <v>LOTE 1</v>
      </c>
      <c r="L14" s="368">
        <f t="shared" ref="L14:L22" ca="1" si="4">ROUND($O14,2)-ROUND($M14,2)-ROUND($N14,2)</f>
        <v>0</v>
      </c>
      <c r="M14" s="369">
        <f t="shared" ref="M14:M22" ca="1" si="5">ROUND($AA14,2)-ROUND($AE14,2)</f>
        <v>0</v>
      </c>
      <c r="N14" s="370">
        <f t="shared" ref="N14:N22" ca="1" si="6">ROUND($AB14,2)</f>
        <v>0</v>
      </c>
      <c r="O14" s="371">
        <f ca="1">IF($B14="Branco",0,IF(OR($B14="Manual",$B14="SemiAuto"),QCI.InvManual,INDEX(ORÇAMENTO!X$15:X$710,MATCH($A14,ORÇAMENTO!$E$15:$E$710,0))))</f>
        <v>0</v>
      </c>
      <c r="P14" s="617"/>
      <c r="R14" s="647"/>
      <c r="T14" s="648"/>
      <c r="U14" s="373"/>
      <c r="V14" s="649" t="s">
        <v>319</v>
      </c>
      <c r="W14" s="374">
        <v>0</v>
      </c>
      <c r="X14" s="375">
        <v>0</v>
      </c>
      <c r="Z14" s="376">
        <f t="shared" ref="Z14:Z22" ca="1" si="7">$O14-$AA14-$AB14</f>
        <v>0</v>
      </c>
      <c r="AA14">
        <f ca="1">IF($B14="Branco",0,IF($B14="Manual",QCI.CPManual,IF($B14="SemiAuto",ROUND(QCI!$AA$3*QCI.InvManual,2),INDEX(ORÇAMENTO!$AA$15:$AA$710,MATCH($A14,ORÇAMENTO!$E$15:$E$710,0)))))</f>
        <v>0</v>
      </c>
      <c r="AB14">
        <f ca="1">IF($B14="Branco",0,IF($B14="Manual",QCI.OutrosManual,IF($B14="SemiAuto",0,INDEX(ORÇAMENTO!$AB$15:$AB$710,MATCH($A14,ORÇAMENTO!$E$15:$E$710,0)))))</f>
        <v>0</v>
      </c>
      <c r="AD14" s="377" t="b">
        <f ca="1">AND($AA$3&gt;0,$AA$3&lt;1,$O14&gt;0,OR($B14="Automático",$B14="SemiAuto"),OR(QCI!$Z$3=QCI!$Z$7,QCI!$Z$3=QCI!$AA$7,QCI!$Z$3=QCI!$AB$7))</f>
        <v>0</v>
      </c>
      <c r="AE14" s="377">
        <f ca="1">IF(AND($AD14,$O14&gt;0,COUNTIF(OFFSET($AD14,1,0):$AD$24,TRUE)=0),CHOOSE(1+LOG(1+2*(QCI!$Z$3=QCI!$Z$7)+4*(QCI!$Z$3=QCI!$AA$7)+8*(QCI!$Z$3=QCI!$AB$7),2),0,$AA$24-ROUND(Import.CPMinPerc*$O$24,2),$AA$24-Import.CPMinAbsoluta,Import.Repasse-$Z$24),0)</f>
        <v>0</v>
      </c>
    </row>
    <row r="15" spans="1:31" ht="26.4" x14ac:dyDescent="0.25">
      <c r="A15">
        <f t="shared" ca="1" si="0"/>
        <v>2</v>
      </c>
      <c r="B15" t="str">
        <f ca="1">IF(NOT(ISBLANK(QCI.DescManual)),IF(QCI.Divisao="Calculado","Manual","SemiAuto"),IF(ISERROR(MATCH($A15,ORÇAMENTO!$E$15:$E$710,0)),"Branco","Automático"))</f>
        <v>Automático</v>
      </c>
      <c r="C15" t="str">
        <f t="shared" ca="1" si="1"/>
        <v/>
      </c>
      <c r="D15" s="365">
        <f t="shared" si="2"/>
        <v>2</v>
      </c>
      <c r="E15" s="147" t="s">
        <v>9</v>
      </c>
      <c r="F15" s="366" t="s">
        <v>46</v>
      </c>
      <c r="G15" s="646" t="str">
        <f ca="1">IF(OR($B15="Manual",$B15="SemiAuto"),QCI.DescManual,IF($B15="Automático",INDEX(ORÇAMENTO!$R$15:$R$710,MATCH($A15,ORÇAMENTO!$E$15:$E$710,0)),""))</f>
        <v>PLANILHA ORÇAMENTÁRIA - MUNICIPAL</v>
      </c>
      <c r="H15" s="147" t="s">
        <v>442</v>
      </c>
      <c r="I15" s="645">
        <v>2935.92</v>
      </c>
      <c r="J15" s="367" t="str">
        <f ca="1">IF(AND(ISBLANK(E15),ISBLANK(F15)),"",VLOOKUP($F15,OFFSET(DADOS!$A$2,1,MATCH(QCI!$E15,DADOS!$2:$2,0)-1,100,50),2,FALSE))</f>
        <v>m²</v>
      </c>
      <c r="K15" s="644" t="str">
        <f t="shared" ca="1" si="3"/>
        <v>LOTE 1</v>
      </c>
      <c r="L15" s="368">
        <f t="shared" ca="1" si="4"/>
        <v>0</v>
      </c>
      <c r="M15" s="369">
        <f t="shared" ca="1" si="5"/>
        <v>0</v>
      </c>
      <c r="N15" s="370">
        <f t="shared" ca="1" si="6"/>
        <v>0</v>
      </c>
      <c r="O15" s="371">
        <f ca="1">IF($B15="Branco",0,IF(OR($B15="Manual",$B15="SemiAuto"),QCI.InvManual,INDEX(ORÇAMENTO!X$15:X$710,MATCH($A15,ORÇAMENTO!$E$15:$E$710,0))))</f>
        <v>0</v>
      </c>
      <c r="P15" s="617"/>
      <c r="R15" s="647"/>
      <c r="T15" s="648"/>
      <c r="U15" s="373"/>
      <c r="V15" s="649" t="s">
        <v>319</v>
      </c>
      <c r="W15" s="374">
        <v>0</v>
      </c>
      <c r="X15" s="375">
        <v>0</v>
      </c>
      <c r="Z15" s="376">
        <f t="shared" ca="1" si="7"/>
        <v>0</v>
      </c>
      <c r="AA15">
        <f ca="1">IF($B15="Branco",0,IF($B15="Manual",QCI.CPManual,IF($B15="SemiAuto",ROUND(QCI!$AA$3*QCI.InvManual,2),INDEX(ORÇAMENTO!$AA$15:$AA$710,MATCH($A15,ORÇAMENTO!$E$15:$E$710,0)))))</f>
        <v>0</v>
      </c>
      <c r="AB15">
        <f ca="1">IF($B15="Branco",0,IF($B15="Manual",QCI.OutrosManual,IF($B15="SemiAuto",0,INDEX(ORÇAMENTO!$AB$15:$AB$710,MATCH($A15,ORÇAMENTO!$E$15:$E$710,0)))))</f>
        <v>0</v>
      </c>
      <c r="AD15" s="377" t="b">
        <f ca="1">AND($AA$3&gt;0,$AA$3&lt;1,$O15&gt;0,OR($B15="Automático",$B15="SemiAuto"),OR(QCI!$Z$3=QCI!$Z$7,QCI!$Z$3=QCI!$AA$7,QCI!$Z$3=QCI!$AB$7))</f>
        <v>0</v>
      </c>
      <c r="AE15" s="377">
        <f ca="1">IF(AND($AD15,$O15&gt;0,COUNTIF(OFFSET($AD15,1,0):$AD$24,TRUE)=0),CHOOSE(1+LOG(1+2*(QCI!$Z$3=QCI!$Z$7)+4*(QCI!$Z$3=QCI!$AA$7)+8*(QCI!$Z$3=QCI!$AB$7),2),0,$AA$24-ROUND(Import.CPMinPerc*$O$24,2),$AA$24-Import.CPMinAbsoluta,Import.Repasse-$Z$24),0)</f>
        <v>0</v>
      </c>
    </row>
    <row r="16" spans="1:31" x14ac:dyDescent="0.25">
      <c r="A16">
        <f t="shared" ca="1" si="0"/>
        <v>3</v>
      </c>
      <c r="B16" t="str">
        <f ca="1">IF(NOT(ISBLANK(QCI.DescManual)),IF(QCI.Divisao="Calculado","Manual","SemiAuto"),IF(ISERROR(MATCH($A16,ORÇAMENTO!$E$15:$E$710,0)),"Branco","Automático"))</f>
        <v>Branco</v>
      </c>
      <c r="C16" t="str">
        <f t="shared" ca="1" si="1"/>
        <v/>
      </c>
      <c r="D16" s="365">
        <f t="shared" si="2"/>
        <v>3</v>
      </c>
      <c r="E16" s="147"/>
      <c r="F16" s="366"/>
      <c r="G16" s="646" t="str">
        <f ca="1">IF(OR($B16="Manual",$B16="SemiAuto"),QCI.DescManual,IF($B16="Automático",INDEX(ORÇAMENTO!$R$15:$R$710,MATCH($A16,ORÇAMENTO!$E$15:$E$710,0)),""))</f>
        <v/>
      </c>
      <c r="H16" s="147"/>
      <c r="I16" s="645"/>
      <c r="J16" s="367" t="str">
        <f ca="1">IF(AND(ISBLANK(E16),ISBLANK(F16)),"",VLOOKUP($F16,OFFSET(DADOS!$A$2,1,MATCH(QCI!$E16,DADOS!$2:$2,0)-1,100,50),2,FALSE))</f>
        <v/>
      </c>
      <c r="K16" s="644" t="str">
        <f t="shared" ca="1" si="3"/>
        <v/>
      </c>
      <c r="L16" s="368">
        <f t="shared" ca="1" si="4"/>
        <v>0</v>
      </c>
      <c r="M16" s="369">
        <f t="shared" ca="1" si="5"/>
        <v>0</v>
      </c>
      <c r="N16" s="370">
        <f t="shared" ca="1" si="6"/>
        <v>0</v>
      </c>
      <c r="O16" s="371">
        <f ca="1">IF($B16="Branco",0,IF(OR($B16="Manual",$B16="SemiAuto"),QCI.InvManual,INDEX(ORÇAMENTO!X$15:X$710,MATCH($A16,ORÇAMENTO!$E$15:$E$710,0))))</f>
        <v>0</v>
      </c>
      <c r="P16" s="617"/>
      <c r="R16" s="647"/>
      <c r="T16" s="648"/>
      <c r="U16" s="373"/>
      <c r="V16" s="649" t="s">
        <v>319</v>
      </c>
      <c r="W16" s="374">
        <v>0</v>
      </c>
      <c r="X16" s="375">
        <v>0</v>
      </c>
      <c r="Z16" s="376">
        <f t="shared" ca="1" si="7"/>
        <v>0</v>
      </c>
      <c r="AA16">
        <f ca="1">IF($B16="Branco",0,IF($B16="Manual",QCI.CPManual,IF($B16="SemiAuto",ROUND(QCI!$AA$3*QCI.InvManual,2),INDEX(ORÇAMENTO!$AA$15:$AA$710,MATCH($A16,ORÇAMENTO!$E$15:$E$710,0)))))</f>
        <v>0</v>
      </c>
      <c r="AB16">
        <f ca="1">IF($B16="Branco",0,IF($B16="Manual",QCI.OutrosManual,IF($B16="SemiAuto",0,INDEX(ORÇAMENTO!$AB$15:$AB$710,MATCH($A16,ORÇAMENTO!$E$15:$E$710,0)))))</f>
        <v>0</v>
      </c>
      <c r="AD16" s="377" t="b">
        <f ca="1">AND($AA$3&gt;0,$AA$3&lt;1,$O16&gt;0,OR($B16="Automático",$B16="SemiAuto"),OR(QCI!$Z$3=QCI!$Z$7,QCI!$Z$3=QCI!$AA$7,QCI!$Z$3=QCI!$AB$7))</f>
        <v>0</v>
      </c>
      <c r="AE16" s="377">
        <f ca="1">IF(AND($AD16,$O16&gt;0,COUNTIF(OFFSET($AD16,1,0):$AD$24,TRUE)=0),CHOOSE(1+LOG(1+2*(QCI!$Z$3=QCI!$Z$7)+4*(QCI!$Z$3=QCI!$AA$7)+8*(QCI!$Z$3=QCI!$AB$7),2),0,$AA$24-ROUND(Import.CPMinPerc*$O$24,2),$AA$24-Import.CPMinAbsoluta,Import.Repasse-$Z$24),0)</f>
        <v>0</v>
      </c>
    </row>
    <row r="17" spans="1:31" x14ac:dyDescent="0.25">
      <c r="A17">
        <f t="shared" ca="1" si="0"/>
        <v>4</v>
      </c>
      <c r="B17" t="str">
        <f ca="1">IF(NOT(ISBLANK(QCI.DescManual)),IF(QCI.Divisao="Calculado","Manual","SemiAuto"),IF(ISERROR(MATCH($A17,ORÇAMENTO!$E$15:$E$710,0)),"Branco","Automático"))</f>
        <v>Branco</v>
      </c>
      <c r="C17" t="str">
        <f t="shared" ca="1" si="1"/>
        <v/>
      </c>
      <c r="D17" s="365">
        <f t="shared" si="2"/>
        <v>4</v>
      </c>
      <c r="E17" s="147"/>
      <c r="F17" s="366"/>
      <c r="G17" s="646" t="str">
        <f ca="1">IF(OR($B17="Manual",$B17="SemiAuto"),QCI.DescManual,IF($B17="Automático",INDEX(ORÇAMENTO!$R$15:$R$710,MATCH($A17,ORÇAMENTO!$E$15:$E$710,0)),""))</f>
        <v/>
      </c>
      <c r="H17" s="147"/>
      <c r="I17" s="645"/>
      <c r="J17" s="367" t="str">
        <f ca="1">IF(AND(ISBLANK(E17),ISBLANK(F17)),"",VLOOKUP($F17,OFFSET(DADOS!$A$2,1,MATCH(QCI!$E17,DADOS!$2:$2,0)-1,100,50),2,FALSE))</f>
        <v/>
      </c>
      <c r="K17" s="644" t="str">
        <f t="shared" ca="1" si="3"/>
        <v/>
      </c>
      <c r="L17" s="368">
        <f t="shared" ca="1" si="4"/>
        <v>0</v>
      </c>
      <c r="M17" s="369">
        <f t="shared" ca="1" si="5"/>
        <v>0</v>
      </c>
      <c r="N17" s="370">
        <f t="shared" ca="1" si="6"/>
        <v>0</v>
      </c>
      <c r="O17" s="371">
        <f ca="1">IF($B17="Branco",0,IF(OR($B17="Manual",$B17="SemiAuto"),QCI.InvManual,INDEX(ORÇAMENTO!X$15:X$710,MATCH($A17,ORÇAMENTO!$E$15:$E$710,0))))</f>
        <v>0</v>
      </c>
      <c r="P17" s="617"/>
      <c r="R17" s="647"/>
      <c r="T17" s="648"/>
      <c r="U17" s="373"/>
      <c r="V17" s="649" t="s">
        <v>319</v>
      </c>
      <c r="W17" s="374">
        <v>0</v>
      </c>
      <c r="X17" s="375">
        <v>0</v>
      </c>
      <c r="Z17" s="376">
        <f t="shared" ca="1" si="7"/>
        <v>0</v>
      </c>
      <c r="AA17">
        <f ca="1">IF($B17="Branco",0,IF($B17="Manual",QCI.CPManual,IF($B17="SemiAuto",ROUND(QCI!$AA$3*QCI.InvManual,2),INDEX(ORÇAMENTO!$AA$15:$AA$710,MATCH($A17,ORÇAMENTO!$E$15:$E$710,0)))))</f>
        <v>0</v>
      </c>
      <c r="AB17">
        <f ca="1">IF($B17="Branco",0,IF($B17="Manual",QCI.OutrosManual,IF($B17="SemiAuto",0,INDEX(ORÇAMENTO!$AB$15:$AB$710,MATCH($A17,ORÇAMENTO!$E$15:$E$710,0)))))</f>
        <v>0</v>
      </c>
      <c r="AD17" s="377" t="b">
        <f ca="1">AND($AA$3&gt;0,$AA$3&lt;1,$O17&gt;0,OR($B17="Automático",$B17="SemiAuto"),OR(QCI!$Z$3=QCI!$Z$7,QCI!$Z$3=QCI!$AA$7,QCI!$Z$3=QCI!$AB$7))</f>
        <v>0</v>
      </c>
      <c r="AE17" s="377">
        <f ca="1">IF(AND($AD17,$O17&gt;0,COUNTIF(OFFSET($AD17,1,0):$AD$24,TRUE)=0),CHOOSE(1+LOG(1+2*(QCI!$Z$3=QCI!$Z$7)+4*(QCI!$Z$3=QCI!$AA$7)+8*(QCI!$Z$3=QCI!$AB$7),2),0,$AA$24-ROUND(Import.CPMinPerc*$O$24,2),$AA$24-Import.CPMinAbsoluta,Import.Repasse-$Z$24),0)</f>
        <v>0</v>
      </c>
    </row>
    <row r="18" spans="1:31" x14ac:dyDescent="0.25">
      <c r="A18">
        <f t="shared" ca="1" si="0"/>
        <v>5</v>
      </c>
      <c r="B18" t="str">
        <f ca="1">IF(NOT(ISBLANK(QCI.DescManual)),IF(QCI.Divisao="Calculado","Manual","SemiAuto"),IF(ISERROR(MATCH($A18,ORÇAMENTO!$E$15:$E$710,0)),"Branco","Automático"))</f>
        <v>Branco</v>
      </c>
      <c r="C18" t="str">
        <f t="shared" ca="1" si="1"/>
        <v/>
      </c>
      <c r="D18" s="365">
        <f t="shared" si="2"/>
        <v>5</v>
      </c>
      <c r="E18" s="147"/>
      <c r="F18" s="366"/>
      <c r="G18" s="646" t="str">
        <f ca="1">IF(OR($B18="Manual",$B18="SemiAuto"),QCI.DescManual,IF($B18="Automático",INDEX(ORÇAMENTO!$R$15:$R$710,MATCH($A18,ORÇAMENTO!$E$15:$E$710,0)),""))</f>
        <v/>
      </c>
      <c r="H18" s="147"/>
      <c r="I18" s="645"/>
      <c r="J18" s="367" t="str">
        <f ca="1">IF(AND(ISBLANK(E18),ISBLANK(F18)),"",VLOOKUP($F18,OFFSET(DADOS!$A$2,1,MATCH(QCI!$E18,DADOS!$2:$2,0)-1,100,50),2,FALSE))</f>
        <v/>
      </c>
      <c r="K18" s="644" t="str">
        <f t="shared" ca="1" si="3"/>
        <v/>
      </c>
      <c r="L18" s="368">
        <f t="shared" ca="1" si="4"/>
        <v>0</v>
      </c>
      <c r="M18" s="369">
        <f t="shared" ca="1" si="5"/>
        <v>0</v>
      </c>
      <c r="N18" s="370">
        <f t="shared" ca="1" si="6"/>
        <v>0</v>
      </c>
      <c r="O18" s="371">
        <f ca="1">IF($B18="Branco",0,IF(OR($B18="Manual",$B18="SemiAuto"),QCI.InvManual,INDEX(ORÇAMENTO!X$15:X$710,MATCH($A18,ORÇAMENTO!$E$15:$E$710,0))))</f>
        <v>0</v>
      </c>
      <c r="P18" s="617"/>
      <c r="R18" s="647"/>
      <c r="T18" s="648"/>
      <c r="U18" s="373"/>
      <c r="V18" s="649" t="s">
        <v>319</v>
      </c>
      <c r="W18" s="374">
        <v>0</v>
      </c>
      <c r="X18" s="375">
        <v>0</v>
      </c>
      <c r="Z18" s="376">
        <f t="shared" ca="1" si="7"/>
        <v>0</v>
      </c>
      <c r="AA18">
        <f ca="1">IF($B18="Branco",0,IF($B18="Manual",QCI.CPManual,IF($B18="SemiAuto",ROUND(QCI!$AA$3*QCI.InvManual,2),INDEX(ORÇAMENTO!$AA$15:$AA$710,MATCH($A18,ORÇAMENTO!$E$15:$E$710,0)))))</f>
        <v>0</v>
      </c>
      <c r="AB18">
        <f ca="1">IF($B18="Branco",0,IF($B18="Manual",QCI.OutrosManual,IF($B18="SemiAuto",0,INDEX(ORÇAMENTO!$AB$15:$AB$710,MATCH($A18,ORÇAMENTO!$E$15:$E$710,0)))))</f>
        <v>0</v>
      </c>
      <c r="AD18" s="377" t="b">
        <f ca="1">AND($AA$3&gt;0,$AA$3&lt;1,$O18&gt;0,OR($B18="Automático",$B18="SemiAuto"),OR(QCI!$Z$3=QCI!$Z$7,QCI!$Z$3=QCI!$AA$7,QCI!$Z$3=QCI!$AB$7))</f>
        <v>0</v>
      </c>
      <c r="AE18" s="377">
        <f ca="1">IF(AND($AD18,$O18&gt;0,COUNTIF(OFFSET($AD18,1,0):$AD$24,TRUE)=0),CHOOSE(1+LOG(1+2*(QCI!$Z$3=QCI!$Z$7)+4*(QCI!$Z$3=QCI!$AA$7)+8*(QCI!$Z$3=QCI!$AB$7),2),0,$AA$24-ROUND(Import.CPMinPerc*$O$24,2),$AA$24-Import.CPMinAbsoluta,Import.Repasse-$Z$24),0)</f>
        <v>0</v>
      </c>
    </row>
    <row r="19" spans="1:31" x14ac:dyDescent="0.25">
      <c r="A19">
        <f t="shared" ca="1" si="0"/>
        <v>6</v>
      </c>
      <c r="B19" t="str">
        <f ca="1">IF(NOT(ISBLANK(QCI.DescManual)),IF(QCI.Divisao="Calculado","Manual","SemiAuto"),IF(ISERROR(MATCH($A19,ORÇAMENTO!$E$15:$E$710,0)),"Branco","Automático"))</f>
        <v>Branco</v>
      </c>
      <c r="C19" t="str">
        <f t="shared" ca="1" si="1"/>
        <v/>
      </c>
      <c r="D19" s="365">
        <f t="shared" si="2"/>
        <v>6</v>
      </c>
      <c r="E19" s="147"/>
      <c r="F19" s="366"/>
      <c r="G19" s="646" t="str">
        <f ca="1">IF(OR($B19="Manual",$B19="SemiAuto"),QCI.DescManual,IF($B19="Automático",INDEX(ORÇAMENTO!$R$15:$R$710,MATCH($A19,ORÇAMENTO!$E$15:$E$710,0)),""))</f>
        <v/>
      </c>
      <c r="H19" s="147"/>
      <c r="I19" s="645"/>
      <c r="J19" s="367" t="str">
        <f ca="1">IF(AND(ISBLANK(E19),ISBLANK(F19)),"",VLOOKUP($F19,OFFSET(DADOS!$A$2,1,MATCH(QCI!$E19,DADOS!$2:$2,0)-1,100,50),2,FALSE))</f>
        <v/>
      </c>
      <c r="K19" s="644" t="str">
        <f t="shared" ca="1" si="3"/>
        <v/>
      </c>
      <c r="L19" s="368">
        <f t="shared" ca="1" si="4"/>
        <v>0</v>
      </c>
      <c r="M19" s="369">
        <f t="shared" ca="1" si="5"/>
        <v>0</v>
      </c>
      <c r="N19" s="370">
        <f t="shared" ca="1" si="6"/>
        <v>0</v>
      </c>
      <c r="O19" s="371">
        <f ca="1">IF($B19="Branco",0,IF(OR($B19="Manual",$B19="SemiAuto"),QCI.InvManual,INDEX(ORÇAMENTO!X$15:X$710,MATCH($A19,ORÇAMENTO!$E$15:$E$710,0))))</f>
        <v>0</v>
      </c>
      <c r="P19" s="617"/>
      <c r="R19" s="647"/>
      <c r="T19" s="648"/>
      <c r="U19" s="373"/>
      <c r="V19" s="649" t="s">
        <v>319</v>
      </c>
      <c r="W19" s="374">
        <v>0</v>
      </c>
      <c r="X19" s="375">
        <v>0</v>
      </c>
      <c r="Z19" s="376">
        <f t="shared" ca="1" si="7"/>
        <v>0</v>
      </c>
      <c r="AA19">
        <f ca="1">IF($B19="Branco",0,IF($B19="Manual",QCI.CPManual,IF($B19="SemiAuto",ROUND(QCI!$AA$3*QCI.InvManual,2),INDEX(ORÇAMENTO!$AA$15:$AA$710,MATCH($A19,ORÇAMENTO!$E$15:$E$710,0)))))</f>
        <v>0</v>
      </c>
      <c r="AB19">
        <f ca="1">IF($B19="Branco",0,IF($B19="Manual",QCI.OutrosManual,IF($B19="SemiAuto",0,INDEX(ORÇAMENTO!$AB$15:$AB$710,MATCH($A19,ORÇAMENTO!$E$15:$E$710,0)))))</f>
        <v>0</v>
      </c>
      <c r="AD19" s="377" t="b">
        <f ca="1">AND($AA$3&gt;0,$AA$3&lt;1,$O19&gt;0,OR($B19="Automático",$B19="SemiAuto"),OR(QCI!$Z$3=QCI!$Z$7,QCI!$Z$3=QCI!$AA$7,QCI!$Z$3=QCI!$AB$7))</f>
        <v>0</v>
      </c>
      <c r="AE19" s="377">
        <f ca="1">IF(AND($AD19,$O19&gt;0,COUNTIF(OFFSET($AD19,1,0):$AD$24,TRUE)=0),CHOOSE(1+LOG(1+2*(QCI!$Z$3=QCI!$Z$7)+4*(QCI!$Z$3=QCI!$AA$7)+8*(QCI!$Z$3=QCI!$AB$7),2),0,$AA$24-ROUND(Import.CPMinPerc*$O$24,2),$AA$24-Import.CPMinAbsoluta,Import.Repasse-$Z$24),0)</f>
        <v>0</v>
      </c>
    </row>
    <row r="20" spans="1:31" x14ac:dyDescent="0.25">
      <c r="A20">
        <f t="shared" ca="1" si="0"/>
        <v>7</v>
      </c>
      <c r="B20" t="str">
        <f ca="1">IF(NOT(ISBLANK(QCI.DescManual)),IF(QCI.Divisao="Calculado","Manual","SemiAuto"),IF(ISERROR(MATCH($A20,ORÇAMENTO!$E$15:$E$710,0)),"Branco","Automático"))</f>
        <v>Branco</v>
      </c>
      <c r="C20" t="str">
        <f t="shared" ca="1" si="1"/>
        <v/>
      </c>
      <c r="D20" s="365">
        <f t="shared" si="2"/>
        <v>7</v>
      </c>
      <c r="E20" s="147"/>
      <c r="F20" s="366"/>
      <c r="G20" s="646" t="str">
        <f ca="1">IF(OR($B20="Manual",$B20="SemiAuto"),QCI.DescManual,IF($B20="Automático",INDEX(ORÇAMENTO!$R$15:$R$710,MATCH($A20,ORÇAMENTO!$E$15:$E$710,0)),""))</f>
        <v/>
      </c>
      <c r="H20" s="147"/>
      <c r="I20" s="645"/>
      <c r="J20" s="367" t="str">
        <f ca="1">IF(AND(ISBLANK(E20),ISBLANK(F20)),"",VLOOKUP($F20,OFFSET(DADOS!$A$2,1,MATCH(QCI!$E20,DADOS!$2:$2,0)-1,100,50),2,FALSE))</f>
        <v/>
      </c>
      <c r="K20" s="644" t="str">
        <f t="shared" ca="1" si="3"/>
        <v/>
      </c>
      <c r="L20" s="368">
        <f t="shared" ca="1" si="4"/>
        <v>0</v>
      </c>
      <c r="M20" s="369">
        <f t="shared" ca="1" si="5"/>
        <v>0</v>
      </c>
      <c r="N20" s="370">
        <f t="shared" ca="1" si="6"/>
        <v>0</v>
      </c>
      <c r="O20" s="371">
        <f ca="1">IF($B20="Branco",0,IF(OR($B20="Manual",$B20="SemiAuto"),QCI.InvManual,INDEX(ORÇAMENTO!X$15:X$710,MATCH($A20,ORÇAMENTO!$E$15:$E$710,0))))</f>
        <v>0</v>
      </c>
      <c r="P20" s="617"/>
      <c r="R20" s="647"/>
      <c r="T20" s="648"/>
      <c r="U20" s="373"/>
      <c r="V20" s="649" t="s">
        <v>319</v>
      </c>
      <c r="W20" s="374">
        <v>0</v>
      </c>
      <c r="X20" s="375">
        <v>0</v>
      </c>
      <c r="Z20" s="376">
        <f t="shared" ca="1" si="7"/>
        <v>0</v>
      </c>
      <c r="AA20">
        <f ca="1">IF($B20="Branco",0,IF($B20="Manual",QCI.CPManual,IF($B20="SemiAuto",ROUND(QCI!$AA$3*QCI.InvManual,2),INDEX(ORÇAMENTO!$AA$15:$AA$710,MATCH($A20,ORÇAMENTO!$E$15:$E$710,0)))))</f>
        <v>0</v>
      </c>
      <c r="AB20">
        <f ca="1">IF($B20="Branco",0,IF($B20="Manual",QCI.OutrosManual,IF($B20="SemiAuto",0,INDEX(ORÇAMENTO!$AB$15:$AB$710,MATCH($A20,ORÇAMENTO!$E$15:$E$710,0)))))</f>
        <v>0</v>
      </c>
      <c r="AD20" s="377" t="b">
        <f ca="1">AND($AA$3&gt;0,$AA$3&lt;1,$O20&gt;0,OR($B20="Automático",$B20="SemiAuto"),OR(QCI!$Z$3=QCI!$Z$7,QCI!$Z$3=QCI!$AA$7,QCI!$Z$3=QCI!$AB$7))</f>
        <v>0</v>
      </c>
      <c r="AE20" s="377">
        <f ca="1">IF(AND($AD20,$O20&gt;0,COUNTIF(OFFSET($AD20,1,0):$AD$24,TRUE)=0),CHOOSE(1+LOG(1+2*(QCI!$Z$3=QCI!$Z$7)+4*(QCI!$Z$3=QCI!$AA$7)+8*(QCI!$Z$3=QCI!$AB$7),2),0,$AA$24-ROUND(Import.CPMinPerc*$O$24,2),$AA$24-Import.CPMinAbsoluta,Import.Repasse-$Z$24),0)</f>
        <v>0</v>
      </c>
    </row>
    <row r="21" spans="1:31" x14ac:dyDescent="0.25">
      <c r="A21">
        <f t="shared" ca="1" si="0"/>
        <v>8</v>
      </c>
      <c r="B21" t="str">
        <f ca="1">IF(NOT(ISBLANK(QCI.DescManual)),IF(QCI.Divisao="Calculado","Manual","SemiAuto"),IF(ISERROR(MATCH($A21,ORÇAMENTO!$E$15:$E$710,0)),"Branco","Automático"))</f>
        <v>Branco</v>
      </c>
      <c r="C21" t="str">
        <f t="shared" ca="1" si="1"/>
        <v/>
      </c>
      <c r="D21" s="365">
        <f t="shared" si="2"/>
        <v>8</v>
      </c>
      <c r="E21" s="147"/>
      <c r="F21" s="366"/>
      <c r="G21" s="646" t="str">
        <f ca="1">IF(OR($B21="Manual",$B21="SemiAuto"),QCI.DescManual,IF($B21="Automático",INDEX(ORÇAMENTO!$R$15:$R$710,MATCH($A21,ORÇAMENTO!$E$15:$E$710,0)),""))</f>
        <v/>
      </c>
      <c r="H21" s="147"/>
      <c r="I21" s="645"/>
      <c r="J21" s="367" t="str">
        <f ca="1">IF(AND(ISBLANK(E21),ISBLANK(F21)),"",VLOOKUP($F21,OFFSET(DADOS!$A$2,1,MATCH(QCI!$E21,DADOS!$2:$2,0)-1,100,50),2,FALSE))</f>
        <v/>
      </c>
      <c r="K21" s="644" t="str">
        <f t="shared" ca="1" si="3"/>
        <v/>
      </c>
      <c r="L21" s="368">
        <f t="shared" ca="1" si="4"/>
        <v>0</v>
      </c>
      <c r="M21" s="369">
        <f t="shared" ca="1" si="5"/>
        <v>0</v>
      </c>
      <c r="N21" s="370">
        <f t="shared" ca="1" si="6"/>
        <v>0</v>
      </c>
      <c r="O21" s="371">
        <f ca="1">IF($B21="Branco",0,IF(OR($B21="Manual",$B21="SemiAuto"),QCI.InvManual,INDEX(ORÇAMENTO!X$15:X$710,MATCH($A21,ORÇAMENTO!$E$15:$E$710,0))))</f>
        <v>0</v>
      </c>
      <c r="P21" s="617"/>
      <c r="R21" s="647"/>
      <c r="T21" s="648"/>
      <c r="U21" s="373"/>
      <c r="V21" s="649" t="s">
        <v>319</v>
      </c>
      <c r="W21" s="374">
        <v>0</v>
      </c>
      <c r="X21" s="375">
        <v>0</v>
      </c>
      <c r="Z21" s="376">
        <f t="shared" ca="1" si="7"/>
        <v>0</v>
      </c>
      <c r="AA21">
        <f ca="1">IF($B21="Branco",0,IF($B21="Manual",QCI.CPManual,IF($B21="SemiAuto",ROUND(QCI!$AA$3*QCI.InvManual,2),INDEX(ORÇAMENTO!$AA$15:$AA$710,MATCH($A21,ORÇAMENTO!$E$15:$E$710,0)))))</f>
        <v>0</v>
      </c>
      <c r="AB21">
        <f ca="1">IF($B21="Branco",0,IF($B21="Manual",QCI.OutrosManual,IF($B21="SemiAuto",0,INDEX(ORÇAMENTO!$AB$15:$AB$710,MATCH($A21,ORÇAMENTO!$E$15:$E$710,0)))))</f>
        <v>0</v>
      </c>
      <c r="AD21" s="377" t="b">
        <f ca="1">AND($AA$3&gt;0,$AA$3&lt;1,$O21&gt;0,OR($B21="Automático",$B21="SemiAuto"),OR(QCI!$Z$3=QCI!$Z$7,QCI!$Z$3=QCI!$AA$7,QCI!$Z$3=QCI!$AB$7))</f>
        <v>0</v>
      </c>
      <c r="AE21" s="377">
        <f ca="1">IF(AND($AD21,$O21&gt;0,COUNTIF(OFFSET($AD21,1,0):$AD$24,TRUE)=0),CHOOSE(1+LOG(1+2*(QCI!$Z$3=QCI!$Z$7)+4*(QCI!$Z$3=QCI!$AA$7)+8*(QCI!$Z$3=QCI!$AB$7),2),0,$AA$24-ROUND(Import.CPMinPerc*$O$24,2),$AA$24-Import.CPMinAbsoluta,Import.Repasse-$Z$24),0)</f>
        <v>0</v>
      </c>
    </row>
    <row r="22" spans="1:31" x14ac:dyDescent="0.25">
      <c r="A22">
        <f t="shared" ca="1" si="0"/>
        <v>9</v>
      </c>
      <c r="B22" t="str">
        <f ca="1">IF(NOT(ISBLANK(QCI.DescManual)),IF(QCI.Divisao="Calculado","Manual","SemiAuto"),IF(ISERROR(MATCH($A22,ORÇAMENTO!$E$15:$E$710,0)),"Branco","Automático"))</f>
        <v>Branco</v>
      </c>
      <c r="C22" t="str">
        <f t="shared" ca="1" si="1"/>
        <v/>
      </c>
      <c r="D22" s="365">
        <f t="shared" si="2"/>
        <v>9</v>
      </c>
      <c r="E22" s="147"/>
      <c r="F22" s="366"/>
      <c r="G22" s="646" t="str">
        <f ca="1">IF(OR($B22="Manual",$B22="SemiAuto"),QCI.DescManual,IF($B22="Automático",INDEX(ORÇAMENTO!$R$15:$R$710,MATCH($A22,ORÇAMENTO!$E$15:$E$710,0)),""))</f>
        <v/>
      </c>
      <c r="H22" s="147"/>
      <c r="I22" s="645"/>
      <c r="J22" s="367" t="str">
        <f ca="1">IF(AND(ISBLANK(E22),ISBLANK(F22)),"",VLOOKUP($F22,OFFSET(DADOS!$A$2,1,MATCH(QCI!$E22,DADOS!$2:$2,0)-1,100,50),2,FALSE))</f>
        <v/>
      </c>
      <c r="K22" s="644" t="str">
        <f t="shared" ca="1" si="3"/>
        <v/>
      </c>
      <c r="L22" s="368">
        <f t="shared" ca="1" si="4"/>
        <v>0</v>
      </c>
      <c r="M22" s="369">
        <f t="shared" ca="1" si="5"/>
        <v>0</v>
      </c>
      <c r="N22" s="370">
        <f t="shared" ca="1" si="6"/>
        <v>0</v>
      </c>
      <c r="O22" s="371">
        <f ca="1">IF($B22="Branco",0,IF(OR($B22="Manual",$B22="SemiAuto"),QCI.InvManual,INDEX(ORÇAMENTO!X$15:X$710,MATCH($A22,ORÇAMENTO!$E$15:$E$710,0))))</f>
        <v>0</v>
      </c>
      <c r="P22" s="617"/>
      <c r="R22" s="647"/>
      <c r="T22" s="648"/>
      <c r="U22" s="373"/>
      <c r="V22" s="649" t="s">
        <v>319</v>
      </c>
      <c r="W22" s="374">
        <v>0</v>
      </c>
      <c r="X22" s="375">
        <v>0</v>
      </c>
      <c r="Z22" s="376">
        <f t="shared" ca="1" si="7"/>
        <v>0</v>
      </c>
      <c r="AA22">
        <f ca="1">IF($B22="Branco",0,IF($B22="Manual",QCI.CPManual,IF($B22="SemiAuto",ROUND(QCI!$AA$3*QCI.InvManual,2),INDEX(ORÇAMENTO!$AA$15:$AA$710,MATCH($A22,ORÇAMENTO!$E$15:$E$710,0)))))</f>
        <v>0</v>
      </c>
      <c r="AB22">
        <f ca="1">IF($B22="Branco",0,IF($B22="Manual",QCI.OutrosManual,IF($B22="SemiAuto",0,INDEX(ORÇAMENTO!$AB$15:$AB$710,MATCH($A22,ORÇAMENTO!$E$15:$E$710,0)))))</f>
        <v>0</v>
      </c>
      <c r="AD22" s="377" t="b">
        <f ca="1">AND($AA$3&gt;0,$AA$3&lt;1,$O22&gt;0,OR($B22="Automático",$B22="SemiAuto"),OR(QCI!$Z$3=QCI!$Z$7,QCI!$Z$3=QCI!$AA$7,QCI!$Z$3=QCI!$AB$7))</f>
        <v>0</v>
      </c>
      <c r="AE22" s="377">
        <f ca="1">IF(AND($AD22,$O22&gt;0,COUNTIF(OFFSET($AD22,1,0):$AD$24,TRUE)=0),CHOOSE(1+LOG(1+2*(QCI!$Z$3=QCI!$Z$7)+4*(QCI!$Z$3=QCI!$AA$7)+8*(QCI!$Z$3=QCI!$AB$7),2),0,$AA$24-ROUND(Import.CPMinPerc*$O$24,2),$AA$24-Import.CPMinAbsoluta,Import.Repasse-$Z$24),0)</f>
        <v>0</v>
      </c>
    </row>
    <row r="23" spans="1:31" x14ac:dyDescent="0.25">
      <c r="A23">
        <f t="shared" ca="1" si="0"/>
        <v>10</v>
      </c>
      <c r="B23" t="str">
        <f ca="1">IF(NOT(ISBLANK(QCI.DescManual)),IF(QCI.Divisao="Calculado","Manual","SemiAuto"),IF(ISERROR(MATCH($A23,ORÇAMENTO!$E$15:$E$710,0)),"Branco","Automático"))</f>
        <v>Branco</v>
      </c>
      <c r="C23" t="str">
        <f ca="1">IF(O23&gt;0,"F","")</f>
        <v/>
      </c>
      <c r="D23" s="365">
        <f>ROW()-ROW($D$13)</f>
        <v>10</v>
      </c>
      <c r="E23" s="147"/>
      <c r="F23" s="366"/>
      <c r="G23" s="646" t="str">
        <f ca="1">IF(OR($B23="Manual",$B23="SemiAuto"),QCI.DescManual,IF($B23="Automático",INDEX(ORÇAMENTO!$R$15:$R$710,MATCH($A23,ORÇAMENTO!$E$15:$E$710,0)),""))</f>
        <v/>
      </c>
      <c r="H23" s="147"/>
      <c r="I23" s="645"/>
      <c r="J23" s="367" t="str">
        <f ca="1">IF(AND(ISBLANK(E23),ISBLANK(F23)),"",VLOOKUP($F23,OFFSET(DADOS!$A$2,1,MATCH(QCI!$E23,DADOS!$2:$2,0)-1,100,50),2,FALSE))</f>
        <v/>
      </c>
      <c r="K23" s="644" t="str">
        <f t="shared" ca="1" si="3"/>
        <v/>
      </c>
      <c r="L23" s="368">
        <f ca="1">ROUND($O23,2)-ROUND($M23,2)-ROUND($N23,2)</f>
        <v>0</v>
      </c>
      <c r="M23" s="369">
        <f ca="1">ROUND($AA23,2)-ROUND($AE23,2)</f>
        <v>0</v>
      </c>
      <c r="N23" s="370">
        <f ca="1">ROUND($AB23,2)</f>
        <v>0</v>
      </c>
      <c r="O23" s="371">
        <f ca="1">IF($B23="Branco",0,IF(OR($B23="Manual",$B23="SemiAuto"),QCI.InvManual,INDEX(ORÇAMENTO!X$15:X$710,MATCH($A23,ORÇAMENTO!$E$15:$E$710,0))))</f>
        <v>0</v>
      </c>
      <c r="P23" s="617"/>
      <c r="R23" s="647"/>
      <c r="T23" s="648"/>
      <c r="U23" s="373"/>
      <c r="V23" s="649" t="s">
        <v>319</v>
      </c>
      <c r="W23" s="374">
        <v>0</v>
      </c>
      <c r="X23" s="375">
        <v>0</v>
      </c>
      <c r="Z23" s="376">
        <f ca="1">$O23-$AA23-$AB23</f>
        <v>0</v>
      </c>
      <c r="AA23">
        <f ca="1">IF($B23="Branco",0,IF($B23="Manual",QCI.CPManual,IF($B23="SemiAuto",ROUND(QCI!$AA$3*QCI.InvManual,2),INDEX(ORÇAMENTO!$AA$15:$AA$710,MATCH($A23,ORÇAMENTO!$E$15:$E$710,0)))))</f>
        <v>0</v>
      </c>
      <c r="AB23">
        <f ca="1">IF($B23="Branco",0,IF($B23="Manual",QCI.OutrosManual,IF($B23="SemiAuto",0,INDEX(ORÇAMENTO!$AB$15:$AB$710,MATCH($A23,ORÇAMENTO!$E$15:$E$710,0)))))</f>
        <v>0</v>
      </c>
      <c r="AD23" s="377" t="b">
        <f ca="1">AND($AA$3&gt;0,$AA$3&lt;1,$O23&gt;0,OR($B23="Automático",$B23="SemiAuto"),OR(QCI!$Z$3=QCI!$Z$7,QCI!$Z$3=QCI!$AA$7,QCI!$Z$3=QCI!$AB$7))</f>
        <v>0</v>
      </c>
      <c r="AE23" s="377">
        <f ca="1">IF(AND($AD23,$O23&gt;0,COUNTIF(OFFSET($AD23,1,0):$AD$24,TRUE)=0),CHOOSE(1+LOG(1+2*(QCI!$Z$3=QCI!$Z$7)+4*(QCI!$Z$3=QCI!$AA$7)+8*(QCI!$Z$3=QCI!$AB$7),2),0,$AA$24-ROUND(Import.CPMinPerc*$O$24,2),$AA$24-Import.CPMinAbsoluta,Import.Repasse-$Z$24),0)</f>
        <v>0</v>
      </c>
    </row>
    <row r="24" spans="1:31" ht="13.8" x14ac:dyDescent="0.25">
      <c r="B24" t="s">
        <v>329</v>
      </c>
      <c r="C24" t="s">
        <v>248</v>
      </c>
      <c r="D24" s="385"/>
      <c r="E24" s="386"/>
      <c r="F24" s="386"/>
      <c r="G24" s="386"/>
      <c r="H24" s="386"/>
      <c r="I24" s="386"/>
      <c r="J24" s="386"/>
      <c r="K24" s="765" t="s">
        <v>330</v>
      </c>
      <c r="L24" s="387">
        <f ca="1">SUM(L13:OFFSET(L24,-1,0))</f>
        <v>0</v>
      </c>
      <c r="M24" s="388">
        <f ca="1">SUM(M13:OFFSET(M24,-1,0))</f>
        <v>0</v>
      </c>
      <c r="N24" s="389">
        <f ca="1">SUM(N13:OFFSET(N24,-1,0))</f>
        <v>0</v>
      </c>
      <c r="O24" s="390">
        <f ca="1">SUM(O13:OFFSET(O24,-1,0))</f>
        <v>0</v>
      </c>
      <c r="R24" s="391"/>
      <c r="T24" s="392"/>
      <c r="U24" s="393"/>
      <c r="V24" s="394"/>
      <c r="W24" s="395"/>
      <c r="X24" s="396"/>
      <c r="Z24" s="397">
        <f ca="1">SUMPRODUCT(ROUND(Z13:OFFSET(Z24,-1,0),2))</f>
        <v>0</v>
      </c>
      <c r="AA24" s="397">
        <f ca="1">SUMPRODUCT(ROUND(AA13:OFFSET(AA24,-1,0),2))</f>
        <v>0</v>
      </c>
      <c r="AB24" s="397">
        <f ca="1">SUM(AB13:OFFSET(AB24,-1,0))</f>
        <v>0</v>
      </c>
    </row>
    <row r="25" spans="1:31" x14ac:dyDescent="0.25">
      <c r="B25" t="s">
        <v>331</v>
      </c>
      <c r="C25" t="s">
        <v>248</v>
      </c>
      <c r="D25" s="398"/>
      <c r="E25" s="399"/>
      <c r="F25" s="399"/>
      <c r="G25" s="399"/>
      <c r="H25" s="399"/>
      <c r="I25" s="399"/>
      <c r="J25" s="399"/>
      <c r="K25" s="765"/>
      <c r="L25" s="400">
        <f ca="1">IF(ISERROR(L24/$O24),0,ROUND(L24/$O24,4))</f>
        <v>0</v>
      </c>
      <c r="M25" s="401">
        <f ca="1">IF(ISERROR(M24/$O24),0,ROUND(M24/$O24,4))</f>
        <v>0</v>
      </c>
      <c r="N25" s="402">
        <f ca="1">IF(ISERROR(N24/$O24),0,ROUND(N24/$O24,4))</f>
        <v>0</v>
      </c>
      <c r="O25" s="403">
        <f ca="1">IF(ISERROR(O24/$O24),0,ROUND(O24/$O24,4))</f>
        <v>0</v>
      </c>
      <c r="R25" s="404"/>
      <c r="T25" s="405"/>
      <c r="U25" s="406"/>
      <c r="V25" s="407"/>
      <c r="W25" s="408"/>
      <c r="X25" s="409"/>
    </row>
    <row r="27" spans="1:31" ht="13.8" x14ac:dyDescent="0.25">
      <c r="D27" s="170" t="s">
        <v>189</v>
      </c>
      <c r="E27" s="105"/>
      <c r="F27" s="105"/>
      <c r="G27" s="105"/>
      <c r="H27" s="105"/>
      <c r="I27" s="105"/>
      <c r="J27" s="105"/>
      <c r="K27" s="105"/>
      <c r="L27" s="105"/>
      <c r="M27" s="105"/>
    </row>
    <row r="28" spans="1:31" ht="12.75" customHeight="1" x14ac:dyDescent="0.25">
      <c r="D28" s="706"/>
      <c r="E28" s="706"/>
      <c r="F28" s="706"/>
      <c r="G28" s="706"/>
      <c r="H28" s="706"/>
      <c r="I28" s="706"/>
      <c r="J28" s="706"/>
      <c r="K28" s="706"/>
      <c r="L28" s="706"/>
      <c r="M28" s="706"/>
      <c r="N28" s="706"/>
      <c r="O28" s="706"/>
    </row>
    <row r="29" spans="1:31" ht="12.75" customHeight="1" x14ac:dyDescent="0.25">
      <c r="D29" s="706"/>
      <c r="E29" s="706"/>
      <c r="F29" s="706"/>
      <c r="G29" s="706"/>
      <c r="H29" s="706"/>
      <c r="I29" s="706"/>
      <c r="J29" s="706"/>
      <c r="K29" s="706"/>
      <c r="L29" s="706"/>
      <c r="M29" s="706"/>
      <c r="N29" s="706"/>
      <c r="O29" s="706"/>
    </row>
    <row r="30" spans="1:31" ht="12.75" customHeight="1" x14ac:dyDescent="0.25">
      <c r="D30" s="706"/>
      <c r="E30" s="706"/>
      <c r="F30" s="706"/>
      <c r="G30" s="706"/>
      <c r="H30" s="706"/>
      <c r="I30" s="706"/>
      <c r="J30" s="706"/>
      <c r="K30" s="706"/>
      <c r="L30" s="706"/>
      <c r="M30" s="706"/>
      <c r="N30" s="706"/>
      <c r="O30" s="706"/>
    </row>
    <row r="33" spans="4:12" ht="13.8" x14ac:dyDescent="0.25">
      <c r="D33" s="708" t="str">
        <f>Import.Município</f>
        <v>LAGUNA/SC</v>
      </c>
      <c r="E33" s="708"/>
      <c r="F33" s="708"/>
      <c r="I33" s="175"/>
      <c r="J33" s="175"/>
      <c r="K33" s="228"/>
      <c r="L33" s="228"/>
    </row>
    <row r="34" spans="4:12" x14ac:dyDescent="0.25">
      <c r="D34" s="12" t="s">
        <v>190</v>
      </c>
      <c r="E34" s="104"/>
      <c r="F34" s="104"/>
      <c r="I34" s="229" t="s">
        <v>332</v>
      </c>
      <c r="J34" s="229"/>
    </row>
    <row r="35" spans="4:12" x14ac:dyDescent="0.25">
      <c r="D35" s="104"/>
      <c r="E35" s="104"/>
      <c r="F35" s="104"/>
      <c r="I35" s="94" t="str">
        <f>"Nome:" &amp;  " " &amp; DADOS!F28</f>
        <v>Nome: Samir Azmi Ibrahim Muhammad Ahmad</v>
      </c>
    </row>
    <row r="36" spans="4:12" x14ac:dyDescent="0.25">
      <c r="D36" s="702">
        <f ca="1">DADOS!$F$25</f>
        <v>45477</v>
      </c>
      <c r="E36" s="702"/>
      <c r="F36" s="702"/>
      <c r="I36" s="94" t="str">
        <f>"Cargo:"  &amp; " " &amp; DADOS!F29</f>
        <v>Cargo: Prefeito</v>
      </c>
    </row>
    <row r="37" spans="4:12" x14ac:dyDescent="0.25">
      <c r="D37" s="177" t="s">
        <v>191</v>
      </c>
      <c r="E37" s="178"/>
      <c r="F37" s="178"/>
      <c r="K37" s="94"/>
      <c r="L37" s="95"/>
    </row>
  </sheetData>
  <sheetProtection password="BD1F" sheet="1" objects="1" scenarios="1" autoFilter="0"/>
  <autoFilter ref="C13:C25"/>
  <mergeCells count="20">
    <mergeCell ref="D6:K6"/>
    <mergeCell ref="A10:A11"/>
    <mergeCell ref="Z10:AB10"/>
    <mergeCell ref="D36:F36"/>
    <mergeCell ref="D28:O30"/>
    <mergeCell ref="D33:F33"/>
    <mergeCell ref="AD10:AE10"/>
    <mergeCell ref="K24:K25"/>
    <mergeCell ref="C7:C11"/>
    <mergeCell ref="G9:J10"/>
    <mergeCell ref="K9:K10"/>
    <mergeCell ref="AD9:AE9"/>
    <mergeCell ref="D7:K7"/>
    <mergeCell ref="D3:E3"/>
    <mergeCell ref="G3:I3"/>
    <mergeCell ref="J3:L3"/>
    <mergeCell ref="M3:O4"/>
    <mergeCell ref="D4:E4"/>
    <mergeCell ref="G4:I4"/>
    <mergeCell ref="J4:L4"/>
  </mergeCells>
  <phoneticPr fontId="38" type="noConversion"/>
  <conditionalFormatting sqref="T12:V12">
    <cfRule type="expression" dxfId="426" priority="161" stopIfTrue="1">
      <formula>OR($B12="Automático",$B12="Branco")</formula>
    </cfRule>
  </conditionalFormatting>
  <conditionalFormatting sqref="L12">
    <cfRule type="expression" dxfId="425" priority="162" stopIfTrue="1">
      <formula>OR(L12&lt;0,AND(L$13="Contrapartida Financeira (R$)",$B12="T%",OR(L12&lt;Import.CPMinPerc,AND(L12&gt;Import.CPMaxPerc,Import.CPMaxPerc&gt;0))),AND(L$13="Contrapartida Financeira (R$)",$B12="TR$",L12&lt;Import.CPMinAbsoluta))</formula>
    </cfRule>
  </conditionalFormatting>
  <conditionalFormatting sqref="W12:X12">
    <cfRule type="expression" dxfId="424" priority="163" stopIfTrue="1">
      <formula>OR($B12="Automático",$B12="Branco",$V12&lt;&gt;"Calculado")</formula>
    </cfRule>
  </conditionalFormatting>
  <conditionalFormatting sqref="M25">
    <cfRule type="expression" dxfId="423" priority="165" stopIfTrue="1">
      <formula>AND($G$9&lt;&gt;"",OR($M$25&lt;Import.CPMinPerc,$M$25&gt;Import.CPMaxPerc))</formula>
    </cfRule>
  </conditionalFormatting>
  <conditionalFormatting sqref="M24">
    <cfRule type="expression" dxfId="422" priority="166" stopIfTrue="1">
      <formula>AND($G$9&lt;&gt;"",$M$24&lt;Import.CPMinAbsoluta)</formula>
    </cfRule>
  </conditionalFormatting>
  <conditionalFormatting sqref="L10:M10">
    <cfRule type="cellIs" dxfId="421" priority="167" stopIfTrue="1" operator="lessThan">
      <formula>0</formula>
    </cfRule>
  </conditionalFormatting>
  <conditionalFormatting sqref="G12">
    <cfRule type="cellIs" dxfId="420" priority="168" stopIfTrue="1" operator="equal">
      <formula>"(digite a descrição aqui)"</formula>
    </cfRule>
  </conditionalFormatting>
  <conditionalFormatting sqref="T14:V22">
    <cfRule type="expression" dxfId="419" priority="5" stopIfTrue="1">
      <formula>OR($B14="Automático",$B14="Branco")</formula>
    </cfRule>
  </conditionalFormatting>
  <conditionalFormatting sqref="W14:X22">
    <cfRule type="expression" dxfId="418" priority="7" stopIfTrue="1">
      <formula>OR($B14="Automático",$B14="Branco",$V14&lt;&gt;"Calculado")</formula>
    </cfRule>
  </conditionalFormatting>
  <conditionalFormatting sqref="G14:G22">
    <cfRule type="cellIs" dxfId="417" priority="8" stopIfTrue="1" operator="equal">
      <formula>"(digite a descrição aqui)"</formula>
    </cfRule>
  </conditionalFormatting>
  <conditionalFormatting sqref="T23:V23">
    <cfRule type="expression" dxfId="416" priority="1" stopIfTrue="1">
      <formula>OR($B23="Automático",$B23="Branco")</formula>
    </cfRule>
  </conditionalFormatting>
  <conditionalFormatting sqref="L14:L22">
    <cfRule type="expression" dxfId="415" priority="6" stopIfTrue="1">
      <formula>OR(L14&lt;0,AND(L$13="Contrapartida Financeira (R$)",$B14="T%",OR(L14&lt;Import.CPMinPerc,AND(L14&gt;Import.CPMaxPerc,Import.CPMaxPerc&gt;0))),AND(L$13="Contrapartida Financeira (R$)",$B14="TR$",L14&lt;Import.CPMinAbsoluta))</formula>
    </cfRule>
  </conditionalFormatting>
  <conditionalFormatting sqref="W23:X23">
    <cfRule type="expression" dxfId="414" priority="3" stopIfTrue="1">
      <formula>OR($B23="Automático",$B23="Branco",$V23&lt;&gt;"Calculado")</formula>
    </cfRule>
  </conditionalFormatting>
  <conditionalFormatting sqref="G23">
    <cfRule type="cellIs" dxfId="413" priority="4" stopIfTrue="1" operator="equal">
      <formula>"(digite a descrição aqui)"</formula>
    </cfRule>
  </conditionalFormatting>
  <conditionalFormatting sqref="L23">
    <cfRule type="expression" dxfId="412" priority="2" stopIfTrue="1">
      <formula>OR(L23&lt;0,AND(L$13="Contrapartida Financeira (R$)",$B23="T%",OR(L23&lt;Import.CPMinPerc,AND(L23&gt;Import.CPMaxPerc,Import.CPMaxPerc&gt;0))),AND(L$13="Contrapartida Financeira (R$)",$B23="TR$",L23&lt;Import.CPMinAbsoluta))</formula>
    </cfRule>
  </conditionalFormatting>
  <dataValidations count="9">
    <dataValidation type="decimal" operator="greaterThan" allowBlank="1" showErrorMessage="1" error="Digite apenas números decimais maiores do que 0." sqref="U12 U14:U23">
      <formula1>0</formula1>
      <formula2>0</formula2>
    </dataValidation>
    <dataValidation type="list" allowBlank="1" sqref="E12 E14:E23">
      <formula1>QCI.ItemInvestimento</formula1>
      <formula2>0</formula2>
    </dataValidation>
    <dataValidation type="list" allowBlank="1" sqref="F12 F14:F23">
      <formula1>QCI.SubItemInvestimento</formula1>
      <formula2>0</formula2>
    </dataValidation>
    <dataValidation type="list" allowBlank="1" sqref="H12 H14:H23">
      <formula1>"Sem Projeto,Em Análise,Análise Concluída / A Licitar,Licitado / Em Execução,Concluído"</formula1>
      <formula2>0</formula2>
    </dataValidation>
    <dataValidation type="decimal" operator="greaterThan" allowBlank="1" showErrorMessage="1" errorTitle="Erro" error="Digite valores maiores do que 0." sqref="I12 I14:I23">
      <formula1>0</formula1>
      <formula2>0</formula2>
    </dataValidation>
    <dataValidation type="list" allowBlank="1" showErrorMessage="1" sqref="V12 V14:V23">
      <formula1>"Proporcional,Calculado"</formula1>
      <formula2>0</formula2>
    </dataValidation>
    <dataValidation type="decimal" allowBlank="1" showInputMessage="1" showErrorMessage="1" errorTitle="Erro de valor" error="Digite somente valor de 0,00 ao valor do Investimento. A Somatória dos valores não deve ultrapassar o valor de Investimento." promptTitle="Contrapartida Financeira:" prompt="Digite o valor de Contrapartida Financeira para esta Meta." sqref="W12 W14:W23">
      <formula1>0</formula1>
      <formula2>QCI.MaxCPManual</formula2>
    </dataValidation>
    <dataValidation type="decimal" allowBlank="1" showInputMessage="1" showErrorMessage="1" errorTitle="Erro de valor" error="Digite somente valor de 0,00 ao valor do Investimento. A Somatória dos valores não deve ultrapassar o valor de Investimento." promptTitle="Contrapartida Física / Outros:" prompt="Digite o valor de Contrapartida Física / Outros para esta Meta." sqref="X12 X14:X23">
      <formula1>0</formula1>
      <formula2>QCI.MaxOUManual</formula2>
    </dataValidation>
    <dataValidation allowBlank="1" showInputMessage="1" showErrorMessage="1" prompt="Preencha somente se a meta não fizer parte do Orçamento desta Plan. Mult." sqref="R12 R14:R23"/>
  </dataValidations>
  <pageMargins left="0.59055118110236227" right="0.59055118110236227" top="0.78740157480314965" bottom="0.59055118110236227" header="0.59055118110236227" footer="0.59055118110236227"/>
  <pageSetup paperSize="9" scale="65" firstPageNumber="0" fitToHeight="0" orientation="landscape" horizontalDpi="300" verticalDpi="300" r:id="rId1"/>
  <headerFooter alignWithMargins="0">
    <oddHeader>&amp;L_&amp;C&amp;14I</oddHeader>
    <oddFooter>&amp;LPMv3.0.4&amp;R&amp;P / &amp;N</oddFooter>
  </headerFooter>
  <colBreaks count="1" manualBreakCount="1">
    <brk id="15" max="1048575" man="1"/>
  </colBreak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3">
    <pageSetUpPr fitToPage="1"/>
  </sheetPr>
  <dimension ref="A1:AO725"/>
  <sheetViews>
    <sheetView showGridLines="0" topLeftCell="C1" zoomScale="90" zoomScaleNormal="90" zoomScaleSheetLayoutView="90" workbookViewId="0">
      <pane xSplit="5" ySplit="15" topLeftCell="H16" activePane="bottomRight" state="frozen"/>
      <selection activeCell="C1" sqref="C1"/>
      <selection pane="topRight" activeCell="H1" sqref="H1"/>
      <selection pane="bottomLeft" activeCell="C16" sqref="C16"/>
      <selection pane="bottomRight" activeCell="A724" sqref="A724"/>
    </sheetView>
  </sheetViews>
  <sheetFormatPr defaultRowHeight="13.2" x14ac:dyDescent="0.25"/>
  <cols>
    <col min="1" max="2" width="6.6640625" hidden="1" customWidth="1"/>
    <col min="3" max="3" width="3.6640625" customWidth="1"/>
    <col min="4" max="4" width="10.6640625" customWidth="1"/>
    <col min="5" max="5" width="65.6640625" customWidth="1"/>
    <col min="6" max="6" width="7.6640625" customWidth="1"/>
    <col min="7" max="7" width="11.6640625" customWidth="1"/>
    <col min="8" max="8" width="14.6640625" customWidth="1"/>
    <col min="9" max="9" width="18.6640625" customWidth="1"/>
    <col min="10" max="12" width="11.6640625" customWidth="1"/>
    <col min="13" max="15" width="18.6640625" customWidth="1"/>
    <col min="17" max="18" width="11.6640625" hidden="1" customWidth="1"/>
    <col min="19" max="19" width="9.109375" hidden="1" customWidth="1"/>
    <col min="20" max="20" width="10.6640625" hidden="1" customWidth="1"/>
    <col min="21" max="21" width="65.6640625" hidden="1" customWidth="1"/>
    <col min="22" max="22" width="7.6640625" hidden="1" customWidth="1"/>
    <col min="23" max="23" width="11.6640625" hidden="1" customWidth="1"/>
    <col min="24" max="24" width="14.6640625" hidden="1" customWidth="1"/>
    <col min="25" max="25" width="18.6640625" hidden="1" customWidth="1"/>
    <col min="26" max="26" width="25.6640625" hidden="1" customWidth="1"/>
    <col min="27" max="27" width="0" hidden="1" customWidth="1"/>
    <col min="28" max="39" width="11.6640625" customWidth="1"/>
    <col min="40" max="40" width="10.44140625" customWidth="1"/>
    <col min="41" max="41" width="9.109375" hidden="1" customWidth="1"/>
  </cols>
  <sheetData>
    <row r="1" spans="1:41" ht="15.6" x14ac:dyDescent="0.25">
      <c r="C1" s="99"/>
      <c r="D1" s="99"/>
      <c r="E1" s="410" t="str">
        <f>IF(CAIXA.Modo,"BA - Boletim de Aferição","BM - Boletim de Medição")</f>
        <v>BM - Boletim de Medição</v>
      </c>
      <c r="F1" s="99"/>
      <c r="G1" s="411"/>
      <c r="H1" s="99"/>
      <c r="J1" s="411"/>
      <c r="K1" s="411"/>
      <c r="L1" s="411"/>
      <c r="M1" s="411"/>
      <c r="N1" s="411"/>
      <c r="O1" s="68" t="s">
        <v>141</v>
      </c>
    </row>
    <row r="2" spans="1:41" ht="15" x14ac:dyDescent="0.25">
      <c r="A2" s="412" t="s">
        <v>333</v>
      </c>
      <c r="B2" s="413"/>
      <c r="C2" s="104"/>
      <c r="D2" s="104"/>
      <c r="E2" s="414" t="str">
        <f ca="1">IF(Import.RegimeExecução="(SELECIONAR)","Selecione o Regime de Execução na Aba Dados",Import.RegimeExecução&amp;" - "&amp;import.recurso)</f>
        <v>EMPREITADA POR PREÇO UNITÁRIO - (SELECIONAR)</v>
      </c>
      <c r="F2" s="104"/>
      <c r="G2" s="104"/>
      <c r="H2" s="104"/>
      <c r="J2" s="104"/>
      <c r="K2" s="104"/>
      <c r="L2" s="104"/>
      <c r="M2" s="104"/>
      <c r="N2" s="104"/>
      <c r="O2" s="14" t="s">
        <v>144</v>
      </c>
    </row>
    <row r="3" spans="1:41" x14ac:dyDescent="0.25">
      <c r="A3" s="769" t="b">
        <v>0</v>
      </c>
      <c r="B3" s="769"/>
      <c r="C3" s="104"/>
      <c r="D3" s="104"/>
      <c r="E3" s="109"/>
      <c r="F3" s="104"/>
      <c r="G3" s="104"/>
      <c r="H3" s="104"/>
      <c r="I3" s="104"/>
      <c r="J3" s="104"/>
      <c r="K3" s="104"/>
      <c r="L3" s="104"/>
      <c r="M3" s="104"/>
      <c r="N3" s="104"/>
      <c r="O3" s="104"/>
    </row>
    <row r="4" spans="1:41" x14ac:dyDescent="0.25">
      <c r="C4" s="104"/>
      <c r="D4" s="675" t="s">
        <v>149</v>
      </c>
      <c r="E4" s="675"/>
      <c r="F4" s="713" t="s">
        <v>147</v>
      </c>
      <c r="G4" s="713"/>
      <c r="H4" s="713"/>
      <c r="I4" s="183" t="s">
        <v>148</v>
      </c>
      <c r="J4" s="675" t="s">
        <v>204</v>
      </c>
      <c r="K4" s="675"/>
      <c r="L4" s="675"/>
      <c r="M4" s="675"/>
      <c r="N4" s="675"/>
      <c r="O4" s="185" t="s">
        <v>334</v>
      </c>
    </row>
    <row r="5" spans="1:41" ht="12.75" customHeight="1" x14ac:dyDescent="0.25">
      <c r="A5" t="s">
        <v>335</v>
      </c>
      <c r="C5" s="104"/>
      <c r="D5" s="672" t="str">
        <f>Import.Proponente</f>
        <v>PREFEITURA DO MUNICÍPIO DE LAGUNA</v>
      </c>
      <c r="E5" s="672"/>
      <c r="F5" s="711">
        <f>Import.CR</f>
        <v>0</v>
      </c>
      <c r="G5" s="711"/>
      <c r="H5" s="711"/>
      <c r="I5" s="415">
        <f>Import.SICONV</f>
        <v>0</v>
      </c>
      <c r="J5" s="672" t="str">
        <f>Import.Apelido</f>
        <v xml:space="preserve">ESCOLA BILÍNGUE (PADRÃO FNDE - 5 SALAS)     </v>
      </c>
      <c r="K5" s="672"/>
      <c r="L5" s="672"/>
      <c r="M5" s="672"/>
      <c r="N5" s="672"/>
      <c r="O5" s="416">
        <f>Import.DataInicioObra</f>
        <v>0</v>
      </c>
      <c r="AO5" s="417" t="s">
        <v>336</v>
      </c>
    </row>
    <row r="6" spans="1:41" ht="5.0999999999999996" customHeight="1" x14ac:dyDescent="0.25">
      <c r="C6" s="104"/>
      <c r="D6" s="121"/>
      <c r="E6" s="122"/>
      <c r="F6" s="121"/>
      <c r="G6" s="121"/>
      <c r="H6" s="121"/>
      <c r="I6" s="121"/>
      <c r="J6" s="121"/>
      <c r="K6" s="121"/>
      <c r="L6" s="121"/>
      <c r="M6" s="121"/>
      <c r="N6" s="121"/>
      <c r="O6" s="121"/>
      <c r="AO6" s="418"/>
    </row>
    <row r="7" spans="1:41" ht="12.75" customHeight="1" x14ac:dyDescent="0.25">
      <c r="A7" t="str">
        <f ca="1">RegimeExecucao</f>
        <v>Unitário</v>
      </c>
      <c r="C7" s="104"/>
      <c r="D7" s="111" t="s">
        <v>337</v>
      </c>
      <c r="E7" s="111" t="s">
        <v>338</v>
      </c>
      <c r="F7" s="675" t="s">
        <v>339</v>
      </c>
      <c r="G7" s="675"/>
      <c r="H7" s="675"/>
      <c r="I7" s="675" t="str">
        <f>IF(TIPOORCAMENTO="Licitado","REGIME DE EXECUÇÃO","MUNICÍPIO / UF")</f>
        <v>MUNICÍPIO / UF</v>
      </c>
      <c r="J7" s="675"/>
      <c r="K7" s="675"/>
      <c r="L7" s="675"/>
      <c r="M7" s="675" t="s">
        <v>340</v>
      </c>
      <c r="N7" s="675"/>
      <c r="O7" s="111" t="s">
        <v>341</v>
      </c>
      <c r="AO7" s="359">
        <f ca="1">BM.MEDAcumulado</f>
        <v>0</v>
      </c>
    </row>
    <row r="8" spans="1:41" ht="12.75" customHeight="1" x14ac:dyDescent="0.25">
      <c r="A8" s="412" t="s">
        <v>342</v>
      </c>
      <c r="B8" s="413"/>
      <c r="C8" s="701" t="s">
        <v>211</v>
      </c>
      <c r="D8" s="419">
        <f>Import.CTEF</f>
        <v>0</v>
      </c>
      <c r="E8" s="72">
        <f>Import.empresa</f>
        <v>0</v>
      </c>
      <c r="F8" s="672">
        <f>Import.CNPJ</f>
        <v>0</v>
      </c>
      <c r="G8" s="672"/>
      <c r="H8" s="672"/>
      <c r="I8" s="672" t="str">
        <f>IF(TIPOORCAMENTO="Licitado",Import.RegimeExecução,Import.Município)</f>
        <v>LAGUNA/SC</v>
      </c>
      <c r="J8" s="672"/>
      <c r="K8" s="672"/>
      <c r="L8" s="672"/>
      <c r="M8" s="672" t="str">
        <f ca="1">TEXT(IF(BM.medicao=1,Import.DataInicioObra,OFFSET($AB$12,0,BM.medicao-1-$AB$13)+1),"dd/mm/aaaa")&amp;" a "&amp;TEXT(OFFSET($AB$12,0,BM.medicao-$AB$13),"dd/mm/aaaa")</f>
        <v>00/01/1900 a 00/01/1900</v>
      </c>
      <c r="N8" s="672"/>
      <c r="O8" s="570">
        <v>1</v>
      </c>
    </row>
    <row r="9" spans="1:41" ht="12.75" customHeight="1" x14ac:dyDescent="0.25">
      <c r="A9" s="616" t="b">
        <v>1</v>
      </c>
      <c r="B9" s="54"/>
      <c r="C9" s="701"/>
      <c r="D9" s="16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</row>
    <row r="10" spans="1:41" x14ac:dyDescent="0.25">
      <c r="C10" s="701"/>
      <c r="D10" s="16"/>
      <c r="E10" s="770" t="str">
        <f>IF(ACOMPANHAMENTO="PLE","Foi selecionado na aba 'MENU' o acompanhamento por PLE.",IF(TIPOORCAMENTO="Proposto","Altere na aba 'MENU' o tipo de orçamento para 'Licitado'.",""))</f>
        <v>Altere na aba 'MENU' o tipo de orçamento para 'Licitado'.</v>
      </c>
      <c r="F10" s="770"/>
      <c r="G10" s="770"/>
      <c r="H10" s="770"/>
      <c r="I10" s="770"/>
      <c r="J10" s="104"/>
      <c r="K10" s="104"/>
      <c r="L10" s="104"/>
      <c r="N10" s="771" t="str">
        <f ca="1">"Realizado Acumulado: "&amp;TEXT(ROUND($O$15/($I$15+10^-12),4),"0,00%")</f>
        <v>Realizado Acumulado: 0,00%</v>
      </c>
      <c r="O10" s="771"/>
    </row>
    <row r="11" spans="1:41" ht="15" customHeight="1" x14ac:dyDescent="0.3">
      <c r="C11" s="701"/>
      <c r="D11" s="104"/>
      <c r="E11" s="770"/>
      <c r="F11" s="770"/>
      <c r="G11" s="770"/>
      <c r="H11" s="770"/>
      <c r="I11" s="770"/>
      <c r="J11" s="104"/>
      <c r="K11" s="104"/>
      <c r="L11" s="104"/>
      <c r="M11" s="104"/>
      <c r="N11" s="771"/>
      <c r="O11" s="771"/>
      <c r="T11" s="775" t="s">
        <v>343</v>
      </c>
      <c r="U11" s="775"/>
      <c r="V11" s="100"/>
      <c r="W11" s="100"/>
      <c r="X11" s="100"/>
      <c r="Y11" s="100"/>
      <c r="Z11" s="59"/>
      <c r="AB11" s="772" t="s">
        <v>344</v>
      </c>
      <c r="AC11" s="772"/>
      <c r="AD11" s="772"/>
      <c r="AE11" s="772"/>
      <c r="AF11" s="772"/>
      <c r="AG11" s="772"/>
      <c r="AH11" s="772"/>
      <c r="AI11" s="772"/>
      <c r="AJ11" s="772"/>
      <c r="AK11" s="772"/>
      <c r="AL11" s="772"/>
      <c r="AM11" s="772"/>
    </row>
    <row r="12" spans="1:41" ht="15" customHeight="1" x14ac:dyDescent="0.3">
      <c r="C12" s="701"/>
      <c r="D12" s="104"/>
      <c r="E12" s="199" t="s">
        <v>345</v>
      </c>
      <c r="F12" s="104"/>
      <c r="G12" s="104"/>
      <c r="H12" s="104"/>
      <c r="I12" s="104"/>
      <c r="J12" s="773" t="str">
        <f ca="1">"Evolução Física "&amp;CHOOSE(MATCH(RegimeExecucao,{"Unitário","Global"},0),"(Qtde.)","(%)")</f>
        <v>Evolução Física (Qtde.)</v>
      </c>
      <c r="K12" s="773"/>
      <c r="L12" s="773"/>
      <c r="M12" s="773" t="s">
        <v>346</v>
      </c>
      <c r="N12" s="773"/>
      <c r="O12" s="773"/>
      <c r="Q12" s="774" t="str">
        <f ca="1">"Aferido (CAIXA) "&amp;CHOOSE(MATCH(RegimeExecucao,{"Unitário","Global"},0),"(Qtde.)","(%)")</f>
        <v>Aferido (CAIXA) (Qtde.)</v>
      </c>
      <c r="R12" s="774"/>
      <c r="T12" s="420" t="s">
        <v>347</v>
      </c>
      <c r="U12" s="228"/>
      <c r="V12" s="228"/>
      <c r="W12" s="228"/>
      <c r="X12" s="228"/>
      <c r="Y12" s="228"/>
      <c r="Z12" s="54"/>
      <c r="AB12" s="421"/>
      <c r="AC12" s="422"/>
      <c r="AD12" s="422"/>
      <c r="AE12" s="422"/>
      <c r="AF12" s="422"/>
      <c r="AG12" s="422"/>
      <c r="AH12" s="422"/>
      <c r="AI12" s="422"/>
      <c r="AJ12" s="422"/>
      <c r="AK12" s="422"/>
      <c r="AL12" s="422"/>
      <c r="AM12" s="423"/>
    </row>
    <row r="13" spans="1:41" ht="45" customHeight="1" x14ac:dyDescent="0.25">
      <c r="A13" s="136" t="s">
        <v>224</v>
      </c>
      <c r="B13" s="136" t="s">
        <v>223</v>
      </c>
      <c r="C13" s="135" t="s">
        <v>219</v>
      </c>
      <c r="D13" s="383" t="s">
        <v>233</v>
      </c>
      <c r="E13" s="383" t="s">
        <v>236</v>
      </c>
      <c r="F13" s="424" t="s">
        <v>237</v>
      </c>
      <c r="G13" s="383" t="s">
        <v>205</v>
      </c>
      <c r="H13" s="383" t="s">
        <v>238</v>
      </c>
      <c r="I13" s="383" t="s">
        <v>239</v>
      </c>
      <c r="J13" s="383" t="s">
        <v>348</v>
      </c>
      <c r="K13" s="383" t="s">
        <v>349</v>
      </c>
      <c r="L13" s="383" t="s">
        <v>350</v>
      </c>
      <c r="M13" s="383" t="s">
        <v>348</v>
      </c>
      <c r="N13" s="383" t="s">
        <v>349</v>
      </c>
      <c r="O13" s="383" t="s">
        <v>350</v>
      </c>
      <c r="Q13" s="383" t="s">
        <v>348</v>
      </c>
      <c r="R13" s="383" t="s">
        <v>350</v>
      </c>
      <c r="T13" s="383" t="s">
        <v>233</v>
      </c>
      <c r="U13" s="383" t="s">
        <v>236</v>
      </c>
      <c r="V13" s="424" t="str">
        <f ca="1">IF(RegimeExecucao="Unitário","Unidade","")</f>
        <v>Unidade</v>
      </c>
      <c r="W13" s="383" t="str">
        <f ca="1">CHOOSE(MATCH(RegimeExecucao,{"Unitário","Global"},0),"Quant. Glosada (unid)","Percentual Glosado (%)")</f>
        <v>Quant. Glosada (unid)</v>
      </c>
      <c r="X13" s="383" t="str">
        <f ca="1">CHOOSE(MATCH(RegimeExecucao,{"Unitário","Global"},0),"Preço Unitário (R$)","Valor Total do Item (R$)")</f>
        <v>Preço Unitário (R$)</v>
      </c>
      <c r="Y13" s="383" t="s">
        <v>351</v>
      </c>
      <c r="Z13" s="383" t="s">
        <v>352</v>
      </c>
      <c r="AA13" s="425"/>
      <c r="AB13" s="426">
        <f ca="1">IF(BM.medicao&lt;=12,1,TRUNC((BM.medicao - 2)/11,0) * 11 + 1)</f>
        <v>1</v>
      </c>
      <c r="AC13" s="426">
        <f ca="1">OFFSET(AC13,0,-1)+1</f>
        <v>2</v>
      </c>
      <c r="AD13" s="426">
        <f t="shared" ref="AD13:AM13" ca="1" si="0">OFFSET(AD13,0,-1)+1</f>
        <v>3</v>
      </c>
      <c r="AE13" s="426">
        <f t="shared" ca="1" si="0"/>
        <v>4</v>
      </c>
      <c r="AF13" s="426">
        <f t="shared" ca="1" si="0"/>
        <v>5</v>
      </c>
      <c r="AG13" s="426">
        <f t="shared" ca="1" si="0"/>
        <v>6</v>
      </c>
      <c r="AH13" s="426">
        <f t="shared" ca="1" si="0"/>
        <v>7</v>
      </c>
      <c r="AI13" s="426">
        <f t="shared" ca="1" si="0"/>
        <v>8</v>
      </c>
      <c r="AJ13" s="426">
        <f t="shared" ca="1" si="0"/>
        <v>9</v>
      </c>
      <c r="AK13" s="426">
        <f t="shared" ca="1" si="0"/>
        <v>10</v>
      </c>
      <c r="AL13" s="426">
        <f t="shared" ca="1" si="0"/>
        <v>11</v>
      </c>
      <c r="AM13" s="426">
        <f t="shared" ca="1" si="0"/>
        <v>12</v>
      </c>
      <c r="AO13" s="136" t="s">
        <v>353</v>
      </c>
    </row>
    <row r="14" spans="1:41" ht="13.8" hidden="1" x14ac:dyDescent="0.3">
      <c r="A14" t="str">
        <f ca="1">ORÇAMENTO!C14</f>
        <v>S</v>
      </c>
      <c r="B14">
        <f ca="1">ORÇAMENTO!D14</f>
        <v>0</v>
      </c>
      <c r="C14" s="143" t="str">
        <f ca="1">IF(OR($I14&gt;0,$A14=1,$A14=2,$A14=3,$A14=4),"F","")</f>
        <v/>
      </c>
      <c r="D14" s="146" t="str">
        <f ca="1">ORÇAMENTO!O14</f>
        <v>-</v>
      </c>
      <c r="E14" s="206" t="str">
        <f ca="1">ORÇAMENTO.Descricao</f>
        <v>(abra o arquivo 'Referência 05-2024.xls)</v>
      </c>
      <c r="F14" s="207" t="str">
        <f ca="1">IF(RegimeExecucao="Global","",ORÇAMENTO.Unidade)</f>
        <v>-</v>
      </c>
      <c r="G14" s="151">
        <f ca="1">IF(RegimeExecucao="Global","",ORÇAMENTO!T14)</f>
        <v>0</v>
      </c>
      <c r="H14" s="151">
        <f ca="1">IF(RegimeExecucao="Global","",ORÇAMENTO!W14)</f>
        <v>0</v>
      </c>
      <c r="I14" s="154">
        <f ca="1">ORÇAMENTO!X14</f>
        <v>0</v>
      </c>
      <c r="J14" s="427">
        <f ca="1">IF($A14="S",IF(CAIXA.Modo,BM.AFAnterior,BM.MEDAnterior),IF(AND(RegimeExecucao="Global",$I14&gt;0,COUNTIF($AB$13:$AM$13,BM.medicao-1)&gt;0),M14/$I14*100,0))</f>
        <v>0</v>
      </c>
      <c r="K14" s="151">
        <f ca="1">L14-J14</f>
        <v>0</v>
      </c>
      <c r="L14" s="428">
        <f ca="1">IF($A14="S",IF(CAIXA.Modo,BM.AFAcumulado,BM.MEDAcumulado),IF(AND(RegimeExecucao="Global",$I14&gt;0,COUNTIF($AB$13:$AM$13,BM.medicao)&gt;0),O14/$I14*100,0))</f>
        <v>0</v>
      </c>
      <c r="M14" s="429">
        <f ca="1">IF($A14="S",VTOTALBM,IF($A14=0,0,ROUND(SomaAgrupBM,15-13*ORÇAMENTO!$AF$11)))</f>
        <v>0</v>
      </c>
      <c r="N14" s="430">
        <f ca="1">O14-M14</f>
        <v>0</v>
      </c>
      <c r="O14" s="154">
        <f ca="1">IF($A14="S",VTOTALBM,IF($A14=0,0,ROUND(SomaAgrupBM,15-13*ORÇAMENTO!$AF$11)))</f>
        <v>0</v>
      </c>
      <c r="Q14" s="431"/>
      <c r="R14" s="432"/>
      <c r="T14" s="146" t="str">
        <f ca="1">IF($W14&gt;0,$D14,"")</f>
        <v/>
      </c>
      <c r="U14" s="206" t="str">
        <f ca="1">IF($W14&gt;0,$E14,"")</f>
        <v/>
      </c>
      <c r="V14" s="207" t="str">
        <f ca="1">IF(AND($W14&gt;0,RegimeExecucao="Unitário"),$F14,"")</f>
        <v/>
      </c>
      <c r="W14" s="634">
        <f ca="1">IF($Y14&gt;0,CHOOSE(MATCH(RegimeExecucao,{"Unitário","Global"},0),IF($A14="S",$Y14/$X14,""),($Y14/$X14)*100),0)</f>
        <v>0</v>
      </c>
      <c r="X14" s="433" t="str">
        <f ca="1">IF($Y14&gt;0,CHOOSE(MATCH(RegimeExecucao,{"Unitário","Global"},0),IF($A14="S",ROUND($H14,ORÇAMENTO!$AF$10),""),ROUND($I14,ORÇAMENTO!$AF$11)),"")</f>
        <v/>
      </c>
      <c r="Y14" s="433">
        <f ca="1">AO14-O14</f>
        <v>0</v>
      </c>
      <c r="Z14" s="434"/>
      <c r="AB14" s="431"/>
      <c r="AC14" s="599"/>
      <c r="AD14" s="599"/>
      <c r="AE14" s="599"/>
      <c r="AF14" s="599"/>
      <c r="AG14" s="599"/>
      <c r="AH14" s="599"/>
      <c r="AI14" s="599"/>
      <c r="AJ14" s="599"/>
      <c r="AK14" s="599"/>
      <c r="AL14" s="599"/>
      <c r="AM14" s="432"/>
      <c r="AO14">
        <f ca="1">IF($A14="S",IF(BM!$I14=0,0,CHOOSE(MATCH(RegimeExecucao,{"Global","Unitário"},0),ROUND(ROUND(BM.MEDAcumulado,15-13*BM!$A$9)/100*BM!$I14,15-13*ORÇAMENTO!$AF$11),ROUND(ROUND(BM.MEDAcumulado,15-13*BM!$A$9)*ROUND(BM!$H14,15-13*ORÇAMENTO!$AF$10),15-13*ORÇAMENTO!$AF$11))),IF($A14=0,0,ROUND(SomaAgrupBM,15-13*ORÇAMENTO!$AF$11)))</f>
        <v>0</v>
      </c>
    </row>
    <row r="15" spans="1:41" ht="13.8" x14ac:dyDescent="0.3">
      <c r="C15" s="143" t="s">
        <v>248</v>
      </c>
      <c r="D15" s="781" t="str">
        <f>"Objeto do CTEF: "&amp;Import.DescLote</f>
        <v xml:space="preserve">Objeto do CTEF: ESCOLA BILÍNGUE (PADRÃO FNDE - 5 SALAS)     </v>
      </c>
      <c r="E15" s="781"/>
      <c r="F15" s="635"/>
      <c r="G15" s="636"/>
      <c r="H15" s="636" t="s">
        <v>354</v>
      </c>
      <c r="I15" s="637">
        <f>IF(OR(ACOMPANHAMENTO="PLE",TIPOORCAMENTO="Proposto"),0,ORÇAMENTO!$X$15)</f>
        <v>0</v>
      </c>
      <c r="J15" s="435">
        <f ca="1">IF(M$15=0,0,IF(RegimeExecucao="Global",M$15/$I$15*100,0))</f>
        <v>0</v>
      </c>
      <c r="K15" s="435">
        <f ca="1">L15-J15</f>
        <v>0</v>
      </c>
      <c r="L15" s="435">
        <f ca="1">IF(O$15=0,0,IF(RegimeExecucao="Global",O$15/$I$15*100,0))</f>
        <v>0</v>
      </c>
      <c r="M15" s="436">
        <f ca="1">IF(OR(ACOMPANHAMENTO="PLE",TIPOORCAMENTO="Proposto"),0,SUMIF(OFFSET($A15,1,0):$A$710,"S",OFFSET(M15,1,0):M$710))</f>
        <v>0</v>
      </c>
      <c r="N15" s="436">
        <f ca="1">O15-M15</f>
        <v>0</v>
      </c>
      <c r="O15" s="436">
        <f ca="1">IF(OR(ACOMPANHAMENTO="PLE",TIPOORCAMENTO="Proposto"),0,SUMIF(OFFSET($A15,1,0):$A$710,"S",OFFSET(O15,1,0):O$710))</f>
        <v>0</v>
      </c>
      <c r="Q15" s="437"/>
      <c r="R15" s="437"/>
      <c r="T15" s="438"/>
      <c r="U15" s="439"/>
      <c r="V15" s="439"/>
      <c r="W15" s="439"/>
      <c r="X15" s="439"/>
      <c r="Y15" s="439"/>
      <c r="Z15" s="440"/>
      <c r="AB15" s="777" t="str">
        <f ca="1">"Preencher abaixo com a "&amp;CHOOSE(MATCH(RegimeExecucao,{"Unitário","Global"},0),"QUANTIDADE","PORCENTAGEM")&amp;" executada no PERÍODO"</f>
        <v>Preencher abaixo com a QUANTIDADE executada no PERÍODO</v>
      </c>
      <c r="AC15" s="777"/>
      <c r="AD15" s="777"/>
      <c r="AE15" s="777"/>
      <c r="AF15" s="777"/>
      <c r="AG15" s="777"/>
      <c r="AH15" s="777"/>
      <c r="AI15" s="777"/>
      <c r="AJ15" s="777"/>
      <c r="AK15" s="777"/>
      <c r="AL15" s="777"/>
      <c r="AM15" s="777"/>
    </row>
    <row r="16" spans="1:41" ht="13.8" x14ac:dyDescent="0.3">
      <c r="A16">
        <f ca="1">ORÇAMENTO!C16</f>
        <v>1</v>
      </c>
      <c r="B16">
        <f ca="1">ORÇAMENTO!D16</f>
        <v>686</v>
      </c>
      <c r="C16" s="143" t="str">
        <f t="shared" ref="C16:C78" ca="1" si="1">IF(OR($I16&gt;0,$A16=1,$A16=2,$A16=3,$A16=4),"F","")</f>
        <v>F</v>
      </c>
      <c r="D16" s="146" t="str">
        <f ca="1">ORÇAMENTO!O16</f>
        <v>1.</v>
      </c>
      <c r="E16" s="206" t="str">
        <f t="shared" ref="E16:E78" si="2">ORÇAMENTO.Descricao</f>
        <v>PLANILHA ORÇAMENTÁRIA - FNDE</v>
      </c>
      <c r="F16" s="207" t="str">
        <f t="shared" ref="F16:F78" ca="1" si="3">IF(RegimeExecucao="Global","",ORÇAMENTO.Unidade)</f>
        <v>-</v>
      </c>
      <c r="G16" s="151">
        <f ca="1">IF(RegimeExecucao="Global","",ORÇAMENTO!T16)</f>
        <v>0</v>
      </c>
      <c r="H16" s="151">
        <f ca="1">IF(RegimeExecucao="Global","",ORÇAMENTO!W16)</f>
        <v>0</v>
      </c>
      <c r="I16" s="154">
        <f ca="1">ORÇAMENTO!X16</f>
        <v>0</v>
      </c>
      <c r="J16" s="427">
        <f t="shared" ref="J16:J78" ca="1" si="4">IF($A16="S",IF(CAIXA.Modo,BM.AFAnterior,BM.MEDAnterior),IF(AND(RegimeExecucao="Global",$I16&gt;0,COUNTIF($AB$13:$AM$13,BM.medicao-1)&gt;0),M16/$I16*100,0))</f>
        <v>0</v>
      </c>
      <c r="K16" s="151">
        <f t="shared" ref="K16:K78" ca="1" si="5">L16-J16</f>
        <v>0</v>
      </c>
      <c r="L16" s="428">
        <f t="shared" ref="L16:L78" ca="1" si="6">IF($A16="S",IF(CAIXA.Modo,BM.AFAcumulado,BM.MEDAcumulado),IF(AND(RegimeExecucao="Global",$I16&gt;0,COUNTIF($AB$13:$AM$13,BM.medicao)&gt;0),O16/$I16*100,0))</f>
        <v>0</v>
      </c>
      <c r="M16" s="429">
        <f ca="1">IF($A16="S",VTOTALBM,IF($A16=0,0,ROUND(SomaAgrupBM,15-13*ORÇAMENTO!$AF$11)))</f>
        <v>0</v>
      </c>
      <c r="N16" s="430">
        <f t="shared" ref="N16:N78" ca="1" si="7">O16-M16</f>
        <v>0</v>
      </c>
      <c r="O16" s="154">
        <f ca="1">IF($A16="S",VTOTALBM,IF($A16=0,0,ROUND(SomaAgrupBM,15-13*ORÇAMENTO!$AF$11)))</f>
        <v>0</v>
      </c>
      <c r="Q16" s="431"/>
      <c r="R16" s="432"/>
      <c r="T16" s="146" t="str">
        <f t="shared" ref="T16:T78" ca="1" si="8">IF($W16&gt;0,$D16,"")</f>
        <v/>
      </c>
      <c r="U16" s="206" t="str">
        <f t="shared" ref="U16:U78" ca="1" si="9">IF($W16&gt;0,$E16,"")</f>
        <v/>
      </c>
      <c r="V16" s="207" t="str">
        <f t="shared" ref="V16:V78" ca="1" si="10">IF(AND($W16&gt;0,RegimeExecucao="Unitário"),$F16,"")</f>
        <v/>
      </c>
      <c r="W16" s="634">
        <f ca="1">IF($Y16&gt;0,CHOOSE(MATCH(RegimeExecucao,{"Unitário","Global"},0),IF($A16="S",$Y16/$X16,""),($Y16/$X16)*100),0)</f>
        <v>0</v>
      </c>
      <c r="X16" s="433" t="str">
        <f ca="1">IF($Y16&gt;0,CHOOSE(MATCH(RegimeExecucao,{"Unitário","Global"},0),IF($A16="S",ROUND($H16,ORÇAMENTO!$AF$10),""),ROUND($I16,ORÇAMENTO!$AF$11)),"")</f>
        <v/>
      </c>
      <c r="Y16" s="433">
        <f t="shared" ref="Y16:Y78" ca="1" si="11">AO16-O16</f>
        <v>0</v>
      </c>
      <c r="Z16" s="434"/>
      <c r="AB16" s="431"/>
      <c r="AC16" s="599"/>
      <c r="AD16" s="599"/>
      <c r="AE16" s="599"/>
      <c r="AF16" s="599"/>
      <c r="AG16" s="599"/>
      <c r="AH16" s="599"/>
      <c r="AI16" s="599"/>
      <c r="AJ16" s="599"/>
      <c r="AK16" s="599"/>
      <c r="AL16" s="599"/>
      <c r="AM16" s="432"/>
      <c r="AO16">
        <f ca="1">IF($A16="S",IF(BM!$I16=0,0,CHOOSE(MATCH(RegimeExecucao,{"Global","Unitário"},0),ROUND(ROUND(BM.MEDAcumulado,15-13*BM!$A$9)/100*BM!$I16,15-13*ORÇAMENTO!$AF$11),ROUND(ROUND(BM.MEDAcumulado,15-13*BM!$A$9)*ROUND(BM!$H16,15-13*ORÇAMENTO!$AF$10),15-13*ORÇAMENTO!$AF$11))),IF($A16=0,0,ROUND(SomaAgrupBM,15-13*ORÇAMENTO!$AF$11)))</f>
        <v>0</v>
      </c>
    </row>
    <row r="17" spans="1:41" ht="13.8" x14ac:dyDescent="0.3">
      <c r="A17">
        <f ca="1">ORÇAMENTO!C17</f>
        <v>2</v>
      </c>
      <c r="B17">
        <f ca="1">ORÇAMENTO!D17</f>
        <v>11</v>
      </c>
      <c r="C17" s="143" t="str">
        <f t="shared" ca="1" si="1"/>
        <v>F</v>
      </c>
      <c r="D17" s="146" t="str">
        <f ca="1">ORÇAMENTO!O17</f>
        <v>1.1.</v>
      </c>
      <c r="E17" s="206" t="str">
        <f t="shared" si="2"/>
        <v>SERVIÇOS INICIAIS</v>
      </c>
      <c r="F17" s="207" t="str">
        <f t="shared" ca="1" si="3"/>
        <v>-</v>
      </c>
      <c r="G17" s="151">
        <f ca="1">IF(RegimeExecucao="Global","",ORÇAMENTO!T17)</f>
        <v>0</v>
      </c>
      <c r="H17" s="151">
        <f ca="1">IF(RegimeExecucao="Global","",ORÇAMENTO!W17)</f>
        <v>0</v>
      </c>
      <c r="I17" s="154">
        <f ca="1">ORÇAMENTO!X17</f>
        <v>0</v>
      </c>
      <c r="J17" s="427">
        <f t="shared" ca="1" si="4"/>
        <v>0</v>
      </c>
      <c r="K17" s="151">
        <f t="shared" ca="1" si="5"/>
        <v>0</v>
      </c>
      <c r="L17" s="428">
        <f t="shared" ca="1" si="6"/>
        <v>0</v>
      </c>
      <c r="M17" s="429">
        <f ca="1">IF($A17="S",VTOTALBM,IF($A17=0,0,ROUND(SomaAgrupBM,15-13*ORÇAMENTO!$AF$11)))</f>
        <v>0</v>
      </c>
      <c r="N17" s="430">
        <f t="shared" ca="1" si="7"/>
        <v>0</v>
      </c>
      <c r="O17" s="154">
        <f ca="1">IF($A17="S",VTOTALBM,IF($A17=0,0,ROUND(SomaAgrupBM,15-13*ORÇAMENTO!$AF$11)))</f>
        <v>0</v>
      </c>
      <c r="Q17" s="431"/>
      <c r="R17" s="432"/>
      <c r="T17" s="146" t="str">
        <f t="shared" ca="1" si="8"/>
        <v/>
      </c>
      <c r="U17" s="206" t="str">
        <f t="shared" ca="1" si="9"/>
        <v/>
      </c>
      <c r="V17" s="207" t="str">
        <f t="shared" ca="1" si="10"/>
        <v/>
      </c>
      <c r="W17" s="634">
        <f ca="1">IF($Y17&gt;0,CHOOSE(MATCH(RegimeExecucao,{"Unitário","Global"},0),IF($A17="S",$Y17/$X17,""),($Y17/$X17)*100),0)</f>
        <v>0</v>
      </c>
      <c r="X17" s="433" t="str">
        <f ca="1">IF($Y17&gt;0,CHOOSE(MATCH(RegimeExecucao,{"Unitário","Global"},0),IF($A17="S",ROUND($H17,ORÇAMENTO!$AF$10),""),ROUND($I17,ORÇAMENTO!$AF$11)),"")</f>
        <v/>
      </c>
      <c r="Y17" s="433">
        <f t="shared" ca="1" si="11"/>
        <v>0</v>
      </c>
      <c r="Z17" s="434"/>
      <c r="AB17" s="431"/>
      <c r="AC17" s="599"/>
      <c r="AD17" s="599"/>
      <c r="AE17" s="599"/>
      <c r="AF17" s="599"/>
      <c r="AG17" s="599"/>
      <c r="AH17" s="599"/>
      <c r="AI17" s="599"/>
      <c r="AJ17" s="599"/>
      <c r="AK17" s="599"/>
      <c r="AL17" s="599"/>
      <c r="AM17" s="432"/>
      <c r="AO17">
        <f ca="1">IF($A17="S",IF(BM!$I17=0,0,CHOOSE(MATCH(RegimeExecucao,{"Global","Unitário"},0),ROUND(ROUND(BM.MEDAcumulado,15-13*BM!$A$9)/100*BM!$I17,15-13*ORÇAMENTO!$AF$11),ROUND(ROUND(BM.MEDAcumulado,15-13*BM!$A$9)*ROUND(BM!$H17,15-13*ORÇAMENTO!$AF$10),15-13*ORÇAMENTO!$AF$11))),IF($A17=0,0,ROUND(SomaAgrupBM,15-13*ORÇAMENTO!$AF$11)))</f>
        <v>0</v>
      </c>
    </row>
    <row r="18" spans="1:41" ht="13.8" x14ac:dyDescent="0.3">
      <c r="A18" t="str">
        <f ca="1">ORÇAMENTO!C18</f>
        <v>S</v>
      </c>
      <c r="B18">
        <f ca="1">ORÇAMENTO!D18</f>
        <v>0</v>
      </c>
      <c r="C18" s="143" t="str">
        <f t="shared" ca="1" si="1"/>
        <v/>
      </c>
      <c r="D18" s="146" t="str">
        <f ca="1">ORÇAMENTO!O18</f>
        <v>-</v>
      </c>
      <c r="E18" s="206" t="str">
        <f t="shared" ca="1" si="2"/>
        <v>(abra o arquivo 'Referência 05-2024.xls)</v>
      </c>
      <c r="F18" s="207" t="str">
        <f t="shared" ca="1" si="3"/>
        <v>-</v>
      </c>
      <c r="G18" s="151">
        <f ca="1">IF(RegimeExecucao="Global","",ORÇAMENTO!T18)</f>
        <v>10</v>
      </c>
      <c r="H18" s="151">
        <f ca="1">IF(RegimeExecucao="Global","",ORÇAMENTO!W18)</f>
        <v>0</v>
      </c>
      <c r="I18" s="154">
        <f ca="1">ORÇAMENTO!X18</f>
        <v>0</v>
      </c>
      <c r="J18" s="427">
        <f t="shared" ca="1" si="4"/>
        <v>0</v>
      </c>
      <c r="K18" s="151">
        <f t="shared" ca="1" si="5"/>
        <v>0</v>
      </c>
      <c r="L18" s="428">
        <f t="shared" ca="1" si="6"/>
        <v>0</v>
      </c>
      <c r="M18" s="429">
        <f ca="1">IF($A18="S",VTOTALBM,IF($A18=0,0,ROUND(SomaAgrupBM,15-13*ORÇAMENTO!$AF$11)))</f>
        <v>0</v>
      </c>
      <c r="N18" s="430">
        <f t="shared" ca="1" si="7"/>
        <v>0</v>
      </c>
      <c r="O18" s="154">
        <f ca="1">IF($A18="S",VTOTALBM,IF($A18=0,0,ROUND(SomaAgrupBM,15-13*ORÇAMENTO!$AF$11)))</f>
        <v>0</v>
      </c>
      <c r="Q18" s="431"/>
      <c r="R18" s="432"/>
      <c r="T18" s="146" t="str">
        <f t="shared" ca="1" si="8"/>
        <v/>
      </c>
      <c r="U18" s="206" t="str">
        <f t="shared" ca="1" si="9"/>
        <v/>
      </c>
      <c r="V18" s="207" t="str">
        <f t="shared" ca="1" si="10"/>
        <v/>
      </c>
      <c r="W18" s="634">
        <f ca="1">IF($Y18&gt;0,CHOOSE(MATCH(RegimeExecucao,{"Unitário","Global"},0),IF($A18="S",$Y18/$X18,""),($Y18/$X18)*100),0)</f>
        <v>0</v>
      </c>
      <c r="X18" s="433" t="str">
        <f ca="1">IF($Y18&gt;0,CHOOSE(MATCH(RegimeExecucao,{"Unitário","Global"},0),IF($A18="S",ROUND($H18,ORÇAMENTO!$AF$10),""),ROUND($I18,ORÇAMENTO!$AF$11)),"")</f>
        <v/>
      </c>
      <c r="Y18" s="433">
        <f t="shared" ca="1" si="11"/>
        <v>0</v>
      </c>
      <c r="Z18" s="434"/>
      <c r="AB18" s="431"/>
      <c r="AC18" s="599"/>
      <c r="AD18" s="599"/>
      <c r="AE18" s="599"/>
      <c r="AF18" s="599"/>
      <c r="AG18" s="599"/>
      <c r="AH18" s="599"/>
      <c r="AI18" s="599"/>
      <c r="AJ18" s="599"/>
      <c r="AK18" s="599"/>
      <c r="AL18" s="599"/>
      <c r="AM18" s="432"/>
      <c r="AO18">
        <f ca="1">IF($A18="S",IF(BM!$I18=0,0,CHOOSE(MATCH(RegimeExecucao,{"Global","Unitário"},0),ROUND(ROUND(BM.MEDAcumulado,15-13*BM!$A$9)/100*BM!$I18,15-13*ORÇAMENTO!$AF$11),ROUND(ROUND(BM.MEDAcumulado,15-13*BM!$A$9)*ROUND(BM!$H18,15-13*ORÇAMENTO!$AF$10),15-13*ORÇAMENTO!$AF$11))),IF($A18=0,0,ROUND(SomaAgrupBM,15-13*ORÇAMENTO!$AF$11)))</f>
        <v>0</v>
      </c>
    </row>
    <row r="19" spans="1:41" ht="13.8" x14ac:dyDescent="0.3">
      <c r="A19" t="str">
        <f ca="1">ORÇAMENTO!C19</f>
        <v>S</v>
      </c>
      <c r="B19">
        <f ca="1">ORÇAMENTO!D19</f>
        <v>0</v>
      </c>
      <c r="C19" s="143" t="str">
        <f t="shared" ca="1" si="1"/>
        <v/>
      </c>
      <c r="D19" s="146" t="str">
        <f ca="1">ORÇAMENTO!O19</f>
        <v>-</v>
      </c>
      <c r="E19" s="206" t="str">
        <f t="shared" ca="1" si="2"/>
        <v>(abra o arquivo 'Referência 05-2024.xls)</v>
      </c>
      <c r="F19" s="207" t="str">
        <f t="shared" ca="1" si="3"/>
        <v>-</v>
      </c>
      <c r="G19" s="151">
        <f ca="1">IF(RegimeExecucao="Global","",ORÇAMENTO!T19)</f>
        <v>616</v>
      </c>
      <c r="H19" s="151">
        <f ca="1">IF(RegimeExecucao="Global","",ORÇAMENTO!W19)</f>
        <v>0</v>
      </c>
      <c r="I19" s="154">
        <f ca="1">ORÇAMENTO!X19</f>
        <v>0</v>
      </c>
      <c r="J19" s="427">
        <f t="shared" ca="1" si="4"/>
        <v>0</v>
      </c>
      <c r="K19" s="151">
        <f t="shared" ca="1" si="5"/>
        <v>0</v>
      </c>
      <c r="L19" s="428">
        <f t="shared" ca="1" si="6"/>
        <v>0</v>
      </c>
      <c r="M19" s="429">
        <f ca="1">IF($A19="S",VTOTALBM,IF($A19=0,0,ROUND(SomaAgrupBM,15-13*ORÇAMENTO!$AF$11)))</f>
        <v>0</v>
      </c>
      <c r="N19" s="430">
        <f t="shared" ca="1" si="7"/>
        <v>0</v>
      </c>
      <c r="O19" s="154">
        <f ca="1">IF($A19="S",VTOTALBM,IF($A19=0,0,ROUND(SomaAgrupBM,15-13*ORÇAMENTO!$AF$11)))</f>
        <v>0</v>
      </c>
      <c r="Q19" s="431"/>
      <c r="R19" s="432"/>
      <c r="T19" s="146" t="str">
        <f t="shared" ca="1" si="8"/>
        <v/>
      </c>
      <c r="U19" s="206" t="str">
        <f t="shared" ca="1" si="9"/>
        <v/>
      </c>
      <c r="V19" s="207" t="str">
        <f t="shared" ca="1" si="10"/>
        <v/>
      </c>
      <c r="W19" s="634">
        <f ca="1">IF($Y19&gt;0,CHOOSE(MATCH(RegimeExecucao,{"Unitário","Global"},0),IF($A19="S",$Y19/$X19,""),($Y19/$X19)*100),0)</f>
        <v>0</v>
      </c>
      <c r="X19" s="433" t="str">
        <f ca="1">IF($Y19&gt;0,CHOOSE(MATCH(RegimeExecucao,{"Unitário","Global"},0),IF($A19="S",ROUND($H19,ORÇAMENTO!$AF$10),""),ROUND($I19,ORÇAMENTO!$AF$11)),"")</f>
        <v/>
      </c>
      <c r="Y19" s="433">
        <f t="shared" ca="1" si="11"/>
        <v>0</v>
      </c>
      <c r="Z19" s="434"/>
      <c r="AB19" s="431"/>
      <c r="AC19" s="599"/>
      <c r="AD19" s="599"/>
      <c r="AE19" s="599"/>
      <c r="AF19" s="599"/>
      <c r="AG19" s="599"/>
      <c r="AH19" s="599"/>
      <c r="AI19" s="599"/>
      <c r="AJ19" s="599"/>
      <c r="AK19" s="599"/>
      <c r="AL19" s="599"/>
      <c r="AM19" s="432"/>
      <c r="AO19">
        <f ca="1">IF($A19="S",IF(BM!$I19=0,0,CHOOSE(MATCH(RegimeExecucao,{"Global","Unitário"},0),ROUND(ROUND(BM.MEDAcumulado,15-13*BM!$A$9)/100*BM!$I19,15-13*ORÇAMENTO!$AF$11),ROUND(ROUND(BM.MEDAcumulado,15-13*BM!$A$9)*ROUND(BM!$H19,15-13*ORÇAMENTO!$AF$10),15-13*ORÇAMENTO!$AF$11))),IF($A19=0,0,ROUND(SomaAgrupBM,15-13*ORÇAMENTO!$AF$11)))</f>
        <v>0</v>
      </c>
    </row>
    <row r="20" spans="1:41" ht="13.8" x14ac:dyDescent="0.3">
      <c r="A20" t="str">
        <f ca="1">ORÇAMENTO!C20</f>
        <v>S</v>
      </c>
      <c r="B20">
        <f ca="1">ORÇAMENTO!D20</f>
        <v>0</v>
      </c>
      <c r="C20" s="143" t="str">
        <f t="shared" ca="1" si="1"/>
        <v/>
      </c>
      <c r="D20" s="146" t="str">
        <f ca="1">ORÇAMENTO!O20</f>
        <v>-</v>
      </c>
      <c r="E20" s="206" t="str">
        <f t="shared" ca="1" si="2"/>
        <v>(abra o arquivo 'Referência 05-2024.xls)</v>
      </c>
      <c r="F20" s="207" t="str">
        <f t="shared" ca="1" si="3"/>
        <v>-</v>
      </c>
      <c r="G20" s="151">
        <f ca="1">IF(RegimeExecucao="Global","",ORÇAMENTO!T20)</f>
        <v>1</v>
      </c>
      <c r="H20" s="151">
        <f ca="1">IF(RegimeExecucao="Global","",ORÇAMENTO!W20)</f>
        <v>0</v>
      </c>
      <c r="I20" s="154">
        <f ca="1">ORÇAMENTO!X20</f>
        <v>0</v>
      </c>
      <c r="J20" s="427">
        <f t="shared" ca="1" si="4"/>
        <v>0</v>
      </c>
      <c r="K20" s="151">
        <f t="shared" ca="1" si="5"/>
        <v>0</v>
      </c>
      <c r="L20" s="428">
        <f t="shared" ca="1" si="6"/>
        <v>0</v>
      </c>
      <c r="M20" s="429">
        <f ca="1">IF($A20="S",VTOTALBM,IF($A20=0,0,ROUND(SomaAgrupBM,15-13*ORÇAMENTO!$AF$11)))</f>
        <v>0</v>
      </c>
      <c r="N20" s="430">
        <f t="shared" ca="1" si="7"/>
        <v>0</v>
      </c>
      <c r="O20" s="154">
        <f ca="1">IF($A20="S",VTOTALBM,IF($A20=0,0,ROUND(SomaAgrupBM,15-13*ORÇAMENTO!$AF$11)))</f>
        <v>0</v>
      </c>
      <c r="Q20" s="431"/>
      <c r="R20" s="432"/>
      <c r="T20" s="146" t="str">
        <f t="shared" ca="1" si="8"/>
        <v/>
      </c>
      <c r="U20" s="206" t="str">
        <f t="shared" ca="1" si="9"/>
        <v/>
      </c>
      <c r="V20" s="207" t="str">
        <f t="shared" ca="1" si="10"/>
        <v/>
      </c>
      <c r="W20" s="634">
        <f ca="1">IF($Y20&gt;0,CHOOSE(MATCH(RegimeExecucao,{"Unitário","Global"},0),IF($A20="S",$Y20/$X20,""),($Y20/$X20)*100),0)</f>
        <v>0</v>
      </c>
      <c r="X20" s="433" t="str">
        <f ca="1">IF($Y20&gt;0,CHOOSE(MATCH(RegimeExecucao,{"Unitário","Global"},0),IF($A20="S",ROUND($H20,ORÇAMENTO!$AF$10),""),ROUND($I20,ORÇAMENTO!$AF$11)),"")</f>
        <v/>
      </c>
      <c r="Y20" s="433">
        <f t="shared" ca="1" si="11"/>
        <v>0</v>
      </c>
      <c r="Z20" s="434"/>
      <c r="AB20" s="431"/>
      <c r="AC20" s="599"/>
      <c r="AD20" s="599"/>
      <c r="AE20" s="599"/>
      <c r="AF20" s="599"/>
      <c r="AG20" s="599"/>
      <c r="AH20" s="599"/>
      <c r="AI20" s="599"/>
      <c r="AJ20" s="599"/>
      <c r="AK20" s="599"/>
      <c r="AL20" s="599"/>
      <c r="AM20" s="432"/>
      <c r="AO20">
        <f ca="1">IF($A20="S",IF(BM!$I20=0,0,CHOOSE(MATCH(RegimeExecucao,{"Global","Unitário"},0),ROUND(ROUND(BM.MEDAcumulado,15-13*BM!$A$9)/100*BM!$I20,15-13*ORÇAMENTO!$AF$11),ROUND(ROUND(BM.MEDAcumulado,15-13*BM!$A$9)*ROUND(BM!$H20,15-13*ORÇAMENTO!$AF$10),15-13*ORÇAMENTO!$AF$11))),IF($A20=0,0,ROUND(SomaAgrupBM,15-13*ORÇAMENTO!$AF$11)))</f>
        <v>0</v>
      </c>
    </row>
    <row r="21" spans="1:41" ht="13.8" x14ac:dyDescent="0.3">
      <c r="A21" t="str">
        <f ca="1">ORÇAMENTO!C21</f>
        <v>S</v>
      </c>
      <c r="B21">
        <f ca="1">ORÇAMENTO!D21</f>
        <v>0</v>
      </c>
      <c r="C21" s="143" t="str">
        <f t="shared" ca="1" si="1"/>
        <v/>
      </c>
      <c r="D21" s="146" t="str">
        <f ca="1">ORÇAMENTO!O21</f>
        <v>-</v>
      </c>
      <c r="E21" s="206" t="str">
        <f t="shared" ca="1" si="2"/>
        <v>(abra o arquivo 'Referência 05-2024.xls)</v>
      </c>
      <c r="F21" s="207" t="str">
        <f t="shared" ca="1" si="3"/>
        <v>-</v>
      </c>
      <c r="G21" s="151">
        <f ca="1">IF(RegimeExecucao="Global","",ORÇAMENTO!T21)</f>
        <v>1</v>
      </c>
      <c r="H21" s="151">
        <f ca="1">IF(RegimeExecucao="Global","",ORÇAMENTO!W21)</f>
        <v>0</v>
      </c>
      <c r="I21" s="154">
        <f ca="1">ORÇAMENTO!X21</f>
        <v>0</v>
      </c>
      <c r="J21" s="427">
        <f t="shared" ca="1" si="4"/>
        <v>0</v>
      </c>
      <c r="K21" s="151">
        <f t="shared" ca="1" si="5"/>
        <v>0</v>
      </c>
      <c r="L21" s="428">
        <f t="shared" ca="1" si="6"/>
        <v>0</v>
      </c>
      <c r="M21" s="429">
        <f ca="1">IF($A21="S",VTOTALBM,IF($A21=0,0,ROUND(SomaAgrupBM,15-13*ORÇAMENTO!$AF$11)))</f>
        <v>0</v>
      </c>
      <c r="N21" s="430">
        <f t="shared" ca="1" si="7"/>
        <v>0</v>
      </c>
      <c r="O21" s="154">
        <f ca="1">IF($A21="S",VTOTALBM,IF($A21=0,0,ROUND(SomaAgrupBM,15-13*ORÇAMENTO!$AF$11)))</f>
        <v>0</v>
      </c>
      <c r="Q21" s="431"/>
      <c r="R21" s="432"/>
      <c r="T21" s="146" t="str">
        <f t="shared" ca="1" si="8"/>
        <v/>
      </c>
      <c r="U21" s="206" t="str">
        <f t="shared" ca="1" si="9"/>
        <v/>
      </c>
      <c r="V21" s="207" t="str">
        <f t="shared" ca="1" si="10"/>
        <v/>
      </c>
      <c r="W21" s="634">
        <f ca="1">IF($Y21&gt;0,CHOOSE(MATCH(RegimeExecucao,{"Unitário","Global"},0),IF($A21="S",$Y21/$X21,""),($Y21/$X21)*100),0)</f>
        <v>0</v>
      </c>
      <c r="X21" s="433" t="str">
        <f ca="1">IF($Y21&gt;0,CHOOSE(MATCH(RegimeExecucao,{"Unitário","Global"},0),IF($A21="S",ROUND($H21,ORÇAMENTO!$AF$10),""),ROUND($I21,ORÇAMENTO!$AF$11)),"")</f>
        <v/>
      </c>
      <c r="Y21" s="433">
        <f t="shared" ca="1" si="11"/>
        <v>0</v>
      </c>
      <c r="Z21" s="434"/>
      <c r="AB21" s="431"/>
      <c r="AC21" s="599"/>
      <c r="AD21" s="599"/>
      <c r="AE21" s="599"/>
      <c r="AF21" s="599"/>
      <c r="AG21" s="599"/>
      <c r="AH21" s="599"/>
      <c r="AI21" s="599"/>
      <c r="AJ21" s="599"/>
      <c r="AK21" s="599"/>
      <c r="AL21" s="599"/>
      <c r="AM21" s="432"/>
      <c r="AO21">
        <f ca="1">IF($A21="S",IF(BM!$I21=0,0,CHOOSE(MATCH(RegimeExecucao,{"Global","Unitário"},0),ROUND(ROUND(BM.MEDAcumulado,15-13*BM!$A$9)/100*BM!$I21,15-13*ORÇAMENTO!$AF$11),ROUND(ROUND(BM.MEDAcumulado,15-13*BM!$A$9)*ROUND(BM!$H21,15-13*ORÇAMENTO!$AF$10),15-13*ORÇAMENTO!$AF$11))),IF($A21=0,0,ROUND(SomaAgrupBM,15-13*ORÇAMENTO!$AF$11)))</f>
        <v>0</v>
      </c>
    </row>
    <row r="22" spans="1:41" ht="13.8" x14ac:dyDescent="0.3">
      <c r="A22" t="str">
        <f ca="1">ORÇAMENTO!C22</f>
        <v>S</v>
      </c>
      <c r="B22">
        <f ca="1">ORÇAMENTO!D22</f>
        <v>0</v>
      </c>
      <c r="C22" s="143" t="str">
        <f t="shared" ca="1" si="1"/>
        <v/>
      </c>
      <c r="D22" s="146" t="str">
        <f ca="1">ORÇAMENTO!O22</f>
        <v>-</v>
      </c>
      <c r="E22" s="206" t="str">
        <f t="shared" ca="1" si="2"/>
        <v>(abra o arquivo 'Referência 05-2024.xls)</v>
      </c>
      <c r="F22" s="207" t="str">
        <f t="shared" ca="1" si="3"/>
        <v>-</v>
      </c>
      <c r="G22" s="151">
        <f ca="1">IF(RegimeExecucao="Global","",ORÇAMENTO!T22)</f>
        <v>2.52</v>
      </c>
      <c r="H22" s="151">
        <f ca="1">IF(RegimeExecucao="Global","",ORÇAMENTO!W22)</f>
        <v>0</v>
      </c>
      <c r="I22" s="154">
        <f ca="1">ORÇAMENTO!X22</f>
        <v>0</v>
      </c>
      <c r="J22" s="427">
        <f t="shared" ca="1" si="4"/>
        <v>0</v>
      </c>
      <c r="K22" s="151">
        <f t="shared" ca="1" si="5"/>
        <v>0</v>
      </c>
      <c r="L22" s="428">
        <f t="shared" ca="1" si="6"/>
        <v>0</v>
      </c>
      <c r="M22" s="429">
        <f ca="1">IF($A22="S",VTOTALBM,IF($A22=0,0,ROUND(SomaAgrupBM,15-13*ORÇAMENTO!$AF$11)))</f>
        <v>0</v>
      </c>
      <c r="N22" s="430">
        <f t="shared" ca="1" si="7"/>
        <v>0</v>
      </c>
      <c r="O22" s="154">
        <f ca="1">IF($A22="S",VTOTALBM,IF($A22=0,0,ROUND(SomaAgrupBM,15-13*ORÇAMENTO!$AF$11)))</f>
        <v>0</v>
      </c>
      <c r="Q22" s="431"/>
      <c r="R22" s="432"/>
      <c r="T22" s="146" t="str">
        <f t="shared" ca="1" si="8"/>
        <v/>
      </c>
      <c r="U22" s="206" t="str">
        <f t="shared" ca="1" si="9"/>
        <v/>
      </c>
      <c r="V22" s="207" t="str">
        <f t="shared" ca="1" si="10"/>
        <v/>
      </c>
      <c r="W22" s="634">
        <f ca="1">IF($Y22&gt;0,CHOOSE(MATCH(RegimeExecucao,{"Unitário","Global"},0),IF($A22="S",$Y22/$X22,""),($Y22/$X22)*100),0)</f>
        <v>0</v>
      </c>
      <c r="X22" s="433" t="str">
        <f ca="1">IF($Y22&gt;0,CHOOSE(MATCH(RegimeExecucao,{"Unitário","Global"},0),IF($A22="S",ROUND($H22,ORÇAMENTO!$AF$10),""),ROUND($I22,ORÇAMENTO!$AF$11)),"")</f>
        <v/>
      </c>
      <c r="Y22" s="433">
        <f t="shared" ca="1" si="11"/>
        <v>0</v>
      </c>
      <c r="Z22" s="434"/>
      <c r="AB22" s="431"/>
      <c r="AC22" s="599"/>
      <c r="AD22" s="599"/>
      <c r="AE22" s="599"/>
      <c r="AF22" s="599"/>
      <c r="AG22" s="599"/>
      <c r="AH22" s="599"/>
      <c r="AI22" s="599"/>
      <c r="AJ22" s="599"/>
      <c r="AK22" s="599"/>
      <c r="AL22" s="599"/>
      <c r="AM22" s="432"/>
      <c r="AO22">
        <f ca="1">IF($A22="S",IF(BM!$I22=0,0,CHOOSE(MATCH(RegimeExecucao,{"Global","Unitário"},0),ROUND(ROUND(BM.MEDAcumulado,15-13*BM!$A$9)/100*BM!$I22,15-13*ORÇAMENTO!$AF$11),ROUND(ROUND(BM.MEDAcumulado,15-13*BM!$A$9)*ROUND(BM!$H22,15-13*ORÇAMENTO!$AF$10),15-13*ORÇAMENTO!$AF$11))),IF($A22=0,0,ROUND(SomaAgrupBM,15-13*ORÇAMENTO!$AF$11)))</f>
        <v>0</v>
      </c>
    </row>
    <row r="23" spans="1:41" ht="13.8" x14ac:dyDescent="0.3">
      <c r="A23" t="str">
        <f ca="1">ORÇAMENTO!C23</f>
        <v>S</v>
      </c>
      <c r="B23">
        <f ca="1">ORÇAMENTO!D23</f>
        <v>0</v>
      </c>
      <c r="C23" s="143" t="str">
        <f t="shared" ca="1" si="1"/>
        <v/>
      </c>
      <c r="D23" s="146" t="str">
        <f ca="1">ORÇAMENTO!O23</f>
        <v>-</v>
      </c>
      <c r="E23" s="206" t="str">
        <f t="shared" ca="1" si="2"/>
        <v>(abra o arquivo 'Referência 05-2024.xls)</v>
      </c>
      <c r="F23" s="207" t="str">
        <f t="shared" ca="1" si="3"/>
        <v>-</v>
      </c>
      <c r="G23" s="151">
        <f ca="1">IF(RegimeExecucao="Global","",ORÇAMENTO!T23)</f>
        <v>20</v>
      </c>
      <c r="H23" s="151">
        <f ca="1">IF(RegimeExecucao="Global","",ORÇAMENTO!W23)</f>
        <v>0</v>
      </c>
      <c r="I23" s="154">
        <f ca="1">ORÇAMENTO!X23</f>
        <v>0</v>
      </c>
      <c r="J23" s="427">
        <f t="shared" ca="1" si="4"/>
        <v>0</v>
      </c>
      <c r="K23" s="151">
        <f t="shared" ca="1" si="5"/>
        <v>0</v>
      </c>
      <c r="L23" s="428">
        <f t="shared" ca="1" si="6"/>
        <v>0</v>
      </c>
      <c r="M23" s="429">
        <f ca="1">IF($A23="S",VTOTALBM,IF($A23=0,0,ROUND(SomaAgrupBM,15-13*ORÇAMENTO!$AF$11)))</f>
        <v>0</v>
      </c>
      <c r="N23" s="430">
        <f t="shared" ca="1" si="7"/>
        <v>0</v>
      </c>
      <c r="O23" s="154">
        <f ca="1">IF($A23="S",VTOTALBM,IF($A23=0,0,ROUND(SomaAgrupBM,15-13*ORÇAMENTO!$AF$11)))</f>
        <v>0</v>
      </c>
      <c r="Q23" s="431"/>
      <c r="R23" s="432"/>
      <c r="T23" s="146" t="str">
        <f t="shared" ca="1" si="8"/>
        <v/>
      </c>
      <c r="U23" s="206" t="str">
        <f t="shared" ca="1" si="9"/>
        <v/>
      </c>
      <c r="V23" s="207" t="str">
        <f t="shared" ca="1" si="10"/>
        <v/>
      </c>
      <c r="W23" s="634">
        <f ca="1">IF($Y23&gt;0,CHOOSE(MATCH(RegimeExecucao,{"Unitário","Global"},0),IF($A23="S",$Y23/$X23,""),($Y23/$X23)*100),0)</f>
        <v>0</v>
      </c>
      <c r="X23" s="433" t="str">
        <f ca="1">IF($Y23&gt;0,CHOOSE(MATCH(RegimeExecucao,{"Unitário","Global"},0),IF($A23="S",ROUND($H23,ORÇAMENTO!$AF$10),""),ROUND($I23,ORÇAMENTO!$AF$11)),"")</f>
        <v/>
      </c>
      <c r="Y23" s="433">
        <f t="shared" ca="1" si="11"/>
        <v>0</v>
      </c>
      <c r="Z23" s="434"/>
      <c r="AB23" s="431"/>
      <c r="AC23" s="599"/>
      <c r="AD23" s="599"/>
      <c r="AE23" s="599"/>
      <c r="AF23" s="599"/>
      <c r="AG23" s="599"/>
      <c r="AH23" s="599"/>
      <c r="AI23" s="599"/>
      <c r="AJ23" s="599"/>
      <c r="AK23" s="599"/>
      <c r="AL23" s="599"/>
      <c r="AM23" s="432"/>
      <c r="AO23">
        <f ca="1">IF($A23="S",IF(BM!$I23=0,0,CHOOSE(MATCH(RegimeExecucao,{"Global","Unitário"},0),ROUND(ROUND(BM.MEDAcumulado,15-13*BM!$A$9)/100*BM!$I23,15-13*ORÇAMENTO!$AF$11),ROUND(ROUND(BM.MEDAcumulado,15-13*BM!$A$9)*ROUND(BM!$H23,15-13*ORÇAMENTO!$AF$10),15-13*ORÇAMENTO!$AF$11))),IF($A23=0,0,ROUND(SomaAgrupBM,15-13*ORÇAMENTO!$AF$11)))</f>
        <v>0</v>
      </c>
    </row>
    <row r="24" spans="1:41" ht="13.8" x14ac:dyDescent="0.3">
      <c r="A24" t="str">
        <f ca="1">ORÇAMENTO!C24</f>
        <v>S</v>
      </c>
      <c r="B24">
        <f ca="1">ORÇAMENTO!D24</f>
        <v>0</v>
      </c>
      <c r="C24" s="143" t="str">
        <f t="shared" ca="1" si="1"/>
        <v/>
      </c>
      <c r="D24" s="146" t="str">
        <f ca="1">ORÇAMENTO!O24</f>
        <v>-</v>
      </c>
      <c r="E24" s="206" t="str">
        <f t="shared" ca="1" si="2"/>
        <v>(abra o arquivo 'Referência 05-2024.xls)</v>
      </c>
      <c r="F24" s="207" t="str">
        <f t="shared" ca="1" si="3"/>
        <v>-</v>
      </c>
      <c r="G24" s="151">
        <f ca="1">IF(RegimeExecucao="Global","",ORÇAMENTO!T24)</f>
        <v>20</v>
      </c>
      <c r="H24" s="151">
        <f ca="1">IF(RegimeExecucao="Global","",ORÇAMENTO!W24)</f>
        <v>0</v>
      </c>
      <c r="I24" s="154">
        <f ca="1">ORÇAMENTO!X24</f>
        <v>0</v>
      </c>
      <c r="J24" s="427">
        <f t="shared" ca="1" si="4"/>
        <v>0</v>
      </c>
      <c r="K24" s="151">
        <f t="shared" ca="1" si="5"/>
        <v>0</v>
      </c>
      <c r="L24" s="428">
        <f t="shared" ca="1" si="6"/>
        <v>0</v>
      </c>
      <c r="M24" s="429">
        <f ca="1">IF($A24="S",VTOTALBM,IF($A24=0,0,ROUND(SomaAgrupBM,15-13*ORÇAMENTO!$AF$11)))</f>
        <v>0</v>
      </c>
      <c r="N24" s="430">
        <f t="shared" ca="1" si="7"/>
        <v>0</v>
      </c>
      <c r="O24" s="154">
        <f ca="1">IF($A24="S",VTOTALBM,IF($A24=0,0,ROUND(SomaAgrupBM,15-13*ORÇAMENTO!$AF$11)))</f>
        <v>0</v>
      </c>
      <c r="Q24" s="431"/>
      <c r="R24" s="432"/>
      <c r="T24" s="146" t="str">
        <f t="shared" ca="1" si="8"/>
        <v/>
      </c>
      <c r="U24" s="206" t="str">
        <f t="shared" ca="1" si="9"/>
        <v/>
      </c>
      <c r="V24" s="207" t="str">
        <f t="shared" ca="1" si="10"/>
        <v/>
      </c>
      <c r="W24" s="634">
        <f ca="1">IF($Y24&gt;0,CHOOSE(MATCH(RegimeExecucao,{"Unitário","Global"},0),IF($A24="S",$Y24/$X24,""),($Y24/$X24)*100),0)</f>
        <v>0</v>
      </c>
      <c r="X24" s="433" t="str">
        <f ca="1">IF($Y24&gt;0,CHOOSE(MATCH(RegimeExecucao,{"Unitário","Global"},0),IF($A24="S",ROUND($H24,ORÇAMENTO!$AF$10),""),ROUND($I24,ORÇAMENTO!$AF$11)),"")</f>
        <v/>
      </c>
      <c r="Y24" s="433">
        <f t="shared" ca="1" si="11"/>
        <v>0</v>
      </c>
      <c r="Z24" s="434"/>
      <c r="AB24" s="431"/>
      <c r="AC24" s="599"/>
      <c r="AD24" s="599"/>
      <c r="AE24" s="599"/>
      <c r="AF24" s="599"/>
      <c r="AG24" s="599"/>
      <c r="AH24" s="599"/>
      <c r="AI24" s="599"/>
      <c r="AJ24" s="599"/>
      <c r="AK24" s="599"/>
      <c r="AL24" s="599"/>
      <c r="AM24" s="432"/>
      <c r="AO24">
        <f ca="1">IF($A24="S",IF(BM!$I24=0,0,CHOOSE(MATCH(RegimeExecucao,{"Global","Unitário"},0),ROUND(ROUND(BM.MEDAcumulado,15-13*BM!$A$9)/100*BM!$I24,15-13*ORÇAMENTO!$AF$11),ROUND(ROUND(BM.MEDAcumulado,15-13*BM!$A$9)*ROUND(BM!$H24,15-13*ORÇAMENTO!$AF$10),15-13*ORÇAMENTO!$AF$11))),IF($A24=0,0,ROUND(SomaAgrupBM,15-13*ORÇAMENTO!$AF$11)))</f>
        <v>0</v>
      </c>
    </row>
    <row r="25" spans="1:41" ht="13.8" x14ac:dyDescent="0.3">
      <c r="A25" t="str">
        <f ca="1">ORÇAMENTO!C25</f>
        <v>S</v>
      </c>
      <c r="B25">
        <f ca="1">ORÇAMENTO!D25</f>
        <v>0</v>
      </c>
      <c r="C25" s="143" t="str">
        <f t="shared" ca="1" si="1"/>
        <v/>
      </c>
      <c r="D25" s="146" t="str">
        <f ca="1">ORÇAMENTO!O25</f>
        <v>-</v>
      </c>
      <c r="E25" s="206" t="str">
        <f t="shared" ca="1" si="2"/>
        <v>(abra o arquivo 'Referência 05-2024.xls)</v>
      </c>
      <c r="F25" s="207" t="str">
        <f t="shared" ca="1" si="3"/>
        <v>-</v>
      </c>
      <c r="G25" s="151">
        <f ca="1">IF(RegimeExecucao="Global","",ORÇAMENTO!T25)</f>
        <v>260</v>
      </c>
      <c r="H25" s="151">
        <f ca="1">IF(RegimeExecucao="Global","",ORÇAMENTO!W25)</f>
        <v>0</v>
      </c>
      <c r="I25" s="154">
        <f ca="1">ORÇAMENTO!X25</f>
        <v>0</v>
      </c>
      <c r="J25" s="427">
        <f t="shared" ca="1" si="4"/>
        <v>0</v>
      </c>
      <c r="K25" s="151">
        <f t="shared" ca="1" si="5"/>
        <v>0</v>
      </c>
      <c r="L25" s="428">
        <f t="shared" ca="1" si="6"/>
        <v>0</v>
      </c>
      <c r="M25" s="429">
        <f ca="1">IF($A25="S",VTOTALBM,IF($A25=0,0,ROUND(SomaAgrupBM,15-13*ORÇAMENTO!$AF$11)))</f>
        <v>0</v>
      </c>
      <c r="N25" s="430">
        <f t="shared" ca="1" si="7"/>
        <v>0</v>
      </c>
      <c r="O25" s="154">
        <f ca="1">IF($A25="S",VTOTALBM,IF($A25=0,0,ROUND(SomaAgrupBM,15-13*ORÇAMENTO!$AF$11)))</f>
        <v>0</v>
      </c>
      <c r="Q25" s="431"/>
      <c r="R25" s="432"/>
      <c r="T25" s="146" t="str">
        <f t="shared" ca="1" si="8"/>
        <v/>
      </c>
      <c r="U25" s="206" t="str">
        <f t="shared" ca="1" si="9"/>
        <v/>
      </c>
      <c r="V25" s="207" t="str">
        <f t="shared" ca="1" si="10"/>
        <v/>
      </c>
      <c r="W25" s="634">
        <f ca="1">IF($Y25&gt;0,CHOOSE(MATCH(RegimeExecucao,{"Unitário","Global"},0),IF($A25="S",$Y25/$X25,""),($Y25/$X25)*100),0)</f>
        <v>0</v>
      </c>
      <c r="X25" s="433" t="str">
        <f ca="1">IF($Y25&gt;0,CHOOSE(MATCH(RegimeExecucao,{"Unitário","Global"},0),IF($A25="S",ROUND($H25,ORÇAMENTO!$AF$10),""),ROUND($I25,ORÇAMENTO!$AF$11)),"")</f>
        <v/>
      </c>
      <c r="Y25" s="433">
        <f t="shared" ca="1" si="11"/>
        <v>0</v>
      </c>
      <c r="Z25" s="434"/>
      <c r="AB25" s="431"/>
      <c r="AC25" s="599"/>
      <c r="AD25" s="599"/>
      <c r="AE25" s="599"/>
      <c r="AF25" s="599"/>
      <c r="AG25" s="599"/>
      <c r="AH25" s="599"/>
      <c r="AI25" s="599"/>
      <c r="AJ25" s="599"/>
      <c r="AK25" s="599"/>
      <c r="AL25" s="599"/>
      <c r="AM25" s="432"/>
      <c r="AO25">
        <f ca="1">IF($A25="S",IF(BM!$I25=0,0,CHOOSE(MATCH(RegimeExecucao,{"Global","Unitário"},0),ROUND(ROUND(BM.MEDAcumulado,15-13*BM!$A$9)/100*BM!$I25,15-13*ORÇAMENTO!$AF$11),ROUND(ROUND(BM.MEDAcumulado,15-13*BM!$A$9)*ROUND(BM!$H25,15-13*ORÇAMENTO!$AF$10),15-13*ORÇAMENTO!$AF$11))),IF($A25=0,0,ROUND(SomaAgrupBM,15-13*ORÇAMENTO!$AF$11)))</f>
        <v>0</v>
      </c>
    </row>
    <row r="26" spans="1:41" ht="13.8" x14ac:dyDescent="0.3">
      <c r="A26" t="str">
        <f ca="1">ORÇAMENTO!C26</f>
        <v>S</v>
      </c>
      <c r="B26">
        <f ca="1">ORÇAMENTO!D26</f>
        <v>0</v>
      </c>
      <c r="C26" s="143" t="str">
        <f t="shared" ca="1" si="1"/>
        <v/>
      </c>
      <c r="D26" s="146" t="str">
        <f ca="1">ORÇAMENTO!O26</f>
        <v>-</v>
      </c>
      <c r="E26" s="206" t="str">
        <f t="shared" ca="1" si="2"/>
        <v>(abra o arquivo 'Referência 05-2024.xls)</v>
      </c>
      <c r="F26" s="207" t="str">
        <f t="shared" ca="1" si="3"/>
        <v>-</v>
      </c>
      <c r="G26" s="151">
        <f ca="1">IF(RegimeExecucao="Global","",ORÇAMENTO!T26)</f>
        <v>4800</v>
      </c>
      <c r="H26" s="151">
        <f ca="1">IF(RegimeExecucao="Global","",ORÇAMENTO!W26)</f>
        <v>0</v>
      </c>
      <c r="I26" s="154">
        <f ca="1">ORÇAMENTO!X26</f>
        <v>0</v>
      </c>
      <c r="J26" s="427">
        <f t="shared" ca="1" si="4"/>
        <v>0</v>
      </c>
      <c r="K26" s="151">
        <f t="shared" ca="1" si="5"/>
        <v>0</v>
      </c>
      <c r="L26" s="428">
        <f t="shared" ca="1" si="6"/>
        <v>0</v>
      </c>
      <c r="M26" s="429">
        <f ca="1">IF($A26="S",VTOTALBM,IF($A26=0,0,ROUND(SomaAgrupBM,15-13*ORÇAMENTO!$AF$11)))</f>
        <v>0</v>
      </c>
      <c r="N26" s="430">
        <f t="shared" ca="1" si="7"/>
        <v>0</v>
      </c>
      <c r="O26" s="154">
        <f ca="1">IF($A26="S",VTOTALBM,IF($A26=0,0,ROUND(SomaAgrupBM,15-13*ORÇAMENTO!$AF$11)))</f>
        <v>0</v>
      </c>
      <c r="Q26" s="431"/>
      <c r="R26" s="432"/>
      <c r="T26" s="146" t="str">
        <f t="shared" ca="1" si="8"/>
        <v/>
      </c>
      <c r="U26" s="206" t="str">
        <f t="shared" ca="1" si="9"/>
        <v/>
      </c>
      <c r="V26" s="207" t="str">
        <f t="shared" ca="1" si="10"/>
        <v/>
      </c>
      <c r="W26" s="634">
        <f ca="1">IF($Y26&gt;0,CHOOSE(MATCH(RegimeExecucao,{"Unitário","Global"},0),IF($A26="S",$Y26/$X26,""),($Y26/$X26)*100),0)</f>
        <v>0</v>
      </c>
      <c r="X26" s="433" t="str">
        <f ca="1">IF($Y26&gt;0,CHOOSE(MATCH(RegimeExecucao,{"Unitário","Global"},0),IF($A26="S",ROUND($H26,ORÇAMENTO!$AF$10),""),ROUND($I26,ORÇAMENTO!$AF$11)),"")</f>
        <v/>
      </c>
      <c r="Y26" s="433">
        <f t="shared" ca="1" si="11"/>
        <v>0</v>
      </c>
      <c r="Z26" s="434"/>
      <c r="AB26" s="431"/>
      <c r="AC26" s="599"/>
      <c r="AD26" s="599"/>
      <c r="AE26" s="599"/>
      <c r="AF26" s="599"/>
      <c r="AG26" s="599"/>
      <c r="AH26" s="599"/>
      <c r="AI26" s="599"/>
      <c r="AJ26" s="599"/>
      <c r="AK26" s="599"/>
      <c r="AL26" s="599"/>
      <c r="AM26" s="432"/>
      <c r="AO26">
        <f ca="1">IF($A26="S",IF(BM!$I26=0,0,CHOOSE(MATCH(RegimeExecucao,{"Global","Unitário"},0),ROUND(ROUND(BM.MEDAcumulado,15-13*BM!$A$9)/100*BM!$I26,15-13*ORÇAMENTO!$AF$11),ROUND(ROUND(BM.MEDAcumulado,15-13*BM!$A$9)*ROUND(BM!$H26,15-13*ORÇAMENTO!$AF$10),15-13*ORÇAMENTO!$AF$11))),IF($A26=0,0,ROUND(SomaAgrupBM,15-13*ORÇAMENTO!$AF$11)))</f>
        <v>0</v>
      </c>
    </row>
    <row r="27" spans="1:41" ht="13.8" x14ac:dyDescent="0.3">
      <c r="A27" t="str">
        <f ca="1">ORÇAMENTO!C27</f>
        <v>S</v>
      </c>
      <c r="B27">
        <f ca="1">ORÇAMENTO!D27</f>
        <v>0</v>
      </c>
      <c r="C27" s="143" t="str">
        <f t="shared" ca="1" si="1"/>
        <v/>
      </c>
      <c r="D27" s="146" t="str">
        <f ca="1">ORÇAMENTO!O27</f>
        <v>-</v>
      </c>
      <c r="E27" s="206" t="str">
        <f t="shared" ca="1" si="2"/>
        <v>(abra o arquivo 'Referência 05-2024.xls)</v>
      </c>
      <c r="F27" s="207" t="str">
        <f t="shared" ca="1" si="3"/>
        <v>-</v>
      </c>
      <c r="G27" s="151">
        <f ca="1">IF(RegimeExecucao="Global","",ORÇAMENTO!T27)</f>
        <v>1</v>
      </c>
      <c r="H27" s="151">
        <f ca="1">IF(RegimeExecucao="Global","",ORÇAMENTO!W27)</f>
        <v>0</v>
      </c>
      <c r="I27" s="154">
        <f ca="1">ORÇAMENTO!X27</f>
        <v>0</v>
      </c>
      <c r="J27" s="427">
        <f t="shared" ca="1" si="4"/>
        <v>0</v>
      </c>
      <c r="K27" s="151">
        <f t="shared" ca="1" si="5"/>
        <v>0</v>
      </c>
      <c r="L27" s="428">
        <f t="shared" ca="1" si="6"/>
        <v>0</v>
      </c>
      <c r="M27" s="429">
        <f ca="1">IF($A27="S",VTOTALBM,IF($A27=0,0,ROUND(SomaAgrupBM,15-13*ORÇAMENTO!$AF$11)))</f>
        <v>0</v>
      </c>
      <c r="N27" s="430">
        <f t="shared" ca="1" si="7"/>
        <v>0</v>
      </c>
      <c r="O27" s="154">
        <f ca="1">IF($A27="S",VTOTALBM,IF($A27=0,0,ROUND(SomaAgrupBM,15-13*ORÇAMENTO!$AF$11)))</f>
        <v>0</v>
      </c>
      <c r="Q27" s="431"/>
      <c r="R27" s="432"/>
      <c r="T27" s="146" t="str">
        <f t="shared" ca="1" si="8"/>
        <v/>
      </c>
      <c r="U27" s="206" t="str">
        <f t="shared" ca="1" si="9"/>
        <v/>
      </c>
      <c r="V27" s="207" t="str">
        <f t="shared" ca="1" si="10"/>
        <v/>
      </c>
      <c r="W27" s="634">
        <f ca="1">IF($Y27&gt;0,CHOOSE(MATCH(RegimeExecucao,{"Unitário","Global"},0),IF($A27="S",$Y27/$X27,""),($Y27/$X27)*100),0)</f>
        <v>0</v>
      </c>
      <c r="X27" s="433" t="str">
        <f ca="1">IF($Y27&gt;0,CHOOSE(MATCH(RegimeExecucao,{"Unitário","Global"},0),IF($A27="S",ROUND($H27,ORÇAMENTO!$AF$10),""),ROUND($I27,ORÇAMENTO!$AF$11)),"")</f>
        <v/>
      </c>
      <c r="Y27" s="433">
        <f t="shared" ca="1" si="11"/>
        <v>0</v>
      </c>
      <c r="Z27" s="434"/>
      <c r="AB27" s="431"/>
      <c r="AC27" s="599"/>
      <c r="AD27" s="599"/>
      <c r="AE27" s="599"/>
      <c r="AF27" s="599"/>
      <c r="AG27" s="599"/>
      <c r="AH27" s="599"/>
      <c r="AI27" s="599"/>
      <c r="AJ27" s="599"/>
      <c r="AK27" s="599"/>
      <c r="AL27" s="599"/>
      <c r="AM27" s="432"/>
      <c r="AO27">
        <f ca="1">IF($A27="S",IF(BM!$I27=0,0,CHOOSE(MATCH(RegimeExecucao,{"Global","Unitário"},0),ROUND(ROUND(BM.MEDAcumulado,15-13*BM!$A$9)/100*BM!$I27,15-13*ORÇAMENTO!$AF$11),ROUND(ROUND(BM.MEDAcumulado,15-13*BM!$A$9)*ROUND(BM!$H27,15-13*ORÇAMENTO!$AF$10),15-13*ORÇAMENTO!$AF$11))),IF($A27=0,0,ROUND(SomaAgrupBM,15-13*ORÇAMENTO!$AF$11)))</f>
        <v>0</v>
      </c>
    </row>
    <row r="28" spans="1:41" ht="13.8" x14ac:dyDescent="0.3">
      <c r="A28">
        <f ca="1">ORÇAMENTO!C28</f>
        <v>2</v>
      </c>
      <c r="B28">
        <f ca="1">ORÇAMENTO!D28</f>
        <v>20</v>
      </c>
      <c r="C28" s="143" t="str">
        <f t="shared" ca="1" si="1"/>
        <v>F</v>
      </c>
      <c r="D28" s="146" t="str">
        <f ca="1">ORÇAMENTO!O28</f>
        <v>1.2.</v>
      </c>
      <c r="E28" s="206" t="str">
        <f t="shared" si="2"/>
        <v>MOVIMENTO DE TERRA PARA FUNDAÇÕES</v>
      </c>
      <c r="F28" s="207" t="str">
        <f t="shared" ca="1" si="3"/>
        <v>-</v>
      </c>
      <c r="G28" s="151">
        <f ca="1">IF(RegimeExecucao="Global","",ORÇAMENTO!T28)</f>
        <v>0</v>
      </c>
      <c r="H28" s="151">
        <f ca="1">IF(RegimeExecucao="Global","",ORÇAMENTO!W28)</f>
        <v>0</v>
      </c>
      <c r="I28" s="154">
        <f ca="1">ORÇAMENTO!X28</f>
        <v>0</v>
      </c>
      <c r="J28" s="427">
        <f t="shared" ca="1" si="4"/>
        <v>0</v>
      </c>
      <c r="K28" s="151">
        <f t="shared" ca="1" si="5"/>
        <v>0</v>
      </c>
      <c r="L28" s="428">
        <f t="shared" ca="1" si="6"/>
        <v>0</v>
      </c>
      <c r="M28" s="429">
        <f ca="1">IF($A28="S",VTOTALBM,IF($A28=0,0,ROUND(SomaAgrupBM,15-13*ORÇAMENTO!$AF$11)))</f>
        <v>0</v>
      </c>
      <c r="N28" s="430">
        <f t="shared" ca="1" si="7"/>
        <v>0</v>
      </c>
      <c r="O28" s="154">
        <f ca="1">IF($A28="S",VTOTALBM,IF($A28=0,0,ROUND(SomaAgrupBM,15-13*ORÇAMENTO!$AF$11)))</f>
        <v>0</v>
      </c>
      <c r="Q28" s="431"/>
      <c r="R28" s="432"/>
      <c r="T28" s="146" t="str">
        <f t="shared" ca="1" si="8"/>
        <v/>
      </c>
      <c r="U28" s="206" t="str">
        <f t="shared" ca="1" si="9"/>
        <v/>
      </c>
      <c r="V28" s="207" t="str">
        <f t="shared" ca="1" si="10"/>
        <v/>
      </c>
      <c r="W28" s="634">
        <f ca="1">IF($Y28&gt;0,CHOOSE(MATCH(RegimeExecucao,{"Unitário","Global"},0),IF($A28="S",$Y28/$X28,""),($Y28/$X28)*100),0)</f>
        <v>0</v>
      </c>
      <c r="X28" s="433" t="str">
        <f ca="1">IF($Y28&gt;0,CHOOSE(MATCH(RegimeExecucao,{"Unitário","Global"},0),IF($A28="S",ROUND($H28,ORÇAMENTO!$AF$10),""),ROUND($I28,ORÇAMENTO!$AF$11)),"")</f>
        <v/>
      </c>
      <c r="Y28" s="433">
        <f t="shared" ca="1" si="11"/>
        <v>0</v>
      </c>
      <c r="Z28" s="434"/>
      <c r="AB28" s="431"/>
      <c r="AC28" s="599"/>
      <c r="AD28" s="599"/>
      <c r="AE28" s="599"/>
      <c r="AF28" s="599"/>
      <c r="AG28" s="599"/>
      <c r="AH28" s="599"/>
      <c r="AI28" s="599"/>
      <c r="AJ28" s="599"/>
      <c r="AK28" s="599"/>
      <c r="AL28" s="599"/>
      <c r="AM28" s="432"/>
      <c r="AO28">
        <f ca="1">IF($A28="S",IF(BM!$I28=0,0,CHOOSE(MATCH(RegimeExecucao,{"Global","Unitário"},0),ROUND(ROUND(BM.MEDAcumulado,15-13*BM!$A$9)/100*BM!$I28,15-13*ORÇAMENTO!$AF$11),ROUND(ROUND(BM.MEDAcumulado,15-13*BM!$A$9)*ROUND(BM!$H28,15-13*ORÇAMENTO!$AF$10),15-13*ORÇAMENTO!$AF$11))),IF($A28=0,0,ROUND(SomaAgrupBM,15-13*ORÇAMENTO!$AF$11)))</f>
        <v>0</v>
      </c>
    </row>
    <row r="29" spans="1:41" ht="13.8" x14ac:dyDescent="0.3">
      <c r="A29">
        <f ca="1">ORÇAMENTO!C29</f>
        <v>3</v>
      </c>
      <c r="B29">
        <f ca="1">ORÇAMENTO!D29</f>
        <v>2</v>
      </c>
      <c r="C29" s="143" t="str">
        <f t="shared" ca="1" si="1"/>
        <v>F</v>
      </c>
      <c r="D29" s="146" t="str">
        <f ca="1">ORÇAMENTO!O29</f>
        <v>1.2.1.</v>
      </c>
      <c r="E29" s="206" t="str">
        <f t="shared" si="2"/>
        <v>SAPATAS</v>
      </c>
      <c r="F29" s="207" t="str">
        <f t="shared" ca="1" si="3"/>
        <v>-</v>
      </c>
      <c r="G29" s="151">
        <f ca="1">IF(RegimeExecucao="Global","",ORÇAMENTO!T29)</f>
        <v>0</v>
      </c>
      <c r="H29" s="151">
        <f ca="1">IF(RegimeExecucao="Global","",ORÇAMENTO!W29)</f>
        <v>0</v>
      </c>
      <c r="I29" s="154">
        <f ca="1">ORÇAMENTO!X29</f>
        <v>0</v>
      </c>
      <c r="J29" s="427">
        <f t="shared" ca="1" si="4"/>
        <v>0</v>
      </c>
      <c r="K29" s="151">
        <f t="shared" ca="1" si="5"/>
        <v>0</v>
      </c>
      <c r="L29" s="428">
        <f t="shared" ca="1" si="6"/>
        <v>0</v>
      </c>
      <c r="M29" s="429">
        <f ca="1">IF($A29="S",VTOTALBM,IF($A29=0,0,ROUND(SomaAgrupBM,15-13*ORÇAMENTO!$AF$11)))</f>
        <v>0</v>
      </c>
      <c r="N29" s="430">
        <f t="shared" ca="1" si="7"/>
        <v>0</v>
      </c>
      <c r="O29" s="154">
        <f ca="1">IF($A29="S",VTOTALBM,IF($A29=0,0,ROUND(SomaAgrupBM,15-13*ORÇAMENTO!$AF$11)))</f>
        <v>0</v>
      </c>
      <c r="Q29" s="431"/>
      <c r="R29" s="432"/>
      <c r="T29" s="146" t="str">
        <f t="shared" ca="1" si="8"/>
        <v/>
      </c>
      <c r="U29" s="206" t="str">
        <f t="shared" ca="1" si="9"/>
        <v/>
      </c>
      <c r="V29" s="207" t="str">
        <f t="shared" ca="1" si="10"/>
        <v/>
      </c>
      <c r="W29" s="634">
        <f ca="1">IF($Y29&gt;0,CHOOSE(MATCH(RegimeExecucao,{"Unitário","Global"},0),IF($A29="S",$Y29/$X29,""),($Y29/$X29)*100),0)</f>
        <v>0</v>
      </c>
      <c r="X29" s="433" t="str">
        <f ca="1">IF($Y29&gt;0,CHOOSE(MATCH(RegimeExecucao,{"Unitário","Global"},0),IF($A29="S",ROUND($H29,ORÇAMENTO!$AF$10),""),ROUND($I29,ORÇAMENTO!$AF$11)),"")</f>
        <v/>
      </c>
      <c r="Y29" s="433">
        <f t="shared" ca="1" si="11"/>
        <v>0</v>
      </c>
      <c r="Z29" s="434"/>
      <c r="AB29" s="431"/>
      <c r="AC29" s="599"/>
      <c r="AD29" s="599"/>
      <c r="AE29" s="599"/>
      <c r="AF29" s="599"/>
      <c r="AG29" s="599"/>
      <c r="AH29" s="599"/>
      <c r="AI29" s="599"/>
      <c r="AJ29" s="599"/>
      <c r="AK29" s="599"/>
      <c r="AL29" s="599"/>
      <c r="AM29" s="432"/>
      <c r="AO29">
        <f ca="1">IF($A29="S",IF(BM!$I29=0,0,CHOOSE(MATCH(RegimeExecucao,{"Global","Unitário"},0),ROUND(ROUND(BM.MEDAcumulado,15-13*BM!$A$9)/100*BM!$I29,15-13*ORÇAMENTO!$AF$11),ROUND(ROUND(BM.MEDAcumulado,15-13*BM!$A$9)*ROUND(BM!$H29,15-13*ORÇAMENTO!$AF$10),15-13*ORÇAMENTO!$AF$11))),IF($A29=0,0,ROUND(SomaAgrupBM,15-13*ORÇAMENTO!$AF$11)))</f>
        <v>0</v>
      </c>
    </row>
    <row r="30" spans="1:41" ht="13.8" x14ac:dyDescent="0.3">
      <c r="A30" t="str">
        <f ca="1">ORÇAMENTO!C30</f>
        <v>S</v>
      </c>
      <c r="B30">
        <f ca="1">ORÇAMENTO!D30</f>
        <v>0</v>
      </c>
      <c r="C30" s="143" t="str">
        <f t="shared" ca="1" si="1"/>
        <v/>
      </c>
      <c r="D30" s="146" t="str">
        <f ca="1">ORÇAMENTO!O30</f>
        <v>-</v>
      </c>
      <c r="E30" s="206" t="str">
        <f t="shared" ca="1" si="2"/>
        <v>(abra o arquivo 'Referência 05-2024.xls)</v>
      </c>
      <c r="F30" s="207" t="str">
        <f t="shared" ca="1" si="3"/>
        <v>-</v>
      </c>
      <c r="G30" s="151">
        <f ca="1">IF(RegimeExecucao="Global","",ORÇAMENTO!T30)</f>
        <v>577.65</v>
      </c>
      <c r="H30" s="151">
        <f ca="1">IF(RegimeExecucao="Global","",ORÇAMENTO!W30)</f>
        <v>0</v>
      </c>
      <c r="I30" s="154">
        <f ca="1">ORÇAMENTO!X30</f>
        <v>0</v>
      </c>
      <c r="J30" s="427">
        <f t="shared" ca="1" si="4"/>
        <v>0</v>
      </c>
      <c r="K30" s="151">
        <f t="shared" ca="1" si="5"/>
        <v>0</v>
      </c>
      <c r="L30" s="428">
        <f t="shared" ca="1" si="6"/>
        <v>0</v>
      </c>
      <c r="M30" s="429">
        <f ca="1">IF($A30="S",VTOTALBM,IF($A30=0,0,ROUND(SomaAgrupBM,15-13*ORÇAMENTO!$AF$11)))</f>
        <v>0</v>
      </c>
      <c r="N30" s="430">
        <f t="shared" ca="1" si="7"/>
        <v>0</v>
      </c>
      <c r="O30" s="154">
        <f ca="1">IF($A30="S",VTOTALBM,IF($A30=0,0,ROUND(SomaAgrupBM,15-13*ORÇAMENTO!$AF$11)))</f>
        <v>0</v>
      </c>
      <c r="Q30" s="431"/>
      <c r="R30" s="432"/>
      <c r="T30" s="146" t="str">
        <f t="shared" ca="1" si="8"/>
        <v/>
      </c>
      <c r="U30" s="206" t="str">
        <f t="shared" ca="1" si="9"/>
        <v/>
      </c>
      <c r="V30" s="207" t="str">
        <f t="shared" ca="1" si="10"/>
        <v/>
      </c>
      <c r="W30" s="634">
        <f ca="1">IF($Y30&gt;0,CHOOSE(MATCH(RegimeExecucao,{"Unitário","Global"},0),IF($A30="S",$Y30/$X30,""),($Y30/$X30)*100),0)</f>
        <v>0</v>
      </c>
      <c r="X30" s="433" t="str">
        <f ca="1">IF($Y30&gt;0,CHOOSE(MATCH(RegimeExecucao,{"Unitário","Global"},0),IF($A30="S",ROUND($H30,ORÇAMENTO!$AF$10),""),ROUND($I30,ORÇAMENTO!$AF$11)),"")</f>
        <v/>
      </c>
      <c r="Y30" s="433">
        <f t="shared" ca="1" si="11"/>
        <v>0</v>
      </c>
      <c r="Z30" s="434"/>
      <c r="AB30" s="431"/>
      <c r="AC30" s="599"/>
      <c r="AD30" s="599"/>
      <c r="AE30" s="599"/>
      <c r="AF30" s="599"/>
      <c r="AG30" s="599"/>
      <c r="AH30" s="599"/>
      <c r="AI30" s="599"/>
      <c r="AJ30" s="599"/>
      <c r="AK30" s="599"/>
      <c r="AL30" s="599"/>
      <c r="AM30" s="432"/>
      <c r="AO30">
        <f ca="1">IF($A30="S",IF(BM!$I30=0,0,CHOOSE(MATCH(RegimeExecucao,{"Global","Unitário"},0),ROUND(ROUND(BM.MEDAcumulado,15-13*BM!$A$9)/100*BM!$I30,15-13*ORÇAMENTO!$AF$11),ROUND(ROUND(BM.MEDAcumulado,15-13*BM!$A$9)*ROUND(BM!$H30,15-13*ORÇAMENTO!$AF$10),15-13*ORÇAMENTO!$AF$11))),IF($A30=0,0,ROUND(SomaAgrupBM,15-13*ORÇAMENTO!$AF$11)))</f>
        <v>0</v>
      </c>
    </row>
    <row r="31" spans="1:41" ht="13.8" x14ac:dyDescent="0.3">
      <c r="A31">
        <f ca="1">ORÇAMENTO!C31</f>
        <v>3</v>
      </c>
      <c r="B31">
        <f ca="1">ORÇAMENTO!D31</f>
        <v>5</v>
      </c>
      <c r="C31" s="143" t="str">
        <f t="shared" ca="1" si="1"/>
        <v>F</v>
      </c>
      <c r="D31" s="146" t="str">
        <f ca="1">ORÇAMENTO!O31</f>
        <v>1.2.2.</v>
      </c>
      <c r="E31" s="206" t="str">
        <f t="shared" si="2"/>
        <v>EDIFICAÇÃO</v>
      </c>
      <c r="F31" s="207" t="str">
        <f t="shared" ca="1" si="3"/>
        <v>-</v>
      </c>
      <c r="G31" s="151">
        <f ca="1">IF(RegimeExecucao="Global","",ORÇAMENTO!T31)</f>
        <v>0</v>
      </c>
      <c r="H31" s="151">
        <f ca="1">IF(RegimeExecucao="Global","",ORÇAMENTO!W31)</f>
        <v>0</v>
      </c>
      <c r="I31" s="154">
        <f ca="1">ORÇAMENTO!X31</f>
        <v>0</v>
      </c>
      <c r="J31" s="427">
        <f t="shared" ca="1" si="4"/>
        <v>0</v>
      </c>
      <c r="K31" s="151">
        <f t="shared" ca="1" si="5"/>
        <v>0</v>
      </c>
      <c r="L31" s="428">
        <f t="shared" ca="1" si="6"/>
        <v>0</v>
      </c>
      <c r="M31" s="429">
        <f ca="1">IF($A31="S",VTOTALBM,IF($A31=0,0,ROUND(SomaAgrupBM,15-13*ORÇAMENTO!$AF$11)))</f>
        <v>0</v>
      </c>
      <c r="N31" s="430">
        <f t="shared" ca="1" si="7"/>
        <v>0</v>
      </c>
      <c r="O31" s="154">
        <f ca="1">IF($A31="S",VTOTALBM,IF($A31=0,0,ROUND(SomaAgrupBM,15-13*ORÇAMENTO!$AF$11)))</f>
        <v>0</v>
      </c>
      <c r="Q31" s="431"/>
      <c r="R31" s="432"/>
      <c r="T31" s="146" t="str">
        <f t="shared" ca="1" si="8"/>
        <v/>
      </c>
      <c r="U31" s="206" t="str">
        <f t="shared" ca="1" si="9"/>
        <v/>
      </c>
      <c r="V31" s="207" t="str">
        <f t="shared" ca="1" si="10"/>
        <v/>
      </c>
      <c r="W31" s="634">
        <f ca="1">IF($Y31&gt;0,CHOOSE(MATCH(RegimeExecucao,{"Unitário","Global"},0),IF($A31="S",$Y31/$X31,""),($Y31/$X31)*100),0)</f>
        <v>0</v>
      </c>
      <c r="X31" s="433" t="str">
        <f ca="1">IF($Y31&gt;0,CHOOSE(MATCH(RegimeExecucao,{"Unitário","Global"},0),IF($A31="S",ROUND($H31,ORÇAMENTO!$AF$10),""),ROUND($I31,ORÇAMENTO!$AF$11)),"")</f>
        <v/>
      </c>
      <c r="Y31" s="433">
        <f t="shared" ca="1" si="11"/>
        <v>0</v>
      </c>
      <c r="Z31" s="434"/>
      <c r="AB31" s="431"/>
      <c r="AC31" s="599"/>
      <c r="AD31" s="599"/>
      <c r="AE31" s="599"/>
      <c r="AF31" s="599"/>
      <c r="AG31" s="599"/>
      <c r="AH31" s="599"/>
      <c r="AI31" s="599"/>
      <c r="AJ31" s="599"/>
      <c r="AK31" s="599"/>
      <c r="AL31" s="599"/>
      <c r="AM31" s="432"/>
      <c r="AO31">
        <f ca="1">IF($A31="S",IF(BM!$I31=0,0,CHOOSE(MATCH(RegimeExecucao,{"Global","Unitário"},0),ROUND(ROUND(BM.MEDAcumulado,15-13*BM!$A$9)/100*BM!$I31,15-13*ORÇAMENTO!$AF$11),ROUND(ROUND(BM.MEDAcumulado,15-13*BM!$A$9)*ROUND(BM!$H31,15-13*ORÇAMENTO!$AF$10),15-13*ORÇAMENTO!$AF$11))),IF($A31=0,0,ROUND(SomaAgrupBM,15-13*ORÇAMENTO!$AF$11)))</f>
        <v>0</v>
      </c>
    </row>
    <row r="32" spans="1:41" ht="13.8" x14ac:dyDescent="0.3">
      <c r="A32" t="str">
        <f ca="1">ORÇAMENTO!C32</f>
        <v>S</v>
      </c>
      <c r="B32">
        <f ca="1">ORÇAMENTO!D32</f>
        <v>0</v>
      </c>
      <c r="C32" s="143" t="str">
        <f t="shared" ca="1" si="1"/>
        <v/>
      </c>
      <c r="D32" s="146" t="str">
        <f ca="1">ORÇAMENTO!O32</f>
        <v>-</v>
      </c>
      <c r="E32" s="206" t="str">
        <f t="shared" ca="1" si="2"/>
        <v>(abra o arquivo 'Referência 05-2024.xls)</v>
      </c>
      <c r="F32" s="207" t="str">
        <f t="shared" ca="1" si="3"/>
        <v>-</v>
      </c>
      <c r="G32" s="151">
        <f ca="1">IF(RegimeExecucao="Global","",ORÇAMENTO!T32)</f>
        <v>229.63</v>
      </c>
      <c r="H32" s="151">
        <f ca="1">IF(RegimeExecucao="Global","",ORÇAMENTO!W32)</f>
        <v>0</v>
      </c>
      <c r="I32" s="154">
        <f ca="1">ORÇAMENTO!X32</f>
        <v>0</v>
      </c>
      <c r="J32" s="427">
        <f t="shared" ca="1" si="4"/>
        <v>0</v>
      </c>
      <c r="K32" s="151">
        <f t="shared" ca="1" si="5"/>
        <v>0</v>
      </c>
      <c r="L32" s="428">
        <f t="shared" ca="1" si="6"/>
        <v>0</v>
      </c>
      <c r="M32" s="429">
        <f ca="1">IF($A32="S",VTOTALBM,IF($A32=0,0,ROUND(SomaAgrupBM,15-13*ORÇAMENTO!$AF$11)))</f>
        <v>0</v>
      </c>
      <c r="N32" s="430">
        <f t="shared" ca="1" si="7"/>
        <v>0</v>
      </c>
      <c r="O32" s="154">
        <f ca="1">IF($A32="S",VTOTALBM,IF($A32=0,0,ROUND(SomaAgrupBM,15-13*ORÇAMENTO!$AF$11)))</f>
        <v>0</v>
      </c>
      <c r="Q32" s="431"/>
      <c r="R32" s="432"/>
      <c r="T32" s="146" t="str">
        <f t="shared" ca="1" si="8"/>
        <v/>
      </c>
      <c r="U32" s="206" t="str">
        <f t="shared" ca="1" si="9"/>
        <v/>
      </c>
      <c r="V32" s="207" t="str">
        <f t="shared" ca="1" si="10"/>
        <v/>
      </c>
      <c r="W32" s="634">
        <f ca="1">IF($Y32&gt;0,CHOOSE(MATCH(RegimeExecucao,{"Unitário","Global"},0),IF($A32="S",$Y32/$X32,""),($Y32/$X32)*100),0)</f>
        <v>0</v>
      </c>
      <c r="X32" s="433" t="str">
        <f ca="1">IF($Y32&gt;0,CHOOSE(MATCH(RegimeExecucao,{"Unitário","Global"},0),IF($A32="S",ROUND($H32,ORÇAMENTO!$AF$10),""),ROUND($I32,ORÇAMENTO!$AF$11)),"")</f>
        <v/>
      </c>
      <c r="Y32" s="433">
        <f t="shared" ca="1" si="11"/>
        <v>0</v>
      </c>
      <c r="Z32" s="434"/>
      <c r="AB32" s="431"/>
      <c r="AC32" s="599"/>
      <c r="AD32" s="599"/>
      <c r="AE32" s="599"/>
      <c r="AF32" s="599"/>
      <c r="AG32" s="599"/>
      <c r="AH32" s="599"/>
      <c r="AI32" s="599"/>
      <c r="AJ32" s="599"/>
      <c r="AK32" s="599"/>
      <c r="AL32" s="599"/>
      <c r="AM32" s="432"/>
      <c r="AO32">
        <f ca="1">IF($A32="S",IF(BM!$I32=0,0,CHOOSE(MATCH(RegimeExecucao,{"Global","Unitário"},0),ROUND(ROUND(BM.MEDAcumulado,15-13*BM!$A$9)/100*BM!$I32,15-13*ORÇAMENTO!$AF$11),ROUND(ROUND(BM.MEDAcumulado,15-13*BM!$A$9)*ROUND(BM!$H32,15-13*ORÇAMENTO!$AF$10),15-13*ORÇAMENTO!$AF$11))),IF($A32=0,0,ROUND(SomaAgrupBM,15-13*ORÇAMENTO!$AF$11)))</f>
        <v>0</v>
      </c>
    </row>
    <row r="33" spans="1:41" ht="13.8" x14ac:dyDescent="0.3">
      <c r="A33" t="str">
        <f ca="1">ORÇAMENTO!C33</f>
        <v>S</v>
      </c>
      <c r="B33">
        <f ca="1">ORÇAMENTO!D33</f>
        <v>0</v>
      </c>
      <c r="C33" s="143" t="str">
        <f t="shared" ca="1" si="1"/>
        <v/>
      </c>
      <c r="D33" s="146" t="str">
        <f ca="1">ORÇAMENTO!O33</f>
        <v>-</v>
      </c>
      <c r="E33" s="206" t="str">
        <f t="shared" ca="1" si="2"/>
        <v>(abra o arquivo 'Referência 05-2024.xls)</v>
      </c>
      <c r="F33" s="207" t="str">
        <f t="shared" ca="1" si="3"/>
        <v>-</v>
      </c>
      <c r="G33" s="151">
        <f ca="1">IF(RegimeExecucao="Global","",ORÇAMENTO!T33)</f>
        <v>276.35000000000002</v>
      </c>
      <c r="H33" s="151">
        <f ca="1">IF(RegimeExecucao="Global","",ORÇAMENTO!W33)</f>
        <v>0</v>
      </c>
      <c r="I33" s="154">
        <f ca="1">ORÇAMENTO!X33</f>
        <v>0</v>
      </c>
      <c r="J33" s="427">
        <f t="shared" ca="1" si="4"/>
        <v>0</v>
      </c>
      <c r="K33" s="151">
        <f t="shared" ca="1" si="5"/>
        <v>0</v>
      </c>
      <c r="L33" s="428">
        <f t="shared" ca="1" si="6"/>
        <v>0</v>
      </c>
      <c r="M33" s="429">
        <f ca="1">IF($A33="S",VTOTALBM,IF($A33=0,0,ROUND(SomaAgrupBM,15-13*ORÇAMENTO!$AF$11)))</f>
        <v>0</v>
      </c>
      <c r="N33" s="430">
        <f t="shared" ca="1" si="7"/>
        <v>0</v>
      </c>
      <c r="O33" s="154">
        <f ca="1">IF($A33="S",VTOTALBM,IF($A33=0,0,ROUND(SomaAgrupBM,15-13*ORÇAMENTO!$AF$11)))</f>
        <v>0</v>
      </c>
      <c r="Q33" s="431"/>
      <c r="R33" s="432"/>
      <c r="T33" s="146" t="str">
        <f t="shared" ca="1" si="8"/>
        <v/>
      </c>
      <c r="U33" s="206" t="str">
        <f t="shared" ca="1" si="9"/>
        <v/>
      </c>
      <c r="V33" s="207" t="str">
        <f t="shared" ca="1" si="10"/>
        <v/>
      </c>
      <c r="W33" s="634">
        <f ca="1">IF($Y33&gt;0,CHOOSE(MATCH(RegimeExecucao,{"Unitário","Global"},0),IF($A33="S",$Y33/$X33,""),($Y33/$X33)*100),0)</f>
        <v>0</v>
      </c>
      <c r="X33" s="433" t="str">
        <f ca="1">IF($Y33&gt;0,CHOOSE(MATCH(RegimeExecucao,{"Unitário","Global"},0),IF($A33="S",ROUND($H33,ORÇAMENTO!$AF$10),""),ROUND($I33,ORÇAMENTO!$AF$11)),"")</f>
        <v/>
      </c>
      <c r="Y33" s="433">
        <f t="shared" ca="1" si="11"/>
        <v>0</v>
      </c>
      <c r="Z33" s="434"/>
      <c r="AB33" s="431"/>
      <c r="AC33" s="599"/>
      <c r="AD33" s="599"/>
      <c r="AE33" s="599"/>
      <c r="AF33" s="599"/>
      <c r="AG33" s="599"/>
      <c r="AH33" s="599"/>
      <c r="AI33" s="599"/>
      <c r="AJ33" s="599"/>
      <c r="AK33" s="599"/>
      <c r="AL33" s="599"/>
      <c r="AM33" s="432"/>
      <c r="AO33">
        <f ca="1">IF($A33="S",IF(BM!$I33=0,0,CHOOSE(MATCH(RegimeExecucao,{"Global","Unitário"},0),ROUND(ROUND(BM.MEDAcumulado,15-13*BM!$A$9)/100*BM!$I33,15-13*ORÇAMENTO!$AF$11),ROUND(ROUND(BM.MEDAcumulado,15-13*BM!$A$9)*ROUND(BM!$H33,15-13*ORÇAMENTO!$AF$10),15-13*ORÇAMENTO!$AF$11))),IF($A33=0,0,ROUND(SomaAgrupBM,15-13*ORÇAMENTO!$AF$11)))</f>
        <v>0</v>
      </c>
    </row>
    <row r="34" spans="1:41" ht="13.8" x14ac:dyDescent="0.3">
      <c r="A34" t="str">
        <f ca="1">ORÇAMENTO!C34</f>
        <v>S</v>
      </c>
      <c r="B34">
        <f ca="1">ORÇAMENTO!D34</f>
        <v>0</v>
      </c>
      <c r="C34" s="143" t="str">
        <f t="shared" ca="1" si="1"/>
        <v/>
      </c>
      <c r="D34" s="146" t="str">
        <f ca="1">ORÇAMENTO!O34</f>
        <v>-</v>
      </c>
      <c r="E34" s="206" t="str">
        <f t="shared" ca="1" si="2"/>
        <v>(abra o arquivo 'Referência 05-2024.xls)</v>
      </c>
      <c r="F34" s="207" t="str">
        <f t="shared" ca="1" si="3"/>
        <v>-</v>
      </c>
      <c r="G34" s="151">
        <f ca="1">IF(RegimeExecucao="Global","",ORÇAMENTO!T34)</f>
        <v>279.12</v>
      </c>
      <c r="H34" s="151">
        <f ca="1">IF(RegimeExecucao="Global","",ORÇAMENTO!W34)</f>
        <v>0</v>
      </c>
      <c r="I34" s="154">
        <f ca="1">ORÇAMENTO!X34</f>
        <v>0</v>
      </c>
      <c r="J34" s="427">
        <f t="shared" ca="1" si="4"/>
        <v>0</v>
      </c>
      <c r="K34" s="151">
        <f t="shared" ca="1" si="5"/>
        <v>0</v>
      </c>
      <c r="L34" s="428">
        <f t="shared" ca="1" si="6"/>
        <v>0</v>
      </c>
      <c r="M34" s="429">
        <f ca="1">IF($A34="S",VTOTALBM,IF($A34=0,0,ROUND(SomaAgrupBM,15-13*ORÇAMENTO!$AF$11)))</f>
        <v>0</v>
      </c>
      <c r="N34" s="430">
        <f t="shared" ca="1" si="7"/>
        <v>0</v>
      </c>
      <c r="O34" s="154">
        <f ca="1">IF($A34="S",VTOTALBM,IF($A34=0,0,ROUND(SomaAgrupBM,15-13*ORÇAMENTO!$AF$11)))</f>
        <v>0</v>
      </c>
      <c r="Q34" s="431"/>
      <c r="R34" s="432"/>
      <c r="T34" s="146" t="str">
        <f t="shared" ca="1" si="8"/>
        <v/>
      </c>
      <c r="U34" s="206" t="str">
        <f t="shared" ca="1" si="9"/>
        <v/>
      </c>
      <c r="V34" s="207" t="str">
        <f t="shared" ca="1" si="10"/>
        <v/>
      </c>
      <c r="W34" s="634">
        <f ca="1">IF($Y34&gt;0,CHOOSE(MATCH(RegimeExecucao,{"Unitário","Global"},0),IF($A34="S",$Y34/$X34,""),($Y34/$X34)*100),0)</f>
        <v>0</v>
      </c>
      <c r="X34" s="433" t="str">
        <f ca="1">IF($Y34&gt;0,CHOOSE(MATCH(RegimeExecucao,{"Unitário","Global"},0),IF($A34="S",ROUND($H34,ORÇAMENTO!$AF$10),""),ROUND($I34,ORÇAMENTO!$AF$11)),"")</f>
        <v/>
      </c>
      <c r="Y34" s="433">
        <f t="shared" ca="1" si="11"/>
        <v>0</v>
      </c>
      <c r="Z34" s="434"/>
      <c r="AB34" s="431"/>
      <c r="AC34" s="599"/>
      <c r="AD34" s="599"/>
      <c r="AE34" s="599"/>
      <c r="AF34" s="599"/>
      <c r="AG34" s="599"/>
      <c r="AH34" s="599"/>
      <c r="AI34" s="599"/>
      <c r="AJ34" s="599"/>
      <c r="AK34" s="599"/>
      <c r="AL34" s="599"/>
      <c r="AM34" s="432"/>
      <c r="AO34">
        <f ca="1">IF($A34="S",IF(BM!$I34=0,0,CHOOSE(MATCH(RegimeExecucao,{"Global","Unitário"},0),ROUND(ROUND(BM.MEDAcumulado,15-13*BM!$A$9)/100*BM!$I34,15-13*ORÇAMENTO!$AF$11),ROUND(ROUND(BM.MEDAcumulado,15-13*BM!$A$9)*ROUND(BM!$H34,15-13*ORÇAMENTO!$AF$10),15-13*ORÇAMENTO!$AF$11))),IF($A34=0,0,ROUND(SomaAgrupBM,15-13*ORÇAMENTO!$AF$11)))</f>
        <v>0</v>
      </c>
    </row>
    <row r="35" spans="1:41" ht="13.8" x14ac:dyDescent="0.3">
      <c r="A35" t="str">
        <f ca="1">ORÇAMENTO!C35</f>
        <v>S</v>
      </c>
      <c r="B35">
        <f ca="1">ORÇAMENTO!D35</f>
        <v>0</v>
      </c>
      <c r="C35" s="143" t="str">
        <f t="shared" ca="1" si="1"/>
        <v/>
      </c>
      <c r="D35" s="146" t="str">
        <f ca="1">ORÇAMENTO!O35</f>
        <v>-</v>
      </c>
      <c r="E35" s="206" t="str">
        <f t="shared" ca="1" si="2"/>
        <v>(abra o arquivo 'Referência 05-2024.xls)</v>
      </c>
      <c r="F35" s="207" t="str">
        <f t="shared" ca="1" si="3"/>
        <v>-</v>
      </c>
      <c r="G35" s="151">
        <f ca="1">IF(RegimeExecucao="Global","",ORÇAMENTO!T35)</f>
        <v>326.24</v>
      </c>
      <c r="H35" s="151">
        <f ca="1">IF(RegimeExecucao="Global","",ORÇAMENTO!W35)</f>
        <v>0</v>
      </c>
      <c r="I35" s="154">
        <f ca="1">ORÇAMENTO!X35</f>
        <v>0</v>
      </c>
      <c r="J35" s="427">
        <f t="shared" ca="1" si="4"/>
        <v>0</v>
      </c>
      <c r="K35" s="151">
        <f t="shared" ca="1" si="5"/>
        <v>0</v>
      </c>
      <c r="L35" s="428">
        <f t="shared" ca="1" si="6"/>
        <v>0</v>
      </c>
      <c r="M35" s="429">
        <f ca="1">IF($A35="S",VTOTALBM,IF($A35=0,0,ROUND(SomaAgrupBM,15-13*ORÇAMENTO!$AF$11)))</f>
        <v>0</v>
      </c>
      <c r="N35" s="430">
        <f t="shared" ca="1" si="7"/>
        <v>0</v>
      </c>
      <c r="O35" s="154">
        <f ca="1">IF($A35="S",VTOTALBM,IF($A35=0,0,ROUND(SomaAgrupBM,15-13*ORÇAMENTO!$AF$11)))</f>
        <v>0</v>
      </c>
      <c r="Q35" s="431"/>
      <c r="R35" s="432"/>
      <c r="T35" s="146" t="str">
        <f t="shared" ca="1" si="8"/>
        <v/>
      </c>
      <c r="U35" s="206" t="str">
        <f t="shared" ca="1" si="9"/>
        <v/>
      </c>
      <c r="V35" s="207" t="str">
        <f t="shared" ca="1" si="10"/>
        <v/>
      </c>
      <c r="W35" s="634">
        <f ca="1">IF($Y35&gt;0,CHOOSE(MATCH(RegimeExecucao,{"Unitário","Global"},0),IF($A35="S",$Y35/$X35,""),($Y35/$X35)*100),0)</f>
        <v>0</v>
      </c>
      <c r="X35" s="433" t="str">
        <f ca="1">IF($Y35&gt;0,CHOOSE(MATCH(RegimeExecucao,{"Unitário","Global"},0),IF($A35="S",ROUND($H35,ORÇAMENTO!$AF$10),""),ROUND($I35,ORÇAMENTO!$AF$11)),"")</f>
        <v/>
      </c>
      <c r="Y35" s="433">
        <f t="shared" ca="1" si="11"/>
        <v>0</v>
      </c>
      <c r="Z35" s="434"/>
      <c r="AB35" s="431"/>
      <c r="AC35" s="599"/>
      <c r="AD35" s="599"/>
      <c r="AE35" s="599"/>
      <c r="AF35" s="599"/>
      <c r="AG35" s="599"/>
      <c r="AH35" s="599"/>
      <c r="AI35" s="599"/>
      <c r="AJ35" s="599"/>
      <c r="AK35" s="599"/>
      <c r="AL35" s="599"/>
      <c r="AM35" s="432"/>
      <c r="AO35">
        <f ca="1">IF($A35="S",IF(BM!$I35=0,0,CHOOSE(MATCH(RegimeExecucao,{"Global","Unitário"},0),ROUND(ROUND(BM.MEDAcumulado,15-13*BM!$A$9)/100*BM!$I35,15-13*ORÇAMENTO!$AF$11),ROUND(ROUND(BM.MEDAcumulado,15-13*BM!$A$9)*ROUND(BM!$H35,15-13*ORÇAMENTO!$AF$10),15-13*ORÇAMENTO!$AF$11))),IF($A35=0,0,ROUND(SomaAgrupBM,15-13*ORÇAMENTO!$AF$11)))</f>
        <v>0</v>
      </c>
    </row>
    <row r="36" spans="1:41" ht="13.8" x14ac:dyDescent="0.3">
      <c r="A36">
        <f ca="1">ORÇAMENTO!C36</f>
        <v>3</v>
      </c>
      <c r="B36">
        <f ca="1">ORÇAMENTO!D36</f>
        <v>4</v>
      </c>
      <c r="C36" s="143" t="str">
        <f t="shared" ca="1" si="1"/>
        <v>F</v>
      </c>
      <c r="D36" s="146" t="str">
        <f ca="1">ORÇAMENTO!O36</f>
        <v>1.2.3.</v>
      </c>
      <c r="E36" s="206" t="str">
        <f t="shared" si="2"/>
        <v>RESERVATÓRIO</v>
      </c>
      <c r="F36" s="207" t="str">
        <f t="shared" ca="1" si="3"/>
        <v>-</v>
      </c>
      <c r="G36" s="151">
        <f ca="1">IF(RegimeExecucao="Global","",ORÇAMENTO!T36)</f>
        <v>0</v>
      </c>
      <c r="H36" s="151">
        <f ca="1">IF(RegimeExecucao="Global","",ORÇAMENTO!W36)</f>
        <v>0</v>
      </c>
      <c r="I36" s="154">
        <f ca="1">ORÇAMENTO!X36</f>
        <v>0</v>
      </c>
      <c r="J36" s="427">
        <f t="shared" ca="1" si="4"/>
        <v>0</v>
      </c>
      <c r="K36" s="151">
        <f t="shared" ca="1" si="5"/>
        <v>0</v>
      </c>
      <c r="L36" s="428">
        <f t="shared" ca="1" si="6"/>
        <v>0</v>
      </c>
      <c r="M36" s="429">
        <f ca="1">IF($A36="S",VTOTALBM,IF($A36=0,0,ROUND(SomaAgrupBM,15-13*ORÇAMENTO!$AF$11)))</f>
        <v>0</v>
      </c>
      <c r="N36" s="430">
        <f t="shared" ca="1" si="7"/>
        <v>0</v>
      </c>
      <c r="O36" s="154">
        <f ca="1">IF($A36="S",VTOTALBM,IF($A36=0,0,ROUND(SomaAgrupBM,15-13*ORÇAMENTO!$AF$11)))</f>
        <v>0</v>
      </c>
      <c r="Q36" s="431"/>
      <c r="R36" s="432"/>
      <c r="T36" s="146" t="str">
        <f t="shared" ca="1" si="8"/>
        <v/>
      </c>
      <c r="U36" s="206" t="str">
        <f t="shared" ca="1" si="9"/>
        <v/>
      </c>
      <c r="V36" s="207" t="str">
        <f t="shared" ca="1" si="10"/>
        <v/>
      </c>
      <c r="W36" s="634">
        <f ca="1">IF($Y36&gt;0,CHOOSE(MATCH(RegimeExecucao,{"Unitário","Global"},0),IF($A36="S",$Y36/$X36,""),($Y36/$X36)*100),0)</f>
        <v>0</v>
      </c>
      <c r="X36" s="433" t="str">
        <f ca="1">IF($Y36&gt;0,CHOOSE(MATCH(RegimeExecucao,{"Unitário","Global"},0),IF($A36="S",ROUND($H36,ORÇAMENTO!$AF$10),""),ROUND($I36,ORÇAMENTO!$AF$11)),"")</f>
        <v/>
      </c>
      <c r="Y36" s="433">
        <f t="shared" ca="1" si="11"/>
        <v>0</v>
      </c>
      <c r="Z36" s="434"/>
      <c r="AB36" s="431"/>
      <c r="AC36" s="599"/>
      <c r="AD36" s="599"/>
      <c r="AE36" s="599"/>
      <c r="AF36" s="599"/>
      <c r="AG36" s="599"/>
      <c r="AH36" s="599"/>
      <c r="AI36" s="599"/>
      <c r="AJ36" s="599"/>
      <c r="AK36" s="599"/>
      <c r="AL36" s="599"/>
      <c r="AM36" s="432"/>
      <c r="AO36">
        <f ca="1">IF($A36="S",IF(BM!$I36=0,0,CHOOSE(MATCH(RegimeExecucao,{"Global","Unitário"},0),ROUND(ROUND(BM.MEDAcumulado,15-13*BM!$A$9)/100*BM!$I36,15-13*ORÇAMENTO!$AF$11),ROUND(ROUND(BM.MEDAcumulado,15-13*BM!$A$9)*ROUND(BM!$H36,15-13*ORÇAMENTO!$AF$10),15-13*ORÇAMENTO!$AF$11))),IF($A36=0,0,ROUND(SomaAgrupBM,15-13*ORÇAMENTO!$AF$11)))</f>
        <v>0</v>
      </c>
    </row>
    <row r="37" spans="1:41" ht="13.8" x14ac:dyDescent="0.3">
      <c r="A37" t="str">
        <f ca="1">ORÇAMENTO!C37</f>
        <v>S</v>
      </c>
      <c r="B37">
        <f ca="1">ORÇAMENTO!D37</f>
        <v>0</v>
      </c>
      <c r="C37" s="143" t="str">
        <f t="shared" ca="1" si="1"/>
        <v/>
      </c>
      <c r="D37" s="146" t="str">
        <f ca="1">ORÇAMENTO!O37</f>
        <v>-</v>
      </c>
      <c r="E37" s="206" t="str">
        <f t="shared" ca="1" si="2"/>
        <v>(abra o arquivo 'Referência 05-2024.xls)</v>
      </c>
      <c r="F37" s="207" t="str">
        <f t="shared" ca="1" si="3"/>
        <v>-</v>
      </c>
      <c r="G37" s="151">
        <f ca="1">IF(RegimeExecucao="Global","",ORÇAMENTO!T37)</f>
        <v>11.47</v>
      </c>
      <c r="H37" s="151">
        <f ca="1">IF(RegimeExecucao="Global","",ORÇAMENTO!W37)</f>
        <v>0</v>
      </c>
      <c r="I37" s="154">
        <f ca="1">ORÇAMENTO!X37</f>
        <v>0</v>
      </c>
      <c r="J37" s="427">
        <f t="shared" ca="1" si="4"/>
        <v>0</v>
      </c>
      <c r="K37" s="151">
        <f t="shared" ca="1" si="5"/>
        <v>0</v>
      </c>
      <c r="L37" s="428">
        <f t="shared" ca="1" si="6"/>
        <v>0</v>
      </c>
      <c r="M37" s="429">
        <f ca="1">IF($A37="S",VTOTALBM,IF($A37=0,0,ROUND(SomaAgrupBM,15-13*ORÇAMENTO!$AF$11)))</f>
        <v>0</v>
      </c>
      <c r="N37" s="430">
        <f t="shared" ca="1" si="7"/>
        <v>0</v>
      </c>
      <c r="O37" s="154">
        <f ca="1">IF($A37="S",VTOTALBM,IF($A37=0,0,ROUND(SomaAgrupBM,15-13*ORÇAMENTO!$AF$11)))</f>
        <v>0</v>
      </c>
      <c r="Q37" s="431"/>
      <c r="R37" s="432"/>
      <c r="T37" s="146" t="str">
        <f t="shared" ca="1" si="8"/>
        <v/>
      </c>
      <c r="U37" s="206" t="str">
        <f t="shared" ca="1" si="9"/>
        <v/>
      </c>
      <c r="V37" s="207" t="str">
        <f t="shared" ca="1" si="10"/>
        <v/>
      </c>
      <c r="W37" s="634">
        <f ca="1">IF($Y37&gt;0,CHOOSE(MATCH(RegimeExecucao,{"Unitário","Global"},0),IF($A37="S",$Y37/$X37,""),($Y37/$X37)*100),0)</f>
        <v>0</v>
      </c>
      <c r="X37" s="433" t="str">
        <f ca="1">IF($Y37&gt;0,CHOOSE(MATCH(RegimeExecucao,{"Unitário","Global"},0),IF($A37="S",ROUND($H37,ORÇAMENTO!$AF$10),""),ROUND($I37,ORÇAMENTO!$AF$11)),"")</f>
        <v/>
      </c>
      <c r="Y37" s="433">
        <f t="shared" ca="1" si="11"/>
        <v>0</v>
      </c>
      <c r="Z37" s="434"/>
      <c r="AB37" s="431"/>
      <c r="AC37" s="599"/>
      <c r="AD37" s="599"/>
      <c r="AE37" s="599"/>
      <c r="AF37" s="599"/>
      <c r="AG37" s="599"/>
      <c r="AH37" s="599"/>
      <c r="AI37" s="599"/>
      <c r="AJ37" s="599"/>
      <c r="AK37" s="599"/>
      <c r="AL37" s="599"/>
      <c r="AM37" s="432"/>
      <c r="AO37">
        <f ca="1">IF($A37="S",IF(BM!$I37=0,0,CHOOSE(MATCH(RegimeExecucao,{"Global","Unitário"},0),ROUND(ROUND(BM.MEDAcumulado,15-13*BM!$A$9)/100*BM!$I37,15-13*ORÇAMENTO!$AF$11),ROUND(ROUND(BM.MEDAcumulado,15-13*BM!$A$9)*ROUND(BM!$H37,15-13*ORÇAMENTO!$AF$10),15-13*ORÇAMENTO!$AF$11))),IF($A37=0,0,ROUND(SomaAgrupBM,15-13*ORÇAMENTO!$AF$11)))</f>
        <v>0</v>
      </c>
    </row>
    <row r="38" spans="1:41" ht="13.8" x14ac:dyDescent="0.3">
      <c r="A38" t="str">
        <f ca="1">ORÇAMENTO!C38</f>
        <v>S</v>
      </c>
      <c r="B38">
        <f ca="1">ORÇAMENTO!D38</f>
        <v>0</v>
      </c>
      <c r="C38" s="143" t="str">
        <f t="shared" ca="1" si="1"/>
        <v/>
      </c>
      <c r="D38" s="146" t="str">
        <f ca="1">ORÇAMENTO!O38</f>
        <v>-</v>
      </c>
      <c r="E38" s="206" t="str">
        <f t="shared" ca="1" si="2"/>
        <v>(abra o arquivo 'Referência 05-2024.xls)</v>
      </c>
      <c r="F38" s="207" t="str">
        <f t="shared" ca="1" si="3"/>
        <v>-</v>
      </c>
      <c r="G38" s="151">
        <f ca="1">IF(RegimeExecucao="Global","",ORÇAMENTO!T38)</f>
        <v>20.38</v>
      </c>
      <c r="H38" s="151">
        <f ca="1">IF(RegimeExecucao="Global","",ORÇAMENTO!W38)</f>
        <v>0</v>
      </c>
      <c r="I38" s="154">
        <f ca="1">ORÇAMENTO!X38</f>
        <v>0</v>
      </c>
      <c r="J38" s="427">
        <f t="shared" ca="1" si="4"/>
        <v>0</v>
      </c>
      <c r="K38" s="151">
        <f t="shared" ca="1" si="5"/>
        <v>0</v>
      </c>
      <c r="L38" s="428">
        <f t="shared" ca="1" si="6"/>
        <v>0</v>
      </c>
      <c r="M38" s="429">
        <f ca="1">IF($A38="S",VTOTALBM,IF($A38=0,0,ROUND(SomaAgrupBM,15-13*ORÇAMENTO!$AF$11)))</f>
        <v>0</v>
      </c>
      <c r="N38" s="430">
        <f t="shared" ca="1" si="7"/>
        <v>0</v>
      </c>
      <c r="O38" s="154">
        <f ca="1">IF($A38="S",VTOTALBM,IF($A38=0,0,ROUND(SomaAgrupBM,15-13*ORÇAMENTO!$AF$11)))</f>
        <v>0</v>
      </c>
      <c r="Q38" s="431"/>
      <c r="R38" s="432"/>
      <c r="T38" s="146" t="str">
        <f t="shared" ca="1" si="8"/>
        <v/>
      </c>
      <c r="U38" s="206" t="str">
        <f t="shared" ca="1" si="9"/>
        <v/>
      </c>
      <c r="V38" s="207" t="str">
        <f t="shared" ca="1" si="10"/>
        <v/>
      </c>
      <c r="W38" s="634">
        <f ca="1">IF($Y38&gt;0,CHOOSE(MATCH(RegimeExecucao,{"Unitário","Global"},0),IF($A38="S",$Y38/$X38,""),($Y38/$X38)*100),0)</f>
        <v>0</v>
      </c>
      <c r="X38" s="433" t="str">
        <f ca="1">IF($Y38&gt;0,CHOOSE(MATCH(RegimeExecucao,{"Unitário","Global"},0),IF($A38="S",ROUND($H38,ORÇAMENTO!$AF$10),""),ROUND($I38,ORÇAMENTO!$AF$11)),"")</f>
        <v/>
      </c>
      <c r="Y38" s="433">
        <f t="shared" ca="1" si="11"/>
        <v>0</v>
      </c>
      <c r="Z38" s="434"/>
      <c r="AB38" s="431"/>
      <c r="AC38" s="599"/>
      <c r="AD38" s="599"/>
      <c r="AE38" s="599"/>
      <c r="AF38" s="599"/>
      <c r="AG38" s="599"/>
      <c r="AH38" s="599"/>
      <c r="AI38" s="599"/>
      <c r="AJ38" s="599"/>
      <c r="AK38" s="599"/>
      <c r="AL38" s="599"/>
      <c r="AM38" s="432"/>
      <c r="AO38">
        <f ca="1">IF($A38="S",IF(BM!$I38=0,0,CHOOSE(MATCH(RegimeExecucao,{"Global","Unitário"},0),ROUND(ROUND(BM.MEDAcumulado,15-13*BM!$A$9)/100*BM!$I38,15-13*ORÇAMENTO!$AF$11),ROUND(ROUND(BM.MEDAcumulado,15-13*BM!$A$9)*ROUND(BM!$H38,15-13*ORÇAMENTO!$AF$10),15-13*ORÇAMENTO!$AF$11))),IF($A38=0,0,ROUND(SomaAgrupBM,15-13*ORÇAMENTO!$AF$11)))</f>
        <v>0</v>
      </c>
    </row>
    <row r="39" spans="1:41" ht="13.8" x14ac:dyDescent="0.3">
      <c r="A39" t="str">
        <f ca="1">ORÇAMENTO!C39</f>
        <v>S</v>
      </c>
      <c r="B39">
        <f ca="1">ORÇAMENTO!D39</f>
        <v>0</v>
      </c>
      <c r="C39" s="143" t="str">
        <f t="shared" ca="1" si="1"/>
        <v/>
      </c>
      <c r="D39" s="146" t="str">
        <f ca="1">ORÇAMENTO!O39</f>
        <v>-</v>
      </c>
      <c r="E39" s="206" t="str">
        <f t="shared" ca="1" si="2"/>
        <v>(abra o arquivo 'Referência 05-2024.xls)</v>
      </c>
      <c r="F39" s="207" t="str">
        <f t="shared" ca="1" si="3"/>
        <v>-</v>
      </c>
      <c r="G39" s="151">
        <f ca="1">IF(RegimeExecucao="Global","",ORÇAMENTO!T39)</f>
        <v>10.71</v>
      </c>
      <c r="H39" s="151">
        <f ca="1">IF(RegimeExecucao="Global","",ORÇAMENTO!W39)</f>
        <v>0</v>
      </c>
      <c r="I39" s="154">
        <f ca="1">ORÇAMENTO!X39</f>
        <v>0</v>
      </c>
      <c r="J39" s="427">
        <f t="shared" ca="1" si="4"/>
        <v>0</v>
      </c>
      <c r="K39" s="151">
        <f t="shared" ca="1" si="5"/>
        <v>0</v>
      </c>
      <c r="L39" s="428">
        <f t="shared" ca="1" si="6"/>
        <v>0</v>
      </c>
      <c r="M39" s="429">
        <f ca="1">IF($A39="S",VTOTALBM,IF($A39=0,0,ROUND(SomaAgrupBM,15-13*ORÇAMENTO!$AF$11)))</f>
        <v>0</v>
      </c>
      <c r="N39" s="430">
        <f t="shared" ca="1" si="7"/>
        <v>0</v>
      </c>
      <c r="O39" s="154">
        <f ca="1">IF($A39="S",VTOTALBM,IF($A39=0,0,ROUND(SomaAgrupBM,15-13*ORÇAMENTO!$AF$11)))</f>
        <v>0</v>
      </c>
      <c r="Q39" s="431"/>
      <c r="R39" s="432"/>
      <c r="T39" s="146" t="str">
        <f t="shared" ca="1" si="8"/>
        <v/>
      </c>
      <c r="U39" s="206" t="str">
        <f t="shared" ca="1" si="9"/>
        <v/>
      </c>
      <c r="V39" s="207" t="str">
        <f t="shared" ca="1" si="10"/>
        <v/>
      </c>
      <c r="W39" s="634">
        <f ca="1">IF($Y39&gt;0,CHOOSE(MATCH(RegimeExecucao,{"Unitário","Global"},0),IF($A39="S",$Y39/$X39,""),($Y39/$X39)*100),0)</f>
        <v>0</v>
      </c>
      <c r="X39" s="433" t="str">
        <f ca="1">IF($Y39&gt;0,CHOOSE(MATCH(RegimeExecucao,{"Unitário","Global"},0),IF($A39="S",ROUND($H39,ORÇAMENTO!$AF$10),""),ROUND($I39,ORÇAMENTO!$AF$11)),"")</f>
        <v/>
      </c>
      <c r="Y39" s="433">
        <f t="shared" ca="1" si="11"/>
        <v>0</v>
      </c>
      <c r="Z39" s="434"/>
      <c r="AB39" s="431"/>
      <c r="AC39" s="599"/>
      <c r="AD39" s="599"/>
      <c r="AE39" s="599"/>
      <c r="AF39" s="599"/>
      <c r="AG39" s="599"/>
      <c r="AH39" s="599"/>
      <c r="AI39" s="599"/>
      <c r="AJ39" s="599"/>
      <c r="AK39" s="599"/>
      <c r="AL39" s="599"/>
      <c r="AM39" s="432"/>
      <c r="AO39">
        <f ca="1">IF($A39="S",IF(BM!$I39=0,0,CHOOSE(MATCH(RegimeExecucao,{"Global","Unitário"},0),ROUND(ROUND(BM.MEDAcumulado,15-13*BM!$A$9)/100*BM!$I39,15-13*ORÇAMENTO!$AF$11),ROUND(ROUND(BM.MEDAcumulado,15-13*BM!$A$9)*ROUND(BM!$H39,15-13*ORÇAMENTO!$AF$10),15-13*ORÇAMENTO!$AF$11))),IF($A39=0,0,ROUND(SomaAgrupBM,15-13*ORÇAMENTO!$AF$11)))</f>
        <v>0</v>
      </c>
    </row>
    <row r="40" spans="1:41" ht="13.8" x14ac:dyDescent="0.3">
      <c r="A40">
        <f ca="1">ORÇAMENTO!C40</f>
        <v>3</v>
      </c>
      <c r="B40">
        <f ca="1">ORÇAMENTO!D40</f>
        <v>3</v>
      </c>
      <c r="C40" s="143" t="str">
        <f t="shared" ca="1" si="1"/>
        <v>F</v>
      </c>
      <c r="D40" s="146" t="str">
        <f ca="1">ORÇAMENTO!O40</f>
        <v>1.2.4.</v>
      </c>
      <c r="E40" s="206" t="str">
        <f t="shared" si="2"/>
        <v>ESTRUTURA METÁLICA</v>
      </c>
      <c r="F40" s="207" t="str">
        <f t="shared" ca="1" si="3"/>
        <v>-</v>
      </c>
      <c r="G40" s="151">
        <f ca="1">IF(RegimeExecucao="Global","",ORÇAMENTO!T40)</f>
        <v>0</v>
      </c>
      <c r="H40" s="151">
        <f ca="1">IF(RegimeExecucao="Global","",ORÇAMENTO!W40)</f>
        <v>0</v>
      </c>
      <c r="I40" s="154">
        <f ca="1">ORÇAMENTO!X40</f>
        <v>0</v>
      </c>
      <c r="J40" s="427">
        <f t="shared" ca="1" si="4"/>
        <v>0</v>
      </c>
      <c r="K40" s="151">
        <f t="shared" ca="1" si="5"/>
        <v>0</v>
      </c>
      <c r="L40" s="428">
        <f t="shared" ca="1" si="6"/>
        <v>0</v>
      </c>
      <c r="M40" s="429">
        <f ca="1">IF($A40="S",VTOTALBM,IF($A40=0,0,ROUND(SomaAgrupBM,15-13*ORÇAMENTO!$AF$11)))</f>
        <v>0</v>
      </c>
      <c r="N40" s="430">
        <f t="shared" ca="1" si="7"/>
        <v>0</v>
      </c>
      <c r="O40" s="154">
        <f ca="1">IF($A40="S",VTOTALBM,IF($A40=0,0,ROUND(SomaAgrupBM,15-13*ORÇAMENTO!$AF$11)))</f>
        <v>0</v>
      </c>
      <c r="Q40" s="431"/>
      <c r="R40" s="432"/>
      <c r="T40" s="146" t="str">
        <f t="shared" ca="1" si="8"/>
        <v/>
      </c>
      <c r="U40" s="206" t="str">
        <f t="shared" ca="1" si="9"/>
        <v/>
      </c>
      <c r="V40" s="207" t="str">
        <f t="shared" ca="1" si="10"/>
        <v/>
      </c>
      <c r="W40" s="634">
        <f ca="1">IF($Y40&gt;0,CHOOSE(MATCH(RegimeExecucao,{"Unitário","Global"},0),IF($A40="S",$Y40/$X40,""),($Y40/$X40)*100),0)</f>
        <v>0</v>
      </c>
      <c r="X40" s="433" t="str">
        <f ca="1">IF($Y40&gt;0,CHOOSE(MATCH(RegimeExecucao,{"Unitário","Global"},0),IF($A40="S",ROUND($H40,ORÇAMENTO!$AF$10),""),ROUND($I40,ORÇAMENTO!$AF$11)),"")</f>
        <v/>
      </c>
      <c r="Y40" s="433">
        <f t="shared" ca="1" si="11"/>
        <v>0</v>
      </c>
      <c r="Z40" s="434"/>
      <c r="AB40" s="431"/>
      <c r="AC40" s="599"/>
      <c r="AD40" s="599"/>
      <c r="AE40" s="599"/>
      <c r="AF40" s="599"/>
      <c r="AG40" s="599"/>
      <c r="AH40" s="599"/>
      <c r="AI40" s="599"/>
      <c r="AJ40" s="599"/>
      <c r="AK40" s="599"/>
      <c r="AL40" s="599"/>
      <c r="AM40" s="432"/>
      <c r="AO40">
        <f ca="1">IF($A40="S",IF(BM!$I40=0,0,CHOOSE(MATCH(RegimeExecucao,{"Global","Unitário"},0),ROUND(ROUND(BM.MEDAcumulado,15-13*BM!$A$9)/100*BM!$I40,15-13*ORÇAMENTO!$AF$11),ROUND(ROUND(BM.MEDAcumulado,15-13*BM!$A$9)*ROUND(BM!$H40,15-13*ORÇAMENTO!$AF$10),15-13*ORÇAMENTO!$AF$11))),IF($A40=0,0,ROUND(SomaAgrupBM,15-13*ORÇAMENTO!$AF$11)))</f>
        <v>0</v>
      </c>
    </row>
    <row r="41" spans="1:41" ht="13.8" x14ac:dyDescent="0.3">
      <c r="A41" t="str">
        <f ca="1">ORÇAMENTO!C41</f>
        <v>S</v>
      </c>
      <c r="B41">
        <f ca="1">ORÇAMENTO!D41</f>
        <v>0</v>
      </c>
      <c r="C41" s="143" t="str">
        <f t="shared" ca="1" si="1"/>
        <v/>
      </c>
      <c r="D41" s="146" t="str">
        <f ca="1">ORÇAMENTO!O41</f>
        <v>-</v>
      </c>
      <c r="E41" s="206" t="str">
        <f t="shared" ca="1" si="2"/>
        <v>(abra o arquivo 'Referência 05-2024.xls)</v>
      </c>
      <c r="F41" s="207" t="str">
        <f t="shared" ca="1" si="3"/>
        <v>-</v>
      </c>
      <c r="G41" s="151">
        <f ca="1">IF(RegimeExecucao="Global","",ORÇAMENTO!T41)</f>
        <v>56.03</v>
      </c>
      <c r="H41" s="151">
        <f ca="1">IF(RegimeExecucao="Global","",ORÇAMENTO!W41)</f>
        <v>0</v>
      </c>
      <c r="I41" s="154">
        <f ca="1">ORÇAMENTO!X41</f>
        <v>0</v>
      </c>
      <c r="J41" s="427">
        <f t="shared" ca="1" si="4"/>
        <v>0</v>
      </c>
      <c r="K41" s="151">
        <f t="shared" ca="1" si="5"/>
        <v>0</v>
      </c>
      <c r="L41" s="428">
        <f t="shared" ca="1" si="6"/>
        <v>0</v>
      </c>
      <c r="M41" s="429">
        <f ca="1">IF($A41="S",VTOTALBM,IF($A41=0,0,ROUND(SomaAgrupBM,15-13*ORÇAMENTO!$AF$11)))</f>
        <v>0</v>
      </c>
      <c r="N41" s="430">
        <f t="shared" ca="1" si="7"/>
        <v>0</v>
      </c>
      <c r="O41" s="154">
        <f ca="1">IF($A41="S",VTOTALBM,IF($A41=0,0,ROUND(SomaAgrupBM,15-13*ORÇAMENTO!$AF$11)))</f>
        <v>0</v>
      </c>
      <c r="Q41" s="431"/>
      <c r="R41" s="432"/>
      <c r="T41" s="146" t="str">
        <f t="shared" ca="1" si="8"/>
        <v/>
      </c>
      <c r="U41" s="206" t="str">
        <f t="shared" ca="1" si="9"/>
        <v/>
      </c>
      <c r="V41" s="207" t="str">
        <f t="shared" ca="1" si="10"/>
        <v/>
      </c>
      <c r="W41" s="634">
        <f ca="1">IF($Y41&gt;0,CHOOSE(MATCH(RegimeExecucao,{"Unitário","Global"},0),IF($A41="S",$Y41/$X41,""),($Y41/$X41)*100),0)</f>
        <v>0</v>
      </c>
      <c r="X41" s="433" t="str">
        <f ca="1">IF($Y41&gt;0,CHOOSE(MATCH(RegimeExecucao,{"Unitário","Global"},0),IF($A41="S",ROUND($H41,ORÇAMENTO!$AF$10),""),ROUND($I41,ORÇAMENTO!$AF$11)),"")</f>
        <v/>
      </c>
      <c r="Y41" s="433">
        <f t="shared" ca="1" si="11"/>
        <v>0</v>
      </c>
      <c r="Z41" s="434"/>
      <c r="AB41" s="431"/>
      <c r="AC41" s="599"/>
      <c r="AD41" s="599"/>
      <c r="AE41" s="599"/>
      <c r="AF41" s="599"/>
      <c r="AG41" s="599"/>
      <c r="AH41" s="599"/>
      <c r="AI41" s="599"/>
      <c r="AJ41" s="599"/>
      <c r="AK41" s="599"/>
      <c r="AL41" s="599"/>
      <c r="AM41" s="432"/>
      <c r="AO41">
        <f ca="1">IF($A41="S",IF(BM!$I41=0,0,CHOOSE(MATCH(RegimeExecucao,{"Global","Unitário"},0),ROUND(ROUND(BM.MEDAcumulado,15-13*BM!$A$9)/100*BM!$I41,15-13*ORÇAMENTO!$AF$11),ROUND(ROUND(BM.MEDAcumulado,15-13*BM!$A$9)*ROUND(BM!$H41,15-13*ORÇAMENTO!$AF$10),15-13*ORÇAMENTO!$AF$11))),IF($A41=0,0,ROUND(SomaAgrupBM,15-13*ORÇAMENTO!$AF$11)))</f>
        <v>0</v>
      </c>
    </row>
    <row r="42" spans="1:41" ht="13.8" x14ac:dyDescent="0.3">
      <c r="A42" t="str">
        <f ca="1">ORÇAMENTO!C42</f>
        <v>S</v>
      </c>
      <c r="B42">
        <f ca="1">ORÇAMENTO!D42</f>
        <v>0</v>
      </c>
      <c r="C42" s="143" t="str">
        <f t="shared" ca="1" si="1"/>
        <v/>
      </c>
      <c r="D42" s="146" t="str">
        <f ca="1">ORÇAMENTO!O42</f>
        <v>-</v>
      </c>
      <c r="E42" s="206" t="str">
        <f t="shared" ca="1" si="2"/>
        <v>(abra o arquivo 'Referência 05-2024.xls)</v>
      </c>
      <c r="F42" s="207" t="str">
        <f t="shared" ca="1" si="3"/>
        <v>-</v>
      </c>
      <c r="G42" s="151">
        <f ca="1">IF(RegimeExecucao="Global","",ORÇAMENTO!T42)</f>
        <v>39.799999999999997</v>
      </c>
      <c r="H42" s="151">
        <f ca="1">IF(RegimeExecucao="Global","",ORÇAMENTO!W42)</f>
        <v>0</v>
      </c>
      <c r="I42" s="154">
        <f ca="1">ORÇAMENTO!X42</f>
        <v>0</v>
      </c>
      <c r="J42" s="427">
        <f t="shared" ca="1" si="4"/>
        <v>0</v>
      </c>
      <c r="K42" s="151">
        <f t="shared" ca="1" si="5"/>
        <v>0</v>
      </c>
      <c r="L42" s="428">
        <f t="shared" ca="1" si="6"/>
        <v>0</v>
      </c>
      <c r="M42" s="429">
        <f ca="1">IF($A42="S",VTOTALBM,IF($A42=0,0,ROUND(SomaAgrupBM,15-13*ORÇAMENTO!$AF$11)))</f>
        <v>0</v>
      </c>
      <c r="N42" s="430">
        <f t="shared" ca="1" si="7"/>
        <v>0</v>
      </c>
      <c r="O42" s="154">
        <f ca="1">IF($A42="S",VTOTALBM,IF($A42=0,0,ROUND(SomaAgrupBM,15-13*ORÇAMENTO!$AF$11)))</f>
        <v>0</v>
      </c>
      <c r="Q42" s="431"/>
      <c r="R42" s="432"/>
      <c r="T42" s="146" t="str">
        <f t="shared" ca="1" si="8"/>
        <v/>
      </c>
      <c r="U42" s="206" t="str">
        <f t="shared" ca="1" si="9"/>
        <v/>
      </c>
      <c r="V42" s="207" t="str">
        <f t="shared" ca="1" si="10"/>
        <v/>
      </c>
      <c r="W42" s="634">
        <f ca="1">IF($Y42&gt;0,CHOOSE(MATCH(RegimeExecucao,{"Unitário","Global"},0),IF($A42="S",$Y42/$X42,""),($Y42/$X42)*100),0)</f>
        <v>0</v>
      </c>
      <c r="X42" s="433" t="str">
        <f ca="1">IF($Y42&gt;0,CHOOSE(MATCH(RegimeExecucao,{"Unitário","Global"},0),IF($A42="S",ROUND($H42,ORÇAMENTO!$AF$10),""),ROUND($I42,ORÇAMENTO!$AF$11)),"")</f>
        <v/>
      </c>
      <c r="Y42" s="433">
        <f t="shared" ca="1" si="11"/>
        <v>0</v>
      </c>
      <c r="Z42" s="434"/>
      <c r="AB42" s="431"/>
      <c r="AC42" s="599"/>
      <c r="AD42" s="599"/>
      <c r="AE42" s="599"/>
      <c r="AF42" s="599"/>
      <c r="AG42" s="599"/>
      <c r="AH42" s="599"/>
      <c r="AI42" s="599"/>
      <c r="AJ42" s="599"/>
      <c r="AK42" s="599"/>
      <c r="AL42" s="599"/>
      <c r="AM42" s="432"/>
      <c r="AO42">
        <f ca="1">IF($A42="S",IF(BM!$I42=0,0,CHOOSE(MATCH(RegimeExecucao,{"Global","Unitário"},0),ROUND(ROUND(BM.MEDAcumulado,15-13*BM!$A$9)/100*BM!$I42,15-13*ORÇAMENTO!$AF$11),ROUND(ROUND(BM.MEDAcumulado,15-13*BM!$A$9)*ROUND(BM!$H42,15-13*ORÇAMENTO!$AF$10),15-13*ORÇAMENTO!$AF$11))),IF($A42=0,0,ROUND(SomaAgrupBM,15-13*ORÇAMENTO!$AF$11)))</f>
        <v>0</v>
      </c>
    </row>
    <row r="43" spans="1:41" ht="13.8" x14ac:dyDescent="0.3">
      <c r="A43">
        <f ca="1">ORÇAMENTO!C43</f>
        <v>3</v>
      </c>
      <c r="B43">
        <f ca="1">ORÇAMENTO!D43</f>
        <v>5</v>
      </c>
      <c r="C43" s="143" t="str">
        <f t="shared" ca="1" si="1"/>
        <v>F</v>
      </c>
      <c r="D43" s="146" t="str">
        <f ca="1">ORÇAMENTO!O43</f>
        <v>1.2.5.</v>
      </c>
      <c r="E43" s="206" t="str">
        <f t="shared" si="2"/>
        <v>MURO</v>
      </c>
      <c r="F43" s="207" t="str">
        <f t="shared" ca="1" si="3"/>
        <v>-</v>
      </c>
      <c r="G43" s="151">
        <f ca="1">IF(RegimeExecucao="Global","",ORÇAMENTO!T43)</f>
        <v>0</v>
      </c>
      <c r="H43" s="151">
        <f ca="1">IF(RegimeExecucao="Global","",ORÇAMENTO!W43)</f>
        <v>0</v>
      </c>
      <c r="I43" s="154">
        <f ca="1">ORÇAMENTO!X43</f>
        <v>0</v>
      </c>
      <c r="J43" s="427">
        <f t="shared" ca="1" si="4"/>
        <v>0</v>
      </c>
      <c r="K43" s="151">
        <f t="shared" ca="1" si="5"/>
        <v>0</v>
      </c>
      <c r="L43" s="428">
        <f t="shared" ca="1" si="6"/>
        <v>0</v>
      </c>
      <c r="M43" s="429">
        <f ca="1">IF($A43="S",VTOTALBM,IF($A43=0,0,ROUND(SomaAgrupBM,15-13*ORÇAMENTO!$AF$11)))</f>
        <v>0</v>
      </c>
      <c r="N43" s="430">
        <f t="shared" ca="1" si="7"/>
        <v>0</v>
      </c>
      <c r="O43" s="154">
        <f ca="1">IF($A43="S",VTOTALBM,IF($A43=0,0,ROUND(SomaAgrupBM,15-13*ORÇAMENTO!$AF$11)))</f>
        <v>0</v>
      </c>
      <c r="Q43" s="431"/>
      <c r="R43" s="432"/>
      <c r="T43" s="146" t="str">
        <f t="shared" ca="1" si="8"/>
        <v/>
      </c>
      <c r="U43" s="206" t="str">
        <f t="shared" ca="1" si="9"/>
        <v/>
      </c>
      <c r="V43" s="207" t="str">
        <f t="shared" ca="1" si="10"/>
        <v/>
      </c>
      <c r="W43" s="634">
        <f ca="1">IF($Y43&gt;0,CHOOSE(MATCH(RegimeExecucao,{"Unitário","Global"},0),IF($A43="S",$Y43/$X43,""),($Y43/$X43)*100),0)</f>
        <v>0</v>
      </c>
      <c r="X43" s="433" t="str">
        <f ca="1">IF($Y43&gt;0,CHOOSE(MATCH(RegimeExecucao,{"Unitário","Global"},0),IF($A43="S",ROUND($H43,ORÇAMENTO!$AF$10),""),ROUND($I43,ORÇAMENTO!$AF$11)),"")</f>
        <v/>
      </c>
      <c r="Y43" s="433">
        <f t="shared" ca="1" si="11"/>
        <v>0</v>
      </c>
      <c r="Z43" s="434"/>
      <c r="AB43" s="431"/>
      <c r="AC43" s="599"/>
      <c r="AD43" s="599"/>
      <c r="AE43" s="599"/>
      <c r="AF43" s="599"/>
      <c r="AG43" s="599"/>
      <c r="AH43" s="599"/>
      <c r="AI43" s="599"/>
      <c r="AJ43" s="599"/>
      <c r="AK43" s="599"/>
      <c r="AL43" s="599"/>
      <c r="AM43" s="432"/>
      <c r="AO43">
        <f ca="1">IF($A43="S",IF(BM!$I43=0,0,CHOOSE(MATCH(RegimeExecucao,{"Global","Unitário"},0),ROUND(ROUND(BM.MEDAcumulado,15-13*BM!$A$9)/100*BM!$I43,15-13*ORÇAMENTO!$AF$11),ROUND(ROUND(BM.MEDAcumulado,15-13*BM!$A$9)*ROUND(BM!$H43,15-13*ORÇAMENTO!$AF$10),15-13*ORÇAMENTO!$AF$11))),IF($A43=0,0,ROUND(SomaAgrupBM,15-13*ORÇAMENTO!$AF$11)))</f>
        <v>0</v>
      </c>
    </row>
    <row r="44" spans="1:41" ht="13.8" x14ac:dyDescent="0.3">
      <c r="A44" t="str">
        <f ca="1">ORÇAMENTO!C44</f>
        <v>S</v>
      </c>
      <c r="B44">
        <f ca="1">ORÇAMENTO!D44</f>
        <v>0</v>
      </c>
      <c r="C44" s="143" t="str">
        <f t="shared" ca="1" si="1"/>
        <v/>
      </c>
      <c r="D44" s="146" t="str">
        <f ca="1">ORÇAMENTO!O44</f>
        <v>-</v>
      </c>
      <c r="E44" s="206" t="str">
        <f t="shared" ca="1" si="2"/>
        <v>(abra o arquivo 'Referência 05-2024.xls)</v>
      </c>
      <c r="F44" s="207" t="str">
        <f t="shared" ca="1" si="3"/>
        <v>-</v>
      </c>
      <c r="G44" s="151">
        <f ca="1">IF(RegimeExecucao="Global","",ORÇAMENTO!T44)</f>
        <v>1.63</v>
      </c>
      <c r="H44" s="151">
        <f ca="1">IF(RegimeExecucao="Global","",ORÇAMENTO!W44)</f>
        <v>0</v>
      </c>
      <c r="I44" s="154">
        <f ca="1">ORÇAMENTO!X44</f>
        <v>0</v>
      </c>
      <c r="J44" s="427">
        <f t="shared" ca="1" si="4"/>
        <v>0</v>
      </c>
      <c r="K44" s="151">
        <f t="shared" ca="1" si="5"/>
        <v>0</v>
      </c>
      <c r="L44" s="428">
        <f t="shared" ca="1" si="6"/>
        <v>0</v>
      </c>
      <c r="M44" s="429">
        <f ca="1">IF($A44="S",VTOTALBM,IF($A44=0,0,ROUND(SomaAgrupBM,15-13*ORÇAMENTO!$AF$11)))</f>
        <v>0</v>
      </c>
      <c r="N44" s="430">
        <f t="shared" ca="1" si="7"/>
        <v>0</v>
      </c>
      <c r="O44" s="154">
        <f ca="1">IF($A44="S",VTOTALBM,IF($A44=0,0,ROUND(SomaAgrupBM,15-13*ORÇAMENTO!$AF$11)))</f>
        <v>0</v>
      </c>
      <c r="Q44" s="431"/>
      <c r="R44" s="432"/>
      <c r="T44" s="146" t="str">
        <f t="shared" ca="1" si="8"/>
        <v/>
      </c>
      <c r="U44" s="206" t="str">
        <f t="shared" ca="1" si="9"/>
        <v/>
      </c>
      <c r="V44" s="207" t="str">
        <f t="shared" ca="1" si="10"/>
        <v/>
      </c>
      <c r="W44" s="634">
        <f ca="1">IF($Y44&gt;0,CHOOSE(MATCH(RegimeExecucao,{"Unitário","Global"},0),IF($A44="S",$Y44/$X44,""),($Y44/$X44)*100),0)</f>
        <v>0</v>
      </c>
      <c r="X44" s="433" t="str">
        <f ca="1">IF($Y44&gt;0,CHOOSE(MATCH(RegimeExecucao,{"Unitário","Global"},0),IF($A44="S",ROUND($H44,ORÇAMENTO!$AF$10),""),ROUND($I44,ORÇAMENTO!$AF$11)),"")</f>
        <v/>
      </c>
      <c r="Y44" s="433">
        <f t="shared" ca="1" si="11"/>
        <v>0</v>
      </c>
      <c r="Z44" s="434"/>
      <c r="AB44" s="431"/>
      <c r="AC44" s="599"/>
      <c r="AD44" s="599"/>
      <c r="AE44" s="599"/>
      <c r="AF44" s="599"/>
      <c r="AG44" s="599"/>
      <c r="AH44" s="599"/>
      <c r="AI44" s="599"/>
      <c r="AJ44" s="599"/>
      <c r="AK44" s="599"/>
      <c r="AL44" s="599"/>
      <c r="AM44" s="432"/>
      <c r="AO44">
        <f ca="1">IF($A44="S",IF(BM!$I44=0,0,CHOOSE(MATCH(RegimeExecucao,{"Global","Unitário"},0),ROUND(ROUND(BM.MEDAcumulado,15-13*BM!$A$9)/100*BM!$I44,15-13*ORÇAMENTO!$AF$11),ROUND(ROUND(BM.MEDAcumulado,15-13*BM!$A$9)*ROUND(BM!$H44,15-13*ORÇAMENTO!$AF$10),15-13*ORÇAMENTO!$AF$11))),IF($A44=0,0,ROUND(SomaAgrupBM,15-13*ORÇAMENTO!$AF$11)))</f>
        <v>0</v>
      </c>
    </row>
    <row r="45" spans="1:41" ht="13.8" x14ac:dyDescent="0.3">
      <c r="A45" t="str">
        <f ca="1">ORÇAMENTO!C45</f>
        <v>S</v>
      </c>
      <c r="B45">
        <f ca="1">ORÇAMENTO!D45</f>
        <v>0</v>
      </c>
      <c r="C45" s="143" t="str">
        <f t="shared" ca="1" si="1"/>
        <v/>
      </c>
      <c r="D45" s="146" t="str">
        <f ca="1">ORÇAMENTO!O45</f>
        <v>-</v>
      </c>
      <c r="E45" s="206" t="str">
        <f t="shared" ca="1" si="2"/>
        <v>(abra o arquivo 'Referência 05-2024.xls)</v>
      </c>
      <c r="F45" s="207" t="str">
        <f t="shared" ca="1" si="3"/>
        <v>-</v>
      </c>
      <c r="G45" s="151">
        <f ca="1">IF(RegimeExecucao="Global","",ORÇAMENTO!T45)</f>
        <v>44.46</v>
      </c>
      <c r="H45" s="151">
        <f ca="1">IF(RegimeExecucao="Global","",ORÇAMENTO!W45)</f>
        <v>0</v>
      </c>
      <c r="I45" s="154">
        <f ca="1">ORÇAMENTO!X45</f>
        <v>0</v>
      </c>
      <c r="J45" s="427">
        <f t="shared" ca="1" si="4"/>
        <v>0</v>
      </c>
      <c r="K45" s="151">
        <f t="shared" ca="1" si="5"/>
        <v>0</v>
      </c>
      <c r="L45" s="428">
        <f t="shared" ca="1" si="6"/>
        <v>0</v>
      </c>
      <c r="M45" s="429">
        <f ca="1">IF($A45="S",VTOTALBM,IF($A45=0,0,ROUND(SomaAgrupBM,15-13*ORÇAMENTO!$AF$11)))</f>
        <v>0</v>
      </c>
      <c r="N45" s="430">
        <f t="shared" ca="1" si="7"/>
        <v>0</v>
      </c>
      <c r="O45" s="154">
        <f ca="1">IF($A45="S",VTOTALBM,IF($A45=0,0,ROUND(SomaAgrupBM,15-13*ORÇAMENTO!$AF$11)))</f>
        <v>0</v>
      </c>
      <c r="Q45" s="431"/>
      <c r="R45" s="432"/>
      <c r="T45" s="146" t="str">
        <f t="shared" ca="1" si="8"/>
        <v/>
      </c>
      <c r="U45" s="206" t="str">
        <f t="shared" ca="1" si="9"/>
        <v/>
      </c>
      <c r="V45" s="207" t="str">
        <f t="shared" ca="1" si="10"/>
        <v/>
      </c>
      <c r="W45" s="634">
        <f ca="1">IF($Y45&gt;0,CHOOSE(MATCH(RegimeExecucao,{"Unitário","Global"},0),IF($A45="S",$Y45/$X45,""),($Y45/$X45)*100),0)</f>
        <v>0</v>
      </c>
      <c r="X45" s="433" t="str">
        <f ca="1">IF($Y45&gt;0,CHOOSE(MATCH(RegimeExecucao,{"Unitário","Global"},0),IF($A45="S",ROUND($H45,ORÇAMENTO!$AF$10),""),ROUND($I45,ORÇAMENTO!$AF$11)),"")</f>
        <v/>
      </c>
      <c r="Y45" s="433">
        <f t="shared" ca="1" si="11"/>
        <v>0</v>
      </c>
      <c r="Z45" s="434"/>
      <c r="AB45" s="431"/>
      <c r="AC45" s="599"/>
      <c r="AD45" s="599"/>
      <c r="AE45" s="599"/>
      <c r="AF45" s="599"/>
      <c r="AG45" s="599"/>
      <c r="AH45" s="599"/>
      <c r="AI45" s="599"/>
      <c r="AJ45" s="599"/>
      <c r="AK45" s="599"/>
      <c r="AL45" s="599"/>
      <c r="AM45" s="432"/>
      <c r="AO45">
        <f ca="1">IF($A45="S",IF(BM!$I45=0,0,CHOOSE(MATCH(RegimeExecucao,{"Global","Unitário"},0),ROUND(ROUND(BM.MEDAcumulado,15-13*BM!$A$9)/100*BM!$I45,15-13*ORÇAMENTO!$AF$11),ROUND(ROUND(BM.MEDAcumulado,15-13*BM!$A$9)*ROUND(BM!$H45,15-13*ORÇAMENTO!$AF$10),15-13*ORÇAMENTO!$AF$11))),IF($A45=0,0,ROUND(SomaAgrupBM,15-13*ORÇAMENTO!$AF$11)))</f>
        <v>0</v>
      </c>
    </row>
    <row r="46" spans="1:41" ht="13.8" x14ac:dyDescent="0.3">
      <c r="A46" t="str">
        <f ca="1">ORÇAMENTO!C46</f>
        <v>S</v>
      </c>
      <c r="B46">
        <f ca="1">ORÇAMENTO!D46</f>
        <v>0</v>
      </c>
      <c r="C46" s="143" t="str">
        <f t="shared" ca="1" si="1"/>
        <v/>
      </c>
      <c r="D46" s="146" t="str">
        <f ca="1">ORÇAMENTO!O46</f>
        <v>-</v>
      </c>
      <c r="E46" s="206" t="str">
        <f t="shared" ca="1" si="2"/>
        <v>(abra o arquivo 'Referência 05-2024.xls)</v>
      </c>
      <c r="F46" s="207" t="str">
        <f t="shared" ca="1" si="3"/>
        <v>-</v>
      </c>
      <c r="G46" s="151">
        <f ca="1">IF(RegimeExecucao="Global","",ORÇAMENTO!T46)</f>
        <v>84.6</v>
      </c>
      <c r="H46" s="151">
        <f ca="1">IF(RegimeExecucao="Global","",ORÇAMENTO!W46)</f>
        <v>0</v>
      </c>
      <c r="I46" s="154">
        <f ca="1">ORÇAMENTO!X46</f>
        <v>0</v>
      </c>
      <c r="J46" s="427">
        <f t="shared" ca="1" si="4"/>
        <v>0</v>
      </c>
      <c r="K46" s="151">
        <f t="shared" ca="1" si="5"/>
        <v>0</v>
      </c>
      <c r="L46" s="428">
        <f t="shared" ca="1" si="6"/>
        <v>0</v>
      </c>
      <c r="M46" s="429">
        <f ca="1">IF($A46="S",VTOTALBM,IF($A46=0,0,ROUND(SomaAgrupBM,15-13*ORÇAMENTO!$AF$11)))</f>
        <v>0</v>
      </c>
      <c r="N46" s="430">
        <f t="shared" ca="1" si="7"/>
        <v>0</v>
      </c>
      <c r="O46" s="154">
        <f ca="1">IF($A46="S",VTOTALBM,IF($A46=0,0,ROUND(SomaAgrupBM,15-13*ORÇAMENTO!$AF$11)))</f>
        <v>0</v>
      </c>
      <c r="Q46" s="431"/>
      <c r="R46" s="432"/>
      <c r="T46" s="146" t="str">
        <f t="shared" ca="1" si="8"/>
        <v/>
      </c>
      <c r="U46" s="206" t="str">
        <f t="shared" ca="1" si="9"/>
        <v/>
      </c>
      <c r="V46" s="207" t="str">
        <f t="shared" ca="1" si="10"/>
        <v/>
      </c>
      <c r="W46" s="634">
        <f ca="1">IF($Y46&gt;0,CHOOSE(MATCH(RegimeExecucao,{"Unitário","Global"},0),IF($A46="S",$Y46/$X46,""),($Y46/$X46)*100),0)</f>
        <v>0</v>
      </c>
      <c r="X46" s="433" t="str">
        <f ca="1">IF($Y46&gt;0,CHOOSE(MATCH(RegimeExecucao,{"Unitário","Global"},0),IF($A46="S",ROUND($H46,ORÇAMENTO!$AF$10),""),ROUND($I46,ORÇAMENTO!$AF$11)),"")</f>
        <v/>
      </c>
      <c r="Y46" s="433">
        <f t="shared" ca="1" si="11"/>
        <v>0</v>
      </c>
      <c r="Z46" s="434"/>
      <c r="AB46" s="431"/>
      <c r="AC46" s="599"/>
      <c r="AD46" s="599"/>
      <c r="AE46" s="599"/>
      <c r="AF46" s="599"/>
      <c r="AG46" s="599"/>
      <c r="AH46" s="599"/>
      <c r="AI46" s="599"/>
      <c r="AJ46" s="599"/>
      <c r="AK46" s="599"/>
      <c r="AL46" s="599"/>
      <c r="AM46" s="432"/>
      <c r="AO46">
        <f ca="1">IF($A46="S",IF(BM!$I46=0,0,CHOOSE(MATCH(RegimeExecucao,{"Global","Unitário"},0),ROUND(ROUND(BM.MEDAcumulado,15-13*BM!$A$9)/100*BM!$I46,15-13*ORÇAMENTO!$AF$11),ROUND(ROUND(BM.MEDAcumulado,15-13*BM!$A$9)*ROUND(BM!$H46,15-13*ORÇAMENTO!$AF$10),15-13*ORÇAMENTO!$AF$11))),IF($A46=0,0,ROUND(SomaAgrupBM,15-13*ORÇAMENTO!$AF$11)))</f>
        <v>0</v>
      </c>
    </row>
    <row r="47" spans="1:41" ht="13.8" x14ac:dyDescent="0.3">
      <c r="A47" t="str">
        <f ca="1">ORÇAMENTO!C47</f>
        <v>S</v>
      </c>
      <c r="B47">
        <f ca="1">ORÇAMENTO!D47</f>
        <v>0</v>
      </c>
      <c r="C47" s="143" t="str">
        <f t="shared" ca="1" si="1"/>
        <v/>
      </c>
      <c r="D47" s="146" t="str">
        <f ca="1">ORÇAMENTO!O47</f>
        <v>-</v>
      </c>
      <c r="E47" s="206" t="str">
        <f t="shared" ca="1" si="2"/>
        <v>(abra o arquivo 'Referência 05-2024.xls)</v>
      </c>
      <c r="F47" s="207" t="str">
        <f t="shared" ca="1" si="3"/>
        <v>-</v>
      </c>
      <c r="G47" s="151">
        <f ca="1">IF(RegimeExecucao="Global","",ORÇAMENTO!T47)</f>
        <v>47.61</v>
      </c>
      <c r="H47" s="151">
        <f ca="1">IF(RegimeExecucao="Global","",ORÇAMENTO!W47)</f>
        <v>0</v>
      </c>
      <c r="I47" s="154">
        <f ca="1">ORÇAMENTO!X47</f>
        <v>0</v>
      </c>
      <c r="J47" s="427">
        <f t="shared" ca="1" si="4"/>
        <v>0</v>
      </c>
      <c r="K47" s="151">
        <f t="shared" ca="1" si="5"/>
        <v>0</v>
      </c>
      <c r="L47" s="428">
        <f t="shared" ca="1" si="6"/>
        <v>0</v>
      </c>
      <c r="M47" s="429">
        <f ca="1">IF($A47="S",VTOTALBM,IF($A47=0,0,ROUND(SomaAgrupBM,15-13*ORÇAMENTO!$AF$11)))</f>
        <v>0</v>
      </c>
      <c r="N47" s="430">
        <f t="shared" ca="1" si="7"/>
        <v>0</v>
      </c>
      <c r="O47" s="154">
        <f ca="1">IF($A47="S",VTOTALBM,IF($A47=0,0,ROUND(SomaAgrupBM,15-13*ORÇAMENTO!$AF$11)))</f>
        <v>0</v>
      </c>
      <c r="Q47" s="431"/>
      <c r="R47" s="432"/>
      <c r="T47" s="146" t="str">
        <f t="shared" ca="1" si="8"/>
        <v/>
      </c>
      <c r="U47" s="206" t="str">
        <f t="shared" ca="1" si="9"/>
        <v/>
      </c>
      <c r="V47" s="207" t="str">
        <f t="shared" ca="1" si="10"/>
        <v/>
      </c>
      <c r="W47" s="634">
        <f ca="1">IF($Y47&gt;0,CHOOSE(MATCH(RegimeExecucao,{"Unitário","Global"},0),IF($A47="S",$Y47/$X47,""),($Y47/$X47)*100),0)</f>
        <v>0</v>
      </c>
      <c r="X47" s="433" t="str">
        <f ca="1">IF($Y47&gt;0,CHOOSE(MATCH(RegimeExecucao,{"Unitário","Global"},0),IF($A47="S",ROUND($H47,ORÇAMENTO!$AF$10),""),ROUND($I47,ORÇAMENTO!$AF$11)),"")</f>
        <v/>
      </c>
      <c r="Y47" s="433">
        <f t="shared" ca="1" si="11"/>
        <v>0</v>
      </c>
      <c r="Z47" s="434"/>
      <c r="AB47" s="431"/>
      <c r="AC47" s="599"/>
      <c r="AD47" s="599"/>
      <c r="AE47" s="599"/>
      <c r="AF47" s="599"/>
      <c r="AG47" s="599"/>
      <c r="AH47" s="599"/>
      <c r="AI47" s="599"/>
      <c r="AJ47" s="599"/>
      <c r="AK47" s="599"/>
      <c r="AL47" s="599"/>
      <c r="AM47" s="432"/>
      <c r="AO47">
        <f ca="1">IF($A47="S",IF(BM!$I47=0,0,CHOOSE(MATCH(RegimeExecucao,{"Global","Unitário"},0),ROUND(ROUND(BM.MEDAcumulado,15-13*BM!$A$9)/100*BM!$I47,15-13*ORÇAMENTO!$AF$11),ROUND(ROUND(BM.MEDAcumulado,15-13*BM!$A$9)*ROUND(BM!$H47,15-13*ORÇAMENTO!$AF$10),15-13*ORÇAMENTO!$AF$11))),IF($A47=0,0,ROUND(SomaAgrupBM,15-13*ORÇAMENTO!$AF$11)))</f>
        <v>0</v>
      </c>
    </row>
    <row r="48" spans="1:41" ht="13.8" x14ac:dyDescent="0.3">
      <c r="A48">
        <f ca="1">ORÇAMENTO!C48</f>
        <v>2</v>
      </c>
      <c r="B48">
        <f ca="1">ORÇAMENTO!D48</f>
        <v>44</v>
      </c>
      <c r="C48" s="143" t="str">
        <f t="shared" ca="1" si="1"/>
        <v>F</v>
      </c>
      <c r="D48" s="146" t="str">
        <f ca="1">ORÇAMENTO!O48</f>
        <v>1.3.</v>
      </c>
      <c r="E48" s="206" t="str">
        <f t="shared" si="2"/>
        <v>FUNDAÇÕES</v>
      </c>
      <c r="F48" s="207" t="str">
        <f t="shared" ca="1" si="3"/>
        <v>-</v>
      </c>
      <c r="G48" s="151">
        <f ca="1">IF(RegimeExecucao="Global","",ORÇAMENTO!T48)</f>
        <v>0</v>
      </c>
      <c r="H48" s="151">
        <f ca="1">IF(RegimeExecucao="Global","",ORÇAMENTO!W48)</f>
        <v>0</v>
      </c>
      <c r="I48" s="154">
        <f ca="1">ORÇAMENTO!X48</f>
        <v>0</v>
      </c>
      <c r="J48" s="427">
        <f t="shared" ca="1" si="4"/>
        <v>0</v>
      </c>
      <c r="K48" s="151">
        <f t="shared" ca="1" si="5"/>
        <v>0</v>
      </c>
      <c r="L48" s="428">
        <f t="shared" ca="1" si="6"/>
        <v>0</v>
      </c>
      <c r="M48" s="429">
        <f ca="1">IF($A48="S",VTOTALBM,IF($A48=0,0,ROUND(SomaAgrupBM,15-13*ORÇAMENTO!$AF$11)))</f>
        <v>0</v>
      </c>
      <c r="N48" s="430">
        <f t="shared" ca="1" si="7"/>
        <v>0</v>
      </c>
      <c r="O48" s="154">
        <f ca="1">IF($A48="S",VTOTALBM,IF($A48=0,0,ROUND(SomaAgrupBM,15-13*ORÇAMENTO!$AF$11)))</f>
        <v>0</v>
      </c>
      <c r="Q48" s="431"/>
      <c r="R48" s="432"/>
      <c r="T48" s="146" t="str">
        <f t="shared" ca="1" si="8"/>
        <v/>
      </c>
      <c r="U48" s="206" t="str">
        <f t="shared" ca="1" si="9"/>
        <v/>
      </c>
      <c r="V48" s="207" t="str">
        <f t="shared" ca="1" si="10"/>
        <v/>
      </c>
      <c r="W48" s="634">
        <f ca="1">IF($Y48&gt;0,CHOOSE(MATCH(RegimeExecucao,{"Unitário","Global"},0),IF($A48="S",$Y48/$X48,""),($Y48/$X48)*100),0)</f>
        <v>0</v>
      </c>
      <c r="X48" s="433" t="str">
        <f ca="1">IF($Y48&gt;0,CHOOSE(MATCH(RegimeExecucao,{"Unitário","Global"},0),IF($A48="S",ROUND($H48,ORÇAMENTO!$AF$10),""),ROUND($I48,ORÇAMENTO!$AF$11)),"")</f>
        <v/>
      </c>
      <c r="Y48" s="433">
        <f t="shared" ca="1" si="11"/>
        <v>0</v>
      </c>
      <c r="Z48" s="434"/>
      <c r="AB48" s="431"/>
      <c r="AC48" s="599"/>
      <c r="AD48" s="599"/>
      <c r="AE48" s="599"/>
      <c r="AF48" s="599"/>
      <c r="AG48" s="599"/>
      <c r="AH48" s="599"/>
      <c r="AI48" s="599"/>
      <c r="AJ48" s="599"/>
      <c r="AK48" s="599"/>
      <c r="AL48" s="599"/>
      <c r="AM48" s="432"/>
      <c r="AO48">
        <f ca="1">IF($A48="S",IF(BM!$I48=0,0,CHOOSE(MATCH(RegimeExecucao,{"Global","Unitário"},0),ROUND(ROUND(BM.MEDAcumulado,15-13*BM!$A$9)/100*BM!$I48,15-13*ORÇAMENTO!$AF$11),ROUND(ROUND(BM.MEDAcumulado,15-13*BM!$A$9)*ROUND(BM!$H48,15-13*ORÇAMENTO!$AF$10),15-13*ORÇAMENTO!$AF$11))),IF($A48=0,0,ROUND(SomaAgrupBM,15-13*ORÇAMENTO!$AF$11)))</f>
        <v>0</v>
      </c>
    </row>
    <row r="49" spans="1:41" ht="13.8" x14ac:dyDescent="0.3">
      <c r="A49">
        <f ca="1">ORÇAMENTO!C49</f>
        <v>3</v>
      </c>
      <c r="B49">
        <f ca="1">ORÇAMENTO!D49</f>
        <v>7</v>
      </c>
      <c r="C49" s="143" t="str">
        <f t="shared" ca="1" si="1"/>
        <v>F</v>
      </c>
      <c r="D49" s="146" t="str">
        <f ca="1">ORÇAMENTO!O49</f>
        <v>1.3.1.</v>
      </c>
      <c r="E49" s="206" t="str">
        <f t="shared" si="2"/>
        <v>CONCRETO ARMADO PARA FUNDAÇÕES - SAPATAS</v>
      </c>
      <c r="F49" s="207" t="str">
        <f t="shared" ca="1" si="3"/>
        <v>-</v>
      </c>
      <c r="G49" s="151">
        <f ca="1">IF(RegimeExecucao="Global","",ORÇAMENTO!T49)</f>
        <v>0</v>
      </c>
      <c r="H49" s="151">
        <f ca="1">IF(RegimeExecucao="Global","",ORÇAMENTO!W49)</f>
        <v>0</v>
      </c>
      <c r="I49" s="154">
        <f ca="1">ORÇAMENTO!X49</f>
        <v>0</v>
      </c>
      <c r="J49" s="427">
        <f t="shared" ca="1" si="4"/>
        <v>0</v>
      </c>
      <c r="K49" s="151">
        <f t="shared" ca="1" si="5"/>
        <v>0</v>
      </c>
      <c r="L49" s="428">
        <f t="shared" ca="1" si="6"/>
        <v>0</v>
      </c>
      <c r="M49" s="429">
        <f ca="1">IF($A49="S",VTOTALBM,IF($A49=0,0,ROUND(SomaAgrupBM,15-13*ORÇAMENTO!$AF$11)))</f>
        <v>0</v>
      </c>
      <c r="N49" s="430">
        <f t="shared" ca="1" si="7"/>
        <v>0</v>
      </c>
      <c r="O49" s="154">
        <f ca="1">IF($A49="S",VTOTALBM,IF($A49=0,0,ROUND(SomaAgrupBM,15-13*ORÇAMENTO!$AF$11)))</f>
        <v>0</v>
      </c>
      <c r="Q49" s="431"/>
      <c r="R49" s="432"/>
      <c r="T49" s="146" t="str">
        <f t="shared" ca="1" si="8"/>
        <v/>
      </c>
      <c r="U49" s="206" t="str">
        <f t="shared" ca="1" si="9"/>
        <v/>
      </c>
      <c r="V49" s="207" t="str">
        <f t="shared" ca="1" si="10"/>
        <v/>
      </c>
      <c r="W49" s="634">
        <f ca="1">IF($Y49&gt;0,CHOOSE(MATCH(RegimeExecucao,{"Unitário","Global"},0),IF($A49="S",$Y49/$X49,""),($Y49/$X49)*100),0)</f>
        <v>0</v>
      </c>
      <c r="X49" s="433" t="str">
        <f ca="1">IF($Y49&gt;0,CHOOSE(MATCH(RegimeExecucao,{"Unitário","Global"},0),IF($A49="S",ROUND($H49,ORÇAMENTO!$AF$10),""),ROUND($I49,ORÇAMENTO!$AF$11)),"")</f>
        <v/>
      </c>
      <c r="Y49" s="433">
        <f t="shared" ca="1" si="11"/>
        <v>0</v>
      </c>
      <c r="Z49" s="434"/>
      <c r="AB49" s="431"/>
      <c r="AC49" s="599"/>
      <c r="AD49" s="599"/>
      <c r="AE49" s="599"/>
      <c r="AF49" s="599"/>
      <c r="AG49" s="599"/>
      <c r="AH49" s="599"/>
      <c r="AI49" s="599"/>
      <c r="AJ49" s="599"/>
      <c r="AK49" s="599"/>
      <c r="AL49" s="599"/>
      <c r="AM49" s="432"/>
      <c r="AO49">
        <f ca="1">IF($A49="S",IF(BM!$I49=0,0,CHOOSE(MATCH(RegimeExecucao,{"Global","Unitário"},0),ROUND(ROUND(BM.MEDAcumulado,15-13*BM!$A$9)/100*BM!$I49,15-13*ORÇAMENTO!$AF$11),ROUND(ROUND(BM.MEDAcumulado,15-13*BM!$A$9)*ROUND(BM!$H49,15-13*ORÇAMENTO!$AF$10),15-13*ORÇAMENTO!$AF$11))),IF($A49=0,0,ROUND(SomaAgrupBM,15-13*ORÇAMENTO!$AF$11)))</f>
        <v>0</v>
      </c>
    </row>
    <row r="50" spans="1:41" ht="13.8" x14ac:dyDescent="0.3">
      <c r="A50" t="str">
        <f ca="1">ORÇAMENTO!C50</f>
        <v>S</v>
      </c>
      <c r="B50">
        <f ca="1">ORÇAMENTO!D50</f>
        <v>0</v>
      </c>
      <c r="C50" s="143" t="str">
        <f t="shared" ca="1" si="1"/>
        <v/>
      </c>
      <c r="D50" s="146" t="str">
        <f ca="1">ORÇAMENTO!O50</f>
        <v>-</v>
      </c>
      <c r="E50" s="206" t="str">
        <f t="shared" ca="1" si="2"/>
        <v>(abra o arquivo 'Referência 05-2024.xls)</v>
      </c>
      <c r="F50" s="207" t="str">
        <f t="shared" ca="1" si="3"/>
        <v>-</v>
      </c>
      <c r="G50" s="151">
        <f ca="1">IF(RegimeExecucao="Global","",ORÇAMENTO!T50)</f>
        <v>3148.22</v>
      </c>
      <c r="H50" s="151">
        <f ca="1">IF(RegimeExecucao="Global","",ORÇAMENTO!W50)</f>
        <v>0</v>
      </c>
      <c r="I50" s="154">
        <f ca="1">ORÇAMENTO!X50</f>
        <v>0</v>
      </c>
      <c r="J50" s="427">
        <f t="shared" ca="1" si="4"/>
        <v>0</v>
      </c>
      <c r="K50" s="151">
        <f t="shared" ca="1" si="5"/>
        <v>0</v>
      </c>
      <c r="L50" s="428">
        <f t="shared" ca="1" si="6"/>
        <v>0</v>
      </c>
      <c r="M50" s="429">
        <f ca="1">IF($A50="S",VTOTALBM,IF($A50=0,0,ROUND(SomaAgrupBM,15-13*ORÇAMENTO!$AF$11)))</f>
        <v>0</v>
      </c>
      <c r="N50" s="430">
        <f t="shared" ca="1" si="7"/>
        <v>0</v>
      </c>
      <c r="O50" s="154">
        <f ca="1">IF($A50="S",VTOTALBM,IF($A50=0,0,ROUND(SomaAgrupBM,15-13*ORÇAMENTO!$AF$11)))</f>
        <v>0</v>
      </c>
      <c r="Q50" s="431"/>
      <c r="R50" s="432"/>
      <c r="T50" s="146" t="str">
        <f t="shared" ca="1" si="8"/>
        <v/>
      </c>
      <c r="U50" s="206" t="str">
        <f t="shared" ca="1" si="9"/>
        <v/>
      </c>
      <c r="V50" s="207" t="str">
        <f t="shared" ca="1" si="10"/>
        <v/>
      </c>
      <c r="W50" s="634">
        <f ca="1">IF($Y50&gt;0,CHOOSE(MATCH(RegimeExecucao,{"Unitário","Global"},0),IF($A50="S",$Y50/$X50,""),($Y50/$X50)*100),0)</f>
        <v>0</v>
      </c>
      <c r="X50" s="433" t="str">
        <f ca="1">IF($Y50&gt;0,CHOOSE(MATCH(RegimeExecucao,{"Unitário","Global"},0),IF($A50="S",ROUND($H50,ORÇAMENTO!$AF$10),""),ROUND($I50,ORÇAMENTO!$AF$11)),"")</f>
        <v/>
      </c>
      <c r="Y50" s="433">
        <f t="shared" ca="1" si="11"/>
        <v>0</v>
      </c>
      <c r="Z50" s="434"/>
      <c r="AB50" s="431"/>
      <c r="AC50" s="599"/>
      <c r="AD50" s="599"/>
      <c r="AE50" s="599"/>
      <c r="AF50" s="599"/>
      <c r="AG50" s="599"/>
      <c r="AH50" s="599"/>
      <c r="AI50" s="599"/>
      <c r="AJ50" s="599"/>
      <c r="AK50" s="599"/>
      <c r="AL50" s="599"/>
      <c r="AM50" s="432"/>
      <c r="AO50">
        <f ca="1">IF($A50="S",IF(BM!$I50=0,0,CHOOSE(MATCH(RegimeExecucao,{"Global","Unitário"},0),ROUND(ROUND(BM.MEDAcumulado,15-13*BM!$A$9)/100*BM!$I50,15-13*ORÇAMENTO!$AF$11),ROUND(ROUND(BM.MEDAcumulado,15-13*BM!$A$9)*ROUND(BM!$H50,15-13*ORÇAMENTO!$AF$10),15-13*ORÇAMENTO!$AF$11))),IF($A50=0,0,ROUND(SomaAgrupBM,15-13*ORÇAMENTO!$AF$11)))</f>
        <v>0</v>
      </c>
    </row>
    <row r="51" spans="1:41" ht="13.8" x14ac:dyDescent="0.3">
      <c r="A51" t="str">
        <f ca="1">ORÇAMENTO!C51</f>
        <v>S</v>
      </c>
      <c r="B51">
        <f ca="1">ORÇAMENTO!D51</f>
        <v>0</v>
      </c>
      <c r="C51" s="143" t="str">
        <f t="shared" ca="1" si="1"/>
        <v/>
      </c>
      <c r="D51" s="146" t="str">
        <f ca="1">ORÇAMENTO!O51</f>
        <v>-</v>
      </c>
      <c r="E51" s="206" t="str">
        <f t="shared" ca="1" si="2"/>
        <v>(abra o arquivo 'Referência 05-2024.xls)</v>
      </c>
      <c r="F51" s="207" t="str">
        <f t="shared" ca="1" si="3"/>
        <v>-</v>
      </c>
      <c r="G51" s="151">
        <f ca="1">IF(RegimeExecucao="Global","",ORÇAMENTO!T51)</f>
        <v>1409.17</v>
      </c>
      <c r="H51" s="151">
        <f ca="1">IF(RegimeExecucao="Global","",ORÇAMENTO!W51)</f>
        <v>0</v>
      </c>
      <c r="I51" s="154">
        <f ca="1">ORÇAMENTO!X51</f>
        <v>0</v>
      </c>
      <c r="J51" s="427">
        <f t="shared" ca="1" si="4"/>
        <v>0</v>
      </c>
      <c r="K51" s="151">
        <f t="shared" ca="1" si="5"/>
        <v>0</v>
      </c>
      <c r="L51" s="428">
        <f t="shared" ca="1" si="6"/>
        <v>0</v>
      </c>
      <c r="M51" s="429">
        <f ca="1">IF($A51="S",VTOTALBM,IF($A51=0,0,ROUND(SomaAgrupBM,15-13*ORÇAMENTO!$AF$11)))</f>
        <v>0</v>
      </c>
      <c r="N51" s="430">
        <f t="shared" ca="1" si="7"/>
        <v>0</v>
      </c>
      <c r="O51" s="154">
        <f ca="1">IF($A51="S",VTOTALBM,IF($A51=0,0,ROUND(SomaAgrupBM,15-13*ORÇAMENTO!$AF$11)))</f>
        <v>0</v>
      </c>
      <c r="Q51" s="431"/>
      <c r="R51" s="432"/>
      <c r="T51" s="146" t="str">
        <f t="shared" ca="1" si="8"/>
        <v/>
      </c>
      <c r="U51" s="206" t="str">
        <f t="shared" ca="1" si="9"/>
        <v/>
      </c>
      <c r="V51" s="207" t="str">
        <f t="shared" ca="1" si="10"/>
        <v/>
      </c>
      <c r="W51" s="634">
        <f ca="1">IF($Y51&gt;0,CHOOSE(MATCH(RegimeExecucao,{"Unitário","Global"},0),IF($A51="S",$Y51/$X51,""),($Y51/$X51)*100),0)</f>
        <v>0</v>
      </c>
      <c r="X51" s="433" t="str">
        <f ca="1">IF($Y51&gt;0,CHOOSE(MATCH(RegimeExecucao,{"Unitário","Global"},0),IF($A51="S",ROUND($H51,ORÇAMENTO!$AF$10),""),ROUND($I51,ORÇAMENTO!$AF$11)),"")</f>
        <v/>
      </c>
      <c r="Y51" s="433">
        <f t="shared" ca="1" si="11"/>
        <v>0</v>
      </c>
      <c r="Z51" s="434"/>
      <c r="AB51" s="431"/>
      <c r="AC51" s="599"/>
      <c r="AD51" s="599"/>
      <c r="AE51" s="599"/>
      <c r="AF51" s="599"/>
      <c r="AG51" s="599"/>
      <c r="AH51" s="599"/>
      <c r="AI51" s="599"/>
      <c r="AJ51" s="599"/>
      <c r="AK51" s="599"/>
      <c r="AL51" s="599"/>
      <c r="AM51" s="432"/>
      <c r="AO51">
        <f ca="1">IF($A51="S",IF(BM!$I51=0,0,CHOOSE(MATCH(RegimeExecucao,{"Global","Unitário"},0),ROUND(ROUND(BM.MEDAcumulado,15-13*BM!$A$9)/100*BM!$I51,15-13*ORÇAMENTO!$AF$11),ROUND(ROUND(BM.MEDAcumulado,15-13*BM!$A$9)*ROUND(BM!$H51,15-13*ORÇAMENTO!$AF$10),15-13*ORÇAMENTO!$AF$11))),IF($A51=0,0,ROUND(SomaAgrupBM,15-13*ORÇAMENTO!$AF$11)))</f>
        <v>0</v>
      </c>
    </row>
    <row r="52" spans="1:41" ht="13.8" x14ac:dyDescent="0.3">
      <c r="A52" t="str">
        <f ca="1">ORÇAMENTO!C52</f>
        <v>S</v>
      </c>
      <c r="B52">
        <f ca="1">ORÇAMENTO!D52</f>
        <v>0</v>
      </c>
      <c r="C52" s="143" t="str">
        <f t="shared" ca="1" si="1"/>
        <v/>
      </c>
      <c r="D52" s="146" t="str">
        <f ca="1">ORÇAMENTO!O52</f>
        <v>-</v>
      </c>
      <c r="E52" s="206" t="str">
        <f t="shared" ca="1" si="2"/>
        <v>(abra o arquivo 'Referência 05-2024.xls)</v>
      </c>
      <c r="F52" s="207" t="str">
        <f t="shared" ca="1" si="3"/>
        <v>-</v>
      </c>
      <c r="G52" s="151">
        <f ca="1">IF(RegimeExecucao="Global","",ORÇAMENTO!T52)</f>
        <v>2036.46</v>
      </c>
      <c r="H52" s="151">
        <f ca="1">IF(RegimeExecucao="Global","",ORÇAMENTO!W52)</f>
        <v>0</v>
      </c>
      <c r="I52" s="154">
        <f ca="1">ORÇAMENTO!X52</f>
        <v>0</v>
      </c>
      <c r="J52" s="427">
        <f t="shared" ca="1" si="4"/>
        <v>0</v>
      </c>
      <c r="K52" s="151">
        <f t="shared" ca="1" si="5"/>
        <v>0</v>
      </c>
      <c r="L52" s="428">
        <f t="shared" ca="1" si="6"/>
        <v>0</v>
      </c>
      <c r="M52" s="429">
        <f ca="1">IF($A52="S",VTOTALBM,IF($A52=0,0,ROUND(SomaAgrupBM,15-13*ORÇAMENTO!$AF$11)))</f>
        <v>0</v>
      </c>
      <c r="N52" s="430">
        <f t="shared" ca="1" si="7"/>
        <v>0</v>
      </c>
      <c r="O52" s="154">
        <f ca="1">IF($A52="S",VTOTALBM,IF($A52=0,0,ROUND(SomaAgrupBM,15-13*ORÇAMENTO!$AF$11)))</f>
        <v>0</v>
      </c>
      <c r="Q52" s="431"/>
      <c r="R52" s="432"/>
      <c r="T52" s="146" t="str">
        <f t="shared" ca="1" si="8"/>
        <v/>
      </c>
      <c r="U52" s="206" t="str">
        <f t="shared" ca="1" si="9"/>
        <v/>
      </c>
      <c r="V52" s="207" t="str">
        <f t="shared" ca="1" si="10"/>
        <v/>
      </c>
      <c r="W52" s="634">
        <f ca="1">IF($Y52&gt;0,CHOOSE(MATCH(RegimeExecucao,{"Unitário","Global"},0),IF($A52="S",$Y52/$X52,""),($Y52/$X52)*100),0)</f>
        <v>0</v>
      </c>
      <c r="X52" s="433" t="str">
        <f ca="1">IF($Y52&gt;0,CHOOSE(MATCH(RegimeExecucao,{"Unitário","Global"},0),IF($A52="S",ROUND($H52,ORÇAMENTO!$AF$10),""),ROUND($I52,ORÇAMENTO!$AF$11)),"")</f>
        <v/>
      </c>
      <c r="Y52" s="433">
        <f t="shared" ca="1" si="11"/>
        <v>0</v>
      </c>
      <c r="Z52" s="434"/>
      <c r="AB52" s="431"/>
      <c r="AC52" s="599"/>
      <c r="AD52" s="599"/>
      <c r="AE52" s="599"/>
      <c r="AF52" s="599"/>
      <c r="AG52" s="599"/>
      <c r="AH52" s="599"/>
      <c r="AI52" s="599"/>
      <c r="AJ52" s="599"/>
      <c r="AK52" s="599"/>
      <c r="AL52" s="599"/>
      <c r="AM52" s="432"/>
      <c r="AO52">
        <f ca="1">IF($A52="S",IF(BM!$I52=0,0,CHOOSE(MATCH(RegimeExecucao,{"Global","Unitário"},0),ROUND(ROUND(BM.MEDAcumulado,15-13*BM!$A$9)/100*BM!$I52,15-13*ORÇAMENTO!$AF$11),ROUND(ROUND(BM.MEDAcumulado,15-13*BM!$A$9)*ROUND(BM!$H52,15-13*ORÇAMENTO!$AF$10),15-13*ORÇAMENTO!$AF$11))),IF($A52=0,0,ROUND(SomaAgrupBM,15-13*ORÇAMENTO!$AF$11)))</f>
        <v>0</v>
      </c>
    </row>
    <row r="53" spans="1:41" ht="13.8" x14ac:dyDescent="0.3">
      <c r="A53" t="str">
        <f ca="1">ORÇAMENTO!C53</f>
        <v>S</v>
      </c>
      <c r="B53">
        <f ca="1">ORÇAMENTO!D53</f>
        <v>0</v>
      </c>
      <c r="C53" s="143" t="str">
        <f t="shared" ca="1" si="1"/>
        <v/>
      </c>
      <c r="D53" s="146" t="str">
        <f ca="1">ORÇAMENTO!O53</f>
        <v>-</v>
      </c>
      <c r="E53" s="206" t="str">
        <f t="shared" ca="1" si="2"/>
        <v>(abra o arquivo 'Referência 05-2024.xls)</v>
      </c>
      <c r="F53" s="207" t="str">
        <f t="shared" ca="1" si="3"/>
        <v>-</v>
      </c>
      <c r="G53" s="151">
        <f ca="1">IF(RegimeExecucao="Global","",ORÇAMENTO!T53)</f>
        <v>78.790000000000006</v>
      </c>
      <c r="H53" s="151">
        <f ca="1">IF(RegimeExecucao="Global","",ORÇAMENTO!W53)</f>
        <v>0</v>
      </c>
      <c r="I53" s="154">
        <f ca="1">ORÇAMENTO!X53</f>
        <v>0</v>
      </c>
      <c r="J53" s="427">
        <f t="shared" ca="1" si="4"/>
        <v>0</v>
      </c>
      <c r="K53" s="151">
        <f t="shared" ca="1" si="5"/>
        <v>0</v>
      </c>
      <c r="L53" s="428">
        <f t="shared" ca="1" si="6"/>
        <v>0</v>
      </c>
      <c r="M53" s="429">
        <f ca="1">IF($A53="S",VTOTALBM,IF($A53=0,0,ROUND(SomaAgrupBM,15-13*ORÇAMENTO!$AF$11)))</f>
        <v>0</v>
      </c>
      <c r="N53" s="430">
        <f t="shared" ca="1" si="7"/>
        <v>0</v>
      </c>
      <c r="O53" s="154">
        <f ca="1">IF($A53="S",VTOTALBM,IF($A53=0,0,ROUND(SomaAgrupBM,15-13*ORÇAMENTO!$AF$11)))</f>
        <v>0</v>
      </c>
      <c r="Q53" s="431"/>
      <c r="R53" s="432"/>
      <c r="T53" s="146" t="str">
        <f t="shared" ca="1" si="8"/>
        <v/>
      </c>
      <c r="U53" s="206" t="str">
        <f t="shared" ca="1" si="9"/>
        <v/>
      </c>
      <c r="V53" s="207" t="str">
        <f t="shared" ca="1" si="10"/>
        <v/>
      </c>
      <c r="W53" s="634">
        <f ca="1">IF($Y53&gt;0,CHOOSE(MATCH(RegimeExecucao,{"Unitário","Global"},0),IF($A53="S",$Y53/$X53,""),($Y53/$X53)*100),0)</f>
        <v>0</v>
      </c>
      <c r="X53" s="433" t="str">
        <f ca="1">IF($Y53&gt;0,CHOOSE(MATCH(RegimeExecucao,{"Unitário","Global"},0),IF($A53="S",ROUND($H53,ORÇAMENTO!$AF$10),""),ROUND($I53,ORÇAMENTO!$AF$11)),"")</f>
        <v/>
      </c>
      <c r="Y53" s="433">
        <f t="shared" ca="1" si="11"/>
        <v>0</v>
      </c>
      <c r="Z53" s="434"/>
      <c r="AB53" s="431"/>
      <c r="AC53" s="599"/>
      <c r="AD53" s="599"/>
      <c r="AE53" s="599"/>
      <c r="AF53" s="599"/>
      <c r="AG53" s="599"/>
      <c r="AH53" s="599"/>
      <c r="AI53" s="599"/>
      <c r="AJ53" s="599"/>
      <c r="AK53" s="599"/>
      <c r="AL53" s="599"/>
      <c r="AM53" s="432"/>
      <c r="AO53">
        <f ca="1">IF($A53="S",IF(BM!$I53=0,0,CHOOSE(MATCH(RegimeExecucao,{"Global","Unitário"},0),ROUND(ROUND(BM.MEDAcumulado,15-13*BM!$A$9)/100*BM!$I53,15-13*ORÇAMENTO!$AF$11),ROUND(ROUND(BM.MEDAcumulado,15-13*BM!$A$9)*ROUND(BM!$H53,15-13*ORÇAMENTO!$AF$10),15-13*ORÇAMENTO!$AF$11))),IF($A53=0,0,ROUND(SomaAgrupBM,15-13*ORÇAMENTO!$AF$11)))</f>
        <v>0</v>
      </c>
    </row>
    <row r="54" spans="1:41" ht="13.8" x14ac:dyDescent="0.3">
      <c r="A54" t="str">
        <f ca="1">ORÇAMENTO!C54</f>
        <v>S</v>
      </c>
      <c r="B54">
        <f ca="1">ORÇAMENTO!D54</f>
        <v>0</v>
      </c>
      <c r="C54" s="143" t="str">
        <f t="shared" ca="1" si="1"/>
        <v/>
      </c>
      <c r="D54" s="146" t="str">
        <f ca="1">ORÇAMENTO!O54</f>
        <v>-</v>
      </c>
      <c r="E54" s="206" t="str">
        <f t="shared" ca="1" si="2"/>
        <v>(abra o arquivo 'Referência 05-2024.xls)</v>
      </c>
      <c r="F54" s="207" t="str">
        <f t="shared" ca="1" si="3"/>
        <v>-</v>
      </c>
      <c r="G54" s="151">
        <f ca="1">IF(RegimeExecucao="Global","",ORÇAMENTO!T54)</f>
        <v>441.8</v>
      </c>
      <c r="H54" s="151">
        <f ca="1">IF(RegimeExecucao="Global","",ORÇAMENTO!W54)</f>
        <v>0</v>
      </c>
      <c r="I54" s="154">
        <f ca="1">ORÇAMENTO!X54</f>
        <v>0</v>
      </c>
      <c r="J54" s="427">
        <f t="shared" ca="1" si="4"/>
        <v>0</v>
      </c>
      <c r="K54" s="151">
        <f t="shared" ca="1" si="5"/>
        <v>0</v>
      </c>
      <c r="L54" s="428">
        <f t="shared" ca="1" si="6"/>
        <v>0</v>
      </c>
      <c r="M54" s="429">
        <f ca="1">IF($A54="S",VTOTALBM,IF($A54=0,0,ROUND(SomaAgrupBM,15-13*ORÇAMENTO!$AF$11)))</f>
        <v>0</v>
      </c>
      <c r="N54" s="430">
        <f t="shared" ca="1" si="7"/>
        <v>0</v>
      </c>
      <c r="O54" s="154">
        <f ca="1">IF($A54="S",VTOTALBM,IF($A54=0,0,ROUND(SomaAgrupBM,15-13*ORÇAMENTO!$AF$11)))</f>
        <v>0</v>
      </c>
      <c r="Q54" s="431"/>
      <c r="R54" s="432"/>
      <c r="T54" s="146" t="str">
        <f t="shared" ca="1" si="8"/>
        <v/>
      </c>
      <c r="U54" s="206" t="str">
        <f t="shared" ca="1" si="9"/>
        <v/>
      </c>
      <c r="V54" s="207" t="str">
        <f t="shared" ca="1" si="10"/>
        <v/>
      </c>
      <c r="W54" s="634">
        <f ca="1">IF($Y54&gt;0,CHOOSE(MATCH(RegimeExecucao,{"Unitário","Global"},0),IF($A54="S",$Y54/$X54,""),($Y54/$X54)*100),0)</f>
        <v>0</v>
      </c>
      <c r="X54" s="433" t="str">
        <f ca="1">IF($Y54&gt;0,CHOOSE(MATCH(RegimeExecucao,{"Unitário","Global"},0),IF($A54="S",ROUND($H54,ORÇAMENTO!$AF$10),""),ROUND($I54,ORÇAMENTO!$AF$11)),"")</f>
        <v/>
      </c>
      <c r="Y54" s="433">
        <f t="shared" ca="1" si="11"/>
        <v>0</v>
      </c>
      <c r="Z54" s="434"/>
      <c r="AB54" s="431"/>
      <c r="AC54" s="599"/>
      <c r="AD54" s="599"/>
      <c r="AE54" s="599"/>
      <c r="AF54" s="599"/>
      <c r="AG54" s="599"/>
      <c r="AH54" s="599"/>
      <c r="AI54" s="599"/>
      <c r="AJ54" s="599"/>
      <c r="AK54" s="599"/>
      <c r="AL54" s="599"/>
      <c r="AM54" s="432"/>
      <c r="AO54">
        <f ca="1">IF($A54="S",IF(BM!$I54=0,0,CHOOSE(MATCH(RegimeExecucao,{"Global","Unitário"},0),ROUND(ROUND(BM.MEDAcumulado,15-13*BM!$A$9)/100*BM!$I54,15-13*ORÇAMENTO!$AF$11),ROUND(ROUND(BM.MEDAcumulado,15-13*BM!$A$9)*ROUND(BM!$H54,15-13*ORÇAMENTO!$AF$10),15-13*ORÇAMENTO!$AF$11))),IF($A54=0,0,ROUND(SomaAgrupBM,15-13*ORÇAMENTO!$AF$11)))</f>
        <v>0</v>
      </c>
    </row>
    <row r="55" spans="1:41" ht="13.8" x14ac:dyDescent="0.3">
      <c r="A55" t="str">
        <f ca="1">ORÇAMENTO!C55</f>
        <v>S</v>
      </c>
      <c r="B55">
        <f ca="1">ORÇAMENTO!D55</f>
        <v>0</v>
      </c>
      <c r="C55" s="143" t="str">
        <f t="shared" ca="1" si="1"/>
        <v/>
      </c>
      <c r="D55" s="146" t="str">
        <f ca="1">ORÇAMENTO!O55</f>
        <v>-</v>
      </c>
      <c r="E55" s="206" t="str">
        <f t="shared" ca="1" si="2"/>
        <v>(abra o arquivo 'Referência 05-2024.xls)</v>
      </c>
      <c r="F55" s="207" t="str">
        <f t="shared" ca="1" si="3"/>
        <v>-</v>
      </c>
      <c r="G55" s="151">
        <f ca="1">IF(RegimeExecucao="Global","",ORÇAMENTO!T55)</f>
        <v>192.55</v>
      </c>
      <c r="H55" s="151">
        <f ca="1">IF(RegimeExecucao="Global","",ORÇAMENTO!W55)</f>
        <v>0</v>
      </c>
      <c r="I55" s="154">
        <f ca="1">ORÇAMENTO!X55</f>
        <v>0</v>
      </c>
      <c r="J55" s="427">
        <f t="shared" ca="1" si="4"/>
        <v>0</v>
      </c>
      <c r="K55" s="151">
        <f t="shared" ca="1" si="5"/>
        <v>0</v>
      </c>
      <c r="L55" s="428">
        <f t="shared" ca="1" si="6"/>
        <v>0</v>
      </c>
      <c r="M55" s="429">
        <f ca="1">IF($A55="S",VTOTALBM,IF($A55=0,0,ROUND(SomaAgrupBM,15-13*ORÇAMENTO!$AF$11)))</f>
        <v>0</v>
      </c>
      <c r="N55" s="430">
        <f t="shared" ca="1" si="7"/>
        <v>0</v>
      </c>
      <c r="O55" s="154">
        <f ca="1">IF($A55="S",VTOTALBM,IF($A55=0,0,ROUND(SomaAgrupBM,15-13*ORÇAMENTO!$AF$11)))</f>
        <v>0</v>
      </c>
      <c r="Q55" s="431"/>
      <c r="R55" s="432"/>
      <c r="T55" s="146" t="str">
        <f t="shared" ca="1" si="8"/>
        <v/>
      </c>
      <c r="U55" s="206" t="str">
        <f t="shared" ca="1" si="9"/>
        <v/>
      </c>
      <c r="V55" s="207" t="str">
        <f t="shared" ca="1" si="10"/>
        <v/>
      </c>
      <c r="W55" s="634">
        <f ca="1">IF($Y55&gt;0,CHOOSE(MATCH(RegimeExecucao,{"Unitário","Global"},0),IF($A55="S",$Y55/$X55,""),($Y55/$X55)*100),0)</f>
        <v>0</v>
      </c>
      <c r="X55" s="433" t="str">
        <f ca="1">IF($Y55&gt;0,CHOOSE(MATCH(RegimeExecucao,{"Unitário","Global"},0),IF($A55="S",ROUND($H55,ORÇAMENTO!$AF$10),""),ROUND($I55,ORÇAMENTO!$AF$11)),"")</f>
        <v/>
      </c>
      <c r="Y55" s="433">
        <f t="shared" ca="1" si="11"/>
        <v>0</v>
      </c>
      <c r="Z55" s="434"/>
      <c r="AB55" s="431"/>
      <c r="AC55" s="599"/>
      <c r="AD55" s="599"/>
      <c r="AE55" s="599"/>
      <c r="AF55" s="599"/>
      <c r="AG55" s="599"/>
      <c r="AH55" s="599"/>
      <c r="AI55" s="599"/>
      <c r="AJ55" s="599"/>
      <c r="AK55" s="599"/>
      <c r="AL55" s="599"/>
      <c r="AM55" s="432"/>
      <c r="AO55">
        <f ca="1">IF($A55="S",IF(BM!$I55=0,0,CHOOSE(MATCH(RegimeExecucao,{"Global","Unitário"},0),ROUND(ROUND(BM.MEDAcumulado,15-13*BM!$A$9)/100*BM!$I55,15-13*ORÇAMENTO!$AF$11),ROUND(ROUND(BM.MEDAcumulado,15-13*BM!$A$9)*ROUND(BM!$H55,15-13*ORÇAMENTO!$AF$10),15-13*ORÇAMENTO!$AF$11))),IF($A55=0,0,ROUND(SomaAgrupBM,15-13*ORÇAMENTO!$AF$11)))</f>
        <v>0</v>
      </c>
    </row>
    <row r="56" spans="1:41" ht="13.8" x14ac:dyDescent="0.3">
      <c r="A56">
        <f ca="1">ORÇAMENTO!C56</f>
        <v>3</v>
      </c>
      <c r="B56">
        <f ca="1">ORÇAMENTO!D56</f>
        <v>10</v>
      </c>
      <c r="C56" s="143" t="str">
        <f t="shared" ca="1" si="1"/>
        <v>F</v>
      </c>
      <c r="D56" s="146" t="str">
        <f ca="1">ORÇAMENTO!O56</f>
        <v>1.3.2.</v>
      </c>
      <c r="E56" s="206" t="str">
        <f t="shared" si="2"/>
        <v>CONCRETO ARMADO PARA FUNDAÇÕES - VIGAS BALDRAMES</v>
      </c>
      <c r="F56" s="207" t="str">
        <f t="shared" ca="1" si="3"/>
        <v>-</v>
      </c>
      <c r="G56" s="151">
        <f ca="1">IF(RegimeExecucao="Global","",ORÇAMENTO!T56)</f>
        <v>0</v>
      </c>
      <c r="H56" s="151">
        <f ca="1">IF(RegimeExecucao="Global","",ORÇAMENTO!W56)</f>
        <v>0</v>
      </c>
      <c r="I56" s="154">
        <f ca="1">ORÇAMENTO!X56</f>
        <v>0</v>
      </c>
      <c r="J56" s="427">
        <f t="shared" ca="1" si="4"/>
        <v>0</v>
      </c>
      <c r="K56" s="151">
        <f t="shared" ca="1" si="5"/>
        <v>0</v>
      </c>
      <c r="L56" s="428">
        <f t="shared" ca="1" si="6"/>
        <v>0</v>
      </c>
      <c r="M56" s="429">
        <f ca="1">IF($A56="S",VTOTALBM,IF($A56=0,0,ROUND(SomaAgrupBM,15-13*ORÇAMENTO!$AF$11)))</f>
        <v>0</v>
      </c>
      <c r="N56" s="430">
        <f t="shared" ca="1" si="7"/>
        <v>0</v>
      </c>
      <c r="O56" s="154">
        <f ca="1">IF($A56="S",VTOTALBM,IF($A56=0,0,ROUND(SomaAgrupBM,15-13*ORÇAMENTO!$AF$11)))</f>
        <v>0</v>
      </c>
      <c r="Q56" s="431"/>
      <c r="R56" s="432"/>
      <c r="T56" s="146" t="str">
        <f t="shared" ca="1" si="8"/>
        <v/>
      </c>
      <c r="U56" s="206" t="str">
        <f t="shared" ca="1" si="9"/>
        <v/>
      </c>
      <c r="V56" s="207" t="str">
        <f t="shared" ca="1" si="10"/>
        <v/>
      </c>
      <c r="W56" s="634">
        <f ca="1">IF($Y56&gt;0,CHOOSE(MATCH(RegimeExecucao,{"Unitário","Global"},0),IF($A56="S",$Y56/$X56,""),($Y56/$X56)*100),0)</f>
        <v>0</v>
      </c>
      <c r="X56" s="433" t="str">
        <f ca="1">IF($Y56&gt;0,CHOOSE(MATCH(RegimeExecucao,{"Unitário","Global"},0),IF($A56="S",ROUND($H56,ORÇAMENTO!$AF$10),""),ROUND($I56,ORÇAMENTO!$AF$11)),"")</f>
        <v/>
      </c>
      <c r="Y56" s="433">
        <f t="shared" ca="1" si="11"/>
        <v>0</v>
      </c>
      <c r="Z56" s="434"/>
      <c r="AB56" s="431"/>
      <c r="AC56" s="599"/>
      <c r="AD56" s="599"/>
      <c r="AE56" s="599"/>
      <c r="AF56" s="599"/>
      <c r="AG56" s="599"/>
      <c r="AH56" s="599"/>
      <c r="AI56" s="599"/>
      <c r="AJ56" s="599"/>
      <c r="AK56" s="599"/>
      <c r="AL56" s="599"/>
      <c r="AM56" s="432"/>
      <c r="AO56">
        <f ca="1">IF($A56="S",IF(BM!$I56=0,0,CHOOSE(MATCH(RegimeExecucao,{"Global","Unitário"},0),ROUND(ROUND(BM.MEDAcumulado,15-13*BM!$A$9)/100*BM!$I56,15-13*ORÇAMENTO!$AF$11),ROUND(ROUND(BM.MEDAcumulado,15-13*BM!$A$9)*ROUND(BM!$H56,15-13*ORÇAMENTO!$AF$10),15-13*ORÇAMENTO!$AF$11))),IF($A56=0,0,ROUND(SomaAgrupBM,15-13*ORÇAMENTO!$AF$11)))</f>
        <v>0</v>
      </c>
    </row>
    <row r="57" spans="1:41" ht="13.8" x14ac:dyDescent="0.3">
      <c r="A57" t="str">
        <f ca="1">ORÇAMENTO!C57</f>
        <v>S</v>
      </c>
      <c r="B57">
        <f ca="1">ORÇAMENTO!D57</f>
        <v>0</v>
      </c>
      <c r="C57" s="143" t="str">
        <f t="shared" ca="1" si="1"/>
        <v/>
      </c>
      <c r="D57" s="146" t="str">
        <f ca="1">ORÇAMENTO!O57</f>
        <v>-</v>
      </c>
      <c r="E57" s="206" t="str">
        <f t="shared" ca="1" si="2"/>
        <v>(abra o arquivo 'Referência 05-2024.xls)</v>
      </c>
      <c r="F57" s="207" t="str">
        <f t="shared" ca="1" si="3"/>
        <v>-</v>
      </c>
      <c r="G57" s="151">
        <f ca="1">IF(RegimeExecucao="Global","",ORÇAMENTO!T57)</f>
        <v>161.96</v>
      </c>
      <c r="H57" s="151">
        <f ca="1">IF(RegimeExecucao="Global","",ORÇAMENTO!W57)</f>
        <v>0</v>
      </c>
      <c r="I57" s="154">
        <f ca="1">ORÇAMENTO!X57</f>
        <v>0</v>
      </c>
      <c r="J57" s="427">
        <f t="shared" ca="1" si="4"/>
        <v>0</v>
      </c>
      <c r="K57" s="151">
        <f t="shared" ca="1" si="5"/>
        <v>0</v>
      </c>
      <c r="L57" s="428">
        <f t="shared" ca="1" si="6"/>
        <v>0</v>
      </c>
      <c r="M57" s="429">
        <f ca="1">IF($A57="S",VTOTALBM,IF($A57=0,0,ROUND(SomaAgrupBM,15-13*ORÇAMENTO!$AF$11)))</f>
        <v>0</v>
      </c>
      <c r="N57" s="430">
        <f t="shared" ca="1" si="7"/>
        <v>0</v>
      </c>
      <c r="O57" s="154">
        <f ca="1">IF($A57="S",VTOTALBM,IF($A57=0,0,ROUND(SomaAgrupBM,15-13*ORÇAMENTO!$AF$11)))</f>
        <v>0</v>
      </c>
      <c r="Q57" s="431"/>
      <c r="R57" s="432"/>
      <c r="T57" s="146" t="str">
        <f t="shared" ca="1" si="8"/>
        <v/>
      </c>
      <c r="U57" s="206" t="str">
        <f t="shared" ca="1" si="9"/>
        <v/>
      </c>
      <c r="V57" s="207" t="str">
        <f t="shared" ca="1" si="10"/>
        <v/>
      </c>
      <c r="W57" s="634">
        <f ca="1">IF($Y57&gt;0,CHOOSE(MATCH(RegimeExecucao,{"Unitário","Global"},0),IF($A57="S",$Y57/$X57,""),($Y57/$X57)*100),0)</f>
        <v>0</v>
      </c>
      <c r="X57" s="433" t="str">
        <f ca="1">IF($Y57&gt;0,CHOOSE(MATCH(RegimeExecucao,{"Unitário","Global"},0),IF($A57="S",ROUND($H57,ORÇAMENTO!$AF$10),""),ROUND($I57,ORÇAMENTO!$AF$11)),"")</f>
        <v/>
      </c>
      <c r="Y57" s="433">
        <f t="shared" ca="1" si="11"/>
        <v>0</v>
      </c>
      <c r="Z57" s="434"/>
      <c r="AB57" s="431"/>
      <c r="AC57" s="599"/>
      <c r="AD57" s="599"/>
      <c r="AE57" s="599"/>
      <c r="AF57" s="599"/>
      <c r="AG57" s="599"/>
      <c r="AH57" s="599"/>
      <c r="AI57" s="599"/>
      <c r="AJ57" s="599"/>
      <c r="AK57" s="599"/>
      <c r="AL57" s="599"/>
      <c r="AM57" s="432"/>
      <c r="AO57">
        <f ca="1">IF($A57="S",IF(BM!$I57=0,0,CHOOSE(MATCH(RegimeExecucao,{"Global","Unitário"},0),ROUND(ROUND(BM.MEDAcumulado,15-13*BM!$A$9)/100*BM!$I57,15-13*ORÇAMENTO!$AF$11),ROUND(ROUND(BM.MEDAcumulado,15-13*BM!$A$9)*ROUND(BM!$H57,15-13*ORÇAMENTO!$AF$10),15-13*ORÇAMENTO!$AF$11))),IF($A57=0,0,ROUND(SomaAgrupBM,15-13*ORÇAMENTO!$AF$11)))</f>
        <v>0</v>
      </c>
    </row>
    <row r="58" spans="1:41" ht="13.8" x14ac:dyDescent="0.3">
      <c r="A58" t="str">
        <f ca="1">ORÇAMENTO!C58</f>
        <v>S</v>
      </c>
      <c r="B58">
        <f ca="1">ORÇAMENTO!D58</f>
        <v>0</v>
      </c>
      <c r="C58" s="143" t="str">
        <f t="shared" ca="1" si="1"/>
        <v/>
      </c>
      <c r="D58" s="146" t="str">
        <f ca="1">ORÇAMENTO!O58</f>
        <v>-</v>
      </c>
      <c r="E58" s="206" t="str">
        <f t="shared" ca="1" si="2"/>
        <v>(abra o arquivo 'Referência 05-2024.xls)</v>
      </c>
      <c r="F58" s="207" t="str">
        <f t="shared" ca="1" si="3"/>
        <v>-</v>
      </c>
      <c r="G58" s="151">
        <f ca="1">IF(RegimeExecucao="Global","",ORÇAMENTO!T58)</f>
        <v>80.209999999999994</v>
      </c>
      <c r="H58" s="151">
        <f ca="1">IF(RegimeExecucao="Global","",ORÇAMENTO!W58)</f>
        <v>0</v>
      </c>
      <c r="I58" s="154">
        <f ca="1">ORÇAMENTO!X58</f>
        <v>0</v>
      </c>
      <c r="J58" s="427">
        <f t="shared" ca="1" si="4"/>
        <v>0</v>
      </c>
      <c r="K58" s="151">
        <f t="shared" ca="1" si="5"/>
        <v>0</v>
      </c>
      <c r="L58" s="428">
        <f t="shared" ca="1" si="6"/>
        <v>0</v>
      </c>
      <c r="M58" s="429">
        <f ca="1">IF($A58="S",VTOTALBM,IF($A58=0,0,ROUND(SomaAgrupBM,15-13*ORÇAMENTO!$AF$11)))</f>
        <v>0</v>
      </c>
      <c r="N58" s="430">
        <f t="shared" ca="1" si="7"/>
        <v>0</v>
      </c>
      <c r="O58" s="154">
        <f ca="1">IF($A58="S",VTOTALBM,IF($A58=0,0,ROUND(SomaAgrupBM,15-13*ORÇAMENTO!$AF$11)))</f>
        <v>0</v>
      </c>
      <c r="Q58" s="431"/>
      <c r="R58" s="432"/>
      <c r="T58" s="146" t="str">
        <f t="shared" ca="1" si="8"/>
        <v/>
      </c>
      <c r="U58" s="206" t="str">
        <f t="shared" ca="1" si="9"/>
        <v/>
      </c>
      <c r="V58" s="207" t="str">
        <f t="shared" ca="1" si="10"/>
        <v/>
      </c>
      <c r="W58" s="634">
        <f ca="1">IF($Y58&gt;0,CHOOSE(MATCH(RegimeExecucao,{"Unitário","Global"},0),IF($A58="S",$Y58/$X58,""),($Y58/$X58)*100),0)</f>
        <v>0</v>
      </c>
      <c r="X58" s="433" t="str">
        <f ca="1">IF($Y58&gt;0,CHOOSE(MATCH(RegimeExecucao,{"Unitário","Global"},0),IF($A58="S",ROUND($H58,ORÇAMENTO!$AF$10),""),ROUND($I58,ORÇAMENTO!$AF$11)),"")</f>
        <v/>
      </c>
      <c r="Y58" s="433">
        <f t="shared" ca="1" si="11"/>
        <v>0</v>
      </c>
      <c r="Z58" s="434"/>
      <c r="AB58" s="431"/>
      <c r="AC58" s="599"/>
      <c r="AD58" s="599"/>
      <c r="AE58" s="599"/>
      <c r="AF58" s="599"/>
      <c r="AG58" s="599"/>
      <c r="AH58" s="599"/>
      <c r="AI58" s="599"/>
      <c r="AJ58" s="599"/>
      <c r="AK58" s="599"/>
      <c r="AL58" s="599"/>
      <c r="AM58" s="432"/>
      <c r="AO58">
        <f ca="1">IF($A58="S",IF(BM!$I58=0,0,CHOOSE(MATCH(RegimeExecucao,{"Global","Unitário"},0),ROUND(ROUND(BM.MEDAcumulado,15-13*BM!$A$9)/100*BM!$I58,15-13*ORÇAMENTO!$AF$11),ROUND(ROUND(BM.MEDAcumulado,15-13*BM!$A$9)*ROUND(BM!$H58,15-13*ORÇAMENTO!$AF$10),15-13*ORÇAMENTO!$AF$11))),IF($A58=0,0,ROUND(SomaAgrupBM,15-13*ORÇAMENTO!$AF$11)))</f>
        <v>0</v>
      </c>
    </row>
    <row r="59" spans="1:41" ht="13.8" x14ac:dyDescent="0.3">
      <c r="A59" t="str">
        <f ca="1">ORÇAMENTO!C59</f>
        <v>S</v>
      </c>
      <c r="B59">
        <f ca="1">ORÇAMENTO!D59</f>
        <v>0</v>
      </c>
      <c r="C59" s="143" t="str">
        <f t="shared" ca="1" si="1"/>
        <v/>
      </c>
      <c r="D59" s="146" t="str">
        <f ca="1">ORÇAMENTO!O59</f>
        <v>-</v>
      </c>
      <c r="E59" s="206" t="str">
        <f t="shared" ca="1" si="2"/>
        <v>(abra o arquivo 'Referência 05-2024.xls)</v>
      </c>
      <c r="F59" s="207" t="str">
        <f t="shared" ca="1" si="3"/>
        <v>-</v>
      </c>
      <c r="G59" s="151">
        <f ca="1">IF(RegimeExecucao="Global","",ORÇAMENTO!T59)</f>
        <v>844.75</v>
      </c>
      <c r="H59" s="151">
        <f ca="1">IF(RegimeExecucao="Global","",ORÇAMENTO!W59)</f>
        <v>0</v>
      </c>
      <c r="I59" s="154">
        <f ca="1">ORÇAMENTO!X59</f>
        <v>0</v>
      </c>
      <c r="J59" s="427">
        <f t="shared" ca="1" si="4"/>
        <v>0</v>
      </c>
      <c r="K59" s="151">
        <f t="shared" ca="1" si="5"/>
        <v>0</v>
      </c>
      <c r="L59" s="428">
        <f t="shared" ca="1" si="6"/>
        <v>0</v>
      </c>
      <c r="M59" s="429">
        <f ca="1">IF($A59="S",VTOTALBM,IF($A59=0,0,ROUND(SomaAgrupBM,15-13*ORÇAMENTO!$AF$11)))</f>
        <v>0</v>
      </c>
      <c r="N59" s="430">
        <f t="shared" ca="1" si="7"/>
        <v>0</v>
      </c>
      <c r="O59" s="154">
        <f ca="1">IF($A59="S",VTOTALBM,IF($A59=0,0,ROUND(SomaAgrupBM,15-13*ORÇAMENTO!$AF$11)))</f>
        <v>0</v>
      </c>
      <c r="Q59" s="431"/>
      <c r="R59" s="432"/>
      <c r="T59" s="146" t="str">
        <f t="shared" ca="1" si="8"/>
        <v/>
      </c>
      <c r="U59" s="206" t="str">
        <f t="shared" ca="1" si="9"/>
        <v/>
      </c>
      <c r="V59" s="207" t="str">
        <f t="shared" ca="1" si="10"/>
        <v/>
      </c>
      <c r="W59" s="634">
        <f ca="1">IF($Y59&gt;0,CHOOSE(MATCH(RegimeExecucao,{"Unitário","Global"},0),IF($A59="S",$Y59/$X59,""),($Y59/$X59)*100),0)</f>
        <v>0</v>
      </c>
      <c r="X59" s="433" t="str">
        <f ca="1">IF($Y59&gt;0,CHOOSE(MATCH(RegimeExecucao,{"Unitário","Global"},0),IF($A59="S",ROUND($H59,ORÇAMENTO!$AF$10),""),ROUND($I59,ORÇAMENTO!$AF$11)),"")</f>
        <v/>
      </c>
      <c r="Y59" s="433">
        <f t="shared" ca="1" si="11"/>
        <v>0</v>
      </c>
      <c r="Z59" s="434"/>
      <c r="AB59" s="431"/>
      <c r="AC59" s="599"/>
      <c r="AD59" s="599"/>
      <c r="AE59" s="599"/>
      <c r="AF59" s="599"/>
      <c r="AG59" s="599"/>
      <c r="AH59" s="599"/>
      <c r="AI59" s="599"/>
      <c r="AJ59" s="599"/>
      <c r="AK59" s="599"/>
      <c r="AL59" s="599"/>
      <c r="AM59" s="432"/>
      <c r="AO59">
        <f ca="1">IF($A59="S",IF(BM!$I59=0,0,CHOOSE(MATCH(RegimeExecucao,{"Global","Unitário"},0),ROUND(ROUND(BM.MEDAcumulado,15-13*BM!$A$9)/100*BM!$I59,15-13*ORÇAMENTO!$AF$11),ROUND(ROUND(BM.MEDAcumulado,15-13*BM!$A$9)*ROUND(BM!$H59,15-13*ORÇAMENTO!$AF$10),15-13*ORÇAMENTO!$AF$11))),IF($A59=0,0,ROUND(SomaAgrupBM,15-13*ORÇAMENTO!$AF$11)))</f>
        <v>0</v>
      </c>
    </row>
    <row r="60" spans="1:41" ht="13.8" x14ac:dyDescent="0.3">
      <c r="A60" t="str">
        <f ca="1">ORÇAMENTO!C60</f>
        <v>S</v>
      </c>
      <c r="B60">
        <f ca="1">ORÇAMENTO!D60</f>
        <v>0</v>
      </c>
      <c r="C60" s="143" t="str">
        <f t="shared" ca="1" si="1"/>
        <v/>
      </c>
      <c r="D60" s="146" t="str">
        <f ca="1">ORÇAMENTO!O60</f>
        <v>-</v>
      </c>
      <c r="E60" s="206" t="str">
        <f t="shared" ca="1" si="2"/>
        <v>(abra o arquivo 'Referência 05-2024.xls)</v>
      </c>
      <c r="F60" s="207" t="str">
        <f t="shared" ca="1" si="3"/>
        <v>-</v>
      </c>
      <c r="G60" s="151">
        <f ca="1">IF(RegimeExecucao="Global","",ORÇAMENTO!T60)</f>
        <v>33.840000000000003</v>
      </c>
      <c r="H60" s="151">
        <f ca="1">IF(RegimeExecucao="Global","",ORÇAMENTO!W60)</f>
        <v>0</v>
      </c>
      <c r="I60" s="154">
        <f ca="1">ORÇAMENTO!X60</f>
        <v>0</v>
      </c>
      <c r="J60" s="427">
        <f t="shared" ca="1" si="4"/>
        <v>0</v>
      </c>
      <c r="K60" s="151">
        <f t="shared" ca="1" si="5"/>
        <v>0</v>
      </c>
      <c r="L60" s="428">
        <f t="shared" ca="1" si="6"/>
        <v>0</v>
      </c>
      <c r="M60" s="429">
        <f ca="1">IF($A60="S",VTOTALBM,IF($A60=0,0,ROUND(SomaAgrupBM,15-13*ORÇAMENTO!$AF$11)))</f>
        <v>0</v>
      </c>
      <c r="N60" s="430">
        <f t="shared" ca="1" si="7"/>
        <v>0</v>
      </c>
      <c r="O60" s="154">
        <f ca="1">IF($A60="S",VTOTALBM,IF($A60=0,0,ROUND(SomaAgrupBM,15-13*ORÇAMENTO!$AF$11)))</f>
        <v>0</v>
      </c>
      <c r="Q60" s="431"/>
      <c r="R60" s="432"/>
      <c r="T60" s="146" t="str">
        <f t="shared" ca="1" si="8"/>
        <v/>
      </c>
      <c r="U60" s="206" t="str">
        <f t="shared" ca="1" si="9"/>
        <v/>
      </c>
      <c r="V60" s="207" t="str">
        <f t="shared" ca="1" si="10"/>
        <v/>
      </c>
      <c r="W60" s="634">
        <f ca="1">IF($Y60&gt;0,CHOOSE(MATCH(RegimeExecucao,{"Unitário","Global"},0),IF($A60="S",$Y60/$X60,""),($Y60/$X60)*100),0)</f>
        <v>0</v>
      </c>
      <c r="X60" s="433" t="str">
        <f ca="1">IF($Y60&gt;0,CHOOSE(MATCH(RegimeExecucao,{"Unitário","Global"},0),IF($A60="S",ROUND($H60,ORÇAMENTO!$AF$10),""),ROUND($I60,ORÇAMENTO!$AF$11)),"")</f>
        <v/>
      </c>
      <c r="Y60" s="433">
        <f t="shared" ca="1" si="11"/>
        <v>0</v>
      </c>
      <c r="Z60" s="434"/>
      <c r="AB60" s="431"/>
      <c r="AC60" s="599"/>
      <c r="AD60" s="599"/>
      <c r="AE60" s="599"/>
      <c r="AF60" s="599"/>
      <c r="AG60" s="599"/>
      <c r="AH60" s="599"/>
      <c r="AI60" s="599"/>
      <c r="AJ60" s="599"/>
      <c r="AK60" s="599"/>
      <c r="AL60" s="599"/>
      <c r="AM60" s="432"/>
      <c r="AO60">
        <f ca="1">IF($A60="S",IF(BM!$I60=0,0,CHOOSE(MATCH(RegimeExecucao,{"Global","Unitário"},0),ROUND(ROUND(BM.MEDAcumulado,15-13*BM!$A$9)/100*BM!$I60,15-13*ORÇAMENTO!$AF$11),ROUND(ROUND(BM.MEDAcumulado,15-13*BM!$A$9)*ROUND(BM!$H60,15-13*ORÇAMENTO!$AF$10),15-13*ORÇAMENTO!$AF$11))),IF($A60=0,0,ROUND(SomaAgrupBM,15-13*ORÇAMENTO!$AF$11)))</f>
        <v>0</v>
      </c>
    </row>
    <row r="61" spans="1:41" ht="13.8" x14ac:dyDescent="0.3">
      <c r="A61" t="str">
        <f ca="1">ORÇAMENTO!C61</f>
        <v>S</v>
      </c>
      <c r="B61">
        <f ca="1">ORÇAMENTO!D61</f>
        <v>0</v>
      </c>
      <c r="C61" s="143" t="str">
        <f t="shared" ca="1" si="1"/>
        <v/>
      </c>
      <c r="D61" s="146" t="str">
        <f ca="1">ORÇAMENTO!O61</f>
        <v>-</v>
      </c>
      <c r="E61" s="206" t="str">
        <f t="shared" ca="1" si="2"/>
        <v>(abra o arquivo 'Referência 05-2024.xls)</v>
      </c>
      <c r="F61" s="207" t="str">
        <f t="shared" ca="1" si="3"/>
        <v>-</v>
      </c>
      <c r="G61" s="151">
        <f ca="1">IF(RegimeExecucao="Global","",ORÇAMENTO!T61)</f>
        <v>1381.41</v>
      </c>
      <c r="H61" s="151">
        <f ca="1">IF(RegimeExecucao="Global","",ORÇAMENTO!W61)</f>
        <v>0</v>
      </c>
      <c r="I61" s="154">
        <f ca="1">ORÇAMENTO!X61</f>
        <v>0</v>
      </c>
      <c r="J61" s="427">
        <f t="shared" ca="1" si="4"/>
        <v>0</v>
      </c>
      <c r="K61" s="151">
        <f t="shared" ca="1" si="5"/>
        <v>0</v>
      </c>
      <c r="L61" s="428">
        <f t="shared" ca="1" si="6"/>
        <v>0</v>
      </c>
      <c r="M61" s="429">
        <f ca="1">IF($A61="S",VTOTALBM,IF($A61=0,0,ROUND(SomaAgrupBM,15-13*ORÇAMENTO!$AF$11)))</f>
        <v>0</v>
      </c>
      <c r="N61" s="430">
        <f t="shared" ca="1" si="7"/>
        <v>0</v>
      </c>
      <c r="O61" s="154">
        <f ca="1">IF($A61="S",VTOTALBM,IF($A61=0,0,ROUND(SomaAgrupBM,15-13*ORÇAMENTO!$AF$11)))</f>
        <v>0</v>
      </c>
      <c r="Q61" s="431"/>
      <c r="R61" s="432"/>
      <c r="T61" s="146" t="str">
        <f t="shared" ca="1" si="8"/>
        <v/>
      </c>
      <c r="U61" s="206" t="str">
        <f t="shared" ca="1" si="9"/>
        <v/>
      </c>
      <c r="V61" s="207" t="str">
        <f t="shared" ca="1" si="10"/>
        <v/>
      </c>
      <c r="W61" s="634">
        <f ca="1">IF($Y61&gt;0,CHOOSE(MATCH(RegimeExecucao,{"Unitário","Global"},0),IF($A61="S",$Y61/$X61,""),($Y61/$X61)*100),0)</f>
        <v>0</v>
      </c>
      <c r="X61" s="433" t="str">
        <f ca="1">IF($Y61&gt;0,CHOOSE(MATCH(RegimeExecucao,{"Unitário","Global"},0),IF($A61="S",ROUND($H61,ORÇAMENTO!$AF$10),""),ROUND($I61,ORÇAMENTO!$AF$11)),"")</f>
        <v/>
      </c>
      <c r="Y61" s="433">
        <f t="shared" ca="1" si="11"/>
        <v>0</v>
      </c>
      <c r="Z61" s="434"/>
      <c r="AB61" s="431"/>
      <c r="AC61" s="599"/>
      <c r="AD61" s="599"/>
      <c r="AE61" s="599"/>
      <c r="AF61" s="599"/>
      <c r="AG61" s="599"/>
      <c r="AH61" s="599"/>
      <c r="AI61" s="599"/>
      <c r="AJ61" s="599"/>
      <c r="AK61" s="599"/>
      <c r="AL61" s="599"/>
      <c r="AM61" s="432"/>
      <c r="AO61">
        <f ca="1">IF($A61="S",IF(BM!$I61=0,0,CHOOSE(MATCH(RegimeExecucao,{"Global","Unitário"},0),ROUND(ROUND(BM.MEDAcumulado,15-13*BM!$A$9)/100*BM!$I61,15-13*ORÇAMENTO!$AF$11),ROUND(ROUND(BM.MEDAcumulado,15-13*BM!$A$9)*ROUND(BM!$H61,15-13*ORÇAMENTO!$AF$10),15-13*ORÇAMENTO!$AF$11))),IF($A61=0,0,ROUND(SomaAgrupBM,15-13*ORÇAMENTO!$AF$11)))</f>
        <v>0</v>
      </c>
    </row>
    <row r="62" spans="1:41" ht="13.8" x14ac:dyDescent="0.3">
      <c r="A62" t="str">
        <f ca="1">ORÇAMENTO!C62</f>
        <v>S</v>
      </c>
      <c r="B62">
        <f ca="1">ORÇAMENTO!D62</f>
        <v>0</v>
      </c>
      <c r="C62" s="143" t="str">
        <f t="shared" ca="1" si="1"/>
        <v/>
      </c>
      <c r="D62" s="146" t="str">
        <f ca="1">ORÇAMENTO!O62</f>
        <v>-</v>
      </c>
      <c r="E62" s="206" t="str">
        <f t="shared" ca="1" si="2"/>
        <v>(abra o arquivo 'Referência 05-2024.xls)</v>
      </c>
      <c r="F62" s="207" t="str">
        <f t="shared" ca="1" si="3"/>
        <v>-</v>
      </c>
      <c r="G62" s="151">
        <f ca="1">IF(RegimeExecucao="Global","",ORÇAMENTO!T62)</f>
        <v>577.22</v>
      </c>
      <c r="H62" s="151">
        <f ca="1">IF(RegimeExecucao="Global","",ORÇAMENTO!W62)</f>
        <v>0</v>
      </c>
      <c r="I62" s="154">
        <f ca="1">ORÇAMENTO!X62</f>
        <v>0</v>
      </c>
      <c r="J62" s="427">
        <f t="shared" ca="1" si="4"/>
        <v>0</v>
      </c>
      <c r="K62" s="151">
        <f t="shared" ca="1" si="5"/>
        <v>0</v>
      </c>
      <c r="L62" s="428">
        <f t="shared" ca="1" si="6"/>
        <v>0</v>
      </c>
      <c r="M62" s="429">
        <f ca="1">IF($A62="S",VTOTALBM,IF($A62=0,0,ROUND(SomaAgrupBM,15-13*ORÇAMENTO!$AF$11)))</f>
        <v>0</v>
      </c>
      <c r="N62" s="430">
        <f t="shared" ca="1" si="7"/>
        <v>0</v>
      </c>
      <c r="O62" s="154">
        <f ca="1">IF($A62="S",VTOTALBM,IF($A62=0,0,ROUND(SomaAgrupBM,15-13*ORÇAMENTO!$AF$11)))</f>
        <v>0</v>
      </c>
      <c r="Q62" s="431"/>
      <c r="R62" s="432"/>
      <c r="T62" s="146" t="str">
        <f t="shared" ca="1" si="8"/>
        <v/>
      </c>
      <c r="U62" s="206" t="str">
        <f t="shared" ca="1" si="9"/>
        <v/>
      </c>
      <c r="V62" s="207" t="str">
        <f t="shared" ca="1" si="10"/>
        <v/>
      </c>
      <c r="W62" s="634">
        <f ca="1">IF($Y62&gt;0,CHOOSE(MATCH(RegimeExecucao,{"Unitário","Global"},0),IF($A62="S",$Y62/$X62,""),($Y62/$X62)*100),0)</f>
        <v>0</v>
      </c>
      <c r="X62" s="433" t="str">
        <f ca="1">IF($Y62&gt;0,CHOOSE(MATCH(RegimeExecucao,{"Unitário","Global"},0),IF($A62="S",ROUND($H62,ORÇAMENTO!$AF$10),""),ROUND($I62,ORÇAMENTO!$AF$11)),"")</f>
        <v/>
      </c>
      <c r="Y62" s="433">
        <f t="shared" ca="1" si="11"/>
        <v>0</v>
      </c>
      <c r="Z62" s="434"/>
      <c r="AB62" s="431"/>
      <c r="AC62" s="599"/>
      <c r="AD62" s="599"/>
      <c r="AE62" s="599"/>
      <c r="AF62" s="599"/>
      <c r="AG62" s="599"/>
      <c r="AH62" s="599"/>
      <c r="AI62" s="599"/>
      <c r="AJ62" s="599"/>
      <c r="AK62" s="599"/>
      <c r="AL62" s="599"/>
      <c r="AM62" s="432"/>
      <c r="AO62">
        <f ca="1">IF($A62="S",IF(BM!$I62=0,0,CHOOSE(MATCH(RegimeExecucao,{"Global","Unitário"},0),ROUND(ROUND(BM.MEDAcumulado,15-13*BM!$A$9)/100*BM!$I62,15-13*ORÇAMENTO!$AF$11),ROUND(ROUND(BM.MEDAcumulado,15-13*BM!$A$9)*ROUND(BM!$H62,15-13*ORÇAMENTO!$AF$10),15-13*ORÇAMENTO!$AF$11))),IF($A62=0,0,ROUND(SomaAgrupBM,15-13*ORÇAMENTO!$AF$11)))</f>
        <v>0</v>
      </c>
    </row>
    <row r="63" spans="1:41" ht="13.8" x14ac:dyDescent="0.3">
      <c r="A63" t="str">
        <f ca="1">ORÇAMENTO!C63</f>
        <v>S</v>
      </c>
      <c r="B63">
        <f ca="1">ORÇAMENTO!D63</f>
        <v>0</v>
      </c>
      <c r="C63" s="143" t="str">
        <f t="shared" ca="1" si="1"/>
        <v/>
      </c>
      <c r="D63" s="146" t="str">
        <f ca="1">ORÇAMENTO!O63</f>
        <v>-</v>
      </c>
      <c r="E63" s="206" t="str">
        <f t="shared" ca="1" si="2"/>
        <v>(abra o arquivo 'Referência 05-2024.xls)</v>
      </c>
      <c r="F63" s="207" t="str">
        <f t="shared" ca="1" si="3"/>
        <v>-</v>
      </c>
      <c r="G63" s="151">
        <f ca="1">IF(RegimeExecucao="Global","",ORÇAMENTO!T63)</f>
        <v>52.39</v>
      </c>
      <c r="H63" s="151">
        <f ca="1">IF(RegimeExecucao="Global","",ORÇAMENTO!W63)</f>
        <v>0</v>
      </c>
      <c r="I63" s="154">
        <f ca="1">ORÇAMENTO!X63</f>
        <v>0</v>
      </c>
      <c r="J63" s="427">
        <f t="shared" ca="1" si="4"/>
        <v>0</v>
      </c>
      <c r="K63" s="151">
        <f t="shared" ca="1" si="5"/>
        <v>0</v>
      </c>
      <c r="L63" s="428">
        <f t="shared" ca="1" si="6"/>
        <v>0</v>
      </c>
      <c r="M63" s="429">
        <f ca="1">IF($A63="S",VTOTALBM,IF($A63=0,0,ROUND(SomaAgrupBM,15-13*ORÇAMENTO!$AF$11)))</f>
        <v>0</v>
      </c>
      <c r="N63" s="430">
        <f t="shared" ca="1" si="7"/>
        <v>0</v>
      </c>
      <c r="O63" s="154">
        <f ca="1">IF($A63="S",VTOTALBM,IF($A63=0,0,ROUND(SomaAgrupBM,15-13*ORÇAMENTO!$AF$11)))</f>
        <v>0</v>
      </c>
      <c r="Q63" s="431"/>
      <c r="R63" s="432"/>
      <c r="T63" s="146" t="str">
        <f t="shared" ca="1" si="8"/>
        <v/>
      </c>
      <c r="U63" s="206" t="str">
        <f t="shared" ca="1" si="9"/>
        <v/>
      </c>
      <c r="V63" s="207" t="str">
        <f t="shared" ca="1" si="10"/>
        <v/>
      </c>
      <c r="W63" s="634">
        <f ca="1">IF($Y63&gt;0,CHOOSE(MATCH(RegimeExecucao,{"Unitário","Global"},0),IF($A63="S",$Y63/$X63,""),($Y63/$X63)*100),0)</f>
        <v>0</v>
      </c>
      <c r="X63" s="433" t="str">
        <f ca="1">IF($Y63&gt;0,CHOOSE(MATCH(RegimeExecucao,{"Unitário","Global"},0),IF($A63="S",ROUND($H63,ORÇAMENTO!$AF$10),""),ROUND($I63,ORÇAMENTO!$AF$11)),"")</f>
        <v/>
      </c>
      <c r="Y63" s="433">
        <f t="shared" ca="1" si="11"/>
        <v>0</v>
      </c>
      <c r="Z63" s="434"/>
      <c r="AB63" s="431"/>
      <c r="AC63" s="599"/>
      <c r="AD63" s="599"/>
      <c r="AE63" s="599"/>
      <c r="AF63" s="599"/>
      <c r="AG63" s="599"/>
      <c r="AH63" s="599"/>
      <c r="AI63" s="599"/>
      <c r="AJ63" s="599"/>
      <c r="AK63" s="599"/>
      <c r="AL63" s="599"/>
      <c r="AM63" s="432"/>
      <c r="AO63">
        <f ca="1">IF($A63="S",IF(BM!$I63=0,0,CHOOSE(MATCH(RegimeExecucao,{"Global","Unitário"},0),ROUND(ROUND(BM.MEDAcumulado,15-13*BM!$A$9)/100*BM!$I63,15-13*ORÇAMENTO!$AF$11),ROUND(ROUND(BM.MEDAcumulado,15-13*BM!$A$9)*ROUND(BM!$H63,15-13*ORÇAMENTO!$AF$10),15-13*ORÇAMENTO!$AF$11))),IF($A63=0,0,ROUND(SomaAgrupBM,15-13*ORÇAMENTO!$AF$11)))</f>
        <v>0</v>
      </c>
    </row>
    <row r="64" spans="1:41" ht="13.8" x14ac:dyDescent="0.3">
      <c r="A64" t="str">
        <f ca="1">ORÇAMENTO!C64</f>
        <v>S</v>
      </c>
      <c r="B64">
        <f ca="1">ORÇAMENTO!D64</f>
        <v>0</v>
      </c>
      <c r="C64" s="143" t="str">
        <f t="shared" ca="1" si="1"/>
        <v/>
      </c>
      <c r="D64" s="146" t="str">
        <f ca="1">ORÇAMENTO!O64</f>
        <v>-</v>
      </c>
      <c r="E64" s="206" t="str">
        <f t="shared" ca="1" si="2"/>
        <v>(abra o arquivo 'Referência 05-2024.xls)</v>
      </c>
      <c r="F64" s="207" t="str">
        <f t="shared" ca="1" si="3"/>
        <v>-</v>
      </c>
      <c r="G64" s="151">
        <f ca="1">IF(RegimeExecucao="Global","",ORÇAMENTO!T64)</f>
        <v>699.26</v>
      </c>
      <c r="H64" s="151">
        <f ca="1">IF(RegimeExecucao="Global","",ORÇAMENTO!W64)</f>
        <v>0</v>
      </c>
      <c r="I64" s="154">
        <f ca="1">ORÇAMENTO!X64</f>
        <v>0</v>
      </c>
      <c r="J64" s="427">
        <f t="shared" ca="1" si="4"/>
        <v>0</v>
      </c>
      <c r="K64" s="151">
        <f t="shared" ca="1" si="5"/>
        <v>0</v>
      </c>
      <c r="L64" s="428">
        <f t="shared" ca="1" si="6"/>
        <v>0</v>
      </c>
      <c r="M64" s="429">
        <f ca="1">IF($A64="S",VTOTALBM,IF($A64=0,0,ROUND(SomaAgrupBM,15-13*ORÇAMENTO!$AF$11)))</f>
        <v>0</v>
      </c>
      <c r="N64" s="430">
        <f t="shared" ca="1" si="7"/>
        <v>0</v>
      </c>
      <c r="O64" s="154">
        <f ca="1">IF($A64="S",VTOTALBM,IF($A64=0,0,ROUND(SomaAgrupBM,15-13*ORÇAMENTO!$AF$11)))</f>
        <v>0</v>
      </c>
      <c r="Q64" s="431"/>
      <c r="R64" s="432"/>
      <c r="T64" s="146" t="str">
        <f t="shared" ca="1" si="8"/>
        <v/>
      </c>
      <c r="U64" s="206" t="str">
        <f t="shared" ca="1" si="9"/>
        <v/>
      </c>
      <c r="V64" s="207" t="str">
        <f t="shared" ca="1" si="10"/>
        <v/>
      </c>
      <c r="W64" s="634">
        <f ca="1">IF($Y64&gt;0,CHOOSE(MATCH(RegimeExecucao,{"Unitário","Global"},0),IF($A64="S",$Y64/$X64,""),($Y64/$X64)*100),0)</f>
        <v>0</v>
      </c>
      <c r="X64" s="433" t="str">
        <f ca="1">IF($Y64&gt;0,CHOOSE(MATCH(RegimeExecucao,{"Unitário","Global"},0),IF($A64="S",ROUND($H64,ORÇAMENTO!$AF$10),""),ROUND($I64,ORÇAMENTO!$AF$11)),"")</f>
        <v/>
      </c>
      <c r="Y64" s="433">
        <f t="shared" ca="1" si="11"/>
        <v>0</v>
      </c>
      <c r="Z64" s="434"/>
      <c r="AB64" s="431"/>
      <c r="AC64" s="599"/>
      <c r="AD64" s="599"/>
      <c r="AE64" s="599"/>
      <c r="AF64" s="599"/>
      <c r="AG64" s="599"/>
      <c r="AH64" s="599"/>
      <c r="AI64" s="599"/>
      <c r="AJ64" s="599"/>
      <c r="AK64" s="599"/>
      <c r="AL64" s="599"/>
      <c r="AM64" s="432"/>
      <c r="AO64">
        <f ca="1">IF($A64="S",IF(BM!$I64=0,0,CHOOSE(MATCH(RegimeExecucao,{"Global","Unitário"},0),ROUND(ROUND(BM.MEDAcumulado,15-13*BM!$A$9)/100*BM!$I64,15-13*ORÇAMENTO!$AF$11),ROUND(ROUND(BM.MEDAcumulado,15-13*BM!$A$9)*ROUND(BM!$H64,15-13*ORÇAMENTO!$AF$10),15-13*ORÇAMENTO!$AF$11))),IF($A64=0,0,ROUND(SomaAgrupBM,15-13*ORÇAMENTO!$AF$11)))</f>
        <v>0</v>
      </c>
    </row>
    <row r="65" spans="1:41" ht="13.8" x14ac:dyDescent="0.3">
      <c r="A65" t="str">
        <f ca="1">ORÇAMENTO!C65</f>
        <v>S</v>
      </c>
      <c r="B65">
        <f ca="1">ORÇAMENTO!D65</f>
        <v>0</v>
      </c>
      <c r="C65" s="143" t="str">
        <f t="shared" ca="1" si="1"/>
        <v/>
      </c>
      <c r="D65" s="146" t="str">
        <f ca="1">ORÇAMENTO!O65</f>
        <v>-</v>
      </c>
      <c r="E65" s="206" t="str">
        <f t="shared" ca="1" si="2"/>
        <v>(abra o arquivo 'Referência 05-2024.xls)</v>
      </c>
      <c r="F65" s="207" t="str">
        <f t="shared" ca="1" si="3"/>
        <v>-</v>
      </c>
      <c r="G65" s="151">
        <f ca="1">IF(RegimeExecucao="Global","",ORÇAMENTO!T65)</f>
        <v>65.16</v>
      </c>
      <c r="H65" s="151">
        <f ca="1">IF(RegimeExecucao="Global","",ORÇAMENTO!W65)</f>
        <v>0</v>
      </c>
      <c r="I65" s="154">
        <f ca="1">ORÇAMENTO!X65</f>
        <v>0</v>
      </c>
      <c r="J65" s="427">
        <f t="shared" ca="1" si="4"/>
        <v>0</v>
      </c>
      <c r="K65" s="151">
        <f t="shared" ca="1" si="5"/>
        <v>0</v>
      </c>
      <c r="L65" s="428">
        <f t="shared" ca="1" si="6"/>
        <v>0</v>
      </c>
      <c r="M65" s="429">
        <f ca="1">IF($A65="S",VTOTALBM,IF($A65=0,0,ROUND(SomaAgrupBM,15-13*ORÇAMENTO!$AF$11)))</f>
        <v>0</v>
      </c>
      <c r="N65" s="430">
        <f t="shared" ca="1" si="7"/>
        <v>0</v>
      </c>
      <c r="O65" s="154">
        <f ca="1">IF($A65="S",VTOTALBM,IF($A65=0,0,ROUND(SomaAgrupBM,15-13*ORÇAMENTO!$AF$11)))</f>
        <v>0</v>
      </c>
      <c r="Q65" s="431"/>
      <c r="R65" s="432"/>
      <c r="T65" s="146" t="str">
        <f t="shared" ca="1" si="8"/>
        <v/>
      </c>
      <c r="U65" s="206" t="str">
        <f t="shared" ca="1" si="9"/>
        <v/>
      </c>
      <c r="V65" s="207" t="str">
        <f t="shared" ca="1" si="10"/>
        <v/>
      </c>
      <c r="W65" s="634">
        <f ca="1">IF($Y65&gt;0,CHOOSE(MATCH(RegimeExecucao,{"Unitário","Global"},0),IF($A65="S",$Y65/$X65,""),($Y65/$X65)*100),0)</f>
        <v>0</v>
      </c>
      <c r="X65" s="433" t="str">
        <f ca="1">IF($Y65&gt;0,CHOOSE(MATCH(RegimeExecucao,{"Unitário","Global"},0),IF($A65="S",ROUND($H65,ORÇAMENTO!$AF$10),""),ROUND($I65,ORÇAMENTO!$AF$11)),"")</f>
        <v/>
      </c>
      <c r="Y65" s="433">
        <f t="shared" ca="1" si="11"/>
        <v>0</v>
      </c>
      <c r="Z65" s="434"/>
      <c r="AB65" s="431"/>
      <c r="AC65" s="599"/>
      <c r="AD65" s="599"/>
      <c r="AE65" s="599"/>
      <c r="AF65" s="599"/>
      <c r="AG65" s="599"/>
      <c r="AH65" s="599"/>
      <c r="AI65" s="599"/>
      <c r="AJ65" s="599"/>
      <c r="AK65" s="599"/>
      <c r="AL65" s="599"/>
      <c r="AM65" s="432"/>
      <c r="AO65">
        <f ca="1">IF($A65="S",IF(BM!$I65=0,0,CHOOSE(MATCH(RegimeExecucao,{"Global","Unitário"},0),ROUND(ROUND(BM.MEDAcumulado,15-13*BM!$A$9)/100*BM!$I65,15-13*ORÇAMENTO!$AF$11),ROUND(ROUND(BM.MEDAcumulado,15-13*BM!$A$9)*ROUND(BM!$H65,15-13*ORÇAMENTO!$AF$10),15-13*ORÇAMENTO!$AF$11))),IF($A65=0,0,ROUND(SomaAgrupBM,15-13*ORÇAMENTO!$AF$11)))</f>
        <v>0</v>
      </c>
    </row>
    <row r="66" spans="1:41" ht="26.4" x14ac:dyDescent="0.3">
      <c r="A66">
        <f ca="1">ORÇAMENTO!C66</f>
        <v>3</v>
      </c>
      <c r="B66">
        <f ca="1">ORÇAMENTO!D66</f>
        <v>7</v>
      </c>
      <c r="C66" s="143" t="str">
        <f t="shared" ca="1" si="1"/>
        <v>F</v>
      </c>
      <c r="D66" s="146" t="str">
        <f ca="1">ORÇAMENTO!O66</f>
        <v>1.3.3.</v>
      </c>
      <c r="E66" s="206" t="str">
        <f t="shared" si="2"/>
        <v>CONCRETO ARMADO PARA FUNDAÇÕES - VIGAS BALDRAMES - MURO</v>
      </c>
      <c r="F66" s="207" t="str">
        <f t="shared" ca="1" si="3"/>
        <v>-</v>
      </c>
      <c r="G66" s="151">
        <f ca="1">IF(RegimeExecucao="Global","",ORÇAMENTO!T66)</f>
        <v>0</v>
      </c>
      <c r="H66" s="151">
        <f ca="1">IF(RegimeExecucao="Global","",ORÇAMENTO!W66)</f>
        <v>0</v>
      </c>
      <c r="I66" s="154">
        <f ca="1">ORÇAMENTO!X66</f>
        <v>0</v>
      </c>
      <c r="J66" s="427">
        <f t="shared" ca="1" si="4"/>
        <v>0</v>
      </c>
      <c r="K66" s="151">
        <f t="shared" ca="1" si="5"/>
        <v>0</v>
      </c>
      <c r="L66" s="428">
        <f t="shared" ca="1" si="6"/>
        <v>0</v>
      </c>
      <c r="M66" s="429">
        <f ca="1">IF($A66="S",VTOTALBM,IF($A66=0,0,ROUND(SomaAgrupBM,15-13*ORÇAMENTO!$AF$11)))</f>
        <v>0</v>
      </c>
      <c r="N66" s="430">
        <f t="shared" ca="1" si="7"/>
        <v>0</v>
      </c>
      <c r="O66" s="154">
        <f ca="1">IF($A66="S",VTOTALBM,IF($A66=0,0,ROUND(SomaAgrupBM,15-13*ORÇAMENTO!$AF$11)))</f>
        <v>0</v>
      </c>
      <c r="Q66" s="431"/>
      <c r="R66" s="432"/>
      <c r="T66" s="146" t="str">
        <f t="shared" ca="1" si="8"/>
        <v/>
      </c>
      <c r="U66" s="206" t="str">
        <f t="shared" ca="1" si="9"/>
        <v/>
      </c>
      <c r="V66" s="207" t="str">
        <f t="shared" ca="1" si="10"/>
        <v/>
      </c>
      <c r="W66" s="634">
        <f ca="1">IF($Y66&gt;0,CHOOSE(MATCH(RegimeExecucao,{"Unitário","Global"},0),IF($A66="S",$Y66/$X66,""),($Y66/$X66)*100),0)</f>
        <v>0</v>
      </c>
      <c r="X66" s="433" t="str">
        <f ca="1">IF($Y66&gt;0,CHOOSE(MATCH(RegimeExecucao,{"Unitário","Global"},0),IF($A66="S",ROUND($H66,ORÇAMENTO!$AF$10),""),ROUND($I66,ORÇAMENTO!$AF$11)),"")</f>
        <v/>
      </c>
      <c r="Y66" s="433">
        <f t="shared" ca="1" si="11"/>
        <v>0</v>
      </c>
      <c r="Z66" s="434"/>
      <c r="AB66" s="431"/>
      <c r="AC66" s="599"/>
      <c r="AD66" s="599"/>
      <c r="AE66" s="599"/>
      <c r="AF66" s="599"/>
      <c r="AG66" s="599"/>
      <c r="AH66" s="599"/>
      <c r="AI66" s="599"/>
      <c r="AJ66" s="599"/>
      <c r="AK66" s="599"/>
      <c r="AL66" s="599"/>
      <c r="AM66" s="432"/>
      <c r="AO66">
        <f ca="1">IF($A66="S",IF(BM!$I66=0,0,CHOOSE(MATCH(RegimeExecucao,{"Global","Unitário"},0),ROUND(ROUND(BM.MEDAcumulado,15-13*BM!$A$9)/100*BM!$I66,15-13*ORÇAMENTO!$AF$11),ROUND(ROUND(BM.MEDAcumulado,15-13*BM!$A$9)*ROUND(BM!$H66,15-13*ORÇAMENTO!$AF$10),15-13*ORÇAMENTO!$AF$11))),IF($A66=0,0,ROUND(SomaAgrupBM,15-13*ORÇAMENTO!$AF$11)))</f>
        <v>0</v>
      </c>
    </row>
    <row r="67" spans="1:41" ht="13.8" x14ac:dyDescent="0.3">
      <c r="A67" t="str">
        <f ca="1">ORÇAMENTO!C67</f>
        <v>S</v>
      </c>
      <c r="B67">
        <f ca="1">ORÇAMENTO!D67</f>
        <v>0</v>
      </c>
      <c r="C67" s="143" t="str">
        <f t="shared" ca="1" si="1"/>
        <v/>
      </c>
      <c r="D67" s="146" t="str">
        <f ca="1">ORÇAMENTO!O67</f>
        <v>-</v>
      </c>
      <c r="E67" s="206" t="str">
        <f t="shared" ca="1" si="2"/>
        <v>(abra o arquivo 'Referência 05-2024.xls)</v>
      </c>
      <c r="F67" s="207" t="str">
        <f t="shared" ca="1" si="3"/>
        <v>-</v>
      </c>
      <c r="G67" s="151">
        <f ca="1">IF(RegimeExecucao="Global","",ORÇAMENTO!T67)</f>
        <v>44.46</v>
      </c>
      <c r="H67" s="151">
        <f ca="1">IF(RegimeExecucao="Global","",ORÇAMENTO!W67)</f>
        <v>0</v>
      </c>
      <c r="I67" s="154">
        <f ca="1">ORÇAMENTO!X67</f>
        <v>0</v>
      </c>
      <c r="J67" s="427">
        <f t="shared" ca="1" si="4"/>
        <v>0</v>
      </c>
      <c r="K67" s="151">
        <f t="shared" ca="1" si="5"/>
        <v>0</v>
      </c>
      <c r="L67" s="428">
        <f t="shared" ca="1" si="6"/>
        <v>0</v>
      </c>
      <c r="M67" s="429">
        <f ca="1">IF($A67="S",VTOTALBM,IF($A67=0,0,ROUND(SomaAgrupBM,15-13*ORÇAMENTO!$AF$11)))</f>
        <v>0</v>
      </c>
      <c r="N67" s="430">
        <f t="shared" ca="1" si="7"/>
        <v>0</v>
      </c>
      <c r="O67" s="154">
        <f ca="1">IF($A67="S",VTOTALBM,IF($A67=0,0,ROUND(SomaAgrupBM,15-13*ORÇAMENTO!$AF$11)))</f>
        <v>0</v>
      </c>
      <c r="Q67" s="431"/>
      <c r="R67" s="432"/>
      <c r="T67" s="146" t="str">
        <f t="shared" ca="1" si="8"/>
        <v/>
      </c>
      <c r="U67" s="206" t="str">
        <f t="shared" ca="1" si="9"/>
        <v/>
      </c>
      <c r="V67" s="207" t="str">
        <f t="shared" ca="1" si="10"/>
        <v/>
      </c>
      <c r="W67" s="634">
        <f ca="1">IF($Y67&gt;0,CHOOSE(MATCH(RegimeExecucao,{"Unitário","Global"},0),IF($A67="S",$Y67/$X67,""),($Y67/$X67)*100),0)</f>
        <v>0</v>
      </c>
      <c r="X67" s="433" t="str">
        <f ca="1">IF($Y67&gt;0,CHOOSE(MATCH(RegimeExecucao,{"Unitário","Global"},0),IF($A67="S",ROUND($H67,ORÇAMENTO!$AF$10),""),ROUND($I67,ORÇAMENTO!$AF$11)),"")</f>
        <v/>
      </c>
      <c r="Y67" s="433">
        <f t="shared" ca="1" si="11"/>
        <v>0</v>
      </c>
      <c r="Z67" s="434"/>
      <c r="AB67" s="431"/>
      <c r="AC67" s="599"/>
      <c r="AD67" s="599"/>
      <c r="AE67" s="599"/>
      <c r="AF67" s="599"/>
      <c r="AG67" s="599"/>
      <c r="AH67" s="599"/>
      <c r="AI67" s="599"/>
      <c r="AJ67" s="599"/>
      <c r="AK67" s="599"/>
      <c r="AL67" s="599"/>
      <c r="AM67" s="432"/>
      <c r="AO67">
        <f ca="1">IF($A67="S",IF(BM!$I67=0,0,CHOOSE(MATCH(RegimeExecucao,{"Global","Unitário"},0),ROUND(ROUND(BM.MEDAcumulado,15-13*BM!$A$9)/100*BM!$I67,15-13*ORÇAMENTO!$AF$11),ROUND(ROUND(BM.MEDAcumulado,15-13*BM!$A$9)*ROUND(BM!$H67,15-13*ORÇAMENTO!$AF$10),15-13*ORÇAMENTO!$AF$11))),IF($A67=0,0,ROUND(SomaAgrupBM,15-13*ORÇAMENTO!$AF$11)))</f>
        <v>0</v>
      </c>
    </row>
    <row r="68" spans="1:41" ht="13.8" x14ac:dyDescent="0.3">
      <c r="A68" t="str">
        <f ca="1">ORÇAMENTO!C68</f>
        <v>S</v>
      </c>
      <c r="B68">
        <f ca="1">ORÇAMENTO!D68</f>
        <v>0</v>
      </c>
      <c r="C68" s="143" t="str">
        <f t="shared" ca="1" si="1"/>
        <v/>
      </c>
      <c r="D68" s="146" t="str">
        <f ca="1">ORÇAMENTO!O68</f>
        <v>-</v>
      </c>
      <c r="E68" s="206" t="str">
        <f t="shared" ca="1" si="2"/>
        <v>(abra o arquivo 'Referência 05-2024.xls)</v>
      </c>
      <c r="F68" s="207" t="str">
        <f t="shared" ca="1" si="3"/>
        <v>-</v>
      </c>
      <c r="G68" s="151">
        <f ca="1">IF(RegimeExecucao="Global","",ORÇAMENTO!T68)</f>
        <v>0.56999999999999995</v>
      </c>
      <c r="H68" s="151">
        <f ca="1">IF(RegimeExecucao="Global","",ORÇAMENTO!W68)</f>
        <v>0</v>
      </c>
      <c r="I68" s="154">
        <f ca="1">ORÇAMENTO!X68</f>
        <v>0</v>
      </c>
      <c r="J68" s="427">
        <f t="shared" ca="1" si="4"/>
        <v>0</v>
      </c>
      <c r="K68" s="151">
        <f t="shared" ca="1" si="5"/>
        <v>0</v>
      </c>
      <c r="L68" s="428">
        <f t="shared" ca="1" si="6"/>
        <v>0</v>
      </c>
      <c r="M68" s="429">
        <f ca="1">IF($A68="S",VTOTALBM,IF($A68=0,0,ROUND(SomaAgrupBM,15-13*ORÇAMENTO!$AF$11)))</f>
        <v>0</v>
      </c>
      <c r="N68" s="430">
        <f t="shared" ca="1" si="7"/>
        <v>0</v>
      </c>
      <c r="O68" s="154">
        <f ca="1">IF($A68="S",VTOTALBM,IF($A68=0,0,ROUND(SomaAgrupBM,15-13*ORÇAMENTO!$AF$11)))</f>
        <v>0</v>
      </c>
      <c r="Q68" s="431"/>
      <c r="R68" s="432"/>
      <c r="T68" s="146" t="str">
        <f t="shared" ca="1" si="8"/>
        <v/>
      </c>
      <c r="U68" s="206" t="str">
        <f t="shared" ca="1" si="9"/>
        <v/>
      </c>
      <c r="V68" s="207" t="str">
        <f t="shared" ca="1" si="10"/>
        <v/>
      </c>
      <c r="W68" s="634">
        <f ca="1">IF($Y68&gt;0,CHOOSE(MATCH(RegimeExecucao,{"Unitário","Global"},0),IF($A68="S",$Y68/$X68,""),($Y68/$X68)*100),0)</f>
        <v>0</v>
      </c>
      <c r="X68" s="433" t="str">
        <f ca="1">IF($Y68&gt;0,CHOOSE(MATCH(RegimeExecucao,{"Unitário","Global"},0),IF($A68="S",ROUND($H68,ORÇAMENTO!$AF$10),""),ROUND($I68,ORÇAMENTO!$AF$11)),"")</f>
        <v/>
      </c>
      <c r="Y68" s="433">
        <f t="shared" ca="1" si="11"/>
        <v>0</v>
      </c>
      <c r="Z68" s="434"/>
      <c r="AB68" s="431"/>
      <c r="AC68" s="599"/>
      <c r="AD68" s="599"/>
      <c r="AE68" s="599"/>
      <c r="AF68" s="599"/>
      <c r="AG68" s="599"/>
      <c r="AH68" s="599"/>
      <c r="AI68" s="599"/>
      <c r="AJ68" s="599"/>
      <c r="AK68" s="599"/>
      <c r="AL68" s="599"/>
      <c r="AM68" s="432"/>
      <c r="AO68">
        <f ca="1">IF($A68="S",IF(BM!$I68=0,0,CHOOSE(MATCH(RegimeExecucao,{"Global","Unitário"},0),ROUND(ROUND(BM.MEDAcumulado,15-13*BM!$A$9)/100*BM!$I68,15-13*ORÇAMENTO!$AF$11),ROUND(ROUND(BM.MEDAcumulado,15-13*BM!$A$9)*ROUND(BM!$H68,15-13*ORÇAMENTO!$AF$10),15-13*ORÇAMENTO!$AF$11))),IF($A68=0,0,ROUND(SomaAgrupBM,15-13*ORÇAMENTO!$AF$11)))</f>
        <v>0</v>
      </c>
    </row>
    <row r="69" spans="1:41" ht="13.8" x14ac:dyDescent="0.3">
      <c r="A69" t="str">
        <f ca="1">ORÇAMENTO!C69</f>
        <v>S</v>
      </c>
      <c r="B69">
        <f ca="1">ORÇAMENTO!D69</f>
        <v>0</v>
      </c>
      <c r="C69" s="143" t="str">
        <f t="shared" ca="1" si="1"/>
        <v/>
      </c>
      <c r="D69" s="146" t="str">
        <f ca="1">ORÇAMENTO!O69</f>
        <v>-</v>
      </c>
      <c r="E69" s="206" t="str">
        <f t="shared" ca="1" si="2"/>
        <v>(abra o arquivo 'Referência 05-2024.xls)</v>
      </c>
      <c r="F69" s="207" t="str">
        <f t="shared" ca="1" si="3"/>
        <v>-</v>
      </c>
      <c r="G69" s="151">
        <f ca="1">IF(RegimeExecucao="Global","",ORÇAMENTO!T69)</f>
        <v>177.83</v>
      </c>
      <c r="H69" s="151">
        <f ca="1">IF(RegimeExecucao="Global","",ORÇAMENTO!W69)</f>
        <v>0</v>
      </c>
      <c r="I69" s="154">
        <f ca="1">ORÇAMENTO!X69</f>
        <v>0</v>
      </c>
      <c r="J69" s="427">
        <f t="shared" ca="1" si="4"/>
        <v>0</v>
      </c>
      <c r="K69" s="151">
        <f t="shared" ca="1" si="5"/>
        <v>0</v>
      </c>
      <c r="L69" s="428">
        <f t="shared" ca="1" si="6"/>
        <v>0</v>
      </c>
      <c r="M69" s="429">
        <f ca="1">IF($A69="S",VTOTALBM,IF($A69=0,0,ROUND(SomaAgrupBM,15-13*ORÇAMENTO!$AF$11)))</f>
        <v>0</v>
      </c>
      <c r="N69" s="430">
        <f t="shared" ca="1" si="7"/>
        <v>0</v>
      </c>
      <c r="O69" s="154">
        <f ca="1">IF($A69="S",VTOTALBM,IF($A69=0,0,ROUND(SomaAgrupBM,15-13*ORÇAMENTO!$AF$11)))</f>
        <v>0</v>
      </c>
      <c r="Q69" s="431"/>
      <c r="R69" s="432"/>
      <c r="T69" s="146" t="str">
        <f t="shared" ca="1" si="8"/>
        <v/>
      </c>
      <c r="U69" s="206" t="str">
        <f t="shared" ca="1" si="9"/>
        <v/>
      </c>
      <c r="V69" s="207" t="str">
        <f t="shared" ca="1" si="10"/>
        <v/>
      </c>
      <c r="W69" s="634">
        <f ca="1">IF($Y69&gt;0,CHOOSE(MATCH(RegimeExecucao,{"Unitário","Global"},0),IF($A69="S",$Y69/$X69,""),($Y69/$X69)*100),0)</f>
        <v>0</v>
      </c>
      <c r="X69" s="433" t="str">
        <f ca="1">IF($Y69&gt;0,CHOOSE(MATCH(RegimeExecucao,{"Unitário","Global"},0),IF($A69="S",ROUND($H69,ORÇAMENTO!$AF$10),""),ROUND($I69,ORÇAMENTO!$AF$11)),"")</f>
        <v/>
      </c>
      <c r="Y69" s="433">
        <f t="shared" ca="1" si="11"/>
        <v>0</v>
      </c>
      <c r="Z69" s="434"/>
      <c r="AB69" s="431"/>
      <c r="AC69" s="599"/>
      <c r="AD69" s="599"/>
      <c r="AE69" s="599"/>
      <c r="AF69" s="599"/>
      <c r="AG69" s="599"/>
      <c r="AH69" s="599"/>
      <c r="AI69" s="599"/>
      <c r="AJ69" s="599"/>
      <c r="AK69" s="599"/>
      <c r="AL69" s="599"/>
      <c r="AM69" s="432"/>
      <c r="AO69">
        <f ca="1">IF($A69="S",IF(BM!$I69=0,0,CHOOSE(MATCH(RegimeExecucao,{"Global","Unitário"},0),ROUND(ROUND(BM.MEDAcumulado,15-13*BM!$A$9)/100*BM!$I69,15-13*ORÇAMENTO!$AF$11),ROUND(ROUND(BM.MEDAcumulado,15-13*BM!$A$9)*ROUND(BM!$H69,15-13*ORÇAMENTO!$AF$10),15-13*ORÇAMENTO!$AF$11))),IF($A69=0,0,ROUND(SomaAgrupBM,15-13*ORÇAMENTO!$AF$11)))</f>
        <v>0</v>
      </c>
    </row>
    <row r="70" spans="1:41" ht="13.8" x14ac:dyDescent="0.3">
      <c r="A70" t="str">
        <f ca="1">ORÇAMENTO!C70</f>
        <v>S</v>
      </c>
      <c r="B70">
        <f ca="1">ORÇAMENTO!D70</f>
        <v>0</v>
      </c>
      <c r="C70" s="143" t="str">
        <f t="shared" ca="1" si="1"/>
        <v/>
      </c>
      <c r="D70" s="146" t="str">
        <f ca="1">ORÇAMENTO!O70</f>
        <v>-</v>
      </c>
      <c r="E70" s="206" t="str">
        <f t="shared" ca="1" si="2"/>
        <v>(abra o arquivo 'Referência 05-2024.xls)</v>
      </c>
      <c r="F70" s="207" t="str">
        <f t="shared" ca="1" si="3"/>
        <v>-</v>
      </c>
      <c r="G70" s="151">
        <f ca="1">IF(RegimeExecucao="Global","",ORÇAMENTO!T70)</f>
        <v>474.53</v>
      </c>
      <c r="H70" s="151">
        <f ca="1">IF(RegimeExecucao="Global","",ORÇAMENTO!W70)</f>
        <v>0</v>
      </c>
      <c r="I70" s="154">
        <f ca="1">ORÇAMENTO!X70</f>
        <v>0</v>
      </c>
      <c r="J70" s="427">
        <f t="shared" ca="1" si="4"/>
        <v>0</v>
      </c>
      <c r="K70" s="151">
        <f t="shared" ca="1" si="5"/>
        <v>0</v>
      </c>
      <c r="L70" s="428">
        <f t="shared" ca="1" si="6"/>
        <v>0</v>
      </c>
      <c r="M70" s="429">
        <f ca="1">IF($A70="S",VTOTALBM,IF($A70=0,0,ROUND(SomaAgrupBM,15-13*ORÇAMENTO!$AF$11)))</f>
        <v>0</v>
      </c>
      <c r="N70" s="430">
        <f t="shared" ca="1" si="7"/>
        <v>0</v>
      </c>
      <c r="O70" s="154">
        <f ca="1">IF($A70="S",VTOTALBM,IF($A70=0,0,ROUND(SomaAgrupBM,15-13*ORÇAMENTO!$AF$11)))</f>
        <v>0</v>
      </c>
      <c r="Q70" s="431"/>
      <c r="R70" s="432"/>
      <c r="T70" s="146" t="str">
        <f t="shared" ca="1" si="8"/>
        <v/>
      </c>
      <c r="U70" s="206" t="str">
        <f t="shared" ca="1" si="9"/>
        <v/>
      </c>
      <c r="V70" s="207" t="str">
        <f t="shared" ca="1" si="10"/>
        <v/>
      </c>
      <c r="W70" s="634">
        <f ca="1">IF($Y70&gt;0,CHOOSE(MATCH(RegimeExecucao,{"Unitário","Global"},0),IF($A70="S",$Y70/$X70,""),($Y70/$X70)*100),0)</f>
        <v>0</v>
      </c>
      <c r="X70" s="433" t="str">
        <f ca="1">IF($Y70&gt;0,CHOOSE(MATCH(RegimeExecucao,{"Unitário","Global"},0),IF($A70="S",ROUND($H70,ORÇAMENTO!$AF$10),""),ROUND($I70,ORÇAMENTO!$AF$11)),"")</f>
        <v/>
      </c>
      <c r="Y70" s="433">
        <f t="shared" ca="1" si="11"/>
        <v>0</v>
      </c>
      <c r="Z70" s="434"/>
      <c r="AB70" s="431"/>
      <c r="AC70" s="599"/>
      <c r="AD70" s="599"/>
      <c r="AE70" s="599"/>
      <c r="AF70" s="599"/>
      <c r="AG70" s="599"/>
      <c r="AH70" s="599"/>
      <c r="AI70" s="599"/>
      <c r="AJ70" s="599"/>
      <c r="AK70" s="599"/>
      <c r="AL70" s="599"/>
      <c r="AM70" s="432"/>
      <c r="AO70">
        <f ca="1">IF($A70="S",IF(BM!$I70=0,0,CHOOSE(MATCH(RegimeExecucao,{"Global","Unitário"},0),ROUND(ROUND(BM.MEDAcumulado,15-13*BM!$A$9)/100*BM!$I70,15-13*ORÇAMENTO!$AF$11),ROUND(ROUND(BM.MEDAcumulado,15-13*BM!$A$9)*ROUND(BM!$H70,15-13*ORÇAMENTO!$AF$10),15-13*ORÇAMENTO!$AF$11))),IF($A70=0,0,ROUND(SomaAgrupBM,15-13*ORÇAMENTO!$AF$11)))</f>
        <v>0</v>
      </c>
    </row>
    <row r="71" spans="1:41" ht="13.8" x14ac:dyDescent="0.3">
      <c r="A71" t="str">
        <f ca="1">ORÇAMENTO!C71</f>
        <v>S</v>
      </c>
      <c r="B71">
        <f ca="1">ORÇAMENTO!D71</f>
        <v>0</v>
      </c>
      <c r="C71" s="143" t="str">
        <f t="shared" ca="1" si="1"/>
        <v/>
      </c>
      <c r="D71" s="146" t="str">
        <f ca="1">ORÇAMENTO!O71</f>
        <v>-</v>
      </c>
      <c r="E71" s="206" t="str">
        <f t="shared" ca="1" si="2"/>
        <v>(abra o arquivo 'Referência 05-2024.xls)</v>
      </c>
      <c r="F71" s="207" t="str">
        <f t="shared" ca="1" si="3"/>
        <v>-</v>
      </c>
      <c r="G71" s="151">
        <f ca="1">IF(RegimeExecucao="Global","",ORÇAMENTO!T71)</f>
        <v>226.77</v>
      </c>
      <c r="H71" s="151">
        <f ca="1">IF(RegimeExecucao="Global","",ORÇAMENTO!W71)</f>
        <v>0</v>
      </c>
      <c r="I71" s="154">
        <f ca="1">ORÇAMENTO!X71</f>
        <v>0</v>
      </c>
      <c r="J71" s="427">
        <f t="shared" ca="1" si="4"/>
        <v>0</v>
      </c>
      <c r="K71" s="151">
        <f t="shared" ca="1" si="5"/>
        <v>0</v>
      </c>
      <c r="L71" s="428">
        <f t="shared" ca="1" si="6"/>
        <v>0</v>
      </c>
      <c r="M71" s="429">
        <f ca="1">IF($A71="S",VTOTALBM,IF($A71=0,0,ROUND(SomaAgrupBM,15-13*ORÇAMENTO!$AF$11)))</f>
        <v>0</v>
      </c>
      <c r="N71" s="430">
        <f t="shared" ca="1" si="7"/>
        <v>0</v>
      </c>
      <c r="O71" s="154">
        <f ca="1">IF($A71="S",VTOTALBM,IF($A71=0,0,ROUND(SomaAgrupBM,15-13*ORÇAMENTO!$AF$11)))</f>
        <v>0</v>
      </c>
      <c r="Q71" s="431"/>
      <c r="R71" s="432"/>
      <c r="T71" s="146" t="str">
        <f t="shared" ca="1" si="8"/>
        <v/>
      </c>
      <c r="U71" s="206" t="str">
        <f t="shared" ca="1" si="9"/>
        <v/>
      </c>
      <c r="V71" s="207" t="str">
        <f t="shared" ca="1" si="10"/>
        <v/>
      </c>
      <c r="W71" s="634">
        <f ca="1">IF($Y71&gt;0,CHOOSE(MATCH(RegimeExecucao,{"Unitário","Global"},0),IF($A71="S",$Y71/$X71,""),($Y71/$X71)*100),0)</f>
        <v>0</v>
      </c>
      <c r="X71" s="433" t="str">
        <f ca="1">IF($Y71&gt;0,CHOOSE(MATCH(RegimeExecucao,{"Unitário","Global"},0),IF($A71="S",ROUND($H71,ORÇAMENTO!$AF$10),""),ROUND($I71,ORÇAMENTO!$AF$11)),"")</f>
        <v/>
      </c>
      <c r="Y71" s="433">
        <f t="shared" ca="1" si="11"/>
        <v>0</v>
      </c>
      <c r="Z71" s="434"/>
      <c r="AB71" s="431"/>
      <c r="AC71" s="599"/>
      <c r="AD71" s="599"/>
      <c r="AE71" s="599"/>
      <c r="AF71" s="599"/>
      <c r="AG71" s="599"/>
      <c r="AH71" s="599"/>
      <c r="AI71" s="599"/>
      <c r="AJ71" s="599"/>
      <c r="AK71" s="599"/>
      <c r="AL71" s="599"/>
      <c r="AM71" s="432"/>
      <c r="AO71">
        <f ca="1">IF($A71="S",IF(BM!$I71=0,0,CHOOSE(MATCH(RegimeExecucao,{"Global","Unitário"},0),ROUND(ROUND(BM.MEDAcumulado,15-13*BM!$A$9)/100*BM!$I71,15-13*ORÇAMENTO!$AF$11),ROUND(ROUND(BM.MEDAcumulado,15-13*BM!$A$9)*ROUND(BM!$H71,15-13*ORÇAMENTO!$AF$10),15-13*ORÇAMENTO!$AF$11))),IF($A71=0,0,ROUND(SomaAgrupBM,15-13*ORÇAMENTO!$AF$11)))</f>
        <v>0</v>
      </c>
    </row>
    <row r="72" spans="1:41" ht="13.8" x14ac:dyDescent="0.3">
      <c r="A72" t="str">
        <f ca="1">ORÇAMENTO!C72</f>
        <v>S</v>
      </c>
      <c r="B72">
        <f ca="1">ORÇAMENTO!D72</f>
        <v>0</v>
      </c>
      <c r="C72" s="143" t="str">
        <f t="shared" ca="1" si="1"/>
        <v/>
      </c>
      <c r="D72" s="146" t="str">
        <f ca="1">ORÇAMENTO!O72</f>
        <v>-</v>
      </c>
      <c r="E72" s="206" t="str">
        <f t="shared" ca="1" si="2"/>
        <v>(abra o arquivo 'Referência 05-2024.xls)</v>
      </c>
      <c r="F72" s="207" t="str">
        <f t="shared" ca="1" si="3"/>
        <v>-</v>
      </c>
      <c r="G72" s="151">
        <f ca="1">IF(RegimeExecucao="Global","",ORÇAMENTO!T72)</f>
        <v>13.34</v>
      </c>
      <c r="H72" s="151">
        <f ca="1">IF(RegimeExecucao="Global","",ORÇAMENTO!W72)</f>
        <v>0</v>
      </c>
      <c r="I72" s="154">
        <f ca="1">ORÇAMENTO!X72</f>
        <v>0</v>
      </c>
      <c r="J72" s="427">
        <f t="shared" ca="1" si="4"/>
        <v>0</v>
      </c>
      <c r="K72" s="151">
        <f t="shared" ca="1" si="5"/>
        <v>0</v>
      </c>
      <c r="L72" s="428">
        <f t="shared" ca="1" si="6"/>
        <v>0</v>
      </c>
      <c r="M72" s="429">
        <f ca="1">IF($A72="S",VTOTALBM,IF($A72=0,0,ROUND(SomaAgrupBM,15-13*ORÇAMENTO!$AF$11)))</f>
        <v>0</v>
      </c>
      <c r="N72" s="430">
        <f t="shared" ca="1" si="7"/>
        <v>0</v>
      </c>
      <c r="O72" s="154">
        <f ca="1">IF($A72="S",VTOTALBM,IF($A72=0,0,ROUND(SomaAgrupBM,15-13*ORÇAMENTO!$AF$11)))</f>
        <v>0</v>
      </c>
      <c r="Q72" s="431"/>
      <c r="R72" s="432"/>
      <c r="T72" s="146" t="str">
        <f t="shared" ca="1" si="8"/>
        <v/>
      </c>
      <c r="U72" s="206" t="str">
        <f t="shared" ca="1" si="9"/>
        <v/>
      </c>
      <c r="V72" s="207" t="str">
        <f t="shared" ca="1" si="10"/>
        <v/>
      </c>
      <c r="W72" s="634">
        <f ca="1">IF($Y72&gt;0,CHOOSE(MATCH(RegimeExecucao,{"Unitário","Global"},0),IF($A72="S",$Y72/$X72,""),($Y72/$X72)*100),0)</f>
        <v>0</v>
      </c>
      <c r="X72" s="433" t="str">
        <f ca="1">IF($Y72&gt;0,CHOOSE(MATCH(RegimeExecucao,{"Unitário","Global"},0),IF($A72="S",ROUND($H72,ORÇAMENTO!$AF$10),""),ROUND($I72,ORÇAMENTO!$AF$11)),"")</f>
        <v/>
      </c>
      <c r="Y72" s="433">
        <f t="shared" ca="1" si="11"/>
        <v>0</v>
      </c>
      <c r="Z72" s="434"/>
      <c r="AB72" s="431"/>
      <c r="AC72" s="599"/>
      <c r="AD72" s="599"/>
      <c r="AE72" s="599"/>
      <c r="AF72" s="599"/>
      <c r="AG72" s="599"/>
      <c r="AH72" s="599"/>
      <c r="AI72" s="599"/>
      <c r="AJ72" s="599"/>
      <c r="AK72" s="599"/>
      <c r="AL72" s="599"/>
      <c r="AM72" s="432"/>
      <c r="AO72">
        <f ca="1">IF($A72="S",IF(BM!$I72=0,0,CHOOSE(MATCH(RegimeExecucao,{"Global","Unitário"},0),ROUND(ROUND(BM.MEDAcumulado,15-13*BM!$A$9)/100*BM!$I72,15-13*ORÇAMENTO!$AF$11),ROUND(ROUND(BM.MEDAcumulado,15-13*BM!$A$9)*ROUND(BM!$H72,15-13*ORÇAMENTO!$AF$10),15-13*ORÇAMENTO!$AF$11))),IF($A72=0,0,ROUND(SomaAgrupBM,15-13*ORÇAMENTO!$AF$11)))</f>
        <v>0</v>
      </c>
    </row>
    <row r="73" spans="1:41" ht="26.4" x14ac:dyDescent="0.3">
      <c r="A73">
        <f ca="1">ORÇAMENTO!C73</f>
        <v>3</v>
      </c>
      <c r="B73">
        <f ca="1">ORÇAMENTO!D73</f>
        <v>9</v>
      </c>
      <c r="C73" s="143" t="str">
        <f t="shared" ca="1" si="1"/>
        <v>F</v>
      </c>
      <c r="D73" s="146" t="str">
        <f ca="1">ORÇAMENTO!O73</f>
        <v>1.3.4.</v>
      </c>
      <c r="E73" s="206" t="str">
        <f t="shared" si="2"/>
        <v>CONCRETO ARMADO PARA FUNDAÇÕES - VIGAS BALDRAMES - RESERVATÓRIO</v>
      </c>
      <c r="F73" s="207" t="str">
        <f t="shared" ca="1" si="3"/>
        <v>-</v>
      </c>
      <c r="G73" s="151">
        <f ca="1">IF(RegimeExecucao="Global","",ORÇAMENTO!T73)</f>
        <v>0</v>
      </c>
      <c r="H73" s="151">
        <f ca="1">IF(RegimeExecucao="Global","",ORÇAMENTO!W73)</f>
        <v>0</v>
      </c>
      <c r="I73" s="154">
        <f ca="1">ORÇAMENTO!X73</f>
        <v>0</v>
      </c>
      <c r="J73" s="427">
        <f t="shared" ca="1" si="4"/>
        <v>0</v>
      </c>
      <c r="K73" s="151">
        <f t="shared" ca="1" si="5"/>
        <v>0</v>
      </c>
      <c r="L73" s="428">
        <f t="shared" ca="1" si="6"/>
        <v>0</v>
      </c>
      <c r="M73" s="429">
        <f ca="1">IF($A73="S",VTOTALBM,IF($A73=0,0,ROUND(SomaAgrupBM,15-13*ORÇAMENTO!$AF$11)))</f>
        <v>0</v>
      </c>
      <c r="N73" s="430">
        <f t="shared" ca="1" si="7"/>
        <v>0</v>
      </c>
      <c r="O73" s="154">
        <f ca="1">IF($A73="S",VTOTALBM,IF($A73=0,0,ROUND(SomaAgrupBM,15-13*ORÇAMENTO!$AF$11)))</f>
        <v>0</v>
      </c>
      <c r="Q73" s="431"/>
      <c r="R73" s="432"/>
      <c r="T73" s="146" t="str">
        <f t="shared" ca="1" si="8"/>
        <v/>
      </c>
      <c r="U73" s="206" t="str">
        <f t="shared" ca="1" si="9"/>
        <v/>
      </c>
      <c r="V73" s="207" t="str">
        <f t="shared" ca="1" si="10"/>
        <v/>
      </c>
      <c r="W73" s="634">
        <f ca="1">IF($Y73&gt;0,CHOOSE(MATCH(RegimeExecucao,{"Unitário","Global"},0),IF($A73="S",$Y73/$X73,""),($Y73/$X73)*100),0)</f>
        <v>0</v>
      </c>
      <c r="X73" s="433" t="str">
        <f ca="1">IF($Y73&gt;0,CHOOSE(MATCH(RegimeExecucao,{"Unitário","Global"},0),IF($A73="S",ROUND($H73,ORÇAMENTO!$AF$10),""),ROUND($I73,ORÇAMENTO!$AF$11)),"")</f>
        <v/>
      </c>
      <c r="Y73" s="433">
        <f t="shared" ca="1" si="11"/>
        <v>0</v>
      </c>
      <c r="Z73" s="434"/>
      <c r="AB73" s="431"/>
      <c r="AC73" s="599"/>
      <c r="AD73" s="599"/>
      <c r="AE73" s="599"/>
      <c r="AF73" s="599"/>
      <c r="AG73" s="599"/>
      <c r="AH73" s="599"/>
      <c r="AI73" s="599"/>
      <c r="AJ73" s="599"/>
      <c r="AK73" s="599"/>
      <c r="AL73" s="599"/>
      <c r="AM73" s="432"/>
      <c r="AO73">
        <f ca="1">IF($A73="S",IF(BM!$I73=0,0,CHOOSE(MATCH(RegimeExecucao,{"Global","Unitário"},0),ROUND(ROUND(BM.MEDAcumulado,15-13*BM!$A$9)/100*BM!$I73,15-13*ORÇAMENTO!$AF$11),ROUND(ROUND(BM.MEDAcumulado,15-13*BM!$A$9)*ROUND(BM!$H73,15-13*ORÇAMENTO!$AF$10),15-13*ORÇAMENTO!$AF$11))),IF($A73=0,0,ROUND(SomaAgrupBM,15-13*ORÇAMENTO!$AF$11)))</f>
        <v>0</v>
      </c>
    </row>
    <row r="74" spans="1:41" ht="13.8" x14ac:dyDescent="0.3">
      <c r="A74" t="str">
        <f ca="1">ORÇAMENTO!C74</f>
        <v>S</v>
      </c>
      <c r="B74">
        <f ca="1">ORÇAMENTO!D74</f>
        <v>0</v>
      </c>
      <c r="C74" s="143" t="str">
        <f t="shared" ca="1" si="1"/>
        <v/>
      </c>
      <c r="D74" s="146" t="str">
        <f ca="1">ORÇAMENTO!O74</f>
        <v>-</v>
      </c>
      <c r="E74" s="206" t="str">
        <f t="shared" ca="1" si="2"/>
        <v>(abra o arquivo 'Referência 05-2024.xls)</v>
      </c>
      <c r="F74" s="207" t="str">
        <f t="shared" ca="1" si="3"/>
        <v>-</v>
      </c>
      <c r="G74" s="151">
        <f ca="1">IF(RegimeExecucao="Global","",ORÇAMENTO!T74)</f>
        <v>7.65</v>
      </c>
      <c r="H74" s="151">
        <f ca="1">IF(RegimeExecucao="Global","",ORÇAMENTO!W74)</f>
        <v>0</v>
      </c>
      <c r="I74" s="154">
        <f ca="1">ORÇAMENTO!X74</f>
        <v>0</v>
      </c>
      <c r="J74" s="427">
        <f t="shared" ca="1" si="4"/>
        <v>0</v>
      </c>
      <c r="K74" s="151">
        <f t="shared" ca="1" si="5"/>
        <v>0</v>
      </c>
      <c r="L74" s="428">
        <f t="shared" ca="1" si="6"/>
        <v>0</v>
      </c>
      <c r="M74" s="429">
        <f ca="1">IF($A74="S",VTOTALBM,IF($A74=0,0,ROUND(SomaAgrupBM,15-13*ORÇAMENTO!$AF$11)))</f>
        <v>0</v>
      </c>
      <c r="N74" s="430">
        <f t="shared" ca="1" si="7"/>
        <v>0</v>
      </c>
      <c r="O74" s="154">
        <f ca="1">IF($A74="S",VTOTALBM,IF($A74=0,0,ROUND(SomaAgrupBM,15-13*ORÇAMENTO!$AF$11)))</f>
        <v>0</v>
      </c>
      <c r="Q74" s="431"/>
      <c r="R74" s="432"/>
      <c r="T74" s="146" t="str">
        <f t="shared" ca="1" si="8"/>
        <v/>
      </c>
      <c r="U74" s="206" t="str">
        <f t="shared" ca="1" si="9"/>
        <v/>
      </c>
      <c r="V74" s="207" t="str">
        <f t="shared" ca="1" si="10"/>
        <v/>
      </c>
      <c r="W74" s="634">
        <f ca="1">IF($Y74&gt;0,CHOOSE(MATCH(RegimeExecucao,{"Unitário","Global"},0),IF($A74="S",$Y74/$X74,""),($Y74/$X74)*100),0)</f>
        <v>0</v>
      </c>
      <c r="X74" s="433" t="str">
        <f ca="1">IF($Y74&gt;0,CHOOSE(MATCH(RegimeExecucao,{"Unitário","Global"},0),IF($A74="S",ROUND($H74,ORÇAMENTO!$AF$10),""),ROUND($I74,ORÇAMENTO!$AF$11)),"")</f>
        <v/>
      </c>
      <c r="Y74" s="433">
        <f t="shared" ca="1" si="11"/>
        <v>0</v>
      </c>
      <c r="Z74" s="434"/>
      <c r="AB74" s="431"/>
      <c r="AC74" s="599"/>
      <c r="AD74" s="599"/>
      <c r="AE74" s="599"/>
      <c r="AF74" s="599"/>
      <c r="AG74" s="599"/>
      <c r="AH74" s="599"/>
      <c r="AI74" s="599"/>
      <c r="AJ74" s="599"/>
      <c r="AK74" s="599"/>
      <c r="AL74" s="599"/>
      <c r="AM74" s="432"/>
      <c r="AO74">
        <f ca="1">IF($A74="S",IF(BM!$I74=0,0,CHOOSE(MATCH(RegimeExecucao,{"Global","Unitário"},0),ROUND(ROUND(BM.MEDAcumulado,15-13*BM!$A$9)/100*BM!$I74,15-13*ORÇAMENTO!$AF$11),ROUND(ROUND(BM.MEDAcumulado,15-13*BM!$A$9)*ROUND(BM!$H74,15-13*ORÇAMENTO!$AF$10),15-13*ORÇAMENTO!$AF$11))),IF($A74=0,0,ROUND(SomaAgrupBM,15-13*ORÇAMENTO!$AF$11)))</f>
        <v>0</v>
      </c>
    </row>
    <row r="75" spans="1:41" ht="13.8" x14ac:dyDescent="0.3">
      <c r="A75" t="str">
        <f ca="1">ORÇAMENTO!C75</f>
        <v>S</v>
      </c>
      <c r="B75">
        <f ca="1">ORÇAMENTO!D75</f>
        <v>0</v>
      </c>
      <c r="C75" s="143" t="str">
        <f t="shared" ca="1" si="1"/>
        <v/>
      </c>
      <c r="D75" s="146" t="str">
        <f ca="1">ORÇAMENTO!O75</f>
        <v>-</v>
      </c>
      <c r="E75" s="206" t="str">
        <f t="shared" ca="1" si="2"/>
        <v>(abra o arquivo 'Referência 05-2024.xls)</v>
      </c>
      <c r="F75" s="207" t="str">
        <f t="shared" ca="1" si="3"/>
        <v>-</v>
      </c>
      <c r="G75" s="151">
        <f ca="1">IF(RegimeExecucao="Global","",ORÇAMENTO!T75)</f>
        <v>45.89</v>
      </c>
      <c r="H75" s="151">
        <f ca="1">IF(RegimeExecucao="Global","",ORÇAMENTO!W75)</f>
        <v>0</v>
      </c>
      <c r="I75" s="154">
        <f ca="1">ORÇAMENTO!X75</f>
        <v>0</v>
      </c>
      <c r="J75" s="427">
        <f t="shared" ca="1" si="4"/>
        <v>0</v>
      </c>
      <c r="K75" s="151">
        <f t="shared" ca="1" si="5"/>
        <v>0</v>
      </c>
      <c r="L75" s="428">
        <f t="shared" ca="1" si="6"/>
        <v>0</v>
      </c>
      <c r="M75" s="429">
        <f ca="1">IF($A75="S",VTOTALBM,IF($A75=0,0,ROUND(SomaAgrupBM,15-13*ORÇAMENTO!$AF$11)))</f>
        <v>0</v>
      </c>
      <c r="N75" s="430">
        <f t="shared" ca="1" si="7"/>
        <v>0</v>
      </c>
      <c r="O75" s="154">
        <f ca="1">IF($A75="S",VTOTALBM,IF($A75=0,0,ROUND(SomaAgrupBM,15-13*ORÇAMENTO!$AF$11)))</f>
        <v>0</v>
      </c>
      <c r="Q75" s="431"/>
      <c r="R75" s="432"/>
      <c r="T75" s="146" t="str">
        <f t="shared" ca="1" si="8"/>
        <v/>
      </c>
      <c r="U75" s="206" t="str">
        <f t="shared" ca="1" si="9"/>
        <v/>
      </c>
      <c r="V75" s="207" t="str">
        <f t="shared" ca="1" si="10"/>
        <v/>
      </c>
      <c r="W75" s="634">
        <f ca="1">IF($Y75&gt;0,CHOOSE(MATCH(RegimeExecucao,{"Unitário","Global"},0),IF($A75="S",$Y75/$X75,""),($Y75/$X75)*100),0)</f>
        <v>0</v>
      </c>
      <c r="X75" s="433" t="str">
        <f ca="1">IF($Y75&gt;0,CHOOSE(MATCH(RegimeExecucao,{"Unitário","Global"},0),IF($A75="S",ROUND($H75,ORÇAMENTO!$AF$10),""),ROUND($I75,ORÇAMENTO!$AF$11)),"")</f>
        <v/>
      </c>
      <c r="Y75" s="433">
        <f t="shared" ca="1" si="11"/>
        <v>0</v>
      </c>
      <c r="Z75" s="434"/>
      <c r="AB75" s="431"/>
      <c r="AC75" s="599"/>
      <c r="AD75" s="599"/>
      <c r="AE75" s="599"/>
      <c r="AF75" s="599"/>
      <c r="AG75" s="599"/>
      <c r="AH75" s="599"/>
      <c r="AI75" s="599"/>
      <c r="AJ75" s="599"/>
      <c r="AK75" s="599"/>
      <c r="AL75" s="599"/>
      <c r="AM75" s="432"/>
      <c r="AO75">
        <f ca="1">IF($A75="S",IF(BM!$I75=0,0,CHOOSE(MATCH(RegimeExecucao,{"Global","Unitário"},0),ROUND(ROUND(BM.MEDAcumulado,15-13*BM!$A$9)/100*BM!$I75,15-13*ORÇAMENTO!$AF$11),ROUND(ROUND(BM.MEDAcumulado,15-13*BM!$A$9)*ROUND(BM!$H75,15-13*ORÇAMENTO!$AF$10),15-13*ORÇAMENTO!$AF$11))),IF($A75=0,0,ROUND(SomaAgrupBM,15-13*ORÇAMENTO!$AF$11)))</f>
        <v>0</v>
      </c>
    </row>
    <row r="76" spans="1:41" ht="13.8" x14ac:dyDescent="0.3">
      <c r="A76" t="str">
        <f ca="1">ORÇAMENTO!C76</f>
        <v>S</v>
      </c>
      <c r="B76">
        <f ca="1">ORÇAMENTO!D76</f>
        <v>0</v>
      </c>
      <c r="C76" s="143" t="str">
        <f t="shared" ca="1" si="1"/>
        <v/>
      </c>
      <c r="D76" s="146" t="str">
        <f ca="1">ORÇAMENTO!O76</f>
        <v>-</v>
      </c>
      <c r="E76" s="206" t="str">
        <f t="shared" ca="1" si="2"/>
        <v>(abra o arquivo 'Referência 05-2024.xls)</v>
      </c>
      <c r="F76" s="207" t="str">
        <f t="shared" ca="1" si="3"/>
        <v>-</v>
      </c>
      <c r="G76" s="151">
        <f ca="1">IF(RegimeExecucao="Global","",ORÇAMENTO!T76)</f>
        <v>2.92</v>
      </c>
      <c r="H76" s="151">
        <f ca="1">IF(RegimeExecucao="Global","",ORÇAMENTO!W76)</f>
        <v>0</v>
      </c>
      <c r="I76" s="154">
        <f ca="1">ORÇAMENTO!X76</f>
        <v>0</v>
      </c>
      <c r="J76" s="427">
        <f t="shared" ca="1" si="4"/>
        <v>0</v>
      </c>
      <c r="K76" s="151">
        <f t="shared" ca="1" si="5"/>
        <v>0</v>
      </c>
      <c r="L76" s="428">
        <f t="shared" ca="1" si="6"/>
        <v>0</v>
      </c>
      <c r="M76" s="429">
        <f ca="1">IF($A76="S",VTOTALBM,IF($A76=0,0,ROUND(SomaAgrupBM,15-13*ORÇAMENTO!$AF$11)))</f>
        <v>0</v>
      </c>
      <c r="N76" s="430">
        <f t="shared" ca="1" si="7"/>
        <v>0</v>
      </c>
      <c r="O76" s="154">
        <f ca="1">IF($A76="S",VTOTALBM,IF($A76=0,0,ROUND(SomaAgrupBM,15-13*ORÇAMENTO!$AF$11)))</f>
        <v>0</v>
      </c>
      <c r="Q76" s="431"/>
      <c r="R76" s="432"/>
      <c r="T76" s="146" t="str">
        <f t="shared" ca="1" si="8"/>
        <v/>
      </c>
      <c r="U76" s="206" t="str">
        <f t="shared" ca="1" si="9"/>
        <v/>
      </c>
      <c r="V76" s="207" t="str">
        <f t="shared" ca="1" si="10"/>
        <v/>
      </c>
      <c r="W76" s="634">
        <f ca="1">IF($Y76&gt;0,CHOOSE(MATCH(RegimeExecucao,{"Unitário","Global"},0),IF($A76="S",$Y76/$X76,""),($Y76/$X76)*100),0)</f>
        <v>0</v>
      </c>
      <c r="X76" s="433" t="str">
        <f ca="1">IF($Y76&gt;0,CHOOSE(MATCH(RegimeExecucao,{"Unitário","Global"},0),IF($A76="S",ROUND($H76,ORÇAMENTO!$AF$10),""),ROUND($I76,ORÇAMENTO!$AF$11)),"")</f>
        <v/>
      </c>
      <c r="Y76" s="433">
        <f t="shared" ca="1" si="11"/>
        <v>0</v>
      </c>
      <c r="Z76" s="434"/>
      <c r="AB76" s="431"/>
      <c r="AC76" s="599"/>
      <c r="AD76" s="599"/>
      <c r="AE76" s="599"/>
      <c r="AF76" s="599"/>
      <c r="AG76" s="599"/>
      <c r="AH76" s="599"/>
      <c r="AI76" s="599"/>
      <c r="AJ76" s="599"/>
      <c r="AK76" s="599"/>
      <c r="AL76" s="599"/>
      <c r="AM76" s="432"/>
      <c r="AO76">
        <f ca="1">IF($A76="S",IF(BM!$I76=0,0,CHOOSE(MATCH(RegimeExecucao,{"Global","Unitário"},0),ROUND(ROUND(BM.MEDAcumulado,15-13*BM!$A$9)/100*BM!$I76,15-13*ORÇAMENTO!$AF$11),ROUND(ROUND(BM.MEDAcumulado,15-13*BM!$A$9)*ROUND(BM!$H76,15-13*ORÇAMENTO!$AF$10),15-13*ORÇAMENTO!$AF$11))),IF($A76=0,0,ROUND(SomaAgrupBM,15-13*ORÇAMENTO!$AF$11)))</f>
        <v>0</v>
      </c>
    </row>
    <row r="77" spans="1:41" ht="13.8" x14ac:dyDescent="0.3">
      <c r="A77" t="str">
        <f ca="1">ORÇAMENTO!C77</f>
        <v>S</v>
      </c>
      <c r="B77">
        <f ca="1">ORÇAMENTO!D77</f>
        <v>0</v>
      </c>
      <c r="C77" s="143" t="str">
        <f t="shared" ca="1" si="1"/>
        <v/>
      </c>
      <c r="D77" s="146" t="str">
        <f ca="1">ORÇAMENTO!O77</f>
        <v>-</v>
      </c>
      <c r="E77" s="206" t="str">
        <f t="shared" ca="1" si="2"/>
        <v>(abra o arquivo 'Referência 05-2024.xls)</v>
      </c>
      <c r="F77" s="207" t="str">
        <f t="shared" ca="1" si="3"/>
        <v>-</v>
      </c>
      <c r="G77" s="151">
        <f ca="1">IF(RegimeExecucao="Global","",ORÇAMENTO!T77)</f>
        <v>5.49</v>
      </c>
      <c r="H77" s="151">
        <f ca="1">IF(RegimeExecucao="Global","",ORÇAMENTO!W77)</f>
        <v>0</v>
      </c>
      <c r="I77" s="154">
        <f ca="1">ORÇAMENTO!X77</f>
        <v>0</v>
      </c>
      <c r="J77" s="427">
        <f t="shared" ca="1" si="4"/>
        <v>0</v>
      </c>
      <c r="K77" s="151">
        <f t="shared" ca="1" si="5"/>
        <v>0</v>
      </c>
      <c r="L77" s="428">
        <f t="shared" ca="1" si="6"/>
        <v>0</v>
      </c>
      <c r="M77" s="429">
        <f ca="1">IF($A77="S",VTOTALBM,IF($A77=0,0,ROUND(SomaAgrupBM,15-13*ORÇAMENTO!$AF$11)))</f>
        <v>0</v>
      </c>
      <c r="N77" s="430">
        <f t="shared" ca="1" si="7"/>
        <v>0</v>
      </c>
      <c r="O77" s="154">
        <f ca="1">IF($A77="S",VTOTALBM,IF($A77=0,0,ROUND(SomaAgrupBM,15-13*ORÇAMENTO!$AF$11)))</f>
        <v>0</v>
      </c>
      <c r="Q77" s="431"/>
      <c r="R77" s="432"/>
      <c r="T77" s="146" t="str">
        <f t="shared" ca="1" si="8"/>
        <v/>
      </c>
      <c r="U77" s="206" t="str">
        <f t="shared" ca="1" si="9"/>
        <v/>
      </c>
      <c r="V77" s="207" t="str">
        <f t="shared" ca="1" si="10"/>
        <v/>
      </c>
      <c r="W77" s="634">
        <f ca="1">IF($Y77&gt;0,CHOOSE(MATCH(RegimeExecucao,{"Unitário","Global"},0),IF($A77="S",$Y77/$X77,""),($Y77/$X77)*100),0)</f>
        <v>0</v>
      </c>
      <c r="X77" s="433" t="str">
        <f ca="1">IF($Y77&gt;0,CHOOSE(MATCH(RegimeExecucao,{"Unitário","Global"},0),IF($A77="S",ROUND($H77,ORÇAMENTO!$AF$10),""),ROUND($I77,ORÇAMENTO!$AF$11)),"")</f>
        <v/>
      </c>
      <c r="Y77" s="433">
        <f t="shared" ca="1" si="11"/>
        <v>0</v>
      </c>
      <c r="Z77" s="434"/>
      <c r="AB77" s="431"/>
      <c r="AC77" s="599"/>
      <c r="AD77" s="599"/>
      <c r="AE77" s="599"/>
      <c r="AF77" s="599"/>
      <c r="AG77" s="599"/>
      <c r="AH77" s="599"/>
      <c r="AI77" s="599"/>
      <c r="AJ77" s="599"/>
      <c r="AK77" s="599"/>
      <c r="AL77" s="599"/>
      <c r="AM77" s="432"/>
      <c r="AO77">
        <f ca="1">IF($A77="S",IF(BM!$I77=0,0,CHOOSE(MATCH(RegimeExecucao,{"Global","Unitário"},0),ROUND(ROUND(BM.MEDAcumulado,15-13*BM!$A$9)/100*BM!$I77,15-13*ORÇAMENTO!$AF$11),ROUND(ROUND(BM.MEDAcumulado,15-13*BM!$A$9)*ROUND(BM!$H77,15-13*ORÇAMENTO!$AF$10),15-13*ORÇAMENTO!$AF$11))),IF($A77=0,0,ROUND(SomaAgrupBM,15-13*ORÇAMENTO!$AF$11)))</f>
        <v>0</v>
      </c>
    </row>
    <row r="78" spans="1:41" ht="13.8" x14ac:dyDescent="0.3">
      <c r="A78" t="str">
        <f ca="1">ORÇAMENTO!C78</f>
        <v>S</v>
      </c>
      <c r="B78">
        <f ca="1">ORÇAMENTO!D78</f>
        <v>0</v>
      </c>
      <c r="C78" s="143" t="str">
        <f t="shared" ca="1" si="1"/>
        <v/>
      </c>
      <c r="D78" s="146" t="str">
        <f ca="1">ORÇAMENTO!O78</f>
        <v>-</v>
      </c>
      <c r="E78" s="206" t="str">
        <f t="shared" ca="1" si="2"/>
        <v>(abra o arquivo 'Referência 05-2024.xls)</v>
      </c>
      <c r="F78" s="207" t="str">
        <f t="shared" ca="1" si="3"/>
        <v>-</v>
      </c>
      <c r="G78" s="151">
        <f ca="1">IF(RegimeExecucao="Global","",ORÇAMENTO!T78)</f>
        <v>132.28</v>
      </c>
      <c r="H78" s="151">
        <f ca="1">IF(RegimeExecucao="Global","",ORÇAMENTO!W78)</f>
        <v>0</v>
      </c>
      <c r="I78" s="154">
        <f ca="1">ORÇAMENTO!X78</f>
        <v>0</v>
      </c>
      <c r="J78" s="427">
        <f t="shared" ca="1" si="4"/>
        <v>0</v>
      </c>
      <c r="K78" s="151">
        <f t="shared" ca="1" si="5"/>
        <v>0</v>
      </c>
      <c r="L78" s="428">
        <f t="shared" ca="1" si="6"/>
        <v>0</v>
      </c>
      <c r="M78" s="429">
        <f ca="1">IF($A78="S",VTOTALBM,IF($A78=0,0,ROUND(SomaAgrupBM,15-13*ORÇAMENTO!$AF$11)))</f>
        <v>0</v>
      </c>
      <c r="N78" s="430">
        <f t="shared" ca="1" si="7"/>
        <v>0</v>
      </c>
      <c r="O78" s="154">
        <f ca="1">IF($A78="S",VTOTALBM,IF($A78=0,0,ROUND(SomaAgrupBM,15-13*ORÇAMENTO!$AF$11)))</f>
        <v>0</v>
      </c>
      <c r="Q78" s="431"/>
      <c r="R78" s="432"/>
      <c r="T78" s="146" t="str">
        <f t="shared" ca="1" si="8"/>
        <v/>
      </c>
      <c r="U78" s="206" t="str">
        <f t="shared" ca="1" si="9"/>
        <v/>
      </c>
      <c r="V78" s="207" t="str">
        <f t="shared" ca="1" si="10"/>
        <v/>
      </c>
      <c r="W78" s="634">
        <f ca="1">IF($Y78&gt;0,CHOOSE(MATCH(RegimeExecucao,{"Unitário","Global"},0),IF($A78="S",$Y78/$X78,""),($Y78/$X78)*100),0)</f>
        <v>0</v>
      </c>
      <c r="X78" s="433" t="str">
        <f ca="1">IF($Y78&gt;0,CHOOSE(MATCH(RegimeExecucao,{"Unitário","Global"},0),IF($A78="S",ROUND($H78,ORÇAMENTO!$AF$10),""),ROUND($I78,ORÇAMENTO!$AF$11)),"")</f>
        <v/>
      </c>
      <c r="Y78" s="433">
        <f t="shared" ca="1" si="11"/>
        <v>0</v>
      </c>
      <c r="Z78" s="434"/>
      <c r="AB78" s="431"/>
      <c r="AC78" s="599"/>
      <c r="AD78" s="599"/>
      <c r="AE78" s="599"/>
      <c r="AF78" s="599"/>
      <c r="AG78" s="599"/>
      <c r="AH78" s="599"/>
      <c r="AI78" s="599"/>
      <c r="AJ78" s="599"/>
      <c r="AK78" s="599"/>
      <c r="AL78" s="599"/>
      <c r="AM78" s="432"/>
      <c r="AO78">
        <f ca="1">IF($A78="S",IF(BM!$I78=0,0,CHOOSE(MATCH(RegimeExecucao,{"Global","Unitário"},0),ROUND(ROUND(BM.MEDAcumulado,15-13*BM!$A$9)/100*BM!$I78,15-13*ORÇAMENTO!$AF$11),ROUND(ROUND(BM.MEDAcumulado,15-13*BM!$A$9)*ROUND(BM!$H78,15-13*ORÇAMENTO!$AF$10),15-13*ORÇAMENTO!$AF$11))),IF($A78=0,0,ROUND(SomaAgrupBM,15-13*ORÇAMENTO!$AF$11)))</f>
        <v>0</v>
      </c>
    </row>
    <row r="79" spans="1:41" ht="13.8" x14ac:dyDescent="0.3">
      <c r="A79" t="str">
        <f ca="1">ORÇAMENTO!C79</f>
        <v>S</v>
      </c>
      <c r="B79">
        <f ca="1">ORÇAMENTO!D79</f>
        <v>0</v>
      </c>
      <c r="C79" s="143" t="str">
        <f t="shared" ref="C79:C142" ca="1" si="12">IF(OR($I79&gt;0,$A79=1,$A79=2,$A79=3,$A79=4),"F","")</f>
        <v/>
      </c>
      <c r="D79" s="146" t="str">
        <f ca="1">ORÇAMENTO!O79</f>
        <v>-</v>
      </c>
      <c r="E79" s="206" t="str">
        <f t="shared" ref="E79:E142" ca="1" si="13">ORÇAMENTO.Descricao</f>
        <v>(abra o arquivo 'Referência 05-2024.xls)</v>
      </c>
      <c r="F79" s="207" t="str">
        <f t="shared" ref="F79:F142" ca="1" si="14">IF(RegimeExecucao="Global","",ORÇAMENTO.Unidade)</f>
        <v>-</v>
      </c>
      <c r="G79" s="151">
        <f ca="1">IF(RegimeExecucao="Global","",ORÇAMENTO!T79)</f>
        <v>22.53</v>
      </c>
      <c r="H79" s="151">
        <f ca="1">IF(RegimeExecucao="Global","",ORÇAMENTO!W79)</f>
        <v>0</v>
      </c>
      <c r="I79" s="154">
        <f ca="1">ORÇAMENTO!X79</f>
        <v>0</v>
      </c>
      <c r="J79" s="427">
        <f t="shared" ref="J79:J142" ca="1" si="15">IF($A79="S",IF(CAIXA.Modo,BM.AFAnterior,BM.MEDAnterior),IF(AND(RegimeExecucao="Global",$I79&gt;0,COUNTIF($AB$13:$AM$13,BM.medicao-1)&gt;0),M79/$I79*100,0))</f>
        <v>0</v>
      </c>
      <c r="K79" s="151">
        <f t="shared" ref="K79:K142" ca="1" si="16">L79-J79</f>
        <v>0</v>
      </c>
      <c r="L79" s="428">
        <f t="shared" ref="L79:L142" ca="1" si="17">IF($A79="S",IF(CAIXA.Modo,BM.AFAcumulado,BM.MEDAcumulado),IF(AND(RegimeExecucao="Global",$I79&gt;0,COUNTIF($AB$13:$AM$13,BM.medicao)&gt;0),O79/$I79*100,0))</f>
        <v>0</v>
      </c>
      <c r="M79" s="429">
        <f ca="1">IF($A79="S",VTOTALBM,IF($A79=0,0,ROUND(SomaAgrupBM,15-13*ORÇAMENTO!$AF$11)))</f>
        <v>0</v>
      </c>
      <c r="N79" s="430">
        <f t="shared" ref="N79:N142" ca="1" si="18">O79-M79</f>
        <v>0</v>
      </c>
      <c r="O79" s="154">
        <f ca="1">IF($A79="S",VTOTALBM,IF($A79=0,0,ROUND(SomaAgrupBM,15-13*ORÇAMENTO!$AF$11)))</f>
        <v>0</v>
      </c>
      <c r="Q79" s="431"/>
      <c r="R79" s="432"/>
      <c r="T79" s="146" t="str">
        <f t="shared" ref="T79:T142" ca="1" si="19">IF($W79&gt;0,$D79,"")</f>
        <v/>
      </c>
      <c r="U79" s="206" t="str">
        <f t="shared" ref="U79:U142" ca="1" si="20">IF($W79&gt;0,$E79,"")</f>
        <v/>
      </c>
      <c r="V79" s="207" t="str">
        <f t="shared" ref="V79:V142" ca="1" si="21">IF(AND($W79&gt;0,RegimeExecucao="Unitário"),$F79,"")</f>
        <v/>
      </c>
      <c r="W79" s="634">
        <f ca="1">IF($Y79&gt;0,CHOOSE(MATCH(RegimeExecucao,{"Unitário","Global"},0),IF($A79="S",$Y79/$X79,""),($Y79/$X79)*100),0)</f>
        <v>0</v>
      </c>
      <c r="X79" s="433" t="str">
        <f ca="1">IF($Y79&gt;0,CHOOSE(MATCH(RegimeExecucao,{"Unitário","Global"},0),IF($A79="S",ROUND($H79,ORÇAMENTO!$AF$10),""),ROUND($I79,ORÇAMENTO!$AF$11)),"")</f>
        <v/>
      </c>
      <c r="Y79" s="433">
        <f t="shared" ref="Y79:Y142" ca="1" si="22">AO79-O79</f>
        <v>0</v>
      </c>
      <c r="Z79" s="434"/>
      <c r="AB79" s="431"/>
      <c r="AC79" s="599"/>
      <c r="AD79" s="599"/>
      <c r="AE79" s="599"/>
      <c r="AF79" s="599"/>
      <c r="AG79" s="599"/>
      <c r="AH79" s="599"/>
      <c r="AI79" s="599"/>
      <c r="AJ79" s="599"/>
      <c r="AK79" s="599"/>
      <c r="AL79" s="599"/>
      <c r="AM79" s="432"/>
      <c r="AO79">
        <f ca="1">IF($A79="S",IF(BM!$I79=0,0,CHOOSE(MATCH(RegimeExecucao,{"Global","Unitário"},0),ROUND(ROUND(BM.MEDAcumulado,15-13*BM!$A$9)/100*BM!$I79,15-13*ORÇAMENTO!$AF$11),ROUND(ROUND(BM.MEDAcumulado,15-13*BM!$A$9)*ROUND(BM!$H79,15-13*ORÇAMENTO!$AF$10),15-13*ORÇAMENTO!$AF$11))),IF($A79=0,0,ROUND(SomaAgrupBM,15-13*ORÇAMENTO!$AF$11)))</f>
        <v>0</v>
      </c>
    </row>
    <row r="80" spans="1:41" ht="13.8" x14ac:dyDescent="0.3">
      <c r="A80" t="str">
        <f ca="1">ORÇAMENTO!C80</f>
        <v>S</v>
      </c>
      <c r="B80">
        <f ca="1">ORÇAMENTO!D80</f>
        <v>0</v>
      </c>
      <c r="C80" s="143" t="str">
        <f t="shared" ca="1" si="12"/>
        <v/>
      </c>
      <c r="D80" s="146" t="str">
        <f ca="1">ORÇAMENTO!O80</f>
        <v>-</v>
      </c>
      <c r="E80" s="206" t="str">
        <f t="shared" ca="1" si="13"/>
        <v>(abra o arquivo 'Referência 05-2024.xls)</v>
      </c>
      <c r="F80" s="207" t="str">
        <f t="shared" ca="1" si="14"/>
        <v>-</v>
      </c>
      <c r="G80" s="151">
        <f ca="1">IF(RegimeExecucao="Global","",ORÇAMENTO!T80)</f>
        <v>40.340000000000003</v>
      </c>
      <c r="H80" s="151">
        <f ca="1">IF(RegimeExecucao="Global","",ORÇAMENTO!W80)</f>
        <v>0</v>
      </c>
      <c r="I80" s="154">
        <f ca="1">ORÇAMENTO!X80</f>
        <v>0</v>
      </c>
      <c r="J80" s="427">
        <f t="shared" ca="1" si="15"/>
        <v>0</v>
      </c>
      <c r="K80" s="151">
        <f t="shared" ca="1" si="16"/>
        <v>0</v>
      </c>
      <c r="L80" s="428">
        <f t="shared" ca="1" si="17"/>
        <v>0</v>
      </c>
      <c r="M80" s="429">
        <f ca="1">IF($A80="S",VTOTALBM,IF($A80=0,0,ROUND(SomaAgrupBM,15-13*ORÇAMENTO!$AF$11)))</f>
        <v>0</v>
      </c>
      <c r="N80" s="430">
        <f t="shared" ca="1" si="18"/>
        <v>0</v>
      </c>
      <c r="O80" s="154">
        <f ca="1">IF($A80="S",VTOTALBM,IF($A80=0,0,ROUND(SomaAgrupBM,15-13*ORÇAMENTO!$AF$11)))</f>
        <v>0</v>
      </c>
      <c r="Q80" s="431"/>
      <c r="R80" s="432"/>
      <c r="T80" s="146" t="str">
        <f t="shared" ca="1" si="19"/>
        <v/>
      </c>
      <c r="U80" s="206" t="str">
        <f t="shared" ca="1" si="20"/>
        <v/>
      </c>
      <c r="V80" s="207" t="str">
        <f t="shared" ca="1" si="21"/>
        <v/>
      </c>
      <c r="W80" s="634">
        <f ca="1">IF($Y80&gt;0,CHOOSE(MATCH(RegimeExecucao,{"Unitário","Global"},0),IF($A80="S",$Y80/$X80,""),($Y80/$X80)*100),0)</f>
        <v>0</v>
      </c>
      <c r="X80" s="433" t="str">
        <f ca="1">IF($Y80&gt;0,CHOOSE(MATCH(RegimeExecucao,{"Unitário","Global"},0),IF($A80="S",ROUND($H80,ORÇAMENTO!$AF$10),""),ROUND($I80,ORÇAMENTO!$AF$11)),"")</f>
        <v/>
      </c>
      <c r="Y80" s="433">
        <f t="shared" ca="1" si="22"/>
        <v>0</v>
      </c>
      <c r="Z80" s="434"/>
      <c r="AB80" s="431"/>
      <c r="AC80" s="599"/>
      <c r="AD80" s="599"/>
      <c r="AE80" s="599"/>
      <c r="AF80" s="599"/>
      <c r="AG80" s="599"/>
      <c r="AH80" s="599"/>
      <c r="AI80" s="599"/>
      <c r="AJ80" s="599"/>
      <c r="AK80" s="599"/>
      <c r="AL80" s="599"/>
      <c r="AM80" s="432"/>
      <c r="AO80">
        <f ca="1">IF($A80="S",IF(BM!$I80=0,0,CHOOSE(MATCH(RegimeExecucao,{"Global","Unitário"},0),ROUND(ROUND(BM.MEDAcumulado,15-13*BM!$A$9)/100*BM!$I80,15-13*ORÇAMENTO!$AF$11),ROUND(ROUND(BM.MEDAcumulado,15-13*BM!$A$9)*ROUND(BM!$H80,15-13*ORÇAMENTO!$AF$10),15-13*ORÇAMENTO!$AF$11))),IF($A80=0,0,ROUND(SomaAgrupBM,15-13*ORÇAMENTO!$AF$11)))</f>
        <v>0</v>
      </c>
    </row>
    <row r="81" spans="1:41" ht="13.8" x14ac:dyDescent="0.3">
      <c r="A81" t="str">
        <f ca="1">ORÇAMENTO!C81</f>
        <v>S</v>
      </c>
      <c r="B81">
        <f ca="1">ORÇAMENTO!D81</f>
        <v>0</v>
      </c>
      <c r="C81" s="143" t="str">
        <f t="shared" ca="1" si="12"/>
        <v/>
      </c>
      <c r="D81" s="146" t="str">
        <f ca="1">ORÇAMENTO!O81</f>
        <v>-</v>
      </c>
      <c r="E81" s="206" t="str">
        <f t="shared" ca="1" si="13"/>
        <v>(abra o arquivo 'Referência 05-2024.xls)</v>
      </c>
      <c r="F81" s="207" t="str">
        <f t="shared" ca="1" si="14"/>
        <v>-</v>
      </c>
      <c r="G81" s="151">
        <f ca="1">IF(RegimeExecucao="Global","",ORÇAMENTO!T81)</f>
        <v>4.59</v>
      </c>
      <c r="H81" s="151">
        <f ca="1">IF(RegimeExecucao="Global","",ORÇAMENTO!W81)</f>
        <v>0</v>
      </c>
      <c r="I81" s="154">
        <f ca="1">ORÇAMENTO!X81</f>
        <v>0</v>
      </c>
      <c r="J81" s="427">
        <f t="shared" ca="1" si="15"/>
        <v>0</v>
      </c>
      <c r="K81" s="151">
        <f t="shared" ca="1" si="16"/>
        <v>0</v>
      </c>
      <c r="L81" s="428">
        <f t="shared" ca="1" si="17"/>
        <v>0</v>
      </c>
      <c r="M81" s="429">
        <f ca="1">IF($A81="S",VTOTALBM,IF($A81=0,0,ROUND(SomaAgrupBM,15-13*ORÇAMENTO!$AF$11)))</f>
        <v>0</v>
      </c>
      <c r="N81" s="430">
        <f t="shared" ca="1" si="18"/>
        <v>0</v>
      </c>
      <c r="O81" s="154">
        <f ca="1">IF($A81="S",VTOTALBM,IF($A81=0,0,ROUND(SomaAgrupBM,15-13*ORÇAMENTO!$AF$11)))</f>
        <v>0</v>
      </c>
      <c r="Q81" s="431"/>
      <c r="R81" s="432"/>
      <c r="T81" s="146" t="str">
        <f t="shared" ca="1" si="19"/>
        <v/>
      </c>
      <c r="U81" s="206" t="str">
        <f t="shared" ca="1" si="20"/>
        <v/>
      </c>
      <c r="V81" s="207" t="str">
        <f t="shared" ca="1" si="21"/>
        <v/>
      </c>
      <c r="W81" s="634">
        <f ca="1">IF($Y81&gt;0,CHOOSE(MATCH(RegimeExecucao,{"Unitário","Global"},0),IF($A81="S",$Y81/$X81,""),($Y81/$X81)*100),0)</f>
        <v>0</v>
      </c>
      <c r="X81" s="433" t="str">
        <f ca="1">IF($Y81&gt;0,CHOOSE(MATCH(RegimeExecucao,{"Unitário","Global"},0),IF($A81="S",ROUND($H81,ORÇAMENTO!$AF$10),""),ROUND($I81,ORÇAMENTO!$AF$11)),"")</f>
        <v/>
      </c>
      <c r="Y81" s="433">
        <f t="shared" ca="1" si="22"/>
        <v>0</v>
      </c>
      <c r="Z81" s="434"/>
      <c r="AB81" s="431"/>
      <c r="AC81" s="599"/>
      <c r="AD81" s="599"/>
      <c r="AE81" s="599"/>
      <c r="AF81" s="599"/>
      <c r="AG81" s="599"/>
      <c r="AH81" s="599"/>
      <c r="AI81" s="599"/>
      <c r="AJ81" s="599"/>
      <c r="AK81" s="599"/>
      <c r="AL81" s="599"/>
      <c r="AM81" s="432"/>
      <c r="AO81">
        <f ca="1">IF($A81="S",IF(BM!$I81=0,0,CHOOSE(MATCH(RegimeExecucao,{"Global","Unitário"},0),ROUND(ROUND(BM.MEDAcumulado,15-13*BM!$A$9)/100*BM!$I81,15-13*ORÇAMENTO!$AF$11),ROUND(ROUND(BM.MEDAcumulado,15-13*BM!$A$9)*ROUND(BM!$H81,15-13*ORÇAMENTO!$AF$10),15-13*ORÇAMENTO!$AF$11))),IF($A81=0,0,ROUND(SomaAgrupBM,15-13*ORÇAMENTO!$AF$11)))</f>
        <v>0</v>
      </c>
    </row>
    <row r="82" spans="1:41" ht="13.8" x14ac:dyDescent="0.3">
      <c r="A82">
        <f ca="1">ORÇAMENTO!C82</f>
        <v>3</v>
      </c>
      <c r="B82">
        <f ca="1">ORÇAMENTO!D82</f>
        <v>4</v>
      </c>
      <c r="C82" s="143" t="str">
        <f t="shared" ca="1" si="12"/>
        <v>F</v>
      </c>
      <c r="D82" s="146" t="str">
        <f ca="1">ORÇAMENTO!O82</f>
        <v>1.3.5.</v>
      </c>
      <c r="E82" s="206" t="str">
        <f t="shared" si="13"/>
        <v>CONCRETO ARMADO - RADIER - RESERVATÓRIO</v>
      </c>
      <c r="F82" s="207" t="str">
        <f t="shared" ca="1" si="14"/>
        <v>-</v>
      </c>
      <c r="G82" s="151">
        <f ca="1">IF(RegimeExecucao="Global","",ORÇAMENTO!T82)</f>
        <v>0</v>
      </c>
      <c r="H82" s="151">
        <f ca="1">IF(RegimeExecucao="Global","",ORÇAMENTO!W82)</f>
        <v>0</v>
      </c>
      <c r="I82" s="154">
        <f ca="1">ORÇAMENTO!X82</f>
        <v>0</v>
      </c>
      <c r="J82" s="427">
        <f t="shared" ca="1" si="15"/>
        <v>0</v>
      </c>
      <c r="K82" s="151">
        <f t="shared" ca="1" si="16"/>
        <v>0</v>
      </c>
      <c r="L82" s="428">
        <f t="shared" ca="1" si="17"/>
        <v>0</v>
      </c>
      <c r="M82" s="429">
        <f ca="1">IF($A82="S",VTOTALBM,IF($A82=0,0,ROUND(SomaAgrupBM,15-13*ORÇAMENTO!$AF$11)))</f>
        <v>0</v>
      </c>
      <c r="N82" s="430">
        <f t="shared" ca="1" si="18"/>
        <v>0</v>
      </c>
      <c r="O82" s="154">
        <f ca="1">IF($A82="S",VTOTALBM,IF($A82=0,0,ROUND(SomaAgrupBM,15-13*ORÇAMENTO!$AF$11)))</f>
        <v>0</v>
      </c>
      <c r="Q82" s="431"/>
      <c r="R82" s="432"/>
      <c r="T82" s="146" t="str">
        <f t="shared" ca="1" si="19"/>
        <v/>
      </c>
      <c r="U82" s="206" t="str">
        <f t="shared" ca="1" si="20"/>
        <v/>
      </c>
      <c r="V82" s="207" t="str">
        <f t="shared" ca="1" si="21"/>
        <v/>
      </c>
      <c r="W82" s="634">
        <f ca="1">IF($Y82&gt;0,CHOOSE(MATCH(RegimeExecucao,{"Unitário","Global"},0),IF($A82="S",$Y82/$X82,""),($Y82/$X82)*100),0)</f>
        <v>0</v>
      </c>
      <c r="X82" s="433" t="str">
        <f ca="1">IF($Y82&gt;0,CHOOSE(MATCH(RegimeExecucao,{"Unitário","Global"},0),IF($A82="S",ROUND($H82,ORÇAMENTO!$AF$10),""),ROUND($I82,ORÇAMENTO!$AF$11)),"")</f>
        <v/>
      </c>
      <c r="Y82" s="433">
        <f t="shared" ca="1" si="22"/>
        <v>0</v>
      </c>
      <c r="Z82" s="434"/>
      <c r="AB82" s="431"/>
      <c r="AC82" s="599"/>
      <c r="AD82" s="599"/>
      <c r="AE82" s="599"/>
      <c r="AF82" s="599"/>
      <c r="AG82" s="599"/>
      <c r="AH82" s="599"/>
      <c r="AI82" s="599"/>
      <c r="AJ82" s="599"/>
      <c r="AK82" s="599"/>
      <c r="AL82" s="599"/>
      <c r="AM82" s="432"/>
      <c r="AO82">
        <f ca="1">IF($A82="S",IF(BM!$I82=0,0,CHOOSE(MATCH(RegimeExecucao,{"Global","Unitário"},0),ROUND(ROUND(BM.MEDAcumulado,15-13*BM!$A$9)/100*BM!$I82,15-13*ORÇAMENTO!$AF$11),ROUND(ROUND(BM.MEDAcumulado,15-13*BM!$A$9)*ROUND(BM!$H82,15-13*ORÇAMENTO!$AF$10),15-13*ORÇAMENTO!$AF$11))),IF($A82=0,0,ROUND(SomaAgrupBM,15-13*ORÇAMENTO!$AF$11)))</f>
        <v>0</v>
      </c>
    </row>
    <row r="83" spans="1:41" ht="13.8" x14ac:dyDescent="0.3">
      <c r="A83" t="str">
        <f ca="1">ORÇAMENTO!C83</f>
        <v>S</v>
      </c>
      <c r="B83">
        <f ca="1">ORÇAMENTO!D83</f>
        <v>0</v>
      </c>
      <c r="C83" s="143" t="str">
        <f t="shared" ca="1" si="12"/>
        <v/>
      </c>
      <c r="D83" s="146" t="str">
        <f ca="1">ORÇAMENTO!O83</f>
        <v>-</v>
      </c>
      <c r="E83" s="206" t="str">
        <f t="shared" ca="1" si="13"/>
        <v>(abra o arquivo 'Referência 05-2024.xls)</v>
      </c>
      <c r="F83" s="207" t="str">
        <f t="shared" ca="1" si="14"/>
        <v>-</v>
      </c>
      <c r="G83" s="151">
        <f ca="1">IF(RegimeExecucao="Global","",ORÇAMENTO!T83)</f>
        <v>25.01</v>
      </c>
      <c r="H83" s="151">
        <f ca="1">IF(RegimeExecucao="Global","",ORÇAMENTO!W83)</f>
        <v>0</v>
      </c>
      <c r="I83" s="154">
        <f ca="1">ORÇAMENTO!X83</f>
        <v>0</v>
      </c>
      <c r="J83" s="427">
        <f t="shared" ca="1" si="15"/>
        <v>0</v>
      </c>
      <c r="K83" s="151">
        <f t="shared" ca="1" si="16"/>
        <v>0</v>
      </c>
      <c r="L83" s="428">
        <f t="shared" ca="1" si="17"/>
        <v>0</v>
      </c>
      <c r="M83" s="429">
        <f ca="1">IF($A83="S",VTOTALBM,IF($A83=0,0,ROUND(SomaAgrupBM,15-13*ORÇAMENTO!$AF$11)))</f>
        <v>0</v>
      </c>
      <c r="N83" s="430">
        <f t="shared" ca="1" si="18"/>
        <v>0</v>
      </c>
      <c r="O83" s="154">
        <f ca="1">IF($A83="S",VTOTALBM,IF($A83=0,0,ROUND(SomaAgrupBM,15-13*ORÇAMENTO!$AF$11)))</f>
        <v>0</v>
      </c>
      <c r="Q83" s="431"/>
      <c r="R83" s="432"/>
      <c r="T83" s="146" t="str">
        <f t="shared" ca="1" si="19"/>
        <v/>
      </c>
      <c r="U83" s="206" t="str">
        <f t="shared" ca="1" si="20"/>
        <v/>
      </c>
      <c r="V83" s="207" t="str">
        <f t="shared" ca="1" si="21"/>
        <v/>
      </c>
      <c r="W83" s="634">
        <f ca="1">IF($Y83&gt;0,CHOOSE(MATCH(RegimeExecucao,{"Unitário","Global"},0),IF($A83="S",$Y83/$X83,""),($Y83/$X83)*100),0)</f>
        <v>0</v>
      </c>
      <c r="X83" s="433" t="str">
        <f ca="1">IF($Y83&gt;0,CHOOSE(MATCH(RegimeExecucao,{"Unitário","Global"},0),IF($A83="S",ROUND($H83,ORÇAMENTO!$AF$10),""),ROUND($I83,ORÇAMENTO!$AF$11)),"")</f>
        <v/>
      </c>
      <c r="Y83" s="433">
        <f t="shared" ca="1" si="22"/>
        <v>0</v>
      </c>
      <c r="Z83" s="434"/>
      <c r="AB83" s="431"/>
      <c r="AC83" s="599"/>
      <c r="AD83" s="599"/>
      <c r="AE83" s="599"/>
      <c r="AF83" s="599"/>
      <c r="AG83" s="599"/>
      <c r="AH83" s="599"/>
      <c r="AI83" s="599"/>
      <c r="AJ83" s="599"/>
      <c r="AK83" s="599"/>
      <c r="AL83" s="599"/>
      <c r="AM83" s="432"/>
      <c r="AO83">
        <f ca="1">IF($A83="S",IF(BM!$I83=0,0,CHOOSE(MATCH(RegimeExecucao,{"Global","Unitário"},0),ROUND(ROUND(BM.MEDAcumulado,15-13*BM!$A$9)/100*BM!$I83,15-13*ORÇAMENTO!$AF$11),ROUND(ROUND(BM.MEDAcumulado,15-13*BM!$A$9)*ROUND(BM!$H83,15-13*ORÇAMENTO!$AF$10),15-13*ORÇAMENTO!$AF$11))),IF($A83=0,0,ROUND(SomaAgrupBM,15-13*ORÇAMENTO!$AF$11)))</f>
        <v>0</v>
      </c>
    </row>
    <row r="84" spans="1:41" ht="13.8" x14ac:dyDescent="0.3">
      <c r="A84" t="str">
        <f ca="1">ORÇAMENTO!C84</f>
        <v>S</v>
      </c>
      <c r="B84">
        <f ca="1">ORÇAMENTO!D84</f>
        <v>0</v>
      </c>
      <c r="C84" s="143" t="str">
        <f t="shared" ca="1" si="12"/>
        <v/>
      </c>
      <c r="D84" s="146" t="str">
        <f ca="1">ORÇAMENTO!O84</f>
        <v>-</v>
      </c>
      <c r="E84" s="206" t="str">
        <f t="shared" ca="1" si="13"/>
        <v>(abra o arquivo 'Referência 05-2024.xls)</v>
      </c>
      <c r="F84" s="207" t="str">
        <f t="shared" ca="1" si="14"/>
        <v>-</v>
      </c>
      <c r="G84" s="151">
        <f ca="1">IF(RegimeExecucao="Global","",ORÇAMENTO!T84)</f>
        <v>266.49</v>
      </c>
      <c r="H84" s="151">
        <f ca="1">IF(RegimeExecucao="Global","",ORÇAMENTO!W84)</f>
        <v>0</v>
      </c>
      <c r="I84" s="154">
        <f ca="1">ORÇAMENTO!X84</f>
        <v>0</v>
      </c>
      <c r="J84" s="427">
        <f t="shared" ca="1" si="15"/>
        <v>0</v>
      </c>
      <c r="K84" s="151">
        <f t="shared" ca="1" si="16"/>
        <v>0</v>
      </c>
      <c r="L84" s="428">
        <f t="shared" ca="1" si="17"/>
        <v>0</v>
      </c>
      <c r="M84" s="429">
        <f ca="1">IF($A84="S",VTOTALBM,IF($A84=0,0,ROUND(SomaAgrupBM,15-13*ORÇAMENTO!$AF$11)))</f>
        <v>0</v>
      </c>
      <c r="N84" s="430">
        <f t="shared" ca="1" si="18"/>
        <v>0</v>
      </c>
      <c r="O84" s="154">
        <f ca="1">IF($A84="S",VTOTALBM,IF($A84=0,0,ROUND(SomaAgrupBM,15-13*ORÇAMENTO!$AF$11)))</f>
        <v>0</v>
      </c>
      <c r="Q84" s="431"/>
      <c r="R84" s="432"/>
      <c r="T84" s="146" t="str">
        <f t="shared" ca="1" si="19"/>
        <v/>
      </c>
      <c r="U84" s="206" t="str">
        <f t="shared" ca="1" si="20"/>
        <v/>
      </c>
      <c r="V84" s="207" t="str">
        <f t="shared" ca="1" si="21"/>
        <v/>
      </c>
      <c r="W84" s="634">
        <f ca="1">IF($Y84&gt;0,CHOOSE(MATCH(RegimeExecucao,{"Unitário","Global"},0),IF($A84="S",$Y84/$X84,""),($Y84/$X84)*100),0)</f>
        <v>0</v>
      </c>
      <c r="X84" s="433" t="str">
        <f ca="1">IF($Y84&gt;0,CHOOSE(MATCH(RegimeExecucao,{"Unitário","Global"},0),IF($A84="S",ROUND($H84,ORÇAMENTO!$AF$10),""),ROUND($I84,ORÇAMENTO!$AF$11)),"")</f>
        <v/>
      </c>
      <c r="Y84" s="433">
        <f t="shared" ca="1" si="22"/>
        <v>0</v>
      </c>
      <c r="Z84" s="434"/>
      <c r="AB84" s="431"/>
      <c r="AC84" s="599"/>
      <c r="AD84" s="599"/>
      <c r="AE84" s="599"/>
      <c r="AF84" s="599"/>
      <c r="AG84" s="599"/>
      <c r="AH84" s="599"/>
      <c r="AI84" s="599"/>
      <c r="AJ84" s="599"/>
      <c r="AK84" s="599"/>
      <c r="AL84" s="599"/>
      <c r="AM84" s="432"/>
      <c r="AO84">
        <f ca="1">IF($A84="S",IF(BM!$I84=0,0,CHOOSE(MATCH(RegimeExecucao,{"Global","Unitário"},0),ROUND(ROUND(BM.MEDAcumulado,15-13*BM!$A$9)/100*BM!$I84,15-13*ORÇAMENTO!$AF$11),ROUND(ROUND(BM.MEDAcumulado,15-13*BM!$A$9)*ROUND(BM!$H84,15-13*ORÇAMENTO!$AF$10),15-13*ORÇAMENTO!$AF$11))),IF($A84=0,0,ROUND(SomaAgrupBM,15-13*ORÇAMENTO!$AF$11)))</f>
        <v>0</v>
      </c>
    </row>
    <row r="85" spans="1:41" ht="13.8" x14ac:dyDescent="0.3">
      <c r="A85" t="str">
        <f ca="1">ORÇAMENTO!C85</f>
        <v>S</v>
      </c>
      <c r="B85">
        <f ca="1">ORÇAMENTO!D85</f>
        <v>0</v>
      </c>
      <c r="C85" s="143" t="str">
        <f t="shared" ca="1" si="12"/>
        <v/>
      </c>
      <c r="D85" s="146" t="str">
        <f ca="1">ORÇAMENTO!O85</f>
        <v>-</v>
      </c>
      <c r="E85" s="206" t="str">
        <f t="shared" ca="1" si="13"/>
        <v>(abra o arquivo 'Referência 05-2024.xls)</v>
      </c>
      <c r="F85" s="207" t="str">
        <f t="shared" ca="1" si="14"/>
        <v>-</v>
      </c>
      <c r="G85" s="151">
        <f ca="1">IF(RegimeExecucao="Global","",ORÇAMENTO!T85)</f>
        <v>2.87</v>
      </c>
      <c r="H85" s="151">
        <f ca="1">IF(RegimeExecucao="Global","",ORÇAMENTO!W85)</f>
        <v>0</v>
      </c>
      <c r="I85" s="154">
        <f ca="1">ORÇAMENTO!X85</f>
        <v>0</v>
      </c>
      <c r="J85" s="427">
        <f t="shared" ca="1" si="15"/>
        <v>0</v>
      </c>
      <c r="K85" s="151">
        <f t="shared" ca="1" si="16"/>
        <v>0</v>
      </c>
      <c r="L85" s="428">
        <f t="shared" ca="1" si="17"/>
        <v>0</v>
      </c>
      <c r="M85" s="429">
        <f ca="1">IF($A85="S",VTOTALBM,IF($A85=0,0,ROUND(SomaAgrupBM,15-13*ORÇAMENTO!$AF$11)))</f>
        <v>0</v>
      </c>
      <c r="N85" s="430">
        <f t="shared" ca="1" si="18"/>
        <v>0</v>
      </c>
      <c r="O85" s="154">
        <f ca="1">IF($A85="S",VTOTALBM,IF($A85=0,0,ROUND(SomaAgrupBM,15-13*ORÇAMENTO!$AF$11)))</f>
        <v>0</v>
      </c>
      <c r="Q85" s="431"/>
      <c r="R85" s="432"/>
      <c r="T85" s="146" t="str">
        <f t="shared" ca="1" si="19"/>
        <v/>
      </c>
      <c r="U85" s="206" t="str">
        <f t="shared" ca="1" si="20"/>
        <v/>
      </c>
      <c r="V85" s="207" t="str">
        <f t="shared" ca="1" si="21"/>
        <v/>
      </c>
      <c r="W85" s="634">
        <f ca="1">IF($Y85&gt;0,CHOOSE(MATCH(RegimeExecucao,{"Unitário","Global"},0),IF($A85="S",$Y85/$X85,""),($Y85/$X85)*100),0)</f>
        <v>0</v>
      </c>
      <c r="X85" s="433" t="str">
        <f ca="1">IF($Y85&gt;0,CHOOSE(MATCH(RegimeExecucao,{"Unitário","Global"},0),IF($A85="S",ROUND($H85,ORÇAMENTO!$AF$10),""),ROUND($I85,ORÇAMENTO!$AF$11)),"")</f>
        <v/>
      </c>
      <c r="Y85" s="433">
        <f t="shared" ca="1" si="22"/>
        <v>0</v>
      </c>
      <c r="Z85" s="434"/>
      <c r="AB85" s="431"/>
      <c r="AC85" s="599"/>
      <c r="AD85" s="599"/>
      <c r="AE85" s="599"/>
      <c r="AF85" s="599"/>
      <c r="AG85" s="599"/>
      <c r="AH85" s="599"/>
      <c r="AI85" s="599"/>
      <c r="AJ85" s="599"/>
      <c r="AK85" s="599"/>
      <c r="AL85" s="599"/>
      <c r="AM85" s="432"/>
      <c r="AO85">
        <f ca="1">IF($A85="S",IF(BM!$I85=0,0,CHOOSE(MATCH(RegimeExecucao,{"Global","Unitário"},0),ROUND(ROUND(BM.MEDAcumulado,15-13*BM!$A$9)/100*BM!$I85,15-13*ORÇAMENTO!$AF$11),ROUND(ROUND(BM.MEDAcumulado,15-13*BM!$A$9)*ROUND(BM!$H85,15-13*ORÇAMENTO!$AF$10),15-13*ORÇAMENTO!$AF$11))),IF($A85=0,0,ROUND(SomaAgrupBM,15-13*ORÇAMENTO!$AF$11)))</f>
        <v>0</v>
      </c>
    </row>
    <row r="86" spans="1:41" ht="26.4" x14ac:dyDescent="0.3">
      <c r="A86">
        <f ca="1">ORÇAMENTO!C86</f>
        <v>3</v>
      </c>
      <c r="B86">
        <f ca="1">ORÇAMENTO!D86</f>
        <v>6</v>
      </c>
      <c r="C86" s="143" t="str">
        <f t="shared" ca="1" si="12"/>
        <v>F</v>
      </c>
      <c r="D86" s="146" t="str">
        <f ca="1">ORÇAMENTO!O86</f>
        <v>1.3.6.</v>
      </c>
      <c r="E86" s="206" t="str">
        <f t="shared" si="13"/>
        <v>CONCRETO ARMADO PARA FUNDAÇÕES - VIGAS BALDRAMES - METÁLICA</v>
      </c>
      <c r="F86" s="207" t="str">
        <f t="shared" ca="1" si="14"/>
        <v>-</v>
      </c>
      <c r="G86" s="151">
        <f ca="1">IF(RegimeExecucao="Global","",ORÇAMENTO!T86)</f>
        <v>0</v>
      </c>
      <c r="H86" s="151">
        <f ca="1">IF(RegimeExecucao="Global","",ORÇAMENTO!W86)</f>
        <v>0</v>
      </c>
      <c r="I86" s="154">
        <f ca="1">ORÇAMENTO!X86</f>
        <v>0</v>
      </c>
      <c r="J86" s="427">
        <f t="shared" ca="1" si="15"/>
        <v>0</v>
      </c>
      <c r="K86" s="151">
        <f t="shared" ca="1" si="16"/>
        <v>0</v>
      </c>
      <c r="L86" s="428">
        <f t="shared" ca="1" si="17"/>
        <v>0</v>
      </c>
      <c r="M86" s="429">
        <f ca="1">IF($A86="S",VTOTALBM,IF($A86=0,0,ROUND(SomaAgrupBM,15-13*ORÇAMENTO!$AF$11)))</f>
        <v>0</v>
      </c>
      <c r="N86" s="430">
        <f t="shared" ca="1" si="18"/>
        <v>0</v>
      </c>
      <c r="O86" s="154">
        <f ca="1">IF($A86="S",VTOTALBM,IF($A86=0,0,ROUND(SomaAgrupBM,15-13*ORÇAMENTO!$AF$11)))</f>
        <v>0</v>
      </c>
      <c r="Q86" s="431"/>
      <c r="R86" s="432"/>
      <c r="T86" s="146" t="str">
        <f t="shared" ca="1" si="19"/>
        <v/>
      </c>
      <c r="U86" s="206" t="str">
        <f t="shared" ca="1" si="20"/>
        <v/>
      </c>
      <c r="V86" s="207" t="str">
        <f t="shared" ca="1" si="21"/>
        <v/>
      </c>
      <c r="W86" s="634">
        <f ca="1">IF($Y86&gt;0,CHOOSE(MATCH(RegimeExecucao,{"Unitário","Global"},0),IF($A86="S",$Y86/$X86,""),($Y86/$X86)*100),0)</f>
        <v>0</v>
      </c>
      <c r="X86" s="433" t="str">
        <f ca="1">IF($Y86&gt;0,CHOOSE(MATCH(RegimeExecucao,{"Unitário","Global"},0),IF($A86="S",ROUND($H86,ORÇAMENTO!$AF$10),""),ROUND($I86,ORÇAMENTO!$AF$11)),"")</f>
        <v/>
      </c>
      <c r="Y86" s="433">
        <f t="shared" ca="1" si="22"/>
        <v>0</v>
      </c>
      <c r="Z86" s="434"/>
      <c r="AB86" s="431"/>
      <c r="AC86" s="599"/>
      <c r="AD86" s="599"/>
      <c r="AE86" s="599"/>
      <c r="AF86" s="599"/>
      <c r="AG86" s="599"/>
      <c r="AH86" s="599"/>
      <c r="AI86" s="599"/>
      <c r="AJ86" s="599"/>
      <c r="AK86" s="599"/>
      <c r="AL86" s="599"/>
      <c r="AM86" s="432"/>
      <c r="AO86">
        <f ca="1">IF($A86="S",IF(BM!$I86=0,0,CHOOSE(MATCH(RegimeExecucao,{"Global","Unitário"},0),ROUND(ROUND(BM.MEDAcumulado,15-13*BM!$A$9)/100*BM!$I86,15-13*ORÇAMENTO!$AF$11),ROUND(ROUND(BM.MEDAcumulado,15-13*BM!$A$9)*ROUND(BM!$H86,15-13*ORÇAMENTO!$AF$10),15-13*ORÇAMENTO!$AF$11))),IF($A86=0,0,ROUND(SomaAgrupBM,15-13*ORÇAMENTO!$AF$11)))</f>
        <v>0</v>
      </c>
    </row>
    <row r="87" spans="1:41" ht="13.8" x14ac:dyDescent="0.3">
      <c r="A87" t="str">
        <f ca="1">ORÇAMENTO!C87</f>
        <v>S</v>
      </c>
      <c r="B87">
        <f ca="1">ORÇAMENTO!D87</f>
        <v>0</v>
      </c>
      <c r="C87" s="143" t="str">
        <f t="shared" ca="1" si="12"/>
        <v/>
      </c>
      <c r="D87" s="146" t="str">
        <f ca="1">ORÇAMENTO!O87</f>
        <v>-</v>
      </c>
      <c r="E87" s="206" t="str">
        <f t="shared" ca="1" si="13"/>
        <v>(abra o arquivo 'Referência 05-2024.xls)</v>
      </c>
      <c r="F87" s="207" t="str">
        <f t="shared" ca="1" si="14"/>
        <v>-</v>
      </c>
      <c r="G87" s="151">
        <f ca="1">IF(RegimeExecucao="Global","",ORÇAMENTO!T87)</f>
        <v>1.6</v>
      </c>
      <c r="H87" s="151">
        <f ca="1">IF(RegimeExecucao="Global","",ORÇAMENTO!W87)</f>
        <v>0</v>
      </c>
      <c r="I87" s="154">
        <f ca="1">ORÇAMENTO!X87</f>
        <v>0</v>
      </c>
      <c r="J87" s="427">
        <f t="shared" ca="1" si="15"/>
        <v>0</v>
      </c>
      <c r="K87" s="151">
        <f t="shared" ca="1" si="16"/>
        <v>0</v>
      </c>
      <c r="L87" s="428">
        <f t="shared" ca="1" si="17"/>
        <v>0</v>
      </c>
      <c r="M87" s="429">
        <f ca="1">IF($A87="S",VTOTALBM,IF($A87=0,0,ROUND(SomaAgrupBM,15-13*ORÇAMENTO!$AF$11)))</f>
        <v>0</v>
      </c>
      <c r="N87" s="430">
        <f t="shared" ca="1" si="18"/>
        <v>0</v>
      </c>
      <c r="O87" s="154">
        <f ca="1">IF($A87="S",VTOTALBM,IF($A87=0,0,ROUND(SomaAgrupBM,15-13*ORÇAMENTO!$AF$11)))</f>
        <v>0</v>
      </c>
      <c r="Q87" s="431"/>
      <c r="R87" s="432"/>
      <c r="T87" s="146" t="str">
        <f t="shared" ca="1" si="19"/>
        <v/>
      </c>
      <c r="U87" s="206" t="str">
        <f t="shared" ca="1" si="20"/>
        <v/>
      </c>
      <c r="V87" s="207" t="str">
        <f t="shared" ca="1" si="21"/>
        <v/>
      </c>
      <c r="W87" s="634">
        <f ca="1">IF($Y87&gt;0,CHOOSE(MATCH(RegimeExecucao,{"Unitário","Global"},0),IF($A87="S",$Y87/$X87,""),($Y87/$X87)*100),0)</f>
        <v>0</v>
      </c>
      <c r="X87" s="433" t="str">
        <f ca="1">IF($Y87&gt;0,CHOOSE(MATCH(RegimeExecucao,{"Unitário","Global"},0),IF($A87="S",ROUND($H87,ORÇAMENTO!$AF$10),""),ROUND($I87,ORÇAMENTO!$AF$11)),"")</f>
        <v/>
      </c>
      <c r="Y87" s="433">
        <f t="shared" ca="1" si="22"/>
        <v>0</v>
      </c>
      <c r="Z87" s="434"/>
      <c r="AB87" s="431"/>
      <c r="AC87" s="599"/>
      <c r="AD87" s="599"/>
      <c r="AE87" s="599"/>
      <c r="AF87" s="599"/>
      <c r="AG87" s="599"/>
      <c r="AH87" s="599"/>
      <c r="AI87" s="599"/>
      <c r="AJ87" s="599"/>
      <c r="AK87" s="599"/>
      <c r="AL87" s="599"/>
      <c r="AM87" s="432"/>
      <c r="AO87">
        <f ca="1">IF($A87="S",IF(BM!$I87=0,0,CHOOSE(MATCH(RegimeExecucao,{"Global","Unitário"},0),ROUND(ROUND(BM.MEDAcumulado,15-13*BM!$A$9)/100*BM!$I87,15-13*ORÇAMENTO!$AF$11),ROUND(ROUND(BM.MEDAcumulado,15-13*BM!$A$9)*ROUND(BM!$H87,15-13*ORÇAMENTO!$AF$10),15-13*ORÇAMENTO!$AF$11))),IF($A87=0,0,ROUND(SomaAgrupBM,15-13*ORÇAMENTO!$AF$11)))</f>
        <v>0</v>
      </c>
    </row>
    <row r="88" spans="1:41" ht="13.8" x14ac:dyDescent="0.3">
      <c r="A88" t="str">
        <f ca="1">ORÇAMENTO!C88</f>
        <v>S</v>
      </c>
      <c r="B88">
        <f ca="1">ORÇAMENTO!D88</f>
        <v>0</v>
      </c>
      <c r="C88" s="143" t="str">
        <f t="shared" ca="1" si="12"/>
        <v/>
      </c>
      <c r="D88" s="146" t="str">
        <f ca="1">ORÇAMENTO!O88</f>
        <v>-</v>
      </c>
      <c r="E88" s="206" t="str">
        <f t="shared" ca="1" si="13"/>
        <v>(abra o arquivo 'Referência 05-2024.xls)</v>
      </c>
      <c r="F88" s="207" t="str">
        <f t="shared" ca="1" si="14"/>
        <v>-</v>
      </c>
      <c r="G88" s="151">
        <f ca="1">IF(RegimeExecucao="Global","",ORÇAMENTO!T88)</f>
        <v>9.6</v>
      </c>
      <c r="H88" s="151">
        <f ca="1">IF(RegimeExecucao="Global","",ORÇAMENTO!W88)</f>
        <v>0</v>
      </c>
      <c r="I88" s="154">
        <f ca="1">ORÇAMENTO!X88</f>
        <v>0</v>
      </c>
      <c r="J88" s="427">
        <f t="shared" ca="1" si="15"/>
        <v>0</v>
      </c>
      <c r="K88" s="151">
        <f t="shared" ca="1" si="16"/>
        <v>0</v>
      </c>
      <c r="L88" s="428">
        <f t="shared" ca="1" si="17"/>
        <v>0</v>
      </c>
      <c r="M88" s="429">
        <f ca="1">IF($A88="S",VTOTALBM,IF($A88=0,0,ROUND(SomaAgrupBM,15-13*ORÇAMENTO!$AF$11)))</f>
        <v>0</v>
      </c>
      <c r="N88" s="430">
        <f t="shared" ca="1" si="18"/>
        <v>0</v>
      </c>
      <c r="O88" s="154">
        <f ca="1">IF($A88="S",VTOTALBM,IF($A88=0,0,ROUND(SomaAgrupBM,15-13*ORÇAMENTO!$AF$11)))</f>
        <v>0</v>
      </c>
      <c r="Q88" s="431"/>
      <c r="R88" s="432"/>
      <c r="T88" s="146" t="str">
        <f t="shared" ca="1" si="19"/>
        <v/>
      </c>
      <c r="U88" s="206" t="str">
        <f t="shared" ca="1" si="20"/>
        <v/>
      </c>
      <c r="V88" s="207" t="str">
        <f t="shared" ca="1" si="21"/>
        <v/>
      </c>
      <c r="W88" s="634">
        <f ca="1">IF($Y88&gt;0,CHOOSE(MATCH(RegimeExecucao,{"Unitário","Global"},0),IF($A88="S",$Y88/$X88,""),($Y88/$X88)*100),0)</f>
        <v>0</v>
      </c>
      <c r="X88" s="433" t="str">
        <f ca="1">IF($Y88&gt;0,CHOOSE(MATCH(RegimeExecucao,{"Unitário","Global"},0),IF($A88="S",ROUND($H88,ORÇAMENTO!$AF$10),""),ROUND($I88,ORÇAMENTO!$AF$11)),"")</f>
        <v/>
      </c>
      <c r="Y88" s="433">
        <f t="shared" ca="1" si="22"/>
        <v>0</v>
      </c>
      <c r="Z88" s="434"/>
      <c r="AB88" s="431"/>
      <c r="AC88" s="599"/>
      <c r="AD88" s="599"/>
      <c r="AE88" s="599"/>
      <c r="AF88" s="599"/>
      <c r="AG88" s="599"/>
      <c r="AH88" s="599"/>
      <c r="AI88" s="599"/>
      <c r="AJ88" s="599"/>
      <c r="AK88" s="599"/>
      <c r="AL88" s="599"/>
      <c r="AM88" s="432"/>
      <c r="AO88">
        <f ca="1">IF($A88="S",IF(BM!$I88=0,0,CHOOSE(MATCH(RegimeExecucao,{"Global","Unitário"},0),ROUND(ROUND(BM.MEDAcumulado,15-13*BM!$A$9)/100*BM!$I88,15-13*ORÇAMENTO!$AF$11),ROUND(ROUND(BM.MEDAcumulado,15-13*BM!$A$9)*ROUND(BM!$H88,15-13*ORÇAMENTO!$AF$10),15-13*ORÇAMENTO!$AF$11))),IF($A88=0,0,ROUND(SomaAgrupBM,15-13*ORÇAMENTO!$AF$11)))</f>
        <v>0</v>
      </c>
    </row>
    <row r="89" spans="1:41" ht="13.8" x14ac:dyDescent="0.3">
      <c r="A89" t="str">
        <f ca="1">ORÇAMENTO!C89</f>
        <v>S</v>
      </c>
      <c r="B89">
        <f ca="1">ORÇAMENTO!D89</f>
        <v>0</v>
      </c>
      <c r="C89" s="143" t="str">
        <f t="shared" ca="1" si="12"/>
        <v/>
      </c>
      <c r="D89" s="146" t="str">
        <f ca="1">ORÇAMENTO!O89</f>
        <v>-</v>
      </c>
      <c r="E89" s="206" t="str">
        <f t="shared" ca="1" si="13"/>
        <v>(abra o arquivo 'Referência 05-2024.xls)</v>
      </c>
      <c r="F89" s="207" t="str">
        <f t="shared" ca="1" si="14"/>
        <v>-</v>
      </c>
      <c r="G89" s="151">
        <f ca="1">IF(RegimeExecucao="Global","",ORÇAMENTO!T89)</f>
        <v>22.46</v>
      </c>
      <c r="H89" s="151">
        <f ca="1">IF(RegimeExecucao="Global","",ORÇAMENTO!W89)</f>
        <v>0</v>
      </c>
      <c r="I89" s="154">
        <f ca="1">ORÇAMENTO!X89</f>
        <v>0</v>
      </c>
      <c r="J89" s="427">
        <f t="shared" ca="1" si="15"/>
        <v>0</v>
      </c>
      <c r="K89" s="151">
        <f t="shared" ca="1" si="16"/>
        <v>0</v>
      </c>
      <c r="L89" s="428">
        <f t="shared" ca="1" si="17"/>
        <v>0</v>
      </c>
      <c r="M89" s="429">
        <f ca="1">IF($A89="S",VTOTALBM,IF($A89=0,0,ROUND(SomaAgrupBM,15-13*ORÇAMENTO!$AF$11)))</f>
        <v>0</v>
      </c>
      <c r="N89" s="430">
        <f t="shared" ca="1" si="18"/>
        <v>0</v>
      </c>
      <c r="O89" s="154">
        <f ca="1">IF($A89="S",VTOTALBM,IF($A89=0,0,ROUND(SomaAgrupBM,15-13*ORÇAMENTO!$AF$11)))</f>
        <v>0</v>
      </c>
      <c r="Q89" s="431"/>
      <c r="R89" s="432"/>
      <c r="T89" s="146" t="str">
        <f t="shared" ca="1" si="19"/>
        <v/>
      </c>
      <c r="U89" s="206" t="str">
        <f t="shared" ca="1" si="20"/>
        <v/>
      </c>
      <c r="V89" s="207" t="str">
        <f t="shared" ca="1" si="21"/>
        <v/>
      </c>
      <c r="W89" s="634">
        <f ca="1">IF($Y89&gt;0,CHOOSE(MATCH(RegimeExecucao,{"Unitário","Global"},0),IF($A89="S",$Y89/$X89,""),($Y89/$X89)*100),0)</f>
        <v>0</v>
      </c>
      <c r="X89" s="433" t="str">
        <f ca="1">IF($Y89&gt;0,CHOOSE(MATCH(RegimeExecucao,{"Unitário","Global"},0),IF($A89="S",ROUND($H89,ORÇAMENTO!$AF$10),""),ROUND($I89,ORÇAMENTO!$AF$11)),"")</f>
        <v/>
      </c>
      <c r="Y89" s="433">
        <f t="shared" ca="1" si="22"/>
        <v>0</v>
      </c>
      <c r="Z89" s="434"/>
      <c r="AB89" s="431"/>
      <c r="AC89" s="599"/>
      <c r="AD89" s="599"/>
      <c r="AE89" s="599"/>
      <c r="AF89" s="599"/>
      <c r="AG89" s="599"/>
      <c r="AH89" s="599"/>
      <c r="AI89" s="599"/>
      <c r="AJ89" s="599"/>
      <c r="AK89" s="599"/>
      <c r="AL89" s="599"/>
      <c r="AM89" s="432"/>
      <c r="AO89">
        <f ca="1">IF($A89="S",IF(BM!$I89=0,0,CHOOSE(MATCH(RegimeExecucao,{"Global","Unitário"},0),ROUND(ROUND(BM.MEDAcumulado,15-13*BM!$A$9)/100*BM!$I89,15-13*ORÇAMENTO!$AF$11),ROUND(ROUND(BM.MEDAcumulado,15-13*BM!$A$9)*ROUND(BM!$H89,15-13*ORÇAMENTO!$AF$10),15-13*ORÇAMENTO!$AF$11))),IF($A89=0,0,ROUND(SomaAgrupBM,15-13*ORÇAMENTO!$AF$11)))</f>
        <v>0</v>
      </c>
    </row>
    <row r="90" spans="1:41" ht="13.8" x14ac:dyDescent="0.3">
      <c r="A90" t="str">
        <f ca="1">ORÇAMENTO!C90</f>
        <v>S</v>
      </c>
      <c r="B90">
        <f ca="1">ORÇAMENTO!D90</f>
        <v>0</v>
      </c>
      <c r="C90" s="143" t="str">
        <f t="shared" ca="1" si="12"/>
        <v/>
      </c>
      <c r="D90" s="146" t="str">
        <f ca="1">ORÇAMENTO!O90</f>
        <v>-</v>
      </c>
      <c r="E90" s="206" t="str">
        <f t="shared" ca="1" si="13"/>
        <v>(abra o arquivo 'Referência 05-2024.xls)</v>
      </c>
      <c r="F90" s="207" t="str">
        <f t="shared" ca="1" si="14"/>
        <v>-</v>
      </c>
      <c r="G90" s="151">
        <f ca="1">IF(RegimeExecucao="Global","",ORÇAMENTO!T90)</f>
        <v>10.58</v>
      </c>
      <c r="H90" s="151">
        <f ca="1">IF(RegimeExecucao="Global","",ORÇAMENTO!W90)</f>
        <v>0</v>
      </c>
      <c r="I90" s="154">
        <f ca="1">ORÇAMENTO!X90</f>
        <v>0</v>
      </c>
      <c r="J90" s="427">
        <f t="shared" ca="1" si="15"/>
        <v>0</v>
      </c>
      <c r="K90" s="151">
        <f t="shared" ca="1" si="16"/>
        <v>0</v>
      </c>
      <c r="L90" s="428">
        <f t="shared" ca="1" si="17"/>
        <v>0</v>
      </c>
      <c r="M90" s="429">
        <f ca="1">IF($A90="S",VTOTALBM,IF($A90=0,0,ROUND(SomaAgrupBM,15-13*ORÇAMENTO!$AF$11)))</f>
        <v>0</v>
      </c>
      <c r="N90" s="430">
        <f t="shared" ca="1" si="18"/>
        <v>0</v>
      </c>
      <c r="O90" s="154">
        <f ca="1">IF($A90="S",VTOTALBM,IF($A90=0,0,ROUND(SomaAgrupBM,15-13*ORÇAMENTO!$AF$11)))</f>
        <v>0</v>
      </c>
      <c r="Q90" s="431"/>
      <c r="R90" s="432"/>
      <c r="T90" s="146" t="str">
        <f t="shared" ca="1" si="19"/>
        <v/>
      </c>
      <c r="U90" s="206" t="str">
        <f t="shared" ca="1" si="20"/>
        <v/>
      </c>
      <c r="V90" s="207" t="str">
        <f t="shared" ca="1" si="21"/>
        <v/>
      </c>
      <c r="W90" s="634">
        <f ca="1">IF($Y90&gt;0,CHOOSE(MATCH(RegimeExecucao,{"Unitário","Global"},0),IF($A90="S",$Y90/$X90,""),($Y90/$X90)*100),0)</f>
        <v>0</v>
      </c>
      <c r="X90" s="433" t="str">
        <f ca="1">IF($Y90&gt;0,CHOOSE(MATCH(RegimeExecucao,{"Unitário","Global"},0),IF($A90="S",ROUND($H90,ORÇAMENTO!$AF$10),""),ROUND($I90,ORÇAMENTO!$AF$11)),"")</f>
        <v/>
      </c>
      <c r="Y90" s="433">
        <f t="shared" ca="1" si="22"/>
        <v>0</v>
      </c>
      <c r="Z90" s="434"/>
      <c r="AB90" s="431"/>
      <c r="AC90" s="599"/>
      <c r="AD90" s="599"/>
      <c r="AE90" s="599"/>
      <c r="AF90" s="599"/>
      <c r="AG90" s="599"/>
      <c r="AH90" s="599"/>
      <c r="AI90" s="599"/>
      <c r="AJ90" s="599"/>
      <c r="AK90" s="599"/>
      <c r="AL90" s="599"/>
      <c r="AM90" s="432"/>
      <c r="AO90">
        <f ca="1">IF($A90="S",IF(BM!$I90=0,0,CHOOSE(MATCH(RegimeExecucao,{"Global","Unitário"},0),ROUND(ROUND(BM.MEDAcumulado,15-13*BM!$A$9)/100*BM!$I90,15-13*ORÇAMENTO!$AF$11),ROUND(ROUND(BM.MEDAcumulado,15-13*BM!$A$9)*ROUND(BM!$H90,15-13*ORÇAMENTO!$AF$10),15-13*ORÇAMENTO!$AF$11))),IF($A90=0,0,ROUND(SomaAgrupBM,15-13*ORÇAMENTO!$AF$11)))</f>
        <v>0</v>
      </c>
    </row>
    <row r="91" spans="1:41" ht="13.8" x14ac:dyDescent="0.3">
      <c r="A91" t="str">
        <f ca="1">ORÇAMENTO!C91</f>
        <v>S</v>
      </c>
      <c r="B91">
        <f ca="1">ORÇAMENTO!D91</f>
        <v>0</v>
      </c>
      <c r="C91" s="143" t="str">
        <f t="shared" ca="1" si="12"/>
        <v/>
      </c>
      <c r="D91" s="146" t="str">
        <f ca="1">ORÇAMENTO!O91</f>
        <v>-</v>
      </c>
      <c r="E91" s="206" t="str">
        <f t="shared" ca="1" si="13"/>
        <v>(abra o arquivo 'Referência 05-2024.xls)</v>
      </c>
      <c r="F91" s="207" t="str">
        <f t="shared" ca="1" si="14"/>
        <v>-</v>
      </c>
      <c r="G91" s="151">
        <f ca="1">IF(RegimeExecucao="Global","",ORÇAMENTO!T91)</f>
        <v>0.96</v>
      </c>
      <c r="H91" s="151">
        <f ca="1">IF(RegimeExecucao="Global","",ORÇAMENTO!W91)</f>
        <v>0</v>
      </c>
      <c r="I91" s="154">
        <f ca="1">ORÇAMENTO!X91</f>
        <v>0</v>
      </c>
      <c r="J91" s="427">
        <f t="shared" ca="1" si="15"/>
        <v>0</v>
      </c>
      <c r="K91" s="151">
        <f t="shared" ca="1" si="16"/>
        <v>0</v>
      </c>
      <c r="L91" s="428">
        <f t="shared" ca="1" si="17"/>
        <v>0</v>
      </c>
      <c r="M91" s="429">
        <f ca="1">IF($A91="S",VTOTALBM,IF($A91=0,0,ROUND(SomaAgrupBM,15-13*ORÇAMENTO!$AF$11)))</f>
        <v>0</v>
      </c>
      <c r="N91" s="430">
        <f t="shared" ca="1" si="18"/>
        <v>0</v>
      </c>
      <c r="O91" s="154">
        <f ca="1">IF($A91="S",VTOTALBM,IF($A91=0,0,ROUND(SomaAgrupBM,15-13*ORÇAMENTO!$AF$11)))</f>
        <v>0</v>
      </c>
      <c r="Q91" s="431"/>
      <c r="R91" s="432"/>
      <c r="T91" s="146" t="str">
        <f t="shared" ca="1" si="19"/>
        <v/>
      </c>
      <c r="U91" s="206" t="str">
        <f t="shared" ca="1" si="20"/>
        <v/>
      </c>
      <c r="V91" s="207" t="str">
        <f t="shared" ca="1" si="21"/>
        <v/>
      </c>
      <c r="W91" s="634">
        <f ca="1">IF($Y91&gt;0,CHOOSE(MATCH(RegimeExecucao,{"Unitário","Global"},0),IF($A91="S",$Y91/$X91,""),($Y91/$X91)*100),0)</f>
        <v>0</v>
      </c>
      <c r="X91" s="433" t="str">
        <f ca="1">IF($Y91&gt;0,CHOOSE(MATCH(RegimeExecucao,{"Unitário","Global"},0),IF($A91="S",ROUND($H91,ORÇAMENTO!$AF$10),""),ROUND($I91,ORÇAMENTO!$AF$11)),"")</f>
        <v/>
      </c>
      <c r="Y91" s="433">
        <f t="shared" ca="1" si="22"/>
        <v>0</v>
      </c>
      <c r="Z91" s="434"/>
      <c r="AB91" s="431"/>
      <c r="AC91" s="599"/>
      <c r="AD91" s="599"/>
      <c r="AE91" s="599"/>
      <c r="AF91" s="599"/>
      <c r="AG91" s="599"/>
      <c r="AH91" s="599"/>
      <c r="AI91" s="599"/>
      <c r="AJ91" s="599"/>
      <c r="AK91" s="599"/>
      <c r="AL91" s="599"/>
      <c r="AM91" s="432"/>
      <c r="AO91">
        <f ca="1">IF($A91="S",IF(BM!$I91=0,0,CHOOSE(MATCH(RegimeExecucao,{"Global","Unitário"},0),ROUND(ROUND(BM.MEDAcumulado,15-13*BM!$A$9)/100*BM!$I91,15-13*ORÇAMENTO!$AF$11),ROUND(ROUND(BM.MEDAcumulado,15-13*BM!$A$9)*ROUND(BM!$H91,15-13*ORÇAMENTO!$AF$10),15-13*ORÇAMENTO!$AF$11))),IF($A91=0,0,ROUND(SomaAgrupBM,15-13*ORÇAMENTO!$AF$11)))</f>
        <v>0</v>
      </c>
    </row>
    <row r="92" spans="1:41" ht="13.8" x14ac:dyDescent="0.3">
      <c r="A92">
        <f ca="1">ORÇAMENTO!C92</f>
        <v>2</v>
      </c>
      <c r="B92">
        <f ca="1">ORÇAMENTO!D92</f>
        <v>60</v>
      </c>
      <c r="C92" s="143" t="str">
        <f t="shared" ca="1" si="12"/>
        <v>F</v>
      </c>
      <c r="D92" s="146" t="str">
        <f ca="1">ORÇAMENTO!O92</f>
        <v>1.4.</v>
      </c>
      <c r="E92" s="206" t="str">
        <f t="shared" si="13"/>
        <v xml:space="preserve">SUPERESTRUTURA </v>
      </c>
      <c r="F92" s="207" t="str">
        <f t="shared" ca="1" si="14"/>
        <v>-</v>
      </c>
      <c r="G92" s="151">
        <f ca="1">IF(RegimeExecucao="Global","",ORÇAMENTO!T92)</f>
        <v>0</v>
      </c>
      <c r="H92" s="151">
        <f ca="1">IF(RegimeExecucao="Global","",ORÇAMENTO!W92)</f>
        <v>0</v>
      </c>
      <c r="I92" s="154">
        <f ca="1">ORÇAMENTO!X92</f>
        <v>0</v>
      </c>
      <c r="J92" s="427">
        <f t="shared" ca="1" si="15"/>
        <v>0</v>
      </c>
      <c r="K92" s="151">
        <f t="shared" ca="1" si="16"/>
        <v>0</v>
      </c>
      <c r="L92" s="428">
        <f t="shared" ca="1" si="17"/>
        <v>0</v>
      </c>
      <c r="M92" s="429">
        <f ca="1">IF($A92="S",VTOTALBM,IF($A92=0,0,ROUND(SomaAgrupBM,15-13*ORÇAMENTO!$AF$11)))</f>
        <v>0</v>
      </c>
      <c r="N92" s="430">
        <f t="shared" ca="1" si="18"/>
        <v>0</v>
      </c>
      <c r="O92" s="154">
        <f ca="1">IF($A92="S",VTOTALBM,IF($A92=0,0,ROUND(SomaAgrupBM,15-13*ORÇAMENTO!$AF$11)))</f>
        <v>0</v>
      </c>
      <c r="Q92" s="431"/>
      <c r="R92" s="432"/>
      <c r="T92" s="146" t="str">
        <f t="shared" ca="1" si="19"/>
        <v/>
      </c>
      <c r="U92" s="206" t="str">
        <f t="shared" ca="1" si="20"/>
        <v/>
      </c>
      <c r="V92" s="207" t="str">
        <f t="shared" ca="1" si="21"/>
        <v/>
      </c>
      <c r="W92" s="634">
        <f ca="1">IF($Y92&gt;0,CHOOSE(MATCH(RegimeExecucao,{"Unitário","Global"},0),IF($A92="S",$Y92/$X92,""),($Y92/$X92)*100),0)</f>
        <v>0</v>
      </c>
      <c r="X92" s="433" t="str">
        <f ca="1">IF($Y92&gt;0,CHOOSE(MATCH(RegimeExecucao,{"Unitário","Global"},0),IF($A92="S",ROUND($H92,ORÇAMENTO!$AF$10),""),ROUND($I92,ORÇAMENTO!$AF$11)),"")</f>
        <v/>
      </c>
      <c r="Y92" s="433">
        <f t="shared" ca="1" si="22"/>
        <v>0</v>
      </c>
      <c r="Z92" s="434"/>
      <c r="AB92" s="431"/>
      <c r="AC92" s="599"/>
      <c r="AD92" s="599"/>
      <c r="AE92" s="599"/>
      <c r="AF92" s="599"/>
      <c r="AG92" s="599"/>
      <c r="AH92" s="599"/>
      <c r="AI92" s="599"/>
      <c r="AJ92" s="599"/>
      <c r="AK92" s="599"/>
      <c r="AL92" s="599"/>
      <c r="AM92" s="432"/>
      <c r="AO92">
        <f ca="1">IF($A92="S",IF(BM!$I92=0,0,CHOOSE(MATCH(RegimeExecucao,{"Global","Unitário"},0),ROUND(ROUND(BM.MEDAcumulado,15-13*BM!$A$9)/100*BM!$I92,15-13*ORÇAMENTO!$AF$11),ROUND(ROUND(BM.MEDAcumulado,15-13*BM!$A$9)*ROUND(BM!$H92,15-13*ORÇAMENTO!$AF$10),15-13*ORÇAMENTO!$AF$11))),IF($A92=0,0,ROUND(SomaAgrupBM,15-13*ORÇAMENTO!$AF$11)))</f>
        <v>0</v>
      </c>
    </row>
    <row r="93" spans="1:41" ht="13.8" x14ac:dyDescent="0.3">
      <c r="A93">
        <f ca="1">ORÇAMENTO!C93</f>
        <v>3</v>
      </c>
      <c r="B93">
        <f ca="1">ORÇAMENTO!D93</f>
        <v>9</v>
      </c>
      <c r="C93" s="143" t="str">
        <f t="shared" ca="1" si="12"/>
        <v>F</v>
      </c>
      <c r="D93" s="146" t="str">
        <f ca="1">ORÇAMENTO!O93</f>
        <v>1.4.1.</v>
      </c>
      <c r="E93" s="206" t="str">
        <f t="shared" si="13"/>
        <v>CONCRETO ARMADO - PILARES</v>
      </c>
      <c r="F93" s="207" t="str">
        <f t="shared" ca="1" si="14"/>
        <v>-</v>
      </c>
      <c r="G93" s="151">
        <f ca="1">IF(RegimeExecucao="Global","",ORÇAMENTO!T93)</f>
        <v>0</v>
      </c>
      <c r="H93" s="151">
        <f ca="1">IF(RegimeExecucao="Global","",ORÇAMENTO!W93)</f>
        <v>0</v>
      </c>
      <c r="I93" s="154">
        <f ca="1">ORÇAMENTO!X93</f>
        <v>0</v>
      </c>
      <c r="J93" s="427">
        <f t="shared" ca="1" si="15"/>
        <v>0</v>
      </c>
      <c r="K93" s="151">
        <f t="shared" ca="1" si="16"/>
        <v>0</v>
      </c>
      <c r="L93" s="428">
        <f t="shared" ca="1" si="17"/>
        <v>0</v>
      </c>
      <c r="M93" s="429">
        <f ca="1">IF($A93="S",VTOTALBM,IF($A93=0,0,ROUND(SomaAgrupBM,15-13*ORÇAMENTO!$AF$11)))</f>
        <v>0</v>
      </c>
      <c r="N93" s="430">
        <f t="shared" ca="1" si="18"/>
        <v>0</v>
      </c>
      <c r="O93" s="154">
        <f ca="1">IF($A93="S",VTOTALBM,IF($A93=0,0,ROUND(SomaAgrupBM,15-13*ORÇAMENTO!$AF$11)))</f>
        <v>0</v>
      </c>
      <c r="Q93" s="431"/>
      <c r="R93" s="432"/>
      <c r="T93" s="146" t="str">
        <f t="shared" ca="1" si="19"/>
        <v/>
      </c>
      <c r="U93" s="206" t="str">
        <f t="shared" ca="1" si="20"/>
        <v/>
      </c>
      <c r="V93" s="207" t="str">
        <f t="shared" ca="1" si="21"/>
        <v/>
      </c>
      <c r="W93" s="634">
        <f ca="1">IF($Y93&gt;0,CHOOSE(MATCH(RegimeExecucao,{"Unitário","Global"},0),IF($A93="S",$Y93/$X93,""),($Y93/$X93)*100),0)</f>
        <v>0</v>
      </c>
      <c r="X93" s="433" t="str">
        <f ca="1">IF($Y93&gt;0,CHOOSE(MATCH(RegimeExecucao,{"Unitário","Global"},0),IF($A93="S",ROUND($H93,ORÇAMENTO!$AF$10),""),ROUND($I93,ORÇAMENTO!$AF$11)),"")</f>
        <v/>
      </c>
      <c r="Y93" s="433">
        <f t="shared" ca="1" si="22"/>
        <v>0</v>
      </c>
      <c r="Z93" s="434"/>
      <c r="AB93" s="431"/>
      <c r="AC93" s="599"/>
      <c r="AD93" s="599"/>
      <c r="AE93" s="599"/>
      <c r="AF93" s="599"/>
      <c r="AG93" s="599"/>
      <c r="AH93" s="599"/>
      <c r="AI93" s="599"/>
      <c r="AJ93" s="599"/>
      <c r="AK93" s="599"/>
      <c r="AL93" s="599"/>
      <c r="AM93" s="432"/>
      <c r="AO93">
        <f ca="1">IF($A93="S",IF(BM!$I93=0,0,CHOOSE(MATCH(RegimeExecucao,{"Global","Unitário"},0),ROUND(ROUND(BM.MEDAcumulado,15-13*BM!$A$9)/100*BM!$I93,15-13*ORÇAMENTO!$AF$11),ROUND(ROUND(BM.MEDAcumulado,15-13*BM!$A$9)*ROUND(BM!$H93,15-13*ORÇAMENTO!$AF$10),15-13*ORÇAMENTO!$AF$11))),IF($A93=0,0,ROUND(SomaAgrupBM,15-13*ORÇAMENTO!$AF$11)))</f>
        <v>0</v>
      </c>
    </row>
    <row r="94" spans="1:41" ht="13.8" x14ac:dyDescent="0.3">
      <c r="A94" t="str">
        <f ca="1">ORÇAMENTO!C94</f>
        <v>S</v>
      </c>
      <c r="B94">
        <f ca="1">ORÇAMENTO!D94</f>
        <v>0</v>
      </c>
      <c r="C94" s="143" t="str">
        <f t="shared" ca="1" si="12"/>
        <v/>
      </c>
      <c r="D94" s="146" t="str">
        <f ca="1">ORÇAMENTO!O94</f>
        <v>-</v>
      </c>
      <c r="E94" s="206" t="str">
        <f t="shared" ca="1" si="13"/>
        <v>(abra o arquivo 'Referência 05-2024.xls)</v>
      </c>
      <c r="F94" s="207" t="str">
        <f t="shared" ca="1" si="14"/>
        <v>-</v>
      </c>
      <c r="G94" s="151">
        <f ca="1">IF(RegimeExecucao="Global","",ORÇAMENTO!T94)</f>
        <v>886.58</v>
      </c>
      <c r="H94" s="151">
        <f ca="1">IF(RegimeExecucao="Global","",ORÇAMENTO!W94)</f>
        <v>0</v>
      </c>
      <c r="I94" s="154">
        <f ca="1">ORÇAMENTO!X94</f>
        <v>0</v>
      </c>
      <c r="J94" s="427">
        <f t="shared" ca="1" si="15"/>
        <v>0</v>
      </c>
      <c r="K94" s="151">
        <f t="shared" ca="1" si="16"/>
        <v>0</v>
      </c>
      <c r="L94" s="428">
        <f t="shared" ca="1" si="17"/>
        <v>0</v>
      </c>
      <c r="M94" s="429">
        <f ca="1">IF($A94="S",VTOTALBM,IF($A94=0,0,ROUND(SomaAgrupBM,15-13*ORÇAMENTO!$AF$11)))</f>
        <v>0</v>
      </c>
      <c r="N94" s="430">
        <f t="shared" ca="1" si="18"/>
        <v>0</v>
      </c>
      <c r="O94" s="154">
        <f ca="1">IF($A94="S",VTOTALBM,IF($A94=0,0,ROUND(SomaAgrupBM,15-13*ORÇAMENTO!$AF$11)))</f>
        <v>0</v>
      </c>
      <c r="Q94" s="431"/>
      <c r="R94" s="432"/>
      <c r="T94" s="146" t="str">
        <f t="shared" ca="1" si="19"/>
        <v/>
      </c>
      <c r="U94" s="206" t="str">
        <f t="shared" ca="1" si="20"/>
        <v/>
      </c>
      <c r="V94" s="207" t="str">
        <f t="shared" ca="1" si="21"/>
        <v/>
      </c>
      <c r="W94" s="634">
        <f ca="1">IF($Y94&gt;0,CHOOSE(MATCH(RegimeExecucao,{"Unitário","Global"},0),IF($A94="S",$Y94/$X94,""),($Y94/$X94)*100),0)</f>
        <v>0</v>
      </c>
      <c r="X94" s="433" t="str">
        <f ca="1">IF($Y94&gt;0,CHOOSE(MATCH(RegimeExecucao,{"Unitário","Global"},0),IF($A94="S",ROUND($H94,ORÇAMENTO!$AF$10),""),ROUND($I94,ORÇAMENTO!$AF$11)),"")</f>
        <v/>
      </c>
      <c r="Y94" s="433">
        <f t="shared" ca="1" si="22"/>
        <v>0</v>
      </c>
      <c r="Z94" s="434"/>
      <c r="AB94" s="431"/>
      <c r="AC94" s="599"/>
      <c r="AD94" s="599"/>
      <c r="AE94" s="599"/>
      <c r="AF94" s="599"/>
      <c r="AG94" s="599"/>
      <c r="AH94" s="599"/>
      <c r="AI94" s="599"/>
      <c r="AJ94" s="599"/>
      <c r="AK94" s="599"/>
      <c r="AL94" s="599"/>
      <c r="AM94" s="432"/>
      <c r="AO94">
        <f ca="1">IF($A94="S",IF(BM!$I94=0,0,CHOOSE(MATCH(RegimeExecucao,{"Global","Unitário"},0),ROUND(ROUND(BM.MEDAcumulado,15-13*BM!$A$9)/100*BM!$I94,15-13*ORÇAMENTO!$AF$11),ROUND(ROUND(BM.MEDAcumulado,15-13*BM!$A$9)*ROUND(BM!$H94,15-13*ORÇAMENTO!$AF$10),15-13*ORÇAMENTO!$AF$11))),IF($A94=0,0,ROUND(SomaAgrupBM,15-13*ORÇAMENTO!$AF$11)))</f>
        <v>0</v>
      </c>
    </row>
    <row r="95" spans="1:41" ht="13.8" x14ac:dyDescent="0.3">
      <c r="A95" t="str">
        <f ca="1">ORÇAMENTO!C95</f>
        <v>S</v>
      </c>
      <c r="B95">
        <f ca="1">ORÇAMENTO!D95</f>
        <v>0</v>
      </c>
      <c r="C95" s="143" t="str">
        <f t="shared" ca="1" si="12"/>
        <v/>
      </c>
      <c r="D95" s="146" t="str">
        <f ca="1">ORÇAMENTO!O95</f>
        <v>-</v>
      </c>
      <c r="E95" s="206" t="str">
        <f t="shared" ca="1" si="13"/>
        <v>(abra o arquivo 'Referência 05-2024.xls)</v>
      </c>
      <c r="F95" s="207" t="str">
        <f t="shared" ca="1" si="14"/>
        <v>-</v>
      </c>
      <c r="G95" s="151">
        <f ca="1">IF(RegimeExecucao="Global","",ORÇAMENTO!T95)</f>
        <v>3.98</v>
      </c>
      <c r="H95" s="151">
        <f ca="1">IF(RegimeExecucao="Global","",ORÇAMENTO!W95)</f>
        <v>0</v>
      </c>
      <c r="I95" s="154">
        <f ca="1">ORÇAMENTO!X95</f>
        <v>0</v>
      </c>
      <c r="J95" s="427">
        <f t="shared" ca="1" si="15"/>
        <v>0</v>
      </c>
      <c r="K95" s="151">
        <f t="shared" ca="1" si="16"/>
        <v>0</v>
      </c>
      <c r="L95" s="428">
        <f t="shared" ca="1" si="17"/>
        <v>0</v>
      </c>
      <c r="M95" s="429">
        <f ca="1">IF($A95="S",VTOTALBM,IF($A95=0,0,ROUND(SomaAgrupBM,15-13*ORÇAMENTO!$AF$11)))</f>
        <v>0</v>
      </c>
      <c r="N95" s="430">
        <f t="shared" ca="1" si="18"/>
        <v>0</v>
      </c>
      <c r="O95" s="154">
        <f ca="1">IF($A95="S",VTOTALBM,IF($A95=0,0,ROUND(SomaAgrupBM,15-13*ORÇAMENTO!$AF$11)))</f>
        <v>0</v>
      </c>
      <c r="Q95" s="431"/>
      <c r="R95" s="432"/>
      <c r="T95" s="146" t="str">
        <f t="shared" ca="1" si="19"/>
        <v/>
      </c>
      <c r="U95" s="206" t="str">
        <f t="shared" ca="1" si="20"/>
        <v/>
      </c>
      <c r="V95" s="207" t="str">
        <f t="shared" ca="1" si="21"/>
        <v/>
      </c>
      <c r="W95" s="634">
        <f ca="1">IF($Y95&gt;0,CHOOSE(MATCH(RegimeExecucao,{"Unitário","Global"},0),IF($A95="S",$Y95/$X95,""),($Y95/$X95)*100),0)</f>
        <v>0</v>
      </c>
      <c r="X95" s="433" t="str">
        <f ca="1">IF($Y95&gt;0,CHOOSE(MATCH(RegimeExecucao,{"Unitário","Global"},0),IF($A95="S",ROUND($H95,ORÇAMENTO!$AF$10),""),ROUND($I95,ORÇAMENTO!$AF$11)),"")</f>
        <v/>
      </c>
      <c r="Y95" s="433">
        <f t="shared" ca="1" si="22"/>
        <v>0</v>
      </c>
      <c r="Z95" s="434"/>
      <c r="AB95" s="431"/>
      <c r="AC95" s="599"/>
      <c r="AD95" s="599"/>
      <c r="AE95" s="599"/>
      <c r="AF95" s="599"/>
      <c r="AG95" s="599"/>
      <c r="AH95" s="599"/>
      <c r="AI95" s="599"/>
      <c r="AJ95" s="599"/>
      <c r="AK95" s="599"/>
      <c r="AL95" s="599"/>
      <c r="AM95" s="432"/>
      <c r="AO95">
        <f ca="1">IF($A95="S",IF(BM!$I95=0,0,CHOOSE(MATCH(RegimeExecucao,{"Global","Unitário"},0),ROUND(ROUND(BM.MEDAcumulado,15-13*BM!$A$9)/100*BM!$I95,15-13*ORÇAMENTO!$AF$11),ROUND(ROUND(BM.MEDAcumulado,15-13*BM!$A$9)*ROUND(BM!$H95,15-13*ORÇAMENTO!$AF$10),15-13*ORÇAMENTO!$AF$11))),IF($A95=0,0,ROUND(SomaAgrupBM,15-13*ORÇAMENTO!$AF$11)))</f>
        <v>0</v>
      </c>
    </row>
    <row r="96" spans="1:41" ht="13.8" x14ac:dyDescent="0.3">
      <c r="A96" t="str">
        <f ca="1">ORÇAMENTO!C96</f>
        <v>S</v>
      </c>
      <c r="B96">
        <f ca="1">ORÇAMENTO!D96</f>
        <v>0</v>
      </c>
      <c r="C96" s="143" t="str">
        <f t="shared" ca="1" si="12"/>
        <v/>
      </c>
      <c r="D96" s="146" t="str">
        <f ca="1">ORÇAMENTO!O96</f>
        <v>-</v>
      </c>
      <c r="E96" s="206" t="str">
        <f t="shared" ca="1" si="13"/>
        <v>(abra o arquivo 'Referência 05-2024.xls)</v>
      </c>
      <c r="F96" s="207" t="str">
        <f t="shared" ca="1" si="14"/>
        <v>-</v>
      </c>
      <c r="G96" s="151">
        <f ca="1">IF(RegimeExecucao="Global","",ORÇAMENTO!T96)</f>
        <v>1855.71</v>
      </c>
      <c r="H96" s="151">
        <f ca="1">IF(RegimeExecucao="Global","",ORÇAMENTO!W96)</f>
        <v>0</v>
      </c>
      <c r="I96" s="154">
        <f ca="1">ORÇAMENTO!X96</f>
        <v>0</v>
      </c>
      <c r="J96" s="427">
        <f t="shared" ca="1" si="15"/>
        <v>0</v>
      </c>
      <c r="K96" s="151">
        <f t="shared" ca="1" si="16"/>
        <v>0</v>
      </c>
      <c r="L96" s="428">
        <f t="shared" ca="1" si="17"/>
        <v>0</v>
      </c>
      <c r="M96" s="429">
        <f ca="1">IF($A96="S",VTOTALBM,IF($A96=0,0,ROUND(SomaAgrupBM,15-13*ORÇAMENTO!$AF$11)))</f>
        <v>0</v>
      </c>
      <c r="N96" s="430">
        <f t="shared" ca="1" si="18"/>
        <v>0</v>
      </c>
      <c r="O96" s="154">
        <f ca="1">IF($A96="S",VTOTALBM,IF($A96=0,0,ROUND(SomaAgrupBM,15-13*ORÇAMENTO!$AF$11)))</f>
        <v>0</v>
      </c>
      <c r="Q96" s="431"/>
      <c r="R96" s="432"/>
      <c r="T96" s="146" t="str">
        <f t="shared" ca="1" si="19"/>
        <v/>
      </c>
      <c r="U96" s="206" t="str">
        <f t="shared" ca="1" si="20"/>
        <v/>
      </c>
      <c r="V96" s="207" t="str">
        <f t="shared" ca="1" si="21"/>
        <v/>
      </c>
      <c r="W96" s="634">
        <f ca="1">IF($Y96&gt;0,CHOOSE(MATCH(RegimeExecucao,{"Unitário","Global"},0),IF($A96="S",$Y96/$X96,""),($Y96/$X96)*100),0)</f>
        <v>0</v>
      </c>
      <c r="X96" s="433" t="str">
        <f ca="1">IF($Y96&gt;0,CHOOSE(MATCH(RegimeExecucao,{"Unitário","Global"},0),IF($A96="S",ROUND($H96,ORÇAMENTO!$AF$10),""),ROUND($I96,ORÇAMENTO!$AF$11)),"")</f>
        <v/>
      </c>
      <c r="Y96" s="433">
        <f t="shared" ca="1" si="22"/>
        <v>0</v>
      </c>
      <c r="Z96" s="434"/>
      <c r="AB96" s="431"/>
      <c r="AC96" s="599"/>
      <c r="AD96" s="599"/>
      <c r="AE96" s="599"/>
      <c r="AF96" s="599"/>
      <c r="AG96" s="599"/>
      <c r="AH96" s="599"/>
      <c r="AI96" s="599"/>
      <c r="AJ96" s="599"/>
      <c r="AK96" s="599"/>
      <c r="AL96" s="599"/>
      <c r="AM96" s="432"/>
      <c r="AO96">
        <f ca="1">IF($A96="S",IF(BM!$I96=0,0,CHOOSE(MATCH(RegimeExecucao,{"Global","Unitário"},0),ROUND(ROUND(BM.MEDAcumulado,15-13*BM!$A$9)/100*BM!$I96,15-13*ORÇAMENTO!$AF$11),ROUND(ROUND(BM.MEDAcumulado,15-13*BM!$A$9)*ROUND(BM!$H96,15-13*ORÇAMENTO!$AF$10),15-13*ORÇAMENTO!$AF$11))),IF($A96=0,0,ROUND(SomaAgrupBM,15-13*ORÇAMENTO!$AF$11)))</f>
        <v>0</v>
      </c>
    </row>
    <row r="97" spans="1:41" ht="13.8" x14ac:dyDescent="0.3">
      <c r="A97" t="str">
        <f ca="1">ORÇAMENTO!C97</f>
        <v>S</v>
      </c>
      <c r="B97">
        <f ca="1">ORÇAMENTO!D97</f>
        <v>0</v>
      </c>
      <c r="C97" s="143" t="str">
        <f t="shared" ca="1" si="12"/>
        <v/>
      </c>
      <c r="D97" s="146" t="str">
        <f ca="1">ORÇAMENTO!O97</f>
        <v>-</v>
      </c>
      <c r="E97" s="206" t="str">
        <f t="shared" ca="1" si="13"/>
        <v>(abra o arquivo 'Referência 05-2024.xls)</v>
      </c>
      <c r="F97" s="207" t="str">
        <f t="shared" ca="1" si="14"/>
        <v>-</v>
      </c>
      <c r="G97" s="151">
        <f ca="1">IF(RegimeExecucao="Global","",ORÇAMENTO!T97)</f>
        <v>1436.7</v>
      </c>
      <c r="H97" s="151">
        <f ca="1">IF(RegimeExecucao="Global","",ORÇAMENTO!W97)</f>
        <v>0</v>
      </c>
      <c r="I97" s="154">
        <f ca="1">ORÇAMENTO!X97</f>
        <v>0</v>
      </c>
      <c r="J97" s="427">
        <f t="shared" ca="1" si="15"/>
        <v>0</v>
      </c>
      <c r="K97" s="151">
        <f t="shared" ca="1" si="16"/>
        <v>0</v>
      </c>
      <c r="L97" s="428">
        <f t="shared" ca="1" si="17"/>
        <v>0</v>
      </c>
      <c r="M97" s="429">
        <f ca="1">IF($A97="S",VTOTALBM,IF($A97=0,0,ROUND(SomaAgrupBM,15-13*ORÇAMENTO!$AF$11)))</f>
        <v>0</v>
      </c>
      <c r="N97" s="430">
        <f t="shared" ca="1" si="18"/>
        <v>0</v>
      </c>
      <c r="O97" s="154">
        <f ca="1">IF($A97="S",VTOTALBM,IF($A97=0,0,ROUND(SomaAgrupBM,15-13*ORÇAMENTO!$AF$11)))</f>
        <v>0</v>
      </c>
      <c r="Q97" s="431"/>
      <c r="R97" s="432"/>
      <c r="T97" s="146" t="str">
        <f t="shared" ca="1" si="19"/>
        <v/>
      </c>
      <c r="U97" s="206" t="str">
        <f t="shared" ca="1" si="20"/>
        <v/>
      </c>
      <c r="V97" s="207" t="str">
        <f t="shared" ca="1" si="21"/>
        <v/>
      </c>
      <c r="W97" s="634">
        <f ca="1">IF($Y97&gt;0,CHOOSE(MATCH(RegimeExecucao,{"Unitário","Global"},0),IF($A97="S",$Y97/$X97,""),($Y97/$X97)*100),0)</f>
        <v>0</v>
      </c>
      <c r="X97" s="433" t="str">
        <f ca="1">IF($Y97&gt;0,CHOOSE(MATCH(RegimeExecucao,{"Unitário","Global"},0),IF($A97="S",ROUND($H97,ORÇAMENTO!$AF$10),""),ROUND($I97,ORÇAMENTO!$AF$11)),"")</f>
        <v/>
      </c>
      <c r="Y97" s="433">
        <f t="shared" ca="1" si="22"/>
        <v>0</v>
      </c>
      <c r="Z97" s="434"/>
      <c r="AB97" s="431"/>
      <c r="AC97" s="599"/>
      <c r="AD97" s="599"/>
      <c r="AE97" s="599"/>
      <c r="AF97" s="599"/>
      <c r="AG97" s="599"/>
      <c r="AH97" s="599"/>
      <c r="AI97" s="599"/>
      <c r="AJ97" s="599"/>
      <c r="AK97" s="599"/>
      <c r="AL97" s="599"/>
      <c r="AM97" s="432"/>
      <c r="AO97">
        <f ca="1">IF($A97="S",IF(BM!$I97=0,0,CHOOSE(MATCH(RegimeExecucao,{"Global","Unitário"},0),ROUND(ROUND(BM.MEDAcumulado,15-13*BM!$A$9)/100*BM!$I97,15-13*ORÇAMENTO!$AF$11),ROUND(ROUND(BM.MEDAcumulado,15-13*BM!$A$9)*ROUND(BM!$H97,15-13*ORÇAMENTO!$AF$10),15-13*ORÇAMENTO!$AF$11))),IF($A97=0,0,ROUND(SomaAgrupBM,15-13*ORÇAMENTO!$AF$11)))</f>
        <v>0</v>
      </c>
    </row>
    <row r="98" spans="1:41" ht="13.8" x14ac:dyDescent="0.3">
      <c r="A98" t="str">
        <f ca="1">ORÇAMENTO!C98</f>
        <v>S</v>
      </c>
      <c r="B98">
        <f ca="1">ORÇAMENTO!D98</f>
        <v>0</v>
      </c>
      <c r="C98" s="143" t="str">
        <f t="shared" ca="1" si="12"/>
        <v/>
      </c>
      <c r="D98" s="146" t="str">
        <f ca="1">ORÇAMENTO!O98</f>
        <v>-</v>
      </c>
      <c r="E98" s="206" t="str">
        <f t="shared" ca="1" si="13"/>
        <v>(abra o arquivo 'Referência 05-2024.xls)</v>
      </c>
      <c r="F98" s="207" t="str">
        <f t="shared" ca="1" si="14"/>
        <v>-</v>
      </c>
      <c r="G98" s="151">
        <f ca="1">IF(RegimeExecucao="Global","",ORÇAMENTO!T98)</f>
        <v>1561.27</v>
      </c>
      <c r="H98" s="151">
        <f ca="1">IF(RegimeExecucao="Global","",ORÇAMENTO!W98)</f>
        <v>0</v>
      </c>
      <c r="I98" s="154">
        <f ca="1">ORÇAMENTO!X98</f>
        <v>0</v>
      </c>
      <c r="J98" s="427">
        <f t="shared" ca="1" si="15"/>
        <v>0</v>
      </c>
      <c r="K98" s="151">
        <f t="shared" ca="1" si="16"/>
        <v>0</v>
      </c>
      <c r="L98" s="428">
        <f t="shared" ca="1" si="17"/>
        <v>0</v>
      </c>
      <c r="M98" s="429">
        <f ca="1">IF($A98="S",VTOTALBM,IF($A98=0,0,ROUND(SomaAgrupBM,15-13*ORÇAMENTO!$AF$11)))</f>
        <v>0</v>
      </c>
      <c r="N98" s="430">
        <f t="shared" ca="1" si="18"/>
        <v>0</v>
      </c>
      <c r="O98" s="154">
        <f ca="1">IF($A98="S",VTOTALBM,IF($A98=0,0,ROUND(SomaAgrupBM,15-13*ORÇAMENTO!$AF$11)))</f>
        <v>0</v>
      </c>
      <c r="Q98" s="431"/>
      <c r="R98" s="432"/>
      <c r="T98" s="146" t="str">
        <f t="shared" ca="1" si="19"/>
        <v/>
      </c>
      <c r="U98" s="206" t="str">
        <f t="shared" ca="1" si="20"/>
        <v/>
      </c>
      <c r="V98" s="207" t="str">
        <f t="shared" ca="1" si="21"/>
        <v/>
      </c>
      <c r="W98" s="634">
        <f ca="1">IF($Y98&gt;0,CHOOSE(MATCH(RegimeExecucao,{"Unitário","Global"},0),IF($A98="S",$Y98/$X98,""),($Y98/$X98)*100),0)</f>
        <v>0</v>
      </c>
      <c r="X98" s="433" t="str">
        <f ca="1">IF($Y98&gt;0,CHOOSE(MATCH(RegimeExecucao,{"Unitário","Global"},0),IF($A98="S",ROUND($H98,ORÇAMENTO!$AF$10),""),ROUND($I98,ORÇAMENTO!$AF$11)),"")</f>
        <v/>
      </c>
      <c r="Y98" s="433">
        <f t="shared" ca="1" si="22"/>
        <v>0</v>
      </c>
      <c r="Z98" s="434"/>
      <c r="AB98" s="431"/>
      <c r="AC98" s="599"/>
      <c r="AD98" s="599"/>
      <c r="AE98" s="599"/>
      <c r="AF98" s="599"/>
      <c r="AG98" s="599"/>
      <c r="AH98" s="599"/>
      <c r="AI98" s="599"/>
      <c r="AJ98" s="599"/>
      <c r="AK98" s="599"/>
      <c r="AL98" s="599"/>
      <c r="AM98" s="432"/>
      <c r="AO98">
        <f ca="1">IF($A98="S",IF(BM!$I98=0,0,CHOOSE(MATCH(RegimeExecucao,{"Global","Unitário"},0),ROUND(ROUND(BM.MEDAcumulado,15-13*BM!$A$9)/100*BM!$I98,15-13*ORÇAMENTO!$AF$11),ROUND(ROUND(BM.MEDAcumulado,15-13*BM!$A$9)*ROUND(BM!$H98,15-13*ORÇAMENTO!$AF$10),15-13*ORÇAMENTO!$AF$11))),IF($A98=0,0,ROUND(SomaAgrupBM,15-13*ORÇAMENTO!$AF$11)))</f>
        <v>0</v>
      </c>
    </row>
    <row r="99" spans="1:41" ht="13.8" x14ac:dyDescent="0.3">
      <c r="A99" t="str">
        <f ca="1">ORÇAMENTO!C99</f>
        <v>S</v>
      </c>
      <c r="B99">
        <f ca="1">ORÇAMENTO!D99</f>
        <v>0</v>
      </c>
      <c r="C99" s="143" t="str">
        <f t="shared" ca="1" si="12"/>
        <v/>
      </c>
      <c r="D99" s="146" t="str">
        <f ca="1">ORÇAMENTO!O99</f>
        <v>-</v>
      </c>
      <c r="E99" s="206" t="str">
        <f t="shared" ca="1" si="13"/>
        <v>(abra o arquivo 'Referência 05-2024.xls)</v>
      </c>
      <c r="F99" s="207" t="str">
        <f t="shared" ca="1" si="14"/>
        <v>-</v>
      </c>
      <c r="G99" s="151">
        <f ca="1">IF(RegimeExecucao="Global","",ORÇAMENTO!T99)</f>
        <v>126.75</v>
      </c>
      <c r="H99" s="151">
        <f ca="1">IF(RegimeExecucao="Global","",ORÇAMENTO!W99)</f>
        <v>0</v>
      </c>
      <c r="I99" s="154">
        <f ca="1">ORÇAMENTO!X99</f>
        <v>0</v>
      </c>
      <c r="J99" s="427">
        <f t="shared" ca="1" si="15"/>
        <v>0</v>
      </c>
      <c r="K99" s="151">
        <f t="shared" ca="1" si="16"/>
        <v>0</v>
      </c>
      <c r="L99" s="428">
        <f t="shared" ca="1" si="17"/>
        <v>0</v>
      </c>
      <c r="M99" s="429">
        <f ca="1">IF($A99="S",VTOTALBM,IF($A99=0,0,ROUND(SomaAgrupBM,15-13*ORÇAMENTO!$AF$11)))</f>
        <v>0</v>
      </c>
      <c r="N99" s="430">
        <f t="shared" ca="1" si="18"/>
        <v>0</v>
      </c>
      <c r="O99" s="154">
        <f ca="1">IF($A99="S",VTOTALBM,IF($A99=0,0,ROUND(SomaAgrupBM,15-13*ORÇAMENTO!$AF$11)))</f>
        <v>0</v>
      </c>
      <c r="Q99" s="431"/>
      <c r="R99" s="432"/>
      <c r="T99" s="146" t="str">
        <f t="shared" ca="1" si="19"/>
        <v/>
      </c>
      <c r="U99" s="206" t="str">
        <f t="shared" ca="1" si="20"/>
        <v/>
      </c>
      <c r="V99" s="207" t="str">
        <f t="shared" ca="1" si="21"/>
        <v/>
      </c>
      <c r="W99" s="634">
        <f ca="1">IF($Y99&gt;0,CHOOSE(MATCH(RegimeExecucao,{"Unitário","Global"},0),IF($A99="S",$Y99/$X99,""),($Y99/$X99)*100),0)</f>
        <v>0</v>
      </c>
      <c r="X99" s="433" t="str">
        <f ca="1">IF($Y99&gt;0,CHOOSE(MATCH(RegimeExecucao,{"Unitário","Global"},0),IF($A99="S",ROUND($H99,ORÇAMENTO!$AF$10),""),ROUND($I99,ORÇAMENTO!$AF$11)),"")</f>
        <v/>
      </c>
      <c r="Y99" s="433">
        <f t="shared" ca="1" si="22"/>
        <v>0</v>
      </c>
      <c r="Z99" s="434"/>
      <c r="AB99" s="431"/>
      <c r="AC99" s="599"/>
      <c r="AD99" s="599"/>
      <c r="AE99" s="599"/>
      <c r="AF99" s="599"/>
      <c r="AG99" s="599"/>
      <c r="AH99" s="599"/>
      <c r="AI99" s="599"/>
      <c r="AJ99" s="599"/>
      <c r="AK99" s="599"/>
      <c r="AL99" s="599"/>
      <c r="AM99" s="432"/>
      <c r="AO99">
        <f ca="1">IF($A99="S",IF(BM!$I99=0,0,CHOOSE(MATCH(RegimeExecucao,{"Global","Unitário"},0),ROUND(ROUND(BM.MEDAcumulado,15-13*BM!$A$9)/100*BM!$I99,15-13*ORÇAMENTO!$AF$11),ROUND(ROUND(BM.MEDAcumulado,15-13*BM!$A$9)*ROUND(BM!$H99,15-13*ORÇAMENTO!$AF$10),15-13*ORÇAMENTO!$AF$11))),IF($A99=0,0,ROUND(SomaAgrupBM,15-13*ORÇAMENTO!$AF$11)))</f>
        <v>0</v>
      </c>
    </row>
    <row r="100" spans="1:41" ht="13.8" x14ac:dyDescent="0.3">
      <c r="A100" t="str">
        <f ca="1">ORÇAMENTO!C100</f>
        <v>S</v>
      </c>
      <c r="B100">
        <f ca="1">ORÇAMENTO!D100</f>
        <v>0</v>
      </c>
      <c r="C100" s="143" t="str">
        <f t="shared" ca="1" si="12"/>
        <v/>
      </c>
      <c r="D100" s="146" t="str">
        <f ca="1">ORÇAMENTO!O100</f>
        <v>-</v>
      </c>
      <c r="E100" s="206" t="str">
        <f t="shared" ca="1" si="13"/>
        <v>(abra o arquivo 'Referência 05-2024.xls)</v>
      </c>
      <c r="F100" s="207" t="str">
        <f t="shared" ca="1" si="14"/>
        <v>-</v>
      </c>
      <c r="G100" s="151">
        <f ca="1">IF(RegimeExecucao="Global","",ORÇAMENTO!T100)</f>
        <v>1550.78</v>
      </c>
      <c r="H100" s="151">
        <f ca="1">IF(RegimeExecucao="Global","",ORÇAMENTO!W100)</f>
        <v>0</v>
      </c>
      <c r="I100" s="154">
        <f ca="1">ORÇAMENTO!X100</f>
        <v>0</v>
      </c>
      <c r="J100" s="427">
        <f t="shared" ca="1" si="15"/>
        <v>0</v>
      </c>
      <c r="K100" s="151">
        <f t="shared" ca="1" si="16"/>
        <v>0</v>
      </c>
      <c r="L100" s="428">
        <f t="shared" ca="1" si="17"/>
        <v>0</v>
      </c>
      <c r="M100" s="429">
        <f ca="1">IF($A100="S",VTOTALBM,IF($A100=0,0,ROUND(SomaAgrupBM,15-13*ORÇAMENTO!$AF$11)))</f>
        <v>0</v>
      </c>
      <c r="N100" s="430">
        <f t="shared" ca="1" si="18"/>
        <v>0</v>
      </c>
      <c r="O100" s="154">
        <f ca="1">IF($A100="S",VTOTALBM,IF($A100=0,0,ROUND(SomaAgrupBM,15-13*ORÇAMENTO!$AF$11)))</f>
        <v>0</v>
      </c>
      <c r="Q100" s="431"/>
      <c r="R100" s="432"/>
      <c r="T100" s="146" t="str">
        <f t="shared" ca="1" si="19"/>
        <v/>
      </c>
      <c r="U100" s="206" t="str">
        <f t="shared" ca="1" si="20"/>
        <v/>
      </c>
      <c r="V100" s="207" t="str">
        <f t="shared" ca="1" si="21"/>
        <v/>
      </c>
      <c r="W100" s="634">
        <f ca="1">IF($Y100&gt;0,CHOOSE(MATCH(RegimeExecucao,{"Unitário","Global"},0),IF($A100="S",$Y100/$X100,""),($Y100/$X100)*100),0)</f>
        <v>0</v>
      </c>
      <c r="X100" s="433" t="str">
        <f ca="1">IF($Y100&gt;0,CHOOSE(MATCH(RegimeExecucao,{"Unitário","Global"},0),IF($A100="S",ROUND($H100,ORÇAMENTO!$AF$10),""),ROUND($I100,ORÇAMENTO!$AF$11)),"")</f>
        <v/>
      </c>
      <c r="Y100" s="433">
        <f t="shared" ca="1" si="22"/>
        <v>0</v>
      </c>
      <c r="Z100" s="434"/>
      <c r="AB100" s="431"/>
      <c r="AC100" s="599"/>
      <c r="AD100" s="599"/>
      <c r="AE100" s="599"/>
      <c r="AF100" s="599"/>
      <c r="AG100" s="599"/>
      <c r="AH100" s="599"/>
      <c r="AI100" s="599"/>
      <c r="AJ100" s="599"/>
      <c r="AK100" s="599"/>
      <c r="AL100" s="599"/>
      <c r="AM100" s="432"/>
      <c r="AO100">
        <f ca="1">IF($A100="S",IF(BM!$I100=0,0,CHOOSE(MATCH(RegimeExecucao,{"Global","Unitário"},0),ROUND(ROUND(BM.MEDAcumulado,15-13*BM!$A$9)/100*BM!$I100,15-13*ORÇAMENTO!$AF$11),ROUND(ROUND(BM.MEDAcumulado,15-13*BM!$A$9)*ROUND(BM!$H100,15-13*ORÇAMENTO!$AF$10),15-13*ORÇAMENTO!$AF$11))),IF($A100=0,0,ROUND(SomaAgrupBM,15-13*ORÇAMENTO!$AF$11)))</f>
        <v>0</v>
      </c>
    </row>
    <row r="101" spans="1:41" ht="13.8" x14ac:dyDescent="0.3">
      <c r="A101" t="str">
        <f ca="1">ORÇAMENTO!C101</f>
        <v>S</v>
      </c>
      <c r="B101">
        <f ca="1">ORÇAMENTO!D101</f>
        <v>0</v>
      </c>
      <c r="C101" s="143" t="str">
        <f t="shared" ca="1" si="12"/>
        <v/>
      </c>
      <c r="D101" s="146" t="str">
        <f ca="1">ORÇAMENTO!O101</f>
        <v>-</v>
      </c>
      <c r="E101" s="206" t="str">
        <f t="shared" ca="1" si="13"/>
        <v>(abra o arquivo 'Referência 05-2024.xls)</v>
      </c>
      <c r="F101" s="207" t="str">
        <f t="shared" ca="1" si="14"/>
        <v>-</v>
      </c>
      <c r="G101" s="151">
        <f ca="1">IF(RegimeExecucao="Global","",ORÇAMENTO!T101)</f>
        <v>61.77</v>
      </c>
      <c r="H101" s="151">
        <f ca="1">IF(RegimeExecucao="Global","",ORÇAMENTO!W101)</f>
        <v>0</v>
      </c>
      <c r="I101" s="154">
        <f ca="1">ORÇAMENTO!X101</f>
        <v>0</v>
      </c>
      <c r="J101" s="427">
        <f t="shared" ca="1" si="15"/>
        <v>0</v>
      </c>
      <c r="K101" s="151">
        <f t="shared" ca="1" si="16"/>
        <v>0</v>
      </c>
      <c r="L101" s="428">
        <f t="shared" ca="1" si="17"/>
        <v>0</v>
      </c>
      <c r="M101" s="429">
        <f ca="1">IF($A101="S",VTOTALBM,IF($A101=0,0,ROUND(SomaAgrupBM,15-13*ORÇAMENTO!$AF$11)))</f>
        <v>0</v>
      </c>
      <c r="N101" s="430">
        <f t="shared" ca="1" si="18"/>
        <v>0</v>
      </c>
      <c r="O101" s="154">
        <f ca="1">IF($A101="S",VTOTALBM,IF($A101=0,0,ROUND(SomaAgrupBM,15-13*ORÇAMENTO!$AF$11)))</f>
        <v>0</v>
      </c>
      <c r="Q101" s="431"/>
      <c r="R101" s="432"/>
      <c r="T101" s="146" t="str">
        <f t="shared" ca="1" si="19"/>
        <v/>
      </c>
      <c r="U101" s="206" t="str">
        <f t="shared" ca="1" si="20"/>
        <v/>
      </c>
      <c r="V101" s="207" t="str">
        <f t="shared" ca="1" si="21"/>
        <v/>
      </c>
      <c r="W101" s="634">
        <f ca="1">IF($Y101&gt;0,CHOOSE(MATCH(RegimeExecucao,{"Unitário","Global"},0),IF($A101="S",$Y101/$X101,""),($Y101/$X101)*100),0)</f>
        <v>0</v>
      </c>
      <c r="X101" s="433" t="str">
        <f ca="1">IF($Y101&gt;0,CHOOSE(MATCH(RegimeExecucao,{"Unitário","Global"},0),IF($A101="S",ROUND($H101,ORÇAMENTO!$AF$10),""),ROUND($I101,ORÇAMENTO!$AF$11)),"")</f>
        <v/>
      </c>
      <c r="Y101" s="433">
        <f t="shared" ca="1" si="22"/>
        <v>0</v>
      </c>
      <c r="Z101" s="434"/>
      <c r="AB101" s="431"/>
      <c r="AC101" s="599"/>
      <c r="AD101" s="599"/>
      <c r="AE101" s="599"/>
      <c r="AF101" s="599"/>
      <c r="AG101" s="599"/>
      <c r="AH101" s="599"/>
      <c r="AI101" s="599"/>
      <c r="AJ101" s="599"/>
      <c r="AK101" s="599"/>
      <c r="AL101" s="599"/>
      <c r="AM101" s="432"/>
      <c r="AO101">
        <f ca="1">IF($A101="S",IF(BM!$I101=0,0,CHOOSE(MATCH(RegimeExecucao,{"Global","Unitário"},0),ROUND(ROUND(BM.MEDAcumulado,15-13*BM!$A$9)/100*BM!$I101,15-13*ORÇAMENTO!$AF$11),ROUND(ROUND(BM.MEDAcumulado,15-13*BM!$A$9)*ROUND(BM!$H101,15-13*ORÇAMENTO!$AF$10),15-13*ORÇAMENTO!$AF$11))),IF($A101=0,0,ROUND(SomaAgrupBM,15-13*ORÇAMENTO!$AF$11)))</f>
        <v>0</v>
      </c>
    </row>
    <row r="102" spans="1:41" ht="13.8" x14ac:dyDescent="0.3">
      <c r="A102">
        <f ca="1">ORÇAMENTO!C102</f>
        <v>3</v>
      </c>
      <c r="B102">
        <f ca="1">ORÇAMENTO!D102</f>
        <v>5</v>
      </c>
      <c r="C102" s="143" t="str">
        <f t="shared" ca="1" si="12"/>
        <v>F</v>
      </c>
      <c r="D102" s="146" t="str">
        <f ca="1">ORÇAMENTO!O102</f>
        <v>1.4.2.</v>
      </c>
      <c r="E102" s="206" t="str">
        <f t="shared" si="13"/>
        <v>CONCRETO ARMADO - PILARES - MURO</v>
      </c>
      <c r="F102" s="207" t="str">
        <f t="shared" ca="1" si="14"/>
        <v>-</v>
      </c>
      <c r="G102" s="151">
        <f ca="1">IF(RegimeExecucao="Global","",ORÇAMENTO!T102)</f>
        <v>0</v>
      </c>
      <c r="H102" s="151">
        <f ca="1">IF(RegimeExecucao="Global","",ORÇAMENTO!W102)</f>
        <v>0</v>
      </c>
      <c r="I102" s="154">
        <f ca="1">ORÇAMENTO!X102</f>
        <v>0</v>
      </c>
      <c r="J102" s="427">
        <f t="shared" ca="1" si="15"/>
        <v>0</v>
      </c>
      <c r="K102" s="151">
        <f t="shared" ca="1" si="16"/>
        <v>0</v>
      </c>
      <c r="L102" s="428">
        <f t="shared" ca="1" si="17"/>
        <v>0</v>
      </c>
      <c r="M102" s="429">
        <f ca="1">IF($A102="S",VTOTALBM,IF($A102=0,0,ROUND(SomaAgrupBM,15-13*ORÇAMENTO!$AF$11)))</f>
        <v>0</v>
      </c>
      <c r="N102" s="430">
        <f t="shared" ca="1" si="18"/>
        <v>0</v>
      </c>
      <c r="O102" s="154">
        <f ca="1">IF($A102="S",VTOTALBM,IF($A102=0,0,ROUND(SomaAgrupBM,15-13*ORÇAMENTO!$AF$11)))</f>
        <v>0</v>
      </c>
      <c r="Q102" s="431"/>
      <c r="R102" s="432"/>
      <c r="T102" s="146" t="str">
        <f t="shared" ca="1" si="19"/>
        <v/>
      </c>
      <c r="U102" s="206" t="str">
        <f t="shared" ca="1" si="20"/>
        <v/>
      </c>
      <c r="V102" s="207" t="str">
        <f t="shared" ca="1" si="21"/>
        <v/>
      </c>
      <c r="W102" s="634">
        <f ca="1">IF($Y102&gt;0,CHOOSE(MATCH(RegimeExecucao,{"Unitário","Global"},0),IF($A102="S",$Y102/$X102,""),($Y102/$X102)*100),0)</f>
        <v>0</v>
      </c>
      <c r="X102" s="433" t="str">
        <f ca="1">IF($Y102&gt;0,CHOOSE(MATCH(RegimeExecucao,{"Unitário","Global"},0),IF($A102="S",ROUND($H102,ORÇAMENTO!$AF$10),""),ROUND($I102,ORÇAMENTO!$AF$11)),"")</f>
        <v/>
      </c>
      <c r="Y102" s="433">
        <f t="shared" ca="1" si="22"/>
        <v>0</v>
      </c>
      <c r="Z102" s="434"/>
      <c r="AB102" s="431"/>
      <c r="AC102" s="599"/>
      <c r="AD102" s="599"/>
      <c r="AE102" s="599"/>
      <c r="AF102" s="599"/>
      <c r="AG102" s="599"/>
      <c r="AH102" s="599"/>
      <c r="AI102" s="599"/>
      <c r="AJ102" s="599"/>
      <c r="AK102" s="599"/>
      <c r="AL102" s="599"/>
      <c r="AM102" s="432"/>
      <c r="AO102">
        <f ca="1">IF($A102="S",IF(BM!$I102=0,0,CHOOSE(MATCH(RegimeExecucao,{"Global","Unitário"},0),ROUND(ROUND(BM.MEDAcumulado,15-13*BM!$A$9)/100*BM!$I102,15-13*ORÇAMENTO!$AF$11),ROUND(ROUND(BM.MEDAcumulado,15-13*BM!$A$9)*ROUND(BM!$H102,15-13*ORÇAMENTO!$AF$10),15-13*ORÇAMENTO!$AF$11))),IF($A102=0,0,ROUND(SomaAgrupBM,15-13*ORÇAMENTO!$AF$11)))</f>
        <v>0</v>
      </c>
    </row>
    <row r="103" spans="1:41" ht="13.8" x14ac:dyDescent="0.3">
      <c r="A103" t="str">
        <f ca="1">ORÇAMENTO!C103</f>
        <v>S</v>
      </c>
      <c r="B103">
        <f ca="1">ORÇAMENTO!D103</f>
        <v>0</v>
      </c>
      <c r="C103" s="143" t="str">
        <f t="shared" ca="1" si="12"/>
        <v/>
      </c>
      <c r="D103" s="146" t="str">
        <f ca="1">ORÇAMENTO!O103</f>
        <v>-</v>
      </c>
      <c r="E103" s="206" t="str">
        <f t="shared" ca="1" si="13"/>
        <v>(abra o arquivo 'Referência 05-2024.xls)</v>
      </c>
      <c r="F103" s="207" t="str">
        <f t="shared" ca="1" si="14"/>
        <v>-</v>
      </c>
      <c r="G103" s="151">
        <f ca="1">IF(RegimeExecucao="Global","",ORÇAMENTO!T103)</f>
        <v>96.16</v>
      </c>
      <c r="H103" s="151">
        <f ca="1">IF(RegimeExecucao="Global","",ORÇAMENTO!W103)</f>
        <v>0</v>
      </c>
      <c r="I103" s="154">
        <f ca="1">ORÇAMENTO!X103</f>
        <v>0</v>
      </c>
      <c r="J103" s="427">
        <f t="shared" ca="1" si="15"/>
        <v>0</v>
      </c>
      <c r="K103" s="151">
        <f t="shared" ca="1" si="16"/>
        <v>0</v>
      </c>
      <c r="L103" s="428">
        <f t="shared" ca="1" si="17"/>
        <v>0</v>
      </c>
      <c r="M103" s="429">
        <f ca="1">IF($A103="S",VTOTALBM,IF($A103=0,0,ROUND(SomaAgrupBM,15-13*ORÇAMENTO!$AF$11)))</f>
        <v>0</v>
      </c>
      <c r="N103" s="430">
        <f t="shared" ca="1" si="18"/>
        <v>0</v>
      </c>
      <c r="O103" s="154">
        <f ca="1">IF($A103="S",VTOTALBM,IF($A103=0,0,ROUND(SomaAgrupBM,15-13*ORÇAMENTO!$AF$11)))</f>
        <v>0</v>
      </c>
      <c r="Q103" s="431"/>
      <c r="R103" s="432"/>
      <c r="T103" s="146" t="str">
        <f t="shared" ca="1" si="19"/>
        <v/>
      </c>
      <c r="U103" s="206" t="str">
        <f t="shared" ca="1" si="20"/>
        <v/>
      </c>
      <c r="V103" s="207" t="str">
        <f t="shared" ca="1" si="21"/>
        <v/>
      </c>
      <c r="W103" s="634">
        <f ca="1">IF($Y103&gt;0,CHOOSE(MATCH(RegimeExecucao,{"Unitário","Global"},0),IF($A103="S",$Y103/$X103,""),($Y103/$X103)*100),0)</f>
        <v>0</v>
      </c>
      <c r="X103" s="433" t="str">
        <f ca="1">IF($Y103&gt;0,CHOOSE(MATCH(RegimeExecucao,{"Unitário","Global"},0),IF($A103="S",ROUND($H103,ORÇAMENTO!$AF$10),""),ROUND($I103,ORÇAMENTO!$AF$11)),"")</f>
        <v/>
      </c>
      <c r="Y103" s="433">
        <f t="shared" ca="1" si="22"/>
        <v>0</v>
      </c>
      <c r="Z103" s="434"/>
      <c r="AB103" s="431"/>
      <c r="AC103" s="599"/>
      <c r="AD103" s="599"/>
      <c r="AE103" s="599"/>
      <c r="AF103" s="599"/>
      <c r="AG103" s="599"/>
      <c r="AH103" s="599"/>
      <c r="AI103" s="599"/>
      <c r="AJ103" s="599"/>
      <c r="AK103" s="599"/>
      <c r="AL103" s="599"/>
      <c r="AM103" s="432"/>
      <c r="AO103">
        <f ca="1">IF($A103="S",IF(BM!$I103=0,0,CHOOSE(MATCH(RegimeExecucao,{"Global","Unitário"},0),ROUND(ROUND(BM.MEDAcumulado,15-13*BM!$A$9)/100*BM!$I103,15-13*ORÇAMENTO!$AF$11),ROUND(ROUND(BM.MEDAcumulado,15-13*BM!$A$9)*ROUND(BM!$H103,15-13*ORÇAMENTO!$AF$10),15-13*ORÇAMENTO!$AF$11))),IF($A103=0,0,ROUND(SomaAgrupBM,15-13*ORÇAMENTO!$AF$11)))</f>
        <v>0</v>
      </c>
    </row>
    <row r="104" spans="1:41" ht="13.8" x14ac:dyDescent="0.3">
      <c r="A104" t="str">
        <f ca="1">ORÇAMENTO!C104</f>
        <v>S</v>
      </c>
      <c r="B104">
        <f ca="1">ORÇAMENTO!D104</f>
        <v>0</v>
      </c>
      <c r="C104" s="143" t="str">
        <f t="shared" ca="1" si="12"/>
        <v/>
      </c>
      <c r="D104" s="146" t="str">
        <f ca="1">ORÇAMENTO!O104</f>
        <v>-</v>
      </c>
      <c r="E104" s="206" t="str">
        <f t="shared" ca="1" si="13"/>
        <v>(abra o arquivo 'Referência 05-2024.xls)</v>
      </c>
      <c r="F104" s="207" t="str">
        <f t="shared" ca="1" si="14"/>
        <v>-</v>
      </c>
      <c r="G104" s="151">
        <f ca="1">IF(RegimeExecucao="Global","",ORÇAMENTO!T104)</f>
        <v>536.77</v>
      </c>
      <c r="H104" s="151">
        <f ca="1">IF(RegimeExecucao="Global","",ORÇAMENTO!W104)</f>
        <v>0</v>
      </c>
      <c r="I104" s="154">
        <f ca="1">ORÇAMENTO!X104</f>
        <v>0</v>
      </c>
      <c r="J104" s="427">
        <f t="shared" ca="1" si="15"/>
        <v>0</v>
      </c>
      <c r="K104" s="151">
        <f t="shared" ca="1" si="16"/>
        <v>0</v>
      </c>
      <c r="L104" s="428">
        <f t="shared" ca="1" si="17"/>
        <v>0</v>
      </c>
      <c r="M104" s="429">
        <f ca="1">IF($A104="S",VTOTALBM,IF($A104=0,0,ROUND(SomaAgrupBM,15-13*ORÇAMENTO!$AF$11)))</f>
        <v>0</v>
      </c>
      <c r="N104" s="430">
        <f t="shared" ca="1" si="18"/>
        <v>0</v>
      </c>
      <c r="O104" s="154">
        <f ca="1">IF($A104="S",VTOTALBM,IF($A104=0,0,ROUND(SomaAgrupBM,15-13*ORÇAMENTO!$AF$11)))</f>
        <v>0</v>
      </c>
      <c r="Q104" s="431"/>
      <c r="R104" s="432"/>
      <c r="T104" s="146" t="str">
        <f t="shared" ca="1" si="19"/>
        <v/>
      </c>
      <c r="U104" s="206" t="str">
        <f t="shared" ca="1" si="20"/>
        <v/>
      </c>
      <c r="V104" s="207" t="str">
        <f t="shared" ca="1" si="21"/>
        <v/>
      </c>
      <c r="W104" s="634">
        <f ca="1">IF($Y104&gt;0,CHOOSE(MATCH(RegimeExecucao,{"Unitário","Global"},0),IF($A104="S",$Y104/$X104,""),($Y104/$X104)*100),0)</f>
        <v>0</v>
      </c>
      <c r="X104" s="433" t="str">
        <f ca="1">IF($Y104&gt;0,CHOOSE(MATCH(RegimeExecucao,{"Unitário","Global"},0),IF($A104="S",ROUND($H104,ORÇAMENTO!$AF$10),""),ROUND($I104,ORÇAMENTO!$AF$11)),"")</f>
        <v/>
      </c>
      <c r="Y104" s="433">
        <f t="shared" ca="1" si="22"/>
        <v>0</v>
      </c>
      <c r="Z104" s="434"/>
      <c r="AB104" s="431"/>
      <c r="AC104" s="599"/>
      <c r="AD104" s="599"/>
      <c r="AE104" s="599"/>
      <c r="AF104" s="599"/>
      <c r="AG104" s="599"/>
      <c r="AH104" s="599"/>
      <c r="AI104" s="599"/>
      <c r="AJ104" s="599"/>
      <c r="AK104" s="599"/>
      <c r="AL104" s="599"/>
      <c r="AM104" s="432"/>
      <c r="AO104">
        <f ca="1">IF($A104="S",IF(BM!$I104=0,0,CHOOSE(MATCH(RegimeExecucao,{"Global","Unitário"},0),ROUND(ROUND(BM.MEDAcumulado,15-13*BM!$A$9)/100*BM!$I104,15-13*ORÇAMENTO!$AF$11),ROUND(ROUND(BM.MEDAcumulado,15-13*BM!$A$9)*ROUND(BM!$H104,15-13*ORÇAMENTO!$AF$10),15-13*ORÇAMENTO!$AF$11))),IF($A104=0,0,ROUND(SomaAgrupBM,15-13*ORÇAMENTO!$AF$11)))</f>
        <v>0</v>
      </c>
    </row>
    <row r="105" spans="1:41" ht="13.8" x14ac:dyDescent="0.3">
      <c r="A105" t="str">
        <f ca="1">ORÇAMENTO!C105</f>
        <v>S</v>
      </c>
      <c r="B105">
        <f ca="1">ORÇAMENTO!D105</f>
        <v>0</v>
      </c>
      <c r="C105" s="143" t="str">
        <f t="shared" ca="1" si="12"/>
        <v/>
      </c>
      <c r="D105" s="146" t="str">
        <f ca="1">ORÇAMENTO!O105</f>
        <v>-</v>
      </c>
      <c r="E105" s="206" t="str">
        <f t="shared" ca="1" si="13"/>
        <v>(abra o arquivo 'Referência 05-2024.xls)</v>
      </c>
      <c r="F105" s="207" t="str">
        <f t="shared" ca="1" si="14"/>
        <v>-</v>
      </c>
      <c r="G105" s="151">
        <f ca="1">IF(RegimeExecucao="Global","",ORÇAMENTO!T105)</f>
        <v>133.16</v>
      </c>
      <c r="H105" s="151">
        <f ca="1">IF(RegimeExecucao="Global","",ORÇAMENTO!W105)</f>
        <v>0</v>
      </c>
      <c r="I105" s="154">
        <f ca="1">ORÇAMENTO!X105</f>
        <v>0</v>
      </c>
      <c r="J105" s="427">
        <f t="shared" ca="1" si="15"/>
        <v>0</v>
      </c>
      <c r="K105" s="151">
        <f t="shared" ca="1" si="16"/>
        <v>0</v>
      </c>
      <c r="L105" s="428">
        <f t="shared" ca="1" si="17"/>
        <v>0</v>
      </c>
      <c r="M105" s="429">
        <f ca="1">IF($A105="S",VTOTALBM,IF($A105=0,0,ROUND(SomaAgrupBM,15-13*ORÇAMENTO!$AF$11)))</f>
        <v>0</v>
      </c>
      <c r="N105" s="430">
        <f t="shared" ca="1" si="18"/>
        <v>0</v>
      </c>
      <c r="O105" s="154">
        <f ca="1">IF($A105="S",VTOTALBM,IF($A105=0,0,ROUND(SomaAgrupBM,15-13*ORÇAMENTO!$AF$11)))</f>
        <v>0</v>
      </c>
      <c r="Q105" s="431"/>
      <c r="R105" s="432"/>
      <c r="T105" s="146" t="str">
        <f t="shared" ca="1" si="19"/>
        <v/>
      </c>
      <c r="U105" s="206" t="str">
        <f t="shared" ca="1" si="20"/>
        <v/>
      </c>
      <c r="V105" s="207" t="str">
        <f t="shared" ca="1" si="21"/>
        <v/>
      </c>
      <c r="W105" s="634">
        <f ca="1">IF($Y105&gt;0,CHOOSE(MATCH(RegimeExecucao,{"Unitário","Global"},0),IF($A105="S",$Y105/$X105,""),($Y105/$X105)*100),0)</f>
        <v>0</v>
      </c>
      <c r="X105" s="433" t="str">
        <f ca="1">IF($Y105&gt;0,CHOOSE(MATCH(RegimeExecucao,{"Unitário","Global"},0),IF($A105="S",ROUND($H105,ORÇAMENTO!$AF$10),""),ROUND($I105,ORÇAMENTO!$AF$11)),"")</f>
        <v/>
      </c>
      <c r="Y105" s="433">
        <f t="shared" ca="1" si="22"/>
        <v>0</v>
      </c>
      <c r="Z105" s="434"/>
      <c r="AB105" s="431"/>
      <c r="AC105" s="599"/>
      <c r="AD105" s="599"/>
      <c r="AE105" s="599"/>
      <c r="AF105" s="599"/>
      <c r="AG105" s="599"/>
      <c r="AH105" s="599"/>
      <c r="AI105" s="599"/>
      <c r="AJ105" s="599"/>
      <c r="AK105" s="599"/>
      <c r="AL105" s="599"/>
      <c r="AM105" s="432"/>
      <c r="AO105">
        <f ca="1">IF($A105="S",IF(BM!$I105=0,0,CHOOSE(MATCH(RegimeExecucao,{"Global","Unitário"},0),ROUND(ROUND(BM.MEDAcumulado,15-13*BM!$A$9)/100*BM!$I105,15-13*ORÇAMENTO!$AF$11),ROUND(ROUND(BM.MEDAcumulado,15-13*BM!$A$9)*ROUND(BM!$H105,15-13*ORÇAMENTO!$AF$10),15-13*ORÇAMENTO!$AF$11))),IF($A105=0,0,ROUND(SomaAgrupBM,15-13*ORÇAMENTO!$AF$11)))</f>
        <v>0</v>
      </c>
    </row>
    <row r="106" spans="1:41" ht="13.8" x14ac:dyDescent="0.3">
      <c r="A106" t="str">
        <f ca="1">ORÇAMENTO!C106</f>
        <v>S</v>
      </c>
      <c r="B106">
        <f ca="1">ORÇAMENTO!D106</f>
        <v>0</v>
      </c>
      <c r="C106" s="143" t="str">
        <f t="shared" ca="1" si="12"/>
        <v/>
      </c>
      <c r="D106" s="146" t="str">
        <f ca="1">ORÇAMENTO!O106</f>
        <v>-</v>
      </c>
      <c r="E106" s="206" t="str">
        <f t="shared" ca="1" si="13"/>
        <v>(abra o arquivo 'Referência 05-2024.xls)</v>
      </c>
      <c r="F106" s="207" t="str">
        <f t="shared" ca="1" si="14"/>
        <v>-</v>
      </c>
      <c r="G106" s="151">
        <f ca="1">IF(RegimeExecucao="Global","",ORÇAMENTO!T106)</f>
        <v>4.7</v>
      </c>
      <c r="H106" s="151">
        <f ca="1">IF(RegimeExecucao="Global","",ORÇAMENTO!W106)</f>
        <v>0</v>
      </c>
      <c r="I106" s="154">
        <f ca="1">ORÇAMENTO!X106</f>
        <v>0</v>
      </c>
      <c r="J106" s="427">
        <f t="shared" ca="1" si="15"/>
        <v>0</v>
      </c>
      <c r="K106" s="151">
        <f t="shared" ca="1" si="16"/>
        <v>0</v>
      </c>
      <c r="L106" s="428">
        <f t="shared" ca="1" si="17"/>
        <v>0</v>
      </c>
      <c r="M106" s="429">
        <f ca="1">IF($A106="S",VTOTALBM,IF($A106=0,0,ROUND(SomaAgrupBM,15-13*ORÇAMENTO!$AF$11)))</f>
        <v>0</v>
      </c>
      <c r="N106" s="430">
        <f t="shared" ca="1" si="18"/>
        <v>0</v>
      </c>
      <c r="O106" s="154">
        <f ca="1">IF($A106="S",VTOTALBM,IF($A106=0,0,ROUND(SomaAgrupBM,15-13*ORÇAMENTO!$AF$11)))</f>
        <v>0</v>
      </c>
      <c r="Q106" s="431"/>
      <c r="R106" s="432"/>
      <c r="T106" s="146" t="str">
        <f t="shared" ca="1" si="19"/>
        <v/>
      </c>
      <c r="U106" s="206" t="str">
        <f t="shared" ca="1" si="20"/>
        <v/>
      </c>
      <c r="V106" s="207" t="str">
        <f t="shared" ca="1" si="21"/>
        <v/>
      </c>
      <c r="W106" s="634">
        <f ca="1">IF($Y106&gt;0,CHOOSE(MATCH(RegimeExecucao,{"Unitário","Global"},0),IF($A106="S",$Y106/$X106,""),($Y106/$X106)*100),0)</f>
        <v>0</v>
      </c>
      <c r="X106" s="433" t="str">
        <f ca="1">IF($Y106&gt;0,CHOOSE(MATCH(RegimeExecucao,{"Unitário","Global"},0),IF($A106="S",ROUND($H106,ORÇAMENTO!$AF$10),""),ROUND($I106,ORÇAMENTO!$AF$11)),"")</f>
        <v/>
      </c>
      <c r="Y106" s="433">
        <f t="shared" ca="1" si="22"/>
        <v>0</v>
      </c>
      <c r="Z106" s="434"/>
      <c r="AB106" s="431"/>
      <c r="AC106" s="599"/>
      <c r="AD106" s="599"/>
      <c r="AE106" s="599"/>
      <c r="AF106" s="599"/>
      <c r="AG106" s="599"/>
      <c r="AH106" s="599"/>
      <c r="AI106" s="599"/>
      <c r="AJ106" s="599"/>
      <c r="AK106" s="599"/>
      <c r="AL106" s="599"/>
      <c r="AM106" s="432"/>
      <c r="AO106">
        <f ca="1">IF($A106="S",IF(BM!$I106=0,0,CHOOSE(MATCH(RegimeExecucao,{"Global","Unitário"},0),ROUND(ROUND(BM.MEDAcumulado,15-13*BM!$A$9)/100*BM!$I106,15-13*ORÇAMENTO!$AF$11),ROUND(ROUND(BM.MEDAcumulado,15-13*BM!$A$9)*ROUND(BM!$H106,15-13*ORÇAMENTO!$AF$10),15-13*ORÇAMENTO!$AF$11))),IF($A106=0,0,ROUND(SomaAgrupBM,15-13*ORÇAMENTO!$AF$11)))</f>
        <v>0</v>
      </c>
    </row>
    <row r="107" spans="1:41" ht="13.8" x14ac:dyDescent="0.3">
      <c r="A107">
        <f ca="1">ORÇAMENTO!C107</f>
        <v>3</v>
      </c>
      <c r="B107">
        <f ca="1">ORÇAMENTO!D107</f>
        <v>5</v>
      </c>
      <c r="C107" s="143" t="str">
        <f t="shared" ca="1" si="12"/>
        <v>F</v>
      </c>
      <c r="D107" s="146" t="str">
        <f ca="1">ORÇAMENTO!O107</f>
        <v>1.4.3.</v>
      </c>
      <c r="E107" s="206" t="str">
        <f t="shared" si="13"/>
        <v>CONCRETO ARMADO - PILARES E VIGAS- RESERVATÓRIO</v>
      </c>
      <c r="F107" s="207" t="str">
        <f t="shared" ca="1" si="14"/>
        <v>-</v>
      </c>
      <c r="G107" s="151">
        <f ca="1">IF(RegimeExecucao="Global","",ORÇAMENTO!T107)</f>
        <v>0</v>
      </c>
      <c r="H107" s="151">
        <f ca="1">IF(RegimeExecucao="Global","",ORÇAMENTO!W107)</f>
        <v>0</v>
      </c>
      <c r="I107" s="154">
        <f ca="1">ORÇAMENTO!X107</f>
        <v>0</v>
      </c>
      <c r="J107" s="427">
        <f t="shared" ca="1" si="15"/>
        <v>0</v>
      </c>
      <c r="K107" s="151">
        <f t="shared" ca="1" si="16"/>
        <v>0</v>
      </c>
      <c r="L107" s="428">
        <f t="shared" ca="1" si="17"/>
        <v>0</v>
      </c>
      <c r="M107" s="429">
        <f ca="1">IF($A107="S",VTOTALBM,IF($A107=0,0,ROUND(SomaAgrupBM,15-13*ORÇAMENTO!$AF$11)))</f>
        <v>0</v>
      </c>
      <c r="N107" s="430">
        <f t="shared" ca="1" si="18"/>
        <v>0</v>
      </c>
      <c r="O107" s="154">
        <f ca="1">IF($A107="S",VTOTALBM,IF($A107=0,0,ROUND(SomaAgrupBM,15-13*ORÇAMENTO!$AF$11)))</f>
        <v>0</v>
      </c>
      <c r="Q107" s="431"/>
      <c r="R107" s="432"/>
      <c r="T107" s="146" t="str">
        <f t="shared" ca="1" si="19"/>
        <v/>
      </c>
      <c r="U107" s="206" t="str">
        <f t="shared" ca="1" si="20"/>
        <v/>
      </c>
      <c r="V107" s="207" t="str">
        <f t="shared" ca="1" si="21"/>
        <v/>
      </c>
      <c r="W107" s="634">
        <f ca="1">IF($Y107&gt;0,CHOOSE(MATCH(RegimeExecucao,{"Unitário","Global"},0),IF($A107="S",$Y107/$X107,""),($Y107/$X107)*100),0)</f>
        <v>0</v>
      </c>
      <c r="X107" s="433" t="str">
        <f ca="1">IF($Y107&gt;0,CHOOSE(MATCH(RegimeExecucao,{"Unitário","Global"},0),IF($A107="S",ROUND($H107,ORÇAMENTO!$AF$10),""),ROUND($I107,ORÇAMENTO!$AF$11)),"")</f>
        <v/>
      </c>
      <c r="Y107" s="433">
        <f t="shared" ca="1" si="22"/>
        <v>0</v>
      </c>
      <c r="Z107" s="434"/>
      <c r="AB107" s="431"/>
      <c r="AC107" s="599"/>
      <c r="AD107" s="599"/>
      <c r="AE107" s="599"/>
      <c r="AF107" s="599"/>
      <c r="AG107" s="599"/>
      <c r="AH107" s="599"/>
      <c r="AI107" s="599"/>
      <c r="AJ107" s="599"/>
      <c r="AK107" s="599"/>
      <c r="AL107" s="599"/>
      <c r="AM107" s="432"/>
      <c r="AO107">
        <f ca="1">IF($A107="S",IF(BM!$I107=0,0,CHOOSE(MATCH(RegimeExecucao,{"Global","Unitário"},0),ROUND(ROUND(BM.MEDAcumulado,15-13*BM!$A$9)/100*BM!$I107,15-13*ORÇAMENTO!$AF$11),ROUND(ROUND(BM.MEDAcumulado,15-13*BM!$A$9)*ROUND(BM!$H107,15-13*ORÇAMENTO!$AF$10),15-13*ORÇAMENTO!$AF$11))),IF($A107=0,0,ROUND(SomaAgrupBM,15-13*ORÇAMENTO!$AF$11)))</f>
        <v>0</v>
      </c>
    </row>
    <row r="108" spans="1:41" ht="13.8" x14ac:dyDescent="0.3">
      <c r="A108" t="str">
        <f ca="1">ORÇAMENTO!C108</f>
        <v>S</v>
      </c>
      <c r="B108">
        <f ca="1">ORÇAMENTO!D108</f>
        <v>0</v>
      </c>
      <c r="C108" s="143" t="str">
        <f t="shared" ca="1" si="12"/>
        <v/>
      </c>
      <c r="D108" s="146" t="str">
        <f ca="1">ORÇAMENTO!O108</f>
        <v>-</v>
      </c>
      <c r="E108" s="206" t="str">
        <f t="shared" ca="1" si="13"/>
        <v>(abra o arquivo 'Referência 05-2024.xls)</v>
      </c>
      <c r="F108" s="207" t="str">
        <f t="shared" ca="1" si="14"/>
        <v>-</v>
      </c>
      <c r="G108" s="151">
        <f ca="1">IF(RegimeExecucao="Global","",ORÇAMENTO!T108)</f>
        <v>16</v>
      </c>
      <c r="H108" s="151">
        <f ca="1">IF(RegimeExecucao="Global","",ORÇAMENTO!W108)</f>
        <v>0</v>
      </c>
      <c r="I108" s="154">
        <f ca="1">ORÇAMENTO!X108</f>
        <v>0</v>
      </c>
      <c r="J108" s="427">
        <f t="shared" ca="1" si="15"/>
        <v>0</v>
      </c>
      <c r="K108" s="151">
        <f t="shared" ca="1" si="16"/>
        <v>0</v>
      </c>
      <c r="L108" s="428">
        <f t="shared" ca="1" si="17"/>
        <v>0</v>
      </c>
      <c r="M108" s="429">
        <f ca="1">IF($A108="S",VTOTALBM,IF($A108=0,0,ROUND(SomaAgrupBM,15-13*ORÇAMENTO!$AF$11)))</f>
        <v>0</v>
      </c>
      <c r="N108" s="430">
        <f t="shared" ca="1" si="18"/>
        <v>0</v>
      </c>
      <c r="O108" s="154">
        <f ca="1">IF($A108="S",VTOTALBM,IF($A108=0,0,ROUND(SomaAgrupBM,15-13*ORÇAMENTO!$AF$11)))</f>
        <v>0</v>
      </c>
      <c r="Q108" s="431"/>
      <c r="R108" s="432"/>
      <c r="T108" s="146" t="str">
        <f t="shared" ca="1" si="19"/>
        <v/>
      </c>
      <c r="U108" s="206" t="str">
        <f t="shared" ca="1" si="20"/>
        <v/>
      </c>
      <c r="V108" s="207" t="str">
        <f t="shared" ca="1" si="21"/>
        <v/>
      </c>
      <c r="W108" s="634">
        <f ca="1">IF($Y108&gt;0,CHOOSE(MATCH(RegimeExecucao,{"Unitário","Global"},0),IF($A108="S",$Y108/$X108,""),($Y108/$X108)*100),0)</f>
        <v>0</v>
      </c>
      <c r="X108" s="433" t="str">
        <f ca="1">IF($Y108&gt;0,CHOOSE(MATCH(RegimeExecucao,{"Unitário","Global"},0),IF($A108="S",ROUND($H108,ORÇAMENTO!$AF$10),""),ROUND($I108,ORÇAMENTO!$AF$11)),"")</f>
        <v/>
      </c>
      <c r="Y108" s="433">
        <f t="shared" ca="1" si="22"/>
        <v>0</v>
      </c>
      <c r="Z108" s="434"/>
      <c r="AB108" s="431"/>
      <c r="AC108" s="599"/>
      <c r="AD108" s="599"/>
      <c r="AE108" s="599"/>
      <c r="AF108" s="599"/>
      <c r="AG108" s="599"/>
      <c r="AH108" s="599"/>
      <c r="AI108" s="599"/>
      <c r="AJ108" s="599"/>
      <c r="AK108" s="599"/>
      <c r="AL108" s="599"/>
      <c r="AM108" s="432"/>
      <c r="AO108">
        <f ca="1">IF($A108="S",IF(BM!$I108=0,0,CHOOSE(MATCH(RegimeExecucao,{"Global","Unitário"},0),ROUND(ROUND(BM.MEDAcumulado,15-13*BM!$A$9)/100*BM!$I108,15-13*ORÇAMENTO!$AF$11),ROUND(ROUND(BM.MEDAcumulado,15-13*BM!$A$9)*ROUND(BM!$H108,15-13*ORÇAMENTO!$AF$10),15-13*ORÇAMENTO!$AF$11))),IF($A108=0,0,ROUND(SomaAgrupBM,15-13*ORÇAMENTO!$AF$11)))</f>
        <v>0</v>
      </c>
    </row>
    <row r="109" spans="1:41" ht="13.8" x14ac:dyDescent="0.3">
      <c r="A109" t="str">
        <f ca="1">ORÇAMENTO!C109</f>
        <v>S</v>
      </c>
      <c r="B109">
        <f ca="1">ORÇAMENTO!D109</f>
        <v>0</v>
      </c>
      <c r="C109" s="143" t="str">
        <f t="shared" ca="1" si="12"/>
        <v/>
      </c>
      <c r="D109" s="146" t="str">
        <f ca="1">ORÇAMENTO!O109</f>
        <v>-</v>
      </c>
      <c r="E109" s="206" t="str">
        <f t="shared" ca="1" si="13"/>
        <v>(abra o arquivo 'Referência 05-2024.xls)</v>
      </c>
      <c r="F109" s="207" t="str">
        <f t="shared" ca="1" si="14"/>
        <v>-</v>
      </c>
      <c r="G109" s="151">
        <f ca="1">IF(RegimeExecucao="Global","",ORÇAMENTO!T109)</f>
        <v>79.45</v>
      </c>
      <c r="H109" s="151">
        <f ca="1">IF(RegimeExecucao="Global","",ORÇAMENTO!W109)</f>
        <v>0</v>
      </c>
      <c r="I109" s="154">
        <f ca="1">ORÇAMENTO!X109</f>
        <v>0</v>
      </c>
      <c r="J109" s="427">
        <f t="shared" ca="1" si="15"/>
        <v>0</v>
      </c>
      <c r="K109" s="151">
        <f t="shared" ca="1" si="16"/>
        <v>0</v>
      </c>
      <c r="L109" s="428">
        <f t="shared" ca="1" si="17"/>
        <v>0</v>
      </c>
      <c r="M109" s="429">
        <f ca="1">IF($A109="S",VTOTALBM,IF($A109=0,0,ROUND(SomaAgrupBM,15-13*ORÇAMENTO!$AF$11)))</f>
        <v>0</v>
      </c>
      <c r="N109" s="430">
        <f t="shared" ca="1" si="18"/>
        <v>0</v>
      </c>
      <c r="O109" s="154">
        <f ca="1">IF($A109="S",VTOTALBM,IF($A109=0,0,ROUND(SomaAgrupBM,15-13*ORÇAMENTO!$AF$11)))</f>
        <v>0</v>
      </c>
      <c r="Q109" s="431"/>
      <c r="R109" s="432"/>
      <c r="T109" s="146" t="str">
        <f t="shared" ca="1" si="19"/>
        <v/>
      </c>
      <c r="U109" s="206" t="str">
        <f t="shared" ca="1" si="20"/>
        <v/>
      </c>
      <c r="V109" s="207" t="str">
        <f t="shared" ca="1" si="21"/>
        <v/>
      </c>
      <c r="W109" s="634">
        <f ca="1">IF($Y109&gt;0,CHOOSE(MATCH(RegimeExecucao,{"Unitário","Global"},0),IF($A109="S",$Y109/$X109,""),($Y109/$X109)*100),0)</f>
        <v>0</v>
      </c>
      <c r="X109" s="433" t="str">
        <f ca="1">IF($Y109&gt;0,CHOOSE(MATCH(RegimeExecucao,{"Unitário","Global"},0),IF($A109="S",ROUND($H109,ORÇAMENTO!$AF$10),""),ROUND($I109,ORÇAMENTO!$AF$11)),"")</f>
        <v/>
      </c>
      <c r="Y109" s="433">
        <f t="shared" ca="1" si="22"/>
        <v>0</v>
      </c>
      <c r="Z109" s="434"/>
      <c r="AB109" s="431"/>
      <c r="AC109" s="599"/>
      <c r="AD109" s="599"/>
      <c r="AE109" s="599"/>
      <c r="AF109" s="599"/>
      <c r="AG109" s="599"/>
      <c r="AH109" s="599"/>
      <c r="AI109" s="599"/>
      <c r="AJ109" s="599"/>
      <c r="AK109" s="599"/>
      <c r="AL109" s="599"/>
      <c r="AM109" s="432"/>
      <c r="AO109">
        <f ca="1">IF($A109="S",IF(BM!$I109=0,0,CHOOSE(MATCH(RegimeExecucao,{"Global","Unitário"},0),ROUND(ROUND(BM.MEDAcumulado,15-13*BM!$A$9)/100*BM!$I109,15-13*ORÇAMENTO!$AF$11),ROUND(ROUND(BM.MEDAcumulado,15-13*BM!$A$9)*ROUND(BM!$H109,15-13*ORÇAMENTO!$AF$10),15-13*ORÇAMENTO!$AF$11))),IF($A109=0,0,ROUND(SomaAgrupBM,15-13*ORÇAMENTO!$AF$11)))</f>
        <v>0</v>
      </c>
    </row>
    <row r="110" spans="1:41" ht="13.8" x14ac:dyDescent="0.3">
      <c r="A110" t="str">
        <f ca="1">ORÇAMENTO!C110</f>
        <v>S</v>
      </c>
      <c r="B110">
        <f ca="1">ORÇAMENTO!D110</f>
        <v>0</v>
      </c>
      <c r="C110" s="143" t="str">
        <f t="shared" ca="1" si="12"/>
        <v/>
      </c>
      <c r="D110" s="146" t="str">
        <f ca="1">ORÇAMENTO!O110</f>
        <v>-</v>
      </c>
      <c r="E110" s="206" t="str">
        <f t="shared" ca="1" si="13"/>
        <v>(abra o arquivo 'Referência 05-2024.xls)</v>
      </c>
      <c r="F110" s="207" t="str">
        <f t="shared" ca="1" si="14"/>
        <v>-</v>
      </c>
      <c r="G110" s="151">
        <f ca="1">IF(RegimeExecucao="Global","",ORÇAMENTO!T110)</f>
        <v>27.61</v>
      </c>
      <c r="H110" s="151">
        <f ca="1">IF(RegimeExecucao="Global","",ORÇAMENTO!W110)</f>
        <v>0</v>
      </c>
      <c r="I110" s="154">
        <f ca="1">ORÇAMENTO!X110</f>
        <v>0</v>
      </c>
      <c r="J110" s="427">
        <f t="shared" ca="1" si="15"/>
        <v>0</v>
      </c>
      <c r="K110" s="151">
        <f t="shared" ca="1" si="16"/>
        <v>0</v>
      </c>
      <c r="L110" s="428">
        <f t="shared" ca="1" si="17"/>
        <v>0</v>
      </c>
      <c r="M110" s="429">
        <f ca="1">IF($A110="S",VTOTALBM,IF($A110=0,0,ROUND(SomaAgrupBM,15-13*ORÇAMENTO!$AF$11)))</f>
        <v>0</v>
      </c>
      <c r="N110" s="430">
        <f t="shared" ca="1" si="18"/>
        <v>0</v>
      </c>
      <c r="O110" s="154">
        <f ca="1">IF($A110="S",VTOTALBM,IF($A110=0,0,ROUND(SomaAgrupBM,15-13*ORÇAMENTO!$AF$11)))</f>
        <v>0</v>
      </c>
      <c r="Q110" s="431"/>
      <c r="R110" s="432"/>
      <c r="T110" s="146" t="str">
        <f t="shared" ca="1" si="19"/>
        <v/>
      </c>
      <c r="U110" s="206" t="str">
        <f t="shared" ca="1" si="20"/>
        <v/>
      </c>
      <c r="V110" s="207" t="str">
        <f t="shared" ca="1" si="21"/>
        <v/>
      </c>
      <c r="W110" s="634">
        <f ca="1">IF($Y110&gt;0,CHOOSE(MATCH(RegimeExecucao,{"Unitário","Global"},0),IF($A110="S",$Y110/$X110,""),($Y110/$X110)*100),0)</f>
        <v>0</v>
      </c>
      <c r="X110" s="433" t="str">
        <f ca="1">IF($Y110&gt;0,CHOOSE(MATCH(RegimeExecucao,{"Unitário","Global"},0),IF($A110="S",ROUND($H110,ORÇAMENTO!$AF$10),""),ROUND($I110,ORÇAMENTO!$AF$11)),"")</f>
        <v/>
      </c>
      <c r="Y110" s="433">
        <f t="shared" ca="1" si="22"/>
        <v>0</v>
      </c>
      <c r="Z110" s="434"/>
      <c r="AB110" s="431"/>
      <c r="AC110" s="599"/>
      <c r="AD110" s="599"/>
      <c r="AE110" s="599"/>
      <c r="AF110" s="599"/>
      <c r="AG110" s="599"/>
      <c r="AH110" s="599"/>
      <c r="AI110" s="599"/>
      <c r="AJ110" s="599"/>
      <c r="AK110" s="599"/>
      <c r="AL110" s="599"/>
      <c r="AM110" s="432"/>
      <c r="AO110">
        <f ca="1">IF($A110="S",IF(BM!$I110=0,0,CHOOSE(MATCH(RegimeExecucao,{"Global","Unitário"},0),ROUND(ROUND(BM.MEDAcumulado,15-13*BM!$A$9)/100*BM!$I110,15-13*ORÇAMENTO!$AF$11),ROUND(ROUND(BM.MEDAcumulado,15-13*BM!$A$9)*ROUND(BM!$H110,15-13*ORÇAMENTO!$AF$10),15-13*ORÇAMENTO!$AF$11))),IF($A110=0,0,ROUND(SomaAgrupBM,15-13*ORÇAMENTO!$AF$11)))</f>
        <v>0</v>
      </c>
    </row>
    <row r="111" spans="1:41" ht="13.8" x14ac:dyDescent="0.3">
      <c r="A111" t="str">
        <f ca="1">ORÇAMENTO!C111</f>
        <v>S</v>
      </c>
      <c r="B111">
        <f ca="1">ORÇAMENTO!D111</f>
        <v>0</v>
      </c>
      <c r="C111" s="143" t="str">
        <f t="shared" ca="1" si="12"/>
        <v/>
      </c>
      <c r="D111" s="146" t="str">
        <f ca="1">ORÇAMENTO!O111</f>
        <v>-</v>
      </c>
      <c r="E111" s="206" t="str">
        <f t="shared" ca="1" si="13"/>
        <v>(abra o arquivo 'Referência 05-2024.xls)</v>
      </c>
      <c r="F111" s="207" t="str">
        <f t="shared" ca="1" si="14"/>
        <v>-</v>
      </c>
      <c r="G111" s="151">
        <f ca="1">IF(RegimeExecucao="Global","",ORÇAMENTO!T111)</f>
        <v>1.0900000000000001</v>
      </c>
      <c r="H111" s="151">
        <f ca="1">IF(RegimeExecucao="Global","",ORÇAMENTO!W111)</f>
        <v>0</v>
      </c>
      <c r="I111" s="154">
        <f ca="1">ORÇAMENTO!X111</f>
        <v>0</v>
      </c>
      <c r="J111" s="427">
        <f t="shared" ca="1" si="15"/>
        <v>0</v>
      </c>
      <c r="K111" s="151">
        <f t="shared" ca="1" si="16"/>
        <v>0</v>
      </c>
      <c r="L111" s="428">
        <f t="shared" ca="1" si="17"/>
        <v>0</v>
      </c>
      <c r="M111" s="429">
        <f ca="1">IF($A111="S",VTOTALBM,IF($A111=0,0,ROUND(SomaAgrupBM,15-13*ORÇAMENTO!$AF$11)))</f>
        <v>0</v>
      </c>
      <c r="N111" s="430">
        <f t="shared" ca="1" si="18"/>
        <v>0</v>
      </c>
      <c r="O111" s="154">
        <f ca="1">IF($A111="S",VTOTALBM,IF($A111=0,0,ROUND(SomaAgrupBM,15-13*ORÇAMENTO!$AF$11)))</f>
        <v>0</v>
      </c>
      <c r="Q111" s="431"/>
      <c r="R111" s="432"/>
      <c r="T111" s="146" t="str">
        <f t="shared" ca="1" si="19"/>
        <v/>
      </c>
      <c r="U111" s="206" t="str">
        <f t="shared" ca="1" si="20"/>
        <v/>
      </c>
      <c r="V111" s="207" t="str">
        <f t="shared" ca="1" si="21"/>
        <v/>
      </c>
      <c r="W111" s="634">
        <f ca="1">IF($Y111&gt;0,CHOOSE(MATCH(RegimeExecucao,{"Unitário","Global"},0),IF($A111="S",$Y111/$X111,""),($Y111/$X111)*100),0)</f>
        <v>0</v>
      </c>
      <c r="X111" s="433" t="str">
        <f ca="1">IF($Y111&gt;0,CHOOSE(MATCH(RegimeExecucao,{"Unitário","Global"},0),IF($A111="S",ROUND($H111,ORÇAMENTO!$AF$10),""),ROUND($I111,ORÇAMENTO!$AF$11)),"")</f>
        <v/>
      </c>
      <c r="Y111" s="433">
        <f t="shared" ca="1" si="22"/>
        <v>0</v>
      </c>
      <c r="Z111" s="434"/>
      <c r="AB111" s="431"/>
      <c r="AC111" s="599"/>
      <c r="AD111" s="599"/>
      <c r="AE111" s="599"/>
      <c r="AF111" s="599"/>
      <c r="AG111" s="599"/>
      <c r="AH111" s="599"/>
      <c r="AI111" s="599"/>
      <c r="AJ111" s="599"/>
      <c r="AK111" s="599"/>
      <c r="AL111" s="599"/>
      <c r="AM111" s="432"/>
      <c r="AO111">
        <f ca="1">IF($A111="S",IF(BM!$I111=0,0,CHOOSE(MATCH(RegimeExecucao,{"Global","Unitário"},0),ROUND(ROUND(BM.MEDAcumulado,15-13*BM!$A$9)/100*BM!$I111,15-13*ORÇAMENTO!$AF$11),ROUND(ROUND(BM.MEDAcumulado,15-13*BM!$A$9)*ROUND(BM!$H111,15-13*ORÇAMENTO!$AF$10),15-13*ORÇAMENTO!$AF$11))),IF($A111=0,0,ROUND(SomaAgrupBM,15-13*ORÇAMENTO!$AF$11)))</f>
        <v>0</v>
      </c>
    </row>
    <row r="112" spans="1:41" ht="13.8" x14ac:dyDescent="0.3">
      <c r="A112">
        <f ca="1">ORÇAMENTO!C112</f>
        <v>3</v>
      </c>
      <c r="B112">
        <f ca="1">ORÇAMENTO!D112</f>
        <v>10</v>
      </c>
      <c r="C112" s="143" t="str">
        <f t="shared" ca="1" si="12"/>
        <v>F</v>
      </c>
      <c r="D112" s="146" t="str">
        <f ca="1">ORÇAMENTO!O112</f>
        <v>1.4.4.</v>
      </c>
      <c r="E112" s="206" t="str">
        <f t="shared" si="13"/>
        <v>CONCRETO ARMADO - VIGAS</v>
      </c>
      <c r="F112" s="207" t="str">
        <f t="shared" ca="1" si="14"/>
        <v>-</v>
      </c>
      <c r="G112" s="151">
        <f ca="1">IF(RegimeExecucao="Global","",ORÇAMENTO!T112)</f>
        <v>0</v>
      </c>
      <c r="H112" s="151">
        <f ca="1">IF(RegimeExecucao="Global","",ORÇAMENTO!W112)</f>
        <v>0</v>
      </c>
      <c r="I112" s="154">
        <f ca="1">ORÇAMENTO!X112</f>
        <v>0</v>
      </c>
      <c r="J112" s="427">
        <f t="shared" ca="1" si="15"/>
        <v>0</v>
      </c>
      <c r="K112" s="151">
        <f t="shared" ca="1" si="16"/>
        <v>0</v>
      </c>
      <c r="L112" s="428">
        <f t="shared" ca="1" si="17"/>
        <v>0</v>
      </c>
      <c r="M112" s="429">
        <f ca="1">IF($A112="S",VTOTALBM,IF($A112=0,0,ROUND(SomaAgrupBM,15-13*ORÇAMENTO!$AF$11)))</f>
        <v>0</v>
      </c>
      <c r="N112" s="430">
        <f t="shared" ca="1" si="18"/>
        <v>0</v>
      </c>
      <c r="O112" s="154">
        <f ca="1">IF($A112="S",VTOTALBM,IF($A112=0,0,ROUND(SomaAgrupBM,15-13*ORÇAMENTO!$AF$11)))</f>
        <v>0</v>
      </c>
      <c r="Q112" s="431"/>
      <c r="R112" s="432"/>
      <c r="T112" s="146" t="str">
        <f t="shared" ca="1" si="19"/>
        <v/>
      </c>
      <c r="U112" s="206" t="str">
        <f t="shared" ca="1" si="20"/>
        <v/>
      </c>
      <c r="V112" s="207" t="str">
        <f t="shared" ca="1" si="21"/>
        <v/>
      </c>
      <c r="W112" s="634">
        <f ca="1">IF($Y112&gt;0,CHOOSE(MATCH(RegimeExecucao,{"Unitário","Global"},0),IF($A112="S",$Y112/$X112,""),($Y112/$X112)*100),0)</f>
        <v>0</v>
      </c>
      <c r="X112" s="433" t="str">
        <f ca="1">IF($Y112&gt;0,CHOOSE(MATCH(RegimeExecucao,{"Unitário","Global"},0),IF($A112="S",ROUND($H112,ORÇAMENTO!$AF$10),""),ROUND($I112,ORÇAMENTO!$AF$11)),"")</f>
        <v/>
      </c>
      <c r="Y112" s="433">
        <f t="shared" ca="1" si="22"/>
        <v>0</v>
      </c>
      <c r="Z112" s="434"/>
      <c r="AB112" s="431"/>
      <c r="AC112" s="599"/>
      <c r="AD112" s="599"/>
      <c r="AE112" s="599"/>
      <c r="AF112" s="599"/>
      <c r="AG112" s="599"/>
      <c r="AH112" s="599"/>
      <c r="AI112" s="599"/>
      <c r="AJ112" s="599"/>
      <c r="AK112" s="599"/>
      <c r="AL112" s="599"/>
      <c r="AM112" s="432"/>
      <c r="AO112">
        <f ca="1">IF($A112="S",IF(BM!$I112=0,0,CHOOSE(MATCH(RegimeExecucao,{"Global","Unitário"},0),ROUND(ROUND(BM.MEDAcumulado,15-13*BM!$A$9)/100*BM!$I112,15-13*ORÇAMENTO!$AF$11),ROUND(ROUND(BM.MEDAcumulado,15-13*BM!$A$9)*ROUND(BM!$H112,15-13*ORÇAMENTO!$AF$10),15-13*ORÇAMENTO!$AF$11))),IF($A112=0,0,ROUND(SomaAgrupBM,15-13*ORÇAMENTO!$AF$11)))</f>
        <v>0</v>
      </c>
    </row>
    <row r="113" spans="1:41" ht="13.8" x14ac:dyDescent="0.3">
      <c r="A113" t="str">
        <f ca="1">ORÇAMENTO!C113</f>
        <v>S</v>
      </c>
      <c r="B113">
        <f ca="1">ORÇAMENTO!D113</f>
        <v>0</v>
      </c>
      <c r="C113" s="143" t="str">
        <f t="shared" ca="1" si="12"/>
        <v/>
      </c>
      <c r="D113" s="146" t="str">
        <f ca="1">ORÇAMENTO!O113</f>
        <v>-</v>
      </c>
      <c r="E113" s="206" t="str">
        <f t="shared" ca="1" si="13"/>
        <v>(abra o arquivo 'Referência 05-2024.xls)</v>
      </c>
      <c r="F113" s="207" t="str">
        <f t="shared" ca="1" si="14"/>
        <v>-</v>
      </c>
      <c r="G113" s="151">
        <f ca="1">IF(RegimeExecucao="Global","",ORÇAMENTO!T113)</f>
        <v>1194.01</v>
      </c>
      <c r="H113" s="151">
        <f ca="1">IF(RegimeExecucao="Global","",ORÇAMENTO!W113)</f>
        <v>0</v>
      </c>
      <c r="I113" s="154">
        <f ca="1">ORÇAMENTO!X113</f>
        <v>0</v>
      </c>
      <c r="J113" s="427">
        <f t="shared" ca="1" si="15"/>
        <v>0</v>
      </c>
      <c r="K113" s="151">
        <f t="shared" ca="1" si="16"/>
        <v>0</v>
      </c>
      <c r="L113" s="428">
        <f t="shared" ca="1" si="17"/>
        <v>0</v>
      </c>
      <c r="M113" s="429">
        <f ca="1">IF($A113="S",VTOTALBM,IF($A113=0,0,ROUND(SomaAgrupBM,15-13*ORÇAMENTO!$AF$11)))</f>
        <v>0</v>
      </c>
      <c r="N113" s="430">
        <f t="shared" ca="1" si="18"/>
        <v>0</v>
      </c>
      <c r="O113" s="154">
        <f ca="1">IF($A113="S",VTOTALBM,IF($A113=0,0,ROUND(SomaAgrupBM,15-13*ORÇAMENTO!$AF$11)))</f>
        <v>0</v>
      </c>
      <c r="Q113" s="431"/>
      <c r="R113" s="432"/>
      <c r="T113" s="146" t="str">
        <f t="shared" ca="1" si="19"/>
        <v/>
      </c>
      <c r="U113" s="206" t="str">
        <f t="shared" ca="1" si="20"/>
        <v/>
      </c>
      <c r="V113" s="207" t="str">
        <f t="shared" ca="1" si="21"/>
        <v/>
      </c>
      <c r="W113" s="634">
        <f ca="1">IF($Y113&gt;0,CHOOSE(MATCH(RegimeExecucao,{"Unitário","Global"},0),IF($A113="S",$Y113/$X113,""),($Y113/$X113)*100),0)</f>
        <v>0</v>
      </c>
      <c r="X113" s="433" t="str">
        <f ca="1">IF($Y113&gt;0,CHOOSE(MATCH(RegimeExecucao,{"Unitário","Global"},0),IF($A113="S",ROUND($H113,ORÇAMENTO!$AF$10),""),ROUND($I113,ORÇAMENTO!$AF$11)),"")</f>
        <v/>
      </c>
      <c r="Y113" s="433">
        <f t="shared" ca="1" si="22"/>
        <v>0</v>
      </c>
      <c r="Z113" s="434"/>
      <c r="AB113" s="431"/>
      <c r="AC113" s="599"/>
      <c r="AD113" s="599"/>
      <c r="AE113" s="599"/>
      <c r="AF113" s="599"/>
      <c r="AG113" s="599"/>
      <c r="AH113" s="599"/>
      <c r="AI113" s="599"/>
      <c r="AJ113" s="599"/>
      <c r="AK113" s="599"/>
      <c r="AL113" s="599"/>
      <c r="AM113" s="432"/>
      <c r="AO113">
        <f ca="1">IF($A113="S",IF(BM!$I113=0,0,CHOOSE(MATCH(RegimeExecucao,{"Global","Unitário"},0),ROUND(ROUND(BM.MEDAcumulado,15-13*BM!$A$9)/100*BM!$I113,15-13*ORÇAMENTO!$AF$11),ROUND(ROUND(BM.MEDAcumulado,15-13*BM!$A$9)*ROUND(BM!$H113,15-13*ORÇAMENTO!$AF$10),15-13*ORÇAMENTO!$AF$11))),IF($A113=0,0,ROUND(SomaAgrupBM,15-13*ORÇAMENTO!$AF$11)))</f>
        <v>0</v>
      </c>
    </row>
    <row r="114" spans="1:41" ht="13.8" x14ac:dyDescent="0.3">
      <c r="A114" t="str">
        <f ca="1">ORÇAMENTO!C114</f>
        <v>S</v>
      </c>
      <c r="B114">
        <f ca="1">ORÇAMENTO!D114</f>
        <v>0</v>
      </c>
      <c r="C114" s="143" t="str">
        <f t="shared" ca="1" si="12"/>
        <v/>
      </c>
      <c r="D114" s="146" t="str">
        <f ca="1">ORÇAMENTO!O114</f>
        <v>-</v>
      </c>
      <c r="E114" s="206" t="str">
        <f t="shared" ca="1" si="13"/>
        <v>(abra o arquivo 'Referência 05-2024.xls)</v>
      </c>
      <c r="F114" s="207" t="str">
        <f t="shared" ca="1" si="14"/>
        <v>-</v>
      </c>
      <c r="G114" s="151">
        <f ca="1">IF(RegimeExecucao="Global","",ORÇAMENTO!T114)</f>
        <v>252.6</v>
      </c>
      <c r="H114" s="151">
        <f ca="1">IF(RegimeExecucao="Global","",ORÇAMENTO!W114)</f>
        <v>0</v>
      </c>
      <c r="I114" s="154">
        <f ca="1">ORÇAMENTO!X114</f>
        <v>0</v>
      </c>
      <c r="J114" s="427">
        <f t="shared" ca="1" si="15"/>
        <v>0</v>
      </c>
      <c r="K114" s="151">
        <f t="shared" ca="1" si="16"/>
        <v>0</v>
      </c>
      <c r="L114" s="428">
        <f t="shared" ca="1" si="17"/>
        <v>0</v>
      </c>
      <c r="M114" s="429">
        <f ca="1">IF($A114="S",VTOTALBM,IF($A114=0,0,ROUND(SomaAgrupBM,15-13*ORÇAMENTO!$AF$11)))</f>
        <v>0</v>
      </c>
      <c r="N114" s="430">
        <f t="shared" ca="1" si="18"/>
        <v>0</v>
      </c>
      <c r="O114" s="154">
        <f ca="1">IF($A114="S",VTOTALBM,IF($A114=0,0,ROUND(SomaAgrupBM,15-13*ORÇAMENTO!$AF$11)))</f>
        <v>0</v>
      </c>
      <c r="Q114" s="431"/>
      <c r="R114" s="432"/>
      <c r="T114" s="146" t="str">
        <f t="shared" ca="1" si="19"/>
        <v/>
      </c>
      <c r="U114" s="206" t="str">
        <f t="shared" ca="1" si="20"/>
        <v/>
      </c>
      <c r="V114" s="207" t="str">
        <f t="shared" ca="1" si="21"/>
        <v/>
      </c>
      <c r="W114" s="634">
        <f ca="1">IF($Y114&gt;0,CHOOSE(MATCH(RegimeExecucao,{"Unitário","Global"},0),IF($A114="S",$Y114/$X114,""),($Y114/$X114)*100),0)</f>
        <v>0</v>
      </c>
      <c r="X114" s="433" t="str">
        <f ca="1">IF($Y114&gt;0,CHOOSE(MATCH(RegimeExecucao,{"Unitário","Global"},0),IF($A114="S",ROUND($H114,ORÇAMENTO!$AF$10),""),ROUND($I114,ORÇAMENTO!$AF$11)),"")</f>
        <v/>
      </c>
      <c r="Y114" s="433">
        <f t="shared" ca="1" si="22"/>
        <v>0</v>
      </c>
      <c r="Z114" s="434"/>
      <c r="AB114" s="431"/>
      <c r="AC114" s="599"/>
      <c r="AD114" s="599"/>
      <c r="AE114" s="599"/>
      <c r="AF114" s="599"/>
      <c r="AG114" s="599"/>
      <c r="AH114" s="599"/>
      <c r="AI114" s="599"/>
      <c r="AJ114" s="599"/>
      <c r="AK114" s="599"/>
      <c r="AL114" s="599"/>
      <c r="AM114" s="432"/>
      <c r="AO114">
        <f ca="1">IF($A114="S",IF(BM!$I114=0,0,CHOOSE(MATCH(RegimeExecucao,{"Global","Unitário"},0),ROUND(ROUND(BM.MEDAcumulado,15-13*BM!$A$9)/100*BM!$I114,15-13*ORÇAMENTO!$AF$11),ROUND(ROUND(BM.MEDAcumulado,15-13*BM!$A$9)*ROUND(BM!$H114,15-13*ORÇAMENTO!$AF$10),15-13*ORÇAMENTO!$AF$11))),IF($A114=0,0,ROUND(SomaAgrupBM,15-13*ORÇAMENTO!$AF$11)))</f>
        <v>0</v>
      </c>
    </row>
    <row r="115" spans="1:41" ht="13.8" x14ac:dyDescent="0.3">
      <c r="A115" t="str">
        <f ca="1">ORÇAMENTO!C115</f>
        <v>S</v>
      </c>
      <c r="B115">
        <f ca="1">ORÇAMENTO!D115</f>
        <v>0</v>
      </c>
      <c r="C115" s="143" t="str">
        <f t="shared" ca="1" si="12"/>
        <v/>
      </c>
      <c r="D115" s="146" t="str">
        <f ca="1">ORÇAMENTO!O115</f>
        <v>-</v>
      </c>
      <c r="E115" s="206" t="str">
        <f t="shared" ca="1" si="13"/>
        <v>(abra o arquivo 'Referência 05-2024.xls)</v>
      </c>
      <c r="F115" s="207" t="str">
        <f t="shared" ca="1" si="14"/>
        <v>-</v>
      </c>
      <c r="G115" s="151">
        <f ca="1">IF(RegimeExecucao="Global","",ORÇAMENTO!T115)</f>
        <v>1146.06</v>
      </c>
      <c r="H115" s="151">
        <f ca="1">IF(RegimeExecucao="Global","",ORÇAMENTO!W115)</f>
        <v>0</v>
      </c>
      <c r="I115" s="154">
        <f ca="1">ORÇAMENTO!X115</f>
        <v>0</v>
      </c>
      <c r="J115" s="427">
        <f t="shared" ca="1" si="15"/>
        <v>0</v>
      </c>
      <c r="K115" s="151">
        <f t="shared" ca="1" si="16"/>
        <v>0</v>
      </c>
      <c r="L115" s="428">
        <f t="shared" ca="1" si="17"/>
        <v>0</v>
      </c>
      <c r="M115" s="429">
        <f ca="1">IF($A115="S",VTOTALBM,IF($A115=0,0,ROUND(SomaAgrupBM,15-13*ORÇAMENTO!$AF$11)))</f>
        <v>0</v>
      </c>
      <c r="N115" s="430">
        <f t="shared" ca="1" si="18"/>
        <v>0</v>
      </c>
      <c r="O115" s="154">
        <f ca="1">IF($A115="S",VTOTALBM,IF($A115=0,0,ROUND(SomaAgrupBM,15-13*ORÇAMENTO!$AF$11)))</f>
        <v>0</v>
      </c>
      <c r="Q115" s="431"/>
      <c r="R115" s="432"/>
      <c r="T115" s="146" t="str">
        <f t="shared" ca="1" si="19"/>
        <v/>
      </c>
      <c r="U115" s="206" t="str">
        <f t="shared" ca="1" si="20"/>
        <v/>
      </c>
      <c r="V115" s="207" t="str">
        <f t="shared" ca="1" si="21"/>
        <v/>
      </c>
      <c r="W115" s="634">
        <f ca="1">IF($Y115&gt;0,CHOOSE(MATCH(RegimeExecucao,{"Unitário","Global"},0),IF($A115="S",$Y115/$X115,""),($Y115/$X115)*100),0)</f>
        <v>0</v>
      </c>
      <c r="X115" s="433" t="str">
        <f ca="1">IF($Y115&gt;0,CHOOSE(MATCH(RegimeExecucao,{"Unitário","Global"},0),IF($A115="S",ROUND($H115,ORÇAMENTO!$AF$10),""),ROUND($I115,ORÇAMENTO!$AF$11)),"")</f>
        <v/>
      </c>
      <c r="Y115" s="433">
        <f t="shared" ca="1" si="22"/>
        <v>0</v>
      </c>
      <c r="Z115" s="434"/>
      <c r="AB115" s="431"/>
      <c r="AC115" s="599"/>
      <c r="AD115" s="599"/>
      <c r="AE115" s="599"/>
      <c r="AF115" s="599"/>
      <c r="AG115" s="599"/>
      <c r="AH115" s="599"/>
      <c r="AI115" s="599"/>
      <c r="AJ115" s="599"/>
      <c r="AK115" s="599"/>
      <c r="AL115" s="599"/>
      <c r="AM115" s="432"/>
      <c r="AO115">
        <f ca="1">IF($A115="S",IF(BM!$I115=0,0,CHOOSE(MATCH(RegimeExecucao,{"Global","Unitário"},0),ROUND(ROUND(BM.MEDAcumulado,15-13*BM!$A$9)/100*BM!$I115,15-13*ORÇAMENTO!$AF$11),ROUND(ROUND(BM.MEDAcumulado,15-13*BM!$A$9)*ROUND(BM!$H115,15-13*ORÇAMENTO!$AF$10),15-13*ORÇAMENTO!$AF$11))),IF($A115=0,0,ROUND(SomaAgrupBM,15-13*ORÇAMENTO!$AF$11)))</f>
        <v>0</v>
      </c>
    </row>
    <row r="116" spans="1:41" ht="13.8" x14ac:dyDescent="0.3">
      <c r="A116" t="str">
        <f ca="1">ORÇAMENTO!C116</f>
        <v>S</v>
      </c>
      <c r="B116">
        <f ca="1">ORÇAMENTO!D116</f>
        <v>0</v>
      </c>
      <c r="C116" s="143" t="str">
        <f t="shared" ca="1" si="12"/>
        <v/>
      </c>
      <c r="D116" s="146" t="str">
        <f ca="1">ORÇAMENTO!O116</f>
        <v>-</v>
      </c>
      <c r="E116" s="206" t="str">
        <f t="shared" ca="1" si="13"/>
        <v>(abra o arquivo 'Referência 05-2024.xls)</v>
      </c>
      <c r="F116" s="207" t="str">
        <f t="shared" ca="1" si="14"/>
        <v>-</v>
      </c>
      <c r="G116" s="151">
        <f ca="1">IF(RegimeExecucao="Global","",ORÇAMENTO!T116)</f>
        <v>1635.22</v>
      </c>
      <c r="H116" s="151">
        <f ca="1">IF(RegimeExecucao="Global","",ORÇAMENTO!W116)</f>
        <v>0</v>
      </c>
      <c r="I116" s="154">
        <f ca="1">ORÇAMENTO!X116</f>
        <v>0</v>
      </c>
      <c r="J116" s="427">
        <f t="shared" ca="1" si="15"/>
        <v>0</v>
      </c>
      <c r="K116" s="151">
        <f t="shared" ca="1" si="16"/>
        <v>0</v>
      </c>
      <c r="L116" s="428">
        <f t="shared" ca="1" si="17"/>
        <v>0</v>
      </c>
      <c r="M116" s="429">
        <f ca="1">IF($A116="S",VTOTALBM,IF($A116=0,0,ROUND(SomaAgrupBM,15-13*ORÇAMENTO!$AF$11)))</f>
        <v>0</v>
      </c>
      <c r="N116" s="430">
        <f t="shared" ca="1" si="18"/>
        <v>0</v>
      </c>
      <c r="O116" s="154">
        <f ca="1">IF($A116="S",VTOTALBM,IF($A116=0,0,ROUND(SomaAgrupBM,15-13*ORÇAMENTO!$AF$11)))</f>
        <v>0</v>
      </c>
      <c r="Q116" s="431"/>
      <c r="R116" s="432"/>
      <c r="T116" s="146" t="str">
        <f t="shared" ca="1" si="19"/>
        <v/>
      </c>
      <c r="U116" s="206" t="str">
        <f t="shared" ca="1" si="20"/>
        <v/>
      </c>
      <c r="V116" s="207" t="str">
        <f t="shared" ca="1" si="21"/>
        <v/>
      </c>
      <c r="W116" s="634">
        <f ca="1">IF($Y116&gt;0,CHOOSE(MATCH(RegimeExecucao,{"Unitário","Global"},0),IF($A116="S",$Y116/$X116,""),($Y116/$X116)*100),0)</f>
        <v>0</v>
      </c>
      <c r="X116" s="433" t="str">
        <f ca="1">IF($Y116&gt;0,CHOOSE(MATCH(RegimeExecucao,{"Unitário","Global"},0),IF($A116="S",ROUND($H116,ORÇAMENTO!$AF$10),""),ROUND($I116,ORÇAMENTO!$AF$11)),"")</f>
        <v/>
      </c>
      <c r="Y116" s="433">
        <f t="shared" ca="1" si="22"/>
        <v>0</v>
      </c>
      <c r="Z116" s="434"/>
      <c r="AB116" s="431"/>
      <c r="AC116" s="599"/>
      <c r="AD116" s="599"/>
      <c r="AE116" s="599"/>
      <c r="AF116" s="599"/>
      <c r="AG116" s="599"/>
      <c r="AH116" s="599"/>
      <c r="AI116" s="599"/>
      <c r="AJ116" s="599"/>
      <c r="AK116" s="599"/>
      <c r="AL116" s="599"/>
      <c r="AM116" s="432"/>
      <c r="AO116">
        <f ca="1">IF($A116="S",IF(BM!$I116=0,0,CHOOSE(MATCH(RegimeExecucao,{"Global","Unitário"},0),ROUND(ROUND(BM.MEDAcumulado,15-13*BM!$A$9)/100*BM!$I116,15-13*ORÇAMENTO!$AF$11),ROUND(ROUND(BM.MEDAcumulado,15-13*BM!$A$9)*ROUND(BM!$H116,15-13*ORÇAMENTO!$AF$10),15-13*ORÇAMENTO!$AF$11))),IF($A116=0,0,ROUND(SomaAgrupBM,15-13*ORÇAMENTO!$AF$11)))</f>
        <v>0</v>
      </c>
    </row>
    <row r="117" spans="1:41" ht="13.8" x14ac:dyDescent="0.3">
      <c r="A117" t="str">
        <f ca="1">ORÇAMENTO!C117</f>
        <v>S</v>
      </c>
      <c r="B117">
        <f ca="1">ORÇAMENTO!D117</f>
        <v>0</v>
      </c>
      <c r="C117" s="143" t="str">
        <f t="shared" ca="1" si="12"/>
        <v/>
      </c>
      <c r="D117" s="146" t="str">
        <f ca="1">ORÇAMENTO!O117</f>
        <v>-</v>
      </c>
      <c r="E117" s="206" t="str">
        <f t="shared" ca="1" si="13"/>
        <v>(abra o arquivo 'Referência 05-2024.xls)</v>
      </c>
      <c r="F117" s="207" t="str">
        <f t="shared" ca="1" si="14"/>
        <v>-</v>
      </c>
      <c r="G117" s="151">
        <f ca="1">IF(RegimeExecucao="Global","",ORÇAMENTO!T117)</f>
        <v>1699.59</v>
      </c>
      <c r="H117" s="151">
        <f ca="1">IF(RegimeExecucao="Global","",ORÇAMENTO!W117)</f>
        <v>0</v>
      </c>
      <c r="I117" s="154">
        <f ca="1">ORÇAMENTO!X117</f>
        <v>0</v>
      </c>
      <c r="J117" s="427">
        <f t="shared" ca="1" si="15"/>
        <v>0</v>
      </c>
      <c r="K117" s="151">
        <f t="shared" ca="1" si="16"/>
        <v>0</v>
      </c>
      <c r="L117" s="428">
        <f t="shared" ca="1" si="17"/>
        <v>0</v>
      </c>
      <c r="M117" s="429">
        <f ca="1">IF($A117="S",VTOTALBM,IF($A117=0,0,ROUND(SomaAgrupBM,15-13*ORÇAMENTO!$AF$11)))</f>
        <v>0</v>
      </c>
      <c r="N117" s="430">
        <f t="shared" ca="1" si="18"/>
        <v>0</v>
      </c>
      <c r="O117" s="154">
        <f ca="1">IF($A117="S",VTOTALBM,IF($A117=0,0,ROUND(SomaAgrupBM,15-13*ORÇAMENTO!$AF$11)))</f>
        <v>0</v>
      </c>
      <c r="Q117" s="431"/>
      <c r="R117" s="432"/>
      <c r="T117" s="146" t="str">
        <f t="shared" ca="1" si="19"/>
        <v/>
      </c>
      <c r="U117" s="206" t="str">
        <f t="shared" ca="1" si="20"/>
        <v/>
      </c>
      <c r="V117" s="207" t="str">
        <f t="shared" ca="1" si="21"/>
        <v/>
      </c>
      <c r="W117" s="634">
        <f ca="1">IF($Y117&gt;0,CHOOSE(MATCH(RegimeExecucao,{"Unitário","Global"},0),IF($A117="S",$Y117/$X117,""),($Y117/$X117)*100),0)</f>
        <v>0</v>
      </c>
      <c r="X117" s="433" t="str">
        <f ca="1">IF($Y117&gt;0,CHOOSE(MATCH(RegimeExecucao,{"Unitário","Global"},0),IF($A117="S",ROUND($H117,ORÇAMENTO!$AF$10),""),ROUND($I117,ORÇAMENTO!$AF$11)),"")</f>
        <v/>
      </c>
      <c r="Y117" s="433">
        <f t="shared" ca="1" si="22"/>
        <v>0</v>
      </c>
      <c r="Z117" s="434"/>
      <c r="AB117" s="431"/>
      <c r="AC117" s="599"/>
      <c r="AD117" s="599"/>
      <c r="AE117" s="599"/>
      <c r="AF117" s="599"/>
      <c r="AG117" s="599"/>
      <c r="AH117" s="599"/>
      <c r="AI117" s="599"/>
      <c r="AJ117" s="599"/>
      <c r="AK117" s="599"/>
      <c r="AL117" s="599"/>
      <c r="AM117" s="432"/>
      <c r="AO117">
        <f ca="1">IF($A117="S",IF(BM!$I117=0,0,CHOOSE(MATCH(RegimeExecucao,{"Global","Unitário"},0),ROUND(ROUND(BM.MEDAcumulado,15-13*BM!$A$9)/100*BM!$I117,15-13*ORÇAMENTO!$AF$11),ROUND(ROUND(BM.MEDAcumulado,15-13*BM!$A$9)*ROUND(BM!$H117,15-13*ORÇAMENTO!$AF$10),15-13*ORÇAMENTO!$AF$11))),IF($A117=0,0,ROUND(SomaAgrupBM,15-13*ORÇAMENTO!$AF$11)))</f>
        <v>0</v>
      </c>
    </row>
    <row r="118" spans="1:41" ht="13.8" x14ac:dyDescent="0.3">
      <c r="A118" t="str">
        <f ca="1">ORÇAMENTO!C118</f>
        <v>S</v>
      </c>
      <c r="B118">
        <f ca="1">ORÇAMENTO!D118</f>
        <v>0</v>
      </c>
      <c r="C118" s="143" t="str">
        <f t="shared" ca="1" si="12"/>
        <v/>
      </c>
      <c r="D118" s="146" t="str">
        <f ca="1">ORÇAMENTO!O118</f>
        <v>-</v>
      </c>
      <c r="E118" s="206" t="str">
        <f t="shared" ca="1" si="13"/>
        <v>(abra o arquivo 'Referência 05-2024.xls)</v>
      </c>
      <c r="F118" s="207" t="str">
        <f t="shared" ca="1" si="14"/>
        <v>-</v>
      </c>
      <c r="G118" s="151">
        <f ca="1">IF(RegimeExecucao="Global","",ORÇAMENTO!T118)</f>
        <v>916.38</v>
      </c>
      <c r="H118" s="151">
        <f ca="1">IF(RegimeExecucao="Global","",ORÇAMENTO!W118)</f>
        <v>0</v>
      </c>
      <c r="I118" s="154">
        <f ca="1">ORÇAMENTO!X118</f>
        <v>0</v>
      </c>
      <c r="J118" s="427">
        <f t="shared" ca="1" si="15"/>
        <v>0</v>
      </c>
      <c r="K118" s="151">
        <f t="shared" ca="1" si="16"/>
        <v>0</v>
      </c>
      <c r="L118" s="428">
        <f t="shared" ca="1" si="17"/>
        <v>0</v>
      </c>
      <c r="M118" s="429">
        <f ca="1">IF($A118="S",VTOTALBM,IF($A118=0,0,ROUND(SomaAgrupBM,15-13*ORÇAMENTO!$AF$11)))</f>
        <v>0</v>
      </c>
      <c r="N118" s="430">
        <f t="shared" ca="1" si="18"/>
        <v>0</v>
      </c>
      <c r="O118" s="154">
        <f ca="1">IF($A118="S",VTOTALBM,IF($A118=0,0,ROUND(SomaAgrupBM,15-13*ORÇAMENTO!$AF$11)))</f>
        <v>0</v>
      </c>
      <c r="Q118" s="431"/>
      <c r="R118" s="432"/>
      <c r="T118" s="146" t="str">
        <f t="shared" ca="1" si="19"/>
        <v/>
      </c>
      <c r="U118" s="206" t="str">
        <f t="shared" ca="1" si="20"/>
        <v/>
      </c>
      <c r="V118" s="207" t="str">
        <f t="shared" ca="1" si="21"/>
        <v/>
      </c>
      <c r="W118" s="634">
        <f ca="1">IF($Y118&gt;0,CHOOSE(MATCH(RegimeExecucao,{"Unitário","Global"},0),IF($A118="S",$Y118/$X118,""),($Y118/$X118)*100),0)</f>
        <v>0</v>
      </c>
      <c r="X118" s="433" t="str">
        <f ca="1">IF($Y118&gt;0,CHOOSE(MATCH(RegimeExecucao,{"Unitário","Global"},0),IF($A118="S",ROUND($H118,ORÇAMENTO!$AF$10),""),ROUND($I118,ORÇAMENTO!$AF$11)),"")</f>
        <v/>
      </c>
      <c r="Y118" s="433">
        <f t="shared" ca="1" si="22"/>
        <v>0</v>
      </c>
      <c r="Z118" s="434"/>
      <c r="AB118" s="431"/>
      <c r="AC118" s="599"/>
      <c r="AD118" s="599"/>
      <c r="AE118" s="599"/>
      <c r="AF118" s="599"/>
      <c r="AG118" s="599"/>
      <c r="AH118" s="599"/>
      <c r="AI118" s="599"/>
      <c r="AJ118" s="599"/>
      <c r="AK118" s="599"/>
      <c r="AL118" s="599"/>
      <c r="AM118" s="432"/>
      <c r="AO118">
        <f ca="1">IF($A118="S",IF(BM!$I118=0,0,CHOOSE(MATCH(RegimeExecucao,{"Global","Unitário"},0),ROUND(ROUND(BM.MEDAcumulado,15-13*BM!$A$9)/100*BM!$I118,15-13*ORÇAMENTO!$AF$11),ROUND(ROUND(BM.MEDAcumulado,15-13*BM!$A$9)*ROUND(BM!$H118,15-13*ORÇAMENTO!$AF$10),15-13*ORÇAMENTO!$AF$11))),IF($A118=0,0,ROUND(SomaAgrupBM,15-13*ORÇAMENTO!$AF$11)))</f>
        <v>0</v>
      </c>
    </row>
    <row r="119" spans="1:41" ht="13.8" x14ac:dyDescent="0.3">
      <c r="A119" t="str">
        <f ca="1">ORÇAMENTO!C119</f>
        <v>S</v>
      </c>
      <c r="B119">
        <f ca="1">ORÇAMENTO!D119</f>
        <v>0</v>
      </c>
      <c r="C119" s="143" t="str">
        <f t="shared" ca="1" si="12"/>
        <v/>
      </c>
      <c r="D119" s="146" t="str">
        <f ca="1">ORÇAMENTO!O119</f>
        <v>-</v>
      </c>
      <c r="E119" s="206" t="str">
        <f t="shared" ca="1" si="13"/>
        <v>(abra o arquivo 'Referência 05-2024.xls)</v>
      </c>
      <c r="F119" s="207" t="str">
        <f t="shared" ca="1" si="14"/>
        <v>-</v>
      </c>
      <c r="G119" s="151">
        <f ca="1">IF(RegimeExecucao="Global","",ORÇAMENTO!T119)</f>
        <v>193.83</v>
      </c>
      <c r="H119" s="151">
        <f ca="1">IF(RegimeExecucao="Global","",ORÇAMENTO!W119)</f>
        <v>0</v>
      </c>
      <c r="I119" s="154">
        <f ca="1">ORÇAMENTO!X119</f>
        <v>0</v>
      </c>
      <c r="J119" s="427">
        <f t="shared" ca="1" si="15"/>
        <v>0</v>
      </c>
      <c r="K119" s="151">
        <f t="shared" ca="1" si="16"/>
        <v>0</v>
      </c>
      <c r="L119" s="428">
        <f t="shared" ca="1" si="17"/>
        <v>0</v>
      </c>
      <c r="M119" s="429">
        <f ca="1">IF($A119="S",VTOTALBM,IF($A119=0,0,ROUND(SomaAgrupBM,15-13*ORÇAMENTO!$AF$11)))</f>
        <v>0</v>
      </c>
      <c r="N119" s="430">
        <f t="shared" ca="1" si="18"/>
        <v>0</v>
      </c>
      <c r="O119" s="154">
        <f ca="1">IF($A119="S",VTOTALBM,IF($A119=0,0,ROUND(SomaAgrupBM,15-13*ORÇAMENTO!$AF$11)))</f>
        <v>0</v>
      </c>
      <c r="Q119" s="431"/>
      <c r="R119" s="432"/>
      <c r="T119" s="146" t="str">
        <f t="shared" ca="1" si="19"/>
        <v/>
      </c>
      <c r="U119" s="206" t="str">
        <f t="shared" ca="1" si="20"/>
        <v/>
      </c>
      <c r="V119" s="207" t="str">
        <f t="shared" ca="1" si="21"/>
        <v/>
      </c>
      <c r="W119" s="634">
        <f ca="1">IF($Y119&gt;0,CHOOSE(MATCH(RegimeExecucao,{"Unitário","Global"},0),IF($A119="S",$Y119/$X119,""),($Y119/$X119)*100),0)</f>
        <v>0</v>
      </c>
      <c r="X119" s="433" t="str">
        <f ca="1">IF($Y119&gt;0,CHOOSE(MATCH(RegimeExecucao,{"Unitário","Global"},0),IF($A119="S",ROUND($H119,ORÇAMENTO!$AF$10),""),ROUND($I119,ORÇAMENTO!$AF$11)),"")</f>
        <v/>
      </c>
      <c r="Y119" s="433">
        <f t="shared" ca="1" si="22"/>
        <v>0</v>
      </c>
      <c r="Z119" s="434"/>
      <c r="AB119" s="431"/>
      <c r="AC119" s="599"/>
      <c r="AD119" s="599"/>
      <c r="AE119" s="599"/>
      <c r="AF119" s="599"/>
      <c r="AG119" s="599"/>
      <c r="AH119" s="599"/>
      <c r="AI119" s="599"/>
      <c r="AJ119" s="599"/>
      <c r="AK119" s="599"/>
      <c r="AL119" s="599"/>
      <c r="AM119" s="432"/>
      <c r="AO119">
        <f ca="1">IF($A119="S",IF(BM!$I119=0,0,CHOOSE(MATCH(RegimeExecucao,{"Global","Unitário"},0),ROUND(ROUND(BM.MEDAcumulado,15-13*BM!$A$9)/100*BM!$I119,15-13*ORÇAMENTO!$AF$11),ROUND(ROUND(BM.MEDAcumulado,15-13*BM!$A$9)*ROUND(BM!$H119,15-13*ORÇAMENTO!$AF$10),15-13*ORÇAMENTO!$AF$11))),IF($A119=0,0,ROUND(SomaAgrupBM,15-13*ORÇAMENTO!$AF$11)))</f>
        <v>0</v>
      </c>
    </row>
    <row r="120" spans="1:41" ht="13.8" x14ac:dyDescent="0.3">
      <c r="A120" t="str">
        <f ca="1">ORÇAMENTO!C120</f>
        <v>S</v>
      </c>
      <c r="B120">
        <f ca="1">ORÇAMENTO!D120</f>
        <v>0</v>
      </c>
      <c r="C120" s="143" t="str">
        <f t="shared" ca="1" si="12"/>
        <v/>
      </c>
      <c r="D120" s="146" t="str">
        <f ca="1">ORÇAMENTO!O120</f>
        <v>-</v>
      </c>
      <c r="E120" s="206" t="str">
        <f t="shared" ca="1" si="13"/>
        <v>(abra o arquivo 'Referência 05-2024.xls)</v>
      </c>
      <c r="F120" s="207" t="str">
        <f t="shared" ca="1" si="14"/>
        <v>-</v>
      </c>
      <c r="G120" s="151">
        <f ca="1">IF(RegimeExecucao="Global","",ORÇAMENTO!T120)</f>
        <v>1649.7</v>
      </c>
      <c r="H120" s="151">
        <f ca="1">IF(RegimeExecucao="Global","",ORÇAMENTO!W120)</f>
        <v>0</v>
      </c>
      <c r="I120" s="154">
        <f ca="1">ORÇAMENTO!X120</f>
        <v>0</v>
      </c>
      <c r="J120" s="427">
        <f t="shared" ca="1" si="15"/>
        <v>0</v>
      </c>
      <c r="K120" s="151">
        <f t="shared" ca="1" si="16"/>
        <v>0</v>
      </c>
      <c r="L120" s="428">
        <f t="shared" ca="1" si="17"/>
        <v>0</v>
      </c>
      <c r="M120" s="429">
        <f ca="1">IF($A120="S",VTOTALBM,IF($A120=0,0,ROUND(SomaAgrupBM,15-13*ORÇAMENTO!$AF$11)))</f>
        <v>0</v>
      </c>
      <c r="N120" s="430">
        <f t="shared" ca="1" si="18"/>
        <v>0</v>
      </c>
      <c r="O120" s="154">
        <f ca="1">IF($A120="S",VTOTALBM,IF($A120=0,0,ROUND(SomaAgrupBM,15-13*ORÇAMENTO!$AF$11)))</f>
        <v>0</v>
      </c>
      <c r="Q120" s="431"/>
      <c r="R120" s="432"/>
      <c r="T120" s="146" t="str">
        <f t="shared" ca="1" si="19"/>
        <v/>
      </c>
      <c r="U120" s="206" t="str">
        <f t="shared" ca="1" si="20"/>
        <v/>
      </c>
      <c r="V120" s="207" t="str">
        <f t="shared" ca="1" si="21"/>
        <v/>
      </c>
      <c r="W120" s="634">
        <f ca="1">IF($Y120&gt;0,CHOOSE(MATCH(RegimeExecucao,{"Unitário","Global"},0),IF($A120="S",$Y120/$X120,""),($Y120/$X120)*100),0)</f>
        <v>0</v>
      </c>
      <c r="X120" s="433" t="str">
        <f ca="1">IF($Y120&gt;0,CHOOSE(MATCH(RegimeExecucao,{"Unitário","Global"},0),IF($A120="S",ROUND($H120,ORÇAMENTO!$AF$10),""),ROUND($I120,ORÇAMENTO!$AF$11)),"")</f>
        <v/>
      </c>
      <c r="Y120" s="433">
        <f t="shared" ca="1" si="22"/>
        <v>0</v>
      </c>
      <c r="Z120" s="434"/>
      <c r="AB120" s="431"/>
      <c r="AC120" s="599"/>
      <c r="AD120" s="599"/>
      <c r="AE120" s="599"/>
      <c r="AF120" s="599"/>
      <c r="AG120" s="599"/>
      <c r="AH120" s="599"/>
      <c r="AI120" s="599"/>
      <c r="AJ120" s="599"/>
      <c r="AK120" s="599"/>
      <c r="AL120" s="599"/>
      <c r="AM120" s="432"/>
      <c r="AO120">
        <f ca="1">IF($A120="S",IF(BM!$I120=0,0,CHOOSE(MATCH(RegimeExecucao,{"Global","Unitário"},0),ROUND(ROUND(BM.MEDAcumulado,15-13*BM!$A$9)/100*BM!$I120,15-13*ORÇAMENTO!$AF$11),ROUND(ROUND(BM.MEDAcumulado,15-13*BM!$A$9)*ROUND(BM!$H120,15-13*ORÇAMENTO!$AF$10),15-13*ORÇAMENTO!$AF$11))),IF($A120=0,0,ROUND(SomaAgrupBM,15-13*ORÇAMENTO!$AF$11)))</f>
        <v>0</v>
      </c>
    </row>
    <row r="121" spans="1:41" ht="13.8" x14ac:dyDescent="0.3">
      <c r="A121" t="str">
        <f ca="1">ORÇAMENTO!C121</f>
        <v>S</v>
      </c>
      <c r="B121">
        <f ca="1">ORÇAMENTO!D121</f>
        <v>0</v>
      </c>
      <c r="C121" s="143" t="str">
        <f t="shared" ca="1" si="12"/>
        <v/>
      </c>
      <c r="D121" s="146" t="str">
        <f ca="1">ORÇAMENTO!O121</f>
        <v>-</v>
      </c>
      <c r="E121" s="206" t="str">
        <f t="shared" ca="1" si="13"/>
        <v>(abra o arquivo 'Referência 05-2024.xls)</v>
      </c>
      <c r="F121" s="207" t="str">
        <f t="shared" ca="1" si="14"/>
        <v>-</v>
      </c>
      <c r="G121" s="151">
        <f ca="1">IF(RegimeExecucao="Global","",ORÇAMENTO!T121)</f>
        <v>88.34</v>
      </c>
      <c r="H121" s="151">
        <f ca="1">IF(RegimeExecucao="Global","",ORÇAMENTO!W121)</f>
        <v>0</v>
      </c>
      <c r="I121" s="154">
        <f ca="1">ORÇAMENTO!X121</f>
        <v>0</v>
      </c>
      <c r="J121" s="427">
        <f t="shared" ca="1" si="15"/>
        <v>0</v>
      </c>
      <c r="K121" s="151">
        <f t="shared" ca="1" si="16"/>
        <v>0</v>
      </c>
      <c r="L121" s="428">
        <f t="shared" ca="1" si="17"/>
        <v>0</v>
      </c>
      <c r="M121" s="429">
        <f ca="1">IF($A121="S",VTOTALBM,IF($A121=0,0,ROUND(SomaAgrupBM,15-13*ORÇAMENTO!$AF$11)))</f>
        <v>0</v>
      </c>
      <c r="N121" s="430">
        <f t="shared" ca="1" si="18"/>
        <v>0</v>
      </c>
      <c r="O121" s="154">
        <f ca="1">IF($A121="S",VTOTALBM,IF($A121=0,0,ROUND(SomaAgrupBM,15-13*ORÇAMENTO!$AF$11)))</f>
        <v>0</v>
      </c>
      <c r="Q121" s="431"/>
      <c r="R121" s="432"/>
      <c r="T121" s="146" t="str">
        <f t="shared" ca="1" si="19"/>
        <v/>
      </c>
      <c r="U121" s="206" t="str">
        <f t="shared" ca="1" si="20"/>
        <v/>
      </c>
      <c r="V121" s="207" t="str">
        <f t="shared" ca="1" si="21"/>
        <v/>
      </c>
      <c r="W121" s="634">
        <f ca="1">IF($Y121&gt;0,CHOOSE(MATCH(RegimeExecucao,{"Unitário","Global"},0),IF($A121="S",$Y121/$X121,""),($Y121/$X121)*100),0)</f>
        <v>0</v>
      </c>
      <c r="X121" s="433" t="str">
        <f ca="1">IF($Y121&gt;0,CHOOSE(MATCH(RegimeExecucao,{"Unitário","Global"},0),IF($A121="S",ROUND($H121,ORÇAMENTO!$AF$10),""),ROUND($I121,ORÇAMENTO!$AF$11)),"")</f>
        <v/>
      </c>
      <c r="Y121" s="433">
        <f t="shared" ca="1" si="22"/>
        <v>0</v>
      </c>
      <c r="Z121" s="434"/>
      <c r="AB121" s="431"/>
      <c r="AC121" s="599"/>
      <c r="AD121" s="599"/>
      <c r="AE121" s="599"/>
      <c r="AF121" s="599"/>
      <c r="AG121" s="599"/>
      <c r="AH121" s="599"/>
      <c r="AI121" s="599"/>
      <c r="AJ121" s="599"/>
      <c r="AK121" s="599"/>
      <c r="AL121" s="599"/>
      <c r="AM121" s="432"/>
      <c r="AO121">
        <f ca="1">IF($A121="S",IF(BM!$I121=0,0,CHOOSE(MATCH(RegimeExecucao,{"Global","Unitário"},0),ROUND(ROUND(BM.MEDAcumulado,15-13*BM!$A$9)/100*BM!$I121,15-13*ORÇAMENTO!$AF$11),ROUND(ROUND(BM.MEDAcumulado,15-13*BM!$A$9)*ROUND(BM!$H121,15-13*ORÇAMENTO!$AF$10),15-13*ORÇAMENTO!$AF$11))),IF($A121=0,0,ROUND(SomaAgrupBM,15-13*ORÇAMENTO!$AF$11)))</f>
        <v>0</v>
      </c>
    </row>
    <row r="122" spans="1:41" ht="13.8" x14ac:dyDescent="0.3">
      <c r="A122">
        <f ca="1">ORÇAMENTO!C122</f>
        <v>3</v>
      </c>
      <c r="B122">
        <f ca="1">ORÇAMENTO!D122</f>
        <v>7</v>
      </c>
      <c r="C122" s="143" t="str">
        <f t="shared" ca="1" si="12"/>
        <v>F</v>
      </c>
      <c r="D122" s="146" t="str">
        <f ca="1">ORÇAMENTO!O122</f>
        <v>1.4.5.</v>
      </c>
      <c r="E122" s="206" t="str">
        <f t="shared" si="13"/>
        <v>CONCRETO ARMADO - VIGAS - MURO</v>
      </c>
      <c r="F122" s="207" t="str">
        <f t="shared" ca="1" si="14"/>
        <v>-</v>
      </c>
      <c r="G122" s="151">
        <f ca="1">IF(RegimeExecucao="Global","",ORÇAMENTO!T122)</f>
        <v>0</v>
      </c>
      <c r="H122" s="151">
        <f ca="1">IF(RegimeExecucao="Global","",ORÇAMENTO!W122)</f>
        <v>0</v>
      </c>
      <c r="I122" s="154">
        <f ca="1">ORÇAMENTO!X122</f>
        <v>0</v>
      </c>
      <c r="J122" s="427">
        <f t="shared" ca="1" si="15"/>
        <v>0</v>
      </c>
      <c r="K122" s="151">
        <f t="shared" ca="1" si="16"/>
        <v>0</v>
      </c>
      <c r="L122" s="428">
        <f t="shared" ca="1" si="17"/>
        <v>0</v>
      </c>
      <c r="M122" s="429">
        <f ca="1">IF($A122="S",VTOTALBM,IF($A122=0,0,ROUND(SomaAgrupBM,15-13*ORÇAMENTO!$AF$11)))</f>
        <v>0</v>
      </c>
      <c r="N122" s="430">
        <f t="shared" ca="1" si="18"/>
        <v>0</v>
      </c>
      <c r="O122" s="154">
        <f ca="1">IF($A122="S",VTOTALBM,IF($A122=0,0,ROUND(SomaAgrupBM,15-13*ORÇAMENTO!$AF$11)))</f>
        <v>0</v>
      </c>
      <c r="Q122" s="431"/>
      <c r="R122" s="432"/>
      <c r="T122" s="146" t="str">
        <f t="shared" ca="1" si="19"/>
        <v/>
      </c>
      <c r="U122" s="206" t="str">
        <f t="shared" ca="1" si="20"/>
        <v/>
      </c>
      <c r="V122" s="207" t="str">
        <f t="shared" ca="1" si="21"/>
        <v/>
      </c>
      <c r="W122" s="634">
        <f ca="1">IF($Y122&gt;0,CHOOSE(MATCH(RegimeExecucao,{"Unitário","Global"},0),IF($A122="S",$Y122/$X122,""),($Y122/$X122)*100),0)</f>
        <v>0</v>
      </c>
      <c r="X122" s="433" t="str">
        <f ca="1">IF($Y122&gt;0,CHOOSE(MATCH(RegimeExecucao,{"Unitário","Global"},0),IF($A122="S",ROUND($H122,ORÇAMENTO!$AF$10),""),ROUND($I122,ORÇAMENTO!$AF$11)),"")</f>
        <v/>
      </c>
      <c r="Y122" s="433">
        <f t="shared" ca="1" si="22"/>
        <v>0</v>
      </c>
      <c r="Z122" s="434"/>
      <c r="AB122" s="431"/>
      <c r="AC122" s="599"/>
      <c r="AD122" s="599"/>
      <c r="AE122" s="599"/>
      <c r="AF122" s="599"/>
      <c r="AG122" s="599"/>
      <c r="AH122" s="599"/>
      <c r="AI122" s="599"/>
      <c r="AJ122" s="599"/>
      <c r="AK122" s="599"/>
      <c r="AL122" s="599"/>
      <c r="AM122" s="432"/>
      <c r="AO122">
        <f ca="1">IF($A122="S",IF(BM!$I122=0,0,CHOOSE(MATCH(RegimeExecucao,{"Global","Unitário"},0),ROUND(ROUND(BM.MEDAcumulado,15-13*BM!$A$9)/100*BM!$I122,15-13*ORÇAMENTO!$AF$11),ROUND(ROUND(BM.MEDAcumulado,15-13*BM!$A$9)*ROUND(BM!$H122,15-13*ORÇAMENTO!$AF$10),15-13*ORÇAMENTO!$AF$11))),IF($A122=0,0,ROUND(SomaAgrupBM,15-13*ORÇAMENTO!$AF$11)))</f>
        <v>0</v>
      </c>
    </row>
    <row r="123" spans="1:41" ht="13.8" x14ac:dyDescent="0.3">
      <c r="A123" t="str">
        <f ca="1">ORÇAMENTO!C123</f>
        <v>S</v>
      </c>
      <c r="B123">
        <f ca="1">ORÇAMENTO!D123</f>
        <v>0</v>
      </c>
      <c r="C123" s="143" t="str">
        <f t="shared" ca="1" si="12"/>
        <v/>
      </c>
      <c r="D123" s="146" t="str">
        <f ca="1">ORÇAMENTO!O123</f>
        <v>-</v>
      </c>
      <c r="E123" s="206" t="str">
        <f t="shared" ca="1" si="13"/>
        <v>(abra o arquivo 'Referência 05-2024.xls)</v>
      </c>
      <c r="F123" s="207" t="str">
        <f t="shared" ca="1" si="14"/>
        <v>-</v>
      </c>
      <c r="G123" s="151">
        <f ca="1">IF(RegimeExecucao="Global","",ORÇAMENTO!T123)</f>
        <v>1055.77</v>
      </c>
      <c r="H123" s="151">
        <f ca="1">IF(RegimeExecucao="Global","",ORÇAMENTO!W123)</f>
        <v>0</v>
      </c>
      <c r="I123" s="154">
        <f ca="1">ORÇAMENTO!X123</f>
        <v>0</v>
      </c>
      <c r="J123" s="427">
        <f t="shared" ca="1" si="15"/>
        <v>0</v>
      </c>
      <c r="K123" s="151">
        <f t="shared" ca="1" si="16"/>
        <v>0</v>
      </c>
      <c r="L123" s="428">
        <f t="shared" ca="1" si="17"/>
        <v>0</v>
      </c>
      <c r="M123" s="429">
        <f ca="1">IF($A123="S",VTOTALBM,IF($A123=0,0,ROUND(SomaAgrupBM,15-13*ORÇAMENTO!$AF$11)))</f>
        <v>0</v>
      </c>
      <c r="N123" s="430">
        <f t="shared" ca="1" si="18"/>
        <v>0</v>
      </c>
      <c r="O123" s="154">
        <f ca="1">IF($A123="S",VTOTALBM,IF($A123=0,0,ROUND(SomaAgrupBM,15-13*ORÇAMENTO!$AF$11)))</f>
        <v>0</v>
      </c>
      <c r="Q123" s="431"/>
      <c r="R123" s="432"/>
      <c r="T123" s="146" t="str">
        <f t="shared" ca="1" si="19"/>
        <v/>
      </c>
      <c r="U123" s="206" t="str">
        <f t="shared" ca="1" si="20"/>
        <v/>
      </c>
      <c r="V123" s="207" t="str">
        <f t="shared" ca="1" si="21"/>
        <v/>
      </c>
      <c r="W123" s="634">
        <f ca="1">IF($Y123&gt;0,CHOOSE(MATCH(RegimeExecucao,{"Unitário","Global"},0),IF($A123="S",$Y123/$X123,""),($Y123/$X123)*100),0)</f>
        <v>0</v>
      </c>
      <c r="X123" s="433" t="str">
        <f ca="1">IF($Y123&gt;0,CHOOSE(MATCH(RegimeExecucao,{"Unitário","Global"},0),IF($A123="S",ROUND($H123,ORÇAMENTO!$AF$10),""),ROUND($I123,ORÇAMENTO!$AF$11)),"")</f>
        <v/>
      </c>
      <c r="Y123" s="433">
        <f t="shared" ca="1" si="22"/>
        <v>0</v>
      </c>
      <c r="Z123" s="434"/>
      <c r="AB123" s="431"/>
      <c r="AC123" s="599"/>
      <c r="AD123" s="599"/>
      <c r="AE123" s="599"/>
      <c r="AF123" s="599"/>
      <c r="AG123" s="599"/>
      <c r="AH123" s="599"/>
      <c r="AI123" s="599"/>
      <c r="AJ123" s="599"/>
      <c r="AK123" s="599"/>
      <c r="AL123" s="599"/>
      <c r="AM123" s="432"/>
      <c r="AO123">
        <f ca="1">IF($A123="S",IF(BM!$I123=0,0,CHOOSE(MATCH(RegimeExecucao,{"Global","Unitário"},0),ROUND(ROUND(BM.MEDAcumulado,15-13*BM!$A$9)/100*BM!$I123,15-13*ORÇAMENTO!$AF$11),ROUND(ROUND(BM.MEDAcumulado,15-13*BM!$A$9)*ROUND(BM!$H123,15-13*ORÇAMENTO!$AF$10),15-13*ORÇAMENTO!$AF$11))),IF($A123=0,0,ROUND(SomaAgrupBM,15-13*ORÇAMENTO!$AF$11)))</f>
        <v>0</v>
      </c>
    </row>
    <row r="124" spans="1:41" ht="13.8" x14ac:dyDescent="0.3">
      <c r="A124" t="str">
        <f ca="1">ORÇAMENTO!C124</f>
        <v>S</v>
      </c>
      <c r="B124">
        <f ca="1">ORÇAMENTO!D124</f>
        <v>0</v>
      </c>
      <c r="C124" s="143" t="str">
        <f t="shared" ca="1" si="12"/>
        <v/>
      </c>
      <c r="D124" s="146" t="str">
        <f ca="1">ORÇAMENTO!O124</f>
        <v>-</v>
      </c>
      <c r="E124" s="206" t="str">
        <f t="shared" ca="1" si="13"/>
        <v>(abra o arquivo 'Referência 05-2024.xls)</v>
      </c>
      <c r="F124" s="207" t="str">
        <f t="shared" ca="1" si="14"/>
        <v>-</v>
      </c>
      <c r="G124" s="151">
        <f ca="1">IF(RegimeExecucao="Global","",ORÇAMENTO!T124)</f>
        <v>433.11</v>
      </c>
      <c r="H124" s="151">
        <f ca="1">IF(RegimeExecucao="Global","",ORÇAMENTO!W124)</f>
        <v>0</v>
      </c>
      <c r="I124" s="154">
        <f ca="1">ORÇAMENTO!X124</f>
        <v>0</v>
      </c>
      <c r="J124" s="427">
        <f t="shared" ca="1" si="15"/>
        <v>0</v>
      </c>
      <c r="K124" s="151">
        <f t="shared" ca="1" si="16"/>
        <v>0</v>
      </c>
      <c r="L124" s="428">
        <f t="shared" ca="1" si="17"/>
        <v>0</v>
      </c>
      <c r="M124" s="429">
        <f ca="1">IF($A124="S",VTOTALBM,IF($A124=0,0,ROUND(SomaAgrupBM,15-13*ORÇAMENTO!$AF$11)))</f>
        <v>0</v>
      </c>
      <c r="N124" s="430">
        <f t="shared" ca="1" si="18"/>
        <v>0</v>
      </c>
      <c r="O124" s="154">
        <f ca="1">IF($A124="S",VTOTALBM,IF($A124=0,0,ROUND(SomaAgrupBM,15-13*ORÇAMENTO!$AF$11)))</f>
        <v>0</v>
      </c>
      <c r="Q124" s="431"/>
      <c r="R124" s="432"/>
      <c r="T124" s="146" t="str">
        <f t="shared" ca="1" si="19"/>
        <v/>
      </c>
      <c r="U124" s="206" t="str">
        <f t="shared" ca="1" si="20"/>
        <v/>
      </c>
      <c r="V124" s="207" t="str">
        <f t="shared" ca="1" si="21"/>
        <v/>
      </c>
      <c r="W124" s="634">
        <f ca="1">IF($Y124&gt;0,CHOOSE(MATCH(RegimeExecucao,{"Unitário","Global"},0),IF($A124="S",$Y124/$X124,""),($Y124/$X124)*100),0)</f>
        <v>0</v>
      </c>
      <c r="X124" s="433" t="str">
        <f ca="1">IF($Y124&gt;0,CHOOSE(MATCH(RegimeExecucao,{"Unitário","Global"},0),IF($A124="S",ROUND($H124,ORÇAMENTO!$AF$10),""),ROUND($I124,ORÇAMENTO!$AF$11)),"")</f>
        <v/>
      </c>
      <c r="Y124" s="433">
        <f t="shared" ca="1" si="22"/>
        <v>0</v>
      </c>
      <c r="Z124" s="434"/>
      <c r="AB124" s="431"/>
      <c r="AC124" s="599"/>
      <c r="AD124" s="599"/>
      <c r="AE124" s="599"/>
      <c r="AF124" s="599"/>
      <c r="AG124" s="599"/>
      <c r="AH124" s="599"/>
      <c r="AI124" s="599"/>
      <c r="AJ124" s="599"/>
      <c r="AK124" s="599"/>
      <c r="AL124" s="599"/>
      <c r="AM124" s="432"/>
      <c r="AO124">
        <f ca="1">IF($A124="S",IF(BM!$I124=0,0,CHOOSE(MATCH(RegimeExecucao,{"Global","Unitário"},0),ROUND(ROUND(BM.MEDAcumulado,15-13*BM!$A$9)/100*BM!$I124,15-13*ORÇAMENTO!$AF$11),ROUND(ROUND(BM.MEDAcumulado,15-13*BM!$A$9)*ROUND(BM!$H124,15-13*ORÇAMENTO!$AF$10),15-13*ORÇAMENTO!$AF$11))),IF($A124=0,0,ROUND(SomaAgrupBM,15-13*ORÇAMENTO!$AF$11)))</f>
        <v>0</v>
      </c>
    </row>
    <row r="125" spans="1:41" ht="13.8" x14ac:dyDescent="0.3">
      <c r="A125" t="str">
        <f ca="1">ORÇAMENTO!C125</f>
        <v>S</v>
      </c>
      <c r="B125">
        <f ca="1">ORÇAMENTO!D125</f>
        <v>0</v>
      </c>
      <c r="C125" s="143" t="str">
        <f t="shared" ca="1" si="12"/>
        <v/>
      </c>
      <c r="D125" s="146" t="str">
        <f ca="1">ORÇAMENTO!O125</f>
        <v>-</v>
      </c>
      <c r="E125" s="206" t="str">
        <f t="shared" ca="1" si="13"/>
        <v>(abra o arquivo 'Referência 05-2024.xls)</v>
      </c>
      <c r="F125" s="207" t="str">
        <f t="shared" ca="1" si="14"/>
        <v>-</v>
      </c>
      <c r="G125" s="151">
        <f ca="1">IF(RegimeExecucao="Global","",ORÇAMENTO!T125)</f>
        <v>45.49</v>
      </c>
      <c r="H125" s="151">
        <f ca="1">IF(RegimeExecucao="Global","",ORÇAMENTO!W125)</f>
        <v>0</v>
      </c>
      <c r="I125" s="154">
        <f ca="1">ORÇAMENTO!X125</f>
        <v>0</v>
      </c>
      <c r="J125" s="427">
        <f t="shared" ca="1" si="15"/>
        <v>0</v>
      </c>
      <c r="K125" s="151">
        <f t="shared" ca="1" si="16"/>
        <v>0</v>
      </c>
      <c r="L125" s="428">
        <f t="shared" ca="1" si="17"/>
        <v>0</v>
      </c>
      <c r="M125" s="429">
        <f ca="1">IF($A125="S",VTOTALBM,IF($A125=0,0,ROUND(SomaAgrupBM,15-13*ORÇAMENTO!$AF$11)))</f>
        <v>0</v>
      </c>
      <c r="N125" s="430">
        <f t="shared" ca="1" si="18"/>
        <v>0</v>
      </c>
      <c r="O125" s="154">
        <f ca="1">IF($A125="S",VTOTALBM,IF($A125=0,0,ROUND(SomaAgrupBM,15-13*ORÇAMENTO!$AF$11)))</f>
        <v>0</v>
      </c>
      <c r="Q125" s="431"/>
      <c r="R125" s="432"/>
      <c r="T125" s="146" t="str">
        <f t="shared" ca="1" si="19"/>
        <v/>
      </c>
      <c r="U125" s="206" t="str">
        <f t="shared" ca="1" si="20"/>
        <v/>
      </c>
      <c r="V125" s="207" t="str">
        <f t="shared" ca="1" si="21"/>
        <v/>
      </c>
      <c r="W125" s="634">
        <f ca="1">IF($Y125&gt;0,CHOOSE(MATCH(RegimeExecucao,{"Unitário","Global"},0),IF($A125="S",$Y125/$X125,""),($Y125/$X125)*100),0)</f>
        <v>0</v>
      </c>
      <c r="X125" s="433" t="str">
        <f ca="1">IF($Y125&gt;0,CHOOSE(MATCH(RegimeExecucao,{"Unitário","Global"},0),IF($A125="S",ROUND($H125,ORÇAMENTO!$AF$10),""),ROUND($I125,ORÇAMENTO!$AF$11)),"")</f>
        <v/>
      </c>
      <c r="Y125" s="433">
        <f t="shared" ca="1" si="22"/>
        <v>0</v>
      </c>
      <c r="Z125" s="434"/>
      <c r="AB125" s="431"/>
      <c r="AC125" s="599"/>
      <c r="AD125" s="599"/>
      <c r="AE125" s="599"/>
      <c r="AF125" s="599"/>
      <c r="AG125" s="599"/>
      <c r="AH125" s="599"/>
      <c r="AI125" s="599"/>
      <c r="AJ125" s="599"/>
      <c r="AK125" s="599"/>
      <c r="AL125" s="599"/>
      <c r="AM125" s="432"/>
      <c r="AO125">
        <f ca="1">IF($A125="S",IF(BM!$I125=0,0,CHOOSE(MATCH(RegimeExecucao,{"Global","Unitário"},0),ROUND(ROUND(BM.MEDAcumulado,15-13*BM!$A$9)/100*BM!$I125,15-13*ORÇAMENTO!$AF$11),ROUND(ROUND(BM.MEDAcumulado,15-13*BM!$A$9)*ROUND(BM!$H125,15-13*ORÇAMENTO!$AF$10),15-13*ORÇAMENTO!$AF$11))),IF($A125=0,0,ROUND(SomaAgrupBM,15-13*ORÇAMENTO!$AF$11)))</f>
        <v>0</v>
      </c>
    </row>
    <row r="126" spans="1:41" ht="13.8" x14ac:dyDescent="0.3">
      <c r="A126" t="str">
        <f ca="1">ORÇAMENTO!C126</f>
        <v>S</v>
      </c>
      <c r="B126">
        <f ca="1">ORÇAMENTO!D126</f>
        <v>0</v>
      </c>
      <c r="C126" s="143" t="str">
        <f t="shared" ca="1" si="12"/>
        <v/>
      </c>
      <c r="D126" s="146" t="str">
        <f ca="1">ORÇAMENTO!O126</f>
        <v>-</v>
      </c>
      <c r="E126" s="206" t="str">
        <f t="shared" ca="1" si="13"/>
        <v>(abra o arquivo 'Referência 05-2024.xls)</v>
      </c>
      <c r="F126" s="207" t="str">
        <f t="shared" ca="1" si="14"/>
        <v>-</v>
      </c>
      <c r="G126" s="151">
        <f ca="1">IF(RegimeExecucao="Global","",ORÇAMENTO!T126)</f>
        <v>3.47</v>
      </c>
      <c r="H126" s="151">
        <f ca="1">IF(RegimeExecucao="Global","",ORÇAMENTO!W126)</f>
        <v>0</v>
      </c>
      <c r="I126" s="154">
        <f ca="1">ORÇAMENTO!X126</f>
        <v>0</v>
      </c>
      <c r="J126" s="427">
        <f t="shared" ca="1" si="15"/>
        <v>0</v>
      </c>
      <c r="K126" s="151">
        <f t="shared" ca="1" si="16"/>
        <v>0</v>
      </c>
      <c r="L126" s="428">
        <f t="shared" ca="1" si="17"/>
        <v>0</v>
      </c>
      <c r="M126" s="429">
        <f ca="1">IF($A126="S",VTOTALBM,IF($A126=0,0,ROUND(SomaAgrupBM,15-13*ORÇAMENTO!$AF$11)))</f>
        <v>0</v>
      </c>
      <c r="N126" s="430">
        <f t="shared" ca="1" si="18"/>
        <v>0</v>
      </c>
      <c r="O126" s="154">
        <f ca="1">IF($A126="S",VTOTALBM,IF($A126=0,0,ROUND(SomaAgrupBM,15-13*ORÇAMENTO!$AF$11)))</f>
        <v>0</v>
      </c>
      <c r="Q126" s="431"/>
      <c r="R126" s="432"/>
      <c r="T126" s="146" t="str">
        <f t="shared" ca="1" si="19"/>
        <v/>
      </c>
      <c r="U126" s="206" t="str">
        <f t="shared" ca="1" si="20"/>
        <v/>
      </c>
      <c r="V126" s="207" t="str">
        <f t="shared" ca="1" si="21"/>
        <v/>
      </c>
      <c r="W126" s="634">
        <f ca="1">IF($Y126&gt;0,CHOOSE(MATCH(RegimeExecucao,{"Unitário","Global"},0),IF($A126="S",$Y126/$X126,""),($Y126/$X126)*100),0)</f>
        <v>0</v>
      </c>
      <c r="X126" s="433" t="str">
        <f ca="1">IF($Y126&gt;0,CHOOSE(MATCH(RegimeExecucao,{"Unitário","Global"},0),IF($A126="S",ROUND($H126,ORÇAMENTO!$AF$10),""),ROUND($I126,ORÇAMENTO!$AF$11)),"")</f>
        <v/>
      </c>
      <c r="Y126" s="433">
        <f t="shared" ca="1" si="22"/>
        <v>0</v>
      </c>
      <c r="Z126" s="434"/>
      <c r="AB126" s="431"/>
      <c r="AC126" s="599"/>
      <c r="AD126" s="599"/>
      <c r="AE126" s="599"/>
      <c r="AF126" s="599"/>
      <c r="AG126" s="599"/>
      <c r="AH126" s="599"/>
      <c r="AI126" s="599"/>
      <c r="AJ126" s="599"/>
      <c r="AK126" s="599"/>
      <c r="AL126" s="599"/>
      <c r="AM126" s="432"/>
      <c r="AO126">
        <f ca="1">IF($A126="S",IF(BM!$I126=0,0,CHOOSE(MATCH(RegimeExecucao,{"Global","Unitário"},0),ROUND(ROUND(BM.MEDAcumulado,15-13*BM!$A$9)/100*BM!$I126,15-13*ORÇAMENTO!$AF$11),ROUND(ROUND(BM.MEDAcumulado,15-13*BM!$A$9)*ROUND(BM!$H126,15-13*ORÇAMENTO!$AF$10),15-13*ORÇAMENTO!$AF$11))),IF($A126=0,0,ROUND(SomaAgrupBM,15-13*ORÇAMENTO!$AF$11)))</f>
        <v>0</v>
      </c>
    </row>
    <row r="127" spans="1:41" ht="13.8" x14ac:dyDescent="0.3">
      <c r="A127" t="str">
        <f ca="1">ORÇAMENTO!C127</f>
        <v>S</v>
      </c>
      <c r="B127">
        <f ca="1">ORÇAMENTO!D127</f>
        <v>0</v>
      </c>
      <c r="C127" s="143" t="str">
        <f t="shared" ca="1" si="12"/>
        <v/>
      </c>
      <c r="D127" s="146" t="str">
        <f ca="1">ORÇAMENTO!O127</f>
        <v>-</v>
      </c>
      <c r="E127" s="206" t="str">
        <f t="shared" ca="1" si="13"/>
        <v>(abra o arquivo 'Referência 05-2024.xls)</v>
      </c>
      <c r="F127" s="207" t="str">
        <f t="shared" ca="1" si="14"/>
        <v>-</v>
      </c>
      <c r="G127" s="151">
        <f ca="1">IF(RegimeExecucao="Global","",ORÇAMENTO!T127)</f>
        <v>226.89</v>
      </c>
      <c r="H127" s="151">
        <f ca="1">IF(RegimeExecucao="Global","",ORÇAMENTO!W127)</f>
        <v>0</v>
      </c>
      <c r="I127" s="154">
        <f ca="1">ORÇAMENTO!X127</f>
        <v>0</v>
      </c>
      <c r="J127" s="427">
        <f t="shared" ca="1" si="15"/>
        <v>0</v>
      </c>
      <c r="K127" s="151">
        <f t="shared" ca="1" si="16"/>
        <v>0</v>
      </c>
      <c r="L127" s="428">
        <f t="shared" ca="1" si="17"/>
        <v>0</v>
      </c>
      <c r="M127" s="429">
        <f ca="1">IF($A127="S",VTOTALBM,IF($A127=0,0,ROUND(SomaAgrupBM,15-13*ORÇAMENTO!$AF$11)))</f>
        <v>0</v>
      </c>
      <c r="N127" s="430">
        <f t="shared" ca="1" si="18"/>
        <v>0</v>
      </c>
      <c r="O127" s="154">
        <f ca="1">IF($A127="S",VTOTALBM,IF($A127=0,0,ROUND(SomaAgrupBM,15-13*ORÇAMENTO!$AF$11)))</f>
        <v>0</v>
      </c>
      <c r="Q127" s="431"/>
      <c r="R127" s="432"/>
      <c r="T127" s="146" t="str">
        <f t="shared" ca="1" si="19"/>
        <v/>
      </c>
      <c r="U127" s="206" t="str">
        <f t="shared" ca="1" si="20"/>
        <v/>
      </c>
      <c r="V127" s="207" t="str">
        <f t="shared" ca="1" si="21"/>
        <v/>
      </c>
      <c r="W127" s="634">
        <f ca="1">IF($Y127&gt;0,CHOOSE(MATCH(RegimeExecucao,{"Unitário","Global"},0),IF($A127="S",$Y127/$X127,""),($Y127/$X127)*100),0)</f>
        <v>0</v>
      </c>
      <c r="X127" s="433" t="str">
        <f ca="1">IF($Y127&gt;0,CHOOSE(MATCH(RegimeExecucao,{"Unitário","Global"},0),IF($A127="S",ROUND($H127,ORÇAMENTO!$AF$10),""),ROUND($I127,ORÇAMENTO!$AF$11)),"")</f>
        <v/>
      </c>
      <c r="Y127" s="433">
        <f t="shared" ca="1" si="22"/>
        <v>0</v>
      </c>
      <c r="Z127" s="434"/>
      <c r="AB127" s="431"/>
      <c r="AC127" s="599"/>
      <c r="AD127" s="599"/>
      <c r="AE127" s="599"/>
      <c r="AF127" s="599"/>
      <c r="AG127" s="599"/>
      <c r="AH127" s="599"/>
      <c r="AI127" s="599"/>
      <c r="AJ127" s="599"/>
      <c r="AK127" s="599"/>
      <c r="AL127" s="599"/>
      <c r="AM127" s="432"/>
      <c r="AO127">
        <f ca="1">IF($A127="S",IF(BM!$I127=0,0,CHOOSE(MATCH(RegimeExecucao,{"Global","Unitário"},0),ROUND(ROUND(BM.MEDAcumulado,15-13*BM!$A$9)/100*BM!$I127,15-13*ORÇAMENTO!$AF$11),ROUND(ROUND(BM.MEDAcumulado,15-13*BM!$A$9)*ROUND(BM!$H127,15-13*ORÇAMENTO!$AF$10),15-13*ORÇAMENTO!$AF$11))),IF($A127=0,0,ROUND(SomaAgrupBM,15-13*ORÇAMENTO!$AF$11)))</f>
        <v>0</v>
      </c>
    </row>
    <row r="128" spans="1:41" ht="13.8" x14ac:dyDescent="0.3">
      <c r="A128" t="str">
        <f ca="1">ORÇAMENTO!C128</f>
        <v>S</v>
      </c>
      <c r="B128">
        <f ca="1">ORÇAMENTO!D128</f>
        <v>0</v>
      </c>
      <c r="C128" s="143" t="str">
        <f t="shared" ca="1" si="12"/>
        <v/>
      </c>
      <c r="D128" s="146" t="str">
        <f ca="1">ORÇAMENTO!O128</f>
        <v>-</v>
      </c>
      <c r="E128" s="206" t="str">
        <f t="shared" ca="1" si="13"/>
        <v>(abra o arquivo 'Referência 05-2024.xls)</v>
      </c>
      <c r="F128" s="207" t="str">
        <f t="shared" ca="1" si="14"/>
        <v>-</v>
      </c>
      <c r="G128" s="151">
        <f ca="1">IF(RegimeExecucao="Global","",ORÇAMENTO!T128)</f>
        <v>75.260000000000005</v>
      </c>
      <c r="H128" s="151">
        <f ca="1">IF(RegimeExecucao="Global","",ORÇAMENTO!W128)</f>
        <v>0</v>
      </c>
      <c r="I128" s="154">
        <f ca="1">ORÇAMENTO!X128</f>
        <v>0</v>
      </c>
      <c r="J128" s="427">
        <f t="shared" ca="1" si="15"/>
        <v>0</v>
      </c>
      <c r="K128" s="151">
        <f t="shared" ca="1" si="16"/>
        <v>0</v>
      </c>
      <c r="L128" s="428">
        <f t="shared" ca="1" si="17"/>
        <v>0</v>
      </c>
      <c r="M128" s="429">
        <f ca="1">IF($A128="S",VTOTALBM,IF($A128=0,0,ROUND(SomaAgrupBM,15-13*ORÇAMENTO!$AF$11)))</f>
        <v>0</v>
      </c>
      <c r="N128" s="430">
        <f t="shared" ca="1" si="18"/>
        <v>0</v>
      </c>
      <c r="O128" s="154">
        <f ca="1">IF($A128="S",VTOTALBM,IF($A128=0,0,ROUND(SomaAgrupBM,15-13*ORÇAMENTO!$AF$11)))</f>
        <v>0</v>
      </c>
      <c r="Q128" s="431"/>
      <c r="R128" s="432"/>
      <c r="T128" s="146" t="str">
        <f t="shared" ca="1" si="19"/>
        <v/>
      </c>
      <c r="U128" s="206" t="str">
        <f t="shared" ca="1" si="20"/>
        <v/>
      </c>
      <c r="V128" s="207" t="str">
        <f t="shared" ca="1" si="21"/>
        <v/>
      </c>
      <c r="W128" s="634">
        <f ca="1">IF($Y128&gt;0,CHOOSE(MATCH(RegimeExecucao,{"Unitário","Global"},0),IF($A128="S",$Y128/$X128,""),($Y128/$X128)*100),0)</f>
        <v>0</v>
      </c>
      <c r="X128" s="433" t="str">
        <f ca="1">IF($Y128&gt;0,CHOOSE(MATCH(RegimeExecucao,{"Unitário","Global"},0),IF($A128="S",ROUND($H128,ORÇAMENTO!$AF$10),""),ROUND($I128,ORÇAMENTO!$AF$11)),"")</f>
        <v/>
      </c>
      <c r="Y128" s="433">
        <f t="shared" ca="1" si="22"/>
        <v>0</v>
      </c>
      <c r="Z128" s="434"/>
      <c r="AB128" s="431"/>
      <c r="AC128" s="599"/>
      <c r="AD128" s="599"/>
      <c r="AE128" s="599"/>
      <c r="AF128" s="599"/>
      <c r="AG128" s="599"/>
      <c r="AH128" s="599"/>
      <c r="AI128" s="599"/>
      <c r="AJ128" s="599"/>
      <c r="AK128" s="599"/>
      <c r="AL128" s="599"/>
      <c r="AM128" s="432"/>
      <c r="AO128">
        <f ca="1">IF($A128="S",IF(BM!$I128=0,0,CHOOSE(MATCH(RegimeExecucao,{"Global","Unitário"},0),ROUND(ROUND(BM.MEDAcumulado,15-13*BM!$A$9)/100*BM!$I128,15-13*ORÇAMENTO!$AF$11),ROUND(ROUND(BM.MEDAcumulado,15-13*BM!$A$9)*ROUND(BM!$H128,15-13*ORÇAMENTO!$AF$10),15-13*ORÇAMENTO!$AF$11))),IF($A128=0,0,ROUND(SomaAgrupBM,15-13*ORÇAMENTO!$AF$11)))</f>
        <v>0</v>
      </c>
    </row>
    <row r="129" spans="1:41" ht="13.8" x14ac:dyDescent="0.3">
      <c r="A129">
        <f ca="1">ORÇAMENTO!C129</f>
        <v>3</v>
      </c>
      <c r="B129">
        <f ca="1">ORÇAMENTO!D129</f>
        <v>2</v>
      </c>
      <c r="C129" s="143" t="str">
        <f t="shared" ca="1" si="12"/>
        <v>F</v>
      </c>
      <c r="D129" s="146" t="str">
        <f ca="1">ORÇAMENTO!O129</f>
        <v>1.4.6.</v>
      </c>
      <c r="E129" s="206" t="str">
        <f t="shared" si="13"/>
        <v>CONCRETO ARMADO PARA VERGAS</v>
      </c>
      <c r="F129" s="207" t="str">
        <f t="shared" ca="1" si="14"/>
        <v>-</v>
      </c>
      <c r="G129" s="151">
        <f ca="1">IF(RegimeExecucao="Global","",ORÇAMENTO!T129)</f>
        <v>0</v>
      </c>
      <c r="H129" s="151">
        <f ca="1">IF(RegimeExecucao="Global","",ORÇAMENTO!W129)</f>
        <v>0</v>
      </c>
      <c r="I129" s="154">
        <f ca="1">ORÇAMENTO!X129</f>
        <v>0</v>
      </c>
      <c r="J129" s="427">
        <f t="shared" ca="1" si="15"/>
        <v>0</v>
      </c>
      <c r="K129" s="151">
        <f t="shared" ca="1" si="16"/>
        <v>0</v>
      </c>
      <c r="L129" s="428">
        <f t="shared" ca="1" si="17"/>
        <v>0</v>
      </c>
      <c r="M129" s="429">
        <f ca="1">IF($A129="S",VTOTALBM,IF($A129=0,0,ROUND(SomaAgrupBM,15-13*ORÇAMENTO!$AF$11)))</f>
        <v>0</v>
      </c>
      <c r="N129" s="430">
        <f t="shared" ca="1" si="18"/>
        <v>0</v>
      </c>
      <c r="O129" s="154">
        <f ca="1">IF($A129="S",VTOTALBM,IF($A129=0,0,ROUND(SomaAgrupBM,15-13*ORÇAMENTO!$AF$11)))</f>
        <v>0</v>
      </c>
      <c r="Q129" s="431"/>
      <c r="R129" s="432"/>
      <c r="T129" s="146" t="str">
        <f t="shared" ca="1" si="19"/>
        <v/>
      </c>
      <c r="U129" s="206" t="str">
        <f t="shared" ca="1" si="20"/>
        <v/>
      </c>
      <c r="V129" s="207" t="str">
        <f t="shared" ca="1" si="21"/>
        <v/>
      </c>
      <c r="W129" s="634">
        <f ca="1">IF($Y129&gt;0,CHOOSE(MATCH(RegimeExecucao,{"Unitário","Global"},0),IF($A129="S",$Y129/$X129,""),($Y129/$X129)*100),0)</f>
        <v>0</v>
      </c>
      <c r="X129" s="433" t="str">
        <f ca="1">IF($Y129&gt;0,CHOOSE(MATCH(RegimeExecucao,{"Unitário","Global"},0),IF($A129="S",ROUND($H129,ORÇAMENTO!$AF$10),""),ROUND($I129,ORÇAMENTO!$AF$11)),"")</f>
        <v/>
      </c>
      <c r="Y129" s="433">
        <f t="shared" ca="1" si="22"/>
        <v>0</v>
      </c>
      <c r="Z129" s="434"/>
      <c r="AB129" s="431"/>
      <c r="AC129" s="599"/>
      <c r="AD129" s="599"/>
      <c r="AE129" s="599"/>
      <c r="AF129" s="599"/>
      <c r="AG129" s="599"/>
      <c r="AH129" s="599"/>
      <c r="AI129" s="599"/>
      <c r="AJ129" s="599"/>
      <c r="AK129" s="599"/>
      <c r="AL129" s="599"/>
      <c r="AM129" s="432"/>
      <c r="AO129">
        <f ca="1">IF($A129="S",IF(BM!$I129=0,0,CHOOSE(MATCH(RegimeExecucao,{"Global","Unitário"},0),ROUND(ROUND(BM.MEDAcumulado,15-13*BM!$A$9)/100*BM!$I129,15-13*ORÇAMENTO!$AF$11),ROUND(ROUND(BM.MEDAcumulado,15-13*BM!$A$9)*ROUND(BM!$H129,15-13*ORÇAMENTO!$AF$10),15-13*ORÇAMENTO!$AF$11))),IF($A129=0,0,ROUND(SomaAgrupBM,15-13*ORÇAMENTO!$AF$11)))</f>
        <v>0</v>
      </c>
    </row>
    <row r="130" spans="1:41" ht="13.8" x14ac:dyDescent="0.3">
      <c r="A130" t="str">
        <f ca="1">ORÇAMENTO!C130</f>
        <v>S</v>
      </c>
      <c r="B130">
        <f ca="1">ORÇAMENTO!D130</f>
        <v>0</v>
      </c>
      <c r="C130" s="143" t="str">
        <f t="shared" ca="1" si="12"/>
        <v/>
      </c>
      <c r="D130" s="146" t="str">
        <f ca="1">ORÇAMENTO!O130</f>
        <v>-</v>
      </c>
      <c r="E130" s="206" t="str">
        <f t="shared" ca="1" si="13"/>
        <v>(abra o arquivo 'Referência 05-2024.xls)</v>
      </c>
      <c r="F130" s="207" t="str">
        <f t="shared" ca="1" si="14"/>
        <v>-</v>
      </c>
      <c r="G130" s="151">
        <f ca="1">IF(RegimeExecucao="Global","",ORÇAMENTO!T130)</f>
        <v>238</v>
      </c>
      <c r="H130" s="151">
        <f ca="1">IF(RegimeExecucao="Global","",ORÇAMENTO!W130)</f>
        <v>0</v>
      </c>
      <c r="I130" s="154">
        <f ca="1">ORÇAMENTO!X130</f>
        <v>0</v>
      </c>
      <c r="J130" s="427">
        <f t="shared" ca="1" si="15"/>
        <v>0</v>
      </c>
      <c r="K130" s="151">
        <f t="shared" ca="1" si="16"/>
        <v>0</v>
      </c>
      <c r="L130" s="428">
        <f t="shared" ca="1" si="17"/>
        <v>0</v>
      </c>
      <c r="M130" s="429">
        <f ca="1">IF($A130="S",VTOTALBM,IF($A130=0,0,ROUND(SomaAgrupBM,15-13*ORÇAMENTO!$AF$11)))</f>
        <v>0</v>
      </c>
      <c r="N130" s="430">
        <f t="shared" ca="1" si="18"/>
        <v>0</v>
      </c>
      <c r="O130" s="154">
        <f ca="1">IF($A130="S",VTOTALBM,IF($A130=0,0,ROUND(SomaAgrupBM,15-13*ORÇAMENTO!$AF$11)))</f>
        <v>0</v>
      </c>
      <c r="Q130" s="431"/>
      <c r="R130" s="432"/>
      <c r="T130" s="146" t="str">
        <f t="shared" ca="1" si="19"/>
        <v/>
      </c>
      <c r="U130" s="206" t="str">
        <f t="shared" ca="1" si="20"/>
        <v/>
      </c>
      <c r="V130" s="207" t="str">
        <f t="shared" ca="1" si="21"/>
        <v/>
      </c>
      <c r="W130" s="634">
        <f ca="1">IF($Y130&gt;0,CHOOSE(MATCH(RegimeExecucao,{"Unitário","Global"},0),IF($A130="S",$Y130/$X130,""),($Y130/$X130)*100),0)</f>
        <v>0</v>
      </c>
      <c r="X130" s="433" t="str">
        <f ca="1">IF($Y130&gt;0,CHOOSE(MATCH(RegimeExecucao,{"Unitário","Global"},0),IF($A130="S",ROUND($H130,ORÇAMENTO!$AF$10),""),ROUND($I130,ORÇAMENTO!$AF$11)),"")</f>
        <v/>
      </c>
      <c r="Y130" s="433">
        <f t="shared" ca="1" si="22"/>
        <v>0</v>
      </c>
      <c r="Z130" s="434"/>
      <c r="AB130" s="431"/>
      <c r="AC130" s="599"/>
      <c r="AD130" s="599"/>
      <c r="AE130" s="599"/>
      <c r="AF130" s="599"/>
      <c r="AG130" s="599"/>
      <c r="AH130" s="599"/>
      <c r="AI130" s="599"/>
      <c r="AJ130" s="599"/>
      <c r="AK130" s="599"/>
      <c r="AL130" s="599"/>
      <c r="AM130" s="432"/>
      <c r="AO130">
        <f ca="1">IF($A130="S",IF(BM!$I130=0,0,CHOOSE(MATCH(RegimeExecucao,{"Global","Unitário"},0),ROUND(ROUND(BM.MEDAcumulado,15-13*BM!$A$9)/100*BM!$I130,15-13*ORÇAMENTO!$AF$11),ROUND(ROUND(BM.MEDAcumulado,15-13*BM!$A$9)*ROUND(BM!$H130,15-13*ORÇAMENTO!$AF$10),15-13*ORÇAMENTO!$AF$11))),IF($A130=0,0,ROUND(SomaAgrupBM,15-13*ORÇAMENTO!$AF$11)))</f>
        <v>0</v>
      </c>
    </row>
    <row r="131" spans="1:41" ht="13.8" x14ac:dyDescent="0.3">
      <c r="A131">
        <f ca="1">ORÇAMENTO!C131</f>
        <v>3</v>
      </c>
      <c r="B131">
        <f ca="1">ORÇAMENTO!D131</f>
        <v>6</v>
      </c>
      <c r="C131" s="143" t="str">
        <f t="shared" ca="1" si="12"/>
        <v>F</v>
      </c>
      <c r="D131" s="146" t="str">
        <f ca="1">ORÇAMENTO!O131</f>
        <v>1.4.7.</v>
      </c>
      <c r="E131" s="206" t="str">
        <f t="shared" si="13"/>
        <v>CONCRETO ARMADO - PISO PARA QUADRA</v>
      </c>
      <c r="F131" s="207" t="str">
        <f t="shared" ca="1" si="14"/>
        <v>-</v>
      </c>
      <c r="G131" s="151">
        <f ca="1">IF(RegimeExecucao="Global","",ORÇAMENTO!T131)</f>
        <v>0</v>
      </c>
      <c r="H131" s="151">
        <f ca="1">IF(RegimeExecucao="Global","",ORÇAMENTO!W131)</f>
        <v>0</v>
      </c>
      <c r="I131" s="154">
        <f ca="1">ORÇAMENTO!X131</f>
        <v>0</v>
      </c>
      <c r="J131" s="427">
        <f t="shared" ca="1" si="15"/>
        <v>0</v>
      </c>
      <c r="K131" s="151">
        <f t="shared" ca="1" si="16"/>
        <v>0</v>
      </c>
      <c r="L131" s="428">
        <f t="shared" ca="1" si="17"/>
        <v>0</v>
      </c>
      <c r="M131" s="429">
        <f ca="1">IF($A131="S",VTOTALBM,IF($A131=0,0,ROUND(SomaAgrupBM,15-13*ORÇAMENTO!$AF$11)))</f>
        <v>0</v>
      </c>
      <c r="N131" s="430">
        <f t="shared" ca="1" si="18"/>
        <v>0</v>
      </c>
      <c r="O131" s="154">
        <f ca="1">IF($A131="S",VTOTALBM,IF($A131=0,0,ROUND(SomaAgrupBM,15-13*ORÇAMENTO!$AF$11)))</f>
        <v>0</v>
      </c>
      <c r="Q131" s="431"/>
      <c r="R131" s="432"/>
      <c r="T131" s="146" t="str">
        <f t="shared" ca="1" si="19"/>
        <v/>
      </c>
      <c r="U131" s="206" t="str">
        <f t="shared" ca="1" si="20"/>
        <v/>
      </c>
      <c r="V131" s="207" t="str">
        <f t="shared" ca="1" si="21"/>
        <v/>
      </c>
      <c r="W131" s="634">
        <f ca="1">IF($Y131&gt;0,CHOOSE(MATCH(RegimeExecucao,{"Unitário","Global"},0),IF($A131="S",$Y131/$X131,""),($Y131/$X131)*100),0)</f>
        <v>0</v>
      </c>
      <c r="X131" s="433" t="str">
        <f ca="1">IF($Y131&gt;0,CHOOSE(MATCH(RegimeExecucao,{"Unitário","Global"},0),IF($A131="S",ROUND($H131,ORÇAMENTO!$AF$10),""),ROUND($I131,ORÇAMENTO!$AF$11)),"")</f>
        <v/>
      </c>
      <c r="Y131" s="433">
        <f t="shared" ca="1" si="22"/>
        <v>0</v>
      </c>
      <c r="Z131" s="434"/>
      <c r="AB131" s="431"/>
      <c r="AC131" s="599"/>
      <c r="AD131" s="599"/>
      <c r="AE131" s="599"/>
      <c r="AF131" s="599"/>
      <c r="AG131" s="599"/>
      <c r="AH131" s="599"/>
      <c r="AI131" s="599"/>
      <c r="AJ131" s="599"/>
      <c r="AK131" s="599"/>
      <c r="AL131" s="599"/>
      <c r="AM131" s="432"/>
      <c r="AO131">
        <f ca="1">IF($A131="S",IF(BM!$I131=0,0,CHOOSE(MATCH(RegimeExecucao,{"Global","Unitário"},0),ROUND(ROUND(BM.MEDAcumulado,15-13*BM!$A$9)/100*BM!$I131,15-13*ORÇAMENTO!$AF$11),ROUND(ROUND(BM.MEDAcumulado,15-13*BM!$A$9)*ROUND(BM!$H131,15-13*ORÇAMENTO!$AF$10),15-13*ORÇAMENTO!$AF$11))),IF($A131=0,0,ROUND(SomaAgrupBM,15-13*ORÇAMENTO!$AF$11)))</f>
        <v>0</v>
      </c>
    </row>
    <row r="132" spans="1:41" ht="13.8" x14ac:dyDescent="0.3">
      <c r="A132" t="str">
        <f ca="1">ORÇAMENTO!C132</f>
        <v>S</v>
      </c>
      <c r="B132">
        <f ca="1">ORÇAMENTO!D132</f>
        <v>0</v>
      </c>
      <c r="C132" s="143" t="str">
        <f t="shared" ca="1" si="12"/>
        <v/>
      </c>
      <c r="D132" s="146" t="str">
        <f ca="1">ORÇAMENTO!O132</f>
        <v>-</v>
      </c>
      <c r="E132" s="206" t="str">
        <f t="shared" ca="1" si="13"/>
        <v>(abra o arquivo 'Referência 05-2024.xls)</v>
      </c>
      <c r="F132" s="207" t="str">
        <f t="shared" ca="1" si="14"/>
        <v>-</v>
      </c>
      <c r="G132" s="151">
        <f ca="1">IF(RegimeExecucao="Global","",ORÇAMENTO!T132)</f>
        <v>5.04</v>
      </c>
      <c r="H132" s="151">
        <f ca="1">IF(RegimeExecucao="Global","",ORÇAMENTO!W132)</f>
        <v>0</v>
      </c>
      <c r="I132" s="154">
        <f ca="1">ORÇAMENTO!X132</f>
        <v>0</v>
      </c>
      <c r="J132" s="427">
        <f t="shared" ca="1" si="15"/>
        <v>0</v>
      </c>
      <c r="K132" s="151">
        <f t="shared" ca="1" si="16"/>
        <v>0</v>
      </c>
      <c r="L132" s="428">
        <f t="shared" ca="1" si="17"/>
        <v>0</v>
      </c>
      <c r="M132" s="429">
        <f ca="1">IF($A132="S",VTOTALBM,IF($A132=0,0,ROUND(SomaAgrupBM,15-13*ORÇAMENTO!$AF$11)))</f>
        <v>0</v>
      </c>
      <c r="N132" s="430">
        <f t="shared" ca="1" si="18"/>
        <v>0</v>
      </c>
      <c r="O132" s="154">
        <f ca="1">IF($A132="S",VTOTALBM,IF($A132=0,0,ROUND(SomaAgrupBM,15-13*ORÇAMENTO!$AF$11)))</f>
        <v>0</v>
      </c>
      <c r="Q132" s="431"/>
      <c r="R132" s="432"/>
      <c r="T132" s="146" t="str">
        <f t="shared" ca="1" si="19"/>
        <v/>
      </c>
      <c r="U132" s="206" t="str">
        <f t="shared" ca="1" si="20"/>
        <v/>
      </c>
      <c r="V132" s="207" t="str">
        <f t="shared" ca="1" si="21"/>
        <v/>
      </c>
      <c r="W132" s="634">
        <f ca="1">IF($Y132&gt;0,CHOOSE(MATCH(RegimeExecucao,{"Unitário","Global"},0),IF($A132="S",$Y132/$X132,""),($Y132/$X132)*100),0)</f>
        <v>0</v>
      </c>
      <c r="X132" s="433" t="str">
        <f ca="1">IF($Y132&gt;0,CHOOSE(MATCH(RegimeExecucao,{"Unitário","Global"},0),IF($A132="S",ROUND($H132,ORÇAMENTO!$AF$10),""),ROUND($I132,ORÇAMENTO!$AF$11)),"")</f>
        <v/>
      </c>
      <c r="Y132" s="433">
        <f t="shared" ca="1" si="22"/>
        <v>0</v>
      </c>
      <c r="Z132" s="434"/>
      <c r="AB132" s="431"/>
      <c r="AC132" s="599"/>
      <c r="AD132" s="599"/>
      <c r="AE132" s="599"/>
      <c r="AF132" s="599"/>
      <c r="AG132" s="599"/>
      <c r="AH132" s="599"/>
      <c r="AI132" s="599"/>
      <c r="AJ132" s="599"/>
      <c r="AK132" s="599"/>
      <c r="AL132" s="599"/>
      <c r="AM132" s="432"/>
      <c r="AO132">
        <f ca="1">IF($A132="S",IF(BM!$I132=0,0,CHOOSE(MATCH(RegimeExecucao,{"Global","Unitário"},0),ROUND(ROUND(BM.MEDAcumulado,15-13*BM!$A$9)/100*BM!$I132,15-13*ORÇAMENTO!$AF$11),ROUND(ROUND(BM.MEDAcumulado,15-13*BM!$A$9)*ROUND(BM!$H132,15-13*ORÇAMENTO!$AF$10),15-13*ORÇAMENTO!$AF$11))),IF($A132=0,0,ROUND(SomaAgrupBM,15-13*ORÇAMENTO!$AF$11)))</f>
        <v>0</v>
      </c>
    </row>
    <row r="133" spans="1:41" ht="13.8" x14ac:dyDescent="0.3">
      <c r="A133" t="str">
        <f ca="1">ORÇAMENTO!C133</f>
        <v>S</v>
      </c>
      <c r="B133">
        <f ca="1">ORÇAMENTO!D133</f>
        <v>0</v>
      </c>
      <c r="C133" s="143" t="str">
        <f t="shared" ca="1" si="12"/>
        <v/>
      </c>
      <c r="D133" s="146" t="str">
        <f ca="1">ORÇAMENTO!O133</f>
        <v>-</v>
      </c>
      <c r="E133" s="206" t="str">
        <f t="shared" ca="1" si="13"/>
        <v>(abra o arquivo 'Referência 05-2024.xls)</v>
      </c>
      <c r="F133" s="207" t="str">
        <f t="shared" ca="1" si="14"/>
        <v>-</v>
      </c>
      <c r="G133" s="151">
        <f ca="1">IF(RegimeExecucao="Global","",ORÇAMENTO!T133)</f>
        <v>20.8</v>
      </c>
      <c r="H133" s="151">
        <f ca="1">IF(RegimeExecucao="Global","",ORÇAMENTO!W133)</f>
        <v>0</v>
      </c>
      <c r="I133" s="154">
        <f ca="1">ORÇAMENTO!X133</f>
        <v>0</v>
      </c>
      <c r="J133" s="427">
        <f t="shared" ca="1" si="15"/>
        <v>0</v>
      </c>
      <c r="K133" s="151">
        <f t="shared" ca="1" si="16"/>
        <v>0</v>
      </c>
      <c r="L133" s="428">
        <f t="shared" ca="1" si="17"/>
        <v>0</v>
      </c>
      <c r="M133" s="429">
        <f ca="1">IF($A133="S",VTOTALBM,IF($A133=0,0,ROUND(SomaAgrupBM,15-13*ORÇAMENTO!$AF$11)))</f>
        <v>0</v>
      </c>
      <c r="N133" s="430">
        <f t="shared" ca="1" si="18"/>
        <v>0</v>
      </c>
      <c r="O133" s="154">
        <f ca="1">IF($A133="S",VTOTALBM,IF($A133=0,0,ROUND(SomaAgrupBM,15-13*ORÇAMENTO!$AF$11)))</f>
        <v>0</v>
      </c>
      <c r="Q133" s="431"/>
      <c r="R133" s="432"/>
      <c r="T133" s="146" t="str">
        <f t="shared" ca="1" si="19"/>
        <v/>
      </c>
      <c r="U133" s="206" t="str">
        <f t="shared" ca="1" si="20"/>
        <v/>
      </c>
      <c r="V133" s="207" t="str">
        <f t="shared" ca="1" si="21"/>
        <v/>
      </c>
      <c r="W133" s="634">
        <f ca="1">IF($Y133&gt;0,CHOOSE(MATCH(RegimeExecucao,{"Unitário","Global"},0),IF($A133="S",$Y133/$X133,""),($Y133/$X133)*100),0)</f>
        <v>0</v>
      </c>
      <c r="X133" s="433" t="str">
        <f ca="1">IF($Y133&gt;0,CHOOSE(MATCH(RegimeExecucao,{"Unitário","Global"},0),IF($A133="S",ROUND($H133,ORÇAMENTO!$AF$10),""),ROUND($I133,ORÇAMENTO!$AF$11)),"")</f>
        <v/>
      </c>
      <c r="Y133" s="433">
        <f t="shared" ca="1" si="22"/>
        <v>0</v>
      </c>
      <c r="Z133" s="434"/>
      <c r="AB133" s="431"/>
      <c r="AC133" s="599"/>
      <c r="AD133" s="599"/>
      <c r="AE133" s="599"/>
      <c r="AF133" s="599"/>
      <c r="AG133" s="599"/>
      <c r="AH133" s="599"/>
      <c r="AI133" s="599"/>
      <c r="AJ133" s="599"/>
      <c r="AK133" s="599"/>
      <c r="AL133" s="599"/>
      <c r="AM133" s="432"/>
      <c r="AO133">
        <f ca="1">IF($A133="S",IF(BM!$I133=0,0,CHOOSE(MATCH(RegimeExecucao,{"Global","Unitário"},0),ROUND(ROUND(BM.MEDAcumulado,15-13*BM!$A$9)/100*BM!$I133,15-13*ORÇAMENTO!$AF$11),ROUND(ROUND(BM.MEDAcumulado,15-13*BM!$A$9)*ROUND(BM!$H133,15-13*ORÇAMENTO!$AF$10),15-13*ORÇAMENTO!$AF$11))),IF($A133=0,0,ROUND(SomaAgrupBM,15-13*ORÇAMENTO!$AF$11)))</f>
        <v>0</v>
      </c>
    </row>
    <row r="134" spans="1:41" ht="13.8" x14ac:dyDescent="0.3">
      <c r="A134" t="str">
        <f ca="1">ORÇAMENTO!C134</f>
        <v>S</v>
      </c>
      <c r="B134">
        <f ca="1">ORÇAMENTO!D134</f>
        <v>0</v>
      </c>
      <c r="C134" s="143" t="str">
        <f t="shared" ca="1" si="12"/>
        <v/>
      </c>
      <c r="D134" s="146" t="str">
        <f ca="1">ORÇAMENTO!O134</f>
        <v>-</v>
      </c>
      <c r="E134" s="206" t="str">
        <f t="shared" ca="1" si="13"/>
        <v>(abra o arquivo 'Referência 05-2024.xls)</v>
      </c>
      <c r="F134" s="207" t="str">
        <f t="shared" ca="1" si="14"/>
        <v>-</v>
      </c>
      <c r="G134" s="151">
        <f ca="1">IF(RegimeExecucao="Global","",ORÇAMENTO!T134)</f>
        <v>416</v>
      </c>
      <c r="H134" s="151">
        <f ca="1">IF(RegimeExecucao="Global","",ORÇAMENTO!W134)</f>
        <v>0</v>
      </c>
      <c r="I134" s="154">
        <f ca="1">ORÇAMENTO!X134</f>
        <v>0</v>
      </c>
      <c r="J134" s="427">
        <f t="shared" ca="1" si="15"/>
        <v>0</v>
      </c>
      <c r="K134" s="151">
        <f t="shared" ca="1" si="16"/>
        <v>0</v>
      </c>
      <c r="L134" s="428">
        <f t="shared" ca="1" si="17"/>
        <v>0</v>
      </c>
      <c r="M134" s="429">
        <f ca="1">IF($A134="S",VTOTALBM,IF($A134=0,0,ROUND(SomaAgrupBM,15-13*ORÇAMENTO!$AF$11)))</f>
        <v>0</v>
      </c>
      <c r="N134" s="430">
        <f t="shared" ca="1" si="18"/>
        <v>0</v>
      </c>
      <c r="O134" s="154">
        <f ca="1">IF($A134="S",VTOTALBM,IF($A134=0,0,ROUND(SomaAgrupBM,15-13*ORÇAMENTO!$AF$11)))</f>
        <v>0</v>
      </c>
      <c r="Q134" s="431"/>
      <c r="R134" s="432"/>
      <c r="T134" s="146" t="str">
        <f t="shared" ca="1" si="19"/>
        <v/>
      </c>
      <c r="U134" s="206" t="str">
        <f t="shared" ca="1" si="20"/>
        <v/>
      </c>
      <c r="V134" s="207" t="str">
        <f t="shared" ca="1" si="21"/>
        <v/>
      </c>
      <c r="W134" s="634">
        <f ca="1">IF($Y134&gt;0,CHOOSE(MATCH(RegimeExecucao,{"Unitário","Global"},0),IF($A134="S",$Y134/$X134,""),($Y134/$X134)*100),0)</f>
        <v>0</v>
      </c>
      <c r="X134" s="433" t="str">
        <f ca="1">IF($Y134&gt;0,CHOOSE(MATCH(RegimeExecucao,{"Unitário","Global"},0),IF($A134="S",ROUND($H134,ORÇAMENTO!$AF$10),""),ROUND($I134,ORÇAMENTO!$AF$11)),"")</f>
        <v/>
      </c>
      <c r="Y134" s="433">
        <f t="shared" ca="1" si="22"/>
        <v>0</v>
      </c>
      <c r="Z134" s="434"/>
      <c r="AB134" s="431"/>
      <c r="AC134" s="599"/>
      <c r="AD134" s="599"/>
      <c r="AE134" s="599"/>
      <c r="AF134" s="599"/>
      <c r="AG134" s="599"/>
      <c r="AH134" s="599"/>
      <c r="AI134" s="599"/>
      <c r="AJ134" s="599"/>
      <c r="AK134" s="599"/>
      <c r="AL134" s="599"/>
      <c r="AM134" s="432"/>
      <c r="AO134">
        <f ca="1">IF($A134="S",IF(BM!$I134=0,0,CHOOSE(MATCH(RegimeExecucao,{"Global","Unitário"},0),ROUND(ROUND(BM.MEDAcumulado,15-13*BM!$A$9)/100*BM!$I134,15-13*ORÇAMENTO!$AF$11),ROUND(ROUND(BM.MEDAcumulado,15-13*BM!$A$9)*ROUND(BM!$H134,15-13*ORÇAMENTO!$AF$10),15-13*ORÇAMENTO!$AF$11))),IF($A134=0,0,ROUND(SomaAgrupBM,15-13*ORÇAMENTO!$AF$11)))</f>
        <v>0</v>
      </c>
    </row>
    <row r="135" spans="1:41" ht="13.8" x14ac:dyDescent="0.3">
      <c r="A135" t="str">
        <f ca="1">ORÇAMENTO!C135</f>
        <v>S</v>
      </c>
      <c r="B135">
        <f ca="1">ORÇAMENTO!D135</f>
        <v>0</v>
      </c>
      <c r="C135" s="143" t="str">
        <f t="shared" ca="1" si="12"/>
        <v/>
      </c>
      <c r="D135" s="146" t="str">
        <f ca="1">ORÇAMENTO!O135</f>
        <v>-</v>
      </c>
      <c r="E135" s="206" t="str">
        <f t="shared" ca="1" si="13"/>
        <v>(abra o arquivo 'Referência 05-2024.xls)</v>
      </c>
      <c r="F135" s="207" t="str">
        <f t="shared" ca="1" si="14"/>
        <v>-</v>
      </c>
      <c r="G135" s="151">
        <f ca="1">IF(RegimeExecucao="Global","",ORÇAMENTO!T135)</f>
        <v>615.67999999999995</v>
      </c>
      <c r="H135" s="151">
        <f ca="1">IF(RegimeExecucao="Global","",ORÇAMENTO!W135)</f>
        <v>0</v>
      </c>
      <c r="I135" s="154">
        <f ca="1">ORÇAMENTO!X135</f>
        <v>0</v>
      </c>
      <c r="J135" s="427">
        <f t="shared" ca="1" si="15"/>
        <v>0</v>
      </c>
      <c r="K135" s="151">
        <f t="shared" ca="1" si="16"/>
        <v>0</v>
      </c>
      <c r="L135" s="428">
        <f t="shared" ca="1" si="17"/>
        <v>0</v>
      </c>
      <c r="M135" s="429">
        <f ca="1">IF($A135="S",VTOTALBM,IF($A135=0,0,ROUND(SomaAgrupBM,15-13*ORÇAMENTO!$AF$11)))</f>
        <v>0</v>
      </c>
      <c r="N135" s="430">
        <f t="shared" ca="1" si="18"/>
        <v>0</v>
      </c>
      <c r="O135" s="154">
        <f ca="1">IF($A135="S",VTOTALBM,IF($A135=0,0,ROUND(SomaAgrupBM,15-13*ORÇAMENTO!$AF$11)))</f>
        <v>0</v>
      </c>
      <c r="Q135" s="431"/>
      <c r="R135" s="432"/>
      <c r="T135" s="146" t="str">
        <f t="shared" ca="1" si="19"/>
        <v/>
      </c>
      <c r="U135" s="206" t="str">
        <f t="shared" ca="1" si="20"/>
        <v/>
      </c>
      <c r="V135" s="207" t="str">
        <f t="shared" ca="1" si="21"/>
        <v/>
      </c>
      <c r="W135" s="634">
        <f ca="1">IF($Y135&gt;0,CHOOSE(MATCH(RegimeExecucao,{"Unitário","Global"},0),IF($A135="S",$Y135/$X135,""),($Y135/$X135)*100),0)</f>
        <v>0</v>
      </c>
      <c r="X135" s="433" t="str">
        <f ca="1">IF($Y135&gt;0,CHOOSE(MATCH(RegimeExecucao,{"Unitário","Global"},0),IF($A135="S",ROUND($H135,ORÇAMENTO!$AF$10),""),ROUND($I135,ORÇAMENTO!$AF$11)),"")</f>
        <v/>
      </c>
      <c r="Y135" s="433">
        <f t="shared" ca="1" si="22"/>
        <v>0</v>
      </c>
      <c r="Z135" s="434"/>
      <c r="AB135" s="431"/>
      <c r="AC135" s="599"/>
      <c r="AD135" s="599"/>
      <c r="AE135" s="599"/>
      <c r="AF135" s="599"/>
      <c r="AG135" s="599"/>
      <c r="AH135" s="599"/>
      <c r="AI135" s="599"/>
      <c r="AJ135" s="599"/>
      <c r="AK135" s="599"/>
      <c r="AL135" s="599"/>
      <c r="AM135" s="432"/>
      <c r="AO135">
        <f ca="1">IF($A135="S",IF(BM!$I135=0,0,CHOOSE(MATCH(RegimeExecucao,{"Global","Unitário"},0),ROUND(ROUND(BM.MEDAcumulado,15-13*BM!$A$9)/100*BM!$I135,15-13*ORÇAMENTO!$AF$11),ROUND(ROUND(BM.MEDAcumulado,15-13*BM!$A$9)*ROUND(BM!$H135,15-13*ORÇAMENTO!$AF$10),15-13*ORÇAMENTO!$AF$11))),IF($A135=0,0,ROUND(SomaAgrupBM,15-13*ORÇAMENTO!$AF$11)))</f>
        <v>0</v>
      </c>
    </row>
    <row r="136" spans="1:41" ht="13.8" x14ac:dyDescent="0.3">
      <c r="A136" t="str">
        <f ca="1">ORÇAMENTO!C136</f>
        <v>S</v>
      </c>
      <c r="B136">
        <f ca="1">ORÇAMENTO!D136</f>
        <v>0</v>
      </c>
      <c r="C136" s="143" t="str">
        <f t="shared" ca="1" si="12"/>
        <v/>
      </c>
      <c r="D136" s="146" t="str">
        <f ca="1">ORÇAMENTO!O136</f>
        <v>-</v>
      </c>
      <c r="E136" s="206" t="str">
        <f t="shared" ca="1" si="13"/>
        <v>(abra o arquivo 'Referência 05-2024.xls)</v>
      </c>
      <c r="F136" s="207" t="str">
        <f t="shared" ca="1" si="14"/>
        <v>-</v>
      </c>
      <c r="G136" s="151">
        <f ca="1">IF(RegimeExecucao="Global","",ORÇAMENTO!T136)</f>
        <v>416</v>
      </c>
      <c r="H136" s="151">
        <f ca="1">IF(RegimeExecucao="Global","",ORÇAMENTO!W136)</f>
        <v>0</v>
      </c>
      <c r="I136" s="154">
        <f ca="1">ORÇAMENTO!X136</f>
        <v>0</v>
      </c>
      <c r="J136" s="427">
        <f t="shared" ca="1" si="15"/>
        <v>0</v>
      </c>
      <c r="K136" s="151">
        <f t="shared" ca="1" si="16"/>
        <v>0</v>
      </c>
      <c r="L136" s="428">
        <f t="shared" ca="1" si="17"/>
        <v>0</v>
      </c>
      <c r="M136" s="429">
        <f ca="1">IF($A136="S",VTOTALBM,IF($A136=0,0,ROUND(SomaAgrupBM,15-13*ORÇAMENTO!$AF$11)))</f>
        <v>0</v>
      </c>
      <c r="N136" s="430">
        <f t="shared" ca="1" si="18"/>
        <v>0</v>
      </c>
      <c r="O136" s="154">
        <f ca="1">IF($A136="S",VTOTALBM,IF($A136=0,0,ROUND(SomaAgrupBM,15-13*ORÇAMENTO!$AF$11)))</f>
        <v>0</v>
      </c>
      <c r="Q136" s="431"/>
      <c r="R136" s="432"/>
      <c r="T136" s="146" t="str">
        <f t="shared" ca="1" si="19"/>
        <v/>
      </c>
      <c r="U136" s="206" t="str">
        <f t="shared" ca="1" si="20"/>
        <v/>
      </c>
      <c r="V136" s="207" t="str">
        <f t="shared" ca="1" si="21"/>
        <v/>
      </c>
      <c r="W136" s="634">
        <f ca="1">IF($Y136&gt;0,CHOOSE(MATCH(RegimeExecucao,{"Unitário","Global"},0),IF($A136="S",$Y136/$X136,""),($Y136/$X136)*100),0)</f>
        <v>0</v>
      </c>
      <c r="X136" s="433" t="str">
        <f ca="1">IF($Y136&gt;0,CHOOSE(MATCH(RegimeExecucao,{"Unitário","Global"},0),IF($A136="S",ROUND($H136,ORÇAMENTO!$AF$10),""),ROUND($I136,ORÇAMENTO!$AF$11)),"")</f>
        <v/>
      </c>
      <c r="Y136" s="433">
        <f t="shared" ca="1" si="22"/>
        <v>0</v>
      </c>
      <c r="Z136" s="434"/>
      <c r="AB136" s="431"/>
      <c r="AC136" s="599"/>
      <c r="AD136" s="599"/>
      <c r="AE136" s="599"/>
      <c r="AF136" s="599"/>
      <c r="AG136" s="599"/>
      <c r="AH136" s="599"/>
      <c r="AI136" s="599"/>
      <c r="AJ136" s="599"/>
      <c r="AK136" s="599"/>
      <c r="AL136" s="599"/>
      <c r="AM136" s="432"/>
      <c r="AO136">
        <f ca="1">IF($A136="S",IF(BM!$I136=0,0,CHOOSE(MATCH(RegimeExecucao,{"Global","Unitário"},0),ROUND(ROUND(BM.MEDAcumulado,15-13*BM!$A$9)/100*BM!$I136,15-13*ORÇAMENTO!$AF$11),ROUND(ROUND(BM.MEDAcumulado,15-13*BM!$A$9)*ROUND(BM!$H136,15-13*ORÇAMENTO!$AF$10),15-13*ORÇAMENTO!$AF$11))),IF($A136=0,0,ROUND(SomaAgrupBM,15-13*ORÇAMENTO!$AF$11)))</f>
        <v>0</v>
      </c>
    </row>
    <row r="137" spans="1:41" ht="13.8" x14ac:dyDescent="0.3">
      <c r="A137">
        <f ca="1">ORÇAMENTO!C137</f>
        <v>3</v>
      </c>
      <c r="B137">
        <f ca="1">ORÇAMENTO!D137</f>
        <v>5</v>
      </c>
      <c r="C137" s="143" t="str">
        <f t="shared" ca="1" si="12"/>
        <v>F</v>
      </c>
      <c r="D137" s="146" t="str">
        <f ca="1">ORÇAMENTO!O137</f>
        <v>1.4.8.</v>
      </c>
      <c r="E137" s="206" t="str">
        <f t="shared" si="13"/>
        <v>CONCRETO ARMADO - LAJE</v>
      </c>
      <c r="F137" s="207" t="str">
        <f t="shared" ca="1" si="14"/>
        <v>-</v>
      </c>
      <c r="G137" s="151">
        <f ca="1">IF(RegimeExecucao="Global","",ORÇAMENTO!T137)</f>
        <v>0</v>
      </c>
      <c r="H137" s="151">
        <f ca="1">IF(RegimeExecucao="Global","",ORÇAMENTO!W137)</f>
        <v>0</v>
      </c>
      <c r="I137" s="154">
        <f ca="1">ORÇAMENTO!X137</f>
        <v>0</v>
      </c>
      <c r="J137" s="427">
        <f t="shared" ca="1" si="15"/>
        <v>0</v>
      </c>
      <c r="K137" s="151">
        <f t="shared" ca="1" si="16"/>
        <v>0</v>
      </c>
      <c r="L137" s="428">
        <f t="shared" ca="1" si="17"/>
        <v>0</v>
      </c>
      <c r="M137" s="429">
        <f ca="1">IF($A137="S",VTOTALBM,IF($A137=0,0,ROUND(SomaAgrupBM,15-13*ORÇAMENTO!$AF$11)))</f>
        <v>0</v>
      </c>
      <c r="N137" s="430">
        <f t="shared" ca="1" si="18"/>
        <v>0</v>
      </c>
      <c r="O137" s="154">
        <f ca="1">IF($A137="S",VTOTALBM,IF($A137=0,0,ROUND(SomaAgrupBM,15-13*ORÇAMENTO!$AF$11)))</f>
        <v>0</v>
      </c>
      <c r="Q137" s="431"/>
      <c r="R137" s="432"/>
      <c r="T137" s="146" t="str">
        <f t="shared" ca="1" si="19"/>
        <v/>
      </c>
      <c r="U137" s="206" t="str">
        <f t="shared" ca="1" si="20"/>
        <v/>
      </c>
      <c r="V137" s="207" t="str">
        <f t="shared" ca="1" si="21"/>
        <v/>
      </c>
      <c r="W137" s="634">
        <f ca="1">IF($Y137&gt;0,CHOOSE(MATCH(RegimeExecucao,{"Unitário","Global"},0),IF($A137="S",$Y137/$X137,""),($Y137/$X137)*100),0)</f>
        <v>0</v>
      </c>
      <c r="X137" s="433" t="str">
        <f ca="1">IF($Y137&gt;0,CHOOSE(MATCH(RegimeExecucao,{"Unitário","Global"},0),IF($A137="S",ROUND($H137,ORÇAMENTO!$AF$10),""),ROUND($I137,ORÇAMENTO!$AF$11)),"")</f>
        <v/>
      </c>
      <c r="Y137" s="433">
        <f t="shared" ca="1" si="22"/>
        <v>0</v>
      </c>
      <c r="Z137" s="434"/>
      <c r="AB137" s="431"/>
      <c r="AC137" s="599"/>
      <c r="AD137" s="599"/>
      <c r="AE137" s="599"/>
      <c r="AF137" s="599"/>
      <c r="AG137" s="599"/>
      <c r="AH137" s="599"/>
      <c r="AI137" s="599"/>
      <c r="AJ137" s="599"/>
      <c r="AK137" s="599"/>
      <c r="AL137" s="599"/>
      <c r="AM137" s="432"/>
      <c r="AO137">
        <f ca="1">IF($A137="S",IF(BM!$I137=0,0,CHOOSE(MATCH(RegimeExecucao,{"Global","Unitário"},0),ROUND(ROUND(BM.MEDAcumulado,15-13*BM!$A$9)/100*BM!$I137,15-13*ORÇAMENTO!$AF$11),ROUND(ROUND(BM.MEDAcumulado,15-13*BM!$A$9)*ROUND(BM!$H137,15-13*ORÇAMENTO!$AF$10),15-13*ORÇAMENTO!$AF$11))),IF($A137=0,0,ROUND(SomaAgrupBM,15-13*ORÇAMENTO!$AF$11)))</f>
        <v>0</v>
      </c>
    </row>
    <row r="138" spans="1:41" ht="13.8" x14ac:dyDescent="0.3">
      <c r="A138" t="str">
        <f ca="1">ORÇAMENTO!C138</f>
        <v>S</v>
      </c>
      <c r="B138">
        <f ca="1">ORÇAMENTO!D138</f>
        <v>0</v>
      </c>
      <c r="C138" s="143" t="str">
        <f t="shared" ca="1" si="12"/>
        <v/>
      </c>
      <c r="D138" s="146" t="str">
        <f ca="1">ORÇAMENTO!O138</f>
        <v>-</v>
      </c>
      <c r="E138" s="206" t="str">
        <f t="shared" ca="1" si="13"/>
        <v>(abra o arquivo 'Referência 05-2024.xls)</v>
      </c>
      <c r="F138" s="207" t="str">
        <f t="shared" ca="1" si="14"/>
        <v>-</v>
      </c>
      <c r="G138" s="151">
        <f ca="1">IF(RegimeExecucao="Global","",ORÇAMENTO!T138)</f>
        <v>98.73</v>
      </c>
      <c r="H138" s="151">
        <f ca="1">IF(RegimeExecucao="Global","",ORÇAMENTO!W138)</f>
        <v>0</v>
      </c>
      <c r="I138" s="154">
        <f ca="1">ORÇAMENTO!X138</f>
        <v>0</v>
      </c>
      <c r="J138" s="427">
        <f t="shared" ca="1" si="15"/>
        <v>0</v>
      </c>
      <c r="K138" s="151">
        <f t="shared" ca="1" si="16"/>
        <v>0</v>
      </c>
      <c r="L138" s="428">
        <f t="shared" ca="1" si="17"/>
        <v>0</v>
      </c>
      <c r="M138" s="429">
        <f ca="1">IF($A138="S",VTOTALBM,IF($A138=0,0,ROUND(SomaAgrupBM,15-13*ORÇAMENTO!$AF$11)))</f>
        <v>0</v>
      </c>
      <c r="N138" s="430">
        <f t="shared" ca="1" si="18"/>
        <v>0</v>
      </c>
      <c r="O138" s="154">
        <f ca="1">IF($A138="S",VTOTALBM,IF($A138=0,0,ROUND(SomaAgrupBM,15-13*ORÇAMENTO!$AF$11)))</f>
        <v>0</v>
      </c>
      <c r="Q138" s="431"/>
      <c r="R138" s="432"/>
      <c r="T138" s="146" t="str">
        <f t="shared" ca="1" si="19"/>
        <v/>
      </c>
      <c r="U138" s="206" t="str">
        <f t="shared" ca="1" si="20"/>
        <v/>
      </c>
      <c r="V138" s="207" t="str">
        <f t="shared" ca="1" si="21"/>
        <v/>
      </c>
      <c r="W138" s="634">
        <f ca="1">IF($Y138&gt;0,CHOOSE(MATCH(RegimeExecucao,{"Unitário","Global"},0),IF($A138="S",$Y138/$X138,""),($Y138/$X138)*100),0)</f>
        <v>0</v>
      </c>
      <c r="X138" s="433" t="str">
        <f ca="1">IF($Y138&gt;0,CHOOSE(MATCH(RegimeExecucao,{"Unitário","Global"},0),IF($A138="S",ROUND($H138,ORÇAMENTO!$AF$10),""),ROUND($I138,ORÇAMENTO!$AF$11)),"")</f>
        <v/>
      </c>
      <c r="Y138" s="433">
        <f t="shared" ca="1" si="22"/>
        <v>0</v>
      </c>
      <c r="Z138" s="434"/>
      <c r="AB138" s="431"/>
      <c r="AC138" s="599"/>
      <c r="AD138" s="599"/>
      <c r="AE138" s="599"/>
      <c r="AF138" s="599"/>
      <c r="AG138" s="599"/>
      <c r="AH138" s="599"/>
      <c r="AI138" s="599"/>
      <c r="AJ138" s="599"/>
      <c r="AK138" s="599"/>
      <c r="AL138" s="599"/>
      <c r="AM138" s="432"/>
      <c r="AO138">
        <f ca="1">IF($A138="S",IF(BM!$I138=0,0,CHOOSE(MATCH(RegimeExecucao,{"Global","Unitário"},0),ROUND(ROUND(BM.MEDAcumulado,15-13*BM!$A$9)/100*BM!$I138,15-13*ORÇAMENTO!$AF$11),ROUND(ROUND(BM.MEDAcumulado,15-13*BM!$A$9)*ROUND(BM!$H138,15-13*ORÇAMENTO!$AF$10),15-13*ORÇAMENTO!$AF$11))),IF($A138=0,0,ROUND(SomaAgrupBM,15-13*ORÇAMENTO!$AF$11)))</f>
        <v>0</v>
      </c>
    </row>
    <row r="139" spans="1:41" ht="13.8" x14ac:dyDescent="0.3">
      <c r="A139" t="str">
        <f ca="1">ORÇAMENTO!C139</f>
        <v>S</v>
      </c>
      <c r="B139">
        <f ca="1">ORÇAMENTO!D139</f>
        <v>0</v>
      </c>
      <c r="C139" s="143" t="str">
        <f t="shared" ca="1" si="12"/>
        <v/>
      </c>
      <c r="D139" s="146" t="str">
        <f ca="1">ORÇAMENTO!O139</f>
        <v>-</v>
      </c>
      <c r="E139" s="206" t="str">
        <f t="shared" ca="1" si="13"/>
        <v>(abra o arquivo 'Referência 05-2024.xls)</v>
      </c>
      <c r="F139" s="207" t="str">
        <f t="shared" ca="1" si="14"/>
        <v>-</v>
      </c>
      <c r="G139" s="151">
        <f ca="1">IF(RegimeExecucao="Global","",ORÇAMENTO!T139)</f>
        <v>6.58</v>
      </c>
      <c r="H139" s="151">
        <f ca="1">IF(RegimeExecucao="Global","",ORÇAMENTO!W139)</f>
        <v>0</v>
      </c>
      <c r="I139" s="154">
        <f ca="1">ORÇAMENTO!X139</f>
        <v>0</v>
      </c>
      <c r="J139" s="427">
        <f t="shared" ca="1" si="15"/>
        <v>0</v>
      </c>
      <c r="K139" s="151">
        <f t="shared" ca="1" si="16"/>
        <v>0</v>
      </c>
      <c r="L139" s="428">
        <f t="shared" ca="1" si="17"/>
        <v>0</v>
      </c>
      <c r="M139" s="429">
        <f ca="1">IF($A139="S",VTOTALBM,IF($A139=0,0,ROUND(SomaAgrupBM,15-13*ORÇAMENTO!$AF$11)))</f>
        <v>0</v>
      </c>
      <c r="N139" s="430">
        <f t="shared" ca="1" si="18"/>
        <v>0</v>
      </c>
      <c r="O139" s="154">
        <f ca="1">IF($A139="S",VTOTALBM,IF($A139=0,0,ROUND(SomaAgrupBM,15-13*ORÇAMENTO!$AF$11)))</f>
        <v>0</v>
      </c>
      <c r="Q139" s="431"/>
      <c r="R139" s="432"/>
      <c r="T139" s="146" t="str">
        <f t="shared" ca="1" si="19"/>
        <v/>
      </c>
      <c r="U139" s="206" t="str">
        <f t="shared" ca="1" si="20"/>
        <v/>
      </c>
      <c r="V139" s="207" t="str">
        <f t="shared" ca="1" si="21"/>
        <v/>
      </c>
      <c r="W139" s="634">
        <f ca="1">IF($Y139&gt;0,CHOOSE(MATCH(RegimeExecucao,{"Unitário","Global"},0),IF($A139="S",$Y139/$X139,""),($Y139/$X139)*100),0)</f>
        <v>0</v>
      </c>
      <c r="X139" s="433" t="str">
        <f ca="1">IF($Y139&gt;0,CHOOSE(MATCH(RegimeExecucao,{"Unitário","Global"},0),IF($A139="S",ROUND($H139,ORÇAMENTO!$AF$10),""),ROUND($I139,ORÇAMENTO!$AF$11)),"")</f>
        <v/>
      </c>
      <c r="Y139" s="433">
        <f t="shared" ca="1" si="22"/>
        <v>0</v>
      </c>
      <c r="Z139" s="434"/>
      <c r="AB139" s="431"/>
      <c r="AC139" s="599"/>
      <c r="AD139" s="599"/>
      <c r="AE139" s="599"/>
      <c r="AF139" s="599"/>
      <c r="AG139" s="599"/>
      <c r="AH139" s="599"/>
      <c r="AI139" s="599"/>
      <c r="AJ139" s="599"/>
      <c r="AK139" s="599"/>
      <c r="AL139" s="599"/>
      <c r="AM139" s="432"/>
      <c r="AO139">
        <f ca="1">IF($A139="S",IF(BM!$I139=0,0,CHOOSE(MATCH(RegimeExecucao,{"Global","Unitário"},0),ROUND(ROUND(BM.MEDAcumulado,15-13*BM!$A$9)/100*BM!$I139,15-13*ORÇAMENTO!$AF$11),ROUND(ROUND(BM.MEDAcumulado,15-13*BM!$A$9)*ROUND(BM!$H139,15-13*ORÇAMENTO!$AF$10),15-13*ORÇAMENTO!$AF$11))),IF($A139=0,0,ROUND(SomaAgrupBM,15-13*ORÇAMENTO!$AF$11)))</f>
        <v>0</v>
      </c>
    </row>
    <row r="140" spans="1:41" ht="13.8" x14ac:dyDescent="0.3">
      <c r="A140" t="str">
        <f ca="1">ORÇAMENTO!C140</f>
        <v>S</v>
      </c>
      <c r="B140">
        <f ca="1">ORÇAMENTO!D140</f>
        <v>0</v>
      </c>
      <c r="C140" s="143" t="str">
        <f t="shared" ca="1" si="12"/>
        <v/>
      </c>
      <c r="D140" s="146" t="str">
        <f ca="1">ORÇAMENTO!O140</f>
        <v>-</v>
      </c>
      <c r="E140" s="206" t="str">
        <f t="shared" ca="1" si="13"/>
        <v>(abra o arquivo 'Referência 05-2024.xls)</v>
      </c>
      <c r="F140" s="207" t="str">
        <f t="shared" ca="1" si="14"/>
        <v>-</v>
      </c>
      <c r="G140" s="151">
        <f ca="1">IF(RegimeExecucao="Global","",ORÇAMENTO!T140)</f>
        <v>106.96</v>
      </c>
      <c r="H140" s="151">
        <f ca="1">IF(RegimeExecucao="Global","",ORÇAMENTO!W140)</f>
        <v>0</v>
      </c>
      <c r="I140" s="154">
        <f ca="1">ORÇAMENTO!X140</f>
        <v>0</v>
      </c>
      <c r="J140" s="427">
        <f t="shared" ca="1" si="15"/>
        <v>0</v>
      </c>
      <c r="K140" s="151">
        <f t="shared" ca="1" si="16"/>
        <v>0</v>
      </c>
      <c r="L140" s="428">
        <f t="shared" ca="1" si="17"/>
        <v>0</v>
      </c>
      <c r="M140" s="429">
        <f ca="1">IF($A140="S",VTOTALBM,IF($A140=0,0,ROUND(SomaAgrupBM,15-13*ORÇAMENTO!$AF$11)))</f>
        <v>0</v>
      </c>
      <c r="N140" s="430">
        <f t="shared" ca="1" si="18"/>
        <v>0</v>
      </c>
      <c r="O140" s="154">
        <f ca="1">IF($A140="S",VTOTALBM,IF($A140=0,0,ROUND(SomaAgrupBM,15-13*ORÇAMENTO!$AF$11)))</f>
        <v>0</v>
      </c>
      <c r="Q140" s="431"/>
      <c r="R140" s="432"/>
      <c r="T140" s="146" t="str">
        <f t="shared" ca="1" si="19"/>
        <v/>
      </c>
      <c r="U140" s="206" t="str">
        <f t="shared" ca="1" si="20"/>
        <v/>
      </c>
      <c r="V140" s="207" t="str">
        <f t="shared" ca="1" si="21"/>
        <v/>
      </c>
      <c r="W140" s="634">
        <f ca="1">IF($Y140&gt;0,CHOOSE(MATCH(RegimeExecucao,{"Unitário","Global"},0),IF($A140="S",$Y140/$X140,""),($Y140/$X140)*100),0)</f>
        <v>0</v>
      </c>
      <c r="X140" s="433" t="str">
        <f ca="1">IF($Y140&gt;0,CHOOSE(MATCH(RegimeExecucao,{"Unitário","Global"},0),IF($A140="S",ROUND($H140,ORÇAMENTO!$AF$10),""),ROUND($I140,ORÇAMENTO!$AF$11)),"")</f>
        <v/>
      </c>
      <c r="Y140" s="433">
        <f t="shared" ca="1" si="22"/>
        <v>0</v>
      </c>
      <c r="Z140" s="434"/>
      <c r="AB140" s="431"/>
      <c r="AC140" s="599"/>
      <c r="AD140" s="599"/>
      <c r="AE140" s="599"/>
      <c r="AF140" s="599"/>
      <c r="AG140" s="599"/>
      <c r="AH140" s="599"/>
      <c r="AI140" s="599"/>
      <c r="AJ140" s="599"/>
      <c r="AK140" s="599"/>
      <c r="AL140" s="599"/>
      <c r="AM140" s="432"/>
      <c r="AO140">
        <f ca="1">IF($A140="S",IF(BM!$I140=0,0,CHOOSE(MATCH(RegimeExecucao,{"Global","Unitário"},0),ROUND(ROUND(BM.MEDAcumulado,15-13*BM!$A$9)/100*BM!$I140,15-13*ORÇAMENTO!$AF$11),ROUND(ROUND(BM.MEDAcumulado,15-13*BM!$A$9)*ROUND(BM!$H140,15-13*ORÇAMENTO!$AF$10),15-13*ORÇAMENTO!$AF$11))),IF($A140=0,0,ROUND(SomaAgrupBM,15-13*ORÇAMENTO!$AF$11)))</f>
        <v>0</v>
      </c>
    </row>
    <row r="141" spans="1:41" ht="13.8" x14ac:dyDescent="0.3">
      <c r="A141" t="str">
        <f ca="1">ORÇAMENTO!C141</f>
        <v>S</v>
      </c>
      <c r="B141">
        <f ca="1">ORÇAMENTO!D141</f>
        <v>0</v>
      </c>
      <c r="C141" s="143" t="str">
        <f t="shared" ca="1" si="12"/>
        <v/>
      </c>
      <c r="D141" s="146" t="str">
        <f ca="1">ORÇAMENTO!O141</f>
        <v>-</v>
      </c>
      <c r="E141" s="206" t="str">
        <f t="shared" ca="1" si="13"/>
        <v>(abra o arquivo 'Referência 05-2024.xls)</v>
      </c>
      <c r="F141" s="207" t="str">
        <f t="shared" ca="1" si="14"/>
        <v>-</v>
      </c>
      <c r="G141" s="151">
        <f ca="1">IF(RegimeExecucao="Global","",ORÇAMENTO!T141)</f>
        <v>7.37</v>
      </c>
      <c r="H141" s="151">
        <f ca="1">IF(RegimeExecucao="Global","",ORÇAMENTO!W141)</f>
        <v>0</v>
      </c>
      <c r="I141" s="154">
        <f ca="1">ORÇAMENTO!X141</f>
        <v>0</v>
      </c>
      <c r="J141" s="427">
        <f t="shared" ca="1" si="15"/>
        <v>0</v>
      </c>
      <c r="K141" s="151">
        <f t="shared" ca="1" si="16"/>
        <v>0</v>
      </c>
      <c r="L141" s="428">
        <f t="shared" ca="1" si="17"/>
        <v>0</v>
      </c>
      <c r="M141" s="429">
        <f ca="1">IF($A141="S",VTOTALBM,IF($A141=0,0,ROUND(SomaAgrupBM,15-13*ORÇAMENTO!$AF$11)))</f>
        <v>0</v>
      </c>
      <c r="N141" s="430">
        <f t="shared" ca="1" si="18"/>
        <v>0</v>
      </c>
      <c r="O141" s="154">
        <f ca="1">IF($A141="S",VTOTALBM,IF($A141=0,0,ROUND(SomaAgrupBM,15-13*ORÇAMENTO!$AF$11)))</f>
        <v>0</v>
      </c>
      <c r="Q141" s="431"/>
      <c r="R141" s="432"/>
      <c r="T141" s="146" t="str">
        <f t="shared" ca="1" si="19"/>
        <v/>
      </c>
      <c r="U141" s="206" t="str">
        <f t="shared" ca="1" si="20"/>
        <v/>
      </c>
      <c r="V141" s="207" t="str">
        <f t="shared" ca="1" si="21"/>
        <v/>
      </c>
      <c r="W141" s="634">
        <f ca="1">IF($Y141&gt;0,CHOOSE(MATCH(RegimeExecucao,{"Unitário","Global"},0),IF($A141="S",$Y141/$X141,""),($Y141/$X141)*100),0)</f>
        <v>0</v>
      </c>
      <c r="X141" s="433" t="str">
        <f ca="1">IF($Y141&gt;0,CHOOSE(MATCH(RegimeExecucao,{"Unitário","Global"},0),IF($A141="S",ROUND($H141,ORÇAMENTO!$AF$10),""),ROUND($I141,ORÇAMENTO!$AF$11)),"")</f>
        <v/>
      </c>
      <c r="Y141" s="433">
        <f t="shared" ca="1" si="22"/>
        <v>0</v>
      </c>
      <c r="Z141" s="434"/>
      <c r="AB141" s="431"/>
      <c r="AC141" s="599"/>
      <c r="AD141" s="599"/>
      <c r="AE141" s="599"/>
      <c r="AF141" s="599"/>
      <c r="AG141" s="599"/>
      <c r="AH141" s="599"/>
      <c r="AI141" s="599"/>
      <c r="AJ141" s="599"/>
      <c r="AK141" s="599"/>
      <c r="AL141" s="599"/>
      <c r="AM141" s="432"/>
      <c r="AO141">
        <f ca="1">IF($A141="S",IF(BM!$I141=0,0,CHOOSE(MATCH(RegimeExecucao,{"Global","Unitário"},0),ROUND(ROUND(BM.MEDAcumulado,15-13*BM!$A$9)/100*BM!$I141,15-13*ORÇAMENTO!$AF$11),ROUND(ROUND(BM.MEDAcumulado,15-13*BM!$A$9)*ROUND(BM!$H141,15-13*ORÇAMENTO!$AF$10),15-13*ORÇAMENTO!$AF$11))),IF($A141=0,0,ROUND(SomaAgrupBM,15-13*ORÇAMENTO!$AF$11)))</f>
        <v>0</v>
      </c>
    </row>
    <row r="142" spans="1:41" ht="13.8" x14ac:dyDescent="0.3">
      <c r="A142">
        <f ca="1">ORÇAMENTO!C142</f>
        <v>3</v>
      </c>
      <c r="B142">
        <f ca="1">ORÇAMENTO!D142</f>
        <v>4</v>
      </c>
      <c r="C142" s="143" t="str">
        <f t="shared" ca="1" si="12"/>
        <v>F</v>
      </c>
      <c r="D142" s="146" t="str">
        <f ca="1">ORÇAMENTO!O142</f>
        <v>1.4.9.</v>
      </c>
      <c r="E142" s="206" t="str">
        <f t="shared" si="13"/>
        <v>CONCRETO ARMADO - LAJE - MURO</v>
      </c>
      <c r="F142" s="207" t="str">
        <f t="shared" ca="1" si="14"/>
        <v>-</v>
      </c>
      <c r="G142" s="151">
        <f ca="1">IF(RegimeExecucao="Global","",ORÇAMENTO!T142)</f>
        <v>0</v>
      </c>
      <c r="H142" s="151">
        <f ca="1">IF(RegimeExecucao="Global","",ORÇAMENTO!W142)</f>
        <v>0</v>
      </c>
      <c r="I142" s="154">
        <f ca="1">ORÇAMENTO!X142</f>
        <v>0</v>
      </c>
      <c r="J142" s="427">
        <f t="shared" ca="1" si="15"/>
        <v>0</v>
      </c>
      <c r="K142" s="151">
        <f t="shared" ca="1" si="16"/>
        <v>0</v>
      </c>
      <c r="L142" s="428">
        <f t="shared" ca="1" si="17"/>
        <v>0</v>
      </c>
      <c r="M142" s="429">
        <f ca="1">IF($A142="S",VTOTALBM,IF($A142=0,0,ROUND(SomaAgrupBM,15-13*ORÇAMENTO!$AF$11)))</f>
        <v>0</v>
      </c>
      <c r="N142" s="430">
        <f t="shared" ca="1" si="18"/>
        <v>0</v>
      </c>
      <c r="O142" s="154">
        <f ca="1">IF($A142="S",VTOTALBM,IF($A142=0,0,ROUND(SomaAgrupBM,15-13*ORÇAMENTO!$AF$11)))</f>
        <v>0</v>
      </c>
      <c r="Q142" s="431"/>
      <c r="R142" s="432"/>
      <c r="T142" s="146" t="str">
        <f t="shared" ca="1" si="19"/>
        <v/>
      </c>
      <c r="U142" s="206" t="str">
        <f t="shared" ca="1" si="20"/>
        <v/>
      </c>
      <c r="V142" s="207" t="str">
        <f t="shared" ca="1" si="21"/>
        <v/>
      </c>
      <c r="W142" s="634">
        <f ca="1">IF($Y142&gt;0,CHOOSE(MATCH(RegimeExecucao,{"Unitário","Global"},0),IF($A142="S",$Y142/$X142,""),($Y142/$X142)*100),0)</f>
        <v>0</v>
      </c>
      <c r="X142" s="433" t="str">
        <f ca="1">IF($Y142&gt;0,CHOOSE(MATCH(RegimeExecucao,{"Unitário","Global"},0),IF($A142="S",ROUND($H142,ORÇAMENTO!$AF$10),""),ROUND($I142,ORÇAMENTO!$AF$11)),"")</f>
        <v/>
      </c>
      <c r="Y142" s="433">
        <f t="shared" ca="1" si="22"/>
        <v>0</v>
      </c>
      <c r="Z142" s="434"/>
      <c r="AB142" s="431"/>
      <c r="AC142" s="599"/>
      <c r="AD142" s="599"/>
      <c r="AE142" s="599"/>
      <c r="AF142" s="599"/>
      <c r="AG142" s="599"/>
      <c r="AH142" s="599"/>
      <c r="AI142" s="599"/>
      <c r="AJ142" s="599"/>
      <c r="AK142" s="599"/>
      <c r="AL142" s="599"/>
      <c r="AM142" s="432"/>
      <c r="AO142">
        <f ca="1">IF($A142="S",IF(BM!$I142=0,0,CHOOSE(MATCH(RegimeExecucao,{"Global","Unitário"},0),ROUND(ROUND(BM.MEDAcumulado,15-13*BM!$A$9)/100*BM!$I142,15-13*ORÇAMENTO!$AF$11),ROUND(ROUND(BM.MEDAcumulado,15-13*BM!$A$9)*ROUND(BM!$H142,15-13*ORÇAMENTO!$AF$10),15-13*ORÇAMENTO!$AF$11))),IF($A142=0,0,ROUND(SomaAgrupBM,15-13*ORÇAMENTO!$AF$11)))</f>
        <v>0</v>
      </c>
    </row>
    <row r="143" spans="1:41" ht="13.8" x14ac:dyDescent="0.3">
      <c r="A143" t="str">
        <f ca="1">ORÇAMENTO!C143</f>
        <v>S</v>
      </c>
      <c r="B143">
        <f ca="1">ORÇAMENTO!D143</f>
        <v>0</v>
      </c>
      <c r="C143" s="143" t="str">
        <f t="shared" ref="C143:C206" ca="1" si="23">IF(OR($I143&gt;0,$A143=1,$A143=2,$A143=3,$A143=4),"F","")</f>
        <v/>
      </c>
      <c r="D143" s="146" t="str">
        <f ca="1">ORÇAMENTO!O143</f>
        <v>-</v>
      </c>
      <c r="E143" s="206" t="str">
        <f t="shared" ref="E143:E206" ca="1" si="24">ORÇAMENTO.Descricao</f>
        <v>(abra o arquivo 'Referência 05-2024.xls)</v>
      </c>
      <c r="F143" s="207" t="str">
        <f t="shared" ref="F143:F206" ca="1" si="25">IF(RegimeExecucao="Global","",ORÇAMENTO.Unidade)</f>
        <v>-</v>
      </c>
      <c r="G143" s="151">
        <f ca="1">IF(RegimeExecucao="Global","",ORÇAMENTO!T143)</f>
        <v>10.45</v>
      </c>
      <c r="H143" s="151">
        <f ca="1">IF(RegimeExecucao="Global","",ORÇAMENTO!W143)</f>
        <v>0</v>
      </c>
      <c r="I143" s="154">
        <f ca="1">ORÇAMENTO!X143</f>
        <v>0</v>
      </c>
      <c r="J143" s="427">
        <f t="shared" ref="J143:J206" ca="1" si="26">IF($A143="S",IF(CAIXA.Modo,BM.AFAnterior,BM.MEDAnterior),IF(AND(RegimeExecucao="Global",$I143&gt;0,COUNTIF($AB$13:$AM$13,BM.medicao-1)&gt;0),M143/$I143*100,0))</f>
        <v>0</v>
      </c>
      <c r="K143" s="151">
        <f t="shared" ref="K143:K206" ca="1" si="27">L143-J143</f>
        <v>0</v>
      </c>
      <c r="L143" s="428">
        <f t="shared" ref="L143:L206" ca="1" si="28">IF($A143="S",IF(CAIXA.Modo,BM.AFAcumulado,BM.MEDAcumulado),IF(AND(RegimeExecucao="Global",$I143&gt;0,COUNTIF($AB$13:$AM$13,BM.medicao)&gt;0),O143/$I143*100,0))</f>
        <v>0</v>
      </c>
      <c r="M143" s="429">
        <f ca="1">IF($A143="S",VTOTALBM,IF($A143=0,0,ROUND(SomaAgrupBM,15-13*ORÇAMENTO!$AF$11)))</f>
        <v>0</v>
      </c>
      <c r="N143" s="430">
        <f t="shared" ref="N143:N206" ca="1" si="29">O143-M143</f>
        <v>0</v>
      </c>
      <c r="O143" s="154">
        <f ca="1">IF($A143="S",VTOTALBM,IF($A143=0,0,ROUND(SomaAgrupBM,15-13*ORÇAMENTO!$AF$11)))</f>
        <v>0</v>
      </c>
      <c r="Q143" s="431"/>
      <c r="R143" s="432"/>
      <c r="T143" s="146" t="str">
        <f t="shared" ref="T143:T206" ca="1" si="30">IF($W143&gt;0,$D143,"")</f>
        <v/>
      </c>
      <c r="U143" s="206" t="str">
        <f t="shared" ref="U143:U206" ca="1" si="31">IF($W143&gt;0,$E143,"")</f>
        <v/>
      </c>
      <c r="V143" s="207" t="str">
        <f t="shared" ref="V143:V206" ca="1" si="32">IF(AND($W143&gt;0,RegimeExecucao="Unitário"),$F143,"")</f>
        <v/>
      </c>
      <c r="W143" s="634">
        <f ca="1">IF($Y143&gt;0,CHOOSE(MATCH(RegimeExecucao,{"Unitário","Global"},0),IF($A143="S",$Y143/$X143,""),($Y143/$X143)*100),0)</f>
        <v>0</v>
      </c>
      <c r="X143" s="433" t="str">
        <f ca="1">IF($Y143&gt;0,CHOOSE(MATCH(RegimeExecucao,{"Unitário","Global"},0),IF($A143="S",ROUND($H143,ORÇAMENTO!$AF$10),""),ROUND($I143,ORÇAMENTO!$AF$11)),"")</f>
        <v/>
      </c>
      <c r="Y143" s="433">
        <f t="shared" ref="Y143:Y206" ca="1" si="33">AO143-O143</f>
        <v>0</v>
      </c>
      <c r="Z143" s="434"/>
      <c r="AB143" s="431"/>
      <c r="AC143" s="599"/>
      <c r="AD143" s="599"/>
      <c r="AE143" s="599"/>
      <c r="AF143" s="599"/>
      <c r="AG143" s="599"/>
      <c r="AH143" s="599"/>
      <c r="AI143" s="599"/>
      <c r="AJ143" s="599"/>
      <c r="AK143" s="599"/>
      <c r="AL143" s="599"/>
      <c r="AM143" s="432"/>
      <c r="AO143">
        <f ca="1">IF($A143="S",IF(BM!$I143=0,0,CHOOSE(MATCH(RegimeExecucao,{"Global","Unitário"},0),ROUND(ROUND(BM.MEDAcumulado,15-13*BM!$A$9)/100*BM!$I143,15-13*ORÇAMENTO!$AF$11),ROUND(ROUND(BM.MEDAcumulado,15-13*BM!$A$9)*ROUND(BM!$H143,15-13*ORÇAMENTO!$AF$10),15-13*ORÇAMENTO!$AF$11))),IF($A143=0,0,ROUND(SomaAgrupBM,15-13*ORÇAMENTO!$AF$11)))</f>
        <v>0</v>
      </c>
    </row>
    <row r="144" spans="1:41" ht="13.8" x14ac:dyDescent="0.3">
      <c r="A144" t="str">
        <f ca="1">ORÇAMENTO!C144</f>
        <v>S</v>
      </c>
      <c r="B144">
        <f ca="1">ORÇAMENTO!D144</f>
        <v>0</v>
      </c>
      <c r="C144" s="143" t="str">
        <f t="shared" ca="1" si="23"/>
        <v/>
      </c>
      <c r="D144" s="146" t="str">
        <f ca="1">ORÇAMENTO!O144</f>
        <v>-</v>
      </c>
      <c r="E144" s="206" t="str">
        <f t="shared" ca="1" si="24"/>
        <v>(abra o arquivo 'Referência 05-2024.xls)</v>
      </c>
      <c r="F144" s="207" t="str">
        <f t="shared" ca="1" si="25"/>
        <v>-</v>
      </c>
      <c r="G144" s="151">
        <f ca="1">IF(RegimeExecucao="Global","",ORÇAMENTO!T144)</f>
        <v>18.75</v>
      </c>
      <c r="H144" s="151">
        <f ca="1">IF(RegimeExecucao="Global","",ORÇAMENTO!W144)</f>
        <v>0</v>
      </c>
      <c r="I144" s="154">
        <f ca="1">ORÇAMENTO!X144</f>
        <v>0</v>
      </c>
      <c r="J144" s="427">
        <f t="shared" ca="1" si="26"/>
        <v>0</v>
      </c>
      <c r="K144" s="151">
        <f t="shared" ca="1" si="27"/>
        <v>0</v>
      </c>
      <c r="L144" s="428">
        <f t="shared" ca="1" si="28"/>
        <v>0</v>
      </c>
      <c r="M144" s="429">
        <f ca="1">IF($A144="S",VTOTALBM,IF($A144=0,0,ROUND(SomaAgrupBM,15-13*ORÇAMENTO!$AF$11)))</f>
        <v>0</v>
      </c>
      <c r="N144" s="430">
        <f t="shared" ca="1" si="29"/>
        <v>0</v>
      </c>
      <c r="O144" s="154">
        <f ca="1">IF($A144="S",VTOTALBM,IF($A144=0,0,ROUND(SomaAgrupBM,15-13*ORÇAMENTO!$AF$11)))</f>
        <v>0</v>
      </c>
      <c r="Q144" s="431"/>
      <c r="R144" s="432"/>
      <c r="T144" s="146" t="str">
        <f t="shared" ca="1" si="30"/>
        <v/>
      </c>
      <c r="U144" s="206" t="str">
        <f t="shared" ca="1" si="31"/>
        <v/>
      </c>
      <c r="V144" s="207" t="str">
        <f t="shared" ca="1" si="32"/>
        <v/>
      </c>
      <c r="W144" s="634">
        <f ca="1">IF($Y144&gt;0,CHOOSE(MATCH(RegimeExecucao,{"Unitário","Global"},0),IF($A144="S",$Y144/$X144,""),($Y144/$X144)*100),0)</f>
        <v>0</v>
      </c>
      <c r="X144" s="433" t="str">
        <f ca="1">IF($Y144&gt;0,CHOOSE(MATCH(RegimeExecucao,{"Unitário","Global"},0),IF($A144="S",ROUND($H144,ORÇAMENTO!$AF$10),""),ROUND($I144,ORÇAMENTO!$AF$11)),"")</f>
        <v/>
      </c>
      <c r="Y144" s="433">
        <f t="shared" ca="1" si="33"/>
        <v>0</v>
      </c>
      <c r="Z144" s="434"/>
      <c r="AB144" s="431"/>
      <c r="AC144" s="599"/>
      <c r="AD144" s="599"/>
      <c r="AE144" s="599"/>
      <c r="AF144" s="599"/>
      <c r="AG144" s="599"/>
      <c r="AH144" s="599"/>
      <c r="AI144" s="599"/>
      <c r="AJ144" s="599"/>
      <c r="AK144" s="599"/>
      <c r="AL144" s="599"/>
      <c r="AM144" s="432"/>
      <c r="AO144">
        <f ca="1">IF($A144="S",IF(BM!$I144=0,0,CHOOSE(MATCH(RegimeExecucao,{"Global","Unitário"},0),ROUND(ROUND(BM.MEDAcumulado,15-13*BM!$A$9)/100*BM!$I144,15-13*ORÇAMENTO!$AF$11),ROUND(ROUND(BM.MEDAcumulado,15-13*BM!$A$9)*ROUND(BM!$H144,15-13*ORÇAMENTO!$AF$10),15-13*ORÇAMENTO!$AF$11))),IF($A144=0,0,ROUND(SomaAgrupBM,15-13*ORÇAMENTO!$AF$11)))</f>
        <v>0</v>
      </c>
    </row>
    <row r="145" spans="1:41" ht="13.8" x14ac:dyDescent="0.3">
      <c r="A145" t="str">
        <f ca="1">ORÇAMENTO!C145</f>
        <v>S</v>
      </c>
      <c r="B145">
        <f ca="1">ORÇAMENTO!D145</f>
        <v>0</v>
      </c>
      <c r="C145" s="143" t="str">
        <f t="shared" ca="1" si="23"/>
        <v/>
      </c>
      <c r="D145" s="146" t="str">
        <f ca="1">ORÇAMENTO!O145</f>
        <v>-</v>
      </c>
      <c r="E145" s="206" t="str">
        <f t="shared" ca="1" si="24"/>
        <v>(abra o arquivo 'Referência 05-2024.xls)</v>
      </c>
      <c r="F145" s="207" t="str">
        <f t="shared" ca="1" si="25"/>
        <v>-</v>
      </c>
      <c r="G145" s="151">
        <f ca="1">IF(RegimeExecucao="Global","",ORÇAMENTO!T145)</f>
        <v>0.81</v>
      </c>
      <c r="H145" s="151">
        <f ca="1">IF(RegimeExecucao="Global","",ORÇAMENTO!W145)</f>
        <v>0</v>
      </c>
      <c r="I145" s="154">
        <f ca="1">ORÇAMENTO!X145</f>
        <v>0</v>
      </c>
      <c r="J145" s="427">
        <f t="shared" ca="1" si="26"/>
        <v>0</v>
      </c>
      <c r="K145" s="151">
        <f t="shared" ca="1" si="27"/>
        <v>0</v>
      </c>
      <c r="L145" s="428">
        <f t="shared" ca="1" si="28"/>
        <v>0</v>
      </c>
      <c r="M145" s="429">
        <f ca="1">IF($A145="S",VTOTALBM,IF($A145=0,0,ROUND(SomaAgrupBM,15-13*ORÇAMENTO!$AF$11)))</f>
        <v>0</v>
      </c>
      <c r="N145" s="430">
        <f t="shared" ca="1" si="29"/>
        <v>0</v>
      </c>
      <c r="O145" s="154">
        <f ca="1">IF($A145="S",VTOTALBM,IF($A145=0,0,ROUND(SomaAgrupBM,15-13*ORÇAMENTO!$AF$11)))</f>
        <v>0</v>
      </c>
      <c r="Q145" s="431"/>
      <c r="R145" s="432"/>
      <c r="T145" s="146" t="str">
        <f t="shared" ca="1" si="30"/>
        <v/>
      </c>
      <c r="U145" s="206" t="str">
        <f t="shared" ca="1" si="31"/>
        <v/>
      </c>
      <c r="V145" s="207" t="str">
        <f t="shared" ca="1" si="32"/>
        <v/>
      </c>
      <c r="W145" s="634">
        <f ca="1">IF($Y145&gt;0,CHOOSE(MATCH(RegimeExecucao,{"Unitário","Global"},0),IF($A145="S",$Y145/$X145,""),($Y145/$X145)*100),0)</f>
        <v>0</v>
      </c>
      <c r="X145" s="433" t="str">
        <f ca="1">IF($Y145&gt;0,CHOOSE(MATCH(RegimeExecucao,{"Unitário","Global"},0),IF($A145="S",ROUND($H145,ORÇAMENTO!$AF$10),""),ROUND($I145,ORÇAMENTO!$AF$11)),"")</f>
        <v/>
      </c>
      <c r="Y145" s="433">
        <f t="shared" ca="1" si="33"/>
        <v>0</v>
      </c>
      <c r="Z145" s="434"/>
      <c r="AB145" s="431"/>
      <c r="AC145" s="599"/>
      <c r="AD145" s="599"/>
      <c r="AE145" s="599"/>
      <c r="AF145" s="599"/>
      <c r="AG145" s="599"/>
      <c r="AH145" s="599"/>
      <c r="AI145" s="599"/>
      <c r="AJ145" s="599"/>
      <c r="AK145" s="599"/>
      <c r="AL145" s="599"/>
      <c r="AM145" s="432"/>
      <c r="AO145">
        <f ca="1">IF($A145="S",IF(BM!$I145=0,0,CHOOSE(MATCH(RegimeExecucao,{"Global","Unitário"},0),ROUND(ROUND(BM.MEDAcumulado,15-13*BM!$A$9)/100*BM!$I145,15-13*ORÇAMENTO!$AF$11),ROUND(ROUND(BM.MEDAcumulado,15-13*BM!$A$9)*ROUND(BM!$H145,15-13*ORÇAMENTO!$AF$10),15-13*ORÇAMENTO!$AF$11))),IF($A145=0,0,ROUND(SomaAgrupBM,15-13*ORÇAMENTO!$AF$11)))</f>
        <v>0</v>
      </c>
    </row>
    <row r="146" spans="1:41" ht="13.8" x14ac:dyDescent="0.3">
      <c r="A146">
        <f ca="1">ORÇAMENTO!C146</f>
        <v>3</v>
      </c>
      <c r="B146">
        <f ca="1">ORÇAMENTO!D146</f>
        <v>4</v>
      </c>
      <c r="C146" s="143" t="str">
        <f t="shared" ca="1" si="23"/>
        <v>F</v>
      </c>
      <c r="D146" s="146" t="str">
        <f ca="1">ORÇAMENTO!O146</f>
        <v>1.4.10.</v>
      </c>
      <c r="E146" s="206" t="str">
        <f t="shared" si="24"/>
        <v>CONCRETO ARMADO - LAJE - RESERVATÓRIO</v>
      </c>
      <c r="F146" s="207" t="str">
        <f t="shared" ca="1" si="25"/>
        <v>-</v>
      </c>
      <c r="G146" s="151">
        <f ca="1">IF(RegimeExecucao="Global","",ORÇAMENTO!T146)</f>
        <v>0</v>
      </c>
      <c r="H146" s="151">
        <f ca="1">IF(RegimeExecucao="Global","",ORÇAMENTO!W146)</f>
        <v>0</v>
      </c>
      <c r="I146" s="154">
        <f ca="1">ORÇAMENTO!X146</f>
        <v>0</v>
      </c>
      <c r="J146" s="427">
        <f t="shared" ca="1" si="26"/>
        <v>0</v>
      </c>
      <c r="K146" s="151">
        <f t="shared" ca="1" si="27"/>
        <v>0</v>
      </c>
      <c r="L146" s="428">
        <f t="shared" ca="1" si="28"/>
        <v>0</v>
      </c>
      <c r="M146" s="429">
        <f ca="1">IF($A146="S",VTOTALBM,IF($A146=0,0,ROUND(SomaAgrupBM,15-13*ORÇAMENTO!$AF$11)))</f>
        <v>0</v>
      </c>
      <c r="N146" s="430">
        <f t="shared" ca="1" si="29"/>
        <v>0</v>
      </c>
      <c r="O146" s="154">
        <f ca="1">IF($A146="S",VTOTALBM,IF($A146=0,0,ROUND(SomaAgrupBM,15-13*ORÇAMENTO!$AF$11)))</f>
        <v>0</v>
      </c>
      <c r="Q146" s="431"/>
      <c r="R146" s="432"/>
      <c r="T146" s="146" t="str">
        <f t="shared" ca="1" si="30"/>
        <v/>
      </c>
      <c r="U146" s="206" t="str">
        <f t="shared" ca="1" si="31"/>
        <v/>
      </c>
      <c r="V146" s="207" t="str">
        <f t="shared" ca="1" si="32"/>
        <v/>
      </c>
      <c r="W146" s="634">
        <f ca="1">IF($Y146&gt;0,CHOOSE(MATCH(RegimeExecucao,{"Unitário","Global"},0),IF($A146="S",$Y146/$X146,""),($Y146/$X146)*100),0)</f>
        <v>0</v>
      </c>
      <c r="X146" s="433" t="str">
        <f ca="1">IF($Y146&gt;0,CHOOSE(MATCH(RegimeExecucao,{"Unitário","Global"},0),IF($A146="S",ROUND($H146,ORÇAMENTO!$AF$10),""),ROUND($I146,ORÇAMENTO!$AF$11)),"")</f>
        <v/>
      </c>
      <c r="Y146" s="433">
        <f t="shared" ca="1" si="33"/>
        <v>0</v>
      </c>
      <c r="Z146" s="434"/>
      <c r="AB146" s="431"/>
      <c r="AC146" s="599"/>
      <c r="AD146" s="599"/>
      <c r="AE146" s="599"/>
      <c r="AF146" s="599"/>
      <c r="AG146" s="599"/>
      <c r="AH146" s="599"/>
      <c r="AI146" s="599"/>
      <c r="AJ146" s="599"/>
      <c r="AK146" s="599"/>
      <c r="AL146" s="599"/>
      <c r="AM146" s="432"/>
      <c r="AO146">
        <f ca="1">IF($A146="S",IF(BM!$I146=0,0,CHOOSE(MATCH(RegimeExecucao,{"Global","Unitário"},0),ROUND(ROUND(BM.MEDAcumulado,15-13*BM!$A$9)/100*BM!$I146,15-13*ORÇAMENTO!$AF$11),ROUND(ROUND(BM.MEDAcumulado,15-13*BM!$A$9)*ROUND(BM!$H146,15-13*ORÇAMENTO!$AF$10),15-13*ORÇAMENTO!$AF$11))),IF($A146=0,0,ROUND(SomaAgrupBM,15-13*ORÇAMENTO!$AF$11)))</f>
        <v>0</v>
      </c>
    </row>
    <row r="147" spans="1:41" ht="13.8" x14ac:dyDescent="0.3">
      <c r="A147" t="str">
        <f ca="1">ORÇAMENTO!C147</f>
        <v>S</v>
      </c>
      <c r="B147">
        <f ca="1">ORÇAMENTO!D147</f>
        <v>0</v>
      </c>
      <c r="C147" s="143" t="str">
        <f t="shared" ca="1" si="23"/>
        <v/>
      </c>
      <c r="D147" s="146" t="str">
        <f ca="1">ORÇAMENTO!O147</f>
        <v>-</v>
      </c>
      <c r="E147" s="206" t="str">
        <f t="shared" ca="1" si="24"/>
        <v>(abra o arquivo 'Referência 05-2024.xls)</v>
      </c>
      <c r="F147" s="207" t="str">
        <f t="shared" ca="1" si="25"/>
        <v>-</v>
      </c>
      <c r="G147" s="151">
        <f ca="1">IF(RegimeExecucao="Global","",ORÇAMENTO!T147)</f>
        <v>4.51</v>
      </c>
      <c r="H147" s="151">
        <f ca="1">IF(RegimeExecucao="Global","",ORÇAMENTO!W147)</f>
        <v>0</v>
      </c>
      <c r="I147" s="154">
        <f ca="1">ORÇAMENTO!X147</f>
        <v>0</v>
      </c>
      <c r="J147" s="427">
        <f t="shared" ca="1" si="26"/>
        <v>0</v>
      </c>
      <c r="K147" s="151">
        <f t="shared" ca="1" si="27"/>
        <v>0</v>
      </c>
      <c r="L147" s="428">
        <f t="shared" ca="1" si="28"/>
        <v>0</v>
      </c>
      <c r="M147" s="429">
        <f ca="1">IF($A147="S",VTOTALBM,IF($A147=0,0,ROUND(SomaAgrupBM,15-13*ORÇAMENTO!$AF$11)))</f>
        <v>0</v>
      </c>
      <c r="N147" s="430">
        <f t="shared" ca="1" si="29"/>
        <v>0</v>
      </c>
      <c r="O147" s="154">
        <f ca="1">IF($A147="S",VTOTALBM,IF($A147=0,0,ROUND(SomaAgrupBM,15-13*ORÇAMENTO!$AF$11)))</f>
        <v>0</v>
      </c>
      <c r="Q147" s="431"/>
      <c r="R147" s="432"/>
      <c r="T147" s="146" t="str">
        <f t="shared" ca="1" si="30"/>
        <v/>
      </c>
      <c r="U147" s="206" t="str">
        <f t="shared" ca="1" si="31"/>
        <v/>
      </c>
      <c r="V147" s="207" t="str">
        <f t="shared" ca="1" si="32"/>
        <v/>
      </c>
      <c r="W147" s="634">
        <f ca="1">IF($Y147&gt;0,CHOOSE(MATCH(RegimeExecucao,{"Unitário","Global"},0),IF($A147="S",$Y147/$X147,""),($Y147/$X147)*100),0)</f>
        <v>0</v>
      </c>
      <c r="X147" s="433" t="str">
        <f ca="1">IF($Y147&gt;0,CHOOSE(MATCH(RegimeExecucao,{"Unitário","Global"},0),IF($A147="S",ROUND($H147,ORÇAMENTO!$AF$10),""),ROUND($I147,ORÇAMENTO!$AF$11)),"")</f>
        <v/>
      </c>
      <c r="Y147" s="433">
        <f t="shared" ca="1" si="33"/>
        <v>0</v>
      </c>
      <c r="Z147" s="434"/>
      <c r="AB147" s="431"/>
      <c r="AC147" s="599"/>
      <c r="AD147" s="599"/>
      <c r="AE147" s="599"/>
      <c r="AF147" s="599"/>
      <c r="AG147" s="599"/>
      <c r="AH147" s="599"/>
      <c r="AI147" s="599"/>
      <c r="AJ147" s="599"/>
      <c r="AK147" s="599"/>
      <c r="AL147" s="599"/>
      <c r="AM147" s="432"/>
      <c r="AO147">
        <f ca="1">IF($A147="S",IF(BM!$I147=0,0,CHOOSE(MATCH(RegimeExecucao,{"Global","Unitário"},0),ROUND(ROUND(BM.MEDAcumulado,15-13*BM!$A$9)/100*BM!$I147,15-13*ORÇAMENTO!$AF$11),ROUND(ROUND(BM.MEDAcumulado,15-13*BM!$A$9)*ROUND(BM!$H147,15-13*ORÇAMENTO!$AF$10),15-13*ORÇAMENTO!$AF$11))),IF($A147=0,0,ROUND(SomaAgrupBM,15-13*ORÇAMENTO!$AF$11)))</f>
        <v>0</v>
      </c>
    </row>
    <row r="148" spans="1:41" ht="13.8" x14ac:dyDescent="0.3">
      <c r="A148" t="str">
        <f ca="1">ORÇAMENTO!C148</f>
        <v>S</v>
      </c>
      <c r="B148">
        <f ca="1">ORÇAMENTO!D148</f>
        <v>0</v>
      </c>
      <c r="C148" s="143" t="str">
        <f t="shared" ca="1" si="23"/>
        <v/>
      </c>
      <c r="D148" s="146" t="str">
        <f ca="1">ORÇAMENTO!O148</f>
        <v>-</v>
      </c>
      <c r="E148" s="206" t="str">
        <f t="shared" ca="1" si="24"/>
        <v>(abra o arquivo 'Referência 05-2024.xls)</v>
      </c>
      <c r="F148" s="207" t="str">
        <f t="shared" ca="1" si="25"/>
        <v>-</v>
      </c>
      <c r="G148" s="151">
        <f ca="1">IF(RegimeExecucao="Global","",ORÇAMENTO!T148)</f>
        <v>65.209999999999994</v>
      </c>
      <c r="H148" s="151">
        <f ca="1">IF(RegimeExecucao="Global","",ORÇAMENTO!W148)</f>
        <v>0</v>
      </c>
      <c r="I148" s="154">
        <f ca="1">ORÇAMENTO!X148</f>
        <v>0</v>
      </c>
      <c r="J148" s="427">
        <f t="shared" ca="1" si="26"/>
        <v>0</v>
      </c>
      <c r="K148" s="151">
        <f t="shared" ca="1" si="27"/>
        <v>0</v>
      </c>
      <c r="L148" s="428">
        <f t="shared" ca="1" si="28"/>
        <v>0</v>
      </c>
      <c r="M148" s="429">
        <f ca="1">IF($A148="S",VTOTALBM,IF($A148=0,0,ROUND(SomaAgrupBM,15-13*ORÇAMENTO!$AF$11)))</f>
        <v>0</v>
      </c>
      <c r="N148" s="430">
        <f t="shared" ca="1" si="29"/>
        <v>0</v>
      </c>
      <c r="O148" s="154">
        <f ca="1">IF($A148="S",VTOTALBM,IF($A148=0,0,ROUND(SomaAgrupBM,15-13*ORÇAMENTO!$AF$11)))</f>
        <v>0</v>
      </c>
      <c r="Q148" s="431"/>
      <c r="R148" s="432"/>
      <c r="T148" s="146" t="str">
        <f t="shared" ca="1" si="30"/>
        <v/>
      </c>
      <c r="U148" s="206" t="str">
        <f t="shared" ca="1" si="31"/>
        <v/>
      </c>
      <c r="V148" s="207" t="str">
        <f t="shared" ca="1" si="32"/>
        <v/>
      </c>
      <c r="W148" s="634">
        <f ca="1">IF($Y148&gt;0,CHOOSE(MATCH(RegimeExecucao,{"Unitário","Global"},0),IF($A148="S",$Y148/$X148,""),($Y148/$X148)*100),0)</f>
        <v>0</v>
      </c>
      <c r="X148" s="433" t="str">
        <f ca="1">IF($Y148&gt;0,CHOOSE(MATCH(RegimeExecucao,{"Unitário","Global"},0),IF($A148="S",ROUND($H148,ORÇAMENTO!$AF$10),""),ROUND($I148,ORÇAMENTO!$AF$11)),"")</f>
        <v/>
      </c>
      <c r="Y148" s="433">
        <f t="shared" ca="1" si="33"/>
        <v>0</v>
      </c>
      <c r="Z148" s="434"/>
      <c r="AB148" s="431"/>
      <c r="AC148" s="599"/>
      <c r="AD148" s="599"/>
      <c r="AE148" s="599"/>
      <c r="AF148" s="599"/>
      <c r="AG148" s="599"/>
      <c r="AH148" s="599"/>
      <c r="AI148" s="599"/>
      <c r="AJ148" s="599"/>
      <c r="AK148" s="599"/>
      <c r="AL148" s="599"/>
      <c r="AM148" s="432"/>
      <c r="AO148">
        <f ca="1">IF($A148="S",IF(BM!$I148=0,0,CHOOSE(MATCH(RegimeExecucao,{"Global","Unitário"},0),ROUND(ROUND(BM.MEDAcumulado,15-13*BM!$A$9)/100*BM!$I148,15-13*ORÇAMENTO!$AF$11),ROUND(ROUND(BM.MEDAcumulado,15-13*BM!$A$9)*ROUND(BM!$H148,15-13*ORÇAMENTO!$AF$10),15-13*ORÇAMENTO!$AF$11))),IF($A148=0,0,ROUND(SomaAgrupBM,15-13*ORÇAMENTO!$AF$11)))</f>
        <v>0</v>
      </c>
    </row>
    <row r="149" spans="1:41" ht="13.8" x14ac:dyDescent="0.3">
      <c r="A149" t="str">
        <f ca="1">ORÇAMENTO!C149</f>
        <v>S</v>
      </c>
      <c r="B149">
        <f ca="1">ORÇAMENTO!D149</f>
        <v>0</v>
      </c>
      <c r="C149" s="143" t="str">
        <f t="shared" ca="1" si="23"/>
        <v/>
      </c>
      <c r="D149" s="146" t="str">
        <f ca="1">ORÇAMENTO!O149</f>
        <v>-</v>
      </c>
      <c r="E149" s="206" t="str">
        <f t="shared" ca="1" si="24"/>
        <v>(abra o arquivo 'Referência 05-2024.xls)</v>
      </c>
      <c r="F149" s="207" t="str">
        <f t="shared" ca="1" si="25"/>
        <v>-</v>
      </c>
      <c r="G149" s="151">
        <f ca="1">IF(RegimeExecucao="Global","",ORÇAMENTO!T149)</f>
        <v>0.43</v>
      </c>
      <c r="H149" s="151">
        <f ca="1">IF(RegimeExecucao="Global","",ORÇAMENTO!W149)</f>
        <v>0</v>
      </c>
      <c r="I149" s="154">
        <f ca="1">ORÇAMENTO!X149</f>
        <v>0</v>
      </c>
      <c r="J149" s="427">
        <f t="shared" ca="1" si="26"/>
        <v>0</v>
      </c>
      <c r="K149" s="151">
        <f t="shared" ca="1" si="27"/>
        <v>0</v>
      </c>
      <c r="L149" s="428">
        <f t="shared" ca="1" si="28"/>
        <v>0</v>
      </c>
      <c r="M149" s="429">
        <f ca="1">IF($A149="S",VTOTALBM,IF($A149=0,0,ROUND(SomaAgrupBM,15-13*ORÇAMENTO!$AF$11)))</f>
        <v>0</v>
      </c>
      <c r="N149" s="430">
        <f t="shared" ca="1" si="29"/>
        <v>0</v>
      </c>
      <c r="O149" s="154">
        <f ca="1">IF($A149="S",VTOTALBM,IF($A149=0,0,ROUND(SomaAgrupBM,15-13*ORÇAMENTO!$AF$11)))</f>
        <v>0</v>
      </c>
      <c r="Q149" s="431"/>
      <c r="R149" s="432"/>
      <c r="T149" s="146" t="str">
        <f t="shared" ca="1" si="30"/>
        <v/>
      </c>
      <c r="U149" s="206" t="str">
        <f t="shared" ca="1" si="31"/>
        <v/>
      </c>
      <c r="V149" s="207" t="str">
        <f t="shared" ca="1" si="32"/>
        <v/>
      </c>
      <c r="W149" s="634">
        <f ca="1">IF($Y149&gt;0,CHOOSE(MATCH(RegimeExecucao,{"Unitário","Global"},0),IF($A149="S",$Y149/$X149,""),($Y149/$X149)*100),0)</f>
        <v>0</v>
      </c>
      <c r="X149" s="433" t="str">
        <f ca="1">IF($Y149&gt;0,CHOOSE(MATCH(RegimeExecucao,{"Unitário","Global"},0),IF($A149="S",ROUND($H149,ORÇAMENTO!$AF$10),""),ROUND($I149,ORÇAMENTO!$AF$11)),"")</f>
        <v/>
      </c>
      <c r="Y149" s="433">
        <f t="shared" ca="1" si="33"/>
        <v>0</v>
      </c>
      <c r="Z149" s="434"/>
      <c r="AB149" s="431"/>
      <c r="AC149" s="599"/>
      <c r="AD149" s="599"/>
      <c r="AE149" s="599"/>
      <c r="AF149" s="599"/>
      <c r="AG149" s="599"/>
      <c r="AH149" s="599"/>
      <c r="AI149" s="599"/>
      <c r="AJ149" s="599"/>
      <c r="AK149" s="599"/>
      <c r="AL149" s="599"/>
      <c r="AM149" s="432"/>
      <c r="AO149">
        <f ca="1">IF($A149="S",IF(BM!$I149=0,0,CHOOSE(MATCH(RegimeExecucao,{"Global","Unitário"},0),ROUND(ROUND(BM.MEDAcumulado,15-13*BM!$A$9)/100*BM!$I149,15-13*ORÇAMENTO!$AF$11),ROUND(ROUND(BM.MEDAcumulado,15-13*BM!$A$9)*ROUND(BM!$H149,15-13*ORÇAMENTO!$AF$10),15-13*ORÇAMENTO!$AF$11))),IF($A149=0,0,ROUND(SomaAgrupBM,15-13*ORÇAMENTO!$AF$11)))</f>
        <v>0</v>
      </c>
    </row>
    <row r="150" spans="1:41" ht="13.8" x14ac:dyDescent="0.3">
      <c r="A150">
        <f ca="1">ORÇAMENTO!C150</f>
        <v>3</v>
      </c>
      <c r="B150">
        <f ca="1">ORÇAMENTO!D150</f>
        <v>2</v>
      </c>
      <c r="C150" s="143" t="str">
        <f t="shared" ca="1" si="23"/>
        <v>F</v>
      </c>
      <c r="D150" s="146" t="str">
        <f ca="1">ORÇAMENTO!O150</f>
        <v>1.4.11.</v>
      </c>
      <c r="E150" s="206" t="str">
        <f t="shared" si="24"/>
        <v>ESTRUTURA METÁLICA</v>
      </c>
      <c r="F150" s="207" t="str">
        <f t="shared" ca="1" si="25"/>
        <v>-</v>
      </c>
      <c r="G150" s="151">
        <f ca="1">IF(RegimeExecucao="Global","",ORÇAMENTO!T150)</f>
        <v>0</v>
      </c>
      <c r="H150" s="151">
        <f ca="1">IF(RegimeExecucao="Global","",ORÇAMENTO!W150)</f>
        <v>0</v>
      </c>
      <c r="I150" s="154">
        <f ca="1">ORÇAMENTO!X150</f>
        <v>0</v>
      </c>
      <c r="J150" s="427">
        <f t="shared" ca="1" si="26"/>
        <v>0</v>
      </c>
      <c r="K150" s="151">
        <f t="shared" ca="1" si="27"/>
        <v>0</v>
      </c>
      <c r="L150" s="428">
        <f t="shared" ca="1" si="28"/>
        <v>0</v>
      </c>
      <c r="M150" s="429">
        <f ca="1">IF($A150="S",VTOTALBM,IF($A150=0,0,ROUND(SomaAgrupBM,15-13*ORÇAMENTO!$AF$11)))</f>
        <v>0</v>
      </c>
      <c r="N150" s="430">
        <f t="shared" ca="1" si="29"/>
        <v>0</v>
      </c>
      <c r="O150" s="154">
        <f ca="1">IF($A150="S",VTOTALBM,IF($A150=0,0,ROUND(SomaAgrupBM,15-13*ORÇAMENTO!$AF$11)))</f>
        <v>0</v>
      </c>
      <c r="Q150" s="431"/>
      <c r="R150" s="432"/>
      <c r="T150" s="146" t="str">
        <f t="shared" ca="1" si="30"/>
        <v/>
      </c>
      <c r="U150" s="206" t="str">
        <f t="shared" ca="1" si="31"/>
        <v/>
      </c>
      <c r="V150" s="207" t="str">
        <f t="shared" ca="1" si="32"/>
        <v/>
      </c>
      <c r="W150" s="634">
        <f ca="1">IF($Y150&gt;0,CHOOSE(MATCH(RegimeExecucao,{"Unitário","Global"},0),IF($A150="S",$Y150/$X150,""),($Y150/$X150)*100),0)</f>
        <v>0</v>
      </c>
      <c r="X150" s="433" t="str">
        <f ca="1">IF($Y150&gt;0,CHOOSE(MATCH(RegimeExecucao,{"Unitário","Global"},0),IF($A150="S",ROUND($H150,ORÇAMENTO!$AF$10),""),ROUND($I150,ORÇAMENTO!$AF$11)),"")</f>
        <v/>
      </c>
      <c r="Y150" s="433">
        <f t="shared" ca="1" si="33"/>
        <v>0</v>
      </c>
      <c r="Z150" s="434"/>
      <c r="AB150" s="431"/>
      <c r="AC150" s="599"/>
      <c r="AD150" s="599"/>
      <c r="AE150" s="599"/>
      <c r="AF150" s="599"/>
      <c r="AG150" s="599"/>
      <c r="AH150" s="599"/>
      <c r="AI150" s="599"/>
      <c r="AJ150" s="599"/>
      <c r="AK150" s="599"/>
      <c r="AL150" s="599"/>
      <c r="AM150" s="432"/>
      <c r="AO150">
        <f ca="1">IF($A150="S",IF(BM!$I150=0,0,CHOOSE(MATCH(RegimeExecucao,{"Global","Unitário"},0),ROUND(ROUND(BM.MEDAcumulado,15-13*BM!$A$9)/100*BM!$I150,15-13*ORÇAMENTO!$AF$11),ROUND(ROUND(BM.MEDAcumulado,15-13*BM!$A$9)*ROUND(BM!$H150,15-13*ORÇAMENTO!$AF$10),15-13*ORÇAMENTO!$AF$11))),IF($A150=0,0,ROUND(SomaAgrupBM,15-13*ORÇAMENTO!$AF$11)))</f>
        <v>0</v>
      </c>
    </row>
    <row r="151" spans="1:41" ht="13.8" x14ac:dyDescent="0.3">
      <c r="A151" t="str">
        <f ca="1">ORÇAMENTO!C151</f>
        <v>S</v>
      </c>
      <c r="B151">
        <f ca="1">ORÇAMENTO!D151</f>
        <v>0</v>
      </c>
      <c r="C151" s="143" t="str">
        <f t="shared" ca="1" si="23"/>
        <v/>
      </c>
      <c r="D151" s="146" t="str">
        <f ca="1">ORÇAMENTO!O151</f>
        <v>-</v>
      </c>
      <c r="E151" s="206" t="str">
        <f t="shared" ca="1" si="24"/>
        <v>(abra o arquivo 'Referência 05-2024.xls)</v>
      </c>
      <c r="F151" s="207" t="str">
        <f t="shared" ca="1" si="25"/>
        <v>-</v>
      </c>
      <c r="G151" s="151">
        <f ca="1">IF(RegimeExecucao="Global","",ORÇAMENTO!T151)</f>
        <v>61475.7</v>
      </c>
      <c r="H151" s="151">
        <f ca="1">IF(RegimeExecucao="Global","",ORÇAMENTO!W151)</f>
        <v>0</v>
      </c>
      <c r="I151" s="154">
        <f ca="1">ORÇAMENTO!X151</f>
        <v>0</v>
      </c>
      <c r="J151" s="427">
        <f t="shared" ca="1" si="26"/>
        <v>0</v>
      </c>
      <c r="K151" s="151">
        <f t="shared" ca="1" si="27"/>
        <v>0</v>
      </c>
      <c r="L151" s="428">
        <f t="shared" ca="1" si="28"/>
        <v>0</v>
      </c>
      <c r="M151" s="429">
        <f ca="1">IF($A151="S",VTOTALBM,IF($A151=0,0,ROUND(SomaAgrupBM,15-13*ORÇAMENTO!$AF$11)))</f>
        <v>0</v>
      </c>
      <c r="N151" s="430">
        <f t="shared" ca="1" si="29"/>
        <v>0</v>
      </c>
      <c r="O151" s="154">
        <f ca="1">IF($A151="S",VTOTALBM,IF($A151=0,0,ROUND(SomaAgrupBM,15-13*ORÇAMENTO!$AF$11)))</f>
        <v>0</v>
      </c>
      <c r="Q151" s="431"/>
      <c r="R151" s="432"/>
      <c r="T151" s="146" t="str">
        <f t="shared" ca="1" si="30"/>
        <v/>
      </c>
      <c r="U151" s="206" t="str">
        <f t="shared" ca="1" si="31"/>
        <v/>
      </c>
      <c r="V151" s="207" t="str">
        <f t="shared" ca="1" si="32"/>
        <v/>
      </c>
      <c r="W151" s="634">
        <f ca="1">IF($Y151&gt;0,CHOOSE(MATCH(RegimeExecucao,{"Unitário","Global"},0),IF($A151="S",$Y151/$X151,""),($Y151/$X151)*100),0)</f>
        <v>0</v>
      </c>
      <c r="X151" s="433" t="str">
        <f ca="1">IF($Y151&gt;0,CHOOSE(MATCH(RegimeExecucao,{"Unitário","Global"},0),IF($A151="S",ROUND($H151,ORÇAMENTO!$AF$10),""),ROUND($I151,ORÇAMENTO!$AF$11)),"")</f>
        <v/>
      </c>
      <c r="Y151" s="433">
        <f t="shared" ca="1" si="33"/>
        <v>0</v>
      </c>
      <c r="Z151" s="434"/>
      <c r="AB151" s="431"/>
      <c r="AC151" s="599"/>
      <c r="AD151" s="599"/>
      <c r="AE151" s="599"/>
      <c r="AF151" s="599"/>
      <c r="AG151" s="599"/>
      <c r="AH151" s="599"/>
      <c r="AI151" s="599"/>
      <c r="AJ151" s="599"/>
      <c r="AK151" s="599"/>
      <c r="AL151" s="599"/>
      <c r="AM151" s="432"/>
      <c r="AO151">
        <f ca="1">IF($A151="S",IF(BM!$I151=0,0,CHOOSE(MATCH(RegimeExecucao,{"Global","Unitário"},0),ROUND(ROUND(BM.MEDAcumulado,15-13*BM!$A$9)/100*BM!$I151,15-13*ORÇAMENTO!$AF$11),ROUND(ROUND(BM.MEDAcumulado,15-13*BM!$A$9)*ROUND(BM!$H151,15-13*ORÇAMENTO!$AF$10),15-13*ORÇAMENTO!$AF$11))),IF($A151=0,0,ROUND(SomaAgrupBM,15-13*ORÇAMENTO!$AF$11)))</f>
        <v>0</v>
      </c>
    </row>
    <row r="152" spans="1:41" ht="13.8" x14ac:dyDescent="0.3">
      <c r="A152">
        <f ca="1">ORÇAMENTO!C152</f>
        <v>2</v>
      </c>
      <c r="B152">
        <f ca="1">ORÇAMENTO!D152</f>
        <v>20</v>
      </c>
      <c r="C152" s="143" t="str">
        <f t="shared" ca="1" si="23"/>
        <v>F</v>
      </c>
      <c r="D152" s="146" t="str">
        <f ca="1">ORÇAMENTO!O152</f>
        <v>1.5.</v>
      </c>
      <c r="E152" s="206" t="str">
        <f t="shared" si="24"/>
        <v>SISTEMA DE VEDAÇÃO VERTICAL</v>
      </c>
      <c r="F152" s="207" t="str">
        <f t="shared" ca="1" si="25"/>
        <v>-</v>
      </c>
      <c r="G152" s="151">
        <f ca="1">IF(RegimeExecucao="Global","",ORÇAMENTO!T152)</f>
        <v>0</v>
      </c>
      <c r="H152" s="151">
        <f ca="1">IF(RegimeExecucao="Global","",ORÇAMENTO!W152)</f>
        <v>0</v>
      </c>
      <c r="I152" s="154">
        <f ca="1">ORÇAMENTO!X152</f>
        <v>0</v>
      </c>
      <c r="J152" s="427">
        <f t="shared" ca="1" si="26"/>
        <v>0</v>
      </c>
      <c r="K152" s="151">
        <f t="shared" ca="1" si="27"/>
        <v>0</v>
      </c>
      <c r="L152" s="428">
        <f t="shared" ca="1" si="28"/>
        <v>0</v>
      </c>
      <c r="M152" s="429">
        <f ca="1">IF($A152="S",VTOTALBM,IF($A152=0,0,ROUND(SomaAgrupBM,15-13*ORÇAMENTO!$AF$11)))</f>
        <v>0</v>
      </c>
      <c r="N152" s="430">
        <f t="shared" ca="1" si="29"/>
        <v>0</v>
      </c>
      <c r="O152" s="154">
        <f ca="1">IF($A152="S",VTOTALBM,IF($A152=0,0,ROUND(SomaAgrupBM,15-13*ORÇAMENTO!$AF$11)))</f>
        <v>0</v>
      </c>
      <c r="Q152" s="431"/>
      <c r="R152" s="432"/>
      <c r="T152" s="146" t="str">
        <f t="shared" ca="1" si="30"/>
        <v/>
      </c>
      <c r="U152" s="206" t="str">
        <f t="shared" ca="1" si="31"/>
        <v/>
      </c>
      <c r="V152" s="207" t="str">
        <f t="shared" ca="1" si="32"/>
        <v/>
      </c>
      <c r="W152" s="634">
        <f ca="1">IF($Y152&gt;0,CHOOSE(MATCH(RegimeExecucao,{"Unitário","Global"},0),IF($A152="S",$Y152/$X152,""),($Y152/$X152)*100),0)</f>
        <v>0</v>
      </c>
      <c r="X152" s="433" t="str">
        <f ca="1">IF($Y152&gt;0,CHOOSE(MATCH(RegimeExecucao,{"Unitário","Global"},0),IF($A152="S",ROUND($H152,ORÇAMENTO!$AF$10),""),ROUND($I152,ORÇAMENTO!$AF$11)),"")</f>
        <v/>
      </c>
      <c r="Y152" s="433">
        <f t="shared" ca="1" si="33"/>
        <v>0</v>
      </c>
      <c r="Z152" s="434"/>
      <c r="AB152" s="431"/>
      <c r="AC152" s="599"/>
      <c r="AD152" s="599"/>
      <c r="AE152" s="599"/>
      <c r="AF152" s="599"/>
      <c r="AG152" s="599"/>
      <c r="AH152" s="599"/>
      <c r="AI152" s="599"/>
      <c r="AJ152" s="599"/>
      <c r="AK152" s="599"/>
      <c r="AL152" s="599"/>
      <c r="AM152" s="432"/>
      <c r="AO152">
        <f ca="1">IF($A152="S",IF(BM!$I152=0,0,CHOOSE(MATCH(RegimeExecucao,{"Global","Unitário"},0),ROUND(ROUND(BM.MEDAcumulado,15-13*BM!$A$9)/100*BM!$I152,15-13*ORÇAMENTO!$AF$11),ROUND(ROUND(BM.MEDAcumulado,15-13*BM!$A$9)*ROUND(BM!$H152,15-13*ORÇAMENTO!$AF$10),15-13*ORÇAMENTO!$AF$11))),IF($A152=0,0,ROUND(SomaAgrupBM,15-13*ORÇAMENTO!$AF$11)))</f>
        <v>0</v>
      </c>
    </row>
    <row r="153" spans="1:41" ht="13.8" x14ac:dyDescent="0.3">
      <c r="A153">
        <f ca="1">ORÇAMENTO!C153</f>
        <v>3</v>
      </c>
      <c r="B153">
        <f ca="1">ORÇAMENTO!D153</f>
        <v>2</v>
      </c>
      <c r="C153" s="143" t="str">
        <f t="shared" ca="1" si="23"/>
        <v>F</v>
      </c>
      <c r="D153" s="146" t="str">
        <f ca="1">ORÇAMENTO!O153</f>
        <v>1.5.1.</v>
      </c>
      <c r="E153" s="206" t="str">
        <f t="shared" si="24"/>
        <v>ELEMENTOS VAZADOS</v>
      </c>
      <c r="F153" s="207" t="str">
        <f t="shared" ca="1" si="25"/>
        <v>-</v>
      </c>
      <c r="G153" s="151">
        <f ca="1">IF(RegimeExecucao="Global","",ORÇAMENTO!T153)</f>
        <v>0</v>
      </c>
      <c r="H153" s="151">
        <f ca="1">IF(RegimeExecucao="Global","",ORÇAMENTO!W153)</f>
        <v>0</v>
      </c>
      <c r="I153" s="154">
        <f ca="1">ORÇAMENTO!X153</f>
        <v>0</v>
      </c>
      <c r="J153" s="427">
        <f t="shared" ca="1" si="26"/>
        <v>0</v>
      </c>
      <c r="K153" s="151">
        <f t="shared" ca="1" si="27"/>
        <v>0</v>
      </c>
      <c r="L153" s="428">
        <f t="shared" ca="1" si="28"/>
        <v>0</v>
      </c>
      <c r="M153" s="429">
        <f ca="1">IF($A153="S",VTOTALBM,IF($A153=0,0,ROUND(SomaAgrupBM,15-13*ORÇAMENTO!$AF$11)))</f>
        <v>0</v>
      </c>
      <c r="N153" s="430">
        <f t="shared" ca="1" si="29"/>
        <v>0</v>
      </c>
      <c r="O153" s="154">
        <f ca="1">IF($A153="S",VTOTALBM,IF($A153=0,0,ROUND(SomaAgrupBM,15-13*ORÇAMENTO!$AF$11)))</f>
        <v>0</v>
      </c>
      <c r="Q153" s="431"/>
      <c r="R153" s="432"/>
      <c r="T153" s="146" t="str">
        <f t="shared" ca="1" si="30"/>
        <v/>
      </c>
      <c r="U153" s="206" t="str">
        <f t="shared" ca="1" si="31"/>
        <v/>
      </c>
      <c r="V153" s="207" t="str">
        <f t="shared" ca="1" si="32"/>
        <v/>
      </c>
      <c r="W153" s="634">
        <f ca="1">IF($Y153&gt;0,CHOOSE(MATCH(RegimeExecucao,{"Unitário","Global"},0),IF($A153="S",$Y153/$X153,""),($Y153/$X153)*100),0)</f>
        <v>0</v>
      </c>
      <c r="X153" s="433" t="str">
        <f ca="1">IF($Y153&gt;0,CHOOSE(MATCH(RegimeExecucao,{"Unitário","Global"},0),IF($A153="S",ROUND($H153,ORÇAMENTO!$AF$10),""),ROUND($I153,ORÇAMENTO!$AF$11)),"")</f>
        <v/>
      </c>
      <c r="Y153" s="433">
        <f t="shared" ca="1" si="33"/>
        <v>0</v>
      </c>
      <c r="Z153" s="434"/>
      <c r="AB153" s="431"/>
      <c r="AC153" s="599"/>
      <c r="AD153" s="599"/>
      <c r="AE153" s="599"/>
      <c r="AF153" s="599"/>
      <c r="AG153" s="599"/>
      <c r="AH153" s="599"/>
      <c r="AI153" s="599"/>
      <c r="AJ153" s="599"/>
      <c r="AK153" s="599"/>
      <c r="AL153" s="599"/>
      <c r="AM153" s="432"/>
      <c r="AO153">
        <f ca="1">IF($A153="S",IF(BM!$I153=0,0,CHOOSE(MATCH(RegimeExecucao,{"Global","Unitário"},0),ROUND(ROUND(BM.MEDAcumulado,15-13*BM!$A$9)/100*BM!$I153,15-13*ORÇAMENTO!$AF$11),ROUND(ROUND(BM.MEDAcumulado,15-13*BM!$A$9)*ROUND(BM!$H153,15-13*ORÇAMENTO!$AF$10),15-13*ORÇAMENTO!$AF$11))),IF($A153=0,0,ROUND(SomaAgrupBM,15-13*ORÇAMENTO!$AF$11)))</f>
        <v>0</v>
      </c>
    </row>
    <row r="154" spans="1:41" ht="13.8" x14ac:dyDescent="0.3">
      <c r="A154" t="str">
        <f ca="1">ORÇAMENTO!C154</f>
        <v>S</v>
      </c>
      <c r="B154">
        <f ca="1">ORÇAMENTO!D154</f>
        <v>0</v>
      </c>
      <c r="C154" s="143" t="str">
        <f t="shared" ca="1" si="23"/>
        <v/>
      </c>
      <c r="D154" s="146" t="str">
        <f ca="1">ORÇAMENTO!O154</f>
        <v>-</v>
      </c>
      <c r="E154" s="206" t="str">
        <f t="shared" ca="1" si="24"/>
        <v>(abra o arquivo 'Referência 05-2024.xls)</v>
      </c>
      <c r="F154" s="207" t="str">
        <f t="shared" ca="1" si="25"/>
        <v>-</v>
      </c>
      <c r="G154" s="151">
        <f ca="1">IF(RegimeExecucao="Global","",ORÇAMENTO!T154)</f>
        <v>122.25</v>
      </c>
      <c r="H154" s="151">
        <f ca="1">IF(RegimeExecucao="Global","",ORÇAMENTO!W154)</f>
        <v>0</v>
      </c>
      <c r="I154" s="154">
        <f ca="1">ORÇAMENTO!X154</f>
        <v>0</v>
      </c>
      <c r="J154" s="427">
        <f t="shared" ca="1" si="26"/>
        <v>0</v>
      </c>
      <c r="K154" s="151">
        <f t="shared" ca="1" si="27"/>
        <v>0</v>
      </c>
      <c r="L154" s="428">
        <f t="shared" ca="1" si="28"/>
        <v>0</v>
      </c>
      <c r="M154" s="429">
        <f ca="1">IF($A154="S",VTOTALBM,IF($A154=0,0,ROUND(SomaAgrupBM,15-13*ORÇAMENTO!$AF$11)))</f>
        <v>0</v>
      </c>
      <c r="N154" s="430">
        <f t="shared" ca="1" si="29"/>
        <v>0</v>
      </c>
      <c r="O154" s="154">
        <f ca="1">IF($A154="S",VTOTALBM,IF($A154=0,0,ROUND(SomaAgrupBM,15-13*ORÇAMENTO!$AF$11)))</f>
        <v>0</v>
      </c>
      <c r="Q154" s="431"/>
      <c r="R154" s="432"/>
      <c r="T154" s="146" t="str">
        <f t="shared" ca="1" si="30"/>
        <v/>
      </c>
      <c r="U154" s="206" t="str">
        <f t="shared" ca="1" si="31"/>
        <v/>
      </c>
      <c r="V154" s="207" t="str">
        <f t="shared" ca="1" si="32"/>
        <v/>
      </c>
      <c r="W154" s="634">
        <f ca="1">IF($Y154&gt;0,CHOOSE(MATCH(RegimeExecucao,{"Unitário","Global"},0),IF($A154="S",$Y154/$X154,""),($Y154/$X154)*100),0)</f>
        <v>0</v>
      </c>
      <c r="X154" s="433" t="str">
        <f ca="1">IF($Y154&gt;0,CHOOSE(MATCH(RegimeExecucao,{"Unitário","Global"},0),IF($A154="S",ROUND($H154,ORÇAMENTO!$AF$10),""),ROUND($I154,ORÇAMENTO!$AF$11)),"")</f>
        <v/>
      </c>
      <c r="Y154" s="433">
        <f t="shared" ca="1" si="33"/>
        <v>0</v>
      </c>
      <c r="Z154" s="434"/>
      <c r="AB154" s="431"/>
      <c r="AC154" s="599"/>
      <c r="AD154" s="599"/>
      <c r="AE154" s="599"/>
      <c r="AF154" s="599"/>
      <c r="AG154" s="599"/>
      <c r="AH154" s="599"/>
      <c r="AI154" s="599"/>
      <c r="AJ154" s="599"/>
      <c r="AK154" s="599"/>
      <c r="AL154" s="599"/>
      <c r="AM154" s="432"/>
      <c r="AO154">
        <f ca="1">IF($A154="S",IF(BM!$I154=0,0,CHOOSE(MATCH(RegimeExecucao,{"Global","Unitário"},0),ROUND(ROUND(BM.MEDAcumulado,15-13*BM!$A$9)/100*BM!$I154,15-13*ORÇAMENTO!$AF$11),ROUND(ROUND(BM.MEDAcumulado,15-13*BM!$A$9)*ROUND(BM!$H154,15-13*ORÇAMENTO!$AF$10),15-13*ORÇAMENTO!$AF$11))),IF($A154=0,0,ROUND(SomaAgrupBM,15-13*ORÇAMENTO!$AF$11)))</f>
        <v>0</v>
      </c>
    </row>
    <row r="155" spans="1:41" ht="13.8" x14ac:dyDescent="0.3">
      <c r="A155">
        <f ca="1">ORÇAMENTO!C155</f>
        <v>3</v>
      </c>
      <c r="B155">
        <f ca="1">ORÇAMENTO!D155</f>
        <v>6</v>
      </c>
      <c r="C155" s="143" t="str">
        <f t="shared" ca="1" si="23"/>
        <v>F</v>
      </c>
      <c r="D155" s="146" t="str">
        <f ca="1">ORÇAMENTO!O155</f>
        <v>1.5.2.</v>
      </c>
      <c r="E155" s="206" t="str">
        <f t="shared" si="24"/>
        <v>ALVENARIA DE VEDAÇÃO</v>
      </c>
      <c r="F155" s="207" t="str">
        <f t="shared" ca="1" si="25"/>
        <v>-</v>
      </c>
      <c r="G155" s="151">
        <f ca="1">IF(RegimeExecucao="Global","",ORÇAMENTO!T155)</f>
        <v>0</v>
      </c>
      <c r="H155" s="151">
        <f ca="1">IF(RegimeExecucao="Global","",ORÇAMENTO!W155)</f>
        <v>0</v>
      </c>
      <c r="I155" s="154">
        <f ca="1">ORÇAMENTO!X155</f>
        <v>0</v>
      </c>
      <c r="J155" s="427">
        <f t="shared" ca="1" si="26"/>
        <v>0</v>
      </c>
      <c r="K155" s="151">
        <f t="shared" ca="1" si="27"/>
        <v>0</v>
      </c>
      <c r="L155" s="428">
        <f t="shared" ca="1" si="28"/>
        <v>0</v>
      </c>
      <c r="M155" s="429">
        <f ca="1">IF($A155="S",VTOTALBM,IF($A155=0,0,ROUND(SomaAgrupBM,15-13*ORÇAMENTO!$AF$11)))</f>
        <v>0</v>
      </c>
      <c r="N155" s="430">
        <f t="shared" ca="1" si="29"/>
        <v>0</v>
      </c>
      <c r="O155" s="154">
        <f ca="1">IF($A155="S",VTOTALBM,IF($A155=0,0,ROUND(SomaAgrupBM,15-13*ORÇAMENTO!$AF$11)))</f>
        <v>0</v>
      </c>
      <c r="Q155" s="431"/>
      <c r="R155" s="432"/>
      <c r="T155" s="146" t="str">
        <f t="shared" ca="1" si="30"/>
        <v/>
      </c>
      <c r="U155" s="206" t="str">
        <f t="shared" ca="1" si="31"/>
        <v/>
      </c>
      <c r="V155" s="207" t="str">
        <f t="shared" ca="1" si="32"/>
        <v/>
      </c>
      <c r="W155" s="634">
        <f ca="1">IF($Y155&gt;0,CHOOSE(MATCH(RegimeExecucao,{"Unitário","Global"},0),IF($A155="S",$Y155/$X155,""),($Y155/$X155)*100),0)</f>
        <v>0</v>
      </c>
      <c r="X155" s="433" t="str">
        <f ca="1">IF($Y155&gt;0,CHOOSE(MATCH(RegimeExecucao,{"Unitário","Global"},0),IF($A155="S",ROUND($H155,ORÇAMENTO!$AF$10),""),ROUND($I155,ORÇAMENTO!$AF$11)),"")</f>
        <v/>
      </c>
      <c r="Y155" s="433">
        <f t="shared" ca="1" si="33"/>
        <v>0</v>
      </c>
      <c r="Z155" s="434"/>
      <c r="AB155" s="431"/>
      <c r="AC155" s="599"/>
      <c r="AD155" s="599"/>
      <c r="AE155" s="599"/>
      <c r="AF155" s="599"/>
      <c r="AG155" s="599"/>
      <c r="AH155" s="599"/>
      <c r="AI155" s="599"/>
      <c r="AJ155" s="599"/>
      <c r="AK155" s="599"/>
      <c r="AL155" s="599"/>
      <c r="AM155" s="432"/>
      <c r="AO155">
        <f ca="1">IF($A155="S",IF(BM!$I155=0,0,CHOOSE(MATCH(RegimeExecucao,{"Global","Unitário"},0),ROUND(ROUND(BM.MEDAcumulado,15-13*BM!$A$9)/100*BM!$I155,15-13*ORÇAMENTO!$AF$11),ROUND(ROUND(BM.MEDAcumulado,15-13*BM!$A$9)*ROUND(BM!$H155,15-13*ORÇAMENTO!$AF$10),15-13*ORÇAMENTO!$AF$11))),IF($A155=0,0,ROUND(SomaAgrupBM,15-13*ORÇAMENTO!$AF$11)))</f>
        <v>0</v>
      </c>
    </row>
    <row r="156" spans="1:41" ht="13.8" x14ac:dyDescent="0.3">
      <c r="A156" t="str">
        <f ca="1">ORÇAMENTO!C156</f>
        <v>S</v>
      </c>
      <c r="B156">
        <f ca="1">ORÇAMENTO!D156</f>
        <v>0</v>
      </c>
      <c r="C156" s="143" t="str">
        <f t="shared" ca="1" si="23"/>
        <v/>
      </c>
      <c r="D156" s="146" t="str">
        <f ca="1">ORÇAMENTO!O156</f>
        <v>-</v>
      </c>
      <c r="E156" s="206" t="str">
        <f t="shared" ca="1" si="24"/>
        <v>(abra o arquivo 'Referência 05-2024.xls)</v>
      </c>
      <c r="F156" s="207" t="str">
        <f t="shared" ca="1" si="25"/>
        <v>-</v>
      </c>
      <c r="G156" s="151">
        <f ca="1">IF(RegimeExecucao="Global","",ORÇAMENTO!T156)</f>
        <v>1406.55</v>
      </c>
      <c r="H156" s="151">
        <f ca="1">IF(RegimeExecucao="Global","",ORÇAMENTO!W156)</f>
        <v>0</v>
      </c>
      <c r="I156" s="154">
        <f ca="1">ORÇAMENTO!X156</f>
        <v>0</v>
      </c>
      <c r="J156" s="427">
        <f t="shared" ca="1" si="26"/>
        <v>0</v>
      </c>
      <c r="K156" s="151">
        <f t="shared" ca="1" si="27"/>
        <v>0</v>
      </c>
      <c r="L156" s="428">
        <f t="shared" ca="1" si="28"/>
        <v>0</v>
      </c>
      <c r="M156" s="429">
        <f ca="1">IF($A156="S",VTOTALBM,IF($A156=0,0,ROUND(SomaAgrupBM,15-13*ORÇAMENTO!$AF$11)))</f>
        <v>0</v>
      </c>
      <c r="N156" s="430">
        <f t="shared" ca="1" si="29"/>
        <v>0</v>
      </c>
      <c r="O156" s="154">
        <f ca="1">IF($A156="S",VTOTALBM,IF($A156=0,0,ROUND(SomaAgrupBM,15-13*ORÇAMENTO!$AF$11)))</f>
        <v>0</v>
      </c>
      <c r="Q156" s="431"/>
      <c r="R156" s="432"/>
      <c r="T156" s="146" t="str">
        <f t="shared" ca="1" si="30"/>
        <v/>
      </c>
      <c r="U156" s="206" t="str">
        <f t="shared" ca="1" si="31"/>
        <v/>
      </c>
      <c r="V156" s="207" t="str">
        <f t="shared" ca="1" si="32"/>
        <v/>
      </c>
      <c r="W156" s="634">
        <f ca="1">IF($Y156&gt;0,CHOOSE(MATCH(RegimeExecucao,{"Unitário","Global"},0),IF($A156="S",$Y156/$X156,""),($Y156/$X156)*100),0)</f>
        <v>0</v>
      </c>
      <c r="X156" s="433" t="str">
        <f ca="1">IF($Y156&gt;0,CHOOSE(MATCH(RegimeExecucao,{"Unitário","Global"},0),IF($A156="S",ROUND($H156,ORÇAMENTO!$AF$10),""),ROUND($I156,ORÇAMENTO!$AF$11)),"")</f>
        <v/>
      </c>
      <c r="Y156" s="433">
        <f t="shared" ca="1" si="33"/>
        <v>0</v>
      </c>
      <c r="Z156" s="434"/>
      <c r="AB156" s="431"/>
      <c r="AC156" s="599"/>
      <c r="AD156" s="599"/>
      <c r="AE156" s="599"/>
      <c r="AF156" s="599"/>
      <c r="AG156" s="599"/>
      <c r="AH156" s="599"/>
      <c r="AI156" s="599"/>
      <c r="AJ156" s="599"/>
      <c r="AK156" s="599"/>
      <c r="AL156" s="599"/>
      <c r="AM156" s="432"/>
      <c r="AO156">
        <f ca="1">IF($A156="S",IF(BM!$I156=0,0,CHOOSE(MATCH(RegimeExecucao,{"Global","Unitário"},0),ROUND(ROUND(BM.MEDAcumulado,15-13*BM!$A$9)/100*BM!$I156,15-13*ORÇAMENTO!$AF$11),ROUND(ROUND(BM.MEDAcumulado,15-13*BM!$A$9)*ROUND(BM!$H156,15-13*ORÇAMENTO!$AF$10),15-13*ORÇAMENTO!$AF$11))),IF($A156=0,0,ROUND(SomaAgrupBM,15-13*ORÇAMENTO!$AF$11)))</f>
        <v>0</v>
      </c>
    </row>
    <row r="157" spans="1:41" ht="13.8" x14ac:dyDescent="0.3">
      <c r="A157" t="str">
        <f ca="1">ORÇAMENTO!C157</f>
        <v>S</v>
      </c>
      <c r="B157">
        <f ca="1">ORÇAMENTO!D157</f>
        <v>0</v>
      </c>
      <c r="C157" s="143" t="str">
        <f t="shared" ca="1" si="23"/>
        <v/>
      </c>
      <c r="D157" s="146" t="str">
        <f ca="1">ORÇAMENTO!O157</f>
        <v>-</v>
      </c>
      <c r="E157" s="206" t="str">
        <f t="shared" ca="1" si="24"/>
        <v>(abra o arquivo 'Referência 05-2024.xls)</v>
      </c>
      <c r="F157" s="207" t="str">
        <f t="shared" ca="1" si="25"/>
        <v>-</v>
      </c>
      <c r="G157" s="151">
        <f ca="1">IF(RegimeExecucao="Global","",ORÇAMENTO!T157)</f>
        <v>345.27</v>
      </c>
      <c r="H157" s="151">
        <f ca="1">IF(RegimeExecucao="Global","",ORÇAMENTO!W157)</f>
        <v>0</v>
      </c>
      <c r="I157" s="154">
        <f ca="1">ORÇAMENTO!X157</f>
        <v>0</v>
      </c>
      <c r="J157" s="427">
        <f t="shared" ca="1" si="26"/>
        <v>0</v>
      </c>
      <c r="K157" s="151">
        <f t="shared" ca="1" si="27"/>
        <v>0</v>
      </c>
      <c r="L157" s="428">
        <f t="shared" ca="1" si="28"/>
        <v>0</v>
      </c>
      <c r="M157" s="429">
        <f ca="1">IF($A157="S",VTOTALBM,IF($A157=0,0,ROUND(SomaAgrupBM,15-13*ORÇAMENTO!$AF$11)))</f>
        <v>0</v>
      </c>
      <c r="N157" s="430">
        <f t="shared" ca="1" si="29"/>
        <v>0</v>
      </c>
      <c r="O157" s="154">
        <f ca="1">IF($A157="S",VTOTALBM,IF($A157=0,0,ROUND(SomaAgrupBM,15-13*ORÇAMENTO!$AF$11)))</f>
        <v>0</v>
      </c>
      <c r="Q157" s="431"/>
      <c r="R157" s="432"/>
      <c r="T157" s="146" t="str">
        <f t="shared" ca="1" si="30"/>
        <v/>
      </c>
      <c r="U157" s="206" t="str">
        <f t="shared" ca="1" si="31"/>
        <v/>
      </c>
      <c r="V157" s="207" t="str">
        <f t="shared" ca="1" si="32"/>
        <v/>
      </c>
      <c r="W157" s="634">
        <f ca="1">IF($Y157&gt;0,CHOOSE(MATCH(RegimeExecucao,{"Unitário","Global"},0),IF($A157="S",$Y157/$X157,""),($Y157/$X157)*100),0)</f>
        <v>0</v>
      </c>
      <c r="X157" s="433" t="str">
        <f ca="1">IF($Y157&gt;0,CHOOSE(MATCH(RegimeExecucao,{"Unitário","Global"},0),IF($A157="S",ROUND($H157,ORÇAMENTO!$AF$10),""),ROUND($I157,ORÇAMENTO!$AF$11)),"")</f>
        <v/>
      </c>
      <c r="Y157" s="433">
        <f t="shared" ca="1" si="33"/>
        <v>0</v>
      </c>
      <c r="Z157" s="434"/>
      <c r="AB157" s="431"/>
      <c r="AC157" s="599"/>
      <c r="AD157" s="599"/>
      <c r="AE157" s="599"/>
      <c r="AF157" s="599"/>
      <c r="AG157" s="599"/>
      <c r="AH157" s="599"/>
      <c r="AI157" s="599"/>
      <c r="AJ157" s="599"/>
      <c r="AK157" s="599"/>
      <c r="AL157" s="599"/>
      <c r="AM157" s="432"/>
      <c r="AO157">
        <f ca="1">IF($A157="S",IF(BM!$I157=0,0,CHOOSE(MATCH(RegimeExecucao,{"Global","Unitário"},0),ROUND(ROUND(BM.MEDAcumulado,15-13*BM!$A$9)/100*BM!$I157,15-13*ORÇAMENTO!$AF$11),ROUND(ROUND(BM.MEDAcumulado,15-13*BM!$A$9)*ROUND(BM!$H157,15-13*ORÇAMENTO!$AF$10),15-13*ORÇAMENTO!$AF$11))),IF($A157=0,0,ROUND(SomaAgrupBM,15-13*ORÇAMENTO!$AF$11)))</f>
        <v>0</v>
      </c>
    </row>
    <row r="158" spans="1:41" ht="13.8" x14ac:dyDescent="0.3">
      <c r="A158" t="str">
        <f ca="1">ORÇAMENTO!C158</f>
        <v>S</v>
      </c>
      <c r="B158">
        <f ca="1">ORÇAMENTO!D158</f>
        <v>0</v>
      </c>
      <c r="C158" s="143" t="str">
        <f t="shared" ca="1" si="23"/>
        <v/>
      </c>
      <c r="D158" s="146" t="str">
        <f ca="1">ORÇAMENTO!O158</f>
        <v>-</v>
      </c>
      <c r="E158" s="206" t="str">
        <f t="shared" ca="1" si="24"/>
        <v>(abra o arquivo 'Referência 05-2024.xls)</v>
      </c>
      <c r="F158" s="207" t="str">
        <f t="shared" ca="1" si="25"/>
        <v>-</v>
      </c>
      <c r="G158" s="151">
        <f ca="1">IF(RegimeExecucao="Global","",ORÇAMENTO!T158)</f>
        <v>9.36</v>
      </c>
      <c r="H158" s="151">
        <f ca="1">IF(RegimeExecucao="Global","",ORÇAMENTO!W158)</f>
        <v>0</v>
      </c>
      <c r="I158" s="154">
        <f ca="1">ORÇAMENTO!X158</f>
        <v>0</v>
      </c>
      <c r="J158" s="427">
        <f t="shared" ca="1" si="26"/>
        <v>0</v>
      </c>
      <c r="K158" s="151">
        <f t="shared" ca="1" si="27"/>
        <v>0</v>
      </c>
      <c r="L158" s="428">
        <f t="shared" ca="1" si="28"/>
        <v>0</v>
      </c>
      <c r="M158" s="429">
        <f ca="1">IF($A158="S",VTOTALBM,IF($A158=0,0,ROUND(SomaAgrupBM,15-13*ORÇAMENTO!$AF$11)))</f>
        <v>0</v>
      </c>
      <c r="N158" s="430">
        <f t="shared" ca="1" si="29"/>
        <v>0</v>
      </c>
      <c r="O158" s="154">
        <f ca="1">IF($A158="S",VTOTALBM,IF($A158=0,0,ROUND(SomaAgrupBM,15-13*ORÇAMENTO!$AF$11)))</f>
        <v>0</v>
      </c>
      <c r="Q158" s="431"/>
      <c r="R158" s="432"/>
      <c r="T158" s="146" t="str">
        <f t="shared" ca="1" si="30"/>
        <v/>
      </c>
      <c r="U158" s="206" t="str">
        <f t="shared" ca="1" si="31"/>
        <v/>
      </c>
      <c r="V158" s="207" t="str">
        <f t="shared" ca="1" si="32"/>
        <v/>
      </c>
      <c r="W158" s="634">
        <f ca="1">IF($Y158&gt;0,CHOOSE(MATCH(RegimeExecucao,{"Unitário","Global"},0),IF($A158="S",$Y158/$X158,""),($Y158/$X158)*100),0)</f>
        <v>0</v>
      </c>
      <c r="X158" s="433" t="str">
        <f ca="1">IF($Y158&gt;0,CHOOSE(MATCH(RegimeExecucao,{"Unitário","Global"},0),IF($A158="S",ROUND($H158,ORÇAMENTO!$AF$10),""),ROUND($I158,ORÇAMENTO!$AF$11)),"")</f>
        <v/>
      </c>
      <c r="Y158" s="433">
        <f t="shared" ca="1" si="33"/>
        <v>0</v>
      </c>
      <c r="Z158" s="434"/>
      <c r="AB158" s="431"/>
      <c r="AC158" s="599"/>
      <c r="AD158" s="599"/>
      <c r="AE158" s="599"/>
      <c r="AF158" s="599"/>
      <c r="AG158" s="599"/>
      <c r="AH158" s="599"/>
      <c r="AI158" s="599"/>
      <c r="AJ158" s="599"/>
      <c r="AK158" s="599"/>
      <c r="AL158" s="599"/>
      <c r="AM158" s="432"/>
      <c r="AO158">
        <f ca="1">IF($A158="S",IF(BM!$I158=0,0,CHOOSE(MATCH(RegimeExecucao,{"Global","Unitário"},0),ROUND(ROUND(BM.MEDAcumulado,15-13*BM!$A$9)/100*BM!$I158,15-13*ORÇAMENTO!$AF$11),ROUND(ROUND(BM.MEDAcumulado,15-13*BM!$A$9)*ROUND(BM!$H158,15-13*ORÇAMENTO!$AF$10),15-13*ORÇAMENTO!$AF$11))),IF($A158=0,0,ROUND(SomaAgrupBM,15-13*ORÇAMENTO!$AF$11)))</f>
        <v>0</v>
      </c>
    </row>
    <row r="159" spans="1:41" ht="13.8" x14ac:dyDescent="0.3">
      <c r="A159" t="str">
        <f ca="1">ORÇAMENTO!C159</f>
        <v>S</v>
      </c>
      <c r="B159">
        <f ca="1">ORÇAMENTO!D159</f>
        <v>0</v>
      </c>
      <c r="C159" s="143" t="str">
        <f t="shared" ca="1" si="23"/>
        <v/>
      </c>
      <c r="D159" s="146" t="str">
        <f ca="1">ORÇAMENTO!O159</f>
        <v>-</v>
      </c>
      <c r="E159" s="206" t="str">
        <f t="shared" ca="1" si="24"/>
        <v>(abra o arquivo 'Referência 05-2024.xls)</v>
      </c>
      <c r="F159" s="207" t="str">
        <f t="shared" ca="1" si="25"/>
        <v>-</v>
      </c>
      <c r="G159" s="151">
        <f ca="1">IF(RegimeExecucao="Global","",ORÇAMENTO!T159)</f>
        <v>6.85</v>
      </c>
      <c r="H159" s="151">
        <f ca="1">IF(RegimeExecucao="Global","",ORÇAMENTO!W159)</f>
        <v>0</v>
      </c>
      <c r="I159" s="154">
        <f ca="1">ORÇAMENTO!X159</f>
        <v>0</v>
      </c>
      <c r="J159" s="427">
        <f t="shared" ca="1" si="26"/>
        <v>0</v>
      </c>
      <c r="K159" s="151">
        <f t="shared" ca="1" si="27"/>
        <v>0</v>
      </c>
      <c r="L159" s="428">
        <f t="shared" ca="1" si="28"/>
        <v>0</v>
      </c>
      <c r="M159" s="429">
        <f ca="1">IF($A159="S",VTOTALBM,IF($A159=0,0,ROUND(SomaAgrupBM,15-13*ORÇAMENTO!$AF$11)))</f>
        <v>0</v>
      </c>
      <c r="N159" s="430">
        <f t="shared" ca="1" si="29"/>
        <v>0</v>
      </c>
      <c r="O159" s="154">
        <f ca="1">IF($A159="S",VTOTALBM,IF($A159=0,0,ROUND(SomaAgrupBM,15-13*ORÇAMENTO!$AF$11)))</f>
        <v>0</v>
      </c>
      <c r="Q159" s="431"/>
      <c r="R159" s="432"/>
      <c r="T159" s="146" t="str">
        <f t="shared" ca="1" si="30"/>
        <v/>
      </c>
      <c r="U159" s="206" t="str">
        <f t="shared" ca="1" si="31"/>
        <v/>
      </c>
      <c r="V159" s="207" t="str">
        <f t="shared" ca="1" si="32"/>
        <v/>
      </c>
      <c r="W159" s="634">
        <f ca="1">IF($Y159&gt;0,CHOOSE(MATCH(RegimeExecucao,{"Unitário","Global"},0),IF($A159="S",$Y159/$X159,""),($Y159/$X159)*100),0)</f>
        <v>0</v>
      </c>
      <c r="X159" s="433" t="str">
        <f ca="1">IF($Y159&gt;0,CHOOSE(MATCH(RegimeExecucao,{"Unitário","Global"},0),IF($A159="S",ROUND($H159,ORÇAMENTO!$AF$10),""),ROUND($I159,ORÇAMENTO!$AF$11)),"")</f>
        <v/>
      </c>
      <c r="Y159" s="433">
        <f t="shared" ca="1" si="33"/>
        <v>0</v>
      </c>
      <c r="Z159" s="434"/>
      <c r="AB159" s="431"/>
      <c r="AC159" s="599"/>
      <c r="AD159" s="599"/>
      <c r="AE159" s="599"/>
      <c r="AF159" s="599"/>
      <c r="AG159" s="599"/>
      <c r="AH159" s="599"/>
      <c r="AI159" s="599"/>
      <c r="AJ159" s="599"/>
      <c r="AK159" s="599"/>
      <c r="AL159" s="599"/>
      <c r="AM159" s="432"/>
      <c r="AO159">
        <f ca="1">IF($A159="S",IF(BM!$I159=0,0,CHOOSE(MATCH(RegimeExecucao,{"Global","Unitário"},0),ROUND(ROUND(BM.MEDAcumulado,15-13*BM!$A$9)/100*BM!$I159,15-13*ORÇAMENTO!$AF$11),ROUND(ROUND(BM.MEDAcumulado,15-13*BM!$A$9)*ROUND(BM!$H159,15-13*ORÇAMENTO!$AF$10),15-13*ORÇAMENTO!$AF$11))),IF($A159=0,0,ROUND(SomaAgrupBM,15-13*ORÇAMENTO!$AF$11)))</f>
        <v>0</v>
      </c>
    </row>
    <row r="160" spans="1:41" ht="13.8" x14ac:dyDescent="0.3">
      <c r="A160" t="str">
        <f ca="1">ORÇAMENTO!C160</f>
        <v>S</v>
      </c>
      <c r="B160">
        <f ca="1">ORÇAMENTO!D160</f>
        <v>0</v>
      </c>
      <c r="C160" s="143" t="str">
        <f t="shared" ca="1" si="23"/>
        <v/>
      </c>
      <c r="D160" s="146" t="str">
        <f ca="1">ORÇAMENTO!O160</f>
        <v>-</v>
      </c>
      <c r="E160" s="206" t="str">
        <f t="shared" ca="1" si="24"/>
        <v>(abra o arquivo 'Referência 05-2024.xls)</v>
      </c>
      <c r="F160" s="207" t="str">
        <f t="shared" ca="1" si="25"/>
        <v>-</v>
      </c>
      <c r="G160" s="151">
        <f ca="1">IF(RegimeExecucao="Global","",ORÇAMENTO!T160)</f>
        <v>706.41</v>
      </c>
      <c r="H160" s="151">
        <f ca="1">IF(RegimeExecucao="Global","",ORÇAMENTO!W160)</f>
        <v>0</v>
      </c>
      <c r="I160" s="154">
        <f ca="1">ORÇAMENTO!X160</f>
        <v>0</v>
      </c>
      <c r="J160" s="427">
        <f t="shared" ca="1" si="26"/>
        <v>0</v>
      </c>
      <c r="K160" s="151">
        <f t="shared" ca="1" si="27"/>
        <v>0</v>
      </c>
      <c r="L160" s="428">
        <f t="shared" ca="1" si="28"/>
        <v>0</v>
      </c>
      <c r="M160" s="429">
        <f ca="1">IF($A160="S",VTOTALBM,IF($A160=0,0,ROUND(SomaAgrupBM,15-13*ORÇAMENTO!$AF$11)))</f>
        <v>0</v>
      </c>
      <c r="N160" s="430">
        <f t="shared" ca="1" si="29"/>
        <v>0</v>
      </c>
      <c r="O160" s="154">
        <f ca="1">IF($A160="S",VTOTALBM,IF($A160=0,0,ROUND(SomaAgrupBM,15-13*ORÇAMENTO!$AF$11)))</f>
        <v>0</v>
      </c>
      <c r="Q160" s="431"/>
      <c r="R160" s="432"/>
      <c r="T160" s="146" t="str">
        <f t="shared" ca="1" si="30"/>
        <v/>
      </c>
      <c r="U160" s="206" t="str">
        <f t="shared" ca="1" si="31"/>
        <v/>
      </c>
      <c r="V160" s="207" t="str">
        <f t="shared" ca="1" si="32"/>
        <v/>
      </c>
      <c r="W160" s="634">
        <f ca="1">IF($Y160&gt;0,CHOOSE(MATCH(RegimeExecucao,{"Unitário","Global"},0),IF($A160="S",$Y160/$X160,""),($Y160/$X160)*100),0)</f>
        <v>0</v>
      </c>
      <c r="X160" s="433" t="str">
        <f ca="1">IF($Y160&gt;0,CHOOSE(MATCH(RegimeExecucao,{"Unitário","Global"},0),IF($A160="S",ROUND($H160,ORÇAMENTO!$AF$10),""),ROUND($I160,ORÇAMENTO!$AF$11)),"")</f>
        <v/>
      </c>
      <c r="Y160" s="433">
        <f t="shared" ca="1" si="33"/>
        <v>0</v>
      </c>
      <c r="Z160" s="434"/>
      <c r="AB160" s="431"/>
      <c r="AC160" s="599"/>
      <c r="AD160" s="599"/>
      <c r="AE160" s="599"/>
      <c r="AF160" s="599"/>
      <c r="AG160" s="599"/>
      <c r="AH160" s="599"/>
      <c r="AI160" s="599"/>
      <c r="AJ160" s="599"/>
      <c r="AK160" s="599"/>
      <c r="AL160" s="599"/>
      <c r="AM160" s="432"/>
      <c r="AO160">
        <f ca="1">IF($A160="S",IF(BM!$I160=0,0,CHOOSE(MATCH(RegimeExecucao,{"Global","Unitário"},0),ROUND(ROUND(BM.MEDAcumulado,15-13*BM!$A$9)/100*BM!$I160,15-13*ORÇAMENTO!$AF$11),ROUND(ROUND(BM.MEDAcumulado,15-13*BM!$A$9)*ROUND(BM!$H160,15-13*ORÇAMENTO!$AF$10),15-13*ORÇAMENTO!$AF$11))),IF($A160=0,0,ROUND(SomaAgrupBM,15-13*ORÇAMENTO!$AF$11)))</f>
        <v>0</v>
      </c>
    </row>
    <row r="161" spans="1:41" ht="13.8" x14ac:dyDescent="0.3">
      <c r="A161">
        <f ca="1">ORÇAMENTO!C161</f>
        <v>3</v>
      </c>
      <c r="B161">
        <f ca="1">ORÇAMENTO!D161</f>
        <v>6</v>
      </c>
      <c r="C161" s="143" t="str">
        <f t="shared" ca="1" si="23"/>
        <v>F</v>
      </c>
      <c r="D161" s="146" t="str">
        <f ca="1">ORÇAMENTO!O161</f>
        <v>1.5.3.</v>
      </c>
      <c r="E161" s="206" t="str">
        <f t="shared" si="24"/>
        <v>DIVISÓRIAS</v>
      </c>
      <c r="F161" s="207" t="str">
        <f t="shared" ca="1" si="25"/>
        <v>-</v>
      </c>
      <c r="G161" s="151">
        <f ca="1">IF(RegimeExecucao="Global","",ORÇAMENTO!T161)</f>
        <v>0</v>
      </c>
      <c r="H161" s="151">
        <f ca="1">IF(RegimeExecucao="Global","",ORÇAMENTO!W161)</f>
        <v>0</v>
      </c>
      <c r="I161" s="154">
        <f ca="1">ORÇAMENTO!X161</f>
        <v>0</v>
      </c>
      <c r="J161" s="427">
        <f t="shared" ca="1" si="26"/>
        <v>0</v>
      </c>
      <c r="K161" s="151">
        <f t="shared" ca="1" si="27"/>
        <v>0</v>
      </c>
      <c r="L161" s="428">
        <f t="shared" ca="1" si="28"/>
        <v>0</v>
      </c>
      <c r="M161" s="429">
        <f ca="1">IF($A161="S",VTOTALBM,IF($A161=0,0,ROUND(SomaAgrupBM,15-13*ORÇAMENTO!$AF$11)))</f>
        <v>0</v>
      </c>
      <c r="N161" s="430">
        <f t="shared" ca="1" si="29"/>
        <v>0</v>
      </c>
      <c r="O161" s="154">
        <f ca="1">IF($A161="S",VTOTALBM,IF($A161=0,0,ROUND(SomaAgrupBM,15-13*ORÇAMENTO!$AF$11)))</f>
        <v>0</v>
      </c>
      <c r="Q161" s="431"/>
      <c r="R161" s="432"/>
      <c r="T161" s="146" t="str">
        <f t="shared" ca="1" si="30"/>
        <v/>
      </c>
      <c r="U161" s="206" t="str">
        <f t="shared" ca="1" si="31"/>
        <v/>
      </c>
      <c r="V161" s="207" t="str">
        <f t="shared" ca="1" si="32"/>
        <v/>
      </c>
      <c r="W161" s="634">
        <f ca="1">IF($Y161&gt;0,CHOOSE(MATCH(RegimeExecucao,{"Unitário","Global"},0),IF($A161="S",$Y161/$X161,""),($Y161/$X161)*100),0)</f>
        <v>0</v>
      </c>
      <c r="X161" s="433" t="str">
        <f ca="1">IF($Y161&gt;0,CHOOSE(MATCH(RegimeExecucao,{"Unitário","Global"},0),IF($A161="S",ROUND($H161,ORÇAMENTO!$AF$10),""),ROUND($I161,ORÇAMENTO!$AF$11)),"")</f>
        <v/>
      </c>
      <c r="Y161" s="433">
        <f t="shared" ca="1" si="33"/>
        <v>0</v>
      </c>
      <c r="Z161" s="434"/>
      <c r="AB161" s="431"/>
      <c r="AC161" s="599"/>
      <c r="AD161" s="599"/>
      <c r="AE161" s="599"/>
      <c r="AF161" s="599"/>
      <c r="AG161" s="599"/>
      <c r="AH161" s="599"/>
      <c r="AI161" s="599"/>
      <c r="AJ161" s="599"/>
      <c r="AK161" s="599"/>
      <c r="AL161" s="599"/>
      <c r="AM161" s="432"/>
      <c r="AO161">
        <f ca="1">IF($A161="S",IF(BM!$I161=0,0,CHOOSE(MATCH(RegimeExecucao,{"Global","Unitário"},0),ROUND(ROUND(BM.MEDAcumulado,15-13*BM!$A$9)/100*BM!$I161,15-13*ORÇAMENTO!$AF$11),ROUND(ROUND(BM.MEDAcumulado,15-13*BM!$A$9)*ROUND(BM!$H161,15-13*ORÇAMENTO!$AF$10),15-13*ORÇAMENTO!$AF$11))),IF($A161=0,0,ROUND(SomaAgrupBM,15-13*ORÇAMENTO!$AF$11)))</f>
        <v>0</v>
      </c>
    </row>
    <row r="162" spans="1:41" ht="13.8" x14ac:dyDescent="0.3">
      <c r="A162" t="str">
        <f ca="1">ORÇAMENTO!C162</f>
        <v>S</v>
      </c>
      <c r="B162">
        <f ca="1">ORÇAMENTO!D162</f>
        <v>0</v>
      </c>
      <c r="C162" s="143" t="str">
        <f t="shared" ca="1" si="23"/>
        <v/>
      </c>
      <c r="D162" s="146" t="str">
        <f ca="1">ORÇAMENTO!O162</f>
        <v>-</v>
      </c>
      <c r="E162" s="206" t="str">
        <f t="shared" ca="1" si="24"/>
        <v>(abra o arquivo 'Referência 05-2024.xls)</v>
      </c>
      <c r="F162" s="207" t="str">
        <f t="shared" ca="1" si="25"/>
        <v>-</v>
      </c>
      <c r="G162" s="151">
        <f ca="1">IF(RegimeExecucao="Global","",ORÇAMENTO!T162)</f>
        <v>25.54</v>
      </c>
      <c r="H162" s="151">
        <f ca="1">IF(RegimeExecucao="Global","",ORÇAMENTO!W162)</f>
        <v>0</v>
      </c>
      <c r="I162" s="154">
        <f ca="1">ORÇAMENTO!X162</f>
        <v>0</v>
      </c>
      <c r="J162" s="427">
        <f t="shared" ca="1" si="26"/>
        <v>0</v>
      </c>
      <c r="K162" s="151">
        <f t="shared" ca="1" si="27"/>
        <v>0</v>
      </c>
      <c r="L162" s="428">
        <f t="shared" ca="1" si="28"/>
        <v>0</v>
      </c>
      <c r="M162" s="429">
        <f ca="1">IF($A162="S",VTOTALBM,IF($A162=0,0,ROUND(SomaAgrupBM,15-13*ORÇAMENTO!$AF$11)))</f>
        <v>0</v>
      </c>
      <c r="N162" s="430">
        <f t="shared" ca="1" si="29"/>
        <v>0</v>
      </c>
      <c r="O162" s="154">
        <f ca="1">IF($A162="S",VTOTALBM,IF($A162=0,0,ROUND(SomaAgrupBM,15-13*ORÇAMENTO!$AF$11)))</f>
        <v>0</v>
      </c>
      <c r="Q162" s="431"/>
      <c r="R162" s="432"/>
      <c r="T162" s="146" t="str">
        <f t="shared" ca="1" si="30"/>
        <v/>
      </c>
      <c r="U162" s="206" t="str">
        <f t="shared" ca="1" si="31"/>
        <v/>
      </c>
      <c r="V162" s="207" t="str">
        <f t="shared" ca="1" si="32"/>
        <v/>
      </c>
      <c r="W162" s="634">
        <f ca="1">IF($Y162&gt;0,CHOOSE(MATCH(RegimeExecucao,{"Unitário","Global"},0),IF($A162="S",$Y162/$X162,""),($Y162/$X162)*100),0)</f>
        <v>0</v>
      </c>
      <c r="X162" s="433" t="str">
        <f ca="1">IF($Y162&gt;0,CHOOSE(MATCH(RegimeExecucao,{"Unitário","Global"},0),IF($A162="S",ROUND($H162,ORÇAMENTO!$AF$10),""),ROUND($I162,ORÇAMENTO!$AF$11)),"")</f>
        <v/>
      </c>
      <c r="Y162" s="433">
        <f t="shared" ca="1" si="33"/>
        <v>0</v>
      </c>
      <c r="Z162" s="434"/>
      <c r="AB162" s="431"/>
      <c r="AC162" s="599"/>
      <c r="AD162" s="599"/>
      <c r="AE162" s="599"/>
      <c r="AF162" s="599"/>
      <c r="AG162" s="599"/>
      <c r="AH162" s="599"/>
      <c r="AI162" s="599"/>
      <c r="AJ162" s="599"/>
      <c r="AK162" s="599"/>
      <c r="AL162" s="599"/>
      <c r="AM162" s="432"/>
      <c r="AO162">
        <f ca="1">IF($A162="S",IF(BM!$I162=0,0,CHOOSE(MATCH(RegimeExecucao,{"Global","Unitário"},0),ROUND(ROUND(BM.MEDAcumulado,15-13*BM!$A$9)/100*BM!$I162,15-13*ORÇAMENTO!$AF$11),ROUND(ROUND(BM.MEDAcumulado,15-13*BM!$A$9)*ROUND(BM!$H162,15-13*ORÇAMENTO!$AF$10),15-13*ORÇAMENTO!$AF$11))),IF($A162=0,0,ROUND(SomaAgrupBM,15-13*ORÇAMENTO!$AF$11)))</f>
        <v>0</v>
      </c>
    </row>
    <row r="163" spans="1:41" ht="13.8" x14ac:dyDescent="0.3">
      <c r="A163" t="str">
        <f ca="1">ORÇAMENTO!C163</f>
        <v>S</v>
      </c>
      <c r="B163">
        <f ca="1">ORÇAMENTO!D163</f>
        <v>0</v>
      </c>
      <c r="C163" s="143" t="str">
        <f t="shared" ca="1" si="23"/>
        <v/>
      </c>
      <c r="D163" s="146" t="str">
        <f ca="1">ORÇAMENTO!O163</f>
        <v>-</v>
      </c>
      <c r="E163" s="206" t="str">
        <f t="shared" ca="1" si="24"/>
        <v>(abra o arquivo 'Referência 05-2024.xls)</v>
      </c>
      <c r="F163" s="207" t="str">
        <f t="shared" ca="1" si="25"/>
        <v>-</v>
      </c>
      <c r="G163" s="151">
        <f ca="1">IF(RegimeExecucao="Global","",ORÇAMENTO!T163)</f>
        <v>98.62</v>
      </c>
      <c r="H163" s="151">
        <f ca="1">IF(RegimeExecucao="Global","",ORÇAMENTO!W163)</f>
        <v>0</v>
      </c>
      <c r="I163" s="154">
        <f ca="1">ORÇAMENTO!X163</f>
        <v>0</v>
      </c>
      <c r="J163" s="427">
        <f t="shared" ca="1" si="26"/>
        <v>0</v>
      </c>
      <c r="K163" s="151">
        <f t="shared" ca="1" si="27"/>
        <v>0</v>
      </c>
      <c r="L163" s="428">
        <f t="shared" ca="1" si="28"/>
        <v>0</v>
      </c>
      <c r="M163" s="429">
        <f ca="1">IF($A163="S",VTOTALBM,IF($A163=0,0,ROUND(SomaAgrupBM,15-13*ORÇAMENTO!$AF$11)))</f>
        <v>0</v>
      </c>
      <c r="N163" s="430">
        <f t="shared" ca="1" si="29"/>
        <v>0</v>
      </c>
      <c r="O163" s="154">
        <f ca="1">IF($A163="S",VTOTALBM,IF($A163=0,0,ROUND(SomaAgrupBM,15-13*ORÇAMENTO!$AF$11)))</f>
        <v>0</v>
      </c>
      <c r="Q163" s="431"/>
      <c r="R163" s="432"/>
      <c r="T163" s="146" t="str">
        <f t="shared" ca="1" si="30"/>
        <v/>
      </c>
      <c r="U163" s="206" t="str">
        <f t="shared" ca="1" si="31"/>
        <v/>
      </c>
      <c r="V163" s="207" t="str">
        <f t="shared" ca="1" si="32"/>
        <v/>
      </c>
      <c r="W163" s="634">
        <f ca="1">IF($Y163&gt;0,CHOOSE(MATCH(RegimeExecucao,{"Unitário","Global"},0),IF($A163="S",$Y163/$X163,""),($Y163/$X163)*100),0)</f>
        <v>0</v>
      </c>
      <c r="X163" s="433" t="str">
        <f ca="1">IF($Y163&gt;0,CHOOSE(MATCH(RegimeExecucao,{"Unitário","Global"},0),IF($A163="S",ROUND($H163,ORÇAMENTO!$AF$10),""),ROUND($I163,ORÇAMENTO!$AF$11)),"")</f>
        <v/>
      </c>
      <c r="Y163" s="433">
        <f t="shared" ca="1" si="33"/>
        <v>0</v>
      </c>
      <c r="Z163" s="434"/>
      <c r="AB163" s="431"/>
      <c r="AC163" s="599"/>
      <c r="AD163" s="599"/>
      <c r="AE163" s="599"/>
      <c r="AF163" s="599"/>
      <c r="AG163" s="599"/>
      <c r="AH163" s="599"/>
      <c r="AI163" s="599"/>
      <c r="AJ163" s="599"/>
      <c r="AK163" s="599"/>
      <c r="AL163" s="599"/>
      <c r="AM163" s="432"/>
      <c r="AO163">
        <f ca="1">IF($A163="S",IF(BM!$I163=0,0,CHOOSE(MATCH(RegimeExecucao,{"Global","Unitário"},0),ROUND(ROUND(BM.MEDAcumulado,15-13*BM!$A$9)/100*BM!$I163,15-13*ORÇAMENTO!$AF$11),ROUND(ROUND(BM.MEDAcumulado,15-13*BM!$A$9)*ROUND(BM!$H163,15-13*ORÇAMENTO!$AF$10),15-13*ORÇAMENTO!$AF$11))),IF($A163=0,0,ROUND(SomaAgrupBM,15-13*ORÇAMENTO!$AF$11)))</f>
        <v>0</v>
      </c>
    </row>
    <row r="164" spans="1:41" ht="13.8" x14ac:dyDescent="0.3">
      <c r="A164" t="str">
        <f ca="1">ORÇAMENTO!C164</f>
        <v>S</v>
      </c>
      <c r="B164">
        <f ca="1">ORÇAMENTO!D164</f>
        <v>0</v>
      </c>
      <c r="C164" s="143" t="str">
        <f t="shared" ca="1" si="23"/>
        <v/>
      </c>
      <c r="D164" s="146" t="str">
        <f ca="1">ORÇAMENTO!O164</f>
        <v>-</v>
      </c>
      <c r="E164" s="206" t="str">
        <f t="shared" ca="1" si="24"/>
        <v>(abra o arquivo 'Referência 05-2024.xls)</v>
      </c>
      <c r="F164" s="207" t="str">
        <f t="shared" ca="1" si="25"/>
        <v>-</v>
      </c>
      <c r="G164" s="151">
        <f ca="1">IF(RegimeExecucao="Global","",ORÇAMENTO!T164)</f>
        <v>48.19</v>
      </c>
      <c r="H164" s="151">
        <f ca="1">IF(RegimeExecucao="Global","",ORÇAMENTO!W164)</f>
        <v>0</v>
      </c>
      <c r="I164" s="154">
        <f ca="1">ORÇAMENTO!X164</f>
        <v>0</v>
      </c>
      <c r="J164" s="427">
        <f t="shared" ca="1" si="26"/>
        <v>0</v>
      </c>
      <c r="K164" s="151">
        <f t="shared" ca="1" si="27"/>
        <v>0</v>
      </c>
      <c r="L164" s="428">
        <f t="shared" ca="1" si="28"/>
        <v>0</v>
      </c>
      <c r="M164" s="429">
        <f ca="1">IF($A164="S",VTOTALBM,IF($A164=0,0,ROUND(SomaAgrupBM,15-13*ORÇAMENTO!$AF$11)))</f>
        <v>0</v>
      </c>
      <c r="N164" s="430">
        <f t="shared" ca="1" si="29"/>
        <v>0</v>
      </c>
      <c r="O164" s="154">
        <f ca="1">IF($A164="S",VTOTALBM,IF($A164=0,0,ROUND(SomaAgrupBM,15-13*ORÇAMENTO!$AF$11)))</f>
        <v>0</v>
      </c>
      <c r="Q164" s="431"/>
      <c r="R164" s="432"/>
      <c r="T164" s="146" t="str">
        <f t="shared" ca="1" si="30"/>
        <v/>
      </c>
      <c r="U164" s="206" t="str">
        <f t="shared" ca="1" si="31"/>
        <v/>
      </c>
      <c r="V164" s="207" t="str">
        <f t="shared" ca="1" si="32"/>
        <v/>
      </c>
      <c r="W164" s="634">
        <f ca="1">IF($Y164&gt;0,CHOOSE(MATCH(RegimeExecucao,{"Unitário","Global"},0),IF($A164="S",$Y164/$X164,""),($Y164/$X164)*100),0)</f>
        <v>0</v>
      </c>
      <c r="X164" s="433" t="str">
        <f ca="1">IF($Y164&gt;0,CHOOSE(MATCH(RegimeExecucao,{"Unitário","Global"},0),IF($A164="S",ROUND($H164,ORÇAMENTO!$AF$10),""),ROUND($I164,ORÇAMENTO!$AF$11)),"")</f>
        <v/>
      </c>
      <c r="Y164" s="433">
        <f t="shared" ca="1" si="33"/>
        <v>0</v>
      </c>
      <c r="Z164" s="434"/>
      <c r="AB164" s="431"/>
      <c r="AC164" s="599"/>
      <c r="AD164" s="599"/>
      <c r="AE164" s="599"/>
      <c r="AF164" s="599"/>
      <c r="AG164" s="599"/>
      <c r="AH164" s="599"/>
      <c r="AI164" s="599"/>
      <c r="AJ164" s="599"/>
      <c r="AK164" s="599"/>
      <c r="AL164" s="599"/>
      <c r="AM164" s="432"/>
      <c r="AO164">
        <f ca="1">IF($A164="S",IF(BM!$I164=0,0,CHOOSE(MATCH(RegimeExecucao,{"Global","Unitário"},0),ROUND(ROUND(BM.MEDAcumulado,15-13*BM!$A$9)/100*BM!$I164,15-13*ORÇAMENTO!$AF$11),ROUND(ROUND(BM.MEDAcumulado,15-13*BM!$A$9)*ROUND(BM!$H164,15-13*ORÇAMENTO!$AF$10),15-13*ORÇAMENTO!$AF$11))),IF($A164=0,0,ROUND(SomaAgrupBM,15-13*ORÇAMENTO!$AF$11)))</f>
        <v>0</v>
      </c>
    </row>
    <row r="165" spans="1:41" ht="13.8" x14ac:dyDescent="0.3">
      <c r="A165" t="str">
        <f ca="1">ORÇAMENTO!C165</f>
        <v>S</v>
      </c>
      <c r="B165">
        <f ca="1">ORÇAMENTO!D165</f>
        <v>0</v>
      </c>
      <c r="C165" s="143" t="str">
        <f t="shared" ca="1" si="23"/>
        <v/>
      </c>
      <c r="D165" s="146" t="str">
        <f ca="1">ORÇAMENTO!O165</f>
        <v>-</v>
      </c>
      <c r="E165" s="206" t="str">
        <f t="shared" ca="1" si="24"/>
        <v>(abra o arquivo 'Referência 05-2024.xls)</v>
      </c>
      <c r="F165" s="207" t="str">
        <f t="shared" ca="1" si="25"/>
        <v>-</v>
      </c>
      <c r="G165" s="151">
        <f ca="1">IF(RegimeExecucao="Global","",ORÇAMENTO!T165)</f>
        <v>7.2</v>
      </c>
      <c r="H165" s="151">
        <f ca="1">IF(RegimeExecucao="Global","",ORÇAMENTO!W165)</f>
        <v>0</v>
      </c>
      <c r="I165" s="154">
        <f ca="1">ORÇAMENTO!X165</f>
        <v>0</v>
      </c>
      <c r="J165" s="427">
        <f t="shared" ca="1" si="26"/>
        <v>0</v>
      </c>
      <c r="K165" s="151">
        <f t="shared" ca="1" si="27"/>
        <v>0</v>
      </c>
      <c r="L165" s="428">
        <f t="shared" ca="1" si="28"/>
        <v>0</v>
      </c>
      <c r="M165" s="429">
        <f ca="1">IF($A165="S",VTOTALBM,IF($A165=0,0,ROUND(SomaAgrupBM,15-13*ORÇAMENTO!$AF$11)))</f>
        <v>0</v>
      </c>
      <c r="N165" s="430">
        <f t="shared" ca="1" si="29"/>
        <v>0</v>
      </c>
      <c r="O165" s="154">
        <f ca="1">IF($A165="S",VTOTALBM,IF($A165=0,0,ROUND(SomaAgrupBM,15-13*ORÇAMENTO!$AF$11)))</f>
        <v>0</v>
      </c>
      <c r="Q165" s="431"/>
      <c r="R165" s="432"/>
      <c r="T165" s="146" t="str">
        <f t="shared" ca="1" si="30"/>
        <v/>
      </c>
      <c r="U165" s="206" t="str">
        <f t="shared" ca="1" si="31"/>
        <v/>
      </c>
      <c r="V165" s="207" t="str">
        <f t="shared" ca="1" si="32"/>
        <v/>
      </c>
      <c r="W165" s="634">
        <f ca="1">IF($Y165&gt;0,CHOOSE(MATCH(RegimeExecucao,{"Unitário","Global"},0),IF($A165="S",$Y165/$X165,""),($Y165/$X165)*100),0)</f>
        <v>0</v>
      </c>
      <c r="X165" s="433" t="str">
        <f ca="1">IF($Y165&gt;0,CHOOSE(MATCH(RegimeExecucao,{"Unitário","Global"},0),IF($A165="S",ROUND($H165,ORÇAMENTO!$AF$10),""),ROUND($I165,ORÇAMENTO!$AF$11)),"")</f>
        <v/>
      </c>
      <c r="Y165" s="433">
        <f t="shared" ca="1" si="33"/>
        <v>0</v>
      </c>
      <c r="Z165" s="434"/>
      <c r="AB165" s="431"/>
      <c r="AC165" s="599"/>
      <c r="AD165" s="599"/>
      <c r="AE165" s="599"/>
      <c r="AF165" s="599"/>
      <c r="AG165" s="599"/>
      <c r="AH165" s="599"/>
      <c r="AI165" s="599"/>
      <c r="AJ165" s="599"/>
      <c r="AK165" s="599"/>
      <c r="AL165" s="599"/>
      <c r="AM165" s="432"/>
      <c r="AO165">
        <f ca="1">IF($A165="S",IF(BM!$I165=0,0,CHOOSE(MATCH(RegimeExecucao,{"Global","Unitário"},0),ROUND(ROUND(BM.MEDAcumulado,15-13*BM!$A$9)/100*BM!$I165,15-13*ORÇAMENTO!$AF$11),ROUND(ROUND(BM.MEDAcumulado,15-13*BM!$A$9)*ROUND(BM!$H165,15-13*ORÇAMENTO!$AF$10),15-13*ORÇAMENTO!$AF$11))),IF($A165=0,0,ROUND(SomaAgrupBM,15-13*ORÇAMENTO!$AF$11)))</f>
        <v>0</v>
      </c>
    </row>
    <row r="166" spans="1:41" ht="13.8" x14ac:dyDescent="0.3">
      <c r="A166" t="str">
        <f ca="1">ORÇAMENTO!C166</f>
        <v>S</v>
      </c>
      <c r="B166">
        <f ca="1">ORÇAMENTO!D166</f>
        <v>0</v>
      </c>
      <c r="C166" s="143" t="str">
        <f t="shared" ca="1" si="23"/>
        <v/>
      </c>
      <c r="D166" s="146" t="str">
        <f ca="1">ORÇAMENTO!O166</f>
        <v>-</v>
      </c>
      <c r="E166" s="206" t="str">
        <f t="shared" ca="1" si="24"/>
        <v>(abra o arquivo 'Referência 05-2024.xls)</v>
      </c>
      <c r="F166" s="207" t="str">
        <f t="shared" ca="1" si="25"/>
        <v>-</v>
      </c>
      <c r="G166" s="151">
        <f ca="1">IF(RegimeExecucao="Global","",ORÇAMENTO!T166)</f>
        <v>168.28</v>
      </c>
      <c r="H166" s="151">
        <f ca="1">IF(RegimeExecucao="Global","",ORÇAMENTO!W166)</f>
        <v>0</v>
      </c>
      <c r="I166" s="154">
        <f ca="1">ORÇAMENTO!X166</f>
        <v>0</v>
      </c>
      <c r="J166" s="427">
        <f t="shared" ca="1" si="26"/>
        <v>0</v>
      </c>
      <c r="K166" s="151">
        <f t="shared" ca="1" si="27"/>
        <v>0</v>
      </c>
      <c r="L166" s="428">
        <f t="shared" ca="1" si="28"/>
        <v>0</v>
      </c>
      <c r="M166" s="429">
        <f ca="1">IF($A166="S",VTOTALBM,IF($A166=0,0,ROUND(SomaAgrupBM,15-13*ORÇAMENTO!$AF$11)))</f>
        <v>0</v>
      </c>
      <c r="N166" s="430">
        <f t="shared" ca="1" si="29"/>
        <v>0</v>
      </c>
      <c r="O166" s="154">
        <f ca="1">IF($A166="S",VTOTALBM,IF($A166=0,0,ROUND(SomaAgrupBM,15-13*ORÇAMENTO!$AF$11)))</f>
        <v>0</v>
      </c>
      <c r="Q166" s="431"/>
      <c r="R166" s="432"/>
      <c r="T166" s="146" t="str">
        <f t="shared" ca="1" si="30"/>
        <v/>
      </c>
      <c r="U166" s="206" t="str">
        <f t="shared" ca="1" si="31"/>
        <v/>
      </c>
      <c r="V166" s="207" t="str">
        <f t="shared" ca="1" si="32"/>
        <v/>
      </c>
      <c r="W166" s="634">
        <f ca="1">IF($Y166&gt;0,CHOOSE(MATCH(RegimeExecucao,{"Unitário","Global"},0),IF($A166="S",$Y166/$X166,""),($Y166/$X166)*100),0)</f>
        <v>0</v>
      </c>
      <c r="X166" s="433" t="str">
        <f ca="1">IF($Y166&gt;0,CHOOSE(MATCH(RegimeExecucao,{"Unitário","Global"},0),IF($A166="S",ROUND($H166,ORÇAMENTO!$AF$10),""),ROUND($I166,ORÇAMENTO!$AF$11)),"")</f>
        <v/>
      </c>
      <c r="Y166" s="433">
        <f t="shared" ca="1" si="33"/>
        <v>0</v>
      </c>
      <c r="Z166" s="434"/>
      <c r="AB166" s="431"/>
      <c r="AC166" s="599"/>
      <c r="AD166" s="599"/>
      <c r="AE166" s="599"/>
      <c r="AF166" s="599"/>
      <c r="AG166" s="599"/>
      <c r="AH166" s="599"/>
      <c r="AI166" s="599"/>
      <c r="AJ166" s="599"/>
      <c r="AK166" s="599"/>
      <c r="AL166" s="599"/>
      <c r="AM166" s="432"/>
      <c r="AO166">
        <f ca="1">IF($A166="S",IF(BM!$I166=0,0,CHOOSE(MATCH(RegimeExecucao,{"Global","Unitário"},0),ROUND(ROUND(BM.MEDAcumulado,15-13*BM!$A$9)/100*BM!$I166,15-13*ORÇAMENTO!$AF$11),ROUND(ROUND(BM.MEDAcumulado,15-13*BM!$A$9)*ROUND(BM!$H166,15-13*ORÇAMENTO!$AF$10),15-13*ORÇAMENTO!$AF$11))),IF($A166=0,0,ROUND(SomaAgrupBM,15-13*ORÇAMENTO!$AF$11)))</f>
        <v>0</v>
      </c>
    </row>
    <row r="167" spans="1:41" ht="13.8" x14ac:dyDescent="0.3">
      <c r="A167">
        <f ca="1">ORÇAMENTO!C167</f>
        <v>3</v>
      </c>
      <c r="B167">
        <f ca="1">ORÇAMENTO!D167</f>
        <v>5</v>
      </c>
      <c r="C167" s="143" t="str">
        <f t="shared" ca="1" si="23"/>
        <v>F</v>
      </c>
      <c r="D167" s="146" t="str">
        <f ca="1">ORÇAMENTO!O167</f>
        <v>1.5.4.</v>
      </c>
      <c r="E167" s="206" t="str">
        <f t="shared" si="24"/>
        <v>ALVENARIA DE VEDAÇÃO - MURO</v>
      </c>
      <c r="F167" s="207" t="str">
        <f t="shared" ca="1" si="25"/>
        <v>-</v>
      </c>
      <c r="G167" s="151">
        <f ca="1">IF(RegimeExecucao="Global","",ORÇAMENTO!T167)</f>
        <v>0</v>
      </c>
      <c r="H167" s="151">
        <f ca="1">IF(RegimeExecucao="Global","",ORÇAMENTO!W167)</f>
        <v>0</v>
      </c>
      <c r="I167" s="154">
        <f ca="1">ORÇAMENTO!X167</f>
        <v>0</v>
      </c>
      <c r="J167" s="427">
        <f t="shared" ca="1" si="26"/>
        <v>0</v>
      </c>
      <c r="K167" s="151">
        <f t="shared" ca="1" si="27"/>
        <v>0</v>
      </c>
      <c r="L167" s="428">
        <f t="shared" ca="1" si="28"/>
        <v>0</v>
      </c>
      <c r="M167" s="429">
        <f ca="1">IF($A167="S",VTOTALBM,IF($A167=0,0,ROUND(SomaAgrupBM,15-13*ORÇAMENTO!$AF$11)))</f>
        <v>0</v>
      </c>
      <c r="N167" s="430">
        <f t="shared" ca="1" si="29"/>
        <v>0</v>
      </c>
      <c r="O167" s="154">
        <f ca="1">IF($A167="S",VTOTALBM,IF($A167=0,0,ROUND(SomaAgrupBM,15-13*ORÇAMENTO!$AF$11)))</f>
        <v>0</v>
      </c>
      <c r="Q167" s="431"/>
      <c r="R167" s="432"/>
      <c r="T167" s="146" t="str">
        <f t="shared" ca="1" si="30"/>
        <v/>
      </c>
      <c r="U167" s="206" t="str">
        <f t="shared" ca="1" si="31"/>
        <v/>
      </c>
      <c r="V167" s="207" t="str">
        <f t="shared" ca="1" si="32"/>
        <v/>
      </c>
      <c r="W167" s="634">
        <f ca="1">IF($Y167&gt;0,CHOOSE(MATCH(RegimeExecucao,{"Unitário","Global"},0),IF($A167="S",$Y167/$X167,""),($Y167/$X167)*100),0)</f>
        <v>0</v>
      </c>
      <c r="X167" s="433" t="str">
        <f ca="1">IF($Y167&gt;0,CHOOSE(MATCH(RegimeExecucao,{"Unitário","Global"},0),IF($A167="S",ROUND($H167,ORÇAMENTO!$AF$10),""),ROUND($I167,ORÇAMENTO!$AF$11)),"")</f>
        <v/>
      </c>
      <c r="Y167" s="433">
        <f t="shared" ca="1" si="33"/>
        <v>0</v>
      </c>
      <c r="Z167" s="434"/>
      <c r="AB167" s="431"/>
      <c r="AC167" s="599"/>
      <c r="AD167" s="599"/>
      <c r="AE167" s="599"/>
      <c r="AF167" s="599"/>
      <c r="AG167" s="599"/>
      <c r="AH167" s="599"/>
      <c r="AI167" s="599"/>
      <c r="AJ167" s="599"/>
      <c r="AK167" s="599"/>
      <c r="AL167" s="599"/>
      <c r="AM167" s="432"/>
      <c r="AO167">
        <f ca="1">IF($A167="S",IF(BM!$I167=0,0,CHOOSE(MATCH(RegimeExecucao,{"Global","Unitário"},0),ROUND(ROUND(BM.MEDAcumulado,15-13*BM!$A$9)/100*BM!$I167,15-13*ORÇAMENTO!$AF$11),ROUND(ROUND(BM.MEDAcumulado,15-13*BM!$A$9)*ROUND(BM!$H167,15-13*ORÇAMENTO!$AF$10),15-13*ORÇAMENTO!$AF$11))),IF($A167=0,0,ROUND(SomaAgrupBM,15-13*ORÇAMENTO!$AF$11)))</f>
        <v>0</v>
      </c>
    </row>
    <row r="168" spans="1:41" ht="13.8" x14ac:dyDescent="0.3">
      <c r="A168" t="str">
        <f ca="1">ORÇAMENTO!C168</f>
        <v>S</v>
      </c>
      <c r="B168">
        <f ca="1">ORÇAMENTO!D168</f>
        <v>0</v>
      </c>
      <c r="C168" s="143" t="str">
        <f t="shared" ca="1" si="23"/>
        <v/>
      </c>
      <c r="D168" s="146" t="str">
        <f ca="1">ORÇAMENTO!O168</f>
        <v>-</v>
      </c>
      <c r="E168" s="206" t="str">
        <f t="shared" ca="1" si="24"/>
        <v>(abra o arquivo 'Referência 05-2024.xls)</v>
      </c>
      <c r="F168" s="207" t="str">
        <f t="shared" ca="1" si="25"/>
        <v>-</v>
      </c>
      <c r="G168" s="151">
        <f ca="1">IF(RegimeExecucao="Global","",ORÇAMENTO!T168)</f>
        <v>11.6</v>
      </c>
      <c r="H168" s="151">
        <f ca="1">IF(RegimeExecucao="Global","",ORÇAMENTO!W168)</f>
        <v>0</v>
      </c>
      <c r="I168" s="154">
        <f ca="1">ORÇAMENTO!X168</f>
        <v>0</v>
      </c>
      <c r="J168" s="427">
        <f t="shared" ca="1" si="26"/>
        <v>0</v>
      </c>
      <c r="K168" s="151">
        <f t="shared" ca="1" si="27"/>
        <v>0</v>
      </c>
      <c r="L168" s="428">
        <f t="shared" ca="1" si="28"/>
        <v>0</v>
      </c>
      <c r="M168" s="429">
        <f ca="1">IF($A168="S",VTOTALBM,IF($A168=0,0,ROUND(SomaAgrupBM,15-13*ORÇAMENTO!$AF$11)))</f>
        <v>0</v>
      </c>
      <c r="N168" s="430">
        <f t="shared" ca="1" si="29"/>
        <v>0</v>
      </c>
      <c r="O168" s="154">
        <f ca="1">IF($A168="S",VTOTALBM,IF($A168=0,0,ROUND(SomaAgrupBM,15-13*ORÇAMENTO!$AF$11)))</f>
        <v>0</v>
      </c>
      <c r="Q168" s="431"/>
      <c r="R168" s="432"/>
      <c r="T168" s="146" t="str">
        <f t="shared" ca="1" si="30"/>
        <v/>
      </c>
      <c r="U168" s="206" t="str">
        <f t="shared" ca="1" si="31"/>
        <v/>
      </c>
      <c r="V168" s="207" t="str">
        <f t="shared" ca="1" si="32"/>
        <v/>
      </c>
      <c r="W168" s="634">
        <f ca="1">IF($Y168&gt;0,CHOOSE(MATCH(RegimeExecucao,{"Unitário","Global"},0),IF($A168="S",$Y168/$X168,""),($Y168/$X168)*100),0)</f>
        <v>0</v>
      </c>
      <c r="X168" s="433" t="str">
        <f ca="1">IF($Y168&gt;0,CHOOSE(MATCH(RegimeExecucao,{"Unitário","Global"},0),IF($A168="S",ROUND($H168,ORÇAMENTO!$AF$10),""),ROUND($I168,ORÇAMENTO!$AF$11)),"")</f>
        <v/>
      </c>
      <c r="Y168" s="433">
        <f t="shared" ca="1" si="33"/>
        <v>0</v>
      </c>
      <c r="Z168" s="434"/>
      <c r="AB168" s="431"/>
      <c r="AC168" s="599"/>
      <c r="AD168" s="599"/>
      <c r="AE168" s="599"/>
      <c r="AF168" s="599"/>
      <c r="AG168" s="599"/>
      <c r="AH168" s="599"/>
      <c r="AI168" s="599"/>
      <c r="AJ168" s="599"/>
      <c r="AK168" s="599"/>
      <c r="AL168" s="599"/>
      <c r="AM168" s="432"/>
      <c r="AO168">
        <f ca="1">IF($A168="S",IF(BM!$I168=0,0,CHOOSE(MATCH(RegimeExecucao,{"Global","Unitário"},0),ROUND(ROUND(BM.MEDAcumulado,15-13*BM!$A$9)/100*BM!$I168,15-13*ORÇAMENTO!$AF$11),ROUND(ROUND(BM.MEDAcumulado,15-13*BM!$A$9)*ROUND(BM!$H168,15-13*ORÇAMENTO!$AF$10),15-13*ORÇAMENTO!$AF$11))),IF($A168=0,0,ROUND(SomaAgrupBM,15-13*ORÇAMENTO!$AF$11)))</f>
        <v>0</v>
      </c>
    </row>
    <row r="169" spans="1:41" ht="13.8" x14ac:dyDescent="0.3">
      <c r="A169" t="str">
        <f ca="1">ORÇAMENTO!C169</f>
        <v>S</v>
      </c>
      <c r="B169">
        <f ca="1">ORÇAMENTO!D169</f>
        <v>0</v>
      </c>
      <c r="C169" s="143" t="str">
        <f t="shared" ca="1" si="23"/>
        <v/>
      </c>
      <c r="D169" s="146" t="str">
        <f ca="1">ORÇAMENTO!O169</f>
        <v>-</v>
      </c>
      <c r="E169" s="206" t="str">
        <f t="shared" ca="1" si="24"/>
        <v>(abra o arquivo 'Referência 05-2024.xls)</v>
      </c>
      <c r="F169" s="207" t="str">
        <f t="shared" ca="1" si="25"/>
        <v>-</v>
      </c>
      <c r="G169" s="151">
        <f ca="1">IF(RegimeExecucao="Global","",ORÇAMENTO!T169)</f>
        <v>536.48</v>
      </c>
      <c r="H169" s="151">
        <f ca="1">IF(RegimeExecucao="Global","",ORÇAMENTO!W169)</f>
        <v>0</v>
      </c>
      <c r="I169" s="154">
        <f ca="1">ORÇAMENTO!X169</f>
        <v>0</v>
      </c>
      <c r="J169" s="427">
        <f t="shared" ca="1" si="26"/>
        <v>0</v>
      </c>
      <c r="K169" s="151">
        <f t="shared" ca="1" si="27"/>
        <v>0</v>
      </c>
      <c r="L169" s="428">
        <f t="shared" ca="1" si="28"/>
        <v>0</v>
      </c>
      <c r="M169" s="429">
        <f ca="1">IF($A169="S",VTOTALBM,IF($A169=0,0,ROUND(SomaAgrupBM,15-13*ORÇAMENTO!$AF$11)))</f>
        <v>0</v>
      </c>
      <c r="N169" s="430">
        <f t="shared" ca="1" si="29"/>
        <v>0</v>
      </c>
      <c r="O169" s="154">
        <f ca="1">IF($A169="S",VTOTALBM,IF($A169=0,0,ROUND(SomaAgrupBM,15-13*ORÇAMENTO!$AF$11)))</f>
        <v>0</v>
      </c>
      <c r="Q169" s="431"/>
      <c r="R169" s="432"/>
      <c r="T169" s="146" t="str">
        <f t="shared" ca="1" si="30"/>
        <v/>
      </c>
      <c r="U169" s="206" t="str">
        <f t="shared" ca="1" si="31"/>
        <v/>
      </c>
      <c r="V169" s="207" t="str">
        <f t="shared" ca="1" si="32"/>
        <v/>
      </c>
      <c r="W169" s="634">
        <f ca="1">IF($Y169&gt;0,CHOOSE(MATCH(RegimeExecucao,{"Unitário","Global"},0),IF($A169="S",$Y169/$X169,""),($Y169/$X169)*100),0)</f>
        <v>0</v>
      </c>
      <c r="X169" s="433" t="str">
        <f ca="1">IF($Y169&gt;0,CHOOSE(MATCH(RegimeExecucao,{"Unitário","Global"},0),IF($A169="S",ROUND($H169,ORÇAMENTO!$AF$10),""),ROUND($I169,ORÇAMENTO!$AF$11)),"")</f>
        <v/>
      </c>
      <c r="Y169" s="433">
        <f t="shared" ca="1" si="33"/>
        <v>0</v>
      </c>
      <c r="Z169" s="434"/>
      <c r="AB169" s="431"/>
      <c r="AC169" s="599"/>
      <c r="AD169" s="599"/>
      <c r="AE169" s="599"/>
      <c r="AF169" s="599"/>
      <c r="AG169" s="599"/>
      <c r="AH169" s="599"/>
      <c r="AI169" s="599"/>
      <c r="AJ169" s="599"/>
      <c r="AK169" s="599"/>
      <c r="AL169" s="599"/>
      <c r="AM169" s="432"/>
      <c r="AO169">
        <f ca="1">IF($A169="S",IF(BM!$I169=0,0,CHOOSE(MATCH(RegimeExecucao,{"Global","Unitário"},0),ROUND(ROUND(BM.MEDAcumulado,15-13*BM!$A$9)/100*BM!$I169,15-13*ORÇAMENTO!$AF$11),ROUND(ROUND(BM.MEDAcumulado,15-13*BM!$A$9)*ROUND(BM!$H169,15-13*ORÇAMENTO!$AF$10),15-13*ORÇAMENTO!$AF$11))),IF($A169=0,0,ROUND(SomaAgrupBM,15-13*ORÇAMENTO!$AF$11)))</f>
        <v>0</v>
      </c>
    </row>
    <row r="170" spans="1:41" ht="13.8" x14ac:dyDescent="0.3">
      <c r="A170" t="str">
        <f ca="1">ORÇAMENTO!C170</f>
        <v>S</v>
      </c>
      <c r="B170">
        <f ca="1">ORÇAMENTO!D170</f>
        <v>0</v>
      </c>
      <c r="C170" s="143" t="str">
        <f t="shared" ca="1" si="23"/>
        <v/>
      </c>
      <c r="D170" s="146" t="str">
        <f ca="1">ORÇAMENTO!O170</f>
        <v>-</v>
      </c>
      <c r="E170" s="206" t="str">
        <f t="shared" ca="1" si="24"/>
        <v>(abra o arquivo 'Referência 05-2024.xls)</v>
      </c>
      <c r="F170" s="207" t="str">
        <f t="shared" ca="1" si="25"/>
        <v>-</v>
      </c>
      <c r="G170" s="151">
        <f ca="1">IF(RegimeExecucao="Global","",ORÇAMENTO!T170)</f>
        <v>247.99</v>
      </c>
      <c r="H170" s="151">
        <f ca="1">IF(RegimeExecucao="Global","",ORÇAMENTO!W170)</f>
        <v>0</v>
      </c>
      <c r="I170" s="154">
        <f ca="1">ORÇAMENTO!X170</f>
        <v>0</v>
      </c>
      <c r="J170" s="427">
        <f t="shared" ca="1" si="26"/>
        <v>0</v>
      </c>
      <c r="K170" s="151">
        <f t="shared" ca="1" si="27"/>
        <v>0</v>
      </c>
      <c r="L170" s="428">
        <f t="shared" ca="1" si="28"/>
        <v>0</v>
      </c>
      <c r="M170" s="429">
        <f ca="1">IF($A170="S",VTOTALBM,IF($A170=0,0,ROUND(SomaAgrupBM,15-13*ORÇAMENTO!$AF$11)))</f>
        <v>0</v>
      </c>
      <c r="N170" s="430">
        <f t="shared" ca="1" si="29"/>
        <v>0</v>
      </c>
      <c r="O170" s="154">
        <f ca="1">IF($A170="S",VTOTALBM,IF($A170=0,0,ROUND(SomaAgrupBM,15-13*ORÇAMENTO!$AF$11)))</f>
        <v>0</v>
      </c>
      <c r="Q170" s="431"/>
      <c r="R170" s="432"/>
      <c r="T170" s="146" t="str">
        <f t="shared" ca="1" si="30"/>
        <v/>
      </c>
      <c r="U170" s="206" t="str">
        <f t="shared" ca="1" si="31"/>
        <v/>
      </c>
      <c r="V170" s="207" t="str">
        <f t="shared" ca="1" si="32"/>
        <v/>
      </c>
      <c r="W170" s="634">
        <f ca="1">IF($Y170&gt;0,CHOOSE(MATCH(RegimeExecucao,{"Unitário","Global"},0),IF($A170="S",$Y170/$X170,""),($Y170/$X170)*100),0)</f>
        <v>0</v>
      </c>
      <c r="X170" s="433" t="str">
        <f ca="1">IF($Y170&gt;0,CHOOSE(MATCH(RegimeExecucao,{"Unitário","Global"},0),IF($A170="S",ROUND($H170,ORÇAMENTO!$AF$10),""),ROUND($I170,ORÇAMENTO!$AF$11)),"")</f>
        <v/>
      </c>
      <c r="Y170" s="433">
        <f t="shared" ca="1" si="33"/>
        <v>0</v>
      </c>
      <c r="Z170" s="434"/>
      <c r="AB170" s="431"/>
      <c r="AC170" s="599"/>
      <c r="AD170" s="599"/>
      <c r="AE170" s="599"/>
      <c r="AF170" s="599"/>
      <c r="AG170" s="599"/>
      <c r="AH170" s="599"/>
      <c r="AI170" s="599"/>
      <c r="AJ170" s="599"/>
      <c r="AK170" s="599"/>
      <c r="AL170" s="599"/>
      <c r="AM170" s="432"/>
      <c r="AO170">
        <f ca="1">IF($A170="S",IF(BM!$I170=0,0,CHOOSE(MATCH(RegimeExecucao,{"Global","Unitário"},0),ROUND(ROUND(BM.MEDAcumulado,15-13*BM!$A$9)/100*BM!$I170,15-13*ORÇAMENTO!$AF$11),ROUND(ROUND(BM.MEDAcumulado,15-13*BM!$A$9)*ROUND(BM!$H170,15-13*ORÇAMENTO!$AF$10),15-13*ORÇAMENTO!$AF$11))),IF($A170=0,0,ROUND(SomaAgrupBM,15-13*ORÇAMENTO!$AF$11)))</f>
        <v>0</v>
      </c>
    </row>
    <row r="171" spans="1:41" ht="13.8" x14ac:dyDescent="0.3">
      <c r="A171" t="str">
        <f ca="1">ORÇAMENTO!C171</f>
        <v>S</v>
      </c>
      <c r="B171">
        <f ca="1">ORÇAMENTO!D171</f>
        <v>0</v>
      </c>
      <c r="C171" s="143" t="str">
        <f t="shared" ca="1" si="23"/>
        <v/>
      </c>
      <c r="D171" s="146" t="str">
        <f ca="1">ORÇAMENTO!O171</f>
        <v>-</v>
      </c>
      <c r="E171" s="206" t="str">
        <f t="shared" ca="1" si="24"/>
        <v>(abra o arquivo 'Referência 05-2024.xls)</v>
      </c>
      <c r="F171" s="207" t="str">
        <f t="shared" ca="1" si="25"/>
        <v>-</v>
      </c>
      <c r="G171" s="151">
        <f ca="1">IF(RegimeExecucao="Global","",ORÇAMENTO!T171)</f>
        <v>2.2599999999999998</v>
      </c>
      <c r="H171" s="151">
        <f ca="1">IF(RegimeExecucao="Global","",ORÇAMENTO!W171)</f>
        <v>0</v>
      </c>
      <c r="I171" s="154">
        <f ca="1">ORÇAMENTO!X171</f>
        <v>0</v>
      </c>
      <c r="J171" s="427">
        <f t="shared" ca="1" si="26"/>
        <v>0</v>
      </c>
      <c r="K171" s="151">
        <f t="shared" ca="1" si="27"/>
        <v>0</v>
      </c>
      <c r="L171" s="428">
        <f t="shared" ca="1" si="28"/>
        <v>0</v>
      </c>
      <c r="M171" s="429">
        <f ca="1">IF($A171="S",VTOTALBM,IF($A171=0,0,ROUND(SomaAgrupBM,15-13*ORÇAMENTO!$AF$11)))</f>
        <v>0</v>
      </c>
      <c r="N171" s="430">
        <f t="shared" ca="1" si="29"/>
        <v>0</v>
      </c>
      <c r="O171" s="154">
        <f ca="1">IF($A171="S",VTOTALBM,IF($A171=0,0,ROUND(SomaAgrupBM,15-13*ORÇAMENTO!$AF$11)))</f>
        <v>0</v>
      </c>
      <c r="Q171" s="431"/>
      <c r="R171" s="432"/>
      <c r="T171" s="146" t="str">
        <f t="shared" ca="1" si="30"/>
        <v/>
      </c>
      <c r="U171" s="206" t="str">
        <f t="shared" ca="1" si="31"/>
        <v/>
      </c>
      <c r="V171" s="207" t="str">
        <f t="shared" ca="1" si="32"/>
        <v/>
      </c>
      <c r="W171" s="634">
        <f ca="1">IF($Y171&gt;0,CHOOSE(MATCH(RegimeExecucao,{"Unitário","Global"},0),IF($A171="S",$Y171/$X171,""),($Y171/$X171)*100),0)</f>
        <v>0</v>
      </c>
      <c r="X171" s="433" t="str">
        <f ca="1">IF($Y171&gt;0,CHOOSE(MATCH(RegimeExecucao,{"Unitário","Global"},0),IF($A171="S",ROUND($H171,ORÇAMENTO!$AF$10),""),ROUND($I171,ORÇAMENTO!$AF$11)),"")</f>
        <v/>
      </c>
      <c r="Y171" s="433">
        <f t="shared" ca="1" si="33"/>
        <v>0</v>
      </c>
      <c r="Z171" s="434"/>
      <c r="AB171" s="431"/>
      <c r="AC171" s="599"/>
      <c r="AD171" s="599"/>
      <c r="AE171" s="599"/>
      <c r="AF171" s="599"/>
      <c r="AG171" s="599"/>
      <c r="AH171" s="599"/>
      <c r="AI171" s="599"/>
      <c r="AJ171" s="599"/>
      <c r="AK171" s="599"/>
      <c r="AL171" s="599"/>
      <c r="AM171" s="432"/>
      <c r="AO171">
        <f ca="1">IF($A171="S",IF(BM!$I171=0,0,CHOOSE(MATCH(RegimeExecucao,{"Global","Unitário"},0),ROUND(ROUND(BM.MEDAcumulado,15-13*BM!$A$9)/100*BM!$I171,15-13*ORÇAMENTO!$AF$11),ROUND(ROUND(BM.MEDAcumulado,15-13*BM!$A$9)*ROUND(BM!$H171,15-13*ORÇAMENTO!$AF$10),15-13*ORÇAMENTO!$AF$11))),IF($A171=0,0,ROUND(SomaAgrupBM,15-13*ORÇAMENTO!$AF$11)))</f>
        <v>0</v>
      </c>
    </row>
    <row r="172" spans="1:41" ht="13.8" x14ac:dyDescent="0.3">
      <c r="A172">
        <f ca="1">ORÇAMENTO!C172</f>
        <v>2</v>
      </c>
      <c r="B172">
        <f ca="1">ORÇAMENTO!D172</f>
        <v>47</v>
      </c>
      <c r="C172" s="143" t="str">
        <f t="shared" ca="1" si="23"/>
        <v>F</v>
      </c>
      <c r="D172" s="146" t="str">
        <f ca="1">ORÇAMENTO!O172</f>
        <v>1.6.</v>
      </c>
      <c r="E172" s="206" t="str">
        <f t="shared" si="24"/>
        <v>ESQUADRIAS</v>
      </c>
      <c r="F172" s="207" t="str">
        <f t="shared" ca="1" si="25"/>
        <v>-</v>
      </c>
      <c r="G172" s="151">
        <f ca="1">IF(RegimeExecucao="Global","",ORÇAMENTO!T172)</f>
        <v>0</v>
      </c>
      <c r="H172" s="151">
        <f ca="1">IF(RegimeExecucao="Global","",ORÇAMENTO!W172)</f>
        <v>0</v>
      </c>
      <c r="I172" s="154">
        <f ca="1">ORÇAMENTO!X172</f>
        <v>0</v>
      </c>
      <c r="J172" s="427">
        <f t="shared" ca="1" si="26"/>
        <v>0</v>
      </c>
      <c r="K172" s="151">
        <f t="shared" ca="1" si="27"/>
        <v>0</v>
      </c>
      <c r="L172" s="428">
        <f t="shared" ca="1" si="28"/>
        <v>0</v>
      </c>
      <c r="M172" s="429">
        <f ca="1">IF($A172="S",VTOTALBM,IF($A172=0,0,ROUND(SomaAgrupBM,15-13*ORÇAMENTO!$AF$11)))</f>
        <v>0</v>
      </c>
      <c r="N172" s="430">
        <f t="shared" ca="1" si="29"/>
        <v>0</v>
      </c>
      <c r="O172" s="154">
        <f ca="1">IF($A172="S",VTOTALBM,IF($A172=0,0,ROUND(SomaAgrupBM,15-13*ORÇAMENTO!$AF$11)))</f>
        <v>0</v>
      </c>
      <c r="Q172" s="431"/>
      <c r="R172" s="432"/>
      <c r="T172" s="146" t="str">
        <f t="shared" ca="1" si="30"/>
        <v/>
      </c>
      <c r="U172" s="206" t="str">
        <f t="shared" ca="1" si="31"/>
        <v/>
      </c>
      <c r="V172" s="207" t="str">
        <f t="shared" ca="1" si="32"/>
        <v/>
      </c>
      <c r="W172" s="634">
        <f ca="1">IF($Y172&gt;0,CHOOSE(MATCH(RegimeExecucao,{"Unitário","Global"},0),IF($A172="S",$Y172/$X172,""),($Y172/$X172)*100),0)</f>
        <v>0</v>
      </c>
      <c r="X172" s="433" t="str">
        <f ca="1">IF($Y172&gt;0,CHOOSE(MATCH(RegimeExecucao,{"Unitário","Global"},0),IF($A172="S",ROUND($H172,ORÇAMENTO!$AF$10),""),ROUND($I172,ORÇAMENTO!$AF$11)),"")</f>
        <v/>
      </c>
      <c r="Y172" s="433">
        <f t="shared" ca="1" si="33"/>
        <v>0</v>
      </c>
      <c r="Z172" s="434"/>
      <c r="AB172" s="431"/>
      <c r="AC172" s="599"/>
      <c r="AD172" s="599"/>
      <c r="AE172" s="599"/>
      <c r="AF172" s="599"/>
      <c r="AG172" s="599"/>
      <c r="AH172" s="599"/>
      <c r="AI172" s="599"/>
      <c r="AJ172" s="599"/>
      <c r="AK172" s="599"/>
      <c r="AL172" s="599"/>
      <c r="AM172" s="432"/>
      <c r="AO172">
        <f ca="1">IF($A172="S",IF(BM!$I172=0,0,CHOOSE(MATCH(RegimeExecucao,{"Global","Unitário"},0),ROUND(ROUND(BM.MEDAcumulado,15-13*BM!$A$9)/100*BM!$I172,15-13*ORÇAMENTO!$AF$11),ROUND(ROUND(BM.MEDAcumulado,15-13*BM!$A$9)*ROUND(BM!$H172,15-13*ORÇAMENTO!$AF$10),15-13*ORÇAMENTO!$AF$11))),IF($A172=0,0,ROUND(SomaAgrupBM,15-13*ORÇAMENTO!$AF$11)))</f>
        <v>0</v>
      </c>
    </row>
    <row r="173" spans="1:41" ht="13.8" x14ac:dyDescent="0.3">
      <c r="A173">
        <f ca="1">ORÇAMENTO!C173</f>
        <v>3</v>
      </c>
      <c r="B173">
        <f ca="1">ORÇAMENTO!D173</f>
        <v>4</v>
      </c>
      <c r="C173" s="143" t="str">
        <f t="shared" ca="1" si="23"/>
        <v>F</v>
      </c>
      <c r="D173" s="146" t="str">
        <f ca="1">ORÇAMENTO!O173</f>
        <v>1.6.1.</v>
      </c>
      <c r="E173" s="206" t="str">
        <f t="shared" si="24"/>
        <v>PORTAS DE MADEIRA</v>
      </c>
      <c r="F173" s="207" t="str">
        <f t="shared" ca="1" si="25"/>
        <v>-</v>
      </c>
      <c r="G173" s="151">
        <f ca="1">IF(RegimeExecucao="Global","",ORÇAMENTO!T173)</f>
        <v>0</v>
      </c>
      <c r="H173" s="151">
        <f ca="1">IF(RegimeExecucao="Global","",ORÇAMENTO!W173)</f>
        <v>0</v>
      </c>
      <c r="I173" s="154">
        <f ca="1">ORÇAMENTO!X173</f>
        <v>0</v>
      </c>
      <c r="J173" s="427">
        <f t="shared" ca="1" si="26"/>
        <v>0</v>
      </c>
      <c r="K173" s="151">
        <f t="shared" ca="1" si="27"/>
        <v>0</v>
      </c>
      <c r="L173" s="428">
        <f t="shared" ca="1" si="28"/>
        <v>0</v>
      </c>
      <c r="M173" s="429">
        <f ca="1">IF($A173="S",VTOTALBM,IF($A173=0,0,ROUND(SomaAgrupBM,15-13*ORÇAMENTO!$AF$11)))</f>
        <v>0</v>
      </c>
      <c r="N173" s="430">
        <f t="shared" ca="1" si="29"/>
        <v>0</v>
      </c>
      <c r="O173" s="154">
        <f ca="1">IF($A173="S",VTOTALBM,IF($A173=0,0,ROUND(SomaAgrupBM,15-13*ORÇAMENTO!$AF$11)))</f>
        <v>0</v>
      </c>
      <c r="Q173" s="431"/>
      <c r="R173" s="432"/>
      <c r="T173" s="146" t="str">
        <f t="shared" ca="1" si="30"/>
        <v/>
      </c>
      <c r="U173" s="206" t="str">
        <f t="shared" ca="1" si="31"/>
        <v/>
      </c>
      <c r="V173" s="207" t="str">
        <f t="shared" ca="1" si="32"/>
        <v/>
      </c>
      <c r="W173" s="634">
        <f ca="1">IF($Y173&gt;0,CHOOSE(MATCH(RegimeExecucao,{"Unitário","Global"},0),IF($A173="S",$Y173/$X173,""),($Y173/$X173)*100),0)</f>
        <v>0</v>
      </c>
      <c r="X173" s="433" t="str">
        <f ca="1">IF($Y173&gt;0,CHOOSE(MATCH(RegimeExecucao,{"Unitário","Global"},0),IF($A173="S",ROUND($H173,ORÇAMENTO!$AF$10),""),ROUND($I173,ORÇAMENTO!$AF$11)),"")</f>
        <v/>
      </c>
      <c r="Y173" s="433">
        <f t="shared" ca="1" si="33"/>
        <v>0</v>
      </c>
      <c r="Z173" s="434"/>
      <c r="AB173" s="431"/>
      <c r="AC173" s="599"/>
      <c r="AD173" s="599"/>
      <c r="AE173" s="599"/>
      <c r="AF173" s="599"/>
      <c r="AG173" s="599"/>
      <c r="AH173" s="599"/>
      <c r="AI173" s="599"/>
      <c r="AJ173" s="599"/>
      <c r="AK173" s="599"/>
      <c r="AL173" s="599"/>
      <c r="AM173" s="432"/>
      <c r="AO173">
        <f ca="1">IF($A173="S",IF(BM!$I173=0,0,CHOOSE(MATCH(RegimeExecucao,{"Global","Unitário"},0),ROUND(ROUND(BM.MEDAcumulado,15-13*BM!$A$9)/100*BM!$I173,15-13*ORÇAMENTO!$AF$11),ROUND(ROUND(BM.MEDAcumulado,15-13*BM!$A$9)*ROUND(BM!$H173,15-13*ORÇAMENTO!$AF$10),15-13*ORÇAMENTO!$AF$11))),IF($A173=0,0,ROUND(SomaAgrupBM,15-13*ORÇAMENTO!$AF$11)))</f>
        <v>0</v>
      </c>
    </row>
    <row r="174" spans="1:41" ht="13.8" x14ac:dyDescent="0.3">
      <c r="A174" t="str">
        <f ca="1">ORÇAMENTO!C174</f>
        <v>S</v>
      </c>
      <c r="B174">
        <f ca="1">ORÇAMENTO!D174</f>
        <v>0</v>
      </c>
      <c r="C174" s="143" t="str">
        <f t="shared" ca="1" si="23"/>
        <v/>
      </c>
      <c r="D174" s="146" t="str">
        <f ca="1">ORÇAMENTO!O174</f>
        <v>-</v>
      </c>
      <c r="E174" s="206" t="str">
        <f t="shared" ca="1" si="24"/>
        <v>(abra o arquivo 'Referência 05-2024.xls)</v>
      </c>
      <c r="F174" s="207" t="str">
        <f t="shared" ca="1" si="25"/>
        <v>-</v>
      </c>
      <c r="G174" s="151">
        <f ca="1">IF(RegimeExecucao="Global","",ORÇAMENTO!T174)</f>
        <v>9</v>
      </c>
      <c r="H174" s="151">
        <f ca="1">IF(RegimeExecucao="Global","",ORÇAMENTO!W174)</f>
        <v>0</v>
      </c>
      <c r="I174" s="154">
        <f ca="1">ORÇAMENTO!X174</f>
        <v>0</v>
      </c>
      <c r="J174" s="427">
        <f t="shared" ca="1" si="26"/>
        <v>0</v>
      </c>
      <c r="K174" s="151">
        <f t="shared" ca="1" si="27"/>
        <v>0</v>
      </c>
      <c r="L174" s="428">
        <f t="shared" ca="1" si="28"/>
        <v>0</v>
      </c>
      <c r="M174" s="429">
        <f ca="1">IF($A174="S",VTOTALBM,IF($A174=0,0,ROUND(SomaAgrupBM,15-13*ORÇAMENTO!$AF$11)))</f>
        <v>0</v>
      </c>
      <c r="N174" s="430">
        <f t="shared" ca="1" si="29"/>
        <v>0</v>
      </c>
      <c r="O174" s="154">
        <f ca="1">IF($A174="S",VTOTALBM,IF($A174=0,0,ROUND(SomaAgrupBM,15-13*ORÇAMENTO!$AF$11)))</f>
        <v>0</v>
      </c>
      <c r="Q174" s="431"/>
      <c r="R174" s="432"/>
      <c r="T174" s="146" t="str">
        <f t="shared" ca="1" si="30"/>
        <v/>
      </c>
      <c r="U174" s="206" t="str">
        <f t="shared" ca="1" si="31"/>
        <v/>
      </c>
      <c r="V174" s="207" t="str">
        <f t="shared" ca="1" si="32"/>
        <v/>
      </c>
      <c r="W174" s="634">
        <f ca="1">IF($Y174&gt;0,CHOOSE(MATCH(RegimeExecucao,{"Unitário","Global"},0),IF($A174="S",$Y174/$X174,""),($Y174/$X174)*100),0)</f>
        <v>0</v>
      </c>
      <c r="X174" s="433" t="str">
        <f ca="1">IF($Y174&gt;0,CHOOSE(MATCH(RegimeExecucao,{"Unitário","Global"},0),IF($A174="S",ROUND($H174,ORÇAMENTO!$AF$10),""),ROUND($I174,ORÇAMENTO!$AF$11)),"")</f>
        <v/>
      </c>
      <c r="Y174" s="433">
        <f t="shared" ca="1" si="33"/>
        <v>0</v>
      </c>
      <c r="Z174" s="434"/>
      <c r="AB174" s="431"/>
      <c r="AC174" s="599"/>
      <c r="AD174" s="599"/>
      <c r="AE174" s="599"/>
      <c r="AF174" s="599"/>
      <c r="AG174" s="599"/>
      <c r="AH174" s="599"/>
      <c r="AI174" s="599"/>
      <c r="AJ174" s="599"/>
      <c r="AK174" s="599"/>
      <c r="AL174" s="599"/>
      <c r="AM174" s="432"/>
      <c r="AO174">
        <f ca="1">IF($A174="S",IF(BM!$I174=0,0,CHOOSE(MATCH(RegimeExecucao,{"Global","Unitário"},0),ROUND(ROUND(BM.MEDAcumulado,15-13*BM!$A$9)/100*BM!$I174,15-13*ORÇAMENTO!$AF$11),ROUND(ROUND(BM.MEDAcumulado,15-13*BM!$A$9)*ROUND(BM!$H174,15-13*ORÇAMENTO!$AF$10),15-13*ORÇAMENTO!$AF$11))),IF($A174=0,0,ROUND(SomaAgrupBM,15-13*ORÇAMENTO!$AF$11)))</f>
        <v>0</v>
      </c>
    </row>
    <row r="175" spans="1:41" ht="13.8" x14ac:dyDescent="0.3">
      <c r="A175" t="str">
        <f ca="1">ORÇAMENTO!C175</f>
        <v>S</v>
      </c>
      <c r="B175">
        <f ca="1">ORÇAMENTO!D175</f>
        <v>0</v>
      </c>
      <c r="C175" s="143" t="str">
        <f t="shared" ca="1" si="23"/>
        <v/>
      </c>
      <c r="D175" s="146" t="str">
        <f ca="1">ORÇAMENTO!O175</f>
        <v>-</v>
      </c>
      <c r="E175" s="206" t="str">
        <f t="shared" ca="1" si="24"/>
        <v>(abra o arquivo 'Referência 05-2024.xls)</v>
      </c>
      <c r="F175" s="207" t="str">
        <f t="shared" ca="1" si="25"/>
        <v>-</v>
      </c>
      <c r="G175" s="151">
        <f ca="1">IF(RegimeExecucao="Global","",ORÇAMENTO!T175)</f>
        <v>6</v>
      </c>
      <c r="H175" s="151">
        <f ca="1">IF(RegimeExecucao="Global","",ORÇAMENTO!W175)</f>
        <v>0</v>
      </c>
      <c r="I175" s="154">
        <f ca="1">ORÇAMENTO!X175</f>
        <v>0</v>
      </c>
      <c r="J175" s="427">
        <f t="shared" ca="1" si="26"/>
        <v>0</v>
      </c>
      <c r="K175" s="151">
        <f t="shared" ca="1" si="27"/>
        <v>0</v>
      </c>
      <c r="L175" s="428">
        <f t="shared" ca="1" si="28"/>
        <v>0</v>
      </c>
      <c r="M175" s="429">
        <f ca="1">IF($A175="S",VTOTALBM,IF($A175=0,0,ROUND(SomaAgrupBM,15-13*ORÇAMENTO!$AF$11)))</f>
        <v>0</v>
      </c>
      <c r="N175" s="430">
        <f t="shared" ca="1" si="29"/>
        <v>0</v>
      </c>
      <c r="O175" s="154">
        <f ca="1">IF($A175="S",VTOTALBM,IF($A175=0,0,ROUND(SomaAgrupBM,15-13*ORÇAMENTO!$AF$11)))</f>
        <v>0</v>
      </c>
      <c r="Q175" s="431"/>
      <c r="R175" s="432"/>
      <c r="T175" s="146" t="str">
        <f t="shared" ca="1" si="30"/>
        <v/>
      </c>
      <c r="U175" s="206" t="str">
        <f t="shared" ca="1" si="31"/>
        <v/>
      </c>
      <c r="V175" s="207" t="str">
        <f t="shared" ca="1" si="32"/>
        <v/>
      </c>
      <c r="W175" s="634">
        <f ca="1">IF($Y175&gt;0,CHOOSE(MATCH(RegimeExecucao,{"Unitário","Global"},0),IF($A175="S",$Y175/$X175,""),($Y175/$X175)*100),0)</f>
        <v>0</v>
      </c>
      <c r="X175" s="433" t="str">
        <f ca="1">IF($Y175&gt;0,CHOOSE(MATCH(RegimeExecucao,{"Unitário","Global"},0),IF($A175="S",ROUND($H175,ORÇAMENTO!$AF$10),""),ROUND($I175,ORÇAMENTO!$AF$11)),"")</f>
        <v/>
      </c>
      <c r="Y175" s="433">
        <f t="shared" ca="1" si="33"/>
        <v>0</v>
      </c>
      <c r="Z175" s="434"/>
      <c r="AB175" s="431"/>
      <c r="AC175" s="599"/>
      <c r="AD175" s="599"/>
      <c r="AE175" s="599"/>
      <c r="AF175" s="599"/>
      <c r="AG175" s="599"/>
      <c r="AH175" s="599"/>
      <c r="AI175" s="599"/>
      <c r="AJ175" s="599"/>
      <c r="AK175" s="599"/>
      <c r="AL175" s="599"/>
      <c r="AM175" s="432"/>
      <c r="AO175">
        <f ca="1">IF($A175="S",IF(BM!$I175=0,0,CHOOSE(MATCH(RegimeExecucao,{"Global","Unitário"},0),ROUND(ROUND(BM.MEDAcumulado,15-13*BM!$A$9)/100*BM!$I175,15-13*ORÇAMENTO!$AF$11),ROUND(ROUND(BM.MEDAcumulado,15-13*BM!$A$9)*ROUND(BM!$H175,15-13*ORÇAMENTO!$AF$10),15-13*ORÇAMENTO!$AF$11))),IF($A175=0,0,ROUND(SomaAgrupBM,15-13*ORÇAMENTO!$AF$11)))</f>
        <v>0</v>
      </c>
    </row>
    <row r="176" spans="1:41" ht="13.8" x14ac:dyDescent="0.3">
      <c r="A176" t="str">
        <f ca="1">ORÇAMENTO!C176</f>
        <v>S</v>
      </c>
      <c r="B176">
        <f ca="1">ORÇAMENTO!D176</f>
        <v>0</v>
      </c>
      <c r="C176" s="143" t="str">
        <f t="shared" ca="1" si="23"/>
        <v/>
      </c>
      <c r="D176" s="146" t="str">
        <f ca="1">ORÇAMENTO!O176</f>
        <v>-</v>
      </c>
      <c r="E176" s="206" t="str">
        <f t="shared" ca="1" si="24"/>
        <v>(abra o arquivo 'Referência 05-2024.xls)</v>
      </c>
      <c r="F176" s="207" t="str">
        <f t="shared" ca="1" si="25"/>
        <v>-</v>
      </c>
      <c r="G176" s="151">
        <f ca="1">IF(RegimeExecucao="Global","",ORÇAMENTO!T176)</f>
        <v>5</v>
      </c>
      <c r="H176" s="151">
        <f ca="1">IF(RegimeExecucao="Global","",ORÇAMENTO!W176)</f>
        <v>0</v>
      </c>
      <c r="I176" s="154">
        <f ca="1">ORÇAMENTO!X176</f>
        <v>0</v>
      </c>
      <c r="J176" s="427">
        <f t="shared" ca="1" si="26"/>
        <v>0</v>
      </c>
      <c r="K176" s="151">
        <f t="shared" ca="1" si="27"/>
        <v>0</v>
      </c>
      <c r="L176" s="428">
        <f t="shared" ca="1" si="28"/>
        <v>0</v>
      </c>
      <c r="M176" s="429">
        <f ca="1">IF($A176="S",VTOTALBM,IF($A176=0,0,ROUND(SomaAgrupBM,15-13*ORÇAMENTO!$AF$11)))</f>
        <v>0</v>
      </c>
      <c r="N176" s="430">
        <f t="shared" ca="1" si="29"/>
        <v>0</v>
      </c>
      <c r="O176" s="154">
        <f ca="1">IF($A176="S",VTOTALBM,IF($A176=0,0,ROUND(SomaAgrupBM,15-13*ORÇAMENTO!$AF$11)))</f>
        <v>0</v>
      </c>
      <c r="Q176" s="431"/>
      <c r="R176" s="432"/>
      <c r="T176" s="146" t="str">
        <f t="shared" ca="1" si="30"/>
        <v/>
      </c>
      <c r="U176" s="206" t="str">
        <f t="shared" ca="1" si="31"/>
        <v/>
      </c>
      <c r="V176" s="207" t="str">
        <f t="shared" ca="1" si="32"/>
        <v/>
      </c>
      <c r="W176" s="634">
        <f ca="1">IF($Y176&gt;0,CHOOSE(MATCH(RegimeExecucao,{"Unitário","Global"},0),IF($A176="S",$Y176/$X176,""),($Y176/$X176)*100),0)</f>
        <v>0</v>
      </c>
      <c r="X176" s="433" t="str">
        <f ca="1">IF($Y176&gt;0,CHOOSE(MATCH(RegimeExecucao,{"Unitário","Global"},0),IF($A176="S",ROUND($H176,ORÇAMENTO!$AF$10),""),ROUND($I176,ORÇAMENTO!$AF$11)),"")</f>
        <v/>
      </c>
      <c r="Y176" s="433">
        <f t="shared" ca="1" si="33"/>
        <v>0</v>
      </c>
      <c r="Z176" s="434"/>
      <c r="AB176" s="431"/>
      <c r="AC176" s="599"/>
      <c r="AD176" s="599"/>
      <c r="AE176" s="599"/>
      <c r="AF176" s="599"/>
      <c r="AG176" s="599"/>
      <c r="AH176" s="599"/>
      <c r="AI176" s="599"/>
      <c r="AJ176" s="599"/>
      <c r="AK176" s="599"/>
      <c r="AL176" s="599"/>
      <c r="AM176" s="432"/>
      <c r="AO176">
        <f ca="1">IF($A176="S",IF(BM!$I176=0,0,CHOOSE(MATCH(RegimeExecucao,{"Global","Unitário"},0),ROUND(ROUND(BM.MEDAcumulado,15-13*BM!$A$9)/100*BM!$I176,15-13*ORÇAMENTO!$AF$11),ROUND(ROUND(BM.MEDAcumulado,15-13*BM!$A$9)*ROUND(BM!$H176,15-13*ORÇAMENTO!$AF$10),15-13*ORÇAMENTO!$AF$11))),IF($A176=0,0,ROUND(SomaAgrupBM,15-13*ORÇAMENTO!$AF$11)))</f>
        <v>0</v>
      </c>
    </row>
    <row r="177" spans="1:41" ht="13.8" x14ac:dyDescent="0.3">
      <c r="A177">
        <f ca="1">ORÇAMENTO!C177</f>
        <v>3</v>
      </c>
      <c r="B177">
        <f ca="1">ORÇAMENTO!D177</f>
        <v>4</v>
      </c>
      <c r="C177" s="143" t="str">
        <f t="shared" ca="1" si="23"/>
        <v>F</v>
      </c>
      <c r="D177" s="146" t="str">
        <f ca="1">ORÇAMENTO!O177</f>
        <v>1.6.2.</v>
      </c>
      <c r="E177" s="206" t="str">
        <f t="shared" si="24"/>
        <v>FERRAGENS E ACESSÓRIOS</v>
      </c>
      <c r="F177" s="207" t="str">
        <f t="shared" ca="1" si="25"/>
        <v>-</v>
      </c>
      <c r="G177" s="151">
        <f ca="1">IF(RegimeExecucao="Global","",ORÇAMENTO!T177)</f>
        <v>0</v>
      </c>
      <c r="H177" s="151">
        <f ca="1">IF(RegimeExecucao="Global","",ORÇAMENTO!W177)</f>
        <v>0</v>
      </c>
      <c r="I177" s="154">
        <f ca="1">ORÇAMENTO!X177</f>
        <v>0</v>
      </c>
      <c r="J177" s="427">
        <f t="shared" ca="1" si="26"/>
        <v>0</v>
      </c>
      <c r="K177" s="151">
        <f t="shared" ca="1" si="27"/>
        <v>0</v>
      </c>
      <c r="L177" s="428">
        <f t="shared" ca="1" si="28"/>
        <v>0</v>
      </c>
      <c r="M177" s="429">
        <f ca="1">IF($A177="S",VTOTALBM,IF($A177=0,0,ROUND(SomaAgrupBM,15-13*ORÇAMENTO!$AF$11)))</f>
        <v>0</v>
      </c>
      <c r="N177" s="430">
        <f t="shared" ca="1" si="29"/>
        <v>0</v>
      </c>
      <c r="O177" s="154">
        <f ca="1">IF($A177="S",VTOTALBM,IF($A177=0,0,ROUND(SomaAgrupBM,15-13*ORÇAMENTO!$AF$11)))</f>
        <v>0</v>
      </c>
      <c r="Q177" s="431"/>
      <c r="R177" s="432"/>
      <c r="T177" s="146" t="str">
        <f t="shared" ca="1" si="30"/>
        <v/>
      </c>
      <c r="U177" s="206" t="str">
        <f t="shared" ca="1" si="31"/>
        <v/>
      </c>
      <c r="V177" s="207" t="str">
        <f t="shared" ca="1" si="32"/>
        <v/>
      </c>
      <c r="W177" s="634">
        <f ca="1">IF($Y177&gt;0,CHOOSE(MATCH(RegimeExecucao,{"Unitário","Global"},0),IF($A177="S",$Y177/$X177,""),($Y177/$X177)*100),0)</f>
        <v>0</v>
      </c>
      <c r="X177" s="433" t="str">
        <f ca="1">IF($Y177&gt;0,CHOOSE(MATCH(RegimeExecucao,{"Unitário","Global"},0),IF($A177="S",ROUND($H177,ORÇAMENTO!$AF$10),""),ROUND($I177,ORÇAMENTO!$AF$11)),"")</f>
        <v/>
      </c>
      <c r="Y177" s="433">
        <f t="shared" ca="1" si="33"/>
        <v>0</v>
      </c>
      <c r="Z177" s="434"/>
      <c r="AB177" s="431"/>
      <c r="AC177" s="599"/>
      <c r="AD177" s="599"/>
      <c r="AE177" s="599"/>
      <c r="AF177" s="599"/>
      <c r="AG177" s="599"/>
      <c r="AH177" s="599"/>
      <c r="AI177" s="599"/>
      <c r="AJ177" s="599"/>
      <c r="AK177" s="599"/>
      <c r="AL177" s="599"/>
      <c r="AM177" s="432"/>
      <c r="AO177">
        <f ca="1">IF($A177="S",IF(BM!$I177=0,0,CHOOSE(MATCH(RegimeExecucao,{"Global","Unitário"},0),ROUND(ROUND(BM.MEDAcumulado,15-13*BM!$A$9)/100*BM!$I177,15-13*ORÇAMENTO!$AF$11),ROUND(ROUND(BM.MEDAcumulado,15-13*BM!$A$9)*ROUND(BM!$H177,15-13*ORÇAMENTO!$AF$10),15-13*ORÇAMENTO!$AF$11))),IF($A177=0,0,ROUND(SomaAgrupBM,15-13*ORÇAMENTO!$AF$11)))</f>
        <v>0</v>
      </c>
    </row>
    <row r="178" spans="1:41" ht="13.8" x14ac:dyDescent="0.3">
      <c r="A178" t="str">
        <f ca="1">ORÇAMENTO!C178</f>
        <v>S</v>
      </c>
      <c r="B178">
        <f ca="1">ORÇAMENTO!D178</f>
        <v>0</v>
      </c>
      <c r="C178" s="143" t="str">
        <f t="shared" ca="1" si="23"/>
        <v/>
      </c>
      <c r="D178" s="146" t="str">
        <f ca="1">ORÇAMENTO!O178</f>
        <v>-</v>
      </c>
      <c r="E178" s="206" t="str">
        <f t="shared" ca="1" si="24"/>
        <v>(abra o arquivo 'Referência 05-2024.xls)</v>
      </c>
      <c r="F178" s="207" t="str">
        <f t="shared" ca="1" si="25"/>
        <v>-</v>
      </c>
      <c r="G178" s="151">
        <f ca="1">IF(RegimeExecucao="Global","",ORÇAMENTO!T178)</f>
        <v>11</v>
      </c>
      <c r="H178" s="151">
        <f ca="1">IF(RegimeExecucao="Global","",ORÇAMENTO!W178)</f>
        <v>0</v>
      </c>
      <c r="I178" s="154">
        <f ca="1">ORÇAMENTO!X178</f>
        <v>0</v>
      </c>
      <c r="J178" s="427">
        <f t="shared" ca="1" si="26"/>
        <v>0</v>
      </c>
      <c r="K178" s="151">
        <f t="shared" ca="1" si="27"/>
        <v>0</v>
      </c>
      <c r="L178" s="428">
        <f t="shared" ca="1" si="28"/>
        <v>0</v>
      </c>
      <c r="M178" s="429">
        <f ca="1">IF($A178="S",VTOTALBM,IF($A178=0,0,ROUND(SomaAgrupBM,15-13*ORÇAMENTO!$AF$11)))</f>
        <v>0</v>
      </c>
      <c r="N178" s="430">
        <f t="shared" ca="1" si="29"/>
        <v>0</v>
      </c>
      <c r="O178" s="154">
        <f ca="1">IF($A178="S",VTOTALBM,IF($A178=0,0,ROUND(SomaAgrupBM,15-13*ORÇAMENTO!$AF$11)))</f>
        <v>0</v>
      </c>
      <c r="Q178" s="431"/>
      <c r="R178" s="432"/>
      <c r="T178" s="146" t="str">
        <f t="shared" ca="1" si="30"/>
        <v/>
      </c>
      <c r="U178" s="206" t="str">
        <f t="shared" ca="1" si="31"/>
        <v/>
      </c>
      <c r="V178" s="207" t="str">
        <f t="shared" ca="1" si="32"/>
        <v/>
      </c>
      <c r="W178" s="634">
        <f ca="1">IF($Y178&gt;0,CHOOSE(MATCH(RegimeExecucao,{"Unitário","Global"},0),IF($A178="S",$Y178/$X178,""),($Y178/$X178)*100),0)</f>
        <v>0</v>
      </c>
      <c r="X178" s="433" t="str">
        <f ca="1">IF($Y178&gt;0,CHOOSE(MATCH(RegimeExecucao,{"Unitário","Global"},0),IF($A178="S",ROUND($H178,ORÇAMENTO!$AF$10),""),ROUND($I178,ORÇAMENTO!$AF$11)),"")</f>
        <v/>
      </c>
      <c r="Y178" s="433">
        <f t="shared" ca="1" si="33"/>
        <v>0</v>
      </c>
      <c r="Z178" s="434"/>
      <c r="AB178" s="431"/>
      <c r="AC178" s="599"/>
      <c r="AD178" s="599"/>
      <c r="AE178" s="599"/>
      <c r="AF178" s="599"/>
      <c r="AG178" s="599"/>
      <c r="AH178" s="599"/>
      <c r="AI178" s="599"/>
      <c r="AJ178" s="599"/>
      <c r="AK178" s="599"/>
      <c r="AL178" s="599"/>
      <c r="AM178" s="432"/>
      <c r="AO178">
        <f ca="1">IF($A178="S",IF(BM!$I178=0,0,CHOOSE(MATCH(RegimeExecucao,{"Global","Unitário"},0),ROUND(ROUND(BM.MEDAcumulado,15-13*BM!$A$9)/100*BM!$I178,15-13*ORÇAMENTO!$AF$11),ROUND(ROUND(BM.MEDAcumulado,15-13*BM!$A$9)*ROUND(BM!$H178,15-13*ORÇAMENTO!$AF$10),15-13*ORÇAMENTO!$AF$11))),IF($A178=0,0,ROUND(SomaAgrupBM,15-13*ORÇAMENTO!$AF$11)))</f>
        <v>0</v>
      </c>
    </row>
    <row r="179" spans="1:41" ht="13.8" x14ac:dyDescent="0.3">
      <c r="A179" t="str">
        <f ca="1">ORÇAMENTO!C179</f>
        <v>S</v>
      </c>
      <c r="B179">
        <f ca="1">ORÇAMENTO!D179</f>
        <v>0</v>
      </c>
      <c r="C179" s="143" t="str">
        <f t="shared" ca="1" si="23"/>
        <v/>
      </c>
      <c r="D179" s="146" t="str">
        <f ca="1">ORÇAMENTO!O179</f>
        <v>-</v>
      </c>
      <c r="E179" s="206" t="str">
        <f t="shared" ca="1" si="24"/>
        <v>(abra o arquivo 'Referência 05-2024.xls)</v>
      </c>
      <c r="F179" s="207" t="str">
        <f t="shared" ca="1" si="25"/>
        <v>-</v>
      </c>
      <c r="G179" s="151">
        <f ca="1">IF(RegimeExecucao="Global","",ORÇAMENTO!T179)</f>
        <v>6</v>
      </c>
      <c r="H179" s="151">
        <f ca="1">IF(RegimeExecucao="Global","",ORÇAMENTO!W179)</f>
        <v>0</v>
      </c>
      <c r="I179" s="154">
        <f ca="1">ORÇAMENTO!X179</f>
        <v>0</v>
      </c>
      <c r="J179" s="427">
        <f t="shared" ca="1" si="26"/>
        <v>0</v>
      </c>
      <c r="K179" s="151">
        <f t="shared" ca="1" si="27"/>
        <v>0</v>
      </c>
      <c r="L179" s="428">
        <f t="shared" ca="1" si="28"/>
        <v>0</v>
      </c>
      <c r="M179" s="429">
        <f ca="1">IF($A179="S",VTOTALBM,IF($A179=0,0,ROUND(SomaAgrupBM,15-13*ORÇAMENTO!$AF$11)))</f>
        <v>0</v>
      </c>
      <c r="N179" s="430">
        <f t="shared" ca="1" si="29"/>
        <v>0</v>
      </c>
      <c r="O179" s="154">
        <f ca="1">IF($A179="S",VTOTALBM,IF($A179=0,0,ROUND(SomaAgrupBM,15-13*ORÇAMENTO!$AF$11)))</f>
        <v>0</v>
      </c>
      <c r="Q179" s="431"/>
      <c r="R179" s="432"/>
      <c r="T179" s="146" t="str">
        <f t="shared" ca="1" si="30"/>
        <v/>
      </c>
      <c r="U179" s="206" t="str">
        <f t="shared" ca="1" si="31"/>
        <v/>
      </c>
      <c r="V179" s="207" t="str">
        <f t="shared" ca="1" si="32"/>
        <v/>
      </c>
      <c r="W179" s="634">
        <f ca="1">IF($Y179&gt;0,CHOOSE(MATCH(RegimeExecucao,{"Unitário","Global"},0),IF($A179="S",$Y179/$X179,""),($Y179/$X179)*100),0)</f>
        <v>0</v>
      </c>
      <c r="X179" s="433" t="str">
        <f ca="1">IF($Y179&gt;0,CHOOSE(MATCH(RegimeExecucao,{"Unitário","Global"},0),IF($A179="S",ROUND($H179,ORÇAMENTO!$AF$10),""),ROUND($I179,ORÇAMENTO!$AF$11)),"")</f>
        <v/>
      </c>
      <c r="Y179" s="433">
        <f t="shared" ca="1" si="33"/>
        <v>0</v>
      </c>
      <c r="Z179" s="434"/>
      <c r="AB179" s="431"/>
      <c r="AC179" s="599"/>
      <c r="AD179" s="599"/>
      <c r="AE179" s="599"/>
      <c r="AF179" s="599"/>
      <c r="AG179" s="599"/>
      <c r="AH179" s="599"/>
      <c r="AI179" s="599"/>
      <c r="AJ179" s="599"/>
      <c r="AK179" s="599"/>
      <c r="AL179" s="599"/>
      <c r="AM179" s="432"/>
      <c r="AO179">
        <f ca="1">IF($A179="S",IF(BM!$I179=0,0,CHOOSE(MATCH(RegimeExecucao,{"Global","Unitário"},0),ROUND(ROUND(BM.MEDAcumulado,15-13*BM!$A$9)/100*BM!$I179,15-13*ORÇAMENTO!$AF$11),ROUND(ROUND(BM.MEDAcumulado,15-13*BM!$A$9)*ROUND(BM!$H179,15-13*ORÇAMENTO!$AF$10),15-13*ORÇAMENTO!$AF$11))),IF($A179=0,0,ROUND(SomaAgrupBM,15-13*ORÇAMENTO!$AF$11)))</f>
        <v>0</v>
      </c>
    </row>
    <row r="180" spans="1:41" ht="13.8" x14ac:dyDescent="0.3">
      <c r="A180" t="str">
        <f ca="1">ORÇAMENTO!C180</f>
        <v>S</v>
      </c>
      <c r="B180">
        <f ca="1">ORÇAMENTO!D180</f>
        <v>0</v>
      </c>
      <c r="C180" s="143" t="str">
        <f t="shared" ca="1" si="23"/>
        <v/>
      </c>
      <c r="D180" s="146" t="str">
        <f ca="1">ORÇAMENTO!O180</f>
        <v>-</v>
      </c>
      <c r="E180" s="206" t="str">
        <f t="shared" ca="1" si="24"/>
        <v>(abra o arquivo 'Referência 05-2024.xls)</v>
      </c>
      <c r="F180" s="207" t="str">
        <f t="shared" ca="1" si="25"/>
        <v>-</v>
      </c>
      <c r="G180" s="151">
        <f ca="1">IF(RegimeExecucao="Global","",ORÇAMENTO!T180)</f>
        <v>6.4</v>
      </c>
      <c r="H180" s="151">
        <f ca="1">IF(RegimeExecucao="Global","",ORÇAMENTO!W180)</f>
        <v>0</v>
      </c>
      <c r="I180" s="154">
        <f ca="1">ORÇAMENTO!X180</f>
        <v>0</v>
      </c>
      <c r="J180" s="427">
        <f t="shared" ca="1" si="26"/>
        <v>0</v>
      </c>
      <c r="K180" s="151">
        <f t="shared" ca="1" si="27"/>
        <v>0</v>
      </c>
      <c r="L180" s="428">
        <f t="shared" ca="1" si="28"/>
        <v>0</v>
      </c>
      <c r="M180" s="429">
        <f ca="1">IF($A180="S",VTOTALBM,IF($A180=0,0,ROUND(SomaAgrupBM,15-13*ORÇAMENTO!$AF$11)))</f>
        <v>0</v>
      </c>
      <c r="N180" s="430">
        <f t="shared" ca="1" si="29"/>
        <v>0</v>
      </c>
      <c r="O180" s="154">
        <f ca="1">IF($A180="S",VTOTALBM,IF($A180=0,0,ROUND(SomaAgrupBM,15-13*ORÇAMENTO!$AF$11)))</f>
        <v>0</v>
      </c>
      <c r="Q180" s="431"/>
      <c r="R180" s="432"/>
      <c r="T180" s="146" t="str">
        <f t="shared" ca="1" si="30"/>
        <v/>
      </c>
      <c r="U180" s="206" t="str">
        <f t="shared" ca="1" si="31"/>
        <v/>
      </c>
      <c r="V180" s="207" t="str">
        <f t="shared" ca="1" si="32"/>
        <v/>
      </c>
      <c r="W180" s="634">
        <f ca="1">IF($Y180&gt;0,CHOOSE(MATCH(RegimeExecucao,{"Unitário","Global"},0),IF($A180="S",$Y180/$X180,""),($Y180/$X180)*100),0)</f>
        <v>0</v>
      </c>
      <c r="X180" s="433" t="str">
        <f ca="1">IF($Y180&gt;0,CHOOSE(MATCH(RegimeExecucao,{"Unitário","Global"},0),IF($A180="S",ROUND($H180,ORÇAMENTO!$AF$10),""),ROUND($I180,ORÇAMENTO!$AF$11)),"")</f>
        <v/>
      </c>
      <c r="Y180" s="433">
        <f t="shared" ca="1" si="33"/>
        <v>0</v>
      </c>
      <c r="Z180" s="434"/>
      <c r="AB180" s="431"/>
      <c r="AC180" s="599"/>
      <c r="AD180" s="599"/>
      <c r="AE180" s="599"/>
      <c r="AF180" s="599"/>
      <c r="AG180" s="599"/>
      <c r="AH180" s="599"/>
      <c r="AI180" s="599"/>
      <c r="AJ180" s="599"/>
      <c r="AK180" s="599"/>
      <c r="AL180" s="599"/>
      <c r="AM180" s="432"/>
      <c r="AO180">
        <f ca="1">IF($A180="S",IF(BM!$I180=0,0,CHOOSE(MATCH(RegimeExecucao,{"Global","Unitário"},0),ROUND(ROUND(BM.MEDAcumulado,15-13*BM!$A$9)/100*BM!$I180,15-13*ORÇAMENTO!$AF$11),ROUND(ROUND(BM.MEDAcumulado,15-13*BM!$A$9)*ROUND(BM!$H180,15-13*ORÇAMENTO!$AF$10),15-13*ORÇAMENTO!$AF$11))),IF($A180=0,0,ROUND(SomaAgrupBM,15-13*ORÇAMENTO!$AF$11)))</f>
        <v>0</v>
      </c>
    </row>
    <row r="181" spans="1:41" ht="13.8" x14ac:dyDescent="0.3">
      <c r="A181">
        <f ca="1">ORÇAMENTO!C181</f>
        <v>3</v>
      </c>
      <c r="B181">
        <f ca="1">ORÇAMENTO!D181</f>
        <v>12</v>
      </c>
      <c r="C181" s="143" t="str">
        <f t="shared" ca="1" si="23"/>
        <v>F</v>
      </c>
      <c r="D181" s="146" t="str">
        <f ca="1">ORÇAMENTO!O181</f>
        <v>1.6.3.</v>
      </c>
      <c r="E181" s="206" t="str">
        <f t="shared" si="24"/>
        <v>PORTAS EM ALUMÍNIO</v>
      </c>
      <c r="F181" s="207" t="str">
        <f t="shared" ca="1" si="25"/>
        <v>-</v>
      </c>
      <c r="G181" s="151">
        <f ca="1">IF(RegimeExecucao="Global","",ORÇAMENTO!T181)</f>
        <v>0</v>
      </c>
      <c r="H181" s="151">
        <f ca="1">IF(RegimeExecucao="Global","",ORÇAMENTO!W181)</f>
        <v>0</v>
      </c>
      <c r="I181" s="154">
        <f ca="1">ORÇAMENTO!X181</f>
        <v>0</v>
      </c>
      <c r="J181" s="427">
        <f t="shared" ca="1" si="26"/>
        <v>0</v>
      </c>
      <c r="K181" s="151">
        <f t="shared" ca="1" si="27"/>
        <v>0</v>
      </c>
      <c r="L181" s="428">
        <f t="shared" ca="1" si="28"/>
        <v>0</v>
      </c>
      <c r="M181" s="429">
        <f ca="1">IF($A181="S",VTOTALBM,IF($A181=0,0,ROUND(SomaAgrupBM,15-13*ORÇAMENTO!$AF$11)))</f>
        <v>0</v>
      </c>
      <c r="N181" s="430">
        <f t="shared" ca="1" si="29"/>
        <v>0</v>
      </c>
      <c r="O181" s="154">
        <f ca="1">IF($A181="S",VTOTALBM,IF($A181=0,0,ROUND(SomaAgrupBM,15-13*ORÇAMENTO!$AF$11)))</f>
        <v>0</v>
      </c>
      <c r="Q181" s="431"/>
      <c r="R181" s="432"/>
      <c r="T181" s="146" t="str">
        <f t="shared" ca="1" si="30"/>
        <v/>
      </c>
      <c r="U181" s="206" t="str">
        <f t="shared" ca="1" si="31"/>
        <v/>
      </c>
      <c r="V181" s="207" t="str">
        <f t="shared" ca="1" si="32"/>
        <v/>
      </c>
      <c r="W181" s="634">
        <f ca="1">IF($Y181&gt;0,CHOOSE(MATCH(RegimeExecucao,{"Unitário","Global"},0),IF($A181="S",$Y181/$X181,""),($Y181/$X181)*100),0)</f>
        <v>0</v>
      </c>
      <c r="X181" s="433" t="str">
        <f ca="1">IF($Y181&gt;0,CHOOSE(MATCH(RegimeExecucao,{"Unitário","Global"},0),IF($A181="S",ROUND($H181,ORÇAMENTO!$AF$10),""),ROUND($I181,ORÇAMENTO!$AF$11)),"")</f>
        <v/>
      </c>
      <c r="Y181" s="433">
        <f t="shared" ca="1" si="33"/>
        <v>0</v>
      </c>
      <c r="Z181" s="434"/>
      <c r="AB181" s="431"/>
      <c r="AC181" s="599"/>
      <c r="AD181" s="599"/>
      <c r="AE181" s="599"/>
      <c r="AF181" s="599"/>
      <c r="AG181" s="599"/>
      <c r="AH181" s="599"/>
      <c r="AI181" s="599"/>
      <c r="AJ181" s="599"/>
      <c r="AK181" s="599"/>
      <c r="AL181" s="599"/>
      <c r="AM181" s="432"/>
      <c r="AO181">
        <f ca="1">IF($A181="S",IF(BM!$I181=0,0,CHOOSE(MATCH(RegimeExecucao,{"Global","Unitário"},0),ROUND(ROUND(BM.MEDAcumulado,15-13*BM!$A$9)/100*BM!$I181,15-13*ORÇAMENTO!$AF$11),ROUND(ROUND(BM.MEDAcumulado,15-13*BM!$A$9)*ROUND(BM!$H181,15-13*ORÇAMENTO!$AF$10),15-13*ORÇAMENTO!$AF$11))),IF($A181=0,0,ROUND(SomaAgrupBM,15-13*ORÇAMENTO!$AF$11)))</f>
        <v>0</v>
      </c>
    </row>
    <row r="182" spans="1:41" ht="13.8" x14ac:dyDescent="0.3">
      <c r="A182" t="str">
        <f ca="1">ORÇAMENTO!C182</f>
        <v>S</v>
      </c>
      <c r="B182">
        <f ca="1">ORÇAMENTO!D182</f>
        <v>0</v>
      </c>
      <c r="C182" s="143" t="str">
        <f t="shared" ca="1" si="23"/>
        <v/>
      </c>
      <c r="D182" s="146" t="str">
        <f ca="1">ORÇAMENTO!O182</f>
        <v>-</v>
      </c>
      <c r="E182" s="206" t="str">
        <f t="shared" ca="1" si="24"/>
        <v>(abra o arquivo 'Referência 05-2024.xls)</v>
      </c>
      <c r="F182" s="207" t="str">
        <f t="shared" ca="1" si="25"/>
        <v>-</v>
      </c>
      <c r="G182" s="151">
        <f ca="1">IF(RegimeExecucao="Global","",ORÇAMENTO!T182)</f>
        <v>2</v>
      </c>
      <c r="H182" s="151">
        <f ca="1">IF(RegimeExecucao="Global","",ORÇAMENTO!W182)</f>
        <v>0</v>
      </c>
      <c r="I182" s="154">
        <f ca="1">ORÇAMENTO!X182</f>
        <v>0</v>
      </c>
      <c r="J182" s="427">
        <f t="shared" ca="1" si="26"/>
        <v>0</v>
      </c>
      <c r="K182" s="151">
        <f t="shared" ca="1" si="27"/>
        <v>0</v>
      </c>
      <c r="L182" s="428">
        <f t="shared" ca="1" si="28"/>
        <v>0</v>
      </c>
      <c r="M182" s="429">
        <f ca="1">IF($A182="S",VTOTALBM,IF($A182=0,0,ROUND(SomaAgrupBM,15-13*ORÇAMENTO!$AF$11)))</f>
        <v>0</v>
      </c>
      <c r="N182" s="430">
        <f t="shared" ca="1" si="29"/>
        <v>0</v>
      </c>
      <c r="O182" s="154">
        <f ca="1">IF($A182="S",VTOTALBM,IF($A182=0,0,ROUND(SomaAgrupBM,15-13*ORÇAMENTO!$AF$11)))</f>
        <v>0</v>
      </c>
      <c r="Q182" s="431"/>
      <c r="R182" s="432"/>
      <c r="T182" s="146" t="str">
        <f t="shared" ca="1" si="30"/>
        <v/>
      </c>
      <c r="U182" s="206" t="str">
        <f t="shared" ca="1" si="31"/>
        <v/>
      </c>
      <c r="V182" s="207" t="str">
        <f t="shared" ca="1" si="32"/>
        <v/>
      </c>
      <c r="W182" s="634">
        <f ca="1">IF($Y182&gt;0,CHOOSE(MATCH(RegimeExecucao,{"Unitário","Global"},0),IF($A182="S",$Y182/$X182,""),($Y182/$X182)*100),0)</f>
        <v>0</v>
      </c>
      <c r="X182" s="433" t="str">
        <f ca="1">IF($Y182&gt;0,CHOOSE(MATCH(RegimeExecucao,{"Unitário","Global"},0),IF($A182="S",ROUND($H182,ORÇAMENTO!$AF$10),""),ROUND($I182,ORÇAMENTO!$AF$11)),"")</f>
        <v/>
      </c>
      <c r="Y182" s="433">
        <f t="shared" ca="1" si="33"/>
        <v>0</v>
      </c>
      <c r="Z182" s="434"/>
      <c r="AB182" s="431"/>
      <c r="AC182" s="599"/>
      <c r="AD182" s="599"/>
      <c r="AE182" s="599"/>
      <c r="AF182" s="599"/>
      <c r="AG182" s="599"/>
      <c r="AH182" s="599"/>
      <c r="AI182" s="599"/>
      <c r="AJ182" s="599"/>
      <c r="AK182" s="599"/>
      <c r="AL182" s="599"/>
      <c r="AM182" s="432"/>
      <c r="AO182">
        <f ca="1">IF($A182="S",IF(BM!$I182=0,0,CHOOSE(MATCH(RegimeExecucao,{"Global","Unitário"},0),ROUND(ROUND(BM.MEDAcumulado,15-13*BM!$A$9)/100*BM!$I182,15-13*ORÇAMENTO!$AF$11),ROUND(ROUND(BM.MEDAcumulado,15-13*BM!$A$9)*ROUND(BM!$H182,15-13*ORÇAMENTO!$AF$10),15-13*ORÇAMENTO!$AF$11))),IF($A182=0,0,ROUND(SomaAgrupBM,15-13*ORÇAMENTO!$AF$11)))</f>
        <v>0</v>
      </c>
    </row>
    <row r="183" spans="1:41" ht="13.8" x14ac:dyDescent="0.3">
      <c r="A183" t="str">
        <f ca="1">ORÇAMENTO!C183</f>
        <v>S</v>
      </c>
      <c r="B183">
        <f ca="1">ORÇAMENTO!D183</f>
        <v>0</v>
      </c>
      <c r="C183" s="143" t="str">
        <f t="shared" ca="1" si="23"/>
        <v/>
      </c>
      <c r="D183" s="146" t="str">
        <f ca="1">ORÇAMENTO!O183</f>
        <v>-</v>
      </c>
      <c r="E183" s="206" t="str">
        <f t="shared" ca="1" si="24"/>
        <v>(abra o arquivo 'Referência 05-2024.xls)</v>
      </c>
      <c r="F183" s="207" t="str">
        <f t="shared" ca="1" si="25"/>
        <v>-</v>
      </c>
      <c r="G183" s="151">
        <f ca="1">IF(RegimeExecucao="Global","",ORÇAMENTO!T183)</f>
        <v>2</v>
      </c>
      <c r="H183" s="151">
        <f ca="1">IF(RegimeExecucao="Global","",ORÇAMENTO!W183)</f>
        <v>0</v>
      </c>
      <c r="I183" s="154">
        <f ca="1">ORÇAMENTO!X183</f>
        <v>0</v>
      </c>
      <c r="J183" s="427">
        <f t="shared" ca="1" si="26"/>
        <v>0</v>
      </c>
      <c r="K183" s="151">
        <f t="shared" ca="1" si="27"/>
        <v>0</v>
      </c>
      <c r="L183" s="428">
        <f t="shared" ca="1" si="28"/>
        <v>0</v>
      </c>
      <c r="M183" s="429">
        <f ca="1">IF($A183="S",VTOTALBM,IF($A183=0,0,ROUND(SomaAgrupBM,15-13*ORÇAMENTO!$AF$11)))</f>
        <v>0</v>
      </c>
      <c r="N183" s="430">
        <f t="shared" ca="1" si="29"/>
        <v>0</v>
      </c>
      <c r="O183" s="154">
        <f ca="1">IF($A183="S",VTOTALBM,IF($A183=0,0,ROUND(SomaAgrupBM,15-13*ORÇAMENTO!$AF$11)))</f>
        <v>0</v>
      </c>
      <c r="Q183" s="431"/>
      <c r="R183" s="432"/>
      <c r="T183" s="146" t="str">
        <f t="shared" ca="1" si="30"/>
        <v/>
      </c>
      <c r="U183" s="206" t="str">
        <f t="shared" ca="1" si="31"/>
        <v/>
      </c>
      <c r="V183" s="207" t="str">
        <f t="shared" ca="1" si="32"/>
        <v/>
      </c>
      <c r="W183" s="634">
        <f ca="1">IF($Y183&gt;0,CHOOSE(MATCH(RegimeExecucao,{"Unitário","Global"},0),IF($A183="S",$Y183/$X183,""),($Y183/$X183)*100),0)</f>
        <v>0</v>
      </c>
      <c r="X183" s="433" t="str">
        <f ca="1">IF($Y183&gt;0,CHOOSE(MATCH(RegimeExecucao,{"Unitário","Global"},0),IF($A183="S",ROUND($H183,ORÇAMENTO!$AF$10),""),ROUND($I183,ORÇAMENTO!$AF$11)),"")</f>
        <v/>
      </c>
      <c r="Y183" s="433">
        <f t="shared" ca="1" si="33"/>
        <v>0</v>
      </c>
      <c r="Z183" s="434"/>
      <c r="AB183" s="431"/>
      <c r="AC183" s="599"/>
      <c r="AD183" s="599"/>
      <c r="AE183" s="599"/>
      <c r="AF183" s="599"/>
      <c r="AG183" s="599"/>
      <c r="AH183" s="599"/>
      <c r="AI183" s="599"/>
      <c r="AJ183" s="599"/>
      <c r="AK183" s="599"/>
      <c r="AL183" s="599"/>
      <c r="AM183" s="432"/>
      <c r="AO183">
        <f ca="1">IF($A183="S",IF(BM!$I183=0,0,CHOOSE(MATCH(RegimeExecucao,{"Global","Unitário"},0),ROUND(ROUND(BM.MEDAcumulado,15-13*BM!$A$9)/100*BM!$I183,15-13*ORÇAMENTO!$AF$11),ROUND(ROUND(BM.MEDAcumulado,15-13*BM!$A$9)*ROUND(BM!$H183,15-13*ORÇAMENTO!$AF$10),15-13*ORÇAMENTO!$AF$11))),IF($A183=0,0,ROUND(SomaAgrupBM,15-13*ORÇAMENTO!$AF$11)))</f>
        <v>0</v>
      </c>
    </row>
    <row r="184" spans="1:41" ht="13.8" x14ac:dyDescent="0.3">
      <c r="A184" t="str">
        <f ca="1">ORÇAMENTO!C184</f>
        <v>S</v>
      </c>
      <c r="B184">
        <f ca="1">ORÇAMENTO!D184</f>
        <v>0</v>
      </c>
      <c r="C184" s="143" t="str">
        <f t="shared" ca="1" si="23"/>
        <v/>
      </c>
      <c r="D184" s="146" t="str">
        <f ca="1">ORÇAMENTO!O184</f>
        <v>-</v>
      </c>
      <c r="E184" s="206" t="str">
        <f t="shared" ca="1" si="24"/>
        <v>(abra o arquivo 'Referência 05-2024.xls)</v>
      </c>
      <c r="F184" s="207" t="str">
        <f t="shared" ca="1" si="25"/>
        <v>-</v>
      </c>
      <c r="G184" s="151">
        <f ca="1">IF(RegimeExecucao="Global","",ORÇAMENTO!T184)</f>
        <v>11.34</v>
      </c>
      <c r="H184" s="151">
        <f ca="1">IF(RegimeExecucao="Global","",ORÇAMENTO!W184)</f>
        <v>0</v>
      </c>
      <c r="I184" s="154">
        <f ca="1">ORÇAMENTO!X184</f>
        <v>0</v>
      </c>
      <c r="J184" s="427">
        <f t="shared" ca="1" si="26"/>
        <v>0</v>
      </c>
      <c r="K184" s="151">
        <f t="shared" ca="1" si="27"/>
        <v>0</v>
      </c>
      <c r="L184" s="428">
        <f t="shared" ca="1" si="28"/>
        <v>0</v>
      </c>
      <c r="M184" s="429">
        <f ca="1">IF($A184="S",VTOTALBM,IF($A184=0,0,ROUND(SomaAgrupBM,15-13*ORÇAMENTO!$AF$11)))</f>
        <v>0</v>
      </c>
      <c r="N184" s="430">
        <f t="shared" ca="1" si="29"/>
        <v>0</v>
      </c>
      <c r="O184" s="154">
        <f ca="1">IF($A184="S",VTOTALBM,IF($A184=0,0,ROUND(SomaAgrupBM,15-13*ORÇAMENTO!$AF$11)))</f>
        <v>0</v>
      </c>
      <c r="Q184" s="431"/>
      <c r="R184" s="432"/>
      <c r="T184" s="146" t="str">
        <f t="shared" ca="1" si="30"/>
        <v/>
      </c>
      <c r="U184" s="206" t="str">
        <f t="shared" ca="1" si="31"/>
        <v/>
      </c>
      <c r="V184" s="207" t="str">
        <f t="shared" ca="1" si="32"/>
        <v/>
      </c>
      <c r="W184" s="634">
        <f ca="1">IF($Y184&gt;0,CHOOSE(MATCH(RegimeExecucao,{"Unitário","Global"},0),IF($A184="S",$Y184/$X184,""),($Y184/$X184)*100),0)</f>
        <v>0</v>
      </c>
      <c r="X184" s="433" t="str">
        <f ca="1">IF($Y184&gt;0,CHOOSE(MATCH(RegimeExecucao,{"Unitário","Global"},0),IF($A184="S",ROUND($H184,ORÇAMENTO!$AF$10),""),ROUND($I184,ORÇAMENTO!$AF$11)),"")</f>
        <v/>
      </c>
      <c r="Y184" s="433">
        <f t="shared" ca="1" si="33"/>
        <v>0</v>
      </c>
      <c r="Z184" s="434"/>
      <c r="AB184" s="431"/>
      <c r="AC184" s="599"/>
      <c r="AD184" s="599"/>
      <c r="AE184" s="599"/>
      <c r="AF184" s="599"/>
      <c r="AG184" s="599"/>
      <c r="AH184" s="599"/>
      <c r="AI184" s="599"/>
      <c r="AJ184" s="599"/>
      <c r="AK184" s="599"/>
      <c r="AL184" s="599"/>
      <c r="AM184" s="432"/>
      <c r="AO184">
        <f ca="1">IF($A184="S",IF(BM!$I184=0,0,CHOOSE(MATCH(RegimeExecucao,{"Global","Unitário"},0),ROUND(ROUND(BM.MEDAcumulado,15-13*BM!$A$9)/100*BM!$I184,15-13*ORÇAMENTO!$AF$11),ROUND(ROUND(BM.MEDAcumulado,15-13*BM!$A$9)*ROUND(BM!$H184,15-13*ORÇAMENTO!$AF$10),15-13*ORÇAMENTO!$AF$11))),IF($A184=0,0,ROUND(SomaAgrupBM,15-13*ORÇAMENTO!$AF$11)))</f>
        <v>0</v>
      </c>
    </row>
    <row r="185" spans="1:41" ht="13.8" x14ac:dyDescent="0.3">
      <c r="A185" t="str">
        <f ca="1">ORÇAMENTO!C185</f>
        <v>S</v>
      </c>
      <c r="B185">
        <f ca="1">ORÇAMENTO!D185</f>
        <v>0</v>
      </c>
      <c r="C185" s="143" t="str">
        <f t="shared" ca="1" si="23"/>
        <v/>
      </c>
      <c r="D185" s="146" t="str">
        <f ca="1">ORÇAMENTO!O185</f>
        <v>-</v>
      </c>
      <c r="E185" s="206" t="str">
        <f t="shared" ca="1" si="24"/>
        <v>(abra o arquivo 'Referência 05-2024.xls)</v>
      </c>
      <c r="F185" s="207" t="str">
        <f t="shared" ca="1" si="25"/>
        <v>-</v>
      </c>
      <c r="G185" s="151">
        <f ca="1">IF(RegimeExecucao="Global","",ORÇAMENTO!T185)</f>
        <v>6.6</v>
      </c>
      <c r="H185" s="151">
        <f ca="1">IF(RegimeExecucao="Global","",ORÇAMENTO!W185)</f>
        <v>0</v>
      </c>
      <c r="I185" s="154">
        <f ca="1">ORÇAMENTO!X185</f>
        <v>0</v>
      </c>
      <c r="J185" s="427">
        <f t="shared" ca="1" si="26"/>
        <v>0</v>
      </c>
      <c r="K185" s="151">
        <f t="shared" ca="1" si="27"/>
        <v>0</v>
      </c>
      <c r="L185" s="428">
        <f t="shared" ca="1" si="28"/>
        <v>0</v>
      </c>
      <c r="M185" s="429">
        <f ca="1">IF($A185="S",VTOTALBM,IF($A185=0,0,ROUND(SomaAgrupBM,15-13*ORÇAMENTO!$AF$11)))</f>
        <v>0</v>
      </c>
      <c r="N185" s="430">
        <f t="shared" ca="1" si="29"/>
        <v>0</v>
      </c>
      <c r="O185" s="154">
        <f ca="1">IF($A185="S",VTOTALBM,IF($A185=0,0,ROUND(SomaAgrupBM,15-13*ORÇAMENTO!$AF$11)))</f>
        <v>0</v>
      </c>
      <c r="Q185" s="431"/>
      <c r="R185" s="432"/>
      <c r="T185" s="146" t="str">
        <f t="shared" ca="1" si="30"/>
        <v/>
      </c>
      <c r="U185" s="206" t="str">
        <f t="shared" ca="1" si="31"/>
        <v/>
      </c>
      <c r="V185" s="207" t="str">
        <f t="shared" ca="1" si="32"/>
        <v/>
      </c>
      <c r="W185" s="634">
        <f ca="1">IF($Y185&gt;0,CHOOSE(MATCH(RegimeExecucao,{"Unitário","Global"},0),IF($A185="S",$Y185/$X185,""),($Y185/$X185)*100),0)</f>
        <v>0</v>
      </c>
      <c r="X185" s="433" t="str">
        <f ca="1">IF($Y185&gt;0,CHOOSE(MATCH(RegimeExecucao,{"Unitário","Global"},0),IF($A185="S",ROUND($H185,ORÇAMENTO!$AF$10),""),ROUND($I185,ORÇAMENTO!$AF$11)),"")</f>
        <v/>
      </c>
      <c r="Y185" s="433">
        <f t="shared" ca="1" si="33"/>
        <v>0</v>
      </c>
      <c r="Z185" s="434"/>
      <c r="AB185" s="431"/>
      <c r="AC185" s="599"/>
      <c r="AD185" s="599"/>
      <c r="AE185" s="599"/>
      <c r="AF185" s="599"/>
      <c r="AG185" s="599"/>
      <c r="AH185" s="599"/>
      <c r="AI185" s="599"/>
      <c r="AJ185" s="599"/>
      <c r="AK185" s="599"/>
      <c r="AL185" s="599"/>
      <c r="AM185" s="432"/>
      <c r="AO185">
        <f ca="1">IF($A185="S",IF(BM!$I185=0,0,CHOOSE(MATCH(RegimeExecucao,{"Global","Unitário"},0),ROUND(ROUND(BM.MEDAcumulado,15-13*BM!$A$9)/100*BM!$I185,15-13*ORÇAMENTO!$AF$11),ROUND(ROUND(BM.MEDAcumulado,15-13*BM!$A$9)*ROUND(BM!$H185,15-13*ORÇAMENTO!$AF$10),15-13*ORÇAMENTO!$AF$11))),IF($A185=0,0,ROUND(SomaAgrupBM,15-13*ORÇAMENTO!$AF$11)))</f>
        <v>0</v>
      </c>
    </row>
    <row r="186" spans="1:41" ht="13.8" x14ac:dyDescent="0.3">
      <c r="A186" t="str">
        <f ca="1">ORÇAMENTO!C186</f>
        <v>S</v>
      </c>
      <c r="B186">
        <f ca="1">ORÇAMENTO!D186</f>
        <v>0</v>
      </c>
      <c r="C186" s="143" t="str">
        <f t="shared" ca="1" si="23"/>
        <v/>
      </c>
      <c r="D186" s="146" t="str">
        <f ca="1">ORÇAMENTO!O186</f>
        <v>-</v>
      </c>
      <c r="E186" s="206" t="str">
        <f t="shared" ca="1" si="24"/>
        <v>(abra o arquivo 'Referência 05-2024.xls)</v>
      </c>
      <c r="F186" s="207" t="str">
        <f t="shared" ca="1" si="25"/>
        <v>-</v>
      </c>
      <c r="G186" s="151">
        <f ca="1">IF(RegimeExecucao="Global","",ORÇAMENTO!T186)</f>
        <v>6.93</v>
      </c>
      <c r="H186" s="151">
        <f ca="1">IF(RegimeExecucao="Global","",ORÇAMENTO!W186)</f>
        <v>0</v>
      </c>
      <c r="I186" s="154">
        <f ca="1">ORÇAMENTO!X186</f>
        <v>0</v>
      </c>
      <c r="J186" s="427">
        <f t="shared" ca="1" si="26"/>
        <v>0</v>
      </c>
      <c r="K186" s="151">
        <f t="shared" ca="1" si="27"/>
        <v>0</v>
      </c>
      <c r="L186" s="428">
        <f t="shared" ca="1" si="28"/>
        <v>0</v>
      </c>
      <c r="M186" s="429">
        <f ca="1">IF($A186="S",VTOTALBM,IF($A186=0,0,ROUND(SomaAgrupBM,15-13*ORÇAMENTO!$AF$11)))</f>
        <v>0</v>
      </c>
      <c r="N186" s="430">
        <f t="shared" ca="1" si="29"/>
        <v>0</v>
      </c>
      <c r="O186" s="154">
        <f ca="1">IF($A186="S",VTOTALBM,IF($A186=0,0,ROUND(SomaAgrupBM,15-13*ORÇAMENTO!$AF$11)))</f>
        <v>0</v>
      </c>
      <c r="Q186" s="431"/>
      <c r="R186" s="432"/>
      <c r="T186" s="146" t="str">
        <f t="shared" ca="1" si="30"/>
        <v/>
      </c>
      <c r="U186" s="206" t="str">
        <f t="shared" ca="1" si="31"/>
        <v/>
      </c>
      <c r="V186" s="207" t="str">
        <f t="shared" ca="1" si="32"/>
        <v/>
      </c>
      <c r="W186" s="634">
        <f ca="1">IF($Y186&gt;0,CHOOSE(MATCH(RegimeExecucao,{"Unitário","Global"},0),IF($A186="S",$Y186/$X186,""),($Y186/$X186)*100),0)</f>
        <v>0</v>
      </c>
      <c r="X186" s="433" t="str">
        <f ca="1">IF($Y186&gt;0,CHOOSE(MATCH(RegimeExecucao,{"Unitário","Global"},0),IF($A186="S",ROUND($H186,ORÇAMENTO!$AF$10),""),ROUND($I186,ORÇAMENTO!$AF$11)),"")</f>
        <v/>
      </c>
      <c r="Y186" s="433">
        <f t="shared" ca="1" si="33"/>
        <v>0</v>
      </c>
      <c r="Z186" s="434"/>
      <c r="AB186" s="431"/>
      <c r="AC186" s="599"/>
      <c r="AD186" s="599"/>
      <c r="AE186" s="599"/>
      <c r="AF186" s="599"/>
      <c r="AG186" s="599"/>
      <c r="AH186" s="599"/>
      <c r="AI186" s="599"/>
      <c r="AJ186" s="599"/>
      <c r="AK186" s="599"/>
      <c r="AL186" s="599"/>
      <c r="AM186" s="432"/>
      <c r="AO186">
        <f ca="1">IF($A186="S",IF(BM!$I186=0,0,CHOOSE(MATCH(RegimeExecucao,{"Global","Unitário"},0),ROUND(ROUND(BM.MEDAcumulado,15-13*BM!$A$9)/100*BM!$I186,15-13*ORÇAMENTO!$AF$11),ROUND(ROUND(BM.MEDAcumulado,15-13*BM!$A$9)*ROUND(BM!$H186,15-13*ORÇAMENTO!$AF$10),15-13*ORÇAMENTO!$AF$11))),IF($A186=0,0,ROUND(SomaAgrupBM,15-13*ORÇAMENTO!$AF$11)))</f>
        <v>0</v>
      </c>
    </row>
    <row r="187" spans="1:41" ht="13.8" x14ac:dyDescent="0.3">
      <c r="A187" t="str">
        <f ca="1">ORÇAMENTO!C187</f>
        <v>S</v>
      </c>
      <c r="B187">
        <f ca="1">ORÇAMENTO!D187</f>
        <v>0</v>
      </c>
      <c r="C187" s="143" t="str">
        <f t="shared" ca="1" si="23"/>
        <v/>
      </c>
      <c r="D187" s="146" t="str">
        <f ca="1">ORÇAMENTO!O187</f>
        <v>-</v>
      </c>
      <c r="E187" s="206" t="str">
        <f t="shared" ca="1" si="24"/>
        <v>(abra o arquivo 'Referência 05-2024.xls)</v>
      </c>
      <c r="F187" s="207" t="str">
        <f t="shared" ca="1" si="25"/>
        <v>-</v>
      </c>
      <c r="G187" s="151">
        <f ca="1">IF(RegimeExecucao="Global","",ORÇAMENTO!T187)</f>
        <v>38.76</v>
      </c>
      <c r="H187" s="151">
        <f ca="1">IF(RegimeExecucao="Global","",ORÇAMENTO!W187)</f>
        <v>0</v>
      </c>
      <c r="I187" s="154">
        <f ca="1">ORÇAMENTO!X187</f>
        <v>0</v>
      </c>
      <c r="J187" s="427">
        <f t="shared" ca="1" si="26"/>
        <v>0</v>
      </c>
      <c r="K187" s="151">
        <f t="shared" ca="1" si="27"/>
        <v>0</v>
      </c>
      <c r="L187" s="428">
        <f t="shared" ca="1" si="28"/>
        <v>0</v>
      </c>
      <c r="M187" s="429">
        <f ca="1">IF($A187="S",VTOTALBM,IF($A187=0,0,ROUND(SomaAgrupBM,15-13*ORÇAMENTO!$AF$11)))</f>
        <v>0</v>
      </c>
      <c r="N187" s="430">
        <f t="shared" ca="1" si="29"/>
        <v>0</v>
      </c>
      <c r="O187" s="154">
        <f ca="1">IF($A187="S",VTOTALBM,IF($A187=0,0,ROUND(SomaAgrupBM,15-13*ORÇAMENTO!$AF$11)))</f>
        <v>0</v>
      </c>
      <c r="Q187" s="431"/>
      <c r="R187" s="432"/>
      <c r="T187" s="146" t="str">
        <f t="shared" ca="1" si="30"/>
        <v/>
      </c>
      <c r="U187" s="206" t="str">
        <f t="shared" ca="1" si="31"/>
        <v/>
      </c>
      <c r="V187" s="207" t="str">
        <f t="shared" ca="1" si="32"/>
        <v/>
      </c>
      <c r="W187" s="634">
        <f ca="1">IF($Y187&gt;0,CHOOSE(MATCH(RegimeExecucao,{"Unitário","Global"},0),IF($A187="S",$Y187/$X187,""),($Y187/$X187)*100),0)</f>
        <v>0</v>
      </c>
      <c r="X187" s="433" t="str">
        <f ca="1">IF($Y187&gt;0,CHOOSE(MATCH(RegimeExecucao,{"Unitário","Global"},0),IF($A187="S",ROUND($H187,ORÇAMENTO!$AF$10),""),ROUND($I187,ORÇAMENTO!$AF$11)),"")</f>
        <v/>
      </c>
      <c r="Y187" s="433">
        <f t="shared" ca="1" si="33"/>
        <v>0</v>
      </c>
      <c r="Z187" s="434"/>
      <c r="AB187" s="431"/>
      <c r="AC187" s="599"/>
      <c r="AD187" s="599"/>
      <c r="AE187" s="599"/>
      <c r="AF187" s="599"/>
      <c r="AG187" s="599"/>
      <c r="AH187" s="599"/>
      <c r="AI187" s="599"/>
      <c r="AJ187" s="599"/>
      <c r="AK187" s="599"/>
      <c r="AL187" s="599"/>
      <c r="AM187" s="432"/>
      <c r="AO187">
        <f ca="1">IF($A187="S",IF(BM!$I187=0,0,CHOOSE(MATCH(RegimeExecucao,{"Global","Unitário"},0),ROUND(ROUND(BM.MEDAcumulado,15-13*BM!$A$9)/100*BM!$I187,15-13*ORÇAMENTO!$AF$11),ROUND(ROUND(BM.MEDAcumulado,15-13*BM!$A$9)*ROUND(BM!$H187,15-13*ORÇAMENTO!$AF$10),15-13*ORÇAMENTO!$AF$11))),IF($A187=0,0,ROUND(SomaAgrupBM,15-13*ORÇAMENTO!$AF$11)))</f>
        <v>0</v>
      </c>
    </row>
    <row r="188" spans="1:41" ht="13.8" x14ac:dyDescent="0.3">
      <c r="A188" t="str">
        <f ca="1">ORÇAMENTO!C188</f>
        <v>S</v>
      </c>
      <c r="B188">
        <f ca="1">ORÇAMENTO!D188</f>
        <v>0</v>
      </c>
      <c r="C188" s="143" t="str">
        <f t="shared" ca="1" si="23"/>
        <v/>
      </c>
      <c r="D188" s="146" t="str">
        <f ca="1">ORÇAMENTO!O188</f>
        <v>-</v>
      </c>
      <c r="E188" s="206" t="str">
        <f t="shared" ca="1" si="24"/>
        <v>(abra o arquivo 'Referência 05-2024.xls)</v>
      </c>
      <c r="F188" s="207" t="str">
        <f t="shared" ca="1" si="25"/>
        <v>-</v>
      </c>
      <c r="G188" s="151">
        <f ca="1">IF(RegimeExecucao="Global","",ORÇAMENTO!T188)</f>
        <v>35.909999999999997</v>
      </c>
      <c r="H188" s="151">
        <f ca="1">IF(RegimeExecucao="Global","",ORÇAMENTO!W188)</f>
        <v>0</v>
      </c>
      <c r="I188" s="154">
        <f ca="1">ORÇAMENTO!X188</f>
        <v>0</v>
      </c>
      <c r="J188" s="427">
        <f t="shared" ca="1" si="26"/>
        <v>0</v>
      </c>
      <c r="K188" s="151">
        <f t="shared" ca="1" si="27"/>
        <v>0</v>
      </c>
      <c r="L188" s="428">
        <f t="shared" ca="1" si="28"/>
        <v>0</v>
      </c>
      <c r="M188" s="429">
        <f ca="1">IF($A188="S",VTOTALBM,IF($A188=0,0,ROUND(SomaAgrupBM,15-13*ORÇAMENTO!$AF$11)))</f>
        <v>0</v>
      </c>
      <c r="N188" s="430">
        <f t="shared" ca="1" si="29"/>
        <v>0</v>
      </c>
      <c r="O188" s="154">
        <f ca="1">IF($A188="S",VTOTALBM,IF($A188=0,0,ROUND(SomaAgrupBM,15-13*ORÇAMENTO!$AF$11)))</f>
        <v>0</v>
      </c>
      <c r="Q188" s="431"/>
      <c r="R188" s="432"/>
      <c r="T188" s="146" t="str">
        <f t="shared" ca="1" si="30"/>
        <v/>
      </c>
      <c r="U188" s="206" t="str">
        <f t="shared" ca="1" si="31"/>
        <v/>
      </c>
      <c r="V188" s="207" t="str">
        <f t="shared" ca="1" si="32"/>
        <v/>
      </c>
      <c r="W188" s="634">
        <f ca="1">IF($Y188&gt;0,CHOOSE(MATCH(RegimeExecucao,{"Unitário","Global"},0),IF($A188="S",$Y188/$X188,""),($Y188/$X188)*100),0)</f>
        <v>0</v>
      </c>
      <c r="X188" s="433" t="str">
        <f ca="1">IF($Y188&gt;0,CHOOSE(MATCH(RegimeExecucao,{"Unitário","Global"},0),IF($A188="S",ROUND($H188,ORÇAMENTO!$AF$10),""),ROUND($I188,ORÇAMENTO!$AF$11)),"")</f>
        <v/>
      </c>
      <c r="Y188" s="433">
        <f t="shared" ca="1" si="33"/>
        <v>0</v>
      </c>
      <c r="Z188" s="434"/>
      <c r="AB188" s="431"/>
      <c r="AC188" s="599"/>
      <c r="AD188" s="599"/>
      <c r="AE188" s="599"/>
      <c r="AF188" s="599"/>
      <c r="AG188" s="599"/>
      <c r="AH188" s="599"/>
      <c r="AI188" s="599"/>
      <c r="AJ188" s="599"/>
      <c r="AK188" s="599"/>
      <c r="AL188" s="599"/>
      <c r="AM188" s="432"/>
      <c r="AO188">
        <f ca="1">IF($A188="S",IF(BM!$I188=0,0,CHOOSE(MATCH(RegimeExecucao,{"Global","Unitário"},0),ROUND(ROUND(BM.MEDAcumulado,15-13*BM!$A$9)/100*BM!$I188,15-13*ORÇAMENTO!$AF$11),ROUND(ROUND(BM.MEDAcumulado,15-13*BM!$A$9)*ROUND(BM!$H188,15-13*ORÇAMENTO!$AF$10),15-13*ORÇAMENTO!$AF$11))),IF($A188=0,0,ROUND(SomaAgrupBM,15-13*ORÇAMENTO!$AF$11)))</f>
        <v>0</v>
      </c>
    </row>
    <row r="189" spans="1:41" ht="13.8" x14ac:dyDescent="0.3">
      <c r="A189" t="str">
        <f ca="1">ORÇAMENTO!C189</f>
        <v>S</v>
      </c>
      <c r="B189">
        <f ca="1">ORÇAMENTO!D189</f>
        <v>0</v>
      </c>
      <c r="C189" s="143" t="str">
        <f t="shared" ca="1" si="23"/>
        <v/>
      </c>
      <c r="D189" s="146" t="str">
        <f ca="1">ORÇAMENTO!O189</f>
        <v>-</v>
      </c>
      <c r="E189" s="206" t="str">
        <f t="shared" ca="1" si="24"/>
        <v>(abra o arquivo 'Referência 05-2024.xls)</v>
      </c>
      <c r="F189" s="207" t="str">
        <f t="shared" ca="1" si="25"/>
        <v>-</v>
      </c>
      <c r="G189" s="151">
        <f ca="1">IF(RegimeExecucao="Global","",ORÇAMENTO!T189)</f>
        <v>5.99</v>
      </c>
      <c r="H189" s="151">
        <f ca="1">IF(RegimeExecucao="Global","",ORÇAMENTO!W189)</f>
        <v>0</v>
      </c>
      <c r="I189" s="154">
        <f ca="1">ORÇAMENTO!X189</f>
        <v>0</v>
      </c>
      <c r="J189" s="427">
        <f t="shared" ca="1" si="26"/>
        <v>0</v>
      </c>
      <c r="K189" s="151">
        <f t="shared" ca="1" si="27"/>
        <v>0</v>
      </c>
      <c r="L189" s="428">
        <f t="shared" ca="1" si="28"/>
        <v>0</v>
      </c>
      <c r="M189" s="429">
        <f ca="1">IF($A189="S",VTOTALBM,IF($A189=0,0,ROUND(SomaAgrupBM,15-13*ORÇAMENTO!$AF$11)))</f>
        <v>0</v>
      </c>
      <c r="N189" s="430">
        <f t="shared" ca="1" si="29"/>
        <v>0</v>
      </c>
      <c r="O189" s="154">
        <f ca="1">IF($A189="S",VTOTALBM,IF($A189=0,0,ROUND(SomaAgrupBM,15-13*ORÇAMENTO!$AF$11)))</f>
        <v>0</v>
      </c>
      <c r="Q189" s="431"/>
      <c r="R189" s="432"/>
      <c r="T189" s="146" t="str">
        <f t="shared" ca="1" si="30"/>
        <v/>
      </c>
      <c r="U189" s="206" t="str">
        <f t="shared" ca="1" si="31"/>
        <v/>
      </c>
      <c r="V189" s="207" t="str">
        <f t="shared" ca="1" si="32"/>
        <v/>
      </c>
      <c r="W189" s="634">
        <f ca="1">IF($Y189&gt;0,CHOOSE(MATCH(RegimeExecucao,{"Unitário","Global"},0),IF($A189="S",$Y189/$X189,""),($Y189/$X189)*100),0)</f>
        <v>0</v>
      </c>
      <c r="X189" s="433" t="str">
        <f ca="1">IF($Y189&gt;0,CHOOSE(MATCH(RegimeExecucao,{"Unitário","Global"},0),IF($A189="S",ROUND($H189,ORÇAMENTO!$AF$10),""),ROUND($I189,ORÇAMENTO!$AF$11)),"")</f>
        <v/>
      </c>
      <c r="Y189" s="433">
        <f t="shared" ca="1" si="33"/>
        <v>0</v>
      </c>
      <c r="Z189" s="434"/>
      <c r="AB189" s="431"/>
      <c r="AC189" s="599"/>
      <c r="AD189" s="599"/>
      <c r="AE189" s="599"/>
      <c r="AF189" s="599"/>
      <c r="AG189" s="599"/>
      <c r="AH189" s="599"/>
      <c r="AI189" s="599"/>
      <c r="AJ189" s="599"/>
      <c r="AK189" s="599"/>
      <c r="AL189" s="599"/>
      <c r="AM189" s="432"/>
      <c r="AO189">
        <f ca="1">IF($A189="S",IF(BM!$I189=0,0,CHOOSE(MATCH(RegimeExecucao,{"Global","Unitário"},0),ROUND(ROUND(BM.MEDAcumulado,15-13*BM!$A$9)/100*BM!$I189,15-13*ORÇAMENTO!$AF$11),ROUND(ROUND(BM.MEDAcumulado,15-13*BM!$A$9)*ROUND(BM!$H189,15-13*ORÇAMENTO!$AF$10),15-13*ORÇAMENTO!$AF$11))),IF($A189=0,0,ROUND(SomaAgrupBM,15-13*ORÇAMENTO!$AF$11)))</f>
        <v>0</v>
      </c>
    </row>
    <row r="190" spans="1:41" ht="13.8" x14ac:dyDescent="0.3">
      <c r="A190" t="str">
        <f ca="1">ORÇAMENTO!C190</f>
        <v>S</v>
      </c>
      <c r="B190">
        <f ca="1">ORÇAMENTO!D190</f>
        <v>0</v>
      </c>
      <c r="C190" s="143" t="str">
        <f t="shared" ca="1" si="23"/>
        <v/>
      </c>
      <c r="D190" s="146" t="str">
        <f ca="1">ORÇAMENTO!O190</f>
        <v>-</v>
      </c>
      <c r="E190" s="206" t="str">
        <f t="shared" ca="1" si="24"/>
        <v>(abra o arquivo 'Referência 05-2024.xls)</v>
      </c>
      <c r="F190" s="207" t="str">
        <f t="shared" ca="1" si="25"/>
        <v>-</v>
      </c>
      <c r="G190" s="151">
        <f ca="1">IF(RegimeExecucao="Global","",ORÇAMENTO!T190)</f>
        <v>3.3</v>
      </c>
      <c r="H190" s="151">
        <f ca="1">IF(RegimeExecucao="Global","",ORÇAMENTO!W190)</f>
        <v>0</v>
      </c>
      <c r="I190" s="154">
        <f ca="1">ORÇAMENTO!X190</f>
        <v>0</v>
      </c>
      <c r="J190" s="427">
        <f t="shared" ca="1" si="26"/>
        <v>0</v>
      </c>
      <c r="K190" s="151">
        <f t="shared" ca="1" si="27"/>
        <v>0</v>
      </c>
      <c r="L190" s="428">
        <f t="shared" ca="1" si="28"/>
        <v>0</v>
      </c>
      <c r="M190" s="429">
        <f ca="1">IF($A190="S",VTOTALBM,IF($A190=0,0,ROUND(SomaAgrupBM,15-13*ORÇAMENTO!$AF$11)))</f>
        <v>0</v>
      </c>
      <c r="N190" s="430">
        <f t="shared" ca="1" si="29"/>
        <v>0</v>
      </c>
      <c r="O190" s="154">
        <f ca="1">IF($A190="S",VTOTALBM,IF($A190=0,0,ROUND(SomaAgrupBM,15-13*ORÇAMENTO!$AF$11)))</f>
        <v>0</v>
      </c>
      <c r="Q190" s="431"/>
      <c r="R190" s="432"/>
      <c r="T190" s="146" t="str">
        <f t="shared" ca="1" si="30"/>
        <v/>
      </c>
      <c r="U190" s="206" t="str">
        <f t="shared" ca="1" si="31"/>
        <v/>
      </c>
      <c r="V190" s="207" t="str">
        <f t="shared" ca="1" si="32"/>
        <v/>
      </c>
      <c r="W190" s="634">
        <f ca="1">IF($Y190&gt;0,CHOOSE(MATCH(RegimeExecucao,{"Unitário","Global"},0),IF($A190="S",$Y190/$X190,""),($Y190/$X190)*100),0)</f>
        <v>0</v>
      </c>
      <c r="X190" s="433" t="str">
        <f ca="1">IF($Y190&gt;0,CHOOSE(MATCH(RegimeExecucao,{"Unitário","Global"},0),IF($A190="S",ROUND($H190,ORÇAMENTO!$AF$10),""),ROUND($I190,ORÇAMENTO!$AF$11)),"")</f>
        <v/>
      </c>
      <c r="Y190" s="433">
        <f t="shared" ca="1" si="33"/>
        <v>0</v>
      </c>
      <c r="Z190" s="434"/>
      <c r="AB190" s="431"/>
      <c r="AC190" s="599"/>
      <c r="AD190" s="599"/>
      <c r="AE190" s="599"/>
      <c r="AF190" s="599"/>
      <c r="AG190" s="599"/>
      <c r="AH190" s="599"/>
      <c r="AI190" s="599"/>
      <c r="AJ190" s="599"/>
      <c r="AK190" s="599"/>
      <c r="AL190" s="599"/>
      <c r="AM190" s="432"/>
      <c r="AO190">
        <f ca="1">IF($A190="S",IF(BM!$I190=0,0,CHOOSE(MATCH(RegimeExecucao,{"Global","Unitário"},0),ROUND(ROUND(BM.MEDAcumulado,15-13*BM!$A$9)/100*BM!$I190,15-13*ORÇAMENTO!$AF$11),ROUND(ROUND(BM.MEDAcumulado,15-13*BM!$A$9)*ROUND(BM!$H190,15-13*ORÇAMENTO!$AF$10),15-13*ORÇAMENTO!$AF$11))),IF($A190=0,0,ROUND(SomaAgrupBM,15-13*ORÇAMENTO!$AF$11)))</f>
        <v>0</v>
      </c>
    </row>
    <row r="191" spans="1:41" ht="13.8" x14ac:dyDescent="0.3">
      <c r="A191" t="str">
        <f ca="1">ORÇAMENTO!C191</f>
        <v>S</v>
      </c>
      <c r="B191">
        <f ca="1">ORÇAMENTO!D191</f>
        <v>0</v>
      </c>
      <c r="C191" s="143" t="str">
        <f t="shared" ca="1" si="23"/>
        <v/>
      </c>
      <c r="D191" s="146" t="str">
        <f ca="1">ORÇAMENTO!O191</f>
        <v>-</v>
      </c>
      <c r="E191" s="206" t="str">
        <f t="shared" ca="1" si="24"/>
        <v>(abra o arquivo 'Referência 05-2024.xls)</v>
      </c>
      <c r="F191" s="207" t="str">
        <f t="shared" ca="1" si="25"/>
        <v>-</v>
      </c>
      <c r="G191" s="151">
        <f ca="1">IF(RegimeExecucao="Global","",ORÇAMENTO!T191)</f>
        <v>5.52</v>
      </c>
      <c r="H191" s="151">
        <f ca="1">IF(RegimeExecucao="Global","",ORÇAMENTO!W191)</f>
        <v>0</v>
      </c>
      <c r="I191" s="154">
        <f ca="1">ORÇAMENTO!X191</f>
        <v>0</v>
      </c>
      <c r="J191" s="427">
        <f t="shared" ca="1" si="26"/>
        <v>0</v>
      </c>
      <c r="K191" s="151">
        <f t="shared" ca="1" si="27"/>
        <v>0</v>
      </c>
      <c r="L191" s="428">
        <f t="shared" ca="1" si="28"/>
        <v>0</v>
      </c>
      <c r="M191" s="429">
        <f ca="1">IF($A191="S",VTOTALBM,IF($A191=0,0,ROUND(SomaAgrupBM,15-13*ORÇAMENTO!$AF$11)))</f>
        <v>0</v>
      </c>
      <c r="N191" s="430">
        <f t="shared" ca="1" si="29"/>
        <v>0</v>
      </c>
      <c r="O191" s="154">
        <f ca="1">IF($A191="S",VTOTALBM,IF($A191=0,0,ROUND(SomaAgrupBM,15-13*ORÇAMENTO!$AF$11)))</f>
        <v>0</v>
      </c>
      <c r="Q191" s="431"/>
      <c r="R191" s="432"/>
      <c r="T191" s="146" t="str">
        <f t="shared" ca="1" si="30"/>
        <v/>
      </c>
      <c r="U191" s="206" t="str">
        <f t="shared" ca="1" si="31"/>
        <v/>
      </c>
      <c r="V191" s="207" t="str">
        <f t="shared" ca="1" si="32"/>
        <v/>
      </c>
      <c r="W191" s="634">
        <f ca="1">IF($Y191&gt;0,CHOOSE(MATCH(RegimeExecucao,{"Unitário","Global"},0),IF($A191="S",$Y191/$X191,""),($Y191/$X191)*100),0)</f>
        <v>0</v>
      </c>
      <c r="X191" s="433" t="str">
        <f ca="1">IF($Y191&gt;0,CHOOSE(MATCH(RegimeExecucao,{"Unitário","Global"},0),IF($A191="S",ROUND($H191,ORÇAMENTO!$AF$10),""),ROUND($I191,ORÇAMENTO!$AF$11)),"")</f>
        <v/>
      </c>
      <c r="Y191" s="433">
        <f t="shared" ca="1" si="33"/>
        <v>0</v>
      </c>
      <c r="Z191" s="434"/>
      <c r="AB191" s="431"/>
      <c r="AC191" s="599"/>
      <c r="AD191" s="599"/>
      <c r="AE191" s="599"/>
      <c r="AF191" s="599"/>
      <c r="AG191" s="599"/>
      <c r="AH191" s="599"/>
      <c r="AI191" s="599"/>
      <c r="AJ191" s="599"/>
      <c r="AK191" s="599"/>
      <c r="AL191" s="599"/>
      <c r="AM191" s="432"/>
      <c r="AO191">
        <f ca="1">IF($A191="S",IF(BM!$I191=0,0,CHOOSE(MATCH(RegimeExecucao,{"Global","Unitário"},0),ROUND(ROUND(BM.MEDAcumulado,15-13*BM!$A$9)/100*BM!$I191,15-13*ORÇAMENTO!$AF$11),ROUND(ROUND(BM.MEDAcumulado,15-13*BM!$A$9)*ROUND(BM!$H191,15-13*ORÇAMENTO!$AF$10),15-13*ORÇAMENTO!$AF$11))),IF($A191=0,0,ROUND(SomaAgrupBM,15-13*ORÇAMENTO!$AF$11)))</f>
        <v>0</v>
      </c>
    </row>
    <row r="192" spans="1:41" ht="13.8" x14ac:dyDescent="0.3">
      <c r="A192" t="str">
        <f ca="1">ORÇAMENTO!C192</f>
        <v>S</v>
      </c>
      <c r="B192">
        <f ca="1">ORÇAMENTO!D192</f>
        <v>0</v>
      </c>
      <c r="C192" s="143" t="str">
        <f t="shared" ca="1" si="23"/>
        <v/>
      </c>
      <c r="D192" s="146" t="str">
        <f ca="1">ORÇAMENTO!O192</f>
        <v>-</v>
      </c>
      <c r="E192" s="206" t="str">
        <f t="shared" ca="1" si="24"/>
        <v>(abra o arquivo 'Referência 05-2024.xls)</v>
      </c>
      <c r="F192" s="207" t="str">
        <f t="shared" ca="1" si="25"/>
        <v>-</v>
      </c>
      <c r="G192" s="151">
        <f ca="1">IF(RegimeExecucao="Global","",ORÇAMENTO!T192)</f>
        <v>4.08</v>
      </c>
      <c r="H192" s="151">
        <f ca="1">IF(RegimeExecucao="Global","",ORÇAMENTO!W192)</f>
        <v>0</v>
      </c>
      <c r="I192" s="154">
        <f ca="1">ORÇAMENTO!X192</f>
        <v>0</v>
      </c>
      <c r="J192" s="427">
        <f t="shared" ca="1" si="26"/>
        <v>0</v>
      </c>
      <c r="K192" s="151">
        <f t="shared" ca="1" si="27"/>
        <v>0</v>
      </c>
      <c r="L192" s="428">
        <f t="shared" ca="1" si="28"/>
        <v>0</v>
      </c>
      <c r="M192" s="429">
        <f ca="1">IF($A192="S",VTOTALBM,IF($A192=0,0,ROUND(SomaAgrupBM,15-13*ORÇAMENTO!$AF$11)))</f>
        <v>0</v>
      </c>
      <c r="N192" s="430">
        <f t="shared" ca="1" si="29"/>
        <v>0</v>
      </c>
      <c r="O192" s="154">
        <f ca="1">IF($A192="S",VTOTALBM,IF($A192=0,0,ROUND(SomaAgrupBM,15-13*ORÇAMENTO!$AF$11)))</f>
        <v>0</v>
      </c>
      <c r="Q192" s="431"/>
      <c r="R192" s="432"/>
      <c r="T192" s="146" t="str">
        <f t="shared" ca="1" si="30"/>
        <v/>
      </c>
      <c r="U192" s="206" t="str">
        <f t="shared" ca="1" si="31"/>
        <v/>
      </c>
      <c r="V192" s="207" t="str">
        <f t="shared" ca="1" si="32"/>
        <v/>
      </c>
      <c r="W192" s="634">
        <f ca="1">IF($Y192&gt;0,CHOOSE(MATCH(RegimeExecucao,{"Unitário","Global"},0),IF($A192="S",$Y192/$X192,""),($Y192/$X192)*100),0)</f>
        <v>0</v>
      </c>
      <c r="X192" s="433" t="str">
        <f ca="1">IF($Y192&gt;0,CHOOSE(MATCH(RegimeExecucao,{"Unitário","Global"},0),IF($A192="S",ROUND($H192,ORÇAMENTO!$AF$10),""),ROUND($I192,ORÇAMENTO!$AF$11)),"")</f>
        <v/>
      </c>
      <c r="Y192" s="433">
        <f t="shared" ca="1" si="33"/>
        <v>0</v>
      </c>
      <c r="Z192" s="434"/>
      <c r="AB192" s="431"/>
      <c r="AC192" s="599"/>
      <c r="AD192" s="599"/>
      <c r="AE192" s="599"/>
      <c r="AF192" s="599"/>
      <c r="AG192" s="599"/>
      <c r="AH192" s="599"/>
      <c r="AI192" s="599"/>
      <c r="AJ192" s="599"/>
      <c r="AK192" s="599"/>
      <c r="AL192" s="599"/>
      <c r="AM192" s="432"/>
      <c r="AO192">
        <f ca="1">IF($A192="S",IF(BM!$I192=0,0,CHOOSE(MATCH(RegimeExecucao,{"Global","Unitário"},0),ROUND(ROUND(BM.MEDAcumulado,15-13*BM!$A$9)/100*BM!$I192,15-13*ORÇAMENTO!$AF$11),ROUND(ROUND(BM.MEDAcumulado,15-13*BM!$A$9)*ROUND(BM!$H192,15-13*ORÇAMENTO!$AF$10),15-13*ORÇAMENTO!$AF$11))),IF($A192=0,0,ROUND(SomaAgrupBM,15-13*ORÇAMENTO!$AF$11)))</f>
        <v>0</v>
      </c>
    </row>
    <row r="193" spans="1:41" ht="13.8" x14ac:dyDescent="0.3">
      <c r="A193">
        <f ca="1">ORÇAMENTO!C193</f>
        <v>3</v>
      </c>
      <c r="B193">
        <f ca="1">ORÇAMENTO!D193</f>
        <v>17</v>
      </c>
      <c r="C193" s="143" t="str">
        <f t="shared" ca="1" si="23"/>
        <v>F</v>
      </c>
      <c r="D193" s="146" t="str">
        <f ca="1">ORÇAMENTO!O193</f>
        <v>1.6.4.</v>
      </c>
      <c r="E193" s="206" t="str">
        <f t="shared" si="24"/>
        <v>JANELAS DE ALUMÍNIO</v>
      </c>
      <c r="F193" s="207" t="str">
        <f t="shared" ca="1" si="25"/>
        <v>-</v>
      </c>
      <c r="G193" s="151">
        <f ca="1">IF(RegimeExecucao="Global","",ORÇAMENTO!T193)</f>
        <v>0</v>
      </c>
      <c r="H193" s="151">
        <f ca="1">IF(RegimeExecucao="Global","",ORÇAMENTO!W193)</f>
        <v>0</v>
      </c>
      <c r="I193" s="154">
        <f ca="1">ORÇAMENTO!X193</f>
        <v>0</v>
      </c>
      <c r="J193" s="427">
        <f t="shared" ca="1" si="26"/>
        <v>0</v>
      </c>
      <c r="K193" s="151">
        <f t="shared" ca="1" si="27"/>
        <v>0</v>
      </c>
      <c r="L193" s="428">
        <f t="shared" ca="1" si="28"/>
        <v>0</v>
      </c>
      <c r="M193" s="429">
        <f ca="1">IF($A193="S",VTOTALBM,IF($A193=0,0,ROUND(SomaAgrupBM,15-13*ORÇAMENTO!$AF$11)))</f>
        <v>0</v>
      </c>
      <c r="N193" s="430">
        <f t="shared" ca="1" si="29"/>
        <v>0</v>
      </c>
      <c r="O193" s="154">
        <f ca="1">IF($A193="S",VTOTALBM,IF($A193=0,0,ROUND(SomaAgrupBM,15-13*ORÇAMENTO!$AF$11)))</f>
        <v>0</v>
      </c>
      <c r="Q193" s="431"/>
      <c r="R193" s="432"/>
      <c r="T193" s="146" t="str">
        <f t="shared" ca="1" si="30"/>
        <v/>
      </c>
      <c r="U193" s="206" t="str">
        <f t="shared" ca="1" si="31"/>
        <v/>
      </c>
      <c r="V193" s="207" t="str">
        <f t="shared" ca="1" si="32"/>
        <v/>
      </c>
      <c r="W193" s="634">
        <f ca="1">IF($Y193&gt;0,CHOOSE(MATCH(RegimeExecucao,{"Unitário","Global"},0),IF($A193="S",$Y193/$X193,""),($Y193/$X193)*100),0)</f>
        <v>0</v>
      </c>
      <c r="X193" s="433" t="str">
        <f ca="1">IF($Y193&gt;0,CHOOSE(MATCH(RegimeExecucao,{"Unitário","Global"},0),IF($A193="S",ROUND($H193,ORÇAMENTO!$AF$10),""),ROUND($I193,ORÇAMENTO!$AF$11)),"")</f>
        <v/>
      </c>
      <c r="Y193" s="433">
        <f t="shared" ca="1" si="33"/>
        <v>0</v>
      </c>
      <c r="Z193" s="434"/>
      <c r="AB193" s="431"/>
      <c r="AC193" s="599"/>
      <c r="AD193" s="599"/>
      <c r="AE193" s="599"/>
      <c r="AF193" s="599"/>
      <c r="AG193" s="599"/>
      <c r="AH193" s="599"/>
      <c r="AI193" s="599"/>
      <c r="AJ193" s="599"/>
      <c r="AK193" s="599"/>
      <c r="AL193" s="599"/>
      <c r="AM193" s="432"/>
      <c r="AO193">
        <f ca="1">IF($A193="S",IF(BM!$I193=0,0,CHOOSE(MATCH(RegimeExecucao,{"Global","Unitário"},0),ROUND(ROUND(BM.MEDAcumulado,15-13*BM!$A$9)/100*BM!$I193,15-13*ORÇAMENTO!$AF$11),ROUND(ROUND(BM.MEDAcumulado,15-13*BM!$A$9)*ROUND(BM!$H193,15-13*ORÇAMENTO!$AF$10),15-13*ORÇAMENTO!$AF$11))),IF($A193=0,0,ROUND(SomaAgrupBM,15-13*ORÇAMENTO!$AF$11)))</f>
        <v>0</v>
      </c>
    </row>
    <row r="194" spans="1:41" ht="13.8" x14ac:dyDescent="0.3">
      <c r="A194" t="str">
        <f ca="1">ORÇAMENTO!C194</f>
        <v>S</v>
      </c>
      <c r="B194">
        <f ca="1">ORÇAMENTO!D194</f>
        <v>0</v>
      </c>
      <c r="C194" s="143" t="str">
        <f t="shared" ca="1" si="23"/>
        <v/>
      </c>
      <c r="D194" s="146" t="str">
        <f ca="1">ORÇAMENTO!O194</f>
        <v>-</v>
      </c>
      <c r="E194" s="206" t="str">
        <f t="shared" ca="1" si="24"/>
        <v>(abra o arquivo 'Referência 05-2024.xls)</v>
      </c>
      <c r="F194" s="207" t="str">
        <f t="shared" ca="1" si="25"/>
        <v>-</v>
      </c>
      <c r="G194" s="151">
        <f ca="1">IF(RegimeExecucao="Global","",ORÇAMENTO!T194)</f>
        <v>5.46</v>
      </c>
      <c r="H194" s="151">
        <f ca="1">IF(RegimeExecucao="Global","",ORÇAMENTO!W194)</f>
        <v>0</v>
      </c>
      <c r="I194" s="154">
        <f ca="1">ORÇAMENTO!X194</f>
        <v>0</v>
      </c>
      <c r="J194" s="427">
        <f t="shared" ca="1" si="26"/>
        <v>0</v>
      </c>
      <c r="K194" s="151">
        <f t="shared" ca="1" si="27"/>
        <v>0</v>
      </c>
      <c r="L194" s="428">
        <f t="shared" ca="1" si="28"/>
        <v>0</v>
      </c>
      <c r="M194" s="429">
        <f ca="1">IF($A194="S",VTOTALBM,IF($A194=0,0,ROUND(SomaAgrupBM,15-13*ORÇAMENTO!$AF$11)))</f>
        <v>0</v>
      </c>
      <c r="N194" s="430">
        <f t="shared" ca="1" si="29"/>
        <v>0</v>
      </c>
      <c r="O194" s="154">
        <f ca="1">IF($A194="S",VTOTALBM,IF($A194=0,0,ROUND(SomaAgrupBM,15-13*ORÇAMENTO!$AF$11)))</f>
        <v>0</v>
      </c>
      <c r="Q194" s="431"/>
      <c r="R194" s="432"/>
      <c r="T194" s="146" t="str">
        <f t="shared" ca="1" si="30"/>
        <v/>
      </c>
      <c r="U194" s="206" t="str">
        <f t="shared" ca="1" si="31"/>
        <v/>
      </c>
      <c r="V194" s="207" t="str">
        <f t="shared" ca="1" si="32"/>
        <v/>
      </c>
      <c r="W194" s="634">
        <f ca="1">IF($Y194&gt;0,CHOOSE(MATCH(RegimeExecucao,{"Unitário","Global"},0),IF($A194="S",$Y194/$X194,""),($Y194/$X194)*100),0)</f>
        <v>0</v>
      </c>
      <c r="X194" s="433" t="str">
        <f ca="1">IF($Y194&gt;0,CHOOSE(MATCH(RegimeExecucao,{"Unitário","Global"},0),IF($A194="S",ROUND($H194,ORÇAMENTO!$AF$10),""),ROUND($I194,ORÇAMENTO!$AF$11)),"")</f>
        <v/>
      </c>
      <c r="Y194" s="433">
        <f t="shared" ca="1" si="33"/>
        <v>0</v>
      </c>
      <c r="Z194" s="434"/>
      <c r="AB194" s="431"/>
      <c r="AC194" s="599"/>
      <c r="AD194" s="599"/>
      <c r="AE194" s="599"/>
      <c r="AF194" s="599"/>
      <c r="AG194" s="599"/>
      <c r="AH194" s="599"/>
      <c r="AI194" s="599"/>
      <c r="AJ194" s="599"/>
      <c r="AK194" s="599"/>
      <c r="AL194" s="599"/>
      <c r="AM194" s="432"/>
      <c r="AO194">
        <f ca="1">IF($A194="S",IF(BM!$I194=0,0,CHOOSE(MATCH(RegimeExecucao,{"Global","Unitário"},0),ROUND(ROUND(BM.MEDAcumulado,15-13*BM!$A$9)/100*BM!$I194,15-13*ORÇAMENTO!$AF$11),ROUND(ROUND(BM.MEDAcumulado,15-13*BM!$A$9)*ROUND(BM!$H194,15-13*ORÇAMENTO!$AF$10),15-13*ORÇAMENTO!$AF$11))),IF($A194=0,0,ROUND(SomaAgrupBM,15-13*ORÇAMENTO!$AF$11)))</f>
        <v>0</v>
      </c>
    </row>
    <row r="195" spans="1:41" ht="13.8" x14ac:dyDescent="0.3">
      <c r="A195" t="str">
        <f ca="1">ORÇAMENTO!C195</f>
        <v>S</v>
      </c>
      <c r="B195">
        <f ca="1">ORÇAMENTO!D195</f>
        <v>0</v>
      </c>
      <c r="C195" s="143" t="str">
        <f t="shared" ca="1" si="23"/>
        <v/>
      </c>
      <c r="D195" s="146" t="str">
        <f ca="1">ORÇAMENTO!O195</f>
        <v>-</v>
      </c>
      <c r="E195" s="206" t="str">
        <f t="shared" ca="1" si="24"/>
        <v>(abra o arquivo 'Referência 05-2024.xls)</v>
      </c>
      <c r="F195" s="207" t="str">
        <f t="shared" ca="1" si="25"/>
        <v>-</v>
      </c>
      <c r="G195" s="151">
        <f ca="1">IF(RegimeExecucao="Global","",ORÇAMENTO!T195)</f>
        <v>2.1</v>
      </c>
      <c r="H195" s="151">
        <f ca="1">IF(RegimeExecucao="Global","",ORÇAMENTO!W195)</f>
        <v>0</v>
      </c>
      <c r="I195" s="154">
        <f ca="1">ORÇAMENTO!X195</f>
        <v>0</v>
      </c>
      <c r="J195" s="427">
        <f t="shared" ca="1" si="26"/>
        <v>0</v>
      </c>
      <c r="K195" s="151">
        <f t="shared" ca="1" si="27"/>
        <v>0</v>
      </c>
      <c r="L195" s="428">
        <f t="shared" ca="1" si="28"/>
        <v>0</v>
      </c>
      <c r="M195" s="429">
        <f ca="1">IF($A195="S",VTOTALBM,IF($A195=0,0,ROUND(SomaAgrupBM,15-13*ORÇAMENTO!$AF$11)))</f>
        <v>0</v>
      </c>
      <c r="N195" s="430">
        <f t="shared" ca="1" si="29"/>
        <v>0</v>
      </c>
      <c r="O195" s="154">
        <f ca="1">IF($A195="S",VTOTALBM,IF($A195=0,0,ROUND(SomaAgrupBM,15-13*ORÇAMENTO!$AF$11)))</f>
        <v>0</v>
      </c>
      <c r="Q195" s="431"/>
      <c r="R195" s="432"/>
      <c r="T195" s="146" t="str">
        <f t="shared" ca="1" si="30"/>
        <v/>
      </c>
      <c r="U195" s="206" t="str">
        <f t="shared" ca="1" si="31"/>
        <v/>
      </c>
      <c r="V195" s="207" t="str">
        <f t="shared" ca="1" si="32"/>
        <v/>
      </c>
      <c r="W195" s="634">
        <f ca="1">IF($Y195&gt;0,CHOOSE(MATCH(RegimeExecucao,{"Unitário","Global"},0),IF($A195="S",$Y195/$X195,""),($Y195/$X195)*100),0)</f>
        <v>0</v>
      </c>
      <c r="X195" s="433" t="str">
        <f ca="1">IF($Y195&gt;0,CHOOSE(MATCH(RegimeExecucao,{"Unitário","Global"},0),IF($A195="S",ROUND($H195,ORÇAMENTO!$AF$10),""),ROUND($I195,ORÇAMENTO!$AF$11)),"")</f>
        <v/>
      </c>
      <c r="Y195" s="433">
        <f t="shared" ca="1" si="33"/>
        <v>0</v>
      </c>
      <c r="Z195" s="434"/>
      <c r="AB195" s="431"/>
      <c r="AC195" s="599"/>
      <c r="AD195" s="599"/>
      <c r="AE195" s="599"/>
      <c r="AF195" s="599"/>
      <c r="AG195" s="599"/>
      <c r="AH195" s="599"/>
      <c r="AI195" s="599"/>
      <c r="AJ195" s="599"/>
      <c r="AK195" s="599"/>
      <c r="AL195" s="599"/>
      <c r="AM195" s="432"/>
      <c r="AO195">
        <f ca="1">IF($A195="S",IF(BM!$I195=0,0,CHOOSE(MATCH(RegimeExecucao,{"Global","Unitário"},0),ROUND(ROUND(BM.MEDAcumulado,15-13*BM!$A$9)/100*BM!$I195,15-13*ORÇAMENTO!$AF$11),ROUND(ROUND(BM.MEDAcumulado,15-13*BM!$A$9)*ROUND(BM!$H195,15-13*ORÇAMENTO!$AF$10),15-13*ORÇAMENTO!$AF$11))),IF($A195=0,0,ROUND(SomaAgrupBM,15-13*ORÇAMENTO!$AF$11)))</f>
        <v>0</v>
      </c>
    </row>
    <row r="196" spans="1:41" ht="13.8" x14ac:dyDescent="0.3">
      <c r="A196" t="str">
        <f ca="1">ORÇAMENTO!C196</f>
        <v>S</v>
      </c>
      <c r="B196">
        <f ca="1">ORÇAMENTO!D196</f>
        <v>0</v>
      </c>
      <c r="C196" s="143" t="str">
        <f t="shared" ca="1" si="23"/>
        <v/>
      </c>
      <c r="D196" s="146" t="str">
        <f ca="1">ORÇAMENTO!O196</f>
        <v>-</v>
      </c>
      <c r="E196" s="206" t="str">
        <f t="shared" ca="1" si="24"/>
        <v>(abra o arquivo 'Referência 05-2024.xls)</v>
      </c>
      <c r="F196" s="207" t="str">
        <f t="shared" ca="1" si="25"/>
        <v>-</v>
      </c>
      <c r="G196" s="151">
        <f ca="1">IF(RegimeExecucao="Global","",ORÇAMENTO!T196)</f>
        <v>5.74</v>
      </c>
      <c r="H196" s="151">
        <f ca="1">IF(RegimeExecucao="Global","",ORÇAMENTO!W196)</f>
        <v>0</v>
      </c>
      <c r="I196" s="154">
        <f ca="1">ORÇAMENTO!X196</f>
        <v>0</v>
      </c>
      <c r="J196" s="427">
        <f t="shared" ca="1" si="26"/>
        <v>0</v>
      </c>
      <c r="K196" s="151">
        <f t="shared" ca="1" si="27"/>
        <v>0</v>
      </c>
      <c r="L196" s="428">
        <f t="shared" ca="1" si="28"/>
        <v>0</v>
      </c>
      <c r="M196" s="429">
        <f ca="1">IF($A196="S",VTOTALBM,IF($A196=0,0,ROUND(SomaAgrupBM,15-13*ORÇAMENTO!$AF$11)))</f>
        <v>0</v>
      </c>
      <c r="N196" s="430">
        <f t="shared" ca="1" si="29"/>
        <v>0</v>
      </c>
      <c r="O196" s="154">
        <f ca="1">IF($A196="S",VTOTALBM,IF($A196=0,0,ROUND(SomaAgrupBM,15-13*ORÇAMENTO!$AF$11)))</f>
        <v>0</v>
      </c>
      <c r="Q196" s="431"/>
      <c r="R196" s="432"/>
      <c r="T196" s="146" t="str">
        <f t="shared" ca="1" si="30"/>
        <v/>
      </c>
      <c r="U196" s="206" t="str">
        <f t="shared" ca="1" si="31"/>
        <v/>
      </c>
      <c r="V196" s="207" t="str">
        <f t="shared" ca="1" si="32"/>
        <v/>
      </c>
      <c r="W196" s="634">
        <f ca="1">IF($Y196&gt;0,CHOOSE(MATCH(RegimeExecucao,{"Unitário","Global"},0),IF($A196="S",$Y196/$X196,""),($Y196/$X196)*100),0)</f>
        <v>0</v>
      </c>
      <c r="X196" s="433" t="str">
        <f ca="1">IF($Y196&gt;0,CHOOSE(MATCH(RegimeExecucao,{"Unitário","Global"},0),IF($A196="S",ROUND($H196,ORÇAMENTO!$AF$10),""),ROUND($I196,ORÇAMENTO!$AF$11)),"")</f>
        <v/>
      </c>
      <c r="Y196" s="433">
        <f t="shared" ca="1" si="33"/>
        <v>0</v>
      </c>
      <c r="Z196" s="434"/>
      <c r="AB196" s="431"/>
      <c r="AC196" s="599"/>
      <c r="AD196" s="599"/>
      <c r="AE196" s="599"/>
      <c r="AF196" s="599"/>
      <c r="AG196" s="599"/>
      <c r="AH196" s="599"/>
      <c r="AI196" s="599"/>
      <c r="AJ196" s="599"/>
      <c r="AK196" s="599"/>
      <c r="AL196" s="599"/>
      <c r="AM196" s="432"/>
      <c r="AO196">
        <f ca="1">IF($A196="S",IF(BM!$I196=0,0,CHOOSE(MATCH(RegimeExecucao,{"Global","Unitário"},0),ROUND(ROUND(BM.MEDAcumulado,15-13*BM!$A$9)/100*BM!$I196,15-13*ORÇAMENTO!$AF$11),ROUND(ROUND(BM.MEDAcumulado,15-13*BM!$A$9)*ROUND(BM!$H196,15-13*ORÇAMENTO!$AF$10),15-13*ORÇAMENTO!$AF$11))),IF($A196=0,0,ROUND(SomaAgrupBM,15-13*ORÇAMENTO!$AF$11)))</f>
        <v>0</v>
      </c>
    </row>
    <row r="197" spans="1:41" ht="13.8" x14ac:dyDescent="0.3">
      <c r="A197" t="str">
        <f ca="1">ORÇAMENTO!C197</f>
        <v>S</v>
      </c>
      <c r="B197">
        <f ca="1">ORÇAMENTO!D197</f>
        <v>0</v>
      </c>
      <c r="C197" s="143" t="str">
        <f t="shared" ca="1" si="23"/>
        <v/>
      </c>
      <c r="D197" s="146" t="str">
        <f ca="1">ORÇAMENTO!O197</f>
        <v>-</v>
      </c>
      <c r="E197" s="206" t="str">
        <f t="shared" ca="1" si="24"/>
        <v>(abra o arquivo 'Referência 05-2024.xls)</v>
      </c>
      <c r="F197" s="207" t="str">
        <f t="shared" ca="1" si="25"/>
        <v>-</v>
      </c>
      <c r="G197" s="151">
        <f ca="1">IF(RegimeExecucao="Global","",ORÇAMENTO!T197)</f>
        <v>10.36</v>
      </c>
      <c r="H197" s="151">
        <f ca="1">IF(RegimeExecucao="Global","",ORÇAMENTO!W197)</f>
        <v>0</v>
      </c>
      <c r="I197" s="154">
        <f ca="1">ORÇAMENTO!X197</f>
        <v>0</v>
      </c>
      <c r="J197" s="427">
        <f t="shared" ca="1" si="26"/>
        <v>0</v>
      </c>
      <c r="K197" s="151">
        <f t="shared" ca="1" si="27"/>
        <v>0</v>
      </c>
      <c r="L197" s="428">
        <f t="shared" ca="1" si="28"/>
        <v>0</v>
      </c>
      <c r="M197" s="429">
        <f ca="1">IF($A197="S",VTOTALBM,IF($A197=0,0,ROUND(SomaAgrupBM,15-13*ORÇAMENTO!$AF$11)))</f>
        <v>0</v>
      </c>
      <c r="N197" s="430">
        <f t="shared" ca="1" si="29"/>
        <v>0</v>
      </c>
      <c r="O197" s="154">
        <f ca="1">IF($A197="S",VTOTALBM,IF($A197=0,0,ROUND(SomaAgrupBM,15-13*ORÇAMENTO!$AF$11)))</f>
        <v>0</v>
      </c>
      <c r="Q197" s="431"/>
      <c r="R197" s="432"/>
      <c r="T197" s="146" t="str">
        <f t="shared" ca="1" si="30"/>
        <v/>
      </c>
      <c r="U197" s="206" t="str">
        <f t="shared" ca="1" si="31"/>
        <v/>
      </c>
      <c r="V197" s="207" t="str">
        <f t="shared" ca="1" si="32"/>
        <v/>
      </c>
      <c r="W197" s="634">
        <f ca="1">IF($Y197&gt;0,CHOOSE(MATCH(RegimeExecucao,{"Unitário","Global"},0),IF($A197="S",$Y197/$X197,""),($Y197/$X197)*100),0)</f>
        <v>0</v>
      </c>
      <c r="X197" s="433" t="str">
        <f ca="1">IF($Y197&gt;0,CHOOSE(MATCH(RegimeExecucao,{"Unitário","Global"},0),IF($A197="S",ROUND($H197,ORÇAMENTO!$AF$10),""),ROUND($I197,ORÇAMENTO!$AF$11)),"")</f>
        <v/>
      </c>
      <c r="Y197" s="433">
        <f t="shared" ca="1" si="33"/>
        <v>0</v>
      </c>
      <c r="Z197" s="434"/>
      <c r="AB197" s="431"/>
      <c r="AC197" s="599"/>
      <c r="AD197" s="599"/>
      <c r="AE197" s="599"/>
      <c r="AF197" s="599"/>
      <c r="AG197" s="599"/>
      <c r="AH197" s="599"/>
      <c r="AI197" s="599"/>
      <c r="AJ197" s="599"/>
      <c r="AK197" s="599"/>
      <c r="AL197" s="599"/>
      <c r="AM197" s="432"/>
      <c r="AO197">
        <f ca="1">IF($A197="S",IF(BM!$I197=0,0,CHOOSE(MATCH(RegimeExecucao,{"Global","Unitário"},0),ROUND(ROUND(BM.MEDAcumulado,15-13*BM!$A$9)/100*BM!$I197,15-13*ORÇAMENTO!$AF$11),ROUND(ROUND(BM.MEDAcumulado,15-13*BM!$A$9)*ROUND(BM!$H197,15-13*ORÇAMENTO!$AF$10),15-13*ORÇAMENTO!$AF$11))),IF($A197=0,0,ROUND(SomaAgrupBM,15-13*ORÇAMENTO!$AF$11)))</f>
        <v>0</v>
      </c>
    </row>
    <row r="198" spans="1:41" ht="13.8" x14ac:dyDescent="0.3">
      <c r="A198" t="str">
        <f ca="1">ORÇAMENTO!C198</f>
        <v>S</v>
      </c>
      <c r="B198">
        <f ca="1">ORÇAMENTO!D198</f>
        <v>0</v>
      </c>
      <c r="C198" s="143" t="str">
        <f t="shared" ca="1" si="23"/>
        <v/>
      </c>
      <c r="D198" s="146" t="str">
        <f ca="1">ORÇAMENTO!O198</f>
        <v>-</v>
      </c>
      <c r="E198" s="206" t="str">
        <f t="shared" ca="1" si="24"/>
        <v>(abra o arquivo 'Referência 05-2024.xls)</v>
      </c>
      <c r="F198" s="207" t="str">
        <f t="shared" ca="1" si="25"/>
        <v>-</v>
      </c>
      <c r="G198" s="151">
        <f ca="1">IF(RegimeExecucao="Global","",ORÇAMENTO!T198)</f>
        <v>19.43</v>
      </c>
      <c r="H198" s="151">
        <f ca="1">IF(RegimeExecucao="Global","",ORÇAMENTO!W198)</f>
        <v>0</v>
      </c>
      <c r="I198" s="154">
        <f ca="1">ORÇAMENTO!X198</f>
        <v>0</v>
      </c>
      <c r="J198" s="427">
        <f t="shared" ca="1" si="26"/>
        <v>0</v>
      </c>
      <c r="K198" s="151">
        <f t="shared" ca="1" si="27"/>
        <v>0</v>
      </c>
      <c r="L198" s="428">
        <f t="shared" ca="1" si="28"/>
        <v>0</v>
      </c>
      <c r="M198" s="429">
        <f ca="1">IF($A198="S",VTOTALBM,IF($A198=0,0,ROUND(SomaAgrupBM,15-13*ORÇAMENTO!$AF$11)))</f>
        <v>0</v>
      </c>
      <c r="N198" s="430">
        <f t="shared" ca="1" si="29"/>
        <v>0</v>
      </c>
      <c r="O198" s="154">
        <f ca="1">IF($A198="S",VTOTALBM,IF($A198=0,0,ROUND(SomaAgrupBM,15-13*ORÇAMENTO!$AF$11)))</f>
        <v>0</v>
      </c>
      <c r="Q198" s="431"/>
      <c r="R198" s="432"/>
      <c r="T198" s="146" t="str">
        <f t="shared" ca="1" si="30"/>
        <v/>
      </c>
      <c r="U198" s="206" t="str">
        <f t="shared" ca="1" si="31"/>
        <v/>
      </c>
      <c r="V198" s="207" t="str">
        <f t="shared" ca="1" si="32"/>
        <v/>
      </c>
      <c r="W198" s="634">
        <f ca="1">IF($Y198&gt;0,CHOOSE(MATCH(RegimeExecucao,{"Unitário","Global"},0),IF($A198="S",$Y198/$X198,""),($Y198/$X198)*100),0)</f>
        <v>0</v>
      </c>
      <c r="X198" s="433" t="str">
        <f ca="1">IF($Y198&gt;0,CHOOSE(MATCH(RegimeExecucao,{"Unitário","Global"},0),IF($A198="S",ROUND($H198,ORÇAMENTO!$AF$10),""),ROUND($I198,ORÇAMENTO!$AF$11)),"")</f>
        <v/>
      </c>
      <c r="Y198" s="433">
        <f t="shared" ca="1" si="33"/>
        <v>0</v>
      </c>
      <c r="Z198" s="434"/>
      <c r="AB198" s="431"/>
      <c r="AC198" s="599"/>
      <c r="AD198" s="599"/>
      <c r="AE198" s="599"/>
      <c r="AF198" s="599"/>
      <c r="AG198" s="599"/>
      <c r="AH198" s="599"/>
      <c r="AI198" s="599"/>
      <c r="AJ198" s="599"/>
      <c r="AK198" s="599"/>
      <c r="AL198" s="599"/>
      <c r="AM198" s="432"/>
      <c r="AO198">
        <f ca="1">IF($A198="S",IF(BM!$I198=0,0,CHOOSE(MATCH(RegimeExecucao,{"Global","Unitário"},0),ROUND(ROUND(BM.MEDAcumulado,15-13*BM!$A$9)/100*BM!$I198,15-13*ORÇAMENTO!$AF$11),ROUND(ROUND(BM.MEDAcumulado,15-13*BM!$A$9)*ROUND(BM!$H198,15-13*ORÇAMENTO!$AF$10),15-13*ORÇAMENTO!$AF$11))),IF($A198=0,0,ROUND(SomaAgrupBM,15-13*ORÇAMENTO!$AF$11)))</f>
        <v>0</v>
      </c>
    </row>
    <row r="199" spans="1:41" ht="13.8" x14ac:dyDescent="0.3">
      <c r="A199" t="str">
        <f ca="1">ORÇAMENTO!C199</f>
        <v>S</v>
      </c>
      <c r="B199">
        <f ca="1">ORÇAMENTO!D199</f>
        <v>0</v>
      </c>
      <c r="C199" s="143" t="str">
        <f t="shared" ca="1" si="23"/>
        <v/>
      </c>
      <c r="D199" s="146" t="str">
        <f ca="1">ORÇAMENTO!O199</f>
        <v>-</v>
      </c>
      <c r="E199" s="206" t="str">
        <f t="shared" ca="1" si="24"/>
        <v>(abra o arquivo 'Referência 05-2024.xls)</v>
      </c>
      <c r="F199" s="207" t="str">
        <f t="shared" ca="1" si="25"/>
        <v>-</v>
      </c>
      <c r="G199" s="151">
        <f ca="1">IF(RegimeExecucao="Global","",ORÇAMENTO!T199)</f>
        <v>4.2</v>
      </c>
      <c r="H199" s="151">
        <f ca="1">IF(RegimeExecucao="Global","",ORÇAMENTO!W199)</f>
        <v>0</v>
      </c>
      <c r="I199" s="154">
        <f ca="1">ORÇAMENTO!X199</f>
        <v>0</v>
      </c>
      <c r="J199" s="427">
        <f t="shared" ca="1" si="26"/>
        <v>0</v>
      </c>
      <c r="K199" s="151">
        <f t="shared" ca="1" si="27"/>
        <v>0</v>
      </c>
      <c r="L199" s="428">
        <f t="shared" ca="1" si="28"/>
        <v>0</v>
      </c>
      <c r="M199" s="429">
        <f ca="1">IF($A199="S",VTOTALBM,IF($A199=0,0,ROUND(SomaAgrupBM,15-13*ORÇAMENTO!$AF$11)))</f>
        <v>0</v>
      </c>
      <c r="N199" s="430">
        <f t="shared" ca="1" si="29"/>
        <v>0</v>
      </c>
      <c r="O199" s="154">
        <f ca="1">IF($A199="S",VTOTALBM,IF($A199=0,0,ROUND(SomaAgrupBM,15-13*ORÇAMENTO!$AF$11)))</f>
        <v>0</v>
      </c>
      <c r="Q199" s="431"/>
      <c r="R199" s="432"/>
      <c r="T199" s="146" t="str">
        <f t="shared" ca="1" si="30"/>
        <v/>
      </c>
      <c r="U199" s="206" t="str">
        <f t="shared" ca="1" si="31"/>
        <v/>
      </c>
      <c r="V199" s="207" t="str">
        <f t="shared" ca="1" si="32"/>
        <v/>
      </c>
      <c r="W199" s="634">
        <f ca="1">IF($Y199&gt;0,CHOOSE(MATCH(RegimeExecucao,{"Unitário","Global"},0),IF($A199="S",$Y199/$X199,""),($Y199/$X199)*100),0)</f>
        <v>0</v>
      </c>
      <c r="X199" s="433" t="str">
        <f ca="1">IF($Y199&gt;0,CHOOSE(MATCH(RegimeExecucao,{"Unitário","Global"},0),IF($A199="S",ROUND($H199,ORÇAMENTO!$AF$10),""),ROUND($I199,ORÇAMENTO!$AF$11)),"")</f>
        <v/>
      </c>
      <c r="Y199" s="433">
        <f t="shared" ca="1" si="33"/>
        <v>0</v>
      </c>
      <c r="Z199" s="434"/>
      <c r="AB199" s="431"/>
      <c r="AC199" s="599"/>
      <c r="AD199" s="599"/>
      <c r="AE199" s="599"/>
      <c r="AF199" s="599"/>
      <c r="AG199" s="599"/>
      <c r="AH199" s="599"/>
      <c r="AI199" s="599"/>
      <c r="AJ199" s="599"/>
      <c r="AK199" s="599"/>
      <c r="AL199" s="599"/>
      <c r="AM199" s="432"/>
      <c r="AO199">
        <f ca="1">IF($A199="S",IF(BM!$I199=0,0,CHOOSE(MATCH(RegimeExecucao,{"Global","Unitário"},0),ROUND(ROUND(BM.MEDAcumulado,15-13*BM!$A$9)/100*BM!$I199,15-13*ORÇAMENTO!$AF$11),ROUND(ROUND(BM.MEDAcumulado,15-13*BM!$A$9)*ROUND(BM!$H199,15-13*ORÇAMENTO!$AF$10),15-13*ORÇAMENTO!$AF$11))),IF($A199=0,0,ROUND(SomaAgrupBM,15-13*ORÇAMENTO!$AF$11)))</f>
        <v>0</v>
      </c>
    </row>
    <row r="200" spans="1:41" ht="13.8" x14ac:dyDescent="0.3">
      <c r="A200" t="str">
        <f ca="1">ORÇAMENTO!C200</f>
        <v>S</v>
      </c>
      <c r="B200">
        <f ca="1">ORÇAMENTO!D200</f>
        <v>0</v>
      </c>
      <c r="C200" s="143" t="str">
        <f t="shared" ca="1" si="23"/>
        <v/>
      </c>
      <c r="D200" s="146" t="str">
        <f ca="1">ORÇAMENTO!O200</f>
        <v>-</v>
      </c>
      <c r="E200" s="206" t="str">
        <f t="shared" ca="1" si="24"/>
        <v>(abra o arquivo 'Referência 05-2024.xls)</v>
      </c>
      <c r="F200" s="207" t="str">
        <f t="shared" ca="1" si="25"/>
        <v>-</v>
      </c>
      <c r="G200" s="151">
        <f ca="1">IF(RegimeExecucao="Global","",ORÇAMENTO!T200)</f>
        <v>19.32</v>
      </c>
      <c r="H200" s="151">
        <f ca="1">IF(RegimeExecucao="Global","",ORÇAMENTO!W200)</f>
        <v>0</v>
      </c>
      <c r="I200" s="154">
        <f ca="1">ORÇAMENTO!X200</f>
        <v>0</v>
      </c>
      <c r="J200" s="427">
        <f t="shared" ca="1" si="26"/>
        <v>0</v>
      </c>
      <c r="K200" s="151">
        <f t="shared" ca="1" si="27"/>
        <v>0</v>
      </c>
      <c r="L200" s="428">
        <f t="shared" ca="1" si="28"/>
        <v>0</v>
      </c>
      <c r="M200" s="429">
        <f ca="1">IF($A200="S",VTOTALBM,IF($A200=0,0,ROUND(SomaAgrupBM,15-13*ORÇAMENTO!$AF$11)))</f>
        <v>0</v>
      </c>
      <c r="N200" s="430">
        <f t="shared" ca="1" si="29"/>
        <v>0</v>
      </c>
      <c r="O200" s="154">
        <f ca="1">IF($A200="S",VTOTALBM,IF($A200=0,0,ROUND(SomaAgrupBM,15-13*ORÇAMENTO!$AF$11)))</f>
        <v>0</v>
      </c>
      <c r="Q200" s="431"/>
      <c r="R200" s="432"/>
      <c r="T200" s="146" t="str">
        <f t="shared" ca="1" si="30"/>
        <v/>
      </c>
      <c r="U200" s="206" t="str">
        <f t="shared" ca="1" si="31"/>
        <v/>
      </c>
      <c r="V200" s="207" t="str">
        <f t="shared" ca="1" si="32"/>
        <v/>
      </c>
      <c r="W200" s="634">
        <f ca="1">IF($Y200&gt;0,CHOOSE(MATCH(RegimeExecucao,{"Unitário","Global"},0),IF($A200="S",$Y200/$X200,""),($Y200/$X200)*100),0)</f>
        <v>0</v>
      </c>
      <c r="X200" s="433" t="str">
        <f ca="1">IF($Y200&gt;0,CHOOSE(MATCH(RegimeExecucao,{"Unitário","Global"},0),IF($A200="S",ROUND($H200,ORÇAMENTO!$AF$10),""),ROUND($I200,ORÇAMENTO!$AF$11)),"")</f>
        <v/>
      </c>
      <c r="Y200" s="433">
        <f t="shared" ca="1" si="33"/>
        <v>0</v>
      </c>
      <c r="Z200" s="434"/>
      <c r="AB200" s="431"/>
      <c r="AC200" s="599"/>
      <c r="AD200" s="599"/>
      <c r="AE200" s="599"/>
      <c r="AF200" s="599"/>
      <c r="AG200" s="599"/>
      <c r="AH200" s="599"/>
      <c r="AI200" s="599"/>
      <c r="AJ200" s="599"/>
      <c r="AK200" s="599"/>
      <c r="AL200" s="599"/>
      <c r="AM200" s="432"/>
      <c r="AO200">
        <f ca="1">IF($A200="S",IF(BM!$I200=0,0,CHOOSE(MATCH(RegimeExecucao,{"Global","Unitário"},0),ROUND(ROUND(BM.MEDAcumulado,15-13*BM!$A$9)/100*BM!$I200,15-13*ORÇAMENTO!$AF$11),ROUND(ROUND(BM.MEDAcumulado,15-13*BM!$A$9)*ROUND(BM!$H200,15-13*ORÇAMENTO!$AF$10),15-13*ORÇAMENTO!$AF$11))),IF($A200=0,0,ROUND(SomaAgrupBM,15-13*ORÇAMENTO!$AF$11)))</f>
        <v>0</v>
      </c>
    </row>
    <row r="201" spans="1:41" ht="13.8" x14ac:dyDescent="0.3">
      <c r="A201" t="str">
        <f ca="1">ORÇAMENTO!C201</f>
        <v>S</v>
      </c>
      <c r="B201">
        <f ca="1">ORÇAMENTO!D201</f>
        <v>0</v>
      </c>
      <c r="C201" s="143" t="str">
        <f t="shared" ca="1" si="23"/>
        <v/>
      </c>
      <c r="D201" s="146" t="str">
        <f ca="1">ORÇAMENTO!O201</f>
        <v>-</v>
      </c>
      <c r="E201" s="206" t="str">
        <f t="shared" ca="1" si="24"/>
        <v>(abra o arquivo 'Referência 05-2024.xls)</v>
      </c>
      <c r="F201" s="207" t="str">
        <f t="shared" ca="1" si="25"/>
        <v>-</v>
      </c>
      <c r="G201" s="151">
        <f ca="1">IF(RegimeExecucao="Global","",ORÇAMENTO!T201)</f>
        <v>20.3</v>
      </c>
      <c r="H201" s="151">
        <f ca="1">IF(RegimeExecucao="Global","",ORÇAMENTO!W201)</f>
        <v>0</v>
      </c>
      <c r="I201" s="154">
        <f ca="1">ORÇAMENTO!X201</f>
        <v>0</v>
      </c>
      <c r="J201" s="427">
        <f t="shared" ca="1" si="26"/>
        <v>0</v>
      </c>
      <c r="K201" s="151">
        <f t="shared" ca="1" si="27"/>
        <v>0</v>
      </c>
      <c r="L201" s="428">
        <f t="shared" ca="1" si="28"/>
        <v>0</v>
      </c>
      <c r="M201" s="429">
        <f ca="1">IF($A201="S",VTOTALBM,IF($A201=0,0,ROUND(SomaAgrupBM,15-13*ORÇAMENTO!$AF$11)))</f>
        <v>0</v>
      </c>
      <c r="N201" s="430">
        <f t="shared" ca="1" si="29"/>
        <v>0</v>
      </c>
      <c r="O201" s="154">
        <f ca="1">IF($A201="S",VTOTALBM,IF($A201=0,0,ROUND(SomaAgrupBM,15-13*ORÇAMENTO!$AF$11)))</f>
        <v>0</v>
      </c>
      <c r="Q201" s="431"/>
      <c r="R201" s="432"/>
      <c r="T201" s="146" t="str">
        <f t="shared" ca="1" si="30"/>
        <v/>
      </c>
      <c r="U201" s="206" t="str">
        <f t="shared" ca="1" si="31"/>
        <v/>
      </c>
      <c r="V201" s="207" t="str">
        <f t="shared" ca="1" si="32"/>
        <v/>
      </c>
      <c r="W201" s="634">
        <f ca="1">IF($Y201&gt;0,CHOOSE(MATCH(RegimeExecucao,{"Unitário","Global"},0),IF($A201="S",$Y201/$X201,""),($Y201/$X201)*100),0)</f>
        <v>0</v>
      </c>
      <c r="X201" s="433" t="str">
        <f ca="1">IF($Y201&gt;0,CHOOSE(MATCH(RegimeExecucao,{"Unitário","Global"},0),IF($A201="S",ROUND($H201,ORÇAMENTO!$AF$10),""),ROUND($I201,ORÇAMENTO!$AF$11)),"")</f>
        <v/>
      </c>
      <c r="Y201" s="433">
        <f t="shared" ca="1" si="33"/>
        <v>0</v>
      </c>
      <c r="Z201" s="434"/>
      <c r="AB201" s="431"/>
      <c r="AC201" s="599"/>
      <c r="AD201" s="599"/>
      <c r="AE201" s="599"/>
      <c r="AF201" s="599"/>
      <c r="AG201" s="599"/>
      <c r="AH201" s="599"/>
      <c r="AI201" s="599"/>
      <c r="AJ201" s="599"/>
      <c r="AK201" s="599"/>
      <c r="AL201" s="599"/>
      <c r="AM201" s="432"/>
      <c r="AO201">
        <f ca="1">IF($A201="S",IF(BM!$I201=0,0,CHOOSE(MATCH(RegimeExecucao,{"Global","Unitário"},0),ROUND(ROUND(BM.MEDAcumulado,15-13*BM!$A$9)/100*BM!$I201,15-13*ORÇAMENTO!$AF$11),ROUND(ROUND(BM.MEDAcumulado,15-13*BM!$A$9)*ROUND(BM!$H201,15-13*ORÇAMENTO!$AF$10),15-13*ORÇAMENTO!$AF$11))),IF($A201=0,0,ROUND(SomaAgrupBM,15-13*ORÇAMENTO!$AF$11)))</f>
        <v>0</v>
      </c>
    </row>
    <row r="202" spans="1:41" ht="13.8" x14ac:dyDescent="0.3">
      <c r="A202" t="str">
        <f ca="1">ORÇAMENTO!C202</f>
        <v>S</v>
      </c>
      <c r="B202">
        <f ca="1">ORÇAMENTO!D202</f>
        <v>0</v>
      </c>
      <c r="C202" s="143" t="str">
        <f t="shared" ca="1" si="23"/>
        <v/>
      </c>
      <c r="D202" s="146" t="str">
        <f ca="1">ORÇAMENTO!O202</f>
        <v>-</v>
      </c>
      <c r="E202" s="206" t="str">
        <f t="shared" ca="1" si="24"/>
        <v>(abra o arquivo 'Referência 05-2024.xls)</v>
      </c>
      <c r="F202" s="207" t="str">
        <f t="shared" ca="1" si="25"/>
        <v>-</v>
      </c>
      <c r="G202" s="151">
        <f ca="1">IF(RegimeExecucao="Global","",ORÇAMENTO!T202)</f>
        <v>53.55</v>
      </c>
      <c r="H202" s="151">
        <f ca="1">IF(RegimeExecucao="Global","",ORÇAMENTO!W202)</f>
        <v>0</v>
      </c>
      <c r="I202" s="154">
        <f ca="1">ORÇAMENTO!X202</f>
        <v>0</v>
      </c>
      <c r="J202" s="427">
        <f t="shared" ca="1" si="26"/>
        <v>0</v>
      </c>
      <c r="K202" s="151">
        <f t="shared" ca="1" si="27"/>
        <v>0</v>
      </c>
      <c r="L202" s="428">
        <f t="shared" ca="1" si="28"/>
        <v>0</v>
      </c>
      <c r="M202" s="429">
        <f ca="1">IF($A202="S",VTOTALBM,IF($A202=0,0,ROUND(SomaAgrupBM,15-13*ORÇAMENTO!$AF$11)))</f>
        <v>0</v>
      </c>
      <c r="N202" s="430">
        <f t="shared" ca="1" si="29"/>
        <v>0</v>
      </c>
      <c r="O202" s="154">
        <f ca="1">IF($A202="S",VTOTALBM,IF($A202=0,0,ROUND(SomaAgrupBM,15-13*ORÇAMENTO!$AF$11)))</f>
        <v>0</v>
      </c>
      <c r="Q202" s="431"/>
      <c r="R202" s="432"/>
      <c r="T202" s="146" t="str">
        <f t="shared" ca="1" si="30"/>
        <v/>
      </c>
      <c r="U202" s="206" t="str">
        <f t="shared" ca="1" si="31"/>
        <v/>
      </c>
      <c r="V202" s="207" t="str">
        <f t="shared" ca="1" si="32"/>
        <v/>
      </c>
      <c r="W202" s="634">
        <f ca="1">IF($Y202&gt;0,CHOOSE(MATCH(RegimeExecucao,{"Unitário","Global"},0),IF($A202="S",$Y202/$X202,""),($Y202/$X202)*100),0)</f>
        <v>0</v>
      </c>
      <c r="X202" s="433" t="str">
        <f ca="1">IF($Y202&gt;0,CHOOSE(MATCH(RegimeExecucao,{"Unitário","Global"},0),IF($A202="S",ROUND($H202,ORÇAMENTO!$AF$10),""),ROUND($I202,ORÇAMENTO!$AF$11)),"")</f>
        <v/>
      </c>
      <c r="Y202" s="433">
        <f t="shared" ca="1" si="33"/>
        <v>0</v>
      </c>
      <c r="Z202" s="434"/>
      <c r="AB202" s="431"/>
      <c r="AC202" s="599"/>
      <c r="AD202" s="599"/>
      <c r="AE202" s="599"/>
      <c r="AF202" s="599"/>
      <c r="AG202" s="599"/>
      <c r="AH202" s="599"/>
      <c r="AI202" s="599"/>
      <c r="AJ202" s="599"/>
      <c r="AK202" s="599"/>
      <c r="AL202" s="599"/>
      <c r="AM202" s="432"/>
      <c r="AO202">
        <f ca="1">IF($A202="S",IF(BM!$I202=0,0,CHOOSE(MATCH(RegimeExecucao,{"Global","Unitário"},0),ROUND(ROUND(BM.MEDAcumulado,15-13*BM!$A$9)/100*BM!$I202,15-13*ORÇAMENTO!$AF$11),ROUND(ROUND(BM.MEDAcumulado,15-13*BM!$A$9)*ROUND(BM!$H202,15-13*ORÇAMENTO!$AF$10),15-13*ORÇAMENTO!$AF$11))),IF($A202=0,0,ROUND(SomaAgrupBM,15-13*ORÇAMENTO!$AF$11)))</f>
        <v>0</v>
      </c>
    </row>
    <row r="203" spans="1:41" ht="13.8" x14ac:dyDescent="0.3">
      <c r="A203" t="str">
        <f ca="1">ORÇAMENTO!C203</f>
        <v>S</v>
      </c>
      <c r="B203">
        <f ca="1">ORÇAMENTO!D203</f>
        <v>0</v>
      </c>
      <c r="C203" s="143" t="str">
        <f t="shared" ca="1" si="23"/>
        <v/>
      </c>
      <c r="D203" s="146" t="str">
        <f ca="1">ORÇAMENTO!O203</f>
        <v>-</v>
      </c>
      <c r="E203" s="206" t="str">
        <f t="shared" ca="1" si="24"/>
        <v>(abra o arquivo 'Referência 05-2024.xls)</v>
      </c>
      <c r="F203" s="207" t="str">
        <f t="shared" ca="1" si="25"/>
        <v>-</v>
      </c>
      <c r="G203" s="151">
        <f ca="1">IF(RegimeExecucao="Global","",ORÇAMENTO!T203)</f>
        <v>12.6</v>
      </c>
      <c r="H203" s="151">
        <f ca="1">IF(RegimeExecucao="Global","",ORÇAMENTO!W203)</f>
        <v>0</v>
      </c>
      <c r="I203" s="154">
        <f ca="1">ORÇAMENTO!X203</f>
        <v>0</v>
      </c>
      <c r="J203" s="427">
        <f t="shared" ca="1" si="26"/>
        <v>0</v>
      </c>
      <c r="K203" s="151">
        <f t="shared" ca="1" si="27"/>
        <v>0</v>
      </c>
      <c r="L203" s="428">
        <f t="shared" ca="1" si="28"/>
        <v>0</v>
      </c>
      <c r="M203" s="429">
        <f ca="1">IF($A203="S",VTOTALBM,IF($A203=0,0,ROUND(SomaAgrupBM,15-13*ORÇAMENTO!$AF$11)))</f>
        <v>0</v>
      </c>
      <c r="N203" s="430">
        <f t="shared" ca="1" si="29"/>
        <v>0</v>
      </c>
      <c r="O203" s="154">
        <f ca="1">IF($A203="S",VTOTALBM,IF($A203=0,0,ROUND(SomaAgrupBM,15-13*ORÇAMENTO!$AF$11)))</f>
        <v>0</v>
      </c>
      <c r="Q203" s="431"/>
      <c r="R203" s="432"/>
      <c r="T203" s="146" t="str">
        <f t="shared" ca="1" si="30"/>
        <v/>
      </c>
      <c r="U203" s="206" t="str">
        <f t="shared" ca="1" si="31"/>
        <v/>
      </c>
      <c r="V203" s="207" t="str">
        <f t="shared" ca="1" si="32"/>
        <v/>
      </c>
      <c r="W203" s="634">
        <f ca="1">IF($Y203&gt;0,CHOOSE(MATCH(RegimeExecucao,{"Unitário","Global"},0),IF($A203="S",$Y203/$X203,""),($Y203/$X203)*100),0)</f>
        <v>0</v>
      </c>
      <c r="X203" s="433" t="str">
        <f ca="1">IF($Y203&gt;0,CHOOSE(MATCH(RegimeExecucao,{"Unitário","Global"},0),IF($A203="S",ROUND($H203,ORÇAMENTO!$AF$10),""),ROUND($I203,ORÇAMENTO!$AF$11)),"")</f>
        <v/>
      </c>
      <c r="Y203" s="433">
        <f t="shared" ca="1" si="33"/>
        <v>0</v>
      </c>
      <c r="Z203" s="434"/>
      <c r="AB203" s="431"/>
      <c r="AC203" s="599"/>
      <c r="AD203" s="599"/>
      <c r="AE203" s="599"/>
      <c r="AF203" s="599"/>
      <c r="AG203" s="599"/>
      <c r="AH203" s="599"/>
      <c r="AI203" s="599"/>
      <c r="AJ203" s="599"/>
      <c r="AK203" s="599"/>
      <c r="AL203" s="599"/>
      <c r="AM203" s="432"/>
      <c r="AO203">
        <f ca="1">IF($A203="S",IF(BM!$I203=0,0,CHOOSE(MATCH(RegimeExecucao,{"Global","Unitário"},0),ROUND(ROUND(BM.MEDAcumulado,15-13*BM!$A$9)/100*BM!$I203,15-13*ORÇAMENTO!$AF$11),ROUND(ROUND(BM.MEDAcumulado,15-13*BM!$A$9)*ROUND(BM!$H203,15-13*ORÇAMENTO!$AF$10),15-13*ORÇAMENTO!$AF$11))),IF($A203=0,0,ROUND(SomaAgrupBM,15-13*ORÇAMENTO!$AF$11)))</f>
        <v>0</v>
      </c>
    </row>
    <row r="204" spans="1:41" ht="13.8" x14ac:dyDescent="0.3">
      <c r="A204" t="str">
        <f ca="1">ORÇAMENTO!C204</f>
        <v>S</v>
      </c>
      <c r="B204">
        <f ca="1">ORÇAMENTO!D204</f>
        <v>0</v>
      </c>
      <c r="C204" s="143" t="str">
        <f t="shared" ca="1" si="23"/>
        <v/>
      </c>
      <c r="D204" s="146" t="str">
        <f ca="1">ORÇAMENTO!O204</f>
        <v>-</v>
      </c>
      <c r="E204" s="206" t="str">
        <f t="shared" ca="1" si="24"/>
        <v>(abra o arquivo 'Referência 05-2024.xls)</v>
      </c>
      <c r="F204" s="207" t="str">
        <f t="shared" ca="1" si="25"/>
        <v>-</v>
      </c>
      <c r="G204" s="151">
        <f ca="1">IF(RegimeExecucao="Global","",ORÇAMENTO!T204)</f>
        <v>2.4</v>
      </c>
      <c r="H204" s="151">
        <f ca="1">IF(RegimeExecucao="Global","",ORÇAMENTO!W204)</f>
        <v>0</v>
      </c>
      <c r="I204" s="154">
        <f ca="1">ORÇAMENTO!X204</f>
        <v>0</v>
      </c>
      <c r="J204" s="427">
        <f t="shared" ca="1" si="26"/>
        <v>0</v>
      </c>
      <c r="K204" s="151">
        <f t="shared" ca="1" si="27"/>
        <v>0</v>
      </c>
      <c r="L204" s="428">
        <f t="shared" ca="1" si="28"/>
        <v>0</v>
      </c>
      <c r="M204" s="429">
        <f ca="1">IF($A204="S",VTOTALBM,IF($A204=0,0,ROUND(SomaAgrupBM,15-13*ORÇAMENTO!$AF$11)))</f>
        <v>0</v>
      </c>
      <c r="N204" s="430">
        <f t="shared" ca="1" si="29"/>
        <v>0</v>
      </c>
      <c r="O204" s="154">
        <f ca="1">IF($A204="S",VTOTALBM,IF($A204=0,0,ROUND(SomaAgrupBM,15-13*ORÇAMENTO!$AF$11)))</f>
        <v>0</v>
      </c>
      <c r="Q204" s="431"/>
      <c r="R204" s="432"/>
      <c r="T204" s="146" t="str">
        <f t="shared" ca="1" si="30"/>
        <v/>
      </c>
      <c r="U204" s="206" t="str">
        <f t="shared" ca="1" si="31"/>
        <v/>
      </c>
      <c r="V204" s="207" t="str">
        <f t="shared" ca="1" si="32"/>
        <v/>
      </c>
      <c r="W204" s="634">
        <f ca="1">IF($Y204&gt;0,CHOOSE(MATCH(RegimeExecucao,{"Unitário","Global"},0),IF($A204="S",$Y204/$X204,""),($Y204/$X204)*100),0)</f>
        <v>0</v>
      </c>
      <c r="X204" s="433" t="str">
        <f ca="1">IF($Y204&gt;0,CHOOSE(MATCH(RegimeExecucao,{"Unitário","Global"},0),IF($A204="S",ROUND($H204,ORÇAMENTO!$AF$10),""),ROUND($I204,ORÇAMENTO!$AF$11)),"")</f>
        <v/>
      </c>
      <c r="Y204" s="433">
        <f t="shared" ca="1" si="33"/>
        <v>0</v>
      </c>
      <c r="Z204" s="434"/>
      <c r="AB204" s="431"/>
      <c r="AC204" s="599"/>
      <c r="AD204" s="599"/>
      <c r="AE204" s="599"/>
      <c r="AF204" s="599"/>
      <c r="AG204" s="599"/>
      <c r="AH204" s="599"/>
      <c r="AI204" s="599"/>
      <c r="AJ204" s="599"/>
      <c r="AK204" s="599"/>
      <c r="AL204" s="599"/>
      <c r="AM204" s="432"/>
      <c r="AO204">
        <f ca="1">IF($A204="S",IF(BM!$I204=0,0,CHOOSE(MATCH(RegimeExecucao,{"Global","Unitário"},0),ROUND(ROUND(BM.MEDAcumulado,15-13*BM!$A$9)/100*BM!$I204,15-13*ORÇAMENTO!$AF$11),ROUND(ROUND(BM.MEDAcumulado,15-13*BM!$A$9)*ROUND(BM!$H204,15-13*ORÇAMENTO!$AF$10),15-13*ORÇAMENTO!$AF$11))),IF($A204=0,0,ROUND(SomaAgrupBM,15-13*ORÇAMENTO!$AF$11)))</f>
        <v>0</v>
      </c>
    </row>
    <row r="205" spans="1:41" ht="13.8" x14ac:dyDescent="0.3">
      <c r="A205" t="str">
        <f ca="1">ORÇAMENTO!C205</f>
        <v>S</v>
      </c>
      <c r="B205">
        <f ca="1">ORÇAMENTO!D205</f>
        <v>0</v>
      </c>
      <c r="C205" s="143" t="str">
        <f t="shared" ca="1" si="23"/>
        <v/>
      </c>
      <c r="D205" s="146" t="str">
        <f ca="1">ORÇAMENTO!O205</f>
        <v>-</v>
      </c>
      <c r="E205" s="206" t="str">
        <f t="shared" ca="1" si="24"/>
        <v>(abra o arquivo 'Referência 05-2024.xls)</v>
      </c>
      <c r="F205" s="207" t="str">
        <f t="shared" ca="1" si="25"/>
        <v>-</v>
      </c>
      <c r="G205" s="151">
        <f ca="1">IF(RegimeExecucao="Global","",ORÇAMENTO!T205)</f>
        <v>20.16</v>
      </c>
      <c r="H205" s="151">
        <f ca="1">IF(RegimeExecucao="Global","",ORÇAMENTO!W205)</f>
        <v>0</v>
      </c>
      <c r="I205" s="154">
        <f ca="1">ORÇAMENTO!X205</f>
        <v>0</v>
      </c>
      <c r="J205" s="427">
        <f t="shared" ca="1" si="26"/>
        <v>0</v>
      </c>
      <c r="K205" s="151">
        <f t="shared" ca="1" si="27"/>
        <v>0</v>
      </c>
      <c r="L205" s="428">
        <f t="shared" ca="1" si="28"/>
        <v>0</v>
      </c>
      <c r="M205" s="429">
        <f ca="1">IF($A205="S",VTOTALBM,IF($A205=0,0,ROUND(SomaAgrupBM,15-13*ORÇAMENTO!$AF$11)))</f>
        <v>0</v>
      </c>
      <c r="N205" s="430">
        <f t="shared" ca="1" si="29"/>
        <v>0</v>
      </c>
      <c r="O205" s="154">
        <f ca="1">IF($A205="S",VTOTALBM,IF($A205=0,0,ROUND(SomaAgrupBM,15-13*ORÇAMENTO!$AF$11)))</f>
        <v>0</v>
      </c>
      <c r="Q205" s="431"/>
      <c r="R205" s="432"/>
      <c r="T205" s="146" t="str">
        <f t="shared" ca="1" si="30"/>
        <v/>
      </c>
      <c r="U205" s="206" t="str">
        <f t="shared" ca="1" si="31"/>
        <v/>
      </c>
      <c r="V205" s="207" t="str">
        <f t="shared" ca="1" si="32"/>
        <v/>
      </c>
      <c r="W205" s="634">
        <f ca="1">IF($Y205&gt;0,CHOOSE(MATCH(RegimeExecucao,{"Unitário","Global"},0),IF($A205="S",$Y205/$X205,""),($Y205/$X205)*100),0)</f>
        <v>0</v>
      </c>
      <c r="X205" s="433" t="str">
        <f ca="1">IF($Y205&gt;0,CHOOSE(MATCH(RegimeExecucao,{"Unitário","Global"},0),IF($A205="S",ROUND($H205,ORÇAMENTO!$AF$10),""),ROUND($I205,ORÇAMENTO!$AF$11)),"")</f>
        <v/>
      </c>
      <c r="Y205" s="433">
        <f t="shared" ca="1" si="33"/>
        <v>0</v>
      </c>
      <c r="Z205" s="434"/>
      <c r="AB205" s="431"/>
      <c r="AC205" s="599"/>
      <c r="AD205" s="599"/>
      <c r="AE205" s="599"/>
      <c r="AF205" s="599"/>
      <c r="AG205" s="599"/>
      <c r="AH205" s="599"/>
      <c r="AI205" s="599"/>
      <c r="AJ205" s="599"/>
      <c r="AK205" s="599"/>
      <c r="AL205" s="599"/>
      <c r="AM205" s="432"/>
      <c r="AO205">
        <f ca="1">IF($A205="S",IF(BM!$I205=0,0,CHOOSE(MATCH(RegimeExecucao,{"Global","Unitário"},0),ROUND(ROUND(BM.MEDAcumulado,15-13*BM!$A$9)/100*BM!$I205,15-13*ORÇAMENTO!$AF$11),ROUND(ROUND(BM.MEDAcumulado,15-13*BM!$A$9)*ROUND(BM!$H205,15-13*ORÇAMENTO!$AF$10),15-13*ORÇAMENTO!$AF$11))),IF($A205=0,0,ROUND(SomaAgrupBM,15-13*ORÇAMENTO!$AF$11)))</f>
        <v>0</v>
      </c>
    </row>
    <row r="206" spans="1:41" ht="13.8" x14ac:dyDescent="0.3">
      <c r="A206" t="str">
        <f ca="1">ORÇAMENTO!C206</f>
        <v>S</v>
      </c>
      <c r="B206">
        <f ca="1">ORÇAMENTO!D206</f>
        <v>0</v>
      </c>
      <c r="C206" s="143" t="str">
        <f t="shared" ca="1" si="23"/>
        <v/>
      </c>
      <c r="D206" s="146" t="str">
        <f ca="1">ORÇAMENTO!O206</f>
        <v>-</v>
      </c>
      <c r="E206" s="206" t="str">
        <f t="shared" ca="1" si="24"/>
        <v>(abra o arquivo 'Referência 05-2024.xls)</v>
      </c>
      <c r="F206" s="207" t="str">
        <f t="shared" ca="1" si="25"/>
        <v>-</v>
      </c>
      <c r="G206" s="151">
        <f ca="1">IF(RegimeExecucao="Global","",ORÇAMENTO!T206)</f>
        <v>3.36</v>
      </c>
      <c r="H206" s="151">
        <f ca="1">IF(RegimeExecucao="Global","",ORÇAMENTO!W206)</f>
        <v>0</v>
      </c>
      <c r="I206" s="154">
        <f ca="1">ORÇAMENTO!X206</f>
        <v>0</v>
      </c>
      <c r="J206" s="427">
        <f t="shared" ca="1" si="26"/>
        <v>0</v>
      </c>
      <c r="K206" s="151">
        <f t="shared" ca="1" si="27"/>
        <v>0</v>
      </c>
      <c r="L206" s="428">
        <f t="shared" ca="1" si="28"/>
        <v>0</v>
      </c>
      <c r="M206" s="429">
        <f ca="1">IF($A206="S",VTOTALBM,IF($A206=0,0,ROUND(SomaAgrupBM,15-13*ORÇAMENTO!$AF$11)))</f>
        <v>0</v>
      </c>
      <c r="N206" s="430">
        <f t="shared" ca="1" si="29"/>
        <v>0</v>
      </c>
      <c r="O206" s="154">
        <f ca="1">IF($A206="S",VTOTALBM,IF($A206=0,0,ROUND(SomaAgrupBM,15-13*ORÇAMENTO!$AF$11)))</f>
        <v>0</v>
      </c>
      <c r="Q206" s="431"/>
      <c r="R206" s="432"/>
      <c r="T206" s="146" t="str">
        <f t="shared" ca="1" si="30"/>
        <v/>
      </c>
      <c r="U206" s="206" t="str">
        <f t="shared" ca="1" si="31"/>
        <v/>
      </c>
      <c r="V206" s="207" t="str">
        <f t="shared" ca="1" si="32"/>
        <v/>
      </c>
      <c r="W206" s="634">
        <f ca="1">IF($Y206&gt;0,CHOOSE(MATCH(RegimeExecucao,{"Unitário","Global"},0),IF($A206="S",$Y206/$X206,""),($Y206/$X206)*100),0)</f>
        <v>0</v>
      </c>
      <c r="X206" s="433" t="str">
        <f ca="1">IF($Y206&gt;0,CHOOSE(MATCH(RegimeExecucao,{"Unitário","Global"},0),IF($A206="S",ROUND($H206,ORÇAMENTO!$AF$10),""),ROUND($I206,ORÇAMENTO!$AF$11)),"")</f>
        <v/>
      </c>
      <c r="Y206" s="433">
        <f t="shared" ca="1" si="33"/>
        <v>0</v>
      </c>
      <c r="Z206" s="434"/>
      <c r="AB206" s="431"/>
      <c r="AC206" s="599"/>
      <c r="AD206" s="599"/>
      <c r="AE206" s="599"/>
      <c r="AF206" s="599"/>
      <c r="AG206" s="599"/>
      <c r="AH206" s="599"/>
      <c r="AI206" s="599"/>
      <c r="AJ206" s="599"/>
      <c r="AK206" s="599"/>
      <c r="AL206" s="599"/>
      <c r="AM206" s="432"/>
      <c r="AO206">
        <f ca="1">IF($A206="S",IF(BM!$I206=0,0,CHOOSE(MATCH(RegimeExecucao,{"Global","Unitário"},0),ROUND(ROUND(BM.MEDAcumulado,15-13*BM!$A$9)/100*BM!$I206,15-13*ORÇAMENTO!$AF$11),ROUND(ROUND(BM.MEDAcumulado,15-13*BM!$A$9)*ROUND(BM!$H206,15-13*ORÇAMENTO!$AF$10),15-13*ORÇAMENTO!$AF$11))),IF($A206=0,0,ROUND(SomaAgrupBM,15-13*ORÇAMENTO!$AF$11)))</f>
        <v>0</v>
      </c>
    </row>
    <row r="207" spans="1:41" ht="13.8" x14ac:dyDescent="0.3">
      <c r="A207" t="str">
        <f ca="1">ORÇAMENTO!C207</f>
        <v>S</v>
      </c>
      <c r="B207">
        <f ca="1">ORÇAMENTO!D207</f>
        <v>0</v>
      </c>
      <c r="C207" s="143" t="str">
        <f t="shared" ref="C207:C270" ca="1" si="34">IF(OR($I207&gt;0,$A207=1,$A207=2,$A207=3,$A207=4),"F","")</f>
        <v/>
      </c>
      <c r="D207" s="146" t="str">
        <f ca="1">ORÇAMENTO!O207</f>
        <v>-</v>
      </c>
      <c r="E207" s="206" t="str">
        <f t="shared" ref="E207:E270" ca="1" si="35">ORÇAMENTO.Descricao</f>
        <v>(abra o arquivo 'Referência 05-2024.xls)</v>
      </c>
      <c r="F207" s="207" t="str">
        <f t="shared" ref="F207:F270" ca="1" si="36">IF(RegimeExecucao="Global","",ORÇAMENTO.Unidade)</f>
        <v>-</v>
      </c>
      <c r="G207" s="151">
        <f ca="1">IF(RegimeExecucao="Global","",ORÇAMENTO!T207)</f>
        <v>15.54</v>
      </c>
      <c r="H207" s="151">
        <f ca="1">IF(RegimeExecucao="Global","",ORÇAMENTO!W207)</f>
        <v>0</v>
      </c>
      <c r="I207" s="154">
        <f ca="1">ORÇAMENTO!X207</f>
        <v>0</v>
      </c>
      <c r="J207" s="427">
        <f t="shared" ref="J207:J270" ca="1" si="37">IF($A207="S",IF(CAIXA.Modo,BM.AFAnterior,BM.MEDAnterior),IF(AND(RegimeExecucao="Global",$I207&gt;0,COUNTIF($AB$13:$AM$13,BM.medicao-1)&gt;0),M207/$I207*100,0))</f>
        <v>0</v>
      </c>
      <c r="K207" s="151">
        <f t="shared" ref="K207:K270" ca="1" si="38">L207-J207</f>
        <v>0</v>
      </c>
      <c r="L207" s="428">
        <f t="shared" ref="L207:L270" ca="1" si="39">IF($A207="S",IF(CAIXA.Modo,BM.AFAcumulado,BM.MEDAcumulado),IF(AND(RegimeExecucao="Global",$I207&gt;0,COUNTIF($AB$13:$AM$13,BM.medicao)&gt;0),O207/$I207*100,0))</f>
        <v>0</v>
      </c>
      <c r="M207" s="429">
        <f ca="1">IF($A207="S",VTOTALBM,IF($A207=0,0,ROUND(SomaAgrupBM,15-13*ORÇAMENTO!$AF$11)))</f>
        <v>0</v>
      </c>
      <c r="N207" s="430">
        <f t="shared" ref="N207:N270" ca="1" si="40">O207-M207</f>
        <v>0</v>
      </c>
      <c r="O207" s="154">
        <f ca="1">IF($A207="S",VTOTALBM,IF($A207=0,0,ROUND(SomaAgrupBM,15-13*ORÇAMENTO!$AF$11)))</f>
        <v>0</v>
      </c>
      <c r="Q207" s="431"/>
      <c r="R207" s="432"/>
      <c r="T207" s="146" t="str">
        <f t="shared" ref="T207:T270" ca="1" si="41">IF($W207&gt;0,$D207,"")</f>
        <v/>
      </c>
      <c r="U207" s="206" t="str">
        <f t="shared" ref="U207:U270" ca="1" si="42">IF($W207&gt;0,$E207,"")</f>
        <v/>
      </c>
      <c r="V207" s="207" t="str">
        <f t="shared" ref="V207:V270" ca="1" si="43">IF(AND($W207&gt;0,RegimeExecucao="Unitário"),$F207,"")</f>
        <v/>
      </c>
      <c r="W207" s="634">
        <f ca="1">IF($Y207&gt;0,CHOOSE(MATCH(RegimeExecucao,{"Unitário","Global"},0),IF($A207="S",$Y207/$X207,""),($Y207/$X207)*100),0)</f>
        <v>0</v>
      </c>
      <c r="X207" s="433" t="str">
        <f ca="1">IF($Y207&gt;0,CHOOSE(MATCH(RegimeExecucao,{"Unitário","Global"},0),IF($A207="S",ROUND($H207,ORÇAMENTO!$AF$10),""),ROUND($I207,ORÇAMENTO!$AF$11)),"")</f>
        <v/>
      </c>
      <c r="Y207" s="433">
        <f t="shared" ref="Y207:Y270" ca="1" si="44">AO207-O207</f>
        <v>0</v>
      </c>
      <c r="Z207" s="434"/>
      <c r="AB207" s="431"/>
      <c r="AC207" s="599"/>
      <c r="AD207" s="599"/>
      <c r="AE207" s="599"/>
      <c r="AF207" s="599"/>
      <c r="AG207" s="599"/>
      <c r="AH207" s="599"/>
      <c r="AI207" s="599"/>
      <c r="AJ207" s="599"/>
      <c r="AK207" s="599"/>
      <c r="AL207" s="599"/>
      <c r="AM207" s="432"/>
      <c r="AO207">
        <f ca="1">IF($A207="S",IF(BM!$I207=0,0,CHOOSE(MATCH(RegimeExecucao,{"Global","Unitário"},0),ROUND(ROUND(BM.MEDAcumulado,15-13*BM!$A$9)/100*BM!$I207,15-13*ORÇAMENTO!$AF$11),ROUND(ROUND(BM.MEDAcumulado,15-13*BM!$A$9)*ROUND(BM!$H207,15-13*ORÇAMENTO!$AF$10),15-13*ORÇAMENTO!$AF$11))),IF($A207=0,0,ROUND(SomaAgrupBM,15-13*ORÇAMENTO!$AF$11)))</f>
        <v>0</v>
      </c>
    </row>
    <row r="208" spans="1:41" ht="13.8" x14ac:dyDescent="0.3">
      <c r="A208" t="str">
        <f ca="1">ORÇAMENTO!C208</f>
        <v>S</v>
      </c>
      <c r="B208">
        <f ca="1">ORÇAMENTO!D208</f>
        <v>0</v>
      </c>
      <c r="C208" s="143" t="str">
        <f t="shared" ca="1" si="34"/>
        <v/>
      </c>
      <c r="D208" s="146" t="str">
        <f ca="1">ORÇAMENTO!O208</f>
        <v>-</v>
      </c>
      <c r="E208" s="206" t="str">
        <f t="shared" ca="1" si="35"/>
        <v>(abra o arquivo 'Referência 05-2024.xls)</v>
      </c>
      <c r="F208" s="207" t="str">
        <f t="shared" ca="1" si="36"/>
        <v>-</v>
      </c>
      <c r="G208" s="151">
        <f ca="1">IF(RegimeExecucao="Global","",ORÇAMENTO!T208)</f>
        <v>16.8</v>
      </c>
      <c r="H208" s="151">
        <f ca="1">IF(RegimeExecucao="Global","",ORÇAMENTO!W208)</f>
        <v>0</v>
      </c>
      <c r="I208" s="154">
        <f ca="1">ORÇAMENTO!X208</f>
        <v>0</v>
      </c>
      <c r="J208" s="427">
        <f t="shared" ca="1" si="37"/>
        <v>0</v>
      </c>
      <c r="K208" s="151">
        <f t="shared" ca="1" si="38"/>
        <v>0</v>
      </c>
      <c r="L208" s="428">
        <f t="shared" ca="1" si="39"/>
        <v>0</v>
      </c>
      <c r="M208" s="429">
        <f ca="1">IF($A208="S",VTOTALBM,IF($A208=0,0,ROUND(SomaAgrupBM,15-13*ORÇAMENTO!$AF$11)))</f>
        <v>0</v>
      </c>
      <c r="N208" s="430">
        <f t="shared" ca="1" si="40"/>
        <v>0</v>
      </c>
      <c r="O208" s="154">
        <f ca="1">IF($A208="S",VTOTALBM,IF($A208=0,0,ROUND(SomaAgrupBM,15-13*ORÇAMENTO!$AF$11)))</f>
        <v>0</v>
      </c>
      <c r="Q208" s="431"/>
      <c r="R208" s="432"/>
      <c r="T208" s="146" t="str">
        <f t="shared" ca="1" si="41"/>
        <v/>
      </c>
      <c r="U208" s="206" t="str">
        <f t="shared" ca="1" si="42"/>
        <v/>
      </c>
      <c r="V208" s="207" t="str">
        <f t="shared" ca="1" si="43"/>
        <v/>
      </c>
      <c r="W208" s="634">
        <f ca="1">IF($Y208&gt;0,CHOOSE(MATCH(RegimeExecucao,{"Unitário","Global"},0),IF($A208="S",$Y208/$X208,""),($Y208/$X208)*100),0)</f>
        <v>0</v>
      </c>
      <c r="X208" s="433" t="str">
        <f ca="1">IF($Y208&gt;0,CHOOSE(MATCH(RegimeExecucao,{"Unitário","Global"},0),IF($A208="S",ROUND($H208,ORÇAMENTO!$AF$10),""),ROUND($I208,ORÇAMENTO!$AF$11)),"")</f>
        <v/>
      </c>
      <c r="Y208" s="433">
        <f t="shared" ca="1" si="44"/>
        <v>0</v>
      </c>
      <c r="Z208" s="434"/>
      <c r="AB208" s="431"/>
      <c r="AC208" s="599"/>
      <c r="AD208" s="599"/>
      <c r="AE208" s="599"/>
      <c r="AF208" s="599"/>
      <c r="AG208" s="599"/>
      <c r="AH208" s="599"/>
      <c r="AI208" s="599"/>
      <c r="AJ208" s="599"/>
      <c r="AK208" s="599"/>
      <c r="AL208" s="599"/>
      <c r="AM208" s="432"/>
      <c r="AO208">
        <f ca="1">IF($A208="S",IF(BM!$I208=0,0,CHOOSE(MATCH(RegimeExecucao,{"Global","Unitário"},0),ROUND(ROUND(BM.MEDAcumulado,15-13*BM!$A$9)/100*BM!$I208,15-13*ORÇAMENTO!$AF$11),ROUND(ROUND(BM.MEDAcumulado,15-13*BM!$A$9)*ROUND(BM!$H208,15-13*ORÇAMENTO!$AF$10),15-13*ORÇAMENTO!$AF$11))),IF($A208=0,0,ROUND(SomaAgrupBM,15-13*ORÇAMENTO!$AF$11)))</f>
        <v>0</v>
      </c>
    </row>
    <row r="209" spans="1:41" ht="13.8" x14ac:dyDescent="0.3">
      <c r="A209" t="str">
        <f ca="1">ORÇAMENTO!C209</f>
        <v>S</v>
      </c>
      <c r="B209">
        <f ca="1">ORÇAMENTO!D209</f>
        <v>0</v>
      </c>
      <c r="C209" s="143" t="str">
        <f t="shared" ca="1" si="34"/>
        <v/>
      </c>
      <c r="D209" s="146" t="str">
        <f ca="1">ORÇAMENTO!O209</f>
        <v>-</v>
      </c>
      <c r="E209" s="206" t="str">
        <f t="shared" ca="1" si="35"/>
        <v>(abra o arquivo 'Referência 05-2024.xls)</v>
      </c>
      <c r="F209" s="207" t="str">
        <f t="shared" ca="1" si="36"/>
        <v>-</v>
      </c>
      <c r="G209" s="151">
        <f ca="1">IF(RegimeExecucao="Global","",ORÇAMENTO!T209)</f>
        <v>2.73</v>
      </c>
      <c r="H209" s="151">
        <f ca="1">IF(RegimeExecucao="Global","",ORÇAMENTO!W209)</f>
        <v>0</v>
      </c>
      <c r="I209" s="154">
        <f ca="1">ORÇAMENTO!X209</f>
        <v>0</v>
      </c>
      <c r="J209" s="427">
        <f t="shared" ca="1" si="37"/>
        <v>0</v>
      </c>
      <c r="K209" s="151">
        <f t="shared" ca="1" si="38"/>
        <v>0</v>
      </c>
      <c r="L209" s="428">
        <f t="shared" ca="1" si="39"/>
        <v>0</v>
      </c>
      <c r="M209" s="429">
        <f ca="1">IF($A209="S",VTOTALBM,IF($A209=0,0,ROUND(SomaAgrupBM,15-13*ORÇAMENTO!$AF$11)))</f>
        <v>0</v>
      </c>
      <c r="N209" s="430">
        <f t="shared" ca="1" si="40"/>
        <v>0</v>
      </c>
      <c r="O209" s="154">
        <f ca="1">IF($A209="S",VTOTALBM,IF($A209=0,0,ROUND(SomaAgrupBM,15-13*ORÇAMENTO!$AF$11)))</f>
        <v>0</v>
      </c>
      <c r="Q209" s="431"/>
      <c r="R209" s="432"/>
      <c r="T209" s="146" t="str">
        <f t="shared" ca="1" si="41"/>
        <v/>
      </c>
      <c r="U209" s="206" t="str">
        <f t="shared" ca="1" si="42"/>
        <v/>
      </c>
      <c r="V209" s="207" t="str">
        <f t="shared" ca="1" si="43"/>
        <v/>
      </c>
      <c r="W209" s="634">
        <f ca="1">IF($Y209&gt;0,CHOOSE(MATCH(RegimeExecucao,{"Unitário","Global"},0),IF($A209="S",$Y209/$X209,""),($Y209/$X209)*100),0)</f>
        <v>0</v>
      </c>
      <c r="X209" s="433" t="str">
        <f ca="1">IF($Y209&gt;0,CHOOSE(MATCH(RegimeExecucao,{"Unitário","Global"},0),IF($A209="S",ROUND($H209,ORÇAMENTO!$AF$10),""),ROUND($I209,ORÇAMENTO!$AF$11)),"")</f>
        <v/>
      </c>
      <c r="Y209" s="433">
        <f t="shared" ca="1" si="44"/>
        <v>0</v>
      </c>
      <c r="Z209" s="434"/>
      <c r="AB209" s="431"/>
      <c r="AC209" s="599"/>
      <c r="AD209" s="599"/>
      <c r="AE209" s="599"/>
      <c r="AF209" s="599"/>
      <c r="AG209" s="599"/>
      <c r="AH209" s="599"/>
      <c r="AI209" s="599"/>
      <c r="AJ209" s="599"/>
      <c r="AK209" s="599"/>
      <c r="AL209" s="599"/>
      <c r="AM209" s="432"/>
      <c r="AO209">
        <f ca="1">IF($A209="S",IF(BM!$I209=0,0,CHOOSE(MATCH(RegimeExecucao,{"Global","Unitário"},0),ROUND(ROUND(BM.MEDAcumulado,15-13*BM!$A$9)/100*BM!$I209,15-13*ORÇAMENTO!$AF$11),ROUND(ROUND(BM.MEDAcumulado,15-13*BM!$A$9)*ROUND(BM!$H209,15-13*ORÇAMENTO!$AF$10),15-13*ORÇAMENTO!$AF$11))),IF($A209=0,0,ROUND(SomaAgrupBM,15-13*ORÇAMENTO!$AF$11)))</f>
        <v>0</v>
      </c>
    </row>
    <row r="210" spans="1:41" ht="13.8" x14ac:dyDescent="0.3">
      <c r="A210">
        <f ca="1">ORÇAMENTO!C210</f>
        <v>3</v>
      </c>
      <c r="B210">
        <f ca="1">ORÇAMENTO!D210</f>
        <v>2</v>
      </c>
      <c r="C210" s="143" t="str">
        <f t="shared" ca="1" si="34"/>
        <v>F</v>
      </c>
      <c r="D210" s="146" t="str">
        <f ca="1">ORÇAMENTO!O210</f>
        <v>1.6.5.</v>
      </c>
      <c r="E210" s="206" t="str">
        <f t="shared" si="35"/>
        <v>VIDROS</v>
      </c>
      <c r="F210" s="207" t="str">
        <f t="shared" ca="1" si="36"/>
        <v>-</v>
      </c>
      <c r="G210" s="151">
        <f ca="1">IF(RegimeExecucao="Global","",ORÇAMENTO!T210)</f>
        <v>0</v>
      </c>
      <c r="H210" s="151">
        <f ca="1">IF(RegimeExecucao="Global","",ORÇAMENTO!W210)</f>
        <v>0</v>
      </c>
      <c r="I210" s="154">
        <f ca="1">ORÇAMENTO!X210</f>
        <v>0</v>
      </c>
      <c r="J210" s="427">
        <f t="shared" ca="1" si="37"/>
        <v>0</v>
      </c>
      <c r="K210" s="151">
        <f t="shared" ca="1" si="38"/>
        <v>0</v>
      </c>
      <c r="L210" s="428">
        <f t="shared" ca="1" si="39"/>
        <v>0</v>
      </c>
      <c r="M210" s="429">
        <f ca="1">IF($A210="S",VTOTALBM,IF($A210=0,0,ROUND(SomaAgrupBM,15-13*ORÇAMENTO!$AF$11)))</f>
        <v>0</v>
      </c>
      <c r="N210" s="430">
        <f t="shared" ca="1" si="40"/>
        <v>0</v>
      </c>
      <c r="O210" s="154">
        <f ca="1">IF($A210="S",VTOTALBM,IF($A210=0,0,ROUND(SomaAgrupBM,15-13*ORÇAMENTO!$AF$11)))</f>
        <v>0</v>
      </c>
      <c r="Q210" s="431"/>
      <c r="R210" s="432"/>
      <c r="T210" s="146" t="str">
        <f t="shared" ca="1" si="41"/>
        <v/>
      </c>
      <c r="U210" s="206" t="str">
        <f t="shared" ca="1" si="42"/>
        <v/>
      </c>
      <c r="V210" s="207" t="str">
        <f t="shared" ca="1" si="43"/>
        <v/>
      </c>
      <c r="W210" s="634">
        <f ca="1">IF($Y210&gt;0,CHOOSE(MATCH(RegimeExecucao,{"Unitário","Global"},0),IF($A210="S",$Y210/$X210,""),($Y210/$X210)*100),0)</f>
        <v>0</v>
      </c>
      <c r="X210" s="433" t="str">
        <f ca="1">IF($Y210&gt;0,CHOOSE(MATCH(RegimeExecucao,{"Unitário","Global"},0),IF($A210="S",ROUND($H210,ORÇAMENTO!$AF$10),""),ROUND($I210,ORÇAMENTO!$AF$11)),"")</f>
        <v/>
      </c>
      <c r="Y210" s="433">
        <f t="shared" ca="1" si="44"/>
        <v>0</v>
      </c>
      <c r="Z210" s="434"/>
      <c r="AB210" s="431"/>
      <c r="AC210" s="599"/>
      <c r="AD210" s="599"/>
      <c r="AE210" s="599"/>
      <c r="AF210" s="599"/>
      <c r="AG210" s="599"/>
      <c r="AH210" s="599"/>
      <c r="AI210" s="599"/>
      <c r="AJ210" s="599"/>
      <c r="AK210" s="599"/>
      <c r="AL210" s="599"/>
      <c r="AM210" s="432"/>
      <c r="AO210">
        <f ca="1">IF($A210="S",IF(BM!$I210=0,0,CHOOSE(MATCH(RegimeExecucao,{"Global","Unitário"},0),ROUND(ROUND(BM.MEDAcumulado,15-13*BM!$A$9)/100*BM!$I210,15-13*ORÇAMENTO!$AF$11),ROUND(ROUND(BM.MEDAcumulado,15-13*BM!$A$9)*ROUND(BM!$H210,15-13*ORÇAMENTO!$AF$10),15-13*ORÇAMENTO!$AF$11))),IF($A210=0,0,ROUND(SomaAgrupBM,15-13*ORÇAMENTO!$AF$11)))</f>
        <v>0</v>
      </c>
    </row>
    <row r="211" spans="1:41" ht="13.8" x14ac:dyDescent="0.3">
      <c r="A211" t="str">
        <f ca="1">ORÇAMENTO!C211</f>
        <v>S</v>
      </c>
      <c r="B211">
        <f ca="1">ORÇAMENTO!D211</f>
        <v>0</v>
      </c>
      <c r="C211" s="143" t="str">
        <f t="shared" ca="1" si="34"/>
        <v/>
      </c>
      <c r="D211" s="146" t="str">
        <f ca="1">ORÇAMENTO!O211</f>
        <v>-</v>
      </c>
      <c r="E211" s="206" t="str">
        <f t="shared" ca="1" si="35"/>
        <v>(abra o arquivo 'Referência 05-2024.xls)</v>
      </c>
      <c r="F211" s="207" t="str">
        <f t="shared" ca="1" si="36"/>
        <v>-</v>
      </c>
      <c r="G211" s="151">
        <f ca="1">IF(RegimeExecucao="Global","",ORÇAMENTO!T211)</f>
        <v>6.65</v>
      </c>
      <c r="H211" s="151">
        <f ca="1">IF(RegimeExecucao="Global","",ORÇAMENTO!W211)</f>
        <v>0</v>
      </c>
      <c r="I211" s="154">
        <f ca="1">ORÇAMENTO!X211</f>
        <v>0</v>
      </c>
      <c r="J211" s="427">
        <f t="shared" ca="1" si="37"/>
        <v>0</v>
      </c>
      <c r="K211" s="151">
        <f t="shared" ca="1" si="38"/>
        <v>0</v>
      </c>
      <c r="L211" s="428">
        <f t="shared" ca="1" si="39"/>
        <v>0</v>
      </c>
      <c r="M211" s="429">
        <f ca="1">IF($A211="S",VTOTALBM,IF($A211=0,0,ROUND(SomaAgrupBM,15-13*ORÇAMENTO!$AF$11)))</f>
        <v>0</v>
      </c>
      <c r="N211" s="430">
        <f t="shared" ca="1" si="40"/>
        <v>0</v>
      </c>
      <c r="O211" s="154">
        <f ca="1">IF($A211="S",VTOTALBM,IF($A211=0,0,ROUND(SomaAgrupBM,15-13*ORÇAMENTO!$AF$11)))</f>
        <v>0</v>
      </c>
      <c r="Q211" s="431"/>
      <c r="R211" s="432"/>
      <c r="T211" s="146" t="str">
        <f t="shared" ca="1" si="41"/>
        <v/>
      </c>
      <c r="U211" s="206" t="str">
        <f t="shared" ca="1" si="42"/>
        <v/>
      </c>
      <c r="V211" s="207" t="str">
        <f t="shared" ca="1" si="43"/>
        <v/>
      </c>
      <c r="W211" s="634">
        <f ca="1">IF($Y211&gt;0,CHOOSE(MATCH(RegimeExecucao,{"Unitário","Global"},0),IF($A211="S",$Y211/$X211,""),($Y211/$X211)*100),0)</f>
        <v>0</v>
      </c>
      <c r="X211" s="433" t="str">
        <f ca="1">IF($Y211&gt;0,CHOOSE(MATCH(RegimeExecucao,{"Unitário","Global"},0),IF($A211="S",ROUND($H211,ORÇAMENTO!$AF$10),""),ROUND($I211,ORÇAMENTO!$AF$11)),"")</f>
        <v/>
      </c>
      <c r="Y211" s="433">
        <f t="shared" ca="1" si="44"/>
        <v>0</v>
      </c>
      <c r="Z211" s="434"/>
      <c r="AB211" s="431"/>
      <c r="AC211" s="599"/>
      <c r="AD211" s="599"/>
      <c r="AE211" s="599"/>
      <c r="AF211" s="599"/>
      <c r="AG211" s="599"/>
      <c r="AH211" s="599"/>
      <c r="AI211" s="599"/>
      <c r="AJ211" s="599"/>
      <c r="AK211" s="599"/>
      <c r="AL211" s="599"/>
      <c r="AM211" s="432"/>
      <c r="AO211">
        <f ca="1">IF($A211="S",IF(BM!$I211=0,0,CHOOSE(MATCH(RegimeExecucao,{"Global","Unitário"},0),ROUND(ROUND(BM.MEDAcumulado,15-13*BM!$A$9)/100*BM!$I211,15-13*ORÇAMENTO!$AF$11),ROUND(ROUND(BM.MEDAcumulado,15-13*BM!$A$9)*ROUND(BM!$H211,15-13*ORÇAMENTO!$AF$10),15-13*ORÇAMENTO!$AF$11))),IF($A211=0,0,ROUND(SomaAgrupBM,15-13*ORÇAMENTO!$AF$11)))</f>
        <v>0</v>
      </c>
    </row>
    <row r="212" spans="1:41" ht="13.8" x14ac:dyDescent="0.3">
      <c r="A212">
        <f ca="1">ORÇAMENTO!C212</f>
        <v>3</v>
      </c>
      <c r="B212">
        <f ca="1">ORÇAMENTO!D212</f>
        <v>7</v>
      </c>
      <c r="C212" s="143" t="str">
        <f t="shared" ca="1" si="34"/>
        <v>F</v>
      </c>
      <c r="D212" s="146" t="str">
        <f ca="1">ORÇAMENTO!O212</f>
        <v>1.6.6.</v>
      </c>
      <c r="E212" s="206" t="str">
        <f t="shared" si="35"/>
        <v>ESQUADRIA - GERAL</v>
      </c>
      <c r="F212" s="207" t="str">
        <f t="shared" ca="1" si="36"/>
        <v>-</v>
      </c>
      <c r="G212" s="151">
        <f ca="1">IF(RegimeExecucao="Global","",ORÇAMENTO!T212)</f>
        <v>0</v>
      </c>
      <c r="H212" s="151">
        <f ca="1">IF(RegimeExecucao="Global","",ORÇAMENTO!W212)</f>
        <v>0</v>
      </c>
      <c r="I212" s="154">
        <f ca="1">ORÇAMENTO!X212</f>
        <v>0</v>
      </c>
      <c r="J212" s="427">
        <f t="shared" ca="1" si="37"/>
        <v>0</v>
      </c>
      <c r="K212" s="151">
        <f t="shared" ca="1" si="38"/>
        <v>0</v>
      </c>
      <c r="L212" s="428">
        <f t="shared" ca="1" si="39"/>
        <v>0</v>
      </c>
      <c r="M212" s="429">
        <f ca="1">IF($A212="S",VTOTALBM,IF($A212=0,0,ROUND(SomaAgrupBM,15-13*ORÇAMENTO!$AF$11)))</f>
        <v>0</v>
      </c>
      <c r="N212" s="430">
        <f t="shared" ca="1" si="40"/>
        <v>0</v>
      </c>
      <c r="O212" s="154">
        <f ca="1">IF($A212="S",VTOTALBM,IF($A212=0,0,ROUND(SomaAgrupBM,15-13*ORÇAMENTO!$AF$11)))</f>
        <v>0</v>
      </c>
      <c r="Q212" s="431"/>
      <c r="R212" s="432"/>
      <c r="T212" s="146" t="str">
        <f t="shared" ca="1" si="41"/>
        <v/>
      </c>
      <c r="U212" s="206" t="str">
        <f t="shared" ca="1" si="42"/>
        <v/>
      </c>
      <c r="V212" s="207" t="str">
        <f t="shared" ca="1" si="43"/>
        <v/>
      </c>
      <c r="W212" s="634">
        <f ca="1">IF($Y212&gt;0,CHOOSE(MATCH(RegimeExecucao,{"Unitário","Global"},0),IF($A212="S",$Y212/$X212,""),($Y212/$X212)*100),0)</f>
        <v>0</v>
      </c>
      <c r="X212" s="433" t="str">
        <f ca="1">IF($Y212&gt;0,CHOOSE(MATCH(RegimeExecucao,{"Unitário","Global"},0),IF($A212="S",ROUND($H212,ORÇAMENTO!$AF$10),""),ROUND($I212,ORÇAMENTO!$AF$11)),"")</f>
        <v/>
      </c>
      <c r="Y212" s="433">
        <f t="shared" ca="1" si="44"/>
        <v>0</v>
      </c>
      <c r="Z212" s="434"/>
      <c r="AB212" s="431"/>
      <c r="AC212" s="599"/>
      <c r="AD212" s="599"/>
      <c r="AE212" s="599"/>
      <c r="AF212" s="599"/>
      <c r="AG212" s="599"/>
      <c r="AH212" s="599"/>
      <c r="AI212" s="599"/>
      <c r="AJ212" s="599"/>
      <c r="AK212" s="599"/>
      <c r="AL212" s="599"/>
      <c r="AM212" s="432"/>
      <c r="AO212">
        <f ca="1">IF($A212="S",IF(BM!$I212=0,0,CHOOSE(MATCH(RegimeExecucao,{"Global","Unitário"},0),ROUND(ROUND(BM.MEDAcumulado,15-13*BM!$A$9)/100*BM!$I212,15-13*ORÇAMENTO!$AF$11),ROUND(ROUND(BM.MEDAcumulado,15-13*BM!$A$9)*ROUND(BM!$H212,15-13*ORÇAMENTO!$AF$10),15-13*ORÇAMENTO!$AF$11))),IF($A212=0,0,ROUND(SomaAgrupBM,15-13*ORÇAMENTO!$AF$11)))</f>
        <v>0</v>
      </c>
    </row>
    <row r="213" spans="1:41" ht="13.8" x14ac:dyDescent="0.3">
      <c r="A213" t="str">
        <f ca="1">ORÇAMENTO!C213</f>
        <v>S</v>
      </c>
      <c r="B213">
        <f ca="1">ORÇAMENTO!D213</f>
        <v>0</v>
      </c>
      <c r="C213" s="143" t="str">
        <f t="shared" ca="1" si="34"/>
        <v/>
      </c>
      <c r="D213" s="146" t="str">
        <f ca="1">ORÇAMENTO!O213</f>
        <v>-</v>
      </c>
      <c r="E213" s="206" t="str">
        <f t="shared" ca="1" si="35"/>
        <v>(abra o arquivo 'Referência 05-2024.xls)</v>
      </c>
      <c r="F213" s="207" t="str">
        <f t="shared" ca="1" si="36"/>
        <v>-</v>
      </c>
      <c r="G213" s="151">
        <f ca="1">IF(RegimeExecucao="Global","",ORÇAMENTO!T213)</f>
        <v>10.94</v>
      </c>
      <c r="H213" s="151">
        <f ca="1">IF(RegimeExecucao="Global","",ORÇAMENTO!W213)</f>
        <v>0</v>
      </c>
      <c r="I213" s="154">
        <f ca="1">ORÇAMENTO!X213</f>
        <v>0</v>
      </c>
      <c r="J213" s="427">
        <f t="shared" ca="1" si="37"/>
        <v>0</v>
      </c>
      <c r="K213" s="151">
        <f t="shared" ca="1" si="38"/>
        <v>0</v>
      </c>
      <c r="L213" s="428">
        <f t="shared" ca="1" si="39"/>
        <v>0</v>
      </c>
      <c r="M213" s="429">
        <f ca="1">IF($A213="S",VTOTALBM,IF($A213=0,0,ROUND(SomaAgrupBM,15-13*ORÇAMENTO!$AF$11)))</f>
        <v>0</v>
      </c>
      <c r="N213" s="430">
        <f t="shared" ca="1" si="40"/>
        <v>0</v>
      </c>
      <c r="O213" s="154">
        <f ca="1">IF($A213="S",VTOTALBM,IF($A213=0,0,ROUND(SomaAgrupBM,15-13*ORÇAMENTO!$AF$11)))</f>
        <v>0</v>
      </c>
      <c r="Q213" s="431"/>
      <c r="R213" s="432"/>
      <c r="T213" s="146" t="str">
        <f t="shared" ca="1" si="41"/>
        <v/>
      </c>
      <c r="U213" s="206" t="str">
        <f t="shared" ca="1" si="42"/>
        <v/>
      </c>
      <c r="V213" s="207" t="str">
        <f t="shared" ca="1" si="43"/>
        <v/>
      </c>
      <c r="W213" s="634">
        <f ca="1">IF($Y213&gt;0,CHOOSE(MATCH(RegimeExecucao,{"Unitário","Global"},0),IF($A213="S",$Y213/$X213,""),($Y213/$X213)*100),0)</f>
        <v>0</v>
      </c>
      <c r="X213" s="433" t="str">
        <f ca="1">IF($Y213&gt;0,CHOOSE(MATCH(RegimeExecucao,{"Unitário","Global"},0),IF($A213="S",ROUND($H213,ORÇAMENTO!$AF$10),""),ROUND($I213,ORÇAMENTO!$AF$11)),"")</f>
        <v/>
      </c>
      <c r="Y213" s="433">
        <f t="shared" ca="1" si="44"/>
        <v>0</v>
      </c>
      <c r="Z213" s="434"/>
      <c r="AB213" s="431"/>
      <c r="AC213" s="599"/>
      <c r="AD213" s="599"/>
      <c r="AE213" s="599"/>
      <c r="AF213" s="599"/>
      <c r="AG213" s="599"/>
      <c r="AH213" s="599"/>
      <c r="AI213" s="599"/>
      <c r="AJ213" s="599"/>
      <c r="AK213" s="599"/>
      <c r="AL213" s="599"/>
      <c r="AM213" s="432"/>
      <c r="AO213">
        <f ca="1">IF($A213="S",IF(BM!$I213=0,0,CHOOSE(MATCH(RegimeExecucao,{"Global","Unitário"},0),ROUND(ROUND(BM.MEDAcumulado,15-13*BM!$A$9)/100*BM!$I213,15-13*ORÇAMENTO!$AF$11),ROUND(ROUND(BM.MEDAcumulado,15-13*BM!$A$9)*ROUND(BM!$H213,15-13*ORÇAMENTO!$AF$10),15-13*ORÇAMENTO!$AF$11))),IF($A213=0,0,ROUND(SomaAgrupBM,15-13*ORÇAMENTO!$AF$11)))</f>
        <v>0</v>
      </c>
    </row>
    <row r="214" spans="1:41" ht="13.8" x14ac:dyDescent="0.3">
      <c r="A214" t="str">
        <f ca="1">ORÇAMENTO!C214</f>
        <v>S</v>
      </c>
      <c r="B214">
        <f ca="1">ORÇAMENTO!D214</f>
        <v>0</v>
      </c>
      <c r="C214" s="143" t="str">
        <f t="shared" ca="1" si="34"/>
        <v/>
      </c>
      <c r="D214" s="146" t="str">
        <f ca="1">ORÇAMENTO!O214</f>
        <v>-</v>
      </c>
      <c r="E214" s="206" t="str">
        <f t="shared" ca="1" si="35"/>
        <v>(abra o arquivo 'Referência 05-2024.xls)</v>
      </c>
      <c r="F214" s="207" t="str">
        <f t="shared" ca="1" si="36"/>
        <v>-</v>
      </c>
      <c r="G214" s="151">
        <f ca="1">IF(RegimeExecucao="Global","",ORÇAMENTO!T214)</f>
        <v>9.92</v>
      </c>
      <c r="H214" s="151">
        <f ca="1">IF(RegimeExecucao="Global","",ORÇAMENTO!W214)</f>
        <v>0</v>
      </c>
      <c r="I214" s="154">
        <f ca="1">ORÇAMENTO!X214</f>
        <v>0</v>
      </c>
      <c r="J214" s="427">
        <f t="shared" ca="1" si="37"/>
        <v>0</v>
      </c>
      <c r="K214" s="151">
        <f t="shared" ca="1" si="38"/>
        <v>0</v>
      </c>
      <c r="L214" s="428">
        <f t="shared" ca="1" si="39"/>
        <v>0</v>
      </c>
      <c r="M214" s="429">
        <f ca="1">IF($A214="S",VTOTALBM,IF($A214=0,0,ROUND(SomaAgrupBM,15-13*ORÇAMENTO!$AF$11)))</f>
        <v>0</v>
      </c>
      <c r="N214" s="430">
        <f t="shared" ca="1" si="40"/>
        <v>0</v>
      </c>
      <c r="O214" s="154">
        <f ca="1">IF($A214="S",VTOTALBM,IF($A214=0,0,ROUND(SomaAgrupBM,15-13*ORÇAMENTO!$AF$11)))</f>
        <v>0</v>
      </c>
      <c r="Q214" s="431"/>
      <c r="R214" s="432"/>
      <c r="T214" s="146" t="str">
        <f t="shared" ca="1" si="41"/>
        <v/>
      </c>
      <c r="U214" s="206" t="str">
        <f t="shared" ca="1" si="42"/>
        <v/>
      </c>
      <c r="V214" s="207" t="str">
        <f t="shared" ca="1" si="43"/>
        <v/>
      </c>
      <c r="W214" s="634">
        <f ca="1">IF($Y214&gt;0,CHOOSE(MATCH(RegimeExecucao,{"Unitário","Global"},0),IF($A214="S",$Y214/$X214,""),($Y214/$X214)*100),0)</f>
        <v>0</v>
      </c>
      <c r="X214" s="433" t="str">
        <f ca="1">IF($Y214&gt;0,CHOOSE(MATCH(RegimeExecucao,{"Unitário","Global"},0),IF($A214="S",ROUND($H214,ORÇAMENTO!$AF$10),""),ROUND($I214,ORÇAMENTO!$AF$11)),"")</f>
        <v/>
      </c>
      <c r="Y214" s="433">
        <f t="shared" ca="1" si="44"/>
        <v>0</v>
      </c>
      <c r="Z214" s="434"/>
      <c r="AB214" s="431"/>
      <c r="AC214" s="599"/>
      <c r="AD214" s="599"/>
      <c r="AE214" s="599"/>
      <c r="AF214" s="599"/>
      <c r="AG214" s="599"/>
      <c r="AH214" s="599"/>
      <c r="AI214" s="599"/>
      <c r="AJ214" s="599"/>
      <c r="AK214" s="599"/>
      <c r="AL214" s="599"/>
      <c r="AM214" s="432"/>
      <c r="AO214">
        <f ca="1">IF($A214="S",IF(BM!$I214=0,0,CHOOSE(MATCH(RegimeExecucao,{"Global","Unitário"},0),ROUND(ROUND(BM.MEDAcumulado,15-13*BM!$A$9)/100*BM!$I214,15-13*ORÇAMENTO!$AF$11),ROUND(ROUND(BM.MEDAcumulado,15-13*BM!$A$9)*ROUND(BM!$H214,15-13*ORÇAMENTO!$AF$10),15-13*ORÇAMENTO!$AF$11))),IF($A214=0,0,ROUND(SomaAgrupBM,15-13*ORÇAMENTO!$AF$11)))</f>
        <v>0</v>
      </c>
    </row>
    <row r="215" spans="1:41" ht="13.8" x14ac:dyDescent="0.3">
      <c r="A215" t="str">
        <f ca="1">ORÇAMENTO!C215</f>
        <v>S</v>
      </c>
      <c r="B215">
        <f ca="1">ORÇAMENTO!D215</f>
        <v>0</v>
      </c>
      <c r="C215" s="143" t="str">
        <f t="shared" ca="1" si="34"/>
        <v/>
      </c>
      <c r="D215" s="146" t="str">
        <f ca="1">ORÇAMENTO!O215</f>
        <v>-</v>
      </c>
      <c r="E215" s="206" t="str">
        <f t="shared" ca="1" si="35"/>
        <v>(abra o arquivo 'Referência 05-2024.xls)</v>
      </c>
      <c r="F215" s="207" t="str">
        <f t="shared" ca="1" si="36"/>
        <v>-</v>
      </c>
      <c r="G215" s="151">
        <f ca="1">IF(RegimeExecucao="Global","",ORÇAMENTO!T215)</f>
        <v>34.69</v>
      </c>
      <c r="H215" s="151">
        <f ca="1">IF(RegimeExecucao="Global","",ORÇAMENTO!W215)</f>
        <v>0</v>
      </c>
      <c r="I215" s="154">
        <f ca="1">ORÇAMENTO!X215</f>
        <v>0</v>
      </c>
      <c r="J215" s="427">
        <f t="shared" ca="1" si="37"/>
        <v>0</v>
      </c>
      <c r="K215" s="151">
        <f t="shared" ca="1" si="38"/>
        <v>0</v>
      </c>
      <c r="L215" s="428">
        <f t="shared" ca="1" si="39"/>
        <v>0</v>
      </c>
      <c r="M215" s="429">
        <f ca="1">IF($A215="S",VTOTALBM,IF($A215=0,0,ROUND(SomaAgrupBM,15-13*ORÇAMENTO!$AF$11)))</f>
        <v>0</v>
      </c>
      <c r="N215" s="430">
        <f t="shared" ca="1" si="40"/>
        <v>0</v>
      </c>
      <c r="O215" s="154">
        <f ca="1">IF($A215="S",VTOTALBM,IF($A215=0,0,ROUND(SomaAgrupBM,15-13*ORÇAMENTO!$AF$11)))</f>
        <v>0</v>
      </c>
      <c r="Q215" s="431"/>
      <c r="R215" s="432"/>
      <c r="T215" s="146" t="str">
        <f t="shared" ca="1" si="41"/>
        <v/>
      </c>
      <c r="U215" s="206" t="str">
        <f t="shared" ca="1" si="42"/>
        <v/>
      </c>
      <c r="V215" s="207" t="str">
        <f t="shared" ca="1" si="43"/>
        <v/>
      </c>
      <c r="W215" s="634">
        <f ca="1">IF($Y215&gt;0,CHOOSE(MATCH(RegimeExecucao,{"Unitário","Global"},0),IF($A215="S",$Y215/$X215,""),($Y215/$X215)*100),0)</f>
        <v>0</v>
      </c>
      <c r="X215" s="433" t="str">
        <f ca="1">IF($Y215&gt;0,CHOOSE(MATCH(RegimeExecucao,{"Unitário","Global"},0),IF($A215="S",ROUND($H215,ORÇAMENTO!$AF$10),""),ROUND($I215,ORÇAMENTO!$AF$11)),"")</f>
        <v/>
      </c>
      <c r="Y215" s="433">
        <f t="shared" ca="1" si="44"/>
        <v>0</v>
      </c>
      <c r="Z215" s="434"/>
      <c r="AB215" s="431"/>
      <c r="AC215" s="599"/>
      <c r="AD215" s="599"/>
      <c r="AE215" s="599"/>
      <c r="AF215" s="599"/>
      <c r="AG215" s="599"/>
      <c r="AH215" s="599"/>
      <c r="AI215" s="599"/>
      <c r="AJ215" s="599"/>
      <c r="AK215" s="599"/>
      <c r="AL215" s="599"/>
      <c r="AM215" s="432"/>
      <c r="AO215">
        <f ca="1">IF($A215="S",IF(BM!$I215=0,0,CHOOSE(MATCH(RegimeExecucao,{"Global","Unitário"},0),ROUND(ROUND(BM.MEDAcumulado,15-13*BM!$A$9)/100*BM!$I215,15-13*ORÇAMENTO!$AF$11),ROUND(ROUND(BM.MEDAcumulado,15-13*BM!$A$9)*ROUND(BM!$H215,15-13*ORÇAMENTO!$AF$10),15-13*ORÇAMENTO!$AF$11))),IF($A215=0,0,ROUND(SomaAgrupBM,15-13*ORÇAMENTO!$AF$11)))</f>
        <v>0</v>
      </c>
    </row>
    <row r="216" spans="1:41" ht="13.8" x14ac:dyDescent="0.3">
      <c r="A216" t="str">
        <f ca="1">ORÇAMENTO!C216</f>
        <v>S</v>
      </c>
      <c r="B216">
        <f ca="1">ORÇAMENTO!D216</f>
        <v>0</v>
      </c>
      <c r="C216" s="143" t="str">
        <f t="shared" ca="1" si="34"/>
        <v/>
      </c>
      <c r="D216" s="146" t="str">
        <f ca="1">ORÇAMENTO!O216</f>
        <v>-</v>
      </c>
      <c r="E216" s="206" t="str">
        <f t="shared" ca="1" si="35"/>
        <v>(abra o arquivo 'Referência 05-2024.xls)</v>
      </c>
      <c r="F216" s="207" t="str">
        <f t="shared" ca="1" si="36"/>
        <v>-</v>
      </c>
      <c r="G216" s="151">
        <f ca="1">IF(RegimeExecucao="Global","",ORÇAMENTO!T216)</f>
        <v>104.15</v>
      </c>
      <c r="H216" s="151">
        <f ca="1">IF(RegimeExecucao="Global","",ORÇAMENTO!W216)</f>
        <v>0</v>
      </c>
      <c r="I216" s="154">
        <f ca="1">ORÇAMENTO!X216</f>
        <v>0</v>
      </c>
      <c r="J216" s="427">
        <f t="shared" ca="1" si="37"/>
        <v>0</v>
      </c>
      <c r="K216" s="151">
        <f t="shared" ca="1" si="38"/>
        <v>0</v>
      </c>
      <c r="L216" s="428">
        <f t="shared" ca="1" si="39"/>
        <v>0</v>
      </c>
      <c r="M216" s="429">
        <f ca="1">IF($A216="S",VTOTALBM,IF($A216=0,0,ROUND(SomaAgrupBM,15-13*ORÇAMENTO!$AF$11)))</f>
        <v>0</v>
      </c>
      <c r="N216" s="430">
        <f t="shared" ca="1" si="40"/>
        <v>0</v>
      </c>
      <c r="O216" s="154">
        <f ca="1">IF($A216="S",VTOTALBM,IF($A216=0,0,ROUND(SomaAgrupBM,15-13*ORÇAMENTO!$AF$11)))</f>
        <v>0</v>
      </c>
      <c r="Q216" s="431"/>
      <c r="R216" s="432"/>
      <c r="T216" s="146" t="str">
        <f t="shared" ca="1" si="41"/>
        <v/>
      </c>
      <c r="U216" s="206" t="str">
        <f t="shared" ca="1" si="42"/>
        <v/>
      </c>
      <c r="V216" s="207" t="str">
        <f t="shared" ca="1" si="43"/>
        <v/>
      </c>
      <c r="W216" s="634">
        <f ca="1">IF($Y216&gt;0,CHOOSE(MATCH(RegimeExecucao,{"Unitário","Global"},0),IF($A216="S",$Y216/$X216,""),($Y216/$X216)*100),0)</f>
        <v>0</v>
      </c>
      <c r="X216" s="433" t="str">
        <f ca="1">IF($Y216&gt;0,CHOOSE(MATCH(RegimeExecucao,{"Unitário","Global"},0),IF($A216="S",ROUND($H216,ORÇAMENTO!$AF$10),""),ROUND($I216,ORÇAMENTO!$AF$11)),"")</f>
        <v/>
      </c>
      <c r="Y216" s="433">
        <f t="shared" ca="1" si="44"/>
        <v>0</v>
      </c>
      <c r="Z216" s="434"/>
      <c r="AB216" s="431"/>
      <c r="AC216" s="599"/>
      <c r="AD216" s="599"/>
      <c r="AE216" s="599"/>
      <c r="AF216" s="599"/>
      <c r="AG216" s="599"/>
      <c r="AH216" s="599"/>
      <c r="AI216" s="599"/>
      <c r="AJ216" s="599"/>
      <c r="AK216" s="599"/>
      <c r="AL216" s="599"/>
      <c r="AM216" s="432"/>
      <c r="AO216">
        <f ca="1">IF($A216="S",IF(BM!$I216=0,0,CHOOSE(MATCH(RegimeExecucao,{"Global","Unitário"},0),ROUND(ROUND(BM.MEDAcumulado,15-13*BM!$A$9)/100*BM!$I216,15-13*ORÇAMENTO!$AF$11),ROUND(ROUND(BM.MEDAcumulado,15-13*BM!$A$9)*ROUND(BM!$H216,15-13*ORÇAMENTO!$AF$10),15-13*ORÇAMENTO!$AF$11))),IF($A216=0,0,ROUND(SomaAgrupBM,15-13*ORÇAMENTO!$AF$11)))</f>
        <v>0</v>
      </c>
    </row>
    <row r="217" spans="1:41" ht="13.8" x14ac:dyDescent="0.3">
      <c r="A217" t="str">
        <f ca="1">ORÇAMENTO!C217</f>
        <v>S</v>
      </c>
      <c r="B217">
        <f ca="1">ORÇAMENTO!D217</f>
        <v>0</v>
      </c>
      <c r="C217" s="143" t="str">
        <f t="shared" ca="1" si="34"/>
        <v/>
      </c>
      <c r="D217" s="146" t="str">
        <f ca="1">ORÇAMENTO!O217</f>
        <v>-</v>
      </c>
      <c r="E217" s="206" t="str">
        <f t="shared" ca="1" si="35"/>
        <v>(abra o arquivo 'Referência 05-2024.xls)</v>
      </c>
      <c r="F217" s="207" t="str">
        <f t="shared" ca="1" si="36"/>
        <v>-</v>
      </c>
      <c r="G217" s="151">
        <f ca="1">IF(RegimeExecucao="Global","",ORÇAMENTO!T217)</f>
        <v>151.6</v>
      </c>
      <c r="H217" s="151">
        <f ca="1">IF(RegimeExecucao="Global","",ORÇAMENTO!W217)</f>
        <v>0</v>
      </c>
      <c r="I217" s="154">
        <f ca="1">ORÇAMENTO!X217</f>
        <v>0</v>
      </c>
      <c r="J217" s="427">
        <f t="shared" ca="1" si="37"/>
        <v>0</v>
      </c>
      <c r="K217" s="151">
        <f t="shared" ca="1" si="38"/>
        <v>0</v>
      </c>
      <c r="L217" s="428">
        <f t="shared" ca="1" si="39"/>
        <v>0</v>
      </c>
      <c r="M217" s="429">
        <f ca="1">IF($A217="S",VTOTALBM,IF($A217=0,0,ROUND(SomaAgrupBM,15-13*ORÇAMENTO!$AF$11)))</f>
        <v>0</v>
      </c>
      <c r="N217" s="430">
        <f t="shared" ca="1" si="40"/>
        <v>0</v>
      </c>
      <c r="O217" s="154">
        <f ca="1">IF($A217="S",VTOTALBM,IF($A217=0,0,ROUND(SomaAgrupBM,15-13*ORÇAMENTO!$AF$11)))</f>
        <v>0</v>
      </c>
      <c r="Q217" s="431"/>
      <c r="R217" s="432"/>
      <c r="T217" s="146" t="str">
        <f t="shared" ca="1" si="41"/>
        <v/>
      </c>
      <c r="U217" s="206" t="str">
        <f t="shared" ca="1" si="42"/>
        <v/>
      </c>
      <c r="V217" s="207" t="str">
        <f t="shared" ca="1" si="43"/>
        <v/>
      </c>
      <c r="W217" s="634">
        <f ca="1">IF($Y217&gt;0,CHOOSE(MATCH(RegimeExecucao,{"Unitário","Global"},0),IF($A217="S",$Y217/$X217,""),($Y217/$X217)*100),0)</f>
        <v>0</v>
      </c>
      <c r="X217" s="433" t="str">
        <f ca="1">IF($Y217&gt;0,CHOOSE(MATCH(RegimeExecucao,{"Unitário","Global"},0),IF($A217="S",ROUND($H217,ORÇAMENTO!$AF$10),""),ROUND($I217,ORÇAMENTO!$AF$11)),"")</f>
        <v/>
      </c>
      <c r="Y217" s="433">
        <f t="shared" ca="1" si="44"/>
        <v>0</v>
      </c>
      <c r="Z217" s="434"/>
      <c r="AB217" s="431"/>
      <c r="AC217" s="599"/>
      <c r="AD217" s="599"/>
      <c r="AE217" s="599"/>
      <c r="AF217" s="599"/>
      <c r="AG217" s="599"/>
      <c r="AH217" s="599"/>
      <c r="AI217" s="599"/>
      <c r="AJ217" s="599"/>
      <c r="AK217" s="599"/>
      <c r="AL217" s="599"/>
      <c r="AM217" s="432"/>
      <c r="AO217">
        <f ca="1">IF($A217="S",IF(BM!$I217=0,0,CHOOSE(MATCH(RegimeExecucao,{"Global","Unitário"},0),ROUND(ROUND(BM.MEDAcumulado,15-13*BM!$A$9)/100*BM!$I217,15-13*ORÇAMENTO!$AF$11),ROUND(ROUND(BM.MEDAcumulado,15-13*BM!$A$9)*ROUND(BM!$H217,15-13*ORÇAMENTO!$AF$10),15-13*ORÇAMENTO!$AF$11))),IF($A217=0,0,ROUND(SomaAgrupBM,15-13*ORÇAMENTO!$AF$11)))</f>
        <v>0</v>
      </c>
    </row>
    <row r="218" spans="1:41" ht="13.8" x14ac:dyDescent="0.3">
      <c r="A218" t="str">
        <f ca="1">ORÇAMENTO!C218</f>
        <v>S</v>
      </c>
      <c r="B218">
        <f ca="1">ORÇAMENTO!D218</f>
        <v>0</v>
      </c>
      <c r="C218" s="143" t="str">
        <f t="shared" ca="1" si="34"/>
        <v/>
      </c>
      <c r="D218" s="146" t="str">
        <f ca="1">ORÇAMENTO!O218</f>
        <v>-</v>
      </c>
      <c r="E218" s="206" t="str">
        <f t="shared" ca="1" si="35"/>
        <v>(abra o arquivo 'Referência 05-2024.xls)</v>
      </c>
      <c r="F218" s="207" t="str">
        <f t="shared" ca="1" si="36"/>
        <v>-</v>
      </c>
      <c r="G218" s="151">
        <f ca="1">IF(RegimeExecucao="Global","",ORÇAMENTO!T218)</f>
        <v>104.15</v>
      </c>
      <c r="H218" s="151">
        <f ca="1">IF(RegimeExecucao="Global","",ORÇAMENTO!W218)</f>
        <v>0</v>
      </c>
      <c r="I218" s="154">
        <f ca="1">ORÇAMENTO!X218</f>
        <v>0</v>
      </c>
      <c r="J218" s="427">
        <f t="shared" ca="1" si="37"/>
        <v>0</v>
      </c>
      <c r="K218" s="151">
        <f t="shared" ca="1" si="38"/>
        <v>0</v>
      </c>
      <c r="L218" s="428">
        <f t="shared" ca="1" si="39"/>
        <v>0</v>
      </c>
      <c r="M218" s="429">
        <f ca="1">IF($A218="S",VTOTALBM,IF($A218=0,0,ROUND(SomaAgrupBM,15-13*ORÇAMENTO!$AF$11)))</f>
        <v>0</v>
      </c>
      <c r="N218" s="430">
        <f t="shared" ca="1" si="40"/>
        <v>0</v>
      </c>
      <c r="O218" s="154">
        <f ca="1">IF($A218="S",VTOTALBM,IF($A218=0,0,ROUND(SomaAgrupBM,15-13*ORÇAMENTO!$AF$11)))</f>
        <v>0</v>
      </c>
      <c r="Q218" s="431"/>
      <c r="R218" s="432"/>
      <c r="T218" s="146" t="str">
        <f t="shared" ca="1" si="41"/>
        <v/>
      </c>
      <c r="U218" s="206" t="str">
        <f t="shared" ca="1" si="42"/>
        <v/>
      </c>
      <c r="V218" s="207" t="str">
        <f t="shared" ca="1" si="43"/>
        <v/>
      </c>
      <c r="W218" s="634">
        <f ca="1">IF($Y218&gt;0,CHOOSE(MATCH(RegimeExecucao,{"Unitário","Global"},0),IF($A218="S",$Y218/$X218,""),($Y218/$X218)*100),0)</f>
        <v>0</v>
      </c>
      <c r="X218" s="433" t="str">
        <f ca="1">IF($Y218&gt;0,CHOOSE(MATCH(RegimeExecucao,{"Unitário","Global"},0),IF($A218="S",ROUND($H218,ORÇAMENTO!$AF$10),""),ROUND($I218,ORÇAMENTO!$AF$11)),"")</f>
        <v/>
      </c>
      <c r="Y218" s="433">
        <f t="shared" ca="1" si="44"/>
        <v>0</v>
      </c>
      <c r="Z218" s="434"/>
      <c r="AB218" s="431"/>
      <c r="AC218" s="599"/>
      <c r="AD218" s="599"/>
      <c r="AE218" s="599"/>
      <c r="AF218" s="599"/>
      <c r="AG218" s="599"/>
      <c r="AH218" s="599"/>
      <c r="AI218" s="599"/>
      <c r="AJ218" s="599"/>
      <c r="AK218" s="599"/>
      <c r="AL218" s="599"/>
      <c r="AM218" s="432"/>
      <c r="AO218">
        <f ca="1">IF($A218="S",IF(BM!$I218=0,0,CHOOSE(MATCH(RegimeExecucao,{"Global","Unitário"},0),ROUND(ROUND(BM.MEDAcumulado,15-13*BM!$A$9)/100*BM!$I218,15-13*ORÇAMENTO!$AF$11),ROUND(ROUND(BM.MEDAcumulado,15-13*BM!$A$9)*ROUND(BM!$H218,15-13*ORÇAMENTO!$AF$10),15-13*ORÇAMENTO!$AF$11))),IF($A218=0,0,ROUND(SomaAgrupBM,15-13*ORÇAMENTO!$AF$11)))</f>
        <v>0</v>
      </c>
    </row>
    <row r="219" spans="1:41" ht="13.8" x14ac:dyDescent="0.3">
      <c r="A219">
        <f ca="1">ORÇAMENTO!C219</f>
        <v>2</v>
      </c>
      <c r="B219">
        <f ca="1">ORÇAMENTO!D219</f>
        <v>19</v>
      </c>
      <c r="C219" s="143" t="str">
        <f t="shared" ca="1" si="34"/>
        <v>F</v>
      </c>
      <c r="D219" s="146" t="str">
        <f ca="1">ORÇAMENTO!O219</f>
        <v>1.7.</v>
      </c>
      <c r="E219" s="206" t="str">
        <f t="shared" si="35"/>
        <v>SISTEMAS DE COBERTURA</v>
      </c>
      <c r="F219" s="207" t="str">
        <f t="shared" ca="1" si="36"/>
        <v>-</v>
      </c>
      <c r="G219" s="151">
        <f ca="1">IF(RegimeExecucao="Global","",ORÇAMENTO!T219)</f>
        <v>0</v>
      </c>
      <c r="H219" s="151">
        <f ca="1">IF(RegimeExecucao="Global","",ORÇAMENTO!W219)</f>
        <v>0</v>
      </c>
      <c r="I219" s="154">
        <f ca="1">ORÇAMENTO!X219</f>
        <v>0</v>
      </c>
      <c r="J219" s="427">
        <f t="shared" ca="1" si="37"/>
        <v>0</v>
      </c>
      <c r="K219" s="151">
        <f t="shared" ca="1" si="38"/>
        <v>0</v>
      </c>
      <c r="L219" s="428">
        <f t="shared" ca="1" si="39"/>
        <v>0</v>
      </c>
      <c r="M219" s="429">
        <f ca="1">IF($A219="S",VTOTALBM,IF($A219=0,0,ROUND(SomaAgrupBM,15-13*ORÇAMENTO!$AF$11)))</f>
        <v>0</v>
      </c>
      <c r="N219" s="430">
        <f t="shared" ca="1" si="40"/>
        <v>0</v>
      </c>
      <c r="O219" s="154">
        <f ca="1">IF($A219="S",VTOTALBM,IF($A219=0,0,ROUND(SomaAgrupBM,15-13*ORÇAMENTO!$AF$11)))</f>
        <v>0</v>
      </c>
      <c r="Q219" s="431"/>
      <c r="R219" s="432"/>
      <c r="T219" s="146" t="str">
        <f t="shared" ca="1" si="41"/>
        <v/>
      </c>
      <c r="U219" s="206" t="str">
        <f t="shared" ca="1" si="42"/>
        <v/>
      </c>
      <c r="V219" s="207" t="str">
        <f t="shared" ca="1" si="43"/>
        <v/>
      </c>
      <c r="W219" s="634">
        <f ca="1">IF($Y219&gt;0,CHOOSE(MATCH(RegimeExecucao,{"Unitário","Global"},0),IF($A219="S",$Y219/$X219,""),($Y219/$X219)*100),0)</f>
        <v>0</v>
      </c>
      <c r="X219" s="433" t="str">
        <f ca="1">IF($Y219&gt;0,CHOOSE(MATCH(RegimeExecucao,{"Unitário","Global"},0),IF($A219="S",ROUND($H219,ORÇAMENTO!$AF$10),""),ROUND($I219,ORÇAMENTO!$AF$11)),"")</f>
        <v/>
      </c>
      <c r="Y219" s="433">
        <f t="shared" ca="1" si="44"/>
        <v>0</v>
      </c>
      <c r="Z219" s="434"/>
      <c r="AB219" s="431"/>
      <c r="AC219" s="599"/>
      <c r="AD219" s="599"/>
      <c r="AE219" s="599"/>
      <c r="AF219" s="599"/>
      <c r="AG219" s="599"/>
      <c r="AH219" s="599"/>
      <c r="AI219" s="599"/>
      <c r="AJ219" s="599"/>
      <c r="AK219" s="599"/>
      <c r="AL219" s="599"/>
      <c r="AM219" s="432"/>
      <c r="AO219">
        <f ca="1">IF($A219="S",IF(BM!$I219=0,0,CHOOSE(MATCH(RegimeExecucao,{"Global","Unitário"},0),ROUND(ROUND(BM.MEDAcumulado,15-13*BM!$A$9)/100*BM!$I219,15-13*ORÇAMENTO!$AF$11),ROUND(ROUND(BM.MEDAcumulado,15-13*BM!$A$9)*ROUND(BM!$H219,15-13*ORÇAMENTO!$AF$10),15-13*ORÇAMENTO!$AF$11))),IF($A219=0,0,ROUND(SomaAgrupBM,15-13*ORÇAMENTO!$AF$11)))</f>
        <v>0</v>
      </c>
    </row>
    <row r="220" spans="1:41" ht="13.8" x14ac:dyDescent="0.3">
      <c r="A220">
        <f ca="1">ORÇAMENTO!C220</f>
        <v>3</v>
      </c>
      <c r="B220">
        <f ca="1">ORÇAMENTO!D220</f>
        <v>14</v>
      </c>
      <c r="C220" s="143" t="str">
        <f t="shared" ca="1" si="34"/>
        <v>F</v>
      </c>
      <c r="D220" s="146" t="str">
        <f ca="1">ORÇAMENTO!O220</f>
        <v>1.7.1.</v>
      </c>
      <c r="E220" s="206" t="str">
        <f t="shared" si="35"/>
        <v>EDIFICAÇÃO</v>
      </c>
      <c r="F220" s="207" t="str">
        <f t="shared" ca="1" si="36"/>
        <v>-</v>
      </c>
      <c r="G220" s="151">
        <f ca="1">IF(RegimeExecucao="Global","",ORÇAMENTO!T220)</f>
        <v>0</v>
      </c>
      <c r="H220" s="151">
        <f ca="1">IF(RegimeExecucao="Global","",ORÇAMENTO!W220)</f>
        <v>0</v>
      </c>
      <c r="I220" s="154">
        <f ca="1">ORÇAMENTO!X220</f>
        <v>0</v>
      </c>
      <c r="J220" s="427">
        <f t="shared" ca="1" si="37"/>
        <v>0</v>
      </c>
      <c r="K220" s="151">
        <f t="shared" ca="1" si="38"/>
        <v>0</v>
      </c>
      <c r="L220" s="428">
        <f t="shared" ca="1" si="39"/>
        <v>0</v>
      </c>
      <c r="M220" s="429">
        <f ca="1">IF($A220="S",VTOTALBM,IF($A220=0,0,ROUND(SomaAgrupBM,15-13*ORÇAMENTO!$AF$11)))</f>
        <v>0</v>
      </c>
      <c r="N220" s="430">
        <f t="shared" ca="1" si="40"/>
        <v>0</v>
      </c>
      <c r="O220" s="154">
        <f ca="1">IF($A220="S",VTOTALBM,IF($A220=0,0,ROUND(SomaAgrupBM,15-13*ORÇAMENTO!$AF$11)))</f>
        <v>0</v>
      </c>
      <c r="Q220" s="431"/>
      <c r="R220" s="432"/>
      <c r="T220" s="146" t="str">
        <f t="shared" ca="1" si="41"/>
        <v/>
      </c>
      <c r="U220" s="206" t="str">
        <f t="shared" ca="1" si="42"/>
        <v/>
      </c>
      <c r="V220" s="207" t="str">
        <f t="shared" ca="1" si="43"/>
        <v/>
      </c>
      <c r="W220" s="634">
        <f ca="1">IF($Y220&gt;0,CHOOSE(MATCH(RegimeExecucao,{"Unitário","Global"},0),IF($A220="S",$Y220/$X220,""),($Y220/$X220)*100),0)</f>
        <v>0</v>
      </c>
      <c r="X220" s="433" t="str">
        <f ca="1">IF($Y220&gt;0,CHOOSE(MATCH(RegimeExecucao,{"Unitário","Global"},0),IF($A220="S",ROUND($H220,ORÇAMENTO!$AF$10),""),ROUND($I220,ORÇAMENTO!$AF$11)),"")</f>
        <v/>
      </c>
      <c r="Y220" s="433">
        <f t="shared" ca="1" si="44"/>
        <v>0</v>
      </c>
      <c r="Z220" s="434"/>
      <c r="AB220" s="431"/>
      <c r="AC220" s="599"/>
      <c r="AD220" s="599"/>
      <c r="AE220" s="599"/>
      <c r="AF220" s="599"/>
      <c r="AG220" s="599"/>
      <c r="AH220" s="599"/>
      <c r="AI220" s="599"/>
      <c r="AJ220" s="599"/>
      <c r="AK220" s="599"/>
      <c r="AL220" s="599"/>
      <c r="AM220" s="432"/>
      <c r="AO220">
        <f ca="1">IF($A220="S",IF(BM!$I220=0,0,CHOOSE(MATCH(RegimeExecucao,{"Global","Unitário"},0),ROUND(ROUND(BM.MEDAcumulado,15-13*BM!$A$9)/100*BM!$I220,15-13*ORÇAMENTO!$AF$11),ROUND(ROUND(BM.MEDAcumulado,15-13*BM!$A$9)*ROUND(BM!$H220,15-13*ORÇAMENTO!$AF$10),15-13*ORÇAMENTO!$AF$11))),IF($A220=0,0,ROUND(SomaAgrupBM,15-13*ORÇAMENTO!$AF$11)))</f>
        <v>0</v>
      </c>
    </row>
    <row r="221" spans="1:41" ht="13.8" x14ac:dyDescent="0.3">
      <c r="A221" t="str">
        <f ca="1">ORÇAMENTO!C221</f>
        <v>S</v>
      </c>
      <c r="B221">
        <f ca="1">ORÇAMENTO!D221</f>
        <v>0</v>
      </c>
      <c r="C221" s="143" t="str">
        <f t="shared" ca="1" si="34"/>
        <v/>
      </c>
      <c r="D221" s="146" t="str">
        <f ca="1">ORÇAMENTO!O221</f>
        <v>-</v>
      </c>
      <c r="E221" s="206" t="str">
        <f t="shared" ca="1" si="35"/>
        <v>(abra o arquivo 'Referência 05-2024.xls)</v>
      </c>
      <c r="F221" s="207" t="str">
        <f t="shared" ca="1" si="36"/>
        <v>-</v>
      </c>
      <c r="G221" s="151">
        <f ca="1">IF(RegimeExecucao="Global","",ORÇAMENTO!T221)</f>
        <v>1858.82</v>
      </c>
      <c r="H221" s="151">
        <f ca="1">IF(RegimeExecucao="Global","",ORÇAMENTO!W221)</f>
        <v>0</v>
      </c>
      <c r="I221" s="154">
        <f ca="1">ORÇAMENTO!X221</f>
        <v>0</v>
      </c>
      <c r="J221" s="427">
        <f t="shared" ca="1" si="37"/>
        <v>0</v>
      </c>
      <c r="K221" s="151">
        <f t="shared" ca="1" si="38"/>
        <v>0</v>
      </c>
      <c r="L221" s="428">
        <f t="shared" ca="1" si="39"/>
        <v>0</v>
      </c>
      <c r="M221" s="429">
        <f ca="1">IF($A221="S",VTOTALBM,IF($A221=0,0,ROUND(SomaAgrupBM,15-13*ORÇAMENTO!$AF$11)))</f>
        <v>0</v>
      </c>
      <c r="N221" s="430">
        <f t="shared" ca="1" si="40"/>
        <v>0</v>
      </c>
      <c r="O221" s="154">
        <f ca="1">IF($A221="S",VTOTALBM,IF($A221=0,0,ROUND(SomaAgrupBM,15-13*ORÇAMENTO!$AF$11)))</f>
        <v>0</v>
      </c>
      <c r="Q221" s="431"/>
      <c r="R221" s="432"/>
      <c r="T221" s="146" t="str">
        <f t="shared" ca="1" si="41"/>
        <v/>
      </c>
      <c r="U221" s="206" t="str">
        <f t="shared" ca="1" si="42"/>
        <v/>
      </c>
      <c r="V221" s="207" t="str">
        <f t="shared" ca="1" si="43"/>
        <v/>
      </c>
      <c r="W221" s="634">
        <f ca="1">IF($Y221&gt;0,CHOOSE(MATCH(RegimeExecucao,{"Unitário","Global"},0),IF($A221="S",$Y221/$X221,""),($Y221/$X221)*100),0)</f>
        <v>0</v>
      </c>
      <c r="X221" s="433" t="str">
        <f ca="1">IF($Y221&gt;0,CHOOSE(MATCH(RegimeExecucao,{"Unitário","Global"},0),IF($A221="S",ROUND($H221,ORÇAMENTO!$AF$10),""),ROUND($I221,ORÇAMENTO!$AF$11)),"")</f>
        <v/>
      </c>
      <c r="Y221" s="433">
        <f t="shared" ca="1" si="44"/>
        <v>0</v>
      </c>
      <c r="Z221" s="434"/>
      <c r="AB221" s="431"/>
      <c r="AC221" s="599"/>
      <c r="AD221" s="599"/>
      <c r="AE221" s="599"/>
      <c r="AF221" s="599"/>
      <c r="AG221" s="599"/>
      <c r="AH221" s="599"/>
      <c r="AI221" s="599"/>
      <c r="AJ221" s="599"/>
      <c r="AK221" s="599"/>
      <c r="AL221" s="599"/>
      <c r="AM221" s="432"/>
      <c r="AO221">
        <f ca="1">IF($A221="S",IF(BM!$I221=0,0,CHOOSE(MATCH(RegimeExecucao,{"Global","Unitário"},0),ROUND(ROUND(BM.MEDAcumulado,15-13*BM!$A$9)/100*BM!$I221,15-13*ORÇAMENTO!$AF$11),ROUND(ROUND(BM.MEDAcumulado,15-13*BM!$A$9)*ROUND(BM!$H221,15-13*ORÇAMENTO!$AF$10),15-13*ORÇAMENTO!$AF$11))),IF($A221=0,0,ROUND(SomaAgrupBM,15-13*ORÇAMENTO!$AF$11)))</f>
        <v>0</v>
      </c>
    </row>
    <row r="222" spans="1:41" ht="13.8" x14ac:dyDescent="0.3">
      <c r="A222" t="str">
        <f ca="1">ORÇAMENTO!C222</f>
        <v>S</v>
      </c>
      <c r="B222">
        <f ca="1">ORÇAMENTO!D222</f>
        <v>0</v>
      </c>
      <c r="C222" s="143" t="str">
        <f t="shared" ca="1" si="34"/>
        <v/>
      </c>
      <c r="D222" s="146" t="str">
        <f ca="1">ORÇAMENTO!O222</f>
        <v>-</v>
      </c>
      <c r="E222" s="206" t="str">
        <f t="shared" ca="1" si="35"/>
        <v>(abra o arquivo 'Referência 05-2024.xls)</v>
      </c>
      <c r="F222" s="207" t="str">
        <f t="shared" ca="1" si="36"/>
        <v>-</v>
      </c>
      <c r="G222" s="151">
        <f ca="1">IF(RegimeExecucao="Global","",ORÇAMENTO!T222)</f>
        <v>9.3699999999999992</v>
      </c>
      <c r="H222" s="151">
        <f ca="1">IF(RegimeExecucao="Global","",ORÇAMENTO!W222)</f>
        <v>0</v>
      </c>
      <c r="I222" s="154">
        <f ca="1">ORÇAMENTO!X222</f>
        <v>0</v>
      </c>
      <c r="J222" s="427">
        <f t="shared" ca="1" si="37"/>
        <v>0</v>
      </c>
      <c r="K222" s="151">
        <f t="shared" ca="1" si="38"/>
        <v>0</v>
      </c>
      <c r="L222" s="428">
        <f t="shared" ca="1" si="39"/>
        <v>0</v>
      </c>
      <c r="M222" s="429">
        <f ca="1">IF($A222="S",VTOTALBM,IF($A222=0,0,ROUND(SomaAgrupBM,15-13*ORÇAMENTO!$AF$11)))</f>
        <v>0</v>
      </c>
      <c r="N222" s="430">
        <f t="shared" ca="1" si="40"/>
        <v>0</v>
      </c>
      <c r="O222" s="154">
        <f ca="1">IF($A222="S",VTOTALBM,IF($A222=0,0,ROUND(SomaAgrupBM,15-13*ORÇAMENTO!$AF$11)))</f>
        <v>0</v>
      </c>
      <c r="Q222" s="431"/>
      <c r="R222" s="432"/>
      <c r="T222" s="146" t="str">
        <f t="shared" ca="1" si="41"/>
        <v/>
      </c>
      <c r="U222" s="206" t="str">
        <f t="shared" ca="1" si="42"/>
        <v/>
      </c>
      <c r="V222" s="207" t="str">
        <f t="shared" ca="1" si="43"/>
        <v/>
      </c>
      <c r="W222" s="634">
        <f ca="1">IF($Y222&gt;0,CHOOSE(MATCH(RegimeExecucao,{"Unitário","Global"},0),IF($A222="S",$Y222/$X222,""),($Y222/$X222)*100),0)</f>
        <v>0</v>
      </c>
      <c r="X222" s="433" t="str">
        <f ca="1">IF($Y222&gt;0,CHOOSE(MATCH(RegimeExecucao,{"Unitário","Global"},0),IF($A222="S",ROUND($H222,ORÇAMENTO!$AF$10),""),ROUND($I222,ORÇAMENTO!$AF$11)),"")</f>
        <v/>
      </c>
      <c r="Y222" s="433">
        <f t="shared" ca="1" si="44"/>
        <v>0</v>
      </c>
      <c r="Z222" s="434"/>
      <c r="AB222" s="431"/>
      <c r="AC222" s="599"/>
      <c r="AD222" s="599"/>
      <c r="AE222" s="599"/>
      <c r="AF222" s="599"/>
      <c r="AG222" s="599"/>
      <c r="AH222" s="599"/>
      <c r="AI222" s="599"/>
      <c r="AJ222" s="599"/>
      <c r="AK222" s="599"/>
      <c r="AL222" s="599"/>
      <c r="AM222" s="432"/>
      <c r="AO222">
        <f ca="1">IF($A222="S",IF(BM!$I222=0,0,CHOOSE(MATCH(RegimeExecucao,{"Global","Unitário"},0),ROUND(ROUND(BM.MEDAcumulado,15-13*BM!$A$9)/100*BM!$I222,15-13*ORÇAMENTO!$AF$11),ROUND(ROUND(BM.MEDAcumulado,15-13*BM!$A$9)*ROUND(BM!$H222,15-13*ORÇAMENTO!$AF$10),15-13*ORÇAMENTO!$AF$11))),IF($A222=0,0,ROUND(SomaAgrupBM,15-13*ORÇAMENTO!$AF$11)))</f>
        <v>0</v>
      </c>
    </row>
    <row r="223" spans="1:41" ht="13.8" x14ac:dyDescent="0.3">
      <c r="A223" t="str">
        <f ca="1">ORÇAMENTO!C223</f>
        <v>S</v>
      </c>
      <c r="B223">
        <f ca="1">ORÇAMENTO!D223</f>
        <v>0</v>
      </c>
      <c r="C223" s="143" t="str">
        <f t="shared" ca="1" si="34"/>
        <v/>
      </c>
      <c r="D223" s="146" t="str">
        <f ca="1">ORÇAMENTO!O223</f>
        <v>-</v>
      </c>
      <c r="E223" s="206" t="str">
        <f t="shared" ca="1" si="35"/>
        <v>(abra o arquivo 'Referência 05-2024.xls)</v>
      </c>
      <c r="F223" s="207" t="str">
        <f t="shared" ca="1" si="36"/>
        <v>-</v>
      </c>
      <c r="G223" s="151">
        <f ca="1">IF(RegimeExecucao="Global","",ORÇAMENTO!T223)</f>
        <v>88.71</v>
      </c>
      <c r="H223" s="151">
        <f ca="1">IF(RegimeExecucao="Global","",ORÇAMENTO!W223)</f>
        <v>0</v>
      </c>
      <c r="I223" s="154">
        <f ca="1">ORÇAMENTO!X223</f>
        <v>0</v>
      </c>
      <c r="J223" s="427">
        <f t="shared" ca="1" si="37"/>
        <v>0</v>
      </c>
      <c r="K223" s="151">
        <f t="shared" ca="1" si="38"/>
        <v>0</v>
      </c>
      <c r="L223" s="428">
        <f t="shared" ca="1" si="39"/>
        <v>0</v>
      </c>
      <c r="M223" s="429">
        <f ca="1">IF($A223="S",VTOTALBM,IF($A223=0,0,ROUND(SomaAgrupBM,15-13*ORÇAMENTO!$AF$11)))</f>
        <v>0</v>
      </c>
      <c r="N223" s="430">
        <f t="shared" ca="1" si="40"/>
        <v>0</v>
      </c>
      <c r="O223" s="154">
        <f ca="1">IF($A223="S",VTOTALBM,IF($A223=0,0,ROUND(SomaAgrupBM,15-13*ORÇAMENTO!$AF$11)))</f>
        <v>0</v>
      </c>
      <c r="Q223" s="431"/>
      <c r="R223" s="432"/>
      <c r="T223" s="146" t="str">
        <f t="shared" ca="1" si="41"/>
        <v/>
      </c>
      <c r="U223" s="206" t="str">
        <f t="shared" ca="1" si="42"/>
        <v/>
      </c>
      <c r="V223" s="207" t="str">
        <f t="shared" ca="1" si="43"/>
        <v/>
      </c>
      <c r="W223" s="634">
        <f ca="1">IF($Y223&gt;0,CHOOSE(MATCH(RegimeExecucao,{"Unitário","Global"},0),IF($A223="S",$Y223/$X223,""),($Y223/$X223)*100),0)</f>
        <v>0</v>
      </c>
      <c r="X223" s="433" t="str">
        <f ca="1">IF($Y223&gt;0,CHOOSE(MATCH(RegimeExecucao,{"Unitário","Global"},0),IF($A223="S",ROUND($H223,ORÇAMENTO!$AF$10),""),ROUND($I223,ORÇAMENTO!$AF$11)),"")</f>
        <v/>
      </c>
      <c r="Y223" s="433">
        <f t="shared" ca="1" si="44"/>
        <v>0</v>
      </c>
      <c r="Z223" s="434"/>
      <c r="AB223" s="431"/>
      <c r="AC223" s="599"/>
      <c r="AD223" s="599"/>
      <c r="AE223" s="599"/>
      <c r="AF223" s="599"/>
      <c r="AG223" s="599"/>
      <c r="AH223" s="599"/>
      <c r="AI223" s="599"/>
      <c r="AJ223" s="599"/>
      <c r="AK223" s="599"/>
      <c r="AL223" s="599"/>
      <c r="AM223" s="432"/>
      <c r="AO223">
        <f ca="1">IF($A223="S",IF(BM!$I223=0,0,CHOOSE(MATCH(RegimeExecucao,{"Global","Unitário"},0),ROUND(ROUND(BM.MEDAcumulado,15-13*BM!$A$9)/100*BM!$I223,15-13*ORÇAMENTO!$AF$11),ROUND(ROUND(BM.MEDAcumulado,15-13*BM!$A$9)*ROUND(BM!$H223,15-13*ORÇAMENTO!$AF$10),15-13*ORÇAMENTO!$AF$11))),IF($A223=0,0,ROUND(SomaAgrupBM,15-13*ORÇAMENTO!$AF$11)))</f>
        <v>0</v>
      </c>
    </row>
    <row r="224" spans="1:41" ht="13.8" x14ac:dyDescent="0.3">
      <c r="A224" t="str">
        <f ca="1">ORÇAMENTO!C224</f>
        <v>S</v>
      </c>
      <c r="B224">
        <f ca="1">ORÇAMENTO!D224</f>
        <v>0</v>
      </c>
      <c r="C224" s="143" t="str">
        <f t="shared" ca="1" si="34"/>
        <v/>
      </c>
      <c r="D224" s="146" t="str">
        <f ca="1">ORÇAMENTO!O224</f>
        <v>-</v>
      </c>
      <c r="E224" s="206" t="str">
        <f t="shared" ca="1" si="35"/>
        <v>(abra o arquivo 'Referência 05-2024.xls)</v>
      </c>
      <c r="F224" s="207" t="str">
        <f t="shared" ca="1" si="36"/>
        <v>-</v>
      </c>
      <c r="G224" s="151">
        <f ca="1">IF(RegimeExecucao="Global","",ORÇAMENTO!T224)</f>
        <v>64.599999999999994</v>
      </c>
      <c r="H224" s="151">
        <f ca="1">IF(RegimeExecucao="Global","",ORÇAMENTO!W224)</f>
        <v>0</v>
      </c>
      <c r="I224" s="154">
        <f ca="1">ORÇAMENTO!X224</f>
        <v>0</v>
      </c>
      <c r="J224" s="427">
        <f t="shared" ca="1" si="37"/>
        <v>0</v>
      </c>
      <c r="K224" s="151">
        <f t="shared" ca="1" si="38"/>
        <v>0</v>
      </c>
      <c r="L224" s="428">
        <f t="shared" ca="1" si="39"/>
        <v>0</v>
      </c>
      <c r="M224" s="429">
        <f ca="1">IF($A224="S",VTOTALBM,IF($A224=0,0,ROUND(SomaAgrupBM,15-13*ORÇAMENTO!$AF$11)))</f>
        <v>0</v>
      </c>
      <c r="N224" s="430">
        <f t="shared" ca="1" si="40"/>
        <v>0</v>
      </c>
      <c r="O224" s="154">
        <f ca="1">IF($A224="S",VTOTALBM,IF($A224=0,0,ROUND(SomaAgrupBM,15-13*ORÇAMENTO!$AF$11)))</f>
        <v>0</v>
      </c>
      <c r="Q224" s="431"/>
      <c r="R224" s="432"/>
      <c r="T224" s="146" t="str">
        <f t="shared" ca="1" si="41"/>
        <v/>
      </c>
      <c r="U224" s="206" t="str">
        <f t="shared" ca="1" si="42"/>
        <v/>
      </c>
      <c r="V224" s="207" t="str">
        <f t="shared" ca="1" si="43"/>
        <v/>
      </c>
      <c r="W224" s="634">
        <f ca="1">IF($Y224&gt;0,CHOOSE(MATCH(RegimeExecucao,{"Unitário","Global"},0),IF($A224="S",$Y224/$X224,""),($Y224/$X224)*100),0)</f>
        <v>0</v>
      </c>
      <c r="X224" s="433" t="str">
        <f ca="1">IF($Y224&gt;0,CHOOSE(MATCH(RegimeExecucao,{"Unitário","Global"},0),IF($A224="S",ROUND($H224,ORÇAMENTO!$AF$10),""),ROUND($I224,ORÇAMENTO!$AF$11)),"")</f>
        <v/>
      </c>
      <c r="Y224" s="433">
        <f t="shared" ca="1" si="44"/>
        <v>0</v>
      </c>
      <c r="Z224" s="434"/>
      <c r="AB224" s="431"/>
      <c r="AC224" s="599"/>
      <c r="AD224" s="599"/>
      <c r="AE224" s="599"/>
      <c r="AF224" s="599"/>
      <c r="AG224" s="599"/>
      <c r="AH224" s="599"/>
      <c r="AI224" s="599"/>
      <c r="AJ224" s="599"/>
      <c r="AK224" s="599"/>
      <c r="AL224" s="599"/>
      <c r="AM224" s="432"/>
      <c r="AO224">
        <f ca="1">IF($A224="S",IF(BM!$I224=0,0,CHOOSE(MATCH(RegimeExecucao,{"Global","Unitário"},0),ROUND(ROUND(BM.MEDAcumulado,15-13*BM!$A$9)/100*BM!$I224,15-13*ORÇAMENTO!$AF$11),ROUND(ROUND(BM.MEDAcumulado,15-13*BM!$A$9)*ROUND(BM!$H224,15-13*ORÇAMENTO!$AF$10),15-13*ORÇAMENTO!$AF$11))),IF($A224=0,0,ROUND(SomaAgrupBM,15-13*ORÇAMENTO!$AF$11)))</f>
        <v>0</v>
      </c>
    </row>
    <row r="225" spans="1:41" ht="13.8" x14ac:dyDescent="0.3">
      <c r="A225" t="str">
        <f ca="1">ORÇAMENTO!C225</f>
        <v>S</v>
      </c>
      <c r="B225">
        <f ca="1">ORÇAMENTO!D225</f>
        <v>0</v>
      </c>
      <c r="C225" s="143" t="str">
        <f t="shared" ca="1" si="34"/>
        <v/>
      </c>
      <c r="D225" s="146" t="str">
        <f ca="1">ORÇAMENTO!O225</f>
        <v>-</v>
      </c>
      <c r="E225" s="206" t="str">
        <f t="shared" ca="1" si="35"/>
        <v>(abra o arquivo 'Referência 05-2024.xls)</v>
      </c>
      <c r="F225" s="207" t="str">
        <f t="shared" ca="1" si="36"/>
        <v>-</v>
      </c>
      <c r="G225" s="151">
        <f ca="1">IF(RegimeExecucao="Global","",ORÇAMENTO!T225)</f>
        <v>63.2</v>
      </c>
      <c r="H225" s="151">
        <f ca="1">IF(RegimeExecucao="Global","",ORÇAMENTO!W225)</f>
        <v>0</v>
      </c>
      <c r="I225" s="154">
        <f ca="1">ORÇAMENTO!X225</f>
        <v>0</v>
      </c>
      <c r="J225" s="427">
        <f t="shared" ca="1" si="37"/>
        <v>0</v>
      </c>
      <c r="K225" s="151">
        <f t="shared" ca="1" si="38"/>
        <v>0</v>
      </c>
      <c r="L225" s="428">
        <f t="shared" ca="1" si="39"/>
        <v>0</v>
      </c>
      <c r="M225" s="429">
        <f ca="1">IF($A225="S",VTOTALBM,IF($A225=0,0,ROUND(SomaAgrupBM,15-13*ORÇAMENTO!$AF$11)))</f>
        <v>0</v>
      </c>
      <c r="N225" s="430">
        <f t="shared" ca="1" si="40"/>
        <v>0</v>
      </c>
      <c r="O225" s="154">
        <f ca="1">IF($A225="S",VTOTALBM,IF($A225=0,0,ROUND(SomaAgrupBM,15-13*ORÇAMENTO!$AF$11)))</f>
        <v>0</v>
      </c>
      <c r="Q225" s="431"/>
      <c r="R225" s="432"/>
      <c r="T225" s="146" t="str">
        <f t="shared" ca="1" si="41"/>
        <v/>
      </c>
      <c r="U225" s="206" t="str">
        <f t="shared" ca="1" si="42"/>
        <v/>
      </c>
      <c r="V225" s="207" t="str">
        <f t="shared" ca="1" si="43"/>
        <v/>
      </c>
      <c r="W225" s="634">
        <f ca="1">IF($Y225&gt;0,CHOOSE(MATCH(RegimeExecucao,{"Unitário","Global"},0),IF($A225="S",$Y225/$X225,""),($Y225/$X225)*100),0)</f>
        <v>0</v>
      </c>
      <c r="X225" s="433" t="str">
        <f ca="1">IF($Y225&gt;0,CHOOSE(MATCH(RegimeExecucao,{"Unitário","Global"},0),IF($A225="S",ROUND($H225,ORÇAMENTO!$AF$10),""),ROUND($I225,ORÇAMENTO!$AF$11)),"")</f>
        <v/>
      </c>
      <c r="Y225" s="433">
        <f t="shared" ca="1" si="44"/>
        <v>0</v>
      </c>
      <c r="Z225" s="434"/>
      <c r="AB225" s="431"/>
      <c r="AC225" s="599"/>
      <c r="AD225" s="599"/>
      <c r="AE225" s="599"/>
      <c r="AF225" s="599"/>
      <c r="AG225" s="599"/>
      <c r="AH225" s="599"/>
      <c r="AI225" s="599"/>
      <c r="AJ225" s="599"/>
      <c r="AK225" s="599"/>
      <c r="AL225" s="599"/>
      <c r="AM225" s="432"/>
      <c r="AO225">
        <f ca="1">IF($A225="S",IF(BM!$I225=0,0,CHOOSE(MATCH(RegimeExecucao,{"Global","Unitário"},0),ROUND(ROUND(BM.MEDAcumulado,15-13*BM!$A$9)/100*BM!$I225,15-13*ORÇAMENTO!$AF$11),ROUND(ROUND(BM.MEDAcumulado,15-13*BM!$A$9)*ROUND(BM!$H225,15-13*ORÇAMENTO!$AF$10),15-13*ORÇAMENTO!$AF$11))),IF($A225=0,0,ROUND(SomaAgrupBM,15-13*ORÇAMENTO!$AF$11)))</f>
        <v>0</v>
      </c>
    </row>
    <row r="226" spans="1:41" ht="13.8" x14ac:dyDescent="0.3">
      <c r="A226" t="str">
        <f ca="1">ORÇAMENTO!C226</f>
        <v>S</v>
      </c>
      <c r="B226">
        <f ca="1">ORÇAMENTO!D226</f>
        <v>0</v>
      </c>
      <c r="C226" s="143" t="str">
        <f t="shared" ca="1" si="34"/>
        <v/>
      </c>
      <c r="D226" s="146" t="str">
        <f ca="1">ORÇAMENTO!O226</f>
        <v>-</v>
      </c>
      <c r="E226" s="206" t="str">
        <f t="shared" ca="1" si="35"/>
        <v>(abra o arquivo 'Referência 05-2024.xls)</v>
      </c>
      <c r="F226" s="207" t="str">
        <f t="shared" ca="1" si="36"/>
        <v>-</v>
      </c>
      <c r="G226" s="151">
        <f ca="1">IF(RegimeExecucao="Global","",ORÇAMENTO!T226)</f>
        <v>20.9</v>
      </c>
      <c r="H226" s="151">
        <f ca="1">IF(RegimeExecucao="Global","",ORÇAMENTO!W226)</f>
        <v>0</v>
      </c>
      <c r="I226" s="154">
        <f ca="1">ORÇAMENTO!X226</f>
        <v>0</v>
      </c>
      <c r="J226" s="427">
        <f t="shared" ca="1" si="37"/>
        <v>0</v>
      </c>
      <c r="K226" s="151">
        <f t="shared" ca="1" si="38"/>
        <v>0</v>
      </c>
      <c r="L226" s="428">
        <f t="shared" ca="1" si="39"/>
        <v>0</v>
      </c>
      <c r="M226" s="429">
        <f ca="1">IF($A226="S",VTOTALBM,IF($A226=0,0,ROUND(SomaAgrupBM,15-13*ORÇAMENTO!$AF$11)))</f>
        <v>0</v>
      </c>
      <c r="N226" s="430">
        <f t="shared" ca="1" si="40"/>
        <v>0</v>
      </c>
      <c r="O226" s="154">
        <f ca="1">IF($A226="S",VTOTALBM,IF($A226=0,0,ROUND(SomaAgrupBM,15-13*ORÇAMENTO!$AF$11)))</f>
        <v>0</v>
      </c>
      <c r="Q226" s="431"/>
      <c r="R226" s="432"/>
      <c r="T226" s="146" t="str">
        <f t="shared" ca="1" si="41"/>
        <v/>
      </c>
      <c r="U226" s="206" t="str">
        <f t="shared" ca="1" si="42"/>
        <v/>
      </c>
      <c r="V226" s="207" t="str">
        <f t="shared" ca="1" si="43"/>
        <v/>
      </c>
      <c r="W226" s="634">
        <f ca="1">IF($Y226&gt;0,CHOOSE(MATCH(RegimeExecucao,{"Unitário","Global"},0),IF($A226="S",$Y226/$X226,""),($Y226/$X226)*100),0)</f>
        <v>0</v>
      </c>
      <c r="X226" s="433" t="str">
        <f ca="1">IF($Y226&gt;0,CHOOSE(MATCH(RegimeExecucao,{"Unitário","Global"},0),IF($A226="S",ROUND($H226,ORÇAMENTO!$AF$10),""),ROUND($I226,ORÇAMENTO!$AF$11)),"")</f>
        <v/>
      </c>
      <c r="Y226" s="433">
        <f t="shared" ca="1" si="44"/>
        <v>0</v>
      </c>
      <c r="Z226" s="434"/>
      <c r="AB226" s="431"/>
      <c r="AC226" s="599"/>
      <c r="AD226" s="599"/>
      <c r="AE226" s="599"/>
      <c r="AF226" s="599"/>
      <c r="AG226" s="599"/>
      <c r="AH226" s="599"/>
      <c r="AI226" s="599"/>
      <c r="AJ226" s="599"/>
      <c r="AK226" s="599"/>
      <c r="AL226" s="599"/>
      <c r="AM226" s="432"/>
      <c r="AO226">
        <f ca="1">IF($A226="S",IF(BM!$I226=0,0,CHOOSE(MATCH(RegimeExecucao,{"Global","Unitário"},0),ROUND(ROUND(BM.MEDAcumulado,15-13*BM!$A$9)/100*BM!$I226,15-13*ORÇAMENTO!$AF$11),ROUND(ROUND(BM.MEDAcumulado,15-13*BM!$A$9)*ROUND(BM!$H226,15-13*ORÇAMENTO!$AF$10),15-13*ORÇAMENTO!$AF$11))),IF($A226=0,0,ROUND(SomaAgrupBM,15-13*ORÇAMENTO!$AF$11)))</f>
        <v>0</v>
      </c>
    </row>
    <row r="227" spans="1:41" ht="13.8" x14ac:dyDescent="0.3">
      <c r="A227" t="str">
        <f ca="1">ORÇAMENTO!C227</f>
        <v>S</v>
      </c>
      <c r="B227">
        <f ca="1">ORÇAMENTO!D227</f>
        <v>0</v>
      </c>
      <c r="C227" s="143" t="str">
        <f t="shared" ca="1" si="34"/>
        <v/>
      </c>
      <c r="D227" s="146" t="str">
        <f ca="1">ORÇAMENTO!O227</f>
        <v>-</v>
      </c>
      <c r="E227" s="206" t="str">
        <f t="shared" ca="1" si="35"/>
        <v>(abra o arquivo 'Referência 05-2024.xls)</v>
      </c>
      <c r="F227" s="207" t="str">
        <f t="shared" ca="1" si="36"/>
        <v>-</v>
      </c>
      <c r="G227" s="151">
        <f ca="1">IF(RegimeExecucao="Global","",ORÇAMENTO!T227)</f>
        <v>190.78</v>
      </c>
      <c r="H227" s="151">
        <f ca="1">IF(RegimeExecucao="Global","",ORÇAMENTO!W227)</f>
        <v>0</v>
      </c>
      <c r="I227" s="154">
        <f ca="1">ORÇAMENTO!X227</f>
        <v>0</v>
      </c>
      <c r="J227" s="427">
        <f t="shared" ca="1" si="37"/>
        <v>0</v>
      </c>
      <c r="K227" s="151">
        <f t="shared" ca="1" si="38"/>
        <v>0</v>
      </c>
      <c r="L227" s="428">
        <f t="shared" ca="1" si="39"/>
        <v>0</v>
      </c>
      <c r="M227" s="429">
        <f ca="1">IF($A227="S",VTOTALBM,IF($A227=0,0,ROUND(SomaAgrupBM,15-13*ORÇAMENTO!$AF$11)))</f>
        <v>0</v>
      </c>
      <c r="N227" s="430">
        <f t="shared" ca="1" si="40"/>
        <v>0</v>
      </c>
      <c r="O227" s="154">
        <f ca="1">IF($A227="S",VTOTALBM,IF($A227=0,0,ROUND(SomaAgrupBM,15-13*ORÇAMENTO!$AF$11)))</f>
        <v>0</v>
      </c>
      <c r="Q227" s="431"/>
      <c r="R227" s="432"/>
      <c r="T227" s="146" t="str">
        <f t="shared" ca="1" si="41"/>
        <v/>
      </c>
      <c r="U227" s="206" t="str">
        <f t="shared" ca="1" si="42"/>
        <v/>
      </c>
      <c r="V227" s="207" t="str">
        <f t="shared" ca="1" si="43"/>
        <v/>
      </c>
      <c r="W227" s="634">
        <f ca="1">IF($Y227&gt;0,CHOOSE(MATCH(RegimeExecucao,{"Unitário","Global"},0),IF($A227="S",$Y227/$X227,""),($Y227/$X227)*100),0)</f>
        <v>0</v>
      </c>
      <c r="X227" s="433" t="str">
        <f ca="1">IF($Y227&gt;0,CHOOSE(MATCH(RegimeExecucao,{"Unitário","Global"},0),IF($A227="S",ROUND($H227,ORÇAMENTO!$AF$10),""),ROUND($I227,ORÇAMENTO!$AF$11)),"")</f>
        <v/>
      </c>
      <c r="Y227" s="433">
        <f t="shared" ca="1" si="44"/>
        <v>0</v>
      </c>
      <c r="Z227" s="434"/>
      <c r="AB227" s="431"/>
      <c r="AC227" s="599"/>
      <c r="AD227" s="599"/>
      <c r="AE227" s="599"/>
      <c r="AF227" s="599"/>
      <c r="AG227" s="599"/>
      <c r="AH227" s="599"/>
      <c r="AI227" s="599"/>
      <c r="AJ227" s="599"/>
      <c r="AK227" s="599"/>
      <c r="AL227" s="599"/>
      <c r="AM227" s="432"/>
      <c r="AO227">
        <f ca="1">IF($A227="S",IF(BM!$I227=0,0,CHOOSE(MATCH(RegimeExecucao,{"Global","Unitário"},0),ROUND(ROUND(BM.MEDAcumulado,15-13*BM!$A$9)/100*BM!$I227,15-13*ORÇAMENTO!$AF$11),ROUND(ROUND(BM.MEDAcumulado,15-13*BM!$A$9)*ROUND(BM!$H227,15-13*ORÇAMENTO!$AF$10),15-13*ORÇAMENTO!$AF$11))),IF($A227=0,0,ROUND(SomaAgrupBM,15-13*ORÇAMENTO!$AF$11)))</f>
        <v>0</v>
      </c>
    </row>
    <row r="228" spans="1:41" ht="13.8" x14ac:dyDescent="0.3">
      <c r="A228" t="str">
        <f ca="1">ORÇAMENTO!C228</f>
        <v>S</v>
      </c>
      <c r="B228">
        <f ca="1">ORÇAMENTO!D228</f>
        <v>0</v>
      </c>
      <c r="C228" s="143" t="str">
        <f t="shared" ca="1" si="34"/>
        <v/>
      </c>
      <c r="D228" s="146" t="str">
        <f ca="1">ORÇAMENTO!O228</f>
        <v>-</v>
      </c>
      <c r="E228" s="206" t="str">
        <f t="shared" ca="1" si="35"/>
        <v>(abra o arquivo 'Referência 05-2024.xls)</v>
      </c>
      <c r="F228" s="207" t="str">
        <f t="shared" ca="1" si="36"/>
        <v>-</v>
      </c>
      <c r="G228" s="151">
        <f ca="1">IF(RegimeExecucao="Global","",ORÇAMENTO!T228)</f>
        <v>74.16</v>
      </c>
      <c r="H228" s="151">
        <f ca="1">IF(RegimeExecucao="Global","",ORÇAMENTO!W228)</f>
        <v>0</v>
      </c>
      <c r="I228" s="154">
        <f ca="1">ORÇAMENTO!X228</f>
        <v>0</v>
      </c>
      <c r="J228" s="427">
        <f t="shared" ca="1" si="37"/>
        <v>0</v>
      </c>
      <c r="K228" s="151">
        <f t="shared" ca="1" si="38"/>
        <v>0</v>
      </c>
      <c r="L228" s="428">
        <f t="shared" ca="1" si="39"/>
        <v>0</v>
      </c>
      <c r="M228" s="429">
        <f ca="1">IF($A228="S",VTOTALBM,IF($A228=0,0,ROUND(SomaAgrupBM,15-13*ORÇAMENTO!$AF$11)))</f>
        <v>0</v>
      </c>
      <c r="N228" s="430">
        <f t="shared" ca="1" si="40"/>
        <v>0</v>
      </c>
      <c r="O228" s="154">
        <f ca="1">IF($A228="S",VTOTALBM,IF($A228=0,0,ROUND(SomaAgrupBM,15-13*ORÇAMENTO!$AF$11)))</f>
        <v>0</v>
      </c>
      <c r="Q228" s="431"/>
      <c r="R228" s="432"/>
      <c r="T228" s="146" t="str">
        <f t="shared" ca="1" si="41"/>
        <v/>
      </c>
      <c r="U228" s="206" t="str">
        <f t="shared" ca="1" si="42"/>
        <v/>
      </c>
      <c r="V228" s="207" t="str">
        <f t="shared" ca="1" si="43"/>
        <v/>
      </c>
      <c r="W228" s="634">
        <f ca="1">IF($Y228&gt;0,CHOOSE(MATCH(RegimeExecucao,{"Unitário","Global"},0),IF($A228="S",$Y228/$X228,""),($Y228/$X228)*100),0)</f>
        <v>0</v>
      </c>
      <c r="X228" s="433" t="str">
        <f ca="1">IF($Y228&gt;0,CHOOSE(MATCH(RegimeExecucao,{"Unitário","Global"},0),IF($A228="S",ROUND($H228,ORÇAMENTO!$AF$10),""),ROUND($I228,ORÇAMENTO!$AF$11)),"")</f>
        <v/>
      </c>
      <c r="Y228" s="433">
        <f t="shared" ca="1" si="44"/>
        <v>0</v>
      </c>
      <c r="Z228" s="434"/>
      <c r="AB228" s="431"/>
      <c r="AC228" s="599"/>
      <c r="AD228" s="599"/>
      <c r="AE228" s="599"/>
      <c r="AF228" s="599"/>
      <c r="AG228" s="599"/>
      <c r="AH228" s="599"/>
      <c r="AI228" s="599"/>
      <c r="AJ228" s="599"/>
      <c r="AK228" s="599"/>
      <c r="AL228" s="599"/>
      <c r="AM228" s="432"/>
      <c r="AO228">
        <f ca="1">IF($A228="S",IF(BM!$I228=0,0,CHOOSE(MATCH(RegimeExecucao,{"Global","Unitário"},0),ROUND(ROUND(BM.MEDAcumulado,15-13*BM!$A$9)/100*BM!$I228,15-13*ORÇAMENTO!$AF$11),ROUND(ROUND(BM.MEDAcumulado,15-13*BM!$A$9)*ROUND(BM!$H228,15-13*ORÇAMENTO!$AF$10),15-13*ORÇAMENTO!$AF$11))),IF($A228=0,0,ROUND(SomaAgrupBM,15-13*ORÇAMENTO!$AF$11)))</f>
        <v>0</v>
      </c>
    </row>
    <row r="229" spans="1:41" ht="13.8" x14ac:dyDescent="0.3">
      <c r="A229" t="str">
        <f ca="1">ORÇAMENTO!C229</f>
        <v>S</v>
      </c>
      <c r="B229">
        <f ca="1">ORÇAMENTO!D229</f>
        <v>0</v>
      </c>
      <c r="C229" s="143" t="str">
        <f t="shared" ca="1" si="34"/>
        <v/>
      </c>
      <c r="D229" s="146" t="str">
        <f ca="1">ORÇAMENTO!O229</f>
        <v>-</v>
      </c>
      <c r="E229" s="206" t="str">
        <f t="shared" ca="1" si="35"/>
        <v>(abra o arquivo 'Referência 05-2024.xls)</v>
      </c>
      <c r="F229" s="207" t="str">
        <f t="shared" ca="1" si="36"/>
        <v>-</v>
      </c>
      <c r="G229" s="151">
        <f ca="1">IF(RegimeExecucao="Global","",ORÇAMENTO!T229)</f>
        <v>157.49</v>
      </c>
      <c r="H229" s="151">
        <f ca="1">IF(RegimeExecucao="Global","",ORÇAMENTO!W229)</f>
        <v>0</v>
      </c>
      <c r="I229" s="154">
        <f ca="1">ORÇAMENTO!X229</f>
        <v>0</v>
      </c>
      <c r="J229" s="427">
        <f t="shared" ca="1" si="37"/>
        <v>0</v>
      </c>
      <c r="K229" s="151">
        <f t="shared" ca="1" si="38"/>
        <v>0</v>
      </c>
      <c r="L229" s="428">
        <f t="shared" ca="1" si="39"/>
        <v>0</v>
      </c>
      <c r="M229" s="429">
        <f ca="1">IF($A229="S",VTOTALBM,IF($A229=0,0,ROUND(SomaAgrupBM,15-13*ORÇAMENTO!$AF$11)))</f>
        <v>0</v>
      </c>
      <c r="N229" s="430">
        <f t="shared" ca="1" si="40"/>
        <v>0</v>
      </c>
      <c r="O229" s="154">
        <f ca="1">IF($A229="S",VTOTALBM,IF($A229=0,0,ROUND(SomaAgrupBM,15-13*ORÇAMENTO!$AF$11)))</f>
        <v>0</v>
      </c>
      <c r="Q229" s="431"/>
      <c r="R229" s="432"/>
      <c r="T229" s="146" t="str">
        <f t="shared" ca="1" si="41"/>
        <v/>
      </c>
      <c r="U229" s="206" t="str">
        <f t="shared" ca="1" si="42"/>
        <v/>
      </c>
      <c r="V229" s="207" t="str">
        <f t="shared" ca="1" si="43"/>
        <v/>
      </c>
      <c r="W229" s="634">
        <f ca="1">IF($Y229&gt;0,CHOOSE(MATCH(RegimeExecucao,{"Unitário","Global"},0),IF($A229="S",$Y229/$X229,""),($Y229/$X229)*100),0)</f>
        <v>0</v>
      </c>
      <c r="X229" s="433" t="str">
        <f ca="1">IF($Y229&gt;0,CHOOSE(MATCH(RegimeExecucao,{"Unitário","Global"},0),IF($A229="S",ROUND($H229,ORÇAMENTO!$AF$10),""),ROUND($I229,ORÇAMENTO!$AF$11)),"")</f>
        <v/>
      </c>
      <c r="Y229" s="433">
        <f t="shared" ca="1" si="44"/>
        <v>0</v>
      </c>
      <c r="Z229" s="434"/>
      <c r="AB229" s="431"/>
      <c r="AC229" s="599"/>
      <c r="AD229" s="599"/>
      <c r="AE229" s="599"/>
      <c r="AF229" s="599"/>
      <c r="AG229" s="599"/>
      <c r="AH229" s="599"/>
      <c r="AI229" s="599"/>
      <c r="AJ229" s="599"/>
      <c r="AK229" s="599"/>
      <c r="AL229" s="599"/>
      <c r="AM229" s="432"/>
      <c r="AO229">
        <f ca="1">IF($A229="S",IF(BM!$I229=0,0,CHOOSE(MATCH(RegimeExecucao,{"Global","Unitário"},0),ROUND(ROUND(BM.MEDAcumulado,15-13*BM!$A$9)/100*BM!$I229,15-13*ORÇAMENTO!$AF$11),ROUND(ROUND(BM.MEDAcumulado,15-13*BM!$A$9)*ROUND(BM!$H229,15-13*ORÇAMENTO!$AF$10),15-13*ORÇAMENTO!$AF$11))),IF($A229=0,0,ROUND(SomaAgrupBM,15-13*ORÇAMENTO!$AF$11)))</f>
        <v>0</v>
      </c>
    </row>
    <row r="230" spans="1:41" ht="13.8" x14ac:dyDescent="0.3">
      <c r="A230" t="str">
        <f ca="1">ORÇAMENTO!C230</f>
        <v>S</v>
      </c>
      <c r="B230">
        <f ca="1">ORÇAMENTO!D230</f>
        <v>0</v>
      </c>
      <c r="C230" s="143" t="str">
        <f t="shared" ca="1" si="34"/>
        <v/>
      </c>
      <c r="D230" s="146" t="str">
        <f ca="1">ORÇAMENTO!O230</f>
        <v>-</v>
      </c>
      <c r="E230" s="206" t="str">
        <f t="shared" ca="1" si="35"/>
        <v>(abra o arquivo 'Referência 05-2024.xls)</v>
      </c>
      <c r="F230" s="207" t="str">
        <f t="shared" ca="1" si="36"/>
        <v>-</v>
      </c>
      <c r="G230" s="151">
        <f ca="1">IF(RegimeExecucao="Global","",ORÇAMENTO!T230)</f>
        <v>307.08999999999997</v>
      </c>
      <c r="H230" s="151">
        <f ca="1">IF(RegimeExecucao="Global","",ORÇAMENTO!W230)</f>
        <v>0</v>
      </c>
      <c r="I230" s="154">
        <f ca="1">ORÇAMENTO!X230</f>
        <v>0</v>
      </c>
      <c r="J230" s="427">
        <f t="shared" ca="1" si="37"/>
        <v>0</v>
      </c>
      <c r="K230" s="151">
        <f t="shared" ca="1" si="38"/>
        <v>0</v>
      </c>
      <c r="L230" s="428">
        <f t="shared" ca="1" si="39"/>
        <v>0</v>
      </c>
      <c r="M230" s="429">
        <f ca="1">IF($A230="S",VTOTALBM,IF($A230=0,0,ROUND(SomaAgrupBM,15-13*ORÇAMENTO!$AF$11)))</f>
        <v>0</v>
      </c>
      <c r="N230" s="430">
        <f t="shared" ca="1" si="40"/>
        <v>0</v>
      </c>
      <c r="O230" s="154">
        <f ca="1">IF($A230="S",VTOTALBM,IF($A230=0,0,ROUND(SomaAgrupBM,15-13*ORÇAMENTO!$AF$11)))</f>
        <v>0</v>
      </c>
      <c r="Q230" s="431"/>
      <c r="R230" s="432"/>
      <c r="T230" s="146" t="str">
        <f t="shared" ca="1" si="41"/>
        <v/>
      </c>
      <c r="U230" s="206" t="str">
        <f t="shared" ca="1" si="42"/>
        <v/>
      </c>
      <c r="V230" s="207" t="str">
        <f t="shared" ca="1" si="43"/>
        <v/>
      </c>
      <c r="W230" s="634">
        <f ca="1">IF($Y230&gt;0,CHOOSE(MATCH(RegimeExecucao,{"Unitário","Global"},0),IF($A230="S",$Y230/$X230,""),($Y230/$X230)*100),0)</f>
        <v>0</v>
      </c>
      <c r="X230" s="433" t="str">
        <f ca="1">IF($Y230&gt;0,CHOOSE(MATCH(RegimeExecucao,{"Unitário","Global"},0),IF($A230="S",ROUND($H230,ORÇAMENTO!$AF$10),""),ROUND($I230,ORÇAMENTO!$AF$11)),"")</f>
        <v/>
      </c>
      <c r="Y230" s="433">
        <f t="shared" ca="1" si="44"/>
        <v>0</v>
      </c>
      <c r="Z230" s="434"/>
      <c r="AB230" s="431"/>
      <c r="AC230" s="599"/>
      <c r="AD230" s="599"/>
      <c r="AE230" s="599"/>
      <c r="AF230" s="599"/>
      <c r="AG230" s="599"/>
      <c r="AH230" s="599"/>
      <c r="AI230" s="599"/>
      <c r="AJ230" s="599"/>
      <c r="AK230" s="599"/>
      <c r="AL230" s="599"/>
      <c r="AM230" s="432"/>
      <c r="AO230">
        <f ca="1">IF($A230="S",IF(BM!$I230=0,0,CHOOSE(MATCH(RegimeExecucao,{"Global","Unitário"},0),ROUND(ROUND(BM.MEDAcumulado,15-13*BM!$A$9)/100*BM!$I230,15-13*ORÇAMENTO!$AF$11),ROUND(ROUND(BM.MEDAcumulado,15-13*BM!$A$9)*ROUND(BM!$H230,15-13*ORÇAMENTO!$AF$10),15-13*ORÇAMENTO!$AF$11))),IF($A230=0,0,ROUND(SomaAgrupBM,15-13*ORÇAMENTO!$AF$11)))</f>
        <v>0</v>
      </c>
    </row>
    <row r="231" spans="1:41" ht="13.8" x14ac:dyDescent="0.3">
      <c r="A231" t="str">
        <f ca="1">ORÇAMENTO!C231</f>
        <v>S</v>
      </c>
      <c r="B231">
        <f ca="1">ORÇAMENTO!D231</f>
        <v>0</v>
      </c>
      <c r="C231" s="143" t="str">
        <f t="shared" ca="1" si="34"/>
        <v/>
      </c>
      <c r="D231" s="146" t="str">
        <f ca="1">ORÇAMENTO!O231</f>
        <v>-</v>
      </c>
      <c r="E231" s="206" t="str">
        <f t="shared" ca="1" si="35"/>
        <v>(abra o arquivo 'Referência 05-2024.xls)</v>
      </c>
      <c r="F231" s="207" t="str">
        <f t="shared" ca="1" si="36"/>
        <v>-</v>
      </c>
      <c r="G231" s="151">
        <f ca="1">IF(RegimeExecucao="Global","",ORÇAMENTO!T231)</f>
        <v>421.05</v>
      </c>
      <c r="H231" s="151">
        <f ca="1">IF(RegimeExecucao="Global","",ORÇAMENTO!W231)</f>
        <v>0</v>
      </c>
      <c r="I231" s="154">
        <f ca="1">ORÇAMENTO!X231</f>
        <v>0</v>
      </c>
      <c r="J231" s="427">
        <f t="shared" ca="1" si="37"/>
        <v>0</v>
      </c>
      <c r="K231" s="151">
        <f t="shared" ca="1" si="38"/>
        <v>0</v>
      </c>
      <c r="L231" s="428">
        <f t="shared" ca="1" si="39"/>
        <v>0</v>
      </c>
      <c r="M231" s="429">
        <f ca="1">IF($A231="S",VTOTALBM,IF($A231=0,0,ROUND(SomaAgrupBM,15-13*ORÇAMENTO!$AF$11)))</f>
        <v>0</v>
      </c>
      <c r="N231" s="430">
        <f t="shared" ca="1" si="40"/>
        <v>0</v>
      </c>
      <c r="O231" s="154">
        <f ca="1">IF($A231="S",VTOTALBM,IF($A231=0,0,ROUND(SomaAgrupBM,15-13*ORÇAMENTO!$AF$11)))</f>
        <v>0</v>
      </c>
      <c r="Q231" s="431"/>
      <c r="R231" s="432"/>
      <c r="T231" s="146" t="str">
        <f t="shared" ca="1" si="41"/>
        <v/>
      </c>
      <c r="U231" s="206" t="str">
        <f t="shared" ca="1" si="42"/>
        <v/>
      </c>
      <c r="V231" s="207" t="str">
        <f t="shared" ca="1" si="43"/>
        <v/>
      </c>
      <c r="W231" s="634">
        <f ca="1">IF($Y231&gt;0,CHOOSE(MATCH(RegimeExecucao,{"Unitário","Global"},0),IF($A231="S",$Y231/$X231,""),($Y231/$X231)*100),0)</f>
        <v>0</v>
      </c>
      <c r="X231" s="433" t="str">
        <f ca="1">IF($Y231&gt;0,CHOOSE(MATCH(RegimeExecucao,{"Unitário","Global"},0),IF($A231="S",ROUND($H231,ORÇAMENTO!$AF$10),""),ROUND($I231,ORÇAMENTO!$AF$11)),"")</f>
        <v/>
      </c>
      <c r="Y231" s="433">
        <f t="shared" ca="1" si="44"/>
        <v>0</v>
      </c>
      <c r="Z231" s="434"/>
      <c r="AB231" s="431"/>
      <c r="AC231" s="599"/>
      <c r="AD231" s="599"/>
      <c r="AE231" s="599"/>
      <c r="AF231" s="599"/>
      <c r="AG231" s="599"/>
      <c r="AH231" s="599"/>
      <c r="AI231" s="599"/>
      <c r="AJ231" s="599"/>
      <c r="AK231" s="599"/>
      <c r="AL231" s="599"/>
      <c r="AM231" s="432"/>
      <c r="AO231">
        <f ca="1">IF($A231="S",IF(BM!$I231=0,0,CHOOSE(MATCH(RegimeExecucao,{"Global","Unitário"},0),ROUND(ROUND(BM.MEDAcumulado,15-13*BM!$A$9)/100*BM!$I231,15-13*ORÇAMENTO!$AF$11),ROUND(ROUND(BM.MEDAcumulado,15-13*BM!$A$9)*ROUND(BM!$H231,15-13*ORÇAMENTO!$AF$10),15-13*ORÇAMENTO!$AF$11))),IF($A231=0,0,ROUND(SomaAgrupBM,15-13*ORÇAMENTO!$AF$11)))</f>
        <v>0</v>
      </c>
    </row>
    <row r="232" spans="1:41" ht="13.8" x14ac:dyDescent="0.3">
      <c r="A232" t="str">
        <f ca="1">ORÇAMENTO!C232</f>
        <v>S</v>
      </c>
      <c r="B232">
        <f ca="1">ORÇAMENTO!D232</f>
        <v>0</v>
      </c>
      <c r="C232" s="143" t="str">
        <f t="shared" ca="1" si="34"/>
        <v/>
      </c>
      <c r="D232" s="146" t="str">
        <f ca="1">ORÇAMENTO!O232</f>
        <v>-</v>
      </c>
      <c r="E232" s="206" t="str">
        <f t="shared" ca="1" si="35"/>
        <v>(abra o arquivo 'Referência 05-2024.xls)</v>
      </c>
      <c r="F232" s="207" t="str">
        <f t="shared" ca="1" si="36"/>
        <v>-</v>
      </c>
      <c r="G232" s="151">
        <f ca="1">IF(RegimeExecucao="Global","",ORÇAMENTO!T232)</f>
        <v>206.8</v>
      </c>
      <c r="H232" s="151">
        <f ca="1">IF(RegimeExecucao="Global","",ORÇAMENTO!W232)</f>
        <v>0</v>
      </c>
      <c r="I232" s="154">
        <f ca="1">ORÇAMENTO!X232</f>
        <v>0</v>
      </c>
      <c r="J232" s="427">
        <f t="shared" ca="1" si="37"/>
        <v>0</v>
      </c>
      <c r="K232" s="151">
        <f t="shared" ca="1" si="38"/>
        <v>0</v>
      </c>
      <c r="L232" s="428">
        <f t="shared" ca="1" si="39"/>
        <v>0</v>
      </c>
      <c r="M232" s="429">
        <f ca="1">IF($A232="S",VTOTALBM,IF($A232=0,0,ROUND(SomaAgrupBM,15-13*ORÇAMENTO!$AF$11)))</f>
        <v>0</v>
      </c>
      <c r="N232" s="430">
        <f t="shared" ca="1" si="40"/>
        <v>0</v>
      </c>
      <c r="O232" s="154">
        <f ca="1">IF($A232="S",VTOTALBM,IF($A232=0,0,ROUND(SomaAgrupBM,15-13*ORÇAMENTO!$AF$11)))</f>
        <v>0</v>
      </c>
      <c r="Q232" s="431"/>
      <c r="R232" s="432"/>
      <c r="T232" s="146" t="str">
        <f t="shared" ca="1" si="41"/>
        <v/>
      </c>
      <c r="U232" s="206" t="str">
        <f t="shared" ca="1" si="42"/>
        <v/>
      </c>
      <c r="V232" s="207" t="str">
        <f t="shared" ca="1" si="43"/>
        <v/>
      </c>
      <c r="W232" s="634">
        <f ca="1">IF($Y232&gt;0,CHOOSE(MATCH(RegimeExecucao,{"Unitário","Global"},0),IF($A232="S",$Y232/$X232,""),($Y232/$X232)*100),0)</f>
        <v>0</v>
      </c>
      <c r="X232" s="433" t="str">
        <f ca="1">IF($Y232&gt;0,CHOOSE(MATCH(RegimeExecucao,{"Unitário","Global"},0),IF($A232="S",ROUND($H232,ORÇAMENTO!$AF$10),""),ROUND($I232,ORÇAMENTO!$AF$11)),"")</f>
        <v/>
      </c>
      <c r="Y232" s="433">
        <f t="shared" ca="1" si="44"/>
        <v>0</v>
      </c>
      <c r="Z232" s="434"/>
      <c r="AB232" s="431"/>
      <c r="AC232" s="599"/>
      <c r="AD232" s="599"/>
      <c r="AE232" s="599"/>
      <c r="AF232" s="599"/>
      <c r="AG232" s="599"/>
      <c r="AH232" s="599"/>
      <c r="AI232" s="599"/>
      <c r="AJ232" s="599"/>
      <c r="AK232" s="599"/>
      <c r="AL232" s="599"/>
      <c r="AM232" s="432"/>
      <c r="AO232">
        <f ca="1">IF($A232="S",IF(BM!$I232=0,0,CHOOSE(MATCH(RegimeExecucao,{"Global","Unitário"},0),ROUND(ROUND(BM.MEDAcumulado,15-13*BM!$A$9)/100*BM!$I232,15-13*ORÇAMENTO!$AF$11),ROUND(ROUND(BM.MEDAcumulado,15-13*BM!$A$9)*ROUND(BM!$H232,15-13*ORÇAMENTO!$AF$10),15-13*ORÇAMENTO!$AF$11))),IF($A232=0,0,ROUND(SomaAgrupBM,15-13*ORÇAMENTO!$AF$11)))</f>
        <v>0</v>
      </c>
    </row>
    <row r="233" spans="1:41" ht="13.8" x14ac:dyDescent="0.3">
      <c r="A233" t="str">
        <f ca="1">ORÇAMENTO!C233</f>
        <v>S</v>
      </c>
      <c r="B233">
        <f ca="1">ORÇAMENTO!D233</f>
        <v>0</v>
      </c>
      <c r="C233" s="143" t="str">
        <f t="shared" ca="1" si="34"/>
        <v/>
      </c>
      <c r="D233" s="146" t="str">
        <f ca="1">ORÇAMENTO!O233</f>
        <v>-</v>
      </c>
      <c r="E233" s="206" t="str">
        <f t="shared" ca="1" si="35"/>
        <v>(abra o arquivo 'Referência 05-2024.xls)</v>
      </c>
      <c r="F233" s="207" t="str">
        <f t="shared" ca="1" si="36"/>
        <v>-</v>
      </c>
      <c r="G233" s="151">
        <f ca="1">IF(RegimeExecucao="Global","",ORÇAMENTO!T233)</f>
        <v>268.45999999999998</v>
      </c>
      <c r="H233" s="151">
        <f ca="1">IF(RegimeExecucao="Global","",ORÇAMENTO!W233)</f>
        <v>0</v>
      </c>
      <c r="I233" s="154">
        <f ca="1">ORÇAMENTO!X233</f>
        <v>0</v>
      </c>
      <c r="J233" s="427">
        <f t="shared" ca="1" si="37"/>
        <v>0</v>
      </c>
      <c r="K233" s="151">
        <f t="shared" ca="1" si="38"/>
        <v>0</v>
      </c>
      <c r="L233" s="428">
        <f t="shared" ca="1" si="39"/>
        <v>0</v>
      </c>
      <c r="M233" s="429">
        <f ca="1">IF($A233="S",VTOTALBM,IF($A233=0,0,ROUND(SomaAgrupBM,15-13*ORÇAMENTO!$AF$11)))</f>
        <v>0</v>
      </c>
      <c r="N233" s="430">
        <f t="shared" ca="1" si="40"/>
        <v>0</v>
      </c>
      <c r="O233" s="154">
        <f ca="1">IF($A233="S",VTOTALBM,IF($A233=0,0,ROUND(SomaAgrupBM,15-13*ORÇAMENTO!$AF$11)))</f>
        <v>0</v>
      </c>
      <c r="Q233" s="431"/>
      <c r="R233" s="432"/>
      <c r="T233" s="146" t="str">
        <f t="shared" ca="1" si="41"/>
        <v/>
      </c>
      <c r="U233" s="206" t="str">
        <f t="shared" ca="1" si="42"/>
        <v/>
      </c>
      <c r="V233" s="207" t="str">
        <f t="shared" ca="1" si="43"/>
        <v/>
      </c>
      <c r="W233" s="634">
        <f ca="1">IF($Y233&gt;0,CHOOSE(MATCH(RegimeExecucao,{"Unitário","Global"},0),IF($A233="S",$Y233/$X233,""),($Y233/$X233)*100),0)</f>
        <v>0</v>
      </c>
      <c r="X233" s="433" t="str">
        <f ca="1">IF($Y233&gt;0,CHOOSE(MATCH(RegimeExecucao,{"Unitário","Global"},0),IF($A233="S",ROUND($H233,ORÇAMENTO!$AF$10),""),ROUND($I233,ORÇAMENTO!$AF$11)),"")</f>
        <v/>
      </c>
      <c r="Y233" s="433">
        <f t="shared" ca="1" si="44"/>
        <v>0</v>
      </c>
      <c r="Z233" s="434"/>
      <c r="AB233" s="431"/>
      <c r="AC233" s="599"/>
      <c r="AD233" s="599"/>
      <c r="AE233" s="599"/>
      <c r="AF233" s="599"/>
      <c r="AG233" s="599"/>
      <c r="AH233" s="599"/>
      <c r="AI233" s="599"/>
      <c r="AJ233" s="599"/>
      <c r="AK233" s="599"/>
      <c r="AL233" s="599"/>
      <c r="AM233" s="432"/>
      <c r="AO233">
        <f ca="1">IF($A233="S",IF(BM!$I233=0,0,CHOOSE(MATCH(RegimeExecucao,{"Global","Unitário"},0),ROUND(ROUND(BM.MEDAcumulado,15-13*BM!$A$9)/100*BM!$I233,15-13*ORÇAMENTO!$AF$11),ROUND(ROUND(BM.MEDAcumulado,15-13*BM!$A$9)*ROUND(BM!$H233,15-13*ORÇAMENTO!$AF$10),15-13*ORÇAMENTO!$AF$11))),IF($A233=0,0,ROUND(SomaAgrupBM,15-13*ORÇAMENTO!$AF$11)))</f>
        <v>0</v>
      </c>
    </row>
    <row r="234" spans="1:41" ht="13.8" x14ac:dyDescent="0.3">
      <c r="A234">
        <f ca="1">ORÇAMENTO!C234</f>
        <v>3</v>
      </c>
      <c r="B234">
        <f ca="1">ORÇAMENTO!D234</f>
        <v>4</v>
      </c>
      <c r="C234" s="143" t="str">
        <f t="shared" ca="1" si="34"/>
        <v>F</v>
      </c>
      <c r="D234" s="146" t="str">
        <f ca="1">ORÇAMENTO!O234</f>
        <v>1.7.2.</v>
      </c>
      <c r="E234" s="206" t="str">
        <f t="shared" si="35"/>
        <v>QUADRA</v>
      </c>
      <c r="F234" s="207" t="str">
        <f t="shared" ca="1" si="36"/>
        <v>-</v>
      </c>
      <c r="G234" s="151">
        <f ca="1">IF(RegimeExecucao="Global","",ORÇAMENTO!T234)</f>
        <v>0</v>
      </c>
      <c r="H234" s="151">
        <f ca="1">IF(RegimeExecucao="Global","",ORÇAMENTO!W234)</f>
        <v>0</v>
      </c>
      <c r="I234" s="154">
        <f ca="1">ORÇAMENTO!X234</f>
        <v>0</v>
      </c>
      <c r="J234" s="427">
        <f t="shared" ca="1" si="37"/>
        <v>0</v>
      </c>
      <c r="K234" s="151">
        <f t="shared" ca="1" si="38"/>
        <v>0</v>
      </c>
      <c r="L234" s="428">
        <f t="shared" ca="1" si="39"/>
        <v>0</v>
      </c>
      <c r="M234" s="429">
        <f ca="1">IF($A234="S",VTOTALBM,IF($A234=0,0,ROUND(SomaAgrupBM,15-13*ORÇAMENTO!$AF$11)))</f>
        <v>0</v>
      </c>
      <c r="N234" s="430">
        <f t="shared" ca="1" si="40"/>
        <v>0</v>
      </c>
      <c r="O234" s="154">
        <f ca="1">IF($A234="S",VTOTALBM,IF($A234=0,0,ROUND(SomaAgrupBM,15-13*ORÇAMENTO!$AF$11)))</f>
        <v>0</v>
      </c>
      <c r="Q234" s="431"/>
      <c r="R234" s="432"/>
      <c r="T234" s="146" t="str">
        <f t="shared" ca="1" si="41"/>
        <v/>
      </c>
      <c r="U234" s="206" t="str">
        <f t="shared" ca="1" si="42"/>
        <v/>
      </c>
      <c r="V234" s="207" t="str">
        <f t="shared" ca="1" si="43"/>
        <v/>
      </c>
      <c r="W234" s="634">
        <f ca="1">IF($Y234&gt;0,CHOOSE(MATCH(RegimeExecucao,{"Unitário","Global"},0),IF($A234="S",$Y234/$X234,""),($Y234/$X234)*100),0)</f>
        <v>0</v>
      </c>
      <c r="X234" s="433" t="str">
        <f ca="1">IF($Y234&gt;0,CHOOSE(MATCH(RegimeExecucao,{"Unitário","Global"},0),IF($A234="S",ROUND($H234,ORÇAMENTO!$AF$10),""),ROUND($I234,ORÇAMENTO!$AF$11)),"")</f>
        <v/>
      </c>
      <c r="Y234" s="433">
        <f t="shared" ca="1" si="44"/>
        <v>0</v>
      </c>
      <c r="Z234" s="434"/>
      <c r="AB234" s="431"/>
      <c r="AC234" s="599"/>
      <c r="AD234" s="599"/>
      <c r="AE234" s="599"/>
      <c r="AF234" s="599"/>
      <c r="AG234" s="599"/>
      <c r="AH234" s="599"/>
      <c r="AI234" s="599"/>
      <c r="AJ234" s="599"/>
      <c r="AK234" s="599"/>
      <c r="AL234" s="599"/>
      <c r="AM234" s="432"/>
      <c r="AO234">
        <f ca="1">IF($A234="S",IF(BM!$I234=0,0,CHOOSE(MATCH(RegimeExecucao,{"Global","Unitário"},0),ROUND(ROUND(BM.MEDAcumulado,15-13*BM!$A$9)/100*BM!$I234,15-13*ORÇAMENTO!$AF$11),ROUND(ROUND(BM.MEDAcumulado,15-13*BM!$A$9)*ROUND(BM!$H234,15-13*ORÇAMENTO!$AF$10),15-13*ORÇAMENTO!$AF$11))),IF($A234=0,0,ROUND(SomaAgrupBM,15-13*ORÇAMENTO!$AF$11)))</f>
        <v>0</v>
      </c>
    </row>
    <row r="235" spans="1:41" ht="13.8" x14ac:dyDescent="0.3">
      <c r="A235" t="str">
        <f ca="1">ORÇAMENTO!C235</f>
        <v>S</v>
      </c>
      <c r="B235">
        <f ca="1">ORÇAMENTO!D235</f>
        <v>0</v>
      </c>
      <c r="C235" s="143" t="str">
        <f t="shared" ca="1" si="34"/>
        <v/>
      </c>
      <c r="D235" s="146" t="str">
        <f ca="1">ORÇAMENTO!O235</f>
        <v>-</v>
      </c>
      <c r="E235" s="206" t="str">
        <f t="shared" ca="1" si="35"/>
        <v>(abra o arquivo 'Referência 05-2024.xls)</v>
      </c>
      <c r="F235" s="207" t="str">
        <f t="shared" ca="1" si="36"/>
        <v>-</v>
      </c>
      <c r="G235" s="151">
        <f ca="1">IF(RegimeExecucao="Global","",ORÇAMENTO!T235)</f>
        <v>724.81</v>
      </c>
      <c r="H235" s="151">
        <f ca="1">IF(RegimeExecucao="Global","",ORÇAMENTO!W235)</f>
        <v>0</v>
      </c>
      <c r="I235" s="154">
        <f ca="1">ORÇAMENTO!X235</f>
        <v>0</v>
      </c>
      <c r="J235" s="427">
        <f t="shared" ca="1" si="37"/>
        <v>0</v>
      </c>
      <c r="K235" s="151">
        <f t="shared" ca="1" si="38"/>
        <v>0</v>
      </c>
      <c r="L235" s="428">
        <f t="shared" ca="1" si="39"/>
        <v>0</v>
      </c>
      <c r="M235" s="429">
        <f ca="1">IF($A235="S",VTOTALBM,IF($A235=0,0,ROUND(SomaAgrupBM,15-13*ORÇAMENTO!$AF$11)))</f>
        <v>0</v>
      </c>
      <c r="N235" s="430">
        <f t="shared" ca="1" si="40"/>
        <v>0</v>
      </c>
      <c r="O235" s="154">
        <f ca="1">IF($A235="S",VTOTALBM,IF($A235=0,0,ROUND(SomaAgrupBM,15-13*ORÇAMENTO!$AF$11)))</f>
        <v>0</v>
      </c>
      <c r="Q235" s="431"/>
      <c r="R235" s="432"/>
      <c r="T235" s="146" t="str">
        <f t="shared" ca="1" si="41"/>
        <v/>
      </c>
      <c r="U235" s="206" t="str">
        <f t="shared" ca="1" si="42"/>
        <v/>
      </c>
      <c r="V235" s="207" t="str">
        <f t="shared" ca="1" si="43"/>
        <v/>
      </c>
      <c r="W235" s="634">
        <f ca="1">IF($Y235&gt;0,CHOOSE(MATCH(RegimeExecucao,{"Unitário","Global"},0),IF($A235="S",$Y235/$X235,""),($Y235/$X235)*100),0)</f>
        <v>0</v>
      </c>
      <c r="X235" s="433" t="str">
        <f ca="1">IF($Y235&gt;0,CHOOSE(MATCH(RegimeExecucao,{"Unitário","Global"},0),IF($A235="S",ROUND($H235,ORÇAMENTO!$AF$10),""),ROUND($I235,ORÇAMENTO!$AF$11)),"")</f>
        <v/>
      </c>
      <c r="Y235" s="433">
        <f t="shared" ca="1" si="44"/>
        <v>0</v>
      </c>
      <c r="Z235" s="434"/>
      <c r="AB235" s="431"/>
      <c r="AC235" s="599"/>
      <c r="AD235" s="599"/>
      <c r="AE235" s="599"/>
      <c r="AF235" s="599"/>
      <c r="AG235" s="599"/>
      <c r="AH235" s="599"/>
      <c r="AI235" s="599"/>
      <c r="AJ235" s="599"/>
      <c r="AK235" s="599"/>
      <c r="AL235" s="599"/>
      <c r="AM235" s="432"/>
      <c r="AO235">
        <f ca="1">IF($A235="S",IF(BM!$I235=0,0,CHOOSE(MATCH(RegimeExecucao,{"Global","Unitário"},0),ROUND(ROUND(BM.MEDAcumulado,15-13*BM!$A$9)/100*BM!$I235,15-13*ORÇAMENTO!$AF$11),ROUND(ROUND(BM.MEDAcumulado,15-13*BM!$A$9)*ROUND(BM!$H235,15-13*ORÇAMENTO!$AF$10),15-13*ORÇAMENTO!$AF$11))),IF($A235=0,0,ROUND(SomaAgrupBM,15-13*ORÇAMENTO!$AF$11)))</f>
        <v>0</v>
      </c>
    </row>
    <row r="236" spans="1:41" ht="13.8" x14ac:dyDescent="0.3">
      <c r="A236" t="str">
        <f ca="1">ORÇAMENTO!C236</f>
        <v>S</v>
      </c>
      <c r="B236">
        <f ca="1">ORÇAMENTO!D236</f>
        <v>0</v>
      </c>
      <c r="C236" s="143" t="str">
        <f t="shared" ca="1" si="34"/>
        <v/>
      </c>
      <c r="D236" s="146" t="str">
        <f ca="1">ORÇAMENTO!O236</f>
        <v>-</v>
      </c>
      <c r="E236" s="206" t="str">
        <f t="shared" ca="1" si="35"/>
        <v>(abra o arquivo 'Referência 05-2024.xls)</v>
      </c>
      <c r="F236" s="207" t="str">
        <f t="shared" ca="1" si="36"/>
        <v>-</v>
      </c>
      <c r="G236" s="151">
        <f ca="1">IF(RegimeExecucao="Global","",ORÇAMENTO!T236)</f>
        <v>32.299999999999997</v>
      </c>
      <c r="H236" s="151">
        <f ca="1">IF(RegimeExecucao="Global","",ORÇAMENTO!W236)</f>
        <v>0</v>
      </c>
      <c r="I236" s="154">
        <f ca="1">ORÇAMENTO!X236</f>
        <v>0</v>
      </c>
      <c r="J236" s="427">
        <f t="shared" ca="1" si="37"/>
        <v>0</v>
      </c>
      <c r="K236" s="151">
        <f t="shared" ca="1" si="38"/>
        <v>0</v>
      </c>
      <c r="L236" s="428">
        <f t="shared" ca="1" si="39"/>
        <v>0</v>
      </c>
      <c r="M236" s="429">
        <f ca="1">IF($A236="S",VTOTALBM,IF($A236=0,0,ROUND(SomaAgrupBM,15-13*ORÇAMENTO!$AF$11)))</f>
        <v>0</v>
      </c>
      <c r="N236" s="430">
        <f t="shared" ca="1" si="40"/>
        <v>0</v>
      </c>
      <c r="O236" s="154">
        <f ca="1">IF($A236="S",VTOTALBM,IF($A236=0,0,ROUND(SomaAgrupBM,15-13*ORÇAMENTO!$AF$11)))</f>
        <v>0</v>
      </c>
      <c r="Q236" s="431"/>
      <c r="R236" s="432"/>
      <c r="T236" s="146" t="str">
        <f t="shared" ca="1" si="41"/>
        <v/>
      </c>
      <c r="U236" s="206" t="str">
        <f t="shared" ca="1" si="42"/>
        <v/>
      </c>
      <c r="V236" s="207" t="str">
        <f t="shared" ca="1" si="43"/>
        <v/>
      </c>
      <c r="W236" s="634">
        <f ca="1">IF($Y236&gt;0,CHOOSE(MATCH(RegimeExecucao,{"Unitário","Global"},0),IF($A236="S",$Y236/$X236,""),($Y236/$X236)*100),0)</f>
        <v>0</v>
      </c>
      <c r="X236" s="433" t="str">
        <f ca="1">IF($Y236&gt;0,CHOOSE(MATCH(RegimeExecucao,{"Unitário","Global"},0),IF($A236="S",ROUND($H236,ORÇAMENTO!$AF$10),""),ROUND($I236,ORÇAMENTO!$AF$11)),"")</f>
        <v/>
      </c>
      <c r="Y236" s="433">
        <f t="shared" ca="1" si="44"/>
        <v>0</v>
      </c>
      <c r="Z236" s="434"/>
      <c r="AB236" s="431"/>
      <c r="AC236" s="599"/>
      <c r="AD236" s="599"/>
      <c r="AE236" s="599"/>
      <c r="AF236" s="599"/>
      <c r="AG236" s="599"/>
      <c r="AH236" s="599"/>
      <c r="AI236" s="599"/>
      <c r="AJ236" s="599"/>
      <c r="AK236" s="599"/>
      <c r="AL236" s="599"/>
      <c r="AM236" s="432"/>
      <c r="AO236">
        <f ca="1">IF($A236="S",IF(BM!$I236=0,0,CHOOSE(MATCH(RegimeExecucao,{"Global","Unitário"},0),ROUND(ROUND(BM.MEDAcumulado,15-13*BM!$A$9)/100*BM!$I236,15-13*ORÇAMENTO!$AF$11),ROUND(ROUND(BM.MEDAcumulado,15-13*BM!$A$9)*ROUND(BM!$H236,15-13*ORÇAMENTO!$AF$10),15-13*ORÇAMENTO!$AF$11))),IF($A236=0,0,ROUND(SomaAgrupBM,15-13*ORÇAMENTO!$AF$11)))</f>
        <v>0</v>
      </c>
    </row>
    <row r="237" spans="1:41" ht="13.8" x14ac:dyDescent="0.3">
      <c r="A237" t="str">
        <f ca="1">ORÇAMENTO!C237</f>
        <v>S</v>
      </c>
      <c r="B237">
        <f ca="1">ORÇAMENTO!D237</f>
        <v>0</v>
      </c>
      <c r="C237" s="143" t="str">
        <f t="shared" ca="1" si="34"/>
        <v/>
      </c>
      <c r="D237" s="146" t="str">
        <f ca="1">ORÇAMENTO!O237</f>
        <v>-</v>
      </c>
      <c r="E237" s="206" t="str">
        <f t="shared" ca="1" si="35"/>
        <v>(abra o arquivo 'Referência 05-2024.xls)</v>
      </c>
      <c r="F237" s="207" t="str">
        <f t="shared" ca="1" si="36"/>
        <v>-</v>
      </c>
      <c r="G237" s="151">
        <f ca="1">IF(RegimeExecucao="Global","",ORÇAMENTO!T237)</f>
        <v>632.70000000000005</v>
      </c>
      <c r="H237" s="151">
        <f ca="1">IF(RegimeExecucao="Global","",ORÇAMENTO!W237)</f>
        <v>0</v>
      </c>
      <c r="I237" s="154">
        <f ca="1">ORÇAMENTO!X237</f>
        <v>0</v>
      </c>
      <c r="J237" s="427">
        <f t="shared" ca="1" si="37"/>
        <v>0</v>
      </c>
      <c r="K237" s="151">
        <f t="shared" ca="1" si="38"/>
        <v>0</v>
      </c>
      <c r="L237" s="428">
        <f t="shared" ca="1" si="39"/>
        <v>0</v>
      </c>
      <c r="M237" s="429">
        <f ca="1">IF($A237="S",VTOTALBM,IF($A237=0,0,ROUND(SomaAgrupBM,15-13*ORÇAMENTO!$AF$11)))</f>
        <v>0</v>
      </c>
      <c r="N237" s="430">
        <f t="shared" ca="1" si="40"/>
        <v>0</v>
      </c>
      <c r="O237" s="154">
        <f ca="1">IF($A237="S",VTOTALBM,IF($A237=0,0,ROUND(SomaAgrupBM,15-13*ORÇAMENTO!$AF$11)))</f>
        <v>0</v>
      </c>
      <c r="Q237" s="431"/>
      <c r="R237" s="432"/>
      <c r="T237" s="146" t="str">
        <f t="shared" ca="1" si="41"/>
        <v/>
      </c>
      <c r="U237" s="206" t="str">
        <f t="shared" ca="1" si="42"/>
        <v/>
      </c>
      <c r="V237" s="207" t="str">
        <f t="shared" ca="1" si="43"/>
        <v/>
      </c>
      <c r="W237" s="634">
        <f ca="1">IF($Y237&gt;0,CHOOSE(MATCH(RegimeExecucao,{"Unitário","Global"},0),IF($A237="S",$Y237/$X237,""),($Y237/$X237)*100),0)</f>
        <v>0</v>
      </c>
      <c r="X237" s="433" t="str">
        <f ca="1">IF($Y237&gt;0,CHOOSE(MATCH(RegimeExecucao,{"Unitário","Global"},0),IF($A237="S",ROUND($H237,ORÇAMENTO!$AF$10),""),ROUND($I237,ORÇAMENTO!$AF$11)),"")</f>
        <v/>
      </c>
      <c r="Y237" s="433">
        <f t="shared" ca="1" si="44"/>
        <v>0</v>
      </c>
      <c r="Z237" s="434"/>
      <c r="AB237" s="431"/>
      <c r="AC237" s="599"/>
      <c r="AD237" s="599"/>
      <c r="AE237" s="599"/>
      <c r="AF237" s="599"/>
      <c r="AG237" s="599"/>
      <c r="AH237" s="599"/>
      <c r="AI237" s="599"/>
      <c r="AJ237" s="599"/>
      <c r="AK237" s="599"/>
      <c r="AL237" s="599"/>
      <c r="AM237" s="432"/>
      <c r="AO237">
        <f ca="1">IF($A237="S",IF(BM!$I237=0,0,CHOOSE(MATCH(RegimeExecucao,{"Global","Unitário"},0),ROUND(ROUND(BM.MEDAcumulado,15-13*BM!$A$9)/100*BM!$I237,15-13*ORÇAMENTO!$AF$11),ROUND(ROUND(BM.MEDAcumulado,15-13*BM!$A$9)*ROUND(BM!$H237,15-13*ORÇAMENTO!$AF$10),15-13*ORÇAMENTO!$AF$11))),IF($A237=0,0,ROUND(SomaAgrupBM,15-13*ORÇAMENTO!$AF$11)))</f>
        <v>0</v>
      </c>
    </row>
    <row r="238" spans="1:41" ht="13.8" x14ac:dyDescent="0.3">
      <c r="A238">
        <f ca="1">ORÇAMENTO!C238</f>
        <v>2</v>
      </c>
      <c r="B238">
        <f ca="1">ORÇAMENTO!D238</f>
        <v>5</v>
      </c>
      <c r="C238" s="143" t="str">
        <f t="shared" ca="1" si="34"/>
        <v>F</v>
      </c>
      <c r="D238" s="146" t="str">
        <f ca="1">ORÇAMENTO!O238</f>
        <v>1.8.</v>
      </c>
      <c r="E238" s="206" t="str">
        <f t="shared" si="35"/>
        <v xml:space="preserve">IMPERMEABILIZAÇÃO </v>
      </c>
      <c r="F238" s="207" t="str">
        <f t="shared" ca="1" si="36"/>
        <v>-</v>
      </c>
      <c r="G238" s="151">
        <f ca="1">IF(RegimeExecucao="Global","",ORÇAMENTO!T238)</f>
        <v>0</v>
      </c>
      <c r="H238" s="151">
        <f ca="1">IF(RegimeExecucao="Global","",ORÇAMENTO!W238)</f>
        <v>0</v>
      </c>
      <c r="I238" s="154">
        <f ca="1">ORÇAMENTO!X238</f>
        <v>0</v>
      </c>
      <c r="J238" s="427">
        <f t="shared" ca="1" si="37"/>
        <v>0</v>
      </c>
      <c r="K238" s="151">
        <f t="shared" ca="1" si="38"/>
        <v>0</v>
      </c>
      <c r="L238" s="428">
        <f t="shared" ca="1" si="39"/>
        <v>0</v>
      </c>
      <c r="M238" s="429">
        <f ca="1">IF($A238="S",VTOTALBM,IF($A238=0,0,ROUND(SomaAgrupBM,15-13*ORÇAMENTO!$AF$11)))</f>
        <v>0</v>
      </c>
      <c r="N238" s="430">
        <f t="shared" ca="1" si="40"/>
        <v>0</v>
      </c>
      <c r="O238" s="154">
        <f ca="1">IF($A238="S",VTOTALBM,IF($A238=0,0,ROUND(SomaAgrupBM,15-13*ORÇAMENTO!$AF$11)))</f>
        <v>0</v>
      </c>
      <c r="Q238" s="431"/>
      <c r="R238" s="432"/>
      <c r="T238" s="146" t="str">
        <f t="shared" ca="1" si="41"/>
        <v/>
      </c>
      <c r="U238" s="206" t="str">
        <f t="shared" ca="1" si="42"/>
        <v/>
      </c>
      <c r="V238" s="207" t="str">
        <f t="shared" ca="1" si="43"/>
        <v/>
      </c>
      <c r="W238" s="634">
        <f ca="1">IF($Y238&gt;0,CHOOSE(MATCH(RegimeExecucao,{"Unitário","Global"},0),IF($A238="S",$Y238/$X238,""),($Y238/$X238)*100),0)</f>
        <v>0</v>
      </c>
      <c r="X238" s="433" t="str">
        <f ca="1">IF($Y238&gt;0,CHOOSE(MATCH(RegimeExecucao,{"Unitário","Global"},0),IF($A238="S",ROUND($H238,ORÇAMENTO!$AF$10),""),ROUND($I238,ORÇAMENTO!$AF$11)),"")</f>
        <v/>
      </c>
      <c r="Y238" s="433">
        <f t="shared" ca="1" si="44"/>
        <v>0</v>
      </c>
      <c r="Z238" s="434"/>
      <c r="AB238" s="431"/>
      <c r="AC238" s="599"/>
      <c r="AD238" s="599"/>
      <c r="AE238" s="599"/>
      <c r="AF238" s="599"/>
      <c r="AG238" s="599"/>
      <c r="AH238" s="599"/>
      <c r="AI238" s="599"/>
      <c r="AJ238" s="599"/>
      <c r="AK238" s="599"/>
      <c r="AL238" s="599"/>
      <c r="AM238" s="432"/>
      <c r="AO238">
        <f ca="1">IF($A238="S",IF(BM!$I238=0,0,CHOOSE(MATCH(RegimeExecucao,{"Global","Unitário"},0),ROUND(ROUND(BM.MEDAcumulado,15-13*BM!$A$9)/100*BM!$I238,15-13*ORÇAMENTO!$AF$11),ROUND(ROUND(BM.MEDAcumulado,15-13*BM!$A$9)*ROUND(BM!$H238,15-13*ORÇAMENTO!$AF$10),15-13*ORÇAMENTO!$AF$11))),IF($A238=0,0,ROUND(SomaAgrupBM,15-13*ORÇAMENTO!$AF$11)))</f>
        <v>0</v>
      </c>
    </row>
    <row r="239" spans="1:41" ht="13.8" x14ac:dyDescent="0.3">
      <c r="A239" t="str">
        <f ca="1">ORÇAMENTO!C239</f>
        <v>S</v>
      </c>
      <c r="B239">
        <f ca="1">ORÇAMENTO!D239</f>
        <v>0</v>
      </c>
      <c r="C239" s="143" t="str">
        <f t="shared" ca="1" si="34"/>
        <v/>
      </c>
      <c r="D239" s="146" t="str">
        <f ca="1">ORÇAMENTO!O239</f>
        <v>-</v>
      </c>
      <c r="E239" s="206" t="str">
        <f t="shared" ca="1" si="35"/>
        <v>(abra o arquivo 'Referência 05-2024.xls)</v>
      </c>
      <c r="F239" s="207" t="str">
        <f t="shared" ca="1" si="36"/>
        <v>-</v>
      </c>
      <c r="G239" s="151">
        <f ca="1">IF(RegimeExecucao="Global","",ORÇAMENTO!T239)</f>
        <v>1078.06</v>
      </c>
      <c r="H239" s="151">
        <f ca="1">IF(RegimeExecucao="Global","",ORÇAMENTO!W239)</f>
        <v>0</v>
      </c>
      <c r="I239" s="154">
        <f ca="1">ORÇAMENTO!X239</f>
        <v>0</v>
      </c>
      <c r="J239" s="427">
        <f t="shared" ca="1" si="37"/>
        <v>0</v>
      </c>
      <c r="K239" s="151">
        <f t="shared" ca="1" si="38"/>
        <v>0</v>
      </c>
      <c r="L239" s="428">
        <f t="shared" ca="1" si="39"/>
        <v>0</v>
      </c>
      <c r="M239" s="429">
        <f ca="1">IF($A239="S",VTOTALBM,IF($A239=0,0,ROUND(SomaAgrupBM,15-13*ORÇAMENTO!$AF$11)))</f>
        <v>0</v>
      </c>
      <c r="N239" s="430">
        <f t="shared" ca="1" si="40"/>
        <v>0</v>
      </c>
      <c r="O239" s="154">
        <f ca="1">IF($A239="S",VTOTALBM,IF($A239=0,0,ROUND(SomaAgrupBM,15-13*ORÇAMENTO!$AF$11)))</f>
        <v>0</v>
      </c>
      <c r="Q239" s="431"/>
      <c r="R239" s="432"/>
      <c r="T239" s="146" t="str">
        <f t="shared" ca="1" si="41"/>
        <v/>
      </c>
      <c r="U239" s="206" t="str">
        <f t="shared" ca="1" si="42"/>
        <v/>
      </c>
      <c r="V239" s="207" t="str">
        <f t="shared" ca="1" si="43"/>
        <v/>
      </c>
      <c r="W239" s="634">
        <f ca="1">IF($Y239&gt;0,CHOOSE(MATCH(RegimeExecucao,{"Unitário","Global"},0),IF($A239="S",$Y239/$X239,""),($Y239/$X239)*100),0)</f>
        <v>0</v>
      </c>
      <c r="X239" s="433" t="str">
        <f ca="1">IF($Y239&gt;0,CHOOSE(MATCH(RegimeExecucao,{"Unitário","Global"},0),IF($A239="S",ROUND($H239,ORÇAMENTO!$AF$10),""),ROUND($I239,ORÇAMENTO!$AF$11)),"")</f>
        <v/>
      </c>
      <c r="Y239" s="433">
        <f t="shared" ca="1" si="44"/>
        <v>0</v>
      </c>
      <c r="Z239" s="434"/>
      <c r="AB239" s="431"/>
      <c r="AC239" s="599"/>
      <c r="AD239" s="599"/>
      <c r="AE239" s="599"/>
      <c r="AF239" s="599"/>
      <c r="AG239" s="599"/>
      <c r="AH239" s="599"/>
      <c r="AI239" s="599"/>
      <c r="AJ239" s="599"/>
      <c r="AK239" s="599"/>
      <c r="AL239" s="599"/>
      <c r="AM239" s="432"/>
      <c r="AO239">
        <f ca="1">IF($A239="S",IF(BM!$I239=0,0,CHOOSE(MATCH(RegimeExecucao,{"Global","Unitário"},0),ROUND(ROUND(BM.MEDAcumulado,15-13*BM!$A$9)/100*BM!$I239,15-13*ORÇAMENTO!$AF$11),ROUND(ROUND(BM.MEDAcumulado,15-13*BM!$A$9)*ROUND(BM!$H239,15-13*ORÇAMENTO!$AF$10),15-13*ORÇAMENTO!$AF$11))),IF($A239=0,0,ROUND(SomaAgrupBM,15-13*ORÇAMENTO!$AF$11)))</f>
        <v>0</v>
      </c>
    </row>
    <row r="240" spans="1:41" ht="13.8" x14ac:dyDescent="0.3">
      <c r="A240" t="str">
        <f ca="1">ORÇAMENTO!C240</f>
        <v>S</v>
      </c>
      <c r="B240">
        <f ca="1">ORÇAMENTO!D240</f>
        <v>0</v>
      </c>
      <c r="C240" s="143" t="str">
        <f t="shared" ca="1" si="34"/>
        <v/>
      </c>
      <c r="D240" s="146" t="str">
        <f ca="1">ORÇAMENTO!O240</f>
        <v>-</v>
      </c>
      <c r="E240" s="206" t="str">
        <f t="shared" ca="1" si="35"/>
        <v>(abra o arquivo 'Referência 05-2024.xls)</v>
      </c>
      <c r="F240" s="207" t="str">
        <f t="shared" ca="1" si="36"/>
        <v>-</v>
      </c>
      <c r="G240" s="151">
        <f ca="1">IF(RegimeExecucao="Global","",ORÇAMENTO!T240)</f>
        <v>60.03</v>
      </c>
      <c r="H240" s="151">
        <f ca="1">IF(RegimeExecucao="Global","",ORÇAMENTO!W240)</f>
        <v>0</v>
      </c>
      <c r="I240" s="154">
        <f ca="1">ORÇAMENTO!X240</f>
        <v>0</v>
      </c>
      <c r="J240" s="427">
        <f t="shared" ca="1" si="37"/>
        <v>0</v>
      </c>
      <c r="K240" s="151">
        <f t="shared" ca="1" si="38"/>
        <v>0</v>
      </c>
      <c r="L240" s="428">
        <f t="shared" ca="1" si="39"/>
        <v>0</v>
      </c>
      <c r="M240" s="429">
        <f ca="1">IF($A240="S",VTOTALBM,IF($A240=0,0,ROUND(SomaAgrupBM,15-13*ORÇAMENTO!$AF$11)))</f>
        <v>0</v>
      </c>
      <c r="N240" s="430">
        <f t="shared" ca="1" si="40"/>
        <v>0</v>
      </c>
      <c r="O240" s="154">
        <f ca="1">IF($A240="S",VTOTALBM,IF($A240=0,0,ROUND(SomaAgrupBM,15-13*ORÇAMENTO!$AF$11)))</f>
        <v>0</v>
      </c>
      <c r="Q240" s="431"/>
      <c r="R240" s="432"/>
      <c r="T240" s="146" t="str">
        <f t="shared" ca="1" si="41"/>
        <v/>
      </c>
      <c r="U240" s="206" t="str">
        <f t="shared" ca="1" si="42"/>
        <v/>
      </c>
      <c r="V240" s="207" t="str">
        <f t="shared" ca="1" si="43"/>
        <v/>
      </c>
      <c r="W240" s="634">
        <f ca="1">IF($Y240&gt;0,CHOOSE(MATCH(RegimeExecucao,{"Unitário","Global"},0),IF($A240="S",$Y240/$X240,""),($Y240/$X240)*100),0)</f>
        <v>0</v>
      </c>
      <c r="X240" s="433" t="str">
        <f ca="1">IF($Y240&gt;0,CHOOSE(MATCH(RegimeExecucao,{"Unitário","Global"},0),IF($A240="S",ROUND($H240,ORÇAMENTO!$AF$10),""),ROUND($I240,ORÇAMENTO!$AF$11)),"")</f>
        <v/>
      </c>
      <c r="Y240" s="433">
        <f t="shared" ca="1" si="44"/>
        <v>0</v>
      </c>
      <c r="Z240" s="434"/>
      <c r="AB240" s="431"/>
      <c r="AC240" s="599"/>
      <c r="AD240" s="599"/>
      <c r="AE240" s="599"/>
      <c r="AF240" s="599"/>
      <c r="AG240" s="599"/>
      <c r="AH240" s="599"/>
      <c r="AI240" s="599"/>
      <c r="AJ240" s="599"/>
      <c r="AK240" s="599"/>
      <c r="AL240" s="599"/>
      <c r="AM240" s="432"/>
      <c r="AO240">
        <f ca="1">IF($A240="S",IF(BM!$I240=0,0,CHOOSE(MATCH(RegimeExecucao,{"Global","Unitário"},0),ROUND(ROUND(BM.MEDAcumulado,15-13*BM!$A$9)/100*BM!$I240,15-13*ORÇAMENTO!$AF$11),ROUND(ROUND(BM.MEDAcumulado,15-13*BM!$A$9)*ROUND(BM!$H240,15-13*ORÇAMENTO!$AF$10),15-13*ORÇAMENTO!$AF$11))),IF($A240=0,0,ROUND(SomaAgrupBM,15-13*ORÇAMENTO!$AF$11)))</f>
        <v>0</v>
      </c>
    </row>
    <row r="241" spans="1:41" ht="13.8" x14ac:dyDescent="0.3">
      <c r="A241" t="str">
        <f ca="1">ORÇAMENTO!C241</f>
        <v>S</v>
      </c>
      <c r="B241">
        <f ca="1">ORÇAMENTO!D241</f>
        <v>0</v>
      </c>
      <c r="C241" s="143" t="str">
        <f t="shared" ca="1" si="34"/>
        <v/>
      </c>
      <c r="D241" s="146" t="str">
        <f ca="1">ORÇAMENTO!O241</f>
        <v>-</v>
      </c>
      <c r="E241" s="206" t="str">
        <f t="shared" ca="1" si="35"/>
        <v>(abra o arquivo 'Referência 05-2024.xls)</v>
      </c>
      <c r="F241" s="207" t="str">
        <f t="shared" ca="1" si="36"/>
        <v>-</v>
      </c>
      <c r="G241" s="151">
        <f ca="1">IF(RegimeExecucao="Global","",ORÇAMENTO!T241)</f>
        <v>197.46</v>
      </c>
      <c r="H241" s="151">
        <f ca="1">IF(RegimeExecucao="Global","",ORÇAMENTO!W241)</f>
        <v>0</v>
      </c>
      <c r="I241" s="154">
        <f ca="1">ORÇAMENTO!X241</f>
        <v>0</v>
      </c>
      <c r="J241" s="427">
        <f t="shared" ca="1" si="37"/>
        <v>0</v>
      </c>
      <c r="K241" s="151">
        <f t="shared" ca="1" si="38"/>
        <v>0</v>
      </c>
      <c r="L241" s="428">
        <f t="shared" ca="1" si="39"/>
        <v>0</v>
      </c>
      <c r="M241" s="429">
        <f ca="1">IF($A241="S",VTOTALBM,IF($A241=0,0,ROUND(SomaAgrupBM,15-13*ORÇAMENTO!$AF$11)))</f>
        <v>0</v>
      </c>
      <c r="N241" s="430">
        <f t="shared" ca="1" si="40"/>
        <v>0</v>
      </c>
      <c r="O241" s="154">
        <f ca="1">IF($A241="S",VTOTALBM,IF($A241=0,0,ROUND(SomaAgrupBM,15-13*ORÇAMENTO!$AF$11)))</f>
        <v>0</v>
      </c>
      <c r="Q241" s="431"/>
      <c r="R241" s="432"/>
      <c r="T241" s="146" t="str">
        <f t="shared" ca="1" si="41"/>
        <v/>
      </c>
      <c r="U241" s="206" t="str">
        <f t="shared" ca="1" si="42"/>
        <v/>
      </c>
      <c r="V241" s="207" t="str">
        <f t="shared" ca="1" si="43"/>
        <v/>
      </c>
      <c r="W241" s="634">
        <f ca="1">IF($Y241&gt;0,CHOOSE(MATCH(RegimeExecucao,{"Unitário","Global"},0),IF($A241="S",$Y241/$X241,""),($Y241/$X241)*100),0)</f>
        <v>0</v>
      </c>
      <c r="X241" s="433" t="str">
        <f ca="1">IF($Y241&gt;0,CHOOSE(MATCH(RegimeExecucao,{"Unitário","Global"},0),IF($A241="S",ROUND($H241,ORÇAMENTO!$AF$10),""),ROUND($I241,ORÇAMENTO!$AF$11)),"")</f>
        <v/>
      </c>
      <c r="Y241" s="433">
        <f t="shared" ca="1" si="44"/>
        <v>0</v>
      </c>
      <c r="Z241" s="434"/>
      <c r="AB241" s="431"/>
      <c r="AC241" s="599"/>
      <c r="AD241" s="599"/>
      <c r="AE241" s="599"/>
      <c r="AF241" s="599"/>
      <c r="AG241" s="599"/>
      <c r="AH241" s="599"/>
      <c r="AI241" s="599"/>
      <c r="AJ241" s="599"/>
      <c r="AK241" s="599"/>
      <c r="AL241" s="599"/>
      <c r="AM241" s="432"/>
      <c r="AO241">
        <f ca="1">IF($A241="S",IF(BM!$I241=0,0,CHOOSE(MATCH(RegimeExecucao,{"Global","Unitário"},0),ROUND(ROUND(BM.MEDAcumulado,15-13*BM!$A$9)/100*BM!$I241,15-13*ORÇAMENTO!$AF$11),ROUND(ROUND(BM.MEDAcumulado,15-13*BM!$A$9)*ROUND(BM!$H241,15-13*ORÇAMENTO!$AF$10),15-13*ORÇAMENTO!$AF$11))),IF($A241=0,0,ROUND(SomaAgrupBM,15-13*ORÇAMENTO!$AF$11)))</f>
        <v>0</v>
      </c>
    </row>
    <row r="242" spans="1:41" ht="13.8" x14ac:dyDescent="0.3">
      <c r="A242" t="str">
        <f ca="1">ORÇAMENTO!C242</f>
        <v>S</v>
      </c>
      <c r="B242">
        <f ca="1">ORÇAMENTO!D242</f>
        <v>0</v>
      </c>
      <c r="C242" s="143" t="str">
        <f t="shared" ca="1" si="34"/>
        <v/>
      </c>
      <c r="D242" s="146" t="str">
        <f ca="1">ORÇAMENTO!O242</f>
        <v>-</v>
      </c>
      <c r="E242" s="206" t="str">
        <f t="shared" ca="1" si="35"/>
        <v>(abra o arquivo 'Referência 05-2024.xls)</v>
      </c>
      <c r="F242" s="207" t="str">
        <f t="shared" ca="1" si="36"/>
        <v>-</v>
      </c>
      <c r="G242" s="151">
        <f ca="1">IF(RegimeExecucao="Global","",ORÇAMENTO!T242)</f>
        <v>29.4</v>
      </c>
      <c r="H242" s="151">
        <f ca="1">IF(RegimeExecucao="Global","",ORÇAMENTO!W242)</f>
        <v>0</v>
      </c>
      <c r="I242" s="154">
        <f ca="1">ORÇAMENTO!X242</f>
        <v>0</v>
      </c>
      <c r="J242" s="427">
        <f t="shared" ca="1" si="37"/>
        <v>0</v>
      </c>
      <c r="K242" s="151">
        <f t="shared" ca="1" si="38"/>
        <v>0</v>
      </c>
      <c r="L242" s="428">
        <f t="shared" ca="1" si="39"/>
        <v>0</v>
      </c>
      <c r="M242" s="429">
        <f ca="1">IF($A242="S",VTOTALBM,IF($A242=0,0,ROUND(SomaAgrupBM,15-13*ORÇAMENTO!$AF$11)))</f>
        <v>0</v>
      </c>
      <c r="N242" s="430">
        <f t="shared" ca="1" si="40"/>
        <v>0</v>
      </c>
      <c r="O242" s="154">
        <f ca="1">IF($A242="S",VTOTALBM,IF($A242=0,0,ROUND(SomaAgrupBM,15-13*ORÇAMENTO!$AF$11)))</f>
        <v>0</v>
      </c>
      <c r="Q242" s="431"/>
      <c r="R242" s="432"/>
      <c r="T242" s="146" t="str">
        <f t="shared" ca="1" si="41"/>
        <v/>
      </c>
      <c r="U242" s="206" t="str">
        <f t="shared" ca="1" si="42"/>
        <v/>
      </c>
      <c r="V242" s="207" t="str">
        <f t="shared" ca="1" si="43"/>
        <v/>
      </c>
      <c r="W242" s="634">
        <f ca="1">IF($Y242&gt;0,CHOOSE(MATCH(RegimeExecucao,{"Unitário","Global"},0),IF($A242="S",$Y242/$X242,""),($Y242/$X242)*100),0)</f>
        <v>0</v>
      </c>
      <c r="X242" s="433" t="str">
        <f ca="1">IF($Y242&gt;0,CHOOSE(MATCH(RegimeExecucao,{"Unitário","Global"},0),IF($A242="S",ROUND($H242,ORÇAMENTO!$AF$10),""),ROUND($I242,ORÇAMENTO!$AF$11)),"")</f>
        <v/>
      </c>
      <c r="Y242" s="433">
        <f t="shared" ca="1" si="44"/>
        <v>0</v>
      </c>
      <c r="Z242" s="434"/>
      <c r="AB242" s="431"/>
      <c r="AC242" s="599"/>
      <c r="AD242" s="599"/>
      <c r="AE242" s="599"/>
      <c r="AF242" s="599"/>
      <c r="AG242" s="599"/>
      <c r="AH242" s="599"/>
      <c r="AI242" s="599"/>
      <c r="AJ242" s="599"/>
      <c r="AK242" s="599"/>
      <c r="AL242" s="599"/>
      <c r="AM242" s="432"/>
      <c r="AO242">
        <f ca="1">IF($A242="S",IF(BM!$I242=0,0,CHOOSE(MATCH(RegimeExecucao,{"Global","Unitário"},0),ROUND(ROUND(BM.MEDAcumulado,15-13*BM!$A$9)/100*BM!$I242,15-13*ORÇAMENTO!$AF$11),ROUND(ROUND(BM.MEDAcumulado,15-13*BM!$A$9)*ROUND(BM!$H242,15-13*ORÇAMENTO!$AF$10),15-13*ORÇAMENTO!$AF$11))),IF($A242=0,0,ROUND(SomaAgrupBM,15-13*ORÇAMENTO!$AF$11)))</f>
        <v>0</v>
      </c>
    </row>
    <row r="243" spans="1:41" ht="13.8" x14ac:dyDescent="0.3">
      <c r="A243">
        <f ca="1">ORÇAMENTO!C243</f>
        <v>2</v>
      </c>
      <c r="B243">
        <f ca="1">ORÇAMENTO!D243</f>
        <v>16</v>
      </c>
      <c r="C243" s="143" t="str">
        <f t="shared" ca="1" si="34"/>
        <v>F</v>
      </c>
      <c r="D243" s="146" t="str">
        <f ca="1">ORÇAMENTO!O243</f>
        <v>1.9.</v>
      </c>
      <c r="E243" s="206" t="str">
        <f t="shared" si="35"/>
        <v>REVESTIMENTOS INTERNO E EXTERNO</v>
      </c>
      <c r="F243" s="207" t="str">
        <f t="shared" ca="1" si="36"/>
        <v>-</v>
      </c>
      <c r="G243" s="151">
        <f ca="1">IF(RegimeExecucao="Global","",ORÇAMENTO!T243)</f>
        <v>0</v>
      </c>
      <c r="H243" s="151">
        <f ca="1">IF(RegimeExecucao="Global","",ORÇAMENTO!W243)</f>
        <v>0</v>
      </c>
      <c r="I243" s="154">
        <f ca="1">ORÇAMENTO!X243</f>
        <v>0</v>
      </c>
      <c r="J243" s="427">
        <f t="shared" ca="1" si="37"/>
        <v>0</v>
      </c>
      <c r="K243" s="151">
        <f t="shared" ca="1" si="38"/>
        <v>0</v>
      </c>
      <c r="L243" s="428">
        <f t="shared" ca="1" si="39"/>
        <v>0</v>
      </c>
      <c r="M243" s="429">
        <f ca="1">IF($A243="S",VTOTALBM,IF($A243=0,0,ROUND(SomaAgrupBM,15-13*ORÇAMENTO!$AF$11)))</f>
        <v>0</v>
      </c>
      <c r="N243" s="430">
        <f t="shared" ca="1" si="40"/>
        <v>0</v>
      </c>
      <c r="O243" s="154">
        <f ca="1">IF($A243="S",VTOTALBM,IF($A243=0,0,ROUND(SomaAgrupBM,15-13*ORÇAMENTO!$AF$11)))</f>
        <v>0</v>
      </c>
      <c r="Q243" s="431"/>
      <c r="R243" s="432"/>
      <c r="T243" s="146" t="str">
        <f t="shared" ca="1" si="41"/>
        <v/>
      </c>
      <c r="U243" s="206" t="str">
        <f t="shared" ca="1" si="42"/>
        <v/>
      </c>
      <c r="V243" s="207" t="str">
        <f t="shared" ca="1" si="43"/>
        <v/>
      </c>
      <c r="W243" s="634">
        <f ca="1">IF($Y243&gt;0,CHOOSE(MATCH(RegimeExecucao,{"Unitário","Global"},0),IF($A243="S",$Y243/$X243,""),($Y243/$X243)*100),0)</f>
        <v>0</v>
      </c>
      <c r="X243" s="433" t="str">
        <f ca="1">IF($Y243&gt;0,CHOOSE(MATCH(RegimeExecucao,{"Unitário","Global"},0),IF($A243="S",ROUND($H243,ORÇAMENTO!$AF$10),""),ROUND($I243,ORÇAMENTO!$AF$11)),"")</f>
        <v/>
      </c>
      <c r="Y243" s="433">
        <f t="shared" ca="1" si="44"/>
        <v>0</v>
      </c>
      <c r="Z243" s="434"/>
      <c r="AB243" s="431"/>
      <c r="AC243" s="599"/>
      <c r="AD243" s="599"/>
      <c r="AE243" s="599"/>
      <c r="AF243" s="599"/>
      <c r="AG243" s="599"/>
      <c r="AH243" s="599"/>
      <c r="AI243" s="599"/>
      <c r="AJ243" s="599"/>
      <c r="AK243" s="599"/>
      <c r="AL243" s="599"/>
      <c r="AM243" s="432"/>
      <c r="AO243">
        <f ca="1">IF($A243="S",IF(BM!$I243=0,0,CHOOSE(MATCH(RegimeExecucao,{"Global","Unitário"},0),ROUND(ROUND(BM.MEDAcumulado,15-13*BM!$A$9)/100*BM!$I243,15-13*ORÇAMENTO!$AF$11),ROUND(ROUND(BM.MEDAcumulado,15-13*BM!$A$9)*ROUND(BM!$H243,15-13*ORÇAMENTO!$AF$10),15-13*ORÇAMENTO!$AF$11))),IF($A243=0,0,ROUND(SomaAgrupBM,15-13*ORÇAMENTO!$AF$11)))</f>
        <v>0</v>
      </c>
    </row>
    <row r="244" spans="1:41" ht="13.8" x14ac:dyDescent="0.3">
      <c r="A244">
        <f ca="1">ORÇAMENTO!C244</f>
        <v>3</v>
      </c>
      <c r="B244">
        <f ca="1">ORÇAMENTO!D244</f>
        <v>12</v>
      </c>
      <c r="C244" s="143" t="str">
        <f t="shared" ca="1" si="34"/>
        <v>F</v>
      </c>
      <c r="D244" s="146" t="str">
        <f ca="1">ORÇAMENTO!O244</f>
        <v>1.9.1.</v>
      </c>
      <c r="E244" s="206" t="str">
        <f t="shared" si="35"/>
        <v>EDIFICAÇÃO</v>
      </c>
      <c r="F244" s="207" t="str">
        <f t="shared" ca="1" si="36"/>
        <v>-</v>
      </c>
      <c r="G244" s="151">
        <f ca="1">IF(RegimeExecucao="Global","",ORÇAMENTO!T244)</f>
        <v>0</v>
      </c>
      <c r="H244" s="151">
        <f ca="1">IF(RegimeExecucao="Global","",ORÇAMENTO!W244)</f>
        <v>0</v>
      </c>
      <c r="I244" s="154">
        <f ca="1">ORÇAMENTO!X244</f>
        <v>0</v>
      </c>
      <c r="J244" s="427">
        <f t="shared" ca="1" si="37"/>
        <v>0</v>
      </c>
      <c r="K244" s="151">
        <f t="shared" ca="1" si="38"/>
        <v>0</v>
      </c>
      <c r="L244" s="428">
        <f t="shared" ca="1" si="39"/>
        <v>0</v>
      </c>
      <c r="M244" s="429">
        <f ca="1">IF($A244="S",VTOTALBM,IF($A244=0,0,ROUND(SomaAgrupBM,15-13*ORÇAMENTO!$AF$11)))</f>
        <v>0</v>
      </c>
      <c r="N244" s="430">
        <f t="shared" ca="1" si="40"/>
        <v>0</v>
      </c>
      <c r="O244" s="154">
        <f ca="1">IF($A244="S",VTOTALBM,IF($A244=0,0,ROUND(SomaAgrupBM,15-13*ORÇAMENTO!$AF$11)))</f>
        <v>0</v>
      </c>
      <c r="Q244" s="431"/>
      <c r="R244" s="432"/>
      <c r="T244" s="146" t="str">
        <f t="shared" ca="1" si="41"/>
        <v/>
      </c>
      <c r="U244" s="206" t="str">
        <f t="shared" ca="1" si="42"/>
        <v/>
      </c>
      <c r="V244" s="207" t="str">
        <f t="shared" ca="1" si="43"/>
        <v/>
      </c>
      <c r="W244" s="634">
        <f ca="1">IF($Y244&gt;0,CHOOSE(MATCH(RegimeExecucao,{"Unitário","Global"},0),IF($A244="S",$Y244/$X244,""),($Y244/$X244)*100),0)</f>
        <v>0</v>
      </c>
      <c r="X244" s="433" t="str">
        <f ca="1">IF($Y244&gt;0,CHOOSE(MATCH(RegimeExecucao,{"Unitário","Global"},0),IF($A244="S",ROUND($H244,ORÇAMENTO!$AF$10),""),ROUND($I244,ORÇAMENTO!$AF$11)),"")</f>
        <v/>
      </c>
      <c r="Y244" s="433">
        <f t="shared" ca="1" si="44"/>
        <v>0</v>
      </c>
      <c r="Z244" s="434"/>
      <c r="AB244" s="431"/>
      <c r="AC244" s="599"/>
      <c r="AD244" s="599"/>
      <c r="AE244" s="599"/>
      <c r="AF244" s="599"/>
      <c r="AG244" s="599"/>
      <c r="AH244" s="599"/>
      <c r="AI244" s="599"/>
      <c r="AJ244" s="599"/>
      <c r="AK244" s="599"/>
      <c r="AL244" s="599"/>
      <c r="AM244" s="432"/>
      <c r="AO244">
        <f ca="1">IF($A244="S",IF(BM!$I244=0,0,CHOOSE(MATCH(RegimeExecucao,{"Global","Unitário"},0),ROUND(ROUND(BM.MEDAcumulado,15-13*BM!$A$9)/100*BM!$I244,15-13*ORÇAMENTO!$AF$11),ROUND(ROUND(BM.MEDAcumulado,15-13*BM!$A$9)*ROUND(BM!$H244,15-13*ORÇAMENTO!$AF$10),15-13*ORÇAMENTO!$AF$11))),IF($A244=0,0,ROUND(SomaAgrupBM,15-13*ORÇAMENTO!$AF$11)))</f>
        <v>0</v>
      </c>
    </row>
    <row r="245" spans="1:41" ht="13.8" x14ac:dyDescent="0.3">
      <c r="A245" t="str">
        <f ca="1">ORÇAMENTO!C245</f>
        <v>S</v>
      </c>
      <c r="B245">
        <f ca="1">ORÇAMENTO!D245</f>
        <v>0</v>
      </c>
      <c r="C245" s="143" t="str">
        <f t="shared" ca="1" si="34"/>
        <v/>
      </c>
      <c r="D245" s="146" t="str">
        <f ca="1">ORÇAMENTO!O245</f>
        <v>-</v>
      </c>
      <c r="E245" s="206" t="str">
        <f t="shared" ca="1" si="35"/>
        <v>(abra o arquivo 'Referência 05-2024.xls)</v>
      </c>
      <c r="F245" s="207" t="str">
        <f t="shared" ca="1" si="36"/>
        <v>-</v>
      </c>
      <c r="G245" s="151">
        <f ca="1">IF(RegimeExecucao="Global","",ORÇAMENTO!T245)</f>
        <v>2179.6799999999998</v>
      </c>
      <c r="H245" s="151">
        <f ca="1">IF(RegimeExecucao="Global","",ORÇAMENTO!W245)</f>
        <v>0</v>
      </c>
      <c r="I245" s="154">
        <f ca="1">ORÇAMENTO!X245</f>
        <v>0</v>
      </c>
      <c r="J245" s="427">
        <f t="shared" ca="1" si="37"/>
        <v>0</v>
      </c>
      <c r="K245" s="151">
        <f t="shared" ca="1" si="38"/>
        <v>0</v>
      </c>
      <c r="L245" s="428">
        <f t="shared" ca="1" si="39"/>
        <v>0</v>
      </c>
      <c r="M245" s="429">
        <f ca="1">IF($A245="S",VTOTALBM,IF($A245=0,0,ROUND(SomaAgrupBM,15-13*ORÇAMENTO!$AF$11)))</f>
        <v>0</v>
      </c>
      <c r="N245" s="430">
        <f t="shared" ca="1" si="40"/>
        <v>0</v>
      </c>
      <c r="O245" s="154">
        <f ca="1">IF($A245="S",VTOTALBM,IF($A245=0,0,ROUND(SomaAgrupBM,15-13*ORÇAMENTO!$AF$11)))</f>
        <v>0</v>
      </c>
      <c r="Q245" s="431"/>
      <c r="R245" s="432"/>
      <c r="T245" s="146" t="str">
        <f t="shared" ca="1" si="41"/>
        <v/>
      </c>
      <c r="U245" s="206" t="str">
        <f t="shared" ca="1" si="42"/>
        <v/>
      </c>
      <c r="V245" s="207" t="str">
        <f t="shared" ca="1" si="43"/>
        <v/>
      </c>
      <c r="W245" s="634">
        <f ca="1">IF($Y245&gt;0,CHOOSE(MATCH(RegimeExecucao,{"Unitário","Global"},0),IF($A245="S",$Y245/$X245,""),($Y245/$X245)*100),0)</f>
        <v>0</v>
      </c>
      <c r="X245" s="433" t="str">
        <f ca="1">IF($Y245&gt;0,CHOOSE(MATCH(RegimeExecucao,{"Unitário","Global"},0),IF($A245="S",ROUND($H245,ORÇAMENTO!$AF$10),""),ROUND($I245,ORÇAMENTO!$AF$11)),"")</f>
        <v/>
      </c>
      <c r="Y245" s="433">
        <f t="shared" ca="1" si="44"/>
        <v>0</v>
      </c>
      <c r="Z245" s="434"/>
      <c r="AB245" s="431"/>
      <c r="AC245" s="599"/>
      <c r="AD245" s="599"/>
      <c r="AE245" s="599"/>
      <c r="AF245" s="599"/>
      <c r="AG245" s="599"/>
      <c r="AH245" s="599"/>
      <c r="AI245" s="599"/>
      <c r="AJ245" s="599"/>
      <c r="AK245" s="599"/>
      <c r="AL245" s="599"/>
      <c r="AM245" s="432"/>
      <c r="AO245">
        <f ca="1">IF($A245="S",IF(BM!$I245=0,0,CHOOSE(MATCH(RegimeExecucao,{"Global","Unitário"},0),ROUND(ROUND(BM.MEDAcumulado,15-13*BM!$A$9)/100*BM!$I245,15-13*ORÇAMENTO!$AF$11),ROUND(ROUND(BM.MEDAcumulado,15-13*BM!$A$9)*ROUND(BM!$H245,15-13*ORÇAMENTO!$AF$10),15-13*ORÇAMENTO!$AF$11))),IF($A245=0,0,ROUND(SomaAgrupBM,15-13*ORÇAMENTO!$AF$11)))</f>
        <v>0</v>
      </c>
    </row>
    <row r="246" spans="1:41" ht="13.8" x14ac:dyDescent="0.3">
      <c r="A246" t="str">
        <f ca="1">ORÇAMENTO!C246</f>
        <v>S</v>
      </c>
      <c r="B246">
        <f ca="1">ORÇAMENTO!D246</f>
        <v>0</v>
      </c>
      <c r="C246" s="143" t="str">
        <f t="shared" ca="1" si="34"/>
        <v/>
      </c>
      <c r="D246" s="146" t="str">
        <f ca="1">ORÇAMENTO!O246</f>
        <v>-</v>
      </c>
      <c r="E246" s="206" t="str">
        <f t="shared" ca="1" si="35"/>
        <v>(abra o arquivo 'Referência 05-2024.xls)</v>
      </c>
      <c r="F246" s="207" t="str">
        <f t="shared" ca="1" si="36"/>
        <v>-</v>
      </c>
      <c r="G246" s="151">
        <f ca="1">IF(RegimeExecucao="Global","",ORÇAMENTO!T246)</f>
        <v>1734.95</v>
      </c>
      <c r="H246" s="151">
        <f ca="1">IF(RegimeExecucao="Global","",ORÇAMENTO!W246)</f>
        <v>0</v>
      </c>
      <c r="I246" s="154">
        <f ca="1">ORÇAMENTO!X246</f>
        <v>0</v>
      </c>
      <c r="J246" s="427">
        <f t="shared" ca="1" si="37"/>
        <v>0</v>
      </c>
      <c r="K246" s="151">
        <f t="shared" ca="1" si="38"/>
        <v>0</v>
      </c>
      <c r="L246" s="428">
        <f t="shared" ca="1" si="39"/>
        <v>0</v>
      </c>
      <c r="M246" s="429">
        <f ca="1">IF($A246="S",VTOTALBM,IF($A246=0,0,ROUND(SomaAgrupBM,15-13*ORÇAMENTO!$AF$11)))</f>
        <v>0</v>
      </c>
      <c r="N246" s="430">
        <f t="shared" ca="1" si="40"/>
        <v>0</v>
      </c>
      <c r="O246" s="154">
        <f ca="1">IF($A246="S",VTOTALBM,IF($A246=0,0,ROUND(SomaAgrupBM,15-13*ORÇAMENTO!$AF$11)))</f>
        <v>0</v>
      </c>
      <c r="Q246" s="431"/>
      <c r="R246" s="432"/>
      <c r="T246" s="146" t="str">
        <f t="shared" ca="1" si="41"/>
        <v/>
      </c>
      <c r="U246" s="206" t="str">
        <f t="shared" ca="1" si="42"/>
        <v/>
      </c>
      <c r="V246" s="207" t="str">
        <f t="shared" ca="1" si="43"/>
        <v/>
      </c>
      <c r="W246" s="634">
        <f ca="1">IF($Y246&gt;0,CHOOSE(MATCH(RegimeExecucao,{"Unitário","Global"},0),IF($A246="S",$Y246/$X246,""),($Y246/$X246)*100),0)</f>
        <v>0</v>
      </c>
      <c r="X246" s="433" t="str">
        <f ca="1">IF($Y246&gt;0,CHOOSE(MATCH(RegimeExecucao,{"Unitário","Global"},0),IF($A246="S",ROUND($H246,ORÇAMENTO!$AF$10),""),ROUND($I246,ORÇAMENTO!$AF$11)),"")</f>
        <v/>
      </c>
      <c r="Y246" s="433">
        <f t="shared" ca="1" si="44"/>
        <v>0</v>
      </c>
      <c r="Z246" s="434"/>
      <c r="AB246" s="431"/>
      <c r="AC246" s="599"/>
      <c r="AD246" s="599"/>
      <c r="AE246" s="599"/>
      <c r="AF246" s="599"/>
      <c r="AG246" s="599"/>
      <c r="AH246" s="599"/>
      <c r="AI246" s="599"/>
      <c r="AJ246" s="599"/>
      <c r="AK246" s="599"/>
      <c r="AL246" s="599"/>
      <c r="AM246" s="432"/>
      <c r="AO246">
        <f ca="1">IF($A246="S",IF(BM!$I246=0,0,CHOOSE(MATCH(RegimeExecucao,{"Global","Unitário"},0),ROUND(ROUND(BM.MEDAcumulado,15-13*BM!$A$9)/100*BM!$I246,15-13*ORÇAMENTO!$AF$11),ROUND(ROUND(BM.MEDAcumulado,15-13*BM!$A$9)*ROUND(BM!$H246,15-13*ORÇAMENTO!$AF$10),15-13*ORÇAMENTO!$AF$11))),IF($A246=0,0,ROUND(SomaAgrupBM,15-13*ORÇAMENTO!$AF$11)))</f>
        <v>0</v>
      </c>
    </row>
    <row r="247" spans="1:41" ht="13.8" x14ac:dyDescent="0.3">
      <c r="A247" t="str">
        <f ca="1">ORÇAMENTO!C247</f>
        <v>S</v>
      </c>
      <c r="B247">
        <f ca="1">ORÇAMENTO!D247</f>
        <v>0</v>
      </c>
      <c r="C247" s="143" t="str">
        <f t="shared" ca="1" si="34"/>
        <v/>
      </c>
      <c r="D247" s="146" t="str">
        <f ca="1">ORÇAMENTO!O247</f>
        <v>-</v>
      </c>
      <c r="E247" s="206" t="str">
        <f t="shared" ca="1" si="35"/>
        <v>(abra o arquivo 'Referência 05-2024.xls)</v>
      </c>
      <c r="F247" s="207" t="str">
        <f t="shared" ca="1" si="36"/>
        <v>-</v>
      </c>
      <c r="G247" s="151">
        <f ca="1">IF(RegimeExecucao="Global","",ORÇAMENTO!T247)</f>
        <v>1119.23</v>
      </c>
      <c r="H247" s="151">
        <f ca="1">IF(RegimeExecucao="Global","",ORÇAMENTO!W247)</f>
        <v>0</v>
      </c>
      <c r="I247" s="154">
        <f ca="1">ORÇAMENTO!X247</f>
        <v>0</v>
      </c>
      <c r="J247" s="427">
        <f t="shared" ca="1" si="37"/>
        <v>0</v>
      </c>
      <c r="K247" s="151">
        <f t="shared" ca="1" si="38"/>
        <v>0</v>
      </c>
      <c r="L247" s="428">
        <f t="shared" ca="1" si="39"/>
        <v>0</v>
      </c>
      <c r="M247" s="429">
        <f ca="1">IF($A247="S",VTOTALBM,IF($A247=0,0,ROUND(SomaAgrupBM,15-13*ORÇAMENTO!$AF$11)))</f>
        <v>0</v>
      </c>
      <c r="N247" s="430">
        <f t="shared" ca="1" si="40"/>
        <v>0</v>
      </c>
      <c r="O247" s="154">
        <f ca="1">IF($A247="S",VTOTALBM,IF($A247=0,0,ROUND(SomaAgrupBM,15-13*ORÇAMENTO!$AF$11)))</f>
        <v>0</v>
      </c>
      <c r="Q247" s="431"/>
      <c r="R247" s="432"/>
      <c r="T247" s="146" t="str">
        <f t="shared" ca="1" si="41"/>
        <v/>
      </c>
      <c r="U247" s="206" t="str">
        <f t="shared" ca="1" si="42"/>
        <v/>
      </c>
      <c r="V247" s="207" t="str">
        <f t="shared" ca="1" si="43"/>
        <v/>
      </c>
      <c r="W247" s="634">
        <f ca="1">IF($Y247&gt;0,CHOOSE(MATCH(RegimeExecucao,{"Unitário","Global"},0),IF($A247="S",$Y247/$X247,""),($Y247/$X247)*100),0)</f>
        <v>0</v>
      </c>
      <c r="X247" s="433" t="str">
        <f ca="1">IF($Y247&gt;0,CHOOSE(MATCH(RegimeExecucao,{"Unitário","Global"},0),IF($A247="S",ROUND($H247,ORÇAMENTO!$AF$10),""),ROUND($I247,ORÇAMENTO!$AF$11)),"")</f>
        <v/>
      </c>
      <c r="Y247" s="433">
        <f t="shared" ca="1" si="44"/>
        <v>0</v>
      </c>
      <c r="Z247" s="434"/>
      <c r="AB247" s="431"/>
      <c r="AC247" s="599"/>
      <c r="AD247" s="599"/>
      <c r="AE247" s="599"/>
      <c r="AF247" s="599"/>
      <c r="AG247" s="599"/>
      <c r="AH247" s="599"/>
      <c r="AI247" s="599"/>
      <c r="AJ247" s="599"/>
      <c r="AK247" s="599"/>
      <c r="AL247" s="599"/>
      <c r="AM247" s="432"/>
      <c r="AO247">
        <f ca="1">IF($A247="S",IF(BM!$I247=0,0,CHOOSE(MATCH(RegimeExecucao,{"Global","Unitário"},0),ROUND(ROUND(BM.MEDAcumulado,15-13*BM!$A$9)/100*BM!$I247,15-13*ORÇAMENTO!$AF$11),ROUND(ROUND(BM.MEDAcumulado,15-13*BM!$A$9)*ROUND(BM!$H247,15-13*ORÇAMENTO!$AF$10),15-13*ORÇAMENTO!$AF$11))),IF($A247=0,0,ROUND(SomaAgrupBM,15-13*ORÇAMENTO!$AF$11)))</f>
        <v>0</v>
      </c>
    </row>
    <row r="248" spans="1:41" ht="13.8" x14ac:dyDescent="0.3">
      <c r="A248" t="str">
        <f ca="1">ORÇAMENTO!C248</f>
        <v>S</v>
      </c>
      <c r="B248">
        <f ca="1">ORÇAMENTO!D248</f>
        <v>0</v>
      </c>
      <c r="C248" s="143" t="str">
        <f t="shared" ca="1" si="34"/>
        <v/>
      </c>
      <c r="D248" s="146" t="str">
        <f ca="1">ORÇAMENTO!O248</f>
        <v>-</v>
      </c>
      <c r="E248" s="206" t="str">
        <f t="shared" ca="1" si="35"/>
        <v>(abra o arquivo 'Referência 05-2024.xls)</v>
      </c>
      <c r="F248" s="207" t="str">
        <f t="shared" ca="1" si="36"/>
        <v>-</v>
      </c>
      <c r="G248" s="151">
        <f ca="1">IF(RegimeExecucao="Global","",ORÇAMENTO!T248)</f>
        <v>615.72</v>
      </c>
      <c r="H248" s="151">
        <f ca="1">IF(RegimeExecucao="Global","",ORÇAMENTO!W248)</f>
        <v>0</v>
      </c>
      <c r="I248" s="154">
        <f ca="1">ORÇAMENTO!X248</f>
        <v>0</v>
      </c>
      <c r="J248" s="427">
        <f t="shared" ca="1" si="37"/>
        <v>0</v>
      </c>
      <c r="K248" s="151">
        <f t="shared" ca="1" si="38"/>
        <v>0</v>
      </c>
      <c r="L248" s="428">
        <f t="shared" ca="1" si="39"/>
        <v>0</v>
      </c>
      <c r="M248" s="429">
        <f ca="1">IF($A248="S",VTOTALBM,IF($A248=0,0,ROUND(SomaAgrupBM,15-13*ORÇAMENTO!$AF$11)))</f>
        <v>0</v>
      </c>
      <c r="N248" s="430">
        <f t="shared" ca="1" si="40"/>
        <v>0</v>
      </c>
      <c r="O248" s="154">
        <f ca="1">IF($A248="S",VTOTALBM,IF($A248=0,0,ROUND(SomaAgrupBM,15-13*ORÇAMENTO!$AF$11)))</f>
        <v>0</v>
      </c>
      <c r="Q248" s="431"/>
      <c r="R248" s="432"/>
      <c r="T248" s="146" t="str">
        <f t="shared" ca="1" si="41"/>
        <v/>
      </c>
      <c r="U248" s="206" t="str">
        <f t="shared" ca="1" si="42"/>
        <v/>
      </c>
      <c r="V248" s="207" t="str">
        <f t="shared" ca="1" si="43"/>
        <v/>
      </c>
      <c r="W248" s="634">
        <f ca="1">IF($Y248&gt;0,CHOOSE(MATCH(RegimeExecucao,{"Unitário","Global"},0),IF($A248="S",$Y248/$X248,""),($Y248/$X248)*100),0)</f>
        <v>0</v>
      </c>
      <c r="X248" s="433" t="str">
        <f ca="1">IF($Y248&gt;0,CHOOSE(MATCH(RegimeExecucao,{"Unitário","Global"},0),IF($A248="S",ROUND($H248,ORÇAMENTO!$AF$10),""),ROUND($I248,ORÇAMENTO!$AF$11)),"")</f>
        <v/>
      </c>
      <c r="Y248" s="433">
        <f t="shared" ca="1" si="44"/>
        <v>0</v>
      </c>
      <c r="Z248" s="434"/>
      <c r="AB248" s="431"/>
      <c r="AC248" s="599"/>
      <c r="AD248" s="599"/>
      <c r="AE248" s="599"/>
      <c r="AF248" s="599"/>
      <c r="AG248" s="599"/>
      <c r="AH248" s="599"/>
      <c r="AI248" s="599"/>
      <c r="AJ248" s="599"/>
      <c r="AK248" s="599"/>
      <c r="AL248" s="599"/>
      <c r="AM248" s="432"/>
      <c r="AO248">
        <f ca="1">IF($A248="S",IF(BM!$I248=0,0,CHOOSE(MATCH(RegimeExecucao,{"Global","Unitário"},0),ROUND(ROUND(BM.MEDAcumulado,15-13*BM!$A$9)/100*BM!$I248,15-13*ORÇAMENTO!$AF$11),ROUND(ROUND(BM.MEDAcumulado,15-13*BM!$A$9)*ROUND(BM!$H248,15-13*ORÇAMENTO!$AF$10),15-13*ORÇAMENTO!$AF$11))),IF($A248=0,0,ROUND(SomaAgrupBM,15-13*ORÇAMENTO!$AF$11)))</f>
        <v>0</v>
      </c>
    </row>
    <row r="249" spans="1:41" ht="13.8" x14ac:dyDescent="0.3">
      <c r="A249" t="str">
        <f ca="1">ORÇAMENTO!C249</f>
        <v>S</v>
      </c>
      <c r="B249">
        <f ca="1">ORÇAMENTO!D249</f>
        <v>0</v>
      </c>
      <c r="C249" s="143" t="str">
        <f t="shared" ca="1" si="34"/>
        <v/>
      </c>
      <c r="D249" s="146" t="str">
        <f ca="1">ORÇAMENTO!O249</f>
        <v>-</v>
      </c>
      <c r="E249" s="206" t="str">
        <f t="shared" ca="1" si="35"/>
        <v>(abra o arquivo 'Referência 05-2024.xls)</v>
      </c>
      <c r="F249" s="207" t="str">
        <f t="shared" ca="1" si="36"/>
        <v>-</v>
      </c>
      <c r="G249" s="151">
        <f ca="1">IF(RegimeExecucao="Global","",ORÇAMENTO!T249)</f>
        <v>398.09</v>
      </c>
      <c r="H249" s="151">
        <f ca="1">IF(RegimeExecucao="Global","",ORÇAMENTO!W249)</f>
        <v>0</v>
      </c>
      <c r="I249" s="154">
        <f ca="1">ORÇAMENTO!X249</f>
        <v>0</v>
      </c>
      <c r="J249" s="427">
        <f t="shared" ca="1" si="37"/>
        <v>0</v>
      </c>
      <c r="K249" s="151">
        <f t="shared" ca="1" si="38"/>
        <v>0</v>
      </c>
      <c r="L249" s="428">
        <f t="shared" ca="1" si="39"/>
        <v>0</v>
      </c>
      <c r="M249" s="429">
        <f ca="1">IF($A249="S",VTOTALBM,IF($A249=0,0,ROUND(SomaAgrupBM,15-13*ORÇAMENTO!$AF$11)))</f>
        <v>0</v>
      </c>
      <c r="N249" s="430">
        <f t="shared" ca="1" si="40"/>
        <v>0</v>
      </c>
      <c r="O249" s="154">
        <f ca="1">IF($A249="S",VTOTALBM,IF($A249=0,0,ROUND(SomaAgrupBM,15-13*ORÇAMENTO!$AF$11)))</f>
        <v>0</v>
      </c>
      <c r="Q249" s="431"/>
      <c r="R249" s="432"/>
      <c r="T249" s="146" t="str">
        <f t="shared" ca="1" si="41"/>
        <v/>
      </c>
      <c r="U249" s="206" t="str">
        <f t="shared" ca="1" si="42"/>
        <v/>
      </c>
      <c r="V249" s="207" t="str">
        <f t="shared" ca="1" si="43"/>
        <v/>
      </c>
      <c r="W249" s="634">
        <f ca="1">IF($Y249&gt;0,CHOOSE(MATCH(RegimeExecucao,{"Unitário","Global"},0),IF($A249="S",$Y249/$X249,""),($Y249/$X249)*100),0)</f>
        <v>0</v>
      </c>
      <c r="X249" s="433" t="str">
        <f ca="1">IF($Y249&gt;0,CHOOSE(MATCH(RegimeExecucao,{"Unitário","Global"},0),IF($A249="S",ROUND($H249,ORÇAMENTO!$AF$10),""),ROUND($I249,ORÇAMENTO!$AF$11)),"")</f>
        <v/>
      </c>
      <c r="Y249" s="433">
        <f t="shared" ca="1" si="44"/>
        <v>0</v>
      </c>
      <c r="Z249" s="434"/>
      <c r="AB249" s="431"/>
      <c r="AC249" s="599"/>
      <c r="AD249" s="599"/>
      <c r="AE249" s="599"/>
      <c r="AF249" s="599"/>
      <c r="AG249" s="599"/>
      <c r="AH249" s="599"/>
      <c r="AI249" s="599"/>
      <c r="AJ249" s="599"/>
      <c r="AK249" s="599"/>
      <c r="AL249" s="599"/>
      <c r="AM249" s="432"/>
      <c r="AO249">
        <f ca="1">IF($A249="S",IF(BM!$I249=0,0,CHOOSE(MATCH(RegimeExecucao,{"Global","Unitário"},0),ROUND(ROUND(BM.MEDAcumulado,15-13*BM!$A$9)/100*BM!$I249,15-13*ORÇAMENTO!$AF$11),ROUND(ROUND(BM.MEDAcumulado,15-13*BM!$A$9)*ROUND(BM!$H249,15-13*ORÇAMENTO!$AF$10),15-13*ORÇAMENTO!$AF$11))),IF($A249=0,0,ROUND(SomaAgrupBM,15-13*ORÇAMENTO!$AF$11)))</f>
        <v>0</v>
      </c>
    </row>
    <row r="250" spans="1:41" ht="13.8" x14ac:dyDescent="0.3">
      <c r="A250" t="str">
        <f ca="1">ORÇAMENTO!C250</f>
        <v>S</v>
      </c>
      <c r="B250">
        <f ca="1">ORÇAMENTO!D250</f>
        <v>0</v>
      </c>
      <c r="C250" s="143" t="str">
        <f t="shared" ca="1" si="34"/>
        <v/>
      </c>
      <c r="D250" s="146" t="str">
        <f ca="1">ORÇAMENTO!O250</f>
        <v>-</v>
      </c>
      <c r="E250" s="206" t="str">
        <f t="shared" ca="1" si="35"/>
        <v>(abra o arquivo 'Referência 05-2024.xls)</v>
      </c>
      <c r="F250" s="207" t="str">
        <f t="shared" ca="1" si="36"/>
        <v>-</v>
      </c>
      <c r="G250" s="151">
        <f ca="1">IF(RegimeExecucao="Global","",ORÇAMENTO!T250)</f>
        <v>162.05000000000001</v>
      </c>
      <c r="H250" s="151">
        <f ca="1">IF(RegimeExecucao="Global","",ORÇAMENTO!W250)</f>
        <v>0</v>
      </c>
      <c r="I250" s="154">
        <f ca="1">ORÇAMENTO!X250</f>
        <v>0</v>
      </c>
      <c r="J250" s="427">
        <f t="shared" ca="1" si="37"/>
        <v>0</v>
      </c>
      <c r="K250" s="151">
        <f t="shared" ca="1" si="38"/>
        <v>0</v>
      </c>
      <c r="L250" s="428">
        <f t="shared" ca="1" si="39"/>
        <v>0</v>
      </c>
      <c r="M250" s="429">
        <f ca="1">IF($A250="S",VTOTALBM,IF($A250=0,0,ROUND(SomaAgrupBM,15-13*ORÇAMENTO!$AF$11)))</f>
        <v>0</v>
      </c>
      <c r="N250" s="430">
        <f t="shared" ca="1" si="40"/>
        <v>0</v>
      </c>
      <c r="O250" s="154">
        <f ca="1">IF($A250="S",VTOTALBM,IF($A250=0,0,ROUND(SomaAgrupBM,15-13*ORÇAMENTO!$AF$11)))</f>
        <v>0</v>
      </c>
      <c r="Q250" s="431"/>
      <c r="R250" s="432"/>
      <c r="T250" s="146" t="str">
        <f t="shared" ca="1" si="41"/>
        <v/>
      </c>
      <c r="U250" s="206" t="str">
        <f t="shared" ca="1" si="42"/>
        <v/>
      </c>
      <c r="V250" s="207" t="str">
        <f t="shared" ca="1" si="43"/>
        <v/>
      </c>
      <c r="W250" s="634">
        <f ca="1">IF($Y250&gt;0,CHOOSE(MATCH(RegimeExecucao,{"Unitário","Global"},0),IF($A250="S",$Y250/$X250,""),($Y250/$X250)*100),0)</f>
        <v>0</v>
      </c>
      <c r="X250" s="433" t="str">
        <f ca="1">IF($Y250&gt;0,CHOOSE(MATCH(RegimeExecucao,{"Unitário","Global"},0),IF($A250="S",ROUND($H250,ORÇAMENTO!$AF$10),""),ROUND($I250,ORÇAMENTO!$AF$11)),"")</f>
        <v/>
      </c>
      <c r="Y250" s="433">
        <f t="shared" ca="1" si="44"/>
        <v>0</v>
      </c>
      <c r="Z250" s="434"/>
      <c r="AB250" s="431"/>
      <c r="AC250" s="599"/>
      <c r="AD250" s="599"/>
      <c r="AE250" s="599"/>
      <c r="AF250" s="599"/>
      <c r="AG250" s="599"/>
      <c r="AH250" s="599"/>
      <c r="AI250" s="599"/>
      <c r="AJ250" s="599"/>
      <c r="AK250" s="599"/>
      <c r="AL250" s="599"/>
      <c r="AM250" s="432"/>
      <c r="AO250">
        <f ca="1">IF($A250="S",IF(BM!$I250=0,0,CHOOSE(MATCH(RegimeExecucao,{"Global","Unitário"},0),ROUND(ROUND(BM.MEDAcumulado,15-13*BM!$A$9)/100*BM!$I250,15-13*ORÇAMENTO!$AF$11),ROUND(ROUND(BM.MEDAcumulado,15-13*BM!$A$9)*ROUND(BM!$H250,15-13*ORÇAMENTO!$AF$10),15-13*ORÇAMENTO!$AF$11))),IF($A250=0,0,ROUND(SomaAgrupBM,15-13*ORÇAMENTO!$AF$11)))</f>
        <v>0</v>
      </c>
    </row>
    <row r="251" spans="1:41" ht="13.8" x14ac:dyDescent="0.3">
      <c r="A251" t="str">
        <f ca="1">ORÇAMENTO!C251</f>
        <v>S</v>
      </c>
      <c r="B251">
        <f ca="1">ORÇAMENTO!D251</f>
        <v>0</v>
      </c>
      <c r="C251" s="143" t="str">
        <f t="shared" ca="1" si="34"/>
        <v/>
      </c>
      <c r="D251" s="146" t="str">
        <f ca="1">ORÇAMENTO!O251</f>
        <v>-</v>
      </c>
      <c r="E251" s="206" t="str">
        <f t="shared" ca="1" si="35"/>
        <v>(abra o arquivo 'Referência 05-2024.xls)</v>
      </c>
      <c r="F251" s="207" t="str">
        <f t="shared" ca="1" si="36"/>
        <v>-</v>
      </c>
      <c r="G251" s="151">
        <f ca="1">IF(RegimeExecucao="Global","",ORÇAMENTO!T251)</f>
        <v>41.38</v>
      </c>
      <c r="H251" s="151">
        <f ca="1">IF(RegimeExecucao="Global","",ORÇAMENTO!W251)</f>
        <v>0</v>
      </c>
      <c r="I251" s="154">
        <f ca="1">ORÇAMENTO!X251</f>
        <v>0</v>
      </c>
      <c r="J251" s="427">
        <f t="shared" ca="1" si="37"/>
        <v>0</v>
      </c>
      <c r="K251" s="151">
        <f t="shared" ca="1" si="38"/>
        <v>0</v>
      </c>
      <c r="L251" s="428">
        <f t="shared" ca="1" si="39"/>
        <v>0</v>
      </c>
      <c r="M251" s="429">
        <f ca="1">IF($A251="S",VTOTALBM,IF($A251=0,0,ROUND(SomaAgrupBM,15-13*ORÇAMENTO!$AF$11)))</f>
        <v>0</v>
      </c>
      <c r="N251" s="430">
        <f t="shared" ca="1" si="40"/>
        <v>0</v>
      </c>
      <c r="O251" s="154">
        <f ca="1">IF($A251="S",VTOTALBM,IF($A251=0,0,ROUND(SomaAgrupBM,15-13*ORÇAMENTO!$AF$11)))</f>
        <v>0</v>
      </c>
      <c r="Q251" s="431"/>
      <c r="R251" s="432"/>
      <c r="T251" s="146" t="str">
        <f t="shared" ca="1" si="41"/>
        <v/>
      </c>
      <c r="U251" s="206" t="str">
        <f t="shared" ca="1" si="42"/>
        <v/>
      </c>
      <c r="V251" s="207" t="str">
        <f t="shared" ca="1" si="43"/>
        <v/>
      </c>
      <c r="W251" s="634">
        <f ca="1">IF($Y251&gt;0,CHOOSE(MATCH(RegimeExecucao,{"Unitário","Global"},0),IF($A251="S",$Y251/$X251,""),($Y251/$X251)*100),0)</f>
        <v>0</v>
      </c>
      <c r="X251" s="433" t="str">
        <f ca="1">IF($Y251&gt;0,CHOOSE(MATCH(RegimeExecucao,{"Unitário","Global"},0),IF($A251="S",ROUND($H251,ORÇAMENTO!$AF$10),""),ROUND($I251,ORÇAMENTO!$AF$11)),"")</f>
        <v/>
      </c>
      <c r="Y251" s="433">
        <f t="shared" ca="1" si="44"/>
        <v>0</v>
      </c>
      <c r="Z251" s="434"/>
      <c r="AB251" s="431"/>
      <c r="AC251" s="599"/>
      <c r="AD251" s="599"/>
      <c r="AE251" s="599"/>
      <c r="AF251" s="599"/>
      <c r="AG251" s="599"/>
      <c r="AH251" s="599"/>
      <c r="AI251" s="599"/>
      <c r="AJ251" s="599"/>
      <c r="AK251" s="599"/>
      <c r="AL251" s="599"/>
      <c r="AM251" s="432"/>
      <c r="AO251">
        <f ca="1">IF($A251="S",IF(BM!$I251=0,0,CHOOSE(MATCH(RegimeExecucao,{"Global","Unitário"},0),ROUND(ROUND(BM.MEDAcumulado,15-13*BM!$A$9)/100*BM!$I251,15-13*ORÇAMENTO!$AF$11),ROUND(ROUND(BM.MEDAcumulado,15-13*BM!$A$9)*ROUND(BM!$H251,15-13*ORÇAMENTO!$AF$10),15-13*ORÇAMENTO!$AF$11))),IF($A251=0,0,ROUND(SomaAgrupBM,15-13*ORÇAMENTO!$AF$11)))</f>
        <v>0</v>
      </c>
    </row>
    <row r="252" spans="1:41" ht="13.8" x14ac:dyDescent="0.3">
      <c r="A252" t="str">
        <f ca="1">ORÇAMENTO!C252</f>
        <v>S</v>
      </c>
      <c r="B252">
        <f ca="1">ORÇAMENTO!D252</f>
        <v>0</v>
      </c>
      <c r="C252" s="143" t="str">
        <f t="shared" ca="1" si="34"/>
        <v/>
      </c>
      <c r="D252" s="146" t="str">
        <f ca="1">ORÇAMENTO!O252</f>
        <v>-</v>
      </c>
      <c r="E252" s="206" t="str">
        <f t="shared" ca="1" si="35"/>
        <v>(abra o arquivo 'Referência 05-2024.xls)</v>
      </c>
      <c r="F252" s="207" t="str">
        <f t="shared" ca="1" si="36"/>
        <v>-</v>
      </c>
      <c r="G252" s="151">
        <f ca="1">IF(RegimeExecucao="Global","",ORÇAMENTO!T252)</f>
        <v>149.4</v>
      </c>
      <c r="H252" s="151">
        <f ca="1">IF(RegimeExecucao="Global","",ORÇAMENTO!W252)</f>
        <v>0</v>
      </c>
      <c r="I252" s="154">
        <f ca="1">ORÇAMENTO!X252</f>
        <v>0</v>
      </c>
      <c r="J252" s="427">
        <f t="shared" ca="1" si="37"/>
        <v>0</v>
      </c>
      <c r="K252" s="151">
        <f t="shared" ca="1" si="38"/>
        <v>0</v>
      </c>
      <c r="L252" s="428">
        <f t="shared" ca="1" si="39"/>
        <v>0</v>
      </c>
      <c r="M252" s="429">
        <f ca="1">IF($A252="S",VTOTALBM,IF($A252=0,0,ROUND(SomaAgrupBM,15-13*ORÇAMENTO!$AF$11)))</f>
        <v>0</v>
      </c>
      <c r="N252" s="430">
        <f t="shared" ca="1" si="40"/>
        <v>0</v>
      </c>
      <c r="O252" s="154">
        <f ca="1">IF($A252="S",VTOTALBM,IF($A252=0,0,ROUND(SomaAgrupBM,15-13*ORÇAMENTO!$AF$11)))</f>
        <v>0</v>
      </c>
      <c r="Q252" s="431"/>
      <c r="R252" s="432"/>
      <c r="T252" s="146" t="str">
        <f t="shared" ca="1" si="41"/>
        <v/>
      </c>
      <c r="U252" s="206" t="str">
        <f t="shared" ca="1" si="42"/>
        <v/>
      </c>
      <c r="V252" s="207" t="str">
        <f t="shared" ca="1" si="43"/>
        <v/>
      </c>
      <c r="W252" s="634">
        <f ca="1">IF($Y252&gt;0,CHOOSE(MATCH(RegimeExecucao,{"Unitário","Global"},0),IF($A252="S",$Y252/$X252,""),($Y252/$X252)*100),0)</f>
        <v>0</v>
      </c>
      <c r="X252" s="433" t="str">
        <f ca="1">IF($Y252&gt;0,CHOOSE(MATCH(RegimeExecucao,{"Unitário","Global"},0),IF($A252="S",ROUND($H252,ORÇAMENTO!$AF$10),""),ROUND($I252,ORÇAMENTO!$AF$11)),"")</f>
        <v/>
      </c>
      <c r="Y252" s="433">
        <f t="shared" ca="1" si="44"/>
        <v>0</v>
      </c>
      <c r="Z252" s="434"/>
      <c r="AB252" s="431"/>
      <c r="AC252" s="599"/>
      <c r="AD252" s="599"/>
      <c r="AE252" s="599"/>
      <c r="AF252" s="599"/>
      <c r="AG252" s="599"/>
      <c r="AH252" s="599"/>
      <c r="AI252" s="599"/>
      <c r="AJ252" s="599"/>
      <c r="AK252" s="599"/>
      <c r="AL252" s="599"/>
      <c r="AM252" s="432"/>
      <c r="AO252">
        <f ca="1">IF($A252="S",IF(BM!$I252=0,0,CHOOSE(MATCH(RegimeExecucao,{"Global","Unitário"},0),ROUND(ROUND(BM.MEDAcumulado,15-13*BM!$A$9)/100*BM!$I252,15-13*ORÇAMENTO!$AF$11),ROUND(ROUND(BM.MEDAcumulado,15-13*BM!$A$9)*ROUND(BM!$H252,15-13*ORÇAMENTO!$AF$10),15-13*ORÇAMENTO!$AF$11))),IF($A252=0,0,ROUND(SomaAgrupBM,15-13*ORÇAMENTO!$AF$11)))</f>
        <v>0</v>
      </c>
    </row>
    <row r="253" spans="1:41" ht="13.8" x14ac:dyDescent="0.3">
      <c r="A253" t="str">
        <f ca="1">ORÇAMENTO!C253</f>
        <v>S</v>
      </c>
      <c r="B253">
        <f ca="1">ORÇAMENTO!D253</f>
        <v>0</v>
      </c>
      <c r="C253" s="143" t="str">
        <f t="shared" ca="1" si="34"/>
        <v/>
      </c>
      <c r="D253" s="146" t="str">
        <f ca="1">ORÇAMENTO!O253</f>
        <v>-</v>
      </c>
      <c r="E253" s="206" t="str">
        <f t="shared" ca="1" si="35"/>
        <v>(abra o arquivo 'Referência 05-2024.xls)</v>
      </c>
      <c r="F253" s="207" t="str">
        <f t="shared" ca="1" si="36"/>
        <v>-</v>
      </c>
      <c r="G253" s="151">
        <f ca="1">IF(RegimeExecucao="Global","",ORÇAMENTO!T253)</f>
        <v>338.11</v>
      </c>
      <c r="H253" s="151">
        <f ca="1">IF(RegimeExecucao="Global","",ORÇAMENTO!W253)</f>
        <v>0</v>
      </c>
      <c r="I253" s="154">
        <f ca="1">ORÇAMENTO!X253</f>
        <v>0</v>
      </c>
      <c r="J253" s="427">
        <f t="shared" ca="1" si="37"/>
        <v>0</v>
      </c>
      <c r="K253" s="151">
        <f t="shared" ca="1" si="38"/>
        <v>0</v>
      </c>
      <c r="L253" s="428">
        <f t="shared" ca="1" si="39"/>
        <v>0</v>
      </c>
      <c r="M253" s="429">
        <f ca="1">IF($A253="S",VTOTALBM,IF($A253=0,0,ROUND(SomaAgrupBM,15-13*ORÇAMENTO!$AF$11)))</f>
        <v>0</v>
      </c>
      <c r="N253" s="430">
        <f t="shared" ca="1" si="40"/>
        <v>0</v>
      </c>
      <c r="O253" s="154">
        <f ca="1">IF($A253="S",VTOTALBM,IF($A253=0,0,ROUND(SomaAgrupBM,15-13*ORÇAMENTO!$AF$11)))</f>
        <v>0</v>
      </c>
      <c r="Q253" s="431"/>
      <c r="R253" s="432"/>
      <c r="T253" s="146" t="str">
        <f t="shared" ca="1" si="41"/>
        <v/>
      </c>
      <c r="U253" s="206" t="str">
        <f t="shared" ca="1" si="42"/>
        <v/>
      </c>
      <c r="V253" s="207" t="str">
        <f t="shared" ca="1" si="43"/>
        <v/>
      </c>
      <c r="W253" s="634">
        <f ca="1">IF($Y253&gt;0,CHOOSE(MATCH(RegimeExecucao,{"Unitário","Global"},0),IF($A253="S",$Y253/$X253,""),($Y253/$X253)*100),0)</f>
        <v>0</v>
      </c>
      <c r="X253" s="433" t="str">
        <f ca="1">IF($Y253&gt;0,CHOOSE(MATCH(RegimeExecucao,{"Unitário","Global"},0),IF($A253="S",ROUND($H253,ORÇAMENTO!$AF$10),""),ROUND($I253,ORÇAMENTO!$AF$11)),"")</f>
        <v/>
      </c>
      <c r="Y253" s="433">
        <f t="shared" ca="1" si="44"/>
        <v>0</v>
      </c>
      <c r="Z253" s="434"/>
      <c r="AB253" s="431"/>
      <c r="AC253" s="599"/>
      <c r="AD253" s="599"/>
      <c r="AE253" s="599"/>
      <c r="AF253" s="599"/>
      <c r="AG253" s="599"/>
      <c r="AH253" s="599"/>
      <c r="AI253" s="599"/>
      <c r="AJ253" s="599"/>
      <c r="AK253" s="599"/>
      <c r="AL253" s="599"/>
      <c r="AM253" s="432"/>
      <c r="AO253">
        <f ca="1">IF($A253="S",IF(BM!$I253=0,0,CHOOSE(MATCH(RegimeExecucao,{"Global","Unitário"},0),ROUND(ROUND(BM.MEDAcumulado,15-13*BM!$A$9)/100*BM!$I253,15-13*ORÇAMENTO!$AF$11),ROUND(ROUND(BM.MEDAcumulado,15-13*BM!$A$9)*ROUND(BM!$H253,15-13*ORÇAMENTO!$AF$10),15-13*ORÇAMENTO!$AF$11))),IF($A253=0,0,ROUND(SomaAgrupBM,15-13*ORÇAMENTO!$AF$11)))</f>
        <v>0</v>
      </c>
    </row>
    <row r="254" spans="1:41" ht="13.8" x14ac:dyDescent="0.3">
      <c r="A254" t="str">
        <f ca="1">ORÇAMENTO!C254</f>
        <v>S</v>
      </c>
      <c r="B254">
        <f ca="1">ORÇAMENTO!D254</f>
        <v>0</v>
      </c>
      <c r="C254" s="143" t="str">
        <f t="shared" ca="1" si="34"/>
        <v/>
      </c>
      <c r="D254" s="146" t="str">
        <f ca="1">ORÇAMENTO!O254</f>
        <v>-</v>
      </c>
      <c r="E254" s="206" t="str">
        <f t="shared" ca="1" si="35"/>
        <v>(abra o arquivo 'Referência 05-2024.xls)</v>
      </c>
      <c r="F254" s="207" t="str">
        <f t="shared" ca="1" si="36"/>
        <v>-</v>
      </c>
      <c r="G254" s="151">
        <f ca="1">IF(RegimeExecucao="Global","",ORÇAMENTO!T254)</f>
        <v>646.49</v>
      </c>
      <c r="H254" s="151">
        <f ca="1">IF(RegimeExecucao="Global","",ORÇAMENTO!W254)</f>
        <v>0</v>
      </c>
      <c r="I254" s="154">
        <f ca="1">ORÇAMENTO!X254</f>
        <v>0</v>
      </c>
      <c r="J254" s="427">
        <f t="shared" ca="1" si="37"/>
        <v>0</v>
      </c>
      <c r="K254" s="151">
        <f t="shared" ca="1" si="38"/>
        <v>0</v>
      </c>
      <c r="L254" s="428">
        <f t="shared" ca="1" si="39"/>
        <v>0</v>
      </c>
      <c r="M254" s="429">
        <f ca="1">IF($A254="S",VTOTALBM,IF($A254=0,0,ROUND(SomaAgrupBM,15-13*ORÇAMENTO!$AF$11)))</f>
        <v>0</v>
      </c>
      <c r="N254" s="430">
        <f t="shared" ca="1" si="40"/>
        <v>0</v>
      </c>
      <c r="O254" s="154">
        <f ca="1">IF($A254="S",VTOTALBM,IF($A254=0,0,ROUND(SomaAgrupBM,15-13*ORÇAMENTO!$AF$11)))</f>
        <v>0</v>
      </c>
      <c r="Q254" s="431"/>
      <c r="R254" s="432"/>
      <c r="T254" s="146" t="str">
        <f t="shared" ca="1" si="41"/>
        <v/>
      </c>
      <c r="U254" s="206" t="str">
        <f t="shared" ca="1" si="42"/>
        <v/>
      </c>
      <c r="V254" s="207" t="str">
        <f t="shared" ca="1" si="43"/>
        <v/>
      </c>
      <c r="W254" s="634">
        <f ca="1">IF($Y254&gt;0,CHOOSE(MATCH(RegimeExecucao,{"Unitário","Global"},0),IF($A254="S",$Y254/$X254,""),($Y254/$X254)*100),0)</f>
        <v>0</v>
      </c>
      <c r="X254" s="433" t="str">
        <f ca="1">IF($Y254&gt;0,CHOOSE(MATCH(RegimeExecucao,{"Unitário","Global"},0),IF($A254="S",ROUND($H254,ORÇAMENTO!$AF$10),""),ROUND($I254,ORÇAMENTO!$AF$11)),"")</f>
        <v/>
      </c>
      <c r="Y254" s="433">
        <f t="shared" ca="1" si="44"/>
        <v>0</v>
      </c>
      <c r="Z254" s="434"/>
      <c r="AB254" s="431"/>
      <c r="AC254" s="599"/>
      <c r="AD254" s="599"/>
      <c r="AE254" s="599"/>
      <c r="AF254" s="599"/>
      <c r="AG254" s="599"/>
      <c r="AH254" s="599"/>
      <c r="AI254" s="599"/>
      <c r="AJ254" s="599"/>
      <c r="AK254" s="599"/>
      <c r="AL254" s="599"/>
      <c r="AM254" s="432"/>
      <c r="AO254">
        <f ca="1">IF($A254="S",IF(BM!$I254=0,0,CHOOSE(MATCH(RegimeExecucao,{"Global","Unitário"},0),ROUND(ROUND(BM.MEDAcumulado,15-13*BM!$A$9)/100*BM!$I254,15-13*ORÇAMENTO!$AF$11),ROUND(ROUND(BM.MEDAcumulado,15-13*BM!$A$9)*ROUND(BM!$H254,15-13*ORÇAMENTO!$AF$10),15-13*ORÇAMENTO!$AF$11))),IF($A254=0,0,ROUND(SomaAgrupBM,15-13*ORÇAMENTO!$AF$11)))</f>
        <v>0</v>
      </c>
    </row>
    <row r="255" spans="1:41" ht="13.8" x14ac:dyDescent="0.3">
      <c r="A255" t="str">
        <f ca="1">ORÇAMENTO!C255</f>
        <v>S</v>
      </c>
      <c r="B255">
        <f ca="1">ORÇAMENTO!D255</f>
        <v>0</v>
      </c>
      <c r="C255" s="143" t="str">
        <f t="shared" ca="1" si="34"/>
        <v/>
      </c>
      <c r="D255" s="146" t="str">
        <f ca="1">ORÇAMENTO!O255</f>
        <v>-</v>
      </c>
      <c r="E255" s="206" t="str">
        <f t="shared" ca="1" si="35"/>
        <v>(abra o arquivo 'Referência 05-2024.xls)</v>
      </c>
      <c r="F255" s="207" t="str">
        <f t="shared" ca="1" si="36"/>
        <v>-</v>
      </c>
      <c r="G255" s="151">
        <f ca="1">IF(RegimeExecucao="Global","",ORÇAMENTO!T255)</f>
        <v>254.88</v>
      </c>
      <c r="H255" s="151">
        <f ca="1">IF(RegimeExecucao="Global","",ORÇAMENTO!W255)</f>
        <v>0</v>
      </c>
      <c r="I255" s="154">
        <f ca="1">ORÇAMENTO!X255</f>
        <v>0</v>
      </c>
      <c r="J255" s="427">
        <f t="shared" ca="1" si="37"/>
        <v>0</v>
      </c>
      <c r="K255" s="151">
        <f t="shared" ca="1" si="38"/>
        <v>0</v>
      </c>
      <c r="L255" s="428">
        <f t="shared" ca="1" si="39"/>
        <v>0</v>
      </c>
      <c r="M255" s="429">
        <f ca="1">IF($A255="S",VTOTALBM,IF($A255=0,0,ROUND(SomaAgrupBM,15-13*ORÇAMENTO!$AF$11)))</f>
        <v>0</v>
      </c>
      <c r="N255" s="430">
        <f t="shared" ca="1" si="40"/>
        <v>0</v>
      </c>
      <c r="O255" s="154">
        <f ca="1">IF($A255="S",VTOTALBM,IF($A255=0,0,ROUND(SomaAgrupBM,15-13*ORÇAMENTO!$AF$11)))</f>
        <v>0</v>
      </c>
      <c r="Q255" s="431"/>
      <c r="R255" s="432"/>
      <c r="T255" s="146" t="str">
        <f t="shared" ca="1" si="41"/>
        <v/>
      </c>
      <c r="U255" s="206" t="str">
        <f t="shared" ca="1" si="42"/>
        <v/>
      </c>
      <c r="V255" s="207" t="str">
        <f t="shared" ca="1" si="43"/>
        <v/>
      </c>
      <c r="W255" s="634">
        <f ca="1">IF($Y255&gt;0,CHOOSE(MATCH(RegimeExecucao,{"Unitário","Global"},0),IF($A255="S",$Y255/$X255,""),($Y255/$X255)*100),0)</f>
        <v>0</v>
      </c>
      <c r="X255" s="433" t="str">
        <f ca="1">IF($Y255&gt;0,CHOOSE(MATCH(RegimeExecucao,{"Unitário","Global"},0),IF($A255="S",ROUND($H255,ORÇAMENTO!$AF$10),""),ROUND($I255,ORÇAMENTO!$AF$11)),"")</f>
        <v/>
      </c>
      <c r="Y255" s="433">
        <f t="shared" ca="1" si="44"/>
        <v>0</v>
      </c>
      <c r="Z255" s="434"/>
      <c r="AB255" s="431"/>
      <c r="AC255" s="599"/>
      <c r="AD255" s="599"/>
      <c r="AE255" s="599"/>
      <c r="AF255" s="599"/>
      <c r="AG255" s="599"/>
      <c r="AH255" s="599"/>
      <c r="AI255" s="599"/>
      <c r="AJ255" s="599"/>
      <c r="AK255" s="599"/>
      <c r="AL255" s="599"/>
      <c r="AM255" s="432"/>
      <c r="AO255">
        <f ca="1">IF($A255="S",IF(BM!$I255=0,0,CHOOSE(MATCH(RegimeExecucao,{"Global","Unitário"},0),ROUND(ROUND(BM.MEDAcumulado,15-13*BM!$A$9)/100*BM!$I255,15-13*ORÇAMENTO!$AF$11),ROUND(ROUND(BM.MEDAcumulado,15-13*BM!$A$9)*ROUND(BM!$H255,15-13*ORÇAMENTO!$AF$10),15-13*ORÇAMENTO!$AF$11))),IF($A255=0,0,ROUND(SomaAgrupBM,15-13*ORÇAMENTO!$AF$11)))</f>
        <v>0</v>
      </c>
    </row>
    <row r="256" spans="1:41" ht="13.8" x14ac:dyDescent="0.3">
      <c r="A256">
        <f ca="1">ORÇAMENTO!C256</f>
        <v>3</v>
      </c>
      <c r="B256">
        <f ca="1">ORÇAMENTO!D256</f>
        <v>3</v>
      </c>
      <c r="C256" s="143" t="str">
        <f t="shared" ca="1" si="34"/>
        <v>F</v>
      </c>
      <c r="D256" s="146" t="str">
        <f ca="1">ORÇAMENTO!O256</f>
        <v>1.9.2.</v>
      </c>
      <c r="E256" s="206" t="str">
        <f t="shared" si="35"/>
        <v>MURETA</v>
      </c>
      <c r="F256" s="207" t="str">
        <f t="shared" ca="1" si="36"/>
        <v>-</v>
      </c>
      <c r="G256" s="151">
        <f ca="1">IF(RegimeExecucao="Global","",ORÇAMENTO!T256)</f>
        <v>0</v>
      </c>
      <c r="H256" s="151">
        <f ca="1">IF(RegimeExecucao="Global","",ORÇAMENTO!W256)</f>
        <v>0</v>
      </c>
      <c r="I256" s="154">
        <f ca="1">ORÇAMENTO!X256</f>
        <v>0</v>
      </c>
      <c r="J256" s="427">
        <f t="shared" ca="1" si="37"/>
        <v>0</v>
      </c>
      <c r="K256" s="151">
        <f t="shared" ca="1" si="38"/>
        <v>0</v>
      </c>
      <c r="L256" s="428">
        <f t="shared" ca="1" si="39"/>
        <v>0</v>
      </c>
      <c r="M256" s="429">
        <f ca="1">IF($A256="S",VTOTALBM,IF($A256=0,0,ROUND(SomaAgrupBM,15-13*ORÇAMENTO!$AF$11)))</f>
        <v>0</v>
      </c>
      <c r="N256" s="430">
        <f t="shared" ca="1" si="40"/>
        <v>0</v>
      </c>
      <c r="O256" s="154">
        <f ca="1">IF($A256="S",VTOTALBM,IF($A256=0,0,ROUND(SomaAgrupBM,15-13*ORÇAMENTO!$AF$11)))</f>
        <v>0</v>
      </c>
      <c r="Q256" s="431"/>
      <c r="R256" s="432"/>
      <c r="T256" s="146" t="str">
        <f t="shared" ca="1" si="41"/>
        <v/>
      </c>
      <c r="U256" s="206" t="str">
        <f t="shared" ca="1" si="42"/>
        <v/>
      </c>
      <c r="V256" s="207" t="str">
        <f t="shared" ca="1" si="43"/>
        <v/>
      </c>
      <c r="W256" s="634">
        <f ca="1">IF($Y256&gt;0,CHOOSE(MATCH(RegimeExecucao,{"Unitário","Global"},0),IF($A256="S",$Y256/$X256,""),($Y256/$X256)*100),0)</f>
        <v>0</v>
      </c>
      <c r="X256" s="433" t="str">
        <f ca="1">IF($Y256&gt;0,CHOOSE(MATCH(RegimeExecucao,{"Unitário","Global"},0),IF($A256="S",ROUND($H256,ORÇAMENTO!$AF$10),""),ROUND($I256,ORÇAMENTO!$AF$11)),"")</f>
        <v/>
      </c>
      <c r="Y256" s="433">
        <f t="shared" ca="1" si="44"/>
        <v>0</v>
      </c>
      <c r="Z256" s="434"/>
      <c r="AB256" s="431"/>
      <c r="AC256" s="599"/>
      <c r="AD256" s="599"/>
      <c r="AE256" s="599"/>
      <c r="AF256" s="599"/>
      <c r="AG256" s="599"/>
      <c r="AH256" s="599"/>
      <c r="AI256" s="599"/>
      <c r="AJ256" s="599"/>
      <c r="AK256" s="599"/>
      <c r="AL256" s="599"/>
      <c r="AM256" s="432"/>
      <c r="AO256">
        <f ca="1">IF($A256="S",IF(BM!$I256=0,0,CHOOSE(MATCH(RegimeExecucao,{"Global","Unitário"},0),ROUND(ROUND(BM.MEDAcumulado,15-13*BM!$A$9)/100*BM!$I256,15-13*ORÇAMENTO!$AF$11),ROUND(ROUND(BM.MEDAcumulado,15-13*BM!$A$9)*ROUND(BM!$H256,15-13*ORÇAMENTO!$AF$10),15-13*ORÇAMENTO!$AF$11))),IF($A256=0,0,ROUND(SomaAgrupBM,15-13*ORÇAMENTO!$AF$11)))</f>
        <v>0</v>
      </c>
    </row>
    <row r="257" spans="1:41" ht="13.8" x14ac:dyDescent="0.3">
      <c r="A257" t="str">
        <f ca="1">ORÇAMENTO!C257</f>
        <v>S</v>
      </c>
      <c r="B257">
        <f ca="1">ORÇAMENTO!D257</f>
        <v>0</v>
      </c>
      <c r="C257" s="143" t="str">
        <f t="shared" ca="1" si="34"/>
        <v/>
      </c>
      <c r="D257" s="146" t="str">
        <f ca="1">ORÇAMENTO!O257</f>
        <v>-</v>
      </c>
      <c r="E257" s="206" t="str">
        <f t="shared" ca="1" si="35"/>
        <v>(abra o arquivo 'Referência 05-2024.xls)</v>
      </c>
      <c r="F257" s="207" t="str">
        <f t="shared" ca="1" si="36"/>
        <v>-</v>
      </c>
      <c r="G257" s="151">
        <f ca="1">IF(RegimeExecucao="Global","",ORÇAMENTO!T257)</f>
        <v>1298.68</v>
      </c>
      <c r="H257" s="151">
        <f ca="1">IF(RegimeExecucao="Global","",ORÇAMENTO!W257)</f>
        <v>0</v>
      </c>
      <c r="I257" s="154">
        <f ca="1">ORÇAMENTO!X257</f>
        <v>0</v>
      </c>
      <c r="J257" s="427">
        <f t="shared" ca="1" si="37"/>
        <v>0</v>
      </c>
      <c r="K257" s="151">
        <f t="shared" ca="1" si="38"/>
        <v>0</v>
      </c>
      <c r="L257" s="428">
        <f t="shared" ca="1" si="39"/>
        <v>0</v>
      </c>
      <c r="M257" s="429">
        <f ca="1">IF($A257="S",VTOTALBM,IF($A257=0,0,ROUND(SomaAgrupBM,15-13*ORÇAMENTO!$AF$11)))</f>
        <v>0</v>
      </c>
      <c r="N257" s="430">
        <f t="shared" ca="1" si="40"/>
        <v>0</v>
      </c>
      <c r="O257" s="154">
        <f ca="1">IF($A257="S",VTOTALBM,IF($A257=0,0,ROUND(SomaAgrupBM,15-13*ORÇAMENTO!$AF$11)))</f>
        <v>0</v>
      </c>
      <c r="Q257" s="431"/>
      <c r="R257" s="432"/>
      <c r="T257" s="146" t="str">
        <f t="shared" ca="1" si="41"/>
        <v/>
      </c>
      <c r="U257" s="206" t="str">
        <f t="shared" ca="1" si="42"/>
        <v/>
      </c>
      <c r="V257" s="207" t="str">
        <f t="shared" ca="1" si="43"/>
        <v/>
      </c>
      <c r="W257" s="634">
        <f ca="1">IF($Y257&gt;0,CHOOSE(MATCH(RegimeExecucao,{"Unitário","Global"},0),IF($A257="S",$Y257/$X257,""),($Y257/$X257)*100),0)</f>
        <v>0</v>
      </c>
      <c r="X257" s="433" t="str">
        <f ca="1">IF($Y257&gt;0,CHOOSE(MATCH(RegimeExecucao,{"Unitário","Global"},0),IF($A257="S",ROUND($H257,ORÇAMENTO!$AF$10),""),ROUND($I257,ORÇAMENTO!$AF$11)),"")</f>
        <v/>
      </c>
      <c r="Y257" s="433">
        <f t="shared" ca="1" si="44"/>
        <v>0</v>
      </c>
      <c r="Z257" s="434"/>
      <c r="AB257" s="431"/>
      <c r="AC257" s="599"/>
      <c r="AD257" s="599"/>
      <c r="AE257" s="599"/>
      <c r="AF257" s="599"/>
      <c r="AG257" s="599"/>
      <c r="AH257" s="599"/>
      <c r="AI257" s="599"/>
      <c r="AJ257" s="599"/>
      <c r="AK257" s="599"/>
      <c r="AL257" s="599"/>
      <c r="AM257" s="432"/>
      <c r="AO257">
        <f ca="1">IF($A257="S",IF(BM!$I257=0,0,CHOOSE(MATCH(RegimeExecucao,{"Global","Unitário"},0),ROUND(ROUND(BM.MEDAcumulado,15-13*BM!$A$9)/100*BM!$I257,15-13*ORÇAMENTO!$AF$11),ROUND(ROUND(BM.MEDAcumulado,15-13*BM!$A$9)*ROUND(BM!$H257,15-13*ORÇAMENTO!$AF$10),15-13*ORÇAMENTO!$AF$11))),IF($A257=0,0,ROUND(SomaAgrupBM,15-13*ORÇAMENTO!$AF$11)))</f>
        <v>0</v>
      </c>
    </row>
    <row r="258" spans="1:41" ht="13.8" x14ac:dyDescent="0.3">
      <c r="A258" t="str">
        <f ca="1">ORÇAMENTO!C258</f>
        <v>S</v>
      </c>
      <c r="B258">
        <f ca="1">ORÇAMENTO!D258</f>
        <v>0</v>
      </c>
      <c r="C258" s="143" t="str">
        <f t="shared" ca="1" si="34"/>
        <v/>
      </c>
      <c r="D258" s="146" t="str">
        <f ca="1">ORÇAMENTO!O258</f>
        <v>-</v>
      </c>
      <c r="E258" s="206" t="str">
        <f t="shared" ca="1" si="35"/>
        <v>(abra o arquivo 'Referência 05-2024.xls)</v>
      </c>
      <c r="F258" s="207" t="str">
        <f t="shared" ca="1" si="36"/>
        <v>-</v>
      </c>
      <c r="G258" s="151">
        <f ca="1">IF(RegimeExecucao="Global","",ORÇAMENTO!T258)</f>
        <v>1298.68</v>
      </c>
      <c r="H258" s="151">
        <f ca="1">IF(RegimeExecucao="Global","",ORÇAMENTO!W258)</f>
        <v>0</v>
      </c>
      <c r="I258" s="154">
        <f ca="1">ORÇAMENTO!X258</f>
        <v>0</v>
      </c>
      <c r="J258" s="427">
        <f t="shared" ca="1" si="37"/>
        <v>0</v>
      </c>
      <c r="K258" s="151">
        <f t="shared" ca="1" si="38"/>
        <v>0</v>
      </c>
      <c r="L258" s="428">
        <f t="shared" ca="1" si="39"/>
        <v>0</v>
      </c>
      <c r="M258" s="429">
        <f ca="1">IF($A258="S",VTOTALBM,IF($A258=0,0,ROUND(SomaAgrupBM,15-13*ORÇAMENTO!$AF$11)))</f>
        <v>0</v>
      </c>
      <c r="N258" s="430">
        <f t="shared" ca="1" si="40"/>
        <v>0</v>
      </c>
      <c r="O258" s="154">
        <f ca="1">IF($A258="S",VTOTALBM,IF($A258=0,0,ROUND(SomaAgrupBM,15-13*ORÇAMENTO!$AF$11)))</f>
        <v>0</v>
      </c>
      <c r="Q258" s="431"/>
      <c r="R258" s="432"/>
      <c r="T258" s="146" t="str">
        <f t="shared" ca="1" si="41"/>
        <v/>
      </c>
      <c r="U258" s="206" t="str">
        <f t="shared" ca="1" si="42"/>
        <v/>
      </c>
      <c r="V258" s="207" t="str">
        <f t="shared" ca="1" si="43"/>
        <v/>
      </c>
      <c r="W258" s="634">
        <f ca="1">IF($Y258&gt;0,CHOOSE(MATCH(RegimeExecucao,{"Unitário","Global"},0),IF($A258="S",$Y258/$X258,""),($Y258/$X258)*100),0)</f>
        <v>0</v>
      </c>
      <c r="X258" s="433" t="str">
        <f ca="1">IF($Y258&gt;0,CHOOSE(MATCH(RegimeExecucao,{"Unitário","Global"},0),IF($A258="S",ROUND($H258,ORÇAMENTO!$AF$10),""),ROUND($I258,ORÇAMENTO!$AF$11)),"")</f>
        <v/>
      </c>
      <c r="Y258" s="433">
        <f t="shared" ca="1" si="44"/>
        <v>0</v>
      </c>
      <c r="Z258" s="434"/>
      <c r="AB258" s="431"/>
      <c r="AC258" s="599"/>
      <c r="AD258" s="599"/>
      <c r="AE258" s="599"/>
      <c r="AF258" s="599"/>
      <c r="AG258" s="599"/>
      <c r="AH258" s="599"/>
      <c r="AI258" s="599"/>
      <c r="AJ258" s="599"/>
      <c r="AK258" s="599"/>
      <c r="AL258" s="599"/>
      <c r="AM258" s="432"/>
      <c r="AO258">
        <f ca="1">IF($A258="S",IF(BM!$I258=0,0,CHOOSE(MATCH(RegimeExecucao,{"Global","Unitário"},0),ROUND(ROUND(BM.MEDAcumulado,15-13*BM!$A$9)/100*BM!$I258,15-13*ORÇAMENTO!$AF$11),ROUND(ROUND(BM.MEDAcumulado,15-13*BM!$A$9)*ROUND(BM!$H258,15-13*ORÇAMENTO!$AF$10),15-13*ORÇAMENTO!$AF$11))),IF($A258=0,0,ROUND(SomaAgrupBM,15-13*ORÇAMENTO!$AF$11)))</f>
        <v>0</v>
      </c>
    </row>
    <row r="259" spans="1:41" ht="13.8" x14ac:dyDescent="0.3">
      <c r="A259">
        <f ca="1">ORÇAMENTO!C259</f>
        <v>2</v>
      </c>
      <c r="B259">
        <f ca="1">ORÇAMENTO!D259</f>
        <v>23</v>
      </c>
      <c r="C259" s="143" t="str">
        <f t="shared" ca="1" si="34"/>
        <v>F</v>
      </c>
      <c r="D259" s="146" t="str">
        <f ca="1">ORÇAMENTO!O259</f>
        <v>1.10.</v>
      </c>
      <c r="E259" s="206" t="str">
        <f t="shared" si="35"/>
        <v>SISTEMAS DE PISOS</v>
      </c>
      <c r="F259" s="207" t="str">
        <f t="shared" ca="1" si="36"/>
        <v>-</v>
      </c>
      <c r="G259" s="151">
        <f ca="1">IF(RegimeExecucao="Global","",ORÇAMENTO!T259)</f>
        <v>0</v>
      </c>
      <c r="H259" s="151">
        <f ca="1">IF(RegimeExecucao="Global","",ORÇAMENTO!W259)</f>
        <v>0</v>
      </c>
      <c r="I259" s="154">
        <f ca="1">ORÇAMENTO!X259</f>
        <v>0</v>
      </c>
      <c r="J259" s="427">
        <f t="shared" ca="1" si="37"/>
        <v>0</v>
      </c>
      <c r="K259" s="151">
        <f t="shared" ca="1" si="38"/>
        <v>0</v>
      </c>
      <c r="L259" s="428">
        <f t="shared" ca="1" si="39"/>
        <v>0</v>
      </c>
      <c r="M259" s="429">
        <f ca="1">IF($A259="S",VTOTALBM,IF($A259=0,0,ROUND(SomaAgrupBM,15-13*ORÇAMENTO!$AF$11)))</f>
        <v>0</v>
      </c>
      <c r="N259" s="430">
        <f t="shared" ca="1" si="40"/>
        <v>0</v>
      </c>
      <c r="O259" s="154">
        <f ca="1">IF($A259="S",VTOTALBM,IF($A259=0,0,ROUND(SomaAgrupBM,15-13*ORÇAMENTO!$AF$11)))</f>
        <v>0</v>
      </c>
      <c r="Q259" s="431"/>
      <c r="R259" s="432"/>
      <c r="T259" s="146" t="str">
        <f t="shared" ca="1" si="41"/>
        <v/>
      </c>
      <c r="U259" s="206" t="str">
        <f t="shared" ca="1" si="42"/>
        <v/>
      </c>
      <c r="V259" s="207" t="str">
        <f t="shared" ca="1" si="43"/>
        <v/>
      </c>
      <c r="W259" s="634">
        <f ca="1">IF($Y259&gt;0,CHOOSE(MATCH(RegimeExecucao,{"Unitário","Global"},0),IF($A259="S",$Y259/$X259,""),($Y259/$X259)*100),0)</f>
        <v>0</v>
      </c>
      <c r="X259" s="433" t="str">
        <f ca="1">IF($Y259&gt;0,CHOOSE(MATCH(RegimeExecucao,{"Unitário","Global"},0),IF($A259="S",ROUND($H259,ORÇAMENTO!$AF$10),""),ROUND($I259,ORÇAMENTO!$AF$11)),"")</f>
        <v/>
      </c>
      <c r="Y259" s="433">
        <f t="shared" ca="1" si="44"/>
        <v>0</v>
      </c>
      <c r="Z259" s="434"/>
      <c r="AB259" s="431"/>
      <c r="AC259" s="599"/>
      <c r="AD259" s="599"/>
      <c r="AE259" s="599"/>
      <c r="AF259" s="599"/>
      <c r="AG259" s="599"/>
      <c r="AH259" s="599"/>
      <c r="AI259" s="599"/>
      <c r="AJ259" s="599"/>
      <c r="AK259" s="599"/>
      <c r="AL259" s="599"/>
      <c r="AM259" s="432"/>
      <c r="AO259">
        <f ca="1">IF($A259="S",IF(BM!$I259=0,0,CHOOSE(MATCH(RegimeExecucao,{"Global","Unitário"},0),ROUND(ROUND(BM.MEDAcumulado,15-13*BM!$A$9)/100*BM!$I259,15-13*ORÇAMENTO!$AF$11),ROUND(ROUND(BM.MEDAcumulado,15-13*BM!$A$9)*ROUND(BM!$H259,15-13*ORÇAMENTO!$AF$10),15-13*ORÇAMENTO!$AF$11))),IF($A259=0,0,ROUND(SomaAgrupBM,15-13*ORÇAMENTO!$AF$11)))</f>
        <v>0</v>
      </c>
    </row>
    <row r="260" spans="1:41" ht="13.8" x14ac:dyDescent="0.3">
      <c r="A260">
        <f ca="1">ORÇAMENTO!C260</f>
        <v>3</v>
      </c>
      <c r="B260">
        <f ca="1">ORÇAMENTO!D260</f>
        <v>9</v>
      </c>
      <c r="C260" s="143" t="str">
        <f t="shared" ca="1" si="34"/>
        <v>F</v>
      </c>
      <c r="D260" s="146" t="str">
        <f ca="1">ORÇAMENTO!O260</f>
        <v>1.10.1.</v>
      </c>
      <c r="E260" s="206" t="str">
        <f t="shared" si="35"/>
        <v>PAVIMENTAÇÃO INTERNA</v>
      </c>
      <c r="F260" s="207" t="str">
        <f t="shared" ca="1" si="36"/>
        <v>-</v>
      </c>
      <c r="G260" s="151">
        <f ca="1">IF(RegimeExecucao="Global","",ORÇAMENTO!T260)</f>
        <v>0</v>
      </c>
      <c r="H260" s="151">
        <f ca="1">IF(RegimeExecucao="Global","",ORÇAMENTO!W260)</f>
        <v>0</v>
      </c>
      <c r="I260" s="154">
        <f ca="1">ORÇAMENTO!X260</f>
        <v>0</v>
      </c>
      <c r="J260" s="427">
        <f t="shared" ca="1" si="37"/>
        <v>0</v>
      </c>
      <c r="K260" s="151">
        <f t="shared" ca="1" si="38"/>
        <v>0</v>
      </c>
      <c r="L260" s="428">
        <f t="shared" ca="1" si="39"/>
        <v>0</v>
      </c>
      <c r="M260" s="429">
        <f ca="1">IF($A260="S",VTOTALBM,IF($A260=0,0,ROUND(SomaAgrupBM,15-13*ORÇAMENTO!$AF$11)))</f>
        <v>0</v>
      </c>
      <c r="N260" s="430">
        <f t="shared" ca="1" si="40"/>
        <v>0</v>
      </c>
      <c r="O260" s="154">
        <f ca="1">IF($A260="S",VTOTALBM,IF($A260=0,0,ROUND(SomaAgrupBM,15-13*ORÇAMENTO!$AF$11)))</f>
        <v>0</v>
      </c>
      <c r="Q260" s="431"/>
      <c r="R260" s="432"/>
      <c r="T260" s="146" t="str">
        <f t="shared" ca="1" si="41"/>
        <v/>
      </c>
      <c r="U260" s="206" t="str">
        <f t="shared" ca="1" si="42"/>
        <v/>
      </c>
      <c r="V260" s="207" t="str">
        <f t="shared" ca="1" si="43"/>
        <v/>
      </c>
      <c r="W260" s="634">
        <f ca="1">IF($Y260&gt;0,CHOOSE(MATCH(RegimeExecucao,{"Unitário","Global"},0),IF($A260="S",$Y260/$X260,""),($Y260/$X260)*100),0)</f>
        <v>0</v>
      </c>
      <c r="X260" s="433" t="str">
        <f ca="1">IF($Y260&gt;0,CHOOSE(MATCH(RegimeExecucao,{"Unitário","Global"},0),IF($A260="S",ROUND($H260,ORÇAMENTO!$AF$10),""),ROUND($I260,ORÇAMENTO!$AF$11)),"")</f>
        <v/>
      </c>
      <c r="Y260" s="433">
        <f t="shared" ca="1" si="44"/>
        <v>0</v>
      </c>
      <c r="Z260" s="434"/>
      <c r="AB260" s="431"/>
      <c r="AC260" s="599"/>
      <c r="AD260" s="599"/>
      <c r="AE260" s="599"/>
      <c r="AF260" s="599"/>
      <c r="AG260" s="599"/>
      <c r="AH260" s="599"/>
      <c r="AI260" s="599"/>
      <c r="AJ260" s="599"/>
      <c r="AK260" s="599"/>
      <c r="AL260" s="599"/>
      <c r="AM260" s="432"/>
      <c r="AO260">
        <f ca="1">IF($A260="S",IF(BM!$I260=0,0,CHOOSE(MATCH(RegimeExecucao,{"Global","Unitário"},0),ROUND(ROUND(BM.MEDAcumulado,15-13*BM!$A$9)/100*BM!$I260,15-13*ORÇAMENTO!$AF$11),ROUND(ROUND(BM.MEDAcumulado,15-13*BM!$A$9)*ROUND(BM!$H260,15-13*ORÇAMENTO!$AF$10),15-13*ORÇAMENTO!$AF$11))),IF($A260=0,0,ROUND(SomaAgrupBM,15-13*ORÇAMENTO!$AF$11)))</f>
        <v>0</v>
      </c>
    </row>
    <row r="261" spans="1:41" ht="13.8" x14ac:dyDescent="0.3">
      <c r="A261" t="str">
        <f ca="1">ORÇAMENTO!C261</f>
        <v>S</v>
      </c>
      <c r="B261">
        <f ca="1">ORÇAMENTO!D261</f>
        <v>0</v>
      </c>
      <c r="C261" s="143" t="str">
        <f t="shared" ca="1" si="34"/>
        <v/>
      </c>
      <c r="D261" s="146" t="str">
        <f ca="1">ORÇAMENTO!O261</f>
        <v>-</v>
      </c>
      <c r="E261" s="206" t="str">
        <f t="shared" ca="1" si="35"/>
        <v>(abra o arquivo 'Referência 05-2024.xls)</v>
      </c>
      <c r="F261" s="207" t="str">
        <f t="shared" ca="1" si="36"/>
        <v>-</v>
      </c>
      <c r="G261" s="151">
        <f ca="1">IF(RegimeExecucao="Global","",ORÇAMENTO!T261)</f>
        <v>1780.58</v>
      </c>
      <c r="H261" s="151">
        <f ca="1">IF(RegimeExecucao="Global","",ORÇAMENTO!W261)</f>
        <v>0</v>
      </c>
      <c r="I261" s="154">
        <f ca="1">ORÇAMENTO!X261</f>
        <v>0</v>
      </c>
      <c r="J261" s="427">
        <f t="shared" ca="1" si="37"/>
        <v>0</v>
      </c>
      <c r="K261" s="151">
        <f t="shared" ca="1" si="38"/>
        <v>0</v>
      </c>
      <c r="L261" s="428">
        <f t="shared" ca="1" si="39"/>
        <v>0</v>
      </c>
      <c r="M261" s="429">
        <f ca="1">IF($A261="S",VTOTALBM,IF($A261=0,0,ROUND(SomaAgrupBM,15-13*ORÇAMENTO!$AF$11)))</f>
        <v>0</v>
      </c>
      <c r="N261" s="430">
        <f t="shared" ca="1" si="40"/>
        <v>0</v>
      </c>
      <c r="O261" s="154">
        <f ca="1">IF($A261="S",VTOTALBM,IF($A261=0,0,ROUND(SomaAgrupBM,15-13*ORÇAMENTO!$AF$11)))</f>
        <v>0</v>
      </c>
      <c r="Q261" s="431"/>
      <c r="R261" s="432"/>
      <c r="T261" s="146" t="str">
        <f t="shared" ca="1" si="41"/>
        <v/>
      </c>
      <c r="U261" s="206" t="str">
        <f t="shared" ca="1" si="42"/>
        <v/>
      </c>
      <c r="V261" s="207" t="str">
        <f t="shared" ca="1" si="43"/>
        <v/>
      </c>
      <c r="W261" s="634">
        <f ca="1">IF($Y261&gt;0,CHOOSE(MATCH(RegimeExecucao,{"Unitário","Global"},0),IF($A261="S",$Y261/$X261,""),($Y261/$X261)*100),0)</f>
        <v>0</v>
      </c>
      <c r="X261" s="433" t="str">
        <f ca="1">IF($Y261&gt;0,CHOOSE(MATCH(RegimeExecucao,{"Unitário","Global"},0),IF($A261="S",ROUND($H261,ORÇAMENTO!$AF$10),""),ROUND($I261,ORÇAMENTO!$AF$11)),"")</f>
        <v/>
      </c>
      <c r="Y261" s="433">
        <f t="shared" ca="1" si="44"/>
        <v>0</v>
      </c>
      <c r="Z261" s="434"/>
      <c r="AB261" s="431"/>
      <c r="AC261" s="599"/>
      <c r="AD261" s="599"/>
      <c r="AE261" s="599"/>
      <c r="AF261" s="599"/>
      <c r="AG261" s="599"/>
      <c r="AH261" s="599"/>
      <c r="AI261" s="599"/>
      <c r="AJ261" s="599"/>
      <c r="AK261" s="599"/>
      <c r="AL261" s="599"/>
      <c r="AM261" s="432"/>
      <c r="AO261">
        <f ca="1">IF($A261="S",IF(BM!$I261=0,0,CHOOSE(MATCH(RegimeExecucao,{"Global","Unitário"},0),ROUND(ROUND(BM.MEDAcumulado,15-13*BM!$A$9)/100*BM!$I261,15-13*ORÇAMENTO!$AF$11),ROUND(ROUND(BM.MEDAcumulado,15-13*BM!$A$9)*ROUND(BM!$H261,15-13*ORÇAMENTO!$AF$10),15-13*ORÇAMENTO!$AF$11))),IF($A261=0,0,ROUND(SomaAgrupBM,15-13*ORÇAMENTO!$AF$11)))</f>
        <v>0</v>
      </c>
    </row>
    <row r="262" spans="1:41" ht="13.8" x14ac:dyDescent="0.3">
      <c r="A262" t="str">
        <f ca="1">ORÇAMENTO!C262</f>
        <v>S</v>
      </c>
      <c r="B262">
        <f ca="1">ORÇAMENTO!D262</f>
        <v>0</v>
      </c>
      <c r="C262" s="143" t="str">
        <f t="shared" ca="1" si="34"/>
        <v/>
      </c>
      <c r="D262" s="146" t="str">
        <f ca="1">ORÇAMENTO!O262</f>
        <v>-</v>
      </c>
      <c r="E262" s="206" t="str">
        <f t="shared" ca="1" si="35"/>
        <v>(abra o arquivo 'Referência 05-2024.xls)</v>
      </c>
      <c r="F262" s="207" t="str">
        <f t="shared" ca="1" si="36"/>
        <v>-</v>
      </c>
      <c r="G262" s="151">
        <f ca="1">IF(RegimeExecucao="Global","",ORÇAMENTO!T262)</f>
        <v>256.23</v>
      </c>
      <c r="H262" s="151">
        <f ca="1">IF(RegimeExecucao="Global","",ORÇAMENTO!W262)</f>
        <v>0</v>
      </c>
      <c r="I262" s="154">
        <f ca="1">ORÇAMENTO!X262</f>
        <v>0</v>
      </c>
      <c r="J262" s="427">
        <f t="shared" ca="1" si="37"/>
        <v>0</v>
      </c>
      <c r="K262" s="151">
        <f t="shared" ca="1" si="38"/>
        <v>0</v>
      </c>
      <c r="L262" s="428">
        <f t="shared" ca="1" si="39"/>
        <v>0</v>
      </c>
      <c r="M262" s="429">
        <f ca="1">IF($A262="S",VTOTALBM,IF($A262=0,0,ROUND(SomaAgrupBM,15-13*ORÇAMENTO!$AF$11)))</f>
        <v>0</v>
      </c>
      <c r="N262" s="430">
        <f t="shared" ca="1" si="40"/>
        <v>0</v>
      </c>
      <c r="O262" s="154">
        <f ca="1">IF($A262="S",VTOTALBM,IF($A262=0,0,ROUND(SomaAgrupBM,15-13*ORÇAMENTO!$AF$11)))</f>
        <v>0</v>
      </c>
      <c r="Q262" s="431"/>
      <c r="R262" s="432"/>
      <c r="T262" s="146" t="str">
        <f t="shared" ca="1" si="41"/>
        <v/>
      </c>
      <c r="U262" s="206" t="str">
        <f t="shared" ca="1" si="42"/>
        <v/>
      </c>
      <c r="V262" s="207" t="str">
        <f t="shared" ca="1" si="43"/>
        <v/>
      </c>
      <c r="W262" s="634">
        <f ca="1">IF($Y262&gt;0,CHOOSE(MATCH(RegimeExecucao,{"Unitário","Global"},0),IF($A262="S",$Y262/$X262,""),($Y262/$X262)*100),0)</f>
        <v>0</v>
      </c>
      <c r="X262" s="433" t="str">
        <f ca="1">IF($Y262&gt;0,CHOOSE(MATCH(RegimeExecucao,{"Unitário","Global"},0),IF($A262="S",ROUND($H262,ORÇAMENTO!$AF$10),""),ROUND($I262,ORÇAMENTO!$AF$11)),"")</f>
        <v/>
      </c>
      <c r="Y262" s="433">
        <f t="shared" ca="1" si="44"/>
        <v>0</v>
      </c>
      <c r="Z262" s="434"/>
      <c r="AB262" s="431"/>
      <c r="AC262" s="599"/>
      <c r="AD262" s="599"/>
      <c r="AE262" s="599"/>
      <c r="AF262" s="599"/>
      <c r="AG262" s="599"/>
      <c r="AH262" s="599"/>
      <c r="AI262" s="599"/>
      <c r="AJ262" s="599"/>
      <c r="AK262" s="599"/>
      <c r="AL262" s="599"/>
      <c r="AM262" s="432"/>
      <c r="AO262">
        <f ca="1">IF($A262="S",IF(BM!$I262=0,0,CHOOSE(MATCH(RegimeExecucao,{"Global","Unitário"},0),ROUND(ROUND(BM.MEDAcumulado,15-13*BM!$A$9)/100*BM!$I262,15-13*ORÇAMENTO!$AF$11),ROUND(ROUND(BM.MEDAcumulado,15-13*BM!$A$9)*ROUND(BM!$H262,15-13*ORÇAMENTO!$AF$10),15-13*ORÇAMENTO!$AF$11))),IF($A262=0,0,ROUND(SomaAgrupBM,15-13*ORÇAMENTO!$AF$11)))</f>
        <v>0</v>
      </c>
    </row>
    <row r="263" spans="1:41" ht="13.8" x14ac:dyDescent="0.3">
      <c r="A263" t="str">
        <f ca="1">ORÇAMENTO!C263</f>
        <v>S</v>
      </c>
      <c r="B263">
        <f ca="1">ORÇAMENTO!D263</f>
        <v>0</v>
      </c>
      <c r="C263" s="143" t="str">
        <f t="shared" ca="1" si="34"/>
        <v/>
      </c>
      <c r="D263" s="146" t="str">
        <f ca="1">ORÇAMENTO!O263</f>
        <v>-</v>
      </c>
      <c r="E263" s="206" t="str">
        <f t="shared" ca="1" si="35"/>
        <v>(abra o arquivo 'Referência 05-2024.xls)</v>
      </c>
      <c r="F263" s="207" t="str">
        <f t="shared" ca="1" si="36"/>
        <v>-</v>
      </c>
      <c r="G263" s="151">
        <f ca="1">IF(RegimeExecucao="Global","",ORÇAMENTO!T263)</f>
        <v>1780.58</v>
      </c>
      <c r="H263" s="151">
        <f ca="1">IF(RegimeExecucao="Global","",ORÇAMENTO!W263)</f>
        <v>0</v>
      </c>
      <c r="I263" s="154">
        <f ca="1">ORÇAMENTO!X263</f>
        <v>0</v>
      </c>
      <c r="J263" s="427">
        <f t="shared" ca="1" si="37"/>
        <v>0</v>
      </c>
      <c r="K263" s="151">
        <f t="shared" ca="1" si="38"/>
        <v>0</v>
      </c>
      <c r="L263" s="428">
        <f t="shared" ca="1" si="39"/>
        <v>0</v>
      </c>
      <c r="M263" s="429">
        <f ca="1">IF($A263="S",VTOTALBM,IF($A263=0,0,ROUND(SomaAgrupBM,15-13*ORÇAMENTO!$AF$11)))</f>
        <v>0</v>
      </c>
      <c r="N263" s="430">
        <f t="shared" ca="1" si="40"/>
        <v>0</v>
      </c>
      <c r="O263" s="154">
        <f ca="1">IF($A263="S",VTOTALBM,IF($A263=0,0,ROUND(SomaAgrupBM,15-13*ORÇAMENTO!$AF$11)))</f>
        <v>0</v>
      </c>
      <c r="Q263" s="431"/>
      <c r="R263" s="432"/>
      <c r="T263" s="146" t="str">
        <f t="shared" ca="1" si="41"/>
        <v/>
      </c>
      <c r="U263" s="206" t="str">
        <f t="shared" ca="1" si="42"/>
        <v/>
      </c>
      <c r="V263" s="207" t="str">
        <f t="shared" ca="1" si="43"/>
        <v/>
      </c>
      <c r="W263" s="634">
        <f ca="1">IF($Y263&gt;0,CHOOSE(MATCH(RegimeExecucao,{"Unitário","Global"},0),IF($A263="S",$Y263/$X263,""),($Y263/$X263)*100),0)</f>
        <v>0</v>
      </c>
      <c r="X263" s="433" t="str">
        <f ca="1">IF($Y263&gt;0,CHOOSE(MATCH(RegimeExecucao,{"Unitário","Global"},0),IF($A263="S",ROUND($H263,ORÇAMENTO!$AF$10),""),ROUND($I263,ORÇAMENTO!$AF$11)),"")</f>
        <v/>
      </c>
      <c r="Y263" s="433">
        <f t="shared" ca="1" si="44"/>
        <v>0</v>
      </c>
      <c r="Z263" s="434"/>
      <c r="AB263" s="431"/>
      <c r="AC263" s="599"/>
      <c r="AD263" s="599"/>
      <c r="AE263" s="599"/>
      <c r="AF263" s="599"/>
      <c r="AG263" s="599"/>
      <c r="AH263" s="599"/>
      <c r="AI263" s="599"/>
      <c r="AJ263" s="599"/>
      <c r="AK263" s="599"/>
      <c r="AL263" s="599"/>
      <c r="AM263" s="432"/>
      <c r="AO263">
        <f ca="1">IF($A263="S",IF(BM!$I263=0,0,CHOOSE(MATCH(RegimeExecucao,{"Global","Unitário"},0),ROUND(ROUND(BM.MEDAcumulado,15-13*BM!$A$9)/100*BM!$I263,15-13*ORÇAMENTO!$AF$11),ROUND(ROUND(BM.MEDAcumulado,15-13*BM!$A$9)*ROUND(BM!$H263,15-13*ORÇAMENTO!$AF$10),15-13*ORÇAMENTO!$AF$11))),IF($A263=0,0,ROUND(SomaAgrupBM,15-13*ORÇAMENTO!$AF$11)))</f>
        <v>0</v>
      </c>
    </row>
    <row r="264" spans="1:41" ht="13.8" x14ac:dyDescent="0.3">
      <c r="A264" t="str">
        <f ca="1">ORÇAMENTO!C264</f>
        <v>S</v>
      </c>
      <c r="B264">
        <f ca="1">ORÇAMENTO!D264</f>
        <v>0</v>
      </c>
      <c r="C264" s="143" t="str">
        <f t="shared" ca="1" si="34"/>
        <v/>
      </c>
      <c r="D264" s="146" t="str">
        <f ca="1">ORÇAMENTO!O264</f>
        <v>-</v>
      </c>
      <c r="E264" s="206" t="str">
        <f t="shared" ca="1" si="35"/>
        <v>(abra o arquivo 'Referência 05-2024.xls)</v>
      </c>
      <c r="F264" s="207" t="str">
        <f t="shared" ca="1" si="36"/>
        <v>-</v>
      </c>
      <c r="G264" s="151">
        <f ca="1">IF(RegimeExecucao="Global","",ORÇAMENTO!T264)</f>
        <v>256.23</v>
      </c>
      <c r="H264" s="151">
        <f ca="1">IF(RegimeExecucao="Global","",ORÇAMENTO!W264)</f>
        <v>0</v>
      </c>
      <c r="I264" s="154">
        <f ca="1">ORÇAMENTO!X264</f>
        <v>0</v>
      </c>
      <c r="J264" s="427">
        <f t="shared" ca="1" si="37"/>
        <v>0</v>
      </c>
      <c r="K264" s="151">
        <f t="shared" ca="1" si="38"/>
        <v>0</v>
      </c>
      <c r="L264" s="428">
        <f t="shared" ca="1" si="39"/>
        <v>0</v>
      </c>
      <c r="M264" s="429">
        <f ca="1">IF($A264="S",VTOTALBM,IF($A264=0,0,ROUND(SomaAgrupBM,15-13*ORÇAMENTO!$AF$11)))</f>
        <v>0</v>
      </c>
      <c r="N264" s="430">
        <f t="shared" ca="1" si="40"/>
        <v>0</v>
      </c>
      <c r="O264" s="154">
        <f ca="1">IF($A264="S",VTOTALBM,IF($A264=0,0,ROUND(SomaAgrupBM,15-13*ORÇAMENTO!$AF$11)))</f>
        <v>0</v>
      </c>
      <c r="Q264" s="431"/>
      <c r="R264" s="432"/>
      <c r="T264" s="146" t="str">
        <f t="shared" ca="1" si="41"/>
        <v/>
      </c>
      <c r="U264" s="206" t="str">
        <f t="shared" ca="1" si="42"/>
        <v/>
      </c>
      <c r="V264" s="207" t="str">
        <f t="shared" ca="1" si="43"/>
        <v/>
      </c>
      <c r="W264" s="634">
        <f ca="1">IF($Y264&gt;0,CHOOSE(MATCH(RegimeExecucao,{"Unitário","Global"},0),IF($A264="S",$Y264/$X264,""),($Y264/$X264)*100),0)</f>
        <v>0</v>
      </c>
      <c r="X264" s="433" t="str">
        <f ca="1">IF($Y264&gt;0,CHOOSE(MATCH(RegimeExecucao,{"Unitário","Global"},0),IF($A264="S",ROUND($H264,ORÇAMENTO!$AF$10),""),ROUND($I264,ORÇAMENTO!$AF$11)),"")</f>
        <v/>
      </c>
      <c r="Y264" s="433">
        <f t="shared" ca="1" si="44"/>
        <v>0</v>
      </c>
      <c r="Z264" s="434"/>
      <c r="AB264" s="431"/>
      <c r="AC264" s="599"/>
      <c r="AD264" s="599"/>
      <c r="AE264" s="599"/>
      <c r="AF264" s="599"/>
      <c r="AG264" s="599"/>
      <c r="AH264" s="599"/>
      <c r="AI264" s="599"/>
      <c r="AJ264" s="599"/>
      <c r="AK264" s="599"/>
      <c r="AL264" s="599"/>
      <c r="AM264" s="432"/>
      <c r="AO264">
        <f ca="1">IF($A264="S",IF(BM!$I264=0,0,CHOOSE(MATCH(RegimeExecucao,{"Global","Unitário"},0),ROUND(ROUND(BM.MEDAcumulado,15-13*BM!$A$9)/100*BM!$I264,15-13*ORÇAMENTO!$AF$11),ROUND(ROUND(BM.MEDAcumulado,15-13*BM!$A$9)*ROUND(BM!$H264,15-13*ORÇAMENTO!$AF$10),15-13*ORÇAMENTO!$AF$11))),IF($A264=0,0,ROUND(SomaAgrupBM,15-13*ORÇAMENTO!$AF$11)))</f>
        <v>0</v>
      </c>
    </row>
    <row r="265" spans="1:41" ht="13.8" x14ac:dyDescent="0.3">
      <c r="A265" t="str">
        <f ca="1">ORÇAMENTO!C265</f>
        <v>S</v>
      </c>
      <c r="B265">
        <f ca="1">ORÇAMENTO!D265</f>
        <v>0</v>
      </c>
      <c r="C265" s="143" t="str">
        <f t="shared" ca="1" si="34"/>
        <v/>
      </c>
      <c r="D265" s="146" t="str">
        <f ca="1">ORÇAMENTO!O265</f>
        <v>-</v>
      </c>
      <c r="E265" s="206" t="str">
        <f t="shared" ca="1" si="35"/>
        <v>(abra o arquivo 'Referência 05-2024.xls)</v>
      </c>
      <c r="F265" s="207" t="str">
        <f t="shared" ca="1" si="36"/>
        <v>-</v>
      </c>
      <c r="G265" s="151">
        <f ca="1">IF(RegimeExecucao="Global","",ORÇAMENTO!T265)</f>
        <v>16.059999999999999</v>
      </c>
      <c r="H265" s="151">
        <f ca="1">IF(RegimeExecucao="Global","",ORÇAMENTO!W265)</f>
        <v>0</v>
      </c>
      <c r="I265" s="154">
        <f ca="1">ORÇAMENTO!X265</f>
        <v>0</v>
      </c>
      <c r="J265" s="427">
        <f t="shared" ca="1" si="37"/>
        <v>0</v>
      </c>
      <c r="K265" s="151">
        <f t="shared" ca="1" si="38"/>
        <v>0</v>
      </c>
      <c r="L265" s="428">
        <f t="shared" ca="1" si="39"/>
        <v>0</v>
      </c>
      <c r="M265" s="429">
        <f ca="1">IF($A265="S",VTOTALBM,IF($A265=0,0,ROUND(SomaAgrupBM,15-13*ORÇAMENTO!$AF$11)))</f>
        <v>0</v>
      </c>
      <c r="N265" s="430">
        <f t="shared" ca="1" si="40"/>
        <v>0</v>
      </c>
      <c r="O265" s="154">
        <f ca="1">IF($A265="S",VTOTALBM,IF($A265=0,0,ROUND(SomaAgrupBM,15-13*ORÇAMENTO!$AF$11)))</f>
        <v>0</v>
      </c>
      <c r="Q265" s="431"/>
      <c r="R265" s="432"/>
      <c r="T265" s="146" t="str">
        <f t="shared" ca="1" si="41"/>
        <v/>
      </c>
      <c r="U265" s="206" t="str">
        <f t="shared" ca="1" si="42"/>
        <v/>
      </c>
      <c r="V265" s="207" t="str">
        <f t="shared" ca="1" si="43"/>
        <v/>
      </c>
      <c r="W265" s="634">
        <f ca="1">IF($Y265&gt;0,CHOOSE(MATCH(RegimeExecucao,{"Unitário","Global"},0),IF($A265="S",$Y265/$X265,""),($Y265/$X265)*100),0)</f>
        <v>0</v>
      </c>
      <c r="X265" s="433" t="str">
        <f ca="1">IF($Y265&gt;0,CHOOSE(MATCH(RegimeExecucao,{"Unitário","Global"},0),IF($A265="S",ROUND($H265,ORÇAMENTO!$AF$10),""),ROUND($I265,ORÇAMENTO!$AF$11)),"")</f>
        <v/>
      </c>
      <c r="Y265" s="433">
        <f t="shared" ca="1" si="44"/>
        <v>0</v>
      </c>
      <c r="Z265" s="434"/>
      <c r="AB265" s="431"/>
      <c r="AC265" s="599"/>
      <c r="AD265" s="599"/>
      <c r="AE265" s="599"/>
      <c r="AF265" s="599"/>
      <c r="AG265" s="599"/>
      <c r="AH265" s="599"/>
      <c r="AI265" s="599"/>
      <c r="AJ265" s="599"/>
      <c r="AK265" s="599"/>
      <c r="AL265" s="599"/>
      <c r="AM265" s="432"/>
      <c r="AO265">
        <f ca="1">IF($A265="S",IF(BM!$I265=0,0,CHOOSE(MATCH(RegimeExecucao,{"Global","Unitário"},0),ROUND(ROUND(BM.MEDAcumulado,15-13*BM!$A$9)/100*BM!$I265,15-13*ORÇAMENTO!$AF$11),ROUND(ROUND(BM.MEDAcumulado,15-13*BM!$A$9)*ROUND(BM!$H265,15-13*ORÇAMENTO!$AF$10),15-13*ORÇAMENTO!$AF$11))),IF($A265=0,0,ROUND(SomaAgrupBM,15-13*ORÇAMENTO!$AF$11)))</f>
        <v>0</v>
      </c>
    </row>
    <row r="266" spans="1:41" ht="13.8" x14ac:dyDescent="0.3">
      <c r="A266" t="str">
        <f ca="1">ORÇAMENTO!C266</f>
        <v>S</v>
      </c>
      <c r="B266">
        <f ca="1">ORÇAMENTO!D266</f>
        <v>0</v>
      </c>
      <c r="C266" s="143" t="str">
        <f t="shared" ca="1" si="34"/>
        <v/>
      </c>
      <c r="D266" s="146" t="str">
        <f ca="1">ORÇAMENTO!O266</f>
        <v>-</v>
      </c>
      <c r="E266" s="206" t="str">
        <f t="shared" ca="1" si="35"/>
        <v>(abra o arquivo 'Referência 05-2024.xls)</v>
      </c>
      <c r="F266" s="207" t="str">
        <f t="shared" ca="1" si="36"/>
        <v>-</v>
      </c>
      <c r="G266" s="151">
        <f ca="1">IF(RegimeExecucao="Global","",ORÇAMENTO!T266)</f>
        <v>391.29</v>
      </c>
      <c r="H266" s="151">
        <f ca="1">IF(RegimeExecucao="Global","",ORÇAMENTO!W266)</f>
        <v>0</v>
      </c>
      <c r="I266" s="154">
        <f ca="1">ORÇAMENTO!X266</f>
        <v>0</v>
      </c>
      <c r="J266" s="427">
        <f t="shared" ca="1" si="37"/>
        <v>0</v>
      </c>
      <c r="K266" s="151">
        <f t="shared" ca="1" si="38"/>
        <v>0</v>
      </c>
      <c r="L266" s="428">
        <f t="shared" ca="1" si="39"/>
        <v>0</v>
      </c>
      <c r="M266" s="429">
        <f ca="1">IF($A266="S",VTOTALBM,IF($A266=0,0,ROUND(SomaAgrupBM,15-13*ORÇAMENTO!$AF$11)))</f>
        <v>0</v>
      </c>
      <c r="N266" s="430">
        <f t="shared" ca="1" si="40"/>
        <v>0</v>
      </c>
      <c r="O266" s="154">
        <f ca="1">IF($A266="S",VTOTALBM,IF($A266=0,0,ROUND(SomaAgrupBM,15-13*ORÇAMENTO!$AF$11)))</f>
        <v>0</v>
      </c>
      <c r="Q266" s="431"/>
      <c r="R266" s="432"/>
      <c r="T266" s="146" t="str">
        <f t="shared" ca="1" si="41"/>
        <v/>
      </c>
      <c r="U266" s="206" t="str">
        <f t="shared" ca="1" si="42"/>
        <v/>
      </c>
      <c r="V266" s="207" t="str">
        <f t="shared" ca="1" si="43"/>
        <v/>
      </c>
      <c r="W266" s="634">
        <f ca="1">IF($Y266&gt;0,CHOOSE(MATCH(RegimeExecucao,{"Unitário","Global"},0),IF($A266="S",$Y266/$X266,""),($Y266/$X266)*100),0)</f>
        <v>0</v>
      </c>
      <c r="X266" s="433" t="str">
        <f ca="1">IF($Y266&gt;0,CHOOSE(MATCH(RegimeExecucao,{"Unitário","Global"},0),IF($A266="S",ROUND($H266,ORÇAMENTO!$AF$10),""),ROUND($I266,ORÇAMENTO!$AF$11)),"")</f>
        <v/>
      </c>
      <c r="Y266" s="433">
        <f t="shared" ca="1" si="44"/>
        <v>0</v>
      </c>
      <c r="Z266" s="434"/>
      <c r="AB266" s="431"/>
      <c r="AC266" s="599"/>
      <c r="AD266" s="599"/>
      <c r="AE266" s="599"/>
      <c r="AF266" s="599"/>
      <c r="AG266" s="599"/>
      <c r="AH266" s="599"/>
      <c r="AI266" s="599"/>
      <c r="AJ266" s="599"/>
      <c r="AK266" s="599"/>
      <c r="AL266" s="599"/>
      <c r="AM266" s="432"/>
      <c r="AO266">
        <f ca="1">IF($A266="S",IF(BM!$I266=0,0,CHOOSE(MATCH(RegimeExecucao,{"Global","Unitário"},0),ROUND(ROUND(BM.MEDAcumulado,15-13*BM!$A$9)/100*BM!$I266,15-13*ORÇAMENTO!$AF$11),ROUND(ROUND(BM.MEDAcumulado,15-13*BM!$A$9)*ROUND(BM!$H266,15-13*ORÇAMENTO!$AF$10),15-13*ORÇAMENTO!$AF$11))),IF($A266=0,0,ROUND(SomaAgrupBM,15-13*ORÇAMENTO!$AF$11)))</f>
        <v>0</v>
      </c>
    </row>
    <row r="267" spans="1:41" ht="13.8" x14ac:dyDescent="0.3">
      <c r="A267" t="str">
        <f ca="1">ORÇAMENTO!C267</f>
        <v>S</v>
      </c>
      <c r="B267">
        <f ca="1">ORÇAMENTO!D267</f>
        <v>0</v>
      </c>
      <c r="C267" s="143" t="str">
        <f t="shared" ca="1" si="34"/>
        <v/>
      </c>
      <c r="D267" s="146" t="str">
        <f ca="1">ORÇAMENTO!O267</f>
        <v>-</v>
      </c>
      <c r="E267" s="206" t="str">
        <f t="shared" ca="1" si="35"/>
        <v>(abra o arquivo 'Referência 05-2024.xls)</v>
      </c>
      <c r="F267" s="207" t="str">
        <f t="shared" ca="1" si="36"/>
        <v>-</v>
      </c>
      <c r="G267" s="151">
        <f ca="1">IF(RegimeExecucao="Global","",ORÇAMENTO!T267)</f>
        <v>12.89</v>
      </c>
      <c r="H267" s="151">
        <f ca="1">IF(RegimeExecucao="Global","",ORÇAMENTO!W267)</f>
        <v>0</v>
      </c>
      <c r="I267" s="154">
        <f ca="1">ORÇAMENTO!X267</f>
        <v>0</v>
      </c>
      <c r="J267" s="427">
        <f t="shared" ca="1" si="37"/>
        <v>0</v>
      </c>
      <c r="K267" s="151">
        <f t="shared" ca="1" si="38"/>
        <v>0</v>
      </c>
      <c r="L267" s="428">
        <f t="shared" ca="1" si="39"/>
        <v>0</v>
      </c>
      <c r="M267" s="429">
        <f ca="1">IF($A267="S",VTOTALBM,IF($A267=0,0,ROUND(SomaAgrupBM,15-13*ORÇAMENTO!$AF$11)))</f>
        <v>0</v>
      </c>
      <c r="N267" s="430">
        <f t="shared" ca="1" si="40"/>
        <v>0</v>
      </c>
      <c r="O267" s="154">
        <f ca="1">IF($A267="S",VTOTALBM,IF($A267=0,0,ROUND(SomaAgrupBM,15-13*ORÇAMENTO!$AF$11)))</f>
        <v>0</v>
      </c>
      <c r="Q267" s="431"/>
      <c r="R267" s="432"/>
      <c r="T267" s="146" t="str">
        <f t="shared" ca="1" si="41"/>
        <v/>
      </c>
      <c r="U267" s="206" t="str">
        <f t="shared" ca="1" si="42"/>
        <v/>
      </c>
      <c r="V267" s="207" t="str">
        <f t="shared" ca="1" si="43"/>
        <v/>
      </c>
      <c r="W267" s="634">
        <f ca="1">IF($Y267&gt;0,CHOOSE(MATCH(RegimeExecucao,{"Unitário","Global"},0),IF($A267="S",$Y267/$X267,""),($Y267/$X267)*100),0)</f>
        <v>0</v>
      </c>
      <c r="X267" s="433" t="str">
        <f ca="1">IF($Y267&gt;0,CHOOSE(MATCH(RegimeExecucao,{"Unitário","Global"},0),IF($A267="S",ROUND($H267,ORÇAMENTO!$AF$10),""),ROUND($I267,ORÇAMENTO!$AF$11)),"")</f>
        <v/>
      </c>
      <c r="Y267" s="433">
        <f t="shared" ca="1" si="44"/>
        <v>0</v>
      </c>
      <c r="Z267" s="434"/>
      <c r="AB267" s="431"/>
      <c r="AC267" s="599"/>
      <c r="AD267" s="599"/>
      <c r="AE267" s="599"/>
      <c r="AF267" s="599"/>
      <c r="AG267" s="599"/>
      <c r="AH267" s="599"/>
      <c r="AI267" s="599"/>
      <c r="AJ267" s="599"/>
      <c r="AK267" s="599"/>
      <c r="AL267" s="599"/>
      <c r="AM267" s="432"/>
      <c r="AO267">
        <f ca="1">IF($A267="S",IF(BM!$I267=0,0,CHOOSE(MATCH(RegimeExecucao,{"Global","Unitário"},0),ROUND(ROUND(BM.MEDAcumulado,15-13*BM!$A$9)/100*BM!$I267,15-13*ORÇAMENTO!$AF$11),ROUND(ROUND(BM.MEDAcumulado,15-13*BM!$A$9)*ROUND(BM!$H267,15-13*ORÇAMENTO!$AF$10),15-13*ORÇAMENTO!$AF$11))),IF($A267=0,0,ROUND(SomaAgrupBM,15-13*ORÇAMENTO!$AF$11)))</f>
        <v>0</v>
      </c>
    </row>
    <row r="268" spans="1:41" ht="13.8" x14ac:dyDescent="0.3">
      <c r="A268" t="str">
        <f ca="1">ORÇAMENTO!C268</f>
        <v>S</v>
      </c>
      <c r="B268">
        <f ca="1">ORÇAMENTO!D268</f>
        <v>0</v>
      </c>
      <c r="C268" s="143" t="str">
        <f t="shared" ca="1" si="34"/>
        <v/>
      </c>
      <c r="D268" s="146" t="str">
        <f ca="1">ORÇAMENTO!O268</f>
        <v>-</v>
      </c>
      <c r="E268" s="206" t="str">
        <f t="shared" ca="1" si="35"/>
        <v>(abra o arquivo 'Referência 05-2024.xls)</v>
      </c>
      <c r="F268" s="207" t="str">
        <f t="shared" ca="1" si="36"/>
        <v>-</v>
      </c>
      <c r="G268" s="151">
        <f ca="1">IF(RegimeExecucao="Global","",ORÇAMENTO!T268)</f>
        <v>48.6</v>
      </c>
      <c r="H268" s="151">
        <f ca="1">IF(RegimeExecucao="Global","",ORÇAMENTO!W268)</f>
        <v>0</v>
      </c>
      <c r="I268" s="154">
        <f ca="1">ORÇAMENTO!X268</f>
        <v>0</v>
      </c>
      <c r="J268" s="427">
        <f t="shared" ca="1" si="37"/>
        <v>0</v>
      </c>
      <c r="K268" s="151">
        <f t="shared" ca="1" si="38"/>
        <v>0</v>
      </c>
      <c r="L268" s="428">
        <f t="shared" ca="1" si="39"/>
        <v>0</v>
      </c>
      <c r="M268" s="429">
        <f ca="1">IF($A268="S",VTOTALBM,IF($A268=0,0,ROUND(SomaAgrupBM,15-13*ORÇAMENTO!$AF$11)))</f>
        <v>0</v>
      </c>
      <c r="N268" s="430">
        <f t="shared" ca="1" si="40"/>
        <v>0</v>
      </c>
      <c r="O268" s="154">
        <f ca="1">IF($A268="S",VTOTALBM,IF($A268=0,0,ROUND(SomaAgrupBM,15-13*ORÇAMENTO!$AF$11)))</f>
        <v>0</v>
      </c>
      <c r="Q268" s="431"/>
      <c r="R268" s="432"/>
      <c r="T268" s="146" t="str">
        <f t="shared" ca="1" si="41"/>
        <v/>
      </c>
      <c r="U268" s="206" t="str">
        <f t="shared" ca="1" si="42"/>
        <v/>
      </c>
      <c r="V268" s="207" t="str">
        <f t="shared" ca="1" si="43"/>
        <v/>
      </c>
      <c r="W268" s="634">
        <f ca="1">IF($Y268&gt;0,CHOOSE(MATCH(RegimeExecucao,{"Unitário","Global"},0),IF($A268="S",$Y268/$X268,""),($Y268/$X268)*100),0)</f>
        <v>0</v>
      </c>
      <c r="X268" s="433" t="str">
        <f ca="1">IF($Y268&gt;0,CHOOSE(MATCH(RegimeExecucao,{"Unitário","Global"},0),IF($A268="S",ROUND($H268,ORÇAMENTO!$AF$10),""),ROUND($I268,ORÇAMENTO!$AF$11)),"")</f>
        <v/>
      </c>
      <c r="Y268" s="433">
        <f t="shared" ca="1" si="44"/>
        <v>0</v>
      </c>
      <c r="Z268" s="434"/>
      <c r="AB268" s="431"/>
      <c r="AC268" s="599"/>
      <c r="AD268" s="599"/>
      <c r="AE268" s="599"/>
      <c r="AF268" s="599"/>
      <c r="AG268" s="599"/>
      <c r="AH268" s="599"/>
      <c r="AI268" s="599"/>
      <c r="AJ268" s="599"/>
      <c r="AK268" s="599"/>
      <c r="AL268" s="599"/>
      <c r="AM268" s="432"/>
      <c r="AO268">
        <f ca="1">IF($A268="S",IF(BM!$I268=0,0,CHOOSE(MATCH(RegimeExecucao,{"Global","Unitário"},0),ROUND(ROUND(BM.MEDAcumulado,15-13*BM!$A$9)/100*BM!$I268,15-13*ORÇAMENTO!$AF$11),ROUND(ROUND(BM.MEDAcumulado,15-13*BM!$A$9)*ROUND(BM!$H268,15-13*ORÇAMENTO!$AF$10),15-13*ORÇAMENTO!$AF$11))),IF($A268=0,0,ROUND(SomaAgrupBM,15-13*ORÇAMENTO!$AF$11)))</f>
        <v>0</v>
      </c>
    </row>
    <row r="269" spans="1:41" ht="13.8" x14ac:dyDescent="0.3">
      <c r="A269">
        <f ca="1">ORÇAMENTO!C269</f>
        <v>3</v>
      </c>
      <c r="B269">
        <f ca="1">ORÇAMENTO!D269</f>
        <v>13</v>
      </c>
      <c r="C269" s="143" t="str">
        <f t="shared" ca="1" si="34"/>
        <v>F</v>
      </c>
      <c r="D269" s="146" t="str">
        <f ca="1">ORÇAMENTO!O269</f>
        <v>1.10.2.</v>
      </c>
      <c r="E269" s="206" t="str">
        <f t="shared" si="35"/>
        <v>PAVIMENTAÇÃO EXTERNA</v>
      </c>
      <c r="F269" s="207" t="str">
        <f t="shared" ca="1" si="36"/>
        <v>-</v>
      </c>
      <c r="G269" s="151">
        <f ca="1">IF(RegimeExecucao="Global","",ORÇAMENTO!T269)</f>
        <v>0</v>
      </c>
      <c r="H269" s="151">
        <f ca="1">IF(RegimeExecucao="Global","",ORÇAMENTO!W269)</f>
        <v>0</v>
      </c>
      <c r="I269" s="154">
        <f ca="1">ORÇAMENTO!X269</f>
        <v>0</v>
      </c>
      <c r="J269" s="427">
        <f t="shared" ca="1" si="37"/>
        <v>0</v>
      </c>
      <c r="K269" s="151">
        <f t="shared" ca="1" si="38"/>
        <v>0</v>
      </c>
      <c r="L269" s="428">
        <f t="shared" ca="1" si="39"/>
        <v>0</v>
      </c>
      <c r="M269" s="429">
        <f ca="1">IF($A269="S",VTOTALBM,IF($A269=0,0,ROUND(SomaAgrupBM,15-13*ORÇAMENTO!$AF$11)))</f>
        <v>0</v>
      </c>
      <c r="N269" s="430">
        <f t="shared" ca="1" si="40"/>
        <v>0</v>
      </c>
      <c r="O269" s="154">
        <f ca="1">IF($A269="S",VTOTALBM,IF($A269=0,0,ROUND(SomaAgrupBM,15-13*ORÇAMENTO!$AF$11)))</f>
        <v>0</v>
      </c>
      <c r="Q269" s="431"/>
      <c r="R269" s="432"/>
      <c r="T269" s="146" t="str">
        <f t="shared" ca="1" si="41"/>
        <v/>
      </c>
      <c r="U269" s="206" t="str">
        <f t="shared" ca="1" si="42"/>
        <v/>
      </c>
      <c r="V269" s="207" t="str">
        <f t="shared" ca="1" si="43"/>
        <v/>
      </c>
      <c r="W269" s="634">
        <f ca="1">IF($Y269&gt;0,CHOOSE(MATCH(RegimeExecucao,{"Unitário","Global"},0),IF($A269="S",$Y269/$X269,""),($Y269/$X269)*100),0)</f>
        <v>0</v>
      </c>
      <c r="X269" s="433" t="str">
        <f ca="1">IF($Y269&gt;0,CHOOSE(MATCH(RegimeExecucao,{"Unitário","Global"},0),IF($A269="S",ROUND($H269,ORÇAMENTO!$AF$10),""),ROUND($I269,ORÇAMENTO!$AF$11)),"")</f>
        <v/>
      </c>
      <c r="Y269" s="433">
        <f t="shared" ca="1" si="44"/>
        <v>0</v>
      </c>
      <c r="Z269" s="434"/>
      <c r="AB269" s="431"/>
      <c r="AC269" s="599"/>
      <c r="AD269" s="599"/>
      <c r="AE269" s="599"/>
      <c r="AF269" s="599"/>
      <c r="AG269" s="599"/>
      <c r="AH269" s="599"/>
      <c r="AI269" s="599"/>
      <c r="AJ269" s="599"/>
      <c r="AK269" s="599"/>
      <c r="AL269" s="599"/>
      <c r="AM269" s="432"/>
      <c r="AO269">
        <f ca="1">IF($A269="S",IF(BM!$I269=0,0,CHOOSE(MATCH(RegimeExecucao,{"Global","Unitário"},0),ROUND(ROUND(BM.MEDAcumulado,15-13*BM!$A$9)/100*BM!$I269,15-13*ORÇAMENTO!$AF$11),ROUND(ROUND(BM.MEDAcumulado,15-13*BM!$A$9)*ROUND(BM!$H269,15-13*ORÇAMENTO!$AF$10),15-13*ORÇAMENTO!$AF$11))),IF($A269=0,0,ROUND(SomaAgrupBM,15-13*ORÇAMENTO!$AF$11)))</f>
        <v>0</v>
      </c>
    </row>
    <row r="270" spans="1:41" ht="13.8" x14ac:dyDescent="0.3">
      <c r="A270" t="str">
        <f ca="1">ORÇAMENTO!C270</f>
        <v>S</v>
      </c>
      <c r="B270">
        <f ca="1">ORÇAMENTO!D270</f>
        <v>0</v>
      </c>
      <c r="C270" s="143" t="str">
        <f t="shared" ca="1" si="34"/>
        <v/>
      </c>
      <c r="D270" s="146" t="str">
        <f ca="1">ORÇAMENTO!O270</f>
        <v>-</v>
      </c>
      <c r="E270" s="206" t="str">
        <f t="shared" ca="1" si="35"/>
        <v>(abra o arquivo 'Referência 05-2024.xls)</v>
      </c>
      <c r="F270" s="207" t="str">
        <f t="shared" ca="1" si="36"/>
        <v>-</v>
      </c>
      <c r="G270" s="151">
        <f ca="1">IF(RegimeExecucao="Global","",ORÇAMENTO!T270)</f>
        <v>57.24</v>
      </c>
      <c r="H270" s="151">
        <f ca="1">IF(RegimeExecucao="Global","",ORÇAMENTO!W270)</f>
        <v>0</v>
      </c>
      <c r="I270" s="154">
        <f ca="1">ORÇAMENTO!X270</f>
        <v>0</v>
      </c>
      <c r="J270" s="427">
        <f t="shared" ca="1" si="37"/>
        <v>0</v>
      </c>
      <c r="K270" s="151">
        <f t="shared" ca="1" si="38"/>
        <v>0</v>
      </c>
      <c r="L270" s="428">
        <f t="shared" ca="1" si="39"/>
        <v>0</v>
      </c>
      <c r="M270" s="429">
        <f ca="1">IF($A270="S",VTOTALBM,IF($A270=0,0,ROUND(SomaAgrupBM,15-13*ORÇAMENTO!$AF$11)))</f>
        <v>0</v>
      </c>
      <c r="N270" s="430">
        <f t="shared" ca="1" si="40"/>
        <v>0</v>
      </c>
      <c r="O270" s="154">
        <f ca="1">IF($A270="S",VTOTALBM,IF($A270=0,0,ROUND(SomaAgrupBM,15-13*ORÇAMENTO!$AF$11)))</f>
        <v>0</v>
      </c>
      <c r="Q270" s="431"/>
      <c r="R270" s="432"/>
      <c r="T270" s="146" t="str">
        <f t="shared" ca="1" si="41"/>
        <v/>
      </c>
      <c r="U270" s="206" t="str">
        <f t="shared" ca="1" si="42"/>
        <v/>
      </c>
      <c r="V270" s="207" t="str">
        <f t="shared" ca="1" si="43"/>
        <v/>
      </c>
      <c r="W270" s="634">
        <f ca="1">IF($Y270&gt;0,CHOOSE(MATCH(RegimeExecucao,{"Unitário","Global"},0),IF($A270="S",$Y270/$X270,""),($Y270/$X270)*100),0)</f>
        <v>0</v>
      </c>
      <c r="X270" s="433" t="str">
        <f ca="1">IF($Y270&gt;0,CHOOSE(MATCH(RegimeExecucao,{"Unitário","Global"},0),IF($A270="S",ROUND($H270,ORÇAMENTO!$AF$10),""),ROUND($I270,ORÇAMENTO!$AF$11)),"")</f>
        <v/>
      </c>
      <c r="Y270" s="433">
        <f t="shared" ca="1" si="44"/>
        <v>0</v>
      </c>
      <c r="Z270" s="434"/>
      <c r="AB270" s="431"/>
      <c r="AC270" s="599"/>
      <c r="AD270" s="599"/>
      <c r="AE270" s="599"/>
      <c r="AF270" s="599"/>
      <c r="AG270" s="599"/>
      <c r="AH270" s="599"/>
      <c r="AI270" s="599"/>
      <c r="AJ270" s="599"/>
      <c r="AK270" s="599"/>
      <c r="AL270" s="599"/>
      <c r="AM270" s="432"/>
      <c r="AO270">
        <f ca="1">IF($A270="S",IF(BM!$I270=0,0,CHOOSE(MATCH(RegimeExecucao,{"Global","Unitário"},0),ROUND(ROUND(BM.MEDAcumulado,15-13*BM!$A$9)/100*BM!$I270,15-13*ORÇAMENTO!$AF$11),ROUND(ROUND(BM.MEDAcumulado,15-13*BM!$A$9)*ROUND(BM!$H270,15-13*ORÇAMENTO!$AF$10),15-13*ORÇAMENTO!$AF$11))),IF($A270=0,0,ROUND(SomaAgrupBM,15-13*ORÇAMENTO!$AF$11)))</f>
        <v>0</v>
      </c>
    </row>
    <row r="271" spans="1:41" ht="13.8" x14ac:dyDescent="0.3">
      <c r="A271" t="str">
        <f ca="1">ORÇAMENTO!C271</f>
        <v>S</v>
      </c>
      <c r="B271">
        <f ca="1">ORÇAMENTO!D271</f>
        <v>0</v>
      </c>
      <c r="C271" s="143" t="str">
        <f t="shared" ref="C271:C330" ca="1" si="45">IF(OR($I271&gt;0,$A271=1,$A271=2,$A271=3,$A271=4),"F","")</f>
        <v/>
      </c>
      <c r="D271" s="146" t="str">
        <f ca="1">ORÇAMENTO!O271</f>
        <v>-</v>
      </c>
      <c r="E271" s="206" t="str">
        <f t="shared" ref="E271:E330" ca="1" si="46">ORÇAMENTO.Descricao</f>
        <v>(abra o arquivo 'Referência 05-2024.xls)</v>
      </c>
      <c r="F271" s="207" t="str">
        <f t="shared" ref="F271:F330" ca="1" si="47">IF(RegimeExecucao="Global","",ORÇAMENTO.Unidade)</f>
        <v>-</v>
      </c>
      <c r="G271" s="151">
        <f ca="1">IF(RegimeExecucao="Global","",ORÇAMENTO!T271)</f>
        <v>156.84</v>
      </c>
      <c r="H271" s="151">
        <f ca="1">IF(RegimeExecucao="Global","",ORÇAMENTO!W271)</f>
        <v>0</v>
      </c>
      <c r="I271" s="154">
        <f ca="1">ORÇAMENTO!X271</f>
        <v>0</v>
      </c>
      <c r="J271" s="427">
        <f t="shared" ref="J271:J330" ca="1" si="48">IF($A271="S",IF(CAIXA.Modo,BM.AFAnterior,BM.MEDAnterior),IF(AND(RegimeExecucao="Global",$I271&gt;0,COUNTIF($AB$13:$AM$13,BM.medicao-1)&gt;0),M271/$I271*100,0))</f>
        <v>0</v>
      </c>
      <c r="K271" s="151">
        <f t="shared" ref="K271:K330" ca="1" si="49">L271-J271</f>
        <v>0</v>
      </c>
      <c r="L271" s="428">
        <f t="shared" ref="L271:L330" ca="1" si="50">IF($A271="S",IF(CAIXA.Modo,BM.AFAcumulado,BM.MEDAcumulado),IF(AND(RegimeExecucao="Global",$I271&gt;0,COUNTIF($AB$13:$AM$13,BM.medicao)&gt;0),O271/$I271*100,0))</f>
        <v>0</v>
      </c>
      <c r="M271" s="429">
        <f ca="1">IF($A271="S",VTOTALBM,IF($A271=0,0,ROUND(SomaAgrupBM,15-13*ORÇAMENTO!$AF$11)))</f>
        <v>0</v>
      </c>
      <c r="N271" s="430">
        <f t="shared" ref="N271:N330" ca="1" si="51">O271-M271</f>
        <v>0</v>
      </c>
      <c r="O271" s="154">
        <f ca="1">IF($A271="S",VTOTALBM,IF($A271=0,0,ROUND(SomaAgrupBM,15-13*ORÇAMENTO!$AF$11)))</f>
        <v>0</v>
      </c>
      <c r="Q271" s="431"/>
      <c r="R271" s="432"/>
      <c r="T271" s="146" t="str">
        <f t="shared" ref="T271:T330" ca="1" si="52">IF($W271&gt;0,$D271,"")</f>
        <v/>
      </c>
      <c r="U271" s="206" t="str">
        <f t="shared" ref="U271:U330" ca="1" si="53">IF($W271&gt;0,$E271,"")</f>
        <v/>
      </c>
      <c r="V271" s="207" t="str">
        <f t="shared" ref="V271:V330" ca="1" si="54">IF(AND($W271&gt;0,RegimeExecucao="Unitário"),$F271,"")</f>
        <v/>
      </c>
      <c r="W271" s="634">
        <f ca="1">IF($Y271&gt;0,CHOOSE(MATCH(RegimeExecucao,{"Unitário","Global"},0),IF($A271="S",$Y271/$X271,""),($Y271/$X271)*100),0)</f>
        <v>0</v>
      </c>
      <c r="X271" s="433" t="str">
        <f ca="1">IF($Y271&gt;0,CHOOSE(MATCH(RegimeExecucao,{"Unitário","Global"},0),IF($A271="S",ROUND($H271,ORÇAMENTO!$AF$10),""),ROUND($I271,ORÇAMENTO!$AF$11)),"")</f>
        <v/>
      </c>
      <c r="Y271" s="433">
        <f t="shared" ref="Y271:Y330" ca="1" si="55">AO271-O271</f>
        <v>0</v>
      </c>
      <c r="Z271" s="434"/>
      <c r="AB271" s="431"/>
      <c r="AC271" s="599"/>
      <c r="AD271" s="599"/>
      <c r="AE271" s="599"/>
      <c r="AF271" s="599"/>
      <c r="AG271" s="599"/>
      <c r="AH271" s="599"/>
      <c r="AI271" s="599"/>
      <c r="AJ271" s="599"/>
      <c r="AK271" s="599"/>
      <c r="AL271" s="599"/>
      <c r="AM271" s="432"/>
      <c r="AO271">
        <f ca="1">IF($A271="S",IF(BM!$I271=0,0,CHOOSE(MATCH(RegimeExecucao,{"Global","Unitário"},0),ROUND(ROUND(BM.MEDAcumulado,15-13*BM!$A$9)/100*BM!$I271,15-13*ORÇAMENTO!$AF$11),ROUND(ROUND(BM.MEDAcumulado,15-13*BM!$A$9)*ROUND(BM!$H271,15-13*ORÇAMENTO!$AF$10),15-13*ORÇAMENTO!$AF$11))),IF($A271=0,0,ROUND(SomaAgrupBM,15-13*ORÇAMENTO!$AF$11)))</f>
        <v>0</v>
      </c>
    </row>
    <row r="272" spans="1:41" ht="13.8" x14ac:dyDescent="0.3">
      <c r="A272" t="str">
        <f ca="1">ORÇAMENTO!C272</f>
        <v>S</v>
      </c>
      <c r="B272">
        <f ca="1">ORÇAMENTO!D272</f>
        <v>0</v>
      </c>
      <c r="C272" s="143" t="str">
        <f t="shared" ca="1" si="45"/>
        <v/>
      </c>
      <c r="D272" s="146" t="str">
        <f ca="1">ORÇAMENTO!O272</f>
        <v>-</v>
      </c>
      <c r="E272" s="206" t="str">
        <f t="shared" ca="1" si="46"/>
        <v>(abra o arquivo 'Referência 05-2024.xls)</v>
      </c>
      <c r="F272" s="207" t="str">
        <f t="shared" ca="1" si="47"/>
        <v>-</v>
      </c>
      <c r="G272" s="151">
        <f ca="1">IF(RegimeExecucao="Global","",ORÇAMENTO!T272)</f>
        <v>157.84</v>
      </c>
      <c r="H272" s="151">
        <f ca="1">IF(RegimeExecucao="Global","",ORÇAMENTO!W272)</f>
        <v>0</v>
      </c>
      <c r="I272" s="154">
        <f ca="1">ORÇAMENTO!X272</f>
        <v>0</v>
      </c>
      <c r="J272" s="427">
        <f t="shared" ca="1" si="48"/>
        <v>0</v>
      </c>
      <c r="K272" s="151">
        <f t="shared" ca="1" si="49"/>
        <v>0</v>
      </c>
      <c r="L272" s="428">
        <f t="shared" ca="1" si="50"/>
        <v>0</v>
      </c>
      <c r="M272" s="429">
        <f ca="1">IF($A272="S",VTOTALBM,IF($A272=0,0,ROUND(SomaAgrupBM,15-13*ORÇAMENTO!$AF$11)))</f>
        <v>0</v>
      </c>
      <c r="N272" s="430">
        <f t="shared" ca="1" si="51"/>
        <v>0</v>
      </c>
      <c r="O272" s="154">
        <f ca="1">IF($A272="S",VTOTALBM,IF($A272=0,0,ROUND(SomaAgrupBM,15-13*ORÇAMENTO!$AF$11)))</f>
        <v>0</v>
      </c>
      <c r="Q272" s="431"/>
      <c r="R272" s="432"/>
      <c r="T272" s="146" t="str">
        <f t="shared" ca="1" si="52"/>
        <v/>
      </c>
      <c r="U272" s="206" t="str">
        <f t="shared" ca="1" si="53"/>
        <v/>
      </c>
      <c r="V272" s="207" t="str">
        <f t="shared" ca="1" si="54"/>
        <v/>
      </c>
      <c r="W272" s="634">
        <f ca="1">IF($Y272&gt;0,CHOOSE(MATCH(RegimeExecucao,{"Unitário","Global"},0),IF($A272="S",$Y272/$X272,""),($Y272/$X272)*100),0)</f>
        <v>0</v>
      </c>
      <c r="X272" s="433" t="str">
        <f ca="1">IF($Y272&gt;0,CHOOSE(MATCH(RegimeExecucao,{"Unitário","Global"},0),IF($A272="S",ROUND($H272,ORÇAMENTO!$AF$10),""),ROUND($I272,ORÇAMENTO!$AF$11)),"")</f>
        <v/>
      </c>
      <c r="Y272" s="433">
        <f t="shared" ca="1" si="55"/>
        <v>0</v>
      </c>
      <c r="Z272" s="434"/>
      <c r="AB272" s="431"/>
      <c r="AC272" s="599"/>
      <c r="AD272" s="599"/>
      <c r="AE272" s="599"/>
      <c r="AF272" s="599"/>
      <c r="AG272" s="599"/>
      <c r="AH272" s="599"/>
      <c r="AI272" s="599"/>
      <c r="AJ272" s="599"/>
      <c r="AK272" s="599"/>
      <c r="AL272" s="599"/>
      <c r="AM272" s="432"/>
      <c r="AO272">
        <f ca="1">IF($A272="S",IF(BM!$I272=0,0,CHOOSE(MATCH(RegimeExecucao,{"Global","Unitário"},0),ROUND(ROUND(BM.MEDAcumulado,15-13*BM!$A$9)/100*BM!$I272,15-13*ORÇAMENTO!$AF$11),ROUND(ROUND(BM.MEDAcumulado,15-13*BM!$A$9)*ROUND(BM!$H272,15-13*ORÇAMENTO!$AF$10),15-13*ORÇAMENTO!$AF$11))),IF($A272=0,0,ROUND(SomaAgrupBM,15-13*ORÇAMENTO!$AF$11)))</f>
        <v>0</v>
      </c>
    </row>
    <row r="273" spans="1:41" ht="13.8" x14ac:dyDescent="0.3">
      <c r="A273" t="str">
        <f ca="1">ORÇAMENTO!C273</f>
        <v>S</v>
      </c>
      <c r="B273">
        <f ca="1">ORÇAMENTO!D273</f>
        <v>0</v>
      </c>
      <c r="C273" s="143" t="str">
        <f t="shared" ca="1" si="45"/>
        <v/>
      </c>
      <c r="D273" s="146" t="str">
        <f ca="1">ORÇAMENTO!O273</f>
        <v>-</v>
      </c>
      <c r="E273" s="206" t="str">
        <f t="shared" ca="1" si="46"/>
        <v>(abra o arquivo 'Referência 05-2024.xls)</v>
      </c>
      <c r="F273" s="207" t="str">
        <f t="shared" ca="1" si="47"/>
        <v>-</v>
      </c>
      <c r="G273" s="151">
        <f ca="1">IF(RegimeExecucao="Global","",ORÇAMENTO!T273)</f>
        <v>416</v>
      </c>
      <c r="H273" s="151">
        <f ca="1">IF(RegimeExecucao="Global","",ORÇAMENTO!W273)</f>
        <v>0</v>
      </c>
      <c r="I273" s="154">
        <f ca="1">ORÇAMENTO!X273</f>
        <v>0</v>
      </c>
      <c r="J273" s="427">
        <f t="shared" ca="1" si="48"/>
        <v>0</v>
      </c>
      <c r="K273" s="151">
        <f t="shared" ca="1" si="49"/>
        <v>0</v>
      </c>
      <c r="L273" s="428">
        <f t="shared" ca="1" si="50"/>
        <v>0</v>
      </c>
      <c r="M273" s="429">
        <f ca="1">IF($A273="S",VTOTALBM,IF($A273=0,0,ROUND(SomaAgrupBM,15-13*ORÇAMENTO!$AF$11)))</f>
        <v>0</v>
      </c>
      <c r="N273" s="430">
        <f t="shared" ca="1" si="51"/>
        <v>0</v>
      </c>
      <c r="O273" s="154">
        <f ca="1">IF($A273="S",VTOTALBM,IF($A273=0,0,ROUND(SomaAgrupBM,15-13*ORÇAMENTO!$AF$11)))</f>
        <v>0</v>
      </c>
      <c r="Q273" s="431"/>
      <c r="R273" s="432"/>
      <c r="T273" s="146" t="str">
        <f t="shared" ca="1" si="52"/>
        <v/>
      </c>
      <c r="U273" s="206" t="str">
        <f t="shared" ca="1" si="53"/>
        <v/>
      </c>
      <c r="V273" s="207" t="str">
        <f t="shared" ca="1" si="54"/>
        <v/>
      </c>
      <c r="W273" s="634">
        <f ca="1">IF($Y273&gt;0,CHOOSE(MATCH(RegimeExecucao,{"Unitário","Global"},0),IF($A273="S",$Y273/$X273,""),($Y273/$X273)*100),0)</f>
        <v>0</v>
      </c>
      <c r="X273" s="433" t="str">
        <f ca="1">IF($Y273&gt;0,CHOOSE(MATCH(RegimeExecucao,{"Unitário","Global"},0),IF($A273="S",ROUND($H273,ORÇAMENTO!$AF$10),""),ROUND($I273,ORÇAMENTO!$AF$11)),"")</f>
        <v/>
      </c>
      <c r="Y273" s="433">
        <f t="shared" ca="1" si="55"/>
        <v>0</v>
      </c>
      <c r="Z273" s="434"/>
      <c r="AB273" s="431"/>
      <c r="AC273" s="599"/>
      <c r="AD273" s="599"/>
      <c r="AE273" s="599"/>
      <c r="AF273" s="599"/>
      <c r="AG273" s="599"/>
      <c r="AH273" s="599"/>
      <c r="AI273" s="599"/>
      <c r="AJ273" s="599"/>
      <c r="AK273" s="599"/>
      <c r="AL273" s="599"/>
      <c r="AM273" s="432"/>
      <c r="AO273">
        <f ca="1">IF($A273="S",IF(BM!$I273=0,0,CHOOSE(MATCH(RegimeExecucao,{"Global","Unitário"},0),ROUND(ROUND(BM.MEDAcumulado,15-13*BM!$A$9)/100*BM!$I273,15-13*ORÇAMENTO!$AF$11),ROUND(ROUND(BM.MEDAcumulado,15-13*BM!$A$9)*ROUND(BM!$H273,15-13*ORÇAMENTO!$AF$10),15-13*ORÇAMENTO!$AF$11))),IF($A273=0,0,ROUND(SomaAgrupBM,15-13*ORÇAMENTO!$AF$11)))</f>
        <v>0</v>
      </c>
    </row>
    <row r="274" spans="1:41" ht="13.8" x14ac:dyDescent="0.3">
      <c r="A274" t="str">
        <f ca="1">ORÇAMENTO!C274</f>
        <v>S</v>
      </c>
      <c r="B274">
        <f ca="1">ORÇAMENTO!D274</f>
        <v>0</v>
      </c>
      <c r="C274" s="143" t="str">
        <f t="shared" ca="1" si="45"/>
        <v/>
      </c>
      <c r="D274" s="146" t="str">
        <f ca="1">ORÇAMENTO!O274</f>
        <v>-</v>
      </c>
      <c r="E274" s="206" t="str">
        <f t="shared" ca="1" si="46"/>
        <v>(abra o arquivo 'Referência 05-2024.xls)</v>
      </c>
      <c r="F274" s="207" t="str">
        <f t="shared" ca="1" si="47"/>
        <v>-</v>
      </c>
      <c r="G274" s="151">
        <f ca="1">IF(RegimeExecucao="Global","",ORÇAMENTO!T274)</f>
        <v>135.94999999999999</v>
      </c>
      <c r="H274" s="151">
        <f ca="1">IF(RegimeExecucao="Global","",ORÇAMENTO!W274)</f>
        <v>0</v>
      </c>
      <c r="I274" s="154">
        <f ca="1">ORÇAMENTO!X274</f>
        <v>0</v>
      </c>
      <c r="J274" s="427">
        <f t="shared" ca="1" si="48"/>
        <v>0</v>
      </c>
      <c r="K274" s="151">
        <f t="shared" ca="1" si="49"/>
        <v>0</v>
      </c>
      <c r="L274" s="428">
        <f t="shared" ca="1" si="50"/>
        <v>0</v>
      </c>
      <c r="M274" s="429">
        <f ca="1">IF($A274="S",VTOTALBM,IF($A274=0,0,ROUND(SomaAgrupBM,15-13*ORÇAMENTO!$AF$11)))</f>
        <v>0</v>
      </c>
      <c r="N274" s="430">
        <f t="shared" ca="1" si="51"/>
        <v>0</v>
      </c>
      <c r="O274" s="154">
        <f ca="1">IF($A274="S",VTOTALBM,IF($A274=0,0,ROUND(SomaAgrupBM,15-13*ORÇAMENTO!$AF$11)))</f>
        <v>0</v>
      </c>
      <c r="Q274" s="431"/>
      <c r="R274" s="432"/>
      <c r="T274" s="146" t="str">
        <f t="shared" ca="1" si="52"/>
        <v/>
      </c>
      <c r="U274" s="206" t="str">
        <f t="shared" ca="1" si="53"/>
        <v/>
      </c>
      <c r="V274" s="207" t="str">
        <f t="shared" ca="1" si="54"/>
        <v/>
      </c>
      <c r="W274" s="634">
        <f ca="1">IF($Y274&gt;0,CHOOSE(MATCH(RegimeExecucao,{"Unitário","Global"},0),IF($A274="S",$Y274/$X274,""),($Y274/$X274)*100),0)</f>
        <v>0</v>
      </c>
      <c r="X274" s="433" t="str">
        <f ca="1">IF($Y274&gt;0,CHOOSE(MATCH(RegimeExecucao,{"Unitário","Global"},0),IF($A274="S",ROUND($H274,ORÇAMENTO!$AF$10),""),ROUND($I274,ORÇAMENTO!$AF$11)),"")</f>
        <v/>
      </c>
      <c r="Y274" s="433">
        <f t="shared" ca="1" si="55"/>
        <v>0</v>
      </c>
      <c r="Z274" s="434"/>
      <c r="AB274" s="431"/>
      <c r="AC274" s="599"/>
      <c r="AD274" s="599"/>
      <c r="AE274" s="599"/>
      <c r="AF274" s="599"/>
      <c r="AG274" s="599"/>
      <c r="AH274" s="599"/>
      <c r="AI274" s="599"/>
      <c r="AJ274" s="599"/>
      <c r="AK274" s="599"/>
      <c r="AL274" s="599"/>
      <c r="AM274" s="432"/>
      <c r="AO274">
        <f ca="1">IF($A274="S",IF(BM!$I274=0,0,CHOOSE(MATCH(RegimeExecucao,{"Global","Unitário"},0),ROUND(ROUND(BM.MEDAcumulado,15-13*BM!$A$9)/100*BM!$I274,15-13*ORÇAMENTO!$AF$11),ROUND(ROUND(BM.MEDAcumulado,15-13*BM!$A$9)*ROUND(BM!$H274,15-13*ORÇAMENTO!$AF$10),15-13*ORÇAMENTO!$AF$11))),IF($A274=0,0,ROUND(SomaAgrupBM,15-13*ORÇAMENTO!$AF$11)))</f>
        <v>0</v>
      </c>
    </row>
    <row r="275" spans="1:41" ht="13.8" x14ac:dyDescent="0.3">
      <c r="A275" t="str">
        <f ca="1">ORÇAMENTO!C275</f>
        <v>S</v>
      </c>
      <c r="B275">
        <f ca="1">ORÇAMENTO!D275</f>
        <v>0</v>
      </c>
      <c r="C275" s="143" t="str">
        <f t="shared" ca="1" si="45"/>
        <v/>
      </c>
      <c r="D275" s="146" t="str">
        <f ca="1">ORÇAMENTO!O275</f>
        <v>-</v>
      </c>
      <c r="E275" s="206" t="str">
        <f t="shared" ca="1" si="46"/>
        <v>(abra o arquivo 'Referência 05-2024.xls)</v>
      </c>
      <c r="F275" s="207" t="str">
        <f t="shared" ca="1" si="47"/>
        <v>-</v>
      </c>
      <c r="G275" s="151">
        <f ca="1">IF(RegimeExecucao="Global","",ORÇAMENTO!T275)</f>
        <v>95.12</v>
      </c>
      <c r="H275" s="151">
        <f ca="1">IF(RegimeExecucao="Global","",ORÇAMENTO!W275)</f>
        <v>0</v>
      </c>
      <c r="I275" s="154">
        <f ca="1">ORÇAMENTO!X275</f>
        <v>0</v>
      </c>
      <c r="J275" s="427">
        <f t="shared" ca="1" si="48"/>
        <v>0</v>
      </c>
      <c r="K275" s="151">
        <f t="shared" ca="1" si="49"/>
        <v>0</v>
      </c>
      <c r="L275" s="428">
        <f t="shared" ca="1" si="50"/>
        <v>0</v>
      </c>
      <c r="M275" s="429">
        <f ca="1">IF($A275="S",VTOTALBM,IF($A275=0,0,ROUND(SomaAgrupBM,15-13*ORÇAMENTO!$AF$11)))</f>
        <v>0</v>
      </c>
      <c r="N275" s="430">
        <f t="shared" ca="1" si="51"/>
        <v>0</v>
      </c>
      <c r="O275" s="154">
        <f ca="1">IF($A275="S",VTOTALBM,IF($A275=0,0,ROUND(SomaAgrupBM,15-13*ORÇAMENTO!$AF$11)))</f>
        <v>0</v>
      </c>
      <c r="Q275" s="431"/>
      <c r="R275" s="432"/>
      <c r="T275" s="146" t="str">
        <f t="shared" ca="1" si="52"/>
        <v/>
      </c>
      <c r="U275" s="206" t="str">
        <f t="shared" ca="1" si="53"/>
        <v/>
      </c>
      <c r="V275" s="207" t="str">
        <f t="shared" ca="1" si="54"/>
        <v/>
      </c>
      <c r="W275" s="634">
        <f ca="1">IF($Y275&gt;0,CHOOSE(MATCH(RegimeExecucao,{"Unitário","Global"},0),IF($A275="S",$Y275/$X275,""),($Y275/$X275)*100),0)</f>
        <v>0</v>
      </c>
      <c r="X275" s="433" t="str">
        <f ca="1">IF($Y275&gt;0,CHOOSE(MATCH(RegimeExecucao,{"Unitário","Global"},0),IF($A275="S",ROUND($H275,ORÇAMENTO!$AF$10),""),ROUND($I275,ORÇAMENTO!$AF$11)),"")</f>
        <v/>
      </c>
      <c r="Y275" s="433">
        <f t="shared" ca="1" si="55"/>
        <v>0</v>
      </c>
      <c r="Z275" s="434"/>
      <c r="AB275" s="431"/>
      <c r="AC275" s="599"/>
      <c r="AD275" s="599"/>
      <c r="AE275" s="599"/>
      <c r="AF275" s="599"/>
      <c r="AG275" s="599"/>
      <c r="AH275" s="599"/>
      <c r="AI275" s="599"/>
      <c r="AJ275" s="599"/>
      <c r="AK275" s="599"/>
      <c r="AL275" s="599"/>
      <c r="AM275" s="432"/>
      <c r="AO275">
        <f ca="1">IF($A275="S",IF(BM!$I275=0,0,CHOOSE(MATCH(RegimeExecucao,{"Global","Unitário"},0),ROUND(ROUND(BM.MEDAcumulado,15-13*BM!$A$9)/100*BM!$I275,15-13*ORÇAMENTO!$AF$11),ROUND(ROUND(BM.MEDAcumulado,15-13*BM!$A$9)*ROUND(BM!$H275,15-13*ORÇAMENTO!$AF$10),15-13*ORÇAMENTO!$AF$11))),IF($A275=0,0,ROUND(SomaAgrupBM,15-13*ORÇAMENTO!$AF$11)))</f>
        <v>0</v>
      </c>
    </row>
    <row r="276" spans="1:41" ht="13.8" x14ac:dyDescent="0.3">
      <c r="A276" t="str">
        <f ca="1">ORÇAMENTO!C276</f>
        <v>S</v>
      </c>
      <c r="B276">
        <f ca="1">ORÇAMENTO!D276</f>
        <v>0</v>
      </c>
      <c r="C276" s="143" t="str">
        <f t="shared" ca="1" si="45"/>
        <v/>
      </c>
      <c r="D276" s="146" t="str">
        <f ca="1">ORÇAMENTO!O276</f>
        <v>-</v>
      </c>
      <c r="E276" s="206" t="str">
        <f t="shared" ca="1" si="46"/>
        <v>(abra o arquivo 'Referência 05-2024.xls)</v>
      </c>
      <c r="F276" s="207" t="str">
        <f t="shared" ca="1" si="47"/>
        <v>-</v>
      </c>
      <c r="G276" s="151">
        <f ca="1">IF(RegimeExecucao="Global","",ORÇAMENTO!T276)</f>
        <v>98.5</v>
      </c>
      <c r="H276" s="151">
        <f ca="1">IF(RegimeExecucao="Global","",ORÇAMENTO!W276)</f>
        <v>0</v>
      </c>
      <c r="I276" s="154">
        <f ca="1">ORÇAMENTO!X276</f>
        <v>0</v>
      </c>
      <c r="J276" s="427">
        <f t="shared" ca="1" si="48"/>
        <v>0</v>
      </c>
      <c r="K276" s="151">
        <f t="shared" ca="1" si="49"/>
        <v>0</v>
      </c>
      <c r="L276" s="428">
        <f t="shared" ca="1" si="50"/>
        <v>0</v>
      </c>
      <c r="M276" s="429">
        <f ca="1">IF($A276="S",VTOTALBM,IF($A276=0,0,ROUND(SomaAgrupBM,15-13*ORÇAMENTO!$AF$11)))</f>
        <v>0</v>
      </c>
      <c r="N276" s="430">
        <f t="shared" ca="1" si="51"/>
        <v>0</v>
      </c>
      <c r="O276" s="154">
        <f ca="1">IF($A276="S",VTOTALBM,IF($A276=0,0,ROUND(SomaAgrupBM,15-13*ORÇAMENTO!$AF$11)))</f>
        <v>0</v>
      </c>
      <c r="Q276" s="431"/>
      <c r="R276" s="432"/>
      <c r="T276" s="146" t="str">
        <f t="shared" ca="1" si="52"/>
        <v/>
      </c>
      <c r="U276" s="206" t="str">
        <f t="shared" ca="1" si="53"/>
        <v/>
      </c>
      <c r="V276" s="207" t="str">
        <f t="shared" ca="1" si="54"/>
        <v/>
      </c>
      <c r="W276" s="634">
        <f ca="1">IF($Y276&gt;0,CHOOSE(MATCH(RegimeExecucao,{"Unitário","Global"},0),IF($A276="S",$Y276/$X276,""),($Y276/$X276)*100),0)</f>
        <v>0</v>
      </c>
      <c r="X276" s="433" t="str">
        <f ca="1">IF($Y276&gt;0,CHOOSE(MATCH(RegimeExecucao,{"Unitário","Global"},0),IF($A276="S",ROUND($H276,ORÇAMENTO!$AF$10),""),ROUND($I276,ORÇAMENTO!$AF$11)),"")</f>
        <v/>
      </c>
      <c r="Y276" s="433">
        <f t="shared" ca="1" si="55"/>
        <v>0</v>
      </c>
      <c r="Z276" s="434"/>
      <c r="AB276" s="431"/>
      <c r="AC276" s="599"/>
      <c r="AD276" s="599"/>
      <c r="AE276" s="599"/>
      <c r="AF276" s="599"/>
      <c r="AG276" s="599"/>
      <c r="AH276" s="599"/>
      <c r="AI276" s="599"/>
      <c r="AJ276" s="599"/>
      <c r="AK276" s="599"/>
      <c r="AL276" s="599"/>
      <c r="AM276" s="432"/>
      <c r="AO276">
        <f ca="1">IF($A276="S",IF(BM!$I276=0,0,CHOOSE(MATCH(RegimeExecucao,{"Global","Unitário"},0),ROUND(ROUND(BM.MEDAcumulado,15-13*BM!$A$9)/100*BM!$I276,15-13*ORÇAMENTO!$AF$11),ROUND(ROUND(BM.MEDAcumulado,15-13*BM!$A$9)*ROUND(BM!$H276,15-13*ORÇAMENTO!$AF$10),15-13*ORÇAMENTO!$AF$11))),IF($A276=0,0,ROUND(SomaAgrupBM,15-13*ORÇAMENTO!$AF$11)))</f>
        <v>0</v>
      </c>
    </row>
    <row r="277" spans="1:41" ht="13.8" x14ac:dyDescent="0.3">
      <c r="A277" t="str">
        <f ca="1">ORÇAMENTO!C277</f>
        <v>S</v>
      </c>
      <c r="B277">
        <f ca="1">ORÇAMENTO!D277</f>
        <v>0</v>
      </c>
      <c r="C277" s="143" t="str">
        <f t="shared" ca="1" si="45"/>
        <v/>
      </c>
      <c r="D277" s="146" t="str">
        <f ca="1">ORÇAMENTO!O277</f>
        <v>-</v>
      </c>
      <c r="E277" s="206" t="str">
        <f t="shared" ca="1" si="46"/>
        <v>(abra o arquivo 'Referência 05-2024.xls)</v>
      </c>
      <c r="F277" s="207" t="str">
        <f t="shared" ca="1" si="47"/>
        <v>-</v>
      </c>
      <c r="G277" s="151">
        <f ca="1">IF(RegimeExecucao="Global","",ORÇAMENTO!T277)</f>
        <v>29.5</v>
      </c>
      <c r="H277" s="151">
        <f ca="1">IF(RegimeExecucao="Global","",ORÇAMENTO!W277)</f>
        <v>0</v>
      </c>
      <c r="I277" s="154">
        <f ca="1">ORÇAMENTO!X277</f>
        <v>0</v>
      </c>
      <c r="J277" s="427">
        <f t="shared" ca="1" si="48"/>
        <v>0</v>
      </c>
      <c r="K277" s="151">
        <f t="shared" ca="1" si="49"/>
        <v>0</v>
      </c>
      <c r="L277" s="428">
        <f t="shared" ca="1" si="50"/>
        <v>0</v>
      </c>
      <c r="M277" s="429">
        <f ca="1">IF($A277="S",VTOTALBM,IF($A277=0,0,ROUND(SomaAgrupBM,15-13*ORÇAMENTO!$AF$11)))</f>
        <v>0</v>
      </c>
      <c r="N277" s="430">
        <f t="shared" ca="1" si="51"/>
        <v>0</v>
      </c>
      <c r="O277" s="154">
        <f ca="1">IF($A277="S",VTOTALBM,IF($A277=0,0,ROUND(SomaAgrupBM,15-13*ORÇAMENTO!$AF$11)))</f>
        <v>0</v>
      </c>
      <c r="Q277" s="431"/>
      <c r="R277" s="432"/>
      <c r="T277" s="146" t="str">
        <f t="shared" ca="1" si="52"/>
        <v/>
      </c>
      <c r="U277" s="206" t="str">
        <f t="shared" ca="1" si="53"/>
        <v/>
      </c>
      <c r="V277" s="207" t="str">
        <f t="shared" ca="1" si="54"/>
        <v/>
      </c>
      <c r="W277" s="634">
        <f ca="1">IF($Y277&gt;0,CHOOSE(MATCH(RegimeExecucao,{"Unitário","Global"},0),IF($A277="S",$Y277/$X277,""),($Y277/$X277)*100),0)</f>
        <v>0</v>
      </c>
      <c r="X277" s="433" t="str">
        <f ca="1">IF($Y277&gt;0,CHOOSE(MATCH(RegimeExecucao,{"Unitário","Global"},0),IF($A277="S",ROUND($H277,ORÇAMENTO!$AF$10),""),ROUND($I277,ORÇAMENTO!$AF$11)),"")</f>
        <v/>
      </c>
      <c r="Y277" s="433">
        <f t="shared" ca="1" si="55"/>
        <v>0</v>
      </c>
      <c r="Z277" s="434"/>
      <c r="AB277" s="431"/>
      <c r="AC277" s="599"/>
      <c r="AD277" s="599"/>
      <c r="AE277" s="599"/>
      <c r="AF277" s="599"/>
      <c r="AG277" s="599"/>
      <c r="AH277" s="599"/>
      <c r="AI277" s="599"/>
      <c r="AJ277" s="599"/>
      <c r="AK277" s="599"/>
      <c r="AL277" s="599"/>
      <c r="AM277" s="432"/>
      <c r="AO277">
        <f ca="1">IF($A277="S",IF(BM!$I277=0,0,CHOOSE(MATCH(RegimeExecucao,{"Global","Unitário"},0),ROUND(ROUND(BM.MEDAcumulado,15-13*BM!$A$9)/100*BM!$I277,15-13*ORÇAMENTO!$AF$11),ROUND(ROUND(BM.MEDAcumulado,15-13*BM!$A$9)*ROUND(BM!$H277,15-13*ORÇAMENTO!$AF$10),15-13*ORÇAMENTO!$AF$11))),IF($A277=0,0,ROUND(SomaAgrupBM,15-13*ORÇAMENTO!$AF$11)))</f>
        <v>0</v>
      </c>
    </row>
    <row r="278" spans="1:41" ht="13.8" x14ac:dyDescent="0.3">
      <c r="A278" t="str">
        <f ca="1">ORÇAMENTO!C278</f>
        <v>S</v>
      </c>
      <c r="B278">
        <f ca="1">ORÇAMENTO!D278</f>
        <v>0</v>
      </c>
      <c r="C278" s="143" t="str">
        <f t="shared" ca="1" si="45"/>
        <v/>
      </c>
      <c r="D278" s="146" t="str">
        <f ca="1">ORÇAMENTO!O278</f>
        <v>-</v>
      </c>
      <c r="E278" s="206" t="str">
        <f t="shared" ca="1" si="46"/>
        <v>(abra o arquivo 'Referência 05-2024.xls)</v>
      </c>
      <c r="F278" s="207" t="str">
        <f t="shared" ca="1" si="47"/>
        <v>-</v>
      </c>
      <c r="G278" s="151">
        <f ca="1">IF(RegimeExecucao="Global","",ORÇAMENTO!T278)</f>
        <v>81</v>
      </c>
      <c r="H278" s="151">
        <f ca="1">IF(RegimeExecucao="Global","",ORÇAMENTO!W278)</f>
        <v>0</v>
      </c>
      <c r="I278" s="154">
        <f ca="1">ORÇAMENTO!X278</f>
        <v>0</v>
      </c>
      <c r="J278" s="427">
        <f t="shared" ca="1" si="48"/>
        <v>0</v>
      </c>
      <c r="K278" s="151">
        <f t="shared" ca="1" si="49"/>
        <v>0</v>
      </c>
      <c r="L278" s="428">
        <f t="shared" ca="1" si="50"/>
        <v>0</v>
      </c>
      <c r="M278" s="429">
        <f ca="1">IF($A278="S",VTOTALBM,IF($A278=0,0,ROUND(SomaAgrupBM,15-13*ORÇAMENTO!$AF$11)))</f>
        <v>0</v>
      </c>
      <c r="N278" s="430">
        <f t="shared" ca="1" si="51"/>
        <v>0</v>
      </c>
      <c r="O278" s="154">
        <f ca="1">IF($A278="S",VTOTALBM,IF($A278=0,0,ROUND(SomaAgrupBM,15-13*ORÇAMENTO!$AF$11)))</f>
        <v>0</v>
      </c>
      <c r="Q278" s="431"/>
      <c r="R278" s="432"/>
      <c r="T278" s="146" t="str">
        <f t="shared" ca="1" si="52"/>
        <v/>
      </c>
      <c r="U278" s="206" t="str">
        <f t="shared" ca="1" si="53"/>
        <v/>
      </c>
      <c r="V278" s="207" t="str">
        <f t="shared" ca="1" si="54"/>
        <v/>
      </c>
      <c r="W278" s="634">
        <f ca="1">IF($Y278&gt;0,CHOOSE(MATCH(RegimeExecucao,{"Unitário","Global"},0),IF($A278="S",$Y278/$X278,""),($Y278/$X278)*100),0)</f>
        <v>0</v>
      </c>
      <c r="X278" s="433" t="str">
        <f ca="1">IF($Y278&gt;0,CHOOSE(MATCH(RegimeExecucao,{"Unitário","Global"},0),IF($A278="S",ROUND($H278,ORÇAMENTO!$AF$10),""),ROUND($I278,ORÇAMENTO!$AF$11)),"")</f>
        <v/>
      </c>
      <c r="Y278" s="433">
        <f t="shared" ca="1" si="55"/>
        <v>0</v>
      </c>
      <c r="Z278" s="434"/>
      <c r="AB278" s="431"/>
      <c r="AC278" s="599"/>
      <c r="AD278" s="599"/>
      <c r="AE278" s="599"/>
      <c r="AF278" s="599"/>
      <c r="AG278" s="599"/>
      <c r="AH278" s="599"/>
      <c r="AI278" s="599"/>
      <c r="AJ278" s="599"/>
      <c r="AK278" s="599"/>
      <c r="AL278" s="599"/>
      <c r="AM278" s="432"/>
      <c r="AO278">
        <f ca="1">IF($A278="S",IF(BM!$I278=0,0,CHOOSE(MATCH(RegimeExecucao,{"Global","Unitário"},0),ROUND(ROUND(BM.MEDAcumulado,15-13*BM!$A$9)/100*BM!$I278,15-13*ORÇAMENTO!$AF$11),ROUND(ROUND(BM.MEDAcumulado,15-13*BM!$A$9)*ROUND(BM!$H278,15-13*ORÇAMENTO!$AF$10),15-13*ORÇAMENTO!$AF$11))),IF($A278=0,0,ROUND(SomaAgrupBM,15-13*ORÇAMENTO!$AF$11)))</f>
        <v>0</v>
      </c>
    </row>
    <row r="279" spans="1:41" ht="13.8" x14ac:dyDescent="0.3">
      <c r="A279" t="str">
        <f ca="1">ORÇAMENTO!C279</f>
        <v>S</v>
      </c>
      <c r="B279">
        <f ca="1">ORÇAMENTO!D279</f>
        <v>0</v>
      </c>
      <c r="C279" s="143" t="str">
        <f t="shared" ca="1" si="45"/>
        <v/>
      </c>
      <c r="D279" s="146" t="str">
        <f ca="1">ORÇAMENTO!O279</f>
        <v>-</v>
      </c>
      <c r="E279" s="206" t="str">
        <f t="shared" ca="1" si="46"/>
        <v>(abra o arquivo 'Referência 05-2024.xls)</v>
      </c>
      <c r="F279" s="207" t="str">
        <f t="shared" ca="1" si="47"/>
        <v>-</v>
      </c>
      <c r="G279" s="151">
        <f ca="1">IF(RegimeExecucao="Global","",ORÇAMENTO!T279)</f>
        <v>13.55</v>
      </c>
      <c r="H279" s="151">
        <f ca="1">IF(RegimeExecucao="Global","",ORÇAMENTO!W279)</f>
        <v>0</v>
      </c>
      <c r="I279" s="154">
        <f ca="1">ORÇAMENTO!X279</f>
        <v>0</v>
      </c>
      <c r="J279" s="427">
        <f t="shared" ca="1" si="48"/>
        <v>0</v>
      </c>
      <c r="K279" s="151">
        <f t="shared" ca="1" si="49"/>
        <v>0</v>
      </c>
      <c r="L279" s="428">
        <f t="shared" ca="1" si="50"/>
        <v>0</v>
      </c>
      <c r="M279" s="429">
        <f ca="1">IF($A279="S",VTOTALBM,IF($A279=0,0,ROUND(SomaAgrupBM,15-13*ORÇAMENTO!$AF$11)))</f>
        <v>0</v>
      </c>
      <c r="N279" s="430">
        <f t="shared" ca="1" si="51"/>
        <v>0</v>
      </c>
      <c r="O279" s="154">
        <f ca="1">IF($A279="S",VTOTALBM,IF($A279=0,0,ROUND(SomaAgrupBM,15-13*ORÇAMENTO!$AF$11)))</f>
        <v>0</v>
      </c>
      <c r="Q279" s="431"/>
      <c r="R279" s="432"/>
      <c r="T279" s="146" t="str">
        <f t="shared" ca="1" si="52"/>
        <v/>
      </c>
      <c r="U279" s="206" t="str">
        <f t="shared" ca="1" si="53"/>
        <v/>
      </c>
      <c r="V279" s="207" t="str">
        <f t="shared" ca="1" si="54"/>
        <v/>
      </c>
      <c r="W279" s="634">
        <f ca="1">IF($Y279&gt;0,CHOOSE(MATCH(RegimeExecucao,{"Unitário","Global"},0),IF($A279="S",$Y279/$X279,""),($Y279/$X279)*100),0)</f>
        <v>0</v>
      </c>
      <c r="X279" s="433" t="str">
        <f ca="1">IF($Y279&gt;0,CHOOSE(MATCH(RegimeExecucao,{"Unitário","Global"},0),IF($A279="S",ROUND($H279,ORÇAMENTO!$AF$10),""),ROUND($I279,ORÇAMENTO!$AF$11)),"")</f>
        <v/>
      </c>
      <c r="Y279" s="433">
        <f t="shared" ca="1" si="55"/>
        <v>0</v>
      </c>
      <c r="Z279" s="434"/>
      <c r="AB279" s="431"/>
      <c r="AC279" s="599"/>
      <c r="AD279" s="599"/>
      <c r="AE279" s="599"/>
      <c r="AF279" s="599"/>
      <c r="AG279" s="599"/>
      <c r="AH279" s="599"/>
      <c r="AI279" s="599"/>
      <c r="AJ279" s="599"/>
      <c r="AK279" s="599"/>
      <c r="AL279" s="599"/>
      <c r="AM279" s="432"/>
      <c r="AO279">
        <f ca="1">IF($A279="S",IF(BM!$I279=0,0,CHOOSE(MATCH(RegimeExecucao,{"Global","Unitário"},0),ROUND(ROUND(BM.MEDAcumulado,15-13*BM!$A$9)/100*BM!$I279,15-13*ORÇAMENTO!$AF$11),ROUND(ROUND(BM.MEDAcumulado,15-13*BM!$A$9)*ROUND(BM!$H279,15-13*ORÇAMENTO!$AF$10),15-13*ORÇAMENTO!$AF$11))),IF($A279=0,0,ROUND(SomaAgrupBM,15-13*ORÇAMENTO!$AF$11)))</f>
        <v>0</v>
      </c>
    </row>
    <row r="280" spans="1:41" ht="13.8" x14ac:dyDescent="0.3">
      <c r="A280" t="str">
        <f ca="1">ORÇAMENTO!C280</f>
        <v>S</v>
      </c>
      <c r="B280">
        <f ca="1">ORÇAMENTO!D280</f>
        <v>0</v>
      </c>
      <c r="C280" s="143" t="str">
        <f t="shared" ca="1" si="45"/>
        <v/>
      </c>
      <c r="D280" s="146" t="str">
        <f ca="1">ORÇAMENTO!O280</f>
        <v>-</v>
      </c>
      <c r="E280" s="206" t="str">
        <f t="shared" ca="1" si="46"/>
        <v>(abra o arquivo 'Referência 05-2024.xls)</v>
      </c>
      <c r="F280" s="207" t="str">
        <f t="shared" ca="1" si="47"/>
        <v>-</v>
      </c>
      <c r="G280" s="151">
        <f ca="1">IF(RegimeExecucao="Global","",ORÇAMENTO!T280)</f>
        <v>1006.41</v>
      </c>
      <c r="H280" s="151">
        <f ca="1">IF(RegimeExecucao="Global","",ORÇAMENTO!W280)</f>
        <v>0</v>
      </c>
      <c r="I280" s="154">
        <f ca="1">ORÇAMENTO!X280</f>
        <v>0</v>
      </c>
      <c r="J280" s="427">
        <f t="shared" ca="1" si="48"/>
        <v>0</v>
      </c>
      <c r="K280" s="151">
        <f t="shared" ca="1" si="49"/>
        <v>0</v>
      </c>
      <c r="L280" s="428">
        <f t="shared" ca="1" si="50"/>
        <v>0</v>
      </c>
      <c r="M280" s="429">
        <f ca="1">IF($A280="S",VTOTALBM,IF($A280=0,0,ROUND(SomaAgrupBM,15-13*ORÇAMENTO!$AF$11)))</f>
        <v>0</v>
      </c>
      <c r="N280" s="430">
        <f t="shared" ca="1" si="51"/>
        <v>0</v>
      </c>
      <c r="O280" s="154">
        <f ca="1">IF($A280="S",VTOTALBM,IF($A280=0,0,ROUND(SomaAgrupBM,15-13*ORÇAMENTO!$AF$11)))</f>
        <v>0</v>
      </c>
      <c r="Q280" s="431"/>
      <c r="R280" s="432"/>
      <c r="T280" s="146" t="str">
        <f t="shared" ca="1" si="52"/>
        <v/>
      </c>
      <c r="U280" s="206" t="str">
        <f t="shared" ca="1" si="53"/>
        <v/>
      </c>
      <c r="V280" s="207" t="str">
        <f t="shared" ca="1" si="54"/>
        <v/>
      </c>
      <c r="W280" s="634">
        <f ca="1">IF($Y280&gt;0,CHOOSE(MATCH(RegimeExecucao,{"Unitário","Global"},0),IF($A280="S",$Y280/$X280,""),($Y280/$X280)*100),0)</f>
        <v>0</v>
      </c>
      <c r="X280" s="433" t="str">
        <f ca="1">IF($Y280&gt;0,CHOOSE(MATCH(RegimeExecucao,{"Unitário","Global"},0),IF($A280="S",ROUND($H280,ORÇAMENTO!$AF$10),""),ROUND($I280,ORÇAMENTO!$AF$11)),"")</f>
        <v/>
      </c>
      <c r="Y280" s="433">
        <f t="shared" ca="1" si="55"/>
        <v>0</v>
      </c>
      <c r="Z280" s="434"/>
      <c r="AB280" s="431"/>
      <c r="AC280" s="599"/>
      <c r="AD280" s="599"/>
      <c r="AE280" s="599"/>
      <c r="AF280" s="599"/>
      <c r="AG280" s="599"/>
      <c r="AH280" s="599"/>
      <c r="AI280" s="599"/>
      <c r="AJ280" s="599"/>
      <c r="AK280" s="599"/>
      <c r="AL280" s="599"/>
      <c r="AM280" s="432"/>
      <c r="AO280">
        <f ca="1">IF($A280="S",IF(BM!$I280=0,0,CHOOSE(MATCH(RegimeExecucao,{"Global","Unitário"},0),ROUND(ROUND(BM.MEDAcumulado,15-13*BM!$A$9)/100*BM!$I280,15-13*ORÇAMENTO!$AF$11),ROUND(ROUND(BM.MEDAcumulado,15-13*BM!$A$9)*ROUND(BM!$H280,15-13*ORÇAMENTO!$AF$10),15-13*ORÇAMENTO!$AF$11))),IF($A280=0,0,ROUND(SomaAgrupBM,15-13*ORÇAMENTO!$AF$11)))</f>
        <v>0</v>
      </c>
    </row>
    <row r="281" spans="1:41" ht="13.8" x14ac:dyDescent="0.3">
      <c r="A281" t="str">
        <f ca="1">ORÇAMENTO!C281</f>
        <v>S</v>
      </c>
      <c r="B281">
        <f ca="1">ORÇAMENTO!D281</f>
        <v>0</v>
      </c>
      <c r="C281" s="143" t="str">
        <f t="shared" ca="1" si="45"/>
        <v/>
      </c>
      <c r="D281" s="146" t="str">
        <f ca="1">ORÇAMENTO!O281</f>
        <v>-</v>
      </c>
      <c r="E281" s="206" t="str">
        <f t="shared" ca="1" si="46"/>
        <v>(abra o arquivo 'Referência 05-2024.xls)</v>
      </c>
      <c r="F281" s="207" t="str">
        <f t="shared" ca="1" si="47"/>
        <v>-</v>
      </c>
      <c r="G281" s="151">
        <f ca="1">IF(RegimeExecucao="Global","",ORÇAMENTO!T281)</f>
        <v>96.52</v>
      </c>
      <c r="H281" s="151">
        <f ca="1">IF(RegimeExecucao="Global","",ORÇAMENTO!W281)</f>
        <v>0</v>
      </c>
      <c r="I281" s="154">
        <f ca="1">ORÇAMENTO!X281</f>
        <v>0</v>
      </c>
      <c r="J281" s="427">
        <f t="shared" ca="1" si="48"/>
        <v>0</v>
      </c>
      <c r="K281" s="151">
        <f t="shared" ca="1" si="49"/>
        <v>0</v>
      </c>
      <c r="L281" s="428">
        <f t="shared" ca="1" si="50"/>
        <v>0</v>
      </c>
      <c r="M281" s="429">
        <f ca="1">IF($A281="S",VTOTALBM,IF($A281=0,0,ROUND(SomaAgrupBM,15-13*ORÇAMENTO!$AF$11)))</f>
        <v>0</v>
      </c>
      <c r="N281" s="430">
        <f t="shared" ca="1" si="51"/>
        <v>0</v>
      </c>
      <c r="O281" s="154">
        <f ca="1">IF($A281="S",VTOTALBM,IF($A281=0,0,ROUND(SomaAgrupBM,15-13*ORÇAMENTO!$AF$11)))</f>
        <v>0</v>
      </c>
      <c r="Q281" s="431"/>
      <c r="R281" s="432"/>
      <c r="T281" s="146" t="str">
        <f t="shared" ca="1" si="52"/>
        <v/>
      </c>
      <c r="U281" s="206" t="str">
        <f t="shared" ca="1" si="53"/>
        <v/>
      </c>
      <c r="V281" s="207" t="str">
        <f t="shared" ca="1" si="54"/>
        <v/>
      </c>
      <c r="W281" s="634">
        <f ca="1">IF($Y281&gt;0,CHOOSE(MATCH(RegimeExecucao,{"Unitário","Global"},0),IF($A281="S",$Y281/$X281,""),($Y281/$X281)*100),0)</f>
        <v>0</v>
      </c>
      <c r="X281" s="433" t="str">
        <f ca="1">IF($Y281&gt;0,CHOOSE(MATCH(RegimeExecucao,{"Unitário","Global"},0),IF($A281="S",ROUND($H281,ORÇAMENTO!$AF$10),""),ROUND($I281,ORÇAMENTO!$AF$11)),"")</f>
        <v/>
      </c>
      <c r="Y281" s="433">
        <f t="shared" ca="1" si="55"/>
        <v>0</v>
      </c>
      <c r="Z281" s="434"/>
      <c r="AB281" s="431"/>
      <c r="AC281" s="599"/>
      <c r="AD281" s="599"/>
      <c r="AE281" s="599"/>
      <c r="AF281" s="599"/>
      <c r="AG281" s="599"/>
      <c r="AH281" s="599"/>
      <c r="AI281" s="599"/>
      <c r="AJ281" s="599"/>
      <c r="AK281" s="599"/>
      <c r="AL281" s="599"/>
      <c r="AM281" s="432"/>
      <c r="AO281">
        <f ca="1">IF($A281="S",IF(BM!$I281=0,0,CHOOSE(MATCH(RegimeExecucao,{"Global","Unitário"},0),ROUND(ROUND(BM.MEDAcumulado,15-13*BM!$A$9)/100*BM!$I281,15-13*ORÇAMENTO!$AF$11),ROUND(ROUND(BM.MEDAcumulado,15-13*BM!$A$9)*ROUND(BM!$H281,15-13*ORÇAMENTO!$AF$10),15-13*ORÇAMENTO!$AF$11))),IF($A281=0,0,ROUND(SomaAgrupBM,15-13*ORÇAMENTO!$AF$11)))</f>
        <v>0</v>
      </c>
    </row>
    <row r="282" spans="1:41" ht="13.8" x14ac:dyDescent="0.3">
      <c r="A282">
        <f ca="1">ORÇAMENTO!C282</f>
        <v>2</v>
      </c>
      <c r="B282">
        <f ca="1">ORÇAMENTO!D282</f>
        <v>19</v>
      </c>
      <c r="C282" s="143" t="str">
        <f t="shared" ca="1" si="45"/>
        <v>F</v>
      </c>
      <c r="D282" s="146" t="str">
        <f ca="1">ORÇAMENTO!O282</f>
        <v>1.11.</v>
      </c>
      <c r="E282" s="206" t="str">
        <f t="shared" si="46"/>
        <v>PINTURAS E ACABAMENTOS</v>
      </c>
      <c r="F282" s="207" t="str">
        <f t="shared" ca="1" si="47"/>
        <v>-</v>
      </c>
      <c r="G282" s="151">
        <f ca="1">IF(RegimeExecucao="Global","",ORÇAMENTO!T282)</f>
        <v>0</v>
      </c>
      <c r="H282" s="151">
        <f ca="1">IF(RegimeExecucao="Global","",ORÇAMENTO!W282)</f>
        <v>0</v>
      </c>
      <c r="I282" s="154">
        <f ca="1">ORÇAMENTO!X282</f>
        <v>0</v>
      </c>
      <c r="J282" s="427">
        <f t="shared" ca="1" si="48"/>
        <v>0</v>
      </c>
      <c r="K282" s="151">
        <f t="shared" ca="1" si="49"/>
        <v>0</v>
      </c>
      <c r="L282" s="428">
        <f t="shared" ca="1" si="50"/>
        <v>0</v>
      </c>
      <c r="M282" s="429">
        <f ca="1">IF($A282="S",VTOTALBM,IF($A282=0,0,ROUND(SomaAgrupBM,15-13*ORÇAMENTO!$AF$11)))</f>
        <v>0</v>
      </c>
      <c r="N282" s="430">
        <f t="shared" ca="1" si="51"/>
        <v>0</v>
      </c>
      <c r="O282" s="154">
        <f ca="1">IF($A282="S",VTOTALBM,IF($A282=0,0,ROUND(SomaAgrupBM,15-13*ORÇAMENTO!$AF$11)))</f>
        <v>0</v>
      </c>
      <c r="Q282" s="431"/>
      <c r="R282" s="432"/>
      <c r="T282" s="146" t="str">
        <f t="shared" ca="1" si="52"/>
        <v/>
      </c>
      <c r="U282" s="206" t="str">
        <f t="shared" ca="1" si="53"/>
        <v/>
      </c>
      <c r="V282" s="207" t="str">
        <f t="shared" ca="1" si="54"/>
        <v/>
      </c>
      <c r="W282" s="634">
        <f ca="1">IF($Y282&gt;0,CHOOSE(MATCH(RegimeExecucao,{"Unitário","Global"},0),IF($A282="S",$Y282/$X282,""),($Y282/$X282)*100),0)</f>
        <v>0</v>
      </c>
      <c r="X282" s="433" t="str">
        <f ca="1">IF($Y282&gt;0,CHOOSE(MATCH(RegimeExecucao,{"Unitário","Global"},0),IF($A282="S",ROUND($H282,ORÇAMENTO!$AF$10),""),ROUND($I282,ORÇAMENTO!$AF$11)),"")</f>
        <v/>
      </c>
      <c r="Y282" s="433">
        <f t="shared" ca="1" si="55"/>
        <v>0</v>
      </c>
      <c r="Z282" s="434"/>
      <c r="AB282" s="431"/>
      <c r="AC282" s="599"/>
      <c r="AD282" s="599"/>
      <c r="AE282" s="599"/>
      <c r="AF282" s="599"/>
      <c r="AG282" s="599"/>
      <c r="AH282" s="599"/>
      <c r="AI282" s="599"/>
      <c r="AJ282" s="599"/>
      <c r="AK282" s="599"/>
      <c r="AL282" s="599"/>
      <c r="AM282" s="432"/>
      <c r="AO282">
        <f ca="1">IF($A282="S",IF(BM!$I282=0,0,CHOOSE(MATCH(RegimeExecucao,{"Global","Unitário"},0),ROUND(ROUND(BM.MEDAcumulado,15-13*BM!$A$9)/100*BM!$I282,15-13*ORÇAMENTO!$AF$11),ROUND(ROUND(BM.MEDAcumulado,15-13*BM!$A$9)*ROUND(BM!$H282,15-13*ORÇAMENTO!$AF$10),15-13*ORÇAMENTO!$AF$11))),IF($A282=0,0,ROUND(SomaAgrupBM,15-13*ORÇAMENTO!$AF$11)))</f>
        <v>0</v>
      </c>
    </row>
    <row r="283" spans="1:41" ht="13.8" x14ac:dyDescent="0.3">
      <c r="A283">
        <f ca="1">ORÇAMENTO!C283</f>
        <v>3</v>
      </c>
      <c r="B283">
        <f ca="1">ORÇAMENTO!D283</f>
        <v>15</v>
      </c>
      <c r="C283" s="143" t="str">
        <f t="shared" ca="1" si="45"/>
        <v>F</v>
      </c>
      <c r="D283" s="146" t="str">
        <f ca="1">ORÇAMENTO!O283</f>
        <v>1.11.1.</v>
      </c>
      <c r="E283" s="206" t="str">
        <f t="shared" si="46"/>
        <v>EDIFICAÇÃO</v>
      </c>
      <c r="F283" s="207" t="str">
        <f t="shared" ca="1" si="47"/>
        <v>-</v>
      </c>
      <c r="G283" s="151">
        <f ca="1">IF(RegimeExecucao="Global","",ORÇAMENTO!T283)</f>
        <v>0</v>
      </c>
      <c r="H283" s="151">
        <f ca="1">IF(RegimeExecucao="Global","",ORÇAMENTO!W283)</f>
        <v>0</v>
      </c>
      <c r="I283" s="154">
        <f ca="1">ORÇAMENTO!X283</f>
        <v>0</v>
      </c>
      <c r="J283" s="427">
        <f t="shared" ca="1" si="48"/>
        <v>0</v>
      </c>
      <c r="K283" s="151">
        <f t="shared" ca="1" si="49"/>
        <v>0</v>
      </c>
      <c r="L283" s="428">
        <f t="shared" ca="1" si="50"/>
        <v>0</v>
      </c>
      <c r="M283" s="429">
        <f ca="1">IF($A283="S",VTOTALBM,IF($A283=0,0,ROUND(SomaAgrupBM,15-13*ORÇAMENTO!$AF$11)))</f>
        <v>0</v>
      </c>
      <c r="N283" s="430">
        <f t="shared" ca="1" si="51"/>
        <v>0</v>
      </c>
      <c r="O283" s="154">
        <f ca="1">IF($A283="S",VTOTALBM,IF($A283=0,0,ROUND(SomaAgrupBM,15-13*ORÇAMENTO!$AF$11)))</f>
        <v>0</v>
      </c>
      <c r="Q283" s="431"/>
      <c r="R283" s="432"/>
      <c r="T283" s="146" t="str">
        <f t="shared" ca="1" si="52"/>
        <v/>
      </c>
      <c r="U283" s="206" t="str">
        <f t="shared" ca="1" si="53"/>
        <v/>
      </c>
      <c r="V283" s="207" t="str">
        <f t="shared" ca="1" si="54"/>
        <v/>
      </c>
      <c r="W283" s="634">
        <f ca="1">IF($Y283&gt;0,CHOOSE(MATCH(RegimeExecucao,{"Unitário","Global"},0),IF($A283="S",$Y283/$X283,""),($Y283/$X283)*100),0)</f>
        <v>0</v>
      </c>
      <c r="X283" s="433" t="str">
        <f ca="1">IF($Y283&gt;0,CHOOSE(MATCH(RegimeExecucao,{"Unitário","Global"},0),IF($A283="S",ROUND($H283,ORÇAMENTO!$AF$10),""),ROUND($I283,ORÇAMENTO!$AF$11)),"")</f>
        <v/>
      </c>
      <c r="Y283" s="433">
        <f t="shared" ca="1" si="55"/>
        <v>0</v>
      </c>
      <c r="Z283" s="434"/>
      <c r="AB283" s="431"/>
      <c r="AC283" s="599"/>
      <c r="AD283" s="599"/>
      <c r="AE283" s="599"/>
      <c r="AF283" s="599"/>
      <c r="AG283" s="599"/>
      <c r="AH283" s="599"/>
      <c r="AI283" s="599"/>
      <c r="AJ283" s="599"/>
      <c r="AK283" s="599"/>
      <c r="AL283" s="599"/>
      <c r="AM283" s="432"/>
      <c r="AO283">
        <f ca="1">IF($A283="S",IF(BM!$I283=0,0,CHOOSE(MATCH(RegimeExecucao,{"Global","Unitário"},0),ROUND(ROUND(BM.MEDAcumulado,15-13*BM!$A$9)/100*BM!$I283,15-13*ORÇAMENTO!$AF$11),ROUND(ROUND(BM.MEDAcumulado,15-13*BM!$A$9)*ROUND(BM!$H283,15-13*ORÇAMENTO!$AF$10),15-13*ORÇAMENTO!$AF$11))),IF($A283=0,0,ROUND(SomaAgrupBM,15-13*ORÇAMENTO!$AF$11)))</f>
        <v>0</v>
      </c>
    </row>
    <row r="284" spans="1:41" ht="13.8" x14ac:dyDescent="0.3">
      <c r="A284" t="str">
        <f ca="1">ORÇAMENTO!C284</f>
        <v>S</v>
      </c>
      <c r="B284">
        <f ca="1">ORÇAMENTO!D284</f>
        <v>0</v>
      </c>
      <c r="C284" s="143" t="str">
        <f t="shared" ca="1" si="45"/>
        <v/>
      </c>
      <c r="D284" s="146" t="str">
        <f ca="1">ORÇAMENTO!O284</f>
        <v>-</v>
      </c>
      <c r="E284" s="206" t="str">
        <f t="shared" ca="1" si="46"/>
        <v>(abra o arquivo 'Referência 05-2024.xls)</v>
      </c>
      <c r="F284" s="207" t="str">
        <f t="shared" ca="1" si="47"/>
        <v>-</v>
      </c>
      <c r="G284" s="151">
        <f ca="1">IF(RegimeExecucao="Global","",ORÇAMENTO!T284)</f>
        <v>338.11</v>
      </c>
      <c r="H284" s="151">
        <f ca="1">IF(RegimeExecucao="Global","",ORÇAMENTO!W284)</f>
        <v>0</v>
      </c>
      <c r="I284" s="154">
        <f ca="1">ORÇAMENTO!X284</f>
        <v>0</v>
      </c>
      <c r="J284" s="427">
        <f t="shared" ca="1" si="48"/>
        <v>0</v>
      </c>
      <c r="K284" s="151">
        <f t="shared" ca="1" si="49"/>
        <v>0</v>
      </c>
      <c r="L284" s="428">
        <f t="shared" ca="1" si="50"/>
        <v>0</v>
      </c>
      <c r="M284" s="429">
        <f ca="1">IF($A284="S",VTOTALBM,IF($A284=0,0,ROUND(SomaAgrupBM,15-13*ORÇAMENTO!$AF$11)))</f>
        <v>0</v>
      </c>
      <c r="N284" s="430">
        <f t="shared" ca="1" si="51"/>
        <v>0</v>
      </c>
      <c r="O284" s="154">
        <f ca="1">IF($A284="S",VTOTALBM,IF($A284=0,0,ROUND(SomaAgrupBM,15-13*ORÇAMENTO!$AF$11)))</f>
        <v>0</v>
      </c>
      <c r="Q284" s="431"/>
      <c r="R284" s="432"/>
      <c r="T284" s="146" t="str">
        <f t="shared" ca="1" si="52"/>
        <v/>
      </c>
      <c r="U284" s="206" t="str">
        <f t="shared" ca="1" si="53"/>
        <v/>
      </c>
      <c r="V284" s="207" t="str">
        <f t="shared" ca="1" si="54"/>
        <v/>
      </c>
      <c r="W284" s="634">
        <f ca="1">IF($Y284&gt;0,CHOOSE(MATCH(RegimeExecucao,{"Unitário","Global"},0),IF($A284="S",$Y284/$X284,""),($Y284/$X284)*100),0)</f>
        <v>0</v>
      </c>
      <c r="X284" s="433" t="str">
        <f ca="1">IF($Y284&gt;0,CHOOSE(MATCH(RegimeExecucao,{"Unitário","Global"},0),IF($A284="S",ROUND($H284,ORÇAMENTO!$AF$10),""),ROUND($I284,ORÇAMENTO!$AF$11)),"")</f>
        <v/>
      </c>
      <c r="Y284" s="433">
        <f t="shared" ca="1" si="55"/>
        <v>0</v>
      </c>
      <c r="Z284" s="434"/>
      <c r="AB284" s="431"/>
      <c r="AC284" s="599"/>
      <c r="AD284" s="599"/>
      <c r="AE284" s="599"/>
      <c r="AF284" s="599"/>
      <c r="AG284" s="599"/>
      <c r="AH284" s="599"/>
      <c r="AI284" s="599"/>
      <c r="AJ284" s="599"/>
      <c r="AK284" s="599"/>
      <c r="AL284" s="599"/>
      <c r="AM284" s="432"/>
      <c r="AO284">
        <f ca="1">IF($A284="S",IF(BM!$I284=0,0,CHOOSE(MATCH(RegimeExecucao,{"Global","Unitário"},0),ROUND(ROUND(BM.MEDAcumulado,15-13*BM!$A$9)/100*BM!$I284,15-13*ORÇAMENTO!$AF$11),ROUND(ROUND(BM.MEDAcumulado,15-13*BM!$A$9)*ROUND(BM!$H284,15-13*ORÇAMENTO!$AF$10),15-13*ORÇAMENTO!$AF$11))),IF($A284=0,0,ROUND(SomaAgrupBM,15-13*ORÇAMENTO!$AF$11)))</f>
        <v>0</v>
      </c>
    </row>
    <row r="285" spans="1:41" ht="13.8" x14ac:dyDescent="0.3">
      <c r="A285" t="str">
        <f ca="1">ORÇAMENTO!C285</f>
        <v>S</v>
      </c>
      <c r="B285">
        <f ca="1">ORÇAMENTO!D285</f>
        <v>0</v>
      </c>
      <c r="C285" s="143" t="str">
        <f t="shared" ca="1" si="45"/>
        <v/>
      </c>
      <c r="D285" s="146" t="str">
        <f ca="1">ORÇAMENTO!O285</f>
        <v>-</v>
      </c>
      <c r="E285" s="206" t="str">
        <f t="shared" ca="1" si="46"/>
        <v>(abra o arquivo 'Referência 05-2024.xls)</v>
      </c>
      <c r="F285" s="207" t="str">
        <f t="shared" ca="1" si="47"/>
        <v>-</v>
      </c>
      <c r="G285" s="151">
        <f ca="1">IF(RegimeExecucao="Global","",ORÇAMENTO!T285)</f>
        <v>895.48</v>
      </c>
      <c r="H285" s="151">
        <f ca="1">IF(RegimeExecucao="Global","",ORÇAMENTO!W285)</f>
        <v>0</v>
      </c>
      <c r="I285" s="154">
        <f ca="1">ORÇAMENTO!X285</f>
        <v>0</v>
      </c>
      <c r="J285" s="427">
        <f t="shared" ca="1" si="48"/>
        <v>0</v>
      </c>
      <c r="K285" s="151">
        <f t="shared" ca="1" si="49"/>
        <v>0</v>
      </c>
      <c r="L285" s="428">
        <f t="shared" ca="1" si="50"/>
        <v>0</v>
      </c>
      <c r="M285" s="429">
        <f ca="1">IF($A285="S",VTOTALBM,IF($A285=0,0,ROUND(SomaAgrupBM,15-13*ORÇAMENTO!$AF$11)))</f>
        <v>0</v>
      </c>
      <c r="N285" s="430">
        <f t="shared" ca="1" si="51"/>
        <v>0</v>
      </c>
      <c r="O285" s="154">
        <f ca="1">IF($A285="S",VTOTALBM,IF($A285=0,0,ROUND(SomaAgrupBM,15-13*ORÇAMENTO!$AF$11)))</f>
        <v>0</v>
      </c>
      <c r="Q285" s="431"/>
      <c r="R285" s="432"/>
      <c r="T285" s="146" t="str">
        <f t="shared" ca="1" si="52"/>
        <v/>
      </c>
      <c r="U285" s="206" t="str">
        <f t="shared" ca="1" si="53"/>
        <v/>
      </c>
      <c r="V285" s="207" t="str">
        <f t="shared" ca="1" si="54"/>
        <v/>
      </c>
      <c r="W285" s="634">
        <f ca="1">IF($Y285&gt;0,CHOOSE(MATCH(RegimeExecucao,{"Unitário","Global"},0),IF($A285="S",$Y285/$X285,""),($Y285/$X285)*100),0)</f>
        <v>0</v>
      </c>
      <c r="X285" s="433" t="str">
        <f ca="1">IF($Y285&gt;0,CHOOSE(MATCH(RegimeExecucao,{"Unitário","Global"},0),IF($A285="S",ROUND($H285,ORÇAMENTO!$AF$10),""),ROUND($I285,ORÇAMENTO!$AF$11)),"")</f>
        <v/>
      </c>
      <c r="Y285" s="433">
        <f t="shared" ca="1" si="55"/>
        <v>0</v>
      </c>
      <c r="Z285" s="434"/>
      <c r="AB285" s="431"/>
      <c r="AC285" s="599"/>
      <c r="AD285" s="599"/>
      <c r="AE285" s="599"/>
      <c r="AF285" s="599"/>
      <c r="AG285" s="599"/>
      <c r="AH285" s="599"/>
      <c r="AI285" s="599"/>
      <c r="AJ285" s="599"/>
      <c r="AK285" s="599"/>
      <c r="AL285" s="599"/>
      <c r="AM285" s="432"/>
      <c r="AO285">
        <f ca="1">IF($A285="S",IF(BM!$I285=0,0,CHOOSE(MATCH(RegimeExecucao,{"Global","Unitário"},0),ROUND(ROUND(BM.MEDAcumulado,15-13*BM!$A$9)/100*BM!$I285,15-13*ORÇAMENTO!$AF$11),ROUND(ROUND(BM.MEDAcumulado,15-13*BM!$A$9)*ROUND(BM!$H285,15-13*ORÇAMENTO!$AF$10),15-13*ORÇAMENTO!$AF$11))),IF($A285=0,0,ROUND(SomaAgrupBM,15-13*ORÇAMENTO!$AF$11)))</f>
        <v>0</v>
      </c>
    </row>
    <row r="286" spans="1:41" ht="13.8" x14ac:dyDescent="0.3">
      <c r="A286" t="str">
        <f ca="1">ORÇAMENTO!C286</f>
        <v>S</v>
      </c>
      <c r="B286">
        <f ca="1">ORÇAMENTO!D286</f>
        <v>0</v>
      </c>
      <c r="C286" s="143" t="str">
        <f t="shared" ca="1" si="45"/>
        <v/>
      </c>
      <c r="D286" s="146" t="str">
        <f ca="1">ORÇAMENTO!O286</f>
        <v>-</v>
      </c>
      <c r="E286" s="206" t="str">
        <f t="shared" ca="1" si="46"/>
        <v>(abra o arquivo 'Referência 05-2024.xls)</v>
      </c>
      <c r="F286" s="207" t="str">
        <f t="shared" ca="1" si="47"/>
        <v>-</v>
      </c>
      <c r="G286" s="151">
        <f ca="1">IF(RegimeExecucao="Global","",ORÇAMENTO!T286)</f>
        <v>105.93</v>
      </c>
      <c r="H286" s="151">
        <f ca="1">IF(RegimeExecucao="Global","",ORÇAMENTO!W286)</f>
        <v>0</v>
      </c>
      <c r="I286" s="154">
        <f ca="1">ORÇAMENTO!X286</f>
        <v>0</v>
      </c>
      <c r="J286" s="427">
        <f t="shared" ca="1" si="48"/>
        <v>0</v>
      </c>
      <c r="K286" s="151">
        <f t="shared" ca="1" si="49"/>
        <v>0</v>
      </c>
      <c r="L286" s="428">
        <f t="shared" ca="1" si="50"/>
        <v>0</v>
      </c>
      <c r="M286" s="429">
        <f ca="1">IF($A286="S",VTOTALBM,IF($A286=0,0,ROUND(SomaAgrupBM,15-13*ORÇAMENTO!$AF$11)))</f>
        <v>0</v>
      </c>
      <c r="N286" s="430">
        <f t="shared" ca="1" si="51"/>
        <v>0</v>
      </c>
      <c r="O286" s="154">
        <f ca="1">IF($A286="S",VTOTALBM,IF($A286=0,0,ROUND(SomaAgrupBM,15-13*ORÇAMENTO!$AF$11)))</f>
        <v>0</v>
      </c>
      <c r="Q286" s="431"/>
      <c r="R286" s="432"/>
      <c r="T286" s="146" t="str">
        <f t="shared" ca="1" si="52"/>
        <v/>
      </c>
      <c r="U286" s="206" t="str">
        <f t="shared" ca="1" si="53"/>
        <v/>
      </c>
      <c r="V286" s="207" t="str">
        <f t="shared" ca="1" si="54"/>
        <v/>
      </c>
      <c r="W286" s="634">
        <f ca="1">IF($Y286&gt;0,CHOOSE(MATCH(RegimeExecucao,{"Unitário","Global"},0),IF($A286="S",$Y286/$X286,""),($Y286/$X286)*100),0)</f>
        <v>0</v>
      </c>
      <c r="X286" s="433" t="str">
        <f ca="1">IF($Y286&gt;0,CHOOSE(MATCH(RegimeExecucao,{"Unitário","Global"},0),IF($A286="S",ROUND($H286,ORÇAMENTO!$AF$10),""),ROUND($I286,ORÇAMENTO!$AF$11)),"")</f>
        <v/>
      </c>
      <c r="Y286" s="433">
        <f t="shared" ca="1" si="55"/>
        <v>0</v>
      </c>
      <c r="Z286" s="434"/>
      <c r="AB286" s="431"/>
      <c r="AC286" s="599"/>
      <c r="AD286" s="599"/>
      <c r="AE286" s="599"/>
      <c r="AF286" s="599"/>
      <c r="AG286" s="599"/>
      <c r="AH286" s="599"/>
      <c r="AI286" s="599"/>
      <c r="AJ286" s="599"/>
      <c r="AK286" s="599"/>
      <c r="AL286" s="599"/>
      <c r="AM286" s="432"/>
      <c r="AO286">
        <f ca="1">IF($A286="S",IF(BM!$I286=0,0,CHOOSE(MATCH(RegimeExecucao,{"Global","Unitário"},0),ROUND(ROUND(BM.MEDAcumulado,15-13*BM!$A$9)/100*BM!$I286,15-13*ORÇAMENTO!$AF$11),ROUND(ROUND(BM.MEDAcumulado,15-13*BM!$A$9)*ROUND(BM!$H286,15-13*ORÇAMENTO!$AF$10),15-13*ORÇAMENTO!$AF$11))),IF($A286=0,0,ROUND(SomaAgrupBM,15-13*ORÇAMENTO!$AF$11)))</f>
        <v>0</v>
      </c>
    </row>
    <row r="287" spans="1:41" ht="13.8" x14ac:dyDescent="0.3">
      <c r="A287" t="str">
        <f ca="1">ORÇAMENTO!C287</f>
        <v>S</v>
      </c>
      <c r="B287">
        <f ca="1">ORÇAMENTO!D287</f>
        <v>0</v>
      </c>
      <c r="C287" s="143" t="str">
        <f t="shared" ca="1" si="45"/>
        <v/>
      </c>
      <c r="D287" s="146" t="str">
        <f ca="1">ORÇAMENTO!O287</f>
        <v>-</v>
      </c>
      <c r="E287" s="206" t="str">
        <f t="shared" ca="1" si="46"/>
        <v>(abra o arquivo 'Referência 05-2024.xls)</v>
      </c>
      <c r="F287" s="207" t="str">
        <f t="shared" ca="1" si="47"/>
        <v>-</v>
      </c>
      <c r="G287" s="151">
        <f ca="1">IF(RegimeExecucao="Global","",ORÇAMENTO!T287)</f>
        <v>484.46</v>
      </c>
      <c r="H287" s="151">
        <f ca="1">IF(RegimeExecucao="Global","",ORÇAMENTO!W287)</f>
        <v>0</v>
      </c>
      <c r="I287" s="154">
        <f ca="1">ORÇAMENTO!X287</f>
        <v>0</v>
      </c>
      <c r="J287" s="427">
        <f t="shared" ca="1" si="48"/>
        <v>0</v>
      </c>
      <c r="K287" s="151">
        <f t="shared" ca="1" si="49"/>
        <v>0</v>
      </c>
      <c r="L287" s="428">
        <f t="shared" ca="1" si="50"/>
        <v>0</v>
      </c>
      <c r="M287" s="429">
        <f ca="1">IF($A287="S",VTOTALBM,IF($A287=0,0,ROUND(SomaAgrupBM,15-13*ORÇAMENTO!$AF$11)))</f>
        <v>0</v>
      </c>
      <c r="N287" s="430">
        <f t="shared" ca="1" si="51"/>
        <v>0</v>
      </c>
      <c r="O287" s="154">
        <f ca="1">IF($A287="S",VTOTALBM,IF($A287=0,0,ROUND(SomaAgrupBM,15-13*ORÇAMENTO!$AF$11)))</f>
        <v>0</v>
      </c>
      <c r="Q287" s="431"/>
      <c r="R287" s="432"/>
      <c r="T287" s="146" t="str">
        <f t="shared" ca="1" si="52"/>
        <v/>
      </c>
      <c r="U287" s="206" t="str">
        <f t="shared" ca="1" si="53"/>
        <v/>
      </c>
      <c r="V287" s="207" t="str">
        <f t="shared" ca="1" si="54"/>
        <v/>
      </c>
      <c r="W287" s="634">
        <f ca="1">IF($Y287&gt;0,CHOOSE(MATCH(RegimeExecucao,{"Unitário","Global"},0),IF($A287="S",$Y287/$X287,""),($Y287/$X287)*100),0)</f>
        <v>0</v>
      </c>
      <c r="X287" s="433" t="str">
        <f ca="1">IF($Y287&gt;0,CHOOSE(MATCH(RegimeExecucao,{"Unitário","Global"},0),IF($A287="S",ROUND($H287,ORÇAMENTO!$AF$10),""),ROUND($I287,ORÇAMENTO!$AF$11)),"")</f>
        <v/>
      </c>
      <c r="Y287" s="433">
        <f t="shared" ca="1" si="55"/>
        <v>0</v>
      </c>
      <c r="Z287" s="434"/>
      <c r="AB287" s="431"/>
      <c r="AC287" s="599"/>
      <c r="AD287" s="599"/>
      <c r="AE287" s="599"/>
      <c r="AF287" s="599"/>
      <c r="AG287" s="599"/>
      <c r="AH287" s="599"/>
      <c r="AI287" s="599"/>
      <c r="AJ287" s="599"/>
      <c r="AK287" s="599"/>
      <c r="AL287" s="599"/>
      <c r="AM287" s="432"/>
      <c r="AO287">
        <f ca="1">IF($A287="S",IF(BM!$I287=0,0,CHOOSE(MATCH(RegimeExecucao,{"Global","Unitário"},0),ROUND(ROUND(BM.MEDAcumulado,15-13*BM!$A$9)/100*BM!$I287,15-13*ORÇAMENTO!$AF$11),ROUND(ROUND(BM.MEDAcumulado,15-13*BM!$A$9)*ROUND(BM!$H287,15-13*ORÇAMENTO!$AF$10),15-13*ORÇAMENTO!$AF$11))),IF($A287=0,0,ROUND(SomaAgrupBM,15-13*ORÇAMENTO!$AF$11)))</f>
        <v>0</v>
      </c>
    </row>
    <row r="288" spans="1:41" ht="13.8" x14ac:dyDescent="0.3">
      <c r="A288" t="str">
        <f ca="1">ORÇAMENTO!C288</f>
        <v>S</v>
      </c>
      <c r="B288">
        <f ca="1">ORÇAMENTO!D288</f>
        <v>0</v>
      </c>
      <c r="C288" s="143" t="str">
        <f t="shared" ca="1" si="45"/>
        <v/>
      </c>
      <c r="D288" s="146" t="str">
        <f ca="1">ORÇAMENTO!O288</f>
        <v>-</v>
      </c>
      <c r="E288" s="206" t="str">
        <f t="shared" ca="1" si="46"/>
        <v>(abra o arquivo 'Referência 05-2024.xls)</v>
      </c>
      <c r="F288" s="207" t="str">
        <f t="shared" ca="1" si="47"/>
        <v>-</v>
      </c>
      <c r="G288" s="151">
        <f ca="1">IF(RegimeExecucao="Global","",ORÇAMENTO!T288)</f>
        <v>338.11</v>
      </c>
      <c r="H288" s="151">
        <f ca="1">IF(RegimeExecucao="Global","",ORÇAMENTO!W288)</f>
        <v>0</v>
      </c>
      <c r="I288" s="154">
        <f ca="1">ORÇAMENTO!X288</f>
        <v>0</v>
      </c>
      <c r="J288" s="427">
        <f t="shared" ca="1" si="48"/>
        <v>0</v>
      </c>
      <c r="K288" s="151">
        <f t="shared" ca="1" si="49"/>
        <v>0</v>
      </c>
      <c r="L288" s="428">
        <f t="shared" ca="1" si="50"/>
        <v>0</v>
      </c>
      <c r="M288" s="429">
        <f ca="1">IF($A288="S",VTOTALBM,IF($A288=0,0,ROUND(SomaAgrupBM,15-13*ORÇAMENTO!$AF$11)))</f>
        <v>0</v>
      </c>
      <c r="N288" s="430">
        <f t="shared" ca="1" si="51"/>
        <v>0</v>
      </c>
      <c r="O288" s="154">
        <f ca="1">IF($A288="S",VTOTALBM,IF($A288=0,0,ROUND(SomaAgrupBM,15-13*ORÇAMENTO!$AF$11)))</f>
        <v>0</v>
      </c>
      <c r="Q288" s="431"/>
      <c r="R288" s="432"/>
      <c r="T288" s="146" t="str">
        <f t="shared" ca="1" si="52"/>
        <v/>
      </c>
      <c r="U288" s="206" t="str">
        <f t="shared" ca="1" si="53"/>
        <v/>
      </c>
      <c r="V288" s="207" t="str">
        <f t="shared" ca="1" si="54"/>
        <v/>
      </c>
      <c r="W288" s="634">
        <f ca="1">IF($Y288&gt;0,CHOOSE(MATCH(RegimeExecucao,{"Unitário","Global"},0),IF($A288="S",$Y288/$X288,""),($Y288/$X288)*100),0)</f>
        <v>0</v>
      </c>
      <c r="X288" s="433" t="str">
        <f ca="1">IF($Y288&gt;0,CHOOSE(MATCH(RegimeExecucao,{"Unitário","Global"},0),IF($A288="S",ROUND($H288,ORÇAMENTO!$AF$10),""),ROUND($I288,ORÇAMENTO!$AF$11)),"")</f>
        <v/>
      </c>
      <c r="Y288" s="433">
        <f t="shared" ca="1" si="55"/>
        <v>0</v>
      </c>
      <c r="Z288" s="434"/>
      <c r="AB288" s="431"/>
      <c r="AC288" s="599"/>
      <c r="AD288" s="599"/>
      <c r="AE288" s="599"/>
      <c r="AF288" s="599"/>
      <c r="AG288" s="599"/>
      <c r="AH288" s="599"/>
      <c r="AI288" s="599"/>
      <c r="AJ288" s="599"/>
      <c r="AK288" s="599"/>
      <c r="AL288" s="599"/>
      <c r="AM288" s="432"/>
      <c r="AO288">
        <f ca="1">IF($A288="S",IF(BM!$I288=0,0,CHOOSE(MATCH(RegimeExecucao,{"Global","Unitário"},0),ROUND(ROUND(BM.MEDAcumulado,15-13*BM!$A$9)/100*BM!$I288,15-13*ORÇAMENTO!$AF$11),ROUND(ROUND(BM.MEDAcumulado,15-13*BM!$A$9)*ROUND(BM!$H288,15-13*ORÇAMENTO!$AF$10),15-13*ORÇAMENTO!$AF$11))),IF($A288=0,0,ROUND(SomaAgrupBM,15-13*ORÇAMENTO!$AF$11)))</f>
        <v>0</v>
      </c>
    </row>
    <row r="289" spans="1:41" ht="13.8" x14ac:dyDescent="0.3">
      <c r="A289" t="str">
        <f ca="1">ORÇAMENTO!C289</f>
        <v>S</v>
      </c>
      <c r="B289">
        <f ca="1">ORÇAMENTO!D289</f>
        <v>0</v>
      </c>
      <c r="C289" s="143" t="str">
        <f t="shared" ca="1" si="45"/>
        <v/>
      </c>
      <c r="D289" s="146" t="str">
        <f ca="1">ORÇAMENTO!O289</f>
        <v>-</v>
      </c>
      <c r="E289" s="206" t="str">
        <f t="shared" ca="1" si="46"/>
        <v>(abra o arquivo 'Referência 05-2024.xls)</v>
      </c>
      <c r="F289" s="207" t="str">
        <f t="shared" ca="1" si="47"/>
        <v>-</v>
      </c>
      <c r="G289" s="151">
        <f ca="1">IF(RegimeExecucao="Global","",ORÇAMENTO!T289)</f>
        <v>212.58</v>
      </c>
      <c r="H289" s="151">
        <f ca="1">IF(RegimeExecucao="Global","",ORÇAMENTO!W289)</f>
        <v>0</v>
      </c>
      <c r="I289" s="154">
        <f ca="1">ORÇAMENTO!X289</f>
        <v>0</v>
      </c>
      <c r="J289" s="427">
        <f t="shared" ca="1" si="48"/>
        <v>0</v>
      </c>
      <c r="K289" s="151">
        <f t="shared" ca="1" si="49"/>
        <v>0</v>
      </c>
      <c r="L289" s="428">
        <f t="shared" ca="1" si="50"/>
        <v>0</v>
      </c>
      <c r="M289" s="429">
        <f ca="1">IF($A289="S",VTOTALBM,IF($A289=0,0,ROUND(SomaAgrupBM,15-13*ORÇAMENTO!$AF$11)))</f>
        <v>0</v>
      </c>
      <c r="N289" s="430">
        <f t="shared" ca="1" si="51"/>
        <v>0</v>
      </c>
      <c r="O289" s="154">
        <f ca="1">IF($A289="S",VTOTALBM,IF($A289=0,0,ROUND(SomaAgrupBM,15-13*ORÇAMENTO!$AF$11)))</f>
        <v>0</v>
      </c>
      <c r="Q289" s="431"/>
      <c r="R289" s="432"/>
      <c r="T289" s="146" t="str">
        <f t="shared" ca="1" si="52"/>
        <v/>
      </c>
      <c r="U289" s="206" t="str">
        <f t="shared" ca="1" si="53"/>
        <v/>
      </c>
      <c r="V289" s="207" t="str">
        <f t="shared" ca="1" si="54"/>
        <v/>
      </c>
      <c r="W289" s="634">
        <f ca="1">IF($Y289&gt;0,CHOOSE(MATCH(RegimeExecucao,{"Unitário","Global"},0),IF($A289="S",$Y289/$X289,""),($Y289/$X289)*100),0)</f>
        <v>0</v>
      </c>
      <c r="X289" s="433" t="str">
        <f ca="1">IF($Y289&gt;0,CHOOSE(MATCH(RegimeExecucao,{"Unitário","Global"},0),IF($A289="S",ROUND($H289,ORÇAMENTO!$AF$10),""),ROUND($I289,ORÇAMENTO!$AF$11)),"")</f>
        <v/>
      </c>
      <c r="Y289" s="433">
        <f t="shared" ca="1" si="55"/>
        <v>0</v>
      </c>
      <c r="Z289" s="434"/>
      <c r="AB289" s="431"/>
      <c r="AC289" s="599"/>
      <c r="AD289" s="599"/>
      <c r="AE289" s="599"/>
      <c r="AF289" s="599"/>
      <c r="AG289" s="599"/>
      <c r="AH289" s="599"/>
      <c r="AI289" s="599"/>
      <c r="AJ289" s="599"/>
      <c r="AK289" s="599"/>
      <c r="AL289" s="599"/>
      <c r="AM289" s="432"/>
      <c r="AO289">
        <f ca="1">IF($A289="S",IF(BM!$I289=0,0,CHOOSE(MATCH(RegimeExecucao,{"Global","Unitário"},0),ROUND(ROUND(BM.MEDAcumulado,15-13*BM!$A$9)/100*BM!$I289,15-13*ORÇAMENTO!$AF$11),ROUND(ROUND(BM.MEDAcumulado,15-13*BM!$A$9)*ROUND(BM!$H289,15-13*ORÇAMENTO!$AF$10),15-13*ORÇAMENTO!$AF$11))),IF($A289=0,0,ROUND(SomaAgrupBM,15-13*ORÇAMENTO!$AF$11)))</f>
        <v>0</v>
      </c>
    </row>
    <row r="290" spans="1:41" ht="13.8" x14ac:dyDescent="0.3">
      <c r="A290" t="str">
        <f ca="1">ORÇAMENTO!C290</f>
        <v>S</v>
      </c>
      <c r="B290">
        <f ca="1">ORÇAMENTO!D290</f>
        <v>0</v>
      </c>
      <c r="C290" s="143" t="str">
        <f t="shared" ca="1" si="45"/>
        <v/>
      </c>
      <c r="D290" s="146" t="str">
        <f ca="1">ORÇAMENTO!O290</f>
        <v>-</v>
      </c>
      <c r="E290" s="206" t="str">
        <f t="shared" ca="1" si="46"/>
        <v>(abra o arquivo 'Referência 05-2024.xls)</v>
      </c>
      <c r="F290" s="207" t="str">
        <f t="shared" ca="1" si="47"/>
        <v>-</v>
      </c>
      <c r="G290" s="151">
        <f ca="1">IF(RegimeExecucao="Global","",ORÇAMENTO!T290)</f>
        <v>11.18</v>
      </c>
      <c r="H290" s="151">
        <f ca="1">IF(RegimeExecucao="Global","",ORÇAMENTO!W290)</f>
        <v>0</v>
      </c>
      <c r="I290" s="154">
        <f ca="1">ORÇAMENTO!X290</f>
        <v>0</v>
      </c>
      <c r="J290" s="427">
        <f t="shared" ca="1" si="48"/>
        <v>0</v>
      </c>
      <c r="K290" s="151">
        <f t="shared" ca="1" si="49"/>
        <v>0</v>
      </c>
      <c r="L290" s="428">
        <f t="shared" ca="1" si="50"/>
        <v>0</v>
      </c>
      <c r="M290" s="429">
        <f ca="1">IF($A290="S",VTOTALBM,IF($A290=0,0,ROUND(SomaAgrupBM,15-13*ORÇAMENTO!$AF$11)))</f>
        <v>0</v>
      </c>
      <c r="N290" s="430">
        <f t="shared" ca="1" si="51"/>
        <v>0</v>
      </c>
      <c r="O290" s="154">
        <f ca="1">IF($A290="S",VTOTALBM,IF($A290=0,0,ROUND(SomaAgrupBM,15-13*ORÇAMENTO!$AF$11)))</f>
        <v>0</v>
      </c>
      <c r="Q290" s="431"/>
      <c r="R290" s="432"/>
      <c r="T290" s="146" t="str">
        <f t="shared" ca="1" si="52"/>
        <v/>
      </c>
      <c r="U290" s="206" t="str">
        <f t="shared" ca="1" si="53"/>
        <v/>
      </c>
      <c r="V290" s="207" t="str">
        <f t="shared" ca="1" si="54"/>
        <v/>
      </c>
      <c r="W290" s="634">
        <f ca="1">IF($Y290&gt;0,CHOOSE(MATCH(RegimeExecucao,{"Unitário","Global"},0),IF($A290="S",$Y290/$X290,""),($Y290/$X290)*100),0)</f>
        <v>0</v>
      </c>
      <c r="X290" s="433" t="str">
        <f ca="1">IF($Y290&gt;0,CHOOSE(MATCH(RegimeExecucao,{"Unitário","Global"},0),IF($A290="S",ROUND($H290,ORÇAMENTO!$AF$10),""),ROUND($I290,ORÇAMENTO!$AF$11)),"")</f>
        <v/>
      </c>
      <c r="Y290" s="433">
        <f t="shared" ca="1" si="55"/>
        <v>0</v>
      </c>
      <c r="Z290" s="434"/>
      <c r="AB290" s="431"/>
      <c r="AC290" s="599"/>
      <c r="AD290" s="599"/>
      <c r="AE290" s="599"/>
      <c r="AF290" s="599"/>
      <c r="AG290" s="599"/>
      <c r="AH290" s="599"/>
      <c r="AI290" s="599"/>
      <c r="AJ290" s="599"/>
      <c r="AK290" s="599"/>
      <c r="AL290" s="599"/>
      <c r="AM290" s="432"/>
      <c r="AO290">
        <f ca="1">IF($A290="S",IF(BM!$I290=0,0,CHOOSE(MATCH(RegimeExecucao,{"Global","Unitário"},0),ROUND(ROUND(BM.MEDAcumulado,15-13*BM!$A$9)/100*BM!$I290,15-13*ORÇAMENTO!$AF$11),ROUND(ROUND(BM.MEDAcumulado,15-13*BM!$A$9)*ROUND(BM!$H290,15-13*ORÇAMENTO!$AF$10),15-13*ORÇAMENTO!$AF$11))),IF($A290=0,0,ROUND(SomaAgrupBM,15-13*ORÇAMENTO!$AF$11)))</f>
        <v>0</v>
      </c>
    </row>
    <row r="291" spans="1:41" ht="13.8" x14ac:dyDescent="0.3">
      <c r="A291" t="str">
        <f ca="1">ORÇAMENTO!C291</f>
        <v>S</v>
      </c>
      <c r="B291">
        <f ca="1">ORÇAMENTO!D291</f>
        <v>0</v>
      </c>
      <c r="C291" s="143" t="str">
        <f t="shared" ca="1" si="45"/>
        <v/>
      </c>
      <c r="D291" s="146" t="str">
        <f ca="1">ORÇAMENTO!O291</f>
        <v>-</v>
      </c>
      <c r="E291" s="206" t="str">
        <f t="shared" ca="1" si="46"/>
        <v>(abra o arquivo 'Referência 05-2024.xls)</v>
      </c>
      <c r="F291" s="207" t="str">
        <f t="shared" ca="1" si="47"/>
        <v>-</v>
      </c>
      <c r="G291" s="151">
        <f ca="1">IF(RegimeExecucao="Global","",ORÇAMENTO!T291)</f>
        <v>105.93</v>
      </c>
      <c r="H291" s="151">
        <f ca="1">IF(RegimeExecucao="Global","",ORÇAMENTO!W291)</f>
        <v>0</v>
      </c>
      <c r="I291" s="154">
        <f ca="1">ORÇAMENTO!X291</f>
        <v>0</v>
      </c>
      <c r="J291" s="427">
        <f t="shared" ca="1" si="48"/>
        <v>0</v>
      </c>
      <c r="K291" s="151">
        <f t="shared" ca="1" si="49"/>
        <v>0</v>
      </c>
      <c r="L291" s="428">
        <f t="shared" ca="1" si="50"/>
        <v>0</v>
      </c>
      <c r="M291" s="429">
        <f ca="1">IF($A291="S",VTOTALBM,IF($A291=0,0,ROUND(SomaAgrupBM,15-13*ORÇAMENTO!$AF$11)))</f>
        <v>0</v>
      </c>
      <c r="N291" s="430">
        <f t="shared" ca="1" si="51"/>
        <v>0</v>
      </c>
      <c r="O291" s="154">
        <f ca="1">IF($A291="S",VTOTALBM,IF($A291=0,0,ROUND(SomaAgrupBM,15-13*ORÇAMENTO!$AF$11)))</f>
        <v>0</v>
      </c>
      <c r="Q291" s="431"/>
      <c r="R291" s="432"/>
      <c r="T291" s="146" t="str">
        <f t="shared" ca="1" si="52"/>
        <v/>
      </c>
      <c r="U291" s="206" t="str">
        <f t="shared" ca="1" si="53"/>
        <v/>
      </c>
      <c r="V291" s="207" t="str">
        <f t="shared" ca="1" si="54"/>
        <v/>
      </c>
      <c r="W291" s="634">
        <f ca="1">IF($Y291&gt;0,CHOOSE(MATCH(RegimeExecucao,{"Unitário","Global"},0),IF($A291="S",$Y291/$X291,""),($Y291/$X291)*100),0)</f>
        <v>0</v>
      </c>
      <c r="X291" s="433" t="str">
        <f ca="1">IF($Y291&gt;0,CHOOSE(MATCH(RegimeExecucao,{"Unitário","Global"},0),IF($A291="S",ROUND($H291,ORÇAMENTO!$AF$10),""),ROUND($I291,ORÇAMENTO!$AF$11)),"")</f>
        <v/>
      </c>
      <c r="Y291" s="433">
        <f t="shared" ca="1" si="55"/>
        <v>0</v>
      </c>
      <c r="Z291" s="434"/>
      <c r="AB291" s="431"/>
      <c r="AC291" s="599"/>
      <c r="AD291" s="599"/>
      <c r="AE291" s="599"/>
      <c r="AF291" s="599"/>
      <c r="AG291" s="599"/>
      <c r="AH291" s="599"/>
      <c r="AI291" s="599"/>
      <c r="AJ291" s="599"/>
      <c r="AK291" s="599"/>
      <c r="AL291" s="599"/>
      <c r="AM291" s="432"/>
      <c r="AO291">
        <f ca="1">IF($A291="S",IF(BM!$I291=0,0,CHOOSE(MATCH(RegimeExecucao,{"Global","Unitário"},0),ROUND(ROUND(BM.MEDAcumulado,15-13*BM!$A$9)/100*BM!$I291,15-13*ORÇAMENTO!$AF$11),ROUND(ROUND(BM.MEDAcumulado,15-13*BM!$A$9)*ROUND(BM!$H291,15-13*ORÇAMENTO!$AF$10),15-13*ORÇAMENTO!$AF$11))),IF($A291=0,0,ROUND(SomaAgrupBM,15-13*ORÇAMENTO!$AF$11)))</f>
        <v>0</v>
      </c>
    </row>
    <row r="292" spans="1:41" ht="13.8" x14ac:dyDescent="0.3">
      <c r="A292" t="str">
        <f ca="1">ORÇAMENTO!C292</f>
        <v>S</v>
      </c>
      <c r="B292">
        <f ca="1">ORÇAMENTO!D292</f>
        <v>0</v>
      </c>
      <c r="C292" s="143" t="str">
        <f t="shared" ca="1" si="45"/>
        <v/>
      </c>
      <c r="D292" s="146" t="str">
        <f ca="1">ORÇAMENTO!O292</f>
        <v>-</v>
      </c>
      <c r="E292" s="206" t="str">
        <f t="shared" ca="1" si="46"/>
        <v>(abra o arquivo 'Referência 05-2024.xls)</v>
      </c>
      <c r="F292" s="207" t="str">
        <f t="shared" ca="1" si="47"/>
        <v>-</v>
      </c>
      <c r="G292" s="151">
        <f ca="1">IF(RegimeExecucao="Global","",ORÇAMENTO!T292)</f>
        <v>113.4</v>
      </c>
      <c r="H292" s="151">
        <f ca="1">IF(RegimeExecucao="Global","",ORÇAMENTO!W292)</f>
        <v>0</v>
      </c>
      <c r="I292" s="154">
        <f ca="1">ORÇAMENTO!X292</f>
        <v>0</v>
      </c>
      <c r="J292" s="427">
        <f t="shared" ca="1" si="48"/>
        <v>0</v>
      </c>
      <c r="K292" s="151">
        <f t="shared" ca="1" si="49"/>
        <v>0</v>
      </c>
      <c r="L292" s="428">
        <f t="shared" ca="1" si="50"/>
        <v>0</v>
      </c>
      <c r="M292" s="429">
        <f ca="1">IF($A292="S",VTOTALBM,IF($A292=0,0,ROUND(SomaAgrupBM,15-13*ORÇAMENTO!$AF$11)))</f>
        <v>0</v>
      </c>
      <c r="N292" s="430">
        <f t="shared" ca="1" si="51"/>
        <v>0</v>
      </c>
      <c r="O292" s="154">
        <f ca="1">IF($A292="S",VTOTALBM,IF($A292=0,0,ROUND(SomaAgrupBM,15-13*ORÇAMENTO!$AF$11)))</f>
        <v>0</v>
      </c>
      <c r="Q292" s="431"/>
      <c r="R292" s="432"/>
      <c r="T292" s="146" t="str">
        <f t="shared" ca="1" si="52"/>
        <v/>
      </c>
      <c r="U292" s="206" t="str">
        <f t="shared" ca="1" si="53"/>
        <v/>
      </c>
      <c r="V292" s="207" t="str">
        <f t="shared" ca="1" si="54"/>
        <v/>
      </c>
      <c r="W292" s="634">
        <f ca="1">IF($Y292&gt;0,CHOOSE(MATCH(RegimeExecucao,{"Unitário","Global"},0),IF($A292="S",$Y292/$X292,""),($Y292/$X292)*100),0)</f>
        <v>0</v>
      </c>
      <c r="X292" s="433" t="str">
        <f ca="1">IF($Y292&gt;0,CHOOSE(MATCH(RegimeExecucao,{"Unitário","Global"},0),IF($A292="S",ROUND($H292,ORÇAMENTO!$AF$10),""),ROUND($I292,ORÇAMENTO!$AF$11)),"")</f>
        <v/>
      </c>
      <c r="Y292" s="433">
        <f t="shared" ca="1" si="55"/>
        <v>0</v>
      </c>
      <c r="Z292" s="434"/>
      <c r="AB292" s="431"/>
      <c r="AC292" s="599"/>
      <c r="AD292" s="599"/>
      <c r="AE292" s="599"/>
      <c r="AF292" s="599"/>
      <c r="AG292" s="599"/>
      <c r="AH292" s="599"/>
      <c r="AI292" s="599"/>
      <c r="AJ292" s="599"/>
      <c r="AK292" s="599"/>
      <c r="AL292" s="599"/>
      <c r="AM292" s="432"/>
      <c r="AO292">
        <f ca="1">IF($A292="S",IF(BM!$I292=0,0,CHOOSE(MATCH(RegimeExecucao,{"Global","Unitário"},0),ROUND(ROUND(BM.MEDAcumulado,15-13*BM!$A$9)/100*BM!$I292,15-13*ORÇAMENTO!$AF$11),ROUND(ROUND(BM.MEDAcumulado,15-13*BM!$A$9)*ROUND(BM!$H292,15-13*ORÇAMENTO!$AF$10),15-13*ORÇAMENTO!$AF$11))),IF($A292=0,0,ROUND(SomaAgrupBM,15-13*ORÇAMENTO!$AF$11)))</f>
        <v>0</v>
      </c>
    </row>
    <row r="293" spans="1:41" ht="13.8" x14ac:dyDescent="0.3">
      <c r="A293" t="str">
        <f ca="1">ORÇAMENTO!C293</f>
        <v>S</v>
      </c>
      <c r="B293">
        <f ca="1">ORÇAMENTO!D293</f>
        <v>0</v>
      </c>
      <c r="C293" s="143" t="str">
        <f t="shared" ca="1" si="45"/>
        <v/>
      </c>
      <c r="D293" s="146" t="str">
        <f ca="1">ORÇAMENTO!O293</f>
        <v>-</v>
      </c>
      <c r="E293" s="206" t="str">
        <f t="shared" ca="1" si="46"/>
        <v>(abra o arquivo 'Referência 05-2024.xls)</v>
      </c>
      <c r="F293" s="207" t="str">
        <f t="shared" ca="1" si="47"/>
        <v>-</v>
      </c>
      <c r="G293" s="151">
        <f ca="1">IF(RegimeExecucao="Global","",ORÇAMENTO!T293)</f>
        <v>16.88</v>
      </c>
      <c r="H293" s="151">
        <f ca="1">IF(RegimeExecucao="Global","",ORÇAMENTO!W293)</f>
        <v>0</v>
      </c>
      <c r="I293" s="154">
        <f ca="1">ORÇAMENTO!X293</f>
        <v>0</v>
      </c>
      <c r="J293" s="427">
        <f t="shared" ca="1" si="48"/>
        <v>0</v>
      </c>
      <c r="K293" s="151">
        <f t="shared" ca="1" si="49"/>
        <v>0</v>
      </c>
      <c r="L293" s="428">
        <f t="shared" ca="1" si="50"/>
        <v>0</v>
      </c>
      <c r="M293" s="429">
        <f ca="1">IF($A293="S",VTOTALBM,IF($A293=0,0,ROUND(SomaAgrupBM,15-13*ORÇAMENTO!$AF$11)))</f>
        <v>0</v>
      </c>
      <c r="N293" s="430">
        <f t="shared" ca="1" si="51"/>
        <v>0</v>
      </c>
      <c r="O293" s="154">
        <f ca="1">IF($A293="S",VTOTALBM,IF($A293=0,0,ROUND(SomaAgrupBM,15-13*ORÇAMENTO!$AF$11)))</f>
        <v>0</v>
      </c>
      <c r="Q293" s="431"/>
      <c r="R293" s="432"/>
      <c r="T293" s="146" t="str">
        <f t="shared" ca="1" si="52"/>
        <v/>
      </c>
      <c r="U293" s="206" t="str">
        <f t="shared" ca="1" si="53"/>
        <v/>
      </c>
      <c r="V293" s="207" t="str">
        <f t="shared" ca="1" si="54"/>
        <v/>
      </c>
      <c r="W293" s="634">
        <f ca="1">IF($Y293&gt;0,CHOOSE(MATCH(RegimeExecucao,{"Unitário","Global"},0),IF($A293="S",$Y293/$X293,""),($Y293/$X293)*100),0)</f>
        <v>0</v>
      </c>
      <c r="X293" s="433" t="str">
        <f ca="1">IF($Y293&gt;0,CHOOSE(MATCH(RegimeExecucao,{"Unitário","Global"},0),IF($A293="S",ROUND($H293,ORÇAMENTO!$AF$10),""),ROUND($I293,ORÇAMENTO!$AF$11)),"")</f>
        <v/>
      </c>
      <c r="Y293" s="433">
        <f t="shared" ca="1" si="55"/>
        <v>0</v>
      </c>
      <c r="Z293" s="434"/>
      <c r="AB293" s="431"/>
      <c r="AC293" s="599"/>
      <c r="AD293" s="599"/>
      <c r="AE293" s="599"/>
      <c r="AF293" s="599"/>
      <c r="AG293" s="599"/>
      <c r="AH293" s="599"/>
      <c r="AI293" s="599"/>
      <c r="AJ293" s="599"/>
      <c r="AK293" s="599"/>
      <c r="AL293" s="599"/>
      <c r="AM293" s="432"/>
      <c r="AO293">
        <f ca="1">IF($A293="S",IF(BM!$I293=0,0,CHOOSE(MATCH(RegimeExecucao,{"Global","Unitário"},0),ROUND(ROUND(BM.MEDAcumulado,15-13*BM!$A$9)/100*BM!$I293,15-13*ORÇAMENTO!$AF$11),ROUND(ROUND(BM.MEDAcumulado,15-13*BM!$A$9)*ROUND(BM!$H293,15-13*ORÇAMENTO!$AF$10),15-13*ORÇAMENTO!$AF$11))),IF($A293=0,0,ROUND(SomaAgrupBM,15-13*ORÇAMENTO!$AF$11)))</f>
        <v>0</v>
      </c>
    </row>
    <row r="294" spans="1:41" ht="13.8" x14ac:dyDescent="0.3">
      <c r="A294" t="str">
        <f ca="1">ORÇAMENTO!C294</f>
        <v>S</v>
      </c>
      <c r="B294">
        <f ca="1">ORÇAMENTO!D294</f>
        <v>0</v>
      </c>
      <c r="C294" s="143" t="str">
        <f t="shared" ca="1" si="45"/>
        <v/>
      </c>
      <c r="D294" s="146" t="str">
        <f ca="1">ORÇAMENTO!O294</f>
        <v>-</v>
      </c>
      <c r="E294" s="206" t="str">
        <f t="shared" ca="1" si="46"/>
        <v>(abra o arquivo 'Referência 05-2024.xls)</v>
      </c>
      <c r="F294" s="207" t="str">
        <f t="shared" ca="1" si="47"/>
        <v>-</v>
      </c>
      <c r="G294" s="151">
        <f ca="1">IF(RegimeExecucao="Global","",ORÇAMENTO!T294)</f>
        <v>173.86</v>
      </c>
      <c r="H294" s="151">
        <f ca="1">IF(RegimeExecucao="Global","",ORÇAMENTO!W294)</f>
        <v>0</v>
      </c>
      <c r="I294" s="154">
        <f ca="1">ORÇAMENTO!X294</f>
        <v>0</v>
      </c>
      <c r="J294" s="427">
        <f t="shared" ca="1" si="48"/>
        <v>0</v>
      </c>
      <c r="K294" s="151">
        <f t="shared" ca="1" si="49"/>
        <v>0</v>
      </c>
      <c r="L294" s="428">
        <f t="shared" ca="1" si="50"/>
        <v>0</v>
      </c>
      <c r="M294" s="429">
        <f ca="1">IF($A294="S",VTOTALBM,IF($A294=0,0,ROUND(SomaAgrupBM,15-13*ORÇAMENTO!$AF$11)))</f>
        <v>0</v>
      </c>
      <c r="N294" s="430">
        <f t="shared" ca="1" si="51"/>
        <v>0</v>
      </c>
      <c r="O294" s="154">
        <f ca="1">IF($A294="S",VTOTALBM,IF($A294=0,0,ROUND(SomaAgrupBM,15-13*ORÇAMENTO!$AF$11)))</f>
        <v>0</v>
      </c>
      <c r="Q294" s="431"/>
      <c r="R294" s="432"/>
      <c r="T294" s="146" t="str">
        <f t="shared" ca="1" si="52"/>
        <v/>
      </c>
      <c r="U294" s="206" t="str">
        <f t="shared" ca="1" si="53"/>
        <v/>
      </c>
      <c r="V294" s="207" t="str">
        <f t="shared" ca="1" si="54"/>
        <v/>
      </c>
      <c r="W294" s="634">
        <f ca="1">IF($Y294&gt;0,CHOOSE(MATCH(RegimeExecucao,{"Unitário","Global"},0),IF($A294="S",$Y294/$X294,""),($Y294/$X294)*100),0)</f>
        <v>0</v>
      </c>
      <c r="X294" s="433" t="str">
        <f ca="1">IF($Y294&gt;0,CHOOSE(MATCH(RegimeExecucao,{"Unitário","Global"},0),IF($A294="S",ROUND($H294,ORÇAMENTO!$AF$10),""),ROUND($I294,ORÇAMENTO!$AF$11)),"")</f>
        <v/>
      </c>
      <c r="Y294" s="433">
        <f t="shared" ca="1" si="55"/>
        <v>0</v>
      </c>
      <c r="Z294" s="434"/>
      <c r="AB294" s="431"/>
      <c r="AC294" s="599"/>
      <c r="AD294" s="599"/>
      <c r="AE294" s="599"/>
      <c r="AF294" s="599"/>
      <c r="AG294" s="599"/>
      <c r="AH294" s="599"/>
      <c r="AI294" s="599"/>
      <c r="AJ294" s="599"/>
      <c r="AK294" s="599"/>
      <c r="AL294" s="599"/>
      <c r="AM294" s="432"/>
      <c r="AO294">
        <f ca="1">IF($A294="S",IF(BM!$I294=0,0,CHOOSE(MATCH(RegimeExecucao,{"Global","Unitário"},0),ROUND(ROUND(BM.MEDAcumulado,15-13*BM!$A$9)/100*BM!$I294,15-13*ORÇAMENTO!$AF$11),ROUND(ROUND(BM.MEDAcumulado,15-13*BM!$A$9)*ROUND(BM!$H294,15-13*ORÇAMENTO!$AF$10),15-13*ORÇAMENTO!$AF$11))),IF($A294=0,0,ROUND(SomaAgrupBM,15-13*ORÇAMENTO!$AF$11)))</f>
        <v>0</v>
      </c>
    </row>
    <row r="295" spans="1:41" ht="13.8" x14ac:dyDescent="0.3">
      <c r="A295" t="str">
        <f ca="1">ORÇAMENTO!C295</f>
        <v>S</v>
      </c>
      <c r="B295">
        <f ca="1">ORÇAMENTO!D295</f>
        <v>0</v>
      </c>
      <c r="C295" s="143" t="str">
        <f t="shared" ca="1" si="45"/>
        <v/>
      </c>
      <c r="D295" s="146" t="str">
        <f ca="1">ORÇAMENTO!O295</f>
        <v>-</v>
      </c>
      <c r="E295" s="206" t="str">
        <f t="shared" ca="1" si="46"/>
        <v>(abra o arquivo 'Referência 05-2024.xls)</v>
      </c>
      <c r="F295" s="207" t="str">
        <f t="shared" ca="1" si="47"/>
        <v>-</v>
      </c>
      <c r="G295" s="151">
        <f ca="1">IF(RegimeExecucao="Global","",ORÇAMENTO!T295)</f>
        <v>269.72000000000003</v>
      </c>
      <c r="H295" s="151">
        <f ca="1">IF(RegimeExecucao="Global","",ORÇAMENTO!W295)</f>
        <v>0</v>
      </c>
      <c r="I295" s="154">
        <f ca="1">ORÇAMENTO!X295</f>
        <v>0</v>
      </c>
      <c r="J295" s="427">
        <f t="shared" ca="1" si="48"/>
        <v>0</v>
      </c>
      <c r="K295" s="151">
        <f t="shared" ca="1" si="49"/>
        <v>0</v>
      </c>
      <c r="L295" s="428">
        <f t="shared" ca="1" si="50"/>
        <v>0</v>
      </c>
      <c r="M295" s="429">
        <f ca="1">IF($A295="S",VTOTALBM,IF($A295=0,0,ROUND(SomaAgrupBM,15-13*ORÇAMENTO!$AF$11)))</f>
        <v>0</v>
      </c>
      <c r="N295" s="430">
        <f t="shared" ca="1" si="51"/>
        <v>0</v>
      </c>
      <c r="O295" s="154">
        <f ca="1">IF($A295="S",VTOTALBM,IF($A295=0,0,ROUND(SomaAgrupBM,15-13*ORÇAMENTO!$AF$11)))</f>
        <v>0</v>
      </c>
      <c r="Q295" s="431"/>
      <c r="R295" s="432"/>
      <c r="T295" s="146" t="str">
        <f t="shared" ca="1" si="52"/>
        <v/>
      </c>
      <c r="U295" s="206" t="str">
        <f t="shared" ca="1" si="53"/>
        <v/>
      </c>
      <c r="V295" s="207" t="str">
        <f t="shared" ca="1" si="54"/>
        <v/>
      </c>
      <c r="W295" s="634">
        <f ca="1">IF($Y295&gt;0,CHOOSE(MATCH(RegimeExecucao,{"Unitário","Global"},0),IF($A295="S",$Y295/$X295,""),($Y295/$X295)*100),0)</f>
        <v>0</v>
      </c>
      <c r="X295" s="433" t="str">
        <f ca="1">IF($Y295&gt;0,CHOOSE(MATCH(RegimeExecucao,{"Unitário","Global"},0),IF($A295="S",ROUND($H295,ORÇAMENTO!$AF$10),""),ROUND($I295,ORÇAMENTO!$AF$11)),"")</f>
        <v/>
      </c>
      <c r="Y295" s="433">
        <f t="shared" ca="1" si="55"/>
        <v>0</v>
      </c>
      <c r="Z295" s="434"/>
      <c r="AB295" s="431"/>
      <c r="AC295" s="599"/>
      <c r="AD295" s="599"/>
      <c r="AE295" s="599"/>
      <c r="AF295" s="599"/>
      <c r="AG295" s="599"/>
      <c r="AH295" s="599"/>
      <c r="AI295" s="599"/>
      <c r="AJ295" s="599"/>
      <c r="AK295" s="599"/>
      <c r="AL295" s="599"/>
      <c r="AM295" s="432"/>
      <c r="AO295">
        <f ca="1">IF($A295="S",IF(BM!$I295=0,0,CHOOSE(MATCH(RegimeExecucao,{"Global","Unitário"},0),ROUND(ROUND(BM.MEDAcumulado,15-13*BM!$A$9)/100*BM!$I295,15-13*ORÇAMENTO!$AF$11),ROUND(ROUND(BM.MEDAcumulado,15-13*BM!$A$9)*ROUND(BM!$H295,15-13*ORÇAMENTO!$AF$10),15-13*ORÇAMENTO!$AF$11))),IF($A295=0,0,ROUND(SomaAgrupBM,15-13*ORÇAMENTO!$AF$11)))</f>
        <v>0</v>
      </c>
    </row>
    <row r="296" spans="1:41" ht="13.8" x14ac:dyDescent="0.3">
      <c r="A296" t="str">
        <f ca="1">ORÇAMENTO!C296</f>
        <v>S</v>
      </c>
      <c r="B296">
        <f ca="1">ORÇAMENTO!D296</f>
        <v>0</v>
      </c>
      <c r="C296" s="143" t="str">
        <f t="shared" ca="1" si="45"/>
        <v/>
      </c>
      <c r="D296" s="146" t="str">
        <f ca="1">ORÇAMENTO!O296</f>
        <v>-</v>
      </c>
      <c r="E296" s="206" t="str">
        <f t="shared" ca="1" si="46"/>
        <v>(abra o arquivo 'Referência 05-2024.xls)</v>
      </c>
      <c r="F296" s="207" t="str">
        <f t="shared" ca="1" si="47"/>
        <v>-</v>
      </c>
      <c r="G296" s="151">
        <f ca="1">IF(RegimeExecucao="Global","",ORÇAMENTO!T296)</f>
        <v>1173.21</v>
      </c>
      <c r="H296" s="151">
        <f ca="1">IF(RegimeExecucao="Global","",ORÇAMENTO!W296)</f>
        <v>0</v>
      </c>
      <c r="I296" s="154">
        <f ca="1">ORÇAMENTO!X296</f>
        <v>0</v>
      </c>
      <c r="J296" s="427">
        <f t="shared" ca="1" si="48"/>
        <v>0</v>
      </c>
      <c r="K296" s="151">
        <f t="shared" ca="1" si="49"/>
        <v>0</v>
      </c>
      <c r="L296" s="428">
        <f t="shared" ca="1" si="50"/>
        <v>0</v>
      </c>
      <c r="M296" s="429">
        <f ca="1">IF($A296="S",VTOTALBM,IF($A296=0,0,ROUND(SomaAgrupBM,15-13*ORÇAMENTO!$AF$11)))</f>
        <v>0</v>
      </c>
      <c r="N296" s="430">
        <f t="shared" ca="1" si="51"/>
        <v>0</v>
      </c>
      <c r="O296" s="154">
        <f ca="1">IF($A296="S",VTOTALBM,IF($A296=0,0,ROUND(SomaAgrupBM,15-13*ORÇAMENTO!$AF$11)))</f>
        <v>0</v>
      </c>
      <c r="Q296" s="431"/>
      <c r="R296" s="432"/>
      <c r="T296" s="146" t="str">
        <f t="shared" ca="1" si="52"/>
        <v/>
      </c>
      <c r="U296" s="206" t="str">
        <f t="shared" ca="1" si="53"/>
        <v/>
      </c>
      <c r="V296" s="207" t="str">
        <f t="shared" ca="1" si="54"/>
        <v/>
      </c>
      <c r="W296" s="634">
        <f ca="1">IF($Y296&gt;0,CHOOSE(MATCH(RegimeExecucao,{"Unitário","Global"},0),IF($A296="S",$Y296/$X296,""),($Y296/$X296)*100),0)</f>
        <v>0</v>
      </c>
      <c r="X296" s="433" t="str">
        <f ca="1">IF($Y296&gt;0,CHOOSE(MATCH(RegimeExecucao,{"Unitário","Global"},0),IF($A296="S",ROUND($H296,ORÇAMENTO!$AF$10),""),ROUND($I296,ORÇAMENTO!$AF$11)),"")</f>
        <v/>
      </c>
      <c r="Y296" s="433">
        <f t="shared" ca="1" si="55"/>
        <v>0</v>
      </c>
      <c r="Z296" s="434"/>
      <c r="AB296" s="431"/>
      <c r="AC296" s="599"/>
      <c r="AD296" s="599"/>
      <c r="AE296" s="599"/>
      <c r="AF296" s="599"/>
      <c r="AG296" s="599"/>
      <c r="AH296" s="599"/>
      <c r="AI296" s="599"/>
      <c r="AJ296" s="599"/>
      <c r="AK296" s="599"/>
      <c r="AL296" s="599"/>
      <c r="AM296" s="432"/>
      <c r="AO296">
        <f ca="1">IF($A296="S",IF(BM!$I296=0,0,CHOOSE(MATCH(RegimeExecucao,{"Global","Unitário"},0),ROUND(ROUND(BM.MEDAcumulado,15-13*BM!$A$9)/100*BM!$I296,15-13*ORÇAMENTO!$AF$11),ROUND(ROUND(BM.MEDAcumulado,15-13*BM!$A$9)*ROUND(BM!$H296,15-13*ORÇAMENTO!$AF$10),15-13*ORÇAMENTO!$AF$11))),IF($A296=0,0,ROUND(SomaAgrupBM,15-13*ORÇAMENTO!$AF$11)))</f>
        <v>0</v>
      </c>
    </row>
    <row r="297" spans="1:41" ht="13.8" x14ac:dyDescent="0.3">
      <c r="A297" t="str">
        <f ca="1">ORÇAMENTO!C297</f>
        <v>S</v>
      </c>
      <c r="B297">
        <f ca="1">ORÇAMENTO!D297</f>
        <v>0</v>
      </c>
      <c r="C297" s="143" t="str">
        <f t="shared" ca="1" si="45"/>
        <v/>
      </c>
      <c r="D297" s="146" t="str">
        <f ca="1">ORÇAMENTO!O297</f>
        <v>-</v>
      </c>
      <c r="E297" s="206" t="str">
        <f t="shared" ca="1" si="46"/>
        <v>(abra o arquivo 'Referência 05-2024.xls)</v>
      </c>
      <c r="F297" s="207" t="str">
        <f t="shared" ca="1" si="47"/>
        <v>-</v>
      </c>
      <c r="G297" s="151">
        <f ca="1">IF(RegimeExecucao="Global","",ORÇAMENTO!T297)</f>
        <v>426.58</v>
      </c>
      <c r="H297" s="151">
        <f ca="1">IF(RegimeExecucao="Global","",ORÇAMENTO!W297)</f>
        <v>0</v>
      </c>
      <c r="I297" s="154">
        <f ca="1">ORÇAMENTO!X297</f>
        <v>0</v>
      </c>
      <c r="J297" s="427">
        <f t="shared" ca="1" si="48"/>
        <v>0</v>
      </c>
      <c r="K297" s="151">
        <f t="shared" ca="1" si="49"/>
        <v>0</v>
      </c>
      <c r="L297" s="428">
        <f t="shared" ca="1" si="50"/>
        <v>0</v>
      </c>
      <c r="M297" s="429">
        <f ca="1">IF($A297="S",VTOTALBM,IF($A297=0,0,ROUND(SomaAgrupBM,15-13*ORÇAMENTO!$AF$11)))</f>
        <v>0</v>
      </c>
      <c r="N297" s="430">
        <f t="shared" ca="1" si="51"/>
        <v>0</v>
      </c>
      <c r="O297" s="154">
        <f ca="1">IF($A297="S",VTOTALBM,IF($A297=0,0,ROUND(SomaAgrupBM,15-13*ORÇAMENTO!$AF$11)))</f>
        <v>0</v>
      </c>
      <c r="Q297" s="431"/>
      <c r="R297" s="432"/>
      <c r="T297" s="146" t="str">
        <f t="shared" ca="1" si="52"/>
        <v/>
      </c>
      <c r="U297" s="206" t="str">
        <f t="shared" ca="1" si="53"/>
        <v/>
      </c>
      <c r="V297" s="207" t="str">
        <f t="shared" ca="1" si="54"/>
        <v/>
      </c>
      <c r="W297" s="634">
        <f ca="1">IF($Y297&gt;0,CHOOSE(MATCH(RegimeExecucao,{"Unitário","Global"},0),IF($A297="S",$Y297/$X297,""),($Y297/$X297)*100),0)</f>
        <v>0</v>
      </c>
      <c r="X297" s="433" t="str">
        <f ca="1">IF($Y297&gt;0,CHOOSE(MATCH(RegimeExecucao,{"Unitário","Global"},0),IF($A297="S",ROUND($H297,ORÇAMENTO!$AF$10),""),ROUND($I297,ORÇAMENTO!$AF$11)),"")</f>
        <v/>
      </c>
      <c r="Y297" s="433">
        <f t="shared" ca="1" si="55"/>
        <v>0</v>
      </c>
      <c r="Z297" s="434"/>
      <c r="AB297" s="431"/>
      <c r="AC297" s="599"/>
      <c r="AD297" s="599"/>
      <c r="AE297" s="599"/>
      <c r="AF297" s="599"/>
      <c r="AG297" s="599"/>
      <c r="AH297" s="599"/>
      <c r="AI297" s="599"/>
      <c r="AJ297" s="599"/>
      <c r="AK297" s="599"/>
      <c r="AL297" s="599"/>
      <c r="AM297" s="432"/>
      <c r="AO297">
        <f ca="1">IF($A297="S",IF(BM!$I297=0,0,CHOOSE(MATCH(RegimeExecucao,{"Global","Unitário"},0),ROUND(ROUND(BM.MEDAcumulado,15-13*BM!$A$9)/100*BM!$I297,15-13*ORÇAMENTO!$AF$11),ROUND(ROUND(BM.MEDAcumulado,15-13*BM!$A$9)*ROUND(BM!$H297,15-13*ORÇAMENTO!$AF$10),15-13*ORÇAMENTO!$AF$11))),IF($A297=0,0,ROUND(SomaAgrupBM,15-13*ORÇAMENTO!$AF$11)))</f>
        <v>0</v>
      </c>
    </row>
    <row r="298" spans="1:41" ht="13.8" x14ac:dyDescent="0.3">
      <c r="A298">
        <f ca="1">ORÇAMENTO!C298</f>
        <v>3</v>
      </c>
      <c r="B298">
        <f ca="1">ORÇAMENTO!D298</f>
        <v>3</v>
      </c>
      <c r="C298" s="143" t="str">
        <f t="shared" ca="1" si="45"/>
        <v>F</v>
      </c>
      <c r="D298" s="146" t="str">
        <f ca="1">ORÇAMENTO!O298</f>
        <v>1.11.2.</v>
      </c>
      <c r="E298" s="206" t="str">
        <f t="shared" si="46"/>
        <v>MURETA</v>
      </c>
      <c r="F298" s="207" t="str">
        <f t="shared" ca="1" si="47"/>
        <v>-</v>
      </c>
      <c r="G298" s="151">
        <f ca="1">IF(RegimeExecucao="Global","",ORÇAMENTO!T298)</f>
        <v>0</v>
      </c>
      <c r="H298" s="151">
        <f ca="1">IF(RegimeExecucao="Global","",ORÇAMENTO!W298)</f>
        <v>0</v>
      </c>
      <c r="I298" s="154">
        <f ca="1">ORÇAMENTO!X298</f>
        <v>0</v>
      </c>
      <c r="J298" s="427">
        <f t="shared" ca="1" si="48"/>
        <v>0</v>
      </c>
      <c r="K298" s="151">
        <f t="shared" ca="1" si="49"/>
        <v>0</v>
      </c>
      <c r="L298" s="428">
        <f t="shared" ca="1" si="50"/>
        <v>0</v>
      </c>
      <c r="M298" s="429">
        <f ca="1">IF($A298="S",VTOTALBM,IF($A298=0,0,ROUND(SomaAgrupBM,15-13*ORÇAMENTO!$AF$11)))</f>
        <v>0</v>
      </c>
      <c r="N298" s="430">
        <f t="shared" ca="1" si="51"/>
        <v>0</v>
      </c>
      <c r="O298" s="154">
        <f ca="1">IF($A298="S",VTOTALBM,IF($A298=0,0,ROUND(SomaAgrupBM,15-13*ORÇAMENTO!$AF$11)))</f>
        <v>0</v>
      </c>
      <c r="Q298" s="431"/>
      <c r="R298" s="432"/>
      <c r="T298" s="146" t="str">
        <f t="shared" ca="1" si="52"/>
        <v/>
      </c>
      <c r="U298" s="206" t="str">
        <f t="shared" ca="1" si="53"/>
        <v/>
      </c>
      <c r="V298" s="207" t="str">
        <f t="shared" ca="1" si="54"/>
        <v/>
      </c>
      <c r="W298" s="634">
        <f ca="1">IF($Y298&gt;0,CHOOSE(MATCH(RegimeExecucao,{"Unitário","Global"},0),IF($A298="S",$Y298/$X298,""),($Y298/$X298)*100),0)</f>
        <v>0</v>
      </c>
      <c r="X298" s="433" t="str">
        <f ca="1">IF($Y298&gt;0,CHOOSE(MATCH(RegimeExecucao,{"Unitário","Global"},0),IF($A298="S",ROUND($H298,ORÇAMENTO!$AF$10),""),ROUND($I298,ORÇAMENTO!$AF$11)),"")</f>
        <v/>
      </c>
      <c r="Y298" s="433">
        <f t="shared" ca="1" si="55"/>
        <v>0</v>
      </c>
      <c r="Z298" s="434"/>
      <c r="AB298" s="431"/>
      <c r="AC298" s="599"/>
      <c r="AD298" s="599"/>
      <c r="AE298" s="599"/>
      <c r="AF298" s="599"/>
      <c r="AG298" s="599"/>
      <c r="AH298" s="599"/>
      <c r="AI298" s="599"/>
      <c r="AJ298" s="599"/>
      <c r="AK298" s="599"/>
      <c r="AL298" s="599"/>
      <c r="AM298" s="432"/>
      <c r="AO298">
        <f ca="1">IF($A298="S",IF(BM!$I298=0,0,CHOOSE(MATCH(RegimeExecucao,{"Global","Unitário"},0),ROUND(ROUND(BM.MEDAcumulado,15-13*BM!$A$9)/100*BM!$I298,15-13*ORÇAMENTO!$AF$11),ROUND(ROUND(BM.MEDAcumulado,15-13*BM!$A$9)*ROUND(BM!$H298,15-13*ORÇAMENTO!$AF$10),15-13*ORÇAMENTO!$AF$11))),IF($A298=0,0,ROUND(SomaAgrupBM,15-13*ORÇAMENTO!$AF$11)))</f>
        <v>0</v>
      </c>
    </row>
    <row r="299" spans="1:41" ht="13.8" x14ac:dyDescent="0.3">
      <c r="A299" t="str">
        <f ca="1">ORÇAMENTO!C299</f>
        <v>S</v>
      </c>
      <c r="B299">
        <f ca="1">ORÇAMENTO!D299</f>
        <v>0</v>
      </c>
      <c r="C299" s="143" t="str">
        <f t="shared" ca="1" si="45"/>
        <v/>
      </c>
      <c r="D299" s="146" t="str">
        <f ca="1">ORÇAMENTO!O299</f>
        <v>-</v>
      </c>
      <c r="E299" s="206" t="str">
        <f t="shared" ca="1" si="46"/>
        <v>(abra o arquivo 'Referência 05-2024.xls)</v>
      </c>
      <c r="F299" s="207" t="str">
        <f t="shared" ca="1" si="47"/>
        <v>-</v>
      </c>
      <c r="G299" s="151">
        <f ca="1">IF(RegimeExecucao="Global","",ORÇAMENTO!T299)</f>
        <v>1201.4100000000001</v>
      </c>
      <c r="H299" s="151">
        <f ca="1">IF(RegimeExecucao="Global","",ORÇAMENTO!W299)</f>
        <v>0</v>
      </c>
      <c r="I299" s="154">
        <f ca="1">ORÇAMENTO!X299</f>
        <v>0</v>
      </c>
      <c r="J299" s="427">
        <f t="shared" ca="1" si="48"/>
        <v>0</v>
      </c>
      <c r="K299" s="151">
        <f t="shared" ca="1" si="49"/>
        <v>0</v>
      </c>
      <c r="L299" s="428">
        <f t="shared" ca="1" si="50"/>
        <v>0</v>
      </c>
      <c r="M299" s="429">
        <f ca="1">IF($A299="S",VTOTALBM,IF($A299=0,0,ROUND(SomaAgrupBM,15-13*ORÇAMENTO!$AF$11)))</f>
        <v>0</v>
      </c>
      <c r="N299" s="430">
        <f t="shared" ca="1" si="51"/>
        <v>0</v>
      </c>
      <c r="O299" s="154">
        <f ca="1">IF($A299="S",VTOTALBM,IF($A299=0,0,ROUND(SomaAgrupBM,15-13*ORÇAMENTO!$AF$11)))</f>
        <v>0</v>
      </c>
      <c r="Q299" s="431"/>
      <c r="R299" s="432"/>
      <c r="T299" s="146" t="str">
        <f t="shared" ca="1" si="52"/>
        <v/>
      </c>
      <c r="U299" s="206" t="str">
        <f t="shared" ca="1" si="53"/>
        <v/>
      </c>
      <c r="V299" s="207" t="str">
        <f t="shared" ca="1" si="54"/>
        <v/>
      </c>
      <c r="W299" s="634">
        <f ca="1">IF($Y299&gt;0,CHOOSE(MATCH(RegimeExecucao,{"Unitário","Global"},0),IF($A299="S",$Y299/$X299,""),($Y299/$X299)*100),0)</f>
        <v>0</v>
      </c>
      <c r="X299" s="433" t="str">
        <f ca="1">IF($Y299&gt;0,CHOOSE(MATCH(RegimeExecucao,{"Unitário","Global"},0),IF($A299="S",ROUND($H299,ORÇAMENTO!$AF$10),""),ROUND($I299,ORÇAMENTO!$AF$11)),"")</f>
        <v/>
      </c>
      <c r="Y299" s="433">
        <f t="shared" ca="1" si="55"/>
        <v>0</v>
      </c>
      <c r="Z299" s="434"/>
      <c r="AB299" s="431"/>
      <c r="AC299" s="599"/>
      <c r="AD299" s="599"/>
      <c r="AE299" s="599"/>
      <c r="AF299" s="599"/>
      <c r="AG299" s="599"/>
      <c r="AH299" s="599"/>
      <c r="AI299" s="599"/>
      <c r="AJ299" s="599"/>
      <c r="AK299" s="599"/>
      <c r="AL299" s="599"/>
      <c r="AM299" s="432"/>
      <c r="AO299">
        <f ca="1">IF($A299="S",IF(BM!$I299=0,0,CHOOSE(MATCH(RegimeExecucao,{"Global","Unitário"},0),ROUND(ROUND(BM.MEDAcumulado,15-13*BM!$A$9)/100*BM!$I299,15-13*ORÇAMENTO!$AF$11),ROUND(ROUND(BM.MEDAcumulado,15-13*BM!$A$9)*ROUND(BM!$H299,15-13*ORÇAMENTO!$AF$10),15-13*ORÇAMENTO!$AF$11))),IF($A299=0,0,ROUND(SomaAgrupBM,15-13*ORÇAMENTO!$AF$11)))</f>
        <v>0</v>
      </c>
    </row>
    <row r="300" spans="1:41" ht="13.8" x14ac:dyDescent="0.3">
      <c r="A300" t="str">
        <f ca="1">ORÇAMENTO!C300</f>
        <v>S</v>
      </c>
      <c r="B300">
        <f ca="1">ORÇAMENTO!D300</f>
        <v>0</v>
      </c>
      <c r="C300" s="143" t="str">
        <f t="shared" ca="1" si="45"/>
        <v/>
      </c>
      <c r="D300" s="146" t="str">
        <f ca="1">ORÇAMENTO!O300</f>
        <v>-</v>
      </c>
      <c r="E300" s="206" t="str">
        <f t="shared" ca="1" si="46"/>
        <v>(abra o arquivo 'Referência 05-2024.xls)</v>
      </c>
      <c r="F300" s="207" t="str">
        <f t="shared" ca="1" si="47"/>
        <v>-</v>
      </c>
      <c r="G300" s="151">
        <f ca="1">IF(RegimeExecucao="Global","",ORÇAMENTO!T300)</f>
        <v>97.27</v>
      </c>
      <c r="H300" s="151">
        <f ca="1">IF(RegimeExecucao="Global","",ORÇAMENTO!W300)</f>
        <v>0</v>
      </c>
      <c r="I300" s="154">
        <f ca="1">ORÇAMENTO!X300</f>
        <v>0</v>
      </c>
      <c r="J300" s="427">
        <f t="shared" ca="1" si="48"/>
        <v>0</v>
      </c>
      <c r="K300" s="151">
        <f t="shared" ca="1" si="49"/>
        <v>0</v>
      </c>
      <c r="L300" s="428">
        <f t="shared" ca="1" si="50"/>
        <v>0</v>
      </c>
      <c r="M300" s="429">
        <f ca="1">IF($A300="S",VTOTALBM,IF($A300=0,0,ROUND(SomaAgrupBM,15-13*ORÇAMENTO!$AF$11)))</f>
        <v>0</v>
      </c>
      <c r="N300" s="430">
        <f t="shared" ca="1" si="51"/>
        <v>0</v>
      </c>
      <c r="O300" s="154">
        <f ca="1">IF($A300="S",VTOTALBM,IF($A300=0,0,ROUND(SomaAgrupBM,15-13*ORÇAMENTO!$AF$11)))</f>
        <v>0</v>
      </c>
      <c r="Q300" s="431"/>
      <c r="R300" s="432"/>
      <c r="T300" s="146" t="str">
        <f t="shared" ca="1" si="52"/>
        <v/>
      </c>
      <c r="U300" s="206" t="str">
        <f t="shared" ca="1" si="53"/>
        <v/>
      </c>
      <c r="V300" s="207" t="str">
        <f t="shared" ca="1" si="54"/>
        <v/>
      </c>
      <c r="W300" s="634">
        <f ca="1">IF($Y300&gt;0,CHOOSE(MATCH(RegimeExecucao,{"Unitário","Global"},0),IF($A300="S",$Y300/$X300,""),($Y300/$X300)*100),0)</f>
        <v>0</v>
      </c>
      <c r="X300" s="433" t="str">
        <f ca="1">IF($Y300&gt;0,CHOOSE(MATCH(RegimeExecucao,{"Unitário","Global"},0),IF($A300="S",ROUND($H300,ORÇAMENTO!$AF$10),""),ROUND($I300,ORÇAMENTO!$AF$11)),"")</f>
        <v/>
      </c>
      <c r="Y300" s="433">
        <f t="shared" ca="1" si="55"/>
        <v>0</v>
      </c>
      <c r="Z300" s="434"/>
      <c r="AB300" s="431"/>
      <c r="AC300" s="599"/>
      <c r="AD300" s="599"/>
      <c r="AE300" s="599"/>
      <c r="AF300" s="599"/>
      <c r="AG300" s="599"/>
      <c r="AH300" s="599"/>
      <c r="AI300" s="599"/>
      <c r="AJ300" s="599"/>
      <c r="AK300" s="599"/>
      <c r="AL300" s="599"/>
      <c r="AM300" s="432"/>
      <c r="AO300">
        <f ca="1">IF($A300="S",IF(BM!$I300=0,0,CHOOSE(MATCH(RegimeExecucao,{"Global","Unitário"},0),ROUND(ROUND(BM.MEDAcumulado,15-13*BM!$A$9)/100*BM!$I300,15-13*ORÇAMENTO!$AF$11),ROUND(ROUND(BM.MEDAcumulado,15-13*BM!$A$9)*ROUND(BM!$H300,15-13*ORÇAMENTO!$AF$10),15-13*ORÇAMENTO!$AF$11))),IF($A300=0,0,ROUND(SomaAgrupBM,15-13*ORÇAMENTO!$AF$11)))</f>
        <v>0</v>
      </c>
    </row>
    <row r="301" spans="1:41" ht="13.8" x14ac:dyDescent="0.3">
      <c r="A301">
        <f ca="1">ORÇAMENTO!C301</f>
        <v>2</v>
      </c>
      <c r="B301">
        <f ca="1">ORÇAMENTO!D301</f>
        <v>70</v>
      </c>
      <c r="C301" s="143" t="str">
        <f t="shared" ca="1" si="45"/>
        <v>F</v>
      </c>
      <c r="D301" s="146" t="str">
        <f ca="1">ORÇAMENTO!O301</f>
        <v>1.12.</v>
      </c>
      <c r="E301" s="206" t="str">
        <f t="shared" si="46"/>
        <v xml:space="preserve">INSTALAÇÃO HIDRÁULICA </v>
      </c>
      <c r="F301" s="207" t="str">
        <f t="shared" ca="1" si="47"/>
        <v>-</v>
      </c>
      <c r="G301" s="151">
        <f ca="1">IF(RegimeExecucao="Global","",ORÇAMENTO!T301)</f>
        <v>0</v>
      </c>
      <c r="H301" s="151">
        <f ca="1">IF(RegimeExecucao="Global","",ORÇAMENTO!W301)</f>
        <v>0</v>
      </c>
      <c r="I301" s="154">
        <f ca="1">ORÇAMENTO!X301</f>
        <v>0</v>
      </c>
      <c r="J301" s="427">
        <f t="shared" ca="1" si="48"/>
        <v>0</v>
      </c>
      <c r="K301" s="151">
        <f t="shared" ca="1" si="49"/>
        <v>0</v>
      </c>
      <c r="L301" s="428">
        <f t="shared" ca="1" si="50"/>
        <v>0</v>
      </c>
      <c r="M301" s="429">
        <f ca="1">IF($A301="S",VTOTALBM,IF($A301=0,0,ROUND(SomaAgrupBM,15-13*ORÇAMENTO!$AF$11)))</f>
        <v>0</v>
      </c>
      <c r="N301" s="430">
        <f t="shared" ca="1" si="51"/>
        <v>0</v>
      </c>
      <c r="O301" s="154">
        <f ca="1">IF($A301="S",VTOTALBM,IF($A301=0,0,ROUND(SomaAgrupBM,15-13*ORÇAMENTO!$AF$11)))</f>
        <v>0</v>
      </c>
      <c r="Q301" s="431"/>
      <c r="R301" s="432"/>
      <c r="T301" s="146" t="str">
        <f t="shared" ca="1" si="52"/>
        <v/>
      </c>
      <c r="U301" s="206" t="str">
        <f t="shared" ca="1" si="53"/>
        <v/>
      </c>
      <c r="V301" s="207" t="str">
        <f t="shared" ca="1" si="54"/>
        <v/>
      </c>
      <c r="W301" s="634">
        <f ca="1">IF($Y301&gt;0,CHOOSE(MATCH(RegimeExecucao,{"Unitário","Global"},0),IF($A301="S",$Y301/$X301,""),($Y301/$X301)*100),0)</f>
        <v>0</v>
      </c>
      <c r="X301" s="433" t="str">
        <f ca="1">IF($Y301&gt;0,CHOOSE(MATCH(RegimeExecucao,{"Unitário","Global"},0),IF($A301="S",ROUND($H301,ORÇAMENTO!$AF$10),""),ROUND($I301,ORÇAMENTO!$AF$11)),"")</f>
        <v/>
      </c>
      <c r="Y301" s="433">
        <f t="shared" ca="1" si="55"/>
        <v>0</v>
      </c>
      <c r="Z301" s="434"/>
      <c r="AB301" s="431"/>
      <c r="AC301" s="599"/>
      <c r="AD301" s="599"/>
      <c r="AE301" s="599"/>
      <c r="AF301" s="599"/>
      <c r="AG301" s="599"/>
      <c r="AH301" s="599"/>
      <c r="AI301" s="599"/>
      <c r="AJ301" s="599"/>
      <c r="AK301" s="599"/>
      <c r="AL301" s="599"/>
      <c r="AM301" s="432"/>
      <c r="AO301">
        <f ca="1">IF($A301="S",IF(BM!$I301=0,0,CHOOSE(MATCH(RegimeExecucao,{"Global","Unitário"},0),ROUND(ROUND(BM.MEDAcumulado,15-13*BM!$A$9)/100*BM!$I301,15-13*ORÇAMENTO!$AF$11),ROUND(ROUND(BM.MEDAcumulado,15-13*BM!$A$9)*ROUND(BM!$H301,15-13*ORÇAMENTO!$AF$10),15-13*ORÇAMENTO!$AF$11))),IF($A301=0,0,ROUND(SomaAgrupBM,15-13*ORÇAMENTO!$AF$11)))</f>
        <v>0</v>
      </c>
    </row>
    <row r="302" spans="1:41" ht="13.8" x14ac:dyDescent="0.3">
      <c r="A302">
        <f ca="1">ORÇAMENTO!C302</f>
        <v>3</v>
      </c>
      <c r="B302">
        <f ca="1">ORÇAMENTO!D302</f>
        <v>49</v>
      </c>
      <c r="C302" s="143" t="str">
        <f t="shared" ca="1" si="45"/>
        <v>F</v>
      </c>
      <c r="D302" s="146" t="str">
        <f ca="1">ORÇAMENTO!O302</f>
        <v>1.12.1.</v>
      </c>
      <c r="E302" s="206" t="str">
        <f t="shared" si="46"/>
        <v>TUBULAÇÕES E CONEXÕES DE PVC RÍGIDO</v>
      </c>
      <c r="F302" s="207" t="str">
        <f t="shared" ca="1" si="47"/>
        <v>-</v>
      </c>
      <c r="G302" s="151">
        <f ca="1">IF(RegimeExecucao="Global","",ORÇAMENTO!T302)</f>
        <v>0</v>
      </c>
      <c r="H302" s="151">
        <f ca="1">IF(RegimeExecucao="Global","",ORÇAMENTO!W302)</f>
        <v>0</v>
      </c>
      <c r="I302" s="154">
        <f ca="1">ORÇAMENTO!X302</f>
        <v>0</v>
      </c>
      <c r="J302" s="427">
        <f t="shared" ca="1" si="48"/>
        <v>0</v>
      </c>
      <c r="K302" s="151">
        <f t="shared" ca="1" si="49"/>
        <v>0</v>
      </c>
      <c r="L302" s="428">
        <f t="shared" ca="1" si="50"/>
        <v>0</v>
      </c>
      <c r="M302" s="429">
        <f ca="1">IF($A302="S",VTOTALBM,IF($A302=0,0,ROUND(SomaAgrupBM,15-13*ORÇAMENTO!$AF$11)))</f>
        <v>0</v>
      </c>
      <c r="N302" s="430">
        <f t="shared" ca="1" si="51"/>
        <v>0</v>
      </c>
      <c r="O302" s="154">
        <f ca="1">IF($A302="S",VTOTALBM,IF($A302=0,0,ROUND(SomaAgrupBM,15-13*ORÇAMENTO!$AF$11)))</f>
        <v>0</v>
      </c>
      <c r="Q302" s="431"/>
      <c r="R302" s="432"/>
      <c r="T302" s="146" t="str">
        <f t="shared" ca="1" si="52"/>
        <v/>
      </c>
      <c r="U302" s="206" t="str">
        <f t="shared" ca="1" si="53"/>
        <v/>
      </c>
      <c r="V302" s="207" t="str">
        <f t="shared" ca="1" si="54"/>
        <v/>
      </c>
      <c r="W302" s="634">
        <f ca="1">IF($Y302&gt;0,CHOOSE(MATCH(RegimeExecucao,{"Unitário","Global"},0),IF($A302="S",$Y302/$X302,""),($Y302/$X302)*100),0)</f>
        <v>0</v>
      </c>
      <c r="X302" s="433" t="str">
        <f ca="1">IF($Y302&gt;0,CHOOSE(MATCH(RegimeExecucao,{"Unitário","Global"},0),IF($A302="S",ROUND($H302,ORÇAMENTO!$AF$10),""),ROUND($I302,ORÇAMENTO!$AF$11)),"")</f>
        <v/>
      </c>
      <c r="Y302" s="433">
        <f t="shared" ca="1" si="55"/>
        <v>0</v>
      </c>
      <c r="Z302" s="434"/>
      <c r="AB302" s="431"/>
      <c r="AC302" s="599"/>
      <c r="AD302" s="599"/>
      <c r="AE302" s="599"/>
      <c r="AF302" s="599"/>
      <c r="AG302" s="599"/>
      <c r="AH302" s="599"/>
      <c r="AI302" s="599"/>
      <c r="AJ302" s="599"/>
      <c r="AK302" s="599"/>
      <c r="AL302" s="599"/>
      <c r="AM302" s="432"/>
      <c r="AO302">
        <f ca="1">IF($A302="S",IF(BM!$I302=0,0,CHOOSE(MATCH(RegimeExecucao,{"Global","Unitário"},0),ROUND(ROUND(BM.MEDAcumulado,15-13*BM!$A$9)/100*BM!$I302,15-13*ORÇAMENTO!$AF$11),ROUND(ROUND(BM.MEDAcumulado,15-13*BM!$A$9)*ROUND(BM!$H302,15-13*ORÇAMENTO!$AF$10),15-13*ORÇAMENTO!$AF$11))),IF($A302=0,0,ROUND(SomaAgrupBM,15-13*ORÇAMENTO!$AF$11)))</f>
        <v>0</v>
      </c>
    </row>
    <row r="303" spans="1:41" ht="13.8" x14ac:dyDescent="0.3">
      <c r="A303" t="str">
        <f ca="1">ORÇAMENTO!C303</f>
        <v>S</v>
      </c>
      <c r="B303">
        <f ca="1">ORÇAMENTO!D303</f>
        <v>0</v>
      </c>
      <c r="C303" s="143" t="str">
        <f t="shared" ca="1" si="45"/>
        <v/>
      </c>
      <c r="D303" s="146" t="str">
        <f ca="1">ORÇAMENTO!O303</f>
        <v>-</v>
      </c>
      <c r="E303" s="206" t="str">
        <f t="shared" ca="1" si="46"/>
        <v>(abra o arquivo 'Referência 05-2024.xls)</v>
      </c>
      <c r="F303" s="207" t="str">
        <f t="shared" ca="1" si="47"/>
        <v>-</v>
      </c>
      <c r="G303" s="151">
        <f ca="1">IF(RegimeExecucao="Global","",ORÇAMENTO!T303)</f>
        <v>194.5</v>
      </c>
      <c r="H303" s="151">
        <f ca="1">IF(RegimeExecucao="Global","",ORÇAMENTO!W303)</f>
        <v>0</v>
      </c>
      <c r="I303" s="154">
        <f ca="1">ORÇAMENTO!X303</f>
        <v>0</v>
      </c>
      <c r="J303" s="427">
        <f t="shared" ca="1" si="48"/>
        <v>0</v>
      </c>
      <c r="K303" s="151">
        <f t="shared" ca="1" si="49"/>
        <v>0</v>
      </c>
      <c r="L303" s="428">
        <f t="shared" ca="1" si="50"/>
        <v>0</v>
      </c>
      <c r="M303" s="429">
        <f ca="1">IF($A303="S",VTOTALBM,IF($A303=0,0,ROUND(SomaAgrupBM,15-13*ORÇAMENTO!$AF$11)))</f>
        <v>0</v>
      </c>
      <c r="N303" s="430">
        <f t="shared" ca="1" si="51"/>
        <v>0</v>
      </c>
      <c r="O303" s="154">
        <f ca="1">IF($A303="S",VTOTALBM,IF($A303=0,0,ROUND(SomaAgrupBM,15-13*ORÇAMENTO!$AF$11)))</f>
        <v>0</v>
      </c>
      <c r="Q303" s="431"/>
      <c r="R303" s="432"/>
      <c r="T303" s="146" t="str">
        <f t="shared" ca="1" si="52"/>
        <v/>
      </c>
      <c r="U303" s="206" t="str">
        <f t="shared" ca="1" si="53"/>
        <v/>
      </c>
      <c r="V303" s="207" t="str">
        <f t="shared" ca="1" si="54"/>
        <v/>
      </c>
      <c r="W303" s="634">
        <f ca="1">IF($Y303&gt;0,CHOOSE(MATCH(RegimeExecucao,{"Unitário","Global"},0),IF($A303="S",$Y303/$X303,""),($Y303/$X303)*100),0)</f>
        <v>0</v>
      </c>
      <c r="X303" s="433" t="str">
        <f ca="1">IF($Y303&gt;0,CHOOSE(MATCH(RegimeExecucao,{"Unitário","Global"},0),IF($A303="S",ROUND($H303,ORÇAMENTO!$AF$10),""),ROUND($I303,ORÇAMENTO!$AF$11)),"")</f>
        <v/>
      </c>
      <c r="Y303" s="433">
        <f t="shared" ca="1" si="55"/>
        <v>0</v>
      </c>
      <c r="Z303" s="434"/>
      <c r="AB303" s="431"/>
      <c r="AC303" s="599"/>
      <c r="AD303" s="599"/>
      <c r="AE303" s="599"/>
      <c r="AF303" s="599"/>
      <c r="AG303" s="599"/>
      <c r="AH303" s="599"/>
      <c r="AI303" s="599"/>
      <c r="AJ303" s="599"/>
      <c r="AK303" s="599"/>
      <c r="AL303" s="599"/>
      <c r="AM303" s="432"/>
      <c r="AO303">
        <f ca="1">IF($A303="S",IF(BM!$I303=0,0,CHOOSE(MATCH(RegimeExecucao,{"Global","Unitário"},0),ROUND(ROUND(BM.MEDAcumulado,15-13*BM!$A$9)/100*BM!$I303,15-13*ORÇAMENTO!$AF$11),ROUND(ROUND(BM.MEDAcumulado,15-13*BM!$A$9)*ROUND(BM!$H303,15-13*ORÇAMENTO!$AF$10),15-13*ORÇAMENTO!$AF$11))),IF($A303=0,0,ROUND(SomaAgrupBM,15-13*ORÇAMENTO!$AF$11)))</f>
        <v>0</v>
      </c>
    </row>
    <row r="304" spans="1:41" ht="13.8" x14ac:dyDescent="0.3">
      <c r="A304" t="str">
        <f ca="1">ORÇAMENTO!C304</f>
        <v>S</v>
      </c>
      <c r="B304">
        <f ca="1">ORÇAMENTO!D304</f>
        <v>0</v>
      </c>
      <c r="C304" s="143" t="str">
        <f t="shared" ca="1" si="45"/>
        <v/>
      </c>
      <c r="D304" s="146" t="str">
        <f ca="1">ORÇAMENTO!O304</f>
        <v>-</v>
      </c>
      <c r="E304" s="206" t="str">
        <f t="shared" ca="1" si="46"/>
        <v>(abra o arquivo 'Referência 05-2024.xls)</v>
      </c>
      <c r="F304" s="207" t="str">
        <f t="shared" ca="1" si="47"/>
        <v>-</v>
      </c>
      <c r="G304" s="151">
        <f ca="1">IF(RegimeExecucao="Global","",ORÇAMENTO!T304)</f>
        <v>105.97</v>
      </c>
      <c r="H304" s="151">
        <f ca="1">IF(RegimeExecucao="Global","",ORÇAMENTO!W304)</f>
        <v>0</v>
      </c>
      <c r="I304" s="154">
        <f ca="1">ORÇAMENTO!X304</f>
        <v>0</v>
      </c>
      <c r="J304" s="427">
        <f t="shared" ca="1" si="48"/>
        <v>0</v>
      </c>
      <c r="K304" s="151">
        <f t="shared" ca="1" si="49"/>
        <v>0</v>
      </c>
      <c r="L304" s="428">
        <f t="shared" ca="1" si="50"/>
        <v>0</v>
      </c>
      <c r="M304" s="429">
        <f ca="1">IF($A304="S",VTOTALBM,IF($A304=0,0,ROUND(SomaAgrupBM,15-13*ORÇAMENTO!$AF$11)))</f>
        <v>0</v>
      </c>
      <c r="N304" s="430">
        <f t="shared" ca="1" si="51"/>
        <v>0</v>
      </c>
      <c r="O304" s="154">
        <f ca="1">IF($A304="S",VTOTALBM,IF($A304=0,0,ROUND(SomaAgrupBM,15-13*ORÇAMENTO!$AF$11)))</f>
        <v>0</v>
      </c>
      <c r="Q304" s="431"/>
      <c r="R304" s="432"/>
      <c r="T304" s="146" t="str">
        <f t="shared" ca="1" si="52"/>
        <v/>
      </c>
      <c r="U304" s="206" t="str">
        <f t="shared" ca="1" si="53"/>
        <v/>
      </c>
      <c r="V304" s="207" t="str">
        <f t="shared" ca="1" si="54"/>
        <v/>
      </c>
      <c r="W304" s="634">
        <f ca="1">IF($Y304&gt;0,CHOOSE(MATCH(RegimeExecucao,{"Unitário","Global"},0),IF($A304="S",$Y304/$X304,""),($Y304/$X304)*100),0)</f>
        <v>0</v>
      </c>
      <c r="X304" s="433" t="str">
        <f ca="1">IF($Y304&gt;0,CHOOSE(MATCH(RegimeExecucao,{"Unitário","Global"},0),IF($A304="S",ROUND($H304,ORÇAMENTO!$AF$10),""),ROUND($I304,ORÇAMENTO!$AF$11)),"")</f>
        <v/>
      </c>
      <c r="Y304" s="433">
        <f t="shared" ca="1" si="55"/>
        <v>0</v>
      </c>
      <c r="Z304" s="434"/>
      <c r="AB304" s="431"/>
      <c r="AC304" s="599"/>
      <c r="AD304" s="599"/>
      <c r="AE304" s="599"/>
      <c r="AF304" s="599"/>
      <c r="AG304" s="599"/>
      <c r="AH304" s="599"/>
      <c r="AI304" s="599"/>
      <c r="AJ304" s="599"/>
      <c r="AK304" s="599"/>
      <c r="AL304" s="599"/>
      <c r="AM304" s="432"/>
      <c r="AO304">
        <f ca="1">IF($A304="S",IF(BM!$I304=0,0,CHOOSE(MATCH(RegimeExecucao,{"Global","Unitário"},0),ROUND(ROUND(BM.MEDAcumulado,15-13*BM!$A$9)/100*BM!$I304,15-13*ORÇAMENTO!$AF$11),ROUND(ROUND(BM.MEDAcumulado,15-13*BM!$A$9)*ROUND(BM!$H304,15-13*ORÇAMENTO!$AF$10),15-13*ORÇAMENTO!$AF$11))),IF($A304=0,0,ROUND(SomaAgrupBM,15-13*ORÇAMENTO!$AF$11)))</f>
        <v>0</v>
      </c>
    </row>
    <row r="305" spans="1:41" ht="13.8" x14ac:dyDescent="0.3">
      <c r="A305" t="str">
        <f ca="1">ORÇAMENTO!C305</f>
        <v>S</v>
      </c>
      <c r="B305">
        <f ca="1">ORÇAMENTO!D305</f>
        <v>0</v>
      </c>
      <c r="C305" s="143" t="str">
        <f t="shared" ca="1" si="45"/>
        <v/>
      </c>
      <c r="D305" s="146" t="str">
        <f ca="1">ORÇAMENTO!O305</f>
        <v>-</v>
      </c>
      <c r="E305" s="206" t="str">
        <f t="shared" ca="1" si="46"/>
        <v>(abra o arquivo 'Referência 05-2024.xls)</v>
      </c>
      <c r="F305" s="207" t="str">
        <f t="shared" ca="1" si="47"/>
        <v>-</v>
      </c>
      <c r="G305" s="151">
        <f ca="1">IF(RegimeExecucao="Global","",ORÇAMENTO!T305)</f>
        <v>148.80000000000001</v>
      </c>
      <c r="H305" s="151">
        <f ca="1">IF(RegimeExecucao="Global","",ORÇAMENTO!W305)</f>
        <v>0</v>
      </c>
      <c r="I305" s="154">
        <f ca="1">ORÇAMENTO!X305</f>
        <v>0</v>
      </c>
      <c r="J305" s="427">
        <f t="shared" ca="1" si="48"/>
        <v>0</v>
      </c>
      <c r="K305" s="151">
        <f t="shared" ca="1" si="49"/>
        <v>0</v>
      </c>
      <c r="L305" s="428">
        <f t="shared" ca="1" si="50"/>
        <v>0</v>
      </c>
      <c r="M305" s="429">
        <f ca="1">IF($A305="S",VTOTALBM,IF($A305=0,0,ROUND(SomaAgrupBM,15-13*ORÇAMENTO!$AF$11)))</f>
        <v>0</v>
      </c>
      <c r="N305" s="430">
        <f t="shared" ca="1" si="51"/>
        <v>0</v>
      </c>
      <c r="O305" s="154">
        <f ca="1">IF($A305="S",VTOTALBM,IF($A305=0,0,ROUND(SomaAgrupBM,15-13*ORÇAMENTO!$AF$11)))</f>
        <v>0</v>
      </c>
      <c r="Q305" s="431"/>
      <c r="R305" s="432"/>
      <c r="T305" s="146" t="str">
        <f t="shared" ca="1" si="52"/>
        <v/>
      </c>
      <c r="U305" s="206" t="str">
        <f t="shared" ca="1" si="53"/>
        <v/>
      </c>
      <c r="V305" s="207" t="str">
        <f t="shared" ca="1" si="54"/>
        <v/>
      </c>
      <c r="W305" s="634">
        <f ca="1">IF($Y305&gt;0,CHOOSE(MATCH(RegimeExecucao,{"Unitário","Global"},0),IF($A305="S",$Y305/$X305,""),($Y305/$X305)*100),0)</f>
        <v>0</v>
      </c>
      <c r="X305" s="433" t="str">
        <f ca="1">IF($Y305&gt;0,CHOOSE(MATCH(RegimeExecucao,{"Unitário","Global"},0),IF($A305="S",ROUND($H305,ORÇAMENTO!$AF$10),""),ROUND($I305,ORÇAMENTO!$AF$11)),"")</f>
        <v/>
      </c>
      <c r="Y305" s="433">
        <f t="shared" ca="1" si="55"/>
        <v>0</v>
      </c>
      <c r="Z305" s="434"/>
      <c r="AB305" s="431"/>
      <c r="AC305" s="599"/>
      <c r="AD305" s="599"/>
      <c r="AE305" s="599"/>
      <c r="AF305" s="599"/>
      <c r="AG305" s="599"/>
      <c r="AH305" s="599"/>
      <c r="AI305" s="599"/>
      <c r="AJ305" s="599"/>
      <c r="AK305" s="599"/>
      <c r="AL305" s="599"/>
      <c r="AM305" s="432"/>
      <c r="AO305">
        <f ca="1">IF($A305="S",IF(BM!$I305=0,0,CHOOSE(MATCH(RegimeExecucao,{"Global","Unitário"},0),ROUND(ROUND(BM.MEDAcumulado,15-13*BM!$A$9)/100*BM!$I305,15-13*ORÇAMENTO!$AF$11),ROUND(ROUND(BM.MEDAcumulado,15-13*BM!$A$9)*ROUND(BM!$H305,15-13*ORÇAMENTO!$AF$10),15-13*ORÇAMENTO!$AF$11))),IF($A305=0,0,ROUND(SomaAgrupBM,15-13*ORÇAMENTO!$AF$11)))</f>
        <v>0</v>
      </c>
    </row>
    <row r="306" spans="1:41" ht="13.8" x14ac:dyDescent="0.3">
      <c r="A306" t="str">
        <f ca="1">ORÇAMENTO!C306</f>
        <v>S</v>
      </c>
      <c r="B306">
        <f ca="1">ORÇAMENTO!D306</f>
        <v>0</v>
      </c>
      <c r="C306" s="143" t="str">
        <f t="shared" ca="1" si="45"/>
        <v/>
      </c>
      <c r="D306" s="146" t="str">
        <f ca="1">ORÇAMENTO!O306</f>
        <v>-</v>
      </c>
      <c r="E306" s="206" t="str">
        <f t="shared" ca="1" si="46"/>
        <v>(abra o arquivo 'Referência 05-2024.xls)</v>
      </c>
      <c r="F306" s="207" t="str">
        <f t="shared" ca="1" si="47"/>
        <v>-</v>
      </c>
      <c r="G306" s="151">
        <f ca="1">IF(RegimeExecucao="Global","",ORÇAMENTO!T306)</f>
        <v>132.16</v>
      </c>
      <c r="H306" s="151">
        <f ca="1">IF(RegimeExecucao="Global","",ORÇAMENTO!W306)</f>
        <v>0</v>
      </c>
      <c r="I306" s="154">
        <f ca="1">ORÇAMENTO!X306</f>
        <v>0</v>
      </c>
      <c r="J306" s="427">
        <f t="shared" ca="1" si="48"/>
        <v>0</v>
      </c>
      <c r="K306" s="151">
        <f t="shared" ca="1" si="49"/>
        <v>0</v>
      </c>
      <c r="L306" s="428">
        <f t="shared" ca="1" si="50"/>
        <v>0</v>
      </c>
      <c r="M306" s="429">
        <f ca="1">IF($A306="S",VTOTALBM,IF($A306=0,0,ROUND(SomaAgrupBM,15-13*ORÇAMENTO!$AF$11)))</f>
        <v>0</v>
      </c>
      <c r="N306" s="430">
        <f t="shared" ca="1" si="51"/>
        <v>0</v>
      </c>
      <c r="O306" s="154">
        <f ca="1">IF($A306="S",VTOTALBM,IF($A306=0,0,ROUND(SomaAgrupBM,15-13*ORÇAMENTO!$AF$11)))</f>
        <v>0</v>
      </c>
      <c r="Q306" s="431"/>
      <c r="R306" s="432"/>
      <c r="T306" s="146" t="str">
        <f t="shared" ca="1" si="52"/>
        <v/>
      </c>
      <c r="U306" s="206" t="str">
        <f t="shared" ca="1" si="53"/>
        <v/>
      </c>
      <c r="V306" s="207" t="str">
        <f t="shared" ca="1" si="54"/>
        <v/>
      </c>
      <c r="W306" s="634">
        <f ca="1">IF($Y306&gt;0,CHOOSE(MATCH(RegimeExecucao,{"Unitário","Global"},0),IF($A306="S",$Y306/$X306,""),($Y306/$X306)*100),0)</f>
        <v>0</v>
      </c>
      <c r="X306" s="433" t="str">
        <f ca="1">IF($Y306&gt;0,CHOOSE(MATCH(RegimeExecucao,{"Unitário","Global"},0),IF($A306="S",ROUND($H306,ORÇAMENTO!$AF$10),""),ROUND($I306,ORÇAMENTO!$AF$11)),"")</f>
        <v/>
      </c>
      <c r="Y306" s="433">
        <f t="shared" ca="1" si="55"/>
        <v>0</v>
      </c>
      <c r="Z306" s="434"/>
      <c r="AB306" s="431"/>
      <c r="AC306" s="599"/>
      <c r="AD306" s="599"/>
      <c r="AE306" s="599"/>
      <c r="AF306" s="599"/>
      <c r="AG306" s="599"/>
      <c r="AH306" s="599"/>
      <c r="AI306" s="599"/>
      <c r="AJ306" s="599"/>
      <c r="AK306" s="599"/>
      <c r="AL306" s="599"/>
      <c r="AM306" s="432"/>
      <c r="AO306">
        <f ca="1">IF($A306="S",IF(BM!$I306=0,0,CHOOSE(MATCH(RegimeExecucao,{"Global","Unitário"},0),ROUND(ROUND(BM.MEDAcumulado,15-13*BM!$A$9)/100*BM!$I306,15-13*ORÇAMENTO!$AF$11),ROUND(ROUND(BM.MEDAcumulado,15-13*BM!$A$9)*ROUND(BM!$H306,15-13*ORÇAMENTO!$AF$10),15-13*ORÇAMENTO!$AF$11))),IF($A306=0,0,ROUND(SomaAgrupBM,15-13*ORÇAMENTO!$AF$11)))</f>
        <v>0</v>
      </c>
    </row>
    <row r="307" spans="1:41" ht="13.8" x14ac:dyDescent="0.3">
      <c r="A307" t="str">
        <f ca="1">ORÇAMENTO!C307</f>
        <v>S</v>
      </c>
      <c r="B307">
        <f ca="1">ORÇAMENTO!D307</f>
        <v>0</v>
      </c>
      <c r="C307" s="143" t="str">
        <f t="shared" ca="1" si="45"/>
        <v/>
      </c>
      <c r="D307" s="146" t="str">
        <f ca="1">ORÇAMENTO!O307</f>
        <v>-</v>
      </c>
      <c r="E307" s="206" t="str">
        <f t="shared" ca="1" si="46"/>
        <v>(abra o arquivo 'Referência 05-2024.xls)</v>
      </c>
      <c r="F307" s="207" t="str">
        <f t="shared" ca="1" si="47"/>
        <v>-</v>
      </c>
      <c r="G307" s="151">
        <f ca="1">IF(RegimeExecucao="Global","",ORÇAMENTO!T307)</f>
        <v>44.74</v>
      </c>
      <c r="H307" s="151">
        <f ca="1">IF(RegimeExecucao="Global","",ORÇAMENTO!W307)</f>
        <v>0</v>
      </c>
      <c r="I307" s="154">
        <f ca="1">ORÇAMENTO!X307</f>
        <v>0</v>
      </c>
      <c r="J307" s="427">
        <f t="shared" ca="1" si="48"/>
        <v>0</v>
      </c>
      <c r="K307" s="151">
        <f t="shared" ca="1" si="49"/>
        <v>0</v>
      </c>
      <c r="L307" s="428">
        <f t="shared" ca="1" si="50"/>
        <v>0</v>
      </c>
      <c r="M307" s="429">
        <f ca="1">IF($A307="S",VTOTALBM,IF($A307=0,0,ROUND(SomaAgrupBM,15-13*ORÇAMENTO!$AF$11)))</f>
        <v>0</v>
      </c>
      <c r="N307" s="430">
        <f t="shared" ca="1" si="51"/>
        <v>0</v>
      </c>
      <c r="O307" s="154">
        <f ca="1">IF($A307="S",VTOTALBM,IF($A307=0,0,ROUND(SomaAgrupBM,15-13*ORÇAMENTO!$AF$11)))</f>
        <v>0</v>
      </c>
      <c r="Q307" s="431"/>
      <c r="R307" s="432"/>
      <c r="T307" s="146" t="str">
        <f t="shared" ca="1" si="52"/>
        <v/>
      </c>
      <c r="U307" s="206" t="str">
        <f t="shared" ca="1" si="53"/>
        <v/>
      </c>
      <c r="V307" s="207" t="str">
        <f t="shared" ca="1" si="54"/>
        <v/>
      </c>
      <c r="W307" s="634">
        <f ca="1">IF($Y307&gt;0,CHOOSE(MATCH(RegimeExecucao,{"Unitário","Global"},0),IF($A307="S",$Y307/$X307,""),($Y307/$X307)*100),0)</f>
        <v>0</v>
      </c>
      <c r="X307" s="433" t="str">
        <f ca="1">IF($Y307&gt;0,CHOOSE(MATCH(RegimeExecucao,{"Unitário","Global"},0),IF($A307="S",ROUND($H307,ORÇAMENTO!$AF$10),""),ROUND($I307,ORÇAMENTO!$AF$11)),"")</f>
        <v/>
      </c>
      <c r="Y307" s="433">
        <f t="shared" ca="1" si="55"/>
        <v>0</v>
      </c>
      <c r="Z307" s="434"/>
      <c r="AB307" s="431"/>
      <c r="AC307" s="599"/>
      <c r="AD307" s="599"/>
      <c r="AE307" s="599"/>
      <c r="AF307" s="599"/>
      <c r="AG307" s="599"/>
      <c r="AH307" s="599"/>
      <c r="AI307" s="599"/>
      <c r="AJ307" s="599"/>
      <c r="AK307" s="599"/>
      <c r="AL307" s="599"/>
      <c r="AM307" s="432"/>
      <c r="AO307">
        <f ca="1">IF($A307="S",IF(BM!$I307=0,0,CHOOSE(MATCH(RegimeExecucao,{"Global","Unitário"},0),ROUND(ROUND(BM.MEDAcumulado,15-13*BM!$A$9)/100*BM!$I307,15-13*ORÇAMENTO!$AF$11),ROUND(ROUND(BM.MEDAcumulado,15-13*BM!$A$9)*ROUND(BM!$H307,15-13*ORÇAMENTO!$AF$10),15-13*ORÇAMENTO!$AF$11))),IF($A307=0,0,ROUND(SomaAgrupBM,15-13*ORÇAMENTO!$AF$11)))</f>
        <v>0</v>
      </c>
    </row>
    <row r="308" spans="1:41" ht="13.8" x14ac:dyDescent="0.3">
      <c r="A308" t="str">
        <f ca="1">ORÇAMENTO!C308</f>
        <v>S</v>
      </c>
      <c r="B308">
        <f ca="1">ORÇAMENTO!D308</f>
        <v>0</v>
      </c>
      <c r="C308" s="143" t="str">
        <f t="shared" ca="1" si="45"/>
        <v/>
      </c>
      <c r="D308" s="146" t="str">
        <f ca="1">ORÇAMENTO!O308</f>
        <v>-</v>
      </c>
      <c r="E308" s="206" t="str">
        <f t="shared" ca="1" si="46"/>
        <v>(abra o arquivo 'Referência 05-2024.xls)</v>
      </c>
      <c r="F308" s="207" t="str">
        <f t="shared" ca="1" si="47"/>
        <v>-</v>
      </c>
      <c r="G308" s="151">
        <f ca="1">IF(RegimeExecucao="Global","",ORÇAMENTO!T308)</f>
        <v>25.63</v>
      </c>
      <c r="H308" s="151">
        <f ca="1">IF(RegimeExecucao="Global","",ORÇAMENTO!W308)</f>
        <v>0</v>
      </c>
      <c r="I308" s="154">
        <f ca="1">ORÇAMENTO!X308</f>
        <v>0</v>
      </c>
      <c r="J308" s="427">
        <f t="shared" ca="1" si="48"/>
        <v>0</v>
      </c>
      <c r="K308" s="151">
        <f t="shared" ca="1" si="49"/>
        <v>0</v>
      </c>
      <c r="L308" s="428">
        <f t="shared" ca="1" si="50"/>
        <v>0</v>
      </c>
      <c r="M308" s="429">
        <f ca="1">IF($A308="S",VTOTALBM,IF($A308=0,0,ROUND(SomaAgrupBM,15-13*ORÇAMENTO!$AF$11)))</f>
        <v>0</v>
      </c>
      <c r="N308" s="430">
        <f t="shared" ca="1" si="51"/>
        <v>0</v>
      </c>
      <c r="O308" s="154">
        <f ca="1">IF($A308="S",VTOTALBM,IF($A308=0,0,ROUND(SomaAgrupBM,15-13*ORÇAMENTO!$AF$11)))</f>
        <v>0</v>
      </c>
      <c r="Q308" s="431"/>
      <c r="R308" s="432"/>
      <c r="T308" s="146" t="str">
        <f t="shared" ca="1" si="52"/>
        <v/>
      </c>
      <c r="U308" s="206" t="str">
        <f t="shared" ca="1" si="53"/>
        <v/>
      </c>
      <c r="V308" s="207" t="str">
        <f t="shared" ca="1" si="54"/>
        <v/>
      </c>
      <c r="W308" s="634">
        <f ca="1">IF($Y308&gt;0,CHOOSE(MATCH(RegimeExecucao,{"Unitário","Global"},0),IF($A308="S",$Y308/$X308,""),($Y308/$X308)*100),0)</f>
        <v>0</v>
      </c>
      <c r="X308" s="433" t="str">
        <f ca="1">IF($Y308&gt;0,CHOOSE(MATCH(RegimeExecucao,{"Unitário","Global"},0),IF($A308="S",ROUND($H308,ORÇAMENTO!$AF$10),""),ROUND($I308,ORÇAMENTO!$AF$11)),"")</f>
        <v/>
      </c>
      <c r="Y308" s="433">
        <f t="shared" ca="1" si="55"/>
        <v>0</v>
      </c>
      <c r="Z308" s="434"/>
      <c r="AB308" s="431"/>
      <c r="AC308" s="599"/>
      <c r="AD308" s="599"/>
      <c r="AE308" s="599"/>
      <c r="AF308" s="599"/>
      <c r="AG308" s="599"/>
      <c r="AH308" s="599"/>
      <c r="AI308" s="599"/>
      <c r="AJ308" s="599"/>
      <c r="AK308" s="599"/>
      <c r="AL308" s="599"/>
      <c r="AM308" s="432"/>
      <c r="AO308">
        <f ca="1">IF($A308="S",IF(BM!$I308=0,0,CHOOSE(MATCH(RegimeExecucao,{"Global","Unitário"},0),ROUND(ROUND(BM.MEDAcumulado,15-13*BM!$A$9)/100*BM!$I308,15-13*ORÇAMENTO!$AF$11),ROUND(ROUND(BM.MEDAcumulado,15-13*BM!$A$9)*ROUND(BM!$H308,15-13*ORÇAMENTO!$AF$10),15-13*ORÇAMENTO!$AF$11))),IF($A308=0,0,ROUND(SomaAgrupBM,15-13*ORÇAMENTO!$AF$11)))</f>
        <v>0</v>
      </c>
    </row>
    <row r="309" spans="1:41" ht="13.8" x14ac:dyDescent="0.3">
      <c r="A309" t="str">
        <f ca="1">ORÇAMENTO!C309</f>
        <v>S</v>
      </c>
      <c r="B309">
        <f ca="1">ORÇAMENTO!D309</f>
        <v>0</v>
      </c>
      <c r="C309" s="143" t="str">
        <f t="shared" ca="1" si="45"/>
        <v/>
      </c>
      <c r="D309" s="146" t="str">
        <f ca="1">ORÇAMENTO!O309</f>
        <v>-</v>
      </c>
      <c r="E309" s="206" t="str">
        <f t="shared" ca="1" si="46"/>
        <v>(abra o arquivo 'Referência 05-2024.xls)</v>
      </c>
      <c r="F309" s="207" t="str">
        <f t="shared" ca="1" si="47"/>
        <v>-</v>
      </c>
      <c r="G309" s="151">
        <f ca="1">IF(RegimeExecucao="Global","",ORÇAMENTO!T309)</f>
        <v>1</v>
      </c>
      <c r="H309" s="151">
        <f ca="1">IF(RegimeExecucao="Global","",ORÇAMENTO!W309)</f>
        <v>0</v>
      </c>
      <c r="I309" s="154">
        <f ca="1">ORÇAMENTO!X309</f>
        <v>0</v>
      </c>
      <c r="J309" s="427">
        <f t="shared" ca="1" si="48"/>
        <v>0</v>
      </c>
      <c r="K309" s="151">
        <f t="shared" ca="1" si="49"/>
        <v>0</v>
      </c>
      <c r="L309" s="428">
        <f t="shared" ca="1" si="50"/>
        <v>0</v>
      </c>
      <c r="M309" s="429">
        <f ca="1">IF($A309="S",VTOTALBM,IF($A309=0,0,ROUND(SomaAgrupBM,15-13*ORÇAMENTO!$AF$11)))</f>
        <v>0</v>
      </c>
      <c r="N309" s="430">
        <f t="shared" ca="1" si="51"/>
        <v>0</v>
      </c>
      <c r="O309" s="154">
        <f ca="1">IF($A309="S",VTOTALBM,IF($A309=0,0,ROUND(SomaAgrupBM,15-13*ORÇAMENTO!$AF$11)))</f>
        <v>0</v>
      </c>
      <c r="Q309" s="431"/>
      <c r="R309" s="432"/>
      <c r="T309" s="146" t="str">
        <f t="shared" ca="1" si="52"/>
        <v/>
      </c>
      <c r="U309" s="206" t="str">
        <f t="shared" ca="1" si="53"/>
        <v/>
      </c>
      <c r="V309" s="207" t="str">
        <f t="shared" ca="1" si="54"/>
        <v/>
      </c>
      <c r="W309" s="634">
        <f ca="1">IF($Y309&gt;0,CHOOSE(MATCH(RegimeExecucao,{"Unitário","Global"},0),IF($A309="S",$Y309/$X309,""),($Y309/$X309)*100),0)</f>
        <v>0</v>
      </c>
      <c r="X309" s="433" t="str">
        <f ca="1">IF($Y309&gt;0,CHOOSE(MATCH(RegimeExecucao,{"Unitário","Global"},0),IF($A309="S",ROUND($H309,ORÇAMENTO!$AF$10),""),ROUND($I309,ORÇAMENTO!$AF$11)),"")</f>
        <v/>
      </c>
      <c r="Y309" s="433">
        <f t="shared" ca="1" si="55"/>
        <v>0</v>
      </c>
      <c r="Z309" s="434"/>
      <c r="AB309" s="431"/>
      <c r="AC309" s="599"/>
      <c r="AD309" s="599"/>
      <c r="AE309" s="599"/>
      <c r="AF309" s="599"/>
      <c r="AG309" s="599"/>
      <c r="AH309" s="599"/>
      <c r="AI309" s="599"/>
      <c r="AJ309" s="599"/>
      <c r="AK309" s="599"/>
      <c r="AL309" s="599"/>
      <c r="AM309" s="432"/>
      <c r="AO309">
        <f ca="1">IF($A309="S",IF(BM!$I309=0,0,CHOOSE(MATCH(RegimeExecucao,{"Global","Unitário"},0),ROUND(ROUND(BM.MEDAcumulado,15-13*BM!$A$9)/100*BM!$I309,15-13*ORÇAMENTO!$AF$11),ROUND(ROUND(BM.MEDAcumulado,15-13*BM!$A$9)*ROUND(BM!$H309,15-13*ORÇAMENTO!$AF$10),15-13*ORÇAMENTO!$AF$11))),IF($A309=0,0,ROUND(SomaAgrupBM,15-13*ORÇAMENTO!$AF$11)))</f>
        <v>0</v>
      </c>
    </row>
    <row r="310" spans="1:41" ht="13.8" x14ac:dyDescent="0.3">
      <c r="A310" t="str">
        <f ca="1">ORÇAMENTO!C310</f>
        <v>S</v>
      </c>
      <c r="B310">
        <f ca="1">ORÇAMENTO!D310</f>
        <v>0</v>
      </c>
      <c r="C310" s="143" t="str">
        <f t="shared" ca="1" si="45"/>
        <v/>
      </c>
      <c r="D310" s="146" t="str">
        <f ca="1">ORÇAMENTO!O310</f>
        <v>-</v>
      </c>
      <c r="E310" s="206" t="str">
        <f t="shared" ca="1" si="46"/>
        <v>(abra o arquivo 'Referência 05-2024.xls)</v>
      </c>
      <c r="F310" s="207" t="str">
        <f t="shared" ca="1" si="47"/>
        <v>-</v>
      </c>
      <c r="G310" s="151">
        <f ca="1">IF(RegimeExecucao="Global","",ORÇAMENTO!T310)</f>
        <v>1</v>
      </c>
      <c r="H310" s="151">
        <f ca="1">IF(RegimeExecucao="Global","",ORÇAMENTO!W310)</f>
        <v>0</v>
      </c>
      <c r="I310" s="154">
        <f ca="1">ORÇAMENTO!X310</f>
        <v>0</v>
      </c>
      <c r="J310" s="427">
        <f t="shared" ca="1" si="48"/>
        <v>0</v>
      </c>
      <c r="K310" s="151">
        <f t="shared" ca="1" si="49"/>
        <v>0</v>
      </c>
      <c r="L310" s="428">
        <f t="shared" ca="1" si="50"/>
        <v>0</v>
      </c>
      <c r="M310" s="429">
        <f ca="1">IF($A310="S",VTOTALBM,IF($A310=0,0,ROUND(SomaAgrupBM,15-13*ORÇAMENTO!$AF$11)))</f>
        <v>0</v>
      </c>
      <c r="N310" s="430">
        <f t="shared" ca="1" si="51"/>
        <v>0</v>
      </c>
      <c r="O310" s="154">
        <f ca="1">IF($A310="S",VTOTALBM,IF($A310=0,0,ROUND(SomaAgrupBM,15-13*ORÇAMENTO!$AF$11)))</f>
        <v>0</v>
      </c>
      <c r="Q310" s="431"/>
      <c r="R310" s="432"/>
      <c r="T310" s="146" t="str">
        <f t="shared" ca="1" si="52"/>
        <v/>
      </c>
      <c r="U310" s="206" t="str">
        <f t="shared" ca="1" si="53"/>
        <v/>
      </c>
      <c r="V310" s="207" t="str">
        <f t="shared" ca="1" si="54"/>
        <v/>
      </c>
      <c r="W310" s="634">
        <f ca="1">IF($Y310&gt;0,CHOOSE(MATCH(RegimeExecucao,{"Unitário","Global"},0),IF($A310="S",$Y310/$X310,""),($Y310/$X310)*100),0)</f>
        <v>0</v>
      </c>
      <c r="X310" s="433" t="str">
        <f ca="1">IF($Y310&gt;0,CHOOSE(MATCH(RegimeExecucao,{"Unitário","Global"},0),IF($A310="S",ROUND($H310,ORÇAMENTO!$AF$10),""),ROUND($I310,ORÇAMENTO!$AF$11)),"")</f>
        <v/>
      </c>
      <c r="Y310" s="433">
        <f t="shared" ca="1" si="55"/>
        <v>0</v>
      </c>
      <c r="Z310" s="434"/>
      <c r="AB310" s="431"/>
      <c r="AC310" s="599"/>
      <c r="AD310" s="599"/>
      <c r="AE310" s="599"/>
      <c r="AF310" s="599"/>
      <c r="AG310" s="599"/>
      <c r="AH310" s="599"/>
      <c r="AI310" s="599"/>
      <c r="AJ310" s="599"/>
      <c r="AK310" s="599"/>
      <c r="AL310" s="599"/>
      <c r="AM310" s="432"/>
      <c r="AO310">
        <f ca="1">IF($A310="S",IF(BM!$I310=0,0,CHOOSE(MATCH(RegimeExecucao,{"Global","Unitário"},0),ROUND(ROUND(BM.MEDAcumulado,15-13*BM!$A$9)/100*BM!$I310,15-13*ORÇAMENTO!$AF$11),ROUND(ROUND(BM.MEDAcumulado,15-13*BM!$A$9)*ROUND(BM!$H310,15-13*ORÇAMENTO!$AF$10),15-13*ORÇAMENTO!$AF$11))),IF($A310=0,0,ROUND(SomaAgrupBM,15-13*ORÇAMENTO!$AF$11)))</f>
        <v>0</v>
      </c>
    </row>
    <row r="311" spans="1:41" ht="13.8" x14ac:dyDescent="0.3">
      <c r="A311" t="str">
        <f ca="1">ORÇAMENTO!C311</f>
        <v>S</v>
      </c>
      <c r="B311">
        <f ca="1">ORÇAMENTO!D311</f>
        <v>0</v>
      </c>
      <c r="C311" s="143" t="str">
        <f t="shared" ca="1" si="45"/>
        <v/>
      </c>
      <c r="D311" s="146" t="str">
        <f ca="1">ORÇAMENTO!O311</f>
        <v>-</v>
      </c>
      <c r="E311" s="206" t="str">
        <f t="shared" ca="1" si="46"/>
        <v>(abra o arquivo 'Referência 05-2024.xls)</v>
      </c>
      <c r="F311" s="207" t="str">
        <f t="shared" ca="1" si="47"/>
        <v>-</v>
      </c>
      <c r="G311" s="151">
        <f ca="1">IF(RegimeExecucao="Global","",ORÇAMENTO!T311)</f>
        <v>1</v>
      </c>
      <c r="H311" s="151">
        <f ca="1">IF(RegimeExecucao="Global","",ORÇAMENTO!W311)</f>
        <v>0</v>
      </c>
      <c r="I311" s="154">
        <f ca="1">ORÇAMENTO!X311</f>
        <v>0</v>
      </c>
      <c r="J311" s="427">
        <f t="shared" ca="1" si="48"/>
        <v>0</v>
      </c>
      <c r="K311" s="151">
        <f t="shared" ca="1" si="49"/>
        <v>0</v>
      </c>
      <c r="L311" s="428">
        <f t="shared" ca="1" si="50"/>
        <v>0</v>
      </c>
      <c r="M311" s="429">
        <f ca="1">IF($A311="S",VTOTALBM,IF($A311=0,0,ROUND(SomaAgrupBM,15-13*ORÇAMENTO!$AF$11)))</f>
        <v>0</v>
      </c>
      <c r="N311" s="430">
        <f t="shared" ca="1" si="51"/>
        <v>0</v>
      </c>
      <c r="O311" s="154">
        <f ca="1">IF($A311="S",VTOTALBM,IF($A311=0,0,ROUND(SomaAgrupBM,15-13*ORÇAMENTO!$AF$11)))</f>
        <v>0</v>
      </c>
      <c r="Q311" s="431"/>
      <c r="R311" s="432"/>
      <c r="T311" s="146" t="str">
        <f t="shared" ca="1" si="52"/>
        <v/>
      </c>
      <c r="U311" s="206" t="str">
        <f t="shared" ca="1" si="53"/>
        <v/>
      </c>
      <c r="V311" s="207" t="str">
        <f t="shared" ca="1" si="54"/>
        <v/>
      </c>
      <c r="W311" s="634">
        <f ca="1">IF($Y311&gt;0,CHOOSE(MATCH(RegimeExecucao,{"Unitário","Global"},0),IF($A311="S",$Y311/$X311,""),($Y311/$X311)*100),0)</f>
        <v>0</v>
      </c>
      <c r="X311" s="433" t="str">
        <f ca="1">IF($Y311&gt;0,CHOOSE(MATCH(RegimeExecucao,{"Unitário","Global"},0),IF($A311="S",ROUND($H311,ORÇAMENTO!$AF$10),""),ROUND($I311,ORÇAMENTO!$AF$11)),"")</f>
        <v/>
      </c>
      <c r="Y311" s="433">
        <f t="shared" ca="1" si="55"/>
        <v>0</v>
      </c>
      <c r="Z311" s="434"/>
      <c r="AB311" s="431"/>
      <c r="AC311" s="599"/>
      <c r="AD311" s="599"/>
      <c r="AE311" s="599"/>
      <c r="AF311" s="599"/>
      <c r="AG311" s="599"/>
      <c r="AH311" s="599"/>
      <c r="AI311" s="599"/>
      <c r="AJ311" s="599"/>
      <c r="AK311" s="599"/>
      <c r="AL311" s="599"/>
      <c r="AM311" s="432"/>
      <c r="AO311">
        <f ca="1">IF($A311="S",IF(BM!$I311=0,0,CHOOSE(MATCH(RegimeExecucao,{"Global","Unitário"},0),ROUND(ROUND(BM.MEDAcumulado,15-13*BM!$A$9)/100*BM!$I311,15-13*ORÇAMENTO!$AF$11),ROUND(ROUND(BM.MEDAcumulado,15-13*BM!$A$9)*ROUND(BM!$H311,15-13*ORÇAMENTO!$AF$10),15-13*ORÇAMENTO!$AF$11))),IF($A311=0,0,ROUND(SomaAgrupBM,15-13*ORÇAMENTO!$AF$11)))</f>
        <v>0</v>
      </c>
    </row>
    <row r="312" spans="1:41" ht="13.8" x14ac:dyDescent="0.3">
      <c r="A312" t="str">
        <f ca="1">ORÇAMENTO!C312</f>
        <v>S</v>
      </c>
      <c r="B312">
        <f ca="1">ORÇAMENTO!D312</f>
        <v>0</v>
      </c>
      <c r="C312" s="143" t="str">
        <f t="shared" ca="1" si="45"/>
        <v/>
      </c>
      <c r="D312" s="146" t="str">
        <f ca="1">ORÇAMENTO!O312</f>
        <v>-</v>
      </c>
      <c r="E312" s="206" t="str">
        <f t="shared" ca="1" si="46"/>
        <v>(abra o arquivo 'Referência 05-2024.xls)</v>
      </c>
      <c r="F312" s="207" t="str">
        <f t="shared" ca="1" si="47"/>
        <v>-</v>
      </c>
      <c r="G312" s="151">
        <f ca="1">IF(RegimeExecucao="Global","",ORÇAMENTO!T312)</f>
        <v>58</v>
      </c>
      <c r="H312" s="151">
        <f ca="1">IF(RegimeExecucao="Global","",ORÇAMENTO!W312)</f>
        <v>0</v>
      </c>
      <c r="I312" s="154">
        <f ca="1">ORÇAMENTO!X312</f>
        <v>0</v>
      </c>
      <c r="J312" s="427">
        <f t="shared" ca="1" si="48"/>
        <v>0</v>
      </c>
      <c r="K312" s="151">
        <f t="shared" ca="1" si="49"/>
        <v>0</v>
      </c>
      <c r="L312" s="428">
        <f t="shared" ca="1" si="50"/>
        <v>0</v>
      </c>
      <c r="M312" s="429">
        <f ca="1">IF($A312="S",VTOTALBM,IF($A312=0,0,ROUND(SomaAgrupBM,15-13*ORÇAMENTO!$AF$11)))</f>
        <v>0</v>
      </c>
      <c r="N312" s="430">
        <f t="shared" ca="1" si="51"/>
        <v>0</v>
      </c>
      <c r="O312" s="154">
        <f ca="1">IF($A312="S",VTOTALBM,IF($A312=0,0,ROUND(SomaAgrupBM,15-13*ORÇAMENTO!$AF$11)))</f>
        <v>0</v>
      </c>
      <c r="Q312" s="431"/>
      <c r="R312" s="432"/>
      <c r="T312" s="146" t="str">
        <f t="shared" ca="1" si="52"/>
        <v/>
      </c>
      <c r="U312" s="206" t="str">
        <f t="shared" ca="1" si="53"/>
        <v/>
      </c>
      <c r="V312" s="207" t="str">
        <f t="shared" ca="1" si="54"/>
        <v/>
      </c>
      <c r="W312" s="634">
        <f ca="1">IF($Y312&gt;0,CHOOSE(MATCH(RegimeExecucao,{"Unitário","Global"},0),IF($A312="S",$Y312/$X312,""),($Y312/$X312)*100),0)</f>
        <v>0</v>
      </c>
      <c r="X312" s="433" t="str">
        <f ca="1">IF($Y312&gt;0,CHOOSE(MATCH(RegimeExecucao,{"Unitário","Global"},0),IF($A312="S",ROUND($H312,ORÇAMENTO!$AF$10),""),ROUND($I312,ORÇAMENTO!$AF$11)),"")</f>
        <v/>
      </c>
      <c r="Y312" s="433">
        <f t="shared" ca="1" si="55"/>
        <v>0</v>
      </c>
      <c r="Z312" s="434"/>
      <c r="AB312" s="431"/>
      <c r="AC312" s="599"/>
      <c r="AD312" s="599"/>
      <c r="AE312" s="599"/>
      <c r="AF312" s="599"/>
      <c r="AG312" s="599"/>
      <c r="AH312" s="599"/>
      <c r="AI312" s="599"/>
      <c r="AJ312" s="599"/>
      <c r="AK312" s="599"/>
      <c r="AL312" s="599"/>
      <c r="AM312" s="432"/>
      <c r="AO312">
        <f ca="1">IF($A312="S",IF(BM!$I312=0,0,CHOOSE(MATCH(RegimeExecucao,{"Global","Unitário"},0),ROUND(ROUND(BM.MEDAcumulado,15-13*BM!$A$9)/100*BM!$I312,15-13*ORÇAMENTO!$AF$11),ROUND(ROUND(BM.MEDAcumulado,15-13*BM!$A$9)*ROUND(BM!$H312,15-13*ORÇAMENTO!$AF$10),15-13*ORÇAMENTO!$AF$11))),IF($A312=0,0,ROUND(SomaAgrupBM,15-13*ORÇAMENTO!$AF$11)))</f>
        <v>0</v>
      </c>
    </row>
    <row r="313" spans="1:41" ht="13.8" x14ac:dyDescent="0.3">
      <c r="A313" t="str">
        <f ca="1">ORÇAMENTO!C313</f>
        <v>S</v>
      </c>
      <c r="B313">
        <f ca="1">ORÇAMENTO!D313</f>
        <v>0</v>
      </c>
      <c r="C313" s="143" t="str">
        <f t="shared" ca="1" si="45"/>
        <v/>
      </c>
      <c r="D313" s="146" t="str">
        <f ca="1">ORÇAMENTO!O313</f>
        <v>-</v>
      </c>
      <c r="E313" s="206" t="str">
        <f t="shared" ca="1" si="46"/>
        <v>(abra o arquivo 'Referência 05-2024.xls)</v>
      </c>
      <c r="F313" s="207" t="str">
        <f t="shared" ca="1" si="47"/>
        <v>-</v>
      </c>
      <c r="G313" s="151">
        <f ca="1">IF(RegimeExecucao="Global","",ORÇAMENTO!T313)</f>
        <v>14</v>
      </c>
      <c r="H313" s="151">
        <f ca="1">IF(RegimeExecucao="Global","",ORÇAMENTO!W313)</f>
        <v>0</v>
      </c>
      <c r="I313" s="154">
        <f ca="1">ORÇAMENTO!X313</f>
        <v>0</v>
      </c>
      <c r="J313" s="427">
        <f t="shared" ca="1" si="48"/>
        <v>0</v>
      </c>
      <c r="K313" s="151">
        <f t="shared" ca="1" si="49"/>
        <v>0</v>
      </c>
      <c r="L313" s="428">
        <f t="shared" ca="1" si="50"/>
        <v>0</v>
      </c>
      <c r="M313" s="429">
        <f ca="1">IF($A313="S",VTOTALBM,IF($A313=0,0,ROUND(SomaAgrupBM,15-13*ORÇAMENTO!$AF$11)))</f>
        <v>0</v>
      </c>
      <c r="N313" s="430">
        <f t="shared" ca="1" si="51"/>
        <v>0</v>
      </c>
      <c r="O313" s="154">
        <f ca="1">IF($A313="S",VTOTALBM,IF($A313=0,0,ROUND(SomaAgrupBM,15-13*ORÇAMENTO!$AF$11)))</f>
        <v>0</v>
      </c>
      <c r="Q313" s="431"/>
      <c r="R313" s="432"/>
      <c r="T313" s="146" t="str">
        <f t="shared" ca="1" si="52"/>
        <v/>
      </c>
      <c r="U313" s="206" t="str">
        <f t="shared" ca="1" si="53"/>
        <v/>
      </c>
      <c r="V313" s="207" t="str">
        <f t="shared" ca="1" si="54"/>
        <v/>
      </c>
      <c r="W313" s="634">
        <f ca="1">IF($Y313&gt;0,CHOOSE(MATCH(RegimeExecucao,{"Unitário","Global"},0),IF($A313="S",$Y313/$X313,""),($Y313/$X313)*100),0)</f>
        <v>0</v>
      </c>
      <c r="X313" s="433" t="str">
        <f ca="1">IF($Y313&gt;0,CHOOSE(MATCH(RegimeExecucao,{"Unitário","Global"},0),IF($A313="S",ROUND($H313,ORÇAMENTO!$AF$10),""),ROUND($I313,ORÇAMENTO!$AF$11)),"")</f>
        <v/>
      </c>
      <c r="Y313" s="433">
        <f t="shared" ca="1" si="55"/>
        <v>0</v>
      </c>
      <c r="Z313" s="434"/>
      <c r="AB313" s="431"/>
      <c r="AC313" s="599"/>
      <c r="AD313" s="599"/>
      <c r="AE313" s="599"/>
      <c r="AF313" s="599"/>
      <c r="AG313" s="599"/>
      <c r="AH313" s="599"/>
      <c r="AI313" s="599"/>
      <c r="AJ313" s="599"/>
      <c r="AK313" s="599"/>
      <c r="AL313" s="599"/>
      <c r="AM313" s="432"/>
      <c r="AO313">
        <f ca="1">IF($A313="S",IF(BM!$I313=0,0,CHOOSE(MATCH(RegimeExecucao,{"Global","Unitário"},0),ROUND(ROUND(BM.MEDAcumulado,15-13*BM!$A$9)/100*BM!$I313,15-13*ORÇAMENTO!$AF$11),ROUND(ROUND(BM.MEDAcumulado,15-13*BM!$A$9)*ROUND(BM!$H313,15-13*ORÇAMENTO!$AF$10),15-13*ORÇAMENTO!$AF$11))),IF($A313=0,0,ROUND(SomaAgrupBM,15-13*ORÇAMENTO!$AF$11)))</f>
        <v>0</v>
      </c>
    </row>
    <row r="314" spans="1:41" ht="13.8" x14ac:dyDescent="0.3">
      <c r="A314" t="str">
        <f ca="1">ORÇAMENTO!C314</f>
        <v>S</v>
      </c>
      <c r="B314">
        <f ca="1">ORÇAMENTO!D314</f>
        <v>0</v>
      </c>
      <c r="C314" s="143" t="str">
        <f t="shared" ca="1" si="45"/>
        <v/>
      </c>
      <c r="D314" s="146" t="str">
        <f ca="1">ORÇAMENTO!O314</f>
        <v>-</v>
      </c>
      <c r="E314" s="206" t="str">
        <f t="shared" ca="1" si="46"/>
        <v>(abra o arquivo 'Referência 05-2024.xls)</v>
      </c>
      <c r="F314" s="207" t="str">
        <f t="shared" ca="1" si="47"/>
        <v>-</v>
      </c>
      <c r="G314" s="151">
        <f ca="1">IF(RegimeExecucao="Global","",ORÇAMENTO!T314)</f>
        <v>38</v>
      </c>
      <c r="H314" s="151">
        <f ca="1">IF(RegimeExecucao="Global","",ORÇAMENTO!W314)</f>
        <v>0</v>
      </c>
      <c r="I314" s="154">
        <f ca="1">ORÇAMENTO!X314</f>
        <v>0</v>
      </c>
      <c r="J314" s="427">
        <f t="shared" ca="1" si="48"/>
        <v>0</v>
      </c>
      <c r="K314" s="151">
        <f t="shared" ca="1" si="49"/>
        <v>0</v>
      </c>
      <c r="L314" s="428">
        <f t="shared" ca="1" si="50"/>
        <v>0</v>
      </c>
      <c r="M314" s="429">
        <f ca="1">IF($A314="S",VTOTALBM,IF($A314=0,0,ROUND(SomaAgrupBM,15-13*ORÇAMENTO!$AF$11)))</f>
        <v>0</v>
      </c>
      <c r="N314" s="430">
        <f t="shared" ca="1" si="51"/>
        <v>0</v>
      </c>
      <c r="O314" s="154">
        <f ca="1">IF($A314="S",VTOTALBM,IF($A314=0,0,ROUND(SomaAgrupBM,15-13*ORÇAMENTO!$AF$11)))</f>
        <v>0</v>
      </c>
      <c r="Q314" s="431"/>
      <c r="R314" s="432"/>
      <c r="T314" s="146" t="str">
        <f t="shared" ca="1" si="52"/>
        <v/>
      </c>
      <c r="U314" s="206" t="str">
        <f t="shared" ca="1" si="53"/>
        <v/>
      </c>
      <c r="V314" s="207" t="str">
        <f t="shared" ca="1" si="54"/>
        <v/>
      </c>
      <c r="W314" s="634">
        <f ca="1">IF($Y314&gt;0,CHOOSE(MATCH(RegimeExecucao,{"Unitário","Global"},0),IF($A314="S",$Y314/$X314,""),($Y314/$X314)*100),0)</f>
        <v>0</v>
      </c>
      <c r="X314" s="433" t="str">
        <f ca="1">IF($Y314&gt;0,CHOOSE(MATCH(RegimeExecucao,{"Unitário","Global"},0),IF($A314="S",ROUND($H314,ORÇAMENTO!$AF$10),""),ROUND($I314,ORÇAMENTO!$AF$11)),"")</f>
        <v/>
      </c>
      <c r="Y314" s="433">
        <f t="shared" ca="1" si="55"/>
        <v>0</v>
      </c>
      <c r="Z314" s="434"/>
      <c r="AB314" s="431"/>
      <c r="AC314" s="599"/>
      <c r="AD314" s="599"/>
      <c r="AE314" s="599"/>
      <c r="AF314" s="599"/>
      <c r="AG314" s="599"/>
      <c r="AH314" s="599"/>
      <c r="AI314" s="599"/>
      <c r="AJ314" s="599"/>
      <c r="AK314" s="599"/>
      <c r="AL314" s="599"/>
      <c r="AM314" s="432"/>
      <c r="AO314">
        <f ca="1">IF($A314="S",IF(BM!$I314=0,0,CHOOSE(MATCH(RegimeExecucao,{"Global","Unitário"},0),ROUND(ROUND(BM.MEDAcumulado,15-13*BM!$A$9)/100*BM!$I314,15-13*ORÇAMENTO!$AF$11),ROUND(ROUND(BM.MEDAcumulado,15-13*BM!$A$9)*ROUND(BM!$H314,15-13*ORÇAMENTO!$AF$10),15-13*ORÇAMENTO!$AF$11))),IF($A314=0,0,ROUND(SomaAgrupBM,15-13*ORÇAMENTO!$AF$11)))</f>
        <v>0</v>
      </c>
    </row>
    <row r="315" spans="1:41" ht="13.8" x14ac:dyDescent="0.3">
      <c r="A315" t="str">
        <f ca="1">ORÇAMENTO!C315</f>
        <v>S</v>
      </c>
      <c r="B315">
        <f ca="1">ORÇAMENTO!D315</f>
        <v>0</v>
      </c>
      <c r="C315" s="143" t="str">
        <f t="shared" ca="1" si="45"/>
        <v/>
      </c>
      <c r="D315" s="146" t="str">
        <f ca="1">ORÇAMENTO!O315</f>
        <v>-</v>
      </c>
      <c r="E315" s="206" t="str">
        <f t="shared" ca="1" si="46"/>
        <v>(abra o arquivo 'Referência 05-2024.xls)</v>
      </c>
      <c r="F315" s="207" t="str">
        <f t="shared" ca="1" si="47"/>
        <v>-</v>
      </c>
      <c r="G315" s="151">
        <f ca="1">IF(RegimeExecucao="Global","",ORÇAMENTO!T315)</f>
        <v>10</v>
      </c>
      <c r="H315" s="151">
        <f ca="1">IF(RegimeExecucao="Global","",ORÇAMENTO!W315)</f>
        <v>0</v>
      </c>
      <c r="I315" s="154">
        <f ca="1">ORÇAMENTO!X315</f>
        <v>0</v>
      </c>
      <c r="J315" s="427">
        <f t="shared" ca="1" si="48"/>
        <v>0</v>
      </c>
      <c r="K315" s="151">
        <f t="shared" ca="1" si="49"/>
        <v>0</v>
      </c>
      <c r="L315" s="428">
        <f t="shared" ca="1" si="50"/>
        <v>0</v>
      </c>
      <c r="M315" s="429">
        <f ca="1">IF($A315="S",VTOTALBM,IF($A315=0,0,ROUND(SomaAgrupBM,15-13*ORÇAMENTO!$AF$11)))</f>
        <v>0</v>
      </c>
      <c r="N315" s="430">
        <f t="shared" ca="1" si="51"/>
        <v>0</v>
      </c>
      <c r="O315" s="154">
        <f ca="1">IF($A315="S",VTOTALBM,IF($A315=0,0,ROUND(SomaAgrupBM,15-13*ORÇAMENTO!$AF$11)))</f>
        <v>0</v>
      </c>
      <c r="Q315" s="431"/>
      <c r="R315" s="432"/>
      <c r="T315" s="146" t="str">
        <f t="shared" ca="1" si="52"/>
        <v/>
      </c>
      <c r="U315" s="206" t="str">
        <f t="shared" ca="1" si="53"/>
        <v/>
      </c>
      <c r="V315" s="207" t="str">
        <f t="shared" ca="1" si="54"/>
        <v/>
      </c>
      <c r="W315" s="634">
        <f ca="1">IF($Y315&gt;0,CHOOSE(MATCH(RegimeExecucao,{"Unitário","Global"},0),IF($A315="S",$Y315/$X315,""),($Y315/$X315)*100),0)</f>
        <v>0</v>
      </c>
      <c r="X315" s="433" t="str">
        <f ca="1">IF($Y315&gt;0,CHOOSE(MATCH(RegimeExecucao,{"Unitário","Global"},0),IF($A315="S",ROUND($H315,ORÇAMENTO!$AF$10),""),ROUND($I315,ORÇAMENTO!$AF$11)),"")</f>
        <v/>
      </c>
      <c r="Y315" s="433">
        <f t="shared" ca="1" si="55"/>
        <v>0</v>
      </c>
      <c r="Z315" s="434"/>
      <c r="AB315" s="431"/>
      <c r="AC315" s="599"/>
      <c r="AD315" s="599"/>
      <c r="AE315" s="599"/>
      <c r="AF315" s="599"/>
      <c r="AG315" s="599"/>
      <c r="AH315" s="599"/>
      <c r="AI315" s="599"/>
      <c r="AJ315" s="599"/>
      <c r="AK315" s="599"/>
      <c r="AL315" s="599"/>
      <c r="AM315" s="432"/>
      <c r="AO315">
        <f ca="1">IF($A315="S",IF(BM!$I315=0,0,CHOOSE(MATCH(RegimeExecucao,{"Global","Unitário"},0),ROUND(ROUND(BM.MEDAcumulado,15-13*BM!$A$9)/100*BM!$I315,15-13*ORÇAMENTO!$AF$11),ROUND(ROUND(BM.MEDAcumulado,15-13*BM!$A$9)*ROUND(BM!$H315,15-13*ORÇAMENTO!$AF$10),15-13*ORÇAMENTO!$AF$11))),IF($A315=0,0,ROUND(SomaAgrupBM,15-13*ORÇAMENTO!$AF$11)))</f>
        <v>0</v>
      </c>
    </row>
    <row r="316" spans="1:41" ht="13.8" x14ac:dyDescent="0.3">
      <c r="A316" t="str">
        <f ca="1">ORÇAMENTO!C316</f>
        <v>S</v>
      </c>
      <c r="B316">
        <f ca="1">ORÇAMENTO!D316</f>
        <v>0</v>
      </c>
      <c r="C316" s="143" t="str">
        <f t="shared" ca="1" si="45"/>
        <v/>
      </c>
      <c r="D316" s="146" t="str">
        <f ca="1">ORÇAMENTO!O316</f>
        <v>-</v>
      </c>
      <c r="E316" s="206" t="str">
        <f t="shared" ca="1" si="46"/>
        <v>(abra o arquivo 'Referência 05-2024.xls)</v>
      </c>
      <c r="F316" s="207" t="str">
        <f t="shared" ca="1" si="47"/>
        <v>-</v>
      </c>
      <c r="G316" s="151">
        <f ca="1">IF(RegimeExecucao="Global","",ORÇAMENTO!T316)</f>
        <v>3</v>
      </c>
      <c r="H316" s="151">
        <f ca="1">IF(RegimeExecucao="Global","",ORÇAMENTO!W316)</f>
        <v>0</v>
      </c>
      <c r="I316" s="154">
        <f ca="1">ORÇAMENTO!X316</f>
        <v>0</v>
      </c>
      <c r="J316" s="427">
        <f t="shared" ca="1" si="48"/>
        <v>0</v>
      </c>
      <c r="K316" s="151">
        <f t="shared" ca="1" si="49"/>
        <v>0</v>
      </c>
      <c r="L316" s="428">
        <f t="shared" ca="1" si="50"/>
        <v>0</v>
      </c>
      <c r="M316" s="429">
        <f ca="1">IF($A316="S",VTOTALBM,IF($A316=0,0,ROUND(SomaAgrupBM,15-13*ORÇAMENTO!$AF$11)))</f>
        <v>0</v>
      </c>
      <c r="N316" s="430">
        <f t="shared" ca="1" si="51"/>
        <v>0</v>
      </c>
      <c r="O316" s="154">
        <f ca="1">IF($A316="S",VTOTALBM,IF($A316=0,0,ROUND(SomaAgrupBM,15-13*ORÇAMENTO!$AF$11)))</f>
        <v>0</v>
      </c>
      <c r="Q316" s="431"/>
      <c r="R316" s="432"/>
      <c r="T316" s="146" t="str">
        <f t="shared" ca="1" si="52"/>
        <v/>
      </c>
      <c r="U316" s="206" t="str">
        <f t="shared" ca="1" si="53"/>
        <v/>
      </c>
      <c r="V316" s="207" t="str">
        <f t="shared" ca="1" si="54"/>
        <v/>
      </c>
      <c r="W316" s="634">
        <f ca="1">IF($Y316&gt;0,CHOOSE(MATCH(RegimeExecucao,{"Unitário","Global"},0),IF($A316="S",$Y316/$X316,""),($Y316/$X316)*100),0)</f>
        <v>0</v>
      </c>
      <c r="X316" s="433" t="str">
        <f ca="1">IF($Y316&gt;0,CHOOSE(MATCH(RegimeExecucao,{"Unitário","Global"},0),IF($A316="S",ROUND($H316,ORÇAMENTO!$AF$10),""),ROUND($I316,ORÇAMENTO!$AF$11)),"")</f>
        <v/>
      </c>
      <c r="Y316" s="433">
        <f t="shared" ca="1" si="55"/>
        <v>0</v>
      </c>
      <c r="Z316" s="434"/>
      <c r="AB316" s="431"/>
      <c r="AC316" s="599"/>
      <c r="AD316" s="599"/>
      <c r="AE316" s="599"/>
      <c r="AF316" s="599"/>
      <c r="AG316" s="599"/>
      <c r="AH316" s="599"/>
      <c r="AI316" s="599"/>
      <c r="AJ316" s="599"/>
      <c r="AK316" s="599"/>
      <c r="AL316" s="599"/>
      <c r="AM316" s="432"/>
      <c r="AO316">
        <f ca="1">IF($A316="S",IF(BM!$I316=0,0,CHOOSE(MATCH(RegimeExecucao,{"Global","Unitário"},0),ROUND(ROUND(BM.MEDAcumulado,15-13*BM!$A$9)/100*BM!$I316,15-13*ORÇAMENTO!$AF$11),ROUND(ROUND(BM.MEDAcumulado,15-13*BM!$A$9)*ROUND(BM!$H316,15-13*ORÇAMENTO!$AF$10),15-13*ORÇAMENTO!$AF$11))),IF($A316=0,0,ROUND(SomaAgrupBM,15-13*ORÇAMENTO!$AF$11)))</f>
        <v>0</v>
      </c>
    </row>
    <row r="317" spans="1:41" ht="13.8" x14ac:dyDescent="0.3">
      <c r="A317" t="str">
        <f ca="1">ORÇAMENTO!C317</f>
        <v>S</v>
      </c>
      <c r="B317">
        <f ca="1">ORÇAMENTO!D317</f>
        <v>0</v>
      </c>
      <c r="C317" s="143" t="str">
        <f t="shared" ca="1" si="45"/>
        <v/>
      </c>
      <c r="D317" s="146" t="str">
        <f ca="1">ORÇAMENTO!O317</f>
        <v>-</v>
      </c>
      <c r="E317" s="206" t="str">
        <f t="shared" ca="1" si="46"/>
        <v>(abra o arquivo 'Referência 05-2024.xls)</v>
      </c>
      <c r="F317" s="207" t="str">
        <f t="shared" ca="1" si="47"/>
        <v>-</v>
      </c>
      <c r="G317" s="151">
        <f ca="1">IF(RegimeExecucao="Global","",ORÇAMENTO!T317)</f>
        <v>7</v>
      </c>
      <c r="H317" s="151">
        <f ca="1">IF(RegimeExecucao="Global","",ORÇAMENTO!W317)</f>
        <v>0</v>
      </c>
      <c r="I317" s="154">
        <f ca="1">ORÇAMENTO!X317</f>
        <v>0</v>
      </c>
      <c r="J317" s="427">
        <f t="shared" ca="1" si="48"/>
        <v>0</v>
      </c>
      <c r="K317" s="151">
        <f t="shared" ca="1" si="49"/>
        <v>0</v>
      </c>
      <c r="L317" s="428">
        <f t="shared" ca="1" si="50"/>
        <v>0</v>
      </c>
      <c r="M317" s="429">
        <f ca="1">IF($A317="S",VTOTALBM,IF($A317=0,0,ROUND(SomaAgrupBM,15-13*ORÇAMENTO!$AF$11)))</f>
        <v>0</v>
      </c>
      <c r="N317" s="430">
        <f t="shared" ca="1" si="51"/>
        <v>0</v>
      </c>
      <c r="O317" s="154">
        <f ca="1">IF($A317="S",VTOTALBM,IF($A317=0,0,ROUND(SomaAgrupBM,15-13*ORÇAMENTO!$AF$11)))</f>
        <v>0</v>
      </c>
      <c r="Q317" s="431"/>
      <c r="R317" s="432"/>
      <c r="T317" s="146" t="str">
        <f t="shared" ca="1" si="52"/>
        <v/>
      </c>
      <c r="U317" s="206" t="str">
        <f t="shared" ca="1" si="53"/>
        <v/>
      </c>
      <c r="V317" s="207" t="str">
        <f t="shared" ca="1" si="54"/>
        <v/>
      </c>
      <c r="W317" s="634">
        <f ca="1">IF($Y317&gt;0,CHOOSE(MATCH(RegimeExecucao,{"Unitário","Global"},0),IF($A317="S",$Y317/$X317,""),($Y317/$X317)*100),0)</f>
        <v>0</v>
      </c>
      <c r="X317" s="433" t="str">
        <f ca="1">IF($Y317&gt;0,CHOOSE(MATCH(RegimeExecucao,{"Unitário","Global"},0),IF($A317="S",ROUND($H317,ORÇAMENTO!$AF$10),""),ROUND($I317,ORÇAMENTO!$AF$11)),"")</f>
        <v/>
      </c>
      <c r="Y317" s="433">
        <f t="shared" ca="1" si="55"/>
        <v>0</v>
      </c>
      <c r="Z317" s="434"/>
      <c r="AB317" s="431"/>
      <c r="AC317" s="599"/>
      <c r="AD317" s="599"/>
      <c r="AE317" s="599"/>
      <c r="AF317" s="599"/>
      <c r="AG317" s="599"/>
      <c r="AH317" s="599"/>
      <c r="AI317" s="599"/>
      <c r="AJ317" s="599"/>
      <c r="AK317" s="599"/>
      <c r="AL317" s="599"/>
      <c r="AM317" s="432"/>
      <c r="AO317">
        <f ca="1">IF($A317="S",IF(BM!$I317=0,0,CHOOSE(MATCH(RegimeExecucao,{"Global","Unitário"},0),ROUND(ROUND(BM.MEDAcumulado,15-13*BM!$A$9)/100*BM!$I317,15-13*ORÇAMENTO!$AF$11),ROUND(ROUND(BM.MEDAcumulado,15-13*BM!$A$9)*ROUND(BM!$H317,15-13*ORÇAMENTO!$AF$10),15-13*ORÇAMENTO!$AF$11))),IF($A317=0,0,ROUND(SomaAgrupBM,15-13*ORÇAMENTO!$AF$11)))</f>
        <v>0</v>
      </c>
    </row>
    <row r="318" spans="1:41" ht="13.8" x14ac:dyDescent="0.3">
      <c r="A318" t="str">
        <f ca="1">ORÇAMENTO!C318</f>
        <v>S</v>
      </c>
      <c r="B318">
        <f ca="1">ORÇAMENTO!D318</f>
        <v>0</v>
      </c>
      <c r="C318" s="143" t="str">
        <f t="shared" ca="1" si="45"/>
        <v/>
      </c>
      <c r="D318" s="146" t="str">
        <f ca="1">ORÇAMENTO!O318</f>
        <v>-</v>
      </c>
      <c r="E318" s="206" t="str">
        <f t="shared" ca="1" si="46"/>
        <v>(abra o arquivo 'Referência 05-2024.xls)</v>
      </c>
      <c r="F318" s="207" t="str">
        <f t="shared" ca="1" si="47"/>
        <v>-</v>
      </c>
      <c r="G318" s="151">
        <f ca="1">IF(RegimeExecucao="Global","",ORÇAMENTO!T318)</f>
        <v>1</v>
      </c>
      <c r="H318" s="151">
        <f ca="1">IF(RegimeExecucao="Global","",ORÇAMENTO!W318)</f>
        <v>0</v>
      </c>
      <c r="I318" s="154">
        <f ca="1">ORÇAMENTO!X318</f>
        <v>0</v>
      </c>
      <c r="J318" s="427">
        <f t="shared" ca="1" si="48"/>
        <v>0</v>
      </c>
      <c r="K318" s="151">
        <f t="shared" ca="1" si="49"/>
        <v>0</v>
      </c>
      <c r="L318" s="428">
        <f t="shared" ca="1" si="50"/>
        <v>0</v>
      </c>
      <c r="M318" s="429">
        <f ca="1">IF($A318="S",VTOTALBM,IF($A318=0,0,ROUND(SomaAgrupBM,15-13*ORÇAMENTO!$AF$11)))</f>
        <v>0</v>
      </c>
      <c r="N318" s="430">
        <f t="shared" ca="1" si="51"/>
        <v>0</v>
      </c>
      <c r="O318" s="154">
        <f ca="1">IF($A318="S",VTOTALBM,IF($A318=0,0,ROUND(SomaAgrupBM,15-13*ORÇAMENTO!$AF$11)))</f>
        <v>0</v>
      </c>
      <c r="Q318" s="431"/>
      <c r="R318" s="432"/>
      <c r="T318" s="146" t="str">
        <f t="shared" ca="1" si="52"/>
        <v/>
      </c>
      <c r="U318" s="206" t="str">
        <f t="shared" ca="1" si="53"/>
        <v/>
      </c>
      <c r="V318" s="207" t="str">
        <f t="shared" ca="1" si="54"/>
        <v/>
      </c>
      <c r="W318" s="634">
        <f ca="1">IF($Y318&gt;0,CHOOSE(MATCH(RegimeExecucao,{"Unitário","Global"},0),IF($A318="S",$Y318/$X318,""),($Y318/$X318)*100),0)</f>
        <v>0</v>
      </c>
      <c r="X318" s="433" t="str">
        <f ca="1">IF($Y318&gt;0,CHOOSE(MATCH(RegimeExecucao,{"Unitário","Global"},0),IF($A318="S",ROUND($H318,ORÇAMENTO!$AF$10),""),ROUND($I318,ORÇAMENTO!$AF$11)),"")</f>
        <v/>
      </c>
      <c r="Y318" s="433">
        <f t="shared" ca="1" si="55"/>
        <v>0</v>
      </c>
      <c r="Z318" s="434"/>
      <c r="AB318" s="431"/>
      <c r="AC318" s="599"/>
      <c r="AD318" s="599"/>
      <c r="AE318" s="599"/>
      <c r="AF318" s="599"/>
      <c r="AG318" s="599"/>
      <c r="AH318" s="599"/>
      <c r="AI318" s="599"/>
      <c r="AJ318" s="599"/>
      <c r="AK318" s="599"/>
      <c r="AL318" s="599"/>
      <c r="AM318" s="432"/>
      <c r="AO318">
        <f ca="1">IF($A318="S",IF(BM!$I318=0,0,CHOOSE(MATCH(RegimeExecucao,{"Global","Unitário"},0),ROUND(ROUND(BM.MEDAcumulado,15-13*BM!$A$9)/100*BM!$I318,15-13*ORÇAMENTO!$AF$11),ROUND(ROUND(BM.MEDAcumulado,15-13*BM!$A$9)*ROUND(BM!$H318,15-13*ORÇAMENTO!$AF$10),15-13*ORÇAMENTO!$AF$11))),IF($A318=0,0,ROUND(SomaAgrupBM,15-13*ORÇAMENTO!$AF$11)))</f>
        <v>0</v>
      </c>
    </row>
    <row r="319" spans="1:41" ht="13.8" x14ac:dyDescent="0.3">
      <c r="A319" t="str">
        <f ca="1">ORÇAMENTO!C319</f>
        <v>S</v>
      </c>
      <c r="B319">
        <f ca="1">ORÇAMENTO!D319</f>
        <v>0</v>
      </c>
      <c r="C319" s="143" t="str">
        <f t="shared" ca="1" si="45"/>
        <v/>
      </c>
      <c r="D319" s="146" t="str">
        <f ca="1">ORÇAMENTO!O319</f>
        <v>-</v>
      </c>
      <c r="E319" s="206" t="str">
        <f t="shared" ca="1" si="46"/>
        <v>(abra o arquivo 'Referência 05-2024.xls)</v>
      </c>
      <c r="F319" s="207" t="str">
        <f t="shared" ca="1" si="47"/>
        <v>-</v>
      </c>
      <c r="G319" s="151">
        <f ca="1">IF(RegimeExecucao="Global","",ORÇAMENTO!T319)</f>
        <v>2</v>
      </c>
      <c r="H319" s="151">
        <f ca="1">IF(RegimeExecucao="Global","",ORÇAMENTO!W319)</f>
        <v>0</v>
      </c>
      <c r="I319" s="154">
        <f ca="1">ORÇAMENTO!X319</f>
        <v>0</v>
      </c>
      <c r="J319" s="427">
        <f t="shared" ca="1" si="48"/>
        <v>0</v>
      </c>
      <c r="K319" s="151">
        <f t="shared" ca="1" si="49"/>
        <v>0</v>
      </c>
      <c r="L319" s="428">
        <f t="shared" ca="1" si="50"/>
        <v>0</v>
      </c>
      <c r="M319" s="429">
        <f ca="1">IF($A319="S",VTOTALBM,IF($A319=0,0,ROUND(SomaAgrupBM,15-13*ORÇAMENTO!$AF$11)))</f>
        <v>0</v>
      </c>
      <c r="N319" s="430">
        <f t="shared" ca="1" si="51"/>
        <v>0</v>
      </c>
      <c r="O319" s="154">
        <f ca="1">IF($A319="S",VTOTALBM,IF($A319=0,0,ROUND(SomaAgrupBM,15-13*ORÇAMENTO!$AF$11)))</f>
        <v>0</v>
      </c>
      <c r="Q319" s="431"/>
      <c r="R319" s="432"/>
      <c r="T319" s="146" t="str">
        <f t="shared" ca="1" si="52"/>
        <v/>
      </c>
      <c r="U319" s="206" t="str">
        <f t="shared" ca="1" si="53"/>
        <v/>
      </c>
      <c r="V319" s="207" t="str">
        <f t="shared" ca="1" si="54"/>
        <v/>
      </c>
      <c r="W319" s="634">
        <f ca="1">IF($Y319&gt;0,CHOOSE(MATCH(RegimeExecucao,{"Unitário","Global"},0),IF($A319="S",$Y319/$X319,""),($Y319/$X319)*100),0)</f>
        <v>0</v>
      </c>
      <c r="X319" s="433" t="str">
        <f ca="1">IF($Y319&gt;0,CHOOSE(MATCH(RegimeExecucao,{"Unitário","Global"},0),IF($A319="S",ROUND($H319,ORÇAMENTO!$AF$10),""),ROUND($I319,ORÇAMENTO!$AF$11)),"")</f>
        <v/>
      </c>
      <c r="Y319" s="433">
        <f t="shared" ca="1" si="55"/>
        <v>0</v>
      </c>
      <c r="Z319" s="434"/>
      <c r="AB319" s="431"/>
      <c r="AC319" s="599"/>
      <c r="AD319" s="599"/>
      <c r="AE319" s="599"/>
      <c r="AF319" s="599"/>
      <c r="AG319" s="599"/>
      <c r="AH319" s="599"/>
      <c r="AI319" s="599"/>
      <c r="AJ319" s="599"/>
      <c r="AK319" s="599"/>
      <c r="AL319" s="599"/>
      <c r="AM319" s="432"/>
      <c r="AO319">
        <f ca="1">IF($A319="S",IF(BM!$I319=0,0,CHOOSE(MATCH(RegimeExecucao,{"Global","Unitário"},0),ROUND(ROUND(BM.MEDAcumulado,15-13*BM!$A$9)/100*BM!$I319,15-13*ORÇAMENTO!$AF$11),ROUND(ROUND(BM.MEDAcumulado,15-13*BM!$A$9)*ROUND(BM!$H319,15-13*ORÇAMENTO!$AF$10),15-13*ORÇAMENTO!$AF$11))),IF($A319=0,0,ROUND(SomaAgrupBM,15-13*ORÇAMENTO!$AF$11)))</f>
        <v>0</v>
      </c>
    </row>
    <row r="320" spans="1:41" ht="13.8" x14ac:dyDescent="0.3">
      <c r="A320" t="str">
        <f ca="1">ORÇAMENTO!C320</f>
        <v>S</v>
      </c>
      <c r="B320">
        <f ca="1">ORÇAMENTO!D320</f>
        <v>0</v>
      </c>
      <c r="C320" s="143" t="str">
        <f t="shared" ca="1" si="45"/>
        <v/>
      </c>
      <c r="D320" s="146" t="str">
        <f ca="1">ORÇAMENTO!O320</f>
        <v>-</v>
      </c>
      <c r="E320" s="206" t="str">
        <f t="shared" ca="1" si="46"/>
        <v>(abra o arquivo 'Referência 05-2024.xls)</v>
      </c>
      <c r="F320" s="207" t="str">
        <f t="shared" ca="1" si="47"/>
        <v>-</v>
      </c>
      <c r="G320" s="151">
        <f ca="1">IF(RegimeExecucao="Global","",ORÇAMENTO!T320)</f>
        <v>7</v>
      </c>
      <c r="H320" s="151">
        <f ca="1">IF(RegimeExecucao="Global","",ORÇAMENTO!W320)</f>
        <v>0</v>
      </c>
      <c r="I320" s="154">
        <f ca="1">ORÇAMENTO!X320</f>
        <v>0</v>
      </c>
      <c r="J320" s="427">
        <f t="shared" ca="1" si="48"/>
        <v>0</v>
      </c>
      <c r="K320" s="151">
        <f t="shared" ca="1" si="49"/>
        <v>0</v>
      </c>
      <c r="L320" s="428">
        <f t="shared" ca="1" si="50"/>
        <v>0</v>
      </c>
      <c r="M320" s="429">
        <f ca="1">IF($A320="S",VTOTALBM,IF($A320=0,0,ROUND(SomaAgrupBM,15-13*ORÇAMENTO!$AF$11)))</f>
        <v>0</v>
      </c>
      <c r="N320" s="430">
        <f t="shared" ca="1" si="51"/>
        <v>0</v>
      </c>
      <c r="O320" s="154">
        <f ca="1">IF($A320="S",VTOTALBM,IF($A320=0,0,ROUND(SomaAgrupBM,15-13*ORÇAMENTO!$AF$11)))</f>
        <v>0</v>
      </c>
      <c r="Q320" s="431"/>
      <c r="R320" s="432"/>
      <c r="T320" s="146" t="str">
        <f t="shared" ca="1" si="52"/>
        <v/>
      </c>
      <c r="U320" s="206" t="str">
        <f t="shared" ca="1" si="53"/>
        <v/>
      </c>
      <c r="V320" s="207" t="str">
        <f t="shared" ca="1" si="54"/>
        <v/>
      </c>
      <c r="W320" s="634">
        <f ca="1">IF($Y320&gt;0,CHOOSE(MATCH(RegimeExecucao,{"Unitário","Global"},0),IF($A320="S",$Y320/$X320,""),($Y320/$X320)*100),0)</f>
        <v>0</v>
      </c>
      <c r="X320" s="433" t="str">
        <f ca="1">IF($Y320&gt;0,CHOOSE(MATCH(RegimeExecucao,{"Unitário","Global"},0),IF($A320="S",ROUND($H320,ORÇAMENTO!$AF$10),""),ROUND($I320,ORÇAMENTO!$AF$11)),"")</f>
        <v/>
      </c>
      <c r="Y320" s="433">
        <f t="shared" ca="1" si="55"/>
        <v>0</v>
      </c>
      <c r="Z320" s="434"/>
      <c r="AB320" s="431"/>
      <c r="AC320" s="599"/>
      <c r="AD320" s="599"/>
      <c r="AE320" s="599"/>
      <c r="AF320" s="599"/>
      <c r="AG320" s="599"/>
      <c r="AH320" s="599"/>
      <c r="AI320" s="599"/>
      <c r="AJ320" s="599"/>
      <c r="AK320" s="599"/>
      <c r="AL320" s="599"/>
      <c r="AM320" s="432"/>
      <c r="AO320">
        <f ca="1">IF($A320="S",IF(BM!$I320=0,0,CHOOSE(MATCH(RegimeExecucao,{"Global","Unitário"},0),ROUND(ROUND(BM.MEDAcumulado,15-13*BM!$A$9)/100*BM!$I320,15-13*ORÇAMENTO!$AF$11),ROUND(ROUND(BM.MEDAcumulado,15-13*BM!$A$9)*ROUND(BM!$H320,15-13*ORÇAMENTO!$AF$10),15-13*ORÇAMENTO!$AF$11))),IF($A320=0,0,ROUND(SomaAgrupBM,15-13*ORÇAMENTO!$AF$11)))</f>
        <v>0</v>
      </c>
    </row>
    <row r="321" spans="1:41" ht="13.8" x14ac:dyDescent="0.3">
      <c r="A321" t="str">
        <f ca="1">ORÇAMENTO!C321</f>
        <v>S</v>
      </c>
      <c r="B321">
        <f ca="1">ORÇAMENTO!D321</f>
        <v>0</v>
      </c>
      <c r="C321" s="143" t="str">
        <f t="shared" ca="1" si="45"/>
        <v/>
      </c>
      <c r="D321" s="146" t="str">
        <f ca="1">ORÇAMENTO!O321</f>
        <v>-</v>
      </c>
      <c r="E321" s="206" t="str">
        <f t="shared" ca="1" si="46"/>
        <v>(abra o arquivo 'Referência 05-2024.xls)</v>
      </c>
      <c r="F321" s="207" t="str">
        <f t="shared" ca="1" si="47"/>
        <v>-</v>
      </c>
      <c r="G321" s="151">
        <f ca="1">IF(RegimeExecucao="Global","",ORÇAMENTO!T321)</f>
        <v>1</v>
      </c>
      <c r="H321" s="151">
        <f ca="1">IF(RegimeExecucao="Global","",ORÇAMENTO!W321)</f>
        <v>0</v>
      </c>
      <c r="I321" s="154">
        <f ca="1">ORÇAMENTO!X321</f>
        <v>0</v>
      </c>
      <c r="J321" s="427">
        <f t="shared" ca="1" si="48"/>
        <v>0</v>
      </c>
      <c r="K321" s="151">
        <f t="shared" ca="1" si="49"/>
        <v>0</v>
      </c>
      <c r="L321" s="428">
        <f t="shared" ca="1" si="50"/>
        <v>0</v>
      </c>
      <c r="M321" s="429">
        <f ca="1">IF($A321="S",VTOTALBM,IF($A321=0,0,ROUND(SomaAgrupBM,15-13*ORÇAMENTO!$AF$11)))</f>
        <v>0</v>
      </c>
      <c r="N321" s="430">
        <f t="shared" ca="1" si="51"/>
        <v>0</v>
      </c>
      <c r="O321" s="154">
        <f ca="1">IF($A321="S",VTOTALBM,IF($A321=0,0,ROUND(SomaAgrupBM,15-13*ORÇAMENTO!$AF$11)))</f>
        <v>0</v>
      </c>
      <c r="Q321" s="431"/>
      <c r="R321" s="432"/>
      <c r="T321" s="146" t="str">
        <f t="shared" ca="1" si="52"/>
        <v/>
      </c>
      <c r="U321" s="206" t="str">
        <f t="shared" ca="1" si="53"/>
        <v/>
      </c>
      <c r="V321" s="207" t="str">
        <f t="shared" ca="1" si="54"/>
        <v/>
      </c>
      <c r="W321" s="634">
        <f ca="1">IF($Y321&gt;0,CHOOSE(MATCH(RegimeExecucao,{"Unitário","Global"},0),IF($A321="S",$Y321/$X321,""),($Y321/$X321)*100),0)</f>
        <v>0</v>
      </c>
      <c r="X321" s="433" t="str">
        <f ca="1">IF($Y321&gt;0,CHOOSE(MATCH(RegimeExecucao,{"Unitário","Global"},0),IF($A321="S",ROUND($H321,ORÇAMENTO!$AF$10),""),ROUND($I321,ORÇAMENTO!$AF$11)),"")</f>
        <v/>
      </c>
      <c r="Y321" s="433">
        <f t="shared" ca="1" si="55"/>
        <v>0</v>
      </c>
      <c r="Z321" s="434"/>
      <c r="AB321" s="431"/>
      <c r="AC321" s="599"/>
      <c r="AD321" s="599"/>
      <c r="AE321" s="599"/>
      <c r="AF321" s="599"/>
      <c r="AG321" s="599"/>
      <c r="AH321" s="599"/>
      <c r="AI321" s="599"/>
      <c r="AJ321" s="599"/>
      <c r="AK321" s="599"/>
      <c r="AL321" s="599"/>
      <c r="AM321" s="432"/>
      <c r="AO321">
        <f ca="1">IF($A321="S",IF(BM!$I321=0,0,CHOOSE(MATCH(RegimeExecucao,{"Global","Unitário"},0),ROUND(ROUND(BM.MEDAcumulado,15-13*BM!$A$9)/100*BM!$I321,15-13*ORÇAMENTO!$AF$11),ROUND(ROUND(BM.MEDAcumulado,15-13*BM!$A$9)*ROUND(BM!$H321,15-13*ORÇAMENTO!$AF$10),15-13*ORÇAMENTO!$AF$11))),IF($A321=0,0,ROUND(SomaAgrupBM,15-13*ORÇAMENTO!$AF$11)))</f>
        <v>0</v>
      </c>
    </row>
    <row r="322" spans="1:41" ht="13.8" x14ac:dyDescent="0.3">
      <c r="A322" t="str">
        <f ca="1">ORÇAMENTO!C322</f>
        <v>S</v>
      </c>
      <c r="B322">
        <f ca="1">ORÇAMENTO!D322</f>
        <v>0</v>
      </c>
      <c r="C322" s="143" t="str">
        <f t="shared" ca="1" si="45"/>
        <v/>
      </c>
      <c r="D322" s="146" t="str">
        <f ca="1">ORÇAMENTO!O322</f>
        <v>-</v>
      </c>
      <c r="E322" s="206" t="str">
        <f t="shared" ca="1" si="46"/>
        <v>(abra o arquivo 'Referência 05-2024.xls)</v>
      </c>
      <c r="F322" s="207" t="str">
        <f t="shared" ca="1" si="47"/>
        <v>-</v>
      </c>
      <c r="G322" s="151">
        <f ca="1">IF(RegimeExecucao="Global","",ORÇAMENTO!T322)</f>
        <v>7</v>
      </c>
      <c r="H322" s="151">
        <f ca="1">IF(RegimeExecucao="Global","",ORÇAMENTO!W322)</f>
        <v>0</v>
      </c>
      <c r="I322" s="154">
        <f ca="1">ORÇAMENTO!X322</f>
        <v>0</v>
      </c>
      <c r="J322" s="427">
        <f t="shared" ca="1" si="48"/>
        <v>0</v>
      </c>
      <c r="K322" s="151">
        <f t="shared" ca="1" si="49"/>
        <v>0</v>
      </c>
      <c r="L322" s="428">
        <f t="shared" ca="1" si="50"/>
        <v>0</v>
      </c>
      <c r="M322" s="429">
        <f ca="1">IF($A322="S",VTOTALBM,IF($A322=0,0,ROUND(SomaAgrupBM,15-13*ORÇAMENTO!$AF$11)))</f>
        <v>0</v>
      </c>
      <c r="N322" s="430">
        <f t="shared" ca="1" si="51"/>
        <v>0</v>
      </c>
      <c r="O322" s="154">
        <f ca="1">IF($A322="S",VTOTALBM,IF($A322=0,0,ROUND(SomaAgrupBM,15-13*ORÇAMENTO!$AF$11)))</f>
        <v>0</v>
      </c>
      <c r="Q322" s="431"/>
      <c r="R322" s="432"/>
      <c r="T322" s="146" t="str">
        <f t="shared" ca="1" si="52"/>
        <v/>
      </c>
      <c r="U322" s="206" t="str">
        <f t="shared" ca="1" si="53"/>
        <v/>
      </c>
      <c r="V322" s="207" t="str">
        <f t="shared" ca="1" si="54"/>
        <v/>
      </c>
      <c r="W322" s="634">
        <f ca="1">IF($Y322&gt;0,CHOOSE(MATCH(RegimeExecucao,{"Unitário","Global"},0),IF($A322="S",$Y322/$X322,""),($Y322/$X322)*100),0)</f>
        <v>0</v>
      </c>
      <c r="X322" s="433" t="str">
        <f ca="1">IF($Y322&gt;0,CHOOSE(MATCH(RegimeExecucao,{"Unitário","Global"},0),IF($A322="S",ROUND($H322,ORÇAMENTO!$AF$10),""),ROUND($I322,ORÇAMENTO!$AF$11)),"")</f>
        <v/>
      </c>
      <c r="Y322" s="433">
        <f t="shared" ca="1" si="55"/>
        <v>0</v>
      </c>
      <c r="Z322" s="434"/>
      <c r="AB322" s="431"/>
      <c r="AC322" s="599"/>
      <c r="AD322" s="599"/>
      <c r="AE322" s="599"/>
      <c r="AF322" s="599"/>
      <c r="AG322" s="599"/>
      <c r="AH322" s="599"/>
      <c r="AI322" s="599"/>
      <c r="AJ322" s="599"/>
      <c r="AK322" s="599"/>
      <c r="AL322" s="599"/>
      <c r="AM322" s="432"/>
      <c r="AO322">
        <f ca="1">IF($A322="S",IF(BM!$I322=0,0,CHOOSE(MATCH(RegimeExecucao,{"Global","Unitário"},0),ROUND(ROUND(BM.MEDAcumulado,15-13*BM!$A$9)/100*BM!$I322,15-13*ORÇAMENTO!$AF$11),ROUND(ROUND(BM.MEDAcumulado,15-13*BM!$A$9)*ROUND(BM!$H322,15-13*ORÇAMENTO!$AF$10),15-13*ORÇAMENTO!$AF$11))),IF($A322=0,0,ROUND(SomaAgrupBM,15-13*ORÇAMENTO!$AF$11)))</f>
        <v>0</v>
      </c>
    </row>
    <row r="323" spans="1:41" ht="13.8" x14ac:dyDescent="0.3">
      <c r="A323" t="str">
        <f ca="1">ORÇAMENTO!C323</f>
        <v>S</v>
      </c>
      <c r="B323">
        <f ca="1">ORÇAMENTO!D323</f>
        <v>0</v>
      </c>
      <c r="C323" s="143" t="str">
        <f t="shared" ca="1" si="45"/>
        <v/>
      </c>
      <c r="D323" s="146" t="str">
        <f ca="1">ORÇAMENTO!O323</f>
        <v>-</v>
      </c>
      <c r="E323" s="206" t="str">
        <f t="shared" ca="1" si="46"/>
        <v>(abra o arquivo 'Referência 05-2024.xls)</v>
      </c>
      <c r="F323" s="207" t="str">
        <f t="shared" ca="1" si="47"/>
        <v>-</v>
      </c>
      <c r="G323" s="151">
        <f ca="1">IF(RegimeExecucao="Global","",ORÇAMENTO!T323)</f>
        <v>3</v>
      </c>
      <c r="H323" s="151">
        <f ca="1">IF(RegimeExecucao="Global","",ORÇAMENTO!W323)</f>
        <v>0</v>
      </c>
      <c r="I323" s="154">
        <f ca="1">ORÇAMENTO!X323</f>
        <v>0</v>
      </c>
      <c r="J323" s="427">
        <f t="shared" ca="1" si="48"/>
        <v>0</v>
      </c>
      <c r="K323" s="151">
        <f t="shared" ca="1" si="49"/>
        <v>0</v>
      </c>
      <c r="L323" s="428">
        <f t="shared" ca="1" si="50"/>
        <v>0</v>
      </c>
      <c r="M323" s="429">
        <f ca="1">IF($A323="S",VTOTALBM,IF($A323=0,0,ROUND(SomaAgrupBM,15-13*ORÇAMENTO!$AF$11)))</f>
        <v>0</v>
      </c>
      <c r="N323" s="430">
        <f t="shared" ca="1" si="51"/>
        <v>0</v>
      </c>
      <c r="O323" s="154">
        <f ca="1">IF($A323="S",VTOTALBM,IF($A323=0,0,ROUND(SomaAgrupBM,15-13*ORÇAMENTO!$AF$11)))</f>
        <v>0</v>
      </c>
      <c r="Q323" s="431"/>
      <c r="R323" s="432"/>
      <c r="T323" s="146" t="str">
        <f t="shared" ca="1" si="52"/>
        <v/>
      </c>
      <c r="U323" s="206" t="str">
        <f t="shared" ca="1" si="53"/>
        <v/>
      </c>
      <c r="V323" s="207" t="str">
        <f t="shared" ca="1" si="54"/>
        <v/>
      </c>
      <c r="W323" s="634">
        <f ca="1">IF($Y323&gt;0,CHOOSE(MATCH(RegimeExecucao,{"Unitário","Global"},0),IF($A323="S",$Y323/$X323,""),($Y323/$X323)*100),0)</f>
        <v>0</v>
      </c>
      <c r="X323" s="433" t="str">
        <f ca="1">IF($Y323&gt;0,CHOOSE(MATCH(RegimeExecucao,{"Unitário","Global"},0),IF($A323="S",ROUND($H323,ORÇAMENTO!$AF$10),""),ROUND($I323,ORÇAMENTO!$AF$11)),"")</f>
        <v/>
      </c>
      <c r="Y323" s="433">
        <f t="shared" ca="1" si="55"/>
        <v>0</v>
      </c>
      <c r="Z323" s="434"/>
      <c r="AB323" s="431"/>
      <c r="AC323" s="599"/>
      <c r="AD323" s="599"/>
      <c r="AE323" s="599"/>
      <c r="AF323" s="599"/>
      <c r="AG323" s="599"/>
      <c r="AH323" s="599"/>
      <c r="AI323" s="599"/>
      <c r="AJ323" s="599"/>
      <c r="AK323" s="599"/>
      <c r="AL323" s="599"/>
      <c r="AM323" s="432"/>
      <c r="AO323">
        <f ca="1">IF($A323="S",IF(BM!$I323=0,0,CHOOSE(MATCH(RegimeExecucao,{"Global","Unitário"},0),ROUND(ROUND(BM.MEDAcumulado,15-13*BM!$A$9)/100*BM!$I323,15-13*ORÇAMENTO!$AF$11),ROUND(ROUND(BM.MEDAcumulado,15-13*BM!$A$9)*ROUND(BM!$H323,15-13*ORÇAMENTO!$AF$10),15-13*ORÇAMENTO!$AF$11))),IF($A323=0,0,ROUND(SomaAgrupBM,15-13*ORÇAMENTO!$AF$11)))</f>
        <v>0</v>
      </c>
    </row>
    <row r="324" spans="1:41" ht="13.8" x14ac:dyDescent="0.3">
      <c r="A324" t="str">
        <f ca="1">ORÇAMENTO!C324</f>
        <v>S</v>
      </c>
      <c r="B324">
        <f ca="1">ORÇAMENTO!D324</f>
        <v>0</v>
      </c>
      <c r="C324" s="143" t="str">
        <f t="shared" ca="1" si="45"/>
        <v/>
      </c>
      <c r="D324" s="146" t="str">
        <f ca="1">ORÇAMENTO!O324</f>
        <v>-</v>
      </c>
      <c r="E324" s="206" t="str">
        <f t="shared" ca="1" si="46"/>
        <v>(abra o arquivo 'Referência 05-2024.xls)</v>
      </c>
      <c r="F324" s="207" t="str">
        <f t="shared" ca="1" si="47"/>
        <v>-</v>
      </c>
      <c r="G324" s="151">
        <f ca="1">IF(RegimeExecucao="Global","",ORÇAMENTO!T324)</f>
        <v>1</v>
      </c>
      <c r="H324" s="151">
        <f ca="1">IF(RegimeExecucao="Global","",ORÇAMENTO!W324)</f>
        <v>0</v>
      </c>
      <c r="I324" s="154">
        <f ca="1">ORÇAMENTO!X324</f>
        <v>0</v>
      </c>
      <c r="J324" s="427">
        <f t="shared" ca="1" si="48"/>
        <v>0</v>
      </c>
      <c r="K324" s="151">
        <f t="shared" ca="1" si="49"/>
        <v>0</v>
      </c>
      <c r="L324" s="428">
        <f t="shared" ca="1" si="50"/>
        <v>0</v>
      </c>
      <c r="M324" s="429">
        <f ca="1">IF($A324="S",VTOTALBM,IF($A324=0,0,ROUND(SomaAgrupBM,15-13*ORÇAMENTO!$AF$11)))</f>
        <v>0</v>
      </c>
      <c r="N324" s="430">
        <f t="shared" ca="1" si="51"/>
        <v>0</v>
      </c>
      <c r="O324" s="154">
        <f ca="1">IF($A324="S",VTOTALBM,IF($A324=0,0,ROUND(SomaAgrupBM,15-13*ORÇAMENTO!$AF$11)))</f>
        <v>0</v>
      </c>
      <c r="Q324" s="431"/>
      <c r="R324" s="432"/>
      <c r="T324" s="146" t="str">
        <f t="shared" ca="1" si="52"/>
        <v/>
      </c>
      <c r="U324" s="206" t="str">
        <f t="shared" ca="1" si="53"/>
        <v/>
      </c>
      <c r="V324" s="207" t="str">
        <f t="shared" ca="1" si="54"/>
        <v/>
      </c>
      <c r="W324" s="634">
        <f ca="1">IF($Y324&gt;0,CHOOSE(MATCH(RegimeExecucao,{"Unitário","Global"},0),IF($A324="S",$Y324/$X324,""),($Y324/$X324)*100),0)</f>
        <v>0</v>
      </c>
      <c r="X324" s="433" t="str">
        <f ca="1">IF($Y324&gt;0,CHOOSE(MATCH(RegimeExecucao,{"Unitário","Global"},0),IF($A324="S",ROUND($H324,ORÇAMENTO!$AF$10),""),ROUND($I324,ORÇAMENTO!$AF$11)),"")</f>
        <v/>
      </c>
      <c r="Y324" s="433">
        <f t="shared" ca="1" si="55"/>
        <v>0</v>
      </c>
      <c r="Z324" s="434"/>
      <c r="AB324" s="431"/>
      <c r="AC324" s="599"/>
      <c r="AD324" s="599"/>
      <c r="AE324" s="599"/>
      <c r="AF324" s="599"/>
      <c r="AG324" s="599"/>
      <c r="AH324" s="599"/>
      <c r="AI324" s="599"/>
      <c r="AJ324" s="599"/>
      <c r="AK324" s="599"/>
      <c r="AL324" s="599"/>
      <c r="AM324" s="432"/>
      <c r="AO324">
        <f ca="1">IF($A324="S",IF(BM!$I324=0,0,CHOOSE(MATCH(RegimeExecucao,{"Global","Unitário"},0),ROUND(ROUND(BM.MEDAcumulado,15-13*BM!$A$9)/100*BM!$I324,15-13*ORÇAMENTO!$AF$11),ROUND(ROUND(BM.MEDAcumulado,15-13*BM!$A$9)*ROUND(BM!$H324,15-13*ORÇAMENTO!$AF$10),15-13*ORÇAMENTO!$AF$11))),IF($A324=0,0,ROUND(SomaAgrupBM,15-13*ORÇAMENTO!$AF$11)))</f>
        <v>0</v>
      </c>
    </row>
    <row r="325" spans="1:41" ht="13.8" x14ac:dyDescent="0.3">
      <c r="A325" t="str">
        <f ca="1">ORÇAMENTO!C325</f>
        <v>S</v>
      </c>
      <c r="B325">
        <f ca="1">ORÇAMENTO!D325</f>
        <v>0</v>
      </c>
      <c r="C325" s="143" t="str">
        <f t="shared" ca="1" si="45"/>
        <v/>
      </c>
      <c r="D325" s="146" t="str">
        <f ca="1">ORÇAMENTO!O325</f>
        <v>-</v>
      </c>
      <c r="E325" s="206" t="str">
        <f t="shared" ca="1" si="46"/>
        <v>(abra o arquivo 'Referência 05-2024.xls)</v>
      </c>
      <c r="F325" s="207" t="str">
        <f t="shared" ca="1" si="47"/>
        <v>-</v>
      </c>
      <c r="G325" s="151">
        <f ca="1">IF(RegimeExecucao="Global","",ORÇAMENTO!T325)</f>
        <v>1</v>
      </c>
      <c r="H325" s="151">
        <f ca="1">IF(RegimeExecucao="Global","",ORÇAMENTO!W325)</f>
        <v>0</v>
      </c>
      <c r="I325" s="154">
        <f ca="1">ORÇAMENTO!X325</f>
        <v>0</v>
      </c>
      <c r="J325" s="427">
        <f t="shared" ca="1" si="48"/>
        <v>0</v>
      </c>
      <c r="K325" s="151">
        <f t="shared" ca="1" si="49"/>
        <v>0</v>
      </c>
      <c r="L325" s="428">
        <f t="shared" ca="1" si="50"/>
        <v>0</v>
      </c>
      <c r="M325" s="429">
        <f ca="1">IF($A325="S",VTOTALBM,IF($A325=0,0,ROUND(SomaAgrupBM,15-13*ORÇAMENTO!$AF$11)))</f>
        <v>0</v>
      </c>
      <c r="N325" s="430">
        <f t="shared" ca="1" si="51"/>
        <v>0</v>
      </c>
      <c r="O325" s="154">
        <f ca="1">IF($A325="S",VTOTALBM,IF($A325=0,0,ROUND(SomaAgrupBM,15-13*ORÇAMENTO!$AF$11)))</f>
        <v>0</v>
      </c>
      <c r="Q325" s="431"/>
      <c r="R325" s="432"/>
      <c r="T325" s="146" t="str">
        <f t="shared" ca="1" si="52"/>
        <v/>
      </c>
      <c r="U325" s="206" t="str">
        <f t="shared" ca="1" si="53"/>
        <v/>
      </c>
      <c r="V325" s="207" t="str">
        <f t="shared" ca="1" si="54"/>
        <v/>
      </c>
      <c r="W325" s="634">
        <f ca="1">IF($Y325&gt;0,CHOOSE(MATCH(RegimeExecucao,{"Unitário","Global"},0),IF($A325="S",$Y325/$X325,""),($Y325/$X325)*100),0)</f>
        <v>0</v>
      </c>
      <c r="X325" s="433" t="str">
        <f ca="1">IF($Y325&gt;0,CHOOSE(MATCH(RegimeExecucao,{"Unitário","Global"},0),IF($A325="S",ROUND($H325,ORÇAMENTO!$AF$10),""),ROUND($I325,ORÇAMENTO!$AF$11)),"")</f>
        <v/>
      </c>
      <c r="Y325" s="433">
        <f t="shared" ca="1" si="55"/>
        <v>0</v>
      </c>
      <c r="Z325" s="434"/>
      <c r="AB325" s="431"/>
      <c r="AC325" s="599"/>
      <c r="AD325" s="599"/>
      <c r="AE325" s="599"/>
      <c r="AF325" s="599"/>
      <c r="AG325" s="599"/>
      <c r="AH325" s="599"/>
      <c r="AI325" s="599"/>
      <c r="AJ325" s="599"/>
      <c r="AK325" s="599"/>
      <c r="AL325" s="599"/>
      <c r="AM325" s="432"/>
      <c r="AO325">
        <f ca="1">IF($A325="S",IF(BM!$I325=0,0,CHOOSE(MATCH(RegimeExecucao,{"Global","Unitário"},0),ROUND(ROUND(BM.MEDAcumulado,15-13*BM!$A$9)/100*BM!$I325,15-13*ORÇAMENTO!$AF$11),ROUND(ROUND(BM.MEDAcumulado,15-13*BM!$A$9)*ROUND(BM!$H325,15-13*ORÇAMENTO!$AF$10),15-13*ORÇAMENTO!$AF$11))),IF($A325=0,0,ROUND(SomaAgrupBM,15-13*ORÇAMENTO!$AF$11)))</f>
        <v>0</v>
      </c>
    </row>
    <row r="326" spans="1:41" ht="13.8" x14ac:dyDescent="0.3">
      <c r="A326" t="str">
        <f ca="1">ORÇAMENTO!C326</f>
        <v>S</v>
      </c>
      <c r="B326">
        <f ca="1">ORÇAMENTO!D326</f>
        <v>0</v>
      </c>
      <c r="C326" s="143" t="str">
        <f t="shared" ca="1" si="45"/>
        <v/>
      </c>
      <c r="D326" s="146" t="str">
        <f ca="1">ORÇAMENTO!O326</f>
        <v>-</v>
      </c>
      <c r="E326" s="206" t="str">
        <f t="shared" ca="1" si="46"/>
        <v>(abra o arquivo 'Referência 05-2024.xls)</v>
      </c>
      <c r="F326" s="207" t="str">
        <f t="shared" ca="1" si="47"/>
        <v>-</v>
      </c>
      <c r="G326" s="151">
        <f ca="1">IF(RegimeExecucao="Global","",ORÇAMENTO!T326)</f>
        <v>1</v>
      </c>
      <c r="H326" s="151">
        <f ca="1">IF(RegimeExecucao="Global","",ORÇAMENTO!W326)</f>
        <v>0</v>
      </c>
      <c r="I326" s="154">
        <f ca="1">ORÇAMENTO!X326</f>
        <v>0</v>
      </c>
      <c r="J326" s="427">
        <f t="shared" ca="1" si="48"/>
        <v>0</v>
      </c>
      <c r="K326" s="151">
        <f t="shared" ca="1" si="49"/>
        <v>0</v>
      </c>
      <c r="L326" s="428">
        <f t="shared" ca="1" si="50"/>
        <v>0</v>
      </c>
      <c r="M326" s="429">
        <f ca="1">IF($A326="S",VTOTALBM,IF($A326=0,0,ROUND(SomaAgrupBM,15-13*ORÇAMENTO!$AF$11)))</f>
        <v>0</v>
      </c>
      <c r="N326" s="430">
        <f t="shared" ca="1" si="51"/>
        <v>0</v>
      </c>
      <c r="O326" s="154">
        <f ca="1">IF($A326="S",VTOTALBM,IF($A326=0,0,ROUND(SomaAgrupBM,15-13*ORÇAMENTO!$AF$11)))</f>
        <v>0</v>
      </c>
      <c r="Q326" s="431"/>
      <c r="R326" s="432"/>
      <c r="T326" s="146" t="str">
        <f t="shared" ca="1" si="52"/>
        <v/>
      </c>
      <c r="U326" s="206" t="str">
        <f t="shared" ca="1" si="53"/>
        <v/>
      </c>
      <c r="V326" s="207" t="str">
        <f t="shared" ca="1" si="54"/>
        <v/>
      </c>
      <c r="W326" s="634">
        <f ca="1">IF($Y326&gt;0,CHOOSE(MATCH(RegimeExecucao,{"Unitário","Global"},0),IF($A326="S",$Y326/$X326,""),($Y326/$X326)*100),0)</f>
        <v>0</v>
      </c>
      <c r="X326" s="433" t="str">
        <f ca="1">IF($Y326&gt;0,CHOOSE(MATCH(RegimeExecucao,{"Unitário","Global"},0),IF($A326="S",ROUND($H326,ORÇAMENTO!$AF$10),""),ROUND($I326,ORÇAMENTO!$AF$11)),"")</f>
        <v/>
      </c>
      <c r="Y326" s="433">
        <f t="shared" ca="1" si="55"/>
        <v>0</v>
      </c>
      <c r="Z326" s="434"/>
      <c r="AB326" s="431"/>
      <c r="AC326" s="599"/>
      <c r="AD326" s="599"/>
      <c r="AE326" s="599"/>
      <c r="AF326" s="599"/>
      <c r="AG326" s="599"/>
      <c r="AH326" s="599"/>
      <c r="AI326" s="599"/>
      <c r="AJ326" s="599"/>
      <c r="AK326" s="599"/>
      <c r="AL326" s="599"/>
      <c r="AM326" s="432"/>
      <c r="AO326">
        <f ca="1">IF($A326="S",IF(BM!$I326=0,0,CHOOSE(MATCH(RegimeExecucao,{"Global","Unitário"},0),ROUND(ROUND(BM.MEDAcumulado,15-13*BM!$A$9)/100*BM!$I326,15-13*ORÇAMENTO!$AF$11),ROUND(ROUND(BM.MEDAcumulado,15-13*BM!$A$9)*ROUND(BM!$H326,15-13*ORÇAMENTO!$AF$10),15-13*ORÇAMENTO!$AF$11))),IF($A326=0,0,ROUND(SomaAgrupBM,15-13*ORÇAMENTO!$AF$11)))</f>
        <v>0</v>
      </c>
    </row>
    <row r="327" spans="1:41" ht="13.8" x14ac:dyDescent="0.3">
      <c r="A327" t="str">
        <f ca="1">ORÇAMENTO!C327</f>
        <v>S</v>
      </c>
      <c r="B327">
        <f ca="1">ORÇAMENTO!D327</f>
        <v>0</v>
      </c>
      <c r="C327" s="143" t="str">
        <f t="shared" ca="1" si="45"/>
        <v/>
      </c>
      <c r="D327" s="146" t="str">
        <f ca="1">ORÇAMENTO!O327</f>
        <v>-</v>
      </c>
      <c r="E327" s="206" t="str">
        <f t="shared" ca="1" si="46"/>
        <v>(abra o arquivo 'Referência 05-2024.xls)</v>
      </c>
      <c r="F327" s="207" t="str">
        <f t="shared" ca="1" si="47"/>
        <v>-</v>
      </c>
      <c r="G327" s="151">
        <f ca="1">IF(RegimeExecucao="Global","",ORÇAMENTO!T327)</f>
        <v>4</v>
      </c>
      <c r="H327" s="151">
        <f ca="1">IF(RegimeExecucao="Global","",ORÇAMENTO!W327)</f>
        <v>0</v>
      </c>
      <c r="I327" s="154">
        <f ca="1">ORÇAMENTO!X327</f>
        <v>0</v>
      </c>
      <c r="J327" s="427">
        <f t="shared" ca="1" si="48"/>
        <v>0</v>
      </c>
      <c r="K327" s="151">
        <f t="shared" ca="1" si="49"/>
        <v>0</v>
      </c>
      <c r="L327" s="428">
        <f t="shared" ca="1" si="50"/>
        <v>0</v>
      </c>
      <c r="M327" s="429">
        <f ca="1">IF($A327="S",VTOTALBM,IF($A327=0,0,ROUND(SomaAgrupBM,15-13*ORÇAMENTO!$AF$11)))</f>
        <v>0</v>
      </c>
      <c r="N327" s="430">
        <f t="shared" ca="1" si="51"/>
        <v>0</v>
      </c>
      <c r="O327" s="154">
        <f ca="1">IF($A327="S",VTOTALBM,IF($A327=0,0,ROUND(SomaAgrupBM,15-13*ORÇAMENTO!$AF$11)))</f>
        <v>0</v>
      </c>
      <c r="Q327" s="431"/>
      <c r="R327" s="432"/>
      <c r="T327" s="146" t="str">
        <f t="shared" ca="1" si="52"/>
        <v/>
      </c>
      <c r="U327" s="206" t="str">
        <f t="shared" ca="1" si="53"/>
        <v/>
      </c>
      <c r="V327" s="207" t="str">
        <f t="shared" ca="1" si="54"/>
        <v/>
      </c>
      <c r="W327" s="634">
        <f ca="1">IF($Y327&gt;0,CHOOSE(MATCH(RegimeExecucao,{"Unitário","Global"},0),IF($A327="S",$Y327/$X327,""),($Y327/$X327)*100),0)</f>
        <v>0</v>
      </c>
      <c r="X327" s="433" t="str">
        <f ca="1">IF($Y327&gt;0,CHOOSE(MATCH(RegimeExecucao,{"Unitário","Global"},0),IF($A327="S",ROUND($H327,ORÇAMENTO!$AF$10),""),ROUND($I327,ORÇAMENTO!$AF$11)),"")</f>
        <v/>
      </c>
      <c r="Y327" s="433">
        <f t="shared" ca="1" si="55"/>
        <v>0</v>
      </c>
      <c r="Z327" s="434"/>
      <c r="AB327" s="431"/>
      <c r="AC327" s="599"/>
      <c r="AD327" s="599"/>
      <c r="AE327" s="599"/>
      <c r="AF327" s="599"/>
      <c r="AG327" s="599"/>
      <c r="AH327" s="599"/>
      <c r="AI327" s="599"/>
      <c r="AJ327" s="599"/>
      <c r="AK327" s="599"/>
      <c r="AL327" s="599"/>
      <c r="AM327" s="432"/>
      <c r="AO327">
        <f ca="1">IF($A327="S",IF(BM!$I327=0,0,CHOOSE(MATCH(RegimeExecucao,{"Global","Unitário"},0),ROUND(ROUND(BM.MEDAcumulado,15-13*BM!$A$9)/100*BM!$I327,15-13*ORÇAMENTO!$AF$11),ROUND(ROUND(BM.MEDAcumulado,15-13*BM!$A$9)*ROUND(BM!$H327,15-13*ORÇAMENTO!$AF$10),15-13*ORÇAMENTO!$AF$11))),IF($A327=0,0,ROUND(SomaAgrupBM,15-13*ORÇAMENTO!$AF$11)))</f>
        <v>0</v>
      </c>
    </row>
    <row r="328" spans="1:41" ht="13.8" x14ac:dyDescent="0.3">
      <c r="A328" t="str">
        <f ca="1">ORÇAMENTO!C328</f>
        <v>S</v>
      </c>
      <c r="B328">
        <f ca="1">ORÇAMENTO!D328</f>
        <v>0</v>
      </c>
      <c r="C328" s="143" t="str">
        <f t="shared" ca="1" si="45"/>
        <v/>
      </c>
      <c r="D328" s="146" t="str">
        <f ca="1">ORÇAMENTO!O328</f>
        <v>-</v>
      </c>
      <c r="E328" s="206" t="str">
        <f t="shared" ca="1" si="46"/>
        <v>(abra o arquivo 'Referência 05-2024.xls)</v>
      </c>
      <c r="F328" s="207" t="str">
        <f t="shared" ca="1" si="47"/>
        <v>-</v>
      </c>
      <c r="G328" s="151">
        <f ca="1">IF(RegimeExecucao="Global","",ORÇAMENTO!T328)</f>
        <v>3</v>
      </c>
      <c r="H328" s="151">
        <f ca="1">IF(RegimeExecucao="Global","",ORÇAMENTO!W328)</f>
        <v>0</v>
      </c>
      <c r="I328" s="154">
        <f ca="1">ORÇAMENTO!X328</f>
        <v>0</v>
      </c>
      <c r="J328" s="427">
        <f t="shared" ca="1" si="48"/>
        <v>0</v>
      </c>
      <c r="K328" s="151">
        <f t="shared" ca="1" si="49"/>
        <v>0</v>
      </c>
      <c r="L328" s="428">
        <f t="shared" ca="1" si="50"/>
        <v>0</v>
      </c>
      <c r="M328" s="429">
        <f ca="1">IF($A328="S",VTOTALBM,IF($A328=0,0,ROUND(SomaAgrupBM,15-13*ORÇAMENTO!$AF$11)))</f>
        <v>0</v>
      </c>
      <c r="N328" s="430">
        <f t="shared" ca="1" si="51"/>
        <v>0</v>
      </c>
      <c r="O328" s="154">
        <f ca="1">IF($A328="S",VTOTALBM,IF($A328=0,0,ROUND(SomaAgrupBM,15-13*ORÇAMENTO!$AF$11)))</f>
        <v>0</v>
      </c>
      <c r="Q328" s="431"/>
      <c r="R328" s="432"/>
      <c r="T328" s="146" t="str">
        <f t="shared" ca="1" si="52"/>
        <v/>
      </c>
      <c r="U328" s="206" t="str">
        <f t="shared" ca="1" si="53"/>
        <v/>
      </c>
      <c r="V328" s="207" t="str">
        <f t="shared" ca="1" si="54"/>
        <v/>
      </c>
      <c r="W328" s="634">
        <f ca="1">IF($Y328&gt;0,CHOOSE(MATCH(RegimeExecucao,{"Unitário","Global"},0),IF($A328="S",$Y328/$X328,""),($Y328/$X328)*100),0)</f>
        <v>0</v>
      </c>
      <c r="X328" s="433" t="str">
        <f ca="1">IF($Y328&gt;0,CHOOSE(MATCH(RegimeExecucao,{"Unitário","Global"},0),IF($A328="S",ROUND($H328,ORÇAMENTO!$AF$10),""),ROUND($I328,ORÇAMENTO!$AF$11)),"")</f>
        <v/>
      </c>
      <c r="Y328" s="433">
        <f t="shared" ca="1" si="55"/>
        <v>0</v>
      </c>
      <c r="Z328" s="434"/>
      <c r="AB328" s="431"/>
      <c r="AC328" s="599"/>
      <c r="AD328" s="599"/>
      <c r="AE328" s="599"/>
      <c r="AF328" s="599"/>
      <c r="AG328" s="599"/>
      <c r="AH328" s="599"/>
      <c r="AI328" s="599"/>
      <c r="AJ328" s="599"/>
      <c r="AK328" s="599"/>
      <c r="AL328" s="599"/>
      <c r="AM328" s="432"/>
      <c r="AO328">
        <f ca="1">IF($A328="S",IF(BM!$I328=0,0,CHOOSE(MATCH(RegimeExecucao,{"Global","Unitário"},0),ROUND(ROUND(BM.MEDAcumulado,15-13*BM!$A$9)/100*BM!$I328,15-13*ORÇAMENTO!$AF$11),ROUND(ROUND(BM.MEDAcumulado,15-13*BM!$A$9)*ROUND(BM!$H328,15-13*ORÇAMENTO!$AF$10),15-13*ORÇAMENTO!$AF$11))),IF($A328=0,0,ROUND(SomaAgrupBM,15-13*ORÇAMENTO!$AF$11)))</f>
        <v>0</v>
      </c>
    </row>
    <row r="329" spans="1:41" ht="13.8" x14ac:dyDescent="0.3">
      <c r="A329" t="str">
        <f ca="1">ORÇAMENTO!C329</f>
        <v>S</v>
      </c>
      <c r="B329">
        <f ca="1">ORÇAMENTO!D329</f>
        <v>0</v>
      </c>
      <c r="C329" s="143" t="str">
        <f t="shared" ca="1" si="45"/>
        <v/>
      </c>
      <c r="D329" s="146" t="str">
        <f ca="1">ORÇAMENTO!O329</f>
        <v>-</v>
      </c>
      <c r="E329" s="206" t="str">
        <f t="shared" ca="1" si="46"/>
        <v>(abra o arquivo 'Referência 05-2024.xls)</v>
      </c>
      <c r="F329" s="207" t="str">
        <f t="shared" ca="1" si="47"/>
        <v>-</v>
      </c>
      <c r="G329" s="151">
        <f ca="1">IF(RegimeExecucao="Global","",ORÇAMENTO!T329)</f>
        <v>2</v>
      </c>
      <c r="H329" s="151">
        <f ca="1">IF(RegimeExecucao="Global","",ORÇAMENTO!W329)</f>
        <v>0</v>
      </c>
      <c r="I329" s="154">
        <f ca="1">ORÇAMENTO!X329</f>
        <v>0</v>
      </c>
      <c r="J329" s="427">
        <f t="shared" ca="1" si="48"/>
        <v>0</v>
      </c>
      <c r="K329" s="151">
        <f t="shared" ca="1" si="49"/>
        <v>0</v>
      </c>
      <c r="L329" s="428">
        <f t="shared" ca="1" si="50"/>
        <v>0</v>
      </c>
      <c r="M329" s="429">
        <f ca="1">IF($A329="S",VTOTALBM,IF($A329=0,0,ROUND(SomaAgrupBM,15-13*ORÇAMENTO!$AF$11)))</f>
        <v>0</v>
      </c>
      <c r="N329" s="430">
        <f t="shared" ca="1" si="51"/>
        <v>0</v>
      </c>
      <c r="O329" s="154">
        <f ca="1">IF($A329="S",VTOTALBM,IF($A329=0,0,ROUND(SomaAgrupBM,15-13*ORÇAMENTO!$AF$11)))</f>
        <v>0</v>
      </c>
      <c r="Q329" s="431"/>
      <c r="R329" s="432"/>
      <c r="T329" s="146" t="str">
        <f t="shared" ca="1" si="52"/>
        <v/>
      </c>
      <c r="U329" s="206" t="str">
        <f t="shared" ca="1" si="53"/>
        <v/>
      </c>
      <c r="V329" s="207" t="str">
        <f t="shared" ca="1" si="54"/>
        <v/>
      </c>
      <c r="W329" s="634">
        <f ca="1">IF($Y329&gt;0,CHOOSE(MATCH(RegimeExecucao,{"Unitário","Global"},0),IF($A329="S",$Y329/$X329,""),($Y329/$X329)*100),0)</f>
        <v>0</v>
      </c>
      <c r="X329" s="433" t="str">
        <f ca="1">IF($Y329&gt;0,CHOOSE(MATCH(RegimeExecucao,{"Unitário","Global"},0),IF($A329="S",ROUND($H329,ORÇAMENTO!$AF$10),""),ROUND($I329,ORÇAMENTO!$AF$11)),"")</f>
        <v/>
      </c>
      <c r="Y329" s="433">
        <f t="shared" ca="1" si="55"/>
        <v>0</v>
      </c>
      <c r="Z329" s="434"/>
      <c r="AB329" s="431"/>
      <c r="AC329" s="599"/>
      <c r="AD329" s="599"/>
      <c r="AE329" s="599"/>
      <c r="AF329" s="599"/>
      <c r="AG329" s="599"/>
      <c r="AH329" s="599"/>
      <c r="AI329" s="599"/>
      <c r="AJ329" s="599"/>
      <c r="AK329" s="599"/>
      <c r="AL329" s="599"/>
      <c r="AM329" s="432"/>
      <c r="AO329">
        <f ca="1">IF($A329="S",IF(BM!$I329=0,0,CHOOSE(MATCH(RegimeExecucao,{"Global","Unitário"},0),ROUND(ROUND(BM.MEDAcumulado,15-13*BM!$A$9)/100*BM!$I329,15-13*ORÇAMENTO!$AF$11),ROUND(ROUND(BM.MEDAcumulado,15-13*BM!$A$9)*ROUND(BM!$H329,15-13*ORÇAMENTO!$AF$10),15-13*ORÇAMENTO!$AF$11))),IF($A329=0,0,ROUND(SomaAgrupBM,15-13*ORÇAMENTO!$AF$11)))</f>
        <v>0</v>
      </c>
    </row>
    <row r="330" spans="1:41" ht="13.8" x14ac:dyDescent="0.3">
      <c r="A330" t="str">
        <f ca="1">ORÇAMENTO!C330</f>
        <v>S</v>
      </c>
      <c r="B330">
        <f ca="1">ORÇAMENTO!D330</f>
        <v>0</v>
      </c>
      <c r="C330" s="143" t="str">
        <f t="shared" ca="1" si="45"/>
        <v/>
      </c>
      <c r="D330" s="146" t="str">
        <f ca="1">ORÇAMENTO!O330</f>
        <v>-</v>
      </c>
      <c r="E330" s="206" t="str">
        <f t="shared" ca="1" si="46"/>
        <v>(abra o arquivo 'Referência 05-2024.xls)</v>
      </c>
      <c r="F330" s="207" t="str">
        <f t="shared" ca="1" si="47"/>
        <v>-</v>
      </c>
      <c r="G330" s="151">
        <f ca="1">IF(RegimeExecucao="Global","",ORÇAMENTO!T330)</f>
        <v>2</v>
      </c>
      <c r="H330" s="151">
        <f ca="1">IF(RegimeExecucao="Global","",ORÇAMENTO!W330)</f>
        <v>0</v>
      </c>
      <c r="I330" s="154">
        <f ca="1">ORÇAMENTO!X330</f>
        <v>0</v>
      </c>
      <c r="J330" s="427">
        <f t="shared" ca="1" si="48"/>
        <v>0</v>
      </c>
      <c r="K330" s="151">
        <f t="shared" ca="1" si="49"/>
        <v>0</v>
      </c>
      <c r="L330" s="428">
        <f t="shared" ca="1" si="50"/>
        <v>0</v>
      </c>
      <c r="M330" s="429">
        <f ca="1">IF($A330="S",VTOTALBM,IF($A330=0,0,ROUND(SomaAgrupBM,15-13*ORÇAMENTO!$AF$11)))</f>
        <v>0</v>
      </c>
      <c r="N330" s="430">
        <f t="shared" ca="1" si="51"/>
        <v>0</v>
      </c>
      <c r="O330" s="154">
        <f ca="1">IF($A330="S",VTOTALBM,IF($A330=0,0,ROUND(SomaAgrupBM,15-13*ORÇAMENTO!$AF$11)))</f>
        <v>0</v>
      </c>
      <c r="Q330" s="431"/>
      <c r="R330" s="432"/>
      <c r="T330" s="146" t="str">
        <f t="shared" ca="1" si="52"/>
        <v/>
      </c>
      <c r="U330" s="206" t="str">
        <f t="shared" ca="1" si="53"/>
        <v/>
      </c>
      <c r="V330" s="207" t="str">
        <f t="shared" ca="1" si="54"/>
        <v/>
      </c>
      <c r="W330" s="634">
        <f ca="1">IF($Y330&gt;0,CHOOSE(MATCH(RegimeExecucao,{"Unitário","Global"},0),IF($A330="S",$Y330/$X330,""),($Y330/$X330)*100),0)</f>
        <v>0</v>
      </c>
      <c r="X330" s="433" t="str">
        <f ca="1">IF($Y330&gt;0,CHOOSE(MATCH(RegimeExecucao,{"Unitário","Global"},0),IF($A330="S",ROUND($H330,ORÇAMENTO!$AF$10),""),ROUND($I330,ORÇAMENTO!$AF$11)),"")</f>
        <v/>
      </c>
      <c r="Y330" s="433">
        <f t="shared" ca="1" si="55"/>
        <v>0</v>
      </c>
      <c r="Z330" s="434"/>
      <c r="AB330" s="431"/>
      <c r="AC330" s="599"/>
      <c r="AD330" s="599"/>
      <c r="AE330" s="599"/>
      <c r="AF330" s="599"/>
      <c r="AG330" s="599"/>
      <c r="AH330" s="599"/>
      <c r="AI330" s="599"/>
      <c r="AJ330" s="599"/>
      <c r="AK330" s="599"/>
      <c r="AL330" s="599"/>
      <c r="AM330" s="432"/>
      <c r="AO330">
        <f ca="1">IF($A330="S",IF(BM!$I330=0,0,CHOOSE(MATCH(RegimeExecucao,{"Global","Unitário"},0),ROUND(ROUND(BM.MEDAcumulado,15-13*BM!$A$9)/100*BM!$I330,15-13*ORÇAMENTO!$AF$11),ROUND(ROUND(BM.MEDAcumulado,15-13*BM!$A$9)*ROUND(BM!$H330,15-13*ORÇAMENTO!$AF$10),15-13*ORÇAMENTO!$AF$11))),IF($A330=0,0,ROUND(SomaAgrupBM,15-13*ORÇAMENTO!$AF$11)))</f>
        <v>0</v>
      </c>
    </row>
    <row r="331" spans="1:41" ht="13.8" x14ac:dyDescent="0.3">
      <c r="A331" t="str">
        <f ca="1">ORÇAMENTO!C331</f>
        <v>S</v>
      </c>
      <c r="B331">
        <f ca="1">ORÇAMENTO!D331</f>
        <v>0</v>
      </c>
      <c r="C331" s="143" t="str">
        <f t="shared" ref="C331:C394" ca="1" si="56">IF(OR($I331&gt;0,$A331=1,$A331=2,$A331=3,$A331=4),"F","")</f>
        <v/>
      </c>
      <c r="D331" s="146" t="str">
        <f ca="1">ORÇAMENTO!O331</f>
        <v>-</v>
      </c>
      <c r="E331" s="206" t="str">
        <f t="shared" ref="E331:E394" ca="1" si="57">ORÇAMENTO.Descricao</f>
        <v>(abra o arquivo 'Referência 05-2024.xls)</v>
      </c>
      <c r="F331" s="207" t="str">
        <f t="shared" ref="F331:F394" ca="1" si="58">IF(RegimeExecucao="Global","",ORÇAMENTO.Unidade)</f>
        <v>-</v>
      </c>
      <c r="G331" s="151">
        <f ca="1">IF(RegimeExecucao="Global","",ORÇAMENTO!T331)</f>
        <v>123</v>
      </c>
      <c r="H331" s="151">
        <f ca="1">IF(RegimeExecucao="Global","",ORÇAMENTO!W331)</f>
        <v>0</v>
      </c>
      <c r="I331" s="154">
        <f ca="1">ORÇAMENTO!X331</f>
        <v>0</v>
      </c>
      <c r="J331" s="427">
        <f t="shared" ref="J331:J394" ca="1" si="59">IF($A331="S",IF(CAIXA.Modo,BM.AFAnterior,BM.MEDAnterior),IF(AND(RegimeExecucao="Global",$I331&gt;0,COUNTIF($AB$13:$AM$13,BM.medicao-1)&gt;0),M331/$I331*100,0))</f>
        <v>0</v>
      </c>
      <c r="K331" s="151">
        <f t="shared" ref="K331:K394" ca="1" si="60">L331-J331</f>
        <v>0</v>
      </c>
      <c r="L331" s="428">
        <f t="shared" ref="L331:L394" ca="1" si="61">IF($A331="S",IF(CAIXA.Modo,BM.AFAcumulado,BM.MEDAcumulado),IF(AND(RegimeExecucao="Global",$I331&gt;0,COUNTIF($AB$13:$AM$13,BM.medicao)&gt;0),O331/$I331*100,0))</f>
        <v>0</v>
      </c>
      <c r="M331" s="429">
        <f ca="1">IF($A331="S",VTOTALBM,IF($A331=0,0,ROUND(SomaAgrupBM,15-13*ORÇAMENTO!$AF$11)))</f>
        <v>0</v>
      </c>
      <c r="N331" s="430">
        <f t="shared" ref="N331:N394" ca="1" si="62">O331-M331</f>
        <v>0</v>
      </c>
      <c r="O331" s="154">
        <f ca="1">IF($A331="S",VTOTALBM,IF($A331=0,0,ROUND(SomaAgrupBM,15-13*ORÇAMENTO!$AF$11)))</f>
        <v>0</v>
      </c>
      <c r="Q331" s="431"/>
      <c r="R331" s="432"/>
      <c r="T331" s="146" t="str">
        <f t="shared" ref="T331:T394" ca="1" si="63">IF($W331&gt;0,$D331,"")</f>
        <v/>
      </c>
      <c r="U331" s="206" t="str">
        <f t="shared" ref="U331:U394" ca="1" si="64">IF($W331&gt;0,$E331,"")</f>
        <v/>
      </c>
      <c r="V331" s="207" t="str">
        <f t="shared" ref="V331:V394" ca="1" si="65">IF(AND($W331&gt;0,RegimeExecucao="Unitário"),$F331,"")</f>
        <v/>
      </c>
      <c r="W331" s="634">
        <f ca="1">IF($Y331&gt;0,CHOOSE(MATCH(RegimeExecucao,{"Unitário","Global"},0),IF($A331="S",$Y331/$X331,""),($Y331/$X331)*100),0)</f>
        <v>0</v>
      </c>
      <c r="X331" s="433" t="str">
        <f ca="1">IF($Y331&gt;0,CHOOSE(MATCH(RegimeExecucao,{"Unitário","Global"},0),IF($A331="S",ROUND($H331,ORÇAMENTO!$AF$10),""),ROUND($I331,ORÇAMENTO!$AF$11)),"")</f>
        <v/>
      </c>
      <c r="Y331" s="433">
        <f t="shared" ref="Y331:Y394" ca="1" si="66">AO331-O331</f>
        <v>0</v>
      </c>
      <c r="Z331" s="434"/>
      <c r="AB331" s="431"/>
      <c r="AC331" s="599"/>
      <c r="AD331" s="599"/>
      <c r="AE331" s="599"/>
      <c r="AF331" s="599"/>
      <c r="AG331" s="599"/>
      <c r="AH331" s="599"/>
      <c r="AI331" s="599"/>
      <c r="AJ331" s="599"/>
      <c r="AK331" s="599"/>
      <c r="AL331" s="599"/>
      <c r="AM331" s="432"/>
      <c r="AO331">
        <f ca="1">IF($A331="S",IF(BM!$I331=0,0,CHOOSE(MATCH(RegimeExecucao,{"Global","Unitário"},0),ROUND(ROUND(BM.MEDAcumulado,15-13*BM!$A$9)/100*BM!$I331,15-13*ORÇAMENTO!$AF$11),ROUND(ROUND(BM.MEDAcumulado,15-13*BM!$A$9)*ROUND(BM!$H331,15-13*ORÇAMENTO!$AF$10),15-13*ORÇAMENTO!$AF$11))),IF($A331=0,0,ROUND(SomaAgrupBM,15-13*ORÇAMENTO!$AF$11)))</f>
        <v>0</v>
      </c>
    </row>
    <row r="332" spans="1:41" ht="13.8" x14ac:dyDescent="0.3">
      <c r="A332" t="str">
        <f ca="1">ORÇAMENTO!C332</f>
        <v>S</v>
      </c>
      <c r="B332">
        <f ca="1">ORÇAMENTO!D332</f>
        <v>0</v>
      </c>
      <c r="C332" s="143" t="str">
        <f t="shared" ca="1" si="56"/>
        <v/>
      </c>
      <c r="D332" s="146" t="str">
        <f ca="1">ORÇAMENTO!O332</f>
        <v>-</v>
      </c>
      <c r="E332" s="206" t="str">
        <f t="shared" ca="1" si="57"/>
        <v>(abra o arquivo 'Referência 05-2024.xls)</v>
      </c>
      <c r="F332" s="207" t="str">
        <f t="shared" ca="1" si="58"/>
        <v>-</v>
      </c>
      <c r="G332" s="151">
        <f ca="1">IF(RegimeExecucao="Global","",ORÇAMENTO!T332)</f>
        <v>53</v>
      </c>
      <c r="H332" s="151">
        <f ca="1">IF(RegimeExecucao="Global","",ORÇAMENTO!W332)</f>
        <v>0</v>
      </c>
      <c r="I332" s="154">
        <f ca="1">ORÇAMENTO!X332</f>
        <v>0</v>
      </c>
      <c r="J332" s="427">
        <f t="shared" ca="1" si="59"/>
        <v>0</v>
      </c>
      <c r="K332" s="151">
        <f t="shared" ca="1" si="60"/>
        <v>0</v>
      </c>
      <c r="L332" s="428">
        <f t="shared" ca="1" si="61"/>
        <v>0</v>
      </c>
      <c r="M332" s="429">
        <f ca="1">IF($A332="S",VTOTALBM,IF($A332=0,0,ROUND(SomaAgrupBM,15-13*ORÇAMENTO!$AF$11)))</f>
        <v>0</v>
      </c>
      <c r="N332" s="430">
        <f t="shared" ca="1" si="62"/>
        <v>0</v>
      </c>
      <c r="O332" s="154">
        <f ca="1">IF($A332="S",VTOTALBM,IF($A332=0,0,ROUND(SomaAgrupBM,15-13*ORÇAMENTO!$AF$11)))</f>
        <v>0</v>
      </c>
      <c r="Q332" s="431"/>
      <c r="R332" s="432"/>
      <c r="T332" s="146" t="str">
        <f t="shared" ca="1" si="63"/>
        <v/>
      </c>
      <c r="U332" s="206" t="str">
        <f t="shared" ca="1" si="64"/>
        <v/>
      </c>
      <c r="V332" s="207" t="str">
        <f t="shared" ca="1" si="65"/>
        <v/>
      </c>
      <c r="W332" s="634">
        <f ca="1">IF($Y332&gt;0,CHOOSE(MATCH(RegimeExecucao,{"Unitário","Global"},0),IF($A332="S",$Y332/$X332,""),($Y332/$X332)*100),0)</f>
        <v>0</v>
      </c>
      <c r="X332" s="433" t="str">
        <f ca="1">IF($Y332&gt;0,CHOOSE(MATCH(RegimeExecucao,{"Unitário","Global"},0),IF($A332="S",ROUND($H332,ORÇAMENTO!$AF$10),""),ROUND($I332,ORÇAMENTO!$AF$11)),"")</f>
        <v/>
      </c>
      <c r="Y332" s="433">
        <f t="shared" ca="1" si="66"/>
        <v>0</v>
      </c>
      <c r="Z332" s="434"/>
      <c r="AB332" s="431"/>
      <c r="AC332" s="599"/>
      <c r="AD332" s="599"/>
      <c r="AE332" s="599"/>
      <c r="AF332" s="599"/>
      <c r="AG332" s="599"/>
      <c r="AH332" s="599"/>
      <c r="AI332" s="599"/>
      <c r="AJ332" s="599"/>
      <c r="AK332" s="599"/>
      <c r="AL332" s="599"/>
      <c r="AM332" s="432"/>
      <c r="AO332">
        <f ca="1">IF($A332="S",IF(BM!$I332=0,0,CHOOSE(MATCH(RegimeExecucao,{"Global","Unitário"},0),ROUND(ROUND(BM.MEDAcumulado,15-13*BM!$A$9)/100*BM!$I332,15-13*ORÇAMENTO!$AF$11),ROUND(ROUND(BM.MEDAcumulado,15-13*BM!$A$9)*ROUND(BM!$H332,15-13*ORÇAMENTO!$AF$10),15-13*ORÇAMENTO!$AF$11))),IF($A332=0,0,ROUND(SomaAgrupBM,15-13*ORÇAMENTO!$AF$11)))</f>
        <v>0</v>
      </c>
    </row>
    <row r="333" spans="1:41" ht="13.8" x14ac:dyDescent="0.3">
      <c r="A333" t="str">
        <f ca="1">ORÇAMENTO!C333</f>
        <v>S</v>
      </c>
      <c r="B333">
        <f ca="1">ORÇAMENTO!D333</f>
        <v>0</v>
      </c>
      <c r="C333" s="143" t="str">
        <f t="shared" ca="1" si="56"/>
        <v/>
      </c>
      <c r="D333" s="146" t="str">
        <f ca="1">ORÇAMENTO!O333</f>
        <v>-</v>
      </c>
      <c r="E333" s="206" t="str">
        <f t="shared" ca="1" si="57"/>
        <v>(abra o arquivo 'Referência 05-2024.xls)</v>
      </c>
      <c r="F333" s="207" t="str">
        <f t="shared" ca="1" si="58"/>
        <v>-</v>
      </c>
      <c r="G333" s="151">
        <f ca="1">IF(RegimeExecucao="Global","",ORÇAMENTO!T333)</f>
        <v>60</v>
      </c>
      <c r="H333" s="151">
        <f ca="1">IF(RegimeExecucao="Global","",ORÇAMENTO!W333)</f>
        <v>0</v>
      </c>
      <c r="I333" s="154">
        <f ca="1">ORÇAMENTO!X333</f>
        <v>0</v>
      </c>
      <c r="J333" s="427">
        <f t="shared" ca="1" si="59"/>
        <v>0</v>
      </c>
      <c r="K333" s="151">
        <f t="shared" ca="1" si="60"/>
        <v>0</v>
      </c>
      <c r="L333" s="428">
        <f t="shared" ca="1" si="61"/>
        <v>0</v>
      </c>
      <c r="M333" s="429">
        <f ca="1">IF($A333="S",VTOTALBM,IF($A333=0,0,ROUND(SomaAgrupBM,15-13*ORÇAMENTO!$AF$11)))</f>
        <v>0</v>
      </c>
      <c r="N333" s="430">
        <f t="shared" ca="1" si="62"/>
        <v>0</v>
      </c>
      <c r="O333" s="154">
        <f ca="1">IF($A333="S",VTOTALBM,IF($A333=0,0,ROUND(SomaAgrupBM,15-13*ORÇAMENTO!$AF$11)))</f>
        <v>0</v>
      </c>
      <c r="Q333" s="431"/>
      <c r="R333" s="432"/>
      <c r="T333" s="146" t="str">
        <f t="shared" ca="1" si="63"/>
        <v/>
      </c>
      <c r="U333" s="206" t="str">
        <f t="shared" ca="1" si="64"/>
        <v/>
      </c>
      <c r="V333" s="207" t="str">
        <f t="shared" ca="1" si="65"/>
        <v/>
      </c>
      <c r="W333" s="634">
        <f ca="1">IF($Y333&gt;0,CHOOSE(MATCH(RegimeExecucao,{"Unitário","Global"},0),IF($A333="S",$Y333/$X333,""),($Y333/$X333)*100),0)</f>
        <v>0</v>
      </c>
      <c r="X333" s="433" t="str">
        <f ca="1">IF($Y333&gt;0,CHOOSE(MATCH(RegimeExecucao,{"Unitário","Global"},0),IF($A333="S",ROUND($H333,ORÇAMENTO!$AF$10),""),ROUND($I333,ORÇAMENTO!$AF$11)),"")</f>
        <v/>
      </c>
      <c r="Y333" s="433">
        <f t="shared" ca="1" si="66"/>
        <v>0</v>
      </c>
      <c r="Z333" s="434"/>
      <c r="AB333" s="431"/>
      <c r="AC333" s="599"/>
      <c r="AD333" s="599"/>
      <c r="AE333" s="599"/>
      <c r="AF333" s="599"/>
      <c r="AG333" s="599"/>
      <c r="AH333" s="599"/>
      <c r="AI333" s="599"/>
      <c r="AJ333" s="599"/>
      <c r="AK333" s="599"/>
      <c r="AL333" s="599"/>
      <c r="AM333" s="432"/>
      <c r="AO333">
        <f ca="1">IF($A333="S",IF(BM!$I333=0,0,CHOOSE(MATCH(RegimeExecucao,{"Global","Unitário"},0),ROUND(ROUND(BM.MEDAcumulado,15-13*BM!$A$9)/100*BM!$I333,15-13*ORÇAMENTO!$AF$11),ROUND(ROUND(BM.MEDAcumulado,15-13*BM!$A$9)*ROUND(BM!$H333,15-13*ORÇAMENTO!$AF$10),15-13*ORÇAMENTO!$AF$11))),IF($A333=0,0,ROUND(SomaAgrupBM,15-13*ORÇAMENTO!$AF$11)))</f>
        <v>0</v>
      </c>
    </row>
    <row r="334" spans="1:41" ht="13.8" x14ac:dyDescent="0.3">
      <c r="A334" t="str">
        <f ca="1">ORÇAMENTO!C334</f>
        <v>S</v>
      </c>
      <c r="B334">
        <f ca="1">ORÇAMENTO!D334</f>
        <v>0</v>
      </c>
      <c r="C334" s="143" t="str">
        <f t="shared" ca="1" si="56"/>
        <v/>
      </c>
      <c r="D334" s="146" t="str">
        <f ca="1">ORÇAMENTO!O334</f>
        <v>-</v>
      </c>
      <c r="E334" s="206" t="str">
        <f t="shared" ca="1" si="57"/>
        <v>(abra o arquivo 'Referência 05-2024.xls)</v>
      </c>
      <c r="F334" s="207" t="str">
        <f t="shared" ca="1" si="58"/>
        <v>-</v>
      </c>
      <c r="G334" s="151">
        <f ca="1">IF(RegimeExecucao="Global","",ORÇAMENTO!T334)</f>
        <v>36</v>
      </c>
      <c r="H334" s="151">
        <f ca="1">IF(RegimeExecucao="Global","",ORÇAMENTO!W334)</f>
        <v>0</v>
      </c>
      <c r="I334" s="154">
        <f ca="1">ORÇAMENTO!X334</f>
        <v>0</v>
      </c>
      <c r="J334" s="427">
        <f t="shared" ca="1" si="59"/>
        <v>0</v>
      </c>
      <c r="K334" s="151">
        <f t="shared" ca="1" si="60"/>
        <v>0</v>
      </c>
      <c r="L334" s="428">
        <f t="shared" ca="1" si="61"/>
        <v>0</v>
      </c>
      <c r="M334" s="429">
        <f ca="1">IF($A334="S",VTOTALBM,IF($A334=0,0,ROUND(SomaAgrupBM,15-13*ORÇAMENTO!$AF$11)))</f>
        <v>0</v>
      </c>
      <c r="N334" s="430">
        <f t="shared" ca="1" si="62"/>
        <v>0</v>
      </c>
      <c r="O334" s="154">
        <f ca="1">IF($A334="S",VTOTALBM,IF($A334=0,0,ROUND(SomaAgrupBM,15-13*ORÇAMENTO!$AF$11)))</f>
        <v>0</v>
      </c>
      <c r="Q334" s="431"/>
      <c r="R334" s="432"/>
      <c r="T334" s="146" t="str">
        <f t="shared" ca="1" si="63"/>
        <v/>
      </c>
      <c r="U334" s="206" t="str">
        <f t="shared" ca="1" si="64"/>
        <v/>
      </c>
      <c r="V334" s="207" t="str">
        <f t="shared" ca="1" si="65"/>
        <v/>
      </c>
      <c r="W334" s="634">
        <f ca="1">IF($Y334&gt;0,CHOOSE(MATCH(RegimeExecucao,{"Unitário","Global"},0),IF($A334="S",$Y334/$X334,""),($Y334/$X334)*100),0)</f>
        <v>0</v>
      </c>
      <c r="X334" s="433" t="str">
        <f ca="1">IF($Y334&gt;0,CHOOSE(MATCH(RegimeExecucao,{"Unitário","Global"},0),IF($A334="S",ROUND($H334,ORÇAMENTO!$AF$10),""),ROUND($I334,ORÇAMENTO!$AF$11)),"")</f>
        <v/>
      </c>
      <c r="Y334" s="433">
        <f t="shared" ca="1" si="66"/>
        <v>0</v>
      </c>
      <c r="Z334" s="434"/>
      <c r="AB334" s="431"/>
      <c r="AC334" s="599"/>
      <c r="AD334" s="599"/>
      <c r="AE334" s="599"/>
      <c r="AF334" s="599"/>
      <c r="AG334" s="599"/>
      <c r="AH334" s="599"/>
      <c r="AI334" s="599"/>
      <c r="AJ334" s="599"/>
      <c r="AK334" s="599"/>
      <c r="AL334" s="599"/>
      <c r="AM334" s="432"/>
      <c r="AO334">
        <f ca="1">IF($A334="S",IF(BM!$I334=0,0,CHOOSE(MATCH(RegimeExecucao,{"Global","Unitário"},0),ROUND(ROUND(BM.MEDAcumulado,15-13*BM!$A$9)/100*BM!$I334,15-13*ORÇAMENTO!$AF$11),ROUND(ROUND(BM.MEDAcumulado,15-13*BM!$A$9)*ROUND(BM!$H334,15-13*ORÇAMENTO!$AF$10),15-13*ORÇAMENTO!$AF$11))),IF($A334=0,0,ROUND(SomaAgrupBM,15-13*ORÇAMENTO!$AF$11)))</f>
        <v>0</v>
      </c>
    </row>
    <row r="335" spans="1:41" ht="13.8" x14ac:dyDescent="0.3">
      <c r="A335" t="str">
        <f ca="1">ORÇAMENTO!C335</f>
        <v>S</v>
      </c>
      <c r="B335">
        <f ca="1">ORÇAMENTO!D335</f>
        <v>0</v>
      </c>
      <c r="C335" s="143" t="str">
        <f t="shared" ca="1" si="56"/>
        <v/>
      </c>
      <c r="D335" s="146" t="str">
        <f ca="1">ORÇAMENTO!O335</f>
        <v>-</v>
      </c>
      <c r="E335" s="206" t="str">
        <f t="shared" ca="1" si="57"/>
        <v>(abra o arquivo 'Referência 05-2024.xls)</v>
      </c>
      <c r="F335" s="207" t="str">
        <f t="shared" ca="1" si="58"/>
        <v>-</v>
      </c>
      <c r="G335" s="151">
        <f ca="1">IF(RegimeExecucao="Global","",ORÇAMENTO!T335)</f>
        <v>10</v>
      </c>
      <c r="H335" s="151">
        <f ca="1">IF(RegimeExecucao="Global","",ORÇAMENTO!W335)</f>
        <v>0</v>
      </c>
      <c r="I335" s="154">
        <f ca="1">ORÇAMENTO!X335</f>
        <v>0</v>
      </c>
      <c r="J335" s="427">
        <f t="shared" ca="1" si="59"/>
        <v>0</v>
      </c>
      <c r="K335" s="151">
        <f t="shared" ca="1" si="60"/>
        <v>0</v>
      </c>
      <c r="L335" s="428">
        <f t="shared" ca="1" si="61"/>
        <v>0</v>
      </c>
      <c r="M335" s="429">
        <f ca="1">IF($A335="S",VTOTALBM,IF($A335=0,0,ROUND(SomaAgrupBM,15-13*ORÇAMENTO!$AF$11)))</f>
        <v>0</v>
      </c>
      <c r="N335" s="430">
        <f t="shared" ca="1" si="62"/>
        <v>0</v>
      </c>
      <c r="O335" s="154">
        <f ca="1">IF($A335="S",VTOTALBM,IF($A335=0,0,ROUND(SomaAgrupBM,15-13*ORÇAMENTO!$AF$11)))</f>
        <v>0</v>
      </c>
      <c r="Q335" s="431"/>
      <c r="R335" s="432"/>
      <c r="T335" s="146" t="str">
        <f t="shared" ca="1" si="63"/>
        <v/>
      </c>
      <c r="U335" s="206" t="str">
        <f t="shared" ca="1" si="64"/>
        <v/>
      </c>
      <c r="V335" s="207" t="str">
        <f t="shared" ca="1" si="65"/>
        <v/>
      </c>
      <c r="W335" s="634">
        <f ca="1">IF($Y335&gt;0,CHOOSE(MATCH(RegimeExecucao,{"Unitário","Global"},0),IF($A335="S",$Y335/$X335,""),($Y335/$X335)*100),0)</f>
        <v>0</v>
      </c>
      <c r="X335" s="433" t="str">
        <f ca="1">IF($Y335&gt;0,CHOOSE(MATCH(RegimeExecucao,{"Unitário","Global"},0),IF($A335="S",ROUND($H335,ORÇAMENTO!$AF$10),""),ROUND($I335,ORÇAMENTO!$AF$11)),"")</f>
        <v/>
      </c>
      <c r="Y335" s="433">
        <f t="shared" ca="1" si="66"/>
        <v>0</v>
      </c>
      <c r="Z335" s="434"/>
      <c r="AB335" s="431"/>
      <c r="AC335" s="599"/>
      <c r="AD335" s="599"/>
      <c r="AE335" s="599"/>
      <c r="AF335" s="599"/>
      <c r="AG335" s="599"/>
      <c r="AH335" s="599"/>
      <c r="AI335" s="599"/>
      <c r="AJ335" s="599"/>
      <c r="AK335" s="599"/>
      <c r="AL335" s="599"/>
      <c r="AM335" s="432"/>
      <c r="AO335">
        <f ca="1">IF($A335="S",IF(BM!$I335=0,0,CHOOSE(MATCH(RegimeExecucao,{"Global","Unitário"},0),ROUND(ROUND(BM.MEDAcumulado,15-13*BM!$A$9)/100*BM!$I335,15-13*ORÇAMENTO!$AF$11),ROUND(ROUND(BM.MEDAcumulado,15-13*BM!$A$9)*ROUND(BM!$H335,15-13*ORÇAMENTO!$AF$10),15-13*ORÇAMENTO!$AF$11))),IF($A335=0,0,ROUND(SomaAgrupBM,15-13*ORÇAMENTO!$AF$11)))</f>
        <v>0</v>
      </c>
    </row>
    <row r="336" spans="1:41" ht="13.8" x14ac:dyDescent="0.3">
      <c r="A336" t="str">
        <f ca="1">ORÇAMENTO!C336</f>
        <v>S</v>
      </c>
      <c r="B336">
        <f ca="1">ORÇAMENTO!D336</f>
        <v>0</v>
      </c>
      <c r="C336" s="143" t="str">
        <f t="shared" ca="1" si="56"/>
        <v/>
      </c>
      <c r="D336" s="146" t="str">
        <f ca="1">ORÇAMENTO!O336</f>
        <v>-</v>
      </c>
      <c r="E336" s="206" t="str">
        <f t="shared" ca="1" si="57"/>
        <v>(abra o arquivo 'Referência 05-2024.xls)</v>
      </c>
      <c r="F336" s="207" t="str">
        <f t="shared" ca="1" si="58"/>
        <v>-</v>
      </c>
      <c r="G336" s="151">
        <f ca="1">IF(RegimeExecucao="Global","",ORÇAMENTO!T336)</f>
        <v>10</v>
      </c>
      <c r="H336" s="151">
        <f ca="1">IF(RegimeExecucao="Global","",ORÇAMENTO!W336)</f>
        <v>0</v>
      </c>
      <c r="I336" s="154">
        <f ca="1">ORÇAMENTO!X336</f>
        <v>0</v>
      </c>
      <c r="J336" s="427">
        <f t="shared" ca="1" si="59"/>
        <v>0</v>
      </c>
      <c r="K336" s="151">
        <f t="shared" ca="1" si="60"/>
        <v>0</v>
      </c>
      <c r="L336" s="428">
        <f t="shared" ca="1" si="61"/>
        <v>0</v>
      </c>
      <c r="M336" s="429">
        <f ca="1">IF($A336="S",VTOTALBM,IF($A336=0,0,ROUND(SomaAgrupBM,15-13*ORÇAMENTO!$AF$11)))</f>
        <v>0</v>
      </c>
      <c r="N336" s="430">
        <f t="shared" ca="1" si="62"/>
        <v>0</v>
      </c>
      <c r="O336" s="154">
        <f ca="1">IF($A336="S",VTOTALBM,IF($A336=0,0,ROUND(SomaAgrupBM,15-13*ORÇAMENTO!$AF$11)))</f>
        <v>0</v>
      </c>
      <c r="Q336" s="431"/>
      <c r="R336" s="432"/>
      <c r="T336" s="146" t="str">
        <f t="shared" ca="1" si="63"/>
        <v/>
      </c>
      <c r="U336" s="206" t="str">
        <f t="shared" ca="1" si="64"/>
        <v/>
      </c>
      <c r="V336" s="207" t="str">
        <f t="shared" ca="1" si="65"/>
        <v/>
      </c>
      <c r="W336" s="634">
        <f ca="1">IF($Y336&gt;0,CHOOSE(MATCH(RegimeExecucao,{"Unitário","Global"},0),IF($A336="S",$Y336/$X336,""),($Y336/$X336)*100),0)</f>
        <v>0</v>
      </c>
      <c r="X336" s="433" t="str">
        <f ca="1">IF($Y336&gt;0,CHOOSE(MATCH(RegimeExecucao,{"Unitário","Global"},0),IF($A336="S",ROUND($H336,ORÇAMENTO!$AF$10),""),ROUND($I336,ORÇAMENTO!$AF$11)),"")</f>
        <v/>
      </c>
      <c r="Y336" s="433">
        <f t="shared" ca="1" si="66"/>
        <v>0</v>
      </c>
      <c r="Z336" s="434"/>
      <c r="AB336" s="431"/>
      <c r="AC336" s="599"/>
      <c r="AD336" s="599"/>
      <c r="AE336" s="599"/>
      <c r="AF336" s="599"/>
      <c r="AG336" s="599"/>
      <c r="AH336" s="599"/>
      <c r="AI336" s="599"/>
      <c r="AJ336" s="599"/>
      <c r="AK336" s="599"/>
      <c r="AL336" s="599"/>
      <c r="AM336" s="432"/>
      <c r="AO336">
        <f ca="1">IF($A336="S",IF(BM!$I336=0,0,CHOOSE(MATCH(RegimeExecucao,{"Global","Unitário"},0),ROUND(ROUND(BM.MEDAcumulado,15-13*BM!$A$9)/100*BM!$I336,15-13*ORÇAMENTO!$AF$11),ROUND(ROUND(BM.MEDAcumulado,15-13*BM!$A$9)*ROUND(BM!$H336,15-13*ORÇAMENTO!$AF$10),15-13*ORÇAMENTO!$AF$11))),IF($A336=0,0,ROUND(SomaAgrupBM,15-13*ORÇAMENTO!$AF$11)))</f>
        <v>0</v>
      </c>
    </row>
    <row r="337" spans="1:41" ht="13.8" x14ac:dyDescent="0.3">
      <c r="A337" t="str">
        <f ca="1">ORÇAMENTO!C337</f>
        <v>S</v>
      </c>
      <c r="B337">
        <f ca="1">ORÇAMENTO!D337</f>
        <v>0</v>
      </c>
      <c r="C337" s="143" t="str">
        <f t="shared" ca="1" si="56"/>
        <v/>
      </c>
      <c r="D337" s="146" t="str">
        <f ca="1">ORÇAMENTO!O337</f>
        <v>-</v>
      </c>
      <c r="E337" s="206" t="str">
        <f t="shared" ca="1" si="57"/>
        <v>(abra o arquivo 'Referência 05-2024.xls)</v>
      </c>
      <c r="F337" s="207" t="str">
        <f t="shared" ca="1" si="58"/>
        <v>-</v>
      </c>
      <c r="G337" s="151">
        <f ca="1">IF(RegimeExecucao="Global","",ORÇAMENTO!T337)</f>
        <v>50</v>
      </c>
      <c r="H337" s="151">
        <f ca="1">IF(RegimeExecucao="Global","",ORÇAMENTO!W337)</f>
        <v>0</v>
      </c>
      <c r="I337" s="154">
        <f ca="1">ORÇAMENTO!X337</f>
        <v>0</v>
      </c>
      <c r="J337" s="427">
        <f t="shared" ca="1" si="59"/>
        <v>0</v>
      </c>
      <c r="K337" s="151">
        <f t="shared" ca="1" si="60"/>
        <v>0</v>
      </c>
      <c r="L337" s="428">
        <f t="shared" ca="1" si="61"/>
        <v>0</v>
      </c>
      <c r="M337" s="429">
        <f ca="1">IF($A337="S",VTOTALBM,IF($A337=0,0,ROUND(SomaAgrupBM,15-13*ORÇAMENTO!$AF$11)))</f>
        <v>0</v>
      </c>
      <c r="N337" s="430">
        <f t="shared" ca="1" si="62"/>
        <v>0</v>
      </c>
      <c r="O337" s="154">
        <f ca="1">IF($A337="S",VTOTALBM,IF($A337=0,0,ROUND(SomaAgrupBM,15-13*ORÇAMENTO!$AF$11)))</f>
        <v>0</v>
      </c>
      <c r="Q337" s="431"/>
      <c r="R337" s="432"/>
      <c r="T337" s="146" t="str">
        <f t="shared" ca="1" si="63"/>
        <v/>
      </c>
      <c r="U337" s="206" t="str">
        <f t="shared" ca="1" si="64"/>
        <v/>
      </c>
      <c r="V337" s="207" t="str">
        <f t="shared" ca="1" si="65"/>
        <v/>
      </c>
      <c r="W337" s="634">
        <f ca="1">IF($Y337&gt;0,CHOOSE(MATCH(RegimeExecucao,{"Unitário","Global"},0),IF($A337="S",$Y337/$X337,""),($Y337/$X337)*100),0)</f>
        <v>0</v>
      </c>
      <c r="X337" s="433" t="str">
        <f ca="1">IF($Y337&gt;0,CHOOSE(MATCH(RegimeExecucao,{"Unitário","Global"},0),IF($A337="S",ROUND($H337,ORÇAMENTO!$AF$10),""),ROUND($I337,ORÇAMENTO!$AF$11)),"")</f>
        <v/>
      </c>
      <c r="Y337" s="433">
        <f t="shared" ca="1" si="66"/>
        <v>0</v>
      </c>
      <c r="Z337" s="434"/>
      <c r="AB337" s="431"/>
      <c r="AC337" s="599"/>
      <c r="AD337" s="599"/>
      <c r="AE337" s="599"/>
      <c r="AF337" s="599"/>
      <c r="AG337" s="599"/>
      <c r="AH337" s="599"/>
      <c r="AI337" s="599"/>
      <c r="AJ337" s="599"/>
      <c r="AK337" s="599"/>
      <c r="AL337" s="599"/>
      <c r="AM337" s="432"/>
      <c r="AO337">
        <f ca="1">IF($A337="S",IF(BM!$I337=0,0,CHOOSE(MATCH(RegimeExecucao,{"Global","Unitário"},0),ROUND(ROUND(BM.MEDAcumulado,15-13*BM!$A$9)/100*BM!$I337,15-13*ORÇAMENTO!$AF$11),ROUND(ROUND(BM.MEDAcumulado,15-13*BM!$A$9)*ROUND(BM!$H337,15-13*ORÇAMENTO!$AF$10),15-13*ORÇAMENTO!$AF$11))),IF($A337=0,0,ROUND(SomaAgrupBM,15-13*ORÇAMENTO!$AF$11)))</f>
        <v>0</v>
      </c>
    </row>
    <row r="338" spans="1:41" ht="13.8" x14ac:dyDescent="0.3">
      <c r="A338" t="str">
        <f ca="1">ORÇAMENTO!C338</f>
        <v>S</v>
      </c>
      <c r="B338">
        <f ca="1">ORÇAMENTO!D338</f>
        <v>0</v>
      </c>
      <c r="C338" s="143" t="str">
        <f t="shared" ca="1" si="56"/>
        <v/>
      </c>
      <c r="D338" s="146" t="str">
        <f ca="1">ORÇAMENTO!O338</f>
        <v>-</v>
      </c>
      <c r="E338" s="206" t="str">
        <f t="shared" ca="1" si="57"/>
        <v>(abra o arquivo 'Referência 05-2024.xls)</v>
      </c>
      <c r="F338" s="207" t="str">
        <f t="shared" ca="1" si="58"/>
        <v>-</v>
      </c>
      <c r="G338" s="151">
        <f ca="1">IF(RegimeExecucao="Global","",ORÇAMENTO!T338)</f>
        <v>22</v>
      </c>
      <c r="H338" s="151">
        <f ca="1">IF(RegimeExecucao="Global","",ORÇAMENTO!W338)</f>
        <v>0</v>
      </c>
      <c r="I338" s="154">
        <f ca="1">ORÇAMENTO!X338</f>
        <v>0</v>
      </c>
      <c r="J338" s="427">
        <f t="shared" ca="1" si="59"/>
        <v>0</v>
      </c>
      <c r="K338" s="151">
        <f t="shared" ca="1" si="60"/>
        <v>0</v>
      </c>
      <c r="L338" s="428">
        <f t="shared" ca="1" si="61"/>
        <v>0</v>
      </c>
      <c r="M338" s="429">
        <f ca="1">IF($A338="S",VTOTALBM,IF($A338=0,0,ROUND(SomaAgrupBM,15-13*ORÇAMENTO!$AF$11)))</f>
        <v>0</v>
      </c>
      <c r="N338" s="430">
        <f t="shared" ca="1" si="62"/>
        <v>0</v>
      </c>
      <c r="O338" s="154">
        <f ca="1">IF($A338="S",VTOTALBM,IF($A338=0,0,ROUND(SomaAgrupBM,15-13*ORÇAMENTO!$AF$11)))</f>
        <v>0</v>
      </c>
      <c r="Q338" s="431"/>
      <c r="R338" s="432"/>
      <c r="T338" s="146" t="str">
        <f t="shared" ca="1" si="63"/>
        <v/>
      </c>
      <c r="U338" s="206" t="str">
        <f t="shared" ca="1" si="64"/>
        <v/>
      </c>
      <c r="V338" s="207" t="str">
        <f t="shared" ca="1" si="65"/>
        <v/>
      </c>
      <c r="W338" s="634">
        <f ca="1">IF($Y338&gt;0,CHOOSE(MATCH(RegimeExecucao,{"Unitário","Global"},0),IF($A338="S",$Y338/$X338,""),($Y338/$X338)*100),0)</f>
        <v>0</v>
      </c>
      <c r="X338" s="433" t="str">
        <f ca="1">IF($Y338&gt;0,CHOOSE(MATCH(RegimeExecucao,{"Unitário","Global"},0),IF($A338="S",ROUND($H338,ORÇAMENTO!$AF$10),""),ROUND($I338,ORÇAMENTO!$AF$11)),"")</f>
        <v/>
      </c>
      <c r="Y338" s="433">
        <f t="shared" ca="1" si="66"/>
        <v>0</v>
      </c>
      <c r="Z338" s="434"/>
      <c r="AB338" s="431"/>
      <c r="AC338" s="599"/>
      <c r="AD338" s="599"/>
      <c r="AE338" s="599"/>
      <c r="AF338" s="599"/>
      <c r="AG338" s="599"/>
      <c r="AH338" s="599"/>
      <c r="AI338" s="599"/>
      <c r="AJ338" s="599"/>
      <c r="AK338" s="599"/>
      <c r="AL338" s="599"/>
      <c r="AM338" s="432"/>
      <c r="AO338">
        <f ca="1">IF($A338="S",IF(BM!$I338=0,0,CHOOSE(MATCH(RegimeExecucao,{"Global","Unitário"},0),ROUND(ROUND(BM.MEDAcumulado,15-13*BM!$A$9)/100*BM!$I338,15-13*ORÇAMENTO!$AF$11),ROUND(ROUND(BM.MEDAcumulado,15-13*BM!$A$9)*ROUND(BM!$H338,15-13*ORÇAMENTO!$AF$10),15-13*ORÇAMENTO!$AF$11))),IF($A338=0,0,ROUND(SomaAgrupBM,15-13*ORÇAMENTO!$AF$11)))</f>
        <v>0</v>
      </c>
    </row>
    <row r="339" spans="1:41" ht="13.8" x14ac:dyDescent="0.3">
      <c r="A339" t="str">
        <f ca="1">ORÇAMENTO!C339</f>
        <v>S</v>
      </c>
      <c r="B339">
        <f ca="1">ORÇAMENTO!D339</f>
        <v>0</v>
      </c>
      <c r="C339" s="143" t="str">
        <f t="shared" ca="1" si="56"/>
        <v/>
      </c>
      <c r="D339" s="146" t="str">
        <f ca="1">ORÇAMENTO!O339</f>
        <v>-</v>
      </c>
      <c r="E339" s="206" t="str">
        <f t="shared" ca="1" si="57"/>
        <v>(abra o arquivo 'Referência 05-2024.xls)</v>
      </c>
      <c r="F339" s="207" t="str">
        <f t="shared" ca="1" si="58"/>
        <v>-</v>
      </c>
      <c r="G339" s="151">
        <f ca="1">IF(RegimeExecucao="Global","",ORÇAMENTO!T339)</f>
        <v>3</v>
      </c>
      <c r="H339" s="151">
        <f ca="1">IF(RegimeExecucao="Global","",ORÇAMENTO!W339)</f>
        <v>0</v>
      </c>
      <c r="I339" s="154">
        <f ca="1">ORÇAMENTO!X339</f>
        <v>0</v>
      </c>
      <c r="J339" s="427">
        <f t="shared" ca="1" si="59"/>
        <v>0</v>
      </c>
      <c r="K339" s="151">
        <f t="shared" ca="1" si="60"/>
        <v>0</v>
      </c>
      <c r="L339" s="428">
        <f t="shared" ca="1" si="61"/>
        <v>0</v>
      </c>
      <c r="M339" s="429">
        <f ca="1">IF($A339="S",VTOTALBM,IF($A339=0,0,ROUND(SomaAgrupBM,15-13*ORÇAMENTO!$AF$11)))</f>
        <v>0</v>
      </c>
      <c r="N339" s="430">
        <f t="shared" ca="1" si="62"/>
        <v>0</v>
      </c>
      <c r="O339" s="154">
        <f ca="1">IF($A339="S",VTOTALBM,IF($A339=0,0,ROUND(SomaAgrupBM,15-13*ORÇAMENTO!$AF$11)))</f>
        <v>0</v>
      </c>
      <c r="Q339" s="431"/>
      <c r="R339" s="432"/>
      <c r="T339" s="146" t="str">
        <f t="shared" ca="1" si="63"/>
        <v/>
      </c>
      <c r="U339" s="206" t="str">
        <f t="shared" ca="1" si="64"/>
        <v/>
      </c>
      <c r="V339" s="207" t="str">
        <f t="shared" ca="1" si="65"/>
        <v/>
      </c>
      <c r="W339" s="634">
        <f ca="1">IF($Y339&gt;0,CHOOSE(MATCH(RegimeExecucao,{"Unitário","Global"},0),IF($A339="S",$Y339/$X339,""),($Y339/$X339)*100),0)</f>
        <v>0</v>
      </c>
      <c r="X339" s="433" t="str">
        <f ca="1">IF($Y339&gt;0,CHOOSE(MATCH(RegimeExecucao,{"Unitário","Global"},0),IF($A339="S",ROUND($H339,ORÇAMENTO!$AF$10),""),ROUND($I339,ORÇAMENTO!$AF$11)),"")</f>
        <v/>
      </c>
      <c r="Y339" s="433">
        <f t="shared" ca="1" si="66"/>
        <v>0</v>
      </c>
      <c r="Z339" s="434"/>
      <c r="AB339" s="431"/>
      <c r="AC339" s="599"/>
      <c r="AD339" s="599"/>
      <c r="AE339" s="599"/>
      <c r="AF339" s="599"/>
      <c r="AG339" s="599"/>
      <c r="AH339" s="599"/>
      <c r="AI339" s="599"/>
      <c r="AJ339" s="599"/>
      <c r="AK339" s="599"/>
      <c r="AL339" s="599"/>
      <c r="AM339" s="432"/>
      <c r="AO339">
        <f ca="1">IF($A339="S",IF(BM!$I339=0,0,CHOOSE(MATCH(RegimeExecucao,{"Global","Unitário"},0),ROUND(ROUND(BM.MEDAcumulado,15-13*BM!$A$9)/100*BM!$I339,15-13*ORÇAMENTO!$AF$11),ROUND(ROUND(BM.MEDAcumulado,15-13*BM!$A$9)*ROUND(BM!$H339,15-13*ORÇAMENTO!$AF$10),15-13*ORÇAMENTO!$AF$11))),IF($A339=0,0,ROUND(SomaAgrupBM,15-13*ORÇAMENTO!$AF$11)))</f>
        <v>0</v>
      </c>
    </row>
    <row r="340" spans="1:41" ht="13.8" x14ac:dyDescent="0.3">
      <c r="A340" t="str">
        <f ca="1">ORÇAMENTO!C340</f>
        <v>S</v>
      </c>
      <c r="B340">
        <f ca="1">ORÇAMENTO!D340</f>
        <v>0</v>
      </c>
      <c r="C340" s="143" t="str">
        <f t="shared" ca="1" si="56"/>
        <v/>
      </c>
      <c r="D340" s="146" t="str">
        <f ca="1">ORÇAMENTO!O340</f>
        <v>-</v>
      </c>
      <c r="E340" s="206" t="str">
        <f t="shared" ca="1" si="57"/>
        <v>(abra o arquivo 'Referência 05-2024.xls)</v>
      </c>
      <c r="F340" s="207" t="str">
        <f t="shared" ca="1" si="58"/>
        <v>-</v>
      </c>
      <c r="G340" s="151">
        <f ca="1">IF(RegimeExecucao="Global","",ORÇAMENTO!T340)</f>
        <v>16</v>
      </c>
      <c r="H340" s="151">
        <f ca="1">IF(RegimeExecucao="Global","",ORÇAMENTO!W340)</f>
        <v>0</v>
      </c>
      <c r="I340" s="154">
        <f ca="1">ORÇAMENTO!X340</f>
        <v>0</v>
      </c>
      <c r="J340" s="427">
        <f t="shared" ca="1" si="59"/>
        <v>0</v>
      </c>
      <c r="K340" s="151">
        <f t="shared" ca="1" si="60"/>
        <v>0</v>
      </c>
      <c r="L340" s="428">
        <f t="shared" ca="1" si="61"/>
        <v>0</v>
      </c>
      <c r="M340" s="429">
        <f ca="1">IF($A340="S",VTOTALBM,IF($A340=0,0,ROUND(SomaAgrupBM,15-13*ORÇAMENTO!$AF$11)))</f>
        <v>0</v>
      </c>
      <c r="N340" s="430">
        <f t="shared" ca="1" si="62"/>
        <v>0</v>
      </c>
      <c r="O340" s="154">
        <f ca="1">IF($A340="S",VTOTALBM,IF($A340=0,0,ROUND(SomaAgrupBM,15-13*ORÇAMENTO!$AF$11)))</f>
        <v>0</v>
      </c>
      <c r="Q340" s="431"/>
      <c r="R340" s="432"/>
      <c r="T340" s="146" t="str">
        <f t="shared" ca="1" si="63"/>
        <v/>
      </c>
      <c r="U340" s="206" t="str">
        <f t="shared" ca="1" si="64"/>
        <v/>
      </c>
      <c r="V340" s="207" t="str">
        <f t="shared" ca="1" si="65"/>
        <v/>
      </c>
      <c r="W340" s="634">
        <f ca="1">IF($Y340&gt;0,CHOOSE(MATCH(RegimeExecucao,{"Unitário","Global"},0),IF($A340="S",$Y340/$X340,""),($Y340/$X340)*100),0)</f>
        <v>0</v>
      </c>
      <c r="X340" s="433" t="str">
        <f ca="1">IF($Y340&gt;0,CHOOSE(MATCH(RegimeExecucao,{"Unitário","Global"},0),IF($A340="S",ROUND($H340,ORÇAMENTO!$AF$10),""),ROUND($I340,ORÇAMENTO!$AF$11)),"")</f>
        <v/>
      </c>
      <c r="Y340" s="433">
        <f t="shared" ca="1" si="66"/>
        <v>0</v>
      </c>
      <c r="Z340" s="434"/>
      <c r="AB340" s="431"/>
      <c r="AC340" s="599"/>
      <c r="AD340" s="599"/>
      <c r="AE340" s="599"/>
      <c r="AF340" s="599"/>
      <c r="AG340" s="599"/>
      <c r="AH340" s="599"/>
      <c r="AI340" s="599"/>
      <c r="AJ340" s="599"/>
      <c r="AK340" s="599"/>
      <c r="AL340" s="599"/>
      <c r="AM340" s="432"/>
      <c r="AO340">
        <f ca="1">IF($A340="S",IF(BM!$I340=0,0,CHOOSE(MATCH(RegimeExecucao,{"Global","Unitário"},0),ROUND(ROUND(BM.MEDAcumulado,15-13*BM!$A$9)/100*BM!$I340,15-13*ORÇAMENTO!$AF$11),ROUND(ROUND(BM.MEDAcumulado,15-13*BM!$A$9)*ROUND(BM!$H340,15-13*ORÇAMENTO!$AF$10),15-13*ORÇAMENTO!$AF$11))),IF($A340=0,0,ROUND(SomaAgrupBM,15-13*ORÇAMENTO!$AF$11)))</f>
        <v>0</v>
      </c>
    </row>
    <row r="341" spans="1:41" ht="13.8" x14ac:dyDescent="0.3">
      <c r="A341" t="str">
        <f ca="1">ORÇAMENTO!C341</f>
        <v>S</v>
      </c>
      <c r="B341">
        <f ca="1">ORÇAMENTO!D341</f>
        <v>0</v>
      </c>
      <c r="C341" s="143" t="str">
        <f t="shared" ca="1" si="56"/>
        <v/>
      </c>
      <c r="D341" s="146" t="str">
        <f ca="1">ORÇAMENTO!O341</f>
        <v>-</v>
      </c>
      <c r="E341" s="206" t="str">
        <f t="shared" ca="1" si="57"/>
        <v>(abra o arquivo 'Referência 05-2024.xls)</v>
      </c>
      <c r="F341" s="207" t="str">
        <f t="shared" ca="1" si="58"/>
        <v>-</v>
      </c>
      <c r="G341" s="151">
        <f ca="1">IF(RegimeExecucao="Global","",ORÇAMENTO!T341)</f>
        <v>14</v>
      </c>
      <c r="H341" s="151">
        <f ca="1">IF(RegimeExecucao="Global","",ORÇAMENTO!W341)</f>
        <v>0</v>
      </c>
      <c r="I341" s="154">
        <f ca="1">ORÇAMENTO!X341</f>
        <v>0</v>
      </c>
      <c r="J341" s="427">
        <f t="shared" ca="1" si="59"/>
        <v>0</v>
      </c>
      <c r="K341" s="151">
        <f t="shared" ca="1" si="60"/>
        <v>0</v>
      </c>
      <c r="L341" s="428">
        <f t="shared" ca="1" si="61"/>
        <v>0</v>
      </c>
      <c r="M341" s="429">
        <f ca="1">IF($A341="S",VTOTALBM,IF($A341=0,0,ROUND(SomaAgrupBM,15-13*ORÇAMENTO!$AF$11)))</f>
        <v>0</v>
      </c>
      <c r="N341" s="430">
        <f t="shared" ca="1" si="62"/>
        <v>0</v>
      </c>
      <c r="O341" s="154">
        <f ca="1">IF($A341="S",VTOTALBM,IF($A341=0,0,ROUND(SomaAgrupBM,15-13*ORÇAMENTO!$AF$11)))</f>
        <v>0</v>
      </c>
      <c r="Q341" s="431"/>
      <c r="R341" s="432"/>
      <c r="T341" s="146" t="str">
        <f t="shared" ca="1" si="63"/>
        <v/>
      </c>
      <c r="U341" s="206" t="str">
        <f t="shared" ca="1" si="64"/>
        <v/>
      </c>
      <c r="V341" s="207" t="str">
        <f t="shared" ca="1" si="65"/>
        <v/>
      </c>
      <c r="W341" s="634">
        <f ca="1">IF($Y341&gt;0,CHOOSE(MATCH(RegimeExecucao,{"Unitário","Global"},0),IF($A341="S",$Y341/$X341,""),($Y341/$X341)*100),0)</f>
        <v>0</v>
      </c>
      <c r="X341" s="433" t="str">
        <f ca="1">IF($Y341&gt;0,CHOOSE(MATCH(RegimeExecucao,{"Unitário","Global"},0),IF($A341="S",ROUND($H341,ORÇAMENTO!$AF$10),""),ROUND($I341,ORÇAMENTO!$AF$11)),"")</f>
        <v/>
      </c>
      <c r="Y341" s="433">
        <f t="shared" ca="1" si="66"/>
        <v>0</v>
      </c>
      <c r="Z341" s="434"/>
      <c r="AB341" s="431"/>
      <c r="AC341" s="599"/>
      <c r="AD341" s="599"/>
      <c r="AE341" s="599"/>
      <c r="AF341" s="599"/>
      <c r="AG341" s="599"/>
      <c r="AH341" s="599"/>
      <c r="AI341" s="599"/>
      <c r="AJ341" s="599"/>
      <c r="AK341" s="599"/>
      <c r="AL341" s="599"/>
      <c r="AM341" s="432"/>
      <c r="AO341">
        <f ca="1">IF($A341="S",IF(BM!$I341=0,0,CHOOSE(MATCH(RegimeExecucao,{"Global","Unitário"},0),ROUND(ROUND(BM.MEDAcumulado,15-13*BM!$A$9)/100*BM!$I341,15-13*ORÇAMENTO!$AF$11),ROUND(ROUND(BM.MEDAcumulado,15-13*BM!$A$9)*ROUND(BM!$H341,15-13*ORÇAMENTO!$AF$10),15-13*ORÇAMENTO!$AF$11))),IF($A341=0,0,ROUND(SomaAgrupBM,15-13*ORÇAMENTO!$AF$11)))</f>
        <v>0</v>
      </c>
    </row>
    <row r="342" spans="1:41" ht="13.8" x14ac:dyDescent="0.3">
      <c r="A342" t="str">
        <f ca="1">ORÇAMENTO!C342</f>
        <v>S</v>
      </c>
      <c r="B342">
        <f ca="1">ORÇAMENTO!D342</f>
        <v>0</v>
      </c>
      <c r="C342" s="143" t="str">
        <f t="shared" ca="1" si="56"/>
        <v/>
      </c>
      <c r="D342" s="146" t="str">
        <f ca="1">ORÇAMENTO!O342</f>
        <v>-</v>
      </c>
      <c r="E342" s="206" t="str">
        <f t="shared" ca="1" si="57"/>
        <v>(abra o arquivo 'Referência 05-2024.xls)</v>
      </c>
      <c r="F342" s="207" t="str">
        <f t="shared" ca="1" si="58"/>
        <v>-</v>
      </c>
      <c r="G342" s="151">
        <f ca="1">IF(RegimeExecucao="Global","",ORÇAMENTO!T342)</f>
        <v>1</v>
      </c>
      <c r="H342" s="151">
        <f ca="1">IF(RegimeExecucao="Global","",ORÇAMENTO!W342)</f>
        <v>0</v>
      </c>
      <c r="I342" s="154">
        <f ca="1">ORÇAMENTO!X342</f>
        <v>0</v>
      </c>
      <c r="J342" s="427">
        <f t="shared" ca="1" si="59"/>
        <v>0</v>
      </c>
      <c r="K342" s="151">
        <f t="shared" ca="1" si="60"/>
        <v>0</v>
      </c>
      <c r="L342" s="428">
        <f t="shared" ca="1" si="61"/>
        <v>0</v>
      </c>
      <c r="M342" s="429">
        <f ca="1">IF($A342="S",VTOTALBM,IF($A342=0,0,ROUND(SomaAgrupBM,15-13*ORÇAMENTO!$AF$11)))</f>
        <v>0</v>
      </c>
      <c r="N342" s="430">
        <f t="shared" ca="1" si="62"/>
        <v>0</v>
      </c>
      <c r="O342" s="154">
        <f ca="1">IF($A342="S",VTOTALBM,IF($A342=0,0,ROUND(SomaAgrupBM,15-13*ORÇAMENTO!$AF$11)))</f>
        <v>0</v>
      </c>
      <c r="Q342" s="431"/>
      <c r="R342" s="432"/>
      <c r="T342" s="146" t="str">
        <f t="shared" ca="1" si="63"/>
        <v/>
      </c>
      <c r="U342" s="206" t="str">
        <f t="shared" ca="1" si="64"/>
        <v/>
      </c>
      <c r="V342" s="207" t="str">
        <f t="shared" ca="1" si="65"/>
        <v/>
      </c>
      <c r="W342" s="634">
        <f ca="1">IF($Y342&gt;0,CHOOSE(MATCH(RegimeExecucao,{"Unitário","Global"},0),IF($A342="S",$Y342/$X342,""),($Y342/$X342)*100),0)</f>
        <v>0</v>
      </c>
      <c r="X342" s="433" t="str">
        <f ca="1">IF($Y342&gt;0,CHOOSE(MATCH(RegimeExecucao,{"Unitário","Global"},0),IF($A342="S",ROUND($H342,ORÇAMENTO!$AF$10),""),ROUND($I342,ORÇAMENTO!$AF$11)),"")</f>
        <v/>
      </c>
      <c r="Y342" s="433">
        <f t="shared" ca="1" si="66"/>
        <v>0</v>
      </c>
      <c r="Z342" s="434"/>
      <c r="AB342" s="431"/>
      <c r="AC342" s="599"/>
      <c r="AD342" s="599"/>
      <c r="AE342" s="599"/>
      <c r="AF342" s="599"/>
      <c r="AG342" s="599"/>
      <c r="AH342" s="599"/>
      <c r="AI342" s="599"/>
      <c r="AJ342" s="599"/>
      <c r="AK342" s="599"/>
      <c r="AL342" s="599"/>
      <c r="AM342" s="432"/>
      <c r="AO342">
        <f ca="1">IF($A342="S",IF(BM!$I342=0,0,CHOOSE(MATCH(RegimeExecucao,{"Global","Unitário"},0),ROUND(ROUND(BM.MEDAcumulado,15-13*BM!$A$9)/100*BM!$I342,15-13*ORÇAMENTO!$AF$11),ROUND(ROUND(BM.MEDAcumulado,15-13*BM!$A$9)*ROUND(BM!$H342,15-13*ORÇAMENTO!$AF$10),15-13*ORÇAMENTO!$AF$11))),IF($A342=0,0,ROUND(SomaAgrupBM,15-13*ORÇAMENTO!$AF$11)))</f>
        <v>0</v>
      </c>
    </row>
    <row r="343" spans="1:41" ht="13.8" x14ac:dyDescent="0.3">
      <c r="A343" t="str">
        <f ca="1">ORÇAMENTO!C343</f>
        <v>S</v>
      </c>
      <c r="B343">
        <f ca="1">ORÇAMENTO!D343</f>
        <v>0</v>
      </c>
      <c r="C343" s="143" t="str">
        <f t="shared" ca="1" si="56"/>
        <v/>
      </c>
      <c r="D343" s="146" t="str">
        <f ca="1">ORÇAMENTO!O343</f>
        <v>-</v>
      </c>
      <c r="E343" s="206" t="str">
        <f t="shared" ca="1" si="57"/>
        <v>(abra o arquivo 'Referência 05-2024.xls)</v>
      </c>
      <c r="F343" s="207" t="str">
        <f t="shared" ca="1" si="58"/>
        <v>-</v>
      </c>
      <c r="G343" s="151">
        <f ca="1">IF(RegimeExecucao="Global","",ORÇAMENTO!T343)</f>
        <v>3</v>
      </c>
      <c r="H343" s="151">
        <f ca="1">IF(RegimeExecucao="Global","",ORÇAMENTO!W343)</f>
        <v>0</v>
      </c>
      <c r="I343" s="154">
        <f ca="1">ORÇAMENTO!X343</f>
        <v>0</v>
      </c>
      <c r="J343" s="427">
        <f t="shared" ca="1" si="59"/>
        <v>0</v>
      </c>
      <c r="K343" s="151">
        <f t="shared" ca="1" si="60"/>
        <v>0</v>
      </c>
      <c r="L343" s="428">
        <f t="shared" ca="1" si="61"/>
        <v>0</v>
      </c>
      <c r="M343" s="429">
        <f ca="1">IF($A343="S",VTOTALBM,IF($A343=0,0,ROUND(SomaAgrupBM,15-13*ORÇAMENTO!$AF$11)))</f>
        <v>0</v>
      </c>
      <c r="N343" s="430">
        <f t="shared" ca="1" si="62"/>
        <v>0</v>
      </c>
      <c r="O343" s="154">
        <f ca="1">IF($A343="S",VTOTALBM,IF($A343=0,0,ROUND(SomaAgrupBM,15-13*ORÇAMENTO!$AF$11)))</f>
        <v>0</v>
      </c>
      <c r="Q343" s="431"/>
      <c r="R343" s="432"/>
      <c r="T343" s="146" t="str">
        <f t="shared" ca="1" si="63"/>
        <v/>
      </c>
      <c r="U343" s="206" t="str">
        <f t="shared" ca="1" si="64"/>
        <v/>
      </c>
      <c r="V343" s="207" t="str">
        <f t="shared" ca="1" si="65"/>
        <v/>
      </c>
      <c r="W343" s="634">
        <f ca="1">IF($Y343&gt;0,CHOOSE(MATCH(RegimeExecucao,{"Unitário","Global"},0),IF($A343="S",$Y343/$X343,""),($Y343/$X343)*100),0)</f>
        <v>0</v>
      </c>
      <c r="X343" s="433" t="str">
        <f ca="1">IF($Y343&gt;0,CHOOSE(MATCH(RegimeExecucao,{"Unitário","Global"},0),IF($A343="S",ROUND($H343,ORÇAMENTO!$AF$10),""),ROUND($I343,ORÇAMENTO!$AF$11)),"")</f>
        <v/>
      </c>
      <c r="Y343" s="433">
        <f t="shared" ca="1" si="66"/>
        <v>0</v>
      </c>
      <c r="Z343" s="434"/>
      <c r="AB343" s="431"/>
      <c r="AC343" s="599"/>
      <c r="AD343" s="599"/>
      <c r="AE343" s="599"/>
      <c r="AF343" s="599"/>
      <c r="AG343" s="599"/>
      <c r="AH343" s="599"/>
      <c r="AI343" s="599"/>
      <c r="AJ343" s="599"/>
      <c r="AK343" s="599"/>
      <c r="AL343" s="599"/>
      <c r="AM343" s="432"/>
      <c r="AO343">
        <f ca="1">IF($A343="S",IF(BM!$I343=0,0,CHOOSE(MATCH(RegimeExecucao,{"Global","Unitário"},0),ROUND(ROUND(BM.MEDAcumulado,15-13*BM!$A$9)/100*BM!$I343,15-13*ORÇAMENTO!$AF$11),ROUND(ROUND(BM.MEDAcumulado,15-13*BM!$A$9)*ROUND(BM!$H343,15-13*ORÇAMENTO!$AF$10),15-13*ORÇAMENTO!$AF$11))),IF($A343=0,0,ROUND(SomaAgrupBM,15-13*ORÇAMENTO!$AF$11)))</f>
        <v>0</v>
      </c>
    </row>
    <row r="344" spans="1:41" ht="13.8" x14ac:dyDescent="0.3">
      <c r="A344" t="str">
        <f ca="1">ORÇAMENTO!C344</f>
        <v>S</v>
      </c>
      <c r="B344">
        <f ca="1">ORÇAMENTO!D344</f>
        <v>0</v>
      </c>
      <c r="C344" s="143" t="str">
        <f t="shared" ca="1" si="56"/>
        <v/>
      </c>
      <c r="D344" s="146" t="str">
        <f ca="1">ORÇAMENTO!O344</f>
        <v>-</v>
      </c>
      <c r="E344" s="206" t="str">
        <f t="shared" ca="1" si="57"/>
        <v>(abra o arquivo 'Referência 05-2024.xls)</v>
      </c>
      <c r="F344" s="207" t="str">
        <f t="shared" ca="1" si="58"/>
        <v>-</v>
      </c>
      <c r="G344" s="151">
        <f ca="1">IF(RegimeExecucao="Global","",ORÇAMENTO!T344)</f>
        <v>13</v>
      </c>
      <c r="H344" s="151">
        <f ca="1">IF(RegimeExecucao="Global","",ORÇAMENTO!W344)</f>
        <v>0</v>
      </c>
      <c r="I344" s="154">
        <f ca="1">ORÇAMENTO!X344</f>
        <v>0</v>
      </c>
      <c r="J344" s="427">
        <f t="shared" ca="1" si="59"/>
        <v>0</v>
      </c>
      <c r="K344" s="151">
        <f t="shared" ca="1" si="60"/>
        <v>0</v>
      </c>
      <c r="L344" s="428">
        <f t="shared" ca="1" si="61"/>
        <v>0</v>
      </c>
      <c r="M344" s="429">
        <f ca="1">IF($A344="S",VTOTALBM,IF($A344=0,0,ROUND(SomaAgrupBM,15-13*ORÇAMENTO!$AF$11)))</f>
        <v>0</v>
      </c>
      <c r="N344" s="430">
        <f t="shared" ca="1" si="62"/>
        <v>0</v>
      </c>
      <c r="O344" s="154">
        <f ca="1">IF($A344="S",VTOTALBM,IF($A344=0,0,ROUND(SomaAgrupBM,15-13*ORÇAMENTO!$AF$11)))</f>
        <v>0</v>
      </c>
      <c r="Q344" s="431"/>
      <c r="R344" s="432"/>
      <c r="T344" s="146" t="str">
        <f t="shared" ca="1" si="63"/>
        <v/>
      </c>
      <c r="U344" s="206" t="str">
        <f t="shared" ca="1" si="64"/>
        <v/>
      </c>
      <c r="V344" s="207" t="str">
        <f t="shared" ca="1" si="65"/>
        <v/>
      </c>
      <c r="W344" s="634">
        <f ca="1">IF($Y344&gt;0,CHOOSE(MATCH(RegimeExecucao,{"Unitário","Global"},0),IF($A344="S",$Y344/$X344,""),($Y344/$X344)*100),0)</f>
        <v>0</v>
      </c>
      <c r="X344" s="433" t="str">
        <f ca="1">IF($Y344&gt;0,CHOOSE(MATCH(RegimeExecucao,{"Unitário","Global"},0),IF($A344="S",ROUND($H344,ORÇAMENTO!$AF$10),""),ROUND($I344,ORÇAMENTO!$AF$11)),"")</f>
        <v/>
      </c>
      <c r="Y344" s="433">
        <f t="shared" ca="1" si="66"/>
        <v>0</v>
      </c>
      <c r="Z344" s="434"/>
      <c r="AB344" s="431"/>
      <c r="AC344" s="599"/>
      <c r="AD344" s="599"/>
      <c r="AE344" s="599"/>
      <c r="AF344" s="599"/>
      <c r="AG344" s="599"/>
      <c r="AH344" s="599"/>
      <c r="AI344" s="599"/>
      <c r="AJ344" s="599"/>
      <c r="AK344" s="599"/>
      <c r="AL344" s="599"/>
      <c r="AM344" s="432"/>
      <c r="AO344">
        <f ca="1">IF($A344="S",IF(BM!$I344=0,0,CHOOSE(MATCH(RegimeExecucao,{"Global","Unitário"},0),ROUND(ROUND(BM.MEDAcumulado,15-13*BM!$A$9)/100*BM!$I344,15-13*ORÇAMENTO!$AF$11),ROUND(ROUND(BM.MEDAcumulado,15-13*BM!$A$9)*ROUND(BM!$H344,15-13*ORÇAMENTO!$AF$10),15-13*ORÇAMENTO!$AF$11))),IF($A344=0,0,ROUND(SomaAgrupBM,15-13*ORÇAMENTO!$AF$11)))</f>
        <v>0</v>
      </c>
    </row>
    <row r="345" spans="1:41" ht="13.8" x14ac:dyDescent="0.3">
      <c r="A345" t="str">
        <f ca="1">ORÇAMENTO!C345</f>
        <v>S</v>
      </c>
      <c r="B345">
        <f ca="1">ORÇAMENTO!D345</f>
        <v>0</v>
      </c>
      <c r="C345" s="143" t="str">
        <f t="shared" ca="1" si="56"/>
        <v/>
      </c>
      <c r="D345" s="146" t="str">
        <f ca="1">ORÇAMENTO!O345</f>
        <v>-</v>
      </c>
      <c r="E345" s="206" t="str">
        <f t="shared" ca="1" si="57"/>
        <v>(abra o arquivo 'Referência 05-2024.xls)</v>
      </c>
      <c r="F345" s="207" t="str">
        <f t="shared" ca="1" si="58"/>
        <v>-</v>
      </c>
      <c r="G345" s="151">
        <f ca="1">IF(RegimeExecucao="Global","",ORÇAMENTO!T345)</f>
        <v>1</v>
      </c>
      <c r="H345" s="151">
        <f ca="1">IF(RegimeExecucao="Global","",ORÇAMENTO!W345)</f>
        <v>0</v>
      </c>
      <c r="I345" s="154">
        <f ca="1">ORÇAMENTO!X345</f>
        <v>0</v>
      </c>
      <c r="J345" s="427">
        <f t="shared" ca="1" si="59"/>
        <v>0</v>
      </c>
      <c r="K345" s="151">
        <f t="shared" ca="1" si="60"/>
        <v>0</v>
      </c>
      <c r="L345" s="428">
        <f t="shared" ca="1" si="61"/>
        <v>0</v>
      </c>
      <c r="M345" s="429">
        <f ca="1">IF($A345="S",VTOTALBM,IF($A345=0,0,ROUND(SomaAgrupBM,15-13*ORÇAMENTO!$AF$11)))</f>
        <v>0</v>
      </c>
      <c r="N345" s="430">
        <f t="shared" ca="1" si="62"/>
        <v>0</v>
      </c>
      <c r="O345" s="154">
        <f ca="1">IF($A345="S",VTOTALBM,IF($A345=0,0,ROUND(SomaAgrupBM,15-13*ORÇAMENTO!$AF$11)))</f>
        <v>0</v>
      </c>
      <c r="Q345" s="431"/>
      <c r="R345" s="432"/>
      <c r="T345" s="146" t="str">
        <f t="shared" ca="1" si="63"/>
        <v/>
      </c>
      <c r="U345" s="206" t="str">
        <f t="shared" ca="1" si="64"/>
        <v/>
      </c>
      <c r="V345" s="207" t="str">
        <f t="shared" ca="1" si="65"/>
        <v/>
      </c>
      <c r="W345" s="634">
        <f ca="1">IF($Y345&gt;0,CHOOSE(MATCH(RegimeExecucao,{"Unitário","Global"},0),IF($A345="S",$Y345/$X345,""),($Y345/$X345)*100),0)</f>
        <v>0</v>
      </c>
      <c r="X345" s="433" t="str">
        <f ca="1">IF($Y345&gt;0,CHOOSE(MATCH(RegimeExecucao,{"Unitário","Global"},0),IF($A345="S",ROUND($H345,ORÇAMENTO!$AF$10),""),ROUND($I345,ORÇAMENTO!$AF$11)),"")</f>
        <v/>
      </c>
      <c r="Y345" s="433">
        <f t="shared" ca="1" si="66"/>
        <v>0</v>
      </c>
      <c r="Z345" s="434"/>
      <c r="AB345" s="431"/>
      <c r="AC345" s="599"/>
      <c r="AD345" s="599"/>
      <c r="AE345" s="599"/>
      <c r="AF345" s="599"/>
      <c r="AG345" s="599"/>
      <c r="AH345" s="599"/>
      <c r="AI345" s="599"/>
      <c r="AJ345" s="599"/>
      <c r="AK345" s="599"/>
      <c r="AL345" s="599"/>
      <c r="AM345" s="432"/>
      <c r="AO345">
        <f ca="1">IF($A345="S",IF(BM!$I345=0,0,CHOOSE(MATCH(RegimeExecucao,{"Global","Unitário"},0),ROUND(ROUND(BM.MEDAcumulado,15-13*BM!$A$9)/100*BM!$I345,15-13*ORÇAMENTO!$AF$11),ROUND(ROUND(BM.MEDAcumulado,15-13*BM!$A$9)*ROUND(BM!$H345,15-13*ORÇAMENTO!$AF$10),15-13*ORÇAMENTO!$AF$11))),IF($A345=0,0,ROUND(SomaAgrupBM,15-13*ORÇAMENTO!$AF$11)))</f>
        <v>0</v>
      </c>
    </row>
    <row r="346" spans="1:41" ht="13.8" x14ac:dyDescent="0.3">
      <c r="A346" t="str">
        <f ca="1">ORÇAMENTO!C346</f>
        <v>S</v>
      </c>
      <c r="B346">
        <f ca="1">ORÇAMENTO!D346</f>
        <v>0</v>
      </c>
      <c r="C346" s="143" t="str">
        <f t="shared" ca="1" si="56"/>
        <v/>
      </c>
      <c r="D346" s="146" t="str">
        <f ca="1">ORÇAMENTO!O346</f>
        <v>-</v>
      </c>
      <c r="E346" s="206" t="str">
        <f t="shared" ca="1" si="57"/>
        <v>(abra o arquivo 'Referência 05-2024.xls)</v>
      </c>
      <c r="F346" s="207" t="str">
        <f t="shared" ca="1" si="58"/>
        <v>-</v>
      </c>
      <c r="G346" s="151">
        <f ca="1">IF(RegimeExecucao="Global","",ORÇAMENTO!T346)</f>
        <v>2</v>
      </c>
      <c r="H346" s="151">
        <f ca="1">IF(RegimeExecucao="Global","",ORÇAMENTO!W346)</f>
        <v>0</v>
      </c>
      <c r="I346" s="154">
        <f ca="1">ORÇAMENTO!X346</f>
        <v>0</v>
      </c>
      <c r="J346" s="427">
        <f t="shared" ca="1" si="59"/>
        <v>0</v>
      </c>
      <c r="K346" s="151">
        <f t="shared" ca="1" si="60"/>
        <v>0</v>
      </c>
      <c r="L346" s="428">
        <f t="shared" ca="1" si="61"/>
        <v>0</v>
      </c>
      <c r="M346" s="429">
        <f ca="1">IF($A346="S",VTOTALBM,IF($A346=0,0,ROUND(SomaAgrupBM,15-13*ORÇAMENTO!$AF$11)))</f>
        <v>0</v>
      </c>
      <c r="N346" s="430">
        <f t="shared" ca="1" si="62"/>
        <v>0</v>
      </c>
      <c r="O346" s="154">
        <f ca="1">IF($A346="S",VTOTALBM,IF($A346=0,0,ROUND(SomaAgrupBM,15-13*ORÇAMENTO!$AF$11)))</f>
        <v>0</v>
      </c>
      <c r="Q346" s="431"/>
      <c r="R346" s="432"/>
      <c r="T346" s="146" t="str">
        <f t="shared" ca="1" si="63"/>
        <v/>
      </c>
      <c r="U346" s="206" t="str">
        <f t="shared" ca="1" si="64"/>
        <v/>
      </c>
      <c r="V346" s="207" t="str">
        <f t="shared" ca="1" si="65"/>
        <v/>
      </c>
      <c r="W346" s="634">
        <f ca="1">IF($Y346&gt;0,CHOOSE(MATCH(RegimeExecucao,{"Unitário","Global"},0),IF($A346="S",$Y346/$X346,""),($Y346/$X346)*100),0)</f>
        <v>0</v>
      </c>
      <c r="X346" s="433" t="str">
        <f ca="1">IF($Y346&gt;0,CHOOSE(MATCH(RegimeExecucao,{"Unitário","Global"},0),IF($A346="S",ROUND($H346,ORÇAMENTO!$AF$10),""),ROUND($I346,ORÇAMENTO!$AF$11)),"")</f>
        <v/>
      </c>
      <c r="Y346" s="433">
        <f t="shared" ca="1" si="66"/>
        <v>0</v>
      </c>
      <c r="Z346" s="434"/>
      <c r="AB346" s="431"/>
      <c r="AC346" s="599"/>
      <c r="AD346" s="599"/>
      <c r="AE346" s="599"/>
      <c r="AF346" s="599"/>
      <c r="AG346" s="599"/>
      <c r="AH346" s="599"/>
      <c r="AI346" s="599"/>
      <c r="AJ346" s="599"/>
      <c r="AK346" s="599"/>
      <c r="AL346" s="599"/>
      <c r="AM346" s="432"/>
      <c r="AO346">
        <f ca="1">IF($A346="S",IF(BM!$I346=0,0,CHOOSE(MATCH(RegimeExecucao,{"Global","Unitário"},0),ROUND(ROUND(BM.MEDAcumulado,15-13*BM!$A$9)/100*BM!$I346,15-13*ORÇAMENTO!$AF$11),ROUND(ROUND(BM.MEDAcumulado,15-13*BM!$A$9)*ROUND(BM!$H346,15-13*ORÇAMENTO!$AF$10),15-13*ORÇAMENTO!$AF$11))),IF($A346=0,0,ROUND(SomaAgrupBM,15-13*ORÇAMENTO!$AF$11)))</f>
        <v>0</v>
      </c>
    </row>
    <row r="347" spans="1:41" ht="13.8" x14ac:dyDescent="0.3">
      <c r="A347" t="str">
        <f ca="1">ORÇAMENTO!C347</f>
        <v>S</v>
      </c>
      <c r="B347">
        <f ca="1">ORÇAMENTO!D347</f>
        <v>0</v>
      </c>
      <c r="C347" s="143" t="str">
        <f t="shared" ca="1" si="56"/>
        <v/>
      </c>
      <c r="D347" s="146" t="str">
        <f ca="1">ORÇAMENTO!O347</f>
        <v>-</v>
      </c>
      <c r="E347" s="206" t="str">
        <f t="shared" ca="1" si="57"/>
        <v>(abra o arquivo 'Referência 05-2024.xls)</v>
      </c>
      <c r="F347" s="207" t="str">
        <f t="shared" ca="1" si="58"/>
        <v>-</v>
      </c>
      <c r="G347" s="151">
        <f ca="1">IF(RegimeExecucao="Global","",ORÇAMENTO!T347)</f>
        <v>2</v>
      </c>
      <c r="H347" s="151">
        <f ca="1">IF(RegimeExecucao="Global","",ORÇAMENTO!W347)</f>
        <v>0</v>
      </c>
      <c r="I347" s="154">
        <f ca="1">ORÇAMENTO!X347</f>
        <v>0</v>
      </c>
      <c r="J347" s="427">
        <f t="shared" ca="1" si="59"/>
        <v>0</v>
      </c>
      <c r="K347" s="151">
        <f t="shared" ca="1" si="60"/>
        <v>0</v>
      </c>
      <c r="L347" s="428">
        <f t="shared" ca="1" si="61"/>
        <v>0</v>
      </c>
      <c r="M347" s="429">
        <f ca="1">IF($A347="S",VTOTALBM,IF($A347=0,0,ROUND(SomaAgrupBM,15-13*ORÇAMENTO!$AF$11)))</f>
        <v>0</v>
      </c>
      <c r="N347" s="430">
        <f t="shared" ca="1" si="62"/>
        <v>0</v>
      </c>
      <c r="O347" s="154">
        <f ca="1">IF($A347="S",VTOTALBM,IF($A347=0,0,ROUND(SomaAgrupBM,15-13*ORÇAMENTO!$AF$11)))</f>
        <v>0</v>
      </c>
      <c r="Q347" s="431"/>
      <c r="R347" s="432"/>
      <c r="T347" s="146" t="str">
        <f t="shared" ca="1" si="63"/>
        <v/>
      </c>
      <c r="U347" s="206" t="str">
        <f t="shared" ca="1" si="64"/>
        <v/>
      </c>
      <c r="V347" s="207" t="str">
        <f t="shared" ca="1" si="65"/>
        <v/>
      </c>
      <c r="W347" s="634">
        <f ca="1">IF($Y347&gt;0,CHOOSE(MATCH(RegimeExecucao,{"Unitário","Global"},0),IF($A347="S",$Y347/$X347,""),($Y347/$X347)*100),0)</f>
        <v>0</v>
      </c>
      <c r="X347" s="433" t="str">
        <f ca="1">IF($Y347&gt;0,CHOOSE(MATCH(RegimeExecucao,{"Unitário","Global"},0),IF($A347="S",ROUND($H347,ORÇAMENTO!$AF$10),""),ROUND($I347,ORÇAMENTO!$AF$11)),"")</f>
        <v/>
      </c>
      <c r="Y347" s="433">
        <f t="shared" ca="1" si="66"/>
        <v>0</v>
      </c>
      <c r="Z347" s="434"/>
      <c r="AB347" s="431"/>
      <c r="AC347" s="599"/>
      <c r="AD347" s="599"/>
      <c r="AE347" s="599"/>
      <c r="AF347" s="599"/>
      <c r="AG347" s="599"/>
      <c r="AH347" s="599"/>
      <c r="AI347" s="599"/>
      <c r="AJ347" s="599"/>
      <c r="AK347" s="599"/>
      <c r="AL347" s="599"/>
      <c r="AM347" s="432"/>
      <c r="AO347">
        <f ca="1">IF($A347="S",IF(BM!$I347=0,0,CHOOSE(MATCH(RegimeExecucao,{"Global","Unitário"},0),ROUND(ROUND(BM.MEDAcumulado,15-13*BM!$A$9)/100*BM!$I347,15-13*ORÇAMENTO!$AF$11),ROUND(ROUND(BM.MEDAcumulado,15-13*BM!$A$9)*ROUND(BM!$H347,15-13*ORÇAMENTO!$AF$10),15-13*ORÇAMENTO!$AF$11))),IF($A347=0,0,ROUND(SomaAgrupBM,15-13*ORÇAMENTO!$AF$11)))</f>
        <v>0</v>
      </c>
    </row>
    <row r="348" spans="1:41" ht="13.8" x14ac:dyDescent="0.3">
      <c r="A348" t="str">
        <f ca="1">ORÇAMENTO!C348</f>
        <v>S</v>
      </c>
      <c r="B348">
        <f ca="1">ORÇAMENTO!D348</f>
        <v>0</v>
      </c>
      <c r="C348" s="143" t="str">
        <f t="shared" ca="1" si="56"/>
        <v/>
      </c>
      <c r="D348" s="146" t="str">
        <f ca="1">ORÇAMENTO!O348</f>
        <v>-</v>
      </c>
      <c r="E348" s="206" t="str">
        <f t="shared" ca="1" si="57"/>
        <v>(abra o arquivo 'Referência 05-2024.xls)</v>
      </c>
      <c r="F348" s="207" t="str">
        <f t="shared" ca="1" si="58"/>
        <v>-</v>
      </c>
      <c r="G348" s="151">
        <f ca="1">IF(RegimeExecucao="Global","",ORÇAMENTO!T348)</f>
        <v>16</v>
      </c>
      <c r="H348" s="151">
        <f ca="1">IF(RegimeExecucao="Global","",ORÇAMENTO!W348)</f>
        <v>0</v>
      </c>
      <c r="I348" s="154">
        <f ca="1">ORÇAMENTO!X348</f>
        <v>0</v>
      </c>
      <c r="J348" s="427">
        <f t="shared" ca="1" si="59"/>
        <v>0</v>
      </c>
      <c r="K348" s="151">
        <f t="shared" ca="1" si="60"/>
        <v>0</v>
      </c>
      <c r="L348" s="428">
        <f t="shared" ca="1" si="61"/>
        <v>0</v>
      </c>
      <c r="M348" s="429">
        <f ca="1">IF($A348="S",VTOTALBM,IF($A348=0,0,ROUND(SomaAgrupBM,15-13*ORÇAMENTO!$AF$11)))</f>
        <v>0</v>
      </c>
      <c r="N348" s="430">
        <f t="shared" ca="1" si="62"/>
        <v>0</v>
      </c>
      <c r="O348" s="154">
        <f ca="1">IF($A348="S",VTOTALBM,IF($A348=0,0,ROUND(SomaAgrupBM,15-13*ORÇAMENTO!$AF$11)))</f>
        <v>0</v>
      </c>
      <c r="Q348" s="431"/>
      <c r="R348" s="432"/>
      <c r="T348" s="146" t="str">
        <f t="shared" ca="1" si="63"/>
        <v/>
      </c>
      <c r="U348" s="206" t="str">
        <f t="shared" ca="1" si="64"/>
        <v/>
      </c>
      <c r="V348" s="207" t="str">
        <f t="shared" ca="1" si="65"/>
        <v/>
      </c>
      <c r="W348" s="634">
        <f ca="1">IF($Y348&gt;0,CHOOSE(MATCH(RegimeExecucao,{"Unitário","Global"},0),IF($A348="S",$Y348/$X348,""),($Y348/$X348)*100),0)</f>
        <v>0</v>
      </c>
      <c r="X348" s="433" t="str">
        <f ca="1">IF($Y348&gt;0,CHOOSE(MATCH(RegimeExecucao,{"Unitário","Global"},0),IF($A348="S",ROUND($H348,ORÇAMENTO!$AF$10),""),ROUND($I348,ORÇAMENTO!$AF$11)),"")</f>
        <v/>
      </c>
      <c r="Y348" s="433">
        <f t="shared" ca="1" si="66"/>
        <v>0</v>
      </c>
      <c r="Z348" s="434"/>
      <c r="AB348" s="431"/>
      <c r="AC348" s="599"/>
      <c r="AD348" s="599"/>
      <c r="AE348" s="599"/>
      <c r="AF348" s="599"/>
      <c r="AG348" s="599"/>
      <c r="AH348" s="599"/>
      <c r="AI348" s="599"/>
      <c r="AJ348" s="599"/>
      <c r="AK348" s="599"/>
      <c r="AL348" s="599"/>
      <c r="AM348" s="432"/>
      <c r="AO348">
        <f ca="1">IF($A348="S",IF(BM!$I348=0,0,CHOOSE(MATCH(RegimeExecucao,{"Global","Unitário"},0),ROUND(ROUND(BM.MEDAcumulado,15-13*BM!$A$9)/100*BM!$I348,15-13*ORÇAMENTO!$AF$11),ROUND(ROUND(BM.MEDAcumulado,15-13*BM!$A$9)*ROUND(BM!$H348,15-13*ORÇAMENTO!$AF$10),15-13*ORÇAMENTO!$AF$11))),IF($A348=0,0,ROUND(SomaAgrupBM,15-13*ORÇAMENTO!$AF$11)))</f>
        <v>0</v>
      </c>
    </row>
    <row r="349" spans="1:41" ht="13.8" x14ac:dyDescent="0.3">
      <c r="A349" t="str">
        <f ca="1">ORÇAMENTO!C349</f>
        <v>S</v>
      </c>
      <c r="B349">
        <f ca="1">ORÇAMENTO!D349</f>
        <v>0</v>
      </c>
      <c r="C349" s="143" t="str">
        <f t="shared" ca="1" si="56"/>
        <v/>
      </c>
      <c r="D349" s="146" t="str">
        <f ca="1">ORÇAMENTO!O349</f>
        <v>-</v>
      </c>
      <c r="E349" s="206" t="str">
        <f t="shared" ca="1" si="57"/>
        <v>(abra o arquivo 'Referência 05-2024.xls)</v>
      </c>
      <c r="F349" s="207" t="str">
        <f t="shared" ca="1" si="58"/>
        <v>-</v>
      </c>
      <c r="G349" s="151">
        <f ca="1">IF(RegimeExecucao="Global","",ORÇAMENTO!T349)</f>
        <v>2</v>
      </c>
      <c r="H349" s="151">
        <f ca="1">IF(RegimeExecucao="Global","",ORÇAMENTO!W349)</f>
        <v>0</v>
      </c>
      <c r="I349" s="154">
        <f ca="1">ORÇAMENTO!X349</f>
        <v>0</v>
      </c>
      <c r="J349" s="427">
        <f t="shared" ca="1" si="59"/>
        <v>0</v>
      </c>
      <c r="K349" s="151">
        <f t="shared" ca="1" si="60"/>
        <v>0</v>
      </c>
      <c r="L349" s="428">
        <f t="shared" ca="1" si="61"/>
        <v>0</v>
      </c>
      <c r="M349" s="429">
        <f ca="1">IF($A349="S",VTOTALBM,IF($A349=0,0,ROUND(SomaAgrupBM,15-13*ORÇAMENTO!$AF$11)))</f>
        <v>0</v>
      </c>
      <c r="N349" s="430">
        <f t="shared" ca="1" si="62"/>
        <v>0</v>
      </c>
      <c r="O349" s="154">
        <f ca="1">IF($A349="S",VTOTALBM,IF($A349=0,0,ROUND(SomaAgrupBM,15-13*ORÇAMENTO!$AF$11)))</f>
        <v>0</v>
      </c>
      <c r="Q349" s="431"/>
      <c r="R349" s="432"/>
      <c r="T349" s="146" t="str">
        <f t="shared" ca="1" si="63"/>
        <v/>
      </c>
      <c r="U349" s="206" t="str">
        <f t="shared" ca="1" si="64"/>
        <v/>
      </c>
      <c r="V349" s="207" t="str">
        <f t="shared" ca="1" si="65"/>
        <v/>
      </c>
      <c r="W349" s="634">
        <f ca="1">IF($Y349&gt;0,CHOOSE(MATCH(RegimeExecucao,{"Unitário","Global"},0),IF($A349="S",$Y349/$X349,""),($Y349/$X349)*100),0)</f>
        <v>0</v>
      </c>
      <c r="X349" s="433" t="str">
        <f ca="1">IF($Y349&gt;0,CHOOSE(MATCH(RegimeExecucao,{"Unitário","Global"},0),IF($A349="S",ROUND($H349,ORÇAMENTO!$AF$10),""),ROUND($I349,ORÇAMENTO!$AF$11)),"")</f>
        <v/>
      </c>
      <c r="Y349" s="433">
        <f t="shared" ca="1" si="66"/>
        <v>0</v>
      </c>
      <c r="Z349" s="434"/>
      <c r="AB349" s="431"/>
      <c r="AC349" s="599"/>
      <c r="AD349" s="599"/>
      <c r="AE349" s="599"/>
      <c r="AF349" s="599"/>
      <c r="AG349" s="599"/>
      <c r="AH349" s="599"/>
      <c r="AI349" s="599"/>
      <c r="AJ349" s="599"/>
      <c r="AK349" s="599"/>
      <c r="AL349" s="599"/>
      <c r="AM349" s="432"/>
      <c r="AO349">
        <f ca="1">IF($A349="S",IF(BM!$I349=0,0,CHOOSE(MATCH(RegimeExecucao,{"Global","Unitário"},0),ROUND(ROUND(BM.MEDAcumulado,15-13*BM!$A$9)/100*BM!$I349,15-13*ORÇAMENTO!$AF$11),ROUND(ROUND(BM.MEDAcumulado,15-13*BM!$A$9)*ROUND(BM!$H349,15-13*ORÇAMENTO!$AF$10),15-13*ORÇAMENTO!$AF$11))),IF($A349=0,0,ROUND(SomaAgrupBM,15-13*ORÇAMENTO!$AF$11)))</f>
        <v>0</v>
      </c>
    </row>
    <row r="350" spans="1:41" ht="13.8" x14ac:dyDescent="0.3">
      <c r="A350" t="str">
        <f ca="1">ORÇAMENTO!C350</f>
        <v>S</v>
      </c>
      <c r="B350">
        <f ca="1">ORÇAMENTO!D350</f>
        <v>0</v>
      </c>
      <c r="C350" s="143" t="str">
        <f t="shared" ca="1" si="56"/>
        <v/>
      </c>
      <c r="D350" s="146" t="str">
        <f ca="1">ORÇAMENTO!O350</f>
        <v>-</v>
      </c>
      <c r="E350" s="206" t="str">
        <f t="shared" ca="1" si="57"/>
        <v>(abra o arquivo 'Referência 05-2024.xls)</v>
      </c>
      <c r="F350" s="207" t="str">
        <f t="shared" ca="1" si="58"/>
        <v>-</v>
      </c>
      <c r="G350" s="151">
        <f ca="1">IF(RegimeExecucao="Global","",ORÇAMENTO!T350)</f>
        <v>2</v>
      </c>
      <c r="H350" s="151">
        <f ca="1">IF(RegimeExecucao="Global","",ORÇAMENTO!W350)</f>
        <v>0</v>
      </c>
      <c r="I350" s="154">
        <f ca="1">ORÇAMENTO!X350</f>
        <v>0</v>
      </c>
      <c r="J350" s="427">
        <f t="shared" ca="1" si="59"/>
        <v>0</v>
      </c>
      <c r="K350" s="151">
        <f t="shared" ca="1" si="60"/>
        <v>0</v>
      </c>
      <c r="L350" s="428">
        <f t="shared" ca="1" si="61"/>
        <v>0</v>
      </c>
      <c r="M350" s="429">
        <f ca="1">IF($A350="S",VTOTALBM,IF($A350=0,0,ROUND(SomaAgrupBM,15-13*ORÇAMENTO!$AF$11)))</f>
        <v>0</v>
      </c>
      <c r="N350" s="430">
        <f t="shared" ca="1" si="62"/>
        <v>0</v>
      </c>
      <c r="O350" s="154">
        <f ca="1">IF($A350="S",VTOTALBM,IF($A350=0,0,ROUND(SomaAgrupBM,15-13*ORÇAMENTO!$AF$11)))</f>
        <v>0</v>
      </c>
      <c r="Q350" s="431"/>
      <c r="R350" s="432"/>
      <c r="T350" s="146" t="str">
        <f t="shared" ca="1" si="63"/>
        <v/>
      </c>
      <c r="U350" s="206" t="str">
        <f t="shared" ca="1" si="64"/>
        <v/>
      </c>
      <c r="V350" s="207" t="str">
        <f t="shared" ca="1" si="65"/>
        <v/>
      </c>
      <c r="W350" s="634">
        <f ca="1">IF($Y350&gt;0,CHOOSE(MATCH(RegimeExecucao,{"Unitário","Global"},0),IF($A350="S",$Y350/$X350,""),($Y350/$X350)*100),0)</f>
        <v>0</v>
      </c>
      <c r="X350" s="433" t="str">
        <f ca="1">IF($Y350&gt;0,CHOOSE(MATCH(RegimeExecucao,{"Unitário","Global"},0),IF($A350="S",ROUND($H350,ORÇAMENTO!$AF$10),""),ROUND($I350,ORÇAMENTO!$AF$11)),"")</f>
        <v/>
      </c>
      <c r="Y350" s="433">
        <f t="shared" ca="1" si="66"/>
        <v>0</v>
      </c>
      <c r="Z350" s="434"/>
      <c r="AB350" s="431"/>
      <c r="AC350" s="599"/>
      <c r="AD350" s="599"/>
      <c r="AE350" s="599"/>
      <c r="AF350" s="599"/>
      <c r="AG350" s="599"/>
      <c r="AH350" s="599"/>
      <c r="AI350" s="599"/>
      <c r="AJ350" s="599"/>
      <c r="AK350" s="599"/>
      <c r="AL350" s="599"/>
      <c r="AM350" s="432"/>
      <c r="AO350">
        <f ca="1">IF($A350="S",IF(BM!$I350=0,0,CHOOSE(MATCH(RegimeExecucao,{"Global","Unitário"},0),ROUND(ROUND(BM.MEDAcumulado,15-13*BM!$A$9)/100*BM!$I350,15-13*ORÇAMENTO!$AF$11),ROUND(ROUND(BM.MEDAcumulado,15-13*BM!$A$9)*ROUND(BM!$H350,15-13*ORÇAMENTO!$AF$10),15-13*ORÇAMENTO!$AF$11))),IF($A350=0,0,ROUND(SomaAgrupBM,15-13*ORÇAMENTO!$AF$11)))</f>
        <v>0</v>
      </c>
    </row>
    <row r="351" spans="1:41" ht="13.8" x14ac:dyDescent="0.3">
      <c r="A351">
        <f ca="1">ORÇAMENTO!C351</f>
        <v>3</v>
      </c>
      <c r="B351">
        <f ca="1">ORÇAMENTO!D351</f>
        <v>9</v>
      </c>
      <c r="C351" s="143" t="str">
        <f t="shared" ca="1" si="56"/>
        <v>F</v>
      </c>
      <c r="D351" s="146" t="str">
        <f ca="1">ORÇAMENTO!O351</f>
        <v>1.12.2.</v>
      </c>
      <c r="E351" s="206" t="str">
        <f t="shared" si="57"/>
        <v>TUBULAÇÕES E CONEXÕES - METAIS</v>
      </c>
      <c r="F351" s="207" t="str">
        <f t="shared" ca="1" si="58"/>
        <v>-</v>
      </c>
      <c r="G351" s="151">
        <f ca="1">IF(RegimeExecucao="Global","",ORÇAMENTO!T351)</f>
        <v>0</v>
      </c>
      <c r="H351" s="151">
        <f ca="1">IF(RegimeExecucao="Global","",ORÇAMENTO!W351)</f>
        <v>0</v>
      </c>
      <c r="I351" s="154">
        <f ca="1">ORÇAMENTO!X351</f>
        <v>0</v>
      </c>
      <c r="J351" s="427">
        <f t="shared" ca="1" si="59"/>
        <v>0</v>
      </c>
      <c r="K351" s="151">
        <f t="shared" ca="1" si="60"/>
        <v>0</v>
      </c>
      <c r="L351" s="428">
        <f t="shared" ca="1" si="61"/>
        <v>0</v>
      </c>
      <c r="M351" s="429">
        <f ca="1">IF($A351="S",VTOTALBM,IF($A351=0,0,ROUND(SomaAgrupBM,15-13*ORÇAMENTO!$AF$11)))</f>
        <v>0</v>
      </c>
      <c r="N351" s="430">
        <f t="shared" ca="1" si="62"/>
        <v>0</v>
      </c>
      <c r="O351" s="154">
        <f ca="1">IF($A351="S",VTOTALBM,IF($A351=0,0,ROUND(SomaAgrupBM,15-13*ORÇAMENTO!$AF$11)))</f>
        <v>0</v>
      </c>
      <c r="Q351" s="431"/>
      <c r="R351" s="432"/>
      <c r="T351" s="146" t="str">
        <f t="shared" ca="1" si="63"/>
        <v/>
      </c>
      <c r="U351" s="206" t="str">
        <f t="shared" ca="1" si="64"/>
        <v/>
      </c>
      <c r="V351" s="207" t="str">
        <f t="shared" ca="1" si="65"/>
        <v/>
      </c>
      <c r="W351" s="634">
        <f ca="1">IF($Y351&gt;0,CHOOSE(MATCH(RegimeExecucao,{"Unitário","Global"},0),IF($A351="S",$Y351/$X351,""),($Y351/$X351)*100),0)</f>
        <v>0</v>
      </c>
      <c r="X351" s="433" t="str">
        <f ca="1">IF($Y351&gt;0,CHOOSE(MATCH(RegimeExecucao,{"Unitário","Global"},0),IF($A351="S",ROUND($H351,ORÇAMENTO!$AF$10),""),ROUND($I351,ORÇAMENTO!$AF$11)),"")</f>
        <v/>
      </c>
      <c r="Y351" s="433">
        <f t="shared" ca="1" si="66"/>
        <v>0</v>
      </c>
      <c r="Z351" s="434"/>
      <c r="AB351" s="431"/>
      <c r="AC351" s="599"/>
      <c r="AD351" s="599"/>
      <c r="AE351" s="599"/>
      <c r="AF351" s="599"/>
      <c r="AG351" s="599"/>
      <c r="AH351" s="599"/>
      <c r="AI351" s="599"/>
      <c r="AJ351" s="599"/>
      <c r="AK351" s="599"/>
      <c r="AL351" s="599"/>
      <c r="AM351" s="432"/>
      <c r="AO351">
        <f ca="1">IF($A351="S",IF(BM!$I351=0,0,CHOOSE(MATCH(RegimeExecucao,{"Global","Unitário"},0),ROUND(ROUND(BM.MEDAcumulado,15-13*BM!$A$9)/100*BM!$I351,15-13*ORÇAMENTO!$AF$11),ROUND(ROUND(BM.MEDAcumulado,15-13*BM!$A$9)*ROUND(BM!$H351,15-13*ORÇAMENTO!$AF$10),15-13*ORÇAMENTO!$AF$11))),IF($A351=0,0,ROUND(SomaAgrupBM,15-13*ORÇAMENTO!$AF$11)))</f>
        <v>0</v>
      </c>
    </row>
    <row r="352" spans="1:41" ht="13.8" x14ac:dyDescent="0.3">
      <c r="A352" t="str">
        <f ca="1">ORÇAMENTO!C352</f>
        <v>S</v>
      </c>
      <c r="B352">
        <f ca="1">ORÇAMENTO!D352</f>
        <v>0</v>
      </c>
      <c r="C352" s="143" t="str">
        <f t="shared" ca="1" si="56"/>
        <v/>
      </c>
      <c r="D352" s="146" t="str">
        <f ca="1">ORÇAMENTO!O352</f>
        <v>-</v>
      </c>
      <c r="E352" s="206" t="str">
        <f t="shared" ca="1" si="57"/>
        <v>(abra o arquivo 'Referência 05-2024.xls)</v>
      </c>
      <c r="F352" s="207" t="str">
        <f t="shared" ca="1" si="58"/>
        <v>-</v>
      </c>
      <c r="G352" s="151">
        <f ca="1">IF(RegimeExecucao="Global","",ORÇAMENTO!T352)</f>
        <v>6</v>
      </c>
      <c r="H352" s="151">
        <f ca="1">IF(RegimeExecucao="Global","",ORÇAMENTO!W352)</f>
        <v>0</v>
      </c>
      <c r="I352" s="154">
        <f ca="1">ORÇAMENTO!X352</f>
        <v>0</v>
      </c>
      <c r="J352" s="427">
        <f t="shared" ca="1" si="59"/>
        <v>0</v>
      </c>
      <c r="K352" s="151">
        <f t="shared" ca="1" si="60"/>
        <v>0</v>
      </c>
      <c r="L352" s="428">
        <f t="shared" ca="1" si="61"/>
        <v>0</v>
      </c>
      <c r="M352" s="429">
        <f ca="1">IF($A352="S",VTOTALBM,IF($A352=0,0,ROUND(SomaAgrupBM,15-13*ORÇAMENTO!$AF$11)))</f>
        <v>0</v>
      </c>
      <c r="N352" s="430">
        <f t="shared" ca="1" si="62"/>
        <v>0</v>
      </c>
      <c r="O352" s="154">
        <f ca="1">IF($A352="S",VTOTALBM,IF($A352=0,0,ROUND(SomaAgrupBM,15-13*ORÇAMENTO!$AF$11)))</f>
        <v>0</v>
      </c>
      <c r="Q352" s="431"/>
      <c r="R352" s="432"/>
      <c r="T352" s="146" t="str">
        <f t="shared" ca="1" si="63"/>
        <v/>
      </c>
      <c r="U352" s="206" t="str">
        <f t="shared" ca="1" si="64"/>
        <v/>
      </c>
      <c r="V352" s="207" t="str">
        <f t="shared" ca="1" si="65"/>
        <v/>
      </c>
      <c r="W352" s="634">
        <f ca="1">IF($Y352&gt;0,CHOOSE(MATCH(RegimeExecucao,{"Unitário","Global"},0),IF($A352="S",$Y352/$X352,""),($Y352/$X352)*100),0)</f>
        <v>0</v>
      </c>
      <c r="X352" s="433" t="str">
        <f ca="1">IF($Y352&gt;0,CHOOSE(MATCH(RegimeExecucao,{"Unitário","Global"},0),IF($A352="S",ROUND($H352,ORÇAMENTO!$AF$10),""),ROUND($I352,ORÇAMENTO!$AF$11)),"")</f>
        <v/>
      </c>
      <c r="Y352" s="433">
        <f t="shared" ca="1" si="66"/>
        <v>0</v>
      </c>
      <c r="Z352" s="434"/>
      <c r="AB352" s="431"/>
      <c r="AC352" s="599"/>
      <c r="AD352" s="599"/>
      <c r="AE352" s="599"/>
      <c r="AF352" s="599"/>
      <c r="AG352" s="599"/>
      <c r="AH352" s="599"/>
      <c r="AI352" s="599"/>
      <c r="AJ352" s="599"/>
      <c r="AK352" s="599"/>
      <c r="AL352" s="599"/>
      <c r="AM352" s="432"/>
      <c r="AO352">
        <f ca="1">IF($A352="S",IF(BM!$I352=0,0,CHOOSE(MATCH(RegimeExecucao,{"Global","Unitário"},0),ROUND(ROUND(BM.MEDAcumulado,15-13*BM!$A$9)/100*BM!$I352,15-13*ORÇAMENTO!$AF$11),ROUND(ROUND(BM.MEDAcumulado,15-13*BM!$A$9)*ROUND(BM!$H352,15-13*ORÇAMENTO!$AF$10),15-13*ORÇAMENTO!$AF$11))),IF($A352=0,0,ROUND(SomaAgrupBM,15-13*ORÇAMENTO!$AF$11)))</f>
        <v>0</v>
      </c>
    </row>
    <row r="353" spans="1:41" ht="13.8" x14ac:dyDescent="0.3">
      <c r="A353" t="str">
        <f ca="1">ORÇAMENTO!C353</f>
        <v>S</v>
      </c>
      <c r="B353">
        <f ca="1">ORÇAMENTO!D353</f>
        <v>0</v>
      </c>
      <c r="C353" s="143" t="str">
        <f t="shared" ca="1" si="56"/>
        <v/>
      </c>
      <c r="D353" s="146" t="str">
        <f ca="1">ORÇAMENTO!O353</f>
        <v>-</v>
      </c>
      <c r="E353" s="206" t="str">
        <f t="shared" ca="1" si="57"/>
        <v>(abra o arquivo 'Referência 05-2024.xls)</v>
      </c>
      <c r="F353" s="207" t="str">
        <f t="shared" ca="1" si="58"/>
        <v>-</v>
      </c>
      <c r="G353" s="151">
        <f ca="1">IF(RegimeExecucao="Global","",ORÇAMENTO!T353)</f>
        <v>7</v>
      </c>
      <c r="H353" s="151">
        <f ca="1">IF(RegimeExecucao="Global","",ORÇAMENTO!W353)</f>
        <v>0</v>
      </c>
      <c r="I353" s="154">
        <f ca="1">ORÇAMENTO!X353</f>
        <v>0</v>
      </c>
      <c r="J353" s="427">
        <f t="shared" ca="1" si="59"/>
        <v>0</v>
      </c>
      <c r="K353" s="151">
        <f t="shared" ca="1" si="60"/>
        <v>0</v>
      </c>
      <c r="L353" s="428">
        <f t="shared" ca="1" si="61"/>
        <v>0</v>
      </c>
      <c r="M353" s="429">
        <f ca="1">IF($A353="S",VTOTALBM,IF($A353=0,0,ROUND(SomaAgrupBM,15-13*ORÇAMENTO!$AF$11)))</f>
        <v>0</v>
      </c>
      <c r="N353" s="430">
        <f t="shared" ca="1" si="62"/>
        <v>0</v>
      </c>
      <c r="O353" s="154">
        <f ca="1">IF($A353="S",VTOTALBM,IF($A353=0,0,ROUND(SomaAgrupBM,15-13*ORÇAMENTO!$AF$11)))</f>
        <v>0</v>
      </c>
      <c r="Q353" s="431"/>
      <c r="R353" s="432"/>
      <c r="T353" s="146" t="str">
        <f t="shared" ca="1" si="63"/>
        <v/>
      </c>
      <c r="U353" s="206" t="str">
        <f t="shared" ca="1" si="64"/>
        <v/>
      </c>
      <c r="V353" s="207" t="str">
        <f t="shared" ca="1" si="65"/>
        <v/>
      </c>
      <c r="W353" s="634">
        <f ca="1">IF($Y353&gt;0,CHOOSE(MATCH(RegimeExecucao,{"Unitário","Global"},0),IF($A353="S",$Y353/$X353,""),($Y353/$X353)*100),0)</f>
        <v>0</v>
      </c>
      <c r="X353" s="433" t="str">
        <f ca="1">IF($Y353&gt;0,CHOOSE(MATCH(RegimeExecucao,{"Unitário","Global"},0),IF($A353="S",ROUND($H353,ORÇAMENTO!$AF$10),""),ROUND($I353,ORÇAMENTO!$AF$11)),"")</f>
        <v/>
      </c>
      <c r="Y353" s="433">
        <f t="shared" ca="1" si="66"/>
        <v>0</v>
      </c>
      <c r="Z353" s="434"/>
      <c r="AB353" s="431"/>
      <c r="AC353" s="599"/>
      <c r="AD353" s="599"/>
      <c r="AE353" s="599"/>
      <c r="AF353" s="599"/>
      <c r="AG353" s="599"/>
      <c r="AH353" s="599"/>
      <c r="AI353" s="599"/>
      <c r="AJ353" s="599"/>
      <c r="AK353" s="599"/>
      <c r="AL353" s="599"/>
      <c r="AM353" s="432"/>
      <c r="AO353">
        <f ca="1">IF($A353="S",IF(BM!$I353=0,0,CHOOSE(MATCH(RegimeExecucao,{"Global","Unitário"},0),ROUND(ROUND(BM.MEDAcumulado,15-13*BM!$A$9)/100*BM!$I353,15-13*ORÇAMENTO!$AF$11),ROUND(ROUND(BM.MEDAcumulado,15-13*BM!$A$9)*ROUND(BM!$H353,15-13*ORÇAMENTO!$AF$10),15-13*ORÇAMENTO!$AF$11))),IF($A353=0,0,ROUND(SomaAgrupBM,15-13*ORÇAMENTO!$AF$11)))</f>
        <v>0</v>
      </c>
    </row>
    <row r="354" spans="1:41" ht="13.8" x14ac:dyDescent="0.3">
      <c r="A354" t="str">
        <f ca="1">ORÇAMENTO!C354</f>
        <v>S</v>
      </c>
      <c r="B354">
        <f ca="1">ORÇAMENTO!D354</f>
        <v>0</v>
      </c>
      <c r="C354" s="143" t="str">
        <f t="shared" ca="1" si="56"/>
        <v/>
      </c>
      <c r="D354" s="146" t="str">
        <f ca="1">ORÇAMENTO!O354</f>
        <v>-</v>
      </c>
      <c r="E354" s="206" t="str">
        <f t="shared" ca="1" si="57"/>
        <v>(abra o arquivo 'Referência 05-2024.xls)</v>
      </c>
      <c r="F354" s="207" t="str">
        <f t="shared" ca="1" si="58"/>
        <v>-</v>
      </c>
      <c r="G354" s="151">
        <f ca="1">IF(RegimeExecucao="Global","",ORÇAMENTO!T354)</f>
        <v>5</v>
      </c>
      <c r="H354" s="151">
        <f ca="1">IF(RegimeExecucao="Global","",ORÇAMENTO!W354)</f>
        <v>0</v>
      </c>
      <c r="I354" s="154">
        <f ca="1">ORÇAMENTO!X354</f>
        <v>0</v>
      </c>
      <c r="J354" s="427">
        <f t="shared" ca="1" si="59"/>
        <v>0</v>
      </c>
      <c r="K354" s="151">
        <f t="shared" ca="1" si="60"/>
        <v>0</v>
      </c>
      <c r="L354" s="428">
        <f t="shared" ca="1" si="61"/>
        <v>0</v>
      </c>
      <c r="M354" s="429">
        <f ca="1">IF($A354="S",VTOTALBM,IF($A354=0,0,ROUND(SomaAgrupBM,15-13*ORÇAMENTO!$AF$11)))</f>
        <v>0</v>
      </c>
      <c r="N354" s="430">
        <f t="shared" ca="1" si="62"/>
        <v>0</v>
      </c>
      <c r="O354" s="154">
        <f ca="1">IF($A354="S",VTOTALBM,IF($A354=0,0,ROUND(SomaAgrupBM,15-13*ORÇAMENTO!$AF$11)))</f>
        <v>0</v>
      </c>
      <c r="Q354" s="431"/>
      <c r="R354" s="432"/>
      <c r="T354" s="146" t="str">
        <f t="shared" ca="1" si="63"/>
        <v/>
      </c>
      <c r="U354" s="206" t="str">
        <f t="shared" ca="1" si="64"/>
        <v/>
      </c>
      <c r="V354" s="207" t="str">
        <f t="shared" ca="1" si="65"/>
        <v/>
      </c>
      <c r="W354" s="634">
        <f ca="1">IF($Y354&gt;0,CHOOSE(MATCH(RegimeExecucao,{"Unitário","Global"},0),IF($A354="S",$Y354/$X354,""),($Y354/$X354)*100),0)</f>
        <v>0</v>
      </c>
      <c r="X354" s="433" t="str">
        <f ca="1">IF($Y354&gt;0,CHOOSE(MATCH(RegimeExecucao,{"Unitário","Global"},0),IF($A354="S",ROUND($H354,ORÇAMENTO!$AF$10),""),ROUND($I354,ORÇAMENTO!$AF$11)),"")</f>
        <v/>
      </c>
      <c r="Y354" s="433">
        <f t="shared" ca="1" si="66"/>
        <v>0</v>
      </c>
      <c r="Z354" s="434"/>
      <c r="AB354" s="431"/>
      <c r="AC354" s="599"/>
      <c r="AD354" s="599"/>
      <c r="AE354" s="599"/>
      <c r="AF354" s="599"/>
      <c r="AG354" s="599"/>
      <c r="AH354" s="599"/>
      <c r="AI354" s="599"/>
      <c r="AJ354" s="599"/>
      <c r="AK354" s="599"/>
      <c r="AL354" s="599"/>
      <c r="AM354" s="432"/>
      <c r="AO354">
        <f ca="1">IF($A354="S",IF(BM!$I354=0,0,CHOOSE(MATCH(RegimeExecucao,{"Global","Unitário"},0),ROUND(ROUND(BM.MEDAcumulado,15-13*BM!$A$9)/100*BM!$I354,15-13*ORÇAMENTO!$AF$11),ROUND(ROUND(BM.MEDAcumulado,15-13*BM!$A$9)*ROUND(BM!$H354,15-13*ORÇAMENTO!$AF$10),15-13*ORÇAMENTO!$AF$11))),IF($A354=0,0,ROUND(SomaAgrupBM,15-13*ORÇAMENTO!$AF$11)))</f>
        <v>0</v>
      </c>
    </row>
    <row r="355" spans="1:41" ht="13.8" x14ac:dyDescent="0.3">
      <c r="A355" t="str">
        <f ca="1">ORÇAMENTO!C355</f>
        <v>S</v>
      </c>
      <c r="B355">
        <f ca="1">ORÇAMENTO!D355</f>
        <v>0</v>
      </c>
      <c r="C355" s="143" t="str">
        <f t="shared" ca="1" si="56"/>
        <v/>
      </c>
      <c r="D355" s="146" t="str">
        <f ca="1">ORÇAMENTO!O355</f>
        <v>-</v>
      </c>
      <c r="E355" s="206" t="str">
        <f t="shared" ca="1" si="57"/>
        <v>(abra o arquivo 'Referência 05-2024.xls)</v>
      </c>
      <c r="F355" s="207" t="str">
        <f t="shared" ca="1" si="58"/>
        <v>-</v>
      </c>
      <c r="G355" s="151">
        <f ca="1">IF(RegimeExecucao="Global","",ORÇAMENTO!T355)</f>
        <v>1</v>
      </c>
      <c r="H355" s="151">
        <f ca="1">IF(RegimeExecucao="Global","",ORÇAMENTO!W355)</f>
        <v>0</v>
      </c>
      <c r="I355" s="154">
        <f ca="1">ORÇAMENTO!X355</f>
        <v>0</v>
      </c>
      <c r="J355" s="427">
        <f t="shared" ca="1" si="59"/>
        <v>0</v>
      </c>
      <c r="K355" s="151">
        <f t="shared" ca="1" si="60"/>
        <v>0</v>
      </c>
      <c r="L355" s="428">
        <f t="shared" ca="1" si="61"/>
        <v>0</v>
      </c>
      <c r="M355" s="429">
        <f ca="1">IF($A355="S",VTOTALBM,IF($A355=0,0,ROUND(SomaAgrupBM,15-13*ORÇAMENTO!$AF$11)))</f>
        <v>0</v>
      </c>
      <c r="N355" s="430">
        <f t="shared" ca="1" si="62"/>
        <v>0</v>
      </c>
      <c r="O355" s="154">
        <f ca="1">IF($A355="S",VTOTALBM,IF($A355=0,0,ROUND(SomaAgrupBM,15-13*ORÇAMENTO!$AF$11)))</f>
        <v>0</v>
      </c>
      <c r="Q355" s="431"/>
      <c r="R355" s="432"/>
      <c r="T355" s="146" t="str">
        <f t="shared" ca="1" si="63"/>
        <v/>
      </c>
      <c r="U355" s="206" t="str">
        <f t="shared" ca="1" si="64"/>
        <v/>
      </c>
      <c r="V355" s="207" t="str">
        <f t="shared" ca="1" si="65"/>
        <v/>
      </c>
      <c r="W355" s="634">
        <f ca="1">IF($Y355&gt;0,CHOOSE(MATCH(RegimeExecucao,{"Unitário","Global"},0),IF($A355="S",$Y355/$X355,""),($Y355/$X355)*100),0)</f>
        <v>0</v>
      </c>
      <c r="X355" s="433" t="str">
        <f ca="1">IF($Y355&gt;0,CHOOSE(MATCH(RegimeExecucao,{"Unitário","Global"},0),IF($A355="S",ROUND($H355,ORÇAMENTO!$AF$10),""),ROUND($I355,ORÇAMENTO!$AF$11)),"")</f>
        <v/>
      </c>
      <c r="Y355" s="433">
        <f t="shared" ca="1" si="66"/>
        <v>0</v>
      </c>
      <c r="Z355" s="434"/>
      <c r="AB355" s="431"/>
      <c r="AC355" s="599"/>
      <c r="AD355" s="599"/>
      <c r="AE355" s="599"/>
      <c r="AF355" s="599"/>
      <c r="AG355" s="599"/>
      <c r="AH355" s="599"/>
      <c r="AI355" s="599"/>
      <c r="AJ355" s="599"/>
      <c r="AK355" s="599"/>
      <c r="AL355" s="599"/>
      <c r="AM355" s="432"/>
      <c r="AO355">
        <f ca="1">IF($A355="S",IF(BM!$I355=0,0,CHOOSE(MATCH(RegimeExecucao,{"Global","Unitário"},0),ROUND(ROUND(BM.MEDAcumulado,15-13*BM!$A$9)/100*BM!$I355,15-13*ORÇAMENTO!$AF$11),ROUND(ROUND(BM.MEDAcumulado,15-13*BM!$A$9)*ROUND(BM!$H355,15-13*ORÇAMENTO!$AF$10),15-13*ORÇAMENTO!$AF$11))),IF($A355=0,0,ROUND(SomaAgrupBM,15-13*ORÇAMENTO!$AF$11)))</f>
        <v>0</v>
      </c>
    </row>
    <row r="356" spans="1:41" ht="13.8" x14ac:dyDescent="0.3">
      <c r="A356" t="str">
        <f ca="1">ORÇAMENTO!C356</f>
        <v>S</v>
      </c>
      <c r="B356">
        <f ca="1">ORÇAMENTO!D356</f>
        <v>0</v>
      </c>
      <c r="C356" s="143" t="str">
        <f t="shared" ca="1" si="56"/>
        <v/>
      </c>
      <c r="D356" s="146" t="str">
        <f ca="1">ORÇAMENTO!O356</f>
        <v>-</v>
      </c>
      <c r="E356" s="206" t="str">
        <f t="shared" ca="1" si="57"/>
        <v>(abra o arquivo 'Referência 05-2024.xls)</v>
      </c>
      <c r="F356" s="207" t="str">
        <f t="shared" ca="1" si="58"/>
        <v>-</v>
      </c>
      <c r="G356" s="151">
        <f ca="1">IF(RegimeExecucao="Global","",ORÇAMENTO!T356)</f>
        <v>10</v>
      </c>
      <c r="H356" s="151">
        <f ca="1">IF(RegimeExecucao="Global","",ORÇAMENTO!W356)</f>
        <v>0</v>
      </c>
      <c r="I356" s="154">
        <f ca="1">ORÇAMENTO!X356</f>
        <v>0</v>
      </c>
      <c r="J356" s="427">
        <f t="shared" ca="1" si="59"/>
        <v>0</v>
      </c>
      <c r="K356" s="151">
        <f t="shared" ca="1" si="60"/>
        <v>0</v>
      </c>
      <c r="L356" s="428">
        <f t="shared" ca="1" si="61"/>
        <v>0</v>
      </c>
      <c r="M356" s="429">
        <f ca="1">IF($A356="S",VTOTALBM,IF($A356=0,0,ROUND(SomaAgrupBM,15-13*ORÇAMENTO!$AF$11)))</f>
        <v>0</v>
      </c>
      <c r="N356" s="430">
        <f t="shared" ca="1" si="62"/>
        <v>0</v>
      </c>
      <c r="O356" s="154">
        <f ca="1">IF($A356="S",VTOTALBM,IF($A356=0,0,ROUND(SomaAgrupBM,15-13*ORÇAMENTO!$AF$11)))</f>
        <v>0</v>
      </c>
      <c r="Q356" s="431"/>
      <c r="R356" s="432"/>
      <c r="T356" s="146" t="str">
        <f t="shared" ca="1" si="63"/>
        <v/>
      </c>
      <c r="U356" s="206" t="str">
        <f t="shared" ca="1" si="64"/>
        <v/>
      </c>
      <c r="V356" s="207" t="str">
        <f t="shared" ca="1" si="65"/>
        <v/>
      </c>
      <c r="W356" s="634">
        <f ca="1">IF($Y356&gt;0,CHOOSE(MATCH(RegimeExecucao,{"Unitário","Global"},0),IF($A356="S",$Y356/$X356,""),($Y356/$X356)*100),0)</f>
        <v>0</v>
      </c>
      <c r="X356" s="433" t="str">
        <f ca="1">IF($Y356&gt;0,CHOOSE(MATCH(RegimeExecucao,{"Unitário","Global"},0),IF($A356="S",ROUND($H356,ORÇAMENTO!$AF$10),""),ROUND($I356,ORÇAMENTO!$AF$11)),"")</f>
        <v/>
      </c>
      <c r="Y356" s="433">
        <f t="shared" ca="1" si="66"/>
        <v>0</v>
      </c>
      <c r="Z356" s="434"/>
      <c r="AB356" s="431"/>
      <c r="AC356" s="599"/>
      <c r="AD356" s="599"/>
      <c r="AE356" s="599"/>
      <c r="AF356" s="599"/>
      <c r="AG356" s="599"/>
      <c r="AH356" s="599"/>
      <c r="AI356" s="599"/>
      <c r="AJ356" s="599"/>
      <c r="AK356" s="599"/>
      <c r="AL356" s="599"/>
      <c r="AM356" s="432"/>
      <c r="AO356">
        <f ca="1">IF($A356="S",IF(BM!$I356=0,0,CHOOSE(MATCH(RegimeExecucao,{"Global","Unitário"},0),ROUND(ROUND(BM.MEDAcumulado,15-13*BM!$A$9)/100*BM!$I356,15-13*ORÇAMENTO!$AF$11),ROUND(ROUND(BM.MEDAcumulado,15-13*BM!$A$9)*ROUND(BM!$H356,15-13*ORÇAMENTO!$AF$10),15-13*ORÇAMENTO!$AF$11))),IF($A356=0,0,ROUND(SomaAgrupBM,15-13*ORÇAMENTO!$AF$11)))</f>
        <v>0</v>
      </c>
    </row>
    <row r="357" spans="1:41" ht="13.8" x14ac:dyDescent="0.3">
      <c r="A357" t="str">
        <f ca="1">ORÇAMENTO!C357</f>
        <v>S</v>
      </c>
      <c r="B357">
        <f ca="1">ORÇAMENTO!D357</f>
        <v>0</v>
      </c>
      <c r="C357" s="143" t="str">
        <f t="shared" ca="1" si="56"/>
        <v/>
      </c>
      <c r="D357" s="146" t="str">
        <f ca="1">ORÇAMENTO!O357</f>
        <v>-</v>
      </c>
      <c r="E357" s="206" t="str">
        <f t="shared" ca="1" si="57"/>
        <v>(abra o arquivo 'Referência 05-2024.xls)</v>
      </c>
      <c r="F357" s="207" t="str">
        <f t="shared" ca="1" si="58"/>
        <v>-</v>
      </c>
      <c r="G357" s="151">
        <f ca="1">IF(RegimeExecucao="Global","",ORÇAMENTO!T357)</f>
        <v>19</v>
      </c>
      <c r="H357" s="151">
        <f ca="1">IF(RegimeExecucao="Global","",ORÇAMENTO!W357)</f>
        <v>0</v>
      </c>
      <c r="I357" s="154">
        <f ca="1">ORÇAMENTO!X357</f>
        <v>0</v>
      </c>
      <c r="J357" s="427">
        <f t="shared" ca="1" si="59"/>
        <v>0</v>
      </c>
      <c r="K357" s="151">
        <f t="shared" ca="1" si="60"/>
        <v>0</v>
      </c>
      <c r="L357" s="428">
        <f t="shared" ca="1" si="61"/>
        <v>0</v>
      </c>
      <c r="M357" s="429">
        <f ca="1">IF($A357="S",VTOTALBM,IF($A357=0,0,ROUND(SomaAgrupBM,15-13*ORÇAMENTO!$AF$11)))</f>
        <v>0</v>
      </c>
      <c r="N357" s="430">
        <f t="shared" ca="1" si="62"/>
        <v>0</v>
      </c>
      <c r="O357" s="154">
        <f ca="1">IF($A357="S",VTOTALBM,IF($A357=0,0,ROUND(SomaAgrupBM,15-13*ORÇAMENTO!$AF$11)))</f>
        <v>0</v>
      </c>
      <c r="Q357" s="431"/>
      <c r="R357" s="432"/>
      <c r="T357" s="146" t="str">
        <f t="shared" ca="1" si="63"/>
        <v/>
      </c>
      <c r="U357" s="206" t="str">
        <f t="shared" ca="1" si="64"/>
        <v/>
      </c>
      <c r="V357" s="207" t="str">
        <f t="shared" ca="1" si="65"/>
        <v/>
      </c>
      <c r="W357" s="634">
        <f ca="1">IF($Y357&gt;0,CHOOSE(MATCH(RegimeExecucao,{"Unitário","Global"},0),IF($A357="S",$Y357/$X357,""),($Y357/$X357)*100),0)</f>
        <v>0</v>
      </c>
      <c r="X357" s="433" t="str">
        <f ca="1">IF($Y357&gt;0,CHOOSE(MATCH(RegimeExecucao,{"Unitário","Global"},0),IF($A357="S",ROUND($H357,ORÇAMENTO!$AF$10),""),ROUND($I357,ORÇAMENTO!$AF$11)),"")</f>
        <v/>
      </c>
      <c r="Y357" s="433">
        <f t="shared" ca="1" si="66"/>
        <v>0</v>
      </c>
      <c r="Z357" s="434"/>
      <c r="AB357" s="431"/>
      <c r="AC357" s="599"/>
      <c r="AD357" s="599"/>
      <c r="AE357" s="599"/>
      <c r="AF357" s="599"/>
      <c r="AG357" s="599"/>
      <c r="AH357" s="599"/>
      <c r="AI357" s="599"/>
      <c r="AJ357" s="599"/>
      <c r="AK357" s="599"/>
      <c r="AL357" s="599"/>
      <c r="AM357" s="432"/>
      <c r="AO357">
        <f ca="1">IF($A357="S",IF(BM!$I357=0,0,CHOOSE(MATCH(RegimeExecucao,{"Global","Unitário"},0),ROUND(ROUND(BM.MEDAcumulado,15-13*BM!$A$9)/100*BM!$I357,15-13*ORÇAMENTO!$AF$11),ROUND(ROUND(BM.MEDAcumulado,15-13*BM!$A$9)*ROUND(BM!$H357,15-13*ORÇAMENTO!$AF$10),15-13*ORÇAMENTO!$AF$11))),IF($A357=0,0,ROUND(SomaAgrupBM,15-13*ORÇAMENTO!$AF$11)))</f>
        <v>0</v>
      </c>
    </row>
    <row r="358" spans="1:41" ht="13.8" x14ac:dyDescent="0.3">
      <c r="A358" t="str">
        <f ca="1">ORÇAMENTO!C358</f>
        <v>S</v>
      </c>
      <c r="B358">
        <f ca="1">ORÇAMENTO!D358</f>
        <v>0</v>
      </c>
      <c r="C358" s="143" t="str">
        <f t="shared" ca="1" si="56"/>
        <v/>
      </c>
      <c r="D358" s="146" t="str">
        <f ca="1">ORÇAMENTO!O358</f>
        <v>-</v>
      </c>
      <c r="E358" s="206" t="str">
        <f t="shared" ca="1" si="57"/>
        <v>(abra o arquivo 'Referência 05-2024.xls)</v>
      </c>
      <c r="F358" s="207" t="str">
        <f t="shared" ca="1" si="58"/>
        <v>-</v>
      </c>
      <c r="G358" s="151">
        <f ca="1">IF(RegimeExecucao="Global","",ORÇAMENTO!T358)</f>
        <v>10</v>
      </c>
      <c r="H358" s="151">
        <f ca="1">IF(RegimeExecucao="Global","",ORÇAMENTO!W358)</f>
        <v>0</v>
      </c>
      <c r="I358" s="154">
        <f ca="1">ORÇAMENTO!X358</f>
        <v>0</v>
      </c>
      <c r="J358" s="427">
        <f t="shared" ca="1" si="59"/>
        <v>0</v>
      </c>
      <c r="K358" s="151">
        <f t="shared" ca="1" si="60"/>
        <v>0</v>
      </c>
      <c r="L358" s="428">
        <f t="shared" ca="1" si="61"/>
        <v>0</v>
      </c>
      <c r="M358" s="429">
        <f ca="1">IF($A358="S",VTOTALBM,IF($A358=0,0,ROUND(SomaAgrupBM,15-13*ORÇAMENTO!$AF$11)))</f>
        <v>0</v>
      </c>
      <c r="N358" s="430">
        <f t="shared" ca="1" si="62"/>
        <v>0</v>
      </c>
      <c r="O358" s="154">
        <f ca="1">IF($A358="S",VTOTALBM,IF($A358=0,0,ROUND(SomaAgrupBM,15-13*ORÇAMENTO!$AF$11)))</f>
        <v>0</v>
      </c>
      <c r="Q358" s="431"/>
      <c r="R358" s="432"/>
      <c r="T358" s="146" t="str">
        <f t="shared" ca="1" si="63"/>
        <v/>
      </c>
      <c r="U358" s="206" t="str">
        <f t="shared" ca="1" si="64"/>
        <v/>
      </c>
      <c r="V358" s="207" t="str">
        <f t="shared" ca="1" si="65"/>
        <v/>
      </c>
      <c r="W358" s="634">
        <f ca="1">IF($Y358&gt;0,CHOOSE(MATCH(RegimeExecucao,{"Unitário","Global"},0),IF($A358="S",$Y358/$X358,""),($Y358/$X358)*100),0)</f>
        <v>0</v>
      </c>
      <c r="X358" s="433" t="str">
        <f ca="1">IF($Y358&gt;0,CHOOSE(MATCH(RegimeExecucao,{"Unitário","Global"},0),IF($A358="S",ROUND($H358,ORÇAMENTO!$AF$10),""),ROUND($I358,ORÇAMENTO!$AF$11)),"")</f>
        <v/>
      </c>
      <c r="Y358" s="433">
        <f t="shared" ca="1" si="66"/>
        <v>0</v>
      </c>
      <c r="Z358" s="434"/>
      <c r="AB358" s="431"/>
      <c r="AC358" s="599"/>
      <c r="AD358" s="599"/>
      <c r="AE358" s="599"/>
      <c r="AF358" s="599"/>
      <c r="AG358" s="599"/>
      <c r="AH358" s="599"/>
      <c r="AI358" s="599"/>
      <c r="AJ358" s="599"/>
      <c r="AK358" s="599"/>
      <c r="AL358" s="599"/>
      <c r="AM358" s="432"/>
      <c r="AO358">
        <f ca="1">IF($A358="S",IF(BM!$I358=0,0,CHOOSE(MATCH(RegimeExecucao,{"Global","Unitário"},0),ROUND(ROUND(BM.MEDAcumulado,15-13*BM!$A$9)/100*BM!$I358,15-13*ORÇAMENTO!$AF$11),ROUND(ROUND(BM.MEDAcumulado,15-13*BM!$A$9)*ROUND(BM!$H358,15-13*ORÇAMENTO!$AF$10),15-13*ORÇAMENTO!$AF$11))),IF($A358=0,0,ROUND(SomaAgrupBM,15-13*ORÇAMENTO!$AF$11)))</f>
        <v>0</v>
      </c>
    </row>
    <row r="359" spans="1:41" ht="13.8" x14ac:dyDescent="0.3">
      <c r="A359" t="str">
        <f ca="1">ORÇAMENTO!C359</f>
        <v>S</v>
      </c>
      <c r="B359">
        <f ca="1">ORÇAMENTO!D359</f>
        <v>0</v>
      </c>
      <c r="C359" s="143" t="str">
        <f t="shared" ca="1" si="56"/>
        <v/>
      </c>
      <c r="D359" s="146" t="str">
        <f ca="1">ORÇAMENTO!O359</f>
        <v>-</v>
      </c>
      <c r="E359" s="206" t="str">
        <f t="shared" ca="1" si="57"/>
        <v>(abra o arquivo 'Referência 05-2024.xls)</v>
      </c>
      <c r="F359" s="207" t="str">
        <f t="shared" ca="1" si="58"/>
        <v>-</v>
      </c>
      <c r="G359" s="151">
        <f ca="1">IF(RegimeExecucao="Global","",ORÇAMENTO!T359)</f>
        <v>1</v>
      </c>
      <c r="H359" s="151">
        <f ca="1">IF(RegimeExecucao="Global","",ORÇAMENTO!W359)</f>
        <v>0</v>
      </c>
      <c r="I359" s="154">
        <f ca="1">ORÇAMENTO!X359</f>
        <v>0</v>
      </c>
      <c r="J359" s="427">
        <f t="shared" ca="1" si="59"/>
        <v>0</v>
      </c>
      <c r="K359" s="151">
        <f t="shared" ca="1" si="60"/>
        <v>0</v>
      </c>
      <c r="L359" s="428">
        <f t="shared" ca="1" si="61"/>
        <v>0</v>
      </c>
      <c r="M359" s="429">
        <f ca="1">IF($A359="S",VTOTALBM,IF($A359=0,0,ROUND(SomaAgrupBM,15-13*ORÇAMENTO!$AF$11)))</f>
        <v>0</v>
      </c>
      <c r="N359" s="430">
        <f t="shared" ca="1" si="62"/>
        <v>0</v>
      </c>
      <c r="O359" s="154">
        <f ca="1">IF($A359="S",VTOTALBM,IF($A359=0,0,ROUND(SomaAgrupBM,15-13*ORÇAMENTO!$AF$11)))</f>
        <v>0</v>
      </c>
      <c r="Q359" s="431"/>
      <c r="R359" s="432"/>
      <c r="T359" s="146" t="str">
        <f t="shared" ca="1" si="63"/>
        <v/>
      </c>
      <c r="U359" s="206" t="str">
        <f t="shared" ca="1" si="64"/>
        <v/>
      </c>
      <c r="V359" s="207" t="str">
        <f t="shared" ca="1" si="65"/>
        <v/>
      </c>
      <c r="W359" s="634">
        <f ca="1">IF($Y359&gt;0,CHOOSE(MATCH(RegimeExecucao,{"Unitário","Global"},0),IF($A359="S",$Y359/$X359,""),($Y359/$X359)*100),0)</f>
        <v>0</v>
      </c>
      <c r="X359" s="433" t="str">
        <f ca="1">IF($Y359&gt;0,CHOOSE(MATCH(RegimeExecucao,{"Unitário","Global"},0),IF($A359="S",ROUND($H359,ORÇAMENTO!$AF$10),""),ROUND($I359,ORÇAMENTO!$AF$11)),"")</f>
        <v/>
      </c>
      <c r="Y359" s="433">
        <f t="shared" ca="1" si="66"/>
        <v>0</v>
      </c>
      <c r="Z359" s="434"/>
      <c r="AB359" s="431"/>
      <c r="AC359" s="599"/>
      <c r="AD359" s="599"/>
      <c r="AE359" s="599"/>
      <c r="AF359" s="599"/>
      <c r="AG359" s="599"/>
      <c r="AH359" s="599"/>
      <c r="AI359" s="599"/>
      <c r="AJ359" s="599"/>
      <c r="AK359" s="599"/>
      <c r="AL359" s="599"/>
      <c r="AM359" s="432"/>
      <c r="AO359">
        <f ca="1">IF($A359="S",IF(BM!$I359=0,0,CHOOSE(MATCH(RegimeExecucao,{"Global","Unitário"},0),ROUND(ROUND(BM.MEDAcumulado,15-13*BM!$A$9)/100*BM!$I359,15-13*ORÇAMENTO!$AF$11),ROUND(ROUND(BM.MEDAcumulado,15-13*BM!$A$9)*ROUND(BM!$H359,15-13*ORÇAMENTO!$AF$10),15-13*ORÇAMENTO!$AF$11))),IF($A359=0,0,ROUND(SomaAgrupBM,15-13*ORÇAMENTO!$AF$11)))</f>
        <v>0</v>
      </c>
    </row>
    <row r="360" spans="1:41" ht="13.8" x14ac:dyDescent="0.3">
      <c r="A360">
        <f ca="1">ORÇAMENTO!C360</f>
        <v>3</v>
      </c>
      <c r="B360">
        <f ca="1">ORÇAMENTO!D360</f>
        <v>4</v>
      </c>
      <c r="C360" s="143" t="str">
        <f t="shared" ca="1" si="56"/>
        <v>F</v>
      </c>
      <c r="D360" s="146" t="str">
        <f ca="1">ORÇAMENTO!O360</f>
        <v>1.12.3.</v>
      </c>
      <c r="E360" s="206" t="str">
        <f t="shared" si="57"/>
        <v>DIVERSOS</v>
      </c>
      <c r="F360" s="207" t="str">
        <f t="shared" ca="1" si="58"/>
        <v>-</v>
      </c>
      <c r="G360" s="151">
        <f ca="1">IF(RegimeExecucao="Global","",ORÇAMENTO!T360)</f>
        <v>0</v>
      </c>
      <c r="H360" s="151">
        <f ca="1">IF(RegimeExecucao="Global","",ORÇAMENTO!W360)</f>
        <v>0</v>
      </c>
      <c r="I360" s="154">
        <f ca="1">ORÇAMENTO!X360</f>
        <v>0</v>
      </c>
      <c r="J360" s="427">
        <f t="shared" ca="1" si="59"/>
        <v>0</v>
      </c>
      <c r="K360" s="151">
        <f t="shared" ca="1" si="60"/>
        <v>0</v>
      </c>
      <c r="L360" s="428">
        <f t="shared" ca="1" si="61"/>
        <v>0</v>
      </c>
      <c r="M360" s="429">
        <f ca="1">IF($A360="S",VTOTALBM,IF($A360=0,0,ROUND(SomaAgrupBM,15-13*ORÇAMENTO!$AF$11)))</f>
        <v>0</v>
      </c>
      <c r="N360" s="430">
        <f t="shared" ca="1" si="62"/>
        <v>0</v>
      </c>
      <c r="O360" s="154">
        <f ca="1">IF($A360="S",VTOTALBM,IF($A360=0,0,ROUND(SomaAgrupBM,15-13*ORÇAMENTO!$AF$11)))</f>
        <v>0</v>
      </c>
      <c r="Q360" s="431"/>
      <c r="R360" s="432"/>
      <c r="T360" s="146" t="str">
        <f t="shared" ca="1" si="63"/>
        <v/>
      </c>
      <c r="U360" s="206" t="str">
        <f t="shared" ca="1" si="64"/>
        <v/>
      </c>
      <c r="V360" s="207" t="str">
        <f t="shared" ca="1" si="65"/>
        <v/>
      </c>
      <c r="W360" s="634">
        <f ca="1">IF($Y360&gt;0,CHOOSE(MATCH(RegimeExecucao,{"Unitário","Global"},0),IF($A360="S",$Y360/$X360,""),($Y360/$X360)*100),0)</f>
        <v>0</v>
      </c>
      <c r="X360" s="433" t="str">
        <f ca="1">IF($Y360&gt;0,CHOOSE(MATCH(RegimeExecucao,{"Unitário","Global"},0),IF($A360="S",ROUND($H360,ORÇAMENTO!$AF$10),""),ROUND($I360,ORÇAMENTO!$AF$11)),"")</f>
        <v/>
      </c>
      <c r="Y360" s="433">
        <f t="shared" ca="1" si="66"/>
        <v>0</v>
      </c>
      <c r="Z360" s="434"/>
      <c r="AB360" s="431"/>
      <c r="AC360" s="599"/>
      <c r="AD360" s="599"/>
      <c r="AE360" s="599"/>
      <c r="AF360" s="599"/>
      <c r="AG360" s="599"/>
      <c r="AH360" s="599"/>
      <c r="AI360" s="599"/>
      <c r="AJ360" s="599"/>
      <c r="AK360" s="599"/>
      <c r="AL360" s="599"/>
      <c r="AM360" s="432"/>
      <c r="AO360">
        <f ca="1">IF($A360="S",IF(BM!$I360=0,0,CHOOSE(MATCH(RegimeExecucao,{"Global","Unitário"},0),ROUND(ROUND(BM.MEDAcumulado,15-13*BM!$A$9)/100*BM!$I360,15-13*ORÇAMENTO!$AF$11),ROUND(ROUND(BM.MEDAcumulado,15-13*BM!$A$9)*ROUND(BM!$H360,15-13*ORÇAMENTO!$AF$10),15-13*ORÇAMENTO!$AF$11))),IF($A360=0,0,ROUND(SomaAgrupBM,15-13*ORÇAMENTO!$AF$11)))</f>
        <v>0</v>
      </c>
    </row>
    <row r="361" spans="1:41" ht="13.8" x14ac:dyDescent="0.3">
      <c r="A361" t="str">
        <f ca="1">ORÇAMENTO!C361</f>
        <v>S</v>
      </c>
      <c r="B361">
        <f ca="1">ORÇAMENTO!D361</f>
        <v>0</v>
      </c>
      <c r="C361" s="143" t="str">
        <f t="shared" ca="1" si="56"/>
        <v/>
      </c>
      <c r="D361" s="146" t="str">
        <f ca="1">ORÇAMENTO!O361</f>
        <v>-</v>
      </c>
      <c r="E361" s="206" t="str">
        <f t="shared" ca="1" si="57"/>
        <v>(abra o arquivo 'Referência 05-2024.xls)</v>
      </c>
      <c r="F361" s="207" t="str">
        <f t="shared" ca="1" si="58"/>
        <v>-</v>
      </c>
      <c r="G361" s="151">
        <f ca="1">IF(RegimeExecucao="Global","",ORÇAMENTO!T361)</f>
        <v>1</v>
      </c>
      <c r="H361" s="151">
        <f ca="1">IF(RegimeExecucao="Global","",ORÇAMENTO!W361)</f>
        <v>0</v>
      </c>
      <c r="I361" s="154">
        <f ca="1">ORÇAMENTO!X361</f>
        <v>0</v>
      </c>
      <c r="J361" s="427">
        <f t="shared" ca="1" si="59"/>
        <v>0</v>
      </c>
      <c r="K361" s="151">
        <f t="shared" ca="1" si="60"/>
        <v>0</v>
      </c>
      <c r="L361" s="428">
        <f t="shared" ca="1" si="61"/>
        <v>0</v>
      </c>
      <c r="M361" s="429">
        <f ca="1">IF($A361="S",VTOTALBM,IF($A361=0,0,ROUND(SomaAgrupBM,15-13*ORÇAMENTO!$AF$11)))</f>
        <v>0</v>
      </c>
      <c r="N361" s="430">
        <f t="shared" ca="1" si="62"/>
        <v>0</v>
      </c>
      <c r="O361" s="154">
        <f ca="1">IF($A361="S",VTOTALBM,IF($A361=0,0,ROUND(SomaAgrupBM,15-13*ORÇAMENTO!$AF$11)))</f>
        <v>0</v>
      </c>
      <c r="Q361" s="431"/>
      <c r="R361" s="432"/>
      <c r="T361" s="146" t="str">
        <f t="shared" ca="1" si="63"/>
        <v/>
      </c>
      <c r="U361" s="206" t="str">
        <f t="shared" ca="1" si="64"/>
        <v/>
      </c>
      <c r="V361" s="207" t="str">
        <f t="shared" ca="1" si="65"/>
        <v/>
      </c>
      <c r="W361" s="634">
        <f ca="1">IF($Y361&gt;0,CHOOSE(MATCH(RegimeExecucao,{"Unitário","Global"},0),IF($A361="S",$Y361/$X361,""),($Y361/$X361)*100),0)</f>
        <v>0</v>
      </c>
      <c r="X361" s="433" t="str">
        <f ca="1">IF($Y361&gt;0,CHOOSE(MATCH(RegimeExecucao,{"Unitário","Global"},0),IF($A361="S",ROUND($H361,ORÇAMENTO!$AF$10),""),ROUND($I361,ORÇAMENTO!$AF$11)),"")</f>
        <v/>
      </c>
      <c r="Y361" s="433">
        <f t="shared" ca="1" si="66"/>
        <v>0</v>
      </c>
      <c r="Z361" s="434"/>
      <c r="AB361" s="431"/>
      <c r="AC361" s="599"/>
      <c r="AD361" s="599"/>
      <c r="AE361" s="599"/>
      <c r="AF361" s="599"/>
      <c r="AG361" s="599"/>
      <c r="AH361" s="599"/>
      <c r="AI361" s="599"/>
      <c r="AJ361" s="599"/>
      <c r="AK361" s="599"/>
      <c r="AL361" s="599"/>
      <c r="AM361" s="432"/>
      <c r="AO361">
        <f ca="1">IF($A361="S",IF(BM!$I361=0,0,CHOOSE(MATCH(RegimeExecucao,{"Global","Unitário"},0),ROUND(ROUND(BM.MEDAcumulado,15-13*BM!$A$9)/100*BM!$I361,15-13*ORÇAMENTO!$AF$11),ROUND(ROUND(BM.MEDAcumulado,15-13*BM!$A$9)*ROUND(BM!$H361,15-13*ORÇAMENTO!$AF$10),15-13*ORÇAMENTO!$AF$11))),IF($A361=0,0,ROUND(SomaAgrupBM,15-13*ORÇAMENTO!$AF$11)))</f>
        <v>0</v>
      </c>
    </row>
    <row r="362" spans="1:41" ht="13.8" x14ac:dyDescent="0.3">
      <c r="A362" t="str">
        <f ca="1">ORÇAMENTO!C362</f>
        <v>S</v>
      </c>
      <c r="B362">
        <f ca="1">ORÇAMENTO!D362</f>
        <v>0</v>
      </c>
      <c r="C362" s="143" t="str">
        <f t="shared" ca="1" si="56"/>
        <v/>
      </c>
      <c r="D362" s="146" t="str">
        <f ca="1">ORÇAMENTO!O362</f>
        <v>-</v>
      </c>
      <c r="E362" s="206" t="str">
        <f t="shared" ca="1" si="57"/>
        <v>(abra o arquivo 'Referência 05-2024.xls)</v>
      </c>
      <c r="F362" s="207" t="str">
        <f t="shared" ca="1" si="58"/>
        <v>-</v>
      </c>
      <c r="G362" s="151">
        <f ca="1">IF(RegimeExecucao="Global","",ORÇAMENTO!T362)</f>
        <v>2</v>
      </c>
      <c r="H362" s="151">
        <f ca="1">IF(RegimeExecucao="Global","",ORÇAMENTO!W362)</f>
        <v>0</v>
      </c>
      <c r="I362" s="154">
        <f ca="1">ORÇAMENTO!X362</f>
        <v>0</v>
      </c>
      <c r="J362" s="427">
        <f t="shared" ca="1" si="59"/>
        <v>0</v>
      </c>
      <c r="K362" s="151">
        <f t="shared" ca="1" si="60"/>
        <v>0</v>
      </c>
      <c r="L362" s="428">
        <f t="shared" ca="1" si="61"/>
        <v>0</v>
      </c>
      <c r="M362" s="429">
        <f ca="1">IF($A362="S",VTOTALBM,IF($A362=0,0,ROUND(SomaAgrupBM,15-13*ORÇAMENTO!$AF$11)))</f>
        <v>0</v>
      </c>
      <c r="N362" s="430">
        <f t="shared" ca="1" si="62"/>
        <v>0</v>
      </c>
      <c r="O362" s="154">
        <f ca="1">IF($A362="S",VTOTALBM,IF($A362=0,0,ROUND(SomaAgrupBM,15-13*ORÇAMENTO!$AF$11)))</f>
        <v>0</v>
      </c>
      <c r="Q362" s="431"/>
      <c r="R362" s="432"/>
      <c r="T362" s="146" t="str">
        <f t="shared" ca="1" si="63"/>
        <v/>
      </c>
      <c r="U362" s="206" t="str">
        <f t="shared" ca="1" si="64"/>
        <v/>
      </c>
      <c r="V362" s="207" t="str">
        <f t="shared" ca="1" si="65"/>
        <v/>
      </c>
      <c r="W362" s="634">
        <f ca="1">IF($Y362&gt;0,CHOOSE(MATCH(RegimeExecucao,{"Unitário","Global"},0),IF($A362="S",$Y362/$X362,""),($Y362/$X362)*100),0)</f>
        <v>0</v>
      </c>
      <c r="X362" s="433" t="str">
        <f ca="1">IF($Y362&gt;0,CHOOSE(MATCH(RegimeExecucao,{"Unitário","Global"},0),IF($A362="S",ROUND($H362,ORÇAMENTO!$AF$10),""),ROUND($I362,ORÇAMENTO!$AF$11)),"")</f>
        <v/>
      </c>
      <c r="Y362" s="433">
        <f t="shared" ca="1" si="66"/>
        <v>0</v>
      </c>
      <c r="Z362" s="434"/>
      <c r="AB362" s="431"/>
      <c r="AC362" s="599"/>
      <c r="AD362" s="599"/>
      <c r="AE362" s="599"/>
      <c r="AF362" s="599"/>
      <c r="AG362" s="599"/>
      <c r="AH362" s="599"/>
      <c r="AI362" s="599"/>
      <c r="AJ362" s="599"/>
      <c r="AK362" s="599"/>
      <c r="AL362" s="599"/>
      <c r="AM362" s="432"/>
      <c r="AO362">
        <f ca="1">IF($A362="S",IF(BM!$I362=0,0,CHOOSE(MATCH(RegimeExecucao,{"Global","Unitário"},0),ROUND(ROUND(BM.MEDAcumulado,15-13*BM!$A$9)/100*BM!$I362,15-13*ORÇAMENTO!$AF$11),ROUND(ROUND(BM.MEDAcumulado,15-13*BM!$A$9)*ROUND(BM!$H362,15-13*ORÇAMENTO!$AF$10),15-13*ORÇAMENTO!$AF$11))),IF($A362=0,0,ROUND(SomaAgrupBM,15-13*ORÇAMENTO!$AF$11)))</f>
        <v>0</v>
      </c>
    </row>
    <row r="363" spans="1:41" ht="13.8" x14ac:dyDescent="0.3">
      <c r="A363" t="str">
        <f ca="1">ORÇAMENTO!C363</f>
        <v>S</v>
      </c>
      <c r="B363">
        <f ca="1">ORÇAMENTO!D363</f>
        <v>0</v>
      </c>
      <c r="C363" s="143" t="str">
        <f t="shared" ca="1" si="56"/>
        <v/>
      </c>
      <c r="D363" s="146" t="str">
        <f ca="1">ORÇAMENTO!O363</f>
        <v>-</v>
      </c>
      <c r="E363" s="206" t="str">
        <f t="shared" ca="1" si="57"/>
        <v>(abra o arquivo 'Referência 05-2024.xls)</v>
      </c>
      <c r="F363" s="207" t="str">
        <f t="shared" ca="1" si="58"/>
        <v>-</v>
      </c>
      <c r="G363" s="151">
        <f ca="1">IF(RegimeExecucao="Global","",ORÇAMENTO!T363)</f>
        <v>1</v>
      </c>
      <c r="H363" s="151">
        <f ca="1">IF(RegimeExecucao="Global","",ORÇAMENTO!W363)</f>
        <v>0</v>
      </c>
      <c r="I363" s="154">
        <f ca="1">ORÇAMENTO!X363</f>
        <v>0</v>
      </c>
      <c r="J363" s="427">
        <f t="shared" ca="1" si="59"/>
        <v>0</v>
      </c>
      <c r="K363" s="151">
        <f t="shared" ca="1" si="60"/>
        <v>0</v>
      </c>
      <c r="L363" s="428">
        <f t="shared" ca="1" si="61"/>
        <v>0</v>
      </c>
      <c r="M363" s="429">
        <f ca="1">IF($A363="S",VTOTALBM,IF($A363=0,0,ROUND(SomaAgrupBM,15-13*ORÇAMENTO!$AF$11)))</f>
        <v>0</v>
      </c>
      <c r="N363" s="430">
        <f t="shared" ca="1" si="62"/>
        <v>0</v>
      </c>
      <c r="O363" s="154">
        <f ca="1">IF($A363="S",VTOTALBM,IF($A363=0,0,ROUND(SomaAgrupBM,15-13*ORÇAMENTO!$AF$11)))</f>
        <v>0</v>
      </c>
      <c r="Q363" s="431"/>
      <c r="R363" s="432"/>
      <c r="T363" s="146" t="str">
        <f t="shared" ca="1" si="63"/>
        <v/>
      </c>
      <c r="U363" s="206" t="str">
        <f t="shared" ca="1" si="64"/>
        <v/>
      </c>
      <c r="V363" s="207" t="str">
        <f t="shared" ca="1" si="65"/>
        <v/>
      </c>
      <c r="W363" s="634">
        <f ca="1">IF($Y363&gt;0,CHOOSE(MATCH(RegimeExecucao,{"Unitário","Global"},0),IF($A363="S",$Y363/$X363,""),($Y363/$X363)*100),0)</f>
        <v>0</v>
      </c>
      <c r="X363" s="433" t="str">
        <f ca="1">IF($Y363&gt;0,CHOOSE(MATCH(RegimeExecucao,{"Unitário","Global"},0),IF($A363="S",ROUND($H363,ORÇAMENTO!$AF$10),""),ROUND($I363,ORÇAMENTO!$AF$11)),"")</f>
        <v/>
      </c>
      <c r="Y363" s="433">
        <f t="shared" ca="1" si="66"/>
        <v>0</v>
      </c>
      <c r="Z363" s="434"/>
      <c r="AB363" s="431"/>
      <c r="AC363" s="599"/>
      <c r="AD363" s="599"/>
      <c r="AE363" s="599"/>
      <c r="AF363" s="599"/>
      <c r="AG363" s="599"/>
      <c r="AH363" s="599"/>
      <c r="AI363" s="599"/>
      <c r="AJ363" s="599"/>
      <c r="AK363" s="599"/>
      <c r="AL363" s="599"/>
      <c r="AM363" s="432"/>
      <c r="AO363">
        <f ca="1">IF($A363="S",IF(BM!$I363=0,0,CHOOSE(MATCH(RegimeExecucao,{"Global","Unitário"},0),ROUND(ROUND(BM.MEDAcumulado,15-13*BM!$A$9)/100*BM!$I363,15-13*ORÇAMENTO!$AF$11),ROUND(ROUND(BM.MEDAcumulado,15-13*BM!$A$9)*ROUND(BM!$H363,15-13*ORÇAMENTO!$AF$10),15-13*ORÇAMENTO!$AF$11))),IF($A363=0,0,ROUND(SomaAgrupBM,15-13*ORÇAMENTO!$AF$11)))</f>
        <v>0</v>
      </c>
    </row>
    <row r="364" spans="1:41" ht="13.8" x14ac:dyDescent="0.3">
      <c r="A364">
        <f ca="1">ORÇAMENTO!C364</f>
        <v>3</v>
      </c>
      <c r="B364">
        <f ca="1">ORÇAMENTO!D364</f>
        <v>5</v>
      </c>
      <c r="C364" s="143" t="str">
        <f t="shared" ca="1" si="56"/>
        <v>F</v>
      </c>
      <c r="D364" s="146" t="str">
        <f ca="1">ORÇAMENTO!O364</f>
        <v>1.12.4.</v>
      </c>
      <c r="E364" s="206" t="str">
        <f t="shared" si="57"/>
        <v>SISTEMA DE REUSO DE ÁGUA</v>
      </c>
      <c r="F364" s="207" t="str">
        <f t="shared" ca="1" si="58"/>
        <v>-</v>
      </c>
      <c r="G364" s="151">
        <f ca="1">IF(RegimeExecucao="Global","",ORÇAMENTO!T364)</f>
        <v>0</v>
      </c>
      <c r="H364" s="151">
        <f ca="1">IF(RegimeExecucao="Global","",ORÇAMENTO!W364)</f>
        <v>0</v>
      </c>
      <c r="I364" s="154">
        <f ca="1">ORÇAMENTO!X364</f>
        <v>0</v>
      </c>
      <c r="J364" s="427">
        <f t="shared" ca="1" si="59"/>
        <v>0</v>
      </c>
      <c r="K364" s="151">
        <f t="shared" ca="1" si="60"/>
        <v>0</v>
      </c>
      <c r="L364" s="428">
        <f t="shared" ca="1" si="61"/>
        <v>0</v>
      </c>
      <c r="M364" s="429">
        <f ca="1">IF($A364="S",VTOTALBM,IF($A364=0,0,ROUND(SomaAgrupBM,15-13*ORÇAMENTO!$AF$11)))</f>
        <v>0</v>
      </c>
      <c r="N364" s="430">
        <f t="shared" ca="1" si="62"/>
        <v>0</v>
      </c>
      <c r="O364" s="154">
        <f ca="1">IF($A364="S",VTOTALBM,IF($A364=0,0,ROUND(SomaAgrupBM,15-13*ORÇAMENTO!$AF$11)))</f>
        <v>0</v>
      </c>
      <c r="Q364" s="431"/>
      <c r="R364" s="432"/>
      <c r="T364" s="146" t="str">
        <f t="shared" ca="1" si="63"/>
        <v/>
      </c>
      <c r="U364" s="206" t="str">
        <f t="shared" ca="1" si="64"/>
        <v/>
      </c>
      <c r="V364" s="207" t="str">
        <f t="shared" ca="1" si="65"/>
        <v/>
      </c>
      <c r="W364" s="634">
        <f ca="1">IF($Y364&gt;0,CHOOSE(MATCH(RegimeExecucao,{"Unitário","Global"},0),IF($A364="S",$Y364/$X364,""),($Y364/$X364)*100),0)</f>
        <v>0</v>
      </c>
      <c r="X364" s="433" t="str">
        <f ca="1">IF($Y364&gt;0,CHOOSE(MATCH(RegimeExecucao,{"Unitário","Global"},0),IF($A364="S",ROUND($H364,ORÇAMENTO!$AF$10),""),ROUND($I364,ORÇAMENTO!$AF$11)),"")</f>
        <v/>
      </c>
      <c r="Y364" s="433">
        <f t="shared" ca="1" si="66"/>
        <v>0</v>
      </c>
      <c r="Z364" s="434"/>
      <c r="AB364" s="431"/>
      <c r="AC364" s="599"/>
      <c r="AD364" s="599"/>
      <c r="AE364" s="599"/>
      <c r="AF364" s="599"/>
      <c r="AG364" s="599"/>
      <c r="AH364" s="599"/>
      <c r="AI364" s="599"/>
      <c r="AJ364" s="599"/>
      <c r="AK364" s="599"/>
      <c r="AL364" s="599"/>
      <c r="AM364" s="432"/>
      <c r="AO364">
        <f ca="1">IF($A364="S",IF(BM!$I364=0,0,CHOOSE(MATCH(RegimeExecucao,{"Global","Unitário"},0),ROUND(ROUND(BM.MEDAcumulado,15-13*BM!$A$9)/100*BM!$I364,15-13*ORÇAMENTO!$AF$11),ROUND(ROUND(BM.MEDAcumulado,15-13*BM!$A$9)*ROUND(BM!$H364,15-13*ORÇAMENTO!$AF$10),15-13*ORÇAMENTO!$AF$11))),IF($A364=0,0,ROUND(SomaAgrupBM,15-13*ORÇAMENTO!$AF$11)))</f>
        <v>0</v>
      </c>
    </row>
    <row r="365" spans="1:41" ht="13.8" x14ac:dyDescent="0.3">
      <c r="A365" t="str">
        <f ca="1">ORÇAMENTO!C365</f>
        <v>S</v>
      </c>
      <c r="B365">
        <f ca="1">ORÇAMENTO!D365</f>
        <v>0</v>
      </c>
      <c r="C365" s="143" t="str">
        <f t="shared" ca="1" si="56"/>
        <v/>
      </c>
      <c r="D365" s="146" t="str">
        <f ca="1">ORÇAMENTO!O365</f>
        <v>-</v>
      </c>
      <c r="E365" s="206" t="str">
        <f t="shared" ca="1" si="57"/>
        <v>(abra o arquivo 'Referência 05-2024.xls)</v>
      </c>
      <c r="F365" s="207" t="str">
        <f t="shared" ca="1" si="58"/>
        <v>-</v>
      </c>
      <c r="G365" s="151">
        <f ca="1">IF(RegimeExecucao="Global","",ORÇAMENTO!T365)</f>
        <v>6</v>
      </c>
      <c r="H365" s="151">
        <f ca="1">IF(RegimeExecucao="Global","",ORÇAMENTO!W365)</f>
        <v>0</v>
      </c>
      <c r="I365" s="154">
        <f ca="1">ORÇAMENTO!X365</f>
        <v>0</v>
      </c>
      <c r="J365" s="427">
        <f t="shared" ca="1" si="59"/>
        <v>0</v>
      </c>
      <c r="K365" s="151">
        <f t="shared" ca="1" si="60"/>
        <v>0</v>
      </c>
      <c r="L365" s="428">
        <f t="shared" ca="1" si="61"/>
        <v>0</v>
      </c>
      <c r="M365" s="429">
        <f ca="1">IF($A365="S",VTOTALBM,IF($A365=0,0,ROUND(SomaAgrupBM,15-13*ORÇAMENTO!$AF$11)))</f>
        <v>0</v>
      </c>
      <c r="N365" s="430">
        <f t="shared" ca="1" si="62"/>
        <v>0</v>
      </c>
      <c r="O365" s="154">
        <f ca="1">IF($A365="S",VTOTALBM,IF($A365=0,0,ROUND(SomaAgrupBM,15-13*ORÇAMENTO!$AF$11)))</f>
        <v>0</v>
      </c>
      <c r="Q365" s="431"/>
      <c r="R365" s="432"/>
      <c r="T365" s="146" t="str">
        <f t="shared" ca="1" si="63"/>
        <v/>
      </c>
      <c r="U365" s="206" t="str">
        <f t="shared" ca="1" si="64"/>
        <v/>
      </c>
      <c r="V365" s="207" t="str">
        <f t="shared" ca="1" si="65"/>
        <v/>
      </c>
      <c r="W365" s="634">
        <f ca="1">IF($Y365&gt;0,CHOOSE(MATCH(RegimeExecucao,{"Unitário","Global"},0),IF($A365="S",$Y365/$X365,""),($Y365/$X365)*100),0)</f>
        <v>0</v>
      </c>
      <c r="X365" s="433" t="str">
        <f ca="1">IF($Y365&gt;0,CHOOSE(MATCH(RegimeExecucao,{"Unitário","Global"},0),IF($A365="S",ROUND($H365,ORÇAMENTO!$AF$10),""),ROUND($I365,ORÇAMENTO!$AF$11)),"")</f>
        <v/>
      </c>
      <c r="Y365" s="433">
        <f t="shared" ca="1" si="66"/>
        <v>0</v>
      </c>
      <c r="Z365" s="434"/>
      <c r="AB365" s="431"/>
      <c r="AC365" s="599"/>
      <c r="AD365" s="599"/>
      <c r="AE365" s="599"/>
      <c r="AF365" s="599"/>
      <c r="AG365" s="599"/>
      <c r="AH365" s="599"/>
      <c r="AI365" s="599"/>
      <c r="AJ365" s="599"/>
      <c r="AK365" s="599"/>
      <c r="AL365" s="599"/>
      <c r="AM365" s="432"/>
      <c r="AO365">
        <f ca="1">IF($A365="S",IF(BM!$I365=0,0,CHOOSE(MATCH(RegimeExecucao,{"Global","Unitário"},0),ROUND(ROUND(BM.MEDAcumulado,15-13*BM!$A$9)/100*BM!$I365,15-13*ORÇAMENTO!$AF$11),ROUND(ROUND(BM.MEDAcumulado,15-13*BM!$A$9)*ROUND(BM!$H365,15-13*ORÇAMENTO!$AF$10),15-13*ORÇAMENTO!$AF$11))),IF($A365=0,0,ROUND(SomaAgrupBM,15-13*ORÇAMENTO!$AF$11)))</f>
        <v>0</v>
      </c>
    </row>
    <row r="366" spans="1:41" ht="13.8" x14ac:dyDescent="0.3">
      <c r="A366" t="str">
        <f ca="1">ORÇAMENTO!C366</f>
        <v>S</v>
      </c>
      <c r="B366">
        <f ca="1">ORÇAMENTO!D366</f>
        <v>0</v>
      </c>
      <c r="C366" s="143" t="str">
        <f t="shared" ca="1" si="56"/>
        <v/>
      </c>
      <c r="D366" s="146" t="str">
        <f ca="1">ORÇAMENTO!O366</f>
        <v>-</v>
      </c>
      <c r="E366" s="206" t="str">
        <f t="shared" ca="1" si="57"/>
        <v>(abra o arquivo 'Referência 05-2024.xls)</v>
      </c>
      <c r="F366" s="207" t="str">
        <f t="shared" ca="1" si="58"/>
        <v>-</v>
      </c>
      <c r="G366" s="151">
        <f ca="1">IF(RegimeExecucao="Global","",ORÇAMENTO!T366)</f>
        <v>2</v>
      </c>
      <c r="H366" s="151">
        <f ca="1">IF(RegimeExecucao="Global","",ORÇAMENTO!W366)</f>
        <v>0</v>
      </c>
      <c r="I366" s="154">
        <f ca="1">ORÇAMENTO!X366</f>
        <v>0</v>
      </c>
      <c r="J366" s="427">
        <f t="shared" ca="1" si="59"/>
        <v>0</v>
      </c>
      <c r="K366" s="151">
        <f t="shared" ca="1" si="60"/>
        <v>0</v>
      </c>
      <c r="L366" s="428">
        <f t="shared" ca="1" si="61"/>
        <v>0</v>
      </c>
      <c r="M366" s="429">
        <f ca="1">IF($A366="S",VTOTALBM,IF($A366=0,0,ROUND(SomaAgrupBM,15-13*ORÇAMENTO!$AF$11)))</f>
        <v>0</v>
      </c>
      <c r="N366" s="430">
        <f t="shared" ca="1" si="62"/>
        <v>0</v>
      </c>
      <c r="O366" s="154">
        <f ca="1">IF($A366="S",VTOTALBM,IF($A366=0,0,ROUND(SomaAgrupBM,15-13*ORÇAMENTO!$AF$11)))</f>
        <v>0</v>
      </c>
      <c r="Q366" s="431"/>
      <c r="R366" s="432"/>
      <c r="T366" s="146" t="str">
        <f t="shared" ca="1" si="63"/>
        <v/>
      </c>
      <c r="U366" s="206" t="str">
        <f t="shared" ca="1" si="64"/>
        <v/>
      </c>
      <c r="V366" s="207" t="str">
        <f t="shared" ca="1" si="65"/>
        <v/>
      </c>
      <c r="W366" s="634">
        <f ca="1">IF($Y366&gt;0,CHOOSE(MATCH(RegimeExecucao,{"Unitário","Global"},0),IF($A366="S",$Y366/$X366,""),($Y366/$X366)*100),0)</f>
        <v>0</v>
      </c>
      <c r="X366" s="433" t="str">
        <f ca="1">IF($Y366&gt;0,CHOOSE(MATCH(RegimeExecucao,{"Unitário","Global"},0),IF($A366="S",ROUND($H366,ORÇAMENTO!$AF$10),""),ROUND($I366,ORÇAMENTO!$AF$11)),"")</f>
        <v/>
      </c>
      <c r="Y366" s="433">
        <f t="shared" ca="1" si="66"/>
        <v>0</v>
      </c>
      <c r="Z366" s="434"/>
      <c r="AB366" s="431"/>
      <c r="AC366" s="599"/>
      <c r="AD366" s="599"/>
      <c r="AE366" s="599"/>
      <c r="AF366" s="599"/>
      <c r="AG366" s="599"/>
      <c r="AH366" s="599"/>
      <c r="AI366" s="599"/>
      <c r="AJ366" s="599"/>
      <c r="AK366" s="599"/>
      <c r="AL366" s="599"/>
      <c r="AM366" s="432"/>
      <c r="AO366">
        <f ca="1">IF($A366="S",IF(BM!$I366=0,0,CHOOSE(MATCH(RegimeExecucao,{"Global","Unitário"},0),ROUND(ROUND(BM.MEDAcumulado,15-13*BM!$A$9)/100*BM!$I366,15-13*ORÇAMENTO!$AF$11),ROUND(ROUND(BM.MEDAcumulado,15-13*BM!$A$9)*ROUND(BM!$H366,15-13*ORÇAMENTO!$AF$10),15-13*ORÇAMENTO!$AF$11))),IF($A366=0,0,ROUND(SomaAgrupBM,15-13*ORÇAMENTO!$AF$11)))</f>
        <v>0</v>
      </c>
    </row>
    <row r="367" spans="1:41" ht="13.8" x14ac:dyDescent="0.3">
      <c r="A367" t="str">
        <f ca="1">ORÇAMENTO!C367</f>
        <v>S</v>
      </c>
      <c r="B367">
        <f ca="1">ORÇAMENTO!D367</f>
        <v>0</v>
      </c>
      <c r="C367" s="143" t="str">
        <f t="shared" ca="1" si="56"/>
        <v/>
      </c>
      <c r="D367" s="146" t="str">
        <f ca="1">ORÇAMENTO!O367</f>
        <v>-</v>
      </c>
      <c r="E367" s="206" t="str">
        <f t="shared" ca="1" si="57"/>
        <v>(abra o arquivo 'Referência 05-2024.xls)</v>
      </c>
      <c r="F367" s="207" t="str">
        <f t="shared" ca="1" si="58"/>
        <v>-</v>
      </c>
      <c r="G367" s="151">
        <f ca="1">IF(RegimeExecucao="Global","",ORÇAMENTO!T367)</f>
        <v>10</v>
      </c>
      <c r="H367" s="151">
        <f ca="1">IF(RegimeExecucao="Global","",ORÇAMENTO!W367)</f>
        <v>0</v>
      </c>
      <c r="I367" s="154">
        <f ca="1">ORÇAMENTO!X367</f>
        <v>0</v>
      </c>
      <c r="J367" s="427">
        <f t="shared" ca="1" si="59"/>
        <v>0</v>
      </c>
      <c r="K367" s="151">
        <f t="shared" ca="1" si="60"/>
        <v>0</v>
      </c>
      <c r="L367" s="428">
        <f t="shared" ca="1" si="61"/>
        <v>0</v>
      </c>
      <c r="M367" s="429">
        <f ca="1">IF($A367="S",VTOTALBM,IF($A367=0,0,ROUND(SomaAgrupBM,15-13*ORÇAMENTO!$AF$11)))</f>
        <v>0</v>
      </c>
      <c r="N367" s="430">
        <f t="shared" ca="1" si="62"/>
        <v>0</v>
      </c>
      <c r="O367" s="154">
        <f ca="1">IF($A367="S",VTOTALBM,IF($A367=0,0,ROUND(SomaAgrupBM,15-13*ORÇAMENTO!$AF$11)))</f>
        <v>0</v>
      </c>
      <c r="Q367" s="431"/>
      <c r="R367" s="432"/>
      <c r="T367" s="146" t="str">
        <f t="shared" ca="1" si="63"/>
        <v/>
      </c>
      <c r="U367" s="206" t="str">
        <f t="shared" ca="1" si="64"/>
        <v/>
      </c>
      <c r="V367" s="207" t="str">
        <f t="shared" ca="1" si="65"/>
        <v/>
      </c>
      <c r="W367" s="634">
        <f ca="1">IF($Y367&gt;0,CHOOSE(MATCH(RegimeExecucao,{"Unitário","Global"},0),IF($A367="S",$Y367/$X367,""),($Y367/$X367)*100),0)</f>
        <v>0</v>
      </c>
      <c r="X367" s="433" t="str">
        <f ca="1">IF($Y367&gt;0,CHOOSE(MATCH(RegimeExecucao,{"Unitário","Global"},0),IF($A367="S",ROUND($H367,ORÇAMENTO!$AF$10),""),ROUND($I367,ORÇAMENTO!$AF$11)),"")</f>
        <v/>
      </c>
      <c r="Y367" s="433">
        <f t="shared" ca="1" si="66"/>
        <v>0</v>
      </c>
      <c r="Z367" s="434"/>
      <c r="AB367" s="431"/>
      <c r="AC367" s="599"/>
      <c r="AD367" s="599"/>
      <c r="AE367" s="599"/>
      <c r="AF367" s="599"/>
      <c r="AG367" s="599"/>
      <c r="AH367" s="599"/>
      <c r="AI367" s="599"/>
      <c r="AJ367" s="599"/>
      <c r="AK367" s="599"/>
      <c r="AL367" s="599"/>
      <c r="AM367" s="432"/>
      <c r="AO367">
        <f ca="1">IF($A367="S",IF(BM!$I367=0,0,CHOOSE(MATCH(RegimeExecucao,{"Global","Unitário"},0),ROUND(ROUND(BM.MEDAcumulado,15-13*BM!$A$9)/100*BM!$I367,15-13*ORÇAMENTO!$AF$11),ROUND(ROUND(BM.MEDAcumulado,15-13*BM!$A$9)*ROUND(BM!$H367,15-13*ORÇAMENTO!$AF$10),15-13*ORÇAMENTO!$AF$11))),IF($A367=0,0,ROUND(SomaAgrupBM,15-13*ORÇAMENTO!$AF$11)))</f>
        <v>0</v>
      </c>
    </row>
    <row r="368" spans="1:41" ht="13.8" x14ac:dyDescent="0.3">
      <c r="A368" t="str">
        <f ca="1">ORÇAMENTO!C368</f>
        <v>S</v>
      </c>
      <c r="B368">
        <f ca="1">ORÇAMENTO!D368</f>
        <v>0</v>
      </c>
      <c r="C368" s="143" t="str">
        <f t="shared" ca="1" si="56"/>
        <v/>
      </c>
      <c r="D368" s="146" t="str">
        <f ca="1">ORÇAMENTO!O368</f>
        <v>-</v>
      </c>
      <c r="E368" s="206" t="str">
        <f t="shared" ca="1" si="57"/>
        <v>(abra o arquivo 'Referência 05-2024.xls)</v>
      </c>
      <c r="F368" s="207" t="str">
        <f t="shared" ca="1" si="58"/>
        <v>-</v>
      </c>
      <c r="G368" s="151">
        <f ca="1">IF(RegimeExecucao="Global","",ORÇAMENTO!T368)</f>
        <v>5</v>
      </c>
      <c r="H368" s="151">
        <f ca="1">IF(RegimeExecucao="Global","",ORÇAMENTO!W368)</f>
        <v>0</v>
      </c>
      <c r="I368" s="154">
        <f ca="1">ORÇAMENTO!X368</f>
        <v>0</v>
      </c>
      <c r="J368" s="427">
        <f t="shared" ca="1" si="59"/>
        <v>0</v>
      </c>
      <c r="K368" s="151">
        <f t="shared" ca="1" si="60"/>
        <v>0</v>
      </c>
      <c r="L368" s="428">
        <f t="shared" ca="1" si="61"/>
        <v>0</v>
      </c>
      <c r="M368" s="429">
        <f ca="1">IF($A368="S",VTOTALBM,IF($A368=0,0,ROUND(SomaAgrupBM,15-13*ORÇAMENTO!$AF$11)))</f>
        <v>0</v>
      </c>
      <c r="N368" s="430">
        <f t="shared" ca="1" si="62"/>
        <v>0</v>
      </c>
      <c r="O368" s="154">
        <f ca="1">IF($A368="S",VTOTALBM,IF($A368=0,0,ROUND(SomaAgrupBM,15-13*ORÇAMENTO!$AF$11)))</f>
        <v>0</v>
      </c>
      <c r="Q368" s="431"/>
      <c r="R368" s="432"/>
      <c r="T368" s="146" t="str">
        <f t="shared" ca="1" si="63"/>
        <v/>
      </c>
      <c r="U368" s="206" t="str">
        <f t="shared" ca="1" si="64"/>
        <v/>
      </c>
      <c r="V368" s="207" t="str">
        <f t="shared" ca="1" si="65"/>
        <v/>
      </c>
      <c r="W368" s="634">
        <f ca="1">IF($Y368&gt;0,CHOOSE(MATCH(RegimeExecucao,{"Unitário","Global"},0),IF($A368="S",$Y368/$X368,""),($Y368/$X368)*100),0)</f>
        <v>0</v>
      </c>
      <c r="X368" s="433" t="str">
        <f ca="1">IF($Y368&gt;0,CHOOSE(MATCH(RegimeExecucao,{"Unitário","Global"},0),IF($A368="S",ROUND($H368,ORÇAMENTO!$AF$10),""),ROUND($I368,ORÇAMENTO!$AF$11)),"")</f>
        <v/>
      </c>
      <c r="Y368" s="433">
        <f t="shared" ca="1" si="66"/>
        <v>0</v>
      </c>
      <c r="Z368" s="434"/>
      <c r="AB368" s="431"/>
      <c r="AC368" s="599"/>
      <c r="AD368" s="599"/>
      <c r="AE368" s="599"/>
      <c r="AF368" s="599"/>
      <c r="AG368" s="599"/>
      <c r="AH368" s="599"/>
      <c r="AI368" s="599"/>
      <c r="AJ368" s="599"/>
      <c r="AK368" s="599"/>
      <c r="AL368" s="599"/>
      <c r="AM368" s="432"/>
      <c r="AO368">
        <f ca="1">IF($A368="S",IF(BM!$I368=0,0,CHOOSE(MATCH(RegimeExecucao,{"Global","Unitário"},0),ROUND(ROUND(BM.MEDAcumulado,15-13*BM!$A$9)/100*BM!$I368,15-13*ORÇAMENTO!$AF$11),ROUND(ROUND(BM.MEDAcumulado,15-13*BM!$A$9)*ROUND(BM!$H368,15-13*ORÇAMENTO!$AF$10),15-13*ORÇAMENTO!$AF$11))),IF($A368=0,0,ROUND(SomaAgrupBM,15-13*ORÇAMENTO!$AF$11)))</f>
        <v>0</v>
      </c>
    </row>
    <row r="369" spans="1:41" ht="13.8" x14ac:dyDescent="0.3">
      <c r="A369">
        <f ca="1">ORÇAMENTO!C369</f>
        <v>3</v>
      </c>
      <c r="B369">
        <f ca="1">ORÇAMENTO!D369</f>
        <v>2</v>
      </c>
      <c r="C369" s="143" t="str">
        <f t="shared" ca="1" si="56"/>
        <v>F</v>
      </c>
      <c r="D369" s="146" t="str">
        <f ca="1">ORÇAMENTO!O369</f>
        <v>1.12.5.</v>
      </c>
      <c r="E369" s="206" t="str">
        <f t="shared" si="57"/>
        <v>CAIXA DÁGUA - 40.000L</v>
      </c>
      <c r="F369" s="207" t="str">
        <f t="shared" ca="1" si="58"/>
        <v>-</v>
      </c>
      <c r="G369" s="151">
        <f ca="1">IF(RegimeExecucao="Global","",ORÇAMENTO!T369)</f>
        <v>0</v>
      </c>
      <c r="H369" s="151">
        <f ca="1">IF(RegimeExecucao="Global","",ORÇAMENTO!W369)</f>
        <v>0</v>
      </c>
      <c r="I369" s="154">
        <f ca="1">ORÇAMENTO!X369</f>
        <v>0</v>
      </c>
      <c r="J369" s="427">
        <f t="shared" ca="1" si="59"/>
        <v>0</v>
      </c>
      <c r="K369" s="151">
        <f t="shared" ca="1" si="60"/>
        <v>0</v>
      </c>
      <c r="L369" s="428">
        <f t="shared" ca="1" si="61"/>
        <v>0</v>
      </c>
      <c r="M369" s="429">
        <f ca="1">IF($A369="S",VTOTALBM,IF($A369=0,0,ROUND(SomaAgrupBM,15-13*ORÇAMENTO!$AF$11)))</f>
        <v>0</v>
      </c>
      <c r="N369" s="430">
        <f t="shared" ca="1" si="62"/>
        <v>0</v>
      </c>
      <c r="O369" s="154">
        <f ca="1">IF($A369="S",VTOTALBM,IF($A369=0,0,ROUND(SomaAgrupBM,15-13*ORÇAMENTO!$AF$11)))</f>
        <v>0</v>
      </c>
      <c r="Q369" s="431"/>
      <c r="R369" s="432"/>
      <c r="T369" s="146" t="str">
        <f t="shared" ca="1" si="63"/>
        <v/>
      </c>
      <c r="U369" s="206" t="str">
        <f t="shared" ca="1" si="64"/>
        <v/>
      </c>
      <c r="V369" s="207" t="str">
        <f t="shared" ca="1" si="65"/>
        <v/>
      </c>
      <c r="W369" s="634">
        <f ca="1">IF($Y369&gt;0,CHOOSE(MATCH(RegimeExecucao,{"Unitário","Global"},0),IF($A369="S",$Y369/$X369,""),($Y369/$X369)*100),0)</f>
        <v>0</v>
      </c>
      <c r="X369" s="433" t="str">
        <f ca="1">IF($Y369&gt;0,CHOOSE(MATCH(RegimeExecucao,{"Unitário","Global"},0),IF($A369="S",ROUND($H369,ORÇAMENTO!$AF$10),""),ROUND($I369,ORÇAMENTO!$AF$11)),"")</f>
        <v/>
      </c>
      <c r="Y369" s="433">
        <f t="shared" ca="1" si="66"/>
        <v>0</v>
      </c>
      <c r="Z369" s="434"/>
      <c r="AB369" s="431"/>
      <c r="AC369" s="599"/>
      <c r="AD369" s="599"/>
      <c r="AE369" s="599"/>
      <c r="AF369" s="599"/>
      <c r="AG369" s="599"/>
      <c r="AH369" s="599"/>
      <c r="AI369" s="599"/>
      <c r="AJ369" s="599"/>
      <c r="AK369" s="599"/>
      <c r="AL369" s="599"/>
      <c r="AM369" s="432"/>
      <c r="AO369">
        <f ca="1">IF($A369="S",IF(BM!$I369=0,0,CHOOSE(MATCH(RegimeExecucao,{"Global","Unitário"},0),ROUND(ROUND(BM.MEDAcumulado,15-13*BM!$A$9)/100*BM!$I369,15-13*ORÇAMENTO!$AF$11),ROUND(ROUND(BM.MEDAcumulado,15-13*BM!$A$9)*ROUND(BM!$H369,15-13*ORÇAMENTO!$AF$10),15-13*ORÇAMENTO!$AF$11))),IF($A369=0,0,ROUND(SomaAgrupBM,15-13*ORÇAMENTO!$AF$11)))</f>
        <v>0</v>
      </c>
    </row>
    <row r="370" spans="1:41" ht="13.8" x14ac:dyDescent="0.3">
      <c r="A370" t="str">
        <f ca="1">ORÇAMENTO!C370</f>
        <v>S</v>
      </c>
      <c r="B370">
        <f ca="1">ORÇAMENTO!D370</f>
        <v>0</v>
      </c>
      <c r="C370" s="143" t="str">
        <f t="shared" ca="1" si="56"/>
        <v/>
      </c>
      <c r="D370" s="146" t="str">
        <f ca="1">ORÇAMENTO!O370</f>
        <v>-</v>
      </c>
      <c r="E370" s="206" t="str">
        <f t="shared" ca="1" si="57"/>
        <v>(abra o arquivo 'Referência 05-2024.xls)</v>
      </c>
      <c r="F370" s="207" t="str">
        <f t="shared" ca="1" si="58"/>
        <v>-</v>
      </c>
      <c r="G370" s="151">
        <f ca="1">IF(RegimeExecucao="Global","",ORÇAMENTO!T370)</f>
        <v>1</v>
      </c>
      <c r="H370" s="151">
        <f ca="1">IF(RegimeExecucao="Global","",ORÇAMENTO!W370)</f>
        <v>0</v>
      </c>
      <c r="I370" s="154">
        <f ca="1">ORÇAMENTO!X370</f>
        <v>0</v>
      </c>
      <c r="J370" s="427">
        <f t="shared" ca="1" si="59"/>
        <v>0</v>
      </c>
      <c r="K370" s="151">
        <f t="shared" ca="1" si="60"/>
        <v>0</v>
      </c>
      <c r="L370" s="428">
        <f t="shared" ca="1" si="61"/>
        <v>0</v>
      </c>
      <c r="M370" s="429">
        <f ca="1">IF($A370="S",VTOTALBM,IF($A370=0,0,ROUND(SomaAgrupBM,15-13*ORÇAMENTO!$AF$11)))</f>
        <v>0</v>
      </c>
      <c r="N370" s="430">
        <f t="shared" ca="1" si="62"/>
        <v>0</v>
      </c>
      <c r="O370" s="154">
        <f ca="1">IF($A370="S",VTOTALBM,IF($A370=0,0,ROUND(SomaAgrupBM,15-13*ORÇAMENTO!$AF$11)))</f>
        <v>0</v>
      </c>
      <c r="Q370" s="431"/>
      <c r="R370" s="432"/>
      <c r="T370" s="146" t="str">
        <f t="shared" ca="1" si="63"/>
        <v/>
      </c>
      <c r="U370" s="206" t="str">
        <f t="shared" ca="1" si="64"/>
        <v/>
      </c>
      <c r="V370" s="207" t="str">
        <f t="shared" ca="1" si="65"/>
        <v/>
      </c>
      <c r="W370" s="634">
        <f ca="1">IF($Y370&gt;0,CHOOSE(MATCH(RegimeExecucao,{"Unitário","Global"},0),IF($A370="S",$Y370/$X370,""),($Y370/$X370)*100),0)</f>
        <v>0</v>
      </c>
      <c r="X370" s="433" t="str">
        <f ca="1">IF($Y370&gt;0,CHOOSE(MATCH(RegimeExecucao,{"Unitário","Global"},0),IF($A370="S",ROUND($H370,ORÇAMENTO!$AF$10),""),ROUND($I370,ORÇAMENTO!$AF$11)),"")</f>
        <v/>
      </c>
      <c r="Y370" s="433">
        <f t="shared" ca="1" si="66"/>
        <v>0</v>
      </c>
      <c r="Z370" s="434"/>
      <c r="AB370" s="431"/>
      <c r="AC370" s="599"/>
      <c r="AD370" s="599"/>
      <c r="AE370" s="599"/>
      <c r="AF370" s="599"/>
      <c r="AG370" s="599"/>
      <c r="AH370" s="599"/>
      <c r="AI370" s="599"/>
      <c r="AJ370" s="599"/>
      <c r="AK370" s="599"/>
      <c r="AL370" s="599"/>
      <c r="AM370" s="432"/>
      <c r="AO370">
        <f ca="1">IF($A370="S",IF(BM!$I370=0,0,CHOOSE(MATCH(RegimeExecucao,{"Global","Unitário"},0),ROUND(ROUND(BM.MEDAcumulado,15-13*BM!$A$9)/100*BM!$I370,15-13*ORÇAMENTO!$AF$11),ROUND(ROUND(BM.MEDAcumulado,15-13*BM!$A$9)*ROUND(BM!$H370,15-13*ORÇAMENTO!$AF$10),15-13*ORÇAMENTO!$AF$11))),IF($A370=0,0,ROUND(SomaAgrupBM,15-13*ORÇAMENTO!$AF$11)))</f>
        <v>0</v>
      </c>
    </row>
    <row r="371" spans="1:41" ht="13.8" x14ac:dyDescent="0.3">
      <c r="A371">
        <f ca="1">ORÇAMENTO!C371</f>
        <v>2</v>
      </c>
      <c r="B371">
        <f ca="1">ORÇAMENTO!D371</f>
        <v>19</v>
      </c>
      <c r="C371" s="143" t="str">
        <f t="shared" ca="1" si="56"/>
        <v>F</v>
      </c>
      <c r="D371" s="146" t="str">
        <f ca="1">ORÇAMENTO!O371</f>
        <v>1.13.</v>
      </c>
      <c r="E371" s="206" t="str">
        <f t="shared" si="57"/>
        <v>DRENAGEM DE ÁGUAS PLUVIAIS</v>
      </c>
      <c r="F371" s="207" t="str">
        <f t="shared" ca="1" si="58"/>
        <v>-</v>
      </c>
      <c r="G371" s="151">
        <f ca="1">IF(RegimeExecucao="Global","",ORÇAMENTO!T371)</f>
        <v>0</v>
      </c>
      <c r="H371" s="151">
        <f ca="1">IF(RegimeExecucao="Global","",ORÇAMENTO!W371)</f>
        <v>0</v>
      </c>
      <c r="I371" s="154">
        <f ca="1">ORÇAMENTO!X371</f>
        <v>0</v>
      </c>
      <c r="J371" s="427">
        <f t="shared" ca="1" si="59"/>
        <v>0</v>
      </c>
      <c r="K371" s="151">
        <f t="shared" ca="1" si="60"/>
        <v>0</v>
      </c>
      <c r="L371" s="428">
        <f t="shared" ca="1" si="61"/>
        <v>0</v>
      </c>
      <c r="M371" s="429">
        <f ca="1">IF($A371="S",VTOTALBM,IF($A371=0,0,ROUND(SomaAgrupBM,15-13*ORÇAMENTO!$AF$11)))</f>
        <v>0</v>
      </c>
      <c r="N371" s="430">
        <f t="shared" ca="1" si="62"/>
        <v>0</v>
      </c>
      <c r="O371" s="154">
        <f ca="1">IF($A371="S",VTOTALBM,IF($A371=0,0,ROUND(SomaAgrupBM,15-13*ORÇAMENTO!$AF$11)))</f>
        <v>0</v>
      </c>
      <c r="Q371" s="431"/>
      <c r="R371" s="432"/>
      <c r="T371" s="146" t="str">
        <f t="shared" ca="1" si="63"/>
        <v/>
      </c>
      <c r="U371" s="206" t="str">
        <f t="shared" ca="1" si="64"/>
        <v/>
      </c>
      <c r="V371" s="207" t="str">
        <f t="shared" ca="1" si="65"/>
        <v/>
      </c>
      <c r="W371" s="634">
        <f ca="1">IF($Y371&gt;0,CHOOSE(MATCH(RegimeExecucao,{"Unitário","Global"},0),IF($A371="S",$Y371/$X371,""),($Y371/$X371)*100),0)</f>
        <v>0</v>
      </c>
      <c r="X371" s="433" t="str">
        <f ca="1">IF($Y371&gt;0,CHOOSE(MATCH(RegimeExecucao,{"Unitário","Global"},0),IF($A371="S",ROUND($H371,ORÇAMENTO!$AF$10),""),ROUND($I371,ORÇAMENTO!$AF$11)),"")</f>
        <v/>
      </c>
      <c r="Y371" s="433">
        <f t="shared" ca="1" si="66"/>
        <v>0</v>
      </c>
      <c r="Z371" s="434"/>
      <c r="AB371" s="431"/>
      <c r="AC371" s="599"/>
      <c r="AD371" s="599"/>
      <c r="AE371" s="599"/>
      <c r="AF371" s="599"/>
      <c r="AG371" s="599"/>
      <c r="AH371" s="599"/>
      <c r="AI371" s="599"/>
      <c r="AJ371" s="599"/>
      <c r="AK371" s="599"/>
      <c r="AL371" s="599"/>
      <c r="AM371" s="432"/>
      <c r="AO371">
        <f ca="1">IF($A371="S",IF(BM!$I371=0,0,CHOOSE(MATCH(RegimeExecucao,{"Global","Unitário"},0),ROUND(ROUND(BM.MEDAcumulado,15-13*BM!$A$9)/100*BM!$I371,15-13*ORÇAMENTO!$AF$11),ROUND(ROUND(BM.MEDAcumulado,15-13*BM!$A$9)*ROUND(BM!$H371,15-13*ORÇAMENTO!$AF$10),15-13*ORÇAMENTO!$AF$11))),IF($A371=0,0,ROUND(SomaAgrupBM,15-13*ORÇAMENTO!$AF$11)))</f>
        <v>0</v>
      </c>
    </row>
    <row r="372" spans="1:41" ht="13.8" x14ac:dyDescent="0.3">
      <c r="A372">
        <f ca="1">ORÇAMENTO!C372</f>
        <v>3</v>
      </c>
      <c r="B372">
        <f ca="1">ORÇAMENTO!D372</f>
        <v>14</v>
      </c>
      <c r="C372" s="143" t="str">
        <f t="shared" ca="1" si="56"/>
        <v>F</v>
      </c>
      <c r="D372" s="146" t="str">
        <f ca="1">ORÇAMENTO!O372</f>
        <v>1.13.1.</v>
      </c>
      <c r="E372" s="206" t="str">
        <f t="shared" si="57"/>
        <v>TUBULAÇÕES E CONEXÕES DE PVC</v>
      </c>
      <c r="F372" s="207" t="str">
        <f t="shared" ca="1" si="58"/>
        <v>-</v>
      </c>
      <c r="G372" s="151">
        <f ca="1">IF(RegimeExecucao="Global","",ORÇAMENTO!T372)</f>
        <v>0</v>
      </c>
      <c r="H372" s="151">
        <f ca="1">IF(RegimeExecucao="Global","",ORÇAMENTO!W372)</f>
        <v>0</v>
      </c>
      <c r="I372" s="154">
        <f ca="1">ORÇAMENTO!X372</f>
        <v>0</v>
      </c>
      <c r="J372" s="427">
        <f t="shared" ca="1" si="59"/>
        <v>0</v>
      </c>
      <c r="K372" s="151">
        <f t="shared" ca="1" si="60"/>
        <v>0</v>
      </c>
      <c r="L372" s="428">
        <f t="shared" ca="1" si="61"/>
        <v>0</v>
      </c>
      <c r="M372" s="429">
        <f ca="1">IF($A372="S",VTOTALBM,IF($A372=0,0,ROUND(SomaAgrupBM,15-13*ORÇAMENTO!$AF$11)))</f>
        <v>0</v>
      </c>
      <c r="N372" s="430">
        <f t="shared" ca="1" si="62"/>
        <v>0</v>
      </c>
      <c r="O372" s="154">
        <f ca="1">IF($A372="S",VTOTALBM,IF($A372=0,0,ROUND(SomaAgrupBM,15-13*ORÇAMENTO!$AF$11)))</f>
        <v>0</v>
      </c>
      <c r="Q372" s="431"/>
      <c r="R372" s="432"/>
      <c r="T372" s="146" t="str">
        <f t="shared" ca="1" si="63"/>
        <v/>
      </c>
      <c r="U372" s="206" t="str">
        <f t="shared" ca="1" si="64"/>
        <v/>
      </c>
      <c r="V372" s="207" t="str">
        <f t="shared" ca="1" si="65"/>
        <v/>
      </c>
      <c r="W372" s="634">
        <f ca="1">IF($Y372&gt;0,CHOOSE(MATCH(RegimeExecucao,{"Unitário","Global"},0),IF($A372="S",$Y372/$X372,""),($Y372/$X372)*100),0)</f>
        <v>0</v>
      </c>
      <c r="X372" s="433" t="str">
        <f ca="1">IF($Y372&gt;0,CHOOSE(MATCH(RegimeExecucao,{"Unitário","Global"},0),IF($A372="S",ROUND($H372,ORÇAMENTO!$AF$10),""),ROUND($I372,ORÇAMENTO!$AF$11)),"")</f>
        <v/>
      </c>
      <c r="Y372" s="433">
        <f t="shared" ca="1" si="66"/>
        <v>0</v>
      </c>
      <c r="Z372" s="434"/>
      <c r="AB372" s="431"/>
      <c r="AC372" s="599"/>
      <c r="AD372" s="599"/>
      <c r="AE372" s="599"/>
      <c r="AF372" s="599"/>
      <c r="AG372" s="599"/>
      <c r="AH372" s="599"/>
      <c r="AI372" s="599"/>
      <c r="AJ372" s="599"/>
      <c r="AK372" s="599"/>
      <c r="AL372" s="599"/>
      <c r="AM372" s="432"/>
      <c r="AO372">
        <f ca="1">IF($A372="S",IF(BM!$I372=0,0,CHOOSE(MATCH(RegimeExecucao,{"Global","Unitário"},0),ROUND(ROUND(BM.MEDAcumulado,15-13*BM!$A$9)/100*BM!$I372,15-13*ORÇAMENTO!$AF$11),ROUND(ROUND(BM.MEDAcumulado,15-13*BM!$A$9)*ROUND(BM!$H372,15-13*ORÇAMENTO!$AF$10),15-13*ORÇAMENTO!$AF$11))),IF($A372=0,0,ROUND(SomaAgrupBM,15-13*ORÇAMENTO!$AF$11)))</f>
        <v>0</v>
      </c>
    </row>
    <row r="373" spans="1:41" ht="13.8" x14ac:dyDescent="0.3">
      <c r="A373" t="str">
        <f ca="1">ORÇAMENTO!C373</f>
        <v>S</v>
      </c>
      <c r="B373">
        <f ca="1">ORÇAMENTO!D373</f>
        <v>0</v>
      </c>
      <c r="C373" s="143" t="str">
        <f t="shared" ca="1" si="56"/>
        <v/>
      </c>
      <c r="D373" s="146" t="str">
        <f ca="1">ORÇAMENTO!O373</f>
        <v>-</v>
      </c>
      <c r="E373" s="206" t="str">
        <f t="shared" ca="1" si="57"/>
        <v>(abra o arquivo 'Referência 05-2024.xls)</v>
      </c>
      <c r="F373" s="207" t="str">
        <f t="shared" ca="1" si="58"/>
        <v>-</v>
      </c>
      <c r="G373" s="151">
        <f ca="1">IF(RegimeExecucao="Global","",ORÇAMENTO!T373)</f>
        <v>414.8</v>
      </c>
      <c r="H373" s="151">
        <f ca="1">IF(RegimeExecucao="Global","",ORÇAMENTO!W373)</f>
        <v>0</v>
      </c>
      <c r="I373" s="154">
        <f ca="1">ORÇAMENTO!X373</f>
        <v>0</v>
      </c>
      <c r="J373" s="427">
        <f t="shared" ca="1" si="59"/>
        <v>0</v>
      </c>
      <c r="K373" s="151">
        <f t="shared" ca="1" si="60"/>
        <v>0</v>
      </c>
      <c r="L373" s="428">
        <f t="shared" ca="1" si="61"/>
        <v>0</v>
      </c>
      <c r="M373" s="429">
        <f ca="1">IF($A373="S",VTOTALBM,IF($A373=0,0,ROUND(SomaAgrupBM,15-13*ORÇAMENTO!$AF$11)))</f>
        <v>0</v>
      </c>
      <c r="N373" s="430">
        <f t="shared" ca="1" si="62"/>
        <v>0</v>
      </c>
      <c r="O373" s="154">
        <f ca="1">IF($A373="S",VTOTALBM,IF($A373=0,0,ROUND(SomaAgrupBM,15-13*ORÇAMENTO!$AF$11)))</f>
        <v>0</v>
      </c>
      <c r="Q373" s="431"/>
      <c r="R373" s="432"/>
      <c r="T373" s="146" t="str">
        <f t="shared" ca="1" si="63"/>
        <v/>
      </c>
      <c r="U373" s="206" t="str">
        <f t="shared" ca="1" si="64"/>
        <v/>
      </c>
      <c r="V373" s="207" t="str">
        <f t="shared" ca="1" si="65"/>
        <v/>
      </c>
      <c r="W373" s="634">
        <f ca="1">IF($Y373&gt;0,CHOOSE(MATCH(RegimeExecucao,{"Unitário","Global"},0),IF($A373="S",$Y373/$X373,""),($Y373/$X373)*100),0)</f>
        <v>0</v>
      </c>
      <c r="X373" s="433" t="str">
        <f ca="1">IF($Y373&gt;0,CHOOSE(MATCH(RegimeExecucao,{"Unitário","Global"},0),IF($A373="S",ROUND($H373,ORÇAMENTO!$AF$10),""),ROUND($I373,ORÇAMENTO!$AF$11)),"")</f>
        <v/>
      </c>
      <c r="Y373" s="433">
        <f t="shared" ca="1" si="66"/>
        <v>0</v>
      </c>
      <c r="Z373" s="434"/>
      <c r="AB373" s="431"/>
      <c r="AC373" s="599"/>
      <c r="AD373" s="599"/>
      <c r="AE373" s="599"/>
      <c r="AF373" s="599"/>
      <c r="AG373" s="599"/>
      <c r="AH373" s="599"/>
      <c r="AI373" s="599"/>
      <c r="AJ373" s="599"/>
      <c r="AK373" s="599"/>
      <c r="AL373" s="599"/>
      <c r="AM373" s="432"/>
      <c r="AO373">
        <f ca="1">IF($A373="S",IF(BM!$I373=0,0,CHOOSE(MATCH(RegimeExecucao,{"Global","Unitário"},0),ROUND(ROUND(BM.MEDAcumulado,15-13*BM!$A$9)/100*BM!$I373,15-13*ORÇAMENTO!$AF$11),ROUND(ROUND(BM.MEDAcumulado,15-13*BM!$A$9)*ROUND(BM!$H373,15-13*ORÇAMENTO!$AF$10),15-13*ORÇAMENTO!$AF$11))),IF($A373=0,0,ROUND(SomaAgrupBM,15-13*ORÇAMENTO!$AF$11)))</f>
        <v>0</v>
      </c>
    </row>
    <row r="374" spans="1:41" ht="13.8" x14ac:dyDescent="0.3">
      <c r="A374" t="str">
        <f ca="1">ORÇAMENTO!C374</f>
        <v>S</v>
      </c>
      <c r="B374">
        <f ca="1">ORÇAMENTO!D374</f>
        <v>0</v>
      </c>
      <c r="C374" s="143" t="str">
        <f t="shared" ca="1" si="56"/>
        <v/>
      </c>
      <c r="D374" s="146" t="str">
        <f ca="1">ORÇAMENTO!O374</f>
        <v>-</v>
      </c>
      <c r="E374" s="206" t="str">
        <f t="shared" ca="1" si="57"/>
        <v>(abra o arquivo 'Referência 05-2024.xls)</v>
      </c>
      <c r="F374" s="207" t="str">
        <f t="shared" ca="1" si="58"/>
        <v>-</v>
      </c>
      <c r="G374" s="151">
        <f ca="1">IF(RegimeExecucao="Global","",ORÇAMENTO!T374)</f>
        <v>186</v>
      </c>
      <c r="H374" s="151">
        <f ca="1">IF(RegimeExecucao="Global","",ORÇAMENTO!W374)</f>
        <v>0</v>
      </c>
      <c r="I374" s="154">
        <f ca="1">ORÇAMENTO!X374</f>
        <v>0</v>
      </c>
      <c r="J374" s="427">
        <f t="shared" ca="1" si="59"/>
        <v>0</v>
      </c>
      <c r="K374" s="151">
        <f t="shared" ca="1" si="60"/>
        <v>0</v>
      </c>
      <c r="L374" s="428">
        <f t="shared" ca="1" si="61"/>
        <v>0</v>
      </c>
      <c r="M374" s="429">
        <f ca="1">IF($A374="S",VTOTALBM,IF($A374=0,0,ROUND(SomaAgrupBM,15-13*ORÇAMENTO!$AF$11)))</f>
        <v>0</v>
      </c>
      <c r="N374" s="430">
        <f t="shared" ca="1" si="62"/>
        <v>0</v>
      </c>
      <c r="O374" s="154">
        <f ca="1">IF($A374="S",VTOTALBM,IF($A374=0,0,ROUND(SomaAgrupBM,15-13*ORÇAMENTO!$AF$11)))</f>
        <v>0</v>
      </c>
      <c r="Q374" s="431"/>
      <c r="R374" s="432"/>
      <c r="T374" s="146" t="str">
        <f t="shared" ca="1" si="63"/>
        <v/>
      </c>
      <c r="U374" s="206" t="str">
        <f t="shared" ca="1" si="64"/>
        <v/>
      </c>
      <c r="V374" s="207" t="str">
        <f t="shared" ca="1" si="65"/>
        <v/>
      </c>
      <c r="W374" s="634">
        <f ca="1">IF($Y374&gt;0,CHOOSE(MATCH(RegimeExecucao,{"Unitário","Global"},0),IF($A374="S",$Y374/$X374,""),($Y374/$X374)*100),0)</f>
        <v>0</v>
      </c>
      <c r="X374" s="433" t="str">
        <f ca="1">IF($Y374&gt;0,CHOOSE(MATCH(RegimeExecucao,{"Unitário","Global"},0),IF($A374="S",ROUND($H374,ORÇAMENTO!$AF$10),""),ROUND($I374,ORÇAMENTO!$AF$11)),"")</f>
        <v/>
      </c>
      <c r="Y374" s="433">
        <f t="shared" ca="1" si="66"/>
        <v>0</v>
      </c>
      <c r="Z374" s="434"/>
      <c r="AB374" s="431"/>
      <c r="AC374" s="599"/>
      <c r="AD374" s="599"/>
      <c r="AE374" s="599"/>
      <c r="AF374" s="599"/>
      <c r="AG374" s="599"/>
      <c r="AH374" s="599"/>
      <c r="AI374" s="599"/>
      <c r="AJ374" s="599"/>
      <c r="AK374" s="599"/>
      <c r="AL374" s="599"/>
      <c r="AM374" s="432"/>
      <c r="AO374">
        <f ca="1">IF($A374="S",IF(BM!$I374=0,0,CHOOSE(MATCH(RegimeExecucao,{"Global","Unitário"},0),ROUND(ROUND(BM.MEDAcumulado,15-13*BM!$A$9)/100*BM!$I374,15-13*ORÇAMENTO!$AF$11),ROUND(ROUND(BM.MEDAcumulado,15-13*BM!$A$9)*ROUND(BM!$H374,15-13*ORÇAMENTO!$AF$10),15-13*ORÇAMENTO!$AF$11))),IF($A374=0,0,ROUND(SomaAgrupBM,15-13*ORÇAMENTO!$AF$11)))</f>
        <v>0</v>
      </c>
    </row>
    <row r="375" spans="1:41" ht="13.8" x14ac:dyDescent="0.3">
      <c r="A375" t="str">
        <f ca="1">ORÇAMENTO!C375</f>
        <v>S</v>
      </c>
      <c r="B375">
        <f ca="1">ORÇAMENTO!D375</f>
        <v>0</v>
      </c>
      <c r="C375" s="143" t="str">
        <f t="shared" ca="1" si="56"/>
        <v/>
      </c>
      <c r="D375" s="146" t="str">
        <f ca="1">ORÇAMENTO!O375</f>
        <v>-</v>
      </c>
      <c r="E375" s="206" t="str">
        <f t="shared" ca="1" si="57"/>
        <v>(abra o arquivo 'Referência 05-2024.xls)</v>
      </c>
      <c r="F375" s="207" t="str">
        <f t="shared" ca="1" si="58"/>
        <v>-</v>
      </c>
      <c r="G375" s="151">
        <f ca="1">IF(RegimeExecucao="Global","",ORÇAMENTO!T375)</f>
        <v>58.4</v>
      </c>
      <c r="H375" s="151">
        <f ca="1">IF(RegimeExecucao="Global","",ORÇAMENTO!W375)</f>
        <v>0</v>
      </c>
      <c r="I375" s="154">
        <f ca="1">ORÇAMENTO!X375</f>
        <v>0</v>
      </c>
      <c r="J375" s="427">
        <f t="shared" ca="1" si="59"/>
        <v>0</v>
      </c>
      <c r="K375" s="151">
        <f t="shared" ca="1" si="60"/>
        <v>0</v>
      </c>
      <c r="L375" s="428">
        <f t="shared" ca="1" si="61"/>
        <v>0</v>
      </c>
      <c r="M375" s="429">
        <f ca="1">IF($A375="S",VTOTALBM,IF($A375=0,0,ROUND(SomaAgrupBM,15-13*ORÇAMENTO!$AF$11)))</f>
        <v>0</v>
      </c>
      <c r="N375" s="430">
        <f t="shared" ca="1" si="62"/>
        <v>0</v>
      </c>
      <c r="O375" s="154">
        <f ca="1">IF($A375="S",VTOTALBM,IF($A375=0,0,ROUND(SomaAgrupBM,15-13*ORÇAMENTO!$AF$11)))</f>
        <v>0</v>
      </c>
      <c r="Q375" s="431"/>
      <c r="R375" s="432"/>
      <c r="T375" s="146" t="str">
        <f t="shared" ca="1" si="63"/>
        <v/>
      </c>
      <c r="U375" s="206" t="str">
        <f t="shared" ca="1" si="64"/>
        <v/>
      </c>
      <c r="V375" s="207" t="str">
        <f t="shared" ca="1" si="65"/>
        <v/>
      </c>
      <c r="W375" s="634">
        <f ca="1">IF($Y375&gt;0,CHOOSE(MATCH(RegimeExecucao,{"Unitário","Global"},0),IF($A375="S",$Y375/$X375,""),($Y375/$X375)*100),0)</f>
        <v>0</v>
      </c>
      <c r="X375" s="433" t="str">
        <f ca="1">IF($Y375&gt;0,CHOOSE(MATCH(RegimeExecucao,{"Unitário","Global"},0),IF($A375="S",ROUND($H375,ORÇAMENTO!$AF$10),""),ROUND($I375,ORÇAMENTO!$AF$11)),"")</f>
        <v/>
      </c>
      <c r="Y375" s="433">
        <f t="shared" ca="1" si="66"/>
        <v>0</v>
      </c>
      <c r="Z375" s="434"/>
      <c r="AB375" s="431"/>
      <c r="AC375" s="599"/>
      <c r="AD375" s="599"/>
      <c r="AE375" s="599"/>
      <c r="AF375" s="599"/>
      <c r="AG375" s="599"/>
      <c r="AH375" s="599"/>
      <c r="AI375" s="599"/>
      <c r="AJ375" s="599"/>
      <c r="AK375" s="599"/>
      <c r="AL375" s="599"/>
      <c r="AM375" s="432"/>
      <c r="AO375">
        <f ca="1">IF($A375="S",IF(BM!$I375=0,0,CHOOSE(MATCH(RegimeExecucao,{"Global","Unitário"},0),ROUND(ROUND(BM.MEDAcumulado,15-13*BM!$A$9)/100*BM!$I375,15-13*ORÇAMENTO!$AF$11),ROUND(ROUND(BM.MEDAcumulado,15-13*BM!$A$9)*ROUND(BM!$H375,15-13*ORÇAMENTO!$AF$10),15-13*ORÇAMENTO!$AF$11))),IF($A375=0,0,ROUND(SomaAgrupBM,15-13*ORÇAMENTO!$AF$11)))</f>
        <v>0</v>
      </c>
    </row>
    <row r="376" spans="1:41" ht="13.8" x14ac:dyDescent="0.3">
      <c r="A376" t="str">
        <f ca="1">ORÇAMENTO!C376</f>
        <v>S</v>
      </c>
      <c r="B376">
        <f ca="1">ORÇAMENTO!D376</f>
        <v>0</v>
      </c>
      <c r="C376" s="143" t="str">
        <f t="shared" ca="1" si="56"/>
        <v/>
      </c>
      <c r="D376" s="146" t="str">
        <f ca="1">ORÇAMENTO!O376</f>
        <v>-</v>
      </c>
      <c r="E376" s="206" t="str">
        <f t="shared" ca="1" si="57"/>
        <v>(abra o arquivo 'Referência 05-2024.xls)</v>
      </c>
      <c r="F376" s="207" t="str">
        <f t="shared" ca="1" si="58"/>
        <v>-</v>
      </c>
      <c r="G376" s="151">
        <f ca="1">IF(RegimeExecucao="Global","",ORÇAMENTO!T376)</f>
        <v>103.6</v>
      </c>
      <c r="H376" s="151">
        <f ca="1">IF(RegimeExecucao="Global","",ORÇAMENTO!W376)</f>
        <v>0</v>
      </c>
      <c r="I376" s="154">
        <f ca="1">ORÇAMENTO!X376</f>
        <v>0</v>
      </c>
      <c r="J376" s="427">
        <f t="shared" ca="1" si="59"/>
        <v>0</v>
      </c>
      <c r="K376" s="151">
        <f t="shared" ca="1" si="60"/>
        <v>0</v>
      </c>
      <c r="L376" s="428">
        <f t="shared" ca="1" si="61"/>
        <v>0</v>
      </c>
      <c r="M376" s="429">
        <f ca="1">IF($A376="S",VTOTALBM,IF($A376=0,0,ROUND(SomaAgrupBM,15-13*ORÇAMENTO!$AF$11)))</f>
        <v>0</v>
      </c>
      <c r="N376" s="430">
        <f t="shared" ca="1" si="62"/>
        <v>0</v>
      </c>
      <c r="O376" s="154">
        <f ca="1">IF($A376="S",VTOTALBM,IF($A376=0,0,ROUND(SomaAgrupBM,15-13*ORÇAMENTO!$AF$11)))</f>
        <v>0</v>
      </c>
      <c r="Q376" s="431"/>
      <c r="R376" s="432"/>
      <c r="T376" s="146" t="str">
        <f t="shared" ca="1" si="63"/>
        <v/>
      </c>
      <c r="U376" s="206" t="str">
        <f t="shared" ca="1" si="64"/>
        <v/>
      </c>
      <c r="V376" s="207" t="str">
        <f t="shared" ca="1" si="65"/>
        <v/>
      </c>
      <c r="W376" s="634">
        <f ca="1">IF($Y376&gt;0,CHOOSE(MATCH(RegimeExecucao,{"Unitário","Global"},0),IF($A376="S",$Y376/$X376,""),($Y376/$X376)*100),0)</f>
        <v>0</v>
      </c>
      <c r="X376" s="433" t="str">
        <f ca="1">IF($Y376&gt;0,CHOOSE(MATCH(RegimeExecucao,{"Unitário","Global"},0),IF($A376="S",ROUND($H376,ORÇAMENTO!$AF$10),""),ROUND($I376,ORÇAMENTO!$AF$11)),"")</f>
        <v/>
      </c>
      <c r="Y376" s="433">
        <f t="shared" ca="1" si="66"/>
        <v>0</v>
      </c>
      <c r="Z376" s="434"/>
      <c r="AB376" s="431"/>
      <c r="AC376" s="599"/>
      <c r="AD376" s="599"/>
      <c r="AE376" s="599"/>
      <c r="AF376" s="599"/>
      <c r="AG376" s="599"/>
      <c r="AH376" s="599"/>
      <c r="AI376" s="599"/>
      <c r="AJ376" s="599"/>
      <c r="AK376" s="599"/>
      <c r="AL376" s="599"/>
      <c r="AM376" s="432"/>
      <c r="AO376">
        <f ca="1">IF($A376="S",IF(BM!$I376=0,0,CHOOSE(MATCH(RegimeExecucao,{"Global","Unitário"},0),ROUND(ROUND(BM.MEDAcumulado,15-13*BM!$A$9)/100*BM!$I376,15-13*ORÇAMENTO!$AF$11),ROUND(ROUND(BM.MEDAcumulado,15-13*BM!$A$9)*ROUND(BM!$H376,15-13*ORÇAMENTO!$AF$10),15-13*ORÇAMENTO!$AF$11))),IF($A376=0,0,ROUND(SomaAgrupBM,15-13*ORÇAMENTO!$AF$11)))</f>
        <v>0</v>
      </c>
    </row>
    <row r="377" spans="1:41" ht="13.8" x14ac:dyDescent="0.3">
      <c r="A377" t="str">
        <f ca="1">ORÇAMENTO!C377</f>
        <v>S</v>
      </c>
      <c r="B377">
        <f ca="1">ORÇAMENTO!D377</f>
        <v>0</v>
      </c>
      <c r="C377" s="143" t="str">
        <f t="shared" ca="1" si="56"/>
        <v/>
      </c>
      <c r="D377" s="146" t="str">
        <f ca="1">ORÇAMENTO!O377</f>
        <v>-</v>
      </c>
      <c r="E377" s="206" t="str">
        <f t="shared" ca="1" si="57"/>
        <v>(abra o arquivo 'Referência 05-2024.xls)</v>
      </c>
      <c r="F377" s="207" t="str">
        <f t="shared" ca="1" si="58"/>
        <v>-</v>
      </c>
      <c r="G377" s="151">
        <f ca="1">IF(RegimeExecucao="Global","",ORÇAMENTO!T377)</f>
        <v>13</v>
      </c>
      <c r="H377" s="151">
        <f ca="1">IF(RegimeExecucao="Global","",ORÇAMENTO!W377)</f>
        <v>0</v>
      </c>
      <c r="I377" s="154">
        <f ca="1">ORÇAMENTO!X377</f>
        <v>0</v>
      </c>
      <c r="J377" s="427">
        <f t="shared" ca="1" si="59"/>
        <v>0</v>
      </c>
      <c r="K377" s="151">
        <f t="shared" ca="1" si="60"/>
        <v>0</v>
      </c>
      <c r="L377" s="428">
        <f t="shared" ca="1" si="61"/>
        <v>0</v>
      </c>
      <c r="M377" s="429">
        <f ca="1">IF($A377="S",VTOTALBM,IF($A377=0,0,ROUND(SomaAgrupBM,15-13*ORÇAMENTO!$AF$11)))</f>
        <v>0</v>
      </c>
      <c r="N377" s="430">
        <f t="shared" ca="1" si="62"/>
        <v>0</v>
      </c>
      <c r="O377" s="154">
        <f ca="1">IF($A377="S",VTOTALBM,IF($A377=0,0,ROUND(SomaAgrupBM,15-13*ORÇAMENTO!$AF$11)))</f>
        <v>0</v>
      </c>
      <c r="Q377" s="431"/>
      <c r="R377" s="432"/>
      <c r="T377" s="146" t="str">
        <f t="shared" ca="1" si="63"/>
        <v/>
      </c>
      <c r="U377" s="206" t="str">
        <f t="shared" ca="1" si="64"/>
        <v/>
      </c>
      <c r="V377" s="207" t="str">
        <f t="shared" ca="1" si="65"/>
        <v/>
      </c>
      <c r="W377" s="634">
        <f ca="1">IF($Y377&gt;0,CHOOSE(MATCH(RegimeExecucao,{"Unitário","Global"},0),IF($A377="S",$Y377/$X377,""),($Y377/$X377)*100),0)</f>
        <v>0</v>
      </c>
      <c r="X377" s="433" t="str">
        <f ca="1">IF($Y377&gt;0,CHOOSE(MATCH(RegimeExecucao,{"Unitário","Global"},0),IF($A377="S",ROUND($H377,ORÇAMENTO!$AF$10),""),ROUND($I377,ORÇAMENTO!$AF$11)),"")</f>
        <v/>
      </c>
      <c r="Y377" s="433">
        <f t="shared" ca="1" si="66"/>
        <v>0</v>
      </c>
      <c r="Z377" s="434"/>
      <c r="AB377" s="431"/>
      <c r="AC377" s="599"/>
      <c r="AD377" s="599"/>
      <c r="AE377" s="599"/>
      <c r="AF377" s="599"/>
      <c r="AG377" s="599"/>
      <c r="AH377" s="599"/>
      <c r="AI377" s="599"/>
      <c r="AJ377" s="599"/>
      <c r="AK377" s="599"/>
      <c r="AL377" s="599"/>
      <c r="AM377" s="432"/>
      <c r="AO377">
        <f ca="1">IF($A377="S",IF(BM!$I377=0,0,CHOOSE(MATCH(RegimeExecucao,{"Global","Unitário"},0),ROUND(ROUND(BM.MEDAcumulado,15-13*BM!$A$9)/100*BM!$I377,15-13*ORÇAMENTO!$AF$11),ROUND(ROUND(BM.MEDAcumulado,15-13*BM!$A$9)*ROUND(BM!$H377,15-13*ORÇAMENTO!$AF$10),15-13*ORÇAMENTO!$AF$11))),IF($A377=0,0,ROUND(SomaAgrupBM,15-13*ORÇAMENTO!$AF$11)))</f>
        <v>0</v>
      </c>
    </row>
    <row r="378" spans="1:41" ht="13.8" x14ac:dyDescent="0.3">
      <c r="A378" t="str">
        <f ca="1">ORÇAMENTO!C378</f>
        <v>S</v>
      </c>
      <c r="B378">
        <f ca="1">ORÇAMENTO!D378</f>
        <v>0</v>
      </c>
      <c r="C378" s="143" t="str">
        <f t="shared" ca="1" si="56"/>
        <v/>
      </c>
      <c r="D378" s="146" t="str">
        <f ca="1">ORÇAMENTO!O378</f>
        <v>-</v>
      </c>
      <c r="E378" s="206" t="str">
        <f t="shared" ca="1" si="57"/>
        <v>(abra o arquivo 'Referência 05-2024.xls)</v>
      </c>
      <c r="F378" s="207" t="str">
        <f t="shared" ca="1" si="58"/>
        <v>-</v>
      </c>
      <c r="G378" s="151">
        <f ca="1">IF(RegimeExecucao="Global","",ORÇAMENTO!T378)</f>
        <v>4</v>
      </c>
      <c r="H378" s="151">
        <f ca="1">IF(RegimeExecucao="Global","",ORÇAMENTO!W378)</f>
        <v>0</v>
      </c>
      <c r="I378" s="154">
        <f ca="1">ORÇAMENTO!X378</f>
        <v>0</v>
      </c>
      <c r="J378" s="427">
        <f t="shared" ca="1" si="59"/>
        <v>0</v>
      </c>
      <c r="K378" s="151">
        <f t="shared" ca="1" si="60"/>
        <v>0</v>
      </c>
      <c r="L378" s="428">
        <f t="shared" ca="1" si="61"/>
        <v>0</v>
      </c>
      <c r="M378" s="429">
        <f ca="1">IF($A378="S",VTOTALBM,IF($A378=0,0,ROUND(SomaAgrupBM,15-13*ORÇAMENTO!$AF$11)))</f>
        <v>0</v>
      </c>
      <c r="N378" s="430">
        <f t="shared" ca="1" si="62"/>
        <v>0</v>
      </c>
      <c r="O378" s="154">
        <f ca="1">IF($A378="S",VTOTALBM,IF($A378=0,0,ROUND(SomaAgrupBM,15-13*ORÇAMENTO!$AF$11)))</f>
        <v>0</v>
      </c>
      <c r="Q378" s="431"/>
      <c r="R378" s="432"/>
      <c r="T378" s="146" t="str">
        <f t="shared" ca="1" si="63"/>
        <v/>
      </c>
      <c r="U378" s="206" t="str">
        <f t="shared" ca="1" si="64"/>
        <v/>
      </c>
      <c r="V378" s="207" t="str">
        <f t="shared" ca="1" si="65"/>
        <v/>
      </c>
      <c r="W378" s="634">
        <f ca="1">IF($Y378&gt;0,CHOOSE(MATCH(RegimeExecucao,{"Unitário","Global"},0),IF($A378="S",$Y378/$X378,""),($Y378/$X378)*100),0)</f>
        <v>0</v>
      </c>
      <c r="X378" s="433" t="str">
        <f ca="1">IF($Y378&gt;0,CHOOSE(MATCH(RegimeExecucao,{"Unitário","Global"},0),IF($A378="S",ROUND($H378,ORÇAMENTO!$AF$10),""),ROUND($I378,ORÇAMENTO!$AF$11)),"")</f>
        <v/>
      </c>
      <c r="Y378" s="433">
        <f t="shared" ca="1" si="66"/>
        <v>0</v>
      </c>
      <c r="Z378" s="434"/>
      <c r="AB378" s="431"/>
      <c r="AC378" s="599"/>
      <c r="AD378" s="599"/>
      <c r="AE378" s="599"/>
      <c r="AF378" s="599"/>
      <c r="AG378" s="599"/>
      <c r="AH378" s="599"/>
      <c r="AI378" s="599"/>
      <c r="AJ378" s="599"/>
      <c r="AK378" s="599"/>
      <c r="AL378" s="599"/>
      <c r="AM378" s="432"/>
      <c r="AO378">
        <f ca="1">IF($A378="S",IF(BM!$I378=0,0,CHOOSE(MATCH(RegimeExecucao,{"Global","Unitário"},0),ROUND(ROUND(BM.MEDAcumulado,15-13*BM!$A$9)/100*BM!$I378,15-13*ORÇAMENTO!$AF$11),ROUND(ROUND(BM.MEDAcumulado,15-13*BM!$A$9)*ROUND(BM!$H378,15-13*ORÇAMENTO!$AF$10),15-13*ORÇAMENTO!$AF$11))),IF($A378=0,0,ROUND(SomaAgrupBM,15-13*ORÇAMENTO!$AF$11)))</f>
        <v>0</v>
      </c>
    </row>
    <row r="379" spans="1:41" ht="13.8" x14ac:dyDescent="0.3">
      <c r="A379" t="str">
        <f ca="1">ORÇAMENTO!C379</f>
        <v>S</v>
      </c>
      <c r="B379">
        <f ca="1">ORÇAMENTO!D379</f>
        <v>0</v>
      </c>
      <c r="C379" s="143" t="str">
        <f t="shared" ca="1" si="56"/>
        <v/>
      </c>
      <c r="D379" s="146" t="str">
        <f ca="1">ORÇAMENTO!O379</f>
        <v>-</v>
      </c>
      <c r="E379" s="206" t="str">
        <f t="shared" ca="1" si="57"/>
        <v>(abra o arquivo 'Referência 05-2024.xls)</v>
      </c>
      <c r="F379" s="207" t="str">
        <f t="shared" ca="1" si="58"/>
        <v>-</v>
      </c>
      <c r="G379" s="151">
        <f ca="1">IF(RegimeExecucao="Global","",ORÇAMENTO!T379)</f>
        <v>129</v>
      </c>
      <c r="H379" s="151">
        <f ca="1">IF(RegimeExecucao="Global","",ORÇAMENTO!W379)</f>
        <v>0</v>
      </c>
      <c r="I379" s="154">
        <f ca="1">ORÇAMENTO!X379</f>
        <v>0</v>
      </c>
      <c r="J379" s="427">
        <f t="shared" ca="1" si="59"/>
        <v>0</v>
      </c>
      <c r="K379" s="151">
        <f t="shared" ca="1" si="60"/>
        <v>0</v>
      </c>
      <c r="L379" s="428">
        <f t="shared" ca="1" si="61"/>
        <v>0</v>
      </c>
      <c r="M379" s="429">
        <f ca="1">IF($A379="S",VTOTALBM,IF($A379=0,0,ROUND(SomaAgrupBM,15-13*ORÇAMENTO!$AF$11)))</f>
        <v>0</v>
      </c>
      <c r="N379" s="430">
        <f t="shared" ca="1" si="62"/>
        <v>0</v>
      </c>
      <c r="O379" s="154">
        <f ca="1">IF($A379="S",VTOTALBM,IF($A379=0,0,ROUND(SomaAgrupBM,15-13*ORÇAMENTO!$AF$11)))</f>
        <v>0</v>
      </c>
      <c r="Q379" s="431"/>
      <c r="R379" s="432"/>
      <c r="T379" s="146" t="str">
        <f t="shared" ca="1" si="63"/>
        <v/>
      </c>
      <c r="U379" s="206" t="str">
        <f t="shared" ca="1" si="64"/>
        <v/>
      </c>
      <c r="V379" s="207" t="str">
        <f t="shared" ca="1" si="65"/>
        <v/>
      </c>
      <c r="W379" s="634">
        <f ca="1">IF($Y379&gt;0,CHOOSE(MATCH(RegimeExecucao,{"Unitário","Global"},0),IF($A379="S",$Y379/$X379,""),($Y379/$X379)*100),0)</f>
        <v>0</v>
      </c>
      <c r="X379" s="433" t="str">
        <f ca="1">IF($Y379&gt;0,CHOOSE(MATCH(RegimeExecucao,{"Unitário","Global"},0),IF($A379="S",ROUND($H379,ORÇAMENTO!$AF$10),""),ROUND($I379,ORÇAMENTO!$AF$11)),"")</f>
        <v/>
      </c>
      <c r="Y379" s="433">
        <f t="shared" ca="1" si="66"/>
        <v>0</v>
      </c>
      <c r="Z379" s="434"/>
      <c r="AB379" s="431"/>
      <c r="AC379" s="599"/>
      <c r="AD379" s="599"/>
      <c r="AE379" s="599"/>
      <c r="AF379" s="599"/>
      <c r="AG379" s="599"/>
      <c r="AH379" s="599"/>
      <c r="AI379" s="599"/>
      <c r="AJ379" s="599"/>
      <c r="AK379" s="599"/>
      <c r="AL379" s="599"/>
      <c r="AM379" s="432"/>
      <c r="AO379">
        <f ca="1">IF($A379="S",IF(BM!$I379=0,0,CHOOSE(MATCH(RegimeExecucao,{"Global","Unitário"},0),ROUND(ROUND(BM.MEDAcumulado,15-13*BM!$A$9)/100*BM!$I379,15-13*ORÇAMENTO!$AF$11),ROUND(ROUND(BM.MEDAcumulado,15-13*BM!$A$9)*ROUND(BM!$H379,15-13*ORÇAMENTO!$AF$10),15-13*ORÇAMENTO!$AF$11))),IF($A379=0,0,ROUND(SomaAgrupBM,15-13*ORÇAMENTO!$AF$11)))</f>
        <v>0</v>
      </c>
    </row>
    <row r="380" spans="1:41" ht="13.8" x14ac:dyDescent="0.3">
      <c r="A380" t="str">
        <f ca="1">ORÇAMENTO!C380</f>
        <v>S</v>
      </c>
      <c r="B380">
        <f ca="1">ORÇAMENTO!D380</f>
        <v>0</v>
      </c>
      <c r="C380" s="143" t="str">
        <f t="shared" ca="1" si="56"/>
        <v/>
      </c>
      <c r="D380" s="146" t="str">
        <f ca="1">ORÇAMENTO!O380</f>
        <v>-</v>
      </c>
      <c r="E380" s="206" t="str">
        <f t="shared" ca="1" si="57"/>
        <v>(abra o arquivo 'Referência 05-2024.xls)</v>
      </c>
      <c r="F380" s="207" t="str">
        <f t="shared" ca="1" si="58"/>
        <v>-</v>
      </c>
      <c r="G380" s="151">
        <f ca="1">IF(RegimeExecucao="Global","",ORÇAMENTO!T380)</f>
        <v>34</v>
      </c>
      <c r="H380" s="151">
        <f ca="1">IF(RegimeExecucao="Global","",ORÇAMENTO!W380)</f>
        <v>0</v>
      </c>
      <c r="I380" s="154">
        <f ca="1">ORÇAMENTO!X380</f>
        <v>0</v>
      </c>
      <c r="J380" s="427">
        <f t="shared" ca="1" si="59"/>
        <v>0</v>
      </c>
      <c r="K380" s="151">
        <f t="shared" ca="1" si="60"/>
        <v>0</v>
      </c>
      <c r="L380" s="428">
        <f t="shared" ca="1" si="61"/>
        <v>0</v>
      </c>
      <c r="M380" s="429">
        <f ca="1">IF($A380="S",VTOTALBM,IF($A380=0,0,ROUND(SomaAgrupBM,15-13*ORÇAMENTO!$AF$11)))</f>
        <v>0</v>
      </c>
      <c r="N380" s="430">
        <f t="shared" ca="1" si="62"/>
        <v>0</v>
      </c>
      <c r="O380" s="154">
        <f ca="1">IF($A380="S",VTOTALBM,IF($A380=0,0,ROUND(SomaAgrupBM,15-13*ORÇAMENTO!$AF$11)))</f>
        <v>0</v>
      </c>
      <c r="Q380" s="431"/>
      <c r="R380" s="432"/>
      <c r="T380" s="146" t="str">
        <f t="shared" ca="1" si="63"/>
        <v/>
      </c>
      <c r="U380" s="206" t="str">
        <f t="shared" ca="1" si="64"/>
        <v/>
      </c>
      <c r="V380" s="207" t="str">
        <f t="shared" ca="1" si="65"/>
        <v/>
      </c>
      <c r="W380" s="634">
        <f ca="1">IF($Y380&gt;0,CHOOSE(MATCH(RegimeExecucao,{"Unitário","Global"},0),IF($A380="S",$Y380/$X380,""),($Y380/$X380)*100),0)</f>
        <v>0</v>
      </c>
      <c r="X380" s="433" t="str">
        <f ca="1">IF($Y380&gt;0,CHOOSE(MATCH(RegimeExecucao,{"Unitário","Global"},0),IF($A380="S",ROUND($H380,ORÇAMENTO!$AF$10),""),ROUND($I380,ORÇAMENTO!$AF$11)),"")</f>
        <v/>
      </c>
      <c r="Y380" s="433">
        <f t="shared" ca="1" si="66"/>
        <v>0</v>
      </c>
      <c r="Z380" s="434"/>
      <c r="AB380" s="431"/>
      <c r="AC380" s="599"/>
      <c r="AD380" s="599"/>
      <c r="AE380" s="599"/>
      <c r="AF380" s="599"/>
      <c r="AG380" s="599"/>
      <c r="AH380" s="599"/>
      <c r="AI380" s="599"/>
      <c r="AJ380" s="599"/>
      <c r="AK380" s="599"/>
      <c r="AL380" s="599"/>
      <c r="AM380" s="432"/>
      <c r="AO380">
        <f ca="1">IF($A380="S",IF(BM!$I380=0,0,CHOOSE(MATCH(RegimeExecucao,{"Global","Unitário"},0),ROUND(ROUND(BM.MEDAcumulado,15-13*BM!$A$9)/100*BM!$I380,15-13*ORÇAMENTO!$AF$11),ROUND(ROUND(BM.MEDAcumulado,15-13*BM!$A$9)*ROUND(BM!$H380,15-13*ORÇAMENTO!$AF$10),15-13*ORÇAMENTO!$AF$11))),IF($A380=0,0,ROUND(SomaAgrupBM,15-13*ORÇAMENTO!$AF$11)))</f>
        <v>0</v>
      </c>
    </row>
    <row r="381" spans="1:41" ht="13.8" x14ac:dyDescent="0.3">
      <c r="A381" t="str">
        <f ca="1">ORÇAMENTO!C381</f>
        <v>S</v>
      </c>
      <c r="B381">
        <f ca="1">ORÇAMENTO!D381</f>
        <v>0</v>
      </c>
      <c r="C381" s="143" t="str">
        <f t="shared" ca="1" si="56"/>
        <v/>
      </c>
      <c r="D381" s="146" t="str">
        <f ca="1">ORÇAMENTO!O381</f>
        <v>-</v>
      </c>
      <c r="E381" s="206" t="str">
        <f t="shared" ca="1" si="57"/>
        <v>(abra o arquivo 'Referência 05-2024.xls)</v>
      </c>
      <c r="F381" s="207" t="str">
        <f t="shared" ca="1" si="58"/>
        <v>-</v>
      </c>
      <c r="G381" s="151">
        <f ca="1">IF(RegimeExecucao="Global","",ORÇAMENTO!T381)</f>
        <v>7</v>
      </c>
      <c r="H381" s="151">
        <f ca="1">IF(RegimeExecucao="Global","",ORÇAMENTO!W381)</f>
        <v>0</v>
      </c>
      <c r="I381" s="154">
        <f ca="1">ORÇAMENTO!X381</f>
        <v>0</v>
      </c>
      <c r="J381" s="427">
        <f t="shared" ca="1" si="59"/>
        <v>0</v>
      </c>
      <c r="K381" s="151">
        <f t="shared" ca="1" si="60"/>
        <v>0</v>
      </c>
      <c r="L381" s="428">
        <f t="shared" ca="1" si="61"/>
        <v>0</v>
      </c>
      <c r="M381" s="429">
        <f ca="1">IF($A381="S",VTOTALBM,IF($A381=0,0,ROUND(SomaAgrupBM,15-13*ORÇAMENTO!$AF$11)))</f>
        <v>0</v>
      </c>
      <c r="N381" s="430">
        <f t="shared" ca="1" si="62"/>
        <v>0</v>
      </c>
      <c r="O381" s="154">
        <f ca="1">IF($A381="S",VTOTALBM,IF($A381=0,0,ROUND(SomaAgrupBM,15-13*ORÇAMENTO!$AF$11)))</f>
        <v>0</v>
      </c>
      <c r="Q381" s="431"/>
      <c r="R381" s="432"/>
      <c r="T381" s="146" t="str">
        <f t="shared" ca="1" si="63"/>
        <v/>
      </c>
      <c r="U381" s="206" t="str">
        <f t="shared" ca="1" si="64"/>
        <v/>
      </c>
      <c r="V381" s="207" t="str">
        <f t="shared" ca="1" si="65"/>
        <v/>
      </c>
      <c r="W381" s="634">
        <f ca="1">IF($Y381&gt;0,CHOOSE(MATCH(RegimeExecucao,{"Unitário","Global"},0),IF($A381="S",$Y381/$X381,""),($Y381/$X381)*100),0)</f>
        <v>0</v>
      </c>
      <c r="X381" s="433" t="str">
        <f ca="1">IF($Y381&gt;0,CHOOSE(MATCH(RegimeExecucao,{"Unitário","Global"},0),IF($A381="S",ROUND($H381,ORÇAMENTO!$AF$10),""),ROUND($I381,ORÇAMENTO!$AF$11)),"")</f>
        <v/>
      </c>
      <c r="Y381" s="433">
        <f t="shared" ca="1" si="66"/>
        <v>0</v>
      </c>
      <c r="Z381" s="434"/>
      <c r="AB381" s="431"/>
      <c r="AC381" s="599"/>
      <c r="AD381" s="599"/>
      <c r="AE381" s="599"/>
      <c r="AF381" s="599"/>
      <c r="AG381" s="599"/>
      <c r="AH381" s="599"/>
      <c r="AI381" s="599"/>
      <c r="AJ381" s="599"/>
      <c r="AK381" s="599"/>
      <c r="AL381" s="599"/>
      <c r="AM381" s="432"/>
      <c r="AO381">
        <f ca="1">IF($A381="S",IF(BM!$I381=0,0,CHOOSE(MATCH(RegimeExecucao,{"Global","Unitário"},0),ROUND(ROUND(BM.MEDAcumulado,15-13*BM!$A$9)/100*BM!$I381,15-13*ORÇAMENTO!$AF$11),ROUND(ROUND(BM.MEDAcumulado,15-13*BM!$A$9)*ROUND(BM!$H381,15-13*ORÇAMENTO!$AF$10),15-13*ORÇAMENTO!$AF$11))),IF($A381=0,0,ROUND(SomaAgrupBM,15-13*ORÇAMENTO!$AF$11)))</f>
        <v>0</v>
      </c>
    </row>
    <row r="382" spans="1:41" ht="13.8" x14ac:dyDescent="0.3">
      <c r="A382" t="str">
        <f ca="1">ORÇAMENTO!C382</f>
        <v>S</v>
      </c>
      <c r="B382">
        <f ca="1">ORÇAMENTO!D382</f>
        <v>0</v>
      </c>
      <c r="C382" s="143" t="str">
        <f t="shared" ca="1" si="56"/>
        <v/>
      </c>
      <c r="D382" s="146" t="str">
        <f ca="1">ORÇAMENTO!O382</f>
        <v>-</v>
      </c>
      <c r="E382" s="206" t="str">
        <f t="shared" ca="1" si="57"/>
        <v>(abra o arquivo 'Referência 05-2024.xls)</v>
      </c>
      <c r="F382" s="207" t="str">
        <f t="shared" ca="1" si="58"/>
        <v>-</v>
      </c>
      <c r="G382" s="151">
        <f ca="1">IF(RegimeExecucao="Global","",ORÇAMENTO!T382)</f>
        <v>2</v>
      </c>
      <c r="H382" s="151">
        <f ca="1">IF(RegimeExecucao="Global","",ORÇAMENTO!W382)</f>
        <v>0</v>
      </c>
      <c r="I382" s="154">
        <f ca="1">ORÇAMENTO!X382</f>
        <v>0</v>
      </c>
      <c r="J382" s="427">
        <f t="shared" ca="1" si="59"/>
        <v>0</v>
      </c>
      <c r="K382" s="151">
        <f t="shared" ca="1" si="60"/>
        <v>0</v>
      </c>
      <c r="L382" s="428">
        <f t="shared" ca="1" si="61"/>
        <v>0</v>
      </c>
      <c r="M382" s="429">
        <f ca="1">IF($A382="S",VTOTALBM,IF($A382=0,0,ROUND(SomaAgrupBM,15-13*ORÇAMENTO!$AF$11)))</f>
        <v>0</v>
      </c>
      <c r="N382" s="430">
        <f t="shared" ca="1" si="62"/>
        <v>0</v>
      </c>
      <c r="O382" s="154">
        <f ca="1">IF($A382="S",VTOTALBM,IF($A382=0,0,ROUND(SomaAgrupBM,15-13*ORÇAMENTO!$AF$11)))</f>
        <v>0</v>
      </c>
      <c r="Q382" s="431"/>
      <c r="R382" s="432"/>
      <c r="T382" s="146" t="str">
        <f t="shared" ca="1" si="63"/>
        <v/>
      </c>
      <c r="U382" s="206" t="str">
        <f t="shared" ca="1" si="64"/>
        <v/>
      </c>
      <c r="V382" s="207" t="str">
        <f t="shared" ca="1" si="65"/>
        <v/>
      </c>
      <c r="W382" s="634">
        <f ca="1">IF($Y382&gt;0,CHOOSE(MATCH(RegimeExecucao,{"Unitário","Global"},0),IF($A382="S",$Y382/$X382,""),($Y382/$X382)*100),0)</f>
        <v>0</v>
      </c>
      <c r="X382" s="433" t="str">
        <f ca="1">IF($Y382&gt;0,CHOOSE(MATCH(RegimeExecucao,{"Unitário","Global"},0),IF($A382="S",ROUND($H382,ORÇAMENTO!$AF$10),""),ROUND($I382,ORÇAMENTO!$AF$11)),"")</f>
        <v/>
      </c>
      <c r="Y382" s="433">
        <f t="shared" ca="1" si="66"/>
        <v>0</v>
      </c>
      <c r="Z382" s="434"/>
      <c r="AB382" s="431"/>
      <c r="AC382" s="599"/>
      <c r="AD382" s="599"/>
      <c r="AE382" s="599"/>
      <c r="AF382" s="599"/>
      <c r="AG382" s="599"/>
      <c r="AH382" s="599"/>
      <c r="AI382" s="599"/>
      <c r="AJ382" s="599"/>
      <c r="AK382" s="599"/>
      <c r="AL382" s="599"/>
      <c r="AM382" s="432"/>
      <c r="AO382">
        <f ca="1">IF($A382="S",IF(BM!$I382=0,0,CHOOSE(MATCH(RegimeExecucao,{"Global","Unitário"},0),ROUND(ROUND(BM.MEDAcumulado,15-13*BM!$A$9)/100*BM!$I382,15-13*ORÇAMENTO!$AF$11),ROUND(ROUND(BM.MEDAcumulado,15-13*BM!$A$9)*ROUND(BM!$H382,15-13*ORÇAMENTO!$AF$10),15-13*ORÇAMENTO!$AF$11))),IF($A382=0,0,ROUND(SomaAgrupBM,15-13*ORÇAMENTO!$AF$11)))</f>
        <v>0</v>
      </c>
    </row>
    <row r="383" spans="1:41" ht="13.8" x14ac:dyDescent="0.3">
      <c r="A383" t="str">
        <f ca="1">ORÇAMENTO!C383</f>
        <v>S</v>
      </c>
      <c r="B383">
        <f ca="1">ORÇAMENTO!D383</f>
        <v>0</v>
      </c>
      <c r="C383" s="143" t="str">
        <f t="shared" ca="1" si="56"/>
        <v/>
      </c>
      <c r="D383" s="146" t="str">
        <f ca="1">ORÇAMENTO!O383</f>
        <v>-</v>
      </c>
      <c r="E383" s="206" t="str">
        <f t="shared" ca="1" si="57"/>
        <v>(abra o arquivo 'Referência 05-2024.xls)</v>
      </c>
      <c r="F383" s="207" t="str">
        <f t="shared" ca="1" si="58"/>
        <v>-</v>
      </c>
      <c r="G383" s="151">
        <f ca="1">IF(RegimeExecucao="Global","",ORÇAMENTO!T383)</f>
        <v>33</v>
      </c>
      <c r="H383" s="151">
        <f ca="1">IF(RegimeExecucao="Global","",ORÇAMENTO!W383)</f>
        <v>0</v>
      </c>
      <c r="I383" s="154">
        <f ca="1">ORÇAMENTO!X383</f>
        <v>0</v>
      </c>
      <c r="J383" s="427">
        <f t="shared" ca="1" si="59"/>
        <v>0</v>
      </c>
      <c r="K383" s="151">
        <f t="shared" ca="1" si="60"/>
        <v>0</v>
      </c>
      <c r="L383" s="428">
        <f t="shared" ca="1" si="61"/>
        <v>0</v>
      </c>
      <c r="M383" s="429">
        <f ca="1">IF($A383="S",VTOTALBM,IF($A383=0,0,ROUND(SomaAgrupBM,15-13*ORÇAMENTO!$AF$11)))</f>
        <v>0</v>
      </c>
      <c r="N383" s="430">
        <f t="shared" ca="1" si="62"/>
        <v>0</v>
      </c>
      <c r="O383" s="154">
        <f ca="1">IF($A383="S",VTOTALBM,IF($A383=0,0,ROUND(SomaAgrupBM,15-13*ORÇAMENTO!$AF$11)))</f>
        <v>0</v>
      </c>
      <c r="Q383" s="431"/>
      <c r="R383" s="432"/>
      <c r="T383" s="146" t="str">
        <f t="shared" ca="1" si="63"/>
        <v/>
      </c>
      <c r="U383" s="206" t="str">
        <f t="shared" ca="1" si="64"/>
        <v/>
      </c>
      <c r="V383" s="207" t="str">
        <f t="shared" ca="1" si="65"/>
        <v/>
      </c>
      <c r="W383" s="634">
        <f ca="1">IF($Y383&gt;0,CHOOSE(MATCH(RegimeExecucao,{"Unitário","Global"},0),IF($A383="S",$Y383/$X383,""),($Y383/$X383)*100),0)</f>
        <v>0</v>
      </c>
      <c r="X383" s="433" t="str">
        <f ca="1">IF($Y383&gt;0,CHOOSE(MATCH(RegimeExecucao,{"Unitário","Global"},0),IF($A383="S",ROUND($H383,ORÇAMENTO!$AF$10),""),ROUND($I383,ORÇAMENTO!$AF$11)),"")</f>
        <v/>
      </c>
      <c r="Y383" s="433">
        <f t="shared" ca="1" si="66"/>
        <v>0</v>
      </c>
      <c r="Z383" s="434"/>
      <c r="AB383" s="431"/>
      <c r="AC383" s="599"/>
      <c r="AD383" s="599"/>
      <c r="AE383" s="599"/>
      <c r="AF383" s="599"/>
      <c r="AG383" s="599"/>
      <c r="AH383" s="599"/>
      <c r="AI383" s="599"/>
      <c r="AJ383" s="599"/>
      <c r="AK383" s="599"/>
      <c r="AL383" s="599"/>
      <c r="AM383" s="432"/>
      <c r="AO383">
        <f ca="1">IF($A383="S",IF(BM!$I383=0,0,CHOOSE(MATCH(RegimeExecucao,{"Global","Unitário"},0),ROUND(ROUND(BM.MEDAcumulado,15-13*BM!$A$9)/100*BM!$I383,15-13*ORÇAMENTO!$AF$11),ROUND(ROUND(BM.MEDAcumulado,15-13*BM!$A$9)*ROUND(BM!$H383,15-13*ORÇAMENTO!$AF$10),15-13*ORÇAMENTO!$AF$11))),IF($A383=0,0,ROUND(SomaAgrupBM,15-13*ORÇAMENTO!$AF$11)))</f>
        <v>0</v>
      </c>
    </row>
    <row r="384" spans="1:41" ht="13.8" x14ac:dyDescent="0.3">
      <c r="A384" t="str">
        <f ca="1">ORÇAMENTO!C384</f>
        <v>S</v>
      </c>
      <c r="B384">
        <f ca="1">ORÇAMENTO!D384</f>
        <v>0</v>
      </c>
      <c r="C384" s="143" t="str">
        <f t="shared" ca="1" si="56"/>
        <v/>
      </c>
      <c r="D384" s="146" t="str">
        <f ca="1">ORÇAMENTO!O384</f>
        <v>-</v>
      </c>
      <c r="E384" s="206" t="str">
        <f t="shared" ca="1" si="57"/>
        <v>(abra o arquivo 'Referência 05-2024.xls)</v>
      </c>
      <c r="F384" s="207" t="str">
        <f t="shared" ca="1" si="58"/>
        <v>-</v>
      </c>
      <c r="G384" s="151">
        <f ca="1">IF(RegimeExecucao="Global","",ORÇAMENTO!T384)</f>
        <v>2</v>
      </c>
      <c r="H384" s="151">
        <f ca="1">IF(RegimeExecucao="Global","",ORÇAMENTO!W384)</f>
        <v>0</v>
      </c>
      <c r="I384" s="154">
        <f ca="1">ORÇAMENTO!X384</f>
        <v>0</v>
      </c>
      <c r="J384" s="427">
        <f t="shared" ca="1" si="59"/>
        <v>0</v>
      </c>
      <c r="K384" s="151">
        <f t="shared" ca="1" si="60"/>
        <v>0</v>
      </c>
      <c r="L384" s="428">
        <f t="shared" ca="1" si="61"/>
        <v>0</v>
      </c>
      <c r="M384" s="429">
        <f ca="1">IF($A384="S",VTOTALBM,IF($A384=0,0,ROUND(SomaAgrupBM,15-13*ORÇAMENTO!$AF$11)))</f>
        <v>0</v>
      </c>
      <c r="N384" s="430">
        <f t="shared" ca="1" si="62"/>
        <v>0</v>
      </c>
      <c r="O384" s="154">
        <f ca="1">IF($A384="S",VTOTALBM,IF($A384=0,0,ROUND(SomaAgrupBM,15-13*ORÇAMENTO!$AF$11)))</f>
        <v>0</v>
      </c>
      <c r="Q384" s="431"/>
      <c r="R384" s="432"/>
      <c r="T384" s="146" t="str">
        <f t="shared" ca="1" si="63"/>
        <v/>
      </c>
      <c r="U384" s="206" t="str">
        <f t="shared" ca="1" si="64"/>
        <v/>
      </c>
      <c r="V384" s="207" t="str">
        <f t="shared" ca="1" si="65"/>
        <v/>
      </c>
      <c r="W384" s="634">
        <f ca="1">IF($Y384&gt;0,CHOOSE(MATCH(RegimeExecucao,{"Unitário","Global"},0),IF($A384="S",$Y384/$X384,""),($Y384/$X384)*100),0)</f>
        <v>0</v>
      </c>
      <c r="X384" s="433" t="str">
        <f ca="1">IF($Y384&gt;0,CHOOSE(MATCH(RegimeExecucao,{"Unitário","Global"},0),IF($A384="S",ROUND($H384,ORÇAMENTO!$AF$10),""),ROUND($I384,ORÇAMENTO!$AF$11)),"")</f>
        <v/>
      </c>
      <c r="Y384" s="433">
        <f t="shared" ca="1" si="66"/>
        <v>0</v>
      </c>
      <c r="Z384" s="434"/>
      <c r="AB384" s="431"/>
      <c r="AC384" s="599"/>
      <c r="AD384" s="599"/>
      <c r="AE384" s="599"/>
      <c r="AF384" s="599"/>
      <c r="AG384" s="599"/>
      <c r="AH384" s="599"/>
      <c r="AI384" s="599"/>
      <c r="AJ384" s="599"/>
      <c r="AK384" s="599"/>
      <c r="AL384" s="599"/>
      <c r="AM384" s="432"/>
      <c r="AO384">
        <f ca="1">IF($A384="S",IF(BM!$I384=0,0,CHOOSE(MATCH(RegimeExecucao,{"Global","Unitário"},0),ROUND(ROUND(BM.MEDAcumulado,15-13*BM!$A$9)/100*BM!$I384,15-13*ORÇAMENTO!$AF$11),ROUND(ROUND(BM.MEDAcumulado,15-13*BM!$A$9)*ROUND(BM!$H384,15-13*ORÇAMENTO!$AF$10),15-13*ORÇAMENTO!$AF$11))),IF($A384=0,0,ROUND(SomaAgrupBM,15-13*ORÇAMENTO!$AF$11)))</f>
        <v>0</v>
      </c>
    </row>
    <row r="385" spans="1:41" ht="13.8" x14ac:dyDescent="0.3">
      <c r="A385" t="str">
        <f ca="1">ORÇAMENTO!C385</f>
        <v>S</v>
      </c>
      <c r="B385">
        <f ca="1">ORÇAMENTO!D385</f>
        <v>0</v>
      </c>
      <c r="C385" s="143" t="str">
        <f t="shared" ca="1" si="56"/>
        <v/>
      </c>
      <c r="D385" s="146" t="str">
        <f ca="1">ORÇAMENTO!O385</f>
        <v>-</v>
      </c>
      <c r="E385" s="206" t="str">
        <f t="shared" ca="1" si="57"/>
        <v>(abra o arquivo 'Referência 05-2024.xls)</v>
      </c>
      <c r="F385" s="207" t="str">
        <f t="shared" ca="1" si="58"/>
        <v>-</v>
      </c>
      <c r="G385" s="151">
        <f ca="1">IF(RegimeExecucao="Global","",ORÇAMENTO!T385)</f>
        <v>7</v>
      </c>
      <c r="H385" s="151">
        <f ca="1">IF(RegimeExecucao="Global","",ORÇAMENTO!W385)</f>
        <v>0</v>
      </c>
      <c r="I385" s="154">
        <f ca="1">ORÇAMENTO!X385</f>
        <v>0</v>
      </c>
      <c r="J385" s="427">
        <f t="shared" ca="1" si="59"/>
        <v>0</v>
      </c>
      <c r="K385" s="151">
        <f t="shared" ca="1" si="60"/>
        <v>0</v>
      </c>
      <c r="L385" s="428">
        <f t="shared" ca="1" si="61"/>
        <v>0</v>
      </c>
      <c r="M385" s="429">
        <f ca="1">IF($A385="S",VTOTALBM,IF($A385=0,0,ROUND(SomaAgrupBM,15-13*ORÇAMENTO!$AF$11)))</f>
        <v>0</v>
      </c>
      <c r="N385" s="430">
        <f t="shared" ca="1" si="62"/>
        <v>0</v>
      </c>
      <c r="O385" s="154">
        <f ca="1">IF($A385="S",VTOTALBM,IF($A385=0,0,ROUND(SomaAgrupBM,15-13*ORÇAMENTO!$AF$11)))</f>
        <v>0</v>
      </c>
      <c r="Q385" s="431"/>
      <c r="R385" s="432"/>
      <c r="T385" s="146" t="str">
        <f t="shared" ca="1" si="63"/>
        <v/>
      </c>
      <c r="U385" s="206" t="str">
        <f t="shared" ca="1" si="64"/>
        <v/>
      </c>
      <c r="V385" s="207" t="str">
        <f t="shared" ca="1" si="65"/>
        <v/>
      </c>
      <c r="W385" s="634">
        <f ca="1">IF($Y385&gt;0,CHOOSE(MATCH(RegimeExecucao,{"Unitário","Global"},0),IF($A385="S",$Y385/$X385,""),($Y385/$X385)*100),0)</f>
        <v>0</v>
      </c>
      <c r="X385" s="433" t="str">
        <f ca="1">IF($Y385&gt;0,CHOOSE(MATCH(RegimeExecucao,{"Unitário","Global"},0),IF($A385="S",ROUND($H385,ORÇAMENTO!$AF$10),""),ROUND($I385,ORÇAMENTO!$AF$11)),"")</f>
        <v/>
      </c>
      <c r="Y385" s="433">
        <f t="shared" ca="1" si="66"/>
        <v>0</v>
      </c>
      <c r="Z385" s="434"/>
      <c r="AB385" s="431"/>
      <c r="AC385" s="599"/>
      <c r="AD385" s="599"/>
      <c r="AE385" s="599"/>
      <c r="AF385" s="599"/>
      <c r="AG385" s="599"/>
      <c r="AH385" s="599"/>
      <c r="AI385" s="599"/>
      <c r="AJ385" s="599"/>
      <c r="AK385" s="599"/>
      <c r="AL385" s="599"/>
      <c r="AM385" s="432"/>
      <c r="AO385">
        <f ca="1">IF($A385="S",IF(BM!$I385=0,0,CHOOSE(MATCH(RegimeExecucao,{"Global","Unitário"},0),ROUND(ROUND(BM.MEDAcumulado,15-13*BM!$A$9)/100*BM!$I385,15-13*ORÇAMENTO!$AF$11),ROUND(ROUND(BM.MEDAcumulado,15-13*BM!$A$9)*ROUND(BM!$H385,15-13*ORÇAMENTO!$AF$10),15-13*ORÇAMENTO!$AF$11))),IF($A385=0,0,ROUND(SomaAgrupBM,15-13*ORÇAMENTO!$AF$11)))</f>
        <v>0</v>
      </c>
    </row>
    <row r="386" spans="1:41" ht="13.8" x14ac:dyDescent="0.3">
      <c r="A386">
        <f ca="1">ORÇAMENTO!C386</f>
        <v>3</v>
      </c>
      <c r="B386">
        <f ca="1">ORÇAMENTO!D386</f>
        <v>4</v>
      </c>
      <c r="C386" s="143" t="str">
        <f t="shared" ca="1" si="56"/>
        <v>F</v>
      </c>
      <c r="D386" s="146" t="str">
        <f ca="1">ORÇAMENTO!O386</f>
        <v>1.13.2.</v>
      </c>
      <c r="E386" s="206" t="str">
        <f t="shared" si="57"/>
        <v>ACESSÓRIOS</v>
      </c>
      <c r="F386" s="207" t="str">
        <f t="shared" ca="1" si="58"/>
        <v>-</v>
      </c>
      <c r="G386" s="151">
        <f ca="1">IF(RegimeExecucao="Global","",ORÇAMENTO!T386)</f>
        <v>0</v>
      </c>
      <c r="H386" s="151">
        <f ca="1">IF(RegimeExecucao="Global","",ORÇAMENTO!W386)</f>
        <v>0</v>
      </c>
      <c r="I386" s="154">
        <f ca="1">ORÇAMENTO!X386</f>
        <v>0</v>
      </c>
      <c r="J386" s="427">
        <f t="shared" ca="1" si="59"/>
        <v>0</v>
      </c>
      <c r="K386" s="151">
        <f t="shared" ca="1" si="60"/>
        <v>0</v>
      </c>
      <c r="L386" s="428">
        <f t="shared" ca="1" si="61"/>
        <v>0</v>
      </c>
      <c r="M386" s="429">
        <f ca="1">IF($A386="S",VTOTALBM,IF($A386=0,0,ROUND(SomaAgrupBM,15-13*ORÇAMENTO!$AF$11)))</f>
        <v>0</v>
      </c>
      <c r="N386" s="430">
        <f t="shared" ca="1" si="62"/>
        <v>0</v>
      </c>
      <c r="O386" s="154">
        <f ca="1">IF($A386="S",VTOTALBM,IF($A386=0,0,ROUND(SomaAgrupBM,15-13*ORÇAMENTO!$AF$11)))</f>
        <v>0</v>
      </c>
      <c r="Q386" s="431"/>
      <c r="R386" s="432"/>
      <c r="T386" s="146" t="str">
        <f t="shared" ca="1" si="63"/>
        <v/>
      </c>
      <c r="U386" s="206" t="str">
        <f t="shared" ca="1" si="64"/>
        <v/>
      </c>
      <c r="V386" s="207" t="str">
        <f t="shared" ca="1" si="65"/>
        <v/>
      </c>
      <c r="W386" s="634">
        <f ca="1">IF($Y386&gt;0,CHOOSE(MATCH(RegimeExecucao,{"Unitário","Global"},0),IF($A386="S",$Y386/$X386,""),($Y386/$X386)*100),0)</f>
        <v>0</v>
      </c>
      <c r="X386" s="433" t="str">
        <f ca="1">IF($Y386&gt;0,CHOOSE(MATCH(RegimeExecucao,{"Unitário","Global"},0),IF($A386="S",ROUND($H386,ORÇAMENTO!$AF$10),""),ROUND($I386,ORÇAMENTO!$AF$11)),"")</f>
        <v/>
      </c>
      <c r="Y386" s="433">
        <f t="shared" ca="1" si="66"/>
        <v>0</v>
      </c>
      <c r="Z386" s="434"/>
      <c r="AB386" s="431"/>
      <c r="AC386" s="599"/>
      <c r="AD386" s="599"/>
      <c r="AE386" s="599"/>
      <c r="AF386" s="599"/>
      <c r="AG386" s="599"/>
      <c r="AH386" s="599"/>
      <c r="AI386" s="599"/>
      <c r="AJ386" s="599"/>
      <c r="AK386" s="599"/>
      <c r="AL386" s="599"/>
      <c r="AM386" s="432"/>
      <c r="AO386">
        <f ca="1">IF($A386="S",IF(BM!$I386=0,0,CHOOSE(MATCH(RegimeExecucao,{"Global","Unitário"},0),ROUND(ROUND(BM.MEDAcumulado,15-13*BM!$A$9)/100*BM!$I386,15-13*ORÇAMENTO!$AF$11),ROUND(ROUND(BM.MEDAcumulado,15-13*BM!$A$9)*ROUND(BM!$H386,15-13*ORÇAMENTO!$AF$10),15-13*ORÇAMENTO!$AF$11))),IF($A386=0,0,ROUND(SomaAgrupBM,15-13*ORÇAMENTO!$AF$11)))</f>
        <v>0</v>
      </c>
    </row>
    <row r="387" spans="1:41" ht="13.8" x14ac:dyDescent="0.3">
      <c r="A387" t="str">
        <f ca="1">ORÇAMENTO!C387</f>
        <v>S</v>
      </c>
      <c r="B387">
        <f ca="1">ORÇAMENTO!D387</f>
        <v>0</v>
      </c>
      <c r="C387" s="143" t="str">
        <f t="shared" ca="1" si="56"/>
        <v/>
      </c>
      <c r="D387" s="146" t="str">
        <f ca="1">ORÇAMENTO!O387</f>
        <v>-</v>
      </c>
      <c r="E387" s="206" t="str">
        <f t="shared" ca="1" si="57"/>
        <v>(abra o arquivo 'Referência 05-2024.xls)</v>
      </c>
      <c r="F387" s="207" t="str">
        <f t="shared" ca="1" si="58"/>
        <v>-</v>
      </c>
      <c r="G387" s="151">
        <f ca="1">IF(RegimeExecucao="Global","",ORÇAMENTO!T387)</f>
        <v>13</v>
      </c>
      <c r="H387" s="151">
        <f ca="1">IF(RegimeExecucao="Global","",ORÇAMENTO!W387)</f>
        <v>0</v>
      </c>
      <c r="I387" s="154">
        <f ca="1">ORÇAMENTO!X387</f>
        <v>0</v>
      </c>
      <c r="J387" s="427">
        <f t="shared" ca="1" si="59"/>
        <v>0</v>
      </c>
      <c r="K387" s="151">
        <f t="shared" ca="1" si="60"/>
        <v>0</v>
      </c>
      <c r="L387" s="428">
        <f t="shared" ca="1" si="61"/>
        <v>0</v>
      </c>
      <c r="M387" s="429">
        <f ca="1">IF($A387="S",VTOTALBM,IF($A387=0,0,ROUND(SomaAgrupBM,15-13*ORÇAMENTO!$AF$11)))</f>
        <v>0</v>
      </c>
      <c r="N387" s="430">
        <f t="shared" ca="1" si="62"/>
        <v>0</v>
      </c>
      <c r="O387" s="154">
        <f ca="1">IF($A387="S",VTOTALBM,IF($A387=0,0,ROUND(SomaAgrupBM,15-13*ORÇAMENTO!$AF$11)))</f>
        <v>0</v>
      </c>
      <c r="Q387" s="431"/>
      <c r="R387" s="432"/>
      <c r="T387" s="146" t="str">
        <f t="shared" ca="1" si="63"/>
        <v/>
      </c>
      <c r="U387" s="206" t="str">
        <f t="shared" ca="1" si="64"/>
        <v/>
      </c>
      <c r="V387" s="207" t="str">
        <f t="shared" ca="1" si="65"/>
        <v/>
      </c>
      <c r="W387" s="634">
        <f ca="1">IF($Y387&gt;0,CHOOSE(MATCH(RegimeExecucao,{"Unitário","Global"},0),IF($A387="S",$Y387/$X387,""),($Y387/$X387)*100),0)</f>
        <v>0</v>
      </c>
      <c r="X387" s="433" t="str">
        <f ca="1">IF($Y387&gt;0,CHOOSE(MATCH(RegimeExecucao,{"Unitário","Global"},0),IF($A387="S",ROUND($H387,ORÇAMENTO!$AF$10),""),ROUND($I387,ORÇAMENTO!$AF$11)),"")</f>
        <v/>
      </c>
      <c r="Y387" s="433">
        <f t="shared" ca="1" si="66"/>
        <v>0</v>
      </c>
      <c r="Z387" s="434"/>
      <c r="AB387" s="431"/>
      <c r="AC387" s="599"/>
      <c r="AD387" s="599"/>
      <c r="AE387" s="599"/>
      <c r="AF387" s="599"/>
      <c r="AG387" s="599"/>
      <c r="AH387" s="599"/>
      <c r="AI387" s="599"/>
      <c r="AJ387" s="599"/>
      <c r="AK387" s="599"/>
      <c r="AL387" s="599"/>
      <c r="AM387" s="432"/>
      <c r="AO387">
        <f ca="1">IF($A387="S",IF(BM!$I387=0,0,CHOOSE(MATCH(RegimeExecucao,{"Global","Unitário"},0),ROUND(ROUND(BM.MEDAcumulado,15-13*BM!$A$9)/100*BM!$I387,15-13*ORÇAMENTO!$AF$11),ROUND(ROUND(BM.MEDAcumulado,15-13*BM!$A$9)*ROUND(BM!$H387,15-13*ORÇAMENTO!$AF$10),15-13*ORÇAMENTO!$AF$11))),IF($A387=0,0,ROUND(SomaAgrupBM,15-13*ORÇAMENTO!$AF$11)))</f>
        <v>0</v>
      </c>
    </row>
    <row r="388" spans="1:41" ht="13.8" x14ac:dyDescent="0.3">
      <c r="A388" t="str">
        <f ca="1">ORÇAMENTO!C388</f>
        <v>S</v>
      </c>
      <c r="B388">
        <f ca="1">ORÇAMENTO!D388</f>
        <v>0</v>
      </c>
      <c r="C388" s="143" t="str">
        <f t="shared" ca="1" si="56"/>
        <v/>
      </c>
      <c r="D388" s="146" t="str">
        <f ca="1">ORÇAMENTO!O388</f>
        <v>-</v>
      </c>
      <c r="E388" s="206" t="str">
        <f t="shared" ca="1" si="57"/>
        <v>(abra o arquivo 'Referência 05-2024.xls)</v>
      </c>
      <c r="F388" s="207" t="str">
        <f t="shared" ca="1" si="58"/>
        <v>-</v>
      </c>
      <c r="G388" s="151">
        <f ca="1">IF(RegimeExecucao="Global","",ORÇAMENTO!T388)</f>
        <v>9</v>
      </c>
      <c r="H388" s="151">
        <f ca="1">IF(RegimeExecucao="Global","",ORÇAMENTO!W388)</f>
        <v>0</v>
      </c>
      <c r="I388" s="154">
        <f ca="1">ORÇAMENTO!X388</f>
        <v>0</v>
      </c>
      <c r="J388" s="427">
        <f t="shared" ca="1" si="59"/>
        <v>0</v>
      </c>
      <c r="K388" s="151">
        <f t="shared" ca="1" si="60"/>
        <v>0</v>
      </c>
      <c r="L388" s="428">
        <f t="shared" ca="1" si="61"/>
        <v>0</v>
      </c>
      <c r="M388" s="429">
        <f ca="1">IF($A388="S",VTOTALBM,IF($A388=0,0,ROUND(SomaAgrupBM,15-13*ORÇAMENTO!$AF$11)))</f>
        <v>0</v>
      </c>
      <c r="N388" s="430">
        <f t="shared" ca="1" si="62"/>
        <v>0</v>
      </c>
      <c r="O388" s="154">
        <f ca="1">IF($A388="S",VTOTALBM,IF($A388=0,0,ROUND(SomaAgrupBM,15-13*ORÇAMENTO!$AF$11)))</f>
        <v>0</v>
      </c>
      <c r="Q388" s="431"/>
      <c r="R388" s="432"/>
      <c r="T388" s="146" t="str">
        <f t="shared" ca="1" si="63"/>
        <v/>
      </c>
      <c r="U388" s="206" t="str">
        <f t="shared" ca="1" si="64"/>
        <v/>
      </c>
      <c r="V388" s="207" t="str">
        <f t="shared" ca="1" si="65"/>
        <v/>
      </c>
      <c r="W388" s="634">
        <f ca="1">IF($Y388&gt;0,CHOOSE(MATCH(RegimeExecucao,{"Unitário","Global"},0),IF($A388="S",$Y388/$X388,""),($Y388/$X388)*100),0)</f>
        <v>0</v>
      </c>
      <c r="X388" s="433" t="str">
        <f ca="1">IF($Y388&gt;0,CHOOSE(MATCH(RegimeExecucao,{"Unitário","Global"},0),IF($A388="S",ROUND($H388,ORÇAMENTO!$AF$10),""),ROUND($I388,ORÇAMENTO!$AF$11)),"")</f>
        <v/>
      </c>
      <c r="Y388" s="433">
        <f t="shared" ca="1" si="66"/>
        <v>0</v>
      </c>
      <c r="Z388" s="434"/>
      <c r="AB388" s="431"/>
      <c r="AC388" s="599"/>
      <c r="AD388" s="599"/>
      <c r="AE388" s="599"/>
      <c r="AF388" s="599"/>
      <c r="AG388" s="599"/>
      <c r="AH388" s="599"/>
      <c r="AI388" s="599"/>
      <c r="AJ388" s="599"/>
      <c r="AK388" s="599"/>
      <c r="AL388" s="599"/>
      <c r="AM388" s="432"/>
      <c r="AO388">
        <f ca="1">IF($A388="S",IF(BM!$I388=0,0,CHOOSE(MATCH(RegimeExecucao,{"Global","Unitário"},0),ROUND(ROUND(BM.MEDAcumulado,15-13*BM!$A$9)/100*BM!$I388,15-13*ORÇAMENTO!$AF$11),ROUND(ROUND(BM.MEDAcumulado,15-13*BM!$A$9)*ROUND(BM!$H388,15-13*ORÇAMENTO!$AF$10),15-13*ORÇAMENTO!$AF$11))),IF($A388=0,0,ROUND(SomaAgrupBM,15-13*ORÇAMENTO!$AF$11)))</f>
        <v>0</v>
      </c>
    </row>
    <row r="389" spans="1:41" ht="13.8" x14ac:dyDescent="0.3">
      <c r="A389" t="str">
        <f ca="1">ORÇAMENTO!C389</f>
        <v>S</v>
      </c>
      <c r="B389">
        <f ca="1">ORÇAMENTO!D389</f>
        <v>0</v>
      </c>
      <c r="C389" s="143" t="str">
        <f t="shared" ca="1" si="56"/>
        <v/>
      </c>
      <c r="D389" s="146" t="str">
        <f ca="1">ORÇAMENTO!O389</f>
        <v>-</v>
      </c>
      <c r="E389" s="206" t="str">
        <f t="shared" ca="1" si="57"/>
        <v>(abra o arquivo 'Referência 05-2024.xls)</v>
      </c>
      <c r="F389" s="207" t="str">
        <f t="shared" ca="1" si="58"/>
        <v>-</v>
      </c>
      <c r="G389" s="151">
        <f ca="1">IF(RegimeExecucao="Global","",ORÇAMENTO!T389)</f>
        <v>12.55</v>
      </c>
      <c r="H389" s="151">
        <f ca="1">IF(RegimeExecucao="Global","",ORÇAMENTO!W389)</f>
        <v>0</v>
      </c>
      <c r="I389" s="154">
        <f ca="1">ORÇAMENTO!X389</f>
        <v>0</v>
      </c>
      <c r="J389" s="427">
        <f t="shared" ca="1" si="59"/>
        <v>0</v>
      </c>
      <c r="K389" s="151">
        <f t="shared" ca="1" si="60"/>
        <v>0</v>
      </c>
      <c r="L389" s="428">
        <f t="shared" ca="1" si="61"/>
        <v>0</v>
      </c>
      <c r="M389" s="429">
        <f ca="1">IF($A389="S",VTOTALBM,IF($A389=0,0,ROUND(SomaAgrupBM,15-13*ORÇAMENTO!$AF$11)))</f>
        <v>0</v>
      </c>
      <c r="N389" s="430">
        <f t="shared" ca="1" si="62"/>
        <v>0</v>
      </c>
      <c r="O389" s="154">
        <f ca="1">IF($A389="S",VTOTALBM,IF($A389=0,0,ROUND(SomaAgrupBM,15-13*ORÇAMENTO!$AF$11)))</f>
        <v>0</v>
      </c>
      <c r="Q389" s="431"/>
      <c r="R389" s="432"/>
      <c r="T389" s="146" t="str">
        <f t="shared" ca="1" si="63"/>
        <v/>
      </c>
      <c r="U389" s="206" t="str">
        <f t="shared" ca="1" si="64"/>
        <v/>
      </c>
      <c r="V389" s="207" t="str">
        <f t="shared" ca="1" si="65"/>
        <v/>
      </c>
      <c r="W389" s="634">
        <f ca="1">IF($Y389&gt;0,CHOOSE(MATCH(RegimeExecucao,{"Unitário","Global"},0),IF($A389="S",$Y389/$X389,""),($Y389/$X389)*100),0)</f>
        <v>0</v>
      </c>
      <c r="X389" s="433" t="str">
        <f ca="1">IF($Y389&gt;0,CHOOSE(MATCH(RegimeExecucao,{"Unitário","Global"},0),IF($A389="S",ROUND($H389,ORÇAMENTO!$AF$10),""),ROUND($I389,ORÇAMENTO!$AF$11)),"")</f>
        <v/>
      </c>
      <c r="Y389" s="433">
        <f t="shared" ca="1" si="66"/>
        <v>0</v>
      </c>
      <c r="Z389" s="434"/>
      <c r="AB389" s="431"/>
      <c r="AC389" s="599"/>
      <c r="AD389" s="599"/>
      <c r="AE389" s="599"/>
      <c r="AF389" s="599"/>
      <c r="AG389" s="599"/>
      <c r="AH389" s="599"/>
      <c r="AI389" s="599"/>
      <c r="AJ389" s="599"/>
      <c r="AK389" s="599"/>
      <c r="AL389" s="599"/>
      <c r="AM389" s="432"/>
      <c r="AO389">
        <f ca="1">IF($A389="S",IF(BM!$I389=0,0,CHOOSE(MATCH(RegimeExecucao,{"Global","Unitário"},0),ROUND(ROUND(BM.MEDAcumulado,15-13*BM!$A$9)/100*BM!$I389,15-13*ORÇAMENTO!$AF$11),ROUND(ROUND(BM.MEDAcumulado,15-13*BM!$A$9)*ROUND(BM!$H389,15-13*ORÇAMENTO!$AF$10),15-13*ORÇAMENTO!$AF$11))),IF($A389=0,0,ROUND(SomaAgrupBM,15-13*ORÇAMENTO!$AF$11)))</f>
        <v>0</v>
      </c>
    </row>
    <row r="390" spans="1:41" ht="13.8" x14ac:dyDescent="0.3">
      <c r="A390">
        <f ca="1">ORÇAMENTO!C390</f>
        <v>2</v>
      </c>
      <c r="B390">
        <f ca="1">ORÇAMENTO!D390</f>
        <v>56</v>
      </c>
      <c r="C390" s="143" t="str">
        <f t="shared" ca="1" si="56"/>
        <v>F</v>
      </c>
      <c r="D390" s="146" t="str">
        <f ca="1">ORÇAMENTO!O390</f>
        <v>1.14.</v>
      </c>
      <c r="E390" s="206" t="str">
        <f t="shared" si="57"/>
        <v>INSTALAÇÃO SANITÁRIA</v>
      </c>
      <c r="F390" s="207" t="str">
        <f t="shared" ca="1" si="58"/>
        <v>-</v>
      </c>
      <c r="G390" s="151">
        <f ca="1">IF(RegimeExecucao="Global","",ORÇAMENTO!T390)</f>
        <v>0</v>
      </c>
      <c r="H390" s="151">
        <f ca="1">IF(RegimeExecucao="Global","",ORÇAMENTO!W390)</f>
        <v>0</v>
      </c>
      <c r="I390" s="154">
        <f ca="1">ORÇAMENTO!X390</f>
        <v>0</v>
      </c>
      <c r="J390" s="427">
        <f t="shared" ca="1" si="59"/>
        <v>0</v>
      </c>
      <c r="K390" s="151">
        <f t="shared" ca="1" si="60"/>
        <v>0</v>
      </c>
      <c r="L390" s="428">
        <f t="shared" ca="1" si="61"/>
        <v>0</v>
      </c>
      <c r="M390" s="429">
        <f ca="1">IF($A390="S",VTOTALBM,IF($A390=0,0,ROUND(SomaAgrupBM,15-13*ORÇAMENTO!$AF$11)))</f>
        <v>0</v>
      </c>
      <c r="N390" s="430">
        <f t="shared" ca="1" si="62"/>
        <v>0</v>
      </c>
      <c r="O390" s="154">
        <f ca="1">IF($A390="S",VTOTALBM,IF($A390=0,0,ROUND(SomaAgrupBM,15-13*ORÇAMENTO!$AF$11)))</f>
        <v>0</v>
      </c>
      <c r="Q390" s="431"/>
      <c r="R390" s="432"/>
      <c r="T390" s="146" t="str">
        <f t="shared" ca="1" si="63"/>
        <v/>
      </c>
      <c r="U390" s="206" t="str">
        <f t="shared" ca="1" si="64"/>
        <v/>
      </c>
      <c r="V390" s="207" t="str">
        <f t="shared" ca="1" si="65"/>
        <v/>
      </c>
      <c r="W390" s="634">
        <f ca="1">IF($Y390&gt;0,CHOOSE(MATCH(RegimeExecucao,{"Unitário","Global"},0),IF($A390="S",$Y390/$X390,""),($Y390/$X390)*100),0)</f>
        <v>0</v>
      </c>
      <c r="X390" s="433" t="str">
        <f ca="1">IF($Y390&gt;0,CHOOSE(MATCH(RegimeExecucao,{"Unitário","Global"},0),IF($A390="S",ROUND($H390,ORÇAMENTO!$AF$10),""),ROUND($I390,ORÇAMENTO!$AF$11)),"")</f>
        <v/>
      </c>
      <c r="Y390" s="433">
        <f t="shared" ca="1" si="66"/>
        <v>0</v>
      </c>
      <c r="Z390" s="434"/>
      <c r="AB390" s="431"/>
      <c r="AC390" s="599"/>
      <c r="AD390" s="599"/>
      <c r="AE390" s="599"/>
      <c r="AF390" s="599"/>
      <c r="AG390" s="599"/>
      <c r="AH390" s="599"/>
      <c r="AI390" s="599"/>
      <c r="AJ390" s="599"/>
      <c r="AK390" s="599"/>
      <c r="AL390" s="599"/>
      <c r="AM390" s="432"/>
      <c r="AO390">
        <f ca="1">IF($A390="S",IF(BM!$I390=0,0,CHOOSE(MATCH(RegimeExecucao,{"Global","Unitário"},0),ROUND(ROUND(BM.MEDAcumulado,15-13*BM!$A$9)/100*BM!$I390,15-13*ORÇAMENTO!$AF$11),ROUND(ROUND(BM.MEDAcumulado,15-13*BM!$A$9)*ROUND(BM!$H390,15-13*ORÇAMENTO!$AF$10),15-13*ORÇAMENTO!$AF$11))),IF($A390=0,0,ROUND(SomaAgrupBM,15-13*ORÇAMENTO!$AF$11)))</f>
        <v>0</v>
      </c>
    </row>
    <row r="391" spans="1:41" ht="13.8" x14ac:dyDescent="0.3">
      <c r="A391">
        <f ca="1">ORÇAMENTO!C391</f>
        <v>3</v>
      </c>
      <c r="B391">
        <f ca="1">ORÇAMENTO!D391</f>
        <v>35</v>
      </c>
      <c r="C391" s="143" t="str">
        <f t="shared" ca="1" si="56"/>
        <v>F</v>
      </c>
      <c r="D391" s="146" t="str">
        <f ca="1">ORÇAMENTO!O391</f>
        <v>1.14.1.</v>
      </c>
      <c r="E391" s="206" t="str">
        <f t="shared" si="57"/>
        <v>TUBULAÇÕES E CONEXÕES</v>
      </c>
      <c r="F391" s="207" t="str">
        <f t="shared" ca="1" si="58"/>
        <v>-</v>
      </c>
      <c r="G391" s="151">
        <f ca="1">IF(RegimeExecucao="Global","",ORÇAMENTO!T391)</f>
        <v>0</v>
      </c>
      <c r="H391" s="151">
        <f ca="1">IF(RegimeExecucao="Global","",ORÇAMENTO!W391)</f>
        <v>0</v>
      </c>
      <c r="I391" s="154">
        <f ca="1">ORÇAMENTO!X391</f>
        <v>0</v>
      </c>
      <c r="J391" s="427">
        <f t="shared" ca="1" si="59"/>
        <v>0</v>
      </c>
      <c r="K391" s="151">
        <f t="shared" ca="1" si="60"/>
        <v>0</v>
      </c>
      <c r="L391" s="428">
        <f t="shared" ca="1" si="61"/>
        <v>0</v>
      </c>
      <c r="M391" s="429">
        <f ca="1">IF($A391="S",VTOTALBM,IF($A391=0,0,ROUND(SomaAgrupBM,15-13*ORÇAMENTO!$AF$11)))</f>
        <v>0</v>
      </c>
      <c r="N391" s="430">
        <f t="shared" ca="1" si="62"/>
        <v>0</v>
      </c>
      <c r="O391" s="154">
        <f ca="1">IF($A391="S",VTOTALBM,IF($A391=0,0,ROUND(SomaAgrupBM,15-13*ORÇAMENTO!$AF$11)))</f>
        <v>0</v>
      </c>
      <c r="Q391" s="431"/>
      <c r="R391" s="432"/>
      <c r="T391" s="146" t="str">
        <f t="shared" ca="1" si="63"/>
        <v/>
      </c>
      <c r="U391" s="206" t="str">
        <f t="shared" ca="1" si="64"/>
        <v/>
      </c>
      <c r="V391" s="207" t="str">
        <f t="shared" ca="1" si="65"/>
        <v/>
      </c>
      <c r="W391" s="634">
        <f ca="1">IF($Y391&gt;0,CHOOSE(MATCH(RegimeExecucao,{"Unitário","Global"},0),IF($A391="S",$Y391/$X391,""),($Y391/$X391)*100),0)</f>
        <v>0</v>
      </c>
      <c r="X391" s="433" t="str">
        <f ca="1">IF($Y391&gt;0,CHOOSE(MATCH(RegimeExecucao,{"Unitário","Global"},0),IF($A391="S",ROUND($H391,ORÇAMENTO!$AF$10),""),ROUND($I391,ORÇAMENTO!$AF$11)),"")</f>
        <v/>
      </c>
      <c r="Y391" s="433">
        <f t="shared" ca="1" si="66"/>
        <v>0</v>
      </c>
      <c r="Z391" s="434"/>
      <c r="AB391" s="431"/>
      <c r="AC391" s="599"/>
      <c r="AD391" s="599"/>
      <c r="AE391" s="599"/>
      <c r="AF391" s="599"/>
      <c r="AG391" s="599"/>
      <c r="AH391" s="599"/>
      <c r="AI391" s="599"/>
      <c r="AJ391" s="599"/>
      <c r="AK391" s="599"/>
      <c r="AL391" s="599"/>
      <c r="AM391" s="432"/>
      <c r="AO391">
        <f ca="1">IF($A391="S",IF(BM!$I391=0,0,CHOOSE(MATCH(RegimeExecucao,{"Global","Unitário"},0),ROUND(ROUND(BM.MEDAcumulado,15-13*BM!$A$9)/100*BM!$I391,15-13*ORÇAMENTO!$AF$11),ROUND(ROUND(BM.MEDAcumulado,15-13*BM!$A$9)*ROUND(BM!$H391,15-13*ORÇAMENTO!$AF$10),15-13*ORÇAMENTO!$AF$11))),IF($A391=0,0,ROUND(SomaAgrupBM,15-13*ORÇAMENTO!$AF$11)))</f>
        <v>0</v>
      </c>
    </row>
    <row r="392" spans="1:41" ht="13.8" x14ac:dyDescent="0.3">
      <c r="A392" t="str">
        <f ca="1">ORÇAMENTO!C392</f>
        <v>S</v>
      </c>
      <c r="B392">
        <f ca="1">ORÇAMENTO!D392</f>
        <v>0</v>
      </c>
      <c r="C392" s="143" t="str">
        <f t="shared" ca="1" si="56"/>
        <v/>
      </c>
      <c r="D392" s="146" t="str">
        <f ca="1">ORÇAMENTO!O392</f>
        <v>-</v>
      </c>
      <c r="E392" s="206" t="str">
        <f t="shared" ca="1" si="57"/>
        <v>(abra o arquivo 'Referência 05-2024.xls)</v>
      </c>
      <c r="F392" s="207" t="str">
        <f t="shared" ca="1" si="58"/>
        <v>-</v>
      </c>
      <c r="G392" s="151">
        <f ca="1">IF(RegimeExecucao="Global","",ORÇAMENTO!T392)</f>
        <v>246.11</v>
      </c>
      <c r="H392" s="151">
        <f ca="1">IF(RegimeExecucao="Global","",ORÇAMENTO!W392)</f>
        <v>0</v>
      </c>
      <c r="I392" s="154">
        <f ca="1">ORÇAMENTO!X392</f>
        <v>0</v>
      </c>
      <c r="J392" s="427">
        <f t="shared" ca="1" si="59"/>
        <v>0</v>
      </c>
      <c r="K392" s="151">
        <f t="shared" ca="1" si="60"/>
        <v>0</v>
      </c>
      <c r="L392" s="428">
        <f t="shared" ca="1" si="61"/>
        <v>0</v>
      </c>
      <c r="M392" s="429">
        <f ca="1">IF($A392="S",VTOTALBM,IF($A392=0,0,ROUND(SomaAgrupBM,15-13*ORÇAMENTO!$AF$11)))</f>
        <v>0</v>
      </c>
      <c r="N392" s="430">
        <f t="shared" ca="1" si="62"/>
        <v>0</v>
      </c>
      <c r="O392" s="154">
        <f ca="1">IF($A392="S",VTOTALBM,IF($A392=0,0,ROUND(SomaAgrupBM,15-13*ORÇAMENTO!$AF$11)))</f>
        <v>0</v>
      </c>
      <c r="Q392" s="431"/>
      <c r="R392" s="432"/>
      <c r="T392" s="146" t="str">
        <f t="shared" ca="1" si="63"/>
        <v/>
      </c>
      <c r="U392" s="206" t="str">
        <f t="shared" ca="1" si="64"/>
        <v/>
      </c>
      <c r="V392" s="207" t="str">
        <f t="shared" ca="1" si="65"/>
        <v/>
      </c>
      <c r="W392" s="634">
        <f ca="1">IF($Y392&gt;0,CHOOSE(MATCH(RegimeExecucao,{"Unitário","Global"},0),IF($A392="S",$Y392/$X392,""),($Y392/$X392)*100),0)</f>
        <v>0</v>
      </c>
      <c r="X392" s="433" t="str">
        <f ca="1">IF($Y392&gt;0,CHOOSE(MATCH(RegimeExecucao,{"Unitário","Global"},0),IF($A392="S",ROUND($H392,ORÇAMENTO!$AF$10),""),ROUND($I392,ORÇAMENTO!$AF$11)),"")</f>
        <v/>
      </c>
      <c r="Y392" s="433">
        <f t="shared" ca="1" si="66"/>
        <v>0</v>
      </c>
      <c r="Z392" s="434"/>
      <c r="AB392" s="431"/>
      <c r="AC392" s="599"/>
      <c r="AD392" s="599"/>
      <c r="AE392" s="599"/>
      <c r="AF392" s="599"/>
      <c r="AG392" s="599"/>
      <c r="AH392" s="599"/>
      <c r="AI392" s="599"/>
      <c r="AJ392" s="599"/>
      <c r="AK392" s="599"/>
      <c r="AL392" s="599"/>
      <c r="AM392" s="432"/>
      <c r="AO392">
        <f ca="1">IF($A392="S",IF(BM!$I392=0,0,CHOOSE(MATCH(RegimeExecucao,{"Global","Unitário"},0),ROUND(ROUND(BM.MEDAcumulado,15-13*BM!$A$9)/100*BM!$I392,15-13*ORÇAMENTO!$AF$11),ROUND(ROUND(BM.MEDAcumulado,15-13*BM!$A$9)*ROUND(BM!$H392,15-13*ORÇAMENTO!$AF$10),15-13*ORÇAMENTO!$AF$11))),IF($A392=0,0,ROUND(SomaAgrupBM,15-13*ORÇAMENTO!$AF$11)))</f>
        <v>0</v>
      </c>
    </row>
    <row r="393" spans="1:41" ht="13.8" x14ac:dyDescent="0.3">
      <c r="A393" t="str">
        <f ca="1">ORÇAMENTO!C393</f>
        <v>S</v>
      </c>
      <c r="B393">
        <f ca="1">ORÇAMENTO!D393</f>
        <v>0</v>
      </c>
      <c r="C393" s="143" t="str">
        <f t="shared" ca="1" si="56"/>
        <v/>
      </c>
      <c r="D393" s="146" t="str">
        <f ca="1">ORÇAMENTO!O393</f>
        <v>-</v>
      </c>
      <c r="E393" s="206" t="str">
        <f t="shared" ca="1" si="57"/>
        <v>(abra o arquivo 'Referência 05-2024.xls)</v>
      </c>
      <c r="F393" s="207" t="str">
        <f t="shared" ca="1" si="58"/>
        <v>-</v>
      </c>
      <c r="G393" s="151">
        <f ca="1">IF(RegimeExecucao="Global","",ORÇAMENTO!T393)</f>
        <v>67.849999999999994</v>
      </c>
      <c r="H393" s="151">
        <f ca="1">IF(RegimeExecucao="Global","",ORÇAMENTO!W393)</f>
        <v>0</v>
      </c>
      <c r="I393" s="154">
        <f ca="1">ORÇAMENTO!X393</f>
        <v>0</v>
      </c>
      <c r="J393" s="427">
        <f t="shared" ca="1" si="59"/>
        <v>0</v>
      </c>
      <c r="K393" s="151">
        <f t="shared" ca="1" si="60"/>
        <v>0</v>
      </c>
      <c r="L393" s="428">
        <f t="shared" ca="1" si="61"/>
        <v>0</v>
      </c>
      <c r="M393" s="429">
        <f ca="1">IF($A393="S",VTOTALBM,IF($A393=0,0,ROUND(SomaAgrupBM,15-13*ORÇAMENTO!$AF$11)))</f>
        <v>0</v>
      </c>
      <c r="N393" s="430">
        <f t="shared" ca="1" si="62"/>
        <v>0</v>
      </c>
      <c r="O393" s="154">
        <f ca="1">IF($A393="S",VTOTALBM,IF($A393=0,0,ROUND(SomaAgrupBM,15-13*ORÇAMENTO!$AF$11)))</f>
        <v>0</v>
      </c>
      <c r="Q393" s="431"/>
      <c r="R393" s="432"/>
      <c r="T393" s="146" t="str">
        <f t="shared" ca="1" si="63"/>
        <v/>
      </c>
      <c r="U393" s="206" t="str">
        <f t="shared" ca="1" si="64"/>
        <v/>
      </c>
      <c r="V393" s="207" t="str">
        <f t="shared" ca="1" si="65"/>
        <v/>
      </c>
      <c r="W393" s="634">
        <f ca="1">IF($Y393&gt;0,CHOOSE(MATCH(RegimeExecucao,{"Unitário","Global"},0),IF($A393="S",$Y393/$X393,""),($Y393/$X393)*100),0)</f>
        <v>0</v>
      </c>
      <c r="X393" s="433" t="str">
        <f ca="1">IF($Y393&gt;0,CHOOSE(MATCH(RegimeExecucao,{"Unitário","Global"},0),IF($A393="S",ROUND($H393,ORÇAMENTO!$AF$10),""),ROUND($I393,ORÇAMENTO!$AF$11)),"")</f>
        <v/>
      </c>
      <c r="Y393" s="433">
        <f t="shared" ca="1" si="66"/>
        <v>0</v>
      </c>
      <c r="Z393" s="434"/>
      <c r="AB393" s="431"/>
      <c r="AC393" s="599"/>
      <c r="AD393" s="599"/>
      <c r="AE393" s="599"/>
      <c r="AF393" s="599"/>
      <c r="AG393" s="599"/>
      <c r="AH393" s="599"/>
      <c r="AI393" s="599"/>
      <c r="AJ393" s="599"/>
      <c r="AK393" s="599"/>
      <c r="AL393" s="599"/>
      <c r="AM393" s="432"/>
      <c r="AO393">
        <f ca="1">IF($A393="S",IF(BM!$I393=0,0,CHOOSE(MATCH(RegimeExecucao,{"Global","Unitário"},0),ROUND(ROUND(BM.MEDAcumulado,15-13*BM!$A$9)/100*BM!$I393,15-13*ORÇAMENTO!$AF$11),ROUND(ROUND(BM.MEDAcumulado,15-13*BM!$A$9)*ROUND(BM!$H393,15-13*ORÇAMENTO!$AF$10),15-13*ORÇAMENTO!$AF$11))),IF($A393=0,0,ROUND(SomaAgrupBM,15-13*ORÇAMENTO!$AF$11)))</f>
        <v>0</v>
      </c>
    </row>
    <row r="394" spans="1:41" ht="13.8" x14ac:dyDescent="0.3">
      <c r="A394" t="str">
        <f ca="1">ORÇAMENTO!C394</f>
        <v>S</v>
      </c>
      <c r="B394">
        <f ca="1">ORÇAMENTO!D394</f>
        <v>0</v>
      </c>
      <c r="C394" s="143" t="str">
        <f t="shared" ca="1" si="56"/>
        <v/>
      </c>
      <c r="D394" s="146" t="str">
        <f ca="1">ORÇAMENTO!O394</f>
        <v>-</v>
      </c>
      <c r="E394" s="206" t="str">
        <f t="shared" ca="1" si="57"/>
        <v>(abra o arquivo 'Referência 05-2024.xls)</v>
      </c>
      <c r="F394" s="207" t="str">
        <f t="shared" ca="1" si="58"/>
        <v>-</v>
      </c>
      <c r="G394" s="151">
        <f ca="1">IF(RegimeExecucao="Global","",ORÇAMENTO!T394)</f>
        <v>31.38</v>
      </c>
      <c r="H394" s="151">
        <f ca="1">IF(RegimeExecucao="Global","",ORÇAMENTO!W394)</f>
        <v>0</v>
      </c>
      <c r="I394" s="154">
        <f ca="1">ORÇAMENTO!X394</f>
        <v>0</v>
      </c>
      <c r="J394" s="427">
        <f t="shared" ca="1" si="59"/>
        <v>0</v>
      </c>
      <c r="K394" s="151">
        <f t="shared" ca="1" si="60"/>
        <v>0</v>
      </c>
      <c r="L394" s="428">
        <f t="shared" ca="1" si="61"/>
        <v>0</v>
      </c>
      <c r="M394" s="429">
        <f ca="1">IF($A394="S",VTOTALBM,IF($A394=0,0,ROUND(SomaAgrupBM,15-13*ORÇAMENTO!$AF$11)))</f>
        <v>0</v>
      </c>
      <c r="N394" s="430">
        <f t="shared" ca="1" si="62"/>
        <v>0</v>
      </c>
      <c r="O394" s="154">
        <f ca="1">IF($A394="S",VTOTALBM,IF($A394=0,0,ROUND(SomaAgrupBM,15-13*ORÇAMENTO!$AF$11)))</f>
        <v>0</v>
      </c>
      <c r="Q394" s="431"/>
      <c r="R394" s="432"/>
      <c r="T394" s="146" t="str">
        <f t="shared" ca="1" si="63"/>
        <v/>
      </c>
      <c r="U394" s="206" t="str">
        <f t="shared" ca="1" si="64"/>
        <v/>
      </c>
      <c r="V394" s="207" t="str">
        <f t="shared" ca="1" si="65"/>
        <v/>
      </c>
      <c r="W394" s="634">
        <f ca="1">IF($Y394&gt;0,CHOOSE(MATCH(RegimeExecucao,{"Unitário","Global"},0),IF($A394="S",$Y394/$X394,""),($Y394/$X394)*100),0)</f>
        <v>0</v>
      </c>
      <c r="X394" s="433" t="str">
        <f ca="1">IF($Y394&gt;0,CHOOSE(MATCH(RegimeExecucao,{"Unitário","Global"},0),IF($A394="S",ROUND($H394,ORÇAMENTO!$AF$10),""),ROUND($I394,ORÇAMENTO!$AF$11)),"")</f>
        <v/>
      </c>
      <c r="Y394" s="433">
        <f t="shared" ca="1" si="66"/>
        <v>0</v>
      </c>
      <c r="Z394" s="434"/>
      <c r="AB394" s="431"/>
      <c r="AC394" s="599"/>
      <c r="AD394" s="599"/>
      <c r="AE394" s="599"/>
      <c r="AF394" s="599"/>
      <c r="AG394" s="599"/>
      <c r="AH394" s="599"/>
      <c r="AI394" s="599"/>
      <c r="AJ394" s="599"/>
      <c r="AK394" s="599"/>
      <c r="AL394" s="599"/>
      <c r="AM394" s="432"/>
      <c r="AO394">
        <f ca="1">IF($A394="S",IF(BM!$I394=0,0,CHOOSE(MATCH(RegimeExecucao,{"Global","Unitário"},0),ROUND(ROUND(BM.MEDAcumulado,15-13*BM!$A$9)/100*BM!$I394,15-13*ORÇAMENTO!$AF$11),ROUND(ROUND(BM.MEDAcumulado,15-13*BM!$A$9)*ROUND(BM!$H394,15-13*ORÇAMENTO!$AF$10),15-13*ORÇAMENTO!$AF$11))),IF($A394=0,0,ROUND(SomaAgrupBM,15-13*ORÇAMENTO!$AF$11)))</f>
        <v>0</v>
      </c>
    </row>
    <row r="395" spans="1:41" ht="13.8" x14ac:dyDescent="0.3">
      <c r="A395" t="str">
        <f ca="1">ORÇAMENTO!C395</f>
        <v>S</v>
      </c>
      <c r="B395">
        <f ca="1">ORÇAMENTO!D395</f>
        <v>0</v>
      </c>
      <c r="C395" s="143" t="str">
        <f t="shared" ref="C395:C461" ca="1" si="67">IF(OR($I395&gt;0,$A395=1,$A395=2,$A395=3,$A395=4),"F","")</f>
        <v/>
      </c>
      <c r="D395" s="146" t="str">
        <f ca="1">ORÇAMENTO!O395</f>
        <v>-</v>
      </c>
      <c r="E395" s="206" t="str">
        <f t="shared" ref="E395:E461" ca="1" si="68">ORÇAMENTO.Descricao</f>
        <v>(abra o arquivo 'Referência 05-2024.xls)</v>
      </c>
      <c r="F395" s="207" t="str">
        <f t="shared" ref="F395:F461" ca="1" si="69">IF(RegimeExecucao="Global","",ORÇAMENTO.Unidade)</f>
        <v>-</v>
      </c>
      <c r="G395" s="151">
        <f ca="1">IF(RegimeExecucao="Global","",ORÇAMENTO!T395)</f>
        <v>255.62</v>
      </c>
      <c r="H395" s="151">
        <f ca="1">IF(RegimeExecucao="Global","",ORÇAMENTO!W395)</f>
        <v>0</v>
      </c>
      <c r="I395" s="154">
        <f ca="1">ORÇAMENTO!X395</f>
        <v>0</v>
      </c>
      <c r="J395" s="427">
        <f t="shared" ref="J395:J461" ca="1" si="70">IF($A395="S",IF(CAIXA.Modo,BM.AFAnterior,BM.MEDAnterior),IF(AND(RegimeExecucao="Global",$I395&gt;0,COUNTIF($AB$13:$AM$13,BM.medicao-1)&gt;0),M395/$I395*100,0))</f>
        <v>0</v>
      </c>
      <c r="K395" s="151">
        <f t="shared" ref="K395:K461" ca="1" si="71">L395-J395</f>
        <v>0</v>
      </c>
      <c r="L395" s="428">
        <f t="shared" ref="L395:L461" ca="1" si="72">IF($A395="S",IF(CAIXA.Modo,BM.AFAcumulado,BM.MEDAcumulado),IF(AND(RegimeExecucao="Global",$I395&gt;0,COUNTIF($AB$13:$AM$13,BM.medicao)&gt;0),O395/$I395*100,0))</f>
        <v>0</v>
      </c>
      <c r="M395" s="429">
        <f ca="1">IF($A395="S",VTOTALBM,IF($A395=0,0,ROUND(SomaAgrupBM,15-13*ORÇAMENTO!$AF$11)))</f>
        <v>0</v>
      </c>
      <c r="N395" s="430">
        <f t="shared" ref="N395:N461" ca="1" si="73">O395-M395</f>
        <v>0</v>
      </c>
      <c r="O395" s="154">
        <f ca="1">IF($A395="S",VTOTALBM,IF($A395=0,0,ROUND(SomaAgrupBM,15-13*ORÇAMENTO!$AF$11)))</f>
        <v>0</v>
      </c>
      <c r="Q395" s="431"/>
      <c r="R395" s="432"/>
      <c r="T395" s="146" t="str">
        <f t="shared" ref="T395:T461" ca="1" si="74">IF($W395&gt;0,$D395,"")</f>
        <v/>
      </c>
      <c r="U395" s="206" t="str">
        <f t="shared" ref="U395:U461" ca="1" si="75">IF($W395&gt;0,$E395,"")</f>
        <v/>
      </c>
      <c r="V395" s="207" t="str">
        <f t="shared" ref="V395:V461" ca="1" si="76">IF(AND($W395&gt;0,RegimeExecucao="Unitário"),$F395,"")</f>
        <v/>
      </c>
      <c r="W395" s="634">
        <f ca="1">IF($Y395&gt;0,CHOOSE(MATCH(RegimeExecucao,{"Unitário","Global"},0),IF($A395="S",$Y395/$X395,""),($Y395/$X395)*100),0)</f>
        <v>0</v>
      </c>
      <c r="X395" s="433" t="str">
        <f ca="1">IF($Y395&gt;0,CHOOSE(MATCH(RegimeExecucao,{"Unitário","Global"},0),IF($A395="S",ROUND($H395,ORÇAMENTO!$AF$10),""),ROUND($I395,ORÇAMENTO!$AF$11)),"")</f>
        <v/>
      </c>
      <c r="Y395" s="433">
        <f t="shared" ref="Y395:Y461" ca="1" si="77">AO395-O395</f>
        <v>0</v>
      </c>
      <c r="Z395" s="434"/>
      <c r="AB395" s="431"/>
      <c r="AC395" s="599"/>
      <c r="AD395" s="599"/>
      <c r="AE395" s="599"/>
      <c r="AF395" s="599"/>
      <c r="AG395" s="599"/>
      <c r="AH395" s="599"/>
      <c r="AI395" s="599"/>
      <c r="AJ395" s="599"/>
      <c r="AK395" s="599"/>
      <c r="AL395" s="599"/>
      <c r="AM395" s="432"/>
      <c r="AO395">
        <f ca="1">IF($A395="S",IF(BM!$I395=0,0,CHOOSE(MATCH(RegimeExecucao,{"Global","Unitário"},0),ROUND(ROUND(BM.MEDAcumulado,15-13*BM!$A$9)/100*BM!$I395,15-13*ORÇAMENTO!$AF$11),ROUND(ROUND(BM.MEDAcumulado,15-13*BM!$A$9)*ROUND(BM!$H395,15-13*ORÇAMENTO!$AF$10),15-13*ORÇAMENTO!$AF$11))),IF($A395=0,0,ROUND(SomaAgrupBM,15-13*ORÇAMENTO!$AF$11)))</f>
        <v>0</v>
      </c>
    </row>
    <row r="396" spans="1:41" ht="13.8" x14ac:dyDescent="0.3">
      <c r="A396" t="str">
        <f ca="1">ORÇAMENTO!C396</f>
        <v>S</v>
      </c>
      <c r="B396">
        <f ca="1">ORÇAMENTO!D396</f>
        <v>0</v>
      </c>
      <c r="C396" s="143" t="str">
        <f t="shared" ca="1" si="67"/>
        <v/>
      </c>
      <c r="D396" s="146" t="str">
        <f ca="1">ORÇAMENTO!O396</f>
        <v>-</v>
      </c>
      <c r="E396" s="206" t="str">
        <f t="shared" ca="1" si="68"/>
        <v>(abra o arquivo 'Referência 05-2024.xls)</v>
      </c>
      <c r="F396" s="207" t="str">
        <f t="shared" ca="1" si="69"/>
        <v>-</v>
      </c>
      <c r="G396" s="151">
        <f ca="1">IF(RegimeExecucao="Global","",ORÇAMENTO!T396)</f>
        <v>31.38</v>
      </c>
      <c r="H396" s="151">
        <f ca="1">IF(RegimeExecucao="Global","",ORÇAMENTO!W396)</f>
        <v>0</v>
      </c>
      <c r="I396" s="154">
        <f ca="1">ORÇAMENTO!X396</f>
        <v>0</v>
      </c>
      <c r="J396" s="427">
        <f t="shared" ca="1" si="70"/>
        <v>0</v>
      </c>
      <c r="K396" s="151">
        <f t="shared" ca="1" si="71"/>
        <v>0</v>
      </c>
      <c r="L396" s="428">
        <f t="shared" ca="1" si="72"/>
        <v>0</v>
      </c>
      <c r="M396" s="429">
        <f ca="1">IF($A396="S",VTOTALBM,IF($A396=0,0,ROUND(SomaAgrupBM,15-13*ORÇAMENTO!$AF$11)))</f>
        <v>0</v>
      </c>
      <c r="N396" s="430">
        <f t="shared" ca="1" si="73"/>
        <v>0</v>
      </c>
      <c r="O396" s="154">
        <f ca="1">IF($A396="S",VTOTALBM,IF($A396=0,0,ROUND(SomaAgrupBM,15-13*ORÇAMENTO!$AF$11)))</f>
        <v>0</v>
      </c>
      <c r="Q396" s="431"/>
      <c r="R396" s="432"/>
      <c r="T396" s="146" t="str">
        <f t="shared" ca="1" si="74"/>
        <v/>
      </c>
      <c r="U396" s="206" t="str">
        <f t="shared" ca="1" si="75"/>
        <v/>
      </c>
      <c r="V396" s="207" t="str">
        <f t="shared" ca="1" si="76"/>
        <v/>
      </c>
      <c r="W396" s="634">
        <f ca="1">IF($Y396&gt;0,CHOOSE(MATCH(RegimeExecucao,{"Unitário","Global"},0),IF($A396="S",$Y396/$X396,""),($Y396/$X396)*100),0)</f>
        <v>0</v>
      </c>
      <c r="X396" s="433" t="str">
        <f ca="1">IF($Y396&gt;0,CHOOSE(MATCH(RegimeExecucao,{"Unitário","Global"},0),IF($A396="S",ROUND($H396,ORÇAMENTO!$AF$10),""),ROUND($I396,ORÇAMENTO!$AF$11)),"")</f>
        <v/>
      </c>
      <c r="Y396" s="433">
        <f t="shared" ca="1" si="77"/>
        <v>0</v>
      </c>
      <c r="Z396" s="434"/>
      <c r="AB396" s="431"/>
      <c r="AC396" s="599"/>
      <c r="AD396" s="599"/>
      <c r="AE396" s="599"/>
      <c r="AF396" s="599"/>
      <c r="AG396" s="599"/>
      <c r="AH396" s="599"/>
      <c r="AI396" s="599"/>
      <c r="AJ396" s="599"/>
      <c r="AK396" s="599"/>
      <c r="AL396" s="599"/>
      <c r="AM396" s="432"/>
      <c r="AO396">
        <f ca="1">IF($A396="S",IF(BM!$I396=0,0,CHOOSE(MATCH(RegimeExecucao,{"Global","Unitário"},0),ROUND(ROUND(BM.MEDAcumulado,15-13*BM!$A$9)/100*BM!$I396,15-13*ORÇAMENTO!$AF$11),ROUND(ROUND(BM.MEDAcumulado,15-13*BM!$A$9)*ROUND(BM!$H396,15-13*ORÇAMENTO!$AF$10),15-13*ORÇAMENTO!$AF$11))),IF($A396=0,0,ROUND(SomaAgrupBM,15-13*ORÇAMENTO!$AF$11)))</f>
        <v>0</v>
      </c>
    </row>
    <row r="397" spans="1:41" ht="13.8" x14ac:dyDescent="0.3">
      <c r="A397" t="str">
        <f ca="1">ORÇAMENTO!C397</f>
        <v>S</v>
      </c>
      <c r="B397">
        <f ca="1">ORÇAMENTO!D397</f>
        <v>0</v>
      </c>
      <c r="C397" s="143" t="str">
        <f t="shared" ca="1" si="67"/>
        <v/>
      </c>
      <c r="D397" s="146" t="str">
        <f ca="1">ORÇAMENTO!O397</f>
        <v>-</v>
      </c>
      <c r="E397" s="206" t="str">
        <f t="shared" ca="1" si="68"/>
        <v>(abra o arquivo 'Referência 05-2024.xls)</v>
      </c>
      <c r="F397" s="207" t="str">
        <f t="shared" ca="1" si="69"/>
        <v>-</v>
      </c>
      <c r="G397" s="151">
        <f ca="1">IF(RegimeExecucao="Global","",ORÇAMENTO!T397)</f>
        <v>45</v>
      </c>
      <c r="H397" s="151">
        <f ca="1">IF(RegimeExecucao="Global","",ORÇAMENTO!W397)</f>
        <v>0</v>
      </c>
      <c r="I397" s="154">
        <f ca="1">ORÇAMENTO!X397</f>
        <v>0</v>
      </c>
      <c r="J397" s="427">
        <f t="shared" ca="1" si="70"/>
        <v>0</v>
      </c>
      <c r="K397" s="151">
        <f t="shared" ca="1" si="71"/>
        <v>0</v>
      </c>
      <c r="L397" s="428">
        <f t="shared" ca="1" si="72"/>
        <v>0</v>
      </c>
      <c r="M397" s="429">
        <f ca="1">IF($A397="S",VTOTALBM,IF($A397=0,0,ROUND(SomaAgrupBM,15-13*ORÇAMENTO!$AF$11)))</f>
        <v>0</v>
      </c>
      <c r="N397" s="430">
        <f t="shared" ca="1" si="73"/>
        <v>0</v>
      </c>
      <c r="O397" s="154">
        <f ca="1">IF($A397="S",VTOTALBM,IF($A397=0,0,ROUND(SomaAgrupBM,15-13*ORÇAMENTO!$AF$11)))</f>
        <v>0</v>
      </c>
      <c r="Q397" s="431"/>
      <c r="R397" s="432"/>
      <c r="T397" s="146" t="str">
        <f t="shared" ca="1" si="74"/>
        <v/>
      </c>
      <c r="U397" s="206" t="str">
        <f t="shared" ca="1" si="75"/>
        <v/>
      </c>
      <c r="V397" s="207" t="str">
        <f t="shared" ca="1" si="76"/>
        <v/>
      </c>
      <c r="W397" s="634">
        <f ca="1">IF($Y397&gt;0,CHOOSE(MATCH(RegimeExecucao,{"Unitário","Global"},0),IF($A397="S",$Y397/$X397,""),($Y397/$X397)*100),0)</f>
        <v>0</v>
      </c>
      <c r="X397" s="433" t="str">
        <f ca="1">IF($Y397&gt;0,CHOOSE(MATCH(RegimeExecucao,{"Unitário","Global"},0),IF($A397="S",ROUND($H397,ORÇAMENTO!$AF$10),""),ROUND($I397,ORÇAMENTO!$AF$11)),"")</f>
        <v/>
      </c>
      <c r="Y397" s="433">
        <f t="shared" ca="1" si="77"/>
        <v>0</v>
      </c>
      <c r="Z397" s="434"/>
      <c r="AB397" s="431"/>
      <c r="AC397" s="599"/>
      <c r="AD397" s="599"/>
      <c r="AE397" s="599"/>
      <c r="AF397" s="599"/>
      <c r="AG397" s="599"/>
      <c r="AH397" s="599"/>
      <c r="AI397" s="599"/>
      <c r="AJ397" s="599"/>
      <c r="AK397" s="599"/>
      <c r="AL397" s="599"/>
      <c r="AM397" s="432"/>
      <c r="AO397">
        <f ca="1">IF($A397="S",IF(BM!$I397=0,0,CHOOSE(MATCH(RegimeExecucao,{"Global","Unitário"},0),ROUND(ROUND(BM.MEDAcumulado,15-13*BM!$A$9)/100*BM!$I397,15-13*ORÇAMENTO!$AF$11),ROUND(ROUND(BM.MEDAcumulado,15-13*BM!$A$9)*ROUND(BM!$H397,15-13*ORÇAMENTO!$AF$10),15-13*ORÇAMENTO!$AF$11))),IF($A397=0,0,ROUND(SomaAgrupBM,15-13*ORÇAMENTO!$AF$11)))</f>
        <v>0</v>
      </c>
    </row>
    <row r="398" spans="1:41" ht="13.8" x14ac:dyDescent="0.3">
      <c r="A398" t="str">
        <f ca="1">ORÇAMENTO!C398</f>
        <v>S</v>
      </c>
      <c r="B398">
        <f ca="1">ORÇAMENTO!D398</f>
        <v>0</v>
      </c>
      <c r="C398" s="143" t="str">
        <f t="shared" ca="1" si="67"/>
        <v/>
      </c>
      <c r="D398" s="146" t="str">
        <f ca="1">ORÇAMENTO!O398</f>
        <v>-</v>
      </c>
      <c r="E398" s="206" t="str">
        <f t="shared" ca="1" si="68"/>
        <v>(abra o arquivo 'Referência 05-2024.xls)</v>
      </c>
      <c r="F398" s="207" t="str">
        <f t="shared" ca="1" si="69"/>
        <v>-</v>
      </c>
      <c r="G398" s="151">
        <f ca="1">IF(RegimeExecucao="Global","",ORÇAMENTO!T398)</f>
        <v>29</v>
      </c>
      <c r="H398" s="151">
        <f ca="1">IF(RegimeExecucao="Global","",ORÇAMENTO!W398)</f>
        <v>0</v>
      </c>
      <c r="I398" s="154">
        <f ca="1">ORÇAMENTO!X398</f>
        <v>0</v>
      </c>
      <c r="J398" s="427">
        <f t="shared" ca="1" si="70"/>
        <v>0</v>
      </c>
      <c r="K398" s="151">
        <f t="shared" ca="1" si="71"/>
        <v>0</v>
      </c>
      <c r="L398" s="428">
        <f t="shared" ca="1" si="72"/>
        <v>0</v>
      </c>
      <c r="M398" s="429">
        <f ca="1">IF($A398="S",VTOTALBM,IF($A398=0,0,ROUND(SomaAgrupBM,15-13*ORÇAMENTO!$AF$11)))</f>
        <v>0</v>
      </c>
      <c r="N398" s="430">
        <f t="shared" ca="1" si="73"/>
        <v>0</v>
      </c>
      <c r="O398" s="154">
        <f ca="1">IF($A398="S",VTOTALBM,IF($A398=0,0,ROUND(SomaAgrupBM,15-13*ORÇAMENTO!$AF$11)))</f>
        <v>0</v>
      </c>
      <c r="Q398" s="431"/>
      <c r="R398" s="432"/>
      <c r="T398" s="146" t="str">
        <f t="shared" ca="1" si="74"/>
        <v/>
      </c>
      <c r="U398" s="206" t="str">
        <f t="shared" ca="1" si="75"/>
        <v/>
      </c>
      <c r="V398" s="207" t="str">
        <f t="shared" ca="1" si="76"/>
        <v/>
      </c>
      <c r="W398" s="634">
        <f ca="1">IF($Y398&gt;0,CHOOSE(MATCH(RegimeExecucao,{"Unitário","Global"},0),IF($A398="S",$Y398/$X398,""),($Y398/$X398)*100),0)</f>
        <v>0</v>
      </c>
      <c r="X398" s="433" t="str">
        <f ca="1">IF($Y398&gt;0,CHOOSE(MATCH(RegimeExecucao,{"Unitário","Global"},0),IF($A398="S",ROUND($H398,ORÇAMENTO!$AF$10),""),ROUND($I398,ORÇAMENTO!$AF$11)),"")</f>
        <v/>
      </c>
      <c r="Y398" s="433">
        <f t="shared" ca="1" si="77"/>
        <v>0</v>
      </c>
      <c r="Z398" s="434"/>
      <c r="AB398" s="431"/>
      <c r="AC398" s="599"/>
      <c r="AD398" s="599"/>
      <c r="AE398" s="599"/>
      <c r="AF398" s="599"/>
      <c r="AG398" s="599"/>
      <c r="AH398" s="599"/>
      <c r="AI398" s="599"/>
      <c r="AJ398" s="599"/>
      <c r="AK398" s="599"/>
      <c r="AL398" s="599"/>
      <c r="AM398" s="432"/>
      <c r="AO398">
        <f ca="1">IF($A398="S",IF(BM!$I398=0,0,CHOOSE(MATCH(RegimeExecucao,{"Global","Unitário"},0),ROUND(ROUND(BM.MEDAcumulado,15-13*BM!$A$9)/100*BM!$I398,15-13*ORÇAMENTO!$AF$11),ROUND(ROUND(BM.MEDAcumulado,15-13*BM!$A$9)*ROUND(BM!$H398,15-13*ORÇAMENTO!$AF$10),15-13*ORÇAMENTO!$AF$11))),IF($A398=0,0,ROUND(SomaAgrupBM,15-13*ORÇAMENTO!$AF$11)))</f>
        <v>0</v>
      </c>
    </row>
    <row r="399" spans="1:41" ht="13.8" x14ac:dyDescent="0.3">
      <c r="A399" t="str">
        <f ca="1">ORÇAMENTO!C399</f>
        <v>S</v>
      </c>
      <c r="B399">
        <f ca="1">ORÇAMENTO!D399</f>
        <v>0</v>
      </c>
      <c r="C399" s="143" t="str">
        <f t="shared" ca="1" si="67"/>
        <v/>
      </c>
      <c r="D399" s="146" t="str">
        <f ca="1">ORÇAMENTO!O399</f>
        <v>-</v>
      </c>
      <c r="E399" s="206" t="str">
        <f t="shared" ca="1" si="68"/>
        <v>(abra o arquivo 'Referência 05-2024.xls)</v>
      </c>
      <c r="F399" s="207" t="str">
        <f t="shared" ca="1" si="69"/>
        <v>-</v>
      </c>
      <c r="G399" s="151">
        <f ca="1">IF(RegimeExecucao="Global","",ORÇAMENTO!T399)</f>
        <v>3</v>
      </c>
      <c r="H399" s="151">
        <f ca="1">IF(RegimeExecucao="Global","",ORÇAMENTO!W399)</f>
        <v>0</v>
      </c>
      <c r="I399" s="154">
        <f ca="1">ORÇAMENTO!X399</f>
        <v>0</v>
      </c>
      <c r="J399" s="427">
        <f t="shared" ca="1" si="70"/>
        <v>0</v>
      </c>
      <c r="K399" s="151">
        <f t="shared" ca="1" si="71"/>
        <v>0</v>
      </c>
      <c r="L399" s="428">
        <f t="shared" ca="1" si="72"/>
        <v>0</v>
      </c>
      <c r="M399" s="429">
        <f ca="1">IF($A399="S",VTOTALBM,IF($A399=0,0,ROUND(SomaAgrupBM,15-13*ORÇAMENTO!$AF$11)))</f>
        <v>0</v>
      </c>
      <c r="N399" s="430">
        <f t="shared" ca="1" si="73"/>
        <v>0</v>
      </c>
      <c r="O399" s="154">
        <f ca="1">IF($A399="S",VTOTALBM,IF($A399=0,0,ROUND(SomaAgrupBM,15-13*ORÇAMENTO!$AF$11)))</f>
        <v>0</v>
      </c>
      <c r="Q399" s="431"/>
      <c r="R399" s="432"/>
      <c r="T399" s="146" t="str">
        <f t="shared" ca="1" si="74"/>
        <v/>
      </c>
      <c r="U399" s="206" t="str">
        <f t="shared" ca="1" si="75"/>
        <v/>
      </c>
      <c r="V399" s="207" t="str">
        <f t="shared" ca="1" si="76"/>
        <v/>
      </c>
      <c r="W399" s="634">
        <f ca="1">IF($Y399&gt;0,CHOOSE(MATCH(RegimeExecucao,{"Unitário","Global"},0),IF($A399="S",$Y399/$X399,""),($Y399/$X399)*100),0)</f>
        <v>0</v>
      </c>
      <c r="X399" s="433" t="str">
        <f ca="1">IF($Y399&gt;0,CHOOSE(MATCH(RegimeExecucao,{"Unitário","Global"},0),IF($A399="S",ROUND($H399,ORÇAMENTO!$AF$10),""),ROUND($I399,ORÇAMENTO!$AF$11)),"")</f>
        <v/>
      </c>
      <c r="Y399" s="433">
        <f t="shared" ca="1" si="77"/>
        <v>0</v>
      </c>
      <c r="Z399" s="434"/>
      <c r="AB399" s="431"/>
      <c r="AC399" s="599"/>
      <c r="AD399" s="599"/>
      <c r="AE399" s="599"/>
      <c r="AF399" s="599"/>
      <c r="AG399" s="599"/>
      <c r="AH399" s="599"/>
      <c r="AI399" s="599"/>
      <c r="AJ399" s="599"/>
      <c r="AK399" s="599"/>
      <c r="AL399" s="599"/>
      <c r="AM399" s="432"/>
      <c r="AO399">
        <f ca="1">IF($A399="S",IF(BM!$I399=0,0,CHOOSE(MATCH(RegimeExecucao,{"Global","Unitário"},0),ROUND(ROUND(BM.MEDAcumulado,15-13*BM!$A$9)/100*BM!$I399,15-13*ORÇAMENTO!$AF$11),ROUND(ROUND(BM.MEDAcumulado,15-13*BM!$A$9)*ROUND(BM!$H399,15-13*ORÇAMENTO!$AF$10),15-13*ORÇAMENTO!$AF$11))),IF($A399=0,0,ROUND(SomaAgrupBM,15-13*ORÇAMENTO!$AF$11)))</f>
        <v>0</v>
      </c>
    </row>
    <row r="400" spans="1:41" ht="13.8" x14ac:dyDescent="0.3">
      <c r="A400" t="str">
        <f ca="1">ORÇAMENTO!C400</f>
        <v>S</v>
      </c>
      <c r="B400">
        <f ca="1">ORÇAMENTO!D400</f>
        <v>0</v>
      </c>
      <c r="C400" s="143" t="str">
        <f t="shared" ca="1" si="67"/>
        <v/>
      </c>
      <c r="D400" s="146" t="str">
        <f ca="1">ORÇAMENTO!O400</f>
        <v>-</v>
      </c>
      <c r="E400" s="206" t="str">
        <f t="shared" ca="1" si="68"/>
        <v>(abra o arquivo 'Referência 05-2024.xls)</v>
      </c>
      <c r="F400" s="207" t="str">
        <f t="shared" ca="1" si="69"/>
        <v>-</v>
      </c>
      <c r="G400" s="151">
        <f ca="1">IF(RegimeExecucao="Global","",ORÇAMENTO!T400)</f>
        <v>16</v>
      </c>
      <c r="H400" s="151">
        <f ca="1">IF(RegimeExecucao="Global","",ORÇAMENTO!W400)</f>
        <v>0</v>
      </c>
      <c r="I400" s="154">
        <f ca="1">ORÇAMENTO!X400</f>
        <v>0</v>
      </c>
      <c r="J400" s="427">
        <f t="shared" ca="1" si="70"/>
        <v>0</v>
      </c>
      <c r="K400" s="151">
        <f t="shared" ca="1" si="71"/>
        <v>0</v>
      </c>
      <c r="L400" s="428">
        <f t="shared" ca="1" si="72"/>
        <v>0</v>
      </c>
      <c r="M400" s="429">
        <f ca="1">IF($A400="S",VTOTALBM,IF($A400=0,0,ROUND(SomaAgrupBM,15-13*ORÇAMENTO!$AF$11)))</f>
        <v>0</v>
      </c>
      <c r="N400" s="430">
        <f t="shared" ca="1" si="73"/>
        <v>0</v>
      </c>
      <c r="O400" s="154">
        <f ca="1">IF($A400="S",VTOTALBM,IF($A400=0,0,ROUND(SomaAgrupBM,15-13*ORÇAMENTO!$AF$11)))</f>
        <v>0</v>
      </c>
      <c r="Q400" s="431"/>
      <c r="R400" s="432"/>
      <c r="T400" s="146" t="str">
        <f t="shared" ca="1" si="74"/>
        <v/>
      </c>
      <c r="U400" s="206" t="str">
        <f t="shared" ca="1" si="75"/>
        <v/>
      </c>
      <c r="V400" s="207" t="str">
        <f t="shared" ca="1" si="76"/>
        <v/>
      </c>
      <c r="W400" s="634">
        <f ca="1">IF($Y400&gt;0,CHOOSE(MATCH(RegimeExecucao,{"Unitário","Global"},0),IF($A400="S",$Y400/$X400,""),($Y400/$X400)*100),0)</f>
        <v>0</v>
      </c>
      <c r="X400" s="433" t="str">
        <f ca="1">IF($Y400&gt;0,CHOOSE(MATCH(RegimeExecucao,{"Unitário","Global"},0),IF($A400="S",ROUND($H400,ORÇAMENTO!$AF$10),""),ROUND($I400,ORÇAMENTO!$AF$11)),"")</f>
        <v/>
      </c>
      <c r="Y400" s="433">
        <f t="shared" ca="1" si="77"/>
        <v>0</v>
      </c>
      <c r="Z400" s="434"/>
      <c r="AB400" s="431"/>
      <c r="AC400" s="599"/>
      <c r="AD400" s="599"/>
      <c r="AE400" s="599"/>
      <c r="AF400" s="599"/>
      <c r="AG400" s="599"/>
      <c r="AH400" s="599"/>
      <c r="AI400" s="599"/>
      <c r="AJ400" s="599"/>
      <c r="AK400" s="599"/>
      <c r="AL400" s="599"/>
      <c r="AM400" s="432"/>
      <c r="AO400">
        <f ca="1">IF($A400="S",IF(BM!$I400=0,0,CHOOSE(MATCH(RegimeExecucao,{"Global","Unitário"},0),ROUND(ROUND(BM.MEDAcumulado,15-13*BM!$A$9)/100*BM!$I400,15-13*ORÇAMENTO!$AF$11),ROUND(ROUND(BM.MEDAcumulado,15-13*BM!$A$9)*ROUND(BM!$H400,15-13*ORÇAMENTO!$AF$10),15-13*ORÇAMENTO!$AF$11))),IF($A400=0,0,ROUND(SomaAgrupBM,15-13*ORÇAMENTO!$AF$11)))</f>
        <v>0</v>
      </c>
    </row>
    <row r="401" spans="1:41" ht="13.8" x14ac:dyDescent="0.3">
      <c r="A401" t="str">
        <f ca="1">ORÇAMENTO!C401</f>
        <v>S</v>
      </c>
      <c r="B401">
        <f ca="1">ORÇAMENTO!D401</f>
        <v>0</v>
      </c>
      <c r="C401" s="143" t="str">
        <f t="shared" ca="1" si="67"/>
        <v/>
      </c>
      <c r="D401" s="146" t="str">
        <f ca="1">ORÇAMENTO!O401</f>
        <v>-</v>
      </c>
      <c r="E401" s="206" t="str">
        <f t="shared" ca="1" si="68"/>
        <v>(abra o arquivo 'Referência 05-2024.xls)</v>
      </c>
      <c r="F401" s="207" t="str">
        <f t="shared" ca="1" si="69"/>
        <v>-</v>
      </c>
      <c r="G401" s="151">
        <f ca="1">IF(RegimeExecucao="Global","",ORÇAMENTO!T401)</f>
        <v>59</v>
      </c>
      <c r="H401" s="151">
        <f ca="1">IF(RegimeExecucao="Global","",ORÇAMENTO!W401)</f>
        <v>0</v>
      </c>
      <c r="I401" s="154">
        <f ca="1">ORÇAMENTO!X401</f>
        <v>0</v>
      </c>
      <c r="J401" s="427">
        <f t="shared" ca="1" si="70"/>
        <v>0</v>
      </c>
      <c r="K401" s="151">
        <f t="shared" ca="1" si="71"/>
        <v>0</v>
      </c>
      <c r="L401" s="428">
        <f t="shared" ca="1" si="72"/>
        <v>0</v>
      </c>
      <c r="M401" s="429">
        <f ca="1">IF($A401="S",VTOTALBM,IF($A401=0,0,ROUND(SomaAgrupBM,15-13*ORÇAMENTO!$AF$11)))</f>
        <v>0</v>
      </c>
      <c r="N401" s="430">
        <f t="shared" ca="1" si="73"/>
        <v>0</v>
      </c>
      <c r="O401" s="154">
        <f ca="1">IF($A401="S",VTOTALBM,IF($A401=0,0,ROUND(SomaAgrupBM,15-13*ORÇAMENTO!$AF$11)))</f>
        <v>0</v>
      </c>
      <c r="Q401" s="431"/>
      <c r="R401" s="432"/>
      <c r="T401" s="146" t="str">
        <f t="shared" ca="1" si="74"/>
        <v/>
      </c>
      <c r="U401" s="206" t="str">
        <f t="shared" ca="1" si="75"/>
        <v/>
      </c>
      <c r="V401" s="207" t="str">
        <f t="shared" ca="1" si="76"/>
        <v/>
      </c>
      <c r="W401" s="634">
        <f ca="1">IF($Y401&gt;0,CHOOSE(MATCH(RegimeExecucao,{"Unitário","Global"},0),IF($A401="S",$Y401/$X401,""),($Y401/$X401)*100),0)</f>
        <v>0</v>
      </c>
      <c r="X401" s="433" t="str">
        <f ca="1">IF($Y401&gt;0,CHOOSE(MATCH(RegimeExecucao,{"Unitário","Global"},0),IF($A401="S",ROUND($H401,ORÇAMENTO!$AF$10),""),ROUND($I401,ORÇAMENTO!$AF$11)),"")</f>
        <v/>
      </c>
      <c r="Y401" s="433">
        <f t="shared" ca="1" si="77"/>
        <v>0</v>
      </c>
      <c r="Z401" s="434"/>
      <c r="AB401" s="431"/>
      <c r="AC401" s="599"/>
      <c r="AD401" s="599"/>
      <c r="AE401" s="599"/>
      <c r="AF401" s="599"/>
      <c r="AG401" s="599"/>
      <c r="AH401" s="599"/>
      <c r="AI401" s="599"/>
      <c r="AJ401" s="599"/>
      <c r="AK401" s="599"/>
      <c r="AL401" s="599"/>
      <c r="AM401" s="432"/>
      <c r="AO401">
        <f ca="1">IF($A401="S",IF(BM!$I401=0,0,CHOOSE(MATCH(RegimeExecucao,{"Global","Unitário"},0),ROUND(ROUND(BM.MEDAcumulado,15-13*BM!$A$9)/100*BM!$I401,15-13*ORÇAMENTO!$AF$11),ROUND(ROUND(BM.MEDAcumulado,15-13*BM!$A$9)*ROUND(BM!$H401,15-13*ORÇAMENTO!$AF$10),15-13*ORÇAMENTO!$AF$11))),IF($A401=0,0,ROUND(SomaAgrupBM,15-13*ORÇAMENTO!$AF$11)))</f>
        <v>0</v>
      </c>
    </row>
    <row r="402" spans="1:41" ht="13.8" x14ac:dyDescent="0.3">
      <c r="A402" t="str">
        <f ca="1">ORÇAMENTO!C402</f>
        <v>S</v>
      </c>
      <c r="B402">
        <f ca="1">ORÇAMENTO!D402</f>
        <v>0</v>
      </c>
      <c r="C402" s="143" t="str">
        <f t="shared" ca="1" si="67"/>
        <v/>
      </c>
      <c r="D402" s="146" t="str">
        <f ca="1">ORÇAMENTO!O402</f>
        <v>-</v>
      </c>
      <c r="E402" s="206" t="str">
        <f t="shared" ca="1" si="68"/>
        <v>(abra o arquivo 'Referência 05-2024.xls)</v>
      </c>
      <c r="F402" s="207" t="str">
        <f t="shared" ca="1" si="69"/>
        <v>-</v>
      </c>
      <c r="G402" s="151">
        <f ca="1">IF(RegimeExecucao="Global","",ORÇAMENTO!T402)</f>
        <v>24</v>
      </c>
      <c r="H402" s="151">
        <f ca="1">IF(RegimeExecucao="Global","",ORÇAMENTO!W402)</f>
        <v>0</v>
      </c>
      <c r="I402" s="154">
        <f ca="1">ORÇAMENTO!X402</f>
        <v>0</v>
      </c>
      <c r="J402" s="427">
        <f t="shared" ca="1" si="70"/>
        <v>0</v>
      </c>
      <c r="K402" s="151">
        <f t="shared" ca="1" si="71"/>
        <v>0</v>
      </c>
      <c r="L402" s="428">
        <f t="shared" ca="1" si="72"/>
        <v>0</v>
      </c>
      <c r="M402" s="429">
        <f ca="1">IF($A402="S",VTOTALBM,IF($A402=0,0,ROUND(SomaAgrupBM,15-13*ORÇAMENTO!$AF$11)))</f>
        <v>0</v>
      </c>
      <c r="N402" s="430">
        <f t="shared" ca="1" si="73"/>
        <v>0</v>
      </c>
      <c r="O402" s="154">
        <f ca="1">IF($A402="S",VTOTALBM,IF($A402=0,0,ROUND(SomaAgrupBM,15-13*ORÇAMENTO!$AF$11)))</f>
        <v>0</v>
      </c>
      <c r="Q402" s="431"/>
      <c r="R402" s="432"/>
      <c r="T402" s="146" t="str">
        <f t="shared" ca="1" si="74"/>
        <v/>
      </c>
      <c r="U402" s="206" t="str">
        <f t="shared" ca="1" si="75"/>
        <v/>
      </c>
      <c r="V402" s="207" t="str">
        <f t="shared" ca="1" si="76"/>
        <v/>
      </c>
      <c r="W402" s="634">
        <f ca="1">IF($Y402&gt;0,CHOOSE(MATCH(RegimeExecucao,{"Unitário","Global"},0),IF($A402="S",$Y402/$X402,""),($Y402/$X402)*100),0)</f>
        <v>0</v>
      </c>
      <c r="X402" s="433" t="str">
        <f ca="1">IF($Y402&gt;0,CHOOSE(MATCH(RegimeExecucao,{"Unitário","Global"},0),IF($A402="S",ROUND($H402,ORÇAMENTO!$AF$10),""),ROUND($I402,ORÇAMENTO!$AF$11)),"")</f>
        <v/>
      </c>
      <c r="Y402" s="433">
        <f t="shared" ca="1" si="77"/>
        <v>0</v>
      </c>
      <c r="Z402" s="434"/>
      <c r="AB402" s="431"/>
      <c r="AC402" s="599"/>
      <c r="AD402" s="599"/>
      <c r="AE402" s="599"/>
      <c r="AF402" s="599"/>
      <c r="AG402" s="599"/>
      <c r="AH402" s="599"/>
      <c r="AI402" s="599"/>
      <c r="AJ402" s="599"/>
      <c r="AK402" s="599"/>
      <c r="AL402" s="599"/>
      <c r="AM402" s="432"/>
      <c r="AO402">
        <f ca="1">IF($A402="S",IF(BM!$I402=0,0,CHOOSE(MATCH(RegimeExecucao,{"Global","Unitário"},0),ROUND(ROUND(BM.MEDAcumulado,15-13*BM!$A$9)/100*BM!$I402,15-13*ORÇAMENTO!$AF$11),ROUND(ROUND(BM.MEDAcumulado,15-13*BM!$A$9)*ROUND(BM!$H402,15-13*ORÇAMENTO!$AF$10),15-13*ORÇAMENTO!$AF$11))),IF($A402=0,0,ROUND(SomaAgrupBM,15-13*ORÇAMENTO!$AF$11)))</f>
        <v>0</v>
      </c>
    </row>
    <row r="403" spans="1:41" ht="13.8" x14ac:dyDescent="0.3">
      <c r="A403" t="str">
        <f ca="1">ORÇAMENTO!C403</f>
        <v>S</v>
      </c>
      <c r="B403">
        <f ca="1">ORÇAMENTO!D403</f>
        <v>0</v>
      </c>
      <c r="C403" s="143" t="str">
        <f t="shared" ca="1" si="67"/>
        <v/>
      </c>
      <c r="D403" s="146" t="str">
        <f ca="1">ORÇAMENTO!O403</f>
        <v>-</v>
      </c>
      <c r="E403" s="206" t="str">
        <f t="shared" ca="1" si="68"/>
        <v>(abra o arquivo 'Referência 05-2024.xls)</v>
      </c>
      <c r="F403" s="207" t="str">
        <f t="shared" ca="1" si="69"/>
        <v>-</v>
      </c>
      <c r="G403" s="151">
        <f ca="1">IF(RegimeExecucao="Global","",ORÇAMENTO!T403)</f>
        <v>24</v>
      </c>
      <c r="H403" s="151">
        <f ca="1">IF(RegimeExecucao="Global","",ORÇAMENTO!W403)</f>
        <v>0</v>
      </c>
      <c r="I403" s="154">
        <f ca="1">ORÇAMENTO!X403</f>
        <v>0</v>
      </c>
      <c r="J403" s="427">
        <f t="shared" ca="1" si="70"/>
        <v>0</v>
      </c>
      <c r="K403" s="151">
        <f t="shared" ca="1" si="71"/>
        <v>0</v>
      </c>
      <c r="L403" s="428">
        <f t="shared" ca="1" si="72"/>
        <v>0</v>
      </c>
      <c r="M403" s="429">
        <f ca="1">IF($A403="S",VTOTALBM,IF($A403=0,0,ROUND(SomaAgrupBM,15-13*ORÇAMENTO!$AF$11)))</f>
        <v>0</v>
      </c>
      <c r="N403" s="430">
        <f t="shared" ca="1" si="73"/>
        <v>0</v>
      </c>
      <c r="O403" s="154">
        <f ca="1">IF($A403="S",VTOTALBM,IF($A403=0,0,ROUND(SomaAgrupBM,15-13*ORÇAMENTO!$AF$11)))</f>
        <v>0</v>
      </c>
      <c r="Q403" s="431"/>
      <c r="R403" s="432"/>
      <c r="T403" s="146" t="str">
        <f t="shared" ca="1" si="74"/>
        <v/>
      </c>
      <c r="U403" s="206" t="str">
        <f t="shared" ca="1" si="75"/>
        <v/>
      </c>
      <c r="V403" s="207" t="str">
        <f t="shared" ca="1" si="76"/>
        <v/>
      </c>
      <c r="W403" s="634">
        <f ca="1">IF($Y403&gt;0,CHOOSE(MATCH(RegimeExecucao,{"Unitário","Global"},0),IF($A403="S",$Y403/$X403,""),($Y403/$X403)*100),0)</f>
        <v>0</v>
      </c>
      <c r="X403" s="433" t="str">
        <f ca="1">IF($Y403&gt;0,CHOOSE(MATCH(RegimeExecucao,{"Unitário","Global"},0),IF($A403="S",ROUND($H403,ORÇAMENTO!$AF$10),""),ROUND($I403,ORÇAMENTO!$AF$11)),"")</f>
        <v/>
      </c>
      <c r="Y403" s="433">
        <f t="shared" ca="1" si="77"/>
        <v>0</v>
      </c>
      <c r="Z403" s="434"/>
      <c r="AB403" s="431"/>
      <c r="AC403" s="599"/>
      <c r="AD403" s="599"/>
      <c r="AE403" s="599"/>
      <c r="AF403" s="599"/>
      <c r="AG403" s="599"/>
      <c r="AH403" s="599"/>
      <c r="AI403" s="599"/>
      <c r="AJ403" s="599"/>
      <c r="AK403" s="599"/>
      <c r="AL403" s="599"/>
      <c r="AM403" s="432"/>
      <c r="AO403">
        <f ca="1">IF($A403="S",IF(BM!$I403=0,0,CHOOSE(MATCH(RegimeExecucao,{"Global","Unitário"},0),ROUND(ROUND(BM.MEDAcumulado,15-13*BM!$A$9)/100*BM!$I403,15-13*ORÇAMENTO!$AF$11),ROUND(ROUND(BM.MEDAcumulado,15-13*BM!$A$9)*ROUND(BM!$H403,15-13*ORÇAMENTO!$AF$10),15-13*ORÇAMENTO!$AF$11))),IF($A403=0,0,ROUND(SomaAgrupBM,15-13*ORÇAMENTO!$AF$11)))</f>
        <v>0</v>
      </c>
    </row>
    <row r="404" spans="1:41" ht="13.8" x14ac:dyDescent="0.3">
      <c r="A404" t="str">
        <f ca="1">ORÇAMENTO!C404</f>
        <v>S</v>
      </c>
      <c r="B404">
        <f ca="1">ORÇAMENTO!D404</f>
        <v>0</v>
      </c>
      <c r="C404" s="143" t="str">
        <f t="shared" ca="1" si="67"/>
        <v/>
      </c>
      <c r="D404" s="146" t="str">
        <f ca="1">ORÇAMENTO!O404</f>
        <v>-</v>
      </c>
      <c r="E404" s="206" t="str">
        <f t="shared" ca="1" si="68"/>
        <v>(abra o arquivo 'Referência 05-2024.xls)</v>
      </c>
      <c r="F404" s="207" t="str">
        <f t="shared" ca="1" si="69"/>
        <v>-</v>
      </c>
      <c r="G404" s="151">
        <f ca="1">IF(RegimeExecucao="Global","",ORÇAMENTO!T404)</f>
        <v>1</v>
      </c>
      <c r="H404" s="151">
        <f ca="1">IF(RegimeExecucao="Global","",ORÇAMENTO!W404)</f>
        <v>0</v>
      </c>
      <c r="I404" s="154">
        <f ca="1">ORÇAMENTO!X404</f>
        <v>0</v>
      </c>
      <c r="J404" s="427">
        <f t="shared" ca="1" si="70"/>
        <v>0</v>
      </c>
      <c r="K404" s="151">
        <f t="shared" ca="1" si="71"/>
        <v>0</v>
      </c>
      <c r="L404" s="428">
        <f t="shared" ca="1" si="72"/>
        <v>0</v>
      </c>
      <c r="M404" s="429">
        <f ca="1">IF($A404="S",VTOTALBM,IF($A404=0,0,ROUND(SomaAgrupBM,15-13*ORÇAMENTO!$AF$11)))</f>
        <v>0</v>
      </c>
      <c r="N404" s="430">
        <f t="shared" ca="1" si="73"/>
        <v>0</v>
      </c>
      <c r="O404" s="154">
        <f ca="1">IF($A404="S",VTOTALBM,IF($A404=0,0,ROUND(SomaAgrupBM,15-13*ORÇAMENTO!$AF$11)))</f>
        <v>0</v>
      </c>
      <c r="Q404" s="431"/>
      <c r="R404" s="432"/>
      <c r="T404" s="146" t="str">
        <f t="shared" ca="1" si="74"/>
        <v/>
      </c>
      <c r="U404" s="206" t="str">
        <f t="shared" ca="1" si="75"/>
        <v/>
      </c>
      <c r="V404" s="207" t="str">
        <f t="shared" ca="1" si="76"/>
        <v/>
      </c>
      <c r="W404" s="634">
        <f ca="1">IF($Y404&gt;0,CHOOSE(MATCH(RegimeExecucao,{"Unitário","Global"},0),IF($A404="S",$Y404/$X404,""),($Y404/$X404)*100),0)</f>
        <v>0</v>
      </c>
      <c r="X404" s="433" t="str">
        <f ca="1">IF($Y404&gt;0,CHOOSE(MATCH(RegimeExecucao,{"Unitário","Global"},0),IF($A404="S",ROUND($H404,ORÇAMENTO!$AF$10),""),ROUND($I404,ORÇAMENTO!$AF$11)),"")</f>
        <v/>
      </c>
      <c r="Y404" s="433">
        <f t="shared" ca="1" si="77"/>
        <v>0</v>
      </c>
      <c r="Z404" s="434"/>
      <c r="AB404" s="431"/>
      <c r="AC404" s="599"/>
      <c r="AD404" s="599"/>
      <c r="AE404" s="599"/>
      <c r="AF404" s="599"/>
      <c r="AG404" s="599"/>
      <c r="AH404" s="599"/>
      <c r="AI404" s="599"/>
      <c r="AJ404" s="599"/>
      <c r="AK404" s="599"/>
      <c r="AL404" s="599"/>
      <c r="AM404" s="432"/>
      <c r="AO404">
        <f ca="1">IF($A404="S",IF(BM!$I404=0,0,CHOOSE(MATCH(RegimeExecucao,{"Global","Unitário"},0),ROUND(ROUND(BM.MEDAcumulado,15-13*BM!$A$9)/100*BM!$I404,15-13*ORÇAMENTO!$AF$11),ROUND(ROUND(BM.MEDAcumulado,15-13*BM!$A$9)*ROUND(BM!$H404,15-13*ORÇAMENTO!$AF$10),15-13*ORÇAMENTO!$AF$11))),IF($A404=0,0,ROUND(SomaAgrupBM,15-13*ORÇAMENTO!$AF$11)))</f>
        <v>0</v>
      </c>
    </row>
    <row r="405" spans="1:41" ht="13.8" x14ac:dyDescent="0.3">
      <c r="A405" t="str">
        <f ca="1">ORÇAMENTO!C405</f>
        <v>S</v>
      </c>
      <c r="B405">
        <f ca="1">ORÇAMENTO!D405</f>
        <v>0</v>
      </c>
      <c r="C405" s="143" t="str">
        <f t="shared" ca="1" si="67"/>
        <v/>
      </c>
      <c r="D405" s="146" t="str">
        <f ca="1">ORÇAMENTO!O405</f>
        <v>-</v>
      </c>
      <c r="E405" s="206" t="str">
        <f t="shared" ca="1" si="68"/>
        <v>(abra o arquivo 'Referência 05-2024.xls)</v>
      </c>
      <c r="F405" s="207" t="str">
        <f t="shared" ca="1" si="69"/>
        <v>-</v>
      </c>
      <c r="G405" s="151">
        <f ca="1">IF(RegimeExecucao="Global","",ORÇAMENTO!T405)</f>
        <v>12</v>
      </c>
      <c r="H405" s="151">
        <f ca="1">IF(RegimeExecucao="Global","",ORÇAMENTO!W405)</f>
        <v>0</v>
      </c>
      <c r="I405" s="154">
        <f ca="1">ORÇAMENTO!X405</f>
        <v>0</v>
      </c>
      <c r="J405" s="427">
        <f t="shared" ca="1" si="70"/>
        <v>0</v>
      </c>
      <c r="K405" s="151">
        <f t="shared" ca="1" si="71"/>
        <v>0</v>
      </c>
      <c r="L405" s="428">
        <f t="shared" ca="1" si="72"/>
        <v>0</v>
      </c>
      <c r="M405" s="429">
        <f ca="1">IF($A405="S",VTOTALBM,IF($A405=0,0,ROUND(SomaAgrupBM,15-13*ORÇAMENTO!$AF$11)))</f>
        <v>0</v>
      </c>
      <c r="N405" s="430">
        <f t="shared" ca="1" si="73"/>
        <v>0</v>
      </c>
      <c r="O405" s="154">
        <f ca="1">IF($A405="S",VTOTALBM,IF($A405=0,0,ROUND(SomaAgrupBM,15-13*ORÇAMENTO!$AF$11)))</f>
        <v>0</v>
      </c>
      <c r="Q405" s="431"/>
      <c r="R405" s="432"/>
      <c r="T405" s="146" t="str">
        <f t="shared" ca="1" si="74"/>
        <v/>
      </c>
      <c r="U405" s="206" t="str">
        <f t="shared" ca="1" si="75"/>
        <v/>
      </c>
      <c r="V405" s="207" t="str">
        <f t="shared" ca="1" si="76"/>
        <v/>
      </c>
      <c r="W405" s="634">
        <f ca="1">IF($Y405&gt;0,CHOOSE(MATCH(RegimeExecucao,{"Unitário","Global"},0),IF($A405="S",$Y405/$X405,""),($Y405/$X405)*100),0)</f>
        <v>0</v>
      </c>
      <c r="X405" s="433" t="str">
        <f ca="1">IF($Y405&gt;0,CHOOSE(MATCH(RegimeExecucao,{"Unitário","Global"},0),IF($A405="S",ROUND($H405,ORÇAMENTO!$AF$10),""),ROUND($I405,ORÇAMENTO!$AF$11)),"")</f>
        <v/>
      </c>
      <c r="Y405" s="433">
        <f t="shared" ca="1" si="77"/>
        <v>0</v>
      </c>
      <c r="Z405" s="434"/>
      <c r="AB405" s="431"/>
      <c r="AC405" s="599"/>
      <c r="AD405" s="599"/>
      <c r="AE405" s="599"/>
      <c r="AF405" s="599"/>
      <c r="AG405" s="599"/>
      <c r="AH405" s="599"/>
      <c r="AI405" s="599"/>
      <c r="AJ405" s="599"/>
      <c r="AK405" s="599"/>
      <c r="AL405" s="599"/>
      <c r="AM405" s="432"/>
      <c r="AO405">
        <f ca="1">IF($A405="S",IF(BM!$I405=0,0,CHOOSE(MATCH(RegimeExecucao,{"Global","Unitário"},0),ROUND(ROUND(BM.MEDAcumulado,15-13*BM!$A$9)/100*BM!$I405,15-13*ORÇAMENTO!$AF$11),ROUND(ROUND(BM.MEDAcumulado,15-13*BM!$A$9)*ROUND(BM!$H405,15-13*ORÇAMENTO!$AF$10),15-13*ORÇAMENTO!$AF$11))),IF($A405=0,0,ROUND(SomaAgrupBM,15-13*ORÇAMENTO!$AF$11)))</f>
        <v>0</v>
      </c>
    </row>
    <row r="406" spans="1:41" ht="13.8" x14ac:dyDescent="0.3">
      <c r="A406" t="str">
        <f ca="1">ORÇAMENTO!C406</f>
        <v>S</v>
      </c>
      <c r="B406">
        <f ca="1">ORÇAMENTO!D406</f>
        <v>0</v>
      </c>
      <c r="C406" s="143" t="str">
        <f t="shared" ca="1" si="67"/>
        <v/>
      </c>
      <c r="D406" s="146" t="str">
        <f ca="1">ORÇAMENTO!O406</f>
        <v>-</v>
      </c>
      <c r="E406" s="206" t="str">
        <f t="shared" ca="1" si="68"/>
        <v>(abra o arquivo 'Referência 05-2024.xls)</v>
      </c>
      <c r="F406" s="207" t="str">
        <f t="shared" ca="1" si="69"/>
        <v>-</v>
      </c>
      <c r="G406" s="151">
        <f ca="1">IF(RegimeExecucao="Global","",ORÇAMENTO!T406)</f>
        <v>5</v>
      </c>
      <c r="H406" s="151">
        <f ca="1">IF(RegimeExecucao="Global","",ORÇAMENTO!W406)</f>
        <v>0</v>
      </c>
      <c r="I406" s="154">
        <f ca="1">ORÇAMENTO!X406</f>
        <v>0</v>
      </c>
      <c r="J406" s="427">
        <f t="shared" ca="1" si="70"/>
        <v>0</v>
      </c>
      <c r="K406" s="151">
        <f t="shared" ca="1" si="71"/>
        <v>0</v>
      </c>
      <c r="L406" s="428">
        <f t="shared" ca="1" si="72"/>
        <v>0</v>
      </c>
      <c r="M406" s="429">
        <f ca="1">IF($A406="S",VTOTALBM,IF($A406=0,0,ROUND(SomaAgrupBM,15-13*ORÇAMENTO!$AF$11)))</f>
        <v>0</v>
      </c>
      <c r="N406" s="430">
        <f t="shared" ca="1" si="73"/>
        <v>0</v>
      </c>
      <c r="O406" s="154">
        <f ca="1">IF($A406="S",VTOTALBM,IF($A406=0,0,ROUND(SomaAgrupBM,15-13*ORÇAMENTO!$AF$11)))</f>
        <v>0</v>
      </c>
      <c r="Q406" s="431"/>
      <c r="R406" s="432"/>
      <c r="T406" s="146" t="str">
        <f t="shared" ca="1" si="74"/>
        <v/>
      </c>
      <c r="U406" s="206" t="str">
        <f t="shared" ca="1" si="75"/>
        <v/>
      </c>
      <c r="V406" s="207" t="str">
        <f t="shared" ca="1" si="76"/>
        <v/>
      </c>
      <c r="W406" s="634">
        <f ca="1">IF($Y406&gt;0,CHOOSE(MATCH(RegimeExecucao,{"Unitário","Global"},0),IF($A406="S",$Y406/$X406,""),($Y406/$X406)*100),0)</f>
        <v>0</v>
      </c>
      <c r="X406" s="433" t="str">
        <f ca="1">IF($Y406&gt;0,CHOOSE(MATCH(RegimeExecucao,{"Unitário","Global"},0),IF($A406="S",ROUND($H406,ORÇAMENTO!$AF$10),""),ROUND($I406,ORÇAMENTO!$AF$11)),"")</f>
        <v/>
      </c>
      <c r="Y406" s="433">
        <f t="shared" ca="1" si="77"/>
        <v>0</v>
      </c>
      <c r="Z406" s="434"/>
      <c r="AB406" s="431"/>
      <c r="AC406" s="599"/>
      <c r="AD406" s="599"/>
      <c r="AE406" s="599"/>
      <c r="AF406" s="599"/>
      <c r="AG406" s="599"/>
      <c r="AH406" s="599"/>
      <c r="AI406" s="599"/>
      <c r="AJ406" s="599"/>
      <c r="AK406" s="599"/>
      <c r="AL406" s="599"/>
      <c r="AM406" s="432"/>
      <c r="AO406">
        <f ca="1">IF($A406="S",IF(BM!$I406=0,0,CHOOSE(MATCH(RegimeExecucao,{"Global","Unitário"},0),ROUND(ROUND(BM.MEDAcumulado,15-13*BM!$A$9)/100*BM!$I406,15-13*ORÇAMENTO!$AF$11),ROUND(ROUND(BM.MEDAcumulado,15-13*BM!$A$9)*ROUND(BM!$H406,15-13*ORÇAMENTO!$AF$10),15-13*ORÇAMENTO!$AF$11))),IF($A406=0,0,ROUND(SomaAgrupBM,15-13*ORÇAMENTO!$AF$11)))</f>
        <v>0</v>
      </c>
    </row>
    <row r="407" spans="1:41" ht="13.8" x14ac:dyDescent="0.3">
      <c r="A407" t="str">
        <f ca="1">ORÇAMENTO!C407</f>
        <v>S</v>
      </c>
      <c r="B407">
        <f ca="1">ORÇAMENTO!D407</f>
        <v>0</v>
      </c>
      <c r="C407" s="143" t="str">
        <f t="shared" ca="1" si="67"/>
        <v/>
      </c>
      <c r="D407" s="146" t="str">
        <f ca="1">ORÇAMENTO!O407</f>
        <v>-</v>
      </c>
      <c r="E407" s="206" t="str">
        <f t="shared" ca="1" si="68"/>
        <v>(abra o arquivo 'Referência 05-2024.xls)</v>
      </c>
      <c r="F407" s="207" t="str">
        <f t="shared" ca="1" si="69"/>
        <v>-</v>
      </c>
      <c r="G407" s="151">
        <f ca="1">IF(RegimeExecucao="Global","",ORÇAMENTO!T407)</f>
        <v>6</v>
      </c>
      <c r="H407" s="151">
        <f ca="1">IF(RegimeExecucao="Global","",ORÇAMENTO!W407)</f>
        <v>0</v>
      </c>
      <c r="I407" s="154">
        <f ca="1">ORÇAMENTO!X407</f>
        <v>0</v>
      </c>
      <c r="J407" s="427">
        <f t="shared" ca="1" si="70"/>
        <v>0</v>
      </c>
      <c r="K407" s="151">
        <f t="shared" ca="1" si="71"/>
        <v>0</v>
      </c>
      <c r="L407" s="428">
        <f t="shared" ca="1" si="72"/>
        <v>0</v>
      </c>
      <c r="M407" s="429">
        <f ca="1">IF($A407="S",VTOTALBM,IF($A407=0,0,ROUND(SomaAgrupBM,15-13*ORÇAMENTO!$AF$11)))</f>
        <v>0</v>
      </c>
      <c r="N407" s="430">
        <f t="shared" ca="1" si="73"/>
        <v>0</v>
      </c>
      <c r="O407" s="154">
        <f ca="1">IF($A407="S",VTOTALBM,IF($A407=0,0,ROUND(SomaAgrupBM,15-13*ORÇAMENTO!$AF$11)))</f>
        <v>0</v>
      </c>
      <c r="Q407" s="431"/>
      <c r="R407" s="432"/>
      <c r="T407" s="146" t="str">
        <f t="shared" ca="1" si="74"/>
        <v/>
      </c>
      <c r="U407" s="206" t="str">
        <f t="shared" ca="1" si="75"/>
        <v/>
      </c>
      <c r="V407" s="207" t="str">
        <f t="shared" ca="1" si="76"/>
        <v/>
      </c>
      <c r="W407" s="634">
        <f ca="1">IF($Y407&gt;0,CHOOSE(MATCH(RegimeExecucao,{"Unitário","Global"},0),IF($A407="S",$Y407/$X407,""),($Y407/$X407)*100),0)</f>
        <v>0</v>
      </c>
      <c r="X407" s="433" t="str">
        <f ca="1">IF($Y407&gt;0,CHOOSE(MATCH(RegimeExecucao,{"Unitário","Global"},0),IF($A407="S",ROUND($H407,ORÇAMENTO!$AF$10),""),ROUND($I407,ORÇAMENTO!$AF$11)),"")</f>
        <v/>
      </c>
      <c r="Y407" s="433">
        <f t="shared" ca="1" si="77"/>
        <v>0</v>
      </c>
      <c r="Z407" s="434"/>
      <c r="AB407" s="431"/>
      <c r="AC407" s="599"/>
      <c r="AD407" s="599"/>
      <c r="AE407" s="599"/>
      <c r="AF407" s="599"/>
      <c r="AG407" s="599"/>
      <c r="AH407" s="599"/>
      <c r="AI407" s="599"/>
      <c r="AJ407" s="599"/>
      <c r="AK407" s="599"/>
      <c r="AL407" s="599"/>
      <c r="AM407" s="432"/>
      <c r="AO407">
        <f ca="1">IF($A407="S",IF(BM!$I407=0,0,CHOOSE(MATCH(RegimeExecucao,{"Global","Unitário"},0),ROUND(ROUND(BM.MEDAcumulado,15-13*BM!$A$9)/100*BM!$I407,15-13*ORÇAMENTO!$AF$11),ROUND(ROUND(BM.MEDAcumulado,15-13*BM!$A$9)*ROUND(BM!$H407,15-13*ORÇAMENTO!$AF$10),15-13*ORÇAMENTO!$AF$11))),IF($A407=0,0,ROUND(SomaAgrupBM,15-13*ORÇAMENTO!$AF$11)))</f>
        <v>0</v>
      </c>
    </row>
    <row r="408" spans="1:41" ht="13.8" x14ac:dyDescent="0.3">
      <c r="A408" t="str">
        <f ca="1">ORÇAMENTO!C408</f>
        <v>S</v>
      </c>
      <c r="B408">
        <f ca="1">ORÇAMENTO!D408</f>
        <v>0</v>
      </c>
      <c r="C408" s="143" t="str">
        <f t="shared" ca="1" si="67"/>
        <v/>
      </c>
      <c r="D408" s="146" t="str">
        <f ca="1">ORÇAMENTO!O408</f>
        <v>-</v>
      </c>
      <c r="E408" s="206" t="str">
        <f t="shared" ca="1" si="68"/>
        <v>(abra o arquivo 'Referência 05-2024.xls)</v>
      </c>
      <c r="F408" s="207" t="str">
        <f t="shared" ca="1" si="69"/>
        <v>-</v>
      </c>
      <c r="G408" s="151">
        <f ca="1">IF(RegimeExecucao="Global","",ORÇAMENTO!T408)</f>
        <v>1</v>
      </c>
      <c r="H408" s="151">
        <f ca="1">IF(RegimeExecucao="Global","",ORÇAMENTO!W408)</f>
        <v>0</v>
      </c>
      <c r="I408" s="154">
        <f ca="1">ORÇAMENTO!X408</f>
        <v>0</v>
      </c>
      <c r="J408" s="427">
        <f t="shared" ca="1" si="70"/>
        <v>0</v>
      </c>
      <c r="K408" s="151">
        <f t="shared" ca="1" si="71"/>
        <v>0</v>
      </c>
      <c r="L408" s="428">
        <f t="shared" ca="1" si="72"/>
        <v>0</v>
      </c>
      <c r="M408" s="429">
        <f ca="1">IF($A408="S",VTOTALBM,IF($A408=0,0,ROUND(SomaAgrupBM,15-13*ORÇAMENTO!$AF$11)))</f>
        <v>0</v>
      </c>
      <c r="N408" s="430">
        <f t="shared" ca="1" si="73"/>
        <v>0</v>
      </c>
      <c r="O408" s="154">
        <f ca="1">IF($A408="S",VTOTALBM,IF($A408=0,0,ROUND(SomaAgrupBM,15-13*ORÇAMENTO!$AF$11)))</f>
        <v>0</v>
      </c>
      <c r="Q408" s="431"/>
      <c r="R408" s="432"/>
      <c r="T408" s="146" t="str">
        <f t="shared" ca="1" si="74"/>
        <v/>
      </c>
      <c r="U408" s="206" t="str">
        <f t="shared" ca="1" si="75"/>
        <v/>
      </c>
      <c r="V408" s="207" t="str">
        <f t="shared" ca="1" si="76"/>
        <v/>
      </c>
      <c r="W408" s="634">
        <f ca="1">IF($Y408&gt;0,CHOOSE(MATCH(RegimeExecucao,{"Unitário","Global"},0),IF($A408="S",$Y408/$X408,""),($Y408/$X408)*100),0)</f>
        <v>0</v>
      </c>
      <c r="X408" s="433" t="str">
        <f ca="1">IF($Y408&gt;0,CHOOSE(MATCH(RegimeExecucao,{"Unitário","Global"},0),IF($A408="S",ROUND($H408,ORÇAMENTO!$AF$10),""),ROUND($I408,ORÇAMENTO!$AF$11)),"")</f>
        <v/>
      </c>
      <c r="Y408" s="433">
        <f t="shared" ca="1" si="77"/>
        <v>0</v>
      </c>
      <c r="Z408" s="434"/>
      <c r="AB408" s="431"/>
      <c r="AC408" s="599"/>
      <c r="AD408" s="599"/>
      <c r="AE408" s="599"/>
      <c r="AF408" s="599"/>
      <c r="AG408" s="599"/>
      <c r="AH408" s="599"/>
      <c r="AI408" s="599"/>
      <c r="AJ408" s="599"/>
      <c r="AK408" s="599"/>
      <c r="AL408" s="599"/>
      <c r="AM408" s="432"/>
      <c r="AO408">
        <f ca="1">IF($A408="S",IF(BM!$I408=0,0,CHOOSE(MATCH(RegimeExecucao,{"Global","Unitário"},0),ROUND(ROUND(BM.MEDAcumulado,15-13*BM!$A$9)/100*BM!$I408,15-13*ORÇAMENTO!$AF$11),ROUND(ROUND(BM.MEDAcumulado,15-13*BM!$A$9)*ROUND(BM!$H408,15-13*ORÇAMENTO!$AF$10),15-13*ORÇAMENTO!$AF$11))),IF($A408=0,0,ROUND(SomaAgrupBM,15-13*ORÇAMENTO!$AF$11)))</f>
        <v>0</v>
      </c>
    </row>
    <row r="409" spans="1:41" ht="13.8" x14ac:dyDescent="0.3">
      <c r="A409" t="str">
        <f ca="1">ORÇAMENTO!C409</f>
        <v>S</v>
      </c>
      <c r="B409">
        <f ca="1">ORÇAMENTO!D409</f>
        <v>0</v>
      </c>
      <c r="C409" s="143" t="str">
        <f t="shared" ca="1" si="67"/>
        <v/>
      </c>
      <c r="D409" s="146" t="str">
        <f ca="1">ORÇAMENTO!O409</f>
        <v>-</v>
      </c>
      <c r="E409" s="206" t="str">
        <f t="shared" ca="1" si="68"/>
        <v>(abra o arquivo 'Referência 05-2024.xls)</v>
      </c>
      <c r="F409" s="207" t="str">
        <f t="shared" ca="1" si="69"/>
        <v>-</v>
      </c>
      <c r="G409" s="151">
        <f ca="1">IF(RegimeExecucao="Global","",ORÇAMENTO!T409)</f>
        <v>3</v>
      </c>
      <c r="H409" s="151">
        <f ca="1">IF(RegimeExecucao="Global","",ORÇAMENTO!W409)</f>
        <v>0</v>
      </c>
      <c r="I409" s="154">
        <f ca="1">ORÇAMENTO!X409</f>
        <v>0</v>
      </c>
      <c r="J409" s="427">
        <f t="shared" ca="1" si="70"/>
        <v>0</v>
      </c>
      <c r="K409" s="151">
        <f t="shared" ca="1" si="71"/>
        <v>0</v>
      </c>
      <c r="L409" s="428">
        <f t="shared" ca="1" si="72"/>
        <v>0</v>
      </c>
      <c r="M409" s="429">
        <f ca="1">IF($A409="S",VTOTALBM,IF($A409=0,0,ROUND(SomaAgrupBM,15-13*ORÇAMENTO!$AF$11)))</f>
        <v>0</v>
      </c>
      <c r="N409" s="430">
        <f t="shared" ca="1" si="73"/>
        <v>0</v>
      </c>
      <c r="O409" s="154">
        <f ca="1">IF($A409="S",VTOTALBM,IF($A409=0,0,ROUND(SomaAgrupBM,15-13*ORÇAMENTO!$AF$11)))</f>
        <v>0</v>
      </c>
      <c r="Q409" s="431"/>
      <c r="R409" s="432"/>
      <c r="T409" s="146" t="str">
        <f t="shared" ca="1" si="74"/>
        <v/>
      </c>
      <c r="U409" s="206" t="str">
        <f t="shared" ca="1" si="75"/>
        <v/>
      </c>
      <c r="V409" s="207" t="str">
        <f t="shared" ca="1" si="76"/>
        <v/>
      </c>
      <c r="W409" s="634">
        <f ca="1">IF($Y409&gt;0,CHOOSE(MATCH(RegimeExecucao,{"Unitário","Global"},0),IF($A409="S",$Y409/$X409,""),($Y409/$X409)*100),0)</f>
        <v>0</v>
      </c>
      <c r="X409" s="433" t="str">
        <f ca="1">IF($Y409&gt;0,CHOOSE(MATCH(RegimeExecucao,{"Unitário","Global"},0),IF($A409="S",ROUND($H409,ORÇAMENTO!$AF$10),""),ROUND($I409,ORÇAMENTO!$AF$11)),"")</f>
        <v/>
      </c>
      <c r="Y409" s="433">
        <f t="shared" ca="1" si="77"/>
        <v>0</v>
      </c>
      <c r="Z409" s="434"/>
      <c r="AB409" s="431"/>
      <c r="AC409" s="599"/>
      <c r="AD409" s="599"/>
      <c r="AE409" s="599"/>
      <c r="AF409" s="599"/>
      <c r="AG409" s="599"/>
      <c r="AH409" s="599"/>
      <c r="AI409" s="599"/>
      <c r="AJ409" s="599"/>
      <c r="AK409" s="599"/>
      <c r="AL409" s="599"/>
      <c r="AM409" s="432"/>
      <c r="AO409">
        <f ca="1">IF($A409="S",IF(BM!$I409=0,0,CHOOSE(MATCH(RegimeExecucao,{"Global","Unitário"},0),ROUND(ROUND(BM.MEDAcumulado,15-13*BM!$A$9)/100*BM!$I409,15-13*ORÇAMENTO!$AF$11),ROUND(ROUND(BM.MEDAcumulado,15-13*BM!$A$9)*ROUND(BM!$H409,15-13*ORÇAMENTO!$AF$10),15-13*ORÇAMENTO!$AF$11))),IF($A409=0,0,ROUND(SomaAgrupBM,15-13*ORÇAMENTO!$AF$11)))</f>
        <v>0</v>
      </c>
    </row>
    <row r="410" spans="1:41" ht="13.8" x14ac:dyDescent="0.3">
      <c r="A410" t="str">
        <f ca="1">ORÇAMENTO!C410</f>
        <v>S</v>
      </c>
      <c r="B410">
        <f ca="1">ORÇAMENTO!D410</f>
        <v>0</v>
      </c>
      <c r="C410" s="143" t="str">
        <f t="shared" ca="1" si="67"/>
        <v/>
      </c>
      <c r="D410" s="146" t="str">
        <f ca="1">ORÇAMENTO!O410</f>
        <v>-</v>
      </c>
      <c r="E410" s="206" t="str">
        <f t="shared" ca="1" si="68"/>
        <v>(abra o arquivo 'Referência 05-2024.xls)</v>
      </c>
      <c r="F410" s="207" t="str">
        <f t="shared" ca="1" si="69"/>
        <v>-</v>
      </c>
      <c r="G410" s="151">
        <f ca="1">IF(RegimeExecucao="Global","",ORÇAMENTO!T410)</f>
        <v>2</v>
      </c>
      <c r="H410" s="151">
        <f ca="1">IF(RegimeExecucao="Global","",ORÇAMENTO!W410)</f>
        <v>0</v>
      </c>
      <c r="I410" s="154">
        <f ca="1">ORÇAMENTO!X410</f>
        <v>0</v>
      </c>
      <c r="J410" s="427">
        <f t="shared" ca="1" si="70"/>
        <v>0</v>
      </c>
      <c r="K410" s="151">
        <f t="shared" ca="1" si="71"/>
        <v>0</v>
      </c>
      <c r="L410" s="428">
        <f t="shared" ca="1" si="72"/>
        <v>0</v>
      </c>
      <c r="M410" s="429">
        <f ca="1">IF($A410="S",VTOTALBM,IF($A410=0,0,ROUND(SomaAgrupBM,15-13*ORÇAMENTO!$AF$11)))</f>
        <v>0</v>
      </c>
      <c r="N410" s="430">
        <f t="shared" ca="1" si="73"/>
        <v>0</v>
      </c>
      <c r="O410" s="154">
        <f ca="1">IF($A410="S",VTOTALBM,IF($A410=0,0,ROUND(SomaAgrupBM,15-13*ORÇAMENTO!$AF$11)))</f>
        <v>0</v>
      </c>
      <c r="Q410" s="431"/>
      <c r="R410" s="432"/>
      <c r="T410" s="146" t="str">
        <f t="shared" ca="1" si="74"/>
        <v/>
      </c>
      <c r="U410" s="206" t="str">
        <f t="shared" ca="1" si="75"/>
        <v/>
      </c>
      <c r="V410" s="207" t="str">
        <f t="shared" ca="1" si="76"/>
        <v/>
      </c>
      <c r="W410" s="634">
        <f ca="1">IF($Y410&gt;0,CHOOSE(MATCH(RegimeExecucao,{"Unitário","Global"},0),IF($A410="S",$Y410/$X410,""),($Y410/$X410)*100),0)</f>
        <v>0</v>
      </c>
      <c r="X410" s="433" t="str">
        <f ca="1">IF($Y410&gt;0,CHOOSE(MATCH(RegimeExecucao,{"Unitário","Global"},0),IF($A410="S",ROUND($H410,ORÇAMENTO!$AF$10),""),ROUND($I410,ORÇAMENTO!$AF$11)),"")</f>
        <v/>
      </c>
      <c r="Y410" s="433">
        <f t="shared" ca="1" si="77"/>
        <v>0</v>
      </c>
      <c r="Z410" s="434"/>
      <c r="AB410" s="431"/>
      <c r="AC410" s="599"/>
      <c r="AD410" s="599"/>
      <c r="AE410" s="599"/>
      <c r="AF410" s="599"/>
      <c r="AG410" s="599"/>
      <c r="AH410" s="599"/>
      <c r="AI410" s="599"/>
      <c r="AJ410" s="599"/>
      <c r="AK410" s="599"/>
      <c r="AL410" s="599"/>
      <c r="AM410" s="432"/>
      <c r="AO410">
        <f ca="1">IF($A410="S",IF(BM!$I410=0,0,CHOOSE(MATCH(RegimeExecucao,{"Global","Unitário"},0),ROUND(ROUND(BM.MEDAcumulado,15-13*BM!$A$9)/100*BM!$I410,15-13*ORÇAMENTO!$AF$11),ROUND(ROUND(BM.MEDAcumulado,15-13*BM!$A$9)*ROUND(BM!$H410,15-13*ORÇAMENTO!$AF$10),15-13*ORÇAMENTO!$AF$11))),IF($A410=0,0,ROUND(SomaAgrupBM,15-13*ORÇAMENTO!$AF$11)))</f>
        <v>0</v>
      </c>
    </row>
    <row r="411" spans="1:41" ht="13.8" x14ac:dyDescent="0.3">
      <c r="A411" t="str">
        <f ca="1">ORÇAMENTO!C411</f>
        <v>S</v>
      </c>
      <c r="B411">
        <f ca="1">ORÇAMENTO!D411</f>
        <v>0</v>
      </c>
      <c r="C411" s="143" t="str">
        <f t="shared" ca="1" si="67"/>
        <v/>
      </c>
      <c r="D411" s="146" t="str">
        <f ca="1">ORÇAMENTO!O411</f>
        <v>-</v>
      </c>
      <c r="E411" s="206" t="str">
        <f t="shared" ca="1" si="68"/>
        <v>(abra o arquivo 'Referência 05-2024.xls)</v>
      </c>
      <c r="F411" s="207" t="str">
        <f t="shared" ca="1" si="69"/>
        <v>-</v>
      </c>
      <c r="G411" s="151">
        <f ca="1">IF(RegimeExecucao="Global","",ORÇAMENTO!T411)</f>
        <v>2</v>
      </c>
      <c r="H411" s="151">
        <f ca="1">IF(RegimeExecucao="Global","",ORÇAMENTO!W411)</f>
        <v>0</v>
      </c>
      <c r="I411" s="154">
        <f ca="1">ORÇAMENTO!X411</f>
        <v>0</v>
      </c>
      <c r="J411" s="427">
        <f t="shared" ca="1" si="70"/>
        <v>0</v>
      </c>
      <c r="K411" s="151">
        <f t="shared" ca="1" si="71"/>
        <v>0</v>
      </c>
      <c r="L411" s="428">
        <f t="shared" ca="1" si="72"/>
        <v>0</v>
      </c>
      <c r="M411" s="429">
        <f ca="1">IF($A411="S",VTOTALBM,IF($A411=0,0,ROUND(SomaAgrupBM,15-13*ORÇAMENTO!$AF$11)))</f>
        <v>0</v>
      </c>
      <c r="N411" s="430">
        <f t="shared" ca="1" si="73"/>
        <v>0</v>
      </c>
      <c r="O411" s="154">
        <f ca="1">IF($A411="S",VTOTALBM,IF($A411=0,0,ROUND(SomaAgrupBM,15-13*ORÇAMENTO!$AF$11)))</f>
        <v>0</v>
      </c>
      <c r="Q411" s="431"/>
      <c r="R411" s="432"/>
      <c r="T411" s="146" t="str">
        <f t="shared" ca="1" si="74"/>
        <v/>
      </c>
      <c r="U411" s="206" t="str">
        <f t="shared" ca="1" si="75"/>
        <v/>
      </c>
      <c r="V411" s="207" t="str">
        <f t="shared" ca="1" si="76"/>
        <v/>
      </c>
      <c r="W411" s="634">
        <f ca="1">IF($Y411&gt;0,CHOOSE(MATCH(RegimeExecucao,{"Unitário","Global"},0),IF($A411="S",$Y411/$X411,""),($Y411/$X411)*100),0)</f>
        <v>0</v>
      </c>
      <c r="X411" s="433" t="str">
        <f ca="1">IF($Y411&gt;0,CHOOSE(MATCH(RegimeExecucao,{"Unitário","Global"},0),IF($A411="S",ROUND($H411,ORÇAMENTO!$AF$10),""),ROUND($I411,ORÇAMENTO!$AF$11)),"")</f>
        <v/>
      </c>
      <c r="Y411" s="433">
        <f t="shared" ca="1" si="77"/>
        <v>0</v>
      </c>
      <c r="Z411" s="434"/>
      <c r="AB411" s="431"/>
      <c r="AC411" s="599"/>
      <c r="AD411" s="599"/>
      <c r="AE411" s="599"/>
      <c r="AF411" s="599"/>
      <c r="AG411" s="599"/>
      <c r="AH411" s="599"/>
      <c r="AI411" s="599"/>
      <c r="AJ411" s="599"/>
      <c r="AK411" s="599"/>
      <c r="AL411" s="599"/>
      <c r="AM411" s="432"/>
      <c r="AO411">
        <f ca="1">IF($A411="S",IF(BM!$I411=0,0,CHOOSE(MATCH(RegimeExecucao,{"Global","Unitário"},0),ROUND(ROUND(BM.MEDAcumulado,15-13*BM!$A$9)/100*BM!$I411,15-13*ORÇAMENTO!$AF$11),ROUND(ROUND(BM.MEDAcumulado,15-13*BM!$A$9)*ROUND(BM!$H411,15-13*ORÇAMENTO!$AF$10),15-13*ORÇAMENTO!$AF$11))),IF($A411=0,0,ROUND(SomaAgrupBM,15-13*ORÇAMENTO!$AF$11)))</f>
        <v>0</v>
      </c>
    </row>
    <row r="412" spans="1:41" ht="13.8" x14ac:dyDescent="0.3">
      <c r="A412" t="str">
        <f ca="1">ORÇAMENTO!C412</f>
        <v>S</v>
      </c>
      <c r="B412">
        <f ca="1">ORÇAMENTO!D412</f>
        <v>0</v>
      </c>
      <c r="C412" s="143" t="str">
        <f t="shared" ca="1" si="67"/>
        <v/>
      </c>
      <c r="D412" s="146" t="str">
        <f ca="1">ORÇAMENTO!O412</f>
        <v>-</v>
      </c>
      <c r="E412" s="206" t="str">
        <f t="shared" ca="1" si="68"/>
        <v>(abra o arquivo 'Referência 05-2024.xls)</v>
      </c>
      <c r="F412" s="207" t="str">
        <f t="shared" ca="1" si="69"/>
        <v>-</v>
      </c>
      <c r="G412" s="151">
        <f ca="1">IF(RegimeExecucao="Global","",ORÇAMENTO!T412)</f>
        <v>40</v>
      </c>
      <c r="H412" s="151">
        <f ca="1">IF(RegimeExecucao="Global","",ORÇAMENTO!W412)</f>
        <v>0</v>
      </c>
      <c r="I412" s="154">
        <f ca="1">ORÇAMENTO!X412</f>
        <v>0</v>
      </c>
      <c r="J412" s="427">
        <f t="shared" ca="1" si="70"/>
        <v>0</v>
      </c>
      <c r="K412" s="151">
        <f t="shared" ca="1" si="71"/>
        <v>0</v>
      </c>
      <c r="L412" s="428">
        <f t="shared" ca="1" si="72"/>
        <v>0</v>
      </c>
      <c r="M412" s="429">
        <f ca="1">IF($A412="S",VTOTALBM,IF($A412=0,0,ROUND(SomaAgrupBM,15-13*ORÇAMENTO!$AF$11)))</f>
        <v>0</v>
      </c>
      <c r="N412" s="430">
        <f t="shared" ca="1" si="73"/>
        <v>0</v>
      </c>
      <c r="O412" s="154">
        <f ca="1">IF($A412="S",VTOTALBM,IF($A412=0,0,ROUND(SomaAgrupBM,15-13*ORÇAMENTO!$AF$11)))</f>
        <v>0</v>
      </c>
      <c r="Q412" s="431"/>
      <c r="R412" s="432"/>
      <c r="T412" s="146" t="str">
        <f t="shared" ca="1" si="74"/>
        <v/>
      </c>
      <c r="U412" s="206" t="str">
        <f t="shared" ca="1" si="75"/>
        <v/>
      </c>
      <c r="V412" s="207" t="str">
        <f t="shared" ca="1" si="76"/>
        <v/>
      </c>
      <c r="W412" s="634">
        <f ca="1">IF($Y412&gt;0,CHOOSE(MATCH(RegimeExecucao,{"Unitário","Global"},0),IF($A412="S",$Y412/$X412,""),($Y412/$X412)*100),0)</f>
        <v>0</v>
      </c>
      <c r="X412" s="433" t="str">
        <f ca="1">IF($Y412&gt;0,CHOOSE(MATCH(RegimeExecucao,{"Unitário","Global"},0),IF($A412="S",ROUND($H412,ORÇAMENTO!$AF$10),""),ROUND($I412,ORÇAMENTO!$AF$11)),"")</f>
        <v/>
      </c>
      <c r="Y412" s="433">
        <f t="shared" ca="1" si="77"/>
        <v>0</v>
      </c>
      <c r="Z412" s="434"/>
      <c r="AB412" s="431"/>
      <c r="AC412" s="599"/>
      <c r="AD412" s="599"/>
      <c r="AE412" s="599"/>
      <c r="AF412" s="599"/>
      <c r="AG412" s="599"/>
      <c r="AH412" s="599"/>
      <c r="AI412" s="599"/>
      <c r="AJ412" s="599"/>
      <c r="AK412" s="599"/>
      <c r="AL412" s="599"/>
      <c r="AM412" s="432"/>
      <c r="AO412">
        <f ca="1">IF($A412="S",IF(BM!$I412=0,0,CHOOSE(MATCH(RegimeExecucao,{"Global","Unitário"},0),ROUND(ROUND(BM.MEDAcumulado,15-13*BM!$A$9)/100*BM!$I412,15-13*ORÇAMENTO!$AF$11),ROUND(ROUND(BM.MEDAcumulado,15-13*BM!$A$9)*ROUND(BM!$H412,15-13*ORÇAMENTO!$AF$10),15-13*ORÇAMENTO!$AF$11))),IF($A412=0,0,ROUND(SomaAgrupBM,15-13*ORÇAMENTO!$AF$11)))</f>
        <v>0</v>
      </c>
    </row>
    <row r="413" spans="1:41" ht="13.8" x14ac:dyDescent="0.3">
      <c r="A413" t="str">
        <f ca="1">ORÇAMENTO!C413</f>
        <v>S</v>
      </c>
      <c r="B413">
        <f ca="1">ORÇAMENTO!D413</f>
        <v>0</v>
      </c>
      <c r="C413" s="143" t="str">
        <f t="shared" ca="1" si="67"/>
        <v/>
      </c>
      <c r="D413" s="146" t="str">
        <f ca="1">ORÇAMENTO!O413</f>
        <v>-</v>
      </c>
      <c r="E413" s="206" t="str">
        <f t="shared" ca="1" si="68"/>
        <v>(abra o arquivo 'Referência 05-2024.xls)</v>
      </c>
      <c r="F413" s="207" t="str">
        <f t="shared" ca="1" si="69"/>
        <v>-</v>
      </c>
      <c r="G413" s="151">
        <f ca="1">IF(RegimeExecucao="Global","",ORÇAMENTO!T413)</f>
        <v>37</v>
      </c>
      <c r="H413" s="151">
        <f ca="1">IF(RegimeExecucao="Global","",ORÇAMENTO!W413)</f>
        <v>0</v>
      </c>
      <c r="I413" s="154">
        <f ca="1">ORÇAMENTO!X413</f>
        <v>0</v>
      </c>
      <c r="J413" s="427">
        <f t="shared" ca="1" si="70"/>
        <v>0</v>
      </c>
      <c r="K413" s="151">
        <f t="shared" ca="1" si="71"/>
        <v>0</v>
      </c>
      <c r="L413" s="428">
        <f t="shared" ca="1" si="72"/>
        <v>0</v>
      </c>
      <c r="M413" s="429">
        <f ca="1">IF($A413="S",VTOTALBM,IF($A413=0,0,ROUND(SomaAgrupBM,15-13*ORÇAMENTO!$AF$11)))</f>
        <v>0</v>
      </c>
      <c r="N413" s="430">
        <f t="shared" ca="1" si="73"/>
        <v>0</v>
      </c>
      <c r="O413" s="154">
        <f ca="1">IF($A413="S",VTOTALBM,IF($A413=0,0,ROUND(SomaAgrupBM,15-13*ORÇAMENTO!$AF$11)))</f>
        <v>0</v>
      </c>
      <c r="Q413" s="431"/>
      <c r="R413" s="432"/>
      <c r="T413" s="146" t="str">
        <f t="shared" ca="1" si="74"/>
        <v/>
      </c>
      <c r="U413" s="206" t="str">
        <f t="shared" ca="1" si="75"/>
        <v/>
      </c>
      <c r="V413" s="207" t="str">
        <f t="shared" ca="1" si="76"/>
        <v/>
      </c>
      <c r="W413" s="634">
        <f ca="1">IF($Y413&gt;0,CHOOSE(MATCH(RegimeExecucao,{"Unitário","Global"},0),IF($A413="S",$Y413/$X413,""),($Y413/$X413)*100),0)</f>
        <v>0</v>
      </c>
      <c r="X413" s="433" t="str">
        <f ca="1">IF($Y413&gt;0,CHOOSE(MATCH(RegimeExecucao,{"Unitário","Global"},0),IF($A413="S",ROUND($H413,ORÇAMENTO!$AF$10),""),ROUND($I413,ORÇAMENTO!$AF$11)),"")</f>
        <v/>
      </c>
      <c r="Y413" s="433">
        <f t="shared" ca="1" si="77"/>
        <v>0</v>
      </c>
      <c r="Z413" s="434"/>
      <c r="AB413" s="431"/>
      <c r="AC413" s="599"/>
      <c r="AD413" s="599"/>
      <c r="AE413" s="599"/>
      <c r="AF413" s="599"/>
      <c r="AG413" s="599"/>
      <c r="AH413" s="599"/>
      <c r="AI413" s="599"/>
      <c r="AJ413" s="599"/>
      <c r="AK413" s="599"/>
      <c r="AL413" s="599"/>
      <c r="AM413" s="432"/>
      <c r="AO413">
        <f ca="1">IF($A413="S",IF(BM!$I413=0,0,CHOOSE(MATCH(RegimeExecucao,{"Global","Unitário"},0),ROUND(ROUND(BM.MEDAcumulado,15-13*BM!$A$9)/100*BM!$I413,15-13*ORÇAMENTO!$AF$11),ROUND(ROUND(BM.MEDAcumulado,15-13*BM!$A$9)*ROUND(BM!$H413,15-13*ORÇAMENTO!$AF$10),15-13*ORÇAMENTO!$AF$11))),IF($A413=0,0,ROUND(SomaAgrupBM,15-13*ORÇAMENTO!$AF$11)))</f>
        <v>0</v>
      </c>
    </row>
    <row r="414" spans="1:41" ht="13.8" x14ac:dyDescent="0.3">
      <c r="A414" t="str">
        <f ca="1">ORÇAMENTO!C414</f>
        <v>S</v>
      </c>
      <c r="B414">
        <f ca="1">ORÇAMENTO!D414</f>
        <v>0</v>
      </c>
      <c r="C414" s="143" t="str">
        <f t="shared" ca="1" si="67"/>
        <v/>
      </c>
      <c r="D414" s="146" t="str">
        <f ca="1">ORÇAMENTO!O414</f>
        <v>-</v>
      </c>
      <c r="E414" s="206" t="str">
        <f t="shared" ca="1" si="68"/>
        <v>(abra o arquivo 'Referência 05-2024.xls)</v>
      </c>
      <c r="F414" s="207" t="str">
        <f t="shared" ca="1" si="69"/>
        <v>-</v>
      </c>
      <c r="G414" s="151">
        <f ca="1">IF(RegimeExecucao="Global","",ORÇAMENTO!T414)</f>
        <v>2</v>
      </c>
      <c r="H414" s="151">
        <f ca="1">IF(RegimeExecucao="Global","",ORÇAMENTO!W414)</f>
        <v>0</v>
      </c>
      <c r="I414" s="154">
        <f ca="1">ORÇAMENTO!X414</f>
        <v>0</v>
      </c>
      <c r="J414" s="427">
        <f t="shared" ca="1" si="70"/>
        <v>0</v>
      </c>
      <c r="K414" s="151">
        <f t="shared" ca="1" si="71"/>
        <v>0</v>
      </c>
      <c r="L414" s="428">
        <f t="shared" ca="1" si="72"/>
        <v>0</v>
      </c>
      <c r="M414" s="429">
        <f ca="1">IF($A414="S",VTOTALBM,IF($A414=0,0,ROUND(SomaAgrupBM,15-13*ORÇAMENTO!$AF$11)))</f>
        <v>0</v>
      </c>
      <c r="N414" s="430">
        <f t="shared" ca="1" si="73"/>
        <v>0</v>
      </c>
      <c r="O414" s="154">
        <f ca="1">IF($A414="S",VTOTALBM,IF($A414=0,0,ROUND(SomaAgrupBM,15-13*ORÇAMENTO!$AF$11)))</f>
        <v>0</v>
      </c>
      <c r="Q414" s="431"/>
      <c r="R414" s="432"/>
      <c r="T414" s="146" t="str">
        <f t="shared" ca="1" si="74"/>
        <v/>
      </c>
      <c r="U414" s="206" t="str">
        <f t="shared" ca="1" si="75"/>
        <v/>
      </c>
      <c r="V414" s="207" t="str">
        <f t="shared" ca="1" si="76"/>
        <v/>
      </c>
      <c r="W414" s="634">
        <f ca="1">IF($Y414&gt;0,CHOOSE(MATCH(RegimeExecucao,{"Unitário","Global"},0),IF($A414="S",$Y414/$X414,""),($Y414/$X414)*100),0)</f>
        <v>0</v>
      </c>
      <c r="X414" s="433" t="str">
        <f ca="1">IF($Y414&gt;0,CHOOSE(MATCH(RegimeExecucao,{"Unitário","Global"},0),IF($A414="S",ROUND($H414,ORÇAMENTO!$AF$10),""),ROUND($I414,ORÇAMENTO!$AF$11)),"")</f>
        <v/>
      </c>
      <c r="Y414" s="433">
        <f t="shared" ca="1" si="77"/>
        <v>0</v>
      </c>
      <c r="Z414" s="434"/>
      <c r="AB414" s="431"/>
      <c r="AC414" s="599"/>
      <c r="AD414" s="599"/>
      <c r="AE414" s="599"/>
      <c r="AF414" s="599"/>
      <c r="AG414" s="599"/>
      <c r="AH414" s="599"/>
      <c r="AI414" s="599"/>
      <c r="AJ414" s="599"/>
      <c r="AK414" s="599"/>
      <c r="AL414" s="599"/>
      <c r="AM414" s="432"/>
      <c r="AO414">
        <f ca="1">IF($A414="S",IF(BM!$I414=0,0,CHOOSE(MATCH(RegimeExecucao,{"Global","Unitário"},0),ROUND(ROUND(BM.MEDAcumulado,15-13*BM!$A$9)/100*BM!$I414,15-13*ORÇAMENTO!$AF$11),ROUND(ROUND(BM.MEDAcumulado,15-13*BM!$A$9)*ROUND(BM!$H414,15-13*ORÇAMENTO!$AF$10),15-13*ORÇAMENTO!$AF$11))),IF($A414=0,0,ROUND(SomaAgrupBM,15-13*ORÇAMENTO!$AF$11)))</f>
        <v>0</v>
      </c>
    </row>
    <row r="415" spans="1:41" ht="13.8" x14ac:dyDescent="0.3">
      <c r="A415" t="str">
        <f ca="1">ORÇAMENTO!C415</f>
        <v>S</v>
      </c>
      <c r="B415">
        <f ca="1">ORÇAMENTO!D415</f>
        <v>0</v>
      </c>
      <c r="C415" s="143" t="str">
        <f t="shared" ca="1" si="67"/>
        <v/>
      </c>
      <c r="D415" s="146" t="str">
        <f ca="1">ORÇAMENTO!O415</f>
        <v>-</v>
      </c>
      <c r="E415" s="206" t="str">
        <f t="shared" ca="1" si="68"/>
        <v>(abra o arquivo 'Referência 05-2024.xls)</v>
      </c>
      <c r="F415" s="207" t="str">
        <f t="shared" ca="1" si="69"/>
        <v>-</v>
      </c>
      <c r="G415" s="151">
        <f ca="1">IF(RegimeExecucao="Global","",ORÇAMENTO!T415)</f>
        <v>5</v>
      </c>
      <c r="H415" s="151">
        <f ca="1">IF(RegimeExecucao="Global","",ORÇAMENTO!W415)</f>
        <v>0</v>
      </c>
      <c r="I415" s="154">
        <f ca="1">ORÇAMENTO!X415</f>
        <v>0</v>
      </c>
      <c r="J415" s="427">
        <f t="shared" ca="1" si="70"/>
        <v>0</v>
      </c>
      <c r="K415" s="151">
        <f t="shared" ca="1" si="71"/>
        <v>0</v>
      </c>
      <c r="L415" s="428">
        <f t="shared" ca="1" si="72"/>
        <v>0</v>
      </c>
      <c r="M415" s="429">
        <f ca="1">IF($A415="S",VTOTALBM,IF($A415=0,0,ROUND(SomaAgrupBM,15-13*ORÇAMENTO!$AF$11)))</f>
        <v>0</v>
      </c>
      <c r="N415" s="430">
        <f t="shared" ca="1" si="73"/>
        <v>0</v>
      </c>
      <c r="O415" s="154">
        <f ca="1">IF($A415="S",VTOTALBM,IF($A415=0,0,ROUND(SomaAgrupBM,15-13*ORÇAMENTO!$AF$11)))</f>
        <v>0</v>
      </c>
      <c r="Q415" s="431"/>
      <c r="R415" s="432"/>
      <c r="T415" s="146" t="str">
        <f t="shared" ca="1" si="74"/>
        <v/>
      </c>
      <c r="U415" s="206" t="str">
        <f t="shared" ca="1" si="75"/>
        <v/>
      </c>
      <c r="V415" s="207" t="str">
        <f t="shared" ca="1" si="76"/>
        <v/>
      </c>
      <c r="W415" s="634">
        <f ca="1">IF($Y415&gt;0,CHOOSE(MATCH(RegimeExecucao,{"Unitário","Global"},0),IF($A415="S",$Y415/$X415,""),($Y415/$X415)*100),0)</f>
        <v>0</v>
      </c>
      <c r="X415" s="433" t="str">
        <f ca="1">IF($Y415&gt;0,CHOOSE(MATCH(RegimeExecucao,{"Unitário","Global"},0),IF($A415="S",ROUND($H415,ORÇAMENTO!$AF$10),""),ROUND($I415,ORÇAMENTO!$AF$11)),"")</f>
        <v/>
      </c>
      <c r="Y415" s="433">
        <f t="shared" ca="1" si="77"/>
        <v>0</v>
      </c>
      <c r="Z415" s="434"/>
      <c r="AB415" s="431"/>
      <c r="AC415" s="599"/>
      <c r="AD415" s="599"/>
      <c r="AE415" s="599"/>
      <c r="AF415" s="599"/>
      <c r="AG415" s="599"/>
      <c r="AH415" s="599"/>
      <c r="AI415" s="599"/>
      <c r="AJ415" s="599"/>
      <c r="AK415" s="599"/>
      <c r="AL415" s="599"/>
      <c r="AM415" s="432"/>
      <c r="AO415">
        <f ca="1">IF($A415="S",IF(BM!$I415=0,0,CHOOSE(MATCH(RegimeExecucao,{"Global","Unitário"},0),ROUND(ROUND(BM.MEDAcumulado,15-13*BM!$A$9)/100*BM!$I415,15-13*ORÇAMENTO!$AF$11),ROUND(ROUND(BM.MEDAcumulado,15-13*BM!$A$9)*ROUND(BM!$H415,15-13*ORÇAMENTO!$AF$10),15-13*ORÇAMENTO!$AF$11))),IF($A415=0,0,ROUND(SomaAgrupBM,15-13*ORÇAMENTO!$AF$11)))</f>
        <v>0</v>
      </c>
    </row>
    <row r="416" spans="1:41" ht="13.8" x14ac:dyDescent="0.3">
      <c r="A416" t="str">
        <f ca="1">ORÇAMENTO!C416</f>
        <v>S</v>
      </c>
      <c r="B416">
        <f ca="1">ORÇAMENTO!D416</f>
        <v>0</v>
      </c>
      <c r="C416" s="143" t="str">
        <f t="shared" ca="1" si="67"/>
        <v/>
      </c>
      <c r="D416" s="146" t="str">
        <f ca="1">ORÇAMENTO!O416</f>
        <v>-</v>
      </c>
      <c r="E416" s="206" t="str">
        <f t="shared" ca="1" si="68"/>
        <v>(abra o arquivo 'Referência 05-2024.xls)</v>
      </c>
      <c r="F416" s="207" t="str">
        <f t="shared" ca="1" si="69"/>
        <v>-</v>
      </c>
      <c r="G416" s="151">
        <f ca="1">IF(RegimeExecucao="Global","",ORÇAMENTO!T416)</f>
        <v>2</v>
      </c>
      <c r="H416" s="151">
        <f ca="1">IF(RegimeExecucao="Global","",ORÇAMENTO!W416)</f>
        <v>0</v>
      </c>
      <c r="I416" s="154">
        <f ca="1">ORÇAMENTO!X416</f>
        <v>0</v>
      </c>
      <c r="J416" s="427">
        <f t="shared" ca="1" si="70"/>
        <v>0</v>
      </c>
      <c r="K416" s="151">
        <f t="shared" ca="1" si="71"/>
        <v>0</v>
      </c>
      <c r="L416" s="428">
        <f t="shared" ca="1" si="72"/>
        <v>0</v>
      </c>
      <c r="M416" s="429">
        <f ca="1">IF($A416="S",VTOTALBM,IF($A416=0,0,ROUND(SomaAgrupBM,15-13*ORÇAMENTO!$AF$11)))</f>
        <v>0</v>
      </c>
      <c r="N416" s="430">
        <f t="shared" ca="1" si="73"/>
        <v>0</v>
      </c>
      <c r="O416" s="154">
        <f ca="1">IF($A416="S",VTOTALBM,IF($A416=0,0,ROUND(SomaAgrupBM,15-13*ORÇAMENTO!$AF$11)))</f>
        <v>0</v>
      </c>
      <c r="Q416" s="431"/>
      <c r="R416" s="432"/>
      <c r="T416" s="146" t="str">
        <f t="shared" ca="1" si="74"/>
        <v/>
      </c>
      <c r="U416" s="206" t="str">
        <f t="shared" ca="1" si="75"/>
        <v/>
      </c>
      <c r="V416" s="207" t="str">
        <f t="shared" ca="1" si="76"/>
        <v/>
      </c>
      <c r="W416" s="634">
        <f ca="1">IF($Y416&gt;0,CHOOSE(MATCH(RegimeExecucao,{"Unitário","Global"},0),IF($A416="S",$Y416/$X416,""),($Y416/$X416)*100),0)</f>
        <v>0</v>
      </c>
      <c r="X416" s="433" t="str">
        <f ca="1">IF($Y416&gt;0,CHOOSE(MATCH(RegimeExecucao,{"Unitário","Global"},0),IF($A416="S",ROUND($H416,ORÇAMENTO!$AF$10),""),ROUND($I416,ORÇAMENTO!$AF$11)),"")</f>
        <v/>
      </c>
      <c r="Y416" s="433">
        <f t="shared" ca="1" si="77"/>
        <v>0</v>
      </c>
      <c r="Z416" s="434"/>
      <c r="AB416" s="431"/>
      <c r="AC416" s="599"/>
      <c r="AD416" s="599"/>
      <c r="AE416" s="599"/>
      <c r="AF416" s="599"/>
      <c r="AG416" s="599"/>
      <c r="AH416" s="599"/>
      <c r="AI416" s="599"/>
      <c r="AJ416" s="599"/>
      <c r="AK416" s="599"/>
      <c r="AL416" s="599"/>
      <c r="AM416" s="432"/>
      <c r="AO416">
        <f ca="1">IF($A416="S",IF(BM!$I416=0,0,CHOOSE(MATCH(RegimeExecucao,{"Global","Unitário"},0),ROUND(ROUND(BM.MEDAcumulado,15-13*BM!$A$9)/100*BM!$I416,15-13*ORÇAMENTO!$AF$11),ROUND(ROUND(BM.MEDAcumulado,15-13*BM!$A$9)*ROUND(BM!$H416,15-13*ORÇAMENTO!$AF$10),15-13*ORÇAMENTO!$AF$11))),IF($A416=0,0,ROUND(SomaAgrupBM,15-13*ORÇAMENTO!$AF$11)))</f>
        <v>0</v>
      </c>
    </row>
    <row r="417" spans="1:41" ht="13.8" x14ac:dyDescent="0.3">
      <c r="A417" t="str">
        <f ca="1">ORÇAMENTO!C417</f>
        <v>S</v>
      </c>
      <c r="B417">
        <f ca="1">ORÇAMENTO!D417</f>
        <v>0</v>
      </c>
      <c r="C417" s="143" t="str">
        <f t="shared" ca="1" si="67"/>
        <v/>
      </c>
      <c r="D417" s="146" t="str">
        <f ca="1">ORÇAMENTO!O417</f>
        <v>-</v>
      </c>
      <c r="E417" s="206" t="str">
        <f t="shared" ca="1" si="68"/>
        <v>(abra o arquivo 'Referência 05-2024.xls)</v>
      </c>
      <c r="F417" s="207" t="str">
        <f t="shared" ca="1" si="69"/>
        <v>-</v>
      </c>
      <c r="G417" s="151">
        <f ca="1">IF(RegimeExecucao="Global","",ORÇAMENTO!T417)</f>
        <v>11</v>
      </c>
      <c r="H417" s="151">
        <f ca="1">IF(RegimeExecucao="Global","",ORÇAMENTO!W417)</f>
        <v>0</v>
      </c>
      <c r="I417" s="154">
        <f ca="1">ORÇAMENTO!X417</f>
        <v>0</v>
      </c>
      <c r="J417" s="427">
        <f t="shared" ca="1" si="70"/>
        <v>0</v>
      </c>
      <c r="K417" s="151">
        <f t="shared" ca="1" si="71"/>
        <v>0</v>
      </c>
      <c r="L417" s="428">
        <f t="shared" ca="1" si="72"/>
        <v>0</v>
      </c>
      <c r="M417" s="429">
        <f ca="1">IF($A417="S",VTOTALBM,IF($A417=0,0,ROUND(SomaAgrupBM,15-13*ORÇAMENTO!$AF$11)))</f>
        <v>0</v>
      </c>
      <c r="N417" s="430">
        <f t="shared" ca="1" si="73"/>
        <v>0</v>
      </c>
      <c r="O417" s="154">
        <f ca="1">IF($A417="S",VTOTALBM,IF($A417=0,0,ROUND(SomaAgrupBM,15-13*ORÇAMENTO!$AF$11)))</f>
        <v>0</v>
      </c>
      <c r="Q417" s="431"/>
      <c r="R417" s="432"/>
      <c r="T417" s="146" t="str">
        <f t="shared" ca="1" si="74"/>
        <v/>
      </c>
      <c r="U417" s="206" t="str">
        <f t="shared" ca="1" si="75"/>
        <v/>
      </c>
      <c r="V417" s="207" t="str">
        <f t="shared" ca="1" si="76"/>
        <v/>
      </c>
      <c r="W417" s="634">
        <f ca="1">IF($Y417&gt;0,CHOOSE(MATCH(RegimeExecucao,{"Unitário","Global"},0),IF($A417="S",$Y417/$X417,""),($Y417/$X417)*100),0)</f>
        <v>0</v>
      </c>
      <c r="X417" s="433" t="str">
        <f ca="1">IF($Y417&gt;0,CHOOSE(MATCH(RegimeExecucao,{"Unitário","Global"},0),IF($A417="S",ROUND($H417,ORÇAMENTO!$AF$10),""),ROUND($I417,ORÇAMENTO!$AF$11)),"")</f>
        <v/>
      </c>
      <c r="Y417" s="433">
        <f t="shared" ca="1" si="77"/>
        <v>0</v>
      </c>
      <c r="Z417" s="434"/>
      <c r="AB417" s="431"/>
      <c r="AC417" s="599"/>
      <c r="AD417" s="599"/>
      <c r="AE417" s="599"/>
      <c r="AF417" s="599"/>
      <c r="AG417" s="599"/>
      <c r="AH417" s="599"/>
      <c r="AI417" s="599"/>
      <c r="AJ417" s="599"/>
      <c r="AK417" s="599"/>
      <c r="AL417" s="599"/>
      <c r="AM417" s="432"/>
      <c r="AO417">
        <f ca="1">IF($A417="S",IF(BM!$I417=0,0,CHOOSE(MATCH(RegimeExecucao,{"Global","Unitário"},0),ROUND(ROUND(BM.MEDAcumulado,15-13*BM!$A$9)/100*BM!$I417,15-13*ORÇAMENTO!$AF$11),ROUND(ROUND(BM.MEDAcumulado,15-13*BM!$A$9)*ROUND(BM!$H417,15-13*ORÇAMENTO!$AF$10),15-13*ORÇAMENTO!$AF$11))),IF($A417=0,0,ROUND(SomaAgrupBM,15-13*ORÇAMENTO!$AF$11)))</f>
        <v>0</v>
      </c>
    </row>
    <row r="418" spans="1:41" ht="13.8" x14ac:dyDescent="0.3">
      <c r="A418" t="str">
        <f ca="1">ORÇAMENTO!C418</f>
        <v>S</v>
      </c>
      <c r="B418">
        <f ca="1">ORÇAMENTO!D418</f>
        <v>0</v>
      </c>
      <c r="C418" s="143" t="str">
        <f t="shared" ca="1" si="67"/>
        <v/>
      </c>
      <c r="D418" s="146" t="str">
        <f ca="1">ORÇAMENTO!O418</f>
        <v>-</v>
      </c>
      <c r="E418" s="206" t="str">
        <f t="shared" ca="1" si="68"/>
        <v>(abra o arquivo 'Referência 05-2024.xls)</v>
      </c>
      <c r="F418" s="207" t="str">
        <f t="shared" ca="1" si="69"/>
        <v>-</v>
      </c>
      <c r="G418" s="151">
        <f ca="1">IF(RegimeExecucao="Global","",ORÇAMENTO!T418)</f>
        <v>2</v>
      </c>
      <c r="H418" s="151">
        <f ca="1">IF(RegimeExecucao="Global","",ORÇAMENTO!W418)</f>
        <v>0</v>
      </c>
      <c r="I418" s="154">
        <f ca="1">ORÇAMENTO!X418</f>
        <v>0</v>
      </c>
      <c r="J418" s="427">
        <f t="shared" ca="1" si="70"/>
        <v>0</v>
      </c>
      <c r="K418" s="151">
        <f t="shared" ca="1" si="71"/>
        <v>0</v>
      </c>
      <c r="L418" s="428">
        <f t="shared" ca="1" si="72"/>
        <v>0</v>
      </c>
      <c r="M418" s="429">
        <f ca="1">IF($A418="S",VTOTALBM,IF($A418=0,0,ROUND(SomaAgrupBM,15-13*ORÇAMENTO!$AF$11)))</f>
        <v>0</v>
      </c>
      <c r="N418" s="430">
        <f t="shared" ca="1" si="73"/>
        <v>0</v>
      </c>
      <c r="O418" s="154">
        <f ca="1">IF($A418="S",VTOTALBM,IF($A418=0,0,ROUND(SomaAgrupBM,15-13*ORÇAMENTO!$AF$11)))</f>
        <v>0</v>
      </c>
      <c r="Q418" s="431"/>
      <c r="R418" s="432"/>
      <c r="T418" s="146" t="str">
        <f t="shared" ca="1" si="74"/>
        <v/>
      </c>
      <c r="U418" s="206" t="str">
        <f t="shared" ca="1" si="75"/>
        <v/>
      </c>
      <c r="V418" s="207" t="str">
        <f t="shared" ca="1" si="76"/>
        <v/>
      </c>
      <c r="W418" s="634">
        <f ca="1">IF($Y418&gt;0,CHOOSE(MATCH(RegimeExecucao,{"Unitário","Global"},0),IF($A418="S",$Y418/$X418,""),($Y418/$X418)*100),0)</f>
        <v>0</v>
      </c>
      <c r="X418" s="433" t="str">
        <f ca="1">IF($Y418&gt;0,CHOOSE(MATCH(RegimeExecucao,{"Unitário","Global"},0),IF($A418="S",ROUND($H418,ORÇAMENTO!$AF$10),""),ROUND($I418,ORÇAMENTO!$AF$11)),"")</f>
        <v/>
      </c>
      <c r="Y418" s="433">
        <f t="shared" ca="1" si="77"/>
        <v>0</v>
      </c>
      <c r="Z418" s="434"/>
      <c r="AB418" s="431"/>
      <c r="AC418" s="599"/>
      <c r="AD418" s="599"/>
      <c r="AE418" s="599"/>
      <c r="AF418" s="599"/>
      <c r="AG418" s="599"/>
      <c r="AH418" s="599"/>
      <c r="AI418" s="599"/>
      <c r="AJ418" s="599"/>
      <c r="AK418" s="599"/>
      <c r="AL418" s="599"/>
      <c r="AM418" s="432"/>
      <c r="AO418">
        <f ca="1">IF($A418="S",IF(BM!$I418=0,0,CHOOSE(MATCH(RegimeExecucao,{"Global","Unitário"},0),ROUND(ROUND(BM.MEDAcumulado,15-13*BM!$A$9)/100*BM!$I418,15-13*ORÇAMENTO!$AF$11),ROUND(ROUND(BM.MEDAcumulado,15-13*BM!$A$9)*ROUND(BM!$H418,15-13*ORÇAMENTO!$AF$10),15-13*ORÇAMENTO!$AF$11))),IF($A418=0,0,ROUND(SomaAgrupBM,15-13*ORÇAMENTO!$AF$11)))</f>
        <v>0</v>
      </c>
    </row>
    <row r="419" spans="1:41" ht="13.8" x14ac:dyDescent="0.3">
      <c r="A419" t="str">
        <f ca="1">ORÇAMENTO!C419</f>
        <v>S</v>
      </c>
      <c r="B419">
        <f ca="1">ORÇAMENTO!D419</f>
        <v>0</v>
      </c>
      <c r="C419" s="143" t="str">
        <f t="shared" ca="1" si="67"/>
        <v/>
      </c>
      <c r="D419" s="146" t="str">
        <f ca="1">ORÇAMENTO!O419</f>
        <v>-</v>
      </c>
      <c r="E419" s="206" t="str">
        <f t="shared" ca="1" si="68"/>
        <v>(abra o arquivo 'Referência 05-2024.xls)</v>
      </c>
      <c r="F419" s="207" t="str">
        <f t="shared" ca="1" si="69"/>
        <v>-</v>
      </c>
      <c r="G419" s="151">
        <f ca="1">IF(RegimeExecucao="Global","",ORÇAMENTO!T419)</f>
        <v>1</v>
      </c>
      <c r="H419" s="151">
        <f ca="1">IF(RegimeExecucao="Global","",ORÇAMENTO!W419)</f>
        <v>0</v>
      </c>
      <c r="I419" s="154">
        <f ca="1">ORÇAMENTO!X419</f>
        <v>0</v>
      </c>
      <c r="J419" s="427">
        <f t="shared" ca="1" si="70"/>
        <v>0</v>
      </c>
      <c r="K419" s="151">
        <f t="shared" ca="1" si="71"/>
        <v>0</v>
      </c>
      <c r="L419" s="428">
        <f t="shared" ca="1" si="72"/>
        <v>0</v>
      </c>
      <c r="M419" s="429">
        <f ca="1">IF($A419="S",VTOTALBM,IF($A419=0,0,ROUND(SomaAgrupBM,15-13*ORÇAMENTO!$AF$11)))</f>
        <v>0</v>
      </c>
      <c r="N419" s="430">
        <f t="shared" ca="1" si="73"/>
        <v>0</v>
      </c>
      <c r="O419" s="154">
        <f ca="1">IF($A419="S",VTOTALBM,IF($A419=0,0,ROUND(SomaAgrupBM,15-13*ORÇAMENTO!$AF$11)))</f>
        <v>0</v>
      </c>
      <c r="Q419" s="431"/>
      <c r="R419" s="432"/>
      <c r="T419" s="146" t="str">
        <f t="shared" ca="1" si="74"/>
        <v/>
      </c>
      <c r="U419" s="206" t="str">
        <f t="shared" ca="1" si="75"/>
        <v/>
      </c>
      <c r="V419" s="207" t="str">
        <f t="shared" ca="1" si="76"/>
        <v/>
      </c>
      <c r="W419" s="634">
        <f ca="1">IF($Y419&gt;0,CHOOSE(MATCH(RegimeExecucao,{"Unitário","Global"},0),IF($A419="S",$Y419/$X419,""),($Y419/$X419)*100),0)</f>
        <v>0</v>
      </c>
      <c r="X419" s="433" t="str">
        <f ca="1">IF($Y419&gt;0,CHOOSE(MATCH(RegimeExecucao,{"Unitário","Global"},0),IF($A419="S",ROUND($H419,ORÇAMENTO!$AF$10),""),ROUND($I419,ORÇAMENTO!$AF$11)),"")</f>
        <v/>
      </c>
      <c r="Y419" s="433">
        <f t="shared" ca="1" si="77"/>
        <v>0</v>
      </c>
      <c r="Z419" s="434"/>
      <c r="AB419" s="431"/>
      <c r="AC419" s="599"/>
      <c r="AD419" s="599"/>
      <c r="AE419" s="599"/>
      <c r="AF419" s="599"/>
      <c r="AG419" s="599"/>
      <c r="AH419" s="599"/>
      <c r="AI419" s="599"/>
      <c r="AJ419" s="599"/>
      <c r="AK419" s="599"/>
      <c r="AL419" s="599"/>
      <c r="AM419" s="432"/>
      <c r="AO419">
        <f ca="1">IF($A419="S",IF(BM!$I419=0,0,CHOOSE(MATCH(RegimeExecucao,{"Global","Unitário"},0),ROUND(ROUND(BM.MEDAcumulado,15-13*BM!$A$9)/100*BM!$I419,15-13*ORÇAMENTO!$AF$11),ROUND(ROUND(BM.MEDAcumulado,15-13*BM!$A$9)*ROUND(BM!$H419,15-13*ORÇAMENTO!$AF$10),15-13*ORÇAMENTO!$AF$11))),IF($A419=0,0,ROUND(SomaAgrupBM,15-13*ORÇAMENTO!$AF$11)))</f>
        <v>0</v>
      </c>
    </row>
    <row r="420" spans="1:41" ht="13.8" x14ac:dyDescent="0.3">
      <c r="A420" t="str">
        <f ca="1">ORÇAMENTO!C420</f>
        <v>S</v>
      </c>
      <c r="B420">
        <f ca="1">ORÇAMENTO!D420</f>
        <v>0</v>
      </c>
      <c r="C420" s="143" t="str">
        <f t="shared" ca="1" si="67"/>
        <v/>
      </c>
      <c r="D420" s="146" t="str">
        <f ca="1">ORÇAMENTO!O420</f>
        <v>-</v>
      </c>
      <c r="E420" s="206" t="str">
        <f t="shared" ca="1" si="68"/>
        <v>(abra o arquivo 'Referência 05-2024.xls)</v>
      </c>
      <c r="F420" s="207" t="str">
        <f t="shared" ca="1" si="69"/>
        <v>-</v>
      </c>
      <c r="G420" s="151">
        <f ca="1">IF(RegimeExecucao="Global","",ORÇAMENTO!T420)</f>
        <v>8</v>
      </c>
      <c r="H420" s="151">
        <f ca="1">IF(RegimeExecucao="Global","",ORÇAMENTO!W420)</f>
        <v>0</v>
      </c>
      <c r="I420" s="154">
        <f ca="1">ORÇAMENTO!X420</f>
        <v>0</v>
      </c>
      <c r="J420" s="427">
        <f t="shared" ca="1" si="70"/>
        <v>0</v>
      </c>
      <c r="K420" s="151">
        <f t="shared" ca="1" si="71"/>
        <v>0</v>
      </c>
      <c r="L420" s="428">
        <f t="shared" ca="1" si="72"/>
        <v>0</v>
      </c>
      <c r="M420" s="429">
        <f ca="1">IF($A420="S",VTOTALBM,IF($A420=0,0,ROUND(SomaAgrupBM,15-13*ORÇAMENTO!$AF$11)))</f>
        <v>0</v>
      </c>
      <c r="N420" s="430">
        <f t="shared" ca="1" si="73"/>
        <v>0</v>
      </c>
      <c r="O420" s="154">
        <f ca="1">IF($A420="S",VTOTALBM,IF($A420=0,0,ROUND(SomaAgrupBM,15-13*ORÇAMENTO!$AF$11)))</f>
        <v>0</v>
      </c>
      <c r="Q420" s="431"/>
      <c r="R420" s="432"/>
      <c r="T420" s="146" t="str">
        <f t="shared" ca="1" si="74"/>
        <v/>
      </c>
      <c r="U420" s="206" t="str">
        <f t="shared" ca="1" si="75"/>
        <v/>
      </c>
      <c r="V420" s="207" t="str">
        <f t="shared" ca="1" si="76"/>
        <v/>
      </c>
      <c r="W420" s="634">
        <f ca="1">IF($Y420&gt;0,CHOOSE(MATCH(RegimeExecucao,{"Unitário","Global"},0),IF($A420="S",$Y420/$X420,""),($Y420/$X420)*100),0)</f>
        <v>0</v>
      </c>
      <c r="X420" s="433" t="str">
        <f ca="1">IF($Y420&gt;0,CHOOSE(MATCH(RegimeExecucao,{"Unitário","Global"},0),IF($A420="S",ROUND($H420,ORÇAMENTO!$AF$10),""),ROUND($I420,ORÇAMENTO!$AF$11)),"")</f>
        <v/>
      </c>
      <c r="Y420" s="433">
        <f t="shared" ca="1" si="77"/>
        <v>0</v>
      </c>
      <c r="Z420" s="434"/>
      <c r="AB420" s="431"/>
      <c r="AC420" s="599"/>
      <c r="AD420" s="599"/>
      <c r="AE420" s="599"/>
      <c r="AF420" s="599"/>
      <c r="AG420" s="599"/>
      <c r="AH420" s="599"/>
      <c r="AI420" s="599"/>
      <c r="AJ420" s="599"/>
      <c r="AK420" s="599"/>
      <c r="AL420" s="599"/>
      <c r="AM420" s="432"/>
      <c r="AO420">
        <f ca="1">IF($A420="S",IF(BM!$I420=0,0,CHOOSE(MATCH(RegimeExecucao,{"Global","Unitário"},0),ROUND(ROUND(BM.MEDAcumulado,15-13*BM!$A$9)/100*BM!$I420,15-13*ORÇAMENTO!$AF$11),ROUND(ROUND(BM.MEDAcumulado,15-13*BM!$A$9)*ROUND(BM!$H420,15-13*ORÇAMENTO!$AF$10),15-13*ORÇAMENTO!$AF$11))),IF($A420=0,0,ROUND(SomaAgrupBM,15-13*ORÇAMENTO!$AF$11)))</f>
        <v>0</v>
      </c>
    </row>
    <row r="421" spans="1:41" ht="13.8" x14ac:dyDescent="0.3">
      <c r="A421" t="str">
        <f ca="1">ORÇAMENTO!C421</f>
        <v>S</v>
      </c>
      <c r="B421">
        <f ca="1">ORÇAMENTO!D421</f>
        <v>0</v>
      </c>
      <c r="C421" s="143" t="str">
        <f t="shared" ca="1" si="67"/>
        <v/>
      </c>
      <c r="D421" s="146" t="str">
        <f ca="1">ORÇAMENTO!O421</f>
        <v>-</v>
      </c>
      <c r="E421" s="206" t="str">
        <f t="shared" ca="1" si="68"/>
        <v>(abra o arquivo 'Referência 05-2024.xls)</v>
      </c>
      <c r="F421" s="207" t="str">
        <f t="shared" ca="1" si="69"/>
        <v>-</v>
      </c>
      <c r="G421" s="151">
        <f ca="1">IF(RegimeExecucao="Global","",ORÇAMENTO!T421)</f>
        <v>24</v>
      </c>
      <c r="H421" s="151">
        <f ca="1">IF(RegimeExecucao="Global","",ORÇAMENTO!W421)</f>
        <v>0</v>
      </c>
      <c r="I421" s="154">
        <f ca="1">ORÇAMENTO!X421</f>
        <v>0</v>
      </c>
      <c r="J421" s="427">
        <f t="shared" ca="1" si="70"/>
        <v>0</v>
      </c>
      <c r="K421" s="151">
        <f t="shared" ca="1" si="71"/>
        <v>0</v>
      </c>
      <c r="L421" s="428">
        <f t="shared" ca="1" si="72"/>
        <v>0</v>
      </c>
      <c r="M421" s="429">
        <f ca="1">IF($A421="S",VTOTALBM,IF($A421=0,0,ROUND(SomaAgrupBM,15-13*ORÇAMENTO!$AF$11)))</f>
        <v>0</v>
      </c>
      <c r="N421" s="430">
        <f t="shared" ca="1" si="73"/>
        <v>0</v>
      </c>
      <c r="O421" s="154">
        <f ca="1">IF($A421="S",VTOTALBM,IF($A421=0,0,ROUND(SomaAgrupBM,15-13*ORÇAMENTO!$AF$11)))</f>
        <v>0</v>
      </c>
      <c r="Q421" s="431"/>
      <c r="R421" s="432"/>
      <c r="T421" s="146" t="str">
        <f t="shared" ca="1" si="74"/>
        <v/>
      </c>
      <c r="U421" s="206" t="str">
        <f t="shared" ca="1" si="75"/>
        <v/>
      </c>
      <c r="V421" s="207" t="str">
        <f t="shared" ca="1" si="76"/>
        <v/>
      </c>
      <c r="W421" s="634">
        <f ca="1">IF($Y421&gt;0,CHOOSE(MATCH(RegimeExecucao,{"Unitário","Global"},0),IF($A421="S",$Y421/$X421,""),($Y421/$X421)*100),0)</f>
        <v>0</v>
      </c>
      <c r="X421" s="433" t="str">
        <f ca="1">IF($Y421&gt;0,CHOOSE(MATCH(RegimeExecucao,{"Unitário","Global"},0),IF($A421="S",ROUND($H421,ORÇAMENTO!$AF$10),""),ROUND($I421,ORÇAMENTO!$AF$11)),"")</f>
        <v/>
      </c>
      <c r="Y421" s="433">
        <f t="shared" ca="1" si="77"/>
        <v>0</v>
      </c>
      <c r="Z421" s="434"/>
      <c r="AB421" s="431"/>
      <c r="AC421" s="599"/>
      <c r="AD421" s="599"/>
      <c r="AE421" s="599"/>
      <c r="AF421" s="599"/>
      <c r="AG421" s="599"/>
      <c r="AH421" s="599"/>
      <c r="AI421" s="599"/>
      <c r="AJ421" s="599"/>
      <c r="AK421" s="599"/>
      <c r="AL421" s="599"/>
      <c r="AM421" s="432"/>
      <c r="AO421">
        <f ca="1">IF($A421="S",IF(BM!$I421=0,0,CHOOSE(MATCH(RegimeExecucao,{"Global","Unitário"},0),ROUND(ROUND(BM.MEDAcumulado,15-13*BM!$A$9)/100*BM!$I421,15-13*ORÇAMENTO!$AF$11),ROUND(ROUND(BM.MEDAcumulado,15-13*BM!$A$9)*ROUND(BM!$H421,15-13*ORÇAMENTO!$AF$10),15-13*ORÇAMENTO!$AF$11))),IF($A421=0,0,ROUND(SomaAgrupBM,15-13*ORÇAMENTO!$AF$11)))</f>
        <v>0</v>
      </c>
    </row>
    <row r="422" spans="1:41" ht="13.8" x14ac:dyDescent="0.3">
      <c r="A422" t="str">
        <f ca="1">ORÇAMENTO!C422</f>
        <v>S</v>
      </c>
      <c r="B422">
        <f ca="1">ORÇAMENTO!D422</f>
        <v>0</v>
      </c>
      <c r="C422" s="143" t="str">
        <f t="shared" ca="1" si="67"/>
        <v/>
      </c>
      <c r="D422" s="146" t="str">
        <f ca="1">ORÇAMENTO!O422</f>
        <v>-</v>
      </c>
      <c r="E422" s="206" t="str">
        <f t="shared" ca="1" si="68"/>
        <v>(abra o arquivo 'Referência 05-2024.xls)</v>
      </c>
      <c r="F422" s="207" t="str">
        <f t="shared" ca="1" si="69"/>
        <v>-</v>
      </c>
      <c r="G422" s="151">
        <f ca="1">IF(RegimeExecucao="Global","",ORÇAMENTO!T422)</f>
        <v>2</v>
      </c>
      <c r="H422" s="151">
        <f ca="1">IF(RegimeExecucao="Global","",ORÇAMENTO!W422)</f>
        <v>0</v>
      </c>
      <c r="I422" s="154">
        <f ca="1">ORÇAMENTO!X422</f>
        <v>0</v>
      </c>
      <c r="J422" s="427">
        <f t="shared" ca="1" si="70"/>
        <v>0</v>
      </c>
      <c r="K422" s="151">
        <f t="shared" ca="1" si="71"/>
        <v>0</v>
      </c>
      <c r="L422" s="428">
        <f t="shared" ca="1" si="72"/>
        <v>0</v>
      </c>
      <c r="M422" s="429">
        <f ca="1">IF($A422="S",VTOTALBM,IF($A422=0,0,ROUND(SomaAgrupBM,15-13*ORÇAMENTO!$AF$11)))</f>
        <v>0</v>
      </c>
      <c r="N422" s="430">
        <f t="shared" ca="1" si="73"/>
        <v>0</v>
      </c>
      <c r="O422" s="154">
        <f ca="1">IF($A422="S",VTOTALBM,IF($A422=0,0,ROUND(SomaAgrupBM,15-13*ORÇAMENTO!$AF$11)))</f>
        <v>0</v>
      </c>
      <c r="Q422" s="431"/>
      <c r="R422" s="432"/>
      <c r="T422" s="146" t="str">
        <f t="shared" ca="1" si="74"/>
        <v/>
      </c>
      <c r="U422" s="206" t="str">
        <f t="shared" ca="1" si="75"/>
        <v/>
      </c>
      <c r="V422" s="207" t="str">
        <f t="shared" ca="1" si="76"/>
        <v/>
      </c>
      <c r="W422" s="634">
        <f ca="1">IF($Y422&gt;0,CHOOSE(MATCH(RegimeExecucao,{"Unitário","Global"},0),IF($A422="S",$Y422/$X422,""),($Y422/$X422)*100),0)</f>
        <v>0</v>
      </c>
      <c r="X422" s="433" t="str">
        <f ca="1">IF($Y422&gt;0,CHOOSE(MATCH(RegimeExecucao,{"Unitário","Global"},0),IF($A422="S",ROUND($H422,ORÇAMENTO!$AF$10),""),ROUND($I422,ORÇAMENTO!$AF$11)),"")</f>
        <v/>
      </c>
      <c r="Y422" s="433">
        <f t="shared" ca="1" si="77"/>
        <v>0</v>
      </c>
      <c r="Z422" s="434"/>
      <c r="AB422" s="431"/>
      <c r="AC422" s="599"/>
      <c r="AD422" s="599"/>
      <c r="AE422" s="599"/>
      <c r="AF422" s="599"/>
      <c r="AG422" s="599"/>
      <c r="AH422" s="599"/>
      <c r="AI422" s="599"/>
      <c r="AJ422" s="599"/>
      <c r="AK422" s="599"/>
      <c r="AL422" s="599"/>
      <c r="AM422" s="432"/>
      <c r="AO422">
        <f ca="1">IF($A422="S",IF(BM!$I422=0,0,CHOOSE(MATCH(RegimeExecucao,{"Global","Unitário"},0),ROUND(ROUND(BM.MEDAcumulado,15-13*BM!$A$9)/100*BM!$I422,15-13*ORÇAMENTO!$AF$11),ROUND(ROUND(BM.MEDAcumulado,15-13*BM!$A$9)*ROUND(BM!$H422,15-13*ORÇAMENTO!$AF$10),15-13*ORÇAMENTO!$AF$11))),IF($A422=0,0,ROUND(SomaAgrupBM,15-13*ORÇAMENTO!$AF$11)))</f>
        <v>0</v>
      </c>
    </row>
    <row r="423" spans="1:41" ht="13.8" x14ac:dyDescent="0.3">
      <c r="A423" t="str">
        <f ca="1">ORÇAMENTO!C423</f>
        <v>S</v>
      </c>
      <c r="B423">
        <f ca="1">ORÇAMENTO!D423</f>
        <v>0</v>
      </c>
      <c r="C423" s="143" t="str">
        <f t="shared" ca="1" si="67"/>
        <v/>
      </c>
      <c r="D423" s="146" t="str">
        <f ca="1">ORÇAMENTO!O423</f>
        <v>-</v>
      </c>
      <c r="E423" s="206" t="str">
        <f t="shared" ca="1" si="68"/>
        <v>(abra o arquivo 'Referência 05-2024.xls)</v>
      </c>
      <c r="F423" s="207" t="str">
        <f t="shared" ca="1" si="69"/>
        <v>-</v>
      </c>
      <c r="G423" s="151">
        <f ca="1">IF(RegimeExecucao="Global","",ORÇAMENTO!T423)</f>
        <v>9</v>
      </c>
      <c r="H423" s="151">
        <f ca="1">IF(RegimeExecucao="Global","",ORÇAMENTO!W423)</f>
        <v>0</v>
      </c>
      <c r="I423" s="154">
        <f ca="1">ORÇAMENTO!X423</f>
        <v>0</v>
      </c>
      <c r="J423" s="427">
        <f t="shared" ca="1" si="70"/>
        <v>0</v>
      </c>
      <c r="K423" s="151">
        <f t="shared" ca="1" si="71"/>
        <v>0</v>
      </c>
      <c r="L423" s="428">
        <f t="shared" ca="1" si="72"/>
        <v>0</v>
      </c>
      <c r="M423" s="429">
        <f ca="1">IF($A423="S",VTOTALBM,IF($A423=0,0,ROUND(SomaAgrupBM,15-13*ORÇAMENTO!$AF$11)))</f>
        <v>0</v>
      </c>
      <c r="N423" s="430">
        <f t="shared" ca="1" si="73"/>
        <v>0</v>
      </c>
      <c r="O423" s="154">
        <f ca="1">IF($A423="S",VTOTALBM,IF($A423=0,0,ROUND(SomaAgrupBM,15-13*ORÇAMENTO!$AF$11)))</f>
        <v>0</v>
      </c>
      <c r="Q423" s="431"/>
      <c r="R423" s="432"/>
      <c r="T423" s="146" t="str">
        <f t="shared" ca="1" si="74"/>
        <v/>
      </c>
      <c r="U423" s="206" t="str">
        <f t="shared" ca="1" si="75"/>
        <v/>
      </c>
      <c r="V423" s="207" t="str">
        <f t="shared" ca="1" si="76"/>
        <v/>
      </c>
      <c r="W423" s="634">
        <f ca="1">IF($Y423&gt;0,CHOOSE(MATCH(RegimeExecucao,{"Unitário","Global"},0),IF($A423="S",$Y423/$X423,""),($Y423/$X423)*100),0)</f>
        <v>0</v>
      </c>
      <c r="X423" s="433" t="str">
        <f ca="1">IF($Y423&gt;0,CHOOSE(MATCH(RegimeExecucao,{"Unitário","Global"},0),IF($A423="S",ROUND($H423,ORÇAMENTO!$AF$10),""),ROUND($I423,ORÇAMENTO!$AF$11)),"")</f>
        <v/>
      </c>
      <c r="Y423" s="433">
        <f t="shared" ca="1" si="77"/>
        <v>0</v>
      </c>
      <c r="Z423" s="434"/>
      <c r="AB423" s="431"/>
      <c r="AC423" s="599"/>
      <c r="AD423" s="599"/>
      <c r="AE423" s="599"/>
      <c r="AF423" s="599"/>
      <c r="AG423" s="599"/>
      <c r="AH423" s="599"/>
      <c r="AI423" s="599"/>
      <c r="AJ423" s="599"/>
      <c r="AK423" s="599"/>
      <c r="AL423" s="599"/>
      <c r="AM423" s="432"/>
      <c r="AO423">
        <f ca="1">IF($A423="S",IF(BM!$I423=0,0,CHOOSE(MATCH(RegimeExecucao,{"Global","Unitário"},0),ROUND(ROUND(BM.MEDAcumulado,15-13*BM!$A$9)/100*BM!$I423,15-13*ORÇAMENTO!$AF$11),ROUND(ROUND(BM.MEDAcumulado,15-13*BM!$A$9)*ROUND(BM!$H423,15-13*ORÇAMENTO!$AF$10),15-13*ORÇAMENTO!$AF$11))),IF($A423=0,0,ROUND(SomaAgrupBM,15-13*ORÇAMENTO!$AF$11)))</f>
        <v>0</v>
      </c>
    </row>
    <row r="424" spans="1:41" ht="13.8" x14ac:dyDescent="0.3">
      <c r="A424" t="str">
        <f ca="1">ORÇAMENTO!C424</f>
        <v>S</v>
      </c>
      <c r="B424">
        <f ca="1">ORÇAMENTO!D424</f>
        <v>0</v>
      </c>
      <c r="C424" s="143" t="str">
        <f t="shared" ca="1" si="67"/>
        <v/>
      </c>
      <c r="D424" s="146" t="str">
        <f ca="1">ORÇAMENTO!O424</f>
        <v>-</v>
      </c>
      <c r="E424" s="206" t="str">
        <f t="shared" ca="1" si="68"/>
        <v>(abra o arquivo 'Referência 05-2024.xls)</v>
      </c>
      <c r="F424" s="207" t="str">
        <f t="shared" ca="1" si="69"/>
        <v>-</v>
      </c>
      <c r="G424" s="151">
        <f ca="1">IF(RegimeExecucao="Global","",ORÇAMENTO!T424)</f>
        <v>5</v>
      </c>
      <c r="H424" s="151">
        <f ca="1">IF(RegimeExecucao="Global","",ORÇAMENTO!W424)</f>
        <v>0</v>
      </c>
      <c r="I424" s="154">
        <f ca="1">ORÇAMENTO!X424</f>
        <v>0</v>
      </c>
      <c r="J424" s="427">
        <f t="shared" ca="1" si="70"/>
        <v>0</v>
      </c>
      <c r="K424" s="151">
        <f t="shared" ca="1" si="71"/>
        <v>0</v>
      </c>
      <c r="L424" s="428">
        <f t="shared" ca="1" si="72"/>
        <v>0</v>
      </c>
      <c r="M424" s="429">
        <f ca="1">IF($A424="S",VTOTALBM,IF($A424=0,0,ROUND(SomaAgrupBM,15-13*ORÇAMENTO!$AF$11)))</f>
        <v>0</v>
      </c>
      <c r="N424" s="430">
        <f t="shared" ca="1" si="73"/>
        <v>0</v>
      </c>
      <c r="O424" s="154">
        <f ca="1">IF($A424="S",VTOTALBM,IF($A424=0,0,ROUND(SomaAgrupBM,15-13*ORÇAMENTO!$AF$11)))</f>
        <v>0</v>
      </c>
      <c r="Q424" s="431"/>
      <c r="R424" s="432"/>
      <c r="T424" s="146" t="str">
        <f t="shared" ca="1" si="74"/>
        <v/>
      </c>
      <c r="U424" s="206" t="str">
        <f t="shared" ca="1" si="75"/>
        <v/>
      </c>
      <c r="V424" s="207" t="str">
        <f t="shared" ca="1" si="76"/>
        <v/>
      </c>
      <c r="W424" s="634">
        <f ca="1">IF($Y424&gt;0,CHOOSE(MATCH(RegimeExecucao,{"Unitário","Global"},0),IF($A424="S",$Y424/$X424,""),($Y424/$X424)*100),0)</f>
        <v>0</v>
      </c>
      <c r="X424" s="433" t="str">
        <f ca="1">IF($Y424&gt;0,CHOOSE(MATCH(RegimeExecucao,{"Unitário","Global"},0),IF($A424="S",ROUND($H424,ORÇAMENTO!$AF$10),""),ROUND($I424,ORÇAMENTO!$AF$11)),"")</f>
        <v/>
      </c>
      <c r="Y424" s="433">
        <f t="shared" ca="1" si="77"/>
        <v>0</v>
      </c>
      <c r="Z424" s="434"/>
      <c r="AB424" s="431"/>
      <c r="AC424" s="599"/>
      <c r="AD424" s="599"/>
      <c r="AE424" s="599"/>
      <c r="AF424" s="599"/>
      <c r="AG424" s="599"/>
      <c r="AH424" s="599"/>
      <c r="AI424" s="599"/>
      <c r="AJ424" s="599"/>
      <c r="AK424" s="599"/>
      <c r="AL424" s="599"/>
      <c r="AM424" s="432"/>
      <c r="AO424">
        <f ca="1">IF($A424="S",IF(BM!$I424=0,0,CHOOSE(MATCH(RegimeExecucao,{"Global","Unitário"},0),ROUND(ROUND(BM.MEDAcumulado,15-13*BM!$A$9)/100*BM!$I424,15-13*ORÇAMENTO!$AF$11),ROUND(ROUND(BM.MEDAcumulado,15-13*BM!$A$9)*ROUND(BM!$H424,15-13*ORÇAMENTO!$AF$10),15-13*ORÇAMENTO!$AF$11))),IF($A424=0,0,ROUND(SomaAgrupBM,15-13*ORÇAMENTO!$AF$11)))</f>
        <v>0</v>
      </c>
    </row>
    <row r="425" spans="1:41" ht="13.8" x14ac:dyDescent="0.3">
      <c r="A425" t="str">
        <f ca="1">ORÇAMENTO!C425</f>
        <v>S</v>
      </c>
      <c r="B425">
        <f ca="1">ORÇAMENTO!D425</f>
        <v>0</v>
      </c>
      <c r="C425" s="143" t="str">
        <f t="shared" ca="1" si="67"/>
        <v/>
      </c>
      <c r="D425" s="146" t="str">
        <f ca="1">ORÇAMENTO!O425</f>
        <v>-</v>
      </c>
      <c r="E425" s="206" t="str">
        <f t="shared" ca="1" si="68"/>
        <v>(abra o arquivo 'Referência 05-2024.xls)</v>
      </c>
      <c r="F425" s="207" t="str">
        <f t="shared" ca="1" si="69"/>
        <v>-</v>
      </c>
      <c r="G425" s="151">
        <f ca="1">IF(RegimeExecucao="Global","",ORÇAMENTO!T425)</f>
        <v>2</v>
      </c>
      <c r="H425" s="151">
        <f ca="1">IF(RegimeExecucao="Global","",ORÇAMENTO!W425)</f>
        <v>0</v>
      </c>
      <c r="I425" s="154">
        <f ca="1">ORÇAMENTO!X425</f>
        <v>0</v>
      </c>
      <c r="J425" s="427">
        <f t="shared" ca="1" si="70"/>
        <v>0</v>
      </c>
      <c r="K425" s="151">
        <f t="shared" ca="1" si="71"/>
        <v>0</v>
      </c>
      <c r="L425" s="428">
        <f t="shared" ca="1" si="72"/>
        <v>0</v>
      </c>
      <c r="M425" s="429">
        <f ca="1">IF($A425="S",VTOTALBM,IF($A425=0,0,ROUND(SomaAgrupBM,15-13*ORÇAMENTO!$AF$11)))</f>
        <v>0</v>
      </c>
      <c r="N425" s="430">
        <f t="shared" ca="1" si="73"/>
        <v>0</v>
      </c>
      <c r="O425" s="154">
        <f ca="1">IF($A425="S",VTOTALBM,IF($A425=0,0,ROUND(SomaAgrupBM,15-13*ORÇAMENTO!$AF$11)))</f>
        <v>0</v>
      </c>
      <c r="Q425" s="431"/>
      <c r="R425" s="432"/>
      <c r="T425" s="146" t="str">
        <f t="shared" ca="1" si="74"/>
        <v/>
      </c>
      <c r="U425" s="206" t="str">
        <f t="shared" ca="1" si="75"/>
        <v/>
      </c>
      <c r="V425" s="207" t="str">
        <f t="shared" ca="1" si="76"/>
        <v/>
      </c>
      <c r="W425" s="634">
        <f ca="1">IF($Y425&gt;0,CHOOSE(MATCH(RegimeExecucao,{"Unitário","Global"},0),IF($A425="S",$Y425/$X425,""),($Y425/$X425)*100),0)</f>
        <v>0</v>
      </c>
      <c r="X425" s="433" t="str">
        <f ca="1">IF($Y425&gt;0,CHOOSE(MATCH(RegimeExecucao,{"Unitário","Global"},0),IF($A425="S",ROUND($H425,ORÇAMENTO!$AF$10),""),ROUND($I425,ORÇAMENTO!$AF$11)),"")</f>
        <v/>
      </c>
      <c r="Y425" s="433">
        <f t="shared" ca="1" si="77"/>
        <v>0</v>
      </c>
      <c r="Z425" s="434"/>
      <c r="AB425" s="431"/>
      <c r="AC425" s="599"/>
      <c r="AD425" s="599"/>
      <c r="AE425" s="599"/>
      <c r="AF425" s="599"/>
      <c r="AG425" s="599"/>
      <c r="AH425" s="599"/>
      <c r="AI425" s="599"/>
      <c r="AJ425" s="599"/>
      <c r="AK425" s="599"/>
      <c r="AL425" s="599"/>
      <c r="AM425" s="432"/>
      <c r="AO425">
        <f ca="1">IF($A425="S",IF(BM!$I425=0,0,CHOOSE(MATCH(RegimeExecucao,{"Global","Unitário"},0),ROUND(ROUND(BM.MEDAcumulado,15-13*BM!$A$9)/100*BM!$I425,15-13*ORÇAMENTO!$AF$11),ROUND(ROUND(BM.MEDAcumulado,15-13*BM!$A$9)*ROUND(BM!$H425,15-13*ORÇAMENTO!$AF$10),15-13*ORÇAMENTO!$AF$11))),IF($A425=0,0,ROUND(SomaAgrupBM,15-13*ORÇAMENTO!$AF$11)))</f>
        <v>0</v>
      </c>
    </row>
    <row r="426" spans="1:41" ht="13.8" x14ac:dyDescent="0.3">
      <c r="A426">
        <f ca="1">ORÇAMENTO!C426</f>
        <v>3</v>
      </c>
      <c r="B426">
        <f ca="1">ORÇAMENTO!D426</f>
        <v>3</v>
      </c>
      <c r="C426" s="143" t="str">
        <f t="shared" ca="1" si="67"/>
        <v>F</v>
      </c>
      <c r="D426" s="146" t="str">
        <f ca="1">ORÇAMENTO!O426</f>
        <v>1.14.2.</v>
      </c>
      <c r="E426" s="206" t="str">
        <f t="shared" si="68"/>
        <v>LIGAÇÃO PREDIAL NA REDE PÚBLICA DE ESGOTO</v>
      </c>
      <c r="F426" s="207" t="str">
        <f t="shared" ca="1" si="69"/>
        <v>-</v>
      </c>
      <c r="G426" s="151">
        <f ca="1">IF(RegimeExecucao="Global","",ORÇAMENTO!T426)</f>
        <v>0</v>
      </c>
      <c r="H426" s="151">
        <f ca="1">IF(RegimeExecucao="Global","",ORÇAMENTO!W426)</f>
        <v>0</v>
      </c>
      <c r="I426" s="154">
        <f ca="1">ORÇAMENTO!X426</f>
        <v>0</v>
      </c>
      <c r="J426" s="427">
        <f t="shared" ca="1" si="70"/>
        <v>0</v>
      </c>
      <c r="K426" s="151">
        <f t="shared" ca="1" si="71"/>
        <v>0</v>
      </c>
      <c r="L426" s="428">
        <f t="shared" ca="1" si="72"/>
        <v>0</v>
      </c>
      <c r="M426" s="429">
        <f ca="1">IF($A426="S",VTOTALBM,IF($A426=0,0,ROUND(SomaAgrupBM,15-13*ORÇAMENTO!$AF$11)))</f>
        <v>0</v>
      </c>
      <c r="N426" s="430">
        <f t="shared" ca="1" si="73"/>
        <v>0</v>
      </c>
      <c r="O426" s="154">
        <f ca="1">IF($A426="S",VTOTALBM,IF($A426=0,0,ROUND(SomaAgrupBM,15-13*ORÇAMENTO!$AF$11)))</f>
        <v>0</v>
      </c>
      <c r="Q426" s="431"/>
      <c r="R426" s="432"/>
      <c r="T426" s="146" t="str">
        <f t="shared" ca="1" si="74"/>
        <v/>
      </c>
      <c r="U426" s="206" t="str">
        <f t="shared" ca="1" si="75"/>
        <v/>
      </c>
      <c r="V426" s="207" t="str">
        <f t="shared" ca="1" si="76"/>
        <v/>
      </c>
      <c r="W426" s="634">
        <f ca="1">IF($Y426&gt;0,CHOOSE(MATCH(RegimeExecucao,{"Unitário","Global"},0),IF($A426="S",$Y426/$X426,""),($Y426/$X426)*100),0)</f>
        <v>0</v>
      </c>
      <c r="X426" s="433" t="str">
        <f ca="1">IF($Y426&gt;0,CHOOSE(MATCH(RegimeExecucao,{"Unitário","Global"},0),IF($A426="S",ROUND($H426,ORÇAMENTO!$AF$10),""),ROUND($I426,ORÇAMENTO!$AF$11)),"")</f>
        <v/>
      </c>
      <c r="Y426" s="433">
        <f t="shared" ca="1" si="77"/>
        <v>0</v>
      </c>
      <c r="Z426" s="434"/>
      <c r="AB426" s="431"/>
      <c r="AC426" s="599"/>
      <c r="AD426" s="599"/>
      <c r="AE426" s="599"/>
      <c r="AF426" s="599"/>
      <c r="AG426" s="599"/>
      <c r="AH426" s="599"/>
      <c r="AI426" s="599"/>
      <c r="AJ426" s="599"/>
      <c r="AK426" s="599"/>
      <c r="AL426" s="599"/>
      <c r="AM426" s="432"/>
      <c r="AO426">
        <f ca="1">IF($A426="S",IF(BM!$I426=0,0,CHOOSE(MATCH(RegimeExecucao,{"Global","Unitário"},0),ROUND(ROUND(BM.MEDAcumulado,15-13*BM!$A$9)/100*BM!$I426,15-13*ORÇAMENTO!$AF$11),ROUND(ROUND(BM.MEDAcumulado,15-13*BM!$A$9)*ROUND(BM!$H426,15-13*ORÇAMENTO!$AF$10),15-13*ORÇAMENTO!$AF$11))),IF($A426=0,0,ROUND(SomaAgrupBM,15-13*ORÇAMENTO!$AF$11)))</f>
        <v>0</v>
      </c>
    </row>
    <row r="427" spans="1:41" ht="13.8" x14ac:dyDescent="0.3">
      <c r="A427" t="str">
        <f ca="1">ORÇAMENTO!C427</f>
        <v>S</v>
      </c>
      <c r="B427">
        <f ca="1">ORÇAMENTO!D427</f>
        <v>0</v>
      </c>
      <c r="C427" s="143" t="str">
        <f t="shared" ca="1" si="67"/>
        <v/>
      </c>
      <c r="D427" s="146" t="str">
        <f ca="1">ORÇAMENTO!O427</f>
        <v>-</v>
      </c>
      <c r="E427" s="206" t="str">
        <f t="shared" ca="1" si="68"/>
        <v>(abra o arquivo 'Referência 05-2024.xls)</v>
      </c>
      <c r="F427" s="207" t="str">
        <f t="shared" ca="1" si="69"/>
        <v>-</v>
      </c>
      <c r="G427" s="151">
        <f ca="1">IF(RegimeExecucao="Global","",ORÇAMENTO!T427)</f>
        <v>16.5</v>
      </c>
      <c r="H427" s="151">
        <f ca="1">IF(RegimeExecucao="Global","",ORÇAMENTO!W427)</f>
        <v>0</v>
      </c>
      <c r="I427" s="154">
        <f ca="1">ORÇAMENTO!X427</f>
        <v>0</v>
      </c>
      <c r="J427" s="427">
        <f t="shared" ca="1" si="70"/>
        <v>0</v>
      </c>
      <c r="K427" s="151">
        <f t="shared" ca="1" si="71"/>
        <v>0</v>
      </c>
      <c r="L427" s="428">
        <f t="shared" ca="1" si="72"/>
        <v>0</v>
      </c>
      <c r="M427" s="429">
        <f ca="1">IF($A427="S",VTOTALBM,IF($A427=0,0,ROUND(SomaAgrupBM,15-13*ORÇAMENTO!$AF$11)))</f>
        <v>0</v>
      </c>
      <c r="N427" s="430">
        <f t="shared" ca="1" si="73"/>
        <v>0</v>
      </c>
      <c r="O427" s="154">
        <f ca="1">IF($A427="S",VTOTALBM,IF($A427=0,0,ROUND(SomaAgrupBM,15-13*ORÇAMENTO!$AF$11)))</f>
        <v>0</v>
      </c>
      <c r="Q427" s="431"/>
      <c r="R427" s="432"/>
      <c r="T427" s="146" t="str">
        <f t="shared" ca="1" si="74"/>
        <v/>
      </c>
      <c r="U427" s="206" t="str">
        <f t="shared" ca="1" si="75"/>
        <v/>
      </c>
      <c r="V427" s="207" t="str">
        <f t="shared" ca="1" si="76"/>
        <v/>
      </c>
      <c r="W427" s="634">
        <f ca="1">IF($Y427&gt;0,CHOOSE(MATCH(RegimeExecucao,{"Unitário","Global"},0),IF($A427="S",$Y427/$X427,""),($Y427/$X427)*100),0)</f>
        <v>0</v>
      </c>
      <c r="X427" s="433" t="str">
        <f ca="1">IF($Y427&gt;0,CHOOSE(MATCH(RegimeExecucao,{"Unitário","Global"},0),IF($A427="S",ROUND($H427,ORÇAMENTO!$AF$10),""),ROUND($I427,ORÇAMENTO!$AF$11)),"")</f>
        <v/>
      </c>
      <c r="Y427" s="433">
        <f t="shared" ca="1" si="77"/>
        <v>0</v>
      </c>
      <c r="Z427" s="434"/>
      <c r="AB427" s="431"/>
      <c r="AC427" s="599"/>
      <c r="AD427" s="599"/>
      <c r="AE427" s="599"/>
      <c r="AF427" s="599"/>
      <c r="AG427" s="599"/>
      <c r="AH427" s="599"/>
      <c r="AI427" s="599"/>
      <c r="AJ427" s="599"/>
      <c r="AK427" s="599"/>
      <c r="AL427" s="599"/>
      <c r="AM427" s="432"/>
      <c r="AO427">
        <f ca="1">IF($A427="S",IF(BM!$I427=0,0,CHOOSE(MATCH(RegimeExecucao,{"Global","Unitário"},0),ROUND(ROUND(BM.MEDAcumulado,15-13*BM!$A$9)/100*BM!$I427,15-13*ORÇAMENTO!$AF$11),ROUND(ROUND(BM.MEDAcumulado,15-13*BM!$A$9)*ROUND(BM!$H427,15-13*ORÇAMENTO!$AF$10),15-13*ORÇAMENTO!$AF$11))),IF($A427=0,0,ROUND(SomaAgrupBM,15-13*ORÇAMENTO!$AF$11)))</f>
        <v>0</v>
      </c>
    </row>
    <row r="428" spans="1:41" ht="13.8" x14ac:dyDescent="0.3">
      <c r="A428" t="str">
        <f ca="1">ORÇAMENTO!C428</f>
        <v>S</v>
      </c>
      <c r="B428">
        <f ca="1">ORÇAMENTO!D428</f>
        <v>0</v>
      </c>
      <c r="C428" s="143" t="str">
        <f t="shared" ca="1" si="67"/>
        <v/>
      </c>
      <c r="D428" s="146" t="str">
        <f ca="1">ORÇAMENTO!O428</f>
        <v>-</v>
      </c>
      <c r="E428" s="206" t="str">
        <f t="shared" ca="1" si="68"/>
        <v>(abra o arquivo 'Referência 05-2024.xls)</v>
      </c>
      <c r="F428" s="207" t="str">
        <f t="shared" ca="1" si="69"/>
        <v>-</v>
      </c>
      <c r="G428" s="151">
        <f ca="1">IF(RegimeExecucao="Global","",ORÇAMENTO!T428)</f>
        <v>1</v>
      </c>
      <c r="H428" s="151">
        <f ca="1">IF(RegimeExecucao="Global","",ORÇAMENTO!W428)</f>
        <v>0</v>
      </c>
      <c r="I428" s="154">
        <f ca="1">ORÇAMENTO!X428</f>
        <v>0</v>
      </c>
      <c r="J428" s="427">
        <f t="shared" ca="1" si="70"/>
        <v>0</v>
      </c>
      <c r="K428" s="151">
        <f t="shared" ca="1" si="71"/>
        <v>0</v>
      </c>
      <c r="L428" s="428">
        <f t="shared" ca="1" si="72"/>
        <v>0</v>
      </c>
      <c r="M428" s="429">
        <f ca="1">IF($A428="S",VTOTALBM,IF($A428=0,0,ROUND(SomaAgrupBM,15-13*ORÇAMENTO!$AF$11)))</f>
        <v>0</v>
      </c>
      <c r="N428" s="430">
        <f t="shared" ca="1" si="73"/>
        <v>0</v>
      </c>
      <c r="O428" s="154">
        <f ca="1">IF($A428="S",VTOTALBM,IF($A428=0,0,ROUND(SomaAgrupBM,15-13*ORÇAMENTO!$AF$11)))</f>
        <v>0</v>
      </c>
      <c r="Q428" s="431"/>
      <c r="R428" s="432"/>
      <c r="T428" s="146" t="str">
        <f t="shared" ca="1" si="74"/>
        <v/>
      </c>
      <c r="U428" s="206" t="str">
        <f t="shared" ca="1" si="75"/>
        <v/>
      </c>
      <c r="V428" s="207" t="str">
        <f t="shared" ca="1" si="76"/>
        <v/>
      </c>
      <c r="W428" s="634">
        <f ca="1">IF($Y428&gt;0,CHOOSE(MATCH(RegimeExecucao,{"Unitário","Global"},0),IF($A428="S",$Y428/$X428,""),($Y428/$X428)*100),0)</f>
        <v>0</v>
      </c>
      <c r="X428" s="433" t="str">
        <f ca="1">IF($Y428&gt;0,CHOOSE(MATCH(RegimeExecucao,{"Unitário","Global"},0),IF($A428="S",ROUND($H428,ORÇAMENTO!$AF$10),""),ROUND($I428,ORÇAMENTO!$AF$11)),"")</f>
        <v/>
      </c>
      <c r="Y428" s="433">
        <f t="shared" ca="1" si="77"/>
        <v>0</v>
      </c>
      <c r="Z428" s="434"/>
      <c r="AB428" s="431"/>
      <c r="AC428" s="599"/>
      <c r="AD428" s="599"/>
      <c r="AE428" s="599"/>
      <c r="AF428" s="599"/>
      <c r="AG428" s="599"/>
      <c r="AH428" s="599"/>
      <c r="AI428" s="599"/>
      <c r="AJ428" s="599"/>
      <c r="AK428" s="599"/>
      <c r="AL428" s="599"/>
      <c r="AM428" s="432"/>
      <c r="AO428">
        <f ca="1">IF($A428="S",IF(BM!$I428=0,0,CHOOSE(MATCH(RegimeExecucao,{"Global","Unitário"},0),ROUND(ROUND(BM.MEDAcumulado,15-13*BM!$A$9)/100*BM!$I428,15-13*ORÇAMENTO!$AF$11),ROUND(ROUND(BM.MEDAcumulado,15-13*BM!$A$9)*ROUND(BM!$H428,15-13*ORÇAMENTO!$AF$10),15-13*ORÇAMENTO!$AF$11))),IF($A428=0,0,ROUND(SomaAgrupBM,15-13*ORÇAMENTO!$AF$11)))</f>
        <v>0</v>
      </c>
    </row>
    <row r="429" spans="1:41" ht="13.8" x14ac:dyDescent="0.3">
      <c r="A429">
        <f ca="1">ORÇAMENTO!C429</f>
        <v>3</v>
      </c>
      <c r="B429">
        <f ca="1">ORÇAMENTO!D429</f>
        <v>17</v>
      </c>
      <c r="C429" s="143" t="str">
        <f t="shared" ca="1" si="67"/>
        <v>F</v>
      </c>
      <c r="D429" s="146" t="str">
        <f ca="1">ORÇAMENTO!O429</f>
        <v>1.14.3.</v>
      </c>
      <c r="E429" s="206" t="str">
        <f t="shared" si="68"/>
        <v>VENTILAÇÃO</v>
      </c>
      <c r="F429" s="207" t="str">
        <f t="shared" ca="1" si="69"/>
        <v>-</v>
      </c>
      <c r="G429" s="151">
        <f ca="1">IF(RegimeExecucao="Global","",ORÇAMENTO!T429)</f>
        <v>0</v>
      </c>
      <c r="H429" s="151">
        <f ca="1">IF(RegimeExecucao="Global","",ORÇAMENTO!W429)</f>
        <v>0</v>
      </c>
      <c r="I429" s="154">
        <f ca="1">ORÇAMENTO!X429</f>
        <v>0</v>
      </c>
      <c r="J429" s="427">
        <f t="shared" ca="1" si="70"/>
        <v>0</v>
      </c>
      <c r="K429" s="151">
        <f t="shared" ca="1" si="71"/>
        <v>0</v>
      </c>
      <c r="L429" s="428">
        <f t="shared" ca="1" si="72"/>
        <v>0</v>
      </c>
      <c r="M429" s="429">
        <f ca="1">IF($A429="S",VTOTALBM,IF($A429=0,0,ROUND(SomaAgrupBM,15-13*ORÇAMENTO!$AF$11)))</f>
        <v>0</v>
      </c>
      <c r="N429" s="430">
        <f t="shared" ca="1" si="73"/>
        <v>0</v>
      </c>
      <c r="O429" s="154">
        <f ca="1">IF($A429="S",VTOTALBM,IF($A429=0,0,ROUND(SomaAgrupBM,15-13*ORÇAMENTO!$AF$11)))</f>
        <v>0</v>
      </c>
      <c r="Q429" s="431"/>
      <c r="R429" s="432"/>
      <c r="T429" s="146" t="str">
        <f t="shared" ca="1" si="74"/>
        <v/>
      </c>
      <c r="U429" s="206" t="str">
        <f t="shared" ca="1" si="75"/>
        <v/>
      </c>
      <c r="V429" s="207" t="str">
        <f t="shared" ca="1" si="76"/>
        <v/>
      </c>
      <c r="W429" s="634">
        <f ca="1">IF($Y429&gt;0,CHOOSE(MATCH(RegimeExecucao,{"Unitário","Global"},0),IF($A429="S",$Y429/$X429,""),($Y429/$X429)*100),0)</f>
        <v>0</v>
      </c>
      <c r="X429" s="433" t="str">
        <f ca="1">IF($Y429&gt;0,CHOOSE(MATCH(RegimeExecucao,{"Unitário","Global"},0),IF($A429="S",ROUND($H429,ORÇAMENTO!$AF$10),""),ROUND($I429,ORÇAMENTO!$AF$11)),"")</f>
        <v/>
      </c>
      <c r="Y429" s="433">
        <f t="shared" ca="1" si="77"/>
        <v>0</v>
      </c>
      <c r="Z429" s="434"/>
      <c r="AB429" s="431"/>
      <c r="AC429" s="599"/>
      <c r="AD429" s="599"/>
      <c r="AE429" s="599"/>
      <c r="AF429" s="599"/>
      <c r="AG429" s="599"/>
      <c r="AH429" s="599"/>
      <c r="AI429" s="599"/>
      <c r="AJ429" s="599"/>
      <c r="AK429" s="599"/>
      <c r="AL429" s="599"/>
      <c r="AM429" s="432"/>
      <c r="AO429">
        <f ca="1">IF($A429="S",IF(BM!$I429=0,0,CHOOSE(MATCH(RegimeExecucao,{"Global","Unitário"},0),ROUND(ROUND(BM.MEDAcumulado,15-13*BM!$A$9)/100*BM!$I429,15-13*ORÇAMENTO!$AF$11),ROUND(ROUND(BM.MEDAcumulado,15-13*BM!$A$9)*ROUND(BM!$H429,15-13*ORÇAMENTO!$AF$10),15-13*ORÇAMENTO!$AF$11))),IF($A429=0,0,ROUND(SomaAgrupBM,15-13*ORÇAMENTO!$AF$11)))</f>
        <v>0</v>
      </c>
    </row>
    <row r="430" spans="1:41" ht="13.8" x14ac:dyDescent="0.3">
      <c r="A430" t="str">
        <f ca="1">ORÇAMENTO!C430</f>
        <v>S</v>
      </c>
      <c r="B430">
        <f ca="1">ORÇAMENTO!D430</f>
        <v>0</v>
      </c>
      <c r="C430" s="143" t="str">
        <f t="shared" ca="1" si="67"/>
        <v/>
      </c>
      <c r="D430" s="146" t="str">
        <f ca="1">ORÇAMENTO!O430</f>
        <v>-</v>
      </c>
      <c r="E430" s="206" t="str">
        <f t="shared" ca="1" si="68"/>
        <v>(abra o arquivo 'Referência 05-2024.xls)</v>
      </c>
      <c r="F430" s="207" t="str">
        <f t="shared" ca="1" si="69"/>
        <v>-</v>
      </c>
      <c r="G430" s="151">
        <f ca="1">IF(RegimeExecucao="Global","",ORÇAMENTO!T430)</f>
        <v>179.4</v>
      </c>
      <c r="H430" s="151">
        <f ca="1">IF(RegimeExecucao="Global","",ORÇAMENTO!W430)</f>
        <v>0</v>
      </c>
      <c r="I430" s="154">
        <f ca="1">ORÇAMENTO!X430</f>
        <v>0</v>
      </c>
      <c r="J430" s="427">
        <f t="shared" ca="1" si="70"/>
        <v>0</v>
      </c>
      <c r="K430" s="151">
        <f t="shared" ca="1" si="71"/>
        <v>0</v>
      </c>
      <c r="L430" s="428">
        <f t="shared" ca="1" si="72"/>
        <v>0</v>
      </c>
      <c r="M430" s="429">
        <f ca="1">IF($A430="S",VTOTALBM,IF($A430=0,0,ROUND(SomaAgrupBM,15-13*ORÇAMENTO!$AF$11)))</f>
        <v>0</v>
      </c>
      <c r="N430" s="430">
        <f t="shared" ca="1" si="73"/>
        <v>0</v>
      </c>
      <c r="O430" s="154">
        <f ca="1">IF($A430="S",VTOTALBM,IF($A430=0,0,ROUND(SomaAgrupBM,15-13*ORÇAMENTO!$AF$11)))</f>
        <v>0</v>
      </c>
      <c r="Q430" s="431"/>
      <c r="R430" s="432"/>
      <c r="T430" s="146" t="str">
        <f t="shared" ca="1" si="74"/>
        <v/>
      </c>
      <c r="U430" s="206" t="str">
        <f t="shared" ca="1" si="75"/>
        <v/>
      </c>
      <c r="V430" s="207" t="str">
        <f t="shared" ca="1" si="76"/>
        <v/>
      </c>
      <c r="W430" s="634">
        <f ca="1">IF($Y430&gt;0,CHOOSE(MATCH(RegimeExecucao,{"Unitário","Global"},0),IF($A430="S",$Y430/$X430,""),($Y430/$X430)*100),0)</f>
        <v>0</v>
      </c>
      <c r="X430" s="433" t="str">
        <f ca="1">IF($Y430&gt;0,CHOOSE(MATCH(RegimeExecucao,{"Unitário","Global"},0),IF($A430="S",ROUND($H430,ORÇAMENTO!$AF$10),""),ROUND($I430,ORÇAMENTO!$AF$11)),"")</f>
        <v/>
      </c>
      <c r="Y430" s="433">
        <f t="shared" ca="1" si="77"/>
        <v>0</v>
      </c>
      <c r="Z430" s="434"/>
      <c r="AB430" s="431"/>
      <c r="AC430" s="599"/>
      <c r="AD430" s="599"/>
      <c r="AE430" s="599"/>
      <c r="AF430" s="599"/>
      <c r="AG430" s="599"/>
      <c r="AH430" s="599"/>
      <c r="AI430" s="599"/>
      <c r="AJ430" s="599"/>
      <c r="AK430" s="599"/>
      <c r="AL430" s="599"/>
      <c r="AM430" s="432"/>
      <c r="AO430">
        <f ca="1">IF($A430="S",IF(BM!$I430=0,0,CHOOSE(MATCH(RegimeExecucao,{"Global","Unitário"},0),ROUND(ROUND(BM.MEDAcumulado,15-13*BM!$A$9)/100*BM!$I430,15-13*ORÇAMENTO!$AF$11),ROUND(ROUND(BM.MEDAcumulado,15-13*BM!$A$9)*ROUND(BM!$H430,15-13*ORÇAMENTO!$AF$10),15-13*ORÇAMENTO!$AF$11))),IF($A430=0,0,ROUND(SomaAgrupBM,15-13*ORÇAMENTO!$AF$11)))</f>
        <v>0</v>
      </c>
    </row>
    <row r="431" spans="1:41" ht="13.8" x14ac:dyDescent="0.3">
      <c r="A431" t="str">
        <f ca="1">ORÇAMENTO!C431</f>
        <v>S</v>
      </c>
      <c r="B431">
        <f ca="1">ORÇAMENTO!D431</f>
        <v>0</v>
      </c>
      <c r="C431" s="143" t="str">
        <f t="shared" ca="1" si="67"/>
        <v/>
      </c>
      <c r="D431" s="146" t="str">
        <f ca="1">ORÇAMENTO!O431</f>
        <v>-</v>
      </c>
      <c r="E431" s="206" t="str">
        <f t="shared" ca="1" si="68"/>
        <v>(abra o arquivo 'Referência 05-2024.xls)</v>
      </c>
      <c r="F431" s="207" t="str">
        <f t="shared" ca="1" si="69"/>
        <v>-</v>
      </c>
      <c r="G431" s="151">
        <f ca="1">IF(RegimeExecucao="Global","",ORÇAMENTO!T431)</f>
        <v>37.1</v>
      </c>
      <c r="H431" s="151">
        <f ca="1">IF(RegimeExecucao="Global","",ORÇAMENTO!W431)</f>
        <v>0</v>
      </c>
      <c r="I431" s="154">
        <f ca="1">ORÇAMENTO!X431</f>
        <v>0</v>
      </c>
      <c r="J431" s="427">
        <f t="shared" ca="1" si="70"/>
        <v>0</v>
      </c>
      <c r="K431" s="151">
        <f t="shared" ca="1" si="71"/>
        <v>0</v>
      </c>
      <c r="L431" s="428">
        <f t="shared" ca="1" si="72"/>
        <v>0</v>
      </c>
      <c r="M431" s="429">
        <f ca="1">IF($A431="S",VTOTALBM,IF($A431=0,0,ROUND(SomaAgrupBM,15-13*ORÇAMENTO!$AF$11)))</f>
        <v>0</v>
      </c>
      <c r="N431" s="430">
        <f t="shared" ca="1" si="73"/>
        <v>0</v>
      </c>
      <c r="O431" s="154">
        <f ca="1">IF($A431="S",VTOTALBM,IF($A431=0,0,ROUND(SomaAgrupBM,15-13*ORÇAMENTO!$AF$11)))</f>
        <v>0</v>
      </c>
      <c r="Q431" s="431"/>
      <c r="R431" s="432"/>
      <c r="T431" s="146" t="str">
        <f t="shared" ca="1" si="74"/>
        <v/>
      </c>
      <c r="U431" s="206" t="str">
        <f t="shared" ca="1" si="75"/>
        <v/>
      </c>
      <c r="V431" s="207" t="str">
        <f t="shared" ca="1" si="76"/>
        <v/>
      </c>
      <c r="W431" s="634">
        <f ca="1">IF($Y431&gt;0,CHOOSE(MATCH(RegimeExecucao,{"Unitário","Global"},0),IF($A431="S",$Y431/$X431,""),($Y431/$X431)*100),0)</f>
        <v>0</v>
      </c>
      <c r="X431" s="433" t="str">
        <f ca="1">IF($Y431&gt;0,CHOOSE(MATCH(RegimeExecucao,{"Unitário","Global"},0),IF($A431="S",ROUND($H431,ORÇAMENTO!$AF$10),""),ROUND($I431,ORÇAMENTO!$AF$11)),"")</f>
        <v/>
      </c>
      <c r="Y431" s="433">
        <f t="shared" ca="1" si="77"/>
        <v>0</v>
      </c>
      <c r="Z431" s="434"/>
      <c r="AB431" s="431"/>
      <c r="AC431" s="599"/>
      <c r="AD431" s="599"/>
      <c r="AE431" s="599"/>
      <c r="AF431" s="599"/>
      <c r="AG431" s="599"/>
      <c r="AH431" s="599"/>
      <c r="AI431" s="599"/>
      <c r="AJ431" s="599"/>
      <c r="AK431" s="599"/>
      <c r="AL431" s="599"/>
      <c r="AM431" s="432"/>
      <c r="AO431">
        <f ca="1">IF($A431="S",IF(BM!$I431=0,0,CHOOSE(MATCH(RegimeExecucao,{"Global","Unitário"},0),ROUND(ROUND(BM.MEDAcumulado,15-13*BM!$A$9)/100*BM!$I431,15-13*ORÇAMENTO!$AF$11),ROUND(ROUND(BM.MEDAcumulado,15-13*BM!$A$9)*ROUND(BM!$H431,15-13*ORÇAMENTO!$AF$10),15-13*ORÇAMENTO!$AF$11))),IF($A431=0,0,ROUND(SomaAgrupBM,15-13*ORÇAMENTO!$AF$11)))</f>
        <v>0</v>
      </c>
    </row>
    <row r="432" spans="1:41" ht="13.8" x14ac:dyDescent="0.3">
      <c r="A432" t="str">
        <f ca="1">ORÇAMENTO!C432</f>
        <v>S</v>
      </c>
      <c r="B432">
        <f ca="1">ORÇAMENTO!D432</f>
        <v>0</v>
      </c>
      <c r="C432" s="143" t="str">
        <f t="shared" ca="1" si="67"/>
        <v/>
      </c>
      <c r="D432" s="146" t="str">
        <f ca="1">ORÇAMENTO!O432</f>
        <v>-</v>
      </c>
      <c r="E432" s="206" t="str">
        <f t="shared" ca="1" si="68"/>
        <v>(abra o arquivo 'Referência 05-2024.xls)</v>
      </c>
      <c r="F432" s="207" t="str">
        <f t="shared" ca="1" si="69"/>
        <v>-</v>
      </c>
      <c r="G432" s="151">
        <f ca="1">IF(RegimeExecucao="Global","",ORÇAMENTO!T432)</f>
        <v>36</v>
      </c>
      <c r="H432" s="151">
        <f ca="1">IF(RegimeExecucao="Global","",ORÇAMENTO!W432)</f>
        <v>0</v>
      </c>
      <c r="I432" s="154">
        <f ca="1">ORÇAMENTO!X432</f>
        <v>0</v>
      </c>
      <c r="J432" s="427">
        <f t="shared" ca="1" si="70"/>
        <v>0</v>
      </c>
      <c r="K432" s="151">
        <f t="shared" ca="1" si="71"/>
        <v>0</v>
      </c>
      <c r="L432" s="428">
        <f t="shared" ca="1" si="72"/>
        <v>0</v>
      </c>
      <c r="M432" s="429">
        <f ca="1">IF($A432="S",VTOTALBM,IF($A432=0,0,ROUND(SomaAgrupBM,15-13*ORÇAMENTO!$AF$11)))</f>
        <v>0</v>
      </c>
      <c r="N432" s="430">
        <f t="shared" ca="1" si="73"/>
        <v>0</v>
      </c>
      <c r="O432" s="154">
        <f ca="1">IF($A432="S",VTOTALBM,IF($A432=0,0,ROUND(SomaAgrupBM,15-13*ORÇAMENTO!$AF$11)))</f>
        <v>0</v>
      </c>
      <c r="Q432" s="431"/>
      <c r="R432" s="432"/>
      <c r="T432" s="146" t="str">
        <f t="shared" ca="1" si="74"/>
        <v/>
      </c>
      <c r="U432" s="206" t="str">
        <f t="shared" ca="1" si="75"/>
        <v/>
      </c>
      <c r="V432" s="207" t="str">
        <f t="shared" ca="1" si="76"/>
        <v/>
      </c>
      <c r="W432" s="634">
        <f ca="1">IF($Y432&gt;0,CHOOSE(MATCH(RegimeExecucao,{"Unitário","Global"},0),IF($A432="S",$Y432/$X432,""),($Y432/$X432)*100),0)</f>
        <v>0</v>
      </c>
      <c r="X432" s="433" t="str">
        <f ca="1">IF($Y432&gt;0,CHOOSE(MATCH(RegimeExecucao,{"Unitário","Global"},0),IF($A432="S",ROUND($H432,ORÇAMENTO!$AF$10),""),ROUND($I432,ORÇAMENTO!$AF$11)),"")</f>
        <v/>
      </c>
      <c r="Y432" s="433">
        <f t="shared" ca="1" si="77"/>
        <v>0</v>
      </c>
      <c r="Z432" s="434"/>
      <c r="AB432" s="431"/>
      <c r="AC432" s="599"/>
      <c r="AD432" s="599"/>
      <c r="AE432" s="599"/>
      <c r="AF432" s="599"/>
      <c r="AG432" s="599"/>
      <c r="AH432" s="599"/>
      <c r="AI432" s="599"/>
      <c r="AJ432" s="599"/>
      <c r="AK432" s="599"/>
      <c r="AL432" s="599"/>
      <c r="AM432" s="432"/>
      <c r="AO432">
        <f ca="1">IF($A432="S",IF(BM!$I432=0,0,CHOOSE(MATCH(RegimeExecucao,{"Global","Unitário"},0),ROUND(ROUND(BM.MEDAcumulado,15-13*BM!$A$9)/100*BM!$I432,15-13*ORÇAMENTO!$AF$11),ROUND(ROUND(BM.MEDAcumulado,15-13*BM!$A$9)*ROUND(BM!$H432,15-13*ORÇAMENTO!$AF$10),15-13*ORÇAMENTO!$AF$11))),IF($A432=0,0,ROUND(SomaAgrupBM,15-13*ORÇAMENTO!$AF$11)))</f>
        <v>0</v>
      </c>
    </row>
    <row r="433" spans="1:41" ht="13.8" x14ac:dyDescent="0.3">
      <c r="A433" t="str">
        <f ca="1">ORÇAMENTO!C433</f>
        <v>S</v>
      </c>
      <c r="B433">
        <f ca="1">ORÇAMENTO!D433</f>
        <v>0</v>
      </c>
      <c r="C433" s="143" t="str">
        <f t="shared" ca="1" si="67"/>
        <v/>
      </c>
      <c r="D433" s="146" t="str">
        <f ca="1">ORÇAMENTO!O433</f>
        <v>-</v>
      </c>
      <c r="E433" s="206" t="str">
        <f t="shared" ca="1" si="68"/>
        <v>(abra o arquivo 'Referência 05-2024.xls)</v>
      </c>
      <c r="F433" s="207" t="str">
        <f t="shared" ca="1" si="69"/>
        <v>-</v>
      </c>
      <c r="G433" s="151">
        <f ca="1">IF(RegimeExecucao="Global","",ORÇAMENTO!T433)</f>
        <v>2</v>
      </c>
      <c r="H433" s="151">
        <f ca="1">IF(RegimeExecucao="Global","",ORÇAMENTO!W433)</f>
        <v>0</v>
      </c>
      <c r="I433" s="154">
        <f ca="1">ORÇAMENTO!X433</f>
        <v>0</v>
      </c>
      <c r="J433" s="427">
        <f t="shared" ca="1" si="70"/>
        <v>0</v>
      </c>
      <c r="K433" s="151">
        <f t="shared" ca="1" si="71"/>
        <v>0</v>
      </c>
      <c r="L433" s="428">
        <f t="shared" ca="1" si="72"/>
        <v>0</v>
      </c>
      <c r="M433" s="429">
        <f ca="1">IF($A433="S",VTOTALBM,IF($A433=0,0,ROUND(SomaAgrupBM,15-13*ORÇAMENTO!$AF$11)))</f>
        <v>0</v>
      </c>
      <c r="N433" s="430">
        <f t="shared" ca="1" si="73"/>
        <v>0</v>
      </c>
      <c r="O433" s="154">
        <f ca="1">IF($A433="S",VTOTALBM,IF($A433=0,0,ROUND(SomaAgrupBM,15-13*ORÇAMENTO!$AF$11)))</f>
        <v>0</v>
      </c>
      <c r="Q433" s="431"/>
      <c r="R433" s="432"/>
      <c r="T433" s="146" t="str">
        <f t="shared" ca="1" si="74"/>
        <v/>
      </c>
      <c r="U433" s="206" t="str">
        <f t="shared" ca="1" si="75"/>
        <v/>
      </c>
      <c r="V433" s="207" t="str">
        <f t="shared" ca="1" si="76"/>
        <v/>
      </c>
      <c r="W433" s="634">
        <f ca="1">IF($Y433&gt;0,CHOOSE(MATCH(RegimeExecucao,{"Unitário","Global"},0),IF($A433="S",$Y433/$X433,""),($Y433/$X433)*100),0)</f>
        <v>0</v>
      </c>
      <c r="X433" s="433" t="str">
        <f ca="1">IF($Y433&gt;0,CHOOSE(MATCH(RegimeExecucao,{"Unitário","Global"},0),IF($A433="S",ROUND($H433,ORÇAMENTO!$AF$10),""),ROUND($I433,ORÇAMENTO!$AF$11)),"")</f>
        <v/>
      </c>
      <c r="Y433" s="433">
        <f t="shared" ca="1" si="77"/>
        <v>0</v>
      </c>
      <c r="Z433" s="434"/>
      <c r="AB433" s="431"/>
      <c r="AC433" s="599"/>
      <c r="AD433" s="599"/>
      <c r="AE433" s="599"/>
      <c r="AF433" s="599"/>
      <c r="AG433" s="599"/>
      <c r="AH433" s="599"/>
      <c r="AI433" s="599"/>
      <c r="AJ433" s="599"/>
      <c r="AK433" s="599"/>
      <c r="AL433" s="599"/>
      <c r="AM433" s="432"/>
      <c r="AO433">
        <f ca="1">IF($A433="S",IF(BM!$I433=0,0,CHOOSE(MATCH(RegimeExecucao,{"Global","Unitário"},0),ROUND(ROUND(BM.MEDAcumulado,15-13*BM!$A$9)/100*BM!$I433,15-13*ORÇAMENTO!$AF$11),ROUND(ROUND(BM.MEDAcumulado,15-13*BM!$A$9)*ROUND(BM!$H433,15-13*ORÇAMENTO!$AF$10),15-13*ORÇAMENTO!$AF$11))),IF($A433=0,0,ROUND(SomaAgrupBM,15-13*ORÇAMENTO!$AF$11)))</f>
        <v>0</v>
      </c>
    </row>
    <row r="434" spans="1:41" ht="13.8" x14ac:dyDescent="0.3">
      <c r="A434" t="str">
        <f ca="1">ORÇAMENTO!C434</f>
        <v>S</v>
      </c>
      <c r="B434">
        <f ca="1">ORÇAMENTO!D434</f>
        <v>0</v>
      </c>
      <c r="C434" s="143" t="str">
        <f t="shared" ca="1" si="67"/>
        <v/>
      </c>
      <c r="D434" s="146" t="str">
        <f ca="1">ORÇAMENTO!O434</f>
        <v>-</v>
      </c>
      <c r="E434" s="206" t="str">
        <f t="shared" ca="1" si="68"/>
        <v>(abra o arquivo 'Referência 05-2024.xls)</v>
      </c>
      <c r="F434" s="207" t="str">
        <f t="shared" ca="1" si="69"/>
        <v>-</v>
      </c>
      <c r="G434" s="151">
        <f ca="1">IF(RegimeExecucao="Global","",ORÇAMENTO!T434)</f>
        <v>80</v>
      </c>
      <c r="H434" s="151">
        <f ca="1">IF(RegimeExecucao="Global","",ORÇAMENTO!W434)</f>
        <v>0</v>
      </c>
      <c r="I434" s="154">
        <f ca="1">ORÇAMENTO!X434</f>
        <v>0</v>
      </c>
      <c r="J434" s="427">
        <f t="shared" ca="1" si="70"/>
        <v>0</v>
      </c>
      <c r="K434" s="151">
        <f t="shared" ca="1" si="71"/>
        <v>0</v>
      </c>
      <c r="L434" s="428">
        <f t="shared" ca="1" si="72"/>
        <v>0</v>
      </c>
      <c r="M434" s="429">
        <f ca="1">IF($A434="S",VTOTALBM,IF($A434=0,0,ROUND(SomaAgrupBM,15-13*ORÇAMENTO!$AF$11)))</f>
        <v>0</v>
      </c>
      <c r="N434" s="430">
        <f t="shared" ca="1" si="73"/>
        <v>0</v>
      </c>
      <c r="O434" s="154">
        <f ca="1">IF($A434="S",VTOTALBM,IF($A434=0,0,ROUND(SomaAgrupBM,15-13*ORÇAMENTO!$AF$11)))</f>
        <v>0</v>
      </c>
      <c r="Q434" s="431"/>
      <c r="R434" s="432"/>
      <c r="T434" s="146" t="str">
        <f t="shared" ca="1" si="74"/>
        <v/>
      </c>
      <c r="U434" s="206" t="str">
        <f t="shared" ca="1" si="75"/>
        <v/>
      </c>
      <c r="V434" s="207" t="str">
        <f t="shared" ca="1" si="76"/>
        <v/>
      </c>
      <c r="W434" s="634">
        <f ca="1">IF($Y434&gt;0,CHOOSE(MATCH(RegimeExecucao,{"Unitário","Global"},0),IF($A434="S",$Y434/$X434,""),($Y434/$X434)*100),0)</f>
        <v>0</v>
      </c>
      <c r="X434" s="433" t="str">
        <f ca="1">IF($Y434&gt;0,CHOOSE(MATCH(RegimeExecucao,{"Unitário","Global"},0),IF($A434="S",ROUND($H434,ORÇAMENTO!$AF$10),""),ROUND($I434,ORÇAMENTO!$AF$11)),"")</f>
        <v/>
      </c>
      <c r="Y434" s="433">
        <f t="shared" ca="1" si="77"/>
        <v>0</v>
      </c>
      <c r="Z434" s="434"/>
      <c r="AB434" s="431"/>
      <c r="AC434" s="599"/>
      <c r="AD434" s="599"/>
      <c r="AE434" s="599"/>
      <c r="AF434" s="599"/>
      <c r="AG434" s="599"/>
      <c r="AH434" s="599"/>
      <c r="AI434" s="599"/>
      <c r="AJ434" s="599"/>
      <c r="AK434" s="599"/>
      <c r="AL434" s="599"/>
      <c r="AM434" s="432"/>
      <c r="AO434">
        <f ca="1">IF($A434="S",IF(BM!$I434=0,0,CHOOSE(MATCH(RegimeExecucao,{"Global","Unitário"},0),ROUND(ROUND(BM.MEDAcumulado,15-13*BM!$A$9)/100*BM!$I434,15-13*ORÇAMENTO!$AF$11),ROUND(ROUND(BM.MEDAcumulado,15-13*BM!$A$9)*ROUND(BM!$H434,15-13*ORÇAMENTO!$AF$10),15-13*ORÇAMENTO!$AF$11))),IF($A434=0,0,ROUND(SomaAgrupBM,15-13*ORÇAMENTO!$AF$11)))</f>
        <v>0</v>
      </c>
    </row>
    <row r="435" spans="1:41" ht="13.8" x14ac:dyDescent="0.3">
      <c r="A435" t="str">
        <f ca="1">ORÇAMENTO!C435</f>
        <v>S</v>
      </c>
      <c r="B435">
        <f ca="1">ORÇAMENTO!D435</f>
        <v>0</v>
      </c>
      <c r="C435" s="143" t="str">
        <f t="shared" ca="1" si="67"/>
        <v/>
      </c>
      <c r="D435" s="146" t="str">
        <f ca="1">ORÇAMENTO!O435</f>
        <v>-</v>
      </c>
      <c r="E435" s="206" t="str">
        <f t="shared" ca="1" si="68"/>
        <v>(abra o arquivo 'Referência 05-2024.xls)</v>
      </c>
      <c r="F435" s="207" t="str">
        <f t="shared" ca="1" si="69"/>
        <v>-</v>
      </c>
      <c r="G435" s="151">
        <f ca="1">IF(RegimeExecucao="Global","",ORÇAMENTO!T435)</f>
        <v>9</v>
      </c>
      <c r="H435" s="151">
        <f ca="1">IF(RegimeExecucao="Global","",ORÇAMENTO!W435)</f>
        <v>0</v>
      </c>
      <c r="I435" s="154">
        <f ca="1">ORÇAMENTO!X435</f>
        <v>0</v>
      </c>
      <c r="J435" s="427">
        <f t="shared" ca="1" si="70"/>
        <v>0</v>
      </c>
      <c r="K435" s="151">
        <f t="shared" ca="1" si="71"/>
        <v>0</v>
      </c>
      <c r="L435" s="428">
        <f t="shared" ca="1" si="72"/>
        <v>0</v>
      </c>
      <c r="M435" s="429">
        <f ca="1">IF($A435="S",VTOTALBM,IF($A435=0,0,ROUND(SomaAgrupBM,15-13*ORÇAMENTO!$AF$11)))</f>
        <v>0</v>
      </c>
      <c r="N435" s="430">
        <f t="shared" ca="1" si="73"/>
        <v>0</v>
      </c>
      <c r="O435" s="154">
        <f ca="1">IF($A435="S",VTOTALBM,IF($A435=0,0,ROUND(SomaAgrupBM,15-13*ORÇAMENTO!$AF$11)))</f>
        <v>0</v>
      </c>
      <c r="Q435" s="431"/>
      <c r="R435" s="432"/>
      <c r="T435" s="146" t="str">
        <f t="shared" ca="1" si="74"/>
        <v/>
      </c>
      <c r="U435" s="206" t="str">
        <f t="shared" ca="1" si="75"/>
        <v/>
      </c>
      <c r="V435" s="207" t="str">
        <f t="shared" ca="1" si="76"/>
        <v/>
      </c>
      <c r="W435" s="634">
        <f ca="1">IF($Y435&gt;0,CHOOSE(MATCH(RegimeExecucao,{"Unitário","Global"},0),IF($A435="S",$Y435/$X435,""),($Y435/$X435)*100),0)</f>
        <v>0</v>
      </c>
      <c r="X435" s="433" t="str">
        <f ca="1">IF($Y435&gt;0,CHOOSE(MATCH(RegimeExecucao,{"Unitário","Global"},0),IF($A435="S",ROUND($H435,ORÇAMENTO!$AF$10),""),ROUND($I435,ORÇAMENTO!$AF$11)),"")</f>
        <v/>
      </c>
      <c r="Y435" s="433">
        <f t="shared" ca="1" si="77"/>
        <v>0</v>
      </c>
      <c r="Z435" s="434"/>
      <c r="AB435" s="431"/>
      <c r="AC435" s="599"/>
      <c r="AD435" s="599"/>
      <c r="AE435" s="599"/>
      <c r="AF435" s="599"/>
      <c r="AG435" s="599"/>
      <c r="AH435" s="599"/>
      <c r="AI435" s="599"/>
      <c r="AJ435" s="599"/>
      <c r="AK435" s="599"/>
      <c r="AL435" s="599"/>
      <c r="AM435" s="432"/>
      <c r="AO435">
        <f ca="1">IF($A435="S",IF(BM!$I435=0,0,CHOOSE(MATCH(RegimeExecucao,{"Global","Unitário"},0),ROUND(ROUND(BM.MEDAcumulado,15-13*BM!$A$9)/100*BM!$I435,15-13*ORÇAMENTO!$AF$11),ROUND(ROUND(BM.MEDAcumulado,15-13*BM!$A$9)*ROUND(BM!$H435,15-13*ORÇAMENTO!$AF$10),15-13*ORÇAMENTO!$AF$11))),IF($A435=0,0,ROUND(SomaAgrupBM,15-13*ORÇAMENTO!$AF$11)))</f>
        <v>0</v>
      </c>
    </row>
    <row r="436" spans="1:41" ht="13.8" x14ac:dyDescent="0.3">
      <c r="A436" t="str">
        <f ca="1">ORÇAMENTO!C436</f>
        <v>S</v>
      </c>
      <c r="B436">
        <f ca="1">ORÇAMENTO!D436</f>
        <v>0</v>
      </c>
      <c r="C436" s="143" t="str">
        <f t="shared" ca="1" si="67"/>
        <v/>
      </c>
      <c r="D436" s="146" t="str">
        <f ca="1">ORÇAMENTO!O436</f>
        <v>-</v>
      </c>
      <c r="E436" s="206" t="str">
        <f t="shared" ca="1" si="68"/>
        <v>(abra o arquivo 'Referência 05-2024.xls)</v>
      </c>
      <c r="F436" s="207" t="str">
        <f t="shared" ca="1" si="69"/>
        <v>-</v>
      </c>
      <c r="G436" s="151">
        <f ca="1">IF(RegimeExecucao="Global","",ORÇAMENTO!T436)</f>
        <v>2</v>
      </c>
      <c r="H436" s="151">
        <f ca="1">IF(RegimeExecucao="Global","",ORÇAMENTO!W436)</f>
        <v>0</v>
      </c>
      <c r="I436" s="154">
        <f ca="1">ORÇAMENTO!X436</f>
        <v>0</v>
      </c>
      <c r="J436" s="427">
        <f t="shared" ca="1" si="70"/>
        <v>0</v>
      </c>
      <c r="K436" s="151">
        <f t="shared" ca="1" si="71"/>
        <v>0</v>
      </c>
      <c r="L436" s="428">
        <f t="shared" ca="1" si="72"/>
        <v>0</v>
      </c>
      <c r="M436" s="429">
        <f ca="1">IF($A436="S",VTOTALBM,IF($A436=0,0,ROUND(SomaAgrupBM,15-13*ORÇAMENTO!$AF$11)))</f>
        <v>0</v>
      </c>
      <c r="N436" s="430">
        <f t="shared" ca="1" si="73"/>
        <v>0</v>
      </c>
      <c r="O436" s="154">
        <f ca="1">IF($A436="S",VTOTALBM,IF($A436=0,0,ROUND(SomaAgrupBM,15-13*ORÇAMENTO!$AF$11)))</f>
        <v>0</v>
      </c>
      <c r="Q436" s="431"/>
      <c r="R436" s="432"/>
      <c r="T436" s="146" t="str">
        <f t="shared" ca="1" si="74"/>
        <v/>
      </c>
      <c r="U436" s="206" t="str">
        <f t="shared" ca="1" si="75"/>
        <v/>
      </c>
      <c r="V436" s="207" t="str">
        <f t="shared" ca="1" si="76"/>
        <v/>
      </c>
      <c r="W436" s="634">
        <f ca="1">IF($Y436&gt;0,CHOOSE(MATCH(RegimeExecucao,{"Unitário","Global"},0),IF($A436="S",$Y436/$X436,""),($Y436/$X436)*100),0)</f>
        <v>0</v>
      </c>
      <c r="X436" s="433" t="str">
        <f ca="1">IF($Y436&gt;0,CHOOSE(MATCH(RegimeExecucao,{"Unitário","Global"},0),IF($A436="S",ROUND($H436,ORÇAMENTO!$AF$10),""),ROUND($I436,ORÇAMENTO!$AF$11)),"")</f>
        <v/>
      </c>
      <c r="Y436" s="433">
        <f t="shared" ca="1" si="77"/>
        <v>0</v>
      </c>
      <c r="Z436" s="434"/>
      <c r="AB436" s="431"/>
      <c r="AC436" s="599"/>
      <c r="AD436" s="599"/>
      <c r="AE436" s="599"/>
      <c r="AF436" s="599"/>
      <c r="AG436" s="599"/>
      <c r="AH436" s="599"/>
      <c r="AI436" s="599"/>
      <c r="AJ436" s="599"/>
      <c r="AK436" s="599"/>
      <c r="AL436" s="599"/>
      <c r="AM436" s="432"/>
      <c r="AO436">
        <f ca="1">IF($A436="S",IF(BM!$I436=0,0,CHOOSE(MATCH(RegimeExecucao,{"Global","Unitário"},0),ROUND(ROUND(BM.MEDAcumulado,15-13*BM!$A$9)/100*BM!$I436,15-13*ORÇAMENTO!$AF$11),ROUND(ROUND(BM.MEDAcumulado,15-13*BM!$A$9)*ROUND(BM!$H436,15-13*ORÇAMENTO!$AF$10),15-13*ORÇAMENTO!$AF$11))),IF($A436=0,0,ROUND(SomaAgrupBM,15-13*ORÇAMENTO!$AF$11)))</f>
        <v>0</v>
      </c>
    </row>
    <row r="437" spans="1:41" ht="13.8" x14ac:dyDescent="0.3">
      <c r="A437" t="str">
        <f ca="1">ORÇAMENTO!C437</f>
        <v>S</v>
      </c>
      <c r="B437">
        <f ca="1">ORÇAMENTO!D437</f>
        <v>0</v>
      </c>
      <c r="C437" s="143" t="str">
        <f t="shared" ca="1" si="67"/>
        <v/>
      </c>
      <c r="D437" s="146" t="str">
        <f ca="1">ORÇAMENTO!O437</f>
        <v>-</v>
      </c>
      <c r="E437" s="206" t="str">
        <f t="shared" ca="1" si="68"/>
        <v>(abra o arquivo 'Referência 05-2024.xls)</v>
      </c>
      <c r="F437" s="207" t="str">
        <f t="shared" ca="1" si="69"/>
        <v>-</v>
      </c>
      <c r="G437" s="151">
        <f ca="1">IF(RegimeExecucao="Global","",ORÇAMENTO!T437)</f>
        <v>1</v>
      </c>
      <c r="H437" s="151">
        <f ca="1">IF(RegimeExecucao="Global","",ORÇAMENTO!W437)</f>
        <v>0</v>
      </c>
      <c r="I437" s="154">
        <f ca="1">ORÇAMENTO!X437</f>
        <v>0</v>
      </c>
      <c r="J437" s="427">
        <f t="shared" ca="1" si="70"/>
        <v>0</v>
      </c>
      <c r="K437" s="151">
        <f t="shared" ca="1" si="71"/>
        <v>0</v>
      </c>
      <c r="L437" s="428">
        <f t="shared" ca="1" si="72"/>
        <v>0</v>
      </c>
      <c r="M437" s="429">
        <f ca="1">IF($A437="S",VTOTALBM,IF($A437=0,0,ROUND(SomaAgrupBM,15-13*ORÇAMENTO!$AF$11)))</f>
        <v>0</v>
      </c>
      <c r="N437" s="430">
        <f t="shared" ca="1" si="73"/>
        <v>0</v>
      </c>
      <c r="O437" s="154">
        <f ca="1">IF($A437="S",VTOTALBM,IF($A437=0,0,ROUND(SomaAgrupBM,15-13*ORÇAMENTO!$AF$11)))</f>
        <v>0</v>
      </c>
      <c r="Q437" s="431"/>
      <c r="R437" s="432"/>
      <c r="T437" s="146" t="str">
        <f t="shared" ca="1" si="74"/>
        <v/>
      </c>
      <c r="U437" s="206" t="str">
        <f t="shared" ca="1" si="75"/>
        <v/>
      </c>
      <c r="V437" s="207" t="str">
        <f t="shared" ca="1" si="76"/>
        <v/>
      </c>
      <c r="W437" s="634">
        <f ca="1">IF($Y437&gt;0,CHOOSE(MATCH(RegimeExecucao,{"Unitário","Global"},0),IF($A437="S",$Y437/$X437,""),($Y437/$X437)*100),0)</f>
        <v>0</v>
      </c>
      <c r="X437" s="433" t="str">
        <f ca="1">IF($Y437&gt;0,CHOOSE(MATCH(RegimeExecucao,{"Unitário","Global"},0),IF($A437="S",ROUND($H437,ORÇAMENTO!$AF$10),""),ROUND($I437,ORÇAMENTO!$AF$11)),"")</f>
        <v/>
      </c>
      <c r="Y437" s="433">
        <f t="shared" ca="1" si="77"/>
        <v>0</v>
      </c>
      <c r="Z437" s="434"/>
      <c r="AB437" s="431"/>
      <c r="AC437" s="599"/>
      <c r="AD437" s="599"/>
      <c r="AE437" s="599"/>
      <c r="AF437" s="599"/>
      <c r="AG437" s="599"/>
      <c r="AH437" s="599"/>
      <c r="AI437" s="599"/>
      <c r="AJ437" s="599"/>
      <c r="AK437" s="599"/>
      <c r="AL437" s="599"/>
      <c r="AM437" s="432"/>
      <c r="AO437">
        <f ca="1">IF($A437="S",IF(BM!$I437=0,0,CHOOSE(MATCH(RegimeExecucao,{"Global","Unitário"},0),ROUND(ROUND(BM.MEDAcumulado,15-13*BM!$A$9)/100*BM!$I437,15-13*ORÇAMENTO!$AF$11),ROUND(ROUND(BM.MEDAcumulado,15-13*BM!$A$9)*ROUND(BM!$H437,15-13*ORÇAMENTO!$AF$10),15-13*ORÇAMENTO!$AF$11))),IF($A437=0,0,ROUND(SomaAgrupBM,15-13*ORÇAMENTO!$AF$11)))</f>
        <v>0</v>
      </c>
    </row>
    <row r="438" spans="1:41" ht="13.8" x14ac:dyDescent="0.3">
      <c r="A438" t="str">
        <f ca="1">ORÇAMENTO!C438</f>
        <v>S</v>
      </c>
      <c r="B438">
        <f ca="1">ORÇAMENTO!D438</f>
        <v>0</v>
      </c>
      <c r="C438" s="143" t="str">
        <f t="shared" ca="1" si="67"/>
        <v/>
      </c>
      <c r="D438" s="146" t="str">
        <f ca="1">ORÇAMENTO!O438</f>
        <v>-</v>
      </c>
      <c r="E438" s="206" t="str">
        <f t="shared" ca="1" si="68"/>
        <v>(abra o arquivo 'Referência 05-2024.xls)</v>
      </c>
      <c r="F438" s="207" t="str">
        <f t="shared" ca="1" si="69"/>
        <v>-</v>
      </c>
      <c r="G438" s="151">
        <f ca="1">IF(RegimeExecucao="Global","",ORÇAMENTO!T438)</f>
        <v>6</v>
      </c>
      <c r="H438" s="151">
        <f ca="1">IF(RegimeExecucao="Global","",ORÇAMENTO!W438)</f>
        <v>0</v>
      </c>
      <c r="I438" s="154">
        <f ca="1">ORÇAMENTO!X438</f>
        <v>0</v>
      </c>
      <c r="J438" s="427">
        <f t="shared" ca="1" si="70"/>
        <v>0</v>
      </c>
      <c r="K438" s="151">
        <f t="shared" ca="1" si="71"/>
        <v>0</v>
      </c>
      <c r="L438" s="428">
        <f t="shared" ca="1" si="72"/>
        <v>0</v>
      </c>
      <c r="M438" s="429">
        <f ca="1">IF($A438="S",VTOTALBM,IF($A438=0,0,ROUND(SomaAgrupBM,15-13*ORÇAMENTO!$AF$11)))</f>
        <v>0</v>
      </c>
      <c r="N438" s="430">
        <f t="shared" ca="1" si="73"/>
        <v>0</v>
      </c>
      <c r="O438" s="154">
        <f ca="1">IF($A438="S",VTOTALBM,IF($A438=0,0,ROUND(SomaAgrupBM,15-13*ORÇAMENTO!$AF$11)))</f>
        <v>0</v>
      </c>
      <c r="Q438" s="431"/>
      <c r="R438" s="432"/>
      <c r="T438" s="146" t="str">
        <f t="shared" ca="1" si="74"/>
        <v/>
      </c>
      <c r="U438" s="206" t="str">
        <f t="shared" ca="1" si="75"/>
        <v/>
      </c>
      <c r="V438" s="207" t="str">
        <f t="shared" ca="1" si="76"/>
        <v/>
      </c>
      <c r="W438" s="634">
        <f ca="1">IF($Y438&gt;0,CHOOSE(MATCH(RegimeExecucao,{"Unitário","Global"},0),IF($A438="S",$Y438/$X438,""),($Y438/$X438)*100),0)</f>
        <v>0</v>
      </c>
      <c r="X438" s="433" t="str">
        <f ca="1">IF($Y438&gt;0,CHOOSE(MATCH(RegimeExecucao,{"Unitário","Global"},0),IF($A438="S",ROUND($H438,ORÇAMENTO!$AF$10),""),ROUND($I438,ORÇAMENTO!$AF$11)),"")</f>
        <v/>
      </c>
      <c r="Y438" s="433">
        <f t="shared" ca="1" si="77"/>
        <v>0</v>
      </c>
      <c r="Z438" s="434"/>
      <c r="AB438" s="431"/>
      <c r="AC438" s="599"/>
      <c r="AD438" s="599"/>
      <c r="AE438" s="599"/>
      <c r="AF438" s="599"/>
      <c r="AG438" s="599"/>
      <c r="AH438" s="599"/>
      <c r="AI438" s="599"/>
      <c r="AJ438" s="599"/>
      <c r="AK438" s="599"/>
      <c r="AL438" s="599"/>
      <c r="AM438" s="432"/>
      <c r="AO438">
        <f ca="1">IF($A438="S",IF(BM!$I438=0,0,CHOOSE(MATCH(RegimeExecucao,{"Global","Unitário"},0),ROUND(ROUND(BM.MEDAcumulado,15-13*BM!$A$9)/100*BM!$I438,15-13*ORÇAMENTO!$AF$11),ROUND(ROUND(BM.MEDAcumulado,15-13*BM!$A$9)*ROUND(BM!$H438,15-13*ORÇAMENTO!$AF$10),15-13*ORÇAMENTO!$AF$11))),IF($A438=0,0,ROUND(SomaAgrupBM,15-13*ORÇAMENTO!$AF$11)))</f>
        <v>0</v>
      </c>
    </row>
    <row r="439" spans="1:41" ht="13.8" x14ac:dyDescent="0.3">
      <c r="A439" t="str">
        <f ca="1">ORÇAMENTO!C439</f>
        <v>S</v>
      </c>
      <c r="B439">
        <f ca="1">ORÇAMENTO!D439</f>
        <v>0</v>
      </c>
      <c r="C439" s="143" t="str">
        <f t="shared" ca="1" si="67"/>
        <v/>
      </c>
      <c r="D439" s="146" t="str">
        <f ca="1">ORÇAMENTO!O439</f>
        <v>-</v>
      </c>
      <c r="E439" s="206" t="str">
        <f t="shared" ca="1" si="68"/>
        <v>(abra o arquivo 'Referência 05-2024.xls)</v>
      </c>
      <c r="F439" s="207" t="str">
        <f t="shared" ca="1" si="69"/>
        <v>-</v>
      </c>
      <c r="G439" s="151">
        <f ca="1">IF(RegimeExecucao="Global","",ORÇAMENTO!T439)</f>
        <v>4</v>
      </c>
      <c r="H439" s="151">
        <f ca="1">IF(RegimeExecucao="Global","",ORÇAMENTO!W439)</f>
        <v>0</v>
      </c>
      <c r="I439" s="154">
        <f ca="1">ORÇAMENTO!X439</f>
        <v>0</v>
      </c>
      <c r="J439" s="427">
        <f t="shared" ca="1" si="70"/>
        <v>0</v>
      </c>
      <c r="K439" s="151">
        <f t="shared" ca="1" si="71"/>
        <v>0</v>
      </c>
      <c r="L439" s="428">
        <f t="shared" ca="1" si="72"/>
        <v>0</v>
      </c>
      <c r="M439" s="429">
        <f ca="1">IF($A439="S",VTOTALBM,IF($A439=0,0,ROUND(SomaAgrupBM,15-13*ORÇAMENTO!$AF$11)))</f>
        <v>0</v>
      </c>
      <c r="N439" s="430">
        <f t="shared" ca="1" si="73"/>
        <v>0</v>
      </c>
      <c r="O439" s="154">
        <f ca="1">IF($A439="S",VTOTALBM,IF($A439=0,0,ROUND(SomaAgrupBM,15-13*ORÇAMENTO!$AF$11)))</f>
        <v>0</v>
      </c>
      <c r="Q439" s="431"/>
      <c r="R439" s="432"/>
      <c r="T439" s="146" t="str">
        <f t="shared" ca="1" si="74"/>
        <v/>
      </c>
      <c r="U439" s="206" t="str">
        <f t="shared" ca="1" si="75"/>
        <v/>
      </c>
      <c r="V439" s="207" t="str">
        <f t="shared" ca="1" si="76"/>
        <v/>
      </c>
      <c r="W439" s="634">
        <f ca="1">IF($Y439&gt;0,CHOOSE(MATCH(RegimeExecucao,{"Unitário","Global"},0),IF($A439="S",$Y439/$X439,""),($Y439/$X439)*100),0)</f>
        <v>0</v>
      </c>
      <c r="X439" s="433" t="str">
        <f ca="1">IF($Y439&gt;0,CHOOSE(MATCH(RegimeExecucao,{"Unitário","Global"},0),IF($A439="S",ROUND($H439,ORÇAMENTO!$AF$10),""),ROUND($I439,ORÇAMENTO!$AF$11)),"")</f>
        <v/>
      </c>
      <c r="Y439" s="433">
        <f t="shared" ca="1" si="77"/>
        <v>0</v>
      </c>
      <c r="Z439" s="434"/>
      <c r="AB439" s="431"/>
      <c r="AC439" s="599"/>
      <c r="AD439" s="599"/>
      <c r="AE439" s="599"/>
      <c r="AF439" s="599"/>
      <c r="AG439" s="599"/>
      <c r="AH439" s="599"/>
      <c r="AI439" s="599"/>
      <c r="AJ439" s="599"/>
      <c r="AK439" s="599"/>
      <c r="AL439" s="599"/>
      <c r="AM439" s="432"/>
      <c r="AO439">
        <f ca="1">IF($A439="S",IF(BM!$I439=0,0,CHOOSE(MATCH(RegimeExecucao,{"Global","Unitário"},0),ROUND(ROUND(BM.MEDAcumulado,15-13*BM!$A$9)/100*BM!$I439,15-13*ORÇAMENTO!$AF$11),ROUND(ROUND(BM.MEDAcumulado,15-13*BM!$A$9)*ROUND(BM!$H439,15-13*ORÇAMENTO!$AF$10),15-13*ORÇAMENTO!$AF$11))),IF($A439=0,0,ROUND(SomaAgrupBM,15-13*ORÇAMENTO!$AF$11)))</f>
        <v>0</v>
      </c>
    </row>
    <row r="440" spans="1:41" ht="13.8" x14ac:dyDescent="0.3">
      <c r="A440" t="str">
        <f ca="1">ORÇAMENTO!C440</f>
        <v>S</v>
      </c>
      <c r="B440">
        <f ca="1">ORÇAMENTO!D440</f>
        <v>0</v>
      </c>
      <c r="C440" s="143" t="str">
        <f t="shared" ca="1" si="67"/>
        <v/>
      </c>
      <c r="D440" s="146" t="str">
        <f ca="1">ORÇAMENTO!O440</f>
        <v>-</v>
      </c>
      <c r="E440" s="206" t="str">
        <f t="shared" ca="1" si="68"/>
        <v>(abra o arquivo 'Referência 05-2024.xls)</v>
      </c>
      <c r="F440" s="207" t="str">
        <f t="shared" ca="1" si="69"/>
        <v>-</v>
      </c>
      <c r="G440" s="151">
        <f ca="1">IF(RegimeExecucao="Global","",ORÇAMENTO!T440)</f>
        <v>4</v>
      </c>
      <c r="H440" s="151">
        <f ca="1">IF(RegimeExecucao="Global","",ORÇAMENTO!W440)</f>
        <v>0</v>
      </c>
      <c r="I440" s="154">
        <f ca="1">ORÇAMENTO!X440</f>
        <v>0</v>
      </c>
      <c r="J440" s="427">
        <f t="shared" ca="1" si="70"/>
        <v>0</v>
      </c>
      <c r="K440" s="151">
        <f t="shared" ca="1" si="71"/>
        <v>0</v>
      </c>
      <c r="L440" s="428">
        <f t="shared" ca="1" si="72"/>
        <v>0</v>
      </c>
      <c r="M440" s="429">
        <f ca="1">IF($A440="S",VTOTALBM,IF($A440=0,0,ROUND(SomaAgrupBM,15-13*ORÇAMENTO!$AF$11)))</f>
        <v>0</v>
      </c>
      <c r="N440" s="430">
        <f t="shared" ca="1" si="73"/>
        <v>0</v>
      </c>
      <c r="O440" s="154">
        <f ca="1">IF($A440="S",VTOTALBM,IF($A440=0,0,ROUND(SomaAgrupBM,15-13*ORÇAMENTO!$AF$11)))</f>
        <v>0</v>
      </c>
      <c r="Q440" s="431"/>
      <c r="R440" s="432"/>
      <c r="T440" s="146" t="str">
        <f t="shared" ca="1" si="74"/>
        <v/>
      </c>
      <c r="U440" s="206" t="str">
        <f t="shared" ca="1" si="75"/>
        <v/>
      </c>
      <c r="V440" s="207" t="str">
        <f t="shared" ca="1" si="76"/>
        <v/>
      </c>
      <c r="W440" s="634">
        <f ca="1">IF($Y440&gt;0,CHOOSE(MATCH(RegimeExecucao,{"Unitário","Global"},0),IF($A440="S",$Y440/$X440,""),($Y440/$X440)*100),0)</f>
        <v>0</v>
      </c>
      <c r="X440" s="433" t="str">
        <f ca="1">IF($Y440&gt;0,CHOOSE(MATCH(RegimeExecucao,{"Unitário","Global"},0),IF($A440="S",ROUND($H440,ORÇAMENTO!$AF$10),""),ROUND($I440,ORÇAMENTO!$AF$11)),"")</f>
        <v/>
      </c>
      <c r="Y440" s="433">
        <f t="shared" ca="1" si="77"/>
        <v>0</v>
      </c>
      <c r="Z440" s="434"/>
      <c r="AB440" s="431"/>
      <c r="AC440" s="599"/>
      <c r="AD440" s="599"/>
      <c r="AE440" s="599"/>
      <c r="AF440" s="599"/>
      <c r="AG440" s="599"/>
      <c r="AH440" s="599"/>
      <c r="AI440" s="599"/>
      <c r="AJ440" s="599"/>
      <c r="AK440" s="599"/>
      <c r="AL440" s="599"/>
      <c r="AM440" s="432"/>
      <c r="AO440">
        <f ca="1">IF($A440="S",IF(BM!$I440=0,0,CHOOSE(MATCH(RegimeExecucao,{"Global","Unitário"},0),ROUND(ROUND(BM.MEDAcumulado,15-13*BM!$A$9)/100*BM!$I440,15-13*ORÇAMENTO!$AF$11),ROUND(ROUND(BM.MEDAcumulado,15-13*BM!$A$9)*ROUND(BM!$H440,15-13*ORÇAMENTO!$AF$10),15-13*ORÇAMENTO!$AF$11))),IF($A440=0,0,ROUND(SomaAgrupBM,15-13*ORÇAMENTO!$AF$11)))</f>
        <v>0</v>
      </c>
    </row>
    <row r="441" spans="1:41" ht="13.8" x14ac:dyDescent="0.3">
      <c r="A441" t="str">
        <f ca="1">ORÇAMENTO!C441</f>
        <v>S</v>
      </c>
      <c r="B441">
        <f ca="1">ORÇAMENTO!D441</f>
        <v>0</v>
      </c>
      <c r="C441" s="143" t="str">
        <f t="shared" ca="1" si="67"/>
        <v/>
      </c>
      <c r="D441" s="146" t="str">
        <f ca="1">ORÇAMENTO!O441</f>
        <v>-</v>
      </c>
      <c r="E441" s="206" t="str">
        <f t="shared" ca="1" si="68"/>
        <v>(abra o arquivo 'Referência 05-2024.xls)</v>
      </c>
      <c r="F441" s="207" t="str">
        <f t="shared" ca="1" si="69"/>
        <v>-</v>
      </c>
      <c r="G441" s="151">
        <f ca="1">IF(RegimeExecucao="Global","",ORÇAMENTO!T441)</f>
        <v>6</v>
      </c>
      <c r="H441" s="151">
        <f ca="1">IF(RegimeExecucao="Global","",ORÇAMENTO!W441)</f>
        <v>0</v>
      </c>
      <c r="I441" s="154">
        <f ca="1">ORÇAMENTO!X441</f>
        <v>0</v>
      </c>
      <c r="J441" s="427">
        <f t="shared" ca="1" si="70"/>
        <v>0</v>
      </c>
      <c r="K441" s="151">
        <f t="shared" ca="1" si="71"/>
        <v>0</v>
      </c>
      <c r="L441" s="428">
        <f t="shared" ca="1" si="72"/>
        <v>0</v>
      </c>
      <c r="M441" s="429">
        <f ca="1">IF($A441="S",VTOTALBM,IF($A441=0,0,ROUND(SomaAgrupBM,15-13*ORÇAMENTO!$AF$11)))</f>
        <v>0</v>
      </c>
      <c r="N441" s="430">
        <f t="shared" ca="1" si="73"/>
        <v>0</v>
      </c>
      <c r="O441" s="154">
        <f ca="1">IF($A441="S",VTOTALBM,IF($A441=0,0,ROUND(SomaAgrupBM,15-13*ORÇAMENTO!$AF$11)))</f>
        <v>0</v>
      </c>
      <c r="Q441" s="431"/>
      <c r="R441" s="432"/>
      <c r="T441" s="146" t="str">
        <f t="shared" ca="1" si="74"/>
        <v/>
      </c>
      <c r="U441" s="206" t="str">
        <f t="shared" ca="1" si="75"/>
        <v/>
      </c>
      <c r="V441" s="207" t="str">
        <f t="shared" ca="1" si="76"/>
        <v/>
      </c>
      <c r="W441" s="634">
        <f ca="1">IF($Y441&gt;0,CHOOSE(MATCH(RegimeExecucao,{"Unitário","Global"},0),IF($A441="S",$Y441/$X441,""),($Y441/$X441)*100),0)</f>
        <v>0</v>
      </c>
      <c r="X441" s="433" t="str">
        <f ca="1">IF($Y441&gt;0,CHOOSE(MATCH(RegimeExecucao,{"Unitário","Global"},0),IF($A441="S",ROUND($H441,ORÇAMENTO!$AF$10),""),ROUND($I441,ORÇAMENTO!$AF$11)),"")</f>
        <v/>
      </c>
      <c r="Y441" s="433">
        <f t="shared" ca="1" si="77"/>
        <v>0</v>
      </c>
      <c r="Z441" s="434"/>
      <c r="AB441" s="431"/>
      <c r="AC441" s="599"/>
      <c r="AD441" s="599"/>
      <c r="AE441" s="599"/>
      <c r="AF441" s="599"/>
      <c r="AG441" s="599"/>
      <c r="AH441" s="599"/>
      <c r="AI441" s="599"/>
      <c r="AJ441" s="599"/>
      <c r="AK441" s="599"/>
      <c r="AL441" s="599"/>
      <c r="AM441" s="432"/>
      <c r="AO441">
        <f ca="1">IF($A441="S",IF(BM!$I441=0,0,CHOOSE(MATCH(RegimeExecucao,{"Global","Unitário"},0),ROUND(ROUND(BM.MEDAcumulado,15-13*BM!$A$9)/100*BM!$I441,15-13*ORÇAMENTO!$AF$11),ROUND(ROUND(BM.MEDAcumulado,15-13*BM!$A$9)*ROUND(BM!$H441,15-13*ORÇAMENTO!$AF$10),15-13*ORÇAMENTO!$AF$11))),IF($A441=0,0,ROUND(SomaAgrupBM,15-13*ORÇAMENTO!$AF$11)))</f>
        <v>0</v>
      </c>
    </row>
    <row r="442" spans="1:41" ht="13.8" x14ac:dyDescent="0.3">
      <c r="A442" t="str">
        <f ca="1">ORÇAMENTO!C442</f>
        <v>S</v>
      </c>
      <c r="B442">
        <f ca="1">ORÇAMENTO!D442</f>
        <v>0</v>
      </c>
      <c r="C442" s="143" t="str">
        <f t="shared" ca="1" si="67"/>
        <v/>
      </c>
      <c r="D442" s="146" t="str">
        <f ca="1">ORÇAMENTO!O442</f>
        <v>-</v>
      </c>
      <c r="E442" s="206" t="str">
        <f t="shared" ca="1" si="68"/>
        <v>(abra o arquivo 'Referência 05-2024.xls)</v>
      </c>
      <c r="F442" s="207" t="str">
        <f t="shared" ca="1" si="69"/>
        <v>-</v>
      </c>
      <c r="G442" s="151">
        <f ca="1">IF(RegimeExecucao="Global","",ORÇAMENTO!T442)</f>
        <v>2</v>
      </c>
      <c r="H442" s="151">
        <f ca="1">IF(RegimeExecucao="Global","",ORÇAMENTO!W442)</f>
        <v>0</v>
      </c>
      <c r="I442" s="154">
        <f ca="1">ORÇAMENTO!X442</f>
        <v>0</v>
      </c>
      <c r="J442" s="427">
        <f t="shared" ca="1" si="70"/>
        <v>0</v>
      </c>
      <c r="K442" s="151">
        <f t="shared" ca="1" si="71"/>
        <v>0</v>
      </c>
      <c r="L442" s="428">
        <f t="shared" ca="1" si="72"/>
        <v>0</v>
      </c>
      <c r="M442" s="429">
        <f ca="1">IF($A442="S",VTOTALBM,IF($A442=0,0,ROUND(SomaAgrupBM,15-13*ORÇAMENTO!$AF$11)))</f>
        <v>0</v>
      </c>
      <c r="N442" s="430">
        <f t="shared" ca="1" si="73"/>
        <v>0</v>
      </c>
      <c r="O442" s="154">
        <f ca="1">IF($A442="S",VTOTALBM,IF($A442=0,0,ROUND(SomaAgrupBM,15-13*ORÇAMENTO!$AF$11)))</f>
        <v>0</v>
      </c>
      <c r="Q442" s="431"/>
      <c r="R442" s="432"/>
      <c r="T442" s="146" t="str">
        <f t="shared" ca="1" si="74"/>
        <v/>
      </c>
      <c r="U442" s="206" t="str">
        <f t="shared" ca="1" si="75"/>
        <v/>
      </c>
      <c r="V442" s="207" t="str">
        <f t="shared" ca="1" si="76"/>
        <v/>
      </c>
      <c r="W442" s="634">
        <f ca="1">IF($Y442&gt;0,CHOOSE(MATCH(RegimeExecucao,{"Unitário","Global"},0),IF($A442="S",$Y442/$X442,""),($Y442/$X442)*100),0)</f>
        <v>0</v>
      </c>
      <c r="X442" s="433" t="str">
        <f ca="1">IF($Y442&gt;0,CHOOSE(MATCH(RegimeExecucao,{"Unitário","Global"},0),IF($A442="S",ROUND($H442,ORÇAMENTO!$AF$10),""),ROUND($I442,ORÇAMENTO!$AF$11)),"")</f>
        <v/>
      </c>
      <c r="Y442" s="433">
        <f t="shared" ca="1" si="77"/>
        <v>0</v>
      </c>
      <c r="Z442" s="434"/>
      <c r="AB442" s="431"/>
      <c r="AC442" s="599"/>
      <c r="AD442" s="599"/>
      <c r="AE442" s="599"/>
      <c r="AF442" s="599"/>
      <c r="AG442" s="599"/>
      <c r="AH442" s="599"/>
      <c r="AI442" s="599"/>
      <c r="AJ442" s="599"/>
      <c r="AK442" s="599"/>
      <c r="AL442" s="599"/>
      <c r="AM442" s="432"/>
      <c r="AO442">
        <f ca="1">IF($A442="S",IF(BM!$I442=0,0,CHOOSE(MATCH(RegimeExecucao,{"Global","Unitário"},0),ROUND(ROUND(BM.MEDAcumulado,15-13*BM!$A$9)/100*BM!$I442,15-13*ORÇAMENTO!$AF$11),ROUND(ROUND(BM.MEDAcumulado,15-13*BM!$A$9)*ROUND(BM!$H442,15-13*ORÇAMENTO!$AF$10),15-13*ORÇAMENTO!$AF$11))),IF($A442=0,0,ROUND(SomaAgrupBM,15-13*ORÇAMENTO!$AF$11)))</f>
        <v>0</v>
      </c>
    </row>
    <row r="443" spans="1:41" ht="13.8" x14ac:dyDescent="0.3">
      <c r="A443" t="str">
        <f ca="1">ORÇAMENTO!C443</f>
        <v>S</v>
      </c>
      <c r="B443">
        <f ca="1">ORÇAMENTO!D443</f>
        <v>0</v>
      </c>
      <c r="C443" s="143" t="str">
        <f t="shared" ca="1" si="67"/>
        <v/>
      </c>
      <c r="D443" s="146" t="str">
        <f ca="1">ORÇAMENTO!O443</f>
        <v>-</v>
      </c>
      <c r="E443" s="206" t="str">
        <f t="shared" ca="1" si="68"/>
        <v>(abra o arquivo 'Referência 05-2024.xls)</v>
      </c>
      <c r="F443" s="207" t="str">
        <f t="shared" ca="1" si="69"/>
        <v>-</v>
      </c>
      <c r="G443" s="151">
        <f ca="1">IF(RegimeExecucao="Global","",ORÇAMENTO!T443)</f>
        <v>57</v>
      </c>
      <c r="H443" s="151">
        <f ca="1">IF(RegimeExecucao="Global","",ORÇAMENTO!W443)</f>
        <v>0</v>
      </c>
      <c r="I443" s="154">
        <f ca="1">ORÇAMENTO!X443</f>
        <v>0</v>
      </c>
      <c r="J443" s="427">
        <f t="shared" ca="1" si="70"/>
        <v>0</v>
      </c>
      <c r="K443" s="151">
        <f t="shared" ca="1" si="71"/>
        <v>0</v>
      </c>
      <c r="L443" s="428">
        <f t="shared" ca="1" si="72"/>
        <v>0</v>
      </c>
      <c r="M443" s="429">
        <f ca="1">IF($A443="S",VTOTALBM,IF($A443=0,0,ROUND(SomaAgrupBM,15-13*ORÇAMENTO!$AF$11)))</f>
        <v>0</v>
      </c>
      <c r="N443" s="430">
        <f t="shared" ca="1" si="73"/>
        <v>0</v>
      </c>
      <c r="O443" s="154">
        <f ca="1">IF($A443="S",VTOTALBM,IF($A443=0,0,ROUND(SomaAgrupBM,15-13*ORÇAMENTO!$AF$11)))</f>
        <v>0</v>
      </c>
      <c r="Q443" s="431"/>
      <c r="R443" s="432"/>
      <c r="T443" s="146" t="str">
        <f t="shared" ca="1" si="74"/>
        <v/>
      </c>
      <c r="U443" s="206" t="str">
        <f t="shared" ca="1" si="75"/>
        <v/>
      </c>
      <c r="V443" s="207" t="str">
        <f t="shared" ca="1" si="76"/>
        <v/>
      </c>
      <c r="W443" s="634">
        <f ca="1">IF($Y443&gt;0,CHOOSE(MATCH(RegimeExecucao,{"Unitário","Global"},0),IF($A443="S",$Y443/$X443,""),($Y443/$X443)*100),0)</f>
        <v>0</v>
      </c>
      <c r="X443" s="433" t="str">
        <f ca="1">IF($Y443&gt;0,CHOOSE(MATCH(RegimeExecucao,{"Unitário","Global"},0),IF($A443="S",ROUND($H443,ORÇAMENTO!$AF$10),""),ROUND($I443,ORÇAMENTO!$AF$11)),"")</f>
        <v/>
      </c>
      <c r="Y443" s="433">
        <f t="shared" ca="1" si="77"/>
        <v>0</v>
      </c>
      <c r="Z443" s="434"/>
      <c r="AB443" s="431"/>
      <c r="AC443" s="599"/>
      <c r="AD443" s="599"/>
      <c r="AE443" s="599"/>
      <c r="AF443" s="599"/>
      <c r="AG443" s="599"/>
      <c r="AH443" s="599"/>
      <c r="AI443" s="599"/>
      <c r="AJ443" s="599"/>
      <c r="AK443" s="599"/>
      <c r="AL443" s="599"/>
      <c r="AM443" s="432"/>
      <c r="AO443">
        <f ca="1">IF($A443="S",IF(BM!$I443=0,0,CHOOSE(MATCH(RegimeExecucao,{"Global","Unitário"},0),ROUND(ROUND(BM.MEDAcumulado,15-13*BM!$A$9)/100*BM!$I443,15-13*ORÇAMENTO!$AF$11),ROUND(ROUND(BM.MEDAcumulado,15-13*BM!$A$9)*ROUND(BM!$H443,15-13*ORÇAMENTO!$AF$10),15-13*ORÇAMENTO!$AF$11))),IF($A443=0,0,ROUND(SomaAgrupBM,15-13*ORÇAMENTO!$AF$11)))</f>
        <v>0</v>
      </c>
    </row>
    <row r="444" spans="1:41" ht="13.8" x14ac:dyDescent="0.3">
      <c r="A444" t="str">
        <f ca="1">ORÇAMENTO!C444</f>
        <v>S</v>
      </c>
      <c r="B444">
        <f ca="1">ORÇAMENTO!D444</f>
        <v>0</v>
      </c>
      <c r="C444" s="143" t="str">
        <f t="shared" ca="1" si="67"/>
        <v/>
      </c>
      <c r="D444" s="146" t="str">
        <f ca="1">ORÇAMENTO!O444</f>
        <v>-</v>
      </c>
      <c r="E444" s="206" t="str">
        <f t="shared" ca="1" si="68"/>
        <v>(abra o arquivo 'Referência 05-2024.xls)</v>
      </c>
      <c r="F444" s="207" t="str">
        <f t="shared" ca="1" si="69"/>
        <v>-</v>
      </c>
      <c r="G444" s="151">
        <f ca="1">IF(RegimeExecucao="Global","",ORÇAMENTO!T444)</f>
        <v>5</v>
      </c>
      <c r="H444" s="151">
        <f ca="1">IF(RegimeExecucao="Global","",ORÇAMENTO!W444)</f>
        <v>0</v>
      </c>
      <c r="I444" s="154">
        <f ca="1">ORÇAMENTO!X444</f>
        <v>0</v>
      </c>
      <c r="J444" s="427">
        <f t="shared" ca="1" si="70"/>
        <v>0</v>
      </c>
      <c r="K444" s="151">
        <f t="shared" ca="1" si="71"/>
        <v>0</v>
      </c>
      <c r="L444" s="428">
        <f t="shared" ca="1" si="72"/>
        <v>0</v>
      </c>
      <c r="M444" s="429">
        <f ca="1">IF($A444="S",VTOTALBM,IF($A444=0,0,ROUND(SomaAgrupBM,15-13*ORÇAMENTO!$AF$11)))</f>
        <v>0</v>
      </c>
      <c r="N444" s="430">
        <f t="shared" ca="1" si="73"/>
        <v>0</v>
      </c>
      <c r="O444" s="154">
        <f ca="1">IF($A444="S",VTOTALBM,IF($A444=0,0,ROUND(SomaAgrupBM,15-13*ORÇAMENTO!$AF$11)))</f>
        <v>0</v>
      </c>
      <c r="Q444" s="431"/>
      <c r="R444" s="432"/>
      <c r="T444" s="146" t="str">
        <f t="shared" ca="1" si="74"/>
        <v/>
      </c>
      <c r="U444" s="206" t="str">
        <f t="shared" ca="1" si="75"/>
        <v/>
      </c>
      <c r="V444" s="207" t="str">
        <f t="shared" ca="1" si="76"/>
        <v/>
      </c>
      <c r="W444" s="634">
        <f ca="1">IF($Y444&gt;0,CHOOSE(MATCH(RegimeExecucao,{"Unitário","Global"},0),IF($A444="S",$Y444/$X444,""),($Y444/$X444)*100),0)</f>
        <v>0</v>
      </c>
      <c r="X444" s="433" t="str">
        <f ca="1">IF($Y444&gt;0,CHOOSE(MATCH(RegimeExecucao,{"Unitário","Global"},0),IF($A444="S",ROUND($H444,ORÇAMENTO!$AF$10),""),ROUND($I444,ORÇAMENTO!$AF$11)),"")</f>
        <v/>
      </c>
      <c r="Y444" s="433">
        <f t="shared" ca="1" si="77"/>
        <v>0</v>
      </c>
      <c r="Z444" s="434"/>
      <c r="AB444" s="431"/>
      <c r="AC444" s="599"/>
      <c r="AD444" s="599"/>
      <c r="AE444" s="599"/>
      <c r="AF444" s="599"/>
      <c r="AG444" s="599"/>
      <c r="AH444" s="599"/>
      <c r="AI444" s="599"/>
      <c r="AJ444" s="599"/>
      <c r="AK444" s="599"/>
      <c r="AL444" s="599"/>
      <c r="AM444" s="432"/>
      <c r="AO444">
        <f ca="1">IF($A444="S",IF(BM!$I444=0,0,CHOOSE(MATCH(RegimeExecucao,{"Global","Unitário"},0),ROUND(ROUND(BM.MEDAcumulado,15-13*BM!$A$9)/100*BM!$I444,15-13*ORÇAMENTO!$AF$11),ROUND(ROUND(BM.MEDAcumulado,15-13*BM!$A$9)*ROUND(BM!$H444,15-13*ORÇAMENTO!$AF$10),15-13*ORÇAMENTO!$AF$11))),IF($A444=0,0,ROUND(SomaAgrupBM,15-13*ORÇAMENTO!$AF$11)))</f>
        <v>0</v>
      </c>
    </row>
    <row r="445" spans="1:41" ht="13.8" x14ac:dyDescent="0.3">
      <c r="A445" t="str">
        <f ca="1">ORÇAMENTO!C445</f>
        <v>S</v>
      </c>
      <c r="B445">
        <f ca="1">ORÇAMENTO!D445</f>
        <v>0</v>
      </c>
      <c r="C445" s="143" t="str">
        <f t="shared" ca="1" si="67"/>
        <v/>
      </c>
      <c r="D445" s="146" t="str">
        <f ca="1">ORÇAMENTO!O445</f>
        <v>-</v>
      </c>
      <c r="E445" s="206" t="str">
        <f t="shared" ca="1" si="68"/>
        <v>(abra o arquivo 'Referência 05-2024.xls)</v>
      </c>
      <c r="F445" s="207" t="str">
        <f t="shared" ca="1" si="69"/>
        <v>-</v>
      </c>
      <c r="G445" s="151">
        <f ca="1">IF(RegimeExecucao="Global","",ORÇAMENTO!T445)</f>
        <v>9</v>
      </c>
      <c r="H445" s="151">
        <f ca="1">IF(RegimeExecucao="Global","",ORÇAMENTO!W445)</f>
        <v>0</v>
      </c>
      <c r="I445" s="154">
        <f ca="1">ORÇAMENTO!X445</f>
        <v>0</v>
      </c>
      <c r="J445" s="427">
        <f t="shared" ca="1" si="70"/>
        <v>0</v>
      </c>
      <c r="K445" s="151">
        <f t="shared" ca="1" si="71"/>
        <v>0</v>
      </c>
      <c r="L445" s="428">
        <f t="shared" ca="1" si="72"/>
        <v>0</v>
      </c>
      <c r="M445" s="429">
        <f ca="1">IF($A445="S",VTOTALBM,IF($A445=0,0,ROUND(SomaAgrupBM,15-13*ORÇAMENTO!$AF$11)))</f>
        <v>0</v>
      </c>
      <c r="N445" s="430">
        <f t="shared" ca="1" si="73"/>
        <v>0</v>
      </c>
      <c r="O445" s="154">
        <f ca="1">IF($A445="S",VTOTALBM,IF($A445=0,0,ROUND(SomaAgrupBM,15-13*ORÇAMENTO!$AF$11)))</f>
        <v>0</v>
      </c>
      <c r="Q445" s="431"/>
      <c r="R445" s="432"/>
      <c r="T445" s="146" t="str">
        <f t="shared" ca="1" si="74"/>
        <v/>
      </c>
      <c r="U445" s="206" t="str">
        <f t="shared" ca="1" si="75"/>
        <v/>
      </c>
      <c r="V445" s="207" t="str">
        <f t="shared" ca="1" si="76"/>
        <v/>
      </c>
      <c r="W445" s="634">
        <f ca="1">IF($Y445&gt;0,CHOOSE(MATCH(RegimeExecucao,{"Unitário","Global"},0),IF($A445="S",$Y445/$X445,""),($Y445/$X445)*100),0)</f>
        <v>0</v>
      </c>
      <c r="X445" s="433" t="str">
        <f ca="1">IF($Y445&gt;0,CHOOSE(MATCH(RegimeExecucao,{"Unitário","Global"},0),IF($A445="S",ROUND($H445,ORÇAMENTO!$AF$10),""),ROUND($I445,ORÇAMENTO!$AF$11)),"")</f>
        <v/>
      </c>
      <c r="Y445" s="433">
        <f t="shared" ca="1" si="77"/>
        <v>0</v>
      </c>
      <c r="Z445" s="434"/>
      <c r="AB445" s="431"/>
      <c r="AC445" s="599"/>
      <c r="AD445" s="599"/>
      <c r="AE445" s="599"/>
      <c r="AF445" s="599"/>
      <c r="AG445" s="599"/>
      <c r="AH445" s="599"/>
      <c r="AI445" s="599"/>
      <c r="AJ445" s="599"/>
      <c r="AK445" s="599"/>
      <c r="AL445" s="599"/>
      <c r="AM445" s="432"/>
      <c r="AO445">
        <f ca="1">IF($A445="S",IF(BM!$I445=0,0,CHOOSE(MATCH(RegimeExecucao,{"Global","Unitário"},0),ROUND(ROUND(BM.MEDAcumulado,15-13*BM!$A$9)/100*BM!$I445,15-13*ORÇAMENTO!$AF$11),ROUND(ROUND(BM.MEDAcumulado,15-13*BM!$A$9)*ROUND(BM!$H445,15-13*ORÇAMENTO!$AF$10),15-13*ORÇAMENTO!$AF$11))),IF($A445=0,0,ROUND(SomaAgrupBM,15-13*ORÇAMENTO!$AF$11)))</f>
        <v>0</v>
      </c>
    </row>
    <row r="446" spans="1:41" ht="13.8" x14ac:dyDescent="0.3">
      <c r="A446">
        <f ca="1">ORÇAMENTO!C446</f>
        <v>2</v>
      </c>
      <c r="B446">
        <f ca="1">ORÇAMENTO!D446</f>
        <v>36</v>
      </c>
      <c r="C446" s="143" t="str">
        <f t="shared" ca="1" si="67"/>
        <v>F</v>
      </c>
      <c r="D446" s="146" t="str">
        <f ca="1">ORÇAMENTO!O446</f>
        <v>1.15.</v>
      </c>
      <c r="E446" s="206" t="str">
        <f t="shared" si="68"/>
        <v>LOUÇAS, ACESSÓRIOS E METAIS</v>
      </c>
      <c r="F446" s="207" t="str">
        <f t="shared" ca="1" si="69"/>
        <v>-</v>
      </c>
      <c r="G446" s="151">
        <f ca="1">IF(RegimeExecucao="Global","",ORÇAMENTO!T446)</f>
        <v>0</v>
      </c>
      <c r="H446" s="151">
        <f ca="1">IF(RegimeExecucao="Global","",ORÇAMENTO!W446)</f>
        <v>0</v>
      </c>
      <c r="I446" s="154">
        <f ca="1">ORÇAMENTO!X446</f>
        <v>0</v>
      </c>
      <c r="J446" s="427">
        <f t="shared" ca="1" si="70"/>
        <v>0</v>
      </c>
      <c r="K446" s="151">
        <f t="shared" ca="1" si="71"/>
        <v>0</v>
      </c>
      <c r="L446" s="428">
        <f t="shared" ca="1" si="72"/>
        <v>0</v>
      </c>
      <c r="M446" s="429">
        <f ca="1">IF($A446="S",VTOTALBM,IF($A446=0,0,ROUND(SomaAgrupBM,15-13*ORÇAMENTO!$AF$11)))</f>
        <v>0</v>
      </c>
      <c r="N446" s="430">
        <f t="shared" ca="1" si="73"/>
        <v>0</v>
      </c>
      <c r="O446" s="154">
        <f ca="1">IF($A446="S",VTOTALBM,IF($A446=0,0,ROUND(SomaAgrupBM,15-13*ORÇAMENTO!$AF$11)))</f>
        <v>0</v>
      </c>
      <c r="Q446" s="431"/>
      <c r="R446" s="432"/>
      <c r="T446" s="146" t="str">
        <f t="shared" ca="1" si="74"/>
        <v/>
      </c>
      <c r="U446" s="206" t="str">
        <f t="shared" ca="1" si="75"/>
        <v/>
      </c>
      <c r="V446" s="207" t="str">
        <f t="shared" ca="1" si="76"/>
        <v/>
      </c>
      <c r="W446" s="634">
        <f ca="1">IF($Y446&gt;0,CHOOSE(MATCH(RegimeExecucao,{"Unitário","Global"},0),IF($A446="S",$Y446/$X446,""),($Y446/$X446)*100),0)</f>
        <v>0</v>
      </c>
      <c r="X446" s="433" t="str">
        <f ca="1">IF($Y446&gt;0,CHOOSE(MATCH(RegimeExecucao,{"Unitário","Global"},0),IF($A446="S",ROUND($H446,ORÇAMENTO!$AF$10),""),ROUND($I446,ORÇAMENTO!$AF$11)),"")</f>
        <v/>
      </c>
      <c r="Y446" s="433">
        <f t="shared" ca="1" si="77"/>
        <v>0</v>
      </c>
      <c r="Z446" s="434"/>
      <c r="AB446" s="431"/>
      <c r="AC446" s="599"/>
      <c r="AD446" s="599"/>
      <c r="AE446" s="599"/>
      <c r="AF446" s="599"/>
      <c r="AG446" s="599"/>
      <c r="AH446" s="599"/>
      <c r="AI446" s="599"/>
      <c r="AJ446" s="599"/>
      <c r="AK446" s="599"/>
      <c r="AL446" s="599"/>
      <c r="AM446" s="432"/>
      <c r="AO446">
        <f ca="1">IF($A446="S",IF(BM!$I446=0,0,CHOOSE(MATCH(RegimeExecucao,{"Global","Unitário"},0),ROUND(ROUND(BM.MEDAcumulado,15-13*BM!$A$9)/100*BM!$I446,15-13*ORÇAMENTO!$AF$11),ROUND(ROUND(BM.MEDAcumulado,15-13*BM!$A$9)*ROUND(BM!$H446,15-13*ORÇAMENTO!$AF$10),15-13*ORÇAMENTO!$AF$11))),IF($A446=0,0,ROUND(SomaAgrupBM,15-13*ORÇAMENTO!$AF$11)))</f>
        <v>0</v>
      </c>
    </row>
    <row r="447" spans="1:41" ht="13.8" x14ac:dyDescent="0.3">
      <c r="A447" t="str">
        <f ca="1">ORÇAMENTO!C447</f>
        <v>S</v>
      </c>
      <c r="B447">
        <f ca="1">ORÇAMENTO!D447</f>
        <v>0</v>
      </c>
      <c r="C447" s="143" t="str">
        <f t="shared" ca="1" si="67"/>
        <v/>
      </c>
      <c r="D447" s="146" t="str">
        <f ca="1">ORÇAMENTO!O447</f>
        <v>-</v>
      </c>
      <c r="E447" s="206" t="str">
        <f t="shared" ca="1" si="68"/>
        <v>(abra o arquivo 'Referência 05-2024.xls)</v>
      </c>
      <c r="F447" s="207" t="str">
        <f t="shared" ca="1" si="69"/>
        <v>-</v>
      </c>
      <c r="G447" s="151">
        <f ca="1">IF(RegimeExecucao="Global","",ORÇAMENTO!T447)</f>
        <v>13</v>
      </c>
      <c r="H447" s="151">
        <f ca="1">IF(RegimeExecucao="Global","",ORÇAMENTO!W447)</f>
        <v>0</v>
      </c>
      <c r="I447" s="154">
        <f ca="1">ORÇAMENTO!X447</f>
        <v>0</v>
      </c>
      <c r="J447" s="427">
        <f t="shared" ca="1" si="70"/>
        <v>0</v>
      </c>
      <c r="K447" s="151">
        <f t="shared" ca="1" si="71"/>
        <v>0</v>
      </c>
      <c r="L447" s="428">
        <f t="shared" ca="1" si="72"/>
        <v>0</v>
      </c>
      <c r="M447" s="429">
        <f ca="1">IF($A447="S",VTOTALBM,IF($A447=0,0,ROUND(SomaAgrupBM,15-13*ORÇAMENTO!$AF$11)))</f>
        <v>0</v>
      </c>
      <c r="N447" s="430">
        <f t="shared" ca="1" si="73"/>
        <v>0</v>
      </c>
      <c r="O447" s="154">
        <f ca="1">IF($A447="S",VTOTALBM,IF($A447=0,0,ROUND(SomaAgrupBM,15-13*ORÇAMENTO!$AF$11)))</f>
        <v>0</v>
      </c>
      <c r="Q447" s="431"/>
      <c r="R447" s="432"/>
      <c r="T447" s="146" t="str">
        <f t="shared" ca="1" si="74"/>
        <v/>
      </c>
      <c r="U447" s="206" t="str">
        <f t="shared" ca="1" si="75"/>
        <v/>
      </c>
      <c r="V447" s="207" t="str">
        <f t="shared" ca="1" si="76"/>
        <v/>
      </c>
      <c r="W447" s="634">
        <f ca="1">IF($Y447&gt;0,CHOOSE(MATCH(RegimeExecucao,{"Unitário","Global"},0),IF($A447="S",$Y447/$X447,""),($Y447/$X447)*100),0)</f>
        <v>0</v>
      </c>
      <c r="X447" s="433" t="str">
        <f ca="1">IF($Y447&gt;0,CHOOSE(MATCH(RegimeExecucao,{"Unitário","Global"},0),IF($A447="S",ROUND($H447,ORÇAMENTO!$AF$10),""),ROUND($I447,ORÇAMENTO!$AF$11)),"")</f>
        <v/>
      </c>
      <c r="Y447" s="433">
        <f t="shared" ca="1" si="77"/>
        <v>0</v>
      </c>
      <c r="Z447" s="434"/>
      <c r="AB447" s="431"/>
      <c r="AC447" s="599"/>
      <c r="AD447" s="599"/>
      <c r="AE447" s="599"/>
      <c r="AF447" s="599"/>
      <c r="AG447" s="599"/>
      <c r="AH447" s="599"/>
      <c r="AI447" s="599"/>
      <c r="AJ447" s="599"/>
      <c r="AK447" s="599"/>
      <c r="AL447" s="599"/>
      <c r="AM447" s="432"/>
      <c r="AO447">
        <f ca="1">IF($A447="S",IF(BM!$I447=0,0,CHOOSE(MATCH(RegimeExecucao,{"Global","Unitário"},0),ROUND(ROUND(BM.MEDAcumulado,15-13*BM!$A$9)/100*BM!$I447,15-13*ORÇAMENTO!$AF$11),ROUND(ROUND(BM.MEDAcumulado,15-13*BM!$A$9)*ROUND(BM!$H447,15-13*ORÇAMENTO!$AF$10),15-13*ORÇAMENTO!$AF$11))),IF($A447=0,0,ROUND(SomaAgrupBM,15-13*ORÇAMENTO!$AF$11)))</f>
        <v>0</v>
      </c>
    </row>
    <row r="448" spans="1:41" ht="13.8" x14ac:dyDescent="0.3">
      <c r="A448" t="str">
        <f ca="1">ORÇAMENTO!C448</f>
        <v>S</v>
      </c>
      <c r="B448">
        <f ca="1">ORÇAMENTO!D448</f>
        <v>0</v>
      </c>
      <c r="C448" s="143" t="str">
        <f t="shared" ca="1" si="67"/>
        <v/>
      </c>
      <c r="D448" s="146" t="str">
        <f ca="1">ORÇAMENTO!O448</f>
        <v>-</v>
      </c>
      <c r="E448" s="206" t="str">
        <f t="shared" ca="1" si="68"/>
        <v>(abra o arquivo 'Referência 05-2024.xls)</v>
      </c>
      <c r="F448" s="207" t="str">
        <f t="shared" ca="1" si="69"/>
        <v>-</v>
      </c>
      <c r="G448" s="151">
        <f ca="1">IF(RegimeExecucao="Global","",ORÇAMENTO!T448)</f>
        <v>13</v>
      </c>
      <c r="H448" s="151">
        <f ca="1">IF(RegimeExecucao="Global","",ORÇAMENTO!W448)</f>
        <v>0</v>
      </c>
      <c r="I448" s="154">
        <f ca="1">ORÇAMENTO!X448</f>
        <v>0</v>
      </c>
      <c r="J448" s="427">
        <f t="shared" ca="1" si="70"/>
        <v>0</v>
      </c>
      <c r="K448" s="151">
        <f t="shared" ca="1" si="71"/>
        <v>0</v>
      </c>
      <c r="L448" s="428">
        <f t="shared" ca="1" si="72"/>
        <v>0</v>
      </c>
      <c r="M448" s="429">
        <f ca="1">IF($A448="S",VTOTALBM,IF($A448=0,0,ROUND(SomaAgrupBM,15-13*ORÇAMENTO!$AF$11)))</f>
        <v>0</v>
      </c>
      <c r="N448" s="430">
        <f t="shared" ca="1" si="73"/>
        <v>0</v>
      </c>
      <c r="O448" s="154">
        <f ca="1">IF($A448="S",VTOTALBM,IF($A448=0,0,ROUND(SomaAgrupBM,15-13*ORÇAMENTO!$AF$11)))</f>
        <v>0</v>
      </c>
      <c r="Q448" s="431"/>
      <c r="R448" s="432"/>
      <c r="T448" s="146" t="str">
        <f t="shared" ca="1" si="74"/>
        <v/>
      </c>
      <c r="U448" s="206" t="str">
        <f t="shared" ca="1" si="75"/>
        <v/>
      </c>
      <c r="V448" s="207" t="str">
        <f t="shared" ca="1" si="76"/>
        <v/>
      </c>
      <c r="W448" s="634">
        <f ca="1">IF($Y448&gt;0,CHOOSE(MATCH(RegimeExecucao,{"Unitário","Global"},0),IF($A448="S",$Y448/$X448,""),($Y448/$X448)*100),0)</f>
        <v>0</v>
      </c>
      <c r="X448" s="433" t="str">
        <f ca="1">IF($Y448&gt;0,CHOOSE(MATCH(RegimeExecucao,{"Unitário","Global"},0),IF($A448="S",ROUND($H448,ORÇAMENTO!$AF$10),""),ROUND($I448,ORÇAMENTO!$AF$11)),"")</f>
        <v/>
      </c>
      <c r="Y448" s="433">
        <f t="shared" ca="1" si="77"/>
        <v>0</v>
      </c>
      <c r="Z448" s="434"/>
      <c r="AB448" s="431"/>
      <c r="AC448" s="599"/>
      <c r="AD448" s="599"/>
      <c r="AE448" s="599"/>
      <c r="AF448" s="599"/>
      <c r="AG448" s="599"/>
      <c r="AH448" s="599"/>
      <c r="AI448" s="599"/>
      <c r="AJ448" s="599"/>
      <c r="AK448" s="599"/>
      <c r="AL448" s="599"/>
      <c r="AM448" s="432"/>
      <c r="AO448">
        <f ca="1">IF($A448="S",IF(BM!$I448=0,0,CHOOSE(MATCH(RegimeExecucao,{"Global","Unitário"},0),ROUND(ROUND(BM.MEDAcumulado,15-13*BM!$A$9)/100*BM!$I448,15-13*ORÇAMENTO!$AF$11),ROUND(ROUND(BM.MEDAcumulado,15-13*BM!$A$9)*ROUND(BM!$H448,15-13*ORÇAMENTO!$AF$10),15-13*ORÇAMENTO!$AF$11))),IF($A448=0,0,ROUND(SomaAgrupBM,15-13*ORÇAMENTO!$AF$11)))</f>
        <v>0</v>
      </c>
    </row>
    <row r="449" spans="1:41" ht="13.8" x14ac:dyDescent="0.3">
      <c r="A449" t="str">
        <f ca="1">ORÇAMENTO!C449</f>
        <v>S</v>
      </c>
      <c r="B449">
        <f ca="1">ORÇAMENTO!D449</f>
        <v>0</v>
      </c>
      <c r="C449" s="143" t="str">
        <f t="shared" ca="1" si="67"/>
        <v/>
      </c>
      <c r="D449" s="146" t="str">
        <f ca="1">ORÇAMENTO!O449</f>
        <v>-</v>
      </c>
      <c r="E449" s="206" t="str">
        <f t="shared" ca="1" si="68"/>
        <v>(abra o arquivo 'Referência 05-2024.xls)</v>
      </c>
      <c r="F449" s="207" t="str">
        <f t="shared" ca="1" si="69"/>
        <v>-</v>
      </c>
      <c r="G449" s="151">
        <f ca="1">IF(RegimeExecucao="Global","",ORÇAMENTO!T449)</f>
        <v>3</v>
      </c>
      <c r="H449" s="151">
        <f ca="1">IF(RegimeExecucao="Global","",ORÇAMENTO!W449)</f>
        <v>0</v>
      </c>
      <c r="I449" s="154">
        <f ca="1">ORÇAMENTO!X449</f>
        <v>0</v>
      </c>
      <c r="J449" s="427">
        <f t="shared" ca="1" si="70"/>
        <v>0</v>
      </c>
      <c r="K449" s="151">
        <f t="shared" ca="1" si="71"/>
        <v>0</v>
      </c>
      <c r="L449" s="428">
        <f t="shared" ca="1" si="72"/>
        <v>0</v>
      </c>
      <c r="M449" s="429">
        <f ca="1">IF($A449="S",VTOTALBM,IF($A449=0,0,ROUND(SomaAgrupBM,15-13*ORÇAMENTO!$AF$11)))</f>
        <v>0</v>
      </c>
      <c r="N449" s="430">
        <f t="shared" ca="1" si="73"/>
        <v>0</v>
      </c>
      <c r="O449" s="154">
        <f ca="1">IF($A449="S",VTOTALBM,IF($A449=0,0,ROUND(SomaAgrupBM,15-13*ORÇAMENTO!$AF$11)))</f>
        <v>0</v>
      </c>
      <c r="Q449" s="431"/>
      <c r="R449" s="432"/>
      <c r="T449" s="146" t="str">
        <f t="shared" ca="1" si="74"/>
        <v/>
      </c>
      <c r="U449" s="206" t="str">
        <f t="shared" ca="1" si="75"/>
        <v/>
      </c>
      <c r="V449" s="207" t="str">
        <f t="shared" ca="1" si="76"/>
        <v/>
      </c>
      <c r="W449" s="634">
        <f ca="1">IF($Y449&gt;0,CHOOSE(MATCH(RegimeExecucao,{"Unitário","Global"},0),IF($A449="S",$Y449/$X449,""),($Y449/$X449)*100),0)</f>
        <v>0</v>
      </c>
      <c r="X449" s="433" t="str">
        <f ca="1">IF($Y449&gt;0,CHOOSE(MATCH(RegimeExecucao,{"Unitário","Global"},0),IF($A449="S",ROUND($H449,ORÇAMENTO!$AF$10),""),ROUND($I449,ORÇAMENTO!$AF$11)),"")</f>
        <v/>
      </c>
      <c r="Y449" s="433">
        <f t="shared" ca="1" si="77"/>
        <v>0</v>
      </c>
      <c r="Z449" s="434"/>
      <c r="AB449" s="431"/>
      <c r="AC449" s="599"/>
      <c r="AD449" s="599"/>
      <c r="AE449" s="599"/>
      <c r="AF449" s="599"/>
      <c r="AG449" s="599"/>
      <c r="AH449" s="599"/>
      <c r="AI449" s="599"/>
      <c r="AJ449" s="599"/>
      <c r="AK449" s="599"/>
      <c r="AL449" s="599"/>
      <c r="AM449" s="432"/>
      <c r="AO449">
        <f ca="1">IF($A449="S",IF(BM!$I449=0,0,CHOOSE(MATCH(RegimeExecucao,{"Global","Unitário"},0),ROUND(ROUND(BM.MEDAcumulado,15-13*BM!$A$9)/100*BM!$I449,15-13*ORÇAMENTO!$AF$11),ROUND(ROUND(BM.MEDAcumulado,15-13*BM!$A$9)*ROUND(BM!$H449,15-13*ORÇAMENTO!$AF$10),15-13*ORÇAMENTO!$AF$11))),IF($A449=0,0,ROUND(SomaAgrupBM,15-13*ORÇAMENTO!$AF$11)))</f>
        <v>0</v>
      </c>
    </row>
    <row r="450" spans="1:41" ht="13.8" x14ac:dyDescent="0.3">
      <c r="A450" t="str">
        <f ca="1">ORÇAMENTO!C450</f>
        <v>S</v>
      </c>
      <c r="B450">
        <f ca="1">ORÇAMENTO!D450</f>
        <v>0</v>
      </c>
      <c r="C450" s="143" t="str">
        <f t="shared" ca="1" si="67"/>
        <v/>
      </c>
      <c r="D450" s="146" t="str">
        <f ca="1">ORÇAMENTO!O450</f>
        <v>-</v>
      </c>
      <c r="E450" s="206" t="str">
        <f t="shared" ca="1" si="68"/>
        <v>(abra o arquivo 'Referência 05-2024.xls)</v>
      </c>
      <c r="F450" s="207" t="str">
        <f t="shared" ca="1" si="69"/>
        <v>-</v>
      </c>
      <c r="G450" s="151">
        <f ca="1">IF(RegimeExecucao="Global","",ORÇAMENTO!T450)</f>
        <v>15</v>
      </c>
      <c r="H450" s="151">
        <f ca="1">IF(RegimeExecucao="Global","",ORÇAMENTO!W450)</f>
        <v>0</v>
      </c>
      <c r="I450" s="154">
        <f ca="1">ORÇAMENTO!X450</f>
        <v>0</v>
      </c>
      <c r="J450" s="427">
        <f t="shared" ca="1" si="70"/>
        <v>0</v>
      </c>
      <c r="K450" s="151">
        <f t="shared" ca="1" si="71"/>
        <v>0</v>
      </c>
      <c r="L450" s="428">
        <f t="shared" ca="1" si="72"/>
        <v>0</v>
      </c>
      <c r="M450" s="429">
        <f ca="1">IF($A450="S",VTOTALBM,IF($A450=0,0,ROUND(SomaAgrupBM,15-13*ORÇAMENTO!$AF$11)))</f>
        <v>0</v>
      </c>
      <c r="N450" s="430">
        <f t="shared" ca="1" si="73"/>
        <v>0</v>
      </c>
      <c r="O450" s="154">
        <f ca="1">IF($A450="S",VTOTALBM,IF($A450=0,0,ROUND(SomaAgrupBM,15-13*ORÇAMENTO!$AF$11)))</f>
        <v>0</v>
      </c>
      <c r="Q450" s="431"/>
      <c r="R450" s="432"/>
      <c r="T450" s="146" t="str">
        <f t="shared" ca="1" si="74"/>
        <v/>
      </c>
      <c r="U450" s="206" t="str">
        <f t="shared" ca="1" si="75"/>
        <v/>
      </c>
      <c r="V450" s="207" t="str">
        <f t="shared" ca="1" si="76"/>
        <v/>
      </c>
      <c r="W450" s="634">
        <f ca="1">IF($Y450&gt;0,CHOOSE(MATCH(RegimeExecucao,{"Unitário","Global"},0),IF($A450="S",$Y450/$X450,""),($Y450/$X450)*100),0)</f>
        <v>0</v>
      </c>
      <c r="X450" s="433" t="str">
        <f ca="1">IF($Y450&gt;0,CHOOSE(MATCH(RegimeExecucao,{"Unitário","Global"},0),IF($A450="S",ROUND($H450,ORÇAMENTO!$AF$10),""),ROUND($I450,ORÇAMENTO!$AF$11)),"")</f>
        <v/>
      </c>
      <c r="Y450" s="433">
        <f t="shared" ca="1" si="77"/>
        <v>0</v>
      </c>
      <c r="Z450" s="434"/>
      <c r="AB450" s="431"/>
      <c r="AC450" s="599"/>
      <c r="AD450" s="599"/>
      <c r="AE450" s="599"/>
      <c r="AF450" s="599"/>
      <c r="AG450" s="599"/>
      <c r="AH450" s="599"/>
      <c r="AI450" s="599"/>
      <c r="AJ450" s="599"/>
      <c r="AK450" s="599"/>
      <c r="AL450" s="599"/>
      <c r="AM450" s="432"/>
      <c r="AO450">
        <f ca="1">IF($A450="S",IF(BM!$I450=0,0,CHOOSE(MATCH(RegimeExecucao,{"Global","Unitário"},0),ROUND(ROUND(BM.MEDAcumulado,15-13*BM!$A$9)/100*BM!$I450,15-13*ORÇAMENTO!$AF$11),ROUND(ROUND(BM.MEDAcumulado,15-13*BM!$A$9)*ROUND(BM!$H450,15-13*ORÇAMENTO!$AF$10),15-13*ORÇAMENTO!$AF$11))),IF($A450=0,0,ROUND(SomaAgrupBM,15-13*ORÇAMENTO!$AF$11)))</f>
        <v>0</v>
      </c>
    </row>
    <row r="451" spans="1:41" ht="13.8" x14ac:dyDescent="0.3">
      <c r="A451" t="str">
        <f ca="1">ORÇAMENTO!C451</f>
        <v>S</v>
      </c>
      <c r="B451">
        <f ca="1">ORÇAMENTO!D451</f>
        <v>0</v>
      </c>
      <c r="C451" s="143" t="str">
        <f t="shared" ca="1" si="67"/>
        <v/>
      </c>
      <c r="D451" s="146" t="str">
        <f ca="1">ORÇAMENTO!O451</f>
        <v>-</v>
      </c>
      <c r="E451" s="206" t="str">
        <f t="shared" ca="1" si="68"/>
        <v>(abra o arquivo 'Referência 05-2024.xls)</v>
      </c>
      <c r="F451" s="207" t="str">
        <f t="shared" ca="1" si="69"/>
        <v>-</v>
      </c>
      <c r="G451" s="151">
        <f ca="1">IF(RegimeExecucao="Global","",ORÇAMENTO!T451)</f>
        <v>10</v>
      </c>
      <c r="H451" s="151">
        <f ca="1">IF(RegimeExecucao="Global","",ORÇAMENTO!W451)</f>
        <v>0</v>
      </c>
      <c r="I451" s="154">
        <f ca="1">ORÇAMENTO!X451</f>
        <v>0</v>
      </c>
      <c r="J451" s="427">
        <f t="shared" ca="1" si="70"/>
        <v>0</v>
      </c>
      <c r="K451" s="151">
        <f t="shared" ca="1" si="71"/>
        <v>0</v>
      </c>
      <c r="L451" s="428">
        <f t="shared" ca="1" si="72"/>
        <v>0</v>
      </c>
      <c r="M451" s="429">
        <f ca="1">IF($A451="S",VTOTALBM,IF($A451=0,0,ROUND(SomaAgrupBM,15-13*ORÇAMENTO!$AF$11)))</f>
        <v>0</v>
      </c>
      <c r="N451" s="430">
        <f t="shared" ca="1" si="73"/>
        <v>0</v>
      </c>
      <c r="O451" s="154">
        <f ca="1">IF($A451="S",VTOTALBM,IF($A451=0,0,ROUND(SomaAgrupBM,15-13*ORÇAMENTO!$AF$11)))</f>
        <v>0</v>
      </c>
      <c r="Q451" s="431"/>
      <c r="R451" s="432"/>
      <c r="T451" s="146" t="str">
        <f t="shared" ca="1" si="74"/>
        <v/>
      </c>
      <c r="U451" s="206" t="str">
        <f t="shared" ca="1" si="75"/>
        <v/>
      </c>
      <c r="V451" s="207" t="str">
        <f t="shared" ca="1" si="76"/>
        <v/>
      </c>
      <c r="W451" s="634">
        <f ca="1">IF($Y451&gt;0,CHOOSE(MATCH(RegimeExecucao,{"Unitário","Global"},0),IF($A451="S",$Y451/$X451,""),($Y451/$X451)*100),0)</f>
        <v>0</v>
      </c>
      <c r="X451" s="433" t="str">
        <f ca="1">IF($Y451&gt;0,CHOOSE(MATCH(RegimeExecucao,{"Unitário","Global"},0),IF($A451="S",ROUND($H451,ORÇAMENTO!$AF$10),""),ROUND($I451,ORÇAMENTO!$AF$11)),"")</f>
        <v/>
      </c>
      <c r="Y451" s="433">
        <f t="shared" ca="1" si="77"/>
        <v>0</v>
      </c>
      <c r="Z451" s="434"/>
      <c r="AB451" s="431"/>
      <c r="AC451" s="599"/>
      <c r="AD451" s="599"/>
      <c r="AE451" s="599"/>
      <c r="AF451" s="599"/>
      <c r="AG451" s="599"/>
      <c r="AH451" s="599"/>
      <c r="AI451" s="599"/>
      <c r="AJ451" s="599"/>
      <c r="AK451" s="599"/>
      <c r="AL451" s="599"/>
      <c r="AM451" s="432"/>
      <c r="AO451">
        <f ca="1">IF($A451="S",IF(BM!$I451=0,0,CHOOSE(MATCH(RegimeExecucao,{"Global","Unitário"},0),ROUND(ROUND(BM.MEDAcumulado,15-13*BM!$A$9)/100*BM!$I451,15-13*ORÇAMENTO!$AF$11),ROUND(ROUND(BM.MEDAcumulado,15-13*BM!$A$9)*ROUND(BM!$H451,15-13*ORÇAMENTO!$AF$10),15-13*ORÇAMENTO!$AF$11))),IF($A451=0,0,ROUND(SomaAgrupBM,15-13*ORÇAMENTO!$AF$11)))</f>
        <v>0</v>
      </c>
    </row>
    <row r="452" spans="1:41" ht="13.8" x14ac:dyDescent="0.3">
      <c r="A452" t="str">
        <f ca="1">ORÇAMENTO!C452</f>
        <v>S</v>
      </c>
      <c r="B452">
        <f ca="1">ORÇAMENTO!D452</f>
        <v>0</v>
      </c>
      <c r="C452" s="143" t="str">
        <f t="shared" ca="1" si="67"/>
        <v/>
      </c>
      <c r="D452" s="146" t="str">
        <f ca="1">ORÇAMENTO!O452</f>
        <v>-</v>
      </c>
      <c r="E452" s="206" t="str">
        <f t="shared" ca="1" si="68"/>
        <v>(abra o arquivo 'Referência 05-2024.xls)</v>
      </c>
      <c r="F452" s="207" t="str">
        <f t="shared" ca="1" si="69"/>
        <v>-</v>
      </c>
      <c r="G452" s="151">
        <f ca="1">IF(RegimeExecucao="Global","",ORÇAMENTO!T452)</f>
        <v>2</v>
      </c>
      <c r="H452" s="151">
        <f ca="1">IF(RegimeExecucao="Global","",ORÇAMENTO!W452)</f>
        <v>0</v>
      </c>
      <c r="I452" s="154">
        <f ca="1">ORÇAMENTO!X452</f>
        <v>0</v>
      </c>
      <c r="J452" s="427">
        <f t="shared" ca="1" si="70"/>
        <v>0</v>
      </c>
      <c r="K452" s="151">
        <f t="shared" ca="1" si="71"/>
        <v>0</v>
      </c>
      <c r="L452" s="428">
        <f t="shared" ca="1" si="72"/>
        <v>0</v>
      </c>
      <c r="M452" s="429">
        <f ca="1">IF($A452="S",VTOTALBM,IF($A452=0,0,ROUND(SomaAgrupBM,15-13*ORÇAMENTO!$AF$11)))</f>
        <v>0</v>
      </c>
      <c r="N452" s="430">
        <f t="shared" ca="1" si="73"/>
        <v>0</v>
      </c>
      <c r="O452" s="154">
        <f ca="1">IF($A452="S",VTOTALBM,IF($A452=0,0,ROUND(SomaAgrupBM,15-13*ORÇAMENTO!$AF$11)))</f>
        <v>0</v>
      </c>
      <c r="Q452" s="431"/>
      <c r="R452" s="432"/>
      <c r="T452" s="146" t="str">
        <f t="shared" ca="1" si="74"/>
        <v/>
      </c>
      <c r="U452" s="206" t="str">
        <f t="shared" ca="1" si="75"/>
        <v/>
      </c>
      <c r="V452" s="207" t="str">
        <f t="shared" ca="1" si="76"/>
        <v/>
      </c>
      <c r="W452" s="634">
        <f ca="1">IF($Y452&gt;0,CHOOSE(MATCH(RegimeExecucao,{"Unitário","Global"},0),IF($A452="S",$Y452/$X452,""),($Y452/$X452)*100),0)</f>
        <v>0</v>
      </c>
      <c r="X452" s="433" t="str">
        <f ca="1">IF($Y452&gt;0,CHOOSE(MATCH(RegimeExecucao,{"Unitário","Global"},0),IF($A452="S",ROUND($H452,ORÇAMENTO!$AF$10),""),ROUND($I452,ORÇAMENTO!$AF$11)),"")</f>
        <v/>
      </c>
      <c r="Y452" s="433">
        <f t="shared" ca="1" si="77"/>
        <v>0</v>
      </c>
      <c r="Z452" s="434"/>
      <c r="AB452" s="431"/>
      <c r="AC452" s="599"/>
      <c r="AD452" s="599"/>
      <c r="AE452" s="599"/>
      <c r="AF452" s="599"/>
      <c r="AG452" s="599"/>
      <c r="AH452" s="599"/>
      <c r="AI452" s="599"/>
      <c r="AJ452" s="599"/>
      <c r="AK452" s="599"/>
      <c r="AL452" s="599"/>
      <c r="AM452" s="432"/>
      <c r="AO452">
        <f ca="1">IF($A452="S",IF(BM!$I452=0,0,CHOOSE(MATCH(RegimeExecucao,{"Global","Unitário"},0),ROUND(ROUND(BM.MEDAcumulado,15-13*BM!$A$9)/100*BM!$I452,15-13*ORÇAMENTO!$AF$11),ROUND(ROUND(BM.MEDAcumulado,15-13*BM!$A$9)*ROUND(BM!$H452,15-13*ORÇAMENTO!$AF$10),15-13*ORÇAMENTO!$AF$11))),IF($A452=0,0,ROUND(SomaAgrupBM,15-13*ORÇAMENTO!$AF$11)))</f>
        <v>0</v>
      </c>
    </row>
    <row r="453" spans="1:41" ht="13.8" x14ac:dyDescent="0.3">
      <c r="A453" t="str">
        <f ca="1">ORÇAMENTO!C453</f>
        <v>S</v>
      </c>
      <c r="B453">
        <f ca="1">ORÇAMENTO!D453</f>
        <v>0</v>
      </c>
      <c r="C453" s="143" t="str">
        <f t="shared" ca="1" si="67"/>
        <v/>
      </c>
      <c r="D453" s="146" t="str">
        <f ca="1">ORÇAMENTO!O453</f>
        <v>-</v>
      </c>
      <c r="E453" s="206" t="str">
        <f t="shared" ca="1" si="68"/>
        <v>(abra o arquivo 'Referência 05-2024.xls)</v>
      </c>
      <c r="F453" s="207" t="str">
        <f t="shared" ca="1" si="69"/>
        <v>-</v>
      </c>
      <c r="G453" s="151">
        <f ca="1">IF(RegimeExecucao="Global","",ORÇAMENTO!T453)</f>
        <v>3</v>
      </c>
      <c r="H453" s="151">
        <f ca="1">IF(RegimeExecucao="Global","",ORÇAMENTO!W453)</f>
        <v>0</v>
      </c>
      <c r="I453" s="154">
        <f ca="1">ORÇAMENTO!X453</f>
        <v>0</v>
      </c>
      <c r="J453" s="427">
        <f t="shared" ca="1" si="70"/>
        <v>0</v>
      </c>
      <c r="K453" s="151">
        <f t="shared" ca="1" si="71"/>
        <v>0</v>
      </c>
      <c r="L453" s="428">
        <f t="shared" ca="1" si="72"/>
        <v>0</v>
      </c>
      <c r="M453" s="429">
        <f ca="1">IF($A453="S",VTOTALBM,IF($A453=0,0,ROUND(SomaAgrupBM,15-13*ORÇAMENTO!$AF$11)))</f>
        <v>0</v>
      </c>
      <c r="N453" s="430">
        <f t="shared" ca="1" si="73"/>
        <v>0</v>
      </c>
      <c r="O453" s="154">
        <f ca="1">IF($A453="S",VTOTALBM,IF($A453=0,0,ROUND(SomaAgrupBM,15-13*ORÇAMENTO!$AF$11)))</f>
        <v>0</v>
      </c>
      <c r="Q453" s="431"/>
      <c r="R453" s="432"/>
      <c r="T453" s="146" t="str">
        <f t="shared" ca="1" si="74"/>
        <v/>
      </c>
      <c r="U453" s="206" t="str">
        <f t="shared" ca="1" si="75"/>
        <v/>
      </c>
      <c r="V453" s="207" t="str">
        <f t="shared" ca="1" si="76"/>
        <v/>
      </c>
      <c r="W453" s="634">
        <f ca="1">IF($Y453&gt;0,CHOOSE(MATCH(RegimeExecucao,{"Unitário","Global"},0),IF($A453="S",$Y453/$X453,""),($Y453/$X453)*100),0)</f>
        <v>0</v>
      </c>
      <c r="X453" s="433" t="str">
        <f ca="1">IF($Y453&gt;0,CHOOSE(MATCH(RegimeExecucao,{"Unitário","Global"},0),IF($A453="S",ROUND($H453,ORÇAMENTO!$AF$10),""),ROUND($I453,ORÇAMENTO!$AF$11)),"")</f>
        <v/>
      </c>
      <c r="Y453" s="433">
        <f t="shared" ca="1" si="77"/>
        <v>0</v>
      </c>
      <c r="Z453" s="434"/>
      <c r="AB453" s="431"/>
      <c r="AC453" s="599"/>
      <c r="AD453" s="599"/>
      <c r="AE453" s="599"/>
      <c r="AF453" s="599"/>
      <c r="AG453" s="599"/>
      <c r="AH453" s="599"/>
      <c r="AI453" s="599"/>
      <c r="AJ453" s="599"/>
      <c r="AK453" s="599"/>
      <c r="AL453" s="599"/>
      <c r="AM453" s="432"/>
      <c r="AO453">
        <f ca="1">IF($A453="S",IF(BM!$I453=0,0,CHOOSE(MATCH(RegimeExecucao,{"Global","Unitário"},0),ROUND(ROUND(BM.MEDAcumulado,15-13*BM!$A$9)/100*BM!$I453,15-13*ORÇAMENTO!$AF$11),ROUND(ROUND(BM.MEDAcumulado,15-13*BM!$A$9)*ROUND(BM!$H453,15-13*ORÇAMENTO!$AF$10),15-13*ORÇAMENTO!$AF$11))),IF($A453=0,0,ROUND(SomaAgrupBM,15-13*ORÇAMENTO!$AF$11)))</f>
        <v>0</v>
      </c>
    </row>
    <row r="454" spans="1:41" ht="13.8" x14ac:dyDescent="0.3">
      <c r="A454" t="str">
        <f ca="1">ORÇAMENTO!C454</f>
        <v>S</v>
      </c>
      <c r="B454">
        <f ca="1">ORÇAMENTO!D454</f>
        <v>0</v>
      </c>
      <c r="C454" s="143" t="str">
        <f t="shared" ca="1" si="67"/>
        <v/>
      </c>
      <c r="D454" s="146" t="str">
        <f ca="1">ORÇAMENTO!O454</f>
        <v>-</v>
      </c>
      <c r="E454" s="206" t="str">
        <f t="shared" ca="1" si="68"/>
        <v>(abra o arquivo 'Referência 05-2024.xls)</v>
      </c>
      <c r="F454" s="207" t="str">
        <f t="shared" ca="1" si="69"/>
        <v>-</v>
      </c>
      <c r="G454" s="151">
        <f ca="1">IF(RegimeExecucao="Global","",ORÇAMENTO!T454)</f>
        <v>4</v>
      </c>
      <c r="H454" s="151">
        <f ca="1">IF(RegimeExecucao="Global","",ORÇAMENTO!W454)</f>
        <v>0</v>
      </c>
      <c r="I454" s="154">
        <f ca="1">ORÇAMENTO!X454</f>
        <v>0</v>
      </c>
      <c r="J454" s="427">
        <f t="shared" ca="1" si="70"/>
        <v>0</v>
      </c>
      <c r="K454" s="151">
        <f t="shared" ca="1" si="71"/>
        <v>0</v>
      </c>
      <c r="L454" s="428">
        <f t="shared" ca="1" si="72"/>
        <v>0</v>
      </c>
      <c r="M454" s="429">
        <f ca="1">IF($A454="S",VTOTALBM,IF($A454=0,0,ROUND(SomaAgrupBM,15-13*ORÇAMENTO!$AF$11)))</f>
        <v>0</v>
      </c>
      <c r="N454" s="430">
        <f t="shared" ca="1" si="73"/>
        <v>0</v>
      </c>
      <c r="O454" s="154">
        <f ca="1">IF($A454="S",VTOTALBM,IF($A454=0,0,ROUND(SomaAgrupBM,15-13*ORÇAMENTO!$AF$11)))</f>
        <v>0</v>
      </c>
      <c r="Q454" s="431"/>
      <c r="R454" s="432"/>
      <c r="T454" s="146" t="str">
        <f t="shared" ca="1" si="74"/>
        <v/>
      </c>
      <c r="U454" s="206" t="str">
        <f t="shared" ca="1" si="75"/>
        <v/>
      </c>
      <c r="V454" s="207" t="str">
        <f t="shared" ca="1" si="76"/>
        <v/>
      </c>
      <c r="W454" s="634">
        <f ca="1">IF($Y454&gt;0,CHOOSE(MATCH(RegimeExecucao,{"Unitário","Global"},0),IF($A454="S",$Y454/$X454,""),($Y454/$X454)*100),0)</f>
        <v>0</v>
      </c>
      <c r="X454" s="433" t="str">
        <f ca="1">IF($Y454&gt;0,CHOOSE(MATCH(RegimeExecucao,{"Unitário","Global"},0),IF($A454="S",ROUND($H454,ORÇAMENTO!$AF$10),""),ROUND($I454,ORÇAMENTO!$AF$11)),"")</f>
        <v/>
      </c>
      <c r="Y454" s="433">
        <f t="shared" ca="1" si="77"/>
        <v>0</v>
      </c>
      <c r="Z454" s="434"/>
      <c r="AB454" s="431"/>
      <c r="AC454" s="599"/>
      <c r="AD454" s="599"/>
      <c r="AE454" s="599"/>
      <c r="AF454" s="599"/>
      <c r="AG454" s="599"/>
      <c r="AH454" s="599"/>
      <c r="AI454" s="599"/>
      <c r="AJ454" s="599"/>
      <c r="AK454" s="599"/>
      <c r="AL454" s="599"/>
      <c r="AM454" s="432"/>
      <c r="AO454">
        <f ca="1">IF($A454="S",IF(BM!$I454=0,0,CHOOSE(MATCH(RegimeExecucao,{"Global","Unitário"},0),ROUND(ROUND(BM.MEDAcumulado,15-13*BM!$A$9)/100*BM!$I454,15-13*ORÇAMENTO!$AF$11),ROUND(ROUND(BM.MEDAcumulado,15-13*BM!$A$9)*ROUND(BM!$H454,15-13*ORÇAMENTO!$AF$10),15-13*ORÇAMENTO!$AF$11))),IF($A454=0,0,ROUND(SomaAgrupBM,15-13*ORÇAMENTO!$AF$11)))</f>
        <v>0</v>
      </c>
    </row>
    <row r="455" spans="1:41" ht="13.8" x14ac:dyDescent="0.3">
      <c r="A455" t="str">
        <f ca="1">ORÇAMENTO!C455</f>
        <v>S</v>
      </c>
      <c r="B455">
        <f ca="1">ORÇAMENTO!D455</f>
        <v>0</v>
      </c>
      <c r="C455" s="143" t="str">
        <f t="shared" ca="1" si="67"/>
        <v/>
      </c>
      <c r="D455" s="146" t="str">
        <f ca="1">ORÇAMENTO!O455</f>
        <v>-</v>
      </c>
      <c r="E455" s="206" t="str">
        <f t="shared" ca="1" si="68"/>
        <v>(abra o arquivo 'Referência 05-2024.xls)</v>
      </c>
      <c r="F455" s="207" t="str">
        <f t="shared" ca="1" si="69"/>
        <v>-</v>
      </c>
      <c r="G455" s="151">
        <f ca="1">IF(RegimeExecucao="Global","",ORÇAMENTO!T455)</f>
        <v>1</v>
      </c>
      <c r="H455" s="151">
        <f ca="1">IF(RegimeExecucao="Global","",ORÇAMENTO!W455)</f>
        <v>0</v>
      </c>
      <c r="I455" s="154">
        <f ca="1">ORÇAMENTO!X455</f>
        <v>0</v>
      </c>
      <c r="J455" s="427">
        <f t="shared" ca="1" si="70"/>
        <v>0</v>
      </c>
      <c r="K455" s="151">
        <f t="shared" ca="1" si="71"/>
        <v>0</v>
      </c>
      <c r="L455" s="428">
        <f t="shared" ca="1" si="72"/>
        <v>0</v>
      </c>
      <c r="M455" s="429">
        <f ca="1">IF($A455="S",VTOTALBM,IF($A455=0,0,ROUND(SomaAgrupBM,15-13*ORÇAMENTO!$AF$11)))</f>
        <v>0</v>
      </c>
      <c r="N455" s="430">
        <f t="shared" ca="1" si="73"/>
        <v>0</v>
      </c>
      <c r="O455" s="154">
        <f ca="1">IF($A455="S",VTOTALBM,IF($A455=0,0,ROUND(SomaAgrupBM,15-13*ORÇAMENTO!$AF$11)))</f>
        <v>0</v>
      </c>
      <c r="Q455" s="431"/>
      <c r="R455" s="432"/>
      <c r="T455" s="146" t="str">
        <f t="shared" ca="1" si="74"/>
        <v/>
      </c>
      <c r="U455" s="206" t="str">
        <f t="shared" ca="1" si="75"/>
        <v/>
      </c>
      <c r="V455" s="207" t="str">
        <f t="shared" ca="1" si="76"/>
        <v/>
      </c>
      <c r="W455" s="634">
        <f ca="1">IF($Y455&gt;0,CHOOSE(MATCH(RegimeExecucao,{"Unitário","Global"},0),IF($A455="S",$Y455/$X455,""),($Y455/$X455)*100),0)</f>
        <v>0</v>
      </c>
      <c r="X455" s="433" t="str">
        <f ca="1">IF($Y455&gt;0,CHOOSE(MATCH(RegimeExecucao,{"Unitário","Global"},0),IF($A455="S",ROUND($H455,ORÇAMENTO!$AF$10),""),ROUND($I455,ORÇAMENTO!$AF$11)),"")</f>
        <v/>
      </c>
      <c r="Y455" s="433">
        <f t="shared" ca="1" si="77"/>
        <v>0</v>
      </c>
      <c r="Z455" s="434"/>
      <c r="AB455" s="431"/>
      <c r="AC455" s="599"/>
      <c r="AD455" s="599"/>
      <c r="AE455" s="599"/>
      <c r="AF455" s="599"/>
      <c r="AG455" s="599"/>
      <c r="AH455" s="599"/>
      <c r="AI455" s="599"/>
      <c r="AJ455" s="599"/>
      <c r="AK455" s="599"/>
      <c r="AL455" s="599"/>
      <c r="AM455" s="432"/>
      <c r="AO455">
        <f ca="1">IF($A455="S",IF(BM!$I455=0,0,CHOOSE(MATCH(RegimeExecucao,{"Global","Unitário"},0),ROUND(ROUND(BM.MEDAcumulado,15-13*BM!$A$9)/100*BM!$I455,15-13*ORÇAMENTO!$AF$11),ROUND(ROUND(BM.MEDAcumulado,15-13*BM!$A$9)*ROUND(BM!$H455,15-13*ORÇAMENTO!$AF$10),15-13*ORÇAMENTO!$AF$11))),IF($A455=0,0,ROUND(SomaAgrupBM,15-13*ORÇAMENTO!$AF$11)))</f>
        <v>0</v>
      </c>
    </row>
    <row r="456" spans="1:41" ht="13.8" x14ac:dyDescent="0.3">
      <c r="A456" t="str">
        <f ca="1">ORÇAMENTO!C456</f>
        <v>S</v>
      </c>
      <c r="B456">
        <f ca="1">ORÇAMENTO!D456</f>
        <v>0</v>
      </c>
      <c r="C456" s="143" t="str">
        <f t="shared" ca="1" si="67"/>
        <v/>
      </c>
      <c r="D456" s="146" t="str">
        <f ca="1">ORÇAMENTO!O456</f>
        <v>-</v>
      </c>
      <c r="E456" s="206" t="str">
        <f t="shared" ca="1" si="68"/>
        <v>(abra o arquivo 'Referência 05-2024.xls)</v>
      </c>
      <c r="F456" s="207" t="str">
        <f t="shared" ca="1" si="69"/>
        <v>-</v>
      </c>
      <c r="G456" s="151">
        <f ca="1">IF(RegimeExecucao="Global","",ORÇAMENTO!T456)</f>
        <v>2</v>
      </c>
      <c r="H456" s="151">
        <f ca="1">IF(RegimeExecucao="Global","",ORÇAMENTO!W456)</f>
        <v>0</v>
      </c>
      <c r="I456" s="154">
        <f ca="1">ORÇAMENTO!X456</f>
        <v>0</v>
      </c>
      <c r="J456" s="427">
        <f t="shared" ca="1" si="70"/>
        <v>0</v>
      </c>
      <c r="K456" s="151">
        <f t="shared" ca="1" si="71"/>
        <v>0</v>
      </c>
      <c r="L456" s="428">
        <f t="shared" ca="1" si="72"/>
        <v>0</v>
      </c>
      <c r="M456" s="429">
        <f ca="1">IF($A456="S",VTOTALBM,IF($A456=0,0,ROUND(SomaAgrupBM,15-13*ORÇAMENTO!$AF$11)))</f>
        <v>0</v>
      </c>
      <c r="N456" s="430">
        <f t="shared" ca="1" si="73"/>
        <v>0</v>
      </c>
      <c r="O456" s="154">
        <f ca="1">IF($A456="S",VTOTALBM,IF($A456=0,0,ROUND(SomaAgrupBM,15-13*ORÇAMENTO!$AF$11)))</f>
        <v>0</v>
      </c>
      <c r="Q456" s="431"/>
      <c r="R456" s="432"/>
      <c r="T456" s="146" t="str">
        <f t="shared" ca="1" si="74"/>
        <v/>
      </c>
      <c r="U456" s="206" t="str">
        <f t="shared" ca="1" si="75"/>
        <v/>
      </c>
      <c r="V456" s="207" t="str">
        <f t="shared" ca="1" si="76"/>
        <v/>
      </c>
      <c r="W456" s="634">
        <f ca="1">IF($Y456&gt;0,CHOOSE(MATCH(RegimeExecucao,{"Unitário","Global"},0),IF($A456="S",$Y456/$X456,""),($Y456/$X456)*100),0)</f>
        <v>0</v>
      </c>
      <c r="X456" s="433" t="str">
        <f ca="1">IF($Y456&gt;0,CHOOSE(MATCH(RegimeExecucao,{"Unitário","Global"},0),IF($A456="S",ROUND($H456,ORÇAMENTO!$AF$10),""),ROUND($I456,ORÇAMENTO!$AF$11)),"")</f>
        <v/>
      </c>
      <c r="Y456" s="433">
        <f t="shared" ca="1" si="77"/>
        <v>0</v>
      </c>
      <c r="Z456" s="434"/>
      <c r="AB456" s="431"/>
      <c r="AC456" s="599"/>
      <c r="AD456" s="599"/>
      <c r="AE456" s="599"/>
      <c r="AF456" s="599"/>
      <c r="AG456" s="599"/>
      <c r="AH456" s="599"/>
      <c r="AI456" s="599"/>
      <c r="AJ456" s="599"/>
      <c r="AK456" s="599"/>
      <c r="AL456" s="599"/>
      <c r="AM456" s="432"/>
      <c r="AO456">
        <f ca="1">IF($A456="S",IF(BM!$I456=0,0,CHOOSE(MATCH(RegimeExecucao,{"Global","Unitário"},0),ROUND(ROUND(BM.MEDAcumulado,15-13*BM!$A$9)/100*BM!$I456,15-13*ORÇAMENTO!$AF$11),ROUND(ROUND(BM.MEDAcumulado,15-13*BM!$A$9)*ROUND(BM!$H456,15-13*ORÇAMENTO!$AF$10),15-13*ORÇAMENTO!$AF$11))),IF($A456=0,0,ROUND(SomaAgrupBM,15-13*ORÇAMENTO!$AF$11)))</f>
        <v>0</v>
      </c>
    </row>
    <row r="457" spans="1:41" ht="13.8" x14ac:dyDescent="0.3">
      <c r="A457" t="str">
        <f ca="1">ORÇAMENTO!C457</f>
        <v>S</v>
      </c>
      <c r="B457">
        <f ca="1">ORÇAMENTO!D457</f>
        <v>0</v>
      </c>
      <c r="C457" s="143" t="str">
        <f t="shared" ca="1" si="67"/>
        <v/>
      </c>
      <c r="D457" s="146" t="str">
        <f ca="1">ORÇAMENTO!O457</f>
        <v>-</v>
      </c>
      <c r="E457" s="206" t="str">
        <f t="shared" ca="1" si="68"/>
        <v>(abra o arquivo 'Referência 05-2024.xls)</v>
      </c>
      <c r="F457" s="207" t="str">
        <f t="shared" ca="1" si="69"/>
        <v>-</v>
      </c>
      <c r="G457" s="151">
        <f ca="1">IF(RegimeExecucao="Global","",ORÇAMENTO!T457)</f>
        <v>2</v>
      </c>
      <c r="H457" s="151">
        <f ca="1">IF(RegimeExecucao="Global","",ORÇAMENTO!W457)</f>
        <v>0</v>
      </c>
      <c r="I457" s="154">
        <f ca="1">ORÇAMENTO!X457</f>
        <v>0</v>
      </c>
      <c r="J457" s="427">
        <f t="shared" ca="1" si="70"/>
        <v>0</v>
      </c>
      <c r="K457" s="151">
        <f t="shared" ca="1" si="71"/>
        <v>0</v>
      </c>
      <c r="L457" s="428">
        <f t="shared" ca="1" si="72"/>
        <v>0</v>
      </c>
      <c r="M457" s="429">
        <f ca="1">IF($A457="S",VTOTALBM,IF($A457=0,0,ROUND(SomaAgrupBM,15-13*ORÇAMENTO!$AF$11)))</f>
        <v>0</v>
      </c>
      <c r="N457" s="430">
        <f t="shared" ca="1" si="73"/>
        <v>0</v>
      </c>
      <c r="O457" s="154">
        <f ca="1">IF($A457="S",VTOTALBM,IF($A457=0,0,ROUND(SomaAgrupBM,15-13*ORÇAMENTO!$AF$11)))</f>
        <v>0</v>
      </c>
      <c r="Q457" s="431"/>
      <c r="R457" s="432"/>
      <c r="T457" s="146" t="str">
        <f t="shared" ca="1" si="74"/>
        <v/>
      </c>
      <c r="U457" s="206" t="str">
        <f t="shared" ca="1" si="75"/>
        <v/>
      </c>
      <c r="V457" s="207" t="str">
        <f t="shared" ca="1" si="76"/>
        <v/>
      </c>
      <c r="W457" s="634">
        <f ca="1">IF($Y457&gt;0,CHOOSE(MATCH(RegimeExecucao,{"Unitário","Global"},0),IF($A457="S",$Y457/$X457,""),($Y457/$X457)*100),0)</f>
        <v>0</v>
      </c>
      <c r="X457" s="433" t="str">
        <f ca="1">IF($Y457&gt;0,CHOOSE(MATCH(RegimeExecucao,{"Unitário","Global"},0),IF($A457="S",ROUND($H457,ORÇAMENTO!$AF$10),""),ROUND($I457,ORÇAMENTO!$AF$11)),"")</f>
        <v/>
      </c>
      <c r="Y457" s="433">
        <f t="shared" ca="1" si="77"/>
        <v>0</v>
      </c>
      <c r="Z457" s="434"/>
      <c r="AB457" s="431"/>
      <c r="AC457" s="599"/>
      <c r="AD457" s="599"/>
      <c r="AE457" s="599"/>
      <c r="AF457" s="599"/>
      <c r="AG457" s="599"/>
      <c r="AH457" s="599"/>
      <c r="AI457" s="599"/>
      <c r="AJ457" s="599"/>
      <c r="AK457" s="599"/>
      <c r="AL457" s="599"/>
      <c r="AM457" s="432"/>
      <c r="AO457">
        <f ca="1">IF($A457="S",IF(BM!$I457=0,0,CHOOSE(MATCH(RegimeExecucao,{"Global","Unitário"},0),ROUND(ROUND(BM.MEDAcumulado,15-13*BM!$A$9)/100*BM!$I457,15-13*ORÇAMENTO!$AF$11),ROUND(ROUND(BM.MEDAcumulado,15-13*BM!$A$9)*ROUND(BM!$H457,15-13*ORÇAMENTO!$AF$10),15-13*ORÇAMENTO!$AF$11))),IF($A457=0,0,ROUND(SomaAgrupBM,15-13*ORÇAMENTO!$AF$11)))</f>
        <v>0</v>
      </c>
    </row>
    <row r="458" spans="1:41" ht="13.8" x14ac:dyDescent="0.3">
      <c r="A458" t="str">
        <f ca="1">ORÇAMENTO!C458</f>
        <v>S</v>
      </c>
      <c r="B458">
        <f ca="1">ORÇAMENTO!D458</f>
        <v>0</v>
      </c>
      <c r="C458" s="143" t="str">
        <f t="shared" ca="1" si="67"/>
        <v/>
      </c>
      <c r="D458" s="146" t="str">
        <f ca="1">ORÇAMENTO!O458</f>
        <v>-</v>
      </c>
      <c r="E458" s="206" t="str">
        <f t="shared" ca="1" si="68"/>
        <v>(abra o arquivo 'Referência 05-2024.xls)</v>
      </c>
      <c r="F458" s="207" t="str">
        <f t="shared" ca="1" si="69"/>
        <v>-</v>
      </c>
      <c r="G458" s="151">
        <f ca="1">IF(RegimeExecucao="Global","",ORÇAMENTO!T458)</f>
        <v>10</v>
      </c>
      <c r="H458" s="151">
        <f ca="1">IF(RegimeExecucao="Global","",ORÇAMENTO!W458)</f>
        <v>0</v>
      </c>
      <c r="I458" s="154">
        <f ca="1">ORÇAMENTO!X458</f>
        <v>0</v>
      </c>
      <c r="J458" s="427">
        <f t="shared" ca="1" si="70"/>
        <v>0</v>
      </c>
      <c r="K458" s="151">
        <f t="shared" ca="1" si="71"/>
        <v>0</v>
      </c>
      <c r="L458" s="428">
        <f t="shared" ca="1" si="72"/>
        <v>0</v>
      </c>
      <c r="M458" s="429">
        <f ca="1">IF($A458="S",VTOTALBM,IF($A458=0,0,ROUND(SomaAgrupBM,15-13*ORÇAMENTO!$AF$11)))</f>
        <v>0</v>
      </c>
      <c r="N458" s="430">
        <f t="shared" ca="1" si="73"/>
        <v>0</v>
      </c>
      <c r="O458" s="154">
        <f ca="1">IF($A458="S",VTOTALBM,IF($A458=0,0,ROUND(SomaAgrupBM,15-13*ORÇAMENTO!$AF$11)))</f>
        <v>0</v>
      </c>
      <c r="Q458" s="431"/>
      <c r="R458" s="432"/>
      <c r="T458" s="146" t="str">
        <f t="shared" ca="1" si="74"/>
        <v/>
      </c>
      <c r="U458" s="206" t="str">
        <f t="shared" ca="1" si="75"/>
        <v/>
      </c>
      <c r="V458" s="207" t="str">
        <f t="shared" ca="1" si="76"/>
        <v/>
      </c>
      <c r="W458" s="634">
        <f ca="1">IF($Y458&gt;0,CHOOSE(MATCH(RegimeExecucao,{"Unitário","Global"},0),IF($A458="S",$Y458/$X458,""),($Y458/$X458)*100),0)</f>
        <v>0</v>
      </c>
      <c r="X458" s="433" t="str">
        <f ca="1">IF($Y458&gt;0,CHOOSE(MATCH(RegimeExecucao,{"Unitário","Global"},0),IF($A458="S",ROUND($H458,ORÇAMENTO!$AF$10),""),ROUND($I458,ORÇAMENTO!$AF$11)),"")</f>
        <v/>
      </c>
      <c r="Y458" s="433">
        <f t="shared" ca="1" si="77"/>
        <v>0</v>
      </c>
      <c r="Z458" s="434"/>
      <c r="AB458" s="431"/>
      <c r="AC458" s="599"/>
      <c r="AD458" s="599"/>
      <c r="AE458" s="599"/>
      <c r="AF458" s="599"/>
      <c r="AG458" s="599"/>
      <c r="AH458" s="599"/>
      <c r="AI458" s="599"/>
      <c r="AJ458" s="599"/>
      <c r="AK458" s="599"/>
      <c r="AL458" s="599"/>
      <c r="AM458" s="432"/>
      <c r="AO458">
        <f ca="1">IF($A458="S",IF(BM!$I458=0,0,CHOOSE(MATCH(RegimeExecucao,{"Global","Unitário"},0),ROUND(ROUND(BM.MEDAcumulado,15-13*BM!$A$9)/100*BM!$I458,15-13*ORÇAMENTO!$AF$11),ROUND(ROUND(BM.MEDAcumulado,15-13*BM!$A$9)*ROUND(BM!$H458,15-13*ORÇAMENTO!$AF$10),15-13*ORÇAMENTO!$AF$11))),IF($A458=0,0,ROUND(SomaAgrupBM,15-13*ORÇAMENTO!$AF$11)))</f>
        <v>0</v>
      </c>
    </row>
    <row r="459" spans="1:41" ht="13.8" x14ac:dyDescent="0.3">
      <c r="A459" t="str">
        <f ca="1">ORÇAMENTO!C459</f>
        <v>S</v>
      </c>
      <c r="B459">
        <f ca="1">ORÇAMENTO!D459</f>
        <v>0</v>
      </c>
      <c r="C459" s="143" t="str">
        <f t="shared" ca="1" si="67"/>
        <v/>
      </c>
      <c r="D459" s="146" t="str">
        <f ca="1">ORÇAMENTO!O459</f>
        <v>-</v>
      </c>
      <c r="E459" s="206" t="str">
        <f t="shared" ca="1" si="68"/>
        <v>(abra o arquivo 'Referência 05-2024.xls)</v>
      </c>
      <c r="F459" s="207" t="str">
        <f t="shared" ca="1" si="69"/>
        <v>-</v>
      </c>
      <c r="G459" s="151">
        <f ca="1">IF(RegimeExecucao="Global","",ORÇAMENTO!T459)</f>
        <v>2</v>
      </c>
      <c r="H459" s="151">
        <f ca="1">IF(RegimeExecucao="Global","",ORÇAMENTO!W459)</f>
        <v>0</v>
      </c>
      <c r="I459" s="154">
        <f ca="1">ORÇAMENTO!X459</f>
        <v>0</v>
      </c>
      <c r="J459" s="427">
        <f t="shared" ca="1" si="70"/>
        <v>0</v>
      </c>
      <c r="K459" s="151">
        <f t="shared" ca="1" si="71"/>
        <v>0</v>
      </c>
      <c r="L459" s="428">
        <f t="shared" ca="1" si="72"/>
        <v>0</v>
      </c>
      <c r="M459" s="429">
        <f ca="1">IF($A459="S",VTOTALBM,IF($A459=0,0,ROUND(SomaAgrupBM,15-13*ORÇAMENTO!$AF$11)))</f>
        <v>0</v>
      </c>
      <c r="N459" s="430">
        <f t="shared" ca="1" si="73"/>
        <v>0</v>
      </c>
      <c r="O459" s="154">
        <f ca="1">IF($A459="S",VTOTALBM,IF($A459=0,0,ROUND(SomaAgrupBM,15-13*ORÇAMENTO!$AF$11)))</f>
        <v>0</v>
      </c>
      <c r="Q459" s="431"/>
      <c r="R459" s="432"/>
      <c r="T459" s="146" t="str">
        <f t="shared" ca="1" si="74"/>
        <v/>
      </c>
      <c r="U459" s="206" t="str">
        <f t="shared" ca="1" si="75"/>
        <v/>
      </c>
      <c r="V459" s="207" t="str">
        <f t="shared" ca="1" si="76"/>
        <v/>
      </c>
      <c r="W459" s="634">
        <f ca="1">IF($Y459&gt;0,CHOOSE(MATCH(RegimeExecucao,{"Unitário","Global"},0),IF($A459="S",$Y459/$X459,""),($Y459/$X459)*100),0)</f>
        <v>0</v>
      </c>
      <c r="X459" s="433" t="str">
        <f ca="1">IF($Y459&gt;0,CHOOSE(MATCH(RegimeExecucao,{"Unitário","Global"},0),IF($A459="S",ROUND($H459,ORÇAMENTO!$AF$10),""),ROUND($I459,ORÇAMENTO!$AF$11)),"")</f>
        <v/>
      </c>
      <c r="Y459" s="433">
        <f t="shared" ca="1" si="77"/>
        <v>0</v>
      </c>
      <c r="Z459" s="434"/>
      <c r="AB459" s="431"/>
      <c r="AC459" s="599"/>
      <c r="AD459" s="599"/>
      <c r="AE459" s="599"/>
      <c r="AF459" s="599"/>
      <c r="AG459" s="599"/>
      <c r="AH459" s="599"/>
      <c r="AI459" s="599"/>
      <c r="AJ459" s="599"/>
      <c r="AK459" s="599"/>
      <c r="AL459" s="599"/>
      <c r="AM459" s="432"/>
      <c r="AO459">
        <f ca="1">IF($A459="S",IF(BM!$I459=0,0,CHOOSE(MATCH(RegimeExecucao,{"Global","Unitário"},0),ROUND(ROUND(BM.MEDAcumulado,15-13*BM!$A$9)/100*BM!$I459,15-13*ORÇAMENTO!$AF$11),ROUND(ROUND(BM.MEDAcumulado,15-13*BM!$A$9)*ROUND(BM!$H459,15-13*ORÇAMENTO!$AF$10),15-13*ORÇAMENTO!$AF$11))),IF($A459=0,0,ROUND(SomaAgrupBM,15-13*ORÇAMENTO!$AF$11)))</f>
        <v>0</v>
      </c>
    </row>
    <row r="460" spans="1:41" ht="13.8" x14ac:dyDescent="0.3">
      <c r="A460" t="str">
        <f ca="1">ORÇAMENTO!C460</f>
        <v>S</v>
      </c>
      <c r="B460">
        <f ca="1">ORÇAMENTO!D460</f>
        <v>0</v>
      </c>
      <c r="C460" s="143" t="str">
        <f t="shared" ca="1" si="67"/>
        <v/>
      </c>
      <c r="D460" s="146" t="str">
        <f ca="1">ORÇAMENTO!O460</f>
        <v>-</v>
      </c>
      <c r="E460" s="206" t="str">
        <f t="shared" ca="1" si="68"/>
        <v>(abra o arquivo 'Referência 05-2024.xls)</v>
      </c>
      <c r="F460" s="207" t="str">
        <f t="shared" ca="1" si="69"/>
        <v>-</v>
      </c>
      <c r="G460" s="151">
        <f ca="1">IF(RegimeExecucao="Global","",ORÇAMENTO!T460)</f>
        <v>11</v>
      </c>
      <c r="H460" s="151">
        <f ca="1">IF(RegimeExecucao="Global","",ORÇAMENTO!W460)</f>
        <v>0</v>
      </c>
      <c r="I460" s="154">
        <f ca="1">ORÇAMENTO!X460</f>
        <v>0</v>
      </c>
      <c r="J460" s="427">
        <f t="shared" ca="1" si="70"/>
        <v>0</v>
      </c>
      <c r="K460" s="151">
        <f t="shared" ca="1" si="71"/>
        <v>0</v>
      </c>
      <c r="L460" s="428">
        <f t="shared" ca="1" si="72"/>
        <v>0</v>
      </c>
      <c r="M460" s="429">
        <f ca="1">IF($A460="S",VTOTALBM,IF($A460=0,0,ROUND(SomaAgrupBM,15-13*ORÇAMENTO!$AF$11)))</f>
        <v>0</v>
      </c>
      <c r="N460" s="430">
        <f t="shared" ca="1" si="73"/>
        <v>0</v>
      </c>
      <c r="O460" s="154">
        <f ca="1">IF($A460="S",VTOTALBM,IF($A460=0,0,ROUND(SomaAgrupBM,15-13*ORÇAMENTO!$AF$11)))</f>
        <v>0</v>
      </c>
      <c r="Q460" s="431"/>
      <c r="R460" s="432"/>
      <c r="T460" s="146" t="str">
        <f t="shared" ca="1" si="74"/>
        <v/>
      </c>
      <c r="U460" s="206" t="str">
        <f t="shared" ca="1" si="75"/>
        <v/>
      </c>
      <c r="V460" s="207" t="str">
        <f t="shared" ca="1" si="76"/>
        <v/>
      </c>
      <c r="W460" s="634">
        <f ca="1">IF($Y460&gt;0,CHOOSE(MATCH(RegimeExecucao,{"Unitário","Global"},0),IF($A460="S",$Y460/$X460,""),($Y460/$X460)*100),0)</f>
        <v>0</v>
      </c>
      <c r="X460" s="433" t="str">
        <f ca="1">IF($Y460&gt;0,CHOOSE(MATCH(RegimeExecucao,{"Unitário","Global"},0),IF($A460="S",ROUND($H460,ORÇAMENTO!$AF$10),""),ROUND($I460,ORÇAMENTO!$AF$11)),"")</f>
        <v/>
      </c>
      <c r="Y460" s="433">
        <f t="shared" ca="1" si="77"/>
        <v>0</v>
      </c>
      <c r="Z460" s="434"/>
      <c r="AB460" s="431"/>
      <c r="AC460" s="599"/>
      <c r="AD460" s="599"/>
      <c r="AE460" s="599"/>
      <c r="AF460" s="599"/>
      <c r="AG460" s="599"/>
      <c r="AH460" s="599"/>
      <c r="AI460" s="599"/>
      <c r="AJ460" s="599"/>
      <c r="AK460" s="599"/>
      <c r="AL460" s="599"/>
      <c r="AM460" s="432"/>
      <c r="AO460">
        <f ca="1">IF($A460="S",IF(BM!$I460=0,0,CHOOSE(MATCH(RegimeExecucao,{"Global","Unitário"},0),ROUND(ROUND(BM.MEDAcumulado,15-13*BM!$A$9)/100*BM!$I460,15-13*ORÇAMENTO!$AF$11),ROUND(ROUND(BM.MEDAcumulado,15-13*BM!$A$9)*ROUND(BM!$H460,15-13*ORÇAMENTO!$AF$10),15-13*ORÇAMENTO!$AF$11))),IF($A460=0,0,ROUND(SomaAgrupBM,15-13*ORÇAMENTO!$AF$11)))</f>
        <v>0</v>
      </c>
    </row>
    <row r="461" spans="1:41" ht="13.8" x14ac:dyDescent="0.3">
      <c r="A461" t="str">
        <f ca="1">ORÇAMENTO!C461</f>
        <v>S</v>
      </c>
      <c r="B461">
        <f ca="1">ORÇAMENTO!D461</f>
        <v>0</v>
      </c>
      <c r="C461" s="143" t="str">
        <f t="shared" ca="1" si="67"/>
        <v/>
      </c>
      <c r="D461" s="146" t="str">
        <f ca="1">ORÇAMENTO!O461</f>
        <v>-</v>
      </c>
      <c r="E461" s="206" t="str">
        <f t="shared" ca="1" si="68"/>
        <v>(abra o arquivo 'Referência 05-2024.xls)</v>
      </c>
      <c r="F461" s="207" t="str">
        <f t="shared" ca="1" si="69"/>
        <v>-</v>
      </c>
      <c r="G461" s="151">
        <f ca="1">IF(RegimeExecucao="Global","",ORÇAMENTO!T461)</f>
        <v>6</v>
      </c>
      <c r="H461" s="151">
        <f ca="1">IF(RegimeExecucao="Global","",ORÇAMENTO!W461)</f>
        <v>0</v>
      </c>
      <c r="I461" s="154">
        <f ca="1">ORÇAMENTO!X461</f>
        <v>0</v>
      </c>
      <c r="J461" s="427">
        <f t="shared" ca="1" si="70"/>
        <v>0</v>
      </c>
      <c r="K461" s="151">
        <f t="shared" ca="1" si="71"/>
        <v>0</v>
      </c>
      <c r="L461" s="428">
        <f t="shared" ca="1" si="72"/>
        <v>0</v>
      </c>
      <c r="M461" s="429">
        <f ca="1">IF($A461="S",VTOTALBM,IF($A461=0,0,ROUND(SomaAgrupBM,15-13*ORÇAMENTO!$AF$11)))</f>
        <v>0</v>
      </c>
      <c r="N461" s="430">
        <f t="shared" ca="1" si="73"/>
        <v>0</v>
      </c>
      <c r="O461" s="154">
        <f ca="1">IF($A461="S",VTOTALBM,IF($A461=0,0,ROUND(SomaAgrupBM,15-13*ORÇAMENTO!$AF$11)))</f>
        <v>0</v>
      </c>
      <c r="Q461" s="431"/>
      <c r="R461" s="432"/>
      <c r="T461" s="146" t="str">
        <f t="shared" ca="1" si="74"/>
        <v/>
      </c>
      <c r="U461" s="206" t="str">
        <f t="shared" ca="1" si="75"/>
        <v/>
      </c>
      <c r="V461" s="207" t="str">
        <f t="shared" ca="1" si="76"/>
        <v/>
      </c>
      <c r="W461" s="634">
        <f ca="1">IF($Y461&gt;0,CHOOSE(MATCH(RegimeExecucao,{"Unitário","Global"},0),IF($A461="S",$Y461/$X461,""),($Y461/$X461)*100),0)</f>
        <v>0</v>
      </c>
      <c r="X461" s="433" t="str">
        <f ca="1">IF($Y461&gt;0,CHOOSE(MATCH(RegimeExecucao,{"Unitário","Global"},0),IF($A461="S",ROUND($H461,ORÇAMENTO!$AF$10),""),ROUND($I461,ORÇAMENTO!$AF$11)),"")</f>
        <v/>
      </c>
      <c r="Y461" s="433">
        <f t="shared" ca="1" si="77"/>
        <v>0</v>
      </c>
      <c r="Z461" s="434"/>
      <c r="AB461" s="431"/>
      <c r="AC461" s="599"/>
      <c r="AD461" s="599"/>
      <c r="AE461" s="599"/>
      <c r="AF461" s="599"/>
      <c r="AG461" s="599"/>
      <c r="AH461" s="599"/>
      <c r="AI461" s="599"/>
      <c r="AJ461" s="599"/>
      <c r="AK461" s="599"/>
      <c r="AL461" s="599"/>
      <c r="AM461" s="432"/>
      <c r="AO461">
        <f ca="1">IF($A461="S",IF(BM!$I461=0,0,CHOOSE(MATCH(RegimeExecucao,{"Global","Unitário"},0),ROUND(ROUND(BM.MEDAcumulado,15-13*BM!$A$9)/100*BM!$I461,15-13*ORÇAMENTO!$AF$11),ROUND(ROUND(BM.MEDAcumulado,15-13*BM!$A$9)*ROUND(BM!$H461,15-13*ORÇAMENTO!$AF$10),15-13*ORÇAMENTO!$AF$11))),IF($A461=0,0,ROUND(SomaAgrupBM,15-13*ORÇAMENTO!$AF$11)))</f>
        <v>0</v>
      </c>
    </row>
    <row r="462" spans="1:41" ht="13.8" x14ac:dyDescent="0.3">
      <c r="A462" t="str">
        <f ca="1">ORÇAMENTO!C462</f>
        <v>S</v>
      </c>
      <c r="B462">
        <f ca="1">ORÇAMENTO!D462</f>
        <v>0</v>
      </c>
      <c r="C462" s="143" t="str">
        <f t="shared" ref="C462:C525" ca="1" si="78">IF(OR($I462&gt;0,$A462=1,$A462=2,$A462=3,$A462=4),"F","")</f>
        <v/>
      </c>
      <c r="D462" s="146" t="str">
        <f ca="1">ORÇAMENTO!O462</f>
        <v>-</v>
      </c>
      <c r="E462" s="206" t="str">
        <f t="shared" ref="E462:E525" ca="1" si="79">ORÇAMENTO.Descricao</f>
        <v>(abra o arquivo 'Referência 05-2024.xls)</v>
      </c>
      <c r="F462" s="207" t="str">
        <f t="shared" ref="F462:F525" ca="1" si="80">IF(RegimeExecucao="Global","",ORÇAMENTO.Unidade)</f>
        <v>-</v>
      </c>
      <c r="G462" s="151">
        <f ca="1">IF(RegimeExecucao="Global","",ORÇAMENTO!T462)</f>
        <v>2</v>
      </c>
      <c r="H462" s="151">
        <f ca="1">IF(RegimeExecucao="Global","",ORÇAMENTO!W462)</f>
        <v>0</v>
      </c>
      <c r="I462" s="154">
        <f ca="1">ORÇAMENTO!X462</f>
        <v>0</v>
      </c>
      <c r="J462" s="427">
        <f t="shared" ref="J462:J525" ca="1" si="81">IF($A462="S",IF(CAIXA.Modo,BM.AFAnterior,BM.MEDAnterior),IF(AND(RegimeExecucao="Global",$I462&gt;0,COUNTIF($AB$13:$AM$13,BM.medicao-1)&gt;0),M462/$I462*100,0))</f>
        <v>0</v>
      </c>
      <c r="K462" s="151">
        <f t="shared" ref="K462:K525" ca="1" si="82">L462-J462</f>
        <v>0</v>
      </c>
      <c r="L462" s="428">
        <f t="shared" ref="L462:L525" ca="1" si="83">IF($A462="S",IF(CAIXA.Modo,BM.AFAcumulado,BM.MEDAcumulado),IF(AND(RegimeExecucao="Global",$I462&gt;0,COUNTIF($AB$13:$AM$13,BM.medicao)&gt;0),O462/$I462*100,0))</f>
        <v>0</v>
      </c>
      <c r="M462" s="429">
        <f ca="1">IF($A462="S",VTOTALBM,IF($A462=0,0,ROUND(SomaAgrupBM,15-13*ORÇAMENTO!$AF$11)))</f>
        <v>0</v>
      </c>
      <c r="N462" s="430">
        <f t="shared" ref="N462:N525" ca="1" si="84">O462-M462</f>
        <v>0</v>
      </c>
      <c r="O462" s="154">
        <f ca="1">IF($A462="S",VTOTALBM,IF($A462=0,0,ROUND(SomaAgrupBM,15-13*ORÇAMENTO!$AF$11)))</f>
        <v>0</v>
      </c>
      <c r="Q462" s="431"/>
      <c r="R462" s="432"/>
      <c r="T462" s="146" t="str">
        <f t="shared" ref="T462:T525" ca="1" si="85">IF($W462&gt;0,$D462,"")</f>
        <v/>
      </c>
      <c r="U462" s="206" t="str">
        <f t="shared" ref="U462:U525" ca="1" si="86">IF($W462&gt;0,$E462,"")</f>
        <v/>
      </c>
      <c r="V462" s="207" t="str">
        <f t="shared" ref="V462:V525" ca="1" si="87">IF(AND($W462&gt;0,RegimeExecucao="Unitário"),$F462,"")</f>
        <v/>
      </c>
      <c r="W462" s="634">
        <f ca="1">IF($Y462&gt;0,CHOOSE(MATCH(RegimeExecucao,{"Unitário","Global"},0),IF($A462="S",$Y462/$X462,""),($Y462/$X462)*100),0)</f>
        <v>0</v>
      </c>
      <c r="X462" s="433" t="str">
        <f ca="1">IF($Y462&gt;0,CHOOSE(MATCH(RegimeExecucao,{"Unitário","Global"},0),IF($A462="S",ROUND($H462,ORÇAMENTO!$AF$10),""),ROUND($I462,ORÇAMENTO!$AF$11)),"")</f>
        <v/>
      </c>
      <c r="Y462" s="433">
        <f t="shared" ref="Y462:Y525" ca="1" si="88">AO462-O462</f>
        <v>0</v>
      </c>
      <c r="Z462" s="434"/>
      <c r="AB462" s="431"/>
      <c r="AC462" s="599"/>
      <c r="AD462" s="599"/>
      <c r="AE462" s="599"/>
      <c r="AF462" s="599"/>
      <c r="AG462" s="599"/>
      <c r="AH462" s="599"/>
      <c r="AI462" s="599"/>
      <c r="AJ462" s="599"/>
      <c r="AK462" s="599"/>
      <c r="AL462" s="599"/>
      <c r="AM462" s="432"/>
      <c r="AO462">
        <f ca="1">IF($A462="S",IF(BM!$I462=0,0,CHOOSE(MATCH(RegimeExecucao,{"Global","Unitário"},0),ROUND(ROUND(BM.MEDAcumulado,15-13*BM!$A$9)/100*BM!$I462,15-13*ORÇAMENTO!$AF$11),ROUND(ROUND(BM.MEDAcumulado,15-13*BM!$A$9)*ROUND(BM!$H462,15-13*ORÇAMENTO!$AF$10),15-13*ORÇAMENTO!$AF$11))),IF($A462=0,0,ROUND(SomaAgrupBM,15-13*ORÇAMENTO!$AF$11)))</f>
        <v>0</v>
      </c>
    </row>
    <row r="463" spans="1:41" ht="13.8" x14ac:dyDescent="0.3">
      <c r="A463" t="str">
        <f ca="1">ORÇAMENTO!C463</f>
        <v>S</v>
      </c>
      <c r="B463">
        <f ca="1">ORÇAMENTO!D463</f>
        <v>0</v>
      </c>
      <c r="C463" s="143" t="str">
        <f t="shared" ca="1" si="78"/>
        <v/>
      </c>
      <c r="D463" s="146" t="str">
        <f ca="1">ORÇAMENTO!O463</f>
        <v>-</v>
      </c>
      <c r="E463" s="206" t="str">
        <f t="shared" ca="1" si="79"/>
        <v>(abra o arquivo 'Referência 05-2024.xls)</v>
      </c>
      <c r="F463" s="207" t="str">
        <f t="shared" ca="1" si="80"/>
        <v>-</v>
      </c>
      <c r="G463" s="151">
        <f ca="1">IF(RegimeExecucao="Global","",ORÇAMENTO!T463)</f>
        <v>9</v>
      </c>
      <c r="H463" s="151">
        <f ca="1">IF(RegimeExecucao="Global","",ORÇAMENTO!W463)</f>
        <v>0</v>
      </c>
      <c r="I463" s="154">
        <f ca="1">ORÇAMENTO!X463</f>
        <v>0</v>
      </c>
      <c r="J463" s="427">
        <f t="shared" ca="1" si="81"/>
        <v>0</v>
      </c>
      <c r="K463" s="151">
        <f t="shared" ca="1" si="82"/>
        <v>0</v>
      </c>
      <c r="L463" s="428">
        <f t="shared" ca="1" si="83"/>
        <v>0</v>
      </c>
      <c r="M463" s="429">
        <f ca="1">IF($A463="S",VTOTALBM,IF($A463=0,0,ROUND(SomaAgrupBM,15-13*ORÇAMENTO!$AF$11)))</f>
        <v>0</v>
      </c>
      <c r="N463" s="430">
        <f t="shared" ca="1" si="84"/>
        <v>0</v>
      </c>
      <c r="O463" s="154">
        <f ca="1">IF($A463="S",VTOTALBM,IF($A463=0,0,ROUND(SomaAgrupBM,15-13*ORÇAMENTO!$AF$11)))</f>
        <v>0</v>
      </c>
      <c r="Q463" s="431"/>
      <c r="R463" s="432"/>
      <c r="T463" s="146" t="str">
        <f t="shared" ca="1" si="85"/>
        <v/>
      </c>
      <c r="U463" s="206" t="str">
        <f t="shared" ca="1" si="86"/>
        <v/>
      </c>
      <c r="V463" s="207" t="str">
        <f t="shared" ca="1" si="87"/>
        <v/>
      </c>
      <c r="W463" s="634">
        <f ca="1">IF($Y463&gt;0,CHOOSE(MATCH(RegimeExecucao,{"Unitário","Global"},0),IF($A463="S",$Y463/$X463,""),($Y463/$X463)*100),0)</f>
        <v>0</v>
      </c>
      <c r="X463" s="433" t="str">
        <f ca="1">IF($Y463&gt;0,CHOOSE(MATCH(RegimeExecucao,{"Unitário","Global"},0),IF($A463="S",ROUND($H463,ORÇAMENTO!$AF$10),""),ROUND($I463,ORÇAMENTO!$AF$11)),"")</f>
        <v/>
      </c>
      <c r="Y463" s="433">
        <f t="shared" ca="1" si="88"/>
        <v>0</v>
      </c>
      <c r="Z463" s="434"/>
      <c r="AB463" s="431"/>
      <c r="AC463" s="599"/>
      <c r="AD463" s="599"/>
      <c r="AE463" s="599"/>
      <c r="AF463" s="599"/>
      <c r="AG463" s="599"/>
      <c r="AH463" s="599"/>
      <c r="AI463" s="599"/>
      <c r="AJ463" s="599"/>
      <c r="AK463" s="599"/>
      <c r="AL463" s="599"/>
      <c r="AM463" s="432"/>
      <c r="AO463">
        <f ca="1">IF($A463="S",IF(BM!$I463=0,0,CHOOSE(MATCH(RegimeExecucao,{"Global","Unitário"},0),ROUND(ROUND(BM.MEDAcumulado,15-13*BM!$A$9)/100*BM!$I463,15-13*ORÇAMENTO!$AF$11),ROUND(ROUND(BM.MEDAcumulado,15-13*BM!$A$9)*ROUND(BM!$H463,15-13*ORÇAMENTO!$AF$10),15-13*ORÇAMENTO!$AF$11))),IF($A463=0,0,ROUND(SomaAgrupBM,15-13*ORÇAMENTO!$AF$11)))</f>
        <v>0</v>
      </c>
    </row>
    <row r="464" spans="1:41" ht="13.8" x14ac:dyDescent="0.3">
      <c r="A464" t="str">
        <f ca="1">ORÇAMENTO!C464</f>
        <v>S</v>
      </c>
      <c r="B464">
        <f ca="1">ORÇAMENTO!D464</f>
        <v>0</v>
      </c>
      <c r="C464" s="143" t="str">
        <f t="shared" ca="1" si="78"/>
        <v/>
      </c>
      <c r="D464" s="146" t="str">
        <f ca="1">ORÇAMENTO!O464</f>
        <v>-</v>
      </c>
      <c r="E464" s="206" t="str">
        <f t="shared" ca="1" si="79"/>
        <v>(abra o arquivo 'Referência 05-2024.xls)</v>
      </c>
      <c r="F464" s="207" t="str">
        <f t="shared" ca="1" si="80"/>
        <v>-</v>
      </c>
      <c r="G464" s="151">
        <f ca="1">IF(RegimeExecucao="Global","",ORÇAMENTO!T464)</f>
        <v>6</v>
      </c>
      <c r="H464" s="151">
        <f ca="1">IF(RegimeExecucao="Global","",ORÇAMENTO!W464)</f>
        <v>0</v>
      </c>
      <c r="I464" s="154">
        <f ca="1">ORÇAMENTO!X464</f>
        <v>0</v>
      </c>
      <c r="J464" s="427">
        <f t="shared" ca="1" si="81"/>
        <v>0</v>
      </c>
      <c r="K464" s="151">
        <f t="shared" ca="1" si="82"/>
        <v>0</v>
      </c>
      <c r="L464" s="428">
        <f t="shared" ca="1" si="83"/>
        <v>0</v>
      </c>
      <c r="M464" s="429">
        <f ca="1">IF($A464="S",VTOTALBM,IF($A464=0,0,ROUND(SomaAgrupBM,15-13*ORÇAMENTO!$AF$11)))</f>
        <v>0</v>
      </c>
      <c r="N464" s="430">
        <f t="shared" ca="1" si="84"/>
        <v>0</v>
      </c>
      <c r="O464" s="154">
        <f ca="1">IF($A464="S",VTOTALBM,IF($A464=0,0,ROUND(SomaAgrupBM,15-13*ORÇAMENTO!$AF$11)))</f>
        <v>0</v>
      </c>
      <c r="Q464" s="431"/>
      <c r="R464" s="432"/>
      <c r="T464" s="146" t="str">
        <f t="shared" ca="1" si="85"/>
        <v/>
      </c>
      <c r="U464" s="206" t="str">
        <f t="shared" ca="1" si="86"/>
        <v/>
      </c>
      <c r="V464" s="207" t="str">
        <f t="shared" ca="1" si="87"/>
        <v/>
      </c>
      <c r="W464" s="634">
        <f ca="1">IF($Y464&gt;0,CHOOSE(MATCH(RegimeExecucao,{"Unitário","Global"},0),IF($A464="S",$Y464/$X464,""),($Y464/$X464)*100),0)</f>
        <v>0</v>
      </c>
      <c r="X464" s="433" t="str">
        <f ca="1">IF($Y464&gt;0,CHOOSE(MATCH(RegimeExecucao,{"Unitário","Global"},0),IF($A464="S",ROUND($H464,ORÇAMENTO!$AF$10),""),ROUND($I464,ORÇAMENTO!$AF$11)),"")</f>
        <v/>
      </c>
      <c r="Y464" s="433">
        <f t="shared" ca="1" si="88"/>
        <v>0</v>
      </c>
      <c r="Z464" s="434"/>
      <c r="AB464" s="431"/>
      <c r="AC464" s="599"/>
      <c r="AD464" s="599"/>
      <c r="AE464" s="599"/>
      <c r="AF464" s="599"/>
      <c r="AG464" s="599"/>
      <c r="AH464" s="599"/>
      <c r="AI464" s="599"/>
      <c r="AJ464" s="599"/>
      <c r="AK464" s="599"/>
      <c r="AL464" s="599"/>
      <c r="AM464" s="432"/>
      <c r="AO464">
        <f ca="1">IF($A464="S",IF(BM!$I464=0,0,CHOOSE(MATCH(RegimeExecucao,{"Global","Unitário"},0),ROUND(ROUND(BM.MEDAcumulado,15-13*BM!$A$9)/100*BM!$I464,15-13*ORÇAMENTO!$AF$11),ROUND(ROUND(BM.MEDAcumulado,15-13*BM!$A$9)*ROUND(BM!$H464,15-13*ORÇAMENTO!$AF$10),15-13*ORÇAMENTO!$AF$11))),IF($A464=0,0,ROUND(SomaAgrupBM,15-13*ORÇAMENTO!$AF$11)))</f>
        <v>0</v>
      </c>
    </row>
    <row r="465" spans="1:41" ht="13.8" x14ac:dyDescent="0.3">
      <c r="A465" t="str">
        <f ca="1">ORÇAMENTO!C465</f>
        <v>S</v>
      </c>
      <c r="B465">
        <f ca="1">ORÇAMENTO!D465</f>
        <v>0</v>
      </c>
      <c r="C465" s="143" t="str">
        <f t="shared" ca="1" si="78"/>
        <v/>
      </c>
      <c r="D465" s="146" t="str">
        <f ca="1">ORÇAMENTO!O465</f>
        <v>-</v>
      </c>
      <c r="E465" s="206" t="str">
        <f t="shared" ca="1" si="79"/>
        <v>(abra o arquivo 'Referência 05-2024.xls)</v>
      </c>
      <c r="F465" s="207" t="str">
        <f t="shared" ca="1" si="80"/>
        <v>-</v>
      </c>
      <c r="G465" s="151">
        <f ca="1">IF(RegimeExecucao="Global","",ORÇAMENTO!T465)</f>
        <v>16</v>
      </c>
      <c r="H465" s="151">
        <f ca="1">IF(RegimeExecucao="Global","",ORÇAMENTO!W465)</f>
        <v>0</v>
      </c>
      <c r="I465" s="154">
        <f ca="1">ORÇAMENTO!X465</f>
        <v>0</v>
      </c>
      <c r="J465" s="427">
        <f t="shared" ca="1" si="81"/>
        <v>0</v>
      </c>
      <c r="K465" s="151">
        <f t="shared" ca="1" si="82"/>
        <v>0</v>
      </c>
      <c r="L465" s="428">
        <f t="shared" ca="1" si="83"/>
        <v>0</v>
      </c>
      <c r="M465" s="429">
        <f ca="1">IF($A465="S",VTOTALBM,IF($A465=0,0,ROUND(SomaAgrupBM,15-13*ORÇAMENTO!$AF$11)))</f>
        <v>0</v>
      </c>
      <c r="N465" s="430">
        <f t="shared" ca="1" si="84"/>
        <v>0</v>
      </c>
      <c r="O465" s="154">
        <f ca="1">IF($A465="S",VTOTALBM,IF($A465=0,0,ROUND(SomaAgrupBM,15-13*ORÇAMENTO!$AF$11)))</f>
        <v>0</v>
      </c>
      <c r="Q465" s="431"/>
      <c r="R465" s="432"/>
      <c r="T465" s="146" t="str">
        <f t="shared" ca="1" si="85"/>
        <v/>
      </c>
      <c r="U465" s="206" t="str">
        <f t="shared" ca="1" si="86"/>
        <v/>
      </c>
      <c r="V465" s="207" t="str">
        <f t="shared" ca="1" si="87"/>
        <v/>
      </c>
      <c r="W465" s="634">
        <f ca="1">IF($Y465&gt;0,CHOOSE(MATCH(RegimeExecucao,{"Unitário","Global"},0),IF($A465="S",$Y465/$X465,""),($Y465/$X465)*100),0)</f>
        <v>0</v>
      </c>
      <c r="X465" s="433" t="str">
        <f ca="1">IF($Y465&gt;0,CHOOSE(MATCH(RegimeExecucao,{"Unitário","Global"},0),IF($A465="S",ROUND($H465,ORÇAMENTO!$AF$10),""),ROUND($I465,ORÇAMENTO!$AF$11)),"")</f>
        <v/>
      </c>
      <c r="Y465" s="433">
        <f t="shared" ca="1" si="88"/>
        <v>0</v>
      </c>
      <c r="Z465" s="434"/>
      <c r="AB465" s="431"/>
      <c r="AC465" s="599"/>
      <c r="AD465" s="599"/>
      <c r="AE465" s="599"/>
      <c r="AF465" s="599"/>
      <c r="AG465" s="599"/>
      <c r="AH465" s="599"/>
      <c r="AI465" s="599"/>
      <c r="AJ465" s="599"/>
      <c r="AK465" s="599"/>
      <c r="AL465" s="599"/>
      <c r="AM465" s="432"/>
      <c r="AO465">
        <f ca="1">IF($A465="S",IF(BM!$I465=0,0,CHOOSE(MATCH(RegimeExecucao,{"Global","Unitário"},0),ROUND(ROUND(BM.MEDAcumulado,15-13*BM!$A$9)/100*BM!$I465,15-13*ORÇAMENTO!$AF$11),ROUND(ROUND(BM.MEDAcumulado,15-13*BM!$A$9)*ROUND(BM!$H465,15-13*ORÇAMENTO!$AF$10),15-13*ORÇAMENTO!$AF$11))),IF($A465=0,0,ROUND(SomaAgrupBM,15-13*ORÇAMENTO!$AF$11)))</f>
        <v>0</v>
      </c>
    </row>
    <row r="466" spans="1:41" ht="13.8" x14ac:dyDescent="0.3">
      <c r="A466" t="str">
        <f ca="1">ORÇAMENTO!C466</f>
        <v>S</v>
      </c>
      <c r="B466">
        <f ca="1">ORÇAMENTO!D466</f>
        <v>0</v>
      </c>
      <c r="C466" s="143" t="str">
        <f t="shared" ca="1" si="78"/>
        <v/>
      </c>
      <c r="D466" s="146" t="str">
        <f ca="1">ORÇAMENTO!O466</f>
        <v>-</v>
      </c>
      <c r="E466" s="206" t="str">
        <f t="shared" ca="1" si="79"/>
        <v>(abra o arquivo 'Referência 05-2024.xls)</v>
      </c>
      <c r="F466" s="207" t="str">
        <f t="shared" ca="1" si="80"/>
        <v>-</v>
      </c>
      <c r="G466" s="151">
        <f ca="1">IF(RegimeExecucao="Global","",ORÇAMENTO!T466)</f>
        <v>6</v>
      </c>
      <c r="H466" s="151">
        <f ca="1">IF(RegimeExecucao="Global","",ORÇAMENTO!W466)</f>
        <v>0</v>
      </c>
      <c r="I466" s="154">
        <f ca="1">ORÇAMENTO!X466</f>
        <v>0</v>
      </c>
      <c r="J466" s="427">
        <f t="shared" ca="1" si="81"/>
        <v>0</v>
      </c>
      <c r="K466" s="151">
        <f t="shared" ca="1" si="82"/>
        <v>0</v>
      </c>
      <c r="L466" s="428">
        <f t="shared" ca="1" si="83"/>
        <v>0</v>
      </c>
      <c r="M466" s="429">
        <f ca="1">IF($A466="S",VTOTALBM,IF($A466=0,0,ROUND(SomaAgrupBM,15-13*ORÇAMENTO!$AF$11)))</f>
        <v>0</v>
      </c>
      <c r="N466" s="430">
        <f t="shared" ca="1" si="84"/>
        <v>0</v>
      </c>
      <c r="O466" s="154">
        <f ca="1">IF($A466="S",VTOTALBM,IF($A466=0,0,ROUND(SomaAgrupBM,15-13*ORÇAMENTO!$AF$11)))</f>
        <v>0</v>
      </c>
      <c r="Q466" s="431"/>
      <c r="R466" s="432"/>
      <c r="T466" s="146" t="str">
        <f t="shared" ca="1" si="85"/>
        <v/>
      </c>
      <c r="U466" s="206" t="str">
        <f t="shared" ca="1" si="86"/>
        <v/>
      </c>
      <c r="V466" s="207" t="str">
        <f t="shared" ca="1" si="87"/>
        <v/>
      </c>
      <c r="W466" s="634">
        <f ca="1">IF($Y466&gt;0,CHOOSE(MATCH(RegimeExecucao,{"Unitário","Global"},0),IF($A466="S",$Y466/$X466,""),($Y466/$X466)*100),0)</f>
        <v>0</v>
      </c>
      <c r="X466" s="433" t="str">
        <f ca="1">IF($Y466&gt;0,CHOOSE(MATCH(RegimeExecucao,{"Unitário","Global"},0),IF($A466="S",ROUND($H466,ORÇAMENTO!$AF$10),""),ROUND($I466,ORÇAMENTO!$AF$11)),"")</f>
        <v/>
      </c>
      <c r="Y466" s="433">
        <f t="shared" ca="1" si="88"/>
        <v>0</v>
      </c>
      <c r="Z466" s="434"/>
      <c r="AB466" s="431"/>
      <c r="AC466" s="599"/>
      <c r="AD466" s="599"/>
      <c r="AE466" s="599"/>
      <c r="AF466" s="599"/>
      <c r="AG466" s="599"/>
      <c r="AH466" s="599"/>
      <c r="AI466" s="599"/>
      <c r="AJ466" s="599"/>
      <c r="AK466" s="599"/>
      <c r="AL466" s="599"/>
      <c r="AM466" s="432"/>
      <c r="AO466">
        <f ca="1">IF($A466="S",IF(BM!$I466=0,0,CHOOSE(MATCH(RegimeExecucao,{"Global","Unitário"},0),ROUND(ROUND(BM.MEDAcumulado,15-13*BM!$A$9)/100*BM!$I466,15-13*ORÇAMENTO!$AF$11),ROUND(ROUND(BM.MEDAcumulado,15-13*BM!$A$9)*ROUND(BM!$H466,15-13*ORÇAMENTO!$AF$10),15-13*ORÇAMENTO!$AF$11))),IF($A466=0,0,ROUND(SomaAgrupBM,15-13*ORÇAMENTO!$AF$11)))</f>
        <v>0</v>
      </c>
    </row>
    <row r="467" spans="1:41" ht="13.8" x14ac:dyDescent="0.3">
      <c r="A467" t="str">
        <f ca="1">ORÇAMENTO!C467</f>
        <v>S</v>
      </c>
      <c r="B467">
        <f ca="1">ORÇAMENTO!D467</f>
        <v>0</v>
      </c>
      <c r="C467" s="143" t="str">
        <f t="shared" ca="1" si="78"/>
        <v/>
      </c>
      <c r="D467" s="146" t="str">
        <f ca="1">ORÇAMENTO!O467</f>
        <v>-</v>
      </c>
      <c r="E467" s="206" t="str">
        <f t="shared" ca="1" si="79"/>
        <v>(abra o arquivo 'Referência 05-2024.xls)</v>
      </c>
      <c r="F467" s="207" t="str">
        <f t="shared" ca="1" si="80"/>
        <v>-</v>
      </c>
      <c r="G467" s="151">
        <f ca="1">IF(RegimeExecucao="Global","",ORÇAMENTO!T467)</f>
        <v>15</v>
      </c>
      <c r="H467" s="151">
        <f ca="1">IF(RegimeExecucao="Global","",ORÇAMENTO!W467)</f>
        <v>0</v>
      </c>
      <c r="I467" s="154">
        <f ca="1">ORÇAMENTO!X467</f>
        <v>0</v>
      </c>
      <c r="J467" s="427">
        <f t="shared" ca="1" si="81"/>
        <v>0</v>
      </c>
      <c r="K467" s="151">
        <f t="shared" ca="1" si="82"/>
        <v>0</v>
      </c>
      <c r="L467" s="428">
        <f t="shared" ca="1" si="83"/>
        <v>0</v>
      </c>
      <c r="M467" s="429">
        <f ca="1">IF($A467="S",VTOTALBM,IF($A467=0,0,ROUND(SomaAgrupBM,15-13*ORÇAMENTO!$AF$11)))</f>
        <v>0</v>
      </c>
      <c r="N467" s="430">
        <f t="shared" ca="1" si="84"/>
        <v>0</v>
      </c>
      <c r="O467" s="154">
        <f ca="1">IF($A467="S",VTOTALBM,IF($A467=0,0,ROUND(SomaAgrupBM,15-13*ORÇAMENTO!$AF$11)))</f>
        <v>0</v>
      </c>
      <c r="Q467" s="431"/>
      <c r="R467" s="432"/>
      <c r="T467" s="146" t="str">
        <f t="shared" ca="1" si="85"/>
        <v/>
      </c>
      <c r="U467" s="206" t="str">
        <f t="shared" ca="1" si="86"/>
        <v/>
      </c>
      <c r="V467" s="207" t="str">
        <f t="shared" ca="1" si="87"/>
        <v/>
      </c>
      <c r="W467" s="634">
        <f ca="1">IF($Y467&gt;0,CHOOSE(MATCH(RegimeExecucao,{"Unitário","Global"},0),IF($A467="S",$Y467/$X467,""),($Y467/$X467)*100),0)</f>
        <v>0</v>
      </c>
      <c r="X467" s="433" t="str">
        <f ca="1">IF($Y467&gt;0,CHOOSE(MATCH(RegimeExecucao,{"Unitário","Global"},0),IF($A467="S",ROUND($H467,ORÇAMENTO!$AF$10),""),ROUND($I467,ORÇAMENTO!$AF$11)),"")</f>
        <v/>
      </c>
      <c r="Y467" s="433">
        <f t="shared" ca="1" si="88"/>
        <v>0</v>
      </c>
      <c r="Z467" s="434"/>
      <c r="AB467" s="431"/>
      <c r="AC467" s="599"/>
      <c r="AD467" s="599"/>
      <c r="AE467" s="599"/>
      <c r="AF467" s="599"/>
      <c r="AG467" s="599"/>
      <c r="AH467" s="599"/>
      <c r="AI467" s="599"/>
      <c r="AJ467" s="599"/>
      <c r="AK467" s="599"/>
      <c r="AL467" s="599"/>
      <c r="AM467" s="432"/>
      <c r="AO467">
        <f ca="1">IF($A467="S",IF(BM!$I467=0,0,CHOOSE(MATCH(RegimeExecucao,{"Global","Unitário"},0),ROUND(ROUND(BM.MEDAcumulado,15-13*BM!$A$9)/100*BM!$I467,15-13*ORÇAMENTO!$AF$11),ROUND(ROUND(BM.MEDAcumulado,15-13*BM!$A$9)*ROUND(BM!$H467,15-13*ORÇAMENTO!$AF$10),15-13*ORÇAMENTO!$AF$11))),IF($A467=0,0,ROUND(SomaAgrupBM,15-13*ORÇAMENTO!$AF$11)))</f>
        <v>0</v>
      </c>
    </row>
    <row r="468" spans="1:41" ht="13.8" x14ac:dyDescent="0.3">
      <c r="A468" t="str">
        <f ca="1">ORÇAMENTO!C468</f>
        <v>S</v>
      </c>
      <c r="B468">
        <f ca="1">ORÇAMENTO!D468</f>
        <v>0</v>
      </c>
      <c r="C468" s="143" t="str">
        <f t="shared" ca="1" si="78"/>
        <v/>
      </c>
      <c r="D468" s="146" t="str">
        <f ca="1">ORÇAMENTO!O468</f>
        <v>-</v>
      </c>
      <c r="E468" s="206" t="str">
        <f t="shared" ca="1" si="79"/>
        <v>(abra o arquivo 'Referência 05-2024.xls)</v>
      </c>
      <c r="F468" s="207" t="str">
        <f t="shared" ca="1" si="80"/>
        <v>-</v>
      </c>
      <c r="G468" s="151">
        <f ca="1">IF(RegimeExecucao="Global","",ORÇAMENTO!T468)</f>
        <v>16</v>
      </c>
      <c r="H468" s="151">
        <f ca="1">IF(RegimeExecucao="Global","",ORÇAMENTO!W468)</f>
        <v>0</v>
      </c>
      <c r="I468" s="154">
        <f ca="1">ORÇAMENTO!X468</f>
        <v>0</v>
      </c>
      <c r="J468" s="427">
        <f t="shared" ca="1" si="81"/>
        <v>0</v>
      </c>
      <c r="K468" s="151">
        <f t="shared" ca="1" si="82"/>
        <v>0</v>
      </c>
      <c r="L468" s="428">
        <f t="shared" ca="1" si="83"/>
        <v>0</v>
      </c>
      <c r="M468" s="429">
        <f ca="1">IF($A468="S",VTOTALBM,IF($A468=0,0,ROUND(SomaAgrupBM,15-13*ORÇAMENTO!$AF$11)))</f>
        <v>0</v>
      </c>
      <c r="N468" s="430">
        <f t="shared" ca="1" si="84"/>
        <v>0</v>
      </c>
      <c r="O468" s="154">
        <f ca="1">IF($A468="S",VTOTALBM,IF($A468=0,0,ROUND(SomaAgrupBM,15-13*ORÇAMENTO!$AF$11)))</f>
        <v>0</v>
      </c>
      <c r="Q468" s="431"/>
      <c r="R468" s="432"/>
      <c r="T468" s="146" t="str">
        <f t="shared" ca="1" si="85"/>
        <v/>
      </c>
      <c r="U468" s="206" t="str">
        <f t="shared" ca="1" si="86"/>
        <v/>
      </c>
      <c r="V468" s="207" t="str">
        <f t="shared" ca="1" si="87"/>
        <v/>
      </c>
      <c r="W468" s="634">
        <f ca="1">IF($Y468&gt;0,CHOOSE(MATCH(RegimeExecucao,{"Unitário","Global"},0),IF($A468="S",$Y468/$X468,""),($Y468/$X468)*100),0)</f>
        <v>0</v>
      </c>
      <c r="X468" s="433" t="str">
        <f ca="1">IF($Y468&gt;0,CHOOSE(MATCH(RegimeExecucao,{"Unitário","Global"},0),IF($A468="S",ROUND($H468,ORÇAMENTO!$AF$10),""),ROUND($I468,ORÇAMENTO!$AF$11)),"")</f>
        <v/>
      </c>
      <c r="Y468" s="433">
        <f t="shared" ca="1" si="88"/>
        <v>0</v>
      </c>
      <c r="Z468" s="434"/>
      <c r="AB468" s="431"/>
      <c r="AC468" s="599"/>
      <c r="AD468" s="599"/>
      <c r="AE468" s="599"/>
      <c r="AF468" s="599"/>
      <c r="AG468" s="599"/>
      <c r="AH468" s="599"/>
      <c r="AI468" s="599"/>
      <c r="AJ468" s="599"/>
      <c r="AK468" s="599"/>
      <c r="AL468" s="599"/>
      <c r="AM468" s="432"/>
      <c r="AO468">
        <f ca="1">IF($A468="S",IF(BM!$I468=0,0,CHOOSE(MATCH(RegimeExecucao,{"Global","Unitário"},0),ROUND(ROUND(BM.MEDAcumulado,15-13*BM!$A$9)/100*BM!$I468,15-13*ORÇAMENTO!$AF$11),ROUND(ROUND(BM.MEDAcumulado,15-13*BM!$A$9)*ROUND(BM!$H468,15-13*ORÇAMENTO!$AF$10),15-13*ORÇAMENTO!$AF$11))),IF($A468=0,0,ROUND(SomaAgrupBM,15-13*ORÇAMENTO!$AF$11)))</f>
        <v>0</v>
      </c>
    </row>
    <row r="469" spans="1:41" ht="13.8" x14ac:dyDescent="0.3">
      <c r="A469" t="str">
        <f ca="1">ORÇAMENTO!C469</f>
        <v>S</v>
      </c>
      <c r="B469">
        <f ca="1">ORÇAMENTO!D469</f>
        <v>0</v>
      </c>
      <c r="C469" s="143" t="str">
        <f t="shared" ca="1" si="78"/>
        <v/>
      </c>
      <c r="D469" s="146" t="str">
        <f ca="1">ORÇAMENTO!O469</f>
        <v>-</v>
      </c>
      <c r="E469" s="206" t="str">
        <f t="shared" ca="1" si="79"/>
        <v>(abra o arquivo 'Referência 05-2024.xls)</v>
      </c>
      <c r="F469" s="207" t="str">
        <f t="shared" ca="1" si="80"/>
        <v>-</v>
      </c>
      <c r="G469" s="151">
        <f ca="1">IF(RegimeExecucao="Global","",ORÇAMENTO!T469)</f>
        <v>10</v>
      </c>
      <c r="H469" s="151">
        <f ca="1">IF(RegimeExecucao="Global","",ORÇAMENTO!W469)</f>
        <v>0</v>
      </c>
      <c r="I469" s="154">
        <f ca="1">ORÇAMENTO!X469</f>
        <v>0</v>
      </c>
      <c r="J469" s="427">
        <f t="shared" ca="1" si="81"/>
        <v>0</v>
      </c>
      <c r="K469" s="151">
        <f t="shared" ca="1" si="82"/>
        <v>0</v>
      </c>
      <c r="L469" s="428">
        <f t="shared" ca="1" si="83"/>
        <v>0</v>
      </c>
      <c r="M469" s="429">
        <f ca="1">IF($A469="S",VTOTALBM,IF($A469=0,0,ROUND(SomaAgrupBM,15-13*ORÇAMENTO!$AF$11)))</f>
        <v>0</v>
      </c>
      <c r="N469" s="430">
        <f t="shared" ca="1" si="84"/>
        <v>0</v>
      </c>
      <c r="O469" s="154">
        <f ca="1">IF($A469="S",VTOTALBM,IF($A469=0,0,ROUND(SomaAgrupBM,15-13*ORÇAMENTO!$AF$11)))</f>
        <v>0</v>
      </c>
      <c r="Q469" s="431"/>
      <c r="R469" s="432"/>
      <c r="T469" s="146" t="str">
        <f t="shared" ca="1" si="85"/>
        <v/>
      </c>
      <c r="U469" s="206" t="str">
        <f t="shared" ca="1" si="86"/>
        <v/>
      </c>
      <c r="V469" s="207" t="str">
        <f t="shared" ca="1" si="87"/>
        <v/>
      </c>
      <c r="W469" s="634">
        <f ca="1">IF($Y469&gt;0,CHOOSE(MATCH(RegimeExecucao,{"Unitário","Global"},0),IF($A469="S",$Y469/$X469,""),($Y469/$X469)*100),0)</f>
        <v>0</v>
      </c>
      <c r="X469" s="433" t="str">
        <f ca="1">IF($Y469&gt;0,CHOOSE(MATCH(RegimeExecucao,{"Unitário","Global"},0),IF($A469="S",ROUND($H469,ORÇAMENTO!$AF$10),""),ROUND($I469,ORÇAMENTO!$AF$11)),"")</f>
        <v/>
      </c>
      <c r="Y469" s="433">
        <f t="shared" ca="1" si="88"/>
        <v>0</v>
      </c>
      <c r="Z469" s="434"/>
      <c r="AB469" s="431"/>
      <c r="AC469" s="599"/>
      <c r="AD469" s="599"/>
      <c r="AE469" s="599"/>
      <c r="AF469" s="599"/>
      <c r="AG469" s="599"/>
      <c r="AH469" s="599"/>
      <c r="AI469" s="599"/>
      <c r="AJ469" s="599"/>
      <c r="AK469" s="599"/>
      <c r="AL469" s="599"/>
      <c r="AM469" s="432"/>
      <c r="AO469">
        <f ca="1">IF($A469="S",IF(BM!$I469=0,0,CHOOSE(MATCH(RegimeExecucao,{"Global","Unitário"},0),ROUND(ROUND(BM.MEDAcumulado,15-13*BM!$A$9)/100*BM!$I469,15-13*ORÇAMENTO!$AF$11),ROUND(ROUND(BM.MEDAcumulado,15-13*BM!$A$9)*ROUND(BM!$H469,15-13*ORÇAMENTO!$AF$10),15-13*ORÇAMENTO!$AF$11))),IF($A469=0,0,ROUND(SomaAgrupBM,15-13*ORÇAMENTO!$AF$11)))</f>
        <v>0</v>
      </c>
    </row>
    <row r="470" spans="1:41" ht="13.8" x14ac:dyDescent="0.3">
      <c r="A470" t="str">
        <f ca="1">ORÇAMENTO!C470</f>
        <v>S</v>
      </c>
      <c r="B470">
        <f ca="1">ORÇAMENTO!D470</f>
        <v>0</v>
      </c>
      <c r="C470" s="143" t="str">
        <f t="shared" ca="1" si="78"/>
        <v/>
      </c>
      <c r="D470" s="146" t="str">
        <f ca="1">ORÇAMENTO!O470</f>
        <v>-</v>
      </c>
      <c r="E470" s="206" t="str">
        <f t="shared" ca="1" si="79"/>
        <v>(abra o arquivo 'Referência 05-2024.xls)</v>
      </c>
      <c r="F470" s="207" t="str">
        <f t="shared" ca="1" si="80"/>
        <v>-</v>
      </c>
      <c r="G470" s="151">
        <f ca="1">IF(RegimeExecucao="Global","",ORÇAMENTO!T470)</f>
        <v>10</v>
      </c>
      <c r="H470" s="151">
        <f ca="1">IF(RegimeExecucao="Global","",ORÇAMENTO!W470)</f>
        <v>0</v>
      </c>
      <c r="I470" s="154">
        <f ca="1">ORÇAMENTO!X470</f>
        <v>0</v>
      </c>
      <c r="J470" s="427">
        <f t="shared" ca="1" si="81"/>
        <v>0</v>
      </c>
      <c r="K470" s="151">
        <f t="shared" ca="1" si="82"/>
        <v>0</v>
      </c>
      <c r="L470" s="428">
        <f t="shared" ca="1" si="83"/>
        <v>0</v>
      </c>
      <c r="M470" s="429">
        <f ca="1">IF($A470="S",VTOTALBM,IF($A470=0,0,ROUND(SomaAgrupBM,15-13*ORÇAMENTO!$AF$11)))</f>
        <v>0</v>
      </c>
      <c r="N470" s="430">
        <f t="shared" ca="1" si="84"/>
        <v>0</v>
      </c>
      <c r="O470" s="154">
        <f ca="1">IF($A470="S",VTOTALBM,IF($A470=0,0,ROUND(SomaAgrupBM,15-13*ORÇAMENTO!$AF$11)))</f>
        <v>0</v>
      </c>
      <c r="Q470" s="431"/>
      <c r="R470" s="432"/>
      <c r="T470" s="146" t="str">
        <f t="shared" ca="1" si="85"/>
        <v/>
      </c>
      <c r="U470" s="206" t="str">
        <f t="shared" ca="1" si="86"/>
        <v/>
      </c>
      <c r="V470" s="207" t="str">
        <f t="shared" ca="1" si="87"/>
        <v/>
      </c>
      <c r="W470" s="634">
        <f ca="1">IF($Y470&gt;0,CHOOSE(MATCH(RegimeExecucao,{"Unitário","Global"},0),IF($A470="S",$Y470/$X470,""),($Y470/$X470)*100),0)</f>
        <v>0</v>
      </c>
      <c r="X470" s="433" t="str">
        <f ca="1">IF($Y470&gt;0,CHOOSE(MATCH(RegimeExecucao,{"Unitário","Global"},0),IF($A470="S",ROUND($H470,ORÇAMENTO!$AF$10),""),ROUND($I470,ORÇAMENTO!$AF$11)),"")</f>
        <v/>
      </c>
      <c r="Y470" s="433">
        <f t="shared" ca="1" si="88"/>
        <v>0</v>
      </c>
      <c r="Z470" s="434"/>
      <c r="AB470" s="431"/>
      <c r="AC470" s="599"/>
      <c r="AD470" s="599"/>
      <c r="AE470" s="599"/>
      <c r="AF470" s="599"/>
      <c r="AG470" s="599"/>
      <c r="AH470" s="599"/>
      <c r="AI470" s="599"/>
      <c r="AJ470" s="599"/>
      <c r="AK470" s="599"/>
      <c r="AL470" s="599"/>
      <c r="AM470" s="432"/>
      <c r="AO470">
        <f ca="1">IF($A470="S",IF(BM!$I470=0,0,CHOOSE(MATCH(RegimeExecucao,{"Global","Unitário"},0),ROUND(ROUND(BM.MEDAcumulado,15-13*BM!$A$9)/100*BM!$I470,15-13*ORÇAMENTO!$AF$11),ROUND(ROUND(BM.MEDAcumulado,15-13*BM!$A$9)*ROUND(BM!$H470,15-13*ORÇAMENTO!$AF$10),15-13*ORÇAMENTO!$AF$11))),IF($A470=0,0,ROUND(SomaAgrupBM,15-13*ORÇAMENTO!$AF$11)))</f>
        <v>0</v>
      </c>
    </row>
    <row r="471" spans="1:41" ht="13.8" x14ac:dyDescent="0.3">
      <c r="A471" t="str">
        <f ca="1">ORÇAMENTO!C471</f>
        <v>S</v>
      </c>
      <c r="B471">
        <f ca="1">ORÇAMENTO!D471</f>
        <v>0</v>
      </c>
      <c r="C471" s="143" t="str">
        <f t="shared" ca="1" si="78"/>
        <v/>
      </c>
      <c r="D471" s="146" t="str">
        <f ca="1">ORÇAMENTO!O471</f>
        <v>-</v>
      </c>
      <c r="E471" s="206" t="str">
        <f t="shared" ca="1" si="79"/>
        <v>(abra o arquivo 'Referência 05-2024.xls)</v>
      </c>
      <c r="F471" s="207" t="str">
        <f t="shared" ca="1" si="80"/>
        <v>-</v>
      </c>
      <c r="G471" s="151">
        <f ca="1">IF(RegimeExecucao="Global","",ORÇAMENTO!T471)</f>
        <v>12</v>
      </c>
      <c r="H471" s="151">
        <f ca="1">IF(RegimeExecucao="Global","",ORÇAMENTO!W471)</f>
        <v>0</v>
      </c>
      <c r="I471" s="154">
        <f ca="1">ORÇAMENTO!X471</f>
        <v>0</v>
      </c>
      <c r="J471" s="427">
        <f t="shared" ca="1" si="81"/>
        <v>0</v>
      </c>
      <c r="K471" s="151">
        <f t="shared" ca="1" si="82"/>
        <v>0</v>
      </c>
      <c r="L471" s="428">
        <f t="shared" ca="1" si="83"/>
        <v>0</v>
      </c>
      <c r="M471" s="429">
        <f ca="1">IF($A471="S",VTOTALBM,IF($A471=0,0,ROUND(SomaAgrupBM,15-13*ORÇAMENTO!$AF$11)))</f>
        <v>0</v>
      </c>
      <c r="N471" s="430">
        <f t="shared" ca="1" si="84"/>
        <v>0</v>
      </c>
      <c r="O471" s="154">
        <f ca="1">IF($A471="S",VTOTALBM,IF($A471=0,0,ROUND(SomaAgrupBM,15-13*ORÇAMENTO!$AF$11)))</f>
        <v>0</v>
      </c>
      <c r="Q471" s="431"/>
      <c r="R471" s="432"/>
      <c r="T471" s="146" t="str">
        <f t="shared" ca="1" si="85"/>
        <v/>
      </c>
      <c r="U471" s="206" t="str">
        <f t="shared" ca="1" si="86"/>
        <v/>
      </c>
      <c r="V471" s="207" t="str">
        <f t="shared" ca="1" si="87"/>
        <v/>
      </c>
      <c r="W471" s="634">
        <f ca="1">IF($Y471&gt;0,CHOOSE(MATCH(RegimeExecucao,{"Unitário","Global"},0),IF($A471="S",$Y471/$X471,""),($Y471/$X471)*100),0)</f>
        <v>0</v>
      </c>
      <c r="X471" s="433" t="str">
        <f ca="1">IF($Y471&gt;0,CHOOSE(MATCH(RegimeExecucao,{"Unitário","Global"},0),IF($A471="S",ROUND($H471,ORÇAMENTO!$AF$10),""),ROUND($I471,ORÇAMENTO!$AF$11)),"")</f>
        <v/>
      </c>
      <c r="Y471" s="433">
        <f t="shared" ca="1" si="88"/>
        <v>0</v>
      </c>
      <c r="Z471" s="434"/>
      <c r="AB471" s="431"/>
      <c r="AC471" s="599"/>
      <c r="AD471" s="599"/>
      <c r="AE471" s="599"/>
      <c r="AF471" s="599"/>
      <c r="AG471" s="599"/>
      <c r="AH471" s="599"/>
      <c r="AI471" s="599"/>
      <c r="AJ471" s="599"/>
      <c r="AK471" s="599"/>
      <c r="AL471" s="599"/>
      <c r="AM471" s="432"/>
      <c r="AO471">
        <f ca="1">IF($A471="S",IF(BM!$I471=0,0,CHOOSE(MATCH(RegimeExecucao,{"Global","Unitário"},0),ROUND(ROUND(BM.MEDAcumulado,15-13*BM!$A$9)/100*BM!$I471,15-13*ORÇAMENTO!$AF$11),ROUND(ROUND(BM.MEDAcumulado,15-13*BM!$A$9)*ROUND(BM!$H471,15-13*ORÇAMENTO!$AF$10),15-13*ORÇAMENTO!$AF$11))),IF($A471=0,0,ROUND(SomaAgrupBM,15-13*ORÇAMENTO!$AF$11)))</f>
        <v>0</v>
      </c>
    </row>
    <row r="472" spans="1:41" ht="13.8" x14ac:dyDescent="0.3">
      <c r="A472" t="str">
        <f ca="1">ORÇAMENTO!C472</f>
        <v>S</v>
      </c>
      <c r="B472">
        <f ca="1">ORÇAMENTO!D472</f>
        <v>0</v>
      </c>
      <c r="C472" s="143" t="str">
        <f t="shared" ca="1" si="78"/>
        <v/>
      </c>
      <c r="D472" s="146" t="str">
        <f ca="1">ORÇAMENTO!O472</f>
        <v>-</v>
      </c>
      <c r="E472" s="206" t="str">
        <f t="shared" ca="1" si="79"/>
        <v>(abra o arquivo 'Referência 05-2024.xls)</v>
      </c>
      <c r="F472" s="207" t="str">
        <f t="shared" ca="1" si="80"/>
        <v>-</v>
      </c>
      <c r="G472" s="151">
        <f ca="1">IF(RegimeExecucao="Global","",ORÇAMENTO!T472)</f>
        <v>12</v>
      </c>
      <c r="H472" s="151">
        <f ca="1">IF(RegimeExecucao="Global","",ORÇAMENTO!W472)</f>
        <v>0</v>
      </c>
      <c r="I472" s="154">
        <f ca="1">ORÇAMENTO!X472</f>
        <v>0</v>
      </c>
      <c r="J472" s="427">
        <f t="shared" ca="1" si="81"/>
        <v>0</v>
      </c>
      <c r="K472" s="151">
        <f t="shared" ca="1" si="82"/>
        <v>0</v>
      </c>
      <c r="L472" s="428">
        <f t="shared" ca="1" si="83"/>
        <v>0</v>
      </c>
      <c r="M472" s="429">
        <f ca="1">IF($A472="S",VTOTALBM,IF($A472=0,0,ROUND(SomaAgrupBM,15-13*ORÇAMENTO!$AF$11)))</f>
        <v>0</v>
      </c>
      <c r="N472" s="430">
        <f t="shared" ca="1" si="84"/>
        <v>0</v>
      </c>
      <c r="O472" s="154">
        <f ca="1">IF($A472="S",VTOTALBM,IF($A472=0,0,ROUND(SomaAgrupBM,15-13*ORÇAMENTO!$AF$11)))</f>
        <v>0</v>
      </c>
      <c r="Q472" s="431"/>
      <c r="R472" s="432"/>
      <c r="T472" s="146" t="str">
        <f t="shared" ca="1" si="85"/>
        <v/>
      </c>
      <c r="U472" s="206" t="str">
        <f t="shared" ca="1" si="86"/>
        <v/>
      </c>
      <c r="V472" s="207" t="str">
        <f t="shared" ca="1" si="87"/>
        <v/>
      </c>
      <c r="W472" s="634">
        <f ca="1">IF($Y472&gt;0,CHOOSE(MATCH(RegimeExecucao,{"Unitário","Global"},0),IF($A472="S",$Y472/$X472,""),($Y472/$X472)*100),0)</f>
        <v>0</v>
      </c>
      <c r="X472" s="433" t="str">
        <f ca="1">IF($Y472&gt;0,CHOOSE(MATCH(RegimeExecucao,{"Unitário","Global"},0),IF($A472="S",ROUND($H472,ORÇAMENTO!$AF$10),""),ROUND($I472,ORÇAMENTO!$AF$11)),"")</f>
        <v/>
      </c>
      <c r="Y472" s="433">
        <f t="shared" ca="1" si="88"/>
        <v>0</v>
      </c>
      <c r="Z472" s="434"/>
      <c r="AB472" s="431"/>
      <c r="AC472" s="599"/>
      <c r="AD472" s="599"/>
      <c r="AE472" s="599"/>
      <c r="AF472" s="599"/>
      <c r="AG472" s="599"/>
      <c r="AH472" s="599"/>
      <c r="AI472" s="599"/>
      <c r="AJ472" s="599"/>
      <c r="AK472" s="599"/>
      <c r="AL472" s="599"/>
      <c r="AM472" s="432"/>
      <c r="AO472">
        <f ca="1">IF($A472="S",IF(BM!$I472=0,0,CHOOSE(MATCH(RegimeExecucao,{"Global","Unitário"},0),ROUND(ROUND(BM.MEDAcumulado,15-13*BM!$A$9)/100*BM!$I472,15-13*ORÇAMENTO!$AF$11),ROUND(ROUND(BM.MEDAcumulado,15-13*BM!$A$9)*ROUND(BM!$H472,15-13*ORÇAMENTO!$AF$10),15-13*ORÇAMENTO!$AF$11))),IF($A472=0,0,ROUND(SomaAgrupBM,15-13*ORÇAMENTO!$AF$11)))</f>
        <v>0</v>
      </c>
    </row>
    <row r="473" spans="1:41" ht="13.8" x14ac:dyDescent="0.3">
      <c r="A473" t="str">
        <f ca="1">ORÇAMENTO!C473</f>
        <v>S</v>
      </c>
      <c r="B473">
        <f ca="1">ORÇAMENTO!D473</f>
        <v>0</v>
      </c>
      <c r="C473" s="143" t="str">
        <f t="shared" ca="1" si="78"/>
        <v/>
      </c>
      <c r="D473" s="146" t="str">
        <f ca="1">ORÇAMENTO!O473</f>
        <v>-</v>
      </c>
      <c r="E473" s="206" t="str">
        <f t="shared" ca="1" si="79"/>
        <v>(abra o arquivo 'Referência 05-2024.xls)</v>
      </c>
      <c r="F473" s="207" t="str">
        <f t="shared" ca="1" si="80"/>
        <v>-</v>
      </c>
      <c r="G473" s="151">
        <f ca="1">IF(RegimeExecucao="Global","",ORÇAMENTO!T473)</f>
        <v>2</v>
      </c>
      <c r="H473" s="151">
        <f ca="1">IF(RegimeExecucao="Global","",ORÇAMENTO!W473)</f>
        <v>0</v>
      </c>
      <c r="I473" s="154">
        <f ca="1">ORÇAMENTO!X473</f>
        <v>0</v>
      </c>
      <c r="J473" s="427">
        <f t="shared" ca="1" si="81"/>
        <v>0</v>
      </c>
      <c r="K473" s="151">
        <f t="shared" ca="1" si="82"/>
        <v>0</v>
      </c>
      <c r="L473" s="428">
        <f t="shared" ca="1" si="83"/>
        <v>0</v>
      </c>
      <c r="M473" s="429">
        <f ca="1">IF($A473="S",VTOTALBM,IF($A473=0,0,ROUND(SomaAgrupBM,15-13*ORÇAMENTO!$AF$11)))</f>
        <v>0</v>
      </c>
      <c r="N473" s="430">
        <f t="shared" ca="1" si="84"/>
        <v>0</v>
      </c>
      <c r="O473" s="154">
        <f ca="1">IF($A473="S",VTOTALBM,IF($A473=0,0,ROUND(SomaAgrupBM,15-13*ORÇAMENTO!$AF$11)))</f>
        <v>0</v>
      </c>
      <c r="Q473" s="431"/>
      <c r="R473" s="432"/>
      <c r="T473" s="146" t="str">
        <f t="shared" ca="1" si="85"/>
        <v/>
      </c>
      <c r="U473" s="206" t="str">
        <f t="shared" ca="1" si="86"/>
        <v/>
      </c>
      <c r="V473" s="207" t="str">
        <f t="shared" ca="1" si="87"/>
        <v/>
      </c>
      <c r="W473" s="634">
        <f ca="1">IF($Y473&gt;0,CHOOSE(MATCH(RegimeExecucao,{"Unitário","Global"},0),IF($A473="S",$Y473/$X473,""),($Y473/$X473)*100),0)</f>
        <v>0</v>
      </c>
      <c r="X473" s="433" t="str">
        <f ca="1">IF($Y473&gt;0,CHOOSE(MATCH(RegimeExecucao,{"Unitário","Global"},0),IF($A473="S",ROUND($H473,ORÇAMENTO!$AF$10),""),ROUND($I473,ORÇAMENTO!$AF$11)),"")</f>
        <v/>
      </c>
      <c r="Y473" s="433">
        <f t="shared" ca="1" si="88"/>
        <v>0</v>
      </c>
      <c r="Z473" s="434"/>
      <c r="AB473" s="431"/>
      <c r="AC473" s="599"/>
      <c r="AD473" s="599"/>
      <c r="AE473" s="599"/>
      <c r="AF473" s="599"/>
      <c r="AG473" s="599"/>
      <c r="AH473" s="599"/>
      <c r="AI473" s="599"/>
      <c r="AJ473" s="599"/>
      <c r="AK473" s="599"/>
      <c r="AL473" s="599"/>
      <c r="AM473" s="432"/>
      <c r="AO473">
        <f ca="1">IF($A473="S",IF(BM!$I473=0,0,CHOOSE(MATCH(RegimeExecucao,{"Global","Unitário"},0),ROUND(ROUND(BM.MEDAcumulado,15-13*BM!$A$9)/100*BM!$I473,15-13*ORÇAMENTO!$AF$11),ROUND(ROUND(BM.MEDAcumulado,15-13*BM!$A$9)*ROUND(BM!$H473,15-13*ORÇAMENTO!$AF$10),15-13*ORÇAMENTO!$AF$11))),IF($A473=0,0,ROUND(SomaAgrupBM,15-13*ORÇAMENTO!$AF$11)))</f>
        <v>0</v>
      </c>
    </row>
    <row r="474" spans="1:41" ht="13.8" x14ac:dyDescent="0.3">
      <c r="A474" t="str">
        <f ca="1">ORÇAMENTO!C474</f>
        <v>S</v>
      </c>
      <c r="B474">
        <f ca="1">ORÇAMENTO!D474</f>
        <v>0</v>
      </c>
      <c r="C474" s="143" t="str">
        <f t="shared" ca="1" si="78"/>
        <v/>
      </c>
      <c r="D474" s="146" t="str">
        <f ca="1">ORÇAMENTO!O474</f>
        <v>-</v>
      </c>
      <c r="E474" s="206" t="str">
        <f t="shared" ca="1" si="79"/>
        <v>(abra o arquivo 'Referência 05-2024.xls)</v>
      </c>
      <c r="F474" s="207" t="str">
        <f t="shared" ca="1" si="80"/>
        <v>-</v>
      </c>
      <c r="G474" s="151">
        <f ca="1">IF(RegimeExecucao="Global","",ORÇAMENTO!T474)</f>
        <v>2</v>
      </c>
      <c r="H474" s="151">
        <f ca="1">IF(RegimeExecucao="Global","",ORÇAMENTO!W474)</f>
        <v>0</v>
      </c>
      <c r="I474" s="154">
        <f ca="1">ORÇAMENTO!X474</f>
        <v>0</v>
      </c>
      <c r="J474" s="427">
        <f t="shared" ca="1" si="81"/>
        <v>0</v>
      </c>
      <c r="K474" s="151">
        <f t="shared" ca="1" si="82"/>
        <v>0</v>
      </c>
      <c r="L474" s="428">
        <f t="shared" ca="1" si="83"/>
        <v>0</v>
      </c>
      <c r="M474" s="429">
        <f ca="1">IF($A474="S",VTOTALBM,IF($A474=0,0,ROUND(SomaAgrupBM,15-13*ORÇAMENTO!$AF$11)))</f>
        <v>0</v>
      </c>
      <c r="N474" s="430">
        <f t="shared" ca="1" si="84"/>
        <v>0</v>
      </c>
      <c r="O474" s="154">
        <f ca="1">IF($A474="S",VTOTALBM,IF($A474=0,0,ROUND(SomaAgrupBM,15-13*ORÇAMENTO!$AF$11)))</f>
        <v>0</v>
      </c>
      <c r="Q474" s="431"/>
      <c r="R474" s="432"/>
      <c r="T474" s="146" t="str">
        <f t="shared" ca="1" si="85"/>
        <v/>
      </c>
      <c r="U474" s="206" t="str">
        <f t="shared" ca="1" si="86"/>
        <v/>
      </c>
      <c r="V474" s="207" t="str">
        <f t="shared" ca="1" si="87"/>
        <v/>
      </c>
      <c r="W474" s="634">
        <f ca="1">IF($Y474&gt;0,CHOOSE(MATCH(RegimeExecucao,{"Unitário","Global"},0),IF($A474="S",$Y474/$X474,""),($Y474/$X474)*100),0)</f>
        <v>0</v>
      </c>
      <c r="X474" s="433" t="str">
        <f ca="1">IF($Y474&gt;0,CHOOSE(MATCH(RegimeExecucao,{"Unitário","Global"},0),IF($A474="S",ROUND($H474,ORÇAMENTO!$AF$10),""),ROUND($I474,ORÇAMENTO!$AF$11)),"")</f>
        <v/>
      </c>
      <c r="Y474" s="433">
        <f t="shared" ca="1" si="88"/>
        <v>0</v>
      </c>
      <c r="Z474" s="434"/>
      <c r="AB474" s="431"/>
      <c r="AC474" s="599"/>
      <c r="AD474" s="599"/>
      <c r="AE474" s="599"/>
      <c r="AF474" s="599"/>
      <c r="AG474" s="599"/>
      <c r="AH474" s="599"/>
      <c r="AI474" s="599"/>
      <c r="AJ474" s="599"/>
      <c r="AK474" s="599"/>
      <c r="AL474" s="599"/>
      <c r="AM474" s="432"/>
      <c r="AO474">
        <f ca="1">IF($A474="S",IF(BM!$I474=0,0,CHOOSE(MATCH(RegimeExecucao,{"Global","Unitário"},0),ROUND(ROUND(BM.MEDAcumulado,15-13*BM!$A$9)/100*BM!$I474,15-13*ORÇAMENTO!$AF$11),ROUND(ROUND(BM.MEDAcumulado,15-13*BM!$A$9)*ROUND(BM!$H474,15-13*ORÇAMENTO!$AF$10),15-13*ORÇAMENTO!$AF$11))),IF($A474=0,0,ROUND(SomaAgrupBM,15-13*ORÇAMENTO!$AF$11)))</f>
        <v>0</v>
      </c>
    </row>
    <row r="475" spans="1:41" ht="13.8" x14ac:dyDescent="0.3">
      <c r="A475" t="str">
        <f ca="1">ORÇAMENTO!C475</f>
        <v>S</v>
      </c>
      <c r="B475">
        <f ca="1">ORÇAMENTO!D475</f>
        <v>0</v>
      </c>
      <c r="C475" s="143" t="str">
        <f t="shared" ca="1" si="78"/>
        <v/>
      </c>
      <c r="D475" s="146" t="str">
        <f ca="1">ORÇAMENTO!O475</f>
        <v>-</v>
      </c>
      <c r="E475" s="206" t="str">
        <f t="shared" ca="1" si="79"/>
        <v>(abra o arquivo 'Referência 05-2024.xls)</v>
      </c>
      <c r="F475" s="207" t="str">
        <f t="shared" ca="1" si="80"/>
        <v>-</v>
      </c>
      <c r="G475" s="151">
        <f ca="1">IF(RegimeExecucao="Global","",ORÇAMENTO!T475)</f>
        <v>3</v>
      </c>
      <c r="H475" s="151">
        <f ca="1">IF(RegimeExecucao="Global","",ORÇAMENTO!W475)</f>
        <v>0</v>
      </c>
      <c r="I475" s="154">
        <f ca="1">ORÇAMENTO!X475</f>
        <v>0</v>
      </c>
      <c r="J475" s="427">
        <f t="shared" ca="1" si="81"/>
        <v>0</v>
      </c>
      <c r="K475" s="151">
        <f t="shared" ca="1" si="82"/>
        <v>0</v>
      </c>
      <c r="L475" s="428">
        <f t="shared" ca="1" si="83"/>
        <v>0</v>
      </c>
      <c r="M475" s="429">
        <f ca="1">IF($A475="S",VTOTALBM,IF($A475=0,0,ROUND(SomaAgrupBM,15-13*ORÇAMENTO!$AF$11)))</f>
        <v>0</v>
      </c>
      <c r="N475" s="430">
        <f t="shared" ca="1" si="84"/>
        <v>0</v>
      </c>
      <c r="O475" s="154">
        <f ca="1">IF($A475="S",VTOTALBM,IF($A475=0,0,ROUND(SomaAgrupBM,15-13*ORÇAMENTO!$AF$11)))</f>
        <v>0</v>
      </c>
      <c r="Q475" s="431"/>
      <c r="R475" s="432"/>
      <c r="T475" s="146" t="str">
        <f t="shared" ca="1" si="85"/>
        <v/>
      </c>
      <c r="U475" s="206" t="str">
        <f t="shared" ca="1" si="86"/>
        <v/>
      </c>
      <c r="V475" s="207" t="str">
        <f t="shared" ca="1" si="87"/>
        <v/>
      </c>
      <c r="W475" s="634">
        <f ca="1">IF($Y475&gt;0,CHOOSE(MATCH(RegimeExecucao,{"Unitário","Global"},0),IF($A475="S",$Y475/$X475,""),($Y475/$X475)*100),0)</f>
        <v>0</v>
      </c>
      <c r="X475" s="433" t="str">
        <f ca="1">IF($Y475&gt;0,CHOOSE(MATCH(RegimeExecucao,{"Unitário","Global"},0),IF($A475="S",ROUND($H475,ORÇAMENTO!$AF$10),""),ROUND($I475,ORÇAMENTO!$AF$11)),"")</f>
        <v/>
      </c>
      <c r="Y475" s="433">
        <f t="shared" ca="1" si="88"/>
        <v>0</v>
      </c>
      <c r="Z475" s="434"/>
      <c r="AB475" s="431"/>
      <c r="AC475" s="599"/>
      <c r="AD475" s="599"/>
      <c r="AE475" s="599"/>
      <c r="AF475" s="599"/>
      <c r="AG475" s="599"/>
      <c r="AH475" s="599"/>
      <c r="AI475" s="599"/>
      <c r="AJ475" s="599"/>
      <c r="AK475" s="599"/>
      <c r="AL475" s="599"/>
      <c r="AM475" s="432"/>
      <c r="AO475">
        <f ca="1">IF($A475="S",IF(BM!$I475=0,0,CHOOSE(MATCH(RegimeExecucao,{"Global","Unitário"},0),ROUND(ROUND(BM.MEDAcumulado,15-13*BM!$A$9)/100*BM!$I475,15-13*ORÇAMENTO!$AF$11),ROUND(ROUND(BM.MEDAcumulado,15-13*BM!$A$9)*ROUND(BM!$H475,15-13*ORÇAMENTO!$AF$10),15-13*ORÇAMENTO!$AF$11))),IF($A475=0,0,ROUND(SomaAgrupBM,15-13*ORÇAMENTO!$AF$11)))</f>
        <v>0</v>
      </c>
    </row>
    <row r="476" spans="1:41" ht="13.8" x14ac:dyDescent="0.3">
      <c r="A476" t="str">
        <f ca="1">ORÇAMENTO!C476</f>
        <v>S</v>
      </c>
      <c r="B476">
        <f ca="1">ORÇAMENTO!D476</f>
        <v>0</v>
      </c>
      <c r="C476" s="143" t="str">
        <f t="shared" ca="1" si="78"/>
        <v/>
      </c>
      <c r="D476" s="146" t="str">
        <f ca="1">ORÇAMENTO!O476</f>
        <v>-</v>
      </c>
      <c r="E476" s="206" t="str">
        <f t="shared" ca="1" si="79"/>
        <v>(abra o arquivo 'Referência 05-2024.xls)</v>
      </c>
      <c r="F476" s="207" t="str">
        <f t="shared" ca="1" si="80"/>
        <v>-</v>
      </c>
      <c r="G476" s="151">
        <f ca="1">IF(RegimeExecucao="Global","",ORÇAMENTO!T476)</f>
        <v>10</v>
      </c>
      <c r="H476" s="151">
        <f ca="1">IF(RegimeExecucao="Global","",ORÇAMENTO!W476)</f>
        <v>0</v>
      </c>
      <c r="I476" s="154">
        <f ca="1">ORÇAMENTO!X476</f>
        <v>0</v>
      </c>
      <c r="J476" s="427">
        <f t="shared" ca="1" si="81"/>
        <v>0</v>
      </c>
      <c r="K476" s="151">
        <f t="shared" ca="1" si="82"/>
        <v>0</v>
      </c>
      <c r="L476" s="428">
        <f t="shared" ca="1" si="83"/>
        <v>0</v>
      </c>
      <c r="M476" s="429">
        <f ca="1">IF($A476="S",VTOTALBM,IF($A476=0,0,ROUND(SomaAgrupBM,15-13*ORÇAMENTO!$AF$11)))</f>
        <v>0</v>
      </c>
      <c r="N476" s="430">
        <f t="shared" ca="1" si="84"/>
        <v>0</v>
      </c>
      <c r="O476" s="154">
        <f ca="1">IF($A476="S",VTOTALBM,IF($A476=0,0,ROUND(SomaAgrupBM,15-13*ORÇAMENTO!$AF$11)))</f>
        <v>0</v>
      </c>
      <c r="Q476" s="431"/>
      <c r="R476" s="432"/>
      <c r="T476" s="146" t="str">
        <f t="shared" ca="1" si="85"/>
        <v/>
      </c>
      <c r="U476" s="206" t="str">
        <f t="shared" ca="1" si="86"/>
        <v/>
      </c>
      <c r="V476" s="207" t="str">
        <f t="shared" ca="1" si="87"/>
        <v/>
      </c>
      <c r="W476" s="634">
        <f ca="1">IF($Y476&gt;0,CHOOSE(MATCH(RegimeExecucao,{"Unitário","Global"},0),IF($A476="S",$Y476/$X476,""),($Y476/$X476)*100),0)</f>
        <v>0</v>
      </c>
      <c r="X476" s="433" t="str">
        <f ca="1">IF($Y476&gt;0,CHOOSE(MATCH(RegimeExecucao,{"Unitário","Global"},0),IF($A476="S",ROUND($H476,ORÇAMENTO!$AF$10),""),ROUND($I476,ORÇAMENTO!$AF$11)),"")</f>
        <v/>
      </c>
      <c r="Y476" s="433">
        <f t="shared" ca="1" si="88"/>
        <v>0</v>
      </c>
      <c r="Z476" s="434"/>
      <c r="AB476" s="431"/>
      <c r="AC476" s="599"/>
      <c r="AD476" s="599"/>
      <c r="AE476" s="599"/>
      <c r="AF476" s="599"/>
      <c r="AG476" s="599"/>
      <c r="AH476" s="599"/>
      <c r="AI476" s="599"/>
      <c r="AJ476" s="599"/>
      <c r="AK476" s="599"/>
      <c r="AL476" s="599"/>
      <c r="AM476" s="432"/>
      <c r="AO476">
        <f ca="1">IF($A476="S",IF(BM!$I476=0,0,CHOOSE(MATCH(RegimeExecucao,{"Global","Unitário"},0),ROUND(ROUND(BM.MEDAcumulado,15-13*BM!$A$9)/100*BM!$I476,15-13*ORÇAMENTO!$AF$11),ROUND(ROUND(BM.MEDAcumulado,15-13*BM!$A$9)*ROUND(BM!$H476,15-13*ORÇAMENTO!$AF$10),15-13*ORÇAMENTO!$AF$11))),IF($A476=0,0,ROUND(SomaAgrupBM,15-13*ORÇAMENTO!$AF$11)))</f>
        <v>0</v>
      </c>
    </row>
    <row r="477" spans="1:41" ht="13.8" x14ac:dyDescent="0.3">
      <c r="A477" t="str">
        <f ca="1">ORÇAMENTO!C477</f>
        <v>S</v>
      </c>
      <c r="B477">
        <f ca="1">ORÇAMENTO!D477</f>
        <v>0</v>
      </c>
      <c r="C477" s="143" t="str">
        <f t="shared" ca="1" si="78"/>
        <v/>
      </c>
      <c r="D477" s="146" t="str">
        <f ca="1">ORÇAMENTO!O477</f>
        <v>-</v>
      </c>
      <c r="E477" s="206" t="str">
        <f t="shared" ca="1" si="79"/>
        <v>(abra o arquivo 'Referência 05-2024.xls)</v>
      </c>
      <c r="F477" s="207" t="str">
        <f t="shared" ca="1" si="80"/>
        <v>-</v>
      </c>
      <c r="G477" s="151">
        <f ca="1">IF(RegimeExecucao="Global","",ORÇAMENTO!T477)</f>
        <v>30</v>
      </c>
      <c r="H477" s="151">
        <f ca="1">IF(RegimeExecucao="Global","",ORÇAMENTO!W477)</f>
        <v>0</v>
      </c>
      <c r="I477" s="154">
        <f ca="1">ORÇAMENTO!X477</f>
        <v>0</v>
      </c>
      <c r="J477" s="427">
        <f t="shared" ca="1" si="81"/>
        <v>0</v>
      </c>
      <c r="K477" s="151">
        <f t="shared" ca="1" si="82"/>
        <v>0</v>
      </c>
      <c r="L477" s="428">
        <f t="shared" ca="1" si="83"/>
        <v>0</v>
      </c>
      <c r="M477" s="429">
        <f ca="1">IF($A477="S",VTOTALBM,IF($A477=0,0,ROUND(SomaAgrupBM,15-13*ORÇAMENTO!$AF$11)))</f>
        <v>0</v>
      </c>
      <c r="N477" s="430">
        <f t="shared" ca="1" si="84"/>
        <v>0</v>
      </c>
      <c r="O477" s="154">
        <f ca="1">IF($A477="S",VTOTALBM,IF($A477=0,0,ROUND(SomaAgrupBM,15-13*ORÇAMENTO!$AF$11)))</f>
        <v>0</v>
      </c>
      <c r="Q477" s="431"/>
      <c r="R477" s="432"/>
      <c r="T477" s="146" t="str">
        <f t="shared" ca="1" si="85"/>
        <v/>
      </c>
      <c r="U477" s="206" t="str">
        <f t="shared" ca="1" si="86"/>
        <v/>
      </c>
      <c r="V477" s="207" t="str">
        <f t="shared" ca="1" si="87"/>
        <v/>
      </c>
      <c r="W477" s="634">
        <f ca="1">IF($Y477&gt;0,CHOOSE(MATCH(RegimeExecucao,{"Unitário","Global"},0),IF($A477="S",$Y477/$X477,""),($Y477/$X477)*100),0)</f>
        <v>0</v>
      </c>
      <c r="X477" s="433" t="str">
        <f ca="1">IF($Y477&gt;0,CHOOSE(MATCH(RegimeExecucao,{"Unitário","Global"},0),IF($A477="S",ROUND($H477,ORÇAMENTO!$AF$10),""),ROUND($I477,ORÇAMENTO!$AF$11)),"")</f>
        <v/>
      </c>
      <c r="Y477" s="433">
        <f t="shared" ca="1" si="88"/>
        <v>0</v>
      </c>
      <c r="Z477" s="434"/>
      <c r="AB477" s="431"/>
      <c r="AC477" s="599"/>
      <c r="AD477" s="599"/>
      <c r="AE477" s="599"/>
      <c r="AF477" s="599"/>
      <c r="AG477" s="599"/>
      <c r="AH477" s="599"/>
      <c r="AI477" s="599"/>
      <c r="AJ477" s="599"/>
      <c r="AK477" s="599"/>
      <c r="AL477" s="599"/>
      <c r="AM477" s="432"/>
      <c r="AO477">
        <f ca="1">IF($A477="S",IF(BM!$I477=0,0,CHOOSE(MATCH(RegimeExecucao,{"Global","Unitário"},0),ROUND(ROUND(BM.MEDAcumulado,15-13*BM!$A$9)/100*BM!$I477,15-13*ORÇAMENTO!$AF$11),ROUND(ROUND(BM.MEDAcumulado,15-13*BM!$A$9)*ROUND(BM!$H477,15-13*ORÇAMENTO!$AF$10),15-13*ORÇAMENTO!$AF$11))),IF($A477=0,0,ROUND(SomaAgrupBM,15-13*ORÇAMENTO!$AF$11)))</f>
        <v>0</v>
      </c>
    </row>
    <row r="478" spans="1:41" ht="13.8" x14ac:dyDescent="0.3">
      <c r="A478" t="str">
        <f ca="1">ORÇAMENTO!C478</f>
        <v>S</v>
      </c>
      <c r="B478">
        <f ca="1">ORÇAMENTO!D478</f>
        <v>0</v>
      </c>
      <c r="C478" s="143" t="str">
        <f t="shared" ca="1" si="78"/>
        <v/>
      </c>
      <c r="D478" s="146" t="str">
        <f ca="1">ORÇAMENTO!O478</f>
        <v>-</v>
      </c>
      <c r="E478" s="206" t="str">
        <f t="shared" ca="1" si="79"/>
        <v>(abra o arquivo 'Referência 05-2024.xls)</v>
      </c>
      <c r="F478" s="207" t="str">
        <f t="shared" ca="1" si="80"/>
        <v>-</v>
      </c>
      <c r="G478" s="151">
        <f ca="1">IF(RegimeExecucao="Global","",ORÇAMENTO!T478)</f>
        <v>24</v>
      </c>
      <c r="H478" s="151">
        <f ca="1">IF(RegimeExecucao="Global","",ORÇAMENTO!W478)</f>
        <v>0</v>
      </c>
      <c r="I478" s="154">
        <f ca="1">ORÇAMENTO!X478</f>
        <v>0</v>
      </c>
      <c r="J478" s="427">
        <f t="shared" ca="1" si="81"/>
        <v>0</v>
      </c>
      <c r="K478" s="151">
        <f t="shared" ca="1" si="82"/>
        <v>0</v>
      </c>
      <c r="L478" s="428">
        <f t="shared" ca="1" si="83"/>
        <v>0</v>
      </c>
      <c r="M478" s="429">
        <f ca="1">IF($A478="S",VTOTALBM,IF($A478=0,0,ROUND(SomaAgrupBM,15-13*ORÇAMENTO!$AF$11)))</f>
        <v>0</v>
      </c>
      <c r="N478" s="430">
        <f t="shared" ca="1" si="84"/>
        <v>0</v>
      </c>
      <c r="O478" s="154">
        <f ca="1">IF($A478="S",VTOTALBM,IF($A478=0,0,ROUND(SomaAgrupBM,15-13*ORÇAMENTO!$AF$11)))</f>
        <v>0</v>
      </c>
      <c r="Q478" s="431"/>
      <c r="R478" s="432"/>
      <c r="T478" s="146" t="str">
        <f t="shared" ca="1" si="85"/>
        <v/>
      </c>
      <c r="U478" s="206" t="str">
        <f t="shared" ca="1" si="86"/>
        <v/>
      </c>
      <c r="V478" s="207" t="str">
        <f t="shared" ca="1" si="87"/>
        <v/>
      </c>
      <c r="W478" s="634">
        <f ca="1">IF($Y478&gt;0,CHOOSE(MATCH(RegimeExecucao,{"Unitário","Global"},0),IF($A478="S",$Y478/$X478,""),($Y478/$X478)*100),0)</f>
        <v>0</v>
      </c>
      <c r="X478" s="433" t="str">
        <f ca="1">IF($Y478&gt;0,CHOOSE(MATCH(RegimeExecucao,{"Unitário","Global"},0),IF($A478="S",ROUND($H478,ORÇAMENTO!$AF$10),""),ROUND($I478,ORÇAMENTO!$AF$11)),"")</f>
        <v/>
      </c>
      <c r="Y478" s="433">
        <f t="shared" ca="1" si="88"/>
        <v>0</v>
      </c>
      <c r="Z478" s="434"/>
      <c r="AB478" s="431"/>
      <c r="AC478" s="599"/>
      <c r="AD478" s="599"/>
      <c r="AE478" s="599"/>
      <c r="AF478" s="599"/>
      <c r="AG478" s="599"/>
      <c r="AH478" s="599"/>
      <c r="AI478" s="599"/>
      <c r="AJ478" s="599"/>
      <c r="AK478" s="599"/>
      <c r="AL478" s="599"/>
      <c r="AM478" s="432"/>
      <c r="AO478">
        <f ca="1">IF($A478="S",IF(BM!$I478=0,0,CHOOSE(MATCH(RegimeExecucao,{"Global","Unitário"},0),ROUND(ROUND(BM.MEDAcumulado,15-13*BM!$A$9)/100*BM!$I478,15-13*ORÇAMENTO!$AF$11),ROUND(ROUND(BM.MEDAcumulado,15-13*BM!$A$9)*ROUND(BM!$H478,15-13*ORÇAMENTO!$AF$10),15-13*ORÇAMENTO!$AF$11))),IF($A478=0,0,ROUND(SomaAgrupBM,15-13*ORÇAMENTO!$AF$11)))</f>
        <v>0</v>
      </c>
    </row>
    <row r="479" spans="1:41" ht="13.8" x14ac:dyDescent="0.3">
      <c r="A479" t="str">
        <f ca="1">ORÇAMENTO!C479</f>
        <v>S</v>
      </c>
      <c r="B479">
        <f ca="1">ORÇAMENTO!D479</f>
        <v>0</v>
      </c>
      <c r="C479" s="143" t="str">
        <f t="shared" ca="1" si="78"/>
        <v/>
      </c>
      <c r="D479" s="146" t="str">
        <f ca="1">ORÇAMENTO!O479</f>
        <v>-</v>
      </c>
      <c r="E479" s="206" t="str">
        <f t="shared" ca="1" si="79"/>
        <v>(abra o arquivo 'Referência 05-2024.xls)</v>
      </c>
      <c r="F479" s="207" t="str">
        <f t="shared" ca="1" si="80"/>
        <v>-</v>
      </c>
      <c r="G479" s="151">
        <f ca="1">IF(RegimeExecucao="Global","",ORÇAMENTO!T479)</f>
        <v>15</v>
      </c>
      <c r="H479" s="151">
        <f ca="1">IF(RegimeExecucao="Global","",ORÇAMENTO!W479)</f>
        <v>0</v>
      </c>
      <c r="I479" s="154">
        <f ca="1">ORÇAMENTO!X479</f>
        <v>0</v>
      </c>
      <c r="J479" s="427">
        <f t="shared" ca="1" si="81"/>
        <v>0</v>
      </c>
      <c r="K479" s="151">
        <f t="shared" ca="1" si="82"/>
        <v>0</v>
      </c>
      <c r="L479" s="428">
        <f t="shared" ca="1" si="83"/>
        <v>0</v>
      </c>
      <c r="M479" s="429">
        <f ca="1">IF($A479="S",VTOTALBM,IF($A479=0,0,ROUND(SomaAgrupBM,15-13*ORÇAMENTO!$AF$11)))</f>
        <v>0</v>
      </c>
      <c r="N479" s="430">
        <f t="shared" ca="1" si="84"/>
        <v>0</v>
      </c>
      <c r="O479" s="154">
        <f ca="1">IF($A479="S",VTOTALBM,IF($A479=0,0,ROUND(SomaAgrupBM,15-13*ORÇAMENTO!$AF$11)))</f>
        <v>0</v>
      </c>
      <c r="Q479" s="431"/>
      <c r="R479" s="432"/>
      <c r="T479" s="146" t="str">
        <f t="shared" ca="1" si="85"/>
        <v/>
      </c>
      <c r="U479" s="206" t="str">
        <f t="shared" ca="1" si="86"/>
        <v/>
      </c>
      <c r="V479" s="207" t="str">
        <f t="shared" ca="1" si="87"/>
        <v/>
      </c>
      <c r="W479" s="634">
        <f ca="1">IF($Y479&gt;0,CHOOSE(MATCH(RegimeExecucao,{"Unitário","Global"},0),IF($A479="S",$Y479/$X479,""),($Y479/$X479)*100),0)</f>
        <v>0</v>
      </c>
      <c r="X479" s="433" t="str">
        <f ca="1">IF($Y479&gt;0,CHOOSE(MATCH(RegimeExecucao,{"Unitário","Global"},0),IF($A479="S",ROUND($H479,ORÇAMENTO!$AF$10),""),ROUND($I479,ORÇAMENTO!$AF$11)),"")</f>
        <v/>
      </c>
      <c r="Y479" s="433">
        <f t="shared" ca="1" si="88"/>
        <v>0</v>
      </c>
      <c r="Z479" s="434"/>
      <c r="AB479" s="431"/>
      <c r="AC479" s="599"/>
      <c r="AD479" s="599"/>
      <c r="AE479" s="599"/>
      <c r="AF479" s="599"/>
      <c r="AG479" s="599"/>
      <c r="AH479" s="599"/>
      <c r="AI479" s="599"/>
      <c r="AJ479" s="599"/>
      <c r="AK479" s="599"/>
      <c r="AL479" s="599"/>
      <c r="AM479" s="432"/>
      <c r="AO479">
        <f ca="1">IF($A479="S",IF(BM!$I479=0,0,CHOOSE(MATCH(RegimeExecucao,{"Global","Unitário"},0),ROUND(ROUND(BM.MEDAcumulado,15-13*BM!$A$9)/100*BM!$I479,15-13*ORÇAMENTO!$AF$11),ROUND(ROUND(BM.MEDAcumulado,15-13*BM!$A$9)*ROUND(BM!$H479,15-13*ORÇAMENTO!$AF$10),15-13*ORÇAMENTO!$AF$11))),IF($A479=0,0,ROUND(SomaAgrupBM,15-13*ORÇAMENTO!$AF$11)))</f>
        <v>0</v>
      </c>
    </row>
    <row r="480" spans="1:41" ht="13.8" x14ac:dyDescent="0.3">
      <c r="A480" t="str">
        <f ca="1">ORÇAMENTO!C480</f>
        <v>S</v>
      </c>
      <c r="B480">
        <f ca="1">ORÇAMENTO!D480</f>
        <v>0</v>
      </c>
      <c r="C480" s="143" t="str">
        <f t="shared" ca="1" si="78"/>
        <v/>
      </c>
      <c r="D480" s="146" t="str">
        <f ca="1">ORÇAMENTO!O480</f>
        <v>-</v>
      </c>
      <c r="E480" s="206" t="str">
        <f t="shared" ca="1" si="79"/>
        <v>(abra o arquivo 'Referência 05-2024.xls)</v>
      </c>
      <c r="F480" s="207" t="str">
        <f t="shared" ca="1" si="80"/>
        <v>-</v>
      </c>
      <c r="G480" s="151">
        <f ca="1">IF(RegimeExecucao="Global","",ORÇAMENTO!T480)</f>
        <v>3</v>
      </c>
      <c r="H480" s="151">
        <f ca="1">IF(RegimeExecucao="Global","",ORÇAMENTO!W480)</f>
        <v>0</v>
      </c>
      <c r="I480" s="154">
        <f ca="1">ORÇAMENTO!X480</f>
        <v>0</v>
      </c>
      <c r="J480" s="427">
        <f t="shared" ca="1" si="81"/>
        <v>0</v>
      </c>
      <c r="K480" s="151">
        <f t="shared" ca="1" si="82"/>
        <v>0</v>
      </c>
      <c r="L480" s="428">
        <f t="shared" ca="1" si="83"/>
        <v>0</v>
      </c>
      <c r="M480" s="429">
        <f ca="1">IF($A480="S",VTOTALBM,IF($A480=0,0,ROUND(SomaAgrupBM,15-13*ORÇAMENTO!$AF$11)))</f>
        <v>0</v>
      </c>
      <c r="N480" s="430">
        <f t="shared" ca="1" si="84"/>
        <v>0</v>
      </c>
      <c r="O480" s="154">
        <f ca="1">IF($A480="S",VTOTALBM,IF($A480=0,0,ROUND(SomaAgrupBM,15-13*ORÇAMENTO!$AF$11)))</f>
        <v>0</v>
      </c>
      <c r="Q480" s="431"/>
      <c r="R480" s="432"/>
      <c r="T480" s="146" t="str">
        <f t="shared" ca="1" si="85"/>
        <v/>
      </c>
      <c r="U480" s="206" t="str">
        <f t="shared" ca="1" si="86"/>
        <v/>
      </c>
      <c r="V480" s="207" t="str">
        <f t="shared" ca="1" si="87"/>
        <v/>
      </c>
      <c r="W480" s="634">
        <f ca="1">IF($Y480&gt;0,CHOOSE(MATCH(RegimeExecucao,{"Unitário","Global"},0),IF($A480="S",$Y480/$X480,""),($Y480/$X480)*100),0)</f>
        <v>0</v>
      </c>
      <c r="X480" s="433" t="str">
        <f ca="1">IF($Y480&gt;0,CHOOSE(MATCH(RegimeExecucao,{"Unitário","Global"},0),IF($A480="S",ROUND($H480,ORÇAMENTO!$AF$10),""),ROUND($I480,ORÇAMENTO!$AF$11)),"")</f>
        <v/>
      </c>
      <c r="Y480" s="433">
        <f t="shared" ca="1" si="88"/>
        <v>0</v>
      </c>
      <c r="Z480" s="434"/>
      <c r="AB480" s="431"/>
      <c r="AC480" s="599"/>
      <c r="AD480" s="599"/>
      <c r="AE480" s="599"/>
      <c r="AF480" s="599"/>
      <c r="AG480" s="599"/>
      <c r="AH480" s="599"/>
      <c r="AI480" s="599"/>
      <c r="AJ480" s="599"/>
      <c r="AK480" s="599"/>
      <c r="AL480" s="599"/>
      <c r="AM480" s="432"/>
      <c r="AO480">
        <f ca="1">IF($A480="S",IF(BM!$I480=0,0,CHOOSE(MATCH(RegimeExecucao,{"Global","Unitário"},0),ROUND(ROUND(BM.MEDAcumulado,15-13*BM!$A$9)/100*BM!$I480,15-13*ORÇAMENTO!$AF$11),ROUND(ROUND(BM.MEDAcumulado,15-13*BM!$A$9)*ROUND(BM!$H480,15-13*ORÇAMENTO!$AF$10),15-13*ORÇAMENTO!$AF$11))),IF($A480=0,0,ROUND(SomaAgrupBM,15-13*ORÇAMENTO!$AF$11)))</f>
        <v>0</v>
      </c>
    </row>
    <row r="481" spans="1:41" ht="13.8" x14ac:dyDescent="0.3">
      <c r="A481" t="str">
        <f ca="1">ORÇAMENTO!C481</f>
        <v>S</v>
      </c>
      <c r="B481">
        <f ca="1">ORÇAMENTO!D481</f>
        <v>0</v>
      </c>
      <c r="C481" s="143" t="str">
        <f t="shared" ca="1" si="78"/>
        <v/>
      </c>
      <c r="D481" s="146" t="str">
        <f ca="1">ORÇAMENTO!O481</f>
        <v>-</v>
      </c>
      <c r="E481" s="206" t="str">
        <f t="shared" ca="1" si="79"/>
        <v>(abra o arquivo 'Referência 05-2024.xls)</v>
      </c>
      <c r="F481" s="207" t="str">
        <f t="shared" ca="1" si="80"/>
        <v>-</v>
      </c>
      <c r="G481" s="151">
        <f ca="1">IF(RegimeExecucao="Global","",ORÇAMENTO!T481)</f>
        <v>31</v>
      </c>
      <c r="H481" s="151">
        <f ca="1">IF(RegimeExecucao="Global","",ORÇAMENTO!W481)</f>
        <v>0</v>
      </c>
      <c r="I481" s="154">
        <f ca="1">ORÇAMENTO!X481</f>
        <v>0</v>
      </c>
      <c r="J481" s="427">
        <f t="shared" ca="1" si="81"/>
        <v>0</v>
      </c>
      <c r="K481" s="151">
        <f t="shared" ca="1" si="82"/>
        <v>0</v>
      </c>
      <c r="L481" s="428">
        <f t="shared" ca="1" si="83"/>
        <v>0</v>
      </c>
      <c r="M481" s="429">
        <f ca="1">IF($A481="S",VTOTALBM,IF($A481=0,0,ROUND(SomaAgrupBM,15-13*ORÇAMENTO!$AF$11)))</f>
        <v>0</v>
      </c>
      <c r="N481" s="430">
        <f t="shared" ca="1" si="84"/>
        <v>0</v>
      </c>
      <c r="O481" s="154">
        <f ca="1">IF($A481="S",VTOTALBM,IF($A481=0,0,ROUND(SomaAgrupBM,15-13*ORÇAMENTO!$AF$11)))</f>
        <v>0</v>
      </c>
      <c r="Q481" s="431"/>
      <c r="R481" s="432"/>
      <c r="T481" s="146" t="str">
        <f t="shared" ca="1" si="85"/>
        <v/>
      </c>
      <c r="U481" s="206" t="str">
        <f t="shared" ca="1" si="86"/>
        <v/>
      </c>
      <c r="V481" s="207" t="str">
        <f t="shared" ca="1" si="87"/>
        <v/>
      </c>
      <c r="W481" s="634">
        <f ca="1">IF($Y481&gt;0,CHOOSE(MATCH(RegimeExecucao,{"Unitário","Global"},0),IF($A481="S",$Y481/$X481,""),($Y481/$X481)*100),0)</f>
        <v>0</v>
      </c>
      <c r="X481" s="433" t="str">
        <f ca="1">IF($Y481&gt;0,CHOOSE(MATCH(RegimeExecucao,{"Unitário","Global"},0),IF($A481="S",ROUND($H481,ORÇAMENTO!$AF$10),""),ROUND($I481,ORÇAMENTO!$AF$11)),"")</f>
        <v/>
      </c>
      <c r="Y481" s="433">
        <f t="shared" ca="1" si="88"/>
        <v>0</v>
      </c>
      <c r="Z481" s="434"/>
      <c r="AB481" s="431"/>
      <c r="AC481" s="599"/>
      <c r="AD481" s="599"/>
      <c r="AE481" s="599"/>
      <c r="AF481" s="599"/>
      <c r="AG481" s="599"/>
      <c r="AH481" s="599"/>
      <c r="AI481" s="599"/>
      <c r="AJ481" s="599"/>
      <c r="AK481" s="599"/>
      <c r="AL481" s="599"/>
      <c r="AM481" s="432"/>
      <c r="AO481">
        <f ca="1">IF($A481="S",IF(BM!$I481=0,0,CHOOSE(MATCH(RegimeExecucao,{"Global","Unitário"},0),ROUND(ROUND(BM.MEDAcumulado,15-13*BM!$A$9)/100*BM!$I481,15-13*ORÇAMENTO!$AF$11),ROUND(ROUND(BM.MEDAcumulado,15-13*BM!$A$9)*ROUND(BM!$H481,15-13*ORÇAMENTO!$AF$10),15-13*ORÇAMENTO!$AF$11))),IF($A481=0,0,ROUND(SomaAgrupBM,15-13*ORÇAMENTO!$AF$11)))</f>
        <v>0</v>
      </c>
    </row>
    <row r="482" spans="1:41" ht="13.8" x14ac:dyDescent="0.3">
      <c r="A482">
        <f ca="1">ORÇAMENTO!C482</f>
        <v>2</v>
      </c>
      <c r="B482">
        <f ca="1">ORÇAMENTO!D482</f>
        <v>9</v>
      </c>
      <c r="C482" s="143" t="str">
        <f t="shared" ca="1" si="78"/>
        <v>F</v>
      </c>
      <c r="D482" s="146" t="str">
        <f ca="1">ORÇAMENTO!O482</f>
        <v>1.16.</v>
      </c>
      <c r="E482" s="206" t="str">
        <f t="shared" si="79"/>
        <v>INSTALAÇÃO DE GÁS COMBUSTÍVEL</v>
      </c>
      <c r="F482" s="207" t="str">
        <f t="shared" ca="1" si="80"/>
        <v>-</v>
      </c>
      <c r="G482" s="151">
        <f ca="1">IF(RegimeExecucao="Global","",ORÇAMENTO!T482)</f>
        <v>0</v>
      </c>
      <c r="H482" s="151">
        <f ca="1">IF(RegimeExecucao="Global","",ORÇAMENTO!W482)</f>
        <v>0</v>
      </c>
      <c r="I482" s="154">
        <f ca="1">ORÇAMENTO!X482</f>
        <v>0</v>
      </c>
      <c r="J482" s="427">
        <f t="shared" ca="1" si="81"/>
        <v>0</v>
      </c>
      <c r="K482" s="151">
        <f t="shared" ca="1" si="82"/>
        <v>0</v>
      </c>
      <c r="L482" s="428">
        <f t="shared" ca="1" si="83"/>
        <v>0</v>
      </c>
      <c r="M482" s="429">
        <f ca="1">IF($A482="S",VTOTALBM,IF($A482=0,0,ROUND(SomaAgrupBM,15-13*ORÇAMENTO!$AF$11)))</f>
        <v>0</v>
      </c>
      <c r="N482" s="430">
        <f t="shared" ca="1" si="84"/>
        <v>0</v>
      </c>
      <c r="O482" s="154">
        <f ca="1">IF($A482="S",VTOTALBM,IF($A482=0,0,ROUND(SomaAgrupBM,15-13*ORÇAMENTO!$AF$11)))</f>
        <v>0</v>
      </c>
      <c r="Q482" s="431"/>
      <c r="R482" s="432"/>
      <c r="T482" s="146" t="str">
        <f t="shared" ca="1" si="85"/>
        <v/>
      </c>
      <c r="U482" s="206" t="str">
        <f t="shared" ca="1" si="86"/>
        <v/>
      </c>
      <c r="V482" s="207" t="str">
        <f t="shared" ca="1" si="87"/>
        <v/>
      </c>
      <c r="W482" s="634">
        <f ca="1">IF($Y482&gt;0,CHOOSE(MATCH(RegimeExecucao,{"Unitário","Global"},0),IF($A482="S",$Y482/$X482,""),($Y482/$X482)*100),0)</f>
        <v>0</v>
      </c>
      <c r="X482" s="433" t="str">
        <f ca="1">IF($Y482&gt;0,CHOOSE(MATCH(RegimeExecucao,{"Unitário","Global"},0),IF($A482="S",ROUND($H482,ORÇAMENTO!$AF$10),""),ROUND($I482,ORÇAMENTO!$AF$11)),"")</f>
        <v/>
      </c>
      <c r="Y482" s="433">
        <f t="shared" ca="1" si="88"/>
        <v>0</v>
      </c>
      <c r="Z482" s="434"/>
      <c r="AB482" s="431"/>
      <c r="AC482" s="599"/>
      <c r="AD482" s="599"/>
      <c r="AE482" s="599"/>
      <c r="AF482" s="599"/>
      <c r="AG482" s="599"/>
      <c r="AH482" s="599"/>
      <c r="AI482" s="599"/>
      <c r="AJ482" s="599"/>
      <c r="AK482" s="599"/>
      <c r="AL482" s="599"/>
      <c r="AM482" s="432"/>
      <c r="AO482">
        <f ca="1">IF($A482="S",IF(BM!$I482=0,0,CHOOSE(MATCH(RegimeExecucao,{"Global","Unitário"},0),ROUND(ROUND(BM.MEDAcumulado,15-13*BM!$A$9)/100*BM!$I482,15-13*ORÇAMENTO!$AF$11),ROUND(ROUND(BM.MEDAcumulado,15-13*BM!$A$9)*ROUND(BM!$H482,15-13*ORÇAMENTO!$AF$10),15-13*ORÇAMENTO!$AF$11))),IF($A482=0,0,ROUND(SomaAgrupBM,15-13*ORÇAMENTO!$AF$11)))</f>
        <v>0</v>
      </c>
    </row>
    <row r="483" spans="1:41" ht="13.8" x14ac:dyDescent="0.3">
      <c r="A483" t="str">
        <f ca="1">ORÇAMENTO!C483</f>
        <v>S</v>
      </c>
      <c r="B483">
        <f ca="1">ORÇAMENTO!D483</f>
        <v>0</v>
      </c>
      <c r="C483" s="143" t="str">
        <f t="shared" ca="1" si="78"/>
        <v/>
      </c>
      <c r="D483" s="146" t="str">
        <f ca="1">ORÇAMENTO!O483</f>
        <v>-</v>
      </c>
      <c r="E483" s="206" t="str">
        <f t="shared" ca="1" si="79"/>
        <v>(abra o arquivo 'Referência 05-2024.xls)</v>
      </c>
      <c r="F483" s="207" t="str">
        <f t="shared" ca="1" si="80"/>
        <v>-</v>
      </c>
      <c r="G483" s="151">
        <f ca="1">IF(RegimeExecucao="Global","",ORÇAMENTO!T483)</f>
        <v>0.48</v>
      </c>
      <c r="H483" s="151">
        <f ca="1">IF(RegimeExecucao="Global","",ORÇAMENTO!W483)</f>
        <v>0</v>
      </c>
      <c r="I483" s="154">
        <f ca="1">ORÇAMENTO!X483</f>
        <v>0</v>
      </c>
      <c r="J483" s="427">
        <f t="shared" ca="1" si="81"/>
        <v>0</v>
      </c>
      <c r="K483" s="151">
        <f t="shared" ca="1" si="82"/>
        <v>0</v>
      </c>
      <c r="L483" s="428">
        <f t="shared" ca="1" si="83"/>
        <v>0</v>
      </c>
      <c r="M483" s="429">
        <f ca="1">IF($A483="S",VTOTALBM,IF($A483=0,0,ROUND(SomaAgrupBM,15-13*ORÇAMENTO!$AF$11)))</f>
        <v>0</v>
      </c>
      <c r="N483" s="430">
        <f t="shared" ca="1" si="84"/>
        <v>0</v>
      </c>
      <c r="O483" s="154">
        <f ca="1">IF($A483="S",VTOTALBM,IF($A483=0,0,ROUND(SomaAgrupBM,15-13*ORÇAMENTO!$AF$11)))</f>
        <v>0</v>
      </c>
      <c r="Q483" s="431"/>
      <c r="R483" s="432"/>
      <c r="T483" s="146" t="str">
        <f t="shared" ca="1" si="85"/>
        <v/>
      </c>
      <c r="U483" s="206" t="str">
        <f t="shared" ca="1" si="86"/>
        <v/>
      </c>
      <c r="V483" s="207" t="str">
        <f t="shared" ca="1" si="87"/>
        <v/>
      </c>
      <c r="W483" s="634">
        <f ca="1">IF($Y483&gt;0,CHOOSE(MATCH(RegimeExecucao,{"Unitário","Global"},0),IF($A483="S",$Y483/$X483,""),($Y483/$X483)*100),0)</f>
        <v>0</v>
      </c>
      <c r="X483" s="433" t="str">
        <f ca="1">IF($Y483&gt;0,CHOOSE(MATCH(RegimeExecucao,{"Unitário","Global"},0),IF($A483="S",ROUND($H483,ORÇAMENTO!$AF$10),""),ROUND($I483,ORÇAMENTO!$AF$11)),"")</f>
        <v/>
      </c>
      <c r="Y483" s="433">
        <f t="shared" ca="1" si="88"/>
        <v>0</v>
      </c>
      <c r="Z483" s="434"/>
      <c r="AB483" s="431"/>
      <c r="AC483" s="599"/>
      <c r="AD483" s="599"/>
      <c r="AE483" s="599"/>
      <c r="AF483" s="599"/>
      <c r="AG483" s="599"/>
      <c r="AH483" s="599"/>
      <c r="AI483" s="599"/>
      <c r="AJ483" s="599"/>
      <c r="AK483" s="599"/>
      <c r="AL483" s="599"/>
      <c r="AM483" s="432"/>
      <c r="AO483">
        <f ca="1">IF($A483="S",IF(BM!$I483=0,0,CHOOSE(MATCH(RegimeExecucao,{"Global","Unitário"},0),ROUND(ROUND(BM.MEDAcumulado,15-13*BM!$A$9)/100*BM!$I483,15-13*ORÇAMENTO!$AF$11),ROUND(ROUND(BM.MEDAcumulado,15-13*BM!$A$9)*ROUND(BM!$H483,15-13*ORÇAMENTO!$AF$10),15-13*ORÇAMENTO!$AF$11))),IF($A483=0,0,ROUND(SomaAgrupBM,15-13*ORÇAMENTO!$AF$11)))</f>
        <v>0</v>
      </c>
    </row>
    <row r="484" spans="1:41" ht="13.8" x14ac:dyDescent="0.3">
      <c r="A484" t="str">
        <f ca="1">ORÇAMENTO!C484</f>
        <v>S</v>
      </c>
      <c r="B484">
        <f ca="1">ORÇAMENTO!D484</f>
        <v>0</v>
      </c>
      <c r="C484" s="143" t="str">
        <f t="shared" ca="1" si="78"/>
        <v/>
      </c>
      <c r="D484" s="146" t="str">
        <f ca="1">ORÇAMENTO!O484</f>
        <v>-</v>
      </c>
      <c r="E484" s="206" t="str">
        <f t="shared" ca="1" si="79"/>
        <v>(abra o arquivo 'Referência 05-2024.xls)</v>
      </c>
      <c r="F484" s="207" t="str">
        <f t="shared" ca="1" si="80"/>
        <v>-</v>
      </c>
      <c r="G484" s="151">
        <f ca="1">IF(RegimeExecucao="Global","",ORÇAMENTO!T484)</f>
        <v>35.200000000000003</v>
      </c>
      <c r="H484" s="151">
        <f ca="1">IF(RegimeExecucao="Global","",ORÇAMENTO!W484)</f>
        <v>0</v>
      </c>
      <c r="I484" s="154">
        <f ca="1">ORÇAMENTO!X484</f>
        <v>0</v>
      </c>
      <c r="J484" s="427">
        <f t="shared" ca="1" si="81"/>
        <v>0</v>
      </c>
      <c r="K484" s="151">
        <f t="shared" ca="1" si="82"/>
        <v>0</v>
      </c>
      <c r="L484" s="428">
        <f t="shared" ca="1" si="83"/>
        <v>0</v>
      </c>
      <c r="M484" s="429">
        <f ca="1">IF($A484="S",VTOTALBM,IF($A484=0,0,ROUND(SomaAgrupBM,15-13*ORÇAMENTO!$AF$11)))</f>
        <v>0</v>
      </c>
      <c r="N484" s="430">
        <f t="shared" ca="1" si="84"/>
        <v>0</v>
      </c>
      <c r="O484" s="154">
        <f ca="1">IF($A484="S",VTOTALBM,IF($A484=0,0,ROUND(SomaAgrupBM,15-13*ORÇAMENTO!$AF$11)))</f>
        <v>0</v>
      </c>
      <c r="Q484" s="431"/>
      <c r="R484" s="432"/>
      <c r="T484" s="146" t="str">
        <f t="shared" ca="1" si="85"/>
        <v/>
      </c>
      <c r="U484" s="206" t="str">
        <f t="shared" ca="1" si="86"/>
        <v/>
      </c>
      <c r="V484" s="207" t="str">
        <f t="shared" ca="1" si="87"/>
        <v/>
      </c>
      <c r="W484" s="634">
        <f ca="1">IF($Y484&gt;0,CHOOSE(MATCH(RegimeExecucao,{"Unitário","Global"},0),IF($A484="S",$Y484/$X484,""),($Y484/$X484)*100),0)</f>
        <v>0</v>
      </c>
      <c r="X484" s="433" t="str">
        <f ca="1">IF($Y484&gt;0,CHOOSE(MATCH(RegimeExecucao,{"Unitário","Global"},0),IF($A484="S",ROUND($H484,ORÇAMENTO!$AF$10),""),ROUND($I484,ORÇAMENTO!$AF$11)),"")</f>
        <v/>
      </c>
      <c r="Y484" s="433">
        <f t="shared" ca="1" si="88"/>
        <v>0</v>
      </c>
      <c r="Z484" s="434"/>
      <c r="AB484" s="431"/>
      <c r="AC484" s="599"/>
      <c r="AD484" s="599"/>
      <c r="AE484" s="599"/>
      <c r="AF484" s="599"/>
      <c r="AG484" s="599"/>
      <c r="AH484" s="599"/>
      <c r="AI484" s="599"/>
      <c r="AJ484" s="599"/>
      <c r="AK484" s="599"/>
      <c r="AL484" s="599"/>
      <c r="AM484" s="432"/>
      <c r="AO484">
        <f ca="1">IF($A484="S",IF(BM!$I484=0,0,CHOOSE(MATCH(RegimeExecucao,{"Global","Unitário"},0),ROUND(ROUND(BM.MEDAcumulado,15-13*BM!$A$9)/100*BM!$I484,15-13*ORÇAMENTO!$AF$11),ROUND(ROUND(BM.MEDAcumulado,15-13*BM!$A$9)*ROUND(BM!$H484,15-13*ORÇAMENTO!$AF$10),15-13*ORÇAMENTO!$AF$11))),IF($A484=0,0,ROUND(SomaAgrupBM,15-13*ORÇAMENTO!$AF$11)))</f>
        <v>0</v>
      </c>
    </row>
    <row r="485" spans="1:41" ht="13.8" x14ac:dyDescent="0.3">
      <c r="A485" t="str">
        <f ca="1">ORÇAMENTO!C485</f>
        <v>S</v>
      </c>
      <c r="B485">
        <f ca="1">ORÇAMENTO!D485</f>
        <v>0</v>
      </c>
      <c r="C485" s="143" t="str">
        <f t="shared" ca="1" si="78"/>
        <v/>
      </c>
      <c r="D485" s="146" t="str">
        <f ca="1">ORÇAMENTO!O485</f>
        <v>-</v>
      </c>
      <c r="E485" s="206" t="str">
        <f t="shared" ca="1" si="79"/>
        <v>(abra o arquivo 'Referência 05-2024.xls)</v>
      </c>
      <c r="F485" s="207" t="str">
        <f t="shared" ca="1" si="80"/>
        <v>-</v>
      </c>
      <c r="G485" s="151">
        <f ca="1">IF(RegimeExecucao="Global","",ORÇAMENTO!T485)</f>
        <v>6</v>
      </c>
      <c r="H485" s="151">
        <f ca="1">IF(RegimeExecucao="Global","",ORÇAMENTO!W485)</f>
        <v>0</v>
      </c>
      <c r="I485" s="154">
        <f ca="1">ORÇAMENTO!X485</f>
        <v>0</v>
      </c>
      <c r="J485" s="427">
        <f t="shared" ca="1" si="81"/>
        <v>0</v>
      </c>
      <c r="K485" s="151">
        <f t="shared" ca="1" si="82"/>
        <v>0</v>
      </c>
      <c r="L485" s="428">
        <f t="shared" ca="1" si="83"/>
        <v>0</v>
      </c>
      <c r="M485" s="429">
        <f ca="1">IF($A485="S",VTOTALBM,IF($A485=0,0,ROUND(SomaAgrupBM,15-13*ORÇAMENTO!$AF$11)))</f>
        <v>0</v>
      </c>
      <c r="N485" s="430">
        <f t="shared" ca="1" si="84"/>
        <v>0</v>
      </c>
      <c r="O485" s="154">
        <f ca="1">IF($A485="S",VTOTALBM,IF($A485=0,0,ROUND(SomaAgrupBM,15-13*ORÇAMENTO!$AF$11)))</f>
        <v>0</v>
      </c>
      <c r="Q485" s="431"/>
      <c r="R485" s="432"/>
      <c r="T485" s="146" t="str">
        <f t="shared" ca="1" si="85"/>
        <v/>
      </c>
      <c r="U485" s="206" t="str">
        <f t="shared" ca="1" si="86"/>
        <v/>
      </c>
      <c r="V485" s="207" t="str">
        <f t="shared" ca="1" si="87"/>
        <v/>
      </c>
      <c r="W485" s="634">
        <f ca="1">IF($Y485&gt;0,CHOOSE(MATCH(RegimeExecucao,{"Unitário","Global"},0),IF($A485="S",$Y485/$X485,""),($Y485/$X485)*100),0)</f>
        <v>0</v>
      </c>
      <c r="X485" s="433" t="str">
        <f ca="1">IF($Y485&gt;0,CHOOSE(MATCH(RegimeExecucao,{"Unitário","Global"},0),IF($A485="S",ROUND($H485,ORÇAMENTO!$AF$10),""),ROUND($I485,ORÇAMENTO!$AF$11)),"")</f>
        <v/>
      </c>
      <c r="Y485" s="433">
        <f t="shared" ca="1" si="88"/>
        <v>0</v>
      </c>
      <c r="Z485" s="434"/>
      <c r="AB485" s="431"/>
      <c r="AC485" s="599"/>
      <c r="AD485" s="599"/>
      <c r="AE485" s="599"/>
      <c r="AF485" s="599"/>
      <c r="AG485" s="599"/>
      <c r="AH485" s="599"/>
      <c r="AI485" s="599"/>
      <c r="AJ485" s="599"/>
      <c r="AK485" s="599"/>
      <c r="AL485" s="599"/>
      <c r="AM485" s="432"/>
      <c r="AO485">
        <f ca="1">IF($A485="S",IF(BM!$I485=0,0,CHOOSE(MATCH(RegimeExecucao,{"Global","Unitário"},0),ROUND(ROUND(BM.MEDAcumulado,15-13*BM!$A$9)/100*BM!$I485,15-13*ORÇAMENTO!$AF$11),ROUND(ROUND(BM.MEDAcumulado,15-13*BM!$A$9)*ROUND(BM!$H485,15-13*ORÇAMENTO!$AF$10),15-13*ORÇAMENTO!$AF$11))),IF($A485=0,0,ROUND(SomaAgrupBM,15-13*ORÇAMENTO!$AF$11)))</f>
        <v>0</v>
      </c>
    </row>
    <row r="486" spans="1:41" ht="13.8" x14ac:dyDescent="0.3">
      <c r="A486" t="str">
        <f ca="1">ORÇAMENTO!C486</f>
        <v>S</v>
      </c>
      <c r="B486">
        <f ca="1">ORÇAMENTO!D486</f>
        <v>0</v>
      </c>
      <c r="C486" s="143" t="str">
        <f t="shared" ca="1" si="78"/>
        <v/>
      </c>
      <c r="D486" s="146" t="str">
        <f ca="1">ORÇAMENTO!O486</f>
        <v>-</v>
      </c>
      <c r="E486" s="206" t="str">
        <f t="shared" ca="1" si="79"/>
        <v>(abra o arquivo 'Referência 05-2024.xls)</v>
      </c>
      <c r="F486" s="207" t="str">
        <f t="shared" ca="1" si="80"/>
        <v>-</v>
      </c>
      <c r="G486" s="151">
        <f ca="1">IF(RegimeExecucao="Global","",ORÇAMENTO!T486)</f>
        <v>4</v>
      </c>
      <c r="H486" s="151">
        <f ca="1">IF(RegimeExecucao="Global","",ORÇAMENTO!W486)</f>
        <v>0</v>
      </c>
      <c r="I486" s="154">
        <f ca="1">ORÇAMENTO!X486</f>
        <v>0</v>
      </c>
      <c r="J486" s="427">
        <f t="shared" ca="1" si="81"/>
        <v>0</v>
      </c>
      <c r="K486" s="151">
        <f t="shared" ca="1" si="82"/>
        <v>0</v>
      </c>
      <c r="L486" s="428">
        <f t="shared" ca="1" si="83"/>
        <v>0</v>
      </c>
      <c r="M486" s="429">
        <f ca="1">IF($A486="S",VTOTALBM,IF($A486=0,0,ROUND(SomaAgrupBM,15-13*ORÇAMENTO!$AF$11)))</f>
        <v>0</v>
      </c>
      <c r="N486" s="430">
        <f t="shared" ca="1" si="84"/>
        <v>0</v>
      </c>
      <c r="O486" s="154">
        <f ca="1">IF($A486="S",VTOTALBM,IF($A486=0,0,ROUND(SomaAgrupBM,15-13*ORÇAMENTO!$AF$11)))</f>
        <v>0</v>
      </c>
      <c r="Q486" s="431"/>
      <c r="R486" s="432"/>
      <c r="T486" s="146" t="str">
        <f t="shared" ca="1" si="85"/>
        <v/>
      </c>
      <c r="U486" s="206" t="str">
        <f t="shared" ca="1" si="86"/>
        <v/>
      </c>
      <c r="V486" s="207" t="str">
        <f t="shared" ca="1" si="87"/>
        <v/>
      </c>
      <c r="W486" s="634">
        <f ca="1">IF($Y486&gt;0,CHOOSE(MATCH(RegimeExecucao,{"Unitário","Global"},0),IF($A486="S",$Y486/$X486,""),($Y486/$X486)*100),0)</f>
        <v>0</v>
      </c>
      <c r="X486" s="433" t="str">
        <f ca="1">IF($Y486&gt;0,CHOOSE(MATCH(RegimeExecucao,{"Unitário","Global"},0),IF($A486="S",ROUND($H486,ORÇAMENTO!$AF$10),""),ROUND($I486,ORÇAMENTO!$AF$11)),"")</f>
        <v/>
      </c>
      <c r="Y486" s="433">
        <f t="shared" ca="1" si="88"/>
        <v>0</v>
      </c>
      <c r="Z486" s="434"/>
      <c r="AB486" s="431"/>
      <c r="AC486" s="599"/>
      <c r="AD486" s="599"/>
      <c r="AE486" s="599"/>
      <c r="AF486" s="599"/>
      <c r="AG486" s="599"/>
      <c r="AH486" s="599"/>
      <c r="AI486" s="599"/>
      <c r="AJ486" s="599"/>
      <c r="AK486" s="599"/>
      <c r="AL486" s="599"/>
      <c r="AM486" s="432"/>
      <c r="AO486">
        <f ca="1">IF($A486="S",IF(BM!$I486=0,0,CHOOSE(MATCH(RegimeExecucao,{"Global","Unitário"},0),ROUND(ROUND(BM.MEDAcumulado,15-13*BM!$A$9)/100*BM!$I486,15-13*ORÇAMENTO!$AF$11),ROUND(ROUND(BM.MEDAcumulado,15-13*BM!$A$9)*ROUND(BM!$H486,15-13*ORÇAMENTO!$AF$10),15-13*ORÇAMENTO!$AF$11))),IF($A486=0,0,ROUND(SomaAgrupBM,15-13*ORÇAMENTO!$AF$11)))</f>
        <v>0</v>
      </c>
    </row>
    <row r="487" spans="1:41" ht="13.8" x14ac:dyDescent="0.3">
      <c r="A487" t="str">
        <f ca="1">ORÇAMENTO!C487</f>
        <v>S</v>
      </c>
      <c r="B487">
        <f ca="1">ORÇAMENTO!D487</f>
        <v>0</v>
      </c>
      <c r="C487" s="143" t="str">
        <f t="shared" ca="1" si="78"/>
        <v/>
      </c>
      <c r="D487" s="146" t="str">
        <f ca="1">ORÇAMENTO!O487</f>
        <v>-</v>
      </c>
      <c r="E487" s="206" t="str">
        <f t="shared" ca="1" si="79"/>
        <v>(abra o arquivo 'Referência 05-2024.xls)</v>
      </c>
      <c r="F487" s="207" t="str">
        <f t="shared" ca="1" si="80"/>
        <v>-</v>
      </c>
      <c r="G487" s="151">
        <f ca="1">IF(RegimeExecucao="Global","",ORÇAMENTO!T487)</f>
        <v>2</v>
      </c>
      <c r="H487" s="151">
        <f ca="1">IF(RegimeExecucao="Global","",ORÇAMENTO!W487)</f>
        <v>0</v>
      </c>
      <c r="I487" s="154">
        <f ca="1">ORÇAMENTO!X487</f>
        <v>0</v>
      </c>
      <c r="J487" s="427">
        <f t="shared" ca="1" si="81"/>
        <v>0</v>
      </c>
      <c r="K487" s="151">
        <f t="shared" ca="1" si="82"/>
        <v>0</v>
      </c>
      <c r="L487" s="428">
        <f t="shared" ca="1" si="83"/>
        <v>0</v>
      </c>
      <c r="M487" s="429">
        <f ca="1">IF($A487="S",VTOTALBM,IF($A487=0,0,ROUND(SomaAgrupBM,15-13*ORÇAMENTO!$AF$11)))</f>
        <v>0</v>
      </c>
      <c r="N487" s="430">
        <f t="shared" ca="1" si="84"/>
        <v>0</v>
      </c>
      <c r="O487" s="154">
        <f ca="1">IF($A487="S",VTOTALBM,IF($A487=0,0,ROUND(SomaAgrupBM,15-13*ORÇAMENTO!$AF$11)))</f>
        <v>0</v>
      </c>
      <c r="Q487" s="431"/>
      <c r="R487" s="432"/>
      <c r="T487" s="146" t="str">
        <f t="shared" ca="1" si="85"/>
        <v/>
      </c>
      <c r="U487" s="206" t="str">
        <f t="shared" ca="1" si="86"/>
        <v/>
      </c>
      <c r="V487" s="207" t="str">
        <f t="shared" ca="1" si="87"/>
        <v/>
      </c>
      <c r="W487" s="634">
        <f ca="1">IF($Y487&gt;0,CHOOSE(MATCH(RegimeExecucao,{"Unitário","Global"},0),IF($A487="S",$Y487/$X487,""),($Y487/$X487)*100),0)</f>
        <v>0</v>
      </c>
      <c r="X487" s="433" t="str">
        <f ca="1">IF($Y487&gt;0,CHOOSE(MATCH(RegimeExecucao,{"Unitário","Global"},0),IF($A487="S",ROUND($H487,ORÇAMENTO!$AF$10),""),ROUND($I487,ORÇAMENTO!$AF$11)),"")</f>
        <v/>
      </c>
      <c r="Y487" s="433">
        <f t="shared" ca="1" si="88"/>
        <v>0</v>
      </c>
      <c r="Z487" s="434"/>
      <c r="AB487" s="431"/>
      <c r="AC487" s="599"/>
      <c r="AD487" s="599"/>
      <c r="AE487" s="599"/>
      <c r="AF487" s="599"/>
      <c r="AG487" s="599"/>
      <c r="AH487" s="599"/>
      <c r="AI487" s="599"/>
      <c r="AJ487" s="599"/>
      <c r="AK487" s="599"/>
      <c r="AL487" s="599"/>
      <c r="AM487" s="432"/>
      <c r="AO487">
        <f ca="1">IF($A487="S",IF(BM!$I487=0,0,CHOOSE(MATCH(RegimeExecucao,{"Global","Unitário"},0),ROUND(ROUND(BM.MEDAcumulado,15-13*BM!$A$9)/100*BM!$I487,15-13*ORÇAMENTO!$AF$11),ROUND(ROUND(BM.MEDAcumulado,15-13*BM!$A$9)*ROUND(BM!$H487,15-13*ORÇAMENTO!$AF$10),15-13*ORÇAMENTO!$AF$11))),IF($A487=0,0,ROUND(SomaAgrupBM,15-13*ORÇAMENTO!$AF$11)))</f>
        <v>0</v>
      </c>
    </row>
    <row r="488" spans="1:41" ht="13.8" x14ac:dyDescent="0.3">
      <c r="A488" t="str">
        <f ca="1">ORÇAMENTO!C488</f>
        <v>S</v>
      </c>
      <c r="B488">
        <f ca="1">ORÇAMENTO!D488</f>
        <v>0</v>
      </c>
      <c r="C488" s="143" t="str">
        <f t="shared" ca="1" si="78"/>
        <v/>
      </c>
      <c r="D488" s="146" t="str">
        <f ca="1">ORÇAMENTO!O488</f>
        <v>-</v>
      </c>
      <c r="E488" s="206" t="str">
        <f t="shared" ca="1" si="79"/>
        <v>(abra o arquivo 'Referência 05-2024.xls)</v>
      </c>
      <c r="F488" s="207" t="str">
        <f t="shared" ca="1" si="80"/>
        <v>-</v>
      </c>
      <c r="G488" s="151">
        <f ca="1">IF(RegimeExecucao="Global","",ORÇAMENTO!T488)</f>
        <v>1</v>
      </c>
      <c r="H488" s="151">
        <f ca="1">IF(RegimeExecucao="Global","",ORÇAMENTO!W488)</f>
        <v>0</v>
      </c>
      <c r="I488" s="154">
        <f ca="1">ORÇAMENTO!X488</f>
        <v>0</v>
      </c>
      <c r="J488" s="427">
        <f t="shared" ca="1" si="81"/>
        <v>0</v>
      </c>
      <c r="K488" s="151">
        <f t="shared" ca="1" si="82"/>
        <v>0</v>
      </c>
      <c r="L488" s="428">
        <f t="shared" ca="1" si="83"/>
        <v>0</v>
      </c>
      <c r="M488" s="429">
        <f ca="1">IF($A488="S",VTOTALBM,IF($A488=0,0,ROUND(SomaAgrupBM,15-13*ORÇAMENTO!$AF$11)))</f>
        <v>0</v>
      </c>
      <c r="N488" s="430">
        <f t="shared" ca="1" si="84"/>
        <v>0</v>
      </c>
      <c r="O488" s="154">
        <f ca="1">IF($A488="S",VTOTALBM,IF($A488=0,0,ROUND(SomaAgrupBM,15-13*ORÇAMENTO!$AF$11)))</f>
        <v>0</v>
      </c>
      <c r="Q488" s="431"/>
      <c r="R488" s="432"/>
      <c r="T488" s="146" t="str">
        <f t="shared" ca="1" si="85"/>
        <v/>
      </c>
      <c r="U488" s="206" t="str">
        <f t="shared" ca="1" si="86"/>
        <v/>
      </c>
      <c r="V488" s="207" t="str">
        <f t="shared" ca="1" si="87"/>
        <v/>
      </c>
      <c r="W488" s="634">
        <f ca="1">IF($Y488&gt;0,CHOOSE(MATCH(RegimeExecucao,{"Unitário","Global"},0),IF($A488="S",$Y488/$X488,""),($Y488/$X488)*100),0)</f>
        <v>0</v>
      </c>
      <c r="X488" s="433" t="str">
        <f ca="1">IF($Y488&gt;0,CHOOSE(MATCH(RegimeExecucao,{"Unitário","Global"},0),IF($A488="S",ROUND($H488,ORÇAMENTO!$AF$10),""),ROUND($I488,ORÇAMENTO!$AF$11)),"")</f>
        <v/>
      </c>
      <c r="Y488" s="433">
        <f t="shared" ca="1" si="88"/>
        <v>0</v>
      </c>
      <c r="Z488" s="434"/>
      <c r="AB488" s="431"/>
      <c r="AC488" s="599"/>
      <c r="AD488" s="599"/>
      <c r="AE488" s="599"/>
      <c r="AF488" s="599"/>
      <c r="AG488" s="599"/>
      <c r="AH488" s="599"/>
      <c r="AI488" s="599"/>
      <c r="AJ488" s="599"/>
      <c r="AK488" s="599"/>
      <c r="AL488" s="599"/>
      <c r="AM488" s="432"/>
      <c r="AO488">
        <f ca="1">IF($A488="S",IF(BM!$I488=0,0,CHOOSE(MATCH(RegimeExecucao,{"Global","Unitário"},0),ROUND(ROUND(BM.MEDAcumulado,15-13*BM!$A$9)/100*BM!$I488,15-13*ORÇAMENTO!$AF$11),ROUND(ROUND(BM.MEDAcumulado,15-13*BM!$A$9)*ROUND(BM!$H488,15-13*ORÇAMENTO!$AF$10),15-13*ORÇAMENTO!$AF$11))),IF($A488=0,0,ROUND(SomaAgrupBM,15-13*ORÇAMENTO!$AF$11)))</f>
        <v>0</v>
      </c>
    </row>
    <row r="489" spans="1:41" ht="13.8" x14ac:dyDescent="0.3">
      <c r="A489" t="str">
        <f ca="1">ORÇAMENTO!C489</f>
        <v>S</v>
      </c>
      <c r="B489">
        <f ca="1">ORÇAMENTO!D489</f>
        <v>0</v>
      </c>
      <c r="C489" s="143" t="str">
        <f t="shared" ca="1" si="78"/>
        <v/>
      </c>
      <c r="D489" s="146" t="str">
        <f ca="1">ORÇAMENTO!O489</f>
        <v>-</v>
      </c>
      <c r="E489" s="206" t="str">
        <f t="shared" ca="1" si="79"/>
        <v>(abra o arquivo 'Referência 05-2024.xls)</v>
      </c>
      <c r="F489" s="207" t="str">
        <f t="shared" ca="1" si="80"/>
        <v>-</v>
      </c>
      <c r="G489" s="151">
        <f ca="1">IF(RegimeExecucao="Global","",ORÇAMENTO!T489)</f>
        <v>2</v>
      </c>
      <c r="H489" s="151">
        <f ca="1">IF(RegimeExecucao="Global","",ORÇAMENTO!W489)</f>
        <v>0</v>
      </c>
      <c r="I489" s="154">
        <f ca="1">ORÇAMENTO!X489</f>
        <v>0</v>
      </c>
      <c r="J489" s="427">
        <f t="shared" ca="1" si="81"/>
        <v>0</v>
      </c>
      <c r="K489" s="151">
        <f t="shared" ca="1" si="82"/>
        <v>0</v>
      </c>
      <c r="L489" s="428">
        <f t="shared" ca="1" si="83"/>
        <v>0</v>
      </c>
      <c r="M489" s="429">
        <f ca="1">IF($A489="S",VTOTALBM,IF($A489=0,0,ROUND(SomaAgrupBM,15-13*ORÇAMENTO!$AF$11)))</f>
        <v>0</v>
      </c>
      <c r="N489" s="430">
        <f t="shared" ca="1" si="84"/>
        <v>0</v>
      </c>
      <c r="O489" s="154">
        <f ca="1">IF($A489="S",VTOTALBM,IF($A489=0,0,ROUND(SomaAgrupBM,15-13*ORÇAMENTO!$AF$11)))</f>
        <v>0</v>
      </c>
      <c r="Q489" s="431"/>
      <c r="R489" s="432"/>
      <c r="T489" s="146" t="str">
        <f t="shared" ca="1" si="85"/>
        <v/>
      </c>
      <c r="U489" s="206" t="str">
        <f t="shared" ca="1" si="86"/>
        <v/>
      </c>
      <c r="V489" s="207" t="str">
        <f t="shared" ca="1" si="87"/>
        <v/>
      </c>
      <c r="W489" s="634">
        <f ca="1">IF($Y489&gt;0,CHOOSE(MATCH(RegimeExecucao,{"Unitário","Global"},0),IF($A489="S",$Y489/$X489,""),($Y489/$X489)*100),0)</f>
        <v>0</v>
      </c>
      <c r="X489" s="433" t="str">
        <f ca="1">IF($Y489&gt;0,CHOOSE(MATCH(RegimeExecucao,{"Unitário","Global"},0),IF($A489="S",ROUND($H489,ORÇAMENTO!$AF$10),""),ROUND($I489,ORÇAMENTO!$AF$11)),"")</f>
        <v/>
      </c>
      <c r="Y489" s="433">
        <f t="shared" ca="1" si="88"/>
        <v>0</v>
      </c>
      <c r="Z489" s="434"/>
      <c r="AB489" s="431"/>
      <c r="AC489" s="599"/>
      <c r="AD489" s="599"/>
      <c r="AE489" s="599"/>
      <c r="AF489" s="599"/>
      <c r="AG489" s="599"/>
      <c r="AH489" s="599"/>
      <c r="AI489" s="599"/>
      <c r="AJ489" s="599"/>
      <c r="AK489" s="599"/>
      <c r="AL489" s="599"/>
      <c r="AM489" s="432"/>
      <c r="AO489">
        <f ca="1">IF($A489="S",IF(BM!$I489=0,0,CHOOSE(MATCH(RegimeExecucao,{"Global","Unitário"},0),ROUND(ROUND(BM.MEDAcumulado,15-13*BM!$A$9)/100*BM!$I489,15-13*ORÇAMENTO!$AF$11),ROUND(ROUND(BM.MEDAcumulado,15-13*BM!$A$9)*ROUND(BM!$H489,15-13*ORÇAMENTO!$AF$10),15-13*ORÇAMENTO!$AF$11))),IF($A489=0,0,ROUND(SomaAgrupBM,15-13*ORÇAMENTO!$AF$11)))</f>
        <v>0</v>
      </c>
    </row>
    <row r="490" spans="1:41" ht="13.8" x14ac:dyDescent="0.3">
      <c r="A490" t="str">
        <f ca="1">ORÇAMENTO!C490</f>
        <v>S</v>
      </c>
      <c r="B490">
        <f ca="1">ORÇAMENTO!D490</f>
        <v>0</v>
      </c>
      <c r="C490" s="143" t="str">
        <f t="shared" ca="1" si="78"/>
        <v/>
      </c>
      <c r="D490" s="146" t="str">
        <f ca="1">ORÇAMENTO!O490</f>
        <v>-</v>
      </c>
      <c r="E490" s="206" t="str">
        <f t="shared" ca="1" si="79"/>
        <v>(abra o arquivo 'Referência 05-2024.xls)</v>
      </c>
      <c r="F490" s="207" t="str">
        <f t="shared" ca="1" si="80"/>
        <v>-</v>
      </c>
      <c r="G490" s="151">
        <f ca="1">IF(RegimeExecucao="Global","",ORÇAMENTO!T490)</f>
        <v>4</v>
      </c>
      <c r="H490" s="151">
        <f ca="1">IF(RegimeExecucao="Global","",ORÇAMENTO!W490)</f>
        <v>0</v>
      </c>
      <c r="I490" s="154">
        <f ca="1">ORÇAMENTO!X490</f>
        <v>0</v>
      </c>
      <c r="J490" s="427">
        <f t="shared" ca="1" si="81"/>
        <v>0</v>
      </c>
      <c r="K490" s="151">
        <f t="shared" ca="1" si="82"/>
        <v>0</v>
      </c>
      <c r="L490" s="428">
        <f t="shared" ca="1" si="83"/>
        <v>0</v>
      </c>
      <c r="M490" s="429">
        <f ca="1">IF($A490="S",VTOTALBM,IF($A490=0,0,ROUND(SomaAgrupBM,15-13*ORÇAMENTO!$AF$11)))</f>
        <v>0</v>
      </c>
      <c r="N490" s="430">
        <f t="shared" ca="1" si="84"/>
        <v>0</v>
      </c>
      <c r="O490" s="154">
        <f ca="1">IF($A490="S",VTOTALBM,IF($A490=0,0,ROUND(SomaAgrupBM,15-13*ORÇAMENTO!$AF$11)))</f>
        <v>0</v>
      </c>
      <c r="Q490" s="431"/>
      <c r="R490" s="432"/>
      <c r="T490" s="146" t="str">
        <f t="shared" ca="1" si="85"/>
        <v/>
      </c>
      <c r="U490" s="206" t="str">
        <f t="shared" ca="1" si="86"/>
        <v/>
      </c>
      <c r="V490" s="207" t="str">
        <f t="shared" ca="1" si="87"/>
        <v/>
      </c>
      <c r="W490" s="634">
        <f ca="1">IF($Y490&gt;0,CHOOSE(MATCH(RegimeExecucao,{"Unitário","Global"},0),IF($A490="S",$Y490/$X490,""),($Y490/$X490)*100),0)</f>
        <v>0</v>
      </c>
      <c r="X490" s="433" t="str">
        <f ca="1">IF($Y490&gt;0,CHOOSE(MATCH(RegimeExecucao,{"Unitário","Global"},0),IF($A490="S",ROUND($H490,ORÇAMENTO!$AF$10),""),ROUND($I490,ORÇAMENTO!$AF$11)),"")</f>
        <v/>
      </c>
      <c r="Y490" s="433">
        <f t="shared" ca="1" si="88"/>
        <v>0</v>
      </c>
      <c r="Z490" s="434"/>
      <c r="AB490" s="431"/>
      <c r="AC490" s="599"/>
      <c r="AD490" s="599"/>
      <c r="AE490" s="599"/>
      <c r="AF490" s="599"/>
      <c r="AG490" s="599"/>
      <c r="AH490" s="599"/>
      <c r="AI490" s="599"/>
      <c r="AJ490" s="599"/>
      <c r="AK490" s="599"/>
      <c r="AL490" s="599"/>
      <c r="AM490" s="432"/>
      <c r="AO490">
        <f ca="1">IF($A490="S",IF(BM!$I490=0,0,CHOOSE(MATCH(RegimeExecucao,{"Global","Unitário"},0),ROUND(ROUND(BM.MEDAcumulado,15-13*BM!$A$9)/100*BM!$I490,15-13*ORÇAMENTO!$AF$11),ROUND(ROUND(BM.MEDAcumulado,15-13*BM!$A$9)*ROUND(BM!$H490,15-13*ORÇAMENTO!$AF$10),15-13*ORÇAMENTO!$AF$11))),IF($A490=0,0,ROUND(SomaAgrupBM,15-13*ORÇAMENTO!$AF$11)))</f>
        <v>0</v>
      </c>
    </row>
    <row r="491" spans="1:41" ht="13.8" x14ac:dyDescent="0.3">
      <c r="A491">
        <f ca="1">ORÇAMENTO!C491</f>
        <v>2</v>
      </c>
      <c r="B491">
        <f ca="1">ORÇAMENTO!D491</f>
        <v>37</v>
      </c>
      <c r="C491" s="143" t="str">
        <f t="shared" ca="1" si="78"/>
        <v>F</v>
      </c>
      <c r="D491" s="146" t="str">
        <f ca="1">ORÇAMENTO!O491</f>
        <v>1.17.</v>
      </c>
      <c r="E491" s="206" t="str">
        <f t="shared" si="79"/>
        <v>SISTEMA DE PROTEÇÃO CONTRA INCÊNDIO</v>
      </c>
      <c r="F491" s="207" t="str">
        <f t="shared" ca="1" si="80"/>
        <v>-</v>
      </c>
      <c r="G491" s="151">
        <f ca="1">IF(RegimeExecucao="Global","",ORÇAMENTO!T491)</f>
        <v>0</v>
      </c>
      <c r="H491" s="151">
        <f ca="1">IF(RegimeExecucao="Global","",ORÇAMENTO!W491)</f>
        <v>0</v>
      </c>
      <c r="I491" s="154">
        <f ca="1">ORÇAMENTO!X491</f>
        <v>0</v>
      </c>
      <c r="J491" s="427">
        <f t="shared" ca="1" si="81"/>
        <v>0</v>
      </c>
      <c r="K491" s="151">
        <f t="shared" ca="1" si="82"/>
        <v>0</v>
      </c>
      <c r="L491" s="428">
        <f t="shared" ca="1" si="83"/>
        <v>0</v>
      </c>
      <c r="M491" s="429">
        <f ca="1">IF($A491="S",VTOTALBM,IF($A491=0,0,ROUND(SomaAgrupBM,15-13*ORÇAMENTO!$AF$11)))</f>
        <v>0</v>
      </c>
      <c r="N491" s="430">
        <f t="shared" ca="1" si="84"/>
        <v>0</v>
      </c>
      <c r="O491" s="154">
        <f ca="1">IF($A491="S",VTOTALBM,IF($A491=0,0,ROUND(SomaAgrupBM,15-13*ORÇAMENTO!$AF$11)))</f>
        <v>0</v>
      </c>
      <c r="Q491" s="431"/>
      <c r="R491" s="432"/>
      <c r="T491" s="146" t="str">
        <f t="shared" ca="1" si="85"/>
        <v/>
      </c>
      <c r="U491" s="206" t="str">
        <f t="shared" ca="1" si="86"/>
        <v/>
      </c>
      <c r="V491" s="207" t="str">
        <f t="shared" ca="1" si="87"/>
        <v/>
      </c>
      <c r="W491" s="634">
        <f ca="1">IF($Y491&gt;0,CHOOSE(MATCH(RegimeExecucao,{"Unitário","Global"},0),IF($A491="S",$Y491/$X491,""),($Y491/$X491)*100),0)</f>
        <v>0</v>
      </c>
      <c r="X491" s="433" t="str">
        <f ca="1">IF($Y491&gt;0,CHOOSE(MATCH(RegimeExecucao,{"Unitário","Global"},0),IF($A491="S",ROUND($H491,ORÇAMENTO!$AF$10),""),ROUND($I491,ORÇAMENTO!$AF$11)),"")</f>
        <v/>
      </c>
      <c r="Y491" s="433">
        <f t="shared" ca="1" si="88"/>
        <v>0</v>
      </c>
      <c r="Z491" s="434"/>
      <c r="AB491" s="431"/>
      <c r="AC491" s="599"/>
      <c r="AD491" s="599"/>
      <c r="AE491" s="599"/>
      <c r="AF491" s="599"/>
      <c r="AG491" s="599"/>
      <c r="AH491" s="599"/>
      <c r="AI491" s="599"/>
      <c r="AJ491" s="599"/>
      <c r="AK491" s="599"/>
      <c r="AL491" s="599"/>
      <c r="AM491" s="432"/>
      <c r="AO491">
        <f ca="1">IF($A491="S",IF(BM!$I491=0,0,CHOOSE(MATCH(RegimeExecucao,{"Global","Unitário"},0),ROUND(ROUND(BM.MEDAcumulado,15-13*BM!$A$9)/100*BM!$I491,15-13*ORÇAMENTO!$AF$11),ROUND(ROUND(BM.MEDAcumulado,15-13*BM!$A$9)*ROUND(BM!$H491,15-13*ORÇAMENTO!$AF$10),15-13*ORÇAMENTO!$AF$11))),IF($A491=0,0,ROUND(SomaAgrupBM,15-13*ORÇAMENTO!$AF$11)))</f>
        <v>0</v>
      </c>
    </row>
    <row r="492" spans="1:41" ht="13.8" x14ac:dyDescent="0.3">
      <c r="A492">
        <f ca="1">ORÇAMENTO!C492</f>
        <v>3</v>
      </c>
      <c r="B492">
        <f ca="1">ORÇAMENTO!D492</f>
        <v>3</v>
      </c>
      <c r="C492" s="143" t="str">
        <f t="shared" ca="1" si="78"/>
        <v>F</v>
      </c>
      <c r="D492" s="146" t="str">
        <f ca="1">ORÇAMENTO!O492</f>
        <v>1.17.1.</v>
      </c>
      <c r="E492" s="206" t="str">
        <f t="shared" si="79"/>
        <v>EXTINTOR</v>
      </c>
      <c r="F492" s="207" t="str">
        <f t="shared" ca="1" si="80"/>
        <v>-</v>
      </c>
      <c r="G492" s="151">
        <f ca="1">IF(RegimeExecucao="Global","",ORÇAMENTO!T492)</f>
        <v>0</v>
      </c>
      <c r="H492" s="151">
        <f ca="1">IF(RegimeExecucao="Global","",ORÇAMENTO!W492)</f>
        <v>0</v>
      </c>
      <c r="I492" s="154">
        <f ca="1">ORÇAMENTO!X492</f>
        <v>0</v>
      </c>
      <c r="J492" s="427">
        <f t="shared" ca="1" si="81"/>
        <v>0</v>
      </c>
      <c r="K492" s="151">
        <f t="shared" ca="1" si="82"/>
        <v>0</v>
      </c>
      <c r="L492" s="428">
        <f t="shared" ca="1" si="83"/>
        <v>0</v>
      </c>
      <c r="M492" s="429">
        <f ca="1">IF($A492="S",VTOTALBM,IF($A492=0,0,ROUND(SomaAgrupBM,15-13*ORÇAMENTO!$AF$11)))</f>
        <v>0</v>
      </c>
      <c r="N492" s="430">
        <f t="shared" ca="1" si="84"/>
        <v>0</v>
      </c>
      <c r="O492" s="154">
        <f ca="1">IF($A492="S",VTOTALBM,IF($A492=0,0,ROUND(SomaAgrupBM,15-13*ORÇAMENTO!$AF$11)))</f>
        <v>0</v>
      </c>
      <c r="Q492" s="431"/>
      <c r="R492" s="432"/>
      <c r="T492" s="146" t="str">
        <f t="shared" ca="1" si="85"/>
        <v/>
      </c>
      <c r="U492" s="206" t="str">
        <f t="shared" ca="1" si="86"/>
        <v/>
      </c>
      <c r="V492" s="207" t="str">
        <f t="shared" ca="1" si="87"/>
        <v/>
      </c>
      <c r="W492" s="634">
        <f ca="1">IF($Y492&gt;0,CHOOSE(MATCH(RegimeExecucao,{"Unitário","Global"},0),IF($A492="S",$Y492/$X492,""),($Y492/$X492)*100),0)</f>
        <v>0</v>
      </c>
      <c r="X492" s="433" t="str">
        <f ca="1">IF($Y492&gt;0,CHOOSE(MATCH(RegimeExecucao,{"Unitário","Global"},0),IF($A492="S",ROUND($H492,ORÇAMENTO!$AF$10),""),ROUND($I492,ORÇAMENTO!$AF$11)),"")</f>
        <v/>
      </c>
      <c r="Y492" s="433">
        <f t="shared" ca="1" si="88"/>
        <v>0</v>
      </c>
      <c r="Z492" s="434"/>
      <c r="AB492" s="431"/>
      <c r="AC492" s="599"/>
      <c r="AD492" s="599"/>
      <c r="AE492" s="599"/>
      <c r="AF492" s="599"/>
      <c r="AG492" s="599"/>
      <c r="AH492" s="599"/>
      <c r="AI492" s="599"/>
      <c r="AJ492" s="599"/>
      <c r="AK492" s="599"/>
      <c r="AL492" s="599"/>
      <c r="AM492" s="432"/>
      <c r="AO492">
        <f ca="1">IF($A492="S",IF(BM!$I492=0,0,CHOOSE(MATCH(RegimeExecucao,{"Global","Unitário"},0),ROUND(ROUND(BM.MEDAcumulado,15-13*BM!$A$9)/100*BM!$I492,15-13*ORÇAMENTO!$AF$11),ROUND(ROUND(BM.MEDAcumulado,15-13*BM!$A$9)*ROUND(BM!$H492,15-13*ORÇAMENTO!$AF$10),15-13*ORÇAMENTO!$AF$11))),IF($A492=0,0,ROUND(SomaAgrupBM,15-13*ORÇAMENTO!$AF$11)))</f>
        <v>0</v>
      </c>
    </row>
    <row r="493" spans="1:41" ht="13.8" x14ac:dyDescent="0.3">
      <c r="A493" t="str">
        <f ca="1">ORÇAMENTO!C493</f>
        <v>S</v>
      </c>
      <c r="B493">
        <f ca="1">ORÇAMENTO!D493</f>
        <v>0</v>
      </c>
      <c r="C493" s="143" t="str">
        <f t="shared" ca="1" si="78"/>
        <v/>
      </c>
      <c r="D493" s="146" t="str">
        <f ca="1">ORÇAMENTO!O493</f>
        <v>-</v>
      </c>
      <c r="E493" s="206" t="str">
        <f t="shared" ca="1" si="79"/>
        <v>(abra o arquivo 'Referência 05-2024.xls)</v>
      </c>
      <c r="F493" s="207" t="str">
        <f t="shared" ca="1" si="80"/>
        <v>-</v>
      </c>
      <c r="G493" s="151">
        <f ca="1">IF(RegimeExecucao="Global","",ORÇAMENTO!T493)</f>
        <v>22</v>
      </c>
      <c r="H493" s="151">
        <f ca="1">IF(RegimeExecucao="Global","",ORÇAMENTO!W493)</f>
        <v>0</v>
      </c>
      <c r="I493" s="154">
        <f ca="1">ORÇAMENTO!X493</f>
        <v>0</v>
      </c>
      <c r="J493" s="427">
        <f t="shared" ca="1" si="81"/>
        <v>0</v>
      </c>
      <c r="K493" s="151">
        <f t="shared" ca="1" si="82"/>
        <v>0</v>
      </c>
      <c r="L493" s="428">
        <f t="shared" ca="1" si="83"/>
        <v>0</v>
      </c>
      <c r="M493" s="429">
        <f ca="1">IF($A493="S",VTOTALBM,IF($A493=0,0,ROUND(SomaAgrupBM,15-13*ORÇAMENTO!$AF$11)))</f>
        <v>0</v>
      </c>
      <c r="N493" s="430">
        <f t="shared" ca="1" si="84"/>
        <v>0</v>
      </c>
      <c r="O493" s="154">
        <f ca="1">IF($A493="S",VTOTALBM,IF($A493=0,0,ROUND(SomaAgrupBM,15-13*ORÇAMENTO!$AF$11)))</f>
        <v>0</v>
      </c>
      <c r="Q493" s="431"/>
      <c r="R493" s="432"/>
      <c r="T493" s="146" t="str">
        <f t="shared" ca="1" si="85"/>
        <v/>
      </c>
      <c r="U493" s="206" t="str">
        <f t="shared" ca="1" si="86"/>
        <v/>
      </c>
      <c r="V493" s="207" t="str">
        <f t="shared" ca="1" si="87"/>
        <v/>
      </c>
      <c r="W493" s="634">
        <f ca="1">IF($Y493&gt;0,CHOOSE(MATCH(RegimeExecucao,{"Unitário","Global"},0),IF($A493="S",$Y493/$X493,""),($Y493/$X493)*100),0)</f>
        <v>0</v>
      </c>
      <c r="X493" s="433" t="str">
        <f ca="1">IF($Y493&gt;0,CHOOSE(MATCH(RegimeExecucao,{"Unitário","Global"},0),IF($A493="S",ROUND($H493,ORÇAMENTO!$AF$10),""),ROUND($I493,ORÇAMENTO!$AF$11)),"")</f>
        <v/>
      </c>
      <c r="Y493" s="433">
        <f t="shared" ca="1" si="88"/>
        <v>0</v>
      </c>
      <c r="Z493" s="434"/>
      <c r="AB493" s="431"/>
      <c r="AC493" s="599"/>
      <c r="AD493" s="599"/>
      <c r="AE493" s="599"/>
      <c r="AF493" s="599"/>
      <c r="AG493" s="599"/>
      <c r="AH493" s="599"/>
      <c r="AI493" s="599"/>
      <c r="AJ493" s="599"/>
      <c r="AK493" s="599"/>
      <c r="AL493" s="599"/>
      <c r="AM493" s="432"/>
      <c r="AO493">
        <f ca="1">IF($A493="S",IF(BM!$I493=0,0,CHOOSE(MATCH(RegimeExecucao,{"Global","Unitário"},0),ROUND(ROUND(BM.MEDAcumulado,15-13*BM!$A$9)/100*BM!$I493,15-13*ORÇAMENTO!$AF$11),ROUND(ROUND(BM.MEDAcumulado,15-13*BM!$A$9)*ROUND(BM!$H493,15-13*ORÇAMENTO!$AF$10),15-13*ORÇAMENTO!$AF$11))),IF($A493=0,0,ROUND(SomaAgrupBM,15-13*ORÇAMENTO!$AF$11)))</f>
        <v>0</v>
      </c>
    </row>
    <row r="494" spans="1:41" ht="13.8" x14ac:dyDescent="0.3">
      <c r="A494" t="str">
        <f ca="1">ORÇAMENTO!C494</f>
        <v>S</v>
      </c>
      <c r="B494">
        <f ca="1">ORÇAMENTO!D494</f>
        <v>0</v>
      </c>
      <c r="C494" s="143" t="str">
        <f t="shared" ca="1" si="78"/>
        <v/>
      </c>
      <c r="D494" s="146" t="str">
        <f ca="1">ORÇAMENTO!O494</f>
        <v>-</v>
      </c>
      <c r="E494" s="206" t="str">
        <f t="shared" ca="1" si="79"/>
        <v>(abra o arquivo 'Referência 05-2024.xls)</v>
      </c>
      <c r="F494" s="207" t="str">
        <f t="shared" ca="1" si="80"/>
        <v>-</v>
      </c>
      <c r="G494" s="151">
        <f ca="1">IF(RegimeExecucao="Global","",ORÇAMENTO!T494)</f>
        <v>2</v>
      </c>
      <c r="H494" s="151">
        <f ca="1">IF(RegimeExecucao="Global","",ORÇAMENTO!W494)</f>
        <v>0</v>
      </c>
      <c r="I494" s="154">
        <f ca="1">ORÇAMENTO!X494</f>
        <v>0</v>
      </c>
      <c r="J494" s="427">
        <f t="shared" ca="1" si="81"/>
        <v>0</v>
      </c>
      <c r="K494" s="151">
        <f t="shared" ca="1" si="82"/>
        <v>0</v>
      </c>
      <c r="L494" s="428">
        <f t="shared" ca="1" si="83"/>
        <v>0</v>
      </c>
      <c r="M494" s="429">
        <f ca="1">IF($A494="S",VTOTALBM,IF($A494=0,0,ROUND(SomaAgrupBM,15-13*ORÇAMENTO!$AF$11)))</f>
        <v>0</v>
      </c>
      <c r="N494" s="430">
        <f t="shared" ca="1" si="84"/>
        <v>0</v>
      </c>
      <c r="O494" s="154">
        <f ca="1">IF($A494="S",VTOTALBM,IF($A494=0,0,ROUND(SomaAgrupBM,15-13*ORÇAMENTO!$AF$11)))</f>
        <v>0</v>
      </c>
      <c r="Q494" s="431"/>
      <c r="R494" s="432"/>
      <c r="T494" s="146" t="str">
        <f t="shared" ca="1" si="85"/>
        <v/>
      </c>
      <c r="U494" s="206" t="str">
        <f t="shared" ca="1" si="86"/>
        <v/>
      </c>
      <c r="V494" s="207" t="str">
        <f t="shared" ca="1" si="87"/>
        <v/>
      </c>
      <c r="W494" s="634">
        <f ca="1">IF($Y494&gt;0,CHOOSE(MATCH(RegimeExecucao,{"Unitário","Global"},0),IF($A494="S",$Y494/$X494,""),($Y494/$X494)*100),0)</f>
        <v>0</v>
      </c>
      <c r="X494" s="433" t="str">
        <f ca="1">IF($Y494&gt;0,CHOOSE(MATCH(RegimeExecucao,{"Unitário","Global"},0),IF($A494="S",ROUND($H494,ORÇAMENTO!$AF$10),""),ROUND($I494,ORÇAMENTO!$AF$11)),"")</f>
        <v/>
      </c>
      <c r="Y494" s="433">
        <f t="shared" ca="1" si="88"/>
        <v>0</v>
      </c>
      <c r="Z494" s="434"/>
      <c r="AB494" s="431"/>
      <c r="AC494" s="599"/>
      <c r="AD494" s="599"/>
      <c r="AE494" s="599"/>
      <c r="AF494" s="599"/>
      <c r="AG494" s="599"/>
      <c r="AH494" s="599"/>
      <c r="AI494" s="599"/>
      <c r="AJ494" s="599"/>
      <c r="AK494" s="599"/>
      <c r="AL494" s="599"/>
      <c r="AM494" s="432"/>
      <c r="AO494">
        <f ca="1">IF($A494="S",IF(BM!$I494=0,0,CHOOSE(MATCH(RegimeExecucao,{"Global","Unitário"},0),ROUND(ROUND(BM.MEDAcumulado,15-13*BM!$A$9)/100*BM!$I494,15-13*ORÇAMENTO!$AF$11),ROUND(ROUND(BM.MEDAcumulado,15-13*BM!$A$9)*ROUND(BM!$H494,15-13*ORÇAMENTO!$AF$10),15-13*ORÇAMENTO!$AF$11))),IF($A494=0,0,ROUND(SomaAgrupBM,15-13*ORÇAMENTO!$AF$11)))</f>
        <v>0</v>
      </c>
    </row>
    <row r="495" spans="1:41" ht="13.8" x14ac:dyDescent="0.3">
      <c r="A495">
        <f ca="1">ORÇAMENTO!C495</f>
        <v>3</v>
      </c>
      <c r="B495">
        <f ca="1">ORÇAMENTO!D495</f>
        <v>8</v>
      </c>
      <c r="C495" s="143" t="str">
        <f t="shared" ca="1" si="78"/>
        <v>F</v>
      </c>
      <c r="D495" s="146" t="str">
        <f ca="1">ORÇAMENTO!O495</f>
        <v>1.17.2.</v>
      </c>
      <c r="E495" s="206" t="str">
        <f t="shared" si="79"/>
        <v>FERRO MALEAVEL CLASSE 10</v>
      </c>
      <c r="F495" s="207" t="str">
        <f t="shared" ca="1" si="80"/>
        <v>-</v>
      </c>
      <c r="G495" s="151">
        <f ca="1">IF(RegimeExecucao="Global","",ORÇAMENTO!T495)</f>
        <v>0</v>
      </c>
      <c r="H495" s="151">
        <f ca="1">IF(RegimeExecucao="Global","",ORÇAMENTO!W495)</f>
        <v>0</v>
      </c>
      <c r="I495" s="154">
        <f ca="1">ORÇAMENTO!X495</f>
        <v>0</v>
      </c>
      <c r="J495" s="427">
        <f t="shared" ca="1" si="81"/>
        <v>0</v>
      </c>
      <c r="K495" s="151">
        <f t="shared" ca="1" si="82"/>
        <v>0</v>
      </c>
      <c r="L495" s="428">
        <f t="shared" ca="1" si="83"/>
        <v>0</v>
      </c>
      <c r="M495" s="429">
        <f ca="1">IF($A495="S",VTOTALBM,IF($A495=0,0,ROUND(SomaAgrupBM,15-13*ORÇAMENTO!$AF$11)))</f>
        <v>0</v>
      </c>
      <c r="N495" s="430">
        <f t="shared" ca="1" si="84"/>
        <v>0</v>
      </c>
      <c r="O495" s="154">
        <f ca="1">IF($A495="S",VTOTALBM,IF($A495=0,0,ROUND(SomaAgrupBM,15-13*ORÇAMENTO!$AF$11)))</f>
        <v>0</v>
      </c>
      <c r="Q495" s="431"/>
      <c r="R495" s="432"/>
      <c r="T495" s="146" t="str">
        <f t="shared" ca="1" si="85"/>
        <v/>
      </c>
      <c r="U495" s="206" t="str">
        <f t="shared" ca="1" si="86"/>
        <v/>
      </c>
      <c r="V495" s="207" t="str">
        <f t="shared" ca="1" si="87"/>
        <v/>
      </c>
      <c r="W495" s="634">
        <f ca="1">IF($Y495&gt;0,CHOOSE(MATCH(RegimeExecucao,{"Unitário","Global"},0),IF($A495="S",$Y495/$X495,""),($Y495/$X495)*100),0)</f>
        <v>0</v>
      </c>
      <c r="X495" s="433" t="str">
        <f ca="1">IF($Y495&gt;0,CHOOSE(MATCH(RegimeExecucao,{"Unitário","Global"},0),IF($A495="S",ROUND($H495,ORÇAMENTO!$AF$10),""),ROUND($I495,ORÇAMENTO!$AF$11)),"")</f>
        <v/>
      </c>
      <c r="Y495" s="433">
        <f t="shared" ca="1" si="88"/>
        <v>0</v>
      </c>
      <c r="Z495" s="434"/>
      <c r="AB495" s="431"/>
      <c r="AC495" s="599"/>
      <c r="AD495" s="599"/>
      <c r="AE495" s="599"/>
      <c r="AF495" s="599"/>
      <c r="AG495" s="599"/>
      <c r="AH495" s="599"/>
      <c r="AI495" s="599"/>
      <c r="AJ495" s="599"/>
      <c r="AK495" s="599"/>
      <c r="AL495" s="599"/>
      <c r="AM495" s="432"/>
      <c r="AO495">
        <f ca="1">IF($A495="S",IF(BM!$I495=0,0,CHOOSE(MATCH(RegimeExecucao,{"Global","Unitário"},0),ROUND(ROUND(BM.MEDAcumulado,15-13*BM!$A$9)/100*BM!$I495,15-13*ORÇAMENTO!$AF$11),ROUND(ROUND(BM.MEDAcumulado,15-13*BM!$A$9)*ROUND(BM!$H495,15-13*ORÇAMENTO!$AF$10),15-13*ORÇAMENTO!$AF$11))),IF($A495=0,0,ROUND(SomaAgrupBM,15-13*ORÇAMENTO!$AF$11)))</f>
        <v>0</v>
      </c>
    </row>
    <row r="496" spans="1:41" ht="13.8" x14ac:dyDescent="0.3">
      <c r="A496" t="str">
        <f ca="1">ORÇAMENTO!C496</f>
        <v>S</v>
      </c>
      <c r="B496">
        <f ca="1">ORÇAMENTO!D496</f>
        <v>0</v>
      </c>
      <c r="C496" s="143" t="str">
        <f t="shared" ca="1" si="78"/>
        <v/>
      </c>
      <c r="D496" s="146" t="str">
        <f ca="1">ORÇAMENTO!O496</f>
        <v>-</v>
      </c>
      <c r="E496" s="206" t="str">
        <f t="shared" ca="1" si="79"/>
        <v>(abra o arquivo 'Referência 05-2024.xls)</v>
      </c>
      <c r="F496" s="207" t="str">
        <f t="shared" ca="1" si="80"/>
        <v>-</v>
      </c>
      <c r="G496" s="151">
        <f ca="1">IF(RegimeExecucao="Global","",ORÇAMENTO!T496)</f>
        <v>1</v>
      </c>
      <c r="H496" s="151">
        <f ca="1">IF(RegimeExecucao="Global","",ORÇAMENTO!W496)</f>
        <v>0</v>
      </c>
      <c r="I496" s="154">
        <f ca="1">ORÇAMENTO!X496</f>
        <v>0</v>
      </c>
      <c r="J496" s="427">
        <f t="shared" ca="1" si="81"/>
        <v>0</v>
      </c>
      <c r="K496" s="151">
        <f t="shared" ca="1" si="82"/>
        <v>0</v>
      </c>
      <c r="L496" s="428">
        <f t="shared" ca="1" si="83"/>
        <v>0</v>
      </c>
      <c r="M496" s="429">
        <f ca="1">IF($A496="S",VTOTALBM,IF($A496=0,0,ROUND(SomaAgrupBM,15-13*ORÇAMENTO!$AF$11)))</f>
        <v>0</v>
      </c>
      <c r="N496" s="430">
        <f t="shared" ca="1" si="84"/>
        <v>0</v>
      </c>
      <c r="O496" s="154">
        <f ca="1">IF($A496="S",VTOTALBM,IF($A496=0,0,ROUND(SomaAgrupBM,15-13*ORÇAMENTO!$AF$11)))</f>
        <v>0</v>
      </c>
      <c r="Q496" s="431"/>
      <c r="R496" s="432"/>
      <c r="T496" s="146" t="str">
        <f t="shared" ca="1" si="85"/>
        <v/>
      </c>
      <c r="U496" s="206" t="str">
        <f t="shared" ca="1" si="86"/>
        <v/>
      </c>
      <c r="V496" s="207" t="str">
        <f t="shared" ca="1" si="87"/>
        <v/>
      </c>
      <c r="W496" s="634">
        <f ca="1">IF($Y496&gt;0,CHOOSE(MATCH(RegimeExecucao,{"Unitário","Global"},0),IF($A496="S",$Y496/$X496,""),($Y496/$X496)*100),0)</f>
        <v>0</v>
      </c>
      <c r="X496" s="433" t="str">
        <f ca="1">IF($Y496&gt;0,CHOOSE(MATCH(RegimeExecucao,{"Unitário","Global"},0),IF($A496="S",ROUND($H496,ORÇAMENTO!$AF$10),""),ROUND($I496,ORÇAMENTO!$AF$11)),"")</f>
        <v/>
      </c>
      <c r="Y496" s="433">
        <f t="shared" ca="1" si="88"/>
        <v>0</v>
      </c>
      <c r="Z496" s="434"/>
      <c r="AB496" s="431"/>
      <c r="AC496" s="599"/>
      <c r="AD496" s="599"/>
      <c r="AE496" s="599"/>
      <c r="AF496" s="599"/>
      <c r="AG496" s="599"/>
      <c r="AH496" s="599"/>
      <c r="AI496" s="599"/>
      <c r="AJ496" s="599"/>
      <c r="AK496" s="599"/>
      <c r="AL496" s="599"/>
      <c r="AM496" s="432"/>
      <c r="AO496">
        <f ca="1">IF($A496="S",IF(BM!$I496=0,0,CHOOSE(MATCH(RegimeExecucao,{"Global","Unitário"},0),ROUND(ROUND(BM.MEDAcumulado,15-13*BM!$A$9)/100*BM!$I496,15-13*ORÇAMENTO!$AF$11),ROUND(ROUND(BM.MEDAcumulado,15-13*BM!$A$9)*ROUND(BM!$H496,15-13*ORÇAMENTO!$AF$10),15-13*ORÇAMENTO!$AF$11))),IF($A496=0,0,ROUND(SomaAgrupBM,15-13*ORÇAMENTO!$AF$11)))</f>
        <v>0</v>
      </c>
    </row>
    <row r="497" spans="1:41" ht="13.8" x14ac:dyDescent="0.3">
      <c r="A497" t="str">
        <f ca="1">ORÇAMENTO!C497</f>
        <v>S</v>
      </c>
      <c r="B497">
        <f ca="1">ORÇAMENTO!D497</f>
        <v>0</v>
      </c>
      <c r="C497" s="143" t="str">
        <f t="shared" ca="1" si="78"/>
        <v/>
      </c>
      <c r="D497" s="146" t="str">
        <f ca="1">ORÇAMENTO!O497</f>
        <v>-</v>
      </c>
      <c r="E497" s="206" t="str">
        <f t="shared" ca="1" si="79"/>
        <v>(abra o arquivo 'Referência 05-2024.xls)</v>
      </c>
      <c r="F497" s="207" t="str">
        <f t="shared" ca="1" si="80"/>
        <v>-</v>
      </c>
      <c r="G497" s="151">
        <f ca="1">IF(RegimeExecucao="Global","",ORÇAMENTO!T497)</f>
        <v>43</v>
      </c>
      <c r="H497" s="151">
        <f ca="1">IF(RegimeExecucao="Global","",ORÇAMENTO!W497)</f>
        <v>0</v>
      </c>
      <c r="I497" s="154">
        <f ca="1">ORÇAMENTO!X497</f>
        <v>0</v>
      </c>
      <c r="J497" s="427">
        <f t="shared" ca="1" si="81"/>
        <v>0</v>
      </c>
      <c r="K497" s="151">
        <f t="shared" ca="1" si="82"/>
        <v>0</v>
      </c>
      <c r="L497" s="428">
        <f t="shared" ca="1" si="83"/>
        <v>0</v>
      </c>
      <c r="M497" s="429">
        <f ca="1">IF($A497="S",VTOTALBM,IF($A497=0,0,ROUND(SomaAgrupBM,15-13*ORÇAMENTO!$AF$11)))</f>
        <v>0</v>
      </c>
      <c r="N497" s="430">
        <f t="shared" ca="1" si="84"/>
        <v>0</v>
      </c>
      <c r="O497" s="154">
        <f ca="1">IF($A497="S",VTOTALBM,IF($A497=0,0,ROUND(SomaAgrupBM,15-13*ORÇAMENTO!$AF$11)))</f>
        <v>0</v>
      </c>
      <c r="Q497" s="431"/>
      <c r="R497" s="432"/>
      <c r="T497" s="146" t="str">
        <f t="shared" ca="1" si="85"/>
        <v/>
      </c>
      <c r="U497" s="206" t="str">
        <f t="shared" ca="1" si="86"/>
        <v/>
      </c>
      <c r="V497" s="207" t="str">
        <f t="shared" ca="1" si="87"/>
        <v/>
      </c>
      <c r="W497" s="634">
        <f ca="1">IF($Y497&gt;0,CHOOSE(MATCH(RegimeExecucao,{"Unitário","Global"},0),IF($A497="S",$Y497/$X497,""),($Y497/$X497)*100),0)</f>
        <v>0</v>
      </c>
      <c r="X497" s="433" t="str">
        <f ca="1">IF($Y497&gt;0,CHOOSE(MATCH(RegimeExecucao,{"Unitário","Global"},0),IF($A497="S",ROUND($H497,ORÇAMENTO!$AF$10),""),ROUND($I497,ORÇAMENTO!$AF$11)),"")</f>
        <v/>
      </c>
      <c r="Y497" s="433">
        <f t="shared" ca="1" si="88"/>
        <v>0</v>
      </c>
      <c r="Z497" s="434"/>
      <c r="AB497" s="431"/>
      <c r="AC497" s="599"/>
      <c r="AD497" s="599"/>
      <c r="AE497" s="599"/>
      <c r="AF497" s="599"/>
      <c r="AG497" s="599"/>
      <c r="AH497" s="599"/>
      <c r="AI497" s="599"/>
      <c r="AJ497" s="599"/>
      <c r="AK497" s="599"/>
      <c r="AL497" s="599"/>
      <c r="AM497" s="432"/>
      <c r="AO497">
        <f ca="1">IF($A497="S",IF(BM!$I497=0,0,CHOOSE(MATCH(RegimeExecucao,{"Global","Unitário"},0),ROUND(ROUND(BM.MEDAcumulado,15-13*BM!$A$9)/100*BM!$I497,15-13*ORÇAMENTO!$AF$11),ROUND(ROUND(BM.MEDAcumulado,15-13*BM!$A$9)*ROUND(BM!$H497,15-13*ORÇAMENTO!$AF$10),15-13*ORÇAMENTO!$AF$11))),IF($A497=0,0,ROUND(SomaAgrupBM,15-13*ORÇAMENTO!$AF$11)))</f>
        <v>0</v>
      </c>
    </row>
    <row r="498" spans="1:41" ht="13.8" x14ac:dyDescent="0.3">
      <c r="A498" t="str">
        <f ca="1">ORÇAMENTO!C498</f>
        <v>S</v>
      </c>
      <c r="B498">
        <f ca="1">ORÇAMENTO!D498</f>
        <v>0</v>
      </c>
      <c r="C498" s="143" t="str">
        <f t="shared" ca="1" si="78"/>
        <v/>
      </c>
      <c r="D498" s="146" t="str">
        <f ca="1">ORÇAMENTO!O498</f>
        <v>-</v>
      </c>
      <c r="E498" s="206" t="str">
        <f t="shared" ca="1" si="79"/>
        <v>(abra o arquivo 'Referência 05-2024.xls)</v>
      </c>
      <c r="F498" s="207" t="str">
        <f t="shared" ca="1" si="80"/>
        <v>-</v>
      </c>
      <c r="G498" s="151">
        <f ca="1">IF(RegimeExecucao="Global","",ORÇAMENTO!T498)</f>
        <v>1</v>
      </c>
      <c r="H498" s="151">
        <f ca="1">IF(RegimeExecucao="Global","",ORÇAMENTO!W498)</f>
        <v>0</v>
      </c>
      <c r="I498" s="154">
        <f ca="1">ORÇAMENTO!X498</f>
        <v>0</v>
      </c>
      <c r="J498" s="427">
        <f t="shared" ca="1" si="81"/>
        <v>0</v>
      </c>
      <c r="K498" s="151">
        <f t="shared" ca="1" si="82"/>
        <v>0</v>
      </c>
      <c r="L498" s="428">
        <f t="shared" ca="1" si="83"/>
        <v>0</v>
      </c>
      <c r="M498" s="429">
        <f ca="1">IF($A498="S",VTOTALBM,IF($A498=0,0,ROUND(SomaAgrupBM,15-13*ORÇAMENTO!$AF$11)))</f>
        <v>0</v>
      </c>
      <c r="N498" s="430">
        <f t="shared" ca="1" si="84"/>
        <v>0</v>
      </c>
      <c r="O498" s="154">
        <f ca="1">IF($A498="S",VTOTALBM,IF($A498=0,0,ROUND(SomaAgrupBM,15-13*ORÇAMENTO!$AF$11)))</f>
        <v>0</v>
      </c>
      <c r="Q498" s="431"/>
      <c r="R498" s="432"/>
      <c r="T498" s="146" t="str">
        <f t="shared" ca="1" si="85"/>
        <v/>
      </c>
      <c r="U498" s="206" t="str">
        <f t="shared" ca="1" si="86"/>
        <v/>
      </c>
      <c r="V498" s="207" t="str">
        <f t="shared" ca="1" si="87"/>
        <v/>
      </c>
      <c r="W498" s="634">
        <f ca="1">IF($Y498&gt;0,CHOOSE(MATCH(RegimeExecucao,{"Unitário","Global"},0),IF($A498="S",$Y498/$X498,""),($Y498/$X498)*100),0)</f>
        <v>0</v>
      </c>
      <c r="X498" s="433" t="str">
        <f ca="1">IF($Y498&gt;0,CHOOSE(MATCH(RegimeExecucao,{"Unitário","Global"},0),IF($A498="S",ROUND($H498,ORÇAMENTO!$AF$10),""),ROUND($I498,ORÇAMENTO!$AF$11)),"")</f>
        <v/>
      </c>
      <c r="Y498" s="433">
        <f t="shared" ca="1" si="88"/>
        <v>0</v>
      </c>
      <c r="Z498" s="434"/>
      <c r="AB498" s="431"/>
      <c r="AC498" s="599"/>
      <c r="AD498" s="599"/>
      <c r="AE498" s="599"/>
      <c r="AF498" s="599"/>
      <c r="AG498" s="599"/>
      <c r="AH498" s="599"/>
      <c r="AI498" s="599"/>
      <c r="AJ498" s="599"/>
      <c r="AK498" s="599"/>
      <c r="AL498" s="599"/>
      <c r="AM498" s="432"/>
      <c r="AO498">
        <f ca="1">IF($A498="S",IF(BM!$I498=0,0,CHOOSE(MATCH(RegimeExecucao,{"Global","Unitário"},0),ROUND(ROUND(BM.MEDAcumulado,15-13*BM!$A$9)/100*BM!$I498,15-13*ORÇAMENTO!$AF$11),ROUND(ROUND(BM.MEDAcumulado,15-13*BM!$A$9)*ROUND(BM!$H498,15-13*ORÇAMENTO!$AF$10),15-13*ORÇAMENTO!$AF$11))),IF($A498=0,0,ROUND(SomaAgrupBM,15-13*ORÇAMENTO!$AF$11)))</f>
        <v>0</v>
      </c>
    </row>
    <row r="499" spans="1:41" ht="13.8" x14ac:dyDescent="0.3">
      <c r="A499" t="str">
        <f ca="1">ORÇAMENTO!C499</f>
        <v>S</v>
      </c>
      <c r="B499">
        <f ca="1">ORÇAMENTO!D499</f>
        <v>0</v>
      </c>
      <c r="C499" s="143" t="str">
        <f t="shared" ca="1" si="78"/>
        <v/>
      </c>
      <c r="D499" s="146" t="str">
        <f ca="1">ORÇAMENTO!O499</f>
        <v>-</v>
      </c>
      <c r="E499" s="206" t="str">
        <f t="shared" ca="1" si="79"/>
        <v>(abra o arquivo 'Referência 05-2024.xls)</v>
      </c>
      <c r="F499" s="207" t="str">
        <f t="shared" ca="1" si="80"/>
        <v>-</v>
      </c>
      <c r="G499" s="151">
        <f ca="1">IF(RegimeExecucao="Global","",ORÇAMENTO!T499)</f>
        <v>11</v>
      </c>
      <c r="H499" s="151">
        <f ca="1">IF(RegimeExecucao="Global","",ORÇAMENTO!W499)</f>
        <v>0</v>
      </c>
      <c r="I499" s="154">
        <f ca="1">ORÇAMENTO!X499</f>
        <v>0</v>
      </c>
      <c r="J499" s="427">
        <f t="shared" ca="1" si="81"/>
        <v>0</v>
      </c>
      <c r="K499" s="151">
        <f t="shared" ca="1" si="82"/>
        <v>0</v>
      </c>
      <c r="L499" s="428">
        <f t="shared" ca="1" si="83"/>
        <v>0</v>
      </c>
      <c r="M499" s="429">
        <f ca="1">IF($A499="S",VTOTALBM,IF($A499=0,0,ROUND(SomaAgrupBM,15-13*ORÇAMENTO!$AF$11)))</f>
        <v>0</v>
      </c>
      <c r="N499" s="430">
        <f t="shared" ca="1" si="84"/>
        <v>0</v>
      </c>
      <c r="O499" s="154">
        <f ca="1">IF($A499="S",VTOTALBM,IF($A499=0,0,ROUND(SomaAgrupBM,15-13*ORÇAMENTO!$AF$11)))</f>
        <v>0</v>
      </c>
      <c r="Q499" s="431"/>
      <c r="R499" s="432"/>
      <c r="T499" s="146" t="str">
        <f t="shared" ca="1" si="85"/>
        <v/>
      </c>
      <c r="U499" s="206" t="str">
        <f t="shared" ca="1" si="86"/>
        <v/>
      </c>
      <c r="V499" s="207" t="str">
        <f t="shared" ca="1" si="87"/>
        <v/>
      </c>
      <c r="W499" s="634">
        <f ca="1">IF($Y499&gt;0,CHOOSE(MATCH(RegimeExecucao,{"Unitário","Global"},0),IF($A499="S",$Y499/$X499,""),($Y499/$X499)*100),0)</f>
        <v>0</v>
      </c>
      <c r="X499" s="433" t="str">
        <f ca="1">IF($Y499&gt;0,CHOOSE(MATCH(RegimeExecucao,{"Unitário","Global"},0),IF($A499="S",ROUND($H499,ORÇAMENTO!$AF$10),""),ROUND($I499,ORÇAMENTO!$AF$11)),"")</f>
        <v/>
      </c>
      <c r="Y499" s="433">
        <f t="shared" ca="1" si="88"/>
        <v>0</v>
      </c>
      <c r="Z499" s="434"/>
      <c r="AB499" s="431"/>
      <c r="AC499" s="599"/>
      <c r="AD499" s="599"/>
      <c r="AE499" s="599"/>
      <c r="AF499" s="599"/>
      <c r="AG499" s="599"/>
      <c r="AH499" s="599"/>
      <c r="AI499" s="599"/>
      <c r="AJ499" s="599"/>
      <c r="AK499" s="599"/>
      <c r="AL499" s="599"/>
      <c r="AM499" s="432"/>
      <c r="AO499">
        <f ca="1">IF($A499="S",IF(BM!$I499=0,0,CHOOSE(MATCH(RegimeExecucao,{"Global","Unitário"},0),ROUND(ROUND(BM.MEDAcumulado,15-13*BM!$A$9)/100*BM!$I499,15-13*ORÇAMENTO!$AF$11),ROUND(ROUND(BM.MEDAcumulado,15-13*BM!$A$9)*ROUND(BM!$H499,15-13*ORÇAMENTO!$AF$10),15-13*ORÇAMENTO!$AF$11))),IF($A499=0,0,ROUND(SomaAgrupBM,15-13*ORÇAMENTO!$AF$11)))</f>
        <v>0</v>
      </c>
    </row>
    <row r="500" spans="1:41" ht="13.8" x14ac:dyDescent="0.3">
      <c r="A500" t="str">
        <f ca="1">ORÇAMENTO!C500</f>
        <v>S</v>
      </c>
      <c r="B500">
        <f ca="1">ORÇAMENTO!D500</f>
        <v>0</v>
      </c>
      <c r="C500" s="143" t="str">
        <f t="shared" ca="1" si="78"/>
        <v/>
      </c>
      <c r="D500" s="146" t="str">
        <f ca="1">ORÇAMENTO!O500</f>
        <v>-</v>
      </c>
      <c r="E500" s="206" t="str">
        <f t="shared" ca="1" si="79"/>
        <v>(abra o arquivo 'Referência 05-2024.xls)</v>
      </c>
      <c r="F500" s="207" t="str">
        <f t="shared" ca="1" si="80"/>
        <v>-</v>
      </c>
      <c r="G500" s="151">
        <f ca="1">IF(RegimeExecucao="Global","",ORÇAMENTO!T500)</f>
        <v>272.31</v>
      </c>
      <c r="H500" s="151">
        <f ca="1">IF(RegimeExecucao="Global","",ORÇAMENTO!W500)</f>
        <v>0</v>
      </c>
      <c r="I500" s="154">
        <f ca="1">ORÇAMENTO!X500</f>
        <v>0</v>
      </c>
      <c r="J500" s="427">
        <f t="shared" ca="1" si="81"/>
        <v>0</v>
      </c>
      <c r="K500" s="151">
        <f t="shared" ca="1" si="82"/>
        <v>0</v>
      </c>
      <c r="L500" s="428">
        <f t="shared" ca="1" si="83"/>
        <v>0</v>
      </c>
      <c r="M500" s="429">
        <f ca="1">IF($A500="S",VTOTALBM,IF($A500=0,0,ROUND(SomaAgrupBM,15-13*ORÇAMENTO!$AF$11)))</f>
        <v>0</v>
      </c>
      <c r="N500" s="430">
        <f t="shared" ca="1" si="84"/>
        <v>0</v>
      </c>
      <c r="O500" s="154">
        <f ca="1">IF($A500="S",VTOTALBM,IF($A500=0,0,ROUND(SomaAgrupBM,15-13*ORÇAMENTO!$AF$11)))</f>
        <v>0</v>
      </c>
      <c r="Q500" s="431"/>
      <c r="R500" s="432"/>
      <c r="T500" s="146" t="str">
        <f t="shared" ca="1" si="85"/>
        <v/>
      </c>
      <c r="U500" s="206" t="str">
        <f t="shared" ca="1" si="86"/>
        <v/>
      </c>
      <c r="V500" s="207" t="str">
        <f t="shared" ca="1" si="87"/>
        <v/>
      </c>
      <c r="W500" s="634">
        <f ca="1">IF($Y500&gt;0,CHOOSE(MATCH(RegimeExecucao,{"Unitário","Global"},0),IF($A500="S",$Y500/$X500,""),($Y500/$X500)*100),0)</f>
        <v>0</v>
      </c>
      <c r="X500" s="433" t="str">
        <f ca="1">IF($Y500&gt;0,CHOOSE(MATCH(RegimeExecucao,{"Unitário","Global"},0),IF($A500="S",ROUND($H500,ORÇAMENTO!$AF$10),""),ROUND($I500,ORÇAMENTO!$AF$11)),"")</f>
        <v/>
      </c>
      <c r="Y500" s="433">
        <f t="shared" ca="1" si="88"/>
        <v>0</v>
      </c>
      <c r="Z500" s="434"/>
      <c r="AB500" s="431"/>
      <c r="AC500" s="599"/>
      <c r="AD500" s="599"/>
      <c r="AE500" s="599"/>
      <c r="AF500" s="599"/>
      <c r="AG500" s="599"/>
      <c r="AH500" s="599"/>
      <c r="AI500" s="599"/>
      <c r="AJ500" s="599"/>
      <c r="AK500" s="599"/>
      <c r="AL500" s="599"/>
      <c r="AM500" s="432"/>
      <c r="AO500">
        <f ca="1">IF($A500="S",IF(BM!$I500=0,0,CHOOSE(MATCH(RegimeExecucao,{"Global","Unitário"},0),ROUND(ROUND(BM.MEDAcumulado,15-13*BM!$A$9)/100*BM!$I500,15-13*ORÇAMENTO!$AF$11),ROUND(ROUND(BM.MEDAcumulado,15-13*BM!$A$9)*ROUND(BM!$H500,15-13*ORÇAMENTO!$AF$10),15-13*ORÇAMENTO!$AF$11))),IF($A500=0,0,ROUND(SomaAgrupBM,15-13*ORÇAMENTO!$AF$11)))</f>
        <v>0</v>
      </c>
    </row>
    <row r="501" spans="1:41" ht="13.8" x14ac:dyDescent="0.3">
      <c r="A501" t="str">
        <f ca="1">ORÇAMENTO!C501</f>
        <v>S</v>
      </c>
      <c r="B501">
        <f ca="1">ORÇAMENTO!D501</f>
        <v>0</v>
      </c>
      <c r="C501" s="143" t="str">
        <f t="shared" ca="1" si="78"/>
        <v/>
      </c>
      <c r="D501" s="146" t="str">
        <f ca="1">ORÇAMENTO!O501</f>
        <v>-</v>
      </c>
      <c r="E501" s="206" t="str">
        <f t="shared" ca="1" si="79"/>
        <v>(abra o arquivo 'Referência 05-2024.xls)</v>
      </c>
      <c r="F501" s="207" t="str">
        <f t="shared" ca="1" si="80"/>
        <v>-</v>
      </c>
      <c r="G501" s="151">
        <f ca="1">IF(RegimeExecucao="Global","",ORÇAMENTO!T501)</f>
        <v>13</v>
      </c>
      <c r="H501" s="151">
        <f ca="1">IF(RegimeExecucao="Global","",ORÇAMENTO!W501)</f>
        <v>0</v>
      </c>
      <c r="I501" s="154">
        <f ca="1">ORÇAMENTO!X501</f>
        <v>0</v>
      </c>
      <c r="J501" s="427">
        <f t="shared" ca="1" si="81"/>
        <v>0</v>
      </c>
      <c r="K501" s="151">
        <f t="shared" ca="1" si="82"/>
        <v>0</v>
      </c>
      <c r="L501" s="428">
        <f t="shared" ca="1" si="83"/>
        <v>0</v>
      </c>
      <c r="M501" s="429">
        <f ca="1">IF($A501="S",VTOTALBM,IF($A501=0,0,ROUND(SomaAgrupBM,15-13*ORÇAMENTO!$AF$11)))</f>
        <v>0</v>
      </c>
      <c r="N501" s="430">
        <f t="shared" ca="1" si="84"/>
        <v>0</v>
      </c>
      <c r="O501" s="154">
        <f ca="1">IF($A501="S",VTOTALBM,IF($A501=0,0,ROUND(SomaAgrupBM,15-13*ORÇAMENTO!$AF$11)))</f>
        <v>0</v>
      </c>
      <c r="Q501" s="431"/>
      <c r="R501" s="432"/>
      <c r="T501" s="146" t="str">
        <f t="shared" ca="1" si="85"/>
        <v/>
      </c>
      <c r="U501" s="206" t="str">
        <f t="shared" ca="1" si="86"/>
        <v/>
      </c>
      <c r="V501" s="207" t="str">
        <f t="shared" ca="1" si="87"/>
        <v/>
      </c>
      <c r="W501" s="634">
        <f ca="1">IF($Y501&gt;0,CHOOSE(MATCH(RegimeExecucao,{"Unitário","Global"},0),IF($A501="S",$Y501/$X501,""),($Y501/$X501)*100),0)</f>
        <v>0</v>
      </c>
      <c r="X501" s="433" t="str">
        <f ca="1">IF($Y501&gt;0,CHOOSE(MATCH(RegimeExecucao,{"Unitário","Global"},0),IF($A501="S",ROUND($H501,ORÇAMENTO!$AF$10),""),ROUND($I501,ORÇAMENTO!$AF$11)),"")</f>
        <v/>
      </c>
      <c r="Y501" s="433">
        <f t="shared" ca="1" si="88"/>
        <v>0</v>
      </c>
      <c r="Z501" s="434"/>
      <c r="AB501" s="431"/>
      <c r="AC501" s="599"/>
      <c r="AD501" s="599"/>
      <c r="AE501" s="599"/>
      <c r="AF501" s="599"/>
      <c r="AG501" s="599"/>
      <c r="AH501" s="599"/>
      <c r="AI501" s="599"/>
      <c r="AJ501" s="599"/>
      <c r="AK501" s="599"/>
      <c r="AL501" s="599"/>
      <c r="AM501" s="432"/>
      <c r="AO501">
        <f ca="1">IF($A501="S",IF(BM!$I501=0,0,CHOOSE(MATCH(RegimeExecucao,{"Global","Unitário"},0),ROUND(ROUND(BM.MEDAcumulado,15-13*BM!$A$9)/100*BM!$I501,15-13*ORÇAMENTO!$AF$11),ROUND(ROUND(BM.MEDAcumulado,15-13*BM!$A$9)*ROUND(BM!$H501,15-13*ORÇAMENTO!$AF$10),15-13*ORÇAMENTO!$AF$11))),IF($A501=0,0,ROUND(SomaAgrupBM,15-13*ORÇAMENTO!$AF$11)))</f>
        <v>0</v>
      </c>
    </row>
    <row r="502" spans="1:41" ht="13.8" x14ac:dyDescent="0.3">
      <c r="A502" t="str">
        <f ca="1">ORÇAMENTO!C502</f>
        <v>S</v>
      </c>
      <c r="B502">
        <f ca="1">ORÇAMENTO!D502</f>
        <v>0</v>
      </c>
      <c r="C502" s="143" t="str">
        <f t="shared" ca="1" si="78"/>
        <v/>
      </c>
      <c r="D502" s="146" t="str">
        <f ca="1">ORÇAMENTO!O502</f>
        <v>-</v>
      </c>
      <c r="E502" s="206" t="str">
        <f t="shared" ca="1" si="79"/>
        <v>(abra o arquivo 'Referência 05-2024.xls)</v>
      </c>
      <c r="F502" s="207" t="str">
        <f t="shared" ca="1" si="80"/>
        <v>-</v>
      </c>
      <c r="G502" s="151">
        <f ca="1">IF(RegimeExecucao="Global","",ORÇAMENTO!T502)</f>
        <v>6</v>
      </c>
      <c r="H502" s="151">
        <f ca="1">IF(RegimeExecucao="Global","",ORÇAMENTO!W502)</f>
        <v>0</v>
      </c>
      <c r="I502" s="154">
        <f ca="1">ORÇAMENTO!X502</f>
        <v>0</v>
      </c>
      <c r="J502" s="427">
        <f t="shared" ca="1" si="81"/>
        <v>0</v>
      </c>
      <c r="K502" s="151">
        <f t="shared" ca="1" si="82"/>
        <v>0</v>
      </c>
      <c r="L502" s="428">
        <f t="shared" ca="1" si="83"/>
        <v>0</v>
      </c>
      <c r="M502" s="429">
        <f ca="1">IF($A502="S",VTOTALBM,IF($A502=0,0,ROUND(SomaAgrupBM,15-13*ORÇAMENTO!$AF$11)))</f>
        <v>0</v>
      </c>
      <c r="N502" s="430">
        <f t="shared" ca="1" si="84"/>
        <v>0</v>
      </c>
      <c r="O502" s="154">
        <f ca="1">IF($A502="S",VTOTALBM,IF($A502=0,0,ROUND(SomaAgrupBM,15-13*ORÇAMENTO!$AF$11)))</f>
        <v>0</v>
      </c>
      <c r="Q502" s="431"/>
      <c r="R502" s="432"/>
      <c r="T502" s="146" t="str">
        <f t="shared" ca="1" si="85"/>
        <v/>
      </c>
      <c r="U502" s="206" t="str">
        <f t="shared" ca="1" si="86"/>
        <v/>
      </c>
      <c r="V502" s="207" t="str">
        <f t="shared" ca="1" si="87"/>
        <v/>
      </c>
      <c r="W502" s="634">
        <f ca="1">IF($Y502&gt;0,CHOOSE(MATCH(RegimeExecucao,{"Unitário","Global"},0),IF($A502="S",$Y502/$X502,""),($Y502/$X502)*100),0)</f>
        <v>0</v>
      </c>
      <c r="X502" s="433" t="str">
        <f ca="1">IF($Y502&gt;0,CHOOSE(MATCH(RegimeExecucao,{"Unitário","Global"},0),IF($A502="S",ROUND($H502,ORÇAMENTO!$AF$10),""),ROUND($I502,ORÇAMENTO!$AF$11)),"")</f>
        <v/>
      </c>
      <c r="Y502" s="433">
        <f t="shared" ca="1" si="88"/>
        <v>0</v>
      </c>
      <c r="Z502" s="434"/>
      <c r="AB502" s="431"/>
      <c r="AC502" s="599"/>
      <c r="AD502" s="599"/>
      <c r="AE502" s="599"/>
      <c r="AF502" s="599"/>
      <c r="AG502" s="599"/>
      <c r="AH502" s="599"/>
      <c r="AI502" s="599"/>
      <c r="AJ502" s="599"/>
      <c r="AK502" s="599"/>
      <c r="AL502" s="599"/>
      <c r="AM502" s="432"/>
      <c r="AO502">
        <f ca="1">IF($A502="S",IF(BM!$I502=0,0,CHOOSE(MATCH(RegimeExecucao,{"Global","Unitário"},0),ROUND(ROUND(BM.MEDAcumulado,15-13*BM!$A$9)/100*BM!$I502,15-13*ORÇAMENTO!$AF$11),ROUND(ROUND(BM.MEDAcumulado,15-13*BM!$A$9)*ROUND(BM!$H502,15-13*ORÇAMENTO!$AF$10),15-13*ORÇAMENTO!$AF$11))),IF($A502=0,0,ROUND(SomaAgrupBM,15-13*ORÇAMENTO!$AF$11)))</f>
        <v>0</v>
      </c>
    </row>
    <row r="503" spans="1:41" ht="13.8" x14ac:dyDescent="0.3">
      <c r="A503">
        <f ca="1">ORÇAMENTO!C503</f>
        <v>3</v>
      </c>
      <c r="B503">
        <f ca="1">ORÇAMENTO!D503</f>
        <v>4</v>
      </c>
      <c r="C503" s="143" t="str">
        <f t="shared" ca="1" si="78"/>
        <v>F</v>
      </c>
      <c r="D503" s="146" t="str">
        <f ca="1">ORÇAMENTO!O503</f>
        <v>1.17.3.</v>
      </c>
      <c r="E503" s="206" t="str">
        <f t="shared" si="79"/>
        <v>METAIS</v>
      </c>
      <c r="F503" s="207" t="str">
        <f t="shared" ca="1" si="80"/>
        <v>-</v>
      </c>
      <c r="G503" s="151">
        <f ca="1">IF(RegimeExecucao="Global","",ORÇAMENTO!T503)</f>
        <v>0</v>
      </c>
      <c r="H503" s="151">
        <f ca="1">IF(RegimeExecucao="Global","",ORÇAMENTO!W503)</f>
        <v>0</v>
      </c>
      <c r="I503" s="154">
        <f ca="1">ORÇAMENTO!X503</f>
        <v>0</v>
      </c>
      <c r="J503" s="427">
        <f t="shared" ca="1" si="81"/>
        <v>0</v>
      </c>
      <c r="K503" s="151">
        <f t="shared" ca="1" si="82"/>
        <v>0</v>
      </c>
      <c r="L503" s="428">
        <f t="shared" ca="1" si="83"/>
        <v>0</v>
      </c>
      <c r="M503" s="429">
        <f ca="1">IF($A503="S",VTOTALBM,IF($A503=0,0,ROUND(SomaAgrupBM,15-13*ORÇAMENTO!$AF$11)))</f>
        <v>0</v>
      </c>
      <c r="N503" s="430">
        <f t="shared" ca="1" si="84"/>
        <v>0</v>
      </c>
      <c r="O503" s="154">
        <f ca="1">IF($A503="S",VTOTALBM,IF($A503=0,0,ROUND(SomaAgrupBM,15-13*ORÇAMENTO!$AF$11)))</f>
        <v>0</v>
      </c>
      <c r="Q503" s="431"/>
      <c r="R503" s="432"/>
      <c r="T503" s="146" t="str">
        <f t="shared" ca="1" si="85"/>
        <v/>
      </c>
      <c r="U503" s="206" t="str">
        <f t="shared" ca="1" si="86"/>
        <v/>
      </c>
      <c r="V503" s="207" t="str">
        <f t="shared" ca="1" si="87"/>
        <v/>
      </c>
      <c r="W503" s="634">
        <f ca="1">IF($Y503&gt;0,CHOOSE(MATCH(RegimeExecucao,{"Unitário","Global"},0),IF($A503="S",$Y503/$X503,""),($Y503/$X503)*100),0)</f>
        <v>0</v>
      </c>
      <c r="X503" s="433" t="str">
        <f ca="1">IF($Y503&gt;0,CHOOSE(MATCH(RegimeExecucao,{"Unitário","Global"},0),IF($A503="S",ROUND($H503,ORÇAMENTO!$AF$10),""),ROUND($I503,ORÇAMENTO!$AF$11)),"")</f>
        <v/>
      </c>
      <c r="Y503" s="433">
        <f t="shared" ca="1" si="88"/>
        <v>0</v>
      </c>
      <c r="Z503" s="434"/>
      <c r="AB503" s="431"/>
      <c r="AC503" s="599"/>
      <c r="AD503" s="599"/>
      <c r="AE503" s="599"/>
      <c r="AF503" s="599"/>
      <c r="AG503" s="599"/>
      <c r="AH503" s="599"/>
      <c r="AI503" s="599"/>
      <c r="AJ503" s="599"/>
      <c r="AK503" s="599"/>
      <c r="AL503" s="599"/>
      <c r="AM503" s="432"/>
      <c r="AO503">
        <f ca="1">IF($A503="S",IF(BM!$I503=0,0,CHOOSE(MATCH(RegimeExecucao,{"Global","Unitário"},0),ROUND(ROUND(BM.MEDAcumulado,15-13*BM!$A$9)/100*BM!$I503,15-13*ORÇAMENTO!$AF$11),ROUND(ROUND(BM.MEDAcumulado,15-13*BM!$A$9)*ROUND(BM!$H503,15-13*ORÇAMENTO!$AF$10),15-13*ORÇAMENTO!$AF$11))),IF($A503=0,0,ROUND(SomaAgrupBM,15-13*ORÇAMENTO!$AF$11)))</f>
        <v>0</v>
      </c>
    </row>
    <row r="504" spans="1:41" ht="13.8" x14ac:dyDescent="0.3">
      <c r="A504" t="str">
        <f ca="1">ORÇAMENTO!C504</f>
        <v>S</v>
      </c>
      <c r="B504">
        <f ca="1">ORÇAMENTO!D504</f>
        <v>0</v>
      </c>
      <c r="C504" s="143" t="str">
        <f t="shared" ca="1" si="78"/>
        <v/>
      </c>
      <c r="D504" s="146" t="str">
        <f ca="1">ORÇAMENTO!O504</f>
        <v>-</v>
      </c>
      <c r="E504" s="206" t="str">
        <f t="shared" ca="1" si="79"/>
        <v>(abra o arquivo 'Referência 05-2024.xls)</v>
      </c>
      <c r="F504" s="207" t="str">
        <f t="shared" ca="1" si="80"/>
        <v>-</v>
      </c>
      <c r="G504" s="151">
        <f ca="1">IF(RegimeExecucao="Global","",ORÇAMENTO!T504)</f>
        <v>5</v>
      </c>
      <c r="H504" s="151">
        <f ca="1">IF(RegimeExecucao="Global","",ORÇAMENTO!W504)</f>
        <v>0</v>
      </c>
      <c r="I504" s="154">
        <f ca="1">ORÇAMENTO!X504</f>
        <v>0</v>
      </c>
      <c r="J504" s="427">
        <f t="shared" ca="1" si="81"/>
        <v>0</v>
      </c>
      <c r="K504" s="151">
        <f t="shared" ca="1" si="82"/>
        <v>0</v>
      </c>
      <c r="L504" s="428">
        <f t="shared" ca="1" si="83"/>
        <v>0</v>
      </c>
      <c r="M504" s="429">
        <f ca="1">IF($A504="S",VTOTALBM,IF($A504=0,0,ROUND(SomaAgrupBM,15-13*ORÇAMENTO!$AF$11)))</f>
        <v>0</v>
      </c>
      <c r="N504" s="430">
        <f t="shared" ca="1" si="84"/>
        <v>0</v>
      </c>
      <c r="O504" s="154">
        <f ca="1">IF($A504="S",VTOTALBM,IF($A504=0,0,ROUND(SomaAgrupBM,15-13*ORÇAMENTO!$AF$11)))</f>
        <v>0</v>
      </c>
      <c r="Q504" s="431"/>
      <c r="R504" s="432"/>
      <c r="T504" s="146" t="str">
        <f t="shared" ca="1" si="85"/>
        <v/>
      </c>
      <c r="U504" s="206" t="str">
        <f t="shared" ca="1" si="86"/>
        <v/>
      </c>
      <c r="V504" s="207" t="str">
        <f t="shared" ca="1" si="87"/>
        <v/>
      </c>
      <c r="W504" s="634">
        <f ca="1">IF($Y504&gt;0,CHOOSE(MATCH(RegimeExecucao,{"Unitário","Global"},0),IF($A504="S",$Y504/$X504,""),($Y504/$X504)*100),0)</f>
        <v>0</v>
      </c>
      <c r="X504" s="433" t="str">
        <f ca="1">IF($Y504&gt;0,CHOOSE(MATCH(RegimeExecucao,{"Unitário","Global"},0),IF($A504="S",ROUND($H504,ORÇAMENTO!$AF$10),""),ROUND($I504,ORÇAMENTO!$AF$11)),"")</f>
        <v/>
      </c>
      <c r="Y504" s="433">
        <f t="shared" ca="1" si="88"/>
        <v>0</v>
      </c>
      <c r="Z504" s="434"/>
      <c r="AB504" s="431"/>
      <c r="AC504" s="599"/>
      <c r="AD504" s="599"/>
      <c r="AE504" s="599"/>
      <c r="AF504" s="599"/>
      <c r="AG504" s="599"/>
      <c r="AH504" s="599"/>
      <c r="AI504" s="599"/>
      <c r="AJ504" s="599"/>
      <c r="AK504" s="599"/>
      <c r="AL504" s="599"/>
      <c r="AM504" s="432"/>
      <c r="AO504">
        <f ca="1">IF($A504="S",IF(BM!$I504=0,0,CHOOSE(MATCH(RegimeExecucao,{"Global","Unitário"},0),ROUND(ROUND(BM.MEDAcumulado,15-13*BM!$A$9)/100*BM!$I504,15-13*ORÇAMENTO!$AF$11),ROUND(ROUND(BM.MEDAcumulado,15-13*BM!$A$9)*ROUND(BM!$H504,15-13*ORÇAMENTO!$AF$10),15-13*ORÇAMENTO!$AF$11))),IF($A504=0,0,ROUND(SomaAgrupBM,15-13*ORÇAMENTO!$AF$11)))</f>
        <v>0</v>
      </c>
    </row>
    <row r="505" spans="1:41" ht="13.8" x14ac:dyDescent="0.3">
      <c r="A505" t="str">
        <f ca="1">ORÇAMENTO!C505</f>
        <v>S</v>
      </c>
      <c r="B505">
        <f ca="1">ORÇAMENTO!D505</f>
        <v>0</v>
      </c>
      <c r="C505" s="143" t="str">
        <f t="shared" ca="1" si="78"/>
        <v/>
      </c>
      <c r="D505" s="146" t="str">
        <f ca="1">ORÇAMENTO!O505</f>
        <v>-</v>
      </c>
      <c r="E505" s="206" t="str">
        <f t="shared" ca="1" si="79"/>
        <v>(abra o arquivo 'Referência 05-2024.xls)</v>
      </c>
      <c r="F505" s="207" t="str">
        <f t="shared" ca="1" si="80"/>
        <v>-</v>
      </c>
      <c r="G505" s="151">
        <f ca="1">IF(RegimeExecucao="Global","",ORÇAMENTO!T505)</f>
        <v>2</v>
      </c>
      <c r="H505" s="151">
        <f ca="1">IF(RegimeExecucao="Global","",ORÇAMENTO!W505)</f>
        <v>0</v>
      </c>
      <c r="I505" s="154">
        <f ca="1">ORÇAMENTO!X505</f>
        <v>0</v>
      </c>
      <c r="J505" s="427">
        <f t="shared" ca="1" si="81"/>
        <v>0</v>
      </c>
      <c r="K505" s="151">
        <f t="shared" ca="1" si="82"/>
        <v>0</v>
      </c>
      <c r="L505" s="428">
        <f t="shared" ca="1" si="83"/>
        <v>0</v>
      </c>
      <c r="M505" s="429">
        <f ca="1">IF($A505="S",VTOTALBM,IF($A505=0,0,ROUND(SomaAgrupBM,15-13*ORÇAMENTO!$AF$11)))</f>
        <v>0</v>
      </c>
      <c r="N505" s="430">
        <f t="shared" ca="1" si="84"/>
        <v>0</v>
      </c>
      <c r="O505" s="154">
        <f ca="1">IF($A505="S",VTOTALBM,IF($A505=0,0,ROUND(SomaAgrupBM,15-13*ORÇAMENTO!$AF$11)))</f>
        <v>0</v>
      </c>
      <c r="Q505" s="431"/>
      <c r="R505" s="432"/>
      <c r="T505" s="146" t="str">
        <f t="shared" ca="1" si="85"/>
        <v/>
      </c>
      <c r="U505" s="206" t="str">
        <f t="shared" ca="1" si="86"/>
        <v/>
      </c>
      <c r="V505" s="207" t="str">
        <f t="shared" ca="1" si="87"/>
        <v/>
      </c>
      <c r="W505" s="634">
        <f ca="1">IF($Y505&gt;0,CHOOSE(MATCH(RegimeExecucao,{"Unitário","Global"},0),IF($A505="S",$Y505/$X505,""),($Y505/$X505)*100),0)</f>
        <v>0</v>
      </c>
      <c r="X505" s="433" t="str">
        <f ca="1">IF($Y505&gt;0,CHOOSE(MATCH(RegimeExecucao,{"Unitário","Global"},0),IF($A505="S",ROUND($H505,ORÇAMENTO!$AF$10),""),ROUND($I505,ORÇAMENTO!$AF$11)),"")</f>
        <v/>
      </c>
      <c r="Y505" s="433">
        <f t="shared" ca="1" si="88"/>
        <v>0</v>
      </c>
      <c r="Z505" s="434"/>
      <c r="AB505" s="431"/>
      <c r="AC505" s="599"/>
      <c r="AD505" s="599"/>
      <c r="AE505" s="599"/>
      <c r="AF505" s="599"/>
      <c r="AG505" s="599"/>
      <c r="AH505" s="599"/>
      <c r="AI505" s="599"/>
      <c r="AJ505" s="599"/>
      <c r="AK505" s="599"/>
      <c r="AL505" s="599"/>
      <c r="AM505" s="432"/>
      <c r="AO505">
        <f ca="1">IF($A505="S",IF(BM!$I505=0,0,CHOOSE(MATCH(RegimeExecucao,{"Global","Unitário"},0),ROUND(ROUND(BM.MEDAcumulado,15-13*BM!$A$9)/100*BM!$I505,15-13*ORÇAMENTO!$AF$11),ROUND(ROUND(BM.MEDAcumulado,15-13*BM!$A$9)*ROUND(BM!$H505,15-13*ORÇAMENTO!$AF$10),15-13*ORÇAMENTO!$AF$11))),IF($A505=0,0,ROUND(SomaAgrupBM,15-13*ORÇAMENTO!$AF$11)))</f>
        <v>0</v>
      </c>
    </row>
    <row r="506" spans="1:41" ht="13.8" x14ac:dyDescent="0.3">
      <c r="A506" t="str">
        <f ca="1">ORÇAMENTO!C506</f>
        <v>S</v>
      </c>
      <c r="B506">
        <f ca="1">ORÇAMENTO!D506</f>
        <v>0</v>
      </c>
      <c r="C506" s="143" t="str">
        <f t="shared" ca="1" si="78"/>
        <v/>
      </c>
      <c r="D506" s="146" t="str">
        <f ca="1">ORÇAMENTO!O506</f>
        <v>-</v>
      </c>
      <c r="E506" s="206" t="str">
        <f t="shared" ca="1" si="79"/>
        <v>(abra o arquivo 'Referência 05-2024.xls)</v>
      </c>
      <c r="F506" s="207" t="str">
        <f t="shared" ca="1" si="80"/>
        <v>-</v>
      </c>
      <c r="G506" s="151">
        <f ca="1">IF(RegimeExecucao="Global","",ORÇAMENTO!T506)</f>
        <v>1</v>
      </c>
      <c r="H506" s="151">
        <f ca="1">IF(RegimeExecucao="Global","",ORÇAMENTO!W506)</f>
        <v>0</v>
      </c>
      <c r="I506" s="154">
        <f ca="1">ORÇAMENTO!X506</f>
        <v>0</v>
      </c>
      <c r="J506" s="427">
        <f t="shared" ca="1" si="81"/>
        <v>0</v>
      </c>
      <c r="K506" s="151">
        <f t="shared" ca="1" si="82"/>
        <v>0</v>
      </c>
      <c r="L506" s="428">
        <f t="shared" ca="1" si="83"/>
        <v>0</v>
      </c>
      <c r="M506" s="429">
        <f ca="1">IF($A506="S",VTOTALBM,IF($A506=0,0,ROUND(SomaAgrupBM,15-13*ORÇAMENTO!$AF$11)))</f>
        <v>0</v>
      </c>
      <c r="N506" s="430">
        <f t="shared" ca="1" si="84"/>
        <v>0</v>
      </c>
      <c r="O506" s="154">
        <f ca="1">IF($A506="S",VTOTALBM,IF($A506=0,0,ROUND(SomaAgrupBM,15-13*ORÇAMENTO!$AF$11)))</f>
        <v>0</v>
      </c>
      <c r="Q506" s="431"/>
      <c r="R506" s="432"/>
      <c r="T506" s="146" t="str">
        <f t="shared" ca="1" si="85"/>
        <v/>
      </c>
      <c r="U506" s="206" t="str">
        <f t="shared" ca="1" si="86"/>
        <v/>
      </c>
      <c r="V506" s="207" t="str">
        <f t="shared" ca="1" si="87"/>
        <v/>
      </c>
      <c r="W506" s="634">
        <f ca="1">IF($Y506&gt;0,CHOOSE(MATCH(RegimeExecucao,{"Unitário","Global"},0),IF($A506="S",$Y506/$X506,""),($Y506/$X506)*100),0)</f>
        <v>0</v>
      </c>
      <c r="X506" s="433" t="str">
        <f ca="1">IF($Y506&gt;0,CHOOSE(MATCH(RegimeExecucao,{"Unitário","Global"},0),IF($A506="S",ROUND($H506,ORÇAMENTO!$AF$10),""),ROUND($I506,ORÇAMENTO!$AF$11)),"")</f>
        <v/>
      </c>
      <c r="Y506" s="433">
        <f t="shared" ca="1" si="88"/>
        <v>0</v>
      </c>
      <c r="Z506" s="434"/>
      <c r="AB506" s="431"/>
      <c r="AC506" s="599"/>
      <c r="AD506" s="599"/>
      <c r="AE506" s="599"/>
      <c r="AF506" s="599"/>
      <c r="AG506" s="599"/>
      <c r="AH506" s="599"/>
      <c r="AI506" s="599"/>
      <c r="AJ506" s="599"/>
      <c r="AK506" s="599"/>
      <c r="AL506" s="599"/>
      <c r="AM506" s="432"/>
      <c r="AO506">
        <f ca="1">IF($A506="S",IF(BM!$I506=0,0,CHOOSE(MATCH(RegimeExecucao,{"Global","Unitário"},0),ROUND(ROUND(BM.MEDAcumulado,15-13*BM!$A$9)/100*BM!$I506,15-13*ORÇAMENTO!$AF$11),ROUND(ROUND(BM.MEDAcumulado,15-13*BM!$A$9)*ROUND(BM!$H506,15-13*ORÇAMENTO!$AF$10),15-13*ORÇAMENTO!$AF$11))),IF($A506=0,0,ROUND(SomaAgrupBM,15-13*ORÇAMENTO!$AF$11)))</f>
        <v>0</v>
      </c>
    </row>
    <row r="507" spans="1:41" ht="13.8" x14ac:dyDescent="0.3">
      <c r="A507">
        <f ca="1">ORÇAMENTO!C507</f>
        <v>3</v>
      </c>
      <c r="B507">
        <f ca="1">ORÇAMENTO!D507</f>
        <v>6</v>
      </c>
      <c r="C507" s="143" t="str">
        <f t="shared" ca="1" si="78"/>
        <v>F</v>
      </c>
      <c r="D507" s="146" t="str">
        <f ca="1">ORÇAMENTO!O507</f>
        <v>1.17.4.</v>
      </c>
      <c r="E507" s="206" t="str">
        <f t="shared" si="79"/>
        <v>HIDRANTES</v>
      </c>
      <c r="F507" s="207" t="str">
        <f t="shared" ca="1" si="80"/>
        <v>-</v>
      </c>
      <c r="G507" s="151">
        <f ca="1">IF(RegimeExecucao="Global","",ORÇAMENTO!T507)</f>
        <v>0</v>
      </c>
      <c r="H507" s="151">
        <f ca="1">IF(RegimeExecucao="Global","",ORÇAMENTO!W507)</f>
        <v>0</v>
      </c>
      <c r="I507" s="154">
        <f ca="1">ORÇAMENTO!X507</f>
        <v>0</v>
      </c>
      <c r="J507" s="427">
        <f t="shared" ca="1" si="81"/>
        <v>0</v>
      </c>
      <c r="K507" s="151">
        <f t="shared" ca="1" si="82"/>
        <v>0</v>
      </c>
      <c r="L507" s="428">
        <f t="shared" ca="1" si="83"/>
        <v>0</v>
      </c>
      <c r="M507" s="429">
        <f ca="1">IF($A507="S",VTOTALBM,IF($A507=0,0,ROUND(SomaAgrupBM,15-13*ORÇAMENTO!$AF$11)))</f>
        <v>0</v>
      </c>
      <c r="N507" s="430">
        <f t="shared" ca="1" si="84"/>
        <v>0</v>
      </c>
      <c r="O507" s="154">
        <f ca="1">IF($A507="S",VTOTALBM,IF($A507=0,0,ROUND(SomaAgrupBM,15-13*ORÇAMENTO!$AF$11)))</f>
        <v>0</v>
      </c>
      <c r="Q507" s="431"/>
      <c r="R507" s="432"/>
      <c r="T507" s="146" t="str">
        <f t="shared" ca="1" si="85"/>
        <v/>
      </c>
      <c r="U507" s="206" t="str">
        <f t="shared" ca="1" si="86"/>
        <v/>
      </c>
      <c r="V507" s="207" t="str">
        <f t="shared" ca="1" si="87"/>
        <v/>
      </c>
      <c r="W507" s="634">
        <f ca="1">IF($Y507&gt;0,CHOOSE(MATCH(RegimeExecucao,{"Unitário","Global"},0),IF($A507="S",$Y507/$X507,""),($Y507/$X507)*100),0)</f>
        <v>0</v>
      </c>
      <c r="X507" s="433" t="str">
        <f ca="1">IF($Y507&gt;0,CHOOSE(MATCH(RegimeExecucao,{"Unitário","Global"},0),IF($A507="S",ROUND($H507,ORÇAMENTO!$AF$10),""),ROUND($I507,ORÇAMENTO!$AF$11)),"")</f>
        <v/>
      </c>
      <c r="Y507" s="433">
        <f t="shared" ca="1" si="88"/>
        <v>0</v>
      </c>
      <c r="Z507" s="434"/>
      <c r="AB507" s="431"/>
      <c r="AC507" s="599"/>
      <c r="AD507" s="599"/>
      <c r="AE507" s="599"/>
      <c r="AF507" s="599"/>
      <c r="AG507" s="599"/>
      <c r="AH507" s="599"/>
      <c r="AI507" s="599"/>
      <c r="AJ507" s="599"/>
      <c r="AK507" s="599"/>
      <c r="AL507" s="599"/>
      <c r="AM507" s="432"/>
      <c r="AO507">
        <f ca="1">IF($A507="S",IF(BM!$I507=0,0,CHOOSE(MATCH(RegimeExecucao,{"Global","Unitário"},0),ROUND(ROUND(BM.MEDAcumulado,15-13*BM!$A$9)/100*BM!$I507,15-13*ORÇAMENTO!$AF$11),ROUND(ROUND(BM.MEDAcumulado,15-13*BM!$A$9)*ROUND(BM!$H507,15-13*ORÇAMENTO!$AF$10),15-13*ORÇAMENTO!$AF$11))),IF($A507=0,0,ROUND(SomaAgrupBM,15-13*ORÇAMENTO!$AF$11)))</f>
        <v>0</v>
      </c>
    </row>
    <row r="508" spans="1:41" ht="13.8" x14ac:dyDescent="0.3">
      <c r="A508" t="str">
        <f ca="1">ORÇAMENTO!C508</f>
        <v>S</v>
      </c>
      <c r="B508">
        <f ca="1">ORÇAMENTO!D508</f>
        <v>0</v>
      </c>
      <c r="C508" s="143" t="str">
        <f t="shared" ca="1" si="78"/>
        <v/>
      </c>
      <c r="D508" s="146" t="str">
        <f ca="1">ORÇAMENTO!O508</f>
        <v>-</v>
      </c>
      <c r="E508" s="206" t="str">
        <f t="shared" ca="1" si="79"/>
        <v>(abra o arquivo 'Referência 05-2024.xls)</v>
      </c>
      <c r="F508" s="207" t="str">
        <f t="shared" ca="1" si="80"/>
        <v>-</v>
      </c>
      <c r="G508" s="151">
        <f ca="1">IF(RegimeExecucao="Global","",ORÇAMENTO!T508)</f>
        <v>9</v>
      </c>
      <c r="H508" s="151">
        <f ca="1">IF(RegimeExecucao="Global","",ORÇAMENTO!W508)</f>
        <v>0</v>
      </c>
      <c r="I508" s="154">
        <f ca="1">ORÇAMENTO!X508</f>
        <v>0</v>
      </c>
      <c r="J508" s="427">
        <f t="shared" ca="1" si="81"/>
        <v>0</v>
      </c>
      <c r="K508" s="151">
        <f t="shared" ca="1" si="82"/>
        <v>0</v>
      </c>
      <c r="L508" s="428">
        <f t="shared" ca="1" si="83"/>
        <v>0</v>
      </c>
      <c r="M508" s="429">
        <f ca="1">IF($A508="S",VTOTALBM,IF($A508=0,0,ROUND(SomaAgrupBM,15-13*ORÇAMENTO!$AF$11)))</f>
        <v>0</v>
      </c>
      <c r="N508" s="430">
        <f t="shared" ca="1" si="84"/>
        <v>0</v>
      </c>
      <c r="O508" s="154">
        <f ca="1">IF($A508="S",VTOTALBM,IF($A508=0,0,ROUND(SomaAgrupBM,15-13*ORÇAMENTO!$AF$11)))</f>
        <v>0</v>
      </c>
      <c r="Q508" s="431"/>
      <c r="R508" s="432"/>
      <c r="T508" s="146" t="str">
        <f t="shared" ca="1" si="85"/>
        <v/>
      </c>
      <c r="U508" s="206" t="str">
        <f t="shared" ca="1" si="86"/>
        <v/>
      </c>
      <c r="V508" s="207" t="str">
        <f t="shared" ca="1" si="87"/>
        <v/>
      </c>
      <c r="W508" s="634">
        <f ca="1">IF($Y508&gt;0,CHOOSE(MATCH(RegimeExecucao,{"Unitário","Global"},0),IF($A508="S",$Y508/$X508,""),($Y508/$X508)*100),0)</f>
        <v>0</v>
      </c>
      <c r="X508" s="433" t="str">
        <f ca="1">IF($Y508&gt;0,CHOOSE(MATCH(RegimeExecucao,{"Unitário","Global"},0),IF($A508="S",ROUND($H508,ORÇAMENTO!$AF$10),""),ROUND($I508,ORÇAMENTO!$AF$11)),"")</f>
        <v/>
      </c>
      <c r="Y508" s="433">
        <f t="shared" ca="1" si="88"/>
        <v>0</v>
      </c>
      <c r="Z508" s="434"/>
      <c r="AB508" s="431"/>
      <c r="AC508" s="599"/>
      <c r="AD508" s="599"/>
      <c r="AE508" s="599"/>
      <c r="AF508" s="599"/>
      <c r="AG508" s="599"/>
      <c r="AH508" s="599"/>
      <c r="AI508" s="599"/>
      <c r="AJ508" s="599"/>
      <c r="AK508" s="599"/>
      <c r="AL508" s="599"/>
      <c r="AM508" s="432"/>
      <c r="AO508">
        <f ca="1">IF($A508="S",IF(BM!$I508=0,0,CHOOSE(MATCH(RegimeExecucao,{"Global","Unitário"},0),ROUND(ROUND(BM.MEDAcumulado,15-13*BM!$A$9)/100*BM!$I508,15-13*ORÇAMENTO!$AF$11),ROUND(ROUND(BM.MEDAcumulado,15-13*BM!$A$9)*ROUND(BM!$H508,15-13*ORÇAMENTO!$AF$10),15-13*ORÇAMENTO!$AF$11))),IF($A508=0,0,ROUND(SomaAgrupBM,15-13*ORÇAMENTO!$AF$11)))</f>
        <v>0</v>
      </c>
    </row>
    <row r="509" spans="1:41" ht="13.8" x14ac:dyDescent="0.3">
      <c r="A509" t="str">
        <f ca="1">ORÇAMENTO!C509</f>
        <v>S</v>
      </c>
      <c r="B509">
        <f ca="1">ORÇAMENTO!D509</f>
        <v>0</v>
      </c>
      <c r="C509" s="143" t="str">
        <f t="shared" ca="1" si="78"/>
        <v/>
      </c>
      <c r="D509" s="146" t="str">
        <f ca="1">ORÇAMENTO!O509</f>
        <v>-</v>
      </c>
      <c r="E509" s="206" t="str">
        <f t="shared" ca="1" si="79"/>
        <v>(abra o arquivo 'Referência 05-2024.xls)</v>
      </c>
      <c r="F509" s="207" t="str">
        <f t="shared" ca="1" si="80"/>
        <v>-</v>
      </c>
      <c r="G509" s="151">
        <f ca="1">IF(RegimeExecucao="Global","",ORÇAMENTO!T509)</f>
        <v>1</v>
      </c>
      <c r="H509" s="151">
        <f ca="1">IF(RegimeExecucao="Global","",ORÇAMENTO!W509)</f>
        <v>0</v>
      </c>
      <c r="I509" s="154">
        <f ca="1">ORÇAMENTO!X509</f>
        <v>0</v>
      </c>
      <c r="J509" s="427">
        <f t="shared" ca="1" si="81"/>
        <v>0</v>
      </c>
      <c r="K509" s="151">
        <f t="shared" ca="1" si="82"/>
        <v>0</v>
      </c>
      <c r="L509" s="428">
        <f t="shared" ca="1" si="83"/>
        <v>0</v>
      </c>
      <c r="M509" s="429">
        <f ca="1">IF($A509="S",VTOTALBM,IF($A509=0,0,ROUND(SomaAgrupBM,15-13*ORÇAMENTO!$AF$11)))</f>
        <v>0</v>
      </c>
      <c r="N509" s="430">
        <f t="shared" ca="1" si="84"/>
        <v>0</v>
      </c>
      <c r="O509" s="154">
        <f ca="1">IF($A509="S",VTOTALBM,IF($A509=0,0,ROUND(SomaAgrupBM,15-13*ORÇAMENTO!$AF$11)))</f>
        <v>0</v>
      </c>
      <c r="Q509" s="431"/>
      <c r="R509" s="432"/>
      <c r="T509" s="146" t="str">
        <f t="shared" ca="1" si="85"/>
        <v/>
      </c>
      <c r="U509" s="206" t="str">
        <f t="shared" ca="1" si="86"/>
        <v/>
      </c>
      <c r="V509" s="207" t="str">
        <f t="shared" ca="1" si="87"/>
        <v/>
      </c>
      <c r="W509" s="634">
        <f ca="1">IF($Y509&gt;0,CHOOSE(MATCH(RegimeExecucao,{"Unitário","Global"},0),IF($A509="S",$Y509/$X509,""),($Y509/$X509)*100),0)</f>
        <v>0</v>
      </c>
      <c r="X509" s="433" t="str">
        <f ca="1">IF($Y509&gt;0,CHOOSE(MATCH(RegimeExecucao,{"Unitário","Global"},0),IF($A509="S",ROUND($H509,ORÇAMENTO!$AF$10),""),ROUND($I509,ORÇAMENTO!$AF$11)),"")</f>
        <v/>
      </c>
      <c r="Y509" s="433">
        <f t="shared" ca="1" si="88"/>
        <v>0</v>
      </c>
      <c r="Z509" s="434"/>
      <c r="AB509" s="431"/>
      <c r="AC509" s="599"/>
      <c r="AD509" s="599"/>
      <c r="AE509" s="599"/>
      <c r="AF509" s="599"/>
      <c r="AG509" s="599"/>
      <c r="AH509" s="599"/>
      <c r="AI509" s="599"/>
      <c r="AJ509" s="599"/>
      <c r="AK509" s="599"/>
      <c r="AL509" s="599"/>
      <c r="AM509" s="432"/>
      <c r="AO509">
        <f ca="1">IF($A509="S",IF(BM!$I509=0,0,CHOOSE(MATCH(RegimeExecucao,{"Global","Unitário"},0),ROUND(ROUND(BM.MEDAcumulado,15-13*BM!$A$9)/100*BM!$I509,15-13*ORÇAMENTO!$AF$11),ROUND(ROUND(BM.MEDAcumulado,15-13*BM!$A$9)*ROUND(BM!$H509,15-13*ORÇAMENTO!$AF$10),15-13*ORÇAMENTO!$AF$11))),IF($A509=0,0,ROUND(SomaAgrupBM,15-13*ORÇAMENTO!$AF$11)))</f>
        <v>0</v>
      </c>
    </row>
    <row r="510" spans="1:41" ht="13.8" x14ac:dyDescent="0.3">
      <c r="A510" t="str">
        <f ca="1">ORÇAMENTO!C510</f>
        <v>S</v>
      </c>
      <c r="B510">
        <f ca="1">ORÇAMENTO!D510</f>
        <v>0</v>
      </c>
      <c r="C510" s="143" t="str">
        <f t="shared" ca="1" si="78"/>
        <v/>
      </c>
      <c r="D510" s="146" t="str">
        <f ca="1">ORÇAMENTO!O510</f>
        <v>-</v>
      </c>
      <c r="E510" s="206" t="str">
        <f t="shared" ca="1" si="79"/>
        <v>(abra o arquivo 'Referência 05-2024.xls)</v>
      </c>
      <c r="F510" s="207" t="str">
        <f t="shared" ca="1" si="80"/>
        <v>-</v>
      </c>
      <c r="G510" s="151">
        <f ca="1">IF(RegimeExecucao="Global","",ORÇAMENTO!T510)</f>
        <v>1</v>
      </c>
      <c r="H510" s="151">
        <f ca="1">IF(RegimeExecucao="Global","",ORÇAMENTO!W510)</f>
        <v>0</v>
      </c>
      <c r="I510" s="154">
        <f ca="1">ORÇAMENTO!X510</f>
        <v>0</v>
      </c>
      <c r="J510" s="427">
        <f t="shared" ca="1" si="81"/>
        <v>0</v>
      </c>
      <c r="K510" s="151">
        <f t="shared" ca="1" si="82"/>
        <v>0</v>
      </c>
      <c r="L510" s="428">
        <f t="shared" ca="1" si="83"/>
        <v>0</v>
      </c>
      <c r="M510" s="429">
        <f ca="1">IF($A510="S",VTOTALBM,IF($A510=0,0,ROUND(SomaAgrupBM,15-13*ORÇAMENTO!$AF$11)))</f>
        <v>0</v>
      </c>
      <c r="N510" s="430">
        <f t="shared" ca="1" si="84"/>
        <v>0</v>
      </c>
      <c r="O510" s="154">
        <f ca="1">IF($A510="S",VTOTALBM,IF($A510=0,0,ROUND(SomaAgrupBM,15-13*ORÇAMENTO!$AF$11)))</f>
        <v>0</v>
      </c>
      <c r="Q510" s="431"/>
      <c r="R510" s="432"/>
      <c r="T510" s="146" t="str">
        <f t="shared" ca="1" si="85"/>
        <v/>
      </c>
      <c r="U510" s="206" t="str">
        <f t="shared" ca="1" si="86"/>
        <v/>
      </c>
      <c r="V510" s="207" t="str">
        <f t="shared" ca="1" si="87"/>
        <v/>
      </c>
      <c r="W510" s="634">
        <f ca="1">IF($Y510&gt;0,CHOOSE(MATCH(RegimeExecucao,{"Unitário","Global"},0),IF($A510="S",$Y510/$X510,""),($Y510/$X510)*100),0)</f>
        <v>0</v>
      </c>
      <c r="X510" s="433" t="str">
        <f ca="1">IF($Y510&gt;0,CHOOSE(MATCH(RegimeExecucao,{"Unitário","Global"},0),IF($A510="S",ROUND($H510,ORÇAMENTO!$AF$10),""),ROUND($I510,ORÇAMENTO!$AF$11)),"")</f>
        <v/>
      </c>
      <c r="Y510" s="433">
        <f t="shared" ca="1" si="88"/>
        <v>0</v>
      </c>
      <c r="Z510" s="434"/>
      <c r="AB510" s="431"/>
      <c r="AC510" s="599"/>
      <c r="AD510" s="599"/>
      <c r="AE510" s="599"/>
      <c r="AF510" s="599"/>
      <c r="AG510" s="599"/>
      <c r="AH510" s="599"/>
      <c r="AI510" s="599"/>
      <c r="AJ510" s="599"/>
      <c r="AK510" s="599"/>
      <c r="AL510" s="599"/>
      <c r="AM510" s="432"/>
      <c r="AO510">
        <f ca="1">IF($A510="S",IF(BM!$I510=0,0,CHOOSE(MATCH(RegimeExecucao,{"Global","Unitário"},0),ROUND(ROUND(BM.MEDAcumulado,15-13*BM!$A$9)/100*BM!$I510,15-13*ORÇAMENTO!$AF$11),ROUND(ROUND(BM.MEDAcumulado,15-13*BM!$A$9)*ROUND(BM!$H510,15-13*ORÇAMENTO!$AF$10),15-13*ORÇAMENTO!$AF$11))),IF($A510=0,0,ROUND(SomaAgrupBM,15-13*ORÇAMENTO!$AF$11)))</f>
        <v>0</v>
      </c>
    </row>
    <row r="511" spans="1:41" ht="13.8" x14ac:dyDescent="0.3">
      <c r="A511" t="str">
        <f ca="1">ORÇAMENTO!C511</f>
        <v>S</v>
      </c>
      <c r="B511">
        <f ca="1">ORÇAMENTO!D511</f>
        <v>0</v>
      </c>
      <c r="C511" s="143" t="str">
        <f t="shared" ca="1" si="78"/>
        <v/>
      </c>
      <c r="D511" s="146" t="str">
        <f ca="1">ORÇAMENTO!O511</f>
        <v>-</v>
      </c>
      <c r="E511" s="206" t="str">
        <f t="shared" ca="1" si="79"/>
        <v>(abra o arquivo 'Referência 05-2024.xls)</v>
      </c>
      <c r="F511" s="207" t="str">
        <f t="shared" ca="1" si="80"/>
        <v>-</v>
      </c>
      <c r="G511" s="151">
        <f ca="1">IF(RegimeExecucao="Global","",ORÇAMENTO!T511)</f>
        <v>1</v>
      </c>
      <c r="H511" s="151">
        <f ca="1">IF(RegimeExecucao="Global","",ORÇAMENTO!W511)</f>
        <v>0</v>
      </c>
      <c r="I511" s="154">
        <f ca="1">ORÇAMENTO!X511</f>
        <v>0</v>
      </c>
      <c r="J511" s="427">
        <f t="shared" ca="1" si="81"/>
        <v>0</v>
      </c>
      <c r="K511" s="151">
        <f t="shared" ca="1" si="82"/>
        <v>0</v>
      </c>
      <c r="L511" s="428">
        <f t="shared" ca="1" si="83"/>
        <v>0</v>
      </c>
      <c r="M511" s="429">
        <f ca="1">IF($A511="S",VTOTALBM,IF($A511=0,0,ROUND(SomaAgrupBM,15-13*ORÇAMENTO!$AF$11)))</f>
        <v>0</v>
      </c>
      <c r="N511" s="430">
        <f t="shared" ca="1" si="84"/>
        <v>0</v>
      </c>
      <c r="O511" s="154">
        <f ca="1">IF($A511="S",VTOTALBM,IF($A511=0,0,ROUND(SomaAgrupBM,15-13*ORÇAMENTO!$AF$11)))</f>
        <v>0</v>
      </c>
      <c r="Q511" s="431"/>
      <c r="R511" s="432"/>
      <c r="T511" s="146" t="str">
        <f t="shared" ca="1" si="85"/>
        <v/>
      </c>
      <c r="U511" s="206" t="str">
        <f t="shared" ca="1" si="86"/>
        <v/>
      </c>
      <c r="V511" s="207" t="str">
        <f t="shared" ca="1" si="87"/>
        <v/>
      </c>
      <c r="W511" s="634">
        <f ca="1">IF($Y511&gt;0,CHOOSE(MATCH(RegimeExecucao,{"Unitário","Global"},0),IF($A511="S",$Y511/$X511,""),($Y511/$X511)*100),0)</f>
        <v>0</v>
      </c>
      <c r="X511" s="433" t="str">
        <f ca="1">IF($Y511&gt;0,CHOOSE(MATCH(RegimeExecucao,{"Unitário","Global"},0),IF($A511="S",ROUND($H511,ORÇAMENTO!$AF$10),""),ROUND($I511,ORÇAMENTO!$AF$11)),"")</f>
        <v/>
      </c>
      <c r="Y511" s="433">
        <f t="shared" ca="1" si="88"/>
        <v>0</v>
      </c>
      <c r="Z511" s="434"/>
      <c r="AB511" s="431"/>
      <c r="AC511" s="599"/>
      <c r="AD511" s="599"/>
      <c r="AE511" s="599"/>
      <c r="AF511" s="599"/>
      <c r="AG511" s="599"/>
      <c r="AH511" s="599"/>
      <c r="AI511" s="599"/>
      <c r="AJ511" s="599"/>
      <c r="AK511" s="599"/>
      <c r="AL511" s="599"/>
      <c r="AM511" s="432"/>
      <c r="AO511">
        <f ca="1">IF($A511="S",IF(BM!$I511=0,0,CHOOSE(MATCH(RegimeExecucao,{"Global","Unitário"},0),ROUND(ROUND(BM.MEDAcumulado,15-13*BM!$A$9)/100*BM!$I511,15-13*ORÇAMENTO!$AF$11),ROUND(ROUND(BM.MEDAcumulado,15-13*BM!$A$9)*ROUND(BM!$H511,15-13*ORÇAMENTO!$AF$10),15-13*ORÇAMENTO!$AF$11))),IF($A511=0,0,ROUND(SomaAgrupBM,15-13*ORÇAMENTO!$AF$11)))</f>
        <v>0</v>
      </c>
    </row>
    <row r="512" spans="1:41" ht="13.8" x14ac:dyDescent="0.3">
      <c r="A512" t="str">
        <f ca="1">ORÇAMENTO!C512</f>
        <v>S</v>
      </c>
      <c r="B512">
        <f ca="1">ORÇAMENTO!D512</f>
        <v>0</v>
      </c>
      <c r="C512" s="143" t="str">
        <f t="shared" ca="1" si="78"/>
        <v/>
      </c>
      <c r="D512" s="146" t="str">
        <f ca="1">ORÇAMENTO!O512</f>
        <v>-</v>
      </c>
      <c r="E512" s="206" t="str">
        <f t="shared" ca="1" si="79"/>
        <v>(abra o arquivo 'Referência 05-2024.xls)</v>
      </c>
      <c r="F512" s="207" t="str">
        <f t="shared" ca="1" si="80"/>
        <v>-</v>
      </c>
      <c r="G512" s="151">
        <f ca="1">IF(RegimeExecucao="Global","",ORÇAMENTO!T512)</f>
        <v>1</v>
      </c>
      <c r="H512" s="151">
        <f ca="1">IF(RegimeExecucao="Global","",ORÇAMENTO!W512)</f>
        <v>0</v>
      </c>
      <c r="I512" s="154">
        <f ca="1">ORÇAMENTO!X512</f>
        <v>0</v>
      </c>
      <c r="J512" s="427">
        <f t="shared" ca="1" si="81"/>
        <v>0</v>
      </c>
      <c r="K512" s="151">
        <f t="shared" ca="1" si="82"/>
        <v>0</v>
      </c>
      <c r="L512" s="428">
        <f t="shared" ca="1" si="83"/>
        <v>0</v>
      </c>
      <c r="M512" s="429">
        <f ca="1">IF($A512="S",VTOTALBM,IF($A512=0,0,ROUND(SomaAgrupBM,15-13*ORÇAMENTO!$AF$11)))</f>
        <v>0</v>
      </c>
      <c r="N512" s="430">
        <f t="shared" ca="1" si="84"/>
        <v>0</v>
      </c>
      <c r="O512" s="154">
        <f ca="1">IF($A512="S",VTOTALBM,IF($A512=0,0,ROUND(SomaAgrupBM,15-13*ORÇAMENTO!$AF$11)))</f>
        <v>0</v>
      </c>
      <c r="Q512" s="431"/>
      <c r="R512" s="432"/>
      <c r="T512" s="146" t="str">
        <f t="shared" ca="1" si="85"/>
        <v/>
      </c>
      <c r="U512" s="206" t="str">
        <f t="shared" ca="1" si="86"/>
        <v/>
      </c>
      <c r="V512" s="207" t="str">
        <f t="shared" ca="1" si="87"/>
        <v/>
      </c>
      <c r="W512" s="634">
        <f ca="1">IF($Y512&gt;0,CHOOSE(MATCH(RegimeExecucao,{"Unitário","Global"},0),IF($A512="S",$Y512/$X512,""),($Y512/$X512)*100),0)</f>
        <v>0</v>
      </c>
      <c r="X512" s="433" t="str">
        <f ca="1">IF($Y512&gt;0,CHOOSE(MATCH(RegimeExecucao,{"Unitário","Global"},0),IF($A512="S",ROUND($H512,ORÇAMENTO!$AF$10),""),ROUND($I512,ORÇAMENTO!$AF$11)),"")</f>
        <v/>
      </c>
      <c r="Y512" s="433">
        <f t="shared" ca="1" si="88"/>
        <v>0</v>
      </c>
      <c r="Z512" s="434"/>
      <c r="AB512" s="431"/>
      <c r="AC512" s="599"/>
      <c r="AD512" s="599"/>
      <c r="AE512" s="599"/>
      <c r="AF512" s="599"/>
      <c r="AG512" s="599"/>
      <c r="AH512" s="599"/>
      <c r="AI512" s="599"/>
      <c r="AJ512" s="599"/>
      <c r="AK512" s="599"/>
      <c r="AL512" s="599"/>
      <c r="AM512" s="432"/>
      <c r="AO512">
        <f ca="1">IF($A512="S",IF(BM!$I512=0,0,CHOOSE(MATCH(RegimeExecucao,{"Global","Unitário"},0),ROUND(ROUND(BM.MEDAcumulado,15-13*BM!$A$9)/100*BM!$I512,15-13*ORÇAMENTO!$AF$11),ROUND(ROUND(BM.MEDAcumulado,15-13*BM!$A$9)*ROUND(BM!$H512,15-13*ORÇAMENTO!$AF$10),15-13*ORÇAMENTO!$AF$11))),IF($A512=0,0,ROUND(SomaAgrupBM,15-13*ORÇAMENTO!$AF$11)))</f>
        <v>0</v>
      </c>
    </row>
    <row r="513" spans="1:41" ht="13.8" x14ac:dyDescent="0.3">
      <c r="A513">
        <f ca="1">ORÇAMENTO!C513</f>
        <v>3</v>
      </c>
      <c r="B513">
        <f ca="1">ORÇAMENTO!D513</f>
        <v>10</v>
      </c>
      <c r="C513" s="143" t="str">
        <f t="shared" ca="1" si="78"/>
        <v>F</v>
      </c>
      <c r="D513" s="146" t="str">
        <f ca="1">ORÇAMENTO!O513</f>
        <v>1.17.5.</v>
      </c>
      <c r="E513" s="206" t="str">
        <f t="shared" si="79"/>
        <v>ALARME MANUAL</v>
      </c>
      <c r="F513" s="207" t="str">
        <f t="shared" ca="1" si="80"/>
        <v>-</v>
      </c>
      <c r="G513" s="151">
        <f ca="1">IF(RegimeExecucao="Global","",ORÇAMENTO!T513)</f>
        <v>0</v>
      </c>
      <c r="H513" s="151">
        <f ca="1">IF(RegimeExecucao="Global","",ORÇAMENTO!W513)</f>
        <v>0</v>
      </c>
      <c r="I513" s="154">
        <f ca="1">ORÇAMENTO!X513</f>
        <v>0</v>
      </c>
      <c r="J513" s="427">
        <f t="shared" ca="1" si="81"/>
        <v>0</v>
      </c>
      <c r="K513" s="151">
        <f t="shared" ca="1" si="82"/>
        <v>0</v>
      </c>
      <c r="L513" s="428">
        <f t="shared" ca="1" si="83"/>
        <v>0</v>
      </c>
      <c r="M513" s="429">
        <f ca="1">IF($A513="S",VTOTALBM,IF($A513=0,0,ROUND(SomaAgrupBM,15-13*ORÇAMENTO!$AF$11)))</f>
        <v>0</v>
      </c>
      <c r="N513" s="430">
        <f t="shared" ca="1" si="84"/>
        <v>0</v>
      </c>
      <c r="O513" s="154">
        <f ca="1">IF($A513="S",VTOTALBM,IF($A513=0,0,ROUND(SomaAgrupBM,15-13*ORÇAMENTO!$AF$11)))</f>
        <v>0</v>
      </c>
      <c r="Q513" s="431"/>
      <c r="R513" s="432"/>
      <c r="T513" s="146" t="str">
        <f t="shared" ca="1" si="85"/>
        <v/>
      </c>
      <c r="U513" s="206" t="str">
        <f t="shared" ca="1" si="86"/>
        <v/>
      </c>
      <c r="V513" s="207" t="str">
        <f t="shared" ca="1" si="87"/>
        <v/>
      </c>
      <c r="W513" s="634">
        <f ca="1">IF($Y513&gt;0,CHOOSE(MATCH(RegimeExecucao,{"Unitário","Global"},0),IF($A513="S",$Y513/$X513,""),($Y513/$X513)*100),0)</f>
        <v>0</v>
      </c>
      <c r="X513" s="433" t="str">
        <f ca="1">IF($Y513&gt;0,CHOOSE(MATCH(RegimeExecucao,{"Unitário","Global"},0),IF($A513="S",ROUND($H513,ORÇAMENTO!$AF$10),""),ROUND($I513,ORÇAMENTO!$AF$11)),"")</f>
        <v/>
      </c>
      <c r="Y513" s="433">
        <f t="shared" ca="1" si="88"/>
        <v>0</v>
      </c>
      <c r="Z513" s="434"/>
      <c r="AB513" s="431"/>
      <c r="AC513" s="599"/>
      <c r="AD513" s="599"/>
      <c r="AE513" s="599"/>
      <c r="AF513" s="599"/>
      <c r="AG513" s="599"/>
      <c r="AH513" s="599"/>
      <c r="AI513" s="599"/>
      <c r="AJ513" s="599"/>
      <c r="AK513" s="599"/>
      <c r="AL513" s="599"/>
      <c r="AM513" s="432"/>
      <c r="AO513">
        <f ca="1">IF($A513="S",IF(BM!$I513=0,0,CHOOSE(MATCH(RegimeExecucao,{"Global","Unitário"},0),ROUND(ROUND(BM.MEDAcumulado,15-13*BM!$A$9)/100*BM!$I513,15-13*ORÇAMENTO!$AF$11),ROUND(ROUND(BM.MEDAcumulado,15-13*BM!$A$9)*ROUND(BM!$H513,15-13*ORÇAMENTO!$AF$10),15-13*ORÇAMENTO!$AF$11))),IF($A513=0,0,ROUND(SomaAgrupBM,15-13*ORÇAMENTO!$AF$11)))</f>
        <v>0</v>
      </c>
    </row>
    <row r="514" spans="1:41" ht="13.8" x14ac:dyDescent="0.3">
      <c r="A514" t="str">
        <f ca="1">ORÇAMENTO!C514</f>
        <v>S</v>
      </c>
      <c r="B514">
        <f ca="1">ORÇAMENTO!D514</f>
        <v>0</v>
      </c>
      <c r="C514" s="143" t="str">
        <f t="shared" ca="1" si="78"/>
        <v/>
      </c>
      <c r="D514" s="146" t="str">
        <f ca="1">ORÇAMENTO!O514</f>
        <v>-</v>
      </c>
      <c r="E514" s="206" t="str">
        <f t="shared" ca="1" si="79"/>
        <v>(abra o arquivo 'Referência 05-2024.xls)</v>
      </c>
      <c r="F514" s="207" t="str">
        <f t="shared" ca="1" si="80"/>
        <v>-</v>
      </c>
      <c r="G514" s="151">
        <f ca="1">IF(RegimeExecucao="Global","",ORÇAMENTO!T514)</f>
        <v>9</v>
      </c>
      <c r="H514" s="151">
        <f ca="1">IF(RegimeExecucao="Global","",ORÇAMENTO!W514)</f>
        <v>0</v>
      </c>
      <c r="I514" s="154">
        <f ca="1">ORÇAMENTO!X514</f>
        <v>0</v>
      </c>
      <c r="J514" s="427">
        <f t="shared" ca="1" si="81"/>
        <v>0</v>
      </c>
      <c r="K514" s="151">
        <f t="shared" ca="1" si="82"/>
        <v>0</v>
      </c>
      <c r="L514" s="428">
        <f t="shared" ca="1" si="83"/>
        <v>0</v>
      </c>
      <c r="M514" s="429">
        <f ca="1">IF($A514="S",VTOTALBM,IF($A514=0,0,ROUND(SomaAgrupBM,15-13*ORÇAMENTO!$AF$11)))</f>
        <v>0</v>
      </c>
      <c r="N514" s="430">
        <f t="shared" ca="1" si="84"/>
        <v>0</v>
      </c>
      <c r="O514" s="154">
        <f ca="1">IF($A514="S",VTOTALBM,IF($A514=0,0,ROUND(SomaAgrupBM,15-13*ORÇAMENTO!$AF$11)))</f>
        <v>0</v>
      </c>
      <c r="Q514" s="431"/>
      <c r="R514" s="432"/>
      <c r="T514" s="146" t="str">
        <f t="shared" ca="1" si="85"/>
        <v/>
      </c>
      <c r="U514" s="206" t="str">
        <f t="shared" ca="1" si="86"/>
        <v/>
      </c>
      <c r="V514" s="207" t="str">
        <f t="shared" ca="1" si="87"/>
        <v/>
      </c>
      <c r="W514" s="634">
        <f ca="1">IF($Y514&gt;0,CHOOSE(MATCH(RegimeExecucao,{"Unitário","Global"},0),IF($A514="S",$Y514/$X514,""),($Y514/$X514)*100),0)</f>
        <v>0</v>
      </c>
      <c r="X514" s="433" t="str">
        <f ca="1">IF($Y514&gt;0,CHOOSE(MATCH(RegimeExecucao,{"Unitário","Global"},0),IF($A514="S",ROUND($H514,ORÇAMENTO!$AF$10),""),ROUND($I514,ORÇAMENTO!$AF$11)),"")</f>
        <v/>
      </c>
      <c r="Y514" s="433">
        <f t="shared" ca="1" si="88"/>
        <v>0</v>
      </c>
      <c r="Z514" s="434"/>
      <c r="AB514" s="431"/>
      <c r="AC514" s="599"/>
      <c r="AD514" s="599"/>
      <c r="AE514" s="599"/>
      <c r="AF514" s="599"/>
      <c r="AG514" s="599"/>
      <c r="AH514" s="599"/>
      <c r="AI514" s="599"/>
      <c r="AJ514" s="599"/>
      <c r="AK514" s="599"/>
      <c r="AL514" s="599"/>
      <c r="AM514" s="432"/>
      <c r="AO514">
        <f ca="1">IF($A514="S",IF(BM!$I514=0,0,CHOOSE(MATCH(RegimeExecucao,{"Global","Unitário"},0),ROUND(ROUND(BM.MEDAcumulado,15-13*BM!$A$9)/100*BM!$I514,15-13*ORÇAMENTO!$AF$11),ROUND(ROUND(BM.MEDAcumulado,15-13*BM!$A$9)*ROUND(BM!$H514,15-13*ORÇAMENTO!$AF$10),15-13*ORÇAMENTO!$AF$11))),IF($A514=0,0,ROUND(SomaAgrupBM,15-13*ORÇAMENTO!$AF$11)))</f>
        <v>0</v>
      </c>
    </row>
    <row r="515" spans="1:41" ht="13.8" x14ac:dyDescent="0.3">
      <c r="A515" t="str">
        <f ca="1">ORÇAMENTO!C515</f>
        <v>S</v>
      </c>
      <c r="B515">
        <f ca="1">ORÇAMENTO!D515</f>
        <v>0</v>
      </c>
      <c r="C515" s="143" t="str">
        <f t="shared" ca="1" si="78"/>
        <v/>
      </c>
      <c r="D515" s="146" t="str">
        <f ca="1">ORÇAMENTO!O515</f>
        <v>-</v>
      </c>
      <c r="E515" s="206" t="str">
        <f t="shared" ca="1" si="79"/>
        <v>(abra o arquivo 'Referência 05-2024.xls)</v>
      </c>
      <c r="F515" s="207" t="str">
        <f t="shared" ca="1" si="80"/>
        <v>-</v>
      </c>
      <c r="G515" s="151">
        <f ca="1">IF(RegimeExecucao="Global","",ORÇAMENTO!T515)</f>
        <v>7</v>
      </c>
      <c r="H515" s="151">
        <f ca="1">IF(RegimeExecucao="Global","",ORÇAMENTO!W515)</f>
        <v>0</v>
      </c>
      <c r="I515" s="154">
        <f ca="1">ORÇAMENTO!X515</f>
        <v>0</v>
      </c>
      <c r="J515" s="427">
        <f t="shared" ca="1" si="81"/>
        <v>0</v>
      </c>
      <c r="K515" s="151">
        <f t="shared" ca="1" si="82"/>
        <v>0</v>
      </c>
      <c r="L515" s="428">
        <f t="shared" ca="1" si="83"/>
        <v>0</v>
      </c>
      <c r="M515" s="429">
        <f ca="1">IF($A515="S",VTOTALBM,IF($A515=0,0,ROUND(SomaAgrupBM,15-13*ORÇAMENTO!$AF$11)))</f>
        <v>0</v>
      </c>
      <c r="N515" s="430">
        <f t="shared" ca="1" si="84"/>
        <v>0</v>
      </c>
      <c r="O515" s="154">
        <f ca="1">IF($A515="S",VTOTALBM,IF($A515=0,0,ROUND(SomaAgrupBM,15-13*ORÇAMENTO!$AF$11)))</f>
        <v>0</v>
      </c>
      <c r="Q515" s="431"/>
      <c r="R515" s="432"/>
      <c r="T515" s="146" t="str">
        <f t="shared" ca="1" si="85"/>
        <v/>
      </c>
      <c r="U515" s="206" t="str">
        <f t="shared" ca="1" si="86"/>
        <v/>
      </c>
      <c r="V515" s="207" t="str">
        <f t="shared" ca="1" si="87"/>
        <v/>
      </c>
      <c r="W515" s="634">
        <f ca="1">IF($Y515&gt;0,CHOOSE(MATCH(RegimeExecucao,{"Unitário","Global"},0),IF($A515="S",$Y515/$X515,""),($Y515/$X515)*100),0)</f>
        <v>0</v>
      </c>
      <c r="X515" s="433" t="str">
        <f ca="1">IF($Y515&gt;0,CHOOSE(MATCH(RegimeExecucao,{"Unitário","Global"},0),IF($A515="S",ROUND($H515,ORÇAMENTO!$AF$10),""),ROUND($I515,ORÇAMENTO!$AF$11)),"")</f>
        <v/>
      </c>
      <c r="Y515" s="433">
        <f t="shared" ca="1" si="88"/>
        <v>0</v>
      </c>
      <c r="Z515" s="434"/>
      <c r="AB515" s="431"/>
      <c r="AC515" s="599"/>
      <c r="AD515" s="599"/>
      <c r="AE515" s="599"/>
      <c r="AF515" s="599"/>
      <c r="AG515" s="599"/>
      <c r="AH515" s="599"/>
      <c r="AI515" s="599"/>
      <c r="AJ515" s="599"/>
      <c r="AK515" s="599"/>
      <c r="AL515" s="599"/>
      <c r="AM515" s="432"/>
      <c r="AO515">
        <f ca="1">IF($A515="S",IF(BM!$I515=0,0,CHOOSE(MATCH(RegimeExecucao,{"Global","Unitário"},0),ROUND(ROUND(BM.MEDAcumulado,15-13*BM!$A$9)/100*BM!$I515,15-13*ORÇAMENTO!$AF$11),ROUND(ROUND(BM.MEDAcumulado,15-13*BM!$A$9)*ROUND(BM!$H515,15-13*ORÇAMENTO!$AF$10),15-13*ORÇAMENTO!$AF$11))),IF($A515=0,0,ROUND(SomaAgrupBM,15-13*ORÇAMENTO!$AF$11)))</f>
        <v>0</v>
      </c>
    </row>
    <row r="516" spans="1:41" ht="13.8" x14ac:dyDescent="0.3">
      <c r="A516" t="str">
        <f ca="1">ORÇAMENTO!C516</f>
        <v>S</v>
      </c>
      <c r="B516">
        <f ca="1">ORÇAMENTO!D516</f>
        <v>0</v>
      </c>
      <c r="C516" s="143" t="str">
        <f t="shared" ca="1" si="78"/>
        <v/>
      </c>
      <c r="D516" s="146" t="str">
        <f ca="1">ORÇAMENTO!O516</f>
        <v>-</v>
      </c>
      <c r="E516" s="206" t="str">
        <f t="shared" ca="1" si="79"/>
        <v>(abra o arquivo 'Referência 05-2024.xls)</v>
      </c>
      <c r="F516" s="207" t="str">
        <f t="shared" ca="1" si="80"/>
        <v>-</v>
      </c>
      <c r="G516" s="151">
        <f ca="1">IF(RegimeExecucao="Global","",ORÇAMENTO!T516)</f>
        <v>456</v>
      </c>
      <c r="H516" s="151">
        <f ca="1">IF(RegimeExecucao="Global","",ORÇAMENTO!W516)</f>
        <v>0</v>
      </c>
      <c r="I516" s="154">
        <f ca="1">ORÇAMENTO!X516</f>
        <v>0</v>
      </c>
      <c r="J516" s="427">
        <f t="shared" ca="1" si="81"/>
        <v>0</v>
      </c>
      <c r="K516" s="151">
        <f t="shared" ca="1" si="82"/>
        <v>0</v>
      </c>
      <c r="L516" s="428">
        <f t="shared" ca="1" si="83"/>
        <v>0</v>
      </c>
      <c r="M516" s="429">
        <f ca="1">IF($A516="S",VTOTALBM,IF($A516=0,0,ROUND(SomaAgrupBM,15-13*ORÇAMENTO!$AF$11)))</f>
        <v>0</v>
      </c>
      <c r="N516" s="430">
        <f t="shared" ca="1" si="84"/>
        <v>0</v>
      </c>
      <c r="O516" s="154">
        <f ca="1">IF($A516="S",VTOTALBM,IF($A516=0,0,ROUND(SomaAgrupBM,15-13*ORÇAMENTO!$AF$11)))</f>
        <v>0</v>
      </c>
      <c r="Q516" s="431"/>
      <c r="R516" s="432"/>
      <c r="T516" s="146" t="str">
        <f t="shared" ca="1" si="85"/>
        <v/>
      </c>
      <c r="U516" s="206" t="str">
        <f t="shared" ca="1" si="86"/>
        <v/>
      </c>
      <c r="V516" s="207" t="str">
        <f t="shared" ca="1" si="87"/>
        <v/>
      </c>
      <c r="W516" s="634">
        <f ca="1">IF($Y516&gt;0,CHOOSE(MATCH(RegimeExecucao,{"Unitário","Global"},0),IF($A516="S",$Y516/$X516,""),($Y516/$X516)*100),0)</f>
        <v>0</v>
      </c>
      <c r="X516" s="433" t="str">
        <f ca="1">IF($Y516&gt;0,CHOOSE(MATCH(RegimeExecucao,{"Unitário","Global"},0),IF($A516="S",ROUND($H516,ORÇAMENTO!$AF$10),""),ROUND($I516,ORÇAMENTO!$AF$11)),"")</f>
        <v/>
      </c>
      <c r="Y516" s="433">
        <f t="shared" ca="1" si="88"/>
        <v>0</v>
      </c>
      <c r="Z516" s="434"/>
      <c r="AB516" s="431"/>
      <c r="AC516" s="599"/>
      <c r="AD516" s="599"/>
      <c r="AE516" s="599"/>
      <c r="AF516" s="599"/>
      <c r="AG516" s="599"/>
      <c r="AH516" s="599"/>
      <c r="AI516" s="599"/>
      <c r="AJ516" s="599"/>
      <c r="AK516" s="599"/>
      <c r="AL516" s="599"/>
      <c r="AM516" s="432"/>
      <c r="AO516">
        <f ca="1">IF($A516="S",IF(BM!$I516=0,0,CHOOSE(MATCH(RegimeExecucao,{"Global","Unitário"},0),ROUND(ROUND(BM.MEDAcumulado,15-13*BM!$A$9)/100*BM!$I516,15-13*ORÇAMENTO!$AF$11),ROUND(ROUND(BM.MEDAcumulado,15-13*BM!$A$9)*ROUND(BM!$H516,15-13*ORÇAMENTO!$AF$10),15-13*ORÇAMENTO!$AF$11))),IF($A516=0,0,ROUND(SomaAgrupBM,15-13*ORÇAMENTO!$AF$11)))</f>
        <v>0</v>
      </c>
    </row>
    <row r="517" spans="1:41" ht="13.8" x14ac:dyDescent="0.3">
      <c r="A517" t="str">
        <f ca="1">ORÇAMENTO!C517</f>
        <v>S</v>
      </c>
      <c r="B517">
        <f ca="1">ORÇAMENTO!D517</f>
        <v>0</v>
      </c>
      <c r="C517" s="143" t="str">
        <f t="shared" ca="1" si="78"/>
        <v/>
      </c>
      <c r="D517" s="146" t="str">
        <f ca="1">ORÇAMENTO!O517</f>
        <v>-</v>
      </c>
      <c r="E517" s="206" t="str">
        <f t="shared" ca="1" si="79"/>
        <v>(abra o arquivo 'Referência 05-2024.xls)</v>
      </c>
      <c r="F517" s="207" t="str">
        <f t="shared" ca="1" si="80"/>
        <v>-</v>
      </c>
      <c r="G517" s="151">
        <f ca="1">IF(RegimeExecucao="Global","",ORÇAMENTO!T517)</f>
        <v>1</v>
      </c>
      <c r="H517" s="151">
        <f ca="1">IF(RegimeExecucao="Global","",ORÇAMENTO!W517)</f>
        <v>0</v>
      </c>
      <c r="I517" s="154">
        <f ca="1">ORÇAMENTO!X517</f>
        <v>0</v>
      </c>
      <c r="J517" s="427">
        <f t="shared" ca="1" si="81"/>
        <v>0</v>
      </c>
      <c r="K517" s="151">
        <f t="shared" ca="1" si="82"/>
        <v>0</v>
      </c>
      <c r="L517" s="428">
        <f t="shared" ca="1" si="83"/>
        <v>0</v>
      </c>
      <c r="M517" s="429">
        <f ca="1">IF($A517="S",VTOTALBM,IF($A517=0,0,ROUND(SomaAgrupBM,15-13*ORÇAMENTO!$AF$11)))</f>
        <v>0</v>
      </c>
      <c r="N517" s="430">
        <f t="shared" ca="1" si="84"/>
        <v>0</v>
      </c>
      <c r="O517" s="154">
        <f ca="1">IF($A517="S",VTOTALBM,IF($A517=0,0,ROUND(SomaAgrupBM,15-13*ORÇAMENTO!$AF$11)))</f>
        <v>0</v>
      </c>
      <c r="Q517" s="431"/>
      <c r="R517" s="432"/>
      <c r="T517" s="146" t="str">
        <f t="shared" ca="1" si="85"/>
        <v/>
      </c>
      <c r="U517" s="206" t="str">
        <f t="shared" ca="1" si="86"/>
        <v/>
      </c>
      <c r="V517" s="207" t="str">
        <f t="shared" ca="1" si="87"/>
        <v/>
      </c>
      <c r="W517" s="634">
        <f ca="1">IF($Y517&gt;0,CHOOSE(MATCH(RegimeExecucao,{"Unitário","Global"},0),IF($A517="S",$Y517/$X517,""),($Y517/$X517)*100),0)</f>
        <v>0</v>
      </c>
      <c r="X517" s="433" t="str">
        <f ca="1">IF($Y517&gt;0,CHOOSE(MATCH(RegimeExecucao,{"Unitário","Global"},0),IF($A517="S",ROUND($H517,ORÇAMENTO!$AF$10),""),ROUND($I517,ORÇAMENTO!$AF$11)),"")</f>
        <v/>
      </c>
      <c r="Y517" s="433">
        <f t="shared" ca="1" si="88"/>
        <v>0</v>
      </c>
      <c r="Z517" s="434"/>
      <c r="AB517" s="431"/>
      <c r="AC517" s="599"/>
      <c r="AD517" s="599"/>
      <c r="AE517" s="599"/>
      <c r="AF517" s="599"/>
      <c r="AG517" s="599"/>
      <c r="AH517" s="599"/>
      <c r="AI517" s="599"/>
      <c r="AJ517" s="599"/>
      <c r="AK517" s="599"/>
      <c r="AL517" s="599"/>
      <c r="AM517" s="432"/>
      <c r="AO517">
        <f ca="1">IF($A517="S",IF(BM!$I517=0,0,CHOOSE(MATCH(RegimeExecucao,{"Global","Unitário"},0),ROUND(ROUND(BM.MEDAcumulado,15-13*BM!$A$9)/100*BM!$I517,15-13*ORÇAMENTO!$AF$11),ROUND(ROUND(BM.MEDAcumulado,15-13*BM!$A$9)*ROUND(BM!$H517,15-13*ORÇAMENTO!$AF$10),15-13*ORÇAMENTO!$AF$11))),IF($A517=0,0,ROUND(SomaAgrupBM,15-13*ORÇAMENTO!$AF$11)))</f>
        <v>0</v>
      </c>
    </row>
    <row r="518" spans="1:41" ht="13.8" x14ac:dyDescent="0.3">
      <c r="A518" t="str">
        <f ca="1">ORÇAMENTO!C518</f>
        <v>S</v>
      </c>
      <c r="B518">
        <f ca="1">ORÇAMENTO!D518</f>
        <v>0</v>
      </c>
      <c r="C518" s="143" t="str">
        <f t="shared" ca="1" si="78"/>
        <v/>
      </c>
      <c r="D518" s="146" t="str">
        <f ca="1">ORÇAMENTO!O518</f>
        <v>-</v>
      </c>
      <c r="E518" s="206" t="str">
        <f t="shared" ca="1" si="79"/>
        <v>(abra o arquivo 'Referência 05-2024.xls)</v>
      </c>
      <c r="F518" s="207" t="str">
        <f t="shared" ca="1" si="80"/>
        <v>-</v>
      </c>
      <c r="G518" s="151">
        <f ca="1">IF(RegimeExecucao="Global","",ORÇAMENTO!T518)</f>
        <v>7</v>
      </c>
      <c r="H518" s="151">
        <f ca="1">IF(RegimeExecucao="Global","",ORÇAMENTO!W518)</f>
        <v>0</v>
      </c>
      <c r="I518" s="154">
        <f ca="1">ORÇAMENTO!X518</f>
        <v>0</v>
      </c>
      <c r="J518" s="427">
        <f t="shared" ca="1" si="81"/>
        <v>0</v>
      </c>
      <c r="K518" s="151">
        <f t="shared" ca="1" si="82"/>
        <v>0</v>
      </c>
      <c r="L518" s="428">
        <f t="shared" ca="1" si="83"/>
        <v>0</v>
      </c>
      <c r="M518" s="429">
        <f ca="1">IF($A518="S",VTOTALBM,IF($A518=0,0,ROUND(SomaAgrupBM,15-13*ORÇAMENTO!$AF$11)))</f>
        <v>0</v>
      </c>
      <c r="N518" s="430">
        <f t="shared" ca="1" si="84"/>
        <v>0</v>
      </c>
      <c r="O518" s="154">
        <f ca="1">IF($A518="S",VTOTALBM,IF($A518=0,0,ROUND(SomaAgrupBM,15-13*ORÇAMENTO!$AF$11)))</f>
        <v>0</v>
      </c>
      <c r="Q518" s="431"/>
      <c r="R518" s="432"/>
      <c r="T518" s="146" t="str">
        <f t="shared" ca="1" si="85"/>
        <v/>
      </c>
      <c r="U518" s="206" t="str">
        <f t="shared" ca="1" si="86"/>
        <v/>
      </c>
      <c r="V518" s="207" t="str">
        <f t="shared" ca="1" si="87"/>
        <v/>
      </c>
      <c r="W518" s="634">
        <f ca="1">IF($Y518&gt;0,CHOOSE(MATCH(RegimeExecucao,{"Unitário","Global"},0),IF($A518="S",$Y518/$X518,""),($Y518/$X518)*100),0)</f>
        <v>0</v>
      </c>
      <c r="X518" s="433" t="str">
        <f ca="1">IF($Y518&gt;0,CHOOSE(MATCH(RegimeExecucao,{"Unitário","Global"},0),IF($A518="S",ROUND($H518,ORÇAMENTO!$AF$10),""),ROUND($I518,ORÇAMENTO!$AF$11)),"")</f>
        <v/>
      </c>
      <c r="Y518" s="433">
        <f t="shared" ca="1" si="88"/>
        <v>0</v>
      </c>
      <c r="Z518" s="434"/>
      <c r="AB518" s="431"/>
      <c r="AC518" s="599"/>
      <c r="AD518" s="599"/>
      <c r="AE518" s="599"/>
      <c r="AF518" s="599"/>
      <c r="AG518" s="599"/>
      <c r="AH518" s="599"/>
      <c r="AI518" s="599"/>
      <c r="AJ518" s="599"/>
      <c r="AK518" s="599"/>
      <c r="AL518" s="599"/>
      <c r="AM518" s="432"/>
      <c r="AO518">
        <f ca="1">IF($A518="S",IF(BM!$I518=0,0,CHOOSE(MATCH(RegimeExecucao,{"Global","Unitário"},0),ROUND(ROUND(BM.MEDAcumulado,15-13*BM!$A$9)/100*BM!$I518,15-13*ORÇAMENTO!$AF$11),ROUND(ROUND(BM.MEDAcumulado,15-13*BM!$A$9)*ROUND(BM!$H518,15-13*ORÇAMENTO!$AF$10),15-13*ORÇAMENTO!$AF$11))),IF($A518=0,0,ROUND(SomaAgrupBM,15-13*ORÇAMENTO!$AF$11)))</f>
        <v>0</v>
      </c>
    </row>
    <row r="519" spans="1:41" ht="13.8" x14ac:dyDescent="0.3">
      <c r="A519" t="str">
        <f ca="1">ORÇAMENTO!C519</f>
        <v>S</v>
      </c>
      <c r="B519">
        <f ca="1">ORÇAMENTO!D519</f>
        <v>0</v>
      </c>
      <c r="C519" s="143" t="str">
        <f t="shared" ca="1" si="78"/>
        <v/>
      </c>
      <c r="D519" s="146" t="str">
        <f ca="1">ORÇAMENTO!O519</f>
        <v>-</v>
      </c>
      <c r="E519" s="206" t="str">
        <f t="shared" ca="1" si="79"/>
        <v>(abra o arquivo 'Referência 05-2024.xls)</v>
      </c>
      <c r="F519" s="207" t="str">
        <f t="shared" ca="1" si="80"/>
        <v>-</v>
      </c>
      <c r="G519" s="151">
        <f ca="1">IF(RegimeExecucao="Global","",ORÇAMENTO!T519)</f>
        <v>9</v>
      </c>
      <c r="H519" s="151">
        <f ca="1">IF(RegimeExecucao="Global","",ORÇAMENTO!W519)</f>
        <v>0</v>
      </c>
      <c r="I519" s="154">
        <f ca="1">ORÇAMENTO!X519</f>
        <v>0</v>
      </c>
      <c r="J519" s="427">
        <f t="shared" ca="1" si="81"/>
        <v>0</v>
      </c>
      <c r="K519" s="151">
        <f t="shared" ca="1" si="82"/>
        <v>0</v>
      </c>
      <c r="L519" s="428">
        <f t="shared" ca="1" si="83"/>
        <v>0</v>
      </c>
      <c r="M519" s="429">
        <f ca="1">IF($A519="S",VTOTALBM,IF($A519=0,0,ROUND(SomaAgrupBM,15-13*ORÇAMENTO!$AF$11)))</f>
        <v>0</v>
      </c>
      <c r="N519" s="430">
        <f t="shared" ca="1" si="84"/>
        <v>0</v>
      </c>
      <c r="O519" s="154">
        <f ca="1">IF($A519="S",VTOTALBM,IF($A519=0,0,ROUND(SomaAgrupBM,15-13*ORÇAMENTO!$AF$11)))</f>
        <v>0</v>
      </c>
      <c r="Q519" s="431"/>
      <c r="R519" s="432"/>
      <c r="T519" s="146" t="str">
        <f t="shared" ca="1" si="85"/>
        <v/>
      </c>
      <c r="U519" s="206" t="str">
        <f t="shared" ca="1" si="86"/>
        <v/>
      </c>
      <c r="V519" s="207" t="str">
        <f t="shared" ca="1" si="87"/>
        <v/>
      </c>
      <c r="W519" s="634">
        <f ca="1">IF($Y519&gt;0,CHOOSE(MATCH(RegimeExecucao,{"Unitário","Global"},0),IF($A519="S",$Y519/$X519,""),($Y519/$X519)*100),0)</f>
        <v>0</v>
      </c>
      <c r="X519" s="433" t="str">
        <f ca="1">IF($Y519&gt;0,CHOOSE(MATCH(RegimeExecucao,{"Unitário","Global"},0),IF($A519="S",ROUND($H519,ORÇAMENTO!$AF$10),""),ROUND($I519,ORÇAMENTO!$AF$11)),"")</f>
        <v/>
      </c>
      <c r="Y519" s="433">
        <f t="shared" ca="1" si="88"/>
        <v>0</v>
      </c>
      <c r="Z519" s="434"/>
      <c r="AB519" s="431"/>
      <c r="AC519" s="599"/>
      <c r="AD519" s="599"/>
      <c r="AE519" s="599"/>
      <c r="AF519" s="599"/>
      <c r="AG519" s="599"/>
      <c r="AH519" s="599"/>
      <c r="AI519" s="599"/>
      <c r="AJ519" s="599"/>
      <c r="AK519" s="599"/>
      <c r="AL519" s="599"/>
      <c r="AM519" s="432"/>
      <c r="AO519">
        <f ca="1">IF($A519="S",IF(BM!$I519=0,0,CHOOSE(MATCH(RegimeExecucao,{"Global","Unitário"},0),ROUND(ROUND(BM.MEDAcumulado,15-13*BM!$A$9)/100*BM!$I519,15-13*ORÇAMENTO!$AF$11),ROUND(ROUND(BM.MEDAcumulado,15-13*BM!$A$9)*ROUND(BM!$H519,15-13*ORÇAMENTO!$AF$10),15-13*ORÇAMENTO!$AF$11))),IF($A519=0,0,ROUND(SomaAgrupBM,15-13*ORÇAMENTO!$AF$11)))</f>
        <v>0</v>
      </c>
    </row>
    <row r="520" spans="1:41" ht="13.8" x14ac:dyDescent="0.3">
      <c r="A520" t="str">
        <f ca="1">ORÇAMENTO!C520</f>
        <v>S</v>
      </c>
      <c r="B520">
        <f ca="1">ORÇAMENTO!D520</f>
        <v>0</v>
      </c>
      <c r="C520" s="143" t="str">
        <f t="shared" ca="1" si="78"/>
        <v/>
      </c>
      <c r="D520" s="146" t="str">
        <f ca="1">ORÇAMENTO!O520</f>
        <v>-</v>
      </c>
      <c r="E520" s="206" t="str">
        <f t="shared" ca="1" si="79"/>
        <v>(abra o arquivo 'Referência 05-2024.xls)</v>
      </c>
      <c r="F520" s="207" t="str">
        <f t="shared" ca="1" si="80"/>
        <v>-</v>
      </c>
      <c r="G520" s="151">
        <f ca="1">IF(RegimeExecucao="Global","",ORÇAMENTO!T520)</f>
        <v>228</v>
      </c>
      <c r="H520" s="151">
        <f ca="1">IF(RegimeExecucao="Global","",ORÇAMENTO!W520)</f>
        <v>0</v>
      </c>
      <c r="I520" s="154">
        <f ca="1">ORÇAMENTO!X520</f>
        <v>0</v>
      </c>
      <c r="J520" s="427">
        <f t="shared" ca="1" si="81"/>
        <v>0</v>
      </c>
      <c r="K520" s="151">
        <f t="shared" ca="1" si="82"/>
        <v>0</v>
      </c>
      <c r="L520" s="428">
        <f t="shared" ca="1" si="83"/>
        <v>0</v>
      </c>
      <c r="M520" s="429">
        <f ca="1">IF($A520="S",VTOTALBM,IF($A520=0,0,ROUND(SomaAgrupBM,15-13*ORÇAMENTO!$AF$11)))</f>
        <v>0</v>
      </c>
      <c r="N520" s="430">
        <f t="shared" ca="1" si="84"/>
        <v>0</v>
      </c>
      <c r="O520" s="154">
        <f ca="1">IF($A520="S",VTOTALBM,IF($A520=0,0,ROUND(SomaAgrupBM,15-13*ORÇAMENTO!$AF$11)))</f>
        <v>0</v>
      </c>
      <c r="Q520" s="431"/>
      <c r="R520" s="432"/>
      <c r="T520" s="146" t="str">
        <f t="shared" ca="1" si="85"/>
        <v/>
      </c>
      <c r="U520" s="206" t="str">
        <f t="shared" ca="1" si="86"/>
        <v/>
      </c>
      <c r="V520" s="207" t="str">
        <f t="shared" ca="1" si="87"/>
        <v/>
      </c>
      <c r="W520" s="634">
        <f ca="1">IF($Y520&gt;0,CHOOSE(MATCH(RegimeExecucao,{"Unitário","Global"},0),IF($A520="S",$Y520/$X520,""),($Y520/$X520)*100),0)</f>
        <v>0</v>
      </c>
      <c r="X520" s="433" t="str">
        <f ca="1">IF($Y520&gt;0,CHOOSE(MATCH(RegimeExecucao,{"Unitário","Global"},0),IF($A520="S",ROUND($H520,ORÇAMENTO!$AF$10),""),ROUND($I520,ORÇAMENTO!$AF$11)),"")</f>
        <v/>
      </c>
      <c r="Y520" s="433">
        <f t="shared" ca="1" si="88"/>
        <v>0</v>
      </c>
      <c r="Z520" s="434"/>
      <c r="AB520" s="431"/>
      <c r="AC520" s="599"/>
      <c r="AD520" s="599"/>
      <c r="AE520" s="599"/>
      <c r="AF520" s="599"/>
      <c r="AG520" s="599"/>
      <c r="AH520" s="599"/>
      <c r="AI520" s="599"/>
      <c r="AJ520" s="599"/>
      <c r="AK520" s="599"/>
      <c r="AL520" s="599"/>
      <c r="AM520" s="432"/>
      <c r="AO520">
        <f ca="1">IF($A520="S",IF(BM!$I520=0,0,CHOOSE(MATCH(RegimeExecucao,{"Global","Unitário"},0),ROUND(ROUND(BM.MEDAcumulado,15-13*BM!$A$9)/100*BM!$I520,15-13*ORÇAMENTO!$AF$11),ROUND(ROUND(BM.MEDAcumulado,15-13*BM!$A$9)*ROUND(BM!$H520,15-13*ORÇAMENTO!$AF$10),15-13*ORÇAMENTO!$AF$11))),IF($A520=0,0,ROUND(SomaAgrupBM,15-13*ORÇAMENTO!$AF$11)))</f>
        <v>0</v>
      </c>
    </row>
    <row r="521" spans="1:41" ht="13.8" x14ac:dyDescent="0.3">
      <c r="A521" t="str">
        <f ca="1">ORÇAMENTO!C521</f>
        <v>S</v>
      </c>
      <c r="B521">
        <f ca="1">ORÇAMENTO!D521</f>
        <v>0</v>
      </c>
      <c r="C521" s="143" t="str">
        <f t="shared" ca="1" si="78"/>
        <v/>
      </c>
      <c r="D521" s="146" t="str">
        <f ca="1">ORÇAMENTO!O521</f>
        <v>-</v>
      </c>
      <c r="E521" s="206" t="str">
        <f t="shared" ca="1" si="79"/>
        <v>(abra o arquivo 'Referência 05-2024.xls)</v>
      </c>
      <c r="F521" s="207" t="str">
        <f t="shared" ca="1" si="80"/>
        <v>-</v>
      </c>
      <c r="G521" s="151">
        <f ca="1">IF(RegimeExecucao="Global","",ORÇAMENTO!T521)</f>
        <v>228</v>
      </c>
      <c r="H521" s="151">
        <f ca="1">IF(RegimeExecucao="Global","",ORÇAMENTO!W521)</f>
        <v>0</v>
      </c>
      <c r="I521" s="154">
        <f ca="1">ORÇAMENTO!X521</f>
        <v>0</v>
      </c>
      <c r="J521" s="427">
        <f t="shared" ca="1" si="81"/>
        <v>0</v>
      </c>
      <c r="K521" s="151">
        <f t="shared" ca="1" si="82"/>
        <v>0</v>
      </c>
      <c r="L521" s="428">
        <f t="shared" ca="1" si="83"/>
        <v>0</v>
      </c>
      <c r="M521" s="429">
        <f ca="1">IF($A521="S",VTOTALBM,IF($A521=0,0,ROUND(SomaAgrupBM,15-13*ORÇAMENTO!$AF$11)))</f>
        <v>0</v>
      </c>
      <c r="N521" s="430">
        <f t="shared" ca="1" si="84"/>
        <v>0</v>
      </c>
      <c r="O521" s="154">
        <f ca="1">IF($A521="S",VTOTALBM,IF($A521=0,0,ROUND(SomaAgrupBM,15-13*ORÇAMENTO!$AF$11)))</f>
        <v>0</v>
      </c>
      <c r="Q521" s="431"/>
      <c r="R521" s="432"/>
      <c r="T521" s="146" t="str">
        <f t="shared" ca="1" si="85"/>
        <v/>
      </c>
      <c r="U521" s="206" t="str">
        <f t="shared" ca="1" si="86"/>
        <v/>
      </c>
      <c r="V521" s="207" t="str">
        <f t="shared" ca="1" si="87"/>
        <v/>
      </c>
      <c r="W521" s="634">
        <f ca="1">IF($Y521&gt;0,CHOOSE(MATCH(RegimeExecucao,{"Unitário","Global"},0),IF($A521="S",$Y521/$X521,""),($Y521/$X521)*100),0)</f>
        <v>0</v>
      </c>
      <c r="X521" s="433" t="str">
        <f ca="1">IF($Y521&gt;0,CHOOSE(MATCH(RegimeExecucao,{"Unitário","Global"},0),IF($A521="S",ROUND($H521,ORÇAMENTO!$AF$10),""),ROUND($I521,ORÇAMENTO!$AF$11)),"")</f>
        <v/>
      </c>
      <c r="Y521" s="433">
        <f t="shared" ca="1" si="88"/>
        <v>0</v>
      </c>
      <c r="Z521" s="434"/>
      <c r="AB521" s="431"/>
      <c r="AC521" s="599"/>
      <c r="AD521" s="599"/>
      <c r="AE521" s="599"/>
      <c r="AF521" s="599"/>
      <c r="AG521" s="599"/>
      <c r="AH521" s="599"/>
      <c r="AI521" s="599"/>
      <c r="AJ521" s="599"/>
      <c r="AK521" s="599"/>
      <c r="AL521" s="599"/>
      <c r="AM521" s="432"/>
      <c r="AO521">
        <f ca="1">IF($A521="S",IF(BM!$I521=0,0,CHOOSE(MATCH(RegimeExecucao,{"Global","Unitário"},0),ROUND(ROUND(BM.MEDAcumulado,15-13*BM!$A$9)/100*BM!$I521,15-13*ORÇAMENTO!$AF$11),ROUND(ROUND(BM.MEDAcumulado,15-13*BM!$A$9)*ROUND(BM!$H521,15-13*ORÇAMENTO!$AF$10),15-13*ORÇAMENTO!$AF$11))),IF($A521=0,0,ROUND(SomaAgrupBM,15-13*ORÇAMENTO!$AF$11)))</f>
        <v>0</v>
      </c>
    </row>
    <row r="522" spans="1:41" ht="13.8" x14ac:dyDescent="0.3">
      <c r="A522" t="str">
        <f ca="1">ORÇAMENTO!C522</f>
        <v>S</v>
      </c>
      <c r="B522">
        <f ca="1">ORÇAMENTO!D522</f>
        <v>0</v>
      </c>
      <c r="C522" s="143" t="str">
        <f t="shared" ca="1" si="78"/>
        <v/>
      </c>
      <c r="D522" s="146" t="str">
        <f ca="1">ORÇAMENTO!O522</f>
        <v>-</v>
      </c>
      <c r="E522" s="206" t="str">
        <f t="shared" ca="1" si="79"/>
        <v>(abra o arquivo 'Referência 05-2024.xls)</v>
      </c>
      <c r="F522" s="207" t="str">
        <f t="shared" ca="1" si="80"/>
        <v>-</v>
      </c>
      <c r="G522" s="151">
        <f ca="1">IF(RegimeExecucao="Global","",ORÇAMENTO!T522)</f>
        <v>6</v>
      </c>
      <c r="H522" s="151">
        <f ca="1">IF(RegimeExecucao="Global","",ORÇAMENTO!W522)</f>
        <v>0</v>
      </c>
      <c r="I522" s="154">
        <f ca="1">ORÇAMENTO!X522</f>
        <v>0</v>
      </c>
      <c r="J522" s="427">
        <f t="shared" ca="1" si="81"/>
        <v>0</v>
      </c>
      <c r="K522" s="151">
        <f t="shared" ca="1" si="82"/>
        <v>0</v>
      </c>
      <c r="L522" s="428">
        <f t="shared" ca="1" si="83"/>
        <v>0</v>
      </c>
      <c r="M522" s="429">
        <f ca="1">IF($A522="S",VTOTALBM,IF($A522=0,0,ROUND(SomaAgrupBM,15-13*ORÇAMENTO!$AF$11)))</f>
        <v>0</v>
      </c>
      <c r="N522" s="430">
        <f t="shared" ca="1" si="84"/>
        <v>0</v>
      </c>
      <c r="O522" s="154">
        <f ca="1">IF($A522="S",VTOTALBM,IF($A522=0,0,ROUND(SomaAgrupBM,15-13*ORÇAMENTO!$AF$11)))</f>
        <v>0</v>
      </c>
      <c r="Q522" s="431"/>
      <c r="R522" s="432"/>
      <c r="T522" s="146" t="str">
        <f t="shared" ca="1" si="85"/>
        <v/>
      </c>
      <c r="U522" s="206" t="str">
        <f t="shared" ca="1" si="86"/>
        <v/>
      </c>
      <c r="V522" s="207" t="str">
        <f t="shared" ca="1" si="87"/>
        <v/>
      </c>
      <c r="W522" s="634">
        <f ca="1">IF($Y522&gt;0,CHOOSE(MATCH(RegimeExecucao,{"Unitário","Global"},0),IF($A522="S",$Y522/$X522,""),($Y522/$X522)*100),0)</f>
        <v>0</v>
      </c>
      <c r="X522" s="433" t="str">
        <f ca="1">IF($Y522&gt;0,CHOOSE(MATCH(RegimeExecucao,{"Unitário","Global"},0),IF($A522="S",ROUND($H522,ORÇAMENTO!$AF$10),""),ROUND($I522,ORÇAMENTO!$AF$11)),"")</f>
        <v/>
      </c>
      <c r="Y522" s="433">
        <f t="shared" ca="1" si="88"/>
        <v>0</v>
      </c>
      <c r="Z522" s="434"/>
      <c r="AB522" s="431"/>
      <c r="AC522" s="599"/>
      <c r="AD522" s="599"/>
      <c r="AE522" s="599"/>
      <c r="AF522" s="599"/>
      <c r="AG522" s="599"/>
      <c r="AH522" s="599"/>
      <c r="AI522" s="599"/>
      <c r="AJ522" s="599"/>
      <c r="AK522" s="599"/>
      <c r="AL522" s="599"/>
      <c r="AM522" s="432"/>
      <c r="AO522">
        <f ca="1">IF($A522="S",IF(BM!$I522=0,0,CHOOSE(MATCH(RegimeExecucao,{"Global","Unitário"},0),ROUND(ROUND(BM.MEDAcumulado,15-13*BM!$A$9)/100*BM!$I522,15-13*ORÇAMENTO!$AF$11),ROUND(ROUND(BM.MEDAcumulado,15-13*BM!$A$9)*ROUND(BM!$H522,15-13*ORÇAMENTO!$AF$10),15-13*ORÇAMENTO!$AF$11))),IF($A522=0,0,ROUND(SomaAgrupBM,15-13*ORÇAMENTO!$AF$11)))</f>
        <v>0</v>
      </c>
    </row>
    <row r="523" spans="1:41" ht="13.8" x14ac:dyDescent="0.3">
      <c r="A523">
        <f ca="1">ORÇAMENTO!C523</f>
        <v>3</v>
      </c>
      <c r="B523">
        <f ca="1">ORÇAMENTO!D523</f>
        <v>5</v>
      </c>
      <c r="C523" s="143" t="str">
        <f t="shared" ca="1" si="78"/>
        <v>F</v>
      </c>
      <c r="D523" s="146" t="str">
        <f ca="1">ORÇAMENTO!O523</f>
        <v>1.17.6.</v>
      </c>
      <c r="E523" s="206" t="str">
        <f t="shared" si="79"/>
        <v>OUTROS</v>
      </c>
      <c r="F523" s="207" t="str">
        <f t="shared" ca="1" si="80"/>
        <v>-</v>
      </c>
      <c r="G523" s="151">
        <f ca="1">IF(RegimeExecucao="Global","",ORÇAMENTO!T523)</f>
        <v>0</v>
      </c>
      <c r="H523" s="151">
        <f ca="1">IF(RegimeExecucao="Global","",ORÇAMENTO!W523)</f>
        <v>0</v>
      </c>
      <c r="I523" s="154">
        <f ca="1">ORÇAMENTO!X523</f>
        <v>0</v>
      </c>
      <c r="J523" s="427">
        <f t="shared" ca="1" si="81"/>
        <v>0</v>
      </c>
      <c r="K523" s="151">
        <f t="shared" ca="1" si="82"/>
        <v>0</v>
      </c>
      <c r="L523" s="428">
        <f t="shared" ca="1" si="83"/>
        <v>0</v>
      </c>
      <c r="M523" s="429">
        <f ca="1">IF($A523="S",VTOTALBM,IF($A523=0,0,ROUND(SomaAgrupBM,15-13*ORÇAMENTO!$AF$11)))</f>
        <v>0</v>
      </c>
      <c r="N523" s="430">
        <f t="shared" ca="1" si="84"/>
        <v>0</v>
      </c>
      <c r="O523" s="154">
        <f ca="1">IF($A523="S",VTOTALBM,IF($A523=0,0,ROUND(SomaAgrupBM,15-13*ORÇAMENTO!$AF$11)))</f>
        <v>0</v>
      </c>
      <c r="Q523" s="431"/>
      <c r="R523" s="432"/>
      <c r="T523" s="146" t="str">
        <f t="shared" ca="1" si="85"/>
        <v/>
      </c>
      <c r="U523" s="206" t="str">
        <f t="shared" ca="1" si="86"/>
        <v/>
      </c>
      <c r="V523" s="207" t="str">
        <f t="shared" ca="1" si="87"/>
        <v/>
      </c>
      <c r="W523" s="634">
        <f ca="1">IF($Y523&gt;0,CHOOSE(MATCH(RegimeExecucao,{"Unitário","Global"},0),IF($A523="S",$Y523/$X523,""),($Y523/$X523)*100),0)</f>
        <v>0</v>
      </c>
      <c r="X523" s="433" t="str">
        <f ca="1">IF($Y523&gt;0,CHOOSE(MATCH(RegimeExecucao,{"Unitário","Global"},0),IF($A523="S",ROUND($H523,ORÇAMENTO!$AF$10),""),ROUND($I523,ORÇAMENTO!$AF$11)),"")</f>
        <v/>
      </c>
      <c r="Y523" s="433">
        <f t="shared" ca="1" si="88"/>
        <v>0</v>
      </c>
      <c r="Z523" s="434"/>
      <c r="AB523" s="431"/>
      <c r="AC523" s="599"/>
      <c r="AD523" s="599"/>
      <c r="AE523" s="599"/>
      <c r="AF523" s="599"/>
      <c r="AG523" s="599"/>
      <c r="AH523" s="599"/>
      <c r="AI523" s="599"/>
      <c r="AJ523" s="599"/>
      <c r="AK523" s="599"/>
      <c r="AL523" s="599"/>
      <c r="AM523" s="432"/>
      <c r="AO523">
        <f ca="1">IF($A523="S",IF(BM!$I523=0,0,CHOOSE(MATCH(RegimeExecucao,{"Global","Unitário"},0),ROUND(ROUND(BM.MEDAcumulado,15-13*BM!$A$9)/100*BM!$I523,15-13*ORÇAMENTO!$AF$11),ROUND(ROUND(BM.MEDAcumulado,15-13*BM!$A$9)*ROUND(BM!$H523,15-13*ORÇAMENTO!$AF$10),15-13*ORÇAMENTO!$AF$11))),IF($A523=0,0,ROUND(SomaAgrupBM,15-13*ORÇAMENTO!$AF$11)))</f>
        <v>0</v>
      </c>
    </row>
    <row r="524" spans="1:41" ht="13.8" x14ac:dyDescent="0.3">
      <c r="A524" t="str">
        <f ca="1">ORÇAMENTO!C524</f>
        <v>S</v>
      </c>
      <c r="B524">
        <f ca="1">ORÇAMENTO!D524</f>
        <v>0</v>
      </c>
      <c r="C524" s="143" t="str">
        <f t="shared" ca="1" si="78"/>
        <v/>
      </c>
      <c r="D524" s="146" t="str">
        <f ca="1">ORÇAMENTO!O524</f>
        <v>-</v>
      </c>
      <c r="E524" s="206" t="str">
        <f t="shared" ca="1" si="79"/>
        <v>(abra o arquivo 'Referência 05-2024.xls)</v>
      </c>
      <c r="F524" s="207" t="str">
        <f t="shared" ca="1" si="80"/>
        <v>-</v>
      </c>
      <c r="G524" s="151">
        <f ca="1">IF(RegimeExecucao="Global","",ORÇAMENTO!T524)</f>
        <v>69</v>
      </c>
      <c r="H524" s="151">
        <f ca="1">IF(RegimeExecucao="Global","",ORÇAMENTO!W524)</f>
        <v>0</v>
      </c>
      <c r="I524" s="154">
        <f ca="1">ORÇAMENTO!X524</f>
        <v>0</v>
      </c>
      <c r="J524" s="427">
        <f t="shared" ca="1" si="81"/>
        <v>0</v>
      </c>
      <c r="K524" s="151">
        <f t="shared" ca="1" si="82"/>
        <v>0</v>
      </c>
      <c r="L524" s="428">
        <f t="shared" ca="1" si="83"/>
        <v>0</v>
      </c>
      <c r="M524" s="429">
        <f ca="1">IF($A524="S",VTOTALBM,IF($A524=0,0,ROUND(SomaAgrupBM,15-13*ORÇAMENTO!$AF$11)))</f>
        <v>0</v>
      </c>
      <c r="N524" s="430">
        <f t="shared" ca="1" si="84"/>
        <v>0</v>
      </c>
      <c r="O524" s="154">
        <f ca="1">IF($A524="S",VTOTALBM,IF($A524=0,0,ROUND(SomaAgrupBM,15-13*ORÇAMENTO!$AF$11)))</f>
        <v>0</v>
      </c>
      <c r="Q524" s="431"/>
      <c r="R524" s="432"/>
      <c r="T524" s="146" t="str">
        <f t="shared" ca="1" si="85"/>
        <v/>
      </c>
      <c r="U524" s="206" t="str">
        <f t="shared" ca="1" si="86"/>
        <v/>
      </c>
      <c r="V524" s="207" t="str">
        <f t="shared" ca="1" si="87"/>
        <v/>
      </c>
      <c r="W524" s="634">
        <f ca="1">IF($Y524&gt;0,CHOOSE(MATCH(RegimeExecucao,{"Unitário","Global"},0),IF($A524="S",$Y524/$X524,""),($Y524/$X524)*100),0)</f>
        <v>0</v>
      </c>
      <c r="X524" s="433" t="str">
        <f ca="1">IF($Y524&gt;0,CHOOSE(MATCH(RegimeExecucao,{"Unitário","Global"},0),IF($A524="S",ROUND($H524,ORÇAMENTO!$AF$10),""),ROUND($I524,ORÇAMENTO!$AF$11)),"")</f>
        <v/>
      </c>
      <c r="Y524" s="433">
        <f t="shared" ca="1" si="88"/>
        <v>0</v>
      </c>
      <c r="Z524" s="434"/>
      <c r="AB524" s="431"/>
      <c r="AC524" s="599"/>
      <c r="AD524" s="599"/>
      <c r="AE524" s="599"/>
      <c r="AF524" s="599"/>
      <c r="AG524" s="599"/>
      <c r="AH524" s="599"/>
      <c r="AI524" s="599"/>
      <c r="AJ524" s="599"/>
      <c r="AK524" s="599"/>
      <c r="AL524" s="599"/>
      <c r="AM524" s="432"/>
      <c r="AO524">
        <f ca="1">IF($A524="S",IF(BM!$I524=0,0,CHOOSE(MATCH(RegimeExecucao,{"Global","Unitário"},0),ROUND(ROUND(BM.MEDAcumulado,15-13*BM!$A$9)/100*BM!$I524,15-13*ORÇAMENTO!$AF$11),ROUND(ROUND(BM.MEDAcumulado,15-13*BM!$A$9)*ROUND(BM!$H524,15-13*ORÇAMENTO!$AF$10),15-13*ORÇAMENTO!$AF$11))),IF($A524=0,0,ROUND(SomaAgrupBM,15-13*ORÇAMENTO!$AF$11)))</f>
        <v>0</v>
      </c>
    </row>
    <row r="525" spans="1:41" ht="13.8" x14ac:dyDescent="0.3">
      <c r="A525" t="str">
        <f ca="1">ORÇAMENTO!C525</f>
        <v>S</v>
      </c>
      <c r="B525">
        <f ca="1">ORÇAMENTO!D525</f>
        <v>0</v>
      </c>
      <c r="C525" s="143" t="str">
        <f t="shared" ca="1" si="78"/>
        <v/>
      </c>
      <c r="D525" s="146" t="str">
        <f ca="1">ORÇAMENTO!O525</f>
        <v>-</v>
      </c>
      <c r="E525" s="206" t="str">
        <f t="shared" ca="1" si="79"/>
        <v>(abra o arquivo 'Referência 05-2024.xls)</v>
      </c>
      <c r="F525" s="207" t="str">
        <f t="shared" ca="1" si="80"/>
        <v>-</v>
      </c>
      <c r="G525" s="151">
        <f ca="1">IF(RegimeExecucao="Global","",ORÇAMENTO!T525)</f>
        <v>27</v>
      </c>
      <c r="H525" s="151">
        <f ca="1">IF(RegimeExecucao="Global","",ORÇAMENTO!W525)</f>
        <v>0</v>
      </c>
      <c r="I525" s="154">
        <f ca="1">ORÇAMENTO!X525</f>
        <v>0</v>
      </c>
      <c r="J525" s="427">
        <f t="shared" ca="1" si="81"/>
        <v>0</v>
      </c>
      <c r="K525" s="151">
        <f t="shared" ca="1" si="82"/>
        <v>0</v>
      </c>
      <c r="L525" s="428">
        <f t="shared" ca="1" si="83"/>
        <v>0</v>
      </c>
      <c r="M525" s="429">
        <f ca="1">IF($A525="S",VTOTALBM,IF($A525=0,0,ROUND(SomaAgrupBM,15-13*ORÇAMENTO!$AF$11)))</f>
        <v>0</v>
      </c>
      <c r="N525" s="430">
        <f t="shared" ca="1" si="84"/>
        <v>0</v>
      </c>
      <c r="O525" s="154">
        <f ca="1">IF($A525="S",VTOTALBM,IF($A525=0,0,ROUND(SomaAgrupBM,15-13*ORÇAMENTO!$AF$11)))</f>
        <v>0</v>
      </c>
      <c r="Q525" s="431"/>
      <c r="R525" s="432"/>
      <c r="T525" s="146" t="str">
        <f t="shared" ca="1" si="85"/>
        <v/>
      </c>
      <c r="U525" s="206" t="str">
        <f t="shared" ca="1" si="86"/>
        <v/>
      </c>
      <c r="V525" s="207" t="str">
        <f t="shared" ca="1" si="87"/>
        <v/>
      </c>
      <c r="W525" s="634">
        <f ca="1">IF($Y525&gt;0,CHOOSE(MATCH(RegimeExecucao,{"Unitário","Global"},0),IF($A525="S",$Y525/$X525,""),($Y525/$X525)*100),0)</f>
        <v>0</v>
      </c>
      <c r="X525" s="433" t="str">
        <f ca="1">IF($Y525&gt;0,CHOOSE(MATCH(RegimeExecucao,{"Unitário","Global"},0),IF($A525="S",ROUND($H525,ORÇAMENTO!$AF$10),""),ROUND($I525,ORÇAMENTO!$AF$11)),"")</f>
        <v/>
      </c>
      <c r="Y525" s="433">
        <f t="shared" ca="1" si="88"/>
        <v>0</v>
      </c>
      <c r="Z525" s="434"/>
      <c r="AB525" s="431"/>
      <c r="AC525" s="599"/>
      <c r="AD525" s="599"/>
      <c r="AE525" s="599"/>
      <c r="AF525" s="599"/>
      <c r="AG525" s="599"/>
      <c r="AH525" s="599"/>
      <c r="AI525" s="599"/>
      <c r="AJ525" s="599"/>
      <c r="AK525" s="599"/>
      <c r="AL525" s="599"/>
      <c r="AM525" s="432"/>
      <c r="AO525">
        <f ca="1">IF($A525="S",IF(BM!$I525=0,0,CHOOSE(MATCH(RegimeExecucao,{"Global","Unitário"},0),ROUND(ROUND(BM.MEDAcumulado,15-13*BM!$A$9)/100*BM!$I525,15-13*ORÇAMENTO!$AF$11),ROUND(ROUND(BM.MEDAcumulado,15-13*BM!$A$9)*ROUND(BM!$H525,15-13*ORÇAMENTO!$AF$10),15-13*ORÇAMENTO!$AF$11))),IF($A525=0,0,ROUND(SomaAgrupBM,15-13*ORÇAMENTO!$AF$11)))</f>
        <v>0</v>
      </c>
    </row>
    <row r="526" spans="1:41" ht="13.8" x14ac:dyDescent="0.3">
      <c r="A526" t="str">
        <f ca="1">ORÇAMENTO!C526</f>
        <v>S</v>
      </c>
      <c r="B526">
        <f ca="1">ORÇAMENTO!D526</f>
        <v>0</v>
      </c>
      <c r="C526" s="143" t="str">
        <f t="shared" ref="C526:C589" ca="1" si="89">IF(OR($I526&gt;0,$A526=1,$A526=2,$A526=3,$A526=4),"F","")</f>
        <v/>
      </c>
      <c r="D526" s="146" t="str">
        <f ca="1">ORÇAMENTO!O526</f>
        <v>-</v>
      </c>
      <c r="E526" s="206" t="str">
        <f t="shared" ref="E526:E589" ca="1" si="90">ORÇAMENTO.Descricao</f>
        <v>(abra o arquivo 'Referência 05-2024.xls)</v>
      </c>
      <c r="F526" s="207" t="str">
        <f t="shared" ref="F526:F589" ca="1" si="91">IF(RegimeExecucao="Global","",ORÇAMENTO.Unidade)</f>
        <v>-</v>
      </c>
      <c r="G526" s="151">
        <f ca="1">IF(RegimeExecucao="Global","",ORÇAMENTO!T526)</f>
        <v>2</v>
      </c>
      <c r="H526" s="151">
        <f ca="1">IF(RegimeExecucao="Global","",ORÇAMENTO!W526)</f>
        <v>0</v>
      </c>
      <c r="I526" s="154">
        <f ca="1">ORÇAMENTO!X526</f>
        <v>0</v>
      </c>
      <c r="J526" s="427">
        <f t="shared" ref="J526:J589" ca="1" si="92">IF($A526="S",IF(CAIXA.Modo,BM.AFAnterior,BM.MEDAnterior),IF(AND(RegimeExecucao="Global",$I526&gt;0,COUNTIF($AB$13:$AM$13,BM.medicao-1)&gt;0),M526/$I526*100,0))</f>
        <v>0</v>
      </c>
      <c r="K526" s="151">
        <f t="shared" ref="K526:K589" ca="1" si="93">L526-J526</f>
        <v>0</v>
      </c>
      <c r="L526" s="428">
        <f t="shared" ref="L526:L589" ca="1" si="94">IF($A526="S",IF(CAIXA.Modo,BM.AFAcumulado,BM.MEDAcumulado),IF(AND(RegimeExecucao="Global",$I526&gt;0,COUNTIF($AB$13:$AM$13,BM.medicao)&gt;0),O526/$I526*100,0))</f>
        <v>0</v>
      </c>
      <c r="M526" s="429">
        <f ca="1">IF($A526="S",VTOTALBM,IF($A526=0,0,ROUND(SomaAgrupBM,15-13*ORÇAMENTO!$AF$11)))</f>
        <v>0</v>
      </c>
      <c r="N526" s="430">
        <f t="shared" ref="N526:N589" ca="1" si="95">O526-M526</f>
        <v>0</v>
      </c>
      <c r="O526" s="154">
        <f ca="1">IF($A526="S",VTOTALBM,IF($A526=0,0,ROUND(SomaAgrupBM,15-13*ORÇAMENTO!$AF$11)))</f>
        <v>0</v>
      </c>
      <c r="Q526" s="431"/>
      <c r="R526" s="432"/>
      <c r="T526" s="146" t="str">
        <f t="shared" ref="T526:T589" ca="1" si="96">IF($W526&gt;0,$D526,"")</f>
        <v/>
      </c>
      <c r="U526" s="206" t="str">
        <f t="shared" ref="U526:U589" ca="1" si="97">IF($W526&gt;0,$E526,"")</f>
        <v/>
      </c>
      <c r="V526" s="207" t="str">
        <f t="shared" ref="V526:V589" ca="1" si="98">IF(AND($W526&gt;0,RegimeExecucao="Unitário"),$F526,"")</f>
        <v/>
      </c>
      <c r="W526" s="634">
        <f ca="1">IF($Y526&gt;0,CHOOSE(MATCH(RegimeExecucao,{"Unitário","Global"},0),IF($A526="S",$Y526/$X526,""),($Y526/$X526)*100),0)</f>
        <v>0</v>
      </c>
      <c r="X526" s="433" t="str">
        <f ca="1">IF($Y526&gt;0,CHOOSE(MATCH(RegimeExecucao,{"Unitário","Global"},0),IF($A526="S",ROUND($H526,ORÇAMENTO!$AF$10),""),ROUND($I526,ORÇAMENTO!$AF$11)),"")</f>
        <v/>
      </c>
      <c r="Y526" s="433">
        <f t="shared" ref="Y526:Y589" ca="1" si="99">AO526-O526</f>
        <v>0</v>
      </c>
      <c r="Z526" s="434"/>
      <c r="AB526" s="431"/>
      <c r="AC526" s="599"/>
      <c r="AD526" s="599"/>
      <c r="AE526" s="599"/>
      <c r="AF526" s="599"/>
      <c r="AG526" s="599"/>
      <c r="AH526" s="599"/>
      <c r="AI526" s="599"/>
      <c r="AJ526" s="599"/>
      <c r="AK526" s="599"/>
      <c r="AL526" s="599"/>
      <c r="AM526" s="432"/>
      <c r="AO526">
        <f ca="1">IF($A526="S",IF(BM!$I526=0,0,CHOOSE(MATCH(RegimeExecucao,{"Global","Unitário"},0),ROUND(ROUND(BM.MEDAcumulado,15-13*BM!$A$9)/100*BM!$I526,15-13*ORÇAMENTO!$AF$11),ROUND(ROUND(BM.MEDAcumulado,15-13*BM!$A$9)*ROUND(BM!$H526,15-13*ORÇAMENTO!$AF$10),15-13*ORÇAMENTO!$AF$11))),IF($A526=0,0,ROUND(SomaAgrupBM,15-13*ORÇAMENTO!$AF$11)))</f>
        <v>0</v>
      </c>
    </row>
    <row r="527" spans="1:41" ht="13.8" x14ac:dyDescent="0.3">
      <c r="A527" t="str">
        <f ca="1">ORÇAMENTO!C527</f>
        <v>S</v>
      </c>
      <c r="B527">
        <f ca="1">ORÇAMENTO!D527</f>
        <v>0</v>
      </c>
      <c r="C527" s="143" t="str">
        <f t="shared" ca="1" si="89"/>
        <v/>
      </c>
      <c r="D527" s="146" t="str">
        <f ca="1">ORÇAMENTO!O527</f>
        <v>-</v>
      </c>
      <c r="E527" s="206" t="str">
        <f t="shared" ca="1" si="90"/>
        <v>(abra o arquivo 'Referência 05-2024.xls)</v>
      </c>
      <c r="F527" s="207" t="str">
        <f t="shared" ca="1" si="91"/>
        <v>-</v>
      </c>
      <c r="G527" s="151">
        <f ca="1">IF(RegimeExecucao="Global","",ORÇAMENTO!T527)</f>
        <v>110</v>
      </c>
      <c r="H527" s="151">
        <f ca="1">IF(RegimeExecucao="Global","",ORÇAMENTO!W527)</f>
        <v>0</v>
      </c>
      <c r="I527" s="154">
        <f ca="1">ORÇAMENTO!X527</f>
        <v>0</v>
      </c>
      <c r="J527" s="427">
        <f t="shared" ca="1" si="92"/>
        <v>0</v>
      </c>
      <c r="K527" s="151">
        <f t="shared" ca="1" si="93"/>
        <v>0</v>
      </c>
      <c r="L527" s="428">
        <f t="shared" ca="1" si="94"/>
        <v>0</v>
      </c>
      <c r="M527" s="429">
        <f ca="1">IF($A527="S",VTOTALBM,IF($A527=0,0,ROUND(SomaAgrupBM,15-13*ORÇAMENTO!$AF$11)))</f>
        <v>0</v>
      </c>
      <c r="N527" s="430">
        <f t="shared" ca="1" si="95"/>
        <v>0</v>
      </c>
      <c r="O527" s="154">
        <f ca="1">IF($A527="S",VTOTALBM,IF($A527=0,0,ROUND(SomaAgrupBM,15-13*ORÇAMENTO!$AF$11)))</f>
        <v>0</v>
      </c>
      <c r="Q527" s="431"/>
      <c r="R527" s="432"/>
      <c r="T527" s="146" t="str">
        <f t="shared" ca="1" si="96"/>
        <v/>
      </c>
      <c r="U527" s="206" t="str">
        <f t="shared" ca="1" si="97"/>
        <v/>
      </c>
      <c r="V527" s="207" t="str">
        <f t="shared" ca="1" si="98"/>
        <v/>
      </c>
      <c r="W527" s="634">
        <f ca="1">IF($Y527&gt;0,CHOOSE(MATCH(RegimeExecucao,{"Unitário","Global"},0),IF($A527="S",$Y527/$X527,""),($Y527/$X527)*100),0)</f>
        <v>0</v>
      </c>
      <c r="X527" s="433" t="str">
        <f ca="1">IF($Y527&gt;0,CHOOSE(MATCH(RegimeExecucao,{"Unitário","Global"},0),IF($A527="S",ROUND($H527,ORÇAMENTO!$AF$10),""),ROUND($I527,ORÇAMENTO!$AF$11)),"")</f>
        <v/>
      </c>
      <c r="Y527" s="433">
        <f t="shared" ca="1" si="99"/>
        <v>0</v>
      </c>
      <c r="Z527" s="434"/>
      <c r="AB527" s="431"/>
      <c r="AC527" s="599"/>
      <c r="AD527" s="599"/>
      <c r="AE527" s="599"/>
      <c r="AF527" s="599"/>
      <c r="AG527" s="599"/>
      <c r="AH527" s="599"/>
      <c r="AI527" s="599"/>
      <c r="AJ527" s="599"/>
      <c r="AK527" s="599"/>
      <c r="AL527" s="599"/>
      <c r="AM527" s="432"/>
      <c r="AO527">
        <f ca="1">IF($A527="S",IF(BM!$I527=0,0,CHOOSE(MATCH(RegimeExecucao,{"Global","Unitário"},0),ROUND(ROUND(BM.MEDAcumulado,15-13*BM!$A$9)/100*BM!$I527,15-13*ORÇAMENTO!$AF$11),ROUND(ROUND(BM.MEDAcumulado,15-13*BM!$A$9)*ROUND(BM!$H527,15-13*ORÇAMENTO!$AF$10),15-13*ORÇAMENTO!$AF$11))),IF($A527=0,0,ROUND(SomaAgrupBM,15-13*ORÇAMENTO!$AF$11)))</f>
        <v>0</v>
      </c>
    </row>
    <row r="528" spans="1:41" ht="13.8" x14ac:dyDescent="0.3">
      <c r="A528">
        <f ca="1">ORÇAMENTO!C528</f>
        <v>2</v>
      </c>
      <c r="B528">
        <f ca="1">ORÇAMENTO!D528</f>
        <v>90</v>
      </c>
      <c r="C528" s="143" t="str">
        <f t="shared" ca="1" si="89"/>
        <v>F</v>
      </c>
      <c r="D528" s="146" t="str">
        <f ca="1">ORÇAMENTO!O528</f>
        <v>1.18.</v>
      </c>
      <c r="E528" s="206" t="str">
        <f t="shared" si="90"/>
        <v>INSTALAÇÃO ELÉTRICA - 220V</v>
      </c>
      <c r="F528" s="207" t="str">
        <f t="shared" ca="1" si="91"/>
        <v>-</v>
      </c>
      <c r="G528" s="151">
        <f ca="1">IF(RegimeExecucao="Global","",ORÇAMENTO!T528)</f>
        <v>0</v>
      </c>
      <c r="H528" s="151">
        <f ca="1">IF(RegimeExecucao="Global","",ORÇAMENTO!W528)</f>
        <v>0</v>
      </c>
      <c r="I528" s="154">
        <f ca="1">ORÇAMENTO!X528</f>
        <v>0</v>
      </c>
      <c r="J528" s="427">
        <f t="shared" ca="1" si="92"/>
        <v>0</v>
      </c>
      <c r="K528" s="151">
        <f t="shared" ca="1" si="93"/>
        <v>0</v>
      </c>
      <c r="L528" s="428">
        <f t="shared" ca="1" si="94"/>
        <v>0</v>
      </c>
      <c r="M528" s="429">
        <f ca="1">IF($A528="S",VTOTALBM,IF($A528=0,0,ROUND(SomaAgrupBM,15-13*ORÇAMENTO!$AF$11)))</f>
        <v>0</v>
      </c>
      <c r="N528" s="430">
        <f t="shared" ca="1" si="95"/>
        <v>0</v>
      </c>
      <c r="O528" s="154">
        <f ca="1">IF($A528="S",VTOTALBM,IF($A528=0,0,ROUND(SomaAgrupBM,15-13*ORÇAMENTO!$AF$11)))</f>
        <v>0</v>
      </c>
      <c r="Q528" s="431"/>
      <c r="R528" s="432"/>
      <c r="T528" s="146" t="str">
        <f t="shared" ca="1" si="96"/>
        <v/>
      </c>
      <c r="U528" s="206" t="str">
        <f t="shared" ca="1" si="97"/>
        <v/>
      </c>
      <c r="V528" s="207" t="str">
        <f t="shared" ca="1" si="98"/>
        <v/>
      </c>
      <c r="W528" s="634">
        <f ca="1">IF($Y528&gt;0,CHOOSE(MATCH(RegimeExecucao,{"Unitário","Global"},0),IF($A528="S",$Y528/$X528,""),($Y528/$X528)*100),0)</f>
        <v>0</v>
      </c>
      <c r="X528" s="433" t="str">
        <f ca="1">IF($Y528&gt;0,CHOOSE(MATCH(RegimeExecucao,{"Unitário","Global"},0),IF($A528="S",ROUND($H528,ORÇAMENTO!$AF$10),""),ROUND($I528,ORÇAMENTO!$AF$11)),"")</f>
        <v/>
      </c>
      <c r="Y528" s="433">
        <f t="shared" ca="1" si="99"/>
        <v>0</v>
      </c>
      <c r="Z528" s="434"/>
      <c r="AB528" s="431"/>
      <c r="AC528" s="599"/>
      <c r="AD528" s="599"/>
      <c r="AE528" s="599"/>
      <c r="AF528" s="599"/>
      <c r="AG528" s="599"/>
      <c r="AH528" s="599"/>
      <c r="AI528" s="599"/>
      <c r="AJ528" s="599"/>
      <c r="AK528" s="599"/>
      <c r="AL528" s="599"/>
      <c r="AM528" s="432"/>
      <c r="AO528">
        <f ca="1">IF($A528="S",IF(BM!$I528=0,0,CHOOSE(MATCH(RegimeExecucao,{"Global","Unitário"},0),ROUND(ROUND(BM.MEDAcumulado,15-13*BM!$A$9)/100*BM!$I528,15-13*ORÇAMENTO!$AF$11),ROUND(ROUND(BM.MEDAcumulado,15-13*BM!$A$9)*ROUND(BM!$H528,15-13*ORÇAMENTO!$AF$10),15-13*ORÇAMENTO!$AF$11))),IF($A528=0,0,ROUND(SomaAgrupBM,15-13*ORÇAMENTO!$AF$11)))</f>
        <v>0</v>
      </c>
    </row>
    <row r="529" spans="1:41" ht="13.8" x14ac:dyDescent="0.3">
      <c r="A529">
        <f ca="1">ORÇAMENTO!C529</f>
        <v>3</v>
      </c>
      <c r="B529">
        <f ca="1">ORÇAMENTO!D529</f>
        <v>6</v>
      </c>
      <c r="C529" s="143" t="str">
        <f t="shared" ca="1" si="89"/>
        <v>F</v>
      </c>
      <c r="D529" s="146" t="str">
        <f ca="1">ORÇAMENTO!O529</f>
        <v>1.18.1.</v>
      </c>
      <c r="E529" s="206" t="str">
        <f t="shared" si="90"/>
        <v>CENTRO DE DISTRIBUIÇÃO</v>
      </c>
      <c r="F529" s="207" t="str">
        <f t="shared" ca="1" si="91"/>
        <v>-</v>
      </c>
      <c r="G529" s="151">
        <f ca="1">IF(RegimeExecucao="Global","",ORÇAMENTO!T529)</f>
        <v>0</v>
      </c>
      <c r="H529" s="151">
        <f ca="1">IF(RegimeExecucao="Global","",ORÇAMENTO!W529)</f>
        <v>0</v>
      </c>
      <c r="I529" s="154">
        <f ca="1">ORÇAMENTO!X529</f>
        <v>0</v>
      </c>
      <c r="J529" s="427">
        <f t="shared" ca="1" si="92"/>
        <v>0</v>
      </c>
      <c r="K529" s="151">
        <f t="shared" ca="1" si="93"/>
        <v>0</v>
      </c>
      <c r="L529" s="428">
        <f t="shared" ca="1" si="94"/>
        <v>0</v>
      </c>
      <c r="M529" s="429">
        <f ca="1">IF($A529="S",VTOTALBM,IF($A529=0,0,ROUND(SomaAgrupBM,15-13*ORÇAMENTO!$AF$11)))</f>
        <v>0</v>
      </c>
      <c r="N529" s="430">
        <f t="shared" ca="1" si="95"/>
        <v>0</v>
      </c>
      <c r="O529" s="154">
        <f ca="1">IF($A529="S",VTOTALBM,IF($A529=0,0,ROUND(SomaAgrupBM,15-13*ORÇAMENTO!$AF$11)))</f>
        <v>0</v>
      </c>
      <c r="Q529" s="431"/>
      <c r="R529" s="432"/>
      <c r="T529" s="146" t="str">
        <f t="shared" ca="1" si="96"/>
        <v/>
      </c>
      <c r="U529" s="206" t="str">
        <f t="shared" ca="1" si="97"/>
        <v/>
      </c>
      <c r="V529" s="207" t="str">
        <f t="shared" ca="1" si="98"/>
        <v/>
      </c>
      <c r="W529" s="634">
        <f ca="1">IF($Y529&gt;0,CHOOSE(MATCH(RegimeExecucao,{"Unitário","Global"},0),IF($A529="S",$Y529/$X529,""),($Y529/$X529)*100),0)</f>
        <v>0</v>
      </c>
      <c r="X529" s="433" t="str">
        <f ca="1">IF($Y529&gt;0,CHOOSE(MATCH(RegimeExecucao,{"Unitário","Global"},0),IF($A529="S",ROUND($H529,ORÇAMENTO!$AF$10),""),ROUND($I529,ORÇAMENTO!$AF$11)),"")</f>
        <v/>
      </c>
      <c r="Y529" s="433">
        <f t="shared" ca="1" si="99"/>
        <v>0</v>
      </c>
      <c r="Z529" s="434"/>
      <c r="AB529" s="431"/>
      <c r="AC529" s="599"/>
      <c r="AD529" s="599"/>
      <c r="AE529" s="599"/>
      <c r="AF529" s="599"/>
      <c r="AG529" s="599"/>
      <c r="AH529" s="599"/>
      <c r="AI529" s="599"/>
      <c r="AJ529" s="599"/>
      <c r="AK529" s="599"/>
      <c r="AL529" s="599"/>
      <c r="AM529" s="432"/>
      <c r="AO529">
        <f ca="1">IF($A529="S",IF(BM!$I529=0,0,CHOOSE(MATCH(RegimeExecucao,{"Global","Unitário"},0),ROUND(ROUND(BM.MEDAcumulado,15-13*BM!$A$9)/100*BM!$I529,15-13*ORÇAMENTO!$AF$11),ROUND(ROUND(BM.MEDAcumulado,15-13*BM!$A$9)*ROUND(BM!$H529,15-13*ORÇAMENTO!$AF$10),15-13*ORÇAMENTO!$AF$11))),IF($A529=0,0,ROUND(SomaAgrupBM,15-13*ORÇAMENTO!$AF$11)))</f>
        <v>0</v>
      </c>
    </row>
    <row r="530" spans="1:41" ht="13.8" x14ac:dyDescent="0.3">
      <c r="A530" t="str">
        <f ca="1">ORÇAMENTO!C530</f>
        <v>S</v>
      </c>
      <c r="B530">
        <f ca="1">ORÇAMENTO!D530</f>
        <v>0</v>
      </c>
      <c r="C530" s="143" t="str">
        <f t="shared" ca="1" si="89"/>
        <v/>
      </c>
      <c r="D530" s="146" t="str">
        <f ca="1">ORÇAMENTO!O530</f>
        <v>-</v>
      </c>
      <c r="E530" s="206" t="str">
        <f t="shared" ca="1" si="90"/>
        <v>(abra o arquivo 'Referência 05-2024.xls)</v>
      </c>
      <c r="F530" s="207" t="str">
        <f t="shared" ca="1" si="91"/>
        <v>-</v>
      </c>
      <c r="G530" s="151">
        <f ca="1">IF(RegimeExecucao="Global","",ORÇAMENTO!T530)</f>
        <v>2</v>
      </c>
      <c r="H530" s="151">
        <f ca="1">IF(RegimeExecucao="Global","",ORÇAMENTO!W530)</f>
        <v>0</v>
      </c>
      <c r="I530" s="154">
        <f ca="1">ORÇAMENTO!X530</f>
        <v>0</v>
      </c>
      <c r="J530" s="427">
        <f t="shared" ca="1" si="92"/>
        <v>0</v>
      </c>
      <c r="K530" s="151">
        <f t="shared" ca="1" si="93"/>
        <v>0</v>
      </c>
      <c r="L530" s="428">
        <f t="shared" ca="1" si="94"/>
        <v>0</v>
      </c>
      <c r="M530" s="429">
        <f ca="1">IF($A530="S",VTOTALBM,IF($A530=0,0,ROUND(SomaAgrupBM,15-13*ORÇAMENTO!$AF$11)))</f>
        <v>0</v>
      </c>
      <c r="N530" s="430">
        <f t="shared" ca="1" si="95"/>
        <v>0</v>
      </c>
      <c r="O530" s="154">
        <f ca="1">IF($A530="S",VTOTALBM,IF($A530=0,0,ROUND(SomaAgrupBM,15-13*ORÇAMENTO!$AF$11)))</f>
        <v>0</v>
      </c>
      <c r="Q530" s="431"/>
      <c r="R530" s="432"/>
      <c r="T530" s="146" t="str">
        <f t="shared" ca="1" si="96"/>
        <v/>
      </c>
      <c r="U530" s="206" t="str">
        <f t="shared" ca="1" si="97"/>
        <v/>
      </c>
      <c r="V530" s="207" t="str">
        <f t="shared" ca="1" si="98"/>
        <v/>
      </c>
      <c r="W530" s="634">
        <f ca="1">IF($Y530&gt;0,CHOOSE(MATCH(RegimeExecucao,{"Unitário","Global"},0),IF($A530="S",$Y530/$X530,""),($Y530/$X530)*100),0)</f>
        <v>0</v>
      </c>
      <c r="X530" s="433" t="str">
        <f ca="1">IF($Y530&gt;0,CHOOSE(MATCH(RegimeExecucao,{"Unitário","Global"},0),IF($A530="S",ROUND($H530,ORÇAMENTO!$AF$10),""),ROUND($I530,ORÇAMENTO!$AF$11)),"")</f>
        <v/>
      </c>
      <c r="Y530" s="433">
        <f t="shared" ca="1" si="99"/>
        <v>0</v>
      </c>
      <c r="Z530" s="434"/>
      <c r="AB530" s="431"/>
      <c r="AC530" s="599"/>
      <c r="AD530" s="599"/>
      <c r="AE530" s="599"/>
      <c r="AF530" s="599"/>
      <c r="AG530" s="599"/>
      <c r="AH530" s="599"/>
      <c r="AI530" s="599"/>
      <c r="AJ530" s="599"/>
      <c r="AK530" s="599"/>
      <c r="AL530" s="599"/>
      <c r="AM530" s="432"/>
      <c r="AO530">
        <f ca="1">IF($A530="S",IF(BM!$I530=0,0,CHOOSE(MATCH(RegimeExecucao,{"Global","Unitário"},0),ROUND(ROUND(BM.MEDAcumulado,15-13*BM!$A$9)/100*BM!$I530,15-13*ORÇAMENTO!$AF$11),ROUND(ROUND(BM.MEDAcumulado,15-13*BM!$A$9)*ROUND(BM!$H530,15-13*ORÇAMENTO!$AF$10),15-13*ORÇAMENTO!$AF$11))),IF($A530=0,0,ROUND(SomaAgrupBM,15-13*ORÇAMENTO!$AF$11)))</f>
        <v>0</v>
      </c>
    </row>
    <row r="531" spans="1:41" ht="13.8" x14ac:dyDescent="0.3">
      <c r="A531" t="str">
        <f ca="1">ORÇAMENTO!C531</f>
        <v>S</v>
      </c>
      <c r="B531">
        <f ca="1">ORÇAMENTO!D531</f>
        <v>0</v>
      </c>
      <c r="C531" s="143" t="str">
        <f t="shared" ca="1" si="89"/>
        <v/>
      </c>
      <c r="D531" s="146" t="str">
        <f ca="1">ORÇAMENTO!O531</f>
        <v>-</v>
      </c>
      <c r="E531" s="206" t="str">
        <f t="shared" ca="1" si="90"/>
        <v>(abra o arquivo 'Referência 05-2024.xls)</v>
      </c>
      <c r="F531" s="207" t="str">
        <f t="shared" ca="1" si="91"/>
        <v>-</v>
      </c>
      <c r="G531" s="151">
        <f ca="1">IF(RegimeExecucao="Global","",ORÇAMENTO!T531)</f>
        <v>2</v>
      </c>
      <c r="H531" s="151">
        <f ca="1">IF(RegimeExecucao="Global","",ORÇAMENTO!W531)</f>
        <v>0</v>
      </c>
      <c r="I531" s="154">
        <f ca="1">ORÇAMENTO!X531</f>
        <v>0</v>
      </c>
      <c r="J531" s="427">
        <f t="shared" ca="1" si="92"/>
        <v>0</v>
      </c>
      <c r="K531" s="151">
        <f t="shared" ca="1" si="93"/>
        <v>0</v>
      </c>
      <c r="L531" s="428">
        <f t="shared" ca="1" si="94"/>
        <v>0</v>
      </c>
      <c r="M531" s="429">
        <f ca="1">IF($A531="S",VTOTALBM,IF($A531=0,0,ROUND(SomaAgrupBM,15-13*ORÇAMENTO!$AF$11)))</f>
        <v>0</v>
      </c>
      <c r="N531" s="430">
        <f t="shared" ca="1" si="95"/>
        <v>0</v>
      </c>
      <c r="O531" s="154">
        <f ca="1">IF($A531="S",VTOTALBM,IF($A531=0,0,ROUND(SomaAgrupBM,15-13*ORÇAMENTO!$AF$11)))</f>
        <v>0</v>
      </c>
      <c r="Q531" s="431"/>
      <c r="R531" s="432"/>
      <c r="T531" s="146" t="str">
        <f t="shared" ca="1" si="96"/>
        <v/>
      </c>
      <c r="U531" s="206" t="str">
        <f t="shared" ca="1" si="97"/>
        <v/>
      </c>
      <c r="V531" s="207" t="str">
        <f t="shared" ca="1" si="98"/>
        <v/>
      </c>
      <c r="W531" s="634">
        <f ca="1">IF($Y531&gt;0,CHOOSE(MATCH(RegimeExecucao,{"Unitário","Global"},0),IF($A531="S",$Y531/$X531,""),($Y531/$X531)*100),0)</f>
        <v>0</v>
      </c>
      <c r="X531" s="433" t="str">
        <f ca="1">IF($Y531&gt;0,CHOOSE(MATCH(RegimeExecucao,{"Unitário","Global"},0),IF($A531="S",ROUND($H531,ORÇAMENTO!$AF$10),""),ROUND($I531,ORÇAMENTO!$AF$11)),"")</f>
        <v/>
      </c>
      <c r="Y531" s="433">
        <f t="shared" ca="1" si="99"/>
        <v>0</v>
      </c>
      <c r="Z531" s="434"/>
      <c r="AB531" s="431"/>
      <c r="AC531" s="599"/>
      <c r="AD531" s="599"/>
      <c r="AE531" s="599"/>
      <c r="AF531" s="599"/>
      <c r="AG531" s="599"/>
      <c r="AH531" s="599"/>
      <c r="AI531" s="599"/>
      <c r="AJ531" s="599"/>
      <c r="AK531" s="599"/>
      <c r="AL531" s="599"/>
      <c r="AM531" s="432"/>
      <c r="AO531">
        <f ca="1">IF($A531="S",IF(BM!$I531=0,0,CHOOSE(MATCH(RegimeExecucao,{"Global","Unitário"},0),ROUND(ROUND(BM.MEDAcumulado,15-13*BM!$A$9)/100*BM!$I531,15-13*ORÇAMENTO!$AF$11),ROUND(ROUND(BM.MEDAcumulado,15-13*BM!$A$9)*ROUND(BM!$H531,15-13*ORÇAMENTO!$AF$10),15-13*ORÇAMENTO!$AF$11))),IF($A531=0,0,ROUND(SomaAgrupBM,15-13*ORÇAMENTO!$AF$11)))</f>
        <v>0</v>
      </c>
    </row>
    <row r="532" spans="1:41" ht="13.8" x14ac:dyDescent="0.3">
      <c r="A532" t="str">
        <f ca="1">ORÇAMENTO!C532</f>
        <v>S</v>
      </c>
      <c r="B532">
        <f ca="1">ORÇAMENTO!D532</f>
        <v>0</v>
      </c>
      <c r="C532" s="143" t="str">
        <f t="shared" ca="1" si="89"/>
        <v/>
      </c>
      <c r="D532" s="146" t="str">
        <f ca="1">ORÇAMENTO!O532</f>
        <v>-</v>
      </c>
      <c r="E532" s="206" t="str">
        <f t="shared" ca="1" si="90"/>
        <v>(abra o arquivo 'Referência 05-2024.xls)</v>
      </c>
      <c r="F532" s="207" t="str">
        <f t="shared" ca="1" si="91"/>
        <v>-</v>
      </c>
      <c r="G532" s="151">
        <f ca="1">IF(RegimeExecucao="Global","",ORÇAMENTO!T532)</f>
        <v>3</v>
      </c>
      <c r="H532" s="151">
        <f ca="1">IF(RegimeExecucao="Global","",ORÇAMENTO!W532)</f>
        <v>0</v>
      </c>
      <c r="I532" s="154">
        <f ca="1">ORÇAMENTO!X532</f>
        <v>0</v>
      </c>
      <c r="J532" s="427">
        <f t="shared" ca="1" si="92"/>
        <v>0</v>
      </c>
      <c r="K532" s="151">
        <f t="shared" ca="1" si="93"/>
        <v>0</v>
      </c>
      <c r="L532" s="428">
        <f t="shared" ca="1" si="94"/>
        <v>0</v>
      </c>
      <c r="M532" s="429">
        <f ca="1">IF($A532="S",VTOTALBM,IF($A532=0,0,ROUND(SomaAgrupBM,15-13*ORÇAMENTO!$AF$11)))</f>
        <v>0</v>
      </c>
      <c r="N532" s="430">
        <f t="shared" ca="1" si="95"/>
        <v>0</v>
      </c>
      <c r="O532" s="154">
        <f ca="1">IF($A532="S",VTOTALBM,IF($A532=0,0,ROUND(SomaAgrupBM,15-13*ORÇAMENTO!$AF$11)))</f>
        <v>0</v>
      </c>
      <c r="Q532" s="431"/>
      <c r="R532" s="432"/>
      <c r="T532" s="146" t="str">
        <f t="shared" ca="1" si="96"/>
        <v/>
      </c>
      <c r="U532" s="206" t="str">
        <f t="shared" ca="1" si="97"/>
        <v/>
      </c>
      <c r="V532" s="207" t="str">
        <f t="shared" ca="1" si="98"/>
        <v/>
      </c>
      <c r="W532" s="634">
        <f ca="1">IF($Y532&gt;0,CHOOSE(MATCH(RegimeExecucao,{"Unitário","Global"},0),IF($A532="S",$Y532/$X532,""),($Y532/$X532)*100),0)</f>
        <v>0</v>
      </c>
      <c r="X532" s="433" t="str">
        <f ca="1">IF($Y532&gt;0,CHOOSE(MATCH(RegimeExecucao,{"Unitário","Global"},0),IF($A532="S",ROUND($H532,ORÇAMENTO!$AF$10),""),ROUND($I532,ORÇAMENTO!$AF$11)),"")</f>
        <v/>
      </c>
      <c r="Y532" s="433">
        <f t="shared" ca="1" si="99"/>
        <v>0</v>
      </c>
      <c r="Z532" s="434"/>
      <c r="AB532" s="431"/>
      <c r="AC532" s="599"/>
      <c r="AD532" s="599"/>
      <c r="AE532" s="599"/>
      <c r="AF532" s="599"/>
      <c r="AG532" s="599"/>
      <c r="AH532" s="599"/>
      <c r="AI532" s="599"/>
      <c r="AJ532" s="599"/>
      <c r="AK532" s="599"/>
      <c r="AL532" s="599"/>
      <c r="AM532" s="432"/>
      <c r="AO532">
        <f ca="1">IF($A532="S",IF(BM!$I532=0,0,CHOOSE(MATCH(RegimeExecucao,{"Global","Unitário"},0),ROUND(ROUND(BM.MEDAcumulado,15-13*BM!$A$9)/100*BM!$I532,15-13*ORÇAMENTO!$AF$11),ROUND(ROUND(BM.MEDAcumulado,15-13*BM!$A$9)*ROUND(BM!$H532,15-13*ORÇAMENTO!$AF$10),15-13*ORÇAMENTO!$AF$11))),IF($A532=0,0,ROUND(SomaAgrupBM,15-13*ORÇAMENTO!$AF$11)))</f>
        <v>0</v>
      </c>
    </row>
    <row r="533" spans="1:41" ht="13.8" x14ac:dyDescent="0.3">
      <c r="A533" t="str">
        <f ca="1">ORÇAMENTO!C533</f>
        <v>S</v>
      </c>
      <c r="B533">
        <f ca="1">ORÇAMENTO!D533</f>
        <v>0</v>
      </c>
      <c r="C533" s="143" t="str">
        <f t="shared" ca="1" si="89"/>
        <v/>
      </c>
      <c r="D533" s="146" t="str">
        <f ca="1">ORÇAMENTO!O533</f>
        <v>-</v>
      </c>
      <c r="E533" s="206" t="str">
        <f t="shared" ca="1" si="90"/>
        <v>(abra o arquivo 'Referência 05-2024.xls)</v>
      </c>
      <c r="F533" s="207" t="str">
        <f t="shared" ca="1" si="91"/>
        <v>-</v>
      </c>
      <c r="G533" s="151">
        <f ca="1">IF(RegimeExecucao="Global","",ORÇAMENTO!T533)</f>
        <v>4</v>
      </c>
      <c r="H533" s="151">
        <f ca="1">IF(RegimeExecucao="Global","",ORÇAMENTO!W533)</f>
        <v>0</v>
      </c>
      <c r="I533" s="154">
        <f ca="1">ORÇAMENTO!X533</f>
        <v>0</v>
      </c>
      <c r="J533" s="427">
        <f t="shared" ca="1" si="92"/>
        <v>0</v>
      </c>
      <c r="K533" s="151">
        <f t="shared" ca="1" si="93"/>
        <v>0</v>
      </c>
      <c r="L533" s="428">
        <f t="shared" ca="1" si="94"/>
        <v>0</v>
      </c>
      <c r="M533" s="429">
        <f ca="1">IF($A533="S",VTOTALBM,IF($A533=0,0,ROUND(SomaAgrupBM,15-13*ORÇAMENTO!$AF$11)))</f>
        <v>0</v>
      </c>
      <c r="N533" s="430">
        <f t="shared" ca="1" si="95"/>
        <v>0</v>
      </c>
      <c r="O533" s="154">
        <f ca="1">IF($A533="S",VTOTALBM,IF($A533=0,0,ROUND(SomaAgrupBM,15-13*ORÇAMENTO!$AF$11)))</f>
        <v>0</v>
      </c>
      <c r="Q533" s="431"/>
      <c r="R533" s="432"/>
      <c r="T533" s="146" t="str">
        <f t="shared" ca="1" si="96"/>
        <v/>
      </c>
      <c r="U533" s="206" t="str">
        <f t="shared" ca="1" si="97"/>
        <v/>
      </c>
      <c r="V533" s="207" t="str">
        <f t="shared" ca="1" si="98"/>
        <v/>
      </c>
      <c r="W533" s="634">
        <f ca="1">IF($Y533&gt;0,CHOOSE(MATCH(RegimeExecucao,{"Unitário","Global"},0),IF($A533="S",$Y533/$X533,""),($Y533/$X533)*100),0)</f>
        <v>0</v>
      </c>
      <c r="X533" s="433" t="str">
        <f ca="1">IF($Y533&gt;0,CHOOSE(MATCH(RegimeExecucao,{"Unitário","Global"},0),IF($A533="S",ROUND($H533,ORÇAMENTO!$AF$10),""),ROUND($I533,ORÇAMENTO!$AF$11)),"")</f>
        <v/>
      </c>
      <c r="Y533" s="433">
        <f t="shared" ca="1" si="99"/>
        <v>0</v>
      </c>
      <c r="Z533" s="434"/>
      <c r="AB533" s="431"/>
      <c r="AC533" s="599"/>
      <c r="AD533" s="599"/>
      <c r="AE533" s="599"/>
      <c r="AF533" s="599"/>
      <c r="AG533" s="599"/>
      <c r="AH533" s="599"/>
      <c r="AI533" s="599"/>
      <c r="AJ533" s="599"/>
      <c r="AK533" s="599"/>
      <c r="AL533" s="599"/>
      <c r="AM533" s="432"/>
      <c r="AO533">
        <f ca="1">IF($A533="S",IF(BM!$I533=0,0,CHOOSE(MATCH(RegimeExecucao,{"Global","Unitário"},0),ROUND(ROUND(BM.MEDAcumulado,15-13*BM!$A$9)/100*BM!$I533,15-13*ORÇAMENTO!$AF$11),ROUND(ROUND(BM.MEDAcumulado,15-13*BM!$A$9)*ROUND(BM!$H533,15-13*ORÇAMENTO!$AF$10),15-13*ORÇAMENTO!$AF$11))),IF($A533=0,0,ROUND(SomaAgrupBM,15-13*ORÇAMENTO!$AF$11)))</f>
        <v>0</v>
      </c>
    </row>
    <row r="534" spans="1:41" ht="13.8" x14ac:dyDescent="0.3">
      <c r="A534" t="str">
        <f ca="1">ORÇAMENTO!C534</f>
        <v>S</v>
      </c>
      <c r="B534">
        <f ca="1">ORÇAMENTO!D534</f>
        <v>0</v>
      </c>
      <c r="C534" s="143" t="str">
        <f t="shared" ca="1" si="89"/>
        <v/>
      </c>
      <c r="D534" s="146" t="str">
        <f ca="1">ORÇAMENTO!O534</f>
        <v>-</v>
      </c>
      <c r="E534" s="206" t="str">
        <f t="shared" ca="1" si="90"/>
        <v>(abra o arquivo 'Referência 05-2024.xls)</v>
      </c>
      <c r="F534" s="207" t="str">
        <f t="shared" ca="1" si="91"/>
        <v>-</v>
      </c>
      <c r="G534" s="151">
        <f ca="1">IF(RegimeExecucao="Global","",ORÇAMENTO!T534)</f>
        <v>3</v>
      </c>
      <c r="H534" s="151">
        <f ca="1">IF(RegimeExecucao="Global","",ORÇAMENTO!W534)</f>
        <v>0</v>
      </c>
      <c r="I534" s="154">
        <f ca="1">ORÇAMENTO!X534</f>
        <v>0</v>
      </c>
      <c r="J534" s="427">
        <f t="shared" ca="1" si="92"/>
        <v>0</v>
      </c>
      <c r="K534" s="151">
        <f t="shared" ca="1" si="93"/>
        <v>0</v>
      </c>
      <c r="L534" s="428">
        <f t="shared" ca="1" si="94"/>
        <v>0</v>
      </c>
      <c r="M534" s="429">
        <f ca="1">IF($A534="S",VTOTALBM,IF($A534=0,0,ROUND(SomaAgrupBM,15-13*ORÇAMENTO!$AF$11)))</f>
        <v>0</v>
      </c>
      <c r="N534" s="430">
        <f t="shared" ca="1" si="95"/>
        <v>0</v>
      </c>
      <c r="O534" s="154">
        <f ca="1">IF($A534="S",VTOTALBM,IF($A534=0,0,ROUND(SomaAgrupBM,15-13*ORÇAMENTO!$AF$11)))</f>
        <v>0</v>
      </c>
      <c r="Q534" s="431"/>
      <c r="R534" s="432"/>
      <c r="T534" s="146" t="str">
        <f t="shared" ca="1" si="96"/>
        <v/>
      </c>
      <c r="U534" s="206" t="str">
        <f t="shared" ca="1" si="97"/>
        <v/>
      </c>
      <c r="V534" s="207" t="str">
        <f t="shared" ca="1" si="98"/>
        <v/>
      </c>
      <c r="W534" s="634">
        <f ca="1">IF($Y534&gt;0,CHOOSE(MATCH(RegimeExecucao,{"Unitário","Global"},0),IF($A534="S",$Y534/$X534,""),($Y534/$X534)*100),0)</f>
        <v>0</v>
      </c>
      <c r="X534" s="433" t="str">
        <f ca="1">IF($Y534&gt;0,CHOOSE(MATCH(RegimeExecucao,{"Unitário","Global"},0),IF($A534="S",ROUND($H534,ORÇAMENTO!$AF$10),""),ROUND($I534,ORÇAMENTO!$AF$11)),"")</f>
        <v/>
      </c>
      <c r="Y534" s="433">
        <f t="shared" ca="1" si="99"/>
        <v>0</v>
      </c>
      <c r="Z534" s="434"/>
      <c r="AB534" s="431"/>
      <c r="AC534" s="599"/>
      <c r="AD534" s="599"/>
      <c r="AE534" s="599"/>
      <c r="AF534" s="599"/>
      <c r="AG534" s="599"/>
      <c r="AH534" s="599"/>
      <c r="AI534" s="599"/>
      <c r="AJ534" s="599"/>
      <c r="AK534" s="599"/>
      <c r="AL534" s="599"/>
      <c r="AM534" s="432"/>
      <c r="AO534">
        <f ca="1">IF($A534="S",IF(BM!$I534=0,0,CHOOSE(MATCH(RegimeExecucao,{"Global","Unitário"},0),ROUND(ROUND(BM.MEDAcumulado,15-13*BM!$A$9)/100*BM!$I534,15-13*ORÇAMENTO!$AF$11),ROUND(ROUND(BM.MEDAcumulado,15-13*BM!$A$9)*ROUND(BM!$H534,15-13*ORÇAMENTO!$AF$10),15-13*ORÇAMENTO!$AF$11))),IF($A534=0,0,ROUND(SomaAgrupBM,15-13*ORÇAMENTO!$AF$11)))</f>
        <v>0</v>
      </c>
    </row>
    <row r="535" spans="1:41" ht="13.8" x14ac:dyDescent="0.3">
      <c r="A535">
        <f ca="1">ORÇAMENTO!C535</f>
        <v>3</v>
      </c>
      <c r="B535">
        <f ca="1">ORÇAMENTO!D535</f>
        <v>19</v>
      </c>
      <c r="C535" s="143" t="str">
        <f t="shared" ca="1" si="89"/>
        <v>F</v>
      </c>
      <c r="D535" s="146" t="str">
        <f ca="1">ORÇAMENTO!O535</f>
        <v>1.18.2.</v>
      </c>
      <c r="E535" s="206" t="str">
        <f t="shared" si="90"/>
        <v>DISJUNTORES</v>
      </c>
      <c r="F535" s="207" t="str">
        <f t="shared" ca="1" si="91"/>
        <v>-</v>
      </c>
      <c r="G535" s="151">
        <f ca="1">IF(RegimeExecucao="Global","",ORÇAMENTO!T535)</f>
        <v>0</v>
      </c>
      <c r="H535" s="151">
        <f ca="1">IF(RegimeExecucao="Global","",ORÇAMENTO!W535)</f>
        <v>0</v>
      </c>
      <c r="I535" s="154">
        <f ca="1">ORÇAMENTO!X535</f>
        <v>0</v>
      </c>
      <c r="J535" s="427">
        <f t="shared" ca="1" si="92"/>
        <v>0</v>
      </c>
      <c r="K535" s="151">
        <f t="shared" ca="1" si="93"/>
        <v>0</v>
      </c>
      <c r="L535" s="428">
        <f t="shared" ca="1" si="94"/>
        <v>0</v>
      </c>
      <c r="M535" s="429">
        <f ca="1">IF($A535="S",VTOTALBM,IF($A535=0,0,ROUND(SomaAgrupBM,15-13*ORÇAMENTO!$AF$11)))</f>
        <v>0</v>
      </c>
      <c r="N535" s="430">
        <f t="shared" ca="1" si="95"/>
        <v>0</v>
      </c>
      <c r="O535" s="154">
        <f ca="1">IF($A535="S",VTOTALBM,IF($A535=0,0,ROUND(SomaAgrupBM,15-13*ORÇAMENTO!$AF$11)))</f>
        <v>0</v>
      </c>
      <c r="Q535" s="431"/>
      <c r="R535" s="432"/>
      <c r="T535" s="146" t="str">
        <f t="shared" ca="1" si="96"/>
        <v/>
      </c>
      <c r="U535" s="206" t="str">
        <f t="shared" ca="1" si="97"/>
        <v/>
      </c>
      <c r="V535" s="207" t="str">
        <f t="shared" ca="1" si="98"/>
        <v/>
      </c>
      <c r="W535" s="634">
        <f ca="1">IF($Y535&gt;0,CHOOSE(MATCH(RegimeExecucao,{"Unitário","Global"},0),IF($A535="S",$Y535/$X535,""),($Y535/$X535)*100),0)</f>
        <v>0</v>
      </c>
      <c r="X535" s="433" t="str">
        <f ca="1">IF($Y535&gt;0,CHOOSE(MATCH(RegimeExecucao,{"Unitário","Global"},0),IF($A535="S",ROUND($H535,ORÇAMENTO!$AF$10),""),ROUND($I535,ORÇAMENTO!$AF$11)),"")</f>
        <v/>
      </c>
      <c r="Y535" s="433">
        <f t="shared" ca="1" si="99"/>
        <v>0</v>
      </c>
      <c r="Z535" s="434"/>
      <c r="AB535" s="431"/>
      <c r="AC535" s="599"/>
      <c r="AD535" s="599"/>
      <c r="AE535" s="599"/>
      <c r="AF535" s="599"/>
      <c r="AG535" s="599"/>
      <c r="AH535" s="599"/>
      <c r="AI535" s="599"/>
      <c r="AJ535" s="599"/>
      <c r="AK535" s="599"/>
      <c r="AL535" s="599"/>
      <c r="AM535" s="432"/>
      <c r="AO535">
        <f ca="1">IF($A535="S",IF(BM!$I535=0,0,CHOOSE(MATCH(RegimeExecucao,{"Global","Unitário"},0),ROUND(ROUND(BM.MEDAcumulado,15-13*BM!$A$9)/100*BM!$I535,15-13*ORÇAMENTO!$AF$11),ROUND(ROUND(BM.MEDAcumulado,15-13*BM!$A$9)*ROUND(BM!$H535,15-13*ORÇAMENTO!$AF$10),15-13*ORÇAMENTO!$AF$11))),IF($A535=0,0,ROUND(SomaAgrupBM,15-13*ORÇAMENTO!$AF$11)))</f>
        <v>0</v>
      </c>
    </row>
    <row r="536" spans="1:41" ht="13.8" x14ac:dyDescent="0.3">
      <c r="A536" t="str">
        <f ca="1">ORÇAMENTO!C536</f>
        <v>S</v>
      </c>
      <c r="B536">
        <f ca="1">ORÇAMENTO!D536</f>
        <v>0</v>
      </c>
      <c r="C536" s="143" t="str">
        <f t="shared" ca="1" si="89"/>
        <v/>
      </c>
      <c r="D536" s="146" t="str">
        <f ca="1">ORÇAMENTO!O536</f>
        <v>-</v>
      </c>
      <c r="E536" s="206" t="str">
        <f t="shared" ca="1" si="90"/>
        <v>(abra o arquivo 'Referência 05-2024.xls)</v>
      </c>
      <c r="F536" s="207" t="str">
        <f t="shared" ca="1" si="91"/>
        <v>-</v>
      </c>
      <c r="G536" s="151">
        <f ca="1">IF(RegimeExecucao="Global","",ORÇAMENTO!T536)</f>
        <v>54</v>
      </c>
      <c r="H536" s="151">
        <f ca="1">IF(RegimeExecucao="Global","",ORÇAMENTO!W536)</f>
        <v>0</v>
      </c>
      <c r="I536" s="154">
        <f ca="1">ORÇAMENTO!X536</f>
        <v>0</v>
      </c>
      <c r="J536" s="427">
        <f t="shared" ca="1" si="92"/>
        <v>0</v>
      </c>
      <c r="K536" s="151">
        <f t="shared" ca="1" si="93"/>
        <v>0</v>
      </c>
      <c r="L536" s="428">
        <f t="shared" ca="1" si="94"/>
        <v>0</v>
      </c>
      <c r="M536" s="429">
        <f ca="1">IF($A536="S",VTOTALBM,IF($A536=0,0,ROUND(SomaAgrupBM,15-13*ORÇAMENTO!$AF$11)))</f>
        <v>0</v>
      </c>
      <c r="N536" s="430">
        <f t="shared" ca="1" si="95"/>
        <v>0</v>
      </c>
      <c r="O536" s="154">
        <f ca="1">IF($A536="S",VTOTALBM,IF($A536=0,0,ROUND(SomaAgrupBM,15-13*ORÇAMENTO!$AF$11)))</f>
        <v>0</v>
      </c>
      <c r="Q536" s="431"/>
      <c r="R536" s="432"/>
      <c r="T536" s="146" t="str">
        <f t="shared" ca="1" si="96"/>
        <v/>
      </c>
      <c r="U536" s="206" t="str">
        <f t="shared" ca="1" si="97"/>
        <v/>
      </c>
      <c r="V536" s="207" t="str">
        <f t="shared" ca="1" si="98"/>
        <v/>
      </c>
      <c r="W536" s="634">
        <f ca="1">IF($Y536&gt;0,CHOOSE(MATCH(RegimeExecucao,{"Unitário","Global"},0),IF($A536="S",$Y536/$X536,""),($Y536/$X536)*100),0)</f>
        <v>0</v>
      </c>
      <c r="X536" s="433" t="str">
        <f ca="1">IF($Y536&gt;0,CHOOSE(MATCH(RegimeExecucao,{"Unitário","Global"},0),IF($A536="S",ROUND($H536,ORÇAMENTO!$AF$10),""),ROUND($I536,ORÇAMENTO!$AF$11)),"")</f>
        <v/>
      </c>
      <c r="Y536" s="433">
        <f t="shared" ca="1" si="99"/>
        <v>0</v>
      </c>
      <c r="Z536" s="434"/>
      <c r="AB536" s="431"/>
      <c r="AC536" s="599"/>
      <c r="AD536" s="599"/>
      <c r="AE536" s="599"/>
      <c r="AF536" s="599"/>
      <c r="AG536" s="599"/>
      <c r="AH536" s="599"/>
      <c r="AI536" s="599"/>
      <c r="AJ536" s="599"/>
      <c r="AK536" s="599"/>
      <c r="AL536" s="599"/>
      <c r="AM536" s="432"/>
      <c r="AO536">
        <f ca="1">IF($A536="S",IF(BM!$I536=0,0,CHOOSE(MATCH(RegimeExecucao,{"Global","Unitário"},0),ROUND(ROUND(BM.MEDAcumulado,15-13*BM!$A$9)/100*BM!$I536,15-13*ORÇAMENTO!$AF$11),ROUND(ROUND(BM.MEDAcumulado,15-13*BM!$A$9)*ROUND(BM!$H536,15-13*ORÇAMENTO!$AF$10),15-13*ORÇAMENTO!$AF$11))),IF($A536=0,0,ROUND(SomaAgrupBM,15-13*ORÇAMENTO!$AF$11)))</f>
        <v>0</v>
      </c>
    </row>
    <row r="537" spans="1:41" ht="13.8" x14ac:dyDescent="0.3">
      <c r="A537" t="str">
        <f ca="1">ORÇAMENTO!C537</f>
        <v>S</v>
      </c>
      <c r="B537">
        <f ca="1">ORÇAMENTO!D537</f>
        <v>0</v>
      </c>
      <c r="C537" s="143" t="str">
        <f t="shared" ca="1" si="89"/>
        <v/>
      </c>
      <c r="D537" s="146" t="str">
        <f ca="1">ORÇAMENTO!O537</f>
        <v>-</v>
      </c>
      <c r="E537" s="206" t="str">
        <f t="shared" ca="1" si="90"/>
        <v>(abra o arquivo 'Referência 05-2024.xls)</v>
      </c>
      <c r="F537" s="207" t="str">
        <f t="shared" ca="1" si="91"/>
        <v>-</v>
      </c>
      <c r="G537" s="151">
        <f ca="1">IF(RegimeExecucao="Global","",ORÇAMENTO!T537)</f>
        <v>21</v>
      </c>
      <c r="H537" s="151">
        <f ca="1">IF(RegimeExecucao="Global","",ORÇAMENTO!W537)</f>
        <v>0</v>
      </c>
      <c r="I537" s="154">
        <f ca="1">ORÇAMENTO!X537</f>
        <v>0</v>
      </c>
      <c r="J537" s="427">
        <f t="shared" ca="1" si="92"/>
        <v>0</v>
      </c>
      <c r="K537" s="151">
        <f t="shared" ca="1" si="93"/>
        <v>0</v>
      </c>
      <c r="L537" s="428">
        <f t="shared" ca="1" si="94"/>
        <v>0</v>
      </c>
      <c r="M537" s="429">
        <f ca="1">IF($A537="S",VTOTALBM,IF($A537=0,0,ROUND(SomaAgrupBM,15-13*ORÇAMENTO!$AF$11)))</f>
        <v>0</v>
      </c>
      <c r="N537" s="430">
        <f t="shared" ca="1" si="95"/>
        <v>0</v>
      </c>
      <c r="O537" s="154">
        <f ca="1">IF($A537="S",VTOTALBM,IF($A537=0,0,ROUND(SomaAgrupBM,15-13*ORÇAMENTO!$AF$11)))</f>
        <v>0</v>
      </c>
      <c r="Q537" s="431"/>
      <c r="R537" s="432"/>
      <c r="T537" s="146" t="str">
        <f t="shared" ca="1" si="96"/>
        <v/>
      </c>
      <c r="U537" s="206" t="str">
        <f t="shared" ca="1" si="97"/>
        <v/>
      </c>
      <c r="V537" s="207" t="str">
        <f t="shared" ca="1" si="98"/>
        <v/>
      </c>
      <c r="W537" s="634">
        <f ca="1">IF($Y537&gt;0,CHOOSE(MATCH(RegimeExecucao,{"Unitário","Global"},0),IF($A537="S",$Y537/$X537,""),($Y537/$X537)*100),0)</f>
        <v>0</v>
      </c>
      <c r="X537" s="433" t="str">
        <f ca="1">IF($Y537&gt;0,CHOOSE(MATCH(RegimeExecucao,{"Unitário","Global"},0),IF($A537="S",ROUND($H537,ORÇAMENTO!$AF$10),""),ROUND($I537,ORÇAMENTO!$AF$11)),"")</f>
        <v/>
      </c>
      <c r="Y537" s="433">
        <f t="shared" ca="1" si="99"/>
        <v>0</v>
      </c>
      <c r="Z537" s="434"/>
      <c r="AB537" s="431"/>
      <c r="AC537" s="599"/>
      <c r="AD537" s="599"/>
      <c r="AE537" s="599"/>
      <c r="AF537" s="599"/>
      <c r="AG537" s="599"/>
      <c r="AH537" s="599"/>
      <c r="AI537" s="599"/>
      <c r="AJ537" s="599"/>
      <c r="AK537" s="599"/>
      <c r="AL537" s="599"/>
      <c r="AM537" s="432"/>
      <c r="AO537">
        <f ca="1">IF($A537="S",IF(BM!$I537=0,0,CHOOSE(MATCH(RegimeExecucao,{"Global","Unitário"},0),ROUND(ROUND(BM.MEDAcumulado,15-13*BM!$A$9)/100*BM!$I537,15-13*ORÇAMENTO!$AF$11),ROUND(ROUND(BM.MEDAcumulado,15-13*BM!$A$9)*ROUND(BM!$H537,15-13*ORÇAMENTO!$AF$10),15-13*ORÇAMENTO!$AF$11))),IF($A537=0,0,ROUND(SomaAgrupBM,15-13*ORÇAMENTO!$AF$11)))</f>
        <v>0</v>
      </c>
    </row>
    <row r="538" spans="1:41" ht="13.8" x14ac:dyDescent="0.3">
      <c r="A538" t="str">
        <f ca="1">ORÇAMENTO!C538</f>
        <v>S</v>
      </c>
      <c r="B538">
        <f ca="1">ORÇAMENTO!D538</f>
        <v>0</v>
      </c>
      <c r="C538" s="143" t="str">
        <f t="shared" ca="1" si="89"/>
        <v/>
      </c>
      <c r="D538" s="146" t="str">
        <f ca="1">ORÇAMENTO!O538</f>
        <v>-</v>
      </c>
      <c r="E538" s="206" t="str">
        <f t="shared" ca="1" si="90"/>
        <v>(abra o arquivo 'Referência 05-2024.xls)</v>
      </c>
      <c r="F538" s="207" t="str">
        <f t="shared" ca="1" si="91"/>
        <v>-</v>
      </c>
      <c r="G538" s="151">
        <f ca="1">IF(RegimeExecucao="Global","",ORÇAMENTO!T538)</f>
        <v>11</v>
      </c>
      <c r="H538" s="151">
        <f ca="1">IF(RegimeExecucao="Global","",ORÇAMENTO!W538)</f>
        <v>0</v>
      </c>
      <c r="I538" s="154">
        <f ca="1">ORÇAMENTO!X538</f>
        <v>0</v>
      </c>
      <c r="J538" s="427">
        <f t="shared" ca="1" si="92"/>
        <v>0</v>
      </c>
      <c r="K538" s="151">
        <f t="shared" ca="1" si="93"/>
        <v>0</v>
      </c>
      <c r="L538" s="428">
        <f t="shared" ca="1" si="94"/>
        <v>0</v>
      </c>
      <c r="M538" s="429">
        <f ca="1">IF($A538="S",VTOTALBM,IF($A538=0,0,ROUND(SomaAgrupBM,15-13*ORÇAMENTO!$AF$11)))</f>
        <v>0</v>
      </c>
      <c r="N538" s="430">
        <f t="shared" ca="1" si="95"/>
        <v>0</v>
      </c>
      <c r="O538" s="154">
        <f ca="1">IF($A538="S",VTOTALBM,IF($A538=0,0,ROUND(SomaAgrupBM,15-13*ORÇAMENTO!$AF$11)))</f>
        <v>0</v>
      </c>
      <c r="Q538" s="431"/>
      <c r="R538" s="432"/>
      <c r="T538" s="146" t="str">
        <f t="shared" ca="1" si="96"/>
        <v/>
      </c>
      <c r="U538" s="206" t="str">
        <f t="shared" ca="1" si="97"/>
        <v/>
      </c>
      <c r="V538" s="207" t="str">
        <f t="shared" ca="1" si="98"/>
        <v/>
      </c>
      <c r="W538" s="634">
        <f ca="1">IF($Y538&gt;0,CHOOSE(MATCH(RegimeExecucao,{"Unitário","Global"},0),IF($A538="S",$Y538/$X538,""),($Y538/$X538)*100),0)</f>
        <v>0</v>
      </c>
      <c r="X538" s="433" t="str">
        <f ca="1">IF($Y538&gt;0,CHOOSE(MATCH(RegimeExecucao,{"Unitário","Global"},0),IF($A538="S",ROUND($H538,ORÇAMENTO!$AF$10),""),ROUND($I538,ORÇAMENTO!$AF$11)),"")</f>
        <v/>
      </c>
      <c r="Y538" s="433">
        <f t="shared" ca="1" si="99"/>
        <v>0</v>
      </c>
      <c r="Z538" s="434"/>
      <c r="AB538" s="431"/>
      <c r="AC538" s="599"/>
      <c r="AD538" s="599"/>
      <c r="AE538" s="599"/>
      <c r="AF538" s="599"/>
      <c r="AG538" s="599"/>
      <c r="AH538" s="599"/>
      <c r="AI538" s="599"/>
      <c r="AJ538" s="599"/>
      <c r="AK538" s="599"/>
      <c r="AL538" s="599"/>
      <c r="AM538" s="432"/>
      <c r="AO538">
        <f ca="1">IF($A538="S",IF(BM!$I538=0,0,CHOOSE(MATCH(RegimeExecucao,{"Global","Unitário"},0),ROUND(ROUND(BM.MEDAcumulado,15-13*BM!$A$9)/100*BM!$I538,15-13*ORÇAMENTO!$AF$11),ROUND(ROUND(BM.MEDAcumulado,15-13*BM!$A$9)*ROUND(BM!$H538,15-13*ORÇAMENTO!$AF$10),15-13*ORÇAMENTO!$AF$11))),IF($A538=0,0,ROUND(SomaAgrupBM,15-13*ORÇAMENTO!$AF$11)))</f>
        <v>0</v>
      </c>
    </row>
    <row r="539" spans="1:41" ht="13.8" x14ac:dyDescent="0.3">
      <c r="A539" t="str">
        <f ca="1">ORÇAMENTO!C539</f>
        <v>S</v>
      </c>
      <c r="B539">
        <f ca="1">ORÇAMENTO!D539</f>
        <v>0</v>
      </c>
      <c r="C539" s="143" t="str">
        <f t="shared" ca="1" si="89"/>
        <v/>
      </c>
      <c r="D539" s="146" t="str">
        <f ca="1">ORÇAMENTO!O539</f>
        <v>-</v>
      </c>
      <c r="E539" s="206" t="str">
        <f t="shared" ca="1" si="90"/>
        <v>(abra o arquivo 'Referência 05-2024.xls)</v>
      </c>
      <c r="F539" s="207" t="str">
        <f t="shared" ca="1" si="91"/>
        <v>-</v>
      </c>
      <c r="G539" s="151">
        <f ca="1">IF(RegimeExecucao="Global","",ORÇAMENTO!T539)</f>
        <v>12</v>
      </c>
      <c r="H539" s="151">
        <f ca="1">IF(RegimeExecucao="Global","",ORÇAMENTO!W539)</f>
        <v>0</v>
      </c>
      <c r="I539" s="154">
        <f ca="1">ORÇAMENTO!X539</f>
        <v>0</v>
      </c>
      <c r="J539" s="427">
        <f t="shared" ca="1" si="92"/>
        <v>0</v>
      </c>
      <c r="K539" s="151">
        <f t="shared" ca="1" si="93"/>
        <v>0</v>
      </c>
      <c r="L539" s="428">
        <f t="shared" ca="1" si="94"/>
        <v>0</v>
      </c>
      <c r="M539" s="429">
        <f ca="1">IF($A539="S",VTOTALBM,IF($A539=0,0,ROUND(SomaAgrupBM,15-13*ORÇAMENTO!$AF$11)))</f>
        <v>0</v>
      </c>
      <c r="N539" s="430">
        <f t="shared" ca="1" si="95"/>
        <v>0</v>
      </c>
      <c r="O539" s="154">
        <f ca="1">IF($A539="S",VTOTALBM,IF($A539=0,0,ROUND(SomaAgrupBM,15-13*ORÇAMENTO!$AF$11)))</f>
        <v>0</v>
      </c>
      <c r="Q539" s="431"/>
      <c r="R539" s="432"/>
      <c r="T539" s="146" t="str">
        <f t="shared" ca="1" si="96"/>
        <v/>
      </c>
      <c r="U539" s="206" t="str">
        <f t="shared" ca="1" si="97"/>
        <v/>
      </c>
      <c r="V539" s="207" t="str">
        <f t="shared" ca="1" si="98"/>
        <v/>
      </c>
      <c r="W539" s="634">
        <f ca="1">IF($Y539&gt;0,CHOOSE(MATCH(RegimeExecucao,{"Unitário","Global"},0),IF($A539="S",$Y539/$X539,""),($Y539/$X539)*100),0)</f>
        <v>0</v>
      </c>
      <c r="X539" s="433" t="str">
        <f ca="1">IF($Y539&gt;0,CHOOSE(MATCH(RegimeExecucao,{"Unitário","Global"},0),IF($A539="S",ROUND($H539,ORÇAMENTO!$AF$10),""),ROUND($I539,ORÇAMENTO!$AF$11)),"")</f>
        <v/>
      </c>
      <c r="Y539" s="433">
        <f t="shared" ca="1" si="99"/>
        <v>0</v>
      </c>
      <c r="Z539" s="434"/>
      <c r="AB539" s="431"/>
      <c r="AC539" s="599"/>
      <c r="AD539" s="599"/>
      <c r="AE539" s="599"/>
      <c r="AF539" s="599"/>
      <c r="AG539" s="599"/>
      <c r="AH539" s="599"/>
      <c r="AI539" s="599"/>
      <c r="AJ539" s="599"/>
      <c r="AK539" s="599"/>
      <c r="AL539" s="599"/>
      <c r="AM539" s="432"/>
      <c r="AO539">
        <f ca="1">IF($A539="S",IF(BM!$I539=0,0,CHOOSE(MATCH(RegimeExecucao,{"Global","Unitário"},0),ROUND(ROUND(BM.MEDAcumulado,15-13*BM!$A$9)/100*BM!$I539,15-13*ORÇAMENTO!$AF$11),ROUND(ROUND(BM.MEDAcumulado,15-13*BM!$A$9)*ROUND(BM!$H539,15-13*ORÇAMENTO!$AF$10),15-13*ORÇAMENTO!$AF$11))),IF($A539=0,0,ROUND(SomaAgrupBM,15-13*ORÇAMENTO!$AF$11)))</f>
        <v>0</v>
      </c>
    </row>
    <row r="540" spans="1:41" ht="13.8" x14ac:dyDescent="0.3">
      <c r="A540" t="str">
        <f ca="1">ORÇAMENTO!C540</f>
        <v>S</v>
      </c>
      <c r="B540">
        <f ca="1">ORÇAMENTO!D540</f>
        <v>0</v>
      </c>
      <c r="C540" s="143" t="str">
        <f t="shared" ca="1" si="89"/>
        <v/>
      </c>
      <c r="D540" s="146" t="str">
        <f ca="1">ORÇAMENTO!O540</f>
        <v>-</v>
      </c>
      <c r="E540" s="206" t="str">
        <f t="shared" ca="1" si="90"/>
        <v>(abra o arquivo 'Referência 05-2024.xls)</v>
      </c>
      <c r="F540" s="207" t="str">
        <f t="shared" ca="1" si="91"/>
        <v>-</v>
      </c>
      <c r="G540" s="151">
        <f ca="1">IF(RegimeExecucao="Global","",ORÇAMENTO!T540)</f>
        <v>1</v>
      </c>
      <c r="H540" s="151">
        <f ca="1">IF(RegimeExecucao="Global","",ORÇAMENTO!W540)</f>
        <v>0</v>
      </c>
      <c r="I540" s="154">
        <f ca="1">ORÇAMENTO!X540</f>
        <v>0</v>
      </c>
      <c r="J540" s="427">
        <f t="shared" ca="1" si="92"/>
        <v>0</v>
      </c>
      <c r="K540" s="151">
        <f t="shared" ca="1" si="93"/>
        <v>0</v>
      </c>
      <c r="L540" s="428">
        <f t="shared" ca="1" si="94"/>
        <v>0</v>
      </c>
      <c r="M540" s="429">
        <f ca="1">IF($A540="S",VTOTALBM,IF($A540=0,0,ROUND(SomaAgrupBM,15-13*ORÇAMENTO!$AF$11)))</f>
        <v>0</v>
      </c>
      <c r="N540" s="430">
        <f t="shared" ca="1" si="95"/>
        <v>0</v>
      </c>
      <c r="O540" s="154">
        <f ca="1">IF($A540="S",VTOTALBM,IF($A540=0,0,ROUND(SomaAgrupBM,15-13*ORÇAMENTO!$AF$11)))</f>
        <v>0</v>
      </c>
      <c r="Q540" s="431"/>
      <c r="R540" s="432"/>
      <c r="T540" s="146" t="str">
        <f t="shared" ca="1" si="96"/>
        <v/>
      </c>
      <c r="U540" s="206" t="str">
        <f t="shared" ca="1" si="97"/>
        <v/>
      </c>
      <c r="V540" s="207" t="str">
        <f t="shared" ca="1" si="98"/>
        <v/>
      </c>
      <c r="W540" s="634">
        <f ca="1">IF($Y540&gt;0,CHOOSE(MATCH(RegimeExecucao,{"Unitário","Global"},0),IF($A540="S",$Y540/$X540,""),($Y540/$X540)*100),0)</f>
        <v>0</v>
      </c>
      <c r="X540" s="433" t="str">
        <f ca="1">IF($Y540&gt;0,CHOOSE(MATCH(RegimeExecucao,{"Unitário","Global"},0),IF($A540="S",ROUND($H540,ORÇAMENTO!$AF$10),""),ROUND($I540,ORÇAMENTO!$AF$11)),"")</f>
        <v/>
      </c>
      <c r="Y540" s="433">
        <f t="shared" ca="1" si="99"/>
        <v>0</v>
      </c>
      <c r="Z540" s="434"/>
      <c r="AB540" s="431"/>
      <c r="AC540" s="599"/>
      <c r="AD540" s="599"/>
      <c r="AE540" s="599"/>
      <c r="AF540" s="599"/>
      <c r="AG540" s="599"/>
      <c r="AH540" s="599"/>
      <c r="AI540" s="599"/>
      <c r="AJ540" s="599"/>
      <c r="AK540" s="599"/>
      <c r="AL540" s="599"/>
      <c r="AM540" s="432"/>
      <c r="AO540">
        <f ca="1">IF($A540="S",IF(BM!$I540=0,0,CHOOSE(MATCH(RegimeExecucao,{"Global","Unitário"},0),ROUND(ROUND(BM.MEDAcumulado,15-13*BM!$A$9)/100*BM!$I540,15-13*ORÇAMENTO!$AF$11),ROUND(ROUND(BM.MEDAcumulado,15-13*BM!$A$9)*ROUND(BM!$H540,15-13*ORÇAMENTO!$AF$10),15-13*ORÇAMENTO!$AF$11))),IF($A540=0,0,ROUND(SomaAgrupBM,15-13*ORÇAMENTO!$AF$11)))</f>
        <v>0</v>
      </c>
    </row>
    <row r="541" spans="1:41" ht="13.8" x14ac:dyDescent="0.3">
      <c r="A541" t="str">
        <f ca="1">ORÇAMENTO!C541</f>
        <v>S</v>
      </c>
      <c r="B541">
        <f ca="1">ORÇAMENTO!D541</f>
        <v>0</v>
      </c>
      <c r="C541" s="143" t="str">
        <f t="shared" ca="1" si="89"/>
        <v/>
      </c>
      <c r="D541" s="146" t="str">
        <f ca="1">ORÇAMENTO!O541</f>
        <v>-</v>
      </c>
      <c r="E541" s="206" t="str">
        <f t="shared" ca="1" si="90"/>
        <v>(abra o arquivo 'Referência 05-2024.xls)</v>
      </c>
      <c r="F541" s="207" t="str">
        <f t="shared" ca="1" si="91"/>
        <v>-</v>
      </c>
      <c r="G541" s="151">
        <f ca="1">IF(RegimeExecucao="Global","",ORÇAMENTO!T541)</f>
        <v>9</v>
      </c>
      <c r="H541" s="151">
        <f ca="1">IF(RegimeExecucao="Global","",ORÇAMENTO!W541)</f>
        <v>0</v>
      </c>
      <c r="I541" s="154">
        <f ca="1">ORÇAMENTO!X541</f>
        <v>0</v>
      </c>
      <c r="J541" s="427">
        <f t="shared" ca="1" si="92"/>
        <v>0</v>
      </c>
      <c r="K541" s="151">
        <f t="shared" ca="1" si="93"/>
        <v>0</v>
      </c>
      <c r="L541" s="428">
        <f t="shared" ca="1" si="94"/>
        <v>0</v>
      </c>
      <c r="M541" s="429">
        <f ca="1">IF($A541="S",VTOTALBM,IF($A541=0,0,ROUND(SomaAgrupBM,15-13*ORÇAMENTO!$AF$11)))</f>
        <v>0</v>
      </c>
      <c r="N541" s="430">
        <f t="shared" ca="1" si="95"/>
        <v>0</v>
      </c>
      <c r="O541" s="154">
        <f ca="1">IF($A541="S",VTOTALBM,IF($A541=0,0,ROUND(SomaAgrupBM,15-13*ORÇAMENTO!$AF$11)))</f>
        <v>0</v>
      </c>
      <c r="Q541" s="431"/>
      <c r="R541" s="432"/>
      <c r="T541" s="146" t="str">
        <f t="shared" ca="1" si="96"/>
        <v/>
      </c>
      <c r="U541" s="206" t="str">
        <f t="shared" ca="1" si="97"/>
        <v/>
      </c>
      <c r="V541" s="207" t="str">
        <f t="shared" ca="1" si="98"/>
        <v/>
      </c>
      <c r="W541" s="634">
        <f ca="1">IF($Y541&gt;0,CHOOSE(MATCH(RegimeExecucao,{"Unitário","Global"},0),IF($A541="S",$Y541/$X541,""),($Y541/$X541)*100),0)</f>
        <v>0</v>
      </c>
      <c r="X541" s="433" t="str">
        <f ca="1">IF($Y541&gt;0,CHOOSE(MATCH(RegimeExecucao,{"Unitário","Global"},0),IF($A541="S",ROUND($H541,ORÇAMENTO!$AF$10),""),ROUND($I541,ORÇAMENTO!$AF$11)),"")</f>
        <v/>
      </c>
      <c r="Y541" s="433">
        <f t="shared" ca="1" si="99"/>
        <v>0</v>
      </c>
      <c r="Z541" s="434"/>
      <c r="AB541" s="431"/>
      <c r="AC541" s="599"/>
      <c r="AD541" s="599"/>
      <c r="AE541" s="599"/>
      <c r="AF541" s="599"/>
      <c r="AG541" s="599"/>
      <c r="AH541" s="599"/>
      <c r="AI541" s="599"/>
      <c r="AJ541" s="599"/>
      <c r="AK541" s="599"/>
      <c r="AL541" s="599"/>
      <c r="AM541" s="432"/>
      <c r="AO541">
        <f ca="1">IF($A541="S",IF(BM!$I541=0,0,CHOOSE(MATCH(RegimeExecucao,{"Global","Unitário"},0),ROUND(ROUND(BM.MEDAcumulado,15-13*BM!$A$9)/100*BM!$I541,15-13*ORÇAMENTO!$AF$11),ROUND(ROUND(BM.MEDAcumulado,15-13*BM!$A$9)*ROUND(BM!$H541,15-13*ORÇAMENTO!$AF$10),15-13*ORÇAMENTO!$AF$11))),IF($A541=0,0,ROUND(SomaAgrupBM,15-13*ORÇAMENTO!$AF$11)))</f>
        <v>0</v>
      </c>
    </row>
    <row r="542" spans="1:41" ht="13.8" x14ac:dyDescent="0.3">
      <c r="A542" t="str">
        <f ca="1">ORÇAMENTO!C542</f>
        <v>S</v>
      </c>
      <c r="B542">
        <f ca="1">ORÇAMENTO!D542</f>
        <v>0</v>
      </c>
      <c r="C542" s="143" t="str">
        <f t="shared" ca="1" si="89"/>
        <v/>
      </c>
      <c r="D542" s="146" t="str">
        <f ca="1">ORÇAMENTO!O542</f>
        <v>-</v>
      </c>
      <c r="E542" s="206" t="str">
        <f t="shared" ca="1" si="90"/>
        <v>(abra o arquivo 'Referência 05-2024.xls)</v>
      </c>
      <c r="F542" s="207" t="str">
        <f t="shared" ca="1" si="91"/>
        <v>-</v>
      </c>
      <c r="G542" s="151">
        <f ca="1">IF(RegimeExecucao="Global","",ORÇAMENTO!T542)</f>
        <v>7</v>
      </c>
      <c r="H542" s="151">
        <f ca="1">IF(RegimeExecucao="Global","",ORÇAMENTO!W542)</f>
        <v>0</v>
      </c>
      <c r="I542" s="154">
        <f ca="1">ORÇAMENTO!X542</f>
        <v>0</v>
      </c>
      <c r="J542" s="427">
        <f t="shared" ca="1" si="92"/>
        <v>0</v>
      </c>
      <c r="K542" s="151">
        <f t="shared" ca="1" si="93"/>
        <v>0</v>
      </c>
      <c r="L542" s="428">
        <f t="shared" ca="1" si="94"/>
        <v>0</v>
      </c>
      <c r="M542" s="429">
        <f ca="1">IF($A542="S",VTOTALBM,IF($A542=0,0,ROUND(SomaAgrupBM,15-13*ORÇAMENTO!$AF$11)))</f>
        <v>0</v>
      </c>
      <c r="N542" s="430">
        <f t="shared" ca="1" si="95"/>
        <v>0</v>
      </c>
      <c r="O542" s="154">
        <f ca="1">IF($A542="S",VTOTALBM,IF($A542=0,0,ROUND(SomaAgrupBM,15-13*ORÇAMENTO!$AF$11)))</f>
        <v>0</v>
      </c>
      <c r="Q542" s="431"/>
      <c r="R542" s="432"/>
      <c r="T542" s="146" t="str">
        <f t="shared" ca="1" si="96"/>
        <v/>
      </c>
      <c r="U542" s="206" t="str">
        <f t="shared" ca="1" si="97"/>
        <v/>
      </c>
      <c r="V542" s="207" t="str">
        <f t="shared" ca="1" si="98"/>
        <v/>
      </c>
      <c r="W542" s="634">
        <f ca="1">IF($Y542&gt;0,CHOOSE(MATCH(RegimeExecucao,{"Unitário","Global"},0),IF($A542="S",$Y542/$X542,""),($Y542/$X542)*100),0)</f>
        <v>0</v>
      </c>
      <c r="X542" s="433" t="str">
        <f ca="1">IF($Y542&gt;0,CHOOSE(MATCH(RegimeExecucao,{"Unitário","Global"},0),IF($A542="S",ROUND($H542,ORÇAMENTO!$AF$10),""),ROUND($I542,ORÇAMENTO!$AF$11)),"")</f>
        <v/>
      </c>
      <c r="Y542" s="433">
        <f t="shared" ca="1" si="99"/>
        <v>0</v>
      </c>
      <c r="Z542" s="434"/>
      <c r="AB542" s="431"/>
      <c r="AC542" s="599"/>
      <c r="AD542" s="599"/>
      <c r="AE542" s="599"/>
      <c r="AF542" s="599"/>
      <c r="AG542" s="599"/>
      <c r="AH542" s="599"/>
      <c r="AI542" s="599"/>
      <c r="AJ542" s="599"/>
      <c r="AK542" s="599"/>
      <c r="AL542" s="599"/>
      <c r="AM542" s="432"/>
      <c r="AO542">
        <f ca="1">IF($A542="S",IF(BM!$I542=0,0,CHOOSE(MATCH(RegimeExecucao,{"Global","Unitário"},0),ROUND(ROUND(BM.MEDAcumulado,15-13*BM!$A$9)/100*BM!$I542,15-13*ORÇAMENTO!$AF$11),ROUND(ROUND(BM.MEDAcumulado,15-13*BM!$A$9)*ROUND(BM!$H542,15-13*ORÇAMENTO!$AF$10),15-13*ORÇAMENTO!$AF$11))),IF($A542=0,0,ROUND(SomaAgrupBM,15-13*ORÇAMENTO!$AF$11)))</f>
        <v>0</v>
      </c>
    </row>
    <row r="543" spans="1:41" ht="13.8" x14ac:dyDescent="0.3">
      <c r="A543" t="str">
        <f ca="1">ORÇAMENTO!C543</f>
        <v>S</v>
      </c>
      <c r="B543">
        <f ca="1">ORÇAMENTO!D543</f>
        <v>0</v>
      </c>
      <c r="C543" s="143" t="str">
        <f t="shared" ca="1" si="89"/>
        <v/>
      </c>
      <c r="D543" s="146" t="str">
        <f ca="1">ORÇAMENTO!O543</f>
        <v>-</v>
      </c>
      <c r="E543" s="206" t="str">
        <f t="shared" ca="1" si="90"/>
        <v>(abra o arquivo 'Referência 05-2024.xls)</v>
      </c>
      <c r="F543" s="207" t="str">
        <f t="shared" ca="1" si="91"/>
        <v>-</v>
      </c>
      <c r="G543" s="151">
        <f ca="1">IF(RegimeExecucao="Global","",ORÇAMENTO!T543)</f>
        <v>4</v>
      </c>
      <c r="H543" s="151">
        <f ca="1">IF(RegimeExecucao="Global","",ORÇAMENTO!W543)</f>
        <v>0</v>
      </c>
      <c r="I543" s="154">
        <f ca="1">ORÇAMENTO!X543</f>
        <v>0</v>
      </c>
      <c r="J543" s="427">
        <f t="shared" ca="1" si="92"/>
        <v>0</v>
      </c>
      <c r="K543" s="151">
        <f t="shared" ca="1" si="93"/>
        <v>0</v>
      </c>
      <c r="L543" s="428">
        <f t="shared" ca="1" si="94"/>
        <v>0</v>
      </c>
      <c r="M543" s="429">
        <f ca="1">IF($A543="S",VTOTALBM,IF($A543=0,0,ROUND(SomaAgrupBM,15-13*ORÇAMENTO!$AF$11)))</f>
        <v>0</v>
      </c>
      <c r="N543" s="430">
        <f t="shared" ca="1" si="95"/>
        <v>0</v>
      </c>
      <c r="O543" s="154">
        <f ca="1">IF($A543="S",VTOTALBM,IF($A543=0,0,ROUND(SomaAgrupBM,15-13*ORÇAMENTO!$AF$11)))</f>
        <v>0</v>
      </c>
      <c r="Q543" s="431"/>
      <c r="R543" s="432"/>
      <c r="T543" s="146" t="str">
        <f t="shared" ca="1" si="96"/>
        <v/>
      </c>
      <c r="U543" s="206" t="str">
        <f t="shared" ca="1" si="97"/>
        <v/>
      </c>
      <c r="V543" s="207" t="str">
        <f t="shared" ca="1" si="98"/>
        <v/>
      </c>
      <c r="W543" s="634">
        <f ca="1">IF($Y543&gt;0,CHOOSE(MATCH(RegimeExecucao,{"Unitário","Global"},0),IF($A543="S",$Y543/$X543,""),($Y543/$X543)*100),0)</f>
        <v>0</v>
      </c>
      <c r="X543" s="433" t="str">
        <f ca="1">IF($Y543&gt;0,CHOOSE(MATCH(RegimeExecucao,{"Unitário","Global"},0),IF($A543="S",ROUND($H543,ORÇAMENTO!$AF$10),""),ROUND($I543,ORÇAMENTO!$AF$11)),"")</f>
        <v/>
      </c>
      <c r="Y543" s="433">
        <f t="shared" ca="1" si="99"/>
        <v>0</v>
      </c>
      <c r="Z543" s="434"/>
      <c r="AB543" s="431"/>
      <c r="AC543" s="599"/>
      <c r="AD543" s="599"/>
      <c r="AE543" s="599"/>
      <c r="AF543" s="599"/>
      <c r="AG543" s="599"/>
      <c r="AH543" s="599"/>
      <c r="AI543" s="599"/>
      <c r="AJ543" s="599"/>
      <c r="AK543" s="599"/>
      <c r="AL543" s="599"/>
      <c r="AM543" s="432"/>
      <c r="AO543">
        <f ca="1">IF($A543="S",IF(BM!$I543=0,0,CHOOSE(MATCH(RegimeExecucao,{"Global","Unitário"},0),ROUND(ROUND(BM.MEDAcumulado,15-13*BM!$A$9)/100*BM!$I543,15-13*ORÇAMENTO!$AF$11),ROUND(ROUND(BM.MEDAcumulado,15-13*BM!$A$9)*ROUND(BM!$H543,15-13*ORÇAMENTO!$AF$10),15-13*ORÇAMENTO!$AF$11))),IF($A543=0,0,ROUND(SomaAgrupBM,15-13*ORÇAMENTO!$AF$11)))</f>
        <v>0</v>
      </c>
    </row>
    <row r="544" spans="1:41" ht="13.8" x14ac:dyDescent="0.3">
      <c r="A544" t="str">
        <f ca="1">ORÇAMENTO!C544</f>
        <v>S</v>
      </c>
      <c r="B544">
        <f ca="1">ORÇAMENTO!D544</f>
        <v>0</v>
      </c>
      <c r="C544" s="143" t="str">
        <f t="shared" ca="1" si="89"/>
        <v/>
      </c>
      <c r="D544" s="146" t="str">
        <f ca="1">ORÇAMENTO!O544</f>
        <v>-</v>
      </c>
      <c r="E544" s="206" t="str">
        <f t="shared" ca="1" si="90"/>
        <v>(abra o arquivo 'Referência 05-2024.xls)</v>
      </c>
      <c r="F544" s="207" t="str">
        <f t="shared" ca="1" si="91"/>
        <v>-</v>
      </c>
      <c r="G544" s="151">
        <f ca="1">IF(RegimeExecucao="Global","",ORÇAMENTO!T544)</f>
        <v>2</v>
      </c>
      <c r="H544" s="151">
        <f ca="1">IF(RegimeExecucao="Global","",ORÇAMENTO!W544)</f>
        <v>0</v>
      </c>
      <c r="I544" s="154">
        <f ca="1">ORÇAMENTO!X544</f>
        <v>0</v>
      </c>
      <c r="J544" s="427">
        <f t="shared" ca="1" si="92"/>
        <v>0</v>
      </c>
      <c r="K544" s="151">
        <f t="shared" ca="1" si="93"/>
        <v>0</v>
      </c>
      <c r="L544" s="428">
        <f t="shared" ca="1" si="94"/>
        <v>0</v>
      </c>
      <c r="M544" s="429">
        <f ca="1">IF($A544="S",VTOTALBM,IF($A544=0,0,ROUND(SomaAgrupBM,15-13*ORÇAMENTO!$AF$11)))</f>
        <v>0</v>
      </c>
      <c r="N544" s="430">
        <f t="shared" ca="1" si="95"/>
        <v>0</v>
      </c>
      <c r="O544" s="154">
        <f ca="1">IF($A544="S",VTOTALBM,IF($A544=0,0,ROUND(SomaAgrupBM,15-13*ORÇAMENTO!$AF$11)))</f>
        <v>0</v>
      </c>
      <c r="Q544" s="431"/>
      <c r="R544" s="432"/>
      <c r="T544" s="146" t="str">
        <f t="shared" ca="1" si="96"/>
        <v/>
      </c>
      <c r="U544" s="206" t="str">
        <f t="shared" ca="1" si="97"/>
        <v/>
      </c>
      <c r="V544" s="207" t="str">
        <f t="shared" ca="1" si="98"/>
        <v/>
      </c>
      <c r="W544" s="634">
        <f ca="1">IF($Y544&gt;0,CHOOSE(MATCH(RegimeExecucao,{"Unitário","Global"},0),IF($A544="S",$Y544/$X544,""),($Y544/$X544)*100),0)</f>
        <v>0</v>
      </c>
      <c r="X544" s="433" t="str">
        <f ca="1">IF($Y544&gt;0,CHOOSE(MATCH(RegimeExecucao,{"Unitário","Global"},0),IF($A544="S",ROUND($H544,ORÇAMENTO!$AF$10),""),ROUND($I544,ORÇAMENTO!$AF$11)),"")</f>
        <v/>
      </c>
      <c r="Y544" s="433">
        <f t="shared" ca="1" si="99"/>
        <v>0</v>
      </c>
      <c r="Z544" s="434"/>
      <c r="AB544" s="431"/>
      <c r="AC544" s="599"/>
      <c r="AD544" s="599"/>
      <c r="AE544" s="599"/>
      <c r="AF544" s="599"/>
      <c r="AG544" s="599"/>
      <c r="AH544" s="599"/>
      <c r="AI544" s="599"/>
      <c r="AJ544" s="599"/>
      <c r="AK544" s="599"/>
      <c r="AL544" s="599"/>
      <c r="AM544" s="432"/>
      <c r="AO544">
        <f ca="1">IF($A544="S",IF(BM!$I544=0,0,CHOOSE(MATCH(RegimeExecucao,{"Global","Unitário"},0),ROUND(ROUND(BM.MEDAcumulado,15-13*BM!$A$9)/100*BM!$I544,15-13*ORÇAMENTO!$AF$11),ROUND(ROUND(BM.MEDAcumulado,15-13*BM!$A$9)*ROUND(BM!$H544,15-13*ORÇAMENTO!$AF$10),15-13*ORÇAMENTO!$AF$11))),IF($A544=0,0,ROUND(SomaAgrupBM,15-13*ORÇAMENTO!$AF$11)))</f>
        <v>0</v>
      </c>
    </row>
    <row r="545" spans="1:41" ht="13.8" x14ac:dyDescent="0.3">
      <c r="A545" t="str">
        <f ca="1">ORÇAMENTO!C545</f>
        <v>S</v>
      </c>
      <c r="B545">
        <f ca="1">ORÇAMENTO!D545</f>
        <v>0</v>
      </c>
      <c r="C545" s="143" t="str">
        <f t="shared" ca="1" si="89"/>
        <v/>
      </c>
      <c r="D545" s="146" t="str">
        <f ca="1">ORÇAMENTO!O545</f>
        <v>-</v>
      </c>
      <c r="E545" s="206" t="str">
        <f t="shared" ca="1" si="90"/>
        <v>(abra o arquivo 'Referência 05-2024.xls)</v>
      </c>
      <c r="F545" s="207" t="str">
        <f t="shared" ca="1" si="91"/>
        <v>-</v>
      </c>
      <c r="G545" s="151">
        <f ca="1">IF(RegimeExecucao="Global","",ORÇAMENTO!T545)</f>
        <v>2</v>
      </c>
      <c r="H545" s="151">
        <f ca="1">IF(RegimeExecucao="Global","",ORÇAMENTO!W545)</f>
        <v>0</v>
      </c>
      <c r="I545" s="154">
        <f ca="1">ORÇAMENTO!X545</f>
        <v>0</v>
      </c>
      <c r="J545" s="427">
        <f t="shared" ca="1" si="92"/>
        <v>0</v>
      </c>
      <c r="K545" s="151">
        <f t="shared" ca="1" si="93"/>
        <v>0</v>
      </c>
      <c r="L545" s="428">
        <f t="shared" ca="1" si="94"/>
        <v>0</v>
      </c>
      <c r="M545" s="429">
        <f ca="1">IF($A545="S",VTOTALBM,IF($A545=0,0,ROUND(SomaAgrupBM,15-13*ORÇAMENTO!$AF$11)))</f>
        <v>0</v>
      </c>
      <c r="N545" s="430">
        <f t="shared" ca="1" si="95"/>
        <v>0</v>
      </c>
      <c r="O545" s="154">
        <f ca="1">IF($A545="S",VTOTALBM,IF($A545=0,0,ROUND(SomaAgrupBM,15-13*ORÇAMENTO!$AF$11)))</f>
        <v>0</v>
      </c>
      <c r="Q545" s="431"/>
      <c r="R545" s="432"/>
      <c r="T545" s="146" t="str">
        <f t="shared" ca="1" si="96"/>
        <v/>
      </c>
      <c r="U545" s="206" t="str">
        <f t="shared" ca="1" si="97"/>
        <v/>
      </c>
      <c r="V545" s="207" t="str">
        <f t="shared" ca="1" si="98"/>
        <v/>
      </c>
      <c r="W545" s="634">
        <f ca="1">IF($Y545&gt;0,CHOOSE(MATCH(RegimeExecucao,{"Unitário","Global"},0),IF($A545="S",$Y545/$X545,""),($Y545/$X545)*100),0)</f>
        <v>0</v>
      </c>
      <c r="X545" s="433" t="str">
        <f ca="1">IF($Y545&gt;0,CHOOSE(MATCH(RegimeExecucao,{"Unitário","Global"},0),IF($A545="S",ROUND($H545,ORÇAMENTO!$AF$10),""),ROUND($I545,ORÇAMENTO!$AF$11)),"")</f>
        <v/>
      </c>
      <c r="Y545" s="433">
        <f t="shared" ca="1" si="99"/>
        <v>0</v>
      </c>
      <c r="Z545" s="434"/>
      <c r="AB545" s="431"/>
      <c r="AC545" s="599"/>
      <c r="AD545" s="599"/>
      <c r="AE545" s="599"/>
      <c r="AF545" s="599"/>
      <c r="AG545" s="599"/>
      <c r="AH545" s="599"/>
      <c r="AI545" s="599"/>
      <c r="AJ545" s="599"/>
      <c r="AK545" s="599"/>
      <c r="AL545" s="599"/>
      <c r="AM545" s="432"/>
      <c r="AO545">
        <f ca="1">IF($A545="S",IF(BM!$I545=0,0,CHOOSE(MATCH(RegimeExecucao,{"Global","Unitário"},0),ROUND(ROUND(BM.MEDAcumulado,15-13*BM!$A$9)/100*BM!$I545,15-13*ORÇAMENTO!$AF$11),ROUND(ROUND(BM.MEDAcumulado,15-13*BM!$A$9)*ROUND(BM!$H545,15-13*ORÇAMENTO!$AF$10),15-13*ORÇAMENTO!$AF$11))),IF($A545=0,0,ROUND(SomaAgrupBM,15-13*ORÇAMENTO!$AF$11)))</f>
        <v>0</v>
      </c>
    </row>
    <row r="546" spans="1:41" ht="13.8" x14ac:dyDescent="0.3">
      <c r="A546" t="str">
        <f ca="1">ORÇAMENTO!C546</f>
        <v>S</v>
      </c>
      <c r="B546">
        <f ca="1">ORÇAMENTO!D546</f>
        <v>0</v>
      </c>
      <c r="C546" s="143" t="str">
        <f t="shared" ca="1" si="89"/>
        <v/>
      </c>
      <c r="D546" s="146" t="str">
        <f ca="1">ORÇAMENTO!O546</f>
        <v>-</v>
      </c>
      <c r="E546" s="206" t="str">
        <f t="shared" ca="1" si="90"/>
        <v>(abra o arquivo 'Referência 05-2024.xls)</v>
      </c>
      <c r="F546" s="207" t="str">
        <f t="shared" ca="1" si="91"/>
        <v>-</v>
      </c>
      <c r="G546" s="151">
        <f ca="1">IF(RegimeExecucao="Global","",ORÇAMENTO!T546)</f>
        <v>2</v>
      </c>
      <c r="H546" s="151">
        <f ca="1">IF(RegimeExecucao="Global","",ORÇAMENTO!W546)</f>
        <v>0</v>
      </c>
      <c r="I546" s="154">
        <f ca="1">ORÇAMENTO!X546</f>
        <v>0</v>
      </c>
      <c r="J546" s="427">
        <f t="shared" ca="1" si="92"/>
        <v>0</v>
      </c>
      <c r="K546" s="151">
        <f t="shared" ca="1" si="93"/>
        <v>0</v>
      </c>
      <c r="L546" s="428">
        <f t="shared" ca="1" si="94"/>
        <v>0</v>
      </c>
      <c r="M546" s="429">
        <f ca="1">IF($A546="S",VTOTALBM,IF($A546=0,0,ROUND(SomaAgrupBM,15-13*ORÇAMENTO!$AF$11)))</f>
        <v>0</v>
      </c>
      <c r="N546" s="430">
        <f t="shared" ca="1" si="95"/>
        <v>0</v>
      </c>
      <c r="O546" s="154">
        <f ca="1">IF($A546="S",VTOTALBM,IF($A546=0,0,ROUND(SomaAgrupBM,15-13*ORÇAMENTO!$AF$11)))</f>
        <v>0</v>
      </c>
      <c r="Q546" s="431"/>
      <c r="R546" s="432"/>
      <c r="T546" s="146" t="str">
        <f t="shared" ca="1" si="96"/>
        <v/>
      </c>
      <c r="U546" s="206" t="str">
        <f t="shared" ca="1" si="97"/>
        <v/>
      </c>
      <c r="V546" s="207" t="str">
        <f t="shared" ca="1" si="98"/>
        <v/>
      </c>
      <c r="W546" s="634">
        <f ca="1">IF($Y546&gt;0,CHOOSE(MATCH(RegimeExecucao,{"Unitário","Global"},0),IF($A546="S",$Y546/$X546,""),($Y546/$X546)*100),0)</f>
        <v>0</v>
      </c>
      <c r="X546" s="433" t="str">
        <f ca="1">IF($Y546&gt;0,CHOOSE(MATCH(RegimeExecucao,{"Unitário","Global"},0),IF($A546="S",ROUND($H546,ORÇAMENTO!$AF$10),""),ROUND($I546,ORÇAMENTO!$AF$11)),"")</f>
        <v/>
      </c>
      <c r="Y546" s="433">
        <f t="shared" ca="1" si="99"/>
        <v>0</v>
      </c>
      <c r="Z546" s="434"/>
      <c r="AB546" s="431"/>
      <c r="AC546" s="599"/>
      <c r="AD546" s="599"/>
      <c r="AE546" s="599"/>
      <c r="AF546" s="599"/>
      <c r="AG546" s="599"/>
      <c r="AH546" s="599"/>
      <c r="AI546" s="599"/>
      <c r="AJ546" s="599"/>
      <c r="AK546" s="599"/>
      <c r="AL546" s="599"/>
      <c r="AM546" s="432"/>
      <c r="AO546">
        <f ca="1">IF($A546="S",IF(BM!$I546=0,0,CHOOSE(MATCH(RegimeExecucao,{"Global","Unitário"},0),ROUND(ROUND(BM.MEDAcumulado,15-13*BM!$A$9)/100*BM!$I546,15-13*ORÇAMENTO!$AF$11),ROUND(ROUND(BM.MEDAcumulado,15-13*BM!$A$9)*ROUND(BM!$H546,15-13*ORÇAMENTO!$AF$10),15-13*ORÇAMENTO!$AF$11))),IF($A546=0,0,ROUND(SomaAgrupBM,15-13*ORÇAMENTO!$AF$11)))</f>
        <v>0</v>
      </c>
    </row>
    <row r="547" spans="1:41" ht="13.8" x14ac:dyDescent="0.3">
      <c r="A547" t="str">
        <f ca="1">ORÇAMENTO!C547</f>
        <v>S</v>
      </c>
      <c r="B547">
        <f ca="1">ORÇAMENTO!D547</f>
        <v>0</v>
      </c>
      <c r="C547" s="143" t="str">
        <f t="shared" ca="1" si="89"/>
        <v/>
      </c>
      <c r="D547" s="146" t="str">
        <f ca="1">ORÇAMENTO!O547</f>
        <v>-</v>
      </c>
      <c r="E547" s="206" t="str">
        <f t="shared" ca="1" si="90"/>
        <v>(abra o arquivo 'Referência 05-2024.xls)</v>
      </c>
      <c r="F547" s="207" t="str">
        <f t="shared" ca="1" si="91"/>
        <v>-</v>
      </c>
      <c r="G547" s="151">
        <f ca="1">IF(RegimeExecucao="Global","",ORÇAMENTO!T547)</f>
        <v>2</v>
      </c>
      <c r="H547" s="151">
        <f ca="1">IF(RegimeExecucao="Global","",ORÇAMENTO!W547)</f>
        <v>0</v>
      </c>
      <c r="I547" s="154">
        <f ca="1">ORÇAMENTO!X547</f>
        <v>0</v>
      </c>
      <c r="J547" s="427">
        <f t="shared" ca="1" si="92"/>
        <v>0</v>
      </c>
      <c r="K547" s="151">
        <f t="shared" ca="1" si="93"/>
        <v>0</v>
      </c>
      <c r="L547" s="428">
        <f t="shared" ca="1" si="94"/>
        <v>0</v>
      </c>
      <c r="M547" s="429">
        <f ca="1">IF($A547="S",VTOTALBM,IF($A547=0,0,ROUND(SomaAgrupBM,15-13*ORÇAMENTO!$AF$11)))</f>
        <v>0</v>
      </c>
      <c r="N547" s="430">
        <f t="shared" ca="1" si="95"/>
        <v>0</v>
      </c>
      <c r="O547" s="154">
        <f ca="1">IF($A547="S",VTOTALBM,IF($A547=0,0,ROUND(SomaAgrupBM,15-13*ORÇAMENTO!$AF$11)))</f>
        <v>0</v>
      </c>
      <c r="Q547" s="431"/>
      <c r="R547" s="432"/>
      <c r="T547" s="146" t="str">
        <f t="shared" ca="1" si="96"/>
        <v/>
      </c>
      <c r="U547" s="206" t="str">
        <f t="shared" ca="1" si="97"/>
        <v/>
      </c>
      <c r="V547" s="207" t="str">
        <f t="shared" ca="1" si="98"/>
        <v/>
      </c>
      <c r="W547" s="634">
        <f ca="1">IF($Y547&gt;0,CHOOSE(MATCH(RegimeExecucao,{"Unitário","Global"},0),IF($A547="S",$Y547/$X547,""),($Y547/$X547)*100),0)</f>
        <v>0</v>
      </c>
      <c r="X547" s="433" t="str">
        <f ca="1">IF($Y547&gt;0,CHOOSE(MATCH(RegimeExecucao,{"Unitário","Global"},0),IF($A547="S",ROUND($H547,ORÇAMENTO!$AF$10),""),ROUND($I547,ORÇAMENTO!$AF$11)),"")</f>
        <v/>
      </c>
      <c r="Y547" s="433">
        <f t="shared" ca="1" si="99"/>
        <v>0</v>
      </c>
      <c r="Z547" s="434"/>
      <c r="AB547" s="431"/>
      <c r="AC547" s="599"/>
      <c r="AD547" s="599"/>
      <c r="AE547" s="599"/>
      <c r="AF547" s="599"/>
      <c r="AG547" s="599"/>
      <c r="AH547" s="599"/>
      <c r="AI547" s="599"/>
      <c r="AJ547" s="599"/>
      <c r="AK547" s="599"/>
      <c r="AL547" s="599"/>
      <c r="AM547" s="432"/>
      <c r="AO547">
        <f ca="1">IF($A547="S",IF(BM!$I547=0,0,CHOOSE(MATCH(RegimeExecucao,{"Global","Unitário"},0),ROUND(ROUND(BM.MEDAcumulado,15-13*BM!$A$9)/100*BM!$I547,15-13*ORÇAMENTO!$AF$11),ROUND(ROUND(BM.MEDAcumulado,15-13*BM!$A$9)*ROUND(BM!$H547,15-13*ORÇAMENTO!$AF$10),15-13*ORÇAMENTO!$AF$11))),IF($A547=0,0,ROUND(SomaAgrupBM,15-13*ORÇAMENTO!$AF$11)))</f>
        <v>0</v>
      </c>
    </row>
    <row r="548" spans="1:41" ht="13.8" x14ac:dyDescent="0.3">
      <c r="A548" t="str">
        <f ca="1">ORÇAMENTO!C548</f>
        <v>S</v>
      </c>
      <c r="B548">
        <f ca="1">ORÇAMENTO!D548</f>
        <v>0</v>
      </c>
      <c r="C548" s="143" t="str">
        <f t="shared" ca="1" si="89"/>
        <v/>
      </c>
      <c r="D548" s="146" t="str">
        <f ca="1">ORÇAMENTO!O548</f>
        <v>-</v>
      </c>
      <c r="E548" s="206" t="str">
        <f t="shared" ca="1" si="90"/>
        <v>(abra o arquivo 'Referência 05-2024.xls)</v>
      </c>
      <c r="F548" s="207" t="str">
        <f t="shared" ca="1" si="91"/>
        <v>-</v>
      </c>
      <c r="G548" s="151">
        <f ca="1">IF(RegimeExecucao="Global","",ORÇAMENTO!T548)</f>
        <v>3</v>
      </c>
      <c r="H548" s="151">
        <f ca="1">IF(RegimeExecucao="Global","",ORÇAMENTO!W548)</f>
        <v>0</v>
      </c>
      <c r="I548" s="154">
        <f ca="1">ORÇAMENTO!X548</f>
        <v>0</v>
      </c>
      <c r="J548" s="427">
        <f t="shared" ca="1" si="92"/>
        <v>0</v>
      </c>
      <c r="K548" s="151">
        <f t="shared" ca="1" si="93"/>
        <v>0</v>
      </c>
      <c r="L548" s="428">
        <f t="shared" ca="1" si="94"/>
        <v>0</v>
      </c>
      <c r="M548" s="429">
        <f ca="1">IF($A548="S",VTOTALBM,IF($A548=0,0,ROUND(SomaAgrupBM,15-13*ORÇAMENTO!$AF$11)))</f>
        <v>0</v>
      </c>
      <c r="N548" s="430">
        <f t="shared" ca="1" si="95"/>
        <v>0</v>
      </c>
      <c r="O548" s="154">
        <f ca="1">IF($A548="S",VTOTALBM,IF($A548=0,0,ROUND(SomaAgrupBM,15-13*ORÇAMENTO!$AF$11)))</f>
        <v>0</v>
      </c>
      <c r="Q548" s="431"/>
      <c r="R548" s="432"/>
      <c r="T548" s="146" t="str">
        <f t="shared" ca="1" si="96"/>
        <v/>
      </c>
      <c r="U548" s="206" t="str">
        <f t="shared" ca="1" si="97"/>
        <v/>
      </c>
      <c r="V548" s="207" t="str">
        <f t="shared" ca="1" si="98"/>
        <v/>
      </c>
      <c r="W548" s="634">
        <f ca="1">IF($Y548&gt;0,CHOOSE(MATCH(RegimeExecucao,{"Unitário","Global"},0),IF($A548="S",$Y548/$X548,""),($Y548/$X548)*100),0)</f>
        <v>0</v>
      </c>
      <c r="X548" s="433" t="str">
        <f ca="1">IF($Y548&gt;0,CHOOSE(MATCH(RegimeExecucao,{"Unitário","Global"},0),IF($A548="S",ROUND($H548,ORÇAMENTO!$AF$10),""),ROUND($I548,ORÇAMENTO!$AF$11)),"")</f>
        <v/>
      </c>
      <c r="Y548" s="433">
        <f t="shared" ca="1" si="99"/>
        <v>0</v>
      </c>
      <c r="Z548" s="434"/>
      <c r="AB548" s="431"/>
      <c r="AC548" s="599"/>
      <c r="AD548" s="599"/>
      <c r="AE548" s="599"/>
      <c r="AF548" s="599"/>
      <c r="AG548" s="599"/>
      <c r="AH548" s="599"/>
      <c r="AI548" s="599"/>
      <c r="AJ548" s="599"/>
      <c r="AK548" s="599"/>
      <c r="AL548" s="599"/>
      <c r="AM548" s="432"/>
      <c r="AO548">
        <f ca="1">IF($A548="S",IF(BM!$I548=0,0,CHOOSE(MATCH(RegimeExecucao,{"Global","Unitário"},0),ROUND(ROUND(BM.MEDAcumulado,15-13*BM!$A$9)/100*BM!$I548,15-13*ORÇAMENTO!$AF$11),ROUND(ROUND(BM.MEDAcumulado,15-13*BM!$A$9)*ROUND(BM!$H548,15-13*ORÇAMENTO!$AF$10),15-13*ORÇAMENTO!$AF$11))),IF($A548=0,0,ROUND(SomaAgrupBM,15-13*ORÇAMENTO!$AF$11)))</f>
        <v>0</v>
      </c>
    </row>
    <row r="549" spans="1:41" ht="13.8" x14ac:dyDescent="0.3">
      <c r="A549" t="str">
        <f ca="1">ORÇAMENTO!C549</f>
        <v>S</v>
      </c>
      <c r="B549">
        <f ca="1">ORÇAMENTO!D549</f>
        <v>0</v>
      </c>
      <c r="C549" s="143" t="str">
        <f t="shared" ca="1" si="89"/>
        <v/>
      </c>
      <c r="D549" s="146" t="str">
        <f ca="1">ORÇAMENTO!O549</f>
        <v>-</v>
      </c>
      <c r="E549" s="206" t="str">
        <f t="shared" ca="1" si="90"/>
        <v>(abra o arquivo 'Referência 05-2024.xls)</v>
      </c>
      <c r="F549" s="207" t="str">
        <f t="shared" ca="1" si="91"/>
        <v>-</v>
      </c>
      <c r="G549" s="151">
        <f ca="1">IF(RegimeExecucao="Global","",ORÇAMENTO!T549)</f>
        <v>3</v>
      </c>
      <c r="H549" s="151">
        <f ca="1">IF(RegimeExecucao="Global","",ORÇAMENTO!W549)</f>
        <v>0</v>
      </c>
      <c r="I549" s="154">
        <f ca="1">ORÇAMENTO!X549</f>
        <v>0</v>
      </c>
      <c r="J549" s="427">
        <f t="shared" ca="1" si="92"/>
        <v>0</v>
      </c>
      <c r="K549" s="151">
        <f t="shared" ca="1" si="93"/>
        <v>0</v>
      </c>
      <c r="L549" s="428">
        <f t="shared" ca="1" si="94"/>
        <v>0</v>
      </c>
      <c r="M549" s="429">
        <f ca="1">IF($A549="S",VTOTALBM,IF($A549=0,0,ROUND(SomaAgrupBM,15-13*ORÇAMENTO!$AF$11)))</f>
        <v>0</v>
      </c>
      <c r="N549" s="430">
        <f t="shared" ca="1" si="95"/>
        <v>0</v>
      </c>
      <c r="O549" s="154">
        <f ca="1">IF($A549="S",VTOTALBM,IF($A549=0,0,ROUND(SomaAgrupBM,15-13*ORÇAMENTO!$AF$11)))</f>
        <v>0</v>
      </c>
      <c r="Q549" s="431"/>
      <c r="R549" s="432"/>
      <c r="T549" s="146" t="str">
        <f t="shared" ca="1" si="96"/>
        <v/>
      </c>
      <c r="U549" s="206" t="str">
        <f t="shared" ca="1" si="97"/>
        <v/>
      </c>
      <c r="V549" s="207" t="str">
        <f t="shared" ca="1" si="98"/>
        <v/>
      </c>
      <c r="W549" s="634">
        <f ca="1">IF($Y549&gt;0,CHOOSE(MATCH(RegimeExecucao,{"Unitário","Global"},0),IF($A549="S",$Y549/$X549,""),($Y549/$X549)*100),0)</f>
        <v>0</v>
      </c>
      <c r="X549" s="433" t="str">
        <f ca="1">IF($Y549&gt;0,CHOOSE(MATCH(RegimeExecucao,{"Unitário","Global"},0),IF($A549="S",ROUND($H549,ORÇAMENTO!$AF$10),""),ROUND($I549,ORÇAMENTO!$AF$11)),"")</f>
        <v/>
      </c>
      <c r="Y549" s="433">
        <f t="shared" ca="1" si="99"/>
        <v>0</v>
      </c>
      <c r="Z549" s="434"/>
      <c r="AB549" s="431"/>
      <c r="AC549" s="599"/>
      <c r="AD549" s="599"/>
      <c r="AE549" s="599"/>
      <c r="AF549" s="599"/>
      <c r="AG549" s="599"/>
      <c r="AH549" s="599"/>
      <c r="AI549" s="599"/>
      <c r="AJ549" s="599"/>
      <c r="AK549" s="599"/>
      <c r="AL549" s="599"/>
      <c r="AM549" s="432"/>
      <c r="AO549">
        <f ca="1">IF($A549="S",IF(BM!$I549=0,0,CHOOSE(MATCH(RegimeExecucao,{"Global","Unitário"},0),ROUND(ROUND(BM.MEDAcumulado,15-13*BM!$A$9)/100*BM!$I549,15-13*ORÇAMENTO!$AF$11),ROUND(ROUND(BM.MEDAcumulado,15-13*BM!$A$9)*ROUND(BM!$H549,15-13*ORÇAMENTO!$AF$10),15-13*ORÇAMENTO!$AF$11))),IF($A549=0,0,ROUND(SomaAgrupBM,15-13*ORÇAMENTO!$AF$11)))</f>
        <v>0</v>
      </c>
    </row>
    <row r="550" spans="1:41" ht="13.8" x14ac:dyDescent="0.3">
      <c r="A550" t="str">
        <f ca="1">ORÇAMENTO!C550</f>
        <v>S</v>
      </c>
      <c r="B550">
        <f ca="1">ORÇAMENTO!D550</f>
        <v>0</v>
      </c>
      <c r="C550" s="143" t="str">
        <f t="shared" ca="1" si="89"/>
        <v/>
      </c>
      <c r="D550" s="146" t="str">
        <f ca="1">ORÇAMENTO!O550</f>
        <v>-</v>
      </c>
      <c r="E550" s="206" t="str">
        <f t="shared" ca="1" si="90"/>
        <v>(abra o arquivo 'Referência 05-2024.xls)</v>
      </c>
      <c r="F550" s="207" t="str">
        <f t="shared" ca="1" si="91"/>
        <v>-</v>
      </c>
      <c r="G550" s="151">
        <f ca="1">IF(RegimeExecucao="Global","",ORÇAMENTO!T550)</f>
        <v>1</v>
      </c>
      <c r="H550" s="151">
        <f ca="1">IF(RegimeExecucao="Global","",ORÇAMENTO!W550)</f>
        <v>0</v>
      </c>
      <c r="I550" s="154">
        <f ca="1">ORÇAMENTO!X550</f>
        <v>0</v>
      </c>
      <c r="J550" s="427">
        <f t="shared" ca="1" si="92"/>
        <v>0</v>
      </c>
      <c r="K550" s="151">
        <f t="shared" ca="1" si="93"/>
        <v>0</v>
      </c>
      <c r="L550" s="428">
        <f t="shared" ca="1" si="94"/>
        <v>0</v>
      </c>
      <c r="M550" s="429">
        <f ca="1">IF($A550="S",VTOTALBM,IF($A550=0,0,ROUND(SomaAgrupBM,15-13*ORÇAMENTO!$AF$11)))</f>
        <v>0</v>
      </c>
      <c r="N550" s="430">
        <f t="shared" ca="1" si="95"/>
        <v>0</v>
      </c>
      <c r="O550" s="154">
        <f ca="1">IF($A550="S",VTOTALBM,IF($A550=0,0,ROUND(SomaAgrupBM,15-13*ORÇAMENTO!$AF$11)))</f>
        <v>0</v>
      </c>
      <c r="Q550" s="431"/>
      <c r="R550" s="432"/>
      <c r="T550" s="146" t="str">
        <f t="shared" ca="1" si="96"/>
        <v/>
      </c>
      <c r="U550" s="206" t="str">
        <f t="shared" ca="1" si="97"/>
        <v/>
      </c>
      <c r="V550" s="207" t="str">
        <f t="shared" ca="1" si="98"/>
        <v/>
      </c>
      <c r="W550" s="634">
        <f ca="1">IF($Y550&gt;0,CHOOSE(MATCH(RegimeExecucao,{"Unitário","Global"},0),IF($A550="S",$Y550/$X550,""),($Y550/$X550)*100),0)</f>
        <v>0</v>
      </c>
      <c r="X550" s="433" t="str">
        <f ca="1">IF($Y550&gt;0,CHOOSE(MATCH(RegimeExecucao,{"Unitário","Global"},0),IF($A550="S",ROUND($H550,ORÇAMENTO!$AF$10),""),ROUND($I550,ORÇAMENTO!$AF$11)),"")</f>
        <v/>
      </c>
      <c r="Y550" s="433">
        <f t="shared" ca="1" si="99"/>
        <v>0</v>
      </c>
      <c r="Z550" s="434"/>
      <c r="AB550" s="431"/>
      <c r="AC550" s="599"/>
      <c r="AD550" s="599"/>
      <c r="AE550" s="599"/>
      <c r="AF550" s="599"/>
      <c r="AG550" s="599"/>
      <c r="AH550" s="599"/>
      <c r="AI550" s="599"/>
      <c r="AJ550" s="599"/>
      <c r="AK550" s="599"/>
      <c r="AL550" s="599"/>
      <c r="AM550" s="432"/>
      <c r="AO550">
        <f ca="1">IF($A550="S",IF(BM!$I550=0,0,CHOOSE(MATCH(RegimeExecucao,{"Global","Unitário"},0),ROUND(ROUND(BM.MEDAcumulado,15-13*BM!$A$9)/100*BM!$I550,15-13*ORÇAMENTO!$AF$11),ROUND(ROUND(BM.MEDAcumulado,15-13*BM!$A$9)*ROUND(BM!$H550,15-13*ORÇAMENTO!$AF$10),15-13*ORÇAMENTO!$AF$11))),IF($A550=0,0,ROUND(SomaAgrupBM,15-13*ORÇAMENTO!$AF$11)))</f>
        <v>0</v>
      </c>
    </row>
    <row r="551" spans="1:41" ht="13.8" x14ac:dyDescent="0.3">
      <c r="A551" t="str">
        <f ca="1">ORÇAMENTO!C551</f>
        <v>S</v>
      </c>
      <c r="B551">
        <f ca="1">ORÇAMENTO!D551</f>
        <v>0</v>
      </c>
      <c r="C551" s="143" t="str">
        <f t="shared" ca="1" si="89"/>
        <v/>
      </c>
      <c r="D551" s="146" t="str">
        <f ca="1">ORÇAMENTO!O551</f>
        <v>-</v>
      </c>
      <c r="E551" s="206" t="str">
        <f t="shared" ca="1" si="90"/>
        <v>(abra o arquivo 'Referência 05-2024.xls)</v>
      </c>
      <c r="F551" s="207" t="str">
        <f t="shared" ca="1" si="91"/>
        <v>-</v>
      </c>
      <c r="G551" s="151">
        <f ca="1">IF(RegimeExecucao="Global","",ORÇAMENTO!T551)</f>
        <v>26</v>
      </c>
      <c r="H551" s="151">
        <f ca="1">IF(RegimeExecucao="Global","",ORÇAMENTO!W551)</f>
        <v>0</v>
      </c>
      <c r="I551" s="154">
        <f ca="1">ORÇAMENTO!X551</f>
        <v>0</v>
      </c>
      <c r="J551" s="427">
        <f t="shared" ca="1" si="92"/>
        <v>0</v>
      </c>
      <c r="K551" s="151">
        <f t="shared" ca="1" si="93"/>
        <v>0</v>
      </c>
      <c r="L551" s="428">
        <f t="shared" ca="1" si="94"/>
        <v>0</v>
      </c>
      <c r="M551" s="429">
        <f ca="1">IF($A551="S",VTOTALBM,IF($A551=0,0,ROUND(SomaAgrupBM,15-13*ORÇAMENTO!$AF$11)))</f>
        <v>0</v>
      </c>
      <c r="N551" s="430">
        <f t="shared" ca="1" si="95"/>
        <v>0</v>
      </c>
      <c r="O551" s="154">
        <f ca="1">IF($A551="S",VTOTALBM,IF($A551=0,0,ROUND(SomaAgrupBM,15-13*ORÇAMENTO!$AF$11)))</f>
        <v>0</v>
      </c>
      <c r="Q551" s="431"/>
      <c r="R551" s="432"/>
      <c r="T551" s="146" t="str">
        <f t="shared" ca="1" si="96"/>
        <v/>
      </c>
      <c r="U551" s="206" t="str">
        <f t="shared" ca="1" si="97"/>
        <v/>
      </c>
      <c r="V551" s="207" t="str">
        <f t="shared" ca="1" si="98"/>
        <v/>
      </c>
      <c r="W551" s="634">
        <f ca="1">IF($Y551&gt;0,CHOOSE(MATCH(RegimeExecucao,{"Unitário","Global"},0),IF($A551="S",$Y551/$X551,""),($Y551/$X551)*100),0)</f>
        <v>0</v>
      </c>
      <c r="X551" s="433" t="str">
        <f ca="1">IF($Y551&gt;0,CHOOSE(MATCH(RegimeExecucao,{"Unitário","Global"},0),IF($A551="S",ROUND($H551,ORÇAMENTO!$AF$10),""),ROUND($I551,ORÇAMENTO!$AF$11)),"")</f>
        <v/>
      </c>
      <c r="Y551" s="433">
        <f t="shared" ca="1" si="99"/>
        <v>0</v>
      </c>
      <c r="Z551" s="434"/>
      <c r="AB551" s="431"/>
      <c r="AC551" s="599"/>
      <c r="AD551" s="599"/>
      <c r="AE551" s="599"/>
      <c r="AF551" s="599"/>
      <c r="AG551" s="599"/>
      <c r="AH551" s="599"/>
      <c r="AI551" s="599"/>
      <c r="AJ551" s="599"/>
      <c r="AK551" s="599"/>
      <c r="AL551" s="599"/>
      <c r="AM551" s="432"/>
      <c r="AO551">
        <f ca="1">IF($A551="S",IF(BM!$I551=0,0,CHOOSE(MATCH(RegimeExecucao,{"Global","Unitário"},0),ROUND(ROUND(BM.MEDAcumulado,15-13*BM!$A$9)/100*BM!$I551,15-13*ORÇAMENTO!$AF$11),ROUND(ROUND(BM.MEDAcumulado,15-13*BM!$A$9)*ROUND(BM!$H551,15-13*ORÇAMENTO!$AF$10),15-13*ORÇAMENTO!$AF$11))),IF($A551=0,0,ROUND(SomaAgrupBM,15-13*ORÇAMENTO!$AF$11)))</f>
        <v>0</v>
      </c>
    </row>
    <row r="552" spans="1:41" ht="13.8" x14ac:dyDescent="0.3">
      <c r="A552" t="str">
        <f ca="1">ORÇAMENTO!C552</f>
        <v>S</v>
      </c>
      <c r="B552">
        <f ca="1">ORÇAMENTO!D552</f>
        <v>0</v>
      </c>
      <c r="C552" s="143" t="str">
        <f t="shared" ca="1" si="89"/>
        <v/>
      </c>
      <c r="D552" s="146" t="str">
        <f ca="1">ORÇAMENTO!O552</f>
        <v>-</v>
      </c>
      <c r="E552" s="206" t="str">
        <f t="shared" ca="1" si="90"/>
        <v>(abra o arquivo 'Referência 05-2024.xls)</v>
      </c>
      <c r="F552" s="207" t="str">
        <f t="shared" ca="1" si="91"/>
        <v>-</v>
      </c>
      <c r="G552" s="151">
        <f ca="1">IF(RegimeExecucao="Global","",ORÇAMENTO!T552)</f>
        <v>40</v>
      </c>
      <c r="H552" s="151">
        <f ca="1">IF(RegimeExecucao="Global","",ORÇAMENTO!W552)</f>
        <v>0</v>
      </c>
      <c r="I552" s="154">
        <f ca="1">ORÇAMENTO!X552</f>
        <v>0</v>
      </c>
      <c r="J552" s="427">
        <f t="shared" ca="1" si="92"/>
        <v>0</v>
      </c>
      <c r="K552" s="151">
        <f t="shared" ca="1" si="93"/>
        <v>0</v>
      </c>
      <c r="L552" s="428">
        <f t="shared" ca="1" si="94"/>
        <v>0</v>
      </c>
      <c r="M552" s="429">
        <f ca="1">IF($A552="S",VTOTALBM,IF($A552=0,0,ROUND(SomaAgrupBM,15-13*ORÇAMENTO!$AF$11)))</f>
        <v>0</v>
      </c>
      <c r="N552" s="430">
        <f t="shared" ca="1" si="95"/>
        <v>0</v>
      </c>
      <c r="O552" s="154">
        <f ca="1">IF($A552="S",VTOTALBM,IF($A552=0,0,ROUND(SomaAgrupBM,15-13*ORÇAMENTO!$AF$11)))</f>
        <v>0</v>
      </c>
      <c r="Q552" s="431"/>
      <c r="R552" s="432"/>
      <c r="T552" s="146" t="str">
        <f t="shared" ca="1" si="96"/>
        <v/>
      </c>
      <c r="U552" s="206" t="str">
        <f t="shared" ca="1" si="97"/>
        <v/>
      </c>
      <c r="V552" s="207" t="str">
        <f t="shared" ca="1" si="98"/>
        <v/>
      </c>
      <c r="W552" s="634">
        <f ca="1">IF($Y552&gt;0,CHOOSE(MATCH(RegimeExecucao,{"Unitário","Global"},0),IF($A552="S",$Y552/$X552,""),($Y552/$X552)*100),0)</f>
        <v>0</v>
      </c>
      <c r="X552" s="433" t="str">
        <f ca="1">IF($Y552&gt;0,CHOOSE(MATCH(RegimeExecucao,{"Unitário","Global"},0),IF($A552="S",ROUND($H552,ORÇAMENTO!$AF$10),""),ROUND($I552,ORÇAMENTO!$AF$11)),"")</f>
        <v/>
      </c>
      <c r="Y552" s="433">
        <f t="shared" ca="1" si="99"/>
        <v>0</v>
      </c>
      <c r="Z552" s="434"/>
      <c r="AB552" s="431"/>
      <c r="AC552" s="599"/>
      <c r="AD552" s="599"/>
      <c r="AE552" s="599"/>
      <c r="AF552" s="599"/>
      <c r="AG552" s="599"/>
      <c r="AH552" s="599"/>
      <c r="AI552" s="599"/>
      <c r="AJ552" s="599"/>
      <c r="AK552" s="599"/>
      <c r="AL552" s="599"/>
      <c r="AM552" s="432"/>
      <c r="AO552">
        <f ca="1">IF($A552="S",IF(BM!$I552=0,0,CHOOSE(MATCH(RegimeExecucao,{"Global","Unitário"},0),ROUND(ROUND(BM.MEDAcumulado,15-13*BM!$A$9)/100*BM!$I552,15-13*ORÇAMENTO!$AF$11),ROUND(ROUND(BM.MEDAcumulado,15-13*BM!$A$9)*ROUND(BM!$H552,15-13*ORÇAMENTO!$AF$10),15-13*ORÇAMENTO!$AF$11))),IF($A552=0,0,ROUND(SomaAgrupBM,15-13*ORÇAMENTO!$AF$11)))</f>
        <v>0</v>
      </c>
    </row>
    <row r="553" spans="1:41" ht="13.8" x14ac:dyDescent="0.3">
      <c r="A553" t="str">
        <f ca="1">ORÇAMENTO!C553</f>
        <v>S</v>
      </c>
      <c r="B553">
        <f ca="1">ORÇAMENTO!D553</f>
        <v>0</v>
      </c>
      <c r="C553" s="143" t="str">
        <f t="shared" ca="1" si="89"/>
        <v/>
      </c>
      <c r="D553" s="146" t="str">
        <f ca="1">ORÇAMENTO!O553</f>
        <v>-</v>
      </c>
      <c r="E553" s="206" t="str">
        <f t="shared" ca="1" si="90"/>
        <v>(abra o arquivo 'Referência 05-2024.xls)</v>
      </c>
      <c r="F553" s="207" t="str">
        <f t="shared" ca="1" si="91"/>
        <v>-</v>
      </c>
      <c r="G553" s="151">
        <f ca="1">IF(RegimeExecucao="Global","",ORÇAMENTO!T553)</f>
        <v>8</v>
      </c>
      <c r="H553" s="151">
        <f ca="1">IF(RegimeExecucao="Global","",ORÇAMENTO!W553)</f>
        <v>0</v>
      </c>
      <c r="I553" s="154">
        <f ca="1">ORÇAMENTO!X553</f>
        <v>0</v>
      </c>
      <c r="J553" s="427">
        <f t="shared" ca="1" si="92"/>
        <v>0</v>
      </c>
      <c r="K553" s="151">
        <f t="shared" ca="1" si="93"/>
        <v>0</v>
      </c>
      <c r="L553" s="428">
        <f t="shared" ca="1" si="94"/>
        <v>0</v>
      </c>
      <c r="M553" s="429">
        <f ca="1">IF($A553="S",VTOTALBM,IF($A553=0,0,ROUND(SomaAgrupBM,15-13*ORÇAMENTO!$AF$11)))</f>
        <v>0</v>
      </c>
      <c r="N553" s="430">
        <f t="shared" ca="1" si="95"/>
        <v>0</v>
      </c>
      <c r="O553" s="154">
        <f ca="1">IF($A553="S",VTOTALBM,IF($A553=0,0,ROUND(SomaAgrupBM,15-13*ORÇAMENTO!$AF$11)))</f>
        <v>0</v>
      </c>
      <c r="Q553" s="431"/>
      <c r="R553" s="432"/>
      <c r="T553" s="146" t="str">
        <f t="shared" ca="1" si="96"/>
        <v/>
      </c>
      <c r="U553" s="206" t="str">
        <f t="shared" ca="1" si="97"/>
        <v/>
      </c>
      <c r="V553" s="207" t="str">
        <f t="shared" ca="1" si="98"/>
        <v/>
      </c>
      <c r="W553" s="634">
        <f ca="1">IF($Y553&gt;0,CHOOSE(MATCH(RegimeExecucao,{"Unitário","Global"},0),IF($A553="S",$Y553/$X553,""),($Y553/$X553)*100),0)</f>
        <v>0</v>
      </c>
      <c r="X553" s="433" t="str">
        <f ca="1">IF($Y553&gt;0,CHOOSE(MATCH(RegimeExecucao,{"Unitário","Global"},0),IF($A553="S",ROUND($H553,ORÇAMENTO!$AF$10),""),ROUND($I553,ORÇAMENTO!$AF$11)),"")</f>
        <v/>
      </c>
      <c r="Y553" s="433">
        <f t="shared" ca="1" si="99"/>
        <v>0</v>
      </c>
      <c r="Z553" s="434"/>
      <c r="AB553" s="431"/>
      <c r="AC553" s="599"/>
      <c r="AD553" s="599"/>
      <c r="AE553" s="599"/>
      <c r="AF553" s="599"/>
      <c r="AG553" s="599"/>
      <c r="AH553" s="599"/>
      <c r="AI553" s="599"/>
      <c r="AJ553" s="599"/>
      <c r="AK553" s="599"/>
      <c r="AL553" s="599"/>
      <c r="AM553" s="432"/>
      <c r="AO553">
        <f ca="1">IF($A553="S",IF(BM!$I553=0,0,CHOOSE(MATCH(RegimeExecucao,{"Global","Unitário"},0),ROUND(ROUND(BM.MEDAcumulado,15-13*BM!$A$9)/100*BM!$I553,15-13*ORÇAMENTO!$AF$11),ROUND(ROUND(BM.MEDAcumulado,15-13*BM!$A$9)*ROUND(BM!$H553,15-13*ORÇAMENTO!$AF$10),15-13*ORÇAMENTO!$AF$11))),IF($A553=0,0,ROUND(SomaAgrupBM,15-13*ORÇAMENTO!$AF$11)))</f>
        <v>0</v>
      </c>
    </row>
    <row r="554" spans="1:41" ht="13.8" x14ac:dyDescent="0.3">
      <c r="A554">
        <f ca="1">ORÇAMENTO!C554</f>
        <v>3</v>
      </c>
      <c r="B554">
        <f ca="1">ORÇAMENTO!D554</f>
        <v>26</v>
      </c>
      <c r="C554" s="143" t="str">
        <f t="shared" ca="1" si="89"/>
        <v>F</v>
      </c>
      <c r="D554" s="146" t="str">
        <f ca="1">ORÇAMENTO!O554</f>
        <v>1.18.3.</v>
      </c>
      <c r="E554" s="206" t="str">
        <f t="shared" si="90"/>
        <v>ELETRODUTOS E ACESSÓRIOS</v>
      </c>
      <c r="F554" s="207" t="str">
        <f t="shared" ca="1" si="91"/>
        <v>-</v>
      </c>
      <c r="G554" s="151">
        <f ca="1">IF(RegimeExecucao="Global","",ORÇAMENTO!T554)</f>
        <v>0</v>
      </c>
      <c r="H554" s="151">
        <f ca="1">IF(RegimeExecucao="Global","",ORÇAMENTO!W554)</f>
        <v>0</v>
      </c>
      <c r="I554" s="154">
        <f ca="1">ORÇAMENTO!X554</f>
        <v>0</v>
      </c>
      <c r="J554" s="427">
        <f t="shared" ca="1" si="92"/>
        <v>0</v>
      </c>
      <c r="K554" s="151">
        <f t="shared" ca="1" si="93"/>
        <v>0</v>
      </c>
      <c r="L554" s="428">
        <f t="shared" ca="1" si="94"/>
        <v>0</v>
      </c>
      <c r="M554" s="429">
        <f ca="1">IF($A554="S",VTOTALBM,IF($A554=0,0,ROUND(SomaAgrupBM,15-13*ORÇAMENTO!$AF$11)))</f>
        <v>0</v>
      </c>
      <c r="N554" s="430">
        <f t="shared" ca="1" si="95"/>
        <v>0</v>
      </c>
      <c r="O554" s="154">
        <f ca="1">IF($A554="S",VTOTALBM,IF($A554=0,0,ROUND(SomaAgrupBM,15-13*ORÇAMENTO!$AF$11)))</f>
        <v>0</v>
      </c>
      <c r="Q554" s="431"/>
      <c r="R554" s="432"/>
      <c r="T554" s="146" t="str">
        <f t="shared" ca="1" si="96"/>
        <v/>
      </c>
      <c r="U554" s="206" t="str">
        <f t="shared" ca="1" si="97"/>
        <v/>
      </c>
      <c r="V554" s="207" t="str">
        <f t="shared" ca="1" si="98"/>
        <v/>
      </c>
      <c r="W554" s="634">
        <f ca="1">IF($Y554&gt;0,CHOOSE(MATCH(RegimeExecucao,{"Unitário","Global"},0),IF($A554="S",$Y554/$X554,""),($Y554/$X554)*100),0)</f>
        <v>0</v>
      </c>
      <c r="X554" s="433" t="str">
        <f ca="1">IF($Y554&gt;0,CHOOSE(MATCH(RegimeExecucao,{"Unitário","Global"},0),IF($A554="S",ROUND($H554,ORÇAMENTO!$AF$10),""),ROUND($I554,ORÇAMENTO!$AF$11)),"")</f>
        <v/>
      </c>
      <c r="Y554" s="433">
        <f t="shared" ca="1" si="99"/>
        <v>0</v>
      </c>
      <c r="Z554" s="434"/>
      <c r="AB554" s="431"/>
      <c r="AC554" s="599"/>
      <c r="AD554" s="599"/>
      <c r="AE554" s="599"/>
      <c r="AF554" s="599"/>
      <c r="AG554" s="599"/>
      <c r="AH554" s="599"/>
      <c r="AI554" s="599"/>
      <c r="AJ554" s="599"/>
      <c r="AK554" s="599"/>
      <c r="AL554" s="599"/>
      <c r="AM554" s="432"/>
      <c r="AO554">
        <f ca="1">IF($A554="S",IF(BM!$I554=0,0,CHOOSE(MATCH(RegimeExecucao,{"Global","Unitário"},0),ROUND(ROUND(BM.MEDAcumulado,15-13*BM!$A$9)/100*BM!$I554,15-13*ORÇAMENTO!$AF$11),ROUND(ROUND(BM.MEDAcumulado,15-13*BM!$A$9)*ROUND(BM!$H554,15-13*ORÇAMENTO!$AF$10),15-13*ORÇAMENTO!$AF$11))),IF($A554=0,0,ROUND(SomaAgrupBM,15-13*ORÇAMENTO!$AF$11)))</f>
        <v>0</v>
      </c>
    </row>
    <row r="555" spans="1:41" ht="13.8" x14ac:dyDescent="0.3">
      <c r="A555" t="str">
        <f ca="1">ORÇAMENTO!C555</f>
        <v>S</v>
      </c>
      <c r="B555">
        <f ca="1">ORÇAMENTO!D555</f>
        <v>0</v>
      </c>
      <c r="C555" s="143" t="str">
        <f t="shared" ca="1" si="89"/>
        <v/>
      </c>
      <c r="D555" s="146" t="str">
        <f ca="1">ORÇAMENTO!O555</f>
        <v>-</v>
      </c>
      <c r="E555" s="206" t="str">
        <f t="shared" ca="1" si="90"/>
        <v>(abra o arquivo 'Referência 05-2024.xls)</v>
      </c>
      <c r="F555" s="207" t="str">
        <f t="shared" ca="1" si="91"/>
        <v>-</v>
      </c>
      <c r="G555" s="151">
        <f ca="1">IF(RegimeExecucao="Global","",ORÇAMENTO!T555)</f>
        <v>184.3</v>
      </c>
      <c r="H555" s="151">
        <f ca="1">IF(RegimeExecucao="Global","",ORÇAMENTO!W555)</f>
        <v>0</v>
      </c>
      <c r="I555" s="154">
        <f ca="1">ORÇAMENTO!X555</f>
        <v>0</v>
      </c>
      <c r="J555" s="427">
        <f t="shared" ca="1" si="92"/>
        <v>0</v>
      </c>
      <c r="K555" s="151">
        <f t="shared" ca="1" si="93"/>
        <v>0</v>
      </c>
      <c r="L555" s="428">
        <f t="shared" ca="1" si="94"/>
        <v>0</v>
      </c>
      <c r="M555" s="429">
        <f ca="1">IF($A555="S",VTOTALBM,IF($A555=0,0,ROUND(SomaAgrupBM,15-13*ORÇAMENTO!$AF$11)))</f>
        <v>0</v>
      </c>
      <c r="N555" s="430">
        <f t="shared" ca="1" si="95"/>
        <v>0</v>
      </c>
      <c r="O555" s="154">
        <f ca="1">IF($A555="S",VTOTALBM,IF($A555=0,0,ROUND(SomaAgrupBM,15-13*ORÇAMENTO!$AF$11)))</f>
        <v>0</v>
      </c>
      <c r="Q555" s="431"/>
      <c r="R555" s="432"/>
      <c r="T555" s="146" t="str">
        <f t="shared" ca="1" si="96"/>
        <v/>
      </c>
      <c r="U555" s="206" t="str">
        <f t="shared" ca="1" si="97"/>
        <v/>
      </c>
      <c r="V555" s="207" t="str">
        <f t="shared" ca="1" si="98"/>
        <v/>
      </c>
      <c r="W555" s="634">
        <f ca="1">IF($Y555&gt;0,CHOOSE(MATCH(RegimeExecucao,{"Unitário","Global"},0),IF($A555="S",$Y555/$X555,""),($Y555/$X555)*100),0)</f>
        <v>0</v>
      </c>
      <c r="X555" s="433" t="str">
        <f ca="1">IF($Y555&gt;0,CHOOSE(MATCH(RegimeExecucao,{"Unitário","Global"},0),IF($A555="S",ROUND($H555,ORÇAMENTO!$AF$10),""),ROUND($I555,ORÇAMENTO!$AF$11)),"")</f>
        <v/>
      </c>
      <c r="Y555" s="433">
        <f t="shared" ca="1" si="99"/>
        <v>0</v>
      </c>
      <c r="Z555" s="434"/>
      <c r="AB555" s="431"/>
      <c r="AC555" s="599"/>
      <c r="AD555" s="599"/>
      <c r="AE555" s="599"/>
      <c r="AF555" s="599"/>
      <c r="AG555" s="599"/>
      <c r="AH555" s="599"/>
      <c r="AI555" s="599"/>
      <c r="AJ555" s="599"/>
      <c r="AK555" s="599"/>
      <c r="AL555" s="599"/>
      <c r="AM555" s="432"/>
      <c r="AO555">
        <f ca="1">IF($A555="S",IF(BM!$I555=0,0,CHOOSE(MATCH(RegimeExecucao,{"Global","Unitário"},0),ROUND(ROUND(BM.MEDAcumulado,15-13*BM!$A$9)/100*BM!$I555,15-13*ORÇAMENTO!$AF$11),ROUND(ROUND(BM.MEDAcumulado,15-13*BM!$A$9)*ROUND(BM!$H555,15-13*ORÇAMENTO!$AF$10),15-13*ORÇAMENTO!$AF$11))),IF($A555=0,0,ROUND(SomaAgrupBM,15-13*ORÇAMENTO!$AF$11)))</f>
        <v>0</v>
      </c>
    </row>
    <row r="556" spans="1:41" ht="13.8" x14ac:dyDescent="0.3">
      <c r="A556" t="str">
        <f ca="1">ORÇAMENTO!C556</f>
        <v>S</v>
      </c>
      <c r="B556">
        <f ca="1">ORÇAMENTO!D556</f>
        <v>0</v>
      </c>
      <c r="C556" s="143" t="str">
        <f t="shared" ca="1" si="89"/>
        <v/>
      </c>
      <c r="D556" s="146" t="str">
        <f ca="1">ORÇAMENTO!O556</f>
        <v>-</v>
      </c>
      <c r="E556" s="206" t="str">
        <f t="shared" ca="1" si="90"/>
        <v>(abra o arquivo 'Referência 05-2024.xls)</v>
      </c>
      <c r="F556" s="207" t="str">
        <f t="shared" ca="1" si="91"/>
        <v>-</v>
      </c>
      <c r="G556" s="151">
        <f ca="1">IF(RegimeExecucao="Global","",ORÇAMENTO!T556)</f>
        <v>1235.07</v>
      </c>
      <c r="H556" s="151">
        <f ca="1">IF(RegimeExecucao="Global","",ORÇAMENTO!W556)</f>
        <v>0</v>
      </c>
      <c r="I556" s="154">
        <f ca="1">ORÇAMENTO!X556</f>
        <v>0</v>
      </c>
      <c r="J556" s="427">
        <f t="shared" ca="1" si="92"/>
        <v>0</v>
      </c>
      <c r="K556" s="151">
        <f t="shared" ca="1" si="93"/>
        <v>0</v>
      </c>
      <c r="L556" s="428">
        <f t="shared" ca="1" si="94"/>
        <v>0</v>
      </c>
      <c r="M556" s="429">
        <f ca="1">IF($A556="S",VTOTALBM,IF($A556=0,0,ROUND(SomaAgrupBM,15-13*ORÇAMENTO!$AF$11)))</f>
        <v>0</v>
      </c>
      <c r="N556" s="430">
        <f t="shared" ca="1" si="95"/>
        <v>0</v>
      </c>
      <c r="O556" s="154">
        <f ca="1">IF($A556="S",VTOTALBM,IF($A556=0,0,ROUND(SomaAgrupBM,15-13*ORÇAMENTO!$AF$11)))</f>
        <v>0</v>
      </c>
      <c r="Q556" s="431"/>
      <c r="R556" s="432"/>
      <c r="T556" s="146" t="str">
        <f t="shared" ca="1" si="96"/>
        <v/>
      </c>
      <c r="U556" s="206" t="str">
        <f t="shared" ca="1" si="97"/>
        <v/>
      </c>
      <c r="V556" s="207" t="str">
        <f t="shared" ca="1" si="98"/>
        <v/>
      </c>
      <c r="W556" s="634">
        <f ca="1">IF($Y556&gt;0,CHOOSE(MATCH(RegimeExecucao,{"Unitário","Global"},0),IF($A556="S",$Y556/$X556,""),($Y556/$X556)*100),0)</f>
        <v>0</v>
      </c>
      <c r="X556" s="433" t="str">
        <f ca="1">IF($Y556&gt;0,CHOOSE(MATCH(RegimeExecucao,{"Unitário","Global"},0),IF($A556="S",ROUND($H556,ORÇAMENTO!$AF$10),""),ROUND($I556,ORÇAMENTO!$AF$11)),"")</f>
        <v/>
      </c>
      <c r="Y556" s="433">
        <f t="shared" ca="1" si="99"/>
        <v>0</v>
      </c>
      <c r="Z556" s="434"/>
      <c r="AB556" s="431"/>
      <c r="AC556" s="599"/>
      <c r="AD556" s="599"/>
      <c r="AE556" s="599"/>
      <c r="AF556" s="599"/>
      <c r="AG556" s="599"/>
      <c r="AH556" s="599"/>
      <c r="AI556" s="599"/>
      <c r="AJ556" s="599"/>
      <c r="AK556" s="599"/>
      <c r="AL556" s="599"/>
      <c r="AM556" s="432"/>
      <c r="AO556">
        <f ca="1">IF($A556="S",IF(BM!$I556=0,0,CHOOSE(MATCH(RegimeExecucao,{"Global","Unitário"},0),ROUND(ROUND(BM.MEDAcumulado,15-13*BM!$A$9)/100*BM!$I556,15-13*ORÇAMENTO!$AF$11),ROUND(ROUND(BM.MEDAcumulado,15-13*BM!$A$9)*ROUND(BM!$H556,15-13*ORÇAMENTO!$AF$10),15-13*ORÇAMENTO!$AF$11))),IF($A556=0,0,ROUND(SomaAgrupBM,15-13*ORÇAMENTO!$AF$11)))</f>
        <v>0</v>
      </c>
    </row>
    <row r="557" spans="1:41" ht="13.8" x14ac:dyDescent="0.3">
      <c r="A557" t="str">
        <f ca="1">ORÇAMENTO!C557</f>
        <v>S</v>
      </c>
      <c r="B557">
        <f ca="1">ORÇAMENTO!D557</f>
        <v>0</v>
      </c>
      <c r="C557" s="143" t="str">
        <f t="shared" ca="1" si="89"/>
        <v/>
      </c>
      <c r="D557" s="146" t="str">
        <f ca="1">ORÇAMENTO!O557</f>
        <v>-</v>
      </c>
      <c r="E557" s="206" t="str">
        <f t="shared" ca="1" si="90"/>
        <v>(abra o arquivo 'Referência 05-2024.xls)</v>
      </c>
      <c r="F557" s="207" t="str">
        <f t="shared" ca="1" si="91"/>
        <v>-</v>
      </c>
      <c r="G557" s="151">
        <f ca="1">IF(RegimeExecucao="Global","",ORÇAMENTO!T557)</f>
        <v>1.5</v>
      </c>
      <c r="H557" s="151">
        <f ca="1">IF(RegimeExecucao="Global","",ORÇAMENTO!W557)</f>
        <v>0</v>
      </c>
      <c r="I557" s="154">
        <f ca="1">ORÇAMENTO!X557</f>
        <v>0</v>
      </c>
      <c r="J557" s="427">
        <f t="shared" ca="1" si="92"/>
        <v>0</v>
      </c>
      <c r="K557" s="151">
        <f t="shared" ca="1" si="93"/>
        <v>0</v>
      </c>
      <c r="L557" s="428">
        <f t="shared" ca="1" si="94"/>
        <v>0</v>
      </c>
      <c r="M557" s="429">
        <f ca="1">IF($A557="S",VTOTALBM,IF($A557=0,0,ROUND(SomaAgrupBM,15-13*ORÇAMENTO!$AF$11)))</f>
        <v>0</v>
      </c>
      <c r="N557" s="430">
        <f t="shared" ca="1" si="95"/>
        <v>0</v>
      </c>
      <c r="O557" s="154">
        <f ca="1">IF($A557="S",VTOTALBM,IF($A557=0,0,ROUND(SomaAgrupBM,15-13*ORÇAMENTO!$AF$11)))</f>
        <v>0</v>
      </c>
      <c r="Q557" s="431"/>
      <c r="R557" s="432"/>
      <c r="T557" s="146" t="str">
        <f t="shared" ca="1" si="96"/>
        <v/>
      </c>
      <c r="U557" s="206" t="str">
        <f t="shared" ca="1" si="97"/>
        <v/>
      </c>
      <c r="V557" s="207" t="str">
        <f t="shared" ca="1" si="98"/>
        <v/>
      </c>
      <c r="W557" s="634">
        <f ca="1">IF($Y557&gt;0,CHOOSE(MATCH(RegimeExecucao,{"Unitário","Global"},0),IF($A557="S",$Y557/$X557,""),($Y557/$X557)*100),0)</f>
        <v>0</v>
      </c>
      <c r="X557" s="433" t="str">
        <f ca="1">IF($Y557&gt;0,CHOOSE(MATCH(RegimeExecucao,{"Unitário","Global"},0),IF($A557="S",ROUND($H557,ORÇAMENTO!$AF$10),""),ROUND($I557,ORÇAMENTO!$AF$11)),"")</f>
        <v/>
      </c>
      <c r="Y557" s="433">
        <f t="shared" ca="1" si="99"/>
        <v>0</v>
      </c>
      <c r="Z557" s="434"/>
      <c r="AB557" s="431"/>
      <c r="AC557" s="599"/>
      <c r="AD557" s="599"/>
      <c r="AE557" s="599"/>
      <c r="AF557" s="599"/>
      <c r="AG557" s="599"/>
      <c r="AH557" s="599"/>
      <c r="AI557" s="599"/>
      <c r="AJ557" s="599"/>
      <c r="AK557" s="599"/>
      <c r="AL557" s="599"/>
      <c r="AM557" s="432"/>
      <c r="AO557">
        <f ca="1">IF($A557="S",IF(BM!$I557=0,0,CHOOSE(MATCH(RegimeExecucao,{"Global","Unitário"},0),ROUND(ROUND(BM.MEDAcumulado,15-13*BM!$A$9)/100*BM!$I557,15-13*ORÇAMENTO!$AF$11),ROUND(ROUND(BM.MEDAcumulado,15-13*BM!$A$9)*ROUND(BM!$H557,15-13*ORÇAMENTO!$AF$10),15-13*ORÇAMENTO!$AF$11))),IF($A557=0,0,ROUND(SomaAgrupBM,15-13*ORÇAMENTO!$AF$11)))</f>
        <v>0</v>
      </c>
    </row>
    <row r="558" spans="1:41" ht="13.8" x14ac:dyDescent="0.3">
      <c r="A558" t="str">
        <f ca="1">ORÇAMENTO!C558</f>
        <v>S</v>
      </c>
      <c r="B558">
        <f ca="1">ORÇAMENTO!D558</f>
        <v>0</v>
      </c>
      <c r="C558" s="143" t="str">
        <f t="shared" ca="1" si="89"/>
        <v/>
      </c>
      <c r="D558" s="146" t="str">
        <f ca="1">ORÇAMENTO!O558</f>
        <v>-</v>
      </c>
      <c r="E558" s="206" t="str">
        <f t="shared" ca="1" si="90"/>
        <v>(abra o arquivo 'Referência 05-2024.xls)</v>
      </c>
      <c r="F558" s="207" t="str">
        <f t="shared" ca="1" si="91"/>
        <v>-</v>
      </c>
      <c r="G558" s="151">
        <f ca="1">IF(RegimeExecucao="Global","",ORÇAMENTO!T558)</f>
        <v>3</v>
      </c>
      <c r="H558" s="151">
        <f ca="1">IF(RegimeExecucao="Global","",ORÇAMENTO!W558)</f>
        <v>0</v>
      </c>
      <c r="I558" s="154">
        <f ca="1">ORÇAMENTO!X558</f>
        <v>0</v>
      </c>
      <c r="J558" s="427">
        <f t="shared" ca="1" si="92"/>
        <v>0</v>
      </c>
      <c r="K558" s="151">
        <f t="shared" ca="1" si="93"/>
        <v>0</v>
      </c>
      <c r="L558" s="428">
        <f t="shared" ca="1" si="94"/>
        <v>0</v>
      </c>
      <c r="M558" s="429">
        <f ca="1">IF($A558="S",VTOTALBM,IF($A558=0,0,ROUND(SomaAgrupBM,15-13*ORÇAMENTO!$AF$11)))</f>
        <v>0</v>
      </c>
      <c r="N558" s="430">
        <f t="shared" ca="1" si="95"/>
        <v>0</v>
      </c>
      <c r="O558" s="154">
        <f ca="1">IF($A558="S",VTOTALBM,IF($A558=0,0,ROUND(SomaAgrupBM,15-13*ORÇAMENTO!$AF$11)))</f>
        <v>0</v>
      </c>
      <c r="Q558" s="431"/>
      <c r="R558" s="432"/>
      <c r="T558" s="146" t="str">
        <f t="shared" ca="1" si="96"/>
        <v/>
      </c>
      <c r="U558" s="206" t="str">
        <f t="shared" ca="1" si="97"/>
        <v/>
      </c>
      <c r="V558" s="207" t="str">
        <f t="shared" ca="1" si="98"/>
        <v/>
      </c>
      <c r="W558" s="634">
        <f ca="1">IF($Y558&gt;0,CHOOSE(MATCH(RegimeExecucao,{"Unitário","Global"},0),IF($A558="S",$Y558/$X558,""),($Y558/$X558)*100),0)</f>
        <v>0</v>
      </c>
      <c r="X558" s="433" t="str">
        <f ca="1">IF($Y558&gt;0,CHOOSE(MATCH(RegimeExecucao,{"Unitário","Global"},0),IF($A558="S",ROUND($H558,ORÇAMENTO!$AF$10),""),ROUND($I558,ORÇAMENTO!$AF$11)),"")</f>
        <v/>
      </c>
      <c r="Y558" s="433">
        <f t="shared" ca="1" si="99"/>
        <v>0</v>
      </c>
      <c r="Z558" s="434"/>
      <c r="AB558" s="431"/>
      <c r="AC558" s="599"/>
      <c r="AD558" s="599"/>
      <c r="AE558" s="599"/>
      <c r="AF558" s="599"/>
      <c r="AG558" s="599"/>
      <c r="AH558" s="599"/>
      <c r="AI558" s="599"/>
      <c r="AJ558" s="599"/>
      <c r="AK558" s="599"/>
      <c r="AL558" s="599"/>
      <c r="AM558" s="432"/>
      <c r="AO558">
        <f ca="1">IF($A558="S",IF(BM!$I558=0,0,CHOOSE(MATCH(RegimeExecucao,{"Global","Unitário"},0),ROUND(ROUND(BM.MEDAcumulado,15-13*BM!$A$9)/100*BM!$I558,15-13*ORÇAMENTO!$AF$11),ROUND(ROUND(BM.MEDAcumulado,15-13*BM!$A$9)*ROUND(BM!$H558,15-13*ORÇAMENTO!$AF$10),15-13*ORÇAMENTO!$AF$11))),IF($A558=0,0,ROUND(SomaAgrupBM,15-13*ORÇAMENTO!$AF$11)))</f>
        <v>0</v>
      </c>
    </row>
    <row r="559" spans="1:41" ht="13.8" x14ac:dyDescent="0.3">
      <c r="A559" t="str">
        <f ca="1">ORÇAMENTO!C559</f>
        <v>S</v>
      </c>
      <c r="B559">
        <f ca="1">ORÇAMENTO!D559</f>
        <v>0</v>
      </c>
      <c r="C559" s="143" t="str">
        <f t="shared" ca="1" si="89"/>
        <v/>
      </c>
      <c r="D559" s="146" t="str">
        <f ca="1">ORÇAMENTO!O559</f>
        <v>-</v>
      </c>
      <c r="E559" s="206" t="str">
        <f t="shared" ca="1" si="90"/>
        <v>(abra o arquivo 'Referência 05-2024.xls)</v>
      </c>
      <c r="F559" s="207" t="str">
        <f t="shared" ca="1" si="91"/>
        <v>-</v>
      </c>
      <c r="G559" s="151">
        <f ca="1">IF(RegimeExecucao="Global","",ORÇAMENTO!T559)</f>
        <v>59.78</v>
      </c>
      <c r="H559" s="151">
        <f ca="1">IF(RegimeExecucao="Global","",ORÇAMENTO!W559)</f>
        <v>0</v>
      </c>
      <c r="I559" s="154">
        <f ca="1">ORÇAMENTO!X559</f>
        <v>0</v>
      </c>
      <c r="J559" s="427">
        <f t="shared" ca="1" si="92"/>
        <v>0</v>
      </c>
      <c r="K559" s="151">
        <f t="shared" ca="1" si="93"/>
        <v>0</v>
      </c>
      <c r="L559" s="428">
        <f t="shared" ca="1" si="94"/>
        <v>0</v>
      </c>
      <c r="M559" s="429">
        <f ca="1">IF($A559="S",VTOTALBM,IF($A559=0,0,ROUND(SomaAgrupBM,15-13*ORÇAMENTO!$AF$11)))</f>
        <v>0</v>
      </c>
      <c r="N559" s="430">
        <f t="shared" ca="1" si="95"/>
        <v>0</v>
      </c>
      <c r="O559" s="154">
        <f ca="1">IF($A559="S",VTOTALBM,IF($A559=0,0,ROUND(SomaAgrupBM,15-13*ORÇAMENTO!$AF$11)))</f>
        <v>0</v>
      </c>
      <c r="Q559" s="431"/>
      <c r="R559" s="432"/>
      <c r="T559" s="146" t="str">
        <f t="shared" ca="1" si="96"/>
        <v/>
      </c>
      <c r="U559" s="206" t="str">
        <f t="shared" ca="1" si="97"/>
        <v/>
      </c>
      <c r="V559" s="207" t="str">
        <f t="shared" ca="1" si="98"/>
        <v/>
      </c>
      <c r="W559" s="634">
        <f ca="1">IF($Y559&gt;0,CHOOSE(MATCH(RegimeExecucao,{"Unitário","Global"},0),IF($A559="S",$Y559/$X559,""),($Y559/$X559)*100),0)</f>
        <v>0</v>
      </c>
      <c r="X559" s="433" t="str">
        <f ca="1">IF($Y559&gt;0,CHOOSE(MATCH(RegimeExecucao,{"Unitário","Global"},0),IF($A559="S",ROUND($H559,ORÇAMENTO!$AF$10),""),ROUND($I559,ORÇAMENTO!$AF$11)),"")</f>
        <v/>
      </c>
      <c r="Y559" s="433">
        <f t="shared" ca="1" si="99"/>
        <v>0</v>
      </c>
      <c r="Z559" s="434"/>
      <c r="AB559" s="431"/>
      <c r="AC559" s="599"/>
      <c r="AD559" s="599"/>
      <c r="AE559" s="599"/>
      <c r="AF559" s="599"/>
      <c r="AG559" s="599"/>
      <c r="AH559" s="599"/>
      <c r="AI559" s="599"/>
      <c r="AJ559" s="599"/>
      <c r="AK559" s="599"/>
      <c r="AL559" s="599"/>
      <c r="AM559" s="432"/>
      <c r="AO559">
        <f ca="1">IF($A559="S",IF(BM!$I559=0,0,CHOOSE(MATCH(RegimeExecucao,{"Global","Unitário"},0),ROUND(ROUND(BM.MEDAcumulado,15-13*BM!$A$9)/100*BM!$I559,15-13*ORÇAMENTO!$AF$11),ROUND(ROUND(BM.MEDAcumulado,15-13*BM!$A$9)*ROUND(BM!$H559,15-13*ORÇAMENTO!$AF$10),15-13*ORÇAMENTO!$AF$11))),IF($A559=0,0,ROUND(SomaAgrupBM,15-13*ORÇAMENTO!$AF$11)))</f>
        <v>0</v>
      </c>
    </row>
    <row r="560" spans="1:41" ht="13.8" x14ac:dyDescent="0.3">
      <c r="A560" t="str">
        <f ca="1">ORÇAMENTO!C560</f>
        <v>S</v>
      </c>
      <c r="B560">
        <f ca="1">ORÇAMENTO!D560</f>
        <v>0</v>
      </c>
      <c r="C560" s="143" t="str">
        <f t="shared" ca="1" si="89"/>
        <v/>
      </c>
      <c r="D560" s="146" t="str">
        <f ca="1">ORÇAMENTO!O560</f>
        <v>-</v>
      </c>
      <c r="E560" s="206" t="str">
        <f t="shared" ca="1" si="90"/>
        <v>(abra o arquivo 'Referência 05-2024.xls)</v>
      </c>
      <c r="F560" s="207" t="str">
        <f t="shared" ca="1" si="91"/>
        <v>-</v>
      </c>
      <c r="G560" s="151">
        <f ca="1">IF(RegimeExecucao="Global","",ORÇAMENTO!T560)</f>
        <v>51.85</v>
      </c>
      <c r="H560" s="151">
        <f ca="1">IF(RegimeExecucao="Global","",ORÇAMENTO!W560)</f>
        <v>0</v>
      </c>
      <c r="I560" s="154">
        <f ca="1">ORÇAMENTO!X560</f>
        <v>0</v>
      </c>
      <c r="J560" s="427">
        <f t="shared" ca="1" si="92"/>
        <v>0</v>
      </c>
      <c r="K560" s="151">
        <f t="shared" ca="1" si="93"/>
        <v>0</v>
      </c>
      <c r="L560" s="428">
        <f t="shared" ca="1" si="94"/>
        <v>0</v>
      </c>
      <c r="M560" s="429">
        <f ca="1">IF($A560="S",VTOTALBM,IF($A560=0,0,ROUND(SomaAgrupBM,15-13*ORÇAMENTO!$AF$11)))</f>
        <v>0</v>
      </c>
      <c r="N560" s="430">
        <f t="shared" ca="1" si="95"/>
        <v>0</v>
      </c>
      <c r="O560" s="154">
        <f ca="1">IF($A560="S",VTOTALBM,IF($A560=0,0,ROUND(SomaAgrupBM,15-13*ORÇAMENTO!$AF$11)))</f>
        <v>0</v>
      </c>
      <c r="Q560" s="431"/>
      <c r="R560" s="432"/>
      <c r="T560" s="146" t="str">
        <f t="shared" ca="1" si="96"/>
        <v/>
      </c>
      <c r="U560" s="206" t="str">
        <f t="shared" ca="1" si="97"/>
        <v/>
      </c>
      <c r="V560" s="207" t="str">
        <f t="shared" ca="1" si="98"/>
        <v/>
      </c>
      <c r="W560" s="634">
        <f ca="1">IF($Y560&gt;0,CHOOSE(MATCH(RegimeExecucao,{"Unitário","Global"},0),IF($A560="S",$Y560/$X560,""),($Y560/$X560)*100),0)</f>
        <v>0</v>
      </c>
      <c r="X560" s="433" t="str">
        <f ca="1">IF($Y560&gt;0,CHOOSE(MATCH(RegimeExecucao,{"Unitário","Global"},0),IF($A560="S",ROUND($H560,ORÇAMENTO!$AF$10),""),ROUND($I560,ORÇAMENTO!$AF$11)),"")</f>
        <v/>
      </c>
      <c r="Y560" s="433">
        <f t="shared" ca="1" si="99"/>
        <v>0</v>
      </c>
      <c r="Z560" s="434"/>
      <c r="AB560" s="431"/>
      <c r="AC560" s="599"/>
      <c r="AD560" s="599"/>
      <c r="AE560" s="599"/>
      <c r="AF560" s="599"/>
      <c r="AG560" s="599"/>
      <c r="AH560" s="599"/>
      <c r="AI560" s="599"/>
      <c r="AJ560" s="599"/>
      <c r="AK560" s="599"/>
      <c r="AL560" s="599"/>
      <c r="AM560" s="432"/>
      <c r="AO560">
        <f ca="1">IF($A560="S",IF(BM!$I560=0,0,CHOOSE(MATCH(RegimeExecucao,{"Global","Unitário"},0),ROUND(ROUND(BM.MEDAcumulado,15-13*BM!$A$9)/100*BM!$I560,15-13*ORÇAMENTO!$AF$11),ROUND(ROUND(BM.MEDAcumulado,15-13*BM!$A$9)*ROUND(BM!$H560,15-13*ORÇAMENTO!$AF$10),15-13*ORÇAMENTO!$AF$11))),IF($A560=0,0,ROUND(SomaAgrupBM,15-13*ORÇAMENTO!$AF$11)))</f>
        <v>0</v>
      </c>
    </row>
    <row r="561" spans="1:41" ht="13.8" x14ac:dyDescent="0.3">
      <c r="A561" t="str">
        <f ca="1">ORÇAMENTO!C561</f>
        <v>S</v>
      </c>
      <c r="B561">
        <f ca="1">ORÇAMENTO!D561</f>
        <v>0</v>
      </c>
      <c r="C561" s="143" t="str">
        <f t="shared" ca="1" si="89"/>
        <v/>
      </c>
      <c r="D561" s="146" t="str">
        <f ca="1">ORÇAMENTO!O561</f>
        <v>-</v>
      </c>
      <c r="E561" s="206" t="str">
        <f t="shared" ca="1" si="90"/>
        <v>(abra o arquivo 'Referência 05-2024.xls)</v>
      </c>
      <c r="F561" s="207" t="str">
        <f t="shared" ca="1" si="91"/>
        <v>-</v>
      </c>
      <c r="G561" s="151">
        <f ca="1">IF(RegimeExecucao="Global","",ORÇAMENTO!T561)</f>
        <v>132.65</v>
      </c>
      <c r="H561" s="151">
        <f ca="1">IF(RegimeExecucao="Global","",ORÇAMENTO!W561)</f>
        <v>0</v>
      </c>
      <c r="I561" s="154">
        <f ca="1">ORÇAMENTO!X561</f>
        <v>0</v>
      </c>
      <c r="J561" s="427">
        <f t="shared" ca="1" si="92"/>
        <v>0</v>
      </c>
      <c r="K561" s="151">
        <f t="shared" ca="1" si="93"/>
        <v>0</v>
      </c>
      <c r="L561" s="428">
        <f t="shared" ca="1" si="94"/>
        <v>0</v>
      </c>
      <c r="M561" s="429">
        <f ca="1">IF($A561="S",VTOTALBM,IF($A561=0,0,ROUND(SomaAgrupBM,15-13*ORÇAMENTO!$AF$11)))</f>
        <v>0</v>
      </c>
      <c r="N561" s="430">
        <f t="shared" ca="1" si="95"/>
        <v>0</v>
      </c>
      <c r="O561" s="154">
        <f ca="1">IF($A561="S",VTOTALBM,IF($A561=0,0,ROUND(SomaAgrupBM,15-13*ORÇAMENTO!$AF$11)))</f>
        <v>0</v>
      </c>
      <c r="Q561" s="431"/>
      <c r="R561" s="432"/>
      <c r="T561" s="146" t="str">
        <f t="shared" ca="1" si="96"/>
        <v/>
      </c>
      <c r="U561" s="206" t="str">
        <f t="shared" ca="1" si="97"/>
        <v/>
      </c>
      <c r="V561" s="207" t="str">
        <f t="shared" ca="1" si="98"/>
        <v/>
      </c>
      <c r="W561" s="634">
        <f ca="1">IF($Y561&gt;0,CHOOSE(MATCH(RegimeExecucao,{"Unitário","Global"},0),IF($A561="S",$Y561/$X561,""),($Y561/$X561)*100),0)</f>
        <v>0</v>
      </c>
      <c r="X561" s="433" t="str">
        <f ca="1">IF($Y561&gt;0,CHOOSE(MATCH(RegimeExecucao,{"Unitário","Global"},0),IF($A561="S",ROUND($H561,ORÇAMENTO!$AF$10),""),ROUND($I561,ORÇAMENTO!$AF$11)),"")</f>
        <v/>
      </c>
      <c r="Y561" s="433">
        <f t="shared" ca="1" si="99"/>
        <v>0</v>
      </c>
      <c r="Z561" s="434"/>
      <c r="AB561" s="431"/>
      <c r="AC561" s="599"/>
      <c r="AD561" s="599"/>
      <c r="AE561" s="599"/>
      <c r="AF561" s="599"/>
      <c r="AG561" s="599"/>
      <c r="AH561" s="599"/>
      <c r="AI561" s="599"/>
      <c r="AJ561" s="599"/>
      <c r="AK561" s="599"/>
      <c r="AL561" s="599"/>
      <c r="AM561" s="432"/>
      <c r="AO561">
        <f ca="1">IF($A561="S",IF(BM!$I561=0,0,CHOOSE(MATCH(RegimeExecucao,{"Global","Unitário"},0),ROUND(ROUND(BM.MEDAcumulado,15-13*BM!$A$9)/100*BM!$I561,15-13*ORÇAMENTO!$AF$11),ROUND(ROUND(BM.MEDAcumulado,15-13*BM!$A$9)*ROUND(BM!$H561,15-13*ORÇAMENTO!$AF$10),15-13*ORÇAMENTO!$AF$11))),IF($A561=0,0,ROUND(SomaAgrupBM,15-13*ORÇAMENTO!$AF$11)))</f>
        <v>0</v>
      </c>
    </row>
    <row r="562" spans="1:41" ht="13.8" x14ac:dyDescent="0.3">
      <c r="A562" t="str">
        <f ca="1">ORÇAMENTO!C562</f>
        <v>S</v>
      </c>
      <c r="B562">
        <f ca="1">ORÇAMENTO!D562</f>
        <v>0</v>
      </c>
      <c r="C562" s="143" t="str">
        <f t="shared" ca="1" si="89"/>
        <v/>
      </c>
      <c r="D562" s="146" t="str">
        <f ca="1">ORÇAMENTO!O562</f>
        <v>-</v>
      </c>
      <c r="E562" s="206" t="str">
        <f t="shared" ca="1" si="90"/>
        <v>(abra o arquivo 'Referência 05-2024.xls)</v>
      </c>
      <c r="F562" s="207" t="str">
        <f t="shared" ca="1" si="91"/>
        <v>-</v>
      </c>
      <c r="G562" s="151">
        <f ca="1">IF(RegimeExecucao="Global","",ORÇAMENTO!T562)</f>
        <v>42.65</v>
      </c>
      <c r="H562" s="151">
        <f ca="1">IF(RegimeExecucao="Global","",ORÇAMENTO!W562)</f>
        <v>0</v>
      </c>
      <c r="I562" s="154">
        <f ca="1">ORÇAMENTO!X562</f>
        <v>0</v>
      </c>
      <c r="J562" s="427">
        <f t="shared" ca="1" si="92"/>
        <v>0</v>
      </c>
      <c r="K562" s="151">
        <f t="shared" ca="1" si="93"/>
        <v>0</v>
      </c>
      <c r="L562" s="428">
        <f t="shared" ca="1" si="94"/>
        <v>0</v>
      </c>
      <c r="M562" s="429">
        <f ca="1">IF($A562="S",VTOTALBM,IF($A562=0,0,ROUND(SomaAgrupBM,15-13*ORÇAMENTO!$AF$11)))</f>
        <v>0</v>
      </c>
      <c r="N562" s="430">
        <f t="shared" ca="1" si="95"/>
        <v>0</v>
      </c>
      <c r="O562" s="154">
        <f ca="1">IF($A562="S",VTOTALBM,IF($A562=0,0,ROUND(SomaAgrupBM,15-13*ORÇAMENTO!$AF$11)))</f>
        <v>0</v>
      </c>
      <c r="Q562" s="431"/>
      <c r="R562" s="432"/>
      <c r="T562" s="146" t="str">
        <f t="shared" ca="1" si="96"/>
        <v/>
      </c>
      <c r="U562" s="206" t="str">
        <f t="shared" ca="1" si="97"/>
        <v/>
      </c>
      <c r="V562" s="207" t="str">
        <f t="shared" ca="1" si="98"/>
        <v/>
      </c>
      <c r="W562" s="634">
        <f ca="1">IF($Y562&gt;0,CHOOSE(MATCH(RegimeExecucao,{"Unitário","Global"},0),IF($A562="S",$Y562/$X562,""),($Y562/$X562)*100),0)</f>
        <v>0</v>
      </c>
      <c r="X562" s="433" t="str">
        <f ca="1">IF($Y562&gt;0,CHOOSE(MATCH(RegimeExecucao,{"Unitário","Global"},0),IF($A562="S",ROUND($H562,ORÇAMENTO!$AF$10),""),ROUND($I562,ORÇAMENTO!$AF$11)),"")</f>
        <v/>
      </c>
      <c r="Y562" s="433">
        <f t="shared" ca="1" si="99"/>
        <v>0</v>
      </c>
      <c r="Z562" s="434"/>
      <c r="AB562" s="431"/>
      <c r="AC562" s="599"/>
      <c r="AD562" s="599"/>
      <c r="AE562" s="599"/>
      <c r="AF562" s="599"/>
      <c r="AG562" s="599"/>
      <c r="AH562" s="599"/>
      <c r="AI562" s="599"/>
      <c r="AJ562" s="599"/>
      <c r="AK562" s="599"/>
      <c r="AL562" s="599"/>
      <c r="AM562" s="432"/>
      <c r="AO562">
        <f ca="1">IF($A562="S",IF(BM!$I562=0,0,CHOOSE(MATCH(RegimeExecucao,{"Global","Unitário"},0),ROUND(ROUND(BM.MEDAcumulado,15-13*BM!$A$9)/100*BM!$I562,15-13*ORÇAMENTO!$AF$11),ROUND(ROUND(BM.MEDAcumulado,15-13*BM!$A$9)*ROUND(BM!$H562,15-13*ORÇAMENTO!$AF$10),15-13*ORÇAMENTO!$AF$11))),IF($A562=0,0,ROUND(SomaAgrupBM,15-13*ORÇAMENTO!$AF$11)))</f>
        <v>0</v>
      </c>
    </row>
    <row r="563" spans="1:41" ht="13.8" x14ac:dyDescent="0.3">
      <c r="A563" t="str">
        <f ca="1">ORÇAMENTO!C563</f>
        <v>S</v>
      </c>
      <c r="B563">
        <f ca="1">ORÇAMENTO!D563</f>
        <v>0</v>
      </c>
      <c r="C563" s="143" t="str">
        <f t="shared" ca="1" si="89"/>
        <v/>
      </c>
      <c r="D563" s="146" t="str">
        <f ca="1">ORÇAMENTO!O563</f>
        <v>-</v>
      </c>
      <c r="E563" s="206" t="str">
        <f t="shared" ca="1" si="90"/>
        <v>(abra o arquivo 'Referência 05-2024.xls)</v>
      </c>
      <c r="F563" s="207" t="str">
        <f t="shared" ca="1" si="91"/>
        <v>-</v>
      </c>
      <c r="G563" s="151">
        <f ca="1">IF(RegimeExecucao="Global","",ORÇAMENTO!T563)</f>
        <v>650.08000000000004</v>
      </c>
      <c r="H563" s="151">
        <f ca="1">IF(RegimeExecucao="Global","",ORÇAMENTO!W563)</f>
        <v>0</v>
      </c>
      <c r="I563" s="154">
        <f ca="1">ORÇAMENTO!X563</f>
        <v>0</v>
      </c>
      <c r="J563" s="427">
        <f t="shared" ca="1" si="92"/>
        <v>0</v>
      </c>
      <c r="K563" s="151">
        <f t="shared" ca="1" si="93"/>
        <v>0</v>
      </c>
      <c r="L563" s="428">
        <f t="shared" ca="1" si="94"/>
        <v>0</v>
      </c>
      <c r="M563" s="429">
        <f ca="1">IF($A563="S",VTOTALBM,IF($A563=0,0,ROUND(SomaAgrupBM,15-13*ORÇAMENTO!$AF$11)))</f>
        <v>0</v>
      </c>
      <c r="N563" s="430">
        <f t="shared" ca="1" si="95"/>
        <v>0</v>
      </c>
      <c r="O563" s="154">
        <f ca="1">IF($A563="S",VTOTALBM,IF($A563=0,0,ROUND(SomaAgrupBM,15-13*ORÇAMENTO!$AF$11)))</f>
        <v>0</v>
      </c>
      <c r="Q563" s="431"/>
      <c r="R563" s="432"/>
      <c r="T563" s="146" t="str">
        <f t="shared" ca="1" si="96"/>
        <v/>
      </c>
      <c r="U563" s="206" t="str">
        <f t="shared" ca="1" si="97"/>
        <v/>
      </c>
      <c r="V563" s="207" t="str">
        <f t="shared" ca="1" si="98"/>
        <v/>
      </c>
      <c r="W563" s="634">
        <f ca="1">IF($Y563&gt;0,CHOOSE(MATCH(RegimeExecucao,{"Unitário","Global"},0),IF($A563="S",$Y563/$X563,""),($Y563/$X563)*100),0)</f>
        <v>0</v>
      </c>
      <c r="X563" s="433" t="str">
        <f ca="1">IF($Y563&gt;0,CHOOSE(MATCH(RegimeExecucao,{"Unitário","Global"},0),IF($A563="S",ROUND($H563,ORÇAMENTO!$AF$10),""),ROUND($I563,ORÇAMENTO!$AF$11)),"")</f>
        <v/>
      </c>
      <c r="Y563" s="433">
        <f t="shared" ca="1" si="99"/>
        <v>0</v>
      </c>
      <c r="Z563" s="434"/>
      <c r="AB563" s="431"/>
      <c r="AC563" s="599"/>
      <c r="AD563" s="599"/>
      <c r="AE563" s="599"/>
      <c r="AF563" s="599"/>
      <c r="AG563" s="599"/>
      <c r="AH563" s="599"/>
      <c r="AI563" s="599"/>
      <c r="AJ563" s="599"/>
      <c r="AK563" s="599"/>
      <c r="AL563" s="599"/>
      <c r="AM563" s="432"/>
      <c r="AO563">
        <f ca="1">IF($A563="S",IF(BM!$I563=0,0,CHOOSE(MATCH(RegimeExecucao,{"Global","Unitário"},0),ROUND(ROUND(BM.MEDAcumulado,15-13*BM!$A$9)/100*BM!$I563,15-13*ORÇAMENTO!$AF$11),ROUND(ROUND(BM.MEDAcumulado,15-13*BM!$A$9)*ROUND(BM!$H563,15-13*ORÇAMENTO!$AF$10),15-13*ORÇAMENTO!$AF$11))),IF($A563=0,0,ROUND(SomaAgrupBM,15-13*ORÇAMENTO!$AF$11)))</f>
        <v>0</v>
      </c>
    </row>
    <row r="564" spans="1:41" ht="13.8" x14ac:dyDescent="0.3">
      <c r="A564" t="str">
        <f ca="1">ORÇAMENTO!C564</f>
        <v>S</v>
      </c>
      <c r="B564">
        <f ca="1">ORÇAMENTO!D564</f>
        <v>0</v>
      </c>
      <c r="C564" s="143" t="str">
        <f t="shared" ca="1" si="89"/>
        <v/>
      </c>
      <c r="D564" s="146" t="str">
        <f ca="1">ORÇAMENTO!O564</f>
        <v>-</v>
      </c>
      <c r="E564" s="206" t="str">
        <f t="shared" ca="1" si="90"/>
        <v>(abra o arquivo 'Referência 05-2024.xls)</v>
      </c>
      <c r="F564" s="207" t="str">
        <f t="shared" ca="1" si="91"/>
        <v>-</v>
      </c>
      <c r="G564" s="151">
        <f ca="1">IF(RegimeExecucao="Global","",ORÇAMENTO!T564)</f>
        <v>110.6</v>
      </c>
      <c r="H564" s="151">
        <f ca="1">IF(RegimeExecucao="Global","",ORÇAMENTO!W564)</f>
        <v>0</v>
      </c>
      <c r="I564" s="154">
        <f ca="1">ORÇAMENTO!X564</f>
        <v>0</v>
      </c>
      <c r="J564" s="427">
        <f t="shared" ca="1" si="92"/>
        <v>0</v>
      </c>
      <c r="K564" s="151">
        <f t="shared" ca="1" si="93"/>
        <v>0</v>
      </c>
      <c r="L564" s="428">
        <f t="shared" ca="1" si="94"/>
        <v>0</v>
      </c>
      <c r="M564" s="429">
        <f ca="1">IF($A564="S",VTOTALBM,IF($A564=0,0,ROUND(SomaAgrupBM,15-13*ORÇAMENTO!$AF$11)))</f>
        <v>0</v>
      </c>
      <c r="N564" s="430">
        <f t="shared" ca="1" si="95"/>
        <v>0</v>
      </c>
      <c r="O564" s="154">
        <f ca="1">IF($A564="S",VTOTALBM,IF($A564=0,0,ROUND(SomaAgrupBM,15-13*ORÇAMENTO!$AF$11)))</f>
        <v>0</v>
      </c>
      <c r="Q564" s="431"/>
      <c r="R564" s="432"/>
      <c r="T564" s="146" t="str">
        <f t="shared" ca="1" si="96"/>
        <v/>
      </c>
      <c r="U564" s="206" t="str">
        <f t="shared" ca="1" si="97"/>
        <v/>
      </c>
      <c r="V564" s="207" t="str">
        <f t="shared" ca="1" si="98"/>
        <v/>
      </c>
      <c r="W564" s="634">
        <f ca="1">IF($Y564&gt;0,CHOOSE(MATCH(RegimeExecucao,{"Unitário","Global"},0),IF($A564="S",$Y564/$X564,""),($Y564/$X564)*100),0)</f>
        <v>0</v>
      </c>
      <c r="X564" s="433" t="str">
        <f ca="1">IF($Y564&gt;0,CHOOSE(MATCH(RegimeExecucao,{"Unitário","Global"},0),IF($A564="S",ROUND($H564,ORÇAMENTO!$AF$10),""),ROUND($I564,ORÇAMENTO!$AF$11)),"")</f>
        <v/>
      </c>
      <c r="Y564" s="433">
        <f t="shared" ca="1" si="99"/>
        <v>0</v>
      </c>
      <c r="Z564" s="434"/>
      <c r="AB564" s="431"/>
      <c r="AC564" s="599"/>
      <c r="AD564" s="599"/>
      <c r="AE564" s="599"/>
      <c r="AF564" s="599"/>
      <c r="AG564" s="599"/>
      <c r="AH564" s="599"/>
      <c r="AI564" s="599"/>
      <c r="AJ564" s="599"/>
      <c r="AK564" s="599"/>
      <c r="AL564" s="599"/>
      <c r="AM564" s="432"/>
      <c r="AO564">
        <f ca="1">IF($A564="S",IF(BM!$I564=0,0,CHOOSE(MATCH(RegimeExecucao,{"Global","Unitário"},0),ROUND(ROUND(BM.MEDAcumulado,15-13*BM!$A$9)/100*BM!$I564,15-13*ORÇAMENTO!$AF$11),ROUND(ROUND(BM.MEDAcumulado,15-13*BM!$A$9)*ROUND(BM!$H564,15-13*ORÇAMENTO!$AF$10),15-13*ORÇAMENTO!$AF$11))),IF($A564=0,0,ROUND(SomaAgrupBM,15-13*ORÇAMENTO!$AF$11)))</f>
        <v>0</v>
      </c>
    </row>
    <row r="565" spans="1:41" ht="13.8" x14ac:dyDescent="0.3">
      <c r="A565" t="str">
        <f ca="1">ORÇAMENTO!C565</f>
        <v>S</v>
      </c>
      <c r="B565">
        <f ca="1">ORÇAMENTO!D565</f>
        <v>0</v>
      </c>
      <c r="C565" s="143" t="str">
        <f t="shared" ca="1" si="89"/>
        <v/>
      </c>
      <c r="D565" s="146" t="str">
        <f ca="1">ORÇAMENTO!O565</f>
        <v>-</v>
      </c>
      <c r="E565" s="206" t="str">
        <f t="shared" ca="1" si="90"/>
        <v>(abra o arquivo 'Referência 05-2024.xls)</v>
      </c>
      <c r="F565" s="207" t="str">
        <f t="shared" ca="1" si="91"/>
        <v>-</v>
      </c>
      <c r="G565" s="151">
        <f ca="1">IF(RegimeExecucao="Global","",ORÇAMENTO!T565)</f>
        <v>7</v>
      </c>
      <c r="H565" s="151">
        <f ca="1">IF(RegimeExecucao="Global","",ORÇAMENTO!W565)</f>
        <v>0</v>
      </c>
      <c r="I565" s="154">
        <f ca="1">ORÇAMENTO!X565</f>
        <v>0</v>
      </c>
      <c r="J565" s="427">
        <f t="shared" ca="1" si="92"/>
        <v>0</v>
      </c>
      <c r="K565" s="151">
        <f t="shared" ca="1" si="93"/>
        <v>0</v>
      </c>
      <c r="L565" s="428">
        <f t="shared" ca="1" si="94"/>
        <v>0</v>
      </c>
      <c r="M565" s="429">
        <f ca="1">IF($A565="S",VTOTALBM,IF($A565=0,0,ROUND(SomaAgrupBM,15-13*ORÇAMENTO!$AF$11)))</f>
        <v>0</v>
      </c>
      <c r="N565" s="430">
        <f t="shared" ca="1" si="95"/>
        <v>0</v>
      </c>
      <c r="O565" s="154">
        <f ca="1">IF($A565="S",VTOTALBM,IF($A565=0,0,ROUND(SomaAgrupBM,15-13*ORÇAMENTO!$AF$11)))</f>
        <v>0</v>
      </c>
      <c r="Q565" s="431"/>
      <c r="R565" s="432"/>
      <c r="T565" s="146" t="str">
        <f t="shared" ca="1" si="96"/>
        <v/>
      </c>
      <c r="U565" s="206" t="str">
        <f t="shared" ca="1" si="97"/>
        <v/>
      </c>
      <c r="V565" s="207" t="str">
        <f t="shared" ca="1" si="98"/>
        <v/>
      </c>
      <c r="W565" s="634">
        <f ca="1">IF($Y565&gt;0,CHOOSE(MATCH(RegimeExecucao,{"Unitário","Global"},0),IF($A565="S",$Y565/$X565,""),($Y565/$X565)*100),0)</f>
        <v>0</v>
      </c>
      <c r="X565" s="433" t="str">
        <f ca="1">IF($Y565&gt;0,CHOOSE(MATCH(RegimeExecucao,{"Unitário","Global"},0),IF($A565="S",ROUND($H565,ORÇAMENTO!$AF$10),""),ROUND($I565,ORÇAMENTO!$AF$11)),"")</f>
        <v/>
      </c>
      <c r="Y565" s="433">
        <f t="shared" ca="1" si="99"/>
        <v>0</v>
      </c>
      <c r="Z565" s="434"/>
      <c r="AB565" s="431"/>
      <c r="AC565" s="599"/>
      <c r="AD565" s="599"/>
      <c r="AE565" s="599"/>
      <c r="AF565" s="599"/>
      <c r="AG565" s="599"/>
      <c r="AH565" s="599"/>
      <c r="AI565" s="599"/>
      <c r="AJ565" s="599"/>
      <c r="AK565" s="599"/>
      <c r="AL565" s="599"/>
      <c r="AM565" s="432"/>
      <c r="AO565">
        <f ca="1">IF($A565="S",IF(BM!$I565=0,0,CHOOSE(MATCH(RegimeExecucao,{"Global","Unitário"},0),ROUND(ROUND(BM.MEDAcumulado,15-13*BM!$A$9)/100*BM!$I565,15-13*ORÇAMENTO!$AF$11),ROUND(ROUND(BM.MEDAcumulado,15-13*BM!$A$9)*ROUND(BM!$H565,15-13*ORÇAMENTO!$AF$10),15-13*ORÇAMENTO!$AF$11))),IF($A565=0,0,ROUND(SomaAgrupBM,15-13*ORÇAMENTO!$AF$11)))</f>
        <v>0</v>
      </c>
    </row>
    <row r="566" spans="1:41" ht="13.8" x14ac:dyDescent="0.3">
      <c r="A566" t="str">
        <f ca="1">ORÇAMENTO!C566</f>
        <v>S</v>
      </c>
      <c r="B566">
        <f ca="1">ORÇAMENTO!D566</f>
        <v>0</v>
      </c>
      <c r="C566" s="143" t="str">
        <f t="shared" ca="1" si="89"/>
        <v/>
      </c>
      <c r="D566" s="146" t="str">
        <f ca="1">ORÇAMENTO!O566</f>
        <v>-</v>
      </c>
      <c r="E566" s="206" t="str">
        <f t="shared" ca="1" si="90"/>
        <v>(abra o arquivo 'Referência 05-2024.xls)</v>
      </c>
      <c r="F566" s="207" t="str">
        <f t="shared" ca="1" si="91"/>
        <v>-</v>
      </c>
      <c r="G566" s="151">
        <f ca="1">IF(RegimeExecucao="Global","",ORÇAMENTO!T566)</f>
        <v>10</v>
      </c>
      <c r="H566" s="151">
        <f ca="1">IF(RegimeExecucao="Global","",ORÇAMENTO!W566)</f>
        <v>0</v>
      </c>
      <c r="I566" s="154">
        <f ca="1">ORÇAMENTO!X566</f>
        <v>0</v>
      </c>
      <c r="J566" s="427">
        <f t="shared" ca="1" si="92"/>
        <v>0</v>
      </c>
      <c r="K566" s="151">
        <f t="shared" ca="1" si="93"/>
        <v>0</v>
      </c>
      <c r="L566" s="428">
        <f t="shared" ca="1" si="94"/>
        <v>0</v>
      </c>
      <c r="M566" s="429">
        <f ca="1">IF($A566="S",VTOTALBM,IF($A566=0,0,ROUND(SomaAgrupBM,15-13*ORÇAMENTO!$AF$11)))</f>
        <v>0</v>
      </c>
      <c r="N566" s="430">
        <f t="shared" ca="1" si="95"/>
        <v>0</v>
      </c>
      <c r="O566" s="154">
        <f ca="1">IF($A566="S",VTOTALBM,IF($A566=0,0,ROUND(SomaAgrupBM,15-13*ORÇAMENTO!$AF$11)))</f>
        <v>0</v>
      </c>
      <c r="Q566" s="431"/>
      <c r="R566" s="432"/>
      <c r="T566" s="146" t="str">
        <f t="shared" ca="1" si="96"/>
        <v/>
      </c>
      <c r="U566" s="206" t="str">
        <f t="shared" ca="1" si="97"/>
        <v/>
      </c>
      <c r="V566" s="207" t="str">
        <f t="shared" ca="1" si="98"/>
        <v/>
      </c>
      <c r="W566" s="634">
        <f ca="1">IF($Y566&gt;0,CHOOSE(MATCH(RegimeExecucao,{"Unitário","Global"},0),IF($A566="S",$Y566/$X566,""),($Y566/$X566)*100),0)</f>
        <v>0</v>
      </c>
      <c r="X566" s="433" t="str">
        <f ca="1">IF($Y566&gt;0,CHOOSE(MATCH(RegimeExecucao,{"Unitário","Global"},0),IF($A566="S",ROUND($H566,ORÇAMENTO!$AF$10),""),ROUND($I566,ORÇAMENTO!$AF$11)),"")</f>
        <v/>
      </c>
      <c r="Y566" s="433">
        <f t="shared" ca="1" si="99"/>
        <v>0</v>
      </c>
      <c r="Z566" s="434"/>
      <c r="AB566" s="431"/>
      <c r="AC566" s="599"/>
      <c r="AD566" s="599"/>
      <c r="AE566" s="599"/>
      <c r="AF566" s="599"/>
      <c r="AG566" s="599"/>
      <c r="AH566" s="599"/>
      <c r="AI566" s="599"/>
      <c r="AJ566" s="599"/>
      <c r="AK566" s="599"/>
      <c r="AL566" s="599"/>
      <c r="AM566" s="432"/>
      <c r="AO566">
        <f ca="1">IF($A566="S",IF(BM!$I566=0,0,CHOOSE(MATCH(RegimeExecucao,{"Global","Unitário"},0),ROUND(ROUND(BM.MEDAcumulado,15-13*BM!$A$9)/100*BM!$I566,15-13*ORÇAMENTO!$AF$11),ROUND(ROUND(BM.MEDAcumulado,15-13*BM!$A$9)*ROUND(BM!$H566,15-13*ORÇAMENTO!$AF$10),15-13*ORÇAMENTO!$AF$11))),IF($A566=0,0,ROUND(SomaAgrupBM,15-13*ORÇAMENTO!$AF$11)))</f>
        <v>0</v>
      </c>
    </row>
    <row r="567" spans="1:41" ht="13.8" x14ac:dyDescent="0.3">
      <c r="A567" t="str">
        <f ca="1">ORÇAMENTO!C567</f>
        <v>S</v>
      </c>
      <c r="B567">
        <f ca="1">ORÇAMENTO!D567</f>
        <v>0</v>
      </c>
      <c r="C567" s="143" t="str">
        <f t="shared" ca="1" si="89"/>
        <v/>
      </c>
      <c r="D567" s="146" t="str">
        <f ca="1">ORÇAMENTO!O567</f>
        <v>-</v>
      </c>
      <c r="E567" s="206" t="str">
        <f t="shared" ca="1" si="90"/>
        <v>(abra o arquivo 'Referência 05-2024.xls)</v>
      </c>
      <c r="F567" s="207" t="str">
        <f t="shared" ca="1" si="91"/>
        <v>-</v>
      </c>
      <c r="G567" s="151">
        <f ca="1">IF(RegimeExecucao="Global","",ORÇAMENTO!T567)</f>
        <v>1</v>
      </c>
      <c r="H567" s="151">
        <f ca="1">IF(RegimeExecucao="Global","",ORÇAMENTO!W567)</f>
        <v>0</v>
      </c>
      <c r="I567" s="154">
        <f ca="1">ORÇAMENTO!X567</f>
        <v>0</v>
      </c>
      <c r="J567" s="427">
        <f t="shared" ca="1" si="92"/>
        <v>0</v>
      </c>
      <c r="K567" s="151">
        <f t="shared" ca="1" si="93"/>
        <v>0</v>
      </c>
      <c r="L567" s="428">
        <f t="shared" ca="1" si="94"/>
        <v>0</v>
      </c>
      <c r="M567" s="429">
        <f ca="1">IF($A567="S",VTOTALBM,IF($A567=0,0,ROUND(SomaAgrupBM,15-13*ORÇAMENTO!$AF$11)))</f>
        <v>0</v>
      </c>
      <c r="N567" s="430">
        <f t="shared" ca="1" si="95"/>
        <v>0</v>
      </c>
      <c r="O567" s="154">
        <f ca="1">IF($A567="S",VTOTALBM,IF($A567=0,0,ROUND(SomaAgrupBM,15-13*ORÇAMENTO!$AF$11)))</f>
        <v>0</v>
      </c>
      <c r="Q567" s="431"/>
      <c r="R567" s="432"/>
      <c r="T567" s="146" t="str">
        <f t="shared" ca="1" si="96"/>
        <v/>
      </c>
      <c r="U567" s="206" t="str">
        <f t="shared" ca="1" si="97"/>
        <v/>
      </c>
      <c r="V567" s="207" t="str">
        <f t="shared" ca="1" si="98"/>
        <v/>
      </c>
      <c r="W567" s="634">
        <f ca="1">IF($Y567&gt;0,CHOOSE(MATCH(RegimeExecucao,{"Unitário","Global"},0),IF($A567="S",$Y567/$X567,""),($Y567/$X567)*100),0)</f>
        <v>0</v>
      </c>
      <c r="X567" s="433" t="str">
        <f ca="1">IF($Y567&gt;0,CHOOSE(MATCH(RegimeExecucao,{"Unitário","Global"},0),IF($A567="S",ROUND($H567,ORÇAMENTO!$AF$10),""),ROUND($I567,ORÇAMENTO!$AF$11)),"")</f>
        <v/>
      </c>
      <c r="Y567" s="433">
        <f t="shared" ca="1" si="99"/>
        <v>0</v>
      </c>
      <c r="Z567" s="434"/>
      <c r="AB567" s="431"/>
      <c r="AC567" s="599"/>
      <c r="AD567" s="599"/>
      <c r="AE567" s="599"/>
      <c r="AF567" s="599"/>
      <c r="AG567" s="599"/>
      <c r="AH567" s="599"/>
      <c r="AI567" s="599"/>
      <c r="AJ567" s="599"/>
      <c r="AK567" s="599"/>
      <c r="AL567" s="599"/>
      <c r="AM567" s="432"/>
      <c r="AO567">
        <f ca="1">IF($A567="S",IF(BM!$I567=0,0,CHOOSE(MATCH(RegimeExecucao,{"Global","Unitário"},0),ROUND(ROUND(BM.MEDAcumulado,15-13*BM!$A$9)/100*BM!$I567,15-13*ORÇAMENTO!$AF$11),ROUND(ROUND(BM.MEDAcumulado,15-13*BM!$A$9)*ROUND(BM!$H567,15-13*ORÇAMENTO!$AF$10),15-13*ORÇAMENTO!$AF$11))),IF($A567=0,0,ROUND(SomaAgrupBM,15-13*ORÇAMENTO!$AF$11)))</f>
        <v>0</v>
      </c>
    </row>
    <row r="568" spans="1:41" ht="13.8" x14ac:dyDescent="0.3">
      <c r="A568" t="str">
        <f ca="1">ORÇAMENTO!C568</f>
        <v>S</v>
      </c>
      <c r="B568">
        <f ca="1">ORÇAMENTO!D568</f>
        <v>0</v>
      </c>
      <c r="C568" s="143" t="str">
        <f t="shared" ca="1" si="89"/>
        <v/>
      </c>
      <c r="D568" s="146" t="str">
        <f ca="1">ORÇAMENTO!O568</f>
        <v>-</v>
      </c>
      <c r="E568" s="206" t="str">
        <f t="shared" ca="1" si="90"/>
        <v>(abra o arquivo 'Referência 05-2024.xls)</v>
      </c>
      <c r="F568" s="207" t="str">
        <f t="shared" ca="1" si="91"/>
        <v>-</v>
      </c>
      <c r="G568" s="151">
        <f ca="1">IF(RegimeExecucao="Global","",ORÇAMENTO!T568)</f>
        <v>1</v>
      </c>
      <c r="H568" s="151">
        <f ca="1">IF(RegimeExecucao="Global","",ORÇAMENTO!W568)</f>
        <v>0</v>
      </c>
      <c r="I568" s="154">
        <f ca="1">ORÇAMENTO!X568</f>
        <v>0</v>
      </c>
      <c r="J568" s="427">
        <f t="shared" ca="1" si="92"/>
        <v>0</v>
      </c>
      <c r="K568" s="151">
        <f t="shared" ca="1" si="93"/>
        <v>0</v>
      </c>
      <c r="L568" s="428">
        <f t="shared" ca="1" si="94"/>
        <v>0</v>
      </c>
      <c r="M568" s="429">
        <f ca="1">IF($A568="S",VTOTALBM,IF($A568=0,0,ROUND(SomaAgrupBM,15-13*ORÇAMENTO!$AF$11)))</f>
        <v>0</v>
      </c>
      <c r="N568" s="430">
        <f t="shared" ca="1" si="95"/>
        <v>0</v>
      </c>
      <c r="O568" s="154">
        <f ca="1">IF($A568="S",VTOTALBM,IF($A568=0,0,ROUND(SomaAgrupBM,15-13*ORÇAMENTO!$AF$11)))</f>
        <v>0</v>
      </c>
      <c r="Q568" s="431"/>
      <c r="R568" s="432"/>
      <c r="T568" s="146" t="str">
        <f t="shared" ca="1" si="96"/>
        <v/>
      </c>
      <c r="U568" s="206" t="str">
        <f t="shared" ca="1" si="97"/>
        <v/>
      </c>
      <c r="V568" s="207" t="str">
        <f t="shared" ca="1" si="98"/>
        <v/>
      </c>
      <c r="W568" s="634">
        <f ca="1">IF($Y568&gt;0,CHOOSE(MATCH(RegimeExecucao,{"Unitário","Global"},0),IF($A568="S",$Y568/$X568,""),($Y568/$X568)*100),0)</f>
        <v>0</v>
      </c>
      <c r="X568" s="433" t="str">
        <f ca="1">IF($Y568&gt;0,CHOOSE(MATCH(RegimeExecucao,{"Unitário","Global"},0),IF($A568="S",ROUND($H568,ORÇAMENTO!$AF$10),""),ROUND($I568,ORÇAMENTO!$AF$11)),"")</f>
        <v/>
      </c>
      <c r="Y568" s="433">
        <f t="shared" ca="1" si="99"/>
        <v>0</v>
      </c>
      <c r="Z568" s="434"/>
      <c r="AB568" s="431"/>
      <c r="AC568" s="599"/>
      <c r="AD568" s="599"/>
      <c r="AE568" s="599"/>
      <c r="AF568" s="599"/>
      <c r="AG568" s="599"/>
      <c r="AH568" s="599"/>
      <c r="AI568" s="599"/>
      <c r="AJ568" s="599"/>
      <c r="AK568" s="599"/>
      <c r="AL568" s="599"/>
      <c r="AM568" s="432"/>
      <c r="AO568">
        <f ca="1">IF($A568="S",IF(BM!$I568=0,0,CHOOSE(MATCH(RegimeExecucao,{"Global","Unitário"},0),ROUND(ROUND(BM.MEDAcumulado,15-13*BM!$A$9)/100*BM!$I568,15-13*ORÇAMENTO!$AF$11),ROUND(ROUND(BM.MEDAcumulado,15-13*BM!$A$9)*ROUND(BM!$H568,15-13*ORÇAMENTO!$AF$10),15-13*ORÇAMENTO!$AF$11))),IF($A568=0,0,ROUND(SomaAgrupBM,15-13*ORÇAMENTO!$AF$11)))</f>
        <v>0</v>
      </c>
    </row>
    <row r="569" spans="1:41" ht="13.8" x14ac:dyDescent="0.3">
      <c r="A569" t="str">
        <f ca="1">ORÇAMENTO!C569</f>
        <v>S</v>
      </c>
      <c r="B569">
        <f ca="1">ORÇAMENTO!D569</f>
        <v>0</v>
      </c>
      <c r="C569" s="143" t="str">
        <f t="shared" ca="1" si="89"/>
        <v/>
      </c>
      <c r="D569" s="146" t="str">
        <f ca="1">ORÇAMENTO!O569</f>
        <v>-</v>
      </c>
      <c r="E569" s="206" t="str">
        <f t="shared" ca="1" si="90"/>
        <v>(abra o arquivo 'Referência 05-2024.xls)</v>
      </c>
      <c r="F569" s="207" t="str">
        <f t="shared" ca="1" si="91"/>
        <v>-</v>
      </c>
      <c r="G569" s="151">
        <f ca="1">IF(RegimeExecucao="Global","",ORÇAMENTO!T569)</f>
        <v>14</v>
      </c>
      <c r="H569" s="151">
        <f ca="1">IF(RegimeExecucao="Global","",ORÇAMENTO!W569)</f>
        <v>0</v>
      </c>
      <c r="I569" s="154">
        <f ca="1">ORÇAMENTO!X569</f>
        <v>0</v>
      </c>
      <c r="J569" s="427">
        <f t="shared" ca="1" si="92"/>
        <v>0</v>
      </c>
      <c r="K569" s="151">
        <f t="shared" ca="1" si="93"/>
        <v>0</v>
      </c>
      <c r="L569" s="428">
        <f t="shared" ca="1" si="94"/>
        <v>0</v>
      </c>
      <c r="M569" s="429">
        <f ca="1">IF($A569="S",VTOTALBM,IF($A569=0,0,ROUND(SomaAgrupBM,15-13*ORÇAMENTO!$AF$11)))</f>
        <v>0</v>
      </c>
      <c r="N569" s="430">
        <f t="shared" ca="1" si="95"/>
        <v>0</v>
      </c>
      <c r="O569" s="154">
        <f ca="1">IF($A569="S",VTOTALBM,IF($A569=0,0,ROUND(SomaAgrupBM,15-13*ORÇAMENTO!$AF$11)))</f>
        <v>0</v>
      </c>
      <c r="Q569" s="431"/>
      <c r="R569" s="432"/>
      <c r="T569" s="146" t="str">
        <f t="shared" ca="1" si="96"/>
        <v/>
      </c>
      <c r="U569" s="206" t="str">
        <f t="shared" ca="1" si="97"/>
        <v/>
      </c>
      <c r="V569" s="207" t="str">
        <f t="shared" ca="1" si="98"/>
        <v/>
      </c>
      <c r="W569" s="634">
        <f ca="1">IF($Y569&gt;0,CHOOSE(MATCH(RegimeExecucao,{"Unitário","Global"},0),IF($A569="S",$Y569/$X569,""),($Y569/$X569)*100),0)</f>
        <v>0</v>
      </c>
      <c r="X569" s="433" t="str">
        <f ca="1">IF($Y569&gt;0,CHOOSE(MATCH(RegimeExecucao,{"Unitário","Global"},0),IF($A569="S",ROUND($H569,ORÇAMENTO!$AF$10),""),ROUND($I569,ORÇAMENTO!$AF$11)),"")</f>
        <v/>
      </c>
      <c r="Y569" s="433">
        <f t="shared" ca="1" si="99"/>
        <v>0</v>
      </c>
      <c r="Z569" s="434"/>
      <c r="AB569" s="431"/>
      <c r="AC569" s="599"/>
      <c r="AD569" s="599"/>
      <c r="AE569" s="599"/>
      <c r="AF569" s="599"/>
      <c r="AG569" s="599"/>
      <c r="AH569" s="599"/>
      <c r="AI569" s="599"/>
      <c r="AJ569" s="599"/>
      <c r="AK569" s="599"/>
      <c r="AL569" s="599"/>
      <c r="AM569" s="432"/>
      <c r="AO569">
        <f ca="1">IF($A569="S",IF(BM!$I569=0,0,CHOOSE(MATCH(RegimeExecucao,{"Global","Unitário"},0),ROUND(ROUND(BM.MEDAcumulado,15-13*BM!$A$9)/100*BM!$I569,15-13*ORÇAMENTO!$AF$11),ROUND(ROUND(BM.MEDAcumulado,15-13*BM!$A$9)*ROUND(BM!$H569,15-13*ORÇAMENTO!$AF$10),15-13*ORÇAMENTO!$AF$11))),IF($A569=0,0,ROUND(SomaAgrupBM,15-13*ORÇAMENTO!$AF$11)))</f>
        <v>0</v>
      </c>
    </row>
    <row r="570" spans="1:41" ht="13.8" x14ac:dyDescent="0.3">
      <c r="A570" t="str">
        <f ca="1">ORÇAMENTO!C570</f>
        <v>S</v>
      </c>
      <c r="B570">
        <f ca="1">ORÇAMENTO!D570</f>
        <v>0</v>
      </c>
      <c r="C570" s="143" t="str">
        <f t="shared" ca="1" si="89"/>
        <v/>
      </c>
      <c r="D570" s="146" t="str">
        <f ca="1">ORÇAMENTO!O570</f>
        <v>-</v>
      </c>
      <c r="E570" s="206" t="str">
        <f t="shared" ca="1" si="90"/>
        <v>(abra o arquivo 'Referência 05-2024.xls)</v>
      </c>
      <c r="F570" s="207" t="str">
        <f t="shared" ca="1" si="91"/>
        <v>-</v>
      </c>
      <c r="G570" s="151">
        <f ca="1">IF(RegimeExecucao="Global","",ORÇAMENTO!T570)</f>
        <v>45</v>
      </c>
      <c r="H570" s="151">
        <f ca="1">IF(RegimeExecucao="Global","",ORÇAMENTO!W570)</f>
        <v>0</v>
      </c>
      <c r="I570" s="154">
        <f ca="1">ORÇAMENTO!X570</f>
        <v>0</v>
      </c>
      <c r="J570" s="427">
        <f t="shared" ca="1" si="92"/>
        <v>0</v>
      </c>
      <c r="K570" s="151">
        <f t="shared" ca="1" si="93"/>
        <v>0</v>
      </c>
      <c r="L570" s="428">
        <f t="shared" ca="1" si="94"/>
        <v>0</v>
      </c>
      <c r="M570" s="429">
        <f ca="1">IF($A570="S",VTOTALBM,IF($A570=0,0,ROUND(SomaAgrupBM,15-13*ORÇAMENTO!$AF$11)))</f>
        <v>0</v>
      </c>
      <c r="N570" s="430">
        <f t="shared" ca="1" si="95"/>
        <v>0</v>
      </c>
      <c r="O570" s="154">
        <f ca="1">IF($A570="S",VTOTALBM,IF($A570=0,0,ROUND(SomaAgrupBM,15-13*ORÇAMENTO!$AF$11)))</f>
        <v>0</v>
      </c>
      <c r="Q570" s="431"/>
      <c r="R570" s="432"/>
      <c r="T570" s="146" t="str">
        <f t="shared" ca="1" si="96"/>
        <v/>
      </c>
      <c r="U570" s="206" t="str">
        <f t="shared" ca="1" si="97"/>
        <v/>
      </c>
      <c r="V570" s="207" t="str">
        <f t="shared" ca="1" si="98"/>
        <v/>
      </c>
      <c r="W570" s="634">
        <f ca="1">IF($Y570&gt;0,CHOOSE(MATCH(RegimeExecucao,{"Unitário","Global"},0),IF($A570="S",$Y570/$X570,""),($Y570/$X570)*100),0)</f>
        <v>0</v>
      </c>
      <c r="X570" s="433" t="str">
        <f ca="1">IF($Y570&gt;0,CHOOSE(MATCH(RegimeExecucao,{"Unitário","Global"},0),IF($A570="S",ROUND($H570,ORÇAMENTO!$AF$10),""),ROUND($I570,ORÇAMENTO!$AF$11)),"")</f>
        <v/>
      </c>
      <c r="Y570" s="433">
        <f t="shared" ca="1" si="99"/>
        <v>0</v>
      </c>
      <c r="Z570" s="434"/>
      <c r="AB570" s="431"/>
      <c r="AC570" s="599"/>
      <c r="AD570" s="599"/>
      <c r="AE570" s="599"/>
      <c r="AF570" s="599"/>
      <c r="AG570" s="599"/>
      <c r="AH570" s="599"/>
      <c r="AI570" s="599"/>
      <c r="AJ570" s="599"/>
      <c r="AK570" s="599"/>
      <c r="AL570" s="599"/>
      <c r="AM570" s="432"/>
      <c r="AO570">
        <f ca="1">IF($A570="S",IF(BM!$I570=0,0,CHOOSE(MATCH(RegimeExecucao,{"Global","Unitário"},0),ROUND(ROUND(BM.MEDAcumulado,15-13*BM!$A$9)/100*BM!$I570,15-13*ORÇAMENTO!$AF$11),ROUND(ROUND(BM.MEDAcumulado,15-13*BM!$A$9)*ROUND(BM!$H570,15-13*ORÇAMENTO!$AF$10),15-13*ORÇAMENTO!$AF$11))),IF($A570=0,0,ROUND(SomaAgrupBM,15-13*ORÇAMENTO!$AF$11)))</f>
        <v>0</v>
      </c>
    </row>
    <row r="571" spans="1:41" ht="13.8" x14ac:dyDescent="0.3">
      <c r="A571" t="str">
        <f ca="1">ORÇAMENTO!C571</f>
        <v>S</v>
      </c>
      <c r="B571">
        <f ca="1">ORÇAMENTO!D571</f>
        <v>0</v>
      </c>
      <c r="C571" s="143" t="str">
        <f t="shared" ca="1" si="89"/>
        <v/>
      </c>
      <c r="D571" s="146" t="str">
        <f ca="1">ORÇAMENTO!O571</f>
        <v>-</v>
      </c>
      <c r="E571" s="206" t="str">
        <f t="shared" ca="1" si="90"/>
        <v>(abra o arquivo 'Referência 05-2024.xls)</v>
      </c>
      <c r="F571" s="207" t="str">
        <f t="shared" ca="1" si="91"/>
        <v>-</v>
      </c>
      <c r="G571" s="151">
        <f ca="1">IF(RegimeExecucao="Global","",ORÇAMENTO!T571)</f>
        <v>96</v>
      </c>
      <c r="H571" s="151">
        <f ca="1">IF(RegimeExecucao="Global","",ORÇAMENTO!W571)</f>
        <v>0</v>
      </c>
      <c r="I571" s="154">
        <f ca="1">ORÇAMENTO!X571</f>
        <v>0</v>
      </c>
      <c r="J571" s="427">
        <f t="shared" ca="1" si="92"/>
        <v>0</v>
      </c>
      <c r="K571" s="151">
        <f t="shared" ca="1" si="93"/>
        <v>0</v>
      </c>
      <c r="L571" s="428">
        <f t="shared" ca="1" si="94"/>
        <v>0</v>
      </c>
      <c r="M571" s="429">
        <f ca="1">IF($A571="S",VTOTALBM,IF($A571=0,0,ROUND(SomaAgrupBM,15-13*ORÇAMENTO!$AF$11)))</f>
        <v>0</v>
      </c>
      <c r="N571" s="430">
        <f t="shared" ca="1" si="95"/>
        <v>0</v>
      </c>
      <c r="O571" s="154">
        <f ca="1">IF($A571="S",VTOTALBM,IF($A571=0,0,ROUND(SomaAgrupBM,15-13*ORÇAMENTO!$AF$11)))</f>
        <v>0</v>
      </c>
      <c r="Q571" s="431"/>
      <c r="R571" s="432"/>
      <c r="T571" s="146" t="str">
        <f t="shared" ca="1" si="96"/>
        <v/>
      </c>
      <c r="U571" s="206" t="str">
        <f t="shared" ca="1" si="97"/>
        <v/>
      </c>
      <c r="V571" s="207" t="str">
        <f t="shared" ca="1" si="98"/>
        <v/>
      </c>
      <c r="W571" s="634">
        <f ca="1">IF($Y571&gt;0,CHOOSE(MATCH(RegimeExecucao,{"Unitário","Global"},0),IF($A571="S",$Y571/$X571,""),($Y571/$X571)*100),0)</f>
        <v>0</v>
      </c>
      <c r="X571" s="433" t="str">
        <f ca="1">IF($Y571&gt;0,CHOOSE(MATCH(RegimeExecucao,{"Unitário","Global"},0),IF($A571="S",ROUND($H571,ORÇAMENTO!$AF$10),""),ROUND($I571,ORÇAMENTO!$AF$11)),"")</f>
        <v/>
      </c>
      <c r="Y571" s="433">
        <f t="shared" ca="1" si="99"/>
        <v>0</v>
      </c>
      <c r="Z571" s="434"/>
      <c r="AB571" s="431"/>
      <c r="AC571" s="599"/>
      <c r="AD571" s="599"/>
      <c r="AE571" s="599"/>
      <c r="AF571" s="599"/>
      <c r="AG571" s="599"/>
      <c r="AH571" s="599"/>
      <c r="AI571" s="599"/>
      <c r="AJ571" s="599"/>
      <c r="AK571" s="599"/>
      <c r="AL571" s="599"/>
      <c r="AM571" s="432"/>
      <c r="AO571">
        <f ca="1">IF($A571="S",IF(BM!$I571=0,0,CHOOSE(MATCH(RegimeExecucao,{"Global","Unitário"},0),ROUND(ROUND(BM.MEDAcumulado,15-13*BM!$A$9)/100*BM!$I571,15-13*ORÇAMENTO!$AF$11),ROUND(ROUND(BM.MEDAcumulado,15-13*BM!$A$9)*ROUND(BM!$H571,15-13*ORÇAMENTO!$AF$10),15-13*ORÇAMENTO!$AF$11))),IF($A571=0,0,ROUND(SomaAgrupBM,15-13*ORÇAMENTO!$AF$11)))</f>
        <v>0</v>
      </c>
    </row>
    <row r="572" spans="1:41" ht="13.8" x14ac:dyDescent="0.3">
      <c r="A572" t="str">
        <f ca="1">ORÇAMENTO!C572</f>
        <v>S</v>
      </c>
      <c r="B572">
        <f ca="1">ORÇAMENTO!D572</f>
        <v>0</v>
      </c>
      <c r="C572" s="143" t="str">
        <f t="shared" ca="1" si="89"/>
        <v/>
      </c>
      <c r="D572" s="146" t="str">
        <f ca="1">ORÇAMENTO!O572</f>
        <v>-</v>
      </c>
      <c r="E572" s="206" t="str">
        <f t="shared" ca="1" si="90"/>
        <v>(abra o arquivo 'Referência 05-2024.xls)</v>
      </c>
      <c r="F572" s="207" t="str">
        <f t="shared" ca="1" si="91"/>
        <v>-</v>
      </c>
      <c r="G572" s="151">
        <f ca="1">IF(RegimeExecucao="Global","",ORÇAMENTO!T572)</f>
        <v>15</v>
      </c>
      <c r="H572" s="151">
        <f ca="1">IF(RegimeExecucao="Global","",ORÇAMENTO!W572)</f>
        <v>0</v>
      </c>
      <c r="I572" s="154">
        <f ca="1">ORÇAMENTO!X572</f>
        <v>0</v>
      </c>
      <c r="J572" s="427">
        <f t="shared" ca="1" si="92"/>
        <v>0</v>
      </c>
      <c r="K572" s="151">
        <f t="shared" ca="1" si="93"/>
        <v>0</v>
      </c>
      <c r="L572" s="428">
        <f t="shared" ca="1" si="94"/>
        <v>0</v>
      </c>
      <c r="M572" s="429">
        <f ca="1">IF($A572="S",VTOTALBM,IF($A572=0,0,ROUND(SomaAgrupBM,15-13*ORÇAMENTO!$AF$11)))</f>
        <v>0</v>
      </c>
      <c r="N572" s="430">
        <f t="shared" ca="1" si="95"/>
        <v>0</v>
      </c>
      <c r="O572" s="154">
        <f ca="1">IF($A572="S",VTOTALBM,IF($A572=0,0,ROUND(SomaAgrupBM,15-13*ORÇAMENTO!$AF$11)))</f>
        <v>0</v>
      </c>
      <c r="Q572" s="431"/>
      <c r="R572" s="432"/>
      <c r="T572" s="146" t="str">
        <f t="shared" ca="1" si="96"/>
        <v/>
      </c>
      <c r="U572" s="206" t="str">
        <f t="shared" ca="1" si="97"/>
        <v/>
      </c>
      <c r="V572" s="207" t="str">
        <f t="shared" ca="1" si="98"/>
        <v/>
      </c>
      <c r="W572" s="634">
        <f ca="1">IF($Y572&gt;0,CHOOSE(MATCH(RegimeExecucao,{"Unitário","Global"},0),IF($A572="S",$Y572/$X572,""),($Y572/$X572)*100),0)</f>
        <v>0</v>
      </c>
      <c r="X572" s="433" t="str">
        <f ca="1">IF($Y572&gt;0,CHOOSE(MATCH(RegimeExecucao,{"Unitário","Global"},0),IF($A572="S",ROUND($H572,ORÇAMENTO!$AF$10),""),ROUND($I572,ORÇAMENTO!$AF$11)),"")</f>
        <v/>
      </c>
      <c r="Y572" s="433">
        <f t="shared" ca="1" si="99"/>
        <v>0</v>
      </c>
      <c r="Z572" s="434"/>
      <c r="AB572" s="431"/>
      <c r="AC572" s="599"/>
      <c r="AD572" s="599"/>
      <c r="AE572" s="599"/>
      <c r="AF572" s="599"/>
      <c r="AG572" s="599"/>
      <c r="AH572" s="599"/>
      <c r="AI572" s="599"/>
      <c r="AJ572" s="599"/>
      <c r="AK572" s="599"/>
      <c r="AL572" s="599"/>
      <c r="AM572" s="432"/>
      <c r="AO572">
        <f ca="1">IF($A572="S",IF(BM!$I572=0,0,CHOOSE(MATCH(RegimeExecucao,{"Global","Unitário"},0),ROUND(ROUND(BM.MEDAcumulado,15-13*BM!$A$9)/100*BM!$I572,15-13*ORÇAMENTO!$AF$11),ROUND(ROUND(BM.MEDAcumulado,15-13*BM!$A$9)*ROUND(BM!$H572,15-13*ORÇAMENTO!$AF$10),15-13*ORÇAMENTO!$AF$11))),IF($A572=0,0,ROUND(SomaAgrupBM,15-13*ORÇAMENTO!$AF$11)))</f>
        <v>0</v>
      </c>
    </row>
    <row r="573" spans="1:41" ht="13.8" x14ac:dyDescent="0.3">
      <c r="A573" t="str">
        <f ca="1">ORÇAMENTO!C573</f>
        <v>S</v>
      </c>
      <c r="B573">
        <f ca="1">ORÇAMENTO!D573</f>
        <v>0</v>
      </c>
      <c r="C573" s="143" t="str">
        <f t="shared" ca="1" si="89"/>
        <v/>
      </c>
      <c r="D573" s="146" t="str">
        <f ca="1">ORÇAMENTO!O573</f>
        <v>-</v>
      </c>
      <c r="E573" s="206" t="str">
        <f t="shared" ca="1" si="90"/>
        <v>(abra o arquivo 'Referência 05-2024.xls)</v>
      </c>
      <c r="F573" s="207" t="str">
        <f t="shared" ca="1" si="91"/>
        <v>-</v>
      </c>
      <c r="G573" s="151">
        <f ca="1">IF(RegimeExecucao="Global","",ORÇAMENTO!T573)</f>
        <v>16</v>
      </c>
      <c r="H573" s="151">
        <f ca="1">IF(RegimeExecucao="Global","",ORÇAMENTO!W573)</f>
        <v>0</v>
      </c>
      <c r="I573" s="154">
        <f ca="1">ORÇAMENTO!X573</f>
        <v>0</v>
      </c>
      <c r="J573" s="427">
        <f t="shared" ca="1" si="92"/>
        <v>0</v>
      </c>
      <c r="K573" s="151">
        <f t="shared" ca="1" si="93"/>
        <v>0</v>
      </c>
      <c r="L573" s="428">
        <f t="shared" ca="1" si="94"/>
        <v>0</v>
      </c>
      <c r="M573" s="429">
        <f ca="1">IF($A573="S",VTOTALBM,IF($A573=0,0,ROUND(SomaAgrupBM,15-13*ORÇAMENTO!$AF$11)))</f>
        <v>0</v>
      </c>
      <c r="N573" s="430">
        <f t="shared" ca="1" si="95"/>
        <v>0</v>
      </c>
      <c r="O573" s="154">
        <f ca="1">IF($A573="S",VTOTALBM,IF($A573=0,0,ROUND(SomaAgrupBM,15-13*ORÇAMENTO!$AF$11)))</f>
        <v>0</v>
      </c>
      <c r="Q573" s="431"/>
      <c r="R573" s="432"/>
      <c r="T573" s="146" t="str">
        <f t="shared" ca="1" si="96"/>
        <v/>
      </c>
      <c r="U573" s="206" t="str">
        <f t="shared" ca="1" si="97"/>
        <v/>
      </c>
      <c r="V573" s="207" t="str">
        <f t="shared" ca="1" si="98"/>
        <v/>
      </c>
      <c r="W573" s="634">
        <f ca="1">IF($Y573&gt;0,CHOOSE(MATCH(RegimeExecucao,{"Unitário","Global"},0),IF($A573="S",$Y573/$X573,""),($Y573/$X573)*100),0)</f>
        <v>0</v>
      </c>
      <c r="X573" s="433" t="str">
        <f ca="1">IF($Y573&gt;0,CHOOSE(MATCH(RegimeExecucao,{"Unitário","Global"},0),IF($A573="S",ROUND($H573,ORÇAMENTO!$AF$10),""),ROUND($I573,ORÇAMENTO!$AF$11)),"")</f>
        <v/>
      </c>
      <c r="Y573" s="433">
        <f t="shared" ca="1" si="99"/>
        <v>0</v>
      </c>
      <c r="Z573" s="434"/>
      <c r="AB573" s="431"/>
      <c r="AC573" s="599"/>
      <c r="AD573" s="599"/>
      <c r="AE573" s="599"/>
      <c r="AF573" s="599"/>
      <c r="AG573" s="599"/>
      <c r="AH573" s="599"/>
      <c r="AI573" s="599"/>
      <c r="AJ573" s="599"/>
      <c r="AK573" s="599"/>
      <c r="AL573" s="599"/>
      <c r="AM573" s="432"/>
      <c r="AO573">
        <f ca="1">IF($A573="S",IF(BM!$I573=0,0,CHOOSE(MATCH(RegimeExecucao,{"Global","Unitário"},0),ROUND(ROUND(BM.MEDAcumulado,15-13*BM!$A$9)/100*BM!$I573,15-13*ORÇAMENTO!$AF$11),ROUND(ROUND(BM.MEDAcumulado,15-13*BM!$A$9)*ROUND(BM!$H573,15-13*ORÇAMENTO!$AF$10),15-13*ORÇAMENTO!$AF$11))),IF($A573=0,0,ROUND(SomaAgrupBM,15-13*ORÇAMENTO!$AF$11)))</f>
        <v>0</v>
      </c>
    </row>
    <row r="574" spans="1:41" ht="13.8" x14ac:dyDescent="0.3">
      <c r="A574" t="str">
        <f ca="1">ORÇAMENTO!C574</f>
        <v>S</v>
      </c>
      <c r="B574">
        <f ca="1">ORÇAMENTO!D574</f>
        <v>0</v>
      </c>
      <c r="C574" s="143" t="str">
        <f t="shared" ca="1" si="89"/>
        <v/>
      </c>
      <c r="D574" s="146" t="str">
        <f ca="1">ORÇAMENTO!O574</f>
        <v>-</v>
      </c>
      <c r="E574" s="206" t="str">
        <f t="shared" ca="1" si="90"/>
        <v>(abra o arquivo 'Referência 05-2024.xls)</v>
      </c>
      <c r="F574" s="207" t="str">
        <f t="shared" ca="1" si="91"/>
        <v>-</v>
      </c>
      <c r="G574" s="151">
        <f ca="1">IF(RegimeExecucao="Global","",ORÇAMENTO!T574)</f>
        <v>35</v>
      </c>
      <c r="H574" s="151">
        <f ca="1">IF(RegimeExecucao="Global","",ORÇAMENTO!W574)</f>
        <v>0</v>
      </c>
      <c r="I574" s="154">
        <f ca="1">ORÇAMENTO!X574</f>
        <v>0</v>
      </c>
      <c r="J574" s="427">
        <f t="shared" ca="1" si="92"/>
        <v>0</v>
      </c>
      <c r="K574" s="151">
        <f t="shared" ca="1" si="93"/>
        <v>0</v>
      </c>
      <c r="L574" s="428">
        <f t="shared" ca="1" si="94"/>
        <v>0</v>
      </c>
      <c r="M574" s="429">
        <f ca="1">IF($A574="S",VTOTALBM,IF($A574=0,0,ROUND(SomaAgrupBM,15-13*ORÇAMENTO!$AF$11)))</f>
        <v>0</v>
      </c>
      <c r="N574" s="430">
        <f t="shared" ca="1" si="95"/>
        <v>0</v>
      </c>
      <c r="O574" s="154">
        <f ca="1">IF($A574="S",VTOTALBM,IF($A574=0,0,ROUND(SomaAgrupBM,15-13*ORÇAMENTO!$AF$11)))</f>
        <v>0</v>
      </c>
      <c r="Q574" s="431"/>
      <c r="R574" s="432"/>
      <c r="T574" s="146" t="str">
        <f t="shared" ca="1" si="96"/>
        <v/>
      </c>
      <c r="U574" s="206" t="str">
        <f t="shared" ca="1" si="97"/>
        <v/>
      </c>
      <c r="V574" s="207" t="str">
        <f t="shared" ca="1" si="98"/>
        <v/>
      </c>
      <c r="W574" s="634">
        <f ca="1">IF($Y574&gt;0,CHOOSE(MATCH(RegimeExecucao,{"Unitário","Global"},0),IF($A574="S",$Y574/$X574,""),($Y574/$X574)*100),0)</f>
        <v>0</v>
      </c>
      <c r="X574" s="433" t="str">
        <f ca="1">IF($Y574&gt;0,CHOOSE(MATCH(RegimeExecucao,{"Unitário","Global"},0),IF($A574="S",ROUND($H574,ORÇAMENTO!$AF$10),""),ROUND($I574,ORÇAMENTO!$AF$11)),"")</f>
        <v/>
      </c>
      <c r="Y574" s="433">
        <f t="shared" ca="1" si="99"/>
        <v>0</v>
      </c>
      <c r="Z574" s="434"/>
      <c r="AB574" s="431"/>
      <c r="AC574" s="599"/>
      <c r="AD574" s="599"/>
      <c r="AE574" s="599"/>
      <c r="AF574" s="599"/>
      <c r="AG574" s="599"/>
      <c r="AH574" s="599"/>
      <c r="AI574" s="599"/>
      <c r="AJ574" s="599"/>
      <c r="AK574" s="599"/>
      <c r="AL574" s="599"/>
      <c r="AM574" s="432"/>
      <c r="AO574">
        <f ca="1">IF($A574="S",IF(BM!$I574=0,0,CHOOSE(MATCH(RegimeExecucao,{"Global","Unitário"},0),ROUND(ROUND(BM.MEDAcumulado,15-13*BM!$A$9)/100*BM!$I574,15-13*ORÇAMENTO!$AF$11),ROUND(ROUND(BM.MEDAcumulado,15-13*BM!$A$9)*ROUND(BM!$H574,15-13*ORÇAMENTO!$AF$10),15-13*ORÇAMENTO!$AF$11))),IF($A574=0,0,ROUND(SomaAgrupBM,15-13*ORÇAMENTO!$AF$11)))</f>
        <v>0</v>
      </c>
    </row>
    <row r="575" spans="1:41" ht="13.8" x14ac:dyDescent="0.3">
      <c r="A575" t="str">
        <f ca="1">ORÇAMENTO!C575</f>
        <v>S</v>
      </c>
      <c r="B575">
        <f ca="1">ORÇAMENTO!D575</f>
        <v>0</v>
      </c>
      <c r="C575" s="143" t="str">
        <f t="shared" ca="1" si="89"/>
        <v/>
      </c>
      <c r="D575" s="146" t="str">
        <f ca="1">ORÇAMENTO!O575</f>
        <v>-</v>
      </c>
      <c r="E575" s="206" t="str">
        <f t="shared" ca="1" si="90"/>
        <v>(abra o arquivo 'Referência 05-2024.xls)</v>
      </c>
      <c r="F575" s="207" t="str">
        <f t="shared" ca="1" si="91"/>
        <v>-</v>
      </c>
      <c r="G575" s="151">
        <f ca="1">IF(RegimeExecucao="Global","",ORÇAMENTO!T575)</f>
        <v>2</v>
      </c>
      <c r="H575" s="151">
        <f ca="1">IF(RegimeExecucao="Global","",ORÇAMENTO!W575)</f>
        <v>0</v>
      </c>
      <c r="I575" s="154">
        <f ca="1">ORÇAMENTO!X575</f>
        <v>0</v>
      </c>
      <c r="J575" s="427">
        <f t="shared" ca="1" si="92"/>
        <v>0</v>
      </c>
      <c r="K575" s="151">
        <f t="shared" ca="1" si="93"/>
        <v>0</v>
      </c>
      <c r="L575" s="428">
        <f t="shared" ca="1" si="94"/>
        <v>0</v>
      </c>
      <c r="M575" s="429">
        <f ca="1">IF($A575="S",VTOTALBM,IF($A575=0,0,ROUND(SomaAgrupBM,15-13*ORÇAMENTO!$AF$11)))</f>
        <v>0</v>
      </c>
      <c r="N575" s="430">
        <f t="shared" ca="1" si="95"/>
        <v>0</v>
      </c>
      <c r="O575" s="154">
        <f ca="1">IF($A575="S",VTOTALBM,IF($A575=0,0,ROUND(SomaAgrupBM,15-13*ORÇAMENTO!$AF$11)))</f>
        <v>0</v>
      </c>
      <c r="Q575" s="431"/>
      <c r="R575" s="432"/>
      <c r="T575" s="146" t="str">
        <f t="shared" ca="1" si="96"/>
        <v/>
      </c>
      <c r="U575" s="206" t="str">
        <f t="shared" ca="1" si="97"/>
        <v/>
      </c>
      <c r="V575" s="207" t="str">
        <f t="shared" ca="1" si="98"/>
        <v/>
      </c>
      <c r="W575" s="634">
        <f ca="1">IF($Y575&gt;0,CHOOSE(MATCH(RegimeExecucao,{"Unitário","Global"},0),IF($A575="S",$Y575/$X575,""),($Y575/$X575)*100),0)</f>
        <v>0</v>
      </c>
      <c r="X575" s="433" t="str">
        <f ca="1">IF($Y575&gt;0,CHOOSE(MATCH(RegimeExecucao,{"Unitário","Global"},0),IF($A575="S",ROUND($H575,ORÇAMENTO!$AF$10),""),ROUND($I575,ORÇAMENTO!$AF$11)),"")</f>
        <v/>
      </c>
      <c r="Y575" s="433">
        <f t="shared" ca="1" si="99"/>
        <v>0</v>
      </c>
      <c r="Z575" s="434"/>
      <c r="AB575" s="431"/>
      <c r="AC575" s="599"/>
      <c r="AD575" s="599"/>
      <c r="AE575" s="599"/>
      <c r="AF575" s="599"/>
      <c r="AG575" s="599"/>
      <c r="AH575" s="599"/>
      <c r="AI575" s="599"/>
      <c r="AJ575" s="599"/>
      <c r="AK575" s="599"/>
      <c r="AL575" s="599"/>
      <c r="AM575" s="432"/>
      <c r="AO575">
        <f ca="1">IF($A575="S",IF(BM!$I575=0,0,CHOOSE(MATCH(RegimeExecucao,{"Global","Unitário"},0),ROUND(ROUND(BM.MEDAcumulado,15-13*BM!$A$9)/100*BM!$I575,15-13*ORÇAMENTO!$AF$11),ROUND(ROUND(BM.MEDAcumulado,15-13*BM!$A$9)*ROUND(BM!$H575,15-13*ORÇAMENTO!$AF$10),15-13*ORÇAMENTO!$AF$11))),IF($A575=0,0,ROUND(SomaAgrupBM,15-13*ORÇAMENTO!$AF$11)))</f>
        <v>0</v>
      </c>
    </row>
    <row r="576" spans="1:41" ht="13.8" x14ac:dyDescent="0.3">
      <c r="A576" t="str">
        <f ca="1">ORÇAMENTO!C576</f>
        <v>S</v>
      </c>
      <c r="B576">
        <f ca="1">ORÇAMENTO!D576</f>
        <v>0</v>
      </c>
      <c r="C576" s="143" t="str">
        <f t="shared" ca="1" si="89"/>
        <v/>
      </c>
      <c r="D576" s="146" t="str">
        <f ca="1">ORÇAMENTO!O576</f>
        <v>-</v>
      </c>
      <c r="E576" s="206" t="str">
        <f t="shared" ca="1" si="90"/>
        <v>(abra o arquivo 'Referência 05-2024.xls)</v>
      </c>
      <c r="F576" s="207" t="str">
        <f t="shared" ca="1" si="91"/>
        <v>-</v>
      </c>
      <c r="G576" s="151">
        <f ca="1">IF(RegimeExecucao="Global","",ORÇAMENTO!T576)</f>
        <v>11</v>
      </c>
      <c r="H576" s="151">
        <f ca="1">IF(RegimeExecucao="Global","",ORÇAMENTO!W576)</f>
        <v>0</v>
      </c>
      <c r="I576" s="154">
        <f ca="1">ORÇAMENTO!X576</f>
        <v>0</v>
      </c>
      <c r="J576" s="427">
        <f t="shared" ca="1" si="92"/>
        <v>0</v>
      </c>
      <c r="K576" s="151">
        <f t="shared" ca="1" si="93"/>
        <v>0</v>
      </c>
      <c r="L576" s="428">
        <f t="shared" ca="1" si="94"/>
        <v>0</v>
      </c>
      <c r="M576" s="429">
        <f ca="1">IF($A576="S",VTOTALBM,IF($A576=0,0,ROUND(SomaAgrupBM,15-13*ORÇAMENTO!$AF$11)))</f>
        <v>0</v>
      </c>
      <c r="N576" s="430">
        <f t="shared" ca="1" si="95"/>
        <v>0</v>
      </c>
      <c r="O576" s="154">
        <f ca="1">IF($A576="S",VTOTALBM,IF($A576=0,0,ROUND(SomaAgrupBM,15-13*ORÇAMENTO!$AF$11)))</f>
        <v>0</v>
      </c>
      <c r="Q576" s="431"/>
      <c r="R576" s="432"/>
      <c r="T576" s="146" t="str">
        <f t="shared" ca="1" si="96"/>
        <v/>
      </c>
      <c r="U576" s="206" t="str">
        <f t="shared" ca="1" si="97"/>
        <v/>
      </c>
      <c r="V576" s="207" t="str">
        <f t="shared" ca="1" si="98"/>
        <v/>
      </c>
      <c r="W576" s="634">
        <f ca="1">IF($Y576&gt;0,CHOOSE(MATCH(RegimeExecucao,{"Unitário","Global"},0),IF($A576="S",$Y576/$X576,""),($Y576/$X576)*100),0)</f>
        <v>0</v>
      </c>
      <c r="X576" s="433" t="str">
        <f ca="1">IF($Y576&gt;0,CHOOSE(MATCH(RegimeExecucao,{"Unitário","Global"},0),IF($A576="S",ROUND($H576,ORÇAMENTO!$AF$10),""),ROUND($I576,ORÇAMENTO!$AF$11)),"")</f>
        <v/>
      </c>
      <c r="Y576" s="433">
        <f t="shared" ca="1" si="99"/>
        <v>0</v>
      </c>
      <c r="Z576" s="434"/>
      <c r="AB576" s="431"/>
      <c r="AC576" s="599"/>
      <c r="AD576" s="599"/>
      <c r="AE576" s="599"/>
      <c r="AF576" s="599"/>
      <c r="AG576" s="599"/>
      <c r="AH576" s="599"/>
      <c r="AI576" s="599"/>
      <c r="AJ576" s="599"/>
      <c r="AK576" s="599"/>
      <c r="AL576" s="599"/>
      <c r="AM576" s="432"/>
      <c r="AO576">
        <f ca="1">IF($A576="S",IF(BM!$I576=0,0,CHOOSE(MATCH(RegimeExecucao,{"Global","Unitário"},0),ROUND(ROUND(BM.MEDAcumulado,15-13*BM!$A$9)/100*BM!$I576,15-13*ORÇAMENTO!$AF$11),ROUND(ROUND(BM.MEDAcumulado,15-13*BM!$A$9)*ROUND(BM!$H576,15-13*ORÇAMENTO!$AF$10),15-13*ORÇAMENTO!$AF$11))),IF($A576=0,0,ROUND(SomaAgrupBM,15-13*ORÇAMENTO!$AF$11)))</f>
        <v>0</v>
      </c>
    </row>
    <row r="577" spans="1:41" ht="13.8" x14ac:dyDescent="0.3">
      <c r="A577" t="str">
        <f ca="1">ORÇAMENTO!C577</f>
        <v>S</v>
      </c>
      <c r="B577">
        <f ca="1">ORÇAMENTO!D577</f>
        <v>0</v>
      </c>
      <c r="C577" s="143" t="str">
        <f t="shared" ca="1" si="89"/>
        <v/>
      </c>
      <c r="D577" s="146" t="str">
        <f ca="1">ORÇAMENTO!O577</f>
        <v>-</v>
      </c>
      <c r="E577" s="206" t="str">
        <f t="shared" ca="1" si="90"/>
        <v>(abra o arquivo 'Referência 05-2024.xls)</v>
      </c>
      <c r="F577" s="207" t="str">
        <f t="shared" ca="1" si="91"/>
        <v>-</v>
      </c>
      <c r="G577" s="151">
        <f ca="1">IF(RegimeExecucao="Global","",ORÇAMENTO!T577)</f>
        <v>24</v>
      </c>
      <c r="H577" s="151">
        <f ca="1">IF(RegimeExecucao="Global","",ORÇAMENTO!W577)</f>
        <v>0</v>
      </c>
      <c r="I577" s="154">
        <f ca="1">ORÇAMENTO!X577</f>
        <v>0</v>
      </c>
      <c r="J577" s="427">
        <f t="shared" ca="1" si="92"/>
        <v>0</v>
      </c>
      <c r="K577" s="151">
        <f t="shared" ca="1" si="93"/>
        <v>0</v>
      </c>
      <c r="L577" s="428">
        <f t="shared" ca="1" si="94"/>
        <v>0</v>
      </c>
      <c r="M577" s="429">
        <f ca="1">IF($A577="S",VTOTALBM,IF($A577=0,0,ROUND(SomaAgrupBM,15-13*ORÇAMENTO!$AF$11)))</f>
        <v>0</v>
      </c>
      <c r="N577" s="430">
        <f t="shared" ca="1" si="95"/>
        <v>0</v>
      </c>
      <c r="O577" s="154">
        <f ca="1">IF($A577="S",VTOTALBM,IF($A577=0,0,ROUND(SomaAgrupBM,15-13*ORÇAMENTO!$AF$11)))</f>
        <v>0</v>
      </c>
      <c r="Q577" s="431"/>
      <c r="R577" s="432"/>
      <c r="T577" s="146" t="str">
        <f t="shared" ca="1" si="96"/>
        <v/>
      </c>
      <c r="U577" s="206" t="str">
        <f t="shared" ca="1" si="97"/>
        <v/>
      </c>
      <c r="V577" s="207" t="str">
        <f t="shared" ca="1" si="98"/>
        <v/>
      </c>
      <c r="W577" s="634">
        <f ca="1">IF($Y577&gt;0,CHOOSE(MATCH(RegimeExecucao,{"Unitário","Global"},0),IF($A577="S",$Y577/$X577,""),($Y577/$X577)*100),0)</f>
        <v>0</v>
      </c>
      <c r="X577" s="433" t="str">
        <f ca="1">IF($Y577&gt;0,CHOOSE(MATCH(RegimeExecucao,{"Unitário","Global"},0),IF($A577="S",ROUND($H577,ORÇAMENTO!$AF$10),""),ROUND($I577,ORÇAMENTO!$AF$11)),"")</f>
        <v/>
      </c>
      <c r="Y577" s="433">
        <f t="shared" ca="1" si="99"/>
        <v>0</v>
      </c>
      <c r="Z577" s="434"/>
      <c r="AB577" s="431"/>
      <c r="AC577" s="599"/>
      <c r="AD577" s="599"/>
      <c r="AE577" s="599"/>
      <c r="AF577" s="599"/>
      <c r="AG577" s="599"/>
      <c r="AH577" s="599"/>
      <c r="AI577" s="599"/>
      <c r="AJ577" s="599"/>
      <c r="AK577" s="599"/>
      <c r="AL577" s="599"/>
      <c r="AM577" s="432"/>
      <c r="AO577">
        <f ca="1">IF($A577="S",IF(BM!$I577=0,0,CHOOSE(MATCH(RegimeExecucao,{"Global","Unitário"},0),ROUND(ROUND(BM.MEDAcumulado,15-13*BM!$A$9)/100*BM!$I577,15-13*ORÇAMENTO!$AF$11),ROUND(ROUND(BM.MEDAcumulado,15-13*BM!$A$9)*ROUND(BM!$H577,15-13*ORÇAMENTO!$AF$10),15-13*ORÇAMENTO!$AF$11))),IF($A577=0,0,ROUND(SomaAgrupBM,15-13*ORÇAMENTO!$AF$11)))</f>
        <v>0</v>
      </c>
    </row>
    <row r="578" spans="1:41" ht="13.8" x14ac:dyDescent="0.3">
      <c r="A578" t="str">
        <f ca="1">ORÇAMENTO!C578</f>
        <v>S</v>
      </c>
      <c r="B578">
        <f ca="1">ORÇAMENTO!D578</f>
        <v>0</v>
      </c>
      <c r="C578" s="143" t="str">
        <f t="shared" ca="1" si="89"/>
        <v/>
      </c>
      <c r="D578" s="146" t="str">
        <f ca="1">ORÇAMENTO!O578</f>
        <v>-</v>
      </c>
      <c r="E578" s="206" t="str">
        <f t="shared" ca="1" si="90"/>
        <v>(abra o arquivo 'Referência 05-2024.xls)</v>
      </c>
      <c r="F578" s="207" t="str">
        <f t="shared" ca="1" si="91"/>
        <v>-</v>
      </c>
      <c r="G578" s="151">
        <f ca="1">IF(RegimeExecucao="Global","",ORÇAMENTO!T578)</f>
        <v>22</v>
      </c>
      <c r="H578" s="151">
        <f ca="1">IF(RegimeExecucao="Global","",ORÇAMENTO!W578)</f>
        <v>0</v>
      </c>
      <c r="I578" s="154">
        <f ca="1">ORÇAMENTO!X578</f>
        <v>0</v>
      </c>
      <c r="J578" s="427">
        <f t="shared" ca="1" si="92"/>
        <v>0</v>
      </c>
      <c r="K578" s="151">
        <f t="shared" ca="1" si="93"/>
        <v>0</v>
      </c>
      <c r="L578" s="428">
        <f t="shared" ca="1" si="94"/>
        <v>0</v>
      </c>
      <c r="M578" s="429">
        <f ca="1">IF($A578="S",VTOTALBM,IF($A578=0,0,ROUND(SomaAgrupBM,15-13*ORÇAMENTO!$AF$11)))</f>
        <v>0</v>
      </c>
      <c r="N578" s="430">
        <f t="shared" ca="1" si="95"/>
        <v>0</v>
      </c>
      <c r="O578" s="154">
        <f ca="1">IF($A578="S",VTOTALBM,IF($A578=0,0,ROUND(SomaAgrupBM,15-13*ORÇAMENTO!$AF$11)))</f>
        <v>0</v>
      </c>
      <c r="Q578" s="431"/>
      <c r="R578" s="432"/>
      <c r="T578" s="146" t="str">
        <f t="shared" ca="1" si="96"/>
        <v/>
      </c>
      <c r="U578" s="206" t="str">
        <f t="shared" ca="1" si="97"/>
        <v/>
      </c>
      <c r="V578" s="207" t="str">
        <f t="shared" ca="1" si="98"/>
        <v/>
      </c>
      <c r="W578" s="634">
        <f ca="1">IF($Y578&gt;0,CHOOSE(MATCH(RegimeExecucao,{"Unitário","Global"},0),IF($A578="S",$Y578/$X578,""),($Y578/$X578)*100),0)</f>
        <v>0</v>
      </c>
      <c r="X578" s="433" t="str">
        <f ca="1">IF($Y578&gt;0,CHOOSE(MATCH(RegimeExecucao,{"Unitário","Global"},0),IF($A578="S",ROUND($H578,ORÇAMENTO!$AF$10),""),ROUND($I578,ORÇAMENTO!$AF$11)),"")</f>
        <v/>
      </c>
      <c r="Y578" s="433">
        <f t="shared" ca="1" si="99"/>
        <v>0</v>
      </c>
      <c r="Z578" s="434"/>
      <c r="AB578" s="431"/>
      <c r="AC578" s="599"/>
      <c r="AD578" s="599"/>
      <c r="AE578" s="599"/>
      <c r="AF578" s="599"/>
      <c r="AG578" s="599"/>
      <c r="AH578" s="599"/>
      <c r="AI578" s="599"/>
      <c r="AJ578" s="599"/>
      <c r="AK578" s="599"/>
      <c r="AL578" s="599"/>
      <c r="AM578" s="432"/>
      <c r="AO578">
        <f ca="1">IF($A578="S",IF(BM!$I578=0,0,CHOOSE(MATCH(RegimeExecucao,{"Global","Unitário"},0),ROUND(ROUND(BM.MEDAcumulado,15-13*BM!$A$9)/100*BM!$I578,15-13*ORÇAMENTO!$AF$11),ROUND(ROUND(BM.MEDAcumulado,15-13*BM!$A$9)*ROUND(BM!$H578,15-13*ORÇAMENTO!$AF$10),15-13*ORÇAMENTO!$AF$11))),IF($A578=0,0,ROUND(SomaAgrupBM,15-13*ORÇAMENTO!$AF$11)))</f>
        <v>0</v>
      </c>
    </row>
    <row r="579" spans="1:41" ht="13.8" x14ac:dyDescent="0.3">
      <c r="A579" t="str">
        <f ca="1">ORÇAMENTO!C579</f>
        <v>S</v>
      </c>
      <c r="B579">
        <f ca="1">ORÇAMENTO!D579</f>
        <v>0</v>
      </c>
      <c r="C579" s="143" t="str">
        <f t="shared" ca="1" si="89"/>
        <v/>
      </c>
      <c r="D579" s="146" t="str">
        <f ca="1">ORÇAMENTO!O579</f>
        <v>-</v>
      </c>
      <c r="E579" s="206" t="str">
        <f t="shared" ca="1" si="90"/>
        <v>(abra o arquivo 'Referência 05-2024.xls)</v>
      </c>
      <c r="F579" s="207" t="str">
        <f t="shared" ca="1" si="91"/>
        <v>-</v>
      </c>
      <c r="G579" s="151">
        <f ca="1">IF(RegimeExecucao="Global","",ORÇAMENTO!T579)</f>
        <v>13</v>
      </c>
      <c r="H579" s="151">
        <f ca="1">IF(RegimeExecucao="Global","",ORÇAMENTO!W579)</f>
        <v>0</v>
      </c>
      <c r="I579" s="154">
        <f ca="1">ORÇAMENTO!X579</f>
        <v>0</v>
      </c>
      <c r="J579" s="427">
        <f t="shared" ca="1" si="92"/>
        <v>0</v>
      </c>
      <c r="K579" s="151">
        <f t="shared" ca="1" si="93"/>
        <v>0</v>
      </c>
      <c r="L579" s="428">
        <f t="shared" ca="1" si="94"/>
        <v>0</v>
      </c>
      <c r="M579" s="429">
        <f ca="1">IF($A579="S",VTOTALBM,IF($A579=0,0,ROUND(SomaAgrupBM,15-13*ORÇAMENTO!$AF$11)))</f>
        <v>0</v>
      </c>
      <c r="N579" s="430">
        <f t="shared" ca="1" si="95"/>
        <v>0</v>
      </c>
      <c r="O579" s="154">
        <f ca="1">IF($A579="S",VTOTALBM,IF($A579=0,0,ROUND(SomaAgrupBM,15-13*ORÇAMENTO!$AF$11)))</f>
        <v>0</v>
      </c>
      <c r="Q579" s="431"/>
      <c r="R579" s="432"/>
      <c r="T579" s="146" t="str">
        <f t="shared" ca="1" si="96"/>
        <v/>
      </c>
      <c r="U579" s="206" t="str">
        <f t="shared" ca="1" si="97"/>
        <v/>
      </c>
      <c r="V579" s="207" t="str">
        <f t="shared" ca="1" si="98"/>
        <v/>
      </c>
      <c r="W579" s="634">
        <f ca="1">IF($Y579&gt;0,CHOOSE(MATCH(RegimeExecucao,{"Unitário","Global"},0),IF($A579="S",$Y579/$X579,""),($Y579/$X579)*100),0)</f>
        <v>0</v>
      </c>
      <c r="X579" s="433" t="str">
        <f ca="1">IF($Y579&gt;0,CHOOSE(MATCH(RegimeExecucao,{"Unitário","Global"},0),IF($A579="S",ROUND($H579,ORÇAMENTO!$AF$10),""),ROUND($I579,ORÇAMENTO!$AF$11)),"")</f>
        <v/>
      </c>
      <c r="Y579" s="433">
        <f t="shared" ca="1" si="99"/>
        <v>0</v>
      </c>
      <c r="Z579" s="434"/>
      <c r="AB579" s="431"/>
      <c r="AC579" s="599"/>
      <c r="AD579" s="599"/>
      <c r="AE579" s="599"/>
      <c r="AF579" s="599"/>
      <c r="AG579" s="599"/>
      <c r="AH579" s="599"/>
      <c r="AI579" s="599"/>
      <c r="AJ579" s="599"/>
      <c r="AK579" s="599"/>
      <c r="AL579" s="599"/>
      <c r="AM579" s="432"/>
      <c r="AO579">
        <f ca="1">IF($A579="S",IF(BM!$I579=0,0,CHOOSE(MATCH(RegimeExecucao,{"Global","Unitário"},0),ROUND(ROUND(BM.MEDAcumulado,15-13*BM!$A$9)/100*BM!$I579,15-13*ORÇAMENTO!$AF$11),ROUND(ROUND(BM.MEDAcumulado,15-13*BM!$A$9)*ROUND(BM!$H579,15-13*ORÇAMENTO!$AF$10),15-13*ORÇAMENTO!$AF$11))),IF($A579=0,0,ROUND(SomaAgrupBM,15-13*ORÇAMENTO!$AF$11)))</f>
        <v>0</v>
      </c>
    </row>
    <row r="580" spans="1:41" ht="13.8" x14ac:dyDescent="0.3">
      <c r="A580">
        <f ca="1">ORÇAMENTO!C580</f>
        <v>3</v>
      </c>
      <c r="B580">
        <f ca="1">ORÇAMENTO!D580</f>
        <v>12</v>
      </c>
      <c r="C580" s="143" t="str">
        <f t="shared" ca="1" si="89"/>
        <v>F</v>
      </c>
      <c r="D580" s="146" t="str">
        <f ca="1">ORÇAMENTO!O580</f>
        <v>1.18.4.</v>
      </c>
      <c r="E580" s="206" t="str">
        <f t="shared" si="90"/>
        <v>CABOS E FIOS (CONDUTORES)</v>
      </c>
      <c r="F580" s="207" t="str">
        <f t="shared" ca="1" si="91"/>
        <v>-</v>
      </c>
      <c r="G580" s="151">
        <f ca="1">IF(RegimeExecucao="Global","",ORÇAMENTO!T580)</f>
        <v>0</v>
      </c>
      <c r="H580" s="151">
        <f ca="1">IF(RegimeExecucao="Global","",ORÇAMENTO!W580)</f>
        <v>0</v>
      </c>
      <c r="I580" s="154">
        <f ca="1">ORÇAMENTO!X580</f>
        <v>0</v>
      </c>
      <c r="J580" s="427">
        <f t="shared" ca="1" si="92"/>
        <v>0</v>
      </c>
      <c r="K580" s="151">
        <f t="shared" ca="1" si="93"/>
        <v>0</v>
      </c>
      <c r="L580" s="428">
        <f t="shared" ca="1" si="94"/>
        <v>0</v>
      </c>
      <c r="M580" s="429">
        <f ca="1">IF($A580="S",VTOTALBM,IF($A580=0,0,ROUND(SomaAgrupBM,15-13*ORÇAMENTO!$AF$11)))</f>
        <v>0</v>
      </c>
      <c r="N580" s="430">
        <f t="shared" ca="1" si="95"/>
        <v>0</v>
      </c>
      <c r="O580" s="154">
        <f ca="1">IF($A580="S",VTOTALBM,IF($A580=0,0,ROUND(SomaAgrupBM,15-13*ORÇAMENTO!$AF$11)))</f>
        <v>0</v>
      </c>
      <c r="Q580" s="431"/>
      <c r="R580" s="432"/>
      <c r="T580" s="146" t="str">
        <f t="shared" ca="1" si="96"/>
        <v/>
      </c>
      <c r="U580" s="206" t="str">
        <f t="shared" ca="1" si="97"/>
        <v/>
      </c>
      <c r="V580" s="207" t="str">
        <f t="shared" ca="1" si="98"/>
        <v/>
      </c>
      <c r="W580" s="634">
        <f ca="1">IF($Y580&gt;0,CHOOSE(MATCH(RegimeExecucao,{"Unitário","Global"},0),IF($A580="S",$Y580/$X580,""),($Y580/$X580)*100),0)</f>
        <v>0</v>
      </c>
      <c r="X580" s="433" t="str">
        <f ca="1">IF($Y580&gt;0,CHOOSE(MATCH(RegimeExecucao,{"Unitário","Global"},0),IF($A580="S",ROUND($H580,ORÇAMENTO!$AF$10),""),ROUND($I580,ORÇAMENTO!$AF$11)),"")</f>
        <v/>
      </c>
      <c r="Y580" s="433">
        <f t="shared" ca="1" si="99"/>
        <v>0</v>
      </c>
      <c r="Z580" s="434"/>
      <c r="AB580" s="431"/>
      <c r="AC580" s="599"/>
      <c r="AD580" s="599"/>
      <c r="AE580" s="599"/>
      <c r="AF580" s="599"/>
      <c r="AG580" s="599"/>
      <c r="AH580" s="599"/>
      <c r="AI580" s="599"/>
      <c r="AJ580" s="599"/>
      <c r="AK580" s="599"/>
      <c r="AL580" s="599"/>
      <c r="AM580" s="432"/>
      <c r="AO580">
        <f ca="1">IF($A580="S",IF(BM!$I580=0,0,CHOOSE(MATCH(RegimeExecucao,{"Global","Unitário"},0),ROUND(ROUND(BM.MEDAcumulado,15-13*BM!$A$9)/100*BM!$I580,15-13*ORÇAMENTO!$AF$11),ROUND(ROUND(BM.MEDAcumulado,15-13*BM!$A$9)*ROUND(BM!$H580,15-13*ORÇAMENTO!$AF$10),15-13*ORÇAMENTO!$AF$11))),IF($A580=0,0,ROUND(SomaAgrupBM,15-13*ORÇAMENTO!$AF$11)))</f>
        <v>0</v>
      </c>
    </row>
    <row r="581" spans="1:41" ht="13.8" x14ac:dyDescent="0.3">
      <c r="A581" t="str">
        <f ca="1">ORÇAMENTO!C581</f>
        <v>S</v>
      </c>
      <c r="B581">
        <f ca="1">ORÇAMENTO!D581</f>
        <v>0</v>
      </c>
      <c r="C581" s="143" t="str">
        <f t="shared" ca="1" si="89"/>
        <v/>
      </c>
      <c r="D581" s="146" t="str">
        <f ca="1">ORÇAMENTO!O581</f>
        <v>-</v>
      </c>
      <c r="E581" s="206" t="str">
        <f t="shared" ca="1" si="90"/>
        <v>(abra o arquivo 'Referência 05-2024.xls)</v>
      </c>
      <c r="F581" s="207" t="str">
        <f t="shared" ca="1" si="91"/>
        <v>-</v>
      </c>
      <c r="G581" s="151">
        <f ca="1">IF(RegimeExecucao="Global","",ORÇAMENTO!T581)</f>
        <v>8209.3799999999992</v>
      </c>
      <c r="H581" s="151">
        <f ca="1">IF(RegimeExecucao="Global","",ORÇAMENTO!W581)</f>
        <v>0</v>
      </c>
      <c r="I581" s="154">
        <f ca="1">ORÇAMENTO!X581</f>
        <v>0</v>
      </c>
      <c r="J581" s="427">
        <f t="shared" ca="1" si="92"/>
        <v>0</v>
      </c>
      <c r="K581" s="151">
        <f t="shared" ca="1" si="93"/>
        <v>0</v>
      </c>
      <c r="L581" s="428">
        <f t="shared" ca="1" si="94"/>
        <v>0</v>
      </c>
      <c r="M581" s="429">
        <f ca="1">IF($A581="S",VTOTALBM,IF($A581=0,0,ROUND(SomaAgrupBM,15-13*ORÇAMENTO!$AF$11)))</f>
        <v>0</v>
      </c>
      <c r="N581" s="430">
        <f t="shared" ca="1" si="95"/>
        <v>0</v>
      </c>
      <c r="O581" s="154">
        <f ca="1">IF($A581="S",VTOTALBM,IF($A581=0,0,ROUND(SomaAgrupBM,15-13*ORÇAMENTO!$AF$11)))</f>
        <v>0</v>
      </c>
      <c r="Q581" s="431"/>
      <c r="R581" s="432"/>
      <c r="T581" s="146" t="str">
        <f t="shared" ca="1" si="96"/>
        <v/>
      </c>
      <c r="U581" s="206" t="str">
        <f t="shared" ca="1" si="97"/>
        <v/>
      </c>
      <c r="V581" s="207" t="str">
        <f t="shared" ca="1" si="98"/>
        <v/>
      </c>
      <c r="W581" s="634">
        <f ca="1">IF($Y581&gt;0,CHOOSE(MATCH(RegimeExecucao,{"Unitário","Global"},0),IF($A581="S",$Y581/$X581,""),($Y581/$X581)*100),0)</f>
        <v>0</v>
      </c>
      <c r="X581" s="433" t="str">
        <f ca="1">IF($Y581&gt;0,CHOOSE(MATCH(RegimeExecucao,{"Unitário","Global"},0),IF($A581="S",ROUND($H581,ORÇAMENTO!$AF$10),""),ROUND($I581,ORÇAMENTO!$AF$11)),"")</f>
        <v/>
      </c>
      <c r="Y581" s="433">
        <f t="shared" ca="1" si="99"/>
        <v>0</v>
      </c>
      <c r="Z581" s="434"/>
      <c r="AB581" s="431"/>
      <c r="AC581" s="599"/>
      <c r="AD581" s="599"/>
      <c r="AE581" s="599"/>
      <c r="AF581" s="599"/>
      <c r="AG581" s="599"/>
      <c r="AH581" s="599"/>
      <c r="AI581" s="599"/>
      <c r="AJ581" s="599"/>
      <c r="AK581" s="599"/>
      <c r="AL581" s="599"/>
      <c r="AM581" s="432"/>
      <c r="AO581">
        <f ca="1">IF($A581="S",IF(BM!$I581=0,0,CHOOSE(MATCH(RegimeExecucao,{"Global","Unitário"},0),ROUND(ROUND(BM.MEDAcumulado,15-13*BM!$A$9)/100*BM!$I581,15-13*ORÇAMENTO!$AF$11),ROUND(ROUND(BM.MEDAcumulado,15-13*BM!$A$9)*ROUND(BM!$H581,15-13*ORÇAMENTO!$AF$10),15-13*ORÇAMENTO!$AF$11))),IF($A581=0,0,ROUND(SomaAgrupBM,15-13*ORÇAMENTO!$AF$11)))</f>
        <v>0</v>
      </c>
    </row>
    <row r="582" spans="1:41" ht="13.8" x14ac:dyDescent="0.3">
      <c r="A582" t="str">
        <f ca="1">ORÇAMENTO!C582</f>
        <v>S</v>
      </c>
      <c r="B582">
        <f ca="1">ORÇAMENTO!D582</f>
        <v>0</v>
      </c>
      <c r="C582" s="143" t="str">
        <f t="shared" ca="1" si="89"/>
        <v/>
      </c>
      <c r="D582" s="146" t="str">
        <f ca="1">ORÇAMENTO!O582</f>
        <v>-</v>
      </c>
      <c r="E582" s="206" t="str">
        <f t="shared" ca="1" si="90"/>
        <v>(abra o arquivo 'Referência 05-2024.xls)</v>
      </c>
      <c r="F582" s="207" t="str">
        <f t="shared" ca="1" si="91"/>
        <v>-</v>
      </c>
      <c r="G582" s="151">
        <f ca="1">IF(RegimeExecucao="Global","",ORÇAMENTO!T582)</f>
        <v>3917.07</v>
      </c>
      <c r="H582" s="151">
        <f ca="1">IF(RegimeExecucao="Global","",ORÇAMENTO!W582)</f>
        <v>0</v>
      </c>
      <c r="I582" s="154">
        <f ca="1">ORÇAMENTO!X582</f>
        <v>0</v>
      </c>
      <c r="J582" s="427">
        <f t="shared" ca="1" si="92"/>
        <v>0</v>
      </c>
      <c r="K582" s="151">
        <f t="shared" ca="1" si="93"/>
        <v>0</v>
      </c>
      <c r="L582" s="428">
        <f t="shared" ca="1" si="94"/>
        <v>0</v>
      </c>
      <c r="M582" s="429">
        <f ca="1">IF($A582="S",VTOTALBM,IF($A582=0,0,ROUND(SomaAgrupBM,15-13*ORÇAMENTO!$AF$11)))</f>
        <v>0</v>
      </c>
      <c r="N582" s="430">
        <f t="shared" ca="1" si="95"/>
        <v>0</v>
      </c>
      <c r="O582" s="154">
        <f ca="1">IF($A582="S",VTOTALBM,IF($A582=0,0,ROUND(SomaAgrupBM,15-13*ORÇAMENTO!$AF$11)))</f>
        <v>0</v>
      </c>
      <c r="Q582" s="431"/>
      <c r="R582" s="432"/>
      <c r="T582" s="146" t="str">
        <f t="shared" ca="1" si="96"/>
        <v/>
      </c>
      <c r="U582" s="206" t="str">
        <f t="shared" ca="1" si="97"/>
        <v/>
      </c>
      <c r="V582" s="207" t="str">
        <f t="shared" ca="1" si="98"/>
        <v/>
      </c>
      <c r="W582" s="634">
        <f ca="1">IF($Y582&gt;0,CHOOSE(MATCH(RegimeExecucao,{"Unitário","Global"},0),IF($A582="S",$Y582/$X582,""),($Y582/$X582)*100),0)</f>
        <v>0</v>
      </c>
      <c r="X582" s="433" t="str">
        <f ca="1">IF($Y582&gt;0,CHOOSE(MATCH(RegimeExecucao,{"Unitário","Global"},0),IF($A582="S",ROUND($H582,ORÇAMENTO!$AF$10),""),ROUND($I582,ORÇAMENTO!$AF$11)),"")</f>
        <v/>
      </c>
      <c r="Y582" s="433">
        <f t="shared" ca="1" si="99"/>
        <v>0</v>
      </c>
      <c r="Z582" s="434"/>
      <c r="AB582" s="431"/>
      <c r="AC582" s="599"/>
      <c r="AD582" s="599"/>
      <c r="AE582" s="599"/>
      <c r="AF582" s="599"/>
      <c r="AG582" s="599"/>
      <c r="AH582" s="599"/>
      <c r="AI582" s="599"/>
      <c r="AJ582" s="599"/>
      <c r="AK582" s="599"/>
      <c r="AL582" s="599"/>
      <c r="AM582" s="432"/>
      <c r="AO582">
        <f ca="1">IF($A582="S",IF(BM!$I582=0,0,CHOOSE(MATCH(RegimeExecucao,{"Global","Unitário"},0),ROUND(ROUND(BM.MEDAcumulado,15-13*BM!$A$9)/100*BM!$I582,15-13*ORÇAMENTO!$AF$11),ROUND(ROUND(BM.MEDAcumulado,15-13*BM!$A$9)*ROUND(BM!$H582,15-13*ORÇAMENTO!$AF$10),15-13*ORÇAMENTO!$AF$11))),IF($A582=0,0,ROUND(SomaAgrupBM,15-13*ORÇAMENTO!$AF$11)))</f>
        <v>0</v>
      </c>
    </row>
    <row r="583" spans="1:41" ht="13.8" x14ac:dyDescent="0.3">
      <c r="A583" t="str">
        <f ca="1">ORÇAMENTO!C583</f>
        <v>S</v>
      </c>
      <c r="B583">
        <f ca="1">ORÇAMENTO!D583</f>
        <v>0</v>
      </c>
      <c r="C583" s="143" t="str">
        <f t="shared" ca="1" si="89"/>
        <v/>
      </c>
      <c r="D583" s="146" t="str">
        <f ca="1">ORÇAMENTO!O583</f>
        <v>-</v>
      </c>
      <c r="E583" s="206" t="str">
        <f t="shared" ca="1" si="90"/>
        <v>(abra o arquivo 'Referência 05-2024.xls)</v>
      </c>
      <c r="F583" s="207" t="str">
        <f t="shared" ca="1" si="91"/>
        <v>-</v>
      </c>
      <c r="G583" s="151">
        <f ca="1">IF(RegimeExecucao="Global","",ORÇAMENTO!T583)</f>
        <v>1335.8</v>
      </c>
      <c r="H583" s="151">
        <f ca="1">IF(RegimeExecucao="Global","",ORÇAMENTO!W583)</f>
        <v>0</v>
      </c>
      <c r="I583" s="154">
        <f ca="1">ORÇAMENTO!X583</f>
        <v>0</v>
      </c>
      <c r="J583" s="427">
        <f t="shared" ca="1" si="92"/>
        <v>0</v>
      </c>
      <c r="K583" s="151">
        <f t="shared" ca="1" si="93"/>
        <v>0</v>
      </c>
      <c r="L583" s="428">
        <f t="shared" ca="1" si="94"/>
        <v>0</v>
      </c>
      <c r="M583" s="429">
        <f ca="1">IF($A583="S",VTOTALBM,IF($A583=0,0,ROUND(SomaAgrupBM,15-13*ORÇAMENTO!$AF$11)))</f>
        <v>0</v>
      </c>
      <c r="N583" s="430">
        <f t="shared" ca="1" si="95"/>
        <v>0</v>
      </c>
      <c r="O583" s="154">
        <f ca="1">IF($A583="S",VTOTALBM,IF($A583=0,0,ROUND(SomaAgrupBM,15-13*ORÇAMENTO!$AF$11)))</f>
        <v>0</v>
      </c>
      <c r="Q583" s="431"/>
      <c r="R583" s="432"/>
      <c r="T583" s="146" t="str">
        <f t="shared" ca="1" si="96"/>
        <v/>
      </c>
      <c r="U583" s="206" t="str">
        <f t="shared" ca="1" si="97"/>
        <v/>
      </c>
      <c r="V583" s="207" t="str">
        <f t="shared" ca="1" si="98"/>
        <v/>
      </c>
      <c r="W583" s="634">
        <f ca="1">IF($Y583&gt;0,CHOOSE(MATCH(RegimeExecucao,{"Unitário","Global"},0),IF($A583="S",$Y583/$X583,""),($Y583/$X583)*100),0)</f>
        <v>0</v>
      </c>
      <c r="X583" s="433" t="str">
        <f ca="1">IF($Y583&gt;0,CHOOSE(MATCH(RegimeExecucao,{"Unitário","Global"},0),IF($A583="S",ROUND($H583,ORÇAMENTO!$AF$10),""),ROUND($I583,ORÇAMENTO!$AF$11)),"")</f>
        <v/>
      </c>
      <c r="Y583" s="433">
        <f t="shared" ca="1" si="99"/>
        <v>0</v>
      </c>
      <c r="Z583" s="434"/>
      <c r="AB583" s="431"/>
      <c r="AC583" s="599"/>
      <c r="AD583" s="599"/>
      <c r="AE583" s="599"/>
      <c r="AF583" s="599"/>
      <c r="AG583" s="599"/>
      <c r="AH583" s="599"/>
      <c r="AI583" s="599"/>
      <c r="AJ583" s="599"/>
      <c r="AK583" s="599"/>
      <c r="AL583" s="599"/>
      <c r="AM583" s="432"/>
      <c r="AO583">
        <f ca="1">IF($A583="S",IF(BM!$I583=0,0,CHOOSE(MATCH(RegimeExecucao,{"Global","Unitário"},0),ROUND(ROUND(BM.MEDAcumulado,15-13*BM!$A$9)/100*BM!$I583,15-13*ORÇAMENTO!$AF$11),ROUND(ROUND(BM.MEDAcumulado,15-13*BM!$A$9)*ROUND(BM!$H583,15-13*ORÇAMENTO!$AF$10),15-13*ORÇAMENTO!$AF$11))),IF($A583=0,0,ROUND(SomaAgrupBM,15-13*ORÇAMENTO!$AF$11)))</f>
        <v>0</v>
      </c>
    </row>
    <row r="584" spans="1:41" ht="13.8" x14ac:dyDescent="0.3">
      <c r="A584" t="str">
        <f ca="1">ORÇAMENTO!C584</f>
        <v>S</v>
      </c>
      <c r="B584">
        <f ca="1">ORÇAMENTO!D584</f>
        <v>0</v>
      </c>
      <c r="C584" s="143" t="str">
        <f t="shared" ca="1" si="89"/>
        <v/>
      </c>
      <c r="D584" s="146" t="str">
        <f ca="1">ORÇAMENTO!O584</f>
        <v>-</v>
      </c>
      <c r="E584" s="206" t="str">
        <f t="shared" ca="1" si="90"/>
        <v>(abra o arquivo 'Referência 05-2024.xls)</v>
      </c>
      <c r="F584" s="207" t="str">
        <f t="shared" ca="1" si="91"/>
        <v>-</v>
      </c>
      <c r="G584" s="151">
        <f ca="1">IF(RegimeExecucao="Global","",ORÇAMENTO!T584)</f>
        <v>113.1</v>
      </c>
      <c r="H584" s="151">
        <f ca="1">IF(RegimeExecucao="Global","",ORÇAMENTO!W584)</f>
        <v>0</v>
      </c>
      <c r="I584" s="154">
        <f ca="1">ORÇAMENTO!X584</f>
        <v>0</v>
      </c>
      <c r="J584" s="427">
        <f t="shared" ca="1" si="92"/>
        <v>0</v>
      </c>
      <c r="K584" s="151">
        <f t="shared" ca="1" si="93"/>
        <v>0</v>
      </c>
      <c r="L584" s="428">
        <f t="shared" ca="1" si="94"/>
        <v>0</v>
      </c>
      <c r="M584" s="429">
        <f ca="1">IF($A584="S",VTOTALBM,IF($A584=0,0,ROUND(SomaAgrupBM,15-13*ORÇAMENTO!$AF$11)))</f>
        <v>0</v>
      </c>
      <c r="N584" s="430">
        <f t="shared" ca="1" si="95"/>
        <v>0</v>
      </c>
      <c r="O584" s="154">
        <f ca="1">IF($A584="S",VTOTALBM,IF($A584=0,0,ROUND(SomaAgrupBM,15-13*ORÇAMENTO!$AF$11)))</f>
        <v>0</v>
      </c>
      <c r="Q584" s="431"/>
      <c r="R584" s="432"/>
      <c r="T584" s="146" t="str">
        <f t="shared" ca="1" si="96"/>
        <v/>
      </c>
      <c r="U584" s="206" t="str">
        <f t="shared" ca="1" si="97"/>
        <v/>
      </c>
      <c r="V584" s="207" t="str">
        <f t="shared" ca="1" si="98"/>
        <v/>
      </c>
      <c r="W584" s="634">
        <f ca="1">IF($Y584&gt;0,CHOOSE(MATCH(RegimeExecucao,{"Unitário","Global"},0),IF($A584="S",$Y584/$X584,""),($Y584/$X584)*100),0)</f>
        <v>0</v>
      </c>
      <c r="X584" s="433" t="str">
        <f ca="1">IF($Y584&gt;0,CHOOSE(MATCH(RegimeExecucao,{"Unitário","Global"},0),IF($A584="S",ROUND($H584,ORÇAMENTO!$AF$10),""),ROUND($I584,ORÇAMENTO!$AF$11)),"")</f>
        <v/>
      </c>
      <c r="Y584" s="433">
        <f t="shared" ca="1" si="99"/>
        <v>0</v>
      </c>
      <c r="Z584" s="434"/>
      <c r="AB584" s="431"/>
      <c r="AC584" s="599"/>
      <c r="AD584" s="599"/>
      <c r="AE584" s="599"/>
      <c r="AF584" s="599"/>
      <c r="AG584" s="599"/>
      <c r="AH584" s="599"/>
      <c r="AI584" s="599"/>
      <c r="AJ584" s="599"/>
      <c r="AK584" s="599"/>
      <c r="AL584" s="599"/>
      <c r="AM584" s="432"/>
      <c r="AO584">
        <f ca="1">IF($A584="S",IF(BM!$I584=0,0,CHOOSE(MATCH(RegimeExecucao,{"Global","Unitário"},0),ROUND(ROUND(BM.MEDAcumulado,15-13*BM!$A$9)/100*BM!$I584,15-13*ORÇAMENTO!$AF$11),ROUND(ROUND(BM.MEDAcumulado,15-13*BM!$A$9)*ROUND(BM!$H584,15-13*ORÇAMENTO!$AF$10),15-13*ORÇAMENTO!$AF$11))),IF($A584=0,0,ROUND(SomaAgrupBM,15-13*ORÇAMENTO!$AF$11)))</f>
        <v>0</v>
      </c>
    </row>
    <row r="585" spans="1:41" ht="13.8" x14ac:dyDescent="0.3">
      <c r="A585" t="str">
        <f ca="1">ORÇAMENTO!C585</f>
        <v>S</v>
      </c>
      <c r="B585">
        <f ca="1">ORÇAMENTO!D585</f>
        <v>0</v>
      </c>
      <c r="C585" s="143" t="str">
        <f t="shared" ca="1" si="89"/>
        <v/>
      </c>
      <c r="D585" s="146" t="str">
        <f ca="1">ORÇAMENTO!O585</f>
        <v>-</v>
      </c>
      <c r="E585" s="206" t="str">
        <f t="shared" ca="1" si="90"/>
        <v>(abra o arquivo 'Referência 05-2024.xls)</v>
      </c>
      <c r="F585" s="207" t="str">
        <f t="shared" ca="1" si="91"/>
        <v>-</v>
      </c>
      <c r="G585" s="151">
        <f ca="1">IF(RegimeExecucao="Global","",ORÇAMENTO!T585)</f>
        <v>700</v>
      </c>
      <c r="H585" s="151">
        <f ca="1">IF(RegimeExecucao="Global","",ORÇAMENTO!W585)</f>
        <v>0</v>
      </c>
      <c r="I585" s="154">
        <f ca="1">ORÇAMENTO!X585</f>
        <v>0</v>
      </c>
      <c r="J585" s="427">
        <f t="shared" ca="1" si="92"/>
        <v>0</v>
      </c>
      <c r="K585" s="151">
        <f t="shared" ca="1" si="93"/>
        <v>0</v>
      </c>
      <c r="L585" s="428">
        <f t="shared" ca="1" si="94"/>
        <v>0</v>
      </c>
      <c r="M585" s="429">
        <f ca="1">IF($A585="S",VTOTALBM,IF($A585=0,0,ROUND(SomaAgrupBM,15-13*ORÇAMENTO!$AF$11)))</f>
        <v>0</v>
      </c>
      <c r="N585" s="430">
        <f t="shared" ca="1" si="95"/>
        <v>0</v>
      </c>
      <c r="O585" s="154">
        <f ca="1">IF($A585="S",VTOTALBM,IF($A585=0,0,ROUND(SomaAgrupBM,15-13*ORÇAMENTO!$AF$11)))</f>
        <v>0</v>
      </c>
      <c r="Q585" s="431"/>
      <c r="R585" s="432"/>
      <c r="T585" s="146" t="str">
        <f t="shared" ca="1" si="96"/>
        <v/>
      </c>
      <c r="U585" s="206" t="str">
        <f t="shared" ca="1" si="97"/>
        <v/>
      </c>
      <c r="V585" s="207" t="str">
        <f t="shared" ca="1" si="98"/>
        <v/>
      </c>
      <c r="W585" s="634">
        <f ca="1">IF($Y585&gt;0,CHOOSE(MATCH(RegimeExecucao,{"Unitário","Global"},0),IF($A585="S",$Y585/$X585,""),($Y585/$X585)*100),0)</f>
        <v>0</v>
      </c>
      <c r="X585" s="433" t="str">
        <f ca="1">IF($Y585&gt;0,CHOOSE(MATCH(RegimeExecucao,{"Unitário","Global"},0),IF($A585="S",ROUND($H585,ORÇAMENTO!$AF$10),""),ROUND($I585,ORÇAMENTO!$AF$11)),"")</f>
        <v/>
      </c>
      <c r="Y585" s="433">
        <f t="shared" ca="1" si="99"/>
        <v>0</v>
      </c>
      <c r="Z585" s="434"/>
      <c r="AB585" s="431"/>
      <c r="AC585" s="599"/>
      <c r="AD585" s="599"/>
      <c r="AE585" s="599"/>
      <c r="AF585" s="599"/>
      <c r="AG585" s="599"/>
      <c r="AH585" s="599"/>
      <c r="AI585" s="599"/>
      <c r="AJ585" s="599"/>
      <c r="AK585" s="599"/>
      <c r="AL585" s="599"/>
      <c r="AM585" s="432"/>
      <c r="AO585">
        <f ca="1">IF($A585="S",IF(BM!$I585=0,0,CHOOSE(MATCH(RegimeExecucao,{"Global","Unitário"},0),ROUND(ROUND(BM.MEDAcumulado,15-13*BM!$A$9)/100*BM!$I585,15-13*ORÇAMENTO!$AF$11),ROUND(ROUND(BM.MEDAcumulado,15-13*BM!$A$9)*ROUND(BM!$H585,15-13*ORÇAMENTO!$AF$10),15-13*ORÇAMENTO!$AF$11))),IF($A585=0,0,ROUND(SomaAgrupBM,15-13*ORÇAMENTO!$AF$11)))</f>
        <v>0</v>
      </c>
    </row>
    <row r="586" spans="1:41" ht="13.8" x14ac:dyDescent="0.3">
      <c r="A586" t="str">
        <f ca="1">ORÇAMENTO!C586</f>
        <v>S</v>
      </c>
      <c r="B586">
        <f ca="1">ORÇAMENTO!D586</f>
        <v>0</v>
      </c>
      <c r="C586" s="143" t="str">
        <f t="shared" ca="1" si="89"/>
        <v/>
      </c>
      <c r="D586" s="146" t="str">
        <f ca="1">ORÇAMENTO!O586</f>
        <v>-</v>
      </c>
      <c r="E586" s="206" t="str">
        <f t="shared" ca="1" si="90"/>
        <v>(abra o arquivo 'Referência 05-2024.xls)</v>
      </c>
      <c r="F586" s="207" t="str">
        <f t="shared" ca="1" si="91"/>
        <v>-</v>
      </c>
      <c r="G586" s="151">
        <f ca="1">IF(RegimeExecucao="Global","",ORÇAMENTO!T586)</f>
        <v>578</v>
      </c>
      <c r="H586" s="151">
        <f ca="1">IF(RegimeExecucao="Global","",ORÇAMENTO!W586)</f>
        <v>0</v>
      </c>
      <c r="I586" s="154">
        <f ca="1">ORÇAMENTO!X586</f>
        <v>0</v>
      </c>
      <c r="J586" s="427">
        <f t="shared" ca="1" si="92"/>
        <v>0</v>
      </c>
      <c r="K586" s="151">
        <f t="shared" ca="1" si="93"/>
        <v>0</v>
      </c>
      <c r="L586" s="428">
        <f t="shared" ca="1" si="94"/>
        <v>0</v>
      </c>
      <c r="M586" s="429">
        <f ca="1">IF($A586="S",VTOTALBM,IF($A586=0,0,ROUND(SomaAgrupBM,15-13*ORÇAMENTO!$AF$11)))</f>
        <v>0</v>
      </c>
      <c r="N586" s="430">
        <f t="shared" ca="1" si="95"/>
        <v>0</v>
      </c>
      <c r="O586" s="154">
        <f ca="1">IF($A586="S",VTOTALBM,IF($A586=0,0,ROUND(SomaAgrupBM,15-13*ORÇAMENTO!$AF$11)))</f>
        <v>0</v>
      </c>
      <c r="Q586" s="431"/>
      <c r="R586" s="432"/>
      <c r="T586" s="146" t="str">
        <f t="shared" ca="1" si="96"/>
        <v/>
      </c>
      <c r="U586" s="206" t="str">
        <f t="shared" ca="1" si="97"/>
        <v/>
      </c>
      <c r="V586" s="207" t="str">
        <f t="shared" ca="1" si="98"/>
        <v/>
      </c>
      <c r="W586" s="634">
        <f ca="1">IF($Y586&gt;0,CHOOSE(MATCH(RegimeExecucao,{"Unitário","Global"},0),IF($A586="S",$Y586/$X586,""),($Y586/$X586)*100),0)</f>
        <v>0</v>
      </c>
      <c r="X586" s="433" t="str">
        <f ca="1">IF($Y586&gt;0,CHOOSE(MATCH(RegimeExecucao,{"Unitário","Global"},0),IF($A586="S",ROUND($H586,ORÇAMENTO!$AF$10),""),ROUND($I586,ORÇAMENTO!$AF$11)),"")</f>
        <v/>
      </c>
      <c r="Y586" s="433">
        <f t="shared" ca="1" si="99"/>
        <v>0</v>
      </c>
      <c r="Z586" s="434"/>
      <c r="AB586" s="431"/>
      <c r="AC586" s="599"/>
      <c r="AD586" s="599"/>
      <c r="AE586" s="599"/>
      <c r="AF586" s="599"/>
      <c r="AG586" s="599"/>
      <c r="AH586" s="599"/>
      <c r="AI586" s="599"/>
      <c r="AJ586" s="599"/>
      <c r="AK586" s="599"/>
      <c r="AL586" s="599"/>
      <c r="AM586" s="432"/>
      <c r="AO586">
        <f ca="1">IF($A586="S",IF(BM!$I586=0,0,CHOOSE(MATCH(RegimeExecucao,{"Global","Unitário"},0),ROUND(ROUND(BM.MEDAcumulado,15-13*BM!$A$9)/100*BM!$I586,15-13*ORÇAMENTO!$AF$11),ROUND(ROUND(BM.MEDAcumulado,15-13*BM!$A$9)*ROUND(BM!$H586,15-13*ORÇAMENTO!$AF$10),15-13*ORÇAMENTO!$AF$11))),IF($A586=0,0,ROUND(SomaAgrupBM,15-13*ORÇAMENTO!$AF$11)))</f>
        <v>0</v>
      </c>
    </row>
    <row r="587" spans="1:41" ht="13.8" x14ac:dyDescent="0.3">
      <c r="A587" t="str">
        <f ca="1">ORÇAMENTO!C587</f>
        <v>S</v>
      </c>
      <c r="B587">
        <f ca="1">ORÇAMENTO!D587</f>
        <v>0</v>
      </c>
      <c r="C587" s="143" t="str">
        <f t="shared" ca="1" si="89"/>
        <v/>
      </c>
      <c r="D587" s="146" t="str">
        <f ca="1">ORÇAMENTO!O587</f>
        <v>-</v>
      </c>
      <c r="E587" s="206" t="str">
        <f t="shared" ca="1" si="90"/>
        <v>(abra o arquivo 'Referência 05-2024.xls)</v>
      </c>
      <c r="F587" s="207" t="str">
        <f t="shared" ca="1" si="91"/>
        <v>-</v>
      </c>
      <c r="G587" s="151">
        <f ca="1">IF(RegimeExecucao="Global","",ORÇAMENTO!T587)</f>
        <v>238.5</v>
      </c>
      <c r="H587" s="151">
        <f ca="1">IF(RegimeExecucao="Global","",ORÇAMENTO!W587)</f>
        <v>0</v>
      </c>
      <c r="I587" s="154">
        <f ca="1">ORÇAMENTO!X587</f>
        <v>0</v>
      </c>
      <c r="J587" s="427">
        <f t="shared" ca="1" si="92"/>
        <v>0</v>
      </c>
      <c r="K587" s="151">
        <f t="shared" ca="1" si="93"/>
        <v>0</v>
      </c>
      <c r="L587" s="428">
        <f t="shared" ca="1" si="94"/>
        <v>0</v>
      </c>
      <c r="M587" s="429">
        <f ca="1">IF($A587="S",VTOTALBM,IF($A587=0,0,ROUND(SomaAgrupBM,15-13*ORÇAMENTO!$AF$11)))</f>
        <v>0</v>
      </c>
      <c r="N587" s="430">
        <f t="shared" ca="1" si="95"/>
        <v>0</v>
      </c>
      <c r="O587" s="154">
        <f ca="1">IF($A587="S",VTOTALBM,IF($A587=0,0,ROUND(SomaAgrupBM,15-13*ORÇAMENTO!$AF$11)))</f>
        <v>0</v>
      </c>
      <c r="Q587" s="431"/>
      <c r="R587" s="432"/>
      <c r="T587" s="146" t="str">
        <f t="shared" ca="1" si="96"/>
        <v/>
      </c>
      <c r="U587" s="206" t="str">
        <f t="shared" ca="1" si="97"/>
        <v/>
      </c>
      <c r="V587" s="207" t="str">
        <f t="shared" ca="1" si="98"/>
        <v/>
      </c>
      <c r="W587" s="634">
        <f ca="1">IF($Y587&gt;0,CHOOSE(MATCH(RegimeExecucao,{"Unitário","Global"},0),IF($A587="S",$Y587/$X587,""),($Y587/$X587)*100),0)</f>
        <v>0</v>
      </c>
      <c r="X587" s="433" t="str">
        <f ca="1">IF($Y587&gt;0,CHOOSE(MATCH(RegimeExecucao,{"Unitário","Global"},0),IF($A587="S",ROUND($H587,ORÇAMENTO!$AF$10),""),ROUND($I587,ORÇAMENTO!$AF$11)),"")</f>
        <v/>
      </c>
      <c r="Y587" s="433">
        <f t="shared" ca="1" si="99"/>
        <v>0</v>
      </c>
      <c r="Z587" s="434"/>
      <c r="AB587" s="431"/>
      <c r="AC587" s="599"/>
      <c r="AD587" s="599"/>
      <c r="AE587" s="599"/>
      <c r="AF587" s="599"/>
      <c r="AG587" s="599"/>
      <c r="AH587" s="599"/>
      <c r="AI587" s="599"/>
      <c r="AJ587" s="599"/>
      <c r="AK587" s="599"/>
      <c r="AL587" s="599"/>
      <c r="AM587" s="432"/>
      <c r="AO587">
        <f ca="1">IF($A587="S",IF(BM!$I587=0,0,CHOOSE(MATCH(RegimeExecucao,{"Global","Unitário"},0),ROUND(ROUND(BM.MEDAcumulado,15-13*BM!$A$9)/100*BM!$I587,15-13*ORÇAMENTO!$AF$11),ROUND(ROUND(BM.MEDAcumulado,15-13*BM!$A$9)*ROUND(BM!$H587,15-13*ORÇAMENTO!$AF$10),15-13*ORÇAMENTO!$AF$11))),IF($A587=0,0,ROUND(SomaAgrupBM,15-13*ORÇAMENTO!$AF$11)))</f>
        <v>0</v>
      </c>
    </row>
    <row r="588" spans="1:41" ht="13.8" x14ac:dyDescent="0.3">
      <c r="A588" t="str">
        <f ca="1">ORÇAMENTO!C588</f>
        <v>S</v>
      </c>
      <c r="B588">
        <f ca="1">ORÇAMENTO!D588</f>
        <v>0</v>
      </c>
      <c r="C588" s="143" t="str">
        <f t="shared" ca="1" si="89"/>
        <v/>
      </c>
      <c r="D588" s="146" t="str">
        <f ca="1">ORÇAMENTO!O588</f>
        <v>-</v>
      </c>
      <c r="E588" s="206" t="str">
        <f t="shared" ca="1" si="90"/>
        <v>(abra o arquivo 'Referência 05-2024.xls)</v>
      </c>
      <c r="F588" s="207" t="str">
        <f t="shared" ca="1" si="91"/>
        <v>-</v>
      </c>
      <c r="G588" s="151">
        <f ca="1">IF(RegimeExecucao="Global","",ORÇAMENTO!T588)</f>
        <v>97.5</v>
      </c>
      <c r="H588" s="151">
        <f ca="1">IF(RegimeExecucao="Global","",ORÇAMENTO!W588)</f>
        <v>0</v>
      </c>
      <c r="I588" s="154">
        <f ca="1">ORÇAMENTO!X588</f>
        <v>0</v>
      </c>
      <c r="J588" s="427">
        <f t="shared" ca="1" si="92"/>
        <v>0</v>
      </c>
      <c r="K588" s="151">
        <f t="shared" ca="1" si="93"/>
        <v>0</v>
      </c>
      <c r="L588" s="428">
        <f t="shared" ca="1" si="94"/>
        <v>0</v>
      </c>
      <c r="M588" s="429">
        <f ca="1">IF($A588="S",VTOTALBM,IF($A588=0,0,ROUND(SomaAgrupBM,15-13*ORÇAMENTO!$AF$11)))</f>
        <v>0</v>
      </c>
      <c r="N588" s="430">
        <f t="shared" ca="1" si="95"/>
        <v>0</v>
      </c>
      <c r="O588" s="154">
        <f ca="1">IF($A588="S",VTOTALBM,IF($A588=0,0,ROUND(SomaAgrupBM,15-13*ORÇAMENTO!$AF$11)))</f>
        <v>0</v>
      </c>
      <c r="Q588" s="431"/>
      <c r="R588" s="432"/>
      <c r="T588" s="146" t="str">
        <f t="shared" ca="1" si="96"/>
        <v/>
      </c>
      <c r="U588" s="206" t="str">
        <f t="shared" ca="1" si="97"/>
        <v/>
      </c>
      <c r="V588" s="207" t="str">
        <f t="shared" ca="1" si="98"/>
        <v/>
      </c>
      <c r="W588" s="634">
        <f ca="1">IF($Y588&gt;0,CHOOSE(MATCH(RegimeExecucao,{"Unitário","Global"},0),IF($A588="S",$Y588/$X588,""),($Y588/$X588)*100),0)</f>
        <v>0</v>
      </c>
      <c r="X588" s="433" t="str">
        <f ca="1">IF($Y588&gt;0,CHOOSE(MATCH(RegimeExecucao,{"Unitário","Global"},0),IF($A588="S",ROUND($H588,ORÇAMENTO!$AF$10),""),ROUND($I588,ORÇAMENTO!$AF$11)),"")</f>
        <v/>
      </c>
      <c r="Y588" s="433">
        <f t="shared" ca="1" si="99"/>
        <v>0</v>
      </c>
      <c r="Z588" s="434"/>
      <c r="AB588" s="431"/>
      <c r="AC588" s="599"/>
      <c r="AD588" s="599"/>
      <c r="AE588" s="599"/>
      <c r="AF588" s="599"/>
      <c r="AG588" s="599"/>
      <c r="AH588" s="599"/>
      <c r="AI588" s="599"/>
      <c r="AJ588" s="599"/>
      <c r="AK588" s="599"/>
      <c r="AL588" s="599"/>
      <c r="AM588" s="432"/>
      <c r="AO588">
        <f ca="1">IF($A588="S",IF(BM!$I588=0,0,CHOOSE(MATCH(RegimeExecucao,{"Global","Unitário"},0),ROUND(ROUND(BM.MEDAcumulado,15-13*BM!$A$9)/100*BM!$I588,15-13*ORÇAMENTO!$AF$11),ROUND(ROUND(BM.MEDAcumulado,15-13*BM!$A$9)*ROUND(BM!$H588,15-13*ORÇAMENTO!$AF$10),15-13*ORÇAMENTO!$AF$11))),IF($A588=0,0,ROUND(SomaAgrupBM,15-13*ORÇAMENTO!$AF$11)))</f>
        <v>0</v>
      </c>
    </row>
    <row r="589" spans="1:41" ht="13.8" x14ac:dyDescent="0.3">
      <c r="A589" t="str">
        <f ca="1">ORÇAMENTO!C589</f>
        <v>S</v>
      </c>
      <c r="B589">
        <f ca="1">ORÇAMENTO!D589</f>
        <v>0</v>
      </c>
      <c r="C589" s="143" t="str">
        <f t="shared" ca="1" si="89"/>
        <v/>
      </c>
      <c r="D589" s="146" t="str">
        <f ca="1">ORÇAMENTO!O589</f>
        <v>-</v>
      </c>
      <c r="E589" s="206" t="str">
        <f t="shared" ca="1" si="90"/>
        <v>(abra o arquivo 'Referência 05-2024.xls)</v>
      </c>
      <c r="F589" s="207" t="str">
        <f t="shared" ca="1" si="91"/>
        <v>-</v>
      </c>
      <c r="G589" s="151">
        <f ca="1">IF(RegimeExecucao="Global","",ORÇAMENTO!T589)</f>
        <v>50.3</v>
      </c>
      <c r="H589" s="151">
        <f ca="1">IF(RegimeExecucao="Global","",ORÇAMENTO!W589)</f>
        <v>0</v>
      </c>
      <c r="I589" s="154">
        <f ca="1">ORÇAMENTO!X589</f>
        <v>0</v>
      </c>
      <c r="J589" s="427">
        <f t="shared" ca="1" si="92"/>
        <v>0</v>
      </c>
      <c r="K589" s="151">
        <f t="shared" ca="1" si="93"/>
        <v>0</v>
      </c>
      <c r="L589" s="428">
        <f t="shared" ca="1" si="94"/>
        <v>0</v>
      </c>
      <c r="M589" s="429">
        <f ca="1">IF($A589="S",VTOTALBM,IF($A589=0,0,ROUND(SomaAgrupBM,15-13*ORÇAMENTO!$AF$11)))</f>
        <v>0</v>
      </c>
      <c r="N589" s="430">
        <f t="shared" ca="1" si="95"/>
        <v>0</v>
      </c>
      <c r="O589" s="154">
        <f ca="1">IF($A589="S",VTOTALBM,IF($A589=0,0,ROUND(SomaAgrupBM,15-13*ORÇAMENTO!$AF$11)))</f>
        <v>0</v>
      </c>
      <c r="Q589" s="431"/>
      <c r="R589" s="432"/>
      <c r="T589" s="146" t="str">
        <f t="shared" ca="1" si="96"/>
        <v/>
      </c>
      <c r="U589" s="206" t="str">
        <f t="shared" ca="1" si="97"/>
        <v/>
      </c>
      <c r="V589" s="207" t="str">
        <f t="shared" ca="1" si="98"/>
        <v/>
      </c>
      <c r="W589" s="634">
        <f ca="1">IF($Y589&gt;0,CHOOSE(MATCH(RegimeExecucao,{"Unitário","Global"},0),IF($A589="S",$Y589/$X589,""),($Y589/$X589)*100),0)</f>
        <v>0</v>
      </c>
      <c r="X589" s="433" t="str">
        <f ca="1">IF($Y589&gt;0,CHOOSE(MATCH(RegimeExecucao,{"Unitário","Global"},0),IF($A589="S",ROUND($H589,ORÇAMENTO!$AF$10),""),ROUND($I589,ORÇAMENTO!$AF$11)),"")</f>
        <v/>
      </c>
      <c r="Y589" s="433">
        <f t="shared" ca="1" si="99"/>
        <v>0</v>
      </c>
      <c r="Z589" s="434"/>
      <c r="AB589" s="431"/>
      <c r="AC589" s="599"/>
      <c r="AD589" s="599"/>
      <c r="AE589" s="599"/>
      <c r="AF589" s="599"/>
      <c r="AG589" s="599"/>
      <c r="AH589" s="599"/>
      <c r="AI589" s="599"/>
      <c r="AJ589" s="599"/>
      <c r="AK589" s="599"/>
      <c r="AL589" s="599"/>
      <c r="AM589" s="432"/>
      <c r="AO589">
        <f ca="1">IF($A589="S",IF(BM!$I589=0,0,CHOOSE(MATCH(RegimeExecucao,{"Global","Unitário"},0),ROUND(ROUND(BM.MEDAcumulado,15-13*BM!$A$9)/100*BM!$I589,15-13*ORÇAMENTO!$AF$11),ROUND(ROUND(BM.MEDAcumulado,15-13*BM!$A$9)*ROUND(BM!$H589,15-13*ORÇAMENTO!$AF$10),15-13*ORÇAMENTO!$AF$11))),IF($A589=0,0,ROUND(SomaAgrupBM,15-13*ORÇAMENTO!$AF$11)))</f>
        <v>0</v>
      </c>
    </row>
    <row r="590" spans="1:41" ht="13.8" x14ac:dyDescent="0.3">
      <c r="A590" t="str">
        <f ca="1">ORÇAMENTO!C590</f>
        <v>S</v>
      </c>
      <c r="B590">
        <f ca="1">ORÇAMENTO!D590</f>
        <v>0</v>
      </c>
      <c r="C590" s="143" t="str">
        <f t="shared" ref="C590:C617" ca="1" si="100">IF(OR($I590&gt;0,$A590=1,$A590=2,$A590=3,$A590=4),"F","")</f>
        <v/>
      </c>
      <c r="D590" s="146" t="str">
        <f ca="1">ORÇAMENTO!O590</f>
        <v>-</v>
      </c>
      <c r="E590" s="206" t="str">
        <f t="shared" ref="E590:E617" ca="1" si="101">ORÇAMENTO.Descricao</f>
        <v>(abra o arquivo 'Referência 05-2024.xls)</v>
      </c>
      <c r="F590" s="207" t="str">
        <f t="shared" ref="F590:F617" ca="1" si="102">IF(RegimeExecucao="Global","",ORÇAMENTO.Unidade)</f>
        <v>-</v>
      </c>
      <c r="G590" s="151">
        <f ca="1">IF(RegimeExecucao="Global","",ORÇAMENTO!T590)</f>
        <v>256.60000000000002</v>
      </c>
      <c r="H590" s="151">
        <f ca="1">IF(RegimeExecucao="Global","",ORÇAMENTO!W590)</f>
        <v>0</v>
      </c>
      <c r="I590" s="154">
        <f ca="1">ORÇAMENTO!X590</f>
        <v>0</v>
      </c>
      <c r="J590" s="427">
        <f t="shared" ref="J590:J617" ca="1" si="103">IF($A590="S",IF(CAIXA.Modo,BM.AFAnterior,BM.MEDAnterior),IF(AND(RegimeExecucao="Global",$I590&gt;0,COUNTIF($AB$13:$AM$13,BM.medicao-1)&gt;0),M590/$I590*100,0))</f>
        <v>0</v>
      </c>
      <c r="K590" s="151">
        <f t="shared" ref="K590:K617" ca="1" si="104">L590-J590</f>
        <v>0</v>
      </c>
      <c r="L590" s="428">
        <f t="shared" ref="L590:L617" ca="1" si="105">IF($A590="S",IF(CAIXA.Modo,BM.AFAcumulado,BM.MEDAcumulado),IF(AND(RegimeExecucao="Global",$I590&gt;0,COUNTIF($AB$13:$AM$13,BM.medicao)&gt;0),O590/$I590*100,0))</f>
        <v>0</v>
      </c>
      <c r="M590" s="429">
        <f ca="1">IF($A590="S",VTOTALBM,IF($A590=0,0,ROUND(SomaAgrupBM,15-13*ORÇAMENTO!$AF$11)))</f>
        <v>0</v>
      </c>
      <c r="N590" s="430">
        <f t="shared" ref="N590:N617" ca="1" si="106">O590-M590</f>
        <v>0</v>
      </c>
      <c r="O590" s="154">
        <f ca="1">IF($A590="S",VTOTALBM,IF($A590=0,0,ROUND(SomaAgrupBM,15-13*ORÇAMENTO!$AF$11)))</f>
        <v>0</v>
      </c>
      <c r="Q590" s="431"/>
      <c r="R590" s="432"/>
      <c r="T590" s="146" t="str">
        <f t="shared" ref="T590:T617" ca="1" si="107">IF($W590&gt;0,$D590,"")</f>
        <v/>
      </c>
      <c r="U590" s="206" t="str">
        <f t="shared" ref="U590:U617" ca="1" si="108">IF($W590&gt;0,$E590,"")</f>
        <v/>
      </c>
      <c r="V590" s="207" t="str">
        <f t="shared" ref="V590:V617" ca="1" si="109">IF(AND($W590&gt;0,RegimeExecucao="Unitário"),$F590,"")</f>
        <v/>
      </c>
      <c r="W590" s="634">
        <f ca="1">IF($Y590&gt;0,CHOOSE(MATCH(RegimeExecucao,{"Unitário","Global"},0),IF($A590="S",$Y590/$X590,""),($Y590/$X590)*100),0)</f>
        <v>0</v>
      </c>
      <c r="X590" s="433" t="str">
        <f ca="1">IF($Y590&gt;0,CHOOSE(MATCH(RegimeExecucao,{"Unitário","Global"},0),IF($A590="S",ROUND($H590,ORÇAMENTO!$AF$10),""),ROUND($I590,ORÇAMENTO!$AF$11)),"")</f>
        <v/>
      </c>
      <c r="Y590" s="433">
        <f t="shared" ref="Y590:Y617" ca="1" si="110">AO590-O590</f>
        <v>0</v>
      </c>
      <c r="Z590" s="434"/>
      <c r="AB590" s="431"/>
      <c r="AC590" s="599"/>
      <c r="AD590" s="599"/>
      <c r="AE590" s="599"/>
      <c r="AF590" s="599"/>
      <c r="AG590" s="599"/>
      <c r="AH590" s="599"/>
      <c r="AI590" s="599"/>
      <c r="AJ590" s="599"/>
      <c r="AK590" s="599"/>
      <c r="AL590" s="599"/>
      <c r="AM590" s="432"/>
      <c r="AO590">
        <f ca="1">IF($A590="S",IF(BM!$I590=0,0,CHOOSE(MATCH(RegimeExecucao,{"Global","Unitário"},0),ROUND(ROUND(BM.MEDAcumulado,15-13*BM!$A$9)/100*BM!$I590,15-13*ORÇAMENTO!$AF$11),ROUND(ROUND(BM.MEDAcumulado,15-13*BM!$A$9)*ROUND(BM!$H590,15-13*ORÇAMENTO!$AF$10),15-13*ORÇAMENTO!$AF$11))),IF($A590=0,0,ROUND(SomaAgrupBM,15-13*ORÇAMENTO!$AF$11)))</f>
        <v>0</v>
      </c>
    </row>
    <row r="591" spans="1:41" ht="13.8" x14ac:dyDescent="0.3">
      <c r="A591" t="str">
        <f ca="1">ORÇAMENTO!C591</f>
        <v>S</v>
      </c>
      <c r="B591">
        <f ca="1">ORÇAMENTO!D591</f>
        <v>0</v>
      </c>
      <c r="C591" s="143" t="str">
        <f t="shared" ca="1" si="100"/>
        <v/>
      </c>
      <c r="D591" s="146" t="str">
        <f ca="1">ORÇAMENTO!O591</f>
        <v>-</v>
      </c>
      <c r="E591" s="206" t="str">
        <f t="shared" ca="1" si="101"/>
        <v>(abra o arquivo 'Referência 05-2024.xls)</v>
      </c>
      <c r="F591" s="207" t="str">
        <f t="shared" ca="1" si="102"/>
        <v>-</v>
      </c>
      <c r="G591" s="151">
        <f ca="1">IF(RegimeExecucao="Global","",ORÇAMENTO!T591)</f>
        <v>221.6</v>
      </c>
      <c r="H591" s="151">
        <f ca="1">IF(RegimeExecucao="Global","",ORÇAMENTO!W591)</f>
        <v>0</v>
      </c>
      <c r="I591" s="154">
        <f ca="1">ORÇAMENTO!X591</f>
        <v>0</v>
      </c>
      <c r="J591" s="427">
        <f t="shared" ca="1" si="103"/>
        <v>0</v>
      </c>
      <c r="K591" s="151">
        <f t="shared" ca="1" si="104"/>
        <v>0</v>
      </c>
      <c r="L591" s="428">
        <f t="shared" ca="1" si="105"/>
        <v>0</v>
      </c>
      <c r="M591" s="429">
        <f ca="1">IF($A591="S",VTOTALBM,IF($A591=0,0,ROUND(SomaAgrupBM,15-13*ORÇAMENTO!$AF$11)))</f>
        <v>0</v>
      </c>
      <c r="N591" s="430">
        <f t="shared" ca="1" si="106"/>
        <v>0</v>
      </c>
      <c r="O591" s="154">
        <f ca="1">IF($A591="S",VTOTALBM,IF($A591=0,0,ROUND(SomaAgrupBM,15-13*ORÇAMENTO!$AF$11)))</f>
        <v>0</v>
      </c>
      <c r="Q591" s="431"/>
      <c r="R591" s="432"/>
      <c r="T591" s="146" t="str">
        <f t="shared" ca="1" si="107"/>
        <v/>
      </c>
      <c r="U591" s="206" t="str">
        <f t="shared" ca="1" si="108"/>
        <v/>
      </c>
      <c r="V591" s="207" t="str">
        <f t="shared" ca="1" si="109"/>
        <v/>
      </c>
      <c r="W591" s="634">
        <f ca="1">IF($Y591&gt;0,CHOOSE(MATCH(RegimeExecucao,{"Unitário","Global"},0),IF($A591="S",$Y591/$X591,""),($Y591/$X591)*100),0)</f>
        <v>0</v>
      </c>
      <c r="X591" s="433" t="str">
        <f ca="1">IF($Y591&gt;0,CHOOSE(MATCH(RegimeExecucao,{"Unitário","Global"},0),IF($A591="S",ROUND($H591,ORÇAMENTO!$AF$10),""),ROUND($I591,ORÇAMENTO!$AF$11)),"")</f>
        <v/>
      </c>
      <c r="Y591" s="433">
        <f t="shared" ca="1" si="110"/>
        <v>0</v>
      </c>
      <c r="Z591" s="434"/>
      <c r="AB591" s="431"/>
      <c r="AC591" s="599"/>
      <c r="AD591" s="599"/>
      <c r="AE591" s="599"/>
      <c r="AF591" s="599"/>
      <c r="AG591" s="599"/>
      <c r="AH591" s="599"/>
      <c r="AI591" s="599"/>
      <c r="AJ591" s="599"/>
      <c r="AK591" s="599"/>
      <c r="AL591" s="599"/>
      <c r="AM591" s="432"/>
      <c r="AO591">
        <f ca="1">IF($A591="S",IF(BM!$I591=0,0,CHOOSE(MATCH(RegimeExecucao,{"Global","Unitário"},0),ROUND(ROUND(BM.MEDAcumulado,15-13*BM!$A$9)/100*BM!$I591,15-13*ORÇAMENTO!$AF$11),ROUND(ROUND(BM.MEDAcumulado,15-13*BM!$A$9)*ROUND(BM!$H591,15-13*ORÇAMENTO!$AF$10),15-13*ORÇAMENTO!$AF$11))),IF($A591=0,0,ROUND(SomaAgrupBM,15-13*ORÇAMENTO!$AF$11)))</f>
        <v>0</v>
      </c>
    </row>
    <row r="592" spans="1:41" ht="13.8" x14ac:dyDescent="0.3">
      <c r="A592">
        <f ca="1">ORÇAMENTO!C592</f>
        <v>3</v>
      </c>
      <c r="B592">
        <f ca="1">ORÇAMENTO!D592</f>
        <v>8</v>
      </c>
      <c r="C592" s="143" t="str">
        <f t="shared" ca="1" si="100"/>
        <v>F</v>
      </c>
      <c r="D592" s="146" t="str">
        <f ca="1">ORÇAMENTO!O592</f>
        <v>1.18.5.</v>
      </c>
      <c r="E592" s="206" t="str">
        <f t="shared" si="101"/>
        <v>ELETROCALHAS</v>
      </c>
      <c r="F592" s="207" t="str">
        <f t="shared" ca="1" si="102"/>
        <v>-</v>
      </c>
      <c r="G592" s="151">
        <f ca="1">IF(RegimeExecucao="Global","",ORÇAMENTO!T592)</f>
        <v>0</v>
      </c>
      <c r="H592" s="151">
        <f ca="1">IF(RegimeExecucao="Global","",ORÇAMENTO!W592)</f>
        <v>0</v>
      </c>
      <c r="I592" s="154">
        <f ca="1">ORÇAMENTO!X592</f>
        <v>0</v>
      </c>
      <c r="J592" s="427">
        <f t="shared" ca="1" si="103"/>
        <v>0</v>
      </c>
      <c r="K592" s="151">
        <f t="shared" ca="1" si="104"/>
        <v>0</v>
      </c>
      <c r="L592" s="428">
        <f t="shared" ca="1" si="105"/>
        <v>0</v>
      </c>
      <c r="M592" s="429">
        <f ca="1">IF($A592="S",VTOTALBM,IF($A592=0,0,ROUND(SomaAgrupBM,15-13*ORÇAMENTO!$AF$11)))</f>
        <v>0</v>
      </c>
      <c r="N592" s="430">
        <f t="shared" ca="1" si="106"/>
        <v>0</v>
      </c>
      <c r="O592" s="154">
        <f ca="1">IF($A592="S",VTOTALBM,IF($A592=0,0,ROUND(SomaAgrupBM,15-13*ORÇAMENTO!$AF$11)))</f>
        <v>0</v>
      </c>
      <c r="Q592" s="431"/>
      <c r="R592" s="432"/>
      <c r="T592" s="146" t="str">
        <f t="shared" ca="1" si="107"/>
        <v/>
      </c>
      <c r="U592" s="206" t="str">
        <f t="shared" ca="1" si="108"/>
        <v/>
      </c>
      <c r="V592" s="207" t="str">
        <f t="shared" ca="1" si="109"/>
        <v/>
      </c>
      <c r="W592" s="634">
        <f ca="1">IF($Y592&gt;0,CHOOSE(MATCH(RegimeExecucao,{"Unitário","Global"},0),IF($A592="S",$Y592/$X592,""),($Y592/$X592)*100),0)</f>
        <v>0</v>
      </c>
      <c r="X592" s="433" t="str">
        <f ca="1">IF($Y592&gt;0,CHOOSE(MATCH(RegimeExecucao,{"Unitário","Global"},0),IF($A592="S",ROUND($H592,ORÇAMENTO!$AF$10),""),ROUND($I592,ORÇAMENTO!$AF$11)),"")</f>
        <v/>
      </c>
      <c r="Y592" s="433">
        <f t="shared" ca="1" si="110"/>
        <v>0</v>
      </c>
      <c r="Z592" s="434"/>
      <c r="AB592" s="431"/>
      <c r="AC592" s="599"/>
      <c r="AD592" s="599"/>
      <c r="AE592" s="599"/>
      <c r="AF592" s="599"/>
      <c r="AG592" s="599"/>
      <c r="AH592" s="599"/>
      <c r="AI592" s="599"/>
      <c r="AJ592" s="599"/>
      <c r="AK592" s="599"/>
      <c r="AL592" s="599"/>
      <c r="AM592" s="432"/>
      <c r="AO592">
        <f ca="1">IF($A592="S",IF(BM!$I592=0,0,CHOOSE(MATCH(RegimeExecucao,{"Global","Unitário"},0),ROUND(ROUND(BM.MEDAcumulado,15-13*BM!$A$9)/100*BM!$I592,15-13*ORÇAMENTO!$AF$11),ROUND(ROUND(BM.MEDAcumulado,15-13*BM!$A$9)*ROUND(BM!$H592,15-13*ORÇAMENTO!$AF$10),15-13*ORÇAMENTO!$AF$11))),IF($A592=0,0,ROUND(SomaAgrupBM,15-13*ORÇAMENTO!$AF$11)))</f>
        <v>0</v>
      </c>
    </row>
    <row r="593" spans="1:41" ht="13.8" x14ac:dyDescent="0.3">
      <c r="A593" t="str">
        <f ca="1">ORÇAMENTO!C593</f>
        <v>S</v>
      </c>
      <c r="B593">
        <f ca="1">ORÇAMENTO!D593</f>
        <v>0</v>
      </c>
      <c r="C593" s="143" t="str">
        <f t="shared" ca="1" si="100"/>
        <v/>
      </c>
      <c r="D593" s="146" t="str">
        <f ca="1">ORÇAMENTO!O593</f>
        <v>-</v>
      </c>
      <c r="E593" s="206" t="str">
        <f t="shared" ca="1" si="101"/>
        <v>(abra o arquivo 'Referência 05-2024.xls)</v>
      </c>
      <c r="F593" s="207" t="str">
        <f t="shared" ca="1" si="102"/>
        <v>-</v>
      </c>
      <c r="G593" s="151">
        <f ca="1">IF(RegimeExecucao="Global","",ORÇAMENTO!T593)</f>
        <v>17.7</v>
      </c>
      <c r="H593" s="151">
        <f ca="1">IF(RegimeExecucao="Global","",ORÇAMENTO!W593)</f>
        <v>0</v>
      </c>
      <c r="I593" s="154">
        <f ca="1">ORÇAMENTO!X593</f>
        <v>0</v>
      </c>
      <c r="J593" s="427">
        <f t="shared" ca="1" si="103"/>
        <v>0</v>
      </c>
      <c r="K593" s="151">
        <f t="shared" ca="1" si="104"/>
        <v>0</v>
      </c>
      <c r="L593" s="428">
        <f t="shared" ca="1" si="105"/>
        <v>0</v>
      </c>
      <c r="M593" s="429">
        <f ca="1">IF($A593="S",VTOTALBM,IF($A593=0,0,ROUND(SomaAgrupBM,15-13*ORÇAMENTO!$AF$11)))</f>
        <v>0</v>
      </c>
      <c r="N593" s="430">
        <f t="shared" ca="1" si="106"/>
        <v>0</v>
      </c>
      <c r="O593" s="154">
        <f ca="1">IF($A593="S",VTOTALBM,IF($A593=0,0,ROUND(SomaAgrupBM,15-13*ORÇAMENTO!$AF$11)))</f>
        <v>0</v>
      </c>
      <c r="Q593" s="431"/>
      <c r="R593" s="432"/>
      <c r="T593" s="146" t="str">
        <f t="shared" ca="1" si="107"/>
        <v/>
      </c>
      <c r="U593" s="206" t="str">
        <f t="shared" ca="1" si="108"/>
        <v/>
      </c>
      <c r="V593" s="207" t="str">
        <f t="shared" ca="1" si="109"/>
        <v/>
      </c>
      <c r="W593" s="634">
        <f ca="1">IF($Y593&gt;0,CHOOSE(MATCH(RegimeExecucao,{"Unitário","Global"},0),IF($A593="S",$Y593/$X593,""),($Y593/$X593)*100),0)</f>
        <v>0</v>
      </c>
      <c r="X593" s="433" t="str">
        <f ca="1">IF($Y593&gt;0,CHOOSE(MATCH(RegimeExecucao,{"Unitário","Global"},0),IF($A593="S",ROUND($H593,ORÇAMENTO!$AF$10),""),ROUND($I593,ORÇAMENTO!$AF$11)),"")</f>
        <v/>
      </c>
      <c r="Y593" s="433">
        <f t="shared" ca="1" si="110"/>
        <v>0</v>
      </c>
      <c r="Z593" s="434"/>
      <c r="AB593" s="431"/>
      <c r="AC593" s="599"/>
      <c r="AD593" s="599"/>
      <c r="AE593" s="599"/>
      <c r="AF593" s="599"/>
      <c r="AG593" s="599"/>
      <c r="AH593" s="599"/>
      <c r="AI593" s="599"/>
      <c r="AJ593" s="599"/>
      <c r="AK593" s="599"/>
      <c r="AL593" s="599"/>
      <c r="AM593" s="432"/>
      <c r="AO593">
        <f ca="1">IF($A593="S",IF(BM!$I593=0,0,CHOOSE(MATCH(RegimeExecucao,{"Global","Unitário"},0),ROUND(ROUND(BM.MEDAcumulado,15-13*BM!$A$9)/100*BM!$I593,15-13*ORÇAMENTO!$AF$11),ROUND(ROUND(BM.MEDAcumulado,15-13*BM!$A$9)*ROUND(BM!$H593,15-13*ORÇAMENTO!$AF$10),15-13*ORÇAMENTO!$AF$11))),IF($A593=0,0,ROUND(SomaAgrupBM,15-13*ORÇAMENTO!$AF$11)))</f>
        <v>0</v>
      </c>
    </row>
    <row r="594" spans="1:41" ht="13.8" x14ac:dyDescent="0.3">
      <c r="A594" t="str">
        <f ca="1">ORÇAMENTO!C594</f>
        <v>S</v>
      </c>
      <c r="B594">
        <f ca="1">ORÇAMENTO!D594</f>
        <v>0</v>
      </c>
      <c r="C594" s="143" t="str">
        <f t="shared" ca="1" si="100"/>
        <v/>
      </c>
      <c r="D594" s="146" t="str">
        <f ca="1">ORÇAMENTO!O594</f>
        <v>-</v>
      </c>
      <c r="E594" s="206" t="str">
        <f t="shared" ca="1" si="101"/>
        <v>(abra o arquivo 'Referência 05-2024.xls)</v>
      </c>
      <c r="F594" s="207" t="str">
        <f t="shared" ca="1" si="102"/>
        <v>-</v>
      </c>
      <c r="G594" s="151">
        <f ca="1">IF(RegimeExecucao="Global","",ORÇAMENTO!T594)</f>
        <v>8.5</v>
      </c>
      <c r="H594" s="151">
        <f ca="1">IF(RegimeExecucao="Global","",ORÇAMENTO!W594)</f>
        <v>0</v>
      </c>
      <c r="I594" s="154">
        <f ca="1">ORÇAMENTO!X594</f>
        <v>0</v>
      </c>
      <c r="J594" s="427">
        <f t="shared" ca="1" si="103"/>
        <v>0</v>
      </c>
      <c r="K594" s="151">
        <f t="shared" ca="1" si="104"/>
        <v>0</v>
      </c>
      <c r="L594" s="428">
        <f t="shared" ca="1" si="105"/>
        <v>0</v>
      </c>
      <c r="M594" s="429">
        <f ca="1">IF($A594="S",VTOTALBM,IF($A594=0,0,ROUND(SomaAgrupBM,15-13*ORÇAMENTO!$AF$11)))</f>
        <v>0</v>
      </c>
      <c r="N594" s="430">
        <f t="shared" ca="1" si="106"/>
        <v>0</v>
      </c>
      <c r="O594" s="154">
        <f ca="1">IF($A594="S",VTOTALBM,IF($A594=0,0,ROUND(SomaAgrupBM,15-13*ORÇAMENTO!$AF$11)))</f>
        <v>0</v>
      </c>
      <c r="Q594" s="431"/>
      <c r="R594" s="432"/>
      <c r="T594" s="146" t="str">
        <f t="shared" ca="1" si="107"/>
        <v/>
      </c>
      <c r="U594" s="206" t="str">
        <f t="shared" ca="1" si="108"/>
        <v/>
      </c>
      <c r="V594" s="207" t="str">
        <f t="shared" ca="1" si="109"/>
        <v/>
      </c>
      <c r="W594" s="634">
        <f ca="1">IF($Y594&gt;0,CHOOSE(MATCH(RegimeExecucao,{"Unitário","Global"},0),IF($A594="S",$Y594/$X594,""),($Y594/$X594)*100),0)</f>
        <v>0</v>
      </c>
      <c r="X594" s="433" t="str">
        <f ca="1">IF($Y594&gt;0,CHOOSE(MATCH(RegimeExecucao,{"Unitário","Global"},0),IF($A594="S",ROUND($H594,ORÇAMENTO!$AF$10),""),ROUND($I594,ORÇAMENTO!$AF$11)),"")</f>
        <v/>
      </c>
      <c r="Y594" s="433">
        <f t="shared" ca="1" si="110"/>
        <v>0</v>
      </c>
      <c r="Z594" s="434"/>
      <c r="AB594" s="431"/>
      <c r="AC594" s="599"/>
      <c r="AD594" s="599"/>
      <c r="AE594" s="599"/>
      <c r="AF594" s="599"/>
      <c r="AG594" s="599"/>
      <c r="AH594" s="599"/>
      <c r="AI594" s="599"/>
      <c r="AJ594" s="599"/>
      <c r="AK594" s="599"/>
      <c r="AL594" s="599"/>
      <c r="AM594" s="432"/>
      <c r="AO594">
        <f ca="1">IF($A594="S",IF(BM!$I594=0,0,CHOOSE(MATCH(RegimeExecucao,{"Global","Unitário"},0),ROUND(ROUND(BM.MEDAcumulado,15-13*BM!$A$9)/100*BM!$I594,15-13*ORÇAMENTO!$AF$11),ROUND(ROUND(BM.MEDAcumulado,15-13*BM!$A$9)*ROUND(BM!$H594,15-13*ORÇAMENTO!$AF$10),15-13*ORÇAMENTO!$AF$11))),IF($A594=0,0,ROUND(SomaAgrupBM,15-13*ORÇAMENTO!$AF$11)))</f>
        <v>0</v>
      </c>
    </row>
    <row r="595" spans="1:41" ht="13.8" x14ac:dyDescent="0.3">
      <c r="A595" t="str">
        <f ca="1">ORÇAMENTO!C595</f>
        <v>S</v>
      </c>
      <c r="B595">
        <f ca="1">ORÇAMENTO!D595</f>
        <v>0</v>
      </c>
      <c r="C595" s="143" t="str">
        <f t="shared" ca="1" si="100"/>
        <v/>
      </c>
      <c r="D595" s="146" t="str">
        <f ca="1">ORÇAMENTO!O595</f>
        <v>-</v>
      </c>
      <c r="E595" s="206" t="str">
        <f t="shared" ca="1" si="101"/>
        <v>(abra o arquivo 'Referência 05-2024.xls)</v>
      </c>
      <c r="F595" s="207" t="str">
        <f t="shared" ca="1" si="102"/>
        <v>-</v>
      </c>
      <c r="G595" s="151">
        <f ca="1">IF(RegimeExecucao="Global","",ORÇAMENTO!T595)</f>
        <v>100.7</v>
      </c>
      <c r="H595" s="151">
        <f ca="1">IF(RegimeExecucao="Global","",ORÇAMENTO!W595)</f>
        <v>0</v>
      </c>
      <c r="I595" s="154">
        <f ca="1">ORÇAMENTO!X595</f>
        <v>0</v>
      </c>
      <c r="J595" s="427">
        <f t="shared" ca="1" si="103"/>
        <v>0</v>
      </c>
      <c r="K595" s="151">
        <f t="shared" ca="1" si="104"/>
        <v>0</v>
      </c>
      <c r="L595" s="428">
        <f t="shared" ca="1" si="105"/>
        <v>0</v>
      </c>
      <c r="M595" s="429">
        <f ca="1">IF($A595="S",VTOTALBM,IF($A595=0,0,ROUND(SomaAgrupBM,15-13*ORÇAMENTO!$AF$11)))</f>
        <v>0</v>
      </c>
      <c r="N595" s="430">
        <f t="shared" ca="1" si="106"/>
        <v>0</v>
      </c>
      <c r="O595" s="154">
        <f ca="1">IF($A595="S",VTOTALBM,IF($A595=0,0,ROUND(SomaAgrupBM,15-13*ORÇAMENTO!$AF$11)))</f>
        <v>0</v>
      </c>
      <c r="Q595" s="431"/>
      <c r="R595" s="432"/>
      <c r="T595" s="146" t="str">
        <f t="shared" ca="1" si="107"/>
        <v/>
      </c>
      <c r="U595" s="206" t="str">
        <f t="shared" ca="1" si="108"/>
        <v/>
      </c>
      <c r="V595" s="207" t="str">
        <f t="shared" ca="1" si="109"/>
        <v/>
      </c>
      <c r="W595" s="634">
        <f ca="1">IF($Y595&gt;0,CHOOSE(MATCH(RegimeExecucao,{"Unitário","Global"},0),IF($A595="S",$Y595/$X595,""),($Y595/$X595)*100),0)</f>
        <v>0</v>
      </c>
      <c r="X595" s="433" t="str">
        <f ca="1">IF($Y595&gt;0,CHOOSE(MATCH(RegimeExecucao,{"Unitário","Global"},0),IF($A595="S",ROUND($H595,ORÇAMENTO!$AF$10),""),ROUND($I595,ORÇAMENTO!$AF$11)),"")</f>
        <v/>
      </c>
      <c r="Y595" s="433">
        <f t="shared" ca="1" si="110"/>
        <v>0</v>
      </c>
      <c r="Z595" s="434"/>
      <c r="AB595" s="431"/>
      <c r="AC595" s="599"/>
      <c r="AD595" s="599"/>
      <c r="AE595" s="599"/>
      <c r="AF595" s="599"/>
      <c r="AG595" s="599"/>
      <c r="AH595" s="599"/>
      <c r="AI595" s="599"/>
      <c r="AJ595" s="599"/>
      <c r="AK595" s="599"/>
      <c r="AL595" s="599"/>
      <c r="AM595" s="432"/>
      <c r="AO595">
        <f ca="1">IF($A595="S",IF(BM!$I595=0,0,CHOOSE(MATCH(RegimeExecucao,{"Global","Unitário"},0),ROUND(ROUND(BM.MEDAcumulado,15-13*BM!$A$9)/100*BM!$I595,15-13*ORÇAMENTO!$AF$11),ROUND(ROUND(BM.MEDAcumulado,15-13*BM!$A$9)*ROUND(BM!$H595,15-13*ORÇAMENTO!$AF$10),15-13*ORÇAMENTO!$AF$11))),IF($A595=0,0,ROUND(SomaAgrupBM,15-13*ORÇAMENTO!$AF$11)))</f>
        <v>0</v>
      </c>
    </row>
    <row r="596" spans="1:41" ht="13.8" x14ac:dyDescent="0.3">
      <c r="A596" t="str">
        <f ca="1">ORÇAMENTO!C596</f>
        <v>S</v>
      </c>
      <c r="B596">
        <f ca="1">ORÇAMENTO!D596</f>
        <v>0</v>
      </c>
      <c r="C596" s="143" t="str">
        <f t="shared" ca="1" si="100"/>
        <v/>
      </c>
      <c r="D596" s="146" t="str">
        <f ca="1">ORÇAMENTO!O596</f>
        <v>-</v>
      </c>
      <c r="E596" s="206" t="str">
        <f t="shared" ca="1" si="101"/>
        <v>(abra o arquivo 'Referência 05-2024.xls)</v>
      </c>
      <c r="F596" s="207" t="str">
        <f t="shared" ca="1" si="102"/>
        <v>-</v>
      </c>
      <c r="G596" s="151">
        <f ca="1">IF(RegimeExecucao="Global","",ORÇAMENTO!T596)</f>
        <v>0.4</v>
      </c>
      <c r="H596" s="151">
        <f ca="1">IF(RegimeExecucao="Global","",ORÇAMENTO!W596)</f>
        <v>0</v>
      </c>
      <c r="I596" s="154">
        <f ca="1">ORÇAMENTO!X596</f>
        <v>0</v>
      </c>
      <c r="J596" s="427">
        <f t="shared" ca="1" si="103"/>
        <v>0</v>
      </c>
      <c r="K596" s="151">
        <f t="shared" ca="1" si="104"/>
        <v>0</v>
      </c>
      <c r="L596" s="428">
        <f t="shared" ca="1" si="105"/>
        <v>0</v>
      </c>
      <c r="M596" s="429">
        <f ca="1">IF($A596="S",VTOTALBM,IF($A596=0,0,ROUND(SomaAgrupBM,15-13*ORÇAMENTO!$AF$11)))</f>
        <v>0</v>
      </c>
      <c r="N596" s="430">
        <f t="shared" ca="1" si="106"/>
        <v>0</v>
      </c>
      <c r="O596" s="154">
        <f ca="1">IF($A596="S",VTOTALBM,IF($A596=0,0,ROUND(SomaAgrupBM,15-13*ORÇAMENTO!$AF$11)))</f>
        <v>0</v>
      </c>
      <c r="Q596" s="431"/>
      <c r="R596" s="432"/>
      <c r="T596" s="146" t="str">
        <f t="shared" ca="1" si="107"/>
        <v/>
      </c>
      <c r="U596" s="206" t="str">
        <f t="shared" ca="1" si="108"/>
        <v/>
      </c>
      <c r="V596" s="207" t="str">
        <f t="shared" ca="1" si="109"/>
        <v/>
      </c>
      <c r="W596" s="634">
        <f ca="1">IF($Y596&gt;0,CHOOSE(MATCH(RegimeExecucao,{"Unitário","Global"},0),IF($A596="S",$Y596/$X596,""),($Y596/$X596)*100),0)</f>
        <v>0</v>
      </c>
      <c r="X596" s="433" t="str">
        <f ca="1">IF($Y596&gt;0,CHOOSE(MATCH(RegimeExecucao,{"Unitário","Global"},0),IF($A596="S",ROUND($H596,ORÇAMENTO!$AF$10),""),ROUND($I596,ORÇAMENTO!$AF$11)),"")</f>
        <v/>
      </c>
      <c r="Y596" s="433">
        <f t="shared" ca="1" si="110"/>
        <v>0</v>
      </c>
      <c r="Z596" s="434"/>
      <c r="AB596" s="431"/>
      <c r="AC596" s="599"/>
      <c r="AD596" s="599"/>
      <c r="AE596" s="599"/>
      <c r="AF596" s="599"/>
      <c r="AG596" s="599"/>
      <c r="AH596" s="599"/>
      <c r="AI596" s="599"/>
      <c r="AJ596" s="599"/>
      <c r="AK596" s="599"/>
      <c r="AL596" s="599"/>
      <c r="AM596" s="432"/>
      <c r="AO596">
        <f ca="1">IF($A596="S",IF(BM!$I596=0,0,CHOOSE(MATCH(RegimeExecucao,{"Global","Unitário"},0),ROUND(ROUND(BM.MEDAcumulado,15-13*BM!$A$9)/100*BM!$I596,15-13*ORÇAMENTO!$AF$11),ROUND(ROUND(BM.MEDAcumulado,15-13*BM!$A$9)*ROUND(BM!$H596,15-13*ORÇAMENTO!$AF$10),15-13*ORÇAMENTO!$AF$11))),IF($A596=0,0,ROUND(SomaAgrupBM,15-13*ORÇAMENTO!$AF$11)))</f>
        <v>0</v>
      </c>
    </row>
    <row r="597" spans="1:41" ht="13.8" x14ac:dyDescent="0.3">
      <c r="A597" t="str">
        <f ca="1">ORÇAMENTO!C597</f>
        <v>S</v>
      </c>
      <c r="B597">
        <f ca="1">ORÇAMENTO!D597</f>
        <v>0</v>
      </c>
      <c r="C597" s="143" t="str">
        <f t="shared" ca="1" si="100"/>
        <v/>
      </c>
      <c r="D597" s="146" t="str">
        <f ca="1">ORÇAMENTO!O597</f>
        <v>-</v>
      </c>
      <c r="E597" s="206" t="str">
        <f t="shared" ca="1" si="101"/>
        <v>(abra o arquivo 'Referência 05-2024.xls)</v>
      </c>
      <c r="F597" s="207" t="str">
        <f t="shared" ca="1" si="102"/>
        <v>-</v>
      </c>
      <c r="G597" s="151">
        <f ca="1">IF(RegimeExecucao="Global","",ORÇAMENTO!T597)</f>
        <v>2.9</v>
      </c>
      <c r="H597" s="151">
        <f ca="1">IF(RegimeExecucao="Global","",ORÇAMENTO!W597)</f>
        <v>0</v>
      </c>
      <c r="I597" s="154">
        <f ca="1">ORÇAMENTO!X597</f>
        <v>0</v>
      </c>
      <c r="J597" s="427">
        <f t="shared" ca="1" si="103"/>
        <v>0</v>
      </c>
      <c r="K597" s="151">
        <f t="shared" ca="1" si="104"/>
        <v>0</v>
      </c>
      <c r="L597" s="428">
        <f t="shared" ca="1" si="105"/>
        <v>0</v>
      </c>
      <c r="M597" s="429">
        <f ca="1">IF($A597="S",VTOTALBM,IF($A597=0,0,ROUND(SomaAgrupBM,15-13*ORÇAMENTO!$AF$11)))</f>
        <v>0</v>
      </c>
      <c r="N597" s="430">
        <f t="shared" ca="1" si="106"/>
        <v>0</v>
      </c>
      <c r="O597" s="154">
        <f ca="1">IF($A597="S",VTOTALBM,IF($A597=0,0,ROUND(SomaAgrupBM,15-13*ORÇAMENTO!$AF$11)))</f>
        <v>0</v>
      </c>
      <c r="Q597" s="431"/>
      <c r="R597" s="432"/>
      <c r="T597" s="146" t="str">
        <f t="shared" ca="1" si="107"/>
        <v/>
      </c>
      <c r="U597" s="206" t="str">
        <f t="shared" ca="1" si="108"/>
        <v/>
      </c>
      <c r="V597" s="207" t="str">
        <f t="shared" ca="1" si="109"/>
        <v/>
      </c>
      <c r="W597" s="634">
        <f ca="1">IF($Y597&gt;0,CHOOSE(MATCH(RegimeExecucao,{"Unitário","Global"},0),IF($A597="S",$Y597/$X597,""),($Y597/$X597)*100),0)</f>
        <v>0</v>
      </c>
      <c r="X597" s="433" t="str">
        <f ca="1">IF($Y597&gt;0,CHOOSE(MATCH(RegimeExecucao,{"Unitário","Global"},0),IF($A597="S",ROUND($H597,ORÇAMENTO!$AF$10),""),ROUND($I597,ORÇAMENTO!$AF$11)),"")</f>
        <v/>
      </c>
      <c r="Y597" s="433">
        <f t="shared" ca="1" si="110"/>
        <v>0</v>
      </c>
      <c r="Z597" s="434"/>
      <c r="AB597" s="431"/>
      <c r="AC597" s="599"/>
      <c r="AD597" s="599"/>
      <c r="AE597" s="599"/>
      <c r="AF597" s="599"/>
      <c r="AG597" s="599"/>
      <c r="AH597" s="599"/>
      <c r="AI597" s="599"/>
      <c r="AJ597" s="599"/>
      <c r="AK597" s="599"/>
      <c r="AL597" s="599"/>
      <c r="AM597" s="432"/>
      <c r="AO597">
        <f ca="1">IF($A597="S",IF(BM!$I597=0,0,CHOOSE(MATCH(RegimeExecucao,{"Global","Unitário"},0),ROUND(ROUND(BM.MEDAcumulado,15-13*BM!$A$9)/100*BM!$I597,15-13*ORÇAMENTO!$AF$11),ROUND(ROUND(BM.MEDAcumulado,15-13*BM!$A$9)*ROUND(BM!$H597,15-13*ORÇAMENTO!$AF$10),15-13*ORÇAMENTO!$AF$11))),IF($A597=0,0,ROUND(SomaAgrupBM,15-13*ORÇAMENTO!$AF$11)))</f>
        <v>0</v>
      </c>
    </row>
    <row r="598" spans="1:41" ht="13.8" x14ac:dyDescent="0.3">
      <c r="A598" t="str">
        <f ca="1">ORÇAMENTO!C598</f>
        <v>S</v>
      </c>
      <c r="B598">
        <f ca="1">ORÇAMENTO!D598</f>
        <v>0</v>
      </c>
      <c r="C598" s="143" t="str">
        <f t="shared" ca="1" si="100"/>
        <v/>
      </c>
      <c r="D598" s="146" t="str">
        <f ca="1">ORÇAMENTO!O598</f>
        <v>-</v>
      </c>
      <c r="E598" s="206" t="str">
        <f t="shared" ca="1" si="101"/>
        <v>(abra o arquivo 'Referência 05-2024.xls)</v>
      </c>
      <c r="F598" s="207" t="str">
        <f t="shared" ca="1" si="102"/>
        <v>-</v>
      </c>
      <c r="G598" s="151">
        <f ca="1">IF(RegimeExecucao="Global","",ORÇAMENTO!T598)</f>
        <v>19.7</v>
      </c>
      <c r="H598" s="151">
        <f ca="1">IF(RegimeExecucao="Global","",ORÇAMENTO!W598)</f>
        <v>0</v>
      </c>
      <c r="I598" s="154">
        <f ca="1">ORÇAMENTO!X598</f>
        <v>0</v>
      </c>
      <c r="J598" s="427">
        <f t="shared" ca="1" si="103"/>
        <v>0</v>
      </c>
      <c r="K598" s="151">
        <f t="shared" ca="1" si="104"/>
        <v>0</v>
      </c>
      <c r="L598" s="428">
        <f t="shared" ca="1" si="105"/>
        <v>0</v>
      </c>
      <c r="M598" s="429">
        <f ca="1">IF($A598="S",VTOTALBM,IF($A598=0,0,ROUND(SomaAgrupBM,15-13*ORÇAMENTO!$AF$11)))</f>
        <v>0</v>
      </c>
      <c r="N598" s="430">
        <f t="shared" ca="1" si="106"/>
        <v>0</v>
      </c>
      <c r="O598" s="154">
        <f ca="1">IF($A598="S",VTOTALBM,IF($A598=0,0,ROUND(SomaAgrupBM,15-13*ORÇAMENTO!$AF$11)))</f>
        <v>0</v>
      </c>
      <c r="Q598" s="431"/>
      <c r="R598" s="432"/>
      <c r="T598" s="146" t="str">
        <f t="shared" ca="1" si="107"/>
        <v/>
      </c>
      <c r="U598" s="206" t="str">
        <f t="shared" ca="1" si="108"/>
        <v/>
      </c>
      <c r="V598" s="207" t="str">
        <f t="shared" ca="1" si="109"/>
        <v/>
      </c>
      <c r="W598" s="634">
        <f ca="1">IF($Y598&gt;0,CHOOSE(MATCH(RegimeExecucao,{"Unitário","Global"},0),IF($A598="S",$Y598/$X598,""),($Y598/$X598)*100),0)</f>
        <v>0</v>
      </c>
      <c r="X598" s="433" t="str">
        <f ca="1">IF($Y598&gt;0,CHOOSE(MATCH(RegimeExecucao,{"Unitário","Global"},0),IF($A598="S",ROUND($H598,ORÇAMENTO!$AF$10),""),ROUND($I598,ORÇAMENTO!$AF$11)),"")</f>
        <v/>
      </c>
      <c r="Y598" s="433">
        <f t="shared" ca="1" si="110"/>
        <v>0</v>
      </c>
      <c r="Z598" s="434"/>
      <c r="AB598" s="431"/>
      <c r="AC598" s="599"/>
      <c r="AD598" s="599"/>
      <c r="AE598" s="599"/>
      <c r="AF598" s="599"/>
      <c r="AG598" s="599"/>
      <c r="AH598" s="599"/>
      <c r="AI598" s="599"/>
      <c r="AJ598" s="599"/>
      <c r="AK598" s="599"/>
      <c r="AL598" s="599"/>
      <c r="AM598" s="432"/>
      <c r="AO598">
        <f ca="1">IF($A598="S",IF(BM!$I598=0,0,CHOOSE(MATCH(RegimeExecucao,{"Global","Unitário"},0),ROUND(ROUND(BM.MEDAcumulado,15-13*BM!$A$9)/100*BM!$I598,15-13*ORÇAMENTO!$AF$11),ROUND(ROUND(BM.MEDAcumulado,15-13*BM!$A$9)*ROUND(BM!$H598,15-13*ORÇAMENTO!$AF$10),15-13*ORÇAMENTO!$AF$11))),IF($A598=0,0,ROUND(SomaAgrupBM,15-13*ORÇAMENTO!$AF$11)))</f>
        <v>0</v>
      </c>
    </row>
    <row r="599" spans="1:41" ht="13.8" x14ac:dyDescent="0.3">
      <c r="A599" t="str">
        <f ca="1">ORÇAMENTO!C599</f>
        <v>S</v>
      </c>
      <c r="B599">
        <f ca="1">ORÇAMENTO!D599</f>
        <v>0</v>
      </c>
      <c r="C599" s="143" t="str">
        <f t="shared" ca="1" si="100"/>
        <v/>
      </c>
      <c r="D599" s="146" t="str">
        <f ca="1">ORÇAMENTO!O599</f>
        <v>-</v>
      </c>
      <c r="E599" s="206" t="str">
        <f t="shared" ca="1" si="101"/>
        <v>(abra o arquivo 'Referência 05-2024.xls)</v>
      </c>
      <c r="F599" s="207" t="str">
        <f t="shared" ca="1" si="102"/>
        <v>-</v>
      </c>
      <c r="G599" s="151">
        <f ca="1">IF(RegimeExecucao="Global","",ORÇAMENTO!T599)</f>
        <v>127.52</v>
      </c>
      <c r="H599" s="151">
        <f ca="1">IF(RegimeExecucao="Global","",ORÇAMENTO!W599)</f>
        <v>0</v>
      </c>
      <c r="I599" s="154">
        <f ca="1">ORÇAMENTO!X599</f>
        <v>0</v>
      </c>
      <c r="J599" s="427">
        <f t="shared" ca="1" si="103"/>
        <v>0</v>
      </c>
      <c r="K599" s="151">
        <f t="shared" ca="1" si="104"/>
        <v>0</v>
      </c>
      <c r="L599" s="428">
        <f t="shared" ca="1" si="105"/>
        <v>0</v>
      </c>
      <c r="M599" s="429">
        <f ca="1">IF($A599="S",VTOTALBM,IF($A599=0,0,ROUND(SomaAgrupBM,15-13*ORÇAMENTO!$AF$11)))</f>
        <v>0</v>
      </c>
      <c r="N599" s="430">
        <f t="shared" ca="1" si="106"/>
        <v>0</v>
      </c>
      <c r="O599" s="154">
        <f ca="1">IF($A599="S",VTOTALBM,IF($A599=0,0,ROUND(SomaAgrupBM,15-13*ORÇAMENTO!$AF$11)))</f>
        <v>0</v>
      </c>
      <c r="Q599" s="431"/>
      <c r="R599" s="432"/>
      <c r="T599" s="146" t="str">
        <f t="shared" ca="1" si="107"/>
        <v/>
      </c>
      <c r="U599" s="206" t="str">
        <f t="shared" ca="1" si="108"/>
        <v/>
      </c>
      <c r="V599" s="207" t="str">
        <f t="shared" ca="1" si="109"/>
        <v/>
      </c>
      <c r="W599" s="634">
        <f ca="1">IF($Y599&gt;0,CHOOSE(MATCH(RegimeExecucao,{"Unitário","Global"},0),IF($A599="S",$Y599/$X599,""),($Y599/$X599)*100),0)</f>
        <v>0</v>
      </c>
      <c r="X599" s="433" t="str">
        <f ca="1">IF($Y599&gt;0,CHOOSE(MATCH(RegimeExecucao,{"Unitário","Global"},0),IF($A599="S",ROUND($H599,ORÇAMENTO!$AF$10),""),ROUND($I599,ORÇAMENTO!$AF$11)),"")</f>
        <v/>
      </c>
      <c r="Y599" s="433">
        <f t="shared" ca="1" si="110"/>
        <v>0</v>
      </c>
      <c r="Z599" s="434"/>
      <c r="AB599" s="431"/>
      <c r="AC599" s="599"/>
      <c r="AD599" s="599"/>
      <c r="AE599" s="599"/>
      <c r="AF599" s="599"/>
      <c r="AG599" s="599"/>
      <c r="AH599" s="599"/>
      <c r="AI599" s="599"/>
      <c r="AJ599" s="599"/>
      <c r="AK599" s="599"/>
      <c r="AL599" s="599"/>
      <c r="AM599" s="432"/>
      <c r="AO599">
        <f ca="1">IF($A599="S",IF(BM!$I599=0,0,CHOOSE(MATCH(RegimeExecucao,{"Global","Unitário"},0),ROUND(ROUND(BM.MEDAcumulado,15-13*BM!$A$9)/100*BM!$I599,15-13*ORÇAMENTO!$AF$11),ROUND(ROUND(BM.MEDAcumulado,15-13*BM!$A$9)*ROUND(BM!$H599,15-13*ORÇAMENTO!$AF$10),15-13*ORÇAMENTO!$AF$11))),IF($A599=0,0,ROUND(SomaAgrupBM,15-13*ORÇAMENTO!$AF$11)))</f>
        <v>0</v>
      </c>
    </row>
    <row r="600" spans="1:41" ht="13.8" x14ac:dyDescent="0.3">
      <c r="A600">
        <f ca="1">ORÇAMENTO!C600</f>
        <v>3</v>
      </c>
      <c r="B600">
        <f ca="1">ORÇAMENTO!D600</f>
        <v>18</v>
      </c>
      <c r="C600" s="143" t="str">
        <f t="shared" ca="1" si="100"/>
        <v>F</v>
      </c>
      <c r="D600" s="146" t="str">
        <f ca="1">ORÇAMENTO!O600</f>
        <v>1.18.6.</v>
      </c>
      <c r="E600" s="206" t="str">
        <f t="shared" si="101"/>
        <v>ILUMINAÇÃO E TOMADAS</v>
      </c>
      <c r="F600" s="207" t="str">
        <f t="shared" ca="1" si="102"/>
        <v>-</v>
      </c>
      <c r="G600" s="151">
        <f ca="1">IF(RegimeExecucao="Global","",ORÇAMENTO!T600)</f>
        <v>0</v>
      </c>
      <c r="H600" s="151">
        <f ca="1">IF(RegimeExecucao="Global","",ORÇAMENTO!W600)</f>
        <v>0</v>
      </c>
      <c r="I600" s="154">
        <f ca="1">ORÇAMENTO!X600</f>
        <v>0</v>
      </c>
      <c r="J600" s="427">
        <f t="shared" ca="1" si="103"/>
        <v>0</v>
      </c>
      <c r="K600" s="151">
        <f t="shared" ca="1" si="104"/>
        <v>0</v>
      </c>
      <c r="L600" s="428">
        <f t="shared" ca="1" si="105"/>
        <v>0</v>
      </c>
      <c r="M600" s="429">
        <f ca="1">IF($A600="S",VTOTALBM,IF($A600=0,0,ROUND(SomaAgrupBM,15-13*ORÇAMENTO!$AF$11)))</f>
        <v>0</v>
      </c>
      <c r="N600" s="430">
        <f t="shared" ca="1" si="106"/>
        <v>0</v>
      </c>
      <c r="O600" s="154">
        <f ca="1">IF($A600="S",VTOTALBM,IF($A600=0,0,ROUND(SomaAgrupBM,15-13*ORÇAMENTO!$AF$11)))</f>
        <v>0</v>
      </c>
      <c r="Q600" s="431"/>
      <c r="R600" s="432"/>
      <c r="T600" s="146" t="str">
        <f t="shared" ca="1" si="107"/>
        <v/>
      </c>
      <c r="U600" s="206" t="str">
        <f t="shared" ca="1" si="108"/>
        <v/>
      </c>
      <c r="V600" s="207" t="str">
        <f t="shared" ca="1" si="109"/>
        <v/>
      </c>
      <c r="W600" s="634">
        <f ca="1">IF($Y600&gt;0,CHOOSE(MATCH(RegimeExecucao,{"Unitário","Global"},0),IF($A600="S",$Y600/$X600,""),($Y600/$X600)*100),0)</f>
        <v>0</v>
      </c>
      <c r="X600" s="433" t="str">
        <f ca="1">IF($Y600&gt;0,CHOOSE(MATCH(RegimeExecucao,{"Unitário","Global"},0),IF($A600="S",ROUND($H600,ORÇAMENTO!$AF$10),""),ROUND($I600,ORÇAMENTO!$AF$11)),"")</f>
        <v/>
      </c>
      <c r="Y600" s="433">
        <f t="shared" ca="1" si="110"/>
        <v>0</v>
      </c>
      <c r="Z600" s="434"/>
      <c r="AB600" s="431"/>
      <c r="AC600" s="599"/>
      <c r="AD600" s="599"/>
      <c r="AE600" s="599"/>
      <c r="AF600" s="599"/>
      <c r="AG600" s="599"/>
      <c r="AH600" s="599"/>
      <c r="AI600" s="599"/>
      <c r="AJ600" s="599"/>
      <c r="AK600" s="599"/>
      <c r="AL600" s="599"/>
      <c r="AM600" s="432"/>
      <c r="AO600">
        <f ca="1">IF($A600="S",IF(BM!$I600=0,0,CHOOSE(MATCH(RegimeExecucao,{"Global","Unitário"},0),ROUND(ROUND(BM.MEDAcumulado,15-13*BM!$A$9)/100*BM!$I600,15-13*ORÇAMENTO!$AF$11),ROUND(ROUND(BM.MEDAcumulado,15-13*BM!$A$9)*ROUND(BM!$H600,15-13*ORÇAMENTO!$AF$10),15-13*ORÇAMENTO!$AF$11))),IF($A600=0,0,ROUND(SomaAgrupBM,15-13*ORÇAMENTO!$AF$11)))</f>
        <v>0</v>
      </c>
    </row>
    <row r="601" spans="1:41" ht="13.8" x14ac:dyDescent="0.3">
      <c r="A601" t="str">
        <f ca="1">ORÇAMENTO!C601</f>
        <v>S</v>
      </c>
      <c r="B601">
        <f ca="1">ORÇAMENTO!D601</f>
        <v>0</v>
      </c>
      <c r="C601" s="143" t="str">
        <f t="shared" ca="1" si="100"/>
        <v/>
      </c>
      <c r="D601" s="146" t="str">
        <f ca="1">ORÇAMENTO!O601</f>
        <v>-</v>
      </c>
      <c r="E601" s="206" t="str">
        <f t="shared" ca="1" si="101"/>
        <v>(abra o arquivo 'Referência 05-2024.xls)</v>
      </c>
      <c r="F601" s="207" t="str">
        <f t="shared" ca="1" si="102"/>
        <v>-</v>
      </c>
      <c r="G601" s="151">
        <f ca="1">IF(RegimeExecucao="Global","",ORÇAMENTO!T601)</f>
        <v>160</v>
      </c>
      <c r="H601" s="151">
        <f ca="1">IF(RegimeExecucao="Global","",ORÇAMENTO!W601)</f>
        <v>0</v>
      </c>
      <c r="I601" s="154">
        <f ca="1">ORÇAMENTO!X601</f>
        <v>0</v>
      </c>
      <c r="J601" s="427">
        <f t="shared" ca="1" si="103"/>
        <v>0</v>
      </c>
      <c r="K601" s="151">
        <f t="shared" ca="1" si="104"/>
        <v>0</v>
      </c>
      <c r="L601" s="428">
        <f t="shared" ca="1" si="105"/>
        <v>0</v>
      </c>
      <c r="M601" s="429">
        <f ca="1">IF($A601="S",VTOTALBM,IF($A601=0,0,ROUND(SomaAgrupBM,15-13*ORÇAMENTO!$AF$11)))</f>
        <v>0</v>
      </c>
      <c r="N601" s="430">
        <f t="shared" ca="1" si="106"/>
        <v>0</v>
      </c>
      <c r="O601" s="154">
        <f ca="1">IF($A601="S",VTOTALBM,IF($A601=0,0,ROUND(SomaAgrupBM,15-13*ORÇAMENTO!$AF$11)))</f>
        <v>0</v>
      </c>
      <c r="Q601" s="431"/>
      <c r="R601" s="432"/>
      <c r="T601" s="146" t="str">
        <f t="shared" ca="1" si="107"/>
        <v/>
      </c>
      <c r="U601" s="206" t="str">
        <f t="shared" ca="1" si="108"/>
        <v/>
      </c>
      <c r="V601" s="207" t="str">
        <f t="shared" ca="1" si="109"/>
        <v/>
      </c>
      <c r="W601" s="634">
        <f ca="1">IF($Y601&gt;0,CHOOSE(MATCH(RegimeExecucao,{"Unitário","Global"},0),IF($A601="S",$Y601/$X601,""),($Y601/$X601)*100),0)</f>
        <v>0</v>
      </c>
      <c r="X601" s="433" t="str">
        <f ca="1">IF($Y601&gt;0,CHOOSE(MATCH(RegimeExecucao,{"Unitário","Global"},0),IF($A601="S",ROUND($H601,ORÇAMENTO!$AF$10),""),ROUND($I601,ORÇAMENTO!$AF$11)),"")</f>
        <v/>
      </c>
      <c r="Y601" s="433">
        <f t="shared" ca="1" si="110"/>
        <v>0</v>
      </c>
      <c r="Z601" s="434"/>
      <c r="AB601" s="431"/>
      <c r="AC601" s="599"/>
      <c r="AD601" s="599"/>
      <c r="AE601" s="599"/>
      <c r="AF601" s="599"/>
      <c r="AG601" s="599"/>
      <c r="AH601" s="599"/>
      <c r="AI601" s="599"/>
      <c r="AJ601" s="599"/>
      <c r="AK601" s="599"/>
      <c r="AL601" s="599"/>
      <c r="AM601" s="432"/>
      <c r="AO601">
        <f ca="1">IF($A601="S",IF(BM!$I601=0,0,CHOOSE(MATCH(RegimeExecucao,{"Global","Unitário"},0),ROUND(ROUND(BM.MEDAcumulado,15-13*BM!$A$9)/100*BM!$I601,15-13*ORÇAMENTO!$AF$11),ROUND(ROUND(BM.MEDAcumulado,15-13*BM!$A$9)*ROUND(BM!$H601,15-13*ORÇAMENTO!$AF$10),15-13*ORÇAMENTO!$AF$11))),IF($A601=0,0,ROUND(SomaAgrupBM,15-13*ORÇAMENTO!$AF$11)))</f>
        <v>0</v>
      </c>
    </row>
    <row r="602" spans="1:41" ht="13.8" x14ac:dyDescent="0.3">
      <c r="A602" t="str">
        <f ca="1">ORÇAMENTO!C602</f>
        <v>S</v>
      </c>
      <c r="B602">
        <f ca="1">ORÇAMENTO!D602</f>
        <v>0</v>
      </c>
      <c r="C602" s="143" t="str">
        <f t="shared" ca="1" si="100"/>
        <v/>
      </c>
      <c r="D602" s="146" t="str">
        <f ca="1">ORÇAMENTO!O602</f>
        <v>-</v>
      </c>
      <c r="E602" s="206" t="str">
        <f t="shared" ca="1" si="101"/>
        <v>(abra o arquivo 'Referência 05-2024.xls)</v>
      </c>
      <c r="F602" s="207" t="str">
        <f t="shared" ca="1" si="102"/>
        <v>-</v>
      </c>
      <c r="G602" s="151">
        <f ca="1">IF(RegimeExecucao="Global","",ORÇAMENTO!T602)</f>
        <v>28</v>
      </c>
      <c r="H602" s="151">
        <f ca="1">IF(RegimeExecucao="Global","",ORÇAMENTO!W602)</f>
        <v>0</v>
      </c>
      <c r="I602" s="154">
        <f ca="1">ORÇAMENTO!X602</f>
        <v>0</v>
      </c>
      <c r="J602" s="427">
        <f t="shared" ca="1" si="103"/>
        <v>0</v>
      </c>
      <c r="K602" s="151">
        <f t="shared" ca="1" si="104"/>
        <v>0</v>
      </c>
      <c r="L602" s="428">
        <f t="shared" ca="1" si="105"/>
        <v>0</v>
      </c>
      <c r="M602" s="429">
        <f ca="1">IF($A602="S",VTOTALBM,IF($A602=0,0,ROUND(SomaAgrupBM,15-13*ORÇAMENTO!$AF$11)))</f>
        <v>0</v>
      </c>
      <c r="N602" s="430">
        <f t="shared" ca="1" si="106"/>
        <v>0</v>
      </c>
      <c r="O602" s="154">
        <f ca="1">IF($A602="S",VTOTALBM,IF($A602=0,0,ROUND(SomaAgrupBM,15-13*ORÇAMENTO!$AF$11)))</f>
        <v>0</v>
      </c>
      <c r="Q602" s="431"/>
      <c r="R602" s="432"/>
      <c r="T602" s="146" t="str">
        <f t="shared" ca="1" si="107"/>
        <v/>
      </c>
      <c r="U602" s="206" t="str">
        <f t="shared" ca="1" si="108"/>
        <v/>
      </c>
      <c r="V602" s="207" t="str">
        <f t="shared" ca="1" si="109"/>
        <v/>
      </c>
      <c r="W602" s="634">
        <f ca="1">IF($Y602&gt;0,CHOOSE(MATCH(RegimeExecucao,{"Unitário","Global"},0),IF($A602="S",$Y602/$X602,""),($Y602/$X602)*100),0)</f>
        <v>0</v>
      </c>
      <c r="X602" s="433" t="str">
        <f ca="1">IF($Y602&gt;0,CHOOSE(MATCH(RegimeExecucao,{"Unitário","Global"},0),IF($A602="S",ROUND($H602,ORÇAMENTO!$AF$10),""),ROUND($I602,ORÇAMENTO!$AF$11)),"")</f>
        <v/>
      </c>
      <c r="Y602" s="433">
        <f t="shared" ca="1" si="110"/>
        <v>0</v>
      </c>
      <c r="Z602" s="434"/>
      <c r="AB602" s="431"/>
      <c r="AC602" s="599"/>
      <c r="AD602" s="599"/>
      <c r="AE602" s="599"/>
      <c r="AF602" s="599"/>
      <c r="AG602" s="599"/>
      <c r="AH602" s="599"/>
      <c r="AI602" s="599"/>
      <c r="AJ602" s="599"/>
      <c r="AK602" s="599"/>
      <c r="AL602" s="599"/>
      <c r="AM602" s="432"/>
      <c r="AO602">
        <f ca="1">IF($A602="S",IF(BM!$I602=0,0,CHOOSE(MATCH(RegimeExecucao,{"Global","Unitário"},0),ROUND(ROUND(BM.MEDAcumulado,15-13*BM!$A$9)/100*BM!$I602,15-13*ORÇAMENTO!$AF$11),ROUND(ROUND(BM.MEDAcumulado,15-13*BM!$A$9)*ROUND(BM!$H602,15-13*ORÇAMENTO!$AF$10),15-13*ORÇAMENTO!$AF$11))),IF($A602=0,0,ROUND(SomaAgrupBM,15-13*ORÇAMENTO!$AF$11)))</f>
        <v>0</v>
      </c>
    </row>
    <row r="603" spans="1:41" ht="13.8" x14ac:dyDescent="0.3">
      <c r="A603" t="str">
        <f ca="1">ORÇAMENTO!C603</f>
        <v>S</v>
      </c>
      <c r="B603">
        <f ca="1">ORÇAMENTO!D603</f>
        <v>0</v>
      </c>
      <c r="C603" s="143" t="str">
        <f t="shared" ca="1" si="100"/>
        <v/>
      </c>
      <c r="D603" s="146" t="str">
        <f ca="1">ORÇAMENTO!O603</f>
        <v>-</v>
      </c>
      <c r="E603" s="206" t="str">
        <f t="shared" ca="1" si="101"/>
        <v>(abra o arquivo 'Referência 05-2024.xls)</v>
      </c>
      <c r="F603" s="207" t="str">
        <f t="shared" ca="1" si="102"/>
        <v>-</v>
      </c>
      <c r="G603" s="151">
        <f ca="1">IF(RegimeExecucao="Global","",ORÇAMENTO!T603)</f>
        <v>5</v>
      </c>
      <c r="H603" s="151">
        <f ca="1">IF(RegimeExecucao="Global","",ORÇAMENTO!W603)</f>
        <v>0</v>
      </c>
      <c r="I603" s="154">
        <f ca="1">ORÇAMENTO!X603</f>
        <v>0</v>
      </c>
      <c r="J603" s="427">
        <f t="shared" ca="1" si="103"/>
        <v>0</v>
      </c>
      <c r="K603" s="151">
        <f t="shared" ca="1" si="104"/>
        <v>0</v>
      </c>
      <c r="L603" s="428">
        <f t="shared" ca="1" si="105"/>
        <v>0</v>
      </c>
      <c r="M603" s="429">
        <f ca="1">IF($A603="S",VTOTALBM,IF($A603=0,0,ROUND(SomaAgrupBM,15-13*ORÇAMENTO!$AF$11)))</f>
        <v>0</v>
      </c>
      <c r="N603" s="430">
        <f t="shared" ca="1" si="106"/>
        <v>0</v>
      </c>
      <c r="O603" s="154">
        <f ca="1">IF($A603="S",VTOTALBM,IF($A603=0,0,ROUND(SomaAgrupBM,15-13*ORÇAMENTO!$AF$11)))</f>
        <v>0</v>
      </c>
      <c r="Q603" s="431"/>
      <c r="R603" s="432"/>
      <c r="T603" s="146" t="str">
        <f t="shared" ca="1" si="107"/>
        <v/>
      </c>
      <c r="U603" s="206" t="str">
        <f t="shared" ca="1" si="108"/>
        <v/>
      </c>
      <c r="V603" s="207" t="str">
        <f t="shared" ca="1" si="109"/>
        <v/>
      </c>
      <c r="W603" s="634">
        <f ca="1">IF($Y603&gt;0,CHOOSE(MATCH(RegimeExecucao,{"Unitário","Global"},0),IF($A603="S",$Y603/$X603,""),($Y603/$X603)*100),0)</f>
        <v>0</v>
      </c>
      <c r="X603" s="433" t="str">
        <f ca="1">IF($Y603&gt;0,CHOOSE(MATCH(RegimeExecucao,{"Unitário","Global"},0),IF($A603="S",ROUND($H603,ORÇAMENTO!$AF$10),""),ROUND($I603,ORÇAMENTO!$AF$11)),"")</f>
        <v/>
      </c>
      <c r="Y603" s="433">
        <f t="shared" ca="1" si="110"/>
        <v>0</v>
      </c>
      <c r="Z603" s="434"/>
      <c r="AB603" s="431"/>
      <c r="AC603" s="599"/>
      <c r="AD603" s="599"/>
      <c r="AE603" s="599"/>
      <c r="AF603" s="599"/>
      <c r="AG603" s="599"/>
      <c r="AH603" s="599"/>
      <c r="AI603" s="599"/>
      <c r="AJ603" s="599"/>
      <c r="AK603" s="599"/>
      <c r="AL603" s="599"/>
      <c r="AM603" s="432"/>
      <c r="AO603">
        <f ca="1">IF($A603="S",IF(BM!$I603=0,0,CHOOSE(MATCH(RegimeExecucao,{"Global","Unitário"},0),ROUND(ROUND(BM.MEDAcumulado,15-13*BM!$A$9)/100*BM!$I603,15-13*ORÇAMENTO!$AF$11),ROUND(ROUND(BM.MEDAcumulado,15-13*BM!$A$9)*ROUND(BM!$H603,15-13*ORÇAMENTO!$AF$10),15-13*ORÇAMENTO!$AF$11))),IF($A603=0,0,ROUND(SomaAgrupBM,15-13*ORÇAMENTO!$AF$11)))</f>
        <v>0</v>
      </c>
    </row>
    <row r="604" spans="1:41" ht="13.8" x14ac:dyDescent="0.3">
      <c r="A604" t="str">
        <f ca="1">ORÇAMENTO!C604</f>
        <v>S</v>
      </c>
      <c r="B604">
        <f ca="1">ORÇAMENTO!D604</f>
        <v>0</v>
      </c>
      <c r="C604" s="143" t="str">
        <f t="shared" ca="1" si="100"/>
        <v/>
      </c>
      <c r="D604" s="146" t="str">
        <f ca="1">ORÇAMENTO!O604</f>
        <v>-</v>
      </c>
      <c r="E604" s="206" t="str">
        <f t="shared" ca="1" si="101"/>
        <v>(abra o arquivo 'Referência 05-2024.xls)</v>
      </c>
      <c r="F604" s="207" t="str">
        <f t="shared" ca="1" si="102"/>
        <v>-</v>
      </c>
      <c r="G604" s="151">
        <f ca="1">IF(RegimeExecucao="Global","",ORÇAMENTO!T604)</f>
        <v>4</v>
      </c>
      <c r="H604" s="151">
        <f ca="1">IF(RegimeExecucao="Global","",ORÇAMENTO!W604)</f>
        <v>0</v>
      </c>
      <c r="I604" s="154">
        <f ca="1">ORÇAMENTO!X604</f>
        <v>0</v>
      </c>
      <c r="J604" s="427">
        <f t="shared" ca="1" si="103"/>
        <v>0</v>
      </c>
      <c r="K604" s="151">
        <f t="shared" ca="1" si="104"/>
        <v>0</v>
      </c>
      <c r="L604" s="428">
        <f t="shared" ca="1" si="105"/>
        <v>0</v>
      </c>
      <c r="M604" s="429">
        <f ca="1">IF($A604="S",VTOTALBM,IF($A604=0,0,ROUND(SomaAgrupBM,15-13*ORÇAMENTO!$AF$11)))</f>
        <v>0</v>
      </c>
      <c r="N604" s="430">
        <f t="shared" ca="1" si="106"/>
        <v>0</v>
      </c>
      <c r="O604" s="154">
        <f ca="1">IF($A604="S",VTOTALBM,IF($A604=0,0,ROUND(SomaAgrupBM,15-13*ORÇAMENTO!$AF$11)))</f>
        <v>0</v>
      </c>
      <c r="Q604" s="431"/>
      <c r="R604" s="432"/>
      <c r="T604" s="146" t="str">
        <f t="shared" ca="1" si="107"/>
        <v/>
      </c>
      <c r="U604" s="206" t="str">
        <f t="shared" ca="1" si="108"/>
        <v/>
      </c>
      <c r="V604" s="207" t="str">
        <f t="shared" ca="1" si="109"/>
        <v/>
      </c>
      <c r="W604" s="634">
        <f ca="1">IF($Y604&gt;0,CHOOSE(MATCH(RegimeExecucao,{"Unitário","Global"},0),IF($A604="S",$Y604/$X604,""),($Y604/$X604)*100),0)</f>
        <v>0</v>
      </c>
      <c r="X604" s="433" t="str">
        <f ca="1">IF($Y604&gt;0,CHOOSE(MATCH(RegimeExecucao,{"Unitário","Global"},0),IF($A604="S",ROUND($H604,ORÇAMENTO!$AF$10),""),ROUND($I604,ORÇAMENTO!$AF$11)),"")</f>
        <v/>
      </c>
      <c r="Y604" s="433">
        <f t="shared" ca="1" si="110"/>
        <v>0</v>
      </c>
      <c r="Z604" s="434"/>
      <c r="AB604" s="431"/>
      <c r="AC604" s="599"/>
      <c r="AD604" s="599"/>
      <c r="AE604" s="599"/>
      <c r="AF604" s="599"/>
      <c r="AG604" s="599"/>
      <c r="AH604" s="599"/>
      <c r="AI604" s="599"/>
      <c r="AJ604" s="599"/>
      <c r="AK604" s="599"/>
      <c r="AL604" s="599"/>
      <c r="AM604" s="432"/>
      <c r="AO604">
        <f ca="1">IF($A604="S",IF(BM!$I604=0,0,CHOOSE(MATCH(RegimeExecucao,{"Global","Unitário"},0),ROUND(ROUND(BM.MEDAcumulado,15-13*BM!$A$9)/100*BM!$I604,15-13*ORÇAMENTO!$AF$11),ROUND(ROUND(BM.MEDAcumulado,15-13*BM!$A$9)*ROUND(BM!$H604,15-13*ORÇAMENTO!$AF$10),15-13*ORÇAMENTO!$AF$11))),IF($A604=0,0,ROUND(SomaAgrupBM,15-13*ORÇAMENTO!$AF$11)))</f>
        <v>0</v>
      </c>
    </row>
    <row r="605" spans="1:41" ht="13.8" x14ac:dyDescent="0.3">
      <c r="A605" t="str">
        <f ca="1">ORÇAMENTO!C605</f>
        <v>S</v>
      </c>
      <c r="B605">
        <f ca="1">ORÇAMENTO!D605</f>
        <v>0</v>
      </c>
      <c r="C605" s="143" t="str">
        <f t="shared" ca="1" si="100"/>
        <v/>
      </c>
      <c r="D605" s="146" t="str">
        <f ca="1">ORÇAMENTO!O605</f>
        <v>-</v>
      </c>
      <c r="E605" s="206" t="str">
        <f t="shared" ca="1" si="101"/>
        <v>(abra o arquivo 'Referência 05-2024.xls)</v>
      </c>
      <c r="F605" s="207" t="str">
        <f t="shared" ca="1" si="102"/>
        <v>-</v>
      </c>
      <c r="G605" s="151">
        <f ca="1">IF(RegimeExecucao="Global","",ORÇAMENTO!T605)</f>
        <v>8</v>
      </c>
      <c r="H605" s="151">
        <f ca="1">IF(RegimeExecucao="Global","",ORÇAMENTO!W605)</f>
        <v>0</v>
      </c>
      <c r="I605" s="154">
        <f ca="1">ORÇAMENTO!X605</f>
        <v>0</v>
      </c>
      <c r="J605" s="427">
        <f t="shared" ca="1" si="103"/>
        <v>0</v>
      </c>
      <c r="K605" s="151">
        <f t="shared" ca="1" si="104"/>
        <v>0</v>
      </c>
      <c r="L605" s="428">
        <f t="shared" ca="1" si="105"/>
        <v>0</v>
      </c>
      <c r="M605" s="429">
        <f ca="1">IF($A605="S",VTOTALBM,IF($A605=0,0,ROUND(SomaAgrupBM,15-13*ORÇAMENTO!$AF$11)))</f>
        <v>0</v>
      </c>
      <c r="N605" s="430">
        <f t="shared" ca="1" si="106"/>
        <v>0</v>
      </c>
      <c r="O605" s="154">
        <f ca="1">IF($A605="S",VTOTALBM,IF($A605=0,0,ROUND(SomaAgrupBM,15-13*ORÇAMENTO!$AF$11)))</f>
        <v>0</v>
      </c>
      <c r="Q605" s="431"/>
      <c r="R605" s="432"/>
      <c r="T605" s="146" t="str">
        <f t="shared" ca="1" si="107"/>
        <v/>
      </c>
      <c r="U605" s="206" t="str">
        <f t="shared" ca="1" si="108"/>
        <v/>
      </c>
      <c r="V605" s="207" t="str">
        <f t="shared" ca="1" si="109"/>
        <v/>
      </c>
      <c r="W605" s="634">
        <f ca="1">IF($Y605&gt;0,CHOOSE(MATCH(RegimeExecucao,{"Unitário","Global"},0),IF($A605="S",$Y605/$X605,""),($Y605/$X605)*100),0)</f>
        <v>0</v>
      </c>
      <c r="X605" s="433" t="str">
        <f ca="1">IF($Y605&gt;0,CHOOSE(MATCH(RegimeExecucao,{"Unitário","Global"},0),IF($A605="S",ROUND($H605,ORÇAMENTO!$AF$10),""),ROUND($I605,ORÇAMENTO!$AF$11)),"")</f>
        <v/>
      </c>
      <c r="Y605" s="433">
        <f t="shared" ca="1" si="110"/>
        <v>0</v>
      </c>
      <c r="Z605" s="434"/>
      <c r="AB605" s="431"/>
      <c r="AC605" s="599"/>
      <c r="AD605" s="599"/>
      <c r="AE605" s="599"/>
      <c r="AF605" s="599"/>
      <c r="AG605" s="599"/>
      <c r="AH605" s="599"/>
      <c r="AI605" s="599"/>
      <c r="AJ605" s="599"/>
      <c r="AK605" s="599"/>
      <c r="AL605" s="599"/>
      <c r="AM605" s="432"/>
      <c r="AO605">
        <f ca="1">IF($A605="S",IF(BM!$I605=0,0,CHOOSE(MATCH(RegimeExecucao,{"Global","Unitário"},0),ROUND(ROUND(BM.MEDAcumulado,15-13*BM!$A$9)/100*BM!$I605,15-13*ORÇAMENTO!$AF$11),ROUND(ROUND(BM.MEDAcumulado,15-13*BM!$A$9)*ROUND(BM!$H605,15-13*ORÇAMENTO!$AF$10),15-13*ORÇAMENTO!$AF$11))),IF($A605=0,0,ROUND(SomaAgrupBM,15-13*ORÇAMENTO!$AF$11)))</f>
        <v>0</v>
      </c>
    </row>
    <row r="606" spans="1:41" ht="13.8" x14ac:dyDescent="0.3">
      <c r="A606" t="str">
        <f ca="1">ORÇAMENTO!C606</f>
        <v>S</v>
      </c>
      <c r="B606">
        <f ca="1">ORÇAMENTO!D606</f>
        <v>0</v>
      </c>
      <c r="C606" s="143" t="str">
        <f t="shared" ca="1" si="100"/>
        <v/>
      </c>
      <c r="D606" s="146" t="str">
        <f ca="1">ORÇAMENTO!O606</f>
        <v>-</v>
      </c>
      <c r="E606" s="206" t="str">
        <f t="shared" ca="1" si="101"/>
        <v>(abra o arquivo 'Referência 05-2024.xls)</v>
      </c>
      <c r="F606" s="207" t="str">
        <f t="shared" ca="1" si="102"/>
        <v>-</v>
      </c>
      <c r="G606" s="151">
        <f ca="1">IF(RegimeExecucao="Global","",ORÇAMENTO!T606)</f>
        <v>23</v>
      </c>
      <c r="H606" s="151">
        <f ca="1">IF(RegimeExecucao="Global","",ORÇAMENTO!W606)</f>
        <v>0</v>
      </c>
      <c r="I606" s="154">
        <f ca="1">ORÇAMENTO!X606</f>
        <v>0</v>
      </c>
      <c r="J606" s="427">
        <f t="shared" ca="1" si="103"/>
        <v>0</v>
      </c>
      <c r="K606" s="151">
        <f t="shared" ca="1" si="104"/>
        <v>0</v>
      </c>
      <c r="L606" s="428">
        <f t="shared" ca="1" si="105"/>
        <v>0</v>
      </c>
      <c r="M606" s="429">
        <f ca="1">IF($A606="S",VTOTALBM,IF($A606=0,0,ROUND(SomaAgrupBM,15-13*ORÇAMENTO!$AF$11)))</f>
        <v>0</v>
      </c>
      <c r="N606" s="430">
        <f t="shared" ca="1" si="106"/>
        <v>0</v>
      </c>
      <c r="O606" s="154">
        <f ca="1">IF($A606="S",VTOTALBM,IF($A606=0,0,ROUND(SomaAgrupBM,15-13*ORÇAMENTO!$AF$11)))</f>
        <v>0</v>
      </c>
      <c r="Q606" s="431"/>
      <c r="R606" s="432"/>
      <c r="T606" s="146" t="str">
        <f t="shared" ca="1" si="107"/>
        <v/>
      </c>
      <c r="U606" s="206" t="str">
        <f t="shared" ca="1" si="108"/>
        <v/>
      </c>
      <c r="V606" s="207" t="str">
        <f t="shared" ca="1" si="109"/>
        <v/>
      </c>
      <c r="W606" s="634">
        <f ca="1">IF($Y606&gt;0,CHOOSE(MATCH(RegimeExecucao,{"Unitário","Global"},0),IF($A606="S",$Y606/$X606,""),($Y606/$X606)*100),0)</f>
        <v>0</v>
      </c>
      <c r="X606" s="433" t="str">
        <f ca="1">IF($Y606&gt;0,CHOOSE(MATCH(RegimeExecucao,{"Unitário","Global"},0),IF($A606="S",ROUND($H606,ORÇAMENTO!$AF$10),""),ROUND($I606,ORÇAMENTO!$AF$11)),"")</f>
        <v/>
      </c>
      <c r="Y606" s="433">
        <f t="shared" ca="1" si="110"/>
        <v>0</v>
      </c>
      <c r="Z606" s="434"/>
      <c r="AB606" s="431"/>
      <c r="AC606" s="599"/>
      <c r="AD606" s="599"/>
      <c r="AE606" s="599"/>
      <c r="AF606" s="599"/>
      <c r="AG606" s="599"/>
      <c r="AH606" s="599"/>
      <c r="AI606" s="599"/>
      <c r="AJ606" s="599"/>
      <c r="AK606" s="599"/>
      <c r="AL606" s="599"/>
      <c r="AM606" s="432"/>
      <c r="AO606">
        <f ca="1">IF($A606="S",IF(BM!$I606=0,0,CHOOSE(MATCH(RegimeExecucao,{"Global","Unitário"},0),ROUND(ROUND(BM.MEDAcumulado,15-13*BM!$A$9)/100*BM!$I606,15-13*ORÇAMENTO!$AF$11),ROUND(ROUND(BM.MEDAcumulado,15-13*BM!$A$9)*ROUND(BM!$H606,15-13*ORÇAMENTO!$AF$10),15-13*ORÇAMENTO!$AF$11))),IF($A606=0,0,ROUND(SomaAgrupBM,15-13*ORÇAMENTO!$AF$11)))</f>
        <v>0</v>
      </c>
    </row>
    <row r="607" spans="1:41" ht="13.8" x14ac:dyDescent="0.3">
      <c r="A607" t="str">
        <f ca="1">ORÇAMENTO!C607</f>
        <v>S</v>
      </c>
      <c r="B607">
        <f ca="1">ORÇAMENTO!D607</f>
        <v>0</v>
      </c>
      <c r="C607" s="143" t="str">
        <f t="shared" ca="1" si="100"/>
        <v/>
      </c>
      <c r="D607" s="146" t="str">
        <f ca="1">ORÇAMENTO!O607</f>
        <v>-</v>
      </c>
      <c r="E607" s="206" t="str">
        <f t="shared" ca="1" si="101"/>
        <v>(abra o arquivo 'Referência 05-2024.xls)</v>
      </c>
      <c r="F607" s="207" t="str">
        <f t="shared" ca="1" si="102"/>
        <v>-</v>
      </c>
      <c r="G607" s="151">
        <f ca="1">IF(RegimeExecucao="Global","",ORÇAMENTO!T607)</f>
        <v>9</v>
      </c>
      <c r="H607" s="151">
        <f ca="1">IF(RegimeExecucao="Global","",ORÇAMENTO!W607)</f>
        <v>0</v>
      </c>
      <c r="I607" s="154">
        <f ca="1">ORÇAMENTO!X607</f>
        <v>0</v>
      </c>
      <c r="J607" s="427">
        <f t="shared" ca="1" si="103"/>
        <v>0</v>
      </c>
      <c r="K607" s="151">
        <f t="shared" ca="1" si="104"/>
        <v>0</v>
      </c>
      <c r="L607" s="428">
        <f t="shared" ca="1" si="105"/>
        <v>0</v>
      </c>
      <c r="M607" s="429">
        <f ca="1">IF($A607="S",VTOTALBM,IF($A607=0,0,ROUND(SomaAgrupBM,15-13*ORÇAMENTO!$AF$11)))</f>
        <v>0</v>
      </c>
      <c r="N607" s="430">
        <f t="shared" ca="1" si="106"/>
        <v>0</v>
      </c>
      <c r="O607" s="154">
        <f ca="1">IF($A607="S",VTOTALBM,IF($A607=0,0,ROUND(SomaAgrupBM,15-13*ORÇAMENTO!$AF$11)))</f>
        <v>0</v>
      </c>
      <c r="Q607" s="431"/>
      <c r="R607" s="432"/>
      <c r="T607" s="146" t="str">
        <f t="shared" ca="1" si="107"/>
        <v/>
      </c>
      <c r="U607" s="206" t="str">
        <f t="shared" ca="1" si="108"/>
        <v/>
      </c>
      <c r="V607" s="207" t="str">
        <f t="shared" ca="1" si="109"/>
        <v/>
      </c>
      <c r="W607" s="634">
        <f ca="1">IF($Y607&gt;0,CHOOSE(MATCH(RegimeExecucao,{"Unitário","Global"},0),IF($A607="S",$Y607/$X607,""),($Y607/$X607)*100),0)</f>
        <v>0</v>
      </c>
      <c r="X607" s="433" t="str">
        <f ca="1">IF($Y607&gt;0,CHOOSE(MATCH(RegimeExecucao,{"Unitário","Global"},0),IF($A607="S",ROUND($H607,ORÇAMENTO!$AF$10),""),ROUND($I607,ORÇAMENTO!$AF$11)),"")</f>
        <v/>
      </c>
      <c r="Y607" s="433">
        <f t="shared" ca="1" si="110"/>
        <v>0</v>
      </c>
      <c r="Z607" s="434"/>
      <c r="AB607" s="431"/>
      <c r="AC607" s="599"/>
      <c r="AD607" s="599"/>
      <c r="AE607" s="599"/>
      <c r="AF607" s="599"/>
      <c r="AG607" s="599"/>
      <c r="AH607" s="599"/>
      <c r="AI607" s="599"/>
      <c r="AJ607" s="599"/>
      <c r="AK607" s="599"/>
      <c r="AL607" s="599"/>
      <c r="AM607" s="432"/>
      <c r="AO607">
        <f ca="1">IF($A607="S",IF(BM!$I607=0,0,CHOOSE(MATCH(RegimeExecucao,{"Global","Unitário"},0),ROUND(ROUND(BM.MEDAcumulado,15-13*BM!$A$9)/100*BM!$I607,15-13*ORÇAMENTO!$AF$11),ROUND(ROUND(BM.MEDAcumulado,15-13*BM!$A$9)*ROUND(BM!$H607,15-13*ORÇAMENTO!$AF$10),15-13*ORÇAMENTO!$AF$11))),IF($A607=0,0,ROUND(SomaAgrupBM,15-13*ORÇAMENTO!$AF$11)))</f>
        <v>0</v>
      </c>
    </row>
    <row r="608" spans="1:41" ht="13.8" x14ac:dyDescent="0.3">
      <c r="A608" t="str">
        <f ca="1">ORÇAMENTO!C608</f>
        <v>S</v>
      </c>
      <c r="B608">
        <f ca="1">ORÇAMENTO!D608</f>
        <v>0</v>
      </c>
      <c r="C608" s="143" t="str">
        <f t="shared" ca="1" si="100"/>
        <v/>
      </c>
      <c r="D608" s="146" t="str">
        <f ca="1">ORÇAMENTO!O608</f>
        <v>-</v>
      </c>
      <c r="E608" s="206" t="str">
        <f t="shared" ca="1" si="101"/>
        <v>(abra o arquivo 'Referência 05-2024.xls)</v>
      </c>
      <c r="F608" s="207" t="str">
        <f t="shared" ca="1" si="102"/>
        <v>-</v>
      </c>
      <c r="G608" s="151">
        <f ca="1">IF(RegimeExecucao="Global","",ORÇAMENTO!T608)</f>
        <v>2</v>
      </c>
      <c r="H608" s="151">
        <f ca="1">IF(RegimeExecucao="Global","",ORÇAMENTO!W608)</f>
        <v>0</v>
      </c>
      <c r="I608" s="154">
        <f ca="1">ORÇAMENTO!X608</f>
        <v>0</v>
      </c>
      <c r="J608" s="427">
        <f t="shared" ca="1" si="103"/>
        <v>0</v>
      </c>
      <c r="K608" s="151">
        <f t="shared" ca="1" si="104"/>
        <v>0</v>
      </c>
      <c r="L608" s="428">
        <f t="shared" ca="1" si="105"/>
        <v>0</v>
      </c>
      <c r="M608" s="429">
        <f ca="1">IF($A608="S",VTOTALBM,IF($A608=0,0,ROUND(SomaAgrupBM,15-13*ORÇAMENTO!$AF$11)))</f>
        <v>0</v>
      </c>
      <c r="N608" s="430">
        <f t="shared" ca="1" si="106"/>
        <v>0</v>
      </c>
      <c r="O608" s="154">
        <f ca="1">IF($A608="S",VTOTALBM,IF($A608=0,0,ROUND(SomaAgrupBM,15-13*ORÇAMENTO!$AF$11)))</f>
        <v>0</v>
      </c>
      <c r="Q608" s="431"/>
      <c r="R608" s="432"/>
      <c r="T608" s="146" t="str">
        <f t="shared" ca="1" si="107"/>
        <v/>
      </c>
      <c r="U608" s="206" t="str">
        <f t="shared" ca="1" si="108"/>
        <v/>
      </c>
      <c r="V608" s="207" t="str">
        <f t="shared" ca="1" si="109"/>
        <v/>
      </c>
      <c r="W608" s="634">
        <f ca="1">IF($Y608&gt;0,CHOOSE(MATCH(RegimeExecucao,{"Unitário","Global"},0),IF($A608="S",$Y608/$X608,""),($Y608/$X608)*100),0)</f>
        <v>0</v>
      </c>
      <c r="X608" s="433" t="str">
        <f ca="1">IF($Y608&gt;0,CHOOSE(MATCH(RegimeExecucao,{"Unitário","Global"},0),IF($A608="S",ROUND($H608,ORÇAMENTO!$AF$10),""),ROUND($I608,ORÇAMENTO!$AF$11)),"")</f>
        <v/>
      </c>
      <c r="Y608" s="433">
        <f t="shared" ca="1" si="110"/>
        <v>0</v>
      </c>
      <c r="Z608" s="434"/>
      <c r="AB608" s="431"/>
      <c r="AC608" s="599"/>
      <c r="AD608" s="599"/>
      <c r="AE608" s="599"/>
      <c r="AF608" s="599"/>
      <c r="AG608" s="599"/>
      <c r="AH608" s="599"/>
      <c r="AI608" s="599"/>
      <c r="AJ608" s="599"/>
      <c r="AK608" s="599"/>
      <c r="AL608" s="599"/>
      <c r="AM608" s="432"/>
      <c r="AO608">
        <f ca="1">IF($A608="S",IF(BM!$I608=0,0,CHOOSE(MATCH(RegimeExecucao,{"Global","Unitário"},0),ROUND(ROUND(BM.MEDAcumulado,15-13*BM!$A$9)/100*BM!$I608,15-13*ORÇAMENTO!$AF$11),ROUND(ROUND(BM.MEDAcumulado,15-13*BM!$A$9)*ROUND(BM!$H608,15-13*ORÇAMENTO!$AF$10),15-13*ORÇAMENTO!$AF$11))),IF($A608=0,0,ROUND(SomaAgrupBM,15-13*ORÇAMENTO!$AF$11)))</f>
        <v>0</v>
      </c>
    </row>
    <row r="609" spans="1:41" ht="13.8" x14ac:dyDescent="0.3">
      <c r="A609" t="str">
        <f ca="1">ORÇAMENTO!C609</f>
        <v>S</v>
      </c>
      <c r="B609">
        <f ca="1">ORÇAMENTO!D609</f>
        <v>0</v>
      </c>
      <c r="C609" s="143" t="str">
        <f t="shared" ca="1" si="100"/>
        <v/>
      </c>
      <c r="D609" s="146" t="str">
        <f ca="1">ORÇAMENTO!O609</f>
        <v>-</v>
      </c>
      <c r="E609" s="206" t="str">
        <f t="shared" ca="1" si="101"/>
        <v>(abra o arquivo 'Referência 05-2024.xls)</v>
      </c>
      <c r="F609" s="207" t="str">
        <f t="shared" ca="1" si="102"/>
        <v>-</v>
      </c>
      <c r="G609" s="151">
        <f ca="1">IF(RegimeExecucao="Global","",ORÇAMENTO!T609)</f>
        <v>2</v>
      </c>
      <c r="H609" s="151">
        <f ca="1">IF(RegimeExecucao="Global","",ORÇAMENTO!W609)</f>
        <v>0</v>
      </c>
      <c r="I609" s="154">
        <f ca="1">ORÇAMENTO!X609</f>
        <v>0</v>
      </c>
      <c r="J609" s="427">
        <f t="shared" ca="1" si="103"/>
        <v>0</v>
      </c>
      <c r="K609" s="151">
        <f t="shared" ca="1" si="104"/>
        <v>0</v>
      </c>
      <c r="L609" s="428">
        <f t="shared" ca="1" si="105"/>
        <v>0</v>
      </c>
      <c r="M609" s="429">
        <f ca="1">IF($A609="S",VTOTALBM,IF($A609=0,0,ROUND(SomaAgrupBM,15-13*ORÇAMENTO!$AF$11)))</f>
        <v>0</v>
      </c>
      <c r="N609" s="430">
        <f t="shared" ca="1" si="106"/>
        <v>0</v>
      </c>
      <c r="O609" s="154">
        <f ca="1">IF($A609="S",VTOTALBM,IF($A609=0,0,ROUND(SomaAgrupBM,15-13*ORÇAMENTO!$AF$11)))</f>
        <v>0</v>
      </c>
      <c r="Q609" s="431"/>
      <c r="R609" s="432"/>
      <c r="T609" s="146" t="str">
        <f t="shared" ca="1" si="107"/>
        <v/>
      </c>
      <c r="U609" s="206" t="str">
        <f t="shared" ca="1" si="108"/>
        <v/>
      </c>
      <c r="V609" s="207" t="str">
        <f t="shared" ca="1" si="109"/>
        <v/>
      </c>
      <c r="W609" s="634">
        <f ca="1">IF($Y609&gt;0,CHOOSE(MATCH(RegimeExecucao,{"Unitário","Global"},0),IF($A609="S",$Y609/$X609,""),($Y609/$X609)*100),0)</f>
        <v>0</v>
      </c>
      <c r="X609" s="433" t="str">
        <f ca="1">IF($Y609&gt;0,CHOOSE(MATCH(RegimeExecucao,{"Unitário","Global"},0),IF($A609="S",ROUND($H609,ORÇAMENTO!$AF$10),""),ROUND($I609,ORÇAMENTO!$AF$11)),"")</f>
        <v/>
      </c>
      <c r="Y609" s="433">
        <f t="shared" ca="1" si="110"/>
        <v>0</v>
      </c>
      <c r="Z609" s="434"/>
      <c r="AB609" s="431"/>
      <c r="AC609" s="599"/>
      <c r="AD609" s="599"/>
      <c r="AE609" s="599"/>
      <c r="AF609" s="599"/>
      <c r="AG609" s="599"/>
      <c r="AH609" s="599"/>
      <c r="AI609" s="599"/>
      <c r="AJ609" s="599"/>
      <c r="AK609" s="599"/>
      <c r="AL609" s="599"/>
      <c r="AM609" s="432"/>
      <c r="AO609">
        <f ca="1">IF($A609="S",IF(BM!$I609=0,0,CHOOSE(MATCH(RegimeExecucao,{"Global","Unitário"},0),ROUND(ROUND(BM.MEDAcumulado,15-13*BM!$A$9)/100*BM!$I609,15-13*ORÇAMENTO!$AF$11),ROUND(ROUND(BM.MEDAcumulado,15-13*BM!$A$9)*ROUND(BM!$H609,15-13*ORÇAMENTO!$AF$10),15-13*ORÇAMENTO!$AF$11))),IF($A609=0,0,ROUND(SomaAgrupBM,15-13*ORÇAMENTO!$AF$11)))</f>
        <v>0</v>
      </c>
    </row>
    <row r="610" spans="1:41" ht="13.8" x14ac:dyDescent="0.3">
      <c r="A610" t="str">
        <f ca="1">ORÇAMENTO!C610</f>
        <v>S</v>
      </c>
      <c r="B610">
        <f ca="1">ORÇAMENTO!D610</f>
        <v>0</v>
      </c>
      <c r="C610" s="143" t="str">
        <f t="shared" ca="1" si="100"/>
        <v/>
      </c>
      <c r="D610" s="146" t="str">
        <f ca="1">ORÇAMENTO!O610</f>
        <v>-</v>
      </c>
      <c r="E610" s="206" t="str">
        <f t="shared" ca="1" si="101"/>
        <v>(abra o arquivo 'Referência 05-2024.xls)</v>
      </c>
      <c r="F610" s="207" t="str">
        <f t="shared" ca="1" si="102"/>
        <v>-</v>
      </c>
      <c r="G610" s="151">
        <f ca="1">IF(RegimeExecucao="Global","",ORÇAMENTO!T610)</f>
        <v>16</v>
      </c>
      <c r="H610" s="151">
        <f ca="1">IF(RegimeExecucao="Global","",ORÇAMENTO!W610)</f>
        <v>0</v>
      </c>
      <c r="I610" s="154">
        <f ca="1">ORÇAMENTO!X610</f>
        <v>0</v>
      </c>
      <c r="J610" s="427">
        <f t="shared" ca="1" si="103"/>
        <v>0</v>
      </c>
      <c r="K610" s="151">
        <f t="shared" ca="1" si="104"/>
        <v>0</v>
      </c>
      <c r="L610" s="428">
        <f t="shared" ca="1" si="105"/>
        <v>0</v>
      </c>
      <c r="M610" s="429">
        <f ca="1">IF($A610="S",VTOTALBM,IF($A610=0,0,ROUND(SomaAgrupBM,15-13*ORÇAMENTO!$AF$11)))</f>
        <v>0</v>
      </c>
      <c r="N610" s="430">
        <f t="shared" ca="1" si="106"/>
        <v>0</v>
      </c>
      <c r="O610" s="154">
        <f ca="1">IF($A610="S",VTOTALBM,IF($A610=0,0,ROUND(SomaAgrupBM,15-13*ORÇAMENTO!$AF$11)))</f>
        <v>0</v>
      </c>
      <c r="Q610" s="431"/>
      <c r="R610" s="432"/>
      <c r="T610" s="146" t="str">
        <f t="shared" ca="1" si="107"/>
        <v/>
      </c>
      <c r="U610" s="206" t="str">
        <f t="shared" ca="1" si="108"/>
        <v/>
      </c>
      <c r="V610" s="207" t="str">
        <f t="shared" ca="1" si="109"/>
        <v/>
      </c>
      <c r="W610" s="634">
        <f ca="1">IF($Y610&gt;0,CHOOSE(MATCH(RegimeExecucao,{"Unitário","Global"},0),IF($A610="S",$Y610/$X610,""),($Y610/$X610)*100),0)</f>
        <v>0</v>
      </c>
      <c r="X610" s="433" t="str">
        <f ca="1">IF($Y610&gt;0,CHOOSE(MATCH(RegimeExecucao,{"Unitário","Global"},0),IF($A610="S",ROUND($H610,ORÇAMENTO!$AF$10),""),ROUND($I610,ORÇAMENTO!$AF$11)),"")</f>
        <v/>
      </c>
      <c r="Y610" s="433">
        <f t="shared" ca="1" si="110"/>
        <v>0</v>
      </c>
      <c r="Z610" s="434"/>
      <c r="AB610" s="431"/>
      <c r="AC610" s="599"/>
      <c r="AD610" s="599"/>
      <c r="AE610" s="599"/>
      <c r="AF610" s="599"/>
      <c r="AG610" s="599"/>
      <c r="AH610" s="599"/>
      <c r="AI610" s="599"/>
      <c r="AJ610" s="599"/>
      <c r="AK610" s="599"/>
      <c r="AL610" s="599"/>
      <c r="AM610" s="432"/>
      <c r="AO610">
        <f ca="1">IF($A610="S",IF(BM!$I610=0,0,CHOOSE(MATCH(RegimeExecucao,{"Global","Unitário"},0),ROUND(ROUND(BM.MEDAcumulado,15-13*BM!$A$9)/100*BM!$I610,15-13*ORÇAMENTO!$AF$11),ROUND(ROUND(BM.MEDAcumulado,15-13*BM!$A$9)*ROUND(BM!$H610,15-13*ORÇAMENTO!$AF$10),15-13*ORÇAMENTO!$AF$11))),IF($A610=0,0,ROUND(SomaAgrupBM,15-13*ORÇAMENTO!$AF$11)))</f>
        <v>0</v>
      </c>
    </row>
    <row r="611" spans="1:41" ht="13.8" x14ac:dyDescent="0.3">
      <c r="A611" t="str">
        <f ca="1">ORÇAMENTO!C611</f>
        <v>S</v>
      </c>
      <c r="B611">
        <f ca="1">ORÇAMENTO!D611</f>
        <v>0</v>
      </c>
      <c r="C611" s="143" t="str">
        <f t="shared" ca="1" si="100"/>
        <v/>
      </c>
      <c r="D611" s="146" t="str">
        <f ca="1">ORÇAMENTO!O611</f>
        <v>-</v>
      </c>
      <c r="E611" s="206" t="str">
        <f t="shared" ca="1" si="101"/>
        <v>(abra o arquivo 'Referência 05-2024.xls)</v>
      </c>
      <c r="F611" s="207" t="str">
        <f t="shared" ca="1" si="102"/>
        <v>-</v>
      </c>
      <c r="G611" s="151">
        <f ca="1">IF(RegimeExecucao="Global","",ORÇAMENTO!T611)</f>
        <v>29</v>
      </c>
      <c r="H611" s="151">
        <f ca="1">IF(RegimeExecucao="Global","",ORÇAMENTO!W611)</f>
        <v>0</v>
      </c>
      <c r="I611" s="154">
        <f ca="1">ORÇAMENTO!X611</f>
        <v>0</v>
      </c>
      <c r="J611" s="427">
        <f t="shared" ca="1" si="103"/>
        <v>0</v>
      </c>
      <c r="K611" s="151">
        <f t="shared" ca="1" si="104"/>
        <v>0</v>
      </c>
      <c r="L611" s="428">
        <f t="shared" ca="1" si="105"/>
        <v>0</v>
      </c>
      <c r="M611" s="429">
        <f ca="1">IF($A611="S",VTOTALBM,IF($A611=0,0,ROUND(SomaAgrupBM,15-13*ORÇAMENTO!$AF$11)))</f>
        <v>0</v>
      </c>
      <c r="N611" s="430">
        <f t="shared" ca="1" si="106"/>
        <v>0</v>
      </c>
      <c r="O611" s="154">
        <f ca="1">IF($A611="S",VTOTALBM,IF($A611=0,0,ROUND(SomaAgrupBM,15-13*ORÇAMENTO!$AF$11)))</f>
        <v>0</v>
      </c>
      <c r="Q611" s="431"/>
      <c r="R611" s="432"/>
      <c r="T611" s="146" t="str">
        <f t="shared" ca="1" si="107"/>
        <v/>
      </c>
      <c r="U611" s="206" t="str">
        <f t="shared" ca="1" si="108"/>
        <v/>
      </c>
      <c r="V611" s="207" t="str">
        <f t="shared" ca="1" si="109"/>
        <v/>
      </c>
      <c r="W611" s="634">
        <f ca="1">IF($Y611&gt;0,CHOOSE(MATCH(RegimeExecucao,{"Unitário","Global"},0),IF($A611="S",$Y611/$X611,""),($Y611/$X611)*100),0)</f>
        <v>0</v>
      </c>
      <c r="X611" s="433" t="str">
        <f ca="1">IF($Y611&gt;0,CHOOSE(MATCH(RegimeExecucao,{"Unitário","Global"},0),IF($A611="S",ROUND($H611,ORÇAMENTO!$AF$10),""),ROUND($I611,ORÇAMENTO!$AF$11)),"")</f>
        <v/>
      </c>
      <c r="Y611" s="433">
        <f t="shared" ca="1" si="110"/>
        <v>0</v>
      </c>
      <c r="Z611" s="434"/>
      <c r="AB611" s="431"/>
      <c r="AC611" s="599"/>
      <c r="AD611" s="599"/>
      <c r="AE611" s="599"/>
      <c r="AF611" s="599"/>
      <c r="AG611" s="599"/>
      <c r="AH611" s="599"/>
      <c r="AI611" s="599"/>
      <c r="AJ611" s="599"/>
      <c r="AK611" s="599"/>
      <c r="AL611" s="599"/>
      <c r="AM611" s="432"/>
      <c r="AO611">
        <f ca="1">IF($A611="S",IF(BM!$I611=0,0,CHOOSE(MATCH(RegimeExecucao,{"Global","Unitário"},0),ROUND(ROUND(BM.MEDAcumulado,15-13*BM!$A$9)/100*BM!$I611,15-13*ORÇAMENTO!$AF$11),ROUND(ROUND(BM.MEDAcumulado,15-13*BM!$A$9)*ROUND(BM!$H611,15-13*ORÇAMENTO!$AF$10),15-13*ORÇAMENTO!$AF$11))),IF($A611=0,0,ROUND(SomaAgrupBM,15-13*ORÇAMENTO!$AF$11)))</f>
        <v>0</v>
      </c>
    </row>
    <row r="612" spans="1:41" ht="13.8" x14ac:dyDescent="0.3">
      <c r="A612" t="str">
        <f ca="1">ORÇAMENTO!C612</f>
        <v>S</v>
      </c>
      <c r="B612">
        <f ca="1">ORÇAMENTO!D612</f>
        <v>0</v>
      </c>
      <c r="C612" s="143" t="str">
        <f t="shared" ca="1" si="100"/>
        <v/>
      </c>
      <c r="D612" s="146" t="str">
        <f ca="1">ORÇAMENTO!O612</f>
        <v>-</v>
      </c>
      <c r="E612" s="206" t="str">
        <f t="shared" ca="1" si="101"/>
        <v>(abra o arquivo 'Referência 05-2024.xls)</v>
      </c>
      <c r="F612" s="207" t="str">
        <f t="shared" ca="1" si="102"/>
        <v>-</v>
      </c>
      <c r="G612" s="151">
        <f ca="1">IF(RegimeExecucao="Global","",ORÇAMENTO!T612)</f>
        <v>20</v>
      </c>
      <c r="H612" s="151">
        <f ca="1">IF(RegimeExecucao="Global","",ORÇAMENTO!W612)</f>
        <v>0</v>
      </c>
      <c r="I612" s="154">
        <f ca="1">ORÇAMENTO!X612</f>
        <v>0</v>
      </c>
      <c r="J612" s="427">
        <f t="shared" ca="1" si="103"/>
        <v>0</v>
      </c>
      <c r="K612" s="151">
        <f t="shared" ca="1" si="104"/>
        <v>0</v>
      </c>
      <c r="L612" s="428">
        <f t="shared" ca="1" si="105"/>
        <v>0</v>
      </c>
      <c r="M612" s="429">
        <f ca="1">IF($A612="S",VTOTALBM,IF($A612=0,0,ROUND(SomaAgrupBM,15-13*ORÇAMENTO!$AF$11)))</f>
        <v>0</v>
      </c>
      <c r="N612" s="430">
        <f t="shared" ca="1" si="106"/>
        <v>0</v>
      </c>
      <c r="O612" s="154">
        <f ca="1">IF($A612="S",VTOTALBM,IF($A612=0,0,ROUND(SomaAgrupBM,15-13*ORÇAMENTO!$AF$11)))</f>
        <v>0</v>
      </c>
      <c r="Q612" s="431"/>
      <c r="R612" s="432"/>
      <c r="T612" s="146" t="str">
        <f t="shared" ca="1" si="107"/>
        <v/>
      </c>
      <c r="U612" s="206" t="str">
        <f t="shared" ca="1" si="108"/>
        <v/>
      </c>
      <c r="V612" s="207" t="str">
        <f t="shared" ca="1" si="109"/>
        <v/>
      </c>
      <c r="W612" s="634">
        <f ca="1">IF($Y612&gt;0,CHOOSE(MATCH(RegimeExecucao,{"Unitário","Global"},0),IF($A612="S",$Y612/$X612,""),($Y612/$X612)*100),0)</f>
        <v>0</v>
      </c>
      <c r="X612" s="433" t="str">
        <f ca="1">IF($Y612&gt;0,CHOOSE(MATCH(RegimeExecucao,{"Unitário","Global"},0),IF($A612="S",ROUND($H612,ORÇAMENTO!$AF$10),""),ROUND($I612,ORÇAMENTO!$AF$11)),"")</f>
        <v/>
      </c>
      <c r="Y612" s="433">
        <f t="shared" ca="1" si="110"/>
        <v>0</v>
      </c>
      <c r="Z612" s="434"/>
      <c r="AB612" s="431"/>
      <c r="AC612" s="599"/>
      <c r="AD612" s="599"/>
      <c r="AE612" s="599"/>
      <c r="AF612" s="599"/>
      <c r="AG612" s="599"/>
      <c r="AH612" s="599"/>
      <c r="AI612" s="599"/>
      <c r="AJ612" s="599"/>
      <c r="AK612" s="599"/>
      <c r="AL612" s="599"/>
      <c r="AM612" s="432"/>
      <c r="AO612">
        <f ca="1">IF($A612="S",IF(BM!$I612=0,0,CHOOSE(MATCH(RegimeExecucao,{"Global","Unitário"},0),ROUND(ROUND(BM.MEDAcumulado,15-13*BM!$A$9)/100*BM!$I612,15-13*ORÇAMENTO!$AF$11),ROUND(ROUND(BM.MEDAcumulado,15-13*BM!$A$9)*ROUND(BM!$H612,15-13*ORÇAMENTO!$AF$10),15-13*ORÇAMENTO!$AF$11))),IF($A612=0,0,ROUND(SomaAgrupBM,15-13*ORÇAMENTO!$AF$11)))</f>
        <v>0</v>
      </c>
    </row>
    <row r="613" spans="1:41" ht="13.8" x14ac:dyDescent="0.3">
      <c r="A613" t="str">
        <f ca="1">ORÇAMENTO!C613</f>
        <v>S</v>
      </c>
      <c r="B613">
        <f ca="1">ORÇAMENTO!D613</f>
        <v>0</v>
      </c>
      <c r="C613" s="143" t="str">
        <f t="shared" ca="1" si="100"/>
        <v/>
      </c>
      <c r="D613" s="146" t="str">
        <f ca="1">ORÇAMENTO!O613</f>
        <v>-</v>
      </c>
      <c r="E613" s="206" t="str">
        <f t="shared" ca="1" si="101"/>
        <v>(abra o arquivo 'Referência 05-2024.xls)</v>
      </c>
      <c r="F613" s="207" t="str">
        <f t="shared" ca="1" si="102"/>
        <v>-</v>
      </c>
      <c r="G613" s="151">
        <f ca="1">IF(RegimeExecucao="Global","",ORÇAMENTO!T613)</f>
        <v>95</v>
      </c>
      <c r="H613" s="151">
        <f ca="1">IF(RegimeExecucao="Global","",ORÇAMENTO!W613)</f>
        <v>0</v>
      </c>
      <c r="I613" s="154">
        <f ca="1">ORÇAMENTO!X613</f>
        <v>0</v>
      </c>
      <c r="J613" s="427">
        <f t="shared" ca="1" si="103"/>
        <v>0</v>
      </c>
      <c r="K613" s="151">
        <f t="shared" ca="1" si="104"/>
        <v>0</v>
      </c>
      <c r="L613" s="428">
        <f t="shared" ca="1" si="105"/>
        <v>0</v>
      </c>
      <c r="M613" s="429">
        <f ca="1">IF($A613="S",VTOTALBM,IF($A613=0,0,ROUND(SomaAgrupBM,15-13*ORÇAMENTO!$AF$11)))</f>
        <v>0</v>
      </c>
      <c r="N613" s="430">
        <f t="shared" ca="1" si="106"/>
        <v>0</v>
      </c>
      <c r="O613" s="154">
        <f ca="1">IF($A613="S",VTOTALBM,IF($A613=0,0,ROUND(SomaAgrupBM,15-13*ORÇAMENTO!$AF$11)))</f>
        <v>0</v>
      </c>
      <c r="Q613" s="431"/>
      <c r="R613" s="432"/>
      <c r="T613" s="146" t="str">
        <f t="shared" ca="1" si="107"/>
        <v/>
      </c>
      <c r="U613" s="206" t="str">
        <f t="shared" ca="1" si="108"/>
        <v/>
      </c>
      <c r="V613" s="207" t="str">
        <f t="shared" ca="1" si="109"/>
        <v/>
      </c>
      <c r="W613" s="634">
        <f ca="1">IF($Y613&gt;0,CHOOSE(MATCH(RegimeExecucao,{"Unitário","Global"},0),IF($A613="S",$Y613/$X613,""),($Y613/$X613)*100),0)</f>
        <v>0</v>
      </c>
      <c r="X613" s="433" t="str">
        <f ca="1">IF($Y613&gt;0,CHOOSE(MATCH(RegimeExecucao,{"Unitário","Global"},0),IF($A613="S",ROUND($H613,ORÇAMENTO!$AF$10),""),ROUND($I613,ORÇAMENTO!$AF$11)),"")</f>
        <v/>
      </c>
      <c r="Y613" s="433">
        <f t="shared" ca="1" si="110"/>
        <v>0</v>
      </c>
      <c r="Z613" s="434"/>
      <c r="AB613" s="431"/>
      <c r="AC613" s="599"/>
      <c r="AD613" s="599"/>
      <c r="AE613" s="599"/>
      <c r="AF613" s="599"/>
      <c r="AG613" s="599"/>
      <c r="AH613" s="599"/>
      <c r="AI613" s="599"/>
      <c r="AJ613" s="599"/>
      <c r="AK613" s="599"/>
      <c r="AL613" s="599"/>
      <c r="AM613" s="432"/>
      <c r="AO613">
        <f ca="1">IF($A613="S",IF(BM!$I613=0,0,CHOOSE(MATCH(RegimeExecucao,{"Global","Unitário"},0),ROUND(ROUND(BM.MEDAcumulado,15-13*BM!$A$9)/100*BM!$I613,15-13*ORÇAMENTO!$AF$11),ROUND(ROUND(BM.MEDAcumulado,15-13*BM!$A$9)*ROUND(BM!$H613,15-13*ORÇAMENTO!$AF$10),15-13*ORÇAMENTO!$AF$11))),IF($A613=0,0,ROUND(SomaAgrupBM,15-13*ORÇAMENTO!$AF$11)))</f>
        <v>0</v>
      </c>
    </row>
    <row r="614" spans="1:41" ht="13.8" x14ac:dyDescent="0.3">
      <c r="A614" t="str">
        <f ca="1">ORÇAMENTO!C614</f>
        <v>S</v>
      </c>
      <c r="B614">
        <f ca="1">ORÇAMENTO!D614</f>
        <v>0</v>
      </c>
      <c r="C614" s="143" t="str">
        <f t="shared" ca="1" si="100"/>
        <v/>
      </c>
      <c r="D614" s="146" t="str">
        <f ca="1">ORÇAMENTO!O614</f>
        <v>-</v>
      </c>
      <c r="E614" s="206" t="str">
        <f t="shared" ca="1" si="101"/>
        <v>(abra o arquivo 'Referência 05-2024.xls)</v>
      </c>
      <c r="F614" s="207" t="str">
        <f t="shared" ca="1" si="102"/>
        <v>-</v>
      </c>
      <c r="G614" s="151">
        <f ca="1">IF(RegimeExecucao="Global","",ORÇAMENTO!T614)</f>
        <v>86</v>
      </c>
      <c r="H614" s="151">
        <f ca="1">IF(RegimeExecucao="Global","",ORÇAMENTO!W614)</f>
        <v>0</v>
      </c>
      <c r="I614" s="154">
        <f ca="1">ORÇAMENTO!X614</f>
        <v>0</v>
      </c>
      <c r="J614" s="427">
        <f t="shared" ca="1" si="103"/>
        <v>0</v>
      </c>
      <c r="K614" s="151">
        <f t="shared" ca="1" si="104"/>
        <v>0</v>
      </c>
      <c r="L614" s="428">
        <f t="shared" ca="1" si="105"/>
        <v>0</v>
      </c>
      <c r="M614" s="429">
        <f ca="1">IF($A614="S",VTOTALBM,IF($A614=0,0,ROUND(SomaAgrupBM,15-13*ORÇAMENTO!$AF$11)))</f>
        <v>0</v>
      </c>
      <c r="N614" s="430">
        <f t="shared" ca="1" si="106"/>
        <v>0</v>
      </c>
      <c r="O614" s="154">
        <f ca="1">IF($A614="S",VTOTALBM,IF($A614=0,0,ROUND(SomaAgrupBM,15-13*ORÇAMENTO!$AF$11)))</f>
        <v>0</v>
      </c>
      <c r="Q614" s="431"/>
      <c r="R614" s="432"/>
      <c r="T614" s="146" t="str">
        <f t="shared" ca="1" si="107"/>
        <v/>
      </c>
      <c r="U614" s="206" t="str">
        <f t="shared" ca="1" si="108"/>
        <v/>
      </c>
      <c r="V614" s="207" t="str">
        <f t="shared" ca="1" si="109"/>
        <v/>
      </c>
      <c r="W614" s="634">
        <f ca="1">IF($Y614&gt;0,CHOOSE(MATCH(RegimeExecucao,{"Unitário","Global"},0),IF($A614="S",$Y614/$X614,""),($Y614/$X614)*100),0)</f>
        <v>0</v>
      </c>
      <c r="X614" s="433" t="str">
        <f ca="1">IF($Y614&gt;0,CHOOSE(MATCH(RegimeExecucao,{"Unitário","Global"},0),IF($A614="S",ROUND($H614,ORÇAMENTO!$AF$10),""),ROUND($I614,ORÇAMENTO!$AF$11)),"")</f>
        <v/>
      </c>
      <c r="Y614" s="433">
        <f t="shared" ca="1" si="110"/>
        <v>0</v>
      </c>
      <c r="Z614" s="434"/>
      <c r="AB614" s="431"/>
      <c r="AC614" s="599"/>
      <c r="AD614" s="599"/>
      <c r="AE614" s="599"/>
      <c r="AF614" s="599"/>
      <c r="AG614" s="599"/>
      <c r="AH614" s="599"/>
      <c r="AI614" s="599"/>
      <c r="AJ614" s="599"/>
      <c r="AK614" s="599"/>
      <c r="AL614" s="599"/>
      <c r="AM614" s="432"/>
      <c r="AO614">
        <f ca="1">IF($A614="S",IF(BM!$I614=0,0,CHOOSE(MATCH(RegimeExecucao,{"Global","Unitário"},0),ROUND(ROUND(BM.MEDAcumulado,15-13*BM!$A$9)/100*BM!$I614,15-13*ORÇAMENTO!$AF$11),ROUND(ROUND(BM.MEDAcumulado,15-13*BM!$A$9)*ROUND(BM!$H614,15-13*ORÇAMENTO!$AF$10),15-13*ORÇAMENTO!$AF$11))),IF($A614=0,0,ROUND(SomaAgrupBM,15-13*ORÇAMENTO!$AF$11)))</f>
        <v>0</v>
      </c>
    </row>
    <row r="615" spans="1:41" ht="13.8" x14ac:dyDescent="0.3">
      <c r="A615" t="str">
        <f ca="1">ORÇAMENTO!C615</f>
        <v>S</v>
      </c>
      <c r="B615">
        <f ca="1">ORÇAMENTO!D615</f>
        <v>0</v>
      </c>
      <c r="C615" s="143" t="str">
        <f t="shared" ca="1" si="100"/>
        <v/>
      </c>
      <c r="D615" s="146" t="str">
        <f ca="1">ORÇAMENTO!O615</f>
        <v>-</v>
      </c>
      <c r="E615" s="206" t="str">
        <f t="shared" ca="1" si="101"/>
        <v>(abra o arquivo 'Referência 05-2024.xls)</v>
      </c>
      <c r="F615" s="207" t="str">
        <f t="shared" ca="1" si="102"/>
        <v>-</v>
      </c>
      <c r="G615" s="151">
        <f ca="1">IF(RegimeExecucao="Global","",ORÇAMENTO!T615)</f>
        <v>18</v>
      </c>
      <c r="H615" s="151">
        <f ca="1">IF(RegimeExecucao="Global","",ORÇAMENTO!W615)</f>
        <v>0</v>
      </c>
      <c r="I615" s="154">
        <f ca="1">ORÇAMENTO!X615</f>
        <v>0</v>
      </c>
      <c r="J615" s="427">
        <f t="shared" ca="1" si="103"/>
        <v>0</v>
      </c>
      <c r="K615" s="151">
        <f t="shared" ca="1" si="104"/>
        <v>0</v>
      </c>
      <c r="L615" s="428">
        <f t="shared" ca="1" si="105"/>
        <v>0</v>
      </c>
      <c r="M615" s="429">
        <f ca="1">IF($A615="S",VTOTALBM,IF($A615=0,0,ROUND(SomaAgrupBM,15-13*ORÇAMENTO!$AF$11)))</f>
        <v>0</v>
      </c>
      <c r="N615" s="430">
        <f t="shared" ca="1" si="106"/>
        <v>0</v>
      </c>
      <c r="O615" s="154">
        <f ca="1">IF($A615="S",VTOTALBM,IF($A615=0,0,ROUND(SomaAgrupBM,15-13*ORÇAMENTO!$AF$11)))</f>
        <v>0</v>
      </c>
      <c r="Q615" s="431"/>
      <c r="R615" s="432"/>
      <c r="T615" s="146" t="str">
        <f t="shared" ca="1" si="107"/>
        <v/>
      </c>
      <c r="U615" s="206" t="str">
        <f t="shared" ca="1" si="108"/>
        <v/>
      </c>
      <c r="V615" s="207" t="str">
        <f t="shared" ca="1" si="109"/>
        <v/>
      </c>
      <c r="W615" s="634">
        <f ca="1">IF($Y615&gt;0,CHOOSE(MATCH(RegimeExecucao,{"Unitário","Global"},0),IF($A615="S",$Y615/$X615,""),($Y615/$X615)*100),0)</f>
        <v>0</v>
      </c>
      <c r="X615" s="433" t="str">
        <f ca="1">IF($Y615&gt;0,CHOOSE(MATCH(RegimeExecucao,{"Unitário","Global"},0),IF($A615="S",ROUND($H615,ORÇAMENTO!$AF$10),""),ROUND($I615,ORÇAMENTO!$AF$11)),"")</f>
        <v/>
      </c>
      <c r="Y615" s="433">
        <f t="shared" ca="1" si="110"/>
        <v>0</v>
      </c>
      <c r="Z615" s="434"/>
      <c r="AB615" s="431"/>
      <c r="AC615" s="599"/>
      <c r="AD615" s="599"/>
      <c r="AE615" s="599"/>
      <c r="AF615" s="599"/>
      <c r="AG615" s="599"/>
      <c r="AH615" s="599"/>
      <c r="AI615" s="599"/>
      <c r="AJ615" s="599"/>
      <c r="AK615" s="599"/>
      <c r="AL615" s="599"/>
      <c r="AM615" s="432"/>
      <c r="AO615">
        <f ca="1">IF($A615="S",IF(BM!$I615=0,0,CHOOSE(MATCH(RegimeExecucao,{"Global","Unitário"},0),ROUND(ROUND(BM.MEDAcumulado,15-13*BM!$A$9)/100*BM!$I615,15-13*ORÇAMENTO!$AF$11),ROUND(ROUND(BM.MEDAcumulado,15-13*BM!$A$9)*ROUND(BM!$H615,15-13*ORÇAMENTO!$AF$10),15-13*ORÇAMENTO!$AF$11))),IF($A615=0,0,ROUND(SomaAgrupBM,15-13*ORÇAMENTO!$AF$11)))</f>
        <v>0</v>
      </c>
    </row>
    <row r="616" spans="1:41" ht="13.8" x14ac:dyDescent="0.3">
      <c r="A616" t="str">
        <f ca="1">ORÇAMENTO!C616</f>
        <v>S</v>
      </c>
      <c r="B616">
        <f ca="1">ORÇAMENTO!D616</f>
        <v>0</v>
      </c>
      <c r="C616" s="143" t="str">
        <f t="shared" ca="1" si="100"/>
        <v/>
      </c>
      <c r="D616" s="146" t="str">
        <f ca="1">ORÇAMENTO!O616</f>
        <v>-</v>
      </c>
      <c r="E616" s="206" t="str">
        <f t="shared" ca="1" si="101"/>
        <v>(abra o arquivo 'Referência 05-2024.xls)</v>
      </c>
      <c r="F616" s="207" t="str">
        <f t="shared" ca="1" si="102"/>
        <v>-</v>
      </c>
      <c r="G616" s="151">
        <f ca="1">IF(RegimeExecucao="Global","",ORÇAMENTO!T616)</f>
        <v>46</v>
      </c>
      <c r="H616" s="151">
        <f ca="1">IF(RegimeExecucao="Global","",ORÇAMENTO!W616)</f>
        <v>0</v>
      </c>
      <c r="I616" s="154">
        <f ca="1">ORÇAMENTO!X616</f>
        <v>0</v>
      </c>
      <c r="J616" s="427">
        <f t="shared" ca="1" si="103"/>
        <v>0</v>
      </c>
      <c r="K616" s="151">
        <f t="shared" ca="1" si="104"/>
        <v>0</v>
      </c>
      <c r="L616" s="428">
        <f t="shared" ca="1" si="105"/>
        <v>0</v>
      </c>
      <c r="M616" s="429">
        <f ca="1">IF($A616="S",VTOTALBM,IF($A616=0,0,ROUND(SomaAgrupBM,15-13*ORÇAMENTO!$AF$11)))</f>
        <v>0</v>
      </c>
      <c r="N616" s="430">
        <f t="shared" ca="1" si="106"/>
        <v>0</v>
      </c>
      <c r="O616" s="154">
        <f ca="1">IF($A616="S",VTOTALBM,IF($A616=0,0,ROUND(SomaAgrupBM,15-13*ORÇAMENTO!$AF$11)))</f>
        <v>0</v>
      </c>
      <c r="Q616" s="431"/>
      <c r="R616" s="432"/>
      <c r="T616" s="146" t="str">
        <f t="shared" ca="1" si="107"/>
        <v/>
      </c>
      <c r="U616" s="206" t="str">
        <f t="shared" ca="1" si="108"/>
        <v/>
      </c>
      <c r="V616" s="207" t="str">
        <f t="shared" ca="1" si="109"/>
        <v/>
      </c>
      <c r="W616" s="634">
        <f ca="1">IF($Y616&gt;0,CHOOSE(MATCH(RegimeExecucao,{"Unitário","Global"},0),IF($A616="S",$Y616/$X616,""),($Y616/$X616)*100),0)</f>
        <v>0</v>
      </c>
      <c r="X616" s="433" t="str">
        <f ca="1">IF($Y616&gt;0,CHOOSE(MATCH(RegimeExecucao,{"Unitário","Global"},0),IF($A616="S",ROUND($H616,ORÇAMENTO!$AF$10),""),ROUND($I616,ORÇAMENTO!$AF$11)),"")</f>
        <v/>
      </c>
      <c r="Y616" s="433">
        <f t="shared" ca="1" si="110"/>
        <v>0</v>
      </c>
      <c r="Z616" s="434"/>
      <c r="AB616" s="431"/>
      <c r="AC616" s="599"/>
      <c r="AD616" s="599"/>
      <c r="AE616" s="599"/>
      <c r="AF616" s="599"/>
      <c r="AG616" s="599"/>
      <c r="AH616" s="599"/>
      <c r="AI616" s="599"/>
      <c r="AJ616" s="599"/>
      <c r="AK616" s="599"/>
      <c r="AL616" s="599"/>
      <c r="AM616" s="432"/>
      <c r="AO616">
        <f ca="1">IF($A616="S",IF(BM!$I616=0,0,CHOOSE(MATCH(RegimeExecucao,{"Global","Unitário"},0),ROUND(ROUND(BM.MEDAcumulado,15-13*BM!$A$9)/100*BM!$I616,15-13*ORÇAMENTO!$AF$11),ROUND(ROUND(BM.MEDAcumulado,15-13*BM!$A$9)*ROUND(BM!$H616,15-13*ORÇAMENTO!$AF$10),15-13*ORÇAMENTO!$AF$11))),IF($A616=0,0,ROUND(SomaAgrupBM,15-13*ORÇAMENTO!$AF$11)))</f>
        <v>0</v>
      </c>
    </row>
    <row r="617" spans="1:41" ht="13.8" x14ac:dyDescent="0.3">
      <c r="A617" t="str">
        <f ca="1">ORÇAMENTO!C617</f>
        <v>S</v>
      </c>
      <c r="B617">
        <f ca="1">ORÇAMENTO!D617</f>
        <v>0</v>
      </c>
      <c r="C617" s="143" t="str">
        <f t="shared" ca="1" si="100"/>
        <v/>
      </c>
      <c r="D617" s="146" t="str">
        <f ca="1">ORÇAMENTO!O617</f>
        <v>-</v>
      </c>
      <c r="E617" s="206" t="str">
        <f t="shared" ca="1" si="101"/>
        <v>(abra o arquivo 'Referência 05-2024.xls)</v>
      </c>
      <c r="F617" s="207" t="str">
        <f t="shared" ca="1" si="102"/>
        <v>-</v>
      </c>
      <c r="G617" s="151">
        <f ca="1">IF(RegimeExecucao="Global","",ORÇAMENTO!T617)</f>
        <v>18</v>
      </c>
      <c r="H617" s="151">
        <f ca="1">IF(RegimeExecucao="Global","",ORÇAMENTO!W617)</f>
        <v>0</v>
      </c>
      <c r="I617" s="154">
        <f ca="1">ORÇAMENTO!X617</f>
        <v>0</v>
      </c>
      <c r="J617" s="427">
        <f t="shared" ca="1" si="103"/>
        <v>0</v>
      </c>
      <c r="K617" s="151">
        <f t="shared" ca="1" si="104"/>
        <v>0</v>
      </c>
      <c r="L617" s="428">
        <f t="shared" ca="1" si="105"/>
        <v>0</v>
      </c>
      <c r="M617" s="429">
        <f ca="1">IF($A617="S",VTOTALBM,IF($A617=0,0,ROUND(SomaAgrupBM,15-13*ORÇAMENTO!$AF$11)))</f>
        <v>0</v>
      </c>
      <c r="N617" s="430">
        <f t="shared" ca="1" si="106"/>
        <v>0</v>
      </c>
      <c r="O617" s="154">
        <f ca="1">IF($A617="S",VTOTALBM,IF($A617=0,0,ROUND(SomaAgrupBM,15-13*ORÇAMENTO!$AF$11)))</f>
        <v>0</v>
      </c>
      <c r="Q617" s="431"/>
      <c r="R617" s="432"/>
      <c r="T617" s="146" t="str">
        <f t="shared" ca="1" si="107"/>
        <v/>
      </c>
      <c r="U617" s="206" t="str">
        <f t="shared" ca="1" si="108"/>
        <v/>
      </c>
      <c r="V617" s="207" t="str">
        <f t="shared" ca="1" si="109"/>
        <v/>
      </c>
      <c r="W617" s="634">
        <f ca="1">IF($Y617&gt;0,CHOOSE(MATCH(RegimeExecucao,{"Unitário","Global"},0),IF($A617="S",$Y617/$X617,""),($Y617/$X617)*100),0)</f>
        <v>0</v>
      </c>
      <c r="X617" s="433" t="str">
        <f ca="1">IF($Y617&gt;0,CHOOSE(MATCH(RegimeExecucao,{"Unitário","Global"},0),IF($A617="S",ROUND($H617,ORÇAMENTO!$AF$10),""),ROUND($I617,ORÇAMENTO!$AF$11)),"")</f>
        <v/>
      </c>
      <c r="Y617" s="433">
        <f t="shared" ca="1" si="110"/>
        <v>0</v>
      </c>
      <c r="Z617" s="434"/>
      <c r="AB617" s="431"/>
      <c r="AC617" s="599"/>
      <c r="AD617" s="599"/>
      <c r="AE617" s="599"/>
      <c r="AF617" s="599"/>
      <c r="AG617" s="599"/>
      <c r="AH617" s="599"/>
      <c r="AI617" s="599"/>
      <c r="AJ617" s="599"/>
      <c r="AK617" s="599"/>
      <c r="AL617" s="599"/>
      <c r="AM617" s="432"/>
      <c r="AO617">
        <f ca="1">IF($A617="S",IF(BM!$I617=0,0,CHOOSE(MATCH(RegimeExecucao,{"Global","Unitário"},0),ROUND(ROUND(BM.MEDAcumulado,15-13*BM!$A$9)/100*BM!$I617,15-13*ORÇAMENTO!$AF$11),ROUND(ROUND(BM.MEDAcumulado,15-13*BM!$A$9)*ROUND(BM!$H617,15-13*ORÇAMENTO!$AF$10),15-13*ORÇAMENTO!$AF$11))),IF($A617=0,0,ROUND(SomaAgrupBM,15-13*ORÇAMENTO!$AF$11)))</f>
        <v>0</v>
      </c>
    </row>
    <row r="618" spans="1:41" ht="13.8" x14ac:dyDescent="0.3">
      <c r="A618">
        <f ca="1">ORÇAMENTO!C618</f>
        <v>2</v>
      </c>
      <c r="B618">
        <f ca="1">ORÇAMENTO!D618</f>
        <v>10</v>
      </c>
      <c r="C618" s="143" t="str">
        <f t="shared" ref="C618:C649" ca="1" si="111">IF(OR($I618&gt;0,$A618=1,$A618=2,$A618=3,$A618=4),"F","")</f>
        <v>F</v>
      </c>
      <c r="D618" s="146" t="str">
        <f ca="1">ORÇAMENTO!O618</f>
        <v>1.19.</v>
      </c>
      <c r="E618" s="206" t="str">
        <f t="shared" ref="E618:E649" si="112">ORÇAMENTO.Descricao</f>
        <v>INSTALAÇÕES DE CLIMATIZAÇÃO</v>
      </c>
      <c r="F618" s="207" t="str">
        <f t="shared" ref="F618:F649" ca="1" si="113">IF(RegimeExecucao="Global","",ORÇAMENTO.Unidade)</f>
        <v>-</v>
      </c>
      <c r="G618" s="151">
        <f ca="1">IF(RegimeExecucao="Global","",ORÇAMENTO!T618)</f>
        <v>0</v>
      </c>
      <c r="H618" s="151">
        <f ca="1">IF(RegimeExecucao="Global","",ORÇAMENTO!W618)</f>
        <v>0</v>
      </c>
      <c r="I618" s="154">
        <f ca="1">ORÇAMENTO!X618</f>
        <v>0</v>
      </c>
      <c r="J618" s="427">
        <f t="shared" ref="J618:J649" ca="1" si="114">IF($A618="S",IF(CAIXA.Modo,BM.AFAnterior,BM.MEDAnterior),IF(AND(RegimeExecucao="Global",$I618&gt;0,COUNTIF($AB$13:$AM$13,BM.medicao-1)&gt;0),M618/$I618*100,0))</f>
        <v>0</v>
      </c>
      <c r="K618" s="151">
        <f t="shared" ref="K618:K649" ca="1" si="115">L618-J618</f>
        <v>0</v>
      </c>
      <c r="L618" s="428">
        <f t="shared" ref="L618:L649" ca="1" si="116">IF($A618="S",IF(CAIXA.Modo,BM.AFAcumulado,BM.MEDAcumulado),IF(AND(RegimeExecucao="Global",$I618&gt;0,COUNTIF($AB$13:$AM$13,BM.medicao)&gt;0),O618/$I618*100,0))</f>
        <v>0</v>
      </c>
      <c r="M618" s="429">
        <f ca="1">IF($A618="S",VTOTALBM,IF($A618=0,0,ROUND(SomaAgrupBM,15-13*ORÇAMENTO!$AF$11)))</f>
        <v>0</v>
      </c>
      <c r="N618" s="430">
        <f t="shared" ref="N618:N649" ca="1" si="117">O618-M618</f>
        <v>0</v>
      </c>
      <c r="O618" s="154">
        <f ca="1">IF($A618="S",VTOTALBM,IF($A618=0,0,ROUND(SomaAgrupBM,15-13*ORÇAMENTO!$AF$11)))</f>
        <v>0</v>
      </c>
      <c r="Q618" s="431"/>
      <c r="R618" s="432"/>
      <c r="T618" s="146" t="str">
        <f t="shared" ref="T618:T649" ca="1" si="118">IF($W618&gt;0,$D618,"")</f>
        <v/>
      </c>
      <c r="U618" s="206" t="str">
        <f t="shared" ref="U618:U649" ca="1" si="119">IF($W618&gt;0,$E618,"")</f>
        <v/>
      </c>
      <c r="V618" s="207" t="str">
        <f t="shared" ref="V618:V649" ca="1" si="120">IF(AND($W618&gt;0,RegimeExecucao="Unitário"),$F618,"")</f>
        <v/>
      </c>
      <c r="W618" s="634">
        <f ca="1">IF($Y618&gt;0,CHOOSE(MATCH(RegimeExecucao,{"Unitário","Global"},0),IF($A618="S",$Y618/$X618,""),($Y618/$X618)*100),0)</f>
        <v>0</v>
      </c>
      <c r="X618" s="433" t="str">
        <f ca="1">IF($Y618&gt;0,CHOOSE(MATCH(RegimeExecucao,{"Unitário","Global"},0),IF($A618="S",ROUND($H618,ORÇAMENTO!$AF$10),""),ROUND($I618,ORÇAMENTO!$AF$11)),"")</f>
        <v/>
      </c>
      <c r="Y618" s="433">
        <f t="shared" ref="Y618:Y649" ca="1" si="121">AO618-O618</f>
        <v>0</v>
      </c>
      <c r="Z618" s="434"/>
      <c r="AB618" s="431"/>
      <c r="AC618" s="599"/>
      <c r="AD618" s="599"/>
      <c r="AE618" s="599"/>
      <c r="AF618" s="599"/>
      <c r="AG618" s="599"/>
      <c r="AH618" s="599"/>
      <c r="AI618" s="599"/>
      <c r="AJ618" s="599"/>
      <c r="AK618" s="599"/>
      <c r="AL618" s="599"/>
      <c r="AM618" s="432"/>
      <c r="AO618">
        <f ca="1">IF($A618="S",IF(BM!$I618=0,0,CHOOSE(MATCH(RegimeExecucao,{"Global","Unitário"},0),ROUND(ROUND(BM.MEDAcumulado,15-13*BM!$A$9)/100*BM!$I618,15-13*ORÇAMENTO!$AF$11),ROUND(ROUND(BM.MEDAcumulado,15-13*BM!$A$9)*ROUND(BM!$H618,15-13*ORÇAMENTO!$AF$10),15-13*ORÇAMENTO!$AF$11))),IF($A618=0,0,ROUND(SomaAgrupBM,15-13*ORÇAMENTO!$AF$11)))</f>
        <v>0</v>
      </c>
    </row>
    <row r="619" spans="1:41" ht="13.8" x14ac:dyDescent="0.3">
      <c r="A619" t="str">
        <f ca="1">ORÇAMENTO!C619</f>
        <v>S</v>
      </c>
      <c r="B619">
        <f ca="1">ORÇAMENTO!D619</f>
        <v>0</v>
      </c>
      <c r="C619" s="143" t="str">
        <f t="shared" ca="1" si="111"/>
        <v/>
      </c>
      <c r="D619" s="146" t="str">
        <f ca="1">ORÇAMENTO!O619</f>
        <v>-</v>
      </c>
      <c r="E619" s="206" t="str">
        <f t="shared" ca="1" si="112"/>
        <v>(abra o arquivo 'Referência 05-2024.xls)</v>
      </c>
      <c r="F619" s="207" t="str">
        <f t="shared" ca="1" si="113"/>
        <v>-</v>
      </c>
      <c r="G619" s="151">
        <f ca="1">IF(RegimeExecucao="Global","",ORÇAMENTO!T619)</f>
        <v>156</v>
      </c>
      <c r="H619" s="151">
        <f ca="1">IF(RegimeExecucao="Global","",ORÇAMENTO!W619)</f>
        <v>0</v>
      </c>
      <c r="I619" s="154">
        <f ca="1">ORÇAMENTO!X619</f>
        <v>0</v>
      </c>
      <c r="J619" s="427">
        <f t="shared" ca="1" si="114"/>
        <v>0</v>
      </c>
      <c r="K619" s="151">
        <f t="shared" ca="1" si="115"/>
        <v>0</v>
      </c>
      <c r="L619" s="428">
        <f t="shared" ca="1" si="116"/>
        <v>0</v>
      </c>
      <c r="M619" s="429">
        <f ca="1">IF($A619="S",VTOTALBM,IF($A619=0,0,ROUND(SomaAgrupBM,15-13*ORÇAMENTO!$AF$11)))</f>
        <v>0</v>
      </c>
      <c r="N619" s="430">
        <f t="shared" ca="1" si="117"/>
        <v>0</v>
      </c>
      <c r="O619" s="154">
        <f ca="1">IF($A619="S",VTOTALBM,IF($A619=0,0,ROUND(SomaAgrupBM,15-13*ORÇAMENTO!$AF$11)))</f>
        <v>0</v>
      </c>
      <c r="Q619" s="431"/>
      <c r="R619" s="432"/>
      <c r="T619" s="146" t="str">
        <f t="shared" ca="1" si="118"/>
        <v/>
      </c>
      <c r="U619" s="206" t="str">
        <f t="shared" ca="1" si="119"/>
        <v/>
      </c>
      <c r="V619" s="207" t="str">
        <f t="shared" ca="1" si="120"/>
        <v/>
      </c>
      <c r="W619" s="634">
        <f ca="1">IF($Y619&gt;0,CHOOSE(MATCH(RegimeExecucao,{"Unitário","Global"},0),IF($A619="S",$Y619/$X619,""),($Y619/$X619)*100),0)</f>
        <v>0</v>
      </c>
      <c r="X619" s="433" t="str">
        <f ca="1">IF($Y619&gt;0,CHOOSE(MATCH(RegimeExecucao,{"Unitário","Global"},0),IF($A619="S",ROUND($H619,ORÇAMENTO!$AF$10),""),ROUND($I619,ORÇAMENTO!$AF$11)),"")</f>
        <v/>
      </c>
      <c r="Y619" s="433">
        <f t="shared" ca="1" si="121"/>
        <v>0</v>
      </c>
      <c r="Z619" s="434"/>
      <c r="AB619" s="431"/>
      <c r="AC619" s="599"/>
      <c r="AD619" s="599"/>
      <c r="AE619" s="599"/>
      <c r="AF619" s="599"/>
      <c r="AG619" s="599"/>
      <c r="AH619" s="599"/>
      <c r="AI619" s="599"/>
      <c r="AJ619" s="599"/>
      <c r="AK619" s="599"/>
      <c r="AL619" s="599"/>
      <c r="AM619" s="432"/>
      <c r="AO619">
        <f ca="1">IF($A619="S",IF(BM!$I619=0,0,CHOOSE(MATCH(RegimeExecucao,{"Global","Unitário"},0),ROUND(ROUND(BM.MEDAcumulado,15-13*BM!$A$9)/100*BM!$I619,15-13*ORÇAMENTO!$AF$11),ROUND(ROUND(BM.MEDAcumulado,15-13*BM!$A$9)*ROUND(BM!$H619,15-13*ORÇAMENTO!$AF$10),15-13*ORÇAMENTO!$AF$11))),IF($A619=0,0,ROUND(SomaAgrupBM,15-13*ORÇAMENTO!$AF$11)))</f>
        <v>0</v>
      </c>
    </row>
    <row r="620" spans="1:41" ht="13.8" x14ac:dyDescent="0.3">
      <c r="A620" t="str">
        <f ca="1">ORÇAMENTO!C620</f>
        <v>S</v>
      </c>
      <c r="B620">
        <f ca="1">ORÇAMENTO!D620</f>
        <v>0</v>
      </c>
      <c r="C620" s="143" t="str">
        <f t="shared" ca="1" si="111"/>
        <v/>
      </c>
      <c r="D620" s="146" t="str">
        <f ca="1">ORÇAMENTO!O620</f>
        <v>-</v>
      </c>
      <c r="E620" s="206" t="str">
        <f t="shared" ca="1" si="112"/>
        <v>(abra o arquivo 'Referência 05-2024.xls)</v>
      </c>
      <c r="F620" s="207" t="str">
        <f t="shared" ca="1" si="113"/>
        <v>-</v>
      </c>
      <c r="G620" s="151">
        <f ca="1">IF(RegimeExecucao="Global","",ORÇAMENTO!T620)</f>
        <v>18</v>
      </c>
      <c r="H620" s="151">
        <f ca="1">IF(RegimeExecucao="Global","",ORÇAMENTO!W620)</f>
        <v>0</v>
      </c>
      <c r="I620" s="154">
        <f ca="1">ORÇAMENTO!X620</f>
        <v>0</v>
      </c>
      <c r="J620" s="427">
        <f t="shared" ca="1" si="114"/>
        <v>0</v>
      </c>
      <c r="K620" s="151">
        <f t="shared" ca="1" si="115"/>
        <v>0</v>
      </c>
      <c r="L620" s="428">
        <f t="shared" ca="1" si="116"/>
        <v>0</v>
      </c>
      <c r="M620" s="429">
        <f ca="1">IF($A620="S",VTOTALBM,IF($A620=0,0,ROUND(SomaAgrupBM,15-13*ORÇAMENTO!$AF$11)))</f>
        <v>0</v>
      </c>
      <c r="N620" s="430">
        <f t="shared" ca="1" si="117"/>
        <v>0</v>
      </c>
      <c r="O620" s="154">
        <f ca="1">IF($A620="S",VTOTALBM,IF($A620=0,0,ROUND(SomaAgrupBM,15-13*ORÇAMENTO!$AF$11)))</f>
        <v>0</v>
      </c>
      <c r="Q620" s="431"/>
      <c r="R620" s="432"/>
      <c r="T620" s="146" t="str">
        <f t="shared" ca="1" si="118"/>
        <v/>
      </c>
      <c r="U620" s="206" t="str">
        <f t="shared" ca="1" si="119"/>
        <v/>
      </c>
      <c r="V620" s="207" t="str">
        <f t="shared" ca="1" si="120"/>
        <v/>
      </c>
      <c r="W620" s="634">
        <f ca="1">IF($Y620&gt;0,CHOOSE(MATCH(RegimeExecucao,{"Unitário","Global"},0),IF($A620="S",$Y620/$X620,""),($Y620/$X620)*100),0)</f>
        <v>0</v>
      </c>
      <c r="X620" s="433" t="str">
        <f ca="1">IF($Y620&gt;0,CHOOSE(MATCH(RegimeExecucao,{"Unitário","Global"},0),IF($A620="S",ROUND($H620,ORÇAMENTO!$AF$10),""),ROUND($I620,ORÇAMENTO!$AF$11)),"")</f>
        <v/>
      </c>
      <c r="Y620" s="433">
        <f t="shared" ca="1" si="121"/>
        <v>0</v>
      </c>
      <c r="Z620" s="434"/>
      <c r="AB620" s="431"/>
      <c r="AC620" s="599"/>
      <c r="AD620" s="599"/>
      <c r="AE620" s="599"/>
      <c r="AF620" s="599"/>
      <c r="AG620" s="599"/>
      <c r="AH620" s="599"/>
      <c r="AI620" s="599"/>
      <c r="AJ620" s="599"/>
      <c r="AK620" s="599"/>
      <c r="AL620" s="599"/>
      <c r="AM620" s="432"/>
      <c r="AO620">
        <f ca="1">IF($A620="S",IF(BM!$I620=0,0,CHOOSE(MATCH(RegimeExecucao,{"Global","Unitário"},0),ROUND(ROUND(BM.MEDAcumulado,15-13*BM!$A$9)/100*BM!$I620,15-13*ORÇAMENTO!$AF$11),ROUND(ROUND(BM.MEDAcumulado,15-13*BM!$A$9)*ROUND(BM!$H620,15-13*ORÇAMENTO!$AF$10),15-13*ORÇAMENTO!$AF$11))),IF($A620=0,0,ROUND(SomaAgrupBM,15-13*ORÇAMENTO!$AF$11)))</f>
        <v>0</v>
      </c>
    </row>
    <row r="621" spans="1:41" ht="13.8" x14ac:dyDescent="0.3">
      <c r="A621" t="str">
        <f ca="1">ORÇAMENTO!C621</f>
        <v>S</v>
      </c>
      <c r="B621">
        <f ca="1">ORÇAMENTO!D621</f>
        <v>0</v>
      </c>
      <c r="C621" s="143" t="str">
        <f t="shared" ca="1" si="111"/>
        <v/>
      </c>
      <c r="D621" s="146" t="str">
        <f ca="1">ORÇAMENTO!O621</f>
        <v>-</v>
      </c>
      <c r="E621" s="206" t="str">
        <f t="shared" ca="1" si="112"/>
        <v>(abra o arquivo 'Referência 05-2024.xls)</v>
      </c>
      <c r="F621" s="207" t="str">
        <f t="shared" ca="1" si="113"/>
        <v>-</v>
      </c>
      <c r="G621" s="151">
        <f ca="1">IF(RegimeExecucao="Global","",ORÇAMENTO!T621)</f>
        <v>140</v>
      </c>
      <c r="H621" s="151">
        <f ca="1">IF(RegimeExecucao="Global","",ORÇAMENTO!W621)</f>
        <v>0</v>
      </c>
      <c r="I621" s="154">
        <f ca="1">ORÇAMENTO!X621</f>
        <v>0</v>
      </c>
      <c r="J621" s="427">
        <f t="shared" ca="1" si="114"/>
        <v>0</v>
      </c>
      <c r="K621" s="151">
        <f t="shared" ca="1" si="115"/>
        <v>0</v>
      </c>
      <c r="L621" s="428">
        <f t="shared" ca="1" si="116"/>
        <v>0</v>
      </c>
      <c r="M621" s="429">
        <f ca="1">IF($A621="S",VTOTALBM,IF($A621=0,0,ROUND(SomaAgrupBM,15-13*ORÇAMENTO!$AF$11)))</f>
        <v>0</v>
      </c>
      <c r="N621" s="430">
        <f t="shared" ca="1" si="117"/>
        <v>0</v>
      </c>
      <c r="O621" s="154">
        <f ca="1">IF($A621="S",VTOTALBM,IF($A621=0,0,ROUND(SomaAgrupBM,15-13*ORÇAMENTO!$AF$11)))</f>
        <v>0</v>
      </c>
      <c r="Q621" s="431"/>
      <c r="R621" s="432"/>
      <c r="T621" s="146" t="str">
        <f t="shared" ca="1" si="118"/>
        <v/>
      </c>
      <c r="U621" s="206" t="str">
        <f t="shared" ca="1" si="119"/>
        <v/>
      </c>
      <c r="V621" s="207" t="str">
        <f t="shared" ca="1" si="120"/>
        <v/>
      </c>
      <c r="W621" s="634">
        <f ca="1">IF($Y621&gt;0,CHOOSE(MATCH(RegimeExecucao,{"Unitário","Global"},0),IF($A621="S",$Y621/$X621,""),($Y621/$X621)*100),0)</f>
        <v>0</v>
      </c>
      <c r="X621" s="433" t="str">
        <f ca="1">IF($Y621&gt;0,CHOOSE(MATCH(RegimeExecucao,{"Unitário","Global"},0),IF($A621="S",ROUND($H621,ORÇAMENTO!$AF$10),""),ROUND($I621,ORÇAMENTO!$AF$11)),"")</f>
        <v/>
      </c>
      <c r="Y621" s="433">
        <f t="shared" ca="1" si="121"/>
        <v>0</v>
      </c>
      <c r="Z621" s="434"/>
      <c r="AB621" s="431"/>
      <c r="AC621" s="599"/>
      <c r="AD621" s="599"/>
      <c r="AE621" s="599"/>
      <c r="AF621" s="599"/>
      <c r="AG621" s="599"/>
      <c r="AH621" s="599"/>
      <c r="AI621" s="599"/>
      <c r="AJ621" s="599"/>
      <c r="AK621" s="599"/>
      <c r="AL621" s="599"/>
      <c r="AM621" s="432"/>
      <c r="AO621">
        <f ca="1">IF($A621="S",IF(BM!$I621=0,0,CHOOSE(MATCH(RegimeExecucao,{"Global","Unitário"},0),ROUND(ROUND(BM.MEDAcumulado,15-13*BM!$A$9)/100*BM!$I621,15-13*ORÇAMENTO!$AF$11),ROUND(ROUND(BM.MEDAcumulado,15-13*BM!$A$9)*ROUND(BM!$H621,15-13*ORÇAMENTO!$AF$10),15-13*ORÇAMENTO!$AF$11))),IF($A621=0,0,ROUND(SomaAgrupBM,15-13*ORÇAMENTO!$AF$11)))</f>
        <v>0</v>
      </c>
    </row>
    <row r="622" spans="1:41" ht="13.8" x14ac:dyDescent="0.3">
      <c r="A622" t="str">
        <f ca="1">ORÇAMENTO!C622</f>
        <v>S</v>
      </c>
      <c r="B622">
        <f ca="1">ORÇAMENTO!D622</f>
        <v>0</v>
      </c>
      <c r="C622" s="143" t="str">
        <f t="shared" ca="1" si="111"/>
        <v/>
      </c>
      <c r="D622" s="146" t="str">
        <f ca="1">ORÇAMENTO!O622</f>
        <v>-</v>
      </c>
      <c r="E622" s="206" t="str">
        <f t="shared" ca="1" si="112"/>
        <v>(abra o arquivo 'Referência 05-2024.xls)</v>
      </c>
      <c r="F622" s="207" t="str">
        <f t="shared" ca="1" si="113"/>
        <v>-</v>
      </c>
      <c r="G622" s="151">
        <f ca="1">IF(RegimeExecucao="Global","",ORÇAMENTO!T622)</f>
        <v>16</v>
      </c>
      <c r="H622" s="151">
        <f ca="1">IF(RegimeExecucao="Global","",ORÇAMENTO!W622)</f>
        <v>0</v>
      </c>
      <c r="I622" s="154">
        <f ca="1">ORÇAMENTO!X622</f>
        <v>0</v>
      </c>
      <c r="J622" s="427">
        <f t="shared" ca="1" si="114"/>
        <v>0</v>
      </c>
      <c r="K622" s="151">
        <f t="shared" ca="1" si="115"/>
        <v>0</v>
      </c>
      <c r="L622" s="428">
        <f t="shared" ca="1" si="116"/>
        <v>0</v>
      </c>
      <c r="M622" s="429">
        <f ca="1">IF($A622="S",VTOTALBM,IF($A622=0,0,ROUND(SomaAgrupBM,15-13*ORÇAMENTO!$AF$11)))</f>
        <v>0</v>
      </c>
      <c r="N622" s="430">
        <f t="shared" ca="1" si="117"/>
        <v>0</v>
      </c>
      <c r="O622" s="154">
        <f ca="1">IF($A622="S",VTOTALBM,IF($A622=0,0,ROUND(SomaAgrupBM,15-13*ORÇAMENTO!$AF$11)))</f>
        <v>0</v>
      </c>
      <c r="Q622" s="431"/>
      <c r="R622" s="432"/>
      <c r="T622" s="146" t="str">
        <f t="shared" ca="1" si="118"/>
        <v/>
      </c>
      <c r="U622" s="206" t="str">
        <f t="shared" ca="1" si="119"/>
        <v/>
      </c>
      <c r="V622" s="207" t="str">
        <f t="shared" ca="1" si="120"/>
        <v/>
      </c>
      <c r="W622" s="634">
        <f ca="1">IF($Y622&gt;0,CHOOSE(MATCH(RegimeExecucao,{"Unitário","Global"},0),IF($A622="S",$Y622/$X622,""),($Y622/$X622)*100),0)</f>
        <v>0</v>
      </c>
      <c r="X622" s="433" t="str">
        <f ca="1">IF($Y622&gt;0,CHOOSE(MATCH(RegimeExecucao,{"Unitário","Global"},0),IF($A622="S",ROUND($H622,ORÇAMENTO!$AF$10),""),ROUND($I622,ORÇAMENTO!$AF$11)),"")</f>
        <v/>
      </c>
      <c r="Y622" s="433">
        <f t="shared" ca="1" si="121"/>
        <v>0</v>
      </c>
      <c r="Z622" s="434"/>
      <c r="AB622" s="431"/>
      <c r="AC622" s="599"/>
      <c r="AD622" s="599"/>
      <c r="AE622" s="599"/>
      <c r="AF622" s="599"/>
      <c r="AG622" s="599"/>
      <c r="AH622" s="599"/>
      <c r="AI622" s="599"/>
      <c r="AJ622" s="599"/>
      <c r="AK622" s="599"/>
      <c r="AL622" s="599"/>
      <c r="AM622" s="432"/>
      <c r="AO622">
        <f ca="1">IF($A622="S",IF(BM!$I622=0,0,CHOOSE(MATCH(RegimeExecucao,{"Global","Unitário"},0),ROUND(ROUND(BM.MEDAcumulado,15-13*BM!$A$9)/100*BM!$I622,15-13*ORÇAMENTO!$AF$11),ROUND(ROUND(BM.MEDAcumulado,15-13*BM!$A$9)*ROUND(BM!$H622,15-13*ORÇAMENTO!$AF$10),15-13*ORÇAMENTO!$AF$11))),IF($A622=0,0,ROUND(SomaAgrupBM,15-13*ORÇAMENTO!$AF$11)))</f>
        <v>0</v>
      </c>
    </row>
    <row r="623" spans="1:41" ht="13.8" x14ac:dyDescent="0.3">
      <c r="A623" t="str">
        <f ca="1">ORÇAMENTO!C623</f>
        <v>S</v>
      </c>
      <c r="B623">
        <f ca="1">ORÇAMENTO!D623</f>
        <v>0</v>
      </c>
      <c r="C623" s="143" t="str">
        <f t="shared" ca="1" si="111"/>
        <v/>
      </c>
      <c r="D623" s="146" t="str">
        <f ca="1">ORÇAMENTO!O623</f>
        <v>-</v>
      </c>
      <c r="E623" s="206" t="str">
        <f t="shared" ca="1" si="112"/>
        <v>(abra o arquivo 'Referência 05-2024.xls)</v>
      </c>
      <c r="F623" s="207" t="str">
        <f t="shared" ca="1" si="113"/>
        <v>-</v>
      </c>
      <c r="G623" s="151">
        <f ca="1">IF(RegimeExecucao="Global","",ORÇAMENTO!T623)</f>
        <v>18</v>
      </c>
      <c r="H623" s="151">
        <f ca="1">IF(RegimeExecucao="Global","",ORÇAMENTO!W623)</f>
        <v>0</v>
      </c>
      <c r="I623" s="154">
        <f ca="1">ORÇAMENTO!X623</f>
        <v>0</v>
      </c>
      <c r="J623" s="427">
        <f t="shared" ca="1" si="114"/>
        <v>0</v>
      </c>
      <c r="K623" s="151">
        <f t="shared" ca="1" si="115"/>
        <v>0</v>
      </c>
      <c r="L623" s="428">
        <f t="shared" ca="1" si="116"/>
        <v>0</v>
      </c>
      <c r="M623" s="429">
        <f ca="1">IF($A623="S",VTOTALBM,IF($A623=0,0,ROUND(SomaAgrupBM,15-13*ORÇAMENTO!$AF$11)))</f>
        <v>0</v>
      </c>
      <c r="N623" s="430">
        <f t="shared" ca="1" si="117"/>
        <v>0</v>
      </c>
      <c r="O623" s="154">
        <f ca="1">IF($A623="S",VTOTALBM,IF($A623=0,0,ROUND(SomaAgrupBM,15-13*ORÇAMENTO!$AF$11)))</f>
        <v>0</v>
      </c>
      <c r="Q623" s="431"/>
      <c r="R623" s="432"/>
      <c r="T623" s="146" t="str">
        <f t="shared" ca="1" si="118"/>
        <v/>
      </c>
      <c r="U623" s="206" t="str">
        <f t="shared" ca="1" si="119"/>
        <v/>
      </c>
      <c r="V623" s="207" t="str">
        <f t="shared" ca="1" si="120"/>
        <v/>
      </c>
      <c r="W623" s="634">
        <f ca="1">IF($Y623&gt;0,CHOOSE(MATCH(RegimeExecucao,{"Unitário","Global"},0),IF($A623="S",$Y623/$X623,""),($Y623/$X623)*100),0)</f>
        <v>0</v>
      </c>
      <c r="X623" s="433" t="str">
        <f ca="1">IF($Y623&gt;0,CHOOSE(MATCH(RegimeExecucao,{"Unitário","Global"},0),IF($A623="S",ROUND($H623,ORÇAMENTO!$AF$10),""),ROUND($I623,ORÇAMENTO!$AF$11)),"")</f>
        <v/>
      </c>
      <c r="Y623" s="433">
        <f t="shared" ca="1" si="121"/>
        <v>0</v>
      </c>
      <c r="Z623" s="434"/>
      <c r="AB623" s="431"/>
      <c r="AC623" s="599"/>
      <c r="AD623" s="599"/>
      <c r="AE623" s="599"/>
      <c r="AF623" s="599"/>
      <c r="AG623" s="599"/>
      <c r="AH623" s="599"/>
      <c r="AI623" s="599"/>
      <c r="AJ623" s="599"/>
      <c r="AK623" s="599"/>
      <c r="AL623" s="599"/>
      <c r="AM623" s="432"/>
      <c r="AO623">
        <f ca="1">IF($A623="S",IF(BM!$I623=0,0,CHOOSE(MATCH(RegimeExecucao,{"Global","Unitário"},0),ROUND(ROUND(BM.MEDAcumulado,15-13*BM!$A$9)/100*BM!$I623,15-13*ORÇAMENTO!$AF$11),ROUND(ROUND(BM.MEDAcumulado,15-13*BM!$A$9)*ROUND(BM!$H623,15-13*ORÇAMENTO!$AF$10),15-13*ORÇAMENTO!$AF$11))),IF($A623=0,0,ROUND(SomaAgrupBM,15-13*ORÇAMENTO!$AF$11)))</f>
        <v>0</v>
      </c>
    </row>
    <row r="624" spans="1:41" ht="13.8" x14ac:dyDescent="0.3">
      <c r="A624" t="str">
        <f ca="1">ORÇAMENTO!C624</f>
        <v>S</v>
      </c>
      <c r="B624">
        <f ca="1">ORÇAMENTO!D624</f>
        <v>0</v>
      </c>
      <c r="C624" s="143" t="str">
        <f t="shared" ca="1" si="111"/>
        <v/>
      </c>
      <c r="D624" s="146" t="str">
        <f ca="1">ORÇAMENTO!O624</f>
        <v>-</v>
      </c>
      <c r="E624" s="206" t="str">
        <f t="shared" ca="1" si="112"/>
        <v>(abra o arquivo 'Referência 05-2024.xls)</v>
      </c>
      <c r="F624" s="207" t="str">
        <f t="shared" ca="1" si="113"/>
        <v>-</v>
      </c>
      <c r="G624" s="151">
        <f ca="1">IF(RegimeExecucao="Global","",ORÇAMENTO!T624)</f>
        <v>257.44</v>
      </c>
      <c r="H624" s="151">
        <f ca="1">IF(RegimeExecucao="Global","",ORÇAMENTO!W624)</f>
        <v>0</v>
      </c>
      <c r="I624" s="154">
        <f ca="1">ORÇAMENTO!X624</f>
        <v>0</v>
      </c>
      <c r="J624" s="427">
        <f t="shared" ca="1" si="114"/>
        <v>0</v>
      </c>
      <c r="K624" s="151">
        <f t="shared" ca="1" si="115"/>
        <v>0</v>
      </c>
      <c r="L624" s="428">
        <f t="shared" ca="1" si="116"/>
        <v>0</v>
      </c>
      <c r="M624" s="429">
        <f ca="1">IF($A624="S",VTOTALBM,IF($A624=0,0,ROUND(SomaAgrupBM,15-13*ORÇAMENTO!$AF$11)))</f>
        <v>0</v>
      </c>
      <c r="N624" s="430">
        <f t="shared" ca="1" si="117"/>
        <v>0</v>
      </c>
      <c r="O624" s="154">
        <f ca="1">IF($A624="S",VTOTALBM,IF($A624=0,0,ROUND(SomaAgrupBM,15-13*ORÇAMENTO!$AF$11)))</f>
        <v>0</v>
      </c>
      <c r="Q624" s="431"/>
      <c r="R624" s="432"/>
      <c r="T624" s="146" t="str">
        <f t="shared" ca="1" si="118"/>
        <v/>
      </c>
      <c r="U624" s="206" t="str">
        <f t="shared" ca="1" si="119"/>
        <v/>
      </c>
      <c r="V624" s="207" t="str">
        <f t="shared" ca="1" si="120"/>
        <v/>
      </c>
      <c r="W624" s="634">
        <f ca="1">IF($Y624&gt;0,CHOOSE(MATCH(RegimeExecucao,{"Unitário","Global"},0),IF($A624="S",$Y624/$X624,""),($Y624/$X624)*100),0)</f>
        <v>0</v>
      </c>
      <c r="X624" s="433" t="str">
        <f ca="1">IF($Y624&gt;0,CHOOSE(MATCH(RegimeExecucao,{"Unitário","Global"},0),IF($A624="S",ROUND($H624,ORÇAMENTO!$AF$10),""),ROUND($I624,ORÇAMENTO!$AF$11)),"")</f>
        <v/>
      </c>
      <c r="Y624" s="433">
        <f t="shared" ca="1" si="121"/>
        <v>0</v>
      </c>
      <c r="Z624" s="434"/>
      <c r="AB624" s="431"/>
      <c r="AC624" s="599"/>
      <c r="AD624" s="599"/>
      <c r="AE624" s="599"/>
      <c r="AF624" s="599"/>
      <c r="AG624" s="599"/>
      <c r="AH624" s="599"/>
      <c r="AI624" s="599"/>
      <c r="AJ624" s="599"/>
      <c r="AK624" s="599"/>
      <c r="AL624" s="599"/>
      <c r="AM624" s="432"/>
      <c r="AO624">
        <f ca="1">IF($A624="S",IF(BM!$I624=0,0,CHOOSE(MATCH(RegimeExecucao,{"Global","Unitário"},0),ROUND(ROUND(BM.MEDAcumulado,15-13*BM!$A$9)/100*BM!$I624,15-13*ORÇAMENTO!$AF$11),ROUND(ROUND(BM.MEDAcumulado,15-13*BM!$A$9)*ROUND(BM!$H624,15-13*ORÇAMENTO!$AF$10),15-13*ORÇAMENTO!$AF$11))),IF($A624=0,0,ROUND(SomaAgrupBM,15-13*ORÇAMENTO!$AF$11)))</f>
        <v>0</v>
      </c>
    </row>
    <row r="625" spans="1:41" ht="13.8" x14ac:dyDescent="0.3">
      <c r="A625" t="str">
        <f ca="1">ORÇAMENTO!C625</f>
        <v>S</v>
      </c>
      <c r="B625">
        <f ca="1">ORÇAMENTO!D625</f>
        <v>0</v>
      </c>
      <c r="C625" s="143" t="str">
        <f t="shared" ca="1" si="111"/>
        <v/>
      </c>
      <c r="D625" s="146" t="str">
        <f ca="1">ORÇAMENTO!O625</f>
        <v>-</v>
      </c>
      <c r="E625" s="206" t="str">
        <f t="shared" ca="1" si="112"/>
        <v>(abra o arquivo 'Referência 05-2024.xls)</v>
      </c>
      <c r="F625" s="207" t="str">
        <f t="shared" ca="1" si="113"/>
        <v>-</v>
      </c>
      <c r="G625" s="151">
        <f ca="1">IF(RegimeExecucao="Global","",ORÇAMENTO!T625)</f>
        <v>55</v>
      </c>
      <c r="H625" s="151">
        <f ca="1">IF(RegimeExecucao="Global","",ORÇAMENTO!W625)</f>
        <v>0</v>
      </c>
      <c r="I625" s="154">
        <f ca="1">ORÇAMENTO!X625</f>
        <v>0</v>
      </c>
      <c r="J625" s="427">
        <f t="shared" ca="1" si="114"/>
        <v>0</v>
      </c>
      <c r="K625" s="151">
        <f t="shared" ca="1" si="115"/>
        <v>0</v>
      </c>
      <c r="L625" s="428">
        <f t="shared" ca="1" si="116"/>
        <v>0</v>
      </c>
      <c r="M625" s="429">
        <f ca="1">IF($A625="S",VTOTALBM,IF($A625=0,0,ROUND(SomaAgrupBM,15-13*ORÇAMENTO!$AF$11)))</f>
        <v>0</v>
      </c>
      <c r="N625" s="430">
        <f t="shared" ca="1" si="117"/>
        <v>0</v>
      </c>
      <c r="O625" s="154">
        <f ca="1">IF($A625="S",VTOTALBM,IF($A625=0,0,ROUND(SomaAgrupBM,15-13*ORÇAMENTO!$AF$11)))</f>
        <v>0</v>
      </c>
      <c r="Q625" s="431"/>
      <c r="R625" s="432"/>
      <c r="T625" s="146" t="str">
        <f t="shared" ca="1" si="118"/>
        <v/>
      </c>
      <c r="U625" s="206" t="str">
        <f t="shared" ca="1" si="119"/>
        <v/>
      </c>
      <c r="V625" s="207" t="str">
        <f t="shared" ca="1" si="120"/>
        <v/>
      </c>
      <c r="W625" s="634">
        <f ca="1">IF($Y625&gt;0,CHOOSE(MATCH(RegimeExecucao,{"Unitário","Global"},0),IF($A625="S",$Y625/$X625,""),($Y625/$X625)*100),0)</f>
        <v>0</v>
      </c>
      <c r="X625" s="433" t="str">
        <f ca="1">IF($Y625&gt;0,CHOOSE(MATCH(RegimeExecucao,{"Unitário","Global"},0),IF($A625="S",ROUND($H625,ORÇAMENTO!$AF$10),""),ROUND($I625,ORÇAMENTO!$AF$11)),"")</f>
        <v/>
      </c>
      <c r="Y625" s="433">
        <f t="shared" ca="1" si="121"/>
        <v>0</v>
      </c>
      <c r="Z625" s="434"/>
      <c r="AB625" s="431"/>
      <c r="AC625" s="599"/>
      <c r="AD625" s="599"/>
      <c r="AE625" s="599"/>
      <c r="AF625" s="599"/>
      <c r="AG625" s="599"/>
      <c r="AH625" s="599"/>
      <c r="AI625" s="599"/>
      <c r="AJ625" s="599"/>
      <c r="AK625" s="599"/>
      <c r="AL625" s="599"/>
      <c r="AM625" s="432"/>
      <c r="AO625">
        <f ca="1">IF($A625="S",IF(BM!$I625=0,0,CHOOSE(MATCH(RegimeExecucao,{"Global","Unitário"},0),ROUND(ROUND(BM.MEDAcumulado,15-13*BM!$A$9)/100*BM!$I625,15-13*ORÇAMENTO!$AF$11),ROUND(ROUND(BM.MEDAcumulado,15-13*BM!$A$9)*ROUND(BM!$H625,15-13*ORÇAMENTO!$AF$10),15-13*ORÇAMENTO!$AF$11))),IF($A625=0,0,ROUND(SomaAgrupBM,15-13*ORÇAMENTO!$AF$11)))</f>
        <v>0</v>
      </c>
    </row>
    <row r="626" spans="1:41" ht="13.8" x14ac:dyDescent="0.3">
      <c r="A626" t="str">
        <f ca="1">ORÇAMENTO!C626</f>
        <v>S</v>
      </c>
      <c r="B626">
        <f ca="1">ORÇAMENTO!D626</f>
        <v>0</v>
      </c>
      <c r="C626" s="143" t="str">
        <f t="shared" ca="1" si="111"/>
        <v/>
      </c>
      <c r="D626" s="146" t="str">
        <f ca="1">ORÇAMENTO!O626</f>
        <v>-</v>
      </c>
      <c r="E626" s="206" t="str">
        <f t="shared" ca="1" si="112"/>
        <v>(abra o arquivo 'Referência 05-2024.xls)</v>
      </c>
      <c r="F626" s="207" t="str">
        <f t="shared" ca="1" si="113"/>
        <v>-</v>
      </c>
      <c r="G626" s="151">
        <f ca="1">IF(RegimeExecucao="Global","",ORÇAMENTO!T626)</f>
        <v>105</v>
      </c>
      <c r="H626" s="151">
        <f ca="1">IF(RegimeExecucao="Global","",ORÇAMENTO!W626)</f>
        <v>0</v>
      </c>
      <c r="I626" s="154">
        <f ca="1">ORÇAMENTO!X626</f>
        <v>0</v>
      </c>
      <c r="J626" s="427">
        <f t="shared" ca="1" si="114"/>
        <v>0</v>
      </c>
      <c r="K626" s="151">
        <f t="shared" ca="1" si="115"/>
        <v>0</v>
      </c>
      <c r="L626" s="428">
        <f t="shared" ca="1" si="116"/>
        <v>0</v>
      </c>
      <c r="M626" s="429">
        <f ca="1">IF($A626="S",VTOTALBM,IF($A626=0,0,ROUND(SomaAgrupBM,15-13*ORÇAMENTO!$AF$11)))</f>
        <v>0</v>
      </c>
      <c r="N626" s="430">
        <f t="shared" ca="1" si="117"/>
        <v>0</v>
      </c>
      <c r="O626" s="154">
        <f ca="1">IF($A626="S",VTOTALBM,IF($A626=0,0,ROUND(SomaAgrupBM,15-13*ORÇAMENTO!$AF$11)))</f>
        <v>0</v>
      </c>
      <c r="Q626" s="431"/>
      <c r="R626" s="432"/>
      <c r="T626" s="146" t="str">
        <f t="shared" ca="1" si="118"/>
        <v/>
      </c>
      <c r="U626" s="206" t="str">
        <f t="shared" ca="1" si="119"/>
        <v/>
      </c>
      <c r="V626" s="207" t="str">
        <f t="shared" ca="1" si="120"/>
        <v/>
      </c>
      <c r="W626" s="634">
        <f ca="1">IF($Y626&gt;0,CHOOSE(MATCH(RegimeExecucao,{"Unitário","Global"},0),IF($A626="S",$Y626/$X626,""),($Y626/$X626)*100),0)</f>
        <v>0</v>
      </c>
      <c r="X626" s="433" t="str">
        <f ca="1">IF($Y626&gt;0,CHOOSE(MATCH(RegimeExecucao,{"Unitário","Global"},0),IF($A626="S",ROUND($H626,ORÇAMENTO!$AF$10),""),ROUND($I626,ORÇAMENTO!$AF$11)),"")</f>
        <v/>
      </c>
      <c r="Y626" s="433">
        <f t="shared" ca="1" si="121"/>
        <v>0</v>
      </c>
      <c r="Z626" s="434"/>
      <c r="AB626" s="431"/>
      <c r="AC626" s="599"/>
      <c r="AD626" s="599"/>
      <c r="AE626" s="599"/>
      <c r="AF626" s="599"/>
      <c r="AG626" s="599"/>
      <c r="AH626" s="599"/>
      <c r="AI626" s="599"/>
      <c r="AJ626" s="599"/>
      <c r="AK626" s="599"/>
      <c r="AL626" s="599"/>
      <c r="AM626" s="432"/>
      <c r="AO626">
        <f ca="1">IF($A626="S",IF(BM!$I626=0,0,CHOOSE(MATCH(RegimeExecucao,{"Global","Unitário"},0),ROUND(ROUND(BM.MEDAcumulado,15-13*BM!$A$9)/100*BM!$I626,15-13*ORÇAMENTO!$AF$11),ROUND(ROUND(BM.MEDAcumulado,15-13*BM!$A$9)*ROUND(BM!$H626,15-13*ORÇAMENTO!$AF$10),15-13*ORÇAMENTO!$AF$11))),IF($A626=0,0,ROUND(SomaAgrupBM,15-13*ORÇAMENTO!$AF$11)))</f>
        <v>0</v>
      </c>
    </row>
    <row r="627" spans="1:41" ht="13.8" x14ac:dyDescent="0.3">
      <c r="A627" t="str">
        <f ca="1">ORÇAMENTO!C627</f>
        <v>S</v>
      </c>
      <c r="B627">
        <f ca="1">ORÇAMENTO!D627</f>
        <v>0</v>
      </c>
      <c r="C627" s="143" t="str">
        <f t="shared" ca="1" si="111"/>
        <v/>
      </c>
      <c r="D627" s="146" t="str">
        <f ca="1">ORÇAMENTO!O627</f>
        <v>-</v>
      </c>
      <c r="E627" s="206" t="str">
        <f t="shared" ca="1" si="112"/>
        <v>(abra o arquivo 'Referência 05-2024.xls)</v>
      </c>
      <c r="F627" s="207" t="str">
        <f t="shared" ca="1" si="113"/>
        <v>-</v>
      </c>
      <c r="G627" s="151">
        <f ca="1">IF(RegimeExecucao="Global","",ORÇAMENTO!T627)</f>
        <v>21</v>
      </c>
      <c r="H627" s="151">
        <f ca="1">IF(RegimeExecucao="Global","",ORÇAMENTO!W627)</f>
        <v>0</v>
      </c>
      <c r="I627" s="154">
        <f ca="1">ORÇAMENTO!X627</f>
        <v>0</v>
      </c>
      <c r="J627" s="427">
        <f t="shared" ca="1" si="114"/>
        <v>0</v>
      </c>
      <c r="K627" s="151">
        <f t="shared" ca="1" si="115"/>
        <v>0</v>
      </c>
      <c r="L627" s="428">
        <f t="shared" ca="1" si="116"/>
        <v>0</v>
      </c>
      <c r="M627" s="429">
        <f ca="1">IF($A627="S",VTOTALBM,IF($A627=0,0,ROUND(SomaAgrupBM,15-13*ORÇAMENTO!$AF$11)))</f>
        <v>0</v>
      </c>
      <c r="N627" s="430">
        <f t="shared" ca="1" si="117"/>
        <v>0</v>
      </c>
      <c r="O627" s="154">
        <f ca="1">IF($A627="S",VTOTALBM,IF($A627=0,0,ROUND(SomaAgrupBM,15-13*ORÇAMENTO!$AF$11)))</f>
        <v>0</v>
      </c>
      <c r="Q627" s="431"/>
      <c r="R627" s="432"/>
      <c r="T627" s="146" t="str">
        <f t="shared" ca="1" si="118"/>
        <v/>
      </c>
      <c r="U627" s="206" t="str">
        <f t="shared" ca="1" si="119"/>
        <v/>
      </c>
      <c r="V627" s="207" t="str">
        <f t="shared" ca="1" si="120"/>
        <v/>
      </c>
      <c r="W627" s="634">
        <f ca="1">IF($Y627&gt;0,CHOOSE(MATCH(RegimeExecucao,{"Unitário","Global"},0),IF($A627="S",$Y627/$X627,""),($Y627/$X627)*100),0)</f>
        <v>0</v>
      </c>
      <c r="X627" s="433" t="str">
        <f ca="1">IF($Y627&gt;0,CHOOSE(MATCH(RegimeExecucao,{"Unitário","Global"},0),IF($A627="S",ROUND($H627,ORÇAMENTO!$AF$10),""),ROUND($I627,ORÇAMENTO!$AF$11)),"")</f>
        <v/>
      </c>
      <c r="Y627" s="433">
        <f t="shared" ca="1" si="121"/>
        <v>0</v>
      </c>
      <c r="Z627" s="434"/>
      <c r="AB627" s="431"/>
      <c r="AC627" s="599"/>
      <c r="AD627" s="599"/>
      <c r="AE627" s="599"/>
      <c r="AF627" s="599"/>
      <c r="AG627" s="599"/>
      <c r="AH627" s="599"/>
      <c r="AI627" s="599"/>
      <c r="AJ627" s="599"/>
      <c r="AK627" s="599"/>
      <c r="AL627" s="599"/>
      <c r="AM627" s="432"/>
      <c r="AO627">
        <f ca="1">IF($A627="S",IF(BM!$I627=0,0,CHOOSE(MATCH(RegimeExecucao,{"Global","Unitário"},0),ROUND(ROUND(BM.MEDAcumulado,15-13*BM!$A$9)/100*BM!$I627,15-13*ORÇAMENTO!$AF$11),ROUND(ROUND(BM.MEDAcumulado,15-13*BM!$A$9)*ROUND(BM!$H627,15-13*ORÇAMENTO!$AF$10),15-13*ORÇAMENTO!$AF$11))),IF($A627=0,0,ROUND(SomaAgrupBM,15-13*ORÇAMENTO!$AF$11)))</f>
        <v>0</v>
      </c>
    </row>
    <row r="628" spans="1:41" ht="13.8" x14ac:dyDescent="0.3">
      <c r="A628">
        <f ca="1">ORÇAMENTO!C628</f>
        <v>2</v>
      </c>
      <c r="B628">
        <f ca="1">ORÇAMENTO!D628</f>
        <v>40</v>
      </c>
      <c r="C628" s="143" t="str">
        <f t="shared" ca="1" si="111"/>
        <v>F</v>
      </c>
      <c r="D628" s="146" t="str">
        <f ca="1">ORÇAMENTO!O628</f>
        <v>1.20.</v>
      </c>
      <c r="E628" s="206" t="str">
        <f t="shared" si="112"/>
        <v>INSTALAÇÕES DE CABEAMENTO ESTRUTURADO</v>
      </c>
      <c r="F628" s="207" t="str">
        <f t="shared" ca="1" si="113"/>
        <v>-</v>
      </c>
      <c r="G628" s="151">
        <f ca="1">IF(RegimeExecucao="Global","",ORÇAMENTO!T628)</f>
        <v>0</v>
      </c>
      <c r="H628" s="151">
        <f ca="1">IF(RegimeExecucao="Global","",ORÇAMENTO!W628)</f>
        <v>0</v>
      </c>
      <c r="I628" s="154">
        <f ca="1">ORÇAMENTO!X628</f>
        <v>0</v>
      </c>
      <c r="J628" s="427">
        <f t="shared" ca="1" si="114"/>
        <v>0</v>
      </c>
      <c r="K628" s="151">
        <f t="shared" ca="1" si="115"/>
        <v>0</v>
      </c>
      <c r="L628" s="428">
        <f t="shared" ca="1" si="116"/>
        <v>0</v>
      </c>
      <c r="M628" s="429">
        <f ca="1">IF($A628="S",VTOTALBM,IF($A628=0,0,ROUND(SomaAgrupBM,15-13*ORÇAMENTO!$AF$11)))</f>
        <v>0</v>
      </c>
      <c r="N628" s="430">
        <f t="shared" ca="1" si="117"/>
        <v>0</v>
      </c>
      <c r="O628" s="154">
        <f ca="1">IF($A628="S",VTOTALBM,IF($A628=0,0,ROUND(SomaAgrupBM,15-13*ORÇAMENTO!$AF$11)))</f>
        <v>0</v>
      </c>
      <c r="Q628" s="431"/>
      <c r="R628" s="432"/>
      <c r="T628" s="146" t="str">
        <f t="shared" ca="1" si="118"/>
        <v/>
      </c>
      <c r="U628" s="206" t="str">
        <f t="shared" ca="1" si="119"/>
        <v/>
      </c>
      <c r="V628" s="207" t="str">
        <f t="shared" ca="1" si="120"/>
        <v/>
      </c>
      <c r="W628" s="634">
        <f ca="1">IF($Y628&gt;0,CHOOSE(MATCH(RegimeExecucao,{"Unitário","Global"},0),IF($A628="S",$Y628/$X628,""),($Y628/$X628)*100),0)</f>
        <v>0</v>
      </c>
      <c r="X628" s="433" t="str">
        <f ca="1">IF($Y628&gt;0,CHOOSE(MATCH(RegimeExecucao,{"Unitário","Global"},0),IF($A628="S",ROUND($H628,ORÇAMENTO!$AF$10),""),ROUND($I628,ORÇAMENTO!$AF$11)),"")</f>
        <v/>
      </c>
      <c r="Y628" s="433">
        <f t="shared" ca="1" si="121"/>
        <v>0</v>
      </c>
      <c r="Z628" s="434"/>
      <c r="AB628" s="431"/>
      <c r="AC628" s="599"/>
      <c r="AD628" s="599"/>
      <c r="AE628" s="599"/>
      <c r="AF628" s="599"/>
      <c r="AG628" s="599"/>
      <c r="AH628" s="599"/>
      <c r="AI628" s="599"/>
      <c r="AJ628" s="599"/>
      <c r="AK628" s="599"/>
      <c r="AL628" s="599"/>
      <c r="AM628" s="432"/>
      <c r="AO628">
        <f ca="1">IF($A628="S",IF(BM!$I628=0,0,CHOOSE(MATCH(RegimeExecucao,{"Global","Unitário"},0),ROUND(ROUND(BM.MEDAcumulado,15-13*BM!$A$9)/100*BM!$I628,15-13*ORÇAMENTO!$AF$11),ROUND(ROUND(BM.MEDAcumulado,15-13*BM!$A$9)*ROUND(BM!$H628,15-13*ORÇAMENTO!$AF$10),15-13*ORÇAMENTO!$AF$11))),IF($A628=0,0,ROUND(SomaAgrupBM,15-13*ORÇAMENTO!$AF$11)))</f>
        <v>0</v>
      </c>
    </row>
    <row r="629" spans="1:41" ht="13.8" x14ac:dyDescent="0.3">
      <c r="A629">
        <f ca="1">ORÇAMENTO!C629</f>
        <v>3</v>
      </c>
      <c r="B629">
        <f ca="1">ORÇAMENTO!D629</f>
        <v>5</v>
      </c>
      <c r="C629" s="143" t="str">
        <f t="shared" ca="1" si="111"/>
        <v>F</v>
      </c>
      <c r="D629" s="146" t="str">
        <f ca="1">ORÇAMENTO!O629</f>
        <v>1.20.1.</v>
      </c>
      <c r="E629" s="206" t="str">
        <f t="shared" si="112"/>
        <v>EQUIPAMENTOS PASSIVOS</v>
      </c>
      <c r="F629" s="207" t="str">
        <f t="shared" ca="1" si="113"/>
        <v>-</v>
      </c>
      <c r="G629" s="151">
        <f ca="1">IF(RegimeExecucao="Global","",ORÇAMENTO!T629)</f>
        <v>0</v>
      </c>
      <c r="H629" s="151">
        <f ca="1">IF(RegimeExecucao="Global","",ORÇAMENTO!W629)</f>
        <v>0</v>
      </c>
      <c r="I629" s="154">
        <f ca="1">ORÇAMENTO!X629</f>
        <v>0</v>
      </c>
      <c r="J629" s="427">
        <f t="shared" ca="1" si="114"/>
        <v>0</v>
      </c>
      <c r="K629" s="151">
        <f t="shared" ca="1" si="115"/>
        <v>0</v>
      </c>
      <c r="L629" s="428">
        <f t="shared" ca="1" si="116"/>
        <v>0</v>
      </c>
      <c r="M629" s="429">
        <f ca="1">IF($A629="S",VTOTALBM,IF($A629=0,0,ROUND(SomaAgrupBM,15-13*ORÇAMENTO!$AF$11)))</f>
        <v>0</v>
      </c>
      <c r="N629" s="430">
        <f t="shared" ca="1" si="117"/>
        <v>0</v>
      </c>
      <c r="O629" s="154">
        <f ca="1">IF($A629="S",VTOTALBM,IF($A629=0,0,ROUND(SomaAgrupBM,15-13*ORÇAMENTO!$AF$11)))</f>
        <v>0</v>
      </c>
      <c r="Q629" s="431"/>
      <c r="R629" s="432"/>
      <c r="T629" s="146" t="str">
        <f t="shared" ca="1" si="118"/>
        <v/>
      </c>
      <c r="U629" s="206" t="str">
        <f t="shared" ca="1" si="119"/>
        <v/>
      </c>
      <c r="V629" s="207" t="str">
        <f t="shared" ca="1" si="120"/>
        <v/>
      </c>
      <c r="W629" s="634">
        <f ca="1">IF($Y629&gt;0,CHOOSE(MATCH(RegimeExecucao,{"Unitário","Global"},0),IF($A629="S",$Y629/$X629,""),($Y629/$X629)*100),0)</f>
        <v>0</v>
      </c>
      <c r="X629" s="433" t="str">
        <f ca="1">IF($Y629&gt;0,CHOOSE(MATCH(RegimeExecucao,{"Unitário","Global"},0),IF($A629="S",ROUND($H629,ORÇAMENTO!$AF$10),""),ROUND($I629,ORÇAMENTO!$AF$11)),"")</f>
        <v/>
      </c>
      <c r="Y629" s="433">
        <f t="shared" ca="1" si="121"/>
        <v>0</v>
      </c>
      <c r="Z629" s="434"/>
      <c r="AB629" s="431"/>
      <c r="AC629" s="599"/>
      <c r="AD629" s="599"/>
      <c r="AE629" s="599"/>
      <c r="AF629" s="599"/>
      <c r="AG629" s="599"/>
      <c r="AH629" s="599"/>
      <c r="AI629" s="599"/>
      <c r="AJ629" s="599"/>
      <c r="AK629" s="599"/>
      <c r="AL629" s="599"/>
      <c r="AM629" s="432"/>
      <c r="AO629">
        <f ca="1">IF($A629="S",IF(BM!$I629=0,0,CHOOSE(MATCH(RegimeExecucao,{"Global","Unitário"},0),ROUND(ROUND(BM.MEDAcumulado,15-13*BM!$A$9)/100*BM!$I629,15-13*ORÇAMENTO!$AF$11),ROUND(ROUND(BM.MEDAcumulado,15-13*BM!$A$9)*ROUND(BM!$H629,15-13*ORÇAMENTO!$AF$10),15-13*ORÇAMENTO!$AF$11))),IF($A629=0,0,ROUND(SomaAgrupBM,15-13*ORÇAMENTO!$AF$11)))</f>
        <v>0</v>
      </c>
    </row>
    <row r="630" spans="1:41" ht="13.8" x14ac:dyDescent="0.3">
      <c r="A630" t="str">
        <f ca="1">ORÇAMENTO!C630</f>
        <v>S</v>
      </c>
      <c r="B630">
        <f ca="1">ORÇAMENTO!D630</f>
        <v>0</v>
      </c>
      <c r="C630" s="143" t="str">
        <f t="shared" ca="1" si="111"/>
        <v/>
      </c>
      <c r="D630" s="146" t="str">
        <f ca="1">ORÇAMENTO!O630</f>
        <v>-</v>
      </c>
      <c r="E630" s="206" t="str">
        <f t="shared" ca="1" si="112"/>
        <v>(abra o arquivo 'Referência 05-2024.xls)</v>
      </c>
      <c r="F630" s="207" t="str">
        <f t="shared" ca="1" si="113"/>
        <v>-</v>
      </c>
      <c r="G630" s="151">
        <f ca="1">IF(RegimeExecucao="Global","",ORÇAMENTO!T630)</f>
        <v>10</v>
      </c>
      <c r="H630" s="151">
        <f ca="1">IF(RegimeExecucao="Global","",ORÇAMENTO!W630)</f>
        <v>0</v>
      </c>
      <c r="I630" s="154">
        <f ca="1">ORÇAMENTO!X630</f>
        <v>0</v>
      </c>
      <c r="J630" s="427">
        <f t="shared" ca="1" si="114"/>
        <v>0</v>
      </c>
      <c r="K630" s="151">
        <f t="shared" ca="1" si="115"/>
        <v>0</v>
      </c>
      <c r="L630" s="428">
        <f t="shared" ca="1" si="116"/>
        <v>0</v>
      </c>
      <c r="M630" s="429">
        <f ca="1">IF($A630="S",VTOTALBM,IF($A630=0,0,ROUND(SomaAgrupBM,15-13*ORÇAMENTO!$AF$11)))</f>
        <v>0</v>
      </c>
      <c r="N630" s="430">
        <f t="shared" ca="1" si="117"/>
        <v>0</v>
      </c>
      <c r="O630" s="154">
        <f ca="1">IF($A630="S",VTOTALBM,IF($A630=0,0,ROUND(SomaAgrupBM,15-13*ORÇAMENTO!$AF$11)))</f>
        <v>0</v>
      </c>
      <c r="Q630" s="431"/>
      <c r="R630" s="432"/>
      <c r="T630" s="146" t="str">
        <f t="shared" ca="1" si="118"/>
        <v/>
      </c>
      <c r="U630" s="206" t="str">
        <f t="shared" ca="1" si="119"/>
        <v/>
      </c>
      <c r="V630" s="207" t="str">
        <f t="shared" ca="1" si="120"/>
        <v/>
      </c>
      <c r="W630" s="634">
        <f ca="1">IF($Y630&gt;0,CHOOSE(MATCH(RegimeExecucao,{"Unitário","Global"},0),IF($A630="S",$Y630/$X630,""),($Y630/$X630)*100),0)</f>
        <v>0</v>
      </c>
      <c r="X630" s="433" t="str">
        <f ca="1">IF($Y630&gt;0,CHOOSE(MATCH(RegimeExecucao,{"Unitário","Global"},0),IF($A630="S",ROUND($H630,ORÇAMENTO!$AF$10),""),ROUND($I630,ORÇAMENTO!$AF$11)),"")</f>
        <v/>
      </c>
      <c r="Y630" s="433">
        <f t="shared" ca="1" si="121"/>
        <v>0</v>
      </c>
      <c r="Z630" s="434"/>
      <c r="AB630" s="431"/>
      <c r="AC630" s="599"/>
      <c r="AD630" s="599"/>
      <c r="AE630" s="599"/>
      <c r="AF630" s="599"/>
      <c r="AG630" s="599"/>
      <c r="AH630" s="599"/>
      <c r="AI630" s="599"/>
      <c r="AJ630" s="599"/>
      <c r="AK630" s="599"/>
      <c r="AL630" s="599"/>
      <c r="AM630" s="432"/>
      <c r="AO630">
        <f ca="1">IF($A630="S",IF(BM!$I630=0,0,CHOOSE(MATCH(RegimeExecucao,{"Global","Unitário"},0),ROUND(ROUND(BM.MEDAcumulado,15-13*BM!$A$9)/100*BM!$I630,15-13*ORÇAMENTO!$AF$11),ROUND(ROUND(BM.MEDAcumulado,15-13*BM!$A$9)*ROUND(BM!$H630,15-13*ORÇAMENTO!$AF$10),15-13*ORÇAMENTO!$AF$11))),IF($A630=0,0,ROUND(SomaAgrupBM,15-13*ORÇAMENTO!$AF$11)))</f>
        <v>0</v>
      </c>
    </row>
    <row r="631" spans="1:41" ht="13.8" x14ac:dyDescent="0.3">
      <c r="A631" t="str">
        <f ca="1">ORÇAMENTO!C631</f>
        <v>S</v>
      </c>
      <c r="B631">
        <f ca="1">ORÇAMENTO!D631</f>
        <v>0</v>
      </c>
      <c r="C631" s="143" t="str">
        <f t="shared" ca="1" si="111"/>
        <v/>
      </c>
      <c r="D631" s="146" t="str">
        <f ca="1">ORÇAMENTO!O631</f>
        <v>-</v>
      </c>
      <c r="E631" s="206" t="str">
        <f t="shared" ca="1" si="112"/>
        <v>(abra o arquivo 'Referência 05-2024.xls)</v>
      </c>
      <c r="F631" s="207" t="str">
        <f t="shared" ca="1" si="113"/>
        <v>-</v>
      </c>
      <c r="G631" s="151">
        <f ca="1">IF(RegimeExecucao="Global","",ORÇAMENTO!T631)</f>
        <v>1</v>
      </c>
      <c r="H631" s="151">
        <f ca="1">IF(RegimeExecucao="Global","",ORÇAMENTO!W631)</f>
        <v>0</v>
      </c>
      <c r="I631" s="154">
        <f ca="1">ORÇAMENTO!X631</f>
        <v>0</v>
      </c>
      <c r="J631" s="427">
        <f t="shared" ca="1" si="114"/>
        <v>0</v>
      </c>
      <c r="K631" s="151">
        <f t="shared" ca="1" si="115"/>
        <v>0</v>
      </c>
      <c r="L631" s="428">
        <f t="shared" ca="1" si="116"/>
        <v>0</v>
      </c>
      <c r="M631" s="429">
        <f ca="1">IF($A631="S",VTOTALBM,IF($A631=0,0,ROUND(SomaAgrupBM,15-13*ORÇAMENTO!$AF$11)))</f>
        <v>0</v>
      </c>
      <c r="N631" s="430">
        <f t="shared" ca="1" si="117"/>
        <v>0</v>
      </c>
      <c r="O631" s="154">
        <f ca="1">IF($A631="S",VTOTALBM,IF($A631=0,0,ROUND(SomaAgrupBM,15-13*ORÇAMENTO!$AF$11)))</f>
        <v>0</v>
      </c>
      <c r="Q631" s="431"/>
      <c r="R631" s="432"/>
      <c r="T631" s="146" t="str">
        <f t="shared" ca="1" si="118"/>
        <v/>
      </c>
      <c r="U631" s="206" t="str">
        <f t="shared" ca="1" si="119"/>
        <v/>
      </c>
      <c r="V631" s="207" t="str">
        <f t="shared" ca="1" si="120"/>
        <v/>
      </c>
      <c r="W631" s="634">
        <f ca="1">IF($Y631&gt;0,CHOOSE(MATCH(RegimeExecucao,{"Unitário","Global"},0),IF($A631="S",$Y631/$X631,""),($Y631/$X631)*100),0)</f>
        <v>0</v>
      </c>
      <c r="X631" s="433" t="str">
        <f ca="1">IF($Y631&gt;0,CHOOSE(MATCH(RegimeExecucao,{"Unitário","Global"},0),IF($A631="S",ROUND($H631,ORÇAMENTO!$AF$10),""),ROUND($I631,ORÇAMENTO!$AF$11)),"")</f>
        <v/>
      </c>
      <c r="Y631" s="433">
        <f t="shared" ca="1" si="121"/>
        <v>0</v>
      </c>
      <c r="Z631" s="434"/>
      <c r="AB631" s="431"/>
      <c r="AC631" s="599"/>
      <c r="AD631" s="599"/>
      <c r="AE631" s="599"/>
      <c r="AF631" s="599"/>
      <c r="AG631" s="599"/>
      <c r="AH631" s="599"/>
      <c r="AI631" s="599"/>
      <c r="AJ631" s="599"/>
      <c r="AK631" s="599"/>
      <c r="AL631" s="599"/>
      <c r="AM631" s="432"/>
      <c r="AO631">
        <f ca="1">IF($A631="S",IF(BM!$I631=0,0,CHOOSE(MATCH(RegimeExecucao,{"Global","Unitário"},0),ROUND(ROUND(BM.MEDAcumulado,15-13*BM!$A$9)/100*BM!$I631,15-13*ORÇAMENTO!$AF$11),ROUND(ROUND(BM.MEDAcumulado,15-13*BM!$A$9)*ROUND(BM!$H631,15-13*ORÇAMENTO!$AF$10),15-13*ORÇAMENTO!$AF$11))),IF($A631=0,0,ROUND(SomaAgrupBM,15-13*ORÇAMENTO!$AF$11)))</f>
        <v>0</v>
      </c>
    </row>
    <row r="632" spans="1:41" ht="13.8" x14ac:dyDescent="0.3">
      <c r="A632" t="str">
        <f ca="1">ORÇAMENTO!C632</f>
        <v>S</v>
      </c>
      <c r="B632">
        <f ca="1">ORÇAMENTO!D632</f>
        <v>0</v>
      </c>
      <c r="C632" s="143" t="str">
        <f t="shared" ca="1" si="111"/>
        <v/>
      </c>
      <c r="D632" s="146" t="str">
        <f ca="1">ORÇAMENTO!O632</f>
        <v>-</v>
      </c>
      <c r="E632" s="206" t="str">
        <f t="shared" ca="1" si="112"/>
        <v>(abra o arquivo 'Referência 05-2024.xls)</v>
      </c>
      <c r="F632" s="207" t="str">
        <f t="shared" ca="1" si="113"/>
        <v>-</v>
      </c>
      <c r="G632" s="151">
        <f ca="1">IF(RegimeExecucao="Global","",ORÇAMENTO!T632)</f>
        <v>1</v>
      </c>
      <c r="H632" s="151">
        <f ca="1">IF(RegimeExecucao="Global","",ORÇAMENTO!W632)</f>
        <v>0</v>
      </c>
      <c r="I632" s="154">
        <f ca="1">ORÇAMENTO!X632</f>
        <v>0</v>
      </c>
      <c r="J632" s="427">
        <f t="shared" ca="1" si="114"/>
        <v>0</v>
      </c>
      <c r="K632" s="151">
        <f t="shared" ca="1" si="115"/>
        <v>0</v>
      </c>
      <c r="L632" s="428">
        <f t="shared" ca="1" si="116"/>
        <v>0</v>
      </c>
      <c r="M632" s="429">
        <f ca="1">IF($A632="S",VTOTALBM,IF($A632=0,0,ROUND(SomaAgrupBM,15-13*ORÇAMENTO!$AF$11)))</f>
        <v>0</v>
      </c>
      <c r="N632" s="430">
        <f t="shared" ca="1" si="117"/>
        <v>0</v>
      </c>
      <c r="O632" s="154">
        <f ca="1">IF($A632="S",VTOTALBM,IF($A632=0,0,ROUND(SomaAgrupBM,15-13*ORÇAMENTO!$AF$11)))</f>
        <v>0</v>
      </c>
      <c r="Q632" s="431"/>
      <c r="R632" s="432"/>
      <c r="T632" s="146" t="str">
        <f t="shared" ca="1" si="118"/>
        <v/>
      </c>
      <c r="U632" s="206" t="str">
        <f t="shared" ca="1" si="119"/>
        <v/>
      </c>
      <c r="V632" s="207" t="str">
        <f t="shared" ca="1" si="120"/>
        <v/>
      </c>
      <c r="W632" s="634">
        <f ca="1">IF($Y632&gt;0,CHOOSE(MATCH(RegimeExecucao,{"Unitário","Global"},0),IF($A632="S",$Y632/$X632,""),($Y632/$X632)*100),0)</f>
        <v>0</v>
      </c>
      <c r="X632" s="433" t="str">
        <f ca="1">IF($Y632&gt;0,CHOOSE(MATCH(RegimeExecucao,{"Unitário","Global"},0),IF($A632="S",ROUND($H632,ORÇAMENTO!$AF$10),""),ROUND($I632,ORÇAMENTO!$AF$11)),"")</f>
        <v/>
      </c>
      <c r="Y632" s="433">
        <f t="shared" ca="1" si="121"/>
        <v>0</v>
      </c>
      <c r="Z632" s="434"/>
      <c r="AB632" s="431"/>
      <c r="AC632" s="599"/>
      <c r="AD632" s="599"/>
      <c r="AE632" s="599"/>
      <c r="AF632" s="599"/>
      <c r="AG632" s="599"/>
      <c r="AH632" s="599"/>
      <c r="AI632" s="599"/>
      <c r="AJ632" s="599"/>
      <c r="AK632" s="599"/>
      <c r="AL632" s="599"/>
      <c r="AM632" s="432"/>
      <c r="AO632">
        <f ca="1">IF($A632="S",IF(BM!$I632=0,0,CHOOSE(MATCH(RegimeExecucao,{"Global","Unitário"},0),ROUND(ROUND(BM.MEDAcumulado,15-13*BM!$A$9)/100*BM!$I632,15-13*ORÇAMENTO!$AF$11),ROUND(ROUND(BM.MEDAcumulado,15-13*BM!$A$9)*ROUND(BM!$H632,15-13*ORÇAMENTO!$AF$10),15-13*ORÇAMENTO!$AF$11))),IF($A632=0,0,ROUND(SomaAgrupBM,15-13*ORÇAMENTO!$AF$11)))</f>
        <v>0</v>
      </c>
    </row>
    <row r="633" spans="1:41" ht="13.8" x14ac:dyDescent="0.3">
      <c r="A633" t="str">
        <f ca="1">ORÇAMENTO!C633</f>
        <v>S</v>
      </c>
      <c r="B633">
        <f ca="1">ORÇAMENTO!D633</f>
        <v>0</v>
      </c>
      <c r="C633" s="143" t="str">
        <f t="shared" ca="1" si="111"/>
        <v/>
      </c>
      <c r="D633" s="146" t="str">
        <f ca="1">ORÇAMENTO!O633</f>
        <v>-</v>
      </c>
      <c r="E633" s="206" t="str">
        <f t="shared" ca="1" si="112"/>
        <v>(abra o arquivo 'Referência 05-2024.xls)</v>
      </c>
      <c r="F633" s="207" t="str">
        <f t="shared" ca="1" si="113"/>
        <v>-</v>
      </c>
      <c r="G633" s="151">
        <f ca="1">IF(RegimeExecucao="Global","",ORÇAMENTO!T633)</f>
        <v>4</v>
      </c>
      <c r="H633" s="151">
        <f ca="1">IF(RegimeExecucao="Global","",ORÇAMENTO!W633)</f>
        <v>0</v>
      </c>
      <c r="I633" s="154">
        <f ca="1">ORÇAMENTO!X633</f>
        <v>0</v>
      </c>
      <c r="J633" s="427">
        <f t="shared" ca="1" si="114"/>
        <v>0</v>
      </c>
      <c r="K633" s="151">
        <f t="shared" ca="1" si="115"/>
        <v>0</v>
      </c>
      <c r="L633" s="428">
        <f t="shared" ca="1" si="116"/>
        <v>0</v>
      </c>
      <c r="M633" s="429">
        <f ca="1">IF($A633="S",VTOTALBM,IF($A633=0,0,ROUND(SomaAgrupBM,15-13*ORÇAMENTO!$AF$11)))</f>
        <v>0</v>
      </c>
      <c r="N633" s="430">
        <f t="shared" ca="1" si="117"/>
        <v>0</v>
      </c>
      <c r="O633" s="154">
        <f ca="1">IF($A633="S",VTOTALBM,IF($A633=0,0,ROUND(SomaAgrupBM,15-13*ORÇAMENTO!$AF$11)))</f>
        <v>0</v>
      </c>
      <c r="Q633" s="431"/>
      <c r="R633" s="432"/>
      <c r="T633" s="146" t="str">
        <f t="shared" ca="1" si="118"/>
        <v/>
      </c>
      <c r="U633" s="206" t="str">
        <f t="shared" ca="1" si="119"/>
        <v/>
      </c>
      <c r="V633" s="207" t="str">
        <f t="shared" ca="1" si="120"/>
        <v/>
      </c>
      <c r="W633" s="634">
        <f ca="1">IF($Y633&gt;0,CHOOSE(MATCH(RegimeExecucao,{"Unitário","Global"},0),IF($A633="S",$Y633/$X633,""),($Y633/$X633)*100),0)</f>
        <v>0</v>
      </c>
      <c r="X633" s="433" t="str">
        <f ca="1">IF($Y633&gt;0,CHOOSE(MATCH(RegimeExecucao,{"Unitário","Global"},0),IF($A633="S",ROUND($H633,ORÇAMENTO!$AF$10),""),ROUND($I633,ORÇAMENTO!$AF$11)),"")</f>
        <v/>
      </c>
      <c r="Y633" s="433">
        <f t="shared" ca="1" si="121"/>
        <v>0</v>
      </c>
      <c r="Z633" s="434"/>
      <c r="AB633" s="431"/>
      <c r="AC633" s="599"/>
      <c r="AD633" s="599"/>
      <c r="AE633" s="599"/>
      <c r="AF633" s="599"/>
      <c r="AG633" s="599"/>
      <c r="AH633" s="599"/>
      <c r="AI633" s="599"/>
      <c r="AJ633" s="599"/>
      <c r="AK633" s="599"/>
      <c r="AL633" s="599"/>
      <c r="AM633" s="432"/>
      <c r="AO633">
        <f ca="1">IF($A633="S",IF(BM!$I633=0,0,CHOOSE(MATCH(RegimeExecucao,{"Global","Unitário"},0),ROUND(ROUND(BM.MEDAcumulado,15-13*BM!$A$9)/100*BM!$I633,15-13*ORÇAMENTO!$AF$11),ROUND(ROUND(BM.MEDAcumulado,15-13*BM!$A$9)*ROUND(BM!$H633,15-13*ORÇAMENTO!$AF$10),15-13*ORÇAMENTO!$AF$11))),IF($A633=0,0,ROUND(SomaAgrupBM,15-13*ORÇAMENTO!$AF$11)))</f>
        <v>0</v>
      </c>
    </row>
    <row r="634" spans="1:41" ht="13.8" x14ac:dyDescent="0.3">
      <c r="A634">
        <f ca="1">ORÇAMENTO!C634</f>
        <v>3</v>
      </c>
      <c r="B634">
        <f ca="1">ORÇAMENTO!D634</f>
        <v>2</v>
      </c>
      <c r="C634" s="143" t="str">
        <f t="shared" ca="1" si="111"/>
        <v>F</v>
      </c>
      <c r="D634" s="146" t="str">
        <f ca="1">ORÇAMENTO!O634</f>
        <v>1.20.2.</v>
      </c>
      <c r="E634" s="206" t="str">
        <f t="shared" si="112"/>
        <v>CABOS EM PAR TRANÇADOS</v>
      </c>
      <c r="F634" s="207" t="str">
        <f t="shared" ca="1" si="113"/>
        <v>-</v>
      </c>
      <c r="G634" s="151">
        <f ca="1">IF(RegimeExecucao="Global","",ORÇAMENTO!T634)</f>
        <v>0</v>
      </c>
      <c r="H634" s="151">
        <f ca="1">IF(RegimeExecucao="Global","",ORÇAMENTO!W634)</f>
        <v>0</v>
      </c>
      <c r="I634" s="154">
        <f ca="1">ORÇAMENTO!X634</f>
        <v>0</v>
      </c>
      <c r="J634" s="427">
        <f t="shared" ca="1" si="114"/>
        <v>0</v>
      </c>
      <c r="K634" s="151">
        <f t="shared" ca="1" si="115"/>
        <v>0</v>
      </c>
      <c r="L634" s="428">
        <f t="shared" ca="1" si="116"/>
        <v>0</v>
      </c>
      <c r="M634" s="429">
        <f ca="1">IF($A634="S",VTOTALBM,IF($A634=0,0,ROUND(SomaAgrupBM,15-13*ORÇAMENTO!$AF$11)))</f>
        <v>0</v>
      </c>
      <c r="N634" s="430">
        <f t="shared" ca="1" si="117"/>
        <v>0</v>
      </c>
      <c r="O634" s="154">
        <f ca="1">IF($A634="S",VTOTALBM,IF($A634=0,0,ROUND(SomaAgrupBM,15-13*ORÇAMENTO!$AF$11)))</f>
        <v>0</v>
      </c>
      <c r="Q634" s="431"/>
      <c r="R634" s="432"/>
      <c r="T634" s="146" t="str">
        <f t="shared" ca="1" si="118"/>
        <v/>
      </c>
      <c r="U634" s="206" t="str">
        <f t="shared" ca="1" si="119"/>
        <v/>
      </c>
      <c r="V634" s="207" t="str">
        <f t="shared" ca="1" si="120"/>
        <v/>
      </c>
      <c r="W634" s="634">
        <f ca="1">IF($Y634&gt;0,CHOOSE(MATCH(RegimeExecucao,{"Unitário","Global"},0),IF($A634="S",$Y634/$X634,""),($Y634/$X634)*100),0)</f>
        <v>0</v>
      </c>
      <c r="X634" s="433" t="str">
        <f ca="1">IF($Y634&gt;0,CHOOSE(MATCH(RegimeExecucao,{"Unitário","Global"},0),IF($A634="S",ROUND($H634,ORÇAMENTO!$AF$10),""),ROUND($I634,ORÇAMENTO!$AF$11)),"")</f>
        <v/>
      </c>
      <c r="Y634" s="433">
        <f t="shared" ca="1" si="121"/>
        <v>0</v>
      </c>
      <c r="Z634" s="434"/>
      <c r="AB634" s="431"/>
      <c r="AC634" s="599"/>
      <c r="AD634" s="599"/>
      <c r="AE634" s="599"/>
      <c r="AF634" s="599"/>
      <c r="AG634" s="599"/>
      <c r="AH634" s="599"/>
      <c r="AI634" s="599"/>
      <c r="AJ634" s="599"/>
      <c r="AK634" s="599"/>
      <c r="AL634" s="599"/>
      <c r="AM634" s="432"/>
      <c r="AO634">
        <f ca="1">IF($A634="S",IF(BM!$I634=0,0,CHOOSE(MATCH(RegimeExecucao,{"Global","Unitário"},0),ROUND(ROUND(BM.MEDAcumulado,15-13*BM!$A$9)/100*BM!$I634,15-13*ORÇAMENTO!$AF$11),ROUND(ROUND(BM.MEDAcumulado,15-13*BM!$A$9)*ROUND(BM!$H634,15-13*ORÇAMENTO!$AF$10),15-13*ORÇAMENTO!$AF$11))),IF($A634=0,0,ROUND(SomaAgrupBM,15-13*ORÇAMENTO!$AF$11)))</f>
        <v>0</v>
      </c>
    </row>
    <row r="635" spans="1:41" ht="13.8" x14ac:dyDescent="0.3">
      <c r="A635" t="str">
        <f ca="1">ORÇAMENTO!C635</f>
        <v>S</v>
      </c>
      <c r="B635">
        <f ca="1">ORÇAMENTO!D635</f>
        <v>0</v>
      </c>
      <c r="C635" s="143" t="str">
        <f t="shared" ca="1" si="111"/>
        <v/>
      </c>
      <c r="D635" s="146" t="str">
        <f ca="1">ORÇAMENTO!O635</f>
        <v>-</v>
      </c>
      <c r="E635" s="206" t="str">
        <f t="shared" ca="1" si="112"/>
        <v>(abra o arquivo 'Referência 05-2024.xls)</v>
      </c>
      <c r="F635" s="207" t="str">
        <f t="shared" ca="1" si="113"/>
        <v>-</v>
      </c>
      <c r="G635" s="151">
        <f ca="1">IF(RegimeExecucao="Global","",ORÇAMENTO!T635)</f>
        <v>5034.41</v>
      </c>
      <c r="H635" s="151">
        <f ca="1">IF(RegimeExecucao="Global","",ORÇAMENTO!W635)</f>
        <v>0</v>
      </c>
      <c r="I635" s="154">
        <f ca="1">ORÇAMENTO!X635</f>
        <v>0</v>
      </c>
      <c r="J635" s="427">
        <f t="shared" ca="1" si="114"/>
        <v>0</v>
      </c>
      <c r="K635" s="151">
        <f t="shared" ca="1" si="115"/>
        <v>0</v>
      </c>
      <c r="L635" s="428">
        <f t="shared" ca="1" si="116"/>
        <v>0</v>
      </c>
      <c r="M635" s="429">
        <f ca="1">IF($A635="S",VTOTALBM,IF($A635=0,0,ROUND(SomaAgrupBM,15-13*ORÇAMENTO!$AF$11)))</f>
        <v>0</v>
      </c>
      <c r="N635" s="430">
        <f t="shared" ca="1" si="117"/>
        <v>0</v>
      </c>
      <c r="O635" s="154">
        <f ca="1">IF($A635="S",VTOTALBM,IF($A635=0,0,ROUND(SomaAgrupBM,15-13*ORÇAMENTO!$AF$11)))</f>
        <v>0</v>
      </c>
      <c r="Q635" s="431"/>
      <c r="R635" s="432"/>
      <c r="T635" s="146" t="str">
        <f t="shared" ca="1" si="118"/>
        <v/>
      </c>
      <c r="U635" s="206" t="str">
        <f t="shared" ca="1" si="119"/>
        <v/>
      </c>
      <c r="V635" s="207" t="str">
        <f t="shared" ca="1" si="120"/>
        <v/>
      </c>
      <c r="W635" s="634">
        <f ca="1">IF($Y635&gt;0,CHOOSE(MATCH(RegimeExecucao,{"Unitário","Global"},0),IF($A635="S",$Y635/$X635,""),($Y635/$X635)*100),0)</f>
        <v>0</v>
      </c>
      <c r="X635" s="433" t="str">
        <f ca="1">IF($Y635&gt;0,CHOOSE(MATCH(RegimeExecucao,{"Unitário","Global"},0),IF($A635="S",ROUND($H635,ORÇAMENTO!$AF$10),""),ROUND($I635,ORÇAMENTO!$AF$11)),"")</f>
        <v/>
      </c>
      <c r="Y635" s="433">
        <f t="shared" ca="1" si="121"/>
        <v>0</v>
      </c>
      <c r="Z635" s="434"/>
      <c r="AB635" s="431"/>
      <c r="AC635" s="599"/>
      <c r="AD635" s="599"/>
      <c r="AE635" s="599"/>
      <c r="AF635" s="599"/>
      <c r="AG635" s="599"/>
      <c r="AH635" s="599"/>
      <c r="AI635" s="599"/>
      <c r="AJ635" s="599"/>
      <c r="AK635" s="599"/>
      <c r="AL635" s="599"/>
      <c r="AM635" s="432"/>
      <c r="AO635">
        <f ca="1">IF($A635="S",IF(BM!$I635=0,0,CHOOSE(MATCH(RegimeExecucao,{"Global","Unitário"},0),ROUND(ROUND(BM.MEDAcumulado,15-13*BM!$A$9)/100*BM!$I635,15-13*ORÇAMENTO!$AF$11),ROUND(ROUND(BM.MEDAcumulado,15-13*BM!$A$9)*ROUND(BM!$H635,15-13*ORÇAMENTO!$AF$10),15-13*ORÇAMENTO!$AF$11))),IF($A635=0,0,ROUND(SomaAgrupBM,15-13*ORÇAMENTO!$AF$11)))</f>
        <v>0</v>
      </c>
    </row>
    <row r="636" spans="1:41" ht="13.8" x14ac:dyDescent="0.3">
      <c r="A636">
        <f ca="1">ORÇAMENTO!C636</f>
        <v>3</v>
      </c>
      <c r="B636">
        <f ca="1">ORÇAMENTO!D636</f>
        <v>11</v>
      </c>
      <c r="C636" s="143" t="str">
        <f t="shared" ca="1" si="111"/>
        <v>F</v>
      </c>
      <c r="D636" s="146" t="str">
        <f ca="1">ORÇAMENTO!O636</f>
        <v>1.20.3.</v>
      </c>
      <c r="E636" s="206" t="str">
        <f t="shared" si="112"/>
        <v>ACESSÓRIOS PARA ELETRODUTOS</v>
      </c>
      <c r="F636" s="207" t="str">
        <f t="shared" ca="1" si="113"/>
        <v>-</v>
      </c>
      <c r="G636" s="151">
        <f ca="1">IF(RegimeExecucao="Global","",ORÇAMENTO!T636)</f>
        <v>0</v>
      </c>
      <c r="H636" s="151">
        <f ca="1">IF(RegimeExecucao="Global","",ORÇAMENTO!W636)</f>
        <v>0</v>
      </c>
      <c r="I636" s="154">
        <f ca="1">ORÇAMENTO!X636</f>
        <v>0</v>
      </c>
      <c r="J636" s="427">
        <f t="shared" ca="1" si="114"/>
        <v>0</v>
      </c>
      <c r="K636" s="151">
        <f t="shared" ca="1" si="115"/>
        <v>0</v>
      </c>
      <c r="L636" s="428">
        <f t="shared" ca="1" si="116"/>
        <v>0</v>
      </c>
      <c r="M636" s="429">
        <f ca="1">IF($A636="S",VTOTALBM,IF($A636=0,0,ROUND(SomaAgrupBM,15-13*ORÇAMENTO!$AF$11)))</f>
        <v>0</v>
      </c>
      <c r="N636" s="430">
        <f t="shared" ca="1" si="117"/>
        <v>0</v>
      </c>
      <c r="O636" s="154">
        <f ca="1">IF($A636="S",VTOTALBM,IF($A636=0,0,ROUND(SomaAgrupBM,15-13*ORÇAMENTO!$AF$11)))</f>
        <v>0</v>
      </c>
      <c r="Q636" s="431"/>
      <c r="R636" s="432"/>
      <c r="T636" s="146" t="str">
        <f t="shared" ca="1" si="118"/>
        <v/>
      </c>
      <c r="U636" s="206" t="str">
        <f t="shared" ca="1" si="119"/>
        <v/>
      </c>
      <c r="V636" s="207" t="str">
        <f t="shared" ca="1" si="120"/>
        <v/>
      </c>
      <c r="W636" s="634">
        <f ca="1">IF($Y636&gt;0,CHOOSE(MATCH(RegimeExecucao,{"Unitário","Global"},0),IF($A636="S",$Y636/$X636,""),($Y636/$X636)*100),0)</f>
        <v>0</v>
      </c>
      <c r="X636" s="433" t="str">
        <f ca="1">IF($Y636&gt;0,CHOOSE(MATCH(RegimeExecucao,{"Unitário","Global"},0),IF($A636="S",ROUND($H636,ORÇAMENTO!$AF$10),""),ROUND($I636,ORÇAMENTO!$AF$11)),"")</f>
        <v/>
      </c>
      <c r="Y636" s="433">
        <f t="shared" ca="1" si="121"/>
        <v>0</v>
      </c>
      <c r="Z636" s="434"/>
      <c r="AB636" s="431"/>
      <c r="AC636" s="599"/>
      <c r="AD636" s="599"/>
      <c r="AE636" s="599"/>
      <c r="AF636" s="599"/>
      <c r="AG636" s="599"/>
      <c r="AH636" s="599"/>
      <c r="AI636" s="599"/>
      <c r="AJ636" s="599"/>
      <c r="AK636" s="599"/>
      <c r="AL636" s="599"/>
      <c r="AM636" s="432"/>
      <c r="AO636">
        <f ca="1">IF($A636="S",IF(BM!$I636=0,0,CHOOSE(MATCH(RegimeExecucao,{"Global","Unitário"},0),ROUND(ROUND(BM.MEDAcumulado,15-13*BM!$A$9)/100*BM!$I636,15-13*ORÇAMENTO!$AF$11),ROUND(ROUND(BM.MEDAcumulado,15-13*BM!$A$9)*ROUND(BM!$H636,15-13*ORÇAMENTO!$AF$10),15-13*ORÇAMENTO!$AF$11))),IF($A636=0,0,ROUND(SomaAgrupBM,15-13*ORÇAMENTO!$AF$11)))</f>
        <v>0</v>
      </c>
    </row>
    <row r="637" spans="1:41" ht="13.8" x14ac:dyDescent="0.3">
      <c r="A637" t="str">
        <f ca="1">ORÇAMENTO!C637</f>
        <v>S</v>
      </c>
      <c r="B637">
        <f ca="1">ORÇAMENTO!D637</f>
        <v>0</v>
      </c>
      <c r="C637" s="143" t="str">
        <f t="shared" ca="1" si="111"/>
        <v/>
      </c>
      <c r="D637" s="146" t="str">
        <f ca="1">ORÇAMENTO!O637</f>
        <v>-</v>
      </c>
      <c r="E637" s="206" t="str">
        <f t="shared" ca="1" si="112"/>
        <v>(abra o arquivo 'Referência 05-2024.xls)</v>
      </c>
      <c r="F637" s="207" t="str">
        <f t="shared" ca="1" si="113"/>
        <v>-</v>
      </c>
      <c r="G637" s="151">
        <f ca="1">IF(RegimeExecucao="Global","",ORÇAMENTO!T637)</f>
        <v>14</v>
      </c>
      <c r="H637" s="151">
        <f ca="1">IF(RegimeExecucao="Global","",ORÇAMENTO!W637)</f>
        <v>0</v>
      </c>
      <c r="I637" s="154">
        <f ca="1">ORÇAMENTO!X637</f>
        <v>0</v>
      </c>
      <c r="J637" s="427">
        <f t="shared" ca="1" si="114"/>
        <v>0</v>
      </c>
      <c r="K637" s="151">
        <f t="shared" ca="1" si="115"/>
        <v>0</v>
      </c>
      <c r="L637" s="428">
        <f t="shared" ca="1" si="116"/>
        <v>0</v>
      </c>
      <c r="M637" s="429">
        <f ca="1">IF($A637="S",VTOTALBM,IF($A637=0,0,ROUND(SomaAgrupBM,15-13*ORÇAMENTO!$AF$11)))</f>
        <v>0</v>
      </c>
      <c r="N637" s="430">
        <f t="shared" ca="1" si="117"/>
        <v>0</v>
      </c>
      <c r="O637" s="154">
        <f ca="1">IF($A637="S",VTOTALBM,IF($A637=0,0,ROUND(SomaAgrupBM,15-13*ORÇAMENTO!$AF$11)))</f>
        <v>0</v>
      </c>
      <c r="Q637" s="431"/>
      <c r="R637" s="432"/>
      <c r="T637" s="146" t="str">
        <f t="shared" ca="1" si="118"/>
        <v/>
      </c>
      <c r="U637" s="206" t="str">
        <f t="shared" ca="1" si="119"/>
        <v/>
      </c>
      <c r="V637" s="207" t="str">
        <f t="shared" ca="1" si="120"/>
        <v/>
      </c>
      <c r="W637" s="634">
        <f ca="1">IF($Y637&gt;0,CHOOSE(MATCH(RegimeExecucao,{"Unitário","Global"},0),IF($A637="S",$Y637/$X637,""),($Y637/$X637)*100),0)</f>
        <v>0</v>
      </c>
      <c r="X637" s="433" t="str">
        <f ca="1">IF($Y637&gt;0,CHOOSE(MATCH(RegimeExecucao,{"Unitário","Global"},0),IF($A637="S",ROUND($H637,ORÇAMENTO!$AF$10),""),ROUND($I637,ORÇAMENTO!$AF$11)),"")</f>
        <v/>
      </c>
      <c r="Y637" s="433">
        <f t="shared" ca="1" si="121"/>
        <v>0</v>
      </c>
      <c r="Z637" s="434"/>
      <c r="AB637" s="431"/>
      <c r="AC637" s="599"/>
      <c r="AD637" s="599"/>
      <c r="AE637" s="599"/>
      <c r="AF637" s="599"/>
      <c r="AG637" s="599"/>
      <c r="AH637" s="599"/>
      <c r="AI637" s="599"/>
      <c r="AJ637" s="599"/>
      <c r="AK637" s="599"/>
      <c r="AL637" s="599"/>
      <c r="AM637" s="432"/>
      <c r="AO637">
        <f ca="1">IF($A637="S",IF(BM!$I637=0,0,CHOOSE(MATCH(RegimeExecucao,{"Global","Unitário"},0),ROUND(ROUND(BM.MEDAcumulado,15-13*BM!$A$9)/100*BM!$I637,15-13*ORÇAMENTO!$AF$11),ROUND(ROUND(BM.MEDAcumulado,15-13*BM!$A$9)*ROUND(BM!$H637,15-13*ORÇAMENTO!$AF$10),15-13*ORÇAMENTO!$AF$11))),IF($A637=0,0,ROUND(SomaAgrupBM,15-13*ORÇAMENTO!$AF$11)))</f>
        <v>0</v>
      </c>
    </row>
    <row r="638" spans="1:41" ht="13.8" x14ac:dyDescent="0.3">
      <c r="A638" t="str">
        <f ca="1">ORÇAMENTO!C638</f>
        <v>S</v>
      </c>
      <c r="B638">
        <f ca="1">ORÇAMENTO!D638</f>
        <v>0</v>
      </c>
      <c r="C638" s="143" t="str">
        <f t="shared" ca="1" si="111"/>
        <v/>
      </c>
      <c r="D638" s="146" t="str">
        <f ca="1">ORÇAMENTO!O638</f>
        <v>-</v>
      </c>
      <c r="E638" s="206" t="str">
        <f t="shared" ca="1" si="112"/>
        <v>(abra o arquivo 'Referência 05-2024.xls)</v>
      </c>
      <c r="F638" s="207" t="str">
        <f t="shared" ca="1" si="113"/>
        <v>-</v>
      </c>
      <c r="G638" s="151">
        <f ca="1">IF(RegimeExecucao="Global","",ORÇAMENTO!T638)</f>
        <v>42</v>
      </c>
      <c r="H638" s="151">
        <f ca="1">IF(RegimeExecucao="Global","",ORÇAMENTO!W638)</f>
        <v>0</v>
      </c>
      <c r="I638" s="154">
        <f ca="1">ORÇAMENTO!X638</f>
        <v>0</v>
      </c>
      <c r="J638" s="427">
        <f t="shared" ca="1" si="114"/>
        <v>0</v>
      </c>
      <c r="K638" s="151">
        <f t="shared" ca="1" si="115"/>
        <v>0</v>
      </c>
      <c r="L638" s="428">
        <f t="shared" ca="1" si="116"/>
        <v>0</v>
      </c>
      <c r="M638" s="429">
        <f ca="1">IF($A638="S",VTOTALBM,IF($A638=0,0,ROUND(SomaAgrupBM,15-13*ORÇAMENTO!$AF$11)))</f>
        <v>0</v>
      </c>
      <c r="N638" s="430">
        <f t="shared" ca="1" si="117"/>
        <v>0</v>
      </c>
      <c r="O638" s="154">
        <f ca="1">IF($A638="S",VTOTALBM,IF($A638=0,0,ROUND(SomaAgrupBM,15-13*ORÇAMENTO!$AF$11)))</f>
        <v>0</v>
      </c>
      <c r="Q638" s="431"/>
      <c r="R638" s="432"/>
      <c r="T638" s="146" t="str">
        <f t="shared" ca="1" si="118"/>
        <v/>
      </c>
      <c r="U638" s="206" t="str">
        <f t="shared" ca="1" si="119"/>
        <v/>
      </c>
      <c r="V638" s="207" t="str">
        <f t="shared" ca="1" si="120"/>
        <v/>
      </c>
      <c r="W638" s="634">
        <f ca="1">IF($Y638&gt;0,CHOOSE(MATCH(RegimeExecucao,{"Unitário","Global"},0),IF($A638="S",$Y638/$X638,""),($Y638/$X638)*100),0)</f>
        <v>0</v>
      </c>
      <c r="X638" s="433" t="str">
        <f ca="1">IF($Y638&gt;0,CHOOSE(MATCH(RegimeExecucao,{"Unitário","Global"},0),IF($A638="S",ROUND($H638,ORÇAMENTO!$AF$10),""),ROUND($I638,ORÇAMENTO!$AF$11)),"")</f>
        <v/>
      </c>
      <c r="Y638" s="433">
        <f t="shared" ca="1" si="121"/>
        <v>0</v>
      </c>
      <c r="Z638" s="434"/>
      <c r="AB638" s="431"/>
      <c r="AC638" s="599"/>
      <c r="AD638" s="599"/>
      <c r="AE638" s="599"/>
      <c r="AF638" s="599"/>
      <c r="AG638" s="599"/>
      <c r="AH638" s="599"/>
      <c r="AI638" s="599"/>
      <c r="AJ638" s="599"/>
      <c r="AK638" s="599"/>
      <c r="AL638" s="599"/>
      <c r="AM638" s="432"/>
      <c r="AO638">
        <f ca="1">IF($A638="S",IF(BM!$I638=0,0,CHOOSE(MATCH(RegimeExecucao,{"Global","Unitário"},0),ROUND(ROUND(BM.MEDAcumulado,15-13*BM!$A$9)/100*BM!$I638,15-13*ORÇAMENTO!$AF$11),ROUND(ROUND(BM.MEDAcumulado,15-13*BM!$A$9)*ROUND(BM!$H638,15-13*ORÇAMENTO!$AF$10),15-13*ORÇAMENTO!$AF$11))),IF($A638=0,0,ROUND(SomaAgrupBM,15-13*ORÇAMENTO!$AF$11)))</f>
        <v>0</v>
      </c>
    </row>
    <row r="639" spans="1:41" ht="13.8" x14ac:dyDescent="0.3">
      <c r="A639" t="str">
        <f ca="1">ORÇAMENTO!C639</f>
        <v>S</v>
      </c>
      <c r="B639">
        <f ca="1">ORÇAMENTO!D639</f>
        <v>0</v>
      </c>
      <c r="C639" s="143" t="str">
        <f t="shared" ca="1" si="111"/>
        <v/>
      </c>
      <c r="D639" s="146" t="str">
        <f ca="1">ORÇAMENTO!O639</f>
        <v>-</v>
      </c>
      <c r="E639" s="206" t="str">
        <f t="shared" ca="1" si="112"/>
        <v>(abra o arquivo 'Referência 05-2024.xls)</v>
      </c>
      <c r="F639" s="207" t="str">
        <f t="shared" ca="1" si="113"/>
        <v>-</v>
      </c>
      <c r="G639" s="151">
        <f ca="1">IF(RegimeExecucao="Global","",ORÇAMENTO!T639)</f>
        <v>9</v>
      </c>
      <c r="H639" s="151">
        <f ca="1">IF(RegimeExecucao="Global","",ORÇAMENTO!W639)</f>
        <v>0</v>
      </c>
      <c r="I639" s="154">
        <f ca="1">ORÇAMENTO!X639</f>
        <v>0</v>
      </c>
      <c r="J639" s="427">
        <f t="shared" ca="1" si="114"/>
        <v>0</v>
      </c>
      <c r="K639" s="151">
        <f t="shared" ca="1" si="115"/>
        <v>0</v>
      </c>
      <c r="L639" s="428">
        <f t="shared" ca="1" si="116"/>
        <v>0</v>
      </c>
      <c r="M639" s="429">
        <f ca="1">IF($A639="S",VTOTALBM,IF($A639=0,0,ROUND(SomaAgrupBM,15-13*ORÇAMENTO!$AF$11)))</f>
        <v>0</v>
      </c>
      <c r="N639" s="430">
        <f t="shared" ca="1" si="117"/>
        <v>0</v>
      </c>
      <c r="O639" s="154">
        <f ca="1">IF($A639="S",VTOTALBM,IF($A639=0,0,ROUND(SomaAgrupBM,15-13*ORÇAMENTO!$AF$11)))</f>
        <v>0</v>
      </c>
      <c r="Q639" s="431"/>
      <c r="R639" s="432"/>
      <c r="T639" s="146" t="str">
        <f t="shared" ca="1" si="118"/>
        <v/>
      </c>
      <c r="U639" s="206" t="str">
        <f t="shared" ca="1" si="119"/>
        <v/>
      </c>
      <c r="V639" s="207" t="str">
        <f t="shared" ca="1" si="120"/>
        <v/>
      </c>
      <c r="W639" s="634">
        <f ca="1">IF($Y639&gt;0,CHOOSE(MATCH(RegimeExecucao,{"Unitário","Global"},0),IF($A639="S",$Y639/$X639,""),($Y639/$X639)*100),0)</f>
        <v>0</v>
      </c>
      <c r="X639" s="433" t="str">
        <f ca="1">IF($Y639&gt;0,CHOOSE(MATCH(RegimeExecucao,{"Unitário","Global"},0),IF($A639="S",ROUND($H639,ORÇAMENTO!$AF$10),""),ROUND($I639,ORÇAMENTO!$AF$11)),"")</f>
        <v/>
      </c>
      <c r="Y639" s="433">
        <f t="shared" ca="1" si="121"/>
        <v>0</v>
      </c>
      <c r="Z639" s="434"/>
      <c r="AB639" s="431"/>
      <c r="AC639" s="599"/>
      <c r="AD639" s="599"/>
      <c r="AE639" s="599"/>
      <c r="AF639" s="599"/>
      <c r="AG639" s="599"/>
      <c r="AH639" s="599"/>
      <c r="AI639" s="599"/>
      <c r="AJ639" s="599"/>
      <c r="AK639" s="599"/>
      <c r="AL639" s="599"/>
      <c r="AM639" s="432"/>
      <c r="AO639">
        <f ca="1">IF($A639="S",IF(BM!$I639=0,0,CHOOSE(MATCH(RegimeExecucao,{"Global","Unitário"},0),ROUND(ROUND(BM.MEDAcumulado,15-13*BM!$A$9)/100*BM!$I639,15-13*ORÇAMENTO!$AF$11),ROUND(ROUND(BM.MEDAcumulado,15-13*BM!$A$9)*ROUND(BM!$H639,15-13*ORÇAMENTO!$AF$10),15-13*ORÇAMENTO!$AF$11))),IF($A639=0,0,ROUND(SomaAgrupBM,15-13*ORÇAMENTO!$AF$11)))</f>
        <v>0</v>
      </c>
    </row>
    <row r="640" spans="1:41" ht="13.8" x14ac:dyDescent="0.3">
      <c r="A640" t="str">
        <f ca="1">ORÇAMENTO!C640</f>
        <v>S</v>
      </c>
      <c r="B640">
        <f ca="1">ORÇAMENTO!D640</f>
        <v>0</v>
      </c>
      <c r="C640" s="143" t="str">
        <f t="shared" ca="1" si="111"/>
        <v/>
      </c>
      <c r="D640" s="146" t="str">
        <f ca="1">ORÇAMENTO!O640</f>
        <v>-</v>
      </c>
      <c r="E640" s="206" t="str">
        <f t="shared" ca="1" si="112"/>
        <v>(abra o arquivo 'Referência 05-2024.xls)</v>
      </c>
      <c r="F640" s="207" t="str">
        <f t="shared" ca="1" si="113"/>
        <v>-</v>
      </c>
      <c r="G640" s="151">
        <f ca="1">IF(RegimeExecucao="Global","",ORÇAMENTO!T640)</f>
        <v>4</v>
      </c>
      <c r="H640" s="151">
        <f ca="1">IF(RegimeExecucao="Global","",ORÇAMENTO!W640)</f>
        <v>0</v>
      </c>
      <c r="I640" s="154">
        <f ca="1">ORÇAMENTO!X640</f>
        <v>0</v>
      </c>
      <c r="J640" s="427">
        <f t="shared" ca="1" si="114"/>
        <v>0</v>
      </c>
      <c r="K640" s="151">
        <f t="shared" ca="1" si="115"/>
        <v>0</v>
      </c>
      <c r="L640" s="428">
        <f t="shared" ca="1" si="116"/>
        <v>0</v>
      </c>
      <c r="M640" s="429">
        <f ca="1">IF($A640="S",VTOTALBM,IF($A640=0,0,ROUND(SomaAgrupBM,15-13*ORÇAMENTO!$AF$11)))</f>
        <v>0</v>
      </c>
      <c r="N640" s="430">
        <f t="shared" ca="1" si="117"/>
        <v>0</v>
      </c>
      <c r="O640" s="154">
        <f ca="1">IF($A640="S",VTOTALBM,IF($A640=0,0,ROUND(SomaAgrupBM,15-13*ORÇAMENTO!$AF$11)))</f>
        <v>0</v>
      </c>
      <c r="Q640" s="431"/>
      <c r="R640" s="432"/>
      <c r="T640" s="146" t="str">
        <f t="shared" ca="1" si="118"/>
        <v/>
      </c>
      <c r="U640" s="206" t="str">
        <f t="shared" ca="1" si="119"/>
        <v/>
      </c>
      <c r="V640" s="207" t="str">
        <f t="shared" ca="1" si="120"/>
        <v/>
      </c>
      <c r="W640" s="634">
        <f ca="1">IF($Y640&gt;0,CHOOSE(MATCH(RegimeExecucao,{"Unitário","Global"},0),IF($A640="S",$Y640/$X640,""),($Y640/$X640)*100),0)</f>
        <v>0</v>
      </c>
      <c r="X640" s="433" t="str">
        <f ca="1">IF($Y640&gt;0,CHOOSE(MATCH(RegimeExecucao,{"Unitário","Global"},0),IF($A640="S",ROUND($H640,ORÇAMENTO!$AF$10),""),ROUND($I640,ORÇAMENTO!$AF$11)),"")</f>
        <v/>
      </c>
      <c r="Y640" s="433">
        <f t="shared" ca="1" si="121"/>
        <v>0</v>
      </c>
      <c r="Z640" s="434"/>
      <c r="AB640" s="431"/>
      <c r="AC640" s="599"/>
      <c r="AD640" s="599"/>
      <c r="AE640" s="599"/>
      <c r="AF640" s="599"/>
      <c r="AG640" s="599"/>
      <c r="AH640" s="599"/>
      <c r="AI640" s="599"/>
      <c r="AJ640" s="599"/>
      <c r="AK640" s="599"/>
      <c r="AL640" s="599"/>
      <c r="AM640" s="432"/>
      <c r="AO640">
        <f ca="1">IF($A640="S",IF(BM!$I640=0,0,CHOOSE(MATCH(RegimeExecucao,{"Global","Unitário"},0),ROUND(ROUND(BM.MEDAcumulado,15-13*BM!$A$9)/100*BM!$I640,15-13*ORÇAMENTO!$AF$11),ROUND(ROUND(BM.MEDAcumulado,15-13*BM!$A$9)*ROUND(BM!$H640,15-13*ORÇAMENTO!$AF$10),15-13*ORÇAMENTO!$AF$11))),IF($A640=0,0,ROUND(SomaAgrupBM,15-13*ORÇAMENTO!$AF$11)))</f>
        <v>0</v>
      </c>
    </row>
    <row r="641" spans="1:41" ht="13.8" x14ac:dyDescent="0.3">
      <c r="A641" t="str">
        <f ca="1">ORÇAMENTO!C641</f>
        <v>S</v>
      </c>
      <c r="B641">
        <f ca="1">ORÇAMENTO!D641</f>
        <v>0</v>
      </c>
      <c r="C641" s="143" t="str">
        <f t="shared" ca="1" si="111"/>
        <v/>
      </c>
      <c r="D641" s="146" t="str">
        <f ca="1">ORÇAMENTO!O641</f>
        <v>-</v>
      </c>
      <c r="E641" s="206" t="str">
        <f t="shared" ca="1" si="112"/>
        <v>(abra o arquivo 'Referência 05-2024.xls)</v>
      </c>
      <c r="F641" s="207" t="str">
        <f t="shared" ca="1" si="113"/>
        <v>-</v>
      </c>
      <c r="G641" s="151">
        <f ca="1">IF(RegimeExecucao="Global","",ORÇAMENTO!T641)</f>
        <v>18</v>
      </c>
      <c r="H641" s="151">
        <f ca="1">IF(RegimeExecucao="Global","",ORÇAMENTO!W641)</f>
        <v>0</v>
      </c>
      <c r="I641" s="154">
        <f ca="1">ORÇAMENTO!X641</f>
        <v>0</v>
      </c>
      <c r="J641" s="427">
        <f t="shared" ca="1" si="114"/>
        <v>0</v>
      </c>
      <c r="K641" s="151">
        <f t="shared" ca="1" si="115"/>
        <v>0</v>
      </c>
      <c r="L641" s="428">
        <f t="shared" ca="1" si="116"/>
        <v>0</v>
      </c>
      <c r="M641" s="429">
        <f ca="1">IF($A641="S",VTOTALBM,IF($A641=0,0,ROUND(SomaAgrupBM,15-13*ORÇAMENTO!$AF$11)))</f>
        <v>0</v>
      </c>
      <c r="N641" s="430">
        <f t="shared" ca="1" si="117"/>
        <v>0</v>
      </c>
      <c r="O641" s="154">
        <f ca="1">IF($A641="S",VTOTALBM,IF($A641=0,0,ROUND(SomaAgrupBM,15-13*ORÇAMENTO!$AF$11)))</f>
        <v>0</v>
      </c>
      <c r="Q641" s="431"/>
      <c r="R641" s="432"/>
      <c r="T641" s="146" t="str">
        <f t="shared" ca="1" si="118"/>
        <v/>
      </c>
      <c r="U641" s="206" t="str">
        <f t="shared" ca="1" si="119"/>
        <v/>
      </c>
      <c r="V641" s="207" t="str">
        <f t="shared" ca="1" si="120"/>
        <v/>
      </c>
      <c r="W641" s="634">
        <f ca="1">IF($Y641&gt;0,CHOOSE(MATCH(RegimeExecucao,{"Unitário","Global"},0),IF($A641="S",$Y641/$X641,""),($Y641/$X641)*100),0)</f>
        <v>0</v>
      </c>
      <c r="X641" s="433" t="str">
        <f ca="1">IF($Y641&gt;0,CHOOSE(MATCH(RegimeExecucao,{"Unitário","Global"},0),IF($A641="S",ROUND($H641,ORÇAMENTO!$AF$10),""),ROUND($I641,ORÇAMENTO!$AF$11)),"")</f>
        <v/>
      </c>
      <c r="Y641" s="433">
        <f t="shared" ca="1" si="121"/>
        <v>0</v>
      </c>
      <c r="Z641" s="434"/>
      <c r="AB641" s="431"/>
      <c r="AC641" s="599"/>
      <c r="AD641" s="599"/>
      <c r="AE641" s="599"/>
      <c r="AF641" s="599"/>
      <c r="AG641" s="599"/>
      <c r="AH641" s="599"/>
      <c r="AI641" s="599"/>
      <c r="AJ641" s="599"/>
      <c r="AK641" s="599"/>
      <c r="AL641" s="599"/>
      <c r="AM641" s="432"/>
      <c r="AO641">
        <f ca="1">IF($A641="S",IF(BM!$I641=0,0,CHOOSE(MATCH(RegimeExecucao,{"Global","Unitário"},0),ROUND(ROUND(BM.MEDAcumulado,15-13*BM!$A$9)/100*BM!$I641,15-13*ORÇAMENTO!$AF$11),ROUND(ROUND(BM.MEDAcumulado,15-13*BM!$A$9)*ROUND(BM!$H641,15-13*ORÇAMENTO!$AF$10),15-13*ORÇAMENTO!$AF$11))),IF($A641=0,0,ROUND(SomaAgrupBM,15-13*ORÇAMENTO!$AF$11)))</f>
        <v>0</v>
      </c>
    </row>
    <row r="642" spans="1:41" ht="13.8" x14ac:dyDescent="0.3">
      <c r="A642" t="str">
        <f ca="1">ORÇAMENTO!C642</f>
        <v>S</v>
      </c>
      <c r="B642">
        <f ca="1">ORÇAMENTO!D642</f>
        <v>0</v>
      </c>
      <c r="C642" s="143" t="str">
        <f t="shared" ca="1" si="111"/>
        <v/>
      </c>
      <c r="D642" s="146" t="str">
        <f ca="1">ORÇAMENTO!O642</f>
        <v>-</v>
      </c>
      <c r="E642" s="206" t="str">
        <f t="shared" ca="1" si="112"/>
        <v>(abra o arquivo 'Referência 05-2024.xls)</v>
      </c>
      <c r="F642" s="207" t="str">
        <f t="shared" ca="1" si="113"/>
        <v>-</v>
      </c>
      <c r="G642" s="151">
        <f ca="1">IF(RegimeExecucao="Global","",ORÇAMENTO!T642)</f>
        <v>2</v>
      </c>
      <c r="H642" s="151">
        <f ca="1">IF(RegimeExecucao="Global","",ORÇAMENTO!W642)</f>
        <v>0</v>
      </c>
      <c r="I642" s="154">
        <f ca="1">ORÇAMENTO!X642</f>
        <v>0</v>
      </c>
      <c r="J642" s="427">
        <f t="shared" ca="1" si="114"/>
        <v>0</v>
      </c>
      <c r="K642" s="151">
        <f t="shared" ca="1" si="115"/>
        <v>0</v>
      </c>
      <c r="L642" s="428">
        <f t="shared" ca="1" si="116"/>
        <v>0</v>
      </c>
      <c r="M642" s="429">
        <f ca="1">IF($A642="S",VTOTALBM,IF($A642=0,0,ROUND(SomaAgrupBM,15-13*ORÇAMENTO!$AF$11)))</f>
        <v>0</v>
      </c>
      <c r="N642" s="430">
        <f t="shared" ca="1" si="117"/>
        <v>0</v>
      </c>
      <c r="O642" s="154">
        <f ca="1">IF($A642="S",VTOTALBM,IF($A642=0,0,ROUND(SomaAgrupBM,15-13*ORÇAMENTO!$AF$11)))</f>
        <v>0</v>
      </c>
      <c r="Q642" s="431"/>
      <c r="R642" s="432"/>
      <c r="T642" s="146" t="str">
        <f t="shared" ca="1" si="118"/>
        <v/>
      </c>
      <c r="U642" s="206" t="str">
        <f t="shared" ca="1" si="119"/>
        <v/>
      </c>
      <c r="V642" s="207" t="str">
        <f t="shared" ca="1" si="120"/>
        <v/>
      </c>
      <c r="W642" s="634">
        <f ca="1">IF($Y642&gt;0,CHOOSE(MATCH(RegimeExecucao,{"Unitário","Global"},0),IF($A642="S",$Y642/$X642,""),($Y642/$X642)*100),0)</f>
        <v>0</v>
      </c>
      <c r="X642" s="433" t="str">
        <f ca="1">IF($Y642&gt;0,CHOOSE(MATCH(RegimeExecucao,{"Unitário","Global"},0),IF($A642="S",ROUND($H642,ORÇAMENTO!$AF$10),""),ROUND($I642,ORÇAMENTO!$AF$11)),"")</f>
        <v/>
      </c>
      <c r="Y642" s="433">
        <f t="shared" ca="1" si="121"/>
        <v>0</v>
      </c>
      <c r="Z642" s="434"/>
      <c r="AB642" s="431"/>
      <c r="AC642" s="599"/>
      <c r="AD642" s="599"/>
      <c r="AE642" s="599"/>
      <c r="AF642" s="599"/>
      <c r="AG642" s="599"/>
      <c r="AH642" s="599"/>
      <c r="AI642" s="599"/>
      <c r="AJ642" s="599"/>
      <c r="AK642" s="599"/>
      <c r="AL642" s="599"/>
      <c r="AM642" s="432"/>
      <c r="AO642">
        <f ca="1">IF($A642="S",IF(BM!$I642=0,0,CHOOSE(MATCH(RegimeExecucao,{"Global","Unitário"},0),ROUND(ROUND(BM.MEDAcumulado,15-13*BM!$A$9)/100*BM!$I642,15-13*ORÇAMENTO!$AF$11),ROUND(ROUND(BM.MEDAcumulado,15-13*BM!$A$9)*ROUND(BM!$H642,15-13*ORÇAMENTO!$AF$10),15-13*ORÇAMENTO!$AF$11))),IF($A642=0,0,ROUND(SomaAgrupBM,15-13*ORÇAMENTO!$AF$11)))</f>
        <v>0</v>
      </c>
    </row>
    <row r="643" spans="1:41" ht="13.8" x14ac:dyDescent="0.3">
      <c r="A643" t="str">
        <f ca="1">ORÇAMENTO!C643</f>
        <v>S</v>
      </c>
      <c r="B643">
        <f ca="1">ORÇAMENTO!D643</f>
        <v>0</v>
      </c>
      <c r="C643" s="143" t="str">
        <f t="shared" ca="1" si="111"/>
        <v/>
      </c>
      <c r="D643" s="146" t="str">
        <f ca="1">ORÇAMENTO!O643</f>
        <v>-</v>
      </c>
      <c r="E643" s="206" t="str">
        <f t="shared" ca="1" si="112"/>
        <v>(abra o arquivo 'Referência 05-2024.xls)</v>
      </c>
      <c r="F643" s="207" t="str">
        <f t="shared" ca="1" si="113"/>
        <v>-</v>
      </c>
      <c r="G643" s="151">
        <f ca="1">IF(RegimeExecucao="Global","",ORÇAMENTO!T643)</f>
        <v>38</v>
      </c>
      <c r="H643" s="151">
        <f ca="1">IF(RegimeExecucao="Global","",ORÇAMENTO!W643)</f>
        <v>0</v>
      </c>
      <c r="I643" s="154">
        <f ca="1">ORÇAMENTO!X643</f>
        <v>0</v>
      </c>
      <c r="J643" s="427">
        <f t="shared" ca="1" si="114"/>
        <v>0</v>
      </c>
      <c r="K643" s="151">
        <f t="shared" ca="1" si="115"/>
        <v>0</v>
      </c>
      <c r="L643" s="428">
        <f t="shared" ca="1" si="116"/>
        <v>0</v>
      </c>
      <c r="M643" s="429">
        <f ca="1">IF($A643="S",VTOTALBM,IF($A643=0,0,ROUND(SomaAgrupBM,15-13*ORÇAMENTO!$AF$11)))</f>
        <v>0</v>
      </c>
      <c r="N643" s="430">
        <f t="shared" ca="1" si="117"/>
        <v>0</v>
      </c>
      <c r="O643" s="154">
        <f ca="1">IF($A643="S",VTOTALBM,IF($A643=0,0,ROUND(SomaAgrupBM,15-13*ORÇAMENTO!$AF$11)))</f>
        <v>0</v>
      </c>
      <c r="Q643" s="431"/>
      <c r="R643" s="432"/>
      <c r="T643" s="146" t="str">
        <f t="shared" ca="1" si="118"/>
        <v/>
      </c>
      <c r="U643" s="206" t="str">
        <f t="shared" ca="1" si="119"/>
        <v/>
      </c>
      <c r="V643" s="207" t="str">
        <f t="shared" ca="1" si="120"/>
        <v/>
      </c>
      <c r="W643" s="634">
        <f ca="1">IF($Y643&gt;0,CHOOSE(MATCH(RegimeExecucao,{"Unitário","Global"},0),IF($A643="S",$Y643/$X643,""),($Y643/$X643)*100),0)</f>
        <v>0</v>
      </c>
      <c r="X643" s="433" t="str">
        <f ca="1">IF($Y643&gt;0,CHOOSE(MATCH(RegimeExecucao,{"Unitário","Global"},0),IF($A643="S",ROUND($H643,ORÇAMENTO!$AF$10),""),ROUND($I643,ORÇAMENTO!$AF$11)),"")</f>
        <v/>
      </c>
      <c r="Y643" s="433">
        <f t="shared" ca="1" si="121"/>
        <v>0</v>
      </c>
      <c r="Z643" s="434"/>
      <c r="AB643" s="431"/>
      <c r="AC643" s="599"/>
      <c r="AD643" s="599"/>
      <c r="AE643" s="599"/>
      <c r="AF643" s="599"/>
      <c r="AG643" s="599"/>
      <c r="AH643" s="599"/>
      <c r="AI643" s="599"/>
      <c r="AJ643" s="599"/>
      <c r="AK643" s="599"/>
      <c r="AL643" s="599"/>
      <c r="AM643" s="432"/>
      <c r="AO643">
        <f ca="1">IF($A643="S",IF(BM!$I643=0,0,CHOOSE(MATCH(RegimeExecucao,{"Global","Unitário"},0),ROUND(ROUND(BM.MEDAcumulado,15-13*BM!$A$9)/100*BM!$I643,15-13*ORÇAMENTO!$AF$11),ROUND(ROUND(BM.MEDAcumulado,15-13*BM!$A$9)*ROUND(BM!$H643,15-13*ORÇAMENTO!$AF$10),15-13*ORÇAMENTO!$AF$11))),IF($A643=0,0,ROUND(SomaAgrupBM,15-13*ORÇAMENTO!$AF$11)))</f>
        <v>0</v>
      </c>
    </row>
    <row r="644" spans="1:41" ht="13.8" x14ac:dyDescent="0.3">
      <c r="A644" t="str">
        <f ca="1">ORÇAMENTO!C644</f>
        <v>S</v>
      </c>
      <c r="B644">
        <f ca="1">ORÇAMENTO!D644</f>
        <v>0</v>
      </c>
      <c r="C644" s="143" t="str">
        <f t="shared" ca="1" si="111"/>
        <v/>
      </c>
      <c r="D644" s="146" t="str">
        <f ca="1">ORÇAMENTO!O644</f>
        <v>-</v>
      </c>
      <c r="E644" s="206" t="str">
        <f t="shared" ca="1" si="112"/>
        <v>(abra o arquivo 'Referência 05-2024.xls)</v>
      </c>
      <c r="F644" s="207" t="str">
        <f t="shared" ca="1" si="113"/>
        <v>-</v>
      </c>
      <c r="G644" s="151">
        <f ca="1">IF(RegimeExecucao="Global","",ORÇAMENTO!T644)</f>
        <v>8</v>
      </c>
      <c r="H644" s="151">
        <f ca="1">IF(RegimeExecucao="Global","",ORÇAMENTO!W644)</f>
        <v>0</v>
      </c>
      <c r="I644" s="154">
        <f ca="1">ORÇAMENTO!X644</f>
        <v>0</v>
      </c>
      <c r="J644" s="427">
        <f t="shared" ca="1" si="114"/>
        <v>0</v>
      </c>
      <c r="K644" s="151">
        <f t="shared" ca="1" si="115"/>
        <v>0</v>
      </c>
      <c r="L644" s="428">
        <f t="shared" ca="1" si="116"/>
        <v>0</v>
      </c>
      <c r="M644" s="429">
        <f ca="1">IF($A644="S",VTOTALBM,IF($A644=0,0,ROUND(SomaAgrupBM,15-13*ORÇAMENTO!$AF$11)))</f>
        <v>0</v>
      </c>
      <c r="N644" s="430">
        <f t="shared" ca="1" si="117"/>
        <v>0</v>
      </c>
      <c r="O644" s="154">
        <f ca="1">IF($A644="S",VTOTALBM,IF($A644=0,0,ROUND(SomaAgrupBM,15-13*ORÇAMENTO!$AF$11)))</f>
        <v>0</v>
      </c>
      <c r="Q644" s="431"/>
      <c r="R644" s="432"/>
      <c r="T644" s="146" t="str">
        <f t="shared" ca="1" si="118"/>
        <v/>
      </c>
      <c r="U644" s="206" t="str">
        <f t="shared" ca="1" si="119"/>
        <v/>
      </c>
      <c r="V644" s="207" t="str">
        <f t="shared" ca="1" si="120"/>
        <v/>
      </c>
      <c r="W644" s="634">
        <f ca="1">IF($Y644&gt;0,CHOOSE(MATCH(RegimeExecucao,{"Unitário","Global"},0),IF($A644="S",$Y644/$X644,""),($Y644/$X644)*100),0)</f>
        <v>0</v>
      </c>
      <c r="X644" s="433" t="str">
        <f ca="1">IF($Y644&gt;0,CHOOSE(MATCH(RegimeExecucao,{"Unitário","Global"},0),IF($A644="S",ROUND($H644,ORÇAMENTO!$AF$10),""),ROUND($I644,ORÇAMENTO!$AF$11)),"")</f>
        <v/>
      </c>
      <c r="Y644" s="433">
        <f t="shared" ca="1" si="121"/>
        <v>0</v>
      </c>
      <c r="Z644" s="434"/>
      <c r="AB644" s="431"/>
      <c r="AC644" s="599"/>
      <c r="AD644" s="599"/>
      <c r="AE644" s="599"/>
      <c r="AF644" s="599"/>
      <c r="AG644" s="599"/>
      <c r="AH644" s="599"/>
      <c r="AI644" s="599"/>
      <c r="AJ644" s="599"/>
      <c r="AK644" s="599"/>
      <c r="AL644" s="599"/>
      <c r="AM644" s="432"/>
      <c r="AO644">
        <f ca="1">IF($A644="S",IF(BM!$I644=0,0,CHOOSE(MATCH(RegimeExecucao,{"Global","Unitário"},0),ROUND(ROUND(BM.MEDAcumulado,15-13*BM!$A$9)/100*BM!$I644,15-13*ORÇAMENTO!$AF$11),ROUND(ROUND(BM.MEDAcumulado,15-13*BM!$A$9)*ROUND(BM!$H644,15-13*ORÇAMENTO!$AF$10),15-13*ORÇAMENTO!$AF$11))),IF($A644=0,0,ROUND(SomaAgrupBM,15-13*ORÇAMENTO!$AF$11)))</f>
        <v>0</v>
      </c>
    </row>
    <row r="645" spans="1:41" ht="13.8" x14ac:dyDescent="0.3">
      <c r="A645" t="str">
        <f ca="1">ORÇAMENTO!C645</f>
        <v>S</v>
      </c>
      <c r="B645">
        <f ca="1">ORÇAMENTO!D645</f>
        <v>0</v>
      </c>
      <c r="C645" s="143" t="str">
        <f t="shared" ca="1" si="111"/>
        <v/>
      </c>
      <c r="D645" s="146" t="str">
        <f ca="1">ORÇAMENTO!O645</f>
        <v>-</v>
      </c>
      <c r="E645" s="206" t="str">
        <f t="shared" ca="1" si="112"/>
        <v>(abra o arquivo 'Referência 05-2024.xls)</v>
      </c>
      <c r="F645" s="207" t="str">
        <f t="shared" ca="1" si="113"/>
        <v>-</v>
      </c>
      <c r="G645" s="151">
        <f ca="1">IF(RegimeExecucao="Global","",ORÇAMENTO!T645)</f>
        <v>8</v>
      </c>
      <c r="H645" s="151">
        <f ca="1">IF(RegimeExecucao="Global","",ORÇAMENTO!W645)</f>
        <v>0</v>
      </c>
      <c r="I645" s="154">
        <f ca="1">ORÇAMENTO!X645</f>
        <v>0</v>
      </c>
      <c r="J645" s="427">
        <f t="shared" ca="1" si="114"/>
        <v>0</v>
      </c>
      <c r="K645" s="151">
        <f t="shared" ca="1" si="115"/>
        <v>0</v>
      </c>
      <c r="L645" s="428">
        <f t="shared" ca="1" si="116"/>
        <v>0</v>
      </c>
      <c r="M645" s="429">
        <f ca="1">IF($A645="S",VTOTALBM,IF($A645=0,0,ROUND(SomaAgrupBM,15-13*ORÇAMENTO!$AF$11)))</f>
        <v>0</v>
      </c>
      <c r="N645" s="430">
        <f t="shared" ca="1" si="117"/>
        <v>0</v>
      </c>
      <c r="O645" s="154">
        <f ca="1">IF($A645="S",VTOTALBM,IF($A645=0,0,ROUND(SomaAgrupBM,15-13*ORÇAMENTO!$AF$11)))</f>
        <v>0</v>
      </c>
      <c r="Q645" s="431"/>
      <c r="R645" s="432"/>
      <c r="T645" s="146" t="str">
        <f t="shared" ca="1" si="118"/>
        <v/>
      </c>
      <c r="U645" s="206" t="str">
        <f t="shared" ca="1" si="119"/>
        <v/>
      </c>
      <c r="V645" s="207" t="str">
        <f t="shared" ca="1" si="120"/>
        <v/>
      </c>
      <c r="W645" s="634">
        <f ca="1">IF($Y645&gt;0,CHOOSE(MATCH(RegimeExecucao,{"Unitário","Global"},0),IF($A645="S",$Y645/$X645,""),($Y645/$X645)*100),0)</f>
        <v>0</v>
      </c>
      <c r="X645" s="433" t="str">
        <f ca="1">IF($Y645&gt;0,CHOOSE(MATCH(RegimeExecucao,{"Unitário","Global"},0),IF($A645="S",ROUND($H645,ORÇAMENTO!$AF$10),""),ROUND($I645,ORÇAMENTO!$AF$11)),"")</f>
        <v/>
      </c>
      <c r="Y645" s="433">
        <f t="shared" ca="1" si="121"/>
        <v>0</v>
      </c>
      <c r="Z645" s="434"/>
      <c r="AB645" s="431"/>
      <c r="AC645" s="599"/>
      <c r="AD645" s="599"/>
      <c r="AE645" s="599"/>
      <c r="AF645" s="599"/>
      <c r="AG645" s="599"/>
      <c r="AH645" s="599"/>
      <c r="AI645" s="599"/>
      <c r="AJ645" s="599"/>
      <c r="AK645" s="599"/>
      <c r="AL645" s="599"/>
      <c r="AM645" s="432"/>
      <c r="AO645">
        <f ca="1">IF($A645="S",IF(BM!$I645=0,0,CHOOSE(MATCH(RegimeExecucao,{"Global","Unitário"},0),ROUND(ROUND(BM.MEDAcumulado,15-13*BM!$A$9)/100*BM!$I645,15-13*ORÇAMENTO!$AF$11),ROUND(ROUND(BM.MEDAcumulado,15-13*BM!$A$9)*ROUND(BM!$H645,15-13*ORÇAMENTO!$AF$10),15-13*ORÇAMENTO!$AF$11))),IF($A645=0,0,ROUND(SomaAgrupBM,15-13*ORÇAMENTO!$AF$11)))</f>
        <v>0</v>
      </c>
    </row>
    <row r="646" spans="1:41" ht="13.8" x14ac:dyDescent="0.3">
      <c r="A646" t="str">
        <f ca="1">ORÇAMENTO!C646</f>
        <v>S</v>
      </c>
      <c r="B646">
        <f ca="1">ORÇAMENTO!D646</f>
        <v>0</v>
      </c>
      <c r="C646" s="143" t="str">
        <f t="shared" ca="1" si="111"/>
        <v/>
      </c>
      <c r="D646" s="146" t="str">
        <f ca="1">ORÇAMENTO!O646</f>
        <v>-</v>
      </c>
      <c r="E646" s="206" t="str">
        <f t="shared" ca="1" si="112"/>
        <v>(abra o arquivo 'Referência 05-2024.xls)</v>
      </c>
      <c r="F646" s="207" t="str">
        <f t="shared" ca="1" si="113"/>
        <v>-</v>
      </c>
      <c r="G646" s="151">
        <f ca="1">IF(RegimeExecucao="Global","",ORÇAMENTO!T646)</f>
        <v>1</v>
      </c>
      <c r="H646" s="151">
        <f ca="1">IF(RegimeExecucao="Global","",ORÇAMENTO!W646)</f>
        <v>0</v>
      </c>
      <c r="I646" s="154">
        <f ca="1">ORÇAMENTO!X646</f>
        <v>0</v>
      </c>
      <c r="J646" s="427">
        <f t="shared" ca="1" si="114"/>
        <v>0</v>
      </c>
      <c r="K646" s="151">
        <f t="shared" ca="1" si="115"/>
        <v>0</v>
      </c>
      <c r="L646" s="428">
        <f t="shared" ca="1" si="116"/>
        <v>0</v>
      </c>
      <c r="M646" s="429">
        <f ca="1">IF($A646="S",VTOTALBM,IF($A646=0,0,ROUND(SomaAgrupBM,15-13*ORÇAMENTO!$AF$11)))</f>
        <v>0</v>
      </c>
      <c r="N646" s="430">
        <f t="shared" ca="1" si="117"/>
        <v>0</v>
      </c>
      <c r="O646" s="154">
        <f ca="1">IF($A646="S",VTOTALBM,IF($A646=0,0,ROUND(SomaAgrupBM,15-13*ORÇAMENTO!$AF$11)))</f>
        <v>0</v>
      </c>
      <c r="Q646" s="431"/>
      <c r="R646" s="432"/>
      <c r="T646" s="146" t="str">
        <f t="shared" ca="1" si="118"/>
        <v/>
      </c>
      <c r="U646" s="206" t="str">
        <f t="shared" ca="1" si="119"/>
        <v/>
      </c>
      <c r="V646" s="207" t="str">
        <f t="shared" ca="1" si="120"/>
        <v/>
      </c>
      <c r="W646" s="634">
        <f ca="1">IF($Y646&gt;0,CHOOSE(MATCH(RegimeExecucao,{"Unitário","Global"},0),IF($A646="S",$Y646/$X646,""),($Y646/$X646)*100),0)</f>
        <v>0</v>
      </c>
      <c r="X646" s="433" t="str">
        <f ca="1">IF($Y646&gt;0,CHOOSE(MATCH(RegimeExecucao,{"Unitário","Global"},0),IF($A646="S",ROUND($H646,ORÇAMENTO!$AF$10),""),ROUND($I646,ORÇAMENTO!$AF$11)),"")</f>
        <v/>
      </c>
      <c r="Y646" s="433">
        <f t="shared" ca="1" si="121"/>
        <v>0</v>
      </c>
      <c r="Z646" s="434"/>
      <c r="AB646" s="431"/>
      <c r="AC646" s="599"/>
      <c r="AD646" s="599"/>
      <c r="AE646" s="599"/>
      <c r="AF646" s="599"/>
      <c r="AG646" s="599"/>
      <c r="AH646" s="599"/>
      <c r="AI646" s="599"/>
      <c r="AJ646" s="599"/>
      <c r="AK646" s="599"/>
      <c r="AL646" s="599"/>
      <c r="AM646" s="432"/>
      <c r="AO646">
        <f ca="1">IF($A646="S",IF(BM!$I646=0,0,CHOOSE(MATCH(RegimeExecucao,{"Global","Unitário"},0),ROUND(ROUND(BM.MEDAcumulado,15-13*BM!$A$9)/100*BM!$I646,15-13*ORÇAMENTO!$AF$11),ROUND(ROUND(BM.MEDAcumulado,15-13*BM!$A$9)*ROUND(BM!$H646,15-13*ORÇAMENTO!$AF$10),15-13*ORÇAMENTO!$AF$11))),IF($A646=0,0,ROUND(SomaAgrupBM,15-13*ORÇAMENTO!$AF$11)))</f>
        <v>0</v>
      </c>
    </row>
    <row r="647" spans="1:41" ht="13.8" x14ac:dyDescent="0.3">
      <c r="A647">
        <f ca="1">ORÇAMENTO!C647</f>
        <v>3</v>
      </c>
      <c r="B647">
        <f ca="1">ORÇAMENTO!D647</f>
        <v>3</v>
      </c>
      <c r="C647" s="143" t="str">
        <f t="shared" ca="1" si="111"/>
        <v>F</v>
      </c>
      <c r="D647" s="146" t="str">
        <f ca="1">ORÇAMENTO!O647</f>
        <v>1.20.4.</v>
      </c>
      <c r="E647" s="206" t="str">
        <f t="shared" si="112"/>
        <v>ACESSÓRIOS PARA TELEFONIA</v>
      </c>
      <c r="F647" s="207" t="str">
        <f t="shared" ca="1" si="113"/>
        <v>-</v>
      </c>
      <c r="G647" s="151">
        <f ca="1">IF(RegimeExecucao="Global","",ORÇAMENTO!T647)</f>
        <v>0</v>
      </c>
      <c r="H647" s="151">
        <f ca="1">IF(RegimeExecucao="Global","",ORÇAMENTO!W647)</f>
        <v>0</v>
      </c>
      <c r="I647" s="154">
        <f ca="1">ORÇAMENTO!X647</f>
        <v>0</v>
      </c>
      <c r="J647" s="427">
        <f t="shared" ca="1" si="114"/>
        <v>0</v>
      </c>
      <c r="K647" s="151">
        <f t="shared" ca="1" si="115"/>
        <v>0</v>
      </c>
      <c r="L647" s="428">
        <f t="shared" ca="1" si="116"/>
        <v>0</v>
      </c>
      <c r="M647" s="429">
        <f ca="1">IF($A647="S",VTOTALBM,IF($A647=0,0,ROUND(SomaAgrupBM,15-13*ORÇAMENTO!$AF$11)))</f>
        <v>0</v>
      </c>
      <c r="N647" s="430">
        <f t="shared" ca="1" si="117"/>
        <v>0</v>
      </c>
      <c r="O647" s="154">
        <f ca="1">IF($A647="S",VTOTALBM,IF($A647=0,0,ROUND(SomaAgrupBM,15-13*ORÇAMENTO!$AF$11)))</f>
        <v>0</v>
      </c>
      <c r="Q647" s="431"/>
      <c r="R647" s="432"/>
      <c r="T647" s="146" t="str">
        <f t="shared" ca="1" si="118"/>
        <v/>
      </c>
      <c r="U647" s="206" t="str">
        <f t="shared" ca="1" si="119"/>
        <v/>
      </c>
      <c r="V647" s="207" t="str">
        <f t="shared" ca="1" si="120"/>
        <v/>
      </c>
      <c r="W647" s="634">
        <f ca="1">IF($Y647&gt;0,CHOOSE(MATCH(RegimeExecucao,{"Unitário","Global"},0),IF($A647="S",$Y647/$X647,""),($Y647/$X647)*100),0)</f>
        <v>0</v>
      </c>
      <c r="X647" s="433" t="str">
        <f ca="1">IF($Y647&gt;0,CHOOSE(MATCH(RegimeExecucao,{"Unitário","Global"},0),IF($A647="S",ROUND($H647,ORÇAMENTO!$AF$10),""),ROUND($I647,ORÇAMENTO!$AF$11)),"")</f>
        <v/>
      </c>
      <c r="Y647" s="433">
        <f t="shared" ca="1" si="121"/>
        <v>0</v>
      </c>
      <c r="Z647" s="434"/>
      <c r="AB647" s="431"/>
      <c r="AC647" s="599"/>
      <c r="AD647" s="599"/>
      <c r="AE647" s="599"/>
      <c r="AF647" s="599"/>
      <c r="AG647" s="599"/>
      <c r="AH647" s="599"/>
      <c r="AI647" s="599"/>
      <c r="AJ647" s="599"/>
      <c r="AK647" s="599"/>
      <c r="AL647" s="599"/>
      <c r="AM647" s="432"/>
      <c r="AO647">
        <f ca="1">IF($A647="S",IF(BM!$I647=0,0,CHOOSE(MATCH(RegimeExecucao,{"Global","Unitário"},0),ROUND(ROUND(BM.MEDAcumulado,15-13*BM!$A$9)/100*BM!$I647,15-13*ORÇAMENTO!$AF$11),ROUND(ROUND(BM.MEDAcumulado,15-13*BM!$A$9)*ROUND(BM!$H647,15-13*ORÇAMENTO!$AF$10),15-13*ORÇAMENTO!$AF$11))),IF($A647=0,0,ROUND(SomaAgrupBM,15-13*ORÇAMENTO!$AF$11)))</f>
        <v>0</v>
      </c>
    </row>
    <row r="648" spans="1:41" ht="13.8" x14ac:dyDescent="0.3">
      <c r="A648" t="str">
        <f ca="1">ORÇAMENTO!C648</f>
        <v>S</v>
      </c>
      <c r="B648">
        <f ca="1">ORÇAMENTO!D648</f>
        <v>0</v>
      </c>
      <c r="C648" s="143" t="str">
        <f t="shared" ca="1" si="111"/>
        <v/>
      </c>
      <c r="D648" s="146" t="str">
        <f ca="1">ORÇAMENTO!O648</f>
        <v>-</v>
      </c>
      <c r="E648" s="206" t="str">
        <f t="shared" ca="1" si="112"/>
        <v>(abra o arquivo 'Referência 05-2024.xls)</v>
      </c>
      <c r="F648" s="207" t="str">
        <f t="shared" ca="1" si="113"/>
        <v>-</v>
      </c>
      <c r="G648" s="151">
        <f ca="1">IF(RegimeExecucao="Global","",ORÇAMENTO!T648)</f>
        <v>2</v>
      </c>
      <c r="H648" s="151">
        <f ca="1">IF(RegimeExecucao="Global","",ORÇAMENTO!W648)</f>
        <v>0</v>
      </c>
      <c r="I648" s="154">
        <f ca="1">ORÇAMENTO!X648</f>
        <v>0</v>
      </c>
      <c r="J648" s="427">
        <f t="shared" ca="1" si="114"/>
        <v>0</v>
      </c>
      <c r="K648" s="151">
        <f t="shared" ca="1" si="115"/>
        <v>0</v>
      </c>
      <c r="L648" s="428">
        <f t="shared" ca="1" si="116"/>
        <v>0</v>
      </c>
      <c r="M648" s="429">
        <f ca="1">IF($A648="S",VTOTALBM,IF($A648=0,0,ROUND(SomaAgrupBM,15-13*ORÇAMENTO!$AF$11)))</f>
        <v>0</v>
      </c>
      <c r="N648" s="430">
        <f t="shared" ca="1" si="117"/>
        <v>0</v>
      </c>
      <c r="O648" s="154">
        <f ca="1">IF($A648="S",VTOTALBM,IF($A648=0,0,ROUND(SomaAgrupBM,15-13*ORÇAMENTO!$AF$11)))</f>
        <v>0</v>
      </c>
      <c r="Q648" s="431"/>
      <c r="R648" s="432"/>
      <c r="T648" s="146" t="str">
        <f t="shared" ca="1" si="118"/>
        <v/>
      </c>
      <c r="U648" s="206" t="str">
        <f t="shared" ca="1" si="119"/>
        <v/>
      </c>
      <c r="V648" s="207" t="str">
        <f t="shared" ca="1" si="120"/>
        <v/>
      </c>
      <c r="W648" s="634">
        <f ca="1">IF($Y648&gt;0,CHOOSE(MATCH(RegimeExecucao,{"Unitário","Global"},0),IF($A648="S",$Y648/$X648,""),($Y648/$X648)*100),0)</f>
        <v>0</v>
      </c>
      <c r="X648" s="433" t="str">
        <f ca="1">IF($Y648&gt;0,CHOOSE(MATCH(RegimeExecucao,{"Unitário","Global"},0),IF($A648="S",ROUND($H648,ORÇAMENTO!$AF$10),""),ROUND($I648,ORÇAMENTO!$AF$11)),"")</f>
        <v/>
      </c>
      <c r="Y648" s="433">
        <f t="shared" ca="1" si="121"/>
        <v>0</v>
      </c>
      <c r="Z648" s="434"/>
      <c r="AB648" s="431"/>
      <c r="AC648" s="599"/>
      <c r="AD648" s="599"/>
      <c r="AE648" s="599"/>
      <c r="AF648" s="599"/>
      <c r="AG648" s="599"/>
      <c r="AH648" s="599"/>
      <c r="AI648" s="599"/>
      <c r="AJ648" s="599"/>
      <c r="AK648" s="599"/>
      <c r="AL648" s="599"/>
      <c r="AM648" s="432"/>
      <c r="AO648">
        <f ca="1">IF($A648="S",IF(BM!$I648=0,0,CHOOSE(MATCH(RegimeExecucao,{"Global","Unitário"},0),ROUND(ROUND(BM.MEDAcumulado,15-13*BM!$A$9)/100*BM!$I648,15-13*ORÇAMENTO!$AF$11),ROUND(ROUND(BM.MEDAcumulado,15-13*BM!$A$9)*ROUND(BM!$H648,15-13*ORÇAMENTO!$AF$10),15-13*ORÇAMENTO!$AF$11))),IF($A648=0,0,ROUND(SomaAgrupBM,15-13*ORÇAMENTO!$AF$11)))</f>
        <v>0</v>
      </c>
    </row>
    <row r="649" spans="1:41" ht="13.8" x14ac:dyDescent="0.3">
      <c r="A649" t="str">
        <f ca="1">ORÇAMENTO!C649</f>
        <v>S</v>
      </c>
      <c r="B649">
        <f ca="1">ORÇAMENTO!D649</f>
        <v>0</v>
      </c>
      <c r="C649" s="143" t="str">
        <f t="shared" ca="1" si="111"/>
        <v/>
      </c>
      <c r="D649" s="146" t="str">
        <f ca="1">ORÇAMENTO!O649</f>
        <v>-</v>
      </c>
      <c r="E649" s="206" t="str">
        <f t="shared" ca="1" si="112"/>
        <v>(abra o arquivo 'Referência 05-2024.xls)</v>
      </c>
      <c r="F649" s="207" t="str">
        <f t="shared" ca="1" si="113"/>
        <v>-</v>
      </c>
      <c r="G649" s="151">
        <f ca="1">IF(RegimeExecucao="Global","",ORÇAMENTO!T649)</f>
        <v>2</v>
      </c>
      <c r="H649" s="151">
        <f ca="1">IF(RegimeExecucao="Global","",ORÇAMENTO!W649)</f>
        <v>0</v>
      </c>
      <c r="I649" s="154">
        <f ca="1">ORÇAMENTO!X649</f>
        <v>0</v>
      </c>
      <c r="J649" s="427">
        <f t="shared" ca="1" si="114"/>
        <v>0</v>
      </c>
      <c r="K649" s="151">
        <f t="shared" ca="1" si="115"/>
        <v>0</v>
      </c>
      <c r="L649" s="428">
        <f t="shared" ca="1" si="116"/>
        <v>0</v>
      </c>
      <c r="M649" s="429">
        <f ca="1">IF($A649="S",VTOTALBM,IF($A649=0,0,ROUND(SomaAgrupBM,15-13*ORÇAMENTO!$AF$11)))</f>
        <v>0</v>
      </c>
      <c r="N649" s="430">
        <f t="shared" ca="1" si="117"/>
        <v>0</v>
      </c>
      <c r="O649" s="154">
        <f ca="1">IF($A649="S",VTOTALBM,IF($A649=0,0,ROUND(SomaAgrupBM,15-13*ORÇAMENTO!$AF$11)))</f>
        <v>0</v>
      </c>
      <c r="Q649" s="431"/>
      <c r="R649" s="432"/>
      <c r="T649" s="146" t="str">
        <f t="shared" ca="1" si="118"/>
        <v/>
      </c>
      <c r="U649" s="206" t="str">
        <f t="shared" ca="1" si="119"/>
        <v/>
      </c>
      <c r="V649" s="207" t="str">
        <f t="shared" ca="1" si="120"/>
        <v/>
      </c>
      <c r="W649" s="634">
        <f ca="1">IF($Y649&gt;0,CHOOSE(MATCH(RegimeExecucao,{"Unitário","Global"},0),IF($A649="S",$Y649/$X649,""),($Y649/$X649)*100),0)</f>
        <v>0</v>
      </c>
      <c r="X649" s="433" t="str">
        <f ca="1">IF($Y649&gt;0,CHOOSE(MATCH(RegimeExecucao,{"Unitário","Global"},0),IF($A649="S",ROUND($H649,ORÇAMENTO!$AF$10),""),ROUND($I649,ORÇAMENTO!$AF$11)),"")</f>
        <v/>
      </c>
      <c r="Y649" s="433">
        <f t="shared" ca="1" si="121"/>
        <v>0</v>
      </c>
      <c r="Z649" s="434"/>
      <c r="AB649" s="431"/>
      <c r="AC649" s="599"/>
      <c r="AD649" s="599"/>
      <c r="AE649" s="599"/>
      <c r="AF649" s="599"/>
      <c r="AG649" s="599"/>
      <c r="AH649" s="599"/>
      <c r="AI649" s="599"/>
      <c r="AJ649" s="599"/>
      <c r="AK649" s="599"/>
      <c r="AL649" s="599"/>
      <c r="AM649" s="432"/>
      <c r="AO649">
        <f ca="1">IF($A649="S",IF(BM!$I649=0,0,CHOOSE(MATCH(RegimeExecucao,{"Global","Unitário"},0),ROUND(ROUND(BM.MEDAcumulado,15-13*BM!$A$9)/100*BM!$I649,15-13*ORÇAMENTO!$AF$11),ROUND(ROUND(BM.MEDAcumulado,15-13*BM!$A$9)*ROUND(BM!$H649,15-13*ORÇAMENTO!$AF$10),15-13*ORÇAMENTO!$AF$11))),IF($A649=0,0,ROUND(SomaAgrupBM,15-13*ORÇAMENTO!$AF$11)))</f>
        <v>0</v>
      </c>
    </row>
    <row r="650" spans="1:41" ht="13.8" x14ac:dyDescent="0.3">
      <c r="A650">
        <f ca="1">ORÇAMENTO!C650</f>
        <v>3</v>
      </c>
      <c r="B650">
        <f ca="1">ORÇAMENTO!D650</f>
        <v>7</v>
      </c>
      <c r="C650" s="143" t="str">
        <f t="shared" ref="C650:C707" ca="1" si="122">IF(OR($I650&gt;0,$A650=1,$A650=2,$A650=3,$A650=4),"F","")</f>
        <v>F</v>
      </c>
      <c r="D650" s="146" t="str">
        <f ca="1">ORÇAMENTO!O650</f>
        <v>1.20.5.</v>
      </c>
      <c r="E650" s="206" t="str">
        <f t="shared" ref="E650:E707" si="123">ORÇAMENTO.Descricao</f>
        <v>CAIXAS E ACESSÓRIOS</v>
      </c>
      <c r="F650" s="207" t="str">
        <f t="shared" ref="F650:F707" ca="1" si="124">IF(RegimeExecucao="Global","",ORÇAMENTO.Unidade)</f>
        <v>-</v>
      </c>
      <c r="G650" s="151">
        <f ca="1">IF(RegimeExecucao="Global","",ORÇAMENTO!T650)</f>
        <v>0</v>
      </c>
      <c r="H650" s="151">
        <f ca="1">IF(RegimeExecucao="Global","",ORÇAMENTO!W650)</f>
        <v>0</v>
      </c>
      <c r="I650" s="154">
        <f ca="1">ORÇAMENTO!X650</f>
        <v>0</v>
      </c>
      <c r="J650" s="427">
        <f t="shared" ref="J650:J707" ca="1" si="125">IF($A650="S",IF(CAIXA.Modo,BM.AFAnterior,BM.MEDAnterior),IF(AND(RegimeExecucao="Global",$I650&gt;0,COUNTIF($AB$13:$AM$13,BM.medicao-1)&gt;0),M650/$I650*100,0))</f>
        <v>0</v>
      </c>
      <c r="K650" s="151">
        <f t="shared" ref="K650:K707" ca="1" si="126">L650-J650</f>
        <v>0</v>
      </c>
      <c r="L650" s="428">
        <f t="shared" ref="L650:L707" ca="1" si="127">IF($A650="S",IF(CAIXA.Modo,BM.AFAcumulado,BM.MEDAcumulado),IF(AND(RegimeExecucao="Global",$I650&gt;0,COUNTIF($AB$13:$AM$13,BM.medicao)&gt;0),O650/$I650*100,0))</f>
        <v>0</v>
      </c>
      <c r="M650" s="429">
        <f ca="1">IF($A650="S",VTOTALBM,IF($A650=0,0,ROUND(SomaAgrupBM,15-13*ORÇAMENTO!$AF$11)))</f>
        <v>0</v>
      </c>
      <c r="N650" s="430">
        <f t="shared" ref="N650:N707" ca="1" si="128">O650-M650</f>
        <v>0</v>
      </c>
      <c r="O650" s="154">
        <f ca="1">IF($A650="S",VTOTALBM,IF($A650=0,0,ROUND(SomaAgrupBM,15-13*ORÇAMENTO!$AF$11)))</f>
        <v>0</v>
      </c>
      <c r="Q650" s="431"/>
      <c r="R650" s="432"/>
      <c r="T650" s="146" t="str">
        <f t="shared" ref="T650:T707" ca="1" si="129">IF($W650&gt;0,$D650,"")</f>
        <v/>
      </c>
      <c r="U650" s="206" t="str">
        <f t="shared" ref="U650:U707" ca="1" si="130">IF($W650&gt;0,$E650,"")</f>
        <v/>
      </c>
      <c r="V650" s="207" t="str">
        <f t="shared" ref="V650:V707" ca="1" si="131">IF(AND($W650&gt;0,RegimeExecucao="Unitário"),$F650,"")</f>
        <v/>
      </c>
      <c r="W650" s="634">
        <f ca="1">IF($Y650&gt;0,CHOOSE(MATCH(RegimeExecucao,{"Unitário","Global"},0),IF($A650="S",$Y650/$X650,""),($Y650/$X650)*100),0)</f>
        <v>0</v>
      </c>
      <c r="X650" s="433" t="str">
        <f ca="1">IF($Y650&gt;0,CHOOSE(MATCH(RegimeExecucao,{"Unitário","Global"},0),IF($A650="S",ROUND($H650,ORÇAMENTO!$AF$10),""),ROUND($I650,ORÇAMENTO!$AF$11)),"")</f>
        <v/>
      </c>
      <c r="Y650" s="433">
        <f t="shared" ref="Y650:Y707" ca="1" si="132">AO650-O650</f>
        <v>0</v>
      </c>
      <c r="Z650" s="434"/>
      <c r="AB650" s="431"/>
      <c r="AC650" s="599"/>
      <c r="AD650" s="599"/>
      <c r="AE650" s="599"/>
      <c r="AF650" s="599"/>
      <c r="AG650" s="599"/>
      <c r="AH650" s="599"/>
      <c r="AI650" s="599"/>
      <c r="AJ650" s="599"/>
      <c r="AK650" s="599"/>
      <c r="AL650" s="599"/>
      <c r="AM650" s="432"/>
      <c r="AO650">
        <f ca="1">IF($A650="S",IF(BM!$I650=0,0,CHOOSE(MATCH(RegimeExecucao,{"Global","Unitário"},0),ROUND(ROUND(BM.MEDAcumulado,15-13*BM!$A$9)/100*BM!$I650,15-13*ORÇAMENTO!$AF$11),ROUND(ROUND(BM.MEDAcumulado,15-13*BM!$A$9)*ROUND(BM!$H650,15-13*ORÇAMENTO!$AF$10),15-13*ORÇAMENTO!$AF$11))),IF($A650=0,0,ROUND(SomaAgrupBM,15-13*ORÇAMENTO!$AF$11)))</f>
        <v>0</v>
      </c>
    </row>
    <row r="651" spans="1:41" ht="13.8" x14ac:dyDescent="0.3">
      <c r="A651" t="str">
        <f ca="1">ORÇAMENTO!C651</f>
        <v>S</v>
      </c>
      <c r="B651">
        <f ca="1">ORÇAMENTO!D651</f>
        <v>0</v>
      </c>
      <c r="C651" s="143" t="str">
        <f t="shared" ca="1" si="122"/>
        <v/>
      </c>
      <c r="D651" s="146" t="str">
        <f ca="1">ORÇAMENTO!O651</f>
        <v>-</v>
      </c>
      <c r="E651" s="206" t="str">
        <f t="shared" ca="1" si="123"/>
        <v>(abra o arquivo 'Referência 05-2024.xls)</v>
      </c>
      <c r="F651" s="207" t="str">
        <f t="shared" ca="1" si="124"/>
        <v>-</v>
      </c>
      <c r="G651" s="151">
        <f ca="1">IF(RegimeExecucao="Global","",ORÇAMENTO!T651)</f>
        <v>1</v>
      </c>
      <c r="H651" s="151">
        <f ca="1">IF(RegimeExecucao="Global","",ORÇAMENTO!W651)</f>
        <v>0</v>
      </c>
      <c r="I651" s="154">
        <f ca="1">ORÇAMENTO!X651</f>
        <v>0</v>
      </c>
      <c r="J651" s="427">
        <f t="shared" ca="1" si="125"/>
        <v>0</v>
      </c>
      <c r="K651" s="151">
        <f t="shared" ca="1" si="126"/>
        <v>0</v>
      </c>
      <c r="L651" s="428">
        <f t="shared" ca="1" si="127"/>
        <v>0</v>
      </c>
      <c r="M651" s="429">
        <f ca="1">IF($A651="S",VTOTALBM,IF($A651=0,0,ROUND(SomaAgrupBM,15-13*ORÇAMENTO!$AF$11)))</f>
        <v>0</v>
      </c>
      <c r="N651" s="430">
        <f t="shared" ca="1" si="128"/>
        <v>0</v>
      </c>
      <c r="O651" s="154">
        <f ca="1">IF($A651="S",VTOTALBM,IF($A651=0,0,ROUND(SomaAgrupBM,15-13*ORÇAMENTO!$AF$11)))</f>
        <v>0</v>
      </c>
      <c r="Q651" s="431"/>
      <c r="R651" s="432"/>
      <c r="T651" s="146" t="str">
        <f t="shared" ca="1" si="129"/>
        <v/>
      </c>
      <c r="U651" s="206" t="str">
        <f t="shared" ca="1" si="130"/>
        <v/>
      </c>
      <c r="V651" s="207" t="str">
        <f t="shared" ca="1" si="131"/>
        <v/>
      </c>
      <c r="W651" s="634">
        <f ca="1">IF($Y651&gt;0,CHOOSE(MATCH(RegimeExecucao,{"Unitário","Global"},0),IF($A651="S",$Y651/$X651,""),($Y651/$X651)*100),0)</f>
        <v>0</v>
      </c>
      <c r="X651" s="433" t="str">
        <f ca="1">IF($Y651&gt;0,CHOOSE(MATCH(RegimeExecucao,{"Unitário","Global"},0),IF($A651="S",ROUND($H651,ORÇAMENTO!$AF$10),""),ROUND($I651,ORÇAMENTO!$AF$11)),"")</f>
        <v/>
      </c>
      <c r="Y651" s="433">
        <f t="shared" ca="1" si="132"/>
        <v>0</v>
      </c>
      <c r="Z651" s="434"/>
      <c r="AB651" s="431"/>
      <c r="AC651" s="599"/>
      <c r="AD651" s="599"/>
      <c r="AE651" s="599"/>
      <c r="AF651" s="599"/>
      <c r="AG651" s="599"/>
      <c r="AH651" s="599"/>
      <c r="AI651" s="599"/>
      <c r="AJ651" s="599"/>
      <c r="AK651" s="599"/>
      <c r="AL651" s="599"/>
      <c r="AM651" s="432"/>
      <c r="AO651">
        <f ca="1">IF($A651="S",IF(BM!$I651=0,0,CHOOSE(MATCH(RegimeExecucao,{"Global","Unitário"},0),ROUND(ROUND(BM.MEDAcumulado,15-13*BM!$A$9)/100*BM!$I651,15-13*ORÇAMENTO!$AF$11),ROUND(ROUND(BM.MEDAcumulado,15-13*BM!$A$9)*ROUND(BM!$H651,15-13*ORÇAMENTO!$AF$10),15-13*ORÇAMENTO!$AF$11))),IF($A651=0,0,ROUND(SomaAgrupBM,15-13*ORÇAMENTO!$AF$11)))</f>
        <v>0</v>
      </c>
    </row>
    <row r="652" spans="1:41" ht="13.8" x14ac:dyDescent="0.3">
      <c r="A652" t="str">
        <f ca="1">ORÇAMENTO!C652</f>
        <v>S</v>
      </c>
      <c r="B652">
        <f ca="1">ORÇAMENTO!D652</f>
        <v>0</v>
      </c>
      <c r="C652" s="143" t="str">
        <f t="shared" ca="1" si="122"/>
        <v/>
      </c>
      <c r="D652" s="146" t="str">
        <f ca="1">ORÇAMENTO!O652</f>
        <v>-</v>
      </c>
      <c r="E652" s="206" t="str">
        <f t="shared" ca="1" si="123"/>
        <v>(abra o arquivo 'Referência 05-2024.xls)</v>
      </c>
      <c r="F652" s="207" t="str">
        <f t="shared" ca="1" si="124"/>
        <v>-</v>
      </c>
      <c r="G652" s="151">
        <f ca="1">IF(RegimeExecucao="Global","",ORÇAMENTO!T652)</f>
        <v>5</v>
      </c>
      <c r="H652" s="151">
        <f ca="1">IF(RegimeExecucao="Global","",ORÇAMENTO!W652)</f>
        <v>0</v>
      </c>
      <c r="I652" s="154">
        <f ca="1">ORÇAMENTO!X652</f>
        <v>0</v>
      </c>
      <c r="J652" s="427">
        <f t="shared" ca="1" si="125"/>
        <v>0</v>
      </c>
      <c r="K652" s="151">
        <f t="shared" ca="1" si="126"/>
        <v>0</v>
      </c>
      <c r="L652" s="428">
        <f t="shared" ca="1" si="127"/>
        <v>0</v>
      </c>
      <c r="M652" s="429">
        <f ca="1">IF($A652="S",VTOTALBM,IF($A652=0,0,ROUND(SomaAgrupBM,15-13*ORÇAMENTO!$AF$11)))</f>
        <v>0</v>
      </c>
      <c r="N652" s="430">
        <f t="shared" ca="1" si="128"/>
        <v>0</v>
      </c>
      <c r="O652" s="154">
        <f ca="1">IF($A652="S",VTOTALBM,IF($A652=0,0,ROUND(SomaAgrupBM,15-13*ORÇAMENTO!$AF$11)))</f>
        <v>0</v>
      </c>
      <c r="Q652" s="431"/>
      <c r="R652" s="432"/>
      <c r="T652" s="146" t="str">
        <f t="shared" ca="1" si="129"/>
        <v/>
      </c>
      <c r="U652" s="206" t="str">
        <f t="shared" ca="1" si="130"/>
        <v/>
      </c>
      <c r="V652" s="207" t="str">
        <f t="shared" ca="1" si="131"/>
        <v/>
      </c>
      <c r="W652" s="634">
        <f ca="1">IF($Y652&gt;0,CHOOSE(MATCH(RegimeExecucao,{"Unitário","Global"},0),IF($A652="S",$Y652/$X652,""),($Y652/$X652)*100),0)</f>
        <v>0</v>
      </c>
      <c r="X652" s="433" t="str">
        <f ca="1">IF($Y652&gt;0,CHOOSE(MATCH(RegimeExecucao,{"Unitário","Global"},0),IF($A652="S",ROUND($H652,ORÇAMENTO!$AF$10),""),ROUND($I652,ORÇAMENTO!$AF$11)),"")</f>
        <v/>
      </c>
      <c r="Y652" s="433">
        <f t="shared" ca="1" si="132"/>
        <v>0</v>
      </c>
      <c r="Z652" s="434"/>
      <c r="AB652" s="431"/>
      <c r="AC652" s="599"/>
      <c r="AD652" s="599"/>
      <c r="AE652" s="599"/>
      <c r="AF652" s="599"/>
      <c r="AG652" s="599"/>
      <c r="AH652" s="599"/>
      <c r="AI652" s="599"/>
      <c r="AJ652" s="599"/>
      <c r="AK652" s="599"/>
      <c r="AL652" s="599"/>
      <c r="AM652" s="432"/>
      <c r="AO652">
        <f ca="1">IF($A652="S",IF(BM!$I652=0,0,CHOOSE(MATCH(RegimeExecucao,{"Global","Unitário"},0),ROUND(ROUND(BM.MEDAcumulado,15-13*BM!$A$9)/100*BM!$I652,15-13*ORÇAMENTO!$AF$11),ROUND(ROUND(BM.MEDAcumulado,15-13*BM!$A$9)*ROUND(BM!$H652,15-13*ORÇAMENTO!$AF$10),15-13*ORÇAMENTO!$AF$11))),IF($A652=0,0,ROUND(SomaAgrupBM,15-13*ORÇAMENTO!$AF$11)))</f>
        <v>0</v>
      </c>
    </row>
    <row r="653" spans="1:41" ht="13.8" x14ac:dyDescent="0.3">
      <c r="A653" t="str">
        <f ca="1">ORÇAMENTO!C653</f>
        <v>S</v>
      </c>
      <c r="B653">
        <f ca="1">ORÇAMENTO!D653</f>
        <v>0</v>
      </c>
      <c r="C653" s="143" t="str">
        <f t="shared" ca="1" si="122"/>
        <v/>
      </c>
      <c r="D653" s="146" t="str">
        <f ca="1">ORÇAMENTO!O653</f>
        <v>-</v>
      </c>
      <c r="E653" s="206" t="str">
        <f t="shared" ca="1" si="123"/>
        <v>(abra o arquivo 'Referência 05-2024.xls)</v>
      </c>
      <c r="F653" s="207" t="str">
        <f t="shared" ca="1" si="124"/>
        <v>-</v>
      </c>
      <c r="G653" s="151">
        <f ca="1">IF(RegimeExecucao="Global","",ORÇAMENTO!T653)</f>
        <v>2</v>
      </c>
      <c r="H653" s="151">
        <f ca="1">IF(RegimeExecucao="Global","",ORÇAMENTO!W653)</f>
        <v>0</v>
      </c>
      <c r="I653" s="154">
        <f ca="1">ORÇAMENTO!X653</f>
        <v>0</v>
      </c>
      <c r="J653" s="427">
        <f t="shared" ca="1" si="125"/>
        <v>0</v>
      </c>
      <c r="K653" s="151">
        <f t="shared" ca="1" si="126"/>
        <v>0</v>
      </c>
      <c r="L653" s="428">
        <f t="shared" ca="1" si="127"/>
        <v>0</v>
      </c>
      <c r="M653" s="429">
        <f ca="1">IF($A653="S",VTOTALBM,IF($A653=0,0,ROUND(SomaAgrupBM,15-13*ORÇAMENTO!$AF$11)))</f>
        <v>0</v>
      </c>
      <c r="N653" s="430">
        <f t="shared" ca="1" si="128"/>
        <v>0</v>
      </c>
      <c r="O653" s="154">
        <f ca="1">IF($A653="S",VTOTALBM,IF($A653=0,0,ROUND(SomaAgrupBM,15-13*ORÇAMENTO!$AF$11)))</f>
        <v>0</v>
      </c>
      <c r="Q653" s="431"/>
      <c r="R653" s="432"/>
      <c r="T653" s="146" t="str">
        <f t="shared" ca="1" si="129"/>
        <v/>
      </c>
      <c r="U653" s="206" t="str">
        <f t="shared" ca="1" si="130"/>
        <v/>
      </c>
      <c r="V653" s="207" t="str">
        <f t="shared" ca="1" si="131"/>
        <v/>
      </c>
      <c r="W653" s="634">
        <f ca="1">IF($Y653&gt;0,CHOOSE(MATCH(RegimeExecucao,{"Unitário","Global"},0),IF($A653="S",$Y653/$X653,""),($Y653/$X653)*100),0)</f>
        <v>0</v>
      </c>
      <c r="X653" s="433" t="str">
        <f ca="1">IF($Y653&gt;0,CHOOSE(MATCH(RegimeExecucao,{"Unitário","Global"},0),IF($A653="S",ROUND($H653,ORÇAMENTO!$AF$10),""),ROUND($I653,ORÇAMENTO!$AF$11)),"")</f>
        <v/>
      </c>
      <c r="Y653" s="433">
        <f t="shared" ca="1" si="132"/>
        <v>0</v>
      </c>
      <c r="Z653" s="434"/>
      <c r="AB653" s="431"/>
      <c r="AC653" s="599"/>
      <c r="AD653" s="599"/>
      <c r="AE653" s="599"/>
      <c r="AF653" s="599"/>
      <c r="AG653" s="599"/>
      <c r="AH653" s="599"/>
      <c r="AI653" s="599"/>
      <c r="AJ653" s="599"/>
      <c r="AK653" s="599"/>
      <c r="AL653" s="599"/>
      <c r="AM653" s="432"/>
      <c r="AO653">
        <f ca="1">IF($A653="S",IF(BM!$I653=0,0,CHOOSE(MATCH(RegimeExecucao,{"Global","Unitário"},0),ROUND(ROUND(BM.MEDAcumulado,15-13*BM!$A$9)/100*BM!$I653,15-13*ORÇAMENTO!$AF$11),ROUND(ROUND(BM.MEDAcumulado,15-13*BM!$A$9)*ROUND(BM!$H653,15-13*ORÇAMENTO!$AF$10),15-13*ORÇAMENTO!$AF$11))),IF($A653=0,0,ROUND(SomaAgrupBM,15-13*ORÇAMENTO!$AF$11)))</f>
        <v>0</v>
      </c>
    </row>
    <row r="654" spans="1:41" ht="13.8" x14ac:dyDescent="0.3">
      <c r="A654" t="str">
        <f ca="1">ORÇAMENTO!C654</f>
        <v>S</v>
      </c>
      <c r="B654">
        <f ca="1">ORÇAMENTO!D654</f>
        <v>0</v>
      </c>
      <c r="C654" s="143" t="str">
        <f t="shared" ca="1" si="122"/>
        <v/>
      </c>
      <c r="D654" s="146" t="str">
        <f ca="1">ORÇAMENTO!O654</f>
        <v>-</v>
      </c>
      <c r="E654" s="206" t="str">
        <f t="shared" ca="1" si="123"/>
        <v>(abra o arquivo 'Referência 05-2024.xls)</v>
      </c>
      <c r="F654" s="207" t="str">
        <f t="shared" ca="1" si="124"/>
        <v>-</v>
      </c>
      <c r="G654" s="151">
        <f ca="1">IF(RegimeExecucao="Global","",ORÇAMENTO!T654)</f>
        <v>3</v>
      </c>
      <c r="H654" s="151">
        <f ca="1">IF(RegimeExecucao="Global","",ORÇAMENTO!W654)</f>
        <v>0</v>
      </c>
      <c r="I654" s="154">
        <f ca="1">ORÇAMENTO!X654</f>
        <v>0</v>
      </c>
      <c r="J654" s="427">
        <f t="shared" ca="1" si="125"/>
        <v>0</v>
      </c>
      <c r="K654" s="151">
        <f t="shared" ca="1" si="126"/>
        <v>0</v>
      </c>
      <c r="L654" s="428">
        <f t="shared" ca="1" si="127"/>
        <v>0</v>
      </c>
      <c r="M654" s="429">
        <f ca="1">IF($A654="S",VTOTALBM,IF($A654=0,0,ROUND(SomaAgrupBM,15-13*ORÇAMENTO!$AF$11)))</f>
        <v>0</v>
      </c>
      <c r="N654" s="430">
        <f t="shared" ca="1" si="128"/>
        <v>0</v>
      </c>
      <c r="O654" s="154">
        <f ca="1">IF($A654="S",VTOTALBM,IF($A654=0,0,ROUND(SomaAgrupBM,15-13*ORÇAMENTO!$AF$11)))</f>
        <v>0</v>
      </c>
      <c r="Q654" s="431"/>
      <c r="R654" s="432"/>
      <c r="T654" s="146" t="str">
        <f t="shared" ca="1" si="129"/>
        <v/>
      </c>
      <c r="U654" s="206" t="str">
        <f t="shared" ca="1" si="130"/>
        <v/>
      </c>
      <c r="V654" s="207" t="str">
        <f t="shared" ca="1" si="131"/>
        <v/>
      </c>
      <c r="W654" s="634">
        <f ca="1">IF($Y654&gt;0,CHOOSE(MATCH(RegimeExecucao,{"Unitário","Global"},0),IF($A654="S",$Y654/$X654,""),($Y654/$X654)*100),0)</f>
        <v>0</v>
      </c>
      <c r="X654" s="433" t="str">
        <f ca="1">IF($Y654&gt;0,CHOOSE(MATCH(RegimeExecucao,{"Unitário","Global"},0),IF($A654="S",ROUND($H654,ORÇAMENTO!$AF$10),""),ROUND($I654,ORÇAMENTO!$AF$11)),"")</f>
        <v/>
      </c>
      <c r="Y654" s="433">
        <f t="shared" ca="1" si="132"/>
        <v>0</v>
      </c>
      <c r="Z654" s="434"/>
      <c r="AB654" s="431"/>
      <c r="AC654" s="599"/>
      <c r="AD654" s="599"/>
      <c r="AE654" s="599"/>
      <c r="AF654" s="599"/>
      <c r="AG654" s="599"/>
      <c r="AH654" s="599"/>
      <c r="AI654" s="599"/>
      <c r="AJ654" s="599"/>
      <c r="AK654" s="599"/>
      <c r="AL654" s="599"/>
      <c r="AM654" s="432"/>
      <c r="AO654">
        <f ca="1">IF($A654="S",IF(BM!$I654=0,0,CHOOSE(MATCH(RegimeExecucao,{"Global","Unitário"},0),ROUND(ROUND(BM.MEDAcumulado,15-13*BM!$A$9)/100*BM!$I654,15-13*ORÇAMENTO!$AF$11),ROUND(ROUND(BM.MEDAcumulado,15-13*BM!$A$9)*ROUND(BM!$H654,15-13*ORÇAMENTO!$AF$10),15-13*ORÇAMENTO!$AF$11))),IF($A654=0,0,ROUND(SomaAgrupBM,15-13*ORÇAMENTO!$AF$11)))</f>
        <v>0</v>
      </c>
    </row>
    <row r="655" spans="1:41" ht="13.8" x14ac:dyDescent="0.3">
      <c r="A655" t="str">
        <f ca="1">ORÇAMENTO!C655</f>
        <v>S</v>
      </c>
      <c r="B655">
        <f ca="1">ORÇAMENTO!D655</f>
        <v>0</v>
      </c>
      <c r="C655" s="143" t="str">
        <f t="shared" ca="1" si="122"/>
        <v/>
      </c>
      <c r="D655" s="146" t="str">
        <f ca="1">ORÇAMENTO!O655</f>
        <v>-</v>
      </c>
      <c r="E655" s="206" t="str">
        <f t="shared" ca="1" si="123"/>
        <v>(abra o arquivo 'Referência 05-2024.xls)</v>
      </c>
      <c r="F655" s="207" t="str">
        <f t="shared" ca="1" si="124"/>
        <v>-</v>
      </c>
      <c r="G655" s="151">
        <f ca="1">IF(RegimeExecucao="Global","",ORÇAMENTO!T655)</f>
        <v>1</v>
      </c>
      <c r="H655" s="151">
        <f ca="1">IF(RegimeExecucao="Global","",ORÇAMENTO!W655)</f>
        <v>0</v>
      </c>
      <c r="I655" s="154">
        <f ca="1">ORÇAMENTO!X655</f>
        <v>0</v>
      </c>
      <c r="J655" s="427">
        <f t="shared" ca="1" si="125"/>
        <v>0</v>
      </c>
      <c r="K655" s="151">
        <f t="shared" ca="1" si="126"/>
        <v>0</v>
      </c>
      <c r="L655" s="428">
        <f t="shared" ca="1" si="127"/>
        <v>0</v>
      </c>
      <c r="M655" s="429">
        <f ca="1">IF($A655="S",VTOTALBM,IF($A655=0,0,ROUND(SomaAgrupBM,15-13*ORÇAMENTO!$AF$11)))</f>
        <v>0</v>
      </c>
      <c r="N655" s="430">
        <f t="shared" ca="1" si="128"/>
        <v>0</v>
      </c>
      <c r="O655" s="154">
        <f ca="1">IF($A655="S",VTOTALBM,IF($A655=0,0,ROUND(SomaAgrupBM,15-13*ORÇAMENTO!$AF$11)))</f>
        <v>0</v>
      </c>
      <c r="Q655" s="431"/>
      <c r="R655" s="432"/>
      <c r="T655" s="146" t="str">
        <f t="shared" ca="1" si="129"/>
        <v/>
      </c>
      <c r="U655" s="206" t="str">
        <f t="shared" ca="1" si="130"/>
        <v/>
      </c>
      <c r="V655" s="207" t="str">
        <f t="shared" ca="1" si="131"/>
        <v/>
      </c>
      <c r="W655" s="634">
        <f ca="1">IF($Y655&gt;0,CHOOSE(MATCH(RegimeExecucao,{"Unitário","Global"},0),IF($A655="S",$Y655/$X655,""),($Y655/$X655)*100),0)</f>
        <v>0</v>
      </c>
      <c r="X655" s="433" t="str">
        <f ca="1">IF($Y655&gt;0,CHOOSE(MATCH(RegimeExecucao,{"Unitário","Global"},0),IF($A655="S",ROUND($H655,ORÇAMENTO!$AF$10),""),ROUND($I655,ORÇAMENTO!$AF$11)),"")</f>
        <v/>
      </c>
      <c r="Y655" s="433">
        <f t="shared" ca="1" si="132"/>
        <v>0</v>
      </c>
      <c r="Z655" s="434"/>
      <c r="AB655" s="431"/>
      <c r="AC655" s="599"/>
      <c r="AD655" s="599"/>
      <c r="AE655" s="599"/>
      <c r="AF655" s="599"/>
      <c r="AG655" s="599"/>
      <c r="AH655" s="599"/>
      <c r="AI655" s="599"/>
      <c r="AJ655" s="599"/>
      <c r="AK655" s="599"/>
      <c r="AL655" s="599"/>
      <c r="AM655" s="432"/>
      <c r="AO655">
        <f ca="1">IF($A655="S",IF(BM!$I655=0,0,CHOOSE(MATCH(RegimeExecucao,{"Global","Unitário"},0),ROUND(ROUND(BM.MEDAcumulado,15-13*BM!$A$9)/100*BM!$I655,15-13*ORÇAMENTO!$AF$11),ROUND(ROUND(BM.MEDAcumulado,15-13*BM!$A$9)*ROUND(BM!$H655,15-13*ORÇAMENTO!$AF$10),15-13*ORÇAMENTO!$AF$11))),IF($A655=0,0,ROUND(SomaAgrupBM,15-13*ORÇAMENTO!$AF$11)))</f>
        <v>0</v>
      </c>
    </row>
    <row r="656" spans="1:41" ht="13.8" x14ac:dyDescent="0.3">
      <c r="A656" t="str">
        <f ca="1">ORÇAMENTO!C656</f>
        <v>S</v>
      </c>
      <c r="B656">
        <f ca="1">ORÇAMENTO!D656</f>
        <v>0</v>
      </c>
      <c r="C656" s="143" t="str">
        <f t="shared" ca="1" si="122"/>
        <v/>
      </c>
      <c r="D656" s="146" t="str">
        <f ca="1">ORÇAMENTO!O656</f>
        <v>-</v>
      </c>
      <c r="E656" s="206" t="str">
        <f t="shared" ca="1" si="123"/>
        <v>(abra o arquivo 'Referência 05-2024.xls)</v>
      </c>
      <c r="F656" s="207" t="str">
        <f t="shared" ca="1" si="124"/>
        <v>-</v>
      </c>
      <c r="G656" s="151">
        <f ca="1">IF(RegimeExecucao="Global","",ORÇAMENTO!T656)</f>
        <v>1</v>
      </c>
      <c r="H656" s="151">
        <f ca="1">IF(RegimeExecucao="Global","",ORÇAMENTO!W656)</f>
        <v>0</v>
      </c>
      <c r="I656" s="154">
        <f ca="1">ORÇAMENTO!X656</f>
        <v>0</v>
      </c>
      <c r="J656" s="427">
        <f t="shared" ca="1" si="125"/>
        <v>0</v>
      </c>
      <c r="K656" s="151">
        <f t="shared" ca="1" si="126"/>
        <v>0</v>
      </c>
      <c r="L656" s="428">
        <f t="shared" ca="1" si="127"/>
        <v>0</v>
      </c>
      <c r="M656" s="429">
        <f ca="1">IF($A656="S",VTOTALBM,IF($A656=0,0,ROUND(SomaAgrupBM,15-13*ORÇAMENTO!$AF$11)))</f>
        <v>0</v>
      </c>
      <c r="N656" s="430">
        <f t="shared" ca="1" si="128"/>
        <v>0</v>
      </c>
      <c r="O656" s="154">
        <f ca="1">IF($A656="S",VTOTALBM,IF($A656=0,0,ROUND(SomaAgrupBM,15-13*ORÇAMENTO!$AF$11)))</f>
        <v>0</v>
      </c>
      <c r="Q656" s="431"/>
      <c r="R656" s="432"/>
      <c r="T656" s="146" t="str">
        <f t="shared" ca="1" si="129"/>
        <v/>
      </c>
      <c r="U656" s="206" t="str">
        <f t="shared" ca="1" si="130"/>
        <v/>
      </c>
      <c r="V656" s="207" t="str">
        <f t="shared" ca="1" si="131"/>
        <v/>
      </c>
      <c r="W656" s="634">
        <f ca="1">IF($Y656&gt;0,CHOOSE(MATCH(RegimeExecucao,{"Unitário","Global"},0),IF($A656="S",$Y656/$X656,""),($Y656/$X656)*100),0)</f>
        <v>0</v>
      </c>
      <c r="X656" s="433" t="str">
        <f ca="1">IF($Y656&gt;0,CHOOSE(MATCH(RegimeExecucao,{"Unitário","Global"},0),IF($A656="S",ROUND($H656,ORÇAMENTO!$AF$10),""),ROUND($I656,ORÇAMENTO!$AF$11)),"")</f>
        <v/>
      </c>
      <c r="Y656" s="433">
        <f t="shared" ca="1" si="132"/>
        <v>0</v>
      </c>
      <c r="Z656" s="434"/>
      <c r="AB656" s="431"/>
      <c r="AC656" s="599"/>
      <c r="AD656" s="599"/>
      <c r="AE656" s="599"/>
      <c r="AF656" s="599"/>
      <c r="AG656" s="599"/>
      <c r="AH656" s="599"/>
      <c r="AI656" s="599"/>
      <c r="AJ656" s="599"/>
      <c r="AK656" s="599"/>
      <c r="AL656" s="599"/>
      <c r="AM656" s="432"/>
      <c r="AO656">
        <f ca="1">IF($A656="S",IF(BM!$I656=0,0,CHOOSE(MATCH(RegimeExecucao,{"Global","Unitário"},0),ROUND(ROUND(BM.MEDAcumulado,15-13*BM!$A$9)/100*BM!$I656,15-13*ORÇAMENTO!$AF$11),ROUND(ROUND(BM.MEDAcumulado,15-13*BM!$A$9)*ROUND(BM!$H656,15-13*ORÇAMENTO!$AF$10),15-13*ORÇAMENTO!$AF$11))),IF($A656=0,0,ROUND(SomaAgrupBM,15-13*ORÇAMENTO!$AF$11)))</f>
        <v>0</v>
      </c>
    </row>
    <row r="657" spans="1:41" ht="13.8" x14ac:dyDescent="0.3">
      <c r="A657">
        <f ca="1">ORÇAMENTO!C657</f>
        <v>3</v>
      </c>
      <c r="B657">
        <f ca="1">ORÇAMENTO!D657</f>
        <v>11</v>
      </c>
      <c r="C657" s="143" t="str">
        <f t="shared" ca="1" si="122"/>
        <v>F</v>
      </c>
      <c r="D657" s="146" t="str">
        <f ca="1">ORÇAMENTO!O657</f>
        <v>1.20.6.</v>
      </c>
      <c r="E657" s="206" t="str">
        <f t="shared" si="123"/>
        <v>ELETRODUTOS E ACESSÓRIOS</v>
      </c>
      <c r="F657" s="207" t="str">
        <f t="shared" ca="1" si="124"/>
        <v>-</v>
      </c>
      <c r="G657" s="151">
        <f ca="1">IF(RegimeExecucao="Global","",ORÇAMENTO!T657)</f>
        <v>0</v>
      </c>
      <c r="H657" s="151">
        <f ca="1">IF(RegimeExecucao="Global","",ORÇAMENTO!W657)</f>
        <v>0</v>
      </c>
      <c r="I657" s="154">
        <f ca="1">ORÇAMENTO!X657</f>
        <v>0</v>
      </c>
      <c r="J657" s="427">
        <f t="shared" ca="1" si="125"/>
        <v>0</v>
      </c>
      <c r="K657" s="151">
        <f t="shared" ca="1" si="126"/>
        <v>0</v>
      </c>
      <c r="L657" s="428">
        <f t="shared" ca="1" si="127"/>
        <v>0</v>
      </c>
      <c r="M657" s="429">
        <f ca="1">IF($A657="S",VTOTALBM,IF($A657=0,0,ROUND(SomaAgrupBM,15-13*ORÇAMENTO!$AF$11)))</f>
        <v>0</v>
      </c>
      <c r="N657" s="430">
        <f t="shared" ca="1" si="128"/>
        <v>0</v>
      </c>
      <c r="O657" s="154">
        <f ca="1">IF($A657="S",VTOTALBM,IF($A657=0,0,ROUND(SomaAgrupBM,15-13*ORÇAMENTO!$AF$11)))</f>
        <v>0</v>
      </c>
      <c r="Q657" s="431"/>
      <c r="R657" s="432"/>
      <c r="T657" s="146" t="str">
        <f t="shared" ca="1" si="129"/>
        <v/>
      </c>
      <c r="U657" s="206" t="str">
        <f t="shared" ca="1" si="130"/>
        <v/>
      </c>
      <c r="V657" s="207" t="str">
        <f t="shared" ca="1" si="131"/>
        <v/>
      </c>
      <c r="W657" s="634">
        <f ca="1">IF($Y657&gt;0,CHOOSE(MATCH(RegimeExecucao,{"Unitário","Global"},0),IF($A657="S",$Y657/$X657,""),($Y657/$X657)*100),0)</f>
        <v>0</v>
      </c>
      <c r="X657" s="433" t="str">
        <f ca="1">IF($Y657&gt;0,CHOOSE(MATCH(RegimeExecucao,{"Unitário","Global"},0),IF($A657="S",ROUND($H657,ORÇAMENTO!$AF$10),""),ROUND($I657,ORÇAMENTO!$AF$11)),"")</f>
        <v/>
      </c>
      <c r="Y657" s="433">
        <f t="shared" ca="1" si="132"/>
        <v>0</v>
      </c>
      <c r="Z657" s="434"/>
      <c r="AB657" s="431"/>
      <c r="AC657" s="599"/>
      <c r="AD657" s="599"/>
      <c r="AE657" s="599"/>
      <c r="AF657" s="599"/>
      <c r="AG657" s="599"/>
      <c r="AH657" s="599"/>
      <c r="AI657" s="599"/>
      <c r="AJ657" s="599"/>
      <c r="AK657" s="599"/>
      <c r="AL657" s="599"/>
      <c r="AM657" s="432"/>
      <c r="AO657">
        <f ca="1">IF($A657="S",IF(BM!$I657=0,0,CHOOSE(MATCH(RegimeExecucao,{"Global","Unitário"},0),ROUND(ROUND(BM.MEDAcumulado,15-13*BM!$A$9)/100*BM!$I657,15-13*ORÇAMENTO!$AF$11),ROUND(ROUND(BM.MEDAcumulado,15-13*BM!$A$9)*ROUND(BM!$H657,15-13*ORÇAMENTO!$AF$10),15-13*ORÇAMENTO!$AF$11))),IF($A657=0,0,ROUND(SomaAgrupBM,15-13*ORÇAMENTO!$AF$11)))</f>
        <v>0</v>
      </c>
    </row>
    <row r="658" spans="1:41" ht="13.8" x14ac:dyDescent="0.3">
      <c r="A658" t="str">
        <f ca="1">ORÇAMENTO!C658</f>
        <v>S</v>
      </c>
      <c r="B658">
        <f ca="1">ORÇAMENTO!D658</f>
        <v>0</v>
      </c>
      <c r="C658" s="143" t="str">
        <f t="shared" ca="1" si="122"/>
        <v/>
      </c>
      <c r="D658" s="146" t="str">
        <f ca="1">ORÇAMENTO!O658</f>
        <v>-</v>
      </c>
      <c r="E658" s="206" t="str">
        <f t="shared" ca="1" si="123"/>
        <v>(abra o arquivo 'Referência 05-2024.xls)</v>
      </c>
      <c r="F658" s="207" t="str">
        <f t="shared" ca="1" si="124"/>
        <v>-</v>
      </c>
      <c r="G658" s="151">
        <f ca="1">IF(RegimeExecucao="Global","",ORÇAMENTO!T658)</f>
        <v>167.49</v>
      </c>
      <c r="H658" s="151">
        <f ca="1">IF(RegimeExecucao="Global","",ORÇAMENTO!W658)</f>
        <v>0</v>
      </c>
      <c r="I658" s="154">
        <f ca="1">ORÇAMENTO!X658</f>
        <v>0</v>
      </c>
      <c r="J658" s="427">
        <f t="shared" ca="1" si="125"/>
        <v>0</v>
      </c>
      <c r="K658" s="151">
        <f t="shared" ca="1" si="126"/>
        <v>0</v>
      </c>
      <c r="L658" s="428">
        <f t="shared" ca="1" si="127"/>
        <v>0</v>
      </c>
      <c r="M658" s="429">
        <f ca="1">IF($A658="S",VTOTALBM,IF($A658=0,0,ROUND(SomaAgrupBM,15-13*ORÇAMENTO!$AF$11)))</f>
        <v>0</v>
      </c>
      <c r="N658" s="430">
        <f t="shared" ca="1" si="128"/>
        <v>0</v>
      </c>
      <c r="O658" s="154">
        <f ca="1">IF($A658="S",VTOTALBM,IF($A658=0,0,ROUND(SomaAgrupBM,15-13*ORÇAMENTO!$AF$11)))</f>
        <v>0</v>
      </c>
      <c r="Q658" s="431"/>
      <c r="R658" s="432"/>
      <c r="T658" s="146" t="str">
        <f t="shared" ca="1" si="129"/>
        <v/>
      </c>
      <c r="U658" s="206" t="str">
        <f t="shared" ca="1" si="130"/>
        <v/>
      </c>
      <c r="V658" s="207" t="str">
        <f t="shared" ca="1" si="131"/>
        <v/>
      </c>
      <c r="W658" s="634">
        <f ca="1">IF($Y658&gt;0,CHOOSE(MATCH(RegimeExecucao,{"Unitário","Global"},0),IF($A658="S",$Y658/$X658,""),($Y658/$X658)*100),0)</f>
        <v>0</v>
      </c>
      <c r="X658" s="433" t="str">
        <f ca="1">IF($Y658&gt;0,CHOOSE(MATCH(RegimeExecucao,{"Unitário","Global"},0),IF($A658="S",ROUND($H658,ORÇAMENTO!$AF$10),""),ROUND($I658,ORÇAMENTO!$AF$11)),"")</f>
        <v/>
      </c>
      <c r="Y658" s="433">
        <f t="shared" ca="1" si="132"/>
        <v>0</v>
      </c>
      <c r="Z658" s="434"/>
      <c r="AB658" s="431"/>
      <c r="AC658" s="599"/>
      <c r="AD658" s="599"/>
      <c r="AE658" s="599"/>
      <c r="AF658" s="599"/>
      <c r="AG658" s="599"/>
      <c r="AH658" s="599"/>
      <c r="AI658" s="599"/>
      <c r="AJ658" s="599"/>
      <c r="AK658" s="599"/>
      <c r="AL658" s="599"/>
      <c r="AM658" s="432"/>
      <c r="AO658">
        <f ca="1">IF($A658="S",IF(BM!$I658=0,0,CHOOSE(MATCH(RegimeExecucao,{"Global","Unitário"},0),ROUND(ROUND(BM.MEDAcumulado,15-13*BM!$A$9)/100*BM!$I658,15-13*ORÇAMENTO!$AF$11),ROUND(ROUND(BM.MEDAcumulado,15-13*BM!$A$9)*ROUND(BM!$H658,15-13*ORÇAMENTO!$AF$10),15-13*ORÇAMENTO!$AF$11))),IF($A658=0,0,ROUND(SomaAgrupBM,15-13*ORÇAMENTO!$AF$11)))</f>
        <v>0</v>
      </c>
    </row>
    <row r="659" spans="1:41" ht="13.8" x14ac:dyDescent="0.3">
      <c r="A659" t="str">
        <f ca="1">ORÇAMENTO!C659</f>
        <v>S</v>
      </c>
      <c r="B659">
        <f ca="1">ORÇAMENTO!D659</f>
        <v>0</v>
      </c>
      <c r="C659" s="143" t="str">
        <f t="shared" ca="1" si="122"/>
        <v/>
      </c>
      <c r="D659" s="146" t="str">
        <f ca="1">ORÇAMENTO!O659</f>
        <v>-</v>
      </c>
      <c r="E659" s="206" t="str">
        <f t="shared" ca="1" si="123"/>
        <v>(abra o arquivo 'Referência 05-2024.xls)</v>
      </c>
      <c r="F659" s="207" t="str">
        <f t="shared" ca="1" si="124"/>
        <v>-</v>
      </c>
      <c r="G659" s="151">
        <f ca="1">IF(RegimeExecucao="Global","",ORÇAMENTO!T659)</f>
        <v>106.19</v>
      </c>
      <c r="H659" s="151">
        <f ca="1">IF(RegimeExecucao="Global","",ORÇAMENTO!W659)</f>
        <v>0</v>
      </c>
      <c r="I659" s="154">
        <f ca="1">ORÇAMENTO!X659</f>
        <v>0</v>
      </c>
      <c r="J659" s="427">
        <f t="shared" ca="1" si="125"/>
        <v>0</v>
      </c>
      <c r="K659" s="151">
        <f t="shared" ca="1" si="126"/>
        <v>0</v>
      </c>
      <c r="L659" s="428">
        <f t="shared" ca="1" si="127"/>
        <v>0</v>
      </c>
      <c r="M659" s="429">
        <f ca="1">IF($A659="S",VTOTALBM,IF($A659=0,0,ROUND(SomaAgrupBM,15-13*ORÇAMENTO!$AF$11)))</f>
        <v>0</v>
      </c>
      <c r="N659" s="430">
        <f t="shared" ca="1" si="128"/>
        <v>0</v>
      </c>
      <c r="O659" s="154">
        <f ca="1">IF($A659="S",VTOTALBM,IF($A659=0,0,ROUND(SomaAgrupBM,15-13*ORÇAMENTO!$AF$11)))</f>
        <v>0</v>
      </c>
      <c r="Q659" s="431"/>
      <c r="R659" s="432"/>
      <c r="T659" s="146" t="str">
        <f t="shared" ca="1" si="129"/>
        <v/>
      </c>
      <c r="U659" s="206" t="str">
        <f t="shared" ca="1" si="130"/>
        <v/>
      </c>
      <c r="V659" s="207" t="str">
        <f t="shared" ca="1" si="131"/>
        <v/>
      </c>
      <c r="W659" s="634">
        <f ca="1">IF($Y659&gt;0,CHOOSE(MATCH(RegimeExecucao,{"Unitário","Global"},0),IF($A659="S",$Y659/$X659,""),($Y659/$X659)*100),0)</f>
        <v>0</v>
      </c>
      <c r="X659" s="433" t="str">
        <f ca="1">IF($Y659&gt;0,CHOOSE(MATCH(RegimeExecucao,{"Unitário","Global"},0),IF($A659="S",ROUND($H659,ORÇAMENTO!$AF$10),""),ROUND($I659,ORÇAMENTO!$AF$11)),"")</f>
        <v/>
      </c>
      <c r="Y659" s="433">
        <f t="shared" ca="1" si="132"/>
        <v>0</v>
      </c>
      <c r="Z659" s="434"/>
      <c r="AB659" s="431"/>
      <c r="AC659" s="599"/>
      <c r="AD659" s="599"/>
      <c r="AE659" s="599"/>
      <c r="AF659" s="599"/>
      <c r="AG659" s="599"/>
      <c r="AH659" s="599"/>
      <c r="AI659" s="599"/>
      <c r="AJ659" s="599"/>
      <c r="AK659" s="599"/>
      <c r="AL659" s="599"/>
      <c r="AM659" s="432"/>
      <c r="AO659">
        <f ca="1">IF($A659="S",IF(BM!$I659=0,0,CHOOSE(MATCH(RegimeExecucao,{"Global","Unitário"},0),ROUND(ROUND(BM.MEDAcumulado,15-13*BM!$A$9)/100*BM!$I659,15-13*ORÇAMENTO!$AF$11),ROUND(ROUND(BM.MEDAcumulado,15-13*BM!$A$9)*ROUND(BM!$H659,15-13*ORÇAMENTO!$AF$10),15-13*ORÇAMENTO!$AF$11))),IF($A659=0,0,ROUND(SomaAgrupBM,15-13*ORÇAMENTO!$AF$11)))</f>
        <v>0</v>
      </c>
    </row>
    <row r="660" spans="1:41" ht="13.8" x14ac:dyDescent="0.3">
      <c r="A660" t="str">
        <f ca="1">ORÇAMENTO!C660</f>
        <v>S</v>
      </c>
      <c r="B660">
        <f ca="1">ORÇAMENTO!D660</f>
        <v>0</v>
      </c>
      <c r="C660" s="143" t="str">
        <f t="shared" ca="1" si="122"/>
        <v/>
      </c>
      <c r="D660" s="146" t="str">
        <f ca="1">ORÇAMENTO!O660</f>
        <v>-</v>
      </c>
      <c r="E660" s="206" t="str">
        <f t="shared" ca="1" si="123"/>
        <v>(abra o arquivo 'Referência 05-2024.xls)</v>
      </c>
      <c r="F660" s="207" t="str">
        <f t="shared" ca="1" si="124"/>
        <v>-</v>
      </c>
      <c r="G660" s="151">
        <f ca="1">IF(RegimeExecucao="Global","",ORÇAMENTO!T660)</f>
        <v>9.9</v>
      </c>
      <c r="H660" s="151">
        <f ca="1">IF(RegimeExecucao="Global","",ORÇAMENTO!W660)</f>
        <v>0</v>
      </c>
      <c r="I660" s="154">
        <f ca="1">ORÇAMENTO!X660</f>
        <v>0</v>
      </c>
      <c r="J660" s="427">
        <f t="shared" ca="1" si="125"/>
        <v>0</v>
      </c>
      <c r="K660" s="151">
        <f t="shared" ca="1" si="126"/>
        <v>0</v>
      </c>
      <c r="L660" s="428">
        <f t="shared" ca="1" si="127"/>
        <v>0</v>
      </c>
      <c r="M660" s="429">
        <f ca="1">IF($A660="S",VTOTALBM,IF($A660=0,0,ROUND(SomaAgrupBM,15-13*ORÇAMENTO!$AF$11)))</f>
        <v>0</v>
      </c>
      <c r="N660" s="430">
        <f t="shared" ca="1" si="128"/>
        <v>0</v>
      </c>
      <c r="O660" s="154">
        <f ca="1">IF($A660="S",VTOTALBM,IF($A660=0,0,ROUND(SomaAgrupBM,15-13*ORÇAMENTO!$AF$11)))</f>
        <v>0</v>
      </c>
      <c r="Q660" s="431"/>
      <c r="R660" s="432"/>
      <c r="T660" s="146" t="str">
        <f t="shared" ca="1" si="129"/>
        <v/>
      </c>
      <c r="U660" s="206" t="str">
        <f t="shared" ca="1" si="130"/>
        <v/>
      </c>
      <c r="V660" s="207" t="str">
        <f t="shared" ca="1" si="131"/>
        <v/>
      </c>
      <c r="W660" s="634">
        <f ca="1">IF($Y660&gt;0,CHOOSE(MATCH(RegimeExecucao,{"Unitário","Global"},0),IF($A660="S",$Y660/$X660,""),($Y660/$X660)*100),0)</f>
        <v>0</v>
      </c>
      <c r="X660" s="433" t="str">
        <f ca="1">IF($Y660&gt;0,CHOOSE(MATCH(RegimeExecucao,{"Unitário","Global"},0),IF($A660="S",ROUND($H660,ORÇAMENTO!$AF$10),""),ROUND($I660,ORÇAMENTO!$AF$11)),"")</f>
        <v/>
      </c>
      <c r="Y660" s="433">
        <f t="shared" ca="1" si="132"/>
        <v>0</v>
      </c>
      <c r="Z660" s="434"/>
      <c r="AB660" s="431"/>
      <c r="AC660" s="599"/>
      <c r="AD660" s="599"/>
      <c r="AE660" s="599"/>
      <c r="AF660" s="599"/>
      <c r="AG660" s="599"/>
      <c r="AH660" s="599"/>
      <c r="AI660" s="599"/>
      <c r="AJ660" s="599"/>
      <c r="AK660" s="599"/>
      <c r="AL660" s="599"/>
      <c r="AM660" s="432"/>
      <c r="AO660">
        <f ca="1">IF($A660="S",IF(BM!$I660=0,0,CHOOSE(MATCH(RegimeExecucao,{"Global","Unitário"},0),ROUND(ROUND(BM.MEDAcumulado,15-13*BM!$A$9)/100*BM!$I660,15-13*ORÇAMENTO!$AF$11),ROUND(ROUND(BM.MEDAcumulado,15-13*BM!$A$9)*ROUND(BM!$H660,15-13*ORÇAMENTO!$AF$10),15-13*ORÇAMENTO!$AF$11))),IF($A660=0,0,ROUND(SomaAgrupBM,15-13*ORÇAMENTO!$AF$11)))</f>
        <v>0</v>
      </c>
    </row>
    <row r="661" spans="1:41" ht="13.8" x14ac:dyDescent="0.3">
      <c r="A661" t="str">
        <f ca="1">ORÇAMENTO!C661</f>
        <v>S</v>
      </c>
      <c r="B661">
        <f ca="1">ORÇAMENTO!D661</f>
        <v>0</v>
      </c>
      <c r="C661" s="143" t="str">
        <f t="shared" ca="1" si="122"/>
        <v/>
      </c>
      <c r="D661" s="146" t="str">
        <f ca="1">ORÇAMENTO!O661</f>
        <v>-</v>
      </c>
      <c r="E661" s="206" t="str">
        <f t="shared" ca="1" si="123"/>
        <v>(abra o arquivo 'Referência 05-2024.xls)</v>
      </c>
      <c r="F661" s="207" t="str">
        <f t="shared" ca="1" si="124"/>
        <v>-</v>
      </c>
      <c r="G661" s="151">
        <f ca="1">IF(RegimeExecucao="Global","",ORÇAMENTO!T661)</f>
        <v>3.7</v>
      </c>
      <c r="H661" s="151">
        <f ca="1">IF(RegimeExecucao="Global","",ORÇAMENTO!W661)</f>
        <v>0</v>
      </c>
      <c r="I661" s="154">
        <f ca="1">ORÇAMENTO!X661</f>
        <v>0</v>
      </c>
      <c r="J661" s="427">
        <f t="shared" ca="1" si="125"/>
        <v>0</v>
      </c>
      <c r="K661" s="151">
        <f t="shared" ca="1" si="126"/>
        <v>0</v>
      </c>
      <c r="L661" s="428">
        <f t="shared" ca="1" si="127"/>
        <v>0</v>
      </c>
      <c r="M661" s="429">
        <f ca="1">IF($A661="S",VTOTALBM,IF($A661=0,0,ROUND(SomaAgrupBM,15-13*ORÇAMENTO!$AF$11)))</f>
        <v>0</v>
      </c>
      <c r="N661" s="430">
        <f t="shared" ca="1" si="128"/>
        <v>0</v>
      </c>
      <c r="O661" s="154">
        <f ca="1">IF($A661="S",VTOTALBM,IF($A661=0,0,ROUND(SomaAgrupBM,15-13*ORÇAMENTO!$AF$11)))</f>
        <v>0</v>
      </c>
      <c r="Q661" s="431"/>
      <c r="R661" s="432"/>
      <c r="T661" s="146" t="str">
        <f t="shared" ca="1" si="129"/>
        <v/>
      </c>
      <c r="U661" s="206" t="str">
        <f t="shared" ca="1" si="130"/>
        <v/>
      </c>
      <c r="V661" s="207" t="str">
        <f t="shared" ca="1" si="131"/>
        <v/>
      </c>
      <c r="W661" s="634">
        <f ca="1">IF($Y661&gt;0,CHOOSE(MATCH(RegimeExecucao,{"Unitário","Global"},0),IF($A661="S",$Y661/$X661,""),($Y661/$X661)*100),0)</f>
        <v>0</v>
      </c>
      <c r="X661" s="433" t="str">
        <f ca="1">IF($Y661&gt;0,CHOOSE(MATCH(RegimeExecucao,{"Unitário","Global"},0),IF($A661="S",ROUND($H661,ORÇAMENTO!$AF$10),""),ROUND($I661,ORÇAMENTO!$AF$11)),"")</f>
        <v/>
      </c>
      <c r="Y661" s="433">
        <f t="shared" ca="1" si="132"/>
        <v>0</v>
      </c>
      <c r="Z661" s="434"/>
      <c r="AB661" s="431"/>
      <c r="AC661" s="599"/>
      <c r="AD661" s="599"/>
      <c r="AE661" s="599"/>
      <c r="AF661" s="599"/>
      <c r="AG661" s="599"/>
      <c r="AH661" s="599"/>
      <c r="AI661" s="599"/>
      <c r="AJ661" s="599"/>
      <c r="AK661" s="599"/>
      <c r="AL661" s="599"/>
      <c r="AM661" s="432"/>
      <c r="AO661">
        <f ca="1">IF($A661="S",IF(BM!$I661=0,0,CHOOSE(MATCH(RegimeExecucao,{"Global","Unitário"},0),ROUND(ROUND(BM.MEDAcumulado,15-13*BM!$A$9)/100*BM!$I661,15-13*ORÇAMENTO!$AF$11),ROUND(ROUND(BM.MEDAcumulado,15-13*BM!$A$9)*ROUND(BM!$H661,15-13*ORÇAMENTO!$AF$10),15-13*ORÇAMENTO!$AF$11))),IF($A661=0,0,ROUND(SomaAgrupBM,15-13*ORÇAMENTO!$AF$11)))</f>
        <v>0</v>
      </c>
    </row>
    <row r="662" spans="1:41" ht="13.8" x14ac:dyDescent="0.3">
      <c r="A662" t="str">
        <f ca="1">ORÇAMENTO!C662</f>
        <v>S</v>
      </c>
      <c r="B662">
        <f ca="1">ORÇAMENTO!D662</f>
        <v>0</v>
      </c>
      <c r="C662" s="143" t="str">
        <f t="shared" ca="1" si="122"/>
        <v/>
      </c>
      <c r="D662" s="146" t="str">
        <f ca="1">ORÇAMENTO!O662</f>
        <v>-</v>
      </c>
      <c r="E662" s="206" t="str">
        <f t="shared" ca="1" si="123"/>
        <v>(abra o arquivo 'Referência 05-2024.xls)</v>
      </c>
      <c r="F662" s="207" t="str">
        <f t="shared" ca="1" si="124"/>
        <v>-</v>
      </c>
      <c r="G662" s="151">
        <f ca="1">IF(RegimeExecucao="Global","",ORÇAMENTO!T662)</f>
        <v>32.4</v>
      </c>
      <c r="H662" s="151">
        <f ca="1">IF(RegimeExecucao="Global","",ORÇAMENTO!W662)</f>
        <v>0</v>
      </c>
      <c r="I662" s="154">
        <f ca="1">ORÇAMENTO!X662</f>
        <v>0</v>
      </c>
      <c r="J662" s="427">
        <f t="shared" ca="1" si="125"/>
        <v>0</v>
      </c>
      <c r="K662" s="151">
        <f t="shared" ca="1" si="126"/>
        <v>0</v>
      </c>
      <c r="L662" s="428">
        <f t="shared" ca="1" si="127"/>
        <v>0</v>
      </c>
      <c r="M662" s="429">
        <f ca="1">IF($A662="S",VTOTALBM,IF($A662=0,0,ROUND(SomaAgrupBM,15-13*ORÇAMENTO!$AF$11)))</f>
        <v>0</v>
      </c>
      <c r="N662" s="430">
        <f t="shared" ca="1" si="128"/>
        <v>0</v>
      </c>
      <c r="O662" s="154">
        <f ca="1">IF($A662="S",VTOTALBM,IF($A662=0,0,ROUND(SomaAgrupBM,15-13*ORÇAMENTO!$AF$11)))</f>
        <v>0</v>
      </c>
      <c r="Q662" s="431"/>
      <c r="R662" s="432"/>
      <c r="T662" s="146" t="str">
        <f t="shared" ca="1" si="129"/>
        <v/>
      </c>
      <c r="U662" s="206" t="str">
        <f t="shared" ca="1" si="130"/>
        <v/>
      </c>
      <c r="V662" s="207" t="str">
        <f t="shared" ca="1" si="131"/>
        <v/>
      </c>
      <c r="W662" s="634">
        <f ca="1">IF($Y662&gt;0,CHOOSE(MATCH(RegimeExecucao,{"Unitário","Global"},0),IF($A662="S",$Y662/$X662,""),($Y662/$X662)*100),0)</f>
        <v>0</v>
      </c>
      <c r="X662" s="433" t="str">
        <f ca="1">IF($Y662&gt;0,CHOOSE(MATCH(RegimeExecucao,{"Unitário","Global"},0),IF($A662="S",ROUND($H662,ORÇAMENTO!$AF$10),""),ROUND($I662,ORÇAMENTO!$AF$11)),"")</f>
        <v/>
      </c>
      <c r="Y662" s="433">
        <f t="shared" ca="1" si="132"/>
        <v>0</v>
      </c>
      <c r="Z662" s="434"/>
      <c r="AB662" s="431"/>
      <c r="AC662" s="599"/>
      <c r="AD662" s="599"/>
      <c r="AE662" s="599"/>
      <c r="AF662" s="599"/>
      <c r="AG662" s="599"/>
      <c r="AH662" s="599"/>
      <c r="AI662" s="599"/>
      <c r="AJ662" s="599"/>
      <c r="AK662" s="599"/>
      <c r="AL662" s="599"/>
      <c r="AM662" s="432"/>
      <c r="AO662">
        <f ca="1">IF($A662="S",IF(BM!$I662=0,0,CHOOSE(MATCH(RegimeExecucao,{"Global","Unitário"},0),ROUND(ROUND(BM.MEDAcumulado,15-13*BM!$A$9)/100*BM!$I662,15-13*ORÇAMENTO!$AF$11),ROUND(ROUND(BM.MEDAcumulado,15-13*BM!$A$9)*ROUND(BM!$H662,15-13*ORÇAMENTO!$AF$10),15-13*ORÇAMENTO!$AF$11))),IF($A662=0,0,ROUND(SomaAgrupBM,15-13*ORÇAMENTO!$AF$11)))</f>
        <v>0</v>
      </c>
    </row>
    <row r="663" spans="1:41" ht="13.8" x14ac:dyDescent="0.3">
      <c r="A663" t="str">
        <f ca="1">ORÇAMENTO!C663</f>
        <v>S</v>
      </c>
      <c r="B663">
        <f ca="1">ORÇAMENTO!D663</f>
        <v>0</v>
      </c>
      <c r="C663" s="143" t="str">
        <f t="shared" ca="1" si="122"/>
        <v/>
      </c>
      <c r="D663" s="146" t="str">
        <f ca="1">ORÇAMENTO!O663</f>
        <v>-</v>
      </c>
      <c r="E663" s="206" t="str">
        <f t="shared" ca="1" si="123"/>
        <v>(abra o arquivo 'Referência 05-2024.xls)</v>
      </c>
      <c r="F663" s="207" t="str">
        <f t="shared" ca="1" si="124"/>
        <v>-</v>
      </c>
      <c r="G663" s="151">
        <f ca="1">IF(RegimeExecucao="Global","",ORÇAMENTO!T663)</f>
        <v>128.9</v>
      </c>
      <c r="H663" s="151">
        <f ca="1">IF(RegimeExecucao="Global","",ORÇAMENTO!W663)</f>
        <v>0</v>
      </c>
      <c r="I663" s="154">
        <f ca="1">ORÇAMENTO!X663</f>
        <v>0</v>
      </c>
      <c r="J663" s="427">
        <f t="shared" ca="1" si="125"/>
        <v>0</v>
      </c>
      <c r="K663" s="151">
        <f t="shared" ca="1" si="126"/>
        <v>0</v>
      </c>
      <c r="L663" s="428">
        <f t="shared" ca="1" si="127"/>
        <v>0</v>
      </c>
      <c r="M663" s="429">
        <f ca="1">IF($A663="S",VTOTALBM,IF($A663=0,0,ROUND(SomaAgrupBM,15-13*ORÇAMENTO!$AF$11)))</f>
        <v>0</v>
      </c>
      <c r="N663" s="430">
        <f t="shared" ca="1" si="128"/>
        <v>0</v>
      </c>
      <c r="O663" s="154">
        <f ca="1">IF($A663="S",VTOTALBM,IF($A663=0,0,ROUND(SomaAgrupBM,15-13*ORÇAMENTO!$AF$11)))</f>
        <v>0</v>
      </c>
      <c r="Q663" s="431"/>
      <c r="R663" s="432"/>
      <c r="T663" s="146" t="str">
        <f t="shared" ca="1" si="129"/>
        <v/>
      </c>
      <c r="U663" s="206" t="str">
        <f t="shared" ca="1" si="130"/>
        <v/>
      </c>
      <c r="V663" s="207" t="str">
        <f t="shared" ca="1" si="131"/>
        <v/>
      </c>
      <c r="W663" s="634">
        <f ca="1">IF($Y663&gt;0,CHOOSE(MATCH(RegimeExecucao,{"Unitário","Global"},0),IF($A663="S",$Y663/$X663,""),($Y663/$X663)*100),0)</f>
        <v>0</v>
      </c>
      <c r="X663" s="433" t="str">
        <f ca="1">IF($Y663&gt;0,CHOOSE(MATCH(RegimeExecucao,{"Unitário","Global"},0),IF($A663="S",ROUND($H663,ORÇAMENTO!$AF$10),""),ROUND($I663,ORÇAMENTO!$AF$11)),"")</f>
        <v/>
      </c>
      <c r="Y663" s="433">
        <f t="shared" ca="1" si="132"/>
        <v>0</v>
      </c>
      <c r="Z663" s="434"/>
      <c r="AB663" s="431"/>
      <c r="AC663" s="599"/>
      <c r="AD663" s="599"/>
      <c r="AE663" s="599"/>
      <c r="AF663" s="599"/>
      <c r="AG663" s="599"/>
      <c r="AH663" s="599"/>
      <c r="AI663" s="599"/>
      <c r="AJ663" s="599"/>
      <c r="AK663" s="599"/>
      <c r="AL663" s="599"/>
      <c r="AM663" s="432"/>
      <c r="AO663">
        <f ca="1">IF($A663="S",IF(BM!$I663=0,0,CHOOSE(MATCH(RegimeExecucao,{"Global","Unitário"},0),ROUND(ROUND(BM.MEDAcumulado,15-13*BM!$A$9)/100*BM!$I663,15-13*ORÇAMENTO!$AF$11),ROUND(ROUND(BM.MEDAcumulado,15-13*BM!$A$9)*ROUND(BM!$H663,15-13*ORÇAMENTO!$AF$10),15-13*ORÇAMENTO!$AF$11))),IF($A663=0,0,ROUND(SomaAgrupBM,15-13*ORÇAMENTO!$AF$11)))</f>
        <v>0</v>
      </c>
    </row>
    <row r="664" spans="1:41" ht="13.8" x14ac:dyDescent="0.3">
      <c r="A664" t="str">
        <f ca="1">ORÇAMENTO!C664</f>
        <v>S</v>
      </c>
      <c r="B664">
        <f ca="1">ORÇAMENTO!D664</f>
        <v>0</v>
      </c>
      <c r="C664" s="143" t="str">
        <f t="shared" ca="1" si="122"/>
        <v/>
      </c>
      <c r="D664" s="146" t="str">
        <f ca="1">ORÇAMENTO!O664</f>
        <v>-</v>
      </c>
      <c r="E664" s="206" t="str">
        <f t="shared" ca="1" si="123"/>
        <v>(abra o arquivo 'Referência 05-2024.xls)</v>
      </c>
      <c r="F664" s="207" t="str">
        <f t="shared" ca="1" si="124"/>
        <v>-</v>
      </c>
      <c r="G664" s="151">
        <f ca="1">IF(RegimeExecucao="Global","",ORÇAMENTO!T664)</f>
        <v>33.1</v>
      </c>
      <c r="H664" s="151">
        <f ca="1">IF(RegimeExecucao="Global","",ORÇAMENTO!W664)</f>
        <v>0</v>
      </c>
      <c r="I664" s="154">
        <f ca="1">ORÇAMENTO!X664</f>
        <v>0</v>
      </c>
      <c r="J664" s="427">
        <f t="shared" ca="1" si="125"/>
        <v>0</v>
      </c>
      <c r="K664" s="151">
        <f t="shared" ca="1" si="126"/>
        <v>0</v>
      </c>
      <c r="L664" s="428">
        <f t="shared" ca="1" si="127"/>
        <v>0</v>
      </c>
      <c r="M664" s="429">
        <f ca="1">IF($A664="S",VTOTALBM,IF($A664=0,0,ROUND(SomaAgrupBM,15-13*ORÇAMENTO!$AF$11)))</f>
        <v>0</v>
      </c>
      <c r="N664" s="430">
        <f t="shared" ca="1" si="128"/>
        <v>0</v>
      </c>
      <c r="O664" s="154">
        <f ca="1">IF($A664="S",VTOTALBM,IF($A664=0,0,ROUND(SomaAgrupBM,15-13*ORÇAMENTO!$AF$11)))</f>
        <v>0</v>
      </c>
      <c r="Q664" s="431"/>
      <c r="R664" s="432"/>
      <c r="T664" s="146" t="str">
        <f t="shared" ca="1" si="129"/>
        <v/>
      </c>
      <c r="U664" s="206" t="str">
        <f t="shared" ca="1" si="130"/>
        <v/>
      </c>
      <c r="V664" s="207" t="str">
        <f t="shared" ca="1" si="131"/>
        <v/>
      </c>
      <c r="W664" s="634">
        <f ca="1">IF($Y664&gt;0,CHOOSE(MATCH(RegimeExecucao,{"Unitário","Global"},0),IF($A664="S",$Y664/$X664,""),($Y664/$X664)*100),0)</f>
        <v>0</v>
      </c>
      <c r="X664" s="433" t="str">
        <f ca="1">IF($Y664&gt;0,CHOOSE(MATCH(RegimeExecucao,{"Unitário","Global"},0),IF($A664="S",ROUND($H664,ORÇAMENTO!$AF$10),""),ROUND($I664,ORÇAMENTO!$AF$11)),"")</f>
        <v/>
      </c>
      <c r="Y664" s="433">
        <f t="shared" ca="1" si="132"/>
        <v>0</v>
      </c>
      <c r="Z664" s="434"/>
      <c r="AB664" s="431"/>
      <c r="AC664" s="599"/>
      <c r="AD664" s="599"/>
      <c r="AE664" s="599"/>
      <c r="AF664" s="599"/>
      <c r="AG664" s="599"/>
      <c r="AH664" s="599"/>
      <c r="AI664" s="599"/>
      <c r="AJ664" s="599"/>
      <c r="AK664" s="599"/>
      <c r="AL664" s="599"/>
      <c r="AM664" s="432"/>
      <c r="AO664">
        <f ca="1">IF($A664="S",IF(BM!$I664=0,0,CHOOSE(MATCH(RegimeExecucao,{"Global","Unitário"},0),ROUND(ROUND(BM.MEDAcumulado,15-13*BM!$A$9)/100*BM!$I664,15-13*ORÇAMENTO!$AF$11),ROUND(ROUND(BM.MEDAcumulado,15-13*BM!$A$9)*ROUND(BM!$H664,15-13*ORÇAMENTO!$AF$10),15-13*ORÇAMENTO!$AF$11))),IF($A664=0,0,ROUND(SomaAgrupBM,15-13*ORÇAMENTO!$AF$11)))</f>
        <v>0</v>
      </c>
    </row>
    <row r="665" spans="1:41" ht="13.8" x14ac:dyDescent="0.3">
      <c r="A665" t="str">
        <f ca="1">ORÇAMENTO!C665</f>
        <v>S</v>
      </c>
      <c r="B665">
        <f ca="1">ORÇAMENTO!D665</f>
        <v>0</v>
      </c>
      <c r="C665" s="143" t="str">
        <f t="shared" ca="1" si="122"/>
        <v/>
      </c>
      <c r="D665" s="146" t="str">
        <f ca="1">ORÇAMENTO!O665</f>
        <v>-</v>
      </c>
      <c r="E665" s="206" t="str">
        <f t="shared" ca="1" si="123"/>
        <v>(abra o arquivo 'Referência 05-2024.xls)</v>
      </c>
      <c r="F665" s="207" t="str">
        <f t="shared" ca="1" si="124"/>
        <v>-</v>
      </c>
      <c r="G665" s="151">
        <f ca="1">IF(RegimeExecucao="Global","",ORÇAMENTO!T665)</f>
        <v>39.85</v>
      </c>
      <c r="H665" s="151">
        <f ca="1">IF(RegimeExecucao="Global","",ORÇAMENTO!W665)</f>
        <v>0</v>
      </c>
      <c r="I665" s="154">
        <f ca="1">ORÇAMENTO!X665</f>
        <v>0</v>
      </c>
      <c r="J665" s="427">
        <f t="shared" ca="1" si="125"/>
        <v>0</v>
      </c>
      <c r="K665" s="151">
        <f t="shared" ca="1" si="126"/>
        <v>0</v>
      </c>
      <c r="L665" s="428">
        <f t="shared" ca="1" si="127"/>
        <v>0</v>
      </c>
      <c r="M665" s="429">
        <f ca="1">IF($A665="S",VTOTALBM,IF($A665=0,0,ROUND(SomaAgrupBM,15-13*ORÇAMENTO!$AF$11)))</f>
        <v>0</v>
      </c>
      <c r="N665" s="430">
        <f t="shared" ca="1" si="128"/>
        <v>0</v>
      </c>
      <c r="O665" s="154">
        <f ca="1">IF($A665="S",VTOTALBM,IF($A665=0,0,ROUND(SomaAgrupBM,15-13*ORÇAMENTO!$AF$11)))</f>
        <v>0</v>
      </c>
      <c r="Q665" s="431"/>
      <c r="R665" s="432"/>
      <c r="T665" s="146" t="str">
        <f t="shared" ca="1" si="129"/>
        <v/>
      </c>
      <c r="U665" s="206" t="str">
        <f t="shared" ca="1" si="130"/>
        <v/>
      </c>
      <c r="V665" s="207" t="str">
        <f t="shared" ca="1" si="131"/>
        <v/>
      </c>
      <c r="W665" s="634">
        <f ca="1">IF($Y665&gt;0,CHOOSE(MATCH(RegimeExecucao,{"Unitário","Global"},0),IF($A665="S",$Y665/$X665,""),($Y665/$X665)*100),0)</f>
        <v>0</v>
      </c>
      <c r="X665" s="433" t="str">
        <f ca="1">IF($Y665&gt;0,CHOOSE(MATCH(RegimeExecucao,{"Unitário","Global"},0),IF($A665="S",ROUND($H665,ORÇAMENTO!$AF$10),""),ROUND($I665,ORÇAMENTO!$AF$11)),"")</f>
        <v/>
      </c>
      <c r="Y665" s="433">
        <f t="shared" ca="1" si="132"/>
        <v>0</v>
      </c>
      <c r="Z665" s="434"/>
      <c r="AB665" s="431"/>
      <c r="AC665" s="599"/>
      <c r="AD665" s="599"/>
      <c r="AE665" s="599"/>
      <c r="AF665" s="599"/>
      <c r="AG665" s="599"/>
      <c r="AH665" s="599"/>
      <c r="AI665" s="599"/>
      <c r="AJ665" s="599"/>
      <c r="AK665" s="599"/>
      <c r="AL665" s="599"/>
      <c r="AM665" s="432"/>
      <c r="AO665">
        <f ca="1">IF($A665="S",IF(BM!$I665=0,0,CHOOSE(MATCH(RegimeExecucao,{"Global","Unitário"},0),ROUND(ROUND(BM.MEDAcumulado,15-13*BM!$A$9)/100*BM!$I665,15-13*ORÇAMENTO!$AF$11),ROUND(ROUND(BM.MEDAcumulado,15-13*BM!$A$9)*ROUND(BM!$H665,15-13*ORÇAMENTO!$AF$10),15-13*ORÇAMENTO!$AF$11))),IF($A665=0,0,ROUND(SomaAgrupBM,15-13*ORÇAMENTO!$AF$11)))</f>
        <v>0</v>
      </c>
    </row>
    <row r="666" spans="1:41" ht="13.8" x14ac:dyDescent="0.3">
      <c r="A666" t="str">
        <f ca="1">ORÇAMENTO!C666</f>
        <v>S</v>
      </c>
      <c r="B666">
        <f ca="1">ORÇAMENTO!D666</f>
        <v>0</v>
      </c>
      <c r="C666" s="143" t="str">
        <f t="shared" ca="1" si="122"/>
        <v/>
      </c>
      <c r="D666" s="146" t="str">
        <f ca="1">ORÇAMENTO!O666</f>
        <v>-</v>
      </c>
      <c r="E666" s="206" t="str">
        <f t="shared" ca="1" si="123"/>
        <v>(abra o arquivo 'Referência 05-2024.xls)</v>
      </c>
      <c r="F666" s="207" t="str">
        <f t="shared" ca="1" si="124"/>
        <v>-</v>
      </c>
      <c r="G666" s="151">
        <f ca="1">IF(RegimeExecucao="Global","",ORÇAMENTO!T666)</f>
        <v>25.4</v>
      </c>
      <c r="H666" s="151">
        <f ca="1">IF(RegimeExecucao="Global","",ORÇAMENTO!W666)</f>
        <v>0</v>
      </c>
      <c r="I666" s="154">
        <f ca="1">ORÇAMENTO!X666</f>
        <v>0</v>
      </c>
      <c r="J666" s="427">
        <f t="shared" ca="1" si="125"/>
        <v>0</v>
      </c>
      <c r="K666" s="151">
        <f t="shared" ca="1" si="126"/>
        <v>0</v>
      </c>
      <c r="L666" s="428">
        <f t="shared" ca="1" si="127"/>
        <v>0</v>
      </c>
      <c r="M666" s="429">
        <f ca="1">IF($A666="S",VTOTALBM,IF($A666=0,0,ROUND(SomaAgrupBM,15-13*ORÇAMENTO!$AF$11)))</f>
        <v>0</v>
      </c>
      <c r="N666" s="430">
        <f t="shared" ca="1" si="128"/>
        <v>0</v>
      </c>
      <c r="O666" s="154">
        <f ca="1">IF($A666="S",VTOTALBM,IF($A666=0,0,ROUND(SomaAgrupBM,15-13*ORÇAMENTO!$AF$11)))</f>
        <v>0</v>
      </c>
      <c r="Q666" s="431"/>
      <c r="R666" s="432"/>
      <c r="T666" s="146" t="str">
        <f t="shared" ca="1" si="129"/>
        <v/>
      </c>
      <c r="U666" s="206" t="str">
        <f t="shared" ca="1" si="130"/>
        <v/>
      </c>
      <c r="V666" s="207" t="str">
        <f t="shared" ca="1" si="131"/>
        <v/>
      </c>
      <c r="W666" s="634">
        <f ca="1">IF($Y666&gt;0,CHOOSE(MATCH(RegimeExecucao,{"Unitário","Global"},0),IF($A666="S",$Y666/$X666,""),($Y666/$X666)*100),0)</f>
        <v>0</v>
      </c>
      <c r="X666" s="433" t="str">
        <f ca="1">IF($Y666&gt;0,CHOOSE(MATCH(RegimeExecucao,{"Unitário","Global"},0),IF($A666="S",ROUND($H666,ORÇAMENTO!$AF$10),""),ROUND($I666,ORÇAMENTO!$AF$11)),"")</f>
        <v/>
      </c>
      <c r="Y666" s="433">
        <f t="shared" ca="1" si="132"/>
        <v>0</v>
      </c>
      <c r="Z666" s="434"/>
      <c r="AB666" s="431"/>
      <c r="AC666" s="599"/>
      <c r="AD666" s="599"/>
      <c r="AE666" s="599"/>
      <c r="AF666" s="599"/>
      <c r="AG666" s="599"/>
      <c r="AH666" s="599"/>
      <c r="AI666" s="599"/>
      <c r="AJ666" s="599"/>
      <c r="AK666" s="599"/>
      <c r="AL666" s="599"/>
      <c r="AM666" s="432"/>
      <c r="AO666">
        <f ca="1">IF($A666="S",IF(BM!$I666=0,0,CHOOSE(MATCH(RegimeExecucao,{"Global","Unitário"},0),ROUND(ROUND(BM.MEDAcumulado,15-13*BM!$A$9)/100*BM!$I666,15-13*ORÇAMENTO!$AF$11),ROUND(ROUND(BM.MEDAcumulado,15-13*BM!$A$9)*ROUND(BM!$H666,15-13*ORÇAMENTO!$AF$10),15-13*ORÇAMENTO!$AF$11))),IF($A666=0,0,ROUND(SomaAgrupBM,15-13*ORÇAMENTO!$AF$11)))</f>
        <v>0</v>
      </c>
    </row>
    <row r="667" spans="1:41" ht="13.8" x14ac:dyDescent="0.3">
      <c r="A667" t="str">
        <f ca="1">ORÇAMENTO!C667</f>
        <v>S</v>
      </c>
      <c r="B667">
        <f ca="1">ORÇAMENTO!D667</f>
        <v>0</v>
      </c>
      <c r="C667" s="143" t="str">
        <f t="shared" ca="1" si="122"/>
        <v/>
      </c>
      <c r="D667" s="146" t="str">
        <f ca="1">ORÇAMENTO!O667</f>
        <v>-</v>
      </c>
      <c r="E667" s="206" t="str">
        <f t="shared" ca="1" si="123"/>
        <v>(abra o arquivo 'Referência 05-2024.xls)</v>
      </c>
      <c r="F667" s="207" t="str">
        <f t="shared" ca="1" si="124"/>
        <v>-</v>
      </c>
      <c r="G667" s="151">
        <f ca="1">IF(RegimeExecucao="Global","",ORÇAMENTO!T667)</f>
        <v>113.4</v>
      </c>
      <c r="H667" s="151">
        <f ca="1">IF(RegimeExecucao="Global","",ORÇAMENTO!W667)</f>
        <v>0</v>
      </c>
      <c r="I667" s="154">
        <f ca="1">ORÇAMENTO!X667</f>
        <v>0</v>
      </c>
      <c r="J667" s="427">
        <f t="shared" ca="1" si="125"/>
        <v>0</v>
      </c>
      <c r="K667" s="151">
        <f t="shared" ca="1" si="126"/>
        <v>0</v>
      </c>
      <c r="L667" s="428">
        <f t="shared" ca="1" si="127"/>
        <v>0</v>
      </c>
      <c r="M667" s="429">
        <f ca="1">IF($A667="S",VTOTALBM,IF($A667=0,0,ROUND(SomaAgrupBM,15-13*ORÇAMENTO!$AF$11)))</f>
        <v>0</v>
      </c>
      <c r="N667" s="430">
        <f t="shared" ca="1" si="128"/>
        <v>0</v>
      </c>
      <c r="O667" s="154">
        <f ca="1">IF($A667="S",VTOTALBM,IF($A667=0,0,ROUND(SomaAgrupBM,15-13*ORÇAMENTO!$AF$11)))</f>
        <v>0</v>
      </c>
      <c r="Q667" s="431"/>
      <c r="R667" s="432"/>
      <c r="T667" s="146" t="str">
        <f t="shared" ca="1" si="129"/>
        <v/>
      </c>
      <c r="U667" s="206" t="str">
        <f t="shared" ca="1" si="130"/>
        <v/>
      </c>
      <c r="V667" s="207" t="str">
        <f t="shared" ca="1" si="131"/>
        <v/>
      </c>
      <c r="W667" s="634">
        <f ca="1">IF($Y667&gt;0,CHOOSE(MATCH(RegimeExecucao,{"Unitário","Global"},0),IF($A667="S",$Y667/$X667,""),($Y667/$X667)*100),0)</f>
        <v>0</v>
      </c>
      <c r="X667" s="433" t="str">
        <f ca="1">IF($Y667&gt;0,CHOOSE(MATCH(RegimeExecucao,{"Unitário","Global"},0),IF($A667="S",ROUND($H667,ORÇAMENTO!$AF$10),""),ROUND($I667,ORÇAMENTO!$AF$11)),"")</f>
        <v/>
      </c>
      <c r="Y667" s="433">
        <f t="shared" ca="1" si="132"/>
        <v>0</v>
      </c>
      <c r="Z667" s="434"/>
      <c r="AB667" s="431"/>
      <c r="AC667" s="599"/>
      <c r="AD667" s="599"/>
      <c r="AE667" s="599"/>
      <c r="AF667" s="599"/>
      <c r="AG667" s="599"/>
      <c r="AH667" s="599"/>
      <c r="AI667" s="599"/>
      <c r="AJ667" s="599"/>
      <c r="AK667" s="599"/>
      <c r="AL667" s="599"/>
      <c r="AM667" s="432"/>
      <c r="AO667">
        <f ca="1">IF($A667="S",IF(BM!$I667=0,0,CHOOSE(MATCH(RegimeExecucao,{"Global","Unitário"},0),ROUND(ROUND(BM.MEDAcumulado,15-13*BM!$A$9)/100*BM!$I667,15-13*ORÇAMENTO!$AF$11),ROUND(ROUND(BM.MEDAcumulado,15-13*BM!$A$9)*ROUND(BM!$H667,15-13*ORÇAMENTO!$AF$10),15-13*ORÇAMENTO!$AF$11))),IF($A667=0,0,ROUND(SomaAgrupBM,15-13*ORÇAMENTO!$AF$11)))</f>
        <v>0</v>
      </c>
    </row>
    <row r="668" spans="1:41" ht="13.8" x14ac:dyDescent="0.3">
      <c r="A668">
        <f ca="1">ORÇAMENTO!C668</f>
        <v>2</v>
      </c>
      <c r="B668">
        <f ca="1">ORÇAMENTO!D668</f>
        <v>4</v>
      </c>
      <c r="C668" s="143" t="str">
        <f t="shared" ca="1" si="122"/>
        <v>F</v>
      </c>
      <c r="D668" s="146" t="str">
        <f ca="1">ORÇAMENTO!O668</f>
        <v>1.21.</v>
      </c>
      <c r="E668" s="206" t="str">
        <f t="shared" si="123"/>
        <v>SISTEMA DE EXAUSTÃO MECÂNICA</v>
      </c>
      <c r="F668" s="207" t="str">
        <f t="shared" ca="1" si="124"/>
        <v>-</v>
      </c>
      <c r="G668" s="151">
        <f ca="1">IF(RegimeExecucao="Global","",ORÇAMENTO!T668)</f>
        <v>0</v>
      </c>
      <c r="H668" s="151">
        <f ca="1">IF(RegimeExecucao="Global","",ORÇAMENTO!W668)</f>
        <v>0</v>
      </c>
      <c r="I668" s="154">
        <f ca="1">ORÇAMENTO!X668</f>
        <v>0</v>
      </c>
      <c r="J668" s="427">
        <f t="shared" ca="1" si="125"/>
        <v>0</v>
      </c>
      <c r="K668" s="151">
        <f t="shared" ca="1" si="126"/>
        <v>0</v>
      </c>
      <c r="L668" s="428">
        <f t="shared" ca="1" si="127"/>
        <v>0</v>
      </c>
      <c r="M668" s="429">
        <f ca="1">IF($A668="S",VTOTALBM,IF($A668=0,0,ROUND(SomaAgrupBM,15-13*ORÇAMENTO!$AF$11)))</f>
        <v>0</v>
      </c>
      <c r="N668" s="430">
        <f t="shared" ca="1" si="128"/>
        <v>0</v>
      </c>
      <c r="O668" s="154">
        <f ca="1">IF($A668="S",VTOTALBM,IF($A668=0,0,ROUND(SomaAgrupBM,15-13*ORÇAMENTO!$AF$11)))</f>
        <v>0</v>
      </c>
      <c r="Q668" s="431"/>
      <c r="R668" s="432"/>
      <c r="T668" s="146" t="str">
        <f t="shared" ca="1" si="129"/>
        <v/>
      </c>
      <c r="U668" s="206" t="str">
        <f t="shared" ca="1" si="130"/>
        <v/>
      </c>
      <c r="V668" s="207" t="str">
        <f t="shared" ca="1" si="131"/>
        <v/>
      </c>
      <c r="W668" s="634">
        <f ca="1">IF($Y668&gt;0,CHOOSE(MATCH(RegimeExecucao,{"Unitário","Global"},0),IF($A668="S",$Y668/$X668,""),($Y668/$X668)*100),0)</f>
        <v>0</v>
      </c>
      <c r="X668" s="433" t="str">
        <f ca="1">IF($Y668&gt;0,CHOOSE(MATCH(RegimeExecucao,{"Unitário","Global"},0),IF($A668="S",ROUND($H668,ORÇAMENTO!$AF$10),""),ROUND($I668,ORÇAMENTO!$AF$11)),"")</f>
        <v/>
      </c>
      <c r="Y668" s="433">
        <f t="shared" ca="1" si="132"/>
        <v>0</v>
      </c>
      <c r="Z668" s="434"/>
      <c r="AB668" s="431"/>
      <c r="AC668" s="599"/>
      <c r="AD668" s="599"/>
      <c r="AE668" s="599"/>
      <c r="AF668" s="599"/>
      <c r="AG668" s="599"/>
      <c r="AH668" s="599"/>
      <c r="AI668" s="599"/>
      <c r="AJ668" s="599"/>
      <c r="AK668" s="599"/>
      <c r="AL668" s="599"/>
      <c r="AM668" s="432"/>
      <c r="AO668">
        <f ca="1">IF($A668="S",IF(BM!$I668=0,0,CHOOSE(MATCH(RegimeExecucao,{"Global","Unitário"},0),ROUND(ROUND(BM.MEDAcumulado,15-13*BM!$A$9)/100*BM!$I668,15-13*ORÇAMENTO!$AF$11),ROUND(ROUND(BM.MEDAcumulado,15-13*BM!$A$9)*ROUND(BM!$H668,15-13*ORÇAMENTO!$AF$10),15-13*ORÇAMENTO!$AF$11))),IF($A668=0,0,ROUND(SomaAgrupBM,15-13*ORÇAMENTO!$AF$11)))</f>
        <v>0</v>
      </c>
    </row>
    <row r="669" spans="1:41" ht="13.8" x14ac:dyDescent="0.3">
      <c r="A669" t="str">
        <f ca="1">ORÇAMENTO!C669</f>
        <v>S</v>
      </c>
      <c r="B669">
        <f ca="1">ORÇAMENTO!D669</f>
        <v>0</v>
      </c>
      <c r="C669" s="143" t="str">
        <f t="shared" ca="1" si="122"/>
        <v/>
      </c>
      <c r="D669" s="146" t="str">
        <f ca="1">ORÇAMENTO!O669</f>
        <v>-</v>
      </c>
      <c r="E669" s="206" t="str">
        <f t="shared" ca="1" si="123"/>
        <v>(abra o arquivo 'Referência 05-2024.xls)</v>
      </c>
      <c r="F669" s="207" t="str">
        <f t="shared" ca="1" si="124"/>
        <v>-</v>
      </c>
      <c r="G669" s="151">
        <f ca="1">IF(RegimeExecucao="Global","",ORÇAMENTO!T669)</f>
        <v>1</v>
      </c>
      <c r="H669" s="151">
        <f ca="1">IF(RegimeExecucao="Global","",ORÇAMENTO!W669)</f>
        <v>0</v>
      </c>
      <c r="I669" s="154">
        <f ca="1">ORÇAMENTO!X669</f>
        <v>0</v>
      </c>
      <c r="J669" s="427">
        <f t="shared" ca="1" si="125"/>
        <v>0</v>
      </c>
      <c r="K669" s="151">
        <f t="shared" ca="1" si="126"/>
        <v>0</v>
      </c>
      <c r="L669" s="428">
        <f t="shared" ca="1" si="127"/>
        <v>0</v>
      </c>
      <c r="M669" s="429">
        <f ca="1">IF($A669="S",VTOTALBM,IF($A669=0,0,ROUND(SomaAgrupBM,15-13*ORÇAMENTO!$AF$11)))</f>
        <v>0</v>
      </c>
      <c r="N669" s="430">
        <f t="shared" ca="1" si="128"/>
        <v>0</v>
      </c>
      <c r="O669" s="154">
        <f ca="1">IF($A669="S",VTOTALBM,IF($A669=0,0,ROUND(SomaAgrupBM,15-13*ORÇAMENTO!$AF$11)))</f>
        <v>0</v>
      </c>
      <c r="Q669" s="431"/>
      <c r="R669" s="432"/>
      <c r="T669" s="146" t="str">
        <f t="shared" ca="1" si="129"/>
        <v/>
      </c>
      <c r="U669" s="206" t="str">
        <f t="shared" ca="1" si="130"/>
        <v/>
      </c>
      <c r="V669" s="207" t="str">
        <f t="shared" ca="1" si="131"/>
        <v/>
      </c>
      <c r="W669" s="634">
        <f ca="1">IF($Y669&gt;0,CHOOSE(MATCH(RegimeExecucao,{"Unitário","Global"},0),IF($A669="S",$Y669/$X669,""),($Y669/$X669)*100),0)</f>
        <v>0</v>
      </c>
      <c r="X669" s="433" t="str">
        <f ca="1">IF($Y669&gt;0,CHOOSE(MATCH(RegimeExecucao,{"Unitário","Global"},0),IF($A669="S",ROUND($H669,ORÇAMENTO!$AF$10),""),ROUND($I669,ORÇAMENTO!$AF$11)),"")</f>
        <v/>
      </c>
      <c r="Y669" s="433">
        <f t="shared" ca="1" si="132"/>
        <v>0</v>
      </c>
      <c r="Z669" s="434"/>
      <c r="AB669" s="431"/>
      <c r="AC669" s="599"/>
      <c r="AD669" s="599"/>
      <c r="AE669" s="599"/>
      <c r="AF669" s="599"/>
      <c r="AG669" s="599"/>
      <c r="AH669" s="599"/>
      <c r="AI669" s="599"/>
      <c r="AJ669" s="599"/>
      <c r="AK669" s="599"/>
      <c r="AL669" s="599"/>
      <c r="AM669" s="432"/>
      <c r="AO669">
        <f ca="1">IF($A669="S",IF(BM!$I669=0,0,CHOOSE(MATCH(RegimeExecucao,{"Global","Unitário"},0),ROUND(ROUND(BM.MEDAcumulado,15-13*BM!$A$9)/100*BM!$I669,15-13*ORÇAMENTO!$AF$11),ROUND(ROUND(BM.MEDAcumulado,15-13*BM!$A$9)*ROUND(BM!$H669,15-13*ORÇAMENTO!$AF$10),15-13*ORÇAMENTO!$AF$11))),IF($A669=0,0,ROUND(SomaAgrupBM,15-13*ORÇAMENTO!$AF$11)))</f>
        <v>0</v>
      </c>
    </row>
    <row r="670" spans="1:41" ht="13.8" x14ac:dyDescent="0.3">
      <c r="A670" t="str">
        <f ca="1">ORÇAMENTO!C670</f>
        <v>S</v>
      </c>
      <c r="B670">
        <f ca="1">ORÇAMENTO!D670</f>
        <v>0</v>
      </c>
      <c r="C670" s="143" t="str">
        <f t="shared" ca="1" si="122"/>
        <v/>
      </c>
      <c r="D670" s="146" t="str">
        <f ca="1">ORÇAMENTO!O670</f>
        <v>-</v>
      </c>
      <c r="E670" s="206" t="str">
        <f t="shared" ca="1" si="123"/>
        <v>(abra o arquivo 'Referência 05-2024.xls)</v>
      </c>
      <c r="F670" s="207" t="str">
        <f t="shared" ca="1" si="124"/>
        <v>-</v>
      </c>
      <c r="G670" s="151">
        <f ca="1">IF(RegimeExecucao="Global","",ORÇAMENTO!T670)</f>
        <v>6</v>
      </c>
      <c r="H670" s="151">
        <f ca="1">IF(RegimeExecucao="Global","",ORÇAMENTO!W670)</f>
        <v>0</v>
      </c>
      <c r="I670" s="154">
        <f ca="1">ORÇAMENTO!X670</f>
        <v>0</v>
      </c>
      <c r="J670" s="427">
        <f t="shared" ca="1" si="125"/>
        <v>0</v>
      </c>
      <c r="K670" s="151">
        <f t="shared" ca="1" si="126"/>
        <v>0</v>
      </c>
      <c r="L670" s="428">
        <f t="shared" ca="1" si="127"/>
        <v>0</v>
      </c>
      <c r="M670" s="429">
        <f ca="1">IF($A670="S",VTOTALBM,IF($A670=0,0,ROUND(SomaAgrupBM,15-13*ORÇAMENTO!$AF$11)))</f>
        <v>0</v>
      </c>
      <c r="N670" s="430">
        <f t="shared" ca="1" si="128"/>
        <v>0</v>
      </c>
      <c r="O670" s="154">
        <f ca="1">IF($A670="S",VTOTALBM,IF($A670=0,0,ROUND(SomaAgrupBM,15-13*ORÇAMENTO!$AF$11)))</f>
        <v>0</v>
      </c>
      <c r="Q670" s="431"/>
      <c r="R670" s="432"/>
      <c r="T670" s="146" t="str">
        <f t="shared" ca="1" si="129"/>
        <v/>
      </c>
      <c r="U670" s="206" t="str">
        <f t="shared" ca="1" si="130"/>
        <v/>
      </c>
      <c r="V670" s="207" t="str">
        <f t="shared" ca="1" si="131"/>
        <v/>
      </c>
      <c r="W670" s="634">
        <f ca="1">IF($Y670&gt;0,CHOOSE(MATCH(RegimeExecucao,{"Unitário","Global"},0),IF($A670="S",$Y670/$X670,""),($Y670/$X670)*100),0)</f>
        <v>0</v>
      </c>
      <c r="X670" s="433" t="str">
        <f ca="1">IF($Y670&gt;0,CHOOSE(MATCH(RegimeExecucao,{"Unitário","Global"},0),IF($A670="S",ROUND($H670,ORÇAMENTO!$AF$10),""),ROUND($I670,ORÇAMENTO!$AF$11)),"")</f>
        <v/>
      </c>
      <c r="Y670" s="433">
        <f t="shared" ca="1" si="132"/>
        <v>0</v>
      </c>
      <c r="Z670" s="434"/>
      <c r="AB670" s="431"/>
      <c r="AC670" s="599"/>
      <c r="AD670" s="599"/>
      <c r="AE670" s="599"/>
      <c r="AF670" s="599"/>
      <c r="AG670" s="599"/>
      <c r="AH670" s="599"/>
      <c r="AI670" s="599"/>
      <c r="AJ670" s="599"/>
      <c r="AK670" s="599"/>
      <c r="AL670" s="599"/>
      <c r="AM670" s="432"/>
      <c r="AO670">
        <f ca="1">IF($A670="S",IF(BM!$I670=0,0,CHOOSE(MATCH(RegimeExecucao,{"Global","Unitário"},0),ROUND(ROUND(BM.MEDAcumulado,15-13*BM!$A$9)/100*BM!$I670,15-13*ORÇAMENTO!$AF$11),ROUND(ROUND(BM.MEDAcumulado,15-13*BM!$A$9)*ROUND(BM!$H670,15-13*ORÇAMENTO!$AF$10),15-13*ORÇAMENTO!$AF$11))),IF($A670=0,0,ROUND(SomaAgrupBM,15-13*ORÇAMENTO!$AF$11)))</f>
        <v>0</v>
      </c>
    </row>
    <row r="671" spans="1:41" ht="13.8" x14ac:dyDescent="0.3">
      <c r="A671" t="str">
        <f ca="1">ORÇAMENTO!C671</f>
        <v>S</v>
      </c>
      <c r="B671">
        <f ca="1">ORÇAMENTO!D671</f>
        <v>0</v>
      </c>
      <c r="C671" s="143" t="str">
        <f t="shared" ca="1" si="122"/>
        <v/>
      </c>
      <c r="D671" s="146" t="str">
        <f ca="1">ORÇAMENTO!O671</f>
        <v>-</v>
      </c>
      <c r="E671" s="206" t="str">
        <f t="shared" ca="1" si="123"/>
        <v>(abra o arquivo 'Referência 05-2024.xls)</v>
      </c>
      <c r="F671" s="207" t="str">
        <f t="shared" ca="1" si="124"/>
        <v>-</v>
      </c>
      <c r="G671" s="151">
        <f ca="1">IF(RegimeExecucao="Global","",ORÇAMENTO!T671)</f>
        <v>1</v>
      </c>
      <c r="H671" s="151">
        <f ca="1">IF(RegimeExecucao="Global","",ORÇAMENTO!W671)</f>
        <v>0</v>
      </c>
      <c r="I671" s="154">
        <f ca="1">ORÇAMENTO!X671</f>
        <v>0</v>
      </c>
      <c r="J671" s="427">
        <f t="shared" ca="1" si="125"/>
        <v>0</v>
      </c>
      <c r="K671" s="151">
        <f t="shared" ca="1" si="126"/>
        <v>0</v>
      </c>
      <c r="L671" s="428">
        <f t="shared" ca="1" si="127"/>
        <v>0</v>
      </c>
      <c r="M671" s="429">
        <f ca="1">IF($A671="S",VTOTALBM,IF($A671=0,0,ROUND(SomaAgrupBM,15-13*ORÇAMENTO!$AF$11)))</f>
        <v>0</v>
      </c>
      <c r="N671" s="430">
        <f t="shared" ca="1" si="128"/>
        <v>0</v>
      </c>
      <c r="O671" s="154">
        <f ca="1">IF($A671="S",VTOTALBM,IF($A671=0,0,ROUND(SomaAgrupBM,15-13*ORÇAMENTO!$AF$11)))</f>
        <v>0</v>
      </c>
      <c r="Q671" s="431"/>
      <c r="R671" s="432"/>
      <c r="T671" s="146" t="str">
        <f t="shared" ca="1" si="129"/>
        <v/>
      </c>
      <c r="U671" s="206" t="str">
        <f t="shared" ca="1" si="130"/>
        <v/>
      </c>
      <c r="V671" s="207" t="str">
        <f t="shared" ca="1" si="131"/>
        <v/>
      </c>
      <c r="W671" s="634">
        <f ca="1">IF($Y671&gt;0,CHOOSE(MATCH(RegimeExecucao,{"Unitário","Global"},0),IF($A671="S",$Y671/$X671,""),($Y671/$X671)*100),0)</f>
        <v>0</v>
      </c>
      <c r="X671" s="433" t="str">
        <f ca="1">IF($Y671&gt;0,CHOOSE(MATCH(RegimeExecucao,{"Unitário","Global"},0),IF($A671="S",ROUND($H671,ORÇAMENTO!$AF$10),""),ROUND($I671,ORÇAMENTO!$AF$11)),"")</f>
        <v/>
      </c>
      <c r="Y671" s="433">
        <f t="shared" ca="1" si="132"/>
        <v>0</v>
      </c>
      <c r="Z671" s="434"/>
      <c r="AB671" s="431"/>
      <c r="AC671" s="599"/>
      <c r="AD671" s="599"/>
      <c r="AE671" s="599"/>
      <c r="AF671" s="599"/>
      <c r="AG671" s="599"/>
      <c r="AH671" s="599"/>
      <c r="AI671" s="599"/>
      <c r="AJ671" s="599"/>
      <c r="AK671" s="599"/>
      <c r="AL671" s="599"/>
      <c r="AM671" s="432"/>
      <c r="AO671">
        <f ca="1">IF($A671="S",IF(BM!$I671=0,0,CHOOSE(MATCH(RegimeExecucao,{"Global","Unitário"},0),ROUND(ROUND(BM.MEDAcumulado,15-13*BM!$A$9)/100*BM!$I671,15-13*ORÇAMENTO!$AF$11),ROUND(ROUND(BM.MEDAcumulado,15-13*BM!$A$9)*ROUND(BM!$H671,15-13*ORÇAMENTO!$AF$10),15-13*ORÇAMENTO!$AF$11))),IF($A671=0,0,ROUND(SomaAgrupBM,15-13*ORÇAMENTO!$AF$11)))</f>
        <v>0</v>
      </c>
    </row>
    <row r="672" spans="1:41" ht="26.4" x14ac:dyDescent="0.3">
      <c r="A672">
        <f ca="1">ORÇAMENTO!C672</f>
        <v>2</v>
      </c>
      <c r="B672">
        <f ca="1">ORÇAMENTO!D672</f>
        <v>16</v>
      </c>
      <c r="C672" s="143" t="str">
        <f t="shared" ca="1" si="122"/>
        <v>F</v>
      </c>
      <c r="D672" s="146" t="str">
        <f ca="1">ORÇAMENTO!O672</f>
        <v>1.22.</v>
      </c>
      <c r="E672" s="206" t="str">
        <f t="shared" si="123"/>
        <v>SISTEMA DE PROTEÇÃO CONTRA DESCARGAS ATMOSFÉRICAS (SPDA)</v>
      </c>
      <c r="F672" s="207" t="str">
        <f t="shared" ca="1" si="124"/>
        <v>-</v>
      </c>
      <c r="G672" s="151">
        <f ca="1">IF(RegimeExecucao="Global","",ORÇAMENTO!T672)</f>
        <v>0</v>
      </c>
      <c r="H672" s="151">
        <f ca="1">IF(RegimeExecucao="Global","",ORÇAMENTO!W672)</f>
        <v>0</v>
      </c>
      <c r="I672" s="154">
        <f ca="1">ORÇAMENTO!X672</f>
        <v>0</v>
      </c>
      <c r="J672" s="427">
        <f t="shared" ca="1" si="125"/>
        <v>0</v>
      </c>
      <c r="K672" s="151">
        <f t="shared" ca="1" si="126"/>
        <v>0</v>
      </c>
      <c r="L672" s="428">
        <f t="shared" ca="1" si="127"/>
        <v>0</v>
      </c>
      <c r="M672" s="429">
        <f ca="1">IF($A672="S",VTOTALBM,IF($A672=0,0,ROUND(SomaAgrupBM,15-13*ORÇAMENTO!$AF$11)))</f>
        <v>0</v>
      </c>
      <c r="N672" s="430">
        <f t="shared" ca="1" si="128"/>
        <v>0</v>
      </c>
      <c r="O672" s="154">
        <f ca="1">IF($A672="S",VTOTALBM,IF($A672=0,0,ROUND(SomaAgrupBM,15-13*ORÇAMENTO!$AF$11)))</f>
        <v>0</v>
      </c>
      <c r="Q672" s="431"/>
      <c r="R672" s="432"/>
      <c r="T672" s="146" t="str">
        <f t="shared" ca="1" si="129"/>
        <v/>
      </c>
      <c r="U672" s="206" t="str">
        <f t="shared" ca="1" si="130"/>
        <v/>
      </c>
      <c r="V672" s="207" t="str">
        <f t="shared" ca="1" si="131"/>
        <v/>
      </c>
      <c r="W672" s="634">
        <f ca="1">IF($Y672&gt;0,CHOOSE(MATCH(RegimeExecucao,{"Unitário","Global"},0),IF($A672="S",$Y672/$X672,""),($Y672/$X672)*100),0)</f>
        <v>0</v>
      </c>
      <c r="X672" s="433" t="str">
        <f ca="1">IF($Y672&gt;0,CHOOSE(MATCH(RegimeExecucao,{"Unitário","Global"},0),IF($A672="S",ROUND($H672,ORÇAMENTO!$AF$10),""),ROUND($I672,ORÇAMENTO!$AF$11)),"")</f>
        <v/>
      </c>
      <c r="Y672" s="433">
        <f t="shared" ca="1" si="132"/>
        <v>0</v>
      </c>
      <c r="Z672" s="434"/>
      <c r="AB672" s="431"/>
      <c r="AC672" s="599"/>
      <c r="AD672" s="599"/>
      <c r="AE672" s="599"/>
      <c r="AF672" s="599"/>
      <c r="AG672" s="599"/>
      <c r="AH672" s="599"/>
      <c r="AI672" s="599"/>
      <c r="AJ672" s="599"/>
      <c r="AK672" s="599"/>
      <c r="AL672" s="599"/>
      <c r="AM672" s="432"/>
      <c r="AO672">
        <f ca="1">IF($A672="S",IF(BM!$I672=0,0,CHOOSE(MATCH(RegimeExecucao,{"Global","Unitário"},0),ROUND(ROUND(BM.MEDAcumulado,15-13*BM!$A$9)/100*BM!$I672,15-13*ORÇAMENTO!$AF$11),ROUND(ROUND(BM.MEDAcumulado,15-13*BM!$A$9)*ROUND(BM!$H672,15-13*ORÇAMENTO!$AF$10),15-13*ORÇAMENTO!$AF$11))),IF($A672=0,0,ROUND(SomaAgrupBM,15-13*ORÇAMENTO!$AF$11)))</f>
        <v>0</v>
      </c>
    </row>
    <row r="673" spans="1:41" ht="13.8" x14ac:dyDescent="0.3">
      <c r="A673" t="str">
        <f ca="1">ORÇAMENTO!C673</f>
        <v>S</v>
      </c>
      <c r="B673">
        <f ca="1">ORÇAMENTO!D673</f>
        <v>0</v>
      </c>
      <c r="C673" s="143" t="str">
        <f t="shared" ca="1" si="122"/>
        <v/>
      </c>
      <c r="D673" s="146" t="str">
        <f ca="1">ORÇAMENTO!O673</f>
        <v>-</v>
      </c>
      <c r="E673" s="206" t="str">
        <f t="shared" ca="1" si="123"/>
        <v>(abra o arquivo 'Referência 05-2024.xls)</v>
      </c>
      <c r="F673" s="207" t="str">
        <f t="shared" ca="1" si="124"/>
        <v>-</v>
      </c>
      <c r="G673" s="151">
        <f ca="1">IF(RegimeExecucao="Global","",ORÇAMENTO!T673)</f>
        <v>1</v>
      </c>
      <c r="H673" s="151">
        <f ca="1">IF(RegimeExecucao="Global","",ORÇAMENTO!W673)</f>
        <v>0</v>
      </c>
      <c r="I673" s="154">
        <f ca="1">ORÇAMENTO!X673</f>
        <v>0</v>
      </c>
      <c r="J673" s="427">
        <f t="shared" ca="1" si="125"/>
        <v>0</v>
      </c>
      <c r="K673" s="151">
        <f t="shared" ca="1" si="126"/>
        <v>0</v>
      </c>
      <c r="L673" s="428">
        <f t="shared" ca="1" si="127"/>
        <v>0</v>
      </c>
      <c r="M673" s="429">
        <f ca="1">IF($A673="S",VTOTALBM,IF($A673=0,0,ROUND(SomaAgrupBM,15-13*ORÇAMENTO!$AF$11)))</f>
        <v>0</v>
      </c>
      <c r="N673" s="430">
        <f t="shared" ca="1" si="128"/>
        <v>0</v>
      </c>
      <c r="O673" s="154">
        <f ca="1">IF($A673="S",VTOTALBM,IF($A673=0,0,ROUND(SomaAgrupBM,15-13*ORÇAMENTO!$AF$11)))</f>
        <v>0</v>
      </c>
      <c r="Q673" s="431"/>
      <c r="R673" s="432"/>
      <c r="T673" s="146" t="str">
        <f t="shared" ca="1" si="129"/>
        <v/>
      </c>
      <c r="U673" s="206" t="str">
        <f t="shared" ca="1" si="130"/>
        <v/>
      </c>
      <c r="V673" s="207" t="str">
        <f t="shared" ca="1" si="131"/>
        <v/>
      </c>
      <c r="W673" s="634">
        <f ca="1">IF($Y673&gt;0,CHOOSE(MATCH(RegimeExecucao,{"Unitário","Global"},0),IF($A673="S",$Y673/$X673,""),($Y673/$X673)*100),0)</f>
        <v>0</v>
      </c>
      <c r="X673" s="433" t="str">
        <f ca="1">IF($Y673&gt;0,CHOOSE(MATCH(RegimeExecucao,{"Unitário","Global"},0),IF($A673="S",ROUND($H673,ORÇAMENTO!$AF$10),""),ROUND($I673,ORÇAMENTO!$AF$11)),"")</f>
        <v/>
      </c>
      <c r="Y673" s="433">
        <f t="shared" ca="1" si="132"/>
        <v>0</v>
      </c>
      <c r="Z673" s="434"/>
      <c r="AB673" s="431"/>
      <c r="AC673" s="599"/>
      <c r="AD673" s="599"/>
      <c r="AE673" s="599"/>
      <c r="AF673" s="599"/>
      <c r="AG673" s="599"/>
      <c r="AH673" s="599"/>
      <c r="AI673" s="599"/>
      <c r="AJ673" s="599"/>
      <c r="AK673" s="599"/>
      <c r="AL673" s="599"/>
      <c r="AM673" s="432"/>
      <c r="AO673">
        <f ca="1">IF($A673="S",IF(BM!$I673=0,0,CHOOSE(MATCH(RegimeExecucao,{"Global","Unitário"},0),ROUND(ROUND(BM.MEDAcumulado,15-13*BM!$A$9)/100*BM!$I673,15-13*ORÇAMENTO!$AF$11),ROUND(ROUND(BM.MEDAcumulado,15-13*BM!$A$9)*ROUND(BM!$H673,15-13*ORÇAMENTO!$AF$10),15-13*ORÇAMENTO!$AF$11))),IF($A673=0,0,ROUND(SomaAgrupBM,15-13*ORÇAMENTO!$AF$11)))</f>
        <v>0</v>
      </c>
    </row>
    <row r="674" spans="1:41" ht="13.8" x14ac:dyDescent="0.3">
      <c r="A674" t="str">
        <f ca="1">ORÇAMENTO!C674</f>
        <v>S</v>
      </c>
      <c r="B674">
        <f ca="1">ORÇAMENTO!D674</f>
        <v>0</v>
      </c>
      <c r="C674" s="143" t="str">
        <f t="shared" ca="1" si="122"/>
        <v/>
      </c>
      <c r="D674" s="146" t="str">
        <f ca="1">ORÇAMENTO!O674</f>
        <v>-</v>
      </c>
      <c r="E674" s="206" t="str">
        <f t="shared" ca="1" si="123"/>
        <v>(abra o arquivo 'Referência 05-2024.xls)</v>
      </c>
      <c r="F674" s="207" t="str">
        <f t="shared" ca="1" si="124"/>
        <v>-</v>
      </c>
      <c r="G674" s="151">
        <f ca="1">IF(RegimeExecucao="Global","",ORÇAMENTO!T674)</f>
        <v>45</v>
      </c>
      <c r="H674" s="151">
        <f ca="1">IF(RegimeExecucao="Global","",ORÇAMENTO!W674)</f>
        <v>0</v>
      </c>
      <c r="I674" s="154">
        <f ca="1">ORÇAMENTO!X674</f>
        <v>0</v>
      </c>
      <c r="J674" s="427">
        <f t="shared" ca="1" si="125"/>
        <v>0</v>
      </c>
      <c r="K674" s="151">
        <f t="shared" ca="1" si="126"/>
        <v>0</v>
      </c>
      <c r="L674" s="428">
        <f t="shared" ca="1" si="127"/>
        <v>0</v>
      </c>
      <c r="M674" s="429">
        <f ca="1">IF($A674="S",VTOTALBM,IF($A674=0,0,ROUND(SomaAgrupBM,15-13*ORÇAMENTO!$AF$11)))</f>
        <v>0</v>
      </c>
      <c r="N674" s="430">
        <f t="shared" ca="1" si="128"/>
        <v>0</v>
      </c>
      <c r="O674" s="154">
        <f ca="1">IF($A674="S",VTOTALBM,IF($A674=0,0,ROUND(SomaAgrupBM,15-13*ORÇAMENTO!$AF$11)))</f>
        <v>0</v>
      </c>
      <c r="Q674" s="431"/>
      <c r="R674" s="432"/>
      <c r="T674" s="146" t="str">
        <f t="shared" ca="1" si="129"/>
        <v/>
      </c>
      <c r="U674" s="206" t="str">
        <f t="shared" ca="1" si="130"/>
        <v/>
      </c>
      <c r="V674" s="207" t="str">
        <f t="shared" ca="1" si="131"/>
        <v/>
      </c>
      <c r="W674" s="634">
        <f ca="1">IF($Y674&gt;0,CHOOSE(MATCH(RegimeExecucao,{"Unitário","Global"},0),IF($A674="S",$Y674/$X674,""),($Y674/$X674)*100),0)</f>
        <v>0</v>
      </c>
      <c r="X674" s="433" t="str">
        <f ca="1">IF($Y674&gt;0,CHOOSE(MATCH(RegimeExecucao,{"Unitário","Global"},0),IF($A674="S",ROUND($H674,ORÇAMENTO!$AF$10),""),ROUND($I674,ORÇAMENTO!$AF$11)),"")</f>
        <v/>
      </c>
      <c r="Y674" s="433">
        <f t="shared" ca="1" si="132"/>
        <v>0</v>
      </c>
      <c r="Z674" s="434"/>
      <c r="AB674" s="431"/>
      <c r="AC674" s="599"/>
      <c r="AD674" s="599"/>
      <c r="AE674" s="599"/>
      <c r="AF674" s="599"/>
      <c r="AG674" s="599"/>
      <c r="AH674" s="599"/>
      <c r="AI674" s="599"/>
      <c r="AJ674" s="599"/>
      <c r="AK674" s="599"/>
      <c r="AL674" s="599"/>
      <c r="AM674" s="432"/>
      <c r="AO674">
        <f ca="1">IF($A674="S",IF(BM!$I674=0,0,CHOOSE(MATCH(RegimeExecucao,{"Global","Unitário"},0),ROUND(ROUND(BM.MEDAcumulado,15-13*BM!$A$9)/100*BM!$I674,15-13*ORÇAMENTO!$AF$11),ROUND(ROUND(BM.MEDAcumulado,15-13*BM!$A$9)*ROUND(BM!$H674,15-13*ORÇAMENTO!$AF$10),15-13*ORÇAMENTO!$AF$11))),IF($A674=0,0,ROUND(SomaAgrupBM,15-13*ORÇAMENTO!$AF$11)))</f>
        <v>0</v>
      </c>
    </row>
    <row r="675" spans="1:41" ht="13.8" x14ac:dyDescent="0.3">
      <c r="A675" t="str">
        <f ca="1">ORÇAMENTO!C675</f>
        <v>S</v>
      </c>
      <c r="B675">
        <f ca="1">ORÇAMENTO!D675</f>
        <v>0</v>
      </c>
      <c r="C675" s="143" t="str">
        <f t="shared" ca="1" si="122"/>
        <v/>
      </c>
      <c r="D675" s="146" t="str">
        <f ca="1">ORÇAMENTO!O675</f>
        <v>-</v>
      </c>
      <c r="E675" s="206" t="str">
        <f t="shared" ca="1" si="123"/>
        <v>(abra o arquivo 'Referência 05-2024.xls)</v>
      </c>
      <c r="F675" s="207" t="str">
        <f t="shared" ca="1" si="124"/>
        <v>-</v>
      </c>
      <c r="G675" s="151">
        <f ca="1">IF(RegimeExecucao="Global","",ORÇAMENTO!T675)</f>
        <v>25</v>
      </c>
      <c r="H675" s="151">
        <f ca="1">IF(RegimeExecucao="Global","",ORÇAMENTO!W675)</f>
        <v>0</v>
      </c>
      <c r="I675" s="154">
        <f ca="1">ORÇAMENTO!X675</f>
        <v>0</v>
      </c>
      <c r="J675" s="427">
        <f t="shared" ca="1" si="125"/>
        <v>0</v>
      </c>
      <c r="K675" s="151">
        <f t="shared" ca="1" si="126"/>
        <v>0</v>
      </c>
      <c r="L675" s="428">
        <f t="shared" ca="1" si="127"/>
        <v>0</v>
      </c>
      <c r="M675" s="429">
        <f ca="1">IF($A675="S",VTOTALBM,IF($A675=0,0,ROUND(SomaAgrupBM,15-13*ORÇAMENTO!$AF$11)))</f>
        <v>0</v>
      </c>
      <c r="N675" s="430">
        <f t="shared" ca="1" si="128"/>
        <v>0</v>
      </c>
      <c r="O675" s="154">
        <f ca="1">IF($A675="S",VTOTALBM,IF($A675=0,0,ROUND(SomaAgrupBM,15-13*ORÇAMENTO!$AF$11)))</f>
        <v>0</v>
      </c>
      <c r="Q675" s="431"/>
      <c r="R675" s="432"/>
      <c r="T675" s="146" t="str">
        <f t="shared" ca="1" si="129"/>
        <v/>
      </c>
      <c r="U675" s="206" t="str">
        <f t="shared" ca="1" si="130"/>
        <v/>
      </c>
      <c r="V675" s="207" t="str">
        <f t="shared" ca="1" si="131"/>
        <v/>
      </c>
      <c r="W675" s="634">
        <f ca="1">IF($Y675&gt;0,CHOOSE(MATCH(RegimeExecucao,{"Unitário","Global"},0),IF($A675="S",$Y675/$X675,""),($Y675/$X675)*100),0)</f>
        <v>0</v>
      </c>
      <c r="X675" s="433" t="str">
        <f ca="1">IF($Y675&gt;0,CHOOSE(MATCH(RegimeExecucao,{"Unitário","Global"},0),IF($A675="S",ROUND($H675,ORÇAMENTO!$AF$10),""),ROUND($I675,ORÇAMENTO!$AF$11)),"")</f>
        <v/>
      </c>
      <c r="Y675" s="433">
        <f t="shared" ca="1" si="132"/>
        <v>0</v>
      </c>
      <c r="Z675" s="434"/>
      <c r="AB675" s="431"/>
      <c r="AC675" s="599"/>
      <c r="AD675" s="599"/>
      <c r="AE675" s="599"/>
      <c r="AF675" s="599"/>
      <c r="AG675" s="599"/>
      <c r="AH675" s="599"/>
      <c r="AI675" s="599"/>
      <c r="AJ675" s="599"/>
      <c r="AK675" s="599"/>
      <c r="AL675" s="599"/>
      <c r="AM675" s="432"/>
      <c r="AO675">
        <f ca="1">IF($A675="S",IF(BM!$I675=0,0,CHOOSE(MATCH(RegimeExecucao,{"Global","Unitário"},0),ROUND(ROUND(BM.MEDAcumulado,15-13*BM!$A$9)/100*BM!$I675,15-13*ORÇAMENTO!$AF$11),ROUND(ROUND(BM.MEDAcumulado,15-13*BM!$A$9)*ROUND(BM!$H675,15-13*ORÇAMENTO!$AF$10),15-13*ORÇAMENTO!$AF$11))),IF($A675=0,0,ROUND(SomaAgrupBM,15-13*ORÇAMENTO!$AF$11)))</f>
        <v>0</v>
      </c>
    </row>
    <row r="676" spans="1:41" ht="13.8" x14ac:dyDescent="0.3">
      <c r="A676" t="str">
        <f ca="1">ORÇAMENTO!C676</f>
        <v>S</v>
      </c>
      <c r="B676">
        <f ca="1">ORÇAMENTO!D676</f>
        <v>0</v>
      </c>
      <c r="C676" s="143" t="str">
        <f t="shared" ca="1" si="122"/>
        <v/>
      </c>
      <c r="D676" s="146" t="str">
        <f ca="1">ORÇAMENTO!O676</f>
        <v>-</v>
      </c>
      <c r="E676" s="206" t="str">
        <f t="shared" ca="1" si="123"/>
        <v>(abra o arquivo 'Referência 05-2024.xls)</v>
      </c>
      <c r="F676" s="207" t="str">
        <f t="shared" ca="1" si="124"/>
        <v>-</v>
      </c>
      <c r="G676" s="151">
        <f ca="1">IF(RegimeExecucao="Global","",ORÇAMENTO!T676)</f>
        <v>6</v>
      </c>
      <c r="H676" s="151">
        <f ca="1">IF(RegimeExecucao="Global","",ORÇAMENTO!W676)</f>
        <v>0</v>
      </c>
      <c r="I676" s="154">
        <f ca="1">ORÇAMENTO!X676</f>
        <v>0</v>
      </c>
      <c r="J676" s="427">
        <f t="shared" ca="1" si="125"/>
        <v>0</v>
      </c>
      <c r="K676" s="151">
        <f t="shared" ca="1" si="126"/>
        <v>0</v>
      </c>
      <c r="L676" s="428">
        <f t="shared" ca="1" si="127"/>
        <v>0</v>
      </c>
      <c r="M676" s="429">
        <f ca="1">IF($A676="S",VTOTALBM,IF($A676=0,0,ROUND(SomaAgrupBM,15-13*ORÇAMENTO!$AF$11)))</f>
        <v>0</v>
      </c>
      <c r="N676" s="430">
        <f t="shared" ca="1" si="128"/>
        <v>0</v>
      </c>
      <c r="O676" s="154">
        <f ca="1">IF($A676="S",VTOTALBM,IF($A676=0,0,ROUND(SomaAgrupBM,15-13*ORÇAMENTO!$AF$11)))</f>
        <v>0</v>
      </c>
      <c r="Q676" s="431"/>
      <c r="R676" s="432"/>
      <c r="T676" s="146" t="str">
        <f t="shared" ca="1" si="129"/>
        <v/>
      </c>
      <c r="U676" s="206" t="str">
        <f t="shared" ca="1" si="130"/>
        <v/>
      </c>
      <c r="V676" s="207" t="str">
        <f t="shared" ca="1" si="131"/>
        <v/>
      </c>
      <c r="W676" s="634">
        <f ca="1">IF($Y676&gt;0,CHOOSE(MATCH(RegimeExecucao,{"Unitário","Global"},0),IF($A676="S",$Y676/$X676,""),($Y676/$X676)*100),0)</f>
        <v>0</v>
      </c>
      <c r="X676" s="433" t="str">
        <f ca="1">IF($Y676&gt;0,CHOOSE(MATCH(RegimeExecucao,{"Unitário","Global"},0),IF($A676="S",ROUND($H676,ORÇAMENTO!$AF$10),""),ROUND($I676,ORÇAMENTO!$AF$11)),"")</f>
        <v/>
      </c>
      <c r="Y676" s="433">
        <f t="shared" ca="1" si="132"/>
        <v>0</v>
      </c>
      <c r="Z676" s="434"/>
      <c r="AB676" s="431"/>
      <c r="AC676" s="599"/>
      <c r="AD676" s="599"/>
      <c r="AE676" s="599"/>
      <c r="AF676" s="599"/>
      <c r="AG676" s="599"/>
      <c r="AH676" s="599"/>
      <c r="AI676" s="599"/>
      <c r="AJ676" s="599"/>
      <c r="AK676" s="599"/>
      <c r="AL676" s="599"/>
      <c r="AM676" s="432"/>
      <c r="AO676">
        <f ca="1">IF($A676="S",IF(BM!$I676=0,0,CHOOSE(MATCH(RegimeExecucao,{"Global","Unitário"},0),ROUND(ROUND(BM.MEDAcumulado,15-13*BM!$A$9)/100*BM!$I676,15-13*ORÇAMENTO!$AF$11),ROUND(ROUND(BM.MEDAcumulado,15-13*BM!$A$9)*ROUND(BM!$H676,15-13*ORÇAMENTO!$AF$10),15-13*ORÇAMENTO!$AF$11))),IF($A676=0,0,ROUND(SomaAgrupBM,15-13*ORÇAMENTO!$AF$11)))</f>
        <v>0</v>
      </c>
    </row>
    <row r="677" spans="1:41" ht="13.8" x14ac:dyDescent="0.3">
      <c r="A677" t="str">
        <f ca="1">ORÇAMENTO!C677</f>
        <v>S</v>
      </c>
      <c r="B677">
        <f ca="1">ORÇAMENTO!D677</f>
        <v>0</v>
      </c>
      <c r="C677" s="143" t="str">
        <f t="shared" ca="1" si="122"/>
        <v/>
      </c>
      <c r="D677" s="146" t="str">
        <f ca="1">ORÇAMENTO!O677</f>
        <v>-</v>
      </c>
      <c r="E677" s="206" t="str">
        <f t="shared" ca="1" si="123"/>
        <v>(abra o arquivo 'Referência 05-2024.xls)</v>
      </c>
      <c r="F677" s="207" t="str">
        <f t="shared" ca="1" si="124"/>
        <v>-</v>
      </c>
      <c r="G677" s="151">
        <f ca="1">IF(RegimeExecucao="Global","",ORÇAMENTO!T677)</f>
        <v>1</v>
      </c>
      <c r="H677" s="151">
        <f ca="1">IF(RegimeExecucao="Global","",ORÇAMENTO!W677)</f>
        <v>0</v>
      </c>
      <c r="I677" s="154">
        <f ca="1">ORÇAMENTO!X677</f>
        <v>0</v>
      </c>
      <c r="J677" s="427">
        <f t="shared" ca="1" si="125"/>
        <v>0</v>
      </c>
      <c r="K677" s="151">
        <f t="shared" ca="1" si="126"/>
        <v>0</v>
      </c>
      <c r="L677" s="428">
        <f t="shared" ca="1" si="127"/>
        <v>0</v>
      </c>
      <c r="M677" s="429">
        <f ca="1">IF($A677="S",VTOTALBM,IF($A677=0,0,ROUND(SomaAgrupBM,15-13*ORÇAMENTO!$AF$11)))</f>
        <v>0</v>
      </c>
      <c r="N677" s="430">
        <f t="shared" ca="1" si="128"/>
        <v>0</v>
      </c>
      <c r="O677" s="154">
        <f ca="1">IF($A677="S",VTOTALBM,IF($A677=0,0,ROUND(SomaAgrupBM,15-13*ORÇAMENTO!$AF$11)))</f>
        <v>0</v>
      </c>
      <c r="Q677" s="431"/>
      <c r="R677" s="432"/>
      <c r="T677" s="146" t="str">
        <f t="shared" ca="1" si="129"/>
        <v/>
      </c>
      <c r="U677" s="206" t="str">
        <f t="shared" ca="1" si="130"/>
        <v/>
      </c>
      <c r="V677" s="207" t="str">
        <f t="shared" ca="1" si="131"/>
        <v/>
      </c>
      <c r="W677" s="634">
        <f ca="1">IF($Y677&gt;0,CHOOSE(MATCH(RegimeExecucao,{"Unitário","Global"},0),IF($A677="S",$Y677/$X677,""),($Y677/$X677)*100),0)</f>
        <v>0</v>
      </c>
      <c r="X677" s="433" t="str">
        <f ca="1">IF($Y677&gt;0,CHOOSE(MATCH(RegimeExecucao,{"Unitário","Global"},0),IF($A677="S",ROUND($H677,ORÇAMENTO!$AF$10),""),ROUND($I677,ORÇAMENTO!$AF$11)),"")</f>
        <v/>
      </c>
      <c r="Y677" s="433">
        <f t="shared" ca="1" si="132"/>
        <v>0</v>
      </c>
      <c r="Z677" s="434"/>
      <c r="AB677" s="431"/>
      <c r="AC677" s="599"/>
      <c r="AD677" s="599"/>
      <c r="AE677" s="599"/>
      <c r="AF677" s="599"/>
      <c r="AG677" s="599"/>
      <c r="AH677" s="599"/>
      <c r="AI677" s="599"/>
      <c r="AJ677" s="599"/>
      <c r="AK677" s="599"/>
      <c r="AL677" s="599"/>
      <c r="AM677" s="432"/>
      <c r="AO677">
        <f ca="1">IF($A677="S",IF(BM!$I677=0,0,CHOOSE(MATCH(RegimeExecucao,{"Global","Unitário"},0),ROUND(ROUND(BM.MEDAcumulado,15-13*BM!$A$9)/100*BM!$I677,15-13*ORÇAMENTO!$AF$11),ROUND(ROUND(BM.MEDAcumulado,15-13*BM!$A$9)*ROUND(BM!$H677,15-13*ORÇAMENTO!$AF$10),15-13*ORÇAMENTO!$AF$11))),IF($A677=0,0,ROUND(SomaAgrupBM,15-13*ORÇAMENTO!$AF$11)))</f>
        <v>0</v>
      </c>
    </row>
    <row r="678" spans="1:41" ht="13.8" x14ac:dyDescent="0.3">
      <c r="A678" t="str">
        <f ca="1">ORÇAMENTO!C678</f>
        <v>S</v>
      </c>
      <c r="B678">
        <f ca="1">ORÇAMENTO!D678</f>
        <v>0</v>
      </c>
      <c r="C678" s="143" t="str">
        <f t="shared" ca="1" si="122"/>
        <v/>
      </c>
      <c r="D678" s="146" t="str">
        <f ca="1">ORÇAMENTO!O678</f>
        <v>-</v>
      </c>
      <c r="E678" s="206" t="str">
        <f t="shared" ca="1" si="123"/>
        <v>(abra o arquivo 'Referência 05-2024.xls)</v>
      </c>
      <c r="F678" s="207" t="str">
        <f t="shared" ca="1" si="124"/>
        <v>-</v>
      </c>
      <c r="G678" s="151">
        <f ca="1">IF(RegimeExecucao="Global","",ORÇAMENTO!T678)</f>
        <v>150</v>
      </c>
      <c r="H678" s="151">
        <f ca="1">IF(RegimeExecucao="Global","",ORÇAMENTO!W678)</f>
        <v>0</v>
      </c>
      <c r="I678" s="154">
        <f ca="1">ORÇAMENTO!X678</f>
        <v>0</v>
      </c>
      <c r="J678" s="427">
        <f t="shared" ca="1" si="125"/>
        <v>0</v>
      </c>
      <c r="K678" s="151">
        <f t="shared" ca="1" si="126"/>
        <v>0</v>
      </c>
      <c r="L678" s="428">
        <f t="shared" ca="1" si="127"/>
        <v>0</v>
      </c>
      <c r="M678" s="429">
        <f ca="1">IF($A678="S",VTOTALBM,IF($A678=0,0,ROUND(SomaAgrupBM,15-13*ORÇAMENTO!$AF$11)))</f>
        <v>0</v>
      </c>
      <c r="N678" s="430">
        <f t="shared" ca="1" si="128"/>
        <v>0</v>
      </c>
      <c r="O678" s="154">
        <f ca="1">IF($A678="S",VTOTALBM,IF($A678=0,0,ROUND(SomaAgrupBM,15-13*ORÇAMENTO!$AF$11)))</f>
        <v>0</v>
      </c>
      <c r="Q678" s="431"/>
      <c r="R678" s="432"/>
      <c r="T678" s="146" t="str">
        <f t="shared" ca="1" si="129"/>
        <v/>
      </c>
      <c r="U678" s="206" t="str">
        <f t="shared" ca="1" si="130"/>
        <v/>
      </c>
      <c r="V678" s="207" t="str">
        <f t="shared" ca="1" si="131"/>
        <v/>
      </c>
      <c r="W678" s="634">
        <f ca="1">IF($Y678&gt;0,CHOOSE(MATCH(RegimeExecucao,{"Unitário","Global"},0),IF($A678="S",$Y678/$X678,""),($Y678/$X678)*100),0)</f>
        <v>0</v>
      </c>
      <c r="X678" s="433" t="str">
        <f ca="1">IF($Y678&gt;0,CHOOSE(MATCH(RegimeExecucao,{"Unitário","Global"},0),IF($A678="S",ROUND($H678,ORÇAMENTO!$AF$10),""),ROUND($I678,ORÇAMENTO!$AF$11)),"")</f>
        <v/>
      </c>
      <c r="Y678" s="433">
        <f t="shared" ca="1" si="132"/>
        <v>0</v>
      </c>
      <c r="Z678" s="434"/>
      <c r="AB678" s="431"/>
      <c r="AC678" s="599"/>
      <c r="AD678" s="599"/>
      <c r="AE678" s="599"/>
      <c r="AF678" s="599"/>
      <c r="AG678" s="599"/>
      <c r="AH678" s="599"/>
      <c r="AI678" s="599"/>
      <c r="AJ678" s="599"/>
      <c r="AK678" s="599"/>
      <c r="AL678" s="599"/>
      <c r="AM678" s="432"/>
      <c r="AO678">
        <f ca="1">IF($A678="S",IF(BM!$I678=0,0,CHOOSE(MATCH(RegimeExecucao,{"Global","Unitário"},0),ROUND(ROUND(BM.MEDAcumulado,15-13*BM!$A$9)/100*BM!$I678,15-13*ORÇAMENTO!$AF$11),ROUND(ROUND(BM.MEDAcumulado,15-13*BM!$A$9)*ROUND(BM!$H678,15-13*ORÇAMENTO!$AF$10),15-13*ORÇAMENTO!$AF$11))),IF($A678=0,0,ROUND(SomaAgrupBM,15-13*ORÇAMENTO!$AF$11)))</f>
        <v>0</v>
      </c>
    </row>
    <row r="679" spans="1:41" ht="13.8" x14ac:dyDescent="0.3">
      <c r="A679" t="str">
        <f ca="1">ORÇAMENTO!C679</f>
        <v>S</v>
      </c>
      <c r="B679">
        <f ca="1">ORÇAMENTO!D679</f>
        <v>0</v>
      </c>
      <c r="C679" s="143" t="str">
        <f t="shared" ca="1" si="122"/>
        <v/>
      </c>
      <c r="D679" s="146" t="str">
        <f ca="1">ORÇAMENTO!O679</f>
        <v>-</v>
      </c>
      <c r="E679" s="206" t="str">
        <f t="shared" ca="1" si="123"/>
        <v>(abra o arquivo 'Referência 05-2024.xls)</v>
      </c>
      <c r="F679" s="207" t="str">
        <f t="shared" ca="1" si="124"/>
        <v>-</v>
      </c>
      <c r="G679" s="151">
        <f ca="1">IF(RegimeExecucao="Global","",ORÇAMENTO!T679)</f>
        <v>1</v>
      </c>
      <c r="H679" s="151">
        <f ca="1">IF(RegimeExecucao="Global","",ORÇAMENTO!W679)</f>
        <v>0</v>
      </c>
      <c r="I679" s="154">
        <f ca="1">ORÇAMENTO!X679</f>
        <v>0</v>
      </c>
      <c r="J679" s="427">
        <f t="shared" ca="1" si="125"/>
        <v>0</v>
      </c>
      <c r="K679" s="151">
        <f t="shared" ca="1" si="126"/>
        <v>0</v>
      </c>
      <c r="L679" s="428">
        <f t="shared" ca="1" si="127"/>
        <v>0</v>
      </c>
      <c r="M679" s="429">
        <f ca="1">IF($A679="S",VTOTALBM,IF($A679=0,0,ROUND(SomaAgrupBM,15-13*ORÇAMENTO!$AF$11)))</f>
        <v>0</v>
      </c>
      <c r="N679" s="430">
        <f t="shared" ca="1" si="128"/>
        <v>0</v>
      </c>
      <c r="O679" s="154">
        <f ca="1">IF($A679="S",VTOTALBM,IF($A679=0,0,ROUND(SomaAgrupBM,15-13*ORÇAMENTO!$AF$11)))</f>
        <v>0</v>
      </c>
      <c r="Q679" s="431"/>
      <c r="R679" s="432"/>
      <c r="T679" s="146" t="str">
        <f t="shared" ca="1" si="129"/>
        <v/>
      </c>
      <c r="U679" s="206" t="str">
        <f t="shared" ca="1" si="130"/>
        <v/>
      </c>
      <c r="V679" s="207" t="str">
        <f t="shared" ca="1" si="131"/>
        <v/>
      </c>
      <c r="W679" s="634">
        <f ca="1">IF($Y679&gt;0,CHOOSE(MATCH(RegimeExecucao,{"Unitário","Global"},0),IF($A679="S",$Y679/$X679,""),($Y679/$X679)*100),0)</f>
        <v>0</v>
      </c>
      <c r="X679" s="433" t="str">
        <f ca="1">IF($Y679&gt;0,CHOOSE(MATCH(RegimeExecucao,{"Unitário","Global"},0),IF($A679="S",ROUND($H679,ORÇAMENTO!$AF$10),""),ROUND($I679,ORÇAMENTO!$AF$11)),"")</f>
        <v/>
      </c>
      <c r="Y679" s="433">
        <f t="shared" ca="1" si="132"/>
        <v>0</v>
      </c>
      <c r="Z679" s="434"/>
      <c r="AB679" s="431"/>
      <c r="AC679" s="599"/>
      <c r="AD679" s="599"/>
      <c r="AE679" s="599"/>
      <c r="AF679" s="599"/>
      <c r="AG679" s="599"/>
      <c r="AH679" s="599"/>
      <c r="AI679" s="599"/>
      <c r="AJ679" s="599"/>
      <c r="AK679" s="599"/>
      <c r="AL679" s="599"/>
      <c r="AM679" s="432"/>
      <c r="AO679">
        <f ca="1">IF($A679="S",IF(BM!$I679=0,0,CHOOSE(MATCH(RegimeExecucao,{"Global","Unitário"},0),ROUND(ROUND(BM.MEDAcumulado,15-13*BM!$A$9)/100*BM!$I679,15-13*ORÇAMENTO!$AF$11),ROUND(ROUND(BM.MEDAcumulado,15-13*BM!$A$9)*ROUND(BM!$H679,15-13*ORÇAMENTO!$AF$10),15-13*ORÇAMENTO!$AF$11))),IF($A679=0,0,ROUND(SomaAgrupBM,15-13*ORÇAMENTO!$AF$11)))</f>
        <v>0</v>
      </c>
    </row>
    <row r="680" spans="1:41" ht="13.8" x14ac:dyDescent="0.3">
      <c r="A680" t="str">
        <f ca="1">ORÇAMENTO!C680</f>
        <v>S</v>
      </c>
      <c r="B680">
        <f ca="1">ORÇAMENTO!D680</f>
        <v>0</v>
      </c>
      <c r="C680" s="143" t="str">
        <f t="shared" ca="1" si="122"/>
        <v/>
      </c>
      <c r="D680" s="146" t="str">
        <f ca="1">ORÇAMENTO!O680</f>
        <v>-</v>
      </c>
      <c r="E680" s="206" t="str">
        <f t="shared" ca="1" si="123"/>
        <v>(abra o arquivo 'Referência 05-2024.xls)</v>
      </c>
      <c r="F680" s="207" t="str">
        <f t="shared" ca="1" si="124"/>
        <v>-</v>
      </c>
      <c r="G680" s="151">
        <f ca="1">IF(RegimeExecucao="Global","",ORÇAMENTO!T680)</f>
        <v>43.95</v>
      </c>
      <c r="H680" s="151">
        <f ca="1">IF(RegimeExecucao="Global","",ORÇAMENTO!W680)</f>
        <v>0</v>
      </c>
      <c r="I680" s="154">
        <f ca="1">ORÇAMENTO!X680</f>
        <v>0</v>
      </c>
      <c r="J680" s="427">
        <f t="shared" ca="1" si="125"/>
        <v>0</v>
      </c>
      <c r="K680" s="151">
        <f t="shared" ca="1" si="126"/>
        <v>0</v>
      </c>
      <c r="L680" s="428">
        <f t="shared" ca="1" si="127"/>
        <v>0</v>
      </c>
      <c r="M680" s="429">
        <f ca="1">IF($A680="S",VTOTALBM,IF($A680=0,0,ROUND(SomaAgrupBM,15-13*ORÇAMENTO!$AF$11)))</f>
        <v>0</v>
      </c>
      <c r="N680" s="430">
        <f t="shared" ca="1" si="128"/>
        <v>0</v>
      </c>
      <c r="O680" s="154">
        <f ca="1">IF($A680="S",VTOTALBM,IF($A680=0,0,ROUND(SomaAgrupBM,15-13*ORÇAMENTO!$AF$11)))</f>
        <v>0</v>
      </c>
      <c r="Q680" s="431"/>
      <c r="R680" s="432"/>
      <c r="T680" s="146" t="str">
        <f t="shared" ca="1" si="129"/>
        <v/>
      </c>
      <c r="U680" s="206" t="str">
        <f t="shared" ca="1" si="130"/>
        <v/>
      </c>
      <c r="V680" s="207" t="str">
        <f t="shared" ca="1" si="131"/>
        <v/>
      </c>
      <c r="W680" s="634">
        <f ca="1">IF($Y680&gt;0,CHOOSE(MATCH(RegimeExecucao,{"Unitário","Global"},0),IF($A680="S",$Y680/$X680,""),($Y680/$X680)*100),0)</f>
        <v>0</v>
      </c>
      <c r="X680" s="433" t="str">
        <f ca="1">IF($Y680&gt;0,CHOOSE(MATCH(RegimeExecucao,{"Unitário","Global"},0),IF($A680="S",ROUND($H680,ORÇAMENTO!$AF$10),""),ROUND($I680,ORÇAMENTO!$AF$11)),"")</f>
        <v/>
      </c>
      <c r="Y680" s="433">
        <f t="shared" ca="1" si="132"/>
        <v>0</v>
      </c>
      <c r="Z680" s="434"/>
      <c r="AB680" s="431"/>
      <c r="AC680" s="599"/>
      <c r="AD680" s="599"/>
      <c r="AE680" s="599"/>
      <c r="AF680" s="599"/>
      <c r="AG680" s="599"/>
      <c r="AH680" s="599"/>
      <c r="AI680" s="599"/>
      <c r="AJ680" s="599"/>
      <c r="AK680" s="599"/>
      <c r="AL680" s="599"/>
      <c r="AM680" s="432"/>
      <c r="AO680">
        <f ca="1">IF($A680="S",IF(BM!$I680=0,0,CHOOSE(MATCH(RegimeExecucao,{"Global","Unitário"},0),ROUND(ROUND(BM.MEDAcumulado,15-13*BM!$A$9)/100*BM!$I680,15-13*ORÇAMENTO!$AF$11),ROUND(ROUND(BM.MEDAcumulado,15-13*BM!$A$9)*ROUND(BM!$H680,15-13*ORÇAMENTO!$AF$10),15-13*ORÇAMENTO!$AF$11))),IF($A680=0,0,ROUND(SomaAgrupBM,15-13*ORÇAMENTO!$AF$11)))</f>
        <v>0</v>
      </c>
    </row>
    <row r="681" spans="1:41" ht="13.8" x14ac:dyDescent="0.3">
      <c r="A681" t="str">
        <f ca="1">ORÇAMENTO!C681</f>
        <v>S</v>
      </c>
      <c r="B681">
        <f ca="1">ORÇAMENTO!D681</f>
        <v>0</v>
      </c>
      <c r="C681" s="143" t="str">
        <f t="shared" ca="1" si="122"/>
        <v/>
      </c>
      <c r="D681" s="146" t="str">
        <f ca="1">ORÇAMENTO!O681</f>
        <v>-</v>
      </c>
      <c r="E681" s="206" t="str">
        <f t="shared" ca="1" si="123"/>
        <v>(abra o arquivo 'Referência 05-2024.xls)</v>
      </c>
      <c r="F681" s="207" t="str">
        <f t="shared" ca="1" si="124"/>
        <v>-</v>
      </c>
      <c r="G681" s="151">
        <f ca="1">IF(RegimeExecucao="Global","",ORÇAMENTO!T681)</f>
        <v>43.95</v>
      </c>
      <c r="H681" s="151">
        <f ca="1">IF(RegimeExecucao="Global","",ORÇAMENTO!W681)</f>
        <v>0</v>
      </c>
      <c r="I681" s="154">
        <f ca="1">ORÇAMENTO!X681</f>
        <v>0</v>
      </c>
      <c r="J681" s="427">
        <f t="shared" ca="1" si="125"/>
        <v>0</v>
      </c>
      <c r="K681" s="151">
        <f t="shared" ca="1" si="126"/>
        <v>0</v>
      </c>
      <c r="L681" s="428">
        <f t="shared" ca="1" si="127"/>
        <v>0</v>
      </c>
      <c r="M681" s="429">
        <f ca="1">IF($A681="S",VTOTALBM,IF($A681=0,0,ROUND(SomaAgrupBM,15-13*ORÇAMENTO!$AF$11)))</f>
        <v>0</v>
      </c>
      <c r="N681" s="430">
        <f t="shared" ca="1" si="128"/>
        <v>0</v>
      </c>
      <c r="O681" s="154">
        <f ca="1">IF($A681="S",VTOTALBM,IF($A681=0,0,ROUND(SomaAgrupBM,15-13*ORÇAMENTO!$AF$11)))</f>
        <v>0</v>
      </c>
      <c r="Q681" s="431"/>
      <c r="R681" s="432"/>
      <c r="T681" s="146" t="str">
        <f t="shared" ca="1" si="129"/>
        <v/>
      </c>
      <c r="U681" s="206" t="str">
        <f t="shared" ca="1" si="130"/>
        <v/>
      </c>
      <c r="V681" s="207" t="str">
        <f t="shared" ca="1" si="131"/>
        <v/>
      </c>
      <c r="W681" s="634">
        <f ca="1">IF($Y681&gt;0,CHOOSE(MATCH(RegimeExecucao,{"Unitário","Global"},0),IF($A681="S",$Y681/$X681,""),($Y681/$X681)*100),0)</f>
        <v>0</v>
      </c>
      <c r="X681" s="433" t="str">
        <f ca="1">IF($Y681&gt;0,CHOOSE(MATCH(RegimeExecucao,{"Unitário","Global"},0),IF($A681="S",ROUND($H681,ORÇAMENTO!$AF$10),""),ROUND($I681,ORÇAMENTO!$AF$11)),"")</f>
        <v/>
      </c>
      <c r="Y681" s="433">
        <f t="shared" ca="1" si="132"/>
        <v>0</v>
      </c>
      <c r="Z681" s="434"/>
      <c r="AB681" s="431"/>
      <c r="AC681" s="599"/>
      <c r="AD681" s="599"/>
      <c r="AE681" s="599"/>
      <c r="AF681" s="599"/>
      <c r="AG681" s="599"/>
      <c r="AH681" s="599"/>
      <c r="AI681" s="599"/>
      <c r="AJ681" s="599"/>
      <c r="AK681" s="599"/>
      <c r="AL681" s="599"/>
      <c r="AM681" s="432"/>
      <c r="AO681">
        <f ca="1">IF($A681="S",IF(BM!$I681=0,0,CHOOSE(MATCH(RegimeExecucao,{"Global","Unitário"},0),ROUND(ROUND(BM.MEDAcumulado,15-13*BM!$A$9)/100*BM!$I681,15-13*ORÇAMENTO!$AF$11),ROUND(ROUND(BM.MEDAcumulado,15-13*BM!$A$9)*ROUND(BM!$H681,15-13*ORÇAMENTO!$AF$10),15-13*ORÇAMENTO!$AF$11))),IF($A681=0,0,ROUND(SomaAgrupBM,15-13*ORÇAMENTO!$AF$11)))</f>
        <v>0</v>
      </c>
    </row>
    <row r="682" spans="1:41" ht="13.8" x14ac:dyDescent="0.3">
      <c r="A682" t="str">
        <f ca="1">ORÇAMENTO!C682</f>
        <v>S</v>
      </c>
      <c r="B682">
        <f ca="1">ORÇAMENTO!D682</f>
        <v>0</v>
      </c>
      <c r="C682" s="143" t="str">
        <f t="shared" ca="1" si="122"/>
        <v/>
      </c>
      <c r="D682" s="146" t="str">
        <f ca="1">ORÇAMENTO!O682</f>
        <v>-</v>
      </c>
      <c r="E682" s="206" t="str">
        <f t="shared" ca="1" si="123"/>
        <v>(abra o arquivo 'Referência 05-2024.xls)</v>
      </c>
      <c r="F682" s="207" t="str">
        <f t="shared" ca="1" si="124"/>
        <v>-</v>
      </c>
      <c r="G682" s="151">
        <f ca="1">IF(RegimeExecucao="Global","",ORÇAMENTO!T682)</f>
        <v>15</v>
      </c>
      <c r="H682" s="151">
        <f ca="1">IF(RegimeExecucao="Global","",ORÇAMENTO!W682)</f>
        <v>0</v>
      </c>
      <c r="I682" s="154">
        <f ca="1">ORÇAMENTO!X682</f>
        <v>0</v>
      </c>
      <c r="J682" s="427">
        <f t="shared" ca="1" si="125"/>
        <v>0</v>
      </c>
      <c r="K682" s="151">
        <f t="shared" ca="1" si="126"/>
        <v>0</v>
      </c>
      <c r="L682" s="428">
        <f t="shared" ca="1" si="127"/>
        <v>0</v>
      </c>
      <c r="M682" s="429">
        <f ca="1">IF($A682="S",VTOTALBM,IF($A682=0,0,ROUND(SomaAgrupBM,15-13*ORÇAMENTO!$AF$11)))</f>
        <v>0</v>
      </c>
      <c r="N682" s="430">
        <f t="shared" ca="1" si="128"/>
        <v>0</v>
      </c>
      <c r="O682" s="154">
        <f ca="1">IF($A682="S",VTOTALBM,IF($A682=0,0,ROUND(SomaAgrupBM,15-13*ORÇAMENTO!$AF$11)))</f>
        <v>0</v>
      </c>
      <c r="Q682" s="431"/>
      <c r="R682" s="432"/>
      <c r="T682" s="146" t="str">
        <f t="shared" ca="1" si="129"/>
        <v/>
      </c>
      <c r="U682" s="206" t="str">
        <f t="shared" ca="1" si="130"/>
        <v/>
      </c>
      <c r="V682" s="207" t="str">
        <f t="shared" ca="1" si="131"/>
        <v/>
      </c>
      <c r="W682" s="634">
        <f ca="1">IF($Y682&gt;0,CHOOSE(MATCH(RegimeExecucao,{"Unitário","Global"},0),IF($A682="S",$Y682/$X682,""),($Y682/$X682)*100),0)</f>
        <v>0</v>
      </c>
      <c r="X682" s="433" t="str">
        <f ca="1">IF($Y682&gt;0,CHOOSE(MATCH(RegimeExecucao,{"Unitário","Global"},0),IF($A682="S",ROUND($H682,ORÇAMENTO!$AF$10),""),ROUND($I682,ORÇAMENTO!$AF$11)),"")</f>
        <v/>
      </c>
      <c r="Y682" s="433">
        <f t="shared" ca="1" si="132"/>
        <v>0</v>
      </c>
      <c r="Z682" s="434"/>
      <c r="AB682" s="431"/>
      <c r="AC682" s="599"/>
      <c r="AD682" s="599"/>
      <c r="AE682" s="599"/>
      <c r="AF682" s="599"/>
      <c r="AG682" s="599"/>
      <c r="AH682" s="599"/>
      <c r="AI682" s="599"/>
      <c r="AJ682" s="599"/>
      <c r="AK682" s="599"/>
      <c r="AL682" s="599"/>
      <c r="AM682" s="432"/>
      <c r="AO682">
        <f ca="1">IF($A682="S",IF(BM!$I682=0,0,CHOOSE(MATCH(RegimeExecucao,{"Global","Unitário"},0),ROUND(ROUND(BM.MEDAcumulado,15-13*BM!$A$9)/100*BM!$I682,15-13*ORÇAMENTO!$AF$11),ROUND(ROUND(BM.MEDAcumulado,15-13*BM!$A$9)*ROUND(BM!$H682,15-13*ORÇAMENTO!$AF$10),15-13*ORÇAMENTO!$AF$11))),IF($A682=0,0,ROUND(SomaAgrupBM,15-13*ORÇAMENTO!$AF$11)))</f>
        <v>0</v>
      </c>
    </row>
    <row r="683" spans="1:41" ht="13.8" x14ac:dyDescent="0.3">
      <c r="A683" t="str">
        <f ca="1">ORÇAMENTO!C683</f>
        <v>S</v>
      </c>
      <c r="B683">
        <f ca="1">ORÇAMENTO!D683</f>
        <v>0</v>
      </c>
      <c r="C683" s="143" t="str">
        <f t="shared" ca="1" si="122"/>
        <v/>
      </c>
      <c r="D683" s="146" t="str">
        <f ca="1">ORÇAMENTO!O683</f>
        <v>-</v>
      </c>
      <c r="E683" s="206" t="str">
        <f t="shared" ca="1" si="123"/>
        <v>(abra o arquivo 'Referência 05-2024.xls)</v>
      </c>
      <c r="F683" s="207" t="str">
        <f t="shared" ca="1" si="124"/>
        <v>-</v>
      </c>
      <c r="G683" s="151">
        <f ca="1">IF(RegimeExecucao="Global","",ORÇAMENTO!T683)</f>
        <v>50</v>
      </c>
      <c r="H683" s="151">
        <f ca="1">IF(RegimeExecucao="Global","",ORÇAMENTO!W683)</f>
        <v>0</v>
      </c>
      <c r="I683" s="154">
        <f ca="1">ORÇAMENTO!X683</f>
        <v>0</v>
      </c>
      <c r="J683" s="427">
        <f t="shared" ca="1" si="125"/>
        <v>0</v>
      </c>
      <c r="K683" s="151">
        <f t="shared" ca="1" si="126"/>
        <v>0</v>
      </c>
      <c r="L683" s="428">
        <f t="shared" ca="1" si="127"/>
        <v>0</v>
      </c>
      <c r="M683" s="429">
        <f ca="1">IF($A683="S",VTOTALBM,IF($A683=0,0,ROUND(SomaAgrupBM,15-13*ORÇAMENTO!$AF$11)))</f>
        <v>0</v>
      </c>
      <c r="N683" s="430">
        <f t="shared" ca="1" si="128"/>
        <v>0</v>
      </c>
      <c r="O683" s="154">
        <f ca="1">IF($A683="S",VTOTALBM,IF($A683=0,0,ROUND(SomaAgrupBM,15-13*ORÇAMENTO!$AF$11)))</f>
        <v>0</v>
      </c>
      <c r="Q683" s="431"/>
      <c r="R683" s="432"/>
      <c r="T683" s="146" t="str">
        <f t="shared" ca="1" si="129"/>
        <v/>
      </c>
      <c r="U683" s="206" t="str">
        <f t="shared" ca="1" si="130"/>
        <v/>
      </c>
      <c r="V683" s="207" t="str">
        <f t="shared" ca="1" si="131"/>
        <v/>
      </c>
      <c r="W683" s="634">
        <f ca="1">IF($Y683&gt;0,CHOOSE(MATCH(RegimeExecucao,{"Unitário","Global"},0),IF($A683="S",$Y683/$X683,""),($Y683/$X683)*100),0)</f>
        <v>0</v>
      </c>
      <c r="X683" s="433" t="str">
        <f ca="1">IF($Y683&gt;0,CHOOSE(MATCH(RegimeExecucao,{"Unitário","Global"},0),IF($A683="S",ROUND($H683,ORÇAMENTO!$AF$10),""),ROUND($I683,ORÇAMENTO!$AF$11)),"")</f>
        <v/>
      </c>
      <c r="Y683" s="433">
        <f t="shared" ca="1" si="132"/>
        <v>0</v>
      </c>
      <c r="Z683" s="434"/>
      <c r="AB683" s="431"/>
      <c r="AC683" s="599"/>
      <c r="AD683" s="599"/>
      <c r="AE683" s="599"/>
      <c r="AF683" s="599"/>
      <c r="AG683" s="599"/>
      <c r="AH683" s="599"/>
      <c r="AI683" s="599"/>
      <c r="AJ683" s="599"/>
      <c r="AK683" s="599"/>
      <c r="AL683" s="599"/>
      <c r="AM683" s="432"/>
      <c r="AO683">
        <f ca="1">IF($A683="S",IF(BM!$I683=0,0,CHOOSE(MATCH(RegimeExecucao,{"Global","Unitário"},0),ROUND(ROUND(BM.MEDAcumulado,15-13*BM!$A$9)/100*BM!$I683,15-13*ORÇAMENTO!$AF$11),ROUND(ROUND(BM.MEDAcumulado,15-13*BM!$A$9)*ROUND(BM!$H683,15-13*ORÇAMENTO!$AF$10),15-13*ORÇAMENTO!$AF$11))),IF($A683=0,0,ROUND(SomaAgrupBM,15-13*ORÇAMENTO!$AF$11)))</f>
        <v>0</v>
      </c>
    </row>
    <row r="684" spans="1:41" ht="13.8" x14ac:dyDescent="0.3">
      <c r="A684" t="str">
        <f ca="1">ORÇAMENTO!C684</f>
        <v>S</v>
      </c>
      <c r="B684">
        <f ca="1">ORÇAMENTO!D684</f>
        <v>0</v>
      </c>
      <c r="C684" s="143" t="str">
        <f t="shared" ca="1" si="122"/>
        <v/>
      </c>
      <c r="D684" s="146" t="str">
        <f ca="1">ORÇAMENTO!O684</f>
        <v>-</v>
      </c>
      <c r="E684" s="206" t="str">
        <f t="shared" ca="1" si="123"/>
        <v>(abra o arquivo 'Referência 05-2024.xls)</v>
      </c>
      <c r="F684" s="207" t="str">
        <f t="shared" ca="1" si="124"/>
        <v>-</v>
      </c>
      <c r="G684" s="151">
        <f ca="1">IF(RegimeExecucao="Global","",ORÇAMENTO!T684)</f>
        <v>470</v>
      </c>
      <c r="H684" s="151">
        <f ca="1">IF(RegimeExecucao="Global","",ORÇAMENTO!W684)</f>
        <v>0</v>
      </c>
      <c r="I684" s="154">
        <f ca="1">ORÇAMENTO!X684</f>
        <v>0</v>
      </c>
      <c r="J684" s="427">
        <f t="shared" ca="1" si="125"/>
        <v>0</v>
      </c>
      <c r="K684" s="151">
        <f t="shared" ca="1" si="126"/>
        <v>0</v>
      </c>
      <c r="L684" s="428">
        <f t="shared" ca="1" si="127"/>
        <v>0</v>
      </c>
      <c r="M684" s="429">
        <f ca="1">IF($A684="S",VTOTALBM,IF($A684=0,0,ROUND(SomaAgrupBM,15-13*ORÇAMENTO!$AF$11)))</f>
        <v>0</v>
      </c>
      <c r="N684" s="430">
        <f t="shared" ca="1" si="128"/>
        <v>0</v>
      </c>
      <c r="O684" s="154">
        <f ca="1">IF($A684="S",VTOTALBM,IF($A684=0,0,ROUND(SomaAgrupBM,15-13*ORÇAMENTO!$AF$11)))</f>
        <v>0</v>
      </c>
      <c r="Q684" s="431"/>
      <c r="R684" s="432"/>
      <c r="T684" s="146" t="str">
        <f t="shared" ca="1" si="129"/>
        <v/>
      </c>
      <c r="U684" s="206" t="str">
        <f t="shared" ca="1" si="130"/>
        <v/>
      </c>
      <c r="V684" s="207" t="str">
        <f t="shared" ca="1" si="131"/>
        <v/>
      </c>
      <c r="W684" s="634">
        <f ca="1">IF($Y684&gt;0,CHOOSE(MATCH(RegimeExecucao,{"Unitário","Global"},0),IF($A684="S",$Y684/$X684,""),($Y684/$X684)*100),0)</f>
        <v>0</v>
      </c>
      <c r="X684" s="433" t="str">
        <f ca="1">IF($Y684&gt;0,CHOOSE(MATCH(RegimeExecucao,{"Unitário","Global"},0),IF($A684="S",ROUND($H684,ORÇAMENTO!$AF$10),""),ROUND($I684,ORÇAMENTO!$AF$11)),"")</f>
        <v/>
      </c>
      <c r="Y684" s="433">
        <f t="shared" ca="1" si="132"/>
        <v>0</v>
      </c>
      <c r="Z684" s="434"/>
      <c r="AB684" s="431"/>
      <c r="AC684" s="599"/>
      <c r="AD684" s="599"/>
      <c r="AE684" s="599"/>
      <c r="AF684" s="599"/>
      <c r="AG684" s="599"/>
      <c r="AH684" s="599"/>
      <c r="AI684" s="599"/>
      <c r="AJ684" s="599"/>
      <c r="AK684" s="599"/>
      <c r="AL684" s="599"/>
      <c r="AM684" s="432"/>
      <c r="AO684">
        <f ca="1">IF($A684="S",IF(BM!$I684=0,0,CHOOSE(MATCH(RegimeExecucao,{"Global","Unitário"},0),ROUND(ROUND(BM.MEDAcumulado,15-13*BM!$A$9)/100*BM!$I684,15-13*ORÇAMENTO!$AF$11),ROUND(ROUND(BM.MEDAcumulado,15-13*BM!$A$9)*ROUND(BM!$H684,15-13*ORÇAMENTO!$AF$10),15-13*ORÇAMENTO!$AF$11))),IF($A684=0,0,ROUND(SomaAgrupBM,15-13*ORÇAMENTO!$AF$11)))</f>
        <v>0</v>
      </c>
    </row>
    <row r="685" spans="1:41" ht="13.8" x14ac:dyDescent="0.3">
      <c r="A685" t="str">
        <f ca="1">ORÇAMENTO!C685</f>
        <v>S</v>
      </c>
      <c r="B685">
        <f ca="1">ORÇAMENTO!D685</f>
        <v>0</v>
      </c>
      <c r="C685" s="143" t="str">
        <f t="shared" ca="1" si="122"/>
        <v/>
      </c>
      <c r="D685" s="146" t="str">
        <f ca="1">ORÇAMENTO!O685</f>
        <v>-</v>
      </c>
      <c r="E685" s="206" t="str">
        <f t="shared" ca="1" si="123"/>
        <v>(abra o arquivo 'Referência 05-2024.xls)</v>
      </c>
      <c r="F685" s="207" t="str">
        <f t="shared" ca="1" si="124"/>
        <v>-</v>
      </c>
      <c r="G685" s="151">
        <f ca="1">IF(RegimeExecucao="Global","",ORÇAMENTO!T685)</f>
        <v>15</v>
      </c>
      <c r="H685" s="151">
        <f ca="1">IF(RegimeExecucao="Global","",ORÇAMENTO!W685)</f>
        <v>0</v>
      </c>
      <c r="I685" s="154">
        <f ca="1">ORÇAMENTO!X685</f>
        <v>0</v>
      </c>
      <c r="J685" s="427">
        <f t="shared" ca="1" si="125"/>
        <v>0</v>
      </c>
      <c r="K685" s="151">
        <f t="shared" ca="1" si="126"/>
        <v>0</v>
      </c>
      <c r="L685" s="428">
        <f t="shared" ca="1" si="127"/>
        <v>0</v>
      </c>
      <c r="M685" s="429">
        <f ca="1">IF($A685="S",VTOTALBM,IF($A685=0,0,ROUND(SomaAgrupBM,15-13*ORÇAMENTO!$AF$11)))</f>
        <v>0</v>
      </c>
      <c r="N685" s="430">
        <f t="shared" ca="1" si="128"/>
        <v>0</v>
      </c>
      <c r="O685" s="154">
        <f ca="1">IF($A685="S",VTOTALBM,IF($A685=0,0,ROUND(SomaAgrupBM,15-13*ORÇAMENTO!$AF$11)))</f>
        <v>0</v>
      </c>
      <c r="Q685" s="431"/>
      <c r="R685" s="432"/>
      <c r="T685" s="146" t="str">
        <f t="shared" ca="1" si="129"/>
        <v/>
      </c>
      <c r="U685" s="206" t="str">
        <f t="shared" ca="1" si="130"/>
        <v/>
      </c>
      <c r="V685" s="207" t="str">
        <f t="shared" ca="1" si="131"/>
        <v/>
      </c>
      <c r="W685" s="634">
        <f ca="1">IF($Y685&gt;0,CHOOSE(MATCH(RegimeExecucao,{"Unitário","Global"},0),IF($A685="S",$Y685/$X685,""),($Y685/$X685)*100),0)</f>
        <v>0</v>
      </c>
      <c r="X685" s="433" t="str">
        <f ca="1">IF($Y685&gt;0,CHOOSE(MATCH(RegimeExecucao,{"Unitário","Global"},0),IF($A685="S",ROUND($H685,ORÇAMENTO!$AF$10),""),ROUND($I685,ORÇAMENTO!$AF$11)),"")</f>
        <v/>
      </c>
      <c r="Y685" s="433">
        <f t="shared" ca="1" si="132"/>
        <v>0</v>
      </c>
      <c r="Z685" s="434"/>
      <c r="AB685" s="431"/>
      <c r="AC685" s="599"/>
      <c r="AD685" s="599"/>
      <c r="AE685" s="599"/>
      <c r="AF685" s="599"/>
      <c r="AG685" s="599"/>
      <c r="AH685" s="599"/>
      <c r="AI685" s="599"/>
      <c r="AJ685" s="599"/>
      <c r="AK685" s="599"/>
      <c r="AL685" s="599"/>
      <c r="AM685" s="432"/>
      <c r="AO685">
        <f ca="1">IF($A685="S",IF(BM!$I685=0,0,CHOOSE(MATCH(RegimeExecucao,{"Global","Unitário"},0),ROUND(ROUND(BM.MEDAcumulado,15-13*BM!$A$9)/100*BM!$I685,15-13*ORÇAMENTO!$AF$11),ROUND(ROUND(BM.MEDAcumulado,15-13*BM!$A$9)*ROUND(BM!$H685,15-13*ORÇAMENTO!$AF$10),15-13*ORÇAMENTO!$AF$11))),IF($A685=0,0,ROUND(SomaAgrupBM,15-13*ORÇAMENTO!$AF$11)))</f>
        <v>0</v>
      </c>
    </row>
    <row r="686" spans="1:41" ht="13.8" x14ac:dyDescent="0.3">
      <c r="A686" t="str">
        <f ca="1">ORÇAMENTO!C686</f>
        <v>S</v>
      </c>
      <c r="B686">
        <f ca="1">ORÇAMENTO!D686</f>
        <v>0</v>
      </c>
      <c r="C686" s="143" t="str">
        <f t="shared" ca="1" si="122"/>
        <v/>
      </c>
      <c r="D686" s="146" t="str">
        <f ca="1">ORÇAMENTO!O686</f>
        <v>-</v>
      </c>
      <c r="E686" s="206" t="str">
        <f t="shared" ca="1" si="123"/>
        <v>(abra o arquivo 'Referência 05-2024.xls)</v>
      </c>
      <c r="F686" s="207" t="str">
        <f t="shared" ca="1" si="124"/>
        <v>-</v>
      </c>
      <c r="G686" s="151">
        <f ca="1">IF(RegimeExecucao="Global","",ORÇAMENTO!T686)</f>
        <v>25</v>
      </c>
      <c r="H686" s="151">
        <f ca="1">IF(RegimeExecucao="Global","",ORÇAMENTO!W686)</f>
        <v>0</v>
      </c>
      <c r="I686" s="154">
        <f ca="1">ORÇAMENTO!X686</f>
        <v>0</v>
      </c>
      <c r="J686" s="427">
        <f t="shared" ca="1" si="125"/>
        <v>0</v>
      </c>
      <c r="K686" s="151">
        <f t="shared" ca="1" si="126"/>
        <v>0</v>
      </c>
      <c r="L686" s="428">
        <f t="shared" ca="1" si="127"/>
        <v>0</v>
      </c>
      <c r="M686" s="429">
        <f ca="1">IF($A686="S",VTOTALBM,IF($A686=0,0,ROUND(SomaAgrupBM,15-13*ORÇAMENTO!$AF$11)))</f>
        <v>0</v>
      </c>
      <c r="N686" s="430">
        <f t="shared" ca="1" si="128"/>
        <v>0</v>
      </c>
      <c r="O686" s="154">
        <f ca="1">IF($A686="S",VTOTALBM,IF($A686=0,0,ROUND(SomaAgrupBM,15-13*ORÇAMENTO!$AF$11)))</f>
        <v>0</v>
      </c>
      <c r="Q686" s="431"/>
      <c r="R686" s="432"/>
      <c r="T686" s="146" t="str">
        <f t="shared" ca="1" si="129"/>
        <v/>
      </c>
      <c r="U686" s="206" t="str">
        <f t="shared" ca="1" si="130"/>
        <v/>
      </c>
      <c r="V686" s="207" t="str">
        <f t="shared" ca="1" si="131"/>
        <v/>
      </c>
      <c r="W686" s="634">
        <f ca="1">IF($Y686&gt;0,CHOOSE(MATCH(RegimeExecucao,{"Unitário","Global"},0),IF($A686="S",$Y686/$X686,""),($Y686/$X686)*100),0)</f>
        <v>0</v>
      </c>
      <c r="X686" s="433" t="str">
        <f ca="1">IF($Y686&gt;0,CHOOSE(MATCH(RegimeExecucao,{"Unitário","Global"},0),IF($A686="S",ROUND($H686,ORÇAMENTO!$AF$10),""),ROUND($I686,ORÇAMENTO!$AF$11)),"")</f>
        <v/>
      </c>
      <c r="Y686" s="433">
        <f t="shared" ca="1" si="132"/>
        <v>0</v>
      </c>
      <c r="Z686" s="434"/>
      <c r="AB686" s="431"/>
      <c r="AC686" s="599"/>
      <c r="AD686" s="599"/>
      <c r="AE686" s="599"/>
      <c r="AF686" s="599"/>
      <c r="AG686" s="599"/>
      <c r="AH686" s="599"/>
      <c r="AI686" s="599"/>
      <c r="AJ686" s="599"/>
      <c r="AK686" s="599"/>
      <c r="AL686" s="599"/>
      <c r="AM686" s="432"/>
      <c r="AO686">
        <f ca="1">IF($A686="S",IF(BM!$I686=0,0,CHOOSE(MATCH(RegimeExecucao,{"Global","Unitário"},0),ROUND(ROUND(BM.MEDAcumulado,15-13*BM!$A$9)/100*BM!$I686,15-13*ORÇAMENTO!$AF$11),ROUND(ROUND(BM.MEDAcumulado,15-13*BM!$A$9)*ROUND(BM!$H686,15-13*ORÇAMENTO!$AF$10),15-13*ORÇAMENTO!$AF$11))),IF($A686=0,0,ROUND(SomaAgrupBM,15-13*ORÇAMENTO!$AF$11)))</f>
        <v>0</v>
      </c>
    </row>
    <row r="687" spans="1:41" ht="13.8" x14ac:dyDescent="0.3">
      <c r="A687" t="str">
        <f ca="1">ORÇAMENTO!C687</f>
        <v>S</v>
      </c>
      <c r="B687">
        <f ca="1">ORÇAMENTO!D687</f>
        <v>0</v>
      </c>
      <c r="C687" s="143" t="str">
        <f t="shared" ca="1" si="122"/>
        <v/>
      </c>
      <c r="D687" s="146" t="str">
        <f ca="1">ORÇAMENTO!O687</f>
        <v>-</v>
      </c>
      <c r="E687" s="206" t="str">
        <f t="shared" ca="1" si="123"/>
        <v>(abra o arquivo 'Referência 05-2024.xls)</v>
      </c>
      <c r="F687" s="207" t="str">
        <f t="shared" ca="1" si="124"/>
        <v>-</v>
      </c>
      <c r="G687" s="151">
        <f ca="1">IF(RegimeExecucao="Global","",ORÇAMENTO!T687)</f>
        <v>30</v>
      </c>
      <c r="H687" s="151">
        <f ca="1">IF(RegimeExecucao="Global","",ORÇAMENTO!W687)</f>
        <v>0</v>
      </c>
      <c r="I687" s="154">
        <f ca="1">ORÇAMENTO!X687</f>
        <v>0</v>
      </c>
      <c r="J687" s="427">
        <f t="shared" ca="1" si="125"/>
        <v>0</v>
      </c>
      <c r="K687" s="151">
        <f t="shared" ca="1" si="126"/>
        <v>0</v>
      </c>
      <c r="L687" s="428">
        <f t="shared" ca="1" si="127"/>
        <v>0</v>
      </c>
      <c r="M687" s="429">
        <f ca="1">IF($A687="S",VTOTALBM,IF($A687=0,0,ROUND(SomaAgrupBM,15-13*ORÇAMENTO!$AF$11)))</f>
        <v>0</v>
      </c>
      <c r="N687" s="430">
        <f t="shared" ca="1" si="128"/>
        <v>0</v>
      </c>
      <c r="O687" s="154">
        <f ca="1">IF($A687="S",VTOTALBM,IF($A687=0,0,ROUND(SomaAgrupBM,15-13*ORÇAMENTO!$AF$11)))</f>
        <v>0</v>
      </c>
      <c r="Q687" s="431"/>
      <c r="R687" s="432"/>
      <c r="T687" s="146" t="str">
        <f t="shared" ca="1" si="129"/>
        <v/>
      </c>
      <c r="U687" s="206" t="str">
        <f t="shared" ca="1" si="130"/>
        <v/>
      </c>
      <c r="V687" s="207" t="str">
        <f t="shared" ca="1" si="131"/>
        <v/>
      </c>
      <c r="W687" s="634">
        <f ca="1">IF($Y687&gt;0,CHOOSE(MATCH(RegimeExecucao,{"Unitário","Global"},0),IF($A687="S",$Y687/$X687,""),($Y687/$X687)*100),0)</f>
        <v>0</v>
      </c>
      <c r="X687" s="433" t="str">
        <f ca="1">IF($Y687&gt;0,CHOOSE(MATCH(RegimeExecucao,{"Unitário","Global"},0),IF($A687="S",ROUND($H687,ORÇAMENTO!$AF$10),""),ROUND($I687,ORÇAMENTO!$AF$11)),"")</f>
        <v/>
      </c>
      <c r="Y687" s="433">
        <f t="shared" ca="1" si="132"/>
        <v>0</v>
      </c>
      <c r="Z687" s="434"/>
      <c r="AB687" s="431"/>
      <c r="AC687" s="599"/>
      <c r="AD687" s="599"/>
      <c r="AE687" s="599"/>
      <c r="AF687" s="599"/>
      <c r="AG687" s="599"/>
      <c r="AH687" s="599"/>
      <c r="AI687" s="599"/>
      <c r="AJ687" s="599"/>
      <c r="AK687" s="599"/>
      <c r="AL687" s="599"/>
      <c r="AM687" s="432"/>
      <c r="AO687">
        <f ca="1">IF($A687="S",IF(BM!$I687=0,0,CHOOSE(MATCH(RegimeExecucao,{"Global","Unitário"},0),ROUND(ROUND(BM.MEDAcumulado,15-13*BM!$A$9)/100*BM!$I687,15-13*ORÇAMENTO!$AF$11),ROUND(ROUND(BM.MEDAcumulado,15-13*BM!$A$9)*ROUND(BM!$H687,15-13*ORÇAMENTO!$AF$10),15-13*ORÇAMENTO!$AF$11))),IF($A687=0,0,ROUND(SomaAgrupBM,15-13*ORÇAMENTO!$AF$11)))</f>
        <v>0</v>
      </c>
    </row>
    <row r="688" spans="1:41" ht="13.8" x14ac:dyDescent="0.3">
      <c r="A688">
        <f ca="1">ORÇAMENTO!C688</f>
        <v>2</v>
      </c>
      <c r="B688">
        <f ca="1">ORÇAMENTO!D688</f>
        <v>11</v>
      </c>
      <c r="C688" s="143" t="str">
        <f t="shared" ca="1" si="122"/>
        <v>F</v>
      </c>
      <c r="D688" s="146" t="str">
        <f ca="1">ORÇAMENTO!O688</f>
        <v>1.23.</v>
      </c>
      <c r="E688" s="206" t="str">
        <f t="shared" si="123"/>
        <v>SERVIÇOS COMPLEMENTARES</v>
      </c>
      <c r="F688" s="207" t="str">
        <f t="shared" ca="1" si="124"/>
        <v>-</v>
      </c>
      <c r="G688" s="151">
        <f ca="1">IF(RegimeExecucao="Global","",ORÇAMENTO!T688)</f>
        <v>0</v>
      </c>
      <c r="H688" s="151">
        <f ca="1">IF(RegimeExecucao="Global","",ORÇAMENTO!W688)</f>
        <v>0</v>
      </c>
      <c r="I688" s="154">
        <f ca="1">ORÇAMENTO!X688</f>
        <v>0</v>
      </c>
      <c r="J688" s="427">
        <f t="shared" ca="1" si="125"/>
        <v>0</v>
      </c>
      <c r="K688" s="151">
        <f t="shared" ca="1" si="126"/>
        <v>0</v>
      </c>
      <c r="L688" s="428">
        <f t="shared" ca="1" si="127"/>
        <v>0</v>
      </c>
      <c r="M688" s="429">
        <f ca="1">IF($A688="S",VTOTALBM,IF($A688=0,0,ROUND(SomaAgrupBM,15-13*ORÇAMENTO!$AF$11)))</f>
        <v>0</v>
      </c>
      <c r="N688" s="430">
        <f t="shared" ca="1" si="128"/>
        <v>0</v>
      </c>
      <c r="O688" s="154">
        <f ca="1">IF($A688="S",VTOTALBM,IF($A688=0,0,ROUND(SomaAgrupBM,15-13*ORÇAMENTO!$AF$11)))</f>
        <v>0</v>
      </c>
      <c r="Q688" s="431"/>
      <c r="R688" s="432"/>
      <c r="T688" s="146" t="str">
        <f t="shared" ca="1" si="129"/>
        <v/>
      </c>
      <c r="U688" s="206" t="str">
        <f t="shared" ca="1" si="130"/>
        <v/>
      </c>
      <c r="V688" s="207" t="str">
        <f t="shared" ca="1" si="131"/>
        <v/>
      </c>
      <c r="W688" s="634">
        <f ca="1">IF($Y688&gt;0,CHOOSE(MATCH(RegimeExecucao,{"Unitário","Global"},0),IF($A688="S",$Y688/$X688,""),($Y688/$X688)*100),0)</f>
        <v>0</v>
      </c>
      <c r="X688" s="433" t="str">
        <f ca="1">IF($Y688&gt;0,CHOOSE(MATCH(RegimeExecucao,{"Unitário","Global"},0),IF($A688="S",ROUND($H688,ORÇAMENTO!$AF$10),""),ROUND($I688,ORÇAMENTO!$AF$11)),"")</f>
        <v/>
      </c>
      <c r="Y688" s="433">
        <f t="shared" ca="1" si="132"/>
        <v>0</v>
      </c>
      <c r="Z688" s="434"/>
      <c r="AB688" s="431"/>
      <c r="AC688" s="599"/>
      <c r="AD688" s="599"/>
      <c r="AE688" s="599"/>
      <c r="AF688" s="599"/>
      <c r="AG688" s="599"/>
      <c r="AH688" s="599"/>
      <c r="AI688" s="599"/>
      <c r="AJ688" s="599"/>
      <c r="AK688" s="599"/>
      <c r="AL688" s="599"/>
      <c r="AM688" s="432"/>
      <c r="AO688">
        <f ca="1">IF($A688="S",IF(BM!$I688=0,0,CHOOSE(MATCH(RegimeExecucao,{"Global","Unitário"},0),ROUND(ROUND(BM.MEDAcumulado,15-13*BM!$A$9)/100*BM!$I688,15-13*ORÇAMENTO!$AF$11),ROUND(ROUND(BM.MEDAcumulado,15-13*BM!$A$9)*ROUND(BM!$H688,15-13*ORÇAMENTO!$AF$10),15-13*ORÇAMENTO!$AF$11))),IF($A688=0,0,ROUND(SomaAgrupBM,15-13*ORÇAMENTO!$AF$11)))</f>
        <v>0</v>
      </c>
    </row>
    <row r="689" spans="1:41" ht="13.8" x14ac:dyDescent="0.3">
      <c r="A689" t="str">
        <f ca="1">ORÇAMENTO!C689</f>
        <v>S</v>
      </c>
      <c r="B689">
        <f ca="1">ORÇAMENTO!D689</f>
        <v>0</v>
      </c>
      <c r="C689" s="143" t="str">
        <f t="shared" ca="1" si="122"/>
        <v/>
      </c>
      <c r="D689" s="146" t="str">
        <f ca="1">ORÇAMENTO!O689</f>
        <v>-</v>
      </c>
      <c r="E689" s="206" t="str">
        <f t="shared" ca="1" si="123"/>
        <v>(abra o arquivo 'Referência 05-2024.xls)</v>
      </c>
      <c r="F689" s="207" t="str">
        <f t="shared" ca="1" si="124"/>
        <v>-</v>
      </c>
      <c r="G689" s="151">
        <f ca="1">IF(RegimeExecucao="Global","",ORÇAMENTO!T689)</f>
        <v>1</v>
      </c>
      <c r="H689" s="151">
        <f ca="1">IF(RegimeExecucao="Global","",ORÇAMENTO!W689)</f>
        <v>0</v>
      </c>
      <c r="I689" s="154">
        <f ca="1">ORÇAMENTO!X689</f>
        <v>0</v>
      </c>
      <c r="J689" s="427">
        <f t="shared" ca="1" si="125"/>
        <v>0</v>
      </c>
      <c r="K689" s="151">
        <f t="shared" ca="1" si="126"/>
        <v>0</v>
      </c>
      <c r="L689" s="428">
        <f t="shared" ca="1" si="127"/>
        <v>0</v>
      </c>
      <c r="M689" s="429">
        <f ca="1">IF($A689="S",VTOTALBM,IF($A689=0,0,ROUND(SomaAgrupBM,15-13*ORÇAMENTO!$AF$11)))</f>
        <v>0</v>
      </c>
      <c r="N689" s="430">
        <f t="shared" ca="1" si="128"/>
        <v>0</v>
      </c>
      <c r="O689" s="154">
        <f ca="1">IF($A689="S",VTOTALBM,IF($A689=0,0,ROUND(SomaAgrupBM,15-13*ORÇAMENTO!$AF$11)))</f>
        <v>0</v>
      </c>
      <c r="Q689" s="431"/>
      <c r="R689" s="432"/>
      <c r="T689" s="146" t="str">
        <f t="shared" ca="1" si="129"/>
        <v/>
      </c>
      <c r="U689" s="206" t="str">
        <f t="shared" ca="1" si="130"/>
        <v/>
      </c>
      <c r="V689" s="207" t="str">
        <f t="shared" ca="1" si="131"/>
        <v/>
      </c>
      <c r="W689" s="634">
        <f ca="1">IF($Y689&gt;0,CHOOSE(MATCH(RegimeExecucao,{"Unitário","Global"},0),IF($A689="S",$Y689/$X689,""),($Y689/$X689)*100),0)</f>
        <v>0</v>
      </c>
      <c r="X689" s="433" t="str">
        <f ca="1">IF($Y689&gt;0,CHOOSE(MATCH(RegimeExecucao,{"Unitário","Global"},0),IF($A689="S",ROUND($H689,ORÇAMENTO!$AF$10),""),ROUND($I689,ORÇAMENTO!$AF$11)),"")</f>
        <v/>
      </c>
      <c r="Y689" s="433">
        <f t="shared" ca="1" si="132"/>
        <v>0</v>
      </c>
      <c r="Z689" s="434"/>
      <c r="AB689" s="431"/>
      <c r="AC689" s="599"/>
      <c r="AD689" s="599"/>
      <c r="AE689" s="599"/>
      <c r="AF689" s="599"/>
      <c r="AG689" s="599"/>
      <c r="AH689" s="599"/>
      <c r="AI689" s="599"/>
      <c r="AJ689" s="599"/>
      <c r="AK689" s="599"/>
      <c r="AL689" s="599"/>
      <c r="AM689" s="432"/>
      <c r="AO689">
        <f ca="1">IF($A689="S",IF(BM!$I689=0,0,CHOOSE(MATCH(RegimeExecucao,{"Global","Unitário"},0),ROUND(ROUND(BM.MEDAcumulado,15-13*BM!$A$9)/100*BM!$I689,15-13*ORÇAMENTO!$AF$11),ROUND(ROUND(BM.MEDAcumulado,15-13*BM!$A$9)*ROUND(BM!$H689,15-13*ORÇAMENTO!$AF$10),15-13*ORÇAMENTO!$AF$11))),IF($A689=0,0,ROUND(SomaAgrupBM,15-13*ORÇAMENTO!$AF$11)))</f>
        <v>0</v>
      </c>
    </row>
    <row r="690" spans="1:41" ht="13.8" x14ac:dyDescent="0.3">
      <c r="A690" t="str">
        <f ca="1">ORÇAMENTO!C690</f>
        <v>S</v>
      </c>
      <c r="B690">
        <f ca="1">ORÇAMENTO!D690</f>
        <v>0</v>
      </c>
      <c r="C690" s="143" t="str">
        <f t="shared" ca="1" si="122"/>
        <v/>
      </c>
      <c r="D690" s="146" t="str">
        <f ca="1">ORÇAMENTO!O690</f>
        <v>-</v>
      </c>
      <c r="E690" s="206" t="str">
        <f t="shared" ca="1" si="123"/>
        <v>(abra o arquivo 'Referência 05-2024.xls)</v>
      </c>
      <c r="F690" s="207" t="str">
        <f t="shared" ca="1" si="124"/>
        <v>-</v>
      </c>
      <c r="G690" s="151">
        <f ca="1">IF(RegimeExecucao="Global","",ORÇAMENTO!T690)</f>
        <v>61.78</v>
      </c>
      <c r="H690" s="151">
        <f ca="1">IF(RegimeExecucao="Global","",ORÇAMENTO!W690)</f>
        <v>0</v>
      </c>
      <c r="I690" s="154">
        <f ca="1">ORÇAMENTO!X690</f>
        <v>0</v>
      </c>
      <c r="J690" s="427">
        <f t="shared" ca="1" si="125"/>
        <v>0</v>
      </c>
      <c r="K690" s="151">
        <f t="shared" ca="1" si="126"/>
        <v>0</v>
      </c>
      <c r="L690" s="428">
        <f t="shared" ca="1" si="127"/>
        <v>0</v>
      </c>
      <c r="M690" s="429">
        <f ca="1">IF($A690="S",VTOTALBM,IF($A690=0,0,ROUND(SomaAgrupBM,15-13*ORÇAMENTO!$AF$11)))</f>
        <v>0</v>
      </c>
      <c r="N690" s="430">
        <f t="shared" ca="1" si="128"/>
        <v>0</v>
      </c>
      <c r="O690" s="154">
        <f ca="1">IF($A690="S",VTOTALBM,IF($A690=0,0,ROUND(SomaAgrupBM,15-13*ORÇAMENTO!$AF$11)))</f>
        <v>0</v>
      </c>
      <c r="Q690" s="431"/>
      <c r="R690" s="432"/>
      <c r="T690" s="146" t="str">
        <f t="shared" ca="1" si="129"/>
        <v/>
      </c>
      <c r="U690" s="206" t="str">
        <f t="shared" ca="1" si="130"/>
        <v/>
      </c>
      <c r="V690" s="207" t="str">
        <f t="shared" ca="1" si="131"/>
        <v/>
      </c>
      <c r="W690" s="634">
        <f ca="1">IF($Y690&gt;0,CHOOSE(MATCH(RegimeExecucao,{"Unitário","Global"},0),IF($A690="S",$Y690/$X690,""),($Y690/$X690)*100),0)</f>
        <v>0</v>
      </c>
      <c r="X690" s="433" t="str">
        <f ca="1">IF($Y690&gt;0,CHOOSE(MATCH(RegimeExecucao,{"Unitário","Global"},0),IF($A690="S",ROUND($H690,ORÇAMENTO!$AF$10),""),ROUND($I690,ORÇAMENTO!$AF$11)),"")</f>
        <v/>
      </c>
      <c r="Y690" s="433">
        <f t="shared" ca="1" si="132"/>
        <v>0</v>
      </c>
      <c r="Z690" s="434"/>
      <c r="AB690" s="431"/>
      <c r="AC690" s="599"/>
      <c r="AD690" s="599"/>
      <c r="AE690" s="599"/>
      <c r="AF690" s="599"/>
      <c r="AG690" s="599"/>
      <c r="AH690" s="599"/>
      <c r="AI690" s="599"/>
      <c r="AJ690" s="599"/>
      <c r="AK690" s="599"/>
      <c r="AL690" s="599"/>
      <c r="AM690" s="432"/>
      <c r="AO690">
        <f ca="1">IF($A690="S",IF(BM!$I690=0,0,CHOOSE(MATCH(RegimeExecucao,{"Global","Unitário"},0),ROUND(ROUND(BM.MEDAcumulado,15-13*BM!$A$9)/100*BM!$I690,15-13*ORÇAMENTO!$AF$11),ROUND(ROUND(BM.MEDAcumulado,15-13*BM!$A$9)*ROUND(BM!$H690,15-13*ORÇAMENTO!$AF$10),15-13*ORÇAMENTO!$AF$11))),IF($A690=0,0,ROUND(SomaAgrupBM,15-13*ORÇAMENTO!$AF$11)))</f>
        <v>0</v>
      </c>
    </row>
    <row r="691" spans="1:41" ht="13.8" x14ac:dyDescent="0.3">
      <c r="A691" t="str">
        <f ca="1">ORÇAMENTO!C691</f>
        <v>S</v>
      </c>
      <c r="B691">
        <f ca="1">ORÇAMENTO!D691</f>
        <v>0</v>
      </c>
      <c r="C691" s="143" t="str">
        <f t="shared" ca="1" si="122"/>
        <v/>
      </c>
      <c r="D691" s="146" t="str">
        <f ca="1">ORÇAMENTO!O691</f>
        <v>-</v>
      </c>
      <c r="E691" s="206" t="str">
        <f t="shared" ca="1" si="123"/>
        <v>(abra o arquivo 'Referência 05-2024.xls)</v>
      </c>
      <c r="F691" s="207" t="str">
        <f t="shared" ca="1" si="124"/>
        <v>-</v>
      </c>
      <c r="G691" s="151">
        <f ca="1">IF(RegimeExecucao="Global","",ORÇAMENTO!T691)</f>
        <v>27.71</v>
      </c>
      <c r="H691" s="151">
        <f ca="1">IF(RegimeExecucao="Global","",ORÇAMENTO!W691)</f>
        <v>0</v>
      </c>
      <c r="I691" s="154">
        <f ca="1">ORÇAMENTO!X691</f>
        <v>0</v>
      </c>
      <c r="J691" s="427">
        <f t="shared" ca="1" si="125"/>
        <v>0</v>
      </c>
      <c r="K691" s="151">
        <f t="shared" ca="1" si="126"/>
        <v>0</v>
      </c>
      <c r="L691" s="428">
        <f t="shared" ca="1" si="127"/>
        <v>0</v>
      </c>
      <c r="M691" s="429">
        <f ca="1">IF($A691="S",VTOTALBM,IF($A691=0,0,ROUND(SomaAgrupBM,15-13*ORÇAMENTO!$AF$11)))</f>
        <v>0</v>
      </c>
      <c r="N691" s="430">
        <f t="shared" ca="1" si="128"/>
        <v>0</v>
      </c>
      <c r="O691" s="154">
        <f ca="1">IF($A691="S",VTOTALBM,IF($A691=0,0,ROUND(SomaAgrupBM,15-13*ORÇAMENTO!$AF$11)))</f>
        <v>0</v>
      </c>
      <c r="Q691" s="431"/>
      <c r="R691" s="432"/>
      <c r="T691" s="146" t="str">
        <f t="shared" ca="1" si="129"/>
        <v/>
      </c>
      <c r="U691" s="206" t="str">
        <f t="shared" ca="1" si="130"/>
        <v/>
      </c>
      <c r="V691" s="207" t="str">
        <f t="shared" ca="1" si="131"/>
        <v/>
      </c>
      <c r="W691" s="634">
        <f ca="1">IF($Y691&gt;0,CHOOSE(MATCH(RegimeExecucao,{"Unitário","Global"},0),IF($A691="S",$Y691/$X691,""),($Y691/$X691)*100),0)</f>
        <v>0</v>
      </c>
      <c r="X691" s="433" t="str">
        <f ca="1">IF($Y691&gt;0,CHOOSE(MATCH(RegimeExecucao,{"Unitário","Global"},0),IF($A691="S",ROUND($H691,ORÇAMENTO!$AF$10),""),ROUND($I691,ORÇAMENTO!$AF$11)),"")</f>
        <v/>
      </c>
      <c r="Y691" s="433">
        <f t="shared" ca="1" si="132"/>
        <v>0</v>
      </c>
      <c r="Z691" s="434"/>
      <c r="AB691" s="431"/>
      <c r="AC691" s="599"/>
      <c r="AD691" s="599"/>
      <c r="AE691" s="599"/>
      <c r="AF691" s="599"/>
      <c r="AG691" s="599"/>
      <c r="AH691" s="599"/>
      <c r="AI691" s="599"/>
      <c r="AJ691" s="599"/>
      <c r="AK691" s="599"/>
      <c r="AL691" s="599"/>
      <c r="AM691" s="432"/>
      <c r="AO691">
        <f ca="1">IF($A691="S",IF(BM!$I691=0,0,CHOOSE(MATCH(RegimeExecucao,{"Global","Unitário"},0),ROUND(ROUND(BM.MEDAcumulado,15-13*BM!$A$9)/100*BM!$I691,15-13*ORÇAMENTO!$AF$11),ROUND(ROUND(BM.MEDAcumulado,15-13*BM!$A$9)*ROUND(BM!$H691,15-13*ORÇAMENTO!$AF$10),15-13*ORÇAMENTO!$AF$11))),IF($A691=0,0,ROUND(SomaAgrupBM,15-13*ORÇAMENTO!$AF$11)))</f>
        <v>0</v>
      </c>
    </row>
    <row r="692" spans="1:41" ht="13.8" x14ac:dyDescent="0.3">
      <c r="A692" t="str">
        <f ca="1">ORÇAMENTO!C692</f>
        <v>S</v>
      </c>
      <c r="B692">
        <f ca="1">ORÇAMENTO!D692</f>
        <v>0</v>
      </c>
      <c r="C692" s="143" t="str">
        <f t="shared" ca="1" si="122"/>
        <v/>
      </c>
      <c r="D692" s="146" t="str">
        <f ca="1">ORÇAMENTO!O692</f>
        <v>-</v>
      </c>
      <c r="E692" s="206" t="str">
        <f t="shared" ca="1" si="123"/>
        <v>(abra o arquivo 'Referência 05-2024.xls)</v>
      </c>
      <c r="F692" s="207" t="str">
        <f t="shared" ca="1" si="124"/>
        <v>-</v>
      </c>
      <c r="G692" s="151">
        <f ca="1">IF(RegimeExecucao="Global","",ORÇAMENTO!T692)</f>
        <v>0.96</v>
      </c>
      <c r="H692" s="151">
        <f ca="1">IF(RegimeExecucao="Global","",ORÇAMENTO!W692)</f>
        <v>0</v>
      </c>
      <c r="I692" s="154">
        <f ca="1">ORÇAMENTO!X692</f>
        <v>0</v>
      </c>
      <c r="J692" s="427">
        <f t="shared" ca="1" si="125"/>
        <v>0</v>
      </c>
      <c r="K692" s="151">
        <f t="shared" ca="1" si="126"/>
        <v>0</v>
      </c>
      <c r="L692" s="428">
        <f t="shared" ca="1" si="127"/>
        <v>0</v>
      </c>
      <c r="M692" s="429">
        <f ca="1">IF($A692="S",VTOTALBM,IF($A692=0,0,ROUND(SomaAgrupBM,15-13*ORÇAMENTO!$AF$11)))</f>
        <v>0</v>
      </c>
      <c r="N692" s="430">
        <f t="shared" ca="1" si="128"/>
        <v>0</v>
      </c>
      <c r="O692" s="154">
        <f ca="1">IF($A692="S",VTOTALBM,IF($A692=0,0,ROUND(SomaAgrupBM,15-13*ORÇAMENTO!$AF$11)))</f>
        <v>0</v>
      </c>
      <c r="Q692" s="431"/>
      <c r="R692" s="432"/>
      <c r="T692" s="146" t="str">
        <f t="shared" ca="1" si="129"/>
        <v/>
      </c>
      <c r="U692" s="206" t="str">
        <f t="shared" ca="1" si="130"/>
        <v/>
      </c>
      <c r="V692" s="207" t="str">
        <f t="shared" ca="1" si="131"/>
        <v/>
      </c>
      <c r="W692" s="634">
        <f ca="1">IF($Y692&gt;0,CHOOSE(MATCH(RegimeExecucao,{"Unitário","Global"},0),IF($A692="S",$Y692/$X692,""),($Y692/$X692)*100),0)</f>
        <v>0</v>
      </c>
      <c r="X692" s="433" t="str">
        <f ca="1">IF($Y692&gt;0,CHOOSE(MATCH(RegimeExecucao,{"Unitário","Global"},0),IF($A692="S",ROUND($H692,ORÇAMENTO!$AF$10),""),ROUND($I692,ORÇAMENTO!$AF$11)),"")</f>
        <v/>
      </c>
      <c r="Y692" s="433">
        <f t="shared" ca="1" si="132"/>
        <v>0</v>
      </c>
      <c r="Z692" s="434"/>
      <c r="AB692" s="431"/>
      <c r="AC692" s="599"/>
      <c r="AD692" s="599"/>
      <c r="AE692" s="599"/>
      <c r="AF692" s="599"/>
      <c r="AG692" s="599"/>
      <c r="AH692" s="599"/>
      <c r="AI692" s="599"/>
      <c r="AJ692" s="599"/>
      <c r="AK692" s="599"/>
      <c r="AL692" s="599"/>
      <c r="AM692" s="432"/>
      <c r="AO692">
        <f ca="1">IF($A692="S",IF(BM!$I692=0,0,CHOOSE(MATCH(RegimeExecucao,{"Global","Unitário"},0),ROUND(ROUND(BM.MEDAcumulado,15-13*BM!$A$9)/100*BM!$I692,15-13*ORÇAMENTO!$AF$11),ROUND(ROUND(BM.MEDAcumulado,15-13*BM!$A$9)*ROUND(BM!$H692,15-13*ORÇAMENTO!$AF$10),15-13*ORÇAMENTO!$AF$11))),IF($A692=0,0,ROUND(SomaAgrupBM,15-13*ORÇAMENTO!$AF$11)))</f>
        <v>0</v>
      </c>
    </row>
    <row r="693" spans="1:41" ht="13.8" x14ac:dyDescent="0.3">
      <c r="A693" t="str">
        <f ca="1">ORÇAMENTO!C693</f>
        <v>S</v>
      </c>
      <c r="B693">
        <f ca="1">ORÇAMENTO!D693</f>
        <v>0</v>
      </c>
      <c r="C693" s="143" t="str">
        <f t="shared" ca="1" si="122"/>
        <v/>
      </c>
      <c r="D693" s="146" t="str">
        <f ca="1">ORÇAMENTO!O693</f>
        <v>-</v>
      </c>
      <c r="E693" s="206" t="str">
        <f t="shared" ca="1" si="123"/>
        <v>(abra o arquivo 'Referência 05-2024.xls)</v>
      </c>
      <c r="F693" s="207" t="str">
        <f t="shared" ca="1" si="124"/>
        <v>-</v>
      </c>
      <c r="G693" s="151">
        <f ca="1">IF(RegimeExecucao="Global","",ORÇAMENTO!T693)</f>
        <v>52.5</v>
      </c>
      <c r="H693" s="151">
        <f ca="1">IF(RegimeExecucao="Global","",ORÇAMENTO!W693)</f>
        <v>0</v>
      </c>
      <c r="I693" s="154">
        <f ca="1">ORÇAMENTO!X693</f>
        <v>0</v>
      </c>
      <c r="J693" s="427">
        <f t="shared" ca="1" si="125"/>
        <v>0</v>
      </c>
      <c r="K693" s="151">
        <f t="shared" ca="1" si="126"/>
        <v>0</v>
      </c>
      <c r="L693" s="428">
        <f t="shared" ca="1" si="127"/>
        <v>0</v>
      </c>
      <c r="M693" s="429">
        <f ca="1">IF($A693="S",VTOTALBM,IF($A693=0,0,ROUND(SomaAgrupBM,15-13*ORÇAMENTO!$AF$11)))</f>
        <v>0</v>
      </c>
      <c r="N693" s="430">
        <f t="shared" ca="1" si="128"/>
        <v>0</v>
      </c>
      <c r="O693" s="154">
        <f ca="1">IF($A693="S",VTOTALBM,IF($A693=0,0,ROUND(SomaAgrupBM,15-13*ORÇAMENTO!$AF$11)))</f>
        <v>0</v>
      </c>
      <c r="Q693" s="431"/>
      <c r="R693" s="432"/>
      <c r="T693" s="146" t="str">
        <f t="shared" ca="1" si="129"/>
        <v/>
      </c>
      <c r="U693" s="206" t="str">
        <f t="shared" ca="1" si="130"/>
        <v/>
      </c>
      <c r="V693" s="207" t="str">
        <f t="shared" ca="1" si="131"/>
        <v/>
      </c>
      <c r="W693" s="634">
        <f ca="1">IF($Y693&gt;0,CHOOSE(MATCH(RegimeExecucao,{"Unitário","Global"},0),IF($A693="S",$Y693/$X693,""),($Y693/$X693)*100),0)</f>
        <v>0</v>
      </c>
      <c r="X693" s="433" t="str">
        <f ca="1">IF($Y693&gt;0,CHOOSE(MATCH(RegimeExecucao,{"Unitário","Global"},0),IF($A693="S",ROUND($H693,ORÇAMENTO!$AF$10),""),ROUND($I693,ORÇAMENTO!$AF$11)),"")</f>
        <v/>
      </c>
      <c r="Y693" s="433">
        <f t="shared" ca="1" si="132"/>
        <v>0</v>
      </c>
      <c r="Z693" s="434"/>
      <c r="AB693" s="431"/>
      <c r="AC693" s="599"/>
      <c r="AD693" s="599"/>
      <c r="AE693" s="599"/>
      <c r="AF693" s="599"/>
      <c r="AG693" s="599"/>
      <c r="AH693" s="599"/>
      <c r="AI693" s="599"/>
      <c r="AJ693" s="599"/>
      <c r="AK693" s="599"/>
      <c r="AL693" s="599"/>
      <c r="AM693" s="432"/>
      <c r="AO693">
        <f ca="1">IF($A693="S",IF(BM!$I693=0,0,CHOOSE(MATCH(RegimeExecucao,{"Global","Unitário"},0),ROUND(ROUND(BM.MEDAcumulado,15-13*BM!$A$9)/100*BM!$I693,15-13*ORÇAMENTO!$AF$11),ROUND(ROUND(BM.MEDAcumulado,15-13*BM!$A$9)*ROUND(BM!$H693,15-13*ORÇAMENTO!$AF$10),15-13*ORÇAMENTO!$AF$11))),IF($A693=0,0,ROUND(SomaAgrupBM,15-13*ORÇAMENTO!$AF$11)))</f>
        <v>0</v>
      </c>
    </row>
    <row r="694" spans="1:41" ht="13.8" x14ac:dyDescent="0.3">
      <c r="A694" t="str">
        <f ca="1">ORÇAMENTO!C694</f>
        <v>S</v>
      </c>
      <c r="B694">
        <f ca="1">ORÇAMENTO!D694</f>
        <v>0</v>
      </c>
      <c r="C694" s="143" t="str">
        <f t="shared" ca="1" si="122"/>
        <v/>
      </c>
      <c r="D694" s="146" t="str">
        <f ca="1">ORÇAMENTO!O694</f>
        <v>-</v>
      </c>
      <c r="E694" s="206" t="str">
        <f t="shared" ca="1" si="123"/>
        <v>(abra o arquivo 'Referência 05-2024.xls)</v>
      </c>
      <c r="F694" s="207" t="str">
        <f t="shared" ca="1" si="124"/>
        <v>-</v>
      </c>
      <c r="G694" s="151">
        <f ca="1">IF(RegimeExecucao="Global","",ORÇAMENTO!T694)</f>
        <v>53</v>
      </c>
      <c r="H694" s="151">
        <f ca="1">IF(RegimeExecucao="Global","",ORÇAMENTO!W694)</f>
        <v>0</v>
      </c>
      <c r="I694" s="154">
        <f ca="1">ORÇAMENTO!X694</f>
        <v>0</v>
      </c>
      <c r="J694" s="427">
        <f t="shared" ca="1" si="125"/>
        <v>0</v>
      </c>
      <c r="K694" s="151">
        <f t="shared" ca="1" si="126"/>
        <v>0</v>
      </c>
      <c r="L694" s="428">
        <f t="shared" ca="1" si="127"/>
        <v>0</v>
      </c>
      <c r="M694" s="429">
        <f ca="1">IF($A694="S",VTOTALBM,IF($A694=0,0,ROUND(SomaAgrupBM,15-13*ORÇAMENTO!$AF$11)))</f>
        <v>0</v>
      </c>
      <c r="N694" s="430">
        <f t="shared" ca="1" si="128"/>
        <v>0</v>
      </c>
      <c r="O694" s="154">
        <f ca="1">IF($A694="S",VTOTALBM,IF($A694=0,0,ROUND(SomaAgrupBM,15-13*ORÇAMENTO!$AF$11)))</f>
        <v>0</v>
      </c>
      <c r="Q694" s="431"/>
      <c r="R694" s="432"/>
      <c r="T694" s="146" t="str">
        <f t="shared" ca="1" si="129"/>
        <v/>
      </c>
      <c r="U694" s="206" t="str">
        <f t="shared" ca="1" si="130"/>
        <v/>
      </c>
      <c r="V694" s="207" t="str">
        <f t="shared" ca="1" si="131"/>
        <v/>
      </c>
      <c r="W694" s="634">
        <f ca="1">IF($Y694&gt;0,CHOOSE(MATCH(RegimeExecucao,{"Unitário","Global"},0),IF($A694="S",$Y694/$X694,""),($Y694/$X694)*100),0)</f>
        <v>0</v>
      </c>
      <c r="X694" s="433" t="str">
        <f ca="1">IF($Y694&gt;0,CHOOSE(MATCH(RegimeExecucao,{"Unitário","Global"},0),IF($A694="S",ROUND($H694,ORÇAMENTO!$AF$10),""),ROUND($I694,ORÇAMENTO!$AF$11)),"")</f>
        <v/>
      </c>
      <c r="Y694" s="433">
        <f t="shared" ca="1" si="132"/>
        <v>0</v>
      </c>
      <c r="Z694" s="434"/>
      <c r="AB694" s="431"/>
      <c r="AC694" s="599"/>
      <c r="AD694" s="599"/>
      <c r="AE694" s="599"/>
      <c r="AF694" s="599"/>
      <c r="AG694" s="599"/>
      <c r="AH694" s="599"/>
      <c r="AI694" s="599"/>
      <c r="AJ694" s="599"/>
      <c r="AK694" s="599"/>
      <c r="AL694" s="599"/>
      <c r="AM694" s="432"/>
      <c r="AO694">
        <f ca="1">IF($A694="S",IF(BM!$I694=0,0,CHOOSE(MATCH(RegimeExecucao,{"Global","Unitário"},0),ROUND(ROUND(BM.MEDAcumulado,15-13*BM!$A$9)/100*BM!$I694,15-13*ORÇAMENTO!$AF$11),ROUND(ROUND(BM.MEDAcumulado,15-13*BM!$A$9)*ROUND(BM!$H694,15-13*ORÇAMENTO!$AF$10),15-13*ORÇAMENTO!$AF$11))),IF($A694=0,0,ROUND(SomaAgrupBM,15-13*ORÇAMENTO!$AF$11)))</f>
        <v>0</v>
      </c>
    </row>
    <row r="695" spans="1:41" ht="13.8" x14ac:dyDescent="0.3">
      <c r="A695" t="str">
        <f ca="1">ORÇAMENTO!C695</f>
        <v>S</v>
      </c>
      <c r="B695">
        <f ca="1">ORÇAMENTO!D695</f>
        <v>0</v>
      </c>
      <c r="C695" s="143" t="str">
        <f t="shared" ca="1" si="122"/>
        <v/>
      </c>
      <c r="D695" s="146" t="str">
        <f ca="1">ORÇAMENTO!O695</f>
        <v>-</v>
      </c>
      <c r="E695" s="206" t="str">
        <f t="shared" ca="1" si="123"/>
        <v>(abra o arquivo 'Referência 05-2024.xls)</v>
      </c>
      <c r="F695" s="207" t="str">
        <f t="shared" ca="1" si="124"/>
        <v>-</v>
      </c>
      <c r="G695" s="151">
        <f ca="1">IF(RegimeExecucao="Global","",ORÇAMENTO!T695)</f>
        <v>24</v>
      </c>
      <c r="H695" s="151">
        <f ca="1">IF(RegimeExecucao="Global","",ORÇAMENTO!W695)</f>
        <v>0</v>
      </c>
      <c r="I695" s="154">
        <f ca="1">ORÇAMENTO!X695</f>
        <v>0</v>
      </c>
      <c r="J695" s="427">
        <f t="shared" ca="1" si="125"/>
        <v>0</v>
      </c>
      <c r="K695" s="151">
        <f t="shared" ca="1" si="126"/>
        <v>0</v>
      </c>
      <c r="L695" s="428">
        <f t="shared" ca="1" si="127"/>
        <v>0</v>
      </c>
      <c r="M695" s="429">
        <f ca="1">IF($A695="S",VTOTALBM,IF($A695=0,0,ROUND(SomaAgrupBM,15-13*ORÇAMENTO!$AF$11)))</f>
        <v>0</v>
      </c>
      <c r="N695" s="430">
        <f t="shared" ca="1" si="128"/>
        <v>0</v>
      </c>
      <c r="O695" s="154">
        <f ca="1">IF($A695="S",VTOTALBM,IF($A695=0,0,ROUND(SomaAgrupBM,15-13*ORÇAMENTO!$AF$11)))</f>
        <v>0</v>
      </c>
      <c r="Q695" s="431"/>
      <c r="R695" s="432"/>
      <c r="T695" s="146" t="str">
        <f t="shared" ca="1" si="129"/>
        <v/>
      </c>
      <c r="U695" s="206" t="str">
        <f t="shared" ca="1" si="130"/>
        <v/>
      </c>
      <c r="V695" s="207" t="str">
        <f t="shared" ca="1" si="131"/>
        <v/>
      </c>
      <c r="W695" s="634">
        <f ca="1">IF($Y695&gt;0,CHOOSE(MATCH(RegimeExecucao,{"Unitário","Global"},0),IF($A695="S",$Y695/$X695,""),($Y695/$X695)*100),0)</f>
        <v>0</v>
      </c>
      <c r="X695" s="433" t="str">
        <f ca="1">IF($Y695&gt;0,CHOOSE(MATCH(RegimeExecucao,{"Unitário","Global"},0),IF($A695="S",ROUND($H695,ORÇAMENTO!$AF$10),""),ROUND($I695,ORÇAMENTO!$AF$11)),"")</f>
        <v/>
      </c>
      <c r="Y695" s="433">
        <f t="shared" ca="1" si="132"/>
        <v>0</v>
      </c>
      <c r="Z695" s="434"/>
      <c r="AB695" s="431"/>
      <c r="AC695" s="599"/>
      <c r="AD695" s="599"/>
      <c r="AE695" s="599"/>
      <c r="AF695" s="599"/>
      <c r="AG695" s="599"/>
      <c r="AH695" s="599"/>
      <c r="AI695" s="599"/>
      <c r="AJ695" s="599"/>
      <c r="AK695" s="599"/>
      <c r="AL695" s="599"/>
      <c r="AM695" s="432"/>
      <c r="AO695">
        <f ca="1">IF($A695="S",IF(BM!$I695=0,0,CHOOSE(MATCH(RegimeExecucao,{"Global","Unitário"},0),ROUND(ROUND(BM.MEDAcumulado,15-13*BM!$A$9)/100*BM!$I695,15-13*ORÇAMENTO!$AF$11),ROUND(ROUND(BM.MEDAcumulado,15-13*BM!$A$9)*ROUND(BM!$H695,15-13*ORÇAMENTO!$AF$10),15-13*ORÇAMENTO!$AF$11))),IF($A695=0,0,ROUND(SomaAgrupBM,15-13*ORÇAMENTO!$AF$11)))</f>
        <v>0</v>
      </c>
    </row>
    <row r="696" spans="1:41" ht="13.8" x14ac:dyDescent="0.3">
      <c r="A696" t="str">
        <f ca="1">ORÇAMENTO!C696</f>
        <v>S</v>
      </c>
      <c r="B696">
        <f ca="1">ORÇAMENTO!D696</f>
        <v>0</v>
      </c>
      <c r="C696" s="143" t="str">
        <f t="shared" ca="1" si="122"/>
        <v/>
      </c>
      <c r="D696" s="146" t="str">
        <f ca="1">ORÇAMENTO!O696</f>
        <v>-</v>
      </c>
      <c r="E696" s="206" t="str">
        <f t="shared" ca="1" si="123"/>
        <v>(abra o arquivo 'Referência 05-2024.xls)</v>
      </c>
      <c r="F696" s="207" t="str">
        <f t="shared" ca="1" si="124"/>
        <v>-</v>
      </c>
      <c r="G696" s="151">
        <f ca="1">IF(RegimeExecucao="Global","",ORÇAMENTO!T696)</f>
        <v>85.38</v>
      </c>
      <c r="H696" s="151">
        <f ca="1">IF(RegimeExecucao="Global","",ORÇAMENTO!W696)</f>
        <v>0</v>
      </c>
      <c r="I696" s="154">
        <f ca="1">ORÇAMENTO!X696</f>
        <v>0</v>
      </c>
      <c r="J696" s="427">
        <f t="shared" ca="1" si="125"/>
        <v>0</v>
      </c>
      <c r="K696" s="151">
        <f t="shared" ca="1" si="126"/>
        <v>0</v>
      </c>
      <c r="L696" s="428">
        <f t="shared" ca="1" si="127"/>
        <v>0</v>
      </c>
      <c r="M696" s="429">
        <f ca="1">IF($A696="S",VTOTALBM,IF($A696=0,0,ROUND(SomaAgrupBM,15-13*ORÇAMENTO!$AF$11)))</f>
        <v>0</v>
      </c>
      <c r="N696" s="430">
        <f t="shared" ca="1" si="128"/>
        <v>0</v>
      </c>
      <c r="O696" s="154">
        <f ca="1">IF($A696="S",VTOTALBM,IF($A696=0,0,ROUND(SomaAgrupBM,15-13*ORÇAMENTO!$AF$11)))</f>
        <v>0</v>
      </c>
      <c r="Q696" s="431"/>
      <c r="R696" s="432"/>
      <c r="T696" s="146" t="str">
        <f t="shared" ca="1" si="129"/>
        <v/>
      </c>
      <c r="U696" s="206" t="str">
        <f t="shared" ca="1" si="130"/>
        <v/>
      </c>
      <c r="V696" s="207" t="str">
        <f t="shared" ca="1" si="131"/>
        <v/>
      </c>
      <c r="W696" s="634">
        <f ca="1">IF($Y696&gt;0,CHOOSE(MATCH(RegimeExecucao,{"Unitário","Global"},0),IF($A696="S",$Y696/$X696,""),($Y696/$X696)*100),0)</f>
        <v>0</v>
      </c>
      <c r="X696" s="433" t="str">
        <f ca="1">IF($Y696&gt;0,CHOOSE(MATCH(RegimeExecucao,{"Unitário","Global"},0),IF($A696="S",ROUND($H696,ORÇAMENTO!$AF$10),""),ROUND($I696,ORÇAMENTO!$AF$11)),"")</f>
        <v/>
      </c>
      <c r="Y696" s="433">
        <f t="shared" ca="1" si="132"/>
        <v>0</v>
      </c>
      <c r="Z696" s="434"/>
      <c r="AB696" s="431"/>
      <c r="AC696" s="599"/>
      <c r="AD696" s="599"/>
      <c r="AE696" s="599"/>
      <c r="AF696" s="599"/>
      <c r="AG696" s="599"/>
      <c r="AH696" s="599"/>
      <c r="AI696" s="599"/>
      <c r="AJ696" s="599"/>
      <c r="AK696" s="599"/>
      <c r="AL696" s="599"/>
      <c r="AM696" s="432"/>
      <c r="AO696">
        <f ca="1">IF($A696="S",IF(BM!$I696=0,0,CHOOSE(MATCH(RegimeExecucao,{"Global","Unitário"},0),ROUND(ROUND(BM.MEDAcumulado,15-13*BM!$A$9)/100*BM!$I696,15-13*ORÇAMENTO!$AF$11),ROUND(ROUND(BM.MEDAcumulado,15-13*BM!$A$9)*ROUND(BM!$H696,15-13*ORÇAMENTO!$AF$10),15-13*ORÇAMENTO!$AF$11))),IF($A696=0,0,ROUND(SomaAgrupBM,15-13*ORÇAMENTO!$AF$11)))</f>
        <v>0</v>
      </c>
    </row>
    <row r="697" spans="1:41" ht="13.8" x14ac:dyDescent="0.3">
      <c r="A697" t="str">
        <f ca="1">ORÇAMENTO!C697</f>
        <v>S</v>
      </c>
      <c r="B697">
        <f ca="1">ORÇAMENTO!D697</f>
        <v>0</v>
      </c>
      <c r="C697" s="143" t="str">
        <f t="shared" ca="1" si="122"/>
        <v/>
      </c>
      <c r="D697" s="146" t="str">
        <f ca="1">ORÇAMENTO!O697</f>
        <v>-</v>
      </c>
      <c r="E697" s="206" t="str">
        <f t="shared" ca="1" si="123"/>
        <v>(abra o arquivo 'Referência 05-2024.xls)</v>
      </c>
      <c r="F697" s="207" t="str">
        <f t="shared" ca="1" si="124"/>
        <v>-</v>
      </c>
      <c r="G697" s="151">
        <f ca="1">IF(RegimeExecucao="Global","",ORÇAMENTO!T697)</f>
        <v>87</v>
      </c>
      <c r="H697" s="151">
        <f ca="1">IF(RegimeExecucao="Global","",ORÇAMENTO!W697)</f>
        <v>0</v>
      </c>
      <c r="I697" s="154">
        <f ca="1">ORÇAMENTO!X697</f>
        <v>0</v>
      </c>
      <c r="J697" s="427">
        <f t="shared" ca="1" si="125"/>
        <v>0</v>
      </c>
      <c r="K697" s="151">
        <f t="shared" ca="1" si="126"/>
        <v>0</v>
      </c>
      <c r="L697" s="428">
        <f t="shared" ca="1" si="127"/>
        <v>0</v>
      </c>
      <c r="M697" s="429">
        <f ca="1">IF($A697="S",VTOTALBM,IF($A697=0,0,ROUND(SomaAgrupBM,15-13*ORÇAMENTO!$AF$11)))</f>
        <v>0</v>
      </c>
      <c r="N697" s="430">
        <f t="shared" ca="1" si="128"/>
        <v>0</v>
      </c>
      <c r="O697" s="154">
        <f ca="1">IF($A697="S",VTOTALBM,IF($A697=0,0,ROUND(SomaAgrupBM,15-13*ORÇAMENTO!$AF$11)))</f>
        <v>0</v>
      </c>
      <c r="Q697" s="431"/>
      <c r="R697" s="432"/>
      <c r="T697" s="146" t="str">
        <f t="shared" ca="1" si="129"/>
        <v/>
      </c>
      <c r="U697" s="206" t="str">
        <f t="shared" ca="1" si="130"/>
        <v/>
      </c>
      <c r="V697" s="207" t="str">
        <f t="shared" ca="1" si="131"/>
        <v/>
      </c>
      <c r="W697" s="634">
        <f ca="1">IF($Y697&gt;0,CHOOSE(MATCH(RegimeExecucao,{"Unitário","Global"},0),IF($A697="S",$Y697/$X697,""),($Y697/$X697)*100),0)</f>
        <v>0</v>
      </c>
      <c r="X697" s="433" t="str">
        <f ca="1">IF($Y697&gt;0,CHOOSE(MATCH(RegimeExecucao,{"Unitário","Global"},0),IF($A697="S",ROUND($H697,ORÇAMENTO!$AF$10),""),ROUND($I697,ORÇAMENTO!$AF$11)),"")</f>
        <v/>
      </c>
      <c r="Y697" s="433">
        <f t="shared" ca="1" si="132"/>
        <v>0</v>
      </c>
      <c r="Z697" s="434"/>
      <c r="AB697" s="431"/>
      <c r="AC697" s="599"/>
      <c r="AD697" s="599"/>
      <c r="AE697" s="599"/>
      <c r="AF697" s="599"/>
      <c r="AG697" s="599"/>
      <c r="AH697" s="599"/>
      <c r="AI697" s="599"/>
      <c r="AJ697" s="599"/>
      <c r="AK697" s="599"/>
      <c r="AL697" s="599"/>
      <c r="AM697" s="432"/>
      <c r="AO697">
        <f ca="1">IF($A697="S",IF(BM!$I697=0,0,CHOOSE(MATCH(RegimeExecucao,{"Global","Unitário"},0),ROUND(ROUND(BM.MEDAcumulado,15-13*BM!$A$9)/100*BM!$I697,15-13*ORÇAMENTO!$AF$11),ROUND(ROUND(BM.MEDAcumulado,15-13*BM!$A$9)*ROUND(BM!$H697,15-13*ORÇAMENTO!$AF$10),15-13*ORÇAMENTO!$AF$11))),IF($A697=0,0,ROUND(SomaAgrupBM,15-13*ORÇAMENTO!$AF$11)))</f>
        <v>0</v>
      </c>
    </row>
    <row r="698" spans="1:41" ht="13.8" x14ac:dyDescent="0.3">
      <c r="A698" t="str">
        <f ca="1">ORÇAMENTO!C698</f>
        <v>S</v>
      </c>
      <c r="B698">
        <f ca="1">ORÇAMENTO!D698</f>
        <v>0</v>
      </c>
      <c r="C698" s="143" t="str">
        <f t="shared" ca="1" si="122"/>
        <v/>
      </c>
      <c r="D698" s="146" t="str">
        <f ca="1">ORÇAMENTO!O698</f>
        <v>-</v>
      </c>
      <c r="E698" s="206" t="str">
        <f t="shared" ca="1" si="123"/>
        <v>(abra o arquivo 'Referência 05-2024.xls)</v>
      </c>
      <c r="F698" s="207" t="str">
        <f t="shared" ca="1" si="124"/>
        <v>-</v>
      </c>
      <c r="G698" s="151">
        <f ca="1">IF(RegimeExecucao="Global","",ORÇAMENTO!T698)</f>
        <v>16.5</v>
      </c>
      <c r="H698" s="151">
        <f ca="1">IF(RegimeExecucao="Global","",ORÇAMENTO!W698)</f>
        <v>0</v>
      </c>
      <c r="I698" s="154">
        <f ca="1">ORÇAMENTO!X698</f>
        <v>0</v>
      </c>
      <c r="J698" s="427">
        <f t="shared" ca="1" si="125"/>
        <v>0</v>
      </c>
      <c r="K698" s="151">
        <f t="shared" ca="1" si="126"/>
        <v>0</v>
      </c>
      <c r="L698" s="428">
        <f t="shared" ca="1" si="127"/>
        <v>0</v>
      </c>
      <c r="M698" s="429">
        <f ca="1">IF($A698="S",VTOTALBM,IF($A698=0,0,ROUND(SomaAgrupBM,15-13*ORÇAMENTO!$AF$11)))</f>
        <v>0</v>
      </c>
      <c r="N698" s="430">
        <f t="shared" ca="1" si="128"/>
        <v>0</v>
      </c>
      <c r="O698" s="154">
        <f ca="1">IF($A698="S",VTOTALBM,IF($A698=0,0,ROUND(SomaAgrupBM,15-13*ORÇAMENTO!$AF$11)))</f>
        <v>0</v>
      </c>
      <c r="Q698" s="431"/>
      <c r="R698" s="432"/>
      <c r="T698" s="146" t="str">
        <f t="shared" ca="1" si="129"/>
        <v/>
      </c>
      <c r="U698" s="206" t="str">
        <f t="shared" ca="1" si="130"/>
        <v/>
      </c>
      <c r="V698" s="207" t="str">
        <f t="shared" ca="1" si="131"/>
        <v/>
      </c>
      <c r="W698" s="634">
        <f ca="1">IF($Y698&gt;0,CHOOSE(MATCH(RegimeExecucao,{"Unitário","Global"},0),IF($A698="S",$Y698/$X698,""),($Y698/$X698)*100),0)</f>
        <v>0</v>
      </c>
      <c r="X698" s="433" t="str">
        <f ca="1">IF($Y698&gt;0,CHOOSE(MATCH(RegimeExecucao,{"Unitário","Global"},0),IF($A698="S",ROUND($H698,ORÇAMENTO!$AF$10),""),ROUND($I698,ORÇAMENTO!$AF$11)),"")</f>
        <v/>
      </c>
      <c r="Y698" s="433">
        <f t="shared" ca="1" si="132"/>
        <v>0</v>
      </c>
      <c r="Z698" s="434"/>
      <c r="AB698" s="431"/>
      <c r="AC698" s="599"/>
      <c r="AD698" s="599"/>
      <c r="AE698" s="599"/>
      <c r="AF698" s="599"/>
      <c r="AG698" s="599"/>
      <c r="AH698" s="599"/>
      <c r="AI698" s="599"/>
      <c r="AJ698" s="599"/>
      <c r="AK698" s="599"/>
      <c r="AL698" s="599"/>
      <c r="AM698" s="432"/>
      <c r="AO698">
        <f ca="1">IF($A698="S",IF(BM!$I698=0,0,CHOOSE(MATCH(RegimeExecucao,{"Global","Unitário"},0),ROUND(ROUND(BM.MEDAcumulado,15-13*BM!$A$9)/100*BM!$I698,15-13*ORÇAMENTO!$AF$11),ROUND(ROUND(BM.MEDAcumulado,15-13*BM!$A$9)*ROUND(BM!$H698,15-13*ORÇAMENTO!$AF$10),15-13*ORÇAMENTO!$AF$11))),IF($A698=0,0,ROUND(SomaAgrupBM,15-13*ORÇAMENTO!$AF$11)))</f>
        <v>0</v>
      </c>
    </row>
    <row r="699" spans="1:41" ht="13.8" x14ac:dyDescent="0.3">
      <c r="A699">
        <f ca="1">ORÇAMENTO!C699</f>
        <v>2</v>
      </c>
      <c r="B699">
        <f ca="1">ORÇAMENTO!D699</f>
        <v>3</v>
      </c>
      <c r="C699" s="143" t="str">
        <f t="shared" ca="1" si="122"/>
        <v>F</v>
      </c>
      <c r="D699" s="146" t="str">
        <f ca="1">ORÇAMENTO!O699</f>
        <v>1.24.</v>
      </c>
      <c r="E699" s="206" t="str">
        <f t="shared" si="123"/>
        <v>SERVIÇOS FINAIS</v>
      </c>
      <c r="F699" s="207" t="str">
        <f t="shared" ca="1" si="124"/>
        <v>-</v>
      </c>
      <c r="G699" s="151">
        <f ca="1">IF(RegimeExecucao="Global","",ORÇAMENTO!T699)</f>
        <v>0</v>
      </c>
      <c r="H699" s="151">
        <f ca="1">IF(RegimeExecucao="Global","",ORÇAMENTO!W699)</f>
        <v>0</v>
      </c>
      <c r="I699" s="154">
        <f ca="1">ORÇAMENTO!X699</f>
        <v>0</v>
      </c>
      <c r="J699" s="427">
        <f t="shared" ca="1" si="125"/>
        <v>0</v>
      </c>
      <c r="K699" s="151">
        <f t="shared" ca="1" si="126"/>
        <v>0</v>
      </c>
      <c r="L699" s="428">
        <f t="shared" ca="1" si="127"/>
        <v>0</v>
      </c>
      <c r="M699" s="429">
        <f ca="1">IF($A699="S",VTOTALBM,IF($A699=0,0,ROUND(SomaAgrupBM,15-13*ORÇAMENTO!$AF$11)))</f>
        <v>0</v>
      </c>
      <c r="N699" s="430">
        <f t="shared" ca="1" si="128"/>
        <v>0</v>
      </c>
      <c r="O699" s="154">
        <f ca="1">IF($A699="S",VTOTALBM,IF($A699=0,0,ROUND(SomaAgrupBM,15-13*ORÇAMENTO!$AF$11)))</f>
        <v>0</v>
      </c>
      <c r="Q699" s="431"/>
      <c r="R699" s="432"/>
      <c r="T699" s="146" t="str">
        <f t="shared" ca="1" si="129"/>
        <v/>
      </c>
      <c r="U699" s="206" t="str">
        <f t="shared" ca="1" si="130"/>
        <v/>
      </c>
      <c r="V699" s="207" t="str">
        <f t="shared" ca="1" si="131"/>
        <v/>
      </c>
      <c r="W699" s="634">
        <f ca="1">IF($Y699&gt;0,CHOOSE(MATCH(RegimeExecucao,{"Unitário","Global"},0),IF($A699="S",$Y699/$X699,""),($Y699/$X699)*100),0)</f>
        <v>0</v>
      </c>
      <c r="X699" s="433" t="str">
        <f ca="1">IF($Y699&gt;0,CHOOSE(MATCH(RegimeExecucao,{"Unitário","Global"},0),IF($A699="S",ROUND($H699,ORÇAMENTO!$AF$10),""),ROUND($I699,ORÇAMENTO!$AF$11)),"")</f>
        <v/>
      </c>
      <c r="Y699" s="433">
        <f t="shared" ca="1" si="132"/>
        <v>0</v>
      </c>
      <c r="Z699" s="434"/>
      <c r="AB699" s="431"/>
      <c r="AC699" s="599"/>
      <c r="AD699" s="599"/>
      <c r="AE699" s="599"/>
      <c r="AF699" s="599"/>
      <c r="AG699" s="599"/>
      <c r="AH699" s="599"/>
      <c r="AI699" s="599"/>
      <c r="AJ699" s="599"/>
      <c r="AK699" s="599"/>
      <c r="AL699" s="599"/>
      <c r="AM699" s="432"/>
      <c r="AO699">
        <f ca="1">IF($A699="S",IF(BM!$I699=0,0,CHOOSE(MATCH(RegimeExecucao,{"Global","Unitário"},0),ROUND(ROUND(BM.MEDAcumulado,15-13*BM!$A$9)/100*BM!$I699,15-13*ORÇAMENTO!$AF$11),ROUND(ROUND(BM.MEDAcumulado,15-13*BM!$A$9)*ROUND(BM!$H699,15-13*ORÇAMENTO!$AF$10),15-13*ORÇAMENTO!$AF$11))),IF($A699=0,0,ROUND(SomaAgrupBM,15-13*ORÇAMENTO!$AF$11)))</f>
        <v>0</v>
      </c>
    </row>
    <row r="700" spans="1:41" ht="13.8" x14ac:dyDescent="0.3">
      <c r="A700" t="str">
        <f ca="1">ORÇAMENTO!C700</f>
        <v>S</v>
      </c>
      <c r="B700">
        <f ca="1">ORÇAMENTO!D700</f>
        <v>0</v>
      </c>
      <c r="C700" s="143" t="str">
        <f t="shared" ca="1" si="122"/>
        <v/>
      </c>
      <c r="D700" s="146" t="str">
        <f ca="1">ORÇAMENTO!O700</f>
        <v>-</v>
      </c>
      <c r="E700" s="206" t="str">
        <f t="shared" ca="1" si="123"/>
        <v>(abra o arquivo 'Referência 05-2024.xls)</v>
      </c>
      <c r="F700" s="207" t="str">
        <f t="shared" ca="1" si="124"/>
        <v>-</v>
      </c>
      <c r="G700" s="151">
        <f ca="1">IF(RegimeExecucao="Global","",ORÇAMENTO!T700)</f>
        <v>2935.25</v>
      </c>
      <c r="H700" s="151">
        <f ca="1">IF(RegimeExecucao="Global","",ORÇAMENTO!W700)</f>
        <v>0</v>
      </c>
      <c r="I700" s="154">
        <f ca="1">ORÇAMENTO!X700</f>
        <v>0</v>
      </c>
      <c r="J700" s="427">
        <f t="shared" ca="1" si="125"/>
        <v>0</v>
      </c>
      <c r="K700" s="151">
        <f t="shared" ca="1" si="126"/>
        <v>0</v>
      </c>
      <c r="L700" s="428">
        <f t="shared" ca="1" si="127"/>
        <v>0</v>
      </c>
      <c r="M700" s="429">
        <f ca="1">IF($A700="S",VTOTALBM,IF($A700=0,0,ROUND(SomaAgrupBM,15-13*ORÇAMENTO!$AF$11)))</f>
        <v>0</v>
      </c>
      <c r="N700" s="430">
        <f t="shared" ca="1" si="128"/>
        <v>0</v>
      </c>
      <c r="O700" s="154">
        <f ca="1">IF($A700="S",VTOTALBM,IF($A700=0,0,ROUND(SomaAgrupBM,15-13*ORÇAMENTO!$AF$11)))</f>
        <v>0</v>
      </c>
      <c r="Q700" s="431"/>
      <c r="R700" s="432"/>
      <c r="T700" s="146" t="str">
        <f t="shared" ca="1" si="129"/>
        <v/>
      </c>
      <c r="U700" s="206" t="str">
        <f t="shared" ca="1" si="130"/>
        <v/>
      </c>
      <c r="V700" s="207" t="str">
        <f t="shared" ca="1" si="131"/>
        <v/>
      </c>
      <c r="W700" s="634">
        <f ca="1">IF($Y700&gt;0,CHOOSE(MATCH(RegimeExecucao,{"Unitário","Global"},0),IF($A700="S",$Y700/$X700,""),($Y700/$X700)*100),0)</f>
        <v>0</v>
      </c>
      <c r="X700" s="433" t="str">
        <f ca="1">IF($Y700&gt;0,CHOOSE(MATCH(RegimeExecucao,{"Unitário","Global"},0),IF($A700="S",ROUND($H700,ORÇAMENTO!$AF$10),""),ROUND($I700,ORÇAMENTO!$AF$11)),"")</f>
        <v/>
      </c>
      <c r="Y700" s="433">
        <f t="shared" ca="1" si="132"/>
        <v>0</v>
      </c>
      <c r="Z700" s="434"/>
      <c r="AB700" s="431"/>
      <c r="AC700" s="599"/>
      <c r="AD700" s="599"/>
      <c r="AE700" s="599"/>
      <c r="AF700" s="599"/>
      <c r="AG700" s="599"/>
      <c r="AH700" s="599"/>
      <c r="AI700" s="599"/>
      <c r="AJ700" s="599"/>
      <c r="AK700" s="599"/>
      <c r="AL700" s="599"/>
      <c r="AM700" s="432"/>
      <c r="AO700">
        <f ca="1">IF($A700="S",IF(BM!$I700=0,0,CHOOSE(MATCH(RegimeExecucao,{"Global","Unitário"},0),ROUND(ROUND(BM.MEDAcumulado,15-13*BM!$A$9)/100*BM!$I700,15-13*ORÇAMENTO!$AF$11),ROUND(ROUND(BM.MEDAcumulado,15-13*BM!$A$9)*ROUND(BM!$H700,15-13*ORÇAMENTO!$AF$10),15-13*ORÇAMENTO!$AF$11))),IF($A700=0,0,ROUND(SomaAgrupBM,15-13*ORÇAMENTO!$AF$11)))</f>
        <v>0</v>
      </c>
    </row>
    <row r="701" spans="1:41" ht="13.8" x14ac:dyDescent="0.3">
      <c r="A701" t="str">
        <f ca="1">ORÇAMENTO!C701</f>
        <v>S</v>
      </c>
      <c r="B701">
        <f ca="1">ORÇAMENTO!D701</f>
        <v>0</v>
      </c>
      <c r="C701" s="143" t="str">
        <f t="shared" ca="1" si="122"/>
        <v/>
      </c>
      <c r="D701" s="146" t="str">
        <f ca="1">ORÇAMENTO!O701</f>
        <v>-</v>
      </c>
      <c r="E701" s="206" t="str">
        <f t="shared" ca="1" si="123"/>
        <v>(abra o arquivo 'Referência 05-2024.xls)</v>
      </c>
      <c r="F701" s="207" t="str">
        <f t="shared" ca="1" si="124"/>
        <v>-</v>
      </c>
      <c r="G701" s="151">
        <f ca="1">IF(RegimeExecucao="Global","",ORÇAMENTO!T701)</f>
        <v>1</v>
      </c>
      <c r="H701" s="151">
        <f ca="1">IF(RegimeExecucao="Global","",ORÇAMENTO!W701)</f>
        <v>0</v>
      </c>
      <c r="I701" s="154">
        <f ca="1">ORÇAMENTO!X701</f>
        <v>0</v>
      </c>
      <c r="J701" s="427">
        <f t="shared" ca="1" si="125"/>
        <v>0</v>
      </c>
      <c r="K701" s="151">
        <f t="shared" ca="1" si="126"/>
        <v>0</v>
      </c>
      <c r="L701" s="428">
        <f t="shared" ca="1" si="127"/>
        <v>0</v>
      </c>
      <c r="M701" s="429">
        <f ca="1">IF($A701="S",VTOTALBM,IF($A701=0,0,ROUND(SomaAgrupBM,15-13*ORÇAMENTO!$AF$11)))</f>
        <v>0</v>
      </c>
      <c r="N701" s="430">
        <f t="shared" ca="1" si="128"/>
        <v>0</v>
      </c>
      <c r="O701" s="154">
        <f ca="1">IF($A701="S",VTOTALBM,IF($A701=0,0,ROUND(SomaAgrupBM,15-13*ORÇAMENTO!$AF$11)))</f>
        <v>0</v>
      </c>
      <c r="Q701" s="431"/>
      <c r="R701" s="432"/>
      <c r="T701" s="146" t="str">
        <f t="shared" ca="1" si="129"/>
        <v/>
      </c>
      <c r="U701" s="206" t="str">
        <f t="shared" ca="1" si="130"/>
        <v/>
      </c>
      <c r="V701" s="207" t="str">
        <f t="shared" ca="1" si="131"/>
        <v/>
      </c>
      <c r="W701" s="634">
        <f ca="1">IF($Y701&gt;0,CHOOSE(MATCH(RegimeExecucao,{"Unitário","Global"},0),IF($A701="S",$Y701/$X701,""),($Y701/$X701)*100),0)</f>
        <v>0</v>
      </c>
      <c r="X701" s="433" t="str">
        <f ca="1">IF($Y701&gt;0,CHOOSE(MATCH(RegimeExecucao,{"Unitário","Global"},0),IF($A701="S",ROUND($H701,ORÇAMENTO!$AF$10),""),ROUND($I701,ORÇAMENTO!$AF$11)),"")</f>
        <v/>
      </c>
      <c r="Y701" s="433">
        <f t="shared" ca="1" si="132"/>
        <v>0</v>
      </c>
      <c r="Z701" s="434"/>
      <c r="AB701" s="431"/>
      <c r="AC701" s="599"/>
      <c r="AD701" s="599"/>
      <c r="AE701" s="599"/>
      <c r="AF701" s="599"/>
      <c r="AG701" s="599"/>
      <c r="AH701" s="599"/>
      <c r="AI701" s="599"/>
      <c r="AJ701" s="599"/>
      <c r="AK701" s="599"/>
      <c r="AL701" s="599"/>
      <c r="AM701" s="432"/>
      <c r="AO701">
        <f ca="1">IF($A701="S",IF(BM!$I701=0,0,CHOOSE(MATCH(RegimeExecucao,{"Global","Unitário"},0),ROUND(ROUND(BM.MEDAcumulado,15-13*BM!$A$9)/100*BM!$I701,15-13*ORÇAMENTO!$AF$11),ROUND(ROUND(BM.MEDAcumulado,15-13*BM!$A$9)*ROUND(BM!$H701,15-13*ORÇAMENTO!$AF$10),15-13*ORÇAMENTO!$AF$11))),IF($A701=0,0,ROUND(SomaAgrupBM,15-13*ORÇAMENTO!$AF$11)))</f>
        <v>0</v>
      </c>
    </row>
    <row r="702" spans="1:41" ht="13.8" x14ac:dyDescent="0.3">
      <c r="A702">
        <f ca="1">ORÇAMENTO!C702</f>
        <v>1</v>
      </c>
      <c r="B702">
        <f ca="1">ORÇAMENTO!D702</f>
        <v>8</v>
      </c>
      <c r="C702" s="143" t="str">
        <f ca="1">IF(OR($I702&gt;0,$A702=1,$A702=2,$A702=3,$A702=4),"F","")</f>
        <v>F</v>
      </c>
      <c r="D702" s="146" t="str">
        <f ca="1">ORÇAMENTO!O702</f>
        <v>2.</v>
      </c>
      <c r="E702" s="206" t="str">
        <f>ORÇAMENTO.Descricao</f>
        <v>PLANILHA ORÇAMENTÁRIA - MUNICIPAL</v>
      </c>
      <c r="F702" s="207">
        <f ca="1">IF(RegimeExecucao="Global","",ORÇAMENTO.Unidade)</f>
        <v>0</v>
      </c>
      <c r="G702" s="151">
        <f ca="1">IF(RegimeExecucao="Global","",ORÇAMENTO!T702)</f>
        <v>0</v>
      </c>
      <c r="H702" s="151">
        <f ca="1">IF(RegimeExecucao="Global","",ORÇAMENTO!W702)</f>
        <v>0</v>
      </c>
      <c r="I702" s="154">
        <f ca="1">ORÇAMENTO!X702</f>
        <v>0</v>
      </c>
      <c r="J702" s="427">
        <f ca="1">IF($A702="S",IF(CAIXA.Modo,BM.AFAnterior,BM.MEDAnterior),IF(AND(RegimeExecucao="Global",$I702&gt;0,COUNTIF($AB$13:$AM$13,BM.medicao-1)&gt;0),M702/$I702*100,0))</f>
        <v>0</v>
      </c>
      <c r="K702" s="151">
        <f ca="1">L702-J702</f>
        <v>0</v>
      </c>
      <c r="L702" s="428">
        <f ca="1">IF($A702="S",IF(CAIXA.Modo,BM.AFAcumulado,BM.MEDAcumulado),IF(AND(RegimeExecucao="Global",$I702&gt;0,COUNTIF($AB$13:$AM$13,BM.medicao)&gt;0),O702/$I702*100,0))</f>
        <v>0</v>
      </c>
      <c r="M702" s="429">
        <f ca="1">IF($A702="S",VTOTALBM,IF($A702=0,0,ROUND(SomaAgrupBM,15-13*ORÇAMENTO!$AF$11)))</f>
        <v>0</v>
      </c>
      <c r="N702" s="430">
        <f ca="1">O702-M702</f>
        <v>0</v>
      </c>
      <c r="O702" s="154">
        <f ca="1">IF($A702="S",VTOTALBM,IF($A702=0,0,ROUND(SomaAgrupBM,15-13*ORÇAMENTO!$AF$11)))</f>
        <v>0</v>
      </c>
      <c r="Q702" s="431"/>
      <c r="R702" s="432"/>
      <c r="T702" s="146" t="str">
        <f ca="1">IF($W702&gt;0,$D702,"")</f>
        <v/>
      </c>
      <c r="U702" s="206" t="str">
        <f ca="1">IF($W702&gt;0,$E702,"")</f>
        <v/>
      </c>
      <c r="V702" s="207" t="str">
        <f ca="1">IF(AND($W702&gt;0,RegimeExecucao="Unitário"),$F702,"")</f>
        <v/>
      </c>
      <c r="W702" s="634">
        <f ca="1">IF($Y702&gt;0,CHOOSE(MATCH(RegimeExecucao,{"Unitário","Global"},0),IF($A702="S",$Y702/$X702,""),($Y702/$X702)*100),0)</f>
        <v>0</v>
      </c>
      <c r="X702" s="433" t="str">
        <f ca="1">IF($Y702&gt;0,CHOOSE(MATCH(RegimeExecucao,{"Unitário","Global"},0),IF($A702="S",ROUND($H702,ORÇAMENTO!$AF$10),""),ROUND($I702,ORÇAMENTO!$AF$11)),"")</f>
        <v/>
      </c>
      <c r="Y702" s="433">
        <f ca="1">AO702-O702</f>
        <v>0</v>
      </c>
      <c r="Z702" s="434"/>
      <c r="AB702" s="431"/>
      <c r="AC702" s="599"/>
      <c r="AD702" s="599"/>
      <c r="AE702" s="599"/>
      <c r="AF702" s="599"/>
      <c r="AG702" s="599"/>
      <c r="AH702" s="599"/>
      <c r="AI702" s="599"/>
      <c r="AJ702" s="599"/>
      <c r="AK702" s="599"/>
      <c r="AL702" s="599"/>
      <c r="AM702" s="432"/>
      <c r="AO702">
        <f ca="1">IF($A702="S",IF(BM!$I702=0,0,CHOOSE(MATCH(RegimeExecucao,{"Global","Unitário"},0),ROUND(ROUND(BM.MEDAcumulado,15-13*BM!$A$9)/100*BM!$I702,15-13*ORÇAMENTO!$AF$11),ROUND(ROUND(BM.MEDAcumulado,15-13*BM!$A$9)*ROUND(BM!$H702,15-13*ORÇAMENTO!$AF$10),15-13*ORÇAMENTO!$AF$11))),IF($A702=0,0,ROUND(SomaAgrupBM,15-13*ORÇAMENTO!$AF$11)))</f>
        <v>0</v>
      </c>
    </row>
    <row r="703" spans="1:41" ht="13.8" x14ac:dyDescent="0.3">
      <c r="A703">
        <f ca="1">ORÇAMENTO!C703</f>
        <v>2</v>
      </c>
      <c r="B703">
        <f ca="1">ORÇAMENTO!D703</f>
        <v>4</v>
      </c>
      <c r="C703" s="143" t="str">
        <f t="shared" ca="1" si="122"/>
        <v>F</v>
      </c>
      <c r="D703" s="146" t="str">
        <f ca="1">ORÇAMENTO!O703</f>
        <v>2.1.</v>
      </c>
      <c r="E703" s="206" t="str">
        <f t="shared" si="123"/>
        <v>PASSEIO COM ACESSIBILIDADE</v>
      </c>
      <c r="F703" s="207">
        <f t="shared" ca="1" si="124"/>
        <v>0</v>
      </c>
      <c r="G703" s="151">
        <f ca="1">IF(RegimeExecucao="Global","",ORÇAMENTO!T703)</f>
        <v>0</v>
      </c>
      <c r="H703" s="151">
        <f ca="1">IF(RegimeExecucao="Global","",ORÇAMENTO!W703)</f>
        <v>0</v>
      </c>
      <c r="I703" s="154">
        <f ca="1">ORÇAMENTO!X703</f>
        <v>0</v>
      </c>
      <c r="J703" s="427">
        <f t="shared" ca="1" si="125"/>
        <v>0</v>
      </c>
      <c r="K703" s="151">
        <f t="shared" ca="1" si="126"/>
        <v>0</v>
      </c>
      <c r="L703" s="428">
        <f t="shared" ca="1" si="127"/>
        <v>0</v>
      </c>
      <c r="M703" s="429">
        <f ca="1">IF($A703="S",VTOTALBM,IF($A703=0,0,ROUND(SomaAgrupBM,15-13*ORÇAMENTO!$AF$11)))</f>
        <v>0</v>
      </c>
      <c r="N703" s="430">
        <f t="shared" ca="1" si="128"/>
        <v>0</v>
      </c>
      <c r="O703" s="154">
        <f ca="1">IF($A703="S",VTOTALBM,IF($A703=0,0,ROUND(SomaAgrupBM,15-13*ORÇAMENTO!$AF$11)))</f>
        <v>0</v>
      </c>
      <c r="Q703" s="431"/>
      <c r="R703" s="432"/>
      <c r="T703" s="146" t="str">
        <f t="shared" ca="1" si="129"/>
        <v/>
      </c>
      <c r="U703" s="206" t="str">
        <f t="shared" ca="1" si="130"/>
        <v/>
      </c>
      <c r="V703" s="207" t="str">
        <f t="shared" ca="1" si="131"/>
        <v/>
      </c>
      <c r="W703" s="634">
        <f ca="1">IF($Y703&gt;0,CHOOSE(MATCH(RegimeExecucao,{"Unitário","Global"},0),IF($A703="S",$Y703/$X703,""),($Y703/$X703)*100),0)</f>
        <v>0</v>
      </c>
      <c r="X703" s="433" t="str">
        <f ca="1">IF($Y703&gt;0,CHOOSE(MATCH(RegimeExecucao,{"Unitário","Global"},0),IF($A703="S",ROUND($H703,ORÇAMENTO!$AF$10),""),ROUND($I703,ORÇAMENTO!$AF$11)),"")</f>
        <v/>
      </c>
      <c r="Y703" s="433">
        <f t="shared" ca="1" si="132"/>
        <v>0</v>
      </c>
      <c r="Z703" s="434"/>
      <c r="AB703" s="431"/>
      <c r="AC703" s="599"/>
      <c r="AD703" s="599"/>
      <c r="AE703" s="599"/>
      <c r="AF703" s="599"/>
      <c r="AG703" s="599"/>
      <c r="AH703" s="599"/>
      <c r="AI703" s="599"/>
      <c r="AJ703" s="599"/>
      <c r="AK703" s="599"/>
      <c r="AL703" s="599"/>
      <c r="AM703" s="432"/>
      <c r="AO703">
        <f ca="1">IF($A703="S",IF(BM!$I703=0,0,CHOOSE(MATCH(RegimeExecucao,{"Global","Unitário"},0),ROUND(ROUND(BM.MEDAcumulado,15-13*BM!$A$9)/100*BM!$I703,15-13*ORÇAMENTO!$AF$11),ROUND(ROUND(BM.MEDAcumulado,15-13*BM!$A$9)*ROUND(BM!$H703,15-13*ORÇAMENTO!$AF$10),15-13*ORÇAMENTO!$AF$11))),IF($A703=0,0,ROUND(SomaAgrupBM,15-13*ORÇAMENTO!$AF$11)))</f>
        <v>0</v>
      </c>
    </row>
    <row r="704" spans="1:41" ht="13.8" x14ac:dyDescent="0.3">
      <c r="A704" t="str">
        <f ca="1">ORÇAMENTO!C704</f>
        <v>S</v>
      </c>
      <c r="B704">
        <f ca="1">ORÇAMENTO!D704</f>
        <v>0</v>
      </c>
      <c r="C704" s="143" t="str">
        <f t="shared" ca="1" si="122"/>
        <v/>
      </c>
      <c r="D704" s="146" t="str">
        <f ca="1">ORÇAMENTO!O704</f>
        <v>-</v>
      </c>
      <c r="E704" s="206" t="str">
        <f t="shared" ca="1" si="123"/>
        <v>(abra o arquivo 'Referência 05-2024.xls)</v>
      </c>
      <c r="F704" s="207" t="str">
        <f t="shared" ca="1" si="124"/>
        <v>-</v>
      </c>
      <c r="G704" s="151">
        <f ca="1">IF(RegimeExecucao="Global","",ORÇAMENTO!T704)</f>
        <v>114</v>
      </c>
      <c r="H704" s="151">
        <f ca="1">IF(RegimeExecucao="Global","",ORÇAMENTO!W704)</f>
        <v>0</v>
      </c>
      <c r="I704" s="154">
        <f ca="1">ORÇAMENTO!X704</f>
        <v>0</v>
      </c>
      <c r="J704" s="427">
        <f t="shared" ca="1" si="125"/>
        <v>0</v>
      </c>
      <c r="K704" s="151">
        <f t="shared" ca="1" si="126"/>
        <v>0</v>
      </c>
      <c r="L704" s="428">
        <f t="shared" ca="1" si="127"/>
        <v>0</v>
      </c>
      <c r="M704" s="429">
        <f ca="1">IF($A704="S",VTOTALBM,IF($A704=0,0,ROUND(SomaAgrupBM,15-13*ORÇAMENTO!$AF$11)))</f>
        <v>0</v>
      </c>
      <c r="N704" s="430">
        <f t="shared" ca="1" si="128"/>
        <v>0</v>
      </c>
      <c r="O704" s="154">
        <f ca="1">IF($A704="S",VTOTALBM,IF($A704=0,0,ROUND(SomaAgrupBM,15-13*ORÇAMENTO!$AF$11)))</f>
        <v>0</v>
      </c>
      <c r="Q704" s="431"/>
      <c r="R704" s="432"/>
      <c r="T704" s="146" t="str">
        <f t="shared" ca="1" si="129"/>
        <v/>
      </c>
      <c r="U704" s="206" t="str">
        <f t="shared" ca="1" si="130"/>
        <v/>
      </c>
      <c r="V704" s="207" t="str">
        <f t="shared" ca="1" si="131"/>
        <v/>
      </c>
      <c r="W704" s="634">
        <f ca="1">IF($Y704&gt;0,CHOOSE(MATCH(RegimeExecucao,{"Unitário","Global"},0),IF($A704="S",$Y704/$X704,""),($Y704/$X704)*100),0)</f>
        <v>0</v>
      </c>
      <c r="X704" s="433" t="str">
        <f ca="1">IF($Y704&gt;0,CHOOSE(MATCH(RegimeExecucao,{"Unitário","Global"},0),IF($A704="S",ROUND($H704,ORÇAMENTO!$AF$10),""),ROUND($I704,ORÇAMENTO!$AF$11)),"")</f>
        <v/>
      </c>
      <c r="Y704" s="433">
        <f t="shared" ca="1" si="132"/>
        <v>0</v>
      </c>
      <c r="Z704" s="434"/>
      <c r="AB704" s="431"/>
      <c r="AC704" s="599"/>
      <c r="AD704" s="599"/>
      <c r="AE704" s="599"/>
      <c r="AF704" s="599"/>
      <c r="AG704" s="599"/>
      <c r="AH704" s="599"/>
      <c r="AI704" s="599"/>
      <c r="AJ704" s="599"/>
      <c r="AK704" s="599"/>
      <c r="AL704" s="599"/>
      <c r="AM704" s="432"/>
      <c r="AO704">
        <f ca="1">IF($A704="S",IF(BM!$I704=0,0,CHOOSE(MATCH(RegimeExecucao,{"Global","Unitário"},0),ROUND(ROUND(BM.MEDAcumulado,15-13*BM!$A$9)/100*BM!$I704,15-13*ORÇAMENTO!$AF$11),ROUND(ROUND(BM.MEDAcumulado,15-13*BM!$A$9)*ROUND(BM!$H704,15-13*ORÇAMENTO!$AF$10),15-13*ORÇAMENTO!$AF$11))),IF($A704=0,0,ROUND(SomaAgrupBM,15-13*ORÇAMENTO!$AF$11)))</f>
        <v>0</v>
      </c>
    </row>
    <row r="705" spans="1:41" ht="13.8" x14ac:dyDescent="0.3">
      <c r="A705" t="str">
        <f ca="1">ORÇAMENTO!C705</f>
        <v>S</v>
      </c>
      <c r="B705">
        <f ca="1">ORÇAMENTO!D705</f>
        <v>0</v>
      </c>
      <c r="C705" s="143" t="str">
        <f t="shared" ca="1" si="122"/>
        <v/>
      </c>
      <c r="D705" s="146" t="str">
        <f ca="1">ORÇAMENTO!O705</f>
        <v>-</v>
      </c>
      <c r="E705" s="206" t="str">
        <f t="shared" ca="1" si="123"/>
        <v>(abra o arquivo 'Referência 05-2024.xls)</v>
      </c>
      <c r="F705" s="207" t="str">
        <f t="shared" ca="1" si="124"/>
        <v>-</v>
      </c>
      <c r="G705" s="151">
        <f ca="1">IF(RegimeExecucao="Global","",ORÇAMENTO!T705)</f>
        <v>24</v>
      </c>
      <c r="H705" s="151">
        <f ca="1">IF(RegimeExecucao="Global","",ORÇAMENTO!W705)</f>
        <v>0</v>
      </c>
      <c r="I705" s="154">
        <f ca="1">ORÇAMENTO!X705</f>
        <v>0</v>
      </c>
      <c r="J705" s="427">
        <f t="shared" ca="1" si="125"/>
        <v>0</v>
      </c>
      <c r="K705" s="151">
        <f t="shared" ca="1" si="126"/>
        <v>0</v>
      </c>
      <c r="L705" s="428">
        <f t="shared" ca="1" si="127"/>
        <v>0</v>
      </c>
      <c r="M705" s="429">
        <f ca="1">IF($A705="S",VTOTALBM,IF($A705=0,0,ROUND(SomaAgrupBM,15-13*ORÇAMENTO!$AF$11)))</f>
        <v>0</v>
      </c>
      <c r="N705" s="430">
        <f t="shared" ca="1" si="128"/>
        <v>0</v>
      </c>
      <c r="O705" s="154">
        <f ca="1">IF($A705="S",VTOTALBM,IF($A705=0,0,ROUND(SomaAgrupBM,15-13*ORÇAMENTO!$AF$11)))</f>
        <v>0</v>
      </c>
      <c r="Q705" s="431"/>
      <c r="R705" s="432"/>
      <c r="T705" s="146" t="str">
        <f t="shared" ca="1" si="129"/>
        <v/>
      </c>
      <c r="U705" s="206" t="str">
        <f t="shared" ca="1" si="130"/>
        <v/>
      </c>
      <c r="V705" s="207" t="str">
        <f t="shared" ca="1" si="131"/>
        <v/>
      </c>
      <c r="W705" s="634">
        <f ca="1">IF($Y705&gt;0,CHOOSE(MATCH(RegimeExecucao,{"Unitário","Global"},0),IF($A705="S",$Y705/$X705,""),($Y705/$X705)*100),0)</f>
        <v>0</v>
      </c>
      <c r="X705" s="433" t="str">
        <f ca="1">IF($Y705&gt;0,CHOOSE(MATCH(RegimeExecucao,{"Unitário","Global"},0),IF($A705="S",ROUND($H705,ORÇAMENTO!$AF$10),""),ROUND($I705,ORÇAMENTO!$AF$11)),"")</f>
        <v/>
      </c>
      <c r="Y705" s="433">
        <f t="shared" ca="1" si="132"/>
        <v>0</v>
      </c>
      <c r="Z705" s="434"/>
      <c r="AB705" s="431"/>
      <c r="AC705" s="599"/>
      <c r="AD705" s="599"/>
      <c r="AE705" s="599"/>
      <c r="AF705" s="599"/>
      <c r="AG705" s="599"/>
      <c r="AH705" s="599"/>
      <c r="AI705" s="599"/>
      <c r="AJ705" s="599"/>
      <c r="AK705" s="599"/>
      <c r="AL705" s="599"/>
      <c r="AM705" s="432"/>
      <c r="AO705">
        <f ca="1">IF($A705="S",IF(BM!$I705=0,0,CHOOSE(MATCH(RegimeExecucao,{"Global","Unitário"},0),ROUND(ROUND(BM.MEDAcumulado,15-13*BM!$A$9)/100*BM!$I705,15-13*ORÇAMENTO!$AF$11),ROUND(ROUND(BM.MEDAcumulado,15-13*BM!$A$9)*ROUND(BM!$H705,15-13*ORÇAMENTO!$AF$10),15-13*ORÇAMENTO!$AF$11))),IF($A705=0,0,ROUND(SomaAgrupBM,15-13*ORÇAMENTO!$AF$11)))</f>
        <v>0</v>
      </c>
    </row>
    <row r="706" spans="1:41" ht="13.8" x14ac:dyDescent="0.3">
      <c r="A706" t="str">
        <f ca="1">ORÇAMENTO!C706</f>
        <v>S</v>
      </c>
      <c r="B706">
        <f ca="1">ORÇAMENTO!D706</f>
        <v>0</v>
      </c>
      <c r="C706" s="143" t="str">
        <f t="shared" ca="1" si="122"/>
        <v/>
      </c>
      <c r="D706" s="146" t="str">
        <f ca="1">ORÇAMENTO!O706</f>
        <v>-</v>
      </c>
      <c r="E706" s="206" t="str">
        <f t="shared" ca="1" si="123"/>
        <v>(abra o arquivo 'Referência 05-2024.xls)</v>
      </c>
      <c r="F706" s="207" t="str">
        <f t="shared" ca="1" si="124"/>
        <v>-</v>
      </c>
      <c r="G706" s="151">
        <f ca="1">IF(RegimeExecucao="Global","",ORÇAMENTO!T706)</f>
        <v>60</v>
      </c>
      <c r="H706" s="151">
        <f ca="1">IF(RegimeExecucao="Global","",ORÇAMENTO!W706)</f>
        <v>0</v>
      </c>
      <c r="I706" s="154">
        <f ca="1">ORÇAMENTO!X706</f>
        <v>0</v>
      </c>
      <c r="J706" s="427">
        <f t="shared" ca="1" si="125"/>
        <v>0</v>
      </c>
      <c r="K706" s="151">
        <f t="shared" ca="1" si="126"/>
        <v>0</v>
      </c>
      <c r="L706" s="428">
        <f t="shared" ca="1" si="127"/>
        <v>0</v>
      </c>
      <c r="M706" s="429">
        <f ca="1">IF($A706="S",VTOTALBM,IF($A706=0,0,ROUND(SomaAgrupBM,15-13*ORÇAMENTO!$AF$11)))</f>
        <v>0</v>
      </c>
      <c r="N706" s="430">
        <f t="shared" ca="1" si="128"/>
        <v>0</v>
      </c>
      <c r="O706" s="154">
        <f ca="1">IF($A706="S",VTOTALBM,IF($A706=0,0,ROUND(SomaAgrupBM,15-13*ORÇAMENTO!$AF$11)))</f>
        <v>0</v>
      </c>
      <c r="Q706" s="431"/>
      <c r="R706" s="432"/>
      <c r="T706" s="146" t="str">
        <f t="shared" ca="1" si="129"/>
        <v/>
      </c>
      <c r="U706" s="206" t="str">
        <f t="shared" ca="1" si="130"/>
        <v/>
      </c>
      <c r="V706" s="207" t="str">
        <f t="shared" ca="1" si="131"/>
        <v/>
      </c>
      <c r="W706" s="634">
        <f ca="1">IF($Y706&gt;0,CHOOSE(MATCH(RegimeExecucao,{"Unitário","Global"},0),IF($A706="S",$Y706/$X706,""),($Y706/$X706)*100),0)</f>
        <v>0</v>
      </c>
      <c r="X706" s="433" t="str">
        <f ca="1">IF($Y706&gt;0,CHOOSE(MATCH(RegimeExecucao,{"Unitário","Global"},0),IF($A706="S",ROUND($H706,ORÇAMENTO!$AF$10),""),ROUND($I706,ORÇAMENTO!$AF$11)),"")</f>
        <v/>
      </c>
      <c r="Y706" s="433">
        <f t="shared" ca="1" si="132"/>
        <v>0</v>
      </c>
      <c r="Z706" s="434"/>
      <c r="AB706" s="431"/>
      <c r="AC706" s="599"/>
      <c r="AD706" s="599"/>
      <c r="AE706" s="599"/>
      <c r="AF706" s="599"/>
      <c r="AG706" s="599"/>
      <c r="AH706" s="599"/>
      <c r="AI706" s="599"/>
      <c r="AJ706" s="599"/>
      <c r="AK706" s="599"/>
      <c r="AL706" s="599"/>
      <c r="AM706" s="432"/>
      <c r="AO706">
        <f ca="1">IF($A706="S",IF(BM!$I706=0,0,CHOOSE(MATCH(RegimeExecucao,{"Global","Unitário"},0),ROUND(ROUND(BM.MEDAcumulado,15-13*BM!$A$9)/100*BM!$I706,15-13*ORÇAMENTO!$AF$11),ROUND(ROUND(BM.MEDAcumulado,15-13*BM!$A$9)*ROUND(BM!$H706,15-13*ORÇAMENTO!$AF$10),15-13*ORÇAMENTO!$AF$11))),IF($A706=0,0,ROUND(SomaAgrupBM,15-13*ORÇAMENTO!$AF$11)))</f>
        <v>0</v>
      </c>
    </row>
    <row r="707" spans="1:41" ht="13.8" x14ac:dyDescent="0.3">
      <c r="A707">
        <f ca="1">ORÇAMENTO!C707</f>
        <v>2</v>
      </c>
      <c r="B707">
        <f ca="1">ORÇAMENTO!D707</f>
        <v>3</v>
      </c>
      <c r="C707" s="143" t="str">
        <f t="shared" ca="1" si="122"/>
        <v>F</v>
      </c>
      <c r="D707" s="146" t="str">
        <f ca="1">ORÇAMENTO!O707</f>
        <v>2.2.</v>
      </c>
      <c r="E707" s="206" t="str">
        <f t="shared" si="123"/>
        <v>PADRÃO DE ENTRADA DE ENERGIA</v>
      </c>
      <c r="F707" s="207">
        <f t="shared" ca="1" si="124"/>
        <v>0</v>
      </c>
      <c r="G707" s="151">
        <f ca="1">IF(RegimeExecucao="Global","",ORÇAMENTO!T707)</f>
        <v>0</v>
      </c>
      <c r="H707" s="151">
        <f ca="1">IF(RegimeExecucao="Global","",ORÇAMENTO!W707)</f>
        <v>0</v>
      </c>
      <c r="I707" s="154">
        <f ca="1">ORÇAMENTO!X707</f>
        <v>0</v>
      </c>
      <c r="J707" s="427">
        <f t="shared" ca="1" si="125"/>
        <v>0</v>
      </c>
      <c r="K707" s="151">
        <f t="shared" ca="1" si="126"/>
        <v>0</v>
      </c>
      <c r="L707" s="428">
        <f t="shared" ca="1" si="127"/>
        <v>0</v>
      </c>
      <c r="M707" s="429">
        <f ca="1">IF($A707="S",VTOTALBM,IF($A707=0,0,ROUND(SomaAgrupBM,15-13*ORÇAMENTO!$AF$11)))</f>
        <v>0</v>
      </c>
      <c r="N707" s="430">
        <f t="shared" ca="1" si="128"/>
        <v>0</v>
      </c>
      <c r="O707" s="154">
        <f ca="1">IF($A707="S",VTOTALBM,IF($A707=0,0,ROUND(SomaAgrupBM,15-13*ORÇAMENTO!$AF$11)))</f>
        <v>0</v>
      </c>
      <c r="Q707" s="431"/>
      <c r="R707" s="432"/>
      <c r="T707" s="146" t="str">
        <f t="shared" ca="1" si="129"/>
        <v/>
      </c>
      <c r="U707" s="206" t="str">
        <f t="shared" ca="1" si="130"/>
        <v/>
      </c>
      <c r="V707" s="207" t="str">
        <f t="shared" ca="1" si="131"/>
        <v/>
      </c>
      <c r="W707" s="634">
        <f ca="1">IF($Y707&gt;0,CHOOSE(MATCH(RegimeExecucao,{"Unitário","Global"},0),IF($A707="S",$Y707/$X707,""),($Y707/$X707)*100),0)</f>
        <v>0</v>
      </c>
      <c r="X707" s="433" t="str">
        <f ca="1">IF($Y707&gt;0,CHOOSE(MATCH(RegimeExecucao,{"Unitário","Global"},0),IF($A707="S",ROUND($H707,ORÇAMENTO!$AF$10),""),ROUND($I707,ORÇAMENTO!$AF$11)),"")</f>
        <v/>
      </c>
      <c r="Y707" s="433">
        <f t="shared" ca="1" si="132"/>
        <v>0</v>
      </c>
      <c r="Z707" s="434"/>
      <c r="AB707" s="431"/>
      <c r="AC707" s="599"/>
      <c r="AD707" s="599"/>
      <c r="AE707" s="599"/>
      <c r="AF707" s="599"/>
      <c r="AG707" s="599"/>
      <c r="AH707" s="599"/>
      <c r="AI707" s="599"/>
      <c r="AJ707" s="599"/>
      <c r="AK707" s="599"/>
      <c r="AL707" s="599"/>
      <c r="AM707" s="432"/>
      <c r="AO707">
        <f ca="1">IF($A707="S",IF(BM!$I707=0,0,CHOOSE(MATCH(RegimeExecucao,{"Global","Unitário"},0),ROUND(ROUND(BM.MEDAcumulado,15-13*BM!$A$9)/100*BM!$I707,15-13*ORÇAMENTO!$AF$11),ROUND(ROUND(BM.MEDAcumulado,15-13*BM!$A$9)*ROUND(BM!$H707,15-13*ORÇAMENTO!$AF$10),15-13*ORÇAMENTO!$AF$11))),IF($A707=0,0,ROUND(SomaAgrupBM,15-13*ORÇAMENTO!$AF$11)))</f>
        <v>0</v>
      </c>
    </row>
    <row r="708" spans="1:41" ht="13.8" x14ac:dyDescent="0.3">
      <c r="A708" t="str">
        <f ca="1">ORÇAMENTO!C708</f>
        <v>S</v>
      </c>
      <c r="B708">
        <f ca="1">ORÇAMENTO!D708</f>
        <v>0</v>
      </c>
      <c r="C708" s="143" t="str">
        <f ca="1">IF(OR($I708&gt;0,$A708=1,$A708=2,$A708=3,$A708=4),"F","")</f>
        <v/>
      </c>
      <c r="D708" s="146" t="str">
        <f ca="1">ORÇAMENTO!O708</f>
        <v>-</v>
      </c>
      <c r="E708" s="206" t="str">
        <f ca="1">ORÇAMENTO.Descricao</f>
        <v>(abra o arquivo 'Referência 05-2024.xls)</v>
      </c>
      <c r="F708" s="207" t="str">
        <f ca="1">IF(RegimeExecucao="Global","",ORÇAMENTO.Unidade)</f>
        <v>-</v>
      </c>
      <c r="G708" s="151">
        <f ca="1">IF(RegimeExecucao="Global","",ORÇAMENTO!T708)</f>
        <v>1</v>
      </c>
      <c r="H708" s="151">
        <f ca="1">IF(RegimeExecucao="Global","",ORÇAMENTO!W708)</f>
        <v>0</v>
      </c>
      <c r="I708" s="154">
        <f ca="1">ORÇAMENTO!X708</f>
        <v>0</v>
      </c>
      <c r="J708" s="427">
        <f ca="1">IF($A708="S",IF(CAIXA.Modo,BM.AFAnterior,BM.MEDAnterior),IF(AND(RegimeExecucao="Global",$I708&gt;0,COUNTIF($AB$13:$AM$13,BM.medicao-1)&gt;0),M708/$I708*100,0))</f>
        <v>0</v>
      </c>
      <c r="K708" s="151">
        <f ca="1">L708-J708</f>
        <v>0</v>
      </c>
      <c r="L708" s="428">
        <f ca="1">IF($A708="S",IF(CAIXA.Modo,BM.AFAcumulado,BM.MEDAcumulado),IF(AND(RegimeExecucao="Global",$I708&gt;0,COUNTIF($AB$13:$AM$13,BM.medicao)&gt;0),O708/$I708*100,0))</f>
        <v>0</v>
      </c>
      <c r="M708" s="429">
        <f ca="1">IF($A708="S",VTOTALBM,IF($A708=0,0,ROUND(SomaAgrupBM,15-13*ORÇAMENTO!$AF$11)))</f>
        <v>0</v>
      </c>
      <c r="N708" s="430">
        <f ca="1">O708-M708</f>
        <v>0</v>
      </c>
      <c r="O708" s="154">
        <f ca="1">IF($A708="S",VTOTALBM,IF($A708=0,0,ROUND(SomaAgrupBM,15-13*ORÇAMENTO!$AF$11)))</f>
        <v>0</v>
      </c>
      <c r="Q708" s="431"/>
      <c r="R708" s="432"/>
      <c r="T708" s="146" t="str">
        <f ca="1">IF($W708&gt;0,$D708,"")</f>
        <v/>
      </c>
      <c r="U708" s="206" t="str">
        <f ca="1">IF($W708&gt;0,$E708,"")</f>
        <v/>
      </c>
      <c r="V708" s="207" t="str">
        <f ca="1">IF(AND($W708&gt;0,RegimeExecucao="Unitário"),$F708,"")</f>
        <v/>
      </c>
      <c r="W708" s="634">
        <f ca="1">IF($Y708&gt;0,CHOOSE(MATCH(RegimeExecucao,{"Unitário","Global"},0),IF($A708="S",$Y708/$X708,""),($Y708/$X708)*100),0)</f>
        <v>0</v>
      </c>
      <c r="X708" s="433" t="str">
        <f ca="1">IF($Y708&gt;0,CHOOSE(MATCH(RegimeExecucao,{"Unitário","Global"},0),IF($A708="S",ROUND($H708,ORÇAMENTO!$AF$10),""),ROUND($I708,ORÇAMENTO!$AF$11)),"")</f>
        <v/>
      </c>
      <c r="Y708" s="433">
        <f ca="1">AO708-O708</f>
        <v>0</v>
      </c>
      <c r="Z708" s="434"/>
      <c r="AB708" s="431"/>
      <c r="AC708" s="599"/>
      <c r="AD708" s="599"/>
      <c r="AE708" s="599"/>
      <c r="AF708" s="599"/>
      <c r="AG708" s="599"/>
      <c r="AH708" s="599"/>
      <c r="AI708" s="599"/>
      <c r="AJ708" s="599"/>
      <c r="AK708" s="599"/>
      <c r="AL708" s="599"/>
      <c r="AM708" s="432"/>
      <c r="AO708">
        <f ca="1">IF($A708="S",IF(BM!$I708=0,0,CHOOSE(MATCH(RegimeExecucao,{"Global","Unitário"},0),ROUND(ROUND(BM.MEDAcumulado,15-13*BM!$A$9)/100*BM!$I708,15-13*ORÇAMENTO!$AF$11),ROUND(ROUND(BM.MEDAcumulado,15-13*BM!$A$9)*ROUND(BM!$H708,15-13*ORÇAMENTO!$AF$10),15-13*ORÇAMENTO!$AF$11))),IF($A708=0,0,ROUND(SomaAgrupBM,15-13*ORÇAMENTO!$AF$11)))</f>
        <v>0</v>
      </c>
    </row>
    <row r="709" spans="1:41" ht="13.8" x14ac:dyDescent="0.3">
      <c r="A709" t="str">
        <f ca="1">ORÇAMENTO!C709</f>
        <v>S</v>
      </c>
      <c r="B709">
        <f ca="1">ORÇAMENTO!D709</f>
        <v>0</v>
      </c>
      <c r="C709" s="143" t="str">
        <f ca="1">IF(OR($I709&gt;0,$A709=1,$A709=2,$A709=3,$A709=4),"F","")</f>
        <v/>
      </c>
      <c r="D709" s="146" t="str">
        <f ca="1">ORÇAMENTO!O709</f>
        <v>-</v>
      </c>
      <c r="E709" s="206" t="str">
        <f ca="1">ORÇAMENTO.Descricao</f>
        <v>(abra o arquivo 'Referência 05-2024.xls)</v>
      </c>
      <c r="F709" s="207" t="str">
        <f ca="1">IF(RegimeExecucao="Global","",ORÇAMENTO.Unidade)</f>
        <v>-</v>
      </c>
      <c r="G709" s="151">
        <f ca="1">IF(RegimeExecucao="Global","",ORÇAMENTO!T709)</f>
        <v>1</v>
      </c>
      <c r="H709" s="151">
        <f ca="1">IF(RegimeExecucao="Global","",ORÇAMENTO!W709)</f>
        <v>0</v>
      </c>
      <c r="I709" s="154">
        <f ca="1">ORÇAMENTO!X709</f>
        <v>0</v>
      </c>
      <c r="J709" s="427">
        <f ca="1">IF($A709="S",IF(CAIXA.Modo,BM.AFAnterior,BM.MEDAnterior),IF(AND(RegimeExecucao="Global",$I709&gt;0,COUNTIF($AB$13:$AM$13,BM.medicao-1)&gt;0),M709/$I709*100,0))</f>
        <v>0</v>
      </c>
      <c r="K709" s="151">
        <f ca="1">L709-J709</f>
        <v>0</v>
      </c>
      <c r="L709" s="428">
        <f ca="1">IF($A709="S",IF(CAIXA.Modo,BM.AFAcumulado,BM.MEDAcumulado),IF(AND(RegimeExecucao="Global",$I709&gt;0,COUNTIF($AB$13:$AM$13,BM.medicao)&gt;0),O709/$I709*100,0))</f>
        <v>0</v>
      </c>
      <c r="M709" s="429">
        <f ca="1">IF($A709="S",VTOTALBM,IF($A709=0,0,ROUND(SomaAgrupBM,15-13*ORÇAMENTO!$AF$11)))</f>
        <v>0</v>
      </c>
      <c r="N709" s="430">
        <f ca="1">O709-M709</f>
        <v>0</v>
      </c>
      <c r="O709" s="154">
        <f ca="1">IF($A709="S",VTOTALBM,IF($A709=0,0,ROUND(SomaAgrupBM,15-13*ORÇAMENTO!$AF$11)))</f>
        <v>0</v>
      </c>
      <c r="Q709" s="431"/>
      <c r="R709" s="432"/>
      <c r="T709" s="146" t="str">
        <f ca="1">IF($W709&gt;0,$D709,"")</f>
        <v/>
      </c>
      <c r="U709" s="206" t="str">
        <f ca="1">IF($W709&gt;0,$E709,"")</f>
        <v/>
      </c>
      <c r="V709" s="207" t="str">
        <f ca="1">IF(AND($W709&gt;0,RegimeExecucao="Unitário"),$F709,"")</f>
        <v/>
      </c>
      <c r="W709" s="634">
        <f ca="1">IF($Y709&gt;0,CHOOSE(MATCH(RegimeExecucao,{"Unitário","Global"},0),IF($A709="S",$Y709/$X709,""),($Y709/$X709)*100),0)</f>
        <v>0</v>
      </c>
      <c r="X709" s="433" t="str">
        <f ca="1">IF($Y709&gt;0,CHOOSE(MATCH(RegimeExecucao,{"Unitário","Global"},0),IF($A709="S",ROUND($H709,ORÇAMENTO!$AF$10),""),ROUND($I709,ORÇAMENTO!$AF$11)),"")</f>
        <v/>
      </c>
      <c r="Y709" s="433">
        <f ca="1">AO709-O709</f>
        <v>0</v>
      </c>
      <c r="Z709" s="434"/>
      <c r="AB709" s="431"/>
      <c r="AC709" s="599"/>
      <c r="AD709" s="599"/>
      <c r="AE709" s="599"/>
      <c r="AF709" s="599"/>
      <c r="AG709" s="599"/>
      <c r="AH709" s="599"/>
      <c r="AI709" s="599"/>
      <c r="AJ709" s="599"/>
      <c r="AK709" s="599"/>
      <c r="AL709" s="599"/>
      <c r="AM709" s="432"/>
      <c r="AO709">
        <f ca="1">IF($A709="S",IF(BM!$I709=0,0,CHOOSE(MATCH(RegimeExecucao,{"Global","Unitário"},0),ROUND(ROUND(BM.MEDAcumulado,15-13*BM!$A$9)/100*BM!$I709,15-13*ORÇAMENTO!$AF$11),ROUND(ROUND(BM.MEDAcumulado,15-13*BM!$A$9)*ROUND(BM!$H709,15-13*ORÇAMENTO!$AF$10),15-13*ORÇAMENTO!$AF$11))),IF($A709=0,0,ROUND(SomaAgrupBM,15-13*ORÇAMENTO!$AF$11)))</f>
        <v>0</v>
      </c>
    </row>
    <row r="710" spans="1:41" ht="5.0999999999999996" customHeight="1" x14ac:dyDescent="0.3">
      <c r="C710" s="143" t="s">
        <v>248</v>
      </c>
      <c r="D710" s="567"/>
      <c r="E710" s="564"/>
      <c r="F710" s="564"/>
      <c r="G710" s="564"/>
      <c r="H710" s="564"/>
      <c r="I710" s="565"/>
      <c r="J710" s="567"/>
      <c r="K710" s="564"/>
      <c r="L710" s="565"/>
      <c r="M710" s="596"/>
      <c r="N710" s="597"/>
      <c r="O710" s="598"/>
      <c r="Q710" s="567"/>
      <c r="R710" s="565"/>
      <c r="T710" s="567"/>
      <c r="U710" s="564"/>
      <c r="V710" s="564"/>
      <c r="W710" s="564"/>
      <c r="X710" s="564"/>
      <c r="Y710" s="564"/>
      <c r="Z710" s="565"/>
      <c r="AB710" s="567"/>
      <c r="AC710" s="564"/>
      <c r="AD710" s="564"/>
      <c r="AE710" s="564"/>
      <c r="AF710" s="564"/>
      <c r="AG710" s="564"/>
      <c r="AH710" s="564"/>
      <c r="AI710" s="564"/>
      <c r="AJ710" s="564"/>
      <c r="AK710" s="564"/>
      <c r="AL710" s="564"/>
      <c r="AM710" s="565"/>
    </row>
    <row r="711" spans="1:41" x14ac:dyDescent="0.25">
      <c r="D711" s="105"/>
      <c r="E711" s="105"/>
      <c r="F711" s="105"/>
      <c r="G711" s="105"/>
      <c r="H711" s="105"/>
      <c r="I711" s="105"/>
      <c r="J711" s="105"/>
      <c r="K711" s="105"/>
      <c r="L711" s="105"/>
      <c r="M711" s="105"/>
      <c r="N711" s="105"/>
      <c r="O711" s="105"/>
    </row>
    <row r="712" spans="1:41" ht="13.8" x14ac:dyDescent="0.25">
      <c r="C712" s="104"/>
      <c r="D712" s="778" t="s">
        <v>189</v>
      </c>
      <c r="E712" s="778"/>
      <c r="F712" s="778"/>
      <c r="G712" s="778"/>
      <c r="H712" s="778"/>
      <c r="I712" s="778"/>
      <c r="J712" s="778"/>
      <c r="K712" s="778"/>
      <c r="L712" s="778"/>
      <c r="M712" s="778"/>
      <c r="N712" s="778"/>
      <c r="O712" s="778"/>
      <c r="T712" s="779" t="s">
        <v>355</v>
      </c>
      <c r="U712" s="779"/>
      <c r="V712" s="779"/>
      <c r="W712" s="779"/>
      <c r="X712" s="779"/>
      <c r="Y712" s="779"/>
      <c r="Z712" s="779"/>
    </row>
    <row r="713" spans="1:41" ht="12.75" customHeight="1" x14ac:dyDescent="0.25">
      <c r="C713" s="104"/>
      <c r="D713" s="706"/>
      <c r="E713" s="706"/>
      <c r="F713" s="706"/>
      <c r="G713" s="706"/>
      <c r="H713" s="706"/>
      <c r="I713" s="706"/>
      <c r="J713" s="706"/>
      <c r="K713" s="706"/>
      <c r="L713" s="706"/>
      <c r="M713" s="706"/>
      <c r="N713" s="706"/>
      <c r="O713" s="706"/>
      <c r="T713" s="780"/>
      <c r="U713" s="780"/>
      <c r="V713" s="780"/>
      <c r="W713" s="780"/>
      <c r="X713" s="780"/>
      <c r="Y713" s="780"/>
      <c r="Z713" s="780"/>
    </row>
    <row r="714" spans="1:41" ht="12.75" customHeight="1" x14ac:dyDescent="0.25">
      <c r="C714" s="104"/>
      <c r="D714" s="706"/>
      <c r="E714" s="706"/>
      <c r="F714" s="706"/>
      <c r="G714" s="706"/>
      <c r="H714" s="706"/>
      <c r="I714" s="706"/>
      <c r="J714" s="706"/>
      <c r="K714" s="706"/>
      <c r="L714" s="706"/>
      <c r="M714" s="706"/>
      <c r="N714" s="706"/>
      <c r="O714" s="706"/>
      <c r="T714" s="780"/>
      <c r="U714" s="780"/>
      <c r="V714" s="780"/>
      <c r="W714" s="780"/>
      <c r="X714" s="780"/>
      <c r="Y714" s="780"/>
      <c r="Z714" s="780"/>
    </row>
    <row r="715" spans="1:41" ht="12.75" customHeight="1" x14ac:dyDescent="0.25">
      <c r="C715" s="104"/>
      <c r="D715" s="706"/>
      <c r="E715" s="706"/>
      <c r="F715" s="706"/>
      <c r="G715" s="706"/>
      <c r="H715" s="706"/>
      <c r="I715" s="706"/>
      <c r="J715" s="706"/>
      <c r="K715" s="706"/>
      <c r="L715" s="706"/>
      <c r="M715" s="706"/>
      <c r="N715" s="706"/>
      <c r="O715" s="706"/>
      <c r="T715" s="780"/>
      <c r="U715" s="780"/>
      <c r="V715" s="780"/>
      <c r="W715" s="780"/>
      <c r="X715" s="780"/>
      <c r="Y715" s="780"/>
      <c r="Z715" s="780"/>
    </row>
    <row r="716" spans="1:41" ht="13.8" x14ac:dyDescent="0.25">
      <c r="C716" s="104"/>
      <c r="D716" s="619"/>
      <c r="E716" s="619"/>
      <c r="F716" s="619"/>
      <c r="G716" s="619"/>
      <c r="H716" s="619"/>
      <c r="I716" s="619"/>
      <c r="J716" s="619"/>
      <c r="K716" s="619"/>
      <c r="L716" s="619"/>
      <c r="M716" s="619"/>
      <c r="N716" s="619"/>
      <c r="O716" s="619"/>
    </row>
    <row r="717" spans="1:41" ht="15" customHeight="1" x14ac:dyDescent="0.25">
      <c r="C717" s="104"/>
      <c r="D717" s="707" t="str">
        <f ca="1">IF(OR(AND(ORÇAMENTO!$AF$7=FALSE,ORÇAMENTO!$AF$10=FALSE,RegimeExecucao="Global"),AND(ORÇAMENTO!$AF$7=FALSE,ORÇAMENTO!$AF$10=FALSE,ORÇAMENTO!$AF$11=FALSE,BM!$A$9=FALSE)),"Não foi considerado arredondamento nos valores da planilha.",CONCATENATE("Foi considerado arredondamento de duas casas decimais para ",IF(AND(RegimeExecucao="Unitário",ORÇAMENTO!$AF$7=TRUE),"Quantidade; ",""),IF(AND(RegimeExecucao="Unitário",ORÇAMENTO!$AF$10=TRUE),"Preço unitário; ",""),IF(ORÇAMENTO!$AF$11=TRUE,"Preço total; ",""),,IF(BM!$A$9=TRUE,"Medição.","")))</f>
        <v>Foi considerado arredondamento de duas casas decimais para Quantidade; Preço unitário; Preço total; Medição.</v>
      </c>
      <c r="E717" s="707"/>
      <c r="F717" s="707"/>
      <c r="G717" s="707"/>
      <c r="H717" s="707"/>
      <c r="I717" s="707"/>
      <c r="J717" s="707"/>
      <c r="K717" s="707"/>
      <c r="L717" s="707"/>
    </row>
    <row r="718" spans="1:41" x14ac:dyDescent="0.25">
      <c r="C718" s="104"/>
      <c r="D718" s="776"/>
      <c r="E718" s="776"/>
      <c r="F718" s="776"/>
      <c r="G718" s="776"/>
      <c r="H718" s="776"/>
      <c r="I718" s="776"/>
    </row>
    <row r="719" spans="1:41" x14ac:dyDescent="0.25">
      <c r="C719" s="104"/>
      <c r="D719" s="783" t="str">
        <f>IF(CAIXA.Modo,"","Os serviços medidos informados neste BM encontram-se concluídos, estão em conformidade com os projetos e especificações aceitos pela CAIXA e foram executados de acordo com as normas técnicas.")</f>
        <v>Os serviços medidos informados neste BM encontram-se concluídos, estão em conformidade com os projetos e especificações aceitos pela CAIXA e foram executados de acordo com as normas técnicas.</v>
      </c>
      <c r="E719" s="783"/>
      <c r="F719" s="783"/>
      <c r="G719" s="783"/>
      <c r="H719" s="783"/>
      <c r="I719" s="783"/>
      <c r="J719" s="783"/>
      <c r="K719" s="783"/>
      <c r="L719" s="783"/>
      <c r="M719" s="783"/>
      <c r="N719" s="783"/>
      <c r="O719" s="783"/>
    </row>
    <row r="720" spans="1:41" ht="39.9" customHeight="1" x14ac:dyDescent="0.25">
      <c r="C720" s="104"/>
      <c r="E720" s="174" t="str">
        <f>Import.Município</f>
        <v>LAGUNA/SC</v>
      </c>
      <c r="J720" s="784"/>
      <c r="K720" s="784"/>
      <c r="L720" s="784"/>
      <c r="M720" s="784"/>
      <c r="N720" s="104"/>
      <c r="O720" s="104"/>
      <c r="W720" s="784"/>
      <c r="X720" s="784"/>
      <c r="Y720" s="784"/>
      <c r="Z720" s="784"/>
    </row>
    <row r="721" spans="3:26" x14ac:dyDescent="0.25">
      <c r="C721" s="104"/>
      <c r="E721" s="12" t="s">
        <v>190</v>
      </c>
      <c r="J721" s="229" t="s">
        <v>304</v>
      </c>
      <c r="K721" s="104"/>
      <c r="L721" s="104"/>
      <c r="M721" s="104"/>
      <c r="N721" s="104"/>
      <c r="O721" s="104"/>
      <c r="W721" s="229" t="s">
        <v>356</v>
      </c>
      <c r="X721" s="104"/>
      <c r="Y721" s="104"/>
      <c r="Z721" s="104"/>
    </row>
    <row r="722" spans="3:26" x14ac:dyDescent="0.25">
      <c r="C722" s="104"/>
      <c r="E722" s="104"/>
      <c r="J722" s="94" t="s">
        <v>109</v>
      </c>
      <c r="K722" s="353">
        <f t="array" ref="K722:K725">Import.RespFiscalização</f>
        <v>0</v>
      </c>
      <c r="L722" s="95"/>
      <c r="M722" s="104"/>
      <c r="N722" s="104"/>
      <c r="O722" s="104"/>
      <c r="W722" s="94" t="s">
        <v>109</v>
      </c>
      <c r="X722" s="782"/>
      <c r="Y722" s="782"/>
      <c r="Z722" s="782"/>
    </row>
    <row r="723" spans="3:26" x14ac:dyDescent="0.25">
      <c r="C723" s="104"/>
      <c r="E723" s="639">
        <f>DADOS!$F$47</f>
        <v>0</v>
      </c>
      <c r="J723" s="94" t="s">
        <v>128</v>
      </c>
      <c r="K723" s="353">
        <v>0</v>
      </c>
      <c r="L723" s="95"/>
      <c r="M723" s="104"/>
      <c r="N723" s="104"/>
      <c r="O723" s="104"/>
      <c r="W723" s="94" t="s">
        <v>357</v>
      </c>
      <c r="X723" s="782"/>
      <c r="Y723" s="782"/>
      <c r="Z723" s="782"/>
    </row>
    <row r="724" spans="3:26" x14ac:dyDescent="0.25">
      <c r="C724" s="104"/>
      <c r="E724" s="177" t="s">
        <v>191</v>
      </c>
      <c r="J724" s="94" t="s">
        <v>110</v>
      </c>
      <c r="K724" s="353">
        <v>0</v>
      </c>
      <c r="L724" s="95"/>
      <c r="M724" s="104"/>
      <c r="N724" s="104"/>
      <c r="O724" s="104"/>
      <c r="W724" s="94" t="s">
        <v>110</v>
      </c>
      <c r="X724" s="782"/>
      <c r="Y724" s="782"/>
      <c r="Z724" s="782"/>
    </row>
    <row r="725" spans="3:26" x14ac:dyDescent="0.25">
      <c r="J725" s="94" t="s">
        <v>111</v>
      </c>
      <c r="K725" s="354">
        <v>0</v>
      </c>
      <c r="W725" s="94"/>
      <c r="X725" s="354"/>
    </row>
  </sheetData>
  <sheetProtection password="BD1F" sheet="1" objects="1" scenarios="1" autoFilter="0"/>
  <autoFilter ref="C15:C710"/>
  <mergeCells count="35">
    <mergeCell ref="X724:Z724"/>
    <mergeCell ref="D719:O719"/>
    <mergeCell ref="J720:M720"/>
    <mergeCell ref="W720:Z720"/>
    <mergeCell ref="X722:Z722"/>
    <mergeCell ref="X723:Z723"/>
    <mergeCell ref="D717:L717"/>
    <mergeCell ref="D718:I718"/>
    <mergeCell ref="AB15:AM15"/>
    <mergeCell ref="D712:O712"/>
    <mergeCell ref="T712:Z712"/>
    <mergeCell ref="D713:O715"/>
    <mergeCell ref="T713:Z715"/>
    <mergeCell ref="D15:E15"/>
    <mergeCell ref="AB11:AM11"/>
    <mergeCell ref="J12:L12"/>
    <mergeCell ref="M12:O12"/>
    <mergeCell ref="Q12:R12"/>
    <mergeCell ref="F7:H7"/>
    <mergeCell ref="I7:L7"/>
    <mergeCell ref="M7:N7"/>
    <mergeCell ref="T11:U11"/>
    <mergeCell ref="C8:C12"/>
    <mergeCell ref="F8:H8"/>
    <mergeCell ref="I8:L8"/>
    <mergeCell ref="M8:N8"/>
    <mergeCell ref="E10:I11"/>
    <mergeCell ref="N10:O11"/>
    <mergeCell ref="D5:E5"/>
    <mergeCell ref="F5:H5"/>
    <mergeCell ref="J5:N5"/>
    <mergeCell ref="A3:B3"/>
    <mergeCell ref="D4:E4"/>
    <mergeCell ref="F4:H4"/>
    <mergeCell ref="J4:N4"/>
  </mergeCells>
  <phoneticPr fontId="38" type="noConversion"/>
  <conditionalFormatting sqref="D14:O14 T14:Z14 T25:Z32 D25:O32 D276:O289 T276:Z289 D617:O620 T617:Z620">
    <cfRule type="expression" dxfId="411" priority="5753" stopIfTrue="1">
      <formula>OR(ACOMPANHAMENTO="PLE",TIPOORCAMENTO="Proposto",$L14&lt;0,AND($L14&gt;100,RegimeExecucao="Global"),$O14&gt;$I14,$O14&lt;0)</formula>
    </cfRule>
    <cfRule type="expression" dxfId="410" priority="5754" stopIfTrue="1">
      <formula>$A14=1</formula>
    </cfRule>
    <cfRule type="expression" dxfId="409" priority="5755" stopIfTrue="1">
      <formula>$A14&lt;&gt;"S"</formula>
    </cfRule>
  </conditionalFormatting>
  <conditionalFormatting sqref="Q14:R14 AB14:AM14 AB25:AM32 Q25:R32 Q276:R289 AB276:AM289 Q617:R620 AB617:AM620">
    <cfRule type="expression" dxfId="408" priority="5756" stopIfTrue="1">
      <formula>$A14=1</formula>
    </cfRule>
    <cfRule type="expression" dxfId="407" priority="5757" stopIfTrue="1">
      <formula>$A14&lt;&gt;"S"</formula>
    </cfRule>
  </conditionalFormatting>
  <conditionalFormatting sqref="E2">
    <cfRule type="expression" dxfId="406" priority="5758" stopIfTrue="1">
      <formula>Import.RegimeExecução="(SELECIONAR)"</formula>
    </cfRule>
  </conditionalFormatting>
  <conditionalFormatting sqref="F13:H13">
    <cfRule type="expression" dxfId="405" priority="5759" stopIfTrue="1">
      <formula>RegimeExecucao="Global"</formula>
    </cfRule>
  </conditionalFormatting>
  <conditionalFormatting sqref="D15:O15">
    <cfRule type="expression" dxfId="404" priority="5760" stopIfTrue="1">
      <formula>OR(ACOMPANHAMENTO="PLE",TIPOORCAMENTO="Proposto")</formula>
    </cfRule>
  </conditionalFormatting>
  <conditionalFormatting sqref="D16:O24 T16:Z24">
    <cfRule type="expression" dxfId="403" priority="516" stopIfTrue="1">
      <formula>OR(ACOMPANHAMENTO="PLE",TIPOORCAMENTO="Proposto",$L16&lt;0,AND($L16&gt;100,RegimeExecucao="Global"),$O16&gt;$I16,$O16&lt;0)</formula>
    </cfRule>
    <cfRule type="expression" dxfId="402" priority="517" stopIfTrue="1">
      <formula>$A16=1</formula>
    </cfRule>
    <cfRule type="expression" dxfId="401" priority="518" stopIfTrue="1">
      <formula>$A16&lt;&gt;"S"</formula>
    </cfRule>
  </conditionalFormatting>
  <conditionalFormatting sqref="Q16:R24 AB16:AM24">
    <cfRule type="expression" dxfId="400" priority="519" stopIfTrue="1">
      <formula>$A16=1</formula>
    </cfRule>
    <cfRule type="expression" dxfId="399" priority="520" stopIfTrue="1">
      <formula>$A16&lt;&gt;"S"</formula>
    </cfRule>
  </conditionalFormatting>
  <conditionalFormatting sqref="D33:O41 T33:Z41">
    <cfRule type="expression" dxfId="398" priority="506" stopIfTrue="1">
      <formula>OR(ACOMPANHAMENTO="PLE",TIPOORCAMENTO="Proposto",$L33&lt;0,AND($L33&gt;100,RegimeExecucao="Global"),$O33&gt;$I33,$O33&lt;0)</formula>
    </cfRule>
    <cfRule type="expression" dxfId="397" priority="507" stopIfTrue="1">
      <formula>$A33=1</formula>
    </cfRule>
    <cfRule type="expression" dxfId="396" priority="508" stopIfTrue="1">
      <formula>$A33&lt;&gt;"S"</formula>
    </cfRule>
  </conditionalFormatting>
  <conditionalFormatting sqref="Q33:R41 AB33:AM41">
    <cfRule type="expression" dxfId="395" priority="509" stopIfTrue="1">
      <formula>$A33=1</formula>
    </cfRule>
    <cfRule type="expression" dxfId="394" priority="510" stopIfTrue="1">
      <formula>$A33&lt;&gt;"S"</formula>
    </cfRule>
  </conditionalFormatting>
  <conditionalFormatting sqref="D42:O50 T42:Z50">
    <cfRule type="expression" dxfId="393" priority="501" stopIfTrue="1">
      <formula>OR(ACOMPANHAMENTO="PLE",TIPOORCAMENTO="Proposto",$L42&lt;0,AND($L42&gt;100,RegimeExecucao="Global"),$O42&gt;$I42,$O42&lt;0)</formula>
    </cfRule>
    <cfRule type="expression" dxfId="392" priority="502" stopIfTrue="1">
      <formula>$A42=1</formula>
    </cfRule>
    <cfRule type="expression" dxfId="391" priority="503" stopIfTrue="1">
      <formula>$A42&lt;&gt;"S"</formula>
    </cfRule>
  </conditionalFormatting>
  <conditionalFormatting sqref="Q42:R50 AB42:AM50">
    <cfRule type="expression" dxfId="390" priority="504" stopIfTrue="1">
      <formula>$A42=1</formula>
    </cfRule>
    <cfRule type="expression" dxfId="389" priority="505" stopIfTrue="1">
      <formula>$A42&lt;&gt;"S"</formula>
    </cfRule>
  </conditionalFormatting>
  <conditionalFormatting sqref="D51:O59 T51:Z59">
    <cfRule type="expression" dxfId="388" priority="496" stopIfTrue="1">
      <formula>OR(ACOMPANHAMENTO="PLE",TIPOORCAMENTO="Proposto",$L51&lt;0,AND($L51&gt;100,RegimeExecucao="Global"),$O51&gt;$I51,$O51&lt;0)</formula>
    </cfRule>
    <cfRule type="expression" dxfId="387" priority="497" stopIfTrue="1">
      <formula>$A51=1</formula>
    </cfRule>
    <cfRule type="expression" dxfId="386" priority="498" stopIfTrue="1">
      <formula>$A51&lt;&gt;"S"</formula>
    </cfRule>
  </conditionalFormatting>
  <conditionalFormatting sqref="Q51:R59 AB51:AM59">
    <cfRule type="expression" dxfId="385" priority="499" stopIfTrue="1">
      <formula>$A51=1</formula>
    </cfRule>
    <cfRule type="expression" dxfId="384" priority="500" stopIfTrue="1">
      <formula>$A51&lt;&gt;"S"</formula>
    </cfRule>
  </conditionalFormatting>
  <conditionalFormatting sqref="D60:O68 T60:Z68">
    <cfRule type="expression" dxfId="383" priority="491" stopIfTrue="1">
      <formula>OR(ACOMPANHAMENTO="PLE",TIPOORCAMENTO="Proposto",$L60&lt;0,AND($L60&gt;100,RegimeExecucao="Global"),$O60&gt;$I60,$O60&lt;0)</formula>
    </cfRule>
    <cfRule type="expression" dxfId="382" priority="492" stopIfTrue="1">
      <formula>$A60=1</formula>
    </cfRule>
    <cfRule type="expression" dxfId="381" priority="493" stopIfTrue="1">
      <formula>$A60&lt;&gt;"S"</formula>
    </cfRule>
  </conditionalFormatting>
  <conditionalFormatting sqref="Q60:R68 AB60:AM68">
    <cfRule type="expression" dxfId="380" priority="494" stopIfTrue="1">
      <formula>$A60=1</formula>
    </cfRule>
    <cfRule type="expression" dxfId="379" priority="495" stopIfTrue="1">
      <formula>$A60&lt;&gt;"S"</formula>
    </cfRule>
  </conditionalFormatting>
  <conditionalFormatting sqref="D69:O77 T69:Z77">
    <cfRule type="expression" dxfId="378" priority="486" stopIfTrue="1">
      <formula>OR(ACOMPANHAMENTO="PLE",TIPOORCAMENTO="Proposto",$L69&lt;0,AND($L69&gt;100,RegimeExecucao="Global"),$O69&gt;$I69,$O69&lt;0)</formula>
    </cfRule>
    <cfRule type="expression" dxfId="377" priority="487" stopIfTrue="1">
      <formula>$A69=1</formula>
    </cfRule>
    <cfRule type="expression" dxfId="376" priority="488" stopIfTrue="1">
      <formula>$A69&lt;&gt;"S"</formula>
    </cfRule>
  </conditionalFormatting>
  <conditionalFormatting sqref="Q69:R77 AB69:AM77">
    <cfRule type="expression" dxfId="375" priority="489" stopIfTrue="1">
      <formula>$A69=1</formula>
    </cfRule>
    <cfRule type="expression" dxfId="374" priority="490" stopIfTrue="1">
      <formula>$A69&lt;&gt;"S"</formula>
    </cfRule>
  </conditionalFormatting>
  <conditionalFormatting sqref="D78:O86 T78:Z86">
    <cfRule type="expression" dxfId="373" priority="481" stopIfTrue="1">
      <formula>OR(ACOMPANHAMENTO="PLE",TIPOORCAMENTO="Proposto",$L78&lt;0,AND($L78&gt;100,RegimeExecucao="Global"),$O78&gt;$I78,$O78&lt;0)</formula>
    </cfRule>
    <cfRule type="expression" dxfId="372" priority="482" stopIfTrue="1">
      <formula>$A78=1</formula>
    </cfRule>
    <cfRule type="expression" dxfId="371" priority="483" stopIfTrue="1">
      <formula>$A78&lt;&gt;"S"</formula>
    </cfRule>
  </conditionalFormatting>
  <conditionalFormatting sqref="Q78:R86 AB78:AM86">
    <cfRule type="expression" dxfId="370" priority="484" stopIfTrue="1">
      <formula>$A78=1</formula>
    </cfRule>
    <cfRule type="expression" dxfId="369" priority="485" stopIfTrue="1">
      <formula>$A78&lt;&gt;"S"</formula>
    </cfRule>
  </conditionalFormatting>
  <conditionalFormatting sqref="D87:O95 T87:Z95">
    <cfRule type="expression" dxfId="368" priority="476" stopIfTrue="1">
      <formula>OR(ACOMPANHAMENTO="PLE",TIPOORCAMENTO="Proposto",$L87&lt;0,AND($L87&gt;100,RegimeExecucao="Global"),$O87&gt;$I87,$O87&lt;0)</formula>
    </cfRule>
    <cfRule type="expression" dxfId="367" priority="477" stopIfTrue="1">
      <formula>$A87=1</formula>
    </cfRule>
    <cfRule type="expression" dxfId="366" priority="478" stopIfTrue="1">
      <formula>$A87&lt;&gt;"S"</formula>
    </cfRule>
  </conditionalFormatting>
  <conditionalFormatting sqref="Q87:R95 AB87:AM95">
    <cfRule type="expression" dxfId="365" priority="479" stopIfTrue="1">
      <formula>$A87=1</formula>
    </cfRule>
    <cfRule type="expression" dxfId="364" priority="480" stopIfTrue="1">
      <formula>$A87&lt;&gt;"S"</formula>
    </cfRule>
  </conditionalFormatting>
  <conditionalFormatting sqref="D96:O104 T96:Z104">
    <cfRule type="expression" dxfId="363" priority="471" stopIfTrue="1">
      <formula>OR(ACOMPANHAMENTO="PLE",TIPOORCAMENTO="Proposto",$L96&lt;0,AND($L96&gt;100,RegimeExecucao="Global"),$O96&gt;$I96,$O96&lt;0)</formula>
    </cfRule>
    <cfRule type="expression" dxfId="362" priority="472" stopIfTrue="1">
      <formula>$A96=1</formula>
    </cfRule>
    <cfRule type="expression" dxfId="361" priority="473" stopIfTrue="1">
      <formula>$A96&lt;&gt;"S"</formula>
    </cfRule>
  </conditionalFormatting>
  <conditionalFormatting sqref="Q96:R104 AB96:AM104">
    <cfRule type="expression" dxfId="360" priority="474" stopIfTrue="1">
      <formula>$A96=1</formula>
    </cfRule>
    <cfRule type="expression" dxfId="359" priority="475" stopIfTrue="1">
      <formula>$A96&lt;&gt;"S"</formula>
    </cfRule>
  </conditionalFormatting>
  <conditionalFormatting sqref="D105:O113 T105:Z113">
    <cfRule type="expression" dxfId="358" priority="466" stopIfTrue="1">
      <formula>OR(ACOMPANHAMENTO="PLE",TIPOORCAMENTO="Proposto",$L105&lt;0,AND($L105&gt;100,RegimeExecucao="Global"),$O105&gt;$I105,$O105&lt;0)</formula>
    </cfRule>
    <cfRule type="expression" dxfId="357" priority="467" stopIfTrue="1">
      <formula>$A105=1</formula>
    </cfRule>
    <cfRule type="expression" dxfId="356" priority="468" stopIfTrue="1">
      <formula>$A105&lt;&gt;"S"</formula>
    </cfRule>
  </conditionalFormatting>
  <conditionalFormatting sqref="Q105:R113 AB105:AM113">
    <cfRule type="expression" dxfId="355" priority="469" stopIfTrue="1">
      <formula>$A105=1</formula>
    </cfRule>
    <cfRule type="expression" dxfId="354" priority="470" stopIfTrue="1">
      <formula>$A105&lt;&gt;"S"</formula>
    </cfRule>
  </conditionalFormatting>
  <conditionalFormatting sqref="D114:O122 T114:Z122">
    <cfRule type="expression" dxfId="353" priority="461" stopIfTrue="1">
      <formula>OR(ACOMPANHAMENTO="PLE",TIPOORCAMENTO="Proposto",$L114&lt;0,AND($L114&gt;100,RegimeExecucao="Global"),$O114&gt;$I114,$O114&lt;0)</formula>
    </cfRule>
    <cfRule type="expression" dxfId="352" priority="462" stopIfTrue="1">
      <formula>$A114=1</formula>
    </cfRule>
    <cfRule type="expression" dxfId="351" priority="463" stopIfTrue="1">
      <formula>$A114&lt;&gt;"S"</formula>
    </cfRule>
  </conditionalFormatting>
  <conditionalFormatting sqref="Q114:R122 AB114:AM122">
    <cfRule type="expression" dxfId="350" priority="464" stopIfTrue="1">
      <formula>$A114=1</formula>
    </cfRule>
    <cfRule type="expression" dxfId="349" priority="465" stopIfTrue="1">
      <formula>$A114&lt;&gt;"S"</formula>
    </cfRule>
  </conditionalFormatting>
  <conditionalFormatting sqref="D123:O131 T123:Z131">
    <cfRule type="expression" dxfId="348" priority="456" stopIfTrue="1">
      <formula>OR(ACOMPANHAMENTO="PLE",TIPOORCAMENTO="Proposto",$L123&lt;0,AND($L123&gt;100,RegimeExecucao="Global"),$O123&gt;$I123,$O123&lt;0)</formula>
    </cfRule>
    <cfRule type="expression" dxfId="347" priority="457" stopIfTrue="1">
      <formula>$A123=1</formula>
    </cfRule>
    <cfRule type="expression" dxfId="346" priority="458" stopIfTrue="1">
      <formula>$A123&lt;&gt;"S"</formula>
    </cfRule>
  </conditionalFormatting>
  <conditionalFormatting sqref="Q123:R131 AB123:AM131">
    <cfRule type="expression" dxfId="345" priority="459" stopIfTrue="1">
      <formula>$A123=1</formula>
    </cfRule>
    <cfRule type="expression" dxfId="344" priority="460" stopIfTrue="1">
      <formula>$A123&lt;&gt;"S"</formula>
    </cfRule>
  </conditionalFormatting>
  <conditionalFormatting sqref="D132:O140 T132:Z140">
    <cfRule type="expression" dxfId="343" priority="451" stopIfTrue="1">
      <formula>OR(ACOMPANHAMENTO="PLE",TIPOORCAMENTO="Proposto",$L132&lt;0,AND($L132&gt;100,RegimeExecucao="Global"),$O132&gt;$I132,$O132&lt;0)</formula>
    </cfRule>
    <cfRule type="expression" dxfId="342" priority="452" stopIfTrue="1">
      <formula>$A132=1</formula>
    </cfRule>
    <cfRule type="expression" dxfId="341" priority="453" stopIfTrue="1">
      <formula>$A132&lt;&gt;"S"</formula>
    </cfRule>
  </conditionalFormatting>
  <conditionalFormatting sqref="Q132:R140 AB132:AM140">
    <cfRule type="expression" dxfId="340" priority="454" stopIfTrue="1">
      <formula>$A132=1</formula>
    </cfRule>
    <cfRule type="expression" dxfId="339" priority="455" stopIfTrue="1">
      <formula>$A132&lt;&gt;"S"</formula>
    </cfRule>
  </conditionalFormatting>
  <conditionalFormatting sqref="D141:O149 T141:Z149">
    <cfRule type="expression" dxfId="338" priority="446" stopIfTrue="1">
      <formula>OR(ACOMPANHAMENTO="PLE",TIPOORCAMENTO="Proposto",$L141&lt;0,AND($L141&gt;100,RegimeExecucao="Global"),$O141&gt;$I141,$O141&lt;0)</formula>
    </cfRule>
    <cfRule type="expression" dxfId="337" priority="447" stopIfTrue="1">
      <formula>$A141=1</formula>
    </cfRule>
    <cfRule type="expression" dxfId="336" priority="448" stopIfTrue="1">
      <formula>$A141&lt;&gt;"S"</formula>
    </cfRule>
  </conditionalFormatting>
  <conditionalFormatting sqref="Q141:R149 AB141:AM149">
    <cfRule type="expression" dxfId="335" priority="449" stopIfTrue="1">
      <formula>$A141=1</formula>
    </cfRule>
    <cfRule type="expression" dxfId="334" priority="450" stopIfTrue="1">
      <formula>$A141&lt;&gt;"S"</formula>
    </cfRule>
  </conditionalFormatting>
  <conditionalFormatting sqref="D150:O158 T150:Z158">
    <cfRule type="expression" dxfId="333" priority="441" stopIfTrue="1">
      <formula>OR(ACOMPANHAMENTO="PLE",TIPOORCAMENTO="Proposto",$L150&lt;0,AND($L150&gt;100,RegimeExecucao="Global"),$O150&gt;$I150,$O150&lt;0)</formula>
    </cfRule>
    <cfRule type="expression" dxfId="332" priority="442" stopIfTrue="1">
      <formula>$A150=1</formula>
    </cfRule>
    <cfRule type="expression" dxfId="331" priority="443" stopIfTrue="1">
      <formula>$A150&lt;&gt;"S"</formula>
    </cfRule>
  </conditionalFormatting>
  <conditionalFormatting sqref="Q150:R158 AB150:AM158">
    <cfRule type="expression" dxfId="330" priority="444" stopIfTrue="1">
      <formula>$A150=1</formula>
    </cfRule>
    <cfRule type="expression" dxfId="329" priority="445" stopIfTrue="1">
      <formula>$A150&lt;&gt;"S"</formula>
    </cfRule>
  </conditionalFormatting>
  <conditionalFormatting sqref="D159:O167 T159:Z167">
    <cfRule type="expression" dxfId="328" priority="436" stopIfTrue="1">
      <formula>OR(ACOMPANHAMENTO="PLE",TIPOORCAMENTO="Proposto",$L159&lt;0,AND($L159&gt;100,RegimeExecucao="Global"),$O159&gt;$I159,$O159&lt;0)</formula>
    </cfRule>
    <cfRule type="expression" dxfId="327" priority="437" stopIfTrue="1">
      <formula>$A159=1</formula>
    </cfRule>
    <cfRule type="expression" dxfId="326" priority="438" stopIfTrue="1">
      <formula>$A159&lt;&gt;"S"</formula>
    </cfRule>
  </conditionalFormatting>
  <conditionalFormatting sqref="Q159:R167 AB159:AM167">
    <cfRule type="expression" dxfId="325" priority="439" stopIfTrue="1">
      <formula>$A159=1</formula>
    </cfRule>
    <cfRule type="expression" dxfId="324" priority="440" stopIfTrue="1">
      <formula>$A159&lt;&gt;"S"</formula>
    </cfRule>
  </conditionalFormatting>
  <conditionalFormatting sqref="D168:O176 T168:Z176">
    <cfRule type="expression" dxfId="323" priority="431" stopIfTrue="1">
      <formula>OR(ACOMPANHAMENTO="PLE",TIPOORCAMENTO="Proposto",$L168&lt;0,AND($L168&gt;100,RegimeExecucao="Global"),$O168&gt;$I168,$O168&lt;0)</formula>
    </cfRule>
    <cfRule type="expression" dxfId="322" priority="432" stopIfTrue="1">
      <formula>$A168=1</formula>
    </cfRule>
    <cfRule type="expression" dxfId="321" priority="433" stopIfTrue="1">
      <formula>$A168&lt;&gt;"S"</formula>
    </cfRule>
  </conditionalFormatting>
  <conditionalFormatting sqref="Q168:R176 AB168:AM176">
    <cfRule type="expression" dxfId="320" priority="434" stopIfTrue="1">
      <formula>$A168=1</formula>
    </cfRule>
    <cfRule type="expression" dxfId="319" priority="435" stopIfTrue="1">
      <formula>$A168&lt;&gt;"S"</formula>
    </cfRule>
  </conditionalFormatting>
  <conditionalFormatting sqref="D177:O185 T177:Z185">
    <cfRule type="expression" dxfId="318" priority="426" stopIfTrue="1">
      <formula>OR(ACOMPANHAMENTO="PLE",TIPOORCAMENTO="Proposto",$L177&lt;0,AND($L177&gt;100,RegimeExecucao="Global"),$O177&gt;$I177,$O177&lt;0)</formula>
    </cfRule>
    <cfRule type="expression" dxfId="317" priority="427" stopIfTrue="1">
      <formula>$A177=1</formula>
    </cfRule>
    <cfRule type="expression" dxfId="316" priority="428" stopIfTrue="1">
      <formula>$A177&lt;&gt;"S"</formula>
    </cfRule>
  </conditionalFormatting>
  <conditionalFormatting sqref="Q177:R185 AB177:AM185">
    <cfRule type="expression" dxfId="315" priority="429" stopIfTrue="1">
      <formula>$A177=1</formula>
    </cfRule>
    <cfRule type="expression" dxfId="314" priority="430" stopIfTrue="1">
      <formula>$A177&lt;&gt;"S"</formula>
    </cfRule>
  </conditionalFormatting>
  <conditionalFormatting sqref="D186:O194 T186:Z194">
    <cfRule type="expression" dxfId="313" priority="421" stopIfTrue="1">
      <formula>OR(ACOMPANHAMENTO="PLE",TIPOORCAMENTO="Proposto",$L186&lt;0,AND($L186&gt;100,RegimeExecucao="Global"),$O186&gt;$I186,$O186&lt;0)</formula>
    </cfRule>
    <cfRule type="expression" dxfId="312" priority="422" stopIfTrue="1">
      <formula>$A186=1</formula>
    </cfRule>
    <cfRule type="expression" dxfId="311" priority="423" stopIfTrue="1">
      <formula>$A186&lt;&gt;"S"</formula>
    </cfRule>
  </conditionalFormatting>
  <conditionalFormatting sqref="Q186:R194 AB186:AM194">
    <cfRule type="expression" dxfId="310" priority="424" stopIfTrue="1">
      <formula>$A186=1</formula>
    </cfRule>
    <cfRule type="expression" dxfId="309" priority="425" stopIfTrue="1">
      <formula>$A186&lt;&gt;"S"</formula>
    </cfRule>
  </conditionalFormatting>
  <conditionalFormatting sqref="D195:O203 T195:Z203">
    <cfRule type="expression" dxfId="308" priority="416" stopIfTrue="1">
      <formula>OR(ACOMPANHAMENTO="PLE",TIPOORCAMENTO="Proposto",$L195&lt;0,AND($L195&gt;100,RegimeExecucao="Global"),$O195&gt;$I195,$O195&lt;0)</formula>
    </cfRule>
    <cfRule type="expression" dxfId="307" priority="417" stopIfTrue="1">
      <formula>$A195=1</formula>
    </cfRule>
    <cfRule type="expression" dxfId="306" priority="418" stopIfTrue="1">
      <formula>$A195&lt;&gt;"S"</formula>
    </cfRule>
  </conditionalFormatting>
  <conditionalFormatting sqref="Q195:R203 AB195:AM203">
    <cfRule type="expression" dxfId="305" priority="419" stopIfTrue="1">
      <formula>$A195=1</formula>
    </cfRule>
    <cfRule type="expression" dxfId="304" priority="420" stopIfTrue="1">
      <formula>$A195&lt;&gt;"S"</formula>
    </cfRule>
  </conditionalFormatting>
  <conditionalFormatting sqref="D204:O212 T204:Z212">
    <cfRule type="expression" dxfId="303" priority="411" stopIfTrue="1">
      <formula>OR(ACOMPANHAMENTO="PLE",TIPOORCAMENTO="Proposto",$L204&lt;0,AND($L204&gt;100,RegimeExecucao="Global"),$O204&gt;$I204,$O204&lt;0)</formula>
    </cfRule>
    <cfRule type="expression" dxfId="302" priority="412" stopIfTrue="1">
      <formula>$A204=1</formula>
    </cfRule>
    <cfRule type="expression" dxfId="301" priority="413" stopIfTrue="1">
      <formula>$A204&lt;&gt;"S"</formula>
    </cfRule>
  </conditionalFormatting>
  <conditionalFormatting sqref="Q204:R212 AB204:AM212">
    <cfRule type="expression" dxfId="300" priority="414" stopIfTrue="1">
      <formula>$A204=1</formula>
    </cfRule>
    <cfRule type="expression" dxfId="299" priority="415" stopIfTrue="1">
      <formula>$A204&lt;&gt;"S"</formula>
    </cfRule>
  </conditionalFormatting>
  <conditionalFormatting sqref="D213:O221 T213:Z221">
    <cfRule type="expression" dxfId="298" priority="406" stopIfTrue="1">
      <formula>OR(ACOMPANHAMENTO="PLE",TIPOORCAMENTO="Proposto",$L213&lt;0,AND($L213&gt;100,RegimeExecucao="Global"),$O213&gt;$I213,$O213&lt;0)</formula>
    </cfRule>
    <cfRule type="expression" dxfId="297" priority="407" stopIfTrue="1">
      <formula>$A213=1</formula>
    </cfRule>
    <cfRule type="expression" dxfId="296" priority="408" stopIfTrue="1">
      <formula>$A213&lt;&gt;"S"</formula>
    </cfRule>
  </conditionalFormatting>
  <conditionalFormatting sqref="Q213:R221 AB213:AM221">
    <cfRule type="expression" dxfId="295" priority="409" stopIfTrue="1">
      <formula>$A213=1</formula>
    </cfRule>
    <cfRule type="expression" dxfId="294" priority="410" stopIfTrue="1">
      <formula>$A213&lt;&gt;"S"</formula>
    </cfRule>
  </conditionalFormatting>
  <conditionalFormatting sqref="D222:O230 T222:Z230">
    <cfRule type="expression" dxfId="293" priority="401" stopIfTrue="1">
      <formula>OR(ACOMPANHAMENTO="PLE",TIPOORCAMENTO="Proposto",$L222&lt;0,AND($L222&gt;100,RegimeExecucao="Global"),$O222&gt;$I222,$O222&lt;0)</formula>
    </cfRule>
    <cfRule type="expression" dxfId="292" priority="402" stopIfTrue="1">
      <formula>$A222=1</formula>
    </cfRule>
    <cfRule type="expression" dxfId="291" priority="403" stopIfTrue="1">
      <formula>$A222&lt;&gt;"S"</formula>
    </cfRule>
  </conditionalFormatting>
  <conditionalFormatting sqref="Q222:R230 AB222:AM230">
    <cfRule type="expression" dxfId="290" priority="404" stopIfTrue="1">
      <formula>$A222=1</formula>
    </cfRule>
    <cfRule type="expression" dxfId="289" priority="405" stopIfTrue="1">
      <formula>$A222&lt;&gt;"S"</formula>
    </cfRule>
  </conditionalFormatting>
  <conditionalFormatting sqref="D231:O239 T231:Z239">
    <cfRule type="expression" dxfId="288" priority="396" stopIfTrue="1">
      <formula>OR(ACOMPANHAMENTO="PLE",TIPOORCAMENTO="Proposto",$L231&lt;0,AND($L231&gt;100,RegimeExecucao="Global"),$O231&gt;$I231,$O231&lt;0)</formula>
    </cfRule>
    <cfRule type="expression" dxfId="287" priority="397" stopIfTrue="1">
      <formula>$A231=1</formula>
    </cfRule>
    <cfRule type="expression" dxfId="286" priority="398" stopIfTrue="1">
      <formula>$A231&lt;&gt;"S"</formula>
    </cfRule>
  </conditionalFormatting>
  <conditionalFormatting sqref="Q231:R239 AB231:AM239">
    <cfRule type="expression" dxfId="285" priority="399" stopIfTrue="1">
      <formula>$A231=1</formula>
    </cfRule>
    <cfRule type="expression" dxfId="284" priority="400" stopIfTrue="1">
      <formula>$A231&lt;&gt;"S"</formula>
    </cfRule>
  </conditionalFormatting>
  <conditionalFormatting sqref="D240:O248 T240:Z248">
    <cfRule type="expression" dxfId="283" priority="391" stopIfTrue="1">
      <formula>OR(ACOMPANHAMENTO="PLE",TIPOORCAMENTO="Proposto",$L240&lt;0,AND($L240&gt;100,RegimeExecucao="Global"),$O240&gt;$I240,$O240&lt;0)</formula>
    </cfRule>
    <cfRule type="expression" dxfId="282" priority="392" stopIfTrue="1">
      <formula>$A240=1</formula>
    </cfRule>
    <cfRule type="expression" dxfId="281" priority="393" stopIfTrue="1">
      <formula>$A240&lt;&gt;"S"</formula>
    </cfRule>
  </conditionalFormatting>
  <conditionalFormatting sqref="Q240:R248 AB240:AM248">
    <cfRule type="expression" dxfId="280" priority="394" stopIfTrue="1">
      <formula>$A240=1</formula>
    </cfRule>
    <cfRule type="expression" dxfId="279" priority="395" stopIfTrue="1">
      <formula>$A240&lt;&gt;"S"</formula>
    </cfRule>
  </conditionalFormatting>
  <conditionalFormatting sqref="D249:O257 T249:Z257">
    <cfRule type="expression" dxfId="278" priority="386" stopIfTrue="1">
      <formula>OR(ACOMPANHAMENTO="PLE",TIPOORCAMENTO="Proposto",$L249&lt;0,AND($L249&gt;100,RegimeExecucao="Global"),$O249&gt;$I249,$O249&lt;0)</formula>
    </cfRule>
    <cfRule type="expression" dxfId="277" priority="387" stopIfTrue="1">
      <formula>$A249=1</formula>
    </cfRule>
    <cfRule type="expression" dxfId="276" priority="388" stopIfTrue="1">
      <formula>$A249&lt;&gt;"S"</formula>
    </cfRule>
  </conditionalFormatting>
  <conditionalFormatting sqref="Q249:R257 AB249:AM257">
    <cfRule type="expression" dxfId="275" priority="389" stopIfTrue="1">
      <formula>$A249=1</formula>
    </cfRule>
    <cfRule type="expression" dxfId="274" priority="390" stopIfTrue="1">
      <formula>$A249&lt;&gt;"S"</formula>
    </cfRule>
  </conditionalFormatting>
  <conditionalFormatting sqref="D258:O266 T258:Z266">
    <cfRule type="expression" dxfId="273" priority="381" stopIfTrue="1">
      <formula>OR(ACOMPANHAMENTO="PLE",TIPOORCAMENTO="Proposto",$L258&lt;0,AND($L258&gt;100,RegimeExecucao="Global"),$O258&gt;$I258,$O258&lt;0)</formula>
    </cfRule>
    <cfRule type="expression" dxfId="272" priority="382" stopIfTrue="1">
      <formula>$A258=1</formula>
    </cfRule>
    <cfRule type="expression" dxfId="271" priority="383" stopIfTrue="1">
      <formula>$A258&lt;&gt;"S"</formula>
    </cfRule>
  </conditionalFormatting>
  <conditionalFormatting sqref="Q258:R266 AB258:AM266">
    <cfRule type="expression" dxfId="270" priority="384" stopIfTrue="1">
      <formula>$A258=1</formula>
    </cfRule>
    <cfRule type="expression" dxfId="269" priority="385" stopIfTrue="1">
      <formula>$A258&lt;&gt;"S"</formula>
    </cfRule>
  </conditionalFormatting>
  <conditionalFormatting sqref="D267:O275 T267:Z275">
    <cfRule type="expression" dxfId="268" priority="376" stopIfTrue="1">
      <formula>OR(ACOMPANHAMENTO="PLE",TIPOORCAMENTO="Proposto",$L267&lt;0,AND($L267&gt;100,RegimeExecucao="Global"),$O267&gt;$I267,$O267&lt;0)</formula>
    </cfRule>
    <cfRule type="expression" dxfId="267" priority="377" stopIfTrue="1">
      <formula>$A267=1</formula>
    </cfRule>
    <cfRule type="expression" dxfId="266" priority="378" stopIfTrue="1">
      <formula>$A267&lt;&gt;"S"</formula>
    </cfRule>
  </conditionalFormatting>
  <conditionalFormatting sqref="Q267:R275 AB267:AM275">
    <cfRule type="expression" dxfId="265" priority="379" stopIfTrue="1">
      <formula>$A267=1</formula>
    </cfRule>
    <cfRule type="expression" dxfId="264" priority="380" stopIfTrue="1">
      <formula>$A267&lt;&gt;"S"</formula>
    </cfRule>
  </conditionalFormatting>
  <conditionalFormatting sqref="D290:O298 T290:Z298">
    <cfRule type="expression" dxfId="263" priority="361" stopIfTrue="1">
      <formula>OR(ACOMPANHAMENTO="PLE",TIPOORCAMENTO="Proposto",$L290&lt;0,AND($L290&gt;100,RegimeExecucao="Global"),$O290&gt;$I290,$O290&lt;0)</formula>
    </cfRule>
    <cfRule type="expression" dxfId="262" priority="362" stopIfTrue="1">
      <formula>$A290=1</formula>
    </cfRule>
    <cfRule type="expression" dxfId="261" priority="363" stopIfTrue="1">
      <formula>$A290&lt;&gt;"S"</formula>
    </cfRule>
  </conditionalFormatting>
  <conditionalFormatting sqref="Q290:R298 AB290:AM298">
    <cfRule type="expression" dxfId="260" priority="364" stopIfTrue="1">
      <formula>$A290=1</formula>
    </cfRule>
    <cfRule type="expression" dxfId="259" priority="365" stopIfTrue="1">
      <formula>$A290&lt;&gt;"S"</formula>
    </cfRule>
  </conditionalFormatting>
  <conditionalFormatting sqref="D299:O307 T299:Z307">
    <cfRule type="expression" dxfId="258" priority="356" stopIfTrue="1">
      <formula>OR(ACOMPANHAMENTO="PLE",TIPOORCAMENTO="Proposto",$L299&lt;0,AND($L299&gt;100,RegimeExecucao="Global"),$O299&gt;$I299,$O299&lt;0)</formula>
    </cfRule>
    <cfRule type="expression" dxfId="257" priority="357" stopIfTrue="1">
      <formula>$A299=1</formula>
    </cfRule>
    <cfRule type="expression" dxfId="256" priority="358" stopIfTrue="1">
      <formula>$A299&lt;&gt;"S"</formula>
    </cfRule>
  </conditionalFormatting>
  <conditionalFormatting sqref="Q299:R307 AB299:AM307">
    <cfRule type="expression" dxfId="255" priority="359" stopIfTrue="1">
      <formula>$A299=1</formula>
    </cfRule>
    <cfRule type="expression" dxfId="254" priority="360" stopIfTrue="1">
      <formula>$A299&lt;&gt;"S"</formula>
    </cfRule>
  </conditionalFormatting>
  <conditionalFormatting sqref="D308:O316 T308:Z316">
    <cfRule type="expression" dxfId="253" priority="351" stopIfTrue="1">
      <formula>OR(ACOMPANHAMENTO="PLE",TIPOORCAMENTO="Proposto",$L308&lt;0,AND($L308&gt;100,RegimeExecucao="Global"),$O308&gt;$I308,$O308&lt;0)</formula>
    </cfRule>
    <cfRule type="expression" dxfId="252" priority="352" stopIfTrue="1">
      <formula>$A308=1</formula>
    </cfRule>
    <cfRule type="expression" dxfId="251" priority="353" stopIfTrue="1">
      <formula>$A308&lt;&gt;"S"</formula>
    </cfRule>
  </conditionalFormatting>
  <conditionalFormatting sqref="Q308:R316 AB308:AM316">
    <cfRule type="expression" dxfId="250" priority="354" stopIfTrue="1">
      <formula>$A308=1</formula>
    </cfRule>
    <cfRule type="expression" dxfId="249" priority="355" stopIfTrue="1">
      <formula>$A308&lt;&gt;"S"</formula>
    </cfRule>
  </conditionalFormatting>
  <conditionalFormatting sqref="D317:O325 T317:Z325">
    <cfRule type="expression" dxfId="248" priority="346" stopIfTrue="1">
      <formula>OR(ACOMPANHAMENTO="PLE",TIPOORCAMENTO="Proposto",$L317&lt;0,AND($L317&gt;100,RegimeExecucao="Global"),$O317&gt;$I317,$O317&lt;0)</formula>
    </cfRule>
    <cfRule type="expression" dxfId="247" priority="347" stopIfTrue="1">
      <formula>$A317=1</formula>
    </cfRule>
    <cfRule type="expression" dxfId="246" priority="348" stopIfTrue="1">
      <formula>$A317&lt;&gt;"S"</formula>
    </cfRule>
  </conditionalFormatting>
  <conditionalFormatting sqref="Q317:R325 AB317:AM325">
    <cfRule type="expression" dxfId="245" priority="349" stopIfTrue="1">
      <formula>$A317=1</formula>
    </cfRule>
    <cfRule type="expression" dxfId="244" priority="350" stopIfTrue="1">
      <formula>$A317&lt;&gt;"S"</formula>
    </cfRule>
  </conditionalFormatting>
  <conditionalFormatting sqref="D326:O334 T326:Z334">
    <cfRule type="expression" dxfId="243" priority="341" stopIfTrue="1">
      <formula>OR(ACOMPANHAMENTO="PLE",TIPOORCAMENTO="Proposto",$L326&lt;0,AND($L326&gt;100,RegimeExecucao="Global"),$O326&gt;$I326,$O326&lt;0)</formula>
    </cfRule>
    <cfRule type="expression" dxfId="242" priority="342" stopIfTrue="1">
      <formula>$A326=1</formula>
    </cfRule>
    <cfRule type="expression" dxfId="241" priority="343" stopIfTrue="1">
      <formula>$A326&lt;&gt;"S"</formula>
    </cfRule>
  </conditionalFormatting>
  <conditionalFormatting sqref="Q326:R334 AB326:AM334">
    <cfRule type="expression" dxfId="240" priority="344" stopIfTrue="1">
      <formula>$A326=1</formula>
    </cfRule>
    <cfRule type="expression" dxfId="239" priority="345" stopIfTrue="1">
      <formula>$A326&lt;&gt;"S"</formula>
    </cfRule>
  </conditionalFormatting>
  <conditionalFormatting sqref="D335:O343 T335:Z343">
    <cfRule type="expression" dxfId="238" priority="336" stopIfTrue="1">
      <formula>OR(ACOMPANHAMENTO="PLE",TIPOORCAMENTO="Proposto",$L335&lt;0,AND($L335&gt;100,RegimeExecucao="Global"),$O335&gt;$I335,$O335&lt;0)</formula>
    </cfRule>
    <cfRule type="expression" dxfId="237" priority="337" stopIfTrue="1">
      <formula>$A335=1</formula>
    </cfRule>
    <cfRule type="expression" dxfId="236" priority="338" stopIfTrue="1">
      <formula>$A335&lt;&gt;"S"</formula>
    </cfRule>
  </conditionalFormatting>
  <conditionalFormatting sqref="Q335:R343 AB335:AM343">
    <cfRule type="expression" dxfId="235" priority="339" stopIfTrue="1">
      <formula>$A335=1</formula>
    </cfRule>
    <cfRule type="expression" dxfId="234" priority="340" stopIfTrue="1">
      <formula>$A335&lt;&gt;"S"</formula>
    </cfRule>
  </conditionalFormatting>
  <conditionalFormatting sqref="D344:O352 T344:Z352">
    <cfRule type="expression" dxfId="233" priority="331" stopIfTrue="1">
      <formula>OR(ACOMPANHAMENTO="PLE",TIPOORCAMENTO="Proposto",$L344&lt;0,AND($L344&gt;100,RegimeExecucao="Global"),$O344&gt;$I344,$O344&lt;0)</formula>
    </cfRule>
    <cfRule type="expression" dxfId="232" priority="332" stopIfTrue="1">
      <formula>$A344=1</formula>
    </cfRule>
    <cfRule type="expression" dxfId="231" priority="333" stopIfTrue="1">
      <formula>$A344&lt;&gt;"S"</formula>
    </cfRule>
  </conditionalFormatting>
  <conditionalFormatting sqref="Q344:R352 AB344:AM352">
    <cfRule type="expression" dxfId="230" priority="334" stopIfTrue="1">
      <formula>$A344=1</formula>
    </cfRule>
    <cfRule type="expression" dxfId="229" priority="335" stopIfTrue="1">
      <formula>$A344&lt;&gt;"S"</formula>
    </cfRule>
  </conditionalFormatting>
  <conditionalFormatting sqref="D353:O361 T353:Z361">
    <cfRule type="expression" dxfId="228" priority="326" stopIfTrue="1">
      <formula>OR(ACOMPANHAMENTO="PLE",TIPOORCAMENTO="Proposto",$L353&lt;0,AND($L353&gt;100,RegimeExecucao="Global"),$O353&gt;$I353,$O353&lt;0)</formula>
    </cfRule>
    <cfRule type="expression" dxfId="227" priority="327" stopIfTrue="1">
      <formula>$A353=1</formula>
    </cfRule>
    <cfRule type="expression" dxfId="226" priority="328" stopIfTrue="1">
      <formula>$A353&lt;&gt;"S"</formula>
    </cfRule>
  </conditionalFormatting>
  <conditionalFormatting sqref="Q353:R361 AB353:AM361">
    <cfRule type="expression" dxfId="225" priority="329" stopIfTrue="1">
      <formula>$A353=1</formula>
    </cfRule>
    <cfRule type="expression" dxfId="224" priority="330" stopIfTrue="1">
      <formula>$A353&lt;&gt;"S"</formula>
    </cfRule>
  </conditionalFormatting>
  <conditionalFormatting sqref="D362:O370 T362:Z370">
    <cfRule type="expression" dxfId="223" priority="321" stopIfTrue="1">
      <formula>OR(ACOMPANHAMENTO="PLE",TIPOORCAMENTO="Proposto",$L362&lt;0,AND($L362&gt;100,RegimeExecucao="Global"),$O362&gt;$I362,$O362&lt;0)</formula>
    </cfRule>
    <cfRule type="expression" dxfId="222" priority="322" stopIfTrue="1">
      <formula>$A362=1</formula>
    </cfRule>
    <cfRule type="expression" dxfId="221" priority="323" stopIfTrue="1">
      <formula>$A362&lt;&gt;"S"</formula>
    </cfRule>
  </conditionalFormatting>
  <conditionalFormatting sqref="Q362:R370 AB362:AM370">
    <cfRule type="expression" dxfId="220" priority="324" stopIfTrue="1">
      <formula>$A362=1</formula>
    </cfRule>
    <cfRule type="expression" dxfId="219" priority="325" stopIfTrue="1">
      <formula>$A362&lt;&gt;"S"</formula>
    </cfRule>
  </conditionalFormatting>
  <conditionalFormatting sqref="D371:O379 T371:Z379">
    <cfRule type="expression" dxfId="218" priority="316" stopIfTrue="1">
      <formula>OR(ACOMPANHAMENTO="PLE",TIPOORCAMENTO="Proposto",$L371&lt;0,AND($L371&gt;100,RegimeExecucao="Global"),$O371&gt;$I371,$O371&lt;0)</formula>
    </cfRule>
    <cfRule type="expression" dxfId="217" priority="317" stopIfTrue="1">
      <formula>$A371=1</formula>
    </cfRule>
    <cfRule type="expression" dxfId="216" priority="318" stopIfTrue="1">
      <formula>$A371&lt;&gt;"S"</formula>
    </cfRule>
  </conditionalFormatting>
  <conditionalFormatting sqref="Q371:R379 AB371:AM379">
    <cfRule type="expression" dxfId="215" priority="319" stopIfTrue="1">
      <formula>$A371=1</formula>
    </cfRule>
    <cfRule type="expression" dxfId="214" priority="320" stopIfTrue="1">
      <formula>$A371&lt;&gt;"S"</formula>
    </cfRule>
  </conditionalFormatting>
  <conditionalFormatting sqref="D380:O388 T380:Z388">
    <cfRule type="expression" dxfId="213" priority="311" stopIfTrue="1">
      <formula>OR(ACOMPANHAMENTO="PLE",TIPOORCAMENTO="Proposto",$L380&lt;0,AND($L380&gt;100,RegimeExecucao="Global"),$O380&gt;$I380,$O380&lt;0)</formula>
    </cfRule>
    <cfRule type="expression" dxfId="212" priority="312" stopIfTrue="1">
      <formula>$A380=1</formula>
    </cfRule>
    <cfRule type="expression" dxfId="211" priority="313" stopIfTrue="1">
      <formula>$A380&lt;&gt;"S"</formula>
    </cfRule>
  </conditionalFormatting>
  <conditionalFormatting sqref="Q380:R388 AB380:AM388">
    <cfRule type="expression" dxfId="210" priority="314" stopIfTrue="1">
      <formula>$A380=1</formula>
    </cfRule>
    <cfRule type="expression" dxfId="209" priority="315" stopIfTrue="1">
      <formula>$A380&lt;&gt;"S"</formula>
    </cfRule>
  </conditionalFormatting>
  <conditionalFormatting sqref="D389:O397 T389:Z397">
    <cfRule type="expression" dxfId="208" priority="306" stopIfTrue="1">
      <formula>OR(ACOMPANHAMENTO="PLE",TIPOORCAMENTO="Proposto",$L389&lt;0,AND($L389&gt;100,RegimeExecucao="Global"),$O389&gt;$I389,$O389&lt;0)</formula>
    </cfRule>
    <cfRule type="expression" dxfId="207" priority="307" stopIfTrue="1">
      <formula>$A389=1</formula>
    </cfRule>
    <cfRule type="expression" dxfId="206" priority="308" stopIfTrue="1">
      <formula>$A389&lt;&gt;"S"</formula>
    </cfRule>
  </conditionalFormatting>
  <conditionalFormatting sqref="Q389:R397 AB389:AM397">
    <cfRule type="expression" dxfId="205" priority="309" stopIfTrue="1">
      <formula>$A389=1</formula>
    </cfRule>
    <cfRule type="expression" dxfId="204" priority="310" stopIfTrue="1">
      <formula>$A389&lt;&gt;"S"</formula>
    </cfRule>
  </conditionalFormatting>
  <conditionalFormatting sqref="D398:O406 T398:Z406">
    <cfRule type="expression" dxfId="203" priority="301" stopIfTrue="1">
      <formula>OR(ACOMPANHAMENTO="PLE",TIPOORCAMENTO="Proposto",$L398&lt;0,AND($L398&gt;100,RegimeExecucao="Global"),$O398&gt;$I398,$O398&lt;0)</formula>
    </cfRule>
    <cfRule type="expression" dxfId="202" priority="302" stopIfTrue="1">
      <formula>$A398=1</formula>
    </cfRule>
    <cfRule type="expression" dxfId="201" priority="303" stopIfTrue="1">
      <formula>$A398&lt;&gt;"S"</formula>
    </cfRule>
  </conditionalFormatting>
  <conditionalFormatting sqref="Q398:R406 AB398:AM406">
    <cfRule type="expression" dxfId="200" priority="304" stopIfTrue="1">
      <formula>$A398=1</formula>
    </cfRule>
    <cfRule type="expression" dxfId="199" priority="305" stopIfTrue="1">
      <formula>$A398&lt;&gt;"S"</formula>
    </cfRule>
  </conditionalFormatting>
  <conditionalFormatting sqref="D407:O415 T407:Z415">
    <cfRule type="expression" dxfId="198" priority="296" stopIfTrue="1">
      <formula>OR(ACOMPANHAMENTO="PLE",TIPOORCAMENTO="Proposto",$L407&lt;0,AND($L407&gt;100,RegimeExecucao="Global"),$O407&gt;$I407,$O407&lt;0)</formula>
    </cfRule>
    <cfRule type="expression" dxfId="197" priority="297" stopIfTrue="1">
      <formula>$A407=1</formula>
    </cfRule>
    <cfRule type="expression" dxfId="196" priority="298" stopIfTrue="1">
      <formula>$A407&lt;&gt;"S"</formula>
    </cfRule>
  </conditionalFormatting>
  <conditionalFormatting sqref="Q407:R415 AB407:AM415">
    <cfRule type="expression" dxfId="195" priority="299" stopIfTrue="1">
      <formula>$A407=1</formula>
    </cfRule>
    <cfRule type="expression" dxfId="194" priority="300" stopIfTrue="1">
      <formula>$A407&lt;&gt;"S"</formula>
    </cfRule>
  </conditionalFormatting>
  <conditionalFormatting sqref="D416:O424 T416:Z424">
    <cfRule type="expression" dxfId="193" priority="291" stopIfTrue="1">
      <formula>OR(ACOMPANHAMENTO="PLE",TIPOORCAMENTO="Proposto",$L416&lt;0,AND($L416&gt;100,RegimeExecucao="Global"),$O416&gt;$I416,$O416&lt;0)</formula>
    </cfRule>
    <cfRule type="expression" dxfId="192" priority="292" stopIfTrue="1">
      <formula>$A416=1</formula>
    </cfRule>
    <cfRule type="expression" dxfId="191" priority="293" stopIfTrue="1">
      <formula>$A416&lt;&gt;"S"</formula>
    </cfRule>
  </conditionalFormatting>
  <conditionalFormatting sqref="Q416:R424 AB416:AM424">
    <cfRule type="expression" dxfId="190" priority="294" stopIfTrue="1">
      <formula>$A416=1</formula>
    </cfRule>
    <cfRule type="expression" dxfId="189" priority="295" stopIfTrue="1">
      <formula>$A416&lt;&gt;"S"</formula>
    </cfRule>
  </conditionalFormatting>
  <conditionalFormatting sqref="D425:O425 T425:Z425 T429:Z436 D429:O436">
    <cfRule type="expression" dxfId="188" priority="286" stopIfTrue="1">
      <formula>OR(ACOMPANHAMENTO="PLE",TIPOORCAMENTO="Proposto",$L425&lt;0,AND($L425&gt;100,RegimeExecucao="Global"),$O425&gt;$I425,$O425&lt;0)</formula>
    </cfRule>
    <cfRule type="expression" dxfId="187" priority="287" stopIfTrue="1">
      <formula>$A425=1</formula>
    </cfRule>
    <cfRule type="expression" dxfId="186" priority="288" stopIfTrue="1">
      <formula>$A425&lt;&gt;"S"</formula>
    </cfRule>
  </conditionalFormatting>
  <conditionalFormatting sqref="Q425:R425 AB425:AM425 AB429:AM436 Q429:R436">
    <cfRule type="expression" dxfId="185" priority="289" stopIfTrue="1">
      <formula>$A425=1</formula>
    </cfRule>
    <cfRule type="expression" dxfId="184" priority="290" stopIfTrue="1">
      <formula>$A425&lt;&gt;"S"</formula>
    </cfRule>
  </conditionalFormatting>
  <conditionalFormatting sqref="D437:O445 T437:Z445">
    <cfRule type="expression" dxfId="183" priority="281" stopIfTrue="1">
      <formula>OR(ACOMPANHAMENTO="PLE",TIPOORCAMENTO="Proposto",$L437&lt;0,AND($L437&gt;100,RegimeExecucao="Global"),$O437&gt;$I437,$O437&lt;0)</formula>
    </cfRule>
    <cfRule type="expression" dxfId="182" priority="282" stopIfTrue="1">
      <formula>$A437=1</formula>
    </cfRule>
    <cfRule type="expression" dxfId="181" priority="283" stopIfTrue="1">
      <formula>$A437&lt;&gt;"S"</formula>
    </cfRule>
  </conditionalFormatting>
  <conditionalFormatting sqref="Q437:R445 AB437:AM445">
    <cfRule type="expression" dxfId="180" priority="284" stopIfTrue="1">
      <formula>$A437=1</formula>
    </cfRule>
    <cfRule type="expression" dxfId="179" priority="285" stopIfTrue="1">
      <formula>$A437&lt;&gt;"S"</formula>
    </cfRule>
  </conditionalFormatting>
  <conditionalFormatting sqref="D446:O454 T446:Z454">
    <cfRule type="expression" dxfId="178" priority="276" stopIfTrue="1">
      <formula>OR(ACOMPANHAMENTO="PLE",TIPOORCAMENTO="Proposto",$L446&lt;0,AND($L446&gt;100,RegimeExecucao="Global"),$O446&gt;$I446,$O446&lt;0)</formula>
    </cfRule>
    <cfRule type="expression" dxfId="177" priority="277" stopIfTrue="1">
      <formula>$A446=1</formula>
    </cfRule>
    <cfRule type="expression" dxfId="176" priority="278" stopIfTrue="1">
      <formula>$A446&lt;&gt;"S"</formula>
    </cfRule>
  </conditionalFormatting>
  <conditionalFormatting sqref="Q446:R454 AB446:AM454">
    <cfRule type="expression" dxfId="175" priority="279" stopIfTrue="1">
      <formula>$A446=1</formula>
    </cfRule>
    <cfRule type="expression" dxfId="174" priority="280" stopIfTrue="1">
      <formula>$A446&lt;&gt;"S"</formula>
    </cfRule>
  </conditionalFormatting>
  <conditionalFormatting sqref="D455:O463 T455:Z463">
    <cfRule type="expression" dxfId="173" priority="271" stopIfTrue="1">
      <formula>OR(ACOMPANHAMENTO="PLE",TIPOORCAMENTO="Proposto",$L455&lt;0,AND($L455&gt;100,RegimeExecucao="Global"),$O455&gt;$I455,$O455&lt;0)</formula>
    </cfRule>
    <cfRule type="expression" dxfId="172" priority="272" stopIfTrue="1">
      <formula>$A455=1</formula>
    </cfRule>
    <cfRule type="expression" dxfId="171" priority="273" stopIfTrue="1">
      <formula>$A455&lt;&gt;"S"</formula>
    </cfRule>
  </conditionalFormatting>
  <conditionalFormatting sqref="Q455:R463 AB455:AM463">
    <cfRule type="expression" dxfId="170" priority="274" stopIfTrue="1">
      <formula>$A455=1</formula>
    </cfRule>
    <cfRule type="expression" dxfId="169" priority="275" stopIfTrue="1">
      <formula>$A455&lt;&gt;"S"</formula>
    </cfRule>
  </conditionalFormatting>
  <conditionalFormatting sqref="D464:O472 T464:Z472">
    <cfRule type="expression" dxfId="168" priority="266" stopIfTrue="1">
      <formula>OR(ACOMPANHAMENTO="PLE",TIPOORCAMENTO="Proposto",$L464&lt;0,AND($L464&gt;100,RegimeExecucao="Global"),$O464&gt;$I464,$O464&lt;0)</formula>
    </cfRule>
    <cfRule type="expression" dxfId="167" priority="267" stopIfTrue="1">
      <formula>$A464=1</formula>
    </cfRule>
    <cfRule type="expression" dxfId="166" priority="268" stopIfTrue="1">
      <formula>$A464&lt;&gt;"S"</formula>
    </cfRule>
  </conditionalFormatting>
  <conditionalFormatting sqref="Q464:R472 AB464:AM472">
    <cfRule type="expression" dxfId="165" priority="269" stopIfTrue="1">
      <formula>$A464=1</formula>
    </cfRule>
    <cfRule type="expression" dxfId="164" priority="270" stopIfTrue="1">
      <formula>$A464&lt;&gt;"S"</formula>
    </cfRule>
  </conditionalFormatting>
  <conditionalFormatting sqref="D473:O481 T473:Z481">
    <cfRule type="expression" dxfId="163" priority="261" stopIfTrue="1">
      <formula>OR(ACOMPANHAMENTO="PLE",TIPOORCAMENTO="Proposto",$L473&lt;0,AND($L473&gt;100,RegimeExecucao="Global"),$O473&gt;$I473,$O473&lt;0)</formula>
    </cfRule>
    <cfRule type="expression" dxfId="162" priority="262" stopIfTrue="1">
      <formula>$A473=1</formula>
    </cfRule>
    <cfRule type="expression" dxfId="161" priority="263" stopIfTrue="1">
      <formula>$A473&lt;&gt;"S"</formula>
    </cfRule>
  </conditionalFormatting>
  <conditionalFormatting sqref="Q473:R481 AB473:AM481">
    <cfRule type="expression" dxfId="160" priority="264" stopIfTrue="1">
      <formula>$A473=1</formula>
    </cfRule>
    <cfRule type="expression" dxfId="159" priority="265" stopIfTrue="1">
      <formula>$A473&lt;&gt;"S"</formula>
    </cfRule>
  </conditionalFormatting>
  <conditionalFormatting sqref="D482:O490 T482:Z490">
    <cfRule type="expression" dxfId="158" priority="256" stopIfTrue="1">
      <formula>OR(ACOMPANHAMENTO="PLE",TIPOORCAMENTO="Proposto",$L482&lt;0,AND($L482&gt;100,RegimeExecucao="Global"),$O482&gt;$I482,$O482&lt;0)</formula>
    </cfRule>
    <cfRule type="expression" dxfId="157" priority="257" stopIfTrue="1">
      <formula>$A482=1</formula>
    </cfRule>
    <cfRule type="expression" dxfId="156" priority="258" stopIfTrue="1">
      <formula>$A482&lt;&gt;"S"</formula>
    </cfRule>
  </conditionalFormatting>
  <conditionalFormatting sqref="Q482:R490 AB482:AM490">
    <cfRule type="expression" dxfId="155" priority="259" stopIfTrue="1">
      <formula>$A482=1</formula>
    </cfRule>
    <cfRule type="expression" dxfId="154" priority="260" stopIfTrue="1">
      <formula>$A482&lt;&gt;"S"</formula>
    </cfRule>
  </conditionalFormatting>
  <conditionalFormatting sqref="D491:O499 T491:Z499">
    <cfRule type="expression" dxfId="153" priority="251" stopIfTrue="1">
      <formula>OR(ACOMPANHAMENTO="PLE",TIPOORCAMENTO="Proposto",$L491&lt;0,AND($L491&gt;100,RegimeExecucao="Global"),$O491&gt;$I491,$O491&lt;0)</formula>
    </cfRule>
    <cfRule type="expression" dxfId="152" priority="252" stopIfTrue="1">
      <formula>$A491=1</formula>
    </cfRule>
    <cfRule type="expression" dxfId="151" priority="253" stopIfTrue="1">
      <formula>$A491&lt;&gt;"S"</formula>
    </cfRule>
  </conditionalFormatting>
  <conditionalFormatting sqref="Q491:R499 AB491:AM499">
    <cfRule type="expression" dxfId="150" priority="254" stopIfTrue="1">
      <formula>$A491=1</formula>
    </cfRule>
    <cfRule type="expression" dxfId="149" priority="255" stopIfTrue="1">
      <formula>$A491&lt;&gt;"S"</formula>
    </cfRule>
  </conditionalFormatting>
  <conditionalFormatting sqref="D500:O508 T500:Z508">
    <cfRule type="expression" dxfId="148" priority="246" stopIfTrue="1">
      <formula>OR(ACOMPANHAMENTO="PLE",TIPOORCAMENTO="Proposto",$L500&lt;0,AND($L500&gt;100,RegimeExecucao="Global"),$O500&gt;$I500,$O500&lt;0)</formula>
    </cfRule>
    <cfRule type="expression" dxfId="147" priority="247" stopIfTrue="1">
      <formula>$A500=1</formula>
    </cfRule>
    <cfRule type="expression" dxfId="146" priority="248" stopIfTrue="1">
      <formula>$A500&lt;&gt;"S"</formula>
    </cfRule>
  </conditionalFormatting>
  <conditionalFormatting sqref="Q500:R508 AB500:AM508">
    <cfRule type="expression" dxfId="145" priority="249" stopIfTrue="1">
      <formula>$A500=1</formula>
    </cfRule>
    <cfRule type="expression" dxfId="144" priority="250" stopIfTrue="1">
      <formula>$A500&lt;&gt;"S"</formula>
    </cfRule>
  </conditionalFormatting>
  <conditionalFormatting sqref="D509:O517 T509:Z517">
    <cfRule type="expression" dxfId="143" priority="241" stopIfTrue="1">
      <formula>OR(ACOMPANHAMENTO="PLE",TIPOORCAMENTO="Proposto",$L509&lt;0,AND($L509&gt;100,RegimeExecucao="Global"),$O509&gt;$I509,$O509&lt;0)</formula>
    </cfRule>
    <cfRule type="expression" dxfId="142" priority="242" stopIfTrue="1">
      <formula>$A509=1</formula>
    </cfRule>
    <cfRule type="expression" dxfId="141" priority="243" stopIfTrue="1">
      <formula>$A509&lt;&gt;"S"</formula>
    </cfRule>
  </conditionalFormatting>
  <conditionalFormatting sqref="Q509:R517 AB509:AM517">
    <cfRule type="expression" dxfId="140" priority="244" stopIfTrue="1">
      <formula>$A509=1</formula>
    </cfRule>
    <cfRule type="expression" dxfId="139" priority="245" stopIfTrue="1">
      <formula>$A509&lt;&gt;"S"</formula>
    </cfRule>
  </conditionalFormatting>
  <conditionalFormatting sqref="D518:O526 T518:Z526">
    <cfRule type="expression" dxfId="138" priority="236" stopIfTrue="1">
      <formula>OR(ACOMPANHAMENTO="PLE",TIPOORCAMENTO="Proposto",$L518&lt;0,AND($L518&gt;100,RegimeExecucao="Global"),$O518&gt;$I518,$O518&lt;0)</formula>
    </cfRule>
    <cfRule type="expression" dxfId="137" priority="237" stopIfTrue="1">
      <formula>$A518=1</formula>
    </cfRule>
    <cfRule type="expression" dxfId="136" priority="238" stopIfTrue="1">
      <formula>$A518&lt;&gt;"S"</formula>
    </cfRule>
  </conditionalFormatting>
  <conditionalFormatting sqref="Q518:R526 AB518:AM526">
    <cfRule type="expression" dxfId="135" priority="239" stopIfTrue="1">
      <formula>$A518=1</formula>
    </cfRule>
    <cfRule type="expression" dxfId="134" priority="240" stopIfTrue="1">
      <formula>$A518&lt;&gt;"S"</formula>
    </cfRule>
  </conditionalFormatting>
  <conditionalFormatting sqref="D527:O535 T527:Z535">
    <cfRule type="expression" dxfId="133" priority="231" stopIfTrue="1">
      <formula>OR(ACOMPANHAMENTO="PLE",TIPOORCAMENTO="Proposto",$L527&lt;0,AND($L527&gt;100,RegimeExecucao="Global"),$O527&gt;$I527,$O527&lt;0)</formula>
    </cfRule>
    <cfRule type="expression" dxfId="132" priority="232" stopIfTrue="1">
      <formula>$A527=1</formula>
    </cfRule>
    <cfRule type="expression" dxfId="131" priority="233" stopIfTrue="1">
      <formula>$A527&lt;&gt;"S"</formula>
    </cfRule>
  </conditionalFormatting>
  <conditionalFormatting sqref="Q527:R535 AB527:AM535">
    <cfRule type="expression" dxfId="130" priority="234" stopIfTrue="1">
      <formula>$A527=1</formula>
    </cfRule>
    <cfRule type="expression" dxfId="129" priority="235" stopIfTrue="1">
      <formula>$A527&lt;&gt;"S"</formula>
    </cfRule>
  </conditionalFormatting>
  <conditionalFormatting sqref="D536:O544 T536:Z544">
    <cfRule type="expression" dxfId="128" priority="226" stopIfTrue="1">
      <formula>OR(ACOMPANHAMENTO="PLE",TIPOORCAMENTO="Proposto",$L536&lt;0,AND($L536&gt;100,RegimeExecucao="Global"),$O536&gt;$I536,$O536&lt;0)</formula>
    </cfRule>
    <cfRule type="expression" dxfId="127" priority="227" stopIfTrue="1">
      <formula>$A536=1</formula>
    </cfRule>
    <cfRule type="expression" dxfId="126" priority="228" stopIfTrue="1">
      <formula>$A536&lt;&gt;"S"</formula>
    </cfRule>
  </conditionalFormatting>
  <conditionalFormatting sqref="Q536:R544 AB536:AM544">
    <cfRule type="expression" dxfId="125" priority="229" stopIfTrue="1">
      <formula>$A536=1</formula>
    </cfRule>
    <cfRule type="expression" dxfId="124" priority="230" stopIfTrue="1">
      <formula>$A536&lt;&gt;"S"</formula>
    </cfRule>
  </conditionalFormatting>
  <conditionalFormatting sqref="D545:O553 T545:Z553">
    <cfRule type="expression" dxfId="123" priority="221" stopIfTrue="1">
      <formula>OR(ACOMPANHAMENTO="PLE",TIPOORCAMENTO="Proposto",$L545&lt;0,AND($L545&gt;100,RegimeExecucao="Global"),$O545&gt;$I545,$O545&lt;0)</formula>
    </cfRule>
    <cfRule type="expression" dxfId="122" priority="222" stopIfTrue="1">
      <formula>$A545=1</formula>
    </cfRule>
    <cfRule type="expression" dxfId="121" priority="223" stopIfTrue="1">
      <formula>$A545&lt;&gt;"S"</formula>
    </cfRule>
  </conditionalFormatting>
  <conditionalFormatting sqref="Q545:R553 AB545:AM553">
    <cfRule type="expression" dxfId="120" priority="224" stopIfTrue="1">
      <formula>$A545=1</formula>
    </cfRule>
    <cfRule type="expression" dxfId="119" priority="225" stopIfTrue="1">
      <formula>$A545&lt;&gt;"S"</formula>
    </cfRule>
  </conditionalFormatting>
  <conditionalFormatting sqref="D554:O562 T554:Z562">
    <cfRule type="expression" dxfId="118" priority="216" stopIfTrue="1">
      <formula>OR(ACOMPANHAMENTO="PLE",TIPOORCAMENTO="Proposto",$L554&lt;0,AND($L554&gt;100,RegimeExecucao="Global"),$O554&gt;$I554,$O554&lt;0)</formula>
    </cfRule>
    <cfRule type="expression" dxfId="117" priority="217" stopIfTrue="1">
      <formula>$A554=1</formula>
    </cfRule>
    <cfRule type="expression" dxfId="116" priority="218" stopIfTrue="1">
      <formula>$A554&lt;&gt;"S"</formula>
    </cfRule>
  </conditionalFormatting>
  <conditionalFormatting sqref="Q554:R562 AB554:AM562">
    <cfRule type="expression" dxfId="115" priority="219" stopIfTrue="1">
      <formula>$A554=1</formula>
    </cfRule>
    <cfRule type="expression" dxfId="114" priority="220" stopIfTrue="1">
      <formula>$A554&lt;&gt;"S"</formula>
    </cfRule>
  </conditionalFormatting>
  <conditionalFormatting sqref="D563:O571 T563:Z571">
    <cfRule type="expression" dxfId="113" priority="211" stopIfTrue="1">
      <formula>OR(ACOMPANHAMENTO="PLE",TIPOORCAMENTO="Proposto",$L563&lt;0,AND($L563&gt;100,RegimeExecucao="Global"),$O563&gt;$I563,$O563&lt;0)</formula>
    </cfRule>
    <cfRule type="expression" dxfId="112" priority="212" stopIfTrue="1">
      <formula>$A563=1</formula>
    </cfRule>
    <cfRule type="expression" dxfId="111" priority="213" stopIfTrue="1">
      <formula>$A563&lt;&gt;"S"</formula>
    </cfRule>
  </conditionalFormatting>
  <conditionalFormatting sqref="Q563:R571 AB563:AM571">
    <cfRule type="expression" dxfId="110" priority="214" stopIfTrue="1">
      <formula>$A563=1</formula>
    </cfRule>
    <cfRule type="expression" dxfId="109" priority="215" stopIfTrue="1">
      <formula>$A563&lt;&gt;"S"</formula>
    </cfRule>
  </conditionalFormatting>
  <conditionalFormatting sqref="D572:O580 T572:Z580">
    <cfRule type="expression" dxfId="108" priority="206" stopIfTrue="1">
      <formula>OR(ACOMPANHAMENTO="PLE",TIPOORCAMENTO="Proposto",$L572&lt;0,AND($L572&gt;100,RegimeExecucao="Global"),$O572&gt;$I572,$O572&lt;0)</formula>
    </cfRule>
    <cfRule type="expression" dxfId="107" priority="207" stopIfTrue="1">
      <formula>$A572=1</formula>
    </cfRule>
    <cfRule type="expression" dxfId="106" priority="208" stopIfTrue="1">
      <formula>$A572&lt;&gt;"S"</formula>
    </cfRule>
  </conditionalFormatting>
  <conditionalFormatting sqref="Q572:R580 AB572:AM580">
    <cfRule type="expression" dxfId="105" priority="209" stopIfTrue="1">
      <formula>$A572=1</formula>
    </cfRule>
    <cfRule type="expression" dxfId="104" priority="210" stopIfTrue="1">
      <formula>$A572&lt;&gt;"S"</formula>
    </cfRule>
  </conditionalFormatting>
  <conditionalFormatting sqref="D581:O589 T581:Z589">
    <cfRule type="expression" dxfId="103" priority="201" stopIfTrue="1">
      <formula>OR(ACOMPANHAMENTO="PLE",TIPOORCAMENTO="Proposto",$L581&lt;0,AND($L581&gt;100,RegimeExecucao="Global"),$O581&gt;$I581,$O581&lt;0)</formula>
    </cfRule>
    <cfRule type="expression" dxfId="102" priority="202" stopIfTrue="1">
      <formula>$A581=1</formula>
    </cfRule>
    <cfRule type="expression" dxfId="101" priority="203" stopIfTrue="1">
      <formula>$A581&lt;&gt;"S"</formula>
    </cfRule>
  </conditionalFormatting>
  <conditionalFormatting sqref="Q581:R589 AB581:AM589">
    <cfRule type="expression" dxfId="100" priority="204" stopIfTrue="1">
      <formula>$A581=1</formula>
    </cfRule>
    <cfRule type="expression" dxfId="99" priority="205" stopIfTrue="1">
      <formula>$A581&lt;&gt;"S"</formula>
    </cfRule>
  </conditionalFormatting>
  <conditionalFormatting sqref="D590:O598 T590:Z598">
    <cfRule type="expression" dxfId="98" priority="196" stopIfTrue="1">
      <formula>OR(ACOMPANHAMENTO="PLE",TIPOORCAMENTO="Proposto",$L590&lt;0,AND($L590&gt;100,RegimeExecucao="Global"),$O590&gt;$I590,$O590&lt;0)</formula>
    </cfRule>
    <cfRule type="expression" dxfId="97" priority="197" stopIfTrue="1">
      <formula>$A590=1</formula>
    </cfRule>
    <cfRule type="expression" dxfId="96" priority="198" stopIfTrue="1">
      <formula>$A590&lt;&gt;"S"</formula>
    </cfRule>
  </conditionalFormatting>
  <conditionalFormatting sqref="Q590:R598 AB590:AM598">
    <cfRule type="expression" dxfId="95" priority="199" stopIfTrue="1">
      <formula>$A590=1</formula>
    </cfRule>
    <cfRule type="expression" dxfId="94" priority="200" stopIfTrue="1">
      <formula>$A590&lt;&gt;"S"</formula>
    </cfRule>
  </conditionalFormatting>
  <conditionalFormatting sqref="D599:O607 T599:Z607">
    <cfRule type="expression" dxfId="93" priority="191" stopIfTrue="1">
      <formula>OR(ACOMPANHAMENTO="PLE",TIPOORCAMENTO="Proposto",$L599&lt;0,AND($L599&gt;100,RegimeExecucao="Global"),$O599&gt;$I599,$O599&lt;0)</formula>
    </cfRule>
    <cfRule type="expression" dxfId="92" priority="192" stopIfTrue="1">
      <formula>$A599=1</formula>
    </cfRule>
    <cfRule type="expression" dxfId="91" priority="193" stopIfTrue="1">
      <formula>$A599&lt;&gt;"S"</formula>
    </cfRule>
  </conditionalFormatting>
  <conditionalFormatting sqref="Q599:R607 AB599:AM607">
    <cfRule type="expression" dxfId="90" priority="194" stopIfTrue="1">
      <formula>$A599=1</formula>
    </cfRule>
    <cfRule type="expression" dxfId="89" priority="195" stopIfTrue="1">
      <formula>$A599&lt;&gt;"S"</formula>
    </cfRule>
  </conditionalFormatting>
  <conditionalFormatting sqref="D608:O616 T608:Z616">
    <cfRule type="expression" dxfId="88" priority="186" stopIfTrue="1">
      <formula>OR(ACOMPANHAMENTO="PLE",TIPOORCAMENTO="Proposto",$L608&lt;0,AND($L608&gt;100,RegimeExecucao="Global"),$O608&gt;$I608,$O608&lt;0)</formula>
    </cfRule>
    <cfRule type="expression" dxfId="87" priority="187" stopIfTrue="1">
      <formula>$A608=1</formula>
    </cfRule>
    <cfRule type="expression" dxfId="86" priority="188" stopIfTrue="1">
      <formula>$A608&lt;&gt;"S"</formula>
    </cfRule>
  </conditionalFormatting>
  <conditionalFormatting sqref="Q608:R616 AB608:AM616">
    <cfRule type="expression" dxfId="85" priority="189" stopIfTrue="1">
      <formula>$A608=1</formula>
    </cfRule>
    <cfRule type="expression" dxfId="84" priority="190" stopIfTrue="1">
      <formula>$A608&lt;&gt;"S"</formula>
    </cfRule>
  </conditionalFormatting>
  <conditionalFormatting sqref="D621:O629 T621:Z629">
    <cfRule type="expression" dxfId="83" priority="141" stopIfTrue="1">
      <formula>OR(ACOMPANHAMENTO="PLE",TIPOORCAMENTO="Proposto",$L621&lt;0,AND($L621&gt;100,RegimeExecucao="Global"),$O621&gt;$I621,$O621&lt;0)</formula>
    </cfRule>
    <cfRule type="expression" dxfId="82" priority="142" stopIfTrue="1">
      <formula>$A621=1</formula>
    </cfRule>
    <cfRule type="expression" dxfId="81" priority="143" stopIfTrue="1">
      <formula>$A621&lt;&gt;"S"</formula>
    </cfRule>
  </conditionalFormatting>
  <conditionalFormatting sqref="Q621:R629 AB621:AM629">
    <cfRule type="expression" dxfId="80" priority="144" stopIfTrue="1">
      <formula>$A621=1</formula>
    </cfRule>
    <cfRule type="expression" dxfId="79" priority="145" stopIfTrue="1">
      <formula>$A621&lt;&gt;"S"</formula>
    </cfRule>
  </conditionalFormatting>
  <conditionalFormatting sqref="D630:O638 T630:Z638">
    <cfRule type="expression" dxfId="78" priority="136" stopIfTrue="1">
      <formula>OR(ACOMPANHAMENTO="PLE",TIPOORCAMENTO="Proposto",$L630&lt;0,AND($L630&gt;100,RegimeExecucao="Global"),$O630&gt;$I630,$O630&lt;0)</formula>
    </cfRule>
    <cfRule type="expression" dxfId="77" priority="137" stopIfTrue="1">
      <formula>$A630=1</formula>
    </cfRule>
    <cfRule type="expression" dxfId="76" priority="138" stopIfTrue="1">
      <formula>$A630&lt;&gt;"S"</formula>
    </cfRule>
  </conditionalFormatting>
  <conditionalFormatting sqref="Q630:R638 AB630:AM638">
    <cfRule type="expression" dxfId="75" priority="139" stopIfTrue="1">
      <formula>$A630=1</formula>
    </cfRule>
    <cfRule type="expression" dxfId="74" priority="140" stopIfTrue="1">
      <formula>$A630&lt;&gt;"S"</formula>
    </cfRule>
  </conditionalFormatting>
  <conditionalFormatting sqref="D639:O647 T639:Z647">
    <cfRule type="expression" dxfId="73" priority="131" stopIfTrue="1">
      <formula>OR(ACOMPANHAMENTO="PLE",TIPOORCAMENTO="Proposto",$L639&lt;0,AND($L639&gt;100,RegimeExecucao="Global"),$O639&gt;$I639,$O639&lt;0)</formula>
    </cfRule>
    <cfRule type="expression" dxfId="72" priority="132" stopIfTrue="1">
      <formula>$A639=1</formula>
    </cfRule>
    <cfRule type="expression" dxfId="71" priority="133" stopIfTrue="1">
      <formula>$A639&lt;&gt;"S"</formula>
    </cfRule>
  </conditionalFormatting>
  <conditionalFormatting sqref="Q639:R647 AB639:AM647">
    <cfRule type="expression" dxfId="70" priority="134" stopIfTrue="1">
      <formula>$A639=1</formula>
    </cfRule>
    <cfRule type="expression" dxfId="69" priority="135" stopIfTrue="1">
      <formula>$A639&lt;&gt;"S"</formula>
    </cfRule>
  </conditionalFormatting>
  <conditionalFormatting sqref="D648:O656 T648:Z656">
    <cfRule type="expression" dxfId="68" priority="126" stopIfTrue="1">
      <formula>OR(ACOMPANHAMENTO="PLE",TIPOORCAMENTO="Proposto",$L648&lt;0,AND($L648&gt;100,RegimeExecucao="Global"),$O648&gt;$I648,$O648&lt;0)</formula>
    </cfRule>
    <cfRule type="expression" dxfId="67" priority="127" stopIfTrue="1">
      <formula>$A648=1</formula>
    </cfRule>
    <cfRule type="expression" dxfId="66" priority="128" stopIfTrue="1">
      <formula>$A648&lt;&gt;"S"</formula>
    </cfRule>
  </conditionalFormatting>
  <conditionalFormatting sqref="Q648:R656 AB648:AM656">
    <cfRule type="expression" dxfId="65" priority="129" stopIfTrue="1">
      <formula>$A648=1</formula>
    </cfRule>
    <cfRule type="expression" dxfId="64" priority="130" stopIfTrue="1">
      <formula>$A648&lt;&gt;"S"</formula>
    </cfRule>
  </conditionalFormatting>
  <conditionalFormatting sqref="D657:O665 T657:Z665">
    <cfRule type="expression" dxfId="63" priority="121" stopIfTrue="1">
      <formula>OR(ACOMPANHAMENTO="PLE",TIPOORCAMENTO="Proposto",$L657&lt;0,AND($L657&gt;100,RegimeExecucao="Global"),$O657&gt;$I657,$O657&lt;0)</formula>
    </cfRule>
    <cfRule type="expression" dxfId="62" priority="122" stopIfTrue="1">
      <formula>$A657=1</formula>
    </cfRule>
    <cfRule type="expression" dxfId="61" priority="123" stopIfTrue="1">
      <formula>$A657&lt;&gt;"S"</formula>
    </cfRule>
  </conditionalFormatting>
  <conditionalFormatting sqref="Q657:R665 AB657:AM665">
    <cfRule type="expression" dxfId="60" priority="124" stopIfTrue="1">
      <formula>$A657=1</formula>
    </cfRule>
    <cfRule type="expression" dxfId="59" priority="125" stopIfTrue="1">
      <formula>$A657&lt;&gt;"S"</formula>
    </cfRule>
  </conditionalFormatting>
  <conditionalFormatting sqref="D666:O674 T666:Z674">
    <cfRule type="expression" dxfId="58" priority="116" stopIfTrue="1">
      <formula>OR(ACOMPANHAMENTO="PLE",TIPOORCAMENTO="Proposto",$L666&lt;0,AND($L666&gt;100,RegimeExecucao="Global"),$O666&gt;$I666,$O666&lt;0)</formula>
    </cfRule>
    <cfRule type="expression" dxfId="57" priority="117" stopIfTrue="1">
      <formula>$A666=1</formula>
    </cfRule>
    <cfRule type="expression" dxfId="56" priority="118" stopIfTrue="1">
      <formula>$A666&lt;&gt;"S"</formula>
    </cfRule>
  </conditionalFormatting>
  <conditionalFormatting sqref="Q666:R674 AB666:AM674">
    <cfRule type="expression" dxfId="55" priority="119" stopIfTrue="1">
      <formula>$A666=1</formula>
    </cfRule>
    <cfRule type="expression" dxfId="54" priority="120" stopIfTrue="1">
      <formula>$A666&lt;&gt;"S"</formula>
    </cfRule>
  </conditionalFormatting>
  <conditionalFormatting sqref="D675:O683 T675:Z683">
    <cfRule type="expression" dxfId="53" priority="111" stopIfTrue="1">
      <formula>OR(ACOMPANHAMENTO="PLE",TIPOORCAMENTO="Proposto",$L675&lt;0,AND($L675&gt;100,RegimeExecucao="Global"),$O675&gt;$I675,$O675&lt;0)</formula>
    </cfRule>
    <cfRule type="expression" dxfId="52" priority="112" stopIfTrue="1">
      <formula>$A675=1</formula>
    </cfRule>
    <cfRule type="expression" dxfId="51" priority="113" stopIfTrue="1">
      <formula>$A675&lt;&gt;"S"</formula>
    </cfRule>
  </conditionalFormatting>
  <conditionalFormatting sqref="Q675:R683 AB675:AM683">
    <cfRule type="expression" dxfId="50" priority="114" stopIfTrue="1">
      <formula>$A675=1</formula>
    </cfRule>
    <cfRule type="expression" dxfId="49" priority="115" stopIfTrue="1">
      <formula>$A675&lt;&gt;"S"</formula>
    </cfRule>
  </conditionalFormatting>
  <conditionalFormatting sqref="D684:O692 T684:Z692">
    <cfRule type="expression" dxfId="48" priority="106" stopIfTrue="1">
      <formula>OR(ACOMPANHAMENTO="PLE",TIPOORCAMENTO="Proposto",$L684&lt;0,AND($L684&gt;100,RegimeExecucao="Global"),$O684&gt;$I684,$O684&lt;0)</formula>
    </cfRule>
    <cfRule type="expression" dxfId="47" priority="107" stopIfTrue="1">
      <formula>$A684=1</formula>
    </cfRule>
    <cfRule type="expression" dxfId="46" priority="108" stopIfTrue="1">
      <formula>$A684&lt;&gt;"S"</formula>
    </cfRule>
  </conditionalFormatting>
  <conditionalFormatting sqref="Q684:R692 AB684:AM692">
    <cfRule type="expression" dxfId="45" priority="109" stopIfTrue="1">
      <formula>$A684=1</formula>
    </cfRule>
    <cfRule type="expression" dxfId="44" priority="110" stopIfTrue="1">
      <formula>$A684&lt;&gt;"S"</formula>
    </cfRule>
  </conditionalFormatting>
  <conditionalFormatting sqref="D693:O701 T693:Z701">
    <cfRule type="expression" dxfId="43" priority="101" stopIfTrue="1">
      <formula>OR(ACOMPANHAMENTO="PLE",TIPOORCAMENTO="Proposto",$L693&lt;0,AND($L693&gt;100,RegimeExecucao="Global"),$O693&gt;$I693,$O693&lt;0)</formula>
    </cfRule>
    <cfRule type="expression" dxfId="42" priority="102" stopIfTrue="1">
      <formula>$A693=1</formula>
    </cfRule>
    <cfRule type="expression" dxfId="41" priority="103" stopIfTrue="1">
      <formula>$A693&lt;&gt;"S"</formula>
    </cfRule>
  </conditionalFormatting>
  <conditionalFormatting sqref="Q693:R701 AB693:AM701">
    <cfRule type="expression" dxfId="40" priority="104" stopIfTrue="1">
      <formula>$A693=1</formula>
    </cfRule>
    <cfRule type="expression" dxfId="39" priority="105" stopIfTrue="1">
      <formula>$A693&lt;&gt;"S"</formula>
    </cfRule>
  </conditionalFormatting>
  <conditionalFormatting sqref="D703:O706 T703:Z706">
    <cfRule type="expression" dxfId="38" priority="81" stopIfTrue="1">
      <formula>OR(ACOMPANHAMENTO="PLE",TIPOORCAMENTO="Proposto",$L703&lt;0,AND($L703&gt;100,RegimeExecucao="Global"),$O703&gt;$I703,$O703&lt;0)</formula>
    </cfRule>
    <cfRule type="expression" dxfId="37" priority="82" stopIfTrue="1">
      <formula>$A703=1</formula>
    </cfRule>
    <cfRule type="expression" dxfId="36" priority="83" stopIfTrue="1">
      <formula>$A703&lt;&gt;"S"</formula>
    </cfRule>
  </conditionalFormatting>
  <conditionalFormatting sqref="Q703:R706 AB703:AM706">
    <cfRule type="expression" dxfId="35" priority="84" stopIfTrue="1">
      <formula>$A703=1</formula>
    </cfRule>
    <cfRule type="expression" dxfId="34" priority="85" stopIfTrue="1">
      <formula>$A703&lt;&gt;"S"</formula>
    </cfRule>
  </conditionalFormatting>
  <conditionalFormatting sqref="D707:O707 T707:Z707">
    <cfRule type="expression" dxfId="33" priority="76" stopIfTrue="1">
      <formula>OR(ACOMPANHAMENTO="PLE",TIPOORCAMENTO="Proposto",$L707&lt;0,AND($L707&gt;100,RegimeExecucao="Global"),$O707&gt;$I707,$O707&lt;0)</formula>
    </cfRule>
    <cfRule type="expression" dxfId="32" priority="77" stopIfTrue="1">
      <formula>$A707=1</formula>
    </cfRule>
    <cfRule type="expression" dxfId="31" priority="78" stopIfTrue="1">
      <formula>$A707&lt;&gt;"S"</formula>
    </cfRule>
  </conditionalFormatting>
  <conditionalFormatting sqref="Q707:R707 AB707:AM707">
    <cfRule type="expression" dxfId="30" priority="79" stopIfTrue="1">
      <formula>$A707=1</formula>
    </cfRule>
    <cfRule type="expression" dxfId="29" priority="80" stopIfTrue="1">
      <formula>$A707&lt;&gt;"S"</formula>
    </cfRule>
  </conditionalFormatting>
  <conditionalFormatting sqref="D702:O702 T702:Z702">
    <cfRule type="expression" dxfId="28" priority="16" stopIfTrue="1">
      <formula>OR(ACOMPANHAMENTO="PLE",TIPOORCAMENTO="Proposto",$L702&lt;0,AND($L702&gt;100,RegimeExecucao="Global"),$O702&gt;$I702,$O702&lt;0)</formula>
    </cfRule>
    <cfRule type="expression" dxfId="27" priority="17" stopIfTrue="1">
      <formula>$A702=1</formula>
    </cfRule>
    <cfRule type="expression" dxfId="26" priority="18" stopIfTrue="1">
      <formula>$A702&lt;&gt;"S"</formula>
    </cfRule>
  </conditionalFormatting>
  <conditionalFormatting sqref="Q702:R702 AB702:AM702">
    <cfRule type="expression" dxfId="25" priority="19" stopIfTrue="1">
      <formula>$A702=1</formula>
    </cfRule>
    <cfRule type="expression" dxfId="24" priority="20" stopIfTrue="1">
      <formula>$A702&lt;&gt;"S"</formula>
    </cfRule>
  </conditionalFormatting>
  <conditionalFormatting sqref="D426:O428 T426:Z428">
    <cfRule type="expression" dxfId="23" priority="11" stopIfTrue="1">
      <formula>OR(ACOMPANHAMENTO="PLE",TIPOORCAMENTO="Proposto",$L426&lt;0,AND($L426&gt;100,RegimeExecucao="Global"),$O426&gt;$I426,$O426&lt;0)</formula>
    </cfRule>
    <cfRule type="expression" dxfId="22" priority="12" stopIfTrue="1">
      <formula>$A426=1</formula>
    </cfRule>
    <cfRule type="expression" dxfId="21" priority="13" stopIfTrue="1">
      <formula>$A426&lt;&gt;"S"</formula>
    </cfRule>
  </conditionalFormatting>
  <conditionalFormatting sqref="Q426:R428 AB426:AM428">
    <cfRule type="expression" dxfId="20" priority="14" stopIfTrue="1">
      <formula>$A426=1</formula>
    </cfRule>
    <cfRule type="expression" dxfId="19" priority="15" stopIfTrue="1">
      <formula>$A426&lt;&gt;"S"</formula>
    </cfRule>
  </conditionalFormatting>
  <conditionalFormatting sqref="D708:O708 T708:Z708">
    <cfRule type="expression" dxfId="18" priority="6" stopIfTrue="1">
      <formula>OR(ACOMPANHAMENTO="PLE",TIPOORCAMENTO="Proposto",$L708&lt;0,AND($L708&gt;100,RegimeExecucao="Global"),$O708&gt;$I708,$O708&lt;0)</formula>
    </cfRule>
    <cfRule type="expression" dxfId="17" priority="7" stopIfTrue="1">
      <formula>$A708=1</formula>
    </cfRule>
    <cfRule type="expression" dxfId="16" priority="8" stopIfTrue="1">
      <formula>$A708&lt;&gt;"S"</formula>
    </cfRule>
  </conditionalFormatting>
  <conditionalFormatting sqref="Q708:R708 AB708:AM708">
    <cfRule type="expression" dxfId="15" priority="9" stopIfTrue="1">
      <formula>$A708=1</formula>
    </cfRule>
    <cfRule type="expression" dxfId="14" priority="10" stopIfTrue="1">
      <formula>$A708&lt;&gt;"S"</formula>
    </cfRule>
  </conditionalFormatting>
  <conditionalFormatting sqref="D709:O709 T709:Z709">
    <cfRule type="expression" dxfId="13" priority="1" stopIfTrue="1">
      <formula>OR(ACOMPANHAMENTO="PLE",TIPOORCAMENTO="Proposto",$L709&lt;0,AND($L709&gt;100,RegimeExecucao="Global"),$O709&gt;$I709,$O709&lt;0)</formula>
    </cfRule>
    <cfRule type="expression" dxfId="12" priority="2" stopIfTrue="1">
      <formula>$A709=1</formula>
    </cfRule>
    <cfRule type="expression" dxfId="11" priority="3" stopIfTrue="1">
      <formula>$A709&lt;&gt;"S"</formula>
    </cfRule>
  </conditionalFormatting>
  <conditionalFormatting sqref="Q709:R709 AB709:AM709">
    <cfRule type="expression" dxfId="10" priority="4" stopIfTrue="1">
      <formula>$A709=1</formula>
    </cfRule>
    <cfRule type="expression" dxfId="9" priority="5" stopIfTrue="1">
      <formula>$A709&lt;&gt;"S"</formula>
    </cfRule>
  </conditionalFormatting>
  <dataValidations count="4">
    <dataValidation type="list" allowBlank="1" showErrorMessage="1" sqref="Z14 Z16:Z709">
      <formula1>"não executado,não previsto no orçamento,material inadequado,desacordo com os projetos,não atende as observações,qualidade insatisfatória,ver observações abaixo"</formula1>
      <formula2>0</formula2>
    </dataValidation>
    <dataValidation type="decimal" errorStyle="warning" allowBlank="1" showErrorMessage="1" errorTitle="Atenção!" error="Digite somente valores entre 0 e a Medição Acumulada." sqref="Q14:R14 Q16:R709">
      <formula1>0</formula1>
      <formula2>BM.MEDAcumulado</formula2>
    </dataValidation>
    <dataValidation type="whole" operator="greaterThan" allowBlank="1" showInputMessage="1" showErrorMessage="1" sqref="O8">
      <formula1>0</formula1>
    </dataValidation>
    <dataValidation type="decimal" errorStyle="warning" allowBlank="1" showErrorMessage="1" errorTitle="Atenção!" error="% medido é superior a 100% (Global)_x000a_ou_x000a_Quantidade é superior a contratada  (P. Unit)_x000a_ou_x000a_Evolução acumulada negativa" sqref="AB14:AM14 AB16:AM709">
      <formula1>BM.MinMed</formula1>
      <formula2>BM.MaxMed</formula2>
    </dataValidation>
  </dataValidations>
  <pageMargins left="0.78740157480314998" right="0.78740157480314998" top="0.78740157480314998" bottom="0.78740157480314998" header="0.59055118110236204" footer="0.59055118110236204"/>
  <pageSetup paperSize="9" scale="59" firstPageNumber="0" fitToHeight="0" orientation="landscape" r:id="rId1"/>
  <headerFooter alignWithMargins="0">
    <oddHeader>&amp;C&amp;14I</oddHeader>
    <oddFooter>&amp;LPMv3.0.4&amp;R&amp;P / &amp;N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95" r:id="rId4" name="CaixaArredMed">
              <controlPr defaultSize="0" print="0" autoFill="0" autoLine="0" autoPict="0">
                <anchor moveWithCells="1" sizeWithCells="1">
                  <from>
                    <xdr:col>10</xdr:col>
                    <xdr:colOff>220980</xdr:colOff>
                    <xdr:row>9</xdr:row>
                    <xdr:rowOff>45720</xdr:rowOff>
                  </from>
                  <to>
                    <xdr:col>10</xdr:col>
                    <xdr:colOff>525780</xdr:colOff>
                    <xdr:row>10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5" name="Botão de rotação 23">
              <controlPr defaultSize="0" print="0" autoFill="0" autoLine="0" autoPict="0">
                <anchor moveWithCells="1" sizeWithCells="1">
                  <from>
                    <xdr:col>15</xdr:col>
                    <xdr:colOff>30480</xdr:colOff>
                    <xdr:row>6</xdr:row>
                    <xdr:rowOff>121920</xdr:rowOff>
                  </from>
                  <to>
                    <xdr:col>15</xdr:col>
                    <xdr:colOff>266700</xdr:colOff>
                    <xdr:row>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4">
    <pageSetUpPr fitToPage="1"/>
  </sheetPr>
  <dimension ref="A1:AO52"/>
  <sheetViews>
    <sheetView showGridLines="0" zoomScale="90" zoomScaleNormal="90" zoomScaleSheetLayoutView="90" workbookViewId="0">
      <pane xSplit="6" ySplit="13" topLeftCell="G14" activePane="bottomRight" state="frozen"/>
      <selection activeCell="D1" sqref="D1"/>
      <selection pane="topRight" activeCell="G1" sqref="G1"/>
      <selection pane="bottomLeft" activeCell="D14" sqref="D14"/>
      <selection pane="bottomRight" activeCell="A14" sqref="A14"/>
    </sheetView>
  </sheetViews>
  <sheetFormatPr defaultRowHeight="13.2" x14ac:dyDescent="0.25"/>
  <cols>
    <col min="1" max="3" width="9.109375" hidden="1" customWidth="1"/>
    <col min="4" max="4" width="3.6640625" customWidth="1"/>
    <col min="5" max="5" width="7.6640625" customWidth="1"/>
    <col min="6" max="6" width="35.6640625" customWidth="1"/>
    <col min="7" max="7" width="15.6640625" customWidth="1"/>
    <col min="8" max="8" width="12.6640625" customWidth="1"/>
    <col min="9" max="9" width="7.6640625" customWidth="1"/>
    <col min="10" max="10" width="16.6640625" customWidth="1"/>
    <col min="11" max="11" width="5.6640625" customWidth="1"/>
    <col min="12" max="15" width="16.6640625" customWidth="1"/>
    <col min="16" max="16" width="11.6640625" customWidth="1"/>
    <col min="17" max="21" width="9.109375" hidden="1" customWidth="1"/>
    <col min="22" max="22" width="12.109375" hidden="1" customWidth="1"/>
    <col min="23" max="24" width="5.6640625" customWidth="1"/>
    <col min="25" max="26" width="16.6640625" customWidth="1"/>
    <col min="27" max="27" width="1.6640625" customWidth="1"/>
    <col min="29" max="41" width="9.109375" hidden="1" customWidth="1"/>
  </cols>
  <sheetData>
    <row r="1" spans="1:41" ht="30" customHeight="1" x14ac:dyDescent="0.25">
      <c r="F1" s="441" t="str">
        <f>CONCATENATE("RRE - RELATÓRIO RESUMO DO EMPREENDIMENTO - ",IF(CAIXA.Modo,"CAIXA","TOMADOR"))</f>
        <v>RRE - RELATÓRIO RESUMO DO EMPREENDIMENTO - TOMADOR</v>
      </c>
      <c r="H1" s="10"/>
      <c r="I1" s="10"/>
      <c r="AC1" s="19"/>
      <c r="AD1" s="442" t="s">
        <v>358</v>
      </c>
      <c r="AE1" s="443" t="s">
        <v>359</v>
      </c>
    </row>
    <row r="2" spans="1:41" x14ac:dyDescent="0.25">
      <c r="AC2" s="444" t="str">
        <f>J25</f>
        <v>Repasse</v>
      </c>
      <c r="AD2" s="445">
        <f ca="1">AD6-AD4-AD3</f>
        <v>0</v>
      </c>
      <c r="AE2" s="445">
        <f ca="1">AE6-AE4-AE3</f>
        <v>0</v>
      </c>
    </row>
    <row r="3" spans="1:41" x14ac:dyDescent="0.25">
      <c r="E3" s="713" t="s">
        <v>149</v>
      </c>
      <c r="F3" s="713"/>
      <c r="G3" s="713"/>
      <c r="H3" s="713"/>
      <c r="I3" s="675" t="s">
        <v>147</v>
      </c>
      <c r="J3" s="675"/>
      <c r="K3" s="675"/>
      <c r="L3" s="111" t="s">
        <v>148</v>
      </c>
      <c r="M3" s="184"/>
      <c r="N3" s="446"/>
      <c r="O3" s="447"/>
      <c r="P3" s="358" t="s">
        <v>212</v>
      </c>
      <c r="R3" s="184"/>
      <c r="S3" s="184"/>
      <c r="T3" s="184"/>
      <c r="U3" s="184"/>
      <c r="AC3" s="444" t="s">
        <v>171</v>
      </c>
      <c r="AD3" s="445">
        <f ca="1">SUM(T13:OFFSET(T24,-1,0))</f>
        <v>0</v>
      </c>
      <c r="AE3" s="445">
        <f ca="1">IF(OR($O$28&lt;$M$28,$M$26&gt;$AD$3),MIN($M$26,$L$26),MIN($AD$3,$N$28-$N$27+$M$26))</f>
        <v>0</v>
      </c>
    </row>
    <row r="4" spans="1:41" ht="12.75" customHeight="1" x14ac:dyDescent="0.25">
      <c r="E4" s="711" t="str">
        <f>Import.Proponente</f>
        <v>PREFEITURA DO MUNICÍPIO DE LAGUNA</v>
      </c>
      <c r="F4" s="711"/>
      <c r="G4" s="711"/>
      <c r="H4" s="711"/>
      <c r="I4" s="672">
        <f>Import.CR</f>
        <v>0</v>
      </c>
      <c r="J4" s="672"/>
      <c r="K4" s="672"/>
      <c r="L4" s="72">
        <f>Import.SICONV</f>
        <v>0</v>
      </c>
      <c r="M4" s="804" t="s">
        <v>309</v>
      </c>
      <c r="N4" s="805"/>
      <c r="O4" s="806"/>
      <c r="P4" s="448" t="str">
        <f>import.recurso</f>
        <v>(SELECIONAR)</v>
      </c>
      <c r="R4" s="184"/>
      <c r="S4" s="184"/>
      <c r="T4" s="447"/>
      <c r="U4" s="447"/>
      <c r="AC4" s="444" t="s">
        <v>360</v>
      </c>
      <c r="AD4" s="445">
        <f ca="1">SUM(U13:OFFSET(U24,-1,0))</f>
        <v>0</v>
      </c>
      <c r="AE4" s="445">
        <f ca="1">IF(OR($O$28&lt;$M$28,$M$27&gt;$AD$4),MIN($M$27,$L$27),MIN($AD$4,$N$28+$M$27))</f>
        <v>0</v>
      </c>
    </row>
    <row r="5" spans="1:41" ht="5.0999999999999996" customHeight="1" x14ac:dyDescent="0.25">
      <c r="H5" s="361"/>
      <c r="I5" s="361"/>
      <c r="J5" s="361"/>
      <c r="K5" s="361"/>
      <c r="L5" s="361"/>
      <c r="M5" s="449"/>
      <c r="N5" s="345"/>
      <c r="O5" s="59"/>
      <c r="R5" s="184"/>
      <c r="S5" s="184"/>
      <c r="T5" s="184"/>
      <c r="U5" s="184"/>
    </row>
    <row r="6" spans="1:41" ht="12.75" customHeight="1" x14ac:dyDescent="0.25">
      <c r="E6" s="675" t="s">
        <v>204</v>
      </c>
      <c r="F6" s="675"/>
      <c r="G6" s="675"/>
      <c r="H6" s="675"/>
      <c r="I6" s="785" t="s">
        <v>308</v>
      </c>
      <c r="J6" s="785"/>
      <c r="K6" s="785"/>
      <c r="L6" s="785"/>
      <c r="M6" s="71" t="str">
        <f>IF(import.recurso="FGTS","FINANCIAMENTO","REPASSE")</f>
        <v>REPASSE</v>
      </c>
      <c r="N6" s="124" t="s">
        <v>310</v>
      </c>
      <c r="O6" s="71" t="s">
        <v>311</v>
      </c>
      <c r="P6" s="185" t="s">
        <v>361</v>
      </c>
      <c r="R6" s="184"/>
      <c r="S6" s="184"/>
      <c r="T6" s="184"/>
      <c r="U6" s="184"/>
      <c r="AC6" s="444" t="s">
        <v>362</v>
      </c>
      <c r="AD6" s="445">
        <f ca="1">$O$28</f>
        <v>0</v>
      </c>
      <c r="AE6" s="445">
        <f ca="1">AD6</f>
        <v>0</v>
      </c>
    </row>
    <row r="7" spans="1:41" ht="12.75" customHeight="1" x14ac:dyDescent="0.25">
      <c r="D7" s="701" t="s">
        <v>211</v>
      </c>
      <c r="E7" s="672" t="str">
        <f>Import.Apelido</f>
        <v xml:space="preserve">ESCOLA BILÍNGUE (PADRÃO FNDE - 5 SALAS)     </v>
      </c>
      <c r="F7" s="672"/>
      <c r="G7" s="672"/>
      <c r="H7" s="672"/>
      <c r="I7" s="786" t="str">
        <f>Import.Município</f>
        <v>LAGUNA/SC</v>
      </c>
      <c r="J7" s="786"/>
      <c r="K7" s="786"/>
      <c r="L7" s="786"/>
      <c r="M7" s="450">
        <f>Import.Repasse</f>
        <v>7408271.5599999996</v>
      </c>
      <c r="N7" s="451">
        <f>Import.Contrapartida</f>
        <v>0</v>
      </c>
      <c r="O7" s="450">
        <f>M7+N7</f>
        <v>7408271.5599999996</v>
      </c>
      <c r="P7" s="571">
        <f ca="1">IF(ACOMPANHAMENTO="PLE",PLE.Medicao,BM.medicao)</f>
        <v>1</v>
      </c>
      <c r="R7" s="184"/>
      <c r="S7" s="184"/>
      <c r="T7" s="184"/>
      <c r="U7" s="184"/>
    </row>
    <row r="8" spans="1:41" x14ac:dyDescent="0.25">
      <c r="D8" s="701"/>
      <c r="E8" s="119"/>
      <c r="F8" s="119"/>
      <c r="G8" s="119"/>
      <c r="H8" s="119"/>
      <c r="I8" s="119"/>
      <c r="J8" s="119"/>
      <c r="K8" s="119"/>
      <c r="L8" s="119"/>
      <c r="M8" s="119"/>
      <c r="N8" s="119"/>
      <c r="O8" s="119"/>
      <c r="P8" s="119"/>
      <c r="R8" s="184"/>
      <c r="S8" s="184"/>
      <c r="T8" s="184"/>
      <c r="U8" s="184"/>
    </row>
    <row r="9" spans="1:41" ht="12.75" customHeight="1" x14ac:dyDescent="0.25">
      <c r="D9" s="701"/>
      <c r="G9" s="787" t="s">
        <v>363</v>
      </c>
      <c r="H9" s="787"/>
      <c r="I9" s="787" t="s">
        <v>364</v>
      </c>
      <c r="J9" s="787"/>
      <c r="K9" s="452"/>
      <c r="L9" s="788" t="s">
        <v>315</v>
      </c>
      <c r="M9" s="453" t="s">
        <v>318</v>
      </c>
      <c r="N9" s="362" t="s">
        <v>240</v>
      </c>
      <c r="P9" s="454"/>
      <c r="R9" s="184"/>
      <c r="S9" s="184"/>
      <c r="T9" s="184"/>
      <c r="U9" s="184"/>
      <c r="V9" s="9" t="s">
        <v>365</v>
      </c>
    </row>
    <row r="10" spans="1:41" ht="12.75" customHeight="1" x14ac:dyDescent="0.25">
      <c r="D10" s="701"/>
      <c r="G10" s="674" t="str">
        <f ca="1">IF(J10="-","-",IF($P$24&lt;J10,"Atrasada",IF($P$24&gt;J10,"Adiantada","Normal")))</f>
        <v>Normal</v>
      </c>
      <c r="H10" s="674"/>
      <c r="I10" s="455">
        <f ca="1">DATE(YEAR($L$35),MONTH($L$35),1)</f>
        <v>45474</v>
      </c>
      <c r="J10" s="456">
        <f ca="1">IF($I$10&lt;DATE(YEAR(CRONO!$T$13),MONTH(CRONO!$T$13),1),0,IF($I$10&gt;CRONO!$AE$13,1,INDEX(CRONO!$S$104:$AS$104,MATCH(RRE!$I$10,CRONO!$S$13:$AS$13,0))))</f>
        <v>0</v>
      </c>
      <c r="K10" s="452"/>
      <c r="L10" s="788"/>
      <c r="M10" s="457">
        <f ca="1">QCI!L10</f>
        <v>7408271.5599999996</v>
      </c>
      <c r="N10" s="364">
        <f ca="1">QCI!M10</f>
        <v>0</v>
      </c>
      <c r="P10" s="454"/>
      <c r="R10" s="184"/>
      <c r="S10" s="184"/>
      <c r="T10" s="184"/>
      <c r="U10" s="184"/>
      <c r="AC10" s="789" t="s">
        <v>366</v>
      </c>
      <c r="AD10" s="789"/>
      <c r="AE10" s="789"/>
      <c r="AF10" s="789"/>
      <c r="AG10" s="789"/>
      <c r="AH10" s="789"/>
      <c r="AJ10" s="789" t="s">
        <v>4</v>
      </c>
      <c r="AK10" s="789"/>
      <c r="AL10" s="789"/>
      <c r="AM10" s="789"/>
      <c r="AN10" s="789"/>
      <c r="AO10" s="789"/>
    </row>
    <row r="11" spans="1:41" ht="20.100000000000001" customHeight="1" x14ac:dyDescent="0.25">
      <c r="D11" s="701"/>
      <c r="M11" s="628" t="str">
        <f>IF(CAIXA.Modo,"Valores Aferidos (R$)","Valores Medidos (R$)")</f>
        <v>Valores Medidos (R$)</v>
      </c>
      <c r="N11" s="628"/>
      <c r="O11" s="628"/>
      <c r="R11" s="458"/>
      <c r="S11" s="458"/>
      <c r="T11" s="628"/>
      <c r="U11" s="628"/>
      <c r="V11" s="625" t="s">
        <v>411</v>
      </c>
      <c r="Y11" s="790" t="str">
        <f>IF(CAIXA.Modo,"Valores Aferidos (R$)","Valores Medidos (R$)")</f>
        <v>Valores Medidos (R$)</v>
      </c>
      <c r="Z11" s="790"/>
      <c r="AC11" s="791" t="s">
        <v>367</v>
      </c>
      <c r="AD11" s="791"/>
      <c r="AE11" s="791"/>
      <c r="AF11" s="791" t="s">
        <v>368</v>
      </c>
      <c r="AG11" s="791"/>
      <c r="AH11" s="791"/>
      <c r="AJ11" s="791" t="s">
        <v>367</v>
      </c>
      <c r="AK11" s="791"/>
      <c r="AL11" s="791"/>
      <c r="AM11" s="791" t="s">
        <v>368</v>
      </c>
      <c r="AN11" s="791"/>
      <c r="AO11" s="791"/>
    </row>
    <row r="12" spans="1:41" hidden="1" x14ac:dyDescent="0.25">
      <c r="A12" t="e">
        <f ca="1">MATCH(E12,ORÇAMENTO!$E$15:$E$710,0)-1</f>
        <v>#N/A</v>
      </c>
      <c r="B12" t="e">
        <f ca="1">IF(ISERROR($A12),NA(),OFFSET(ORÇAMENTO!$D$15,$A12,0))</f>
        <v>#N/A</v>
      </c>
      <c r="C12" t="str">
        <f ca="1">QCI!B12</f>
        <v>Branco</v>
      </c>
      <c r="D12" t="str">
        <f ca="1">IF(L12&gt;0,"F","")</f>
        <v/>
      </c>
      <c r="E12" s="460">
        <f>QCI!D12</f>
        <v>-1</v>
      </c>
      <c r="F12" s="461" t="str">
        <f ca="1">QCI!G12</f>
        <v/>
      </c>
      <c r="G12" s="462">
        <f>QCI!H12</f>
        <v>0</v>
      </c>
      <c r="H12" s="463">
        <f>QCI!I12</f>
        <v>0</v>
      </c>
      <c r="I12" s="464" t="str">
        <f ca="1">QCI!J12</f>
        <v/>
      </c>
      <c r="J12" s="465" t="str">
        <f ca="1">QCI!K12</f>
        <v/>
      </c>
      <c r="K12" s="466" t="str">
        <f ca="1">IF($C12="Automático",IF(ACOMPANHAMENTO="BM",BM.medicao,PLE.Medicao),IF(ISBLANK($X12),"",$X12))</f>
        <v/>
      </c>
      <c r="L12" s="467">
        <f ca="1">QCI!$O12</f>
        <v>0</v>
      </c>
      <c r="M12" s="469">
        <f ca="1">ROUND(IF(C12="Automático",AE12+AL12,Y12),2)</f>
        <v>0</v>
      </c>
      <c r="N12" s="470">
        <f ca="1">O12-M12</f>
        <v>0</v>
      </c>
      <c r="O12" s="471">
        <f ca="1">ROUND(IF(C12="Automático",AH12+AO12,Z12),2)</f>
        <v>0</v>
      </c>
      <c r="P12" s="472">
        <f ca="1">O12/(L12+10^-12)</f>
        <v>0</v>
      </c>
      <c r="R12" s="468">
        <f ca="1">ROUND(IF($C12="Automático",AC12+AJ12,$Y12*IF(ISERROR(QCI!$AA12/QCI!$O12),0,QCI!$AA12/QCI!$O12)),2)</f>
        <v>0</v>
      </c>
      <c r="S12" s="468">
        <f ca="1">ROUND(IF($C12="Automático",AD12+AK12,$Y12*IF(ISERROR(QCI!$AB12/QCI!$O12),0,QCI!$AB12/QCI!$O12)),2)</f>
        <v>0</v>
      </c>
      <c r="T12" s="468">
        <f ca="1">ROUND(IF($C12="Automático",AF12+AM12,$Z12*IF(ISERROR(QCI!$AA12/QCI!$O12),0,QCI!$AA12/QCI!$O12)),2)</f>
        <v>0</v>
      </c>
      <c r="U12" s="468">
        <f ca="1">ROUND(IF($C12="Automático",AG12+AN12,$Z12*IF(ISERROR(QCI!$AB12/QCI!$O12),0,QCI!$AB12/QCI!$O12)),2)</f>
        <v>0</v>
      </c>
      <c r="V12" s="626" t="str">
        <f ca="1">IF(AND($L12&gt;0,$J12&lt;&gt;0,$J12&lt;&gt;"",COUNTIF($J12:$J$13,$J12)=1),OFFSET(V12,-1,0)+1,OFFSET(V12,-1,0))</f>
        <v>Lista CTEFs</v>
      </c>
      <c r="X12" s="372"/>
      <c r="Y12" s="373"/>
      <c r="Z12" s="375"/>
      <c r="AC12" s="233">
        <f ca="1">IF(ACOMPANHAMENTO&lt;&gt;"PLE",0,SUMPRODUCT((OFFSET(CÁLCULO!$BV$15:$CN$15,$A12,0,$B12)&lt;=(PLE.Medicao-1))*OFFSET(CÁLCULO!$AJ$15:$BB$15,$A12,0,$B12)*OFFSET(ORÇAMENTO!$AA$15,$A12,0,$B12)/(OFFSET(ORÇAMENTO!$X$15,$A12,0,$B12)+10^-12))+IF(AUTOEVENTO="Manual",SUMPRODUCT((OFFSET(CÁLCULO!$M$15,$A12,0,$B12)=1)*OFFSET(ORÇAMENTO!$AA$15,$A12,0,$B12)*(PLE!$AE$9-PLE!$Y$9)),0))</f>
        <v>0</v>
      </c>
      <c r="AD12" s="233">
        <f ca="1">IF(ACOMPANHAMENTO&lt;&gt;"PLE",0,SUMPRODUCT((OFFSET(CÁLCULO!$BV$15:$CN$15,$A12,0,$B12)&lt;=(PLE.Medicao-1))*OFFSET(CÁLCULO!$AJ$15:$BB$15,$A12,0,$B12)*OFFSET(ORÇAMENTO!$AB$15,$A12,0,$B12)/(OFFSET(ORÇAMENTO!$X$15,$A12,0,$B12)+10^-12))+IF(AUTOEVENTO="Manual",SUMPRODUCT((OFFSET(CÁLCULO!$M$15,$A12,0,$B12)=1)*OFFSET(ORÇAMENTO!$AB$15,$A12,0,$B12)*(PLE!$AE$9-PLE!$Y$9)),0))</f>
        <v>0</v>
      </c>
      <c r="AE12" s="233">
        <f ca="1">ROUND(IF(ACOMPANHAMENTO&lt;&gt;"PLE",0,SUMIF(OFFSET(CÁLCULO!$BV$15:$CN$15,$A12,0,$B12),"&lt;="&amp;(PLE.Medicao-1),OFFSET(CÁLCULO!$AJ$15:$BB$15,$A12,0,$B12))+IF(AUTOEVENTO="Manual",SUMIF(OFFSET(CÁLCULO!$M$15,$A12,0,$B12),1,OFFSET(ORÇAMENTO!$X$15,$A12,0,$B12))*(PLE!$AE$9-PLE!$Y$9),0)),2)</f>
        <v>0</v>
      </c>
      <c r="AF12" s="233">
        <f ca="1">IF(ACOMPANHAMENTO&lt;&gt;"PLE",0,SUMPRODUCT((OFFSET(CÁLCULO!$BV$15:$CN$15,$A12,0,$B12)&lt;=PLE.Medicao)*OFFSET(CÁLCULO!$AJ$15:$BB$15,$A12,0,$B12)*OFFSET(ORÇAMENTO!$AA$15,$A12,0,$B12)/(OFFSET(ORÇAMENTO!$X$15,$A12,0,$B12)+10^-12))+IF(AUTOEVENTO="Manual",SUMPRODUCT((OFFSET(CÁLCULO!$M$15,$A12,0,$B12)=1)*OFFSET(ORÇAMENTO!$AA$15,$A12,0,$B12)*PLE!$AE$9),0))</f>
        <v>0</v>
      </c>
      <c r="AG12" s="233">
        <f ca="1">IF(ACOMPANHAMENTO&lt;&gt;"PLE",0,SUMPRODUCT((OFFSET(CÁLCULO!$BV$15:$CN$15,$A12,0,$B12)&lt;=PLE.Medicao)*OFFSET(CÁLCULO!$AJ$15:$BB$15,$A12,0,$B12)*OFFSET(ORÇAMENTO!$AB$15,$A12,0,$B12)/(OFFSET(ORÇAMENTO!$X$15,$A12,0,$B12)+10^-12))+IF(AUTOEVENTO="Manual",SUMPRODUCT((OFFSET(CÁLCULO!$M$15,$A12,0,$B12)=1)*OFFSET(ORÇAMENTO!$AB$15,$A12,0,$B12)*PLE!$AE$9),0))</f>
        <v>0</v>
      </c>
      <c r="AH12" s="233">
        <f ca="1">ROUND(IF(ACOMPANHAMENTO&lt;&gt;"PLE",0,SUMIF(OFFSET(CÁLCULO!$BV$15:$CN$15,$A12,0,$B12),"&lt;="&amp;PLE.Medicao,OFFSET(CÁLCULO!$AJ$15:$BB$15,$A12,0,$B12))+IF(AUTOEVENTO="Manual",SUMIF(OFFSET(CÁLCULO!$M$15,$A12,0,$B12),1,OFFSET(ORÇAMENTO!$X$15,$A12,0,$B12))*PLE!$AE$9,0)),2)</f>
        <v>0</v>
      </c>
      <c r="AJ12" s="233" t="e">
        <f ca="1">IF(ACOMPANHAMENTO&lt;&gt;"BM",0,SUMPRODUCT(OFFSET(BM!$M$15,$A12,0,$B12)*(OFFSET(BM!$A$15,$A12,0,$B12)="S")*OFFSET(ORÇAMENTO!AA$15,$A12,0,$B12)/(OFFSET(ORÇAMENTO!$X$15,$A12,0,$B12)+10^-12)))</f>
        <v>#N/A</v>
      </c>
      <c r="AK12" s="233" t="e">
        <f ca="1">IF(ACOMPANHAMENTO&lt;&gt;"BM",0,SUMPRODUCT(OFFSET(BM!$M$15,$A12,0,$B12)*(OFFSET(BM!$A$15,$A12,0,$B12)="S")*OFFSET(ORÇAMENTO!AB$15,$A12,0,$B12)/(OFFSET(ORÇAMENTO!$X$15,$A12,0,$B12)+10^-12)))</f>
        <v>#N/A</v>
      </c>
      <c r="AL12" s="233" t="e">
        <f ca="1">IF(ACOMPANHAMENTO&lt;&gt;"BM",0,OFFSET(BM!$M$15,$A12,0))</f>
        <v>#N/A</v>
      </c>
      <c r="AM12" s="233" t="e">
        <f ca="1">IF(ACOMPANHAMENTO&lt;&gt;"BM",0,SUMPRODUCT(OFFSET(BM!$O$15,$A12,0,$B12)*(OFFSET(BM!$A$15,$A12,0,$B12)="S")*OFFSET(ORÇAMENTO!AA$15,$A12,0,$B12)/(OFFSET(ORÇAMENTO!$X$15,$A12,0,$B12)+10^-12)))</f>
        <v>#N/A</v>
      </c>
      <c r="AN12" s="233" t="e">
        <f ca="1">IF(ACOMPANHAMENTO&lt;&gt;"BM",0,SUMPRODUCT(OFFSET(BM!$O$15,$A12,0,$B12)*(OFFSET(BM!$A$15,$A12,0,$B12)="S")*OFFSET(ORÇAMENTO!AB$15,$A12,0,$B12)/(OFFSET(ORÇAMENTO!$X$15,$A12,0,$B12)+10^-12)))</f>
        <v>#N/A</v>
      </c>
      <c r="AO12" s="233" t="e">
        <f ca="1">IF(ACOMPANHAMENTO&lt;&gt;"BM",0,OFFSET(BM!$O$15,$A12,0))</f>
        <v>#N/A</v>
      </c>
    </row>
    <row r="13" spans="1:41" ht="39.9" customHeight="1" x14ac:dyDescent="0.25">
      <c r="A13" s="379" t="s">
        <v>369</v>
      </c>
      <c r="B13" s="12" t="s">
        <v>223</v>
      </c>
      <c r="C13" s="379" t="s">
        <v>320</v>
      </c>
      <c r="D13" s="135" t="s">
        <v>219</v>
      </c>
      <c r="E13" s="136" t="s">
        <v>197</v>
      </c>
      <c r="F13" s="136" t="s">
        <v>323</v>
      </c>
      <c r="G13" s="136" t="s">
        <v>163</v>
      </c>
      <c r="H13" s="136" t="s">
        <v>205</v>
      </c>
      <c r="I13" s="136" t="s">
        <v>324</v>
      </c>
      <c r="J13" s="136" t="s">
        <v>325</v>
      </c>
      <c r="K13" s="380" t="s">
        <v>370</v>
      </c>
      <c r="L13" s="136" t="s">
        <v>371</v>
      </c>
      <c r="M13" s="380" t="s">
        <v>367</v>
      </c>
      <c r="N13" s="381" t="s">
        <v>374</v>
      </c>
      <c r="O13" s="382" t="s">
        <v>368</v>
      </c>
      <c r="P13" s="136" t="s">
        <v>377</v>
      </c>
      <c r="R13" s="473" t="s">
        <v>372</v>
      </c>
      <c r="S13" s="473" t="s">
        <v>373</v>
      </c>
      <c r="T13" s="473" t="s">
        <v>375</v>
      </c>
      <c r="U13" s="473" t="s">
        <v>376</v>
      </c>
      <c r="V13" s="627"/>
      <c r="X13" s="380" t="s">
        <v>370</v>
      </c>
      <c r="Y13" s="201" t="s">
        <v>367</v>
      </c>
      <c r="Z13" s="202" t="s">
        <v>368</v>
      </c>
      <c r="AC13" s="459" t="s">
        <v>171</v>
      </c>
      <c r="AD13" s="459" t="s">
        <v>360</v>
      </c>
      <c r="AE13" s="459" t="s">
        <v>362</v>
      </c>
      <c r="AF13" s="459" t="s">
        <v>171</v>
      </c>
      <c r="AG13" s="459" t="s">
        <v>360</v>
      </c>
      <c r="AH13" s="459" t="s">
        <v>362</v>
      </c>
      <c r="AJ13" s="459" t="s">
        <v>171</v>
      </c>
      <c r="AK13" s="459" t="s">
        <v>360</v>
      </c>
      <c r="AL13" s="459" t="s">
        <v>362</v>
      </c>
      <c r="AM13" s="459" t="s">
        <v>171</v>
      </c>
      <c r="AN13" s="459" t="s">
        <v>360</v>
      </c>
      <c r="AO13" s="459" t="s">
        <v>362</v>
      </c>
    </row>
    <row r="14" spans="1:41" x14ac:dyDescent="0.25">
      <c r="A14">
        <f ca="1">MATCH(E14,ORÇAMENTO!$E$15:$E$710,0)-1</f>
        <v>1</v>
      </c>
      <c r="B14">
        <f ca="1">IF(ISERROR($A14),NA(),OFFSET(ORÇAMENTO!$D$15,$A14,0))</f>
        <v>686</v>
      </c>
      <c r="C14" t="str">
        <f ca="1">QCI!B14</f>
        <v>Automático</v>
      </c>
      <c r="D14" t="str">
        <f t="shared" ref="D14:D22" ca="1" si="0">IF(L14&gt;0,"F","")</f>
        <v/>
      </c>
      <c r="E14" s="460">
        <f>QCI!D14</f>
        <v>1</v>
      </c>
      <c r="F14" s="461" t="str">
        <f ca="1">QCI!G14</f>
        <v>PLANILHA ORÇAMENTÁRIA - FNDE</v>
      </c>
      <c r="G14" s="462" t="str">
        <f>QCI!H14</f>
        <v>Em Análise</v>
      </c>
      <c r="H14" s="463">
        <f>QCI!I14</f>
        <v>2935.92</v>
      </c>
      <c r="I14" s="464" t="str">
        <f ca="1">QCI!J14</f>
        <v>m²</v>
      </c>
      <c r="J14" s="465" t="str">
        <f ca="1">QCI!K14</f>
        <v>LOTE 1</v>
      </c>
      <c r="K14" s="466">
        <f t="shared" ref="K14:K23" ca="1" si="1">IF($C14="Automático",IF(ACOMPANHAMENTO="BM",BM.medicao,PLE.Medicao),IF(ISBLANK($X14),"",$X14))</f>
        <v>1</v>
      </c>
      <c r="L14" s="467">
        <f ca="1">QCI!$O14</f>
        <v>0</v>
      </c>
      <c r="M14" s="469">
        <f t="shared" ref="M14:M22" ca="1" si="2">ROUND(IF(C14="Automático",AE14+AL14,Y14),2)</f>
        <v>0</v>
      </c>
      <c r="N14" s="470">
        <f t="shared" ref="N14:N22" ca="1" si="3">O14-M14</f>
        <v>0</v>
      </c>
      <c r="O14" s="471">
        <f t="shared" ref="O14:O22" ca="1" si="4">ROUND(IF(C14="Automático",AH14+AO14,Z14),2)</f>
        <v>0</v>
      </c>
      <c r="P14" s="472">
        <f t="shared" ref="P14:P22" ca="1" si="5">O14/(L14+10^-12)</f>
        <v>0</v>
      </c>
      <c r="R14" s="468">
        <f ca="1">ROUND(IF($C14="Automático",AC14+AJ14,$Y14*IF(ISERROR(QCI!$AA14/QCI!$O14),0,QCI!$AA14/QCI!$O14)),2)</f>
        <v>0</v>
      </c>
      <c r="S14" s="468">
        <f ca="1">ROUND(IF($C14="Automático",AD14+AK14,$Y14*IF(ISERROR(QCI!$AB14/QCI!$O14),0,QCI!$AB14/QCI!$O14)),2)</f>
        <v>0</v>
      </c>
      <c r="T14" s="468">
        <f ca="1">ROUND(IF($C14="Automático",AF14+AM14,$Z14*IF(ISERROR(QCI!$AA14/QCI!$O14),0,QCI!$AA14/QCI!$O14)),2)</f>
        <v>0</v>
      </c>
      <c r="U14" s="468">
        <f ca="1">ROUND(IF($C14="Automático",AG14+AN14,$Z14*IF(ISERROR(QCI!$AB14/QCI!$O14),0,QCI!$AB14/QCI!$O14)),2)</f>
        <v>0</v>
      </c>
      <c r="V14" s="626">
        <f ca="1">IF(AND($L14&gt;0,$J14&lt;&gt;0,$J14&lt;&gt;"",COUNTIF($J$13:$J14,$J14)=1),OFFSET(V14,-1,0)+1,OFFSET(V14,-1,0))</f>
        <v>0</v>
      </c>
      <c r="X14" s="372"/>
      <c r="Y14" s="373"/>
      <c r="Z14" s="375"/>
      <c r="AC14" s="233">
        <f ca="1">IF(ACOMPANHAMENTO&lt;&gt;"PLE",0,SUMPRODUCT((OFFSET(CÁLCULO!$BV$15:$CN$15,$A14,0,$B14)&lt;=(PLE.Medicao-1))*OFFSET(CÁLCULO!$AJ$15:$BB$15,$A14,0,$B14)*OFFSET(ORÇAMENTO!$AA$15,$A14,0,$B14)/(OFFSET(ORÇAMENTO!$X$15,$A14,0,$B14)+10^-12))+IF(AUTOEVENTO="Manual",SUMPRODUCT((OFFSET(CÁLCULO!$M$15,$A14,0,$B14)=1)*OFFSET(ORÇAMENTO!$AA$15,$A14,0,$B14)*(PLE!$AE$9-PLE!$Y$9)),0))</f>
        <v>0</v>
      </c>
      <c r="AD14" s="233">
        <f ca="1">IF(ACOMPANHAMENTO&lt;&gt;"PLE",0,SUMPRODUCT((OFFSET(CÁLCULO!$BV$15:$CN$15,$A14,0,$B14)&lt;=(PLE.Medicao-1))*OFFSET(CÁLCULO!$AJ$15:$BB$15,$A14,0,$B14)*OFFSET(ORÇAMENTO!$AB$15,$A14,0,$B14)/(OFFSET(ORÇAMENTO!$X$15,$A14,0,$B14)+10^-12))+IF(AUTOEVENTO="Manual",SUMPRODUCT((OFFSET(CÁLCULO!$M$15,$A14,0,$B14)=1)*OFFSET(ORÇAMENTO!$AB$15,$A14,0,$B14)*(PLE!$AE$9-PLE!$Y$9)),0))</f>
        <v>0</v>
      </c>
      <c r="AE14" s="233">
        <f ca="1">ROUND(IF(ACOMPANHAMENTO&lt;&gt;"PLE",0,SUMIF(OFFSET(CÁLCULO!$BV$15:$CN$15,$A14,0,$B14),"&lt;="&amp;(PLE.Medicao-1),OFFSET(CÁLCULO!$AJ$15:$BB$15,$A14,0,$B14))+IF(AUTOEVENTO="Manual",SUMIF(OFFSET(CÁLCULO!$M$15,$A14,0,$B14),1,OFFSET(ORÇAMENTO!$X$15,$A14,0,$B14))*(PLE!$AE$9-PLE!$Y$9),0)),2)</f>
        <v>0</v>
      </c>
      <c r="AF14" s="233">
        <f ca="1">IF(ACOMPANHAMENTO&lt;&gt;"PLE",0,SUMPRODUCT((OFFSET(CÁLCULO!$BV$15:$CN$15,$A14,0,$B14)&lt;=PLE.Medicao)*OFFSET(CÁLCULO!$AJ$15:$BB$15,$A14,0,$B14)*OFFSET(ORÇAMENTO!$AA$15,$A14,0,$B14)/(OFFSET(ORÇAMENTO!$X$15,$A14,0,$B14)+10^-12))+IF(AUTOEVENTO="Manual",SUMPRODUCT((OFFSET(CÁLCULO!$M$15,$A14,0,$B14)=1)*OFFSET(ORÇAMENTO!$AA$15,$A14,0,$B14)*PLE!$AE$9),0))</f>
        <v>0</v>
      </c>
      <c r="AG14" s="233">
        <f ca="1">IF(ACOMPANHAMENTO&lt;&gt;"PLE",0,SUMPRODUCT((OFFSET(CÁLCULO!$BV$15:$CN$15,$A14,0,$B14)&lt;=PLE.Medicao)*OFFSET(CÁLCULO!$AJ$15:$BB$15,$A14,0,$B14)*OFFSET(ORÇAMENTO!$AB$15,$A14,0,$B14)/(OFFSET(ORÇAMENTO!$X$15,$A14,0,$B14)+10^-12))+IF(AUTOEVENTO="Manual",SUMPRODUCT((OFFSET(CÁLCULO!$M$15,$A14,0,$B14)=1)*OFFSET(ORÇAMENTO!$AB$15,$A14,0,$B14)*PLE!$AE$9),0))</f>
        <v>0</v>
      </c>
      <c r="AH14" s="233">
        <f ca="1">ROUND(IF(ACOMPANHAMENTO&lt;&gt;"PLE",0,SUMIF(OFFSET(CÁLCULO!$BV$15:$CN$15,$A14,0,$B14),"&lt;="&amp;PLE.Medicao,OFFSET(CÁLCULO!$AJ$15:$BB$15,$A14,0,$B14))+IF(AUTOEVENTO="Manual",SUMIF(OFFSET(CÁLCULO!$M$15,$A14,0,$B14),1,OFFSET(ORÇAMENTO!$X$15,$A14,0,$B14))*PLE!$AE$9,0)),2)</f>
        <v>0</v>
      </c>
      <c r="AJ14" s="233">
        <f ca="1">IF(ACOMPANHAMENTO&lt;&gt;"BM",0,SUMPRODUCT(OFFSET(BM!$M$15,$A14,0,$B14)*(OFFSET(BM!$A$15,$A14,0,$B14)="S")*OFFSET(ORÇAMENTO!AA$15,$A14,0,$B14)/(OFFSET(ORÇAMENTO!$X$15,$A14,0,$B14)+10^-12)))</f>
        <v>0</v>
      </c>
      <c r="AK14" s="233">
        <f ca="1">IF(ACOMPANHAMENTO&lt;&gt;"BM",0,SUMPRODUCT(OFFSET(BM!$M$15,$A14,0,$B14)*(OFFSET(BM!$A$15,$A14,0,$B14)="S")*OFFSET(ORÇAMENTO!AB$15,$A14,0,$B14)/(OFFSET(ORÇAMENTO!$X$15,$A14,0,$B14)+10^-12)))</f>
        <v>0</v>
      </c>
      <c r="AL14" s="233">
        <f ca="1">IF(ACOMPANHAMENTO&lt;&gt;"BM",0,OFFSET(BM!$M$15,$A14,0))</f>
        <v>0</v>
      </c>
      <c r="AM14" s="233">
        <f ca="1">IF(ACOMPANHAMENTO&lt;&gt;"BM",0,SUMPRODUCT(OFFSET(BM!$O$15,$A14,0,$B14)*(OFFSET(BM!$A$15,$A14,0,$B14)="S")*OFFSET(ORÇAMENTO!AA$15,$A14,0,$B14)/(OFFSET(ORÇAMENTO!$X$15,$A14,0,$B14)+10^-12)))</f>
        <v>0</v>
      </c>
      <c r="AN14" s="233">
        <f ca="1">IF(ACOMPANHAMENTO&lt;&gt;"BM",0,SUMPRODUCT(OFFSET(BM!$O$15,$A14,0,$B14)*(OFFSET(BM!$A$15,$A14,0,$B14)="S")*OFFSET(ORÇAMENTO!AB$15,$A14,0,$B14)/(OFFSET(ORÇAMENTO!$X$15,$A14,0,$B14)+10^-12)))</f>
        <v>0</v>
      </c>
      <c r="AO14" s="233">
        <f ca="1">IF(ACOMPANHAMENTO&lt;&gt;"BM",0,OFFSET(BM!$O$15,$A14,0))</f>
        <v>0</v>
      </c>
    </row>
    <row r="15" spans="1:41" x14ac:dyDescent="0.25">
      <c r="A15">
        <f ca="1">MATCH(E15,ORÇAMENTO!$E$15:$E$710,0)-1</f>
        <v>687</v>
      </c>
      <c r="B15">
        <f ca="1">IF(ISERROR($A15),NA(),OFFSET(ORÇAMENTO!$D$15,$A15,0))</f>
        <v>8</v>
      </c>
      <c r="C15" t="str">
        <f ca="1">QCI!B15</f>
        <v>Automático</v>
      </c>
      <c r="D15" t="str">
        <f t="shared" ca="1" si="0"/>
        <v/>
      </c>
      <c r="E15" s="460">
        <f>QCI!D15</f>
        <v>2</v>
      </c>
      <c r="F15" s="461" t="str">
        <f ca="1">QCI!G15</f>
        <v>PLANILHA ORÇAMENTÁRIA - MUNICIPAL</v>
      </c>
      <c r="G15" s="462" t="str">
        <f>QCI!H15</f>
        <v>Em Análise</v>
      </c>
      <c r="H15" s="463">
        <f>QCI!I15</f>
        <v>2935.92</v>
      </c>
      <c r="I15" s="464" t="str">
        <f ca="1">QCI!J15</f>
        <v>m²</v>
      </c>
      <c r="J15" s="465" t="str">
        <f ca="1">QCI!K15</f>
        <v>LOTE 1</v>
      </c>
      <c r="K15" s="466">
        <f t="shared" ca="1" si="1"/>
        <v>1</v>
      </c>
      <c r="L15" s="467">
        <f ca="1">QCI!$O15</f>
        <v>0</v>
      </c>
      <c r="M15" s="469">
        <f t="shared" ca="1" si="2"/>
        <v>0</v>
      </c>
      <c r="N15" s="470">
        <f t="shared" ca="1" si="3"/>
        <v>0</v>
      </c>
      <c r="O15" s="471">
        <f t="shared" ca="1" si="4"/>
        <v>0</v>
      </c>
      <c r="P15" s="472">
        <f t="shared" ca="1" si="5"/>
        <v>0</v>
      </c>
      <c r="R15" s="468">
        <f ca="1">ROUND(IF($C15="Automático",AC15+AJ15,$Y15*IF(ISERROR(QCI!$AA15/QCI!$O15),0,QCI!$AA15/QCI!$O15)),2)</f>
        <v>0</v>
      </c>
      <c r="S15" s="468">
        <f ca="1">ROUND(IF($C15="Automático",AD15+AK15,$Y15*IF(ISERROR(QCI!$AB15/QCI!$O15),0,QCI!$AB15/QCI!$O15)),2)</f>
        <v>0</v>
      </c>
      <c r="T15" s="468">
        <f ca="1">ROUND(IF($C15="Automático",AF15+AM15,$Z15*IF(ISERROR(QCI!$AA15/QCI!$O15),0,QCI!$AA15/QCI!$O15)),2)</f>
        <v>0</v>
      </c>
      <c r="U15" s="468">
        <f ca="1">ROUND(IF($C15="Automático",AG15+AN15,$Z15*IF(ISERROR(QCI!$AB15/QCI!$O15),0,QCI!$AB15/QCI!$O15)),2)</f>
        <v>0</v>
      </c>
      <c r="V15" s="626">
        <f ca="1">IF(AND($L15&gt;0,$J15&lt;&gt;0,$J15&lt;&gt;"",COUNTIF($J$13:$J15,$J15)=1),OFFSET(V15,-1,0)+1,OFFSET(V15,-1,0))</f>
        <v>0</v>
      </c>
      <c r="X15" s="372"/>
      <c r="Y15" s="373"/>
      <c r="Z15" s="375"/>
      <c r="AC15" s="233">
        <f ca="1">IF(ACOMPANHAMENTO&lt;&gt;"PLE",0,SUMPRODUCT((OFFSET(CÁLCULO!$BV$15:$CN$15,$A15,0,$B15)&lt;=(PLE.Medicao-1))*OFFSET(CÁLCULO!$AJ$15:$BB$15,$A15,0,$B15)*OFFSET(ORÇAMENTO!$AA$15,$A15,0,$B15)/(OFFSET(ORÇAMENTO!$X$15,$A15,0,$B15)+10^-12))+IF(AUTOEVENTO="Manual",SUMPRODUCT((OFFSET(CÁLCULO!$M$15,$A15,0,$B15)=1)*OFFSET(ORÇAMENTO!$AA$15,$A15,0,$B15)*(PLE!$AE$9-PLE!$Y$9)),0))</f>
        <v>0</v>
      </c>
      <c r="AD15" s="233">
        <f ca="1">IF(ACOMPANHAMENTO&lt;&gt;"PLE",0,SUMPRODUCT((OFFSET(CÁLCULO!$BV$15:$CN$15,$A15,0,$B15)&lt;=(PLE.Medicao-1))*OFFSET(CÁLCULO!$AJ$15:$BB$15,$A15,0,$B15)*OFFSET(ORÇAMENTO!$AB$15,$A15,0,$B15)/(OFFSET(ORÇAMENTO!$X$15,$A15,0,$B15)+10^-12))+IF(AUTOEVENTO="Manual",SUMPRODUCT((OFFSET(CÁLCULO!$M$15,$A15,0,$B15)=1)*OFFSET(ORÇAMENTO!$AB$15,$A15,0,$B15)*(PLE!$AE$9-PLE!$Y$9)),0))</f>
        <v>0</v>
      </c>
      <c r="AE15" s="233">
        <f ca="1">ROUND(IF(ACOMPANHAMENTO&lt;&gt;"PLE",0,SUMIF(OFFSET(CÁLCULO!$BV$15:$CN$15,$A15,0,$B15),"&lt;="&amp;(PLE.Medicao-1),OFFSET(CÁLCULO!$AJ$15:$BB$15,$A15,0,$B15))+IF(AUTOEVENTO="Manual",SUMIF(OFFSET(CÁLCULO!$M$15,$A15,0,$B15),1,OFFSET(ORÇAMENTO!$X$15,$A15,0,$B15))*(PLE!$AE$9-PLE!$Y$9),0)),2)</f>
        <v>0</v>
      </c>
      <c r="AF15" s="233">
        <f ca="1">IF(ACOMPANHAMENTO&lt;&gt;"PLE",0,SUMPRODUCT((OFFSET(CÁLCULO!$BV$15:$CN$15,$A15,0,$B15)&lt;=PLE.Medicao)*OFFSET(CÁLCULO!$AJ$15:$BB$15,$A15,0,$B15)*OFFSET(ORÇAMENTO!$AA$15,$A15,0,$B15)/(OFFSET(ORÇAMENTO!$X$15,$A15,0,$B15)+10^-12))+IF(AUTOEVENTO="Manual",SUMPRODUCT((OFFSET(CÁLCULO!$M$15,$A15,0,$B15)=1)*OFFSET(ORÇAMENTO!$AA$15,$A15,0,$B15)*PLE!$AE$9),0))</f>
        <v>0</v>
      </c>
      <c r="AG15" s="233">
        <f ca="1">IF(ACOMPANHAMENTO&lt;&gt;"PLE",0,SUMPRODUCT((OFFSET(CÁLCULO!$BV$15:$CN$15,$A15,0,$B15)&lt;=PLE.Medicao)*OFFSET(CÁLCULO!$AJ$15:$BB$15,$A15,0,$B15)*OFFSET(ORÇAMENTO!$AB$15,$A15,0,$B15)/(OFFSET(ORÇAMENTO!$X$15,$A15,0,$B15)+10^-12))+IF(AUTOEVENTO="Manual",SUMPRODUCT((OFFSET(CÁLCULO!$M$15,$A15,0,$B15)=1)*OFFSET(ORÇAMENTO!$AB$15,$A15,0,$B15)*PLE!$AE$9),0))</f>
        <v>0</v>
      </c>
      <c r="AH15" s="233">
        <f ca="1">ROUND(IF(ACOMPANHAMENTO&lt;&gt;"PLE",0,SUMIF(OFFSET(CÁLCULO!$BV$15:$CN$15,$A15,0,$B15),"&lt;="&amp;PLE.Medicao,OFFSET(CÁLCULO!$AJ$15:$BB$15,$A15,0,$B15))+IF(AUTOEVENTO="Manual",SUMIF(OFFSET(CÁLCULO!$M$15,$A15,0,$B15),1,OFFSET(ORÇAMENTO!$X$15,$A15,0,$B15))*PLE!$AE$9,0)),2)</f>
        <v>0</v>
      </c>
      <c r="AJ15" s="233">
        <f ca="1">IF(ACOMPANHAMENTO&lt;&gt;"BM",0,SUMPRODUCT(OFFSET(BM!$M$15,$A15,0,$B15)*(OFFSET(BM!$A$15,$A15,0,$B15)="S")*OFFSET(ORÇAMENTO!AA$15,$A15,0,$B15)/(OFFSET(ORÇAMENTO!$X$15,$A15,0,$B15)+10^-12)))</f>
        <v>0</v>
      </c>
      <c r="AK15" s="233">
        <f ca="1">IF(ACOMPANHAMENTO&lt;&gt;"BM",0,SUMPRODUCT(OFFSET(BM!$M$15,$A15,0,$B15)*(OFFSET(BM!$A$15,$A15,0,$B15)="S")*OFFSET(ORÇAMENTO!AB$15,$A15,0,$B15)/(OFFSET(ORÇAMENTO!$X$15,$A15,0,$B15)+10^-12)))</f>
        <v>0</v>
      </c>
      <c r="AL15" s="233">
        <f ca="1">IF(ACOMPANHAMENTO&lt;&gt;"BM",0,OFFSET(BM!$M$15,$A15,0))</f>
        <v>0</v>
      </c>
      <c r="AM15" s="233">
        <f ca="1">IF(ACOMPANHAMENTO&lt;&gt;"BM",0,SUMPRODUCT(OFFSET(BM!$O$15,$A15,0,$B15)*(OFFSET(BM!$A$15,$A15,0,$B15)="S")*OFFSET(ORÇAMENTO!AA$15,$A15,0,$B15)/(OFFSET(ORÇAMENTO!$X$15,$A15,0,$B15)+10^-12)))</f>
        <v>0</v>
      </c>
      <c r="AN15" s="233">
        <f ca="1">IF(ACOMPANHAMENTO&lt;&gt;"BM",0,SUMPRODUCT(OFFSET(BM!$O$15,$A15,0,$B15)*(OFFSET(BM!$A$15,$A15,0,$B15)="S")*OFFSET(ORÇAMENTO!AB$15,$A15,0,$B15)/(OFFSET(ORÇAMENTO!$X$15,$A15,0,$B15)+10^-12)))</f>
        <v>0</v>
      </c>
      <c r="AO15" s="233">
        <f ca="1">IF(ACOMPANHAMENTO&lt;&gt;"BM",0,OFFSET(BM!$O$15,$A15,0))</f>
        <v>0</v>
      </c>
    </row>
    <row r="16" spans="1:41" x14ac:dyDescent="0.25">
      <c r="A16" t="e">
        <f ca="1">MATCH(E16,ORÇAMENTO!$E$15:$E$710,0)-1</f>
        <v>#N/A</v>
      </c>
      <c r="B16" t="e">
        <f ca="1">IF(ISERROR($A16),NA(),OFFSET(ORÇAMENTO!$D$15,$A16,0))</f>
        <v>#N/A</v>
      </c>
      <c r="C16" t="str">
        <f ca="1">QCI!B16</f>
        <v>Branco</v>
      </c>
      <c r="D16" t="str">
        <f t="shared" ca="1" si="0"/>
        <v/>
      </c>
      <c r="E16" s="460">
        <f>QCI!D16</f>
        <v>3</v>
      </c>
      <c r="F16" s="461" t="str">
        <f ca="1">QCI!G16</f>
        <v/>
      </c>
      <c r="G16" s="462">
        <f>QCI!H16</f>
        <v>0</v>
      </c>
      <c r="H16" s="463">
        <f>QCI!I16</f>
        <v>0</v>
      </c>
      <c r="I16" s="464" t="str">
        <f ca="1">QCI!J16</f>
        <v/>
      </c>
      <c r="J16" s="465" t="str">
        <f ca="1">QCI!K16</f>
        <v/>
      </c>
      <c r="K16" s="466" t="str">
        <f t="shared" ca="1" si="1"/>
        <v/>
      </c>
      <c r="L16" s="467">
        <f ca="1">QCI!$O16</f>
        <v>0</v>
      </c>
      <c r="M16" s="469">
        <f t="shared" ca="1" si="2"/>
        <v>0</v>
      </c>
      <c r="N16" s="470">
        <f t="shared" ca="1" si="3"/>
        <v>0</v>
      </c>
      <c r="O16" s="471">
        <f t="shared" ca="1" si="4"/>
        <v>0</v>
      </c>
      <c r="P16" s="472">
        <f t="shared" ca="1" si="5"/>
        <v>0</v>
      </c>
      <c r="R16" s="468">
        <f ca="1">ROUND(IF($C16="Automático",AC16+AJ16,$Y16*IF(ISERROR(QCI!$AA16/QCI!$O16),0,QCI!$AA16/QCI!$O16)),2)</f>
        <v>0</v>
      </c>
      <c r="S16" s="468">
        <f ca="1">ROUND(IF($C16="Automático",AD16+AK16,$Y16*IF(ISERROR(QCI!$AB16/QCI!$O16),0,QCI!$AB16/QCI!$O16)),2)</f>
        <v>0</v>
      </c>
      <c r="T16" s="468">
        <f ca="1">ROUND(IF($C16="Automático",AF16+AM16,$Z16*IF(ISERROR(QCI!$AA16/QCI!$O16),0,QCI!$AA16/QCI!$O16)),2)</f>
        <v>0</v>
      </c>
      <c r="U16" s="468">
        <f ca="1">ROUND(IF($C16="Automático",AG16+AN16,$Z16*IF(ISERROR(QCI!$AB16/QCI!$O16),0,QCI!$AB16/QCI!$O16)),2)</f>
        <v>0</v>
      </c>
      <c r="V16" s="626">
        <f ca="1">IF(AND($L16&gt;0,$J16&lt;&gt;0,$J16&lt;&gt;"",COUNTIF($J$13:$J16,$J16)=1),OFFSET(V16,-1,0)+1,OFFSET(V16,-1,0))</f>
        <v>0</v>
      </c>
      <c r="X16" s="372"/>
      <c r="Y16" s="373"/>
      <c r="Z16" s="375"/>
      <c r="AC16" s="233">
        <f ca="1">IF(ACOMPANHAMENTO&lt;&gt;"PLE",0,SUMPRODUCT((OFFSET(CÁLCULO!$BV$15:$CN$15,$A16,0,$B16)&lt;=(PLE.Medicao-1))*OFFSET(CÁLCULO!$AJ$15:$BB$15,$A16,0,$B16)*OFFSET(ORÇAMENTO!$AA$15,$A16,0,$B16)/(OFFSET(ORÇAMENTO!$X$15,$A16,0,$B16)+10^-12))+IF(AUTOEVENTO="Manual",SUMPRODUCT((OFFSET(CÁLCULO!$M$15,$A16,0,$B16)=1)*OFFSET(ORÇAMENTO!$AA$15,$A16,0,$B16)*(PLE!$AE$9-PLE!$Y$9)),0))</f>
        <v>0</v>
      </c>
      <c r="AD16" s="233">
        <f ca="1">IF(ACOMPANHAMENTO&lt;&gt;"PLE",0,SUMPRODUCT((OFFSET(CÁLCULO!$BV$15:$CN$15,$A16,0,$B16)&lt;=(PLE.Medicao-1))*OFFSET(CÁLCULO!$AJ$15:$BB$15,$A16,0,$B16)*OFFSET(ORÇAMENTO!$AB$15,$A16,0,$B16)/(OFFSET(ORÇAMENTO!$X$15,$A16,0,$B16)+10^-12))+IF(AUTOEVENTO="Manual",SUMPRODUCT((OFFSET(CÁLCULO!$M$15,$A16,0,$B16)=1)*OFFSET(ORÇAMENTO!$AB$15,$A16,0,$B16)*(PLE!$AE$9-PLE!$Y$9)),0))</f>
        <v>0</v>
      </c>
      <c r="AE16" s="233">
        <f ca="1">ROUND(IF(ACOMPANHAMENTO&lt;&gt;"PLE",0,SUMIF(OFFSET(CÁLCULO!$BV$15:$CN$15,$A16,0,$B16),"&lt;="&amp;(PLE.Medicao-1),OFFSET(CÁLCULO!$AJ$15:$BB$15,$A16,0,$B16))+IF(AUTOEVENTO="Manual",SUMIF(OFFSET(CÁLCULO!$M$15,$A16,0,$B16),1,OFFSET(ORÇAMENTO!$X$15,$A16,0,$B16))*(PLE!$AE$9-PLE!$Y$9),0)),2)</f>
        <v>0</v>
      </c>
      <c r="AF16" s="233">
        <f ca="1">IF(ACOMPANHAMENTO&lt;&gt;"PLE",0,SUMPRODUCT((OFFSET(CÁLCULO!$BV$15:$CN$15,$A16,0,$B16)&lt;=PLE.Medicao)*OFFSET(CÁLCULO!$AJ$15:$BB$15,$A16,0,$B16)*OFFSET(ORÇAMENTO!$AA$15,$A16,0,$B16)/(OFFSET(ORÇAMENTO!$X$15,$A16,0,$B16)+10^-12))+IF(AUTOEVENTO="Manual",SUMPRODUCT((OFFSET(CÁLCULO!$M$15,$A16,0,$B16)=1)*OFFSET(ORÇAMENTO!$AA$15,$A16,0,$B16)*PLE!$AE$9),0))</f>
        <v>0</v>
      </c>
      <c r="AG16" s="233">
        <f ca="1">IF(ACOMPANHAMENTO&lt;&gt;"PLE",0,SUMPRODUCT((OFFSET(CÁLCULO!$BV$15:$CN$15,$A16,0,$B16)&lt;=PLE.Medicao)*OFFSET(CÁLCULO!$AJ$15:$BB$15,$A16,0,$B16)*OFFSET(ORÇAMENTO!$AB$15,$A16,0,$B16)/(OFFSET(ORÇAMENTO!$X$15,$A16,0,$B16)+10^-12))+IF(AUTOEVENTO="Manual",SUMPRODUCT((OFFSET(CÁLCULO!$M$15,$A16,0,$B16)=1)*OFFSET(ORÇAMENTO!$AB$15,$A16,0,$B16)*PLE!$AE$9),0))</f>
        <v>0</v>
      </c>
      <c r="AH16" s="233">
        <f ca="1">ROUND(IF(ACOMPANHAMENTO&lt;&gt;"PLE",0,SUMIF(OFFSET(CÁLCULO!$BV$15:$CN$15,$A16,0,$B16),"&lt;="&amp;PLE.Medicao,OFFSET(CÁLCULO!$AJ$15:$BB$15,$A16,0,$B16))+IF(AUTOEVENTO="Manual",SUMIF(OFFSET(CÁLCULO!$M$15,$A16,0,$B16),1,OFFSET(ORÇAMENTO!$X$15,$A16,0,$B16))*PLE!$AE$9,0)),2)</f>
        <v>0</v>
      </c>
      <c r="AJ16" s="233" t="e">
        <f ca="1">IF(ACOMPANHAMENTO&lt;&gt;"BM",0,SUMPRODUCT(OFFSET(BM!$M$15,$A16,0,$B16)*(OFFSET(BM!$A$15,$A16,0,$B16)="S")*OFFSET(ORÇAMENTO!AA$15,$A16,0,$B16)/(OFFSET(ORÇAMENTO!$X$15,$A16,0,$B16)+10^-12)))</f>
        <v>#N/A</v>
      </c>
      <c r="AK16" s="233" t="e">
        <f ca="1">IF(ACOMPANHAMENTO&lt;&gt;"BM",0,SUMPRODUCT(OFFSET(BM!$M$15,$A16,0,$B16)*(OFFSET(BM!$A$15,$A16,0,$B16)="S")*OFFSET(ORÇAMENTO!AB$15,$A16,0,$B16)/(OFFSET(ORÇAMENTO!$X$15,$A16,0,$B16)+10^-12)))</f>
        <v>#N/A</v>
      </c>
      <c r="AL16" s="233" t="e">
        <f ca="1">IF(ACOMPANHAMENTO&lt;&gt;"BM",0,OFFSET(BM!$M$15,$A16,0))</f>
        <v>#N/A</v>
      </c>
      <c r="AM16" s="233" t="e">
        <f ca="1">IF(ACOMPANHAMENTO&lt;&gt;"BM",0,SUMPRODUCT(OFFSET(BM!$O$15,$A16,0,$B16)*(OFFSET(BM!$A$15,$A16,0,$B16)="S")*OFFSET(ORÇAMENTO!AA$15,$A16,0,$B16)/(OFFSET(ORÇAMENTO!$X$15,$A16,0,$B16)+10^-12)))</f>
        <v>#N/A</v>
      </c>
      <c r="AN16" s="233" t="e">
        <f ca="1">IF(ACOMPANHAMENTO&lt;&gt;"BM",0,SUMPRODUCT(OFFSET(BM!$O$15,$A16,0,$B16)*(OFFSET(BM!$A$15,$A16,0,$B16)="S")*OFFSET(ORÇAMENTO!AB$15,$A16,0,$B16)/(OFFSET(ORÇAMENTO!$X$15,$A16,0,$B16)+10^-12)))</f>
        <v>#N/A</v>
      </c>
      <c r="AO16" s="233" t="e">
        <f ca="1">IF(ACOMPANHAMENTO&lt;&gt;"BM",0,OFFSET(BM!$O$15,$A16,0))</f>
        <v>#N/A</v>
      </c>
    </row>
    <row r="17" spans="1:41" x14ac:dyDescent="0.25">
      <c r="A17" t="e">
        <f ca="1">MATCH(E17,ORÇAMENTO!$E$15:$E$710,0)-1</f>
        <v>#N/A</v>
      </c>
      <c r="B17" t="e">
        <f ca="1">IF(ISERROR($A17),NA(),OFFSET(ORÇAMENTO!$D$15,$A17,0))</f>
        <v>#N/A</v>
      </c>
      <c r="C17" t="str">
        <f ca="1">QCI!B17</f>
        <v>Branco</v>
      </c>
      <c r="D17" t="str">
        <f t="shared" ca="1" si="0"/>
        <v/>
      </c>
      <c r="E17" s="460">
        <f>QCI!D17</f>
        <v>4</v>
      </c>
      <c r="F17" s="461" t="str">
        <f ca="1">QCI!G17</f>
        <v/>
      </c>
      <c r="G17" s="462">
        <f>QCI!H17</f>
        <v>0</v>
      </c>
      <c r="H17" s="463">
        <f>QCI!I17</f>
        <v>0</v>
      </c>
      <c r="I17" s="464" t="str">
        <f ca="1">QCI!J17</f>
        <v/>
      </c>
      <c r="J17" s="465" t="str">
        <f ca="1">QCI!K17</f>
        <v/>
      </c>
      <c r="K17" s="466" t="str">
        <f t="shared" ca="1" si="1"/>
        <v/>
      </c>
      <c r="L17" s="467">
        <f ca="1">QCI!$O17</f>
        <v>0</v>
      </c>
      <c r="M17" s="469">
        <f t="shared" ca="1" si="2"/>
        <v>0</v>
      </c>
      <c r="N17" s="470">
        <f t="shared" ca="1" si="3"/>
        <v>0</v>
      </c>
      <c r="O17" s="471">
        <f t="shared" ca="1" si="4"/>
        <v>0</v>
      </c>
      <c r="P17" s="472">
        <f t="shared" ca="1" si="5"/>
        <v>0</v>
      </c>
      <c r="R17" s="468">
        <f ca="1">ROUND(IF($C17="Automático",AC17+AJ17,$Y17*IF(ISERROR(QCI!$AA17/QCI!$O17),0,QCI!$AA17/QCI!$O17)),2)</f>
        <v>0</v>
      </c>
      <c r="S17" s="468">
        <f ca="1">ROUND(IF($C17="Automático",AD17+AK17,$Y17*IF(ISERROR(QCI!$AB17/QCI!$O17),0,QCI!$AB17/QCI!$O17)),2)</f>
        <v>0</v>
      </c>
      <c r="T17" s="468">
        <f ca="1">ROUND(IF($C17="Automático",AF17+AM17,$Z17*IF(ISERROR(QCI!$AA17/QCI!$O17),0,QCI!$AA17/QCI!$O17)),2)</f>
        <v>0</v>
      </c>
      <c r="U17" s="468">
        <f ca="1">ROUND(IF($C17="Automático",AG17+AN17,$Z17*IF(ISERROR(QCI!$AB17/QCI!$O17),0,QCI!$AB17/QCI!$O17)),2)</f>
        <v>0</v>
      </c>
      <c r="V17" s="626">
        <f ca="1">IF(AND($L17&gt;0,$J17&lt;&gt;0,$J17&lt;&gt;"",COUNTIF($J$13:$J17,$J17)=1),OFFSET(V17,-1,0)+1,OFFSET(V17,-1,0))</f>
        <v>0</v>
      </c>
      <c r="X17" s="372"/>
      <c r="Y17" s="373"/>
      <c r="Z17" s="375"/>
      <c r="AC17" s="233">
        <f ca="1">IF(ACOMPANHAMENTO&lt;&gt;"PLE",0,SUMPRODUCT((OFFSET(CÁLCULO!$BV$15:$CN$15,$A17,0,$B17)&lt;=(PLE.Medicao-1))*OFFSET(CÁLCULO!$AJ$15:$BB$15,$A17,0,$B17)*OFFSET(ORÇAMENTO!$AA$15,$A17,0,$B17)/(OFFSET(ORÇAMENTO!$X$15,$A17,0,$B17)+10^-12))+IF(AUTOEVENTO="Manual",SUMPRODUCT((OFFSET(CÁLCULO!$M$15,$A17,0,$B17)=1)*OFFSET(ORÇAMENTO!$AA$15,$A17,0,$B17)*(PLE!$AE$9-PLE!$Y$9)),0))</f>
        <v>0</v>
      </c>
      <c r="AD17" s="233">
        <f ca="1">IF(ACOMPANHAMENTO&lt;&gt;"PLE",0,SUMPRODUCT((OFFSET(CÁLCULO!$BV$15:$CN$15,$A17,0,$B17)&lt;=(PLE.Medicao-1))*OFFSET(CÁLCULO!$AJ$15:$BB$15,$A17,0,$B17)*OFFSET(ORÇAMENTO!$AB$15,$A17,0,$B17)/(OFFSET(ORÇAMENTO!$X$15,$A17,0,$B17)+10^-12))+IF(AUTOEVENTO="Manual",SUMPRODUCT((OFFSET(CÁLCULO!$M$15,$A17,0,$B17)=1)*OFFSET(ORÇAMENTO!$AB$15,$A17,0,$B17)*(PLE!$AE$9-PLE!$Y$9)),0))</f>
        <v>0</v>
      </c>
      <c r="AE17" s="233">
        <f ca="1">ROUND(IF(ACOMPANHAMENTO&lt;&gt;"PLE",0,SUMIF(OFFSET(CÁLCULO!$BV$15:$CN$15,$A17,0,$B17),"&lt;="&amp;(PLE.Medicao-1),OFFSET(CÁLCULO!$AJ$15:$BB$15,$A17,0,$B17))+IF(AUTOEVENTO="Manual",SUMIF(OFFSET(CÁLCULO!$M$15,$A17,0,$B17),1,OFFSET(ORÇAMENTO!$X$15,$A17,0,$B17))*(PLE!$AE$9-PLE!$Y$9),0)),2)</f>
        <v>0</v>
      </c>
      <c r="AF17" s="233">
        <f ca="1">IF(ACOMPANHAMENTO&lt;&gt;"PLE",0,SUMPRODUCT((OFFSET(CÁLCULO!$BV$15:$CN$15,$A17,0,$B17)&lt;=PLE.Medicao)*OFFSET(CÁLCULO!$AJ$15:$BB$15,$A17,0,$B17)*OFFSET(ORÇAMENTO!$AA$15,$A17,0,$B17)/(OFFSET(ORÇAMENTO!$X$15,$A17,0,$B17)+10^-12))+IF(AUTOEVENTO="Manual",SUMPRODUCT((OFFSET(CÁLCULO!$M$15,$A17,0,$B17)=1)*OFFSET(ORÇAMENTO!$AA$15,$A17,0,$B17)*PLE!$AE$9),0))</f>
        <v>0</v>
      </c>
      <c r="AG17" s="233">
        <f ca="1">IF(ACOMPANHAMENTO&lt;&gt;"PLE",0,SUMPRODUCT((OFFSET(CÁLCULO!$BV$15:$CN$15,$A17,0,$B17)&lt;=PLE.Medicao)*OFFSET(CÁLCULO!$AJ$15:$BB$15,$A17,0,$B17)*OFFSET(ORÇAMENTO!$AB$15,$A17,0,$B17)/(OFFSET(ORÇAMENTO!$X$15,$A17,0,$B17)+10^-12))+IF(AUTOEVENTO="Manual",SUMPRODUCT((OFFSET(CÁLCULO!$M$15,$A17,0,$B17)=1)*OFFSET(ORÇAMENTO!$AB$15,$A17,0,$B17)*PLE!$AE$9),0))</f>
        <v>0</v>
      </c>
      <c r="AH17" s="233">
        <f ca="1">ROUND(IF(ACOMPANHAMENTO&lt;&gt;"PLE",0,SUMIF(OFFSET(CÁLCULO!$BV$15:$CN$15,$A17,0,$B17),"&lt;="&amp;PLE.Medicao,OFFSET(CÁLCULO!$AJ$15:$BB$15,$A17,0,$B17))+IF(AUTOEVENTO="Manual",SUMIF(OFFSET(CÁLCULO!$M$15,$A17,0,$B17),1,OFFSET(ORÇAMENTO!$X$15,$A17,0,$B17))*PLE!$AE$9,0)),2)</f>
        <v>0</v>
      </c>
      <c r="AJ17" s="233" t="e">
        <f ca="1">IF(ACOMPANHAMENTO&lt;&gt;"BM",0,SUMPRODUCT(OFFSET(BM!$M$15,$A17,0,$B17)*(OFFSET(BM!$A$15,$A17,0,$B17)="S")*OFFSET(ORÇAMENTO!AA$15,$A17,0,$B17)/(OFFSET(ORÇAMENTO!$X$15,$A17,0,$B17)+10^-12)))</f>
        <v>#N/A</v>
      </c>
      <c r="AK17" s="233" t="e">
        <f ca="1">IF(ACOMPANHAMENTO&lt;&gt;"BM",0,SUMPRODUCT(OFFSET(BM!$M$15,$A17,0,$B17)*(OFFSET(BM!$A$15,$A17,0,$B17)="S")*OFFSET(ORÇAMENTO!AB$15,$A17,0,$B17)/(OFFSET(ORÇAMENTO!$X$15,$A17,0,$B17)+10^-12)))</f>
        <v>#N/A</v>
      </c>
      <c r="AL17" s="233" t="e">
        <f ca="1">IF(ACOMPANHAMENTO&lt;&gt;"BM",0,OFFSET(BM!$M$15,$A17,0))</f>
        <v>#N/A</v>
      </c>
      <c r="AM17" s="233" t="e">
        <f ca="1">IF(ACOMPANHAMENTO&lt;&gt;"BM",0,SUMPRODUCT(OFFSET(BM!$O$15,$A17,0,$B17)*(OFFSET(BM!$A$15,$A17,0,$B17)="S")*OFFSET(ORÇAMENTO!AA$15,$A17,0,$B17)/(OFFSET(ORÇAMENTO!$X$15,$A17,0,$B17)+10^-12)))</f>
        <v>#N/A</v>
      </c>
      <c r="AN17" s="233" t="e">
        <f ca="1">IF(ACOMPANHAMENTO&lt;&gt;"BM",0,SUMPRODUCT(OFFSET(BM!$O$15,$A17,0,$B17)*(OFFSET(BM!$A$15,$A17,0,$B17)="S")*OFFSET(ORÇAMENTO!AB$15,$A17,0,$B17)/(OFFSET(ORÇAMENTO!$X$15,$A17,0,$B17)+10^-12)))</f>
        <v>#N/A</v>
      </c>
      <c r="AO17" s="233" t="e">
        <f ca="1">IF(ACOMPANHAMENTO&lt;&gt;"BM",0,OFFSET(BM!$O$15,$A17,0))</f>
        <v>#N/A</v>
      </c>
    </row>
    <row r="18" spans="1:41" x14ac:dyDescent="0.25">
      <c r="A18" t="e">
        <f ca="1">MATCH(E18,ORÇAMENTO!$E$15:$E$710,0)-1</f>
        <v>#N/A</v>
      </c>
      <c r="B18" t="e">
        <f ca="1">IF(ISERROR($A18),NA(),OFFSET(ORÇAMENTO!$D$15,$A18,0))</f>
        <v>#N/A</v>
      </c>
      <c r="C18" t="str">
        <f ca="1">QCI!B18</f>
        <v>Branco</v>
      </c>
      <c r="D18" t="str">
        <f t="shared" ca="1" si="0"/>
        <v/>
      </c>
      <c r="E18" s="460">
        <f>QCI!D18</f>
        <v>5</v>
      </c>
      <c r="F18" s="461" t="str">
        <f ca="1">QCI!G18</f>
        <v/>
      </c>
      <c r="G18" s="462">
        <f>QCI!H18</f>
        <v>0</v>
      </c>
      <c r="H18" s="463">
        <f>QCI!I18</f>
        <v>0</v>
      </c>
      <c r="I18" s="464" t="str">
        <f ca="1">QCI!J18</f>
        <v/>
      </c>
      <c r="J18" s="465" t="str">
        <f ca="1">QCI!K18</f>
        <v/>
      </c>
      <c r="K18" s="466" t="str">
        <f t="shared" ca="1" si="1"/>
        <v/>
      </c>
      <c r="L18" s="467">
        <f ca="1">QCI!$O18</f>
        <v>0</v>
      </c>
      <c r="M18" s="469">
        <f t="shared" ca="1" si="2"/>
        <v>0</v>
      </c>
      <c r="N18" s="470">
        <f t="shared" ca="1" si="3"/>
        <v>0</v>
      </c>
      <c r="O18" s="471">
        <f t="shared" ca="1" si="4"/>
        <v>0</v>
      </c>
      <c r="P18" s="472">
        <f t="shared" ca="1" si="5"/>
        <v>0</v>
      </c>
      <c r="R18" s="468">
        <f ca="1">ROUND(IF($C18="Automático",AC18+AJ18,$Y18*IF(ISERROR(QCI!$AA18/QCI!$O18),0,QCI!$AA18/QCI!$O18)),2)</f>
        <v>0</v>
      </c>
      <c r="S18" s="468">
        <f ca="1">ROUND(IF($C18="Automático",AD18+AK18,$Y18*IF(ISERROR(QCI!$AB18/QCI!$O18),0,QCI!$AB18/QCI!$O18)),2)</f>
        <v>0</v>
      </c>
      <c r="T18" s="468">
        <f ca="1">ROUND(IF($C18="Automático",AF18+AM18,$Z18*IF(ISERROR(QCI!$AA18/QCI!$O18),0,QCI!$AA18/QCI!$O18)),2)</f>
        <v>0</v>
      </c>
      <c r="U18" s="468">
        <f ca="1">ROUND(IF($C18="Automático",AG18+AN18,$Z18*IF(ISERROR(QCI!$AB18/QCI!$O18),0,QCI!$AB18/QCI!$O18)),2)</f>
        <v>0</v>
      </c>
      <c r="V18" s="626">
        <f ca="1">IF(AND($L18&gt;0,$J18&lt;&gt;0,$J18&lt;&gt;"",COUNTIF($J$13:$J18,$J18)=1),OFFSET(V18,-1,0)+1,OFFSET(V18,-1,0))</f>
        <v>0</v>
      </c>
      <c r="X18" s="372"/>
      <c r="Y18" s="373"/>
      <c r="Z18" s="375"/>
      <c r="AC18" s="233">
        <f ca="1">IF(ACOMPANHAMENTO&lt;&gt;"PLE",0,SUMPRODUCT((OFFSET(CÁLCULO!$BV$15:$CN$15,$A18,0,$B18)&lt;=(PLE.Medicao-1))*OFFSET(CÁLCULO!$AJ$15:$BB$15,$A18,0,$B18)*OFFSET(ORÇAMENTO!$AA$15,$A18,0,$B18)/(OFFSET(ORÇAMENTO!$X$15,$A18,0,$B18)+10^-12))+IF(AUTOEVENTO="Manual",SUMPRODUCT((OFFSET(CÁLCULO!$M$15,$A18,0,$B18)=1)*OFFSET(ORÇAMENTO!$AA$15,$A18,0,$B18)*(PLE!$AE$9-PLE!$Y$9)),0))</f>
        <v>0</v>
      </c>
      <c r="AD18" s="233">
        <f ca="1">IF(ACOMPANHAMENTO&lt;&gt;"PLE",0,SUMPRODUCT((OFFSET(CÁLCULO!$BV$15:$CN$15,$A18,0,$B18)&lt;=(PLE.Medicao-1))*OFFSET(CÁLCULO!$AJ$15:$BB$15,$A18,0,$B18)*OFFSET(ORÇAMENTO!$AB$15,$A18,0,$B18)/(OFFSET(ORÇAMENTO!$X$15,$A18,0,$B18)+10^-12))+IF(AUTOEVENTO="Manual",SUMPRODUCT((OFFSET(CÁLCULO!$M$15,$A18,0,$B18)=1)*OFFSET(ORÇAMENTO!$AB$15,$A18,0,$B18)*(PLE!$AE$9-PLE!$Y$9)),0))</f>
        <v>0</v>
      </c>
      <c r="AE18" s="233">
        <f ca="1">ROUND(IF(ACOMPANHAMENTO&lt;&gt;"PLE",0,SUMIF(OFFSET(CÁLCULO!$BV$15:$CN$15,$A18,0,$B18),"&lt;="&amp;(PLE.Medicao-1),OFFSET(CÁLCULO!$AJ$15:$BB$15,$A18,0,$B18))+IF(AUTOEVENTO="Manual",SUMIF(OFFSET(CÁLCULO!$M$15,$A18,0,$B18),1,OFFSET(ORÇAMENTO!$X$15,$A18,0,$B18))*(PLE!$AE$9-PLE!$Y$9),0)),2)</f>
        <v>0</v>
      </c>
      <c r="AF18" s="233">
        <f ca="1">IF(ACOMPANHAMENTO&lt;&gt;"PLE",0,SUMPRODUCT((OFFSET(CÁLCULO!$BV$15:$CN$15,$A18,0,$B18)&lt;=PLE.Medicao)*OFFSET(CÁLCULO!$AJ$15:$BB$15,$A18,0,$B18)*OFFSET(ORÇAMENTO!$AA$15,$A18,0,$B18)/(OFFSET(ORÇAMENTO!$X$15,$A18,0,$B18)+10^-12))+IF(AUTOEVENTO="Manual",SUMPRODUCT((OFFSET(CÁLCULO!$M$15,$A18,0,$B18)=1)*OFFSET(ORÇAMENTO!$AA$15,$A18,0,$B18)*PLE!$AE$9),0))</f>
        <v>0</v>
      </c>
      <c r="AG18" s="233">
        <f ca="1">IF(ACOMPANHAMENTO&lt;&gt;"PLE",0,SUMPRODUCT((OFFSET(CÁLCULO!$BV$15:$CN$15,$A18,0,$B18)&lt;=PLE.Medicao)*OFFSET(CÁLCULO!$AJ$15:$BB$15,$A18,0,$B18)*OFFSET(ORÇAMENTO!$AB$15,$A18,0,$B18)/(OFFSET(ORÇAMENTO!$X$15,$A18,0,$B18)+10^-12))+IF(AUTOEVENTO="Manual",SUMPRODUCT((OFFSET(CÁLCULO!$M$15,$A18,0,$B18)=1)*OFFSET(ORÇAMENTO!$AB$15,$A18,0,$B18)*PLE!$AE$9),0))</f>
        <v>0</v>
      </c>
      <c r="AH18" s="233">
        <f ca="1">ROUND(IF(ACOMPANHAMENTO&lt;&gt;"PLE",0,SUMIF(OFFSET(CÁLCULO!$BV$15:$CN$15,$A18,0,$B18),"&lt;="&amp;PLE.Medicao,OFFSET(CÁLCULO!$AJ$15:$BB$15,$A18,0,$B18))+IF(AUTOEVENTO="Manual",SUMIF(OFFSET(CÁLCULO!$M$15,$A18,0,$B18),1,OFFSET(ORÇAMENTO!$X$15,$A18,0,$B18))*PLE!$AE$9,0)),2)</f>
        <v>0</v>
      </c>
      <c r="AJ18" s="233" t="e">
        <f ca="1">IF(ACOMPANHAMENTO&lt;&gt;"BM",0,SUMPRODUCT(OFFSET(BM!$M$15,$A18,0,$B18)*(OFFSET(BM!$A$15,$A18,0,$B18)="S")*OFFSET(ORÇAMENTO!AA$15,$A18,0,$B18)/(OFFSET(ORÇAMENTO!$X$15,$A18,0,$B18)+10^-12)))</f>
        <v>#N/A</v>
      </c>
      <c r="AK18" s="233" t="e">
        <f ca="1">IF(ACOMPANHAMENTO&lt;&gt;"BM",0,SUMPRODUCT(OFFSET(BM!$M$15,$A18,0,$B18)*(OFFSET(BM!$A$15,$A18,0,$B18)="S")*OFFSET(ORÇAMENTO!AB$15,$A18,0,$B18)/(OFFSET(ORÇAMENTO!$X$15,$A18,0,$B18)+10^-12)))</f>
        <v>#N/A</v>
      </c>
      <c r="AL18" s="233" t="e">
        <f ca="1">IF(ACOMPANHAMENTO&lt;&gt;"BM",0,OFFSET(BM!$M$15,$A18,0))</f>
        <v>#N/A</v>
      </c>
      <c r="AM18" s="233" t="e">
        <f ca="1">IF(ACOMPANHAMENTO&lt;&gt;"BM",0,SUMPRODUCT(OFFSET(BM!$O$15,$A18,0,$B18)*(OFFSET(BM!$A$15,$A18,0,$B18)="S")*OFFSET(ORÇAMENTO!AA$15,$A18,0,$B18)/(OFFSET(ORÇAMENTO!$X$15,$A18,0,$B18)+10^-12)))</f>
        <v>#N/A</v>
      </c>
      <c r="AN18" s="233" t="e">
        <f ca="1">IF(ACOMPANHAMENTO&lt;&gt;"BM",0,SUMPRODUCT(OFFSET(BM!$O$15,$A18,0,$B18)*(OFFSET(BM!$A$15,$A18,0,$B18)="S")*OFFSET(ORÇAMENTO!AB$15,$A18,0,$B18)/(OFFSET(ORÇAMENTO!$X$15,$A18,0,$B18)+10^-12)))</f>
        <v>#N/A</v>
      </c>
      <c r="AO18" s="233" t="e">
        <f ca="1">IF(ACOMPANHAMENTO&lt;&gt;"BM",0,OFFSET(BM!$O$15,$A18,0))</f>
        <v>#N/A</v>
      </c>
    </row>
    <row r="19" spans="1:41" x14ac:dyDescent="0.25">
      <c r="A19" t="e">
        <f ca="1">MATCH(E19,ORÇAMENTO!$E$15:$E$710,0)-1</f>
        <v>#N/A</v>
      </c>
      <c r="B19" t="e">
        <f ca="1">IF(ISERROR($A19),NA(),OFFSET(ORÇAMENTO!$D$15,$A19,0))</f>
        <v>#N/A</v>
      </c>
      <c r="C19" t="str">
        <f ca="1">QCI!B19</f>
        <v>Branco</v>
      </c>
      <c r="D19" t="str">
        <f t="shared" ca="1" si="0"/>
        <v/>
      </c>
      <c r="E19" s="460">
        <f>QCI!D19</f>
        <v>6</v>
      </c>
      <c r="F19" s="461" t="str">
        <f ca="1">QCI!G19</f>
        <v/>
      </c>
      <c r="G19" s="462">
        <f>QCI!H19</f>
        <v>0</v>
      </c>
      <c r="H19" s="463">
        <f>QCI!I19</f>
        <v>0</v>
      </c>
      <c r="I19" s="464" t="str">
        <f ca="1">QCI!J19</f>
        <v/>
      </c>
      <c r="J19" s="465" t="str">
        <f ca="1">QCI!K19</f>
        <v/>
      </c>
      <c r="K19" s="466" t="str">
        <f t="shared" ca="1" si="1"/>
        <v/>
      </c>
      <c r="L19" s="467">
        <f ca="1">QCI!$O19</f>
        <v>0</v>
      </c>
      <c r="M19" s="469">
        <f t="shared" ca="1" si="2"/>
        <v>0</v>
      </c>
      <c r="N19" s="470">
        <f t="shared" ca="1" si="3"/>
        <v>0</v>
      </c>
      <c r="O19" s="471">
        <f t="shared" ca="1" si="4"/>
        <v>0</v>
      </c>
      <c r="P19" s="472">
        <f t="shared" ca="1" si="5"/>
        <v>0</v>
      </c>
      <c r="R19" s="468">
        <f ca="1">ROUND(IF($C19="Automático",AC19+AJ19,$Y19*IF(ISERROR(QCI!$AA19/QCI!$O19),0,QCI!$AA19/QCI!$O19)),2)</f>
        <v>0</v>
      </c>
      <c r="S19" s="468">
        <f ca="1">ROUND(IF($C19="Automático",AD19+AK19,$Y19*IF(ISERROR(QCI!$AB19/QCI!$O19),0,QCI!$AB19/QCI!$O19)),2)</f>
        <v>0</v>
      </c>
      <c r="T19" s="468">
        <f ca="1">ROUND(IF($C19="Automático",AF19+AM19,$Z19*IF(ISERROR(QCI!$AA19/QCI!$O19),0,QCI!$AA19/QCI!$O19)),2)</f>
        <v>0</v>
      </c>
      <c r="U19" s="468">
        <f ca="1">ROUND(IF($C19="Automático",AG19+AN19,$Z19*IF(ISERROR(QCI!$AB19/QCI!$O19),0,QCI!$AB19/QCI!$O19)),2)</f>
        <v>0</v>
      </c>
      <c r="V19" s="626">
        <f ca="1">IF(AND($L19&gt;0,$J19&lt;&gt;0,$J19&lt;&gt;"",COUNTIF($J$13:$J19,$J19)=1),OFFSET(V19,-1,0)+1,OFFSET(V19,-1,0))</f>
        <v>0</v>
      </c>
      <c r="X19" s="372"/>
      <c r="Y19" s="373"/>
      <c r="Z19" s="375"/>
      <c r="AC19" s="233">
        <f ca="1">IF(ACOMPANHAMENTO&lt;&gt;"PLE",0,SUMPRODUCT((OFFSET(CÁLCULO!$BV$15:$CN$15,$A19,0,$B19)&lt;=(PLE.Medicao-1))*OFFSET(CÁLCULO!$AJ$15:$BB$15,$A19,0,$B19)*OFFSET(ORÇAMENTO!$AA$15,$A19,0,$B19)/(OFFSET(ORÇAMENTO!$X$15,$A19,0,$B19)+10^-12))+IF(AUTOEVENTO="Manual",SUMPRODUCT((OFFSET(CÁLCULO!$M$15,$A19,0,$B19)=1)*OFFSET(ORÇAMENTO!$AA$15,$A19,0,$B19)*(PLE!$AE$9-PLE!$Y$9)),0))</f>
        <v>0</v>
      </c>
      <c r="AD19" s="233">
        <f ca="1">IF(ACOMPANHAMENTO&lt;&gt;"PLE",0,SUMPRODUCT((OFFSET(CÁLCULO!$BV$15:$CN$15,$A19,0,$B19)&lt;=(PLE.Medicao-1))*OFFSET(CÁLCULO!$AJ$15:$BB$15,$A19,0,$B19)*OFFSET(ORÇAMENTO!$AB$15,$A19,0,$B19)/(OFFSET(ORÇAMENTO!$X$15,$A19,0,$B19)+10^-12))+IF(AUTOEVENTO="Manual",SUMPRODUCT((OFFSET(CÁLCULO!$M$15,$A19,0,$B19)=1)*OFFSET(ORÇAMENTO!$AB$15,$A19,0,$B19)*(PLE!$AE$9-PLE!$Y$9)),0))</f>
        <v>0</v>
      </c>
      <c r="AE19" s="233">
        <f ca="1">ROUND(IF(ACOMPANHAMENTO&lt;&gt;"PLE",0,SUMIF(OFFSET(CÁLCULO!$BV$15:$CN$15,$A19,0,$B19),"&lt;="&amp;(PLE.Medicao-1),OFFSET(CÁLCULO!$AJ$15:$BB$15,$A19,0,$B19))+IF(AUTOEVENTO="Manual",SUMIF(OFFSET(CÁLCULO!$M$15,$A19,0,$B19),1,OFFSET(ORÇAMENTO!$X$15,$A19,0,$B19))*(PLE!$AE$9-PLE!$Y$9),0)),2)</f>
        <v>0</v>
      </c>
      <c r="AF19" s="233">
        <f ca="1">IF(ACOMPANHAMENTO&lt;&gt;"PLE",0,SUMPRODUCT((OFFSET(CÁLCULO!$BV$15:$CN$15,$A19,0,$B19)&lt;=PLE.Medicao)*OFFSET(CÁLCULO!$AJ$15:$BB$15,$A19,0,$B19)*OFFSET(ORÇAMENTO!$AA$15,$A19,0,$B19)/(OFFSET(ORÇAMENTO!$X$15,$A19,0,$B19)+10^-12))+IF(AUTOEVENTO="Manual",SUMPRODUCT((OFFSET(CÁLCULO!$M$15,$A19,0,$B19)=1)*OFFSET(ORÇAMENTO!$AA$15,$A19,0,$B19)*PLE!$AE$9),0))</f>
        <v>0</v>
      </c>
      <c r="AG19" s="233">
        <f ca="1">IF(ACOMPANHAMENTO&lt;&gt;"PLE",0,SUMPRODUCT((OFFSET(CÁLCULO!$BV$15:$CN$15,$A19,0,$B19)&lt;=PLE.Medicao)*OFFSET(CÁLCULO!$AJ$15:$BB$15,$A19,0,$B19)*OFFSET(ORÇAMENTO!$AB$15,$A19,0,$B19)/(OFFSET(ORÇAMENTO!$X$15,$A19,0,$B19)+10^-12))+IF(AUTOEVENTO="Manual",SUMPRODUCT((OFFSET(CÁLCULO!$M$15,$A19,0,$B19)=1)*OFFSET(ORÇAMENTO!$AB$15,$A19,0,$B19)*PLE!$AE$9),0))</f>
        <v>0</v>
      </c>
      <c r="AH19" s="233">
        <f ca="1">ROUND(IF(ACOMPANHAMENTO&lt;&gt;"PLE",0,SUMIF(OFFSET(CÁLCULO!$BV$15:$CN$15,$A19,0,$B19),"&lt;="&amp;PLE.Medicao,OFFSET(CÁLCULO!$AJ$15:$BB$15,$A19,0,$B19))+IF(AUTOEVENTO="Manual",SUMIF(OFFSET(CÁLCULO!$M$15,$A19,0,$B19),1,OFFSET(ORÇAMENTO!$X$15,$A19,0,$B19))*PLE!$AE$9,0)),2)</f>
        <v>0</v>
      </c>
      <c r="AJ19" s="233" t="e">
        <f ca="1">IF(ACOMPANHAMENTO&lt;&gt;"BM",0,SUMPRODUCT(OFFSET(BM!$M$15,$A19,0,$B19)*(OFFSET(BM!$A$15,$A19,0,$B19)="S")*OFFSET(ORÇAMENTO!AA$15,$A19,0,$B19)/(OFFSET(ORÇAMENTO!$X$15,$A19,0,$B19)+10^-12)))</f>
        <v>#N/A</v>
      </c>
      <c r="AK19" s="233" t="e">
        <f ca="1">IF(ACOMPANHAMENTO&lt;&gt;"BM",0,SUMPRODUCT(OFFSET(BM!$M$15,$A19,0,$B19)*(OFFSET(BM!$A$15,$A19,0,$B19)="S")*OFFSET(ORÇAMENTO!AB$15,$A19,0,$B19)/(OFFSET(ORÇAMENTO!$X$15,$A19,0,$B19)+10^-12)))</f>
        <v>#N/A</v>
      </c>
      <c r="AL19" s="233" t="e">
        <f ca="1">IF(ACOMPANHAMENTO&lt;&gt;"BM",0,OFFSET(BM!$M$15,$A19,0))</f>
        <v>#N/A</v>
      </c>
      <c r="AM19" s="233" t="e">
        <f ca="1">IF(ACOMPANHAMENTO&lt;&gt;"BM",0,SUMPRODUCT(OFFSET(BM!$O$15,$A19,0,$B19)*(OFFSET(BM!$A$15,$A19,0,$B19)="S")*OFFSET(ORÇAMENTO!AA$15,$A19,0,$B19)/(OFFSET(ORÇAMENTO!$X$15,$A19,0,$B19)+10^-12)))</f>
        <v>#N/A</v>
      </c>
      <c r="AN19" s="233" t="e">
        <f ca="1">IF(ACOMPANHAMENTO&lt;&gt;"BM",0,SUMPRODUCT(OFFSET(BM!$O$15,$A19,0,$B19)*(OFFSET(BM!$A$15,$A19,0,$B19)="S")*OFFSET(ORÇAMENTO!AB$15,$A19,0,$B19)/(OFFSET(ORÇAMENTO!$X$15,$A19,0,$B19)+10^-12)))</f>
        <v>#N/A</v>
      </c>
      <c r="AO19" s="233" t="e">
        <f ca="1">IF(ACOMPANHAMENTO&lt;&gt;"BM",0,OFFSET(BM!$O$15,$A19,0))</f>
        <v>#N/A</v>
      </c>
    </row>
    <row r="20" spans="1:41" x14ac:dyDescent="0.25">
      <c r="A20" t="e">
        <f ca="1">MATCH(E20,ORÇAMENTO!$E$15:$E$710,0)-1</f>
        <v>#N/A</v>
      </c>
      <c r="B20" t="e">
        <f ca="1">IF(ISERROR($A20),NA(),OFFSET(ORÇAMENTO!$D$15,$A20,0))</f>
        <v>#N/A</v>
      </c>
      <c r="C20" t="str">
        <f ca="1">QCI!B20</f>
        <v>Branco</v>
      </c>
      <c r="D20" t="str">
        <f t="shared" ca="1" si="0"/>
        <v/>
      </c>
      <c r="E20" s="460">
        <f>QCI!D20</f>
        <v>7</v>
      </c>
      <c r="F20" s="461" t="str">
        <f ca="1">QCI!G20</f>
        <v/>
      </c>
      <c r="G20" s="462">
        <f>QCI!H20</f>
        <v>0</v>
      </c>
      <c r="H20" s="463">
        <f>QCI!I20</f>
        <v>0</v>
      </c>
      <c r="I20" s="464" t="str">
        <f ca="1">QCI!J20</f>
        <v/>
      </c>
      <c r="J20" s="465" t="str">
        <f ca="1">QCI!K20</f>
        <v/>
      </c>
      <c r="K20" s="466" t="str">
        <f t="shared" ca="1" si="1"/>
        <v/>
      </c>
      <c r="L20" s="467">
        <f ca="1">QCI!$O20</f>
        <v>0</v>
      </c>
      <c r="M20" s="469">
        <f t="shared" ca="1" si="2"/>
        <v>0</v>
      </c>
      <c r="N20" s="470">
        <f t="shared" ca="1" si="3"/>
        <v>0</v>
      </c>
      <c r="O20" s="471">
        <f t="shared" ca="1" si="4"/>
        <v>0</v>
      </c>
      <c r="P20" s="472">
        <f t="shared" ca="1" si="5"/>
        <v>0</v>
      </c>
      <c r="R20" s="468">
        <f ca="1">ROUND(IF($C20="Automático",AC20+AJ20,$Y20*IF(ISERROR(QCI!$AA20/QCI!$O20),0,QCI!$AA20/QCI!$O20)),2)</f>
        <v>0</v>
      </c>
      <c r="S20" s="468">
        <f ca="1">ROUND(IF($C20="Automático",AD20+AK20,$Y20*IF(ISERROR(QCI!$AB20/QCI!$O20),0,QCI!$AB20/QCI!$O20)),2)</f>
        <v>0</v>
      </c>
      <c r="T20" s="468">
        <f ca="1">ROUND(IF($C20="Automático",AF20+AM20,$Z20*IF(ISERROR(QCI!$AA20/QCI!$O20),0,QCI!$AA20/QCI!$O20)),2)</f>
        <v>0</v>
      </c>
      <c r="U20" s="468">
        <f ca="1">ROUND(IF($C20="Automático",AG20+AN20,$Z20*IF(ISERROR(QCI!$AB20/QCI!$O20),0,QCI!$AB20/QCI!$O20)),2)</f>
        <v>0</v>
      </c>
      <c r="V20" s="626">
        <f ca="1">IF(AND($L20&gt;0,$J20&lt;&gt;0,$J20&lt;&gt;"",COUNTIF($J$13:$J20,$J20)=1),OFFSET(V20,-1,0)+1,OFFSET(V20,-1,0))</f>
        <v>0</v>
      </c>
      <c r="X20" s="372"/>
      <c r="Y20" s="373"/>
      <c r="Z20" s="375"/>
      <c r="AC20" s="233">
        <f ca="1">IF(ACOMPANHAMENTO&lt;&gt;"PLE",0,SUMPRODUCT((OFFSET(CÁLCULO!$BV$15:$CN$15,$A20,0,$B20)&lt;=(PLE.Medicao-1))*OFFSET(CÁLCULO!$AJ$15:$BB$15,$A20,0,$B20)*OFFSET(ORÇAMENTO!$AA$15,$A20,0,$B20)/(OFFSET(ORÇAMENTO!$X$15,$A20,0,$B20)+10^-12))+IF(AUTOEVENTO="Manual",SUMPRODUCT((OFFSET(CÁLCULO!$M$15,$A20,0,$B20)=1)*OFFSET(ORÇAMENTO!$AA$15,$A20,0,$B20)*(PLE!$AE$9-PLE!$Y$9)),0))</f>
        <v>0</v>
      </c>
      <c r="AD20" s="233">
        <f ca="1">IF(ACOMPANHAMENTO&lt;&gt;"PLE",0,SUMPRODUCT((OFFSET(CÁLCULO!$BV$15:$CN$15,$A20,0,$B20)&lt;=(PLE.Medicao-1))*OFFSET(CÁLCULO!$AJ$15:$BB$15,$A20,0,$B20)*OFFSET(ORÇAMENTO!$AB$15,$A20,0,$B20)/(OFFSET(ORÇAMENTO!$X$15,$A20,0,$B20)+10^-12))+IF(AUTOEVENTO="Manual",SUMPRODUCT((OFFSET(CÁLCULO!$M$15,$A20,0,$B20)=1)*OFFSET(ORÇAMENTO!$AB$15,$A20,0,$B20)*(PLE!$AE$9-PLE!$Y$9)),0))</f>
        <v>0</v>
      </c>
      <c r="AE20" s="233">
        <f ca="1">ROUND(IF(ACOMPANHAMENTO&lt;&gt;"PLE",0,SUMIF(OFFSET(CÁLCULO!$BV$15:$CN$15,$A20,0,$B20),"&lt;="&amp;(PLE.Medicao-1),OFFSET(CÁLCULO!$AJ$15:$BB$15,$A20,0,$B20))+IF(AUTOEVENTO="Manual",SUMIF(OFFSET(CÁLCULO!$M$15,$A20,0,$B20),1,OFFSET(ORÇAMENTO!$X$15,$A20,0,$B20))*(PLE!$AE$9-PLE!$Y$9),0)),2)</f>
        <v>0</v>
      </c>
      <c r="AF20" s="233">
        <f ca="1">IF(ACOMPANHAMENTO&lt;&gt;"PLE",0,SUMPRODUCT((OFFSET(CÁLCULO!$BV$15:$CN$15,$A20,0,$B20)&lt;=PLE.Medicao)*OFFSET(CÁLCULO!$AJ$15:$BB$15,$A20,0,$B20)*OFFSET(ORÇAMENTO!$AA$15,$A20,0,$B20)/(OFFSET(ORÇAMENTO!$X$15,$A20,0,$B20)+10^-12))+IF(AUTOEVENTO="Manual",SUMPRODUCT((OFFSET(CÁLCULO!$M$15,$A20,0,$B20)=1)*OFFSET(ORÇAMENTO!$AA$15,$A20,0,$B20)*PLE!$AE$9),0))</f>
        <v>0</v>
      </c>
      <c r="AG20" s="233">
        <f ca="1">IF(ACOMPANHAMENTO&lt;&gt;"PLE",0,SUMPRODUCT((OFFSET(CÁLCULO!$BV$15:$CN$15,$A20,0,$B20)&lt;=PLE.Medicao)*OFFSET(CÁLCULO!$AJ$15:$BB$15,$A20,0,$B20)*OFFSET(ORÇAMENTO!$AB$15,$A20,0,$B20)/(OFFSET(ORÇAMENTO!$X$15,$A20,0,$B20)+10^-12))+IF(AUTOEVENTO="Manual",SUMPRODUCT((OFFSET(CÁLCULO!$M$15,$A20,0,$B20)=1)*OFFSET(ORÇAMENTO!$AB$15,$A20,0,$B20)*PLE!$AE$9),0))</f>
        <v>0</v>
      </c>
      <c r="AH20" s="233">
        <f ca="1">ROUND(IF(ACOMPANHAMENTO&lt;&gt;"PLE",0,SUMIF(OFFSET(CÁLCULO!$BV$15:$CN$15,$A20,0,$B20),"&lt;="&amp;PLE.Medicao,OFFSET(CÁLCULO!$AJ$15:$BB$15,$A20,0,$B20))+IF(AUTOEVENTO="Manual",SUMIF(OFFSET(CÁLCULO!$M$15,$A20,0,$B20),1,OFFSET(ORÇAMENTO!$X$15,$A20,0,$B20))*PLE!$AE$9,0)),2)</f>
        <v>0</v>
      </c>
      <c r="AJ20" s="233" t="e">
        <f ca="1">IF(ACOMPANHAMENTO&lt;&gt;"BM",0,SUMPRODUCT(OFFSET(BM!$M$15,$A20,0,$B20)*(OFFSET(BM!$A$15,$A20,0,$B20)="S")*OFFSET(ORÇAMENTO!AA$15,$A20,0,$B20)/(OFFSET(ORÇAMENTO!$X$15,$A20,0,$B20)+10^-12)))</f>
        <v>#N/A</v>
      </c>
      <c r="AK20" s="233" t="e">
        <f ca="1">IF(ACOMPANHAMENTO&lt;&gt;"BM",0,SUMPRODUCT(OFFSET(BM!$M$15,$A20,0,$B20)*(OFFSET(BM!$A$15,$A20,0,$B20)="S")*OFFSET(ORÇAMENTO!AB$15,$A20,0,$B20)/(OFFSET(ORÇAMENTO!$X$15,$A20,0,$B20)+10^-12)))</f>
        <v>#N/A</v>
      </c>
      <c r="AL20" s="233" t="e">
        <f ca="1">IF(ACOMPANHAMENTO&lt;&gt;"BM",0,OFFSET(BM!$M$15,$A20,0))</f>
        <v>#N/A</v>
      </c>
      <c r="AM20" s="233" t="e">
        <f ca="1">IF(ACOMPANHAMENTO&lt;&gt;"BM",0,SUMPRODUCT(OFFSET(BM!$O$15,$A20,0,$B20)*(OFFSET(BM!$A$15,$A20,0,$B20)="S")*OFFSET(ORÇAMENTO!AA$15,$A20,0,$B20)/(OFFSET(ORÇAMENTO!$X$15,$A20,0,$B20)+10^-12)))</f>
        <v>#N/A</v>
      </c>
      <c r="AN20" s="233" t="e">
        <f ca="1">IF(ACOMPANHAMENTO&lt;&gt;"BM",0,SUMPRODUCT(OFFSET(BM!$O$15,$A20,0,$B20)*(OFFSET(BM!$A$15,$A20,0,$B20)="S")*OFFSET(ORÇAMENTO!AB$15,$A20,0,$B20)/(OFFSET(ORÇAMENTO!$X$15,$A20,0,$B20)+10^-12)))</f>
        <v>#N/A</v>
      </c>
      <c r="AO20" s="233" t="e">
        <f ca="1">IF(ACOMPANHAMENTO&lt;&gt;"BM",0,OFFSET(BM!$O$15,$A20,0))</f>
        <v>#N/A</v>
      </c>
    </row>
    <row r="21" spans="1:41" x14ac:dyDescent="0.25">
      <c r="A21" t="e">
        <f ca="1">MATCH(E21,ORÇAMENTO!$E$15:$E$710,0)-1</f>
        <v>#N/A</v>
      </c>
      <c r="B21" t="e">
        <f ca="1">IF(ISERROR($A21),NA(),OFFSET(ORÇAMENTO!$D$15,$A21,0))</f>
        <v>#N/A</v>
      </c>
      <c r="C21" t="str">
        <f ca="1">QCI!B21</f>
        <v>Branco</v>
      </c>
      <c r="D21" t="str">
        <f t="shared" ca="1" si="0"/>
        <v/>
      </c>
      <c r="E21" s="460">
        <f>QCI!D21</f>
        <v>8</v>
      </c>
      <c r="F21" s="461" t="str">
        <f ca="1">QCI!G21</f>
        <v/>
      </c>
      <c r="G21" s="462">
        <f>QCI!H21</f>
        <v>0</v>
      </c>
      <c r="H21" s="463">
        <f>QCI!I21</f>
        <v>0</v>
      </c>
      <c r="I21" s="464" t="str">
        <f ca="1">QCI!J21</f>
        <v/>
      </c>
      <c r="J21" s="465" t="str">
        <f ca="1">QCI!K21</f>
        <v/>
      </c>
      <c r="K21" s="466" t="str">
        <f t="shared" ca="1" si="1"/>
        <v/>
      </c>
      <c r="L21" s="467">
        <f ca="1">QCI!$O21</f>
        <v>0</v>
      </c>
      <c r="M21" s="469">
        <f t="shared" ca="1" si="2"/>
        <v>0</v>
      </c>
      <c r="N21" s="470">
        <f t="shared" ca="1" si="3"/>
        <v>0</v>
      </c>
      <c r="O21" s="471">
        <f t="shared" ca="1" si="4"/>
        <v>0</v>
      </c>
      <c r="P21" s="472">
        <f t="shared" ca="1" si="5"/>
        <v>0</v>
      </c>
      <c r="R21" s="468">
        <f ca="1">ROUND(IF($C21="Automático",AC21+AJ21,$Y21*IF(ISERROR(QCI!$AA21/QCI!$O21),0,QCI!$AA21/QCI!$O21)),2)</f>
        <v>0</v>
      </c>
      <c r="S21" s="468">
        <f ca="1">ROUND(IF($C21="Automático",AD21+AK21,$Y21*IF(ISERROR(QCI!$AB21/QCI!$O21),0,QCI!$AB21/QCI!$O21)),2)</f>
        <v>0</v>
      </c>
      <c r="T21" s="468">
        <f ca="1">ROUND(IF($C21="Automático",AF21+AM21,$Z21*IF(ISERROR(QCI!$AA21/QCI!$O21),0,QCI!$AA21/QCI!$O21)),2)</f>
        <v>0</v>
      </c>
      <c r="U21" s="468">
        <f ca="1">ROUND(IF($C21="Automático",AG21+AN21,$Z21*IF(ISERROR(QCI!$AB21/QCI!$O21),0,QCI!$AB21/QCI!$O21)),2)</f>
        <v>0</v>
      </c>
      <c r="V21" s="626">
        <f ca="1">IF(AND($L21&gt;0,$J21&lt;&gt;0,$J21&lt;&gt;"",COUNTIF($J$13:$J21,$J21)=1),OFFSET(V21,-1,0)+1,OFFSET(V21,-1,0))</f>
        <v>0</v>
      </c>
      <c r="X21" s="372"/>
      <c r="Y21" s="373"/>
      <c r="Z21" s="375"/>
      <c r="AC21" s="233">
        <f ca="1">IF(ACOMPANHAMENTO&lt;&gt;"PLE",0,SUMPRODUCT((OFFSET(CÁLCULO!$BV$15:$CN$15,$A21,0,$B21)&lt;=(PLE.Medicao-1))*OFFSET(CÁLCULO!$AJ$15:$BB$15,$A21,0,$B21)*OFFSET(ORÇAMENTO!$AA$15,$A21,0,$B21)/(OFFSET(ORÇAMENTO!$X$15,$A21,0,$B21)+10^-12))+IF(AUTOEVENTO="Manual",SUMPRODUCT((OFFSET(CÁLCULO!$M$15,$A21,0,$B21)=1)*OFFSET(ORÇAMENTO!$AA$15,$A21,0,$B21)*(PLE!$AE$9-PLE!$Y$9)),0))</f>
        <v>0</v>
      </c>
      <c r="AD21" s="233">
        <f ca="1">IF(ACOMPANHAMENTO&lt;&gt;"PLE",0,SUMPRODUCT((OFFSET(CÁLCULO!$BV$15:$CN$15,$A21,0,$B21)&lt;=(PLE.Medicao-1))*OFFSET(CÁLCULO!$AJ$15:$BB$15,$A21,0,$B21)*OFFSET(ORÇAMENTO!$AB$15,$A21,0,$B21)/(OFFSET(ORÇAMENTO!$X$15,$A21,0,$B21)+10^-12))+IF(AUTOEVENTO="Manual",SUMPRODUCT((OFFSET(CÁLCULO!$M$15,$A21,0,$B21)=1)*OFFSET(ORÇAMENTO!$AB$15,$A21,0,$B21)*(PLE!$AE$9-PLE!$Y$9)),0))</f>
        <v>0</v>
      </c>
      <c r="AE21" s="233">
        <f ca="1">ROUND(IF(ACOMPANHAMENTO&lt;&gt;"PLE",0,SUMIF(OFFSET(CÁLCULO!$BV$15:$CN$15,$A21,0,$B21),"&lt;="&amp;(PLE.Medicao-1),OFFSET(CÁLCULO!$AJ$15:$BB$15,$A21,0,$B21))+IF(AUTOEVENTO="Manual",SUMIF(OFFSET(CÁLCULO!$M$15,$A21,0,$B21),1,OFFSET(ORÇAMENTO!$X$15,$A21,0,$B21))*(PLE!$AE$9-PLE!$Y$9),0)),2)</f>
        <v>0</v>
      </c>
      <c r="AF21" s="233">
        <f ca="1">IF(ACOMPANHAMENTO&lt;&gt;"PLE",0,SUMPRODUCT((OFFSET(CÁLCULO!$BV$15:$CN$15,$A21,0,$B21)&lt;=PLE.Medicao)*OFFSET(CÁLCULO!$AJ$15:$BB$15,$A21,0,$B21)*OFFSET(ORÇAMENTO!$AA$15,$A21,0,$B21)/(OFFSET(ORÇAMENTO!$X$15,$A21,0,$B21)+10^-12))+IF(AUTOEVENTO="Manual",SUMPRODUCT((OFFSET(CÁLCULO!$M$15,$A21,0,$B21)=1)*OFFSET(ORÇAMENTO!$AA$15,$A21,0,$B21)*PLE!$AE$9),0))</f>
        <v>0</v>
      </c>
      <c r="AG21" s="233">
        <f ca="1">IF(ACOMPANHAMENTO&lt;&gt;"PLE",0,SUMPRODUCT((OFFSET(CÁLCULO!$BV$15:$CN$15,$A21,0,$B21)&lt;=PLE.Medicao)*OFFSET(CÁLCULO!$AJ$15:$BB$15,$A21,0,$B21)*OFFSET(ORÇAMENTO!$AB$15,$A21,0,$B21)/(OFFSET(ORÇAMENTO!$X$15,$A21,0,$B21)+10^-12))+IF(AUTOEVENTO="Manual",SUMPRODUCT((OFFSET(CÁLCULO!$M$15,$A21,0,$B21)=1)*OFFSET(ORÇAMENTO!$AB$15,$A21,0,$B21)*PLE!$AE$9),0))</f>
        <v>0</v>
      </c>
      <c r="AH21" s="233">
        <f ca="1">ROUND(IF(ACOMPANHAMENTO&lt;&gt;"PLE",0,SUMIF(OFFSET(CÁLCULO!$BV$15:$CN$15,$A21,0,$B21),"&lt;="&amp;PLE.Medicao,OFFSET(CÁLCULO!$AJ$15:$BB$15,$A21,0,$B21))+IF(AUTOEVENTO="Manual",SUMIF(OFFSET(CÁLCULO!$M$15,$A21,0,$B21),1,OFFSET(ORÇAMENTO!$X$15,$A21,0,$B21))*PLE!$AE$9,0)),2)</f>
        <v>0</v>
      </c>
      <c r="AJ21" s="233" t="e">
        <f ca="1">IF(ACOMPANHAMENTO&lt;&gt;"BM",0,SUMPRODUCT(OFFSET(BM!$M$15,$A21,0,$B21)*(OFFSET(BM!$A$15,$A21,0,$B21)="S")*OFFSET(ORÇAMENTO!AA$15,$A21,0,$B21)/(OFFSET(ORÇAMENTO!$X$15,$A21,0,$B21)+10^-12)))</f>
        <v>#N/A</v>
      </c>
      <c r="AK21" s="233" t="e">
        <f ca="1">IF(ACOMPANHAMENTO&lt;&gt;"BM",0,SUMPRODUCT(OFFSET(BM!$M$15,$A21,0,$B21)*(OFFSET(BM!$A$15,$A21,0,$B21)="S")*OFFSET(ORÇAMENTO!AB$15,$A21,0,$B21)/(OFFSET(ORÇAMENTO!$X$15,$A21,0,$B21)+10^-12)))</f>
        <v>#N/A</v>
      </c>
      <c r="AL21" s="233" t="e">
        <f ca="1">IF(ACOMPANHAMENTO&lt;&gt;"BM",0,OFFSET(BM!$M$15,$A21,0))</f>
        <v>#N/A</v>
      </c>
      <c r="AM21" s="233" t="e">
        <f ca="1">IF(ACOMPANHAMENTO&lt;&gt;"BM",0,SUMPRODUCT(OFFSET(BM!$O$15,$A21,0,$B21)*(OFFSET(BM!$A$15,$A21,0,$B21)="S")*OFFSET(ORÇAMENTO!AA$15,$A21,0,$B21)/(OFFSET(ORÇAMENTO!$X$15,$A21,0,$B21)+10^-12)))</f>
        <v>#N/A</v>
      </c>
      <c r="AN21" s="233" t="e">
        <f ca="1">IF(ACOMPANHAMENTO&lt;&gt;"BM",0,SUMPRODUCT(OFFSET(BM!$O$15,$A21,0,$B21)*(OFFSET(BM!$A$15,$A21,0,$B21)="S")*OFFSET(ORÇAMENTO!AB$15,$A21,0,$B21)/(OFFSET(ORÇAMENTO!$X$15,$A21,0,$B21)+10^-12)))</f>
        <v>#N/A</v>
      </c>
      <c r="AO21" s="233" t="e">
        <f ca="1">IF(ACOMPANHAMENTO&lt;&gt;"BM",0,OFFSET(BM!$O$15,$A21,0))</f>
        <v>#N/A</v>
      </c>
    </row>
    <row r="22" spans="1:41" x14ac:dyDescent="0.25">
      <c r="A22" t="e">
        <f ca="1">MATCH(E22,ORÇAMENTO!$E$15:$E$710,0)-1</f>
        <v>#N/A</v>
      </c>
      <c r="B22" t="e">
        <f ca="1">IF(ISERROR($A22),NA(),OFFSET(ORÇAMENTO!$D$15,$A22,0))</f>
        <v>#N/A</v>
      </c>
      <c r="C22" t="str">
        <f ca="1">QCI!B22</f>
        <v>Branco</v>
      </c>
      <c r="D22" t="str">
        <f t="shared" ca="1" si="0"/>
        <v/>
      </c>
      <c r="E22" s="460">
        <f>QCI!D22</f>
        <v>9</v>
      </c>
      <c r="F22" s="461" t="str">
        <f ca="1">QCI!G22</f>
        <v/>
      </c>
      <c r="G22" s="462">
        <f>QCI!H22</f>
        <v>0</v>
      </c>
      <c r="H22" s="463">
        <f>QCI!I22</f>
        <v>0</v>
      </c>
      <c r="I22" s="464" t="str">
        <f ca="1">QCI!J22</f>
        <v/>
      </c>
      <c r="J22" s="465" t="str">
        <f ca="1">QCI!K22</f>
        <v/>
      </c>
      <c r="K22" s="466" t="str">
        <f t="shared" ca="1" si="1"/>
        <v/>
      </c>
      <c r="L22" s="467">
        <f ca="1">QCI!$O22</f>
        <v>0</v>
      </c>
      <c r="M22" s="469">
        <f t="shared" ca="1" si="2"/>
        <v>0</v>
      </c>
      <c r="N22" s="470">
        <f t="shared" ca="1" si="3"/>
        <v>0</v>
      </c>
      <c r="O22" s="471">
        <f t="shared" ca="1" si="4"/>
        <v>0</v>
      </c>
      <c r="P22" s="472">
        <f t="shared" ca="1" si="5"/>
        <v>0</v>
      </c>
      <c r="R22" s="468">
        <f ca="1">ROUND(IF($C22="Automático",AC22+AJ22,$Y22*IF(ISERROR(QCI!$AA22/QCI!$O22),0,QCI!$AA22/QCI!$O22)),2)</f>
        <v>0</v>
      </c>
      <c r="S22" s="468">
        <f ca="1">ROUND(IF($C22="Automático",AD22+AK22,$Y22*IF(ISERROR(QCI!$AB22/QCI!$O22),0,QCI!$AB22/QCI!$O22)),2)</f>
        <v>0</v>
      </c>
      <c r="T22" s="468">
        <f ca="1">ROUND(IF($C22="Automático",AF22+AM22,$Z22*IF(ISERROR(QCI!$AA22/QCI!$O22),0,QCI!$AA22/QCI!$O22)),2)</f>
        <v>0</v>
      </c>
      <c r="U22" s="468">
        <f ca="1">ROUND(IF($C22="Automático",AG22+AN22,$Z22*IF(ISERROR(QCI!$AB22/QCI!$O22),0,QCI!$AB22/QCI!$O22)),2)</f>
        <v>0</v>
      </c>
      <c r="V22" s="626">
        <f ca="1">IF(AND($L22&gt;0,$J22&lt;&gt;0,$J22&lt;&gt;"",COUNTIF($J$13:$J22,$J22)=1),OFFSET(V22,-1,0)+1,OFFSET(V22,-1,0))</f>
        <v>0</v>
      </c>
      <c r="X22" s="372"/>
      <c r="Y22" s="373"/>
      <c r="Z22" s="375"/>
      <c r="AC22" s="233">
        <f ca="1">IF(ACOMPANHAMENTO&lt;&gt;"PLE",0,SUMPRODUCT((OFFSET(CÁLCULO!$BV$15:$CN$15,$A22,0,$B22)&lt;=(PLE.Medicao-1))*OFFSET(CÁLCULO!$AJ$15:$BB$15,$A22,0,$B22)*OFFSET(ORÇAMENTO!$AA$15,$A22,0,$B22)/(OFFSET(ORÇAMENTO!$X$15,$A22,0,$B22)+10^-12))+IF(AUTOEVENTO="Manual",SUMPRODUCT((OFFSET(CÁLCULO!$M$15,$A22,0,$B22)=1)*OFFSET(ORÇAMENTO!$AA$15,$A22,0,$B22)*(PLE!$AE$9-PLE!$Y$9)),0))</f>
        <v>0</v>
      </c>
      <c r="AD22" s="233">
        <f ca="1">IF(ACOMPANHAMENTO&lt;&gt;"PLE",0,SUMPRODUCT((OFFSET(CÁLCULO!$BV$15:$CN$15,$A22,0,$B22)&lt;=(PLE.Medicao-1))*OFFSET(CÁLCULO!$AJ$15:$BB$15,$A22,0,$B22)*OFFSET(ORÇAMENTO!$AB$15,$A22,0,$B22)/(OFFSET(ORÇAMENTO!$X$15,$A22,0,$B22)+10^-12))+IF(AUTOEVENTO="Manual",SUMPRODUCT((OFFSET(CÁLCULO!$M$15,$A22,0,$B22)=1)*OFFSET(ORÇAMENTO!$AB$15,$A22,0,$B22)*(PLE!$AE$9-PLE!$Y$9)),0))</f>
        <v>0</v>
      </c>
      <c r="AE22" s="233">
        <f ca="1">ROUND(IF(ACOMPANHAMENTO&lt;&gt;"PLE",0,SUMIF(OFFSET(CÁLCULO!$BV$15:$CN$15,$A22,0,$B22),"&lt;="&amp;(PLE.Medicao-1),OFFSET(CÁLCULO!$AJ$15:$BB$15,$A22,0,$B22))+IF(AUTOEVENTO="Manual",SUMIF(OFFSET(CÁLCULO!$M$15,$A22,0,$B22),1,OFFSET(ORÇAMENTO!$X$15,$A22,0,$B22))*(PLE!$AE$9-PLE!$Y$9),0)),2)</f>
        <v>0</v>
      </c>
      <c r="AF22" s="233">
        <f ca="1">IF(ACOMPANHAMENTO&lt;&gt;"PLE",0,SUMPRODUCT((OFFSET(CÁLCULO!$BV$15:$CN$15,$A22,0,$B22)&lt;=PLE.Medicao)*OFFSET(CÁLCULO!$AJ$15:$BB$15,$A22,0,$B22)*OFFSET(ORÇAMENTO!$AA$15,$A22,0,$B22)/(OFFSET(ORÇAMENTO!$X$15,$A22,0,$B22)+10^-12))+IF(AUTOEVENTO="Manual",SUMPRODUCT((OFFSET(CÁLCULO!$M$15,$A22,0,$B22)=1)*OFFSET(ORÇAMENTO!$AA$15,$A22,0,$B22)*PLE!$AE$9),0))</f>
        <v>0</v>
      </c>
      <c r="AG22" s="233">
        <f ca="1">IF(ACOMPANHAMENTO&lt;&gt;"PLE",0,SUMPRODUCT((OFFSET(CÁLCULO!$BV$15:$CN$15,$A22,0,$B22)&lt;=PLE.Medicao)*OFFSET(CÁLCULO!$AJ$15:$BB$15,$A22,0,$B22)*OFFSET(ORÇAMENTO!$AB$15,$A22,0,$B22)/(OFFSET(ORÇAMENTO!$X$15,$A22,0,$B22)+10^-12))+IF(AUTOEVENTO="Manual",SUMPRODUCT((OFFSET(CÁLCULO!$M$15,$A22,0,$B22)=1)*OFFSET(ORÇAMENTO!$AB$15,$A22,0,$B22)*PLE!$AE$9),0))</f>
        <v>0</v>
      </c>
      <c r="AH22" s="233">
        <f ca="1">ROUND(IF(ACOMPANHAMENTO&lt;&gt;"PLE",0,SUMIF(OFFSET(CÁLCULO!$BV$15:$CN$15,$A22,0,$B22),"&lt;="&amp;PLE.Medicao,OFFSET(CÁLCULO!$AJ$15:$BB$15,$A22,0,$B22))+IF(AUTOEVENTO="Manual",SUMIF(OFFSET(CÁLCULO!$M$15,$A22,0,$B22),1,OFFSET(ORÇAMENTO!$X$15,$A22,0,$B22))*PLE!$AE$9,0)),2)</f>
        <v>0</v>
      </c>
      <c r="AJ22" s="233" t="e">
        <f ca="1">IF(ACOMPANHAMENTO&lt;&gt;"BM",0,SUMPRODUCT(OFFSET(BM!$M$15,$A22,0,$B22)*(OFFSET(BM!$A$15,$A22,0,$B22)="S")*OFFSET(ORÇAMENTO!AA$15,$A22,0,$B22)/(OFFSET(ORÇAMENTO!$X$15,$A22,0,$B22)+10^-12)))</f>
        <v>#N/A</v>
      </c>
      <c r="AK22" s="233" t="e">
        <f ca="1">IF(ACOMPANHAMENTO&lt;&gt;"BM",0,SUMPRODUCT(OFFSET(BM!$M$15,$A22,0,$B22)*(OFFSET(BM!$A$15,$A22,0,$B22)="S")*OFFSET(ORÇAMENTO!AB$15,$A22,0,$B22)/(OFFSET(ORÇAMENTO!$X$15,$A22,0,$B22)+10^-12)))</f>
        <v>#N/A</v>
      </c>
      <c r="AL22" s="233" t="e">
        <f ca="1">IF(ACOMPANHAMENTO&lt;&gt;"BM",0,OFFSET(BM!$M$15,$A22,0))</f>
        <v>#N/A</v>
      </c>
      <c r="AM22" s="233" t="e">
        <f ca="1">IF(ACOMPANHAMENTO&lt;&gt;"BM",0,SUMPRODUCT(OFFSET(BM!$O$15,$A22,0,$B22)*(OFFSET(BM!$A$15,$A22,0,$B22)="S")*OFFSET(ORÇAMENTO!AA$15,$A22,0,$B22)/(OFFSET(ORÇAMENTO!$X$15,$A22,0,$B22)+10^-12)))</f>
        <v>#N/A</v>
      </c>
      <c r="AN22" s="233" t="e">
        <f ca="1">IF(ACOMPANHAMENTO&lt;&gt;"BM",0,SUMPRODUCT(OFFSET(BM!$O$15,$A22,0,$B22)*(OFFSET(BM!$A$15,$A22,0,$B22)="S")*OFFSET(ORÇAMENTO!AB$15,$A22,0,$B22)/(OFFSET(ORÇAMENTO!$X$15,$A22,0,$B22)+10^-12)))</f>
        <v>#N/A</v>
      </c>
      <c r="AO22" s="233" t="e">
        <f ca="1">IF(ACOMPANHAMENTO&lt;&gt;"BM",0,OFFSET(BM!$O$15,$A22,0))</f>
        <v>#N/A</v>
      </c>
    </row>
    <row r="23" spans="1:41" x14ac:dyDescent="0.25">
      <c r="A23" t="e">
        <f ca="1">MATCH(E23,ORÇAMENTO!$E$15:$E$710,0)-1</f>
        <v>#N/A</v>
      </c>
      <c r="B23" t="e">
        <f ca="1">IF(ISERROR($A23),NA(),OFFSET(ORÇAMENTO!$D$15,$A23,0))</f>
        <v>#N/A</v>
      </c>
      <c r="C23" t="str">
        <f ca="1">QCI!B23</f>
        <v>Branco</v>
      </c>
      <c r="D23" t="str">
        <f ca="1">IF(L23&gt;0,"F","")</f>
        <v/>
      </c>
      <c r="E23" s="460">
        <f>QCI!D23</f>
        <v>10</v>
      </c>
      <c r="F23" s="461" t="str">
        <f ca="1">QCI!G23</f>
        <v/>
      </c>
      <c r="G23" s="462">
        <f>QCI!H23</f>
        <v>0</v>
      </c>
      <c r="H23" s="463">
        <f>QCI!I23</f>
        <v>0</v>
      </c>
      <c r="I23" s="464" t="str">
        <f ca="1">QCI!J23</f>
        <v/>
      </c>
      <c r="J23" s="465" t="str">
        <f ca="1">QCI!K23</f>
        <v/>
      </c>
      <c r="K23" s="466" t="str">
        <f t="shared" ca="1" si="1"/>
        <v/>
      </c>
      <c r="L23" s="467">
        <f ca="1">QCI!$O23</f>
        <v>0</v>
      </c>
      <c r="M23" s="469">
        <f ca="1">ROUND(IF(C23="Automático",AE23+AL23,Y23),2)</f>
        <v>0</v>
      </c>
      <c r="N23" s="470">
        <f ca="1">O23-M23</f>
        <v>0</v>
      </c>
      <c r="O23" s="471">
        <f ca="1">ROUND(IF(C23="Automático",AH23+AO23,Z23),2)</f>
        <v>0</v>
      </c>
      <c r="P23" s="472">
        <f ca="1">O23/(L23+10^-12)</f>
        <v>0</v>
      </c>
      <c r="R23" s="468">
        <f ca="1">ROUND(IF($C23="Automático",AC23+AJ23,$Y23*IF(ISERROR(QCI!$AA23/QCI!$O23),0,QCI!$AA23/QCI!$O23)),2)</f>
        <v>0</v>
      </c>
      <c r="S23" s="468">
        <f ca="1">ROUND(IF($C23="Automático",AD23+AK23,$Y23*IF(ISERROR(QCI!$AB23/QCI!$O23),0,QCI!$AB23/QCI!$O23)),2)</f>
        <v>0</v>
      </c>
      <c r="T23" s="468">
        <f ca="1">ROUND(IF($C23="Automático",AF23+AM23,$Z23*IF(ISERROR(QCI!$AA23/QCI!$O23),0,QCI!$AA23/QCI!$O23)),2)</f>
        <v>0</v>
      </c>
      <c r="U23" s="468">
        <f ca="1">ROUND(IF($C23="Automático",AG23+AN23,$Z23*IF(ISERROR(QCI!$AB23/QCI!$O23),0,QCI!$AB23/QCI!$O23)),2)</f>
        <v>0</v>
      </c>
      <c r="V23" s="626">
        <f ca="1">IF(AND($L23&gt;0,$J23&lt;&gt;0,$J23&lt;&gt;"",COUNTIF($J$13:$J23,$J23)=1),OFFSET(V23,-1,0)+1,OFFSET(V23,-1,0))</f>
        <v>0</v>
      </c>
      <c r="X23" s="372"/>
      <c r="Y23" s="373"/>
      <c r="Z23" s="375"/>
      <c r="AC23" s="233">
        <f ca="1">IF(ACOMPANHAMENTO&lt;&gt;"PLE",0,SUMPRODUCT((OFFSET(CÁLCULO!$BV$15:$CN$15,$A23,0,$B23)&lt;=(PLE.Medicao-1))*OFFSET(CÁLCULO!$AJ$15:$BB$15,$A23,0,$B23)*OFFSET(ORÇAMENTO!$AA$15,$A23,0,$B23)/(OFFSET(ORÇAMENTO!$X$15,$A23,0,$B23)+10^-12))+IF(AUTOEVENTO="Manual",SUMPRODUCT((OFFSET(CÁLCULO!$M$15,$A23,0,$B23)=1)*OFFSET(ORÇAMENTO!$AA$15,$A23,0,$B23)*(PLE!$AE$9-PLE!$Y$9)),0))</f>
        <v>0</v>
      </c>
      <c r="AD23" s="233">
        <f ca="1">IF(ACOMPANHAMENTO&lt;&gt;"PLE",0,SUMPRODUCT((OFFSET(CÁLCULO!$BV$15:$CN$15,$A23,0,$B23)&lt;=(PLE.Medicao-1))*OFFSET(CÁLCULO!$AJ$15:$BB$15,$A23,0,$B23)*OFFSET(ORÇAMENTO!$AB$15,$A23,0,$B23)/(OFFSET(ORÇAMENTO!$X$15,$A23,0,$B23)+10^-12))+IF(AUTOEVENTO="Manual",SUMPRODUCT((OFFSET(CÁLCULO!$M$15,$A23,0,$B23)=1)*OFFSET(ORÇAMENTO!$AB$15,$A23,0,$B23)*(PLE!$AE$9-PLE!$Y$9)),0))</f>
        <v>0</v>
      </c>
      <c r="AE23" s="233">
        <f ca="1">ROUND(IF(ACOMPANHAMENTO&lt;&gt;"PLE",0,SUMIF(OFFSET(CÁLCULO!$BV$15:$CN$15,$A23,0,$B23),"&lt;="&amp;(PLE.Medicao-1),OFFSET(CÁLCULO!$AJ$15:$BB$15,$A23,0,$B23))+IF(AUTOEVENTO="Manual",SUMIF(OFFSET(CÁLCULO!$M$15,$A23,0,$B23),1,OFFSET(ORÇAMENTO!$X$15,$A23,0,$B23))*(PLE!$AE$9-PLE!$Y$9),0)),2)</f>
        <v>0</v>
      </c>
      <c r="AF23" s="233">
        <f ca="1">IF(ACOMPANHAMENTO&lt;&gt;"PLE",0,SUMPRODUCT((OFFSET(CÁLCULO!$BV$15:$CN$15,$A23,0,$B23)&lt;=PLE.Medicao)*OFFSET(CÁLCULO!$AJ$15:$BB$15,$A23,0,$B23)*OFFSET(ORÇAMENTO!$AA$15,$A23,0,$B23)/(OFFSET(ORÇAMENTO!$X$15,$A23,0,$B23)+10^-12))+IF(AUTOEVENTO="Manual",SUMPRODUCT((OFFSET(CÁLCULO!$M$15,$A23,0,$B23)=1)*OFFSET(ORÇAMENTO!$AA$15,$A23,0,$B23)*PLE!$AE$9),0))</f>
        <v>0</v>
      </c>
      <c r="AG23" s="233">
        <f ca="1">IF(ACOMPANHAMENTO&lt;&gt;"PLE",0,SUMPRODUCT((OFFSET(CÁLCULO!$BV$15:$CN$15,$A23,0,$B23)&lt;=PLE.Medicao)*OFFSET(CÁLCULO!$AJ$15:$BB$15,$A23,0,$B23)*OFFSET(ORÇAMENTO!$AB$15,$A23,0,$B23)/(OFFSET(ORÇAMENTO!$X$15,$A23,0,$B23)+10^-12))+IF(AUTOEVENTO="Manual",SUMPRODUCT((OFFSET(CÁLCULO!$M$15,$A23,0,$B23)=1)*OFFSET(ORÇAMENTO!$AB$15,$A23,0,$B23)*PLE!$AE$9),0))</f>
        <v>0</v>
      </c>
      <c r="AH23" s="233">
        <f ca="1">ROUND(IF(ACOMPANHAMENTO&lt;&gt;"PLE",0,SUMIF(OFFSET(CÁLCULO!$BV$15:$CN$15,$A23,0,$B23),"&lt;="&amp;PLE.Medicao,OFFSET(CÁLCULO!$AJ$15:$BB$15,$A23,0,$B23))+IF(AUTOEVENTO="Manual",SUMIF(OFFSET(CÁLCULO!$M$15,$A23,0,$B23),1,OFFSET(ORÇAMENTO!$X$15,$A23,0,$B23))*PLE!$AE$9,0)),2)</f>
        <v>0</v>
      </c>
      <c r="AJ23" s="233" t="e">
        <f ca="1">IF(ACOMPANHAMENTO&lt;&gt;"BM",0,SUMPRODUCT(OFFSET(BM!$M$15,$A23,0,$B23)*(OFFSET(BM!$A$15,$A23,0,$B23)="S")*OFFSET(ORÇAMENTO!AA$15,$A23,0,$B23)/(OFFSET(ORÇAMENTO!$X$15,$A23,0,$B23)+10^-12)))</f>
        <v>#N/A</v>
      </c>
      <c r="AK23" s="233" t="e">
        <f ca="1">IF(ACOMPANHAMENTO&lt;&gt;"BM",0,SUMPRODUCT(OFFSET(BM!$M$15,$A23,0,$B23)*(OFFSET(BM!$A$15,$A23,0,$B23)="S")*OFFSET(ORÇAMENTO!AB$15,$A23,0,$B23)/(OFFSET(ORÇAMENTO!$X$15,$A23,0,$B23)+10^-12)))</f>
        <v>#N/A</v>
      </c>
      <c r="AL23" s="233" t="e">
        <f ca="1">IF(ACOMPANHAMENTO&lt;&gt;"BM",0,OFFSET(BM!$M$15,$A23,0))</f>
        <v>#N/A</v>
      </c>
      <c r="AM23" s="233" t="e">
        <f ca="1">IF(ACOMPANHAMENTO&lt;&gt;"BM",0,SUMPRODUCT(OFFSET(BM!$O$15,$A23,0,$B23)*(OFFSET(BM!$A$15,$A23,0,$B23)="S")*OFFSET(ORÇAMENTO!AA$15,$A23,0,$B23)/(OFFSET(ORÇAMENTO!$X$15,$A23,0,$B23)+10^-12)))</f>
        <v>#N/A</v>
      </c>
      <c r="AN23" s="233" t="e">
        <f ca="1">IF(ACOMPANHAMENTO&lt;&gt;"BM",0,SUMPRODUCT(OFFSET(BM!$O$15,$A23,0,$B23)*(OFFSET(BM!$A$15,$A23,0,$B23)="S")*OFFSET(ORÇAMENTO!AB$15,$A23,0,$B23)/(OFFSET(ORÇAMENTO!$X$15,$A23,0,$B23)+10^-12)))</f>
        <v>#N/A</v>
      </c>
      <c r="AO23" s="233" t="e">
        <f ca="1">IF(ACOMPANHAMENTO&lt;&gt;"BM",0,OFFSET(BM!$O$15,$A23,0))</f>
        <v>#N/A</v>
      </c>
    </row>
    <row r="24" spans="1:41" ht="12.9" customHeight="1" x14ac:dyDescent="0.25">
      <c r="D24" t="s">
        <v>248</v>
      </c>
      <c r="E24" s="1"/>
      <c r="F24" s="1"/>
      <c r="G24" s="1"/>
      <c r="H24" s="1"/>
      <c r="I24" s="2"/>
      <c r="J24" s="792" t="s">
        <v>378</v>
      </c>
      <c r="K24" s="793"/>
      <c r="L24" s="474">
        <f ca="1">IF(ISERROR(L28/$L28),0,ROUND(L28/$L28,4))</f>
        <v>0</v>
      </c>
      <c r="M24" s="476">
        <f ca="1">IF(ISERROR(M28/$L28),0,ROUND(M28/$L28,4))</f>
        <v>0</v>
      </c>
      <c r="N24" s="475">
        <f ca="1">IF(ISERROR(N28/$L28),0,ROUND(N28/$L28,4))</f>
        <v>0</v>
      </c>
      <c r="O24" s="477">
        <f ca="1">IF(ISERROR(O28/$L28),0,ROUND(O28/$L28,4))</f>
        <v>0</v>
      </c>
      <c r="P24" s="794">
        <f ca="1">O28/(L28+10^-12)</f>
        <v>0</v>
      </c>
      <c r="X24" s="478"/>
      <c r="Y24" s="479"/>
      <c r="Z24" s="480"/>
    </row>
    <row r="25" spans="1:41" ht="12.9" customHeight="1" x14ac:dyDescent="0.25">
      <c r="D25" t="s">
        <v>248</v>
      </c>
      <c r="E25" s="528"/>
      <c r="F25" s="528"/>
      <c r="G25" s="528"/>
      <c r="H25" s="528"/>
      <c r="I25" s="5"/>
      <c r="J25" s="795" t="str">
        <f>IF(import.recurso="FGTS","Financiamento","Repasse")</f>
        <v>Repasse</v>
      </c>
      <c r="K25" s="796"/>
      <c r="L25" s="481">
        <f ca="1">QCI!L24</f>
        <v>0</v>
      </c>
      <c r="M25" s="482">
        <f ca="1">M28-M27-M26</f>
        <v>0</v>
      </c>
      <c r="N25" s="483">
        <f ca="1">O25-M25</f>
        <v>0</v>
      </c>
      <c r="O25" s="484">
        <f ca="1">O28-O27-O26</f>
        <v>0</v>
      </c>
      <c r="P25" s="794"/>
      <c r="X25" s="485"/>
      <c r="Y25" s="486" t="s">
        <v>379</v>
      </c>
      <c r="Z25" s="487" t="s">
        <v>380</v>
      </c>
      <c r="AC25" s="488" t="s">
        <v>381</v>
      </c>
      <c r="AD25" s="488" t="s">
        <v>382</v>
      </c>
    </row>
    <row r="26" spans="1:41" ht="12.9" customHeight="1" x14ac:dyDescent="0.25">
      <c r="D26" t="s">
        <v>248</v>
      </c>
      <c r="E26" s="528"/>
      <c r="F26" s="528"/>
      <c r="G26" s="528"/>
      <c r="H26" s="528"/>
      <c r="I26" s="5"/>
      <c r="J26" s="797" t="s">
        <v>383</v>
      </c>
      <c r="K26" s="798"/>
      <c r="L26" s="489">
        <f ca="1">QCI!M24</f>
        <v>0</v>
      </c>
      <c r="M26" s="490">
        <f ca="1">ROUND(IF(OFFSET($X$26,0,1)&lt;&gt;"",OFFSET($X$26,0,1),SUM(R13:OFFSET(R24,-1,0))),2)</f>
        <v>0</v>
      </c>
      <c r="N26" s="491">
        <f ca="1">O26-M26</f>
        <v>0</v>
      </c>
      <c r="O26" s="492">
        <f ca="1">IF(OFFSET($X$26,0,2)&lt;&gt;"",OFFSET($X$26,0,2),$AE$3)</f>
        <v>0</v>
      </c>
      <c r="P26" s="794"/>
      <c r="X26" s="493" t="s">
        <v>171</v>
      </c>
      <c r="Y26" s="621"/>
      <c r="Z26" s="622"/>
      <c r="AC26" s="494">
        <f ca="1">MIN($L26,$O$28-OFFSET($X$27,0,1))</f>
        <v>0</v>
      </c>
      <c r="AD26" s="494">
        <f ca="1">MIN($L26,$O$28-OFFSET($X$27,0,2))</f>
        <v>0</v>
      </c>
    </row>
    <row r="27" spans="1:41" ht="12.9" customHeight="1" x14ac:dyDescent="0.25">
      <c r="D27" t="s">
        <v>248</v>
      </c>
      <c r="E27" s="528"/>
      <c r="F27" s="528"/>
      <c r="G27" s="528"/>
      <c r="H27" s="528"/>
      <c r="I27" s="5"/>
      <c r="J27" s="799" t="s">
        <v>360</v>
      </c>
      <c r="K27" s="800"/>
      <c r="L27" s="495">
        <f ca="1">QCI!N24</f>
        <v>0</v>
      </c>
      <c r="M27" s="496">
        <f ca="1">ROUND(IF(OFFSET($X$27,0,1)&lt;&gt;"",OFFSET($X$27,0,1),SUM(S13:OFFSET(S24,-1,0))),2)</f>
        <v>0</v>
      </c>
      <c r="N27" s="497">
        <f ca="1">O27-M27</f>
        <v>0</v>
      </c>
      <c r="O27" s="498">
        <f ca="1">IF(OFFSET($X$27,0,2)&lt;&gt;"",OFFSET($X$27,0,2),$AE$4)</f>
        <v>0</v>
      </c>
      <c r="P27" s="794"/>
      <c r="X27" s="499" t="s">
        <v>280</v>
      </c>
      <c r="Y27" s="623"/>
      <c r="Z27" s="624"/>
      <c r="AC27" s="494">
        <f ca="1">MIN($L27,$O$28-OFFSET($X$26,0,1))</f>
        <v>0</v>
      </c>
      <c r="AD27" s="494">
        <f ca="1">MIN($L27,$O$28-OFFSET($X$26,0,2))</f>
        <v>0</v>
      </c>
    </row>
    <row r="28" spans="1:41" ht="13.8" x14ac:dyDescent="0.25">
      <c r="D28" t="s">
        <v>248</v>
      </c>
      <c r="E28" s="528"/>
      <c r="F28" s="528"/>
      <c r="G28" s="528"/>
      <c r="H28" s="528"/>
      <c r="I28" s="5"/>
      <c r="J28" s="801" t="s">
        <v>362</v>
      </c>
      <c r="K28" s="802"/>
      <c r="L28" s="500">
        <f ca="1">SUM(L13:OFFSET(L24,-1,0))</f>
        <v>0</v>
      </c>
      <c r="M28" s="501">
        <f ca="1">ROUND(SUM(M13:OFFSET(M24,-1,0)),2)</f>
        <v>0</v>
      </c>
      <c r="N28" s="502">
        <f ca="1">O28-M28</f>
        <v>0</v>
      </c>
      <c r="O28" s="503">
        <f ca="1">SUM(O13:OFFSET(O24,-1,0))</f>
        <v>0</v>
      </c>
      <c r="P28" s="794"/>
      <c r="X28" s="504"/>
      <c r="Y28" s="505"/>
      <c r="Z28" s="506"/>
    </row>
    <row r="29" spans="1:41" x14ac:dyDescent="0.25">
      <c r="O29" s="803" t="str">
        <f ca="1">"Acumulado Anterior:  "&amp;TEXT($M$28/($L$28+10^-12),"0,00%")</f>
        <v>Acumulado Anterior:  0,00%</v>
      </c>
      <c r="P29" s="803"/>
    </row>
    <row r="30" spans="1:41" ht="13.8" x14ac:dyDescent="0.25">
      <c r="E30" s="170" t="s">
        <v>189</v>
      </c>
      <c r="F30" s="105"/>
      <c r="G30" s="105"/>
      <c r="H30" s="105"/>
      <c r="I30" s="105"/>
      <c r="J30" s="105"/>
      <c r="K30" s="105"/>
      <c r="M30" s="105"/>
      <c r="N30" s="105"/>
      <c r="P30" s="629"/>
      <c r="R30" s="105"/>
      <c r="S30" s="105"/>
      <c r="T30" s="105"/>
      <c r="U30" s="105"/>
    </row>
    <row r="31" spans="1:41" ht="12.75" customHeight="1" x14ac:dyDescent="0.25">
      <c r="E31" s="807"/>
      <c r="F31" s="808"/>
      <c r="G31" s="808"/>
      <c r="H31" s="808"/>
      <c r="I31" s="808"/>
      <c r="J31" s="808"/>
      <c r="K31" s="808"/>
      <c r="L31" s="808"/>
      <c r="M31" s="808"/>
      <c r="N31" s="808"/>
      <c r="O31" s="808"/>
      <c r="P31" s="809"/>
      <c r="R31" s="105"/>
      <c r="S31" s="105"/>
      <c r="T31" s="105"/>
      <c r="U31" s="105"/>
    </row>
    <row r="32" spans="1:41" ht="12.75" customHeight="1" x14ac:dyDescent="0.25">
      <c r="E32" s="807"/>
      <c r="F32" s="808"/>
      <c r="G32" s="808"/>
      <c r="H32" s="808"/>
      <c r="I32" s="808"/>
      <c r="J32" s="808"/>
      <c r="K32" s="808"/>
      <c r="L32" s="808"/>
      <c r="M32" s="808"/>
      <c r="N32" s="808"/>
      <c r="O32" s="808"/>
      <c r="P32" s="809"/>
      <c r="R32" s="105"/>
      <c r="S32" s="105"/>
      <c r="T32" s="105"/>
      <c r="U32" s="105"/>
      <c r="Y32" s="507"/>
      <c r="Z32" s="507"/>
    </row>
    <row r="33" spans="5:21" ht="12.75" customHeight="1" x14ac:dyDescent="0.25">
      <c r="E33" s="810"/>
      <c r="F33" s="811"/>
      <c r="G33" s="811"/>
      <c r="H33" s="811"/>
      <c r="I33" s="811"/>
      <c r="J33" s="811"/>
      <c r="K33" s="811"/>
      <c r="L33" s="811"/>
      <c r="M33" s="811"/>
      <c r="N33" s="811"/>
      <c r="O33" s="811"/>
      <c r="P33" s="812"/>
      <c r="R33" s="105"/>
      <c r="S33" s="105"/>
      <c r="T33" s="105"/>
      <c r="U33" s="105"/>
    </row>
    <row r="34" spans="5:21" x14ac:dyDescent="0.25">
      <c r="R34" s="105"/>
      <c r="S34" s="105"/>
      <c r="T34" s="105"/>
      <c r="U34" s="105"/>
    </row>
    <row r="35" spans="5:21" ht="13.8" x14ac:dyDescent="0.25">
      <c r="E35" s="708" t="str">
        <f>Import.Município</f>
        <v>LAGUNA/SC</v>
      </c>
      <c r="F35" s="708"/>
      <c r="G35" s="708"/>
      <c r="I35" s="508"/>
      <c r="J35" s="100"/>
      <c r="L35" s="725">
        <f ca="1">DADOS!$F$25</f>
        <v>45477</v>
      </c>
      <c r="M35" s="725"/>
      <c r="N35" s="725"/>
      <c r="O35" s="725"/>
      <c r="R35" s="105"/>
      <c r="S35" s="105"/>
      <c r="T35" s="105"/>
      <c r="U35" s="105"/>
    </row>
    <row r="36" spans="5:21" x14ac:dyDescent="0.25">
      <c r="E36" s="12" t="s">
        <v>190</v>
      </c>
      <c r="F36" s="104"/>
      <c r="G36" s="104"/>
      <c r="L36" s="325" t="s">
        <v>191</v>
      </c>
      <c r="R36" s="105"/>
      <c r="S36" s="105"/>
      <c r="T36" s="105"/>
      <c r="U36" s="105"/>
    </row>
    <row r="37" spans="5:21" x14ac:dyDescent="0.25">
      <c r="E37" s="104"/>
      <c r="F37" s="104"/>
      <c r="G37" s="104"/>
      <c r="R37" s="105"/>
      <c r="S37" s="105"/>
      <c r="T37" s="105"/>
      <c r="U37" s="105"/>
    </row>
    <row r="38" spans="5:21" x14ac:dyDescent="0.25">
      <c r="E38" s="228"/>
      <c r="F38" s="228"/>
      <c r="G38" s="228"/>
      <c r="L38" s="228"/>
      <c r="M38" s="228"/>
      <c r="N38" s="228"/>
      <c r="O38" s="228"/>
      <c r="R38" s="105"/>
      <c r="S38" s="105"/>
      <c r="T38" s="105"/>
      <c r="U38" s="105"/>
    </row>
    <row r="39" spans="5:21" x14ac:dyDescent="0.25">
      <c r="E39" s="509" t="str">
        <f>IF(CAIXA.Modo,"Responsável Gerencial CAIXA","Representante Tomador")</f>
        <v>Representante Tomador</v>
      </c>
      <c r="F39" s="9"/>
      <c r="L39" s="509" t="str">
        <f>IF(CAIXA.Modo,"Responsável Técnico CAIXA","Responsável Técnico pela Fiscalização")</f>
        <v>Responsável Técnico pela Fiscalização</v>
      </c>
      <c r="R39" s="105"/>
      <c r="S39" s="105"/>
      <c r="T39" s="105"/>
      <c r="U39" s="105"/>
    </row>
    <row r="40" spans="5:21" x14ac:dyDescent="0.25">
      <c r="E40" s="94" t="s">
        <v>109</v>
      </c>
      <c r="F40" s="353" t="str">
        <f>IF(CAIXA.Modo,DADOS!F59,DADOS!F28)</f>
        <v>Samir Azmi Ibrahim Muhammad Ahmad</v>
      </c>
      <c r="L40" s="94" t="s">
        <v>109</v>
      </c>
      <c r="M40" s="813">
        <f>IF(CAIXA.Modo,BM!X722,DADOS!F50)</f>
        <v>0</v>
      </c>
      <c r="N40" s="813"/>
      <c r="O40" s="813"/>
      <c r="R40" s="105"/>
      <c r="S40" s="105"/>
      <c r="T40" s="105"/>
      <c r="U40" s="105"/>
    </row>
    <row r="41" spans="5:21" x14ac:dyDescent="0.25">
      <c r="E41" s="94" t="str">
        <f>IF(CAIXA.Modo,"Função:","Cargo:")</f>
        <v>Cargo:</v>
      </c>
      <c r="F41" s="353" t="str">
        <f>IF(CAIXA.Modo,DADOS!F60,DADOS!F29)</f>
        <v>Prefeito</v>
      </c>
      <c r="L41" s="94" t="str">
        <f>IF(CAIXA.Modo,"Matrícula:","Profissão:")</f>
        <v>Profissão:</v>
      </c>
      <c r="M41" s="813">
        <f>IF(CAIXA.Modo,BM!X723,DADOS!F51)</f>
        <v>0</v>
      </c>
      <c r="N41" s="813"/>
      <c r="O41" s="813"/>
      <c r="R41" s="105"/>
      <c r="S41" s="105"/>
      <c r="T41" s="105"/>
      <c r="U41" s="105"/>
    </row>
    <row r="42" spans="5:21" x14ac:dyDescent="0.25">
      <c r="L42" s="94" t="s">
        <v>110</v>
      </c>
      <c r="M42" s="813">
        <f>IF(CAIXA.Modo,BM!X724,DADOS!F52)</f>
        <v>0</v>
      </c>
      <c r="N42" s="813"/>
      <c r="O42" s="813"/>
      <c r="R42" s="105"/>
      <c r="S42" s="105"/>
      <c r="T42" s="105"/>
      <c r="U42" s="105"/>
    </row>
    <row r="43" spans="5:21" x14ac:dyDescent="0.25">
      <c r="L43" s="94" t="str">
        <f>IF(CAIXA.Modo,"","ART/RRT:")</f>
        <v>ART/RRT:</v>
      </c>
      <c r="M43" s="354">
        <f>IF(CAIXA.Modo,"",DADOS!F53)</f>
        <v>0</v>
      </c>
      <c r="R43" s="105"/>
      <c r="S43" s="105"/>
      <c r="T43" s="105"/>
      <c r="U43" s="105"/>
    </row>
    <row r="44" spans="5:21" x14ac:dyDescent="0.25">
      <c r="R44" s="105"/>
      <c r="S44" s="105"/>
      <c r="T44" s="105"/>
      <c r="U44" s="105"/>
    </row>
    <row r="45" spans="5:21" x14ac:dyDescent="0.25">
      <c r="E45" s="228"/>
      <c r="F45" s="228"/>
      <c r="G45" s="228"/>
      <c r="L45" s="228"/>
      <c r="M45" s="228"/>
      <c r="N45" s="228"/>
      <c r="O45" s="228"/>
      <c r="R45" s="105"/>
      <c r="S45" s="105"/>
      <c r="T45" s="105"/>
      <c r="U45" s="105"/>
    </row>
    <row r="46" spans="5:21" x14ac:dyDescent="0.25">
      <c r="E46" t="str">
        <f>IF(CAIXA.Modo,"Responsável Social CAIXA","Responsável Social")</f>
        <v>Responsável Social</v>
      </c>
      <c r="L46" t="str">
        <f>IF(CAIXA.Modo,"Responsável Operacional CAIXA","Responsável Financeiro")</f>
        <v>Responsável Financeiro</v>
      </c>
      <c r="R46" s="105"/>
      <c r="S46" s="105"/>
      <c r="T46" s="105"/>
      <c r="U46" s="105"/>
    </row>
    <row r="47" spans="5:21" x14ac:dyDescent="0.25">
      <c r="E47" s="94" t="s">
        <v>109</v>
      </c>
      <c r="F47" s="782"/>
      <c r="G47" s="782"/>
      <c r="L47" s="94" t="s">
        <v>109</v>
      </c>
      <c r="M47" s="782"/>
      <c r="N47" s="782"/>
      <c r="O47" s="782"/>
      <c r="R47" s="105"/>
      <c r="S47" s="105"/>
      <c r="T47" s="105"/>
      <c r="U47" s="105"/>
    </row>
    <row r="48" spans="5:21" x14ac:dyDescent="0.25">
      <c r="E48" s="94" t="str">
        <f>IF(CAIXA.Modo,"Função:","Cargo:")</f>
        <v>Cargo:</v>
      </c>
      <c r="F48" s="782"/>
      <c r="G48" s="782"/>
      <c r="L48" s="94" t="str">
        <f>IF(CAIXA.Modo,"Função:","Cargo:")</f>
        <v>Cargo:</v>
      </c>
      <c r="M48" s="782"/>
      <c r="N48" s="782"/>
      <c r="O48" s="782"/>
      <c r="R48" s="105"/>
      <c r="S48" s="105"/>
      <c r="T48" s="105"/>
      <c r="U48" s="105"/>
    </row>
    <row r="49" spans="5:21" x14ac:dyDescent="0.25">
      <c r="E49" s="94" t="str">
        <f>IF(CAIXA.Modo,"Matr:","")</f>
        <v/>
      </c>
      <c r="F49" s="782"/>
      <c r="G49" s="782"/>
      <c r="L49" s="94" t="str">
        <f>IF(CAIXA.Modo,"Matrícula:","")</f>
        <v/>
      </c>
      <c r="M49" s="782"/>
      <c r="N49" s="782"/>
      <c r="O49" s="782"/>
      <c r="R49" s="105"/>
      <c r="S49" s="105"/>
      <c r="T49" s="105"/>
      <c r="U49" s="105"/>
    </row>
    <row r="50" spans="5:21" x14ac:dyDescent="0.25">
      <c r="R50" s="105"/>
      <c r="S50" s="105"/>
      <c r="T50" s="105"/>
      <c r="U50" s="105"/>
    </row>
    <row r="51" spans="5:21" x14ac:dyDescent="0.25">
      <c r="R51" s="105"/>
      <c r="S51" s="105"/>
      <c r="T51" s="105"/>
      <c r="U51" s="105"/>
    </row>
    <row r="52" spans="5:21" x14ac:dyDescent="0.25">
      <c r="R52" s="105"/>
      <c r="S52" s="105"/>
      <c r="T52" s="105"/>
      <c r="U52" s="105"/>
    </row>
  </sheetData>
  <sheetProtection password="BD1F" sheet="1" objects="1" scenarios="1" autoFilter="0"/>
  <autoFilter ref="D13:D30"/>
  <mergeCells count="40">
    <mergeCell ref="M4:O4"/>
    <mergeCell ref="M49:O49"/>
    <mergeCell ref="E31:P33"/>
    <mergeCell ref="L35:O35"/>
    <mergeCell ref="M40:O40"/>
    <mergeCell ref="M41:O41"/>
    <mergeCell ref="M42:O42"/>
    <mergeCell ref="M47:O47"/>
    <mergeCell ref="F49:G49"/>
    <mergeCell ref="E35:G35"/>
    <mergeCell ref="F47:G47"/>
    <mergeCell ref="F48:G48"/>
    <mergeCell ref="J24:K24"/>
    <mergeCell ref="P24:P28"/>
    <mergeCell ref="J25:K25"/>
    <mergeCell ref="J26:K26"/>
    <mergeCell ref="J27:K27"/>
    <mergeCell ref="J28:K28"/>
    <mergeCell ref="O29:P29"/>
    <mergeCell ref="M48:O48"/>
    <mergeCell ref="AC10:AH10"/>
    <mergeCell ref="AJ10:AO10"/>
    <mergeCell ref="Y11:Z11"/>
    <mergeCell ref="AC11:AE11"/>
    <mergeCell ref="AF11:AH11"/>
    <mergeCell ref="AJ11:AL11"/>
    <mergeCell ref="AM11:AO11"/>
    <mergeCell ref="D7:D11"/>
    <mergeCell ref="E7:H7"/>
    <mergeCell ref="I7:L7"/>
    <mergeCell ref="G9:H9"/>
    <mergeCell ref="I9:J9"/>
    <mergeCell ref="L9:L10"/>
    <mergeCell ref="G10:H10"/>
    <mergeCell ref="E6:H6"/>
    <mergeCell ref="I6:L6"/>
    <mergeCell ref="E3:H3"/>
    <mergeCell ref="I3:K3"/>
    <mergeCell ref="E4:H4"/>
    <mergeCell ref="I4:K4"/>
  </mergeCells>
  <phoneticPr fontId="38" type="noConversion"/>
  <conditionalFormatting sqref="X12:Z12">
    <cfRule type="expression" dxfId="8" priority="84" stopIfTrue="1">
      <formula>OR($C12="Automático",$C12="Branco")</formula>
    </cfRule>
  </conditionalFormatting>
  <conditionalFormatting sqref="F49:G49 M49:O49">
    <cfRule type="expression" dxfId="7" priority="85" stopIfTrue="1">
      <formula>CAIXA.Modo=FALSE</formula>
    </cfRule>
  </conditionalFormatting>
  <conditionalFormatting sqref="M12 M25:M28 O12 O25:O28">
    <cfRule type="cellIs" dxfId="6" priority="86" stopIfTrue="1" operator="notBetween">
      <formula>0</formula>
      <formula>$L12</formula>
    </cfRule>
  </conditionalFormatting>
  <conditionalFormatting sqref="M10:N10">
    <cfRule type="cellIs" dxfId="5" priority="87" stopIfTrue="1" operator="lessThan">
      <formula>0</formula>
    </cfRule>
  </conditionalFormatting>
  <conditionalFormatting sqref="X14:Z22">
    <cfRule type="expression" dxfId="4" priority="3" stopIfTrue="1">
      <formula>OR($C14="Automático",$C14="Branco")</formula>
    </cfRule>
  </conditionalFormatting>
  <conditionalFormatting sqref="M14:M22 O14:O22">
    <cfRule type="cellIs" dxfId="3" priority="4" stopIfTrue="1" operator="notBetween">
      <formula>0</formula>
      <formula>$L14</formula>
    </cfRule>
  </conditionalFormatting>
  <conditionalFormatting sqref="X23:Z23">
    <cfRule type="expression" dxfId="2" priority="1" stopIfTrue="1">
      <formula>OR($C23="Automático",$C23="Branco")</formula>
    </cfRule>
  </conditionalFormatting>
  <conditionalFormatting sqref="M23 O23">
    <cfRule type="cellIs" dxfId="1" priority="2" stopIfTrue="1" operator="notBetween">
      <formula>0</formula>
      <formula>$L23</formula>
    </cfRule>
  </conditionalFormatting>
  <dataValidations disablePrompts="1" count="5">
    <dataValidation type="decimal" errorStyle="warning" allowBlank="1" showInputMessage="1" showErrorMessage="1" errorTitle="Erro de valor" error="Valor menor que 0,00 ou maior que o valor da Contrapartida/Outros." promptTitle="Contrapartida Anterior:" prompt="Deixe essa célula em branco para o cálculo automático. Preencha somente para valores de CP diferentes do previsto." sqref="Y26">
      <formula1>0</formula1>
      <formula2>RRE.MaxCPAnt</formula2>
    </dataValidation>
    <dataValidation type="decimal" errorStyle="warning" allowBlank="1" showInputMessage="1" showErrorMessage="1" errorTitle="Erro de valor" error="Valor menor que 0,00 ou maior que o valor da Contrapartida/Outros." promptTitle="Contrapartida Acumulada:" prompt="Deixe essa célula em branco para o cálculo automático. Preencha somente para valores de CP diferentes do previsto." sqref="Z26">
      <formula1>0</formula1>
      <formula2>RRE.MaxCPAcum</formula2>
    </dataValidation>
    <dataValidation type="decimal" errorStyle="warning" allowBlank="1" showInputMessage="1" showErrorMessage="1" errorTitle="Erro de valor" error="Valor menor que 0,00 ou maior que o valor da Contrapartida/Outros." promptTitle="Outros Anterior:" prompt="Deixe essa célula em branco para o cálculo automático. Preencha somente para valores de Outros diferentes do previsto." sqref="Y27">
      <formula1>0</formula1>
      <formula2>RRE.MaxOUAnt</formula2>
    </dataValidation>
    <dataValidation type="decimal" errorStyle="warning" allowBlank="1" showInputMessage="1" showErrorMessage="1" errorTitle="Erro de valor" error="Valor menor que 0,00 ou maior que o valor da Contrapartida/Outros." promptTitle="Outros Acumulada:" prompt="Deixe essa célula em branco para o cálculo automático. Preencha somente para valores de Outros diferentes do previsto." sqref="Z27">
      <formula1>0</formula1>
      <formula2>RRE.MaxOUAcum</formula2>
    </dataValidation>
    <dataValidation type="decimal" allowBlank="1" showInputMessage="1" showErrorMessage="1" sqref="Y12:Z12 Y14:Z23">
      <formula1>0</formula1>
      <formula2>RRE.VIMeta</formula2>
    </dataValidation>
  </dataValidations>
  <pageMargins left="0.78740157480314998" right="0.78740157480314998" top="0.78740157480314998" bottom="0.78740157480314998" header="0.59055118110236204" footer="0.59055118110236204"/>
  <pageSetup paperSize="9" scale="73" firstPageNumber="0" fitToHeight="0" orientation="landscape" horizontalDpi="300" verticalDpi="300" r:id="rId1"/>
  <headerFooter alignWithMargins="0">
    <oddHeader>&amp;L_&amp;C&amp;14I</oddHeader>
    <oddFooter>&amp;LPMv3.0.4&amp;R&amp;P / &amp;N</oddFooter>
  </headerFooter>
  <colBreaks count="1" manualBreakCount="1">
    <brk id="15" max="1048575" man="1"/>
  </colBreaks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"/>
  <dimension ref="A1:Q56"/>
  <sheetViews>
    <sheetView showGridLines="0" zoomScale="90" zoomScaleNormal="90" zoomScaleSheetLayoutView="100" workbookViewId="0">
      <selection activeCell="E13" sqref="E13"/>
    </sheetView>
  </sheetViews>
  <sheetFormatPr defaultRowHeight="13.2" x14ac:dyDescent="0.25"/>
  <cols>
    <col min="1" max="1" width="2" style="104" customWidth="1"/>
    <col min="2" max="2" width="15.6640625" style="104" customWidth="1"/>
    <col min="3" max="3" width="6.6640625" style="104" customWidth="1"/>
    <col min="4" max="5" width="20.6640625" style="104" customWidth="1"/>
    <col min="6" max="6" width="8.6640625" style="104" customWidth="1"/>
    <col min="7" max="7" width="12.6640625" style="104" customWidth="1"/>
    <col min="8" max="8" width="20.6640625" customWidth="1"/>
    <col min="9" max="9" width="13.6640625" customWidth="1"/>
    <col min="10" max="12" width="16.6640625" customWidth="1"/>
    <col min="14" max="14" width="14.109375" customWidth="1"/>
  </cols>
  <sheetData>
    <row r="1" spans="2:17" x14ac:dyDescent="0.25">
      <c r="B1" s="819"/>
      <c r="C1" s="819"/>
      <c r="D1" s="65"/>
      <c r="E1" s="65"/>
      <c r="F1" s="65"/>
      <c r="G1" s="68" t="s">
        <v>141</v>
      </c>
    </row>
    <row r="2" spans="2:17" x14ac:dyDescent="0.25">
      <c r="B2" s="819"/>
      <c r="C2" s="819"/>
      <c r="D2" s="510"/>
      <c r="E2" s="510"/>
      <c r="F2" s="510"/>
      <c r="G2" s="14" t="s">
        <v>384</v>
      </c>
    </row>
    <row r="3" spans="2:17" ht="26.1" customHeight="1" thickBot="1" x14ac:dyDescent="0.3">
      <c r="B3" s="819"/>
      <c r="C3" s="819"/>
      <c r="D3" s="511"/>
      <c r="E3" s="511"/>
      <c r="F3" s="511"/>
      <c r="G3" s="512"/>
      <c r="I3" s="513" t="s">
        <v>385</v>
      </c>
      <c r="J3" s="176"/>
      <c r="K3" s="176"/>
      <c r="L3" s="176"/>
    </row>
    <row r="4" spans="2:17" ht="12.75" customHeight="1" x14ac:dyDescent="0.25">
      <c r="B4" s="819"/>
      <c r="C4" s="819"/>
      <c r="D4" s="510"/>
      <c r="E4" s="510"/>
      <c r="F4" s="510"/>
      <c r="G4" s="510"/>
      <c r="I4" s="820" t="s">
        <v>386</v>
      </c>
      <c r="J4" s="822" t="s">
        <v>387</v>
      </c>
      <c r="K4" s="822" t="s">
        <v>388</v>
      </c>
      <c r="L4" s="814" t="s">
        <v>389</v>
      </c>
    </row>
    <row r="5" spans="2:17" x14ac:dyDescent="0.25">
      <c r="I5" s="821"/>
      <c r="J5" s="823"/>
      <c r="K5" s="823"/>
      <c r="L5" s="815"/>
    </row>
    <row r="6" spans="2:17" x14ac:dyDescent="0.25">
      <c r="B6" s="514" t="s">
        <v>390</v>
      </c>
      <c r="C6" s="816"/>
      <c r="D6" s="816"/>
      <c r="E6" s="514"/>
      <c r="F6" s="514"/>
      <c r="G6" s="65"/>
      <c r="I6" s="606" t="str">
        <f ca="1">IF(ROW(I6)-ROW(L$5)&gt;MAX(RRE!$V$13:$V$24),"",INDEX(RRE!$J$13:$J$24,MATCH(ROW(I6)-ROW(I$5),RRE!$V$13:$V$24,0)))</f>
        <v/>
      </c>
      <c r="J6" s="607" t="str">
        <f ca="1">IF(I6="","",SUMIF(RRE!$J$13:$J$24,OFÍCIO!$I6,RRE!$L$13:$L$24))</f>
        <v/>
      </c>
      <c r="K6" s="607" t="str">
        <f ca="1">IF(J6="","",SUMIF(RRE!$J$13:$J$24,OFÍCIO!$I6,RRE!$N$13:$N$24))</f>
        <v/>
      </c>
      <c r="L6" s="608" t="str">
        <f ca="1">IF(K6="","",SUMIF(RRE!$J$13:$J$24,OFÍCIO!$I6,RRE!$O$13:$O$24))</f>
        <v/>
      </c>
      <c r="N6" s="12"/>
    </row>
    <row r="7" spans="2:17" x14ac:dyDescent="0.25">
      <c r="B7" s="515"/>
      <c r="C7" s="515"/>
      <c r="D7" s="510"/>
      <c r="E7" s="510"/>
      <c r="F7" s="510"/>
      <c r="G7" s="510"/>
      <c r="I7" s="600" t="str">
        <f ca="1">IF(ROW(I7)-ROW(L$5)&gt;MAX(RRE!$V$13:$V$24),"",INDEX(RRE!$J$13:$J$24,MATCH(ROW(I7)-ROW(I$5),RRE!$V$13:$V$24,0)))</f>
        <v/>
      </c>
      <c r="J7" s="601" t="str">
        <f ca="1">IF(I7="","",SUMIF(RRE!$J$13:$J$24,OFÍCIO!$I7,RRE!$L$13:$L$24))</f>
        <v/>
      </c>
      <c r="K7" s="601" t="str">
        <f ca="1">IF(J7="","",SUMIF(RRE!$J$13:$J$24,OFÍCIO!$I7,RRE!$N$13:$N$24))</f>
        <v/>
      </c>
      <c r="L7" s="602" t="str">
        <f ca="1">IF(K7="","",SUMIF(RRE!$J$13:$J$24,OFÍCIO!$I7,RRE!$O$13:$O$24))</f>
        <v/>
      </c>
    </row>
    <row r="8" spans="2:17" x14ac:dyDescent="0.25">
      <c r="B8" s="817" t="str">
        <f ca="1">CONCATENATE(RRE!$E$35,", ",TEXT(RRE!$L$35,"dd"" de ""mmmm"" de ""aaaa"))</f>
        <v>LAGUNA/SC, 04 de julho de 2024</v>
      </c>
      <c r="C8" s="817"/>
      <c r="D8" s="817"/>
      <c r="E8" s="817"/>
      <c r="F8" s="817"/>
      <c r="G8" s="817"/>
      <c r="H8" s="516"/>
      <c r="I8" s="600" t="str">
        <f ca="1">IF(ROW(I8)-ROW(L$5)&gt;MAX(RRE!$V$13:$V$24),"",INDEX(RRE!$J$13:$J$24,MATCH(ROW(I8)-ROW(I$5),RRE!$V$13:$V$24,0)))</f>
        <v/>
      </c>
      <c r="J8" s="601" t="str">
        <f ca="1">IF(I8="","",SUMIF(RRE!$J$13:$J$24,OFÍCIO!$I8,RRE!$L$13:$L$24))</f>
        <v/>
      </c>
      <c r="K8" s="601" t="str">
        <f ca="1">IF(J8="","",SUMIF(RRE!$J$13:$J$24,OFÍCIO!$I8,RRE!$N$13:$N$24))</f>
        <v/>
      </c>
      <c r="L8" s="602" t="str">
        <f ca="1">IF(K8="","",SUMIF(RRE!$J$13:$J$24,OFÍCIO!$I8,RRE!$O$13:$O$24))</f>
        <v/>
      </c>
      <c r="N8" s="516"/>
      <c r="O8" s="516"/>
      <c r="P8" s="516"/>
      <c r="Q8" s="516"/>
    </row>
    <row r="9" spans="2:17" x14ac:dyDescent="0.25">
      <c r="B9" s="517" t="s">
        <v>391</v>
      </c>
      <c r="C9" s="65"/>
      <c r="D9" s="65"/>
      <c r="G9" s="65"/>
      <c r="H9" s="516"/>
      <c r="I9" s="600" t="str">
        <f ca="1">IF(ROW(I9)-ROW(L$5)&gt;MAX(RRE!$V$13:$V$24),"",INDEX(RRE!$J$13:$J$24,MATCH(ROW(I9)-ROW(I$5),RRE!$V$13:$V$24,0)))</f>
        <v/>
      </c>
      <c r="J9" s="601" t="str">
        <f ca="1">IF(I9="","",SUMIF(RRE!$J$13:$J$24,OFÍCIO!$I9,RRE!$L$13:$L$24))</f>
        <v/>
      </c>
      <c r="K9" s="601" t="str">
        <f ca="1">IF(J9="","",SUMIF(RRE!$J$13:$J$24,OFÍCIO!$I9,RRE!$N$13:$N$24))</f>
        <v/>
      </c>
      <c r="L9" s="602" t="str">
        <f ca="1">IF(K9="","",SUMIF(RRE!$J$13:$J$24,OFÍCIO!$I9,RRE!$O$13:$O$24))</f>
        <v/>
      </c>
      <c r="N9" s="516"/>
      <c r="O9" s="516"/>
      <c r="P9" s="516"/>
      <c r="Q9" s="516"/>
    </row>
    <row r="10" spans="2:17" x14ac:dyDescent="0.25">
      <c r="B10" s="818" t="s">
        <v>392</v>
      </c>
      <c r="C10" s="818"/>
      <c r="D10" s="818"/>
      <c r="G10" s="65"/>
      <c r="H10" s="516"/>
      <c r="I10" s="600" t="str">
        <f ca="1">IF(ROW(I10)-ROW(L$5)&gt;MAX(RRE!$V$13:$V$24),"",INDEX(RRE!$J$13:$J$24,MATCH(ROW(I10)-ROW(I$5),RRE!$V$13:$V$24,0)))</f>
        <v/>
      </c>
      <c r="J10" s="601" t="str">
        <f ca="1">IF(I10="","",SUMIF(RRE!$J$13:$J$24,OFÍCIO!$I10,RRE!$L$13:$L$24))</f>
        <v/>
      </c>
      <c r="K10" s="601" t="str">
        <f ca="1">IF(J10="","",SUMIF(RRE!$J$13:$J$24,OFÍCIO!$I10,RRE!$N$13:$N$24))</f>
        <v/>
      </c>
      <c r="L10" s="602" t="str">
        <f ca="1">IF(K10="","",SUMIF(RRE!$J$13:$J$24,OFÍCIO!$I10,RRE!$O$13:$O$24))</f>
        <v/>
      </c>
      <c r="N10" s="516"/>
      <c r="O10" s="516"/>
      <c r="P10" s="516"/>
      <c r="Q10" s="516"/>
    </row>
    <row r="11" spans="2:17" x14ac:dyDescent="0.25">
      <c r="B11" s="518" t="s">
        <v>574</v>
      </c>
      <c r="C11" s="828"/>
      <c r="D11" s="828"/>
      <c r="G11" s="65"/>
      <c r="H11" s="516"/>
      <c r="I11" s="600" t="str">
        <f ca="1">IF(ROW(I11)-ROW(L$5)&gt;MAX(RRE!$V$13:$V$24),"",INDEX(RRE!$J$13:$J$24,MATCH(ROW(I11)-ROW(I$5),RRE!$V$13:$V$24,0)))</f>
        <v/>
      </c>
      <c r="J11" s="601" t="str">
        <f ca="1">IF(I11="","",SUMIF(RRE!$J$13:$J$24,OFÍCIO!$I11,RRE!$L$13:$L$24))</f>
        <v/>
      </c>
      <c r="K11" s="601" t="str">
        <f ca="1">IF(J11="","",SUMIF(RRE!$J$13:$J$24,OFÍCIO!$I11,RRE!$N$13:$N$24))</f>
        <v/>
      </c>
      <c r="L11" s="602" t="str">
        <f ca="1">IF(K11="","",SUMIF(RRE!$J$13:$J$24,OFÍCIO!$I11,RRE!$O$13:$O$24))</f>
        <v/>
      </c>
      <c r="N11" s="516"/>
      <c r="O11" s="516"/>
      <c r="P11" s="516"/>
      <c r="Q11" s="516"/>
    </row>
    <row r="12" spans="2:17" x14ac:dyDescent="0.25">
      <c r="B12" s="519"/>
      <c r="C12" s="519"/>
      <c r="D12" s="519"/>
      <c r="E12" s="519"/>
      <c r="F12" s="519"/>
      <c r="G12" s="65"/>
      <c r="H12" s="516"/>
      <c r="I12" s="600" t="str">
        <f ca="1">IF(ROW(I12)-ROW(L$5)&gt;MAX(RRE!$V$13:$V$24),"",INDEX(RRE!$J$13:$J$24,MATCH(ROW(I12)-ROW(I$5),RRE!$V$13:$V$24,0)))</f>
        <v/>
      </c>
      <c r="J12" s="601" t="str">
        <f ca="1">IF(I12="","",SUMIF(RRE!$J$13:$J$24,OFÍCIO!$I12,RRE!$L$13:$L$24))</f>
        <v/>
      </c>
      <c r="K12" s="601" t="str">
        <f ca="1">IF(J12="","",SUMIF(RRE!$J$13:$J$24,OFÍCIO!$I12,RRE!$N$13:$N$24))</f>
        <v/>
      </c>
      <c r="L12" s="602" t="str">
        <f ca="1">IF(K12="","",SUMIF(RRE!$J$13:$J$24,OFÍCIO!$I12,RRE!$O$13:$O$24))</f>
        <v/>
      </c>
      <c r="N12" s="516"/>
      <c r="O12" s="516"/>
      <c r="P12" s="516"/>
      <c r="Q12" s="516"/>
    </row>
    <row r="13" spans="2:17" x14ac:dyDescent="0.25">
      <c r="B13" s="65"/>
      <c r="C13" s="65"/>
      <c r="D13" s="65"/>
      <c r="E13" s="65"/>
      <c r="F13" s="65"/>
      <c r="G13" s="65"/>
      <c r="I13" s="600" t="str">
        <f ca="1">IF(ROW(I13)-ROW(L$5)&gt;MAX(RRE!$V$13:$V$24),"",INDEX(RRE!$J$13:$J$24,MATCH(ROW(I13)-ROW(I$5),RRE!$V$13:$V$24,0)))</f>
        <v/>
      </c>
      <c r="J13" s="601" t="str">
        <f ca="1">IF(I13="","",SUMIF(RRE!$J$13:$J$24,OFÍCIO!$I13,RRE!$L$13:$L$24))</f>
        <v/>
      </c>
      <c r="K13" s="601" t="str">
        <f ca="1">IF(J13="","",SUMIF(RRE!$J$13:$J$24,OFÍCIO!$I13,RRE!$N$13:$N$24))</f>
        <v/>
      </c>
      <c r="L13" s="602" t="str">
        <f ca="1">IF(K13="","",SUMIF(RRE!$J$13:$J$24,OFÍCIO!$I13,RRE!$O$13:$O$24))</f>
        <v/>
      </c>
    </row>
    <row r="14" spans="2:17" x14ac:dyDescent="0.25">
      <c r="B14" s="517" t="s">
        <v>393</v>
      </c>
      <c r="C14" s="818" t="str">
        <f ca="1">CONCATENATE(RRE.Numero,"ª"," Solicitação de ",IF(import.recurso="OGU","Desbloqueio","Desembolso")," de Recursos.")</f>
        <v>1ª Solicitação de Desembolso de Recursos.</v>
      </c>
      <c r="D14" s="818"/>
      <c r="E14" s="818"/>
      <c r="F14" s="818"/>
      <c r="G14" s="818"/>
      <c r="I14" s="600" t="str">
        <f ca="1">IF(ROW(I14)-ROW(L$5)&gt;MAX(RRE!$V$13:$V$24),"",INDEX(RRE!$J$13:$J$24,MATCH(ROW(I14)-ROW(I$5),RRE!$V$13:$V$24,0)))</f>
        <v/>
      </c>
      <c r="J14" s="601" t="str">
        <f ca="1">IF(I14="","",SUMIF(RRE!$J$13:$J$24,OFÍCIO!$I14,RRE!$L$13:$L$24))</f>
        <v/>
      </c>
      <c r="K14" s="601" t="str">
        <f ca="1">IF(J14="","",SUMIF(RRE!$J$13:$J$24,OFÍCIO!$I14,RRE!$N$13:$N$24))</f>
        <v/>
      </c>
      <c r="L14" s="602" t="str">
        <f ca="1">IF(K14="","",SUMIF(RRE!$J$13:$J$24,OFÍCIO!$I14,RRE!$O$13:$O$24))</f>
        <v/>
      </c>
    </row>
    <row r="15" spans="2:17" ht="12.75" customHeight="1" x14ac:dyDescent="0.25">
      <c r="B15" s="517" t="s">
        <v>394</v>
      </c>
      <c r="C15" s="829" t="str">
        <f>CONCATENATE("Contrato de ",IF(import.recurso="OGU","Repasse","Financiamento")," - Operação nº ",Import.CR,IF(Import.SICONV="","",CONCATENATE(" - SICONV nº ",Import.SICONV)))</f>
        <v xml:space="preserve">Contrato de Financiamento - Operação nº </v>
      </c>
      <c r="D15" s="829"/>
      <c r="E15" s="829"/>
      <c r="F15" s="829"/>
      <c r="G15" s="829"/>
      <c r="I15" s="600" t="str">
        <f ca="1">IF(ROW(I15)-ROW(L$5)&gt;MAX(RRE!$V$13:$V$24),"",INDEX(RRE!$J$13:$J$24,MATCH(ROW(I15)-ROW(I$5),RRE!$V$13:$V$24,0)))</f>
        <v/>
      </c>
      <c r="J15" s="601" t="str">
        <f ca="1">IF(I15="","",SUMIF(RRE!$J$13:$J$24,OFÍCIO!$I15,RRE!$L$13:$L$24))</f>
        <v/>
      </c>
      <c r="K15" s="601" t="str">
        <f ca="1">IF(J15="","",SUMIF(RRE!$J$13:$J$24,OFÍCIO!$I15,RRE!$N$13:$N$24))</f>
        <v/>
      </c>
      <c r="L15" s="602" t="str">
        <f ca="1">IF(K15="","",SUMIF(RRE!$J$13:$J$24,OFÍCIO!$I15,RRE!$O$13:$O$24))</f>
        <v/>
      </c>
    </row>
    <row r="16" spans="2:17" x14ac:dyDescent="0.25">
      <c r="B16" s="517"/>
      <c r="C16" s="829"/>
      <c r="D16" s="829"/>
      <c r="E16" s="829"/>
      <c r="F16" s="829"/>
      <c r="G16" s="829"/>
      <c r="I16" s="600" t="str">
        <f ca="1">IF(ROW(I16)-ROW(L$5)&gt;MAX(RRE!$V$13:$V$24),"",INDEX(RRE!$J$13:$J$24,MATCH(ROW(I16)-ROW(I$5),RRE!$V$13:$V$24,0)))</f>
        <v/>
      </c>
      <c r="J16" s="601" t="str">
        <f ca="1">IF(I16="","",SUMIF(RRE!$J$13:$J$24,OFÍCIO!$I16,RRE!$L$13:$L$24))</f>
        <v/>
      </c>
      <c r="K16" s="601" t="str">
        <f ca="1">IF(J16="","",SUMIF(RRE!$J$13:$J$24,OFÍCIO!$I16,RRE!$N$13:$N$24))</f>
        <v/>
      </c>
      <c r="L16" s="602" t="str">
        <f ca="1">IF(K16="","",SUMIF(RRE!$J$13:$J$24,OFÍCIO!$I16,RRE!$O$13:$O$24))</f>
        <v/>
      </c>
    </row>
    <row r="17" spans="2:12" x14ac:dyDescent="0.25">
      <c r="B17" s="65"/>
      <c r="C17" s="65"/>
      <c r="D17" s="65"/>
      <c r="E17" s="65"/>
      <c r="F17" s="65"/>
      <c r="G17" s="65"/>
      <c r="I17" s="600" t="str">
        <f ca="1">IF(ROW(I17)-ROW(L$5)&gt;MAX(RRE!$V$13:$V$24),"",INDEX(RRE!$J$13:$J$24,MATCH(ROW(I17)-ROW(I$5),RRE!$V$13:$V$24,0)))</f>
        <v/>
      </c>
      <c r="J17" s="601" t="str">
        <f ca="1">IF(I17="","",SUMIF(RRE!$J$13:$J$24,OFÍCIO!$I17,RRE!$L$13:$L$24))</f>
        <v/>
      </c>
      <c r="K17" s="601" t="str">
        <f ca="1">IF(J17="","",SUMIF(RRE!$J$13:$J$24,OFÍCIO!$I17,RRE!$N$13:$N$24))</f>
        <v/>
      </c>
      <c r="L17" s="602" t="str">
        <f ca="1">IF(K17="","",SUMIF(RRE!$J$13:$J$24,OFÍCIO!$I17,RRE!$O$13:$O$24))</f>
        <v/>
      </c>
    </row>
    <row r="18" spans="2:12" ht="12.75" customHeight="1" x14ac:dyDescent="0.25">
      <c r="B18" s="520" t="s">
        <v>395</v>
      </c>
      <c r="C18" s="830" t="str">
        <f>Import.DescLote</f>
        <v xml:space="preserve">ESCOLA BILÍNGUE (PADRÃO FNDE - 5 SALAS)     </v>
      </c>
      <c r="D18" s="830"/>
      <c r="E18" s="830"/>
      <c r="F18" s="830"/>
      <c r="G18" s="830"/>
      <c r="I18" s="600" t="str">
        <f ca="1">IF(ROW(I18)-ROW(L$5)&gt;MAX(RRE!$V$13:$V$24),"",INDEX(RRE!$J$13:$J$24,MATCH(ROW(I18)-ROW(I$5),RRE!$V$13:$V$24,0)))</f>
        <v/>
      </c>
      <c r="J18" s="601" t="str">
        <f ca="1">IF(I18="","",SUMIF(RRE!$J$13:$J$24,OFÍCIO!$I18,RRE!$L$13:$L$24))</f>
        <v/>
      </c>
      <c r="K18" s="601" t="str">
        <f ca="1">IF(J18="","",SUMIF(RRE!$J$13:$J$24,OFÍCIO!$I18,RRE!$N$13:$N$24))</f>
        <v/>
      </c>
      <c r="L18" s="602" t="str">
        <f ca="1">IF(K18="","",SUMIF(RRE!$J$13:$J$24,OFÍCIO!$I18,RRE!$O$13:$O$24))</f>
        <v/>
      </c>
    </row>
    <row r="19" spans="2:12" ht="12.75" customHeight="1" x14ac:dyDescent="0.25">
      <c r="B19" s="826" t="s">
        <v>396</v>
      </c>
      <c r="C19" s="827" t="str">
        <f>Import.Proponente</f>
        <v>PREFEITURA DO MUNICÍPIO DE LAGUNA</v>
      </c>
      <c r="D19" s="827"/>
      <c r="E19" s="827"/>
      <c r="F19" s="827"/>
      <c r="G19" s="827"/>
      <c r="I19" s="600" t="str">
        <f ca="1">IF(ROW(I19)-ROW(L$5)&gt;MAX(RRE!$V$13:$V$24),"",INDEX(RRE!$J$13:$J$24,MATCH(ROW(I19)-ROW(I$5),RRE!$V$13:$V$24,0)))</f>
        <v/>
      </c>
      <c r="J19" s="601" t="str">
        <f ca="1">IF(I19="","",SUMIF(RRE!$J$13:$J$24,OFÍCIO!$I19,RRE!$L$13:$L$24))</f>
        <v/>
      </c>
      <c r="K19" s="601" t="str">
        <f ca="1">IF(J19="","",SUMIF(RRE!$J$13:$J$24,OFÍCIO!$I19,RRE!$N$13:$N$24))</f>
        <v/>
      </c>
      <c r="L19" s="602" t="str">
        <f ca="1">IF(K19="","",SUMIF(RRE!$J$13:$J$24,OFÍCIO!$I19,RRE!$O$13:$O$24))</f>
        <v/>
      </c>
    </row>
    <row r="20" spans="2:12" x14ac:dyDescent="0.25">
      <c r="B20" s="826"/>
      <c r="C20" s="827"/>
      <c r="D20" s="827"/>
      <c r="E20" s="827"/>
      <c r="F20" s="827"/>
      <c r="G20" s="827"/>
      <c r="I20" s="600" t="str">
        <f ca="1">IF(ROW(I20)-ROW(L$5)&gt;MAX(RRE!$V$13:$V$24),"",INDEX(RRE!$J$13:$J$24,MATCH(ROW(I20)-ROW(I$5),RRE!$V$13:$V$24,0)))</f>
        <v/>
      </c>
      <c r="J20" s="601" t="str">
        <f ca="1">IF(I20="","",SUMIF(RRE!$J$13:$J$24,OFÍCIO!$I20,RRE!$L$13:$L$24))</f>
        <v/>
      </c>
      <c r="K20" s="601" t="str">
        <f ca="1">IF(J20="","",SUMIF(RRE!$J$13:$J$24,OFÍCIO!$I20,RRE!$N$13:$N$24))</f>
        <v/>
      </c>
      <c r="L20" s="602" t="str">
        <f ca="1">IF(K20="","",SUMIF(RRE!$J$13:$J$24,OFÍCIO!$I20,RRE!$O$13:$O$24))</f>
        <v/>
      </c>
    </row>
    <row r="21" spans="2:12" x14ac:dyDescent="0.25">
      <c r="B21" s="65"/>
      <c r="C21" s="65"/>
      <c r="D21" s="65"/>
      <c r="E21" s="65"/>
      <c r="F21" s="65"/>
      <c r="G21" s="65"/>
      <c r="I21" s="600" t="str">
        <f ca="1">IF(ROW(I21)-ROW(L$5)&gt;MAX(RRE!$V$13:$V$24),"",INDEX(RRE!$J$13:$J$24,MATCH(ROW(I21)-ROW(I$5),RRE!$V$13:$V$24,0)))</f>
        <v/>
      </c>
      <c r="J21" s="601" t="str">
        <f ca="1">IF(I21="","",SUMIF(RRE!$J$13:$J$24,OFÍCIO!$I21,RRE!$L$13:$L$24))</f>
        <v/>
      </c>
      <c r="K21" s="601" t="str">
        <f ca="1">IF(J21="","",SUMIF(RRE!$J$13:$J$24,OFÍCIO!$I21,RRE!$N$13:$N$24))</f>
        <v/>
      </c>
      <c r="L21" s="602" t="str">
        <f ca="1">IF(K21="","",SUMIF(RRE!$J$13:$J$24,OFÍCIO!$I21,RRE!$O$13:$O$24))</f>
        <v/>
      </c>
    </row>
    <row r="22" spans="2:12" x14ac:dyDescent="0.25">
      <c r="B22" s="104" t="str">
        <f>IF(B11="GIGOV","Senhor Gerente","Senhor Superintendente")</f>
        <v>Senhor Superintendente</v>
      </c>
      <c r="D22" s="65"/>
      <c r="E22" s="65"/>
      <c r="F22" s="65"/>
      <c r="G22" s="65"/>
      <c r="I22" s="600" t="str">
        <f ca="1">IF(ROW(I22)-ROW(L$5)&gt;MAX(RRE!$V$13:$V$24),"",INDEX(RRE!$J$13:$J$24,MATCH(ROW(I22)-ROW(I$5),RRE!$V$13:$V$24,0)))</f>
        <v/>
      </c>
      <c r="J22" s="601" t="str">
        <f ca="1">IF(I22="","",SUMIF(RRE!$J$13:$J$24,OFÍCIO!$I22,RRE!$L$13:$L$24))</f>
        <v/>
      </c>
      <c r="K22" s="601" t="str">
        <f ca="1">IF(J22="","",SUMIF(RRE!$J$13:$J$24,OFÍCIO!$I22,RRE!$N$13:$N$24))</f>
        <v/>
      </c>
      <c r="L22" s="602" t="str">
        <f ca="1">IF(K22="","",SUMIF(RRE!$J$13:$J$24,OFÍCIO!$I22,RRE!$O$13:$O$24))</f>
        <v/>
      </c>
    </row>
    <row r="23" spans="2:12" x14ac:dyDescent="0.25">
      <c r="B23" s="65"/>
      <c r="C23" s="65"/>
      <c r="D23" s="65"/>
      <c r="E23" s="65"/>
      <c r="F23" s="65"/>
      <c r="G23" s="65"/>
      <c r="I23" s="600" t="str">
        <f ca="1">IF(ROW(I23)-ROW(L$5)&gt;MAX(RRE!$V$13:$V$24),"",INDEX(RRE!$J$13:$J$24,MATCH(ROW(I23)-ROW(I$5),RRE!$V$13:$V$24,0)))</f>
        <v/>
      </c>
      <c r="J23" s="601" t="str">
        <f ca="1">IF(I23="","",SUMIF(RRE!$J$13:$J$24,OFÍCIO!$I23,RRE!$L$13:$L$24))</f>
        <v/>
      </c>
      <c r="K23" s="601" t="str">
        <f ca="1">IF(J23="","",SUMIF(RRE!$J$13:$J$24,OFÍCIO!$I23,RRE!$N$13:$N$24))</f>
        <v/>
      </c>
      <c r="L23" s="602" t="str">
        <f ca="1">IF(K23="","",SUMIF(RRE!$J$13:$J$24,OFÍCIO!$I23,RRE!$O$13:$O$24))</f>
        <v/>
      </c>
    </row>
    <row r="24" spans="2:12" ht="12.75" customHeight="1" x14ac:dyDescent="0.25">
      <c r="B24" s="824" t="str">
        <f>CONCATENATE("1. Vimos pelo presente, solicitar à Caixa Econômica Federal autorização para ",IF(import.recurso="OGU","desbloqueio","desembolso")," da parcela de recursos relativa ao Contrato de ",IF(import.recurso="OGU","Repasse","Financiamento")," em referência, conforme valores abaixo discriminados e, para tanto, anexamos a documentação necessária ao pleito.")</f>
        <v>1. Vimos pelo presente, solicitar à Caixa Econômica Federal autorização para desembolso da parcela de recursos relativa ao Contrato de Financiamento em referência, conforme valores abaixo discriminados e, para tanto, anexamos a documentação necessária ao pleito.</v>
      </c>
      <c r="C24" s="824"/>
      <c r="D24" s="824"/>
      <c r="E24" s="824"/>
      <c r="F24" s="824"/>
      <c r="G24" s="824"/>
      <c r="I24" s="600" t="str">
        <f ca="1">IF(ROW(I24)-ROW(L$5)&gt;MAX(RRE!$V$13:$V$24),"",INDEX(RRE!$J$13:$J$24,MATCH(ROW(I24)-ROW(I$5),RRE!$V$13:$V$24,0)))</f>
        <v/>
      </c>
      <c r="J24" s="601" t="str">
        <f ca="1">IF(I24="","",SUMIF(RRE!$J$13:$J$24,OFÍCIO!$I24,RRE!$L$13:$L$24))</f>
        <v/>
      </c>
      <c r="K24" s="601" t="str">
        <f ca="1">IF(J24="","",SUMIF(RRE!$J$13:$J$24,OFÍCIO!$I24,RRE!$N$13:$N$24))</f>
        <v/>
      </c>
      <c r="L24" s="602" t="str">
        <f ca="1">IF(K24="","",SUMIF(RRE!$J$13:$J$24,OFÍCIO!$I24,RRE!$O$13:$O$24))</f>
        <v/>
      </c>
    </row>
    <row r="25" spans="2:12" x14ac:dyDescent="0.25">
      <c r="B25" s="824"/>
      <c r="C25" s="824"/>
      <c r="D25" s="824"/>
      <c r="E25" s="824"/>
      <c r="F25" s="824"/>
      <c r="G25" s="824"/>
      <c r="I25" s="600" t="str">
        <f ca="1">IF(ROW(I25)-ROW(L$5)&gt;MAX(RRE!$V$13:$V$24),"",INDEX(RRE!$J$13:$J$24,MATCH(ROW(I25)-ROW(I$5),RRE!$V$13:$V$24,0)))</f>
        <v/>
      </c>
      <c r="J25" s="601" t="str">
        <f ca="1">IF(I25="","",SUMIF(RRE!$J$13:$J$24,OFÍCIO!$I25,RRE!$L$13:$L$24))</f>
        <v/>
      </c>
      <c r="K25" s="601" t="str">
        <f ca="1">IF(J25="","",SUMIF(RRE!$J$13:$J$24,OFÍCIO!$I25,RRE!$N$13:$N$24))</f>
        <v/>
      </c>
      <c r="L25" s="602" t="str">
        <f ca="1">IF(K25="","",SUMIF(RRE!$J$13:$J$24,OFÍCIO!$I25,RRE!$O$13:$O$24))</f>
        <v/>
      </c>
    </row>
    <row r="26" spans="2:12" x14ac:dyDescent="0.25">
      <c r="B26" s="824"/>
      <c r="C26" s="824"/>
      <c r="D26" s="824"/>
      <c r="E26" s="824"/>
      <c r="F26" s="824"/>
      <c r="G26" s="824"/>
      <c r="I26" s="600" t="str">
        <f ca="1">IF(ROW(I26)-ROW(L$5)&gt;MAX(RRE!$V$13:$V$24),"",INDEX(RRE!$J$13:$J$24,MATCH(ROW(I26)-ROW(I$5),RRE!$V$13:$V$24,0)))</f>
        <v/>
      </c>
      <c r="J26" s="601" t="str">
        <f ca="1">IF(I26="","",SUMIF(RRE!$J$13:$J$24,OFÍCIO!$I26,RRE!$L$13:$L$24))</f>
        <v/>
      </c>
      <c r="K26" s="601" t="str">
        <f ca="1">IF(J26="","",SUMIF(RRE!$J$13:$J$24,OFÍCIO!$I26,RRE!$N$13:$N$24))</f>
        <v/>
      </c>
      <c r="L26" s="602" t="str">
        <f ca="1">IF(K26="","",SUMIF(RRE!$J$13:$J$24,OFÍCIO!$I26,RRE!$O$13:$O$24))</f>
        <v/>
      </c>
    </row>
    <row r="27" spans="2:12" x14ac:dyDescent="0.25">
      <c r="B27" s="65"/>
      <c r="C27" s="65"/>
      <c r="D27" s="65"/>
      <c r="E27" s="65"/>
      <c r="F27" s="65"/>
      <c r="G27" s="65"/>
      <c r="I27" s="600" t="str">
        <f ca="1">IF(ROW(I27)-ROW(L$5)&gt;MAX(RRE!$V$13:$V$24),"",INDEX(RRE!$J$13:$J$24,MATCH(ROW(I27)-ROW(I$5),RRE!$V$13:$V$24,0)))</f>
        <v/>
      </c>
      <c r="J27" s="601" t="str">
        <f ca="1">IF(I27="","",SUMIF(RRE!$J$13:$J$24,OFÍCIO!$I27,RRE!$L$13:$L$24))</f>
        <v/>
      </c>
      <c r="K27" s="601" t="str">
        <f ca="1">IF(J27="","",SUMIF(RRE!$J$13:$J$24,OFÍCIO!$I27,RRE!$N$13:$N$24))</f>
        <v/>
      </c>
      <c r="L27" s="602" t="str">
        <f ca="1">IF(K27="","",SUMIF(RRE!$J$13:$J$24,OFÍCIO!$I27,RRE!$O$13:$O$24))</f>
        <v/>
      </c>
    </row>
    <row r="28" spans="2:12" ht="12.75" customHeight="1" x14ac:dyDescent="0.25">
      <c r="B28" s="825"/>
      <c r="C28" s="825"/>
      <c r="D28" s="832" t="s">
        <v>397</v>
      </c>
      <c r="E28" s="832" t="str">
        <f ca="1">"Evolução da "&amp;RRE.Numero&amp;"ª Medição"</f>
        <v>Evolução da 1ª Medição</v>
      </c>
      <c r="F28" s="833" t="s">
        <v>398</v>
      </c>
      <c r="G28" s="833"/>
      <c r="I28" s="600" t="str">
        <f ca="1">IF(ROW(I28)-ROW(L$5)&gt;MAX(RRE!$V$13:$V$24),"",INDEX(RRE!$J$13:$J$24,MATCH(ROW(I28)-ROW(I$5),RRE!$V$13:$V$24,0)))</f>
        <v/>
      </c>
      <c r="J28" s="601" t="str">
        <f ca="1">IF(I28="","",SUMIF(RRE!$J$13:$J$24,OFÍCIO!$I28,RRE!$L$13:$L$24))</f>
        <v/>
      </c>
      <c r="K28" s="601" t="str">
        <f ca="1">IF(J28="","",SUMIF(RRE!$J$13:$J$24,OFÍCIO!$I28,RRE!$N$13:$N$24))</f>
        <v/>
      </c>
      <c r="L28" s="602" t="str">
        <f ca="1">IF(K28="","",SUMIF(RRE!$J$13:$J$24,OFÍCIO!$I28,RRE!$O$13:$O$24))</f>
        <v/>
      </c>
    </row>
    <row r="29" spans="2:12" x14ac:dyDescent="0.25">
      <c r="B29" s="825"/>
      <c r="C29" s="825"/>
      <c r="D29" s="832"/>
      <c r="E29" s="832"/>
      <c r="F29" s="833"/>
      <c r="G29" s="833"/>
      <c r="I29" s="600" t="str">
        <f ca="1">IF(ROW(I29)-ROW(L$5)&gt;MAX(RRE!$V$13:$V$24),"",INDEX(RRE!$J$13:$J$24,MATCH(ROW(I29)-ROW(I$5),RRE!$V$13:$V$24,0)))</f>
        <v/>
      </c>
      <c r="J29" s="601" t="str">
        <f ca="1">IF(I29="","",SUMIF(RRE!$J$13:$J$24,OFÍCIO!$I29,RRE!$L$13:$L$24))</f>
        <v/>
      </c>
      <c r="K29" s="601" t="str">
        <f ca="1">IF(J29="","",SUMIF(RRE!$J$13:$J$24,OFÍCIO!$I29,RRE!$N$13:$N$24))</f>
        <v/>
      </c>
      <c r="L29" s="602" t="str">
        <f ca="1">IF(K29="","",SUMIF(RRE!$J$13:$J$24,OFÍCIO!$I29,RRE!$O$13:$O$24))</f>
        <v/>
      </c>
    </row>
    <row r="30" spans="2:12" x14ac:dyDescent="0.25">
      <c r="B30" s="834" t="str">
        <f>IF(import.recurso="FGTS","Financiamento:","Repasse:")</f>
        <v>Repasse:</v>
      </c>
      <c r="C30" s="834"/>
      <c r="D30" s="521">
        <f ca="1">RRE!L25</f>
        <v>0</v>
      </c>
      <c r="E30" s="521">
        <f ca="1">RRE!N25</f>
        <v>0</v>
      </c>
      <c r="F30" s="835">
        <f ca="1">RRE!O25</f>
        <v>0</v>
      </c>
      <c r="G30" s="835"/>
      <c r="I30" s="600" t="str">
        <f ca="1">IF(ROW(I30)-ROW(L$5)&gt;MAX(RRE!$V$13:$V$24),"",INDEX(RRE!$J$13:$J$24,MATCH(ROW(I30)-ROW(I$5),RRE!$V$13:$V$24,0)))</f>
        <v/>
      </c>
      <c r="J30" s="601" t="str">
        <f ca="1">IF(I30="","",SUMIF(RRE!$J$13:$J$24,OFÍCIO!$I30,RRE!$L$13:$L$24))</f>
        <v/>
      </c>
      <c r="K30" s="601" t="str">
        <f ca="1">IF(J30="","",SUMIF(RRE!$J$13:$J$24,OFÍCIO!$I30,RRE!$N$13:$N$24))</f>
        <v/>
      </c>
      <c r="L30" s="602" t="str">
        <f ca="1">IF(K30="","",SUMIF(RRE!$J$13:$J$24,OFÍCIO!$I30,RRE!$O$13:$O$24))</f>
        <v/>
      </c>
    </row>
    <row r="31" spans="2:12" x14ac:dyDescent="0.25">
      <c r="B31" s="834" t="s">
        <v>399</v>
      </c>
      <c r="C31" s="834"/>
      <c r="D31" s="521">
        <f ca="1">RRE!L26</f>
        <v>0</v>
      </c>
      <c r="E31" s="521">
        <f ca="1">RRE!N26</f>
        <v>0</v>
      </c>
      <c r="F31" s="835">
        <f ca="1">RRE!O26</f>
        <v>0</v>
      </c>
      <c r="G31" s="835"/>
      <c r="I31" s="600" t="str">
        <f ca="1">IF(ROW(I31)-ROW(L$5)&gt;MAX(RRE!$V$13:$V$24),"",INDEX(RRE!$J$13:$J$24,MATCH(ROW(I31)-ROW(I$5),RRE!$V$13:$V$24,0)))</f>
        <v/>
      </c>
      <c r="J31" s="601" t="str">
        <f ca="1">IF(I31="","",SUMIF(RRE!$J$13:$J$24,OFÍCIO!$I31,RRE!$L$13:$L$24))</f>
        <v/>
      </c>
      <c r="K31" s="601" t="str">
        <f ca="1">IF(J31="","",SUMIF(RRE!$J$13:$J$24,OFÍCIO!$I31,RRE!$N$13:$N$24))</f>
        <v/>
      </c>
      <c r="L31" s="602" t="str">
        <f ca="1">IF(K31="","",SUMIF(RRE!$J$13:$J$24,OFÍCIO!$I31,RRE!$O$13:$O$24))</f>
        <v/>
      </c>
    </row>
    <row r="32" spans="2:12" x14ac:dyDescent="0.25">
      <c r="B32" s="834" t="s">
        <v>287</v>
      </c>
      <c r="C32" s="834"/>
      <c r="D32" s="521">
        <f ca="1">RRE!L27</f>
        <v>0</v>
      </c>
      <c r="E32" s="521">
        <f ca="1">RRE!N27</f>
        <v>0</v>
      </c>
      <c r="F32" s="835">
        <f ca="1">RRE!O27</f>
        <v>0</v>
      </c>
      <c r="G32" s="835"/>
      <c r="I32" s="600" t="str">
        <f ca="1">IF(ROW(I32)-ROW(L$5)&gt;MAX(RRE!$V$13:$V$24),"",INDEX(RRE!$J$13:$J$24,MATCH(ROW(I32)-ROW(I$5),RRE!$V$13:$V$24,0)))</f>
        <v/>
      </c>
      <c r="J32" s="601" t="str">
        <f ca="1">IF(I32="","",SUMIF(RRE!$J$13:$J$24,OFÍCIO!$I32,RRE!$L$13:$L$24))</f>
        <v/>
      </c>
      <c r="K32" s="601" t="str">
        <f ca="1">IF(J32="","",SUMIF(RRE!$J$13:$J$24,OFÍCIO!$I32,RRE!$N$13:$N$24))</f>
        <v/>
      </c>
      <c r="L32" s="602" t="str">
        <f ca="1">IF(K32="","",SUMIF(RRE!$J$13:$J$24,OFÍCIO!$I32,RRE!$O$13:$O$24))</f>
        <v/>
      </c>
    </row>
    <row r="33" spans="2:12" x14ac:dyDescent="0.25">
      <c r="B33" s="834" t="s">
        <v>288</v>
      </c>
      <c r="C33" s="834"/>
      <c r="D33" s="521">
        <f ca="1">RRE!L28</f>
        <v>0</v>
      </c>
      <c r="E33" s="521">
        <f ca="1">RRE!N28</f>
        <v>0</v>
      </c>
      <c r="F33" s="835">
        <f ca="1">RRE!O28</f>
        <v>0</v>
      </c>
      <c r="G33" s="835"/>
      <c r="I33" s="600" t="str">
        <f ca="1">IF(ROW(I33)-ROW(L$5)&gt;MAX(RRE!$V$13:$V$24),"",INDEX(RRE!$J$13:$J$24,MATCH(ROW(I33)-ROW(I$5),RRE!$V$13:$V$24,0)))</f>
        <v/>
      </c>
      <c r="J33" s="601" t="str">
        <f ca="1">IF(I33="","",SUMIF(RRE!$J$13:$J$24,OFÍCIO!$I33,RRE!$L$13:$L$24))</f>
        <v/>
      </c>
      <c r="K33" s="601" t="str">
        <f ca="1">IF(J33="","",SUMIF(RRE!$J$13:$J$24,OFÍCIO!$I33,RRE!$N$13:$N$24))</f>
        <v/>
      </c>
      <c r="L33" s="602" t="str">
        <f ca="1">IF(K33="","",SUMIF(RRE!$J$13:$J$24,OFÍCIO!$I33,RRE!$O$13:$O$24))</f>
        <v/>
      </c>
    </row>
    <row r="34" spans="2:12" x14ac:dyDescent="0.25">
      <c r="B34" s="838" t="s">
        <v>400</v>
      </c>
      <c r="C34" s="838"/>
      <c r="D34" s="522" t="s">
        <v>168</v>
      </c>
      <c r="E34" s="523">
        <f ca="1">RRE!$N$28/(RRE!$L$28+10^-12)</f>
        <v>0</v>
      </c>
      <c r="F34" s="839">
        <f ca="1">RRE!P24</f>
        <v>0</v>
      </c>
      <c r="G34" s="839"/>
      <c r="I34" s="600" t="str">
        <f ca="1">IF(ROW(I34)-ROW(L$5)&gt;MAX(RRE!$V$13:$V$24),"",INDEX(RRE!$J$13:$J$24,MATCH(ROW(I34)-ROW(I$5),RRE!$V$13:$V$24,0)))</f>
        <v/>
      </c>
      <c r="J34" s="601" t="str">
        <f ca="1">IF(I34="","",SUMIF(RRE!$J$13:$J$24,OFÍCIO!$I34,RRE!$L$13:$L$24))</f>
        <v/>
      </c>
      <c r="K34" s="601" t="str">
        <f ca="1">IF(J34="","",SUMIF(RRE!$J$13:$J$24,OFÍCIO!$I34,RRE!$N$13:$N$24))</f>
        <v/>
      </c>
      <c r="L34" s="602" t="str">
        <f ca="1">IF(K34="","",SUMIF(RRE!$J$13:$J$24,OFÍCIO!$I34,RRE!$O$13:$O$24))</f>
        <v/>
      </c>
    </row>
    <row r="35" spans="2:12" x14ac:dyDescent="0.25">
      <c r="B35" s="229"/>
      <c r="C35" s="65"/>
      <c r="D35" s="65"/>
      <c r="E35" s="65"/>
      <c r="F35" s="65"/>
      <c r="G35" s="65"/>
      <c r="I35" s="600" t="str">
        <f ca="1">IF(ROW(I35)-ROW(L$5)&gt;MAX(RRE!$V$13:$V$24),"",INDEX(RRE!$J$13:$J$24,MATCH(ROW(I35)-ROW(I$5),RRE!$V$13:$V$24,0)))</f>
        <v/>
      </c>
      <c r="J35" s="601" t="str">
        <f ca="1">IF(I35="","",SUMIF(RRE!$J$13:$J$24,OFÍCIO!$I35,RRE!$L$13:$L$24))</f>
        <v/>
      </c>
      <c r="K35" s="601" t="str">
        <f ca="1">IF(J35="","",SUMIF(RRE!$J$13:$J$24,OFÍCIO!$I35,RRE!$N$13:$N$24))</f>
        <v/>
      </c>
      <c r="L35" s="602" t="str">
        <f ca="1">IF(K35="","",SUMIF(RRE!$J$13:$J$24,OFÍCIO!$I35,RRE!$O$13:$O$24))</f>
        <v/>
      </c>
    </row>
    <row r="36" spans="2:12" x14ac:dyDescent="0.25">
      <c r="B36" s="229"/>
      <c r="C36" s="229"/>
      <c r="D36" s="229"/>
      <c r="E36" s="229"/>
      <c r="F36" s="229"/>
      <c r="G36" s="65"/>
      <c r="I36" s="600" t="str">
        <f ca="1">IF(ROW(I36)-ROW(L$5)&gt;MAX(RRE!$V$13:$V$24),"",INDEX(RRE!$J$13:$J$24,MATCH(ROW(I36)-ROW(I$5),RRE!$V$13:$V$24,0)))</f>
        <v/>
      </c>
      <c r="J36" s="601" t="str">
        <f ca="1">IF(I36="","",SUMIF(RRE!$J$13:$J$24,OFÍCIO!$I36,RRE!$L$13:$L$24))</f>
        <v/>
      </c>
      <c r="K36" s="601" t="str">
        <f ca="1">IF(J36="","",SUMIF(RRE!$J$13:$J$24,OFÍCIO!$I36,RRE!$N$13:$N$24))</f>
        <v/>
      </c>
      <c r="L36" s="602" t="str">
        <f ca="1">IF(K36="","",SUMIF(RRE!$J$13:$J$24,OFÍCIO!$I36,RRE!$O$13:$O$24))</f>
        <v/>
      </c>
    </row>
    <row r="37" spans="2:12" x14ac:dyDescent="0.25">
      <c r="B37" s="831" t="str">
        <f ca="1">IF(RRE.Numero&gt;1,"2. Encaminhamos ainda a documentação relativa à prestação de contas da etapa físico-financeira anterior.","")</f>
        <v/>
      </c>
      <c r="C37" s="831"/>
      <c r="D37" s="831"/>
      <c r="E37" s="831"/>
      <c r="F37" s="831"/>
      <c r="G37" s="831"/>
      <c r="I37" s="600" t="str">
        <f ca="1">IF(ROW(I37)-ROW(L$5)&gt;MAX(RRE!$V$13:$V$24),"",INDEX(RRE!$J$13:$J$24,MATCH(ROW(I37)-ROW(I$5),RRE!$V$13:$V$24,0)))</f>
        <v/>
      </c>
      <c r="J37" s="601" t="str">
        <f ca="1">IF(I37="","",SUMIF(RRE!$J$13:$J$24,OFÍCIO!$I37,RRE!$L$13:$L$24))</f>
        <v/>
      </c>
      <c r="K37" s="601" t="str">
        <f ca="1">IF(J37="","",SUMIF(RRE!$J$13:$J$24,OFÍCIO!$I37,RRE!$N$13:$N$24))</f>
        <v/>
      </c>
      <c r="L37" s="602" t="str">
        <f ca="1">IF(K37="","",SUMIF(RRE!$J$13:$J$24,OFÍCIO!$I37,RRE!$O$13:$O$24))</f>
        <v/>
      </c>
    </row>
    <row r="38" spans="2:12" x14ac:dyDescent="0.25">
      <c r="B38" s="831"/>
      <c r="C38" s="831"/>
      <c r="D38" s="831"/>
      <c r="E38" s="831"/>
      <c r="F38" s="831"/>
      <c r="G38" s="831"/>
      <c r="I38" s="600" t="str">
        <f ca="1">IF(ROW(I38)-ROW(L$5)&gt;MAX(RRE!$V$13:$V$24),"",INDEX(RRE!$J$13:$J$24,MATCH(ROW(I38)-ROW(I$5),RRE!$V$13:$V$24,0)))</f>
        <v/>
      </c>
      <c r="J38" s="601" t="str">
        <f ca="1">IF(I38="","",SUMIF(RRE!$J$13:$J$24,OFÍCIO!$I38,RRE!$L$13:$L$24))</f>
        <v/>
      </c>
      <c r="K38" s="601" t="str">
        <f ca="1">IF(J38="","",SUMIF(RRE!$J$13:$J$24,OFÍCIO!$I38,RRE!$N$13:$N$24))</f>
        <v/>
      </c>
      <c r="L38" s="602" t="str">
        <f ca="1">IF(K38="","",SUMIF(RRE!$J$13:$J$24,OFÍCIO!$I38,RRE!$O$13:$O$24))</f>
        <v/>
      </c>
    </row>
    <row r="39" spans="2:12" ht="12.75" customHeight="1" x14ac:dyDescent="0.25">
      <c r="B39" s="831" t="str">
        <f ca="1">IF(AND(RRE.Numero&gt;1,NOT(ISBLANK(Import.SICONV))),"3. Na oportunidade, informamos que a execução financeira da parcela anterior está devidamente comprovada no SICONV.","")</f>
        <v/>
      </c>
      <c r="C39" s="831"/>
      <c r="D39" s="831"/>
      <c r="E39" s="831"/>
      <c r="F39" s="831"/>
      <c r="G39" s="831"/>
      <c r="I39" s="600" t="str">
        <f ca="1">IF(ROW(I39)-ROW(L$5)&gt;MAX(RRE!$V$13:$V$24),"",INDEX(RRE!$J$13:$J$24,MATCH(ROW(I39)-ROW(I$5),RRE!$V$13:$V$24,0)))</f>
        <v/>
      </c>
      <c r="J39" s="601" t="str">
        <f ca="1">IF(I39="","",SUMIF(RRE!$J$13:$J$24,OFÍCIO!$I39,RRE!$L$13:$L$24))</f>
        <v/>
      </c>
      <c r="K39" s="601" t="str">
        <f ca="1">IF(J39="","",SUMIF(RRE!$J$13:$J$24,OFÍCIO!$I39,RRE!$N$13:$N$24))</f>
        <v/>
      </c>
      <c r="L39" s="602" t="str">
        <f ca="1">IF(K39="","",SUMIF(RRE!$J$13:$J$24,OFÍCIO!$I39,RRE!$O$13:$O$24))</f>
        <v/>
      </c>
    </row>
    <row r="40" spans="2:12" x14ac:dyDescent="0.25">
      <c r="B40" s="831"/>
      <c r="C40" s="831"/>
      <c r="D40" s="831"/>
      <c r="E40" s="831"/>
      <c r="F40" s="831"/>
      <c r="G40" s="831"/>
      <c r="I40" s="600" t="str">
        <f ca="1">IF(ROW(I40)-ROW(L$5)&gt;MAX(RRE!$V$13:$V$24),"",INDEX(RRE!$J$13:$J$24,MATCH(ROW(I40)-ROW(I$5),RRE!$V$13:$V$24,0)))</f>
        <v/>
      </c>
      <c r="J40" s="601" t="str">
        <f ca="1">IF(I40="","",SUMIF(RRE!$J$13:$J$24,OFÍCIO!$I40,RRE!$L$13:$L$24))</f>
        <v/>
      </c>
      <c r="K40" s="601" t="str">
        <f ca="1">IF(J40="","",SUMIF(RRE!$J$13:$J$24,OFÍCIO!$I40,RRE!$N$13:$N$24))</f>
        <v/>
      </c>
      <c r="L40" s="602" t="str">
        <f ca="1">IF(K40="","",SUMIF(RRE!$J$13:$J$24,OFÍCIO!$I40,RRE!$O$13:$O$24))</f>
        <v/>
      </c>
    </row>
    <row r="41" spans="2:12" x14ac:dyDescent="0.25">
      <c r="B41" s="524"/>
      <c r="C41" s="518"/>
      <c r="D41" s="518"/>
      <c r="E41" s="518"/>
      <c r="F41" s="518"/>
      <c r="G41" s="518"/>
      <c r="I41" s="600" t="str">
        <f ca="1">IF(ROW(I41)-ROW(L$5)&gt;MAX(RRE!$V$13:$V$24),"",INDEX(RRE!$J$13:$J$24,MATCH(ROW(I41)-ROW(I$5),RRE!$V$13:$V$24,0)))</f>
        <v/>
      </c>
      <c r="J41" s="601" t="str">
        <f ca="1">IF(I41="","",SUMIF(RRE!$J$13:$J$24,OFÍCIO!$I41,RRE!$L$13:$L$24))</f>
        <v/>
      </c>
      <c r="K41" s="601" t="str">
        <f ca="1">IF(J41="","",SUMIF(RRE!$J$13:$J$24,OFÍCIO!$I41,RRE!$N$13:$N$24))</f>
        <v/>
      </c>
      <c r="L41" s="602" t="str">
        <f ca="1">IF(K41="","",SUMIF(RRE!$J$13:$J$24,OFÍCIO!$I41,RRE!$O$13:$O$24))</f>
        <v/>
      </c>
    </row>
    <row r="42" spans="2:12" ht="12.75" customHeight="1" x14ac:dyDescent="0.25">
      <c r="B42" s="831" t="str">
        <f ca="1">IF($B$37="",0,1)+IF($B$39="",0,1)+2&amp;". Informamos também a manutenção da Placa de Obra em local visível e de acordo com padrão estabelecido pela Presidência da República, constante do Manual Visual de Placas e Adesivos de Obra."</f>
        <v>2. Informamos também a manutenção da Placa de Obra em local visível e de acordo com padrão estabelecido pela Presidência da República, constante do Manual Visual de Placas e Adesivos de Obra.</v>
      </c>
      <c r="C42" s="831"/>
      <c r="D42" s="831"/>
      <c r="E42" s="831"/>
      <c r="F42" s="831"/>
      <c r="G42" s="831"/>
      <c r="I42" s="600" t="str">
        <f ca="1">IF(ROW(I42)-ROW(L$5)&gt;MAX(RRE!$V$13:$V$24),"",INDEX(RRE!$J$13:$J$24,MATCH(ROW(I42)-ROW(I$5),RRE!$V$13:$V$24,0)))</f>
        <v/>
      </c>
      <c r="J42" s="601" t="str">
        <f ca="1">IF(I42="","",SUMIF(RRE!$J$13:$J$24,OFÍCIO!$I42,RRE!$L$13:$L$24))</f>
        <v/>
      </c>
      <c r="K42" s="601" t="str">
        <f ca="1">IF(J42="","",SUMIF(RRE!$J$13:$J$24,OFÍCIO!$I42,RRE!$N$13:$N$24))</f>
        <v/>
      </c>
      <c r="L42" s="602" t="str">
        <f ca="1">IF(K42="","",SUMIF(RRE!$J$13:$J$24,OFÍCIO!$I42,RRE!$O$13:$O$24))</f>
        <v/>
      </c>
    </row>
    <row r="43" spans="2:12" x14ac:dyDescent="0.25">
      <c r="B43" s="831"/>
      <c r="C43" s="831"/>
      <c r="D43" s="831"/>
      <c r="E43" s="831"/>
      <c r="F43" s="831"/>
      <c r="G43" s="831"/>
      <c r="I43" s="600" t="str">
        <f ca="1">IF(ROW(I43)-ROW(L$5)&gt;MAX(RRE!$V$13:$V$24),"",INDEX(RRE!$J$13:$J$24,MATCH(ROW(I43)-ROW(I$5),RRE!$V$13:$V$24,0)))</f>
        <v/>
      </c>
      <c r="J43" s="601" t="str">
        <f ca="1">IF(I43="","",SUMIF(RRE!$J$13:$J$24,OFÍCIO!$I43,RRE!$L$13:$L$24))</f>
        <v/>
      </c>
      <c r="K43" s="601" t="str">
        <f ca="1">IF(J43="","",SUMIF(RRE!$J$13:$J$24,OFÍCIO!$I43,RRE!$N$13:$N$24))</f>
        <v/>
      </c>
      <c r="L43" s="602" t="str">
        <f ca="1">IF(K43="","",SUMIF(RRE!$J$13:$J$24,OFÍCIO!$I43,RRE!$O$13:$O$24))</f>
        <v/>
      </c>
    </row>
    <row r="44" spans="2:12" x14ac:dyDescent="0.25">
      <c r="B44" s="831"/>
      <c r="C44" s="831"/>
      <c r="D44" s="831"/>
      <c r="E44" s="831"/>
      <c r="F44" s="831"/>
      <c r="G44" s="831"/>
      <c r="I44" s="600" t="str">
        <f ca="1">IF(ROW(I44)-ROW(L$5)&gt;MAX(RRE!$V$13:$V$24),"",INDEX(RRE!$J$13:$J$24,MATCH(ROW(I44)-ROW(I$5),RRE!$V$13:$V$24,0)))</f>
        <v/>
      </c>
      <c r="J44" s="601" t="str">
        <f ca="1">IF(I44="","",SUMIF(RRE!$J$13:$J$24,OFÍCIO!$I44,RRE!$L$13:$L$24))</f>
        <v/>
      </c>
      <c r="K44" s="601" t="str">
        <f ca="1">IF(J44="","",SUMIF(RRE!$J$13:$J$24,OFÍCIO!$I44,RRE!$N$13:$N$24))</f>
        <v/>
      </c>
      <c r="L44" s="602" t="str">
        <f ca="1">IF(K44="","",SUMIF(RRE!$J$13:$J$24,OFÍCIO!$I44,RRE!$O$13:$O$24))</f>
        <v/>
      </c>
    </row>
    <row r="45" spans="2:12" x14ac:dyDescent="0.25">
      <c r="B45" s="831"/>
      <c r="C45" s="831"/>
      <c r="D45" s="831"/>
      <c r="E45" s="831"/>
      <c r="F45" s="831"/>
      <c r="G45" s="831"/>
      <c r="I45" s="600" t="str">
        <f ca="1">IF(ROW(I45)-ROW(L$5)&gt;MAX(RRE!$V$13:$V$24),"",INDEX(RRE!$J$13:$J$24,MATCH(ROW(I45)-ROW(I$5),RRE!$V$13:$V$24,0)))</f>
        <v/>
      </c>
      <c r="J45" s="601" t="str">
        <f ca="1">IF(I45="","",SUMIF(RRE!$J$13:$J$24,OFÍCIO!$I45,RRE!$L$13:$L$24))</f>
        <v/>
      </c>
      <c r="K45" s="601" t="str">
        <f ca="1">IF(J45="","",SUMIF(RRE!$J$13:$J$24,OFÍCIO!$I45,RRE!$N$13:$N$24))</f>
        <v/>
      </c>
      <c r="L45" s="602" t="str">
        <f ca="1">IF(K45="","",SUMIF(RRE!$J$13:$J$24,OFÍCIO!$I45,RRE!$O$13:$O$24))</f>
        <v/>
      </c>
    </row>
    <row r="46" spans="2:12" ht="13.8" thickBot="1" x14ac:dyDescent="0.3">
      <c r="B46" s="831"/>
      <c r="C46" s="831"/>
      <c r="D46" s="831"/>
      <c r="E46" s="831"/>
      <c r="F46" s="831"/>
      <c r="G46" s="831"/>
      <c r="I46" s="603" t="str">
        <f ca="1">IF(ROW(I46)-ROW(L$5)&gt;MAX(RRE!$V$13:$V$24),"",INDEX(RRE!$J$13:$J$24,MATCH(ROW(I46)-ROW(I$5),RRE!$V$13:$V$24,0)))</f>
        <v/>
      </c>
      <c r="J46" s="604" t="str">
        <f ca="1">IF(I46="","",SUMIF(RRE!$J$13:$J$24,OFÍCIO!$I46,RRE!$L$13:$L$24))</f>
        <v/>
      </c>
      <c r="K46" s="604" t="str">
        <f ca="1">IF(J46="","",SUMIF(RRE!$J$13:$J$24,OFÍCIO!$I46,RRE!$N$13:$N$24))</f>
        <v/>
      </c>
      <c r="L46" s="605" t="str">
        <f ca="1">IF(K46="","",SUMIF(RRE!$J$13:$J$24,OFÍCIO!$I46,RRE!$O$13:$O$24))</f>
        <v/>
      </c>
    </row>
    <row r="47" spans="2:12" x14ac:dyDescent="0.25">
      <c r="B47" s="16"/>
      <c r="C47" s="16"/>
      <c r="D47" s="16"/>
      <c r="E47" s="16"/>
      <c r="F47" s="16"/>
      <c r="G47" s="361"/>
    </row>
    <row r="48" spans="2:12" x14ac:dyDescent="0.25">
      <c r="B48" s="16"/>
      <c r="C48" s="16"/>
      <c r="D48" s="16"/>
      <c r="E48" s="16"/>
      <c r="F48" s="16"/>
      <c r="G48" s="361"/>
    </row>
    <row r="49" spans="2:7" x14ac:dyDescent="0.25">
      <c r="B49" s="65" t="s">
        <v>401</v>
      </c>
      <c r="C49" s="16"/>
      <c r="D49" s="16"/>
      <c r="E49" s="16"/>
      <c r="F49" s="16"/>
      <c r="G49" s="361"/>
    </row>
    <row r="50" spans="2:7" x14ac:dyDescent="0.25">
      <c r="B50" s="361"/>
      <c r="C50" s="361"/>
      <c r="D50" s="361"/>
      <c r="E50" s="361"/>
      <c r="F50" s="361"/>
      <c r="G50" s="361"/>
    </row>
    <row r="51" spans="2:7" x14ac:dyDescent="0.25">
      <c r="B51" s="510"/>
      <c r="C51" s="65"/>
      <c r="D51" s="65"/>
      <c r="E51" s="65"/>
      <c r="F51" s="65"/>
      <c r="G51" s="65"/>
    </row>
    <row r="52" spans="2:7" x14ac:dyDescent="0.25">
      <c r="B52" s="65"/>
      <c r="C52" s="65"/>
      <c r="D52" s="65"/>
      <c r="E52" s="65"/>
      <c r="F52" s="65"/>
      <c r="G52" s="65"/>
    </row>
    <row r="53" spans="2:7" x14ac:dyDescent="0.25">
      <c r="B53" s="525"/>
      <c r="C53" s="525"/>
      <c r="D53" s="525"/>
      <c r="E53" s="526"/>
      <c r="F53" s="526"/>
      <c r="G53" s="526"/>
    </row>
    <row r="54" spans="2:7" x14ac:dyDescent="0.25">
      <c r="B54" s="836" t="str">
        <f>DADOS!$F$28</f>
        <v>Samir Azmi Ibrahim Muhammad Ahmad</v>
      </c>
      <c r="C54" s="836"/>
      <c r="D54" s="836"/>
      <c r="E54" s="836"/>
      <c r="F54" s="836"/>
      <c r="G54" s="836"/>
    </row>
    <row r="55" spans="2:7" x14ac:dyDescent="0.25">
      <c r="B55" s="836" t="str">
        <f>DADOS!$F$29</f>
        <v>Prefeito</v>
      </c>
      <c r="C55" s="836"/>
      <c r="D55" s="836"/>
      <c r="E55" s="836"/>
      <c r="F55" s="836"/>
      <c r="G55" s="836"/>
    </row>
    <row r="56" spans="2:7" x14ac:dyDescent="0.25">
      <c r="B56" s="837"/>
      <c r="C56" s="837"/>
      <c r="D56" s="837"/>
      <c r="E56" s="837"/>
      <c r="F56" s="837"/>
      <c r="G56" s="837"/>
    </row>
  </sheetData>
  <sheetProtection password="BD1F" sheet="1" formatRows="0" insertRows="0"/>
  <mergeCells count="34">
    <mergeCell ref="B54:G54"/>
    <mergeCell ref="B32:C32"/>
    <mergeCell ref="F32:G32"/>
    <mergeCell ref="B55:G56"/>
    <mergeCell ref="B33:C33"/>
    <mergeCell ref="F33:G33"/>
    <mergeCell ref="B34:C34"/>
    <mergeCell ref="F34:G34"/>
    <mergeCell ref="B37:G38"/>
    <mergeCell ref="B39:G40"/>
    <mergeCell ref="B42:G46"/>
    <mergeCell ref="D28:D29"/>
    <mergeCell ref="E28:E29"/>
    <mergeCell ref="F28:G29"/>
    <mergeCell ref="B31:C31"/>
    <mergeCell ref="F31:G31"/>
    <mergeCell ref="B30:C30"/>
    <mergeCell ref="F30:G30"/>
    <mergeCell ref="B24:G26"/>
    <mergeCell ref="B28:C29"/>
    <mergeCell ref="B19:B20"/>
    <mergeCell ref="C19:G20"/>
    <mergeCell ref="C11:D11"/>
    <mergeCell ref="C14:G14"/>
    <mergeCell ref="C15:G16"/>
    <mergeCell ref="C18:G18"/>
    <mergeCell ref="L4:L5"/>
    <mergeCell ref="C6:D6"/>
    <mergeCell ref="B8:G8"/>
    <mergeCell ref="B10:D10"/>
    <mergeCell ref="B1:C4"/>
    <mergeCell ref="I4:I5"/>
    <mergeCell ref="J4:J5"/>
    <mergeCell ref="K4:K5"/>
  </mergeCells>
  <phoneticPr fontId="38" type="noConversion"/>
  <conditionalFormatting sqref="D30:D33 F30:G33">
    <cfRule type="cellIs" dxfId="0" priority="2" stopIfTrue="1" operator="notBetween">
      <formula>0</formula>
      <formula>D$33</formula>
    </cfRule>
  </conditionalFormatting>
  <dataValidations count="1">
    <dataValidation type="list" allowBlank="1" showErrorMessage="1" sqref="B11">
      <formula1>"GIGOV,SR"</formula1>
      <formula2>0</formula2>
    </dataValidation>
  </dataValidations>
  <pageMargins left="0.78740157480314998" right="0.78740157480314998" top="0.78740157480314998" bottom="0.78740157480314998" header="5.7086614173228396" footer="0.59055118110236204"/>
  <pageSetup paperSize="9" scale="97" firstPageNumber="0" orientation="portrait" horizontalDpi="300" verticalDpi="300" r:id="rId1"/>
  <headerFooter alignWithMargins="0">
    <oddHeader>&amp;L_</oddHeader>
    <oddFooter>&amp;LPMv3.0.4&amp;R&amp;P /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">
    <pageSetUpPr fitToPage="1"/>
  </sheetPr>
  <dimension ref="E1:AR60"/>
  <sheetViews>
    <sheetView showGridLines="0" zoomScale="90" zoomScaleNormal="90" workbookViewId="0">
      <pane ySplit="2" topLeftCell="A27" activePane="bottomLeft" state="frozen"/>
      <selection pane="bottomLeft" activeCell="F26" sqref="F26"/>
    </sheetView>
  </sheetViews>
  <sheetFormatPr defaultRowHeight="13.2" x14ac:dyDescent="0.25"/>
  <cols>
    <col min="5" max="5" width="42.6640625" style="8" customWidth="1"/>
    <col min="6" max="6" width="53.33203125" style="8" customWidth="1"/>
    <col min="10" max="10" width="14.33203125" hidden="1" customWidth="1"/>
    <col min="11" max="13" width="0" hidden="1" customWidth="1"/>
    <col min="14" max="14" width="0" style="9" hidden="1" customWidth="1"/>
    <col min="15" max="44" width="0" hidden="1" customWidth="1"/>
  </cols>
  <sheetData>
    <row r="1" spans="5:44" ht="15.75" customHeight="1" x14ac:dyDescent="0.25">
      <c r="E1" s="10" t="s">
        <v>5</v>
      </c>
      <c r="K1" s="11"/>
      <c r="L1" s="670" t="s">
        <v>6</v>
      </c>
      <c r="M1" s="670"/>
      <c r="N1" s="670"/>
      <c r="O1" s="670"/>
      <c r="P1" s="670"/>
      <c r="Q1" s="670"/>
      <c r="R1" s="670"/>
      <c r="S1" s="670"/>
      <c r="T1" s="670"/>
      <c r="U1" s="670"/>
      <c r="V1" s="670"/>
      <c r="W1" s="670"/>
      <c r="X1" s="670"/>
      <c r="Y1" s="670"/>
      <c r="Z1" s="670"/>
      <c r="AA1" s="670"/>
      <c r="AB1" s="670"/>
      <c r="AC1" s="670"/>
      <c r="AD1" s="670"/>
      <c r="AE1" s="670"/>
      <c r="AF1" s="670"/>
      <c r="AG1" s="670"/>
      <c r="AH1" s="670"/>
      <c r="AI1" s="670"/>
      <c r="AJ1" s="670"/>
      <c r="AK1" s="670"/>
      <c r="AL1" s="670"/>
      <c r="AM1" s="670"/>
      <c r="AN1" s="670"/>
      <c r="AO1" s="670"/>
      <c r="AP1" s="670"/>
      <c r="AQ1" s="670"/>
      <c r="AR1" s="670"/>
    </row>
    <row r="2" spans="5:44" ht="12.75" customHeight="1" x14ac:dyDescent="0.25">
      <c r="E2" s="10"/>
      <c r="J2" s="12" t="s">
        <v>7</v>
      </c>
      <c r="K2" s="13" t="s">
        <v>8</v>
      </c>
      <c r="L2" s="14">
        <f>COUNTA(K:K)-1</f>
        <v>3</v>
      </c>
      <c r="M2" s="13" t="s">
        <v>9</v>
      </c>
      <c r="N2" s="14">
        <f>COUNTA(M:M)-1</f>
        <v>6</v>
      </c>
      <c r="O2" s="13" t="s">
        <v>10</v>
      </c>
      <c r="P2" s="14">
        <f>COUNTA(O:O)-1</f>
        <v>6</v>
      </c>
      <c r="Q2" s="13" t="s">
        <v>11</v>
      </c>
      <c r="R2" s="14">
        <f>COUNTA(Q:Q)-1</f>
        <v>6</v>
      </c>
      <c r="S2" s="13" t="s">
        <v>12</v>
      </c>
      <c r="T2" s="14">
        <f>COUNTA(S:S)-1</f>
        <v>11</v>
      </c>
      <c r="U2" s="13" t="s">
        <v>13</v>
      </c>
      <c r="V2" s="14">
        <f>COUNTA(U:U)-1</f>
        <v>8</v>
      </c>
      <c r="W2" s="13" t="s">
        <v>14</v>
      </c>
      <c r="X2" s="14">
        <f>COUNTA(W:W)-1</f>
        <v>4</v>
      </c>
      <c r="Y2" s="13" t="s">
        <v>15</v>
      </c>
      <c r="Z2" s="14">
        <f>COUNTA(Y:Y)-1</f>
        <v>6</v>
      </c>
      <c r="AA2" s="13" t="s">
        <v>16</v>
      </c>
      <c r="AB2" s="14">
        <f>COUNTA(AA:AA)-1</f>
        <v>2</v>
      </c>
      <c r="AC2" s="13" t="s">
        <v>17</v>
      </c>
      <c r="AD2" s="14">
        <f>COUNTA(AC:AC)-1</f>
        <v>2</v>
      </c>
      <c r="AE2" s="13" t="s">
        <v>18</v>
      </c>
      <c r="AF2" s="14">
        <f>COUNTA(AE:AE)-1</f>
        <v>2</v>
      </c>
      <c r="AG2" s="13" t="s">
        <v>19</v>
      </c>
      <c r="AH2" s="14">
        <f>COUNTA(AG:AG)-1</f>
        <v>1</v>
      </c>
      <c r="AI2" s="13" t="s">
        <v>20</v>
      </c>
      <c r="AJ2" s="14">
        <f>COUNTA(AI:AI)-1</f>
        <v>1</v>
      </c>
      <c r="AK2" s="13" t="s">
        <v>21</v>
      </c>
      <c r="AL2" s="14">
        <f>COUNTA(AK:AK)-1</f>
        <v>1</v>
      </c>
      <c r="AM2" s="13" t="s">
        <v>22</v>
      </c>
      <c r="AN2" s="14">
        <f>COUNTA(AM:AM)-1</f>
        <v>3</v>
      </c>
      <c r="AO2" s="13" t="s">
        <v>23</v>
      </c>
      <c r="AP2" s="14">
        <f>COUNTA(AO:AO)-1</f>
        <v>1</v>
      </c>
      <c r="AQ2" s="13" t="s">
        <v>24</v>
      </c>
      <c r="AR2" s="14">
        <f>COUNTA(AQ:AQ)-1</f>
        <v>4</v>
      </c>
    </row>
    <row r="3" spans="5:44" ht="14.4" x14ac:dyDescent="0.25">
      <c r="E3" s="669" t="s">
        <v>25</v>
      </c>
      <c r="F3" s="669"/>
      <c r="J3" s="15" t="s">
        <v>8</v>
      </c>
      <c r="K3" s="16" t="s">
        <v>26</v>
      </c>
      <c r="L3" s="17" t="s">
        <v>27</v>
      </c>
      <c r="M3" s="18" t="s">
        <v>28</v>
      </c>
      <c r="N3" s="17" t="s">
        <v>29</v>
      </c>
      <c r="O3" s="16" t="s">
        <v>30</v>
      </c>
      <c r="P3" s="17" t="s">
        <v>29</v>
      </c>
      <c r="Q3" s="19" t="s">
        <v>31</v>
      </c>
      <c r="R3" s="20" t="s">
        <v>32</v>
      </c>
      <c r="S3" s="16" t="s">
        <v>33</v>
      </c>
      <c r="T3" s="20" t="s">
        <v>34</v>
      </c>
      <c r="U3" s="19" t="s">
        <v>35</v>
      </c>
      <c r="V3" s="17" t="s">
        <v>27</v>
      </c>
      <c r="W3" s="16" t="s">
        <v>36</v>
      </c>
      <c r="X3" s="17" t="s">
        <v>27</v>
      </c>
      <c r="Y3" s="16" t="s">
        <v>37</v>
      </c>
      <c r="Z3" s="17" t="s">
        <v>27</v>
      </c>
      <c r="AA3" s="16" t="s">
        <v>38</v>
      </c>
      <c r="AB3" s="17" t="s">
        <v>29</v>
      </c>
      <c r="AC3" s="16" t="s">
        <v>39</v>
      </c>
      <c r="AD3" s="17" t="s">
        <v>29</v>
      </c>
      <c r="AE3" s="16" t="s">
        <v>18</v>
      </c>
      <c r="AF3" s="17" t="s">
        <v>29</v>
      </c>
      <c r="AG3" s="16" t="s">
        <v>19</v>
      </c>
      <c r="AH3" s="17" t="s">
        <v>27</v>
      </c>
      <c r="AI3" s="16" t="s">
        <v>20</v>
      </c>
      <c r="AJ3" s="17" t="s">
        <v>27</v>
      </c>
      <c r="AK3" s="16" t="s">
        <v>21</v>
      </c>
      <c r="AL3" s="17" t="s">
        <v>27</v>
      </c>
      <c r="AM3" s="16" t="s">
        <v>40</v>
      </c>
      <c r="AN3" s="17" t="s">
        <v>27</v>
      </c>
      <c r="AO3" s="16" t="s">
        <v>23</v>
      </c>
      <c r="AP3" s="20" t="s">
        <v>41</v>
      </c>
      <c r="AQ3" s="16" t="s">
        <v>42</v>
      </c>
      <c r="AR3" s="20" t="s">
        <v>43</v>
      </c>
    </row>
    <row r="4" spans="5:44" x14ac:dyDescent="0.25">
      <c r="E4" s="21" t="s">
        <v>44</v>
      </c>
      <c r="F4" s="22" t="s">
        <v>410</v>
      </c>
      <c r="J4" s="15" t="s">
        <v>9</v>
      </c>
      <c r="K4" s="16" t="s">
        <v>45</v>
      </c>
      <c r="L4" s="20" t="s">
        <v>27</v>
      </c>
      <c r="M4" s="16" t="s">
        <v>46</v>
      </c>
      <c r="N4" s="20" t="s">
        <v>29</v>
      </c>
      <c r="O4" s="16" t="s">
        <v>47</v>
      </c>
      <c r="P4" s="17" t="s">
        <v>29</v>
      </c>
      <c r="Q4" s="16" t="s">
        <v>48</v>
      </c>
      <c r="R4" s="17" t="s">
        <v>32</v>
      </c>
      <c r="S4" s="16" t="s">
        <v>49</v>
      </c>
      <c r="T4" s="20" t="s">
        <v>34</v>
      </c>
      <c r="U4" s="19" t="s">
        <v>50</v>
      </c>
      <c r="V4" s="17" t="s">
        <v>32</v>
      </c>
      <c r="W4" s="16" t="s">
        <v>51</v>
      </c>
      <c r="X4" s="20" t="s">
        <v>27</v>
      </c>
      <c r="Y4" s="19" t="s">
        <v>52</v>
      </c>
      <c r="Z4" s="17" t="s">
        <v>53</v>
      </c>
      <c r="AA4" s="16" t="s">
        <v>54</v>
      </c>
      <c r="AB4" s="17" t="s">
        <v>29</v>
      </c>
      <c r="AC4" s="16" t="s">
        <v>55</v>
      </c>
      <c r="AD4" s="17" t="s">
        <v>29</v>
      </c>
      <c r="AE4" s="16" t="s">
        <v>56</v>
      </c>
      <c r="AF4" s="17" t="s">
        <v>29</v>
      </c>
      <c r="AH4" s="20"/>
      <c r="AJ4" s="20"/>
      <c r="AL4" s="20"/>
      <c r="AM4" s="16" t="s">
        <v>57</v>
      </c>
      <c r="AN4" s="17" t="s">
        <v>27</v>
      </c>
      <c r="AQ4" s="16" t="s">
        <v>58</v>
      </c>
      <c r="AR4" s="20" t="s">
        <v>43</v>
      </c>
    </row>
    <row r="5" spans="5:44" x14ac:dyDescent="0.25">
      <c r="E5" s="23" t="s">
        <v>59</v>
      </c>
      <c r="F5" s="24" t="s">
        <v>575</v>
      </c>
      <c r="J5" s="15" t="s">
        <v>10</v>
      </c>
      <c r="K5" s="16" t="s">
        <v>60</v>
      </c>
      <c r="L5" s="20" t="s">
        <v>27</v>
      </c>
      <c r="M5" s="16" t="s">
        <v>61</v>
      </c>
      <c r="N5" s="20" t="s">
        <v>29</v>
      </c>
      <c r="O5" s="16" t="s">
        <v>62</v>
      </c>
      <c r="P5" s="20" t="s">
        <v>32</v>
      </c>
      <c r="Q5" s="16" t="s">
        <v>63</v>
      </c>
      <c r="R5" s="20" t="s">
        <v>32</v>
      </c>
      <c r="S5" s="16" t="s">
        <v>64</v>
      </c>
      <c r="T5" s="20" t="s">
        <v>34</v>
      </c>
      <c r="U5" s="19" t="s">
        <v>65</v>
      </c>
      <c r="V5" s="17" t="s">
        <v>32</v>
      </c>
      <c r="W5" s="16" t="s">
        <v>66</v>
      </c>
      <c r="X5" s="20" t="s">
        <v>32</v>
      </c>
      <c r="Y5" s="16" t="s">
        <v>67</v>
      </c>
      <c r="Z5" s="17" t="s">
        <v>53</v>
      </c>
      <c r="AB5" s="20"/>
      <c r="AD5" s="20"/>
      <c r="AF5" s="20"/>
      <c r="AH5" s="20"/>
      <c r="AJ5" s="20"/>
      <c r="AL5" s="20"/>
      <c r="AM5" s="16" t="s">
        <v>68</v>
      </c>
      <c r="AN5" s="17" t="s">
        <v>27</v>
      </c>
      <c r="AQ5" s="16" t="s">
        <v>69</v>
      </c>
      <c r="AR5" s="20" t="s">
        <v>43</v>
      </c>
    </row>
    <row r="6" spans="5:44" x14ac:dyDescent="0.25">
      <c r="E6" s="23" t="s">
        <v>70</v>
      </c>
      <c r="F6" s="24" t="s">
        <v>573</v>
      </c>
      <c r="J6" s="15" t="s">
        <v>11</v>
      </c>
      <c r="M6" s="16" t="s">
        <v>71</v>
      </c>
      <c r="N6" s="20" t="s">
        <v>29</v>
      </c>
      <c r="O6" s="16" t="s">
        <v>72</v>
      </c>
      <c r="P6" s="20" t="s">
        <v>29</v>
      </c>
      <c r="Q6" s="19" t="s">
        <v>73</v>
      </c>
      <c r="R6" s="20" t="s">
        <v>29</v>
      </c>
      <c r="S6" s="16" t="s">
        <v>74</v>
      </c>
      <c r="T6" s="20" t="s">
        <v>32</v>
      </c>
      <c r="U6" s="16" t="s">
        <v>75</v>
      </c>
      <c r="V6" s="20" t="s">
        <v>32</v>
      </c>
      <c r="W6" s="16" t="s">
        <v>76</v>
      </c>
      <c r="X6" s="20" t="s">
        <v>32</v>
      </c>
      <c r="Y6" s="19" t="s">
        <v>77</v>
      </c>
      <c r="Z6" s="17" t="s">
        <v>27</v>
      </c>
      <c r="AQ6" s="16" t="s">
        <v>78</v>
      </c>
      <c r="AR6" s="20" t="s">
        <v>43</v>
      </c>
    </row>
    <row r="7" spans="5:44" x14ac:dyDescent="0.25">
      <c r="E7" s="25" t="s">
        <v>79</v>
      </c>
      <c r="F7" s="26"/>
      <c r="J7" s="15" t="s">
        <v>12</v>
      </c>
      <c r="M7" s="16" t="s">
        <v>80</v>
      </c>
      <c r="N7" s="20" t="s">
        <v>29</v>
      </c>
      <c r="O7" s="16" t="s">
        <v>81</v>
      </c>
      <c r="P7" s="20" t="s">
        <v>29</v>
      </c>
      <c r="Q7" s="19" t="s">
        <v>82</v>
      </c>
      <c r="R7" s="20" t="s">
        <v>53</v>
      </c>
      <c r="S7" s="16" t="s">
        <v>83</v>
      </c>
      <c r="T7" s="20" t="s">
        <v>34</v>
      </c>
      <c r="U7" s="16" t="s">
        <v>84</v>
      </c>
      <c r="V7" s="20" t="s">
        <v>34</v>
      </c>
      <c r="W7" s="16"/>
      <c r="Y7" s="16" t="s">
        <v>85</v>
      </c>
      <c r="Z7" s="17" t="s">
        <v>27</v>
      </c>
    </row>
    <row r="8" spans="5:44" x14ac:dyDescent="0.25">
      <c r="E8" s="25" t="s">
        <v>86</v>
      </c>
      <c r="F8" s="26"/>
      <c r="J8" s="15" t="s">
        <v>13</v>
      </c>
      <c r="M8" s="16" t="s">
        <v>87</v>
      </c>
      <c r="N8" s="17" t="s">
        <v>29</v>
      </c>
      <c r="O8" s="16" t="s">
        <v>88</v>
      </c>
      <c r="P8" s="20" t="s">
        <v>29</v>
      </c>
      <c r="Q8" s="19" t="s">
        <v>89</v>
      </c>
      <c r="R8" s="20" t="s">
        <v>34</v>
      </c>
      <c r="S8" s="16" t="s">
        <v>90</v>
      </c>
      <c r="T8" s="20" t="s">
        <v>34</v>
      </c>
      <c r="U8" s="16" t="s">
        <v>91</v>
      </c>
      <c r="V8" s="20" t="s">
        <v>34</v>
      </c>
      <c r="Y8" s="16" t="s">
        <v>92</v>
      </c>
      <c r="Z8" s="17" t="s">
        <v>29</v>
      </c>
    </row>
    <row r="9" spans="5:44" x14ac:dyDescent="0.25">
      <c r="E9" s="25" t="str">
        <f>IF(F4="FGTS","Valor de Financiamento Contratado (R$):","Valor do Repasse Contratado (R$):")</f>
        <v>Valor do Repasse Contratado (R$):</v>
      </c>
      <c r="F9" s="27">
        <v>7408271.5599999996</v>
      </c>
      <c r="J9" s="15" t="s">
        <v>14</v>
      </c>
      <c r="S9" s="16" t="s">
        <v>93</v>
      </c>
      <c r="T9" s="20" t="s">
        <v>32</v>
      </c>
      <c r="U9" s="16" t="s">
        <v>94</v>
      </c>
      <c r="V9" s="20" t="s">
        <v>34</v>
      </c>
    </row>
    <row r="10" spans="5:44" x14ac:dyDescent="0.25">
      <c r="E10" s="25" t="s">
        <v>95</v>
      </c>
      <c r="F10" s="27"/>
      <c r="J10" s="15" t="s">
        <v>15</v>
      </c>
      <c r="S10" s="16" t="s">
        <v>96</v>
      </c>
      <c r="T10" s="20" t="s">
        <v>53</v>
      </c>
      <c r="U10" s="16" t="s">
        <v>97</v>
      </c>
      <c r="V10" s="17" t="s">
        <v>27</v>
      </c>
    </row>
    <row r="11" spans="5:44" x14ac:dyDescent="0.25">
      <c r="E11" s="25" t="s">
        <v>98</v>
      </c>
      <c r="F11" s="28"/>
      <c r="J11" s="15" t="s">
        <v>16</v>
      </c>
      <c r="S11" s="16" t="s">
        <v>99</v>
      </c>
      <c r="T11" s="20" t="s">
        <v>32</v>
      </c>
    </row>
    <row r="12" spans="5:44" x14ac:dyDescent="0.25">
      <c r="E12" s="25" t="s">
        <v>100</v>
      </c>
      <c r="F12" s="27"/>
      <c r="J12" s="15" t="s">
        <v>17</v>
      </c>
      <c r="S12" s="16" t="s">
        <v>35</v>
      </c>
      <c r="T12" s="20" t="s">
        <v>27</v>
      </c>
    </row>
    <row r="13" spans="5:44" x14ac:dyDescent="0.25">
      <c r="E13" s="29" t="s">
        <v>101</v>
      </c>
      <c r="F13" s="30"/>
      <c r="J13" s="15" t="s">
        <v>18</v>
      </c>
      <c r="S13" s="16" t="s">
        <v>102</v>
      </c>
      <c r="T13" s="20" t="s">
        <v>32</v>
      </c>
    </row>
    <row r="14" spans="5:44" x14ac:dyDescent="0.25">
      <c r="E14" s="4"/>
      <c r="F14" s="31"/>
      <c r="J14" s="15" t="s">
        <v>19</v>
      </c>
    </row>
    <row r="15" spans="5:44" ht="14.4" x14ac:dyDescent="0.25">
      <c r="E15" s="669" t="s">
        <v>103</v>
      </c>
      <c r="F15" s="669"/>
      <c r="J15" s="15" t="s">
        <v>20</v>
      </c>
    </row>
    <row r="16" spans="5:44" x14ac:dyDescent="0.25">
      <c r="E16" s="32" t="s">
        <v>104</v>
      </c>
      <c r="F16" s="33" t="s">
        <v>455</v>
      </c>
      <c r="J16" s="15" t="s">
        <v>21</v>
      </c>
    </row>
    <row r="17" spans="5:10" x14ac:dyDescent="0.25">
      <c r="E17" s="25" t="s">
        <v>105</v>
      </c>
      <c r="F17" s="34" t="s">
        <v>455</v>
      </c>
      <c r="J17" s="15" t="s">
        <v>22</v>
      </c>
    </row>
    <row r="18" spans="5:10" x14ac:dyDescent="0.25">
      <c r="E18" s="35" t="s">
        <v>106</v>
      </c>
      <c r="F18" s="36" t="s">
        <v>439</v>
      </c>
      <c r="J18" s="15" t="s">
        <v>23</v>
      </c>
    </row>
    <row r="19" spans="5:10" x14ac:dyDescent="0.25">
      <c r="E19" s="37" t="s">
        <v>107</v>
      </c>
      <c r="F19" s="38">
        <v>45413</v>
      </c>
      <c r="J19" s="15" t="s">
        <v>24</v>
      </c>
    </row>
    <row r="20" spans="5:10" x14ac:dyDescent="0.25">
      <c r="E20" s="39"/>
      <c r="F20" s="40"/>
      <c r="J20" s="15"/>
    </row>
    <row r="21" spans="5:10" ht="14.4" x14ac:dyDescent="0.25">
      <c r="E21" s="669" t="s">
        <v>108</v>
      </c>
      <c r="F21" s="669"/>
      <c r="J21" s="15"/>
    </row>
    <row r="22" spans="5:10" x14ac:dyDescent="0.25">
      <c r="E22" s="23" t="s">
        <v>109</v>
      </c>
      <c r="F22" s="41" t="s">
        <v>444</v>
      </c>
    </row>
    <row r="23" spans="5:10" x14ac:dyDescent="0.25">
      <c r="E23" s="25" t="s">
        <v>110</v>
      </c>
      <c r="F23" s="26" t="s">
        <v>445</v>
      </c>
    </row>
    <row r="24" spans="5:10" x14ac:dyDescent="0.25">
      <c r="E24" s="25" t="s">
        <v>111</v>
      </c>
      <c r="F24" s="26" t="s">
        <v>577</v>
      </c>
    </row>
    <row r="25" spans="5:10" x14ac:dyDescent="0.25">
      <c r="E25" s="29" t="s">
        <v>112</v>
      </c>
      <c r="F25" s="42">
        <f ca="1">TODAY()</f>
        <v>45477</v>
      </c>
    </row>
    <row r="26" spans="5:10" x14ac:dyDescent="0.25">
      <c r="E26" s="39"/>
      <c r="F26" s="39"/>
    </row>
    <row r="27" spans="5:10" ht="14.4" x14ac:dyDescent="0.25">
      <c r="E27" s="669" t="s">
        <v>113</v>
      </c>
      <c r="F27" s="669"/>
    </row>
    <row r="28" spans="5:10" x14ac:dyDescent="0.25">
      <c r="E28" s="21" t="s">
        <v>109</v>
      </c>
      <c r="F28" s="661" t="s">
        <v>443</v>
      </c>
    </row>
    <row r="29" spans="5:10" x14ac:dyDescent="0.25">
      <c r="E29" s="29" t="s">
        <v>114</v>
      </c>
      <c r="F29" s="43" t="s">
        <v>440</v>
      </c>
    </row>
    <row r="30" spans="5:10" ht="15.6" x14ac:dyDescent="0.25">
      <c r="E30" s="10"/>
    </row>
    <row r="31" spans="5:10" ht="12.75" customHeight="1" x14ac:dyDescent="0.25">
      <c r="E31" s="10"/>
    </row>
    <row r="32" spans="5:10" ht="12.75" customHeight="1" x14ac:dyDescent="0.25">
      <c r="E32" s="10" t="s">
        <v>115</v>
      </c>
    </row>
    <row r="33" spans="5:6" ht="15.6" x14ac:dyDescent="0.25">
      <c r="E33" s="10"/>
    </row>
    <row r="34" spans="5:6" ht="12.75" customHeight="1" x14ac:dyDescent="0.25">
      <c r="E34" s="671" t="s">
        <v>116</v>
      </c>
      <c r="F34" s="671"/>
    </row>
    <row r="35" spans="5:6" x14ac:dyDescent="0.25">
      <c r="E35" s="21" t="s">
        <v>117</v>
      </c>
      <c r="F35" s="44"/>
    </row>
    <row r="36" spans="5:6" x14ac:dyDescent="0.25">
      <c r="E36" s="45" t="s">
        <v>118</v>
      </c>
      <c r="F36" s="24"/>
    </row>
    <row r="37" spans="5:6" x14ac:dyDescent="0.25">
      <c r="E37" s="35" t="s">
        <v>119</v>
      </c>
      <c r="F37" s="26"/>
    </row>
    <row r="38" spans="5:6" x14ac:dyDescent="0.25">
      <c r="E38" s="35" t="s">
        <v>120</v>
      </c>
      <c r="F38" s="26"/>
    </row>
    <row r="39" spans="5:6" x14ac:dyDescent="0.25">
      <c r="E39" s="35" t="s">
        <v>121</v>
      </c>
      <c r="F39" s="36" t="s">
        <v>576</v>
      </c>
    </row>
    <row r="40" spans="5:6" x14ac:dyDescent="0.25">
      <c r="E40" s="46" t="s">
        <v>122</v>
      </c>
      <c r="F40" s="47"/>
    </row>
    <row r="41" spans="5:6" ht="15.6" x14ac:dyDescent="0.25">
      <c r="E41" s="10"/>
    </row>
    <row r="42" spans="5:6" ht="12.75" customHeight="1" x14ac:dyDescent="0.25">
      <c r="E42" s="10"/>
    </row>
    <row r="43" spans="5:6" ht="12.75" customHeight="1" x14ac:dyDescent="0.25">
      <c r="E43" s="10" t="s">
        <v>123</v>
      </c>
    </row>
    <row r="44" spans="5:6" ht="15.6" x14ac:dyDescent="0.25">
      <c r="E44" s="10"/>
    </row>
    <row r="45" spans="5:6" ht="12.75" customHeight="1" x14ac:dyDescent="0.25">
      <c r="E45" s="669" t="s">
        <v>124</v>
      </c>
      <c r="F45" s="669"/>
    </row>
    <row r="46" spans="5:6" x14ac:dyDescent="0.25">
      <c r="E46" s="21" t="s">
        <v>125</v>
      </c>
      <c r="F46" s="44"/>
    </row>
    <row r="47" spans="5:6" x14ac:dyDescent="0.25">
      <c r="E47" s="37" t="s">
        <v>126</v>
      </c>
      <c r="F47" s="48"/>
    </row>
    <row r="48" spans="5:6" ht="15.6" x14ac:dyDescent="0.25">
      <c r="E48" s="10"/>
    </row>
    <row r="49" spans="5:6" ht="12.75" customHeight="1" x14ac:dyDescent="0.25">
      <c r="E49" s="669" t="s">
        <v>127</v>
      </c>
      <c r="F49" s="669"/>
    </row>
    <row r="50" spans="5:6" x14ac:dyDescent="0.25">
      <c r="E50" s="21" t="s">
        <v>109</v>
      </c>
      <c r="F50" s="49"/>
    </row>
    <row r="51" spans="5:6" x14ac:dyDescent="0.25">
      <c r="E51" s="25" t="s">
        <v>128</v>
      </c>
      <c r="F51" s="26"/>
    </row>
    <row r="52" spans="5:6" x14ac:dyDescent="0.25">
      <c r="E52" s="25" t="s">
        <v>129</v>
      </c>
      <c r="F52" s="26"/>
    </row>
    <row r="53" spans="5:6" x14ac:dyDescent="0.25">
      <c r="E53" s="29" t="s">
        <v>130</v>
      </c>
      <c r="F53" s="50"/>
    </row>
    <row r="54" spans="5:6" x14ac:dyDescent="0.25">
      <c r="E54" s="39"/>
      <c r="F54" s="40"/>
    </row>
    <row r="56" spans="5:6" ht="15.6" x14ac:dyDescent="0.25">
      <c r="E56" s="10" t="s">
        <v>131</v>
      </c>
    </row>
    <row r="57" spans="5:6" ht="16.2" thickBot="1" x14ac:dyDescent="0.3">
      <c r="E57" s="10"/>
    </row>
    <row r="58" spans="5:6" ht="15" thickBot="1" x14ac:dyDescent="0.3">
      <c r="E58" s="669" t="s">
        <v>132</v>
      </c>
      <c r="F58" s="669"/>
    </row>
    <row r="59" spans="5:6" x14ac:dyDescent="0.25">
      <c r="E59" s="21" t="s">
        <v>109</v>
      </c>
      <c r="F59" s="51"/>
    </row>
    <row r="60" spans="5:6" ht="13.8" thickBot="1" x14ac:dyDescent="0.3">
      <c r="E60" s="37" t="s">
        <v>133</v>
      </c>
      <c r="F60" s="52"/>
    </row>
  </sheetData>
  <sheetProtection password="BD1F" sheet="1" objects="1" scenarios="1" autoFilter="0"/>
  <mergeCells count="9">
    <mergeCell ref="E49:F49"/>
    <mergeCell ref="E58:F58"/>
    <mergeCell ref="L1:AR1"/>
    <mergeCell ref="E3:F3"/>
    <mergeCell ref="E15:F15"/>
    <mergeCell ref="E21:F21"/>
    <mergeCell ref="E27:F27"/>
    <mergeCell ref="E34:F34"/>
    <mergeCell ref="E45:F45"/>
  </mergeCells>
  <phoneticPr fontId="38" type="noConversion"/>
  <conditionalFormatting sqref="E56:F57">
    <cfRule type="expression" dxfId="1937" priority="2" stopIfTrue="1">
      <formula>CAIXA.Modo=FALSE</formula>
    </cfRule>
  </conditionalFormatting>
  <conditionalFormatting sqref="E58:F60">
    <cfRule type="expression" dxfId="1936" priority="3" stopIfTrue="1">
      <formula>CAIXA.Modo=FALSE</formula>
    </cfRule>
  </conditionalFormatting>
  <dataValidations count="6">
    <dataValidation type="date" allowBlank="1" showErrorMessage="1" errorTitle="Dados inválidos" error="Digite somente datas válidas no formato mm/aaaa." sqref="F19 F25 F35 F40 F46:F47">
      <formula1>36526</formula1>
      <formula2>72686</formula2>
    </dataValidation>
    <dataValidation type="list" allowBlank="1" showErrorMessage="1" sqref="F18">
      <formula1>"(SELECIONAR),NÃO SE APLICA,DESONERADO,NÃO DESONERADO"</formula1>
      <formula2>0</formula2>
    </dataValidation>
    <dataValidation type="decimal" allowBlank="1" showErrorMessage="1" error="Digite um valor em percentual._x000a__x000a_Ou seja um valor de 0% (zero) até 100% (cem). " sqref="F11 F13:F14">
      <formula1>0</formula1>
      <formula2>1</formula2>
    </dataValidation>
    <dataValidation type="list" allowBlank="1" showErrorMessage="1" sqref="F4">
      <formula1>"(SELECIONAR),OGU,FGTS"</formula1>
      <formula2>0</formula2>
    </dataValidation>
    <dataValidation type="decimal" operator="greaterThan" allowBlank="1" showErrorMessage="1" error="Digite um valor maior do que 0." sqref="F12">
      <formula1>0</formula1>
      <formula2>0</formula2>
    </dataValidation>
    <dataValidation type="list" allowBlank="1" showErrorMessage="1" sqref="F39">
      <formula1>"(SELECIONAR),INDEFINIDO / NÃO SE APLICA,EMPREITADA POR PREÇO GLOBAL,EMPREITADA POR PREÇO UNITÁRIO,EMPREITADA INTEGRAL,TAREFA,CONTRATAÇÃO INTEGRADA,ADM. DIRETA"</formula1>
      <formula2>0</formula2>
    </dataValidation>
  </dataValidations>
  <pageMargins left="0.78740157480314998" right="0.78740157480314998" top="0.78740157480314998" bottom="0.78740157480314998" header="5.7086614173228396" footer="0.59055118110236204"/>
  <pageSetup paperSize="9" scale="65" firstPageNumber="0" fitToHeight="0" orientation="portrait" horizontalDpi="300" verticalDpi="300" r:id="rId1"/>
  <headerFooter alignWithMargins="0">
    <oddHeader>&amp;L_</oddHeader>
    <oddFooter>&amp;LPMv3.0.4&amp;R&amp;P / &amp;N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A3:E47"/>
  <sheetViews>
    <sheetView showGridLines="0" zoomScale="90" zoomScaleNormal="90" workbookViewId="0">
      <pane ySplit="3" topLeftCell="A25" activePane="bottomLeft" state="frozen"/>
      <selection pane="bottomLeft" activeCell="G20" sqref="G20"/>
    </sheetView>
  </sheetViews>
  <sheetFormatPr defaultRowHeight="13.2" x14ac:dyDescent="0.25"/>
  <cols>
    <col min="1" max="1" width="8.6640625" customWidth="1"/>
    <col min="2" max="2" width="5.6640625" customWidth="1"/>
    <col min="3" max="3" width="3.6640625" customWidth="1"/>
  </cols>
  <sheetData>
    <row r="3" spans="1:4" ht="36.75" customHeight="1" x14ac:dyDescent="0.45">
      <c r="B3" s="53" t="s">
        <v>134</v>
      </c>
    </row>
    <row r="5" spans="1:4" ht="18" x14ac:dyDescent="0.35">
      <c r="A5" s="54"/>
      <c r="B5" s="55"/>
      <c r="C5" s="55"/>
      <c r="D5" s="56"/>
    </row>
    <row r="6" spans="1:4" ht="18" x14ac:dyDescent="0.35">
      <c r="A6" s="57" t="s">
        <v>135</v>
      </c>
      <c r="B6" s="58"/>
      <c r="C6" s="58"/>
      <c r="D6" s="39"/>
    </row>
    <row r="7" spans="1:4" ht="14.4" x14ac:dyDescent="0.3">
      <c r="A7" s="59"/>
      <c r="B7" s="60" t="s">
        <v>136</v>
      </c>
      <c r="C7" s="60"/>
      <c r="D7" s="39"/>
    </row>
    <row r="8" spans="1:4" ht="14.4" x14ac:dyDescent="0.3">
      <c r="A8" s="59"/>
      <c r="B8" s="60"/>
      <c r="C8" s="61" t="str">
        <f>IF(D8&lt;&gt;"","▪","")</f>
        <v>▪</v>
      </c>
      <c r="D8" s="39" t="s">
        <v>137</v>
      </c>
    </row>
    <row r="9" spans="1:4" ht="14.4" x14ac:dyDescent="0.3">
      <c r="A9" s="59"/>
      <c r="B9" s="62"/>
      <c r="C9" s="63" t="str">
        <f>IF(D9&lt;&gt;"","▪","")</f>
        <v/>
      </c>
      <c r="D9" s="64"/>
    </row>
    <row r="10" spans="1:4" ht="18" x14ac:dyDescent="0.35">
      <c r="A10" s="652" t="s">
        <v>412</v>
      </c>
      <c r="B10" s="653"/>
      <c r="C10" s="653"/>
      <c r="D10" s="654"/>
    </row>
    <row r="11" spans="1:4" ht="14.4" x14ac:dyDescent="0.3">
      <c r="A11" s="59"/>
      <c r="B11" s="60" t="s">
        <v>136</v>
      </c>
      <c r="C11" s="60"/>
      <c r="D11" s="39"/>
    </row>
    <row r="12" spans="1:4" ht="14.4" x14ac:dyDescent="0.3">
      <c r="A12" s="59"/>
      <c r="B12" s="60"/>
      <c r="C12" s="61" t="str">
        <f>IF(D12&lt;&gt;"","▪","")</f>
        <v>▪</v>
      </c>
      <c r="D12" s="39" t="s">
        <v>415</v>
      </c>
    </row>
    <row r="13" spans="1:4" ht="14.4" x14ac:dyDescent="0.3">
      <c r="A13" s="59"/>
      <c r="B13" s="60" t="s">
        <v>413</v>
      </c>
      <c r="C13" s="60"/>
      <c r="D13" s="39"/>
    </row>
    <row r="14" spans="1:4" ht="14.4" x14ac:dyDescent="0.3">
      <c r="A14" s="553"/>
      <c r="B14" s="60"/>
      <c r="C14" s="61" t="str">
        <f>IF(D14&lt;&gt;"","▪","")</f>
        <v>▪</v>
      </c>
      <c r="D14" s="39" t="s">
        <v>416</v>
      </c>
    </row>
    <row r="15" spans="1:4" ht="14.4" x14ac:dyDescent="0.25">
      <c r="A15" s="553"/>
      <c r="C15" s="61" t="str">
        <f>IF(D15&lt;&gt;"","▪","")</f>
        <v>▪</v>
      </c>
      <c r="D15" s="39" t="s">
        <v>417</v>
      </c>
    </row>
    <row r="16" spans="1:4" x14ac:dyDescent="0.25">
      <c r="A16" s="558"/>
    </row>
    <row r="17" spans="1:4" ht="18" x14ac:dyDescent="0.35">
      <c r="A17" s="652" t="s">
        <v>419</v>
      </c>
      <c r="B17" s="653"/>
      <c r="C17" s="653"/>
      <c r="D17" s="654"/>
    </row>
    <row r="18" spans="1:4" ht="14.4" x14ac:dyDescent="0.3">
      <c r="A18" s="59"/>
      <c r="B18" s="60" t="s">
        <v>136</v>
      </c>
      <c r="C18" s="60"/>
      <c r="D18" s="39"/>
    </row>
    <row r="19" spans="1:4" ht="14.4" x14ac:dyDescent="0.3">
      <c r="A19" s="59"/>
      <c r="B19" s="60"/>
      <c r="C19" s="61" t="str">
        <f>IF(D19&lt;&gt;"","▪","")</f>
        <v>▪</v>
      </c>
      <c r="D19" s="39" t="s">
        <v>415</v>
      </c>
    </row>
    <row r="20" spans="1:4" ht="14.4" x14ac:dyDescent="0.3">
      <c r="A20" s="59"/>
      <c r="B20" s="60"/>
      <c r="C20" s="61" t="str">
        <f>IF(D20&lt;&gt;"","▪","")</f>
        <v>▪</v>
      </c>
      <c r="D20" s="39" t="s">
        <v>428</v>
      </c>
    </row>
    <row r="21" spans="1:4" ht="14.4" x14ac:dyDescent="0.3">
      <c r="A21" s="553"/>
      <c r="B21" s="60" t="s">
        <v>426</v>
      </c>
      <c r="C21" s="60"/>
      <c r="D21" s="39"/>
    </row>
    <row r="22" spans="1:4" ht="14.4" x14ac:dyDescent="0.3">
      <c r="A22" s="553"/>
      <c r="B22" s="60"/>
      <c r="C22" s="61" t="str">
        <f>IF(D22&lt;&gt;"","▪","")</f>
        <v>▪</v>
      </c>
      <c r="D22" s="39" t="s">
        <v>427</v>
      </c>
    </row>
    <row r="23" spans="1:4" ht="14.4" x14ac:dyDescent="0.3">
      <c r="A23" s="553"/>
      <c r="B23" s="60" t="s">
        <v>420</v>
      </c>
      <c r="C23" s="60"/>
      <c r="D23" s="39"/>
    </row>
    <row r="24" spans="1:4" ht="14.4" x14ac:dyDescent="0.3">
      <c r="A24" s="553"/>
      <c r="B24" s="60"/>
      <c r="C24" s="61" t="str">
        <f>IF(D24&lt;&gt;"","▪","")</f>
        <v>▪</v>
      </c>
      <c r="D24" s="39" t="s">
        <v>424</v>
      </c>
    </row>
    <row r="25" spans="1:4" ht="14.4" x14ac:dyDescent="0.3">
      <c r="A25" s="553"/>
      <c r="B25" s="60" t="s">
        <v>421</v>
      </c>
      <c r="C25" s="60"/>
      <c r="D25" s="39"/>
    </row>
    <row r="26" spans="1:4" ht="14.4" x14ac:dyDescent="0.3">
      <c r="A26" s="553"/>
      <c r="B26" s="60"/>
      <c r="C26" s="61" t="str">
        <f>IF(D26&lt;&gt;"","▪","")</f>
        <v>▪</v>
      </c>
      <c r="D26" s="39" t="s">
        <v>423</v>
      </c>
    </row>
    <row r="27" spans="1:4" ht="14.4" x14ac:dyDescent="0.3">
      <c r="A27" s="553"/>
      <c r="B27" s="60" t="s">
        <v>425</v>
      </c>
      <c r="C27" s="60"/>
      <c r="D27" s="39"/>
    </row>
    <row r="28" spans="1:4" ht="14.4" x14ac:dyDescent="0.3">
      <c r="A28" s="553"/>
      <c r="B28" s="60"/>
      <c r="C28" s="61" t="str">
        <f>IF(D28&lt;&gt;"","▪","")</f>
        <v>▪</v>
      </c>
      <c r="D28" s="39" t="s">
        <v>422</v>
      </c>
    </row>
    <row r="29" spans="1:4" x14ac:dyDescent="0.25">
      <c r="A29" s="558"/>
    </row>
    <row r="30" spans="1:4" ht="18" x14ac:dyDescent="0.35">
      <c r="A30" s="652" t="s">
        <v>429</v>
      </c>
      <c r="B30" s="653"/>
      <c r="C30" s="653"/>
      <c r="D30" s="654"/>
    </row>
    <row r="31" spans="1:4" ht="14.4" x14ac:dyDescent="0.3">
      <c r="A31" s="59"/>
      <c r="B31" s="60" t="s">
        <v>136</v>
      </c>
      <c r="C31" s="60"/>
      <c r="D31" s="39"/>
    </row>
    <row r="32" spans="1:4" ht="14.4" x14ac:dyDescent="0.3">
      <c r="A32" s="59"/>
      <c r="B32" s="60"/>
      <c r="C32" s="61" t="str">
        <f>IF(D32&lt;&gt;"","▪","")</f>
        <v>▪</v>
      </c>
      <c r="D32" s="39" t="s">
        <v>428</v>
      </c>
    </row>
    <row r="33" spans="1:5" ht="14.4" x14ac:dyDescent="0.3">
      <c r="A33" s="59"/>
      <c r="B33" s="60" t="s">
        <v>430</v>
      </c>
      <c r="C33" s="61"/>
      <c r="D33" s="39"/>
    </row>
    <row r="34" spans="1:5" ht="14.4" x14ac:dyDescent="0.3">
      <c r="A34" s="59"/>
      <c r="B34" s="60"/>
      <c r="C34" s="61" t="str">
        <f>IF(D34&lt;&gt;"","▪","")</f>
        <v>▪</v>
      </c>
      <c r="D34" s="39" t="s">
        <v>431</v>
      </c>
    </row>
    <row r="35" spans="1:5" ht="14.4" x14ac:dyDescent="0.3">
      <c r="A35" s="59"/>
      <c r="B35" s="60"/>
      <c r="C35" s="60"/>
      <c r="D35" s="60"/>
      <c r="E35" s="60"/>
    </row>
    <row r="36" spans="1:5" x14ac:dyDescent="0.25">
      <c r="A36" s="558"/>
    </row>
    <row r="37" spans="1:5" ht="18" x14ac:dyDescent="0.35">
      <c r="A37" s="652" t="s">
        <v>432</v>
      </c>
      <c r="B37" s="653"/>
      <c r="C37" s="653"/>
      <c r="D37" s="654"/>
    </row>
    <row r="38" spans="1:5" ht="14.4" x14ac:dyDescent="0.3">
      <c r="A38" s="59"/>
      <c r="B38" s="60" t="s">
        <v>214</v>
      </c>
      <c r="C38" s="60"/>
      <c r="D38" s="39"/>
    </row>
    <row r="39" spans="1:5" ht="14.4" x14ac:dyDescent="0.3">
      <c r="A39" s="59"/>
      <c r="B39" s="60"/>
      <c r="C39" s="61" t="str">
        <f>IF(D39&lt;&gt;"","▪","")</f>
        <v>▪</v>
      </c>
      <c r="D39" s="39" t="s">
        <v>433</v>
      </c>
    </row>
    <row r="40" spans="1:5" ht="14.4" x14ac:dyDescent="0.3">
      <c r="A40" s="59"/>
      <c r="B40" s="60" t="s">
        <v>420</v>
      </c>
      <c r="C40" s="60"/>
      <c r="D40" s="39"/>
    </row>
    <row r="41" spans="1:5" ht="14.4" x14ac:dyDescent="0.3">
      <c r="A41" s="59"/>
      <c r="B41" s="60"/>
      <c r="C41" s="61" t="str">
        <f>IF(D41&lt;&gt;"","▪","")</f>
        <v>▪</v>
      </c>
      <c r="D41" s="39" t="s">
        <v>434</v>
      </c>
    </row>
    <row r="42" spans="1:5" ht="14.4" x14ac:dyDescent="0.3">
      <c r="A42" s="59"/>
      <c r="B42" s="60" t="s">
        <v>421</v>
      </c>
      <c r="C42" s="60"/>
      <c r="D42" s="39"/>
      <c r="E42" s="60"/>
    </row>
    <row r="43" spans="1:5" ht="14.4" x14ac:dyDescent="0.3">
      <c r="A43" s="59"/>
      <c r="B43" s="60"/>
      <c r="C43" s="61" t="str">
        <f>IF(D43&lt;&gt;"","▪","")</f>
        <v>▪</v>
      </c>
      <c r="D43" s="39" t="s">
        <v>435</v>
      </c>
    </row>
    <row r="44" spans="1:5" ht="14.4" x14ac:dyDescent="0.3">
      <c r="A44" s="59"/>
      <c r="B44" s="60"/>
      <c r="C44" s="60"/>
      <c r="D44" s="60"/>
    </row>
    <row r="45" spans="1:5" ht="18" x14ac:dyDescent="0.35">
      <c r="A45" s="652" t="s">
        <v>436</v>
      </c>
      <c r="B45" s="653"/>
      <c r="C45" s="653"/>
      <c r="D45" s="654"/>
    </row>
    <row r="46" spans="1:5" ht="14.4" x14ac:dyDescent="0.3">
      <c r="A46" s="59"/>
      <c r="B46" s="60" t="s">
        <v>136</v>
      </c>
      <c r="C46" s="60"/>
      <c r="D46" s="39"/>
    </row>
    <row r="47" spans="1:5" ht="14.4" x14ac:dyDescent="0.3">
      <c r="A47" s="59"/>
      <c r="B47" s="60"/>
      <c r="C47" s="61" t="str">
        <f>IF(D47&lt;&gt;"","▪","")</f>
        <v>▪</v>
      </c>
      <c r="D47" s="39" t="s">
        <v>437</v>
      </c>
    </row>
  </sheetData>
  <sheetProtection password="BD1F" sheet="1" objects="1" scenarios="1" autoFilter="0"/>
  <phoneticPr fontId="38" type="noConversion"/>
  <pageMargins left="0.78740157480314998" right="0.78740157480314998" top="0.78740157480314998" bottom="0.78740157480314998" header="5.7086614173228396" footer="0.59055118110236204"/>
  <pageSetup paperSize="9" firstPageNumber="0" orientation="portrait" horizontalDpi="300" verticalDpi="300" r:id="rId1"/>
  <headerFooter alignWithMargins="0">
    <oddHeader>&amp;L_</oddHeader>
    <oddFooter>&amp;LPMv3.0.4&amp;R&amp;P /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4" filterMode="1">
    <pageSetUpPr fitToPage="1"/>
  </sheetPr>
  <dimension ref="A1:Z146"/>
  <sheetViews>
    <sheetView showGridLines="0" topLeftCell="H1" zoomScale="90" zoomScaleNormal="90" zoomScaleSheetLayoutView="100" workbookViewId="0">
      <pane ySplit="11" topLeftCell="A57" activePane="bottomLeft" state="frozen"/>
      <selection activeCell="E1" sqref="E1"/>
      <selection pane="bottomLeft" activeCell="U13" sqref="U13"/>
    </sheetView>
  </sheetViews>
  <sheetFormatPr defaultRowHeight="13.2" x14ac:dyDescent="0.25"/>
  <cols>
    <col min="1" max="4" width="5.6640625" style="65" hidden="1" customWidth="1"/>
    <col min="5" max="5" width="11.33203125" style="65" hidden="1" customWidth="1"/>
    <col min="6" max="6" width="11.44140625" style="65" hidden="1" customWidth="1"/>
    <col min="7" max="7" width="11.88671875" style="65" hidden="1" customWidth="1"/>
    <col min="8" max="8" width="10.6640625" customWidth="1"/>
    <col min="9" max="9" width="3.6640625" customWidth="1"/>
    <col min="10" max="15" width="10.6640625" style="65" customWidth="1"/>
    <col min="16" max="16" width="12.88671875" style="65" customWidth="1"/>
    <col min="17" max="19" width="10.6640625" style="65" customWidth="1"/>
  </cols>
  <sheetData>
    <row r="1" spans="1:19" ht="15.6" x14ac:dyDescent="0.3">
      <c r="E1" s="66" t="s">
        <v>138</v>
      </c>
      <c r="F1" s="66" t="s">
        <v>139</v>
      </c>
      <c r="G1" s="66" t="s">
        <v>140</v>
      </c>
      <c r="O1" s="67" t="str">
        <f>"Quadro de Composição do BDI"</f>
        <v>Quadro de Composição do BDI</v>
      </c>
      <c r="R1" s="673" t="s">
        <v>141</v>
      </c>
      <c r="S1" s="673"/>
    </row>
    <row r="2" spans="1:19" x14ac:dyDescent="0.25">
      <c r="A2" s="65" t="s">
        <v>142</v>
      </c>
      <c r="B2" s="69" t="s">
        <v>143</v>
      </c>
      <c r="C2" s="65" t="str">
        <f t="shared" ref="C2:C49" si="0">CONCATENATE(A2,"-",B2)</f>
        <v>Construção e Reforma de Edifícios-AC</v>
      </c>
      <c r="E2" s="70">
        <v>0.03</v>
      </c>
      <c r="F2" s="70">
        <v>0.04</v>
      </c>
      <c r="G2" s="70">
        <v>5.5E-2</v>
      </c>
      <c r="R2" s="674" t="s">
        <v>144</v>
      </c>
      <c r="S2" s="674"/>
    </row>
    <row r="3" spans="1:19" x14ac:dyDescent="0.25">
      <c r="A3" s="65" t="str">
        <f>A2</f>
        <v>Construção e Reforma de Edifícios</v>
      </c>
      <c r="B3" s="69" t="s">
        <v>145</v>
      </c>
      <c r="C3" s="65" t="str">
        <f t="shared" si="0"/>
        <v>Construção e Reforma de Edifícios-SG</v>
      </c>
      <c r="E3" s="70">
        <v>8.0000000000000002E-3</v>
      </c>
      <c r="F3" s="70">
        <v>8.0000000000000002E-3</v>
      </c>
      <c r="G3" s="70">
        <v>0.01</v>
      </c>
    </row>
    <row r="4" spans="1:19" x14ac:dyDescent="0.25">
      <c r="A4" s="65" t="str">
        <f>A3</f>
        <v>Construção e Reforma de Edifícios</v>
      </c>
      <c r="B4" s="69" t="s">
        <v>146</v>
      </c>
      <c r="C4" s="65" t="str">
        <f t="shared" si="0"/>
        <v>Construção e Reforma de Edifícios-R</v>
      </c>
      <c r="E4" s="70">
        <v>9.7000000000000003E-3</v>
      </c>
      <c r="F4" s="70">
        <v>1.2699999999999999E-2</v>
      </c>
      <c r="G4" s="70">
        <v>1.2699999999999999E-2</v>
      </c>
      <c r="J4" s="675" t="s">
        <v>147</v>
      </c>
      <c r="K4" s="675"/>
      <c r="L4" s="675" t="s">
        <v>148</v>
      </c>
      <c r="M4" s="675"/>
      <c r="N4" s="675" t="s">
        <v>149</v>
      </c>
      <c r="O4" s="675"/>
      <c r="P4" s="675"/>
      <c r="Q4" s="675"/>
      <c r="R4" s="675"/>
      <c r="S4" s="675"/>
    </row>
    <row r="5" spans="1:19" ht="12.75" customHeight="1" x14ac:dyDescent="0.25">
      <c r="A5" s="65" t="str">
        <f>A4</f>
        <v>Construção e Reforma de Edifícios</v>
      </c>
      <c r="B5" s="69" t="s">
        <v>150</v>
      </c>
      <c r="C5" s="65" t="str">
        <f t="shared" si="0"/>
        <v>Construção e Reforma de Edifícios-DF</v>
      </c>
      <c r="E5" s="70">
        <v>5.8999999999999999E-3</v>
      </c>
      <c r="F5" s="70">
        <v>1.23E-2</v>
      </c>
      <c r="G5" s="70">
        <v>1.3899999999999999E-2</v>
      </c>
      <c r="J5" s="672">
        <f>Import.CR</f>
        <v>0</v>
      </c>
      <c r="K5" s="672"/>
      <c r="L5" s="672">
        <f>Import.SICONV</f>
        <v>0</v>
      </c>
      <c r="M5" s="672"/>
      <c r="N5" s="672" t="str">
        <f>Import.Proponente</f>
        <v>PREFEITURA DO MUNICÍPIO DE LAGUNA</v>
      </c>
      <c r="O5" s="672"/>
      <c r="P5" s="672"/>
      <c r="Q5" s="672"/>
      <c r="R5" s="672"/>
      <c r="S5" s="672"/>
    </row>
    <row r="6" spans="1:19" x14ac:dyDescent="0.25">
      <c r="A6" s="65" t="str">
        <f>A5</f>
        <v>Construção e Reforma de Edifícios</v>
      </c>
      <c r="B6" s="69" t="s">
        <v>151</v>
      </c>
      <c r="C6" s="65" t="str">
        <f t="shared" si="0"/>
        <v>Construção e Reforma de Edifícios-L</v>
      </c>
      <c r="E6" s="70">
        <v>6.1600000000000002E-2</v>
      </c>
      <c r="F6" s="70">
        <v>7.400000000000001E-2</v>
      </c>
      <c r="G6" s="70">
        <v>8.9600000000000013E-2</v>
      </c>
      <c r="I6" s="701" t="s">
        <v>211</v>
      </c>
      <c r="J6" s="73"/>
      <c r="K6" s="73"/>
      <c r="L6" s="73"/>
      <c r="M6" s="73"/>
      <c r="N6" s="73"/>
      <c r="O6" s="73"/>
      <c r="P6" s="73"/>
      <c r="Q6" s="73"/>
      <c r="R6" s="73"/>
      <c r="S6" s="73"/>
    </row>
    <row r="7" spans="1:19" ht="26.4" x14ac:dyDescent="0.25">
      <c r="A7" s="65" t="str">
        <f>A6</f>
        <v>Construção e Reforma de Edifícios</v>
      </c>
      <c r="B7" s="74" t="s">
        <v>152</v>
      </c>
      <c r="C7" s="65" t="str">
        <f t="shared" si="0"/>
        <v>Construção e Reforma de Edifícios-BDI PAD</v>
      </c>
      <c r="E7" s="70">
        <v>0.2034</v>
      </c>
      <c r="F7" s="70">
        <v>0.22120000000000001</v>
      </c>
      <c r="G7" s="70">
        <v>0.25</v>
      </c>
      <c r="I7" s="701"/>
      <c r="J7" s="675" t="s">
        <v>153</v>
      </c>
      <c r="K7" s="675"/>
      <c r="L7" s="675"/>
      <c r="M7" s="675"/>
      <c r="N7" s="675"/>
      <c r="O7" s="675"/>
      <c r="P7" s="675"/>
      <c r="Q7" s="675"/>
      <c r="R7" s="675"/>
      <c r="S7" s="675"/>
    </row>
    <row r="8" spans="1:19" x14ac:dyDescent="0.25">
      <c r="A8" s="65" t="s">
        <v>154</v>
      </c>
      <c r="B8" s="69" t="s">
        <v>143</v>
      </c>
      <c r="C8" s="65" t="str">
        <f t="shared" si="0"/>
        <v>Construção de Praças Urbanas, Rodovias, Ferrovias e recapeamento e pavimentação de vias urbanas-AC</v>
      </c>
      <c r="E8" s="70">
        <v>3.7999999999999999E-2</v>
      </c>
      <c r="F8" s="70">
        <v>4.0099999999999997E-2</v>
      </c>
      <c r="G8" s="70">
        <v>4.6699999999999998E-2</v>
      </c>
      <c r="I8" s="701"/>
      <c r="J8" s="678" t="str">
        <f>Import.Apelido&amp;" / "&amp;Import.DescLote</f>
        <v xml:space="preserve">ESCOLA BILÍNGUE (PADRÃO FNDE - 5 SALAS)      / ESCOLA BILÍNGUE (PADRÃO FNDE - 5 SALAS)     </v>
      </c>
      <c r="K8" s="678"/>
      <c r="L8" s="678"/>
      <c r="M8" s="678"/>
      <c r="N8" s="678"/>
      <c r="O8" s="678"/>
      <c r="P8" s="678"/>
      <c r="Q8" s="678"/>
      <c r="R8" s="678"/>
      <c r="S8" s="678"/>
    </row>
    <row r="9" spans="1:19" x14ac:dyDescent="0.25">
      <c r="A9" s="65" t="s">
        <v>154</v>
      </c>
      <c r="B9" s="69" t="s">
        <v>145</v>
      </c>
      <c r="C9" s="65" t="str">
        <f t="shared" si="0"/>
        <v>Construção de Praças Urbanas, Rodovias, Ferrovias e recapeamento e pavimentação de vias urbanas-SG</v>
      </c>
      <c r="E9" s="70">
        <v>3.2000000000000002E-3</v>
      </c>
      <c r="F9" s="70">
        <v>4.0000000000000001E-3</v>
      </c>
      <c r="G9" s="70">
        <v>7.4000000000000003E-3</v>
      </c>
      <c r="I9" s="701"/>
      <c r="J9" s="73"/>
      <c r="K9" s="73"/>
      <c r="L9" s="73"/>
      <c r="M9" s="73"/>
      <c r="N9" s="73"/>
      <c r="O9" s="73"/>
      <c r="P9" s="73"/>
      <c r="Q9" s="73"/>
      <c r="R9" s="73"/>
      <c r="S9" s="73"/>
    </row>
    <row r="10" spans="1:19" ht="12.75" customHeight="1" x14ac:dyDescent="0.25">
      <c r="A10" s="65" t="s">
        <v>154</v>
      </c>
      <c r="B10" s="69" t="s">
        <v>146</v>
      </c>
      <c r="C10" s="65" t="str">
        <f t="shared" si="0"/>
        <v>Construção de Praças Urbanas, Rodovias, Ferrovias e recapeamento e pavimentação de vias urbanas-R</v>
      </c>
      <c r="E10" s="70">
        <v>5.0000000000000001E-3</v>
      </c>
      <c r="F10" s="70">
        <v>5.6000000000000008E-3</v>
      </c>
      <c r="G10" s="70">
        <v>9.7000000000000003E-3</v>
      </c>
      <c r="I10" s="701"/>
      <c r="J10" s="679" t="s">
        <v>155</v>
      </c>
      <c r="K10" s="679"/>
      <c r="L10" s="679"/>
      <c r="M10" s="679"/>
      <c r="N10" s="679"/>
      <c r="O10" s="679"/>
      <c r="P10" s="679"/>
      <c r="Q10" s="679"/>
      <c r="R10" s="677">
        <v>1</v>
      </c>
      <c r="S10" s="677"/>
    </row>
    <row r="11" spans="1:19" ht="12.75" customHeight="1" x14ac:dyDescent="0.25">
      <c r="A11" s="65" t="s">
        <v>154</v>
      </c>
      <c r="B11" s="69" t="s">
        <v>150</v>
      </c>
      <c r="C11" s="65" t="str">
        <f t="shared" si="0"/>
        <v>Construção de Praças Urbanas, Rodovias, Ferrovias e recapeamento e pavimentação de vias urbanas-DF</v>
      </c>
      <c r="E11" s="70">
        <v>1.0200000000000001E-2</v>
      </c>
      <c r="F11" s="70">
        <v>1.11E-2</v>
      </c>
      <c r="G11" s="70">
        <v>1.21E-2</v>
      </c>
      <c r="I11" s="135" t="s">
        <v>219</v>
      </c>
      <c r="J11" s="676" t="s">
        <v>156</v>
      </c>
      <c r="K11" s="676"/>
      <c r="L11" s="676"/>
      <c r="M11" s="676"/>
      <c r="N11" s="676"/>
      <c r="O11" s="676"/>
      <c r="P11" s="676"/>
      <c r="Q11" s="676"/>
      <c r="R11" s="677">
        <v>0.05</v>
      </c>
      <c r="S11" s="677"/>
    </row>
    <row r="12" spans="1:19" x14ac:dyDescent="0.25">
      <c r="A12" s="65" t="s">
        <v>154</v>
      </c>
      <c r="B12" s="69" t="s">
        <v>151</v>
      </c>
      <c r="C12" s="65" t="str">
        <f t="shared" si="0"/>
        <v>Construção de Praças Urbanas, Rodovias, Ferrovias e recapeamento e pavimentação de vias urbanas-L</v>
      </c>
      <c r="E12" s="70">
        <v>6.6400000000000001E-2</v>
      </c>
      <c r="F12" s="70">
        <v>7.2999999999999995E-2</v>
      </c>
      <c r="G12" s="70">
        <v>8.6899999999999991E-2</v>
      </c>
      <c r="I12" t="s">
        <v>248</v>
      </c>
      <c r="J12" s="75"/>
      <c r="K12" s="75"/>
      <c r="L12" s="75"/>
      <c r="M12" s="75"/>
      <c r="N12" s="75"/>
      <c r="O12" s="75"/>
      <c r="P12" s="75"/>
      <c r="Q12" s="75"/>
      <c r="R12" s="75"/>
      <c r="S12" s="75"/>
    </row>
    <row r="13" spans="1:19" ht="26.4" x14ac:dyDescent="0.25">
      <c r="A13" s="65" t="s">
        <v>154</v>
      </c>
      <c r="B13" s="74" t="s">
        <v>152</v>
      </c>
      <c r="C13" s="65" t="str">
        <f t="shared" si="0"/>
        <v>Construção de Praças Urbanas, Rodovias, Ferrovias e recapeamento e pavimentação de vias urbanas-BDI PAD</v>
      </c>
      <c r="E13" s="70">
        <v>0.19600000000000001</v>
      </c>
      <c r="F13" s="70">
        <v>0.2097</v>
      </c>
      <c r="G13" s="70">
        <v>0.24230000000000002</v>
      </c>
      <c r="I13" t="s">
        <v>248</v>
      </c>
    </row>
    <row r="14" spans="1:19" ht="15.6" x14ac:dyDescent="0.3">
      <c r="A14" s="65" t="s">
        <v>157</v>
      </c>
      <c r="B14" s="69" t="s">
        <v>143</v>
      </c>
      <c r="C14" s="65" t="str">
        <f t="shared" si="0"/>
        <v>Construção de Redes de Abastecimento de Água, Coleta de Esgoto-AC</v>
      </c>
      <c r="E14" s="70">
        <v>3.4300000000000004E-2</v>
      </c>
      <c r="F14" s="70">
        <v>4.9299999999999997E-2</v>
      </c>
      <c r="G14" s="70">
        <v>6.7099999999999993E-2</v>
      </c>
      <c r="I14" t="s">
        <v>248</v>
      </c>
      <c r="J14" s="684" t="s">
        <v>158</v>
      </c>
      <c r="K14" s="684"/>
      <c r="L14" s="684"/>
      <c r="M14" s="684"/>
      <c r="N14" s="684"/>
      <c r="O14" s="684"/>
      <c r="P14" s="684"/>
      <c r="Q14" s="684"/>
      <c r="R14" s="684"/>
      <c r="S14" s="684"/>
    </row>
    <row r="15" spans="1:19" x14ac:dyDescent="0.25">
      <c r="A15" s="65" t="str">
        <f>A14</f>
        <v>Construção de Redes de Abastecimento de Água, Coleta de Esgoto</v>
      </c>
      <c r="B15" s="69" t="s">
        <v>145</v>
      </c>
      <c r="C15" s="65" t="str">
        <f t="shared" si="0"/>
        <v>Construção de Redes de Abastecimento de Água, Coleta de Esgoto-SG</v>
      </c>
      <c r="E15" s="70">
        <v>2.8000000000000004E-3</v>
      </c>
      <c r="F15" s="70">
        <v>4.8999999999999998E-3</v>
      </c>
      <c r="G15" s="70">
        <v>7.4999999999999997E-3</v>
      </c>
      <c r="I15" t="s">
        <v>248</v>
      </c>
    </row>
    <row r="16" spans="1:19" x14ac:dyDescent="0.25">
      <c r="A16" s="65" t="str">
        <f>A15</f>
        <v>Construção de Redes de Abastecimento de Água, Coleta de Esgoto</v>
      </c>
      <c r="B16" s="69" t="s">
        <v>146</v>
      </c>
      <c r="C16" s="65" t="str">
        <f t="shared" si="0"/>
        <v>Construção de Redes de Abastecimento de Água, Coleta de Esgoto-R</v>
      </c>
      <c r="E16" s="70">
        <v>0.01</v>
      </c>
      <c r="F16" s="70">
        <v>1.3899999999999999E-2</v>
      </c>
      <c r="G16" s="70">
        <v>1.7399999999999999E-2</v>
      </c>
      <c r="I16" t="s">
        <v>248</v>
      </c>
      <c r="J16" s="675" t="s">
        <v>159</v>
      </c>
      <c r="K16" s="675"/>
      <c r="L16" s="675"/>
      <c r="M16" s="675"/>
      <c r="N16" s="675"/>
      <c r="O16" s="675"/>
      <c r="P16" s="675"/>
      <c r="Q16" s="675"/>
      <c r="R16" s="675"/>
      <c r="S16" s="675"/>
    </row>
    <row r="17" spans="1:26" x14ac:dyDescent="0.25">
      <c r="A17" s="65" t="str">
        <f>A16</f>
        <v>Construção de Redes de Abastecimento de Água, Coleta de Esgoto</v>
      </c>
      <c r="B17" s="69" t="s">
        <v>150</v>
      </c>
      <c r="C17" s="65" t="str">
        <f t="shared" si="0"/>
        <v>Construção de Redes de Abastecimento de Água, Coleta de Esgoto-DF</v>
      </c>
      <c r="E17" s="70">
        <v>9.3999999999999986E-3</v>
      </c>
      <c r="F17" s="70">
        <v>9.8999999999999991E-3</v>
      </c>
      <c r="G17" s="70">
        <v>1.1699999999999999E-2</v>
      </c>
      <c r="I17" t="s">
        <v>248</v>
      </c>
      <c r="J17" s="681" t="s">
        <v>142</v>
      </c>
      <c r="K17" s="681"/>
      <c r="L17" s="681"/>
      <c r="M17" s="681"/>
      <c r="N17" s="681"/>
      <c r="O17" s="681"/>
      <c r="P17" s="681"/>
      <c r="Q17" s="681"/>
      <c r="R17" s="681"/>
      <c r="S17" s="681"/>
    </row>
    <row r="18" spans="1:26" x14ac:dyDescent="0.25">
      <c r="A18" s="65" t="str">
        <f>A17</f>
        <v>Construção de Redes de Abastecimento de Água, Coleta de Esgoto</v>
      </c>
      <c r="B18" s="69" t="s">
        <v>151</v>
      </c>
      <c r="C18" s="65" t="str">
        <f t="shared" si="0"/>
        <v>Construção de Redes de Abastecimento de Água, Coleta de Esgoto-L</v>
      </c>
      <c r="E18" s="70">
        <v>6.7400000000000002E-2</v>
      </c>
      <c r="F18" s="70">
        <v>8.0399999999999985E-2</v>
      </c>
      <c r="G18" s="70">
        <v>9.4E-2</v>
      </c>
      <c r="I18" t="s">
        <v>248</v>
      </c>
    </row>
    <row r="19" spans="1:26" ht="12.75" customHeight="1" x14ac:dyDescent="0.25">
      <c r="A19" s="65" t="str">
        <f>A18</f>
        <v>Construção de Redes de Abastecimento de Água, Coleta de Esgoto</v>
      </c>
      <c r="B19" s="74" t="s">
        <v>152</v>
      </c>
      <c r="C19" s="65" t="str">
        <f t="shared" si="0"/>
        <v>Construção de Redes de Abastecimento de Água, Coleta de Esgoto-BDI PAD</v>
      </c>
      <c r="E19" s="70">
        <v>0.20760000000000001</v>
      </c>
      <c r="F19" s="70">
        <v>0.24179999999999999</v>
      </c>
      <c r="G19" s="70">
        <v>0.26440000000000002</v>
      </c>
      <c r="I19" t="s">
        <v>248</v>
      </c>
      <c r="J19" s="683" t="s">
        <v>160</v>
      </c>
      <c r="K19" s="683"/>
      <c r="L19" s="683"/>
      <c r="M19" s="683"/>
      <c r="N19" s="683"/>
      <c r="O19" s="683"/>
      <c r="P19" s="683"/>
      <c r="Q19" s="683"/>
      <c r="R19" s="683" t="s">
        <v>161</v>
      </c>
      <c r="S19" s="682" t="s">
        <v>162</v>
      </c>
      <c r="U19" s="682" t="s">
        <v>163</v>
      </c>
      <c r="V19" s="682"/>
      <c r="W19" s="682"/>
      <c r="X19" s="680" t="s">
        <v>164</v>
      </c>
      <c r="Y19" s="680" t="s">
        <v>165</v>
      </c>
      <c r="Z19" s="680" t="s">
        <v>166</v>
      </c>
    </row>
    <row r="20" spans="1:26" ht="12.75" customHeight="1" x14ac:dyDescent="0.25">
      <c r="A20" s="65" t="s">
        <v>167</v>
      </c>
      <c r="B20" s="69" t="s">
        <v>143</v>
      </c>
      <c r="C20" s="65" t="str">
        <f t="shared" si="0"/>
        <v>Construção e Manutenção de Estações e Redes de Distribuição de Energia Elétrica-AC</v>
      </c>
      <c r="E20" s="70">
        <v>5.2900000000000003E-2</v>
      </c>
      <c r="F20" s="70">
        <v>5.9200000000000003E-2</v>
      </c>
      <c r="G20" s="70">
        <v>7.9299999999999995E-2</v>
      </c>
      <c r="I20" t="s">
        <v>248</v>
      </c>
      <c r="J20" s="683"/>
      <c r="K20" s="683"/>
      <c r="L20" s="683"/>
      <c r="M20" s="683"/>
      <c r="N20" s="683"/>
      <c r="O20" s="683"/>
      <c r="P20" s="683"/>
      <c r="Q20" s="683"/>
      <c r="R20" s="683"/>
      <c r="S20" s="682"/>
      <c r="U20" s="682"/>
      <c r="V20" s="682"/>
      <c r="W20" s="682"/>
      <c r="X20" s="680"/>
      <c r="Y20" s="680"/>
      <c r="Z20" s="680"/>
    </row>
    <row r="21" spans="1:26" ht="15" customHeight="1" x14ac:dyDescent="0.25">
      <c r="A21" s="65" t="str">
        <f>A20</f>
        <v>Construção e Manutenção de Estações e Redes de Distribuição de Energia Elétrica</v>
      </c>
      <c r="B21" s="69" t="s">
        <v>145</v>
      </c>
      <c r="C21" s="65" t="str">
        <f t="shared" si="0"/>
        <v>Construção e Manutenção de Estações e Redes de Distribuição de Energia Elétrica-SG</v>
      </c>
      <c r="E21" s="70">
        <v>2.5000000000000001E-3</v>
      </c>
      <c r="F21" s="70">
        <v>5.1000000000000004E-3</v>
      </c>
      <c r="G21" s="70">
        <v>5.6000000000000008E-3</v>
      </c>
      <c r="I21" t="s">
        <v>248</v>
      </c>
      <c r="J21" s="685" t="str">
        <f>IF($J$17=$A$146,"Encargos Sociais incidentes sobre a mão de obra","Administração Central")</f>
        <v>Administração Central</v>
      </c>
      <c r="K21" s="685"/>
      <c r="L21" s="685"/>
      <c r="M21" s="685"/>
      <c r="N21" s="685"/>
      <c r="O21" s="685"/>
      <c r="P21" s="685"/>
      <c r="Q21" s="685"/>
      <c r="R21" s="76" t="str">
        <f>IF($J17=$A$146,"K1","AC")</f>
        <v>AC</v>
      </c>
      <c r="S21" s="77">
        <v>0.03</v>
      </c>
      <c r="U21" s="686" t="s">
        <v>168</v>
      </c>
      <c r="V21" s="686"/>
      <c r="W21" s="686"/>
      <c r="X21" s="78">
        <f>VLOOKUP(CONCATENATE(J17,"-",R21),$C$2:$G$136,3,FALSE)</f>
        <v>0.03</v>
      </c>
      <c r="Y21" s="78">
        <f>VLOOKUP(CONCATENATE(J17,"-",R21),$C$2:$G$136,4,FALSE)</f>
        <v>0.04</v>
      </c>
      <c r="Z21" s="78">
        <f>VLOOKUP(CONCATENATE(J17,"-",R21),$C$2:$G$136,5,FALSE)</f>
        <v>5.5E-2</v>
      </c>
    </row>
    <row r="22" spans="1:26" ht="15" customHeight="1" x14ac:dyDescent="0.25">
      <c r="A22" s="65" t="str">
        <f>A21</f>
        <v>Construção e Manutenção de Estações e Redes de Distribuição de Energia Elétrica</v>
      </c>
      <c r="B22" s="69" t="s">
        <v>146</v>
      </c>
      <c r="C22" s="65" t="str">
        <f t="shared" si="0"/>
        <v>Construção e Manutenção de Estações e Redes de Distribuição de Energia Elétrica-R</v>
      </c>
      <c r="E22" s="70">
        <v>0.01</v>
      </c>
      <c r="F22" s="70">
        <v>1.4800000000000001E-2</v>
      </c>
      <c r="G22" s="70">
        <v>1.9699999999999999E-2</v>
      </c>
      <c r="I22" t="s">
        <v>248</v>
      </c>
      <c r="J22" s="685" t="str">
        <f>IF($J$17=$A$146,"Administração Central da empresa ou consultoria - overhead","Seguro e Garantia")</f>
        <v>Seguro e Garantia</v>
      </c>
      <c r="K22" s="685"/>
      <c r="L22" s="685"/>
      <c r="M22" s="685"/>
      <c r="N22" s="685"/>
      <c r="O22" s="685"/>
      <c r="P22" s="685"/>
      <c r="Q22" s="685"/>
      <c r="R22" s="76" t="str">
        <f>IF($J17=$A$146,"K2","SG")</f>
        <v>SG</v>
      </c>
      <c r="S22" s="77">
        <v>8.0000000000000002E-3</v>
      </c>
      <c r="U22" s="686" t="s">
        <v>168</v>
      </c>
      <c r="V22" s="686"/>
      <c r="W22" s="686"/>
      <c r="X22" s="78">
        <f>VLOOKUP(CONCATENATE(J17,"-",R22),$C$2:$G$136,3,FALSE)</f>
        <v>8.0000000000000002E-3</v>
      </c>
      <c r="Y22" s="78">
        <f>VLOOKUP(CONCATENATE(J17,"-",R22),$C$2:$G$136,4,FALSE)</f>
        <v>8.0000000000000002E-3</v>
      </c>
      <c r="Z22" s="78">
        <f>VLOOKUP(CONCATENATE(J17,"-",R22),$C$2:$G$136,5,FALSE)</f>
        <v>0.01</v>
      </c>
    </row>
    <row r="23" spans="1:26" ht="15" customHeight="1" x14ac:dyDescent="0.25">
      <c r="A23" s="65" t="str">
        <f>A22</f>
        <v>Construção e Manutenção de Estações e Redes de Distribuição de Energia Elétrica</v>
      </c>
      <c r="B23" s="69" t="s">
        <v>150</v>
      </c>
      <c r="C23" s="65" t="str">
        <f t="shared" si="0"/>
        <v>Construção e Manutenção de Estações e Redes de Distribuição de Energia Elétrica-DF</v>
      </c>
      <c r="E23" s="70">
        <v>1.01E-2</v>
      </c>
      <c r="F23" s="70">
        <v>1.0700000000000001E-2</v>
      </c>
      <c r="G23" s="70">
        <v>1.11E-2</v>
      </c>
      <c r="I23" t="s">
        <v>248</v>
      </c>
      <c r="J23" s="685" t="str">
        <f>IF($J$17=$A$146,"","Risco")</f>
        <v>Risco</v>
      </c>
      <c r="K23" s="685"/>
      <c r="L23" s="685"/>
      <c r="M23" s="685"/>
      <c r="N23" s="685"/>
      <c r="O23" s="685"/>
      <c r="P23" s="685"/>
      <c r="Q23" s="685"/>
      <c r="R23" s="76" t="str">
        <f>IF($J17=$A$146,"","R")</f>
        <v>R</v>
      </c>
      <c r="S23" s="77">
        <v>9.7000000000000003E-3</v>
      </c>
      <c r="U23" s="686" t="s">
        <v>168</v>
      </c>
      <c r="V23" s="686"/>
      <c r="W23" s="686"/>
      <c r="X23" s="78">
        <f>VLOOKUP(CONCATENATE(J17,"-",R23),$C$2:$G$136,3,FALSE)</f>
        <v>9.7000000000000003E-3</v>
      </c>
      <c r="Y23" s="78">
        <f>VLOOKUP(CONCATENATE(J17,"-",R23),$C$2:$G$136,4,FALSE)</f>
        <v>1.2699999999999999E-2</v>
      </c>
      <c r="Z23" s="78">
        <f>VLOOKUP(CONCATENATE(J17,"-",R23),$C$2:$G$136,5,FALSE)</f>
        <v>1.2699999999999999E-2</v>
      </c>
    </row>
    <row r="24" spans="1:26" ht="15" customHeight="1" x14ac:dyDescent="0.25">
      <c r="A24" s="65" t="str">
        <f>A23</f>
        <v>Construção e Manutenção de Estações e Redes de Distribuição de Energia Elétrica</v>
      </c>
      <c r="B24" s="69" t="s">
        <v>151</v>
      </c>
      <c r="C24" s="65" t="str">
        <f t="shared" si="0"/>
        <v>Construção e Manutenção de Estações e Redes de Distribuição de Energia Elétrica-L</v>
      </c>
      <c r="E24" s="70">
        <v>0.08</v>
      </c>
      <c r="F24" s="70">
        <v>8.3100000000000007E-2</v>
      </c>
      <c r="G24" s="70">
        <v>9.5100000000000004E-2</v>
      </c>
      <c r="I24" t="s">
        <v>248</v>
      </c>
      <c r="J24" s="685" t="str">
        <f>IF($J$17=$A$146,"","Despesas Financeiras")</f>
        <v>Despesas Financeiras</v>
      </c>
      <c r="K24" s="685"/>
      <c r="L24" s="685"/>
      <c r="M24" s="685"/>
      <c r="N24" s="685"/>
      <c r="O24" s="685"/>
      <c r="P24" s="685"/>
      <c r="Q24" s="685"/>
      <c r="R24" s="76" t="str">
        <f>IF($J17=$A$146,"","DF")</f>
        <v>DF</v>
      </c>
      <c r="S24" s="77">
        <v>5.8999999999999999E-3</v>
      </c>
      <c r="U24" s="686" t="s">
        <v>168</v>
      </c>
      <c r="V24" s="686"/>
      <c r="W24" s="686"/>
      <c r="X24" s="78">
        <f>VLOOKUP(CONCATENATE(J17,"-",R24),$C$2:$G$136,3,FALSE)</f>
        <v>5.8999999999999999E-3</v>
      </c>
      <c r="Y24" s="78">
        <f>VLOOKUP(CONCATENATE(J17,"-",R24),$C$2:$G$136,4,FALSE)</f>
        <v>1.23E-2</v>
      </c>
      <c r="Z24" s="78">
        <f>VLOOKUP(CONCATENATE(J17,"-",R24),$C$2:$G$136,5,FALSE)</f>
        <v>1.3899999999999999E-2</v>
      </c>
    </row>
    <row r="25" spans="1:26" ht="15" customHeight="1" x14ac:dyDescent="0.25">
      <c r="A25" s="65" t="str">
        <f>A24</f>
        <v>Construção e Manutenção de Estações e Redes de Distribuição de Energia Elétrica</v>
      </c>
      <c r="B25" s="74" t="s">
        <v>152</v>
      </c>
      <c r="C25" s="65" t="str">
        <f t="shared" si="0"/>
        <v>Construção e Manutenção de Estações e Redes de Distribuição de Energia Elétrica-BDI PAD</v>
      </c>
      <c r="E25" s="70">
        <v>0.24</v>
      </c>
      <c r="F25" s="70">
        <v>0.25840000000000002</v>
      </c>
      <c r="G25" s="70">
        <v>0.27860000000000001</v>
      </c>
      <c r="I25" t="s">
        <v>248</v>
      </c>
      <c r="J25" s="685" t="str">
        <f>IF($J$17=$A$146,"Margem bruta da empresa de consultoria","Lucro")</f>
        <v>Lucro</v>
      </c>
      <c r="K25" s="685"/>
      <c r="L25" s="685"/>
      <c r="M25" s="685"/>
      <c r="N25" s="685"/>
      <c r="O25" s="685"/>
      <c r="P25" s="685"/>
      <c r="Q25" s="685"/>
      <c r="R25" s="76" t="str">
        <f>IF($J17=$A$146,"K3","L")</f>
        <v>L</v>
      </c>
      <c r="S25" s="77">
        <v>6.1600000000000002E-2</v>
      </c>
      <c r="U25" s="686" t="s">
        <v>168</v>
      </c>
      <c r="V25" s="686"/>
      <c r="W25" s="686"/>
      <c r="X25" s="78">
        <f>VLOOKUP(CONCATENATE(J17,"-",R25),$C$2:$G$136,3,FALSE)</f>
        <v>6.1600000000000002E-2</v>
      </c>
      <c r="Y25" s="78">
        <f>VLOOKUP(CONCATENATE(J17,"-",R25),$C$2:$G$136,4,FALSE)</f>
        <v>7.400000000000001E-2</v>
      </c>
      <c r="Z25" s="78">
        <f>VLOOKUP(CONCATENATE(J17,"-",R25),$C$2:$G$136,5,FALSE)</f>
        <v>8.9600000000000013E-2</v>
      </c>
    </row>
    <row r="26" spans="1:26" ht="15" customHeight="1" x14ac:dyDescent="0.25">
      <c r="A26" s="65" t="s">
        <v>169</v>
      </c>
      <c r="B26" s="69" t="s">
        <v>143</v>
      </c>
      <c r="C26" s="65" t="str">
        <f t="shared" si="0"/>
        <v>Obras Portuárias, Marítimas e Fluviais-AC</v>
      </c>
      <c r="E26" s="70">
        <v>0.04</v>
      </c>
      <c r="F26" s="70">
        <v>5.5199999999999999E-2</v>
      </c>
      <c r="G26" s="70">
        <v>7.85E-2</v>
      </c>
      <c r="I26" t="s">
        <v>248</v>
      </c>
      <c r="J26" s="685" t="s">
        <v>170</v>
      </c>
      <c r="K26" s="685"/>
      <c r="L26" s="685"/>
      <c r="M26" s="685"/>
      <c r="N26" s="685"/>
      <c r="O26" s="685"/>
      <c r="P26" s="685"/>
      <c r="Q26" s="685"/>
      <c r="R26" s="76" t="s">
        <v>171</v>
      </c>
      <c r="S26" s="77">
        <v>3.6499999999999998E-2</v>
      </c>
      <c r="U26" s="686" t="s">
        <v>168</v>
      </c>
      <c r="V26" s="686"/>
      <c r="W26" s="686"/>
      <c r="X26" s="78">
        <v>3.6499999999999998E-2</v>
      </c>
      <c r="Y26" s="78">
        <v>3.6499999999999998E-2</v>
      </c>
      <c r="Z26" s="78">
        <v>3.6499999999999998E-2</v>
      </c>
    </row>
    <row r="27" spans="1:26" ht="15" customHeight="1" x14ac:dyDescent="0.25">
      <c r="A27" s="65" t="str">
        <f>A26</f>
        <v>Obras Portuárias, Marítimas e Fluviais</v>
      </c>
      <c r="B27" s="69" t="s">
        <v>145</v>
      </c>
      <c r="C27" s="65" t="str">
        <f t="shared" si="0"/>
        <v>Obras Portuárias, Marítimas e Fluviais-SG</v>
      </c>
      <c r="E27" s="70">
        <v>8.1000000000000013E-3</v>
      </c>
      <c r="F27" s="70">
        <v>1.2199999999999999E-2</v>
      </c>
      <c r="G27" s="70">
        <v>1.9900000000000001E-2</v>
      </c>
      <c r="I27" t="s">
        <v>248</v>
      </c>
      <c r="J27" s="685" t="s">
        <v>172</v>
      </c>
      <c r="K27" s="685"/>
      <c r="L27" s="685"/>
      <c r="M27" s="685"/>
      <c r="N27" s="685"/>
      <c r="O27" s="685"/>
      <c r="P27" s="685"/>
      <c r="Q27" s="685"/>
      <c r="R27" s="76" t="s">
        <v>173</v>
      </c>
      <c r="S27" s="78">
        <f ca="1">IF(AND($J17&lt;&gt;$A$145,COUNTA(OFFSET(S20,1,0,6))&gt;0),$R$11*$R$10,0)</f>
        <v>0.05</v>
      </c>
      <c r="U27" s="686" t="s">
        <v>168</v>
      </c>
      <c r="V27" s="686"/>
      <c r="W27" s="686"/>
      <c r="X27" s="78">
        <v>0</v>
      </c>
      <c r="Y27" s="78">
        <v>2.5000000000000001E-2</v>
      </c>
      <c r="Z27" s="78">
        <v>0.05</v>
      </c>
    </row>
    <row r="28" spans="1:26" ht="15" customHeight="1" x14ac:dyDescent="0.25">
      <c r="A28" s="65" t="str">
        <f>A27</f>
        <v>Obras Portuárias, Marítimas e Fluviais</v>
      </c>
      <c r="B28" s="69" t="s">
        <v>146</v>
      </c>
      <c r="C28" s="65" t="str">
        <f t="shared" si="0"/>
        <v>Obras Portuárias, Marítimas e Fluviais-R</v>
      </c>
      <c r="E28" s="70">
        <v>1.46E-2</v>
      </c>
      <c r="F28" s="70">
        <v>2.3199999999999998E-2</v>
      </c>
      <c r="G28" s="70">
        <v>3.1600000000000003E-2</v>
      </c>
      <c r="I28" t="s">
        <v>248</v>
      </c>
      <c r="J28" s="685" t="s">
        <v>174</v>
      </c>
      <c r="K28" s="685"/>
      <c r="L28" s="685"/>
      <c r="M28" s="685"/>
      <c r="N28" s="685"/>
      <c r="O28" s="685"/>
      <c r="P28" s="685"/>
      <c r="Q28" s="685"/>
      <c r="R28" s="76" t="s">
        <v>175</v>
      </c>
      <c r="S28" s="78">
        <f ca="1">IF(BDI.Opcao&lt;&gt;"Desonerado",0,IF(AND($J17&lt;&gt;$A$145,COUNTA(OFFSET(S20,1,0,6))&gt;0),4.5%,0%))</f>
        <v>0</v>
      </c>
      <c r="U28" s="686" t="s">
        <v>168</v>
      </c>
      <c r="V28" s="686"/>
      <c r="W28" s="686"/>
      <c r="X28" s="79">
        <v>0</v>
      </c>
      <c r="Y28" s="79">
        <v>4.4999999999999998E-2</v>
      </c>
      <c r="Z28" s="79">
        <v>4.4999999999999998E-2</v>
      </c>
    </row>
    <row r="29" spans="1:26" ht="15" customHeight="1" x14ac:dyDescent="0.25">
      <c r="A29" s="65" t="str">
        <f>A28</f>
        <v>Obras Portuárias, Marítimas e Fluviais</v>
      </c>
      <c r="B29" s="69" t="s">
        <v>150</v>
      </c>
      <c r="C29" s="65" t="str">
        <f t="shared" si="0"/>
        <v>Obras Portuárias, Marítimas e Fluviais-DF</v>
      </c>
      <c r="E29" s="70">
        <v>9.3999999999999986E-3</v>
      </c>
      <c r="F29" s="70">
        <v>1.0200000000000001E-2</v>
      </c>
      <c r="G29" s="70">
        <v>1.3300000000000001E-2</v>
      </c>
      <c r="I29" t="s">
        <v>248</v>
      </c>
      <c r="J29" s="685" t="s">
        <v>176</v>
      </c>
      <c r="K29" s="685"/>
      <c r="L29" s="685"/>
      <c r="M29" s="685"/>
      <c r="N29" s="685"/>
      <c r="O29" s="685"/>
      <c r="P29" s="685"/>
      <c r="Q29" s="685"/>
      <c r="R29" s="80" t="s">
        <v>152</v>
      </c>
      <c r="S29" s="78">
        <f ca="1">IF($J17=$A$145,0,ROUND((((1+S21+S22+S23)*(1+S24)*(1+S25)/(1-(S26+S27)))-1),4))</f>
        <v>0.22470000000000001</v>
      </c>
      <c r="U29" s="682" t="str">
        <f ca="1">IF(OR($J$17=$A$146,$J$17=$A$145,AND(S29&gt;=X29,S29&lt;=Z29)),"OK","FORA DO INTERVALO")</f>
        <v>OK</v>
      </c>
      <c r="V29" s="682"/>
      <c r="W29" s="682"/>
      <c r="X29" s="78">
        <f>IF($J17=$A$145,0,VLOOKUP(CONCATENATE($J17,"-",$R29),$C$2:$G$136,3,FALSE))</f>
        <v>0.2034</v>
      </c>
      <c r="Y29" s="78">
        <f>IF($J17=$A$145,0,VLOOKUP(CONCATENATE($J17,"-",$R29),$C$2:$G$136,4,FALSE))</f>
        <v>0.22120000000000001</v>
      </c>
      <c r="Z29" s="78">
        <f>IF($J17=$A$145,0,VLOOKUP(CONCATENATE($J17,"-",$R29),$C$2:$G$136,5,FALSE))</f>
        <v>0.25</v>
      </c>
    </row>
    <row r="30" spans="1:26" ht="15" customHeight="1" x14ac:dyDescent="0.25">
      <c r="A30" s="65" t="str">
        <f>A29</f>
        <v>Obras Portuárias, Marítimas e Fluviais</v>
      </c>
      <c r="B30" s="69" t="s">
        <v>151</v>
      </c>
      <c r="C30" s="65" t="str">
        <f t="shared" si="0"/>
        <v>Obras Portuárias, Marítimas e Fluviais-L</v>
      </c>
      <c r="E30" s="70">
        <v>7.1399999999999991E-2</v>
      </c>
      <c r="F30" s="70">
        <v>8.4000000000000005E-2</v>
      </c>
      <c r="G30" s="70">
        <v>0.1043</v>
      </c>
      <c r="I30" t="s">
        <v>248</v>
      </c>
      <c r="J30" s="689" t="s">
        <v>177</v>
      </c>
      <c r="K30" s="689"/>
      <c r="L30" s="689"/>
      <c r="M30" s="689"/>
      <c r="N30" s="689"/>
      <c r="O30" s="689"/>
      <c r="P30" s="689"/>
      <c r="Q30" s="689"/>
      <c r="R30" s="81" t="s">
        <v>178</v>
      </c>
      <c r="S30" s="82">
        <f ca="1">IF($J17=$A$145,0,ROUND((((1+S21+S22+S23)*(1+S24)*(1+S25)/(1-(S26+S27+S28)))-1),4))</f>
        <v>0.22470000000000001</v>
      </c>
    </row>
    <row r="31" spans="1:26" ht="26.4" x14ac:dyDescent="0.25">
      <c r="A31" s="65" t="str">
        <f>A30</f>
        <v>Obras Portuárias, Marítimas e Fluviais</v>
      </c>
      <c r="B31" s="74" t="s">
        <v>152</v>
      </c>
      <c r="C31" s="65" t="str">
        <f t="shared" si="0"/>
        <v>Obras Portuárias, Marítimas e Fluviais-BDI PAD</v>
      </c>
      <c r="E31" s="70">
        <v>0.22800000000000001</v>
      </c>
      <c r="F31" s="70">
        <v>0.27479999999999999</v>
      </c>
      <c r="G31" s="70">
        <v>0.3095</v>
      </c>
      <c r="I31" t="s">
        <v>248</v>
      </c>
    </row>
    <row r="32" spans="1:26" ht="15.6" x14ac:dyDescent="0.25">
      <c r="A32" s="65" t="s">
        <v>179</v>
      </c>
      <c r="B32" s="69" t="s">
        <v>143</v>
      </c>
      <c r="C32" s="65" t="str">
        <f t="shared" si="0"/>
        <v>Fornecimento de Materiais e Equipamentos (aquisição indireta - em conjunto com licitação de obras)-AC</v>
      </c>
      <c r="E32" s="70">
        <v>1.4999999999999999E-2</v>
      </c>
      <c r="F32" s="70">
        <v>3.4500000000000003E-2</v>
      </c>
      <c r="G32" s="70">
        <v>4.4900000000000002E-2</v>
      </c>
      <c r="I32" t="s">
        <v>248</v>
      </c>
      <c r="J32" s="83" t="str">
        <f ca="1">IF(U29&lt;&gt;"ok","X","")</f>
        <v/>
      </c>
      <c r="K32" s="690" t="str">
        <f ca="1">IF(U29&lt;&gt;"ok","Anexo: Relatório Técnico Circunstanciado justificando a adoção do percentual de cada parcela do BDI.","")</f>
        <v/>
      </c>
      <c r="L32" s="690"/>
      <c r="M32" s="690"/>
      <c r="N32" s="690"/>
      <c r="O32" s="690"/>
      <c r="P32" s="690"/>
      <c r="Q32" s="690"/>
      <c r="R32" s="690"/>
      <c r="S32" s="690"/>
    </row>
    <row r="33" spans="1:19" x14ac:dyDescent="0.25">
      <c r="A33" s="65" t="str">
        <f>A32</f>
        <v>Fornecimento de Materiais e Equipamentos (aquisição indireta - em conjunto com licitação de obras)</v>
      </c>
      <c r="B33" s="69" t="s">
        <v>145</v>
      </c>
      <c r="C33" s="65" t="str">
        <f t="shared" si="0"/>
        <v>Fornecimento de Materiais e Equipamentos (aquisição indireta - em conjunto com licitação de obras)-SG</v>
      </c>
      <c r="E33" s="70">
        <v>3.0000000000000001E-3</v>
      </c>
      <c r="F33" s="70">
        <v>4.7999999999999996E-3</v>
      </c>
      <c r="G33" s="70">
        <v>8.199999999999999E-3</v>
      </c>
      <c r="I33" t="s">
        <v>248</v>
      </c>
    </row>
    <row r="34" spans="1:19" x14ac:dyDescent="0.25">
      <c r="A34" s="65" t="str">
        <f>A33</f>
        <v>Fornecimento de Materiais e Equipamentos (aquisição indireta - em conjunto com licitação de obras)</v>
      </c>
      <c r="B34" s="69" t="s">
        <v>146</v>
      </c>
      <c r="C34" s="65" t="str">
        <f t="shared" si="0"/>
        <v>Fornecimento de Materiais e Equipamentos (aquisição indireta - em conjunto com licitação de obras)-R</v>
      </c>
      <c r="E34" s="70">
        <v>5.6000000000000008E-3</v>
      </c>
      <c r="F34" s="70">
        <v>8.5000000000000006E-3</v>
      </c>
      <c r="G34" s="70">
        <v>8.8999999999999999E-3</v>
      </c>
      <c r="I34" t="s">
        <v>248</v>
      </c>
      <c r="J34" s="691" t="s">
        <v>180</v>
      </c>
      <c r="K34" s="691"/>
      <c r="L34" s="691"/>
      <c r="M34" s="691"/>
      <c r="N34" s="691"/>
      <c r="O34" s="691"/>
      <c r="P34" s="691"/>
      <c r="Q34" s="691"/>
      <c r="R34" s="691"/>
      <c r="S34" s="691"/>
    </row>
    <row r="35" spans="1:19" ht="15.6" x14ac:dyDescent="0.3">
      <c r="A35" s="65" t="str">
        <f>A34</f>
        <v>Fornecimento de Materiais e Equipamentos (aquisição indireta - em conjunto com licitação de obras)</v>
      </c>
      <c r="B35" s="69" t="s">
        <v>150</v>
      </c>
      <c r="C35" s="65" t="str">
        <f t="shared" si="0"/>
        <v>Fornecimento de Materiais e Equipamentos (aquisição indireta - em conjunto com licitação de obras)-DF</v>
      </c>
      <c r="E35" s="70">
        <v>8.5000000000000006E-3</v>
      </c>
      <c r="F35" s="70">
        <v>8.5000000000000006E-3</v>
      </c>
      <c r="G35" s="70">
        <v>1.11E-2</v>
      </c>
      <c r="I35" t="s">
        <v>248</v>
      </c>
      <c r="J35" s="84"/>
      <c r="K35" s="84"/>
      <c r="L35" s="84"/>
      <c r="M35" s="692" t="s">
        <v>181</v>
      </c>
      <c r="N35" s="698" t="str">
        <f>IF($J17=$A$146,"(1+K1+K2)*(1+K3)","(1+AC + S + R + G)*(1 + DF)*(1+L)")</f>
        <v>(1+AC + S + R + G)*(1 + DF)*(1+L)</v>
      </c>
      <c r="O35" s="698"/>
      <c r="P35" s="698"/>
      <c r="Q35" s="699" t="s">
        <v>182</v>
      </c>
      <c r="R35" s="84"/>
      <c r="S35" s="84"/>
    </row>
    <row r="36" spans="1:19" ht="15.6" x14ac:dyDescent="0.25">
      <c r="A36" s="65" t="str">
        <f>A35</f>
        <v>Fornecimento de Materiais e Equipamentos (aquisição indireta - em conjunto com licitação de obras)</v>
      </c>
      <c r="B36" s="69" t="s">
        <v>151</v>
      </c>
      <c r="C36" s="65" t="str">
        <f t="shared" si="0"/>
        <v>Fornecimento de Materiais e Equipamentos (aquisição indireta - em conjunto com licitação de obras)-L</v>
      </c>
      <c r="E36" s="70">
        <v>3.5000000000000003E-2</v>
      </c>
      <c r="F36" s="70">
        <v>5.1100000000000007E-2</v>
      </c>
      <c r="G36" s="70">
        <v>6.2199999999999998E-2</v>
      </c>
      <c r="I36" t="s">
        <v>248</v>
      </c>
      <c r="J36" s="84"/>
      <c r="K36" s="84"/>
      <c r="L36" s="84"/>
      <c r="M36" s="692"/>
      <c r="N36" s="687" t="s">
        <v>183</v>
      </c>
      <c r="O36" s="687"/>
      <c r="P36" s="687"/>
      <c r="Q36" s="699"/>
      <c r="R36" s="84"/>
      <c r="S36" s="84"/>
    </row>
    <row r="37" spans="1:19" ht="15" customHeight="1" x14ac:dyDescent="0.25">
      <c r="A37" s="65" t="str">
        <f>A36</f>
        <v>Fornecimento de Materiais e Equipamentos (aquisição indireta - em conjunto com licitação de obras)</v>
      </c>
      <c r="B37" s="74" t="s">
        <v>152</v>
      </c>
      <c r="C37" s="65" t="str">
        <f t="shared" si="0"/>
        <v>Fornecimento de Materiais e Equipamentos (aquisição indireta - em conjunto com licitação de obras)-BDI PAD</v>
      </c>
      <c r="E37" s="70">
        <v>0.111</v>
      </c>
      <c r="F37" s="70">
        <v>0.14019999999999999</v>
      </c>
      <c r="G37" s="70">
        <v>0.16800000000000001</v>
      </c>
      <c r="I37" t="s">
        <v>248</v>
      </c>
      <c r="J37" s="88"/>
      <c r="K37" s="88"/>
      <c r="L37" s="88"/>
      <c r="M37" s="88"/>
      <c r="N37" s="88"/>
      <c r="O37" s="88"/>
      <c r="P37" s="88"/>
      <c r="Q37" s="88"/>
      <c r="R37" s="88"/>
      <c r="S37" s="88"/>
    </row>
    <row r="38" spans="1:19" ht="50.1" customHeight="1" x14ac:dyDescent="0.25">
      <c r="A38" s="65" t="s">
        <v>184</v>
      </c>
      <c r="B38" s="74" t="s">
        <v>143</v>
      </c>
      <c r="C38" s="65" t="str">
        <f t="shared" si="0"/>
        <v>Fornecimento de Materiais e Equipamentos (aquisição direta)-AC</v>
      </c>
      <c r="E38" s="70" t="s">
        <v>168</v>
      </c>
      <c r="F38" s="70" t="s">
        <v>168</v>
      </c>
      <c r="G38" s="70" t="s">
        <v>168</v>
      </c>
      <c r="I38" t="s">
        <v>248</v>
      </c>
      <c r="J38" s="688" t="str">
        <f>CONCATENATE("Declaro para os devidos fins que, conforme legislação tributária municipal, a base de cálculo deste tipo de obra corresponde à ",$R$10*100,"%, com a respectiva alíquota de ",$R$11*100,"%.")</f>
        <v>Declaro para os devidos fins que, conforme legislação tributária municipal, a base de cálculo deste tipo de obra corresponde à 100%, com a respectiva alíquota de 5%.</v>
      </c>
      <c r="K38" s="688"/>
      <c r="L38" s="688"/>
      <c r="M38" s="688"/>
      <c r="N38" s="688"/>
      <c r="O38" s="688"/>
      <c r="P38" s="688"/>
      <c r="Q38" s="688"/>
      <c r="R38" s="688"/>
      <c r="S38" s="688"/>
    </row>
    <row r="39" spans="1:19" x14ac:dyDescent="0.25">
      <c r="A39" s="65" t="s">
        <v>184</v>
      </c>
      <c r="B39" s="74" t="s">
        <v>145</v>
      </c>
      <c r="C39" s="65" t="str">
        <f t="shared" si="0"/>
        <v>Fornecimento de Materiais e Equipamentos (aquisição direta)-SG</v>
      </c>
      <c r="E39" s="70" t="s">
        <v>168</v>
      </c>
      <c r="F39" s="70" t="s">
        <v>168</v>
      </c>
      <c r="G39" s="70" t="s">
        <v>168</v>
      </c>
      <c r="I39" t="s">
        <v>248</v>
      </c>
    </row>
    <row r="40" spans="1:19" ht="50.1" customHeight="1" x14ac:dyDescent="0.25">
      <c r="A40" s="65" t="s">
        <v>184</v>
      </c>
      <c r="B40" s="74" t="s">
        <v>146</v>
      </c>
      <c r="C40" s="65" t="str">
        <f t="shared" si="0"/>
        <v>Fornecimento de Materiais e Equipamentos (aquisição direta)-R</v>
      </c>
      <c r="E40" s="70" t="s">
        <v>168</v>
      </c>
      <c r="F40" s="70" t="s">
        <v>168</v>
      </c>
      <c r="G40" s="70" t="s">
        <v>168</v>
      </c>
      <c r="I40" t="s">
        <v>248</v>
      </c>
      <c r="J40" s="688" t="str">
        <f ca="1">CONCATENATE("Declaro para os devidos fins que o regime de Contribuição Previdenciária sobre a Receita Bruta adotado para elaboração do orçamento foi ",IF(DESONERACAO="Sim","COM","SEM")," Desoneração, e que esta é a alternativa mais adequada para a Administração Pública.")</f>
        <v>Declaro para os devidos fins que o regime de Contribuição Previdenciária sobre a Receita Bruta adotado para elaboração do orçamento foi SEM Desoneração, e que esta é a alternativa mais adequada para a Administração Pública.</v>
      </c>
      <c r="K40" s="688"/>
      <c r="L40" s="688"/>
      <c r="M40" s="688"/>
      <c r="N40" s="688"/>
      <c r="O40" s="688"/>
      <c r="P40" s="688"/>
      <c r="Q40" s="688"/>
      <c r="R40" s="688"/>
      <c r="S40" s="688"/>
    </row>
    <row r="41" spans="1:19" x14ac:dyDescent="0.25">
      <c r="A41" s="65" t="s">
        <v>184</v>
      </c>
      <c r="B41" s="74" t="s">
        <v>150</v>
      </c>
      <c r="C41" s="65" t="str">
        <f t="shared" si="0"/>
        <v>Fornecimento de Materiais e Equipamentos (aquisição direta)-DF</v>
      </c>
      <c r="E41" s="70" t="s">
        <v>168</v>
      </c>
      <c r="F41" s="70" t="s">
        <v>168</v>
      </c>
      <c r="G41" s="70" t="s">
        <v>168</v>
      </c>
      <c r="I41" t="s">
        <v>248</v>
      </c>
    </row>
    <row r="42" spans="1:19" x14ac:dyDescent="0.25">
      <c r="A42" s="65" t="s">
        <v>184</v>
      </c>
      <c r="B42" s="74" t="s">
        <v>151</v>
      </c>
      <c r="C42" s="65" t="str">
        <f t="shared" si="0"/>
        <v>Fornecimento de Materiais e Equipamentos (aquisição direta)-L</v>
      </c>
      <c r="E42" s="70" t="s">
        <v>168</v>
      </c>
      <c r="F42" s="70" t="s">
        <v>168</v>
      </c>
      <c r="G42" s="70" t="s">
        <v>168</v>
      </c>
      <c r="I42" t="s">
        <v>248</v>
      </c>
      <c r="J42" s="65" t="s">
        <v>189</v>
      </c>
    </row>
    <row r="43" spans="1:19" ht="99.9" customHeight="1" x14ac:dyDescent="0.25">
      <c r="A43" s="65" t="s">
        <v>184</v>
      </c>
      <c r="B43" s="74" t="s">
        <v>152</v>
      </c>
      <c r="C43" s="65" t="str">
        <f t="shared" si="0"/>
        <v>Fornecimento de Materiais e Equipamentos (aquisição direta)-BDI PAD</v>
      </c>
      <c r="E43" s="70" t="s">
        <v>168</v>
      </c>
      <c r="F43" s="70" t="s">
        <v>168</v>
      </c>
      <c r="G43" s="70" t="s">
        <v>168</v>
      </c>
      <c r="I43" t="s">
        <v>248</v>
      </c>
      <c r="J43" s="700"/>
      <c r="K43" s="700"/>
      <c r="L43" s="700"/>
      <c r="M43" s="700"/>
      <c r="N43" s="700"/>
      <c r="O43" s="700"/>
      <c r="P43" s="700"/>
      <c r="Q43" s="700"/>
      <c r="R43" s="700"/>
      <c r="S43" s="700"/>
    </row>
    <row r="44" spans="1:19" x14ac:dyDescent="0.25">
      <c r="A44" s="65" t="s">
        <v>185</v>
      </c>
      <c r="B44" s="69" t="s">
        <v>186</v>
      </c>
      <c r="C44" s="65" t="str">
        <f t="shared" si="0"/>
        <v>Estudos e Projetos, Planos e Gerenciamento e outros correlatos-K1</v>
      </c>
      <c r="E44" s="70" t="s">
        <v>168</v>
      </c>
      <c r="F44" s="70" t="s">
        <v>168</v>
      </c>
      <c r="G44" s="70" t="s">
        <v>168</v>
      </c>
      <c r="I44" t="s">
        <v>248</v>
      </c>
    </row>
    <row r="45" spans="1:19" x14ac:dyDescent="0.25">
      <c r="A45" s="65" t="str">
        <f>A44</f>
        <v>Estudos e Projetos, Planos e Gerenciamento e outros correlatos</v>
      </c>
      <c r="B45" s="69" t="s">
        <v>187</v>
      </c>
      <c r="C45" s="65" t="str">
        <f t="shared" si="0"/>
        <v>Estudos e Projetos, Planos e Gerenciamento e outros correlatos-K2</v>
      </c>
      <c r="E45" s="70" t="s">
        <v>168</v>
      </c>
      <c r="F45" s="70">
        <v>0.2</v>
      </c>
      <c r="G45" s="70" t="s">
        <v>168</v>
      </c>
      <c r="I45" t="s">
        <v>248</v>
      </c>
      <c r="J45" s="694" t="str">
        <f>Import.Município</f>
        <v>LAGUNA/SC</v>
      </c>
      <c r="K45" s="694"/>
      <c r="L45" s="694"/>
      <c r="M45" s="694"/>
      <c r="P45" s="695">
        <f ca="1">DADOS!$F$25</f>
        <v>45477</v>
      </c>
      <c r="Q45" s="695"/>
      <c r="R45" s="695"/>
      <c r="S45" s="695"/>
    </row>
    <row r="46" spans="1:19" x14ac:dyDescent="0.25">
      <c r="A46" s="65" t="str">
        <f>A45</f>
        <v>Estudos e Projetos, Planos e Gerenciamento e outros correlatos</v>
      </c>
      <c r="B46" s="69"/>
      <c r="C46" s="65" t="str">
        <f t="shared" si="0"/>
        <v>Estudos e Projetos, Planos e Gerenciamento e outros correlatos-</v>
      </c>
      <c r="E46" s="70" t="s">
        <v>168</v>
      </c>
      <c r="F46" s="70" t="s">
        <v>168</v>
      </c>
      <c r="G46" s="70" t="s">
        <v>168</v>
      </c>
      <c r="I46" t="s">
        <v>248</v>
      </c>
      <c r="J46" s="696" t="s">
        <v>190</v>
      </c>
      <c r="K46" s="696"/>
      <c r="L46" s="696"/>
      <c r="M46" s="696"/>
      <c r="O46" s="89"/>
      <c r="P46" s="90" t="s">
        <v>191</v>
      </c>
      <c r="Q46" s="91"/>
      <c r="R46" s="91"/>
      <c r="S46" s="91"/>
    </row>
    <row r="47" spans="1:19" ht="30" customHeight="1" x14ac:dyDescent="0.25">
      <c r="A47" s="65" t="str">
        <f>A46</f>
        <v>Estudos e Projetos, Planos e Gerenciamento e outros correlatos</v>
      </c>
      <c r="B47" s="69"/>
      <c r="C47" s="65" t="str">
        <f t="shared" si="0"/>
        <v>Estudos e Projetos, Planos e Gerenciamento e outros correlatos-</v>
      </c>
      <c r="E47" s="70" t="s">
        <v>168</v>
      </c>
      <c r="F47" s="70" t="s">
        <v>168</v>
      </c>
      <c r="G47" s="70" t="s">
        <v>168</v>
      </c>
      <c r="I47" t="s">
        <v>248</v>
      </c>
    </row>
    <row r="48" spans="1:19" ht="13.8" x14ac:dyDescent="0.25">
      <c r="A48" s="65" t="str">
        <f>A47</f>
        <v>Estudos e Projetos, Planos e Gerenciamento e outros correlatos</v>
      </c>
      <c r="B48" s="69" t="s">
        <v>188</v>
      </c>
      <c r="C48" s="65" t="str">
        <f t="shared" si="0"/>
        <v>Estudos e Projetos, Planos e Gerenciamento e outros correlatos-K3</v>
      </c>
      <c r="E48" s="70" t="s">
        <v>168</v>
      </c>
      <c r="F48" s="70">
        <v>0.12</v>
      </c>
      <c r="G48" s="70" t="s">
        <v>168</v>
      </c>
      <c r="I48" t="s">
        <v>248</v>
      </c>
      <c r="J48" s="697"/>
      <c r="K48" s="697"/>
      <c r="L48" s="697"/>
      <c r="M48" s="697"/>
      <c r="N48" s="92"/>
    </row>
    <row r="49" spans="1:26" ht="12.75" customHeight="1" x14ac:dyDescent="0.25">
      <c r="A49" s="65" t="str">
        <f>A48</f>
        <v>Estudos e Projetos, Planos e Gerenciamento e outros correlatos</v>
      </c>
      <c r="B49" s="74" t="s">
        <v>152</v>
      </c>
      <c r="C49" s="65" t="str">
        <f t="shared" si="0"/>
        <v>Estudos e Projetos, Planos e Gerenciamento e outros correlatos-BDI PAD</v>
      </c>
      <c r="E49" s="70" t="s">
        <v>168</v>
      </c>
      <c r="F49" s="70" t="s">
        <v>168</v>
      </c>
      <c r="G49" s="70" t="s">
        <v>168</v>
      </c>
      <c r="I49" t="s">
        <v>248</v>
      </c>
      <c r="J49" s="693" t="s">
        <v>192</v>
      </c>
      <c r="K49" s="693"/>
      <c r="L49" s="693"/>
      <c r="M49" s="693"/>
      <c r="N49" s="93"/>
    </row>
    <row r="50" spans="1:26" ht="13.8" x14ac:dyDescent="0.25">
      <c r="B50" s="74"/>
      <c r="E50" s="70"/>
      <c r="F50" s="70"/>
      <c r="G50" s="70"/>
      <c r="I50" t="s">
        <v>248</v>
      </c>
      <c r="J50" s="94" t="s">
        <v>109</v>
      </c>
      <c r="K50" s="95" t="str">
        <f t="array" ref="K50:K52">Import.RespOrçamento</f>
        <v>Norton dos Santos Filho</v>
      </c>
      <c r="L50" s="96"/>
      <c r="M50" s="96"/>
      <c r="N50" s="97"/>
    </row>
    <row r="51" spans="1:26" ht="13.8" x14ac:dyDescent="0.25">
      <c r="A51"/>
      <c r="B51"/>
      <c r="C51"/>
      <c r="D51"/>
      <c r="E51"/>
      <c r="F51"/>
      <c r="G51"/>
      <c r="I51" t="s">
        <v>248</v>
      </c>
      <c r="J51" s="94" t="s">
        <v>110</v>
      </c>
      <c r="K51" s="95" t="str">
        <v>139329-8</v>
      </c>
      <c r="L51" s="96"/>
      <c r="M51" s="96"/>
      <c r="N51" s="97"/>
    </row>
    <row r="52" spans="1:26" ht="13.8" x14ac:dyDescent="0.25">
      <c r="A52"/>
      <c r="B52"/>
      <c r="C52"/>
      <c r="D52"/>
      <c r="E52"/>
      <c r="F52"/>
      <c r="G52"/>
      <c r="I52" t="s">
        <v>248</v>
      </c>
      <c r="J52" s="94" t="s">
        <v>111</v>
      </c>
      <c r="K52" s="95" t="str">
        <v>9200819-3</v>
      </c>
      <c r="L52" s="96"/>
      <c r="M52" s="96"/>
      <c r="N52" s="97"/>
    </row>
    <row r="53" spans="1:26" ht="13.8" x14ac:dyDescent="0.25">
      <c r="A53"/>
      <c r="B53"/>
      <c r="C53"/>
      <c r="D53"/>
      <c r="E53"/>
      <c r="F53"/>
      <c r="G53"/>
      <c r="I53" t="s">
        <v>248</v>
      </c>
      <c r="J53" s="94"/>
      <c r="K53" s="98"/>
      <c r="L53" s="96"/>
      <c r="M53" s="96"/>
      <c r="N53" s="97"/>
    </row>
    <row r="54" spans="1:26" ht="15.6" x14ac:dyDescent="0.3">
      <c r="A54"/>
      <c r="B54"/>
      <c r="C54"/>
      <c r="D54"/>
      <c r="E54"/>
      <c r="F54"/>
      <c r="G54"/>
      <c r="I54" t="str">
        <f ca="1">IF($S$69=0,"","F")</f>
        <v>F</v>
      </c>
      <c r="J54" s="684" t="s">
        <v>193</v>
      </c>
      <c r="K54" s="684"/>
      <c r="L54" s="684"/>
      <c r="M54" s="684"/>
      <c r="N54" s="684"/>
      <c r="O54" s="684"/>
      <c r="P54" s="684"/>
      <c r="Q54" s="684"/>
      <c r="R54" s="684"/>
      <c r="S54" s="684"/>
    </row>
    <row r="55" spans="1:26" x14ac:dyDescent="0.25">
      <c r="A55"/>
      <c r="B55"/>
      <c r="C55"/>
      <c r="D55"/>
      <c r="E55"/>
      <c r="F55"/>
      <c r="G55"/>
      <c r="I55" t="str">
        <f t="shared" ref="I55:I93" ca="1" si="1">IF($S$69=0,"","F")</f>
        <v>F</v>
      </c>
    </row>
    <row r="56" spans="1:26" x14ac:dyDescent="0.25">
      <c r="A56"/>
      <c r="B56"/>
      <c r="C56"/>
      <c r="D56"/>
      <c r="E56"/>
      <c r="F56"/>
      <c r="G56"/>
      <c r="I56" t="str">
        <f t="shared" ca="1" si="1"/>
        <v>F</v>
      </c>
      <c r="J56" s="675" t="s">
        <v>159</v>
      </c>
      <c r="K56" s="675"/>
      <c r="L56" s="675"/>
      <c r="M56" s="675"/>
      <c r="N56" s="675"/>
      <c r="O56" s="675"/>
      <c r="P56" s="675"/>
      <c r="Q56" s="675"/>
      <c r="R56" s="675"/>
      <c r="S56" s="675"/>
    </row>
    <row r="57" spans="1:26" x14ac:dyDescent="0.25">
      <c r="A57"/>
      <c r="B57"/>
      <c r="C57"/>
      <c r="D57"/>
      <c r="E57"/>
      <c r="F57"/>
      <c r="G57"/>
      <c r="I57" t="str">
        <f t="shared" ca="1" si="1"/>
        <v>F</v>
      </c>
      <c r="J57" s="681" t="s">
        <v>179</v>
      </c>
      <c r="K57" s="681"/>
      <c r="L57" s="681"/>
      <c r="M57" s="681"/>
      <c r="N57" s="681"/>
      <c r="O57" s="681"/>
      <c r="P57" s="681"/>
      <c r="Q57" s="681"/>
      <c r="R57" s="681"/>
      <c r="S57" s="681"/>
    </row>
    <row r="58" spans="1:26" x14ac:dyDescent="0.25">
      <c r="A58"/>
      <c r="B58"/>
      <c r="C58"/>
      <c r="D58"/>
      <c r="E58"/>
      <c r="F58"/>
      <c r="G58"/>
      <c r="I58" t="str">
        <f t="shared" ca="1" si="1"/>
        <v>F</v>
      </c>
    </row>
    <row r="59" spans="1:26" ht="12.75" customHeight="1" x14ac:dyDescent="0.25">
      <c r="A59"/>
      <c r="B59"/>
      <c r="C59"/>
      <c r="D59"/>
      <c r="E59"/>
      <c r="F59"/>
      <c r="G59"/>
      <c r="I59" t="str">
        <f t="shared" ca="1" si="1"/>
        <v>F</v>
      </c>
      <c r="J59" s="683" t="s">
        <v>160</v>
      </c>
      <c r="K59" s="683"/>
      <c r="L59" s="683"/>
      <c r="M59" s="683"/>
      <c r="N59" s="683"/>
      <c r="O59" s="683"/>
      <c r="P59" s="683"/>
      <c r="Q59" s="683"/>
      <c r="R59" s="683" t="s">
        <v>161</v>
      </c>
      <c r="S59" s="682" t="s">
        <v>162</v>
      </c>
      <c r="U59" s="682" t="s">
        <v>163</v>
      </c>
      <c r="V59" s="682"/>
      <c r="W59" s="682"/>
      <c r="X59" s="680" t="s">
        <v>164</v>
      </c>
      <c r="Y59" s="680" t="s">
        <v>165</v>
      </c>
      <c r="Z59" s="680" t="s">
        <v>166</v>
      </c>
    </row>
    <row r="60" spans="1:26" ht="12.75" customHeight="1" x14ac:dyDescent="0.25">
      <c r="A60"/>
      <c r="B60"/>
      <c r="C60"/>
      <c r="D60"/>
      <c r="E60"/>
      <c r="F60"/>
      <c r="G60"/>
      <c r="I60" t="str">
        <f t="shared" ca="1" si="1"/>
        <v>F</v>
      </c>
      <c r="J60" s="683"/>
      <c r="K60" s="683"/>
      <c r="L60" s="683"/>
      <c r="M60" s="683"/>
      <c r="N60" s="683"/>
      <c r="O60" s="683"/>
      <c r="P60" s="683"/>
      <c r="Q60" s="683"/>
      <c r="R60" s="683"/>
      <c r="S60" s="682"/>
      <c r="U60" s="682"/>
      <c r="V60" s="682"/>
      <c r="W60" s="682"/>
      <c r="X60" s="680"/>
      <c r="Y60" s="680"/>
      <c r="Z60" s="680"/>
    </row>
    <row r="61" spans="1:26" ht="15" customHeight="1" x14ac:dyDescent="0.25">
      <c r="A61"/>
      <c r="B61"/>
      <c r="C61"/>
      <c r="D61"/>
      <c r="E61"/>
      <c r="F61"/>
      <c r="G61"/>
      <c r="I61" t="str">
        <f t="shared" ca="1" si="1"/>
        <v>F</v>
      </c>
      <c r="J61" s="685" t="str">
        <f>IF($J$17=$A$146,"Encargos Sociais incidentes sobre a mão de obra","Administração Central")</f>
        <v>Administração Central</v>
      </c>
      <c r="K61" s="685"/>
      <c r="L61" s="685"/>
      <c r="M61" s="685"/>
      <c r="N61" s="685"/>
      <c r="O61" s="685"/>
      <c r="P61" s="685"/>
      <c r="Q61" s="685"/>
      <c r="R61" s="76" t="str">
        <f>IF($J57=$A$146,"K1","AC")</f>
        <v>AC</v>
      </c>
      <c r="S61" s="77">
        <v>1.4999999999999999E-2</v>
      </c>
      <c r="U61" s="686" t="s">
        <v>168</v>
      </c>
      <c r="V61" s="686"/>
      <c r="W61" s="686"/>
      <c r="X61" s="78">
        <f>VLOOKUP(CONCATENATE(J57,"-",R61),$C$2:$G$136,3,FALSE)</f>
        <v>1.4999999999999999E-2</v>
      </c>
      <c r="Y61" s="78">
        <f>VLOOKUP(CONCATENATE(J57,"-",R61),$C$2:$G$136,4,FALSE)</f>
        <v>3.4500000000000003E-2</v>
      </c>
      <c r="Z61" s="78">
        <f>VLOOKUP(CONCATENATE(J57,"-",R61),$C$2:$G$136,5,FALSE)</f>
        <v>4.4900000000000002E-2</v>
      </c>
    </row>
    <row r="62" spans="1:26" ht="15" customHeight="1" x14ac:dyDescent="0.25">
      <c r="A62"/>
      <c r="B62"/>
      <c r="C62"/>
      <c r="D62"/>
      <c r="E62"/>
      <c r="F62"/>
      <c r="G62"/>
      <c r="I62" t="str">
        <f t="shared" ca="1" si="1"/>
        <v>F</v>
      </c>
      <c r="J62" s="685" t="str">
        <f>IF($J$17=$A$146,"Administração Central da empresa ou consultoria - overhead","Seguro e Garantia")</f>
        <v>Seguro e Garantia</v>
      </c>
      <c r="K62" s="685"/>
      <c r="L62" s="685"/>
      <c r="M62" s="685"/>
      <c r="N62" s="685"/>
      <c r="O62" s="685"/>
      <c r="P62" s="685"/>
      <c r="Q62" s="685"/>
      <c r="R62" s="76" t="str">
        <f>IF($J57=$A$146,"K2","SG")</f>
        <v>SG</v>
      </c>
      <c r="S62" s="77">
        <v>3.0000000000000001E-3</v>
      </c>
      <c r="U62" s="686" t="s">
        <v>168</v>
      </c>
      <c r="V62" s="686"/>
      <c r="W62" s="686"/>
      <c r="X62" s="78">
        <f>VLOOKUP(CONCATENATE(J57,"-",R62),$C$2:$G$136,3,FALSE)</f>
        <v>3.0000000000000001E-3</v>
      </c>
      <c r="Y62" s="78">
        <f>VLOOKUP(CONCATENATE(J57,"-",R62),$C$2:$G$136,4,FALSE)</f>
        <v>4.7999999999999996E-3</v>
      </c>
      <c r="Z62" s="78">
        <f>VLOOKUP(CONCATENATE(J57,"-",R62),$C$2:$G$136,5,FALSE)</f>
        <v>8.199999999999999E-3</v>
      </c>
    </row>
    <row r="63" spans="1:26" ht="15" customHeight="1" x14ac:dyDescent="0.25">
      <c r="A63"/>
      <c r="B63"/>
      <c r="C63"/>
      <c r="D63"/>
      <c r="E63"/>
      <c r="F63"/>
      <c r="G63"/>
      <c r="I63" t="str">
        <f t="shared" ca="1" si="1"/>
        <v>F</v>
      </c>
      <c r="J63" s="685" t="str">
        <f>IF($J$17=$A$146,"","Risco")</f>
        <v>Risco</v>
      </c>
      <c r="K63" s="685"/>
      <c r="L63" s="685"/>
      <c r="M63" s="685"/>
      <c r="N63" s="685"/>
      <c r="O63" s="685"/>
      <c r="P63" s="685"/>
      <c r="Q63" s="685"/>
      <c r="R63" s="76" t="str">
        <f>IF($J57=$A$146,"","R")</f>
        <v>R</v>
      </c>
      <c r="S63" s="77">
        <v>5.6000000000000008E-3</v>
      </c>
      <c r="U63" s="686" t="s">
        <v>168</v>
      </c>
      <c r="V63" s="686"/>
      <c r="W63" s="686"/>
      <c r="X63" s="78">
        <f>VLOOKUP(CONCATENATE(J57,"-",R63),$C$2:$G$136,3,FALSE)</f>
        <v>5.6000000000000008E-3</v>
      </c>
      <c r="Y63" s="78">
        <f>VLOOKUP(CONCATENATE(J57,"-",R63),$C$2:$G$136,4,FALSE)</f>
        <v>8.5000000000000006E-3</v>
      </c>
      <c r="Z63" s="78">
        <f>VLOOKUP(CONCATENATE(J57,"-",R63),$C$2:$G$136,5,FALSE)</f>
        <v>8.8999999999999999E-3</v>
      </c>
    </row>
    <row r="64" spans="1:26" ht="15" customHeight="1" x14ac:dyDescent="0.25">
      <c r="A64"/>
      <c r="B64"/>
      <c r="C64"/>
      <c r="D64"/>
      <c r="E64"/>
      <c r="F64"/>
      <c r="G64"/>
      <c r="I64" t="str">
        <f t="shared" ca="1" si="1"/>
        <v>F</v>
      </c>
      <c r="J64" s="685" t="str">
        <f>IF($J$17=$A$146,"","Despesas Financeiras")</f>
        <v>Despesas Financeiras</v>
      </c>
      <c r="K64" s="685"/>
      <c r="L64" s="685"/>
      <c r="M64" s="685"/>
      <c r="N64" s="685"/>
      <c r="O64" s="685"/>
      <c r="P64" s="685"/>
      <c r="Q64" s="685"/>
      <c r="R64" s="76" t="str">
        <f>IF($J57=$A$146,"","DF")</f>
        <v>DF</v>
      </c>
      <c r="S64" s="77">
        <v>8.5000000000000006E-3</v>
      </c>
      <c r="U64" s="686" t="s">
        <v>168</v>
      </c>
      <c r="V64" s="686"/>
      <c r="W64" s="686"/>
      <c r="X64" s="78">
        <f>VLOOKUP(CONCATENATE(J57,"-",R64),$C$2:$G$136,3,FALSE)</f>
        <v>8.5000000000000006E-3</v>
      </c>
      <c r="Y64" s="78">
        <f>VLOOKUP(CONCATENATE(J57,"-",R64),$C$2:$G$136,4,FALSE)</f>
        <v>8.5000000000000006E-3</v>
      </c>
      <c r="Z64" s="78">
        <f>VLOOKUP(CONCATENATE(J57,"-",R64),$C$2:$G$136,5,FALSE)</f>
        <v>1.11E-2</v>
      </c>
    </row>
    <row r="65" spans="1:26" ht="15" customHeight="1" x14ac:dyDescent="0.25">
      <c r="A65"/>
      <c r="B65"/>
      <c r="C65"/>
      <c r="D65"/>
      <c r="E65"/>
      <c r="F65"/>
      <c r="G65"/>
      <c r="I65" t="str">
        <f t="shared" ca="1" si="1"/>
        <v>F</v>
      </c>
      <c r="J65" s="685" t="str">
        <f>IF($J$17=$A$146,"Margem bruta da empresa de consultoria","Lucro")</f>
        <v>Lucro</v>
      </c>
      <c r="K65" s="685"/>
      <c r="L65" s="685"/>
      <c r="M65" s="685"/>
      <c r="N65" s="685"/>
      <c r="O65" s="685"/>
      <c r="P65" s="685"/>
      <c r="Q65" s="685"/>
      <c r="R65" s="76" t="str">
        <f>IF($J57=$A$146,"K3","L")</f>
        <v>L</v>
      </c>
      <c r="S65" s="77">
        <v>3.3599999999999998E-2</v>
      </c>
      <c r="U65" s="686" t="s">
        <v>168</v>
      </c>
      <c r="V65" s="686"/>
      <c r="W65" s="686"/>
      <c r="X65" s="78">
        <f>VLOOKUP(CONCATENATE(J57,"-",R65),$C$2:$G$136,3,FALSE)</f>
        <v>3.5000000000000003E-2</v>
      </c>
      <c r="Y65" s="78">
        <f>VLOOKUP(CONCATENATE(J57,"-",R65),$C$2:$G$136,4,FALSE)</f>
        <v>5.1100000000000007E-2</v>
      </c>
      <c r="Z65" s="78">
        <f>VLOOKUP(CONCATENATE(J57,"-",R65),$C$2:$G$136,5,FALSE)</f>
        <v>6.2199999999999998E-2</v>
      </c>
    </row>
    <row r="66" spans="1:26" ht="15" customHeight="1" x14ac:dyDescent="0.25">
      <c r="A66"/>
      <c r="B66"/>
      <c r="C66"/>
      <c r="D66"/>
      <c r="E66"/>
      <c r="F66"/>
      <c r="G66"/>
      <c r="I66" t="str">
        <f t="shared" ca="1" si="1"/>
        <v>F</v>
      </c>
      <c r="J66" s="685" t="s">
        <v>170</v>
      </c>
      <c r="K66" s="685"/>
      <c r="L66" s="685"/>
      <c r="M66" s="685"/>
      <c r="N66" s="685"/>
      <c r="O66" s="685"/>
      <c r="P66" s="685"/>
      <c r="Q66" s="685"/>
      <c r="R66" s="76" t="s">
        <v>171</v>
      </c>
      <c r="S66" s="77">
        <v>3.6499999999999998E-2</v>
      </c>
      <c r="U66" s="686" t="s">
        <v>168</v>
      </c>
      <c r="V66" s="686"/>
      <c r="W66" s="686"/>
      <c r="X66" s="78">
        <v>3.6499999999999998E-2</v>
      </c>
      <c r="Y66" s="78">
        <v>3.6499999999999998E-2</v>
      </c>
      <c r="Z66" s="78">
        <v>3.6499999999999998E-2</v>
      </c>
    </row>
    <row r="67" spans="1:26" ht="15" customHeight="1" x14ac:dyDescent="0.25">
      <c r="A67"/>
      <c r="B67"/>
      <c r="C67"/>
      <c r="D67"/>
      <c r="E67"/>
      <c r="F67"/>
      <c r="G67"/>
      <c r="I67" t="str">
        <f t="shared" ca="1" si="1"/>
        <v>F</v>
      </c>
      <c r="J67" s="685" t="s">
        <v>172</v>
      </c>
      <c r="K67" s="685"/>
      <c r="L67" s="685"/>
      <c r="M67" s="685"/>
      <c r="N67" s="685"/>
      <c r="O67" s="685"/>
      <c r="P67" s="685"/>
      <c r="Q67" s="685"/>
      <c r="R67" s="76" t="s">
        <v>173</v>
      </c>
      <c r="S67" s="78">
        <f ca="1">IF(AND($J57&lt;&gt;$A$145,COUNTA(OFFSET(S60,1,0,6))&gt;0),$R$11*$R$10,0)</f>
        <v>0.05</v>
      </c>
      <c r="U67" s="686" t="s">
        <v>168</v>
      </c>
      <c r="V67" s="686"/>
      <c r="W67" s="686"/>
      <c r="X67" s="78">
        <v>0</v>
      </c>
      <c r="Y67" s="78">
        <v>2.5000000000000001E-2</v>
      </c>
      <c r="Z67" s="78">
        <v>0.05</v>
      </c>
    </row>
    <row r="68" spans="1:26" ht="15" customHeight="1" x14ac:dyDescent="0.25">
      <c r="A68"/>
      <c r="B68"/>
      <c r="C68"/>
      <c r="D68"/>
      <c r="E68"/>
      <c r="F68"/>
      <c r="G68"/>
      <c r="I68" t="str">
        <f t="shared" ca="1" si="1"/>
        <v>F</v>
      </c>
      <c r="J68" s="685" t="s">
        <v>174</v>
      </c>
      <c r="K68" s="685"/>
      <c r="L68" s="685"/>
      <c r="M68" s="685"/>
      <c r="N68" s="685"/>
      <c r="O68" s="685"/>
      <c r="P68" s="685"/>
      <c r="Q68" s="685"/>
      <c r="R68" s="76" t="s">
        <v>175</v>
      </c>
      <c r="S68" s="78">
        <f ca="1">IF(BDI.Opcao&lt;&gt;"Desonerado",0,IF(AND($J57&lt;&gt;$A$145,COUNTA(OFFSET(S60,1,0,6))&gt;0),4.5%,0%))</f>
        <v>0</v>
      </c>
      <c r="U68" s="686" t="s">
        <v>168</v>
      </c>
      <c r="V68" s="686"/>
      <c r="W68" s="686"/>
      <c r="X68" s="79">
        <v>0</v>
      </c>
      <c r="Y68" s="79">
        <v>4.4999999999999998E-2</v>
      </c>
      <c r="Z68" s="79">
        <v>4.4999999999999998E-2</v>
      </c>
    </row>
    <row r="69" spans="1:26" ht="15" customHeight="1" x14ac:dyDescent="0.25">
      <c r="A69"/>
      <c r="B69"/>
      <c r="C69"/>
      <c r="D69"/>
      <c r="E69"/>
      <c r="F69"/>
      <c r="G69"/>
      <c r="I69" t="str">
        <f t="shared" ca="1" si="1"/>
        <v>F</v>
      </c>
      <c r="J69" s="685" t="s">
        <v>176</v>
      </c>
      <c r="K69" s="685"/>
      <c r="L69" s="685"/>
      <c r="M69" s="685"/>
      <c r="N69" s="685"/>
      <c r="O69" s="685"/>
      <c r="P69" s="685"/>
      <c r="Q69" s="685"/>
      <c r="R69" s="80" t="s">
        <v>152</v>
      </c>
      <c r="S69" s="78">
        <f ca="1">IF($J57=$A$145,0,ROUND((((1+S61+S62+S63)*(1+S64)*(1+S65)/(1-(S66+S67)))-1),4))</f>
        <v>0.16800000000000001</v>
      </c>
      <c r="U69" s="682" t="str">
        <f ca="1">IF(OR($J$17=$A$146,$J$17=$A$145,AND(S69&gt;=X69,S69&lt;=Z69)),"OK","FORA DO INTERVALO")</f>
        <v>OK</v>
      </c>
      <c r="V69" s="682"/>
      <c r="W69" s="682"/>
      <c r="X69" s="78">
        <f>IF($J57=$A$145,0,VLOOKUP(CONCATENATE($J57,"-",$R69),$C$2:$G$136,3,FALSE))</f>
        <v>0.111</v>
      </c>
      <c r="Y69" s="78">
        <f>IF($J57=$A$145,0,VLOOKUP(CONCATENATE($J57,"-",$R69),$C$2:$G$136,4,FALSE))</f>
        <v>0.14019999999999999</v>
      </c>
      <c r="Z69" s="78">
        <f>IF($J57=$A$145,0,VLOOKUP(CONCATENATE($J57,"-",$R69),$C$2:$G$136,5,FALSE))</f>
        <v>0.16800000000000001</v>
      </c>
    </row>
    <row r="70" spans="1:26" ht="15" customHeight="1" x14ac:dyDescent="0.25">
      <c r="A70"/>
      <c r="B70"/>
      <c r="C70"/>
      <c r="D70"/>
      <c r="E70"/>
      <c r="F70"/>
      <c r="G70"/>
      <c r="I70" t="str">
        <f t="shared" ca="1" si="1"/>
        <v>F</v>
      </c>
      <c r="J70" s="689" t="s">
        <v>177</v>
      </c>
      <c r="K70" s="689"/>
      <c r="L70" s="689"/>
      <c r="M70" s="689"/>
      <c r="N70" s="689"/>
      <c r="O70" s="689"/>
      <c r="P70" s="689"/>
      <c r="Q70" s="689"/>
      <c r="R70" s="81" t="s">
        <v>178</v>
      </c>
      <c r="S70" s="82">
        <f ca="1">IF($J57=$A$145,0,ROUND((((1+S61+S62+S63)*(1+S64)*(1+S65)/(1-(S66+S67+S68)))-1),4))</f>
        <v>0.16800000000000001</v>
      </c>
    </row>
    <row r="71" spans="1:26" ht="25.5" customHeight="1" x14ac:dyDescent="0.25">
      <c r="A71"/>
      <c r="B71"/>
      <c r="C71"/>
      <c r="D71"/>
      <c r="E71"/>
      <c r="F71"/>
      <c r="G71"/>
      <c r="I71" t="str">
        <f t="shared" ca="1" si="1"/>
        <v>F</v>
      </c>
    </row>
    <row r="72" spans="1:26" ht="15.6" x14ac:dyDescent="0.25">
      <c r="A72"/>
      <c r="B72"/>
      <c r="C72"/>
      <c r="D72"/>
      <c r="E72"/>
      <c r="F72"/>
      <c r="G72"/>
      <c r="I72" t="str">
        <f t="shared" ca="1" si="1"/>
        <v>F</v>
      </c>
      <c r="J72" s="83" t="str">
        <f ca="1">IF(U69&lt;&gt;"ok","X","")</f>
        <v/>
      </c>
      <c r="K72" s="690" t="str">
        <f ca="1">IF(U69&lt;&gt;"ok","Anexo: Relatório Técnico Circunstanciado justificando a adoção do percentual de cada parcela do BDI.","")</f>
        <v/>
      </c>
      <c r="L72" s="690"/>
      <c r="M72" s="690"/>
      <c r="N72" s="690"/>
      <c r="O72" s="690"/>
      <c r="P72" s="690"/>
      <c r="Q72" s="690"/>
      <c r="R72" s="690"/>
      <c r="S72" s="690"/>
    </row>
    <row r="73" spans="1:26" x14ac:dyDescent="0.25">
      <c r="A73"/>
      <c r="B73"/>
      <c r="C73"/>
      <c r="D73"/>
      <c r="E73"/>
      <c r="F73"/>
      <c r="G73"/>
      <c r="I73" t="str">
        <f t="shared" ca="1" si="1"/>
        <v>F</v>
      </c>
    </row>
    <row r="74" spans="1:26" x14ac:dyDescent="0.25">
      <c r="A74"/>
      <c r="B74"/>
      <c r="C74"/>
      <c r="D74"/>
      <c r="E74"/>
      <c r="F74"/>
      <c r="G74"/>
      <c r="I74" t="str">
        <f t="shared" ca="1" si="1"/>
        <v>F</v>
      </c>
      <c r="J74" s="691" t="s">
        <v>180</v>
      </c>
      <c r="K74" s="691"/>
      <c r="L74" s="691"/>
      <c r="M74" s="691"/>
      <c r="N74" s="691"/>
      <c r="O74" s="691"/>
      <c r="P74" s="691"/>
      <c r="Q74" s="691"/>
      <c r="R74" s="691"/>
      <c r="S74" s="691"/>
    </row>
    <row r="75" spans="1:26" ht="15.6" x14ac:dyDescent="0.3">
      <c r="A75"/>
      <c r="B75"/>
      <c r="C75"/>
      <c r="D75"/>
      <c r="E75"/>
      <c r="F75"/>
      <c r="G75"/>
      <c r="I75" t="str">
        <f t="shared" ca="1" si="1"/>
        <v>F</v>
      </c>
      <c r="J75" s="84"/>
      <c r="K75" s="84"/>
      <c r="L75" s="84"/>
      <c r="M75" s="692" t="s">
        <v>181</v>
      </c>
      <c r="N75" s="698" t="str">
        <f>IF($J57=$A$146,"(1+K1+K2)*(1+K3)","(1+AC + S + R + G)*(1 + DF)*(1+L)")</f>
        <v>(1+AC + S + R + G)*(1 + DF)*(1+L)</v>
      </c>
      <c r="O75" s="698"/>
      <c r="P75" s="698"/>
      <c r="Q75" s="699" t="s">
        <v>182</v>
      </c>
      <c r="R75" s="84"/>
      <c r="S75" s="84"/>
    </row>
    <row r="76" spans="1:26" ht="15.6" x14ac:dyDescent="0.25">
      <c r="A76"/>
      <c r="B76"/>
      <c r="C76"/>
      <c r="D76"/>
      <c r="E76"/>
      <c r="F76"/>
      <c r="G76"/>
      <c r="I76" t="str">
        <f t="shared" ca="1" si="1"/>
        <v>F</v>
      </c>
      <c r="J76" s="84"/>
      <c r="K76" s="84"/>
      <c r="L76" s="84"/>
      <c r="M76" s="692"/>
      <c r="N76" s="687" t="s">
        <v>183</v>
      </c>
      <c r="O76" s="687"/>
      <c r="P76" s="687"/>
      <c r="Q76" s="699"/>
      <c r="R76" s="84"/>
      <c r="S76" s="84"/>
    </row>
    <row r="77" spans="1:26" ht="15" customHeight="1" x14ac:dyDescent="0.25">
      <c r="A77"/>
      <c r="B77"/>
      <c r="C77"/>
      <c r="D77"/>
      <c r="E77"/>
      <c r="F77"/>
      <c r="G77"/>
      <c r="I77" t="str">
        <f t="shared" ca="1" si="1"/>
        <v>F</v>
      </c>
      <c r="J77" s="84"/>
      <c r="K77" s="84"/>
      <c r="L77" s="84"/>
      <c r="M77" s="85"/>
      <c r="N77" s="87"/>
      <c r="O77" s="87"/>
      <c r="P77" s="87"/>
      <c r="Q77" s="86"/>
      <c r="R77" s="84"/>
      <c r="S77" s="84"/>
    </row>
    <row r="78" spans="1:26" ht="50.1" customHeight="1" x14ac:dyDescent="0.25">
      <c r="A78"/>
      <c r="B78"/>
      <c r="C78"/>
      <c r="D78"/>
      <c r="E78"/>
      <c r="F78"/>
      <c r="G78"/>
      <c r="I78" t="str">
        <f t="shared" ca="1" si="1"/>
        <v>F</v>
      </c>
      <c r="J78" s="688" t="str">
        <f>CONCATENATE("Declaro para os devidos fins que, conforme legislação tributária municipal, a base de cálculo deste tipo de obra corresponde à ",$R$10*100,"%, com a respectiva alíquota de ",$R$11*100,"%.")</f>
        <v>Declaro para os devidos fins que, conforme legislação tributária municipal, a base de cálculo deste tipo de obra corresponde à 100%, com a respectiva alíquota de 5%.</v>
      </c>
      <c r="K78" s="688"/>
      <c r="L78" s="688"/>
      <c r="M78" s="688"/>
      <c r="N78" s="688"/>
      <c r="O78" s="688"/>
      <c r="P78" s="688"/>
      <c r="Q78" s="688"/>
      <c r="R78" s="688"/>
      <c r="S78" s="688"/>
    </row>
    <row r="79" spans="1:26" x14ac:dyDescent="0.25">
      <c r="A79"/>
      <c r="B79"/>
      <c r="C79"/>
      <c r="D79"/>
      <c r="E79"/>
      <c r="F79"/>
      <c r="G79"/>
      <c r="I79" t="str">
        <f t="shared" ca="1" si="1"/>
        <v>F</v>
      </c>
    </row>
    <row r="80" spans="1:26" ht="50.1" customHeight="1" x14ac:dyDescent="0.25">
      <c r="A80"/>
      <c r="B80"/>
      <c r="C80"/>
      <c r="D80"/>
      <c r="E80"/>
      <c r="F80"/>
      <c r="G80"/>
      <c r="I80" t="str">
        <f t="shared" ca="1" si="1"/>
        <v>F</v>
      </c>
      <c r="J80" s="688" t="str">
        <f ca="1">CONCATENATE("Declaro para os devidos fins que o regime de Contribuição Previdenciária sobre a Receita Bruta adotado para elaboração do orçamento foi ",IF(DESONERACAO="Sim","COM","SEM")," Desoneração, e que esta é a alternativa mais adequada para a Administração Pública.")</f>
        <v>Declaro para os devidos fins que o regime de Contribuição Previdenciária sobre a Receita Bruta adotado para elaboração do orçamento foi SEM Desoneração, e que esta é a alternativa mais adequada para a Administração Pública.</v>
      </c>
      <c r="K80" s="688"/>
      <c r="L80" s="688"/>
      <c r="M80" s="688"/>
      <c r="N80" s="688"/>
      <c r="O80" s="688"/>
      <c r="P80" s="688"/>
      <c r="Q80" s="688"/>
      <c r="R80" s="688"/>
      <c r="S80" s="688"/>
    </row>
    <row r="81" spans="1:19" x14ac:dyDescent="0.25">
      <c r="A81"/>
      <c r="B81"/>
      <c r="C81"/>
      <c r="D81"/>
      <c r="E81"/>
      <c r="F81"/>
      <c r="G81"/>
      <c r="I81" t="str">
        <f t="shared" ca="1" si="1"/>
        <v>F</v>
      </c>
    </row>
    <row r="82" spans="1:19" x14ac:dyDescent="0.25">
      <c r="A82"/>
      <c r="B82"/>
      <c r="C82"/>
      <c r="D82"/>
      <c r="E82"/>
      <c r="F82"/>
      <c r="G82"/>
      <c r="I82" t="str">
        <f t="shared" ca="1" si="1"/>
        <v>F</v>
      </c>
      <c r="J82" s="65" t="s">
        <v>189</v>
      </c>
    </row>
    <row r="83" spans="1:19" ht="99.9" customHeight="1" x14ac:dyDescent="0.25">
      <c r="A83"/>
      <c r="B83"/>
      <c r="C83"/>
      <c r="D83"/>
      <c r="E83"/>
      <c r="F83"/>
      <c r="G83"/>
      <c r="I83" t="str">
        <f t="shared" ca="1" si="1"/>
        <v>F</v>
      </c>
      <c r="J83" s="700" t="s">
        <v>453</v>
      </c>
      <c r="K83" s="700"/>
      <c r="L83" s="700"/>
      <c r="M83" s="700"/>
      <c r="N83" s="700"/>
      <c r="O83" s="700"/>
      <c r="P83" s="700"/>
      <c r="Q83" s="700"/>
      <c r="R83" s="700"/>
      <c r="S83" s="700"/>
    </row>
    <row r="84" spans="1:19" x14ac:dyDescent="0.25">
      <c r="A84"/>
      <c r="B84"/>
      <c r="C84"/>
      <c r="D84"/>
      <c r="E84"/>
      <c r="F84"/>
      <c r="G84"/>
      <c r="I84" t="str">
        <f t="shared" ca="1" si="1"/>
        <v>F</v>
      </c>
    </row>
    <row r="85" spans="1:19" x14ac:dyDescent="0.25">
      <c r="A85"/>
      <c r="B85"/>
      <c r="C85"/>
      <c r="D85"/>
      <c r="E85"/>
      <c r="F85"/>
      <c r="G85"/>
      <c r="I85" t="str">
        <f t="shared" ca="1" si="1"/>
        <v>F</v>
      </c>
      <c r="J85" s="694" t="str">
        <f>Import.Município</f>
        <v>LAGUNA/SC</v>
      </c>
      <c r="K85" s="694"/>
      <c r="L85" s="694"/>
      <c r="M85" s="694"/>
      <c r="P85" s="695">
        <f ca="1">DADOS!$F$25</f>
        <v>45477</v>
      </c>
      <c r="Q85" s="695"/>
      <c r="R85" s="695"/>
      <c r="S85" s="695"/>
    </row>
    <row r="86" spans="1:19" x14ac:dyDescent="0.25">
      <c r="A86"/>
      <c r="B86"/>
      <c r="C86"/>
      <c r="D86"/>
      <c r="E86"/>
      <c r="F86"/>
      <c r="G86"/>
      <c r="I86" t="str">
        <f t="shared" ca="1" si="1"/>
        <v>F</v>
      </c>
      <c r="J86" s="696" t="s">
        <v>190</v>
      </c>
      <c r="K86" s="696"/>
      <c r="L86" s="696"/>
      <c r="M86" s="696"/>
      <c r="O86" s="89"/>
      <c r="P86" s="90" t="s">
        <v>191</v>
      </c>
      <c r="Q86" s="91"/>
      <c r="R86" s="91"/>
      <c r="S86" s="91"/>
    </row>
    <row r="87" spans="1:19" ht="30" customHeight="1" x14ac:dyDescent="0.25">
      <c r="A87"/>
      <c r="B87"/>
      <c r="C87"/>
      <c r="D87"/>
      <c r="E87"/>
      <c r="F87"/>
      <c r="G87"/>
      <c r="I87" t="str">
        <f t="shared" ca="1" si="1"/>
        <v>F</v>
      </c>
    </row>
    <row r="88" spans="1:19" ht="13.8" x14ac:dyDescent="0.25">
      <c r="A88"/>
      <c r="B88"/>
      <c r="C88"/>
      <c r="D88"/>
      <c r="E88"/>
      <c r="F88"/>
      <c r="G88"/>
      <c r="I88" t="str">
        <f t="shared" ca="1" si="1"/>
        <v>F</v>
      </c>
      <c r="J88" s="697"/>
      <c r="K88" s="697"/>
      <c r="L88" s="697"/>
      <c r="M88" s="697"/>
      <c r="N88" s="92"/>
    </row>
    <row r="89" spans="1:19" x14ac:dyDescent="0.25">
      <c r="A89"/>
      <c r="B89"/>
      <c r="C89"/>
      <c r="D89"/>
      <c r="E89"/>
      <c r="F89"/>
      <c r="G89"/>
      <c r="I89" t="str">
        <f t="shared" ca="1" si="1"/>
        <v>F</v>
      </c>
      <c r="J89" s="693" t="s">
        <v>192</v>
      </c>
      <c r="K89" s="693"/>
      <c r="L89" s="693"/>
      <c r="M89" s="693"/>
      <c r="N89" s="93"/>
    </row>
    <row r="90" spans="1:19" ht="13.8" x14ac:dyDescent="0.25">
      <c r="A90"/>
      <c r="B90"/>
      <c r="C90"/>
      <c r="D90"/>
      <c r="E90"/>
      <c r="F90"/>
      <c r="G90"/>
      <c r="I90" t="str">
        <f t="shared" ca="1" si="1"/>
        <v>F</v>
      </c>
      <c r="J90" s="94" t="s">
        <v>109</v>
      </c>
      <c r="K90" s="95" t="str">
        <f t="array" ref="K90:K92">Import.RespOrçamento</f>
        <v>Norton dos Santos Filho</v>
      </c>
      <c r="L90" s="96"/>
      <c r="M90" s="96"/>
      <c r="N90" s="97"/>
    </row>
    <row r="91" spans="1:19" ht="13.8" x14ac:dyDescent="0.25">
      <c r="A91"/>
      <c r="B91"/>
      <c r="C91"/>
      <c r="D91"/>
      <c r="E91"/>
      <c r="F91"/>
      <c r="G91"/>
      <c r="I91" t="str">
        <f t="shared" ca="1" si="1"/>
        <v>F</v>
      </c>
      <c r="J91" s="94" t="s">
        <v>110</v>
      </c>
      <c r="K91" s="95" t="str">
        <v>139329-8</v>
      </c>
      <c r="L91" s="96"/>
      <c r="M91" s="96"/>
      <c r="N91" s="97"/>
    </row>
    <row r="92" spans="1:19" ht="13.8" x14ac:dyDescent="0.25">
      <c r="A92"/>
      <c r="B92"/>
      <c r="C92"/>
      <c r="D92"/>
      <c r="E92"/>
      <c r="F92"/>
      <c r="G92"/>
      <c r="I92" t="str">
        <f t="shared" ca="1" si="1"/>
        <v>F</v>
      </c>
      <c r="J92" s="94" t="s">
        <v>111</v>
      </c>
      <c r="K92" s="95" t="str">
        <v>9200819-3</v>
      </c>
      <c r="L92" s="96"/>
      <c r="M92" s="96"/>
      <c r="N92" s="97"/>
    </row>
    <row r="93" spans="1:19" ht="13.8" x14ac:dyDescent="0.25">
      <c r="A93"/>
      <c r="B93"/>
      <c r="C93"/>
      <c r="D93"/>
      <c r="E93"/>
      <c r="F93"/>
      <c r="G93"/>
      <c r="I93" t="str">
        <f t="shared" ca="1" si="1"/>
        <v>F</v>
      </c>
      <c r="J93" s="94"/>
      <c r="K93" s="98"/>
      <c r="L93" s="96"/>
      <c r="M93" s="96"/>
      <c r="N93" s="97"/>
    </row>
    <row r="94" spans="1:19" ht="15.6" hidden="1" x14ac:dyDescent="0.3">
      <c r="A94"/>
      <c r="B94"/>
      <c r="C94"/>
      <c r="D94"/>
      <c r="E94"/>
      <c r="F94"/>
      <c r="G94"/>
      <c r="I94" t="str">
        <f ca="1">IF($S$109=0,"","F")</f>
        <v/>
      </c>
      <c r="J94" s="684" t="s">
        <v>194</v>
      </c>
      <c r="K94" s="684"/>
      <c r="L94" s="684"/>
      <c r="M94" s="684"/>
      <c r="N94" s="684"/>
      <c r="O94" s="684"/>
      <c r="P94" s="684"/>
      <c r="Q94" s="684"/>
      <c r="R94" s="684"/>
      <c r="S94" s="684"/>
    </row>
    <row r="95" spans="1:19" hidden="1" x14ac:dyDescent="0.25">
      <c r="A95"/>
      <c r="B95"/>
      <c r="C95"/>
      <c r="D95"/>
      <c r="E95"/>
      <c r="F95"/>
      <c r="G95"/>
      <c r="I95" t="str">
        <f t="shared" ref="I95:I132" ca="1" si="2">IF($S$109=0,"","F")</f>
        <v/>
      </c>
    </row>
    <row r="96" spans="1:19" hidden="1" x14ac:dyDescent="0.25">
      <c r="A96"/>
      <c r="B96"/>
      <c r="C96"/>
      <c r="D96"/>
      <c r="E96"/>
      <c r="F96"/>
      <c r="G96"/>
      <c r="I96" t="str">
        <f t="shared" ca="1" si="2"/>
        <v/>
      </c>
      <c r="J96" s="675" t="s">
        <v>159</v>
      </c>
      <c r="K96" s="675"/>
      <c r="L96" s="675"/>
      <c r="M96" s="675"/>
      <c r="N96" s="675"/>
      <c r="O96" s="675"/>
      <c r="P96" s="675"/>
      <c r="Q96" s="675"/>
      <c r="R96" s="675"/>
      <c r="S96" s="675"/>
    </row>
    <row r="97" spans="1:26" hidden="1" x14ac:dyDescent="0.25">
      <c r="A97"/>
      <c r="B97"/>
      <c r="C97"/>
      <c r="D97"/>
      <c r="E97"/>
      <c r="F97"/>
      <c r="G97"/>
      <c r="I97" t="str">
        <f t="shared" ca="1" si="2"/>
        <v/>
      </c>
      <c r="J97" s="681" t="s">
        <v>410</v>
      </c>
      <c r="K97" s="681"/>
      <c r="L97" s="681"/>
      <c r="M97" s="681"/>
      <c r="N97" s="681"/>
      <c r="O97" s="681"/>
      <c r="P97" s="681"/>
      <c r="Q97" s="681"/>
      <c r="R97" s="681"/>
      <c r="S97" s="681"/>
    </row>
    <row r="98" spans="1:26" hidden="1" x14ac:dyDescent="0.25">
      <c r="A98"/>
      <c r="B98"/>
      <c r="C98"/>
      <c r="D98"/>
      <c r="E98"/>
      <c r="F98"/>
      <c r="G98"/>
      <c r="I98" t="str">
        <f t="shared" ca="1" si="2"/>
        <v/>
      </c>
    </row>
    <row r="99" spans="1:26" ht="12.75" hidden="1" customHeight="1" x14ac:dyDescent="0.25">
      <c r="A99"/>
      <c r="B99"/>
      <c r="C99"/>
      <c r="D99"/>
      <c r="E99"/>
      <c r="F99"/>
      <c r="G99"/>
      <c r="I99" t="str">
        <f t="shared" ca="1" si="2"/>
        <v/>
      </c>
      <c r="J99" s="683" t="s">
        <v>160</v>
      </c>
      <c r="K99" s="683"/>
      <c r="L99" s="683"/>
      <c r="M99" s="683"/>
      <c r="N99" s="683"/>
      <c r="O99" s="683"/>
      <c r="P99" s="683"/>
      <c r="Q99" s="683"/>
      <c r="R99" s="683" t="s">
        <v>161</v>
      </c>
      <c r="S99" s="682" t="s">
        <v>162</v>
      </c>
      <c r="U99" s="682" t="s">
        <v>163</v>
      </c>
      <c r="V99" s="682"/>
      <c r="W99" s="682"/>
      <c r="X99" s="680" t="s">
        <v>164</v>
      </c>
      <c r="Y99" s="680" t="s">
        <v>165</v>
      </c>
      <c r="Z99" s="680" t="s">
        <v>166</v>
      </c>
    </row>
    <row r="100" spans="1:26" ht="12.75" hidden="1" customHeight="1" x14ac:dyDescent="0.25">
      <c r="A100"/>
      <c r="B100"/>
      <c r="C100"/>
      <c r="D100"/>
      <c r="E100"/>
      <c r="F100"/>
      <c r="G100"/>
      <c r="I100" t="str">
        <f t="shared" ca="1" si="2"/>
        <v/>
      </c>
      <c r="J100" s="683"/>
      <c r="K100" s="683"/>
      <c r="L100" s="683"/>
      <c r="M100" s="683"/>
      <c r="N100" s="683"/>
      <c r="O100" s="683"/>
      <c r="P100" s="683"/>
      <c r="Q100" s="683"/>
      <c r="R100" s="683"/>
      <c r="S100" s="682"/>
      <c r="U100" s="682"/>
      <c r="V100" s="682"/>
      <c r="W100" s="682"/>
      <c r="X100" s="680"/>
      <c r="Y100" s="680"/>
      <c r="Z100" s="680"/>
    </row>
    <row r="101" spans="1:26" ht="15" hidden="1" customHeight="1" x14ac:dyDescent="0.25">
      <c r="A101"/>
      <c r="B101"/>
      <c r="C101"/>
      <c r="D101"/>
      <c r="E101"/>
      <c r="F101"/>
      <c r="G101"/>
      <c r="I101" t="str">
        <f t="shared" ca="1" si="2"/>
        <v/>
      </c>
      <c r="J101" s="685" t="str">
        <f>IF($J$17=$A$146,"Encargos Sociais incidentes sobre a mão de obra","Administração Central")</f>
        <v>Administração Central</v>
      </c>
      <c r="K101" s="685"/>
      <c r="L101" s="685"/>
      <c r="M101" s="685"/>
      <c r="N101" s="685"/>
      <c r="O101" s="685"/>
      <c r="P101" s="685"/>
      <c r="Q101" s="685"/>
      <c r="R101" s="76" t="str">
        <f>IF($J97=$A$146,"K1","AC")</f>
        <v>AC</v>
      </c>
      <c r="S101" s="77"/>
      <c r="U101" s="686" t="s">
        <v>168</v>
      </c>
      <c r="V101" s="686"/>
      <c r="W101" s="686"/>
      <c r="X101" s="78" t="e">
        <f>VLOOKUP(CONCATENATE(J97,"-",R101),$C$2:$G$136,3,FALSE)</f>
        <v>#N/A</v>
      </c>
      <c r="Y101" s="78" t="e">
        <f>VLOOKUP(CONCATENATE(J97,"-",R101),$C$2:$G$136,4,FALSE)</f>
        <v>#N/A</v>
      </c>
      <c r="Z101" s="78" t="e">
        <f>VLOOKUP(CONCATENATE(J97,"-",R101),$C$2:$G$136,5,FALSE)</f>
        <v>#N/A</v>
      </c>
    </row>
    <row r="102" spans="1:26" ht="15" hidden="1" customHeight="1" x14ac:dyDescent="0.25">
      <c r="A102"/>
      <c r="B102"/>
      <c r="C102"/>
      <c r="D102"/>
      <c r="E102"/>
      <c r="F102"/>
      <c r="G102"/>
      <c r="I102" t="str">
        <f t="shared" ca="1" si="2"/>
        <v/>
      </c>
      <c r="J102" s="685" t="str">
        <f>IF($J$17=$A$146,"Administração Central da empresa ou consultoria - overhead","Seguro e Garantia")</f>
        <v>Seguro e Garantia</v>
      </c>
      <c r="K102" s="685"/>
      <c r="L102" s="685"/>
      <c r="M102" s="685"/>
      <c r="N102" s="685"/>
      <c r="O102" s="685"/>
      <c r="P102" s="685"/>
      <c r="Q102" s="685"/>
      <c r="R102" s="76" t="str">
        <f>IF($J97=$A$146,"K2","SG")</f>
        <v>SG</v>
      </c>
      <c r="S102" s="77"/>
      <c r="U102" s="686" t="s">
        <v>168</v>
      </c>
      <c r="V102" s="686"/>
      <c r="W102" s="686"/>
      <c r="X102" s="78" t="e">
        <f>VLOOKUP(CONCATENATE(J97,"-",R102),$C$2:$G$136,3,FALSE)</f>
        <v>#N/A</v>
      </c>
      <c r="Y102" s="78" t="e">
        <f>VLOOKUP(CONCATENATE(J97,"-",R102),$C$2:$G$136,4,FALSE)</f>
        <v>#N/A</v>
      </c>
      <c r="Z102" s="78" t="e">
        <f>VLOOKUP(CONCATENATE(J97,"-",R102),$C$2:$G$136,5,FALSE)</f>
        <v>#N/A</v>
      </c>
    </row>
    <row r="103" spans="1:26" ht="15" hidden="1" customHeight="1" x14ac:dyDescent="0.25">
      <c r="A103"/>
      <c r="B103"/>
      <c r="C103"/>
      <c r="D103"/>
      <c r="E103"/>
      <c r="F103"/>
      <c r="G103"/>
      <c r="I103" t="str">
        <f t="shared" ca="1" si="2"/>
        <v/>
      </c>
      <c r="J103" s="685" t="str">
        <f>IF($J$17=$A$146,"","Risco")</f>
        <v>Risco</v>
      </c>
      <c r="K103" s="685"/>
      <c r="L103" s="685"/>
      <c r="M103" s="685"/>
      <c r="N103" s="685"/>
      <c r="O103" s="685"/>
      <c r="P103" s="685"/>
      <c r="Q103" s="685"/>
      <c r="R103" s="76" t="str">
        <f>IF($J97=$A$146,"","R")</f>
        <v>R</v>
      </c>
      <c r="S103" s="77"/>
      <c r="U103" s="686" t="s">
        <v>168</v>
      </c>
      <c r="V103" s="686"/>
      <c r="W103" s="686"/>
      <c r="X103" s="78" t="e">
        <f>VLOOKUP(CONCATENATE(J97,"-",R103),$C$2:$G$136,3,FALSE)</f>
        <v>#N/A</v>
      </c>
      <c r="Y103" s="78" t="e">
        <f>VLOOKUP(CONCATENATE(J97,"-",R103),$C$2:$G$136,4,FALSE)</f>
        <v>#N/A</v>
      </c>
      <c r="Z103" s="78" t="e">
        <f>VLOOKUP(CONCATENATE(J97,"-",R103),$C$2:$G$136,5,FALSE)</f>
        <v>#N/A</v>
      </c>
    </row>
    <row r="104" spans="1:26" ht="15" hidden="1" customHeight="1" x14ac:dyDescent="0.25">
      <c r="A104"/>
      <c r="B104"/>
      <c r="C104"/>
      <c r="D104"/>
      <c r="E104"/>
      <c r="F104"/>
      <c r="G104"/>
      <c r="I104" t="str">
        <f t="shared" ca="1" si="2"/>
        <v/>
      </c>
      <c r="J104" s="685" t="str">
        <f>IF($J$17=$A$146,"","Despesas Financeiras")</f>
        <v>Despesas Financeiras</v>
      </c>
      <c r="K104" s="685"/>
      <c r="L104" s="685"/>
      <c r="M104" s="685"/>
      <c r="N104" s="685"/>
      <c r="O104" s="685"/>
      <c r="P104" s="685"/>
      <c r="Q104" s="685"/>
      <c r="R104" s="76" t="str">
        <f>IF($J97=$A$146,"","DF")</f>
        <v>DF</v>
      </c>
      <c r="S104" s="77"/>
      <c r="U104" s="686" t="s">
        <v>168</v>
      </c>
      <c r="V104" s="686"/>
      <c r="W104" s="686"/>
      <c r="X104" s="78" t="e">
        <f>VLOOKUP(CONCATENATE(J97,"-",R104),$C$2:$G$136,3,FALSE)</f>
        <v>#N/A</v>
      </c>
      <c r="Y104" s="78" t="e">
        <f>VLOOKUP(CONCATENATE(J97,"-",R104),$C$2:$G$136,4,FALSE)</f>
        <v>#N/A</v>
      </c>
      <c r="Z104" s="78" t="e">
        <f>VLOOKUP(CONCATENATE(J97,"-",R104),$C$2:$G$136,5,FALSE)</f>
        <v>#N/A</v>
      </c>
    </row>
    <row r="105" spans="1:26" ht="15" hidden="1" customHeight="1" x14ac:dyDescent="0.25">
      <c r="A105"/>
      <c r="B105"/>
      <c r="C105"/>
      <c r="D105"/>
      <c r="E105"/>
      <c r="F105"/>
      <c r="G105"/>
      <c r="I105" t="str">
        <f t="shared" ca="1" si="2"/>
        <v/>
      </c>
      <c r="J105" s="685" t="str">
        <f>IF($J$17=$A$146,"Margem bruta da empresa de consultoria","Lucro")</f>
        <v>Lucro</v>
      </c>
      <c r="K105" s="685"/>
      <c r="L105" s="685"/>
      <c r="M105" s="685"/>
      <c r="N105" s="685"/>
      <c r="O105" s="685"/>
      <c r="P105" s="685"/>
      <c r="Q105" s="685"/>
      <c r="R105" s="76" t="str">
        <f>IF($J97=$A$146,"K3","L")</f>
        <v>L</v>
      </c>
      <c r="S105" s="77"/>
      <c r="U105" s="686" t="s">
        <v>168</v>
      </c>
      <c r="V105" s="686"/>
      <c r="W105" s="686"/>
      <c r="X105" s="78" t="e">
        <f>VLOOKUP(CONCATENATE(J97,"-",R105),$C$2:$G$136,3,FALSE)</f>
        <v>#N/A</v>
      </c>
      <c r="Y105" s="78" t="e">
        <f>VLOOKUP(CONCATENATE(J97,"-",R105),$C$2:$G$136,4,FALSE)</f>
        <v>#N/A</v>
      </c>
      <c r="Z105" s="78" t="e">
        <f>VLOOKUP(CONCATENATE(J97,"-",R105),$C$2:$G$136,5,FALSE)</f>
        <v>#N/A</v>
      </c>
    </row>
    <row r="106" spans="1:26" ht="15" hidden="1" customHeight="1" x14ac:dyDescent="0.25">
      <c r="A106"/>
      <c r="B106"/>
      <c r="C106"/>
      <c r="D106"/>
      <c r="E106"/>
      <c r="F106"/>
      <c r="G106"/>
      <c r="I106" t="str">
        <f t="shared" ca="1" si="2"/>
        <v/>
      </c>
      <c r="J106" s="685" t="s">
        <v>170</v>
      </c>
      <c r="K106" s="685"/>
      <c r="L106" s="685"/>
      <c r="M106" s="685"/>
      <c r="N106" s="685"/>
      <c r="O106" s="685"/>
      <c r="P106" s="685"/>
      <c r="Q106" s="685"/>
      <c r="R106" s="76" t="s">
        <v>171</v>
      </c>
      <c r="S106" s="77"/>
      <c r="U106" s="686" t="s">
        <v>168</v>
      </c>
      <c r="V106" s="686"/>
      <c r="W106" s="686"/>
      <c r="X106" s="78">
        <v>3.6499999999999998E-2</v>
      </c>
      <c r="Y106" s="78">
        <v>3.6499999999999998E-2</v>
      </c>
      <c r="Z106" s="78">
        <v>3.6499999999999998E-2</v>
      </c>
    </row>
    <row r="107" spans="1:26" ht="15" hidden="1" customHeight="1" x14ac:dyDescent="0.25">
      <c r="A107"/>
      <c r="B107"/>
      <c r="C107"/>
      <c r="D107"/>
      <c r="E107"/>
      <c r="F107"/>
      <c r="G107"/>
      <c r="I107" t="str">
        <f t="shared" ca="1" si="2"/>
        <v/>
      </c>
      <c r="J107" s="685" t="s">
        <v>172</v>
      </c>
      <c r="K107" s="685"/>
      <c r="L107" s="685"/>
      <c r="M107" s="685"/>
      <c r="N107" s="685"/>
      <c r="O107" s="685"/>
      <c r="P107" s="685"/>
      <c r="Q107" s="685"/>
      <c r="R107" s="76" t="s">
        <v>173</v>
      </c>
      <c r="S107" s="78">
        <f ca="1">IF(AND($J97&lt;&gt;$A$145,COUNTA(OFFSET(S100,1,0,6))&gt;0),$R$11*$R$10,0)</f>
        <v>0</v>
      </c>
      <c r="U107" s="686" t="s">
        <v>168</v>
      </c>
      <c r="V107" s="686"/>
      <c r="W107" s="686"/>
      <c r="X107" s="78">
        <v>0</v>
      </c>
      <c r="Y107" s="78">
        <v>2.5000000000000001E-2</v>
      </c>
      <c r="Z107" s="78">
        <v>0.05</v>
      </c>
    </row>
    <row r="108" spans="1:26" ht="15" hidden="1" customHeight="1" x14ac:dyDescent="0.25">
      <c r="A108"/>
      <c r="B108"/>
      <c r="C108"/>
      <c r="D108"/>
      <c r="E108"/>
      <c r="F108"/>
      <c r="G108"/>
      <c r="I108" t="str">
        <f t="shared" ca="1" si="2"/>
        <v/>
      </c>
      <c r="J108" s="685" t="s">
        <v>174</v>
      </c>
      <c r="K108" s="685"/>
      <c r="L108" s="685"/>
      <c r="M108" s="685"/>
      <c r="N108" s="685"/>
      <c r="O108" s="685"/>
      <c r="P108" s="685"/>
      <c r="Q108" s="685"/>
      <c r="R108" s="76" t="s">
        <v>175</v>
      </c>
      <c r="S108" s="78">
        <f ca="1">IF(BDI.Opcao&lt;&gt;"Desonerado",0,IF(AND($J97&lt;&gt;$A$145,COUNTA(OFFSET(S100,1,0,6))&gt;0),4.5%,0%))</f>
        <v>0</v>
      </c>
      <c r="U108" s="686" t="s">
        <v>168</v>
      </c>
      <c r="V108" s="686"/>
      <c r="W108" s="686"/>
      <c r="X108" s="79">
        <v>0</v>
      </c>
      <c r="Y108" s="79">
        <v>4.4999999999999998E-2</v>
      </c>
      <c r="Z108" s="79">
        <v>4.4999999999999998E-2</v>
      </c>
    </row>
    <row r="109" spans="1:26" ht="15" hidden="1" customHeight="1" x14ac:dyDescent="0.25">
      <c r="A109"/>
      <c r="B109"/>
      <c r="C109"/>
      <c r="D109"/>
      <c r="E109"/>
      <c r="F109"/>
      <c r="G109"/>
      <c r="I109" t="str">
        <f t="shared" ca="1" si="2"/>
        <v/>
      </c>
      <c r="J109" s="685" t="s">
        <v>176</v>
      </c>
      <c r="K109" s="685"/>
      <c r="L109" s="685"/>
      <c r="M109" s="685"/>
      <c r="N109" s="685"/>
      <c r="O109" s="685"/>
      <c r="P109" s="685"/>
      <c r="Q109" s="685"/>
      <c r="R109" s="80" t="s">
        <v>152</v>
      </c>
      <c r="S109" s="78">
        <f ca="1">IF($J97=$A$145,0,ROUND((((1+S101+S102+S103)*(1+S104)*(1+S105)/(1-(S106+S107)))-1),4))</f>
        <v>0</v>
      </c>
      <c r="U109" s="682" t="e">
        <f ca="1">IF(OR($J$17=$A$146,$J$17=$A$145,AND(S109&gt;=X109,S109&lt;=Z109)),"OK","FORA DO INTERVALO")</f>
        <v>#N/A</v>
      </c>
      <c r="V109" s="682"/>
      <c r="W109" s="682"/>
      <c r="X109" s="78" t="e">
        <f>IF($J97=$A$145,0,VLOOKUP(CONCATENATE($J97,"-",$R109),$C$2:$G$136,3,FALSE))</f>
        <v>#N/A</v>
      </c>
      <c r="Y109" s="78" t="e">
        <f>IF($J97=$A$145,0,VLOOKUP(CONCATENATE($J97,"-",$R109),$C$2:$G$136,4,FALSE))</f>
        <v>#N/A</v>
      </c>
      <c r="Z109" s="78" t="e">
        <f>IF($J97=$A$145,0,VLOOKUP(CONCATENATE($J97,"-",$R109),$C$2:$G$136,5,FALSE))</f>
        <v>#N/A</v>
      </c>
    </row>
    <row r="110" spans="1:26" ht="15" hidden="1" customHeight="1" x14ac:dyDescent="0.25">
      <c r="A110"/>
      <c r="B110"/>
      <c r="C110"/>
      <c r="D110"/>
      <c r="E110"/>
      <c r="F110"/>
      <c r="G110"/>
      <c r="I110" t="str">
        <f t="shared" ca="1" si="2"/>
        <v/>
      </c>
      <c r="J110" s="689" t="s">
        <v>177</v>
      </c>
      <c r="K110" s="689"/>
      <c r="L110" s="689"/>
      <c r="M110" s="689"/>
      <c r="N110" s="689"/>
      <c r="O110" s="689"/>
      <c r="P110" s="689"/>
      <c r="Q110" s="689"/>
      <c r="R110" s="81" t="s">
        <v>178</v>
      </c>
      <c r="S110" s="82">
        <f ca="1">IF($J97=$A$145,0,ROUND((((1+S101+S102+S103)*(1+S104)*(1+S105)/(1-(S106+S107+S108)))-1),4))</f>
        <v>0</v>
      </c>
    </row>
    <row r="111" spans="1:26" ht="25.5" hidden="1" customHeight="1" x14ac:dyDescent="0.25">
      <c r="A111"/>
      <c r="B111"/>
      <c r="C111"/>
      <c r="D111"/>
      <c r="E111"/>
      <c r="F111"/>
      <c r="G111"/>
      <c r="I111" t="str">
        <f t="shared" ca="1" si="2"/>
        <v/>
      </c>
    </row>
    <row r="112" spans="1:26" ht="15.6" hidden="1" x14ac:dyDescent="0.25">
      <c r="A112"/>
      <c r="B112"/>
      <c r="C112"/>
      <c r="D112"/>
      <c r="E112"/>
      <c r="F112"/>
      <c r="G112"/>
      <c r="I112" t="str">
        <f t="shared" ca="1" si="2"/>
        <v/>
      </c>
      <c r="J112" s="83" t="e">
        <f ca="1">IF(U109&lt;&gt;"ok","X","")</f>
        <v>#N/A</v>
      </c>
      <c r="K112" s="690" t="e">
        <f ca="1">IF(U109&lt;&gt;"ok","Anexo: Relatório Técnico Circunstanciado justificando a adoção do percentual de cada parcela do BDI.","")</f>
        <v>#N/A</v>
      </c>
      <c r="L112" s="690"/>
      <c r="M112" s="690"/>
      <c r="N112" s="690"/>
      <c r="O112" s="690"/>
      <c r="P112" s="690"/>
      <c r="Q112" s="690"/>
      <c r="R112" s="690"/>
      <c r="S112" s="690"/>
    </row>
    <row r="113" spans="1:19" hidden="1" x14ac:dyDescent="0.25">
      <c r="A113"/>
      <c r="B113"/>
      <c r="C113"/>
      <c r="D113"/>
      <c r="E113"/>
      <c r="F113"/>
      <c r="G113"/>
      <c r="I113" t="str">
        <f t="shared" ca="1" si="2"/>
        <v/>
      </c>
    </row>
    <row r="114" spans="1:19" hidden="1" x14ac:dyDescent="0.25">
      <c r="A114"/>
      <c r="B114"/>
      <c r="C114"/>
      <c r="D114"/>
      <c r="E114"/>
      <c r="F114"/>
      <c r="G114"/>
      <c r="I114" t="str">
        <f t="shared" ca="1" si="2"/>
        <v/>
      </c>
      <c r="J114" s="691" t="s">
        <v>180</v>
      </c>
      <c r="K114" s="691"/>
      <c r="L114" s="691"/>
      <c r="M114" s="691"/>
      <c r="N114" s="691"/>
      <c r="O114" s="691"/>
      <c r="P114" s="691"/>
      <c r="Q114" s="691"/>
      <c r="R114" s="691"/>
      <c r="S114" s="691"/>
    </row>
    <row r="115" spans="1:19" ht="15.6" hidden="1" x14ac:dyDescent="0.3">
      <c r="A115"/>
      <c r="B115"/>
      <c r="C115"/>
      <c r="D115"/>
      <c r="E115"/>
      <c r="F115"/>
      <c r="G115"/>
      <c r="I115" t="str">
        <f t="shared" ca="1" si="2"/>
        <v/>
      </c>
      <c r="J115" s="84"/>
      <c r="K115" s="84"/>
      <c r="L115" s="84"/>
      <c r="M115" s="692" t="s">
        <v>181</v>
      </c>
      <c r="N115" s="698" t="str">
        <f>IF($J97=$A$146,"(1+K1+K2)*(1+K3)","(1+AC + S + R + G)*(1 + DF)*(1+L)")</f>
        <v>(1+AC + S + R + G)*(1 + DF)*(1+L)</v>
      </c>
      <c r="O115" s="698"/>
      <c r="P115" s="698"/>
      <c r="Q115" s="699" t="s">
        <v>182</v>
      </c>
      <c r="R115" s="84"/>
      <c r="S115" s="84"/>
    </row>
    <row r="116" spans="1:19" ht="15.6" hidden="1" x14ac:dyDescent="0.25">
      <c r="A116"/>
      <c r="B116"/>
      <c r="C116"/>
      <c r="D116"/>
      <c r="E116"/>
      <c r="F116"/>
      <c r="G116"/>
      <c r="I116" t="str">
        <f t="shared" ca="1" si="2"/>
        <v/>
      </c>
      <c r="J116" s="84"/>
      <c r="K116" s="84"/>
      <c r="L116" s="84"/>
      <c r="M116" s="692"/>
      <c r="N116" s="687" t="s">
        <v>183</v>
      </c>
      <c r="O116" s="687"/>
      <c r="P116" s="687"/>
      <c r="Q116" s="699"/>
      <c r="R116" s="84"/>
      <c r="S116" s="84"/>
    </row>
    <row r="117" spans="1:19" ht="15" hidden="1" customHeight="1" x14ac:dyDescent="0.25">
      <c r="A117"/>
      <c r="B117"/>
      <c r="C117"/>
      <c r="D117"/>
      <c r="E117"/>
      <c r="F117"/>
      <c r="G117"/>
      <c r="I117" t="str">
        <f t="shared" ca="1" si="2"/>
        <v/>
      </c>
      <c r="J117" s="84"/>
      <c r="K117" s="84"/>
      <c r="L117" s="84"/>
      <c r="M117" s="85"/>
      <c r="N117" s="87"/>
      <c r="O117" s="87"/>
      <c r="P117" s="87"/>
      <c r="Q117" s="86"/>
      <c r="R117" s="84"/>
      <c r="S117" s="84"/>
    </row>
    <row r="118" spans="1:19" ht="50.1" hidden="1" customHeight="1" x14ac:dyDescent="0.25">
      <c r="A118"/>
      <c r="B118"/>
      <c r="C118"/>
      <c r="D118"/>
      <c r="E118"/>
      <c r="F118"/>
      <c r="G118"/>
      <c r="I118" t="str">
        <f t="shared" ca="1" si="2"/>
        <v/>
      </c>
      <c r="J118" s="688" t="str">
        <f>CONCATENATE("Declaro para os devidos fins que, conforme legislação tributária municipal, a base de cálculo deste tipo de obra corresponde à ",$R$10*100,"%, com a respectiva alíquota de ",$R$11*100,"%.")</f>
        <v>Declaro para os devidos fins que, conforme legislação tributária municipal, a base de cálculo deste tipo de obra corresponde à 100%, com a respectiva alíquota de 5%.</v>
      </c>
      <c r="K118" s="688"/>
      <c r="L118" s="688"/>
      <c r="M118" s="688"/>
      <c r="N118" s="688"/>
      <c r="O118" s="688"/>
      <c r="P118" s="688"/>
      <c r="Q118" s="688"/>
      <c r="R118" s="688"/>
      <c r="S118" s="688"/>
    </row>
    <row r="119" spans="1:19" hidden="1" x14ac:dyDescent="0.25">
      <c r="A119"/>
      <c r="B119"/>
      <c r="C119"/>
      <c r="D119"/>
      <c r="E119"/>
      <c r="F119"/>
      <c r="G119"/>
      <c r="I119" t="str">
        <f t="shared" ca="1" si="2"/>
        <v/>
      </c>
    </row>
    <row r="120" spans="1:19" ht="50.1" hidden="1" customHeight="1" x14ac:dyDescent="0.25">
      <c r="A120"/>
      <c r="B120"/>
      <c r="C120"/>
      <c r="D120"/>
      <c r="E120"/>
      <c r="F120"/>
      <c r="G120"/>
      <c r="I120" t="str">
        <f t="shared" ca="1" si="2"/>
        <v/>
      </c>
      <c r="J120" s="688" t="str">
        <f ca="1">CONCATENATE("Declaro para os devidos fins que o regime de Contribuição Previdenciária sobre a Receita Bruta adotado para elaboração do orçamento foi ",IF(DESONERACAO="Sim","COM","SEM")," Desoneração, e que esta é a alternativa mais adequada para a Administração Pública.")</f>
        <v>Declaro para os devidos fins que o regime de Contribuição Previdenciária sobre a Receita Bruta adotado para elaboração do orçamento foi SEM Desoneração, e que esta é a alternativa mais adequada para a Administração Pública.</v>
      </c>
      <c r="K120" s="688"/>
      <c r="L120" s="688"/>
      <c r="M120" s="688"/>
      <c r="N120" s="688"/>
      <c r="O120" s="688"/>
      <c r="P120" s="688"/>
      <c r="Q120" s="688"/>
      <c r="R120" s="688"/>
      <c r="S120" s="688"/>
    </row>
    <row r="121" spans="1:19" hidden="1" x14ac:dyDescent="0.25">
      <c r="A121"/>
      <c r="B121"/>
      <c r="C121"/>
      <c r="D121"/>
      <c r="E121"/>
      <c r="F121"/>
      <c r="G121"/>
      <c r="I121" t="str">
        <f t="shared" ca="1" si="2"/>
        <v/>
      </c>
    </row>
    <row r="122" spans="1:19" hidden="1" x14ac:dyDescent="0.25">
      <c r="A122"/>
      <c r="B122"/>
      <c r="C122"/>
      <c r="D122"/>
      <c r="E122"/>
      <c r="F122"/>
      <c r="G122"/>
      <c r="I122" t="str">
        <f t="shared" ca="1" si="2"/>
        <v/>
      </c>
      <c r="J122" s="65" t="s">
        <v>189</v>
      </c>
    </row>
    <row r="123" spans="1:19" ht="110.1" hidden="1" customHeight="1" x14ac:dyDescent="0.25">
      <c r="A123"/>
      <c r="B123"/>
      <c r="C123"/>
      <c r="D123"/>
      <c r="E123"/>
      <c r="F123"/>
      <c r="G123"/>
      <c r="I123" t="str">
        <f t="shared" ca="1" si="2"/>
        <v/>
      </c>
      <c r="J123" s="700" t="s">
        <v>453</v>
      </c>
      <c r="K123" s="700"/>
      <c r="L123" s="700"/>
      <c r="M123" s="700"/>
      <c r="N123" s="700"/>
      <c r="O123" s="700"/>
      <c r="P123" s="700"/>
      <c r="Q123" s="700"/>
      <c r="R123" s="700"/>
      <c r="S123" s="700"/>
    </row>
    <row r="124" spans="1:19" hidden="1" x14ac:dyDescent="0.25">
      <c r="A124"/>
      <c r="B124"/>
      <c r="C124"/>
      <c r="D124"/>
      <c r="E124"/>
      <c r="F124"/>
      <c r="G124"/>
      <c r="I124" t="str">
        <f t="shared" ca="1" si="2"/>
        <v/>
      </c>
    </row>
    <row r="125" spans="1:19" hidden="1" x14ac:dyDescent="0.25">
      <c r="A125"/>
      <c r="B125"/>
      <c r="C125"/>
      <c r="D125"/>
      <c r="E125"/>
      <c r="F125"/>
      <c r="G125"/>
      <c r="I125" t="str">
        <f t="shared" ca="1" si="2"/>
        <v/>
      </c>
      <c r="J125" s="694" t="str">
        <f>Import.Município</f>
        <v>LAGUNA/SC</v>
      </c>
      <c r="K125" s="694"/>
      <c r="L125" s="694"/>
      <c r="M125" s="694"/>
      <c r="P125" s="695">
        <f ca="1">DADOS!$F$25</f>
        <v>45477</v>
      </c>
      <c r="Q125" s="695"/>
      <c r="R125" s="695"/>
      <c r="S125" s="695"/>
    </row>
    <row r="126" spans="1:19" hidden="1" x14ac:dyDescent="0.25">
      <c r="A126"/>
      <c r="B126"/>
      <c r="C126"/>
      <c r="D126"/>
      <c r="E126"/>
      <c r="F126"/>
      <c r="G126"/>
      <c r="I126" t="str">
        <f t="shared" ca="1" si="2"/>
        <v/>
      </c>
      <c r="J126" s="696" t="s">
        <v>190</v>
      </c>
      <c r="K126" s="696"/>
      <c r="L126" s="696"/>
      <c r="M126" s="696"/>
      <c r="O126" s="89"/>
      <c r="P126" s="90" t="s">
        <v>191</v>
      </c>
      <c r="Q126" s="91"/>
      <c r="R126" s="91"/>
      <c r="S126" s="91"/>
    </row>
    <row r="127" spans="1:19" ht="30" hidden="1" customHeight="1" x14ac:dyDescent="0.25">
      <c r="A127"/>
      <c r="B127"/>
      <c r="C127"/>
      <c r="D127"/>
      <c r="E127"/>
      <c r="F127"/>
      <c r="G127"/>
      <c r="I127" t="str">
        <f t="shared" ca="1" si="2"/>
        <v/>
      </c>
    </row>
    <row r="128" spans="1:19" ht="13.8" hidden="1" x14ac:dyDescent="0.25">
      <c r="A128"/>
      <c r="B128"/>
      <c r="C128"/>
      <c r="D128"/>
      <c r="E128"/>
      <c r="F128"/>
      <c r="G128"/>
      <c r="I128" t="str">
        <f t="shared" ca="1" si="2"/>
        <v/>
      </c>
      <c r="J128" s="697"/>
      <c r="K128" s="697"/>
      <c r="L128" s="697"/>
      <c r="M128" s="697"/>
      <c r="N128" s="92"/>
    </row>
    <row r="129" spans="1:14" hidden="1" x14ac:dyDescent="0.25">
      <c r="A129"/>
      <c r="B129"/>
      <c r="C129"/>
      <c r="D129"/>
      <c r="E129"/>
      <c r="F129"/>
      <c r="G129"/>
      <c r="I129" t="str">
        <f t="shared" ca="1" si="2"/>
        <v/>
      </c>
      <c r="J129" s="693" t="s">
        <v>192</v>
      </c>
      <c r="K129" s="693"/>
      <c r="L129" s="693"/>
      <c r="M129" s="693"/>
      <c r="N129" s="93"/>
    </row>
    <row r="130" spans="1:14" ht="13.8" hidden="1" x14ac:dyDescent="0.25">
      <c r="A130"/>
      <c r="B130"/>
      <c r="C130"/>
      <c r="D130"/>
      <c r="E130"/>
      <c r="F130"/>
      <c r="G130"/>
      <c r="I130" t="str">
        <f t="shared" ca="1" si="2"/>
        <v/>
      </c>
      <c r="J130" s="94" t="s">
        <v>109</v>
      </c>
      <c r="K130" s="95" t="str">
        <f t="array" ref="K130:K132">Import.RespOrçamento</f>
        <v>Norton dos Santos Filho</v>
      </c>
      <c r="L130" s="96"/>
      <c r="M130" s="96"/>
      <c r="N130" s="97"/>
    </row>
    <row r="131" spans="1:14" ht="13.8" hidden="1" x14ac:dyDescent="0.25">
      <c r="A131"/>
      <c r="B131"/>
      <c r="C131"/>
      <c r="D131"/>
      <c r="E131"/>
      <c r="F131"/>
      <c r="G131"/>
      <c r="I131" t="str">
        <f t="shared" ca="1" si="2"/>
        <v/>
      </c>
      <c r="J131" s="94" t="s">
        <v>110</v>
      </c>
      <c r="K131" s="95" t="str">
        <v>139329-8</v>
      </c>
      <c r="L131" s="96"/>
      <c r="M131" s="96"/>
      <c r="N131" s="97"/>
    </row>
    <row r="132" spans="1:14" ht="13.8" hidden="1" x14ac:dyDescent="0.25">
      <c r="A132"/>
      <c r="B132"/>
      <c r="C132"/>
      <c r="D132"/>
      <c r="E132"/>
      <c r="F132"/>
      <c r="G132"/>
      <c r="I132" t="str">
        <f t="shared" ca="1" si="2"/>
        <v/>
      </c>
      <c r="J132" s="94" t="s">
        <v>111</v>
      </c>
      <c r="K132" s="95" t="str">
        <v>9200819-3</v>
      </c>
      <c r="L132" s="96"/>
      <c r="M132" s="96"/>
      <c r="N132" s="97"/>
    </row>
    <row r="133" spans="1:14" x14ac:dyDescent="0.25">
      <c r="A133"/>
      <c r="B133"/>
      <c r="C133"/>
      <c r="D133"/>
      <c r="E133"/>
      <c r="F133"/>
      <c r="G133"/>
    </row>
    <row r="134" spans="1:14" x14ac:dyDescent="0.25">
      <c r="A134"/>
      <c r="B134"/>
      <c r="C134"/>
      <c r="D134"/>
      <c r="E134"/>
      <c r="F134"/>
      <c r="G134"/>
    </row>
    <row r="135" spans="1:14" x14ac:dyDescent="0.25">
      <c r="A135"/>
      <c r="B135"/>
      <c r="C135"/>
      <c r="D135"/>
      <c r="E135"/>
      <c r="F135"/>
      <c r="G135"/>
    </row>
    <row r="136" spans="1:14" x14ac:dyDescent="0.25">
      <c r="A136"/>
      <c r="B136"/>
      <c r="C136"/>
      <c r="D136"/>
      <c r="E136"/>
      <c r="F136"/>
      <c r="G136"/>
    </row>
    <row r="137" spans="1:14" x14ac:dyDescent="0.25">
      <c r="A137"/>
      <c r="B137"/>
      <c r="C137"/>
      <c r="D137"/>
      <c r="E137"/>
      <c r="F137"/>
      <c r="G137"/>
    </row>
    <row r="138" spans="1:14" x14ac:dyDescent="0.25">
      <c r="A138" s="65" t="s">
        <v>410</v>
      </c>
    </row>
    <row r="139" spans="1:14" x14ac:dyDescent="0.25">
      <c r="A139" s="65" t="s">
        <v>142</v>
      </c>
    </row>
    <row r="140" spans="1:14" x14ac:dyDescent="0.25">
      <c r="A140" s="65" t="s">
        <v>154</v>
      </c>
    </row>
    <row r="141" spans="1:14" x14ac:dyDescent="0.25">
      <c r="A141" s="65" t="s">
        <v>157</v>
      </c>
    </row>
    <row r="142" spans="1:14" x14ac:dyDescent="0.25">
      <c r="A142" s="65" t="s">
        <v>167</v>
      </c>
    </row>
    <row r="143" spans="1:14" x14ac:dyDescent="0.25">
      <c r="A143" s="65" t="s">
        <v>169</v>
      </c>
    </row>
    <row r="144" spans="1:14" x14ac:dyDescent="0.25">
      <c r="A144" s="65" t="s">
        <v>179</v>
      </c>
    </row>
    <row r="145" spans="1:1" x14ac:dyDescent="0.25">
      <c r="A145" s="65" t="s">
        <v>184</v>
      </c>
    </row>
    <row r="146" spans="1:1" x14ac:dyDescent="0.25">
      <c r="A146" s="65" t="s">
        <v>185</v>
      </c>
    </row>
  </sheetData>
  <sheetProtection password="BD1F" sheet="1" objects="1" scenarios="1" autoFilter="0"/>
  <autoFilter ref="I11:I132">
    <filterColumn colId="0">
      <filters>
        <filter val="F"/>
      </filters>
    </filterColumn>
  </autoFilter>
  <mergeCells count="144">
    <mergeCell ref="J129:M129"/>
    <mergeCell ref="J120:S120"/>
    <mergeCell ref="J123:S123"/>
    <mergeCell ref="J125:M125"/>
    <mergeCell ref="P125:S125"/>
    <mergeCell ref="J126:M126"/>
    <mergeCell ref="J128:M128"/>
    <mergeCell ref="N116:P116"/>
    <mergeCell ref="J108:Q108"/>
    <mergeCell ref="U108:W108"/>
    <mergeCell ref="J109:Q109"/>
    <mergeCell ref="U109:W109"/>
    <mergeCell ref="J110:Q110"/>
    <mergeCell ref="K112:S112"/>
    <mergeCell ref="J118:S118"/>
    <mergeCell ref="I6:I10"/>
    <mergeCell ref="J114:S114"/>
    <mergeCell ref="J107:Q107"/>
    <mergeCell ref="M115:M116"/>
    <mergeCell ref="J105:Q105"/>
    <mergeCell ref="J103:Q103"/>
    <mergeCell ref="J69:Q69"/>
    <mergeCell ref="N115:P115"/>
    <mergeCell ref="Q115:Q116"/>
    <mergeCell ref="J102:Q102"/>
    <mergeCell ref="U102:W102"/>
    <mergeCell ref="U105:W105"/>
    <mergeCell ref="J106:Q106"/>
    <mergeCell ref="U106:W106"/>
    <mergeCell ref="J104:Q104"/>
    <mergeCell ref="U104:W104"/>
    <mergeCell ref="U103:W103"/>
    <mergeCell ref="U107:W107"/>
    <mergeCell ref="Y99:Y100"/>
    <mergeCell ref="Z99:Z100"/>
    <mergeCell ref="J99:Q100"/>
    <mergeCell ref="R99:R100"/>
    <mergeCell ref="S99:S100"/>
    <mergeCell ref="X99:X100"/>
    <mergeCell ref="J101:Q101"/>
    <mergeCell ref="U101:W101"/>
    <mergeCell ref="J96:S96"/>
    <mergeCell ref="J97:S97"/>
    <mergeCell ref="U99:W100"/>
    <mergeCell ref="J66:Q66"/>
    <mergeCell ref="U66:W66"/>
    <mergeCell ref="U67:W67"/>
    <mergeCell ref="J68:Q68"/>
    <mergeCell ref="U68:W68"/>
    <mergeCell ref="J94:S94"/>
    <mergeCell ref="J85:M85"/>
    <mergeCell ref="P85:S85"/>
    <mergeCell ref="J67:Q67"/>
    <mergeCell ref="J78:S78"/>
    <mergeCell ref="J70:Q70"/>
    <mergeCell ref="K72:S72"/>
    <mergeCell ref="J89:M89"/>
    <mergeCell ref="U69:W69"/>
    <mergeCell ref="J86:M86"/>
    <mergeCell ref="J88:M88"/>
    <mergeCell ref="J74:S74"/>
    <mergeCell ref="M75:M76"/>
    <mergeCell ref="J80:S80"/>
    <mergeCell ref="J83:S83"/>
    <mergeCell ref="N76:P76"/>
    <mergeCell ref="N75:P75"/>
    <mergeCell ref="Q75:Q76"/>
    <mergeCell ref="J56:S56"/>
    <mergeCell ref="J57:S57"/>
    <mergeCell ref="J64:Q64"/>
    <mergeCell ref="U64:W64"/>
    <mergeCell ref="J62:Q62"/>
    <mergeCell ref="U62:W62"/>
    <mergeCell ref="J63:Q63"/>
    <mergeCell ref="U63:W63"/>
    <mergeCell ref="J65:Q65"/>
    <mergeCell ref="U65:W65"/>
    <mergeCell ref="Y59:Y60"/>
    <mergeCell ref="Z59:Z60"/>
    <mergeCell ref="J59:Q60"/>
    <mergeCell ref="R59:R60"/>
    <mergeCell ref="S59:S60"/>
    <mergeCell ref="U59:W60"/>
    <mergeCell ref="X59:X60"/>
    <mergeCell ref="J61:Q61"/>
    <mergeCell ref="U61:W61"/>
    <mergeCell ref="J49:M49"/>
    <mergeCell ref="J54:S54"/>
    <mergeCell ref="J45:M45"/>
    <mergeCell ref="P45:S45"/>
    <mergeCell ref="J46:M46"/>
    <mergeCell ref="J48:M48"/>
    <mergeCell ref="N35:P35"/>
    <mergeCell ref="Q35:Q36"/>
    <mergeCell ref="J40:S40"/>
    <mergeCell ref="J43:S43"/>
    <mergeCell ref="J27:Q27"/>
    <mergeCell ref="U27:W27"/>
    <mergeCell ref="J28:Q28"/>
    <mergeCell ref="U28:W28"/>
    <mergeCell ref="J24:Q24"/>
    <mergeCell ref="U24:W24"/>
    <mergeCell ref="N36:P36"/>
    <mergeCell ref="J38:S38"/>
    <mergeCell ref="J30:Q30"/>
    <mergeCell ref="K32:S32"/>
    <mergeCell ref="J29:Q29"/>
    <mergeCell ref="U29:W29"/>
    <mergeCell ref="J34:S34"/>
    <mergeCell ref="M35:M36"/>
    <mergeCell ref="J23:Q23"/>
    <mergeCell ref="U23:W23"/>
    <mergeCell ref="J21:Q21"/>
    <mergeCell ref="U21:W21"/>
    <mergeCell ref="J22:Q22"/>
    <mergeCell ref="U22:W22"/>
    <mergeCell ref="J25:Q25"/>
    <mergeCell ref="U25:W25"/>
    <mergeCell ref="J26:Q26"/>
    <mergeCell ref="U26:W26"/>
    <mergeCell ref="X19:X20"/>
    <mergeCell ref="Y19:Y20"/>
    <mergeCell ref="J17:S17"/>
    <mergeCell ref="Z19:Z20"/>
    <mergeCell ref="U19:W20"/>
    <mergeCell ref="J19:Q20"/>
    <mergeCell ref="R19:R20"/>
    <mergeCell ref="S19:S20"/>
    <mergeCell ref="J14:S14"/>
    <mergeCell ref="J16:S16"/>
    <mergeCell ref="J5:K5"/>
    <mergeCell ref="L5:M5"/>
    <mergeCell ref="N5:S5"/>
    <mergeCell ref="R1:S1"/>
    <mergeCell ref="R2:S2"/>
    <mergeCell ref="J4:K4"/>
    <mergeCell ref="L4:M4"/>
    <mergeCell ref="N4:S4"/>
    <mergeCell ref="J11:Q11"/>
    <mergeCell ref="R11:S11"/>
    <mergeCell ref="J7:S7"/>
    <mergeCell ref="J8:S8"/>
    <mergeCell ref="J10:Q10"/>
    <mergeCell ref="R10:S10"/>
  </mergeCells>
  <phoneticPr fontId="38" type="noConversion"/>
  <conditionalFormatting sqref="J30:S30 J70:S70 J110:S110">
    <cfRule type="expression" dxfId="1935" priority="2" stopIfTrue="1">
      <formula>DESONERACAO="não"</formula>
    </cfRule>
  </conditionalFormatting>
  <conditionalFormatting sqref="U29:W29 U69:W69 U109:W109">
    <cfRule type="expression" dxfId="1934" priority="3" stopIfTrue="1">
      <formula>AND(U29&lt;&gt;"OK",U29&lt;&gt;"-",U29&lt;&gt;"")</formula>
    </cfRule>
    <cfRule type="cellIs" dxfId="1933" priority="4" stopIfTrue="1" operator="equal">
      <formula>"OK"</formula>
    </cfRule>
  </conditionalFormatting>
  <conditionalFormatting sqref="S29 S69 S109">
    <cfRule type="expression" dxfId="1932" priority="5" stopIfTrue="1">
      <formula>DESONERACAO="não"</formula>
    </cfRule>
  </conditionalFormatting>
  <dataValidations disablePrompts="1" count="6">
    <dataValidation type="decimal" allowBlank="1" showErrorMessage="1" errorTitle="Erro de valores" error="Digite um valor entre 0% e 100%" sqref="S21:S26 S61:S66 S101:S106">
      <formula1>0</formula1>
      <formula2>1</formula2>
    </dataValidation>
    <dataValidation type="decimal" allowBlank="1" showErrorMessage="1" errorTitle="Erro de valores" error="Digite um valor maior do que 0." sqref="S27 S67 S107">
      <formula1>0</formula1>
      <formula2>1</formula2>
    </dataValidation>
    <dataValidation operator="greaterThanOrEqual" allowBlank="1" showErrorMessage="1" errorTitle="Erro de valores" error="Digite um valor igual a 0% ou 2%." sqref="S28 S68 S108">
      <formula1>0</formula1>
      <formula2>0</formula2>
    </dataValidation>
    <dataValidation type="decimal" operator="greaterThanOrEqual" allowBlank="1" showInputMessage="1" showErrorMessage="1" errorTitle="Valor não permitido" error="Digite um percentual entre 0% e 100%." promptTitle="Valores comuns:" prompt="Normalmente entre 2 e 5%." sqref="R11:S11">
      <formula1>0</formula1>
      <formula2>0</formula2>
    </dataValidation>
    <dataValidation type="decimal" allowBlank="1" showInputMessage="1" showErrorMessage="1" errorTitle="Valor não permitido" error="Digite um percentual entre 0% e 100%." promptTitle="Valores admissíveis:" prompt="Insira valores entre 0 e 100%." sqref="R10:S10">
      <formula1>0</formula1>
      <formula2>1</formula2>
    </dataValidation>
    <dataValidation type="list" allowBlank="1" showErrorMessage="1" sqref="J17:S17 J57:S57 J97:S97">
      <formula1>BDI.TipoObra</formula1>
      <formula2>0</formula2>
    </dataValidation>
  </dataValidations>
  <pageMargins left="0.78740157480314965" right="0.78740157480314965" top="0.78740157480314965" bottom="0.51181102362204722" header="5.7086614173228352" footer="0.59055118110236227"/>
  <pageSetup paperSize="9" scale="79" firstPageNumber="0" fitToHeight="0" orientation="portrait" horizontalDpi="300" verticalDpi="300" r:id="rId1"/>
  <headerFooter alignWithMargins="0">
    <oddHeader>&amp;L_</oddHeader>
    <oddFooter>&amp;LPMv3.0.4&amp;R&amp;P / &amp;N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5">
    <pageSetUpPr fitToPage="1"/>
  </sheetPr>
  <dimension ref="A1:AN727"/>
  <sheetViews>
    <sheetView showGridLines="0" tabSelected="1" zoomScale="80" zoomScaleNormal="80" zoomScaleSheetLayoutView="90" workbookViewId="0">
      <pane xSplit="19" ySplit="15" topLeftCell="T544" activePane="bottomRight" state="frozen"/>
      <selection activeCell="L1" sqref="L1"/>
      <selection pane="topRight" activeCell="T1" sqref="T1"/>
      <selection pane="bottomLeft" activeCell="L16" sqref="L16"/>
      <selection pane="bottomRight" activeCell="U545" sqref="U545"/>
    </sheetView>
  </sheetViews>
  <sheetFormatPr defaultRowHeight="13.2" x14ac:dyDescent="0.25"/>
  <cols>
    <col min="1" max="1" width="5.5546875" hidden="1" customWidth="1"/>
    <col min="2" max="2" width="10.44140625" hidden="1" customWidth="1"/>
    <col min="3" max="3" width="5.5546875" hidden="1" customWidth="1"/>
    <col min="4" max="4" width="12.88671875" hidden="1" customWidth="1"/>
    <col min="5" max="5" width="8.6640625" hidden="1" customWidth="1"/>
    <col min="6" max="6" width="12.44140625" hidden="1" customWidth="1"/>
    <col min="7" max="7" width="14.5546875" hidden="1" customWidth="1"/>
    <col min="8" max="8" width="11.33203125" hidden="1" customWidth="1"/>
    <col min="9" max="9" width="13.44140625" hidden="1" customWidth="1"/>
    <col min="10" max="10" width="7.33203125" hidden="1" customWidth="1"/>
    <col min="11" max="11" width="7.5546875" hidden="1" customWidth="1"/>
    <col min="12" max="12" width="3.6640625" customWidth="1"/>
    <col min="13" max="14" width="8.6640625" customWidth="1"/>
    <col min="15" max="15" width="12.6640625" customWidth="1"/>
    <col min="16" max="16" width="14.88671875" customWidth="1"/>
    <col min="17" max="17" width="15.6640625" customWidth="1"/>
    <col min="18" max="18" width="67.109375" style="378" customWidth="1"/>
    <col min="19" max="19" width="12.44140625" customWidth="1"/>
    <col min="20" max="21" width="14.6640625" customWidth="1"/>
    <col min="22" max="22" width="10.6640625" customWidth="1"/>
    <col min="23" max="23" width="14.6640625" customWidth="1"/>
    <col min="24" max="24" width="15.6640625" customWidth="1"/>
    <col min="25" max="25" width="3.6640625" customWidth="1"/>
    <col min="26" max="26" width="3.6640625" hidden="1" customWidth="1"/>
    <col min="27" max="28" width="14.6640625" hidden="1" customWidth="1"/>
    <col min="29" max="29" width="15.6640625" customWidth="1"/>
    <col min="30" max="31" width="9.109375" hidden="1" customWidth="1"/>
    <col min="32" max="32" width="15.5546875" hidden="1" customWidth="1"/>
    <col min="33" max="33" width="15.6640625" customWidth="1"/>
    <col min="35" max="35" width="1.6640625" customWidth="1"/>
    <col min="36" max="36" width="14.6640625" customWidth="1"/>
    <col min="37" max="37" width="1.6640625" customWidth="1"/>
    <col min="38" max="38" width="14.6640625" customWidth="1"/>
    <col min="39" max="40" width="15.6640625" customWidth="1"/>
  </cols>
  <sheetData>
    <row r="1" spans="1:40" ht="17.399999999999999" x14ac:dyDescent="0.25">
      <c r="A1" s="99"/>
      <c r="B1" s="99"/>
      <c r="C1" s="99"/>
      <c r="D1" s="99"/>
      <c r="F1" s="100"/>
      <c r="G1" s="3"/>
      <c r="H1" s="99"/>
      <c r="I1" s="99"/>
      <c r="J1" s="99"/>
      <c r="K1" s="99"/>
      <c r="L1" s="99"/>
      <c r="M1" s="101"/>
      <c r="N1" s="101"/>
      <c r="O1" s="99"/>
      <c r="P1" s="99"/>
      <c r="Q1" s="99"/>
      <c r="R1" s="662" t="s">
        <v>195</v>
      </c>
      <c r="S1" s="99"/>
      <c r="T1" s="102"/>
      <c r="U1" s="99"/>
      <c r="V1" s="99"/>
      <c r="W1" s="99"/>
      <c r="X1" s="68" t="s">
        <v>141</v>
      </c>
      <c r="Y1" s="103"/>
      <c r="Z1" s="103"/>
      <c r="AA1" s="103"/>
      <c r="AB1" s="103"/>
      <c r="AC1" s="104"/>
      <c r="AD1" s="104"/>
      <c r="AG1" s="104"/>
      <c r="AH1" s="104"/>
      <c r="AN1" s="104"/>
    </row>
    <row r="2" spans="1:40" ht="15" x14ac:dyDescent="0.25">
      <c r="A2" s="104"/>
      <c r="B2" s="104"/>
      <c r="C2" s="104"/>
      <c r="D2" s="105" t="s">
        <v>196</v>
      </c>
      <c r="E2" s="105" t="s">
        <v>197</v>
      </c>
      <c r="F2" s="105" t="s">
        <v>198</v>
      </c>
      <c r="G2" s="105" t="s">
        <v>199</v>
      </c>
      <c r="H2" s="105" t="s">
        <v>200</v>
      </c>
      <c r="I2" s="105" t="s">
        <v>201</v>
      </c>
      <c r="J2" s="104"/>
      <c r="K2" s="104"/>
      <c r="L2" s="104"/>
      <c r="M2" s="104"/>
      <c r="N2" s="104"/>
      <c r="O2" s="104"/>
      <c r="P2" s="104"/>
      <c r="Q2" s="104"/>
      <c r="R2" s="663" t="str">
        <f>IF(TIPOORCAMENTO="licitado","Orçamento Licitado","Orçamento Base para Licitação")&amp;" - "&amp;import.recurso</f>
        <v>Orçamento Base para Licitação - (SELECIONAR)</v>
      </c>
      <c r="S2" s="104"/>
      <c r="T2" s="104"/>
      <c r="U2" s="104"/>
      <c r="V2" s="104"/>
      <c r="W2" s="104"/>
      <c r="X2" s="14" t="s">
        <v>144</v>
      </c>
      <c r="Y2" s="107"/>
      <c r="Z2" s="107"/>
      <c r="AA2" s="107"/>
      <c r="AB2" s="107"/>
      <c r="AC2" s="104"/>
      <c r="AD2" s="104"/>
      <c r="AH2" s="104"/>
    </row>
    <row r="3" spans="1:40" x14ac:dyDescent="0.25">
      <c r="A3" s="104"/>
      <c r="B3" s="104"/>
      <c r="C3" s="104"/>
      <c r="D3" s="104"/>
      <c r="F3" s="100"/>
      <c r="H3" s="108"/>
      <c r="I3" s="104"/>
      <c r="J3" s="104"/>
      <c r="K3" s="104"/>
      <c r="L3" s="104"/>
      <c r="M3" s="104"/>
      <c r="N3" s="104"/>
      <c r="O3" s="104"/>
      <c r="P3" s="104"/>
      <c r="Q3" s="104"/>
      <c r="R3" s="109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G3" s="104"/>
      <c r="AH3" s="104"/>
      <c r="AN3" s="104"/>
    </row>
    <row r="4" spans="1:40" x14ac:dyDescent="0.25">
      <c r="A4" s="104" t="s">
        <v>203</v>
      </c>
      <c r="B4" s="104"/>
      <c r="C4" s="104"/>
      <c r="D4" s="104"/>
      <c r="F4" s="100" t="s">
        <v>158</v>
      </c>
      <c r="G4" s="100" t="s">
        <v>193</v>
      </c>
      <c r="H4" s="100" t="s">
        <v>194</v>
      </c>
      <c r="I4" s="110">
        <v>0</v>
      </c>
      <c r="J4" s="104"/>
      <c r="K4" s="104"/>
      <c r="L4" s="104"/>
      <c r="M4" s="104"/>
      <c r="N4" s="104"/>
      <c r="O4" s="675" t="s">
        <v>147</v>
      </c>
      <c r="P4" s="675"/>
      <c r="Q4" s="111" t="s">
        <v>148</v>
      </c>
      <c r="R4" s="664" t="s">
        <v>149</v>
      </c>
      <c r="S4" s="675" t="s">
        <v>204</v>
      </c>
      <c r="T4" s="675"/>
      <c r="U4" s="675"/>
      <c r="V4" s="675"/>
      <c r="W4" s="675"/>
      <c r="X4" s="675"/>
      <c r="Y4" s="94"/>
      <c r="Z4" s="94"/>
      <c r="AA4" s="94"/>
      <c r="AB4" s="94"/>
      <c r="AC4" s="104"/>
      <c r="AG4" s="104"/>
      <c r="AH4" s="104"/>
      <c r="AN4" s="104"/>
    </row>
    <row r="5" spans="1:40" ht="12.75" customHeight="1" x14ac:dyDescent="0.25">
      <c r="A5" s="114">
        <f ca="1">MAX($C$15:$C$710)</f>
        <v>3</v>
      </c>
      <c r="B5" s="114"/>
      <c r="C5" s="114"/>
      <c r="D5" s="104"/>
      <c r="F5" s="115">
        <f ca="1">IF(BDI.Opcao="DESONERADO",BDI!$S$30,BDI!$S$29)</f>
        <v>0.22470000000000001</v>
      </c>
      <c r="G5" s="116">
        <f ca="1">IF(BDI.Opcao="DESONERADO",BDI!$S$70,BDI!$S$69)</f>
        <v>0.16800000000000001</v>
      </c>
      <c r="H5" s="116">
        <f ca="1">IF(BDI.Opcao="DESONERADO",BDI!$S$110,BDI!$S$109)</f>
        <v>0</v>
      </c>
      <c r="I5" s="104"/>
      <c r="J5" s="104"/>
      <c r="K5" s="104"/>
      <c r="L5" s="104"/>
      <c r="M5" s="104"/>
      <c r="N5" s="104"/>
      <c r="O5" s="672">
        <f>Import.CR</f>
        <v>0</v>
      </c>
      <c r="P5" s="672"/>
      <c r="Q5" s="117">
        <f>Import.SICONV</f>
        <v>0</v>
      </c>
      <c r="R5" s="118" t="str">
        <f>Import.Proponente</f>
        <v>PREFEITURA DO MUNICÍPIO DE LAGUNA</v>
      </c>
      <c r="S5" s="672" t="str">
        <f>Import.Apelido</f>
        <v xml:space="preserve">ESCOLA BILÍNGUE (PADRÃO FNDE - 5 SALAS)     </v>
      </c>
      <c r="T5" s="672"/>
      <c r="U5" s="672"/>
      <c r="V5" s="672"/>
      <c r="W5" s="672"/>
      <c r="X5" s="672"/>
      <c r="Y5" s="119"/>
      <c r="Z5" s="119"/>
      <c r="AA5" s="119"/>
      <c r="AB5" s="119"/>
      <c r="AC5" s="104"/>
      <c r="AE5" s="712" t="s">
        <v>202</v>
      </c>
      <c r="AF5" s="712"/>
    </row>
    <row r="6" spans="1:40" ht="5.0999999999999996" customHeight="1" x14ac:dyDescent="0.25">
      <c r="A6" s="114"/>
      <c r="B6" s="114"/>
      <c r="C6" s="114"/>
      <c r="D6" s="104"/>
      <c r="F6" s="100"/>
      <c r="H6" s="108"/>
      <c r="I6" s="104"/>
      <c r="J6" s="104"/>
      <c r="K6" s="104"/>
      <c r="L6" s="104"/>
      <c r="M6" s="104"/>
      <c r="N6" s="104"/>
      <c r="O6" s="121"/>
      <c r="P6" s="121"/>
      <c r="Q6" s="122"/>
      <c r="R6" s="122"/>
      <c r="S6" s="121"/>
      <c r="T6" s="121"/>
      <c r="U6" s="121"/>
      <c r="V6" s="121"/>
      <c r="W6" s="121"/>
      <c r="X6" s="121"/>
      <c r="Y6" s="119"/>
      <c r="Z6" s="119"/>
      <c r="AA6" s="119"/>
      <c r="AB6" s="119"/>
      <c r="AC6" s="123"/>
      <c r="AE6" s="112"/>
      <c r="AF6" s="113"/>
      <c r="AG6" s="104"/>
      <c r="AH6" s="104"/>
      <c r="AN6" s="104"/>
    </row>
    <row r="7" spans="1:40" ht="12.75" customHeight="1" x14ac:dyDescent="0.25">
      <c r="A7" s="104"/>
      <c r="B7" s="104"/>
      <c r="C7" s="104"/>
      <c r="D7" s="104"/>
      <c r="F7" s="100"/>
      <c r="H7" s="108"/>
      <c r="I7" s="104"/>
      <c r="J7" s="104"/>
      <c r="K7" s="104"/>
      <c r="L7" s="104"/>
      <c r="M7" s="104"/>
      <c r="N7" s="104"/>
      <c r="O7" s="675" t="s">
        <v>206</v>
      </c>
      <c r="P7" s="675"/>
      <c r="Q7" s="111" t="s">
        <v>207</v>
      </c>
      <c r="R7" s="664" t="str">
        <f>IF(TIPOORCAMENTO="Licitado","NOME DA EMPRESA","DESCRIÇÃO DO LOTE")</f>
        <v>DESCRIÇÃO DO LOTE</v>
      </c>
      <c r="S7" s="713" t="str">
        <f>IF(TIPOORCAMENTO="Licitado","REGIME DE EXECUÇÃO","MUNICÍPIO / UF")</f>
        <v>MUNICÍPIO / UF</v>
      </c>
      <c r="T7" s="713"/>
      <c r="U7" s="713"/>
      <c r="V7" s="125" t="str">
        <f>IF(TIPOORCAMENTO="Licitado","","BDI 1")</f>
        <v>BDI 1</v>
      </c>
      <c r="W7" s="125" t="str">
        <f>IF(TIPOORCAMENTO="Licitado","","BDI 2")</f>
        <v>BDI 2</v>
      </c>
      <c r="X7" s="126" t="str">
        <f>IF(TIPOORCAMENTO="Licitado","Nº CTEF","BDI 3")</f>
        <v>BDI 3</v>
      </c>
      <c r="Y7" s="125"/>
      <c r="Z7" s="125"/>
      <c r="AA7" s="127"/>
      <c r="AB7" s="127"/>
      <c r="AC7" s="100"/>
      <c r="AE7" s="112" t="s">
        <v>205</v>
      </c>
      <c r="AF7" s="120" t="b">
        <v>1</v>
      </c>
      <c r="AJ7" s="716" t="s">
        <v>209</v>
      </c>
      <c r="AL7" s="714" t="s">
        <v>210</v>
      </c>
    </row>
    <row r="8" spans="1:40" ht="12.75" customHeight="1" x14ac:dyDescent="0.25">
      <c r="A8" s="114"/>
      <c r="B8" s="114"/>
      <c r="C8" s="114"/>
      <c r="D8" s="104"/>
      <c r="F8" s="710" t="str">
        <f ca="1">IF(LEN(INFO("release"))&gt;5,"'Referência "&amp;Excel_BuiltIn_Database&amp;".xls'#Banco.$a5:$a$65536","'[Referência "&amp;Excel_BuiltIn_Database&amp;".xls]Banco'!$a5:$a$65536")</f>
        <v>'[Referência 05-2024.xls]Banco'!$a5:$a$65536</v>
      </c>
      <c r="G8" s="710"/>
      <c r="H8" s="710"/>
      <c r="I8" s="710"/>
      <c r="J8" s="710"/>
      <c r="K8" s="710"/>
      <c r="L8" s="701" t="s">
        <v>211</v>
      </c>
      <c r="M8" s="104"/>
      <c r="N8" s="104"/>
      <c r="O8" s="672" t="str">
        <f ca="1">IF(ISERROR(INDIRECT($F$9)),"(N/D: 'Referência "&amp;Excel_BuiltIn_Database&amp;".xls)",INDIRECT($F$9))</f>
        <v>(N/D: 'Referência 05-2024.xls)</v>
      </c>
      <c r="P8" s="672"/>
      <c r="Q8" s="128" t="str">
        <f ca="1">TEXT(Import.DataBase,"mm-aa")&amp;IF(DESONERACAO="Sim"," (DES.)"," (N DES.)")</f>
        <v>05-24 (N DES.)</v>
      </c>
      <c r="R8" s="118" t="str">
        <f>IF(TIPOORCAMENTO="Licitado",Import.empresa,Import.DescLote)</f>
        <v xml:space="preserve">ESCOLA BILÍNGUE (PADRÃO FNDE - 5 SALAS)     </v>
      </c>
      <c r="S8" s="711" t="str">
        <f>IF(TIPOORCAMENTO="Licitado",Import.RegimeExecução,Import.Município)</f>
        <v>LAGUNA/SC</v>
      </c>
      <c r="T8" s="711"/>
      <c r="U8" s="711"/>
      <c r="V8" s="129" t="str">
        <f ca="1">IF(TIPOORCAMENTO="Licitado","",TEXT(F5,"0,00%"))</f>
        <v>22,47%</v>
      </c>
      <c r="W8" s="129" t="str">
        <f ca="1">IF(TIPOORCAMENTO="Licitado","",TEXT(G5,"0,00%"))</f>
        <v>16,80%</v>
      </c>
      <c r="X8" s="130" t="str">
        <f ca="1">IF(TIPOORCAMENTO="Licitado",Import.CTEF,TEXT(H5,"0,00%"))</f>
        <v>0,00%</v>
      </c>
      <c r="Y8" s="701" t="s">
        <v>212</v>
      </c>
      <c r="Z8" s="701" t="s">
        <v>213</v>
      </c>
      <c r="AA8" s="131"/>
      <c r="AB8" s="131"/>
      <c r="AE8" s="112" t="s">
        <v>208</v>
      </c>
      <c r="AF8" s="120" t="b">
        <v>1</v>
      </c>
      <c r="AG8" s="104"/>
      <c r="AH8" s="104"/>
      <c r="AJ8" s="716"/>
      <c r="AL8" s="714"/>
      <c r="AN8" s="104"/>
    </row>
    <row r="9" spans="1:40" ht="12.75" customHeight="1" x14ac:dyDescent="0.25">
      <c r="A9" s="104"/>
      <c r="B9" s="104"/>
      <c r="C9" s="104"/>
      <c r="D9" s="104"/>
      <c r="F9" s="710" t="str">
        <f ca="1">IF(LEN(INFO("release"))&gt;5,"'Referência "&amp;Excel_BuiltIn_Database&amp;".xls'#Banco.$d$3","'[Referência "&amp;Excel_BuiltIn_Database&amp;".xls]Banco'!$d$3")</f>
        <v>'[Referência 05-2024.xls]Banco'!$d$3</v>
      </c>
      <c r="G9" s="710"/>
      <c r="H9" s="710"/>
      <c r="I9" s="710"/>
      <c r="J9" s="710"/>
      <c r="K9" s="710"/>
      <c r="L9" s="701"/>
      <c r="M9" s="104"/>
      <c r="N9" s="104"/>
      <c r="O9" s="16"/>
      <c r="P9" s="104"/>
      <c r="Q9" s="104"/>
      <c r="R9" s="109"/>
      <c r="S9" s="104"/>
      <c r="T9" s="104"/>
      <c r="U9" s="104"/>
      <c r="V9" s="104"/>
      <c r="W9" s="104"/>
      <c r="X9" s="104"/>
      <c r="Y9" s="701"/>
      <c r="Z9" s="701"/>
      <c r="AA9" s="104"/>
      <c r="AB9" s="104"/>
      <c r="AC9" s="104"/>
      <c r="AD9" s="104"/>
      <c r="AE9" s="112" t="s">
        <v>214</v>
      </c>
      <c r="AF9" s="120" t="b">
        <v>1</v>
      </c>
      <c r="AG9" s="104"/>
      <c r="AJ9" s="716"/>
      <c r="AL9" s="714"/>
      <c r="AN9" s="104"/>
    </row>
    <row r="10" spans="1:40" x14ac:dyDescent="0.25">
      <c r="A10" s="104"/>
      <c r="B10" s="104"/>
      <c r="C10" s="104"/>
      <c r="D10" s="104"/>
      <c r="E10" s="105"/>
      <c r="F10" s="105"/>
      <c r="G10" s="108"/>
      <c r="H10" s="108"/>
      <c r="I10" s="104"/>
      <c r="J10" s="104"/>
      <c r="K10" s="104"/>
      <c r="L10" s="701"/>
      <c r="M10" s="104"/>
      <c r="N10" s="104"/>
      <c r="O10" s="16"/>
      <c r="P10" s="104"/>
      <c r="Q10" s="104"/>
      <c r="R10" s="109"/>
      <c r="S10" s="104"/>
      <c r="T10" s="104"/>
      <c r="U10" s="104"/>
      <c r="V10" s="104"/>
      <c r="W10" s="104"/>
      <c r="X10" s="104"/>
      <c r="Y10" s="701"/>
      <c r="Z10" s="701"/>
      <c r="AC10" s="132" t="s">
        <v>216</v>
      </c>
      <c r="AD10" s="104"/>
      <c r="AE10" s="112" t="s">
        <v>215</v>
      </c>
      <c r="AF10" s="120" t="b">
        <v>1</v>
      </c>
      <c r="AG10" s="104"/>
      <c r="AH10" s="104"/>
      <c r="AJ10" s="716"/>
      <c r="AL10" s="714"/>
      <c r="AN10" s="104"/>
    </row>
    <row r="11" spans="1:40" x14ac:dyDescent="0.25">
      <c r="A11" s="104"/>
      <c r="B11" s="104"/>
      <c r="C11" s="104"/>
      <c r="D11" s="104"/>
      <c r="E11" s="105"/>
      <c r="F11" s="105"/>
      <c r="G11" s="108"/>
      <c r="H11" s="133"/>
      <c r="I11" s="104"/>
      <c r="J11" s="104"/>
      <c r="K11" s="104"/>
      <c r="L11" s="701"/>
      <c r="M11" s="104"/>
      <c r="N11" s="104"/>
      <c r="O11" s="104"/>
      <c r="P11" s="104"/>
      <c r="Q11" s="104"/>
      <c r="R11" s="109"/>
      <c r="S11" s="104"/>
      <c r="T11" s="104"/>
      <c r="U11" s="104"/>
      <c r="V11" s="104"/>
      <c r="W11" s="104"/>
      <c r="X11" s="104"/>
      <c r="Y11" s="701"/>
      <c r="Z11" s="701"/>
      <c r="AC11" s="134" t="str">
        <f ca="1">IF(COUNTIF($AC$15:OFFSET($AC$710,-1,0),"DESCRIÇÃO")+COUNTIF($AC$15:OFFSET($AC$710,-1,0),"UNIDADE")+COUNTIF($AC$15:OFFSET($AC$710,-1,0),"SEM VALOR")&gt;0,"NÃO OK","OK")</f>
        <v>OK</v>
      </c>
      <c r="AD11" s="104"/>
      <c r="AE11" s="112" t="s">
        <v>217</v>
      </c>
      <c r="AF11" s="120" t="b">
        <v>1</v>
      </c>
      <c r="AG11" s="104"/>
      <c r="AH11" s="104"/>
      <c r="AJ11" s="716"/>
      <c r="AL11" s="714"/>
      <c r="AN11" s="104"/>
    </row>
    <row r="12" spans="1:40" x14ac:dyDescent="0.25">
      <c r="A12" s="104"/>
      <c r="B12" s="104"/>
      <c r="C12" s="104"/>
      <c r="D12" s="104"/>
      <c r="E12" s="105"/>
      <c r="F12" s="105"/>
      <c r="G12" s="108"/>
      <c r="H12" s="108"/>
      <c r="I12" s="104"/>
      <c r="J12" s="104"/>
      <c r="K12" s="104"/>
      <c r="L12" s="701"/>
      <c r="M12" s="104"/>
      <c r="N12" s="104"/>
      <c r="O12" s="104"/>
      <c r="P12" s="104"/>
      <c r="Q12" s="104"/>
      <c r="R12" s="109"/>
      <c r="S12" s="104"/>
      <c r="T12" s="104"/>
      <c r="U12" s="104"/>
      <c r="V12" s="104"/>
      <c r="W12" s="104"/>
      <c r="X12" s="104"/>
      <c r="Y12" s="701"/>
      <c r="Z12" s="701"/>
      <c r="AA12" s="715" t="s">
        <v>218</v>
      </c>
      <c r="AB12" s="715"/>
      <c r="AC12" s="104"/>
      <c r="AD12" s="104"/>
      <c r="AE12" s="104"/>
      <c r="AF12" s="104"/>
      <c r="AG12" s="104"/>
      <c r="AH12" s="104"/>
      <c r="AJ12" s="135" t="s">
        <v>219</v>
      </c>
      <c r="AL12" s="638" t="s">
        <v>219</v>
      </c>
      <c r="AN12" s="104"/>
    </row>
    <row r="13" spans="1:40" ht="35.1" customHeight="1" x14ac:dyDescent="0.25">
      <c r="A13" s="136" t="s">
        <v>220</v>
      </c>
      <c r="B13" s="136" t="s">
        <v>221</v>
      </c>
      <c r="C13" s="136" t="s">
        <v>222</v>
      </c>
      <c r="D13" s="136" t="s">
        <v>223</v>
      </c>
      <c r="E13" s="136" t="s">
        <v>224</v>
      </c>
      <c r="F13" s="136" t="s">
        <v>225</v>
      </c>
      <c r="G13" s="136" t="s">
        <v>226</v>
      </c>
      <c r="H13" s="136" t="s">
        <v>227</v>
      </c>
      <c r="I13" s="136" t="s">
        <v>228</v>
      </c>
      <c r="J13" s="136" t="s">
        <v>229</v>
      </c>
      <c r="K13" s="136" t="s">
        <v>230</v>
      </c>
      <c r="L13" s="135" t="s">
        <v>219</v>
      </c>
      <c r="M13" s="136" t="s">
        <v>231</v>
      </c>
      <c r="N13" s="137" t="s">
        <v>232</v>
      </c>
      <c r="O13" s="136" t="s">
        <v>233</v>
      </c>
      <c r="P13" s="136" t="s">
        <v>234</v>
      </c>
      <c r="Q13" s="136" t="s">
        <v>235</v>
      </c>
      <c r="R13" s="136" t="s">
        <v>236</v>
      </c>
      <c r="S13" s="138" t="s">
        <v>237</v>
      </c>
      <c r="T13" s="136" t="s">
        <v>205</v>
      </c>
      <c r="U13" s="136" t="str">
        <f>IF(TIPOORCAMENTO="Licitado","","Custo Unitário (sem BDI) (R$)")</f>
        <v>Custo Unitário (sem BDI) (R$)</v>
      </c>
      <c r="V13" s="136" t="str">
        <f>IF(TIPOORCAMENTO="Licitado","","BDI
(%)")</f>
        <v>BDI
(%)</v>
      </c>
      <c r="W13" s="136" t="s">
        <v>238</v>
      </c>
      <c r="X13" s="136" t="s">
        <v>239</v>
      </c>
      <c r="Y13" s="135" t="s">
        <v>219</v>
      </c>
      <c r="Z13" s="135" t="s">
        <v>219</v>
      </c>
      <c r="AA13" s="139" t="s">
        <v>240</v>
      </c>
      <c r="AB13" s="140" t="s">
        <v>241</v>
      </c>
      <c r="AC13" s="136" t="s">
        <v>242</v>
      </c>
      <c r="AD13" s="141" t="s">
        <v>243</v>
      </c>
      <c r="AE13" s="141" t="s">
        <v>244</v>
      </c>
      <c r="AF13" s="141" t="s">
        <v>245</v>
      </c>
      <c r="AG13" s="201" t="s">
        <v>418</v>
      </c>
      <c r="AH13" s="578" t="str">
        <f>IF(TIPOORCAMENTO="LICITADO","Valor BDI Edital","Valor BDI")</f>
        <v>Valor BDI</v>
      </c>
      <c r="AJ13" s="383" t="s">
        <v>205</v>
      </c>
      <c r="AL13" s="383" t="s">
        <v>238</v>
      </c>
      <c r="AM13" s="201" t="s">
        <v>246</v>
      </c>
      <c r="AN13" s="202" t="s">
        <v>414</v>
      </c>
    </row>
    <row r="14" spans="1:40" ht="13.8" hidden="1" x14ac:dyDescent="0.3">
      <c r="A14" t="str">
        <f>CHOOSE(1+LOG(1+2*(ORÇAMENTO.Nivel="Meta")+4*(ORÇAMENTO.Nivel="Nível 2")+8*(ORÇAMENTO.Nivel="Nível 3")+16*(ORÇAMENTO.Nivel="Nível 4")+32*(ORÇAMENTO.Nivel="Serviço"),2),0,1,2,3,4,"S")</f>
        <v>S</v>
      </c>
      <c r="B14" t="str">
        <f ca="1">IF(OR(C14="s",C14=0),OFFSET(B14,-1,0),C14)</f>
        <v>Save Nivel</v>
      </c>
      <c r="C14" t="str">
        <f ca="1">IF(OFFSET(C14,-1,0)="L",1,IF(OFFSET(C14,-1,0)=1,2,IF(OR(A14="s",A14=0),"S",IF(AND(OFFSET(C14,-1,0)=2,A14=4),3,IF(AND(OR(OFFSET(C14,-1,0)="s",OFFSET(C14,-1,0)=0),A14&lt;&gt;"s",A14&gt;OFFSET(B14,-1,0)),OFFSET(B14,-1,0),A14)))))</f>
        <v>S</v>
      </c>
      <c r="D14">
        <f ca="1">IF(OR(C14="S",C14=0),0,IF(ISERROR(K14),J14,SMALL(J14:K14,1)))</f>
        <v>0</v>
      </c>
      <c r="E14" t="str">
        <f ca="1">IF($C14=1,OFFSET(E14,-1,0)+MAX(1,COUNTIF(QCI!$A$13:$A$24,OFFSET(ORÇAMENTO!E14,-1,0))),OFFSET(E14,-1,0))</f>
        <v>n1</v>
      </c>
      <c r="F14" t="str">
        <f ca="1">IF($C14=1,0,IF($C14=2,OFFSET(F14,-1,0)+1,OFFSET(F14,-1,0)))</f>
        <v>n2</v>
      </c>
      <c r="G14" t="str">
        <f ca="1">IF(AND($C14&lt;=2,$C14&lt;&gt;0),0,IF($C14=3,OFFSET(G14,-1,0)+1,OFFSET(G14,-1,0)))</f>
        <v>n3</v>
      </c>
      <c r="H14" t="str">
        <f ca="1">IF(AND($C14&lt;=3,$C14&lt;&gt;0),0,IF($C14=4,OFFSET(H14,-1,0)+1,OFFSET(H14,-1,0)))</f>
        <v>n4</v>
      </c>
      <c r="I14" t="str">
        <f ca="1">IF(AND($C14&lt;=4,$C14&lt;&gt;0),0,IF(AND($C14="S",$X14&gt;0),OFFSET(I14,-1,0)+1,OFFSET(I14,-1,0)))</f>
        <v>n5</v>
      </c>
      <c r="J14">
        <f ca="1">IF(OR($C14="S",$C14=0),0,MATCH(0,OFFSET($D14,1,$C14,ROW($C$710)-ROW($C14)),0))</f>
        <v>0</v>
      </c>
      <c r="K14">
        <f ca="1">IF(OR($C14="S",$C14=0),0,MATCH(OFFSET($D14,0,$C14)+IF($C14&lt;&gt;1,1,COUNTIF(QCI!$A$13:$A$24,ORÇAMENTO!E14)),OFFSET($D14,1,$C14,ROW($C$710)-ROW($C14)),0))</f>
        <v>0</v>
      </c>
      <c r="L14" s="143" t="str">
        <f ca="1">IF(OR($X14&gt;0,$C14=1,$C14=2,$C14=3,$C14=4),"F","")</f>
        <v/>
      </c>
      <c r="M14" s="144" t="s">
        <v>201</v>
      </c>
      <c r="N14" s="145" t="str">
        <f ca="1">CHOOSE(1+LOG(1+2*(C14=1)+4*(C14=2)+8*(C14=3)+16*(C14=4)+32*(C14="S"),2),"","Meta","Nível 2","Nível 3","Nível 4","Serviço")</f>
        <v>Serviço</v>
      </c>
      <c r="O14" s="146" t="str">
        <f ca="1">IF(OR($C14=0,$L14=""),"-",CONCATENATE(E14&amp;".",IF(AND($A$5&gt;=2,$C14&gt;=2),F14&amp;".",""),IF(AND($A$5&gt;=3,$C14&gt;=3),G14&amp;".",""),IF(AND($A$5&gt;=4,$C14&gt;=4),H14&amp;".",""),IF($C14="S",I14&amp;".","")))</f>
        <v>-</v>
      </c>
      <c r="P14" s="147" t="s">
        <v>249</v>
      </c>
      <c r="Q14" s="148"/>
      <c r="R14" s="149" t="str">
        <f ca="1">IF($C14="S",REFERENCIA.Descricao,"(digite a descrição aqui)")</f>
        <v>(abra o arquivo 'Referência 05-2024.xls)</v>
      </c>
      <c r="S14" s="150" t="str">
        <f ca="1">REFERENCIA.Unidade</f>
        <v>-</v>
      </c>
      <c r="T14" s="151">
        <f ca="1">OFFSET(CÁLCULO!H$15,ROW($T14)-ROW(T$15),0)</f>
        <v>0</v>
      </c>
      <c r="U14" s="152"/>
      <c r="V14" s="153" t="s">
        <v>158</v>
      </c>
      <c r="W14" s="151">
        <f ca="1">IF($C14="S",ROUND(IF(TIPOORCAMENTO="Proposto",ORÇAMENTO.CustoUnitario*(1+$AH14),ORÇAMENTO.PrecoUnitarioLicitado),15-13*$AF$10),0)</f>
        <v>0</v>
      </c>
      <c r="X14" s="154">
        <f ca="1">IF($C14="S",VTOTAL1,IF($C14=0,0,ROUND(SomaAgrup,15-13*$AF$11)))</f>
        <v>0</v>
      </c>
      <c r="Y14" s="155" t="s">
        <v>247</v>
      </c>
      <c r="Z14" t="str">
        <f ca="1">IF(AND($C14="S",$X14&gt;0),IF(ISBLANK($Y14),"RA",LEFT($Y14,2)),"")</f>
        <v/>
      </c>
      <c r="AA14" s="156">
        <f ca="1">IF($C14="S",IF($Z14="CP",$X14,IF($Z14="RA",(($X14)*QCI!$AA$3),0)),SomaAgrup)</f>
        <v>0</v>
      </c>
      <c r="AB14" s="157">
        <f ca="1">IF($C14="S",IF($Z14="OU",ROUND($X14,2),0),SomaAgrup)</f>
        <v>0</v>
      </c>
      <c r="AC14" s="158" t="str">
        <f ca="1">IF($N14="","",IF(ORÇAMENTO.Descricao="","DESCRIÇÃO",IF(AND($C14="S",ORÇAMENTO.Unidade=""),"UNIDADE",IF($X14&lt;0,"VALOR NEGATIVO",IF(OR(AND(TIPOORCAMENTO="Proposto",$AG14&lt;&gt;"",$AG14&gt;0,ORÇAMENTO.CustoUnitario&gt;$AG14),AND(TIPOORCAMENTO="LICITADO",ORÇAMENTO.PrecoUnitarioLicitado&gt;$AN14)),"ACIMA REF.","")))))</f>
        <v/>
      </c>
      <c r="AD14" s="104" t="str">
        <f ca="1">IF(C14&lt;=CRONO.NivelExibicao,MAX($AD$15:OFFSET(AD14,-1,0))+IF($C14&lt;&gt;1,1,MAX(1,COUNTIF(QCI!$A$13:$A$24,OFFSET($E14,-1,0)))),"")</f>
        <v/>
      </c>
      <c r="AE14" s="114" t="b">
        <f ca="1">IF(AND($C14="S",ORÇAMENTO.CodBarra&lt;&gt;""),IF(ORÇAMENTO.Fonte="",ORÇAMENTO.CodBarra,CONCATENATE(ORÇAMENTO.Fonte," ",ORÇAMENTO.CodBarra)))</f>
        <v>0</v>
      </c>
      <c r="AF14" s="159" t="str">
        <f ca="1">IF(ISERROR(INDIRECT(ORÇAMENTO.BancoRef)),"(abra o arquivo 'Referência "&amp;Excel_BuiltIn_Database&amp;".xls)",IF(OR($C14&lt;&gt;"S",ORÇAMENTO.CodBarra=""),"(Sem Código)",IF(ISERROR(MATCH($AE14,INDIRECT(ORÇAMENTO.BancoRef),0)),"(Código não identificado nas referências)",MATCH($AE14,INDIRECT(ORÇAMENTO.BancoRef),0))))</f>
        <v>(abra o arquivo 'Referência 05-2024.xls)</v>
      </c>
      <c r="AG14" s="579">
        <f ca="1">ROUND(IF(DESONERACAO="sim",REFERENCIA.Desonerado,REFERENCIA.NaoDesonerado),2)</f>
        <v>0</v>
      </c>
      <c r="AH14" s="580">
        <f ca="1">ROUND(IF(ISNUMBER(ORÇAMENTO.OpcaoBDI),ORÇAMENTO.OpcaoBDI,IF(LEFT(ORÇAMENTO.OpcaoBDI,3)="BDI",HLOOKUP(ORÇAMENTO.OpcaoBDI,$F$4:$H$5,2,FALSE),0)),15-11*$AF$9)</f>
        <v>0.22470000000000001</v>
      </c>
      <c r="AJ14" s="582"/>
      <c r="AL14" s="612"/>
      <c r="AM14" s="430">
        <f t="shared" ref="AM14:AM78" ca="1" si="0">$X14</f>
        <v>0</v>
      </c>
      <c r="AN14" s="655">
        <f ca="1">ROUND(ORÇAMENTO.CustoUnitario*(1+$AH14),2)</f>
        <v>0</v>
      </c>
    </row>
    <row r="15" spans="1:40" ht="13.8" x14ac:dyDescent="0.3">
      <c r="A15">
        <v>0</v>
      </c>
      <c r="C15" t="s">
        <v>151</v>
      </c>
      <c r="D15">
        <f ca="1">COUNTA(OFFSET(D15,1,0):D$710)</f>
        <v>694</v>
      </c>
      <c r="E15">
        <v>0</v>
      </c>
      <c r="L15" s="143" t="s">
        <v>248</v>
      </c>
      <c r="M15" s="160" t="str">
        <f>IF(TIPOORCAMENTO="LICITADO","CTEF","LOTE")</f>
        <v>LOTE</v>
      </c>
      <c r="N15" s="160" t="str">
        <f>IF(TIPOORCAMENTO="LICITADO","CTEF","LOTE")</f>
        <v>LOTE</v>
      </c>
      <c r="O15" s="703" t="str">
        <f>Import.DescLote</f>
        <v xml:space="preserve">ESCOLA BILÍNGUE (PADRÃO FNDE - 5 SALAS)     </v>
      </c>
      <c r="P15" s="703"/>
      <c r="Q15" s="703"/>
      <c r="R15" s="703"/>
      <c r="S15" s="161"/>
      <c r="T15" s="162"/>
      <c r="U15" s="162"/>
      <c r="V15" s="163"/>
      <c r="W15" s="162"/>
      <c r="X15" s="164">
        <f ca="1">SUMIF(OFFSET($C15,1,0,ROW(X710)-ROW(X15)-1),"S",OFFSET(X15,1,0,ROW(X710)-ROW(X15)-1))</f>
        <v>0</v>
      </c>
      <c r="Y15" s="114"/>
      <c r="Z15" t="str">
        <f ca="1">IF(AND($C15="S",$X15&gt;0),LEFT($Y15,2),"")</f>
        <v/>
      </c>
      <c r="AA15" s="577">
        <f ca="1">SUMIF(OFFSET($C15,1,0,ROW(AA710)-ROW(AA15)-1),"S",OFFSET(AA15,1,0,ROW(AA710)-ROW(AA15)-1))</f>
        <v>0</v>
      </c>
      <c r="AB15" s="165">
        <f ca="1">SUMIF(OFFSET($C15,1,0,ROW(AB710)-ROW(AB15)-1),"S",OFFSET(AB15,1,0,ROW(AB710)-ROW(AB15)-1))</f>
        <v>0</v>
      </c>
      <c r="AC15" s="166"/>
      <c r="AD15" s="104"/>
      <c r="AE15" s="104"/>
      <c r="AF15" s="104"/>
      <c r="AG15" s="614"/>
      <c r="AH15" s="615"/>
      <c r="AJ15" s="581"/>
      <c r="AL15" s="613"/>
      <c r="AM15" s="656">
        <f t="shared" ca="1" si="0"/>
        <v>0</v>
      </c>
      <c r="AN15" s="657"/>
    </row>
    <row r="16" spans="1:40" ht="13.8" x14ac:dyDescent="0.3">
      <c r="A16">
        <f t="shared" ref="A16:A78" si="1">CHOOSE(1+LOG(1+2*(ORÇAMENTO.Nivel="Meta")+4*(ORÇAMENTO.Nivel="Nível 2")+8*(ORÇAMENTO.Nivel="Nível 3")+16*(ORÇAMENTO.Nivel="Nível 4")+32*(ORÇAMENTO.Nivel="Serviço"),2),0,1,2,3,4,"S")</f>
        <v>1</v>
      </c>
      <c r="B16">
        <f t="shared" ref="B16:B78" ca="1" si="2">IF(OR(C16="s",C16=0),OFFSET(B16,-1,0),C16)</f>
        <v>1</v>
      </c>
      <c r="C16">
        <f t="shared" ref="C16:C78" ca="1" si="3">IF(OFFSET(C16,-1,0)="L",1,IF(OFFSET(C16,-1,0)=1,2,IF(OR(A16="s",A16=0),"S",IF(AND(OFFSET(C16,-1,0)=2,A16=4),3,IF(AND(OR(OFFSET(C16,-1,0)="s",OFFSET(C16,-1,0)=0),A16&lt;&gt;"s",A16&gt;OFFSET(B16,-1,0)),OFFSET(B16,-1,0),A16)))))</f>
        <v>1</v>
      </c>
      <c r="D16">
        <f t="shared" ref="D16:D78" ca="1" si="4">IF(OR(C16="S",C16=0),0,IF(ISERROR(K16),J16,SMALL(J16:K16,1)))</f>
        <v>686</v>
      </c>
      <c r="E16">
        <f ca="1">IF($C16=1,OFFSET(E16,-1,0)+MAX(1,COUNTIF(QCI!$A$13:$A$24,OFFSET(ORÇAMENTO!E16,-1,0))),OFFSET(E16,-1,0))</f>
        <v>1</v>
      </c>
      <c r="F16">
        <f t="shared" ref="F16:F78" ca="1" si="5">IF($C16=1,0,IF($C16=2,OFFSET(F16,-1,0)+1,OFFSET(F16,-1,0)))</f>
        <v>0</v>
      </c>
      <c r="G16">
        <f t="shared" ref="G16:G78" ca="1" si="6">IF(AND($C16&lt;=2,$C16&lt;&gt;0),0,IF($C16=3,OFFSET(G16,-1,0)+1,OFFSET(G16,-1,0)))</f>
        <v>0</v>
      </c>
      <c r="H16">
        <f t="shared" ref="H16:H78" ca="1" si="7">IF(AND($C16&lt;=3,$C16&lt;&gt;0),0,IF($C16=4,OFFSET(H16,-1,0)+1,OFFSET(H16,-1,0)))</f>
        <v>0</v>
      </c>
      <c r="I16">
        <f t="shared" ref="I16:I78" ca="1" si="8">IF(AND($C16&lt;=4,$C16&lt;&gt;0),0,IF(AND($C16="S",$X16&gt;0),OFFSET(I16,-1,0)+1,OFFSET(I16,-1,0)))</f>
        <v>0</v>
      </c>
      <c r="J16">
        <f t="shared" ref="J16:J79" ca="1" si="9">IF(OR($C16="S",$C16=0),0,MATCH(0,OFFSET($D16,1,$C16,ROW($C$710)-ROW($C16)),0))</f>
        <v>694</v>
      </c>
      <c r="K16">
        <f ca="1">IF(OR($C16="S",$C16=0),0,MATCH(OFFSET($D16,0,$C16)+IF($C16&lt;&gt;1,1,COUNTIF(QCI!$A$13:$A$24,ORÇAMENTO!E16)),OFFSET($D16,1,$C16,ROW($C$710)-ROW($C16)),0))</f>
        <v>686</v>
      </c>
      <c r="L16" s="143" t="str">
        <f t="shared" ref="L16:L78" ca="1" si="10">IF(OR($X16&gt;0,$C16=1,$C16=2,$C16=3,$C16=4),"F","")</f>
        <v>F</v>
      </c>
      <c r="M16" s="144" t="s">
        <v>197</v>
      </c>
      <c r="N16" s="145" t="str">
        <f t="shared" ref="N16:N78" ca="1" si="11">CHOOSE(1+LOG(1+2*(C16=1)+4*(C16=2)+8*(C16=3)+16*(C16=4)+32*(C16="S"),2),"","Meta","Nível 2","Nível 3","Nível 4","Serviço")</f>
        <v>Meta</v>
      </c>
      <c r="O16" s="146" t="str">
        <f t="shared" ref="O16:O78" ca="1" si="12">IF(OR($C16=0,$L16=""),"-",CONCATENATE(E16&amp;".",IF(AND($A$5&gt;=2,$C16&gt;=2),F16&amp;".",""),IF(AND($A$5&gt;=3,$C16&gt;=3),G16&amp;".",""),IF(AND($A$5&gt;=4,$C16&gt;=4),H16&amp;".",""),IF($C16="S",I16&amp;".","")))</f>
        <v>1.</v>
      </c>
      <c r="P16" s="147" t="s">
        <v>249</v>
      </c>
      <c r="Q16" s="148"/>
      <c r="R16" s="149" t="s">
        <v>585</v>
      </c>
      <c r="S16" s="150" t="s">
        <v>168</v>
      </c>
      <c r="T16" s="151">
        <f ca="1">OFFSET(CÁLCULO!H$15,ROW($T16)-ROW(T$15),0)</f>
        <v>0</v>
      </c>
      <c r="U16" s="152"/>
      <c r="V16" s="153" t="s">
        <v>158</v>
      </c>
      <c r="W16" s="151">
        <f t="shared" ref="W16:W78" ca="1" si="13">IF($C16="S",ROUND(IF(TIPOORCAMENTO="Proposto",ORÇAMENTO.CustoUnitario*(1+$AH16),ORÇAMENTO.PrecoUnitarioLicitado),15-13*$AF$10),0)</f>
        <v>0</v>
      </c>
      <c r="X16" s="154">
        <f t="shared" ref="X16:X78" ca="1" si="14">IF($C16="S",VTOTAL1,IF($C16=0,0,ROUND(SomaAgrup,15-13*$AF$11)))</f>
        <v>0</v>
      </c>
      <c r="Y16" s="155" t="s">
        <v>247</v>
      </c>
      <c r="Z16" t="str">
        <f t="shared" ref="Z16:Z78" ca="1" si="15">IF(AND($C16="S",$X16&gt;0),IF(ISBLANK($Y16),"RA",LEFT($Y16,2)),"")</f>
        <v/>
      </c>
      <c r="AA16" s="156">
        <f ca="1">IF($C16="S",IF($Z16="CP",$X16,IF($Z16="RA",(($X16)*QCI!$AA$3),0)),SomaAgrup)</f>
        <v>0</v>
      </c>
      <c r="AB16" s="157">
        <f t="shared" ref="AB16:AB78" ca="1" si="16">IF($C16="S",IF($Z16="OU",ROUND($X16,2),0),SomaAgrup)</f>
        <v>0</v>
      </c>
      <c r="AC16" s="158" t="str">
        <f t="shared" ref="AC16:AC78" ca="1" si="17">IF($N16="","",IF(ORÇAMENTO.Descricao="","DESCRIÇÃO",IF(AND($C16="S",ORÇAMENTO.Unidade=""),"UNIDADE",IF($X16&lt;0,"VALOR NEGATIVO",IF(OR(AND(TIPOORCAMENTO="Proposto",$AG16&lt;&gt;"",$AG16&gt;0,ORÇAMENTO.CustoUnitario&gt;$AG16),AND(TIPOORCAMENTO="LICITADO",ORÇAMENTO.PrecoUnitarioLicitado&gt;$AN16)),"ACIMA REF.","")))))</f>
        <v/>
      </c>
      <c r="AD16" s="104">
        <f ca="1">IF(C16&lt;=CRONO.NivelExibicao,MAX($AD$15:OFFSET(AD16,-1,0))+IF($C16&lt;&gt;1,1,MAX(1,COUNTIF(QCI!$A$13:$A$24,OFFSET($E16,-1,0)))),"")</f>
        <v>1</v>
      </c>
      <c r="AE16" s="114" t="b">
        <f t="shared" ref="AE16:AE78" ca="1" si="18">IF(AND($C16="S",ORÇAMENTO.CodBarra&lt;&gt;""),IF(ORÇAMENTO.Fonte="",ORÇAMENTO.CodBarra,CONCATENATE(ORÇAMENTO.Fonte," ",ORÇAMENTO.CodBarra)))</f>
        <v>0</v>
      </c>
      <c r="AF16" s="159" t="str">
        <f t="shared" ref="AF16:AF78" ca="1" si="19">IF(ISERROR(INDIRECT(ORÇAMENTO.BancoRef)),"(abra o arquivo 'Referência "&amp;Excel_BuiltIn_Database&amp;".xls)",IF(OR($C16&lt;&gt;"S",ORÇAMENTO.CodBarra=""),"(Sem Código)",IF(ISERROR(MATCH($AE16,INDIRECT(ORÇAMENTO.BancoRef),0)),"(Código não identificado nas referências)",MATCH($AE16,INDIRECT(ORÇAMENTO.BancoRef),0))))</f>
        <v>(abra o arquivo 'Referência 05-2024.xls)</v>
      </c>
      <c r="AG16" s="579">
        <f t="shared" ref="AG16:AG78" ca="1" si="20">ROUND(IF(DESONERACAO="sim",REFERENCIA.Desonerado,REFERENCIA.NaoDesonerado),2)</f>
        <v>0</v>
      </c>
      <c r="AH16" s="580">
        <f t="shared" ref="AH16:AH78" ca="1" si="21">ROUND(IF(ISNUMBER(ORÇAMENTO.OpcaoBDI),ORÇAMENTO.OpcaoBDI,IF(LEFT(ORÇAMENTO.OpcaoBDI,3)="BDI",HLOOKUP(ORÇAMENTO.OpcaoBDI,$F$4:$H$5,2,FALSE),0)),15-11*$AF$9)</f>
        <v>0.22470000000000001</v>
      </c>
      <c r="AJ16" s="582"/>
      <c r="AL16" s="612"/>
      <c r="AM16" s="430">
        <f t="shared" ca="1" si="0"/>
        <v>0</v>
      </c>
      <c r="AN16" s="655">
        <f t="shared" ref="AN16:AN78" ca="1" si="22">ROUND(ORÇAMENTO.CustoUnitario*(1+$AH16),2)</f>
        <v>0</v>
      </c>
    </row>
    <row r="17" spans="1:40" ht="13.8" x14ac:dyDescent="0.3">
      <c r="A17">
        <f t="shared" si="1"/>
        <v>2</v>
      </c>
      <c r="B17">
        <f t="shared" ca="1" si="2"/>
        <v>2</v>
      </c>
      <c r="C17">
        <f t="shared" ca="1" si="3"/>
        <v>2</v>
      </c>
      <c r="D17">
        <f t="shared" ca="1" si="4"/>
        <v>11</v>
      </c>
      <c r="E17">
        <f ca="1">IF($C17=1,OFFSET(E17,-1,0)+MAX(1,COUNTIF(QCI!$A$13:$A$24,OFFSET(ORÇAMENTO!E17,-1,0))),OFFSET(E17,-1,0))</f>
        <v>1</v>
      </c>
      <c r="F17">
        <f t="shared" ca="1" si="5"/>
        <v>1</v>
      </c>
      <c r="G17">
        <f t="shared" ca="1" si="6"/>
        <v>0</v>
      </c>
      <c r="H17">
        <f t="shared" ca="1" si="7"/>
        <v>0</v>
      </c>
      <c r="I17">
        <f t="shared" ca="1" si="8"/>
        <v>0</v>
      </c>
      <c r="J17">
        <f t="shared" ca="1" si="9"/>
        <v>685</v>
      </c>
      <c r="K17">
        <f ca="1">IF(OR($C17="S",$C17=0),0,MATCH(OFFSET($D17,0,$C17)+IF($C17&lt;&gt;1,1,COUNTIF(QCI!$A$13:$A$24,ORÇAMENTO!E17)),OFFSET($D17,1,$C17,ROW($C$710)-ROW($C17)),0))</f>
        <v>11</v>
      </c>
      <c r="L17" s="143" t="str">
        <f t="shared" ca="1" si="10"/>
        <v>F</v>
      </c>
      <c r="M17" s="144" t="s">
        <v>198</v>
      </c>
      <c r="N17" s="145" t="str">
        <f t="shared" ca="1" si="11"/>
        <v>Nível 2</v>
      </c>
      <c r="O17" s="146" t="str">
        <f t="shared" ca="1" si="12"/>
        <v>1.1.</v>
      </c>
      <c r="P17" s="147" t="s">
        <v>249</v>
      </c>
      <c r="Q17" s="148"/>
      <c r="R17" s="149" t="s">
        <v>478</v>
      </c>
      <c r="S17" s="150" t="s">
        <v>168</v>
      </c>
      <c r="T17" s="151">
        <f ca="1">OFFSET(CÁLCULO!H$15,ROW($T17)-ROW(T$15),0)</f>
        <v>0</v>
      </c>
      <c r="U17" s="152"/>
      <c r="V17" s="153" t="s">
        <v>158</v>
      </c>
      <c r="W17" s="151">
        <f t="shared" ca="1" si="13"/>
        <v>0</v>
      </c>
      <c r="X17" s="154">
        <f t="shared" ca="1" si="14"/>
        <v>0</v>
      </c>
      <c r="Y17" s="155" t="s">
        <v>247</v>
      </c>
      <c r="Z17" t="str">
        <f t="shared" ca="1" si="15"/>
        <v/>
      </c>
      <c r="AA17" s="156">
        <f ca="1">IF($C17="S",IF($Z17="CP",$X17,IF($Z17="RA",(($X17)*QCI!$AA$3),0)),SomaAgrup)</f>
        <v>0</v>
      </c>
      <c r="AB17" s="157">
        <f t="shared" ca="1" si="16"/>
        <v>0</v>
      </c>
      <c r="AC17" s="158" t="str">
        <f t="shared" ca="1" si="17"/>
        <v/>
      </c>
      <c r="AD17" s="104">
        <f ca="1">IF(C17&lt;=CRONO.NivelExibicao,MAX($AD$15:OFFSET(AD17,-1,0))+IF($C17&lt;&gt;1,1,MAX(1,COUNTIF(QCI!$A$13:$A$24,OFFSET($E17,-1,0)))),"")</f>
        <v>2</v>
      </c>
      <c r="AE17" s="114" t="b">
        <f t="shared" ca="1" si="18"/>
        <v>0</v>
      </c>
      <c r="AF17" s="159" t="str">
        <f t="shared" ca="1" si="19"/>
        <v>(abra o arquivo 'Referência 05-2024.xls)</v>
      </c>
      <c r="AG17" s="579">
        <f t="shared" ca="1" si="20"/>
        <v>0</v>
      </c>
      <c r="AH17" s="580">
        <f t="shared" ca="1" si="21"/>
        <v>0.22470000000000001</v>
      </c>
      <c r="AJ17" s="582"/>
      <c r="AL17" s="612"/>
      <c r="AM17" s="430">
        <f t="shared" ca="1" si="0"/>
        <v>0</v>
      </c>
      <c r="AN17" s="655">
        <f t="shared" ca="1" si="22"/>
        <v>0</v>
      </c>
    </row>
    <row r="18" spans="1:40" ht="13.8" x14ac:dyDescent="0.3">
      <c r="A18" t="str">
        <f t="shared" si="1"/>
        <v>S</v>
      </c>
      <c r="B18">
        <f t="shared" ca="1" si="2"/>
        <v>2</v>
      </c>
      <c r="C18" t="str">
        <f t="shared" ca="1" si="3"/>
        <v>S</v>
      </c>
      <c r="D18">
        <f t="shared" ca="1" si="4"/>
        <v>0</v>
      </c>
      <c r="E18">
        <f ca="1">IF($C18=1,OFFSET(E18,-1,0)+MAX(1,COUNTIF(QCI!$A$13:$A$24,OFFSET(ORÇAMENTO!E18,-1,0))),OFFSET(E18,-1,0))</f>
        <v>1</v>
      </c>
      <c r="F18">
        <f t="shared" ca="1" si="5"/>
        <v>1</v>
      </c>
      <c r="G18">
        <f t="shared" ca="1" si="6"/>
        <v>0</v>
      </c>
      <c r="H18">
        <f t="shared" ca="1" si="7"/>
        <v>0</v>
      </c>
      <c r="I18">
        <f t="shared" ca="1" si="8"/>
        <v>0</v>
      </c>
      <c r="J18">
        <f t="shared" ca="1" si="9"/>
        <v>0</v>
      </c>
      <c r="K18">
        <f ca="1">IF(OR($C18="S",$C18=0),0,MATCH(OFFSET($D18,0,$C18)+IF($C18&lt;&gt;1,1,COUNTIF(QCI!$A$13:$A$24,ORÇAMENTO!E18)),OFFSET($D18,1,$C18,ROW($C$710)-ROW($C18)),0))</f>
        <v>0</v>
      </c>
      <c r="L18" s="143" t="str">
        <f t="shared" ca="1" si="10"/>
        <v/>
      </c>
      <c r="M18" s="144" t="s">
        <v>201</v>
      </c>
      <c r="N18" s="145" t="str">
        <f t="shared" ca="1" si="11"/>
        <v>Serviço</v>
      </c>
      <c r="O18" s="146" t="str">
        <f t="shared" ca="1" si="12"/>
        <v>-</v>
      </c>
      <c r="P18" s="147" t="s">
        <v>249</v>
      </c>
      <c r="Q18" s="148">
        <v>103689</v>
      </c>
      <c r="R18" s="149" t="str">
        <f t="shared" ref="R18:R27" ca="1" si="23">IF($C18="S",REFERENCIA.Descricao,"(digite a descrição aqui)")</f>
        <v>(abra o arquivo 'Referência 05-2024.xls)</v>
      </c>
      <c r="S18" s="150" t="str">
        <f t="shared" ref="S18:S27" ca="1" si="24">REFERENCIA.Unidade</f>
        <v>-</v>
      </c>
      <c r="T18" s="151">
        <f ca="1">OFFSET(CÁLCULO!H$15,ROW($T18)-ROW(T$15),0)</f>
        <v>10</v>
      </c>
      <c r="U18" s="152">
        <f ca="1">AG18</f>
        <v>0</v>
      </c>
      <c r="V18" s="153" t="s">
        <v>158</v>
      </c>
      <c r="W18" s="151">
        <f t="shared" ca="1" si="13"/>
        <v>0</v>
      </c>
      <c r="X18" s="154">
        <f t="shared" ca="1" si="14"/>
        <v>0</v>
      </c>
      <c r="Y18" s="155" t="s">
        <v>583</v>
      </c>
      <c r="Z18" t="str">
        <f t="shared" ca="1" si="15"/>
        <v/>
      </c>
      <c r="AA18" s="156">
        <f ca="1">IF($C18="S",IF($Z18="CP",$X18,IF($Z18="RA",(($X18)*QCI!$AA$3),0)),SomaAgrup)</f>
        <v>0</v>
      </c>
      <c r="AB18" s="157">
        <f t="shared" ca="1" si="16"/>
        <v>0</v>
      </c>
      <c r="AC18" s="158" t="str">
        <f t="shared" ca="1" si="17"/>
        <v/>
      </c>
      <c r="AD18" s="104" t="str">
        <f ca="1">IF(C18&lt;=CRONO.NivelExibicao,MAX($AD$15:OFFSET(AD18,-1,0))+IF($C18&lt;&gt;1,1,MAX(1,COUNTIF(QCI!$A$13:$A$24,OFFSET($E18,-1,0)))),"")</f>
        <v/>
      </c>
      <c r="AE18" s="114" t="str">
        <f t="shared" ca="1" si="18"/>
        <v>SINAPI 103689</v>
      </c>
      <c r="AF18" s="159" t="str">
        <f t="shared" ca="1" si="19"/>
        <v>(abra o arquivo 'Referência 05-2024.xls)</v>
      </c>
      <c r="AG18" s="579">
        <f t="shared" ca="1" si="20"/>
        <v>0</v>
      </c>
      <c r="AH18" s="580">
        <f t="shared" ca="1" si="21"/>
        <v>0.22470000000000001</v>
      </c>
      <c r="AJ18" s="582">
        <v>10</v>
      </c>
      <c r="AL18" s="612"/>
      <c r="AM18" s="430">
        <f t="shared" ca="1" si="0"/>
        <v>0</v>
      </c>
      <c r="AN18" s="655">
        <f t="shared" ca="1" si="22"/>
        <v>0</v>
      </c>
    </row>
    <row r="19" spans="1:40" ht="13.8" x14ac:dyDescent="0.3">
      <c r="A19" t="str">
        <f t="shared" si="1"/>
        <v>S</v>
      </c>
      <c r="B19">
        <f t="shared" ca="1" si="2"/>
        <v>2</v>
      </c>
      <c r="C19" t="str">
        <f t="shared" ca="1" si="3"/>
        <v>S</v>
      </c>
      <c r="D19">
        <f t="shared" ca="1" si="4"/>
        <v>0</v>
      </c>
      <c r="E19">
        <f ca="1">IF($C19=1,OFFSET(E19,-1,0)+MAX(1,COUNTIF(QCI!$A$13:$A$24,OFFSET(ORÇAMENTO!E19,-1,0))),OFFSET(E19,-1,0))</f>
        <v>1</v>
      </c>
      <c r="F19">
        <f t="shared" ca="1" si="5"/>
        <v>1</v>
      </c>
      <c r="G19">
        <f t="shared" ca="1" si="6"/>
        <v>0</v>
      </c>
      <c r="H19">
        <f t="shared" ca="1" si="7"/>
        <v>0</v>
      </c>
      <c r="I19">
        <f t="shared" ca="1" si="8"/>
        <v>0</v>
      </c>
      <c r="J19">
        <f t="shared" ca="1" si="9"/>
        <v>0</v>
      </c>
      <c r="K19">
        <f ca="1">IF(OR($C19="S",$C19=0),0,MATCH(OFFSET($D19,0,$C19)+IF($C19&lt;&gt;1,1,COUNTIF(QCI!$A$13:$A$24,ORÇAMENTO!E19)),OFFSET($D19,1,$C19,ROW($C$710)-ROW($C19)),0))</f>
        <v>0</v>
      </c>
      <c r="L19" s="143" t="str">
        <f t="shared" ca="1" si="10"/>
        <v/>
      </c>
      <c r="M19" s="144" t="s">
        <v>201</v>
      </c>
      <c r="N19" s="145" t="str">
        <f t="shared" ca="1" si="11"/>
        <v>Serviço</v>
      </c>
      <c r="O19" s="146" t="str">
        <f t="shared" ca="1" si="12"/>
        <v>-</v>
      </c>
      <c r="P19" s="147" t="s">
        <v>249</v>
      </c>
      <c r="Q19" s="148">
        <v>98459</v>
      </c>
      <c r="R19" s="149" t="str">
        <f t="shared" ca="1" si="23"/>
        <v>(abra o arquivo 'Referência 05-2024.xls)</v>
      </c>
      <c r="S19" s="150" t="str">
        <f t="shared" ca="1" si="24"/>
        <v>-</v>
      </c>
      <c r="T19" s="151">
        <f ca="1">OFFSET(CÁLCULO!H$15,ROW($T19)-ROW(T$15),0)</f>
        <v>616</v>
      </c>
      <c r="U19" s="152">
        <f t="shared" ref="U19:U81" ca="1" si="25">AG19</f>
        <v>0</v>
      </c>
      <c r="V19" s="153" t="s">
        <v>158</v>
      </c>
      <c r="W19" s="151">
        <f t="shared" ca="1" si="13"/>
        <v>0</v>
      </c>
      <c r="X19" s="154">
        <f t="shared" ca="1" si="14"/>
        <v>0</v>
      </c>
      <c r="Y19" s="155" t="s">
        <v>583</v>
      </c>
      <c r="Z19" t="str">
        <f t="shared" ca="1" si="15"/>
        <v/>
      </c>
      <c r="AA19" s="156">
        <f ca="1">IF($C19="S",IF($Z19="CP",$X19,IF($Z19="RA",(($X19)*QCI!$AA$3),0)),SomaAgrup)</f>
        <v>0</v>
      </c>
      <c r="AB19" s="157">
        <f t="shared" ca="1" si="16"/>
        <v>0</v>
      </c>
      <c r="AC19" s="158" t="str">
        <f t="shared" ca="1" si="17"/>
        <v/>
      </c>
      <c r="AD19" s="104" t="str">
        <f ca="1">IF(C19&lt;=CRONO.NivelExibicao,MAX($AD$15:OFFSET(AD19,-1,0))+IF($C19&lt;&gt;1,1,MAX(1,COUNTIF(QCI!$A$13:$A$24,OFFSET($E19,-1,0)))),"")</f>
        <v/>
      </c>
      <c r="AE19" s="114" t="str">
        <f t="shared" ca="1" si="18"/>
        <v>SINAPI 98459</v>
      </c>
      <c r="AF19" s="159" t="str">
        <f t="shared" ca="1" si="19"/>
        <v>(abra o arquivo 'Referência 05-2024.xls)</v>
      </c>
      <c r="AG19" s="579">
        <f t="shared" ca="1" si="20"/>
        <v>0</v>
      </c>
      <c r="AH19" s="580">
        <f t="shared" ca="1" si="21"/>
        <v>0.22470000000000001</v>
      </c>
      <c r="AJ19" s="582">
        <v>616</v>
      </c>
      <c r="AL19" s="612"/>
      <c r="AM19" s="430">
        <f t="shared" ca="1" si="0"/>
        <v>0</v>
      </c>
      <c r="AN19" s="655">
        <f t="shared" ca="1" si="22"/>
        <v>0</v>
      </c>
    </row>
    <row r="20" spans="1:40" ht="13.8" x14ac:dyDescent="0.3">
      <c r="A20" t="str">
        <f t="shared" si="1"/>
        <v>S</v>
      </c>
      <c r="B20">
        <f t="shared" ca="1" si="2"/>
        <v>2</v>
      </c>
      <c r="C20" t="str">
        <f t="shared" ca="1" si="3"/>
        <v>S</v>
      </c>
      <c r="D20">
        <f t="shared" ca="1" si="4"/>
        <v>0</v>
      </c>
      <c r="E20">
        <f ca="1">IF($C20=1,OFFSET(E20,-1,0)+MAX(1,COUNTIF(QCI!$A$13:$A$24,OFFSET(ORÇAMENTO!E20,-1,0))),OFFSET(E20,-1,0))</f>
        <v>1</v>
      </c>
      <c r="F20">
        <f t="shared" ca="1" si="5"/>
        <v>1</v>
      </c>
      <c r="G20">
        <f t="shared" ca="1" si="6"/>
        <v>0</v>
      </c>
      <c r="H20">
        <f t="shared" ca="1" si="7"/>
        <v>0</v>
      </c>
      <c r="I20">
        <f t="shared" ca="1" si="8"/>
        <v>0</v>
      </c>
      <c r="J20">
        <f t="shared" ca="1" si="9"/>
        <v>0</v>
      </c>
      <c r="K20">
        <f ca="1">IF(OR($C20="S",$C20=0),0,MATCH(OFFSET($D20,0,$C20)+IF($C20&lt;&gt;1,1,COUNTIF(QCI!$A$13:$A$24,ORÇAMENTO!E20)),OFFSET($D20,1,$C20,ROW($C$710)-ROW($C20)),0))</f>
        <v>0</v>
      </c>
      <c r="L20" s="143" t="str">
        <f t="shared" ca="1" si="10"/>
        <v/>
      </c>
      <c r="M20" s="144" t="s">
        <v>201</v>
      </c>
      <c r="N20" s="145" t="str">
        <f t="shared" ca="1" si="11"/>
        <v>Serviço</v>
      </c>
      <c r="O20" s="146" t="str">
        <f t="shared" ca="1" si="12"/>
        <v>-</v>
      </c>
      <c r="P20" s="147" t="s">
        <v>441</v>
      </c>
      <c r="Q20" s="148" t="s">
        <v>456</v>
      </c>
      <c r="R20" s="149" t="str">
        <f t="shared" ca="1" si="23"/>
        <v>(abra o arquivo 'Referência 05-2024.xls)</v>
      </c>
      <c r="S20" s="150" t="str">
        <f t="shared" ca="1" si="24"/>
        <v>-</v>
      </c>
      <c r="T20" s="151">
        <f ca="1">OFFSET(CÁLCULO!H$15,ROW($T20)-ROW(T$15),0)</f>
        <v>1</v>
      </c>
      <c r="U20" s="152">
        <f t="shared" ca="1" si="25"/>
        <v>0</v>
      </c>
      <c r="V20" s="153" t="s">
        <v>158</v>
      </c>
      <c r="W20" s="151">
        <f t="shared" ca="1" si="13"/>
        <v>0</v>
      </c>
      <c r="X20" s="154">
        <f t="shared" ca="1" si="14"/>
        <v>0</v>
      </c>
      <c r="Y20" s="155" t="s">
        <v>583</v>
      </c>
      <c r="Z20" t="str">
        <f t="shared" ca="1" si="15"/>
        <v/>
      </c>
      <c r="AA20" s="156">
        <f ca="1">IF($C20="S",IF($Z20="CP",$X20,IF($Z20="RA",(($X20)*QCI!$AA$3),0)),SomaAgrup)</f>
        <v>0</v>
      </c>
      <c r="AB20" s="157">
        <f t="shared" ca="1" si="16"/>
        <v>0</v>
      </c>
      <c r="AC20" s="158" t="str">
        <f t="shared" ca="1" si="17"/>
        <v/>
      </c>
      <c r="AD20" s="104" t="str">
        <f ca="1">IF(C20&lt;=CRONO.NivelExibicao,MAX($AD$15:OFFSET(AD20,-1,0))+IF($C20&lt;&gt;1,1,MAX(1,COUNTIF(QCI!$A$13:$A$24,OFFSET($E20,-1,0)))),"")</f>
        <v/>
      </c>
      <c r="AE20" s="114" t="str">
        <f t="shared" ca="1" si="18"/>
        <v>Composição CP-01</v>
      </c>
      <c r="AF20" s="159" t="str">
        <f t="shared" ca="1" si="19"/>
        <v>(abra o arquivo 'Referência 05-2024.xls)</v>
      </c>
      <c r="AG20" s="579">
        <f t="shared" ca="1" si="20"/>
        <v>0</v>
      </c>
      <c r="AH20" s="580">
        <f t="shared" ca="1" si="21"/>
        <v>0.22470000000000001</v>
      </c>
      <c r="AJ20" s="582">
        <v>1</v>
      </c>
      <c r="AL20" s="612"/>
      <c r="AM20" s="430">
        <f t="shared" ca="1" si="0"/>
        <v>0</v>
      </c>
      <c r="AN20" s="655">
        <f t="shared" ca="1" si="22"/>
        <v>0</v>
      </c>
    </row>
    <row r="21" spans="1:40" ht="13.8" x14ac:dyDescent="0.3">
      <c r="A21" t="str">
        <f t="shared" si="1"/>
        <v>S</v>
      </c>
      <c r="B21">
        <f t="shared" ca="1" si="2"/>
        <v>2</v>
      </c>
      <c r="C21" t="str">
        <f t="shared" ca="1" si="3"/>
        <v>S</v>
      </c>
      <c r="D21">
        <f t="shared" ca="1" si="4"/>
        <v>0</v>
      </c>
      <c r="E21">
        <f ca="1">IF($C21=1,OFFSET(E21,-1,0)+MAX(1,COUNTIF(QCI!$A$13:$A$24,OFFSET(ORÇAMENTO!E21,-1,0))),OFFSET(E21,-1,0))</f>
        <v>1</v>
      </c>
      <c r="F21">
        <f t="shared" ca="1" si="5"/>
        <v>1</v>
      </c>
      <c r="G21">
        <f t="shared" ca="1" si="6"/>
        <v>0</v>
      </c>
      <c r="H21">
        <f t="shared" ca="1" si="7"/>
        <v>0</v>
      </c>
      <c r="I21">
        <f t="shared" ca="1" si="8"/>
        <v>0</v>
      </c>
      <c r="J21">
        <f t="shared" ca="1" si="9"/>
        <v>0</v>
      </c>
      <c r="K21">
        <f ca="1">IF(OR($C21="S",$C21=0),0,MATCH(OFFSET($D21,0,$C21)+IF($C21&lt;&gt;1,1,COUNTIF(QCI!$A$13:$A$24,ORÇAMENTO!E21)),OFFSET($D21,1,$C21,ROW($C$710)-ROW($C21)),0))</f>
        <v>0</v>
      </c>
      <c r="L21" s="143" t="str">
        <f t="shared" ca="1" si="10"/>
        <v/>
      </c>
      <c r="M21" s="144" t="s">
        <v>201</v>
      </c>
      <c r="N21" s="145" t="str">
        <f t="shared" ca="1" si="11"/>
        <v>Serviço</v>
      </c>
      <c r="O21" s="146" t="str">
        <f t="shared" ca="1" si="12"/>
        <v>-</v>
      </c>
      <c r="P21" s="147" t="s">
        <v>441</v>
      </c>
      <c r="Q21" s="148" t="s">
        <v>457</v>
      </c>
      <c r="R21" s="149" t="str">
        <f t="shared" ca="1" si="23"/>
        <v>(abra o arquivo 'Referência 05-2024.xls)</v>
      </c>
      <c r="S21" s="150" t="str">
        <f t="shared" ca="1" si="24"/>
        <v>-</v>
      </c>
      <c r="T21" s="151">
        <f ca="1">OFFSET(CÁLCULO!H$15,ROW($T21)-ROW(T$15),0)</f>
        <v>1</v>
      </c>
      <c r="U21" s="152">
        <f t="shared" ca="1" si="25"/>
        <v>0</v>
      </c>
      <c r="V21" s="153" t="s">
        <v>158</v>
      </c>
      <c r="W21" s="151">
        <f t="shared" ca="1" si="13"/>
        <v>0</v>
      </c>
      <c r="X21" s="154">
        <f t="shared" ca="1" si="14"/>
        <v>0</v>
      </c>
      <c r="Y21" s="155" t="s">
        <v>583</v>
      </c>
      <c r="Z21" t="str">
        <f t="shared" ca="1" si="15"/>
        <v/>
      </c>
      <c r="AA21" s="156">
        <f ca="1">IF($C21="S",IF($Z21="CP",$X21,IF($Z21="RA",(($X21)*QCI!$AA$3),0)),SomaAgrup)</f>
        <v>0</v>
      </c>
      <c r="AB21" s="157">
        <f t="shared" ca="1" si="16"/>
        <v>0</v>
      </c>
      <c r="AC21" s="158" t="str">
        <f t="shared" ca="1" si="17"/>
        <v/>
      </c>
      <c r="AD21" s="104" t="str">
        <f ca="1">IF(C21&lt;=CRONO.NivelExibicao,MAX($AD$15:OFFSET(AD21,-1,0))+IF($C21&lt;&gt;1,1,MAX(1,COUNTIF(QCI!$A$13:$A$24,OFFSET($E21,-1,0)))),"")</f>
        <v/>
      </c>
      <c r="AE21" s="114" t="str">
        <f t="shared" ca="1" si="18"/>
        <v>Composição CP-02</v>
      </c>
      <c r="AF21" s="159" t="str">
        <f t="shared" ca="1" si="19"/>
        <v>(abra o arquivo 'Referência 05-2024.xls)</v>
      </c>
      <c r="AG21" s="579">
        <f t="shared" ca="1" si="20"/>
        <v>0</v>
      </c>
      <c r="AH21" s="580">
        <f t="shared" ca="1" si="21"/>
        <v>0.22470000000000001</v>
      </c>
      <c r="AJ21" s="582">
        <v>1</v>
      </c>
      <c r="AL21" s="612"/>
      <c r="AM21" s="430">
        <f t="shared" ca="1" si="0"/>
        <v>0</v>
      </c>
      <c r="AN21" s="655">
        <f t="shared" ca="1" si="22"/>
        <v>0</v>
      </c>
    </row>
    <row r="22" spans="1:40" ht="13.8" x14ac:dyDescent="0.3">
      <c r="A22" t="str">
        <f t="shared" si="1"/>
        <v>S</v>
      </c>
      <c r="B22">
        <f t="shared" ca="1" si="2"/>
        <v>2</v>
      </c>
      <c r="C22" t="str">
        <f t="shared" ca="1" si="3"/>
        <v>S</v>
      </c>
      <c r="D22">
        <f t="shared" ca="1" si="4"/>
        <v>0</v>
      </c>
      <c r="E22">
        <f ca="1">IF($C22=1,OFFSET(E22,-1,0)+MAX(1,COUNTIF(QCI!$A$13:$A$24,OFFSET(ORÇAMENTO!E22,-1,0))),OFFSET(E22,-1,0))</f>
        <v>1</v>
      </c>
      <c r="F22">
        <f t="shared" ca="1" si="5"/>
        <v>1</v>
      </c>
      <c r="G22">
        <f t="shared" ca="1" si="6"/>
        <v>0</v>
      </c>
      <c r="H22">
        <f t="shared" ca="1" si="7"/>
        <v>0</v>
      </c>
      <c r="I22">
        <f t="shared" ca="1" si="8"/>
        <v>0</v>
      </c>
      <c r="J22">
        <f t="shared" ca="1" si="9"/>
        <v>0</v>
      </c>
      <c r="K22">
        <f ca="1">IF(OR($C22="S",$C22=0),0,MATCH(OFFSET($D22,0,$C22)+IF($C22&lt;&gt;1,1,COUNTIF(QCI!$A$13:$A$24,ORÇAMENTO!E22)),OFFSET($D22,1,$C22,ROW($C$710)-ROW($C22)),0))</f>
        <v>0</v>
      </c>
      <c r="L22" s="143" t="str">
        <f t="shared" ca="1" si="10"/>
        <v/>
      </c>
      <c r="M22" s="144" t="s">
        <v>201</v>
      </c>
      <c r="N22" s="145" t="str">
        <f t="shared" ca="1" si="11"/>
        <v>Serviço</v>
      </c>
      <c r="O22" s="146" t="str">
        <f t="shared" ca="1" si="12"/>
        <v>-</v>
      </c>
      <c r="P22" s="147" t="s">
        <v>441</v>
      </c>
      <c r="Q22" s="148" t="s">
        <v>446</v>
      </c>
      <c r="R22" s="149" t="str">
        <f t="shared" ca="1" si="23"/>
        <v>(abra o arquivo 'Referência 05-2024.xls)</v>
      </c>
      <c r="S22" s="150" t="str">
        <f t="shared" ca="1" si="24"/>
        <v>-</v>
      </c>
      <c r="T22" s="151">
        <f ca="1">OFFSET(CÁLCULO!H$15,ROW($T22)-ROW(T$15),0)</f>
        <v>2.52</v>
      </c>
      <c r="U22" s="152">
        <f t="shared" ca="1" si="25"/>
        <v>0</v>
      </c>
      <c r="V22" s="153" t="s">
        <v>158</v>
      </c>
      <c r="W22" s="151">
        <f t="shared" ca="1" si="13"/>
        <v>0</v>
      </c>
      <c r="X22" s="154">
        <f t="shared" ca="1" si="14"/>
        <v>0</v>
      </c>
      <c r="Y22" s="155" t="s">
        <v>583</v>
      </c>
      <c r="Z22" t="str">
        <f t="shared" ca="1" si="15"/>
        <v/>
      </c>
      <c r="AA22" s="156">
        <f ca="1">IF($C22="S",IF($Z22="CP",$X22,IF($Z22="RA",(($X22)*QCI!$AA$3),0)),SomaAgrup)</f>
        <v>0</v>
      </c>
      <c r="AB22" s="157">
        <f t="shared" ca="1" si="16"/>
        <v>0</v>
      </c>
      <c r="AC22" s="158" t="str">
        <f t="shared" ca="1" si="17"/>
        <v/>
      </c>
      <c r="AD22" s="104" t="str">
        <f ca="1">IF(C22&lt;=CRONO.NivelExibicao,MAX($AD$15:OFFSET(AD22,-1,0))+IF($C22&lt;&gt;1,1,MAX(1,COUNTIF(QCI!$A$13:$A$24,OFFSET($E22,-1,0)))),"")</f>
        <v/>
      </c>
      <c r="AE22" s="114" t="str">
        <f t="shared" ca="1" si="18"/>
        <v>Composição CP-03</v>
      </c>
      <c r="AF22" s="159" t="str">
        <f t="shared" ca="1" si="19"/>
        <v>(abra o arquivo 'Referência 05-2024.xls)</v>
      </c>
      <c r="AG22" s="579">
        <f t="shared" ca="1" si="20"/>
        <v>0</v>
      </c>
      <c r="AH22" s="580">
        <f t="shared" ca="1" si="21"/>
        <v>0.22470000000000001</v>
      </c>
      <c r="AJ22" s="582">
        <v>2.52</v>
      </c>
      <c r="AL22" s="612"/>
      <c r="AM22" s="430">
        <f t="shared" ca="1" si="0"/>
        <v>0</v>
      </c>
      <c r="AN22" s="655">
        <f t="shared" ca="1" si="22"/>
        <v>0</v>
      </c>
    </row>
    <row r="23" spans="1:40" ht="13.8" x14ac:dyDescent="0.3">
      <c r="A23" t="str">
        <f t="shared" si="1"/>
        <v>S</v>
      </c>
      <c r="B23">
        <f t="shared" ca="1" si="2"/>
        <v>2</v>
      </c>
      <c r="C23" t="str">
        <f t="shared" ca="1" si="3"/>
        <v>S</v>
      </c>
      <c r="D23">
        <f t="shared" ca="1" si="4"/>
        <v>0</v>
      </c>
      <c r="E23">
        <f ca="1">IF($C23=1,OFFSET(E23,-1,0)+MAX(1,COUNTIF(QCI!$A$13:$A$24,OFFSET(ORÇAMENTO!E23,-1,0))),OFFSET(E23,-1,0))</f>
        <v>1</v>
      </c>
      <c r="F23">
        <f t="shared" ca="1" si="5"/>
        <v>1</v>
      </c>
      <c r="G23">
        <f t="shared" ca="1" si="6"/>
        <v>0</v>
      </c>
      <c r="H23">
        <f t="shared" ca="1" si="7"/>
        <v>0</v>
      </c>
      <c r="I23">
        <f t="shared" ca="1" si="8"/>
        <v>0</v>
      </c>
      <c r="J23">
        <f t="shared" ca="1" si="9"/>
        <v>0</v>
      </c>
      <c r="K23">
        <f ca="1">IF(OR($C23="S",$C23=0),0,MATCH(OFFSET($D23,0,$C23)+IF($C23&lt;&gt;1,1,COUNTIF(QCI!$A$13:$A$24,ORÇAMENTO!E23)),OFFSET($D23,1,$C23,ROW($C$710)-ROW($C23)),0))</f>
        <v>0</v>
      </c>
      <c r="L23" s="143" t="str">
        <f t="shared" ca="1" si="10"/>
        <v/>
      </c>
      <c r="M23" s="144" t="s">
        <v>201</v>
      </c>
      <c r="N23" s="145" t="str">
        <f t="shared" ca="1" si="11"/>
        <v>Serviço</v>
      </c>
      <c r="O23" s="146" t="str">
        <f t="shared" ca="1" si="12"/>
        <v>-</v>
      </c>
      <c r="P23" s="147" t="s">
        <v>441</v>
      </c>
      <c r="Q23" s="148" t="s">
        <v>458</v>
      </c>
      <c r="R23" s="149" t="str">
        <f t="shared" ca="1" si="23"/>
        <v>(abra o arquivo 'Referência 05-2024.xls)</v>
      </c>
      <c r="S23" s="150" t="str">
        <f t="shared" ca="1" si="24"/>
        <v>-</v>
      </c>
      <c r="T23" s="151">
        <f ca="1">OFFSET(CÁLCULO!H$15,ROW($T23)-ROW(T$15),0)</f>
        <v>20</v>
      </c>
      <c r="U23" s="152">
        <f t="shared" ca="1" si="25"/>
        <v>0</v>
      </c>
      <c r="V23" s="153" t="s">
        <v>158</v>
      </c>
      <c r="W23" s="151">
        <f t="shared" ca="1" si="13"/>
        <v>0</v>
      </c>
      <c r="X23" s="154">
        <f t="shared" ca="1" si="14"/>
        <v>0</v>
      </c>
      <c r="Y23" s="155" t="s">
        <v>583</v>
      </c>
      <c r="Z23" t="str">
        <f t="shared" ca="1" si="15"/>
        <v/>
      </c>
      <c r="AA23" s="156">
        <f ca="1">IF($C23="S",IF($Z23="CP",$X23,IF($Z23="RA",(($X23)*QCI!$AA$3),0)),SomaAgrup)</f>
        <v>0</v>
      </c>
      <c r="AB23" s="157">
        <f t="shared" ca="1" si="16"/>
        <v>0</v>
      </c>
      <c r="AC23" s="158" t="str">
        <f t="shared" ca="1" si="17"/>
        <v/>
      </c>
      <c r="AD23" s="104" t="str">
        <f ca="1">IF(C23&lt;=CRONO.NivelExibicao,MAX($AD$15:OFFSET(AD23,-1,0))+IF($C23&lt;&gt;1,1,MAX(1,COUNTIF(QCI!$A$13:$A$24,OFFSET($E23,-1,0)))),"")</f>
        <v/>
      </c>
      <c r="AE23" s="114" t="str">
        <f t="shared" ca="1" si="18"/>
        <v>Composição CP-04</v>
      </c>
      <c r="AF23" s="159" t="str">
        <f t="shared" ca="1" si="19"/>
        <v>(abra o arquivo 'Referência 05-2024.xls)</v>
      </c>
      <c r="AG23" s="579">
        <f t="shared" ca="1" si="20"/>
        <v>0</v>
      </c>
      <c r="AH23" s="580">
        <f t="shared" ca="1" si="21"/>
        <v>0.22470000000000001</v>
      </c>
      <c r="AJ23" s="582">
        <v>20</v>
      </c>
      <c r="AL23" s="612"/>
      <c r="AM23" s="430">
        <f t="shared" ca="1" si="0"/>
        <v>0</v>
      </c>
      <c r="AN23" s="655">
        <f t="shared" ca="1" si="22"/>
        <v>0</v>
      </c>
    </row>
    <row r="24" spans="1:40" ht="13.8" x14ac:dyDescent="0.3">
      <c r="A24" t="str">
        <f t="shared" si="1"/>
        <v>S</v>
      </c>
      <c r="B24">
        <f t="shared" ca="1" si="2"/>
        <v>2</v>
      </c>
      <c r="C24" t="str">
        <f t="shared" ca="1" si="3"/>
        <v>S</v>
      </c>
      <c r="D24">
        <f t="shared" ca="1" si="4"/>
        <v>0</v>
      </c>
      <c r="E24">
        <f ca="1">IF($C24=1,OFFSET(E24,-1,0)+MAX(1,COUNTIF(QCI!$A$13:$A$24,OFFSET(ORÇAMENTO!E24,-1,0))),OFFSET(E24,-1,0))</f>
        <v>1</v>
      </c>
      <c r="F24">
        <f t="shared" ca="1" si="5"/>
        <v>1</v>
      </c>
      <c r="G24">
        <f t="shared" ca="1" si="6"/>
        <v>0</v>
      </c>
      <c r="H24">
        <f t="shared" ca="1" si="7"/>
        <v>0</v>
      </c>
      <c r="I24">
        <f t="shared" ca="1" si="8"/>
        <v>0</v>
      </c>
      <c r="J24">
        <f t="shared" ca="1" si="9"/>
        <v>0</v>
      </c>
      <c r="K24">
        <f ca="1">IF(OR($C24="S",$C24=0),0,MATCH(OFFSET($D24,0,$C24)+IF($C24&lt;&gt;1,1,COUNTIF(QCI!$A$13:$A$24,ORÇAMENTO!E24)),OFFSET($D24,1,$C24,ROW($C$710)-ROW($C24)),0))</f>
        <v>0</v>
      </c>
      <c r="L24" s="143" t="str">
        <f t="shared" ca="1" si="10"/>
        <v/>
      </c>
      <c r="M24" s="144" t="s">
        <v>201</v>
      </c>
      <c r="N24" s="145" t="str">
        <f t="shared" ca="1" si="11"/>
        <v>Serviço</v>
      </c>
      <c r="O24" s="146" t="str">
        <f t="shared" ca="1" si="12"/>
        <v>-</v>
      </c>
      <c r="P24" s="147" t="s">
        <v>441</v>
      </c>
      <c r="Q24" s="148" t="s">
        <v>459</v>
      </c>
      <c r="R24" s="149" t="str">
        <f t="shared" ca="1" si="23"/>
        <v>(abra o arquivo 'Referência 05-2024.xls)</v>
      </c>
      <c r="S24" s="150" t="str">
        <f t="shared" ca="1" si="24"/>
        <v>-</v>
      </c>
      <c r="T24" s="151">
        <f ca="1">OFFSET(CÁLCULO!H$15,ROW($T24)-ROW(T$15),0)</f>
        <v>20</v>
      </c>
      <c r="U24" s="152">
        <f t="shared" ca="1" si="25"/>
        <v>0</v>
      </c>
      <c r="V24" s="153" t="s">
        <v>158</v>
      </c>
      <c r="W24" s="151">
        <f t="shared" ca="1" si="13"/>
        <v>0</v>
      </c>
      <c r="X24" s="154">
        <f t="shared" ca="1" si="14"/>
        <v>0</v>
      </c>
      <c r="Y24" s="155" t="s">
        <v>583</v>
      </c>
      <c r="Z24" t="str">
        <f t="shared" ca="1" si="15"/>
        <v/>
      </c>
      <c r="AA24" s="156">
        <f ca="1">IF($C24="S",IF($Z24="CP",$X24,IF($Z24="RA",(($X24)*QCI!$AA$3),0)),SomaAgrup)</f>
        <v>0</v>
      </c>
      <c r="AB24" s="157">
        <f t="shared" ca="1" si="16"/>
        <v>0</v>
      </c>
      <c r="AC24" s="158" t="str">
        <f t="shared" ca="1" si="17"/>
        <v/>
      </c>
      <c r="AD24" s="104" t="str">
        <f ca="1">IF(C24&lt;=CRONO.NivelExibicao,MAX($AD$15:OFFSET(AD24,-1,0))+IF($C24&lt;&gt;1,1,MAX(1,COUNTIF(QCI!$A$13:$A$24,OFFSET($E24,-1,0)))),"")</f>
        <v/>
      </c>
      <c r="AE24" s="114" t="str">
        <f t="shared" ca="1" si="18"/>
        <v>Composição CP-05</v>
      </c>
      <c r="AF24" s="159" t="str">
        <f t="shared" ca="1" si="19"/>
        <v>(abra o arquivo 'Referência 05-2024.xls)</v>
      </c>
      <c r="AG24" s="579">
        <f t="shared" ca="1" si="20"/>
        <v>0</v>
      </c>
      <c r="AH24" s="580">
        <f t="shared" ca="1" si="21"/>
        <v>0.22470000000000001</v>
      </c>
      <c r="AJ24" s="582">
        <v>20</v>
      </c>
      <c r="AL24" s="612"/>
      <c r="AM24" s="430">
        <f t="shared" ca="1" si="0"/>
        <v>0</v>
      </c>
      <c r="AN24" s="655">
        <f t="shared" ca="1" si="22"/>
        <v>0</v>
      </c>
    </row>
    <row r="25" spans="1:40" ht="13.8" x14ac:dyDescent="0.3">
      <c r="A25" t="str">
        <f t="shared" si="1"/>
        <v>S</v>
      </c>
      <c r="B25">
        <f t="shared" ca="1" si="2"/>
        <v>2</v>
      </c>
      <c r="C25" t="str">
        <f t="shared" ca="1" si="3"/>
        <v>S</v>
      </c>
      <c r="D25">
        <f t="shared" ca="1" si="4"/>
        <v>0</v>
      </c>
      <c r="E25">
        <f ca="1">IF($C25=1,OFFSET(E25,-1,0)+MAX(1,COUNTIF(QCI!$A$13:$A$24,OFFSET(ORÇAMENTO!E25,-1,0))),OFFSET(E25,-1,0))</f>
        <v>1</v>
      </c>
      <c r="F25">
        <f t="shared" ca="1" si="5"/>
        <v>1</v>
      </c>
      <c r="G25">
        <f t="shared" ca="1" si="6"/>
        <v>0</v>
      </c>
      <c r="H25">
        <f t="shared" ca="1" si="7"/>
        <v>0</v>
      </c>
      <c r="I25">
        <f t="shared" ca="1" si="8"/>
        <v>0</v>
      </c>
      <c r="J25">
        <f t="shared" ca="1" si="9"/>
        <v>0</v>
      </c>
      <c r="K25">
        <f ca="1">IF(OR($C25="S",$C25=0),0,MATCH(OFFSET($D25,0,$C25)+IF($C25&lt;&gt;1,1,COUNTIF(QCI!$A$13:$A$24,ORÇAMENTO!E25)),OFFSET($D25,1,$C25,ROW($C$710)-ROW($C25)),0))</f>
        <v>0</v>
      </c>
      <c r="L25" s="143" t="str">
        <f t="shared" ca="1" si="10"/>
        <v/>
      </c>
      <c r="M25" s="144" t="s">
        <v>201</v>
      </c>
      <c r="N25" s="145" t="str">
        <f t="shared" ca="1" si="11"/>
        <v>Serviço</v>
      </c>
      <c r="O25" s="146" t="str">
        <f t="shared" ca="1" si="12"/>
        <v>-</v>
      </c>
      <c r="P25" s="147" t="s">
        <v>249</v>
      </c>
      <c r="Q25" s="148">
        <v>99059</v>
      </c>
      <c r="R25" s="149" t="str">
        <f t="shared" ca="1" si="23"/>
        <v>(abra o arquivo 'Referência 05-2024.xls)</v>
      </c>
      <c r="S25" s="150" t="str">
        <f t="shared" ca="1" si="24"/>
        <v>-</v>
      </c>
      <c r="T25" s="151">
        <f ca="1">OFFSET(CÁLCULO!H$15,ROW($T25)-ROW(T$15),0)</f>
        <v>260</v>
      </c>
      <c r="U25" s="152">
        <f t="shared" ca="1" si="25"/>
        <v>0</v>
      </c>
      <c r="V25" s="153" t="s">
        <v>158</v>
      </c>
      <c r="W25" s="151">
        <f t="shared" ca="1" si="13"/>
        <v>0</v>
      </c>
      <c r="X25" s="154">
        <f t="shared" ca="1" si="14"/>
        <v>0</v>
      </c>
      <c r="Y25" s="155" t="s">
        <v>583</v>
      </c>
      <c r="Z25" t="str">
        <f t="shared" ca="1" si="15"/>
        <v/>
      </c>
      <c r="AA25" s="156">
        <f ca="1">IF($C25="S",IF($Z25="CP",$X25,IF($Z25="RA",(($X25)*QCI!$AA$3),0)),SomaAgrup)</f>
        <v>0</v>
      </c>
      <c r="AB25" s="157">
        <f t="shared" ca="1" si="16"/>
        <v>0</v>
      </c>
      <c r="AC25" s="158" t="str">
        <f t="shared" ca="1" si="17"/>
        <v/>
      </c>
      <c r="AD25" s="104" t="str">
        <f ca="1">IF(C25&lt;=CRONO.NivelExibicao,MAX($AD$15:OFFSET(AD25,-1,0))+IF($C25&lt;&gt;1,1,MAX(1,COUNTIF(QCI!$A$13:$A$24,OFFSET($E25,-1,0)))),"")</f>
        <v/>
      </c>
      <c r="AE25" s="114" t="str">
        <f t="shared" ca="1" si="18"/>
        <v>SINAPI 99059</v>
      </c>
      <c r="AF25" s="159" t="str">
        <f t="shared" ca="1" si="19"/>
        <v>(abra o arquivo 'Referência 05-2024.xls)</v>
      </c>
      <c r="AG25" s="579">
        <f t="shared" ca="1" si="20"/>
        <v>0</v>
      </c>
      <c r="AH25" s="580">
        <f t="shared" ca="1" si="21"/>
        <v>0.22470000000000001</v>
      </c>
      <c r="AJ25" s="582">
        <v>260</v>
      </c>
      <c r="AL25" s="612"/>
      <c r="AM25" s="430">
        <f t="shared" ca="1" si="0"/>
        <v>0</v>
      </c>
      <c r="AN25" s="655">
        <f t="shared" ca="1" si="22"/>
        <v>0</v>
      </c>
    </row>
    <row r="26" spans="1:40" ht="13.8" x14ac:dyDescent="0.3">
      <c r="A26" t="str">
        <f t="shared" si="1"/>
        <v>S</v>
      </c>
      <c r="B26">
        <f t="shared" ca="1" si="2"/>
        <v>2</v>
      </c>
      <c r="C26" t="str">
        <f t="shared" ca="1" si="3"/>
        <v>S</v>
      </c>
      <c r="D26">
        <f t="shared" ca="1" si="4"/>
        <v>0</v>
      </c>
      <c r="E26">
        <f ca="1">IF($C26=1,OFFSET(E26,-1,0)+MAX(1,COUNTIF(QCI!$A$13:$A$24,OFFSET(ORÇAMENTO!E26,-1,0))),OFFSET(E26,-1,0))</f>
        <v>1</v>
      </c>
      <c r="F26">
        <f t="shared" ca="1" si="5"/>
        <v>1</v>
      </c>
      <c r="G26">
        <f t="shared" ca="1" si="6"/>
        <v>0</v>
      </c>
      <c r="H26">
        <f t="shared" ca="1" si="7"/>
        <v>0</v>
      </c>
      <c r="I26">
        <f t="shared" ca="1" si="8"/>
        <v>0</v>
      </c>
      <c r="J26">
        <f t="shared" ca="1" si="9"/>
        <v>0</v>
      </c>
      <c r="K26">
        <f ca="1">IF(OR($C26="S",$C26=0),0,MATCH(OFFSET($D26,0,$C26)+IF($C26&lt;&gt;1,1,COUNTIF(QCI!$A$13:$A$24,ORÇAMENTO!E26)),OFFSET($D26,1,$C26,ROW($C$710)-ROW($C26)),0))</f>
        <v>0</v>
      </c>
      <c r="L26" s="143" t="str">
        <f t="shared" ca="1" si="10"/>
        <v/>
      </c>
      <c r="M26" s="144" t="s">
        <v>201</v>
      </c>
      <c r="N26" s="145" t="str">
        <f t="shared" ca="1" si="11"/>
        <v>Serviço</v>
      </c>
      <c r="O26" s="146" t="str">
        <f t="shared" ca="1" si="12"/>
        <v>-</v>
      </c>
      <c r="P26" s="147" t="s">
        <v>249</v>
      </c>
      <c r="Q26" s="148">
        <v>98525</v>
      </c>
      <c r="R26" s="149" t="str">
        <f t="shared" ca="1" si="23"/>
        <v>(abra o arquivo 'Referência 05-2024.xls)</v>
      </c>
      <c r="S26" s="150" t="str">
        <f t="shared" ca="1" si="24"/>
        <v>-</v>
      </c>
      <c r="T26" s="151">
        <f ca="1">OFFSET(CÁLCULO!H$15,ROW($T26)-ROW(T$15),0)</f>
        <v>4800</v>
      </c>
      <c r="U26" s="152">
        <f t="shared" ca="1" si="25"/>
        <v>0</v>
      </c>
      <c r="V26" s="153" t="s">
        <v>158</v>
      </c>
      <c r="W26" s="151">
        <f t="shared" ca="1" si="13"/>
        <v>0</v>
      </c>
      <c r="X26" s="154">
        <f t="shared" ca="1" si="14"/>
        <v>0</v>
      </c>
      <c r="Y26" s="155" t="s">
        <v>583</v>
      </c>
      <c r="Z26" t="str">
        <f t="shared" ca="1" si="15"/>
        <v/>
      </c>
      <c r="AA26" s="156">
        <f ca="1">IF($C26="S",IF($Z26="CP",$X26,IF($Z26="RA",(($X26)*QCI!$AA$3),0)),SomaAgrup)</f>
        <v>0</v>
      </c>
      <c r="AB26" s="157">
        <f t="shared" ca="1" si="16"/>
        <v>0</v>
      </c>
      <c r="AC26" s="158" t="str">
        <f t="shared" ca="1" si="17"/>
        <v/>
      </c>
      <c r="AD26" s="104" t="str">
        <f ca="1">IF(C26&lt;=CRONO.NivelExibicao,MAX($AD$15:OFFSET(AD26,-1,0))+IF($C26&lt;&gt;1,1,MAX(1,COUNTIF(QCI!$A$13:$A$24,OFFSET($E26,-1,0)))),"")</f>
        <v/>
      </c>
      <c r="AE26" s="114" t="str">
        <f t="shared" ca="1" si="18"/>
        <v>SINAPI 98525</v>
      </c>
      <c r="AF26" s="159" t="str">
        <f t="shared" ca="1" si="19"/>
        <v>(abra o arquivo 'Referência 05-2024.xls)</v>
      </c>
      <c r="AG26" s="579">
        <f t="shared" ca="1" si="20"/>
        <v>0</v>
      </c>
      <c r="AH26" s="580">
        <f t="shared" ca="1" si="21"/>
        <v>0.22470000000000001</v>
      </c>
      <c r="AJ26" s="582">
        <v>4800</v>
      </c>
      <c r="AL26" s="612"/>
      <c r="AM26" s="430">
        <f t="shared" ca="1" si="0"/>
        <v>0</v>
      </c>
      <c r="AN26" s="655">
        <f t="shared" ca="1" si="22"/>
        <v>0</v>
      </c>
    </row>
    <row r="27" spans="1:40" ht="13.8" x14ac:dyDescent="0.3">
      <c r="A27" t="str">
        <f t="shared" si="1"/>
        <v>S</v>
      </c>
      <c r="B27">
        <f t="shared" ca="1" si="2"/>
        <v>2</v>
      </c>
      <c r="C27" t="str">
        <f t="shared" ca="1" si="3"/>
        <v>S</v>
      </c>
      <c r="D27">
        <f t="shared" ca="1" si="4"/>
        <v>0</v>
      </c>
      <c r="E27">
        <f ca="1">IF($C27=1,OFFSET(E27,-1,0)+MAX(1,COUNTIF(QCI!$A$13:$A$24,OFFSET(ORÇAMENTO!E27,-1,0))),OFFSET(E27,-1,0))</f>
        <v>1</v>
      </c>
      <c r="F27">
        <f t="shared" ca="1" si="5"/>
        <v>1</v>
      </c>
      <c r="G27">
        <f t="shared" ca="1" si="6"/>
        <v>0</v>
      </c>
      <c r="H27">
        <f t="shared" ca="1" si="7"/>
        <v>0</v>
      </c>
      <c r="I27">
        <f t="shared" ca="1" si="8"/>
        <v>0</v>
      </c>
      <c r="J27">
        <f t="shared" ca="1" si="9"/>
        <v>0</v>
      </c>
      <c r="K27">
        <f ca="1">IF(OR($C27="S",$C27=0),0,MATCH(OFFSET($D27,0,$C27)+IF($C27&lt;&gt;1,1,COUNTIF(QCI!$A$13:$A$24,ORÇAMENTO!E27)),OFFSET($D27,1,$C27,ROW($C$710)-ROW($C27)),0))</f>
        <v>0</v>
      </c>
      <c r="L27" s="143" t="str">
        <f t="shared" ca="1" si="10"/>
        <v/>
      </c>
      <c r="M27" s="144" t="s">
        <v>201</v>
      </c>
      <c r="N27" s="145" t="str">
        <f t="shared" ca="1" si="11"/>
        <v>Serviço</v>
      </c>
      <c r="O27" s="146" t="str">
        <f t="shared" ca="1" si="12"/>
        <v>-</v>
      </c>
      <c r="P27" s="147" t="s">
        <v>441</v>
      </c>
      <c r="Q27" s="148" t="s">
        <v>460</v>
      </c>
      <c r="R27" s="149" t="str">
        <f t="shared" ca="1" si="23"/>
        <v>(abra o arquivo 'Referência 05-2024.xls)</v>
      </c>
      <c r="S27" s="150" t="str">
        <f t="shared" ca="1" si="24"/>
        <v>-</v>
      </c>
      <c r="T27" s="151">
        <f ca="1">OFFSET(CÁLCULO!H$15,ROW($T27)-ROW(T$15),0)</f>
        <v>1</v>
      </c>
      <c r="U27" s="152">
        <f t="shared" ca="1" si="25"/>
        <v>0</v>
      </c>
      <c r="V27" s="153" t="s">
        <v>158</v>
      </c>
      <c r="W27" s="151">
        <f t="shared" ca="1" si="13"/>
        <v>0</v>
      </c>
      <c r="X27" s="154">
        <f t="shared" ca="1" si="14"/>
        <v>0</v>
      </c>
      <c r="Y27" s="155" t="s">
        <v>583</v>
      </c>
      <c r="Z27" t="str">
        <f t="shared" ca="1" si="15"/>
        <v/>
      </c>
      <c r="AA27" s="156">
        <f ca="1">IF($C27="S",IF($Z27="CP",$X27,IF($Z27="RA",(($X27)*QCI!$AA$3),0)),SomaAgrup)</f>
        <v>0</v>
      </c>
      <c r="AB27" s="157">
        <f t="shared" ca="1" si="16"/>
        <v>0</v>
      </c>
      <c r="AC27" s="158" t="str">
        <f t="shared" ca="1" si="17"/>
        <v/>
      </c>
      <c r="AD27" s="104" t="str">
        <f ca="1">IF(C27&lt;=CRONO.NivelExibicao,MAX($AD$15:OFFSET(AD27,-1,0))+IF($C27&lt;&gt;1,1,MAX(1,COUNTIF(QCI!$A$13:$A$24,OFFSET($E27,-1,0)))),"")</f>
        <v/>
      </c>
      <c r="AE27" s="114" t="str">
        <f t="shared" ca="1" si="18"/>
        <v>Composição CP-06</v>
      </c>
      <c r="AF27" s="159" t="str">
        <f t="shared" ca="1" si="19"/>
        <v>(abra o arquivo 'Referência 05-2024.xls)</v>
      </c>
      <c r="AG27" s="579">
        <f t="shared" ca="1" si="20"/>
        <v>0</v>
      </c>
      <c r="AH27" s="580">
        <f t="shared" ca="1" si="21"/>
        <v>0.22470000000000001</v>
      </c>
      <c r="AJ27" s="582">
        <v>1</v>
      </c>
      <c r="AL27" s="612"/>
      <c r="AM27" s="430">
        <f t="shared" ca="1" si="0"/>
        <v>0</v>
      </c>
      <c r="AN27" s="655">
        <f t="shared" ca="1" si="22"/>
        <v>0</v>
      </c>
    </row>
    <row r="28" spans="1:40" ht="13.8" x14ac:dyDescent="0.3">
      <c r="A28">
        <f t="shared" si="1"/>
        <v>2</v>
      </c>
      <c r="B28">
        <f t="shared" ca="1" si="2"/>
        <v>2</v>
      </c>
      <c r="C28">
        <f t="shared" ca="1" si="3"/>
        <v>2</v>
      </c>
      <c r="D28">
        <f t="shared" ca="1" si="4"/>
        <v>20</v>
      </c>
      <c r="E28">
        <f ca="1">IF($C28=1,OFFSET(E28,-1,0)+MAX(1,COUNTIF(QCI!$A$13:$A$24,OFFSET(ORÇAMENTO!E28,-1,0))),OFFSET(E28,-1,0))</f>
        <v>1</v>
      </c>
      <c r="F28">
        <f t="shared" ca="1" si="5"/>
        <v>2</v>
      </c>
      <c r="G28">
        <f t="shared" ca="1" si="6"/>
        <v>0</v>
      </c>
      <c r="H28">
        <f t="shared" ca="1" si="7"/>
        <v>0</v>
      </c>
      <c r="I28">
        <f t="shared" ca="1" si="8"/>
        <v>0</v>
      </c>
      <c r="J28">
        <f t="shared" ca="1" si="9"/>
        <v>674</v>
      </c>
      <c r="K28">
        <f ca="1">IF(OR($C28="S",$C28=0),0,MATCH(OFFSET($D28,0,$C28)+IF($C28&lt;&gt;1,1,COUNTIF(QCI!$A$13:$A$24,ORÇAMENTO!E28)),OFFSET($D28,1,$C28,ROW($C$710)-ROW($C28)),0))</f>
        <v>20</v>
      </c>
      <c r="L28" s="143" t="str">
        <f t="shared" ca="1" si="10"/>
        <v>F</v>
      </c>
      <c r="M28" s="144" t="s">
        <v>198</v>
      </c>
      <c r="N28" s="145" t="str">
        <f t="shared" ca="1" si="11"/>
        <v>Nível 2</v>
      </c>
      <c r="O28" s="146" t="str">
        <f t="shared" ca="1" si="12"/>
        <v>1.2.</v>
      </c>
      <c r="P28" s="147" t="s">
        <v>249</v>
      </c>
      <c r="Q28" s="148"/>
      <c r="R28" s="149" t="s">
        <v>479</v>
      </c>
      <c r="S28" s="150" t="s">
        <v>168</v>
      </c>
      <c r="T28" s="151">
        <f ca="1">OFFSET(CÁLCULO!H$15,ROW($T28)-ROW(T$15),0)</f>
        <v>0</v>
      </c>
      <c r="U28" s="152">
        <f t="shared" ca="1" si="25"/>
        <v>0</v>
      </c>
      <c r="V28" s="153" t="s">
        <v>158</v>
      </c>
      <c r="W28" s="151">
        <f t="shared" ca="1" si="13"/>
        <v>0</v>
      </c>
      <c r="X28" s="154">
        <f t="shared" ca="1" si="14"/>
        <v>0</v>
      </c>
      <c r="Y28" s="155" t="s">
        <v>583</v>
      </c>
      <c r="Z28" t="str">
        <f t="shared" ca="1" si="15"/>
        <v/>
      </c>
      <c r="AA28" s="156">
        <f ca="1">IF($C28="S",IF($Z28="CP",$X28,IF($Z28="RA",(($X28)*QCI!$AA$3),0)),SomaAgrup)</f>
        <v>0</v>
      </c>
      <c r="AB28" s="157">
        <f t="shared" ca="1" si="16"/>
        <v>0</v>
      </c>
      <c r="AC28" s="158" t="str">
        <f t="shared" ca="1" si="17"/>
        <v/>
      </c>
      <c r="AD28" s="104">
        <f ca="1">IF(C28&lt;=CRONO.NivelExibicao,MAX($AD$15:OFFSET(AD28,-1,0))+IF($C28&lt;&gt;1,1,MAX(1,COUNTIF(QCI!$A$13:$A$24,OFFSET($E28,-1,0)))),"")</f>
        <v>3</v>
      </c>
      <c r="AE28" s="114" t="b">
        <f t="shared" ca="1" si="18"/>
        <v>0</v>
      </c>
      <c r="AF28" s="159" t="str">
        <f t="shared" ca="1" si="19"/>
        <v>(abra o arquivo 'Referência 05-2024.xls)</v>
      </c>
      <c r="AG28" s="579">
        <f t="shared" ca="1" si="20"/>
        <v>0</v>
      </c>
      <c r="AH28" s="580">
        <f t="shared" ca="1" si="21"/>
        <v>0.22470000000000001</v>
      </c>
      <c r="AJ28" s="582"/>
      <c r="AL28" s="612"/>
      <c r="AM28" s="430">
        <f t="shared" ca="1" si="0"/>
        <v>0</v>
      </c>
      <c r="AN28" s="655">
        <f t="shared" ca="1" si="22"/>
        <v>0</v>
      </c>
    </row>
    <row r="29" spans="1:40" ht="13.8" x14ac:dyDescent="0.3">
      <c r="A29">
        <f t="shared" si="1"/>
        <v>3</v>
      </c>
      <c r="B29">
        <f t="shared" ca="1" si="2"/>
        <v>3</v>
      </c>
      <c r="C29">
        <f t="shared" ca="1" si="3"/>
        <v>3</v>
      </c>
      <c r="D29">
        <f t="shared" ca="1" si="4"/>
        <v>2</v>
      </c>
      <c r="E29">
        <f ca="1">IF($C29=1,OFFSET(E29,-1,0)+MAX(1,COUNTIF(QCI!$A$13:$A$24,OFFSET(ORÇAMENTO!E29,-1,0))),OFFSET(E29,-1,0))</f>
        <v>1</v>
      </c>
      <c r="F29">
        <f t="shared" ca="1" si="5"/>
        <v>2</v>
      </c>
      <c r="G29">
        <f t="shared" ca="1" si="6"/>
        <v>1</v>
      </c>
      <c r="H29">
        <f t="shared" ca="1" si="7"/>
        <v>0</v>
      </c>
      <c r="I29">
        <f t="shared" ca="1" si="8"/>
        <v>0</v>
      </c>
      <c r="J29">
        <f t="shared" ca="1" si="9"/>
        <v>19</v>
      </c>
      <c r="K29">
        <f ca="1">IF(OR($C29="S",$C29=0),0,MATCH(OFFSET($D29,0,$C29)+IF($C29&lt;&gt;1,1,COUNTIF(QCI!$A$13:$A$24,ORÇAMENTO!E29)),OFFSET($D29,1,$C29,ROW($C$710)-ROW($C29)),0))</f>
        <v>2</v>
      </c>
      <c r="L29" s="143" t="str">
        <f t="shared" ca="1" si="10"/>
        <v>F</v>
      </c>
      <c r="M29" s="144" t="s">
        <v>199</v>
      </c>
      <c r="N29" s="145" t="str">
        <f t="shared" ca="1" si="11"/>
        <v>Nível 3</v>
      </c>
      <c r="O29" s="146" t="str">
        <f t="shared" ca="1" si="12"/>
        <v>1.2.1.</v>
      </c>
      <c r="P29" s="147" t="s">
        <v>249</v>
      </c>
      <c r="Q29" s="148"/>
      <c r="R29" s="149" t="s">
        <v>480</v>
      </c>
      <c r="S29" s="150" t="s">
        <v>168</v>
      </c>
      <c r="T29" s="151">
        <f ca="1">OFFSET(CÁLCULO!H$15,ROW($T29)-ROW(T$15),0)</f>
        <v>0</v>
      </c>
      <c r="U29" s="152">
        <f t="shared" ca="1" si="25"/>
        <v>0</v>
      </c>
      <c r="V29" s="153" t="s">
        <v>158</v>
      </c>
      <c r="W29" s="151">
        <f t="shared" ca="1" si="13"/>
        <v>0</v>
      </c>
      <c r="X29" s="154">
        <f t="shared" ca="1" si="14"/>
        <v>0</v>
      </c>
      <c r="Y29" s="155" t="s">
        <v>583</v>
      </c>
      <c r="Z29" t="str">
        <f t="shared" ca="1" si="15"/>
        <v/>
      </c>
      <c r="AA29" s="156">
        <f ca="1">IF($C29="S",IF($Z29="CP",$X29,IF($Z29="RA",(($X29)*QCI!$AA$3),0)),SomaAgrup)</f>
        <v>0</v>
      </c>
      <c r="AB29" s="157">
        <f t="shared" ca="1" si="16"/>
        <v>0</v>
      </c>
      <c r="AC29" s="158" t="str">
        <f t="shared" ca="1" si="17"/>
        <v/>
      </c>
      <c r="AD29" s="104" t="str">
        <f ca="1">IF(C29&lt;=CRONO.NivelExibicao,MAX($AD$15:OFFSET(AD29,-1,0))+IF($C29&lt;&gt;1,1,MAX(1,COUNTIF(QCI!$A$13:$A$24,OFFSET($E29,-1,0)))),"")</f>
        <v/>
      </c>
      <c r="AE29" s="114" t="b">
        <f t="shared" ca="1" si="18"/>
        <v>0</v>
      </c>
      <c r="AF29" s="159" t="str">
        <f t="shared" ca="1" si="19"/>
        <v>(abra o arquivo 'Referência 05-2024.xls)</v>
      </c>
      <c r="AG29" s="579">
        <f t="shared" ca="1" si="20"/>
        <v>0</v>
      </c>
      <c r="AH29" s="580">
        <f t="shared" ca="1" si="21"/>
        <v>0.22470000000000001</v>
      </c>
      <c r="AJ29" s="582"/>
      <c r="AL29" s="612"/>
      <c r="AM29" s="430">
        <f t="shared" ca="1" si="0"/>
        <v>0</v>
      </c>
      <c r="AN29" s="655">
        <f t="shared" ca="1" si="22"/>
        <v>0</v>
      </c>
    </row>
    <row r="30" spans="1:40" ht="13.8" x14ac:dyDescent="0.3">
      <c r="A30" t="str">
        <f t="shared" si="1"/>
        <v>S</v>
      </c>
      <c r="B30">
        <f t="shared" ca="1" si="2"/>
        <v>3</v>
      </c>
      <c r="C30" t="str">
        <f t="shared" ca="1" si="3"/>
        <v>S</v>
      </c>
      <c r="D30">
        <f t="shared" ca="1" si="4"/>
        <v>0</v>
      </c>
      <c r="E30">
        <f ca="1">IF($C30=1,OFFSET(E30,-1,0)+MAX(1,COUNTIF(QCI!$A$13:$A$24,OFFSET(ORÇAMENTO!E30,-1,0))),OFFSET(E30,-1,0))</f>
        <v>1</v>
      </c>
      <c r="F30">
        <f t="shared" ca="1" si="5"/>
        <v>2</v>
      </c>
      <c r="G30">
        <f t="shared" ca="1" si="6"/>
        <v>1</v>
      </c>
      <c r="H30">
        <f t="shared" ca="1" si="7"/>
        <v>0</v>
      </c>
      <c r="I30">
        <f t="shared" ca="1" si="8"/>
        <v>0</v>
      </c>
      <c r="J30">
        <f t="shared" ca="1" si="9"/>
        <v>0</v>
      </c>
      <c r="K30">
        <f ca="1">IF(OR($C30="S",$C30=0),0,MATCH(OFFSET($D30,0,$C30)+IF($C30&lt;&gt;1,1,COUNTIF(QCI!$A$13:$A$24,ORÇAMENTO!E30)),OFFSET($D30,1,$C30,ROW($C$710)-ROW($C30)),0))</f>
        <v>0</v>
      </c>
      <c r="L30" s="143" t="str">
        <f t="shared" ca="1" si="10"/>
        <v/>
      </c>
      <c r="M30" s="144" t="s">
        <v>201</v>
      </c>
      <c r="N30" s="145" t="str">
        <f t="shared" ca="1" si="11"/>
        <v>Serviço</v>
      </c>
      <c r="O30" s="146" t="str">
        <f t="shared" ca="1" si="12"/>
        <v>-</v>
      </c>
      <c r="P30" s="147" t="s">
        <v>249</v>
      </c>
      <c r="Q30" s="148">
        <v>93358</v>
      </c>
      <c r="R30" s="149" t="str">
        <f ca="1">IF($C30="S",REFERENCIA.Descricao,"(digite a descrição aqui)")</f>
        <v>(abra o arquivo 'Referência 05-2024.xls)</v>
      </c>
      <c r="S30" s="150" t="str">
        <f ca="1">REFERENCIA.Unidade</f>
        <v>-</v>
      </c>
      <c r="T30" s="151">
        <f ca="1">OFFSET(CÁLCULO!H$15,ROW($T30)-ROW(T$15),0)</f>
        <v>577.65</v>
      </c>
      <c r="U30" s="152">
        <f t="shared" ca="1" si="25"/>
        <v>0</v>
      </c>
      <c r="V30" s="153" t="s">
        <v>158</v>
      </c>
      <c r="W30" s="151">
        <f t="shared" ca="1" si="13"/>
        <v>0</v>
      </c>
      <c r="X30" s="154">
        <f t="shared" ca="1" si="14"/>
        <v>0</v>
      </c>
      <c r="Y30" s="155" t="s">
        <v>583</v>
      </c>
      <c r="Z30" t="str">
        <f t="shared" ca="1" si="15"/>
        <v/>
      </c>
      <c r="AA30" s="156">
        <f ca="1">IF($C30="S",IF($Z30="CP",$X30,IF($Z30="RA",(($X30)*QCI!$AA$3),0)),SomaAgrup)</f>
        <v>0</v>
      </c>
      <c r="AB30" s="157">
        <f t="shared" ca="1" si="16"/>
        <v>0</v>
      </c>
      <c r="AC30" s="158" t="str">
        <f t="shared" ca="1" si="17"/>
        <v/>
      </c>
      <c r="AD30" s="104" t="str">
        <f ca="1">IF(C30&lt;=CRONO.NivelExibicao,MAX($AD$15:OFFSET(AD30,-1,0))+IF($C30&lt;&gt;1,1,MAX(1,COUNTIF(QCI!$A$13:$A$24,OFFSET($E30,-1,0)))),"")</f>
        <v/>
      </c>
      <c r="AE30" s="114" t="str">
        <f t="shared" ca="1" si="18"/>
        <v>SINAPI 93358</v>
      </c>
      <c r="AF30" s="159" t="str">
        <f t="shared" ca="1" si="19"/>
        <v>(abra o arquivo 'Referência 05-2024.xls)</v>
      </c>
      <c r="AG30" s="579">
        <f t="shared" ca="1" si="20"/>
        <v>0</v>
      </c>
      <c r="AH30" s="580">
        <f t="shared" ca="1" si="21"/>
        <v>0.22470000000000001</v>
      </c>
      <c r="AJ30" s="582">
        <v>577.65</v>
      </c>
      <c r="AL30" s="612"/>
      <c r="AM30" s="430">
        <f t="shared" ca="1" si="0"/>
        <v>0</v>
      </c>
      <c r="AN30" s="655">
        <f t="shared" ca="1" si="22"/>
        <v>0</v>
      </c>
    </row>
    <row r="31" spans="1:40" ht="13.8" x14ac:dyDescent="0.3">
      <c r="A31">
        <f t="shared" si="1"/>
        <v>3</v>
      </c>
      <c r="B31">
        <f t="shared" ca="1" si="2"/>
        <v>3</v>
      </c>
      <c r="C31">
        <f t="shared" ca="1" si="3"/>
        <v>3</v>
      </c>
      <c r="D31">
        <f t="shared" ca="1" si="4"/>
        <v>5</v>
      </c>
      <c r="E31">
        <f ca="1">IF($C31=1,OFFSET(E31,-1,0)+MAX(1,COUNTIF(QCI!$A$13:$A$24,OFFSET(ORÇAMENTO!E31,-1,0))),OFFSET(E31,-1,0))</f>
        <v>1</v>
      </c>
      <c r="F31">
        <f t="shared" ca="1" si="5"/>
        <v>2</v>
      </c>
      <c r="G31">
        <f t="shared" ca="1" si="6"/>
        <v>2</v>
      </c>
      <c r="H31">
        <f t="shared" ca="1" si="7"/>
        <v>0</v>
      </c>
      <c r="I31">
        <f t="shared" ca="1" si="8"/>
        <v>0</v>
      </c>
      <c r="J31">
        <f t="shared" ca="1" si="9"/>
        <v>17</v>
      </c>
      <c r="K31">
        <f ca="1">IF(OR($C31="S",$C31=0),0,MATCH(OFFSET($D31,0,$C31)+IF($C31&lt;&gt;1,1,COUNTIF(QCI!$A$13:$A$24,ORÇAMENTO!E31)),OFFSET($D31,1,$C31,ROW($C$710)-ROW($C31)),0))</f>
        <v>5</v>
      </c>
      <c r="L31" s="143" t="str">
        <f t="shared" ca="1" si="10"/>
        <v>F</v>
      </c>
      <c r="M31" s="144" t="s">
        <v>199</v>
      </c>
      <c r="N31" s="145" t="str">
        <f t="shared" ca="1" si="11"/>
        <v>Nível 3</v>
      </c>
      <c r="O31" s="146" t="str">
        <f t="shared" ca="1" si="12"/>
        <v>1.2.2.</v>
      </c>
      <c r="P31" s="147" t="s">
        <v>249</v>
      </c>
      <c r="Q31" s="148"/>
      <c r="R31" s="149" t="s">
        <v>481</v>
      </c>
      <c r="S31" s="150" t="s">
        <v>168</v>
      </c>
      <c r="T31" s="151">
        <f ca="1">OFFSET(CÁLCULO!H$15,ROW($T31)-ROW(T$15),0)</f>
        <v>0</v>
      </c>
      <c r="U31" s="152">
        <f t="shared" ca="1" si="25"/>
        <v>0</v>
      </c>
      <c r="V31" s="153" t="s">
        <v>158</v>
      </c>
      <c r="W31" s="151">
        <f t="shared" ca="1" si="13"/>
        <v>0</v>
      </c>
      <c r="X31" s="154">
        <f t="shared" ca="1" si="14"/>
        <v>0</v>
      </c>
      <c r="Y31" s="155" t="s">
        <v>583</v>
      </c>
      <c r="Z31" t="str">
        <f t="shared" ca="1" si="15"/>
        <v/>
      </c>
      <c r="AA31" s="156">
        <f ca="1">IF($C31="S",IF($Z31="CP",$X31,IF($Z31="RA",(($X31)*QCI!$AA$3),0)),SomaAgrup)</f>
        <v>0</v>
      </c>
      <c r="AB31" s="157">
        <f t="shared" ca="1" si="16"/>
        <v>0</v>
      </c>
      <c r="AC31" s="158" t="str">
        <f t="shared" ca="1" si="17"/>
        <v/>
      </c>
      <c r="AD31" s="104" t="str">
        <f ca="1">IF(C31&lt;=CRONO.NivelExibicao,MAX($AD$15:OFFSET(AD31,-1,0))+IF($C31&lt;&gt;1,1,MAX(1,COUNTIF(QCI!$A$13:$A$24,OFFSET($E31,-1,0)))),"")</f>
        <v/>
      </c>
      <c r="AE31" s="114" t="b">
        <f t="shared" ca="1" si="18"/>
        <v>0</v>
      </c>
      <c r="AF31" s="159" t="str">
        <f t="shared" ca="1" si="19"/>
        <v>(abra o arquivo 'Referência 05-2024.xls)</v>
      </c>
      <c r="AG31" s="579">
        <f t="shared" ca="1" si="20"/>
        <v>0</v>
      </c>
      <c r="AH31" s="580">
        <f t="shared" ca="1" si="21"/>
        <v>0.22470000000000001</v>
      </c>
      <c r="AJ31" s="582"/>
      <c r="AL31" s="612"/>
      <c r="AM31" s="430">
        <f t="shared" ca="1" si="0"/>
        <v>0</v>
      </c>
      <c r="AN31" s="655">
        <f t="shared" ca="1" si="22"/>
        <v>0</v>
      </c>
    </row>
    <row r="32" spans="1:40" ht="13.8" x14ac:dyDescent="0.3">
      <c r="A32" t="str">
        <f t="shared" si="1"/>
        <v>S</v>
      </c>
      <c r="B32">
        <f t="shared" ca="1" si="2"/>
        <v>3</v>
      </c>
      <c r="C32" t="str">
        <f t="shared" ca="1" si="3"/>
        <v>S</v>
      </c>
      <c r="D32">
        <f t="shared" ca="1" si="4"/>
        <v>0</v>
      </c>
      <c r="E32">
        <f ca="1">IF($C32=1,OFFSET(E32,-1,0)+MAX(1,COUNTIF(QCI!$A$13:$A$24,OFFSET(ORÇAMENTO!E32,-1,0))),OFFSET(E32,-1,0))</f>
        <v>1</v>
      </c>
      <c r="F32">
        <f t="shared" ca="1" si="5"/>
        <v>2</v>
      </c>
      <c r="G32">
        <f t="shared" ca="1" si="6"/>
        <v>2</v>
      </c>
      <c r="H32">
        <f t="shared" ca="1" si="7"/>
        <v>0</v>
      </c>
      <c r="I32">
        <f t="shared" ca="1" si="8"/>
        <v>0</v>
      </c>
      <c r="J32">
        <f t="shared" ca="1" si="9"/>
        <v>0</v>
      </c>
      <c r="K32">
        <f ca="1">IF(OR($C32="S",$C32=0),0,MATCH(OFFSET($D32,0,$C32)+IF($C32&lt;&gt;1,1,COUNTIF(QCI!$A$13:$A$24,ORÇAMENTO!E32)),OFFSET($D32,1,$C32,ROW($C$710)-ROW($C32)),0))</f>
        <v>0</v>
      </c>
      <c r="L32" s="143" t="str">
        <f t="shared" ca="1" si="10"/>
        <v/>
      </c>
      <c r="M32" s="144" t="s">
        <v>201</v>
      </c>
      <c r="N32" s="145" t="str">
        <f t="shared" ca="1" si="11"/>
        <v>Serviço</v>
      </c>
      <c r="O32" s="146" t="str">
        <f t="shared" ca="1" si="12"/>
        <v>-</v>
      </c>
      <c r="P32" s="147" t="s">
        <v>249</v>
      </c>
      <c r="Q32" s="148">
        <v>94318</v>
      </c>
      <c r="R32" s="149" t="str">
        <f ca="1">IF($C32="S",REFERENCIA.Descricao,"(digite a descrição aqui)")</f>
        <v>(abra o arquivo 'Referência 05-2024.xls)</v>
      </c>
      <c r="S32" s="150" t="str">
        <f ca="1">REFERENCIA.Unidade</f>
        <v>-</v>
      </c>
      <c r="T32" s="151">
        <f ca="1">OFFSET(CÁLCULO!H$15,ROW($T32)-ROW(T$15),0)</f>
        <v>229.63</v>
      </c>
      <c r="U32" s="152">
        <f t="shared" ca="1" si="25"/>
        <v>0</v>
      </c>
      <c r="V32" s="153" t="s">
        <v>158</v>
      </c>
      <c r="W32" s="151">
        <f t="shared" ca="1" si="13"/>
        <v>0</v>
      </c>
      <c r="X32" s="154">
        <f t="shared" ca="1" si="14"/>
        <v>0</v>
      </c>
      <c r="Y32" s="155" t="s">
        <v>583</v>
      </c>
      <c r="Z32" t="str">
        <f t="shared" ca="1" si="15"/>
        <v/>
      </c>
      <c r="AA32" s="156">
        <f ca="1">IF($C32="S",IF($Z32="CP",$X32,IF($Z32="RA",(($X32)*QCI!$AA$3),0)),SomaAgrup)</f>
        <v>0</v>
      </c>
      <c r="AB32" s="157">
        <f t="shared" ca="1" si="16"/>
        <v>0</v>
      </c>
      <c r="AC32" s="158" t="str">
        <f t="shared" ca="1" si="17"/>
        <v/>
      </c>
      <c r="AD32" s="104" t="str">
        <f ca="1">IF(C32&lt;=CRONO.NivelExibicao,MAX($AD$15:OFFSET(AD32,-1,0))+IF($C32&lt;&gt;1,1,MAX(1,COUNTIF(QCI!$A$13:$A$24,OFFSET($E32,-1,0)))),"")</f>
        <v/>
      </c>
      <c r="AE32" s="114" t="str">
        <f t="shared" ca="1" si="18"/>
        <v>SINAPI 94318</v>
      </c>
      <c r="AF32" s="159" t="str">
        <f t="shared" ca="1" si="19"/>
        <v>(abra o arquivo 'Referência 05-2024.xls)</v>
      </c>
      <c r="AG32" s="579">
        <f t="shared" ca="1" si="20"/>
        <v>0</v>
      </c>
      <c r="AH32" s="580">
        <f t="shared" ca="1" si="21"/>
        <v>0.22470000000000001</v>
      </c>
      <c r="AJ32" s="582">
        <v>229.63</v>
      </c>
      <c r="AL32" s="612"/>
      <c r="AM32" s="430">
        <f t="shared" ca="1" si="0"/>
        <v>0</v>
      </c>
      <c r="AN32" s="655">
        <f t="shared" ca="1" si="22"/>
        <v>0</v>
      </c>
    </row>
    <row r="33" spans="1:40" ht="13.8" x14ac:dyDescent="0.3">
      <c r="A33" t="str">
        <f t="shared" si="1"/>
        <v>S</v>
      </c>
      <c r="B33">
        <f t="shared" ca="1" si="2"/>
        <v>3</v>
      </c>
      <c r="C33" t="str">
        <f t="shared" ca="1" si="3"/>
        <v>S</v>
      </c>
      <c r="D33">
        <f t="shared" ca="1" si="4"/>
        <v>0</v>
      </c>
      <c r="E33">
        <f ca="1">IF($C33=1,OFFSET(E33,-1,0)+MAX(1,COUNTIF(QCI!$A$13:$A$24,OFFSET(ORÇAMENTO!E33,-1,0))),OFFSET(E33,-1,0))</f>
        <v>1</v>
      </c>
      <c r="F33">
        <f t="shared" ca="1" si="5"/>
        <v>2</v>
      </c>
      <c r="G33">
        <f t="shared" ca="1" si="6"/>
        <v>2</v>
      </c>
      <c r="H33">
        <f t="shared" ca="1" si="7"/>
        <v>0</v>
      </c>
      <c r="I33">
        <f t="shared" ca="1" si="8"/>
        <v>0</v>
      </c>
      <c r="J33">
        <f t="shared" ca="1" si="9"/>
        <v>0</v>
      </c>
      <c r="K33">
        <f ca="1">IF(OR($C33="S",$C33=0),0,MATCH(OFFSET($D33,0,$C33)+IF($C33&lt;&gt;1,1,COUNTIF(QCI!$A$13:$A$24,ORÇAMENTO!E33)),OFFSET($D33,1,$C33,ROW($C$710)-ROW($C33)),0))</f>
        <v>0</v>
      </c>
      <c r="L33" s="143" t="str">
        <f t="shared" ca="1" si="10"/>
        <v/>
      </c>
      <c r="M33" s="144" t="s">
        <v>201</v>
      </c>
      <c r="N33" s="145" t="str">
        <f t="shared" ca="1" si="11"/>
        <v>Serviço</v>
      </c>
      <c r="O33" s="146" t="str">
        <f t="shared" ca="1" si="12"/>
        <v>-</v>
      </c>
      <c r="P33" s="147" t="s">
        <v>249</v>
      </c>
      <c r="Q33" s="148">
        <v>96525</v>
      </c>
      <c r="R33" s="149" t="str">
        <f ca="1">IF($C33="S",REFERENCIA.Descricao,"(digite a descrição aqui)")</f>
        <v>(abra o arquivo 'Referência 05-2024.xls)</v>
      </c>
      <c r="S33" s="150" t="str">
        <f ca="1">REFERENCIA.Unidade</f>
        <v>-</v>
      </c>
      <c r="T33" s="151">
        <f ca="1">OFFSET(CÁLCULO!H$15,ROW($T33)-ROW(T$15),0)</f>
        <v>276.35000000000002</v>
      </c>
      <c r="U33" s="152">
        <f t="shared" ca="1" si="25"/>
        <v>0</v>
      </c>
      <c r="V33" s="153" t="s">
        <v>158</v>
      </c>
      <c r="W33" s="151">
        <f t="shared" ca="1" si="13"/>
        <v>0</v>
      </c>
      <c r="X33" s="154">
        <f t="shared" ca="1" si="14"/>
        <v>0</v>
      </c>
      <c r="Y33" s="155" t="s">
        <v>583</v>
      </c>
      <c r="Z33" t="str">
        <f t="shared" ca="1" si="15"/>
        <v/>
      </c>
      <c r="AA33" s="156">
        <f ca="1">IF($C33="S",IF($Z33="CP",$X33,IF($Z33="RA",(($X33)*QCI!$AA$3),0)),SomaAgrup)</f>
        <v>0</v>
      </c>
      <c r="AB33" s="157">
        <f t="shared" ca="1" si="16"/>
        <v>0</v>
      </c>
      <c r="AC33" s="158" t="str">
        <f t="shared" ca="1" si="17"/>
        <v/>
      </c>
      <c r="AD33" s="104" t="str">
        <f ca="1">IF(C33&lt;=CRONO.NivelExibicao,MAX($AD$15:OFFSET(AD33,-1,0))+IF($C33&lt;&gt;1,1,MAX(1,COUNTIF(QCI!$A$13:$A$24,OFFSET($E33,-1,0)))),"")</f>
        <v/>
      </c>
      <c r="AE33" s="114" t="str">
        <f t="shared" ca="1" si="18"/>
        <v>SINAPI 96525</v>
      </c>
      <c r="AF33" s="159" t="str">
        <f t="shared" ca="1" si="19"/>
        <v>(abra o arquivo 'Referência 05-2024.xls)</v>
      </c>
      <c r="AG33" s="579">
        <f t="shared" ca="1" si="20"/>
        <v>0</v>
      </c>
      <c r="AH33" s="580">
        <f t="shared" ca="1" si="21"/>
        <v>0.22470000000000001</v>
      </c>
      <c r="AJ33" s="582">
        <v>276.35000000000002</v>
      </c>
      <c r="AL33" s="612"/>
      <c r="AM33" s="430">
        <f t="shared" ca="1" si="0"/>
        <v>0</v>
      </c>
      <c r="AN33" s="655">
        <f t="shared" ca="1" si="22"/>
        <v>0</v>
      </c>
    </row>
    <row r="34" spans="1:40" ht="13.8" x14ac:dyDescent="0.3">
      <c r="A34" t="str">
        <f t="shared" si="1"/>
        <v>S</v>
      </c>
      <c r="B34">
        <f t="shared" ca="1" si="2"/>
        <v>3</v>
      </c>
      <c r="C34" t="str">
        <f t="shared" ca="1" si="3"/>
        <v>S</v>
      </c>
      <c r="D34">
        <f t="shared" ca="1" si="4"/>
        <v>0</v>
      </c>
      <c r="E34">
        <f ca="1">IF($C34=1,OFFSET(E34,-1,0)+MAX(1,COUNTIF(QCI!$A$13:$A$24,OFFSET(ORÇAMENTO!E34,-1,0))),OFFSET(E34,-1,0))</f>
        <v>1</v>
      </c>
      <c r="F34">
        <f t="shared" ca="1" si="5"/>
        <v>2</v>
      </c>
      <c r="G34">
        <f t="shared" ca="1" si="6"/>
        <v>2</v>
      </c>
      <c r="H34">
        <f t="shared" ca="1" si="7"/>
        <v>0</v>
      </c>
      <c r="I34">
        <f t="shared" ca="1" si="8"/>
        <v>0</v>
      </c>
      <c r="J34">
        <f t="shared" ca="1" si="9"/>
        <v>0</v>
      </c>
      <c r="K34">
        <f ca="1">IF(OR($C34="S",$C34=0),0,MATCH(OFFSET($D34,0,$C34)+IF($C34&lt;&gt;1,1,COUNTIF(QCI!$A$13:$A$24,ORÇAMENTO!E34)),OFFSET($D34,1,$C34,ROW($C$710)-ROW($C34)),0))</f>
        <v>0</v>
      </c>
      <c r="L34" s="143" t="str">
        <f t="shared" ca="1" si="10"/>
        <v/>
      </c>
      <c r="M34" s="144" t="s">
        <v>201</v>
      </c>
      <c r="N34" s="145" t="str">
        <f t="shared" ca="1" si="11"/>
        <v>Serviço</v>
      </c>
      <c r="O34" s="146" t="str">
        <f t="shared" ca="1" si="12"/>
        <v>-</v>
      </c>
      <c r="P34" s="147" t="s">
        <v>249</v>
      </c>
      <c r="Q34" s="148">
        <v>101617</v>
      </c>
      <c r="R34" s="149" t="str">
        <f ca="1">IF($C34="S",REFERENCIA.Descricao,"(digite a descrição aqui)")</f>
        <v>(abra o arquivo 'Referência 05-2024.xls)</v>
      </c>
      <c r="S34" s="150" t="str">
        <f ca="1">REFERENCIA.Unidade</f>
        <v>-</v>
      </c>
      <c r="T34" s="151">
        <f ca="1">OFFSET(CÁLCULO!H$15,ROW($T34)-ROW(T$15),0)</f>
        <v>279.12</v>
      </c>
      <c r="U34" s="152">
        <f t="shared" ca="1" si="25"/>
        <v>0</v>
      </c>
      <c r="V34" s="153" t="s">
        <v>158</v>
      </c>
      <c r="W34" s="151">
        <f t="shared" ca="1" si="13"/>
        <v>0</v>
      </c>
      <c r="X34" s="154">
        <f t="shared" ca="1" si="14"/>
        <v>0</v>
      </c>
      <c r="Y34" s="155" t="s">
        <v>583</v>
      </c>
      <c r="Z34" t="str">
        <f t="shared" ca="1" si="15"/>
        <v/>
      </c>
      <c r="AA34" s="156">
        <f ca="1">IF($C34="S",IF($Z34="CP",$X34,IF($Z34="RA",(($X34)*QCI!$AA$3),0)),SomaAgrup)</f>
        <v>0</v>
      </c>
      <c r="AB34" s="157">
        <f t="shared" ca="1" si="16"/>
        <v>0</v>
      </c>
      <c r="AC34" s="158" t="str">
        <f t="shared" ca="1" si="17"/>
        <v/>
      </c>
      <c r="AD34" s="104" t="str">
        <f ca="1">IF(C34&lt;=CRONO.NivelExibicao,MAX($AD$15:OFFSET(AD34,-1,0))+IF($C34&lt;&gt;1,1,MAX(1,COUNTIF(QCI!$A$13:$A$24,OFFSET($E34,-1,0)))),"")</f>
        <v/>
      </c>
      <c r="AE34" s="114" t="str">
        <f t="shared" ca="1" si="18"/>
        <v>SINAPI 101617</v>
      </c>
      <c r="AF34" s="159" t="str">
        <f t="shared" ca="1" si="19"/>
        <v>(abra o arquivo 'Referência 05-2024.xls)</v>
      </c>
      <c r="AG34" s="579">
        <f t="shared" ca="1" si="20"/>
        <v>0</v>
      </c>
      <c r="AH34" s="580">
        <f t="shared" ca="1" si="21"/>
        <v>0.22470000000000001</v>
      </c>
      <c r="AJ34" s="582">
        <v>279.12</v>
      </c>
      <c r="AL34" s="612"/>
      <c r="AM34" s="430">
        <f t="shared" ca="1" si="0"/>
        <v>0</v>
      </c>
      <c r="AN34" s="655">
        <f t="shared" ca="1" si="22"/>
        <v>0</v>
      </c>
    </row>
    <row r="35" spans="1:40" ht="13.8" x14ac:dyDescent="0.3">
      <c r="A35" t="str">
        <f t="shared" si="1"/>
        <v>S</v>
      </c>
      <c r="B35">
        <f t="shared" ca="1" si="2"/>
        <v>3</v>
      </c>
      <c r="C35" t="str">
        <f t="shared" ca="1" si="3"/>
        <v>S</v>
      </c>
      <c r="D35">
        <f t="shared" ca="1" si="4"/>
        <v>0</v>
      </c>
      <c r="E35">
        <f ca="1">IF($C35=1,OFFSET(E35,-1,0)+MAX(1,COUNTIF(QCI!$A$13:$A$24,OFFSET(ORÇAMENTO!E35,-1,0))),OFFSET(E35,-1,0))</f>
        <v>1</v>
      </c>
      <c r="F35">
        <f t="shared" ca="1" si="5"/>
        <v>2</v>
      </c>
      <c r="G35">
        <f t="shared" ca="1" si="6"/>
        <v>2</v>
      </c>
      <c r="H35">
        <f t="shared" ca="1" si="7"/>
        <v>0</v>
      </c>
      <c r="I35">
        <f t="shared" ca="1" si="8"/>
        <v>0</v>
      </c>
      <c r="J35">
        <f t="shared" ca="1" si="9"/>
        <v>0</v>
      </c>
      <c r="K35">
        <f ca="1">IF(OR($C35="S",$C35=0),0,MATCH(OFFSET($D35,0,$C35)+IF($C35&lt;&gt;1,1,COUNTIF(QCI!$A$13:$A$24,ORÇAMENTO!E35)),OFFSET($D35,1,$C35,ROW($C$710)-ROW($C35)),0))</f>
        <v>0</v>
      </c>
      <c r="L35" s="143" t="str">
        <f t="shared" ca="1" si="10"/>
        <v/>
      </c>
      <c r="M35" s="144" t="s">
        <v>201</v>
      </c>
      <c r="N35" s="145" t="str">
        <f t="shared" ca="1" si="11"/>
        <v>Serviço</v>
      </c>
      <c r="O35" s="146" t="str">
        <f t="shared" ca="1" si="12"/>
        <v>-</v>
      </c>
      <c r="P35" s="147" t="s">
        <v>249</v>
      </c>
      <c r="Q35" s="148">
        <v>93381</v>
      </c>
      <c r="R35" s="149" t="str">
        <f ca="1">IF($C35="S",REFERENCIA.Descricao,"(digite a descrição aqui)")</f>
        <v>(abra o arquivo 'Referência 05-2024.xls)</v>
      </c>
      <c r="S35" s="150" t="str">
        <f ca="1">REFERENCIA.Unidade</f>
        <v>-</v>
      </c>
      <c r="T35" s="151">
        <f ca="1">OFFSET(CÁLCULO!H$15,ROW($T35)-ROW(T$15),0)</f>
        <v>326.24</v>
      </c>
      <c r="U35" s="152">
        <f t="shared" ca="1" si="25"/>
        <v>0</v>
      </c>
      <c r="V35" s="153" t="s">
        <v>158</v>
      </c>
      <c r="W35" s="151">
        <f t="shared" ca="1" si="13"/>
        <v>0</v>
      </c>
      <c r="X35" s="154">
        <f t="shared" ca="1" si="14"/>
        <v>0</v>
      </c>
      <c r="Y35" s="155" t="s">
        <v>583</v>
      </c>
      <c r="Z35" t="str">
        <f t="shared" ca="1" si="15"/>
        <v/>
      </c>
      <c r="AA35" s="156">
        <f ca="1">IF($C35="S",IF($Z35="CP",$X35,IF($Z35="RA",(($X35)*QCI!$AA$3),0)),SomaAgrup)</f>
        <v>0</v>
      </c>
      <c r="AB35" s="157">
        <f t="shared" ca="1" si="16"/>
        <v>0</v>
      </c>
      <c r="AC35" s="158" t="str">
        <f t="shared" ca="1" si="17"/>
        <v/>
      </c>
      <c r="AD35" s="104" t="str">
        <f ca="1">IF(C35&lt;=CRONO.NivelExibicao,MAX($AD$15:OFFSET(AD35,-1,0))+IF($C35&lt;&gt;1,1,MAX(1,COUNTIF(QCI!$A$13:$A$24,OFFSET($E35,-1,0)))),"")</f>
        <v/>
      </c>
      <c r="AE35" s="114" t="str">
        <f t="shared" ca="1" si="18"/>
        <v>SINAPI 93381</v>
      </c>
      <c r="AF35" s="159" t="str">
        <f t="shared" ca="1" si="19"/>
        <v>(abra o arquivo 'Referência 05-2024.xls)</v>
      </c>
      <c r="AG35" s="579">
        <f t="shared" ca="1" si="20"/>
        <v>0</v>
      </c>
      <c r="AH35" s="580">
        <f t="shared" ca="1" si="21"/>
        <v>0.22470000000000001</v>
      </c>
      <c r="AJ35" s="582">
        <v>326.24</v>
      </c>
      <c r="AL35" s="612"/>
      <c r="AM35" s="430">
        <f t="shared" ca="1" si="0"/>
        <v>0</v>
      </c>
      <c r="AN35" s="655">
        <f t="shared" ca="1" si="22"/>
        <v>0</v>
      </c>
    </row>
    <row r="36" spans="1:40" ht="13.8" x14ac:dyDescent="0.3">
      <c r="A36">
        <f t="shared" si="1"/>
        <v>3</v>
      </c>
      <c r="B36">
        <f t="shared" ca="1" si="2"/>
        <v>3</v>
      </c>
      <c r="C36">
        <f t="shared" ca="1" si="3"/>
        <v>3</v>
      </c>
      <c r="D36">
        <f t="shared" ca="1" si="4"/>
        <v>4</v>
      </c>
      <c r="E36">
        <f ca="1">IF($C36=1,OFFSET(E36,-1,0)+MAX(1,COUNTIF(QCI!$A$13:$A$24,OFFSET(ORÇAMENTO!E36,-1,0))),OFFSET(E36,-1,0))</f>
        <v>1</v>
      </c>
      <c r="F36">
        <f t="shared" ca="1" si="5"/>
        <v>2</v>
      </c>
      <c r="G36">
        <f t="shared" ca="1" si="6"/>
        <v>3</v>
      </c>
      <c r="H36">
        <f t="shared" ca="1" si="7"/>
        <v>0</v>
      </c>
      <c r="I36">
        <f t="shared" ca="1" si="8"/>
        <v>0</v>
      </c>
      <c r="J36">
        <f t="shared" ca="1" si="9"/>
        <v>12</v>
      </c>
      <c r="K36">
        <f ca="1">IF(OR($C36="S",$C36=0),0,MATCH(OFFSET($D36,0,$C36)+IF($C36&lt;&gt;1,1,COUNTIF(QCI!$A$13:$A$24,ORÇAMENTO!E36)),OFFSET($D36,1,$C36,ROW($C$710)-ROW($C36)),0))</f>
        <v>4</v>
      </c>
      <c r="L36" s="143" t="str">
        <f t="shared" ca="1" si="10"/>
        <v>F</v>
      </c>
      <c r="M36" s="144" t="s">
        <v>199</v>
      </c>
      <c r="N36" s="145" t="str">
        <f t="shared" ca="1" si="11"/>
        <v>Nível 3</v>
      </c>
      <c r="O36" s="146" t="str">
        <f t="shared" ca="1" si="12"/>
        <v>1.2.3.</v>
      </c>
      <c r="P36" s="147" t="s">
        <v>249</v>
      </c>
      <c r="Q36" s="148"/>
      <c r="R36" s="149" t="s">
        <v>482</v>
      </c>
      <c r="S36" s="150" t="s">
        <v>168</v>
      </c>
      <c r="T36" s="151">
        <f ca="1">OFFSET(CÁLCULO!H$15,ROW($T36)-ROW(T$15),0)</f>
        <v>0</v>
      </c>
      <c r="U36" s="152">
        <f t="shared" ca="1" si="25"/>
        <v>0</v>
      </c>
      <c r="V36" s="153" t="s">
        <v>158</v>
      </c>
      <c r="W36" s="151">
        <f t="shared" ca="1" si="13"/>
        <v>0</v>
      </c>
      <c r="X36" s="154">
        <f t="shared" ca="1" si="14"/>
        <v>0</v>
      </c>
      <c r="Y36" s="155" t="s">
        <v>583</v>
      </c>
      <c r="Z36" t="str">
        <f t="shared" ca="1" si="15"/>
        <v/>
      </c>
      <c r="AA36" s="156">
        <f ca="1">IF($C36="S",IF($Z36="CP",$X36,IF($Z36="RA",(($X36)*QCI!$AA$3),0)),SomaAgrup)</f>
        <v>0</v>
      </c>
      <c r="AB36" s="157">
        <f t="shared" ca="1" si="16"/>
        <v>0</v>
      </c>
      <c r="AC36" s="158" t="str">
        <f t="shared" ca="1" si="17"/>
        <v/>
      </c>
      <c r="AD36" s="104" t="str">
        <f ca="1">IF(C36&lt;=CRONO.NivelExibicao,MAX($AD$15:OFFSET(AD36,-1,0))+IF($C36&lt;&gt;1,1,MAX(1,COUNTIF(QCI!$A$13:$A$24,OFFSET($E36,-1,0)))),"")</f>
        <v/>
      </c>
      <c r="AE36" s="114" t="b">
        <f t="shared" ca="1" si="18"/>
        <v>0</v>
      </c>
      <c r="AF36" s="159" t="str">
        <f t="shared" ca="1" si="19"/>
        <v>(abra o arquivo 'Referência 05-2024.xls)</v>
      </c>
      <c r="AG36" s="579">
        <f t="shared" ca="1" si="20"/>
        <v>0</v>
      </c>
      <c r="AH36" s="580">
        <f t="shared" ca="1" si="21"/>
        <v>0.22470000000000001</v>
      </c>
      <c r="AJ36" s="582"/>
      <c r="AL36" s="612"/>
      <c r="AM36" s="430">
        <f t="shared" ca="1" si="0"/>
        <v>0</v>
      </c>
      <c r="AN36" s="655">
        <f t="shared" ca="1" si="22"/>
        <v>0</v>
      </c>
    </row>
    <row r="37" spans="1:40" ht="13.8" x14ac:dyDescent="0.3">
      <c r="A37" t="str">
        <f t="shared" si="1"/>
        <v>S</v>
      </c>
      <c r="B37">
        <f t="shared" ca="1" si="2"/>
        <v>3</v>
      </c>
      <c r="C37" t="str">
        <f t="shared" ca="1" si="3"/>
        <v>S</v>
      </c>
      <c r="D37">
        <f t="shared" ca="1" si="4"/>
        <v>0</v>
      </c>
      <c r="E37">
        <f ca="1">IF($C37=1,OFFSET(E37,-1,0)+MAX(1,COUNTIF(QCI!$A$13:$A$24,OFFSET(ORÇAMENTO!E37,-1,0))),OFFSET(E37,-1,0))</f>
        <v>1</v>
      </c>
      <c r="F37">
        <f t="shared" ca="1" si="5"/>
        <v>2</v>
      </c>
      <c r="G37">
        <f t="shared" ca="1" si="6"/>
        <v>3</v>
      </c>
      <c r="H37">
        <f t="shared" ca="1" si="7"/>
        <v>0</v>
      </c>
      <c r="I37">
        <f t="shared" ca="1" si="8"/>
        <v>0</v>
      </c>
      <c r="J37">
        <f t="shared" ca="1" si="9"/>
        <v>0</v>
      </c>
      <c r="K37">
        <f ca="1">IF(OR($C37="S",$C37=0),0,MATCH(OFFSET($D37,0,$C37)+IF($C37&lt;&gt;1,1,COUNTIF(QCI!$A$13:$A$24,ORÇAMENTO!E37)),OFFSET($D37,1,$C37,ROW($C$710)-ROW($C37)),0))</f>
        <v>0</v>
      </c>
      <c r="L37" s="143" t="str">
        <f t="shared" ca="1" si="10"/>
        <v/>
      </c>
      <c r="M37" s="144" t="s">
        <v>201</v>
      </c>
      <c r="N37" s="145" t="str">
        <f t="shared" ca="1" si="11"/>
        <v>Serviço</v>
      </c>
      <c r="O37" s="146" t="str">
        <f t="shared" ca="1" si="12"/>
        <v>-</v>
      </c>
      <c r="P37" s="147" t="s">
        <v>249</v>
      </c>
      <c r="Q37" s="148">
        <v>96525</v>
      </c>
      <c r="R37" s="149" t="str">
        <f ca="1">IF($C37="S",REFERENCIA.Descricao,"(digite a descrição aqui)")</f>
        <v>(abra o arquivo 'Referência 05-2024.xls)</v>
      </c>
      <c r="S37" s="150" t="str">
        <f ca="1">REFERENCIA.Unidade</f>
        <v>-</v>
      </c>
      <c r="T37" s="151">
        <f ca="1">OFFSET(CÁLCULO!H$15,ROW($T37)-ROW(T$15),0)</f>
        <v>11.47</v>
      </c>
      <c r="U37" s="152">
        <f t="shared" ca="1" si="25"/>
        <v>0</v>
      </c>
      <c r="V37" s="153" t="s">
        <v>158</v>
      </c>
      <c r="W37" s="151">
        <f t="shared" ca="1" si="13"/>
        <v>0</v>
      </c>
      <c r="X37" s="154">
        <f t="shared" ca="1" si="14"/>
        <v>0</v>
      </c>
      <c r="Y37" s="155" t="s">
        <v>583</v>
      </c>
      <c r="Z37" t="str">
        <f t="shared" ca="1" si="15"/>
        <v/>
      </c>
      <c r="AA37" s="156">
        <f ca="1">IF($C37="S",IF($Z37="CP",$X37,IF($Z37="RA",(($X37)*QCI!$AA$3),0)),SomaAgrup)</f>
        <v>0</v>
      </c>
      <c r="AB37" s="157">
        <f t="shared" ca="1" si="16"/>
        <v>0</v>
      </c>
      <c r="AC37" s="158" t="str">
        <f t="shared" ca="1" si="17"/>
        <v/>
      </c>
      <c r="AD37" s="104" t="str">
        <f ca="1">IF(C37&lt;=CRONO.NivelExibicao,MAX($AD$15:OFFSET(AD37,-1,0))+IF($C37&lt;&gt;1,1,MAX(1,COUNTIF(QCI!$A$13:$A$24,OFFSET($E37,-1,0)))),"")</f>
        <v/>
      </c>
      <c r="AE37" s="114" t="str">
        <f t="shared" ca="1" si="18"/>
        <v>SINAPI 96525</v>
      </c>
      <c r="AF37" s="159" t="str">
        <f t="shared" ca="1" si="19"/>
        <v>(abra o arquivo 'Referência 05-2024.xls)</v>
      </c>
      <c r="AG37" s="579">
        <f t="shared" ca="1" si="20"/>
        <v>0</v>
      </c>
      <c r="AH37" s="580">
        <f t="shared" ca="1" si="21"/>
        <v>0.22470000000000001</v>
      </c>
      <c r="AJ37" s="582">
        <v>11.47</v>
      </c>
      <c r="AL37" s="612"/>
      <c r="AM37" s="430">
        <f t="shared" ca="1" si="0"/>
        <v>0</v>
      </c>
      <c r="AN37" s="655">
        <f t="shared" ca="1" si="22"/>
        <v>0</v>
      </c>
    </row>
    <row r="38" spans="1:40" ht="13.8" x14ac:dyDescent="0.3">
      <c r="A38" t="str">
        <f t="shared" si="1"/>
        <v>S</v>
      </c>
      <c r="B38">
        <f t="shared" ca="1" si="2"/>
        <v>3</v>
      </c>
      <c r="C38" t="str">
        <f t="shared" ca="1" si="3"/>
        <v>S</v>
      </c>
      <c r="D38">
        <f t="shared" ca="1" si="4"/>
        <v>0</v>
      </c>
      <c r="E38">
        <f ca="1">IF($C38=1,OFFSET(E38,-1,0)+MAX(1,COUNTIF(QCI!$A$13:$A$24,OFFSET(ORÇAMENTO!E38,-1,0))),OFFSET(E38,-1,0))</f>
        <v>1</v>
      </c>
      <c r="F38">
        <f t="shared" ca="1" si="5"/>
        <v>2</v>
      </c>
      <c r="G38">
        <f t="shared" ca="1" si="6"/>
        <v>3</v>
      </c>
      <c r="H38">
        <f t="shared" ca="1" si="7"/>
        <v>0</v>
      </c>
      <c r="I38">
        <f t="shared" ca="1" si="8"/>
        <v>0</v>
      </c>
      <c r="J38">
        <f t="shared" ca="1" si="9"/>
        <v>0</v>
      </c>
      <c r="K38">
        <f ca="1">IF(OR($C38="S",$C38=0),0,MATCH(OFFSET($D38,0,$C38)+IF($C38&lt;&gt;1,1,COUNTIF(QCI!$A$13:$A$24,ORÇAMENTO!E38)),OFFSET($D38,1,$C38,ROW($C$710)-ROW($C38)),0))</f>
        <v>0</v>
      </c>
      <c r="L38" s="143" t="str">
        <f t="shared" ca="1" si="10"/>
        <v/>
      </c>
      <c r="M38" s="144" t="s">
        <v>201</v>
      </c>
      <c r="N38" s="145" t="str">
        <f t="shared" ca="1" si="11"/>
        <v>Serviço</v>
      </c>
      <c r="O38" s="146" t="str">
        <f t="shared" ca="1" si="12"/>
        <v>-</v>
      </c>
      <c r="P38" s="147" t="s">
        <v>249</v>
      </c>
      <c r="Q38" s="148">
        <v>101617</v>
      </c>
      <c r="R38" s="149" t="str">
        <f ca="1">IF($C38="S",REFERENCIA.Descricao,"(digite a descrição aqui)")</f>
        <v>(abra o arquivo 'Referência 05-2024.xls)</v>
      </c>
      <c r="S38" s="150" t="str">
        <f ca="1">REFERENCIA.Unidade</f>
        <v>-</v>
      </c>
      <c r="T38" s="151">
        <f ca="1">OFFSET(CÁLCULO!H$15,ROW($T38)-ROW(T$15),0)</f>
        <v>20.38</v>
      </c>
      <c r="U38" s="152">
        <f t="shared" ca="1" si="25"/>
        <v>0</v>
      </c>
      <c r="V38" s="153" t="s">
        <v>158</v>
      </c>
      <c r="W38" s="151">
        <f t="shared" ca="1" si="13"/>
        <v>0</v>
      </c>
      <c r="X38" s="154">
        <f t="shared" ca="1" si="14"/>
        <v>0</v>
      </c>
      <c r="Y38" s="155" t="s">
        <v>583</v>
      </c>
      <c r="Z38" t="str">
        <f t="shared" ca="1" si="15"/>
        <v/>
      </c>
      <c r="AA38" s="156">
        <f ca="1">IF($C38="S",IF($Z38="CP",$X38,IF($Z38="RA",(($X38)*QCI!$AA$3),0)),SomaAgrup)</f>
        <v>0</v>
      </c>
      <c r="AB38" s="157">
        <f t="shared" ca="1" si="16"/>
        <v>0</v>
      </c>
      <c r="AC38" s="158" t="str">
        <f t="shared" ca="1" si="17"/>
        <v/>
      </c>
      <c r="AD38" s="104" t="str">
        <f ca="1">IF(C38&lt;=CRONO.NivelExibicao,MAX($AD$15:OFFSET(AD38,-1,0))+IF($C38&lt;&gt;1,1,MAX(1,COUNTIF(QCI!$A$13:$A$24,OFFSET($E38,-1,0)))),"")</f>
        <v/>
      </c>
      <c r="AE38" s="114" t="str">
        <f t="shared" ca="1" si="18"/>
        <v>SINAPI 101617</v>
      </c>
      <c r="AF38" s="159" t="str">
        <f t="shared" ca="1" si="19"/>
        <v>(abra o arquivo 'Referência 05-2024.xls)</v>
      </c>
      <c r="AG38" s="579">
        <f t="shared" ca="1" si="20"/>
        <v>0</v>
      </c>
      <c r="AH38" s="580">
        <f t="shared" ca="1" si="21"/>
        <v>0.22470000000000001</v>
      </c>
      <c r="AJ38" s="582">
        <v>20.38</v>
      </c>
      <c r="AL38" s="612"/>
      <c r="AM38" s="430">
        <f t="shared" ca="1" si="0"/>
        <v>0</v>
      </c>
      <c r="AN38" s="655">
        <f t="shared" ca="1" si="22"/>
        <v>0</v>
      </c>
    </row>
    <row r="39" spans="1:40" ht="13.8" x14ac:dyDescent="0.3">
      <c r="A39" t="str">
        <f t="shared" si="1"/>
        <v>S</v>
      </c>
      <c r="B39">
        <f t="shared" ca="1" si="2"/>
        <v>3</v>
      </c>
      <c r="C39" t="str">
        <f t="shared" ca="1" si="3"/>
        <v>S</v>
      </c>
      <c r="D39">
        <f t="shared" ca="1" si="4"/>
        <v>0</v>
      </c>
      <c r="E39">
        <f ca="1">IF($C39=1,OFFSET(E39,-1,0)+MAX(1,COUNTIF(QCI!$A$13:$A$24,OFFSET(ORÇAMENTO!E39,-1,0))),OFFSET(E39,-1,0))</f>
        <v>1</v>
      </c>
      <c r="F39">
        <f t="shared" ca="1" si="5"/>
        <v>2</v>
      </c>
      <c r="G39">
        <f t="shared" ca="1" si="6"/>
        <v>3</v>
      </c>
      <c r="H39">
        <f t="shared" ca="1" si="7"/>
        <v>0</v>
      </c>
      <c r="I39">
        <f t="shared" ca="1" si="8"/>
        <v>0</v>
      </c>
      <c r="J39">
        <f t="shared" ca="1" si="9"/>
        <v>0</v>
      </c>
      <c r="K39">
        <f ca="1">IF(OR($C39="S",$C39=0),0,MATCH(OFFSET($D39,0,$C39)+IF($C39&lt;&gt;1,1,COUNTIF(QCI!$A$13:$A$24,ORÇAMENTO!E39)),OFFSET($D39,1,$C39,ROW($C$710)-ROW($C39)),0))</f>
        <v>0</v>
      </c>
      <c r="L39" s="143" t="str">
        <f t="shared" ca="1" si="10"/>
        <v/>
      </c>
      <c r="M39" s="144" t="s">
        <v>201</v>
      </c>
      <c r="N39" s="145" t="str">
        <f t="shared" ca="1" si="11"/>
        <v>Serviço</v>
      </c>
      <c r="O39" s="146" t="str">
        <f t="shared" ca="1" si="12"/>
        <v>-</v>
      </c>
      <c r="P39" s="147" t="s">
        <v>249</v>
      </c>
      <c r="Q39" s="148">
        <v>93381</v>
      </c>
      <c r="R39" s="149" t="str">
        <f ca="1">IF($C39="S",REFERENCIA.Descricao,"(digite a descrição aqui)")</f>
        <v>(abra o arquivo 'Referência 05-2024.xls)</v>
      </c>
      <c r="S39" s="150" t="str">
        <f ca="1">REFERENCIA.Unidade</f>
        <v>-</v>
      </c>
      <c r="T39" s="151">
        <f ca="1">OFFSET(CÁLCULO!H$15,ROW($T39)-ROW(T$15),0)</f>
        <v>10.71</v>
      </c>
      <c r="U39" s="152">
        <f t="shared" ca="1" si="25"/>
        <v>0</v>
      </c>
      <c r="V39" s="153" t="s">
        <v>158</v>
      </c>
      <c r="W39" s="151">
        <f t="shared" ca="1" si="13"/>
        <v>0</v>
      </c>
      <c r="X39" s="154">
        <f t="shared" ca="1" si="14"/>
        <v>0</v>
      </c>
      <c r="Y39" s="155" t="s">
        <v>583</v>
      </c>
      <c r="Z39" t="str">
        <f t="shared" ca="1" si="15"/>
        <v/>
      </c>
      <c r="AA39" s="156">
        <f ca="1">IF($C39="S",IF($Z39="CP",$X39,IF($Z39="RA",(($X39)*QCI!$AA$3),0)),SomaAgrup)</f>
        <v>0</v>
      </c>
      <c r="AB39" s="157">
        <f t="shared" ca="1" si="16"/>
        <v>0</v>
      </c>
      <c r="AC39" s="158" t="str">
        <f t="shared" ca="1" si="17"/>
        <v/>
      </c>
      <c r="AD39" s="104" t="str">
        <f ca="1">IF(C39&lt;=CRONO.NivelExibicao,MAX($AD$15:OFFSET(AD39,-1,0))+IF($C39&lt;&gt;1,1,MAX(1,COUNTIF(QCI!$A$13:$A$24,OFFSET($E39,-1,0)))),"")</f>
        <v/>
      </c>
      <c r="AE39" s="114" t="str">
        <f t="shared" ca="1" si="18"/>
        <v>SINAPI 93381</v>
      </c>
      <c r="AF39" s="159" t="str">
        <f t="shared" ca="1" si="19"/>
        <v>(abra o arquivo 'Referência 05-2024.xls)</v>
      </c>
      <c r="AG39" s="579">
        <f t="shared" ca="1" si="20"/>
        <v>0</v>
      </c>
      <c r="AH39" s="580">
        <f t="shared" ca="1" si="21"/>
        <v>0.22470000000000001</v>
      </c>
      <c r="AJ39" s="582">
        <v>10.71</v>
      </c>
      <c r="AL39" s="612"/>
      <c r="AM39" s="430">
        <f t="shared" ca="1" si="0"/>
        <v>0</v>
      </c>
      <c r="AN39" s="655">
        <f t="shared" ca="1" si="22"/>
        <v>0</v>
      </c>
    </row>
    <row r="40" spans="1:40" ht="13.8" x14ac:dyDescent="0.3">
      <c r="A40">
        <f t="shared" si="1"/>
        <v>3</v>
      </c>
      <c r="B40">
        <f t="shared" ca="1" si="2"/>
        <v>3</v>
      </c>
      <c r="C40">
        <f t="shared" ca="1" si="3"/>
        <v>3</v>
      </c>
      <c r="D40">
        <f t="shared" ca="1" si="4"/>
        <v>3</v>
      </c>
      <c r="E40">
        <f ca="1">IF($C40=1,OFFSET(E40,-1,0)+MAX(1,COUNTIF(QCI!$A$13:$A$24,OFFSET(ORÇAMENTO!E40,-1,0))),OFFSET(E40,-1,0))</f>
        <v>1</v>
      </c>
      <c r="F40">
        <f t="shared" ca="1" si="5"/>
        <v>2</v>
      </c>
      <c r="G40">
        <f t="shared" ca="1" si="6"/>
        <v>4</v>
      </c>
      <c r="H40">
        <f t="shared" ca="1" si="7"/>
        <v>0</v>
      </c>
      <c r="I40">
        <f t="shared" ca="1" si="8"/>
        <v>0</v>
      </c>
      <c r="J40">
        <f t="shared" ca="1" si="9"/>
        <v>8</v>
      </c>
      <c r="K40">
        <f ca="1">IF(OR($C40="S",$C40=0),0,MATCH(OFFSET($D40,0,$C40)+IF($C40&lt;&gt;1,1,COUNTIF(QCI!$A$13:$A$24,ORÇAMENTO!E40)),OFFSET($D40,1,$C40,ROW($C$710)-ROW($C40)),0))</f>
        <v>3</v>
      </c>
      <c r="L40" s="143" t="str">
        <f t="shared" ca="1" si="10"/>
        <v>F</v>
      </c>
      <c r="M40" s="144" t="s">
        <v>199</v>
      </c>
      <c r="N40" s="145" t="str">
        <f t="shared" ca="1" si="11"/>
        <v>Nível 3</v>
      </c>
      <c r="O40" s="146" t="str">
        <f t="shared" ca="1" si="12"/>
        <v>1.2.4.</v>
      </c>
      <c r="P40" s="147" t="s">
        <v>249</v>
      </c>
      <c r="Q40" s="148"/>
      <c r="R40" s="149" t="s">
        <v>483</v>
      </c>
      <c r="S40" s="150" t="s">
        <v>168</v>
      </c>
      <c r="T40" s="151">
        <f ca="1">OFFSET(CÁLCULO!H$15,ROW($T40)-ROW(T$15),0)</f>
        <v>0</v>
      </c>
      <c r="U40" s="152">
        <f t="shared" ca="1" si="25"/>
        <v>0</v>
      </c>
      <c r="V40" s="153" t="s">
        <v>158</v>
      </c>
      <c r="W40" s="151">
        <f t="shared" ca="1" si="13"/>
        <v>0</v>
      </c>
      <c r="X40" s="154">
        <f t="shared" ca="1" si="14"/>
        <v>0</v>
      </c>
      <c r="Y40" s="155" t="s">
        <v>583</v>
      </c>
      <c r="Z40" t="str">
        <f t="shared" ca="1" si="15"/>
        <v/>
      </c>
      <c r="AA40" s="156">
        <f ca="1">IF($C40="S",IF($Z40="CP",$X40,IF($Z40="RA",(($X40)*QCI!$AA$3),0)),SomaAgrup)</f>
        <v>0</v>
      </c>
      <c r="AB40" s="157">
        <f t="shared" ca="1" si="16"/>
        <v>0</v>
      </c>
      <c r="AC40" s="158" t="str">
        <f t="shared" ca="1" si="17"/>
        <v/>
      </c>
      <c r="AD40" s="104" t="str">
        <f ca="1">IF(C40&lt;=CRONO.NivelExibicao,MAX($AD$15:OFFSET(AD40,-1,0))+IF($C40&lt;&gt;1,1,MAX(1,COUNTIF(QCI!$A$13:$A$24,OFFSET($E40,-1,0)))),"")</f>
        <v/>
      </c>
      <c r="AE40" s="114" t="b">
        <f t="shared" ca="1" si="18"/>
        <v>0</v>
      </c>
      <c r="AF40" s="159" t="str">
        <f t="shared" ca="1" si="19"/>
        <v>(abra o arquivo 'Referência 05-2024.xls)</v>
      </c>
      <c r="AG40" s="579">
        <f t="shared" ca="1" si="20"/>
        <v>0</v>
      </c>
      <c r="AH40" s="580">
        <f t="shared" ca="1" si="21"/>
        <v>0.22470000000000001</v>
      </c>
      <c r="AJ40" s="582"/>
      <c r="AL40" s="612"/>
      <c r="AM40" s="430">
        <f t="shared" ca="1" si="0"/>
        <v>0</v>
      </c>
      <c r="AN40" s="655">
        <f t="shared" ca="1" si="22"/>
        <v>0</v>
      </c>
    </row>
    <row r="41" spans="1:40" ht="13.8" x14ac:dyDescent="0.3">
      <c r="A41" t="str">
        <f t="shared" si="1"/>
        <v>S</v>
      </c>
      <c r="B41">
        <f t="shared" ca="1" si="2"/>
        <v>3</v>
      </c>
      <c r="C41" t="str">
        <f t="shared" ca="1" si="3"/>
        <v>S</v>
      </c>
      <c r="D41">
        <f t="shared" ca="1" si="4"/>
        <v>0</v>
      </c>
      <c r="E41">
        <f ca="1">IF($C41=1,OFFSET(E41,-1,0)+MAX(1,COUNTIF(QCI!$A$13:$A$24,OFFSET(ORÇAMENTO!E41,-1,0))),OFFSET(E41,-1,0))</f>
        <v>1</v>
      </c>
      <c r="F41">
        <f t="shared" ca="1" si="5"/>
        <v>2</v>
      </c>
      <c r="G41">
        <f t="shared" ca="1" si="6"/>
        <v>4</v>
      </c>
      <c r="H41">
        <f t="shared" ca="1" si="7"/>
        <v>0</v>
      </c>
      <c r="I41">
        <f t="shared" ca="1" si="8"/>
        <v>0</v>
      </c>
      <c r="J41">
        <f t="shared" ca="1" si="9"/>
        <v>0</v>
      </c>
      <c r="K41">
        <f ca="1">IF(OR($C41="S",$C41=0),0,MATCH(OFFSET($D41,0,$C41)+IF($C41&lt;&gt;1,1,COUNTIF(QCI!$A$13:$A$24,ORÇAMENTO!E41)),OFFSET($D41,1,$C41,ROW($C$710)-ROW($C41)),0))</f>
        <v>0</v>
      </c>
      <c r="L41" s="143" t="str">
        <f t="shared" ca="1" si="10"/>
        <v/>
      </c>
      <c r="M41" s="144" t="s">
        <v>201</v>
      </c>
      <c r="N41" s="145" t="str">
        <f t="shared" ca="1" si="11"/>
        <v>Serviço</v>
      </c>
      <c r="O41" s="146" t="str">
        <f t="shared" ca="1" si="12"/>
        <v>-</v>
      </c>
      <c r="P41" s="147" t="s">
        <v>249</v>
      </c>
      <c r="Q41" s="148">
        <v>101617</v>
      </c>
      <c r="R41" s="149" t="str">
        <f ca="1">IF($C41="S",REFERENCIA.Descricao,"(digite a descrição aqui)")</f>
        <v>(abra o arquivo 'Referência 05-2024.xls)</v>
      </c>
      <c r="S41" s="150" t="str">
        <f ca="1">REFERENCIA.Unidade</f>
        <v>-</v>
      </c>
      <c r="T41" s="151">
        <f ca="1">OFFSET(CÁLCULO!H$15,ROW($T41)-ROW(T$15),0)</f>
        <v>56.03</v>
      </c>
      <c r="U41" s="152">
        <f t="shared" ca="1" si="25"/>
        <v>0</v>
      </c>
      <c r="V41" s="153" t="s">
        <v>158</v>
      </c>
      <c r="W41" s="151">
        <f t="shared" ca="1" si="13"/>
        <v>0</v>
      </c>
      <c r="X41" s="154">
        <f t="shared" ca="1" si="14"/>
        <v>0</v>
      </c>
      <c r="Y41" s="155" t="s">
        <v>583</v>
      </c>
      <c r="Z41" t="str">
        <f t="shared" ca="1" si="15"/>
        <v/>
      </c>
      <c r="AA41" s="156">
        <f ca="1">IF($C41="S",IF($Z41="CP",$X41,IF($Z41="RA",(($X41)*QCI!$AA$3),0)),SomaAgrup)</f>
        <v>0</v>
      </c>
      <c r="AB41" s="157">
        <f t="shared" ca="1" si="16"/>
        <v>0</v>
      </c>
      <c r="AC41" s="158" t="str">
        <f t="shared" ca="1" si="17"/>
        <v/>
      </c>
      <c r="AD41" s="104" t="str">
        <f ca="1">IF(C41&lt;=CRONO.NivelExibicao,MAX($AD$15:OFFSET(AD41,-1,0))+IF($C41&lt;&gt;1,1,MAX(1,COUNTIF(QCI!$A$13:$A$24,OFFSET($E41,-1,0)))),"")</f>
        <v/>
      </c>
      <c r="AE41" s="114" t="str">
        <f t="shared" ca="1" si="18"/>
        <v>SINAPI 101617</v>
      </c>
      <c r="AF41" s="159" t="str">
        <f t="shared" ca="1" si="19"/>
        <v>(abra o arquivo 'Referência 05-2024.xls)</v>
      </c>
      <c r="AG41" s="579">
        <f t="shared" ca="1" si="20"/>
        <v>0</v>
      </c>
      <c r="AH41" s="580">
        <f t="shared" ca="1" si="21"/>
        <v>0.22470000000000001</v>
      </c>
      <c r="AJ41" s="582">
        <v>56.03</v>
      </c>
      <c r="AL41" s="612"/>
      <c r="AM41" s="430">
        <f t="shared" ca="1" si="0"/>
        <v>0</v>
      </c>
      <c r="AN41" s="655">
        <f t="shared" ca="1" si="22"/>
        <v>0</v>
      </c>
    </row>
    <row r="42" spans="1:40" ht="13.8" x14ac:dyDescent="0.3">
      <c r="A42" t="str">
        <f t="shared" si="1"/>
        <v>S</v>
      </c>
      <c r="B42">
        <f t="shared" ca="1" si="2"/>
        <v>3</v>
      </c>
      <c r="C42" t="str">
        <f t="shared" ca="1" si="3"/>
        <v>S</v>
      </c>
      <c r="D42">
        <f t="shared" ca="1" si="4"/>
        <v>0</v>
      </c>
      <c r="E42">
        <f ca="1">IF($C42=1,OFFSET(E42,-1,0)+MAX(1,COUNTIF(QCI!$A$13:$A$24,OFFSET(ORÇAMENTO!E42,-1,0))),OFFSET(E42,-1,0))</f>
        <v>1</v>
      </c>
      <c r="F42">
        <f t="shared" ca="1" si="5"/>
        <v>2</v>
      </c>
      <c r="G42">
        <f t="shared" ca="1" si="6"/>
        <v>4</v>
      </c>
      <c r="H42">
        <f t="shared" ca="1" si="7"/>
        <v>0</v>
      </c>
      <c r="I42">
        <f t="shared" ca="1" si="8"/>
        <v>0</v>
      </c>
      <c r="J42">
        <f t="shared" ca="1" si="9"/>
        <v>0</v>
      </c>
      <c r="K42">
        <f ca="1">IF(OR($C42="S",$C42=0),0,MATCH(OFFSET($D42,0,$C42)+IF($C42&lt;&gt;1,1,COUNTIF(QCI!$A$13:$A$24,ORÇAMENTO!E42)),OFFSET($D42,1,$C42,ROW($C$710)-ROW($C42)),0))</f>
        <v>0</v>
      </c>
      <c r="L42" s="143" t="str">
        <f t="shared" ca="1" si="10"/>
        <v/>
      </c>
      <c r="M42" s="144" t="s">
        <v>201</v>
      </c>
      <c r="N42" s="145" t="str">
        <f t="shared" ca="1" si="11"/>
        <v>Serviço</v>
      </c>
      <c r="O42" s="146" t="str">
        <f t="shared" ca="1" si="12"/>
        <v>-</v>
      </c>
      <c r="P42" s="147" t="s">
        <v>249</v>
      </c>
      <c r="Q42" s="148">
        <v>93381</v>
      </c>
      <c r="R42" s="149" t="str">
        <f ca="1">IF($C42="S",REFERENCIA.Descricao,"(digite a descrição aqui)")</f>
        <v>(abra o arquivo 'Referência 05-2024.xls)</v>
      </c>
      <c r="S42" s="150" t="str">
        <f ca="1">REFERENCIA.Unidade</f>
        <v>-</v>
      </c>
      <c r="T42" s="151">
        <f ca="1">OFFSET(CÁLCULO!H$15,ROW($T42)-ROW(T$15),0)</f>
        <v>39.799999999999997</v>
      </c>
      <c r="U42" s="152">
        <f t="shared" ca="1" si="25"/>
        <v>0</v>
      </c>
      <c r="V42" s="153" t="s">
        <v>158</v>
      </c>
      <c r="W42" s="151">
        <f t="shared" ca="1" si="13"/>
        <v>0</v>
      </c>
      <c r="X42" s="154">
        <f t="shared" ca="1" si="14"/>
        <v>0</v>
      </c>
      <c r="Y42" s="155" t="s">
        <v>583</v>
      </c>
      <c r="Z42" t="str">
        <f t="shared" ca="1" si="15"/>
        <v/>
      </c>
      <c r="AA42" s="156">
        <f ca="1">IF($C42="S",IF($Z42="CP",$X42,IF($Z42="RA",(($X42)*QCI!$AA$3),0)),SomaAgrup)</f>
        <v>0</v>
      </c>
      <c r="AB42" s="157">
        <f t="shared" ca="1" si="16"/>
        <v>0</v>
      </c>
      <c r="AC42" s="158" t="str">
        <f t="shared" ca="1" si="17"/>
        <v/>
      </c>
      <c r="AD42" s="104" t="str">
        <f ca="1">IF(C42&lt;=CRONO.NivelExibicao,MAX($AD$15:OFFSET(AD42,-1,0))+IF($C42&lt;&gt;1,1,MAX(1,COUNTIF(QCI!$A$13:$A$24,OFFSET($E42,-1,0)))),"")</f>
        <v/>
      </c>
      <c r="AE42" s="114" t="str">
        <f t="shared" ca="1" si="18"/>
        <v>SINAPI 93381</v>
      </c>
      <c r="AF42" s="159" t="str">
        <f t="shared" ca="1" si="19"/>
        <v>(abra o arquivo 'Referência 05-2024.xls)</v>
      </c>
      <c r="AG42" s="579">
        <f t="shared" ca="1" si="20"/>
        <v>0</v>
      </c>
      <c r="AH42" s="580">
        <f t="shared" ca="1" si="21"/>
        <v>0.22470000000000001</v>
      </c>
      <c r="AJ42" s="582">
        <v>39.799999999999997</v>
      </c>
      <c r="AL42" s="612"/>
      <c r="AM42" s="430">
        <f t="shared" ca="1" si="0"/>
        <v>0</v>
      </c>
      <c r="AN42" s="655">
        <f t="shared" ca="1" si="22"/>
        <v>0</v>
      </c>
    </row>
    <row r="43" spans="1:40" ht="13.8" x14ac:dyDescent="0.3">
      <c r="A43">
        <f t="shared" si="1"/>
        <v>3</v>
      </c>
      <c r="B43">
        <f t="shared" ca="1" si="2"/>
        <v>3</v>
      </c>
      <c r="C43">
        <f t="shared" ca="1" si="3"/>
        <v>3</v>
      </c>
      <c r="D43">
        <f t="shared" ca="1" si="4"/>
        <v>5</v>
      </c>
      <c r="E43">
        <f ca="1">IF($C43=1,OFFSET(E43,-1,0)+MAX(1,COUNTIF(QCI!$A$13:$A$24,OFFSET(ORÇAMENTO!E43,-1,0))),OFFSET(E43,-1,0))</f>
        <v>1</v>
      </c>
      <c r="F43">
        <f t="shared" ca="1" si="5"/>
        <v>2</v>
      </c>
      <c r="G43">
        <f t="shared" ca="1" si="6"/>
        <v>5</v>
      </c>
      <c r="H43">
        <f t="shared" ca="1" si="7"/>
        <v>0</v>
      </c>
      <c r="I43">
        <f t="shared" ca="1" si="8"/>
        <v>0</v>
      </c>
      <c r="J43">
        <f t="shared" ca="1" si="9"/>
        <v>5</v>
      </c>
      <c r="K43">
        <f ca="1">IF(OR($C43="S",$C43=0),0,MATCH(OFFSET($D43,0,$C43)+IF($C43&lt;&gt;1,1,COUNTIF(QCI!$A$13:$A$24,ORÇAMENTO!E43)),OFFSET($D43,1,$C43,ROW($C$710)-ROW($C43)),0))</f>
        <v>43</v>
      </c>
      <c r="L43" s="143" t="str">
        <f t="shared" ca="1" si="10"/>
        <v>F</v>
      </c>
      <c r="M43" s="144" t="s">
        <v>199</v>
      </c>
      <c r="N43" s="145" t="str">
        <f t="shared" ca="1" si="11"/>
        <v>Nível 3</v>
      </c>
      <c r="O43" s="146" t="str">
        <f t="shared" ca="1" si="12"/>
        <v>1.2.5.</v>
      </c>
      <c r="P43" s="147" t="s">
        <v>249</v>
      </c>
      <c r="Q43" s="148"/>
      <c r="R43" s="149" t="s">
        <v>484</v>
      </c>
      <c r="S43" s="150" t="s">
        <v>168</v>
      </c>
      <c r="T43" s="151">
        <f ca="1">OFFSET(CÁLCULO!H$15,ROW($T43)-ROW(T$15),0)</f>
        <v>0</v>
      </c>
      <c r="U43" s="152">
        <f t="shared" ca="1" si="25"/>
        <v>0</v>
      </c>
      <c r="V43" s="153" t="s">
        <v>158</v>
      </c>
      <c r="W43" s="151">
        <f t="shared" ca="1" si="13"/>
        <v>0</v>
      </c>
      <c r="X43" s="154">
        <f t="shared" ca="1" si="14"/>
        <v>0</v>
      </c>
      <c r="Y43" s="155" t="s">
        <v>583</v>
      </c>
      <c r="Z43" t="str">
        <f t="shared" ca="1" si="15"/>
        <v/>
      </c>
      <c r="AA43" s="156">
        <f ca="1">IF($C43="S",IF($Z43="CP",$X43,IF($Z43="RA",(($X43)*QCI!$AA$3),0)),SomaAgrup)</f>
        <v>0</v>
      </c>
      <c r="AB43" s="157">
        <f t="shared" ca="1" si="16"/>
        <v>0</v>
      </c>
      <c r="AC43" s="158" t="str">
        <f t="shared" ca="1" si="17"/>
        <v/>
      </c>
      <c r="AD43" s="104" t="str">
        <f ca="1">IF(C43&lt;=CRONO.NivelExibicao,MAX($AD$15:OFFSET(AD43,-1,0))+IF($C43&lt;&gt;1,1,MAX(1,COUNTIF(QCI!$A$13:$A$24,OFFSET($E43,-1,0)))),"")</f>
        <v/>
      </c>
      <c r="AE43" s="114" t="b">
        <f t="shared" ca="1" si="18"/>
        <v>0</v>
      </c>
      <c r="AF43" s="159" t="str">
        <f t="shared" ca="1" si="19"/>
        <v>(abra o arquivo 'Referência 05-2024.xls)</v>
      </c>
      <c r="AG43" s="579">
        <f t="shared" ca="1" si="20"/>
        <v>0</v>
      </c>
      <c r="AH43" s="580">
        <f t="shared" ca="1" si="21"/>
        <v>0.22470000000000001</v>
      </c>
      <c r="AJ43" s="582"/>
      <c r="AL43" s="612"/>
      <c r="AM43" s="430">
        <f t="shared" ca="1" si="0"/>
        <v>0</v>
      </c>
      <c r="AN43" s="655">
        <f t="shared" ca="1" si="22"/>
        <v>0</v>
      </c>
    </row>
    <row r="44" spans="1:40" ht="13.8" x14ac:dyDescent="0.3">
      <c r="A44" t="str">
        <f t="shared" si="1"/>
        <v>S</v>
      </c>
      <c r="B44">
        <f t="shared" ca="1" si="2"/>
        <v>3</v>
      </c>
      <c r="C44" t="str">
        <f t="shared" ca="1" si="3"/>
        <v>S</v>
      </c>
      <c r="D44">
        <f t="shared" ca="1" si="4"/>
        <v>0</v>
      </c>
      <c r="E44">
        <f ca="1">IF($C44=1,OFFSET(E44,-1,0)+MAX(1,COUNTIF(QCI!$A$13:$A$24,OFFSET(ORÇAMENTO!E44,-1,0))),OFFSET(E44,-1,0))</f>
        <v>1</v>
      </c>
      <c r="F44">
        <f t="shared" ca="1" si="5"/>
        <v>2</v>
      </c>
      <c r="G44">
        <f t="shared" ca="1" si="6"/>
        <v>5</v>
      </c>
      <c r="H44">
        <f t="shared" ca="1" si="7"/>
        <v>0</v>
      </c>
      <c r="I44">
        <f t="shared" ca="1" si="8"/>
        <v>0</v>
      </c>
      <c r="J44">
        <f t="shared" ca="1" si="9"/>
        <v>0</v>
      </c>
      <c r="K44">
        <f ca="1">IF(OR($C44="S",$C44=0),0,MATCH(OFFSET($D44,0,$C44)+IF($C44&lt;&gt;1,1,COUNTIF(QCI!$A$13:$A$24,ORÇAMENTO!E44)),OFFSET($D44,1,$C44,ROW($C$710)-ROW($C44)),0))</f>
        <v>0</v>
      </c>
      <c r="L44" s="143" t="str">
        <f t="shared" ca="1" si="10"/>
        <v/>
      </c>
      <c r="M44" s="144" t="s">
        <v>201</v>
      </c>
      <c r="N44" s="145" t="str">
        <f t="shared" ca="1" si="11"/>
        <v>Serviço</v>
      </c>
      <c r="O44" s="146" t="str">
        <f t="shared" ca="1" si="12"/>
        <v>-</v>
      </c>
      <c r="P44" s="147" t="s">
        <v>249</v>
      </c>
      <c r="Q44" s="148">
        <v>94318</v>
      </c>
      <c r="R44" s="149" t="str">
        <f ca="1">IF($C44="S",REFERENCIA.Descricao,"(digite a descrição aqui)")</f>
        <v>(abra o arquivo 'Referência 05-2024.xls)</v>
      </c>
      <c r="S44" s="150" t="str">
        <f ca="1">REFERENCIA.Unidade</f>
        <v>-</v>
      </c>
      <c r="T44" s="151">
        <f ca="1">OFFSET(CÁLCULO!H$15,ROW($T44)-ROW(T$15),0)</f>
        <v>1.63</v>
      </c>
      <c r="U44" s="152">
        <f t="shared" ca="1" si="25"/>
        <v>0</v>
      </c>
      <c r="V44" s="153" t="s">
        <v>158</v>
      </c>
      <c r="W44" s="151">
        <f t="shared" ca="1" si="13"/>
        <v>0</v>
      </c>
      <c r="X44" s="154">
        <f t="shared" ca="1" si="14"/>
        <v>0</v>
      </c>
      <c r="Y44" s="155" t="s">
        <v>583</v>
      </c>
      <c r="Z44" t="str">
        <f t="shared" ca="1" si="15"/>
        <v/>
      </c>
      <c r="AA44" s="156">
        <f ca="1">IF($C44="S",IF($Z44="CP",$X44,IF($Z44="RA",(($X44)*QCI!$AA$3),0)),SomaAgrup)</f>
        <v>0</v>
      </c>
      <c r="AB44" s="157">
        <f t="shared" ca="1" si="16"/>
        <v>0</v>
      </c>
      <c r="AC44" s="158" t="str">
        <f t="shared" ca="1" si="17"/>
        <v/>
      </c>
      <c r="AD44" s="104" t="str">
        <f ca="1">IF(C44&lt;=CRONO.NivelExibicao,MAX($AD$15:OFFSET(AD44,-1,0))+IF($C44&lt;&gt;1,1,MAX(1,COUNTIF(QCI!$A$13:$A$24,OFFSET($E44,-1,0)))),"")</f>
        <v/>
      </c>
      <c r="AE44" s="114" t="str">
        <f t="shared" ca="1" si="18"/>
        <v>SINAPI 94318</v>
      </c>
      <c r="AF44" s="159" t="str">
        <f t="shared" ca="1" si="19"/>
        <v>(abra o arquivo 'Referência 05-2024.xls)</v>
      </c>
      <c r="AG44" s="579">
        <f t="shared" ca="1" si="20"/>
        <v>0</v>
      </c>
      <c r="AH44" s="580">
        <f t="shared" ca="1" si="21"/>
        <v>0.22470000000000001</v>
      </c>
      <c r="AJ44" s="582">
        <v>1.63</v>
      </c>
      <c r="AL44" s="612"/>
      <c r="AM44" s="430">
        <f t="shared" ca="1" si="0"/>
        <v>0</v>
      </c>
      <c r="AN44" s="655">
        <f t="shared" ca="1" si="22"/>
        <v>0</v>
      </c>
    </row>
    <row r="45" spans="1:40" ht="13.8" x14ac:dyDescent="0.3">
      <c r="A45" t="str">
        <f t="shared" si="1"/>
        <v>S</v>
      </c>
      <c r="B45">
        <f t="shared" ca="1" si="2"/>
        <v>3</v>
      </c>
      <c r="C45" t="str">
        <f t="shared" ca="1" si="3"/>
        <v>S</v>
      </c>
      <c r="D45">
        <f t="shared" ca="1" si="4"/>
        <v>0</v>
      </c>
      <c r="E45">
        <f ca="1">IF($C45=1,OFFSET(E45,-1,0)+MAX(1,COUNTIF(QCI!$A$13:$A$24,OFFSET(ORÇAMENTO!E45,-1,0))),OFFSET(E45,-1,0))</f>
        <v>1</v>
      </c>
      <c r="F45">
        <f t="shared" ca="1" si="5"/>
        <v>2</v>
      </c>
      <c r="G45">
        <f t="shared" ca="1" si="6"/>
        <v>5</v>
      </c>
      <c r="H45">
        <f t="shared" ca="1" si="7"/>
        <v>0</v>
      </c>
      <c r="I45">
        <f t="shared" ca="1" si="8"/>
        <v>0</v>
      </c>
      <c r="J45">
        <f t="shared" ca="1" si="9"/>
        <v>0</v>
      </c>
      <c r="K45">
        <f ca="1">IF(OR($C45="S",$C45=0),0,MATCH(OFFSET($D45,0,$C45)+IF($C45&lt;&gt;1,1,COUNTIF(QCI!$A$13:$A$24,ORÇAMENTO!E45)),OFFSET($D45,1,$C45,ROW($C$710)-ROW($C45)),0))</f>
        <v>0</v>
      </c>
      <c r="L45" s="143" t="str">
        <f t="shared" ca="1" si="10"/>
        <v/>
      </c>
      <c r="M45" s="144" t="s">
        <v>201</v>
      </c>
      <c r="N45" s="145" t="str">
        <f t="shared" ca="1" si="11"/>
        <v>Serviço</v>
      </c>
      <c r="O45" s="146" t="str">
        <f t="shared" ca="1" si="12"/>
        <v>-</v>
      </c>
      <c r="P45" s="147" t="s">
        <v>249</v>
      </c>
      <c r="Q45" s="148">
        <v>96525</v>
      </c>
      <c r="R45" s="149" t="str">
        <f ca="1">IF($C45="S",REFERENCIA.Descricao,"(digite a descrição aqui)")</f>
        <v>(abra o arquivo 'Referência 05-2024.xls)</v>
      </c>
      <c r="S45" s="150" t="str">
        <f ca="1">REFERENCIA.Unidade</f>
        <v>-</v>
      </c>
      <c r="T45" s="151">
        <f ca="1">OFFSET(CÁLCULO!H$15,ROW($T45)-ROW(T$15),0)</f>
        <v>44.46</v>
      </c>
      <c r="U45" s="152">
        <f t="shared" ca="1" si="25"/>
        <v>0</v>
      </c>
      <c r="V45" s="153" t="s">
        <v>158</v>
      </c>
      <c r="W45" s="151">
        <f t="shared" ca="1" si="13"/>
        <v>0</v>
      </c>
      <c r="X45" s="154">
        <f t="shared" ca="1" si="14"/>
        <v>0</v>
      </c>
      <c r="Y45" s="155" t="s">
        <v>583</v>
      </c>
      <c r="Z45" t="str">
        <f t="shared" ca="1" si="15"/>
        <v/>
      </c>
      <c r="AA45" s="156">
        <f ca="1">IF($C45="S",IF($Z45="CP",$X45,IF($Z45="RA",(($X45)*QCI!$AA$3),0)),SomaAgrup)</f>
        <v>0</v>
      </c>
      <c r="AB45" s="157">
        <f t="shared" ca="1" si="16"/>
        <v>0</v>
      </c>
      <c r="AC45" s="158" t="str">
        <f t="shared" ca="1" si="17"/>
        <v/>
      </c>
      <c r="AD45" s="104" t="str">
        <f ca="1">IF(C45&lt;=CRONO.NivelExibicao,MAX($AD$15:OFFSET(AD45,-1,0))+IF($C45&lt;&gt;1,1,MAX(1,COUNTIF(QCI!$A$13:$A$24,OFFSET($E45,-1,0)))),"")</f>
        <v/>
      </c>
      <c r="AE45" s="114" t="str">
        <f t="shared" ca="1" si="18"/>
        <v>SINAPI 96525</v>
      </c>
      <c r="AF45" s="159" t="str">
        <f t="shared" ca="1" si="19"/>
        <v>(abra o arquivo 'Referência 05-2024.xls)</v>
      </c>
      <c r="AG45" s="579">
        <f t="shared" ca="1" si="20"/>
        <v>0</v>
      </c>
      <c r="AH45" s="580">
        <f t="shared" ca="1" si="21"/>
        <v>0.22470000000000001</v>
      </c>
      <c r="AJ45" s="582">
        <v>44.46</v>
      </c>
      <c r="AL45" s="612"/>
      <c r="AM45" s="430">
        <f t="shared" ca="1" si="0"/>
        <v>0</v>
      </c>
      <c r="AN45" s="655">
        <f t="shared" ca="1" si="22"/>
        <v>0</v>
      </c>
    </row>
    <row r="46" spans="1:40" ht="13.8" x14ac:dyDescent="0.3">
      <c r="A46" t="str">
        <f t="shared" si="1"/>
        <v>S</v>
      </c>
      <c r="B46">
        <f t="shared" ca="1" si="2"/>
        <v>3</v>
      </c>
      <c r="C46" t="str">
        <f t="shared" ca="1" si="3"/>
        <v>S</v>
      </c>
      <c r="D46">
        <f t="shared" ca="1" si="4"/>
        <v>0</v>
      </c>
      <c r="E46">
        <f ca="1">IF($C46=1,OFFSET(E46,-1,0)+MAX(1,COUNTIF(QCI!$A$13:$A$24,OFFSET(ORÇAMENTO!E46,-1,0))),OFFSET(E46,-1,0))</f>
        <v>1</v>
      </c>
      <c r="F46">
        <f t="shared" ca="1" si="5"/>
        <v>2</v>
      </c>
      <c r="G46">
        <f t="shared" ca="1" si="6"/>
        <v>5</v>
      </c>
      <c r="H46">
        <f t="shared" ca="1" si="7"/>
        <v>0</v>
      </c>
      <c r="I46">
        <f t="shared" ca="1" si="8"/>
        <v>0</v>
      </c>
      <c r="J46">
        <f t="shared" ca="1" si="9"/>
        <v>0</v>
      </c>
      <c r="K46">
        <f ca="1">IF(OR($C46="S",$C46=0),0,MATCH(OFFSET($D46,0,$C46)+IF($C46&lt;&gt;1,1,COUNTIF(QCI!$A$13:$A$24,ORÇAMENTO!E46)),OFFSET($D46,1,$C46,ROW($C$710)-ROW($C46)),0))</f>
        <v>0</v>
      </c>
      <c r="L46" s="143" t="str">
        <f t="shared" ca="1" si="10"/>
        <v/>
      </c>
      <c r="M46" s="144" t="s">
        <v>201</v>
      </c>
      <c r="N46" s="145" t="str">
        <f t="shared" ca="1" si="11"/>
        <v>Serviço</v>
      </c>
      <c r="O46" s="146" t="str">
        <f t="shared" ca="1" si="12"/>
        <v>-</v>
      </c>
      <c r="P46" s="147" t="s">
        <v>249</v>
      </c>
      <c r="Q46" s="148">
        <v>101617</v>
      </c>
      <c r="R46" s="149" t="str">
        <f ca="1">IF($C46="S",REFERENCIA.Descricao,"(digite a descrição aqui)")</f>
        <v>(abra o arquivo 'Referência 05-2024.xls)</v>
      </c>
      <c r="S46" s="150" t="str">
        <f ca="1">REFERENCIA.Unidade</f>
        <v>-</v>
      </c>
      <c r="T46" s="151">
        <f ca="1">OFFSET(CÁLCULO!H$15,ROW($T46)-ROW(T$15),0)</f>
        <v>84.6</v>
      </c>
      <c r="U46" s="152">
        <f t="shared" ca="1" si="25"/>
        <v>0</v>
      </c>
      <c r="V46" s="153" t="s">
        <v>158</v>
      </c>
      <c r="W46" s="151">
        <f t="shared" ca="1" si="13"/>
        <v>0</v>
      </c>
      <c r="X46" s="154">
        <f t="shared" ca="1" si="14"/>
        <v>0</v>
      </c>
      <c r="Y46" s="155" t="s">
        <v>583</v>
      </c>
      <c r="Z46" t="str">
        <f t="shared" ca="1" si="15"/>
        <v/>
      </c>
      <c r="AA46" s="156">
        <f ca="1">IF($C46="S",IF($Z46="CP",$X46,IF($Z46="RA",(($X46)*QCI!$AA$3),0)),SomaAgrup)</f>
        <v>0</v>
      </c>
      <c r="AB46" s="157">
        <f t="shared" ca="1" si="16"/>
        <v>0</v>
      </c>
      <c r="AC46" s="158" t="str">
        <f t="shared" ca="1" si="17"/>
        <v/>
      </c>
      <c r="AD46" s="104" t="str">
        <f ca="1">IF(C46&lt;=CRONO.NivelExibicao,MAX($AD$15:OFFSET(AD46,-1,0))+IF($C46&lt;&gt;1,1,MAX(1,COUNTIF(QCI!$A$13:$A$24,OFFSET($E46,-1,0)))),"")</f>
        <v/>
      </c>
      <c r="AE46" s="114" t="str">
        <f t="shared" ca="1" si="18"/>
        <v>SINAPI 101617</v>
      </c>
      <c r="AF46" s="159" t="str">
        <f t="shared" ca="1" si="19"/>
        <v>(abra o arquivo 'Referência 05-2024.xls)</v>
      </c>
      <c r="AG46" s="579">
        <f t="shared" ca="1" si="20"/>
        <v>0</v>
      </c>
      <c r="AH46" s="580">
        <f t="shared" ca="1" si="21"/>
        <v>0.22470000000000001</v>
      </c>
      <c r="AJ46" s="582">
        <v>84.6</v>
      </c>
      <c r="AL46" s="612"/>
      <c r="AM46" s="430">
        <f t="shared" ca="1" si="0"/>
        <v>0</v>
      </c>
      <c r="AN46" s="655">
        <f t="shared" ca="1" si="22"/>
        <v>0</v>
      </c>
    </row>
    <row r="47" spans="1:40" ht="13.8" x14ac:dyDescent="0.3">
      <c r="A47" t="str">
        <f t="shared" si="1"/>
        <v>S</v>
      </c>
      <c r="B47">
        <f t="shared" ca="1" si="2"/>
        <v>3</v>
      </c>
      <c r="C47" t="str">
        <f t="shared" ca="1" si="3"/>
        <v>S</v>
      </c>
      <c r="D47">
        <f t="shared" ca="1" si="4"/>
        <v>0</v>
      </c>
      <c r="E47">
        <f ca="1">IF($C47=1,OFFSET(E47,-1,0)+MAX(1,COUNTIF(QCI!$A$13:$A$24,OFFSET(ORÇAMENTO!E47,-1,0))),OFFSET(E47,-1,0))</f>
        <v>1</v>
      </c>
      <c r="F47">
        <f t="shared" ca="1" si="5"/>
        <v>2</v>
      </c>
      <c r="G47">
        <f t="shared" ca="1" si="6"/>
        <v>5</v>
      </c>
      <c r="H47">
        <f t="shared" ca="1" si="7"/>
        <v>0</v>
      </c>
      <c r="I47">
        <f t="shared" ca="1" si="8"/>
        <v>0</v>
      </c>
      <c r="J47">
        <f t="shared" ca="1" si="9"/>
        <v>0</v>
      </c>
      <c r="K47">
        <f ca="1">IF(OR($C47="S",$C47=0),0,MATCH(OFFSET($D47,0,$C47)+IF($C47&lt;&gt;1,1,COUNTIF(QCI!$A$13:$A$24,ORÇAMENTO!E47)),OFFSET($D47,1,$C47,ROW($C$710)-ROW($C47)),0))</f>
        <v>0</v>
      </c>
      <c r="L47" s="143" t="str">
        <f t="shared" ca="1" si="10"/>
        <v/>
      </c>
      <c r="M47" s="144" t="s">
        <v>201</v>
      </c>
      <c r="N47" s="145" t="str">
        <f t="shared" ca="1" si="11"/>
        <v>Serviço</v>
      </c>
      <c r="O47" s="146" t="str">
        <f t="shared" ca="1" si="12"/>
        <v>-</v>
      </c>
      <c r="P47" s="147" t="s">
        <v>249</v>
      </c>
      <c r="Q47" s="148">
        <v>93381</v>
      </c>
      <c r="R47" s="149" t="str">
        <f ca="1">IF($C47="S",REFERENCIA.Descricao,"(digite a descrição aqui)")</f>
        <v>(abra o arquivo 'Referência 05-2024.xls)</v>
      </c>
      <c r="S47" s="150" t="str">
        <f ca="1">REFERENCIA.Unidade</f>
        <v>-</v>
      </c>
      <c r="T47" s="151">
        <f ca="1">OFFSET(CÁLCULO!H$15,ROW($T47)-ROW(T$15),0)</f>
        <v>47.61</v>
      </c>
      <c r="U47" s="152">
        <f t="shared" ca="1" si="25"/>
        <v>0</v>
      </c>
      <c r="V47" s="153" t="s">
        <v>158</v>
      </c>
      <c r="W47" s="151">
        <f t="shared" ca="1" si="13"/>
        <v>0</v>
      </c>
      <c r="X47" s="154">
        <f t="shared" ca="1" si="14"/>
        <v>0</v>
      </c>
      <c r="Y47" s="155" t="s">
        <v>583</v>
      </c>
      <c r="Z47" t="str">
        <f t="shared" ca="1" si="15"/>
        <v/>
      </c>
      <c r="AA47" s="156">
        <f ca="1">IF($C47="S",IF($Z47="CP",$X47,IF($Z47="RA",(($X47)*QCI!$AA$3),0)),SomaAgrup)</f>
        <v>0</v>
      </c>
      <c r="AB47" s="157">
        <f t="shared" ca="1" si="16"/>
        <v>0</v>
      </c>
      <c r="AC47" s="158" t="str">
        <f t="shared" ca="1" si="17"/>
        <v/>
      </c>
      <c r="AD47" s="104" t="str">
        <f ca="1">IF(C47&lt;=CRONO.NivelExibicao,MAX($AD$15:OFFSET(AD47,-1,0))+IF($C47&lt;&gt;1,1,MAX(1,COUNTIF(QCI!$A$13:$A$24,OFFSET($E47,-1,0)))),"")</f>
        <v/>
      </c>
      <c r="AE47" s="114" t="str">
        <f t="shared" ca="1" si="18"/>
        <v>SINAPI 93381</v>
      </c>
      <c r="AF47" s="159" t="str">
        <f t="shared" ca="1" si="19"/>
        <v>(abra o arquivo 'Referência 05-2024.xls)</v>
      </c>
      <c r="AG47" s="579">
        <f t="shared" ca="1" si="20"/>
        <v>0</v>
      </c>
      <c r="AH47" s="580">
        <f t="shared" ca="1" si="21"/>
        <v>0.22470000000000001</v>
      </c>
      <c r="AJ47" s="582">
        <v>47.61</v>
      </c>
      <c r="AL47" s="612"/>
      <c r="AM47" s="430">
        <f t="shared" ca="1" si="0"/>
        <v>0</v>
      </c>
      <c r="AN47" s="655">
        <f t="shared" ca="1" si="22"/>
        <v>0</v>
      </c>
    </row>
    <row r="48" spans="1:40" ht="13.8" x14ac:dyDescent="0.3">
      <c r="A48">
        <f t="shared" si="1"/>
        <v>2</v>
      </c>
      <c r="B48">
        <f t="shared" ca="1" si="2"/>
        <v>2</v>
      </c>
      <c r="C48">
        <f t="shared" ca="1" si="3"/>
        <v>2</v>
      </c>
      <c r="D48">
        <f t="shared" ca="1" si="4"/>
        <v>44</v>
      </c>
      <c r="E48">
        <f ca="1">IF($C48=1,OFFSET(E48,-1,0)+MAX(1,COUNTIF(QCI!$A$13:$A$24,OFFSET(ORÇAMENTO!E48,-1,0))),OFFSET(E48,-1,0))</f>
        <v>1</v>
      </c>
      <c r="F48">
        <f t="shared" ca="1" si="5"/>
        <v>3</v>
      </c>
      <c r="G48">
        <f t="shared" ca="1" si="6"/>
        <v>0</v>
      </c>
      <c r="H48">
        <f t="shared" ca="1" si="7"/>
        <v>0</v>
      </c>
      <c r="I48">
        <f t="shared" ca="1" si="8"/>
        <v>0</v>
      </c>
      <c r="J48">
        <f t="shared" ca="1" si="9"/>
        <v>654</v>
      </c>
      <c r="K48">
        <f ca="1">IF(OR($C48="S",$C48=0),0,MATCH(OFFSET($D48,0,$C48)+IF($C48&lt;&gt;1,1,COUNTIF(QCI!$A$13:$A$24,ORÇAMENTO!E48)),OFFSET($D48,1,$C48,ROW($C$710)-ROW($C48)),0))</f>
        <v>44</v>
      </c>
      <c r="L48" s="143" t="str">
        <f t="shared" ca="1" si="10"/>
        <v>F</v>
      </c>
      <c r="M48" s="144" t="s">
        <v>198</v>
      </c>
      <c r="N48" s="145" t="str">
        <f t="shared" ca="1" si="11"/>
        <v>Nível 2</v>
      </c>
      <c r="O48" s="146" t="str">
        <f t="shared" ca="1" si="12"/>
        <v>1.3.</v>
      </c>
      <c r="P48" s="147" t="s">
        <v>249</v>
      </c>
      <c r="Q48" s="148"/>
      <c r="R48" s="149" t="s">
        <v>485</v>
      </c>
      <c r="S48" s="150" t="s">
        <v>168</v>
      </c>
      <c r="T48" s="151">
        <f ca="1">OFFSET(CÁLCULO!H$15,ROW($T48)-ROW(T$15),0)</f>
        <v>0</v>
      </c>
      <c r="U48" s="152">
        <f t="shared" ca="1" si="25"/>
        <v>0</v>
      </c>
      <c r="V48" s="153" t="s">
        <v>158</v>
      </c>
      <c r="W48" s="151">
        <f t="shared" ca="1" si="13"/>
        <v>0</v>
      </c>
      <c r="X48" s="154">
        <f t="shared" ca="1" si="14"/>
        <v>0</v>
      </c>
      <c r="Y48" s="155" t="s">
        <v>583</v>
      </c>
      <c r="Z48" t="str">
        <f t="shared" ca="1" si="15"/>
        <v/>
      </c>
      <c r="AA48" s="156">
        <f ca="1">IF($C48="S",IF($Z48="CP",$X48,IF($Z48="RA",(($X48)*QCI!$AA$3),0)),SomaAgrup)</f>
        <v>0</v>
      </c>
      <c r="AB48" s="157">
        <f t="shared" ca="1" si="16"/>
        <v>0</v>
      </c>
      <c r="AC48" s="158" t="str">
        <f t="shared" ca="1" si="17"/>
        <v/>
      </c>
      <c r="AD48" s="104">
        <f ca="1">IF(C48&lt;=CRONO.NivelExibicao,MAX($AD$15:OFFSET(AD48,-1,0))+IF($C48&lt;&gt;1,1,MAX(1,COUNTIF(QCI!$A$13:$A$24,OFFSET($E48,-1,0)))),"")</f>
        <v>4</v>
      </c>
      <c r="AE48" s="114" t="b">
        <f t="shared" ca="1" si="18"/>
        <v>0</v>
      </c>
      <c r="AF48" s="159" t="str">
        <f t="shared" ca="1" si="19"/>
        <v>(abra o arquivo 'Referência 05-2024.xls)</v>
      </c>
      <c r="AG48" s="579">
        <f t="shared" ca="1" si="20"/>
        <v>0</v>
      </c>
      <c r="AH48" s="580">
        <f t="shared" ca="1" si="21"/>
        <v>0.22470000000000001</v>
      </c>
      <c r="AJ48" s="582"/>
      <c r="AL48" s="612"/>
      <c r="AM48" s="430">
        <f t="shared" ca="1" si="0"/>
        <v>0</v>
      </c>
      <c r="AN48" s="655">
        <f t="shared" ca="1" si="22"/>
        <v>0</v>
      </c>
    </row>
    <row r="49" spans="1:40" ht="13.8" x14ac:dyDescent="0.3">
      <c r="A49">
        <f t="shared" si="1"/>
        <v>3</v>
      </c>
      <c r="B49">
        <f t="shared" ca="1" si="2"/>
        <v>3</v>
      </c>
      <c r="C49">
        <f t="shared" ca="1" si="3"/>
        <v>3</v>
      </c>
      <c r="D49">
        <f t="shared" ca="1" si="4"/>
        <v>7</v>
      </c>
      <c r="E49">
        <f ca="1">IF($C49=1,OFFSET(E49,-1,0)+MAX(1,COUNTIF(QCI!$A$13:$A$24,OFFSET(ORÇAMENTO!E49,-1,0))),OFFSET(E49,-1,0))</f>
        <v>1</v>
      </c>
      <c r="F49">
        <f t="shared" ca="1" si="5"/>
        <v>3</v>
      </c>
      <c r="G49">
        <f t="shared" ca="1" si="6"/>
        <v>1</v>
      </c>
      <c r="H49">
        <f t="shared" ca="1" si="7"/>
        <v>0</v>
      </c>
      <c r="I49">
        <f t="shared" ca="1" si="8"/>
        <v>0</v>
      </c>
      <c r="J49">
        <f t="shared" ca="1" si="9"/>
        <v>43</v>
      </c>
      <c r="K49">
        <f ca="1">IF(OR($C49="S",$C49=0),0,MATCH(OFFSET($D49,0,$C49)+IF($C49&lt;&gt;1,1,COUNTIF(QCI!$A$13:$A$24,ORÇAMENTO!E49)),OFFSET($D49,1,$C49,ROW($C$710)-ROW($C49)),0))</f>
        <v>7</v>
      </c>
      <c r="L49" s="143" t="str">
        <f t="shared" ca="1" si="10"/>
        <v>F</v>
      </c>
      <c r="M49" s="144" t="s">
        <v>199</v>
      </c>
      <c r="N49" s="145" t="str">
        <f t="shared" ca="1" si="11"/>
        <v>Nível 3</v>
      </c>
      <c r="O49" s="146" t="str">
        <f t="shared" ca="1" si="12"/>
        <v>1.3.1.</v>
      </c>
      <c r="P49" s="147" t="s">
        <v>249</v>
      </c>
      <c r="Q49" s="148"/>
      <c r="R49" s="149" t="s">
        <v>486</v>
      </c>
      <c r="S49" s="150" t="s">
        <v>168</v>
      </c>
      <c r="T49" s="151">
        <f ca="1">OFFSET(CÁLCULO!H$15,ROW($T49)-ROW(T$15),0)</f>
        <v>0</v>
      </c>
      <c r="U49" s="152">
        <f t="shared" ca="1" si="25"/>
        <v>0</v>
      </c>
      <c r="V49" s="153" t="s">
        <v>158</v>
      </c>
      <c r="W49" s="151">
        <f t="shared" ca="1" si="13"/>
        <v>0</v>
      </c>
      <c r="X49" s="154">
        <f t="shared" ca="1" si="14"/>
        <v>0</v>
      </c>
      <c r="Y49" s="155" t="s">
        <v>583</v>
      </c>
      <c r="Z49" t="str">
        <f t="shared" ca="1" si="15"/>
        <v/>
      </c>
      <c r="AA49" s="156">
        <f ca="1">IF($C49="S",IF($Z49="CP",$X49,IF($Z49="RA",(($X49)*QCI!$AA$3),0)),SomaAgrup)</f>
        <v>0</v>
      </c>
      <c r="AB49" s="157">
        <f t="shared" ca="1" si="16"/>
        <v>0</v>
      </c>
      <c r="AC49" s="158" t="str">
        <f t="shared" ca="1" si="17"/>
        <v/>
      </c>
      <c r="AD49" s="104" t="str">
        <f ca="1">IF(C49&lt;=CRONO.NivelExibicao,MAX($AD$15:OFFSET(AD49,-1,0))+IF($C49&lt;&gt;1,1,MAX(1,COUNTIF(QCI!$A$13:$A$24,OFFSET($E49,-1,0)))),"")</f>
        <v/>
      </c>
      <c r="AE49" s="114" t="b">
        <f t="shared" ca="1" si="18"/>
        <v>0</v>
      </c>
      <c r="AF49" s="159" t="str">
        <f t="shared" ca="1" si="19"/>
        <v>(abra o arquivo 'Referência 05-2024.xls)</v>
      </c>
      <c r="AG49" s="579">
        <f t="shared" ca="1" si="20"/>
        <v>0</v>
      </c>
      <c r="AH49" s="580">
        <f t="shared" ca="1" si="21"/>
        <v>0.22470000000000001</v>
      </c>
      <c r="AJ49" s="582"/>
      <c r="AL49" s="612"/>
      <c r="AM49" s="430">
        <f t="shared" ca="1" si="0"/>
        <v>0</v>
      </c>
      <c r="AN49" s="655">
        <f t="shared" ca="1" si="22"/>
        <v>0</v>
      </c>
    </row>
    <row r="50" spans="1:40" ht="13.8" x14ac:dyDescent="0.3">
      <c r="A50" t="str">
        <f t="shared" si="1"/>
        <v>S</v>
      </c>
      <c r="B50">
        <f t="shared" ca="1" si="2"/>
        <v>3</v>
      </c>
      <c r="C50" t="str">
        <f t="shared" ca="1" si="3"/>
        <v>S</v>
      </c>
      <c r="D50">
        <f t="shared" ca="1" si="4"/>
        <v>0</v>
      </c>
      <c r="E50">
        <f ca="1">IF($C50=1,OFFSET(E50,-1,0)+MAX(1,COUNTIF(QCI!$A$13:$A$24,OFFSET(ORÇAMENTO!E50,-1,0))),OFFSET(E50,-1,0))</f>
        <v>1</v>
      </c>
      <c r="F50">
        <f t="shared" ca="1" si="5"/>
        <v>3</v>
      </c>
      <c r="G50">
        <f t="shared" ca="1" si="6"/>
        <v>1</v>
      </c>
      <c r="H50">
        <f t="shared" ca="1" si="7"/>
        <v>0</v>
      </c>
      <c r="I50">
        <f t="shared" ca="1" si="8"/>
        <v>0</v>
      </c>
      <c r="J50">
        <f t="shared" ca="1" si="9"/>
        <v>0</v>
      </c>
      <c r="K50">
        <f ca="1">IF(OR($C50="S",$C50=0),0,MATCH(OFFSET($D50,0,$C50)+IF($C50&lt;&gt;1,1,COUNTIF(QCI!$A$13:$A$24,ORÇAMENTO!E50)),OFFSET($D50,1,$C50,ROW($C$710)-ROW($C50)),0))</f>
        <v>0</v>
      </c>
      <c r="L50" s="143" t="str">
        <f t="shared" ca="1" si="10"/>
        <v/>
      </c>
      <c r="M50" s="144" t="s">
        <v>201</v>
      </c>
      <c r="N50" s="145" t="str">
        <f t="shared" ca="1" si="11"/>
        <v>Serviço</v>
      </c>
      <c r="O50" s="146" t="str">
        <f t="shared" ca="1" si="12"/>
        <v>-</v>
      </c>
      <c r="P50" s="147" t="s">
        <v>249</v>
      </c>
      <c r="Q50" s="148">
        <v>104919</v>
      </c>
      <c r="R50" s="149" t="str">
        <f t="shared" ref="R50:R55" ca="1" si="26">IF($C50="S",REFERENCIA.Descricao,"(digite a descrição aqui)")</f>
        <v>(abra o arquivo 'Referência 05-2024.xls)</v>
      </c>
      <c r="S50" s="150" t="str">
        <f t="shared" ref="S50:S55" ca="1" si="27">REFERENCIA.Unidade</f>
        <v>-</v>
      </c>
      <c r="T50" s="151">
        <f ca="1">OFFSET(CÁLCULO!H$15,ROW($T50)-ROW(T$15),0)</f>
        <v>3148.22</v>
      </c>
      <c r="U50" s="152">
        <f t="shared" ca="1" si="25"/>
        <v>0</v>
      </c>
      <c r="V50" s="153" t="s">
        <v>158</v>
      </c>
      <c r="W50" s="151">
        <f t="shared" ca="1" si="13"/>
        <v>0</v>
      </c>
      <c r="X50" s="154">
        <f t="shared" ca="1" si="14"/>
        <v>0</v>
      </c>
      <c r="Y50" s="155" t="s">
        <v>583</v>
      </c>
      <c r="Z50" t="str">
        <f t="shared" ca="1" si="15"/>
        <v/>
      </c>
      <c r="AA50" s="156">
        <f ca="1">IF($C50="S",IF($Z50="CP",$X50,IF($Z50="RA",(($X50)*QCI!$AA$3),0)),SomaAgrup)</f>
        <v>0</v>
      </c>
      <c r="AB50" s="157">
        <f t="shared" ca="1" si="16"/>
        <v>0</v>
      </c>
      <c r="AC50" s="158" t="str">
        <f t="shared" ca="1" si="17"/>
        <v/>
      </c>
      <c r="AD50" s="104" t="str">
        <f ca="1">IF(C50&lt;=CRONO.NivelExibicao,MAX($AD$15:OFFSET(AD50,-1,0))+IF($C50&lt;&gt;1,1,MAX(1,COUNTIF(QCI!$A$13:$A$24,OFFSET($E50,-1,0)))),"")</f>
        <v/>
      </c>
      <c r="AE50" s="114" t="str">
        <f t="shared" ca="1" si="18"/>
        <v>SINAPI 104919</v>
      </c>
      <c r="AF50" s="159" t="str">
        <f t="shared" ca="1" si="19"/>
        <v>(abra o arquivo 'Referência 05-2024.xls)</v>
      </c>
      <c r="AG50" s="579">
        <f t="shared" ca="1" si="20"/>
        <v>0</v>
      </c>
      <c r="AH50" s="580">
        <f t="shared" ca="1" si="21"/>
        <v>0.22470000000000001</v>
      </c>
      <c r="AJ50" s="582">
        <v>3148.22</v>
      </c>
      <c r="AL50" s="612"/>
      <c r="AM50" s="430">
        <f t="shared" ca="1" si="0"/>
        <v>0</v>
      </c>
      <c r="AN50" s="655">
        <f t="shared" ca="1" si="22"/>
        <v>0</v>
      </c>
    </row>
    <row r="51" spans="1:40" ht="13.8" x14ac:dyDescent="0.3">
      <c r="A51" t="str">
        <f t="shared" si="1"/>
        <v>S</v>
      </c>
      <c r="B51">
        <f t="shared" ca="1" si="2"/>
        <v>3</v>
      </c>
      <c r="C51" t="str">
        <f t="shared" ca="1" si="3"/>
        <v>S</v>
      </c>
      <c r="D51">
        <f t="shared" ca="1" si="4"/>
        <v>0</v>
      </c>
      <c r="E51">
        <f ca="1">IF($C51=1,OFFSET(E51,-1,0)+MAX(1,COUNTIF(QCI!$A$13:$A$24,OFFSET(ORÇAMENTO!E51,-1,0))),OFFSET(E51,-1,0))</f>
        <v>1</v>
      </c>
      <c r="F51">
        <f t="shared" ca="1" si="5"/>
        <v>3</v>
      </c>
      <c r="G51">
        <f t="shared" ca="1" si="6"/>
        <v>1</v>
      </c>
      <c r="H51">
        <f t="shared" ca="1" si="7"/>
        <v>0</v>
      </c>
      <c r="I51">
        <f t="shared" ca="1" si="8"/>
        <v>0</v>
      </c>
      <c r="J51">
        <f t="shared" ca="1" si="9"/>
        <v>0</v>
      </c>
      <c r="K51">
        <f ca="1">IF(OR($C51="S",$C51=0),0,MATCH(OFFSET($D51,0,$C51)+IF($C51&lt;&gt;1,1,COUNTIF(QCI!$A$13:$A$24,ORÇAMENTO!E51)),OFFSET($D51,1,$C51,ROW($C$710)-ROW($C51)),0))</f>
        <v>0</v>
      </c>
      <c r="L51" s="143" t="str">
        <f t="shared" ca="1" si="10"/>
        <v/>
      </c>
      <c r="M51" s="144" t="s">
        <v>201</v>
      </c>
      <c r="N51" s="145" t="str">
        <f t="shared" ca="1" si="11"/>
        <v>Serviço</v>
      </c>
      <c r="O51" s="146" t="str">
        <f t="shared" ca="1" si="12"/>
        <v>-</v>
      </c>
      <c r="P51" s="147" t="s">
        <v>249</v>
      </c>
      <c r="Q51" s="148">
        <v>104920</v>
      </c>
      <c r="R51" s="149" t="str">
        <f t="shared" ca="1" si="26"/>
        <v>(abra o arquivo 'Referência 05-2024.xls)</v>
      </c>
      <c r="S51" s="150" t="str">
        <f t="shared" ca="1" si="27"/>
        <v>-</v>
      </c>
      <c r="T51" s="151">
        <f ca="1">OFFSET(CÁLCULO!H$15,ROW($T51)-ROW(T$15),0)</f>
        <v>1409.17</v>
      </c>
      <c r="U51" s="152">
        <f t="shared" ca="1" si="25"/>
        <v>0</v>
      </c>
      <c r="V51" s="153" t="s">
        <v>158</v>
      </c>
      <c r="W51" s="151">
        <f t="shared" ca="1" si="13"/>
        <v>0</v>
      </c>
      <c r="X51" s="154">
        <f t="shared" ca="1" si="14"/>
        <v>0</v>
      </c>
      <c r="Y51" s="155" t="s">
        <v>583</v>
      </c>
      <c r="Z51" t="str">
        <f t="shared" ca="1" si="15"/>
        <v/>
      </c>
      <c r="AA51" s="156">
        <f ca="1">IF($C51="S",IF($Z51="CP",$X51,IF($Z51="RA",(($X51)*QCI!$AA$3),0)),SomaAgrup)</f>
        <v>0</v>
      </c>
      <c r="AB51" s="157">
        <f t="shared" ca="1" si="16"/>
        <v>0</v>
      </c>
      <c r="AC51" s="158" t="str">
        <f t="shared" ca="1" si="17"/>
        <v/>
      </c>
      <c r="AD51" s="104" t="str">
        <f ca="1">IF(C51&lt;=CRONO.NivelExibicao,MAX($AD$15:OFFSET(AD51,-1,0))+IF($C51&lt;&gt;1,1,MAX(1,COUNTIF(QCI!$A$13:$A$24,OFFSET($E51,-1,0)))),"")</f>
        <v/>
      </c>
      <c r="AE51" s="114" t="str">
        <f t="shared" ca="1" si="18"/>
        <v>SINAPI 104920</v>
      </c>
      <c r="AF51" s="159" t="str">
        <f t="shared" ca="1" si="19"/>
        <v>(abra o arquivo 'Referência 05-2024.xls)</v>
      </c>
      <c r="AG51" s="579">
        <f t="shared" ca="1" si="20"/>
        <v>0</v>
      </c>
      <c r="AH51" s="580">
        <f t="shared" ca="1" si="21"/>
        <v>0.22470000000000001</v>
      </c>
      <c r="AJ51" s="582">
        <v>1409.17</v>
      </c>
      <c r="AL51" s="612"/>
      <c r="AM51" s="430">
        <f t="shared" ca="1" si="0"/>
        <v>0</v>
      </c>
      <c r="AN51" s="655">
        <f t="shared" ca="1" si="22"/>
        <v>0</v>
      </c>
    </row>
    <row r="52" spans="1:40" ht="13.8" x14ac:dyDescent="0.3">
      <c r="A52" t="str">
        <f t="shared" si="1"/>
        <v>S</v>
      </c>
      <c r="B52">
        <f t="shared" ca="1" si="2"/>
        <v>3</v>
      </c>
      <c r="C52" t="str">
        <f t="shared" ca="1" si="3"/>
        <v>S</v>
      </c>
      <c r="D52">
        <f t="shared" ca="1" si="4"/>
        <v>0</v>
      </c>
      <c r="E52">
        <f ca="1">IF($C52=1,OFFSET(E52,-1,0)+MAX(1,COUNTIF(QCI!$A$13:$A$24,OFFSET(ORÇAMENTO!E52,-1,0))),OFFSET(E52,-1,0))</f>
        <v>1</v>
      </c>
      <c r="F52">
        <f t="shared" ca="1" si="5"/>
        <v>3</v>
      </c>
      <c r="G52">
        <f t="shared" ca="1" si="6"/>
        <v>1</v>
      </c>
      <c r="H52">
        <f t="shared" ca="1" si="7"/>
        <v>0</v>
      </c>
      <c r="I52">
        <f t="shared" ca="1" si="8"/>
        <v>0</v>
      </c>
      <c r="J52">
        <f t="shared" ca="1" si="9"/>
        <v>0</v>
      </c>
      <c r="K52">
        <f ca="1">IF(OR($C52="S",$C52=0),0,MATCH(OFFSET($D52,0,$C52)+IF($C52&lt;&gt;1,1,COUNTIF(QCI!$A$13:$A$24,ORÇAMENTO!E52)),OFFSET($D52,1,$C52,ROW($C$710)-ROW($C52)),0))</f>
        <v>0</v>
      </c>
      <c r="L52" s="143" t="str">
        <f t="shared" ca="1" si="10"/>
        <v/>
      </c>
      <c r="M52" s="144" t="s">
        <v>201</v>
      </c>
      <c r="N52" s="145" t="str">
        <f t="shared" ca="1" si="11"/>
        <v>Serviço</v>
      </c>
      <c r="O52" s="146" t="str">
        <f t="shared" ca="1" si="12"/>
        <v>-</v>
      </c>
      <c r="P52" s="147" t="s">
        <v>249</v>
      </c>
      <c r="Q52" s="148">
        <v>104921</v>
      </c>
      <c r="R52" s="149" t="str">
        <f t="shared" ca="1" si="26"/>
        <v>(abra o arquivo 'Referência 05-2024.xls)</v>
      </c>
      <c r="S52" s="150" t="str">
        <f t="shared" ca="1" si="27"/>
        <v>-</v>
      </c>
      <c r="T52" s="151">
        <f ca="1">OFFSET(CÁLCULO!H$15,ROW($T52)-ROW(T$15),0)</f>
        <v>2036.46</v>
      </c>
      <c r="U52" s="152">
        <f t="shared" ca="1" si="25"/>
        <v>0</v>
      </c>
      <c r="V52" s="153" t="s">
        <v>158</v>
      </c>
      <c r="W52" s="151">
        <f t="shared" ca="1" si="13"/>
        <v>0</v>
      </c>
      <c r="X52" s="154">
        <f t="shared" ca="1" si="14"/>
        <v>0</v>
      </c>
      <c r="Y52" s="155" t="s">
        <v>583</v>
      </c>
      <c r="Z52" t="str">
        <f t="shared" ca="1" si="15"/>
        <v/>
      </c>
      <c r="AA52" s="156">
        <f ca="1">IF($C52="S",IF($Z52="CP",$X52,IF($Z52="RA",(($X52)*QCI!$AA$3),0)),SomaAgrup)</f>
        <v>0</v>
      </c>
      <c r="AB52" s="157">
        <f t="shared" ca="1" si="16"/>
        <v>0</v>
      </c>
      <c r="AC52" s="158" t="str">
        <f t="shared" ca="1" si="17"/>
        <v/>
      </c>
      <c r="AD52" s="104" t="str">
        <f ca="1">IF(C52&lt;=CRONO.NivelExibicao,MAX($AD$15:OFFSET(AD52,-1,0))+IF($C52&lt;&gt;1,1,MAX(1,COUNTIF(QCI!$A$13:$A$24,OFFSET($E52,-1,0)))),"")</f>
        <v/>
      </c>
      <c r="AE52" s="114" t="str">
        <f t="shared" ca="1" si="18"/>
        <v>SINAPI 104921</v>
      </c>
      <c r="AF52" s="159" t="str">
        <f t="shared" ca="1" si="19"/>
        <v>(abra o arquivo 'Referência 05-2024.xls)</v>
      </c>
      <c r="AG52" s="579">
        <f t="shared" ca="1" si="20"/>
        <v>0</v>
      </c>
      <c r="AH52" s="580">
        <f t="shared" ca="1" si="21"/>
        <v>0.22470000000000001</v>
      </c>
      <c r="AJ52" s="582">
        <v>2036.46</v>
      </c>
      <c r="AL52" s="612"/>
      <c r="AM52" s="430">
        <f t="shared" ca="1" si="0"/>
        <v>0</v>
      </c>
      <c r="AN52" s="655">
        <f t="shared" ca="1" si="22"/>
        <v>0</v>
      </c>
    </row>
    <row r="53" spans="1:40" ht="13.8" x14ac:dyDescent="0.3">
      <c r="A53" t="str">
        <f t="shared" si="1"/>
        <v>S</v>
      </c>
      <c r="B53">
        <f t="shared" ca="1" si="2"/>
        <v>3</v>
      </c>
      <c r="C53" t="str">
        <f t="shared" ca="1" si="3"/>
        <v>S</v>
      </c>
      <c r="D53">
        <f t="shared" ca="1" si="4"/>
        <v>0</v>
      </c>
      <c r="E53">
        <f ca="1">IF($C53=1,OFFSET(E53,-1,0)+MAX(1,COUNTIF(QCI!$A$13:$A$24,OFFSET(ORÇAMENTO!E53,-1,0))),OFFSET(E53,-1,0))</f>
        <v>1</v>
      </c>
      <c r="F53">
        <f t="shared" ca="1" si="5"/>
        <v>3</v>
      </c>
      <c r="G53">
        <f t="shared" ca="1" si="6"/>
        <v>1</v>
      </c>
      <c r="H53">
        <f t="shared" ca="1" si="7"/>
        <v>0</v>
      </c>
      <c r="I53">
        <f t="shared" ca="1" si="8"/>
        <v>0</v>
      </c>
      <c r="J53">
        <f t="shared" ca="1" si="9"/>
        <v>0</v>
      </c>
      <c r="K53">
        <f ca="1">IF(OR($C53="S",$C53=0),0,MATCH(OFFSET($D53,0,$C53)+IF($C53&lt;&gt;1,1,COUNTIF(QCI!$A$13:$A$24,ORÇAMENTO!E53)),OFFSET($D53,1,$C53,ROW($C$710)-ROW($C53)),0))</f>
        <v>0</v>
      </c>
      <c r="L53" s="143" t="str">
        <f t="shared" ca="1" si="10"/>
        <v/>
      </c>
      <c r="M53" s="144" t="s">
        <v>201</v>
      </c>
      <c r="N53" s="145" t="str">
        <f t="shared" ca="1" si="11"/>
        <v>Serviço</v>
      </c>
      <c r="O53" s="146" t="str">
        <f t="shared" ca="1" si="12"/>
        <v>-</v>
      </c>
      <c r="P53" s="147" t="s">
        <v>249</v>
      </c>
      <c r="Q53" s="148">
        <v>104922</v>
      </c>
      <c r="R53" s="149" t="str">
        <f t="shared" ca="1" si="26"/>
        <v>(abra o arquivo 'Referência 05-2024.xls)</v>
      </c>
      <c r="S53" s="150" t="str">
        <f t="shared" ca="1" si="27"/>
        <v>-</v>
      </c>
      <c r="T53" s="151">
        <f ca="1">OFFSET(CÁLCULO!H$15,ROW($T53)-ROW(T$15),0)</f>
        <v>78.790000000000006</v>
      </c>
      <c r="U53" s="152">
        <f t="shared" ca="1" si="25"/>
        <v>0</v>
      </c>
      <c r="V53" s="153" t="s">
        <v>158</v>
      </c>
      <c r="W53" s="151">
        <f t="shared" ca="1" si="13"/>
        <v>0</v>
      </c>
      <c r="X53" s="154">
        <f t="shared" ca="1" si="14"/>
        <v>0</v>
      </c>
      <c r="Y53" s="155" t="s">
        <v>583</v>
      </c>
      <c r="Z53" t="str">
        <f t="shared" ca="1" si="15"/>
        <v/>
      </c>
      <c r="AA53" s="156">
        <f ca="1">IF($C53="S",IF($Z53="CP",$X53,IF($Z53="RA",(($X53)*QCI!$AA$3),0)),SomaAgrup)</f>
        <v>0</v>
      </c>
      <c r="AB53" s="157">
        <f t="shared" ca="1" si="16"/>
        <v>0</v>
      </c>
      <c r="AC53" s="158" t="str">
        <f t="shared" ca="1" si="17"/>
        <v/>
      </c>
      <c r="AD53" s="104" t="str">
        <f ca="1">IF(C53&lt;=CRONO.NivelExibicao,MAX($AD$15:OFFSET(AD53,-1,0))+IF($C53&lt;&gt;1,1,MAX(1,COUNTIF(QCI!$A$13:$A$24,OFFSET($E53,-1,0)))),"")</f>
        <v/>
      </c>
      <c r="AE53" s="114" t="str">
        <f t="shared" ca="1" si="18"/>
        <v>SINAPI 104922</v>
      </c>
      <c r="AF53" s="159" t="str">
        <f t="shared" ca="1" si="19"/>
        <v>(abra o arquivo 'Referência 05-2024.xls)</v>
      </c>
      <c r="AG53" s="579">
        <f t="shared" ca="1" si="20"/>
        <v>0</v>
      </c>
      <c r="AH53" s="580">
        <f t="shared" ca="1" si="21"/>
        <v>0.22470000000000001</v>
      </c>
      <c r="AJ53" s="582">
        <v>78.790000000000006</v>
      </c>
      <c r="AL53" s="612"/>
      <c r="AM53" s="430">
        <f t="shared" ca="1" si="0"/>
        <v>0</v>
      </c>
      <c r="AN53" s="655">
        <f t="shared" ca="1" si="22"/>
        <v>0</v>
      </c>
    </row>
    <row r="54" spans="1:40" ht="13.8" x14ac:dyDescent="0.3">
      <c r="A54" t="str">
        <f t="shared" si="1"/>
        <v>S</v>
      </c>
      <c r="B54">
        <f t="shared" ca="1" si="2"/>
        <v>3</v>
      </c>
      <c r="C54" t="str">
        <f t="shared" ca="1" si="3"/>
        <v>S</v>
      </c>
      <c r="D54">
        <f t="shared" ca="1" si="4"/>
        <v>0</v>
      </c>
      <c r="E54">
        <f ca="1">IF($C54=1,OFFSET(E54,-1,0)+MAX(1,COUNTIF(QCI!$A$13:$A$24,OFFSET(ORÇAMENTO!E54,-1,0))),OFFSET(E54,-1,0))</f>
        <v>1</v>
      </c>
      <c r="F54">
        <f t="shared" ca="1" si="5"/>
        <v>3</v>
      </c>
      <c r="G54">
        <f t="shared" ca="1" si="6"/>
        <v>1</v>
      </c>
      <c r="H54">
        <f t="shared" ca="1" si="7"/>
        <v>0</v>
      </c>
      <c r="I54">
        <f t="shared" ca="1" si="8"/>
        <v>0</v>
      </c>
      <c r="J54">
        <f t="shared" ca="1" si="9"/>
        <v>0</v>
      </c>
      <c r="K54">
        <f ca="1">IF(OR($C54="S",$C54=0),0,MATCH(OFFSET($D54,0,$C54)+IF($C54&lt;&gt;1,1,COUNTIF(QCI!$A$13:$A$24,ORÇAMENTO!E54)),OFFSET($D54,1,$C54,ROW($C$710)-ROW($C54)),0))</f>
        <v>0</v>
      </c>
      <c r="L54" s="143" t="str">
        <f t="shared" ca="1" si="10"/>
        <v/>
      </c>
      <c r="M54" s="144" t="s">
        <v>201</v>
      </c>
      <c r="N54" s="145" t="str">
        <f t="shared" ca="1" si="11"/>
        <v>Serviço</v>
      </c>
      <c r="O54" s="146" t="str">
        <f t="shared" ca="1" si="12"/>
        <v>-</v>
      </c>
      <c r="P54" s="147" t="s">
        <v>249</v>
      </c>
      <c r="Q54" s="148">
        <v>96532</v>
      </c>
      <c r="R54" s="149" t="str">
        <f t="shared" ca="1" si="26"/>
        <v>(abra o arquivo 'Referência 05-2024.xls)</v>
      </c>
      <c r="S54" s="150" t="str">
        <f t="shared" ca="1" si="27"/>
        <v>-</v>
      </c>
      <c r="T54" s="151">
        <f ca="1">OFFSET(CÁLCULO!H$15,ROW($T54)-ROW(T$15),0)</f>
        <v>441.8</v>
      </c>
      <c r="U54" s="152">
        <f t="shared" ca="1" si="25"/>
        <v>0</v>
      </c>
      <c r="V54" s="153" t="s">
        <v>158</v>
      </c>
      <c r="W54" s="151">
        <f t="shared" ca="1" si="13"/>
        <v>0</v>
      </c>
      <c r="X54" s="154">
        <f t="shared" ca="1" si="14"/>
        <v>0</v>
      </c>
      <c r="Y54" s="155" t="s">
        <v>583</v>
      </c>
      <c r="Z54" t="str">
        <f t="shared" ca="1" si="15"/>
        <v/>
      </c>
      <c r="AA54" s="156">
        <f ca="1">IF($C54="S",IF($Z54="CP",$X54,IF($Z54="RA",(($X54)*QCI!$AA$3),0)),SomaAgrup)</f>
        <v>0</v>
      </c>
      <c r="AB54" s="157">
        <f t="shared" ca="1" si="16"/>
        <v>0</v>
      </c>
      <c r="AC54" s="158" t="str">
        <f t="shared" ca="1" si="17"/>
        <v/>
      </c>
      <c r="AD54" s="104" t="str">
        <f ca="1">IF(C54&lt;=CRONO.NivelExibicao,MAX($AD$15:OFFSET(AD54,-1,0))+IF($C54&lt;&gt;1,1,MAX(1,COUNTIF(QCI!$A$13:$A$24,OFFSET($E54,-1,0)))),"")</f>
        <v/>
      </c>
      <c r="AE54" s="114" t="str">
        <f t="shared" ca="1" si="18"/>
        <v>SINAPI 96532</v>
      </c>
      <c r="AF54" s="159" t="str">
        <f t="shared" ca="1" si="19"/>
        <v>(abra o arquivo 'Referência 05-2024.xls)</v>
      </c>
      <c r="AG54" s="579">
        <f t="shared" ca="1" si="20"/>
        <v>0</v>
      </c>
      <c r="AH54" s="580">
        <f t="shared" ca="1" si="21"/>
        <v>0.22470000000000001</v>
      </c>
      <c r="AJ54" s="582">
        <v>441.8</v>
      </c>
      <c r="AL54" s="612"/>
      <c r="AM54" s="430">
        <f t="shared" ca="1" si="0"/>
        <v>0</v>
      </c>
      <c r="AN54" s="655">
        <f t="shared" ca="1" si="22"/>
        <v>0</v>
      </c>
    </row>
    <row r="55" spans="1:40" ht="13.8" x14ac:dyDescent="0.3">
      <c r="A55" t="str">
        <f t="shared" si="1"/>
        <v>S</v>
      </c>
      <c r="B55">
        <f t="shared" ca="1" si="2"/>
        <v>3</v>
      </c>
      <c r="C55" t="str">
        <f t="shared" ca="1" si="3"/>
        <v>S</v>
      </c>
      <c r="D55">
        <f t="shared" ca="1" si="4"/>
        <v>0</v>
      </c>
      <c r="E55">
        <f ca="1">IF($C55=1,OFFSET(E55,-1,0)+MAX(1,COUNTIF(QCI!$A$13:$A$24,OFFSET(ORÇAMENTO!E55,-1,0))),OFFSET(E55,-1,0))</f>
        <v>1</v>
      </c>
      <c r="F55">
        <f t="shared" ca="1" si="5"/>
        <v>3</v>
      </c>
      <c r="G55">
        <f t="shared" ca="1" si="6"/>
        <v>1</v>
      </c>
      <c r="H55">
        <f t="shared" ca="1" si="7"/>
        <v>0</v>
      </c>
      <c r="I55">
        <f t="shared" ca="1" si="8"/>
        <v>0</v>
      </c>
      <c r="J55">
        <f t="shared" ca="1" si="9"/>
        <v>0</v>
      </c>
      <c r="K55">
        <f ca="1">IF(OR($C55="S",$C55=0),0,MATCH(OFFSET($D55,0,$C55)+IF($C55&lt;&gt;1,1,COUNTIF(QCI!$A$13:$A$24,ORÇAMENTO!E55)),OFFSET($D55,1,$C55,ROW($C$710)-ROW($C55)),0))</f>
        <v>0</v>
      </c>
      <c r="L55" s="143" t="str">
        <f t="shared" ca="1" si="10"/>
        <v/>
      </c>
      <c r="M55" s="144" t="s">
        <v>201</v>
      </c>
      <c r="N55" s="145" t="str">
        <f t="shared" ca="1" si="11"/>
        <v>Serviço</v>
      </c>
      <c r="O55" s="146" t="str">
        <f t="shared" ca="1" si="12"/>
        <v>-</v>
      </c>
      <c r="P55" s="147" t="s">
        <v>441</v>
      </c>
      <c r="Q55" s="148" t="s">
        <v>461</v>
      </c>
      <c r="R55" s="149" t="str">
        <f t="shared" ca="1" si="26"/>
        <v>(abra o arquivo 'Referência 05-2024.xls)</v>
      </c>
      <c r="S55" s="150" t="str">
        <f t="shared" ca="1" si="27"/>
        <v>-</v>
      </c>
      <c r="T55" s="151">
        <f ca="1">OFFSET(CÁLCULO!H$15,ROW($T55)-ROW(T$15),0)</f>
        <v>192.55</v>
      </c>
      <c r="U55" s="152">
        <f t="shared" ca="1" si="25"/>
        <v>0</v>
      </c>
      <c r="V55" s="153" t="s">
        <v>158</v>
      </c>
      <c r="W55" s="151">
        <f t="shared" ca="1" si="13"/>
        <v>0</v>
      </c>
      <c r="X55" s="154">
        <f t="shared" ca="1" si="14"/>
        <v>0</v>
      </c>
      <c r="Y55" s="155" t="s">
        <v>583</v>
      </c>
      <c r="Z55" t="str">
        <f t="shared" ca="1" si="15"/>
        <v/>
      </c>
      <c r="AA55" s="156">
        <f ca="1">IF($C55="S",IF($Z55="CP",$X55,IF($Z55="RA",(($X55)*QCI!$AA$3),0)),SomaAgrup)</f>
        <v>0</v>
      </c>
      <c r="AB55" s="157">
        <f t="shared" ca="1" si="16"/>
        <v>0</v>
      </c>
      <c r="AC55" s="158" t="str">
        <f t="shared" ca="1" si="17"/>
        <v/>
      </c>
      <c r="AD55" s="104" t="str">
        <f ca="1">IF(C55&lt;=CRONO.NivelExibicao,MAX($AD$15:OFFSET(AD55,-1,0))+IF($C55&lt;&gt;1,1,MAX(1,COUNTIF(QCI!$A$13:$A$24,OFFSET($E55,-1,0)))),"")</f>
        <v/>
      </c>
      <c r="AE55" s="114" t="str">
        <f t="shared" ca="1" si="18"/>
        <v>Composição CP-07</v>
      </c>
      <c r="AF55" s="159" t="str">
        <f t="shared" ca="1" si="19"/>
        <v>(abra o arquivo 'Referência 05-2024.xls)</v>
      </c>
      <c r="AG55" s="579">
        <f t="shared" ca="1" si="20"/>
        <v>0</v>
      </c>
      <c r="AH55" s="580">
        <f t="shared" ca="1" si="21"/>
        <v>0.22470000000000001</v>
      </c>
      <c r="AJ55" s="582">
        <v>192.55</v>
      </c>
      <c r="AL55" s="612"/>
      <c r="AM55" s="430">
        <f t="shared" ca="1" si="0"/>
        <v>0</v>
      </c>
      <c r="AN55" s="655">
        <f t="shared" ca="1" si="22"/>
        <v>0</v>
      </c>
    </row>
    <row r="56" spans="1:40" ht="13.8" x14ac:dyDescent="0.3">
      <c r="A56">
        <f t="shared" si="1"/>
        <v>3</v>
      </c>
      <c r="B56">
        <f t="shared" ca="1" si="2"/>
        <v>3</v>
      </c>
      <c r="C56">
        <f t="shared" ca="1" si="3"/>
        <v>3</v>
      </c>
      <c r="D56">
        <f t="shared" ca="1" si="4"/>
        <v>10</v>
      </c>
      <c r="E56">
        <f ca="1">IF($C56=1,OFFSET(E56,-1,0)+MAX(1,COUNTIF(QCI!$A$13:$A$24,OFFSET(ORÇAMENTO!E56,-1,0))),OFFSET(E56,-1,0))</f>
        <v>1</v>
      </c>
      <c r="F56">
        <f t="shared" ca="1" si="5"/>
        <v>3</v>
      </c>
      <c r="G56">
        <f t="shared" ca="1" si="6"/>
        <v>2</v>
      </c>
      <c r="H56">
        <f t="shared" ca="1" si="7"/>
        <v>0</v>
      </c>
      <c r="I56">
        <f t="shared" ca="1" si="8"/>
        <v>0</v>
      </c>
      <c r="J56">
        <f t="shared" ca="1" si="9"/>
        <v>36</v>
      </c>
      <c r="K56">
        <f ca="1">IF(OR($C56="S",$C56=0),0,MATCH(OFFSET($D56,0,$C56)+IF($C56&lt;&gt;1,1,COUNTIF(QCI!$A$13:$A$24,ORÇAMENTO!E56)),OFFSET($D56,1,$C56,ROW($C$710)-ROW($C56)),0))</f>
        <v>10</v>
      </c>
      <c r="L56" s="143" t="str">
        <f t="shared" ca="1" si="10"/>
        <v>F</v>
      </c>
      <c r="M56" s="144" t="s">
        <v>199</v>
      </c>
      <c r="N56" s="145" t="str">
        <f t="shared" ca="1" si="11"/>
        <v>Nível 3</v>
      </c>
      <c r="O56" s="146" t="str">
        <f t="shared" ca="1" si="12"/>
        <v>1.3.2.</v>
      </c>
      <c r="P56" s="147" t="s">
        <v>249</v>
      </c>
      <c r="Q56" s="148"/>
      <c r="R56" s="149" t="s">
        <v>487</v>
      </c>
      <c r="S56" s="150" t="s">
        <v>168</v>
      </c>
      <c r="T56" s="151">
        <f ca="1">OFFSET(CÁLCULO!H$15,ROW($T56)-ROW(T$15),0)</f>
        <v>0</v>
      </c>
      <c r="U56" s="152">
        <f t="shared" ca="1" si="25"/>
        <v>0</v>
      </c>
      <c r="V56" s="153" t="s">
        <v>158</v>
      </c>
      <c r="W56" s="151">
        <f t="shared" ca="1" si="13"/>
        <v>0</v>
      </c>
      <c r="X56" s="154">
        <f t="shared" ca="1" si="14"/>
        <v>0</v>
      </c>
      <c r="Y56" s="155" t="s">
        <v>583</v>
      </c>
      <c r="Z56" t="str">
        <f t="shared" ca="1" si="15"/>
        <v/>
      </c>
      <c r="AA56" s="156">
        <f ca="1">IF($C56="S",IF($Z56="CP",$X56,IF($Z56="RA",(($X56)*QCI!$AA$3),0)),SomaAgrup)</f>
        <v>0</v>
      </c>
      <c r="AB56" s="157">
        <f t="shared" ca="1" si="16"/>
        <v>0</v>
      </c>
      <c r="AC56" s="158" t="str">
        <f t="shared" ca="1" si="17"/>
        <v/>
      </c>
      <c r="AD56" s="104" t="str">
        <f ca="1">IF(C56&lt;=CRONO.NivelExibicao,MAX($AD$15:OFFSET(AD56,-1,0))+IF($C56&lt;&gt;1,1,MAX(1,COUNTIF(QCI!$A$13:$A$24,OFFSET($E56,-1,0)))),"")</f>
        <v/>
      </c>
      <c r="AE56" s="114" t="b">
        <f t="shared" ca="1" si="18"/>
        <v>0</v>
      </c>
      <c r="AF56" s="159" t="str">
        <f t="shared" ca="1" si="19"/>
        <v>(abra o arquivo 'Referência 05-2024.xls)</v>
      </c>
      <c r="AG56" s="579">
        <f t="shared" ca="1" si="20"/>
        <v>0</v>
      </c>
      <c r="AH56" s="580">
        <f t="shared" ca="1" si="21"/>
        <v>0.22470000000000001</v>
      </c>
      <c r="AJ56" s="582"/>
      <c r="AL56" s="612"/>
      <c r="AM56" s="430">
        <f t="shared" ca="1" si="0"/>
        <v>0</v>
      </c>
      <c r="AN56" s="655">
        <f t="shared" ca="1" si="22"/>
        <v>0</v>
      </c>
    </row>
    <row r="57" spans="1:40" ht="13.8" x14ac:dyDescent="0.3">
      <c r="A57" t="str">
        <f t="shared" si="1"/>
        <v>S</v>
      </c>
      <c r="B57">
        <f t="shared" ca="1" si="2"/>
        <v>3</v>
      </c>
      <c r="C57" t="str">
        <f t="shared" ca="1" si="3"/>
        <v>S</v>
      </c>
      <c r="D57">
        <f t="shared" ca="1" si="4"/>
        <v>0</v>
      </c>
      <c r="E57">
        <f ca="1">IF($C57=1,OFFSET(E57,-1,0)+MAX(1,COUNTIF(QCI!$A$13:$A$24,OFFSET(ORÇAMENTO!E57,-1,0))),OFFSET(E57,-1,0))</f>
        <v>1</v>
      </c>
      <c r="F57">
        <f t="shared" ca="1" si="5"/>
        <v>3</v>
      </c>
      <c r="G57">
        <f t="shared" ca="1" si="6"/>
        <v>2</v>
      </c>
      <c r="H57">
        <f t="shared" ca="1" si="7"/>
        <v>0</v>
      </c>
      <c r="I57">
        <f t="shared" ca="1" si="8"/>
        <v>0</v>
      </c>
      <c r="J57">
        <f t="shared" ca="1" si="9"/>
        <v>0</v>
      </c>
      <c r="K57">
        <f ca="1">IF(OR($C57="S",$C57=0),0,MATCH(OFFSET($D57,0,$C57)+IF($C57&lt;&gt;1,1,COUNTIF(QCI!$A$13:$A$24,ORÇAMENTO!E57)),OFFSET($D57,1,$C57,ROW($C$710)-ROW($C57)),0))</f>
        <v>0</v>
      </c>
      <c r="L57" s="143" t="str">
        <f t="shared" ca="1" si="10"/>
        <v/>
      </c>
      <c r="M57" s="144" t="s">
        <v>201</v>
      </c>
      <c r="N57" s="145" t="str">
        <f t="shared" ca="1" si="11"/>
        <v>Serviço</v>
      </c>
      <c r="O57" s="146" t="str">
        <f t="shared" ca="1" si="12"/>
        <v>-</v>
      </c>
      <c r="P57" s="147" t="s">
        <v>249</v>
      </c>
      <c r="Q57" s="148">
        <v>96619</v>
      </c>
      <c r="R57" s="149" t="str">
        <f t="shared" ref="R57:R65" ca="1" si="28">IF($C57="S",REFERENCIA.Descricao,"(digite a descrição aqui)")</f>
        <v>(abra o arquivo 'Referência 05-2024.xls)</v>
      </c>
      <c r="S57" s="150" t="str">
        <f t="shared" ref="S57:S65" ca="1" si="29">REFERENCIA.Unidade</f>
        <v>-</v>
      </c>
      <c r="T57" s="151">
        <f ca="1">OFFSET(CÁLCULO!H$15,ROW($T57)-ROW(T$15),0)</f>
        <v>161.96</v>
      </c>
      <c r="U57" s="152">
        <f t="shared" ca="1" si="25"/>
        <v>0</v>
      </c>
      <c r="V57" s="153" t="s">
        <v>158</v>
      </c>
      <c r="W57" s="151">
        <f t="shared" ca="1" si="13"/>
        <v>0</v>
      </c>
      <c r="X57" s="154">
        <f t="shared" ca="1" si="14"/>
        <v>0</v>
      </c>
      <c r="Y57" s="155" t="s">
        <v>583</v>
      </c>
      <c r="Z57" t="str">
        <f t="shared" ca="1" si="15"/>
        <v/>
      </c>
      <c r="AA57" s="156">
        <f ca="1">IF($C57="S",IF($Z57="CP",$X57,IF($Z57="RA",(($X57)*QCI!$AA$3),0)),SomaAgrup)</f>
        <v>0</v>
      </c>
      <c r="AB57" s="157">
        <f t="shared" ca="1" si="16"/>
        <v>0</v>
      </c>
      <c r="AC57" s="158" t="str">
        <f t="shared" ca="1" si="17"/>
        <v/>
      </c>
      <c r="AD57" s="104" t="str">
        <f ca="1">IF(C57&lt;=CRONO.NivelExibicao,MAX($AD$15:OFFSET(AD57,-1,0))+IF($C57&lt;&gt;1,1,MAX(1,COUNTIF(QCI!$A$13:$A$24,OFFSET($E57,-1,0)))),"")</f>
        <v/>
      </c>
      <c r="AE57" s="114" t="str">
        <f t="shared" ca="1" si="18"/>
        <v>SINAPI 96619</v>
      </c>
      <c r="AF57" s="159" t="str">
        <f t="shared" ca="1" si="19"/>
        <v>(abra o arquivo 'Referência 05-2024.xls)</v>
      </c>
      <c r="AG57" s="579">
        <f t="shared" ca="1" si="20"/>
        <v>0</v>
      </c>
      <c r="AH57" s="580">
        <f t="shared" ca="1" si="21"/>
        <v>0.22470000000000001</v>
      </c>
      <c r="AJ57" s="582">
        <v>161.96</v>
      </c>
      <c r="AL57" s="612"/>
      <c r="AM57" s="430">
        <f t="shared" ca="1" si="0"/>
        <v>0</v>
      </c>
      <c r="AN57" s="655">
        <f t="shared" ca="1" si="22"/>
        <v>0</v>
      </c>
    </row>
    <row r="58" spans="1:40" ht="13.8" x14ac:dyDescent="0.3">
      <c r="A58" t="str">
        <f t="shared" si="1"/>
        <v>S</v>
      </c>
      <c r="B58">
        <f t="shared" ca="1" si="2"/>
        <v>3</v>
      </c>
      <c r="C58" t="str">
        <f t="shared" ca="1" si="3"/>
        <v>S</v>
      </c>
      <c r="D58">
        <f t="shared" ca="1" si="4"/>
        <v>0</v>
      </c>
      <c r="E58">
        <f ca="1">IF($C58=1,OFFSET(E58,-1,0)+MAX(1,COUNTIF(QCI!$A$13:$A$24,OFFSET(ORÇAMENTO!E58,-1,0))),OFFSET(E58,-1,0))</f>
        <v>1</v>
      </c>
      <c r="F58">
        <f t="shared" ca="1" si="5"/>
        <v>3</v>
      </c>
      <c r="G58">
        <f t="shared" ca="1" si="6"/>
        <v>2</v>
      </c>
      <c r="H58">
        <f t="shared" ca="1" si="7"/>
        <v>0</v>
      </c>
      <c r="I58">
        <f t="shared" ca="1" si="8"/>
        <v>0</v>
      </c>
      <c r="J58">
        <f t="shared" ca="1" si="9"/>
        <v>0</v>
      </c>
      <c r="K58">
        <f ca="1">IF(OR($C58="S",$C58=0),0,MATCH(OFFSET($D58,0,$C58)+IF($C58&lt;&gt;1,1,COUNTIF(QCI!$A$13:$A$24,ORÇAMENTO!E58)),OFFSET($D58,1,$C58,ROW($C$710)-ROW($C58)),0))</f>
        <v>0</v>
      </c>
      <c r="L58" s="143" t="str">
        <f t="shared" ca="1" si="10"/>
        <v/>
      </c>
      <c r="M58" s="144" t="s">
        <v>201</v>
      </c>
      <c r="N58" s="145" t="str">
        <f t="shared" ca="1" si="11"/>
        <v>Serviço</v>
      </c>
      <c r="O58" s="146" t="str">
        <f t="shared" ca="1" si="12"/>
        <v>-</v>
      </c>
      <c r="P58" s="147" t="s">
        <v>249</v>
      </c>
      <c r="Q58" s="148">
        <v>94968</v>
      </c>
      <c r="R58" s="149" t="str">
        <f t="shared" ca="1" si="28"/>
        <v>(abra o arquivo 'Referência 05-2024.xls)</v>
      </c>
      <c r="S58" s="150" t="str">
        <f t="shared" ca="1" si="29"/>
        <v>-</v>
      </c>
      <c r="T58" s="151">
        <f ca="1">OFFSET(CÁLCULO!H$15,ROW($T58)-ROW(T$15),0)</f>
        <v>80.209999999999994</v>
      </c>
      <c r="U58" s="152">
        <f t="shared" ca="1" si="25"/>
        <v>0</v>
      </c>
      <c r="V58" s="153" t="s">
        <v>158</v>
      </c>
      <c r="W58" s="151">
        <f t="shared" ca="1" si="13"/>
        <v>0</v>
      </c>
      <c r="X58" s="154">
        <f t="shared" ca="1" si="14"/>
        <v>0</v>
      </c>
      <c r="Y58" s="155" t="s">
        <v>583</v>
      </c>
      <c r="Z58" t="str">
        <f t="shared" ca="1" si="15"/>
        <v/>
      </c>
      <c r="AA58" s="156">
        <f ca="1">IF($C58="S",IF($Z58="CP",$X58,IF($Z58="RA",(($X58)*QCI!$AA$3),0)),SomaAgrup)</f>
        <v>0</v>
      </c>
      <c r="AB58" s="157">
        <f t="shared" ca="1" si="16"/>
        <v>0</v>
      </c>
      <c r="AC58" s="158" t="str">
        <f t="shared" ca="1" si="17"/>
        <v/>
      </c>
      <c r="AD58" s="104" t="str">
        <f ca="1">IF(C58&lt;=CRONO.NivelExibicao,MAX($AD$15:OFFSET(AD58,-1,0))+IF($C58&lt;&gt;1,1,MAX(1,COUNTIF(QCI!$A$13:$A$24,OFFSET($E58,-1,0)))),"")</f>
        <v/>
      </c>
      <c r="AE58" s="114" t="str">
        <f t="shared" ca="1" si="18"/>
        <v>SINAPI 94968</v>
      </c>
      <c r="AF58" s="159" t="str">
        <f t="shared" ca="1" si="19"/>
        <v>(abra o arquivo 'Referência 05-2024.xls)</v>
      </c>
      <c r="AG58" s="579">
        <f t="shared" ca="1" si="20"/>
        <v>0</v>
      </c>
      <c r="AH58" s="580">
        <f t="shared" ca="1" si="21"/>
        <v>0.22470000000000001</v>
      </c>
      <c r="AJ58" s="582">
        <v>80.209999999999994</v>
      </c>
      <c r="AL58" s="612"/>
      <c r="AM58" s="430">
        <f t="shared" ca="1" si="0"/>
        <v>0</v>
      </c>
      <c r="AN58" s="655">
        <f t="shared" ca="1" si="22"/>
        <v>0</v>
      </c>
    </row>
    <row r="59" spans="1:40" ht="13.8" x14ac:dyDescent="0.3">
      <c r="A59" t="str">
        <f t="shared" si="1"/>
        <v>S</v>
      </c>
      <c r="B59">
        <f t="shared" ca="1" si="2"/>
        <v>3</v>
      </c>
      <c r="C59" t="str">
        <f t="shared" ca="1" si="3"/>
        <v>S</v>
      </c>
      <c r="D59">
        <f t="shared" ca="1" si="4"/>
        <v>0</v>
      </c>
      <c r="E59">
        <f ca="1">IF($C59=1,OFFSET(E59,-1,0)+MAX(1,COUNTIF(QCI!$A$13:$A$24,OFFSET(ORÇAMENTO!E59,-1,0))),OFFSET(E59,-1,0))</f>
        <v>1</v>
      </c>
      <c r="F59">
        <f t="shared" ca="1" si="5"/>
        <v>3</v>
      </c>
      <c r="G59">
        <f t="shared" ca="1" si="6"/>
        <v>2</v>
      </c>
      <c r="H59">
        <f t="shared" ca="1" si="7"/>
        <v>0</v>
      </c>
      <c r="I59">
        <f t="shared" ca="1" si="8"/>
        <v>0</v>
      </c>
      <c r="J59">
        <f t="shared" ca="1" si="9"/>
        <v>0</v>
      </c>
      <c r="K59">
        <f ca="1">IF(OR($C59="S",$C59=0),0,MATCH(OFFSET($D59,0,$C59)+IF($C59&lt;&gt;1,1,COUNTIF(QCI!$A$13:$A$24,ORÇAMENTO!E59)),OFFSET($D59,1,$C59,ROW($C$710)-ROW($C59)),0))</f>
        <v>0</v>
      </c>
      <c r="L59" s="143" t="str">
        <f t="shared" ca="1" si="10"/>
        <v/>
      </c>
      <c r="M59" s="144" t="s">
        <v>201</v>
      </c>
      <c r="N59" s="145" t="str">
        <f t="shared" ca="1" si="11"/>
        <v>Serviço</v>
      </c>
      <c r="O59" s="146" t="str">
        <f t="shared" ca="1" si="12"/>
        <v>-</v>
      </c>
      <c r="P59" s="147" t="s">
        <v>249</v>
      </c>
      <c r="Q59" s="148">
        <v>96536</v>
      </c>
      <c r="R59" s="149" t="str">
        <f t="shared" ca="1" si="28"/>
        <v>(abra o arquivo 'Referência 05-2024.xls)</v>
      </c>
      <c r="S59" s="150" t="str">
        <f t="shared" ca="1" si="29"/>
        <v>-</v>
      </c>
      <c r="T59" s="151">
        <f ca="1">OFFSET(CÁLCULO!H$15,ROW($T59)-ROW(T$15),0)</f>
        <v>844.75</v>
      </c>
      <c r="U59" s="152">
        <f t="shared" ca="1" si="25"/>
        <v>0</v>
      </c>
      <c r="V59" s="153" t="s">
        <v>158</v>
      </c>
      <c r="W59" s="151">
        <f t="shared" ca="1" si="13"/>
        <v>0</v>
      </c>
      <c r="X59" s="154">
        <f t="shared" ca="1" si="14"/>
        <v>0</v>
      </c>
      <c r="Y59" s="155" t="s">
        <v>583</v>
      </c>
      <c r="Z59" t="str">
        <f t="shared" ca="1" si="15"/>
        <v/>
      </c>
      <c r="AA59" s="156">
        <f ca="1">IF($C59="S",IF($Z59="CP",$X59,IF($Z59="RA",(($X59)*QCI!$AA$3),0)),SomaAgrup)</f>
        <v>0</v>
      </c>
      <c r="AB59" s="157">
        <f t="shared" ca="1" si="16"/>
        <v>0</v>
      </c>
      <c r="AC59" s="158" t="str">
        <f t="shared" ca="1" si="17"/>
        <v/>
      </c>
      <c r="AD59" s="104" t="str">
        <f ca="1">IF(C59&lt;=CRONO.NivelExibicao,MAX($AD$15:OFFSET(AD59,-1,0))+IF($C59&lt;&gt;1,1,MAX(1,COUNTIF(QCI!$A$13:$A$24,OFFSET($E59,-1,0)))),"")</f>
        <v/>
      </c>
      <c r="AE59" s="114" t="str">
        <f t="shared" ca="1" si="18"/>
        <v>SINAPI 96536</v>
      </c>
      <c r="AF59" s="159" t="str">
        <f t="shared" ca="1" si="19"/>
        <v>(abra o arquivo 'Referência 05-2024.xls)</v>
      </c>
      <c r="AG59" s="579">
        <f t="shared" ca="1" si="20"/>
        <v>0</v>
      </c>
      <c r="AH59" s="580">
        <f t="shared" ca="1" si="21"/>
        <v>0.22470000000000001</v>
      </c>
      <c r="AJ59" s="582">
        <v>844.75</v>
      </c>
      <c r="AL59" s="612"/>
      <c r="AM59" s="430">
        <f t="shared" ca="1" si="0"/>
        <v>0</v>
      </c>
      <c r="AN59" s="655">
        <f t="shared" ca="1" si="22"/>
        <v>0</v>
      </c>
    </row>
    <row r="60" spans="1:40" ht="13.8" x14ac:dyDescent="0.3">
      <c r="A60" t="str">
        <f t="shared" si="1"/>
        <v>S</v>
      </c>
      <c r="B60">
        <f t="shared" ca="1" si="2"/>
        <v>3</v>
      </c>
      <c r="C60" t="str">
        <f t="shared" ca="1" si="3"/>
        <v>S</v>
      </c>
      <c r="D60">
        <f t="shared" ca="1" si="4"/>
        <v>0</v>
      </c>
      <c r="E60">
        <f ca="1">IF($C60=1,OFFSET(E60,-1,0)+MAX(1,COUNTIF(QCI!$A$13:$A$24,OFFSET(ORÇAMENTO!E60,-1,0))),OFFSET(E60,-1,0))</f>
        <v>1</v>
      </c>
      <c r="F60">
        <f t="shared" ca="1" si="5"/>
        <v>3</v>
      </c>
      <c r="G60">
        <f t="shared" ca="1" si="6"/>
        <v>2</v>
      </c>
      <c r="H60">
        <f t="shared" ca="1" si="7"/>
        <v>0</v>
      </c>
      <c r="I60">
        <f t="shared" ca="1" si="8"/>
        <v>0</v>
      </c>
      <c r="J60">
        <f t="shared" ca="1" si="9"/>
        <v>0</v>
      </c>
      <c r="K60">
        <f ca="1">IF(OR($C60="S",$C60=0),0,MATCH(OFFSET($D60,0,$C60)+IF($C60&lt;&gt;1,1,COUNTIF(QCI!$A$13:$A$24,ORÇAMENTO!E60)),OFFSET($D60,1,$C60,ROW($C$710)-ROW($C60)),0))</f>
        <v>0</v>
      </c>
      <c r="L60" s="143" t="str">
        <f t="shared" ca="1" si="10"/>
        <v/>
      </c>
      <c r="M60" s="144" t="s">
        <v>201</v>
      </c>
      <c r="N60" s="145" t="str">
        <f t="shared" ca="1" si="11"/>
        <v>Serviço</v>
      </c>
      <c r="O60" s="146" t="str">
        <f t="shared" ca="1" si="12"/>
        <v>-</v>
      </c>
      <c r="P60" s="147" t="s">
        <v>249</v>
      </c>
      <c r="Q60" s="148">
        <v>104917</v>
      </c>
      <c r="R60" s="149" t="str">
        <f t="shared" ca="1" si="28"/>
        <v>(abra o arquivo 'Referência 05-2024.xls)</v>
      </c>
      <c r="S60" s="150" t="str">
        <f t="shared" ca="1" si="29"/>
        <v>-</v>
      </c>
      <c r="T60" s="151">
        <f ca="1">OFFSET(CÁLCULO!H$15,ROW($T60)-ROW(T$15),0)</f>
        <v>33.840000000000003</v>
      </c>
      <c r="U60" s="152">
        <f t="shared" ca="1" si="25"/>
        <v>0</v>
      </c>
      <c r="V60" s="153" t="s">
        <v>158</v>
      </c>
      <c r="W60" s="151">
        <f t="shared" ca="1" si="13"/>
        <v>0</v>
      </c>
      <c r="X60" s="154">
        <f t="shared" ca="1" si="14"/>
        <v>0</v>
      </c>
      <c r="Y60" s="155" t="s">
        <v>583</v>
      </c>
      <c r="Z60" t="str">
        <f t="shared" ca="1" si="15"/>
        <v/>
      </c>
      <c r="AA60" s="156">
        <f ca="1">IF($C60="S",IF($Z60="CP",$X60,IF($Z60="RA",(($X60)*QCI!$AA$3),0)),SomaAgrup)</f>
        <v>0</v>
      </c>
      <c r="AB60" s="157">
        <f t="shared" ca="1" si="16"/>
        <v>0</v>
      </c>
      <c r="AC60" s="158" t="str">
        <f t="shared" ca="1" si="17"/>
        <v/>
      </c>
      <c r="AD60" s="104" t="str">
        <f ca="1">IF(C60&lt;=CRONO.NivelExibicao,MAX($AD$15:OFFSET(AD60,-1,0))+IF($C60&lt;&gt;1,1,MAX(1,COUNTIF(QCI!$A$13:$A$24,OFFSET($E60,-1,0)))),"")</f>
        <v/>
      </c>
      <c r="AE60" s="114" t="str">
        <f t="shared" ca="1" si="18"/>
        <v>SINAPI 104917</v>
      </c>
      <c r="AF60" s="159" t="str">
        <f t="shared" ca="1" si="19"/>
        <v>(abra o arquivo 'Referência 05-2024.xls)</v>
      </c>
      <c r="AG60" s="579">
        <f t="shared" ca="1" si="20"/>
        <v>0</v>
      </c>
      <c r="AH60" s="580">
        <f t="shared" ca="1" si="21"/>
        <v>0.22470000000000001</v>
      </c>
      <c r="AJ60" s="582">
        <v>33.840000000000003</v>
      </c>
      <c r="AL60" s="612"/>
      <c r="AM60" s="430">
        <f t="shared" ca="1" si="0"/>
        <v>0</v>
      </c>
      <c r="AN60" s="655">
        <f t="shared" ca="1" si="22"/>
        <v>0</v>
      </c>
    </row>
    <row r="61" spans="1:40" ht="13.8" x14ac:dyDescent="0.3">
      <c r="A61" t="str">
        <f t="shared" si="1"/>
        <v>S</v>
      </c>
      <c r="B61">
        <f t="shared" ca="1" si="2"/>
        <v>3</v>
      </c>
      <c r="C61" t="str">
        <f t="shared" ca="1" si="3"/>
        <v>S</v>
      </c>
      <c r="D61">
        <f t="shared" ca="1" si="4"/>
        <v>0</v>
      </c>
      <c r="E61">
        <f ca="1">IF($C61=1,OFFSET(E61,-1,0)+MAX(1,COUNTIF(QCI!$A$13:$A$24,OFFSET(ORÇAMENTO!E61,-1,0))),OFFSET(E61,-1,0))</f>
        <v>1</v>
      </c>
      <c r="F61">
        <f t="shared" ca="1" si="5"/>
        <v>3</v>
      </c>
      <c r="G61">
        <f t="shared" ca="1" si="6"/>
        <v>2</v>
      </c>
      <c r="H61">
        <f t="shared" ca="1" si="7"/>
        <v>0</v>
      </c>
      <c r="I61">
        <f t="shared" ca="1" si="8"/>
        <v>0</v>
      </c>
      <c r="J61">
        <f t="shared" ca="1" si="9"/>
        <v>0</v>
      </c>
      <c r="K61">
        <f ca="1">IF(OR($C61="S",$C61=0),0,MATCH(OFFSET($D61,0,$C61)+IF($C61&lt;&gt;1,1,COUNTIF(QCI!$A$13:$A$24,ORÇAMENTO!E61)),OFFSET($D61,1,$C61,ROW($C$710)-ROW($C61)),0))</f>
        <v>0</v>
      </c>
      <c r="L61" s="143" t="str">
        <f t="shared" ca="1" si="10"/>
        <v/>
      </c>
      <c r="M61" s="144" t="s">
        <v>201</v>
      </c>
      <c r="N61" s="145" t="str">
        <f t="shared" ca="1" si="11"/>
        <v>Serviço</v>
      </c>
      <c r="O61" s="146" t="str">
        <f t="shared" ca="1" si="12"/>
        <v>-</v>
      </c>
      <c r="P61" s="147" t="s">
        <v>249</v>
      </c>
      <c r="Q61" s="148">
        <v>104918</v>
      </c>
      <c r="R61" s="149" t="str">
        <f t="shared" ca="1" si="28"/>
        <v>(abra o arquivo 'Referência 05-2024.xls)</v>
      </c>
      <c r="S61" s="150" t="str">
        <f t="shared" ca="1" si="29"/>
        <v>-</v>
      </c>
      <c r="T61" s="151">
        <f ca="1">OFFSET(CÁLCULO!H$15,ROW($T61)-ROW(T$15),0)</f>
        <v>1381.41</v>
      </c>
      <c r="U61" s="152">
        <f t="shared" ca="1" si="25"/>
        <v>0</v>
      </c>
      <c r="V61" s="153" t="s">
        <v>158</v>
      </c>
      <c r="W61" s="151">
        <f t="shared" ca="1" si="13"/>
        <v>0</v>
      </c>
      <c r="X61" s="154">
        <f t="shared" ca="1" si="14"/>
        <v>0</v>
      </c>
      <c r="Y61" s="155" t="s">
        <v>583</v>
      </c>
      <c r="Z61" t="str">
        <f t="shared" ca="1" si="15"/>
        <v/>
      </c>
      <c r="AA61" s="156">
        <f ca="1">IF($C61="S",IF($Z61="CP",$X61,IF($Z61="RA",(($X61)*QCI!$AA$3),0)),SomaAgrup)</f>
        <v>0</v>
      </c>
      <c r="AB61" s="157">
        <f t="shared" ca="1" si="16"/>
        <v>0</v>
      </c>
      <c r="AC61" s="158" t="str">
        <f t="shared" ca="1" si="17"/>
        <v/>
      </c>
      <c r="AD61" s="104" t="str">
        <f ca="1">IF(C61&lt;=CRONO.NivelExibicao,MAX($AD$15:OFFSET(AD61,-1,0))+IF($C61&lt;&gt;1,1,MAX(1,COUNTIF(QCI!$A$13:$A$24,OFFSET($E61,-1,0)))),"")</f>
        <v/>
      </c>
      <c r="AE61" s="114" t="str">
        <f t="shared" ca="1" si="18"/>
        <v>SINAPI 104918</v>
      </c>
      <c r="AF61" s="159" t="str">
        <f t="shared" ca="1" si="19"/>
        <v>(abra o arquivo 'Referência 05-2024.xls)</v>
      </c>
      <c r="AG61" s="579">
        <f t="shared" ca="1" si="20"/>
        <v>0</v>
      </c>
      <c r="AH61" s="580">
        <f t="shared" ca="1" si="21"/>
        <v>0.22470000000000001</v>
      </c>
      <c r="AJ61" s="582">
        <v>1381.41</v>
      </c>
      <c r="AL61" s="612"/>
      <c r="AM61" s="430">
        <f t="shared" ca="1" si="0"/>
        <v>0</v>
      </c>
      <c r="AN61" s="655">
        <f t="shared" ca="1" si="22"/>
        <v>0</v>
      </c>
    </row>
    <row r="62" spans="1:40" ht="13.8" x14ac:dyDescent="0.3">
      <c r="A62" t="str">
        <f t="shared" si="1"/>
        <v>S</v>
      </c>
      <c r="B62">
        <f t="shared" ca="1" si="2"/>
        <v>3</v>
      </c>
      <c r="C62" t="str">
        <f t="shared" ca="1" si="3"/>
        <v>S</v>
      </c>
      <c r="D62">
        <f t="shared" ca="1" si="4"/>
        <v>0</v>
      </c>
      <c r="E62">
        <f ca="1">IF($C62=1,OFFSET(E62,-1,0)+MAX(1,COUNTIF(QCI!$A$13:$A$24,OFFSET(ORÇAMENTO!E62,-1,0))),OFFSET(E62,-1,0))</f>
        <v>1</v>
      </c>
      <c r="F62">
        <f t="shared" ca="1" si="5"/>
        <v>3</v>
      </c>
      <c r="G62">
        <f t="shared" ca="1" si="6"/>
        <v>2</v>
      </c>
      <c r="H62">
        <f t="shared" ca="1" si="7"/>
        <v>0</v>
      </c>
      <c r="I62">
        <f t="shared" ca="1" si="8"/>
        <v>0</v>
      </c>
      <c r="J62">
        <f t="shared" ca="1" si="9"/>
        <v>0</v>
      </c>
      <c r="K62">
        <f ca="1">IF(OR($C62="S",$C62=0),0,MATCH(OFFSET($D62,0,$C62)+IF($C62&lt;&gt;1,1,COUNTIF(QCI!$A$13:$A$24,ORÇAMENTO!E62)),OFFSET($D62,1,$C62,ROW($C$710)-ROW($C62)),0))</f>
        <v>0</v>
      </c>
      <c r="L62" s="143" t="str">
        <f t="shared" ca="1" si="10"/>
        <v/>
      </c>
      <c r="M62" s="144" t="s">
        <v>201</v>
      </c>
      <c r="N62" s="145" t="str">
        <f t="shared" ca="1" si="11"/>
        <v>Serviço</v>
      </c>
      <c r="O62" s="146" t="str">
        <f t="shared" ca="1" si="12"/>
        <v>-</v>
      </c>
      <c r="P62" s="147" t="s">
        <v>249</v>
      </c>
      <c r="Q62" s="148">
        <v>104919</v>
      </c>
      <c r="R62" s="149" t="str">
        <f t="shared" ca="1" si="28"/>
        <v>(abra o arquivo 'Referência 05-2024.xls)</v>
      </c>
      <c r="S62" s="150" t="str">
        <f t="shared" ca="1" si="29"/>
        <v>-</v>
      </c>
      <c r="T62" s="151">
        <f ca="1">OFFSET(CÁLCULO!H$15,ROW($T62)-ROW(T$15),0)</f>
        <v>577.22</v>
      </c>
      <c r="U62" s="152">
        <f t="shared" ca="1" si="25"/>
        <v>0</v>
      </c>
      <c r="V62" s="153" t="s">
        <v>158</v>
      </c>
      <c r="W62" s="151">
        <f t="shared" ca="1" si="13"/>
        <v>0</v>
      </c>
      <c r="X62" s="154">
        <f t="shared" ca="1" si="14"/>
        <v>0</v>
      </c>
      <c r="Y62" s="155" t="s">
        <v>583</v>
      </c>
      <c r="Z62" t="str">
        <f t="shared" ca="1" si="15"/>
        <v/>
      </c>
      <c r="AA62" s="156">
        <f ca="1">IF($C62="S",IF($Z62="CP",$X62,IF($Z62="RA",(($X62)*QCI!$AA$3),0)),SomaAgrup)</f>
        <v>0</v>
      </c>
      <c r="AB62" s="157">
        <f t="shared" ca="1" si="16"/>
        <v>0</v>
      </c>
      <c r="AC62" s="158" t="str">
        <f t="shared" ca="1" si="17"/>
        <v/>
      </c>
      <c r="AD62" s="104" t="str">
        <f ca="1">IF(C62&lt;=CRONO.NivelExibicao,MAX($AD$15:OFFSET(AD62,-1,0))+IF($C62&lt;&gt;1,1,MAX(1,COUNTIF(QCI!$A$13:$A$24,OFFSET($E62,-1,0)))),"")</f>
        <v/>
      </c>
      <c r="AE62" s="114" t="str">
        <f t="shared" ca="1" si="18"/>
        <v>SINAPI 104919</v>
      </c>
      <c r="AF62" s="159" t="str">
        <f t="shared" ca="1" si="19"/>
        <v>(abra o arquivo 'Referência 05-2024.xls)</v>
      </c>
      <c r="AG62" s="579">
        <f t="shared" ca="1" si="20"/>
        <v>0</v>
      </c>
      <c r="AH62" s="580">
        <f t="shared" ca="1" si="21"/>
        <v>0.22470000000000001</v>
      </c>
      <c r="AJ62" s="582">
        <v>577.22</v>
      </c>
      <c r="AL62" s="612"/>
      <c r="AM62" s="430">
        <f t="shared" ca="1" si="0"/>
        <v>0</v>
      </c>
      <c r="AN62" s="655">
        <f t="shared" ca="1" si="22"/>
        <v>0</v>
      </c>
    </row>
    <row r="63" spans="1:40" ht="13.8" x14ac:dyDescent="0.3">
      <c r="A63" t="str">
        <f t="shared" si="1"/>
        <v>S</v>
      </c>
      <c r="B63">
        <f t="shared" ca="1" si="2"/>
        <v>3</v>
      </c>
      <c r="C63" t="str">
        <f t="shared" ca="1" si="3"/>
        <v>S</v>
      </c>
      <c r="D63">
        <f t="shared" ca="1" si="4"/>
        <v>0</v>
      </c>
      <c r="E63">
        <f ca="1">IF($C63=1,OFFSET(E63,-1,0)+MAX(1,COUNTIF(QCI!$A$13:$A$24,OFFSET(ORÇAMENTO!E63,-1,0))),OFFSET(E63,-1,0))</f>
        <v>1</v>
      </c>
      <c r="F63">
        <f t="shared" ca="1" si="5"/>
        <v>3</v>
      </c>
      <c r="G63">
        <f t="shared" ca="1" si="6"/>
        <v>2</v>
      </c>
      <c r="H63">
        <f t="shared" ca="1" si="7"/>
        <v>0</v>
      </c>
      <c r="I63">
        <f t="shared" ca="1" si="8"/>
        <v>0</v>
      </c>
      <c r="J63">
        <f t="shared" ca="1" si="9"/>
        <v>0</v>
      </c>
      <c r="K63">
        <f ca="1">IF(OR($C63="S",$C63=0),0,MATCH(OFFSET($D63,0,$C63)+IF($C63&lt;&gt;1,1,COUNTIF(QCI!$A$13:$A$24,ORÇAMENTO!E63)),OFFSET($D63,1,$C63,ROW($C$710)-ROW($C63)),0))</f>
        <v>0</v>
      </c>
      <c r="L63" s="143" t="str">
        <f t="shared" ca="1" si="10"/>
        <v/>
      </c>
      <c r="M63" s="144" t="s">
        <v>201</v>
      </c>
      <c r="N63" s="145" t="str">
        <f t="shared" ca="1" si="11"/>
        <v>Serviço</v>
      </c>
      <c r="O63" s="146" t="str">
        <f t="shared" ca="1" si="12"/>
        <v>-</v>
      </c>
      <c r="P63" s="147" t="s">
        <v>249</v>
      </c>
      <c r="Q63" s="148">
        <v>104920</v>
      </c>
      <c r="R63" s="149" t="str">
        <f t="shared" ca="1" si="28"/>
        <v>(abra o arquivo 'Referência 05-2024.xls)</v>
      </c>
      <c r="S63" s="150" t="str">
        <f t="shared" ca="1" si="29"/>
        <v>-</v>
      </c>
      <c r="T63" s="151">
        <f ca="1">OFFSET(CÁLCULO!H$15,ROW($T63)-ROW(T$15),0)</f>
        <v>52.39</v>
      </c>
      <c r="U63" s="152">
        <f t="shared" ca="1" si="25"/>
        <v>0</v>
      </c>
      <c r="V63" s="153" t="s">
        <v>158</v>
      </c>
      <c r="W63" s="151">
        <f t="shared" ca="1" si="13"/>
        <v>0</v>
      </c>
      <c r="X63" s="154">
        <f t="shared" ca="1" si="14"/>
        <v>0</v>
      </c>
      <c r="Y63" s="155" t="s">
        <v>583</v>
      </c>
      <c r="Z63" t="str">
        <f t="shared" ca="1" si="15"/>
        <v/>
      </c>
      <c r="AA63" s="156">
        <f ca="1">IF($C63="S",IF($Z63="CP",$X63,IF($Z63="RA",(($X63)*QCI!$AA$3),0)),SomaAgrup)</f>
        <v>0</v>
      </c>
      <c r="AB63" s="157">
        <f t="shared" ca="1" si="16"/>
        <v>0</v>
      </c>
      <c r="AC63" s="158" t="str">
        <f t="shared" ca="1" si="17"/>
        <v/>
      </c>
      <c r="AD63" s="104" t="str">
        <f ca="1">IF(C63&lt;=CRONO.NivelExibicao,MAX($AD$15:OFFSET(AD63,-1,0))+IF($C63&lt;&gt;1,1,MAX(1,COUNTIF(QCI!$A$13:$A$24,OFFSET($E63,-1,0)))),"")</f>
        <v/>
      </c>
      <c r="AE63" s="114" t="str">
        <f t="shared" ca="1" si="18"/>
        <v>SINAPI 104920</v>
      </c>
      <c r="AF63" s="159" t="str">
        <f t="shared" ca="1" si="19"/>
        <v>(abra o arquivo 'Referência 05-2024.xls)</v>
      </c>
      <c r="AG63" s="579">
        <f t="shared" ca="1" si="20"/>
        <v>0</v>
      </c>
      <c r="AH63" s="580">
        <f t="shared" ca="1" si="21"/>
        <v>0.22470000000000001</v>
      </c>
      <c r="AJ63" s="582">
        <v>52.39</v>
      </c>
      <c r="AL63" s="612"/>
      <c r="AM63" s="430">
        <f t="shared" ca="1" si="0"/>
        <v>0</v>
      </c>
      <c r="AN63" s="655">
        <f t="shared" ca="1" si="22"/>
        <v>0</v>
      </c>
    </row>
    <row r="64" spans="1:40" ht="13.8" x14ac:dyDescent="0.3">
      <c r="A64" t="str">
        <f t="shared" si="1"/>
        <v>S</v>
      </c>
      <c r="B64">
        <f t="shared" ca="1" si="2"/>
        <v>3</v>
      </c>
      <c r="C64" t="str">
        <f t="shared" ca="1" si="3"/>
        <v>S</v>
      </c>
      <c r="D64">
        <f t="shared" ca="1" si="4"/>
        <v>0</v>
      </c>
      <c r="E64">
        <f ca="1">IF($C64=1,OFFSET(E64,-1,0)+MAX(1,COUNTIF(QCI!$A$13:$A$24,OFFSET(ORÇAMENTO!E64,-1,0))),OFFSET(E64,-1,0))</f>
        <v>1</v>
      </c>
      <c r="F64">
        <f t="shared" ca="1" si="5"/>
        <v>3</v>
      </c>
      <c r="G64">
        <f t="shared" ca="1" si="6"/>
        <v>2</v>
      </c>
      <c r="H64">
        <f t="shared" ca="1" si="7"/>
        <v>0</v>
      </c>
      <c r="I64">
        <f t="shared" ca="1" si="8"/>
        <v>0</v>
      </c>
      <c r="J64">
        <f t="shared" ca="1" si="9"/>
        <v>0</v>
      </c>
      <c r="K64">
        <f ca="1">IF(OR($C64="S",$C64=0),0,MATCH(OFFSET($D64,0,$C64)+IF($C64&lt;&gt;1,1,COUNTIF(QCI!$A$13:$A$24,ORÇAMENTO!E64)),OFFSET($D64,1,$C64,ROW($C$710)-ROW($C64)),0))</f>
        <v>0</v>
      </c>
      <c r="L64" s="143" t="str">
        <f t="shared" ca="1" si="10"/>
        <v/>
      </c>
      <c r="M64" s="144" t="s">
        <v>201</v>
      </c>
      <c r="N64" s="145" t="str">
        <f t="shared" ca="1" si="11"/>
        <v>Serviço</v>
      </c>
      <c r="O64" s="146" t="str">
        <f t="shared" ca="1" si="12"/>
        <v>-</v>
      </c>
      <c r="P64" s="147" t="s">
        <v>249</v>
      </c>
      <c r="Q64" s="148">
        <v>104916</v>
      </c>
      <c r="R64" s="149" t="str">
        <f t="shared" ca="1" si="28"/>
        <v>(abra o arquivo 'Referência 05-2024.xls)</v>
      </c>
      <c r="S64" s="150" t="str">
        <f t="shared" ca="1" si="29"/>
        <v>-</v>
      </c>
      <c r="T64" s="151">
        <f ca="1">OFFSET(CÁLCULO!H$15,ROW($T64)-ROW(T$15),0)</f>
        <v>699.26</v>
      </c>
      <c r="U64" s="152">
        <f t="shared" ca="1" si="25"/>
        <v>0</v>
      </c>
      <c r="V64" s="153" t="s">
        <v>158</v>
      </c>
      <c r="W64" s="151">
        <f t="shared" ca="1" si="13"/>
        <v>0</v>
      </c>
      <c r="X64" s="154">
        <f t="shared" ca="1" si="14"/>
        <v>0</v>
      </c>
      <c r="Y64" s="155" t="s">
        <v>583</v>
      </c>
      <c r="Z64" t="str">
        <f t="shared" ca="1" si="15"/>
        <v/>
      </c>
      <c r="AA64" s="156">
        <f ca="1">IF($C64="S",IF($Z64="CP",$X64,IF($Z64="RA",(($X64)*QCI!$AA$3),0)),SomaAgrup)</f>
        <v>0</v>
      </c>
      <c r="AB64" s="157">
        <f t="shared" ca="1" si="16"/>
        <v>0</v>
      </c>
      <c r="AC64" s="158" t="str">
        <f t="shared" ca="1" si="17"/>
        <v/>
      </c>
      <c r="AD64" s="104" t="str">
        <f ca="1">IF(C64&lt;=CRONO.NivelExibicao,MAX($AD$15:OFFSET(AD64,-1,0))+IF($C64&lt;&gt;1,1,MAX(1,COUNTIF(QCI!$A$13:$A$24,OFFSET($E64,-1,0)))),"")</f>
        <v/>
      </c>
      <c r="AE64" s="114" t="str">
        <f t="shared" ca="1" si="18"/>
        <v>SINAPI 104916</v>
      </c>
      <c r="AF64" s="159" t="str">
        <f t="shared" ca="1" si="19"/>
        <v>(abra o arquivo 'Referência 05-2024.xls)</v>
      </c>
      <c r="AG64" s="579">
        <f t="shared" ca="1" si="20"/>
        <v>0</v>
      </c>
      <c r="AH64" s="580">
        <f t="shared" ca="1" si="21"/>
        <v>0.22470000000000001</v>
      </c>
      <c r="AJ64" s="582">
        <v>699.26</v>
      </c>
      <c r="AL64" s="612"/>
      <c r="AM64" s="430">
        <f t="shared" ca="1" si="0"/>
        <v>0</v>
      </c>
      <c r="AN64" s="655">
        <f t="shared" ca="1" si="22"/>
        <v>0</v>
      </c>
    </row>
    <row r="65" spans="1:40" ht="13.8" x14ac:dyDescent="0.3">
      <c r="A65" t="str">
        <f t="shared" si="1"/>
        <v>S</v>
      </c>
      <c r="B65">
        <f t="shared" ca="1" si="2"/>
        <v>3</v>
      </c>
      <c r="C65" t="str">
        <f t="shared" ca="1" si="3"/>
        <v>S</v>
      </c>
      <c r="D65">
        <f t="shared" ca="1" si="4"/>
        <v>0</v>
      </c>
      <c r="E65">
        <f ca="1">IF($C65=1,OFFSET(E65,-1,0)+MAX(1,COUNTIF(QCI!$A$13:$A$24,OFFSET(ORÇAMENTO!E65,-1,0))),OFFSET(E65,-1,0))</f>
        <v>1</v>
      </c>
      <c r="F65">
        <f t="shared" ca="1" si="5"/>
        <v>3</v>
      </c>
      <c r="G65">
        <f t="shared" ca="1" si="6"/>
        <v>2</v>
      </c>
      <c r="H65">
        <f t="shared" ca="1" si="7"/>
        <v>0</v>
      </c>
      <c r="I65">
        <f t="shared" ca="1" si="8"/>
        <v>0</v>
      </c>
      <c r="J65">
        <f t="shared" ca="1" si="9"/>
        <v>0</v>
      </c>
      <c r="K65">
        <f ca="1">IF(OR($C65="S",$C65=0),0,MATCH(OFFSET($D65,0,$C65)+IF($C65&lt;&gt;1,1,COUNTIF(QCI!$A$13:$A$24,ORÇAMENTO!E65)),OFFSET($D65,1,$C65,ROW($C$710)-ROW($C65)),0))</f>
        <v>0</v>
      </c>
      <c r="L65" s="143" t="str">
        <f t="shared" ca="1" si="10"/>
        <v/>
      </c>
      <c r="M65" s="144" t="s">
        <v>201</v>
      </c>
      <c r="N65" s="145" t="str">
        <f t="shared" ca="1" si="11"/>
        <v>Serviço</v>
      </c>
      <c r="O65" s="146" t="str">
        <f t="shared" ca="1" si="12"/>
        <v>-</v>
      </c>
      <c r="P65" s="147" t="s">
        <v>249</v>
      </c>
      <c r="Q65" s="148">
        <v>96557</v>
      </c>
      <c r="R65" s="149" t="str">
        <f t="shared" ca="1" si="28"/>
        <v>(abra o arquivo 'Referência 05-2024.xls)</v>
      </c>
      <c r="S65" s="150" t="str">
        <f t="shared" ca="1" si="29"/>
        <v>-</v>
      </c>
      <c r="T65" s="151">
        <f ca="1">OFFSET(CÁLCULO!H$15,ROW($T65)-ROW(T$15),0)</f>
        <v>65.16</v>
      </c>
      <c r="U65" s="152">
        <f t="shared" ca="1" si="25"/>
        <v>0</v>
      </c>
      <c r="V65" s="153" t="s">
        <v>158</v>
      </c>
      <c r="W65" s="151">
        <f t="shared" ca="1" si="13"/>
        <v>0</v>
      </c>
      <c r="X65" s="154">
        <f t="shared" ca="1" si="14"/>
        <v>0</v>
      </c>
      <c r="Y65" s="155" t="s">
        <v>583</v>
      </c>
      <c r="Z65" t="str">
        <f t="shared" ca="1" si="15"/>
        <v/>
      </c>
      <c r="AA65" s="156">
        <f ca="1">IF($C65="S",IF($Z65="CP",$X65,IF($Z65="RA",(($X65)*QCI!$AA$3),0)),SomaAgrup)</f>
        <v>0</v>
      </c>
      <c r="AB65" s="157">
        <f t="shared" ca="1" si="16"/>
        <v>0</v>
      </c>
      <c r="AC65" s="158" t="str">
        <f t="shared" ca="1" si="17"/>
        <v/>
      </c>
      <c r="AD65" s="104" t="str">
        <f ca="1">IF(C65&lt;=CRONO.NivelExibicao,MAX($AD$15:OFFSET(AD65,-1,0))+IF($C65&lt;&gt;1,1,MAX(1,COUNTIF(QCI!$A$13:$A$24,OFFSET($E65,-1,0)))),"")</f>
        <v/>
      </c>
      <c r="AE65" s="114" t="str">
        <f t="shared" ca="1" si="18"/>
        <v>SINAPI 96557</v>
      </c>
      <c r="AF65" s="159" t="str">
        <f t="shared" ca="1" si="19"/>
        <v>(abra o arquivo 'Referência 05-2024.xls)</v>
      </c>
      <c r="AG65" s="579">
        <f t="shared" ca="1" si="20"/>
        <v>0</v>
      </c>
      <c r="AH65" s="580">
        <f t="shared" ca="1" si="21"/>
        <v>0.22470000000000001</v>
      </c>
      <c r="AJ65" s="582">
        <v>65.16</v>
      </c>
      <c r="AL65" s="612"/>
      <c r="AM65" s="430">
        <f t="shared" ca="1" si="0"/>
        <v>0</v>
      </c>
      <c r="AN65" s="655">
        <f t="shared" ca="1" si="22"/>
        <v>0</v>
      </c>
    </row>
    <row r="66" spans="1:40" ht="13.8" x14ac:dyDescent="0.3">
      <c r="A66">
        <f t="shared" si="1"/>
        <v>3</v>
      </c>
      <c r="B66">
        <f t="shared" ca="1" si="2"/>
        <v>3</v>
      </c>
      <c r="C66">
        <f t="shared" ca="1" si="3"/>
        <v>3</v>
      </c>
      <c r="D66">
        <f t="shared" ca="1" si="4"/>
        <v>7</v>
      </c>
      <c r="E66">
        <f ca="1">IF($C66=1,OFFSET(E66,-1,0)+MAX(1,COUNTIF(QCI!$A$13:$A$24,OFFSET(ORÇAMENTO!E66,-1,0))),OFFSET(E66,-1,0))</f>
        <v>1</v>
      </c>
      <c r="F66">
        <f t="shared" ca="1" si="5"/>
        <v>3</v>
      </c>
      <c r="G66">
        <f t="shared" ca="1" si="6"/>
        <v>3</v>
      </c>
      <c r="H66">
        <f t="shared" ca="1" si="7"/>
        <v>0</v>
      </c>
      <c r="I66">
        <f t="shared" ca="1" si="8"/>
        <v>0</v>
      </c>
      <c r="J66">
        <f t="shared" ca="1" si="9"/>
        <v>26</v>
      </c>
      <c r="K66">
        <f ca="1">IF(OR($C66="S",$C66=0),0,MATCH(OFFSET($D66,0,$C66)+IF($C66&lt;&gt;1,1,COUNTIF(QCI!$A$13:$A$24,ORÇAMENTO!E66)),OFFSET($D66,1,$C66,ROW($C$710)-ROW($C66)),0))</f>
        <v>7</v>
      </c>
      <c r="L66" s="143" t="str">
        <f t="shared" ca="1" si="10"/>
        <v>F</v>
      </c>
      <c r="M66" s="144" t="s">
        <v>199</v>
      </c>
      <c r="N66" s="145" t="str">
        <f t="shared" ca="1" si="11"/>
        <v>Nível 3</v>
      </c>
      <c r="O66" s="146" t="str">
        <f t="shared" ca="1" si="12"/>
        <v>1.3.3.</v>
      </c>
      <c r="P66" s="147" t="s">
        <v>249</v>
      </c>
      <c r="Q66" s="148"/>
      <c r="R66" s="149" t="s">
        <v>488</v>
      </c>
      <c r="S66" s="150" t="s">
        <v>168</v>
      </c>
      <c r="T66" s="151">
        <f ca="1">OFFSET(CÁLCULO!H$15,ROW($T66)-ROW(T$15),0)</f>
        <v>0</v>
      </c>
      <c r="U66" s="152">
        <f t="shared" ca="1" si="25"/>
        <v>0</v>
      </c>
      <c r="V66" s="153" t="s">
        <v>158</v>
      </c>
      <c r="W66" s="151">
        <f t="shared" ca="1" si="13"/>
        <v>0</v>
      </c>
      <c r="X66" s="154">
        <f t="shared" ca="1" si="14"/>
        <v>0</v>
      </c>
      <c r="Y66" s="155" t="s">
        <v>583</v>
      </c>
      <c r="Z66" t="str">
        <f t="shared" ca="1" si="15"/>
        <v/>
      </c>
      <c r="AA66" s="156">
        <f ca="1">IF($C66="S",IF($Z66="CP",$X66,IF($Z66="RA",(($X66)*QCI!$AA$3),0)),SomaAgrup)</f>
        <v>0</v>
      </c>
      <c r="AB66" s="157">
        <f t="shared" ca="1" si="16"/>
        <v>0</v>
      </c>
      <c r="AC66" s="158" t="str">
        <f t="shared" ca="1" si="17"/>
        <v/>
      </c>
      <c r="AD66" s="104" t="str">
        <f ca="1">IF(C66&lt;=CRONO.NivelExibicao,MAX($AD$15:OFFSET(AD66,-1,0))+IF($C66&lt;&gt;1,1,MAX(1,COUNTIF(QCI!$A$13:$A$24,OFFSET($E66,-1,0)))),"")</f>
        <v/>
      </c>
      <c r="AE66" s="114" t="b">
        <f t="shared" ca="1" si="18"/>
        <v>0</v>
      </c>
      <c r="AF66" s="159" t="str">
        <f t="shared" ca="1" si="19"/>
        <v>(abra o arquivo 'Referência 05-2024.xls)</v>
      </c>
      <c r="AG66" s="579">
        <f t="shared" ca="1" si="20"/>
        <v>0</v>
      </c>
      <c r="AH66" s="580">
        <f t="shared" ca="1" si="21"/>
        <v>0.22470000000000001</v>
      </c>
      <c r="AJ66" s="582"/>
      <c r="AL66" s="612"/>
      <c r="AM66" s="430">
        <f t="shared" ca="1" si="0"/>
        <v>0</v>
      </c>
      <c r="AN66" s="655">
        <f t="shared" ca="1" si="22"/>
        <v>0</v>
      </c>
    </row>
    <row r="67" spans="1:40" ht="13.8" x14ac:dyDescent="0.3">
      <c r="A67" t="str">
        <f t="shared" si="1"/>
        <v>S</v>
      </c>
      <c r="B67">
        <f t="shared" ca="1" si="2"/>
        <v>3</v>
      </c>
      <c r="C67" t="str">
        <f t="shared" ca="1" si="3"/>
        <v>S</v>
      </c>
      <c r="D67">
        <f t="shared" ca="1" si="4"/>
        <v>0</v>
      </c>
      <c r="E67">
        <f ca="1">IF($C67=1,OFFSET(E67,-1,0)+MAX(1,COUNTIF(QCI!$A$13:$A$24,OFFSET(ORÇAMENTO!E67,-1,0))),OFFSET(E67,-1,0))</f>
        <v>1</v>
      </c>
      <c r="F67">
        <f t="shared" ca="1" si="5"/>
        <v>3</v>
      </c>
      <c r="G67">
        <f t="shared" ca="1" si="6"/>
        <v>3</v>
      </c>
      <c r="H67">
        <f t="shared" ca="1" si="7"/>
        <v>0</v>
      </c>
      <c r="I67">
        <f t="shared" ca="1" si="8"/>
        <v>0</v>
      </c>
      <c r="J67">
        <f t="shared" ca="1" si="9"/>
        <v>0</v>
      </c>
      <c r="K67">
        <f ca="1">IF(OR($C67="S",$C67=0),0,MATCH(OFFSET($D67,0,$C67)+IF($C67&lt;&gt;1,1,COUNTIF(QCI!$A$13:$A$24,ORÇAMENTO!E67)),OFFSET($D67,1,$C67,ROW($C$710)-ROW($C67)),0))</f>
        <v>0</v>
      </c>
      <c r="L67" s="143" t="str">
        <f t="shared" ca="1" si="10"/>
        <v/>
      </c>
      <c r="M67" s="144" t="s">
        <v>201</v>
      </c>
      <c r="N67" s="145" t="str">
        <f t="shared" ca="1" si="11"/>
        <v>Serviço</v>
      </c>
      <c r="O67" s="146" t="str">
        <f t="shared" ca="1" si="12"/>
        <v>-</v>
      </c>
      <c r="P67" s="147" t="s">
        <v>249</v>
      </c>
      <c r="Q67" s="148">
        <v>96619</v>
      </c>
      <c r="R67" s="149" t="str">
        <f t="shared" ref="R67:R72" ca="1" si="30">IF($C67="S",REFERENCIA.Descricao,"(digite a descrição aqui)")</f>
        <v>(abra o arquivo 'Referência 05-2024.xls)</v>
      </c>
      <c r="S67" s="150" t="str">
        <f t="shared" ref="S67:S72" ca="1" si="31">REFERENCIA.Unidade</f>
        <v>-</v>
      </c>
      <c r="T67" s="151">
        <f ca="1">OFFSET(CÁLCULO!H$15,ROW($T67)-ROW(T$15),0)</f>
        <v>44.46</v>
      </c>
      <c r="U67" s="152">
        <f t="shared" ca="1" si="25"/>
        <v>0</v>
      </c>
      <c r="V67" s="153" t="s">
        <v>158</v>
      </c>
      <c r="W67" s="151">
        <f t="shared" ca="1" si="13"/>
        <v>0</v>
      </c>
      <c r="X67" s="154">
        <f t="shared" ca="1" si="14"/>
        <v>0</v>
      </c>
      <c r="Y67" s="155" t="s">
        <v>583</v>
      </c>
      <c r="Z67" t="str">
        <f t="shared" ca="1" si="15"/>
        <v/>
      </c>
      <c r="AA67" s="156">
        <f ca="1">IF($C67="S",IF($Z67="CP",$X67,IF($Z67="RA",(($X67)*QCI!$AA$3),0)),SomaAgrup)</f>
        <v>0</v>
      </c>
      <c r="AB67" s="157">
        <f t="shared" ca="1" si="16"/>
        <v>0</v>
      </c>
      <c r="AC67" s="158" t="str">
        <f t="shared" ca="1" si="17"/>
        <v/>
      </c>
      <c r="AD67" s="104" t="str">
        <f ca="1">IF(C67&lt;=CRONO.NivelExibicao,MAX($AD$15:OFFSET(AD67,-1,0))+IF($C67&lt;&gt;1,1,MAX(1,COUNTIF(QCI!$A$13:$A$24,OFFSET($E67,-1,0)))),"")</f>
        <v/>
      </c>
      <c r="AE67" s="114" t="str">
        <f t="shared" ca="1" si="18"/>
        <v>SINAPI 96619</v>
      </c>
      <c r="AF67" s="159" t="str">
        <f t="shared" ca="1" si="19"/>
        <v>(abra o arquivo 'Referência 05-2024.xls)</v>
      </c>
      <c r="AG67" s="579">
        <f t="shared" ca="1" si="20"/>
        <v>0</v>
      </c>
      <c r="AH67" s="580">
        <f t="shared" ca="1" si="21"/>
        <v>0.22470000000000001</v>
      </c>
      <c r="AJ67" s="582">
        <v>44.46</v>
      </c>
      <c r="AL67" s="612"/>
      <c r="AM67" s="430">
        <f t="shared" ca="1" si="0"/>
        <v>0</v>
      </c>
      <c r="AN67" s="655">
        <f t="shared" ca="1" si="22"/>
        <v>0</v>
      </c>
    </row>
    <row r="68" spans="1:40" ht="13.8" x14ac:dyDescent="0.3">
      <c r="A68" t="str">
        <f t="shared" si="1"/>
        <v>S</v>
      </c>
      <c r="B68">
        <f t="shared" ca="1" si="2"/>
        <v>3</v>
      </c>
      <c r="C68" t="str">
        <f t="shared" ca="1" si="3"/>
        <v>S</v>
      </c>
      <c r="D68">
        <f t="shared" ca="1" si="4"/>
        <v>0</v>
      </c>
      <c r="E68">
        <f ca="1">IF($C68=1,OFFSET(E68,-1,0)+MAX(1,COUNTIF(QCI!$A$13:$A$24,OFFSET(ORÇAMENTO!E68,-1,0))),OFFSET(E68,-1,0))</f>
        <v>1</v>
      </c>
      <c r="F68">
        <f t="shared" ca="1" si="5"/>
        <v>3</v>
      </c>
      <c r="G68">
        <f t="shared" ca="1" si="6"/>
        <v>3</v>
      </c>
      <c r="H68">
        <f t="shared" ca="1" si="7"/>
        <v>0</v>
      </c>
      <c r="I68">
        <f t="shared" ca="1" si="8"/>
        <v>0</v>
      </c>
      <c r="J68">
        <f t="shared" ca="1" si="9"/>
        <v>0</v>
      </c>
      <c r="K68">
        <f ca="1">IF(OR($C68="S",$C68=0),0,MATCH(OFFSET($D68,0,$C68)+IF($C68&lt;&gt;1,1,COUNTIF(QCI!$A$13:$A$24,ORÇAMENTO!E68)),OFFSET($D68,1,$C68,ROW($C$710)-ROW($C68)),0))</f>
        <v>0</v>
      </c>
      <c r="L68" s="143" t="str">
        <f t="shared" ca="1" si="10"/>
        <v/>
      </c>
      <c r="M68" s="144" t="s">
        <v>201</v>
      </c>
      <c r="N68" s="145" t="str">
        <f t="shared" ca="1" si="11"/>
        <v>Serviço</v>
      </c>
      <c r="O68" s="146" t="str">
        <f t="shared" ca="1" si="12"/>
        <v>-</v>
      </c>
      <c r="P68" s="147" t="s">
        <v>249</v>
      </c>
      <c r="Q68" s="148">
        <v>94968</v>
      </c>
      <c r="R68" s="149" t="str">
        <f t="shared" ca="1" si="30"/>
        <v>(abra o arquivo 'Referência 05-2024.xls)</v>
      </c>
      <c r="S68" s="150" t="str">
        <f t="shared" ca="1" si="31"/>
        <v>-</v>
      </c>
      <c r="T68" s="151">
        <f ca="1">OFFSET(CÁLCULO!H$15,ROW($T68)-ROW(T$15),0)</f>
        <v>0.56999999999999995</v>
      </c>
      <c r="U68" s="152">
        <f t="shared" ca="1" si="25"/>
        <v>0</v>
      </c>
      <c r="V68" s="153" t="s">
        <v>158</v>
      </c>
      <c r="W68" s="151">
        <f t="shared" ca="1" si="13"/>
        <v>0</v>
      </c>
      <c r="X68" s="154">
        <f t="shared" ca="1" si="14"/>
        <v>0</v>
      </c>
      <c r="Y68" s="155" t="s">
        <v>583</v>
      </c>
      <c r="Z68" t="str">
        <f t="shared" ca="1" si="15"/>
        <v/>
      </c>
      <c r="AA68" s="156">
        <f ca="1">IF($C68="S",IF($Z68="CP",$X68,IF($Z68="RA",(($X68)*QCI!$AA$3),0)),SomaAgrup)</f>
        <v>0</v>
      </c>
      <c r="AB68" s="157">
        <f t="shared" ca="1" si="16"/>
        <v>0</v>
      </c>
      <c r="AC68" s="158" t="str">
        <f t="shared" ca="1" si="17"/>
        <v/>
      </c>
      <c r="AD68" s="104" t="str">
        <f ca="1">IF(C68&lt;=CRONO.NivelExibicao,MAX($AD$15:OFFSET(AD68,-1,0))+IF($C68&lt;&gt;1,1,MAX(1,COUNTIF(QCI!$A$13:$A$24,OFFSET($E68,-1,0)))),"")</f>
        <v/>
      </c>
      <c r="AE68" s="114" t="str">
        <f t="shared" ca="1" si="18"/>
        <v>SINAPI 94968</v>
      </c>
      <c r="AF68" s="159" t="str">
        <f t="shared" ca="1" si="19"/>
        <v>(abra o arquivo 'Referência 05-2024.xls)</v>
      </c>
      <c r="AG68" s="579">
        <f t="shared" ca="1" si="20"/>
        <v>0</v>
      </c>
      <c r="AH68" s="580">
        <f t="shared" ca="1" si="21"/>
        <v>0.22470000000000001</v>
      </c>
      <c r="AJ68" s="582">
        <v>0.56999999999999995</v>
      </c>
      <c r="AL68" s="612"/>
      <c r="AM68" s="430">
        <f t="shared" ca="1" si="0"/>
        <v>0</v>
      </c>
      <c r="AN68" s="655">
        <f t="shared" ca="1" si="22"/>
        <v>0</v>
      </c>
    </row>
    <row r="69" spans="1:40" ht="13.8" x14ac:dyDescent="0.3">
      <c r="A69" t="str">
        <f t="shared" si="1"/>
        <v>S</v>
      </c>
      <c r="B69">
        <f t="shared" ca="1" si="2"/>
        <v>3</v>
      </c>
      <c r="C69" t="str">
        <f t="shared" ca="1" si="3"/>
        <v>S</v>
      </c>
      <c r="D69">
        <f t="shared" ca="1" si="4"/>
        <v>0</v>
      </c>
      <c r="E69">
        <f ca="1">IF($C69=1,OFFSET(E69,-1,0)+MAX(1,COUNTIF(QCI!$A$13:$A$24,OFFSET(ORÇAMENTO!E69,-1,0))),OFFSET(E69,-1,0))</f>
        <v>1</v>
      </c>
      <c r="F69">
        <f t="shared" ca="1" si="5"/>
        <v>3</v>
      </c>
      <c r="G69">
        <f t="shared" ca="1" si="6"/>
        <v>3</v>
      </c>
      <c r="H69">
        <f t="shared" ca="1" si="7"/>
        <v>0</v>
      </c>
      <c r="I69">
        <f t="shared" ca="1" si="8"/>
        <v>0</v>
      </c>
      <c r="J69">
        <f t="shared" ca="1" si="9"/>
        <v>0</v>
      </c>
      <c r="K69">
        <f ca="1">IF(OR($C69="S",$C69=0),0,MATCH(OFFSET($D69,0,$C69)+IF($C69&lt;&gt;1,1,COUNTIF(QCI!$A$13:$A$24,ORÇAMENTO!E69)),OFFSET($D69,1,$C69,ROW($C$710)-ROW($C69)),0))</f>
        <v>0</v>
      </c>
      <c r="L69" s="143" t="str">
        <f t="shared" ca="1" si="10"/>
        <v/>
      </c>
      <c r="M69" s="144" t="s">
        <v>201</v>
      </c>
      <c r="N69" s="145" t="str">
        <f t="shared" ca="1" si="11"/>
        <v>Serviço</v>
      </c>
      <c r="O69" s="146" t="str">
        <f t="shared" ca="1" si="12"/>
        <v>-</v>
      </c>
      <c r="P69" s="147" t="s">
        <v>249</v>
      </c>
      <c r="Q69" s="148">
        <v>96536</v>
      </c>
      <c r="R69" s="149" t="str">
        <f t="shared" ca="1" si="30"/>
        <v>(abra o arquivo 'Referência 05-2024.xls)</v>
      </c>
      <c r="S69" s="150" t="str">
        <f t="shared" ca="1" si="31"/>
        <v>-</v>
      </c>
      <c r="T69" s="151">
        <f ca="1">OFFSET(CÁLCULO!H$15,ROW($T69)-ROW(T$15),0)</f>
        <v>177.83</v>
      </c>
      <c r="U69" s="152">
        <f t="shared" ca="1" si="25"/>
        <v>0</v>
      </c>
      <c r="V69" s="153" t="s">
        <v>158</v>
      </c>
      <c r="W69" s="151">
        <f t="shared" ca="1" si="13"/>
        <v>0</v>
      </c>
      <c r="X69" s="154">
        <f t="shared" ca="1" si="14"/>
        <v>0</v>
      </c>
      <c r="Y69" s="155" t="s">
        <v>583</v>
      </c>
      <c r="Z69" t="str">
        <f t="shared" ca="1" si="15"/>
        <v/>
      </c>
      <c r="AA69" s="156">
        <f ca="1">IF($C69="S",IF($Z69="CP",$X69,IF($Z69="RA",(($X69)*QCI!$AA$3),0)),SomaAgrup)</f>
        <v>0</v>
      </c>
      <c r="AB69" s="157">
        <f t="shared" ca="1" si="16"/>
        <v>0</v>
      </c>
      <c r="AC69" s="158" t="str">
        <f t="shared" ca="1" si="17"/>
        <v/>
      </c>
      <c r="AD69" s="104" t="str">
        <f ca="1">IF(C69&lt;=CRONO.NivelExibicao,MAX($AD$15:OFFSET(AD69,-1,0))+IF($C69&lt;&gt;1,1,MAX(1,COUNTIF(QCI!$A$13:$A$24,OFFSET($E69,-1,0)))),"")</f>
        <v/>
      </c>
      <c r="AE69" s="114" t="str">
        <f t="shared" ca="1" si="18"/>
        <v>SINAPI 96536</v>
      </c>
      <c r="AF69" s="159" t="str">
        <f t="shared" ca="1" si="19"/>
        <v>(abra o arquivo 'Referência 05-2024.xls)</v>
      </c>
      <c r="AG69" s="579">
        <f t="shared" ca="1" si="20"/>
        <v>0</v>
      </c>
      <c r="AH69" s="580">
        <f t="shared" ca="1" si="21"/>
        <v>0.22470000000000001</v>
      </c>
      <c r="AJ69" s="582">
        <v>177.83</v>
      </c>
      <c r="AL69" s="612"/>
      <c r="AM69" s="430">
        <f t="shared" ca="1" si="0"/>
        <v>0</v>
      </c>
      <c r="AN69" s="655">
        <f t="shared" ca="1" si="22"/>
        <v>0</v>
      </c>
    </row>
    <row r="70" spans="1:40" ht="13.8" x14ac:dyDescent="0.3">
      <c r="A70" t="str">
        <f t="shared" si="1"/>
        <v>S</v>
      </c>
      <c r="B70">
        <f t="shared" ca="1" si="2"/>
        <v>3</v>
      </c>
      <c r="C70" t="str">
        <f t="shared" ca="1" si="3"/>
        <v>S</v>
      </c>
      <c r="D70">
        <f t="shared" ca="1" si="4"/>
        <v>0</v>
      </c>
      <c r="E70">
        <f ca="1">IF($C70=1,OFFSET(E70,-1,0)+MAX(1,COUNTIF(QCI!$A$13:$A$24,OFFSET(ORÇAMENTO!E70,-1,0))),OFFSET(E70,-1,0))</f>
        <v>1</v>
      </c>
      <c r="F70">
        <f t="shared" ca="1" si="5"/>
        <v>3</v>
      </c>
      <c r="G70">
        <f t="shared" ca="1" si="6"/>
        <v>3</v>
      </c>
      <c r="H70">
        <f t="shared" ca="1" si="7"/>
        <v>0</v>
      </c>
      <c r="I70">
        <f t="shared" ca="1" si="8"/>
        <v>0</v>
      </c>
      <c r="J70">
        <f t="shared" ca="1" si="9"/>
        <v>0</v>
      </c>
      <c r="K70">
        <f ca="1">IF(OR($C70="S",$C70=0),0,MATCH(OFFSET($D70,0,$C70)+IF($C70&lt;&gt;1,1,COUNTIF(QCI!$A$13:$A$24,ORÇAMENTO!E70)),OFFSET($D70,1,$C70,ROW($C$710)-ROW($C70)),0))</f>
        <v>0</v>
      </c>
      <c r="L70" s="143" t="str">
        <f t="shared" ca="1" si="10"/>
        <v/>
      </c>
      <c r="M70" s="144" t="s">
        <v>201</v>
      </c>
      <c r="N70" s="145" t="str">
        <f t="shared" ca="1" si="11"/>
        <v>Serviço</v>
      </c>
      <c r="O70" s="146" t="str">
        <f t="shared" ca="1" si="12"/>
        <v>-</v>
      </c>
      <c r="P70" s="147" t="s">
        <v>249</v>
      </c>
      <c r="Q70" s="148">
        <v>104918</v>
      </c>
      <c r="R70" s="149" t="str">
        <f t="shared" ca="1" si="30"/>
        <v>(abra o arquivo 'Referência 05-2024.xls)</v>
      </c>
      <c r="S70" s="150" t="str">
        <f t="shared" ca="1" si="31"/>
        <v>-</v>
      </c>
      <c r="T70" s="151">
        <f ca="1">OFFSET(CÁLCULO!H$15,ROW($T70)-ROW(T$15),0)</f>
        <v>474.53</v>
      </c>
      <c r="U70" s="152">
        <f t="shared" ca="1" si="25"/>
        <v>0</v>
      </c>
      <c r="V70" s="153" t="s">
        <v>158</v>
      </c>
      <c r="W70" s="151">
        <f t="shared" ca="1" si="13"/>
        <v>0</v>
      </c>
      <c r="X70" s="154">
        <f t="shared" ca="1" si="14"/>
        <v>0</v>
      </c>
      <c r="Y70" s="155" t="s">
        <v>583</v>
      </c>
      <c r="Z70" t="str">
        <f t="shared" ca="1" si="15"/>
        <v/>
      </c>
      <c r="AA70" s="156">
        <f ca="1">IF($C70="S",IF($Z70="CP",$X70,IF($Z70="RA",(($X70)*QCI!$AA$3),0)),SomaAgrup)</f>
        <v>0</v>
      </c>
      <c r="AB70" s="157">
        <f t="shared" ca="1" si="16"/>
        <v>0</v>
      </c>
      <c r="AC70" s="158" t="str">
        <f t="shared" ca="1" si="17"/>
        <v/>
      </c>
      <c r="AD70" s="104" t="str">
        <f ca="1">IF(C70&lt;=CRONO.NivelExibicao,MAX($AD$15:OFFSET(AD70,-1,0))+IF($C70&lt;&gt;1,1,MAX(1,COUNTIF(QCI!$A$13:$A$24,OFFSET($E70,-1,0)))),"")</f>
        <v/>
      </c>
      <c r="AE70" s="114" t="str">
        <f t="shared" ca="1" si="18"/>
        <v>SINAPI 104918</v>
      </c>
      <c r="AF70" s="159" t="str">
        <f t="shared" ca="1" si="19"/>
        <v>(abra o arquivo 'Referência 05-2024.xls)</v>
      </c>
      <c r="AG70" s="579">
        <f t="shared" ca="1" si="20"/>
        <v>0</v>
      </c>
      <c r="AH70" s="580">
        <f t="shared" ca="1" si="21"/>
        <v>0.22470000000000001</v>
      </c>
      <c r="AJ70" s="582">
        <v>474.53</v>
      </c>
      <c r="AL70" s="612"/>
      <c r="AM70" s="430">
        <f t="shared" ca="1" si="0"/>
        <v>0</v>
      </c>
      <c r="AN70" s="655">
        <f t="shared" ca="1" si="22"/>
        <v>0</v>
      </c>
    </row>
    <row r="71" spans="1:40" ht="13.8" x14ac:dyDescent="0.3">
      <c r="A71" t="str">
        <f t="shared" si="1"/>
        <v>S</v>
      </c>
      <c r="B71">
        <f t="shared" ca="1" si="2"/>
        <v>3</v>
      </c>
      <c r="C71" t="str">
        <f t="shared" ca="1" si="3"/>
        <v>S</v>
      </c>
      <c r="D71">
        <f t="shared" ca="1" si="4"/>
        <v>0</v>
      </c>
      <c r="E71">
        <f ca="1">IF($C71=1,OFFSET(E71,-1,0)+MAX(1,COUNTIF(QCI!$A$13:$A$24,OFFSET(ORÇAMENTO!E71,-1,0))),OFFSET(E71,-1,0))</f>
        <v>1</v>
      </c>
      <c r="F71">
        <f t="shared" ca="1" si="5"/>
        <v>3</v>
      </c>
      <c r="G71">
        <f t="shared" ca="1" si="6"/>
        <v>3</v>
      </c>
      <c r="H71">
        <f t="shared" ca="1" si="7"/>
        <v>0</v>
      </c>
      <c r="I71">
        <f t="shared" ca="1" si="8"/>
        <v>0</v>
      </c>
      <c r="J71">
        <f t="shared" ca="1" si="9"/>
        <v>0</v>
      </c>
      <c r="K71">
        <f ca="1">IF(OR($C71="S",$C71=0),0,MATCH(OFFSET($D71,0,$C71)+IF($C71&lt;&gt;1,1,COUNTIF(QCI!$A$13:$A$24,ORÇAMENTO!E71)),OFFSET($D71,1,$C71,ROW($C$710)-ROW($C71)),0))</f>
        <v>0</v>
      </c>
      <c r="L71" s="143" t="str">
        <f t="shared" ca="1" si="10"/>
        <v/>
      </c>
      <c r="M71" s="144" t="s">
        <v>201</v>
      </c>
      <c r="N71" s="145" t="str">
        <f t="shared" ca="1" si="11"/>
        <v>Serviço</v>
      </c>
      <c r="O71" s="146" t="str">
        <f t="shared" ca="1" si="12"/>
        <v>-</v>
      </c>
      <c r="P71" s="147" t="s">
        <v>249</v>
      </c>
      <c r="Q71" s="148">
        <v>104916</v>
      </c>
      <c r="R71" s="149" t="str">
        <f t="shared" ca="1" si="30"/>
        <v>(abra o arquivo 'Referência 05-2024.xls)</v>
      </c>
      <c r="S71" s="150" t="str">
        <f t="shared" ca="1" si="31"/>
        <v>-</v>
      </c>
      <c r="T71" s="151">
        <f ca="1">OFFSET(CÁLCULO!H$15,ROW($T71)-ROW(T$15),0)</f>
        <v>226.77</v>
      </c>
      <c r="U71" s="152">
        <f t="shared" ca="1" si="25"/>
        <v>0</v>
      </c>
      <c r="V71" s="153" t="s">
        <v>158</v>
      </c>
      <c r="W71" s="151">
        <f t="shared" ca="1" si="13"/>
        <v>0</v>
      </c>
      <c r="X71" s="154">
        <f t="shared" ca="1" si="14"/>
        <v>0</v>
      </c>
      <c r="Y71" s="155" t="s">
        <v>583</v>
      </c>
      <c r="Z71" t="str">
        <f t="shared" ca="1" si="15"/>
        <v/>
      </c>
      <c r="AA71" s="156">
        <f ca="1">IF($C71="S",IF($Z71="CP",$X71,IF($Z71="RA",(($X71)*QCI!$AA$3),0)),SomaAgrup)</f>
        <v>0</v>
      </c>
      <c r="AB71" s="157">
        <f t="shared" ca="1" si="16"/>
        <v>0</v>
      </c>
      <c r="AC71" s="158" t="str">
        <f t="shared" ca="1" si="17"/>
        <v/>
      </c>
      <c r="AD71" s="104" t="str">
        <f ca="1">IF(C71&lt;=CRONO.NivelExibicao,MAX($AD$15:OFFSET(AD71,-1,0))+IF($C71&lt;&gt;1,1,MAX(1,COUNTIF(QCI!$A$13:$A$24,OFFSET($E71,-1,0)))),"")</f>
        <v/>
      </c>
      <c r="AE71" s="114" t="str">
        <f t="shared" ca="1" si="18"/>
        <v>SINAPI 104916</v>
      </c>
      <c r="AF71" s="159" t="str">
        <f t="shared" ca="1" si="19"/>
        <v>(abra o arquivo 'Referência 05-2024.xls)</v>
      </c>
      <c r="AG71" s="579">
        <f t="shared" ca="1" si="20"/>
        <v>0</v>
      </c>
      <c r="AH71" s="580">
        <f t="shared" ca="1" si="21"/>
        <v>0.22470000000000001</v>
      </c>
      <c r="AJ71" s="582">
        <v>226.77</v>
      </c>
      <c r="AL71" s="612"/>
      <c r="AM71" s="430">
        <f t="shared" ca="1" si="0"/>
        <v>0</v>
      </c>
      <c r="AN71" s="655">
        <f t="shared" ca="1" si="22"/>
        <v>0</v>
      </c>
    </row>
    <row r="72" spans="1:40" ht="13.8" x14ac:dyDescent="0.3">
      <c r="A72" t="str">
        <f t="shared" si="1"/>
        <v>S</v>
      </c>
      <c r="B72">
        <f t="shared" ca="1" si="2"/>
        <v>3</v>
      </c>
      <c r="C72" t="str">
        <f t="shared" ca="1" si="3"/>
        <v>S</v>
      </c>
      <c r="D72">
        <f t="shared" ca="1" si="4"/>
        <v>0</v>
      </c>
      <c r="E72">
        <f ca="1">IF($C72=1,OFFSET(E72,-1,0)+MAX(1,COUNTIF(QCI!$A$13:$A$24,OFFSET(ORÇAMENTO!E72,-1,0))),OFFSET(E72,-1,0))</f>
        <v>1</v>
      </c>
      <c r="F72">
        <f t="shared" ca="1" si="5"/>
        <v>3</v>
      </c>
      <c r="G72">
        <f t="shared" ca="1" si="6"/>
        <v>3</v>
      </c>
      <c r="H72">
        <f t="shared" ca="1" si="7"/>
        <v>0</v>
      </c>
      <c r="I72">
        <f t="shared" ca="1" si="8"/>
        <v>0</v>
      </c>
      <c r="J72">
        <f t="shared" ca="1" si="9"/>
        <v>0</v>
      </c>
      <c r="K72">
        <f ca="1">IF(OR($C72="S",$C72=0),0,MATCH(OFFSET($D72,0,$C72)+IF($C72&lt;&gt;1,1,COUNTIF(QCI!$A$13:$A$24,ORÇAMENTO!E72)),OFFSET($D72,1,$C72,ROW($C$710)-ROW($C72)),0))</f>
        <v>0</v>
      </c>
      <c r="L72" s="143" t="str">
        <f t="shared" ca="1" si="10"/>
        <v/>
      </c>
      <c r="M72" s="144" t="s">
        <v>201</v>
      </c>
      <c r="N72" s="145" t="str">
        <f t="shared" ca="1" si="11"/>
        <v>Serviço</v>
      </c>
      <c r="O72" s="146" t="str">
        <f t="shared" ca="1" si="12"/>
        <v>-</v>
      </c>
      <c r="P72" s="147" t="s">
        <v>249</v>
      </c>
      <c r="Q72" s="148">
        <v>96557</v>
      </c>
      <c r="R72" s="149" t="str">
        <f t="shared" ca="1" si="30"/>
        <v>(abra o arquivo 'Referência 05-2024.xls)</v>
      </c>
      <c r="S72" s="150" t="str">
        <f t="shared" ca="1" si="31"/>
        <v>-</v>
      </c>
      <c r="T72" s="151">
        <f ca="1">OFFSET(CÁLCULO!H$15,ROW($T72)-ROW(T$15),0)</f>
        <v>13.34</v>
      </c>
      <c r="U72" s="152">
        <f t="shared" ca="1" si="25"/>
        <v>0</v>
      </c>
      <c r="V72" s="153" t="s">
        <v>158</v>
      </c>
      <c r="W72" s="151">
        <f t="shared" ca="1" si="13"/>
        <v>0</v>
      </c>
      <c r="X72" s="154">
        <f t="shared" ca="1" si="14"/>
        <v>0</v>
      </c>
      <c r="Y72" s="155" t="s">
        <v>583</v>
      </c>
      <c r="Z72" t="str">
        <f t="shared" ca="1" si="15"/>
        <v/>
      </c>
      <c r="AA72" s="156">
        <f ca="1">IF($C72="S",IF($Z72="CP",$X72,IF($Z72="RA",(($X72)*QCI!$AA$3),0)),SomaAgrup)</f>
        <v>0</v>
      </c>
      <c r="AB72" s="157">
        <f t="shared" ca="1" si="16"/>
        <v>0</v>
      </c>
      <c r="AC72" s="158" t="str">
        <f t="shared" ca="1" si="17"/>
        <v/>
      </c>
      <c r="AD72" s="104" t="str">
        <f ca="1">IF(C72&lt;=CRONO.NivelExibicao,MAX($AD$15:OFFSET(AD72,-1,0))+IF($C72&lt;&gt;1,1,MAX(1,COUNTIF(QCI!$A$13:$A$24,OFFSET($E72,-1,0)))),"")</f>
        <v/>
      </c>
      <c r="AE72" s="114" t="str">
        <f t="shared" ca="1" si="18"/>
        <v>SINAPI 96557</v>
      </c>
      <c r="AF72" s="159" t="str">
        <f t="shared" ca="1" si="19"/>
        <v>(abra o arquivo 'Referência 05-2024.xls)</v>
      </c>
      <c r="AG72" s="579">
        <f t="shared" ca="1" si="20"/>
        <v>0</v>
      </c>
      <c r="AH72" s="580">
        <f t="shared" ca="1" si="21"/>
        <v>0.22470000000000001</v>
      </c>
      <c r="AJ72" s="582">
        <v>13.34</v>
      </c>
      <c r="AL72" s="612"/>
      <c r="AM72" s="430">
        <f t="shared" ca="1" si="0"/>
        <v>0</v>
      </c>
      <c r="AN72" s="655">
        <f t="shared" ca="1" si="22"/>
        <v>0</v>
      </c>
    </row>
    <row r="73" spans="1:40" ht="26.4" x14ac:dyDescent="0.3">
      <c r="A73">
        <f t="shared" si="1"/>
        <v>3</v>
      </c>
      <c r="B73">
        <f t="shared" ca="1" si="2"/>
        <v>3</v>
      </c>
      <c r="C73">
        <f t="shared" ca="1" si="3"/>
        <v>3</v>
      </c>
      <c r="D73">
        <f t="shared" ca="1" si="4"/>
        <v>9</v>
      </c>
      <c r="E73">
        <f ca="1">IF($C73=1,OFFSET(E73,-1,0)+MAX(1,COUNTIF(QCI!$A$13:$A$24,OFFSET(ORÇAMENTO!E73,-1,0))),OFFSET(E73,-1,0))</f>
        <v>1</v>
      </c>
      <c r="F73">
        <f t="shared" ca="1" si="5"/>
        <v>3</v>
      </c>
      <c r="G73">
        <f t="shared" ca="1" si="6"/>
        <v>4</v>
      </c>
      <c r="H73">
        <f t="shared" ca="1" si="7"/>
        <v>0</v>
      </c>
      <c r="I73">
        <f t="shared" ca="1" si="8"/>
        <v>0</v>
      </c>
      <c r="J73">
        <f t="shared" ca="1" si="9"/>
        <v>19</v>
      </c>
      <c r="K73">
        <f ca="1">IF(OR($C73="S",$C73=0),0,MATCH(OFFSET($D73,0,$C73)+IF($C73&lt;&gt;1,1,COUNTIF(QCI!$A$13:$A$24,ORÇAMENTO!E73)),OFFSET($D73,1,$C73,ROW($C$710)-ROW($C73)),0))</f>
        <v>9</v>
      </c>
      <c r="L73" s="143" t="str">
        <f t="shared" ca="1" si="10"/>
        <v>F</v>
      </c>
      <c r="M73" s="144" t="s">
        <v>199</v>
      </c>
      <c r="N73" s="145" t="str">
        <f t="shared" ca="1" si="11"/>
        <v>Nível 3</v>
      </c>
      <c r="O73" s="146" t="str">
        <f t="shared" ca="1" si="12"/>
        <v>1.3.4.</v>
      </c>
      <c r="P73" s="147" t="s">
        <v>249</v>
      </c>
      <c r="Q73" s="148"/>
      <c r="R73" s="149" t="s">
        <v>489</v>
      </c>
      <c r="S73" s="150" t="s">
        <v>168</v>
      </c>
      <c r="T73" s="151">
        <f ca="1">OFFSET(CÁLCULO!H$15,ROW($T73)-ROW(T$15),0)</f>
        <v>0</v>
      </c>
      <c r="U73" s="152">
        <f t="shared" ca="1" si="25"/>
        <v>0</v>
      </c>
      <c r="V73" s="153" t="s">
        <v>158</v>
      </c>
      <c r="W73" s="151">
        <f t="shared" ca="1" si="13"/>
        <v>0</v>
      </c>
      <c r="X73" s="154">
        <f t="shared" ca="1" si="14"/>
        <v>0</v>
      </c>
      <c r="Y73" s="155" t="s">
        <v>583</v>
      </c>
      <c r="Z73" t="str">
        <f t="shared" ca="1" si="15"/>
        <v/>
      </c>
      <c r="AA73" s="156">
        <f ca="1">IF($C73="S",IF($Z73="CP",$X73,IF($Z73="RA",(($X73)*QCI!$AA$3),0)),SomaAgrup)</f>
        <v>0</v>
      </c>
      <c r="AB73" s="157">
        <f t="shared" ca="1" si="16"/>
        <v>0</v>
      </c>
      <c r="AC73" s="158" t="str">
        <f t="shared" ca="1" si="17"/>
        <v/>
      </c>
      <c r="AD73" s="104" t="str">
        <f ca="1">IF(C73&lt;=CRONO.NivelExibicao,MAX($AD$15:OFFSET(AD73,-1,0))+IF($C73&lt;&gt;1,1,MAX(1,COUNTIF(QCI!$A$13:$A$24,OFFSET($E73,-1,0)))),"")</f>
        <v/>
      </c>
      <c r="AE73" s="114" t="b">
        <f t="shared" ca="1" si="18"/>
        <v>0</v>
      </c>
      <c r="AF73" s="159" t="str">
        <f t="shared" ca="1" si="19"/>
        <v>(abra o arquivo 'Referência 05-2024.xls)</v>
      </c>
      <c r="AG73" s="579">
        <f t="shared" ca="1" si="20"/>
        <v>0</v>
      </c>
      <c r="AH73" s="580">
        <f t="shared" ca="1" si="21"/>
        <v>0.22470000000000001</v>
      </c>
      <c r="AJ73" s="582"/>
      <c r="AL73" s="612"/>
      <c r="AM73" s="430">
        <f t="shared" ca="1" si="0"/>
        <v>0</v>
      </c>
      <c r="AN73" s="655">
        <f t="shared" ca="1" si="22"/>
        <v>0</v>
      </c>
    </row>
    <row r="74" spans="1:40" ht="13.8" x14ac:dyDescent="0.3">
      <c r="A74" t="str">
        <f t="shared" si="1"/>
        <v>S</v>
      </c>
      <c r="B74">
        <f t="shared" ca="1" si="2"/>
        <v>3</v>
      </c>
      <c r="C74" t="str">
        <f t="shared" ca="1" si="3"/>
        <v>S</v>
      </c>
      <c r="D74">
        <f t="shared" ca="1" si="4"/>
        <v>0</v>
      </c>
      <c r="E74">
        <f ca="1">IF($C74=1,OFFSET(E74,-1,0)+MAX(1,COUNTIF(QCI!$A$13:$A$24,OFFSET(ORÇAMENTO!E74,-1,0))),OFFSET(E74,-1,0))</f>
        <v>1</v>
      </c>
      <c r="F74">
        <f t="shared" ca="1" si="5"/>
        <v>3</v>
      </c>
      <c r="G74">
        <f t="shared" ca="1" si="6"/>
        <v>4</v>
      </c>
      <c r="H74">
        <f t="shared" ca="1" si="7"/>
        <v>0</v>
      </c>
      <c r="I74">
        <f t="shared" ca="1" si="8"/>
        <v>0</v>
      </c>
      <c r="J74">
        <f t="shared" ca="1" si="9"/>
        <v>0</v>
      </c>
      <c r="K74">
        <f ca="1">IF(OR($C74="S",$C74=0),0,MATCH(OFFSET($D74,0,$C74)+IF($C74&lt;&gt;1,1,COUNTIF(QCI!$A$13:$A$24,ORÇAMENTO!E74)),OFFSET($D74,1,$C74,ROW($C$710)-ROW($C74)),0))</f>
        <v>0</v>
      </c>
      <c r="L74" s="143" t="str">
        <f t="shared" ca="1" si="10"/>
        <v/>
      </c>
      <c r="M74" s="144" t="s">
        <v>201</v>
      </c>
      <c r="N74" s="145" t="str">
        <f t="shared" ca="1" si="11"/>
        <v>Serviço</v>
      </c>
      <c r="O74" s="146" t="str">
        <f t="shared" ca="1" si="12"/>
        <v>-</v>
      </c>
      <c r="P74" s="147" t="s">
        <v>249</v>
      </c>
      <c r="Q74" s="148">
        <v>96619</v>
      </c>
      <c r="R74" s="149" t="str">
        <f t="shared" ref="R74:R81" ca="1" si="32">IF($C74="S",REFERENCIA.Descricao,"(digite a descrição aqui)")</f>
        <v>(abra o arquivo 'Referência 05-2024.xls)</v>
      </c>
      <c r="S74" s="150" t="str">
        <f t="shared" ref="S74:S81" ca="1" si="33">REFERENCIA.Unidade</f>
        <v>-</v>
      </c>
      <c r="T74" s="151">
        <f ca="1">OFFSET(CÁLCULO!H$15,ROW($T74)-ROW(T$15),0)</f>
        <v>7.65</v>
      </c>
      <c r="U74" s="152">
        <f t="shared" ca="1" si="25"/>
        <v>0</v>
      </c>
      <c r="V74" s="153" t="s">
        <v>158</v>
      </c>
      <c r="W74" s="151">
        <f t="shared" ca="1" si="13"/>
        <v>0</v>
      </c>
      <c r="X74" s="154">
        <f t="shared" ca="1" si="14"/>
        <v>0</v>
      </c>
      <c r="Y74" s="155" t="s">
        <v>583</v>
      </c>
      <c r="Z74" t="str">
        <f t="shared" ca="1" si="15"/>
        <v/>
      </c>
      <c r="AA74" s="156">
        <f ca="1">IF($C74="S",IF($Z74="CP",$X74,IF($Z74="RA",(($X74)*QCI!$AA$3),0)),SomaAgrup)</f>
        <v>0</v>
      </c>
      <c r="AB74" s="157">
        <f t="shared" ca="1" si="16"/>
        <v>0</v>
      </c>
      <c r="AC74" s="158" t="str">
        <f t="shared" ca="1" si="17"/>
        <v/>
      </c>
      <c r="AD74" s="104" t="str">
        <f ca="1">IF(C74&lt;=CRONO.NivelExibicao,MAX($AD$15:OFFSET(AD74,-1,0))+IF($C74&lt;&gt;1,1,MAX(1,COUNTIF(QCI!$A$13:$A$24,OFFSET($E74,-1,0)))),"")</f>
        <v/>
      </c>
      <c r="AE74" s="114" t="str">
        <f t="shared" ca="1" si="18"/>
        <v>SINAPI 96619</v>
      </c>
      <c r="AF74" s="159" t="str">
        <f t="shared" ca="1" si="19"/>
        <v>(abra o arquivo 'Referência 05-2024.xls)</v>
      </c>
      <c r="AG74" s="579">
        <f t="shared" ca="1" si="20"/>
        <v>0</v>
      </c>
      <c r="AH74" s="580">
        <f t="shared" ca="1" si="21"/>
        <v>0.22470000000000001</v>
      </c>
      <c r="AJ74" s="582">
        <v>7.65</v>
      </c>
      <c r="AL74" s="612"/>
      <c r="AM74" s="430">
        <f t="shared" ca="1" si="0"/>
        <v>0</v>
      </c>
      <c r="AN74" s="655">
        <f t="shared" ca="1" si="22"/>
        <v>0</v>
      </c>
    </row>
    <row r="75" spans="1:40" ht="13.8" x14ac:dyDescent="0.3">
      <c r="A75" t="str">
        <f t="shared" si="1"/>
        <v>S</v>
      </c>
      <c r="B75">
        <f t="shared" ca="1" si="2"/>
        <v>3</v>
      </c>
      <c r="C75" t="str">
        <f t="shared" ca="1" si="3"/>
        <v>S</v>
      </c>
      <c r="D75">
        <f t="shared" ca="1" si="4"/>
        <v>0</v>
      </c>
      <c r="E75">
        <f ca="1">IF($C75=1,OFFSET(E75,-1,0)+MAX(1,COUNTIF(QCI!$A$13:$A$24,OFFSET(ORÇAMENTO!E75,-1,0))),OFFSET(E75,-1,0))</f>
        <v>1</v>
      </c>
      <c r="F75">
        <f t="shared" ca="1" si="5"/>
        <v>3</v>
      </c>
      <c r="G75">
        <f t="shared" ca="1" si="6"/>
        <v>4</v>
      </c>
      <c r="H75">
        <f t="shared" ca="1" si="7"/>
        <v>0</v>
      </c>
      <c r="I75">
        <f t="shared" ca="1" si="8"/>
        <v>0</v>
      </c>
      <c r="J75">
        <f t="shared" ca="1" si="9"/>
        <v>0</v>
      </c>
      <c r="K75">
        <f ca="1">IF(OR($C75="S",$C75=0),0,MATCH(OFFSET($D75,0,$C75)+IF($C75&lt;&gt;1,1,COUNTIF(QCI!$A$13:$A$24,ORÇAMENTO!E75)),OFFSET($D75,1,$C75,ROW($C$710)-ROW($C75)),0))</f>
        <v>0</v>
      </c>
      <c r="L75" s="143" t="str">
        <f t="shared" ca="1" si="10"/>
        <v/>
      </c>
      <c r="M75" s="144" t="s">
        <v>201</v>
      </c>
      <c r="N75" s="145" t="str">
        <f t="shared" ca="1" si="11"/>
        <v>Serviço</v>
      </c>
      <c r="O75" s="146" t="str">
        <f t="shared" ca="1" si="12"/>
        <v>-</v>
      </c>
      <c r="P75" s="147" t="s">
        <v>249</v>
      </c>
      <c r="Q75" s="148">
        <v>96536</v>
      </c>
      <c r="R75" s="149" t="str">
        <f t="shared" ca="1" si="32"/>
        <v>(abra o arquivo 'Referência 05-2024.xls)</v>
      </c>
      <c r="S75" s="150" t="str">
        <f t="shared" ca="1" si="33"/>
        <v>-</v>
      </c>
      <c r="T75" s="151">
        <f ca="1">OFFSET(CÁLCULO!H$15,ROW($T75)-ROW(T$15),0)</f>
        <v>45.89</v>
      </c>
      <c r="U75" s="152">
        <f t="shared" ca="1" si="25"/>
        <v>0</v>
      </c>
      <c r="V75" s="153" t="s">
        <v>158</v>
      </c>
      <c r="W75" s="151">
        <f t="shared" ca="1" si="13"/>
        <v>0</v>
      </c>
      <c r="X75" s="154">
        <f t="shared" ca="1" si="14"/>
        <v>0</v>
      </c>
      <c r="Y75" s="155" t="s">
        <v>583</v>
      </c>
      <c r="Z75" t="str">
        <f t="shared" ca="1" si="15"/>
        <v/>
      </c>
      <c r="AA75" s="156">
        <f ca="1">IF($C75="S",IF($Z75="CP",$X75,IF($Z75="RA",(($X75)*QCI!$AA$3),0)),SomaAgrup)</f>
        <v>0</v>
      </c>
      <c r="AB75" s="157">
        <f t="shared" ca="1" si="16"/>
        <v>0</v>
      </c>
      <c r="AC75" s="158" t="str">
        <f t="shared" ca="1" si="17"/>
        <v/>
      </c>
      <c r="AD75" s="104" t="str">
        <f ca="1">IF(C75&lt;=CRONO.NivelExibicao,MAX($AD$15:OFFSET(AD75,-1,0))+IF($C75&lt;&gt;1,1,MAX(1,COUNTIF(QCI!$A$13:$A$24,OFFSET($E75,-1,0)))),"")</f>
        <v/>
      </c>
      <c r="AE75" s="114" t="str">
        <f t="shared" ca="1" si="18"/>
        <v>SINAPI 96536</v>
      </c>
      <c r="AF75" s="159" t="str">
        <f t="shared" ca="1" si="19"/>
        <v>(abra o arquivo 'Referência 05-2024.xls)</v>
      </c>
      <c r="AG75" s="579">
        <f t="shared" ca="1" si="20"/>
        <v>0</v>
      </c>
      <c r="AH75" s="580">
        <f t="shared" ca="1" si="21"/>
        <v>0.22470000000000001</v>
      </c>
      <c r="AJ75" s="582">
        <v>45.89</v>
      </c>
      <c r="AL75" s="612"/>
      <c r="AM75" s="430">
        <f t="shared" ca="1" si="0"/>
        <v>0</v>
      </c>
      <c r="AN75" s="655">
        <f t="shared" ca="1" si="22"/>
        <v>0</v>
      </c>
    </row>
    <row r="76" spans="1:40" ht="13.8" x14ac:dyDescent="0.3">
      <c r="A76" t="str">
        <f t="shared" si="1"/>
        <v>S</v>
      </c>
      <c r="B76">
        <f t="shared" ca="1" si="2"/>
        <v>3</v>
      </c>
      <c r="C76" t="str">
        <f t="shared" ca="1" si="3"/>
        <v>S</v>
      </c>
      <c r="D76">
        <f t="shared" ca="1" si="4"/>
        <v>0</v>
      </c>
      <c r="E76">
        <f ca="1">IF($C76=1,OFFSET(E76,-1,0)+MAX(1,COUNTIF(QCI!$A$13:$A$24,OFFSET(ORÇAMENTO!E76,-1,0))),OFFSET(E76,-1,0))</f>
        <v>1</v>
      </c>
      <c r="F76">
        <f t="shared" ca="1" si="5"/>
        <v>3</v>
      </c>
      <c r="G76">
        <f t="shared" ca="1" si="6"/>
        <v>4</v>
      </c>
      <c r="H76">
        <f t="shared" ca="1" si="7"/>
        <v>0</v>
      </c>
      <c r="I76">
        <f t="shared" ca="1" si="8"/>
        <v>0</v>
      </c>
      <c r="J76">
        <f t="shared" ca="1" si="9"/>
        <v>0</v>
      </c>
      <c r="K76">
        <f ca="1">IF(OR($C76="S",$C76=0),0,MATCH(OFFSET($D76,0,$C76)+IF($C76&lt;&gt;1,1,COUNTIF(QCI!$A$13:$A$24,ORÇAMENTO!E76)),OFFSET($D76,1,$C76,ROW($C$710)-ROW($C76)),0))</f>
        <v>0</v>
      </c>
      <c r="L76" s="143" t="str">
        <f t="shared" ca="1" si="10"/>
        <v/>
      </c>
      <c r="M76" s="144" t="s">
        <v>201</v>
      </c>
      <c r="N76" s="145" t="str">
        <f t="shared" ca="1" si="11"/>
        <v>Serviço</v>
      </c>
      <c r="O76" s="146" t="str">
        <f t="shared" ca="1" si="12"/>
        <v>-</v>
      </c>
      <c r="P76" s="147" t="s">
        <v>249</v>
      </c>
      <c r="Q76" s="148">
        <v>104917</v>
      </c>
      <c r="R76" s="149" t="str">
        <f t="shared" ca="1" si="32"/>
        <v>(abra o arquivo 'Referência 05-2024.xls)</v>
      </c>
      <c r="S76" s="150" t="str">
        <f t="shared" ca="1" si="33"/>
        <v>-</v>
      </c>
      <c r="T76" s="151">
        <f ca="1">OFFSET(CÁLCULO!H$15,ROW($T76)-ROW(T$15),0)</f>
        <v>2.92</v>
      </c>
      <c r="U76" s="152">
        <f t="shared" ca="1" si="25"/>
        <v>0</v>
      </c>
      <c r="V76" s="153" t="s">
        <v>158</v>
      </c>
      <c r="W76" s="151">
        <f t="shared" ca="1" si="13"/>
        <v>0</v>
      </c>
      <c r="X76" s="154">
        <f t="shared" ca="1" si="14"/>
        <v>0</v>
      </c>
      <c r="Y76" s="155" t="s">
        <v>583</v>
      </c>
      <c r="Z76" t="str">
        <f t="shared" ca="1" si="15"/>
        <v/>
      </c>
      <c r="AA76" s="156">
        <f ca="1">IF($C76="S",IF($Z76="CP",$X76,IF($Z76="RA",(($X76)*QCI!$AA$3),0)),SomaAgrup)</f>
        <v>0</v>
      </c>
      <c r="AB76" s="157">
        <f t="shared" ca="1" si="16"/>
        <v>0</v>
      </c>
      <c r="AC76" s="158" t="str">
        <f t="shared" ca="1" si="17"/>
        <v/>
      </c>
      <c r="AD76" s="104" t="str">
        <f ca="1">IF(C76&lt;=CRONO.NivelExibicao,MAX($AD$15:OFFSET(AD76,-1,0))+IF($C76&lt;&gt;1,1,MAX(1,COUNTIF(QCI!$A$13:$A$24,OFFSET($E76,-1,0)))),"")</f>
        <v/>
      </c>
      <c r="AE76" s="114" t="str">
        <f t="shared" ca="1" si="18"/>
        <v>SINAPI 104917</v>
      </c>
      <c r="AF76" s="159" t="str">
        <f t="shared" ca="1" si="19"/>
        <v>(abra o arquivo 'Referência 05-2024.xls)</v>
      </c>
      <c r="AG76" s="579">
        <f t="shared" ca="1" si="20"/>
        <v>0</v>
      </c>
      <c r="AH76" s="580">
        <f t="shared" ca="1" si="21"/>
        <v>0.22470000000000001</v>
      </c>
      <c r="AJ76" s="582">
        <v>2.92</v>
      </c>
      <c r="AL76" s="612"/>
      <c r="AM76" s="430">
        <f t="shared" ca="1" si="0"/>
        <v>0</v>
      </c>
      <c r="AN76" s="655">
        <f t="shared" ca="1" si="22"/>
        <v>0</v>
      </c>
    </row>
    <row r="77" spans="1:40" ht="13.8" x14ac:dyDescent="0.3">
      <c r="A77" t="str">
        <f t="shared" si="1"/>
        <v>S</v>
      </c>
      <c r="B77">
        <f t="shared" ca="1" si="2"/>
        <v>3</v>
      </c>
      <c r="C77" t="str">
        <f t="shared" ca="1" si="3"/>
        <v>S</v>
      </c>
      <c r="D77">
        <f t="shared" ca="1" si="4"/>
        <v>0</v>
      </c>
      <c r="E77">
        <f ca="1">IF($C77=1,OFFSET(E77,-1,0)+MAX(1,COUNTIF(QCI!$A$13:$A$24,OFFSET(ORÇAMENTO!E77,-1,0))),OFFSET(E77,-1,0))</f>
        <v>1</v>
      </c>
      <c r="F77">
        <f t="shared" ca="1" si="5"/>
        <v>3</v>
      </c>
      <c r="G77">
        <f t="shared" ca="1" si="6"/>
        <v>4</v>
      </c>
      <c r="H77">
        <f t="shared" ca="1" si="7"/>
        <v>0</v>
      </c>
      <c r="I77">
        <f t="shared" ca="1" si="8"/>
        <v>0</v>
      </c>
      <c r="J77">
        <f t="shared" ca="1" si="9"/>
        <v>0</v>
      </c>
      <c r="K77">
        <f ca="1">IF(OR($C77="S",$C77=0),0,MATCH(OFFSET($D77,0,$C77)+IF($C77&lt;&gt;1,1,COUNTIF(QCI!$A$13:$A$24,ORÇAMENTO!E77)),OFFSET($D77,1,$C77,ROW($C$710)-ROW($C77)),0))</f>
        <v>0</v>
      </c>
      <c r="L77" s="143" t="str">
        <f t="shared" ca="1" si="10"/>
        <v/>
      </c>
      <c r="M77" s="144" t="s">
        <v>201</v>
      </c>
      <c r="N77" s="145" t="str">
        <f t="shared" ca="1" si="11"/>
        <v>Serviço</v>
      </c>
      <c r="O77" s="146" t="str">
        <f t="shared" ca="1" si="12"/>
        <v>-</v>
      </c>
      <c r="P77" s="147" t="s">
        <v>249</v>
      </c>
      <c r="Q77" s="148">
        <v>104918</v>
      </c>
      <c r="R77" s="149" t="str">
        <f t="shared" ca="1" si="32"/>
        <v>(abra o arquivo 'Referência 05-2024.xls)</v>
      </c>
      <c r="S77" s="150" t="str">
        <f t="shared" ca="1" si="33"/>
        <v>-</v>
      </c>
      <c r="T77" s="151">
        <f ca="1">OFFSET(CÁLCULO!H$15,ROW($T77)-ROW(T$15),0)</f>
        <v>5.49</v>
      </c>
      <c r="U77" s="152">
        <f t="shared" ca="1" si="25"/>
        <v>0</v>
      </c>
      <c r="V77" s="153" t="s">
        <v>158</v>
      </c>
      <c r="W77" s="151">
        <f t="shared" ca="1" si="13"/>
        <v>0</v>
      </c>
      <c r="X77" s="154">
        <f t="shared" ca="1" si="14"/>
        <v>0</v>
      </c>
      <c r="Y77" s="155" t="s">
        <v>583</v>
      </c>
      <c r="Z77" t="str">
        <f t="shared" ca="1" si="15"/>
        <v/>
      </c>
      <c r="AA77" s="156">
        <f ca="1">IF($C77="S",IF($Z77="CP",$X77,IF($Z77="RA",(($X77)*QCI!$AA$3),0)),SomaAgrup)</f>
        <v>0</v>
      </c>
      <c r="AB77" s="157">
        <f t="shared" ca="1" si="16"/>
        <v>0</v>
      </c>
      <c r="AC77" s="158" t="str">
        <f t="shared" ca="1" si="17"/>
        <v/>
      </c>
      <c r="AD77" s="104" t="str">
        <f ca="1">IF(C77&lt;=CRONO.NivelExibicao,MAX($AD$15:OFFSET(AD77,-1,0))+IF($C77&lt;&gt;1,1,MAX(1,COUNTIF(QCI!$A$13:$A$24,OFFSET($E77,-1,0)))),"")</f>
        <v/>
      </c>
      <c r="AE77" s="114" t="str">
        <f t="shared" ca="1" si="18"/>
        <v>SINAPI 104918</v>
      </c>
      <c r="AF77" s="159" t="str">
        <f t="shared" ca="1" si="19"/>
        <v>(abra o arquivo 'Referência 05-2024.xls)</v>
      </c>
      <c r="AG77" s="579">
        <f t="shared" ca="1" si="20"/>
        <v>0</v>
      </c>
      <c r="AH77" s="580">
        <f t="shared" ca="1" si="21"/>
        <v>0.22470000000000001</v>
      </c>
      <c r="AJ77" s="582">
        <v>5.49</v>
      </c>
      <c r="AL77" s="612"/>
      <c r="AM77" s="430">
        <f ca="1">$X77</f>
        <v>0</v>
      </c>
      <c r="AN77" s="655">
        <f t="shared" ca="1" si="22"/>
        <v>0</v>
      </c>
    </row>
    <row r="78" spans="1:40" ht="13.8" x14ac:dyDescent="0.3">
      <c r="A78" t="str">
        <f t="shared" si="1"/>
        <v>S</v>
      </c>
      <c r="B78">
        <f t="shared" ca="1" si="2"/>
        <v>3</v>
      </c>
      <c r="C78" t="str">
        <f t="shared" ca="1" si="3"/>
        <v>S</v>
      </c>
      <c r="D78">
        <f t="shared" ca="1" si="4"/>
        <v>0</v>
      </c>
      <c r="E78">
        <f ca="1">IF($C78=1,OFFSET(E78,-1,0)+MAX(1,COUNTIF(QCI!$A$13:$A$24,OFFSET(ORÇAMENTO!E78,-1,0))),OFFSET(E78,-1,0))</f>
        <v>1</v>
      </c>
      <c r="F78">
        <f t="shared" ca="1" si="5"/>
        <v>3</v>
      </c>
      <c r="G78">
        <f t="shared" ca="1" si="6"/>
        <v>4</v>
      </c>
      <c r="H78">
        <f t="shared" ca="1" si="7"/>
        <v>0</v>
      </c>
      <c r="I78">
        <f t="shared" ca="1" si="8"/>
        <v>0</v>
      </c>
      <c r="J78">
        <f t="shared" ca="1" si="9"/>
        <v>0</v>
      </c>
      <c r="K78">
        <f ca="1">IF(OR($C78="S",$C78=0),0,MATCH(OFFSET($D78,0,$C78)+IF($C78&lt;&gt;1,1,COUNTIF(QCI!$A$13:$A$24,ORÇAMENTO!E78)),OFFSET($D78,1,$C78,ROW($C$710)-ROW($C78)),0))</f>
        <v>0</v>
      </c>
      <c r="L78" s="143" t="str">
        <f t="shared" ca="1" si="10"/>
        <v/>
      </c>
      <c r="M78" s="144" t="s">
        <v>201</v>
      </c>
      <c r="N78" s="145" t="str">
        <f t="shared" ca="1" si="11"/>
        <v>Serviço</v>
      </c>
      <c r="O78" s="146" t="str">
        <f t="shared" ca="1" si="12"/>
        <v>-</v>
      </c>
      <c r="P78" s="147" t="s">
        <v>249</v>
      </c>
      <c r="Q78" s="148">
        <v>104919</v>
      </c>
      <c r="R78" s="149" t="str">
        <f t="shared" ca="1" si="32"/>
        <v>(abra o arquivo 'Referência 05-2024.xls)</v>
      </c>
      <c r="S78" s="150" t="str">
        <f t="shared" ca="1" si="33"/>
        <v>-</v>
      </c>
      <c r="T78" s="151">
        <f ca="1">OFFSET(CÁLCULO!H$15,ROW($T78)-ROW(T$15),0)</f>
        <v>132.28</v>
      </c>
      <c r="U78" s="152">
        <f t="shared" ca="1" si="25"/>
        <v>0</v>
      </c>
      <c r="V78" s="153" t="s">
        <v>158</v>
      </c>
      <c r="W78" s="151">
        <f t="shared" ca="1" si="13"/>
        <v>0</v>
      </c>
      <c r="X78" s="154">
        <f t="shared" ca="1" si="14"/>
        <v>0</v>
      </c>
      <c r="Y78" s="155" t="s">
        <v>583</v>
      </c>
      <c r="Z78" t="str">
        <f t="shared" ca="1" si="15"/>
        <v/>
      </c>
      <c r="AA78" s="156">
        <f ca="1">IF($C78="S",IF($Z78="CP",$X78,IF($Z78="RA",(($X78)*QCI!$AA$3),0)),SomaAgrup)</f>
        <v>0</v>
      </c>
      <c r="AB78" s="157">
        <f t="shared" ca="1" si="16"/>
        <v>0</v>
      </c>
      <c r="AC78" s="158" t="str">
        <f t="shared" ca="1" si="17"/>
        <v/>
      </c>
      <c r="AD78" s="104" t="str">
        <f ca="1">IF(C78&lt;=CRONO.NivelExibicao,MAX($AD$15:OFFSET(AD78,-1,0))+IF($C78&lt;&gt;1,1,MAX(1,COUNTIF(QCI!$A$13:$A$24,OFFSET($E78,-1,0)))),"")</f>
        <v/>
      </c>
      <c r="AE78" s="114" t="str">
        <f t="shared" ca="1" si="18"/>
        <v>SINAPI 104919</v>
      </c>
      <c r="AF78" s="159" t="str">
        <f t="shared" ca="1" si="19"/>
        <v>(abra o arquivo 'Referência 05-2024.xls)</v>
      </c>
      <c r="AG78" s="579">
        <f t="shared" ca="1" si="20"/>
        <v>0</v>
      </c>
      <c r="AH78" s="580">
        <f t="shared" ca="1" si="21"/>
        <v>0.22470000000000001</v>
      </c>
      <c r="AJ78" s="582">
        <v>132.28</v>
      </c>
      <c r="AL78" s="612"/>
      <c r="AM78" s="430">
        <f t="shared" ca="1" si="0"/>
        <v>0</v>
      </c>
      <c r="AN78" s="655">
        <f t="shared" ca="1" si="22"/>
        <v>0</v>
      </c>
    </row>
    <row r="79" spans="1:40" ht="13.8" x14ac:dyDescent="0.3">
      <c r="A79" t="str">
        <f t="shared" ref="A79:A142" si="34">CHOOSE(1+LOG(1+2*(ORÇAMENTO.Nivel="Meta")+4*(ORÇAMENTO.Nivel="Nível 2")+8*(ORÇAMENTO.Nivel="Nível 3")+16*(ORÇAMENTO.Nivel="Nível 4")+32*(ORÇAMENTO.Nivel="Serviço"),2),0,1,2,3,4,"S")</f>
        <v>S</v>
      </c>
      <c r="B79">
        <f t="shared" ref="B79:B142" ca="1" si="35">IF(OR(C79="s",C79=0),OFFSET(B79,-1,0),C79)</f>
        <v>3</v>
      </c>
      <c r="C79" t="str">
        <f t="shared" ref="C79:C142" ca="1" si="36">IF(OFFSET(C79,-1,0)="L",1,IF(OFFSET(C79,-1,0)=1,2,IF(OR(A79="s",A79=0),"S",IF(AND(OFFSET(C79,-1,0)=2,A79=4),3,IF(AND(OR(OFFSET(C79,-1,0)="s",OFFSET(C79,-1,0)=0),A79&lt;&gt;"s",A79&gt;OFFSET(B79,-1,0)),OFFSET(B79,-1,0),A79)))))</f>
        <v>S</v>
      </c>
      <c r="D79">
        <f t="shared" ref="D79:D142" ca="1" si="37">IF(OR(C79="S",C79=0),0,IF(ISERROR(K79),J79,SMALL(J79:K79,1)))</f>
        <v>0</v>
      </c>
      <c r="E79">
        <f ca="1">IF($C79=1,OFFSET(E79,-1,0)+MAX(1,COUNTIF(QCI!$A$13:$A$24,OFFSET(ORÇAMENTO!E79,-1,0))),OFFSET(E79,-1,0))</f>
        <v>1</v>
      </c>
      <c r="F79">
        <f t="shared" ref="F79:F142" ca="1" si="38">IF($C79=1,0,IF($C79=2,OFFSET(F79,-1,0)+1,OFFSET(F79,-1,0)))</f>
        <v>3</v>
      </c>
      <c r="G79">
        <f t="shared" ref="G79:G142" ca="1" si="39">IF(AND($C79&lt;=2,$C79&lt;&gt;0),0,IF($C79=3,OFFSET(G79,-1,0)+1,OFFSET(G79,-1,0)))</f>
        <v>4</v>
      </c>
      <c r="H79">
        <f t="shared" ref="H79:H142" ca="1" si="40">IF(AND($C79&lt;=3,$C79&lt;&gt;0),0,IF($C79=4,OFFSET(H79,-1,0)+1,OFFSET(H79,-1,0)))</f>
        <v>0</v>
      </c>
      <c r="I79">
        <f t="shared" ref="I79:I142" ca="1" si="41">IF(AND($C79&lt;=4,$C79&lt;&gt;0),0,IF(AND($C79="S",$X79&gt;0),OFFSET(I79,-1,0)+1,OFFSET(I79,-1,0)))</f>
        <v>0</v>
      </c>
      <c r="J79">
        <f t="shared" ca="1" si="9"/>
        <v>0</v>
      </c>
      <c r="K79">
        <f ca="1">IF(OR($C79="S",$C79=0),0,MATCH(OFFSET($D79,0,$C79)+IF($C79&lt;&gt;1,1,COUNTIF(QCI!$A$13:$A$24,ORÇAMENTO!E79)),OFFSET($D79,1,$C79,ROW($C$710)-ROW($C79)),0))</f>
        <v>0</v>
      </c>
      <c r="L79" s="143" t="str">
        <f t="shared" ref="L79:L142" ca="1" si="42">IF(OR($X79&gt;0,$C79=1,$C79=2,$C79=3,$C79=4),"F","")</f>
        <v/>
      </c>
      <c r="M79" s="144" t="s">
        <v>201</v>
      </c>
      <c r="N79" s="145" t="str">
        <f t="shared" ref="N79:N142" ca="1" si="43">CHOOSE(1+LOG(1+2*(C79=1)+4*(C79=2)+8*(C79=3)+16*(C79=4)+32*(C79="S"),2),"","Meta","Nível 2","Nível 3","Nível 4","Serviço")</f>
        <v>Serviço</v>
      </c>
      <c r="O79" s="146" t="str">
        <f t="shared" ref="O79:O142" ca="1" si="44">IF(OR($C79=0,$L79=""),"-",CONCATENATE(E79&amp;".",IF(AND($A$5&gt;=2,$C79&gt;=2),F79&amp;".",""),IF(AND($A$5&gt;=3,$C79&gt;=3),G79&amp;".",""),IF(AND($A$5&gt;=4,$C79&gt;=4),H79&amp;".",""),IF($C79="S",I79&amp;".","")))</f>
        <v>-</v>
      </c>
      <c r="P79" s="147" t="s">
        <v>249</v>
      </c>
      <c r="Q79" s="148">
        <v>104920</v>
      </c>
      <c r="R79" s="149" t="str">
        <f t="shared" ca="1" si="32"/>
        <v>(abra o arquivo 'Referência 05-2024.xls)</v>
      </c>
      <c r="S79" s="150" t="str">
        <f t="shared" ca="1" si="33"/>
        <v>-</v>
      </c>
      <c r="T79" s="151">
        <f ca="1">OFFSET(CÁLCULO!H$15,ROW($T79)-ROW(T$15),0)</f>
        <v>22.53</v>
      </c>
      <c r="U79" s="152">
        <f t="shared" ca="1" si="25"/>
        <v>0</v>
      </c>
      <c r="V79" s="153" t="s">
        <v>158</v>
      </c>
      <c r="W79" s="151">
        <f t="shared" ref="W79:W142" ca="1" si="45">IF($C79="S",ROUND(IF(TIPOORCAMENTO="Proposto",ORÇAMENTO.CustoUnitario*(1+$AH79),ORÇAMENTO.PrecoUnitarioLicitado),15-13*$AF$10),0)</f>
        <v>0</v>
      </c>
      <c r="X79" s="154">
        <f t="shared" ref="X79:X142" ca="1" si="46">IF($C79="S",VTOTAL1,IF($C79=0,0,ROUND(SomaAgrup,15-13*$AF$11)))</f>
        <v>0</v>
      </c>
      <c r="Y79" s="155" t="s">
        <v>583</v>
      </c>
      <c r="Z79" t="str">
        <f t="shared" ref="Z79:Z142" ca="1" si="47">IF(AND($C79="S",$X79&gt;0),IF(ISBLANK($Y79),"RA",LEFT($Y79,2)),"")</f>
        <v/>
      </c>
      <c r="AA79" s="156">
        <f ca="1">IF($C79="S",IF($Z79="CP",$X79,IF($Z79="RA",(($X79)*QCI!$AA$3),0)),SomaAgrup)</f>
        <v>0</v>
      </c>
      <c r="AB79" s="157">
        <f t="shared" ref="AB79:AB142" ca="1" si="48">IF($C79="S",IF($Z79="OU",ROUND($X79,2),0),SomaAgrup)</f>
        <v>0</v>
      </c>
      <c r="AC79" s="158" t="str">
        <f t="shared" ref="AC79:AC142" ca="1" si="49">IF($N79="","",IF(ORÇAMENTO.Descricao="","DESCRIÇÃO",IF(AND($C79="S",ORÇAMENTO.Unidade=""),"UNIDADE",IF($X79&lt;0,"VALOR NEGATIVO",IF(OR(AND(TIPOORCAMENTO="Proposto",$AG79&lt;&gt;"",$AG79&gt;0,ORÇAMENTO.CustoUnitario&gt;$AG79),AND(TIPOORCAMENTO="LICITADO",ORÇAMENTO.PrecoUnitarioLicitado&gt;$AN79)),"ACIMA REF.","")))))</f>
        <v/>
      </c>
      <c r="AD79" s="104" t="str">
        <f ca="1">IF(C79&lt;=CRONO.NivelExibicao,MAX($AD$15:OFFSET(AD79,-1,0))+IF($C79&lt;&gt;1,1,MAX(1,COUNTIF(QCI!$A$13:$A$24,OFFSET($E79,-1,0)))),"")</f>
        <v/>
      </c>
      <c r="AE79" s="114" t="str">
        <f t="shared" ref="AE79:AE142" ca="1" si="50">IF(AND($C79="S",ORÇAMENTO.CodBarra&lt;&gt;""),IF(ORÇAMENTO.Fonte="",ORÇAMENTO.CodBarra,CONCATENATE(ORÇAMENTO.Fonte," ",ORÇAMENTO.CodBarra)))</f>
        <v>SINAPI 104920</v>
      </c>
      <c r="AF79" s="159" t="str">
        <f t="shared" ref="AF79:AF142" ca="1" si="51">IF(ISERROR(INDIRECT(ORÇAMENTO.BancoRef)),"(abra o arquivo 'Referência "&amp;Excel_BuiltIn_Database&amp;".xls)",IF(OR($C79&lt;&gt;"S",ORÇAMENTO.CodBarra=""),"(Sem Código)",IF(ISERROR(MATCH($AE79,INDIRECT(ORÇAMENTO.BancoRef),0)),"(Código não identificado nas referências)",MATCH($AE79,INDIRECT(ORÇAMENTO.BancoRef),0))))</f>
        <v>(abra o arquivo 'Referência 05-2024.xls)</v>
      </c>
      <c r="AG79" s="579">
        <f t="shared" ref="AG79:AG142" ca="1" si="52">ROUND(IF(DESONERACAO="sim",REFERENCIA.Desonerado,REFERENCIA.NaoDesonerado),2)</f>
        <v>0</v>
      </c>
      <c r="AH79" s="580">
        <f t="shared" ref="AH79:AH142" ca="1" si="53">ROUND(IF(ISNUMBER(ORÇAMENTO.OpcaoBDI),ORÇAMENTO.OpcaoBDI,IF(LEFT(ORÇAMENTO.OpcaoBDI,3)="BDI",HLOOKUP(ORÇAMENTO.OpcaoBDI,$F$4:$H$5,2,FALSE),0)),15-11*$AF$9)</f>
        <v>0.22470000000000001</v>
      </c>
      <c r="AJ79" s="582">
        <v>22.53</v>
      </c>
      <c r="AL79" s="612"/>
      <c r="AM79" s="430">
        <f t="shared" ref="AM79:AM142" ca="1" si="54">$X79</f>
        <v>0</v>
      </c>
      <c r="AN79" s="655">
        <f t="shared" ref="AN79:AN142" ca="1" si="55">ROUND(ORÇAMENTO.CustoUnitario*(1+$AH79),2)</f>
        <v>0</v>
      </c>
    </row>
    <row r="80" spans="1:40" ht="13.8" x14ac:dyDescent="0.3">
      <c r="A80" t="str">
        <f t="shared" si="34"/>
        <v>S</v>
      </c>
      <c r="B80">
        <f t="shared" ca="1" si="35"/>
        <v>3</v>
      </c>
      <c r="C80" t="str">
        <f t="shared" ca="1" si="36"/>
        <v>S</v>
      </c>
      <c r="D80">
        <f t="shared" ca="1" si="37"/>
        <v>0</v>
      </c>
      <c r="E80">
        <f ca="1">IF($C80=1,OFFSET(E80,-1,0)+MAX(1,COUNTIF(QCI!$A$13:$A$24,OFFSET(ORÇAMENTO!E80,-1,0))),OFFSET(E80,-1,0))</f>
        <v>1</v>
      </c>
      <c r="F80">
        <f t="shared" ca="1" si="38"/>
        <v>3</v>
      </c>
      <c r="G80">
        <f t="shared" ca="1" si="39"/>
        <v>4</v>
      </c>
      <c r="H80">
        <f t="shared" ca="1" si="40"/>
        <v>0</v>
      </c>
      <c r="I80">
        <f t="shared" ca="1" si="41"/>
        <v>0</v>
      </c>
      <c r="J80">
        <f t="shared" ref="J80:J143" ca="1" si="56">IF(OR($C80="S",$C80=0),0,MATCH(0,OFFSET($D80,1,$C80,ROW($C$710)-ROW($C80)),0))</f>
        <v>0</v>
      </c>
      <c r="K80">
        <f ca="1">IF(OR($C80="S",$C80=0),0,MATCH(OFFSET($D80,0,$C80)+IF($C80&lt;&gt;1,1,COUNTIF(QCI!$A$13:$A$24,ORÇAMENTO!E80)),OFFSET($D80,1,$C80,ROW($C$710)-ROW($C80)),0))</f>
        <v>0</v>
      </c>
      <c r="L80" s="143" t="str">
        <f t="shared" ca="1" si="42"/>
        <v/>
      </c>
      <c r="M80" s="144" t="s">
        <v>201</v>
      </c>
      <c r="N80" s="145" t="str">
        <f t="shared" ca="1" si="43"/>
        <v>Serviço</v>
      </c>
      <c r="O80" s="146" t="str">
        <f t="shared" ca="1" si="44"/>
        <v>-</v>
      </c>
      <c r="P80" s="147" t="s">
        <v>249</v>
      </c>
      <c r="Q80" s="148">
        <v>104916</v>
      </c>
      <c r="R80" s="149" t="str">
        <f t="shared" ca="1" si="32"/>
        <v>(abra o arquivo 'Referência 05-2024.xls)</v>
      </c>
      <c r="S80" s="150" t="str">
        <f t="shared" ca="1" si="33"/>
        <v>-</v>
      </c>
      <c r="T80" s="151">
        <f ca="1">OFFSET(CÁLCULO!H$15,ROW($T80)-ROW(T$15),0)</f>
        <v>40.340000000000003</v>
      </c>
      <c r="U80" s="152">
        <f t="shared" ca="1" si="25"/>
        <v>0</v>
      </c>
      <c r="V80" s="153" t="s">
        <v>158</v>
      </c>
      <c r="W80" s="151">
        <f t="shared" ca="1" si="45"/>
        <v>0</v>
      </c>
      <c r="X80" s="154">
        <f t="shared" ca="1" si="46"/>
        <v>0</v>
      </c>
      <c r="Y80" s="155" t="s">
        <v>583</v>
      </c>
      <c r="Z80" t="str">
        <f t="shared" ca="1" si="47"/>
        <v/>
      </c>
      <c r="AA80" s="156">
        <f ca="1">IF($C80="S",IF($Z80="CP",$X80,IF($Z80="RA",(($X80)*QCI!$AA$3),0)),SomaAgrup)</f>
        <v>0</v>
      </c>
      <c r="AB80" s="157">
        <f t="shared" ca="1" si="48"/>
        <v>0</v>
      </c>
      <c r="AC80" s="158" t="str">
        <f t="shared" ca="1" si="49"/>
        <v/>
      </c>
      <c r="AD80" s="104" t="str">
        <f ca="1">IF(C80&lt;=CRONO.NivelExibicao,MAX($AD$15:OFFSET(AD80,-1,0))+IF($C80&lt;&gt;1,1,MAX(1,COUNTIF(QCI!$A$13:$A$24,OFFSET($E80,-1,0)))),"")</f>
        <v/>
      </c>
      <c r="AE80" s="114" t="str">
        <f t="shared" ca="1" si="50"/>
        <v>SINAPI 104916</v>
      </c>
      <c r="AF80" s="159" t="str">
        <f t="shared" ca="1" si="51"/>
        <v>(abra o arquivo 'Referência 05-2024.xls)</v>
      </c>
      <c r="AG80" s="579">
        <f t="shared" ca="1" si="52"/>
        <v>0</v>
      </c>
      <c r="AH80" s="580">
        <f t="shared" ca="1" si="53"/>
        <v>0.22470000000000001</v>
      </c>
      <c r="AJ80" s="582">
        <v>40.340000000000003</v>
      </c>
      <c r="AL80" s="612"/>
      <c r="AM80" s="430">
        <f t="shared" ca="1" si="54"/>
        <v>0</v>
      </c>
      <c r="AN80" s="655">
        <f t="shared" ca="1" si="55"/>
        <v>0</v>
      </c>
    </row>
    <row r="81" spans="1:40" ht="13.8" x14ac:dyDescent="0.3">
      <c r="A81" t="str">
        <f t="shared" si="34"/>
        <v>S</v>
      </c>
      <c r="B81">
        <f t="shared" ca="1" si="35"/>
        <v>3</v>
      </c>
      <c r="C81" t="str">
        <f t="shared" ca="1" si="36"/>
        <v>S</v>
      </c>
      <c r="D81">
        <f t="shared" ca="1" si="37"/>
        <v>0</v>
      </c>
      <c r="E81">
        <f ca="1">IF($C81=1,OFFSET(E81,-1,0)+MAX(1,COUNTIF(QCI!$A$13:$A$24,OFFSET(ORÇAMENTO!E81,-1,0))),OFFSET(E81,-1,0))</f>
        <v>1</v>
      </c>
      <c r="F81">
        <f t="shared" ca="1" si="38"/>
        <v>3</v>
      </c>
      <c r="G81">
        <f t="shared" ca="1" si="39"/>
        <v>4</v>
      </c>
      <c r="H81">
        <f t="shared" ca="1" si="40"/>
        <v>0</v>
      </c>
      <c r="I81">
        <f t="shared" ca="1" si="41"/>
        <v>0</v>
      </c>
      <c r="J81">
        <f t="shared" ca="1" si="56"/>
        <v>0</v>
      </c>
      <c r="K81">
        <f ca="1">IF(OR($C81="S",$C81=0),0,MATCH(OFFSET($D81,0,$C81)+IF($C81&lt;&gt;1,1,COUNTIF(QCI!$A$13:$A$24,ORÇAMENTO!E81)),OFFSET($D81,1,$C81,ROW($C$710)-ROW($C81)),0))</f>
        <v>0</v>
      </c>
      <c r="L81" s="143" t="str">
        <f t="shared" ca="1" si="42"/>
        <v/>
      </c>
      <c r="M81" s="144" t="s">
        <v>201</v>
      </c>
      <c r="N81" s="145" t="str">
        <f t="shared" ca="1" si="43"/>
        <v>Serviço</v>
      </c>
      <c r="O81" s="146" t="str">
        <f t="shared" ca="1" si="44"/>
        <v>-</v>
      </c>
      <c r="P81" s="147" t="s">
        <v>249</v>
      </c>
      <c r="Q81" s="148">
        <v>96557</v>
      </c>
      <c r="R81" s="149" t="str">
        <f t="shared" ca="1" si="32"/>
        <v>(abra o arquivo 'Referência 05-2024.xls)</v>
      </c>
      <c r="S81" s="150" t="str">
        <f t="shared" ca="1" si="33"/>
        <v>-</v>
      </c>
      <c r="T81" s="151">
        <f ca="1">OFFSET(CÁLCULO!H$15,ROW($T81)-ROW(T$15),0)</f>
        <v>4.59</v>
      </c>
      <c r="U81" s="152">
        <f t="shared" ca="1" si="25"/>
        <v>0</v>
      </c>
      <c r="V81" s="153" t="s">
        <v>158</v>
      </c>
      <c r="W81" s="151">
        <f t="shared" ca="1" si="45"/>
        <v>0</v>
      </c>
      <c r="X81" s="154">
        <f t="shared" ca="1" si="46"/>
        <v>0</v>
      </c>
      <c r="Y81" s="155" t="s">
        <v>583</v>
      </c>
      <c r="Z81" t="str">
        <f t="shared" ca="1" si="47"/>
        <v/>
      </c>
      <c r="AA81" s="156">
        <f ca="1">IF($C81="S",IF($Z81="CP",$X81,IF($Z81="RA",(($X81)*QCI!$AA$3),0)),SomaAgrup)</f>
        <v>0</v>
      </c>
      <c r="AB81" s="157">
        <f t="shared" ca="1" si="48"/>
        <v>0</v>
      </c>
      <c r="AC81" s="158" t="str">
        <f t="shared" ca="1" si="49"/>
        <v/>
      </c>
      <c r="AD81" s="104" t="str">
        <f ca="1">IF(C81&lt;=CRONO.NivelExibicao,MAX($AD$15:OFFSET(AD81,-1,0))+IF($C81&lt;&gt;1,1,MAX(1,COUNTIF(QCI!$A$13:$A$24,OFFSET($E81,-1,0)))),"")</f>
        <v/>
      </c>
      <c r="AE81" s="114" t="str">
        <f t="shared" ca="1" si="50"/>
        <v>SINAPI 96557</v>
      </c>
      <c r="AF81" s="159" t="str">
        <f t="shared" ca="1" si="51"/>
        <v>(abra o arquivo 'Referência 05-2024.xls)</v>
      </c>
      <c r="AG81" s="579">
        <f t="shared" ca="1" si="52"/>
        <v>0</v>
      </c>
      <c r="AH81" s="580">
        <f t="shared" ca="1" si="53"/>
        <v>0.22470000000000001</v>
      </c>
      <c r="AJ81" s="582">
        <v>4.59</v>
      </c>
      <c r="AL81" s="612"/>
      <c r="AM81" s="430">
        <f t="shared" ca="1" si="54"/>
        <v>0</v>
      </c>
      <c r="AN81" s="655">
        <f t="shared" ca="1" si="55"/>
        <v>0</v>
      </c>
    </row>
    <row r="82" spans="1:40" ht="13.8" x14ac:dyDescent="0.3">
      <c r="A82">
        <f t="shared" si="34"/>
        <v>3</v>
      </c>
      <c r="B82">
        <f t="shared" ca="1" si="35"/>
        <v>3</v>
      </c>
      <c r="C82">
        <f t="shared" ca="1" si="36"/>
        <v>3</v>
      </c>
      <c r="D82">
        <f t="shared" ca="1" si="37"/>
        <v>4</v>
      </c>
      <c r="E82">
        <f ca="1">IF($C82=1,OFFSET(E82,-1,0)+MAX(1,COUNTIF(QCI!$A$13:$A$24,OFFSET(ORÇAMENTO!E82,-1,0))),OFFSET(E82,-1,0))</f>
        <v>1</v>
      </c>
      <c r="F82">
        <f t="shared" ca="1" si="38"/>
        <v>3</v>
      </c>
      <c r="G82">
        <f t="shared" ca="1" si="39"/>
        <v>5</v>
      </c>
      <c r="H82">
        <f t="shared" ca="1" si="40"/>
        <v>0</v>
      </c>
      <c r="I82">
        <f t="shared" ca="1" si="41"/>
        <v>0</v>
      </c>
      <c r="J82">
        <f t="shared" ca="1" si="56"/>
        <v>10</v>
      </c>
      <c r="K82">
        <f ca="1">IF(OR($C82="S",$C82=0),0,MATCH(OFFSET($D82,0,$C82)+IF($C82&lt;&gt;1,1,COUNTIF(QCI!$A$13:$A$24,ORÇAMENTO!E82)),OFFSET($D82,1,$C82,ROW($C$710)-ROW($C82)),0))</f>
        <v>4</v>
      </c>
      <c r="L82" s="143" t="str">
        <f t="shared" ca="1" si="42"/>
        <v>F</v>
      </c>
      <c r="M82" s="144" t="s">
        <v>199</v>
      </c>
      <c r="N82" s="145" t="str">
        <f t="shared" ca="1" si="43"/>
        <v>Nível 3</v>
      </c>
      <c r="O82" s="146" t="str">
        <f t="shared" ca="1" si="44"/>
        <v>1.3.5.</v>
      </c>
      <c r="P82" s="147" t="s">
        <v>249</v>
      </c>
      <c r="Q82" s="148"/>
      <c r="R82" s="149" t="s">
        <v>490</v>
      </c>
      <c r="S82" s="150" t="s">
        <v>168</v>
      </c>
      <c r="T82" s="151">
        <f ca="1">OFFSET(CÁLCULO!H$15,ROW($T82)-ROW(T$15),0)</f>
        <v>0</v>
      </c>
      <c r="U82" s="152">
        <f t="shared" ref="U82:U145" ca="1" si="57">AG82</f>
        <v>0</v>
      </c>
      <c r="V82" s="153" t="s">
        <v>158</v>
      </c>
      <c r="W82" s="151">
        <f t="shared" ca="1" si="45"/>
        <v>0</v>
      </c>
      <c r="X82" s="154">
        <f t="shared" ca="1" si="46"/>
        <v>0</v>
      </c>
      <c r="Y82" s="155" t="s">
        <v>583</v>
      </c>
      <c r="Z82" t="str">
        <f t="shared" ca="1" si="47"/>
        <v/>
      </c>
      <c r="AA82" s="156">
        <f ca="1">IF($C82="S",IF($Z82="CP",$X82,IF($Z82="RA",(($X82)*QCI!$AA$3),0)),SomaAgrup)</f>
        <v>0</v>
      </c>
      <c r="AB82" s="157">
        <f t="shared" ca="1" si="48"/>
        <v>0</v>
      </c>
      <c r="AC82" s="158" t="str">
        <f t="shared" ca="1" si="49"/>
        <v/>
      </c>
      <c r="AD82" s="104" t="str">
        <f ca="1">IF(C82&lt;=CRONO.NivelExibicao,MAX($AD$15:OFFSET(AD82,-1,0))+IF($C82&lt;&gt;1,1,MAX(1,COUNTIF(QCI!$A$13:$A$24,OFFSET($E82,-1,0)))),"")</f>
        <v/>
      </c>
      <c r="AE82" s="114" t="b">
        <f t="shared" ca="1" si="50"/>
        <v>0</v>
      </c>
      <c r="AF82" s="159" t="str">
        <f t="shared" ca="1" si="51"/>
        <v>(abra o arquivo 'Referência 05-2024.xls)</v>
      </c>
      <c r="AG82" s="579">
        <f t="shared" ca="1" si="52"/>
        <v>0</v>
      </c>
      <c r="AH82" s="580">
        <f t="shared" ca="1" si="53"/>
        <v>0.22470000000000001</v>
      </c>
      <c r="AJ82" s="582"/>
      <c r="AL82" s="612"/>
      <c r="AM82" s="430">
        <f t="shared" ca="1" si="54"/>
        <v>0</v>
      </c>
      <c r="AN82" s="655">
        <f t="shared" ca="1" si="55"/>
        <v>0</v>
      </c>
    </row>
    <row r="83" spans="1:40" ht="13.8" x14ac:dyDescent="0.3">
      <c r="A83" t="str">
        <f t="shared" si="34"/>
        <v>S</v>
      </c>
      <c r="B83">
        <f t="shared" ca="1" si="35"/>
        <v>3</v>
      </c>
      <c r="C83" t="str">
        <f t="shared" ca="1" si="36"/>
        <v>S</v>
      </c>
      <c r="D83">
        <f t="shared" ca="1" si="37"/>
        <v>0</v>
      </c>
      <c r="E83">
        <f ca="1">IF($C83=1,OFFSET(E83,-1,0)+MAX(1,COUNTIF(QCI!$A$13:$A$24,OFFSET(ORÇAMENTO!E83,-1,0))),OFFSET(E83,-1,0))</f>
        <v>1</v>
      </c>
      <c r="F83">
        <f t="shared" ca="1" si="38"/>
        <v>3</v>
      </c>
      <c r="G83">
        <f t="shared" ca="1" si="39"/>
        <v>5</v>
      </c>
      <c r="H83">
        <f t="shared" ca="1" si="40"/>
        <v>0</v>
      </c>
      <c r="I83">
        <f t="shared" ca="1" si="41"/>
        <v>0</v>
      </c>
      <c r="J83">
        <f t="shared" ca="1" si="56"/>
        <v>0</v>
      </c>
      <c r="K83">
        <f ca="1">IF(OR($C83="S",$C83=0),0,MATCH(OFFSET($D83,0,$C83)+IF($C83&lt;&gt;1,1,COUNTIF(QCI!$A$13:$A$24,ORÇAMENTO!E83)),OFFSET($D83,1,$C83,ROW($C$710)-ROW($C83)),0))</f>
        <v>0</v>
      </c>
      <c r="L83" s="143" t="str">
        <f t="shared" ca="1" si="42"/>
        <v/>
      </c>
      <c r="M83" s="144" t="s">
        <v>201</v>
      </c>
      <c r="N83" s="145" t="str">
        <f t="shared" ca="1" si="43"/>
        <v>Serviço</v>
      </c>
      <c r="O83" s="146" t="str">
        <f t="shared" ca="1" si="44"/>
        <v>-</v>
      </c>
      <c r="P83" s="147" t="s">
        <v>249</v>
      </c>
      <c r="Q83" s="148">
        <v>97086</v>
      </c>
      <c r="R83" s="149" t="str">
        <f ca="1">IF($C83="S",REFERENCIA.Descricao,"(digite a descrição aqui)")</f>
        <v>(abra o arquivo 'Referência 05-2024.xls)</v>
      </c>
      <c r="S83" s="150" t="str">
        <f ca="1">REFERENCIA.Unidade</f>
        <v>-</v>
      </c>
      <c r="T83" s="151">
        <f ca="1">OFFSET(CÁLCULO!H$15,ROW($T83)-ROW(T$15),0)</f>
        <v>25.01</v>
      </c>
      <c r="U83" s="152">
        <f t="shared" ca="1" si="57"/>
        <v>0</v>
      </c>
      <c r="V83" s="153" t="s">
        <v>158</v>
      </c>
      <c r="W83" s="151">
        <f t="shared" ca="1" si="45"/>
        <v>0</v>
      </c>
      <c r="X83" s="154">
        <f t="shared" ca="1" si="46"/>
        <v>0</v>
      </c>
      <c r="Y83" s="155" t="s">
        <v>583</v>
      </c>
      <c r="Z83" t="str">
        <f t="shared" ca="1" si="47"/>
        <v/>
      </c>
      <c r="AA83" s="156">
        <f ca="1">IF($C83="S",IF($Z83="CP",$X83,IF($Z83="RA",(($X83)*QCI!$AA$3),0)),SomaAgrup)</f>
        <v>0</v>
      </c>
      <c r="AB83" s="157">
        <f t="shared" ca="1" si="48"/>
        <v>0</v>
      </c>
      <c r="AC83" s="158" t="str">
        <f t="shared" ca="1" si="49"/>
        <v/>
      </c>
      <c r="AD83" s="104" t="str">
        <f ca="1">IF(C83&lt;=CRONO.NivelExibicao,MAX($AD$15:OFFSET(AD83,-1,0))+IF($C83&lt;&gt;1,1,MAX(1,COUNTIF(QCI!$A$13:$A$24,OFFSET($E83,-1,0)))),"")</f>
        <v/>
      </c>
      <c r="AE83" s="114" t="str">
        <f t="shared" ca="1" si="50"/>
        <v>SINAPI 97086</v>
      </c>
      <c r="AF83" s="159" t="str">
        <f t="shared" ca="1" si="51"/>
        <v>(abra o arquivo 'Referência 05-2024.xls)</v>
      </c>
      <c r="AG83" s="579">
        <f t="shared" ca="1" si="52"/>
        <v>0</v>
      </c>
      <c r="AH83" s="580">
        <f t="shared" ca="1" si="53"/>
        <v>0.22470000000000001</v>
      </c>
      <c r="AJ83" s="582">
        <v>25.01</v>
      </c>
      <c r="AL83" s="612"/>
      <c r="AM83" s="430">
        <f t="shared" ca="1" si="54"/>
        <v>0</v>
      </c>
      <c r="AN83" s="655">
        <f t="shared" ca="1" si="55"/>
        <v>0</v>
      </c>
    </row>
    <row r="84" spans="1:40" ht="13.8" x14ac:dyDescent="0.3">
      <c r="A84" t="str">
        <f t="shared" si="34"/>
        <v>S</v>
      </c>
      <c r="B84">
        <f t="shared" ca="1" si="35"/>
        <v>3</v>
      </c>
      <c r="C84" t="str">
        <f t="shared" ca="1" si="36"/>
        <v>S</v>
      </c>
      <c r="D84">
        <f t="shared" ca="1" si="37"/>
        <v>0</v>
      </c>
      <c r="E84">
        <f ca="1">IF($C84=1,OFFSET(E84,-1,0)+MAX(1,COUNTIF(QCI!$A$13:$A$24,OFFSET(ORÇAMENTO!E84,-1,0))),OFFSET(E84,-1,0))</f>
        <v>1</v>
      </c>
      <c r="F84">
        <f t="shared" ca="1" si="38"/>
        <v>3</v>
      </c>
      <c r="G84">
        <f t="shared" ca="1" si="39"/>
        <v>5</v>
      </c>
      <c r="H84">
        <f t="shared" ca="1" si="40"/>
        <v>0</v>
      </c>
      <c r="I84">
        <f t="shared" ca="1" si="41"/>
        <v>0</v>
      </c>
      <c r="J84">
        <f t="shared" ca="1" si="56"/>
        <v>0</v>
      </c>
      <c r="K84">
        <f ca="1">IF(OR($C84="S",$C84=0),0,MATCH(OFFSET($D84,0,$C84)+IF($C84&lt;&gt;1,1,COUNTIF(QCI!$A$13:$A$24,ORÇAMENTO!E84)),OFFSET($D84,1,$C84,ROW($C$710)-ROW($C84)),0))</f>
        <v>0</v>
      </c>
      <c r="L84" s="143" t="str">
        <f t="shared" ca="1" si="42"/>
        <v/>
      </c>
      <c r="M84" s="144" t="s">
        <v>201</v>
      </c>
      <c r="N84" s="145" t="str">
        <f t="shared" ca="1" si="43"/>
        <v>Serviço</v>
      </c>
      <c r="O84" s="146" t="str">
        <f t="shared" ca="1" si="44"/>
        <v>-</v>
      </c>
      <c r="P84" s="147" t="s">
        <v>249</v>
      </c>
      <c r="Q84" s="148">
        <v>92770</v>
      </c>
      <c r="R84" s="149" t="str">
        <f ca="1">IF($C84="S",REFERENCIA.Descricao,"(digite a descrição aqui)")</f>
        <v>(abra o arquivo 'Referência 05-2024.xls)</v>
      </c>
      <c r="S84" s="150" t="str">
        <f ca="1">REFERENCIA.Unidade</f>
        <v>-</v>
      </c>
      <c r="T84" s="151">
        <f ca="1">OFFSET(CÁLCULO!H$15,ROW($T84)-ROW(T$15),0)</f>
        <v>266.49</v>
      </c>
      <c r="U84" s="152">
        <f t="shared" ca="1" si="57"/>
        <v>0</v>
      </c>
      <c r="V84" s="153" t="s">
        <v>158</v>
      </c>
      <c r="W84" s="151">
        <f t="shared" ca="1" si="45"/>
        <v>0</v>
      </c>
      <c r="X84" s="154">
        <f t="shared" ca="1" si="46"/>
        <v>0</v>
      </c>
      <c r="Y84" s="155" t="s">
        <v>583</v>
      </c>
      <c r="Z84" t="str">
        <f t="shared" ca="1" si="47"/>
        <v/>
      </c>
      <c r="AA84" s="156">
        <f ca="1">IF($C84="S",IF($Z84="CP",$X84,IF($Z84="RA",(($X84)*QCI!$AA$3),0)),SomaAgrup)</f>
        <v>0</v>
      </c>
      <c r="AB84" s="157">
        <f t="shared" ca="1" si="48"/>
        <v>0</v>
      </c>
      <c r="AC84" s="158" t="str">
        <f t="shared" ca="1" si="49"/>
        <v/>
      </c>
      <c r="AD84" s="104" t="str">
        <f ca="1">IF(C84&lt;=CRONO.NivelExibicao,MAX($AD$15:OFFSET(AD84,-1,0))+IF($C84&lt;&gt;1,1,MAX(1,COUNTIF(QCI!$A$13:$A$24,OFFSET($E84,-1,0)))),"")</f>
        <v/>
      </c>
      <c r="AE84" s="114" t="str">
        <f t="shared" ca="1" si="50"/>
        <v>SINAPI 92770</v>
      </c>
      <c r="AF84" s="159" t="str">
        <f t="shared" ca="1" si="51"/>
        <v>(abra o arquivo 'Referência 05-2024.xls)</v>
      </c>
      <c r="AG84" s="579">
        <f t="shared" ca="1" si="52"/>
        <v>0</v>
      </c>
      <c r="AH84" s="580">
        <f t="shared" ca="1" si="53"/>
        <v>0.22470000000000001</v>
      </c>
      <c r="AJ84" s="582">
        <v>266.49</v>
      </c>
      <c r="AL84" s="612"/>
      <c r="AM84" s="430">
        <f t="shared" ca="1" si="54"/>
        <v>0</v>
      </c>
      <c r="AN84" s="655">
        <f t="shared" ca="1" si="55"/>
        <v>0</v>
      </c>
    </row>
    <row r="85" spans="1:40" ht="13.8" x14ac:dyDescent="0.3">
      <c r="A85" t="str">
        <f t="shared" si="34"/>
        <v>S</v>
      </c>
      <c r="B85">
        <f t="shared" ca="1" si="35"/>
        <v>3</v>
      </c>
      <c r="C85" t="str">
        <f t="shared" ca="1" si="36"/>
        <v>S</v>
      </c>
      <c r="D85">
        <f t="shared" ca="1" si="37"/>
        <v>0</v>
      </c>
      <c r="E85">
        <f ca="1">IF($C85=1,OFFSET(E85,-1,0)+MAX(1,COUNTIF(QCI!$A$13:$A$24,OFFSET(ORÇAMENTO!E85,-1,0))),OFFSET(E85,-1,0))</f>
        <v>1</v>
      </c>
      <c r="F85">
        <f t="shared" ca="1" si="38"/>
        <v>3</v>
      </c>
      <c r="G85">
        <f t="shared" ca="1" si="39"/>
        <v>5</v>
      </c>
      <c r="H85">
        <f t="shared" ca="1" si="40"/>
        <v>0</v>
      </c>
      <c r="I85">
        <f t="shared" ca="1" si="41"/>
        <v>0</v>
      </c>
      <c r="J85">
        <f t="shared" ca="1" si="56"/>
        <v>0</v>
      </c>
      <c r="K85">
        <f ca="1">IF(OR($C85="S",$C85=0),0,MATCH(OFFSET($D85,0,$C85)+IF($C85&lt;&gt;1,1,COUNTIF(QCI!$A$13:$A$24,ORÇAMENTO!E85)),OFFSET($D85,1,$C85,ROW($C$710)-ROW($C85)),0))</f>
        <v>0</v>
      </c>
      <c r="L85" s="143" t="str">
        <f t="shared" ca="1" si="42"/>
        <v/>
      </c>
      <c r="M85" s="144" t="s">
        <v>201</v>
      </c>
      <c r="N85" s="145" t="str">
        <f t="shared" ca="1" si="43"/>
        <v>Serviço</v>
      </c>
      <c r="O85" s="146" t="str">
        <f t="shared" ca="1" si="44"/>
        <v>-</v>
      </c>
      <c r="P85" s="147" t="s">
        <v>249</v>
      </c>
      <c r="Q85" s="148">
        <v>97096</v>
      </c>
      <c r="R85" s="149" t="str">
        <f ca="1">IF($C85="S",REFERENCIA.Descricao,"(digite a descrição aqui)")</f>
        <v>(abra o arquivo 'Referência 05-2024.xls)</v>
      </c>
      <c r="S85" s="150" t="str">
        <f ca="1">REFERENCIA.Unidade</f>
        <v>-</v>
      </c>
      <c r="T85" s="151">
        <f ca="1">OFFSET(CÁLCULO!H$15,ROW($T85)-ROW(T$15),0)</f>
        <v>2.87</v>
      </c>
      <c r="U85" s="152">
        <f t="shared" ca="1" si="57"/>
        <v>0</v>
      </c>
      <c r="V85" s="153" t="s">
        <v>158</v>
      </c>
      <c r="W85" s="151">
        <f t="shared" ca="1" si="45"/>
        <v>0</v>
      </c>
      <c r="X85" s="154">
        <f t="shared" ca="1" si="46"/>
        <v>0</v>
      </c>
      <c r="Y85" s="155" t="s">
        <v>583</v>
      </c>
      <c r="Z85" t="str">
        <f t="shared" ca="1" si="47"/>
        <v/>
      </c>
      <c r="AA85" s="156">
        <f ca="1">IF($C85="S",IF($Z85="CP",$X85,IF($Z85="RA",(($X85)*QCI!$AA$3),0)),SomaAgrup)</f>
        <v>0</v>
      </c>
      <c r="AB85" s="157">
        <f t="shared" ca="1" si="48"/>
        <v>0</v>
      </c>
      <c r="AC85" s="158" t="str">
        <f t="shared" ca="1" si="49"/>
        <v/>
      </c>
      <c r="AD85" s="104" t="str">
        <f ca="1">IF(C85&lt;=CRONO.NivelExibicao,MAX($AD$15:OFFSET(AD85,-1,0))+IF($C85&lt;&gt;1,1,MAX(1,COUNTIF(QCI!$A$13:$A$24,OFFSET($E85,-1,0)))),"")</f>
        <v/>
      </c>
      <c r="AE85" s="114" t="str">
        <f t="shared" ca="1" si="50"/>
        <v>SINAPI 97096</v>
      </c>
      <c r="AF85" s="159" t="str">
        <f t="shared" ca="1" si="51"/>
        <v>(abra o arquivo 'Referência 05-2024.xls)</v>
      </c>
      <c r="AG85" s="579">
        <f t="shared" ca="1" si="52"/>
        <v>0</v>
      </c>
      <c r="AH85" s="580">
        <f t="shared" ca="1" si="53"/>
        <v>0.22470000000000001</v>
      </c>
      <c r="AJ85" s="582">
        <v>2.87</v>
      </c>
      <c r="AL85" s="612"/>
      <c r="AM85" s="430">
        <f t="shared" ca="1" si="54"/>
        <v>0</v>
      </c>
      <c r="AN85" s="655">
        <f t="shared" ca="1" si="55"/>
        <v>0</v>
      </c>
    </row>
    <row r="86" spans="1:40" ht="26.4" x14ac:dyDescent="0.3">
      <c r="A86">
        <f t="shared" si="34"/>
        <v>3</v>
      </c>
      <c r="B86">
        <f t="shared" ca="1" si="35"/>
        <v>3</v>
      </c>
      <c r="C86">
        <f t="shared" ca="1" si="36"/>
        <v>3</v>
      </c>
      <c r="D86">
        <f t="shared" ca="1" si="37"/>
        <v>6</v>
      </c>
      <c r="E86">
        <f ca="1">IF($C86=1,OFFSET(E86,-1,0)+MAX(1,COUNTIF(QCI!$A$13:$A$24,OFFSET(ORÇAMENTO!E86,-1,0))),OFFSET(E86,-1,0))</f>
        <v>1</v>
      </c>
      <c r="F86">
        <f t="shared" ca="1" si="38"/>
        <v>3</v>
      </c>
      <c r="G86">
        <f t="shared" ca="1" si="39"/>
        <v>6</v>
      </c>
      <c r="H86">
        <f t="shared" ca="1" si="40"/>
        <v>0</v>
      </c>
      <c r="I86">
        <f t="shared" ca="1" si="41"/>
        <v>0</v>
      </c>
      <c r="J86">
        <f t="shared" ca="1" si="56"/>
        <v>6</v>
      </c>
      <c r="K86">
        <f ca="1">IF(OR($C86="S",$C86=0),0,MATCH(OFFSET($D86,0,$C86)+IF($C86&lt;&gt;1,1,COUNTIF(QCI!$A$13:$A$24,ORÇAMENTO!E86)),OFFSET($D86,1,$C86,ROW($C$710)-ROW($C86)),0))</f>
        <v>45</v>
      </c>
      <c r="L86" s="143" t="str">
        <f t="shared" ca="1" si="42"/>
        <v>F</v>
      </c>
      <c r="M86" s="144" t="s">
        <v>199</v>
      </c>
      <c r="N86" s="145" t="str">
        <f t="shared" ca="1" si="43"/>
        <v>Nível 3</v>
      </c>
      <c r="O86" s="146" t="str">
        <f t="shared" ca="1" si="44"/>
        <v>1.3.6.</v>
      </c>
      <c r="P86" s="147" t="s">
        <v>249</v>
      </c>
      <c r="Q86" s="148"/>
      <c r="R86" s="149" t="s">
        <v>491</v>
      </c>
      <c r="S86" s="150" t="s">
        <v>168</v>
      </c>
      <c r="T86" s="151">
        <f ca="1">OFFSET(CÁLCULO!H$15,ROW($T86)-ROW(T$15),0)</f>
        <v>0</v>
      </c>
      <c r="U86" s="152">
        <f t="shared" ca="1" si="57"/>
        <v>0</v>
      </c>
      <c r="V86" s="153" t="s">
        <v>158</v>
      </c>
      <c r="W86" s="151">
        <f t="shared" ca="1" si="45"/>
        <v>0</v>
      </c>
      <c r="X86" s="154">
        <f t="shared" ca="1" si="46"/>
        <v>0</v>
      </c>
      <c r="Y86" s="155" t="s">
        <v>583</v>
      </c>
      <c r="Z86" t="str">
        <f t="shared" ca="1" si="47"/>
        <v/>
      </c>
      <c r="AA86" s="156">
        <f ca="1">IF($C86="S",IF($Z86="CP",$X86,IF($Z86="RA",(($X86)*QCI!$AA$3),0)),SomaAgrup)</f>
        <v>0</v>
      </c>
      <c r="AB86" s="157">
        <f t="shared" ca="1" si="48"/>
        <v>0</v>
      </c>
      <c r="AC86" s="158" t="str">
        <f t="shared" ca="1" si="49"/>
        <v/>
      </c>
      <c r="AD86" s="104" t="str">
        <f ca="1">IF(C86&lt;=CRONO.NivelExibicao,MAX($AD$15:OFFSET(AD86,-1,0))+IF($C86&lt;&gt;1,1,MAX(1,COUNTIF(QCI!$A$13:$A$24,OFFSET($E86,-1,0)))),"")</f>
        <v/>
      </c>
      <c r="AE86" s="114" t="b">
        <f t="shared" ca="1" si="50"/>
        <v>0</v>
      </c>
      <c r="AF86" s="159" t="str">
        <f t="shared" ca="1" si="51"/>
        <v>(abra o arquivo 'Referência 05-2024.xls)</v>
      </c>
      <c r="AG86" s="579">
        <f t="shared" ca="1" si="52"/>
        <v>0</v>
      </c>
      <c r="AH86" s="580">
        <f t="shared" ca="1" si="53"/>
        <v>0.22470000000000001</v>
      </c>
      <c r="AJ86" s="582"/>
      <c r="AL86" s="612"/>
      <c r="AM86" s="430">
        <f t="shared" ca="1" si="54"/>
        <v>0</v>
      </c>
      <c r="AN86" s="655">
        <f t="shared" ca="1" si="55"/>
        <v>0</v>
      </c>
    </row>
    <row r="87" spans="1:40" ht="13.8" x14ac:dyDescent="0.3">
      <c r="A87" t="str">
        <f t="shared" si="34"/>
        <v>S</v>
      </c>
      <c r="B87">
        <f t="shared" ca="1" si="35"/>
        <v>3</v>
      </c>
      <c r="C87" t="str">
        <f t="shared" ca="1" si="36"/>
        <v>S</v>
      </c>
      <c r="D87">
        <f t="shared" ca="1" si="37"/>
        <v>0</v>
      </c>
      <c r="E87">
        <f ca="1">IF($C87=1,OFFSET(E87,-1,0)+MAX(1,COUNTIF(QCI!$A$13:$A$24,OFFSET(ORÇAMENTO!E87,-1,0))),OFFSET(E87,-1,0))</f>
        <v>1</v>
      </c>
      <c r="F87">
        <f t="shared" ca="1" si="38"/>
        <v>3</v>
      </c>
      <c r="G87">
        <f t="shared" ca="1" si="39"/>
        <v>6</v>
      </c>
      <c r="H87">
        <f t="shared" ca="1" si="40"/>
        <v>0</v>
      </c>
      <c r="I87">
        <f t="shared" ca="1" si="41"/>
        <v>0</v>
      </c>
      <c r="J87">
        <f t="shared" ca="1" si="56"/>
        <v>0</v>
      </c>
      <c r="K87">
        <f ca="1">IF(OR($C87="S",$C87=0),0,MATCH(OFFSET($D87,0,$C87)+IF($C87&lt;&gt;1,1,COUNTIF(QCI!$A$13:$A$24,ORÇAMENTO!E87)),OFFSET($D87,1,$C87,ROW($C$710)-ROW($C87)),0))</f>
        <v>0</v>
      </c>
      <c r="L87" s="143" t="str">
        <f t="shared" ca="1" si="42"/>
        <v/>
      </c>
      <c r="M87" s="144" t="s">
        <v>201</v>
      </c>
      <c r="N87" s="145" t="str">
        <f t="shared" ca="1" si="43"/>
        <v>Serviço</v>
      </c>
      <c r="O87" s="146" t="str">
        <f t="shared" ca="1" si="44"/>
        <v>-</v>
      </c>
      <c r="P87" s="147" t="s">
        <v>249</v>
      </c>
      <c r="Q87" s="148">
        <v>96619</v>
      </c>
      <c r="R87" s="149" t="str">
        <f ca="1">IF($C87="S",REFERENCIA.Descricao,"(digite a descrição aqui)")</f>
        <v>(abra o arquivo 'Referência 05-2024.xls)</v>
      </c>
      <c r="S87" s="150" t="str">
        <f ca="1">REFERENCIA.Unidade</f>
        <v>-</v>
      </c>
      <c r="T87" s="151">
        <f ca="1">OFFSET(CÁLCULO!H$15,ROW($T87)-ROW(T$15),0)</f>
        <v>1.6</v>
      </c>
      <c r="U87" s="152">
        <f t="shared" ca="1" si="57"/>
        <v>0</v>
      </c>
      <c r="V87" s="153" t="s">
        <v>158</v>
      </c>
      <c r="W87" s="151">
        <f t="shared" ca="1" si="45"/>
        <v>0</v>
      </c>
      <c r="X87" s="154">
        <f t="shared" ca="1" si="46"/>
        <v>0</v>
      </c>
      <c r="Y87" s="155" t="s">
        <v>583</v>
      </c>
      <c r="Z87" t="str">
        <f t="shared" ca="1" si="47"/>
        <v/>
      </c>
      <c r="AA87" s="156">
        <f ca="1">IF($C87="S",IF($Z87="CP",$X87,IF($Z87="RA",(($X87)*QCI!$AA$3),0)),SomaAgrup)</f>
        <v>0</v>
      </c>
      <c r="AB87" s="157">
        <f t="shared" ca="1" si="48"/>
        <v>0</v>
      </c>
      <c r="AC87" s="158" t="str">
        <f t="shared" ca="1" si="49"/>
        <v/>
      </c>
      <c r="AD87" s="104" t="str">
        <f ca="1">IF(C87&lt;=CRONO.NivelExibicao,MAX($AD$15:OFFSET(AD87,-1,0))+IF($C87&lt;&gt;1,1,MAX(1,COUNTIF(QCI!$A$13:$A$24,OFFSET($E87,-1,0)))),"")</f>
        <v/>
      </c>
      <c r="AE87" s="114" t="str">
        <f t="shared" ca="1" si="50"/>
        <v>SINAPI 96619</v>
      </c>
      <c r="AF87" s="159" t="str">
        <f t="shared" ca="1" si="51"/>
        <v>(abra o arquivo 'Referência 05-2024.xls)</v>
      </c>
      <c r="AG87" s="579">
        <f t="shared" ca="1" si="52"/>
        <v>0</v>
      </c>
      <c r="AH87" s="580">
        <f t="shared" ca="1" si="53"/>
        <v>0.22470000000000001</v>
      </c>
      <c r="AJ87" s="582">
        <v>1.6</v>
      </c>
      <c r="AL87" s="612"/>
      <c r="AM87" s="430">
        <f t="shared" ca="1" si="54"/>
        <v>0</v>
      </c>
      <c r="AN87" s="655">
        <f t="shared" ca="1" si="55"/>
        <v>0</v>
      </c>
    </row>
    <row r="88" spans="1:40" ht="13.8" x14ac:dyDescent="0.3">
      <c r="A88" t="str">
        <f t="shared" si="34"/>
        <v>S</v>
      </c>
      <c r="B88">
        <f t="shared" ca="1" si="35"/>
        <v>3</v>
      </c>
      <c r="C88" t="str">
        <f t="shared" ca="1" si="36"/>
        <v>S</v>
      </c>
      <c r="D88">
        <f t="shared" ca="1" si="37"/>
        <v>0</v>
      </c>
      <c r="E88">
        <f ca="1">IF($C88=1,OFFSET(E88,-1,0)+MAX(1,COUNTIF(QCI!$A$13:$A$24,OFFSET(ORÇAMENTO!E88,-1,0))),OFFSET(E88,-1,0))</f>
        <v>1</v>
      </c>
      <c r="F88">
        <f t="shared" ca="1" si="38"/>
        <v>3</v>
      </c>
      <c r="G88">
        <f t="shared" ca="1" si="39"/>
        <v>6</v>
      </c>
      <c r="H88">
        <f t="shared" ca="1" si="40"/>
        <v>0</v>
      </c>
      <c r="I88">
        <f t="shared" ca="1" si="41"/>
        <v>0</v>
      </c>
      <c r="J88">
        <f t="shared" ca="1" si="56"/>
        <v>0</v>
      </c>
      <c r="K88">
        <f ca="1">IF(OR($C88="S",$C88=0),0,MATCH(OFFSET($D88,0,$C88)+IF($C88&lt;&gt;1,1,COUNTIF(QCI!$A$13:$A$24,ORÇAMENTO!E88)),OFFSET($D88,1,$C88,ROW($C$710)-ROW($C88)),0))</f>
        <v>0</v>
      </c>
      <c r="L88" s="143" t="str">
        <f t="shared" ca="1" si="42"/>
        <v/>
      </c>
      <c r="M88" s="144" t="s">
        <v>201</v>
      </c>
      <c r="N88" s="145" t="str">
        <f t="shared" ca="1" si="43"/>
        <v>Serviço</v>
      </c>
      <c r="O88" s="146" t="str">
        <f t="shared" ca="1" si="44"/>
        <v>-</v>
      </c>
      <c r="P88" s="147" t="s">
        <v>249</v>
      </c>
      <c r="Q88" s="148">
        <v>96536</v>
      </c>
      <c r="R88" s="149" t="str">
        <f ca="1">IF($C88="S",REFERENCIA.Descricao,"(digite a descrição aqui)")</f>
        <v>(abra o arquivo 'Referência 05-2024.xls)</v>
      </c>
      <c r="S88" s="150" t="str">
        <f ca="1">REFERENCIA.Unidade</f>
        <v>-</v>
      </c>
      <c r="T88" s="151">
        <f ca="1">OFFSET(CÁLCULO!H$15,ROW($T88)-ROW(T$15),0)</f>
        <v>9.6</v>
      </c>
      <c r="U88" s="152">
        <f t="shared" ca="1" si="57"/>
        <v>0</v>
      </c>
      <c r="V88" s="153" t="s">
        <v>158</v>
      </c>
      <c r="W88" s="151">
        <f t="shared" ca="1" si="45"/>
        <v>0</v>
      </c>
      <c r="X88" s="154">
        <f t="shared" ca="1" si="46"/>
        <v>0</v>
      </c>
      <c r="Y88" s="155" t="s">
        <v>583</v>
      </c>
      <c r="Z88" t="str">
        <f t="shared" ca="1" si="47"/>
        <v/>
      </c>
      <c r="AA88" s="156">
        <f ca="1">IF($C88="S",IF($Z88="CP",$X88,IF($Z88="RA",(($X88)*QCI!$AA$3),0)),SomaAgrup)</f>
        <v>0</v>
      </c>
      <c r="AB88" s="157">
        <f t="shared" ca="1" si="48"/>
        <v>0</v>
      </c>
      <c r="AC88" s="158" t="str">
        <f t="shared" ca="1" si="49"/>
        <v/>
      </c>
      <c r="AD88" s="104" t="str">
        <f ca="1">IF(C88&lt;=CRONO.NivelExibicao,MAX($AD$15:OFFSET(AD88,-1,0))+IF($C88&lt;&gt;1,1,MAX(1,COUNTIF(QCI!$A$13:$A$24,OFFSET($E88,-1,0)))),"")</f>
        <v/>
      </c>
      <c r="AE88" s="114" t="str">
        <f t="shared" ca="1" si="50"/>
        <v>SINAPI 96536</v>
      </c>
      <c r="AF88" s="159" t="str">
        <f t="shared" ca="1" si="51"/>
        <v>(abra o arquivo 'Referência 05-2024.xls)</v>
      </c>
      <c r="AG88" s="579">
        <f t="shared" ca="1" si="52"/>
        <v>0</v>
      </c>
      <c r="AH88" s="580">
        <f t="shared" ca="1" si="53"/>
        <v>0.22470000000000001</v>
      </c>
      <c r="AJ88" s="582">
        <v>9.6</v>
      </c>
      <c r="AL88" s="612"/>
      <c r="AM88" s="430">
        <f t="shared" ca="1" si="54"/>
        <v>0</v>
      </c>
      <c r="AN88" s="655">
        <f t="shared" ca="1" si="55"/>
        <v>0</v>
      </c>
    </row>
    <row r="89" spans="1:40" ht="13.8" x14ac:dyDescent="0.3">
      <c r="A89" t="str">
        <f t="shared" si="34"/>
        <v>S</v>
      </c>
      <c r="B89">
        <f t="shared" ca="1" si="35"/>
        <v>3</v>
      </c>
      <c r="C89" t="str">
        <f t="shared" ca="1" si="36"/>
        <v>S</v>
      </c>
      <c r="D89">
        <f t="shared" ca="1" si="37"/>
        <v>0</v>
      </c>
      <c r="E89">
        <f ca="1">IF($C89=1,OFFSET(E89,-1,0)+MAX(1,COUNTIF(QCI!$A$13:$A$24,OFFSET(ORÇAMENTO!E89,-1,0))),OFFSET(E89,-1,0))</f>
        <v>1</v>
      </c>
      <c r="F89">
        <f t="shared" ca="1" si="38"/>
        <v>3</v>
      </c>
      <c r="G89">
        <f t="shared" ca="1" si="39"/>
        <v>6</v>
      </c>
      <c r="H89">
        <f t="shared" ca="1" si="40"/>
        <v>0</v>
      </c>
      <c r="I89">
        <f t="shared" ca="1" si="41"/>
        <v>0</v>
      </c>
      <c r="J89">
        <f t="shared" ca="1" si="56"/>
        <v>0</v>
      </c>
      <c r="K89">
        <f ca="1">IF(OR($C89="S",$C89=0),0,MATCH(OFFSET($D89,0,$C89)+IF($C89&lt;&gt;1,1,COUNTIF(QCI!$A$13:$A$24,ORÇAMENTO!E89)),OFFSET($D89,1,$C89,ROW($C$710)-ROW($C89)),0))</f>
        <v>0</v>
      </c>
      <c r="L89" s="143" t="str">
        <f t="shared" ca="1" si="42"/>
        <v/>
      </c>
      <c r="M89" s="144" t="s">
        <v>201</v>
      </c>
      <c r="N89" s="145" t="str">
        <f t="shared" ca="1" si="43"/>
        <v>Serviço</v>
      </c>
      <c r="O89" s="146" t="str">
        <f t="shared" ca="1" si="44"/>
        <v>-</v>
      </c>
      <c r="P89" s="147" t="s">
        <v>249</v>
      </c>
      <c r="Q89" s="148">
        <v>104919</v>
      </c>
      <c r="R89" s="149" t="str">
        <f ca="1">IF($C89="S",REFERENCIA.Descricao,"(digite a descrição aqui)")</f>
        <v>(abra o arquivo 'Referência 05-2024.xls)</v>
      </c>
      <c r="S89" s="150" t="str">
        <f ca="1">REFERENCIA.Unidade</f>
        <v>-</v>
      </c>
      <c r="T89" s="151">
        <f ca="1">OFFSET(CÁLCULO!H$15,ROW($T89)-ROW(T$15),0)</f>
        <v>22.46</v>
      </c>
      <c r="U89" s="152">
        <f t="shared" ca="1" si="57"/>
        <v>0</v>
      </c>
      <c r="V89" s="153" t="s">
        <v>158</v>
      </c>
      <c r="W89" s="151">
        <f t="shared" ca="1" si="45"/>
        <v>0</v>
      </c>
      <c r="X89" s="154">
        <f t="shared" ca="1" si="46"/>
        <v>0</v>
      </c>
      <c r="Y89" s="155" t="s">
        <v>583</v>
      </c>
      <c r="Z89" t="str">
        <f t="shared" ca="1" si="47"/>
        <v/>
      </c>
      <c r="AA89" s="156">
        <f ca="1">IF($C89="S",IF($Z89="CP",$X89,IF($Z89="RA",(($X89)*QCI!$AA$3),0)),SomaAgrup)</f>
        <v>0</v>
      </c>
      <c r="AB89" s="157">
        <f t="shared" ca="1" si="48"/>
        <v>0</v>
      </c>
      <c r="AC89" s="158" t="str">
        <f t="shared" ca="1" si="49"/>
        <v/>
      </c>
      <c r="AD89" s="104" t="str">
        <f ca="1">IF(C89&lt;=CRONO.NivelExibicao,MAX($AD$15:OFFSET(AD89,-1,0))+IF($C89&lt;&gt;1,1,MAX(1,COUNTIF(QCI!$A$13:$A$24,OFFSET($E89,-1,0)))),"")</f>
        <v/>
      </c>
      <c r="AE89" s="114" t="str">
        <f t="shared" ca="1" si="50"/>
        <v>SINAPI 104919</v>
      </c>
      <c r="AF89" s="159" t="str">
        <f t="shared" ca="1" si="51"/>
        <v>(abra o arquivo 'Referência 05-2024.xls)</v>
      </c>
      <c r="AG89" s="579">
        <f t="shared" ca="1" si="52"/>
        <v>0</v>
      </c>
      <c r="AH89" s="580">
        <f t="shared" ca="1" si="53"/>
        <v>0.22470000000000001</v>
      </c>
      <c r="AJ89" s="582">
        <v>22.46</v>
      </c>
      <c r="AL89" s="612"/>
      <c r="AM89" s="430">
        <f t="shared" ca="1" si="54"/>
        <v>0</v>
      </c>
      <c r="AN89" s="655">
        <f t="shared" ca="1" si="55"/>
        <v>0</v>
      </c>
    </row>
    <row r="90" spans="1:40" ht="13.8" x14ac:dyDescent="0.3">
      <c r="A90" t="str">
        <f t="shared" si="34"/>
        <v>S</v>
      </c>
      <c r="B90">
        <f t="shared" ca="1" si="35"/>
        <v>3</v>
      </c>
      <c r="C90" t="str">
        <f t="shared" ca="1" si="36"/>
        <v>S</v>
      </c>
      <c r="D90">
        <f t="shared" ca="1" si="37"/>
        <v>0</v>
      </c>
      <c r="E90">
        <f ca="1">IF($C90=1,OFFSET(E90,-1,0)+MAX(1,COUNTIF(QCI!$A$13:$A$24,OFFSET(ORÇAMENTO!E90,-1,0))),OFFSET(E90,-1,0))</f>
        <v>1</v>
      </c>
      <c r="F90">
        <f t="shared" ca="1" si="38"/>
        <v>3</v>
      </c>
      <c r="G90">
        <f t="shared" ca="1" si="39"/>
        <v>6</v>
      </c>
      <c r="H90">
        <f t="shared" ca="1" si="40"/>
        <v>0</v>
      </c>
      <c r="I90">
        <f t="shared" ca="1" si="41"/>
        <v>0</v>
      </c>
      <c r="J90">
        <f t="shared" ca="1" si="56"/>
        <v>0</v>
      </c>
      <c r="K90">
        <f ca="1">IF(OR($C90="S",$C90=0),0,MATCH(OFFSET($D90,0,$C90)+IF($C90&lt;&gt;1,1,COUNTIF(QCI!$A$13:$A$24,ORÇAMENTO!E90)),OFFSET($D90,1,$C90,ROW($C$710)-ROW($C90)),0))</f>
        <v>0</v>
      </c>
      <c r="L90" s="143" t="str">
        <f t="shared" ca="1" si="42"/>
        <v/>
      </c>
      <c r="M90" s="144" t="s">
        <v>201</v>
      </c>
      <c r="N90" s="145" t="str">
        <f t="shared" ca="1" si="43"/>
        <v>Serviço</v>
      </c>
      <c r="O90" s="146" t="str">
        <f t="shared" ca="1" si="44"/>
        <v>-</v>
      </c>
      <c r="P90" s="147" t="s">
        <v>249</v>
      </c>
      <c r="Q90" s="148">
        <v>104916</v>
      </c>
      <c r="R90" s="149" t="str">
        <f ca="1">IF($C90="S",REFERENCIA.Descricao,"(digite a descrição aqui)")</f>
        <v>(abra o arquivo 'Referência 05-2024.xls)</v>
      </c>
      <c r="S90" s="150" t="str">
        <f ca="1">REFERENCIA.Unidade</f>
        <v>-</v>
      </c>
      <c r="T90" s="151">
        <f ca="1">OFFSET(CÁLCULO!H$15,ROW($T90)-ROW(T$15),0)</f>
        <v>10.58</v>
      </c>
      <c r="U90" s="152">
        <f t="shared" ca="1" si="57"/>
        <v>0</v>
      </c>
      <c r="V90" s="153" t="s">
        <v>158</v>
      </c>
      <c r="W90" s="151">
        <f t="shared" ca="1" si="45"/>
        <v>0</v>
      </c>
      <c r="X90" s="154">
        <f t="shared" ca="1" si="46"/>
        <v>0</v>
      </c>
      <c r="Y90" s="155" t="s">
        <v>583</v>
      </c>
      <c r="Z90" t="str">
        <f t="shared" ca="1" si="47"/>
        <v/>
      </c>
      <c r="AA90" s="156">
        <f ca="1">IF($C90="S",IF($Z90="CP",$X90,IF($Z90="RA",(($X90)*QCI!$AA$3),0)),SomaAgrup)</f>
        <v>0</v>
      </c>
      <c r="AB90" s="157">
        <f t="shared" ca="1" si="48"/>
        <v>0</v>
      </c>
      <c r="AC90" s="158" t="str">
        <f t="shared" ca="1" si="49"/>
        <v/>
      </c>
      <c r="AD90" s="104" t="str">
        <f ca="1">IF(C90&lt;=CRONO.NivelExibicao,MAX($AD$15:OFFSET(AD90,-1,0))+IF($C90&lt;&gt;1,1,MAX(1,COUNTIF(QCI!$A$13:$A$24,OFFSET($E90,-1,0)))),"")</f>
        <v/>
      </c>
      <c r="AE90" s="114" t="str">
        <f t="shared" ca="1" si="50"/>
        <v>SINAPI 104916</v>
      </c>
      <c r="AF90" s="159" t="str">
        <f t="shared" ca="1" si="51"/>
        <v>(abra o arquivo 'Referência 05-2024.xls)</v>
      </c>
      <c r="AG90" s="579">
        <f t="shared" ca="1" si="52"/>
        <v>0</v>
      </c>
      <c r="AH90" s="580">
        <f t="shared" ca="1" si="53"/>
        <v>0.22470000000000001</v>
      </c>
      <c r="AJ90" s="582">
        <v>10.58</v>
      </c>
      <c r="AL90" s="612"/>
      <c r="AM90" s="430">
        <f t="shared" ca="1" si="54"/>
        <v>0</v>
      </c>
      <c r="AN90" s="655">
        <f t="shared" ca="1" si="55"/>
        <v>0</v>
      </c>
    </row>
    <row r="91" spans="1:40" ht="13.8" x14ac:dyDescent="0.3">
      <c r="A91" t="str">
        <f t="shared" si="34"/>
        <v>S</v>
      </c>
      <c r="B91">
        <f t="shared" ca="1" si="35"/>
        <v>3</v>
      </c>
      <c r="C91" t="str">
        <f t="shared" ca="1" si="36"/>
        <v>S</v>
      </c>
      <c r="D91">
        <f t="shared" ca="1" si="37"/>
        <v>0</v>
      </c>
      <c r="E91">
        <f ca="1">IF($C91=1,OFFSET(E91,-1,0)+MAX(1,COUNTIF(QCI!$A$13:$A$24,OFFSET(ORÇAMENTO!E91,-1,0))),OFFSET(E91,-1,0))</f>
        <v>1</v>
      </c>
      <c r="F91">
        <f t="shared" ca="1" si="38"/>
        <v>3</v>
      </c>
      <c r="G91">
        <f t="shared" ca="1" si="39"/>
        <v>6</v>
      </c>
      <c r="H91">
        <f t="shared" ca="1" si="40"/>
        <v>0</v>
      </c>
      <c r="I91">
        <f t="shared" ca="1" si="41"/>
        <v>0</v>
      </c>
      <c r="J91">
        <f t="shared" ca="1" si="56"/>
        <v>0</v>
      </c>
      <c r="K91">
        <f ca="1">IF(OR($C91="S",$C91=0),0,MATCH(OFFSET($D91,0,$C91)+IF($C91&lt;&gt;1,1,COUNTIF(QCI!$A$13:$A$24,ORÇAMENTO!E91)),OFFSET($D91,1,$C91,ROW($C$710)-ROW($C91)),0))</f>
        <v>0</v>
      </c>
      <c r="L91" s="143" t="str">
        <f t="shared" ca="1" si="42"/>
        <v/>
      </c>
      <c r="M91" s="144" t="s">
        <v>201</v>
      </c>
      <c r="N91" s="145" t="str">
        <f t="shared" ca="1" si="43"/>
        <v>Serviço</v>
      </c>
      <c r="O91" s="146" t="str">
        <f t="shared" ca="1" si="44"/>
        <v>-</v>
      </c>
      <c r="P91" s="147" t="s">
        <v>249</v>
      </c>
      <c r="Q91" s="148">
        <v>96557</v>
      </c>
      <c r="R91" s="149" t="str">
        <f ca="1">IF($C91="S",REFERENCIA.Descricao,"(digite a descrição aqui)")</f>
        <v>(abra o arquivo 'Referência 05-2024.xls)</v>
      </c>
      <c r="S91" s="150" t="str">
        <f ca="1">REFERENCIA.Unidade</f>
        <v>-</v>
      </c>
      <c r="T91" s="151">
        <f ca="1">OFFSET(CÁLCULO!H$15,ROW($T91)-ROW(T$15),0)</f>
        <v>0.96</v>
      </c>
      <c r="U91" s="152">
        <f t="shared" ca="1" si="57"/>
        <v>0</v>
      </c>
      <c r="V91" s="153" t="s">
        <v>158</v>
      </c>
      <c r="W91" s="151">
        <f t="shared" ca="1" si="45"/>
        <v>0</v>
      </c>
      <c r="X91" s="154">
        <f t="shared" ca="1" si="46"/>
        <v>0</v>
      </c>
      <c r="Y91" s="155" t="s">
        <v>583</v>
      </c>
      <c r="Z91" t="str">
        <f t="shared" ca="1" si="47"/>
        <v/>
      </c>
      <c r="AA91" s="156">
        <f ca="1">IF($C91="S",IF($Z91="CP",$X91,IF($Z91="RA",(($X91)*QCI!$AA$3),0)),SomaAgrup)</f>
        <v>0</v>
      </c>
      <c r="AB91" s="157">
        <f t="shared" ca="1" si="48"/>
        <v>0</v>
      </c>
      <c r="AC91" s="158" t="str">
        <f t="shared" ca="1" si="49"/>
        <v/>
      </c>
      <c r="AD91" s="104" t="str">
        <f ca="1">IF(C91&lt;=CRONO.NivelExibicao,MAX($AD$15:OFFSET(AD91,-1,0))+IF($C91&lt;&gt;1,1,MAX(1,COUNTIF(QCI!$A$13:$A$24,OFFSET($E91,-1,0)))),"")</f>
        <v/>
      </c>
      <c r="AE91" s="114" t="str">
        <f t="shared" ca="1" si="50"/>
        <v>SINAPI 96557</v>
      </c>
      <c r="AF91" s="159" t="str">
        <f t="shared" ca="1" si="51"/>
        <v>(abra o arquivo 'Referência 05-2024.xls)</v>
      </c>
      <c r="AG91" s="579">
        <f t="shared" ca="1" si="52"/>
        <v>0</v>
      </c>
      <c r="AH91" s="580">
        <f t="shared" ca="1" si="53"/>
        <v>0.22470000000000001</v>
      </c>
      <c r="AJ91" s="582">
        <v>0.96</v>
      </c>
      <c r="AL91" s="612"/>
      <c r="AM91" s="430">
        <f t="shared" ca="1" si="54"/>
        <v>0</v>
      </c>
      <c r="AN91" s="655">
        <f t="shared" ca="1" si="55"/>
        <v>0</v>
      </c>
    </row>
    <row r="92" spans="1:40" ht="13.8" x14ac:dyDescent="0.3">
      <c r="A92">
        <f t="shared" si="34"/>
        <v>2</v>
      </c>
      <c r="B92">
        <f t="shared" ca="1" si="35"/>
        <v>2</v>
      </c>
      <c r="C92">
        <f t="shared" ca="1" si="36"/>
        <v>2</v>
      </c>
      <c r="D92">
        <f t="shared" ca="1" si="37"/>
        <v>60</v>
      </c>
      <c r="E92">
        <f ca="1">IF($C92=1,OFFSET(E92,-1,0)+MAX(1,COUNTIF(QCI!$A$13:$A$24,OFFSET(ORÇAMENTO!E92,-1,0))),OFFSET(E92,-1,0))</f>
        <v>1</v>
      </c>
      <c r="F92">
        <f t="shared" ca="1" si="38"/>
        <v>4</v>
      </c>
      <c r="G92">
        <f t="shared" ca="1" si="39"/>
        <v>0</v>
      </c>
      <c r="H92">
        <f t="shared" ca="1" si="40"/>
        <v>0</v>
      </c>
      <c r="I92">
        <f t="shared" ca="1" si="41"/>
        <v>0</v>
      </c>
      <c r="J92">
        <f t="shared" ca="1" si="56"/>
        <v>610</v>
      </c>
      <c r="K92">
        <f ca="1">IF(OR($C92="S",$C92=0),0,MATCH(OFFSET($D92,0,$C92)+IF($C92&lt;&gt;1,1,COUNTIF(QCI!$A$13:$A$24,ORÇAMENTO!E92)),OFFSET($D92,1,$C92,ROW($C$710)-ROW($C92)),0))</f>
        <v>60</v>
      </c>
      <c r="L92" s="143" t="str">
        <f t="shared" ca="1" si="42"/>
        <v>F</v>
      </c>
      <c r="M92" s="144" t="s">
        <v>198</v>
      </c>
      <c r="N92" s="145" t="str">
        <f t="shared" ca="1" si="43"/>
        <v>Nível 2</v>
      </c>
      <c r="O92" s="146" t="str">
        <f t="shared" ca="1" si="44"/>
        <v>1.4.</v>
      </c>
      <c r="P92" s="147" t="s">
        <v>249</v>
      </c>
      <c r="Q92" s="148"/>
      <c r="R92" s="149" t="s">
        <v>492</v>
      </c>
      <c r="S92" s="150" t="s">
        <v>168</v>
      </c>
      <c r="T92" s="151">
        <f ca="1">OFFSET(CÁLCULO!H$15,ROW($T92)-ROW(T$15),0)</f>
        <v>0</v>
      </c>
      <c r="U92" s="152">
        <f t="shared" ca="1" si="57"/>
        <v>0</v>
      </c>
      <c r="V92" s="153" t="s">
        <v>158</v>
      </c>
      <c r="W92" s="151">
        <f t="shared" ca="1" si="45"/>
        <v>0</v>
      </c>
      <c r="X92" s="154">
        <f t="shared" ca="1" si="46"/>
        <v>0</v>
      </c>
      <c r="Y92" s="155" t="s">
        <v>583</v>
      </c>
      <c r="Z92" t="str">
        <f t="shared" ca="1" si="47"/>
        <v/>
      </c>
      <c r="AA92" s="156">
        <f ca="1">IF($C92="S",IF($Z92="CP",$X92,IF($Z92="RA",(($X92)*QCI!$AA$3),0)),SomaAgrup)</f>
        <v>0</v>
      </c>
      <c r="AB92" s="157">
        <f t="shared" ca="1" si="48"/>
        <v>0</v>
      </c>
      <c r="AC92" s="158" t="str">
        <f t="shared" ca="1" si="49"/>
        <v/>
      </c>
      <c r="AD92" s="104">
        <f ca="1">IF(C92&lt;=CRONO.NivelExibicao,MAX($AD$15:OFFSET(AD92,-1,0))+IF($C92&lt;&gt;1,1,MAX(1,COUNTIF(QCI!$A$13:$A$24,OFFSET($E92,-1,0)))),"")</f>
        <v>5</v>
      </c>
      <c r="AE92" s="114" t="b">
        <f t="shared" ca="1" si="50"/>
        <v>0</v>
      </c>
      <c r="AF92" s="159" t="str">
        <f t="shared" ca="1" si="51"/>
        <v>(abra o arquivo 'Referência 05-2024.xls)</v>
      </c>
      <c r="AG92" s="579">
        <f t="shared" ca="1" si="52"/>
        <v>0</v>
      </c>
      <c r="AH92" s="580">
        <f t="shared" ca="1" si="53"/>
        <v>0.22470000000000001</v>
      </c>
      <c r="AJ92" s="582"/>
      <c r="AL92" s="612"/>
      <c r="AM92" s="430">
        <f t="shared" ca="1" si="54"/>
        <v>0</v>
      </c>
      <c r="AN92" s="655">
        <f t="shared" ca="1" si="55"/>
        <v>0</v>
      </c>
    </row>
    <row r="93" spans="1:40" ht="13.8" x14ac:dyDescent="0.3">
      <c r="A93">
        <f t="shared" si="34"/>
        <v>3</v>
      </c>
      <c r="B93">
        <f t="shared" ca="1" si="35"/>
        <v>3</v>
      </c>
      <c r="C93">
        <f t="shared" ca="1" si="36"/>
        <v>3</v>
      </c>
      <c r="D93">
        <f t="shared" ca="1" si="37"/>
        <v>9</v>
      </c>
      <c r="E93">
        <f ca="1">IF($C93=1,OFFSET(E93,-1,0)+MAX(1,COUNTIF(QCI!$A$13:$A$24,OFFSET(ORÇAMENTO!E93,-1,0))),OFFSET(E93,-1,0))</f>
        <v>1</v>
      </c>
      <c r="F93">
        <f t="shared" ca="1" si="38"/>
        <v>4</v>
      </c>
      <c r="G93">
        <f t="shared" ca="1" si="39"/>
        <v>1</v>
      </c>
      <c r="H93">
        <f t="shared" ca="1" si="40"/>
        <v>0</v>
      </c>
      <c r="I93">
        <f t="shared" ca="1" si="41"/>
        <v>0</v>
      </c>
      <c r="J93">
        <f t="shared" ca="1" si="56"/>
        <v>59</v>
      </c>
      <c r="K93">
        <f ca="1">IF(OR($C93="S",$C93=0),0,MATCH(OFFSET($D93,0,$C93)+IF($C93&lt;&gt;1,1,COUNTIF(QCI!$A$13:$A$24,ORÇAMENTO!E93)),OFFSET($D93,1,$C93,ROW($C$710)-ROW($C93)),0))</f>
        <v>9</v>
      </c>
      <c r="L93" s="143" t="str">
        <f t="shared" ca="1" si="42"/>
        <v>F</v>
      </c>
      <c r="M93" s="144" t="s">
        <v>199</v>
      </c>
      <c r="N93" s="145" t="str">
        <f t="shared" ca="1" si="43"/>
        <v>Nível 3</v>
      </c>
      <c r="O93" s="146" t="str">
        <f t="shared" ca="1" si="44"/>
        <v>1.4.1.</v>
      </c>
      <c r="P93" s="147" t="s">
        <v>249</v>
      </c>
      <c r="Q93" s="148"/>
      <c r="R93" s="149" t="s">
        <v>493</v>
      </c>
      <c r="S93" s="150" t="s">
        <v>168</v>
      </c>
      <c r="T93" s="151">
        <f ca="1">OFFSET(CÁLCULO!H$15,ROW($T93)-ROW(T$15),0)</f>
        <v>0</v>
      </c>
      <c r="U93" s="152">
        <f t="shared" ca="1" si="57"/>
        <v>0</v>
      </c>
      <c r="V93" s="153" t="s">
        <v>158</v>
      </c>
      <c r="W93" s="151">
        <f t="shared" ca="1" si="45"/>
        <v>0</v>
      </c>
      <c r="X93" s="154">
        <f t="shared" ca="1" si="46"/>
        <v>0</v>
      </c>
      <c r="Y93" s="155" t="s">
        <v>583</v>
      </c>
      <c r="Z93" t="str">
        <f t="shared" ca="1" si="47"/>
        <v/>
      </c>
      <c r="AA93" s="156">
        <f ca="1">IF($C93="S",IF($Z93="CP",$X93,IF($Z93="RA",(($X93)*QCI!$AA$3),0)),SomaAgrup)</f>
        <v>0</v>
      </c>
      <c r="AB93" s="157">
        <f t="shared" ca="1" si="48"/>
        <v>0</v>
      </c>
      <c r="AC93" s="158" t="str">
        <f t="shared" ca="1" si="49"/>
        <v/>
      </c>
      <c r="AD93" s="104" t="str">
        <f ca="1">IF(C93&lt;=CRONO.NivelExibicao,MAX($AD$15:OFFSET(AD93,-1,0))+IF($C93&lt;&gt;1,1,MAX(1,COUNTIF(QCI!$A$13:$A$24,OFFSET($E93,-1,0)))),"")</f>
        <v/>
      </c>
      <c r="AE93" s="114" t="b">
        <f t="shared" ca="1" si="50"/>
        <v>0</v>
      </c>
      <c r="AF93" s="159" t="str">
        <f t="shared" ca="1" si="51"/>
        <v>(abra o arquivo 'Referência 05-2024.xls)</v>
      </c>
      <c r="AG93" s="579">
        <f t="shared" ca="1" si="52"/>
        <v>0</v>
      </c>
      <c r="AH93" s="580">
        <f t="shared" ca="1" si="53"/>
        <v>0.22470000000000001</v>
      </c>
      <c r="AJ93" s="582"/>
      <c r="AL93" s="612"/>
      <c r="AM93" s="430">
        <f t="shared" ca="1" si="54"/>
        <v>0</v>
      </c>
      <c r="AN93" s="655">
        <f t="shared" ca="1" si="55"/>
        <v>0</v>
      </c>
    </row>
    <row r="94" spans="1:40" ht="13.8" x14ac:dyDescent="0.3">
      <c r="A94" t="str">
        <f t="shared" si="34"/>
        <v>S</v>
      </c>
      <c r="B94">
        <f t="shared" ca="1" si="35"/>
        <v>3</v>
      </c>
      <c r="C94" t="str">
        <f t="shared" ca="1" si="36"/>
        <v>S</v>
      </c>
      <c r="D94">
        <f t="shared" ca="1" si="37"/>
        <v>0</v>
      </c>
      <c r="E94">
        <f ca="1">IF($C94=1,OFFSET(E94,-1,0)+MAX(1,COUNTIF(QCI!$A$13:$A$24,OFFSET(ORÇAMENTO!E94,-1,0))),OFFSET(E94,-1,0))</f>
        <v>1</v>
      </c>
      <c r="F94">
        <f t="shared" ca="1" si="38"/>
        <v>4</v>
      </c>
      <c r="G94">
        <f t="shared" ca="1" si="39"/>
        <v>1</v>
      </c>
      <c r="H94">
        <f t="shared" ca="1" si="40"/>
        <v>0</v>
      </c>
      <c r="I94">
        <f t="shared" ca="1" si="41"/>
        <v>0</v>
      </c>
      <c r="J94">
        <f t="shared" ca="1" si="56"/>
        <v>0</v>
      </c>
      <c r="K94">
        <f ca="1">IF(OR($C94="S",$C94=0),0,MATCH(OFFSET($D94,0,$C94)+IF($C94&lt;&gt;1,1,COUNTIF(QCI!$A$13:$A$24,ORÇAMENTO!E94)),OFFSET($D94,1,$C94,ROW($C$710)-ROW($C94)),0))</f>
        <v>0</v>
      </c>
      <c r="L94" s="143" t="str">
        <f t="shared" ca="1" si="42"/>
        <v/>
      </c>
      <c r="M94" s="144" t="s">
        <v>201</v>
      </c>
      <c r="N94" s="145" t="str">
        <f t="shared" ca="1" si="43"/>
        <v>Serviço</v>
      </c>
      <c r="O94" s="146" t="str">
        <f t="shared" ca="1" si="44"/>
        <v>-</v>
      </c>
      <c r="P94" s="147" t="s">
        <v>249</v>
      </c>
      <c r="Q94" s="148">
        <v>92443</v>
      </c>
      <c r="R94" s="149" t="str">
        <f t="shared" ref="R94:R101" ca="1" si="58">IF($C94="S",REFERENCIA.Descricao,"(digite a descrição aqui)")</f>
        <v>(abra o arquivo 'Referência 05-2024.xls)</v>
      </c>
      <c r="S94" s="150" t="str">
        <f t="shared" ref="S94:S101" ca="1" si="59">REFERENCIA.Unidade</f>
        <v>-</v>
      </c>
      <c r="T94" s="151">
        <f ca="1">OFFSET(CÁLCULO!H$15,ROW($T94)-ROW(T$15),0)</f>
        <v>886.58</v>
      </c>
      <c r="U94" s="152">
        <f t="shared" ca="1" si="57"/>
        <v>0</v>
      </c>
      <c r="V94" s="153" t="s">
        <v>158</v>
      </c>
      <c r="W94" s="151">
        <f t="shared" ca="1" si="45"/>
        <v>0</v>
      </c>
      <c r="X94" s="154">
        <f t="shared" ca="1" si="46"/>
        <v>0</v>
      </c>
      <c r="Y94" s="155" t="s">
        <v>583</v>
      </c>
      <c r="Z94" t="str">
        <f t="shared" ca="1" si="47"/>
        <v/>
      </c>
      <c r="AA94" s="156">
        <f ca="1">IF($C94="S",IF($Z94="CP",$X94,IF($Z94="RA",(($X94)*QCI!$AA$3),0)),SomaAgrup)</f>
        <v>0</v>
      </c>
      <c r="AB94" s="157">
        <f t="shared" ca="1" si="48"/>
        <v>0</v>
      </c>
      <c r="AC94" s="158" t="str">
        <f t="shared" ca="1" si="49"/>
        <v/>
      </c>
      <c r="AD94" s="104" t="str">
        <f ca="1">IF(C94&lt;=CRONO.NivelExibicao,MAX($AD$15:OFFSET(AD94,-1,0))+IF($C94&lt;&gt;1,1,MAX(1,COUNTIF(QCI!$A$13:$A$24,OFFSET($E94,-1,0)))),"")</f>
        <v/>
      </c>
      <c r="AE94" s="114" t="str">
        <f t="shared" ca="1" si="50"/>
        <v>SINAPI 92443</v>
      </c>
      <c r="AF94" s="159" t="str">
        <f t="shared" ca="1" si="51"/>
        <v>(abra o arquivo 'Referência 05-2024.xls)</v>
      </c>
      <c r="AG94" s="579">
        <f t="shared" ca="1" si="52"/>
        <v>0</v>
      </c>
      <c r="AH94" s="580">
        <f t="shared" ca="1" si="53"/>
        <v>0.22470000000000001</v>
      </c>
      <c r="AJ94" s="582">
        <v>886.58</v>
      </c>
      <c r="AL94" s="612"/>
      <c r="AM94" s="430">
        <f t="shared" ca="1" si="54"/>
        <v>0</v>
      </c>
      <c r="AN94" s="655">
        <f t="shared" ca="1" si="55"/>
        <v>0</v>
      </c>
    </row>
    <row r="95" spans="1:40" ht="13.8" x14ac:dyDescent="0.3">
      <c r="A95" t="str">
        <f t="shared" si="34"/>
        <v>S</v>
      </c>
      <c r="B95">
        <f t="shared" ca="1" si="35"/>
        <v>3</v>
      </c>
      <c r="C95" t="str">
        <f t="shared" ca="1" si="36"/>
        <v>S</v>
      </c>
      <c r="D95">
        <f t="shared" ca="1" si="37"/>
        <v>0</v>
      </c>
      <c r="E95">
        <f ca="1">IF($C95=1,OFFSET(E95,-1,0)+MAX(1,COUNTIF(QCI!$A$13:$A$24,OFFSET(ORÇAMENTO!E95,-1,0))),OFFSET(E95,-1,0))</f>
        <v>1</v>
      </c>
      <c r="F95">
        <f t="shared" ca="1" si="38"/>
        <v>4</v>
      </c>
      <c r="G95">
        <f t="shared" ca="1" si="39"/>
        <v>1</v>
      </c>
      <c r="H95">
        <f t="shared" ca="1" si="40"/>
        <v>0</v>
      </c>
      <c r="I95">
        <f t="shared" ca="1" si="41"/>
        <v>0</v>
      </c>
      <c r="J95">
        <f t="shared" ca="1" si="56"/>
        <v>0</v>
      </c>
      <c r="K95">
        <f ca="1">IF(OR($C95="S",$C95=0),0,MATCH(OFFSET($D95,0,$C95)+IF($C95&lt;&gt;1,1,COUNTIF(QCI!$A$13:$A$24,ORÇAMENTO!E95)),OFFSET($D95,1,$C95,ROW($C$710)-ROW($C95)),0))</f>
        <v>0</v>
      </c>
      <c r="L95" s="143" t="str">
        <f t="shared" ca="1" si="42"/>
        <v/>
      </c>
      <c r="M95" s="144" t="s">
        <v>201</v>
      </c>
      <c r="N95" s="145" t="str">
        <f t="shared" ca="1" si="43"/>
        <v>Serviço</v>
      </c>
      <c r="O95" s="146" t="str">
        <f t="shared" ca="1" si="44"/>
        <v>-</v>
      </c>
      <c r="P95" s="147" t="s">
        <v>249</v>
      </c>
      <c r="Q95" s="148">
        <v>92760</v>
      </c>
      <c r="R95" s="149" t="str">
        <f t="shared" ca="1" si="58"/>
        <v>(abra o arquivo 'Referência 05-2024.xls)</v>
      </c>
      <c r="S95" s="150" t="str">
        <f t="shared" ca="1" si="59"/>
        <v>-</v>
      </c>
      <c r="T95" s="151">
        <f ca="1">OFFSET(CÁLCULO!H$15,ROW($T95)-ROW(T$15),0)</f>
        <v>3.98</v>
      </c>
      <c r="U95" s="152">
        <f t="shared" ca="1" si="57"/>
        <v>0</v>
      </c>
      <c r="V95" s="153" t="s">
        <v>158</v>
      </c>
      <c r="W95" s="151">
        <f t="shared" ca="1" si="45"/>
        <v>0</v>
      </c>
      <c r="X95" s="154">
        <f t="shared" ca="1" si="46"/>
        <v>0</v>
      </c>
      <c r="Y95" s="155" t="s">
        <v>583</v>
      </c>
      <c r="Z95" t="str">
        <f t="shared" ca="1" si="47"/>
        <v/>
      </c>
      <c r="AA95" s="156">
        <f ca="1">IF($C95="S",IF($Z95="CP",$X95,IF($Z95="RA",(($X95)*QCI!$AA$3),0)),SomaAgrup)</f>
        <v>0</v>
      </c>
      <c r="AB95" s="157">
        <f t="shared" ca="1" si="48"/>
        <v>0</v>
      </c>
      <c r="AC95" s="158" t="str">
        <f t="shared" ca="1" si="49"/>
        <v/>
      </c>
      <c r="AD95" s="104" t="str">
        <f ca="1">IF(C95&lt;=CRONO.NivelExibicao,MAX($AD$15:OFFSET(AD95,-1,0))+IF($C95&lt;&gt;1,1,MAX(1,COUNTIF(QCI!$A$13:$A$24,OFFSET($E95,-1,0)))),"")</f>
        <v/>
      </c>
      <c r="AE95" s="114" t="str">
        <f t="shared" ca="1" si="50"/>
        <v>SINAPI 92760</v>
      </c>
      <c r="AF95" s="159" t="str">
        <f t="shared" ca="1" si="51"/>
        <v>(abra o arquivo 'Referência 05-2024.xls)</v>
      </c>
      <c r="AG95" s="579">
        <f t="shared" ca="1" si="52"/>
        <v>0</v>
      </c>
      <c r="AH95" s="580">
        <f t="shared" ca="1" si="53"/>
        <v>0.22470000000000001</v>
      </c>
      <c r="AJ95" s="582">
        <v>3.98</v>
      </c>
      <c r="AL95" s="612"/>
      <c r="AM95" s="430">
        <f t="shared" ca="1" si="54"/>
        <v>0</v>
      </c>
      <c r="AN95" s="655">
        <f t="shared" ca="1" si="55"/>
        <v>0</v>
      </c>
    </row>
    <row r="96" spans="1:40" ht="13.8" x14ac:dyDescent="0.3">
      <c r="A96" t="str">
        <f t="shared" si="34"/>
        <v>S</v>
      </c>
      <c r="B96">
        <f t="shared" ca="1" si="35"/>
        <v>3</v>
      </c>
      <c r="C96" t="str">
        <f t="shared" ca="1" si="36"/>
        <v>S</v>
      </c>
      <c r="D96">
        <f t="shared" ca="1" si="37"/>
        <v>0</v>
      </c>
      <c r="E96">
        <f ca="1">IF($C96=1,OFFSET(E96,-1,0)+MAX(1,COUNTIF(QCI!$A$13:$A$24,OFFSET(ORÇAMENTO!E96,-1,0))),OFFSET(E96,-1,0))</f>
        <v>1</v>
      </c>
      <c r="F96">
        <f t="shared" ca="1" si="38"/>
        <v>4</v>
      </c>
      <c r="G96">
        <f t="shared" ca="1" si="39"/>
        <v>1</v>
      </c>
      <c r="H96">
        <f t="shared" ca="1" si="40"/>
        <v>0</v>
      </c>
      <c r="I96">
        <f t="shared" ca="1" si="41"/>
        <v>0</v>
      </c>
      <c r="J96">
        <f t="shared" ca="1" si="56"/>
        <v>0</v>
      </c>
      <c r="K96">
        <f ca="1">IF(OR($C96="S",$C96=0),0,MATCH(OFFSET($D96,0,$C96)+IF($C96&lt;&gt;1,1,COUNTIF(QCI!$A$13:$A$24,ORÇAMENTO!E96)),OFFSET($D96,1,$C96,ROW($C$710)-ROW($C96)),0))</f>
        <v>0</v>
      </c>
      <c r="L96" s="143" t="str">
        <f t="shared" ca="1" si="42"/>
        <v/>
      </c>
      <c r="M96" s="144" t="s">
        <v>201</v>
      </c>
      <c r="N96" s="145" t="str">
        <f t="shared" ca="1" si="43"/>
        <v>Serviço</v>
      </c>
      <c r="O96" s="146" t="str">
        <f t="shared" ca="1" si="44"/>
        <v>-</v>
      </c>
      <c r="P96" s="147" t="s">
        <v>249</v>
      </c>
      <c r="Q96" s="148">
        <v>92762</v>
      </c>
      <c r="R96" s="149" t="str">
        <f t="shared" ca="1" si="58"/>
        <v>(abra o arquivo 'Referência 05-2024.xls)</v>
      </c>
      <c r="S96" s="150" t="str">
        <f t="shared" ca="1" si="59"/>
        <v>-</v>
      </c>
      <c r="T96" s="151">
        <f ca="1">OFFSET(CÁLCULO!H$15,ROW($T96)-ROW(T$15),0)</f>
        <v>1855.71</v>
      </c>
      <c r="U96" s="152">
        <f t="shared" ca="1" si="57"/>
        <v>0</v>
      </c>
      <c r="V96" s="153" t="s">
        <v>158</v>
      </c>
      <c r="W96" s="151">
        <f t="shared" ca="1" si="45"/>
        <v>0</v>
      </c>
      <c r="X96" s="154">
        <f t="shared" ca="1" si="46"/>
        <v>0</v>
      </c>
      <c r="Y96" s="155" t="s">
        <v>583</v>
      </c>
      <c r="Z96" t="str">
        <f t="shared" ca="1" si="47"/>
        <v/>
      </c>
      <c r="AA96" s="156">
        <f ca="1">IF($C96="S",IF($Z96="CP",$X96,IF($Z96="RA",(($X96)*QCI!$AA$3),0)),SomaAgrup)</f>
        <v>0</v>
      </c>
      <c r="AB96" s="157">
        <f t="shared" ca="1" si="48"/>
        <v>0</v>
      </c>
      <c r="AC96" s="158" t="str">
        <f t="shared" ca="1" si="49"/>
        <v/>
      </c>
      <c r="AD96" s="104" t="str">
        <f ca="1">IF(C96&lt;=CRONO.NivelExibicao,MAX($AD$15:OFFSET(AD96,-1,0))+IF($C96&lt;&gt;1,1,MAX(1,COUNTIF(QCI!$A$13:$A$24,OFFSET($E96,-1,0)))),"")</f>
        <v/>
      </c>
      <c r="AE96" s="114" t="str">
        <f t="shared" ca="1" si="50"/>
        <v>SINAPI 92762</v>
      </c>
      <c r="AF96" s="159" t="str">
        <f t="shared" ca="1" si="51"/>
        <v>(abra o arquivo 'Referência 05-2024.xls)</v>
      </c>
      <c r="AG96" s="579">
        <f t="shared" ca="1" si="52"/>
        <v>0</v>
      </c>
      <c r="AH96" s="580">
        <f t="shared" ca="1" si="53"/>
        <v>0.22470000000000001</v>
      </c>
      <c r="AJ96" s="582">
        <v>1855.71</v>
      </c>
      <c r="AL96" s="612"/>
      <c r="AM96" s="430">
        <f t="shared" ca="1" si="54"/>
        <v>0</v>
      </c>
      <c r="AN96" s="655">
        <f t="shared" ca="1" si="55"/>
        <v>0</v>
      </c>
    </row>
    <row r="97" spans="1:40" ht="13.8" x14ac:dyDescent="0.3">
      <c r="A97" t="str">
        <f t="shared" si="34"/>
        <v>S</v>
      </c>
      <c r="B97">
        <f t="shared" ca="1" si="35"/>
        <v>3</v>
      </c>
      <c r="C97" t="str">
        <f t="shared" ca="1" si="36"/>
        <v>S</v>
      </c>
      <c r="D97">
        <f t="shared" ca="1" si="37"/>
        <v>0</v>
      </c>
      <c r="E97">
        <f ca="1">IF($C97=1,OFFSET(E97,-1,0)+MAX(1,COUNTIF(QCI!$A$13:$A$24,OFFSET(ORÇAMENTO!E97,-1,0))),OFFSET(E97,-1,0))</f>
        <v>1</v>
      </c>
      <c r="F97">
        <f t="shared" ca="1" si="38"/>
        <v>4</v>
      </c>
      <c r="G97">
        <f t="shared" ca="1" si="39"/>
        <v>1</v>
      </c>
      <c r="H97">
        <f t="shared" ca="1" si="40"/>
        <v>0</v>
      </c>
      <c r="I97">
        <f t="shared" ca="1" si="41"/>
        <v>0</v>
      </c>
      <c r="J97">
        <f t="shared" ca="1" si="56"/>
        <v>0</v>
      </c>
      <c r="K97">
        <f ca="1">IF(OR($C97="S",$C97=0),0,MATCH(OFFSET($D97,0,$C97)+IF($C97&lt;&gt;1,1,COUNTIF(QCI!$A$13:$A$24,ORÇAMENTO!E97)),OFFSET($D97,1,$C97,ROW($C$710)-ROW($C97)),0))</f>
        <v>0</v>
      </c>
      <c r="L97" s="143" t="str">
        <f t="shared" ca="1" si="42"/>
        <v/>
      </c>
      <c r="M97" s="144" t="s">
        <v>201</v>
      </c>
      <c r="N97" s="145" t="str">
        <f t="shared" ca="1" si="43"/>
        <v>Serviço</v>
      </c>
      <c r="O97" s="146" t="str">
        <f t="shared" ca="1" si="44"/>
        <v>-</v>
      </c>
      <c r="P97" s="147" t="s">
        <v>249</v>
      </c>
      <c r="Q97" s="148">
        <v>92763</v>
      </c>
      <c r="R97" s="149" t="str">
        <f t="shared" ca="1" si="58"/>
        <v>(abra o arquivo 'Referência 05-2024.xls)</v>
      </c>
      <c r="S97" s="150" t="str">
        <f t="shared" ca="1" si="59"/>
        <v>-</v>
      </c>
      <c r="T97" s="151">
        <f ca="1">OFFSET(CÁLCULO!H$15,ROW($T97)-ROW(T$15),0)</f>
        <v>1436.7</v>
      </c>
      <c r="U97" s="152">
        <f t="shared" ca="1" si="57"/>
        <v>0</v>
      </c>
      <c r="V97" s="153" t="s">
        <v>158</v>
      </c>
      <c r="W97" s="151">
        <f t="shared" ca="1" si="45"/>
        <v>0</v>
      </c>
      <c r="X97" s="154">
        <f t="shared" ca="1" si="46"/>
        <v>0</v>
      </c>
      <c r="Y97" s="155" t="s">
        <v>583</v>
      </c>
      <c r="Z97" t="str">
        <f t="shared" ca="1" si="47"/>
        <v/>
      </c>
      <c r="AA97" s="156">
        <f ca="1">IF($C97="S",IF($Z97="CP",$X97,IF($Z97="RA",(($X97)*QCI!$AA$3),0)),SomaAgrup)</f>
        <v>0</v>
      </c>
      <c r="AB97" s="157">
        <f t="shared" ca="1" si="48"/>
        <v>0</v>
      </c>
      <c r="AC97" s="158" t="str">
        <f t="shared" ca="1" si="49"/>
        <v/>
      </c>
      <c r="AD97" s="104" t="str">
        <f ca="1">IF(C97&lt;=CRONO.NivelExibicao,MAX($AD$15:OFFSET(AD97,-1,0))+IF($C97&lt;&gt;1,1,MAX(1,COUNTIF(QCI!$A$13:$A$24,OFFSET($E97,-1,0)))),"")</f>
        <v/>
      </c>
      <c r="AE97" s="114" t="str">
        <f t="shared" ca="1" si="50"/>
        <v>SINAPI 92763</v>
      </c>
      <c r="AF97" s="159" t="str">
        <f t="shared" ca="1" si="51"/>
        <v>(abra o arquivo 'Referência 05-2024.xls)</v>
      </c>
      <c r="AG97" s="579">
        <f t="shared" ca="1" si="52"/>
        <v>0</v>
      </c>
      <c r="AH97" s="580">
        <f t="shared" ca="1" si="53"/>
        <v>0.22470000000000001</v>
      </c>
      <c r="AJ97" s="582">
        <v>1436.7</v>
      </c>
      <c r="AL97" s="612"/>
      <c r="AM97" s="430">
        <f t="shared" ca="1" si="54"/>
        <v>0</v>
      </c>
      <c r="AN97" s="655">
        <f t="shared" ca="1" si="55"/>
        <v>0</v>
      </c>
    </row>
    <row r="98" spans="1:40" ht="13.8" x14ac:dyDescent="0.3">
      <c r="A98" t="str">
        <f t="shared" si="34"/>
        <v>S</v>
      </c>
      <c r="B98">
        <f t="shared" ca="1" si="35"/>
        <v>3</v>
      </c>
      <c r="C98" t="str">
        <f t="shared" ca="1" si="36"/>
        <v>S</v>
      </c>
      <c r="D98">
        <f t="shared" ca="1" si="37"/>
        <v>0</v>
      </c>
      <c r="E98">
        <f ca="1">IF($C98=1,OFFSET(E98,-1,0)+MAX(1,COUNTIF(QCI!$A$13:$A$24,OFFSET(ORÇAMENTO!E98,-1,0))),OFFSET(E98,-1,0))</f>
        <v>1</v>
      </c>
      <c r="F98">
        <f t="shared" ca="1" si="38"/>
        <v>4</v>
      </c>
      <c r="G98">
        <f t="shared" ca="1" si="39"/>
        <v>1</v>
      </c>
      <c r="H98">
        <f t="shared" ca="1" si="40"/>
        <v>0</v>
      </c>
      <c r="I98">
        <f t="shared" ca="1" si="41"/>
        <v>0</v>
      </c>
      <c r="J98">
        <f t="shared" ca="1" si="56"/>
        <v>0</v>
      </c>
      <c r="K98">
        <f ca="1">IF(OR($C98="S",$C98=0),0,MATCH(OFFSET($D98,0,$C98)+IF($C98&lt;&gt;1,1,COUNTIF(QCI!$A$13:$A$24,ORÇAMENTO!E98)),OFFSET($D98,1,$C98,ROW($C$710)-ROW($C98)),0))</f>
        <v>0</v>
      </c>
      <c r="L98" s="143" t="str">
        <f t="shared" ca="1" si="42"/>
        <v/>
      </c>
      <c r="M98" s="144" t="s">
        <v>201</v>
      </c>
      <c r="N98" s="145" t="str">
        <f t="shared" ca="1" si="43"/>
        <v>Serviço</v>
      </c>
      <c r="O98" s="146" t="str">
        <f t="shared" ca="1" si="44"/>
        <v>-</v>
      </c>
      <c r="P98" s="147" t="s">
        <v>249</v>
      </c>
      <c r="Q98" s="148">
        <v>92764</v>
      </c>
      <c r="R98" s="149" t="str">
        <f t="shared" ca="1" si="58"/>
        <v>(abra o arquivo 'Referência 05-2024.xls)</v>
      </c>
      <c r="S98" s="150" t="str">
        <f t="shared" ca="1" si="59"/>
        <v>-</v>
      </c>
      <c r="T98" s="151">
        <f ca="1">OFFSET(CÁLCULO!H$15,ROW($T98)-ROW(T$15),0)</f>
        <v>1561.27</v>
      </c>
      <c r="U98" s="152">
        <f t="shared" ca="1" si="57"/>
        <v>0</v>
      </c>
      <c r="V98" s="153" t="s">
        <v>158</v>
      </c>
      <c r="W98" s="151">
        <f t="shared" ca="1" si="45"/>
        <v>0</v>
      </c>
      <c r="X98" s="154">
        <f t="shared" ca="1" si="46"/>
        <v>0</v>
      </c>
      <c r="Y98" s="155" t="s">
        <v>583</v>
      </c>
      <c r="Z98" t="str">
        <f t="shared" ca="1" si="47"/>
        <v/>
      </c>
      <c r="AA98" s="156">
        <f ca="1">IF($C98="S",IF($Z98="CP",$X98,IF($Z98="RA",(($X98)*QCI!$AA$3),0)),SomaAgrup)</f>
        <v>0</v>
      </c>
      <c r="AB98" s="157">
        <f t="shared" ca="1" si="48"/>
        <v>0</v>
      </c>
      <c r="AC98" s="158" t="str">
        <f t="shared" ca="1" si="49"/>
        <v/>
      </c>
      <c r="AD98" s="104" t="str">
        <f ca="1">IF(C98&lt;=CRONO.NivelExibicao,MAX($AD$15:OFFSET(AD98,-1,0))+IF($C98&lt;&gt;1,1,MAX(1,COUNTIF(QCI!$A$13:$A$24,OFFSET($E98,-1,0)))),"")</f>
        <v/>
      </c>
      <c r="AE98" s="114" t="str">
        <f t="shared" ca="1" si="50"/>
        <v>SINAPI 92764</v>
      </c>
      <c r="AF98" s="159" t="str">
        <f t="shared" ca="1" si="51"/>
        <v>(abra o arquivo 'Referência 05-2024.xls)</v>
      </c>
      <c r="AG98" s="579">
        <f t="shared" ca="1" si="52"/>
        <v>0</v>
      </c>
      <c r="AH98" s="580">
        <f t="shared" ca="1" si="53"/>
        <v>0.22470000000000001</v>
      </c>
      <c r="AJ98" s="582">
        <v>1561.27</v>
      </c>
      <c r="AL98" s="612"/>
      <c r="AM98" s="430">
        <f t="shared" ca="1" si="54"/>
        <v>0</v>
      </c>
      <c r="AN98" s="655">
        <f t="shared" ca="1" si="55"/>
        <v>0</v>
      </c>
    </row>
    <row r="99" spans="1:40" ht="13.8" x14ac:dyDescent="0.3">
      <c r="A99" t="str">
        <f t="shared" si="34"/>
        <v>S</v>
      </c>
      <c r="B99">
        <f t="shared" ca="1" si="35"/>
        <v>3</v>
      </c>
      <c r="C99" t="str">
        <f t="shared" ca="1" si="36"/>
        <v>S</v>
      </c>
      <c r="D99">
        <f t="shared" ca="1" si="37"/>
        <v>0</v>
      </c>
      <c r="E99">
        <f ca="1">IF($C99=1,OFFSET(E99,-1,0)+MAX(1,COUNTIF(QCI!$A$13:$A$24,OFFSET(ORÇAMENTO!E99,-1,0))),OFFSET(E99,-1,0))</f>
        <v>1</v>
      </c>
      <c r="F99">
        <f t="shared" ca="1" si="38"/>
        <v>4</v>
      </c>
      <c r="G99">
        <f t="shared" ca="1" si="39"/>
        <v>1</v>
      </c>
      <c r="H99">
        <f t="shared" ca="1" si="40"/>
        <v>0</v>
      </c>
      <c r="I99">
        <f t="shared" ca="1" si="41"/>
        <v>0</v>
      </c>
      <c r="J99">
        <f t="shared" ca="1" si="56"/>
        <v>0</v>
      </c>
      <c r="K99">
        <f ca="1">IF(OR($C99="S",$C99=0),0,MATCH(OFFSET($D99,0,$C99)+IF($C99&lt;&gt;1,1,COUNTIF(QCI!$A$13:$A$24,ORÇAMENTO!E99)),OFFSET($D99,1,$C99,ROW($C$710)-ROW($C99)),0))</f>
        <v>0</v>
      </c>
      <c r="L99" s="143" t="str">
        <f t="shared" ca="1" si="42"/>
        <v/>
      </c>
      <c r="M99" s="144" t="s">
        <v>201</v>
      </c>
      <c r="N99" s="145" t="str">
        <f t="shared" ca="1" si="43"/>
        <v>Serviço</v>
      </c>
      <c r="O99" s="146" t="str">
        <f t="shared" ca="1" si="44"/>
        <v>-</v>
      </c>
      <c r="P99" s="147" t="s">
        <v>249</v>
      </c>
      <c r="Q99" s="148">
        <v>92765</v>
      </c>
      <c r="R99" s="149" t="str">
        <f t="shared" ca="1" si="58"/>
        <v>(abra o arquivo 'Referência 05-2024.xls)</v>
      </c>
      <c r="S99" s="150" t="str">
        <f t="shared" ca="1" si="59"/>
        <v>-</v>
      </c>
      <c r="T99" s="151">
        <f ca="1">OFFSET(CÁLCULO!H$15,ROW($T99)-ROW(T$15),0)</f>
        <v>126.75</v>
      </c>
      <c r="U99" s="152">
        <f t="shared" ca="1" si="57"/>
        <v>0</v>
      </c>
      <c r="V99" s="153" t="s">
        <v>158</v>
      </c>
      <c r="W99" s="151">
        <f t="shared" ca="1" si="45"/>
        <v>0</v>
      </c>
      <c r="X99" s="154">
        <f t="shared" ca="1" si="46"/>
        <v>0</v>
      </c>
      <c r="Y99" s="155" t="s">
        <v>583</v>
      </c>
      <c r="Z99" t="str">
        <f t="shared" ca="1" si="47"/>
        <v/>
      </c>
      <c r="AA99" s="156">
        <f ca="1">IF($C99="S",IF($Z99="CP",$X99,IF($Z99="RA",(($X99)*QCI!$AA$3),0)),SomaAgrup)</f>
        <v>0</v>
      </c>
      <c r="AB99" s="157">
        <f t="shared" ca="1" si="48"/>
        <v>0</v>
      </c>
      <c r="AC99" s="158" t="str">
        <f t="shared" ca="1" si="49"/>
        <v/>
      </c>
      <c r="AD99" s="104" t="str">
        <f ca="1">IF(C99&lt;=CRONO.NivelExibicao,MAX($AD$15:OFFSET(AD99,-1,0))+IF($C99&lt;&gt;1,1,MAX(1,COUNTIF(QCI!$A$13:$A$24,OFFSET($E99,-1,0)))),"")</f>
        <v/>
      </c>
      <c r="AE99" s="114" t="str">
        <f t="shared" ca="1" si="50"/>
        <v>SINAPI 92765</v>
      </c>
      <c r="AF99" s="159" t="str">
        <f t="shared" ca="1" si="51"/>
        <v>(abra o arquivo 'Referência 05-2024.xls)</v>
      </c>
      <c r="AG99" s="579">
        <f t="shared" ca="1" si="52"/>
        <v>0</v>
      </c>
      <c r="AH99" s="580">
        <f t="shared" ca="1" si="53"/>
        <v>0.22470000000000001</v>
      </c>
      <c r="AJ99" s="582">
        <v>126.75</v>
      </c>
      <c r="AL99" s="612"/>
      <c r="AM99" s="430">
        <f t="shared" ca="1" si="54"/>
        <v>0</v>
      </c>
      <c r="AN99" s="655">
        <f t="shared" ca="1" si="55"/>
        <v>0</v>
      </c>
    </row>
    <row r="100" spans="1:40" ht="13.8" x14ac:dyDescent="0.3">
      <c r="A100" t="str">
        <f t="shared" si="34"/>
        <v>S</v>
      </c>
      <c r="B100">
        <f t="shared" ca="1" si="35"/>
        <v>3</v>
      </c>
      <c r="C100" t="str">
        <f t="shared" ca="1" si="36"/>
        <v>S</v>
      </c>
      <c r="D100">
        <f t="shared" ca="1" si="37"/>
        <v>0</v>
      </c>
      <c r="E100">
        <f ca="1">IF($C100=1,OFFSET(E100,-1,0)+MAX(1,COUNTIF(QCI!$A$13:$A$24,OFFSET(ORÇAMENTO!E100,-1,0))),OFFSET(E100,-1,0))</f>
        <v>1</v>
      </c>
      <c r="F100">
        <f t="shared" ca="1" si="38"/>
        <v>4</v>
      </c>
      <c r="G100">
        <f t="shared" ca="1" si="39"/>
        <v>1</v>
      </c>
      <c r="H100">
        <f t="shared" ca="1" si="40"/>
        <v>0</v>
      </c>
      <c r="I100">
        <f t="shared" ca="1" si="41"/>
        <v>0</v>
      </c>
      <c r="J100">
        <f t="shared" ca="1" si="56"/>
        <v>0</v>
      </c>
      <c r="K100">
        <f ca="1">IF(OR($C100="S",$C100=0),0,MATCH(OFFSET($D100,0,$C100)+IF($C100&lt;&gt;1,1,COUNTIF(QCI!$A$13:$A$24,ORÇAMENTO!E100)),OFFSET($D100,1,$C100,ROW($C$710)-ROW($C100)),0))</f>
        <v>0</v>
      </c>
      <c r="L100" s="143" t="str">
        <f t="shared" ca="1" si="42"/>
        <v/>
      </c>
      <c r="M100" s="144" t="s">
        <v>201</v>
      </c>
      <c r="N100" s="145" t="str">
        <f t="shared" ca="1" si="43"/>
        <v>Serviço</v>
      </c>
      <c r="O100" s="146" t="str">
        <f t="shared" ca="1" si="44"/>
        <v>-</v>
      </c>
      <c r="P100" s="147" t="s">
        <v>249</v>
      </c>
      <c r="Q100" s="148">
        <v>92759</v>
      </c>
      <c r="R100" s="149" t="str">
        <f t="shared" ca="1" si="58"/>
        <v>(abra o arquivo 'Referência 05-2024.xls)</v>
      </c>
      <c r="S100" s="150" t="str">
        <f t="shared" ca="1" si="59"/>
        <v>-</v>
      </c>
      <c r="T100" s="151">
        <f ca="1">OFFSET(CÁLCULO!H$15,ROW($T100)-ROW(T$15),0)</f>
        <v>1550.78</v>
      </c>
      <c r="U100" s="152">
        <f t="shared" ca="1" si="57"/>
        <v>0</v>
      </c>
      <c r="V100" s="153" t="s">
        <v>158</v>
      </c>
      <c r="W100" s="151">
        <f t="shared" ca="1" si="45"/>
        <v>0</v>
      </c>
      <c r="X100" s="154">
        <f t="shared" ca="1" si="46"/>
        <v>0</v>
      </c>
      <c r="Y100" s="155" t="s">
        <v>583</v>
      </c>
      <c r="Z100" t="str">
        <f t="shared" ca="1" si="47"/>
        <v/>
      </c>
      <c r="AA100" s="156">
        <f ca="1">IF($C100="S",IF($Z100="CP",$X100,IF($Z100="RA",(($X100)*QCI!$AA$3),0)),SomaAgrup)</f>
        <v>0</v>
      </c>
      <c r="AB100" s="157">
        <f t="shared" ca="1" si="48"/>
        <v>0</v>
      </c>
      <c r="AC100" s="158" t="str">
        <f t="shared" ca="1" si="49"/>
        <v/>
      </c>
      <c r="AD100" s="104" t="str">
        <f ca="1">IF(C100&lt;=CRONO.NivelExibicao,MAX($AD$15:OFFSET(AD100,-1,0))+IF($C100&lt;&gt;1,1,MAX(1,COUNTIF(QCI!$A$13:$A$24,OFFSET($E100,-1,0)))),"")</f>
        <v/>
      </c>
      <c r="AE100" s="114" t="str">
        <f t="shared" ca="1" si="50"/>
        <v>SINAPI 92759</v>
      </c>
      <c r="AF100" s="159" t="str">
        <f t="shared" ca="1" si="51"/>
        <v>(abra o arquivo 'Referência 05-2024.xls)</v>
      </c>
      <c r="AG100" s="579">
        <f t="shared" ca="1" si="52"/>
        <v>0</v>
      </c>
      <c r="AH100" s="580">
        <f t="shared" ca="1" si="53"/>
        <v>0.22470000000000001</v>
      </c>
      <c r="AJ100" s="582">
        <v>1550.78</v>
      </c>
      <c r="AL100" s="612"/>
      <c r="AM100" s="430">
        <f t="shared" ca="1" si="54"/>
        <v>0</v>
      </c>
      <c r="AN100" s="655">
        <f t="shared" ca="1" si="55"/>
        <v>0</v>
      </c>
    </row>
    <row r="101" spans="1:40" ht="13.8" x14ac:dyDescent="0.3">
      <c r="A101" t="str">
        <f t="shared" si="34"/>
        <v>S</v>
      </c>
      <c r="B101">
        <f t="shared" ca="1" si="35"/>
        <v>3</v>
      </c>
      <c r="C101" t="str">
        <f t="shared" ca="1" si="36"/>
        <v>S</v>
      </c>
      <c r="D101">
        <f t="shared" ca="1" si="37"/>
        <v>0</v>
      </c>
      <c r="E101">
        <f ca="1">IF($C101=1,OFFSET(E101,-1,0)+MAX(1,COUNTIF(QCI!$A$13:$A$24,OFFSET(ORÇAMENTO!E101,-1,0))),OFFSET(E101,-1,0))</f>
        <v>1</v>
      </c>
      <c r="F101">
        <f t="shared" ca="1" si="38"/>
        <v>4</v>
      </c>
      <c r="G101">
        <f t="shared" ca="1" si="39"/>
        <v>1</v>
      </c>
      <c r="H101">
        <f t="shared" ca="1" si="40"/>
        <v>0</v>
      </c>
      <c r="I101">
        <f t="shared" ca="1" si="41"/>
        <v>0</v>
      </c>
      <c r="J101">
        <f t="shared" ca="1" si="56"/>
        <v>0</v>
      </c>
      <c r="K101">
        <f ca="1">IF(OR($C101="S",$C101=0),0,MATCH(OFFSET($D101,0,$C101)+IF($C101&lt;&gt;1,1,COUNTIF(QCI!$A$13:$A$24,ORÇAMENTO!E101)),OFFSET($D101,1,$C101,ROW($C$710)-ROW($C101)),0))</f>
        <v>0</v>
      </c>
      <c r="L101" s="143" t="str">
        <f t="shared" ca="1" si="42"/>
        <v/>
      </c>
      <c r="M101" s="144" t="s">
        <v>201</v>
      </c>
      <c r="N101" s="145" t="str">
        <f t="shared" ca="1" si="43"/>
        <v>Serviço</v>
      </c>
      <c r="O101" s="146" t="str">
        <f t="shared" ca="1" si="44"/>
        <v>-</v>
      </c>
      <c r="P101" s="147" t="s">
        <v>441</v>
      </c>
      <c r="Q101" s="148" t="s">
        <v>447</v>
      </c>
      <c r="R101" s="149" t="str">
        <f t="shared" ca="1" si="58"/>
        <v>(abra o arquivo 'Referência 05-2024.xls)</v>
      </c>
      <c r="S101" s="150" t="str">
        <f t="shared" ca="1" si="59"/>
        <v>-</v>
      </c>
      <c r="T101" s="151">
        <f ca="1">OFFSET(CÁLCULO!H$15,ROW($T101)-ROW(T$15),0)</f>
        <v>61.77</v>
      </c>
      <c r="U101" s="152">
        <f t="shared" ca="1" si="57"/>
        <v>0</v>
      </c>
      <c r="V101" s="153" t="s">
        <v>158</v>
      </c>
      <c r="W101" s="151">
        <f t="shared" ca="1" si="45"/>
        <v>0</v>
      </c>
      <c r="X101" s="154">
        <f t="shared" ca="1" si="46"/>
        <v>0</v>
      </c>
      <c r="Y101" s="155" t="s">
        <v>583</v>
      </c>
      <c r="Z101" t="str">
        <f t="shared" ca="1" si="47"/>
        <v/>
      </c>
      <c r="AA101" s="156">
        <f ca="1">IF($C101="S",IF($Z101="CP",$X101,IF($Z101="RA",(($X101)*QCI!$AA$3),0)),SomaAgrup)</f>
        <v>0</v>
      </c>
      <c r="AB101" s="157">
        <f t="shared" ca="1" si="48"/>
        <v>0</v>
      </c>
      <c r="AC101" s="158" t="str">
        <f t="shared" ca="1" si="49"/>
        <v/>
      </c>
      <c r="AD101" s="104" t="str">
        <f ca="1">IF(C101&lt;=CRONO.NivelExibicao,MAX($AD$15:OFFSET(AD101,-1,0))+IF($C101&lt;&gt;1,1,MAX(1,COUNTIF(QCI!$A$13:$A$24,OFFSET($E101,-1,0)))),"")</f>
        <v/>
      </c>
      <c r="AE101" s="114" t="str">
        <f t="shared" ca="1" si="50"/>
        <v>Composição CP-08</v>
      </c>
      <c r="AF101" s="159" t="str">
        <f t="shared" ca="1" si="51"/>
        <v>(abra o arquivo 'Referência 05-2024.xls)</v>
      </c>
      <c r="AG101" s="579">
        <f t="shared" ca="1" si="52"/>
        <v>0</v>
      </c>
      <c r="AH101" s="580">
        <f t="shared" ca="1" si="53"/>
        <v>0.22470000000000001</v>
      </c>
      <c r="AJ101" s="582">
        <v>61.77</v>
      </c>
      <c r="AL101" s="612"/>
      <c r="AM101" s="430">
        <f t="shared" ca="1" si="54"/>
        <v>0</v>
      </c>
      <c r="AN101" s="655">
        <f t="shared" ca="1" si="55"/>
        <v>0</v>
      </c>
    </row>
    <row r="102" spans="1:40" ht="13.8" x14ac:dyDescent="0.3">
      <c r="A102">
        <f t="shared" si="34"/>
        <v>3</v>
      </c>
      <c r="B102">
        <f t="shared" ca="1" si="35"/>
        <v>3</v>
      </c>
      <c r="C102">
        <f t="shared" ca="1" si="36"/>
        <v>3</v>
      </c>
      <c r="D102">
        <f t="shared" ca="1" si="37"/>
        <v>5</v>
      </c>
      <c r="E102">
        <f ca="1">IF($C102=1,OFFSET(E102,-1,0)+MAX(1,COUNTIF(QCI!$A$13:$A$24,OFFSET(ORÇAMENTO!E102,-1,0))),OFFSET(E102,-1,0))</f>
        <v>1</v>
      </c>
      <c r="F102">
        <f t="shared" ca="1" si="38"/>
        <v>4</v>
      </c>
      <c r="G102">
        <f t="shared" ca="1" si="39"/>
        <v>2</v>
      </c>
      <c r="H102">
        <f t="shared" ca="1" si="40"/>
        <v>0</v>
      </c>
      <c r="I102">
        <f t="shared" ca="1" si="41"/>
        <v>0</v>
      </c>
      <c r="J102">
        <f t="shared" ca="1" si="56"/>
        <v>50</v>
      </c>
      <c r="K102">
        <f ca="1">IF(OR($C102="S",$C102=0),0,MATCH(OFFSET($D102,0,$C102)+IF($C102&lt;&gt;1,1,COUNTIF(QCI!$A$13:$A$24,ORÇAMENTO!E102)),OFFSET($D102,1,$C102,ROW($C$710)-ROW($C102)),0))</f>
        <v>5</v>
      </c>
      <c r="L102" s="143" t="str">
        <f t="shared" ca="1" si="42"/>
        <v>F</v>
      </c>
      <c r="M102" s="144" t="s">
        <v>199</v>
      </c>
      <c r="N102" s="145" t="str">
        <f t="shared" ca="1" si="43"/>
        <v>Nível 3</v>
      </c>
      <c r="O102" s="146" t="str">
        <f t="shared" ca="1" si="44"/>
        <v>1.4.2.</v>
      </c>
      <c r="P102" s="147" t="s">
        <v>249</v>
      </c>
      <c r="Q102" s="148"/>
      <c r="R102" s="149" t="s">
        <v>494</v>
      </c>
      <c r="S102" s="150" t="s">
        <v>168</v>
      </c>
      <c r="T102" s="151">
        <f ca="1">OFFSET(CÁLCULO!H$15,ROW($T102)-ROW(T$15),0)</f>
        <v>0</v>
      </c>
      <c r="U102" s="152">
        <f t="shared" ca="1" si="57"/>
        <v>0</v>
      </c>
      <c r="V102" s="153" t="s">
        <v>158</v>
      </c>
      <c r="W102" s="151">
        <f t="shared" ca="1" si="45"/>
        <v>0</v>
      </c>
      <c r="X102" s="154">
        <f t="shared" ca="1" si="46"/>
        <v>0</v>
      </c>
      <c r="Y102" s="155" t="s">
        <v>583</v>
      </c>
      <c r="Z102" t="str">
        <f t="shared" ca="1" si="47"/>
        <v/>
      </c>
      <c r="AA102" s="156">
        <f ca="1">IF($C102="S",IF($Z102="CP",$X102,IF($Z102="RA",(($X102)*QCI!$AA$3),0)),SomaAgrup)</f>
        <v>0</v>
      </c>
      <c r="AB102" s="157">
        <f t="shared" ca="1" si="48"/>
        <v>0</v>
      </c>
      <c r="AC102" s="158" t="str">
        <f t="shared" ca="1" si="49"/>
        <v/>
      </c>
      <c r="AD102" s="104" t="str">
        <f ca="1">IF(C102&lt;=CRONO.NivelExibicao,MAX($AD$15:OFFSET(AD102,-1,0))+IF($C102&lt;&gt;1,1,MAX(1,COUNTIF(QCI!$A$13:$A$24,OFFSET($E102,-1,0)))),"")</f>
        <v/>
      </c>
      <c r="AE102" s="114" t="b">
        <f t="shared" ca="1" si="50"/>
        <v>0</v>
      </c>
      <c r="AF102" s="159" t="str">
        <f t="shared" ca="1" si="51"/>
        <v>(abra o arquivo 'Referência 05-2024.xls)</v>
      </c>
      <c r="AG102" s="579">
        <f t="shared" ca="1" si="52"/>
        <v>0</v>
      </c>
      <c r="AH102" s="580">
        <f t="shared" ca="1" si="53"/>
        <v>0.22470000000000001</v>
      </c>
      <c r="AJ102" s="582"/>
      <c r="AL102" s="612"/>
      <c r="AM102" s="430">
        <f t="shared" ca="1" si="54"/>
        <v>0</v>
      </c>
      <c r="AN102" s="655">
        <f t="shared" ca="1" si="55"/>
        <v>0</v>
      </c>
    </row>
    <row r="103" spans="1:40" ht="13.8" x14ac:dyDescent="0.3">
      <c r="A103" t="str">
        <f t="shared" si="34"/>
        <v>S</v>
      </c>
      <c r="B103">
        <f t="shared" ca="1" si="35"/>
        <v>3</v>
      </c>
      <c r="C103" t="str">
        <f t="shared" ca="1" si="36"/>
        <v>S</v>
      </c>
      <c r="D103">
        <f t="shared" ca="1" si="37"/>
        <v>0</v>
      </c>
      <c r="E103">
        <f ca="1">IF($C103=1,OFFSET(E103,-1,0)+MAX(1,COUNTIF(QCI!$A$13:$A$24,OFFSET(ORÇAMENTO!E103,-1,0))),OFFSET(E103,-1,0))</f>
        <v>1</v>
      </c>
      <c r="F103">
        <f t="shared" ca="1" si="38"/>
        <v>4</v>
      </c>
      <c r="G103">
        <f t="shared" ca="1" si="39"/>
        <v>2</v>
      </c>
      <c r="H103">
        <f t="shared" ca="1" si="40"/>
        <v>0</v>
      </c>
      <c r="I103">
        <f t="shared" ca="1" si="41"/>
        <v>0</v>
      </c>
      <c r="J103">
        <f t="shared" ca="1" si="56"/>
        <v>0</v>
      </c>
      <c r="K103">
        <f ca="1">IF(OR($C103="S",$C103=0),0,MATCH(OFFSET($D103,0,$C103)+IF($C103&lt;&gt;1,1,COUNTIF(QCI!$A$13:$A$24,ORÇAMENTO!E103)),OFFSET($D103,1,$C103,ROW($C$710)-ROW($C103)),0))</f>
        <v>0</v>
      </c>
      <c r="L103" s="143" t="str">
        <f t="shared" ca="1" si="42"/>
        <v/>
      </c>
      <c r="M103" s="144" t="s">
        <v>201</v>
      </c>
      <c r="N103" s="145" t="str">
        <f t="shared" ca="1" si="43"/>
        <v>Serviço</v>
      </c>
      <c r="O103" s="146" t="str">
        <f t="shared" ca="1" si="44"/>
        <v>-</v>
      </c>
      <c r="P103" s="147" t="s">
        <v>249</v>
      </c>
      <c r="Q103" s="148">
        <v>92443</v>
      </c>
      <c r="R103" s="149" t="str">
        <f ca="1">IF($C103="S",REFERENCIA.Descricao,"(digite a descrição aqui)")</f>
        <v>(abra o arquivo 'Referência 05-2024.xls)</v>
      </c>
      <c r="S103" s="150" t="str">
        <f ca="1">REFERENCIA.Unidade</f>
        <v>-</v>
      </c>
      <c r="T103" s="151">
        <f ca="1">OFFSET(CÁLCULO!H$15,ROW($T103)-ROW(T$15),0)</f>
        <v>96.16</v>
      </c>
      <c r="U103" s="152">
        <f t="shared" ca="1" si="57"/>
        <v>0</v>
      </c>
      <c r="V103" s="153" t="s">
        <v>158</v>
      </c>
      <c r="W103" s="151">
        <f t="shared" ca="1" si="45"/>
        <v>0</v>
      </c>
      <c r="X103" s="154">
        <f t="shared" ca="1" si="46"/>
        <v>0</v>
      </c>
      <c r="Y103" s="155" t="s">
        <v>583</v>
      </c>
      <c r="Z103" t="str">
        <f t="shared" ca="1" si="47"/>
        <v/>
      </c>
      <c r="AA103" s="156">
        <f ca="1">IF($C103="S",IF($Z103="CP",$X103,IF($Z103="RA",(($X103)*QCI!$AA$3),0)),SomaAgrup)</f>
        <v>0</v>
      </c>
      <c r="AB103" s="157">
        <f t="shared" ca="1" si="48"/>
        <v>0</v>
      </c>
      <c r="AC103" s="158" t="str">
        <f t="shared" ca="1" si="49"/>
        <v/>
      </c>
      <c r="AD103" s="104" t="str">
        <f ca="1">IF(C103&lt;=CRONO.NivelExibicao,MAX($AD$15:OFFSET(AD103,-1,0))+IF($C103&lt;&gt;1,1,MAX(1,COUNTIF(QCI!$A$13:$A$24,OFFSET($E103,-1,0)))),"")</f>
        <v/>
      </c>
      <c r="AE103" s="114" t="str">
        <f t="shared" ca="1" si="50"/>
        <v>SINAPI 92443</v>
      </c>
      <c r="AF103" s="159" t="str">
        <f t="shared" ca="1" si="51"/>
        <v>(abra o arquivo 'Referência 05-2024.xls)</v>
      </c>
      <c r="AG103" s="579">
        <f t="shared" ca="1" si="52"/>
        <v>0</v>
      </c>
      <c r="AH103" s="580">
        <f t="shared" ca="1" si="53"/>
        <v>0.22470000000000001</v>
      </c>
      <c r="AJ103" s="582">
        <v>96.16</v>
      </c>
      <c r="AL103" s="612"/>
      <c r="AM103" s="430">
        <f t="shared" ca="1" si="54"/>
        <v>0</v>
      </c>
      <c r="AN103" s="655">
        <f t="shared" ca="1" si="55"/>
        <v>0</v>
      </c>
    </row>
    <row r="104" spans="1:40" ht="13.8" x14ac:dyDescent="0.3">
      <c r="A104" t="str">
        <f t="shared" si="34"/>
        <v>S</v>
      </c>
      <c r="B104">
        <f t="shared" ca="1" si="35"/>
        <v>3</v>
      </c>
      <c r="C104" t="str">
        <f t="shared" ca="1" si="36"/>
        <v>S</v>
      </c>
      <c r="D104">
        <f t="shared" ca="1" si="37"/>
        <v>0</v>
      </c>
      <c r="E104">
        <f ca="1">IF($C104=1,OFFSET(E104,-1,0)+MAX(1,COUNTIF(QCI!$A$13:$A$24,OFFSET(ORÇAMENTO!E104,-1,0))),OFFSET(E104,-1,0))</f>
        <v>1</v>
      </c>
      <c r="F104">
        <f t="shared" ca="1" si="38"/>
        <v>4</v>
      </c>
      <c r="G104">
        <f t="shared" ca="1" si="39"/>
        <v>2</v>
      </c>
      <c r="H104">
        <f t="shared" ca="1" si="40"/>
        <v>0</v>
      </c>
      <c r="I104">
        <f t="shared" ca="1" si="41"/>
        <v>0</v>
      </c>
      <c r="J104">
        <f t="shared" ca="1" si="56"/>
        <v>0</v>
      </c>
      <c r="K104">
        <f ca="1">IF(OR($C104="S",$C104=0),0,MATCH(OFFSET($D104,0,$C104)+IF($C104&lt;&gt;1,1,COUNTIF(QCI!$A$13:$A$24,ORÇAMENTO!E104)),OFFSET($D104,1,$C104,ROW($C$710)-ROW($C104)),0))</f>
        <v>0</v>
      </c>
      <c r="L104" s="143" t="str">
        <f t="shared" ca="1" si="42"/>
        <v/>
      </c>
      <c r="M104" s="144" t="s">
        <v>201</v>
      </c>
      <c r="N104" s="145" t="str">
        <f t="shared" ca="1" si="43"/>
        <v>Serviço</v>
      </c>
      <c r="O104" s="146" t="str">
        <f t="shared" ca="1" si="44"/>
        <v>-</v>
      </c>
      <c r="P104" s="147" t="s">
        <v>249</v>
      </c>
      <c r="Q104" s="148">
        <v>92762</v>
      </c>
      <c r="R104" s="149" t="str">
        <f ca="1">IF($C104="S",REFERENCIA.Descricao,"(digite a descrição aqui)")</f>
        <v>(abra o arquivo 'Referência 05-2024.xls)</v>
      </c>
      <c r="S104" s="150" t="str">
        <f ca="1">REFERENCIA.Unidade</f>
        <v>-</v>
      </c>
      <c r="T104" s="151">
        <f ca="1">OFFSET(CÁLCULO!H$15,ROW($T104)-ROW(T$15),0)</f>
        <v>536.77</v>
      </c>
      <c r="U104" s="152">
        <f t="shared" ca="1" si="57"/>
        <v>0</v>
      </c>
      <c r="V104" s="153" t="s">
        <v>158</v>
      </c>
      <c r="W104" s="151">
        <f t="shared" ca="1" si="45"/>
        <v>0</v>
      </c>
      <c r="X104" s="154">
        <f t="shared" ca="1" si="46"/>
        <v>0</v>
      </c>
      <c r="Y104" s="155" t="s">
        <v>583</v>
      </c>
      <c r="Z104" t="str">
        <f t="shared" ca="1" si="47"/>
        <v/>
      </c>
      <c r="AA104" s="156">
        <f ca="1">IF($C104="S",IF($Z104="CP",$X104,IF($Z104="RA",(($X104)*QCI!$AA$3),0)),SomaAgrup)</f>
        <v>0</v>
      </c>
      <c r="AB104" s="157">
        <f t="shared" ca="1" si="48"/>
        <v>0</v>
      </c>
      <c r="AC104" s="158" t="str">
        <f t="shared" ca="1" si="49"/>
        <v/>
      </c>
      <c r="AD104" s="104" t="str">
        <f ca="1">IF(C104&lt;=CRONO.NivelExibicao,MAX($AD$15:OFFSET(AD104,-1,0))+IF($C104&lt;&gt;1,1,MAX(1,COUNTIF(QCI!$A$13:$A$24,OFFSET($E104,-1,0)))),"")</f>
        <v/>
      </c>
      <c r="AE104" s="114" t="str">
        <f t="shared" ca="1" si="50"/>
        <v>SINAPI 92762</v>
      </c>
      <c r="AF104" s="159" t="str">
        <f t="shared" ca="1" si="51"/>
        <v>(abra o arquivo 'Referência 05-2024.xls)</v>
      </c>
      <c r="AG104" s="579">
        <f t="shared" ca="1" si="52"/>
        <v>0</v>
      </c>
      <c r="AH104" s="580">
        <f t="shared" ca="1" si="53"/>
        <v>0.22470000000000001</v>
      </c>
      <c r="AJ104" s="582">
        <v>536.77</v>
      </c>
      <c r="AL104" s="612"/>
      <c r="AM104" s="430">
        <f t="shared" ca="1" si="54"/>
        <v>0</v>
      </c>
      <c r="AN104" s="655">
        <f t="shared" ca="1" si="55"/>
        <v>0</v>
      </c>
    </row>
    <row r="105" spans="1:40" ht="13.8" x14ac:dyDescent="0.3">
      <c r="A105" t="str">
        <f t="shared" si="34"/>
        <v>S</v>
      </c>
      <c r="B105">
        <f t="shared" ca="1" si="35"/>
        <v>3</v>
      </c>
      <c r="C105" t="str">
        <f t="shared" ca="1" si="36"/>
        <v>S</v>
      </c>
      <c r="D105">
        <f t="shared" ca="1" si="37"/>
        <v>0</v>
      </c>
      <c r="E105">
        <f ca="1">IF($C105=1,OFFSET(E105,-1,0)+MAX(1,COUNTIF(QCI!$A$13:$A$24,OFFSET(ORÇAMENTO!E105,-1,0))),OFFSET(E105,-1,0))</f>
        <v>1</v>
      </c>
      <c r="F105">
        <f t="shared" ca="1" si="38"/>
        <v>4</v>
      </c>
      <c r="G105">
        <f t="shared" ca="1" si="39"/>
        <v>2</v>
      </c>
      <c r="H105">
        <f t="shared" ca="1" si="40"/>
        <v>0</v>
      </c>
      <c r="I105">
        <f t="shared" ca="1" si="41"/>
        <v>0</v>
      </c>
      <c r="J105">
        <f t="shared" ca="1" si="56"/>
        <v>0</v>
      </c>
      <c r="K105">
        <f ca="1">IF(OR($C105="S",$C105=0),0,MATCH(OFFSET($D105,0,$C105)+IF($C105&lt;&gt;1,1,COUNTIF(QCI!$A$13:$A$24,ORÇAMENTO!E105)),OFFSET($D105,1,$C105,ROW($C$710)-ROW($C105)),0))</f>
        <v>0</v>
      </c>
      <c r="L105" s="143" t="str">
        <f t="shared" ca="1" si="42"/>
        <v/>
      </c>
      <c r="M105" s="144" t="s">
        <v>201</v>
      </c>
      <c r="N105" s="145" t="str">
        <f t="shared" ca="1" si="43"/>
        <v>Serviço</v>
      </c>
      <c r="O105" s="146" t="str">
        <f t="shared" ca="1" si="44"/>
        <v>-</v>
      </c>
      <c r="P105" s="147" t="s">
        <v>249</v>
      </c>
      <c r="Q105" s="148">
        <v>92759</v>
      </c>
      <c r="R105" s="149" t="str">
        <f ca="1">IF($C105="S",REFERENCIA.Descricao,"(digite a descrição aqui)")</f>
        <v>(abra o arquivo 'Referência 05-2024.xls)</v>
      </c>
      <c r="S105" s="150" t="str">
        <f ca="1">REFERENCIA.Unidade</f>
        <v>-</v>
      </c>
      <c r="T105" s="151">
        <f ca="1">OFFSET(CÁLCULO!H$15,ROW($T105)-ROW(T$15),0)</f>
        <v>133.16</v>
      </c>
      <c r="U105" s="152">
        <f t="shared" ca="1" si="57"/>
        <v>0</v>
      </c>
      <c r="V105" s="153" t="s">
        <v>158</v>
      </c>
      <c r="W105" s="151">
        <f t="shared" ca="1" si="45"/>
        <v>0</v>
      </c>
      <c r="X105" s="154">
        <f t="shared" ca="1" si="46"/>
        <v>0</v>
      </c>
      <c r="Y105" s="155" t="s">
        <v>583</v>
      </c>
      <c r="Z105" t="str">
        <f t="shared" ca="1" si="47"/>
        <v/>
      </c>
      <c r="AA105" s="156">
        <f ca="1">IF($C105="S",IF($Z105="CP",$X105,IF($Z105="RA",(($X105)*QCI!$AA$3),0)),SomaAgrup)</f>
        <v>0</v>
      </c>
      <c r="AB105" s="157">
        <f t="shared" ca="1" si="48"/>
        <v>0</v>
      </c>
      <c r="AC105" s="158" t="str">
        <f t="shared" ca="1" si="49"/>
        <v/>
      </c>
      <c r="AD105" s="104" t="str">
        <f ca="1">IF(C105&lt;=CRONO.NivelExibicao,MAX($AD$15:OFFSET(AD105,-1,0))+IF($C105&lt;&gt;1,1,MAX(1,COUNTIF(QCI!$A$13:$A$24,OFFSET($E105,-1,0)))),"")</f>
        <v/>
      </c>
      <c r="AE105" s="114" t="str">
        <f t="shared" ca="1" si="50"/>
        <v>SINAPI 92759</v>
      </c>
      <c r="AF105" s="159" t="str">
        <f t="shared" ca="1" si="51"/>
        <v>(abra o arquivo 'Referência 05-2024.xls)</v>
      </c>
      <c r="AG105" s="579">
        <f t="shared" ca="1" si="52"/>
        <v>0</v>
      </c>
      <c r="AH105" s="580">
        <f t="shared" ca="1" si="53"/>
        <v>0.22470000000000001</v>
      </c>
      <c r="AJ105" s="582">
        <v>133.16</v>
      </c>
      <c r="AL105" s="612"/>
      <c r="AM105" s="430">
        <f t="shared" ca="1" si="54"/>
        <v>0</v>
      </c>
      <c r="AN105" s="655">
        <f t="shared" ca="1" si="55"/>
        <v>0</v>
      </c>
    </row>
    <row r="106" spans="1:40" ht="13.8" x14ac:dyDescent="0.3">
      <c r="A106" t="str">
        <f t="shared" si="34"/>
        <v>S</v>
      </c>
      <c r="B106">
        <f t="shared" ca="1" si="35"/>
        <v>3</v>
      </c>
      <c r="C106" t="str">
        <f t="shared" ca="1" si="36"/>
        <v>S</v>
      </c>
      <c r="D106">
        <f t="shared" ca="1" si="37"/>
        <v>0</v>
      </c>
      <c r="E106">
        <f ca="1">IF($C106=1,OFFSET(E106,-1,0)+MAX(1,COUNTIF(QCI!$A$13:$A$24,OFFSET(ORÇAMENTO!E106,-1,0))),OFFSET(E106,-1,0))</f>
        <v>1</v>
      </c>
      <c r="F106">
        <f t="shared" ca="1" si="38"/>
        <v>4</v>
      </c>
      <c r="G106">
        <f t="shared" ca="1" si="39"/>
        <v>2</v>
      </c>
      <c r="H106">
        <f t="shared" ca="1" si="40"/>
        <v>0</v>
      </c>
      <c r="I106">
        <f t="shared" ca="1" si="41"/>
        <v>0</v>
      </c>
      <c r="J106">
        <f t="shared" ca="1" si="56"/>
        <v>0</v>
      </c>
      <c r="K106">
        <f ca="1">IF(OR($C106="S",$C106=0),0,MATCH(OFFSET($D106,0,$C106)+IF($C106&lt;&gt;1,1,COUNTIF(QCI!$A$13:$A$24,ORÇAMENTO!E106)),OFFSET($D106,1,$C106,ROW($C$710)-ROW($C106)),0))</f>
        <v>0</v>
      </c>
      <c r="L106" s="143" t="str">
        <f t="shared" ca="1" si="42"/>
        <v/>
      </c>
      <c r="M106" s="144" t="s">
        <v>201</v>
      </c>
      <c r="N106" s="145" t="str">
        <f t="shared" ca="1" si="43"/>
        <v>Serviço</v>
      </c>
      <c r="O106" s="146" t="str">
        <f t="shared" ca="1" si="44"/>
        <v>-</v>
      </c>
      <c r="P106" s="147" t="s">
        <v>441</v>
      </c>
      <c r="Q106" s="148" t="s">
        <v>447</v>
      </c>
      <c r="R106" s="149" t="str">
        <f ca="1">IF($C106="S",REFERENCIA.Descricao,"(digite a descrição aqui)")</f>
        <v>(abra o arquivo 'Referência 05-2024.xls)</v>
      </c>
      <c r="S106" s="150" t="str">
        <f ca="1">REFERENCIA.Unidade</f>
        <v>-</v>
      </c>
      <c r="T106" s="151">
        <f ca="1">OFFSET(CÁLCULO!H$15,ROW($T106)-ROW(T$15),0)</f>
        <v>4.7</v>
      </c>
      <c r="U106" s="152">
        <f t="shared" ca="1" si="57"/>
        <v>0</v>
      </c>
      <c r="V106" s="153" t="s">
        <v>158</v>
      </c>
      <c r="W106" s="151">
        <f t="shared" ca="1" si="45"/>
        <v>0</v>
      </c>
      <c r="X106" s="154">
        <f t="shared" ca="1" si="46"/>
        <v>0</v>
      </c>
      <c r="Y106" s="155" t="s">
        <v>583</v>
      </c>
      <c r="Z106" t="str">
        <f t="shared" ca="1" si="47"/>
        <v/>
      </c>
      <c r="AA106" s="156">
        <f ca="1">IF($C106="S",IF($Z106="CP",$X106,IF($Z106="RA",(($X106)*QCI!$AA$3),0)),SomaAgrup)</f>
        <v>0</v>
      </c>
      <c r="AB106" s="157">
        <f t="shared" ca="1" si="48"/>
        <v>0</v>
      </c>
      <c r="AC106" s="158" t="str">
        <f t="shared" ca="1" si="49"/>
        <v/>
      </c>
      <c r="AD106" s="104" t="str">
        <f ca="1">IF(C106&lt;=CRONO.NivelExibicao,MAX($AD$15:OFFSET(AD106,-1,0))+IF($C106&lt;&gt;1,1,MAX(1,COUNTIF(QCI!$A$13:$A$24,OFFSET($E106,-1,0)))),"")</f>
        <v/>
      </c>
      <c r="AE106" s="114" t="str">
        <f t="shared" ca="1" si="50"/>
        <v>Composição CP-08</v>
      </c>
      <c r="AF106" s="159" t="str">
        <f t="shared" ca="1" si="51"/>
        <v>(abra o arquivo 'Referência 05-2024.xls)</v>
      </c>
      <c r="AG106" s="579">
        <f t="shared" ca="1" si="52"/>
        <v>0</v>
      </c>
      <c r="AH106" s="580">
        <f t="shared" ca="1" si="53"/>
        <v>0.22470000000000001</v>
      </c>
      <c r="AJ106" s="582">
        <v>4.7</v>
      </c>
      <c r="AL106" s="612"/>
      <c r="AM106" s="430">
        <f t="shared" ca="1" si="54"/>
        <v>0</v>
      </c>
      <c r="AN106" s="655">
        <f t="shared" ca="1" si="55"/>
        <v>0</v>
      </c>
    </row>
    <row r="107" spans="1:40" ht="13.8" x14ac:dyDescent="0.3">
      <c r="A107">
        <f t="shared" si="34"/>
        <v>3</v>
      </c>
      <c r="B107">
        <f t="shared" ca="1" si="35"/>
        <v>3</v>
      </c>
      <c r="C107">
        <f t="shared" ca="1" si="36"/>
        <v>3</v>
      </c>
      <c r="D107">
        <f t="shared" ca="1" si="37"/>
        <v>5</v>
      </c>
      <c r="E107">
        <f ca="1">IF($C107=1,OFFSET(E107,-1,0)+MAX(1,COUNTIF(QCI!$A$13:$A$24,OFFSET(ORÇAMENTO!E107,-1,0))),OFFSET(E107,-1,0))</f>
        <v>1</v>
      </c>
      <c r="F107">
        <f t="shared" ca="1" si="38"/>
        <v>4</v>
      </c>
      <c r="G107">
        <f t="shared" ca="1" si="39"/>
        <v>3</v>
      </c>
      <c r="H107">
        <f t="shared" ca="1" si="40"/>
        <v>0</v>
      </c>
      <c r="I107">
        <f t="shared" ca="1" si="41"/>
        <v>0</v>
      </c>
      <c r="J107">
        <f t="shared" ca="1" si="56"/>
        <v>45</v>
      </c>
      <c r="K107">
        <f ca="1">IF(OR($C107="S",$C107=0),0,MATCH(OFFSET($D107,0,$C107)+IF($C107&lt;&gt;1,1,COUNTIF(QCI!$A$13:$A$24,ORÇAMENTO!E107)),OFFSET($D107,1,$C107,ROW($C$710)-ROW($C107)),0))</f>
        <v>5</v>
      </c>
      <c r="L107" s="143" t="str">
        <f t="shared" ca="1" si="42"/>
        <v>F</v>
      </c>
      <c r="M107" s="144" t="s">
        <v>199</v>
      </c>
      <c r="N107" s="145" t="str">
        <f t="shared" ca="1" si="43"/>
        <v>Nível 3</v>
      </c>
      <c r="O107" s="146" t="str">
        <f t="shared" ca="1" si="44"/>
        <v>1.4.3.</v>
      </c>
      <c r="P107" s="147" t="s">
        <v>249</v>
      </c>
      <c r="Q107" s="148"/>
      <c r="R107" s="149" t="s">
        <v>495</v>
      </c>
      <c r="S107" s="150" t="s">
        <v>168</v>
      </c>
      <c r="T107" s="151">
        <f ca="1">OFFSET(CÁLCULO!H$15,ROW($T107)-ROW(T$15),0)</f>
        <v>0</v>
      </c>
      <c r="U107" s="152">
        <f t="shared" ca="1" si="57"/>
        <v>0</v>
      </c>
      <c r="V107" s="153" t="s">
        <v>158</v>
      </c>
      <c r="W107" s="151">
        <f t="shared" ca="1" si="45"/>
        <v>0</v>
      </c>
      <c r="X107" s="154">
        <f t="shared" ca="1" si="46"/>
        <v>0</v>
      </c>
      <c r="Y107" s="155" t="s">
        <v>583</v>
      </c>
      <c r="Z107" t="str">
        <f t="shared" ca="1" si="47"/>
        <v/>
      </c>
      <c r="AA107" s="156">
        <f ca="1">IF($C107="S",IF($Z107="CP",$X107,IF($Z107="RA",(($X107)*QCI!$AA$3),0)),SomaAgrup)</f>
        <v>0</v>
      </c>
      <c r="AB107" s="157">
        <f t="shared" ca="1" si="48"/>
        <v>0</v>
      </c>
      <c r="AC107" s="158" t="str">
        <f t="shared" ca="1" si="49"/>
        <v/>
      </c>
      <c r="AD107" s="104" t="str">
        <f ca="1">IF(C107&lt;=CRONO.NivelExibicao,MAX($AD$15:OFFSET(AD107,-1,0))+IF($C107&lt;&gt;1,1,MAX(1,COUNTIF(QCI!$A$13:$A$24,OFFSET($E107,-1,0)))),"")</f>
        <v/>
      </c>
      <c r="AE107" s="114" t="b">
        <f t="shared" ca="1" si="50"/>
        <v>0</v>
      </c>
      <c r="AF107" s="159" t="str">
        <f t="shared" ca="1" si="51"/>
        <v>(abra o arquivo 'Referência 05-2024.xls)</v>
      </c>
      <c r="AG107" s="579">
        <f t="shared" ca="1" si="52"/>
        <v>0</v>
      </c>
      <c r="AH107" s="580">
        <f t="shared" ca="1" si="53"/>
        <v>0.22470000000000001</v>
      </c>
      <c r="AJ107" s="582"/>
      <c r="AL107" s="612"/>
      <c r="AM107" s="430">
        <f t="shared" ca="1" si="54"/>
        <v>0</v>
      </c>
      <c r="AN107" s="655">
        <f t="shared" ca="1" si="55"/>
        <v>0</v>
      </c>
    </row>
    <row r="108" spans="1:40" ht="13.8" x14ac:dyDescent="0.3">
      <c r="A108" t="str">
        <f t="shared" si="34"/>
        <v>S</v>
      </c>
      <c r="B108">
        <f t="shared" ca="1" si="35"/>
        <v>3</v>
      </c>
      <c r="C108" t="str">
        <f t="shared" ca="1" si="36"/>
        <v>S</v>
      </c>
      <c r="D108">
        <f t="shared" ca="1" si="37"/>
        <v>0</v>
      </c>
      <c r="E108">
        <f ca="1">IF($C108=1,OFFSET(E108,-1,0)+MAX(1,COUNTIF(QCI!$A$13:$A$24,OFFSET(ORÇAMENTO!E108,-1,0))),OFFSET(E108,-1,0))</f>
        <v>1</v>
      </c>
      <c r="F108">
        <f t="shared" ca="1" si="38"/>
        <v>4</v>
      </c>
      <c r="G108">
        <f t="shared" ca="1" si="39"/>
        <v>3</v>
      </c>
      <c r="H108">
        <f t="shared" ca="1" si="40"/>
        <v>0</v>
      </c>
      <c r="I108">
        <f t="shared" ca="1" si="41"/>
        <v>0</v>
      </c>
      <c r="J108">
        <f t="shared" ca="1" si="56"/>
        <v>0</v>
      </c>
      <c r="K108">
        <f ca="1">IF(OR($C108="S",$C108=0),0,MATCH(OFFSET($D108,0,$C108)+IF($C108&lt;&gt;1,1,COUNTIF(QCI!$A$13:$A$24,ORÇAMENTO!E108)),OFFSET($D108,1,$C108,ROW($C$710)-ROW($C108)),0))</f>
        <v>0</v>
      </c>
      <c r="L108" s="143" t="str">
        <f t="shared" ca="1" si="42"/>
        <v/>
      </c>
      <c r="M108" s="144" t="s">
        <v>201</v>
      </c>
      <c r="N108" s="145" t="str">
        <f t="shared" ca="1" si="43"/>
        <v>Serviço</v>
      </c>
      <c r="O108" s="146" t="str">
        <f t="shared" ca="1" si="44"/>
        <v>-</v>
      </c>
      <c r="P108" s="147" t="s">
        <v>249</v>
      </c>
      <c r="Q108" s="148">
        <v>92443</v>
      </c>
      <c r="R108" s="149" t="str">
        <f ca="1">IF($C108="S",REFERENCIA.Descricao,"(digite a descrição aqui)")</f>
        <v>(abra o arquivo 'Referência 05-2024.xls)</v>
      </c>
      <c r="S108" s="150" t="str">
        <f ca="1">REFERENCIA.Unidade</f>
        <v>-</v>
      </c>
      <c r="T108" s="151">
        <f ca="1">OFFSET(CÁLCULO!H$15,ROW($T108)-ROW(T$15),0)</f>
        <v>16</v>
      </c>
      <c r="U108" s="152">
        <f t="shared" ca="1" si="57"/>
        <v>0</v>
      </c>
      <c r="V108" s="153" t="s">
        <v>158</v>
      </c>
      <c r="W108" s="151">
        <f t="shared" ca="1" si="45"/>
        <v>0</v>
      </c>
      <c r="X108" s="154">
        <f t="shared" ca="1" si="46"/>
        <v>0</v>
      </c>
      <c r="Y108" s="155" t="s">
        <v>583</v>
      </c>
      <c r="Z108" t="str">
        <f t="shared" ca="1" si="47"/>
        <v/>
      </c>
      <c r="AA108" s="156">
        <f ca="1">IF($C108="S",IF($Z108="CP",$X108,IF($Z108="RA",(($X108)*QCI!$AA$3),0)),SomaAgrup)</f>
        <v>0</v>
      </c>
      <c r="AB108" s="157">
        <f t="shared" ca="1" si="48"/>
        <v>0</v>
      </c>
      <c r="AC108" s="158" t="str">
        <f t="shared" ca="1" si="49"/>
        <v/>
      </c>
      <c r="AD108" s="104" t="str">
        <f ca="1">IF(C108&lt;=CRONO.NivelExibicao,MAX($AD$15:OFFSET(AD108,-1,0))+IF($C108&lt;&gt;1,1,MAX(1,COUNTIF(QCI!$A$13:$A$24,OFFSET($E108,-1,0)))),"")</f>
        <v/>
      </c>
      <c r="AE108" s="114" t="str">
        <f t="shared" ca="1" si="50"/>
        <v>SINAPI 92443</v>
      </c>
      <c r="AF108" s="159" t="str">
        <f t="shared" ca="1" si="51"/>
        <v>(abra o arquivo 'Referência 05-2024.xls)</v>
      </c>
      <c r="AG108" s="579">
        <f t="shared" ca="1" si="52"/>
        <v>0</v>
      </c>
      <c r="AH108" s="580">
        <f t="shared" ca="1" si="53"/>
        <v>0.22470000000000001</v>
      </c>
      <c r="AJ108" s="582">
        <v>16</v>
      </c>
      <c r="AL108" s="612"/>
      <c r="AM108" s="430">
        <f t="shared" ca="1" si="54"/>
        <v>0</v>
      </c>
      <c r="AN108" s="655">
        <f t="shared" ca="1" si="55"/>
        <v>0</v>
      </c>
    </row>
    <row r="109" spans="1:40" ht="13.8" x14ac:dyDescent="0.3">
      <c r="A109" t="str">
        <f t="shared" si="34"/>
        <v>S</v>
      </c>
      <c r="B109">
        <f t="shared" ca="1" si="35"/>
        <v>3</v>
      </c>
      <c r="C109" t="str">
        <f t="shared" ca="1" si="36"/>
        <v>S</v>
      </c>
      <c r="D109">
        <f t="shared" ca="1" si="37"/>
        <v>0</v>
      </c>
      <c r="E109">
        <f ca="1">IF($C109=1,OFFSET(E109,-1,0)+MAX(1,COUNTIF(QCI!$A$13:$A$24,OFFSET(ORÇAMENTO!E109,-1,0))),OFFSET(E109,-1,0))</f>
        <v>1</v>
      </c>
      <c r="F109">
        <f t="shared" ca="1" si="38"/>
        <v>4</v>
      </c>
      <c r="G109">
        <f t="shared" ca="1" si="39"/>
        <v>3</v>
      </c>
      <c r="H109">
        <f t="shared" ca="1" si="40"/>
        <v>0</v>
      </c>
      <c r="I109">
        <f t="shared" ca="1" si="41"/>
        <v>0</v>
      </c>
      <c r="J109">
        <f t="shared" ca="1" si="56"/>
        <v>0</v>
      </c>
      <c r="K109">
        <f ca="1">IF(OR($C109="S",$C109=0),0,MATCH(OFFSET($D109,0,$C109)+IF($C109&lt;&gt;1,1,COUNTIF(QCI!$A$13:$A$24,ORÇAMENTO!E109)),OFFSET($D109,1,$C109,ROW($C$710)-ROW($C109)),0))</f>
        <v>0</v>
      </c>
      <c r="L109" s="143" t="str">
        <f t="shared" ca="1" si="42"/>
        <v/>
      </c>
      <c r="M109" s="144" t="s">
        <v>201</v>
      </c>
      <c r="N109" s="145" t="str">
        <f t="shared" ca="1" si="43"/>
        <v>Serviço</v>
      </c>
      <c r="O109" s="146" t="str">
        <f t="shared" ca="1" si="44"/>
        <v>-</v>
      </c>
      <c r="P109" s="147" t="s">
        <v>249</v>
      </c>
      <c r="Q109" s="148">
        <v>92762</v>
      </c>
      <c r="R109" s="149" t="str">
        <f ca="1">IF($C109="S",REFERENCIA.Descricao,"(digite a descrição aqui)")</f>
        <v>(abra o arquivo 'Referência 05-2024.xls)</v>
      </c>
      <c r="S109" s="150" t="str">
        <f ca="1">REFERENCIA.Unidade</f>
        <v>-</v>
      </c>
      <c r="T109" s="151">
        <f ca="1">OFFSET(CÁLCULO!H$15,ROW($T109)-ROW(T$15),0)</f>
        <v>79.45</v>
      </c>
      <c r="U109" s="152">
        <f t="shared" ca="1" si="57"/>
        <v>0</v>
      </c>
      <c r="V109" s="153" t="s">
        <v>158</v>
      </c>
      <c r="W109" s="151">
        <f t="shared" ca="1" si="45"/>
        <v>0</v>
      </c>
      <c r="X109" s="154">
        <f t="shared" ca="1" si="46"/>
        <v>0</v>
      </c>
      <c r="Y109" s="155" t="s">
        <v>583</v>
      </c>
      <c r="Z109" t="str">
        <f t="shared" ca="1" si="47"/>
        <v/>
      </c>
      <c r="AA109" s="156">
        <f ca="1">IF($C109="S",IF($Z109="CP",$X109,IF($Z109="RA",(($X109)*QCI!$AA$3),0)),SomaAgrup)</f>
        <v>0</v>
      </c>
      <c r="AB109" s="157">
        <f t="shared" ca="1" si="48"/>
        <v>0</v>
      </c>
      <c r="AC109" s="158" t="str">
        <f t="shared" ca="1" si="49"/>
        <v/>
      </c>
      <c r="AD109" s="104" t="str">
        <f ca="1">IF(C109&lt;=CRONO.NivelExibicao,MAX($AD$15:OFFSET(AD109,-1,0))+IF($C109&lt;&gt;1,1,MAX(1,COUNTIF(QCI!$A$13:$A$24,OFFSET($E109,-1,0)))),"")</f>
        <v/>
      </c>
      <c r="AE109" s="114" t="str">
        <f t="shared" ca="1" si="50"/>
        <v>SINAPI 92762</v>
      </c>
      <c r="AF109" s="159" t="str">
        <f t="shared" ca="1" si="51"/>
        <v>(abra o arquivo 'Referência 05-2024.xls)</v>
      </c>
      <c r="AG109" s="579">
        <f t="shared" ca="1" si="52"/>
        <v>0</v>
      </c>
      <c r="AH109" s="580">
        <f t="shared" ca="1" si="53"/>
        <v>0.22470000000000001</v>
      </c>
      <c r="AJ109" s="582">
        <v>79.45</v>
      </c>
      <c r="AL109" s="612"/>
      <c r="AM109" s="430">
        <f t="shared" ca="1" si="54"/>
        <v>0</v>
      </c>
      <c r="AN109" s="655">
        <f t="shared" ca="1" si="55"/>
        <v>0</v>
      </c>
    </row>
    <row r="110" spans="1:40" ht="13.8" x14ac:dyDescent="0.3">
      <c r="A110" t="str">
        <f t="shared" si="34"/>
        <v>S</v>
      </c>
      <c r="B110">
        <f t="shared" ca="1" si="35"/>
        <v>3</v>
      </c>
      <c r="C110" t="str">
        <f t="shared" ca="1" si="36"/>
        <v>S</v>
      </c>
      <c r="D110">
        <f t="shared" ca="1" si="37"/>
        <v>0</v>
      </c>
      <c r="E110">
        <f ca="1">IF($C110=1,OFFSET(E110,-1,0)+MAX(1,COUNTIF(QCI!$A$13:$A$24,OFFSET(ORÇAMENTO!E110,-1,0))),OFFSET(E110,-1,0))</f>
        <v>1</v>
      </c>
      <c r="F110">
        <f t="shared" ca="1" si="38"/>
        <v>4</v>
      </c>
      <c r="G110">
        <f t="shared" ca="1" si="39"/>
        <v>3</v>
      </c>
      <c r="H110">
        <f t="shared" ca="1" si="40"/>
        <v>0</v>
      </c>
      <c r="I110">
        <f t="shared" ca="1" si="41"/>
        <v>0</v>
      </c>
      <c r="J110">
        <f t="shared" ca="1" si="56"/>
        <v>0</v>
      </c>
      <c r="K110">
        <f ca="1">IF(OR($C110="S",$C110=0),0,MATCH(OFFSET($D110,0,$C110)+IF($C110&lt;&gt;1,1,COUNTIF(QCI!$A$13:$A$24,ORÇAMENTO!E110)),OFFSET($D110,1,$C110,ROW($C$710)-ROW($C110)),0))</f>
        <v>0</v>
      </c>
      <c r="L110" s="143" t="str">
        <f t="shared" ca="1" si="42"/>
        <v/>
      </c>
      <c r="M110" s="144" t="s">
        <v>201</v>
      </c>
      <c r="N110" s="145" t="str">
        <f t="shared" ca="1" si="43"/>
        <v>Serviço</v>
      </c>
      <c r="O110" s="146" t="str">
        <f t="shared" ca="1" si="44"/>
        <v>-</v>
      </c>
      <c r="P110" s="147" t="s">
        <v>249</v>
      </c>
      <c r="Q110" s="148">
        <v>92759</v>
      </c>
      <c r="R110" s="149" t="str">
        <f ca="1">IF($C110="S",REFERENCIA.Descricao,"(digite a descrição aqui)")</f>
        <v>(abra o arquivo 'Referência 05-2024.xls)</v>
      </c>
      <c r="S110" s="150" t="str">
        <f ca="1">REFERENCIA.Unidade</f>
        <v>-</v>
      </c>
      <c r="T110" s="151">
        <f ca="1">OFFSET(CÁLCULO!H$15,ROW($T110)-ROW(T$15),0)</f>
        <v>27.61</v>
      </c>
      <c r="U110" s="152">
        <f t="shared" ca="1" si="57"/>
        <v>0</v>
      </c>
      <c r="V110" s="153" t="s">
        <v>158</v>
      </c>
      <c r="W110" s="151">
        <f t="shared" ca="1" si="45"/>
        <v>0</v>
      </c>
      <c r="X110" s="154">
        <f t="shared" ca="1" si="46"/>
        <v>0</v>
      </c>
      <c r="Y110" s="155" t="s">
        <v>583</v>
      </c>
      <c r="Z110" t="str">
        <f t="shared" ca="1" si="47"/>
        <v/>
      </c>
      <c r="AA110" s="156">
        <f ca="1">IF($C110="S",IF($Z110="CP",$X110,IF($Z110="RA",(($X110)*QCI!$AA$3),0)),SomaAgrup)</f>
        <v>0</v>
      </c>
      <c r="AB110" s="157">
        <f t="shared" ca="1" si="48"/>
        <v>0</v>
      </c>
      <c r="AC110" s="158" t="str">
        <f t="shared" ca="1" si="49"/>
        <v/>
      </c>
      <c r="AD110" s="104" t="str">
        <f ca="1">IF(C110&lt;=CRONO.NivelExibicao,MAX($AD$15:OFFSET(AD110,-1,0))+IF($C110&lt;&gt;1,1,MAX(1,COUNTIF(QCI!$A$13:$A$24,OFFSET($E110,-1,0)))),"")</f>
        <v/>
      </c>
      <c r="AE110" s="114" t="str">
        <f t="shared" ca="1" si="50"/>
        <v>SINAPI 92759</v>
      </c>
      <c r="AF110" s="159" t="str">
        <f t="shared" ca="1" si="51"/>
        <v>(abra o arquivo 'Referência 05-2024.xls)</v>
      </c>
      <c r="AG110" s="579">
        <f t="shared" ca="1" si="52"/>
        <v>0</v>
      </c>
      <c r="AH110" s="580">
        <f t="shared" ca="1" si="53"/>
        <v>0.22470000000000001</v>
      </c>
      <c r="AJ110" s="582">
        <v>27.61</v>
      </c>
      <c r="AL110" s="612"/>
      <c r="AM110" s="430">
        <f t="shared" ca="1" si="54"/>
        <v>0</v>
      </c>
      <c r="AN110" s="655">
        <f t="shared" ca="1" si="55"/>
        <v>0</v>
      </c>
    </row>
    <row r="111" spans="1:40" ht="13.8" x14ac:dyDescent="0.3">
      <c r="A111" t="str">
        <f t="shared" si="34"/>
        <v>S</v>
      </c>
      <c r="B111">
        <f t="shared" ca="1" si="35"/>
        <v>3</v>
      </c>
      <c r="C111" t="str">
        <f t="shared" ca="1" si="36"/>
        <v>S</v>
      </c>
      <c r="D111">
        <f t="shared" ca="1" si="37"/>
        <v>0</v>
      </c>
      <c r="E111">
        <f ca="1">IF($C111=1,OFFSET(E111,-1,0)+MAX(1,COUNTIF(QCI!$A$13:$A$24,OFFSET(ORÇAMENTO!E111,-1,0))),OFFSET(E111,-1,0))</f>
        <v>1</v>
      </c>
      <c r="F111">
        <f t="shared" ca="1" si="38"/>
        <v>4</v>
      </c>
      <c r="G111">
        <f t="shared" ca="1" si="39"/>
        <v>3</v>
      </c>
      <c r="H111">
        <f t="shared" ca="1" si="40"/>
        <v>0</v>
      </c>
      <c r="I111">
        <f t="shared" ca="1" si="41"/>
        <v>0</v>
      </c>
      <c r="J111">
        <f t="shared" ca="1" si="56"/>
        <v>0</v>
      </c>
      <c r="K111">
        <f ca="1">IF(OR($C111="S",$C111=0),0,MATCH(OFFSET($D111,0,$C111)+IF($C111&lt;&gt;1,1,COUNTIF(QCI!$A$13:$A$24,ORÇAMENTO!E111)),OFFSET($D111,1,$C111,ROW($C$710)-ROW($C111)),0))</f>
        <v>0</v>
      </c>
      <c r="L111" s="143" t="str">
        <f t="shared" ca="1" si="42"/>
        <v/>
      </c>
      <c r="M111" s="144" t="s">
        <v>201</v>
      </c>
      <c r="N111" s="145" t="str">
        <f t="shared" ca="1" si="43"/>
        <v>Serviço</v>
      </c>
      <c r="O111" s="146" t="str">
        <f t="shared" ca="1" si="44"/>
        <v>-</v>
      </c>
      <c r="P111" s="147" t="s">
        <v>441</v>
      </c>
      <c r="Q111" s="148" t="s">
        <v>447</v>
      </c>
      <c r="R111" s="149" t="str">
        <f ca="1">IF($C111="S",REFERENCIA.Descricao,"(digite a descrição aqui)")</f>
        <v>(abra o arquivo 'Referência 05-2024.xls)</v>
      </c>
      <c r="S111" s="150" t="str">
        <f ca="1">REFERENCIA.Unidade</f>
        <v>-</v>
      </c>
      <c r="T111" s="151">
        <f ca="1">OFFSET(CÁLCULO!H$15,ROW($T111)-ROW(T$15),0)</f>
        <v>1.0900000000000001</v>
      </c>
      <c r="U111" s="152">
        <f t="shared" ca="1" si="57"/>
        <v>0</v>
      </c>
      <c r="V111" s="153" t="s">
        <v>158</v>
      </c>
      <c r="W111" s="151">
        <f t="shared" ca="1" si="45"/>
        <v>0</v>
      </c>
      <c r="X111" s="154">
        <f t="shared" ca="1" si="46"/>
        <v>0</v>
      </c>
      <c r="Y111" s="155" t="s">
        <v>583</v>
      </c>
      <c r="Z111" t="str">
        <f t="shared" ca="1" si="47"/>
        <v/>
      </c>
      <c r="AA111" s="156">
        <f ca="1">IF($C111="S",IF($Z111="CP",$X111,IF($Z111="RA",(($X111)*QCI!$AA$3),0)),SomaAgrup)</f>
        <v>0</v>
      </c>
      <c r="AB111" s="157">
        <f t="shared" ca="1" si="48"/>
        <v>0</v>
      </c>
      <c r="AC111" s="158" t="str">
        <f t="shared" ca="1" si="49"/>
        <v/>
      </c>
      <c r="AD111" s="104" t="str">
        <f ca="1">IF(C111&lt;=CRONO.NivelExibicao,MAX($AD$15:OFFSET(AD111,-1,0))+IF($C111&lt;&gt;1,1,MAX(1,COUNTIF(QCI!$A$13:$A$24,OFFSET($E111,-1,0)))),"")</f>
        <v/>
      </c>
      <c r="AE111" s="114" t="str">
        <f t="shared" ca="1" si="50"/>
        <v>Composição CP-08</v>
      </c>
      <c r="AF111" s="159" t="str">
        <f t="shared" ca="1" si="51"/>
        <v>(abra o arquivo 'Referência 05-2024.xls)</v>
      </c>
      <c r="AG111" s="579">
        <f t="shared" ca="1" si="52"/>
        <v>0</v>
      </c>
      <c r="AH111" s="580">
        <f t="shared" ca="1" si="53"/>
        <v>0.22470000000000001</v>
      </c>
      <c r="AJ111" s="582">
        <v>1.0900000000000001</v>
      </c>
      <c r="AL111" s="612"/>
      <c r="AM111" s="430">
        <f t="shared" ca="1" si="54"/>
        <v>0</v>
      </c>
      <c r="AN111" s="655">
        <f t="shared" ca="1" si="55"/>
        <v>0</v>
      </c>
    </row>
    <row r="112" spans="1:40" ht="13.8" x14ac:dyDescent="0.3">
      <c r="A112">
        <f t="shared" si="34"/>
        <v>3</v>
      </c>
      <c r="B112">
        <f t="shared" ca="1" si="35"/>
        <v>3</v>
      </c>
      <c r="C112">
        <f t="shared" ca="1" si="36"/>
        <v>3</v>
      </c>
      <c r="D112">
        <f t="shared" ca="1" si="37"/>
        <v>10</v>
      </c>
      <c r="E112">
        <f ca="1">IF($C112=1,OFFSET(E112,-1,0)+MAX(1,COUNTIF(QCI!$A$13:$A$24,OFFSET(ORÇAMENTO!E112,-1,0))),OFFSET(E112,-1,0))</f>
        <v>1</v>
      </c>
      <c r="F112">
        <f t="shared" ca="1" si="38"/>
        <v>4</v>
      </c>
      <c r="G112">
        <f t="shared" ca="1" si="39"/>
        <v>4</v>
      </c>
      <c r="H112">
        <f t="shared" ca="1" si="40"/>
        <v>0</v>
      </c>
      <c r="I112">
        <f t="shared" ca="1" si="41"/>
        <v>0</v>
      </c>
      <c r="J112">
        <f t="shared" ca="1" si="56"/>
        <v>40</v>
      </c>
      <c r="K112">
        <f ca="1">IF(OR($C112="S",$C112=0),0,MATCH(OFFSET($D112,0,$C112)+IF($C112&lt;&gt;1,1,COUNTIF(QCI!$A$13:$A$24,ORÇAMENTO!E112)),OFFSET($D112,1,$C112,ROW($C$710)-ROW($C112)),0))</f>
        <v>10</v>
      </c>
      <c r="L112" s="143" t="str">
        <f t="shared" ca="1" si="42"/>
        <v>F</v>
      </c>
      <c r="M112" s="144" t="s">
        <v>199</v>
      </c>
      <c r="N112" s="145" t="str">
        <f t="shared" ca="1" si="43"/>
        <v>Nível 3</v>
      </c>
      <c r="O112" s="146" t="str">
        <f t="shared" ca="1" si="44"/>
        <v>1.4.4.</v>
      </c>
      <c r="P112" s="147" t="s">
        <v>249</v>
      </c>
      <c r="Q112" s="148"/>
      <c r="R112" s="149" t="s">
        <v>496</v>
      </c>
      <c r="S112" s="150" t="s">
        <v>168</v>
      </c>
      <c r="T112" s="151">
        <f ca="1">OFFSET(CÁLCULO!H$15,ROW($T112)-ROW(T$15),0)</f>
        <v>0</v>
      </c>
      <c r="U112" s="152">
        <f t="shared" ca="1" si="57"/>
        <v>0</v>
      </c>
      <c r="V112" s="153" t="s">
        <v>158</v>
      </c>
      <c r="W112" s="151">
        <f t="shared" ca="1" si="45"/>
        <v>0</v>
      </c>
      <c r="X112" s="154">
        <f t="shared" ca="1" si="46"/>
        <v>0</v>
      </c>
      <c r="Y112" s="155" t="s">
        <v>583</v>
      </c>
      <c r="Z112" t="str">
        <f t="shared" ca="1" si="47"/>
        <v/>
      </c>
      <c r="AA112" s="156">
        <f ca="1">IF($C112="S",IF($Z112="CP",$X112,IF($Z112="RA",(($X112)*QCI!$AA$3),0)),SomaAgrup)</f>
        <v>0</v>
      </c>
      <c r="AB112" s="157">
        <f t="shared" ca="1" si="48"/>
        <v>0</v>
      </c>
      <c r="AC112" s="158" t="str">
        <f t="shared" ca="1" si="49"/>
        <v/>
      </c>
      <c r="AD112" s="104" t="str">
        <f ca="1">IF(C112&lt;=CRONO.NivelExibicao,MAX($AD$15:OFFSET(AD112,-1,0))+IF($C112&lt;&gt;1,1,MAX(1,COUNTIF(QCI!$A$13:$A$24,OFFSET($E112,-1,0)))),"")</f>
        <v/>
      </c>
      <c r="AE112" s="114" t="b">
        <f t="shared" ca="1" si="50"/>
        <v>0</v>
      </c>
      <c r="AF112" s="159" t="str">
        <f t="shared" ca="1" si="51"/>
        <v>(abra o arquivo 'Referência 05-2024.xls)</v>
      </c>
      <c r="AG112" s="579">
        <f t="shared" ca="1" si="52"/>
        <v>0</v>
      </c>
      <c r="AH112" s="580">
        <f t="shared" ca="1" si="53"/>
        <v>0.22470000000000001</v>
      </c>
      <c r="AJ112" s="582"/>
      <c r="AL112" s="612"/>
      <c r="AM112" s="430">
        <f t="shared" ca="1" si="54"/>
        <v>0</v>
      </c>
      <c r="AN112" s="655">
        <f t="shared" ca="1" si="55"/>
        <v>0</v>
      </c>
    </row>
    <row r="113" spans="1:40" ht="13.8" x14ac:dyDescent="0.3">
      <c r="A113" t="str">
        <f t="shared" si="34"/>
        <v>S</v>
      </c>
      <c r="B113">
        <f t="shared" ca="1" si="35"/>
        <v>3</v>
      </c>
      <c r="C113" t="str">
        <f t="shared" ca="1" si="36"/>
        <v>S</v>
      </c>
      <c r="D113">
        <f t="shared" ca="1" si="37"/>
        <v>0</v>
      </c>
      <c r="E113">
        <f ca="1">IF($C113=1,OFFSET(E113,-1,0)+MAX(1,COUNTIF(QCI!$A$13:$A$24,OFFSET(ORÇAMENTO!E113,-1,0))),OFFSET(E113,-1,0))</f>
        <v>1</v>
      </c>
      <c r="F113">
        <f t="shared" ca="1" si="38"/>
        <v>4</v>
      </c>
      <c r="G113">
        <f t="shared" ca="1" si="39"/>
        <v>4</v>
      </c>
      <c r="H113">
        <f t="shared" ca="1" si="40"/>
        <v>0</v>
      </c>
      <c r="I113">
        <f t="shared" ca="1" si="41"/>
        <v>0</v>
      </c>
      <c r="J113">
        <f t="shared" ca="1" si="56"/>
        <v>0</v>
      </c>
      <c r="K113">
        <f ca="1">IF(OR($C113="S",$C113=0),0,MATCH(OFFSET($D113,0,$C113)+IF($C113&lt;&gt;1,1,COUNTIF(QCI!$A$13:$A$24,ORÇAMENTO!E113)),OFFSET($D113,1,$C113,ROW($C$710)-ROW($C113)),0))</f>
        <v>0</v>
      </c>
      <c r="L113" s="143" t="str">
        <f t="shared" ca="1" si="42"/>
        <v/>
      </c>
      <c r="M113" s="144" t="s">
        <v>201</v>
      </c>
      <c r="N113" s="145" t="str">
        <f t="shared" ca="1" si="43"/>
        <v>Serviço</v>
      </c>
      <c r="O113" s="146" t="str">
        <f t="shared" ca="1" si="44"/>
        <v>-</v>
      </c>
      <c r="P113" s="147" t="s">
        <v>249</v>
      </c>
      <c r="Q113" s="148">
        <v>92479</v>
      </c>
      <c r="R113" s="149" t="str">
        <f t="shared" ref="R113:R121" ca="1" si="60">IF($C113="S",REFERENCIA.Descricao,"(digite a descrição aqui)")</f>
        <v>(abra o arquivo 'Referência 05-2024.xls)</v>
      </c>
      <c r="S113" s="150" t="str">
        <f t="shared" ref="S113:S121" ca="1" si="61">REFERENCIA.Unidade</f>
        <v>-</v>
      </c>
      <c r="T113" s="151">
        <f ca="1">OFFSET(CÁLCULO!H$15,ROW($T113)-ROW(T$15),0)</f>
        <v>1194.01</v>
      </c>
      <c r="U113" s="152">
        <f t="shared" ca="1" si="57"/>
        <v>0</v>
      </c>
      <c r="V113" s="153" t="s">
        <v>158</v>
      </c>
      <c r="W113" s="151">
        <f t="shared" ca="1" si="45"/>
        <v>0</v>
      </c>
      <c r="X113" s="154">
        <f t="shared" ca="1" si="46"/>
        <v>0</v>
      </c>
      <c r="Y113" s="155" t="s">
        <v>583</v>
      </c>
      <c r="Z113" t="str">
        <f t="shared" ca="1" si="47"/>
        <v/>
      </c>
      <c r="AA113" s="156">
        <f ca="1">IF($C113="S",IF($Z113="CP",$X113,IF($Z113="RA",(($X113)*QCI!$AA$3),0)),SomaAgrup)</f>
        <v>0</v>
      </c>
      <c r="AB113" s="157">
        <f t="shared" ca="1" si="48"/>
        <v>0</v>
      </c>
      <c r="AC113" s="158" t="str">
        <f t="shared" ca="1" si="49"/>
        <v/>
      </c>
      <c r="AD113" s="104" t="str">
        <f ca="1">IF(C113&lt;=CRONO.NivelExibicao,MAX($AD$15:OFFSET(AD113,-1,0))+IF($C113&lt;&gt;1,1,MAX(1,COUNTIF(QCI!$A$13:$A$24,OFFSET($E113,-1,0)))),"")</f>
        <v/>
      </c>
      <c r="AE113" s="114" t="str">
        <f t="shared" ca="1" si="50"/>
        <v>SINAPI 92479</v>
      </c>
      <c r="AF113" s="159" t="str">
        <f t="shared" ca="1" si="51"/>
        <v>(abra o arquivo 'Referência 05-2024.xls)</v>
      </c>
      <c r="AG113" s="579">
        <f t="shared" ca="1" si="52"/>
        <v>0</v>
      </c>
      <c r="AH113" s="580">
        <f t="shared" ca="1" si="53"/>
        <v>0.22470000000000001</v>
      </c>
      <c r="AJ113" s="582">
        <v>1194.01</v>
      </c>
      <c r="AL113" s="612"/>
      <c r="AM113" s="430">
        <f t="shared" ca="1" si="54"/>
        <v>0</v>
      </c>
      <c r="AN113" s="655">
        <f t="shared" ca="1" si="55"/>
        <v>0</v>
      </c>
    </row>
    <row r="114" spans="1:40" ht="13.8" x14ac:dyDescent="0.3">
      <c r="A114" t="str">
        <f t="shared" si="34"/>
        <v>S</v>
      </c>
      <c r="B114">
        <f t="shared" ca="1" si="35"/>
        <v>3</v>
      </c>
      <c r="C114" t="str">
        <f t="shared" ca="1" si="36"/>
        <v>S</v>
      </c>
      <c r="D114">
        <f t="shared" ca="1" si="37"/>
        <v>0</v>
      </c>
      <c r="E114">
        <f ca="1">IF($C114=1,OFFSET(E114,-1,0)+MAX(1,COUNTIF(QCI!$A$13:$A$24,OFFSET(ORÇAMENTO!E114,-1,0))),OFFSET(E114,-1,0))</f>
        <v>1</v>
      </c>
      <c r="F114">
        <f t="shared" ca="1" si="38"/>
        <v>4</v>
      </c>
      <c r="G114">
        <f t="shared" ca="1" si="39"/>
        <v>4</v>
      </c>
      <c r="H114">
        <f t="shared" ca="1" si="40"/>
        <v>0</v>
      </c>
      <c r="I114">
        <f t="shared" ca="1" si="41"/>
        <v>0</v>
      </c>
      <c r="J114">
        <f t="shared" ca="1" si="56"/>
        <v>0</v>
      </c>
      <c r="K114">
        <f ca="1">IF(OR($C114="S",$C114=0),0,MATCH(OFFSET($D114,0,$C114)+IF($C114&lt;&gt;1,1,COUNTIF(QCI!$A$13:$A$24,ORÇAMENTO!E114)),OFFSET($D114,1,$C114,ROW($C$710)-ROW($C114)),0))</f>
        <v>0</v>
      </c>
      <c r="L114" s="143" t="str">
        <f t="shared" ca="1" si="42"/>
        <v/>
      </c>
      <c r="M114" s="144" t="s">
        <v>201</v>
      </c>
      <c r="N114" s="145" t="str">
        <f t="shared" ca="1" si="43"/>
        <v>Serviço</v>
      </c>
      <c r="O114" s="146" t="str">
        <f t="shared" ca="1" si="44"/>
        <v>-</v>
      </c>
      <c r="P114" s="147" t="s">
        <v>249</v>
      </c>
      <c r="Q114" s="148">
        <v>92760</v>
      </c>
      <c r="R114" s="149" t="str">
        <f t="shared" ca="1" si="60"/>
        <v>(abra o arquivo 'Referência 05-2024.xls)</v>
      </c>
      <c r="S114" s="150" t="str">
        <f t="shared" ca="1" si="61"/>
        <v>-</v>
      </c>
      <c r="T114" s="151">
        <f ca="1">OFFSET(CÁLCULO!H$15,ROW($T114)-ROW(T$15),0)</f>
        <v>252.6</v>
      </c>
      <c r="U114" s="152">
        <f t="shared" ca="1" si="57"/>
        <v>0</v>
      </c>
      <c r="V114" s="153" t="s">
        <v>158</v>
      </c>
      <c r="W114" s="151">
        <f t="shared" ca="1" si="45"/>
        <v>0</v>
      </c>
      <c r="X114" s="154">
        <f t="shared" ca="1" si="46"/>
        <v>0</v>
      </c>
      <c r="Y114" s="155" t="s">
        <v>583</v>
      </c>
      <c r="Z114" t="str">
        <f t="shared" ca="1" si="47"/>
        <v/>
      </c>
      <c r="AA114" s="156">
        <f ca="1">IF($C114="S",IF($Z114="CP",$X114,IF($Z114="RA",(($X114)*QCI!$AA$3),0)),SomaAgrup)</f>
        <v>0</v>
      </c>
      <c r="AB114" s="157">
        <f t="shared" ca="1" si="48"/>
        <v>0</v>
      </c>
      <c r="AC114" s="158" t="str">
        <f t="shared" ca="1" si="49"/>
        <v/>
      </c>
      <c r="AD114" s="104" t="str">
        <f ca="1">IF(C114&lt;=CRONO.NivelExibicao,MAX($AD$15:OFFSET(AD114,-1,0))+IF($C114&lt;&gt;1,1,MAX(1,COUNTIF(QCI!$A$13:$A$24,OFFSET($E114,-1,0)))),"")</f>
        <v/>
      </c>
      <c r="AE114" s="114" t="str">
        <f t="shared" ca="1" si="50"/>
        <v>SINAPI 92760</v>
      </c>
      <c r="AF114" s="159" t="str">
        <f t="shared" ca="1" si="51"/>
        <v>(abra o arquivo 'Referência 05-2024.xls)</v>
      </c>
      <c r="AG114" s="579">
        <f t="shared" ca="1" si="52"/>
        <v>0</v>
      </c>
      <c r="AH114" s="580">
        <f t="shared" ca="1" si="53"/>
        <v>0.22470000000000001</v>
      </c>
      <c r="AJ114" s="582">
        <v>252.6</v>
      </c>
      <c r="AL114" s="612"/>
      <c r="AM114" s="430">
        <f t="shared" ca="1" si="54"/>
        <v>0</v>
      </c>
      <c r="AN114" s="655">
        <f t="shared" ca="1" si="55"/>
        <v>0</v>
      </c>
    </row>
    <row r="115" spans="1:40" ht="13.8" x14ac:dyDescent="0.3">
      <c r="A115" t="str">
        <f t="shared" si="34"/>
        <v>S</v>
      </c>
      <c r="B115">
        <f t="shared" ca="1" si="35"/>
        <v>3</v>
      </c>
      <c r="C115" t="str">
        <f t="shared" ca="1" si="36"/>
        <v>S</v>
      </c>
      <c r="D115">
        <f t="shared" ca="1" si="37"/>
        <v>0</v>
      </c>
      <c r="E115">
        <f ca="1">IF($C115=1,OFFSET(E115,-1,0)+MAX(1,COUNTIF(QCI!$A$13:$A$24,OFFSET(ORÇAMENTO!E115,-1,0))),OFFSET(E115,-1,0))</f>
        <v>1</v>
      </c>
      <c r="F115">
        <f t="shared" ca="1" si="38"/>
        <v>4</v>
      </c>
      <c r="G115">
        <f t="shared" ca="1" si="39"/>
        <v>4</v>
      </c>
      <c r="H115">
        <f t="shared" ca="1" si="40"/>
        <v>0</v>
      </c>
      <c r="I115">
        <f t="shared" ca="1" si="41"/>
        <v>0</v>
      </c>
      <c r="J115">
        <f t="shared" ca="1" si="56"/>
        <v>0</v>
      </c>
      <c r="K115">
        <f ca="1">IF(OR($C115="S",$C115=0),0,MATCH(OFFSET($D115,0,$C115)+IF($C115&lt;&gt;1,1,COUNTIF(QCI!$A$13:$A$24,ORÇAMENTO!E115)),OFFSET($D115,1,$C115,ROW($C$710)-ROW($C115)),0))</f>
        <v>0</v>
      </c>
      <c r="L115" s="143" t="str">
        <f t="shared" ca="1" si="42"/>
        <v/>
      </c>
      <c r="M115" s="144" t="s">
        <v>201</v>
      </c>
      <c r="N115" s="145" t="str">
        <f t="shared" ca="1" si="43"/>
        <v>Serviço</v>
      </c>
      <c r="O115" s="146" t="str">
        <f t="shared" ca="1" si="44"/>
        <v>-</v>
      </c>
      <c r="P115" s="147" t="s">
        <v>249</v>
      </c>
      <c r="Q115" s="148">
        <v>92761</v>
      </c>
      <c r="R115" s="149" t="str">
        <f t="shared" ca="1" si="60"/>
        <v>(abra o arquivo 'Referência 05-2024.xls)</v>
      </c>
      <c r="S115" s="150" t="str">
        <f t="shared" ca="1" si="61"/>
        <v>-</v>
      </c>
      <c r="T115" s="151">
        <f ca="1">OFFSET(CÁLCULO!H$15,ROW($T115)-ROW(T$15),0)</f>
        <v>1146.06</v>
      </c>
      <c r="U115" s="152">
        <f t="shared" ca="1" si="57"/>
        <v>0</v>
      </c>
      <c r="V115" s="153" t="s">
        <v>158</v>
      </c>
      <c r="W115" s="151">
        <f t="shared" ca="1" si="45"/>
        <v>0</v>
      </c>
      <c r="X115" s="154">
        <f t="shared" ca="1" si="46"/>
        <v>0</v>
      </c>
      <c r="Y115" s="155" t="s">
        <v>583</v>
      </c>
      <c r="Z115" t="str">
        <f t="shared" ca="1" si="47"/>
        <v/>
      </c>
      <c r="AA115" s="156">
        <f ca="1">IF($C115="S",IF($Z115="CP",$X115,IF($Z115="RA",(($X115)*QCI!$AA$3),0)),SomaAgrup)</f>
        <v>0</v>
      </c>
      <c r="AB115" s="157">
        <f t="shared" ca="1" si="48"/>
        <v>0</v>
      </c>
      <c r="AC115" s="158" t="str">
        <f t="shared" ca="1" si="49"/>
        <v/>
      </c>
      <c r="AD115" s="104" t="str">
        <f ca="1">IF(C115&lt;=CRONO.NivelExibicao,MAX($AD$15:OFFSET(AD115,-1,0))+IF($C115&lt;&gt;1,1,MAX(1,COUNTIF(QCI!$A$13:$A$24,OFFSET($E115,-1,0)))),"")</f>
        <v/>
      </c>
      <c r="AE115" s="114" t="str">
        <f t="shared" ca="1" si="50"/>
        <v>SINAPI 92761</v>
      </c>
      <c r="AF115" s="159" t="str">
        <f t="shared" ca="1" si="51"/>
        <v>(abra o arquivo 'Referência 05-2024.xls)</v>
      </c>
      <c r="AG115" s="579">
        <f t="shared" ca="1" si="52"/>
        <v>0</v>
      </c>
      <c r="AH115" s="580">
        <f t="shared" ca="1" si="53"/>
        <v>0.22470000000000001</v>
      </c>
      <c r="AJ115" s="582">
        <v>1146.06</v>
      </c>
      <c r="AL115" s="612"/>
      <c r="AM115" s="430">
        <f t="shared" ca="1" si="54"/>
        <v>0</v>
      </c>
      <c r="AN115" s="655">
        <f t="shared" ca="1" si="55"/>
        <v>0</v>
      </c>
    </row>
    <row r="116" spans="1:40" ht="13.8" x14ac:dyDescent="0.3">
      <c r="A116" t="str">
        <f t="shared" si="34"/>
        <v>S</v>
      </c>
      <c r="B116">
        <f t="shared" ca="1" si="35"/>
        <v>3</v>
      </c>
      <c r="C116" t="str">
        <f t="shared" ca="1" si="36"/>
        <v>S</v>
      </c>
      <c r="D116">
        <f t="shared" ca="1" si="37"/>
        <v>0</v>
      </c>
      <c r="E116">
        <f ca="1">IF($C116=1,OFFSET(E116,-1,0)+MAX(1,COUNTIF(QCI!$A$13:$A$24,OFFSET(ORÇAMENTO!E116,-1,0))),OFFSET(E116,-1,0))</f>
        <v>1</v>
      </c>
      <c r="F116">
        <f t="shared" ca="1" si="38"/>
        <v>4</v>
      </c>
      <c r="G116">
        <f t="shared" ca="1" si="39"/>
        <v>4</v>
      </c>
      <c r="H116">
        <f t="shared" ca="1" si="40"/>
        <v>0</v>
      </c>
      <c r="I116">
        <f t="shared" ca="1" si="41"/>
        <v>0</v>
      </c>
      <c r="J116">
        <f t="shared" ca="1" si="56"/>
        <v>0</v>
      </c>
      <c r="K116">
        <f ca="1">IF(OR($C116="S",$C116=0),0,MATCH(OFFSET($D116,0,$C116)+IF($C116&lt;&gt;1,1,COUNTIF(QCI!$A$13:$A$24,ORÇAMENTO!E116)),OFFSET($D116,1,$C116,ROW($C$710)-ROW($C116)),0))</f>
        <v>0</v>
      </c>
      <c r="L116" s="143" t="str">
        <f t="shared" ca="1" si="42"/>
        <v/>
      </c>
      <c r="M116" s="144" t="s">
        <v>201</v>
      </c>
      <c r="N116" s="145" t="str">
        <f t="shared" ca="1" si="43"/>
        <v>Serviço</v>
      </c>
      <c r="O116" s="146" t="str">
        <f t="shared" ca="1" si="44"/>
        <v>-</v>
      </c>
      <c r="P116" s="147" t="s">
        <v>249</v>
      </c>
      <c r="Q116" s="148">
        <v>92762</v>
      </c>
      <c r="R116" s="149" t="str">
        <f t="shared" ca="1" si="60"/>
        <v>(abra o arquivo 'Referência 05-2024.xls)</v>
      </c>
      <c r="S116" s="150" t="str">
        <f t="shared" ca="1" si="61"/>
        <v>-</v>
      </c>
      <c r="T116" s="151">
        <f ca="1">OFFSET(CÁLCULO!H$15,ROW($T116)-ROW(T$15),0)</f>
        <v>1635.22</v>
      </c>
      <c r="U116" s="152">
        <f t="shared" ca="1" si="57"/>
        <v>0</v>
      </c>
      <c r="V116" s="153" t="s">
        <v>158</v>
      </c>
      <c r="W116" s="151">
        <f t="shared" ca="1" si="45"/>
        <v>0</v>
      </c>
      <c r="X116" s="154">
        <f t="shared" ca="1" si="46"/>
        <v>0</v>
      </c>
      <c r="Y116" s="155" t="s">
        <v>583</v>
      </c>
      <c r="Z116" t="str">
        <f t="shared" ca="1" si="47"/>
        <v/>
      </c>
      <c r="AA116" s="156">
        <f ca="1">IF($C116="S",IF($Z116="CP",$X116,IF($Z116="RA",(($X116)*QCI!$AA$3),0)),SomaAgrup)</f>
        <v>0</v>
      </c>
      <c r="AB116" s="157">
        <f t="shared" ca="1" si="48"/>
        <v>0</v>
      </c>
      <c r="AC116" s="158" t="str">
        <f t="shared" ca="1" si="49"/>
        <v/>
      </c>
      <c r="AD116" s="104" t="str">
        <f ca="1">IF(C116&lt;=CRONO.NivelExibicao,MAX($AD$15:OFFSET(AD116,-1,0))+IF($C116&lt;&gt;1,1,MAX(1,COUNTIF(QCI!$A$13:$A$24,OFFSET($E116,-1,0)))),"")</f>
        <v/>
      </c>
      <c r="AE116" s="114" t="str">
        <f t="shared" ca="1" si="50"/>
        <v>SINAPI 92762</v>
      </c>
      <c r="AF116" s="159" t="str">
        <f t="shared" ca="1" si="51"/>
        <v>(abra o arquivo 'Referência 05-2024.xls)</v>
      </c>
      <c r="AG116" s="579">
        <f t="shared" ca="1" si="52"/>
        <v>0</v>
      </c>
      <c r="AH116" s="580">
        <f t="shared" ca="1" si="53"/>
        <v>0.22470000000000001</v>
      </c>
      <c r="AJ116" s="582">
        <v>1635.22</v>
      </c>
      <c r="AL116" s="612"/>
      <c r="AM116" s="430">
        <f t="shared" ca="1" si="54"/>
        <v>0</v>
      </c>
      <c r="AN116" s="655">
        <f t="shared" ca="1" si="55"/>
        <v>0</v>
      </c>
    </row>
    <row r="117" spans="1:40" ht="13.8" x14ac:dyDescent="0.3">
      <c r="A117" t="str">
        <f t="shared" si="34"/>
        <v>S</v>
      </c>
      <c r="B117">
        <f t="shared" ca="1" si="35"/>
        <v>3</v>
      </c>
      <c r="C117" t="str">
        <f t="shared" ca="1" si="36"/>
        <v>S</v>
      </c>
      <c r="D117">
        <f t="shared" ca="1" si="37"/>
        <v>0</v>
      </c>
      <c r="E117">
        <f ca="1">IF($C117=1,OFFSET(E117,-1,0)+MAX(1,COUNTIF(QCI!$A$13:$A$24,OFFSET(ORÇAMENTO!E117,-1,0))),OFFSET(E117,-1,0))</f>
        <v>1</v>
      </c>
      <c r="F117">
        <f t="shared" ca="1" si="38"/>
        <v>4</v>
      </c>
      <c r="G117">
        <f t="shared" ca="1" si="39"/>
        <v>4</v>
      </c>
      <c r="H117">
        <f t="shared" ca="1" si="40"/>
        <v>0</v>
      </c>
      <c r="I117">
        <f t="shared" ca="1" si="41"/>
        <v>0</v>
      </c>
      <c r="J117">
        <f t="shared" ca="1" si="56"/>
        <v>0</v>
      </c>
      <c r="K117">
        <f ca="1">IF(OR($C117="S",$C117=0),0,MATCH(OFFSET($D117,0,$C117)+IF($C117&lt;&gt;1,1,COUNTIF(QCI!$A$13:$A$24,ORÇAMENTO!E117)),OFFSET($D117,1,$C117,ROW($C$710)-ROW($C117)),0))</f>
        <v>0</v>
      </c>
      <c r="L117" s="143" t="str">
        <f t="shared" ca="1" si="42"/>
        <v/>
      </c>
      <c r="M117" s="144" t="s">
        <v>201</v>
      </c>
      <c r="N117" s="145" t="str">
        <f t="shared" ca="1" si="43"/>
        <v>Serviço</v>
      </c>
      <c r="O117" s="146" t="str">
        <f t="shared" ca="1" si="44"/>
        <v>-</v>
      </c>
      <c r="P117" s="147" t="s">
        <v>249</v>
      </c>
      <c r="Q117" s="148">
        <v>92763</v>
      </c>
      <c r="R117" s="149" t="str">
        <f t="shared" ca="1" si="60"/>
        <v>(abra o arquivo 'Referência 05-2024.xls)</v>
      </c>
      <c r="S117" s="150" t="str">
        <f t="shared" ca="1" si="61"/>
        <v>-</v>
      </c>
      <c r="T117" s="151">
        <f ca="1">OFFSET(CÁLCULO!H$15,ROW($T117)-ROW(T$15),0)</f>
        <v>1699.59</v>
      </c>
      <c r="U117" s="152">
        <f t="shared" ca="1" si="57"/>
        <v>0</v>
      </c>
      <c r="V117" s="153" t="s">
        <v>158</v>
      </c>
      <c r="W117" s="151">
        <f t="shared" ca="1" si="45"/>
        <v>0</v>
      </c>
      <c r="X117" s="154">
        <f t="shared" ca="1" si="46"/>
        <v>0</v>
      </c>
      <c r="Y117" s="155" t="s">
        <v>583</v>
      </c>
      <c r="Z117" t="str">
        <f t="shared" ca="1" si="47"/>
        <v/>
      </c>
      <c r="AA117" s="156">
        <f ca="1">IF($C117="S",IF($Z117="CP",$X117,IF($Z117="RA",(($X117)*QCI!$AA$3),0)),SomaAgrup)</f>
        <v>0</v>
      </c>
      <c r="AB117" s="157">
        <f t="shared" ca="1" si="48"/>
        <v>0</v>
      </c>
      <c r="AC117" s="158" t="str">
        <f t="shared" ca="1" si="49"/>
        <v/>
      </c>
      <c r="AD117" s="104" t="str">
        <f ca="1">IF(C117&lt;=CRONO.NivelExibicao,MAX($AD$15:OFFSET(AD117,-1,0))+IF($C117&lt;&gt;1,1,MAX(1,COUNTIF(QCI!$A$13:$A$24,OFFSET($E117,-1,0)))),"")</f>
        <v/>
      </c>
      <c r="AE117" s="114" t="str">
        <f t="shared" ca="1" si="50"/>
        <v>SINAPI 92763</v>
      </c>
      <c r="AF117" s="159" t="str">
        <f t="shared" ca="1" si="51"/>
        <v>(abra o arquivo 'Referência 05-2024.xls)</v>
      </c>
      <c r="AG117" s="579">
        <f t="shared" ca="1" si="52"/>
        <v>0</v>
      </c>
      <c r="AH117" s="580">
        <f t="shared" ca="1" si="53"/>
        <v>0.22470000000000001</v>
      </c>
      <c r="AJ117" s="582">
        <v>1699.59</v>
      </c>
      <c r="AL117" s="612"/>
      <c r="AM117" s="430">
        <f t="shared" ca="1" si="54"/>
        <v>0</v>
      </c>
      <c r="AN117" s="655">
        <f t="shared" ca="1" si="55"/>
        <v>0</v>
      </c>
    </row>
    <row r="118" spans="1:40" ht="13.8" x14ac:dyDescent="0.3">
      <c r="A118" t="str">
        <f t="shared" si="34"/>
        <v>S</v>
      </c>
      <c r="B118">
        <f t="shared" ca="1" si="35"/>
        <v>3</v>
      </c>
      <c r="C118" t="str">
        <f t="shared" ca="1" si="36"/>
        <v>S</v>
      </c>
      <c r="D118">
        <f t="shared" ca="1" si="37"/>
        <v>0</v>
      </c>
      <c r="E118">
        <f ca="1">IF($C118=1,OFFSET(E118,-1,0)+MAX(1,COUNTIF(QCI!$A$13:$A$24,OFFSET(ORÇAMENTO!E118,-1,0))),OFFSET(E118,-1,0))</f>
        <v>1</v>
      </c>
      <c r="F118">
        <f t="shared" ca="1" si="38"/>
        <v>4</v>
      </c>
      <c r="G118">
        <f t="shared" ca="1" si="39"/>
        <v>4</v>
      </c>
      <c r="H118">
        <f t="shared" ca="1" si="40"/>
        <v>0</v>
      </c>
      <c r="I118">
        <f t="shared" ca="1" si="41"/>
        <v>0</v>
      </c>
      <c r="J118">
        <f t="shared" ca="1" si="56"/>
        <v>0</v>
      </c>
      <c r="K118">
        <f ca="1">IF(OR($C118="S",$C118=0),0,MATCH(OFFSET($D118,0,$C118)+IF($C118&lt;&gt;1,1,COUNTIF(QCI!$A$13:$A$24,ORÇAMENTO!E118)),OFFSET($D118,1,$C118,ROW($C$710)-ROW($C118)),0))</f>
        <v>0</v>
      </c>
      <c r="L118" s="143" t="str">
        <f t="shared" ca="1" si="42"/>
        <v/>
      </c>
      <c r="M118" s="144" t="s">
        <v>201</v>
      </c>
      <c r="N118" s="145" t="str">
        <f t="shared" ca="1" si="43"/>
        <v>Serviço</v>
      </c>
      <c r="O118" s="146" t="str">
        <f t="shared" ca="1" si="44"/>
        <v>-</v>
      </c>
      <c r="P118" s="147" t="s">
        <v>249</v>
      </c>
      <c r="Q118" s="148">
        <v>92764</v>
      </c>
      <c r="R118" s="149" t="str">
        <f t="shared" ca="1" si="60"/>
        <v>(abra o arquivo 'Referência 05-2024.xls)</v>
      </c>
      <c r="S118" s="150" t="str">
        <f t="shared" ca="1" si="61"/>
        <v>-</v>
      </c>
      <c r="T118" s="151">
        <f ca="1">OFFSET(CÁLCULO!H$15,ROW($T118)-ROW(T$15),0)</f>
        <v>916.38</v>
      </c>
      <c r="U118" s="152">
        <f t="shared" ca="1" si="57"/>
        <v>0</v>
      </c>
      <c r="V118" s="153" t="s">
        <v>158</v>
      </c>
      <c r="W118" s="151">
        <f t="shared" ca="1" si="45"/>
        <v>0</v>
      </c>
      <c r="X118" s="154">
        <f t="shared" ca="1" si="46"/>
        <v>0</v>
      </c>
      <c r="Y118" s="155" t="s">
        <v>583</v>
      </c>
      <c r="Z118" t="str">
        <f t="shared" ca="1" si="47"/>
        <v/>
      </c>
      <c r="AA118" s="156">
        <f ca="1">IF($C118="S",IF($Z118="CP",$X118,IF($Z118="RA",(($X118)*QCI!$AA$3),0)),SomaAgrup)</f>
        <v>0</v>
      </c>
      <c r="AB118" s="157">
        <f t="shared" ca="1" si="48"/>
        <v>0</v>
      </c>
      <c r="AC118" s="158" t="str">
        <f t="shared" ca="1" si="49"/>
        <v/>
      </c>
      <c r="AD118" s="104" t="str">
        <f ca="1">IF(C118&lt;=CRONO.NivelExibicao,MAX($AD$15:OFFSET(AD118,-1,0))+IF($C118&lt;&gt;1,1,MAX(1,COUNTIF(QCI!$A$13:$A$24,OFFSET($E118,-1,0)))),"")</f>
        <v/>
      </c>
      <c r="AE118" s="114" t="str">
        <f t="shared" ca="1" si="50"/>
        <v>SINAPI 92764</v>
      </c>
      <c r="AF118" s="159" t="str">
        <f t="shared" ca="1" si="51"/>
        <v>(abra o arquivo 'Referência 05-2024.xls)</v>
      </c>
      <c r="AG118" s="579">
        <f t="shared" ca="1" si="52"/>
        <v>0</v>
      </c>
      <c r="AH118" s="580">
        <f t="shared" ca="1" si="53"/>
        <v>0.22470000000000001</v>
      </c>
      <c r="AJ118" s="582">
        <v>916.38</v>
      </c>
      <c r="AL118" s="612"/>
      <c r="AM118" s="430">
        <f t="shared" ca="1" si="54"/>
        <v>0</v>
      </c>
      <c r="AN118" s="655">
        <f t="shared" ca="1" si="55"/>
        <v>0</v>
      </c>
    </row>
    <row r="119" spans="1:40" ht="13.8" x14ac:dyDescent="0.3">
      <c r="A119" t="str">
        <f t="shared" si="34"/>
        <v>S</v>
      </c>
      <c r="B119">
        <f t="shared" ca="1" si="35"/>
        <v>3</v>
      </c>
      <c r="C119" t="str">
        <f t="shared" ca="1" si="36"/>
        <v>S</v>
      </c>
      <c r="D119">
        <f t="shared" ca="1" si="37"/>
        <v>0</v>
      </c>
      <c r="E119">
        <f ca="1">IF($C119=1,OFFSET(E119,-1,0)+MAX(1,COUNTIF(QCI!$A$13:$A$24,OFFSET(ORÇAMENTO!E119,-1,0))),OFFSET(E119,-1,0))</f>
        <v>1</v>
      </c>
      <c r="F119">
        <f t="shared" ca="1" si="38"/>
        <v>4</v>
      </c>
      <c r="G119">
        <f t="shared" ca="1" si="39"/>
        <v>4</v>
      </c>
      <c r="H119">
        <f t="shared" ca="1" si="40"/>
        <v>0</v>
      </c>
      <c r="I119">
        <f t="shared" ca="1" si="41"/>
        <v>0</v>
      </c>
      <c r="J119">
        <f t="shared" ca="1" si="56"/>
        <v>0</v>
      </c>
      <c r="K119">
        <f ca="1">IF(OR($C119="S",$C119=0),0,MATCH(OFFSET($D119,0,$C119)+IF($C119&lt;&gt;1,1,COUNTIF(QCI!$A$13:$A$24,ORÇAMENTO!E119)),OFFSET($D119,1,$C119,ROW($C$710)-ROW($C119)),0))</f>
        <v>0</v>
      </c>
      <c r="L119" s="143" t="str">
        <f t="shared" ca="1" si="42"/>
        <v/>
      </c>
      <c r="M119" s="144" t="s">
        <v>201</v>
      </c>
      <c r="N119" s="145" t="str">
        <f t="shared" ca="1" si="43"/>
        <v>Serviço</v>
      </c>
      <c r="O119" s="146" t="str">
        <f t="shared" ca="1" si="44"/>
        <v>-</v>
      </c>
      <c r="P119" s="147" t="s">
        <v>249</v>
      </c>
      <c r="Q119" s="148">
        <v>92765</v>
      </c>
      <c r="R119" s="149" t="str">
        <f t="shared" ca="1" si="60"/>
        <v>(abra o arquivo 'Referência 05-2024.xls)</v>
      </c>
      <c r="S119" s="150" t="str">
        <f t="shared" ca="1" si="61"/>
        <v>-</v>
      </c>
      <c r="T119" s="151">
        <f ca="1">OFFSET(CÁLCULO!H$15,ROW($T119)-ROW(T$15),0)</f>
        <v>193.83</v>
      </c>
      <c r="U119" s="152">
        <f t="shared" ca="1" si="57"/>
        <v>0</v>
      </c>
      <c r="V119" s="153" t="s">
        <v>158</v>
      </c>
      <c r="W119" s="151">
        <f t="shared" ca="1" si="45"/>
        <v>0</v>
      </c>
      <c r="X119" s="154">
        <f t="shared" ca="1" si="46"/>
        <v>0</v>
      </c>
      <c r="Y119" s="155" t="s">
        <v>583</v>
      </c>
      <c r="Z119" t="str">
        <f t="shared" ca="1" si="47"/>
        <v/>
      </c>
      <c r="AA119" s="156">
        <f ca="1">IF($C119="S",IF($Z119="CP",$X119,IF($Z119="RA",(($X119)*QCI!$AA$3),0)),SomaAgrup)</f>
        <v>0</v>
      </c>
      <c r="AB119" s="157">
        <f t="shared" ca="1" si="48"/>
        <v>0</v>
      </c>
      <c r="AC119" s="158" t="str">
        <f t="shared" ca="1" si="49"/>
        <v/>
      </c>
      <c r="AD119" s="104" t="str">
        <f ca="1">IF(C119&lt;=CRONO.NivelExibicao,MAX($AD$15:OFFSET(AD119,-1,0))+IF($C119&lt;&gt;1,1,MAX(1,COUNTIF(QCI!$A$13:$A$24,OFFSET($E119,-1,0)))),"")</f>
        <v/>
      </c>
      <c r="AE119" s="114" t="str">
        <f t="shared" ca="1" si="50"/>
        <v>SINAPI 92765</v>
      </c>
      <c r="AF119" s="159" t="str">
        <f t="shared" ca="1" si="51"/>
        <v>(abra o arquivo 'Referência 05-2024.xls)</v>
      </c>
      <c r="AG119" s="579">
        <f t="shared" ca="1" si="52"/>
        <v>0</v>
      </c>
      <c r="AH119" s="580">
        <f t="shared" ca="1" si="53"/>
        <v>0.22470000000000001</v>
      </c>
      <c r="AJ119" s="582">
        <v>193.83</v>
      </c>
      <c r="AL119" s="612"/>
      <c r="AM119" s="430">
        <f t="shared" ca="1" si="54"/>
        <v>0</v>
      </c>
      <c r="AN119" s="655">
        <f t="shared" ca="1" si="55"/>
        <v>0</v>
      </c>
    </row>
    <row r="120" spans="1:40" ht="13.8" x14ac:dyDescent="0.3">
      <c r="A120" t="str">
        <f t="shared" si="34"/>
        <v>S</v>
      </c>
      <c r="B120">
        <f t="shared" ca="1" si="35"/>
        <v>3</v>
      </c>
      <c r="C120" t="str">
        <f t="shared" ca="1" si="36"/>
        <v>S</v>
      </c>
      <c r="D120">
        <f t="shared" ca="1" si="37"/>
        <v>0</v>
      </c>
      <c r="E120">
        <f ca="1">IF($C120=1,OFFSET(E120,-1,0)+MAX(1,COUNTIF(QCI!$A$13:$A$24,OFFSET(ORÇAMENTO!E120,-1,0))),OFFSET(E120,-1,0))</f>
        <v>1</v>
      </c>
      <c r="F120">
        <f t="shared" ca="1" si="38"/>
        <v>4</v>
      </c>
      <c r="G120">
        <f t="shared" ca="1" si="39"/>
        <v>4</v>
      </c>
      <c r="H120">
        <f t="shared" ca="1" si="40"/>
        <v>0</v>
      </c>
      <c r="I120">
        <f t="shared" ca="1" si="41"/>
        <v>0</v>
      </c>
      <c r="J120">
        <f t="shared" ca="1" si="56"/>
        <v>0</v>
      </c>
      <c r="K120">
        <f ca="1">IF(OR($C120="S",$C120=0),0,MATCH(OFFSET($D120,0,$C120)+IF($C120&lt;&gt;1,1,COUNTIF(QCI!$A$13:$A$24,ORÇAMENTO!E120)),OFFSET($D120,1,$C120,ROW($C$710)-ROW($C120)),0))</f>
        <v>0</v>
      </c>
      <c r="L120" s="143" t="str">
        <f t="shared" ca="1" si="42"/>
        <v/>
      </c>
      <c r="M120" s="144" t="s">
        <v>201</v>
      </c>
      <c r="N120" s="145" t="str">
        <f t="shared" ca="1" si="43"/>
        <v>Serviço</v>
      </c>
      <c r="O120" s="146" t="str">
        <f t="shared" ca="1" si="44"/>
        <v>-</v>
      </c>
      <c r="P120" s="147" t="s">
        <v>249</v>
      </c>
      <c r="Q120" s="148">
        <v>92759</v>
      </c>
      <c r="R120" s="149" t="str">
        <f t="shared" ca="1" si="60"/>
        <v>(abra o arquivo 'Referência 05-2024.xls)</v>
      </c>
      <c r="S120" s="150" t="str">
        <f t="shared" ca="1" si="61"/>
        <v>-</v>
      </c>
      <c r="T120" s="151">
        <f ca="1">OFFSET(CÁLCULO!H$15,ROW($T120)-ROW(T$15),0)</f>
        <v>1649.7</v>
      </c>
      <c r="U120" s="152">
        <f t="shared" ca="1" si="57"/>
        <v>0</v>
      </c>
      <c r="V120" s="153" t="s">
        <v>158</v>
      </c>
      <c r="W120" s="151">
        <f t="shared" ca="1" si="45"/>
        <v>0</v>
      </c>
      <c r="X120" s="154">
        <f t="shared" ca="1" si="46"/>
        <v>0</v>
      </c>
      <c r="Y120" s="155" t="s">
        <v>583</v>
      </c>
      <c r="Z120" t="str">
        <f t="shared" ca="1" si="47"/>
        <v/>
      </c>
      <c r="AA120" s="156">
        <f ca="1">IF($C120="S",IF($Z120="CP",$X120,IF($Z120="RA",(($X120)*QCI!$AA$3),0)),SomaAgrup)</f>
        <v>0</v>
      </c>
      <c r="AB120" s="157">
        <f t="shared" ca="1" si="48"/>
        <v>0</v>
      </c>
      <c r="AC120" s="158" t="str">
        <f t="shared" ca="1" si="49"/>
        <v/>
      </c>
      <c r="AD120" s="104" t="str">
        <f ca="1">IF(C120&lt;=CRONO.NivelExibicao,MAX($AD$15:OFFSET(AD120,-1,0))+IF($C120&lt;&gt;1,1,MAX(1,COUNTIF(QCI!$A$13:$A$24,OFFSET($E120,-1,0)))),"")</f>
        <v/>
      </c>
      <c r="AE120" s="114" t="str">
        <f t="shared" ca="1" si="50"/>
        <v>SINAPI 92759</v>
      </c>
      <c r="AF120" s="159" t="str">
        <f t="shared" ca="1" si="51"/>
        <v>(abra o arquivo 'Referência 05-2024.xls)</v>
      </c>
      <c r="AG120" s="579">
        <f t="shared" ca="1" si="52"/>
        <v>0</v>
      </c>
      <c r="AH120" s="580">
        <f t="shared" ca="1" si="53"/>
        <v>0.22470000000000001</v>
      </c>
      <c r="AJ120" s="582">
        <v>1649.7</v>
      </c>
      <c r="AL120" s="612"/>
      <c r="AM120" s="430">
        <f t="shared" ca="1" si="54"/>
        <v>0</v>
      </c>
      <c r="AN120" s="655">
        <f t="shared" ca="1" si="55"/>
        <v>0</v>
      </c>
    </row>
    <row r="121" spans="1:40" ht="13.8" x14ac:dyDescent="0.3">
      <c r="A121" t="str">
        <f t="shared" si="34"/>
        <v>S</v>
      </c>
      <c r="B121">
        <f t="shared" ca="1" si="35"/>
        <v>3</v>
      </c>
      <c r="C121" t="str">
        <f t="shared" ca="1" si="36"/>
        <v>S</v>
      </c>
      <c r="D121">
        <f t="shared" ca="1" si="37"/>
        <v>0</v>
      </c>
      <c r="E121">
        <f ca="1">IF($C121=1,OFFSET(E121,-1,0)+MAX(1,COUNTIF(QCI!$A$13:$A$24,OFFSET(ORÇAMENTO!E121,-1,0))),OFFSET(E121,-1,0))</f>
        <v>1</v>
      </c>
      <c r="F121">
        <f t="shared" ca="1" si="38"/>
        <v>4</v>
      </c>
      <c r="G121">
        <f t="shared" ca="1" si="39"/>
        <v>4</v>
      </c>
      <c r="H121">
        <f t="shared" ca="1" si="40"/>
        <v>0</v>
      </c>
      <c r="I121">
        <f t="shared" ca="1" si="41"/>
        <v>0</v>
      </c>
      <c r="J121">
        <f t="shared" ca="1" si="56"/>
        <v>0</v>
      </c>
      <c r="K121">
        <f ca="1">IF(OR($C121="S",$C121=0),0,MATCH(OFFSET($D121,0,$C121)+IF($C121&lt;&gt;1,1,COUNTIF(QCI!$A$13:$A$24,ORÇAMENTO!E121)),OFFSET($D121,1,$C121,ROW($C$710)-ROW($C121)),0))</f>
        <v>0</v>
      </c>
      <c r="L121" s="143" t="str">
        <f t="shared" ca="1" si="42"/>
        <v/>
      </c>
      <c r="M121" s="144" t="s">
        <v>201</v>
      </c>
      <c r="N121" s="145" t="str">
        <f t="shared" ca="1" si="43"/>
        <v>Serviço</v>
      </c>
      <c r="O121" s="146" t="str">
        <f t="shared" ca="1" si="44"/>
        <v>-</v>
      </c>
      <c r="P121" s="147" t="s">
        <v>441</v>
      </c>
      <c r="Q121" s="148" t="s">
        <v>448</v>
      </c>
      <c r="R121" s="149" t="str">
        <f t="shared" ca="1" si="60"/>
        <v>(abra o arquivo 'Referência 05-2024.xls)</v>
      </c>
      <c r="S121" s="150" t="str">
        <f t="shared" ca="1" si="61"/>
        <v>-</v>
      </c>
      <c r="T121" s="151">
        <f ca="1">OFFSET(CÁLCULO!H$15,ROW($T121)-ROW(T$15),0)</f>
        <v>88.34</v>
      </c>
      <c r="U121" s="152">
        <f t="shared" ca="1" si="57"/>
        <v>0</v>
      </c>
      <c r="V121" s="153" t="s">
        <v>158</v>
      </c>
      <c r="W121" s="151">
        <f t="shared" ca="1" si="45"/>
        <v>0</v>
      </c>
      <c r="X121" s="154">
        <f t="shared" ca="1" si="46"/>
        <v>0</v>
      </c>
      <c r="Y121" s="155" t="s">
        <v>583</v>
      </c>
      <c r="Z121" t="str">
        <f t="shared" ca="1" si="47"/>
        <v/>
      </c>
      <c r="AA121" s="156">
        <f ca="1">IF($C121="S",IF($Z121="CP",$X121,IF($Z121="RA",(($X121)*QCI!$AA$3),0)),SomaAgrup)</f>
        <v>0</v>
      </c>
      <c r="AB121" s="157">
        <f t="shared" ca="1" si="48"/>
        <v>0</v>
      </c>
      <c r="AC121" s="158" t="str">
        <f t="shared" ca="1" si="49"/>
        <v/>
      </c>
      <c r="AD121" s="104" t="str">
        <f ca="1">IF(C121&lt;=CRONO.NivelExibicao,MAX($AD$15:OFFSET(AD121,-1,0))+IF($C121&lt;&gt;1,1,MAX(1,COUNTIF(QCI!$A$13:$A$24,OFFSET($E121,-1,0)))),"")</f>
        <v/>
      </c>
      <c r="AE121" s="114" t="str">
        <f t="shared" ca="1" si="50"/>
        <v>Composição CP-09</v>
      </c>
      <c r="AF121" s="159" t="str">
        <f t="shared" ca="1" si="51"/>
        <v>(abra o arquivo 'Referência 05-2024.xls)</v>
      </c>
      <c r="AG121" s="579">
        <f t="shared" ca="1" si="52"/>
        <v>0</v>
      </c>
      <c r="AH121" s="580">
        <f t="shared" ca="1" si="53"/>
        <v>0.22470000000000001</v>
      </c>
      <c r="AJ121" s="582">
        <v>88.34</v>
      </c>
      <c r="AL121" s="612"/>
      <c r="AM121" s="430">
        <f t="shared" ca="1" si="54"/>
        <v>0</v>
      </c>
      <c r="AN121" s="655">
        <f t="shared" ca="1" si="55"/>
        <v>0</v>
      </c>
    </row>
    <row r="122" spans="1:40" ht="13.8" x14ac:dyDescent="0.3">
      <c r="A122">
        <f t="shared" si="34"/>
        <v>3</v>
      </c>
      <c r="B122">
        <f t="shared" ca="1" si="35"/>
        <v>3</v>
      </c>
      <c r="C122">
        <f t="shared" ca="1" si="36"/>
        <v>3</v>
      </c>
      <c r="D122">
        <f t="shared" ca="1" si="37"/>
        <v>7</v>
      </c>
      <c r="E122">
        <f ca="1">IF($C122=1,OFFSET(E122,-1,0)+MAX(1,COUNTIF(QCI!$A$13:$A$24,OFFSET(ORÇAMENTO!E122,-1,0))),OFFSET(E122,-1,0))</f>
        <v>1</v>
      </c>
      <c r="F122">
        <f t="shared" ca="1" si="38"/>
        <v>4</v>
      </c>
      <c r="G122">
        <f t="shared" ca="1" si="39"/>
        <v>5</v>
      </c>
      <c r="H122">
        <f t="shared" ca="1" si="40"/>
        <v>0</v>
      </c>
      <c r="I122">
        <f t="shared" ca="1" si="41"/>
        <v>0</v>
      </c>
      <c r="J122">
        <f t="shared" ca="1" si="56"/>
        <v>30</v>
      </c>
      <c r="K122">
        <f ca="1">IF(OR($C122="S",$C122=0),0,MATCH(OFFSET($D122,0,$C122)+IF($C122&lt;&gt;1,1,COUNTIF(QCI!$A$13:$A$24,ORÇAMENTO!E122)),OFFSET($D122,1,$C122,ROW($C$710)-ROW($C122)),0))</f>
        <v>7</v>
      </c>
      <c r="L122" s="143" t="str">
        <f t="shared" ca="1" si="42"/>
        <v>F</v>
      </c>
      <c r="M122" s="144" t="s">
        <v>199</v>
      </c>
      <c r="N122" s="145" t="str">
        <f t="shared" ca="1" si="43"/>
        <v>Nível 3</v>
      </c>
      <c r="O122" s="146" t="str">
        <f t="shared" ca="1" si="44"/>
        <v>1.4.5.</v>
      </c>
      <c r="P122" s="147" t="s">
        <v>249</v>
      </c>
      <c r="Q122" s="148"/>
      <c r="R122" s="149" t="s">
        <v>497</v>
      </c>
      <c r="S122" s="150" t="s">
        <v>168</v>
      </c>
      <c r="T122" s="151">
        <f ca="1">OFFSET(CÁLCULO!H$15,ROW($T122)-ROW(T$15),0)</f>
        <v>0</v>
      </c>
      <c r="U122" s="152">
        <f t="shared" ca="1" si="57"/>
        <v>0</v>
      </c>
      <c r="V122" s="153" t="s">
        <v>158</v>
      </c>
      <c r="W122" s="151">
        <f t="shared" ca="1" si="45"/>
        <v>0</v>
      </c>
      <c r="X122" s="154">
        <f t="shared" ca="1" si="46"/>
        <v>0</v>
      </c>
      <c r="Y122" s="155" t="s">
        <v>583</v>
      </c>
      <c r="Z122" t="str">
        <f t="shared" ca="1" si="47"/>
        <v/>
      </c>
      <c r="AA122" s="156">
        <f ca="1">IF($C122="S",IF($Z122="CP",$X122,IF($Z122="RA",(($X122)*QCI!$AA$3),0)),SomaAgrup)</f>
        <v>0</v>
      </c>
      <c r="AB122" s="157">
        <f t="shared" ca="1" si="48"/>
        <v>0</v>
      </c>
      <c r="AC122" s="158" t="str">
        <f t="shared" ca="1" si="49"/>
        <v/>
      </c>
      <c r="AD122" s="104" t="str">
        <f ca="1">IF(C122&lt;=CRONO.NivelExibicao,MAX($AD$15:OFFSET(AD122,-1,0))+IF($C122&lt;&gt;1,1,MAX(1,COUNTIF(QCI!$A$13:$A$24,OFFSET($E122,-1,0)))),"")</f>
        <v/>
      </c>
      <c r="AE122" s="114" t="b">
        <f t="shared" ca="1" si="50"/>
        <v>0</v>
      </c>
      <c r="AF122" s="159" t="str">
        <f t="shared" ca="1" si="51"/>
        <v>(abra o arquivo 'Referência 05-2024.xls)</v>
      </c>
      <c r="AG122" s="579">
        <f t="shared" ca="1" si="52"/>
        <v>0</v>
      </c>
      <c r="AH122" s="580">
        <f t="shared" ca="1" si="53"/>
        <v>0.22470000000000001</v>
      </c>
      <c r="AJ122" s="582"/>
      <c r="AL122" s="612"/>
      <c r="AM122" s="430">
        <f t="shared" ca="1" si="54"/>
        <v>0</v>
      </c>
      <c r="AN122" s="655">
        <f t="shared" ca="1" si="55"/>
        <v>0</v>
      </c>
    </row>
    <row r="123" spans="1:40" ht="13.8" x14ac:dyDescent="0.3">
      <c r="A123" t="str">
        <f t="shared" si="34"/>
        <v>S</v>
      </c>
      <c r="B123">
        <f t="shared" ca="1" si="35"/>
        <v>3</v>
      </c>
      <c r="C123" t="str">
        <f t="shared" ca="1" si="36"/>
        <v>S</v>
      </c>
      <c r="D123">
        <f t="shared" ca="1" si="37"/>
        <v>0</v>
      </c>
      <c r="E123">
        <f ca="1">IF($C123=1,OFFSET(E123,-1,0)+MAX(1,COUNTIF(QCI!$A$13:$A$24,OFFSET(ORÇAMENTO!E123,-1,0))),OFFSET(E123,-1,0))</f>
        <v>1</v>
      </c>
      <c r="F123">
        <f t="shared" ca="1" si="38"/>
        <v>4</v>
      </c>
      <c r="G123">
        <f t="shared" ca="1" si="39"/>
        <v>5</v>
      </c>
      <c r="H123">
        <f t="shared" ca="1" si="40"/>
        <v>0</v>
      </c>
      <c r="I123">
        <f t="shared" ca="1" si="41"/>
        <v>0</v>
      </c>
      <c r="J123">
        <f t="shared" ca="1" si="56"/>
        <v>0</v>
      </c>
      <c r="K123">
        <f ca="1">IF(OR($C123="S",$C123=0),0,MATCH(OFFSET($D123,0,$C123)+IF($C123&lt;&gt;1,1,COUNTIF(QCI!$A$13:$A$24,ORÇAMENTO!E123)),OFFSET($D123,1,$C123,ROW($C$710)-ROW($C123)),0))</f>
        <v>0</v>
      </c>
      <c r="L123" s="143" t="str">
        <f t="shared" ca="1" si="42"/>
        <v/>
      </c>
      <c r="M123" s="144" t="s">
        <v>201</v>
      </c>
      <c r="N123" s="145" t="str">
        <f t="shared" ca="1" si="43"/>
        <v>Serviço</v>
      </c>
      <c r="O123" s="146" t="str">
        <f t="shared" ca="1" si="44"/>
        <v>-</v>
      </c>
      <c r="P123" s="147" t="s">
        <v>249</v>
      </c>
      <c r="Q123" s="148">
        <v>92479</v>
      </c>
      <c r="R123" s="149" t="str">
        <f t="shared" ref="R123:R128" ca="1" si="62">IF($C123="S",REFERENCIA.Descricao,"(digite a descrição aqui)")</f>
        <v>(abra o arquivo 'Referência 05-2024.xls)</v>
      </c>
      <c r="S123" s="150" t="str">
        <f t="shared" ref="S123:S128" ca="1" si="63">REFERENCIA.Unidade</f>
        <v>-</v>
      </c>
      <c r="T123" s="151">
        <f ca="1">OFFSET(CÁLCULO!H$15,ROW($T123)-ROW(T$15),0)</f>
        <v>1055.77</v>
      </c>
      <c r="U123" s="152">
        <f t="shared" ca="1" si="57"/>
        <v>0</v>
      </c>
      <c r="V123" s="153" t="s">
        <v>158</v>
      </c>
      <c r="W123" s="151">
        <f t="shared" ca="1" si="45"/>
        <v>0</v>
      </c>
      <c r="X123" s="154">
        <f t="shared" ca="1" si="46"/>
        <v>0</v>
      </c>
      <c r="Y123" s="155" t="s">
        <v>583</v>
      </c>
      <c r="Z123" t="str">
        <f t="shared" ca="1" si="47"/>
        <v/>
      </c>
      <c r="AA123" s="156">
        <f ca="1">IF($C123="S",IF($Z123="CP",$X123,IF($Z123="RA",(($X123)*QCI!$AA$3),0)),SomaAgrup)</f>
        <v>0</v>
      </c>
      <c r="AB123" s="157">
        <f t="shared" ca="1" si="48"/>
        <v>0</v>
      </c>
      <c r="AC123" s="158" t="str">
        <f t="shared" ca="1" si="49"/>
        <v/>
      </c>
      <c r="AD123" s="104" t="str">
        <f ca="1">IF(C123&lt;=CRONO.NivelExibicao,MAX($AD$15:OFFSET(AD123,-1,0))+IF($C123&lt;&gt;1,1,MAX(1,COUNTIF(QCI!$A$13:$A$24,OFFSET($E123,-1,0)))),"")</f>
        <v/>
      </c>
      <c r="AE123" s="114" t="str">
        <f t="shared" ca="1" si="50"/>
        <v>SINAPI 92479</v>
      </c>
      <c r="AF123" s="159" t="str">
        <f t="shared" ca="1" si="51"/>
        <v>(abra o arquivo 'Referência 05-2024.xls)</v>
      </c>
      <c r="AG123" s="579">
        <f t="shared" ca="1" si="52"/>
        <v>0</v>
      </c>
      <c r="AH123" s="580">
        <f t="shared" ca="1" si="53"/>
        <v>0.22470000000000001</v>
      </c>
      <c r="AJ123" s="582">
        <v>1055.77</v>
      </c>
      <c r="AL123" s="612"/>
      <c r="AM123" s="430">
        <f t="shared" ca="1" si="54"/>
        <v>0</v>
      </c>
      <c r="AN123" s="655">
        <f t="shared" ca="1" si="55"/>
        <v>0</v>
      </c>
    </row>
    <row r="124" spans="1:40" ht="13.8" x14ac:dyDescent="0.3">
      <c r="A124" t="str">
        <f t="shared" si="34"/>
        <v>S</v>
      </c>
      <c r="B124">
        <f t="shared" ca="1" si="35"/>
        <v>3</v>
      </c>
      <c r="C124" t="str">
        <f t="shared" ca="1" si="36"/>
        <v>S</v>
      </c>
      <c r="D124">
        <f t="shared" ca="1" si="37"/>
        <v>0</v>
      </c>
      <c r="E124">
        <f ca="1">IF($C124=1,OFFSET(E124,-1,0)+MAX(1,COUNTIF(QCI!$A$13:$A$24,OFFSET(ORÇAMENTO!E124,-1,0))),OFFSET(E124,-1,0))</f>
        <v>1</v>
      </c>
      <c r="F124">
        <f t="shared" ca="1" si="38"/>
        <v>4</v>
      </c>
      <c r="G124">
        <f t="shared" ca="1" si="39"/>
        <v>5</v>
      </c>
      <c r="H124">
        <f t="shared" ca="1" si="40"/>
        <v>0</v>
      </c>
      <c r="I124">
        <f t="shared" ca="1" si="41"/>
        <v>0</v>
      </c>
      <c r="J124">
        <f t="shared" ca="1" si="56"/>
        <v>0</v>
      </c>
      <c r="K124">
        <f ca="1">IF(OR($C124="S",$C124=0),0,MATCH(OFFSET($D124,0,$C124)+IF($C124&lt;&gt;1,1,COUNTIF(QCI!$A$13:$A$24,ORÇAMENTO!E124)),OFFSET($D124,1,$C124,ROW($C$710)-ROW($C124)),0))</f>
        <v>0</v>
      </c>
      <c r="L124" s="143" t="str">
        <f t="shared" ca="1" si="42"/>
        <v/>
      </c>
      <c r="M124" s="144" t="s">
        <v>201</v>
      </c>
      <c r="N124" s="145" t="str">
        <f t="shared" ca="1" si="43"/>
        <v>Serviço</v>
      </c>
      <c r="O124" s="146" t="str">
        <f t="shared" ca="1" si="44"/>
        <v>-</v>
      </c>
      <c r="P124" s="147" t="s">
        <v>249</v>
      </c>
      <c r="Q124" s="148">
        <v>92761</v>
      </c>
      <c r="R124" s="149" t="str">
        <f t="shared" ca="1" si="62"/>
        <v>(abra o arquivo 'Referência 05-2024.xls)</v>
      </c>
      <c r="S124" s="150" t="str">
        <f t="shared" ca="1" si="63"/>
        <v>-</v>
      </c>
      <c r="T124" s="151">
        <f ca="1">OFFSET(CÁLCULO!H$15,ROW($T124)-ROW(T$15),0)</f>
        <v>433.11</v>
      </c>
      <c r="U124" s="152">
        <f t="shared" ca="1" si="57"/>
        <v>0</v>
      </c>
      <c r="V124" s="153" t="s">
        <v>158</v>
      </c>
      <c r="W124" s="151">
        <f t="shared" ca="1" si="45"/>
        <v>0</v>
      </c>
      <c r="X124" s="154">
        <f t="shared" ca="1" si="46"/>
        <v>0</v>
      </c>
      <c r="Y124" s="155" t="s">
        <v>583</v>
      </c>
      <c r="Z124" t="str">
        <f t="shared" ca="1" si="47"/>
        <v/>
      </c>
      <c r="AA124" s="156">
        <f ca="1">IF($C124="S",IF($Z124="CP",$X124,IF($Z124="RA",(($X124)*QCI!$AA$3),0)),SomaAgrup)</f>
        <v>0</v>
      </c>
      <c r="AB124" s="157">
        <f t="shared" ca="1" si="48"/>
        <v>0</v>
      </c>
      <c r="AC124" s="158" t="str">
        <f t="shared" ca="1" si="49"/>
        <v/>
      </c>
      <c r="AD124" s="104" t="str">
        <f ca="1">IF(C124&lt;=CRONO.NivelExibicao,MAX($AD$15:OFFSET(AD124,-1,0))+IF($C124&lt;&gt;1,1,MAX(1,COUNTIF(QCI!$A$13:$A$24,OFFSET($E124,-1,0)))),"")</f>
        <v/>
      </c>
      <c r="AE124" s="114" t="str">
        <f t="shared" ca="1" si="50"/>
        <v>SINAPI 92761</v>
      </c>
      <c r="AF124" s="159" t="str">
        <f t="shared" ca="1" si="51"/>
        <v>(abra o arquivo 'Referência 05-2024.xls)</v>
      </c>
      <c r="AG124" s="579">
        <f t="shared" ca="1" si="52"/>
        <v>0</v>
      </c>
      <c r="AH124" s="580">
        <f t="shared" ca="1" si="53"/>
        <v>0.22470000000000001</v>
      </c>
      <c r="AJ124" s="582">
        <v>433.11</v>
      </c>
      <c r="AL124" s="612"/>
      <c r="AM124" s="430">
        <f t="shared" ca="1" si="54"/>
        <v>0</v>
      </c>
      <c r="AN124" s="655">
        <f t="shared" ca="1" si="55"/>
        <v>0</v>
      </c>
    </row>
    <row r="125" spans="1:40" ht="13.8" x14ac:dyDescent="0.3">
      <c r="A125" t="str">
        <f t="shared" si="34"/>
        <v>S</v>
      </c>
      <c r="B125">
        <f t="shared" ca="1" si="35"/>
        <v>3</v>
      </c>
      <c r="C125" t="str">
        <f t="shared" ca="1" si="36"/>
        <v>S</v>
      </c>
      <c r="D125">
        <f t="shared" ca="1" si="37"/>
        <v>0</v>
      </c>
      <c r="E125">
        <f ca="1">IF($C125=1,OFFSET(E125,-1,0)+MAX(1,COUNTIF(QCI!$A$13:$A$24,OFFSET(ORÇAMENTO!E125,-1,0))),OFFSET(E125,-1,0))</f>
        <v>1</v>
      </c>
      <c r="F125">
        <f t="shared" ca="1" si="38"/>
        <v>4</v>
      </c>
      <c r="G125">
        <f t="shared" ca="1" si="39"/>
        <v>5</v>
      </c>
      <c r="H125">
        <f t="shared" ca="1" si="40"/>
        <v>0</v>
      </c>
      <c r="I125">
        <f t="shared" ca="1" si="41"/>
        <v>0</v>
      </c>
      <c r="J125">
        <f t="shared" ca="1" si="56"/>
        <v>0</v>
      </c>
      <c r="K125">
        <f ca="1">IF(OR($C125="S",$C125=0),0,MATCH(OFFSET($D125,0,$C125)+IF($C125&lt;&gt;1,1,COUNTIF(QCI!$A$13:$A$24,ORÇAMENTO!E125)),OFFSET($D125,1,$C125,ROW($C$710)-ROW($C125)),0))</f>
        <v>0</v>
      </c>
      <c r="L125" s="143" t="str">
        <f t="shared" ca="1" si="42"/>
        <v/>
      </c>
      <c r="M125" s="144" t="s">
        <v>201</v>
      </c>
      <c r="N125" s="145" t="str">
        <f t="shared" ca="1" si="43"/>
        <v>Serviço</v>
      </c>
      <c r="O125" s="146" t="str">
        <f t="shared" ca="1" si="44"/>
        <v>-</v>
      </c>
      <c r="P125" s="147" t="s">
        <v>249</v>
      </c>
      <c r="Q125" s="148">
        <v>92762</v>
      </c>
      <c r="R125" s="149" t="str">
        <f t="shared" ca="1" si="62"/>
        <v>(abra o arquivo 'Referência 05-2024.xls)</v>
      </c>
      <c r="S125" s="150" t="str">
        <f t="shared" ca="1" si="63"/>
        <v>-</v>
      </c>
      <c r="T125" s="151">
        <f ca="1">OFFSET(CÁLCULO!H$15,ROW($T125)-ROW(T$15),0)</f>
        <v>45.49</v>
      </c>
      <c r="U125" s="152">
        <f t="shared" ca="1" si="57"/>
        <v>0</v>
      </c>
      <c r="V125" s="153" t="s">
        <v>158</v>
      </c>
      <c r="W125" s="151">
        <f t="shared" ca="1" si="45"/>
        <v>0</v>
      </c>
      <c r="X125" s="154">
        <f t="shared" ca="1" si="46"/>
        <v>0</v>
      </c>
      <c r="Y125" s="155" t="s">
        <v>583</v>
      </c>
      <c r="Z125" t="str">
        <f t="shared" ca="1" si="47"/>
        <v/>
      </c>
      <c r="AA125" s="156">
        <f ca="1">IF($C125="S",IF($Z125="CP",$X125,IF($Z125="RA",(($X125)*QCI!$AA$3),0)),SomaAgrup)</f>
        <v>0</v>
      </c>
      <c r="AB125" s="157">
        <f t="shared" ca="1" si="48"/>
        <v>0</v>
      </c>
      <c r="AC125" s="158" t="str">
        <f t="shared" ca="1" si="49"/>
        <v/>
      </c>
      <c r="AD125" s="104" t="str">
        <f ca="1">IF(C125&lt;=CRONO.NivelExibicao,MAX($AD$15:OFFSET(AD125,-1,0))+IF($C125&lt;&gt;1,1,MAX(1,COUNTIF(QCI!$A$13:$A$24,OFFSET($E125,-1,0)))),"")</f>
        <v/>
      </c>
      <c r="AE125" s="114" t="str">
        <f t="shared" ca="1" si="50"/>
        <v>SINAPI 92762</v>
      </c>
      <c r="AF125" s="159" t="str">
        <f t="shared" ca="1" si="51"/>
        <v>(abra o arquivo 'Referência 05-2024.xls)</v>
      </c>
      <c r="AG125" s="579">
        <f t="shared" ca="1" si="52"/>
        <v>0</v>
      </c>
      <c r="AH125" s="580">
        <f t="shared" ca="1" si="53"/>
        <v>0.22470000000000001</v>
      </c>
      <c r="AJ125" s="582">
        <v>45.49</v>
      </c>
      <c r="AL125" s="612"/>
      <c r="AM125" s="430">
        <f t="shared" ca="1" si="54"/>
        <v>0</v>
      </c>
      <c r="AN125" s="655">
        <f t="shared" ca="1" si="55"/>
        <v>0</v>
      </c>
    </row>
    <row r="126" spans="1:40" ht="13.8" x14ac:dyDescent="0.3">
      <c r="A126" t="str">
        <f t="shared" si="34"/>
        <v>S</v>
      </c>
      <c r="B126">
        <f t="shared" ca="1" si="35"/>
        <v>3</v>
      </c>
      <c r="C126" t="str">
        <f t="shared" ca="1" si="36"/>
        <v>S</v>
      </c>
      <c r="D126">
        <f t="shared" ca="1" si="37"/>
        <v>0</v>
      </c>
      <c r="E126">
        <f ca="1">IF($C126=1,OFFSET(E126,-1,0)+MAX(1,COUNTIF(QCI!$A$13:$A$24,OFFSET(ORÇAMENTO!E126,-1,0))),OFFSET(E126,-1,0))</f>
        <v>1</v>
      </c>
      <c r="F126">
        <f t="shared" ca="1" si="38"/>
        <v>4</v>
      </c>
      <c r="G126">
        <f t="shared" ca="1" si="39"/>
        <v>5</v>
      </c>
      <c r="H126">
        <f t="shared" ca="1" si="40"/>
        <v>0</v>
      </c>
      <c r="I126">
        <f t="shared" ca="1" si="41"/>
        <v>0</v>
      </c>
      <c r="J126">
        <f t="shared" ca="1" si="56"/>
        <v>0</v>
      </c>
      <c r="K126">
        <f ca="1">IF(OR($C126="S",$C126=0),0,MATCH(OFFSET($D126,0,$C126)+IF($C126&lt;&gt;1,1,COUNTIF(QCI!$A$13:$A$24,ORÇAMENTO!E126)),OFFSET($D126,1,$C126,ROW($C$710)-ROW($C126)),0))</f>
        <v>0</v>
      </c>
      <c r="L126" s="143" t="str">
        <f t="shared" ca="1" si="42"/>
        <v/>
      </c>
      <c r="M126" s="144" t="s">
        <v>201</v>
      </c>
      <c r="N126" s="145" t="str">
        <f t="shared" ca="1" si="43"/>
        <v>Serviço</v>
      </c>
      <c r="O126" s="146" t="str">
        <f t="shared" ca="1" si="44"/>
        <v>-</v>
      </c>
      <c r="P126" s="147" t="s">
        <v>249</v>
      </c>
      <c r="Q126" s="148">
        <v>92763</v>
      </c>
      <c r="R126" s="149" t="str">
        <f t="shared" ca="1" si="62"/>
        <v>(abra o arquivo 'Referência 05-2024.xls)</v>
      </c>
      <c r="S126" s="150" t="str">
        <f t="shared" ca="1" si="63"/>
        <v>-</v>
      </c>
      <c r="T126" s="151">
        <f ca="1">OFFSET(CÁLCULO!H$15,ROW($T126)-ROW(T$15),0)</f>
        <v>3.47</v>
      </c>
      <c r="U126" s="152">
        <f t="shared" ca="1" si="57"/>
        <v>0</v>
      </c>
      <c r="V126" s="153" t="s">
        <v>158</v>
      </c>
      <c r="W126" s="151">
        <f t="shared" ca="1" si="45"/>
        <v>0</v>
      </c>
      <c r="X126" s="154">
        <f t="shared" ca="1" si="46"/>
        <v>0</v>
      </c>
      <c r="Y126" s="155" t="s">
        <v>583</v>
      </c>
      <c r="Z126" t="str">
        <f t="shared" ca="1" si="47"/>
        <v/>
      </c>
      <c r="AA126" s="156">
        <f ca="1">IF($C126="S",IF($Z126="CP",$X126,IF($Z126="RA",(($X126)*QCI!$AA$3),0)),SomaAgrup)</f>
        <v>0</v>
      </c>
      <c r="AB126" s="157">
        <f t="shared" ca="1" si="48"/>
        <v>0</v>
      </c>
      <c r="AC126" s="158" t="str">
        <f t="shared" ca="1" si="49"/>
        <v/>
      </c>
      <c r="AD126" s="104" t="str">
        <f ca="1">IF(C126&lt;=CRONO.NivelExibicao,MAX($AD$15:OFFSET(AD126,-1,0))+IF($C126&lt;&gt;1,1,MAX(1,COUNTIF(QCI!$A$13:$A$24,OFFSET($E126,-1,0)))),"")</f>
        <v/>
      </c>
      <c r="AE126" s="114" t="str">
        <f t="shared" ca="1" si="50"/>
        <v>SINAPI 92763</v>
      </c>
      <c r="AF126" s="159" t="str">
        <f t="shared" ca="1" si="51"/>
        <v>(abra o arquivo 'Referência 05-2024.xls)</v>
      </c>
      <c r="AG126" s="579">
        <f t="shared" ca="1" si="52"/>
        <v>0</v>
      </c>
      <c r="AH126" s="580">
        <f t="shared" ca="1" si="53"/>
        <v>0.22470000000000001</v>
      </c>
      <c r="AJ126" s="582">
        <v>3.47</v>
      </c>
      <c r="AL126" s="612"/>
      <c r="AM126" s="430">
        <f t="shared" ca="1" si="54"/>
        <v>0</v>
      </c>
      <c r="AN126" s="655">
        <f t="shared" ca="1" si="55"/>
        <v>0</v>
      </c>
    </row>
    <row r="127" spans="1:40" ht="13.8" x14ac:dyDescent="0.3">
      <c r="A127" t="str">
        <f t="shared" si="34"/>
        <v>S</v>
      </c>
      <c r="B127">
        <f t="shared" ca="1" si="35"/>
        <v>3</v>
      </c>
      <c r="C127" t="str">
        <f t="shared" ca="1" si="36"/>
        <v>S</v>
      </c>
      <c r="D127">
        <f t="shared" ca="1" si="37"/>
        <v>0</v>
      </c>
      <c r="E127">
        <f ca="1">IF($C127=1,OFFSET(E127,-1,0)+MAX(1,COUNTIF(QCI!$A$13:$A$24,OFFSET(ORÇAMENTO!E127,-1,0))),OFFSET(E127,-1,0))</f>
        <v>1</v>
      </c>
      <c r="F127">
        <f t="shared" ca="1" si="38"/>
        <v>4</v>
      </c>
      <c r="G127">
        <f t="shared" ca="1" si="39"/>
        <v>5</v>
      </c>
      <c r="H127">
        <f t="shared" ca="1" si="40"/>
        <v>0</v>
      </c>
      <c r="I127">
        <f t="shared" ca="1" si="41"/>
        <v>0</v>
      </c>
      <c r="J127">
        <f t="shared" ca="1" si="56"/>
        <v>0</v>
      </c>
      <c r="K127">
        <f ca="1">IF(OR($C127="S",$C127=0),0,MATCH(OFFSET($D127,0,$C127)+IF($C127&lt;&gt;1,1,COUNTIF(QCI!$A$13:$A$24,ORÇAMENTO!E127)),OFFSET($D127,1,$C127,ROW($C$710)-ROW($C127)),0))</f>
        <v>0</v>
      </c>
      <c r="L127" s="143" t="str">
        <f t="shared" ca="1" si="42"/>
        <v/>
      </c>
      <c r="M127" s="144" t="s">
        <v>201</v>
      </c>
      <c r="N127" s="145" t="str">
        <f t="shared" ca="1" si="43"/>
        <v>Serviço</v>
      </c>
      <c r="O127" s="146" t="str">
        <f t="shared" ca="1" si="44"/>
        <v>-</v>
      </c>
      <c r="P127" s="147" t="s">
        <v>249</v>
      </c>
      <c r="Q127" s="148">
        <v>92759</v>
      </c>
      <c r="R127" s="149" t="str">
        <f t="shared" ca="1" si="62"/>
        <v>(abra o arquivo 'Referência 05-2024.xls)</v>
      </c>
      <c r="S127" s="150" t="str">
        <f t="shared" ca="1" si="63"/>
        <v>-</v>
      </c>
      <c r="T127" s="151">
        <f ca="1">OFFSET(CÁLCULO!H$15,ROW($T127)-ROW(T$15),0)</f>
        <v>226.89</v>
      </c>
      <c r="U127" s="152">
        <f t="shared" ca="1" si="57"/>
        <v>0</v>
      </c>
      <c r="V127" s="153" t="s">
        <v>158</v>
      </c>
      <c r="W127" s="151">
        <f t="shared" ca="1" si="45"/>
        <v>0</v>
      </c>
      <c r="X127" s="154">
        <f t="shared" ca="1" si="46"/>
        <v>0</v>
      </c>
      <c r="Y127" s="155" t="s">
        <v>583</v>
      </c>
      <c r="Z127" t="str">
        <f t="shared" ca="1" si="47"/>
        <v/>
      </c>
      <c r="AA127" s="156">
        <f ca="1">IF($C127="S",IF($Z127="CP",$X127,IF($Z127="RA",(($X127)*QCI!$AA$3),0)),SomaAgrup)</f>
        <v>0</v>
      </c>
      <c r="AB127" s="157">
        <f t="shared" ca="1" si="48"/>
        <v>0</v>
      </c>
      <c r="AC127" s="158" t="str">
        <f t="shared" ca="1" si="49"/>
        <v/>
      </c>
      <c r="AD127" s="104" t="str">
        <f ca="1">IF(C127&lt;=CRONO.NivelExibicao,MAX($AD$15:OFFSET(AD127,-1,0))+IF($C127&lt;&gt;1,1,MAX(1,COUNTIF(QCI!$A$13:$A$24,OFFSET($E127,-1,0)))),"")</f>
        <v/>
      </c>
      <c r="AE127" s="114" t="str">
        <f t="shared" ca="1" si="50"/>
        <v>SINAPI 92759</v>
      </c>
      <c r="AF127" s="159" t="str">
        <f t="shared" ca="1" si="51"/>
        <v>(abra o arquivo 'Referência 05-2024.xls)</v>
      </c>
      <c r="AG127" s="579">
        <f t="shared" ca="1" si="52"/>
        <v>0</v>
      </c>
      <c r="AH127" s="580">
        <f t="shared" ca="1" si="53"/>
        <v>0.22470000000000001</v>
      </c>
      <c r="AJ127" s="582">
        <v>226.89</v>
      </c>
      <c r="AL127" s="612"/>
      <c r="AM127" s="430">
        <f t="shared" ca="1" si="54"/>
        <v>0</v>
      </c>
      <c r="AN127" s="655">
        <f t="shared" ca="1" si="55"/>
        <v>0</v>
      </c>
    </row>
    <row r="128" spans="1:40" ht="13.8" x14ac:dyDescent="0.3">
      <c r="A128" t="str">
        <f t="shared" si="34"/>
        <v>S</v>
      </c>
      <c r="B128">
        <f t="shared" ca="1" si="35"/>
        <v>3</v>
      </c>
      <c r="C128" t="str">
        <f t="shared" ca="1" si="36"/>
        <v>S</v>
      </c>
      <c r="D128">
        <f t="shared" ca="1" si="37"/>
        <v>0</v>
      </c>
      <c r="E128">
        <f ca="1">IF($C128=1,OFFSET(E128,-1,0)+MAX(1,COUNTIF(QCI!$A$13:$A$24,OFFSET(ORÇAMENTO!E128,-1,0))),OFFSET(E128,-1,0))</f>
        <v>1</v>
      </c>
      <c r="F128">
        <f t="shared" ca="1" si="38"/>
        <v>4</v>
      </c>
      <c r="G128">
        <f t="shared" ca="1" si="39"/>
        <v>5</v>
      </c>
      <c r="H128">
        <f t="shared" ca="1" si="40"/>
        <v>0</v>
      </c>
      <c r="I128">
        <f t="shared" ca="1" si="41"/>
        <v>0</v>
      </c>
      <c r="J128">
        <f t="shared" ca="1" si="56"/>
        <v>0</v>
      </c>
      <c r="K128">
        <f ca="1">IF(OR($C128="S",$C128=0),0,MATCH(OFFSET($D128,0,$C128)+IF($C128&lt;&gt;1,1,COUNTIF(QCI!$A$13:$A$24,ORÇAMENTO!E128)),OFFSET($D128,1,$C128,ROW($C$710)-ROW($C128)),0))</f>
        <v>0</v>
      </c>
      <c r="L128" s="143" t="str">
        <f t="shared" ca="1" si="42"/>
        <v/>
      </c>
      <c r="M128" s="144" t="s">
        <v>201</v>
      </c>
      <c r="N128" s="145" t="str">
        <f t="shared" ca="1" si="43"/>
        <v>Serviço</v>
      </c>
      <c r="O128" s="146" t="str">
        <f t="shared" ca="1" si="44"/>
        <v>-</v>
      </c>
      <c r="P128" s="147" t="s">
        <v>441</v>
      </c>
      <c r="Q128" s="148" t="s">
        <v>448</v>
      </c>
      <c r="R128" s="149" t="str">
        <f t="shared" ca="1" si="62"/>
        <v>(abra o arquivo 'Referência 05-2024.xls)</v>
      </c>
      <c r="S128" s="150" t="str">
        <f t="shared" ca="1" si="63"/>
        <v>-</v>
      </c>
      <c r="T128" s="151">
        <f ca="1">OFFSET(CÁLCULO!H$15,ROW($T128)-ROW(T$15),0)</f>
        <v>75.260000000000005</v>
      </c>
      <c r="U128" s="152">
        <f t="shared" ca="1" si="57"/>
        <v>0</v>
      </c>
      <c r="V128" s="153" t="s">
        <v>158</v>
      </c>
      <c r="W128" s="151">
        <f t="shared" ca="1" si="45"/>
        <v>0</v>
      </c>
      <c r="X128" s="154">
        <f t="shared" ca="1" si="46"/>
        <v>0</v>
      </c>
      <c r="Y128" s="155" t="s">
        <v>583</v>
      </c>
      <c r="Z128" t="str">
        <f t="shared" ca="1" si="47"/>
        <v/>
      </c>
      <c r="AA128" s="156">
        <f ca="1">IF($C128="S",IF($Z128="CP",$X128,IF($Z128="RA",(($X128)*QCI!$AA$3),0)),SomaAgrup)</f>
        <v>0</v>
      </c>
      <c r="AB128" s="157">
        <f t="shared" ca="1" si="48"/>
        <v>0</v>
      </c>
      <c r="AC128" s="158" t="str">
        <f t="shared" ca="1" si="49"/>
        <v/>
      </c>
      <c r="AD128" s="104" t="str">
        <f ca="1">IF(C128&lt;=CRONO.NivelExibicao,MAX($AD$15:OFFSET(AD128,-1,0))+IF($C128&lt;&gt;1,1,MAX(1,COUNTIF(QCI!$A$13:$A$24,OFFSET($E128,-1,0)))),"")</f>
        <v/>
      </c>
      <c r="AE128" s="114" t="str">
        <f t="shared" ca="1" si="50"/>
        <v>Composição CP-09</v>
      </c>
      <c r="AF128" s="159" t="str">
        <f t="shared" ca="1" si="51"/>
        <v>(abra o arquivo 'Referência 05-2024.xls)</v>
      </c>
      <c r="AG128" s="579">
        <f t="shared" ca="1" si="52"/>
        <v>0</v>
      </c>
      <c r="AH128" s="580">
        <f t="shared" ca="1" si="53"/>
        <v>0.22470000000000001</v>
      </c>
      <c r="AJ128" s="582">
        <v>75.260000000000005</v>
      </c>
      <c r="AL128" s="612"/>
      <c r="AM128" s="430">
        <f t="shared" ca="1" si="54"/>
        <v>0</v>
      </c>
      <c r="AN128" s="655">
        <f t="shared" ca="1" si="55"/>
        <v>0</v>
      </c>
    </row>
    <row r="129" spans="1:40" ht="13.8" x14ac:dyDescent="0.3">
      <c r="A129">
        <f t="shared" si="34"/>
        <v>3</v>
      </c>
      <c r="B129">
        <f t="shared" ca="1" si="35"/>
        <v>3</v>
      </c>
      <c r="C129">
        <f t="shared" ca="1" si="36"/>
        <v>3</v>
      </c>
      <c r="D129">
        <f t="shared" ca="1" si="37"/>
        <v>2</v>
      </c>
      <c r="E129">
        <f ca="1">IF($C129=1,OFFSET(E129,-1,0)+MAX(1,COUNTIF(QCI!$A$13:$A$24,OFFSET(ORÇAMENTO!E129,-1,0))),OFFSET(E129,-1,0))</f>
        <v>1</v>
      </c>
      <c r="F129">
        <f t="shared" ca="1" si="38"/>
        <v>4</v>
      </c>
      <c r="G129">
        <f t="shared" ca="1" si="39"/>
        <v>6</v>
      </c>
      <c r="H129">
        <f t="shared" ca="1" si="40"/>
        <v>0</v>
      </c>
      <c r="I129">
        <f t="shared" ca="1" si="41"/>
        <v>0</v>
      </c>
      <c r="J129">
        <f t="shared" ca="1" si="56"/>
        <v>23</v>
      </c>
      <c r="K129">
        <f ca="1">IF(OR($C129="S",$C129=0),0,MATCH(OFFSET($D129,0,$C129)+IF($C129&lt;&gt;1,1,COUNTIF(QCI!$A$13:$A$24,ORÇAMENTO!E129)),OFFSET($D129,1,$C129,ROW($C$710)-ROW($C129)),0))</f>
        <v>2</v>
      </c>
      <c r="L129" s="143" t="str">
        <f t="shared" ca="1" si="42"/>
        <v>F</v>
      </c>
      <c r="M129" s="144" t="s">
        <v>199</v>
      </c>
      <c r="N129" s="145" t="str">
        <f t="shared" ca="1" si="43"/>
        <v>Nível 3</v>
      </c>
      <c r="O129" s="146" t="str">
        <f t="shared" ca="1" si="44"/>
        <v>1.4.6.</v>
      </c>
      <c r="P129" s="147" t="s">
        <v>249</v>
      </c>
      <c r="Q129" s="148"/>
      <c r="R129" s="149" t="s">
        <v>498</v>
      </c>
      <c r="S129" s="150" t="s">
        <v>168</v>
      </c>
      <c r="T129" s="151">
        <f ca="1">OFFSET(CÁLCULO!H$15,ROW($T129)-ROW(T$15),0)</f>
        <v>0</v>
      </c>
      <c r="U129" s="152">
        <f t="shared" ca="1" si="57"/>
        <v>0</v>
      </c>
      <c r="V129" s="153" t="s">
        <v>158</v>
      </c>
      <c r="W129" s="151">
        <f t="shared" ca="1" si="45"/>
        <v>0</v>
      </c>
      <c r="X129" s="154">
        <f t="shared" ca="1" si="46"/>
        <v>0</v>
      </c>
      <c r="Y129" s="155" t="s">
        <v>583</v>
      </c>
      <c r="Z129" t="str">
        <f t="shared" ca="1" si="47"/>
        <v/>
      </c>
      <c r="AA129" s="156">
        <f ca="1">IF($C129="S",IF($Z129="CP",$X129,IF($Z129="RA",(($X129)*QCI!$AA$3),0)),SomaAgrup)</f>
        <v>0</v>
      </c>
      <c r="AB129" s="157">
        <f t="shared" ca="1" si="48"/>
        <v>0</v>
      </c>
      <c r="AC129" s="158" t="str">
        <f t="shared" ca="1" si="49"/>
        <v/>
      </c>
      <c r="AD129" s="104" t="str">
        <f ca="1">IF(C129&lt;=CRONO.NivelExibicao,MAX($AD$15:OFFSET(AD129,-1,0))+IF($C129&lt;&gt;1,1,MAX(1,COUNTIF(QCI!$A$13:$A$24,OFFSET($E129,-1,0)))),"")</f>
        <v/>
      </c>
      <c r="AE129" s="114" t="b">
        <f t="shared" ca="1" si="50"/>
        <v>0</v>
      </c>
      <c r="AF129" s="159" t="str">
        <f t="shared" ca="1" si="51"/>
        <v>(abra o arquivo 'Referência 05-2024.xls)</v>
      </c>
      <c r="AG129" s="579">
        <f t="shared" ca="1" si="52"/>
        <v>0</v>
      </c>
      <c r="AH129" s="580">
        <f t="shared" ca="1" si="53"/>
        <v>0.22470000000000001</v>
      </c>
      <c r="AJ129" s="582"/>
      <c r="AL129" s="612"/>
      <c r="AM129" s="430">
        <f t="shared" ca="1" si="54"/>
        <v>0</v>
      </c>
      <c r="AN129" s="655">
        <f t="shared" ca="1" si="55"/>
        <v>0</v>
      </c>
    </row>
    <row r="130" spans="1:40" ht="13.8" x14ac:dyDescent="0.3">
      <c r="A130" t="str">
        <f t="shared" si="34"/>
        <v>S</v>
      </c>
      <c r="B130">
        <f t="shared" ca="1" si="35"/>
        <v>3</v>
      </c>
      <c r="C130" t="str">
        <f t="shared" ca="1" si="36"/>
        <v>S</v>
      </c>
      <c r="D130">
        <f t="shared" ca="1" si="37"/>
        <v>0</v>
      </c>
      <c r="E130">
        <f ca="1">IF($C130=1,OFFSET(E130,-1,0)+MAX(1,COUNTIF(QCI!$A$13:$A$24,OFFSET(ORÇAMENTO!E130,-1,0))),OFFSET(E130,-1,0))</f>
        <v>1</v>
      </c>
      <c r="F130">
        <f t="shared" ca="1" si="38"/>
        <v>4</v>
      </c>
      <c r="G130">
        <f t="shared" ca="1" si="39"/>
        <v>6</v>
      </c>
      <c r="H130">
        <f t="shared" ca="1" si="40"/>
        <v>0</v>
      </c>
      <c r="I130">
        <f t="shared" ca="1" si="41"/>
        <v>0</v>
      </c>
      <c r="J130">
        <f t="shared" ca="1" si="56"/>
        <v>0</v>
      </c>
      <c r="K130">
        <f ca="1">IF(OR($C130="S",$C130=0),0,MATCH(OFFSET($D130,0,$C130)+IF($C130&lt;&gt;1,1,COUNTIF(QCI!$A$13:$A$24,ORÇAMENTO!E130)),OFFSET($D130,1,$C130,ROW($C$710)-ROW($C130)),0))</f>
        <v>0</v>
      </c>
      <c r="L130" s="143" t="str">
        <f t="shared" ca="1" si="42"/>
        <v/>
      </c>
      <c r="M130" s="144" t="s">
        <v>201</v>
      </c>
      <c r="N130" s="145" t="str">
        <f t="shared" ca="1" si="43"/>
        <v>Serviço</v>
      </c>
      <c r="O130" s="146" t="str">
        <f t="shared" ca="1" si="44"/>
        <v>-</v>
      </c>
      <c r="P130" s="147" t="s">
        <v>249</v>
      </c>
      <c r="Q130" s="148" t="s">
        <v>588</v>
      </c>
      <c r="R130" s="149" t="str">
        <f ca="1">IF($C130="S",REFERENCIA.Descricao,"(digite a descrição aqui)")</f>
        <v>(abra o arquivo 'Referência 05-2024.xls)</v>
      </c>
      <c r="S130" s="150" t="str">
        <f ca="1">REFERENCIA.Unidade</f>
        <v>-</v>
      </c>
      <c r="T130" s="151">
        <f ca="1">OFFSET(CÁLCULO!H$15,ROW($T130)-ROW(T$15),0)</f>
        <v>238</v>
      </c>
      <c r="U130" s="152">
        <f t="shared" ca="1" si="57"/>
        <v>0</v>
      </c>
      <c r="V130" s="153" t="s">
        <v>158</v>
      </c>
      <c r="W130" s="151">
        <f t="shared" ca="1" si="45"/>
        <v>0</v>
      </c>
      <c r="X130" s="154">
        <f t="shared" ca="1" si="46"/>
        <v>0</v>
      </c>
      <c r="Y130" s="155" t="s">
        <v>583</v>
      </c>
      <c r="Z130" t="str">
        <f t="shared" ca="1" si="47"/>
        <v/>
      </c>
      <c r="AA130" s="156">
        <f ca="1">IF($C130="S",IF($Z130="CP",$X130,IF($Z130="RA",(($X130)*QCI!$AA$3),0)),SomaAgrup)</f>
        <v>0</v>
      </c>
      <c r="AB130" s="157">
        <f t="shared" ca="1" si="48"/>
        <v>0</v>
      </c>
      <c r="AC130" s="158" t="str">
        <f t="shared" ca="1" si="49"/>
        <v/>
      </c>
      <c r="AD130" s="104" t="str">
        <f ca="1">IF(C130&lt;=CRONO.NivelExibicao,MAX($AD$15:OFFSET(AD130,-1,0))+IF($C130&lt;&gt;1,1,MAX(1,COUNTIF(QCI!$A$13:$A$24,OFFSET($E130,-1,0)))),"")</f>
        <v/>
      </c>
      <c r="AE130" s="114" t="str">
        <f t="shared" ca="1" si="50"/>
        <v>SINAPI 105022</v>
      </c>
      <c r="AF130" s="159" t="str">
        <f t="shared" ca="1" si="51"/>
        <v>(abra o arquivo 'Referência 05-2024.xls)</v>
      </c>
      <c r="AG130" s="579">
        <f t="shared" ca="1" si="52"/>
        <v>0</v>
      </c>
      <c r="AH130" s="580">
        <f t="shared" ca="1" si="53"/>
        <v>0.22470000000000001</v>
      </c>
      <c r="AJ130" s="582">
        <v>238</v>
      </c>
      <c r="AL130" s="612"/>
      <c r="AM130" s="430">
        <f t="shared" ca="1" si="54"/>
        <v>0</v>
      </c>
      <c r="AN130" s="655">
        <f t="shared" ca="1" si="55"/>
        <v>0</v>
      </c>
    </row>
    <row r="131" spans="1:40" ht="13.8" x14ac:dyDescent="0.3">
      <c r="A131">
        <f t="shared" si="34"/>
        <v>3</v>
      </c>
      <c r="B131">
        <f t="shared" ca="1" si="35"/>
        <v>3</v>
      </c>
      <c r="C131">
        <f t="shared" ca="1" si="36"/>
        <v>3</v>
      </c>
      <c r="D131">
        <f t="shared" ca="1" si="37"/>
        <v>6</v>
      </c>
      <c r="E131">
        <f ca="1">IF($C131=1,OFFSET(E131,-1,0)+MAX(1,COUNTIF(QCI!$A$13:$A$24,OFFSET(ORÇAMENTO!E131,-1,0))),OFFSET(E131,-1,0))</f>
        <v>1</v>
      </c>
      <c r="F131">
        <f t="shared" ca="1" si="38"/>
        <v>4</v>
      </c>
      <c r="G131">
        <f t="shared" ca="1" si="39"/>
        <v>7</v>
      </c>
      <c r="H131">
        <f t="shared" ca="1" si="40"/>
        <v>0</v>
      </c>
      <c r="I131">
        <f t="shared" ca="1" si="41"/>
        <v>0</v>
      </c>
      <c r="J131">
        <f t="shared" ca="1" si="56"/>
        <v>21</v>
      </c>
      <c r="K131">
        <f ca="1">IF(OR($C131="S",$C131=0),0,MATCH(OFFSET($D131,0,$C131)+IF($C131&lt;&gt;1,1,COUNTIF(QCI!$A$13:$A$24,ORÇAMENTO!E131)),OFFSET($D131,1,$C131,ROW($C$710)-ROW($C131)),0))</f>
        <v>6</v>
      </c>
      <c r="L131" s="143" t="str">
        <f t="shared" ca="1" si="42"/>
        <v>F</v>
      </c>
      <c r="M131" s="144" t="s">
        <v>199</v>
      </c>
      <c r="N131" s="145" t="str">
        <f t="shared" ca="1" si="43"/>
        <v>Nível 3</v>
      </c>
      <c r="O131" s="146" t="str">
        <f t="shared" ca="1" si="44"/>
        <v>1.4.7.</v>
      </c>
      <c r="P131" s="147" t="s">
        <v>249</v>
      </c>
      <c r="Q131" s="148"/>
      <c r="R131" s="149" t="s">
        <v>499</v>
      </c>
      <c r="S131" s="150" t="s">
        <v>168</v>
      </c>
      <c r="T131" s="151">
        <f ca="1">OFFSET(CÁLCULO!H$15,ROW($T131)-ROW(T$15),0)</f>
        <v>0</v>
      </c>
      <c r="U131" s="152">
        <f t="shared" ca="1" si="57"/>
        <v>0</v>
      </c>
      <c r="V131" s="153" t="s">
        <v>158</v>
      </c>
      <c r="W131" s="151">
        <f t="shared" ca="1" si="45"/>
        <v>0</v>
      </c>
      <c r="X131" s="154">
        <f t="shared" ca="1" si="46"/>
        <v>0</v>
      </c>
      <c r="Y131" s="155" t="s">
        <v>583</v>
      </c>
      <c r="Z131" t="str">
        <f t="shared" ca="1" si="47"/>
        <v/>
      </c>
      <c r="AA131" s="156">
        <f ca="1">IF($C131="S",IF($Z131="CP",$X131,IF($Z131="RA",(($X131)*QCI!$AA$3),0)),SomaAgrup)</f>
        <v>0</v>
      </c>
      <c r="AB131" s="157">
        <f t="shared" ca="1" si="48"/>
        <v>0</v>
      </c>
      <c r="AC131" s="158" t="str">
        <f t="shared" ca="1" si="49"/>
        <v/>
      </c>
      <c r="AD131" s="104" t="str">
        <f ca="1">IF(C131&lt;=CRONO.NivelExibicao,MAX($AD$15:OFFSET(AD131,-1,0))+IF($C131&lt;&gt;1,1,MAX(1,COUNTIF(QCI!$A$13:$A$24,OFFSET($E131,-1,0)))),"")</f>
        <v/>
      </c>
      <c r="AE131" s="114" t="b">
        <f t="shared" ca="1" si="50"/>
        <v>0</v>
      </c>
      <c r="AF131" s="159" t="str">
        <f t="shared" ca="1" si="51"/>
        <v>(abra o arquivo 'Referência 05-2024.xls)</v>
      </c>
      <c r="AG131" s="579">
        <f t="shared" ca="1" si="52"/>
        <v>0</v>
      </c>
      <c r="AH131" s="580">
        <f t="shared" ca="1" si="53"/>
        <v>0.22470000000000001</v>
      </c>
      <c r="AJ131" s="582"/>
      <c r="AL131" s="612"/>
      <c r="AM131" s="430">
        <f t="shared" ca="1" si="54"/>
        <v>0</v>
      </c>
      <c r="AN131" s="655">
        <f t="shared" ca="1" si="55"/>
        <v>0</v>
      </c>
    </row>
    <row r="132" spans="1:40" ht="13.8" x14ac:dyDescent="0.3">
      <c r="A132" t="str">
        <f t="shared" si="34"/>
        <v>S</v>
      </c>
      <c r="B132">
        <f t="shared" ca="1" si="35"/>
        <v>3</v>
      </c>
      <c r="C132" t="str">
        <f t="shared" ca="1" si="36"/>
        <v>S</v>
      </c>
      <c r="D132">
        <f t="shared" ca="1" si="37"/>
        <v>0</v>
      </c>
      <c r="E132">
        <f ca="1">IF($C132=1,OFFSET(E132,-1,0)+MAX(1,COUNTIF(QCI!$A$13:$A$24,OFFSET(ORÇAMENTO!E132,-1,0))),OFFSET(E132,-1,0))</f>
        <v>1</v>
      </c>
      <c r="F132">
        <f t="shared" ca="1" si="38"/>
        <v>4</v>
      </c>
      <c r="G132">
        <f t="shared" ca="1" si="39"/>
        <v>7</v>
      </c>
      <c r="H132">
        <f t="shared" ca="1" si="40"/>
        <v>0</v>
      </c>
      <c r="I132">
        <f t="shared" ca="1" si="41"/>
        <v>0</v>
      </c>
      <c r="J132">
        <f t="shared" ca="1" si="56"/>
        <v>0</v>
      </c>
      <c r="K132">
        <f ca="1">IF(OR($C132="S",$C132=0),0,MATCH(OFFSET($D132,0,$C132)+IF($C132&lt;&gt;1,1,COUNTIF(QCI!$A$13:$A$24,ORÇAMENTO!E132)),OFFSET($D132,1,$C132,ROW($C$710)-ROW($C132)),0))</f>
        <v>0</v>
      </c>
      <c r="L132" s="143" t="str">
        <f t="shared" ca="1" si="42"/>
        <v/>
      </c>
      <c r="M132" s="144" t="s">
        <v>201</v>
      </c>
      <c r="N132" s="145" t="str">
        <f t="shared" ca="1" si="43"/>
        <v>Serviço</v>
      </c>
      <c r="O132" s="146" t="str">
        <f t="shared" ca="1" si="44"/>
        <v>-</v>
      </c>
      <c r="P132" s="147" t="s">
        <v>249</v>
      </c>
      <c r="Q132" s="148">
        <v>92526</v>
      </c>
      <c r="R132" s="149" t="str">
        <f ca="1">IF($C132="S",REFERENCIA.Descricao,"(digite a descrição aqui)")</f>
        <v>(abra o arquivo 'Referência 05-2024.xls)</v>
      </c>
      <c r="S132" s="150" t="str">
        <f ca="1">REFERENCIA.Unidade</f>
        <v>-</v>
      </c>
      <c r="T132" s="151">
        <f ca="1">OFFSET(CÁLCULO!H$15,ROW($T132)-ROW(T$15),0)</f>
        <v>5.04</v>
      </c>
      <c r="U132" s="152">
        <f t="shared" ca="1" si="57"/>
        <v>0</v>
      </c>
      <c r="V132" s="153" t="s">
        <v>158</v>
      </c>
      <c r="W132" s="151">
        <f t="shared" ca="1" si="45"/>
        <v>0</v>
      </c>
      <c r="X132" s="154">
        <f t="shared" ca="1" si="46"/>
        <v>0</v>
      </c>
      <c r="Y132" s="155" t="s">
        <v>583</v>
      </c>
      <c r="Z132" t="str">
        <f t="shared" ca="1" si="47"/>
        <v/>
      </c>
      <c r="AA132" s="156">
        <f ca="1">IF($C132="S",IF($Z132="CP",$X132,IF($Z132="RA",(($X132)*QCI!$AA$3),0)),SomaAgrup)</f>
        <v>0</v>
      </c>
      <c r="AB132" s="157">
        <f t="shared" ca="1" si="48"/>
        <v>0</v>
      </c>
      <c r="AC132" s="158" t="str">
        <f t="shared" ca="1" si="49"/>
        <v/>
      </c>
      <c r="AD132" s="104" t="str">
        <f ca="1">IF(C132&lt;=CRONO.NivelExibicao,MAX($AD$15:OFFSET(AD132,-1,0))+IF($C132&lt;&gt;1,1,MAX(1,COUNTIF(QCI!$A$13:$A$24,OFFSET($E132,-1,0)))),"")</f>
        <v/>
      </c>
      <c r="AE132" s="114" t="str">
        <f t="shared" ca="1" si="50"/>
        <v>SINAPI 92526</v>
      </c>
      <c r="AF132" s="159" t="str">
        <f t="shared" ca="1" si="51"/>
        <v>(abra o arquivo 'Referência 05-2024.xls)</v>
      </c>
      <c r="AG132" s="579">
        <f t="shared" ca="1" si="52"/>
        <v>0</v>
      </c>
      <c r="AH132" s="580">
        <f t="shared" ca="1" si="53"/>
        <v>0.22470000000000001</v>
      </c>
      <c r="AJ132" s="582">
        <v>5.04</v>
      </c>
      <c r="AL132" s="612"/>
      <c r="AM132" s="430">
        <f t="shared" ca="1" si="54"/>
        <v>0</v>
      </c>
      <c r="AN132" s="655">
        <f t="shared" ca="1" si="55"/>
        <v>0</v>
      </c>
    </row>
    <row r="133" spans="1:40" ht="13.8" x14ac:dyDescent="0.3">
      <c r="A133" t="str">
        <f t="shared" si="34"/>
        <v>S</v>
      </c>
      <c r="B133">
        <f t="shared" ca="1" si="35"/>
        <v>3</v>
      </c>
      <c r="C133" t="str">
        <f t="shared" ca="1" si="36"/>
        <v>S</v>
      </c>
      <c r="D133">
        <f t="shared" ca="1" si="37"/>
        <v>0</v>
      </c>
      <c r="E133">
        <f ca="1">IF($C133=1,OFFSET(E133,-1,0)+MAX(1,COUNTIF(QCI!$A$13:$A$24,OFFSET(ORÇAMENTO!E133,-1,0))),OFFSET(E133,-1,0))</f>
        <v>1</v>
      </c>
      <c r="F133">
        <f t="shared" ca="1" si="38"/>
        <v>4</v>
      </c>
      <c r="G133">
        <f t="shared" ca="1" si="39"/>
        <v>7</v>
      </c>
      <c r="H133">
        <f t="shared" ca="1" si="40"/>
        <v>0</v>
      </c>
      <c r="I133">
        <f t="shared" ca="1" si="41"/>
        <v>0</v>
      </c>
      <c r="J133">
        <f t="shared" ca="1" si="56"/>
        <v>0</v>
      </c>
      <c r="K133">
        <f ca="1">IF(OR($C133="S",$C133=0),0,MATCH(OFFSET($D133,0,$C133)+IF($C133&lt;&gt;1,1,COUNTIF(QCI!$A$13:$A$24,ORÇAMENTO!E133)),OFFSET($D133,1,$C133,ROW($C$710)-ROW($C133)),0))</f>
        <v>0</v>
      </c>
      <c r="L133" s="143" t="str">
        <f t="shared" ca="1" si="42"/>
        <v/>
      </c>
      <c r="M133" s="144" t="s">
        <v>201</v>
      </c>
      <c r="N133" s="145" t="str">
        <f t="shared" ca="1" si="43"/>
        <v>Serviço</v>
      </c>
      <c r="O133" s="146" t="str">
        <f t="shared" ca="1" si="44"/>
        <v>-</v>
      </c>
      <c r="P133" s="147" t="s">
        <v>249</v>
      </c>
      <c r="Q133" s="148" t="s">
        <v>587</v>
      </c>
      <c r="R133" s="149" t="str">
        <f ca="1">IF($C133="S",REFERENCIA.Descricao,"(digite a descrição aqui)")</f>
        <v>(abra o arquivo 'Referência 05-2024.xls)</v>
      </c>
      <c r="S133" s="150" t="str">
        <f ca="1">REFERENCIA.Unidade</f>
        <v>-</v>
      </c>
      <c r="T133" s="151">
        <f ca="1">OFFSET(CÁLCULO!H$15,ROW($T133)-ROW(T$15),0)</f>
        <v>20.8</v>
      </c>
      <c r="U133" s="152">
        <f t="shared" ca="1" si="57"/>
        <v>0</v>
      </c>
      <c r="V133" s="153" t="s">
        <v>158</v>
      </c>
      <c r="W133" s="151">
        <f t="shared" ca="1" si="45"/>
        <v>0</v>
      </c>
      <c r="X133" s="154">
        <f t="shared" ca="1" si="46"/>
        <v>0</v>
      </c>
      <c r="Y133" s="155" t="s">
        <v>583</v>
      </c>
      <c r="Z133" t="str">
        <f t="shared" ca="1" si="47"/>
        <v/>
      </c>
      <c r="AA133" s="156">
        <f ca="1">IF($C133="S",IF($Z133="CP",$X133,IF($Z133="RA",(($X133)*QCI!$AA$3),0)),SomaAgrup)</f>
        <v>0</v>
      </c>
      <c r="AB133" s="157">
        <f t="shared" ca="1" si="48"/>
        <v>0</v>
      </c>
      <c r="AC133" s="158" t="str">
        <f t="shared" ca="1" si="49"/>
        <v/>
      </c>
      <c r="AD133" s="104" t="str">
        <f ca="1">IF(C133&lt;=CRONO.NivelExibicao,MAX($AD$15:OFFSET(AD133,-1,0))+IF($C133&lt;&gt;1,1,MAX(1,COUNTIF(QCI!$A$13:$A$24,OFFSET($E133,-1,0)))),"")</f>
        <v/>
      </c>
      <c r="AE133" s="114" t="str">
        <f t="shared" ca="1" si="50"/>
        <v>SINAPI 96622</v>
      </c>
      <c r="AF133" s="159" t="str">
        <f t="shared" ca="1" si="51"/>
        <v>(abra o arquivo 'Referência 05-2024.xls)</v>
      </c>
      <c r="AG133" s="579">
        <f t="shared" ca="1" si="52"/>
        <v>0</v>
      </c>
      <c r="AH133" s="580">
        <f t="shared" ca="1" si="53"/>
        <v>0.22470000000000001</v>
      </c>
      <c r="AJ133" s="582">
        <v>20.8</v>
      </c>
      <c r="AL133" s="612"/>
      <c r="AM133" s="430">
        <f t="shared" ca="1" si="54"/>
        <v>0</v>
      </c>
      <c r="AN133" s="655">
        <f t="shared" ca="1" si="55"/>
        <v>0</v>
      </c>
    </row>
    <row r="134" spans="1:40" ht="13.8" x14ac:dyDescent="0.3">
      <c r="A134" t="str">
        <f t="shared" si="34"/>
        <v>S</v>
      </c>
      <c r="B134">
        <f t="shared" ca="1" si="35"/>
        <v>3</v>
      </c>
      <c r="C134" t="str">
        <f t="shared" ca="1" si="36"/>
        <v>S</v>
      </c>
      <c r="D134">
        <f t="shared" ca="1" si="37"/>
        <v>0</v>
      </c>
      <c r="E134">
        <f ca="1">IF($C134=1,OFFSET(E134,-1,0)+MAX(1,COUNTIF(QCI!$A$13:$A$24,OFFSET(ORÇAMENTO!E134,-1,0))),OFFSET(E134,-1,0))</f>
        <v>1</v>
      </c>
      <c r="F134">
        <f t="shared" ca="1" si="38"/>
        <v>4</v>
      </c>
      <c r="G134">
        <f t="shared" ca="1" si="39"/>
        <v>7</v>
      </c>
      <c r="H134">
        <f t="shared" ca="1" si="40"/>
        <v>0</v>
      </c>
      <c r="I134">
        <f t="shared" ca="1" si="41"/>
        <v>0</v>
      </c>
      <c r="J134">
        <f t="shared" ca="1" si="56"/>
        <v>0</v>
      </c>
      <c r="K134">
        <f ca="1">IF(OR($C134="S",$C134=0),0,MATCH(OFFSET($D134,0,$C134)+IF($C134&lt;&gt;1,1,COUNTIF(QCI!$A$13:$A$24,ORÇAMENTO!E134)),OFFSET($D134,1,$C134,ROW($C$710)-ROW($C134)),0))</f>
        <v>0</v>
      </c>
      <c r="L134" s="143" t="str">
        <f t="shared" ca="1" si="42"/>
        <v/>
      </c>
      <c r="M134" s="144" t="s">
        <v>201</v>
      </c>
      <c r="N134" s="145" t="str">
        <f t="shared" ca="1" si="43"/>
        <v>Serviço</v>
      </c>
      <c r="O134" s="146" t="str">
        <f t="shared" ca="1" si="44"/>
        <v>-</v>
      </c>
      <c r="P134" s="147" t="s">
        <v>249</v>
      </c>
      <c r="Q134" s="148">
        <v>97087</v>
      </c>
      <c r="R134" s="149" t="str">
        <f ca="1">IF($C134="S",REFERENCIA.Descricao,"(digite a descrição aqui)")</f>
        <v>(abra o arquivo 'Referência 05-2024.xls)</v>
      </c>
      <c r="S134" s="150" t="str">
        <f ca="1">REFERENCIA.Unidade</f>
        <v>-</v>
      </c>
      <c r="T134" s="151">
        <f ca="1">OFFSET(CÁLCULO!H$15,ROW($T134)-ROW(T$15),0)</f>
        <v>416</v>
      </c>
      <c r="U134" s="152">
        <f t="shared" ca="1" si="57"/>
        <v>0</v>
      </c>
      <c r="V134" s="153" t="s">
        <v>158</v>
      </c>
      <c r="W134" s="151">
        <f t="shared" ca="1" si="45"/>
        <v>0</v>
      </c>
      <c r="X134" s="154">
        <f t="shared" ca="1" si="46"/>
        <v>0</v>
      </c>
      <c r="Y134" s="155" t="s">
        <v>583</v>
      </c>
      <c r="Z134" t="str">
        <f t="shared" ca="1" si="47"/>
        <v/>
      </c>
      <c r="AA134" s="156">
        <f ca="1">IF($C134="S",IF($Z134="CP",$X134,IF($Z134="RA",(($X134)*QCI!$AA$3),0)),SomaAgrup)</f>
        <v>0</v>
      </c>
      <c r="AB134" s="157">
        <f t="shared" ca="1" si="48"/>
        <v>0</v>
      </c>
      <c r="AC134" s="158" t="str">
        <f t="shared" ca="1" si="49"/>
        <v/>
      </c>
      <c r="AD134" s="104" t="str">
        <f ca="1">IF(C134&lt;=CRONO.NivelExibicao,MAX($AD$15:OFFSET(AD134,-1,0))+IF($C134&lt;&gt;1,1,MAX(1,COUNTIF(QCI!$A$13:$A$24,OFFSET($E134,-1,0)))),"")</f>
        <v/>
      </c>
      <c r="AE134" s="114" t="str">
        <f t="shared" ca="1" si="50"/>
        <v>SINAPI 97087</v>
      </c>
      <c r="AF134" s="159" t="str">
        <f t="shared" ca="1" si="51"/>
        <v>(abra o arquivo 'Referência 05-2024.xls)</v>
      </c>
      <c r="AG134" s="579">
        <f t="shared" ca="1" si="52"/>
        <v>0</v>
      </c>
      <c r="AH134" s="580">
        <f t="shared" ca="1" si="53"/>
        <v>0.22470000000000001</v>
      </c>
      <c r="AJ134" s="582">
        <v>416</v>
      </c>
      <c r="AL134" s="612"/>
      <c r="AM134" s="430">
        <f t="shared" ca="1" si="54"/>
        <v>0</v>
      </c>
      <c r="AN134" s="655">
        <f t="shared" ca="1" si="55"/>
        <v>0</v>
      </c>
    </row>
    <row r="135" spans="1:40" ht="13.8" x14ac:dyDescent="0.3">
      <c r="A135" t="str">
        <f t="shared" si="34"/>
        <v>S</v>
      </c>
      <c r="B135">
        <f t="shared" ca="1" si="35"/>
        <v>3</v>
      </c>
      <c r="C135" t="str">
        <f t="shared" ca="1" si="36"/>
        <v>S</v>
      </c>
      <c r="D135">
        <f t="shared" ca="1" si="37"/>
        <v>0</v>
      </c>
      <c r="E135">
        <f ca="1">IF($C135=1,OFFSET(E135,-1,0)+MAX(1,COUNTIF(QCI!$A$13:$A$24,OFFSET(ORÇAMENTO!E135,-1,0))),OFFSET(E135,-1,0))</f>
        <v>1</v>
      </c>
      <c r="F135">
        <f t="shared" ca="1" si="38"/>
        <v>4</v>
      </c>
      <c r="G135">
        <f t="shared" ca="1" si="39"/>
        <v>7</v>
      </c>
      <c r="H135">
        <f t="shared" ca="1" si="40"/>
        <v>0</v>
      </c>
      <c r="I135">
        <f t="shared" ca="1" si="41"/>
        <v>0</v>
      </c>
      <c r="J135">
        <f t="shared" ca="1" si="56"/>
        <v>0</v>
      </c>
      <c r="K135">
        <f ca="1">IF(OR($C135="S",$C135=0),0,MATCH(OFFSET($D135,0,$C135)+IF($C135&lt;&gt;1,1,COUNTIF(QCI!$A$13:$A$24,ORÇAMENTO!E135)),OFFSET($D135,1,$C135,ROW($C$710)-ROW($C135)),0))</f>
        <v>0</v>
      </c>
      <c r="L135" s="143" t="str">
        <f t="shared" ca="1" si="42"/>
        <v/>
      </c>
      <c r="M135" s="144" t="s">
        <v>201</v>
      </c>
      <c r="N135" s="145" t="str">
        <f t="shared" ca="1" si="43"/>
        <v>Serviço</v>
      </c>
      <c r="O135" s="146" t="str">
        <f t="shared" ca="1" si="44"/>
        <v>-</v>
      </c>
      <c r="P135" s="147" t="s">
        <v>249</v>
      </c>
      <c r="Q135" s="148">
        <v>97088</v>
      </c>
      <c r="R135" s="149" t="str">
        <f ca="1">IF($C135="S",REFERENCIA.Descricao,"(digite a descrição aqui)")</f>
        <v>(abra o arquivo 'Referência 05-2024.xls)</v>
      </c>
      <c r="S135" s="150" t="str">
        <f ca="1">REFERENCIA.Unidade</f>
        <v>-</v>
      </c>
      <c r="T135" s="151">
        <f ca="1">OFFSET(CÁLCULO!H$15,ROW($T135)-ROW(T$15),0)</f>
        <v>615.67999999999995</v>
      </c>
      <c r="U135" s="152">
        <f t="shared" ca="1" si="57"/>
        <v>0</v>
      </c>
      <c r="V135" s="153" t="s">
        <v>158</v>
      </c>
      <c r="W135" s="151">
        <f t="shared" ca="1" si="45"/>
        <v>0</v>
      </c>
      <c r="X135" s="154">
        <f t="shared" ca="1" si="46"/>
        <v>0</v>
      </c>
      <c r="Y135" s="155" t="s">
        <v>583</v>
      </c>
      <c r="Z135" t="str">
        <f t="shared" ca="1" si="47"/>
        <v/>
      </c>
      <c r="AA135" s="156">
        <f ca="1">IF($C135="S",IF($Z135="CP",$X135,IF($Z135="RA",(($X135)*QCI!$AA$3),0)),SomaAgrup)</f>
        <v>0</v>
      </c>
      <c r="AB135" s="157">
        <f t="shared" ca="1" si="48"/>
        <v>0</v>
      </c>
      <c r="AC135" s="158" t="str">
        <f t="shared" ca="1" si="49"/>
        <v/>
      </c>
      <c r="AD135" s="104" t="str">
        <f ca="1">IF(C135&lt;=CRONO.NivelExibicao,MAX($AD$15:OFFSET(AD135,-1,0))+IF($C135&lt;&gt;1,1,MAX(1,COUNTIF(QCI!$A$13:$A$24,OFFSET($E135,-1,0)))),"")</f>
        <v/>
      </c>
      <c r="AE135" s="114" t="str">
        <f t="shared" ca="1" si="50"/>
        <v>SINAPI 97088</v>
      </c>
      <c r="AF135" s="159" t="str">
        <f t="shared" ca="1" si="51"/>
        <v>(abra o arquivo 'Referência 05-2024.xls)</v>
      </c>
      <c r="AG135" s="579">
        <f t="shared" ca="1" si="52"/>
        <v>0</v>
      </c>
      <c r="AH135" s="580">
        <f t="shared" ca="1" si="53"/>
        <v>0.22470000000000001</v>
      </c>
      <c r="AJ135" s="582">
        <v>615.67999999999995</v>
      </c>
      <c r="AL135" s="612"/>
      <c r="AM135" s="430">
        <f t="shared" ca="1" si="54"/>
        <v>0</v>
      </c>
      <c r="AN135" s="655">
        <f t="shared" ca="1" si="55"/>
        <v>0</v>
      </c>
    </row>
    <row r="136" spans="1:40" ht="13.8" x14ac:dyDescent="0.3">
      <c r="A136" t="str">
        <f t="shared" si="34"/>
        <v>S</v>
      </c>
      <c r="B136">
        <f t="shared" ca="1" si="35"/>
        <v>3</v>
      </c>
      <c r="C136" t="str">
        <f t="shared" ca="1" si="36"/>
        <v>S</v>
      </c>
      <c r="D136">
        <f t="shared" ca="1" si="37"/>
        <v>0</v>
      </c>
      <c r="E136">
        <f ca="1">IF($C136=1,OFFSET(E136,-1,0)+MAX(1,COUNTIF(QCI!$A$13:$A$24,OFFSET(ORÇAMENTO!E136,-1,0))),OFFSET(E136,-1,0))</f>
        <v>1</v>
      </c>
      <c r="F136">
        <f t="shared" ca="1" si="38"/>
        <v>4</v>
      </c>
      <c r="G136">
        <f t="shared" ca="1" si="39"/>
        <v>7</v>
      </c>
      <c r="H136">
        <f t="shared" ca="1" si="40"/>
        <v>0</v>
      </c>
      <c r="I136">
        <f t="shared" ca="1" si="41"/>
        <v>0</v>
      </c>
      <c r="J136">
        <f t="shared" ca="1" si="56"/>
        <v>0</v>
      </c>
      <c r="K136">
        <f ca="1">IF(OR($C136="S",$C136=0),0,MATCH(OFFSET($D136,0,$C136)+IF($C136&lt;&gt;1,1,COUNTIF(QCI!$A$13:$A$24,ORÇAMENTO!E136)),OFFSET($D136,1,$C136,ROW($C$710)-ROW($C136)),0))</f>
        <v>0</v>
      </c>
      <c r="L136" s="143" t="str">
        <f t="shared" ca="1" si="42"/>
        <v/>
      </c>
      <c r="M136" s="144" t="s">
        <v>201</v>
      </c>
      <c r="N136" s="145" t="str">
        <f t="shared" ca="1" si="43"/>
        <v>Serviço</v>
      </c>
      <c r="O136" s="146" t="str">
        <f t="shared" ca="1" si="44"/>
        <v>-</v>
      </c>
      <c r="P136" s="147" t="s">
        <v>249</v>
      </c>
      <c r="Q136" s="148">
        <v>101747</v>
      </c>
      <c r="R136" s="149" t="str">
        <f ca="1">IF($C136="S",REFERENCIA.Descricao,"(digite a descrição aqui)")</f>
        <v>(abra o arquivo 'Referência 05-2024.xls)</v>
      </c>
      <c r="S136" s="150" t="str">
        <f ca="1">REFERENCIA.Unidade</f>
        <v>-</v>
      </c>
      <c r="T136" s="151">
        <f ca="1">OFFSET(CÁLCULO!H$15,ROW($T136)-ROW(T$15),0)</f>
        <v>416</v>
      </c>
      <c r="U136" s="152">
        <f t="shared" ca="1" si="57"/>
        <v>0</v>
      </c>
      <c r="V136" s="153" t="s">
        <v>158</v>
      </c>
      <c r="W136" s="151">
        <f t="shared" ca="1" si="45"/>
        <v>0</v>
      </c>
      <c r="X136" s="154">
        <f t="shared" ca="1" si="46"/>
        <v>0</v>
      </c>
      <c r="Y136" s="155" t="s">
        <v>583</v>
      </c>
      <c r="Z136" t="str">
        <f t="shared" ca="1" si="47"/>
        <v/>
      </c>
      <c r="AA136" s="156">
        <f ca="1">IF($C136="S",IF($Z136="CP",$X136,IF($Z136="RA",(($X136)*QCI!$AA$3),0)),SomaAgrup)</f>
        <v>0</v>
      </c>
      <c r="AB136" s="157">
        <f t="shared" ca="1" si="48"/>
        <v>0</v>
      </c>
      <c r="AC136" s="158" t="str">
        <f t="shared" ca="1" si="49"/>
        <v/>
      </c>
      <c r="AD136" s="104" t="str">
        <f ca="1">IF(C136&lt;=CRONO.NivelExibicao,MAX($AD$15:OFFSET(AD136,-1,0))+IF($C136&lt;&gt;1,1,MAX(1,COUNTIF(QCI!$A$13:$A$24,OFFSET($E136,-1,0)))),"")</f>
        <v/>
      </c>
      <c r="AE136" s="114" t="str">
        <f t="shared" ca="1" si="50"/>
        <v>SINAPI 101747</v>
      </c>
      <c r="AF136" s="159" t="str">
        <f t="shared" ca="1" si="51"/>
        <v>(abra o arquivo 'Referência 05-2024.xls)</v>
      </c>
      <c r="AG136" s="579">
        <f t="shared" ca="1" si="52"/>
        <v>0</v>
      </c>
      <c r="AH136" s="580">
        <f t="shared" ca="1" si="53"/>
        <v>0.22470000000000001</v>
      </c>
      <c r="AJ136" s="582">
        <v>416</v>
      </c>
      <c r="AL136" s="612"/>
      <c r="AM136" s="430">
        <f t="shared" ca="1" si="54"/>
        <v>0</v>
      </c>
      <c r="AN136" s="655">
        <f t="shared" ca="1" si="55"/>
        <v>0</v>
      </c>
    </row>
    <row r="137" spans="1:40" ht="13.8" x14ac:dyDescent="0.3">
      <c r="A137">
        <f t="shared" si="34"/>
        <v>3</v>
      </c>
      <c r="B137">
        <f t="shared" ca="1" si="35"/>
        <v>3</v>
      </c>
      <c r="C137">
        <f t="shared" ca="1" si="36"/>
        <v>3</v>
      </c>
      <c r="D137">
        <f t="shared" ca="1" si="37"/>
        <v>5</v>
      </c>
      <c r="E137">
        <f ca="1">IF($C137=1,OFFSET(E137,-1,0)+MAX(1,COUNTIF(QCI!$A$13:$A$24,OFFSET(ORÇAMENTO!E137,-1,0))),OFFSET(E137,-1,0))</f>
        <v>1</v>
      </c>
      <c r="F137">
        <f t="shared" ca="1" si="38"/>
        <v>4</v>
      </c>
      <c r="G137">
        <f t="shared" ca="1" si="39"/>
        <v>8</v>
      </c>
      <c r="H137">
        <f t="shared" ca="1" si="40"/>
        <v>0</v>
      </c>
      <c r="I137">
        <f t="shared" ca="1" si="41"/>
        <v>0</v>
      </c>
      <c r="J137">
        <f t="shared" ca="1" si="56"/>
        <v>15</v>
      </c>
      <c r="K137">
        <f ca="1">IF(OR($C137="S",$C137=0),0,MATCH(OFFSET($D137,0,$C137)+IF($C137&lt;&gt;1,1,COUNTIF(QCI!$A$13:$A$24,ORÇAMENTO!E137)),OFFSET($D137,1,$C137,ROW($C$710)-ROW($C137)),0))</f>
        <v>5</v>
      </c>
      <c r="L137" s="143" t="str">
        <f t="shared" ca="1" si="42"/>
        <v>F</v>
      </c>
      <c r="M137" s="144" t="s">
        <v>199</v>
      </c>
      <c r="N137" s="145" t="str">
        <f t="shared" ca="1" si="43"/>
        <v>Nível 3</v>
      </c>
      <c r="O137" s="146" t="str">
        <f t="shared" ca="1" si="44"/>
        <v>1.4.8.</v>
      </c>
      <c r="P137" s="147" t="s">
        <v>249</v>
      </c>
      <c r="Q137" s="148"/>
      <c r="R137" s="149" t="s">
        <v>500</v>
      </c>
      <c r="S137" s="150" t="s">
        <v>168</v>
      </c>
      <c r="T137" s="151">
        <f ca="1">OFFSET(CÁLCULO!H$15,ROW($T137)-ROW(T$15),0)</f>
        <v>0</v>
      </c>
      <c r="U137" s="152">
        <f t="shared" ca="1" si="57"/>
        <v>0</v>
      </c>
      <c r="V137" s="153" t="s">
        <v>158</v>
      </c>
      <c r="W137" s="151">
        <f t="shared" ca="1" si="45"/>
        <v>0</v>
      </c>
      <c r="X137" s="154">
        <f t="shared" ca="1" si="46"/>
        <v>0</v>
      </c>
      <c r="Y137" s="155" t="s">
        <v>583</v>
      </c>
      <c r="Z137" t="str">
        <f t="shared" ca="1" si="47"/>
        <v/>
      </c>
      <c r="AA137" s="156">
        <f ca="1">IF($C137="S",IF($Z137="CP",$X137,IF($Z137="RA",(($X137)*QCI!$AA$3),0)),SomaAgrup)</f>
        <v>0</v>
      </c>
      <c r="AB137" s="157">
        <f t="shared" ca="1" si="48"/>
        <v>0</v>
      </c>
      <c r="AC137" s="158" t="str">
        <f t="shared" ca="1" si="49"/>
        <v/>
      </c>
      <c r="AD137" s="104" t="str">
        <f ca="1">IF(C137&lt;=CRONO.NivelExibicao,MAX($AD$15:OFFSET(AD137,-1,0))+IF($C137&lt;&gt;1,1,MAX(1,COUNTIF(QCI!$A$13:$A$24,OFFSET($E137,-1,0)))),"")</f>
        <v/>
      </c>
      <c r="AE137" s="114" t="b">
        <f t="shared" ca="1" si="50"/>
        <v>0</v>
      </c>
      <c r="AF137" s="159" t="str">
        <f t="shared" ca="1" si="51"/>
        <v>(abra o arquivo 'Referência 05-2024.xls)</v>
      </c>
      <c r="AG137" s="579">
        <f t="shared" ca="1" si="52"/>
        <v>0</v>
      </c>
      <c r="AH137" s="580">
        <f t="shared" ca="1" si="53"/>
        <v>0.22470000000000001</v>
      </c>
      <c r="AJ137" s="582"/>
      <c r="AL137" s="612"/>
      <c r="AM137" s="430">
        <f t="shared" ca="1" si="54"/>
        <v>0</v>
      </c>
      <c r="AN137" s="655">
        <f t="shared" ca="1" si="55"/>
        <v>0</v>
      </c>
    </row>
    <row r="138" spans="1:40" ht="13.8" x14ac:dyDescent="0.3">
      <c r="A138" t="str">
        <f t="shared" si="34"/>
        <v>S</v>
      </c>
      <c r="B138">
        <f t="shared" ca="1" si="35"/>
        <v>3</v>
      </c>
      <c r="C138" t="str">
        <f t="shared" ca="1" si="36"/>
        <v>S</v>
      </c>
      <c r="D138">
        <f t="shared" ca="1" si="37"/>
        <v>0</v>
      </c>
      <c r="E138">
        <f ca="1">IF($C138=1,OFFSET(E138,-1,0)+MAX(1,COUNTIF(QCI!$A$13:$A$24,OFFSET(ORÇAMENTO!E138,-1,0))),OFFSET(E138,-1,0))</f>
        <v>1</v>
      </c>
      <c r="F138">
        <f t="shared" ca="1" si="38"/>
        <v>4</v>
      </c>
      <c r="G138">
        <f t="shared" ca="1" si="39"/>
        <v>8</v>
      </c>
      <c r="H138">
        <f t="shared" ca="1" si="40"/>
        <v>0</v>
      </c>
      <c r="I138">
        <f t="shared" ca="1" si="41"/>
        <v>0</v>
      </c>
      <c r="J138">
        <f t="shared" ca="1" si="56"/>
        <v>0</v>
      </c>
      <c r="K138">
        <f ca="1">IF(OR($C138="S",$C138=0),0,MATCH(OFFSET($D138,0,$C138)+IF($C138&lt;&gt;1,1,COUNTIF(QCI!$A$13:$A$24,ORÇAMENTO!E138)),OFFSET($D138,1,$C138,ROW($C$710)-ROW($C138)),0))</f>
        <v>0</v>
      </c>
      <c r="L138" s="143" t="str">
        <f t="shared" ca="1" si="42"/>
        <v/>
      </c>
      <c r="M138" s="144" t="s">
        <v>201</v>
      </c>
      <c r="N138" s="145" t="str">
        <f t="shared" ca="1" si="43"/>
        <v>Serviço</v>
      </c>
      <c r="O138" s="146" t="str">
        <f t="shared" ca="1" si="44"/>
        <v>-</v>
      </c>
      <c r="P138" s="147" t="s">
        <v>249</v>
      </c>
      <c r="Q138" s="148">
        <v>92538</v>
      </c>
      <c r="R138" s="149" t="str">
        <f ca="1">IF($C138="S",REFERENCIA.Descricao,"(digite a descrição aqui)")</f>
        <v>(abra o arquivo 'Referência 05-2024.xls)</v>
      </c>
      <c r="S138" s="150" t="str">
        <f ca="1">REFERENCIA.Unidade</f>
        <v>-</v>
      </c>
      <c r="T138" s="151">
        <f ca="1">OFFSET(CÁLCULO!H$15,ROW($T138)-ROW(T$15),0)</f>
        <v>98.73</v>
      </c>
      <c r="U138" s="152">
        <f t="shared" ca="1" si="57"/>
        <v>0</v>
      </c>
      <c r="V138" s="153" t="s">
        <v>158</v>
      </c>
      <c r="W138" s="151">
        <f t="shared" ca="1" si="45"/>
        <v>0</v>
      </c>
      <c r="X138" s="154">
        <f t="shared" ca="1" si="46"/>
        <v>0</v>
      </c>
      <c r="Y138" s="155" t="s">
        <v>583</v>
      </c>
      <c r="Z138" t="str">
        <f t="shared" ca="1" si="47"/>
        <v/>
      </c>
      <c r="AA138" s="156">
        <f ca="1">IF($C138="S",IF($Z138="CP",$X138,IF($Z138="RA",(($X138)*QCI!$AA$3),0)),SomaAgrup)</f>
        <v>0</v>
      </c>
      <c r="AB138" s="157">
        <f t="shared" ca="1" si="48"/>
        <v>0</v>
      </c>
      <c r="AC138" s="158" t="str">
        <f t="shared" ca="1" si="49"/>
        <v/>
      </c>
      <c r="AD138" s="104" t="str">
        <f ca="1">IF(C138&lt;=CRONO.NivelExibicao,MAX($AD$15:OFFSET(AD138,-1,0))+IF($C138&lt;&gt;1,1,MAX(1,COUNTIF(QCI!$A$13:$A$24,OFFSET($E138,-1,0)))),"")</f>
        <v/>
      </c>
      <c r="AE138" s="114" t="str">
        <f t="shared" ca="1" si="50"/>
        <v>SINAPI 92538</v>
      </c>
      <c r="AF138" s="159" t="str">
        <f t="shared" ca="1" si="51"/>
        <v>(abra o arquivo 'Referência 05-2024.xls)</v>
      </c>
      <c r="AG138" s="579">
        <f t="shared" ca="1" si="52"/>
        <v>0</v>
      </c>
      <c r="AH138" s="580">
        <f t="shared" ca="1" si="53"/>
        <v>0.22470000000000001</v>
      </c>
      <c r="AJ138" s="582">
        <v>98.73</v>
      </c>
      <c r="AL138" s="612"/>
      <c r="AM138" s="430">
        <f t="shared" ca="1" si="54"/>
        <v>0</v>
      </c>
      <c r="AN138" s="655">
        <f t="shared" ca="1" si="55"/>
        <v>0</v>
      </c>
    </row>
    <row r="139" spans="1:40" ht="13.8" x14ac:dyDescent="0.3">
      <c r="A139" t="str">
        <f t="shared" si="34"/>
        <v>S</v>
      </c>
      <c r="B139">
        <f t="shared" ca="1" si="35"/>
        <v>3</v>
      </c>
      <c r="C139" t="str">
        <f t="shared" ca="1" si="36"/>
        <v>S</v>
      </c>
      <c r="D139">
        <f t="shared" ca="1" si="37"/>
        <v>0</v>
      </c>
      <c r="E139">
        <f ca="1">IF($C139=1,OFFSET(E139,-1,0)+MAX(1,COUNTIF(QCI!$A$13:$A$24,OFFSET(ORÇAMENTO!E139,-1,0))),OFFSET(E139,-1,0))</f>
        <v>1</v>
      </c>
      <c r="F139">
        <f t="shared" ca="1" si="38"/>
        <v>4</v>
      </c>
      <c r="G139">
        <f t="shared" ca="1" si="39"/>
        <v>8</v>
      </c>
      <c r="H139">
        <f t="shared" ca="1" si="40"/>
        <v>0</v>
      </c>
      <c r="I139">
        <f t="shared" ca="1" si="41"/>
        <v>0</v>
      </c>
      <c r="J139">
        <f t="shared" ca="1" si="56"/>
        <v>0</v>
      </c>
      <c r="K139">
        <f ca="1">IF(OR($C139="S",$C139=0),0,MATCH(OFFSET($D139,0,$C139)+IF($C139&lt;&gt;1,1,COUNTIF(QCI!$A$13:$A$24,ORÇAMENTO!E139)),OFFSET($D139,1,$C139,ROW($C$710)-ROW($C139)),0))</f>
        <v>0</v>
      </c>
      <c r="L139" s="143" t="str">
        <f t="shared" ca="1" si="42"/>
        <v/>
      </c>
      <c r="M139" s="144" t="s">
        <v>201</v>
      </c>
      <c r="N139" s="145" t="str">
        <f t="shared" ca="1" si="43"/>
        <v>Serviço</v>
      </c>
      <c r="O139" s="146" t="str">
        <f t="shared" ca="1" si="44"/>
        <v>-</v>
      </c>
      <c r="P139" s="147" t="s">
        <v>249</v>
      </c>
      <c r="Q139" s="148">
        <v>92769</v>
      </c>
      <c r="R139" s="149" t="str">
        <f ca="1">IF($C139="S",REFERENCIA.Descricao,"(digite a descrição aqui)")</f>
        <v>(abra o arquivo 'Referência 05-2024.xls)</v>
      </c>
      <c r="S139" s="150" t="str">
        <f ca="1">REFERENCIA.Unidade</f>
        <v>-</v>
      </c>
      <c r="T139" s="151">
        <f ca="1">OFFSET(CÁLCULO!H$15,ROW($T139)-ROW(T$15),0)</f>
        <v>6.58</v>
      </c>
      <c r="U139" s="152">
        <f t="shared" ca="1" si="57"/>
        <v>0</v>
      </c>
      <c r="V139" s="153" t="s">
        <v>158</v>
      </c>
      <c r="W139" s="151">
        <f t="shared" ca="1" si="45"/>
        <v>0</v>
      </c>
      <c r="X139" s="154">
        <f t="shared" ca="1" si="46"/>
        <v>0</v>
      </c>
      <c r="Y139" s="155" t="s">
        <v>583</v>
      </c>
      <c r="Z139" t="str">
        <f t="shared" ca="1" si="47"/>
        <v/>
      </c>
      <c r="AA139" s="156">
        <f ca="1">IF($C139="S",IF($Z139="CP",$X139,IF($Z139="RA",(($X139)*QCI!$AA$3),0)),SomaAgrup)</f>
        <v>0</v>
      </c>
      <c r="AB139" s="157">
        <f t="shared" ca="1" si="48"/>
        <v>0</v>
      </c>
      <c r="AC139" s="158" t="str">
        <f t="shared" ca="1" si="49"/>
        <v/>
      </c>
      <c r="AD139" s="104" t="str">
        <f ca="1">IF(C139&lt;=CRONO.NivelExibicao,MAX($AD$15:OFFSET(AD139,-1,0))+IF($C139&lt;&gt;1,1,MAX(1,COUNTIF(QCI!$A$13:$A$24,OFFSET($E139,-1,0)))),"")</f>
        <v/>
      </c>
      <c r="AE139" s="114" t="str">
        <f t="shared" ca="1" si="50"/>
        <v>SINAPI 92769</v>
      </c>
      <c r="AF139" s="159" t="str">
        <f t="shared" ca="1" si="51"/>
        <v>(abra o arquivo 'Referência 05-2024.xls)</v>
      </c>
      <c r="AG139" s="579">
        <f t="shared" ca="1" si="52"/>
        <v>0</v>
      </c>
      <c r="AH139" s="580">
        <f t="shared" ca="1" si="53"/>
        <v>0.22470000000000001</v>
      </c>
      <c r="AJ139" s="582">
        <v>6.58</v>
      </c>
      <c r="AL139" s="612"/>
      <c r="AM139" s="430">
        <f t="shared" ca="1" si="54"/>
        <v>0</v>
      </c>
      <c r="AN139" s="655">
        <f t="shared" ca="1" si="55"/>
        <v>0</v>
      </c>
    </row>
    <row r="140" spans="1:40" ht="13.8" x14ac:dyDescent="0.3">
      <c r="A140" t="str">
        <f t="shared" si="34"/>
        <v>S</v>
      </c>
      <c r="B140">
        <f t="shared" ca="1" si="35"/>
        <v>3</v>
      </c>
      <c r="C140" t="str">
        <f t="shared" ca="1" si="36"/>
        <v>S</v>
      </c>
      <c r="D140">
        <f t="shared" ca="1" si="37"/>
        <v>0</v>
      </c>
      <c r="E140">
        <f ca="1">IF($C140=1,OFFSET(E140,-1,0)+MAX(1,COUNTIF(QCI!$A$13:$A$24,OFFSET(ORÇAMENTO!E140,-1,0))),OFFSET(E140,-1,0))</f>
        <v>1</v>
      </c>
      <c r="F140">
        <f t="shared" ca="1" si="38"/>
        <v>4</v>
      </c>
      <c r="G140">
        <f t="shared" ca="1" si="39"/>
        <v>8</v>
      </c>
      <c r="H140">
        <f t="shared" ca="1" si="40"/>
        <v>0</v>
      </c>
      <c r="I140">
        <f t="shared" ca="1" si="41"/>
        <v>0</v>
      </c>
      <c r="J140">
        <f t="shared" ca="1" si="56"/>
        <v>0</v>
      </c>
      <c r="K140">
        <f ca="1">IF(OR($C140="S",$C140=0),0,MATCH(OFFSET($D140,0,$C140)+IF($C140&lt;&gt;1,1,COUNTIF(QCI!$A$13:$A$24,ORÇAMENTO!E140)),OFFSET($D140,1,$C140,ROW($C$710)-ROW($C140)),0))</f>
        <v>0</v>
      </c>
      <c r="L140" s="143" t="str">
        <f t="shared" ca="1" si="42"/>
        <v/>
      </c>
      <c r="M140" s="144" t="s">
        <v>201</v>
      </c>
      <c r="N140" s="145" t="str">
        <f t="shared" ca="1" si="43"/>
        <v>Serviço</v>
      </c>
      <c r="O140" s="146" t="str">
        <f t="shared" ca="1" si="44"/>
        <v>-</v>
      </c>
      <c r="P140" s="147" t="s">
        <v>249</v>
      </c>
      <c r="Q140" s="148">
        <v>92768</v>
      </c>
      <c r="R140" s="149" t="str">
        <f ca="1">IF($C140="S",REFERENCIA.Descricao,"(digite a descrição aqui)")</f>
        <v>(abra o arquivo 'Referência 05-2024.xls)</v>
      </c>
      <c r="S140" s="150" t="str">
        <f ca="1">REFERENCIA.Unidade</f>
        <v>-</v>
      </c>
      <c r="T140" s="151">
        <f ca="1">OFFSET(CÁLCULO!H$15,ROW($T140)-ROW(T$15),0)</f>
        <v>106.96</v>
      </c>
      <c r="U140" s="152">
        <f t="shared" ca="1" si="57"/>
        <v>0</v>
      </c>
      <c r="V140" s="153" t="s">
        <v>158</v>
      </c>
      <c r="W140" s="151">
        <f t="shared" ca="1" si="45"/>
        <v>0</v>
      </c>
      <c r="X140" s="154">
        <f t="shared" ca="1" si="46"/>
        <v>0</v>
      </c>
      <c r="Y140" s="155" t="s">
        <v>583</v>
      </c>
      <c r="Z140" t="str">
        <f t="shared" ca="1" si="47"/>
        <v/>
      </c>
      <c r="AA140" s="156">
        <f ca="1">IF($C140="S",IF($Z140="CP",$X140,IF($Z140="RA",(($X140)*QCI!$AA$3),0)),SomaAgrup)</f>
        <v>0</v>
      </c>
      <c r="AB140" s="157">
        <f t="shared" ca="1" si="48"/>
        <v>0</v>
      </c>
      <c r="AC140" s="158" t="str">
        <f t="shared" ca="1" si="49"/>
        <v/>
      </c>
      <c r="AD140" s="104" t="str">
        <f ca="1">IF(C140&lt;=CRONO.NivelExibicao,MAX($AD$15:OFFSET(AD140,-1,0))+IF($C140&lt;&gt;1,1,MAX(1,COUNTIF(QCI!$A$13:$A$24,OFFSET($E140,-1,0)))),"")</f>
        <v/>
      </c>
      <c r="AE140" s="114" t="str">
        <f t="shared" ca="1" si="50"/>
        <v>SINAPI 92768</v>
      </c>
      <c r="AF140" s="159" t="str">
        <f t="shared" ca="1" si="51"/>
        <v>(abra o arquivo 'Referência 05-2024.xls)</v>
      </c>
      <c r="AG140" s="579">
        <f t="shared" ca="1" si="52"/>
        <v>0</v>
      </c>
      <c r="AH140" s="580">
        <f t="shared" ca="1" si="53"/>
        <v>0.22470000000000001</v>
      </c>
      <c r="AJ140" s="582">
        <v>106.96</v>
      </c>
      <c r="AL140" s="612"/>
      <c r="AM140" s="430">
        <f t="shared" ca="1" si="54"/>
        <v>0</v>
      </c>
      <c r="AN140" s="655">
        <f t="shared" ca="1" si="55"/>
        <v>0</v>
      </c>
    </row>
    <row r="141" spans="1:40" ht="13.8" x14ac:dyDescent="0.3">
      <c r="A141" t="str">
        <f t="shared" si="34"/>
        <v>S</v>
      </c>
      <c r="B141">
        <f t="shared" ca="1" si="35"/>
        <v>3</v>
      </c>
      <c r="C141" t="str">
        <f t="shared" ca="1" si="36"/>
        <v>S</v>
      </c>
      <c r="D141">
        <f t="shared" ca="1" si="37"/>
        <v>0</v>
      </c>
      <c r="E141">
        <f ca="1">IF($C141=1,OFFSET(E141,-1,0)+MAX(1,COUNTIF(QCI!$A$13:$A$24,OFFSET(ORÇAMENTO!E141,-1,0))),OFFSET(E141,-1,0))</f>
        <v>1</v>
      </c>
      <c r="F141">
        <f t="shared" ca="1" si="38"/>
        <v>4</v>
      </c>
      <c r="G141">
        <f t="shared" ca="1" si="39"/>
        <v>8</v>
      </c>
      <c r="H141">
        <f t="shared" ca="1" si="40"/>
        <v>0</v>
      </c>
      <c r="I141">
        <f t="shared" ca="1" si="41"/>
        <v>0</v>
      </c>
      <c r="J141">
        <f t="shared" ca="1" si="56"/>
        <v>0</v>
      </c>
      <c r="K141">
        <f ca="1">IF(OR($C141="S",$C141=0),0,MATCH(OFFSET($D141,0,$C141)+IF($C141&lt;&gt;1,1,COUNTIF(QCI!$A$13:$A$24,ORÇAMENTO!E141)),OFFSET($D141,1,$C141,ROW($C$710)-ROW($C141)),0))</f>
        <v>0</v>
      </c>
      <c r="L141" s="143" t="str">
        <f t="shared" ca="1" si="42"/>
        <v/>
      </c>
      <c r="M141" s="144" t="s">
        <v>201</v>
      </c>
      <c r="N141" s="145" t="str">
        <f t="shared" ca="1" si="43"/>
        <v>Serviço</v>
      </c>
      <c r="O141" s="146" t="str">
        <f t="shared" ca="1" si="44"/>
        <v>-</v>
      </c>
      <c r="P141" s="147" t="s">
        <v>441</v>
      </c>
      <c r="Q141" s="148" t="s">
        <v>448</v>
      </c>
      <c r="R141" s="149" t="str">
        <f ca="1">IF($C141="S",REFERENCIA.Descricao,"(digite a descrição aqui)")</f>
        <v>(abra o arquivo 'Referência 05-2024.xls)</v>
      </c>
      <c r="S141" s="150" t="str">
        <f ca="1">REFERENCIA.Unidade</f>
        <v>-</v>
      </c>
      <c r="T141" s="151">
        <f ca="1">OFFSET(CÁLCULO!H$15,ROW($T141)-ROW(T$15),0)</f>
        <v>7.37</v>
      </c>
      <c r="U141" s="152">
        <f t="shared" ca="1" si="57"/>
        <v>0</v>
      </c>
      <c r="V141" s="153" t="s">
        <v>158</v>
      </c>
      <c r="W141" s="151">
        <f t="shared" ca="1" si="45"/>
        <v>0</v>
      </c>
      <c r="X141" s="154">
        <f t="shared" ca="1" si="46"/>
        <v>0</v>
      </c>
      <c r="Y141" s="155" t="s">
        <v>583</v>
      </c>
      <c r="Z141" t="str">
        <f t="shared" ca="1" si="47"/>
        <v/>
      </c>
      <c r="AA141" s="156">
        <f ca="1">IF($C141="S",IF($Z141="CP",$X141,IF($Z141="RA",(($X141)*QCI!$AA$3),0)),SomaAgrup)</f>
        <v>0</v>
      </c>
      <c r="AB141" s="157">
        <f t="shared" ca="1" si="48"/>
        <v>0</v>
      </c>
      <c r="AC141" s="158" t="str">
        <f t="shared" ca="1" si="49"/>
        <v/>
      </c>
      <c r="AD141" s="104" t="str">
        <f ca="1">IF(C141&lt;=CRONO.NivelExibicao,MAX($AD$15:OFFSET(AD141,-1,0))+IF($C141&lt;&gt;1,1,MAX(1,COUNTIF(QCI!$A$13:$A$24,OFFSET($E141,-1,0)))),"")</f>
        <v/>
      </c>
      <c r="AE141" s="114" t="str">
        <f t="shared" ca="1" si="50"/>
        <v>Composição CP-09</v>
      </c>
      <c r="AF141" s="159" t="str">
        <f t="shared" ca="1" si="51"/>
        <v>(abra o arquivo 'Referência 05-2024.xls)</v>
      </c>
      <c r="AG141" s="579">
        <f t="shared" ca="1" si="52"/>
        <v>0</v>
      </c>
      <c r="AH141" s="580">
        <f t="shared" ca="1" si="53"/>
        <v>0.22470000000000001</v>
      </c>
      <c r="AJ141" s="582">
        <v>7.37</v>
      </c>
      <c r="AL141" s="612"/>
      <c r="AM141" s="430">
        <f t="shared" ca="1" si="54"/>
        <v>0</v>
      </c>
      <c r="AN141" s="655">
        <f t="shared" ca="1" si="55"/>
        <v>0</v>
      </c>
    </row>
    <row r="142" spans="1:40" ht="13.8" x14ac:dyDescent="0.3">
      <c r="A142">
        <f t="shared" si="34"/>
        <v>3</v>
      </c>
      <c r="B142">
        <f t="shared" ca="1" si="35"/>
        <v>3</v>
      </c>
      <c r="C142">
        <f t="shared" ca="1" si="36"/>
        <v>3</v>
      </c>
      <c r="D142">
        <f t="shared" ca="1" si="37"/>
        <v>4</v>
      </c>
      <c r="E142">
        <f ca="1">IF($C142=1,OFFSET(E142,-1,0)+MAX(1,COUNTIF(QCI!$A$13:$A$24,OFFSET(ORÇAMENTO!E142,-1,0))),OFFSET(E142,-1,0))</f>
        <v>1</v>
      </c>
      <c r="F142">
        <f t="shared" ca="1" si="38"/>
        <v>4</v>
      </c>
      <c r="G142">
        <f t="shared" ca="1" si="39"/>
        <v>9</v>
      </c>
      <c r="H142">
        <f t="shared" ca="1" si="40"/>
        <v>0</v>
      </c>
      <c r="I142">
        <f t="shared" ca="1" si="41"/>
        <v>0</v>
      </c>
      <c r="J142">
        <f t="shared" ca="1" si="56"/>
        <v>10</v>
      </c>
      <c r="K142">
        <f ca="1">IF(OR($C142="S",$C142=0),0,MATCH(OFFSET($D142,0,$C142)+IF($C142&lt;&gt;1,1,COUNTIF(QCI!$A$13:$A$24,ORÇAMENTO!E142)),OFFSET($D142,1,$C142,ROW($C$710)-ROW($C142)),0))</f>
        <v>4</v>
      </c>
      <c r="L142" s="143" t="str">
        <f t="shared" ca="1" si="42"/>
        <v>F</v>
      </c>
      <c r="M142" s="144" t="s">
        <v>199</v>
      </c>
      <c r="N142" s="145" t="str">
        <f t="shared" ca="1" si="43"/>
        <v>Nível 3</v>
      </c>
      <c r="O142" s="146" t="str">
        <f t="shared" ca="1" si="44"/>
        <v>1.4.9.</v>
      </c>
      <c r="P142" s="147" t="s">
        <v>249</v>
      </c>
      <c r="Q142" s="148"/>
      <c r="R142" s="149" t="s">
        <v>501</v>
      </c>
      <c r="S142" s="150" t="s">
        <v>168</v>
      </c>
      <c r="T142" s="151">
        <f ca="1">OFFSET(CÁLCULO!H$15,ROW($T142)-ROW(T$15),0)</f>
        <v>0</v>
      </c>
      <c r="U142" s="152">
        <f t="shared" ca="1" si="57"/>
        <v>0</v>
      </c>
      <c r="V142" s="153" t="s">
        <v>158</v>
      </c>
      <c r="W142" s="151">
        <f t="shared" ca="1" si="45"/>
        <v>0</v>
      </c>
      <c r="X142" s="154">
        <f t="shared" ca="1" si="46"/>
        <v>0</v>
      </c>
      <c r="Y142" s="155" t="s">
        <v>583</v>
      </c>
      <c r="Z142" t="str">
        <f t="shared" ca="1" si="47"/>
        <v/>
      </c>
      <c r="AA142" s="156">
        <f ca="1">IF($C142="S",IF($Z142="CP",$X142,IF($Z142="RA",(($X142)*QCI!$AA$3),0)),SomaAgrup)</f>
        <v>0</v>
      </c>
      <c r="AB142" s="157">
        <f t="shared" ca="1" si="48"/>
        <v>0</v>
      </c>
      <c r="AC142" s="158" t="str">
        <f t="shared" ca="1" si="49"/>
        <v/>
      </c>
      <c r="AD142" s="104" t="str">
        <f ca="1">IF(C142&lt;=CRONO.NivelExibicao,MAX($AD$15:OFFSET(AD142,-1,0))+IF($C142&lt;&gt;1,1,MAX(1,COUNTIF(QCI!$A$13:$A$24,OFFSET($E142,-1,0)))),"")</f>
        <v/>
      </c>
      <c r="AE142" s="114" t="b">
        <f t="shared" ca="1" si="50"/>
        <v>0</v>
      </c>
      <c r="AF142" s="159" t="str">
        <f t="shared" ca="1" si="51"/>
        <v>(abra o arquivo 'Referência 05-2024.xls)</v>
      </c>
      <c r="AG142" s="579">
        <f t="shared" ca="1" si="52"/>
        <v>0</v>
      </c>
      <c r="AH142" s="580">
        <f t="shared" ca="1" si="53"/>
        <v>0.22470000000000001</v>
      </c>
      <c r="AJ142" s="582"/>
      <c r="AL142" s="612"/>
      <c r="AM142" s="430">
        <f t="shared" ca="1" si="54"/>
        <v>0</v>
      </c>
      <c r="AN142" s="655">
        <f t="shared" ca="1" si="55"/>
        <v>0</v>
      </c>
    </row>
    <row r="143" spans="1:40" ht="13.8" x14ac:dyDescent="0.3">
      <c r="A143" t="str">
        <f t="shared" ref="A143:A206" si="64">CHOOSE(1+LOG(1+2*(ORÇAMENTO.Nivel="Meta")+4*(ORÇAMENTO.Nivel="Nível 2")+8*(ORÇAMENTO.Nivel="Nível 3")+16*(ORÇAMENTO.Nivel="Nível 4")+32*(ORÇAMENTO.Nivel="Serviço"),2),0,1,2,3,4,"S")</f>
        <v>S</v>
      </c>
      <c r="B143">
        <f t="shared" ref="B143:B206" ca="1" si="65">IF(OR(C143="s",C143=0),OFFSET(B143,-1,0),C143)</f>
        <v>3</v>
      </c>
      <c r="C143" t="str">
        <f t="shared" ref="C143:C206" ca="1" si="66">IF(OFFSET(C143,-1,0)="L",1,IF(OFFSET(C143,-1,0)=1,2,IF(OR(A143="s",A143=0),"S",IF(AND(OFFSET(C143,-1,0)=2,A143=4),3,IF(AND(OR(OFFSET(C143,-1,0)="s",OFFSET(C143,-1,0)=0),A143&lt;&gt;"s",A143&gt;OFFSET(B143,-1,0)),OFFSET(B143,-1,0),A143)))))</f>
        <v>S</v>
      </c>
      <c r="D143">
        <f t="shared" ref="D143:D206" ca="1" si="67">IF(OR(C143="S",C143=0),0,IF(ISERROR(K143),J143,SMALL(J143:K143,1)))</f>
        <v>0</v>
      </c>
      <c r="E143">
        <f ca="1">IF($C143=1,OFFSET(E143,-1,0)+MAX(1,COUNTIF(QCI!$A$13:$A$24,OFFSET(ORÇAMENTO!E143,-1,0))),OFFSET(E143,-1,0))</f>
        <v>1</v>
      </c>
      <c r="F143">
        <f t="shared" ref="F143:F206" ca="1" si="68">IF($C143=1,0,IF($C143=2,OFFSET(F143,-1,0)+1,OFFSET(F143,-1,0)))</f>
        <v>4</v>
      </c>
      <c r="G143">
        <f t="shared" ref="G143:G206" ca="1" si="69">IF(AND($C143&lt;=2,$C143&lt;&gt;0),0,IF($C143=3,OFFSET(G143,-1,0)+1,OFFSET(G143,-1,0)))</f>
        <v>9</v>
      </c>
      <c r="H143">
        <f t="shared" ref="H143:H206" ca="1" si="70">IF(AND($C143&lt;=3,$C143&lt;&gt;0),0,IF($C143=4,OFFSET(H143,-1,0)+1,OFFSET(H143,-1,0)))</f>
        <v>0</v>
      </c>
      <c r="I143">
        <f t="shared" ref="I143:I206" ca="1" si="71">IF(AND($C143&lt;=4,$C143&lt;&gt;0),0,IF(AND($C143="S",$X143&gt;0),OFFSET(I143,-1,0)+1,OFFSET(I143,-1,0)))</f>
        <v>0</v>
      </c>
      <c r="J143">
        <f t="shared" ca="1" si="56"/>
        <v>0</v>
      </c>
      <c r="K143">
        <f ca="1">IF(OR($C143="S",$C143=0),0,MATCH(OFFSET($D143,0,$C143)+IF($C143&lt;&gt;1,1,COUNTIF(QCI!$A$13:$A$24,ORÇAMENTO!E143)),OFFSET($D143,1,$C143,ROW($C$710)-ROW($C143)),0))</f>
        <v>0</v>
      </c>
      <c r="L143" s="143" t="str">
        <f t="shared" ref="L143:L206" ca="1" si="72">IF(OR($X143&gt;0,$C143=1,$C143=2,$C143=3,$C143=4),"F","")</f>
        <v/>
      </c>
      <c r="M143" s="144" t="s">
        <v>201</v>
      </c>
      <c r="N143" s="145" t="str">
        <f t="shared" ref="N143:N206" ca="1" si="73">CHOOSE(1+LOG(1+2*(C143=1)+4*(C143=2)+8*(C143=3)+16*(C143=4)+32*(C143="S"),2),"","Meta","Nível 2","Nível 3","Nível 4","Serviço")</f>
        <v>Serviço</v>
      </c>
      <c r="O143" s="146" t="str">
        <f t="shared" ref="O143:O206" ca="1" si="74">IF(OR($C143=0,$L143=""),"-",CONCATENATE(E143&amp;".",IF(AND($A$5&gt;=2,$C143&gt;=2),F143&amp;".",""),IF(AND($A$5&gt;=3,$C143&gt;=3),G143&amp;".",""),IF(AND($A$5&gt;=4,$C143&gt;=4),H143&amp;".",""),IF($C143="S",I143&amp;".","")))</f>
        <v>-</v>
      </c>
      <c r="P143" s="147" t="s">
        <v>249</v>
      </c>
      <c r="Q143" s="148">
        <v>92538</v>
      </c>
      <c r="R143" s="149" t="str">
        <f ca="1">IF($C143="S",REFERENCIA.Descricao,"(digite a descrição aqui)")</f>
        <v>(abra o arquivo 'Referência 05-2024.xls)</v>
      </c>
      <c r="S143" s="150" t="str">
        <f ca="1">REFERENCIA.Unidade</f>
        <v>-</v>
      </c>
      <c r="T143" s="151">
        <f ca="1">OFFSET(CÁLCULO!H$15,ROW($T143)-ROW(T$15),0)</f>
        <v>10.45</v>
      </c>
      <c r="U143" s="152">
        <f t="shared" ca="1" si="57"/>
        <v>0</v>
      </c>
      <c r="V143" s="153" t="s">
        <v>158</v>
      </c>
      <c r="W143" s="151">
        <f t="shared" ref="W143:W206" ca="1" si="75">IF($C143="S",ROUND(IF(TIPOORCAMENTO="Proposto",ORÇAMENTO.CustoUnitario*(1+$AH143),ORÇAMENTO.PrecoUnitarioLicitado),15-13*$AF$10),0)</f>
        <v>0</v>
      </c>
      <c r="X143" s="154">
        <f t="shared" ref="X143:X206" ca="1" si="76">IF($C143="S",VTOTAL1,IF($C143=0,0,ROUND(SomaAgrup,15-13*$AF$11)))</f>
        <v>0</v>
      </c>
      <c r="Y143" s="155" t="s">
        <v>583</v>
      </c>
      <c r="Z143" t="str">
        <f t="shared" ref="Z143:Z206" ca="1" si="77">IF(AND($C143="S",$X143&gt;0),IF(ISBLANK($Y143),"RA",LEFT($Y143,2)),"")</f>
        <v/>
      </c>
      <c r="AA143" s="156">
        <f ca="1">IF($C143="S",IF($Z143="CP",$X143,IF($Z143="RA",(($X143)*QCI!$AA$3),0)),SomaAgrup)</f>
        <v>0</v>
      </c>
      <c r="AB143" s="157">
        <f t="shared" ref="AB143:AB206" ca="1" si="78">IF($C143="S",IF($Z143="OU",ROUND($X143,2),0),SomaAgrup)</f>
        <v>0</v>
      </c>
      <c r="AC143" s="158" t="str">
        <f t="shared" ref="AC143:AC206" ca="1" si="79">IF($N143="","",IF(ORÇAMENTO.Descricao="","DESCRIÇÃO",IF(AND($C143="S",ORÇAMENTO.Unidade=""),"UNIDADE",IF($X143&lt;0,"VALOR NEGATIVO",IF(OR(AND(TIPOORCAMENTO="Proposto",$AG143&lt;&gt;"",$AG143&gt;0,ORÇAMENTO.CustoUnitario&gt;$AG143),AND(TIPOORCAMENTO="LICITADO",ORÇAMENTO.PrecoUnitarioLicitado&gt;$AN143)),"ACIMA REF.","")))))</f>
        <v/>
      </c>
      <c r="AD143" s="104" t="str">
        <f ca="1">IF(C143&lt;=CRONO.NivelExibicao,MAX($AD$15:OFFSET(AD143,-1,0))+IF($C143&lt;&gt;1,1,MAX(1,COUNTIF(QCI!$A$13:$A$24,OFFSET($E143,-1,0)))),"")</f>
        <v/>
      </c>
      <c r="AE143" s="114" t="str">
        <f t="shared" ref="AE143:AE206" ca="1" si="80">IF(AND($C143="S",ORÇAMENTO.CodBarra&lt;&gt;""),IF(ORÇAMENTO.Fonte="",ORÇAMENTO.CodBarra,CONCATENATE(ORÇAMENTO.Fonte," ",ORÇAMENTO.CodBarra)))</f>
        <v>SINAPI 92538</v>
      </c>
      <c r="AF143" s="159" t="str">
        <f t="shared" ref="AF143:AF206" ca="1" si="81">IF(ISERROR(INDIRECT(ORÇAMENTO.BancoRef)),"(abra o arquivo 'Referência "&amp;Excel_BuiltIn_Database&amp;".xls)",IF(OR($C143&lt;&gt;"S",ORÇAMENTO.CodBarra=""),"(Sem Código)",IF(ISERROR(MATCH($AE143,INDIRECT(ORÇAMENTO.BancoRef),0)),"(Código não identificado nas referências)",MATCH($AE143,INDIRECT(ORÇAMENTO.BancoRef),0))))</f>
        <v>(abra o arquivo 'Referência 05-2024.xls)</v>
      </c>
      <c r="AG143" s="579">
        <f t="shared" ref="AG143:AG206" ca="1" si="82">ROUND(IF(DESONERACAO="sim",REFERENCIA.Desonerado,REFERENCIA.NaoDesonerado),2)</f>
        <v>0</v>
      </c>
      <c r="AH143" s="580">
        <f t="shared" ref="AH143:AH206" ca="1" si="83">ROUND(IF(ISNUMBER(ORÇAMENTO.OpcaoBDI),ORÇAMENTO.OpcaoBDI,IF(LEFT(ORÇAMENTO.OpcaoBDI,3)="BDI",HLOOKUP(ORÇAMENTO.OpcaoBDI,$F$4:$H$5,2,FALSE),0)),15-11*$AF$9)</f>
        <v>0.22470000000000001</v>
      </c>
      <c r="AJ143" s="582">
        <v>10.45</v>
      </c>
      <c r="AL143" s="612"/>
      <c r="AM143" s="430">
        <f t="shared" ref="AM143:AM206" ca="1" si="84">$X143</f>
        <v>0</v>
      </c>
      <c r="AN143" s="655">
        <f t="shared" ref="AN143:AN206" ca="1" si="85">ROUND(ORÇAMENTO.CustoUnitario*(1+$AH143),2)</f>
        <v>0</v>
      </c>
    </row>
    <row r="144" spans="1:40" ht="13.8" x14ac:dyDescent="0.3">
      <c r="A144" t="str">
        <f t="shared" si="64"/>
        <v>S</v>
      </c>
      <c r="B144">
        <f t="shared" ca="1" si="65"/>
        <v>3</v>
      </c>
      <c r="C144" t="str">
        <f t="shared" ca="1" si="66"/>
        <v>S</v>
      </c>
      <c r="D144">
        <f t="shared" ca="1" si="67"/>
        <v>0</v>
      </c>
      <c r="E144">
        <f ca="1">IF($C144=1,OFFSET(E144,-1,0)+MAX(1,COUNTIF(QCI!$A$13:$A$24,OFFSET(ORÇAMENTO!E144,-1,0))),OFFSET(E144,-1,0))</f>
        <v>1</v>
      </c>
      <c r="F144">
        <f t="shared" ca="1" si="68"/>
        <v>4</v>
      </c>
      <c r="G144">
        <f t="shared" ca="1" si="69"/>
        <v>9</v>
      </c>
      <c r="H144">
        <f t="shared" ca="1" si="70"/>
        <v>0</v>
      </c>
      <c r="I144">
        <f t="shared" ca="1" si="71"/>
        <v>0</v>
      </c>
      <c r="J144">
        <f t="shared" ref="J144:J207" ca="1" si="86">IF(OR($C144="S",$C144=0),0,MATCH(0,OFFSET($D144,1,$C144,ROW($C$710)-ROW($C144)),0))</f>
        <v>0</v>
      </c>
      <c r="K144">
        <f ca="1">IF(OR($C144="S",$C144=0),0,MATCH(OFFSET($D144,0,$C144)+IF($C144&lt;&gt;1,1,COUNTIF(QCI!$A$13:$A$24,ORÇAMENTO!E144)),OFFSET($D144,1,$C144,ROW($C$710)-ROW($C144)),0))</f>
        <v>0</v>
      </c>
      <c r="L144" s="143" t="str">
        <f t="shared" ca="1" si="72"/>
        <v/>
      </c>
      <c r="M144" s="144" t="s">
        <v>201</v>
      </c>
      <c r="N144" s="145" t="str">
        <f t="shared" ca="1" si="73"/>
        <v>Serviço</v>
      </c>
      <c r="O144" s="146" t="str">
        <f t="shared" ca="1" si="74"/>
        <v>-</v>
      </c>
      <c r="P144" s="147" t="s">
        <v>249</v>
      </c>
      <c r="Q144" s="148">
        <v>92768</v>
      </c>
      <c r="R144" s="149" t="str">
        <f ca="1">IF($C144="S",REFERENCIA.Descricao,"(digite a descrição aqui)")</f>
        <v>(abra o arquivo 'Referência 05-2024.xls)</v>
      </c>
      <c r="S144" s="150" t="str">
        <f ca="1">REFERENCIA.Unidade</f>
        <v>-</v>
      </c>
      <c r="T144" s="151">
        <f ca="1">OFFSET(CÁLCULO!H$15,ROW($T144)-ROW(T$15),0)</f>
        <v>18.75</v>
      </c>
      <c r="U144" s="152">
        <f t="shared" ca="1" si="57"/>
        <v>0</v>
      </c>
      <c r="V144" s="153" t="s">
        <v>158</v>
      </c>
      <c r="W144" s="151">
        <f t="shared" ca="1" si="75"/>
        <v>0</v>
      </c>
      <c r="X144" s="154">
        <f t="shared" ca="1" si="76"/>
        <v>0</v>
      </c>
      <c r="Y144" s="155" t="s">
        <v>583</v>
      </c>
      <c r="Z144" t="str">
        <f t="shared" ca="1" si="77"/>
        <v/>
      </c>
      <c r="AA144" s="156">
        <f ca="1">IF($C144="S",IF($Z144="CP",$X144,IF($Z144="RA",(($X144)*QCI!$AA$3),0)),SomaAgrup)</f>
        <v>0</v>
      </c>
      <c r="AB144" s="157">
        <f t="shared" ca="1" si="78"/>
        <v>0</v>
      </c>
      <c r="AC144" s="158" t="str">
        <f t="shared" ca="1" si="79"/>
        <v/>
      </c>
      <c r="AD144" s="104" t="str">
        <f ca="1">IF(C144&lt;=CRONO.NivelExibicao,MAX($AD$15:OFFSET(AD144,-1,0))+IF($C144&lt;&gt;1,1,MAX(1,COUNTIF(QCI!$A$13:$A$24,OFFSET($E144,-1,0)))),"")</f>
        <v/>
      </c>
      <c r="AE144" s="114" t="str">
        <f t="shared" ca="1" si="80"/>
        <v>SINAPI 92768</v>
      </c>
      <c r="AF144" s="159" t="str">
        <f t="shared" ca="1" si="81"/>
        <v>(abra o arquivo 'Referência 05-2024.xls)</v>
      </c>
      <c r="AG144" s="579">
        <f t="shared" ca="1" si="82"/>
        <v>0</v>
      </c>
      <c r="AH144" s="580">
        <f t="shared" ca="1" si="83"/>
        <v>0.22470000000000001</v>
      </c>
      <c r="AJ144" s="582">
        <v>18.75</v>
      </c>
      <c r="AL144" s="612"/>
      <c r="AM144" s="430">
        <f t="shared" ca="1" si="84"/>
        <v>0</v>
      </c>
      <c r="AN144" s="655">
        <f t="shared" ca="1" si="85"/>
        <v>0</v>
      </c>
    </row>
    <row r="145" spans="1:40" ht="13.8" x14ac:dyDescent="0.3">
      <c r="A145" t="str">
        <f t="shared" si="64"/>
        <v>S</v>
      </c>
      <c r="B145">
        <f t="shared" ca="1" si="65"/>
        <v>3</v>
      </c>
      <c r="C145" t="str">
        <f t="shared" ca="1" si="66"/>
        <v>S</v>
      </c>
      <c r="D145">
        <f t="shared" ca="1" si="67"/>
        <v>0</v>
      </c>
      <c r="E145">
        <f ca="1">IF($C145=1,OFFSET(E145,-1,0)+MAX(1,COUNTIF(QCI!$A$13:$A$24,OFFSET(ORÇAMENTO!E145,-1,0))),OFFSET(E145,-1,0))</f>
        <v>1</v>
      </c>
      <c r="F145">
        <f t="shared" ca="1" si="68"/>
        <v>4</v>
      </c>
      <c r="G145">
        <f t="shared" ca="1" si="69"/>
        <v>9</v>
      </c>
      <c r="H145">
        <f t="shared" ca="1" si="70"/>
        <v>0</v>
      </c>
      <c r="I145">
        <f t="shared" ca="1" si="71"/>
        <v>0</v>
      </c>
      <c r="J145">
        <f t="shared" ca="1" si="86"/>
        <v>0</v>
      </c>
      <c r="K145">
        <f ca="1">IF(OR($C145="S",$C145=0),0,MATCH(OFFSET($D145,0,$C145)+IF($C145&lt;&gt;1,1,COUNTIF(QCI!$A$13:$A$24,ORÇAMENTO!E145)),OFFSET($D145,1,$C145,ROW($C$710)-ROW($C145)),0))</f>
        <v>0</v>
      </c>
      <c r="L145" s="143" t="str">
        <f t="shared" ca="1" si="72"/>
        <v/>
      </c>
      <c r="M145" s="144" t="s">
        <v>201</v>
      </c>
      <c r="N145" s="145" t="str">
        <f t="shared" ca="1" si="73"/>
        <v>Serviço</v>
      </c>
      <c r="O145" s="146" t="str">
        <f t="shared" ca="1" si="74"/>
        <v>-</v>
      </c>
      <c r="P145" s="147" t="s">
        <v>441</v>
      </c>
      <c r="Q145" s="148" t="s">
        <v>448</v>
      </c>
      <c r="R145" s="149" t="str">
        <f ca="1">IF($C145="S",REFERENCIA.Descricao,"(digite a descrição aqui)")</f>
        <v>(abra o arquivo 'Referência 05-2024.xls)</v>
      </c>
      <c r="S145" s="150" t="str">
        <f ca="1">REFERENCIA.Unidade</f>
        <v>-</v>
      </c>
      <c r="T145" s="151">
        <f ca="1">OFFSET(CÁLCULO!H$15,ROW($T145)-ROW(T$15),0)</f>
        <v>0.81</v>
      </c>
      <c r="U145" s="152">
        <f t="shared" ca="1" si="57"/>
        <v>0</v>
      </c>
      <c r="V145" s="153" t="s">
        <v>158</v>
      </c>
      <c r="W145" s="151">
        <f t="shared" ca="1" si="75"/>
        <v>0</v>
      </c>
      <c r="X145" s="154">
        <f t="shared" ca="1" si="76"/>
        <v>0</v>
      </c>
      <c r="Y145" s="155" t="s">
        <v>583</v>
      </c>
      <c r="Z145" t="str">
        <f t="shared" ca="1" si="77"/>
        <v/>
      </c>
      <c r="AA145" s="156">
        <f ca="1">IF($C145="S",IF($Z145="CP",$X145,IF($Z145="RA",(($X145)*QCI!$AA$3),0)),SomaAgrup)</f>
        <v>0</v>
      </c>
      <c r="AB145" s="157">
        <f t="shared" ca="1" si="78"/>
        <v>0</v>
      </c>
      <c r="AC145" s="158" t="str">
        <f t="shared" ca="1" si="79"/>
        <v/>
      </c>
      <c r="AD145" s="104" t="str">
        <f ca="1">IF(C145&lt;=CRONO.NivelExibicao,MAX($AD$15:OFFSET(AD145,-1,0))+IF($C145&lt;&gt;1,1,MAX(1,COUNTIF(QCI!$A$13:$A$24,OFFSET($E145,-1,0)))),"")</f>
        <v/>
      </c>
      <c r="AE145" s="114" t="str">
        <f t="shared" ca="1" si="80"/>
        <v>Composição CP-09</v>
      </c>
      <c r="AF145" s="159" t="str">
        <f t="shared" ca="1" si="81"/>
        <v>(abra o arquivo 'Referência 05-2024.xls)</v>
      </c>
      <c r="AG145" s="579">
        <f t="shared" ca="1" si="82"/>
        <v>0</v>
      </c>
      <c r="AH145" s="580">
        <f t="shared" ca="1" si="83"/>
        <v>0.22470000000000001</v>
      </c>
      <c r="AJ145" s="582">
        <v>0.81</v>
      </c>
      <c r="AL145" s="612"/>
      <c r="AM145" s="430">
        <f t="shared" ca="1" si="84"/>
        <v>0</v>
      </c>
      <c r="AN145" s="655">
        <f t="shared" ca="1" si="85"/>
        <v>0</v>
      </c>
    </row>
    <row r="146" spans="1:40" ht="13.8" x14ac:dyDescent="0.3">
      <c r="A146">
        <f t="shared" si="64"/>
        <v>3</v>
      </c>
      <c r="B146">
        <f t="shared" ca="1" si="65"/>
        <v>3</v>
      </c>
      <c r="C146">
        <f t="shared" ca="1" si="66"/>
        <v>3</v>
      </c>
      <c r="D146">
        <f t="shared" ca="1" si="67"/>
        <v>4</v>
      </c>
      <c r="E146">
        <f ca="1">IF($C146=1,OFFSET(E146,-1,0)+MAX(1,COUNTIF(QCI!$A$13:$A$24,OFFSET(ORÇAMENTO!E146,-1,0))),OFFSET(E146,-1,0))</f>
        <v>1</v>
      </c>
      <c r="F146">
        <f t="shared" ca="1" si="68"/>
        <v>4</v>
      </c>
      <c r="G146">
        <f t="shared" ca="1" si="69"/>
        <v>10</v>
      </c>
      <c r="H146">
        <f t="shared" ca="1" si="70"/>
        <v>0</v>
      </c>
      <c r="I146">
        <f t="shared" ca="1" si="71"/>
        <v>0</v>
      </c>
      <c r="J146">
        <f t="shared" ca="1" si="86"/>
        <v>6</v>
      </c>
      <c r="K146">
        <f ca="1">IF(OR($C146="S",$C146=0),0,MATCH(OFFSET($D146,0,$C146)+IF($C146&lt;&gt;1,1,COUNTIF(QCI!$A$13:$A$24,ORÇAMENTO!E146)),OFFSET($D146,1,$C146,ROW($C$710)-ROW($C146)),0))</f>
        <v>4</v>
      </c>
      <c r="L146" s="143" t="str">
        <f t="shared" ca="1" si="72"/>
        <v>F</v>
      </c>
      <c r="M146" s="144" t="s">
        <v>199</v>
      </c>
      <c r="N146" s="145" t="str">
        <f t="shared" ca="1" si="73"/>
        <v>Nível 3</v>
      </c>
      <c r="O146" s="146" t="str">
        <f t="shared" ca="1" si="74"/>
        <v>1.4.10.</v>
      </c>
      <c r="P146" s="147" t="s">
        <v>249</v>
      </c>
      <c r="Q146" s="148"/>
      <c r="R146" s="149" t="s">
        <v>502</v>
      </c>
      <c r="S146" s="150" t="s">
        <v>168</v>
      </c>
      <c r="T146" s="151">
        <f ca="1">OFFSET(CÁLCULO!H$15,ROW($T146)-ROW(T$15),0)</f>
        <v>0</v>
      </c>
      <c r="U146" s="152">
        <f t="shared" ref="U146:U209" ca="1" si="87">AG146</f>
        <v>0</v>
      </c>
      <c r="V146" s="153" t="s">
        <v>158</v>
      </c>
      <c r="W146" s="151">
        <f t="shared" ca="1" si="75"/>
        <v>0</v>
      </c>
      <c r="X146" s="154">
        <f t="shared" ca="1" si="76"/>
        <v>0</v>
      </c>
      <c r="Y146" s="155" t="s">
        <v>583</v>
      </c>
      <c r="Z146" t="str">
        <f t="shared" ca="1" si="77"/>
        <v/>
      </c>
      <c r="AA146" s="156">
        <f ca="1">IF($C146="S",IF($Z146="CP",$X146,IF($Z146="RA",(($X146)*QCI!$AA$3),0)),SomaAgrup)</f>
        <v>0</v>
      </c>
      <c r="AB146" s="157">
        <f t="shared" ca="1" si="78"/>
        <v>0</v>
      </c>
      <c r="AC146" s="158" t="str">
        <f t="shared" ca="1" si="79"/>
        <v/>
      </c>
      <c r="AD146" s="104" t="str">
        <f ca="1">IF(C146&lt;=CRONO.NivelExibicao,MAX($AD$15:OFFSET(AD146,-1,0))+IF($C146&lt;&gt;1,1,MAX(1,COUNTIF(QCI!$A$13:$A$24,OFFSET($E146,-1,0)))),"")</f>
        <v/>
      </c>
      <c r="AE146" s="114" t="b">
        <f t="shared" ca="1" si="80"/>
        <v>0</v>
      </c>
      <c r="AF146" s="159" t="str">
        <f t="shared" ca="1" si="81"/>
        <v>(abra o arquivo 'Referência 05-2024.xls)</v>
      </c>
      <c r="AG146" s="579">
        <f t="shared" ca="1" si="82"/>
        <v>0</v>
      </c>
      <c r="AH146" s="580">
        <f t="shared" ca="1" si="83"/>
        <v>0.22470000000000001</v>
      </c>
      <c r="AJ146" s="582"/>
      <c r="AL146" s="612"/>
      <c r="AM146" s="430">
        <f t="shared" ca="1" si="84"/>
        <v>0</v>
      </c>
      <c r="AN146" s="655">
        <f t="shared" ca="1" si="85"/>
        <v>0</v>
      </c>
    </row>
    <row r="147" spans="1:40" ht="13.8" x14ac:dyDescent="0.3">
      <c r="A147" t="str">
        <f t="shared" si="64"/>
        <v>S</v>
      </c>
      <c r="B147">
        <f t="shared" ca="1" si="65"/>
        <v>3</v>
      </c>
      <c r="C147" t="str">
        <f t="shared" ca="1" si="66"/>
        <v>S</v>
      </c>
      <c r="D147">
        <f t="shared" ca="1" si="67"/>
        <v>0</v>
      </c>
      <c r="E147">
        <f ca="1">IF($C147=1,OFFSET(E147,-1,0)+MAX(1,COUNTIF(QCI!$A$13:$A$24,OFFSET(ORÇAMENTO!E147,-1,0))),OFFSET(E147,-1,0))</f>
        <v>1</v>
      </c>
      <c r="F147">
        <f t="shared" ca="1" si="68"/>
        <v>4</v>
      </c>
      <c r="G147">
        <f t="shared" ca="1" si="69"/>
        <v>10</v>
      </c>
      <c r="H147">
        <f t="shared" ca="1" si="70"/>
        <v>0</v>
      </c>
      <c r="I147">
        <f t="shared" ca="1" si="71"/>
        <v>0</v>
      </c>
      <c r="J147">
        <f t="shared" ca="1" si="86"/>
        <v>0</v>
      </c>
      <c r="K147">
        <f ca="1">IF(OR($C147="S",$C147=0),0,MATCH(OFFSET($D147,0,$C147)+IF($C147&lt;&gt;1,1,COUNTIF(QCI!$A$13:$A$24,ORÇAMENTO!E147)),OFFSET($D147,1,$C147,ROW($C$710)-ROW($C147)),0))</f>
        <v>0</v>
      </c>
      <c r="L147" s="143" t="str">
        <f t="shared" ca="1" si="72"/>
        <v/>
      </c>
      <c r="M147" s="144" t="s">
        <v>201</v>
      </c>
      <c r="N147" s="145" t="str">
        <f t="shared" ca="1" si="73"/>
        <v>Serviço</v>
      </c>
      <c r="O147" s="146" t="str">
        <f t="shared" ca="1" si="74"/>
        <v>-</v>
      </c>
      <c r="P147" s="147" t="s">
        <v>249</v>
      </c>
      <c r="Q147" s="148">
        <v>97086</v>
      </c>
      <c r="R147" s="149" t="str">
        <f ca="1">IF($C147="S",REFERENCIA.Descricao,"(digite a descrição aqui)")</f>
        <v>(abra o arquivo 'Referência 05-2024.xls)</v>
      </c>
      <c r="S147" s="150" t="str">
        <f ca="1">REFERENCIA.Unidade</f>
        <v>-</v>
      </c>
      <c r="T147" s="151">
        <f ca="1">OFFSET(CÁLCULO!H$15,ROW($T147)-ROW(T$15),0)</f>
        <v>4.51</v>
      </c>
      <c r="U147" s="152">
        <f t="shared" ca="1" si="87"/>
        <v>0</v>
      </c>
      <c r="V147" s="153" t="s">
        <v>158</v>
      </c>
      <c r="W147" s="151">
        <f t="shared" ca="1" si="75"/>
        <v>0</v>
      </c>
      <c r="X147" s="154">
        <f t="shared" ca="1" si="76"/>
        <v>0</v>
      </c>
      <c r="Y147" s="155" t="s">
        <v>583</v>
      </c>
      <c r="Z147" t="str">
        <f t="shared" ca="1" si="77"/>
        <v/>
      </c>
      <c r="AA147" s="156">
        <f ca="1">IF($C147="S",IF($Z147="CP",$X147,IF($Z147="RA",(($X147)*QCI!$AA$3),0)),SomaAgrup)</f>
        <v>0</v>
      </c>
      <c r="AB147" s="157">
        <f t="shared" ca="1" si="78"/>
        <v>0</v>
      </c>
      <c r="AC147" s="158" t="str">
        <f t="shared" ca="1" si="79"/>
        <v/>
      </c>
      <c r="AD147" s="104" t="str">
        <f ca="1">IF(C147&lt;=CRONO.NivelExibicao,MAX($AD$15:OFFSET(AD147,-1,0))+IF($C147&lt;&gt;1,1,MAX(1,COUNTIF(QCI!$A$13:$A$24,OFFSET($E147,-1,0)))),"")</f>
        <v/>
      </c>
      <c r="AE147" s="114" t="str">
        <f t="shared" ca="1" si="80"/>
        <v>SINAPI 97086</v>
      </c>
      <c r="AF147" s="159" t="str">
        <f t="shared" ca="1" si="81"/>
        <v>(abra o arquivo 'Referência 05-2024.xls)</v>
      </c>
      <c r="AG147" s="579">
        <f t="shared" ca="1" si="82"/>
        <v>0</v>
      </c>
      <c r="AH147" s="580">
        <f t="shared" ca="1" si="83"/>
        <v>0.22470000000000001</v>
      </c>
      <c r="AJ147" s="582">
        <v>4.51</v>
      </c>
      <c r="AL147" s="612"/>
      <c r="AM147" s="430">
        <f t="shared" ca="1" si="84"/>
        <v>0</v>
      </c>
      <c r="AN147" s="655">
        <f t="shared" ca="1" si="85"/>
        <v>0</v>
      </c>
    </row>
    <row r="148" spans="1:40" ht="13.8" x14ac:dyDescent="0.3">
      <c r="A148" t="str">
        <f t="shared" si="64"/>
        <v>S</v>
      </c>
      <c r="B148">
        <f t="shared" ca="1" si="65"/>
        <v>3</v>
      </c>
      <c r="C148" t="str">
        <f t="shared" ca="1" si="66"/>
        <v>S</v>
      </c>
      <c r="D148">
        <f t="shared" ca="1" si="67"/>
        <v>0</v>
      </c>
      <c r="E148">
        <f ca="1">IF($C148=1,OFFSET(E148,-1,0)+MAX(1,COUNTIF(QCI!$A$13:$A$24,OFFSET(ORÇAMENTO!E148,-1,0))),OFFSET(E148,-1,0))</f>
        <v>1</v>
      </c>
      <c r="F148">
        <f t="shared" ca="1" si="68"/>
        <v>4</v>
      </c>
      <c r="G148">
        <f t="shared" ca="1" si="69"/>
        <v>10</v>
      </c>
      <c r="H148">
        <f t="shared" ca="1" si="70"/>
        <v>0</v>
      </c>
      <c r="I148">
        <f t="shared" ca="1" si="71"/>
        <v>0</v>
      </c>
      <c r="J148">
        <f t="shared" ca="1" si="86"/>
        <v>0</v>
      </c>
      <c r="K148">
        <f ca="1">IF(OR($C148="S",$C148=0),0,MATCH(OFFSET($D148,0,$C148)+IF($C148&lt;&gt;1,1,COUNTIF(QCI!$A$13:$A$24,ORÇAMENTO!E148)),OFFSET($D148,1,$C148,ROW($C$710)-ROW($C148)),0))</f>
        <v>0</v>
      </c>
      <c r="L148" s="143" t="str">
        <f t="shared" ca="1" si="72"/>
        <v/>
      </c>
      <c r="M148" s="144" t="s">
        <v>201</v>
      </c>
      <c r="N148" s="145" t="str">
        <f t="shared" ca="1" si="73"/>
        <v>Serviço</v>
      </c>
      <c r="O148" s="146" t="str">
        <f t="shared" ca="1" si="74"/>
        <v>-</v>
      </c>
      <c r="P148" s="147" t="s">
        <v>249</v>
      </c>
      <c r="Q148" s="148">
        <v>92770</v>
      </c>
      <c r="R148" s="149" t="str">
        <f ca="1">IF($C148="S",REFERENCIA.Descricao,"(digite a descrição aqui)")</f>
        <v>(abra o arquivo 'Referência 05-2024.xls)</v>
      </c>
      <c r="S148" s="150" t="str">
        <f ca="1">REFERENCIA.Unidade</f>
        <v>-</v>
      </c>
      <c r="T148" s="151">
        <f ca="1">OFFSET(CÁLCULO!H$15,ROW($T148)-ROW(T$15),0)</f>
        <v>65.209999999999994</v>
      </c>
      <c r="U148" s="152">
        <f t="shared" ca="1" si="87"/>
        <v>0</v>
      </c>
      <c r="V148" s="153" t="s">
        <v>158</v>
      </c>
      <c r="W148" s="151">
        <f t="shared" ca="1" si="75"/>
        <v>0</v>
      </c>
      <c r="X148" s="154">
        <f t="shared" ca="1" si="76"/>
        <v>0</v>
      </c>
      <c r="Y148" s="155" t="s">
        <v>583</v>
      </c>
      <c r="Z148" t="str">
        <f t="shared" ca="1" si="77"/>
        <v/>
      </c>
      <c r="AA148" s="156">
        <f ca="1">IF($C148="S",IF($Z148="CP",$X148,IF($Z148="RA",(($X148)*QCI!$AA$3),0)),SomaAgrup)</f>
        <v>0</v>
      </c>
      <c r="AB148" s="157">
        <f t="shared" ca="1" si="78"/>
        <v>0</v>
      </c>
      <c r="AC148" s="158" t="str">
        <f t="shared" ca="1" si="79"/>
        <v/>
      </c>
      <c r="AD148" s="104" t="str">
        <f ca="1">IF(C148&lt;=CRONO.NivelExibicao,MAX($AD$15:OFFSET(AD148,-1,0))+IF($C148&lt;&gt;1,1,MAX(1,COUNTIF(QCI!$A$13:$A$24,OFFSET($E148,-1,0)))),"")</f>
        <v/>
      </c>
      <c r="AE148" s="114" t="str">
        <f t="shared" ca="1" si="80"/>
        <v>SINAPI 92770</v>
      </c>
      <c r="AF148" s="159" t="str">
        <f t="shared" ca="1" si="81"/>
        <v>(abra o arquivo 'Referência 05-2024.xls)</v>
      </c>
      <c r="AG148" s="579">
        <f t="shared" ca="1" si="82"/>
        <v>0</v>
      </c>
      <c r="AH148" s="580">
        <f t="shared" ca="1" si="83"/>
        <v>0.22470000000000001</v>
      </c>
      <c r="AJ148" s="582">
        <v>65.209999999999994</v>
      </c>
      <c r="AL148" s="612"/>
      <c r="AM148" s="430">
        <f t="shared" ca="1" si="84"/>
        <v>0</v>
      </c>
      <c r="AN148" s="655">
        <f t="shared" ca="1" si="85"/>
        <v>0</v>
      </c>
    </row>
    <row r="149" spans="1:40" ht="13.8" x14ac:dyDescent="0.3">
      <c r="A149" t="str">
        <f t="shared" si="64"/>
        <v>S</v>
      </c>
      <c r="B149">
        <f t="shared" ca="1" si="65"/>
        <v>3</v>
      </c>
      <c r="C149" t="str">
        <f t="shared" ca="1" si="66"/>
        <v>S</v>
      </c>
      <c r="D149">
        <f t="shared" ca="1" si="67"/>
        <v>0</v>
      </c>
      <c r="E149">
        <f ca="1">IF($C149=1,OFFSET(E149,-1,0)+MAX(1,COUNTIF(QCI!$A$13:$A$24,OFFSET(ORÇAMENTO!E149,-1,0))),OFFSET(E149,-1,0))</f>
        <v>1</v>
      </c>
      <c r="F149">
        <f t="shared" ca="1" si="68"/>
        <v>4</v>
      </c>
      <c r="G149">
        <f t="shared" ca="1" si="69"/>
        <v>10</v>
      </c>
      <c r="H149">
        <f t="shared" ca="1" si="70"/>
        <v>0</v>
      </c>
      <c r="I149">
        <f t="shared" ca="1" si="71"/>
        <v>0</v>
      </c>
      <c r="J149">
        <f t="shared" ca="1" si="86"/>
        <v>0</v>
      </c>
      <c r="K149">
        <f ca="1">IF(OR($C149="S",$C149=0),0,MATCH(OFFSET($D149,0,$C149)+IF($C149&lt;&gt;1,1,COUNTIF(QCI!$A$13:$A$24,ORÇAMENTO!E149)),OFFSET($D149,1,$C149,ROW($C$710)-ROW($C149)),0))</f>
        <v>0</v>
      </c>
      <c r="L149" s="143" t="str">
        <f t="shared" ca="1" si="72"/>
        <v/>
      </c>
      <c r="M149" s="144" t="s">
        <v>201</v>
      </c>
      <c r="N149" s="145" t="str">
        <f t="shared" ca="1" si="73"/>
        <v>Serviço</v>
      </c>
      <c r="O149" s="146" t="str">
        <f t="shared" ca="1" si="74"/>
        <v>-</v>
      </c>
      <c r="P149" s="147" t="s">
        <v>249</v>
      </c>
      <c r="Q149" s="148">
        <v>97096</v>
      </c>
      <c r="R149" s="149" t="str">
        <f ca="1">IF($C149="S",REFERENCIA.Descricao,"(digite a descrição aqui)")</f>
        <v>(abra o arquivo 'Referência 05-2024.xls)</v>
      </c>
      <c r="S149" s="150" t="str">
        <f ca="1">REFERENCIA.Unidade</f>
        <v>-</v>
      </c>
      <c r="T149" s="151">
        <f ca="1">OFFSET(CÁLCULO!H$15,ROW($T149)-ROW(T$15),0)</f>
        <v>0.43</v>
      </c>
      <c r="U149" s="152">
        <f t="shared" ca="1" si="87"/>
        <v>0</v>
      </c>
      <c r="V149" s="153" t="s">
        <v>158</v>
      </c>
      <c r="W149" s="151">
        <f t="shared" ca="1" si="75"/>
        <v>0</v>
      </c>
      <c r="X149" s="154">
        <f t="shared" ca="1" si="76"/>
        <v>0</v>
      </c>
      <c r="Y149" s="155" t="s">
        <v>583</v>
      </c>
      <c r="Z149" t="str">
        <f t="shared" ca="1" si="77"/>
        <v/>
      </c>
      <c r="AA149" s="156">
        <f ca="1">IF($C149="S",IF($Z149="CP",$X149,IF($Z149="RA",(($X149)*QCI!$AA$3),0)),SomaAgrup)</f>
        <v>0</v>
      </c>
      <c r="AB149" s="157">
        <f t="shared" ca="1" si="78"/>
        <v>0</v>
      </c>
      <c r="AC149" s="158" t="str">
        <f t="shared" ca="1" si="79"/>
        <v/>
      </c>
      <c r="AD149" s="104" t="str">
        <f ca="1">IF(C149&lt;=CRONO.NivelExibicao,MAX($AD$15:OFFSET(AD149,-1,0))+IF($C149&lt;&gt;1,1,MAX(1,COUNTIF(QCI!$A$13:$A$24,OFFSET($E149,-1,0)))),"")</f>
        <v/>
      </c>
      <c r="AE149" s="114" t="str">
        <f t="shared" ca="1" si="80"/>
        <v>SINAPI 97096</v>
      </c>
      <c r="AF149" s="159" t="str">
        <f t="shared" ca="1" si="81"/>
        <v>(abra o arquivo 'Referência 05-2024.xls)</v>
      </c>
      <c r="AG149" s="579">
        <f t="shared" ca="1" si="82"/>
        <v>0</v>
      </c>
      <c r="AH149" s="580">
        <f t="shared" ca="1" si="83"/>
        <v>0.22470000000000001</v>
      </c>
      <c r="AJ149" s="582">
        <v>0.43</v>
      </c>
      <c r="AL149" s="612"/>
      <c r="AM149" s="430">
        <f t="shared" ca="1" si="84"/>
        <v>0</v>
      </c>
      <c r="AN149" s="655">
        <f t="shared" ca="1" si="85"/>
        <v>0</v>
      </c>
    </row>
    <row r="150" spans="1:40" ht="13.8" x14ac:dyDescent="0.3">
      <c r="A150">
        <f t="shared" si="64"/>
        <v>3</v>
      </c>
      <c r="B150">
        <f t="shared" ca="1" si="65"/>
        <v>3</v>
      </c>
      <c r="C150">
        <f t="shared" ca="1" si="66"/>
        <v>3</v>
      </c>
      <c r="D150">
        <f t="shared" ca="1" si="67"/>
        <v>2</v>
      </c>
      <c r="E150">
        <f ca="1">IF($C150=1,OFFSET(E150,-1,0)+MAX(1,COUNTIF(QCI!$A$13:$A$24,OFFSET(ORÇAMENTO!E150,-1,0))),OFFSET(E150,-1,0))</f>
        <v>1</v>
      </c>
      <c r="F150">
        <f t="shared" ca="1" si="68"/>
        <v>4</v>
      </c>
      <c r="G150">
        <f t="shared" ca="1" si="69"/>
        <v>11</v>
      </c>
      <c r="H150">
        <f t="shared" ca="1" si="70"/>
        <v>0</v>
      </c>
      <c r="I150">
        <f t="shared" ca="1" si="71"/>
        <v>0</v>
      </c>
      <c r="J150">
        <f t="shared" ca="1" si="86"/>
        <v>2</v>
      </c>
      <c r="K150" t="e">
        <f ca="1">IF(OR($C150="S",$C150=0),0,MATCH(OFFSET($D150,0,$C150)+IF($C150&lt;&gt;1,1,COUNTIF(QCI!$A$13:$A$24,ORÇAMENTO!E150)),OFFSET($D150,1,$C150,ROW($C$710)-ROW($C150)),0))</f>
        <v>#N/A</v>
      </c>
      <c r="L150" s="143" t="str">
        <f t="shared" ca="1" si="72"/>
        <v>F</v>
      </c>
      <c r="M150" s="144" t="s">
        <v>199</v>
      </c>
      <c r="N150" s="145" t="str">
        <f t="shared" ca="1" si="73"/>
        <v>Nível 3</v>
      </c>
      <c r="O150" s="146" t="str">
        <f t="shared" ca="1" si="74"/>
        <v>1.4.11.</v>
      </c>
      <c r="P150" s="147" t="s">
        <v>249</v>
      </c>
      <c r="Q150" s="148"/>
      <c r="R150" s="149" t="s">
        <v>483</v>
      </c>
      <c r="S150" s="150" t="s">
        <v>168</v>
      </c>
      <c r="T150" s="151">
        <f ca="1">OFFSET(CÁLCULO!H$15,ROW($T150)-ROW(T$15),0)</f>
        <v>0</v>
      </c>
      <c r="U150" s="152">
        <f t="shared" ca="1" si="87"/>
        <v>0</v>
      </c>
      <c r="V150" s="153" t="s">
        <v>158</v>
      </c>
      <c r="W150" s="151">
        <f t="shared" ca="1" si="75"/>
        <v>0</v>
      </c>
      <c r="X150" s="154">
        <f t="shared" ca="1" si="76"/>
        <v>0</v>
      </c>
      <c r="Y150" s="155" t="s">
        <v>583</v>
      </c>
      <c r="Z150" t="str">
        <f t="shared" ca="1" si="77"/>
        <v/>
      </c>
      <c r="AA150" s="156">
        <f ca="1">IF($C150="S",IF($Z150="CP",$X150,IF($Z150="RA",(($X150)*QCI!$AA$3),0)),SomaAgrup)</f>
        <v>0</v>
      </c>
      <c r="AB150" s="157">
        <f t="shared" ca="1" si="78"/>
        <v>0</v>
      </c>
      <c r="AC150" s="158" t="str">
        <f t="shared" ca="1" si="79"/>
        <v/>
      </c>
      <c r="AD150" s="104" t="str">
        <f ca="1">IF(C150&lt;=CRONO.NivelExibicao,MAX($AD$15:OFFSET(AD150,-1,0))+IF($C150&lt;&gt;1,1,MAX(1,COUNTIF(QCI!$A$13:$A$24,OFFSET($E150,-1,0)))),"")</f>
        <v/>
      </c>
      <c r="AE150" s="114" t="b">
        <f t="shared" ca="1" si="80"/>
        <v>0</v>
      </c>
      <c r="AF150" s="159" t="str">
        <f t="shared" ca="1" si="81"/>
        <v>(abra o arquivo 'Referência 05-2024.xls)</v>
      </c>
      <c r="AG150" s="579">
        <f t="shared" ca="1" si="82"/>
        <v>0</v>
      </c>
      <c r="AH150" s="580">
        <f t="shared" ca="1" si="83"/>
        <v>0.22470000000000001</v>
      </c>
      <c r="AJ150" s="582"/>
      <c r="AL150" s="612"/>
      <c r="AM150" s="430">
        <f t="shared" ca="1" si="84"/>
        <v>0</v>
      </c>
      <c r="AN150" s="655">
        <f t="shared" ca="1" si="85"/>
        <v>0</v>
      </c>
    </row>
    <row r="151" spans="1:40" ht="13.8" x14ac:dyDescent="0.3">
      <c r="A151" t="str">
        <f t="shared" si="64"/>
        <v>S</v>
      </c>
      <c r="B151">
        <f t="shared" ca="1" si="65"/>
        <v>3</v>
      </c>
      <c r="C151" t="str">
        <f t="shared" ca="1" si="66"/>
        <v>S</v>
      </c>
      <c r="D151">
        <f t="shared" ca="1" si="67"/>
        <v>0</v>
      </c>
      <c r="E151">
        <f ca="1">IF($C151=1,OFFSET(E151,-1,0)+MAX(1,COUNTIF(QCI!$A$13:$A$24,OFFSET(ORÇAMENTO!E151,-1,0))),OFFSET(E151,-1,0))</f>
        <v>1</v>
      </c>
      <c r="F151">
        <f t="shared" ca="1" si="68"/>
        <v>4</v>
      </c>
      <c r="G151">
        <f t="shared" ca="1" si="69"/>
        <v>11</v>
      </c>
      <c r="H151">
        <f t="shared" ca="1" si="70"/>
        <v>0</v>
      </c>
      <c r="I151">
        <f t="shared" ca="1" si="71"/>
        <v>0</v>
      </c>
      <c r="J151">
        <f t="shared" ca="1" si="86"/>
        <v>0</v>
      </c>
      <c r="K151">
        <f ca="1">IF(OR($C151="S",$C151=0),0,MATCH(OFFSET($D151,0,$C151)+IF($C151&lt;&gt;1,1,COUNTIF(QCI!$A$13:$A$24,ORÇAMENTO!E151)),OFFSET($D151,1,$C151,ROW($C$710)-ROW($C151)),0))</f>
        <v>0</v>
      </c>
      <c r="L151" s="143" t="str">
        <f t="shared" ca="1" si="72"/>
        <v/>
      </c>
      <c r="M151" s="144" t="s">
        <v>201</v>
      </c>
      <c r="N151" s="145" t="str">
        <f t="shared" ca="1" si="73"/>
        <v>Serviço</v>
      </c>
      <c r="O151" s="146" t="str">
        <f t="shared" ca="1" si="74"/>
        <v>-</v>
      </c>
      <c r="P151" s="147" t="s">
        <v>249</v>
      </c>
      <c r="Q151" s="148">
        <v>100775</v>
      </c>
      <c r="R151" s="149" t="str">
        <f ca="1">IF($C151="S",REFERENCIA.Descricao,"(digite a descrição aqui)")</f>
        <v>(abra o arquivo 'Referência 05-2024.xls)</v>
      </c>
      <c r="S151" s="150" t="str">
        <f ca="1">REFERENCIA.Unidade</f>
        <v>-</v>
      </c>
      <c r="T151" s="151">
        <f ca="1">OFFSET(CÁLCULO!H$15,ROW($T151)-ROW(T$15),0)</f>
        <v>61475.7</v>
      </c>
      <c r="U151" s="152">
        <f t="shared" ca="1" si="87"/>
        <v>0</v>
      </c>
      <c r="V151" s="153" t="s">
        <v>158</v>
      </c>
      <c r="W151" s="151">
        <f t="shared" ca="1" si="75"/>
        <v>0</v>
      </c>
      <c r="X151" s="154">
        <f t="shared" ca="1" si="76"/>
        <v>0</v>
      </c>
      <c r="Y151" s="155" t="s">
        <v>583</v>
      </c>
      <c r="Z151" t="str">
        <f t="shared" ca="1" si="77"/>
        <v/>
      </c>
      <c r="AA151" s="156">
        <f ca="1">IF($C151="S",IF($Z151="CP",$X151,IF($Z151="RA",(($X151)*QCI!$AA$3),0)),SomaAgrup)</f>
        <v>0</v>
      </c>
      <c r="AB151" s="157">
        <f t="shared" ca="1" si="78"/>
        <v>0</v>
      </c>
      <c r="AC151" s="158" t="str">
        <f t="shared" ca="1" si="79"/>
        <v/>
      </c>
      <c r="AD151" s="104" t="str">
        <f ca="1">IF(C151&lt;=CRONO.NivelExibicao,MAX($AD$15:OFFSET(AD151,-1,0))+IF($C151&lt;&gt;1,1,MAX(1,COUNTIF(QCI!$A$13:$A$24,OFFSET($E151,-1,0)))),"")</f>
        <v/>
      </c>
      <c r="AE151" s="114" t="str">
        <f t="shared" ca="1" si="80"/>
        <v>SINAPI 100775</v>
      </c>
      <c r="AF151" s="159" t="str">
        <f t="shared" ca="1" si="81"/>
        <v>(abra o arquivo 'Referência 05-2024.xls)</v>
      </c>
      <c r="AG151" s="579">
        <f t="shared" ca="1" si="82"/>
        <v>0</v>
      </c>
      <c r="AH151" s="580">
        <f t="shared" ca="1" si="83"/>
        <v>0.22470000000000001</v>
      </c>
      <c r="AJ151" s="582">
        <v>61475.7</v>
      </c>
      <c r="AL151" s="612"/>
      <c r="AM151" s="430">
        <f t="shared" ca="1" si="84"/>
        <v>0</v>
      </c>
      <c r="AN151" s="655">
        <f t="shared" ca="1" si="85"/>
        <v>0</v>
      </c>
    </row>
    <row r="152" spans="1:40" ht="13.8" x14ac:dyDescent="0.3">
      <c r="A152">
        <f t="shared" si="64"/>
        <v>2</v>
      </c>
      <c r="B152">
        <f t="shared" ca="1" si="65"/>
        <v>2</v>
      </c>
      <c r="C152">
        <f t="shared" ca="1" si="66"/>
        <v>2</v>
      </c>
      <c r="D152">
        <f t="shared" ca="1" si="67"/>
        <v>20</v>
      </c>
      <c r="E152">
        <f ca="1">IF($C152=1,OFFSET(E152,-1,0)+MAX(1,COUNTIF(QCI!$A$13:$A$24,OFFSET(ORÇAMENTO!E152,-1,0))),OFFSET(E152,-1,0))</f>
        <v>1</v>
      </c>
      <c r="F152">
        <f t="shared" ca="1" si="68"/>
        <v>5</v>
      </c>
      <c r="G152">
        <f t="shared" ca="1" si="69"/>
        <v>0</v>
      </c>
      <c r="H152">
        <f t="shared" ca="1" si="70"/>
        <v>0</v>
      </c>
      <c r="I152">
        <f t="shared" ca="1" si="71"/>
        <v>0</v>
      </c>
      <c r="J152">
        <f t="shared" ca="1" si="86"/>
        <v>550</v>
      </c>
      <c r="K152">
        <f ca="1">IF(OR($C152="S",$C152=0),0,MATCH(OFFSET($D152,0,$C152)+IF($C152&lt;&gt;1,1,COUNTIF(QCI!$A$13:$A$24,ORÇAMENTO!E152)),OFFSET($D152,1,$C152,ROW($C$710)-ROW($C152)),0))</f>
        <v>20</v>
      </c>
      <c r="L152" s="143" t="str">
        <f t="shared" ca="1" si="72"/>
        <v>F</v>
      </c>
      <c r="M152" s="144" t="s">
        <v>198</v>
      </c>
      <c r="N152" s="145" t="str">
        <f t="shared" ca="1" si="73"/>
        <v>Nível 2</v>
      </c>
      <c r="O152" s="146" t="str">
        <f t="shared" ca="1" si="74"/>
        <v>1.5.</v>
      </c>
      <c r="P152" s="147" t="s">
        <v>249</v>
      </c>
      <c r="Q152" s="148"/>
      <c r="R152" s="149" t="s">
        <v>503</v>
      </c>
      <c r="S152" s="150" t="s">
        <v>168</v>
      </c>
      <c r="T152" s="151">
        <f ca="1">OFFSET(CÁLCULO!H$15,ROW($T152)-ROW(T$15),0)</f>
        <v>0</v>
      </c>
      <c r="U152" s="152">
        <f t="shared" ca="1" si="87"/>
        <v>0</v>
      </c>
      <c r="V152" s="153" t="s">
        <v>158</v>
      </c>
      <c r="W152" s="151">
        <f t="shared" ca="1" si="75"/>
        <v>0</v>
      </c>
      <c r="X152" s="154">
        <f t="shared" ca="1" si="76"/>
        <v>0</v>
      </c>
      <c r="Y152" s="155" t="s">
        <v>583</v>
      </c>
      <c r="Z152" t="str">
        <f t="shared" ca="1" si="77"/>
        <v/>
      </c>
      <c r="AA152" s="156">
        <f ca="1">IF($C152="S",IF($Z152="CP",$X152,IF($Z152="RA",(($X152)*QCI!$AA$3),0)),SomaAgrup)</f>
        <v>0</v>
      </c>
      <c r="AB152" s="157">
        <f t="shared" ca="1" si="78"/>
        <v>0</v>
      </c>
      <c r="AC152" s="158" t="str">
        <f t="shared" ca="1" si="79"/>
        <v/>
      </c>
      <c r="AD152" s="104">
        <f ca="1">IF(C152&lt;=CRONO.NivelExibicao,MAX($AD$15:OFFSET(AD152,-1,0))+IF($C152&lt;&gt;1,1,MAX(1,COUNTIF(QCI!$A$13:$A$24,OFFSET($E152,-1,0)))),"")</f>
        <v>6</v>
      </c>
      <c r="AE152" s="114" t="b">
        <f t="shared" ca="1" si="80"/>
        <v>0</v>
      </c>
      <c r="AF152" s="159" t="str">
        <f t="shared" ca="1" si="81"/>
        <v>(abra o arquivo 'Referência 05-2024.xls)</v>
      </c>
      <c r="AG152" s="579">
        <f t="shared" ca="1" si="82"/>
        <v>0</v>
      </c>
      <c r="AH152" s="580">
        <f t="shared" ca="1" si="83"/>
        <v>0.22470000000000001</v>
      </c>
      <c r="AJ152" s="582"/>
      <c r="AL152" s="612"/>
      <c r="AM152" s="430">
        <f t="shared" ca="1" si="84"/>
        <v>0</v>
      </c>
      <c r="AN152" s="655">
        <f t="shared" ca="1" si="85"/>
        <v>0</v>
      </c>
    </row>
    <row r="153" spans="1:40" ht="13.8" x14ac:dyDescent="0.3">
      <c r="A153">
        <f t="shared" si="64"/>
        <v>3</v>
      </c>
      <c r="B153">
        <f t="shared" ca="1" si="65"/>
        <v>3</v>
      </c>
      <c r="C153">
        <f t="shared" ca="1" si="66"/>
        <v>3</v>
      </c>
      <c r="D153">
        <f t="shared" ca="1" si="67"/>
        <v>2</v>
      </c>
      <c r="E153">
        <f ca="1">IF($C153=1,OFFSET(E153,-1,0)+MAX(1,COUNTIF(QCI!$A$13:$A$24,OFFSET(ORÇAMENTO!E153,-1,0))),OFFSET(E153,-1,0))</f>
        <v>1</v>
      </c>
      <c r="F153">
        <f t="shared" ca="1" si="68"/>
        <v>5</v>
      </c>
      <c r="G153">
        <f t="shared" ca="1" si="69"/>
        <v>1</v>
      </c>
      <c r="H153">
        <f t="shared" ca="1" si="70"/>
        <v>0</v>
      </c>
      <c r="I153">
        <f t="shared" ca="1" si="71"/>
        <v>0</v>
      </c>
      <c r="J153">
        <f t="shared" ca="1" si="86"/>
        <v>19</v>
      </c>
      <c r="K153">
        <f ca="1">IF(OR($C153="S",$C153=0),0,MATCH(OFFSET($D153,0,$C153)+IF($C153&lt;&gt;1,1,COUNTIF(QCI!$A$13:$A$24,ORÇAMENTO!E153)),OFFSET($D153,1,$C153,ROW($C$710)-ROW($C153)),0))</f>
        <v>2</v>
      </c>
      <c r="L153" s="143" t="str">
        <f t="shared" ca="1" si="72"/>
        <v>F</v>
      </c>
      <c r="M153" s="144" t="s">
        <v>199</v>
      </c>
      <c r="N153" s="145" t="str">
        <f t="shared" ca="1" si="73"/>
        <v>Nível 3</v>
      </c>
      <c r="O153" s="146" t="str">
        <f t="shared" ca="1" si="74"/>
        <v>1.5.1.</v>
      </c>
      <c r="P153" s="147" t="s">
        <v>249</v>
      </c>
      <c r="Q153" s="148"/>
      <c r="R153" s="149" t="s">
        <v>504</v>
      </c>
      <c r="S153" s="150" t="s">
        <v>168</v>
      </c>
      <c r="T153" s="151">
        <f ca="1">OFFSET(CÁLCULO!H$15,ROW($T153)-ROW(T$15),0)</f>
        <v>0</v>
      </c>
      <c r="U153" s="152">
        <f t="shared" ca="1" si="87"/>
        <v>0</v>
      </c>
      <c r="V153" s="153" t="s">
        <v>158</v>
      </c>
      <c r="W153" s="151">
        <f t="shared" ca="1" si="75"/>
        <v>0</v>
      </c>
      <c r="X153" s="154">
        <f t="shared" ca="1" si="76"/>
        <v>0</v>
      </c>
      <c r="Y153" s="155" t="s">
        <v>583</v>
      </c>
      <c r="Z153" t="str">
        <f t="shared" ca="1" si="77"/>
        <v/>
      </c>
      <c r="AA153" s="156">
        <f ca="1">IF($C153="S",IF($Z153="CP",$X153,IF($Z153="RA",(($X153)*QCI!$AA$3),0)),SomaAgrup)</f>
        <v>0</v>
      </c>
      <c r="AB153" s="157">
        <f t="shared" ca="1" si="78"/>
        <v>0</v>
      </c>
      <c r="AC153" s="158" t="str">
        <f t="shared" ca="1" si="79"/>
        <v/>
      </c>
      <c r="AD153" s="104" t="str">
        <f ca="1">IF(C153&lt;=CRONO.NivelExibicao,MAX($AD$15:OFFSET(AD153,-1,0))+IF($C153&lt;&gt;1,1,MAX(1,COUNTIF(QCI!$A$13:$A$24,OFFSET($E153,-1,0)))),"")</f>
        <v/>
      </c>
      <c r="AE153" s="114" t="b">
        <f t="shared" ca="1" si="80"/>
        <v>0</v>
      </c>
      <c r="AF153" s="159" t="str">
        <f t="shared" ca="1" si="81"/>
        <v>(abra o arquivo 'Referência 05-2024.xls)</v>
      </c>
      <c r="AG153" s="579">
        <f t="shared" ca="1" si="82"/>
        <v>0</v>
      </c>
      <c r="AH153" s="580">
        <f t="shared" ca="1" si="83"/>
        <v>0.22470000000000001</v>
      </c>
      <c r="AJ153" s="582"/>
      <c r="AL153" s="612"/>
      <c r="AM153" s="430">
        <f t="shared" ca="1" si="84"/>
        <v>0</v>
      </c>
      <c r="AN153" s="655">
        <f t="shared" ca="1" si="85"/>
        <v>0</v>
      </c>
    </row>
    <row r="154" spans="1:40" ht="13.8" x14ac:dyDescent="0.3">
      <c r="A154" t="str">
        <f t="shared" si="64"/>
        <v>S</v>
      </c>
      <c r="B154">
        <f t="shared" ca="1" si="65"/>
        <v>3</v>
      </c>
      <c r="C154" t="str">
        <f t="shared" ca="1" si="66"/>
        <v>S</v>
      </c>
      <c r="D154">
        <f t="shared" ca="1" si="67"/>
        <v>0</v>
      </c>
      <c r="E154">
        <f ca="1">IF($C154=1,OFFSET(E154,-1,0)+MAX(1,COUNTIF(QCI!$A$13:$A$24,OFFSET(ORÇAMENTO!E154,-1,0))),OFFSET(E154,-1,0))</f>
        <v>1</v>
      </c>
      <c r="F154">
        <f t="shared" ca="1" si="68"/>
        <v>5</v>
      </c>
      <c r="G154">
        <f t="shared" ca="1" si="69"/>
        <v>1</v>
      </c>
      <c r="H154">
        <f t="shared" ca="1" si="70"/>
        <v>0</v>
      </c>
      <c r="I154">
        <f t="shared" ca="1" si="71"/>
        <v>0</v>
      </c>
      <c r="J154">
        <f t="shared" ca="1" si="86"/>
        <v>0</v>
      </c>
      <c r="K154">
        <f ca="1">IF(OR($C154="S",$C154=0),0,MATCH(OFFSET($D154,0,$C154)+IF($C154&lt;&gt;1,1,COUNTIF(QCI!$A$13:$A$24,ORÇAMENTO!E154)),OFFSET($D154,1,$C154,ROW($C$710)-ROW($C154)),0))</f>
        <v>0</v>
      </c>
      <c r="L154" s="143" t="str">
        <f t="shared" ca="1" si="72"/>
        <v/>
      </c>
      <c r="M154" s="144" t="s">
        <v>201</v>
      </c>
      <c r="N154" s="145" t="str">
        <f t="shared" ca="1" si="73"/>
        <v>Serviço</v>
      </c>
      <c r="O154" s="146" t="str">
        <f t="shared" ca="1" si="74"/>
        <v>-</v>
      </c>
      <c r="P154" s="147" t="s">
        <v>249</v>
      </c>
      <c r="Q154" s="148">
        <v>101161</v>
      </c>
      <c r="R154" s="149" t="str">
        <f ca="1">IF($C154="S",REFERENCIA.Descricao,"(digite a descrição aqui)")</f>
        <v>(abra o arquivo 'Referência 05-2024.xls)</v>
      </c>
      <c r="S154" s="150" t="str">
        <f ca="1">REFERENCIA.Unidade</f>
        <v>-</v>
      </c>
      <c r="T154" s="151">
        <f ca="1">OFFSET(CÁLCULO!H$15,ROW($T154)-ROW(T$15),0)</f>
        <v>122.25</v>
      </c>
      <c r="U154" s="152">
        <f t="shared" ca="1" si="87"/>
        <v>0</v>
      </c>
      <c r="V154" s="153" t="s">
        <v>158</v>
      </c>
      <c r="W154" s="151">
        <f t="shared" ca="1" si="75"/>
        <v>0</v>
      </c>
      <c r="X154" s="154">
        <f t="shared" ca="1" si="76"/>
        <v>0</v>
      </c>
      <c r="Y154" s="155" t="s">
        <v>583</v>
      </c>
      <c r="Z154" t="str">
        <f t="shared" ca="1" si="77"/>
        <v/>
      </c>
      <c r="AA154" s="156">
        <f ca="1">IF($C154="S",IF($Z154="CP",$X154,IF($Z154="RA",(($X154)*QCI!$AA$3),0)),SomaAgrup)</f>
        <v>0</v>
      </c>
      <c r="AB154" s="157">
        <f t="shared" ca="1" si="78"/>
        <v>0</v>
      </c>
      <c r="AC154" s="158" t="str">
        <f t="shared" ca="1" si="79"/>
        <v/>
      </c>
      <c r="AD154" s="104" t="str">
        <f ca="1">IF(C154&lt;=CRONO.NivelExibicao,MAX($AD$15:OFFSET(AD154,-1,0))+IF($C154&lt;&gt;1,1,MAX(1,COUNTIF(QCI!$A$13:$A$24,OFFSET($E154,-1,0)))),"")</f>
        <v/>
      </c>
      <c r="AE154" s="114" t="str">
        <f t="shared" ca="1" si="80"/>
        <v>SINAPI 101161</v>
      </c>
      <c r="AF154" s="159" t="str">
        <f t="shared" ca="1" si="81"/>
        <v>(abra o arquivo 'Referência 05-2024.xls)</v>
      </c>
      <c r="AG154" s="579">
        <f t="shared" ca="1" si="82"/>
        <v>0</v>
      </c>
      <c r="AH154" s="580">
        <f t="shared" ca="1" si="83"/>
        <v>0.22470000000000001</v>
      </c>
      <c r="AJ154" s="582">
        <v>122.25</v>
      </c>
      <c r="AL154" s="612"/>
      <c r="AM154" s="430">
        <f t="shared" ca="1" si="84"/>
        <v>0</v>
      </c>
      <c r="AN154" s="655">
        <f t="shared" ca="1" si="85"/>
        <v>0</v>
      </c>
    </row>
    <row r="155" spans="1:40" ht="13.8" x14ac:dyDescent="0.3">
      <c r="A155">
        <f t="shared" si="64"/>
        <v>3</v>
      </c>
      <c r="B155">
        <f t="shared" ca="1" si="65"/>
        <v>3</v>
      </c>
      <c r="C155">
        <f t="shared" ca="1" si="66"/>
        <v>3</v>
      </c>
      <c r="D155">
        <f t="shared" ca="1" si="67"/>
        <v>6</v>
      </c>
      <c r="E155">
        <f ca="1">IF($C155=1,OFFSET(E155,-1,0)+MAX(1,COUNTIF(QCI!$A$13:$A$24,OFFSET(ORÇAMENTO!E155,-1,0))),OFFSET(E155,-1,0))</f>
        <v>1</v>
      </c>
      <c r="F155">
        <f t="shared" ca="1" si="68"/>
        <v>5</v>
      </c>
      <c r="G155">
        <f t="shared" ca="1" si="69"/>
        <v>2</v>
      </c>
      <c r="H155">
        <f t="shared" ca="1" si="70"/>
        <v>0</v>
      </c>
      <c r="I155">
        <f t="shared" ca="1" si="71"/>
        <v>0</v>
      </c>
      <c r="J155">
        <f t="shared" ca="1" si="86"/>
        <v>17</v>
      </c>
      <c r="K155">
        <f ca="1">IF(OR($C155="S",$C155=0),0,MATCH(OFFSET($D155,0,$C155)+IF($C155&lt;&gt;1,1,COUNTIF(QCI!$A$13:$A$24,ORÇAMENTO!E155)),OFFSET($D155,1,$C155,ROW($C$710)-ROW($C155)),0))</f>
        <v>6</v>
      </c>
      <c r="L155" s="143" t="str">
        <f t="shared" ca="1" si="72"/>
        <v>F</v>
      </c>
      <c r="M155" s="144" t="s">
        <v>199</v>
      </c>
      <c r="N155" s="145" t="str">
        <f t="shared" ca="1" si="73"/>
        <v>Nível 3</v>
      </c>
      <c r="O155" s="146" t="str">
        <f t="shared" ca="1" si="74"/>
        <v>1.5.2.</v>
      </c>
      <c r="P155" s="147" t="s">
        <v>249</v>
      </c>
      <c r="Q155" s="148"/>
      <c r="R155" s="149" t="s">
        <v>505</v>
      </c>
      <c r="S155" s="150" t="s">
        <v>168</v>
      </c>
      <c r="T155" s="151">
        <f ca="1">OFFSET(CÁLCULO!H$15,ROW($T155)-ROW(T$15),0)</f>
        <v>0</v>
      </c>
      <c r="U155" s="152">
        <f t="shared" ca="1" si="87"/>
        <v>0</v>
      </c>
      <c r="V155" s="153" t="s">
        <v>158</v>
      </c>
      <c r="W155" s="151">
        <f t="shared" ca="1" si="75"/>
        <v>0</v>
      </c>
      <c r="X155" s="154">
        <f t="shared" ca="1" si="76"/>
        <v>0</v>
      </c>
      <c r="Y155" s="155" t="s">
        <v>583</v>
      </c>
      <c r="Z155" t="str">
        <f t="shared" ca="1" si="77"/>
        <v/>
      </c>
      <c r="AA155" s="156">
        <f ca="1">IF($C155="S",IF($Z155="CP",$X155,IF($Z155="RA",(($X155)*QCI!$AA$3),0)),SomaAgrup)</f>
        <v>0</v>
      </c>
      <c r="AB155" s="157">
        <f t="shared" ca="1" si="78"/>
        <v>0</v>
      </c>
      <c r="AC155" s="158" t="str">
        <f t="shared" ca="1" si="79"/>
        <v/>
      </c>
      <c r="AD155" s="104" t="str">
        <f ca="1">IF(C155&lt;=CRONO.NivelExibicao,MAX($AD$15:OFFSET(AD155,-1,0))+IF($C155&lt;&gt;1,1,MAX(1,COUNTIF(QCI!$A$13:$A$24,OFFSET($E155,-1,0)))),"")</f>
        <v/>
      </c>
      <c r="AE155" s="114" t="b">
        <f t="shared" ca="1" si="80"/>
        <v>0</v>
      </c>
      <c r="AF155" s="159" t="str">
        <f t="shared" ca="1" si="81"/>
        <v>(abra o arquivo 'Referência 05-2024.xls)</v>
      </c>
      <c r="AG155" s="579">
        <f t="shared" ca="1" si="82"/>
        <v>0</v>
      </c>
      <c r="AH155" s="580">
        <f t="shared" ca="1" si="83"/>
        <v>0.22470000000000001</v>
      </c>
      <c r="AJ155" s="582"/>
      <c r="AL155" s="612"/>
      <c r="AM155" s="430">
        <f t="shared" ca="1" si="84"/>
        <v>0</v>
      </c>
      <c r="AN155" s="655">
        <f t="shared" ca="1" si="85"/>
        <v>0</v>
      </c>
    </row>
    <row r="156" spans="1:40" ht="13.8" x14ac:dyDescent="0.3">
      <c r="A156" t="str">
        <f t="shared" si="64"/>
        <v>S</v>
      </c>
      <c r="B156">
        <f t="shared" ca="1" si="65"/>
        <v>3</v>
      </c>
      <c r="C156" t="str">
        <f t="shared" ca="1" si="66"/>
        <v>S</v>
      </c>
      <c r="D156">
        <f t="shared" ca="1" si="67"/>
        <v>0</v>
      </c>
      <c r="E156">
        <f ca="1">IF($C156=1,OFFSET(E156,-1,0)+MAX(1,COUNTIF(QCI!$A$13:$A$24,OFFSET(ORÇAMENTO!E156,-1,0))),OFFSET(E156,-1,0))</f>
        <v>1</v>
      </c>
      <c r="F156">
        <f t="shared" ca="1" si="68"/>
        <v>5</v>
      </c>
      <c r="G156">
        <f t="shared" ca="1" si="69"/>
        <v>2</v>
      </c>
      <c r="H156">
        <f t="shared" ca="1" si="70"/>
        <v>0</v>
      </c>
      <c r="I156">
        <f t="shared" ca="1" si="71"/>
        <v>0</v>
      </c>
      <c r="J156">
        <f t="shared" ca="1" si="86"/>
        <v>0</v>
      </c>
      <c r="K156">
        <f ca="1">IF(OR($C156="S",$C156=0),0,MATCH(OFFSET($D156,0,$C156)+IF($C156&lt;&gt;1,1,COUNTIF(QCI!$A$13:$A$24,ORÇAMENTO!E156)),OFFSET($D156,1,$C156,ROW($C$710)-ROW($C156)),0))</f>
        <v>0</v>
      </c>
      <c r="L156" s="143" t="str">
        <f t="shared" ca="1" si="72"/>
        <v/>
      </c>
      <c r="M156" s="144" t="s">
        <v>201</v>
      </c>
      <c r="N156" s="145" t="str">
        <f t="shared" ca="1" si="73"/>
        <v>Serviço</v>
      </c>
      <c r="O156" s="146" t="str">
        <f t="shared" ca="1" si="74"/>
        <v>-</v>
      </c>
      <c r="P156" s="147" t="s">
        <v>249</v>
      </c>
      <c r="Q156" s="148">
        <v>103324</v>
      </c>
      <c r="R156" s="149" t="str">
        <f ca="1">IF($C156="S",REFERENCIA.Descricao,"(digite a descrição aqui)")</f>
        <v>(abra o arquivo 'Referência 05-2024.xls)</v>
      </c>
      <c r="S156" s="150" t="str">
        <f ca="1">REFERENCIA.Unidade</f>
        <v>-</v>
      </c>
      <c r="T156" s="151">
        <f ca="1">OFFSET(CÁLCULO!H$15,ROW($T156)-ROW(T$15),0)</f>
        <v>1406.55</v>
      </c>
      <c r="U156" s="152">
        <f t="shared" ca="1" si="87"/>
        <v>0</v>
      </c>
      <c r="V156" s="153" t="s">
        <v>158</v>
      </c>
      <c r="W156" s="151">
        <f t="shared" ca="1" si="75"/>
        <v>0</v>
      </c>
      <c r="X156" s="154">
        <f t="shared" ca="1" si="76"/>
        <v>0</v>
      </c>
      <c r="Y156" s="155" t="s">
        <v>583</v>
      </c>
      <c r="Z156" t="str">
        <f t="shared" ca="1" si="77"/>
        <v/>
      </c>
      <c r="AA156" s="156">
        <f ca="1">IF($C156="S",IF($Z156="CP",$X156,IF($Z156="RA",(($X156)*QCI!$AA$3),0)),SomaAgrup)</f>
        <v>0</v>
      </c>
      <c r="AB156" s="157">
        <f t="shared" ca="1" si="78"/>
        <v>0</v>
      </c>
      <c r="AC156" s="158" t="str">
        <f t="shared" ca="1" si="79"/>
        <v/>
      </c>
      <c r="AD156" s="104" t="str">
        <f ca="1">IF(C156&lt;=CRONO.NivelExibicao,MAX($AD$15:OFFSET(AD156,-1,0))+IF($C156&lt;&gt;1,1,MAX(1,COUNTIF(QCI!$A$13:$A$24,OFFSET($E156,-1,0)))),"")</f>
        <v/>
      </c>
      <c r="AE156" s="114" t="str">
        <f t="shared" ca="1" si="80"/>
        <v>SINAPI 103324</v>
      </c>
      <c r="AF156" s="159" t="str">
        <f t="shared" ca="1" si="81"/>
        <v>(abra o arquivo 'Referência 05-2024.xls)</v>
      </c>
      <c r="AG156" s="579">
        <f t="shared" ca="1" si="82"/>
        <v>0</v>
      </c>
      <c r="AH156" s="580">
        <f t="shared" ca="1" si="83"/>
        <v>0.22470000000000001</v>
      </c>
      <c r="AJ156" s="582">
        <v>1406.55</v>
      </c>
      <c r="AL156" s="612"/>
      <c r="AM156" s="430">
        <f t="shared" ca="1" si="84"/>
        <v>0</v>
      </c>
      <c r="AN156" s="655">
        <f t="shared" ca="1" si="85"/>
        <v>0</v>
      </c>
    </row>
    <row r="157" spans="1:40" ht="13.8" x14ac:dyDescent="0.3">
      <c r="A157" t="str">
        <f t="shared" si="64"/>
        <v>S</v>
      </c>
      <c r="B157">
        <f t="shared" ca="1" si="65"/>
        <v>3</v>
      </c>
      <c r="C157" t="str">
        <f t="shared" ca="1" si="66"/>
        <v>S</v>
      </c>
      <c r="D157">
        <f t="shared" ca="1" si="67"/>
        <v>0</v>
      </c>
      <c r="E157">
        <f ca="1">IF($C157=1,OFFSET(E157,-1,0)+MAX(1,COUNTIF(QCI!$A$13:$A$24,OFFSET(ORÇAMENTO!E157,-1,0))),OFFSET(E157,-1,0))</f>
        <v>1</v>
      </c>
      <c r="F157">
        <f t="shared" ca="1" si="68"/>
        <v>5</v>
      </c>
      <c r="G157">
        <f t="shared" ca="1" si="69"/>
        <v>2</v>
      </c>
      <c r="H157">
        <f t="shared" ca="1" si="70"/>
        <v>0</v>
      </c>
      <c r="I157">
        <f t="shared" ca="1" si="71"/>
        <v>0</v>
      </c>
      <c r="J157">
        <f t="shared" ca="1" si="86"/>
        <v>0</v>
      </c>
      <c r="K157">
        <f ca="1">IF(OR($C157="S",$C157=0),0,MATCH(OFFSET($D157,0,$C157)+IF($C157&lt;&gt;1,1,COUNTIF(QCI!$A$13:$A$24,ORÇAMENTO!E157)),OFFSET($D157,1,$C157,ROW($C$710)-ROW($C157)),0))</f>
        <v>0</v>
      </c>
      <c r="L157" s="143" t="str">
        <f t="shared" ca="1" si="72"/>
        <v/>
      </c>
      <c r="M157" s="144" t="s">
        <v>201</v>
      </c>
      <c r="N157" s="145" t="str">
        <f t="shared" ca="1" si="73"/>
        <v>Serviço</v>
      </c>
      <c r="O157" s="146" t="str">
        <f t="shared" ca="1" si="74"/>
        <v>-</v>
      </c>
      <c r="P157" s="147" t="s">
        <v>249</v>
      </c>
      <c r="Q157" s="148">
        <v>103322</v>
      </c>
      <c r="R157" s="149" t="str">
        <f ca="1">IF($C157="S",REFERENCIA.Descricao,"(digite a descrição aqui)")</f>
        <v>(abra o arquivo 'Referência 05-2024.xls)</v>
      </c>
      <c r="S157" s="150" t="str">
        <f ca="1">REFERENCIA.Unidade</f>
        <v>-</v>
      </c>
      <c r="T157" s="151">
        <f ca="1">OFFSET(CÁLCULO!H$15,ROW($T157)-ROW(T$15),0)</f>
        <v>345.27</v>
      </c>
      <c r="U157" s="152">
        <f t="shared" ca="1" si="87"/>
        <v>0</v>
      </c>
      <c r="V157" s="153" t="s">
        <v>158</v>
      </c>
      <c r="W157" s="151">
        <f t="shared" ca="1" si="75"/>
        <v>0</v>
      </c>
      <c r="X157" s="154">
        <f t="shared" ca="1" si="76"/>
        <v>0</v>
      </c>
      <c r="Y157" s="155" t="s">
        <v>583</v>
      </c>
      <c r="Z157" t="str">
        <f t="shared" ca="1" si="77"/>
        <v/>
      </c>
      <c r="AA157" s="156">
        <f ca="1">IF($C157="S",IF($Z157="CP",$X157,IF($Z157="RA",(($X157)*QCI!$AA$3),0)),SomaAgrup)</f>
        <v>0</v>
      </c>
      <c r="AB157" s="157">
        <f t="shared" ca="1" si="78"/>
        <v>0</v>
      </c>
      <c r="AC157" s="158" t="str">
        <f t="shared" ca="1" si="79"/>
        <v/>
      </c>
      <c r="AD157" s="104" t="str">
        <f ca="1">IF(C157&lt;=CRONO.NivelExibicao,MAX($AD$15:OFFSET(AD157,-1,0))+IF($C157&lt;&gt;1,1,MAX(1,COUNTIF(QCI!$A$13:$A$24,OFFSET($E157,-1,0)))),"")</f>
        <v/>
      </c>
      <c r="AE157" s="114" t="str">
        <f t="shared" ca="1" si="80"/>
        <v>SINAPI 103322</v>
      </c>
      <c r="AF157" s="159" t="str">
        <f t="shared" ca="1" si="81"/>
        <v>(abra o arquivo 'Referência 05-2024.xls)</v>
      </c>
      <c r="AG157" s="579">
        <f t="shared" ca="1" si="82"/>
        <v>0</v>
      </c>
      <c r="AH157" s="580">
        <f t="shared" ca="1" si="83"/>
        <v>0.22470000000000001</v>
      </c>
      <c r="AJ157" s="582">
        <v>345.27</v>
      </c>
      <c r="AL157" s="612"/>
      <c r="AM157" s="430">
        <f t="shared" ca="1" si="84"/>
        <v>0</v>
      </c>
      <c r="AN157" s="655">
        <f t="shared" ca="1" si="85"/>
        <v>0</v>
      </c>
    </row>
    <row r="158" spans="1:40" ht="13.8" x14ac:dyDescent="0.3">
      <c r="A158" t="str">
        <f t="shared" si="64"/>
        <v>S</v>
      </c>
      <c r="B158">
        <f t="shared" ca="1" si="65"/>
        <v>3</v>
      </c>
      <c r="C158" t="str">
        <f t="shared" ca="1" si="66"/>
        <v>S</v>
      </c>
      <c r="D158">
        <f t="shared" ca="1" si="67"/>
        <v>0</v>
      </c>
      <c r="E158">
        <f ca="1">IF($C158=1,OFFSET(E158,-1,0)+MAX(1,COUNTIF(QCI!$A$13:$A$24,OFFSET(ORÇAMENTO!E158,-1,0))),OFFSET(E158,-1,0))</f>
        <v>1</v>
      </c>
      <c r="F158">
        <f t="shared" ca="1" si="68"/>
        <v>5</v>
      </c>
      <c r="G158">
        <f t="shared" ca="1" si="69"/>
        <v>2</v>
      </c>
      <c r="H158">
        <f t="shared" ca="1" si="70"/>
        <v>0</v>
      </c>
      <c r="I158">
        <f t="shared" ca="1" si="71"/>
        <v>0</v>
      </c>
      <c r="J158">
        <f t="shared" ca="1" si="86"/>
        <v>0</v>
      </c>
      <c r="K158">
        <f ca="1">IF(OR($C158="S",$C158=0),0,MATCH(OFFSET($D158,0,$C158)+IF($C158&lt;&gt;1,1,COUNTIF(QCI!$A$13:$A$24,ORÇAMENTO!E158)),OFFSET($D158,1,$C158,ROW($C$710)-ROW($C158)),0))</f>
        <v>0</v>
      </c>
      <c r="L158" s="143" t="str">
        <f t="shared" ca="1" si="72"/>
        <v/>
      </c>
      <c r="M158" s="144" t="s">
        <v>201</v>
      </c>
      <c r="N158" s="145" t="str">
        <f t="shared" ca="1" si="73"/>
        <v>Serviço</v>
      </c>
      <c r="O158" s="146" t="str">
        <f t="shared" ca="1" si="74"/>
        <v>-</v>
      </c>
      <c r="P158" s="147" t="s">
        <v>249</v>
      </c>
      <c r="Q158" s="148">
        <v>103326</v>
      </c>
      <c r="R158" s="149" t="str">
        <f ca="1">IF($C158="S",REFERENCIA.Descricao,"(digite a descrição aqui)")</f>
        <v>(abra o arquivo 'Referência 05-2024.xls)</v>
      </c>
      <c r="S158" s="150" t="str">
        <f ca="1">REFERENCIA.Unidade</f>
        <v>-</v>
      </c>
      <c r="T158" s="151">
        <f ca="1">OFFSET(CÁLCULO!H$15,ROW($T158)-ROW(T$15),0)</f>
        <v>9.36</v>
      </c>
      <c r="U158" s="152">
        <f t="shared" ca="1" si="87"/>
        <v>0</v>
      </c>
      <c r="V158" s="153" t="s">
        <v>158</v>
      </c>
      <c r="W158" s="151">
        <f t="shared" ca="1" si="75"/>
        <v>0</v>
      </c>
      <c r="X158" s="154">
        <f t="shared" ca="1" si="76"/>
        <v>0</v>
      </c>
      <c r="Y158" s="155" t="s">
        <v>583</v>
      </c>
      <c r="Z158" t="str">
        <f t="shared" ca="1" si="77"/>
        <v/>
      </c>
      <c r="AA158" s="156">
        <f ca="1">IF($C158="S",IF($Z158="CP",$X158,IF($Z158="RA",(($X158)*QCI!$AA$3),0)),SomaAgrup)</f>
        <v>0</v>
      </c>
      <c r="AB158" s="157">
        <f t="shared" ca="1" si="78"/>
        <v>0</v>
      </c>
      <c r="AC158" s="158" t="str">
        <f t="shared" ca="1" si="79"/>
        <v/>
      </c>
      <c r="AD158" s="104" t="str">
        <f ca="1">IF(C158&lt;=CRONO.NivelExibicao,MAX($AD$15:OFFSET(AD158,-1,0))+IF($C158&lt;&gt;1,1,MAX(1,COUNTIF(QCI!$A$13:$A$24,OFFSET($E158,-1,0)))),"")</f>
        <v/>
      </c>
      <c r="AE158" s="114" t="str">
        <f t="shared" ca="1" si="80"/>
        <v>SINAPI 103326</v>
      </c>
      <c r="AF158" s="159" t="str">
        <f t="shared" ca="1" si="81"/>
        <v>(abra o arquivo 'Referência 05-2024.xls)</v>
      </c>
      <c r="AG158" s="579">
        <f t="shared" ca="1" si="82"/>
        <v>0</v>
      </c>
      <c r="AH158" s="580">
        <f t="shared" ca="1" si="83"/>
        <v>0.22470000000000001</v>
      </c>
      <c r="AJ158" s="582">
        <v>9.36</v>
      </c>
      <c r="AL158" s="612"/>
      <c r="AM158" s="430">
        <f t="shared" ca="1" si="84"/>
        <v>0</v>
      </c>
      <c r="AN158" s="655">
        <f t="shared" ca="1" si="85"/>
        <v>0</v>
      </c>
    </row>
    <row r="159" spans="1:40" ht="13.8" x14ac:dyDescent="0.3">
      <c r="A159" t="str">
        <f t="shared" si="64"/>
        <v>S</v>
      </c>
      <c r="B159">
        <f t="shared" ca="1" si="65"/>
        <v>3</v>
      </c>
      <c r="C159" t="str">
        <f t="shared" ca="1" si="66"/>
        <v>S</v>
      </c>
      <c r="D159">
        <f t="shared" ca="1" si="67"/>
        <v>0</v>
      </c>
      <c r="E159">
        <f ca="1">IF($C159=1,OFFSET(E159,-1,0)+MAX(1,COUNTIF(QCI!$A$13:$A$24,OFFSET(ORÇAMENTO!E159,-1,0))),OFFSET(E159,-1,0))</f>
        <v>1</v>
      </c>
      <c r="F159">
        <f t="shared" ca="1" si="68"/>
        <v>5</v>
      </c>
      <c r="G159">
        <f t="shared" ca="1" si="69"/>
        <v>2</v>
      </c>
      <c r="H159">
        <f t="shared" ca="1" si="70"/>
        <v>0</v>
      </c>
      <c r="I159">
        <f t="shared" ca="1" si="71"/>
        <v>0</v>
      </c>
      <c r="J159">
        <f t="shared" ca="1" si="86"/>
        <v>0</v>
      </c>
      <c r="K159">
        <f ca="1">IF(OR($C159="S",$C159=0),0,MATCH(OFFSET($D159,0,$C159)+IF($C159&lt;&gt;1,1,COUNTIF(QCI!$A$13:$A$24,ORÇAMENTO!E159)),OFFSET($D159,1,$C159,ROW($C$710)-ROW($C159)),0))</f>
        <v>0</v>
      </c>
      <c r="L159" s="143" t="str">
        <f t="shared" ca="1" si="72"/>
        <v/>
      </c>
      <c r="M159" s="144" t="s">
        <v>201</v>
      </c>
      <c r="N159" s="145" t="str">
        <f t="shared" ca="1" si="73"/>
        <v>Serviço</v>
      </c>
      <c r="O159" s="146" t="str">
        <f t="shared" ca="1" si="74"/>
        <v>-</v>
      </c>
      <c r="P159" s="147" t="s">
        <v>249</v>
      </c>
      <c r="Q159" s="148">
        <v>103322</v>
      </c>
      <c r="R159" s="149" t="str">
        <f ca="1">IF($C159="S",REFERENCIA.Descricao,"(digite a descrição aqui)")</f>
        <v>(abra o arquivo 'Referência 05-2024.xls)</v>
      </c>
      <c r="S159" s="150" t="str">
        <f ca="1">REFERENCIA.Unidade</f>
        <v>-</v>
      </c>
      <c r="T159" s="151">
        <f ca="1">OFFSET(CÁLCULO!H$15,ROW($T159)-ROW(T$15),0)</f>
        <v>6.85</v>
      </c>
      <c r="U159" s="152">
        <f t="shared" ca="1" si="87"/>
        <v>0</v>
      </c>
      <c r="V159" s="153" t="s">
        <v>158</v>
      </c>
      <c r="W159" s="151">
        <f t="shared" ca="1" si="75"/>
        <v>0</v>
      </c>
      <c r="X159" s="154">
        <f t="shared" ca="1" si="76"/>
        <v>0</v>
      </c>
      <c r="Y159" s="155" t="s">
        <v>583</v>
      </c>
      <c r="Z159" t="str">
        <f t="shared" ca="1" si="77"/>
        <v/>
      </c>
      <c r="AA159" s="156">
        <f ca="1">IF($C159="S",IF($Z159="CP",$X159,IF($Z159="RA",(($X159)*QCI!$AA$3),0)),SomaAgrup)</f>
        <v>0</v>
      </c>
      <c r="AB159" s="157">
        <f t="shared" ca="1" si="78"/>
        <v>0</v>
      </c>
      <c r="AC159" s="158" t="str">
        <f t="shared" ca="1" si="79"/>
        <v/>
      </c>
      <c r="AD159" s="104" t="str">
        <f ca="1">IF(C159&lt;=CRONO.NivelExibicao,MAX($AD$15:OFFSET(AD159,-1,0))+IF($C159&lt;&gt;1,1,MAX(1,COUNTIF(QCI!$A$13:$A$24,OFFSET($E159,-1,0)))),"")</f>
        <v/>
      </c>
      <c r="AE159" s="114" t="str">
        <f t="shared" ca="1" si="80"/>
        <v>SINAPI 103322</v>
      </c>
      <c r="AF159" s="159" t="str">
        <f t="shared" ca="1" si="81"/>
        <v>(abra o arquivo 'Referência 05-2024.xls)</v>
      </c>
      <c r="AG159" s="579">
        <f t="shared" ca="1" si="82"/>
        <v>0</v>
      </c>
      <c r="AH159" s="580">
        <f t="shared" ca="1" si="83"/>
        <v>0.22470000000000001</v>
      </c>
      <c r="AJ159" s="582">
        <v>6.85</v>
      </c>
      <c r="AL159" s="612"/>
      <c r="AM159" s="430">
        <f t="shared" ca="1" si="84"/>
        <v>0</v>
      </c>
      <c r="AN159" s="655">
        <f t="shared" ca="1" si="85"/>
        <v>0</v>
      </c>
    </row>
    <row r="160" spans="1:40" ht="13.8" x14ac:dyDescent="0.3">
      <c r="A160" t="str">
        <f t="shared" si="64"/>
        <v>S</v>
      </c>
      <c r="B160">
        <f t="shared" ca="1" si="65"/>
        <v>3</v>
      </c>
      <c r="C160" t="str">
        <f t="shared" ca="1" si="66"/>
        <v>S</v>
      </c>
      <c r="D160">
        <f t="shared" ca="1" si="67"/>
        <v>0</v>
      </c>
      <c r="E160">
        <f ca="1">IF($C160=1,OFFSET(E160,-1,0)+MAX(1,COUNTIF(QCI!$A$13:$A$24,OFFSET(ORÇAMENTO!E160,-1,0))),OFFSET(E160,-1,0))</f>
        <v>1</v>
      </c>
      <c r="F160">
        <f t="shared" ca="1" si="68"/>
        <v>5</v>
      </c>
      <c r="G160">
        <f t="shared" ca="1" si="69"/>
        <v>2</v>
      </c>
      <c r="H160">
        <f t="shared" ca="1" si="70"/>
        <v>0</v>
      </c>
      <c r="I160">
        <f t="shared" ca="1" si="71"/>
        <v>0</v>
      </c>
      <c r="J160">
        <f t="shared" ca="1" si="86"/>
        <v>0</v>
      </c>
      <c r="K160">
        <f ca="1">IF(OR($C160="S",$C160=0),0,MATCH(OFFSET($D160,0,$C160)+IF($C160&lt;&gt;1,1,COUNTIF(QCI!$A$13:$A$24,ORÇAMENTO!E160)),OFFSET($D160,1,$C160,ROW($C$710)-ROW($C160)),0))</f>
        <v>0</v>
      </c>
      <c r="L160" s="143" t="str">
        <f t="shared" ca="1" si="72"/>
        <v/>
      </c>
      <c r="M160" s="144" t="s">
        <v>201</v>
      </c>
      <c r="N160" s="145" t="str">
        <f t="shared" ca="1" si="73"/>
        <v>Serviço</v>
      </c>
      <c r="O160" s="146" t="str">
        <f t="shared" ca="1" si="74"/>
        <v>-</v>
      </c>
      <c r="P160" s="147" t="s">
        <v>441</v>
      </c>
      <c r="Q160" s="148" t="s">
        <v>449</v>
      </c>
      <c r="R160" s="149" t="str">
        <f ca="1">IF($C160="S",REFERENCIA.Descricao,"(digite a descrição aqui)")</f>
        <v>(abra o arquivo 'Referência 05-2024.xls)</v>
      </c>
      <c r="S160" s="150" t="str">
        <f ca="1">REFERENCIA.Unidade</f>
        <v>-</v>
      </c>
      <c r="T160" s="151">
        <f ca="1">OFFSET(CÁLCULO!H$15,ROW($T160)-ROW(T$15),0)</f>
        <v>706.41</v>
      </c>
      <c r="U160" s="152">
        <f t="shared" ca="1" si="87"/>
        <v>0</v>
      </c>
      <c r="V160" s="153" t="s">
        <v>158</v>
      </c>
      <c r="W160" s="151">
        <f t="shared" ca="1" si="75"/>
        <v>0</v>
      </c>
      <c r="X160" s="154">
        <f t="shared" ca="1" si="76"/>
        <v>0</v>
      </c>
      <c r="Y160" s="155" t="s">
        <v>583</v>
      </c>
      <c r="Z160" t="str">
        <f t="shared" ca="1" si="77"/>
        <v/>
      </c>
      <c r="AA160" s="156">
        <f ca="1">IF($C160="S",IF($Z160="CP",$X160,IF($Z160="RA",(($X160)*QCI!$AA$3),0)),SomaAgrup)</f>
        <v>0</v>
      </c>
      <c r="AB160" s="157">
        <f t="shared" ca="1" si="78"/>
        <v>0</v>
      </c>
      <c r="AC160" s="158" t="str">
        <f t="shared" ca="1" si="79"/>
        <v/>
      </c>
      <c r="AD160" s="104" t="str">
        <f ca="1">IF(C160&lt;=CRONO.NivelExibicao,MAX($AD$15:OFFSET(AD160,-1,0))+IF($C160&lt;&gt;1,1,MAX(1,COUNTIF(QCI!$A$13:$A$24,OFFSET($E160,-1,0)))),"")</f>
        <v/>
      </c>
      <c r="AE160" s="114" t="str">
        <f t="shared" ca="1" si="80"/>
        <v>Composição CP-10</v>
      </c>
      <c r="AF160" s="159" t="str">
        <f t="shared" ca="1" si="81"/>
        <v>(abra o arquivo 'Referência 05-2024.xls)</v>
      </c>
      <c r="AG160" s="579">
        <f t="shared" ca="1" si="82"/>
        <v>0</v>
      </c>
      <c r="AH160" s="580">
        <f t="shared" ca="1" si="83"/>
        <v>0.22470000000000001</v>
      </c>
      <c r="AJ160" s="582">
        <v>706.41</v>
      </c>
      <c r="AL160" s="612"/>
      <c r="AM160" s="430">
        <f t="shared" ca="1" si="84"/>
        <v>0</v>
      </c>
      <c r="AN160" s="655">
        <f t="shared" ca="1" si="85"/>
        <v>0</v>
      </c>
    </row>
    <row r="161" spans="1:40" ht="13.8" x14ac:dyDescent="0.3">
      <c r="A161">
        <f t="shared" si="64"/>
        <v>3</v>
      </c>
      <c r="B161">
        <f t="shared" ca="1" si="65"/>
        <v>3</v>
      </c>
      <c r="C161">
        <f t="shared" ca="1" si="66"/>
        <v>3</v>
      </c>
      <c r="D161">
        <f t="shared" ca="1" si="67"/>
        <v>6</v>
      </c>
      <c r="E161">
        <f ca="1">IF($C161=1,OFFSET(E161,-1,0)+MAX(1,COUNTIF(QCI!$A$13:$A$24,OFFSET(ORÇAMENTO!E161,-1,0))),OFFSET(E161,-1,0))</f>
        <v>1</v>
      </c>
      <c r="F161">
        <f t="shared" ca="1" si="68"/>
        <v>5</v>
      </c>
      <c r="G161">
        <f t="shared" ca="1" si="69"/>
        <v>3</v>
      </c>
      <c r="H161">
        <f t="shared" ca="1" si="70"/>
        <v>0</v>
      </c>
      <c r="I161">
        <f t="shared" ca="1" si="71"/>
        <v>0</v>
      </c>
      <c r="J161">
        <f t="shared" ca="1" si="86"/>
        <v>11</v>
      </c>
      <c r="K161">
        <f ca="1">IF(OR($C161="S",$C161=0),0,MATCH(OFFSET($D161,0,$C161)+IF($C161&lt;&gt;1,1,COUNTIF(QCI!$A$13:$A$24,ORÇAMENTO!E161)),OFFSET($D161,1,$C161,ROW($C$710)-ROW($C161)),0))</f>
        <v>6</v>
      </c>
      <c r="L161" s="143" t="str">
        <f t="shared" ca="1" si="72"/>
        <v>F</v>
      </c>
      <c r="M161" s="144" t="s">
        <v>199</v>
      </c>
      <c r="N161" s="145" t="str">
        <f t="shared" ca="1" si="73"/>
        <v>Nível 3</v>
      </c>
      <c r="O161" s="146" t="str">
        <f t="shared" ca="1" si="74"/>
        <v>1.5.3.</v>
      </c>
      <c r="P161" s="147" t="s">
        <v>249</v>
      </c>
      <c r="Q161" s="148"/>
      <c r="R161" s="149" t="s">
        <v>506</v>
      </c>
      <c r="S161" s="150" t="s">
        <v>168</v>
      </c>
      <c r="T161" s="151">
        <f ca="1">OFFSET(CÁLCULO!H$15,ROW($T161)-ROW(T$15),0)</f>
        <v>0</v>
      </c>
      <c r="U161" s="152">
        <f t="shared" ca="1" si="87"/>
        <v>0</v>
      </c>
      <c r="V161" s="153" t="s">
        <v>158</v>
      </c>
      <c r="W161" s="151">
        <f t="shared" ca="1" si="75"/>
        <v>0</v>
      </c>
      <c r="X161" s="154">
        <f t="shared" ca="1" si="76"/>
        <v>0</v>
      </c>
      <c r="Y161" s="155" t="s">
        <v>583</v>
      </c>
      <c r="Z161" t="str">
        <f t="shared" ca="1" si="77"/>
        <v/>
      </c>
      <c r="AA161" s="156">
        <f ca="1">IF($C161="S",IF($Z161="CP",$X161,IF($Z161="RA",(($X161)*QCI!$AA$3),0)),SomaAgrup)</f>
        <v>0</v>
      </c>
      <c r="AB161" s="157">
        <f t="shared" ca="1" si="78"/>
        <v>0</v>
      </c>
      <c r="AC161" s="158" t="str">
        <f t="shared" ca="1" si="79"/>
        <v/>
      </c>
      <c r="AD161" s="104" t="str">
        <f ca="1">IF(C161&lt;=CRONO.NivelExibicao,MAX($AD$15:OFFSET(AD161,-1,0))+IF($C161&lt;&gt;1,1,MAX(1,COUNTIF(QCI!$A$13:$A$24,OFFSET($E161,-1,0)))),"")</f>
        <v/>
      </c>
      <c r="AE161" s="114" t="b">
        <f t="shared" ca="1" si="80"/>
        <v>0</v>
      </c>
      <c r="AF161" s="159" t="str">
        <f t="shared" ca="1" si="81"/>
        <v>(abra o arquivo 'Referência 05-2024.xls)</v>
      </c>
      <c r="AG161" s="579">
        <f t="shared" ca="1" si="82"/>
        <v>0</v>
      </c>
      <c r="AH161" s="580">
        <f t="shared" ca="1" si="83"/>
        <v>0.22470000000000001</v>
      </c>
      <c r="AJ161" s="582"/>
      <c r="AL161" s="612"/>
      <c r="AM161" s="430">
        <f t="shared" ca="1" si="84"/>
        <v>0</v>
      </c>
      <c r="AN161" s="655">
        <f t="shared" ca="1" si="85"/>
        <v>0</v>
      </c>
    </row>
    <row r="162" spans="1:40" ht="13.8" x14ac:dyDescent="0.3">
      <c r="A162" t="str">
        <f t="shared" si="64"/>
        <v>S</v>
      </c>
      <c r="B162">
        <f t="shared" ca="1" si="65"/>
        <v>3</v>
      </c>
      <c r="C162" t="str">
        <f t="shared" ca="1" si="66"/>
        <v>S</v>
      </c>
      <c r="D162">
        <f t="shared" ca="1" si="67"/>
        <v>0</v>
      </c>
      <c r="E162">
        <f ca="1">IF($C162=1,OFFSET(E162,-1,0)+MAX(1,COUNTIF(QCI!$A$13:$A$24,OFFSET(ORÇAMENTO!E162,-1,0))),OFFSET(E162,-1,0))</f>
        <v>1</v>
      </c>
      <c r="F162">
        <f t="shared" ca="1" si="68"/>
        <v>5</v>
      </c>
      <c r="G162">
        <f t="shared" ca="1" si="69"/>
        <v>3</v>
      </c>
      <c r="H162">
        <f t="shared" ca="1" si="70"/>
        <v>0</v>
      </c>
      <c r="I162">
        <f t="shared" ca="1" si="71"/>
        <v>0</v>
      </c>
      <c r="J162">
        <f t="shared" ca="1" si="86"/>
        <v>0</v>
      </c>
      <c r="K162">
        <f ca="1">IF(OR($C162="S",$C162=0),0,MATCH(OFFSET($D162,0,$C162)+IF($C162&lt;&gt;1,1,COUNTIF(QCI!$A$13:$A$24,ORÇAMENTO!E162)),OFFSET($D162,1,$C162,ROW($C$710)-ROW($C162)),0))</f>
        <v>0</v>
      </c>
      <c r="L162" s="143" t="str">
        <f t="shared" ca="1" si="72"/>
        <v/>
      </c>
      <c r="M162" s="144" t="s">
        <v>201</v>
      </c>
      <c r="N162" s="145" t="str">
        <f t="shared" ca="1" si="73"/>
        <v>Serviço</v>
      </c>
      <c r="O162" s="146" t="str">
        <f t="shared" ca="1" si="74"/>
        <v>-</v>
      </c>
      <c r="P162" s="147" t="s">
        <v>441</v>
      </c>
      <c r="Q162" s="148" t="s">
        <v>450</v>
      </c>
      <c r="R162" s="149" t="str">
        <f ca="1">IF($C162="S",REFERENCIA.Descricao,"(digite a descrição aqui)")</f>
        <v>(abra o arquivo 'Referência 05-2024.xls)</v>
      </c>
      <c r="S162" s="150" t="str">
        <f ca="1">REFERENCIA.Unidade</f>
        <v>-</v>
      </c>
      <c r="T162" s="151">
        <f ca="1">OFFSET(CÁLCULO!H$15,ROW($T162)-ROW(T$15),0)</f>
        <v>25.54</v>
      </c>
      <c r="U162" s="152">
        <f t="shared" ca="1" si="87"/>
        <v>0</v>
      </c>
      <c r="V162" s="153" t="s">
        <v>158</v>
      </c>
      <c r="W162" s="151">
        <f t="shared" ca="1" si="75"/>
        <v>0</v>
      </c>
      <c r="X162" s="154">
        <f t="shared" ca="1" si="76"/>
        <v>0</v>
      </c>
      <c r="Y162" s="155" t="s">
        <v>583</v>
      </c>
      <c r="Z162" t="str">
        <f t="shared" ca="1" si="77"/>
        <v/>
      </c>
      <c r="AA162" s="156">
        <f ca="1">IF($C162="S",IF($Z162="CP",$X162,IF($Z162="RA",(($X162)*QCI!$AA$3),0)),SomaAgrup)</f>
        <v>0</v>
      </c>
      <c r="AB162" s="157">
        <f t="shared" ca="1" si="78"/>
        <v>0</v>
      </c>
      <c r="AC162" s="158" t="str">
        <f t="shared" ca="1" si="79"/>
        <v/>
      </c>
      <c r="AD162" s="104" t="str">
        <f ca="1">IF(C162&lt;=CRONO.NivelExibicao,MAX($AD$15:OFFSET(AD162,-1,0))+IF($C162&lt;&gt;1,1,MAX(1,COUNTIF(QCI!$A$13:$A$24,OFFSET($E162,-1,0)))),"")</f>
        <v/>
      </c>
      <c r="AE162" s="114" t="str">
        <f t="shared" ca="1" si="80"/>
        <v>Composição CP-11</v>
      </c>
      <c r="AF162" s="159" t="str">
        <f t="shared" ca="1" si="81"/>
        <v>(abra o arquivo 'Referência 05-2024.xls)</v>
      </c>
      <c r="AG162" s="579">
        <f t="shared" ca="1" si="82"/>
        <v>0</v>
      </c>
      <c r="AH162" s="580">
        <f t="shared" ca="1" si="83"/>
        <v>0.22470000000000001</v>
      </c>
      <c r="AJ162" s="582">
        <v>25.54</v>
      </c>
      <c r="AL162" s="612"/>
      <c r="AM162" s="430">
        <f t="shared" ca="1" si="84"/>
        <v>0</v>
      </c>
      <c r="AN162" s="655">
        <f t="shared" ca="1" si="85"/>
        <v>0</v>
      </c>
    </row>
    <row r="163" spans="1:40" ht="13.8" x14ac:dyDescent="0.3">
      <c r="A163" t="str">
        <f t="shared" si="64"/>
        <v>S</v>
      </c>
      <c r="B163">
        <f t="shared" ca="1" si="65"/>
        <v>3</v>
      </c>
      <c r="C163" t="str">
        <f t="shared" ca="1" si="66"/>
        <v>S</v>
      </c>
      <c r="D163">
        <f t="shared" ca="1" si="67"/>
        <v>0</v>
      </c>
      <c r="E163">
        <f ca="1">IF($C163=1,OFFSET(E163,-1,0)+MAX(1,COUNTIF(QCI!$A$13:$A$24,OFFSET(ORÇAMENTO!E163,-1,0))),OFFSET(E163,-1,0))</f>
        <v>1</v>
      </c>
      <c r="F163">
        <f t="shared" ca="1" si="68"/>
        <v>5</v>
      </c>
      <c r="G163">
        <f t="shared" ca="1" si="69"/>
        <v>3</v>
      </c>
      <c r="H163">
        <f t="shared" ca="1" si="70"/>
        <v>0</v>
      </c>
      <c r="I163">
        <f t="shared" ca="1" si="71"/>
        <v>0</v>
      </c>
      <c r="J163">
        <f t="shared" ca="1" si="86"/>
        <v>0</v>
      </c>
      <c r="K163">
        <f ca="1">IF(OR($C163="S",$C163=0),0,MATCH(OFFSET($D163,0,$C163)+IF($C163&lt;&gt;1,1,COUNTIF(QCI!$A$13:$A$24,ORÇAMENTO!E163)),OFFSET($D163,1,$C163,ROW($C$710)-ROW($C163)),0))</f>
        <v>0</v>
      </c>
      <c r="L163" s="143" t="str">
        <f t="shared" ca="1" si="72"/>
        <v/>
      </c>
      <c r="M163" s="144" t="s">
        <v>201</v>
      </c>
      <c r="N163" s="145" t="str">
        <f t="shared" ca="1" si="73"/>
        <v>Serviço</v>
      </c>
      <c r="O163" s="146" t="str">
        <f t="shared" ca="1" si="74"/>
        <v>-</v>
      </c>
      <c r="P163" s="147" t="s">
        <v>441</v>
      </c>
      <c r="Q163" s="148" t="s">
        <v>451</v>
      </c>
      <c r="R163" s="149" t="str">
        <f ca="1">IF($C163="S",REFERENCIA.Descricao,"(digite a descrição aqui)")</f>
        <v>(abra o arquivo 'Referência 05-2024.xls)</v>
      </c>
      <c r="S163" s="150" t="str">
        <f ca="1">REFERENCIA.Unidade</f>
        <v>-</v>
      </c>
      <c r="T163" s="151">
        <f ca="1">OFFSET(CÁLCULO!H$15,ROW($T163)-ROW(T$15),0)</f>
        <v>98.62</v>
      </c>
      <c r="U163" s="152">
        <f t="shared" ca="1" si="87"/>
        <v>0</v>
      </c>
      <c r="V163" s="153" t="s">
        <v>158</v>
      </c>
      <c r="W163" s="151">
        <f t="shared" ca="1" si="75"/>
        <v>0</v>
      </c>
      <c r="X163" s="154">
        <f t="shared" ca="1" si="76"/>
        <v>0</v>
      </c>
      <c r="Y163" s="155" t="s">
        <v>583</v>
      </c>
      <c r="Z163" t="str">
        <f t="shared" ca="1" si="77"/>
        <v/>
      </c>
      <c r="AA163" s="156">
        <f ca="1">IF($C163="S",IF($Z163="CP",$X163,IF($Z163="RA",(($X163)*QCI!$AA$3),0)),SomaAgrup)</f>
        <v>0</v>
      </c>
      <c r="AB163" s="157">
        <f t="shared" ca="1" si="78"/>
        <v>0</v>
      </c>
      <c r="AC163" s="158" t="str">
        <f t="shared" ca="1" si="79"/>
        <v/>
      </c>
      <c r="AD163" s="104" t="str">
        <f ca="1">IF(C163&lt;=CRONO.NivelExibicao,MAX($AD$15:OFFSET(AD163,-1,0))+IF($C163&lt;&gt;1,1,MAX(1,COUNTIF(QCI!$A$13:$A$24,OFFSET($E163,-1,0)))),"")</f>
        <v/>
      </c>
      <c r="AE163" s="114" t="str">
        <f t="shared" ca="1" si="80"/>
        <v>Composição CP-12</v>
      </c>
      <c r="AF163" s="159" t="str">
        <f t="shared" ca="1" si="81"/>
        <v>(abra o arquivo 'Referência 05-2024.xls)</v>
      </c>
      <c r="AG163" s="579">
        <f t="shared" ca="1" si="82"/>
        <v>0</v>
      </c>
      <c r="AH163" s="580">
        <f t="shared" ca="1" si="83"/>
        <v>0.22470000000000001</v>
      </c>
      <c r="AJ163" s="582">
        <v>98.62</v>
      </c>
      <c r="AL163" s="612"/>
      <c r="AM163" s="430">
        <f t="shared" ca="1" si="84"/>
        <v>0</v>
      </c>
      <c r="AN163" s="655">
        <f t="shared" ca="1" si="85"/>
        <v>0</v>
      </c>
    </row>
    <row r="164" spans="1:40" ht="13.8" x14ac:dyDescent="0.3">
      <c r="A164" t="str">
        <f t="shared" si="64"/>
        <v>S</v>
      </c>
      <c r="B164">
        <f t="shared" ca="1" si="65"/>
        <v>3</v>
      </c>
      <c r="C164" t="str">
        <f t="shared" ca="1" si="66"/>
        <v>S</v>
      </c>
      <c r="D164">
        <f t="shared" ca="1" si="67"/>
        <v>0</v>
      </c>
      <c r="E164">
        <f ca="1">IF($C164=1,OFFSET(E164,-1,0)+MAX(1,COUNTIF(QCI!$A$13:$A$24,OFFSET(ORÇAMENTO!E164,-1,0))),OFFSET(E164,-1,0))</f>
        <v>1</v>
      </c>
      <c r="F164">
        <f t="shared" ca="1" si="68"/>
        <v>5</v>
      </c>
      <c r="G164">
        <f t="shared" ca="1" si="69"/>
        <v>3</v>
      </c>
      <c r="H164">
        <f t="shared" ca="1" si="70"/>
        <v>0</v>
      </c>
      <c r="I164">
        <f t="shared" ca="1" si="71"/>
        <v>0</v>
      </c>
      <c r="J164">
        <f t="shared" ca="1" si="86"/>
        <v>0</v>
      </c>
      <c r="K164">
        <f ca="1">IF(OR($C164="S",$C164=0),0,MATCH(OFFSET($D164,0,$C164)+IF($C164&lt;&gt;1,1,COUNTIF(QCI!$A$13:$A$24,ORÇAMENTO!E164)),OFFSET($D164,1,$C164,ROW($C$710)-ROW($C164)),0))</f>
        <v>0</v>
      </c>
      <c r="L164" s="143" t="str">
        <f t="shared" ca="1" si="72"/>
        <v/>
      </c>
      <c r="M164" s="144" t="s">
        <v>201</v>
      </c>
      <c r="N164" s="145" t="str">
        <f t="shared" ca="1" si="73"/>
        <v>Serviço</v>
      </c>
      <c r="O164" s="146" t="str">
        <f t="shared" ca="1" si="74"/>
        <v>-</v>
      </c>
      <c r="P164" s="147" t="s">
        <v>249</v>
      </c>
      <c r="Q164" s="148">
        <v>96370</v>
      </c>
      <c r="R164" s="149" t="str">
        <f ca="1">IF($C164="S",REFERENCIA.Descricao,"(digite a descrição aqui)")</f>
        <v>(abra o arquivo 'Referência 05-2024.xls)</v>
      </c>
      <c r="S164" s="150" t="str">
        <f ca="1">REFERENCIA.Unidade</f>
        <v>-</v>
      </c>
      <c r="T164" s="151">
        <f ca="1">OFFSET(CÁLCULO!H$15,ROW($T164)-ROW(T$15),0)</f>
        <v>48.19</v>
      </c>
      <c r="U164" s="152">
        <f t="shared" ca="1" si="87"/>
        <v>0</v>
      </c>
      <c r="V164" s="153" t="s">
        <v>158</v>
      </c>
      <c r="W164" s="151">
        <f t="shared" ca="1" si="75"/>
        <v>0</v>
      </c>
      <c r="X164" s="154">
        <f t="shared" ca="1" si="76"/>
        <v>0</v>
      </c>
      <c r="Y164" s="155" t="s">
        <v>583</v>
      </c>
      <c r="Z164" t="str">
        <f t="shared" ca="1" si="77"/>
        <v/>
      </c>
      <c r="AA164" s="156">
        <f ca="1">IF($C164="S",IF($Z164="CP",$X164,IF($Z164="RA",(($X164)*QCI!$AA$3),0)),SomaAgrup)</f>
        <v>0</v>
      </c>
      <c r="AB164" s="157">
        <f t="shared" ca="1" si="78"/>
        <v>0</v>
      </c>
      <c r="AC164" s="158" t="str">
        <f t="shared" ca="1" si="79"/>
        <v/>
      </c>
      <c r="AD164" s="104" t="str">
        <f ca="1">IF(C164&lt;=CRONO.NivelExibicao,MAX($AD$15:OFFSET(AD164,-1,0))+IF($C164&lt;&gt;1,1,MAX(1,COUNTIF(QCI!$A$13:$A$24,OFFSET($E164,-1,0)))),"")</f>
        <v/>
      </c>
      <c r="AE164" s="114" t="str">
        <f t="shared" ca="1" si="80"/>
        <v>SINAPI 96370</v>
      </c>
      <c r="AF164" s="159" t="str">
        <f t="shared" ca="1" si="81"/>
        <v>(abra o arquivo 'Referência 05-2024.xls)</v>
      </c>
      <c r="AG164" s="579">
        <f t="shared" ca="1" si="82"/>
        <v>0</v>
      </c>
      <c r="AH164" s="580">
        <f t="shared" ca="1" si="83"/>
        <v>0.22470000000000001</v>
      </c>
      <c r="AJ164" s="582">
        <v>48.19</v>
      </c>
      <c r="AL164" s="612"/>
      <c r="AM164" s="430">
        <f t="shared" ca="1" si="84"/>
        <v>0</v>
      </c>
      <c r="AN164" s="655">
        <f t="shared" ca="1" si="85"/>
        <v>0</v>
      </c>
    </row>
    <row r="165" spans="1:40" ht="13.8" x14ac:dyDescent="0.3">
      <c r="A165" t="str">
        <f t="shared" si="64"/>
        <v>S</v>
      </c>
      <c r="B165">
        <f t="shared" ca="1" si="65"/>
        <v>3</v>
      </c>
      <c r="C165" t="str">
        <f t="shared" ca="1" si="66"/>
        <v>S</v>
      </c>
      <c r="D165">
        <f t="shared" ca="1" si="67"/>
        <v>0</v>
      </c>
      <c r="E165">
        <f ca="1">IF($C165=1,OFFSET(E165,-1,0)+MAX(1,COUNTIF(QCI!$A$13:$A$24,OFFSET(ORÇAMENTO!E165,-1,0))),OFFSET(E165,-1,0))</f>
        <v>1</v>
      </c>
      <c r="F165">
        <f t="shared" ca="1" si="68"/>
        <v>5</v>
      </c>
      <c r="G165">
        <f t="shared" ca="1" si="69"/>
        <v>3</v>
      </c>
      <c r="H165">
        <f t="shared" ca="1" si="70"/>
        <v>0</v>
      </c>
      <c r="I165">
        <f t="shared" ca="1" si="71"/>
        <v>0</v>
      </c>
      <c r="J165">
        <f t="shared" ca="1" si="86"/>
        <v>0</v>
      </c>
      <c r="K165">
        <f ca="1">IF(OR($C165="S",$C165=0),0,MATCH(OFFSET($D165,0,$C165)+IF($C165&lt;&gt;1,1,COUNTIF(QCI!$A$13:$A$24,ORÇAMENTO!E165)),OFFSET($D165,1,$C165,ROW($C$710)-ROW($C165)),0))</f>
        <v>0</v>
      </c>
      <c r="L165" s="143" t="str">
        <f t="shared" ca="1" si="72"/>
        <v/>
      </c>
      <c r="M165" s="144" t="s">
        <v>201</v>
      </c>
      <c r="N165" s="145" t="str">
        <f t="shared" ca="1" si="73"/>
        <v>Serviço</v>
      </c>
      <c r="O165" s="146" t="str">
        <f t="shared" ca="1" si="74"/>
        <v>-</v>
      </c>
      <c r="P165" s="147" t="s">
        <v>249</v>
      </c>
      <c r="Q165" s="148">
        <v>102181</v>
      </c>
      <c r="R165" s="149" t="str">
        <f ca="1">IF($C165="S",REFERENCIA.Descricao,"(digite a descrição aqui)")</f>
        <v>(abra o arquivo 'Referência 05-2024.xls)</v>
      </c>
      <c r="S165" s="150" t="str">
        <f ca="1">REFERENCIA.Unidade</f>
        <v>-</v>
      </c>
      <c r="T165" s="151">
        <f ca="1">OFFSET(CÁLCULO!H$15,ROW($T165)-ROW(T$15),0)</f>
        <v>7.2</v>
      </c>
      <c r="U165" s="152">
        <f t="shared" ca="1" si="87"/>
        <v>0</v>
      </c>
      <c r="V165" s="153" t="s">
        <v>158</v>
      </c>
      <c r="W165" s="151">
        <f t="shared" ca="1" si="75"/>
        <v>0</v>
      </c>
      <c r="X165" s="154">
        <f t="shared" ca="1" si="76"/>
        <v>0</v>
      </c>
      <c r="Y165" s="155" t="s">
        <v>583</v>
      </c>
      <c r="Z165" t="str">
        <f t="shared" ca="1" si="77"/>
        <v/>
      </c>
      <c r="AA165" s="156">
        <f ca="1">IF($C165="S",IF($Z165="CP",$X165,IF($Z165="RA",(($X165)*QCI!$AA$3),0)),SomaAgrup)</f>
        <v>0</v>
      </c>
      <c r="AB165" s="157">
        <f t="shared" ca="1" si="78"/>
        <v>0</v>
      </c>
      <c r="AC165" s="158" t="str">
        <f t="shared" ca="1" si="79"/>
        <v/>
      </c>
      <c r="AD165" s="104" t="str">
        <f ca="1">IF(C165&lt;=CRONO.NivelExibicao,MAX($AD$15:OFFSET(AD165,-1,0))+IF($C165&lt;&gt;1,1,MAX(1,COUNTIF(QCI!$A$13:$A$24,OFFSET($E165,-1,0)))),"")</f>
        <v/>
      </c>
      <c r="AE165" s="114" t="str">
        <f t="shared" ca="1" si="80"/>
        <v>SINAPI 102181</v>
      </c>
      <c r="AF165" s="159" t="str">
        <f t="shared" ca="1" si="81"/>
        <v>(abra o arquivo 'Referência 05-2024.xls)</v>
      </c>
      <c r="AG165" s="579">
        <f t="shared" ca="1" si="82"/>
        <v>0</v>
      </c>
      <c r="AH165" s="580">
        <f t="shared" ca="1" si="83"/>
        <v>0.22470000000000001</v>
      </c>
      <c r="AJ165" s="582">
        <v>7.2</v>
      </c>
      <c r="AL165" s="612"/>
      <c r="AM165" s="430">
        <f t="shared" ca="1" si="84"/>
        <v>0</v>
      </c>
      <c r="AN165" s="655">
        <f t="shared" ca="1" si="85"/>
        <v>0</v>
      </c>
    </row>
    <row r="166" spans="1:40" ht="13.8" x14ac:dyDescent="0.3">
      <c r="A166" t="str">
        <f t="shared" si="64"/>
        <v>S</v>
      </c>
      <c r="B166">
        <f t="shared" ca="1" si="65"/>
        <v>3</v>
      </c>
      <c r="C166" t="str">
        <f t="shared" ca="1" si="66"/>
        <v>S</v>
      </c>
      <c r="D166">
        <f t="shared" ca="1" si="67"/>
        <v>0</v>
      </c>
      <c r="E166">
        <f ca="1">IF($C166=1,OFFSET(E166,-1,0)+MAX(1,COUNTIF(QCI!$A$13:$A$24,OFFSET(ORÇAMENTO!E166,-1,0))),OFFSET(E166,-1,0))</f>
        <v>1</v>
      </c>
      <c r="F166">
        <f t="shared" ca="1" si="68"/>
        <v>5</v>
      </c>
      <c r="G166">
        <f t="shared" ca="1" si="69"/>
        <v>3</v>
      </c>
      <c r="H166">
        <f t="shared" ca="1" si="70"/>
        <v>0</v>
      </c>
      <c r="I166">
        <f t="shared" ca="1" si="71"/>
        <v>0</v>
      </c>
      <c r="J166">
        <f t="shared" ca="1" si="86"/>
        <v>0</v>
      </c>
      <c r="K166">
        <f ca="1">IF(OR($C166="S",$C166=0),0,MATCH(OFFSET($D166,0,$C166)+IF($C166&lt;&gt;1,1,COUNTIF(QCI!$A$13:$A$24,ORÇAMENTO!E166)),OFFSET($D166,1,$C166,ROW($C$710)-ROW($C166)),0))</f>
        <v>0</v>
      </c>
      <c r="L166" s="143" t="str">
        <f t="shared" ca="1" si="72"/>
        <v/>
      </c>
      <c r="M166" s="144" t="s">
        <v>201</v>
      </c>
      <c r="N166" s="145" t="str">
        <f t="shared" ca="1" si="73"/>
        <v>Serviço</v>
      </c>
      <c r="O166" s="146" t="str">
        <f t="shared" ca="1" si="74"/>
        <v>-</v>
      </c>
      <c r="P166" s="147" t="s">
        <v>441</v>
      </c>
      <c r="Q166" s="148" t="s">
        <v>452</v>
      </c>
      <c r="R166" s="149" t="str">
        <f ca="1">IF($C166="S",REFERENCIA.Descricao,"(digite a descrição aqui)")</f>
        <v>(abra o arquivo 'Referência 05-2024.xls)</v>
      </c>
      <c r="S166" s="150" t="str">
        <f ca="1">REFERENCIA.Unidade</f>
        <v>-</v>
      </c>
      <c r="T166" s="151">
        <f ca="1">OFFSET(CÁLCULO!H$15,ROW($T166)-ROW(T$15),0)</f>
        <v>168.28</v>
      </c>
      <c r="U166" s="152">
        <f t="shared" ca="1" si="87"/>
        <v>0</v>
      </c>
      <c r="V166" s="153" t="s">
        <v>158</v>
      </c>
      <c r="W166" s="151">
        <f t="shared" ca="1" si="75"/>
        <v>0</v>
      </c>
      <c r="X166" s="154">
        <f t="shared" ca="1" si="76"/>
        <v>0</v>
      </c>
      <c r="Y166" s="155" t="s">
        <v>583</v>
      </c>
      <c r="Z166" t="str">
        <f t="shared" ca="1" si="77"/>
        <v/>
      </c>
      <c r="AA166" s="156">
        <f ca="1">IF($C166="S",IF($Z166="CP",$X166,IF($Z166="RA",(($X166)*QCI!$AA$3),0)),SomaAgrup)</f>
        <v>0</v>
      </c>
      <c r="AB166" s="157">
        <f t="shared" ca="1" si="78"/>
        <v>0</v>
      </c>
      <c r="AC166" s="158" t="str">
        <f t="shared" ca="1" si="79"/>
        <v/>
      </c>
      <c r="AD166" s="104" t="str">
        <f ca="1">IF(C166&lt;=CRONO.NivelExibicao,MAX($AD$15:OFFSET(AD166,-1,0))+IF($C166&lt;&gt;1,1,MAX(1,COUNTIF(QCI!$A$13:$A$24,OFFSET($E166,-1,0)))),"")</f>
        <v/>
      </c>
      <c r="AE166" s="114" t="str">
        <f t="shared" ca="1" si="80"/>
        <v>Composição CP-13</v>
      </c>
      <c r="AF166" s="159" t="str">
        <f t="shared" ca="1" si="81"/>
        <v>(abra o arquivo 'Referência 05-2024.xls)</v>
      </c>
      <c r="AG166" s="579">
        <f t="shared" ca="1" si="82"/>
        <v>0</v>
      </c>
      <c r="AH166" s="580">
        <f t="shared" ca="1" si="83"/>
        <v>0.22470000000000001</v>
      </c>
      <c r="AJ166" s="582">
        <v>168.28</v>
      </c>
      <c r="AL166" s="612"/>
      <c r="AM166" s="430">
        <f t="shared" ca="1" si="84"/>
        <v>0</v>
      </c>
      <c r="AN166" s="655">
        <f t="shared" ca="1" si="85"/>
        <v>0</v>
      </c>
    </row>
    <row r="167" spans="1:40" ht="13.8" x14ac:dyDescent="0.3">
      <c r="A167">
        <f t="shared" si="64"/>
        <v>3</v>
      </c>
      <c r="B167">
        <f t="shared" ca="1" si="65"/>
        <v>3</v>
      </c>
      <c r="C167">
        <f t="shared" ca="1" si="66"/>
        <v>3</v>
      </c>
      <c r="D167">
        <f t="shared" ca="1" si="67"/>
        <v>5</v>
      </c>
      <c r="E167">
        <f ca="1">IF($C167=1,OFFSET(E167,-1,0)+MAX(1,COUNTIF(QCI!$A$13:$A$24,OFFSET(ORÇAMENTO!E167,-1,0))),OFFSET(E167,-1,0))</f>
        <v>1</v>
      </c>
      <c r="F167">
        <f t="shared" ca="1" si="68"/>
        <v>5</v>
      </c>
      <c r="G167">
        <f t="shared" ca="1" si="69"/>
        <v>4</v>
      </c>
      <c r="H167">
        <f t="shared" ca="1" si="70"/>
        <v>0</v>
      </c>
      <c r="I167">
        <f t="shared" ca="1" si="71"/>
        <v>0</v>
      </c>
      <c r="J167">
        <f t="shared" ca="1" si="86"/>
        <v>5</v>
      </c>
      <c r="K167">
        <f ca="1">IF(OR($C167="S",$C167=0),0,MATCH(OFFSET($D167,0,$C167)+IF($C167&lt;&gt;1,1,COUNTIF(QCI!$A$13:$A$24,ORÇAMENTO!E167)),OFFSET($D167,1,$C167,ROW($C$710)-ROW($C167)),0))</f>
        <v>43</v>
      </c>
      <c r="L167" s="143" t="str">
        <f t="shared" ca="1" si="72"/>
        <v>F</v>
      </c>
      <c r="M167" s="144" t="s">
        <v>199</v>
      </c>
      <c r="N167" s="145" t="str">
        <f t="shared" ca="1" si="73"/>
        <v>Nível 3</v>
      </c>
      <c r="O167" s="146" t="str">
        <f t="shared" ca="1" si="74"/>
        <v>1.5.4.</v>
      </c>
      <c r="P167" s="147" t="s">
        <v>249</v>
      </c>
      <c r="Q167" s="148"/>
      <c r="R167" s="149" t="s">
        <v>507</v>
      </c>
      <c r="S167" s="150" t="s">
        <v>168</v>
      </c>
      <c r="T167" s="151">
        <f ca="1">OFFSET(CÁLCULO!H$15,ROW($T167)-ROW(T$15),0)</f>
        <v>0</v>
      </c>
      <c r="U167" s="152">
        <f t="shared" ca="1" si="87"/>
        <v>0</v>
      </c>
      <c r="V167" s="153" t="s">
        <v>158</v>
      </c>
      <c r="W167" s="151">
        <f t="shared" ca="1" si="75"/>
        <v>0</v>
      </c>
      <c r="X167" s="154">
        <f t="shared" ca="1" si="76"/>
        <v>0</v>
      </c>
      <c r="Y167" s="155" t="s">
        <v>583</v>
      </c>
      <c r="Z167" t="str">
        <f t="shared" ca="1" si="77"/>
        <v/>
      </c>
      <c r="AA167" s="156">
        <f ca="1">IF($C167="S",IF($Z167="CP",$X167,IF($Z167="RA",(($X167)*QCI!$AA$3),0)),SomaAgrup)</f>
        <v>0</v>
      </c>
      <c r="AB167" s="157">
        <f t="shared" ca="1" si="78"/>
        <v>0</v>
      </c>
      <c r="AC167" s="158" t="str">
        <f t="shared" ca="1" si="79"/>
        <v/>
      </c>
      <c r="AD167" s="104" t="str">
        <f ca="1">IF(C167&lt;=CRONO.NivelExibicao,MAX($AD$15:OFFSET(AD167,-1,0))+IF($C167&lt;&gt;1,1,MAX(1,COUNTIF(QCI!$A$13:$A$24,OFFSET($E167,-1,0)))),"")</f>
        <v/>
      </c>
      <c r="AE167" s="114" t="b">
        <f t="shared" ca="1" si="80"/>
        <v>0</v>
      </c>
      <c r="AF167" s="159" t="str">
        <f t="shared" ca="1" si="81"/>
        <v>(abra o arquivo 'Referência 05-2024.xls)</v>
      </c>
      <c r="AG167" s="579">
        <f t="shared" ca="1" si="82"/>
        <v>0</v>
      </c>
      <c r="AH167" s="580">
        <f t="shared" ca="1" si="83"/>
        <v>0.22470000000000001</v>
      </c>
      <c r="AJ167" s="582"/>
      <c r="AL167" s="612"/>
      <c r="AM167" s="430">
        <f t="shared" ca="1" si="84"/>
        <v>0</v>
      </c>
      <c r="AN167" s="655">
        <f t="shared" ca="1" si="85"/>
        <v>0</v>
      </c>
    </row>
    <row r="168" spans="1:40" ht="13.8" x14ac:dyDescent="0.3">
      <c r="A168" t="str">
        <f t="shared" si="64"/>
        <v>S</v>
      </c>
      <c r="B168">
        <f t="shared" ca="1" si="65"/>
        <v>3</v>
      </c>
      <c r="C168" t="str">
        <f t="shared" ca="1" si="66"/>
        <v>S</v>
      </c>
      <c r="D168">
        <f t="shared" ca="1" si="67"/>
        <v>0</v>
      </c>
      <c r="E168">
        <f ca="1">IF($C168=1,OFFSET(E168,-1,0)+MAX(1,COUNTIF(QCI!$A$13:$A$24,OFFSET(ORÇAMENTO!E168,-1,0))),OFFSET(E168,-1,0))</f>
        <v>1</v>
      </c>
      <c r="F168">
        <f t="shared" ca="1" si="68"/>
        <v>5</v>
      </c>
      <c r="G168">
        <f t="shared" ca="1" si="69"/>
        <v>4</v>
      </c>
      <c r="H168">
        <f t="shared" ca="1" si="70"/>
        <v>0</v>
      </c>
      <c r="I168">
        <f t="shared" ca="1" si="71"/>
        <v>0</v>
      </c>
      <c r="J168">
        <f t="shared" ca="1" si="86"/>
        <v>0</v>
      </c>
      <c r="K168">
        <f ca="1">IF(OR($C168="S",$C168=0),0,MATCH(OFFSET($D168,0,$C168)+IF($C168&lt;&gt;1,1,COUNTIF(QCI!$A$13:$A$24,ORÇAMENTO!E168)),OFFSET($D168,1,$C168,ROW($C$710)-ROW($C168)),0))</f>
        <v>0</v>
      </c>
      <c r="L168" s="143" t="str">
        <f t="shared" ca="1" si="72"/>
        <v/>
      </c>
      <c r="M168" s="144" t="s">
        <v>201</v>
      </c>
      <c r="N168" s="145" t="str">
        <f t="shared" ca="1" si="73"/>
        <v>Serviço</v>
      </c>
      <c r="O168" s="146" t="str">
        <f t="shared" ca="1" si="74"/>
        <v>-</v>
      </c>
      <c r="P168" s="147" t="s">
        <v>249</v>
      </c>
      <c r="Q168" s="148">
        <v>103324</v>
      </c>
      <c r="R168" s="149" t="str">
        <f ca="1">IF($C168="S",REFERENCIA.Descricao,"(digite a descrição aqui)")</f>
        <v>(abra o arquivo 'Referência 05-2024.xls)</v>
      </c>
      <c r="S168" s="150" t="str">
        <f ca="1">REFERENCIA.Unidade</f>
        <v>-</v>
      </c>
      <c r="T168" s="151">
        <f ca="1">OFFSET(CÁLCULO!H$15,ROW($T168)-ROW(T$15),0)</f>
        <v>11.6</v>
      </c>
      <c r="U168" s="152">
        <f t="shared" ca="1" si="87"/>
        <v>0</v>
      </c>
      <c r="V168" s="153" t="s">
        <v>158</v>
      </c>
      <c r="W168" s="151">
        <f t="shared" ca="1" si="75"/>
        <v>0</v>
      </c>
      <c r="X168" s="154">
        <f t="shared" ca="1" si="76"/>
        <v>0</v>
      </c>
      <c r="Y168" s="155" t="s">
        <v>583</v>
      </c>
      <c r="Z168" t="str">
        <f t="shared" ca="1" si="77"/>
        <v/>
      </c>
      <c r="AA168" s="156">
        <f ca="1">IF($C168="S",IF($Z168="CP",$X168,IF($Z168="RA",(($X168)*QCI!$AA$3),0)),SomaAgrup)</f>
        <v>0</v>
      </c>
      <c r="AB168" s="157">
        <f t="shared" ca="1" si="78"/>
        <v>0</v>
      </c>
      <c r="AC168" s="158" t="str">
        <f t="shared" ca="1" si="79"/>
        <v/>
      </c>
      <c r="AD168" s="104" t="str">
        <f ca="1">IF(C168&lt;=CRONO.NivelExibicao,MAX($AD$15:OFFSET(AD168,-1,0))+IF($C168&lt;&gt;1,1,MAX(1,COUNTIF(QCI!$A$13:$A$24,OFFSET($E168,-1,0)))),"")</f>
        <v/>
      </c>
      <c r="AE168" s="114" t="str">
        <f t="shared" ca="1" si="80"/>
        <v>SINAPI 103324</v>
      </c>
      <c r="AF168" s="159" t="str">
        <f t="shared" ca="1" si="81"/>
        <v>(abra o arquivo 'Referência 05-2024.xls)</v>
      </c>
      <c r="AG168" s="579">
        <f t="shared" ca="1" si="82"/>
        <v>0</v>
      </c>
      <c r="AH168" s="580">
        <f t="shared" ca="1" si="83"/>
        <v>0.22470000000000001</v>
      </c>
      <c r="AJ168" s="582">
        <v>11.6</v>
      </c>
      <c r="AL168" s="612"/>
      <c r="AM168" s="430">
        <f t="shared" ca="1" si="84"/>
        <v>0</v>
      </c>
      <c r="AN168" s="655">
        <f t="shared" ca="1" si="85"/>
        <v>0</v>
      </c>
    </row>
    <row r="169" spans="1:40" ht="13.8" x14ac:dyDescent="0.3">
      <c r="A169" t="str">
        <f t="shared" si="64"/>
        <v>S</v>
      </c>
      <c r="B169">
        <f t="shared" ca="1" si="65"/>
        <v>3</v>
      </c>
      <c r="C169" t="str">
        <f t="shared" ca="1" si="66"/>
        <v>S</v>
      </c>
      <c r="D169">
        <f t="shared" ca="1" si="67"/>
        <v>0</v>
      </c>
      <c r="E169">
        <f ca="1">IF($C169=1,OFFSET(E169,-1,0)+MAX(1,COUNTIF(QCI!$A$13:$A$24,OFFSET(ORÇAMENTO!E169,-1,0))),OFFSET(E169,-1,0))</f>
        <v>1</v>
      </c>
      <c r="F169">
        <f t="shared" ca="1" si="68"/>
        <v>5</v>
      </c>
      <c r="G169">
        <f t="shared" ca="1" si="69"/>
        <v>4</v>
      </c>
      <c r="H169">
        <f t="shared" ca="1" si="70"/>
        <v>0</v>
      </c>
      <c r="I169">
        <f t="shared" ca="1" si="71"/>
        <v>0</v>
      </c>
      <c r="J169">
        <f t="shared" ca="1" si="86"/>
        <v>0</v>
      </c>
      <c r="K169">
        <f ca="1">IF(OR($C169="S",$C169=0),0,MATCH(OFFSET($D169,0,$C169)+IF($C169&lt;&gt;1,1,COUNTIF(QCI!$A$13:$A$24,ORÇAMENTO!E169)),OFFSET($D169,1,$C169,ROW($C$710)-ROW($C169)),0))</f>
        <v>0</v>
      </c>
      <c r="L169" s="143" t="str">
        <f t="shared" ca="1" si="72"/>
        <v/>
      </c>
      <c r="M169" s="144" t="s">
        <v>201</v>
      </c>
      <c r="N169" s="145" t="str">
        <f t="shared" ca="1" si="73"/>
        <v>Serviço</v>
      </c>
      <c r="O169" s="146" t="str">
        <f t="shared" ca="1" si="74"/>
        <v>-</v>
      </c>
      <c r="P169" s="147" t="s">
        <v>249</v>
      </c>
      <c r="Q169" s="148">
        <v>103322</v>
      </c>
      <c r="R169" s="149" t="str">
        <f ca="1">IF($C169="S",REFERENCIA.Descricao,"(digite a descrição aqui)")</f>
        <v>(abra o arquivo 'Referência 05-2024.xls)</v>
      </c>
      <c r="S169" s="150" t="str">
        <f ca="1">REFERENCIA.Unidade</f>
        <v>-</v>
      </c>
      <c r="T169" s="151">
        <f ca="1">OFFSET(CÁLCULO!H$15,ROW($T169)-ROW(T$15),0)</f>
        <v>536.48</v>
      </c>
      <c r="U169" s="152">
        <f t="shared" ca="1" si="87"/>
        <v>0</v>
      </c>
      <c r="V169" s="153" t="s">
        <v>158</v>
      </c>
      <c r="W169" s="151">
        <f t="shared" ca="1" si="75"/>
        <v>0</v>
      </c>
      <c r="X169" s="154">
        <f t="shared" ca="1" si="76"/>
        <v>0</v>
      </c>
      <c r="Y169" s="155" t="s">
        <v>583</v>
      </c>
      <c r="Z169" t="str">
        <f t="shared" ca="1" si="77"/>
        <v/>
      </c>
      <c r="AA169" s="156">
        <f ca="1">IF($C169="S",IF($Z169="CP",$X169,IF($Z169="RA",(($X169)*QCI!$AA$3),0)),SomaAgrup)</f>
        <v>0</v>
      </c>
      <c r="AB169" s="157">
        <f t="shared" ca="1" si="78"/>
        <v>0</v>
      </c>
      <c r="AC169" s="158" t="str">
        <f t="shared" ca="1" si="79"/>
        <v/>
      </c>
      <c r="AD169" s="104" t="str">
        <f ca="1">IF(C169&lt;=CRONO.NivelExibicao,MAX($AD$15:OFFSET(AD169,-1,0))+IF($C169&lt;&gt;1,1,MAX(1,COUNTIF(QCI!$A$13:$A$24,OFFSET($E169,-1,0)))),"")</f>
        <v/>
      </c>
      <c r="AE169" s="114" t="str">
        <f t="shared" ca="1" si="80"/>
        <v>SINAPI 103322</v>
      </c>
      <c r="AF169" s="159" t="str">
        <f t="shared" ca="1" si="81"/>
        <v>(abra o arquivo 'Referência 05-2024.xls)</v>
      </c>
      <c r="AG169" s="579">
        <f t="shared" ca="1" si="82"/>
        <v>0</v>
      </c>
      <c r="AH169" s="580">
        <f t="shared" ca="1" si="83"/>
        <v>0.22470000000000001</v>
      </c>
      <c r="AJ169" s="582">
        <v>536.48</v>
      </c>
      <c r="AL169" s="612"/>
      <c r="AM169" s="430">
        <f t="shared" ca="1" si="84"/>
        <v>0</v>
      </c>
      <c r="AN169" s="655">
        <f t="shared" ca="1" si="85"/>
        <v>0</v>
      </c>
    </row>
    <row r="170" spans="1:40" ht="13.8" x14ac:dyDescent="0.3">
      <c r="A170" t="str">
        <f t="shared" si="64"/>
        <v>S</v>
      </c>
      <c r="B170">
        <f t="shared" ca="1" si="65"/>
        <v>3</v>
      </c>
      <c r="C170" t="str">
        <f t="shared" ca="1" si="66"/>
        <v>S</v>
      </c>
      <c r="D170">
        <f t="shared" ca="1" si="67"/>
        <v>0</v>
      </c>
      <c r="E170">
        <f ca="1">IF($C170=1,OFFSET(E170,-1,0)+MAX(1,COUNTIF(QCI!$A$13:$A$24,OFFSET(ORÇAMENTO!E170,-1,0))),OFFSET(E170,-1,0))</f>
        <v>1</v>
      </c>
      <c r="F170">
        <f t="shared" ca="1" si="68"/>
        <v>5</v>
      </c>
      <c r="G170">
        <f t="shared" ca="1" si="69"/>
        <v>4</v>
      </c>
      <c r="H170">
        <f t="shared" ca="1" si="70"/>
        <v>0</v>
      </c>
      <c r="I170">
        <f t="shared" ca="1" si="71"/>
        <v>0</v>
      </c>
      <c r="J170">
        <f t="shared" ca="1" si="86"/>
        <v>0</v>
      </c>
      <c r="K170">
        <f ca="1">IF(OR($C170="S",$C170=0),0,MATCH(OFFSET($D170,0,$C170)+IF($C170&lt;&gt;1,1,COUNTIF(QCI!$A$13:$A$24,ORÇAMENTO!E170)),OFFSET($D170,1,$C170,ROW($C$710)-ROW($C170)),0))</f>
        <v>0</v>
      </c>
      <c r="L170" s="143" t="str">
        <f t="shared" ca="1" si="72"/>
        <v/>
      </c>
      <c r="M170" s="144" t="s">
        <v>201</v>
      </c>
      <c r="N170" s="145" t="str">
        <f t="shared" ca="1" si="73"/>
        <v>Serviço</v>
      </c>
      <c r="O170" s="146" t="str">
        <f t="shared" ca="1" si="74"/>
        <v>-</v>
      </c>
      <c r="P170" s="147" t="s">
        <v>249</v>
      </c>
      <c r="Q170" s="148">
        <v>93203</v>
      </c>
      <c r="R170" s="149" t="str">
        <f ca="1">IF($C170="S",REFERENCIA.Descricao,"(digite a descrição aqui)")</f>
        <v>(abra o arquivo 'Referência 05-2024.xls)</v>
      </c>
      <c r="S170" s="150" t="str">
        <f ca="1">REFERENCIA.Unidade</f>
        <v>-</v>
      </c>
      <c r="T170" s="151">
        <f ca="1">OFFSET(CÁLCULO!H$15,ROW($T170)-ROW(T$15),0)</f>
        <v>247.99</v>
      </c>
      <c r="U170" s="152">
        <f t="shared" ca="1" si="87"/>
        <v>0</v>
      </c>
      <c r="V170" s="153" t="s">
        <v>158</v>
      </c>
      <c r="W170" s="151">
        <f t="shared" ca="1" si="75"/>
        <v>0</v>
      </c>
      <c r="X170" s="154">
        <f t="shared" ca="1" si="76"/>
        <v>0</v>
      </c>
      <c r="Y170" s="155" t="s">
        <v>583</v>
      </c>
      <c r="Z170" t="str">
        <f t="shared" ca="1" si="77"/>
        <v/>
      </c>
      <c r="AA170" s="156">
        <f ca="1">IF($C170="S",IF($Z170="CP",$X170,IF($Z170="RA",(($X170)*QCI!$AA$3),0)),SomaAgrup)</f>
        <v>0</v>
      </c>
      <c r="AB170" s="157">
        <f t="shared" ca="1" si="78"/>
        <v>0</v>
      </c>
      <c r="AC170" s="158" t="str">
        <f t="shared" ca="1" si="79"/>
        <v/>
      </c>
      <c r="AD170" s="104" t="str">
        <f ca="1">IF(C170&lt;=CRONO.NivelExibicao,MAX($AD$15:OFFSET(AD170,-1,0))+IF($C170&lt;&gt;1,1,MAX(1,COUNTIF(QCI!$A$13:$A$24,OFFSET($E170,-1,0)))),"")</f>
        <v/>
      </c>
      <c r="AE170" s="114" t="str">
        <f t="shared" ca="1" si="80"/>
        <v>SINAPI 93203</v>
      </c>
      <c r="AF170" s="159" t="str">
        <f t="shared" ca="1" si="81"/>
        <v>(abra o arquivo 'Referência 05-2024.xls)</v>
      </c>
      <c r="AG170" s="579">
        <f t="shared" ca="1" si="82"/>
        <v>0</v>
      </c>
      <c r="AH170" s="580">
        <f t="shared" ca="1" si="83"/>
        <v>0.22470000000000001</v>
      </c>
      <c r="AJ170" s="582">
        <v>247.99</v>
      </c>
      <c r="AL170" s="612"/>
      <c r="AM170" s="430">
        <f t="shared" ca="1" si="84"/>
        <v>0</v>
      </c>
      <c r="AN170" s="655">
        <f t="shared" ca="1" si="85"/>
        <v>0</v>
      </c>
    </row>
    <row r="171" spans="1:40" ht="13.8" x14ac:dyDescent="0.3">
      <c r="A171" t="str">
        <f t="shared" si="64"/>
        <v>S</v>
      </c>
      <c r="B171">
        <f t="shared" ca="1" si="65"/>
        <v>3</v>
      </c>
      <c r="C171" t="str">
        <f t="shared" ca="1" si="66"/>
        <v>S</v>
      </c>
      <c r="D171">
        <f t="shared" ca="1" si="67"/>
        <v>0</v>
      </c>
      <c r="E171">
        <f ca="1">IF($C171=1,OFFSET(E171,-1,0)+MAX(1,COUNTIF(QCI!$A$13:$A$24,OFFSET(ORÇAMENTO!E171,-1,0))),OFFSET(E171,-1,0))</f>
        <v>1</v>
      </c>
      <c r="F171">
        <f t="shared" ca="1" si="68"/>
        <v>5</v>
      </c>
      <c r="G171">
        <f t="shared" ca="1" si="69"/>
        <v>4</v>
      </c>
      <c r="H171">
        <f t="shared" ca="1" si="70"/>
        <v>0</v>
      </c>
      <c r="I171">
        <f t="shared" ca="1" si="71"/>
        <v>0</v>
      </c>
      <c r="J171">
        <f t="shared" ca="1" si="86"/>
        <v>0</v>
      </c>
      <c r="K171">
        <f ca="1">IF(OR($C171="S",$C171=0),0,MATCH(OFFSET($D171,0,$C171)+IF($C171&lt;&gt;1,1,COUNTIF(QCI!$A$13:$A$24,ORÇAMENTO!E171)),OFFSET($D171,1,$C171,ROW($C$710)-ROW($C171)),0))</f>
        <v>0</v>
      </c>
      <c r="L171" s="143" t="str">
        <f t="shared" ca="1" si="72"/>
        <v/>
      </c>
      <c r="M171" s="144" t="s">
        <v>201</v>
      </c>
      <c r="N171" s="145" t="str">
        <f t="shared" ca="1" si="73"/>
        <v>Serviço</v>
      </c>
      <c r="O171" s="146" t="str">
        <f t="shared" ca="1" si="74"/>
        <v>-</v>
      </c>
      <c r="P171" s="147" t="s">
        <v>249</v>
      </c>
      <c r="Q171" s="148">
        <v>103322</v>
      </c>
      <c r="R171" s="149" t="str">
        <f ca="1">IF($C171="S",REFERENCIA.Descricao,"(digite a descrição aqui)")</f>
        <v>(abra o arquivo 'Referência 05-2024.xls)</v>
      </c>
      <c r="S171" s="150" t="str">
        <f ca="1">REFERENCIA.Unidade</f>
        <v>-</v>
      </c>
      <c r="T171" s="151">
        <f ca="1">OFFSET(CÁLCULO!H$15,ROW($T171)-ROW(T$15),0)</f>
        <v>2.2599999999999998</v>
      </c>
      <c r="U171" s="152">
        <f t="shared" ca="1" si="87"/>
        <v>0</v>
      </c>
      <c r="V171" s="153" t="s">
        <v>158</v>
      </c>
      <c r="W171" s="151">
        <f t="shared" ca="1" si="75"/>
        <v>0</v>
      </c>
      <c r="X171" s="154">
        <f t="shared" ca="1" si="76"/>
        <v>0</v>
      </c>
      <c r="Y171" s="155" t="s">
        <v>583</v>
      </c>
      <c r="Z171" t="str">
        <f t="shared" ca="1" si="77"/>
        <v/>
      </c>
      <c r="AA171" s="156">
        <f ca="1">IF($C171="S",IF($Z171="CP",$X171,IF($Z171="RA",(($X171)*QCI!$AA$3),0)),SomaAgrup)</f>
        <v>0</v>
      </c>
      <c r="AB171" s="157">
        <f t="shared" ca="1" si="78"/>
        <v>0</v>
      </c>
      <c r="AC171" s="158" t="str">
        <f t="shared" ca="1" si="79"/>
        <v/>
      </c>
      <c r="AD171" s="104" t="str">
        <f ca="1">IF(C171&lt;=CRONO.NivelExibicao,MAX($AD$15:OFFSET(AD171,-1,0))+IF($C171&lt;&gt;1,1,MAX(1,COUNTIF(QCI!$A$13:$A$24,OFFSET($E171,-1,0)))),"")</f>
        <v/>
      </c>
      <c r="AE171" s="114" t="str">
        <f t="shared" ca="1" si="80"/>
        <v>SINAPI 103322</v>
      </c>
      <c r="AF171" s="159" t="str">
        <f t="shared" ca="1" si="81"/>
        <v>(abra o arquivo 'Referência 05-2024.xls)</v>
      </c>
      <c r="AG171" s="579">
        <f t="shared" ca="1" si="82"/>
        <v>0</v>
      </c>
      <c r="AH171" s="580">
        <f t="shared" ca="1" si="83"/>
        <v>0.22470000000000001</v>
      </c>
      <c r="AJ171" s="582">
        <v>2.2599999999999998</v>
      </c>
      <c r="AL171" s="612"/>
      <c r="AM171" s="430">
        <f t="shared" ca="1" si="84"/>
        <v>0</v>
      </c>
      <c r="AN171" s="655">
        <f t="shared" ca="1" si="85"/>
        <v>0</v>
      </c>
    </row>
    <row r="172" spans="1:40" ht="13.8" x14ac:dyDescent="0.3">
      <c r="A172">
        <f t="shared" si="64"/>
        <v>2</v>
      </c>
      <c r="B172">
        <f t="shared" ca="1" si="65"/>
        <v>2</v>
      </c>
      <c r="C172">
        <f t="shared" ca="1" si="66"/>
        <v>2</v>
      </c>
      <c r="D172">
        <f t="shared" ca="1" si="67"/>
        <v>47</v>
      </c>
      <c r="E172">
        <f ca="1">IF($C172=1,OFFSET(E172,-1,0)+MAX(1,COUNTIF(QCI!$A$13:$A$24,OFFSET(ORÇAMENTO!E172,-1,0))),OFFSET(E172,-1,0))</f>
        <v>1</v>
      </c>
      <c r="F172">
        <f t="shared" ca="1" si="68"/>
        <v>6</v>
      </c>
      <c r="G172">
        <f t="shared" ca="1" si="69"/>
        <v>0</v>
      </c>
      <c r="H172">
        <f t="shared" ca="1" si="70"/>
        <v>0</v>
      </c>
      <c r="I172">
        <f t="shared" ca="1" si="71"/>
        <v>0</v>
      </c>
      <c r="J172">
        <f t="shared" ca="1" si="86"/>
        <v>530</v>
      </c>
      <c r="K172">
        <f ca="1">IF(OR($C172="S",$C172=0),0,MATCH(OFFSET($D172,0,$C172)+IF($C172&lt;&gt;1,1,COUNTIF(QCI!$A$13:$A$24,ORÇAMENTO!E172)),OFFSET($D172,1,$C172,ROW($C$710)-ROW($C172)),0))</f>
        <v>47</v>
      </c>
      <c r="L172" s="143" t="str">
        <f t="shared" ca="1" si="72"/>
        <v>F</v>
      </c>
      <c r="M172" s="144" t="s">
        <v>198</v>
      </c>
      <c r="N172" s="145" t="str">
        <f t="shared" ca="1" si="73"/>
        <v>Nível 2</v>
      </c>
      <c r="O172" s="146" t="str">
        <f t="shared" ca="1" si="74"/>
        <v>1.6.</v>
      </c>
      <c r="P172" s="147" t="s">
        <v>249</v>
      </c>
      <c r="Q172" s="148"/>
      <c r="R172" s="149" t="s">
        <v>508</v>
      </c>
      <c r="S172" s="150" t="s">
        <v>168</v>
      </c>
      <c r="T172" s="151">
        <f ca="1">OFFSET(CÁLCULO!H$15,ROW($T172)-ROW(T$15),0)</f>
        <v>0</v>
      </c>
      <c r="U172" s="152">
        <f t="shared" ca="1" si="87"/>
        <v>0</v>
      </c>
      <c r="V172" s="153" t="s">
        <v>158</v>
      </c>
      <c r="W172" s="151">
        <f t="shared" ca="1" si="75"/>
        <v>0</v>
      </c>
      <c r="X172" s="154">
        <f t="shared" ca="1" si="76"/>
        <v>0</v>
      </c>
      <c r="Y172" s="155" t="s">
        <v>583</v>
      </c>
      <c r="Z172" t="str">
        <f t="shared" ca="1" si="77"/>
        <v/>
      </c>
      <c r="AA172" s="156">
        <f ca="1">IF($C172="S",IF($Z172="CP",$X172,IF($Z172="RA",(($X172)*QCI!$AA$3),0)),SomaAgrup)</f>
        <v>0</v>
      </c>
      <c r="AB172" s="157">
        <f t="shared" ca="1" si="78"/>
        <v>0</v>
      </c>
      <c r="AC172" s="158" t="str">
        <f t="shared" ca="1" si="79"/>
        <v/>
      </c>
      <c r="AD172" s="104">
        <f ca="1">IF(C172&lt;=CRONO.NivelExibicao,MAX($AD$15:OFFSET(AD172,-1,0))+IF($C172&lt;&gt;1,1,MAX(1,COUNTIF(QCI!$A$13:$A$24,OFFSET($E172,-1,0)))),"")</f>
        <v>7</v>
      </c>
      <c r="AE172" s="114" t="b">
        <f t="shared" ca="1" si="80"/>
        <v>0</v>
      </c>
      <c r="AF172" s="159" t="str">
        <f t="shared" ca="1" si="81"/>
        <v>(abra o arquivo 'Referência 05-2024.xls)</v>
      </c>
      <c r="AG172" s="579">
        <f t="shared" ca="1" si="82"/>
        <v>0</v>
      </c>
      <c r="AH172" s="580">
        <f t="shared" ca="1" si="83"/>
        <v>0.22470000000000001</v>
      </c>
      <c r="AJ172" s="582"/>
      <c r="AL172" s="612"/>
      <c r="AM172" s="430">
        <f t="shared" ca="1" si="84"/>
        <v>0</v>
      </c>
      <c r="AN172" s="655">
        <f t="shared" ca="1" si="85"/>
        <v>0</v>
      </c>
    </row>
    <row r="173" spans="1:40" ht="13.8" x14ac:dyDescent="0.3">
      <c r="A173">
        <f t="shared" si="64"/>
        <v>3</v>
      </c>
      <c r="B173">
        <f t="shared" ca="1" si="65"/>
        <v>3</v>
      </c>
      <c r="C173">
        <f t="shared" ca="1" si="66"/>
        <v>3</v>
      </c>
      <c r="D173">
        <f t="shared" ca="1" si="67"/>
        <v>4</v>
      </c>
      <c r="E173">
        <f ca="1">IF($C173=1,OFFSET(E173,-1,0)+MAX(1,COUNTIF(QCI!$A$13:$A$24,OFFSET(ORÇAMENTO!E173,-1,0))),OFFSET(E173,-1,0))</f>
        <v>1</v>
      </c>
      <c r="F173">
        <f t="shared" ca="1" si="68"/>
        <v>6</v>
      </c>
      <c r="G173">
        <f t="shared" ca="1" si="69"/>
        <v>1</v>
      </c>
      <c r="H173">
        <f t="shared" ca="1" si="70"/>
        <v>0</v>
      </c>
      <c r="I173">
        <f t="shared" ca="1" si="71"/>
        <v>0</v>
      </c>
      <c r="J173">
        <f t="shared" ca="1" si="86"/>
        <v>46</v>
      </c>
      <c r="K173">
        <f ca="1">IF(OR($C173="S",$C173=0),0,MATCH(OFFSET($D173,0,$C173)+IF($C173&lt;&gt;1,1,COUNTIF(QCI!$A$13:$A$24,ORÇAMENTO!E173)),OFFSET($D173,1,$C173,ROW($C$710)-ROW($C173)),0))</f>
        <v>4</v>
      </c>
      <c r="L173" s="143" t="str">
        <f t="shared" ca="1" si="72"/>
        <v>F</v>
      </c>
      <c r="M173" s="144" t="s">
        <v>199</v>
      </c>
      <c r="N173" s="145" t="str">
        <f t="shared" ca="1" si="73"/>
        <v>Nível 3</v>
      </c>
      <c r="O173" s="146" t="str">
        <f t="shared" ca="1" si="74"/>
        <v>1.6.1.</v>
      </c>
      <c r="P173" s="147" t="s">
        <v>249</v>
      </c>
      <c r="Q173" s="148"/>
      <c r="R173" s="149" t="s">
        <v>509</v>
      </c>
      <c r="S173" s="150" t="s">
        <v>168</v>
      </c>
      <c r="T173" s="151">
        <f ca="1">OFFSET(CÁLCULO!H$15,ROW($T173)-ROW(T$15),0)</f>
        <v>0</v>
      </c>
      <c r="U173" s="152">
        <f t="shared" ca="1" si="87"/>
        <v>0</v>
      </c>
      <c r="V173" s="153" t="s">
        <v>158</v>
      </c>
      <c r="W173" s="151">
        <f t="shared" ca="1" si="75"/>
        <v>0</v>
      </c>
      <c r="X173" s="154">
        <f t="shared" ca="1" si="76"/>
        <v>0</v>
      </c>
      <c r="Y173" s="155" t="s">
        <v>583</v>
      </c>
      <c r="Z173" t="str">
        <f t="shared" ca="1" si="77"/>
        <v/>
      </c>
      <c r="AA173" s="156">
        <f ca="1">IF($C173="S",IF($Z173="CP",$X173,IF($Z173="RA",(($X173)*QCI!$AA$3),0)),SomaAgrup)</f>
        <v>0</v>
      </c>
      <c r="AB173" s="157">
        <f t="shared" ca="1" si="78"/>
        <v>0</v>
      </c>
      <c r="AC173" s="158" t="str">
        <f t="shared" ca="1" si="79"/>
        <v/>
      </c>
      <c r="AD173" s="104" t="str">
        <f ca="1">IF(C173&lt;=CRONO.NivelExibicao,MAX($AD$15:OFFSET(AD173,-1,0))+IF($C173&lt;&gt;1,1,MAX(1,COUNTIF(QCI!$A$13:$A$24,OFFSET($E173,-1,0)))),"")</f>
        <v/>
      </c>
      <c r="AE173" s="114" t="b">
        <f t="shared" ca="1" si="80"/>
        <v>0</v>
      </c>
      <c r="AF173" s="159" t="str">
        <f t="shared" ca="1" si="81"/>
        <v>(abra o arquivo 'Referência 05-2024.xls)</v>
      </c>
      <c r="AG173" s="579">
        <f t="shared" ca="1" si="82"/>
        <v>0</v>
      </c>
      <c r="AH173" s="580">
        <f t="shared" ca="1" si="83"/>
        <v>0.22470000000000001</v>
      </c>
      <c r="AJ173" s="582"/>
      <c r="AL173" s="612"/>
      <c r="AM173" s="430">
        <f t="shared" ca="1" si="84"/>
        <v>0</v>
      </c>
      <c r="AN173" s="655">
        <f t="shared" ca="1" si="85"/>
        <v>0</v>
      </c>
    </row>
    <row r="174" spans="1:40" ht="13.8" x14ac:dyDescent="0.3">
      <c r="A174" t="str">
        <f t="shared" si="64"/>
        <v>S</v>
      </c>
      <c r="B174">
        <f t="shared" ca="1" si="65"/>
        <v>3</v>
      </c>
      <c r="C174" t="str">
        <f t="shared" ca="1" si="66"/>
        <v>S</v>
      </c>
      <c r="D174">
        <f t="shared" ca="1" si="67"/>
        <v>0</v>
      </c>
      <c r="E174">
        <f ca="1">IF($C174=1,OFFSET(E174,-1,0)+MAX(1,COUNTIF(QCI!$A$13:$A$24,OFFSET(ORÇAMENTO!E174,-1,0))),OFFSET(E174,-1,0))</f>
        <v>1</v>
      </c>
      <c r="F174">
        <f t="shared" ca="1" si="68"/>
        <v>6</v>
      </c>
      <c r="G174">
        <f t="shared" ca="1" si="69"/>
        <v>1</v>
      </c>
      <c r="H174">
        <f t="shared" ca="1" si="70"/>
        <v>0</v>
      </c>
      <c r="I174">
        <f t="shared" ca="1" si="71"/>
        <v>0</v>
      </c>
      <c r="J174">
        <f t="shared" ca="1" si="86"/>
        <v>0</v>
      </c>
      <c r="K174">
        <f ca="1">IF(OR($C174="S",$C174=0),0,MATCH(OFFSET($D174,0,$C174)+IF($C174&lt;&gt;1,1,COUNTIF(QCI!$A$13:$A$24,ORÇAMENTO!E174)),OFFSET($D174,1,$C174,ROW($C$710)-ROW($C174)),0))</f>
        <v>0</v>
      </c>
      <c r="L174" s="143" t="str">
        <f t="shared" ca="1" si="72"/>
        <v/>
      </c>
      <c r="M174" s="144" t="s">
        <v>201</v>
      </c>
      <c r="N174" s="145" t="str">
        <f t="shared" ca="1" si="73"/>
        <v>Serviço</v>
      </c>
      <c r="O174" s="146" t="str">
        <f t="shared" ca="1" si="74"/>
        <v>-</v>
      </c>
      <c r="P174" s="147" t="s">
        <v>249</v>
      </c>
      <c r="Q174" s="148">
        <v>90844</v>
      </c>
      <c r="R174" s="149" t="str">
        <f ca="1">IF($C174="S",REFERENCIA.Descricao,"(digite a descrição aqui)")</f>
        <v>(abra o arquivo 'Referência 05-2024.xls)</v>
      </c>
      <c r="S174" s="150" t="str">
        <f ca="1">REFERENCIA.Unidade</f>
        <v>-</v>
      </c>
      <c r="T174" s="151">
        <f ca="1">OFFSET(CÁLCULO!H$15,ROW($T174)-ROW(T$15),0)</f>
        <v>9</v>
      </c>
      <c r="U174" s="152">
        <f t="shared" ca="1" si="87"/>
        <v>0</v>
      </c>
      <c r="V174" s="153" t="s">
        <v>158</v>
      </c>
      <c r="W174" s="151">
        <f t="shared" ca="1" si="75"/>
        <v>0</v>
      </c>
      <c r="X174" s="154">
        <f t="shared" ca="1" si="76"/>
        <v>0</v>
      </c>
      <c r="Y174" s="155" t="s">
        <v>583</v>
      </c>
      <c r="Z174" t="str">
        <f t="shared" ca="1" si="77"/>
        <v/>
      </c>
      <c r="AA174" s="156">
        <f ca="1">IF($C174="S",IF($Z174="CP",$X174,IF($Z174="RA",(($X174)*QCI!$AA$3),0)),SomaAgrup)</f>
        <v>0</v>
      </c>
      <c r="AB174" s="157">
        <f t="shared" ca="1" si="78"/>
        <v>0</v>
      </c>
      <c r="AC174" s="158" t="str">
        <f t="shared" ca="1" si="79"/>
        <v/>
      </c>
      <c r="AD174" s="104" t="str">
        <f ca="1">IF(C174&lt;=CRONO.NivelExibicao,MAX($AD$15:OFFSET(AD174,-1,0))+IF($C174&lt;&gt;1,1,MAX(1,COUNTIF(QCI!$A$13:$A$24,OFFSET($E174,-1,0)))),"")</f>
        <v/>
      </c>
      <c r="AE174" s="114" t="str">
        <f t="shared" ca="1" si="80"/>
        <v>SINAPI 90844</v>
      </c>
      <c r="AF174" s="159" t="str">
        <f t="shared" ca="1" si="81"/>
        <v>(abra o arquivo 'Referência 05-2024.xls)</v>
      </c>
      <c r="AG174" s="579">
        <f t="shared" ca="1" si="82"/>
        <v>0</v>
      </c>
      <c r="AH174" s="580">
        <f t="shared" ca="1" si="83"/>
        <v>0.22470000000000001</v>
      </c>
      <c r="AJ174" s="582">
        <v>9</v>
      </c>
      <c r="AL174" s="612"/>
      <c r="AM174" s="430">
        <f t="shared" ca="1" si="84"/>
        <v>0</v>
      </c>
      <c r="AN174" s="655">
        <f t="shared" ca="1" si="85"/>
        <v>0</v>
      </c>
    </row>
    <row r="175" spans="1:40" ht="13.8" x14ac:dyDescent="0.3">
      <c r="A175" t="str">
        <f t="shared" si="64"/>
        <v>S</v>
      </c>
      <c r="B175">
        <f t="shared" ca="1" si="65"/>
        <v>3</v>
      </c>
      <c r="C175" t="str">
        <f t="shared" ca="1" si="66"/>
        <v>S</v>
      </c>
      <c r="D175">
        <f t="shared" ca="1" si="67"/>
        <v>0</v>
      </c>
      <c r="E175">
        <f ca="1">IF($C175=1,OFFSET(E175,-1,0)+MAX(1,COUNTIF(QCI!$A$13:$A$24,OFFSET(ORÇAMENTO!E175,-1,0))),OFFSET(E175,-1,0))</f>
        <v>1</v>
      </c>
      <c r="F175">
        <f t="shared" ca="1" si="68"/>
        <v>6</v>
      </c>
      <c r="G175">
        <f t="shared" ca="1" si="69"/>
        <v>1</v>
      </c>
      <c r="H175">
        <f t="shared" ca="1" si="70"/>
        <v>0</v>
      </c>
      <c r="I175">
        <f t="shared" ca="1" si="71"/>
        <v>0</v>
      </c>
      <c r="J175">
        <f t="shared" ca="1" si="86"/>
        <v>0</v>
      </c>
      <c r="K175">
        <f ca="1">IF(OR($C175="S",$C175=0),0,MATCH(OFFSET($D175,0,$C175)+IF($C175&lt;&gt;1,1,COUNTIF(QCI!$A$13:$A$24,ORÇAMENTO!E175)),OFFSET($D175,1,$C175,ROW($C$710)-ROW($C175)),0))</f>
        <v>0</v>
      </c>
      <c r="L175" s="143" t="str">
        <f t="shared" ca="1" si="72"/>
        <v/>
      </c>
      <c r="M175" s="144" t="s">
        <v>201</v>
      </c>
      <c r="N175" s="145" t="str">
        <f t="shared" ca="1" si="73"/>
        <v>Serviço</v>
      </c>
      <c r="O175" s="146" t="str">
        <f t="shared" ca="1" si="74"/>
        <v>-</v>
      </c>
      <c r="P175" s="147" t="s">
        <v>249</v>
      </c>
      <c r="Q175" s="148">
        <v>90844</v>
      </c>
      <c r="R175" s="149" t="str">
        <f ca="1">IF($C175="S",REFERENCIA.Descricao,"(digite a descrição aqui)")</f>
        <v>(abra o arquivo 'Referência 05-2024.xls)</v>
      </c>
      <c r="S175" s="150" t="str">
        <f ca="1">REFERENCIA.Unidade</f>
        <v>-</v>
      </c>
      <c r="T175" s="151">
        <f ca="1">OFFSET(CÁLCULO!H$15,ROW($T175)-ROW(T$15),0)</f>
        <v>6</v>
      </c>
      <c r="U175" s="152">
        <f t="shared" ca="1" si="87"/>
        <v>0</v>
      </c>
      <c r="V175" s="153" t="s">
        <v>158</v>
      </c>
      <c r="W175" s="151">
        <f t="shared" ca="1" si="75"/>
        <v>0</v>
      </c>
      <c r="X175" s="154">
        <f t="shared" ca="1" si="76"/>
        <v>0</v>
      </c>
      <c r="Y175" s="155" t="s">
        <v>583</v>
      </c>
      <c r="Z175" t="str">
        <f t="shared" ca="1" si="77"/>
        <v/>
      </c>
      <c r="AA175" s="156">
        <f ca="1">IF($C175="S",IF($Z175="CP",$X175,IF($Z175="RA",(($X175)*QCI!$AA$3),0)),SomaAgrup)</f>
        <v>0</v>
      </c>
      <c r="AB175" s="157">
        <f t="shared" ca="1" si="78"/>
        <v>0</v>
      </c>
      <c r="AC175" s="158" t="str">
        <f t="shared" ca="1" si="79"/>
        <v/>
      </c>
      <c r="AD175" s="104" t="str">
        <f ca="1">IF(C175&lt;=CRONO.NivelExibicao,MAX($AD$15:OFFSET(AD175,-1,0))+IF($C175&lt;&gt;1,1,MAX(1,COUNTIF(QCI!$A$13:$A$24,OFFSET($E175,-1,0)))),"")</f>
        <v/>
      </c>
      <c r="AE175" s="114" t="str">
        <f t="shared" ca="1" si="80"/>
        <v>SINAPI 90844</v>
      </c>
      <c r="AF175" s="159" t="str">
        <f t="shared" ca="1" si="81"/>
        <v>(abra o arquivo 'Referência 05-2024.xls)</v>
      </c>
      <c r="AG175" s="579">
        <f t="shared" ca="1" si="82"/>
        <v>0</v>
      </c>
      <c r="AH175" s="580">
        <f t="shared" ca="1" si="83"/>
        <v>0.22470000000000001</v>
      </c>
      <c r="AJ175" s="582">
        <v>6</v>
      </c>
      <c r="AL175" s="612"/>
      <c r="AM175" s="430">
        <f t="shared" ca="1" si="84"/>
        <v>0</v>
      </c>
      <c r="AN175" s="655">
        <f t="shared" ca="1" si="85"/>
        <v>0</v>
      </c>
    </row>
    <row r="176" spans="1:40" ht="13.8" x14ac:dyDescent="0.3">
      <c r="A176" t="str">
        <f t="shared" si="64"/>
        <v>S</v>
      </c>
      <c r="B176">
        <f t="shared" ca="1" si="65"/>
        <v>3</v>
      </c>
      <c r="C176" t="str">
        <f t="shared" ca="1" si="66"/>
        <v>S</v>
      </c>
      <c r="D176">
        <f t="shared" ca="1" si="67"/>
        <v>0</v>
      </c>
      <c r="E176">
        <f ca="1">IF($C176=1,OFFSET(E176,-1,0)+MAX(1,COUNTIF(QCI!$A$13:$A$24,OFFSET(ORÇAMENTO!E176,-1,0))),OFFSET(E176,-1,0))</f>
        <v>1</v>
      </c>
      <c r="F176">
        <f t="shared" ca="1" si="68"/>
        <v>6</v>
      </c>
      <c r="G176">
        <f t="shared" ca="1" si="69"/>
        <v>1</v>
      </c>
      <c r="H176">
        <f t="shared" ca="1" si="70"/>
        <v>0</v>
      </c>
      <c r="I176">
        <f t="shared" ca="1" si="71"/>
        <v>0</v>
      </c>
      <c r="J176">
        <f t="shared" ca="1" si="86"/>
        <v>0</v>
      </c>
      <c r="K176">
        <f ca="1">IF(OR($C176="S",$C176=0),0,MATCH(OFFSET($D176,0,$C176)+IF($C176&lt;&gt;1,1,COUNTIF(QCI!$A$13:$A$24,ORÇAMENTO!E176)),OFFSET($D176,1,$C176,ROW($C$710)-ROW($C176)),0))</f>
        <v>0</v>
      </c>
      <c r="L176" s="143" t="str">
        <f t="shared" ca="1" si="72"/>
        <v/>
      </c>
      <c r="M176" s="144" t="s">
        <v>201</v>
      </c>
      <c r="N176" s="145" t="str">
        <f t="shared" ca="1" si="73"/>
        <v>Serviço</v>
      </c>
      <c r="O176" s="146" t="str">
        <f t="shared" ca="1" si="74"/>
        <v>-</v>
      </c>
      <c r="P176" s="147" t="s">
        <v>441</v>
      </c>
      <c r="Q176" s="148" t="s">
        <v>462</v>
      </c>
      <c r="R176" s="149" t="str">
        <f ca="1">IF($C176="S",REFERENCIA.Descricao,"(digite a descrição aqui)")</f>
        <v>(abra o arquivo 'Referência 05-2024.xls)</v>
      </c>
      <c r="S176" s="150" t="str">
        <f ca="1">REFERENCIA.Unidade</f>
        <v>-</v>
      </c>
      <c r="T176" s="151">
        <f ca="1">OFFSET(CÁLCULO!H$15,ROW($T176)-ROW(T$15),0)</f>
        <v>5</v>
      </c>
      <c r="U176" s="152">
        <f t="shared" ca="1" si="87"/>
        <v>0</v>
      </c>
      <c r="V176" s="153" t="s">
        <v>158</v>
      </c>
      <c r="W176" s="151">
        <f t="shared" ca="1" si="75"/>
        <v>0</v>
      </c>
      <c r="X176" s="154">
        <f t="shared" ca="1" si="76"/>
        <v>0</v>
      </c>
      <c r="Y176" s="155" t="s">
        <v>583</v>
      </c>
      <c r="Z176" t="str">
        <f t="shared" ca="1" si="77"/>
        <v/>
      </c>
      <c r="AA176" s="156">
        <f ca="1">IF($C176="S",IF($Z176="CP",$X176,IF($Z176="RA",(($X176)*QCI!$AA$3),0)),SomaAgrup)</f>
        <v>0</v>
      </c>
      <c r="AB176" s="157">
        <f t="shared" ca="1" si="78"/>
        <v>0</v>
      </c>
      <c r="AC176" s="158" t="str">
        <f t="shared" ca="1" si="79"/>
        <v/>
      </c>
      <c r="AD176" s="104" t="str">
        <f ca="1">IF(C176&lt;=CRONO.NivelExibicao,MAX($AD$15:OFFSET(AD176,-1,0))+IF($C176&lt;&gt;1,1,MAX(1,COUNTIF(QCI!$A$13:$A$24,OFFSET($E176,-1,0)))),"")</f>
        <v/>
      </c>
      <c r="AE176" s="114" t="str">
        <f t="shared" ca="1" si="80"/>
        <v>Composição CP-14</v>
      </c>
      <c r="AF176" s="159" t="str">
        <f t="shared" ca="1" si="81"/>
        <v>(abra o arquivo 'Referência 05-2024.xls)</v>
      </c>
      <c r="AG176" s="579">
        <f t="shared" ca="1" si="82"/>
        <v>0</v>
      </c>
      <c r="AH176" s="580">
        <f t="shared" ca="1" si="83"/>
        <v>0.22470000000000001</v>
      </c>
      <c r="AJ176" s="582">
        <v>5</v>
      </c>
      <c r="AL176" s="612"/>
      <c r="AM176" s="430">
        <f t="shared" ca="1" si="84"/>
        <v>0</v>
      </c>
      <c r="AN176" s="655">
        <f t="shared" ca="1" si="85"/>
        <v>0</v>
      </c>
    </row>
    <row r="177" spans="1:40" ht="13.8" x14ac:dyDescent="0.3">
      <c r="A177">
        <f t="shared" si="64"/>
        <v>3</v>
      </c>
      <c r="B177">
        <f t="shared" ca="1" si="65"/>
        <v>3</v>
      </c>
      <c r="C177">
        <f t="shared" ca="1" si="66"/>
        <v>3</v>
      </c>
      <c r="D177">
        <f t="shared" ca="1" si="67"/>
        <v>4</v>
      </c>
      <c r="E177">
        <f ca="1">IF($C177=1,OFFSET(E177,-1,0)+MAX(1,COUNTIF(QCI!$A$13:$A$24,OFFSET(ORÇAMENTO!E177,-1,0))),OFFSET(E177,-1,0))</f>
        <v>1</v>
      </c>
      <c r="F177">
        <f t="shared" ca="1" si="68"/>
        <v>6</v>
      </c>
      <c r="G177">
        <f t="shared" ca="1" si="69"/>
        <v>2</v>
      </c>
      <c r="H177">
        <f t="shared" ca="1" si="70"/>
        <v>0</v>
      </c>
      <c r="I177">
        <f t="shared" ca="1" si="71"/>
        <v>0</v>
      </c>
      <c r="J177">
        <f t="shared" ca="1" si="86"/>
        <v>42</v>
      </c>
      <c r="K177">
        <f ca="1">IF(OR($C177="S",$C177=0),0,MATCH(OFFSET($D177,0,$C177)+IF($C177&lt;&gt;1,1,COUNTIF(QCI!$A$13:$A$24,ORÇAMENTO!E177)),OFFSET($D177,1,$C177,ROW($C$710)-ROW($C177)),0))</f>
        <v>4</v>
      </c>
      <c r="L177" s="143" t="str">
        <f t="shared" ca="1" si="72"/>
        <v>F</v>
      </c>
      <c r="M177" s="144" t="s">
        <v>199</v>
      </c>
      <c r="N177" s="145" t="str">
        <f t="shared" ca="1" si="73"/>
        <v>Nível 3</v>
      </c>
      <c r="O177" s="146" t="str">
        <f t="shared" ca="1" si="74"/>
        <v>1.6.2.</v>
      </c>
      <c r="P177" s="147" t="s">
        <v>249</v>
      </c>
      <c r="Q177" s="148"/>
      <c r="R177" s="149" t="s">
        <v>510</v>
      </c>
      <c r="S177" s="150" t="s">
        <v>168</v>
      </c>
      <c r="T177" s="151">
        <f ca="1">OFFSET(CÁLCULO!H$15,ROW($T177)-ROW(T$15),0)</f>
        <v>0</v>
      </c>
      <c r="U177" s="152">
        <f t="shared" ca="1" si="87"/>
        <v>0</v>
      </c>
      <c r="V177" s="153" t="s">
        <v>158</v>
      </c>
      <c r="W177" s="151">
        <f t="shared" ca="1" si="75"/>
        <v>0</v>
      </c>
      <c r="X177" s="154">
        <f t="shared" ca="1" si="76"/>
        <v>0</v>
      </c>
      <c r="Y177" s="155" t="s">
        <v>583</v>
      </c>
      <c r="Z177" t="str">
        <f t="shared" ca="1" si="77"/>
        <v/>
      </c>
      <c r="AA177" s="156">
        <f ca="1">IF($C177="S",IF($Z177="CP",$X177,IF($Z177="RA",(($X177)*QCI!$AA$3),0)),SomaAgrup)</f>
        <v>0</v>
      </c>
      <c r="AB177" s="157">
        <f t="shared" ca="1" si="78"/>
        <v>0</v>
      </c>
      <c r="AC177" s="158" t="str">
        <f t="shared" ca="1" si="79"/>
        <v/>
      </c>
      <c r="AD177" s="104" t="str">
        <f ca="1">IF(C177&lt;=CRONO.NivelExibicao,MAX($AD$15:OFFSET(AD177,-1,0))+IF($C177&lt;&gt;1,1,MAX(1,COUNTIF(QCI!$A$13:$A$24,OFFSET($E177,-1,0)))),"")</f>
        <v/>
      </c>
      <c r="AE177" s="114" t="b">
        <f t="shared" ca="1" si="80"/>
        <v>0</v>
      </c>
      <c r="AF177" s="159" t="str">
        <f t="shared" ca="1" si="81"/>
        <v>(abra o arquivo 'Referência 05-2024.xls)</v>
      </c>
      <c r="AG177" s="579">
        <f t="shared" ca="1" si="82"/>
        <v>0</v>
      </c>
      <c r="AH177" s="580">
        <f t="shared" ca="1" si="83"/>
        <v>0.22470000000000001</v>
      </c>
      <c r="AJ177" s="582"/>
      <c r="AL177" s="612"/>
      <c r="AM177" s="430">
        <f t="shared" ca="1" si="84"/>
        <v>0</v>
      </c>
      <c r="AN177" s="655">
        <f t="shared" ca="1" si="85"/>
        <v>0</v>
      </c>
    </row>
    <row r="178" spans="1:40" ht="13.8" x14ac:dyDescent="0.3">
      <c r="A178" t="str">
        <f t="shared" si="64"/>
        <v>S</v>
      </c>
      <c r="B178">
        <f t="shared" ca="1" si="65"/>
        <v>3</v>
      </c>
      <c r="C178" t="str">
        <f t="shared" ca="1" si="66"/>
        <v>S</v>
      </c>
      <c r="D178">
        <f t="shared" ca="1" si="67"/>
        <v>0</v>
      </c>
      <c r="E178">
        <f ca="1">IF($C178=1,OFFSET(E178,-1,0)+MAX(1,COUNTIF(QCI!$A$13:$A$24,OFFSET(ORÇAMENTO!E178,-1,0))),OFFSET(E178,-1,0))</f>
        <v>1</v>
      </c>
      <c r="F178">
        <f t="shared" ca="1" si="68"/>
        <v>6</v>
      </c>
      <c r="G178">
        <f t="shared" ca="1" si="69"/>
        <v>2</v>
      </c>
      <c r="H178">
        <f t="shared" ca="1" si="70"/>
        <v>0</v>
      </c>
      <c r="I178">
        <f t="shared" ca="1" si="71"/>
        <v>0</v>
      </c>
      <c r="J178">
        <f t="shared" ca="1" si="86"/>
        <v>0</v>
      </c>
      <c r="K178">
        <f ca="1">IF(OR($C178="S",$C178=0),0,MATCH(OFFSET($D178,0,$C178)+IF($C178&lt;&gt;1,1,COUNTIF(QCI!$A$13:$A$24,ORÇAMENTO!E178)),OFFSET($D178,1,$C178,ROW($C$710)-ROW($C178)),0))</f>
        <v>0</v>
      </c>
      <c r="L178" s="143" t="str">
        <f t="shared" ca="1" si="72"/>
        <v/>
      </c>
      <c r="M178" s="144" t="s">
        <v>201</v>
      </c>
      <c r="N178" s="145" t="str">
        <f t="shared" ca="1" si="73"/>
        <v>Serviço</v>
      </c>
      <c r="O178" s="146" t="str">
        <f t="shared" ca="1" si="74"/>
        <v>-</v>
      </c>
      <c r="P178" s="147" t="s">
        <v>249</v>
      </c>
      <c r="Q178" s="148">
        <v>100705</v>
      </c>
      <c r="R178" s="149" t="str">
        <f ca="1">IF($C178="S",REFERENCIA.Descricao,"(digite a descrição aqui)")</f>
        <v>(abra o arquivo 'Referência 05-2024.xls)</v>
      </c>
      <c r="S178" s="150" t="str">
        <f ca="1">REFERENCIA.Unidade</f>
        <v>-</v>
      </c>
      <c r="T178" s="151">
        <f ca="1">OFFSET(CÁLCULO!H$15,ROW($T178)-ROW(T$15),0)</f>
        <v>11</v>
      </c>
      <c r="U178" s="152">
        <f t="shared" ca="1" si="87"/>
        <v>0</v>
      </c>
      <c r="V178" s="153" t="s">
        <v>158</v>
      </c>
      <c r="W178" s="151">
        <f t="shared" ca="1" si="75"/>
        <v>0</v>
      </c>
      <c r="X178" s="154">
        <f t="shared" ca="1" si="76"/>
        <v>0</v>
      </c>
      <c r="Y178" s="155" t="s">
        <v>583</v>
      </c>
      <c r="Z178" t="str">
        <f t="shared" ca="1" si="77"/>
        <v/>
      </c>
      <c r="AA178" s="156">
        <f ca="1">IF($C178="S",IF($Z178="CP",$X178,IF($Z178="RA",(($X178)*QCI!$AA$3),0)),SomaAgrup)</f>
        <v>0</v>
      </c>
      <c r="AB178" s="157">
        <f t="shared" ca="1" si="78"/>
        <v>0</v>
      </c>
      <c r="AC178" s="158" t="str">
        <f t="shared" ca="1" si="79"/>
        <v/>
      </c>
      <c r="AD178" s="104" t="str">
        <f ca="1">IF(C178&lt;=CRONO.NivelExibicao,MAX($AD$15:OFFSET(AD178,-1,0))+IF($C178&lt;&gt;1,1,MAX(1,COUNTIF(QCI!$A$13:$A$24,OFFSET($E178,-1,0)))),"")</f>
        <v/>
      </c>
      <c r="AE178" s="114" t="str">
        <f t="shared" ca="1" si="80"/>
        <v>SINAPI 100705</v>
      </c>
      <c r="AF178" s="159" t="str">
        <f t="shared" ca="1" si="81"/>
        <v>(abra o arquivo 'Referência 05-2024.xls)</v>
      </c>
      <c r="AG178" s="579">
        <f t="shared" ca="1" si="82"/>
        <v>0</v>
      </c>
      <c r="AH178" s="580">
        <f t="shared" ca="1" si="83"/>
        <v>0.22470000000000001</v>
      </c>
      <c r="AJ178" s="582">
        <v>11</v>
      </c>
      <c r="AL178" s="612"/>
      <c r="AM178" s="430">
        <f t="shared" ca="1" si="84"/>
        <v>0</v>
      </c>
      <c r="AN178" s="655">
        <f t="shared" ca="1" si="85"/>
        <v>0</v>
      </c>
    </row>
    <row r="179" spans="1:40" ht="13.8" x14ac:dyDescent="0.3">
      <c r="A179" t="str">
        <f t="shared" si="64"/>
        <v>S</v>
      </c>
      <c r="B179">
        <f t="shared" ca="1" si="65"/>
        <v>3</v>
      </c>
      <c r="C179" t="str">
        <f t="shared" ca="1" si="66"/>
        <v>S</v>
      </c>
      <c r="D179">
        <f t="shared" ca="1" si="67"/>
        <v>0</v>
      </c>
      <c r="E179">
        <f ca="1">IF($C179=1,OFFSET(E179,-1,0)+MAX(1,COUNTIF(QCI!$A$13:$A$24,OFFSET(ORÇAMENTO!E179,-1,0))),OFFSET(E179,-1,0))</f>
        <v>1</v>
      </c>
      <c r="F179">
        <f t="shared" ca="1" si="68"/>
        <v>6</v>
      </c>
      <c r="G179">
        <f t="shared" ca="1" si="69"/>
        <v>2</v>
      </c>
      <c r="H179">
        <f t="shared" ca="1" si="70"/>
        <v>0</v>
      </c>
      <c r="I179">
        <f t="shared" ca="1" si="71"/>
        <v>0</v>
      </c>
      <c r="J179">
        <f t="shared" ca="1" si="86"/>
        <v>0</v>
      </c>
      <c r="K179">
        <f ca="1">IF(OR($C179="S",$C179=0),0,MATCH(OFFSET($D179,0,$C179)+IF($C179&lt;&gt;1,1,COUNTIF(QCI!$A$13:$A$24,ORÇAMENTO!E179)),OFFSET($D179,1,$C179,ROW($C$710)-ROW($C179)),0))</f>
        <v>0</v>
      </c>
      <c r="L179" s="143" t="str">
        <f t="shared" ca="1" si="72"/>
        <v/>
      </c>
      <c r="M179" s="144" t="s">
        <v>201</v>
      </c>
      <c r="N179" s="145" t="str">
        <f t="shared" ca="1" si="73"/>
        <v>Serviço</v>
      </c>
      <c r="O179" s="146" t="str">
        <f t="shared" ca="1" si="74"/>
        <v>-</v>
      </c>
      <c r="P179" s="147" t="s">
        <v>249</v>
      </c>
      <c r="Q179" s="148">
        <v>100866</v>
      </c>
      <c r="R179" s="149" t="str">
        <f ca="1">IF($C179="S",REFERENCIA.Descricao,"(digite a descrição aqui)")</f>
        <v>(abra o arquivo 'Referência 05-2024.xls)</v>
      </c>
      <c r="S179" s="150" t="str">
        <f ca="1">REFERENCIA.Unidade</f>
        <v>-</v>
      </c>
      <c r="T179" s="151">
        <f ca="1">OFFSET(CÁLCULO!H$15,ROW($T179)-ROW(T$15),0)</f>
        <v>6</v>
      </c>
      <c r="U179" s="152">
        <f t="shared" ca="1" si="87"/>
        <v>0</v>
      </c>
      <c r="V179" s="153" t="s">
        <v>158</v>
      </c>
      <c r="W179" s="151">
        <f t="shared" ca="1" si="75"/>
        <v>0</v>
      </c>
      <c r="X179" s="154">
        <f t="shared" ca="1" si="76"/>
        <v>0</v>
      </c>
      <c r="Y179" s="155" t="s">
        <v>583</v>
      </c>
      <c r="Z179" t="str">
        <f t="shared" ca="1" si="77"/>
        <v/>
      </c>
      <c r="AA179" s="156">
        <f ca="1">IF($C179="S",IF($Z179="CP",$X179,IF($Z179="RA",(($X179)*QCI!$AA$3),0)),SomaAgrup)</f>
        <v>0</v>
      </c>
      <c r="AB179" s="157">
        <f t="shared" ca="1" si="78"/>
        <v>0</v>
      </c>
      <c r="AC179" s="158" t="str">
        <f t="shared" ca="1" si="79"/>
        <v/>
      </c>
      <c r="AD179" s="104" t="str">
        <f ca="1">IF(C179&lt;=CRONO.NivelExibicao,MAX($AD$15:OFFSET(AD179,-1,0))+IF($C179&lt;&gt;1,1,MAX(1,COUNTIF(QCI!$A$13:$A$24,OFFSET($E179,-1,0)))),"")</f>
        <v/>
      </c>
      <c r="AE179" s="114" t="str">
        <f t="shared" ca="1" si="80"/>
        <v>SINAPI 100866</v>
      </c>
      <c r="AF179" s="159" t="str">
        <f t="shared" ca="1" si="81"/>
        <v>(abra o arquivo 'Referência 05-2024.xls)</v>
      </c>
      <c r="AG179" s="579">
        <f t="shared" ca="1" si="82"/>
        <v>0</v>
      </c>
      <c r="AH179" s="580">
        <f t="shared" ca="1" si="83"/>
        <v>0.22470000000000001</v>
      </c>
      <c r="AJ179" s="582">
        <v>6</v>
      </c>
      <c r="AL179" s="612"/>
      <c r="AM179" s="430">
        <f t="shared" ca="1" si="84"/>
        <v>0</v>
      </c>
      <c r="AN179" s="655">
        <f t="shared" ca="1" si="85"/>
        <v>0</v>
      </c>
    </row>
    <row r="180" spans="1:40" ht="13.8" x14ac:dyDescent="0.3">
      <c r="A180" t="str">
        <f t="shared" si="64"/>
        <v>S</v>
      </c>
      <c r="B180">
        <f t="shared" ca="1" si="65"/>
        <v>3</v>
      </c>
      <c r="C180" t="str">
        <f t="shared" ca="1" si="66"/>
        <v>S</v>
      </c>
      <c r="D180">
        <f t="shared" ca="1" si="67"/>
        <v>0</v>
      </c>
      <c r="E180">
        <f ca="1">IF($C180=1,OFFSET(E180,-1,0)+MAX(1,COUNTIF(QCI!$A$13:$A$24,OFFSET(ORÇAMENTO!E180,-1,0))),OFFSET(E180,-1,0))</f>
        <v>1</v>
      </c>
      <c r="F180">
        <f t="shared" ca="1" si="68"/>
        <v>6</v>
      </c>
      <c r="G180">
        <f t="shared" ca="1" si="69"/>
        <v>2</v>
      </c>
      <c r="H180">
        <f t="shared" ca="1" si="70"/>
        <v>0</v>
      </c>
      <c r="I180">
        <f t="shared" ca="1" si="71"/>
        <v>0</v>
      </c>
      <c r="J180">
        <f t="shared" ca="1" si="86"/>
        <v>0</v>
      </c>
      <c r="K180">
        <f ca="1">IF(OR($C180="S",$C180=0),0,MATCH(OFFSET($D180,0,$C180)+IF($C180&lt;&gt;1,1,COUNTIF(QCI!$A$13:$A$24,ORÇAMENTO!E180)),OFFSET($D180,1,$C180,ROW($C$710)-ROW($C180)),0))</f>
        <v>0</v>
      </c>
      <c r="L180" s="143" t="str">
        <f t="shared" ca="1" si="72"/>
        <v/>
      </c>
      <c r="M180" s="144" t="s">
        <v>201</v>
      </c>
      <c r="N180" s="145" t="str">
        <f t="shared" ca="1" si="73"/>
        <v>Serviço</v>
      </c>
      <c r="O180" s="146" t="str">
        <f t="shared" ca="1" si="74"/>
        <v>-</v>
      </c>
      <c r="P180" s="147" t="s">
        <v>441</v>
      </c>
      <c r="Q180" s="148" t="s">
        <v>454</v>
      </c>
      <c r="R180" s="149" t="str">
        <f ca="1">IF($C180="S",REFERENCIA.Descricao,"(digite a descrição aqui)")</f>
        <v>(abra o arquivo 'Referência 05-2024.xls)</v>
      </c>
      <c r="S180" s="150" t="str">
        <f ca="1">REFERENCIA.Unidade</f>
        <v>-</v>
      </c>
      <c r="T180" s="151">
        <f ca="1">OFFSET(CÁLCULO!H$15,ROW($T180)-ROW(T$15),0)</f>
        <v>6.4</v>
      </c>
      <c r="U180" s="152">
        <f t="shared" ca="1" si="87"/>
        <v>0</v>
      </c>
      <c r="V180" s="153" t="s">
        <v>158</v>
      </c>
      <c r="W180" s="151">
        <f t="shared" ca="1" si="75"/>
        <v>0</v>
      </c>
      <c r="X180" s="154">
        <f t="shared" ca="1" si="76"/>
        <v>0</v>
      </c>
      <c r="Y180" s="155" t="s">
        <v>583</v>
      </c>
      <c r="Z180" t="str">
        <f t="shared" ca="1" si="77"/>
        <v/>
      </c>
      <c r="AA180" s="156">
        <f ca="1">IF($C180="S",IF($Z180="CP",$X180,IF($Z180="RA",(($X180)*QCI!$AA$3),0)),SomaAgrup)</f>
        <v>0</v>
      </c>
      <c r="AB180" s="157">
        <f t="shared" ca="1" si="78"/>
        <v>0</v>
      </c>
      <c r="AC180" s="158" t="str">
        <f t="shared" ca="1" si="79"/>
        <v/>
      </c>
      <c r="AD180" s="104" t="str">
        <f ca="1">IF(C180&lt;=CRONO.NivelExibicao,MAX($AD$15:OFFSET(AD180,-1,0))+IF($C180&lt;&gt;1,1,MAX(1,COUNTIF(QCI!$A$13:$A$24,OFFSET($E180,-1,0)))),"")</f>
        <v/>
      </c>
      <c r="AE180" s="114" t="str">
        <f t="shared" ca="1" si="80"/>
        <v>Composição CP-15</v>
      </c>
      <c r="AF180" s="159" t="str">
        <f t="shared" ca="1" si="81"/>
        <v>(abra o arquivo 'Referência 05-2024.xls)</v>
      </c>
      <c r="AG180" s="579">
        <f t="shared" ca="1" si="82"/>
        <v>0</v>
      </c>
      <c r="AH180" s="580">
        <f t="shared" ca="1" si="83"/>
        <v>0.22470000000000001</v>
      </c>
      <c r="AJ180" s="582">
        <v>6.4</v>
      </c>
      <c r="AL180" s="612"/>
      <c r="AM180" s="430">
        <f t="shared" ca="1" si="84"/>
        <v>0</v>
      </c>
      <c r="AN180" s="655">
        <f t="shared" ca="1" si="85"/>
        <v>0</v>
      </c>
    </row>
    <row r="181" spans="1:40" ht="13.8" x14ac:dyDescent="0.3">
      <c r="A181">
        <f t="shared" si="64"/>
        <v>3</v>
      </c>
      <c r="B181">
        <f t="shared" ca="1" si="65"/>
        <v>3</v>
      </c>
      <c r="C181">
        <f t="shared" ca="1" si="66"/>
        <v>3</v>
      </c>
      <c r="D181">
        <f t="shared" ca="1" si="67"/>
        <v>12</v>
      </c>
      <c r="E181">
        <f ca="1">IF($C181=1,OFFSET(E181,-1,0)+MAX(1,COUNTIF(QCI!$A$13:$A$24,OFFSET(ORÇAMENTO!E181,-1,0))),OFFSET(E181,-1,0))</f>
        <v>1</v>
      </c>
      <c r="F181">
        <f t="shared" ca="1" si="68"/>
        <v>6</v>
      </c>
      <c r="G181">
        <f t="shared" ca="1" si="69"/>
        <v>3</v>
      </c>
      <c r="H181">
        <f t="shared" ca="1" si="70"/>
        <v>0</v>
      </c>
      <c r="I181">
        <f t="shared" ca="1" si="71"/>
        <v>0</v>
      </c>
      <c r="J181">
        <f t="shared" ca="1" si="86"/>
        <v>38</v>
      </c>
      <c r="K181">
        <f ca="1">IF(OR($C181="S",$C181=0),0,MATCH(OFFSET($D181,0,$C181)+IF($C181&lt;&gt;1,1,COUNTIF(QCI!$A$13:$A$24,ORÇAMENTO!E181)),OFFSET($D181,1,$C181,ROW($C$710)-ROW($C181)),0))</f>
        <v>12</v>
      </c>
      <c r="L181" s="143" t="str">
        <f t="shared" ca="1" si="72"/>
        <v>F</v>
      </c>
      <c r="M181" s="144" t="s">
        <v>199</v>
      </c>
      <c r="N181" s="145" t="str">
        <f t="shared" ca="1" si="73"/>
        <v>Nível 3</v>
      </c>
      <c r="O181" s="146" t="str">
        <f t="shared" ca="1" si="74"/>
        <v>1.6.3.</v>
      </c>
      <c r="P181" s="147" t="s">
        <v>249</v>
      </c>
      <c r="Q181" s="148"/>
      <c r="R181" s="149" t="s">
        <v>511</v>
      </c>
      <c r="S181" s="150" t="s">
        <v>168</v>
      </c>
      <c r="T181" s="151">
        <f ca="1">OFFSET(CÁLCULO!H$15,ROW($T181)-ROW(T$15),0)</f>
        <v>0</v>
      </c>
      <c r="U181" s="152">
        <f t="shared" ca="1" si="87"/>
        <v>0</v>
      </c>
      <c r="V181" s="153" t="s">
        <v>158</v>
      </c>
      <c r="W181" s="151">
        <f t="shared" ca="1" si="75"/>
        <v>0</v>
      </c>
      <c r="X181" s="154">
        <f t="shared" ca="1" si="76"/>
        <v>0</v>
      </c>
      <c r="Y181" s="155" t="s">
        <v>583</v>
      </c>
      <c r="Z181" t="str">
        <f t="shared" ca="1" si="77"/>
        <v/>
      </c>
      <c r="AA181" s="156">
        <f ca="1">IF($C181="S",IF($Z181="CP",$X181,IF($Z181="RA",(($X181)*QCI!$AA$3),0)),SomaAgrup)</f>
        <v>0</v>
      </c>
      <c r="AB181" s="157">
        <f t="shared" ca="1" si="78"/>
        <v>0</v>
      </c>
      <c r="AC181" s="158" t="str">
        <f t="shared" ca="1" si="79"/>
        <v/>
      </c>
      <c r="AD181" s="104" t="str">
        <f ca="1">IF(C181&lt;=CRONO.NivelExibicao,MAX($AD$15:OFFSET(AD181,-1,0))+IF($C181&lt;&gt;1,1,MAX(1,COUNTIF(QCI!$A$13:$A$24,OFFSET($E181,-1,0)))),"")</f>
        <v/>
      </c>
      <c r="AE181" s="114" t="b">
        <f t="shared" ca="1" si="80"/>
        <v>0</v>
      </c>
      <c r="AF181" s="159" t="str">
        <f t="shared" ca="1" si="81"/>
        <v>(abra o arquivo 'Referência 05-2024.xls)</v>
      </c>
      <c r="AG181" s="579">
        <f t="shared" ca="1" si="82"/>
        <v>0</v>
      </c>
      <c r="AH181" s="580">
        <f t="shared" ca="1" si="83"/>
        <v>0.22470000000000001</v>
      </c>
      <c r="AJ181" s="582"/>
      <c r="AL181" s="612"/>
      <c r="AM181" s="430">
        <f t="shared" ca="1" si="84"/>
        <v>0</v>
      </c>
      <c r="AN181" s="655">
        <f t="shared" ca="1" si="85"/>
        <v>0</v>
      </c>
    </row>
    <row r="182" spans="1:40" ht="13.8" x14ac:dyDescent="0.3">
      <c r="A182" t="str">
        <f t="shared" si="64"/>
        <v>S</v>
      </c>
      <c r="B182">
        <f t="shared" ca="1" si="65"/>
        <v>3</v>
      </c>
      <c r="C182" t="str">
        <f t="shared" ca="1" si="66"/>
        <v>S</v>
      </c>
      <c r="D182">
        <f t="shared" ca="1" si="67"/>
        <v>0</v>
      </c>
      <c r="E182">
        <f ca="1">IF($C182=1,OFFSET(E182,-1,0)+MAX(1,COUNTIF(QCI!$A$13:$A$24,OFFSET(ORÇAMENTO!E182,-1,0))),OFFSET(E182,-1,0))</f>
        <v>1</v>
      </c>
      <c r="F182">
        <f t="shared" ca="1" si="68"/>
        <v>6</v>
      </c>
      <c r="G182">
        <f t="shared" ca="1" si="69"/>
        <v>3</v>
      </c>
      <c r="H182">
        <f t="shared" ca="1" si="70"/>
        <v>0</v>
      </c>
      <c r="I182">
        <f t="shared" ca="1" si="71"/>
        <v>0</v>
      </c>
      <c r="J182">
        <f t="shared" ca="1" si="86"/>
        <v>0</v>
      </c>
      <c r="K182">
        <f ca="1">IF(OR($C182="S",$C182=0),0,MATCH(OFFSET($D182,0,$C182)+IF($C182&lt;&gt;1,1,COUNTIF(QCI!$A$13:$A$24,ORÇAMENTO!E182)),OFFSET($D182,1,$C182,ROW($C$710)-ROW($C182)),0))</f>
        <v>0</v>
      </c>
      <c r="L182" s="143" t="str">
        <f t="shared" ca="1" si="72"/>
        <v/>
      </c>
      <c r="M182" s="144" t="s">
        <v>201</v>
      </c>
      <c r="N182" s="145" t="str">
        <f t="shared" ca="1" si="73"/>
        <v>Serviço</v>
      </c>
      <c r="O182" s="146" t="str">
        <f t="shared" ca="1" si="74"/>
        <v>-</v>
      </c>
      <c r="P182" s="147" t="s">
        <v>441</v>
      </c>
      <c r="Q182" s="148" t="s">
        <v>463</v>
      </c>
      <c r="R182" s="149" t="str">
        <f t="shared" ref="R182:R192" ca="1" si="88">IF($C182="S",REFERENCIA.Descricao,"(digite a descrição aqui)")</f>
        <v>(abra o arquivo 'Referência 05-2024.xls)</v>
      </c>
      <c r="S182" s="150" t="str">
        <f t="shared" ref="S182:S192" ca="1" si="89">REFERENCIA.Unidade</f>
        <v>-</v>
      </c>
      <c r="T182" s="151">
        <f ca="1">OFFSET(CÁLCULO!H$15,ROW($T182)-ROW(T$15),0)</f>
        <v>2</v>
      </c>
      <c r="U182" s="152">
        <f t="shared" ca="1" si="87"/>
        <v>0</v>
      </c>
      <c r="V182" s="153" t="s">
        <v>158</v>
      </c>
      <c r="W182" s="151">
        <f t="shared" ca="1" si="75"/>
        <v>0</v>
      </c>
      <c r="X182" s="154">
        <f t="shared" ca="1" si="76"/>
        <v>0</v>
      </c>
      <c r="Y182" s="155" t="s">
        <v>583</v>
      </c>
      <c r="Z182" t="str">
        <f t="shared" ca="1" si="77"/>
        <v/>
      </c>
      <c r="AA182" s="156">
        <f ca="1">IF($C182="S",IF($Z182="CP",$X182,IF($Z182="RA",(($X182)*QCI!$AA$3),0)),SomaAgrup)</f>
        <v>0</v>
      </c>
      <c r="AB182" s="157">
        <f t="shared" ca="1" si="78"/>
        <v>0</v>
      </c>
      <c r="AC182" s="158" t="str">
        <f t="shared" ca="1" si="79"/>
        <v/>
      </c>
      <c r="AD182" s="104" t="str">
        <f ca="1">IF(C182&lt;=CRONO.NivelExibicao,MAX($AD$15:OFFSET(AD182,-1,0))+IF($C182&lt;&gt;1,1,MAX(1,COUNTIF(QCI!$A$13:$A$24,OFFSET($E182,-1,0)))),"")</f>
        <v/>
      </c>
      <c r="AE182" s="114" t="str">
        <f t="shared" ca="1" si="80"/>
        <v>Composição CP-16</v>
      </c>
      <c r="AF182" s="159" t="str">
        <f t="shared" ca="1" si="81"/>
        <v>(abra o arquivo 'Referência 05-2024.xls)</v>
      </c>
      <c r="AG182" s="579">
        <f t="shared" ca="1" si="82"/>
        <v>0</v>
      </c>
      <c r="AH182" s="580">
        <f t="shared" ca="1" si="83"/>
        <v>0.22470000000000001</v>
      </c>
      <c r="AJ182" s="582">
        <v>2</v>
      </c>
      <c r="AL182" s="612"/>
      <c r="AM182" s="430">
        <f t="shared" ca="1" si="84"/>
        <v>0</v>
      </c>
      <c r="AN182" s="655">
        <f t="shared" ca="1" si="85"/>
        <v>0</v>
      </c>
    </row>
    <row r="183" spans="1:40" ht="13.8" x14ac:dyDescent="0.3">
      <c r="A183" t="str">
        <f t="shared" si="64"/>
        <v>S</v>
      </c>
      <c r="B183">
        <f t="shared" ca="1" si="65"/>
        <v>3</v>
      </c>
      <c r="C183" t="str">
        <f t="shared" ca="1" si="66"/>
        <v>S</v>
      </c>
      <c r="D183">
        <f t="shared" ca="1" si="67"/>
        <v>0</v>
      </c>
      <c r="E183">
        <f ca="1">IF($C183=1,OFFSET(E183,-1,0)+MAX(1,COUNTIF(QCI!$A$13:$A$24,OFFSET(ORÇAMENTO!E183,-1,0))),OFFSET(E183,-1,0))</f>
        <v>1</v>
      </c>
      <c r="F183">
        <f t="shared" ca="1" si="68"/>
        <v>6</v>
      </c>
      <c r="G183">
        <f t="shared" ca="1" si="69"/>
        <v>3</v>
      </c>
      <c r="H183">
        <f t="shared" ca="1" si="70"/>
        <v>0</v>
      </c>
      <c r="I183">
        <f t="shared" ca="1" si="71"/>
        <v>0</v>
      </c>
      <c r="J183">
        <f t="shared" ca="1" si="86"/>
        <v>0</v>
      </c>
      <c r="K183">
        <f ca="1">IF(OR($C183="S",$C183=0),0,MATCH(OFFSET($D183,0,$C183)+IF($C183&lt;&gt;1,1,COUNTIF(QCI!$A$13:$A$24,ORÇAMENTO!E183)),OFFSET($D183,1,$C183,ROW($C$710)-ROW($C183)),0))</f>
        <v>0</v>
      </c>
      <c r="L183" s="143" t="str">
        <f t="shared" ca="1" si="72"/>
        <v/>
      </c>
      <c r="M183" s="144" t="s">
        <v>201</v>
      </c>
      <c r="N183" s="145" t="str">
        <f t="shared" ca="1" si="73"/>
        <v>Serviço</v>
      </c>
      <c r="O183" s="146" t="str">
        <f t="shared" ca="1" si="74"/>
        <v>-</v>
      </c>
      <c r="P183" s="147" t="s">
        <v>441</v>
      </c>
      <c r="Q183" s="148" t="s">
        <v>464</v>
      </c>
      <c r="R183" s="149" t="str">
        <f t="shared" ca="1" si="88"/>
        <v>(abra o arquivo 'Referência 05-2024.xls)</v>
      </c>
      <c r="S183" s="150" t="str">
        <f t="shared" ca="1" si="89"/>
        <v>-</v>
      </c>
      <c r="T183" s="151">
        <f ca="1">OFFSET(CÁLCULO!H$15,ROW($T183)-ROW(T$15),0)</f>
        <v>2</v>
      </c>
      <c r="U183" s="152">
        <f t="shared" ca="1" si="87"/>
        <v>0</v>
      </c>
      <c r="V183" s="153" t="s">
        <v>158</v>
      </c>
      <c r="W183" s="151">
        <f t="shared" ca="1" si="75"/>
        <v>0</v>
      </c>
      <c r="X183" s="154">
        <f t="shared" ca="1" si="76"/>
        <v>0</v>
      </c>
      <c r="Y183" s="155" t="s">
        <v>583</v>
      </c>
      <c r="Z183" t="str">
        <f t="shared" ca="1" si="77"/>
        <v/>
      </c>
      <c r="AA183" s="156">
        <f ca="1">IF($C183="S",IF($Z183="CP",$X183,IF($Z183="RA",(($X183)*QCI!$AA$3),0)),SomaAgrup)</f>
        <v>0</v>
      </c>
      <c r="AB183" s="157">
        <f t="shared" ca="1" si="78"/>
        <v>0</v>
      </c>
      <c r="AC183" s="158" t="str">
        <f t="shared" ca="1" si="79"/>
        <v/>
      </c>
      <c r="AD183" s="104" t="str">
        <f ca="1">IF(C183&lt;=CRONO.NivelExibicao,MAX($AD$15:OFFSET(AD183,-1,0))+IF($C183&lt;&gt;1,1,MAX(1,COUNTIF(QCI!$A$13:$A$24,OFFSET($E183,-1,0)))),"")</f>
        <v/>
      </c>
      <c r="AE183" s="114" t="str">
        <f t="shared" ca="1" si="80"/>
        <v>Composição CP-17</v>
      </c>
      <c r="AF183" s="159" t="str">
        <f t="shared" ca="1" si="81"/>
        <v>(abra o arquivo 'Referência 05-2024.xls)</v>
      </c>
      <c r="AG183" s="579">
        <f t="shared" ca="1" si="82"/>
        <v>0</v>
      </c>
      <c r="AH183" s="580">
        <f t="shared" ca="1" si="83"/>
        <v>0.22470000000000001</v>
      </c>
      <c r="AJ183" s="582">
        <v>2</v>
      </c>
      <c r="AL183" s="612"/>
      <c r="AM183" s="430">
        <f t="shared" ca="1" si="84"/>
        <v>0</v>
      </c>
      <c r="AN183" s="655">
        <f t="shared" ca="1" si="85"/>
        <v>0</v>
      </c>
    </row>
    <row r="184" spans="1:40" ht="13.8" x14ac:dyDescent="0.3">
      <c r="A184" t="str">
        <f t="shared" si="64"/>
        <v>S</v>
      </c>
      <c r="B184">
        <f t="shared" ca="1" si="65"/>
        <v>3</v>
      </c>
      <c r="C184" t="str">
        <f t="shared" ca="1" si="66"/>
        <v>S</v>
      </c>
      <c r="D184">
        <f t="shared" ca="1" si="67"/>
        <v>0</v>
      </c>
      <c r="E184">
        <f ca="1">IF($C184=1,OFFSET(E184,-1,0)+MAX(1,COUNTIF(QCI!$A$13:$A$24,OFFSET(ORÇAMENTO!E184,-1,0))),OFFSET(E184,-1,0))</f>
        <v>1</v>
      </c>
      <c r="F184">
        <f t="shared" ca="1" si="68"/>
        <v>6</v>
      </c>
      <c r="G184">
        <f t="shared" ca="1" si="69"/>
        <v>3</v>
      </c>
      <c r="H184">
        <f t="shared" ca="1" si="70"/>
        <v>0</v>
      </c>
      <c r="I184">
        <f t="shared" ca="1" si="71"/>
        <v>0</v>
      </c>
      <c r="J184">
        <f t="shared" ca="1" si="86"/>
        <v>0</v>
      </c>
      <c r="K184">
        <f ca="1">IF(OR($C184="S",$C184=0),0,MATCH(OFFSET($D184,0,$C184)+IF($C184&lt;&gt;1,1,COUNTIF(QCI!$A$13:$A$24,ORÇAMENTO!E184)),OFFSET($D184,1,$C184,ROW($C$710)-ROW($C184)),0))</f>
        <v>0</v>
      </c>
      <c r="L184" s="143" t="str">
        <f t="shared" ca="1" si="72"/>
        <v/>
      </c>
      <c r="M184" s="144" t="s">
        <v>201</v>
      </c>
      <c r="N184" s="145" t="str">
        <f t="shared" ca="1" si="73"/>
        <v>Serviço</v>
      </c>
      <c r="O184" s="146" t="str">
        <f t="shared" ca="1" si="74"/>
        <v>-</v>
      </c>
      <c r="P184" s="147" t="s">
        <v>249</v>
      </c>
      <c r="Q184" s="148">
        <v>91341</v>
      </c>
      <c r="R184" s="149" t="str">
        <f t="shared" ca="1" si="88"/>
        <v>(abra o arquivo 'Referência 05-2024.xls)</v>
      </c>
      <c r="S184" s="150" t="str">
        <f t="shared" ca="1" si="89"/>
        <v>-</v>
      </c>
      <c r="T184" s="151">
        <f ca="1">OFFSET(CÁLCULO!H$15,ROW($T184)-ROW(T$15),0)</f>
        <v>11.34</v>
      </c>
      <c r="U184" s="152">
        <f t="shared" ca="1" si="87"/>
        <v>0</v>
      </c>
      <c r="V184" s="153" t="s">
        <v>158</v>
      </c>
      <c r="W184" s="151">
        <f t="shared" ca="1" si="75"/>
        <v>0</v>
      </c>
      <c r="X184" s="154">
        <f t="shared" ca="1" si="76"/>
        <v>0</v>
      </c>
      <c r="Y184" s="155" t="s">
        <v>583</v>
      </c>
      <c r="Z184" t="str">
        <f t="shared" ca="1" si="77"/>
        <v/>
      </c>
      <c r="AA184" s="156">
        <f ca="1">IF($C184="S",IF($Z184="CP",$X184,IF($Z184="RA",(($X184)*QCI!$AA$3),0)),SomaAgrup)</f>
        <v>0</v>
      </c>
      <c r="AB184" s="157">
        <f t="shared" ca="1" si="78"/>
        <v>0</v>
      </c>
      <c r="AC184" s="158" t="str">
        <f t="shared" ca="1" si="79"/>
        <v/>
      </c>
      <c r="AD184" s="104" t="str">
        <f ca="1">IF(C184&lt;=CRONO.NivelExibicao,MAX($AD$15:OFFSET(AD184,-1,0))+IF($C184&lt;&gt;1,1,MAX(1,COUNTIF(QCI!$A$13:$A$24,OFFSET($E184,-1,0)))),"")</f>
        <v/>
      </c>
      <c r="AE184" s="114" t="str">
        <f t="shared" ca="1" si="80"/>
        <v>SINAPI 91341</v>
      </c>
      <c r="AF184" s="159" t="str">
        <f t="shared" ca="1" si="81"/>
        <v>(abra o arquivo 'Referência 05-2024.xls)</v>
      </c>
      <c r="AG184" s="579">
        <f t="shared" ca="1" si="82"/>
        <v>0</v>
      </c>
      <c r="AH184" s="580">
        <f t="shared" ca="1" si="83"/>
        <v>0.22470000000000001</v>
      </c>
      <c r="AJ184" s="582">
        <v>11.34</v>
      </c>
      <c r="AL184" s="612"/>
      <c r="AM184" s="430">
        <f t="shared" ca="1" si="84"/>
        <v>0</v>
      </c>
      <c r="AN184" s="655">
        <f t="shared" ca="1" si="85"/>
        <v>0</v>
      </c>
    </row>
    <row r="185" spans="1:40" ht="13.8" x14ac:dyDescent="0.3">
      <c r="A185" t="str">
        <f t="shared" si="64"/>
        <v>S</v>
      </c>
      <c r="B185">
        <f t="shared" ca="1" si="65"/>
        <v>3</v>
      </c>
      <c r="C185" t="str">
        <f t="shared" ca="1" si="66"/>
        <v>S</v>
      </c>
      <c r="D185">
        <f t="shared" ca="1" si="67"/>
        <v>0</v>
      </c>
      <c r="E185">
        <f ca="1">IF($C185=1,OFFSET(E185,-1,0)+MAX(1,COUNTIF(QCI!$A$13:$A$24,OFFSET(ORÇAMENTO!E185,-1,0))),OFFSET(E185,-1,0))</f>
        <v>1</v>
      </c>
      <c r="F185">
        <f t="shared" ca="1" si="68"/>
        <v>6</v>
      </c>
      <c r="G185">
        <f t="shared" ca="1" si="69"/>
        <v>3</v>
      </c>
      <c r="H185">
        <f t="shared" ca="1" si="70"/>
        <v>0</v>
      </c>
      <c r="I185">
        <f t="shared" ca="1" si="71"/>
        <v>0</v>
      </c>
      <c r="J185">
        <f t="shared" ca="1" si="86"/>
        <v>0</v>
      </c>
      <c r="K185">
        <f ca="1">IF(OR($C185="S",$C185=0),0,MATCH(OFFSET($D185,0,$C185)+IF($C185&lt;&gt;1,1,COUNTIF(QCI!$A$13:$A$24,ORÇAMENTO!E185)),OFFSET($D185,1,$C185,ROW($C$710)-ROW($C185)),0))</f>
        <v>0</v>
      </c>
      <c r="L185" s="143" t="str">
        <f t="shared" ca="1" si="72"/>
        <v/>
      </c>
      <c r="M185" s="144" t="s">
        <v>201</v>
      </c>
      <c r="N185" s="145" t="str">
        <f t="shared" ca="1" si="73"/>
        <v>Serviço</v>
      </c>
      <c r="O185" s="146" t="str">
        <f t="shared" ca="1" si="74"/>
        <v>-</v>
      </c>
      <c r="P185" s="147" t="s">
        <v>249</v>
      </c>
      <c r="Q185" s="148">
        <v>91338</v>
      </c>
      <c r="R185" s="149" t="str">
        <f t="shared" ca="1" si="88"/>
        <v>(abra o arquivo 'Referência 05-2024.xls)</v>
      </c>
      <c r="S185" s="150" t="str">
        <f t="shared" ca="1" si="89"/>
        <v>-</v>
      </c>
      <c r="T185" s="151">
        <f ca="1">OFFSET(CÁLCULO!H$15,ROW($T185)-ROW(T$15),0)</f>
        <v>6.6</v>
      </c>
      <c r="U185" s="152">
        <f t="shared" ca="1" si="87"/>
        <v>0</v>
      </c>
      <c r="V185" s="153" t="s">
        <v>158</v>
      </c>
      <c r="W185" s="151">
        <f t="shared" ca="1" si="75"/>
        <v>0</v>
      </c>
      <c r="X185" s="154">
        <f t="shared" ca="1" si="76"/>
        <v>0</v>
      </c>
      <c r="Y185" s="155" t="s">
        <v>583</v>
      </c>
      <c r="Z185" t="str">
        <f t="shared" ca="1" si="77"/>
        <v/>
      </c>
      <c r="AA185" s="156">
        <f ca="1">IF($C185="S",IF($Z185="CP",$X185,IF($Z185="RA",(($X185)*QCI!$AA$3),0)),SomaAgrup)</f>
        <v>0</v>
      </c>
      <c r="AB185" s="157">
        <f t="shared" ca="1" si="78"/>
        <v>0</v>
      </c>
      <c r="AC185" s="158" t="str">
        <f t="shared" ca="1" si="79"/>
        <v/>
      </c>
      <c r="AD185" s="104" t="str">
        <f ca="1">IF(C185&lt;=CRONO.NivelExibicao,MAX($AD$15:OFFSET(AD185,-1,0))+IF($C185&lt;&gt;1,1,MAX(1,COUNTIF(QCI!$A$13:$A$24,OFFSET($E185,-1,0)))),"")</f>
        <v/>
      </c>
      <c r="AE185" s="114" t="str">
        <f t="shared" ca="1" si="80"/>
        <v>SINAPI 91338</v>
      </c>
      <c r="AF185" s="159" t="str">
        <f t="shared" ca="1" si="81"/>
        <v>(abra o arquivo 'Referência 05-2024.xls)</v>
      </c>
      <c r="AG185" s="579">
        <f t="shared" ca="1" si="82"/>
        <v>0</v>
      </c>
      <c r="AH185" s="580">
        <f t="shared" ca="1" si="83"/>
        <v>0.22470000000000001</v>
      </c>
      <c r="AJ185" s="582">
        <v>6.6</v>
      </c>
      <c r="AL185" s="612"/>
      <c r="AM185" s="430">
        <f t="shared" ca="1" si="84"/>
        <v>0</v>
      </c>
      <c r="AN185" s="655">
        <f t="shared" ca="1" si="85"/>
        <v>0</v>
      </c>
    </row>
    <row r="186" spans="1:40" ht="13.8" x14ac:dyDescent="0.3">
      <c r="A186" t="str">
        <f t="shared" si="64"/>
        <v>S</v>
      </c>
      <c r="B186">
        <f t="shared" ca="1" si="65"/>
        <v>3</v>
      </c>
      <c r="C186" t="str">
        <f t="shared" ca="1" si="66"/>
        <v>S</v>
      </c>
      <c r="D186">
        <f t="shared" ca="1" si="67"/>
        <v>0</v>
      </c>
      <c r="E186">
        <f ca="1">IF($C186=1,OFFSET(E186,-1,0)+MAX(1,COUNTIF(QCI!$A$13:$A$24,OFFSET(ORÇAMENTO!E186,-1,0))),OFFSET(E186,-1,0))</f>
        <v>1</v>
      </c>
      <c r="F186">
        <f t="shared" ca="1" si="68"/>
        <v>6</v>
      </c>
      <c r="G186">
        <f t="shared" ca="1" si="69"/>
        <v>3</v>
      </c>
      <c r="H186">
        <f t="shared" ca="1" si="70"/>
        <v>0</v>
      </c>
      <c r="I186">
        <f t="shared" ca="1" si="71"/>
        <v>0</v>
      </c>
      <c r="J186">
        <f t="shared" ca="1" si="86"/>
        <v>0</v>
      </c>
      <c r="K186">
        <f ca="1">IF(OR($C186="S",$C186=0),0,MATCH(OFFSET($D186,0,$C186)+IF($C186&lt;&gt;1,1,COUNTIF(QCI!$A$13:$A$24,ORÇAMENTO!E186)),OFFSET($D186,1,$C186,ROW($C$710)-ROW($C186)),0))</f>
        <v>0</v>
      </c>
      <c r="L186" s="143" t="str">
        <f t="shared" ca="1" si="72"/>
        <v/>
      </c>
      <c r="M186" s="144" t="s">
        <v>201</v>
      </c>
      <c r="N186" s="145" t="str">
        <f t="shared" ca="1" si="73"/>
        <v>Serviço</v>
      </c>
      <c r="O186" s="146" t="str">
        <f t="shared" ca="1" si="74"/>
        <v>-</v>
      </c>
      <c r="P186" s="147" t="s">
        <v>249</v>
      </c>
      <c r="Q186" s="148">
        <v>91338</v>
      </c>
      <c r="R186" s="149" t="str">
        <f t="shared" ca="1" si="88"/>
        <v>(abra o arquivo 'Referência 05-2024.xls)</v>
      </c>
      <c r="S186" s="150" t="str">
        <f t="shared" ca="1" si="89"/>
        <v>-</v>
      </c>
      <c r="T186" s="151">
        <f ca="1">OFFSET(CÁLCULO!H$15,ROW($T186)-ROW(T$15),0)</f>
        <v>6.93</v>
      </c>
      <c r="U186" s="152">
        <f t="shared" ca="1" si="87"/>
        <v>0</v>
      </c>
      <c r="V186" s="153" t="s">
        <v>158</v>
      </c>
      <c r="W186" s="151">
        <f t="shared" ca="1" si="75"/>
        <v>0</v>
      </c>
      <c r="X186" s="154">
        <f t="shared" ca="1" si="76"/>
        <v>0</v>
      </c>
      <c r="Y186" s="155" t="s">
        <v>583</v>
      </c>
      <c r="Z186" t="str">
        <f t="shared" ca="1" si="77"/>
        <v/>
      </c>
      <c r="AA186" s="156">
        <f ca="1">IF($C186="S",IF($Z186="CP",$X186,IF($Z186="RA",(($X186)*QCI!$AA$3),0)),SomaAgrup)</f>
        <v>0</v>
      </c>
      <c r="AB186" s="157">
        <f t="shared" ca="1" si="78"/>
        <v>0</v>
      </c>
      <c r="AC186" s="158" t="str">
        <f t="shared" ca="1" si="79"/>
        <v/>
      </c>
      <c r="AD186" s="104" t="str">
        <f ca="1">IF(C186&lt;=CRONO.NivelExibicao,MAX($AD$15:OFFSET(AD186,-1,0))+IF($C186&lt;&gt;1,1,MAX(1,COUNTIF(QCI!$A$13:$A$24,OFFSET($E186,-1,0)))),"")</f>
        <v/>
      </c>
      <c r="AE186" s="114" t="str">
        <f t="shared" ca="1" si="80"/>
        <v>SINAPI 91338</v>
      </c>
      <c r="AF186" s="159" t="str">
        <f t="shared" ca="1" si="81"/>
        <v>(abra o arquivo 'Referência 05-2024.xls)</v>
      </c>
      <c r="AG186" s="579">
        <f t="shared" ca="1" si="82"/>
        <v>0</v>
      </c>
      <c r="AH186" s="580">
        <f t="shared" ca="1" si="83"/>
        <v>0.22470000000000001</v>
      </c>
      <c r="AJ186" s="582">
        <v>6.93</v>
      </c>
      <c r="AL186" s="612"/>
      <c r="AM186" s="430">
        <f t="shared" ca="1" si="84"/>
        <v>0</v>
      </c>
      <c r="AN186" s="655">
        <f t="shared" ca="1" si="85"/>
        <v>0</v>
      </c>
    </row>
    <row r="187" spans="1:40" ht="13.8" x14ac:dyDescent="0.3">
      <c r="A187" t="str">
        <f t="shared" si="64"/>
        <v>S</v>
      </c>
      <c r="B187">
        <f t="shared" ca="1" si="65"/>
        <v>3</v>
      </c>
      <c r="C187" t="str">
        <f t="shared" ca="1" si="66"/>
        <v>S</v>
      </c>
      <c r="D187">
        <f t="shared" ca="1" si="67"/>
        <v>0</v>
      </c>
      <c r="E187">
        <f ca="1">IF($C187=1,OFFSET(E187,-1,0)+MAX(1,COUNTIF(QCI!$A$13:$A$24,OFFSET(ORÇAMENTO!E187,-1,0))),OFFSET(E187,-1,0))</f>
        <v>1</v>
      </c>
      <c r="F187">
        <f t="shared" ca="1" si="68"/>
        <v>6</v>
      </c>
      <c r="G187">
        <f t="shared" ca="1" si="69"/>
        <v>3</v>
      </c>
      <c r="H187">
        <f t="shared" ca="1" si="70"/>
        <v>0</v>
      </c>
      <c r="I187">
        <f t="shared" ca="1" si="71"/>
        <v>0</v>
      </c>
      <c r="J187">
        <f t="shared" ca="1" si="86"/>
        <v>0</v>
      </c>
      <c r="K187">
        <f ca="1">IF(OR($C187="S",$C187=0),0,MATCH(OFFSET($D187,0,$C187)+IF($C187&lt;&gt;1,1,COUNTIF(QCI!$A$13:$A$24,ORÇAMENTO!E187)),OFFSET($D187,1,$C187,ROW($C$710)-ROW($C187)),0))</f>
        <v>0</v>
      </c>
      <c r="L187" s="143" t="str">
        <f t="shared" ca="1" si="72"/>
        <v/>
      </c>
      <c r="M187" s="144" t="s">
        <v>201</v>
      </c>
      <c r="N187" s="145" t="str">
        <f t="shared" ca="1" si="73"/>
        <v>Serviço</v>
      </c>
      <c r="O187" s="146" t="str">
        <f t="shared" ca="1" si="74"/>
        <v>-</v>
      </c>
      <c r="P187" s="147" t="s">
        <v>249</v>
      </c>
      <c r="Q187" s="148">
        <v>100702</v>
      </c>
      <c r="R187" s="149" t="str">
        <f t="shared" ca="1" si="88"/>
        <v>(abra o arquivo 'Referência 05-2024.xls)</v>
      </c>
      <c r="S187" s="150" t="str">
        <f t="shared" ca="1" si="89"/>
        <v>-</v>
      </c>
      <c r="T187" s="151">
        <f ca="1">OFFSET(CÁLCULO!H$15,ROW($T187)-ROW(T$15),0)</f>
        <v>38.76</v>
      </c>
      <c r="U187" s="152">
        <f t="shared" ca="1" si="87"/>
        <v>0</v>
      </c>
      <c r="V187" s="153" t="s">
        <v>158</v>
      </c>
      <c r="W187" s="151">
        <f t="shared" ca="1" si="75"/>
        <v>0</v>
      </c>
      <c r="X187" s="154">
        <f t="shared" ca="1" si="76"/>
        <v>0</v>
      </c>
      <c r="Y187" s="155" t="s">
        <v>583</v>
      </c>
      <c r="Z187" t="str">
        <f t="shared" ca="1" si="77"/>
        <v/>
      </c>
      <c r="AA187" s="156">
        <f ca="1">IF($C187="S",IF($Z187="CP",$X187,IF($Z187="RA",(($X187)*QCI!$AA$3),0)),SomaAgrup)</f>
        <v>0</v>
      </c>
      <c r="AB187" s="157">
        <f t="shared" ca="1" si="78"/>
        <v>0</v>
      </c>
      <c r="AC187" s="158" t="str">
        <f t="shared" ca="1" si="79"/>
        <v/>
      </c>
      <c r="AD187" s="104" t="str">
        <f ca="1">IF(C187&lt;=CRONO.NivelExibicao,MAX($AD$15:OFFSET(AD187,-1,0))+IF($C187&lt;&gt;1,1,MAX(1,COUNTIF(QCI!$A$13:$A$24,OFFSET($E187,-1,0)))),"")</f>
        <v/>
      </c>
      <c r="AE187" s="114" t="str">
        <f t="shared" ca="1" si="80"/>
        <v>SINAPI 100702</v>
      </c>
      <c r="AF187" s="159" t="str">
        <f t="shared" ca="1" si="81"/>
        <v>(abra o arquivo 'Referência 05-2024.xls)</v>
      </c>
      <c r="AG187" s="579">
        <f t="shared" ca="1" si="82"/>
        <v>0</v>
      </c>
      <c r="AH187" s="580">
        <f t="shared" ca="1" si="83"/>
        <v>0.22470000000000001</v>
      </c>
      <c r="AJ187" s="582">
        <v>38.76</v>
      </c>
      <c r="AL187" s="612"/>
      <c r="AM187" s="430">
        <f t="shared" ca="1" si="84"/>
        <v>0</v>
      </c>
      <c r="AN187" s="655">
        <f t="shared" ca="1" si="85"/>
        <v>0</v>
      </c>
    </row>
    <row r="188" spans="1:40" ht="13.8" x14ac:dyDescent="0.3">
      <c r="A188" t="str">
        <f t="shared" si="64"/>
        <v>S</v>
      </c>
      <c r="B188">
        <f t="shared" ca="1" si="65"/>
        <v>3</v>
      </c>
      <c r="C188" t="str">
        <f t="shared" ca="1" si="66"/>
        <v>S</v>
      </c>
      <c r="D188">
        <f t="shared" ca="1" si="67"/>
        <v>0</v>
      </c>
      <c r="E188">
        <f ca="1">IF($C188=1,OFFSET(E188,-1,0)+MAX(1,COUNTIF(QCI!$A$13:$A$24,OFFSET(ORÇAMENTO!E188,-1,0))),OFFSET(E188,-1,0))</f>
        <v>1</v>
      </c>
      <c r="F188">
        <f t="shared" ca="1" si="68"/>
        <v>6</v>
      </c>
      <c r="G188">
        <f t="shared" ca="1" si="69"/>
        <v>3</v>
      </c>
      <c r="H188">
        <f t="shared" ca="1" si="70"/>
        <v>0</v>
      </c>
      <c r="I188">
        <f t="shared" ca="1" si="71"/>
        <v>0</v>
      </c>
      <c r="J188">
        <f t="shared" ca="1" si="86"/>
        <v>0</v>
      </c>
      <c r="K188">
        <f ca="1">IF(OR($C188="S",$C188=0),0,MATCH(OFFSET($D188,0,$C188)+IF($C188&lt;&gt;1,1,COUNTIF(QCI!$A$13:$A$24,ORÇAMENTO!E188)),OFFSET($D188,1,$C188,ROW($C$710)-ROW($C188)),0))</f>
        <v>0</v>
      </c>
      <c r="L188" s="143" t="str">
        <f t="shared" ca="1" si="72"/>
        <v/>
      </c>
      <c r="M188" s="144" t="s">
        <v>201</v>
      </c>
      <c r="N188" s="145" t="str">
        <f t="shared" ca="1" si="73"/>
        <v>Serviço</v>
      </c>
      <c r="O188" s="146" t="str">
        <f t="shared" ca="1" si="74"/>
        <v>-</v>
      </c>
      <c r="P188" s="147" t="s">
        <v>249</v>
      </c>
      <c r="Q188" s="148">
        <v>100702</v>
      </c>
      <c r="R188" s="149" t="str">
        <f t="shared" ca="1" si="88"/>
        <v>(abra o arquivo 'Referência 05-2024.xls)</v>
      </c>
      <c r="S188" s="150" t="str">
        <f t="shared" ca="1" si="89"/>
        <v>-</v>
      </c>
      <c r="T188" s="151">
        <f ca="1">OFFSET(CÁLCULO!H$15,ROW($T188)-ROW(T$15),0)</f>
        <v>35.909999999999997</v>
      </c>
      <c r="U188" s="152">
        <f t="shared" ca="1" si="87"/>
        <v>0</v>
      </c>
      <c r="V188" s="153" t="s">
        <v>158</v>
      </c>
      <c r="W188" s="151">
        <f t="shared" ca="1" si="75"/>
        <v>0</v>
      </c>
      <c r="X188" s="154">
        <f t="shared" ca="1" si="76"/>
        <v>0</v>
      </c>
      <c r="Y188" s="155" t="s">
        <v>583</v>
      </c>
      <c r="Z188" t="str">
        <f t="shared" ca="1" si="77"/>
        <v/>
      </c>
      <c r="AA188" s="156">
        <f ca="1">IF($C188="S",IF($Z188="CP",$X188,IF($Z188="RA",(($X188)*QCI!$AA$3),0)),SomaAgrup)</f>
        <v>0</v>
      </c>
      <c r="AB188" s="157">
        <f t="shared" ca="1" si="78"/>
        <v>0</v>
      </c>
      <c r="AC188" s="158" t="str">
        <f t="shared" ca="1" si="79"/>
        <v/>
      </c>
      <c r="AD188" s="104" t="str">
        <f ca="1">IF(C188&lt;=CRONO.NivelExibicao,MAX($AD$15:OFFSET(AD188,-1,0))+IF($C188&lt;&gt;1,1,MAX(1,COUNTIF(QCI!$A$13:$A$24,OFFSET($E188,-1,0)))),"")</f>
        <v/>
      </c>
      <c r="AE188" s="114" t="str">
        <f t="shared" ca="1" si="80"/>
        <v>SINAPI 100702</v>
      </c>
      <c r="AF188" s="159" t="str">
        <f t="shared" ca="1" si="81"/>
        <v>(abra o arquivo 'Referência 05-2024.xls)</v>
      </c>
      <c r="AG188" s="579">
        <f t="shared" ca="1" si="82"/>
        <v>0</v>
      </c>
      <c r="AH188" s="580">
        <f t="shared" ca="1" si="83"/>
        <v>0.22470000000000001</v>
      </c>
      <c r="AJ188" s="582">
        <v>35.909999999999997</v>
      </c>
      <c r="AL188" s="612"/>
      <c r="AM188" s="430">
        <f t="shared" ca="1" si="84"/>
        <v>0</v>
      </c>
      <c r="AN188" s="655">
        <f t="shared" ca="1" si="85"/>
        <v>0</v>
      </c>
    </row>
    <row r="189" spans="1:40" ht="13.8" x14ac:dyDescent="0.3">
      <c r="A189" t="str">
        <f t="shared" si="64"/>
        <v>S</v>
      </c>
      <c r="B189">
        <f t="shared" ca="1" si="65"/>
        <v>3</v>
      </c>
      <c r="C189" t="str">
        <f t="shared" ca="1" si="66"/>
        <v>S</v>
      </c>
      <c r="D189">
        <f t="shared" ca="1" si="67"/>
        <v>0</v>
      </c>
      <c r="E189">
        <f ca="1">IF($C189=1,OFFSET(E189,-1,0)+MAX(1,COUNTIF(QCI!$A$13:$A$24,OFFSET(ORÇAMENTO!E189,-1,0))),OFFSET(E189,-1,0))</f>
        <v>1</v>
      </c>
      <c r="F189">
        <f t="shared" ca="1" si="68"/>
        <v>6</v>
      </c>
      <c r="G189">
        <f t="shared" ca="1" si="69"/>
        <v>3</v>
      </c>
      <c r="H189">
        <f t="shared" ca="1" si="70"/>
        <v>0</v>
      </c>
      <c r="I189">
        <f t="shared" ca="1" si="71"/>
        <v>0</v>
      </c>
      <c r="J189">
        <f t="shared" ca="1" si="86"/>
        <v>0</v>
      </c>
      <c r="K189">
        <f ca="1">IF(OR($C189="S",$C189=0),0,MATCH(OFFSET($D189,0,$C189)+IF($C189&lt;&gt;1,1,COUNTIF(QCI!$A$13:$A$24,ORÇAMENTO!E189)),OFFSET($D189,1,$C189,ROW($C$710)-ROW($C189)),0))</f>
        <v>0</v>
      </c>
      <c r="L189" s="143" t="str">
        <f t="shared" ca="1" si="72"/>
        <v/>
      </c>
      <c r="M189" s="144" t="s">
        <v>201</v>
      </c>
      <c r="N189" s="145" t="str">
        <f t="shared" ca="1" si="73"/>
        <v>Serviço</v>
      </c>
      <c r="O189" s="146" t="str">
        <f t="shared" ca="1" si="74"/>
        <v>-</v>
      </c>
      <c r="P189" s="147" t="s">
        <v>249</v>
      </c>
      <c r="Q189" s="148">
        <v>100702</v>
      </c>
      <c r="R189" s="149" t="str">
        <f t="shared" ca="1" si="88"/>
        <v>(abra o arquivo 'Referência 05-2024.xls)</v>
      </c>
      <c r="S189" s="150" t="str">
        <f t="shared" ca="1" si="89"/>
        <v>-</v>
      </c>
      <c r="T189" s="151">
        <f ca="1">OFFSET(CÁLCULO!H$15,ROW($T189)-ROW(T$15),0)</f>
        <v>5.99</v>
      </c>
      <c r="U189" s="152">
        <f t="shared" ca="1" si="87"/>
        <v>0</v>
      </c>
      <c r="V189" s="153" t="s">
        <v>158</v>
      </c>
      <c r="W189" s="151">
        <f t="shared" ca="1" si="75"/>
        <v>0</v>
      </c>
      <c r="X189" s="154">
        <f t="shared" ca="1" si="76"/>
        <v>0</v>
      </c>
      <c r="Y189" s="155" t="s">
        <v>583</v>
      </c>
      <c r="Z189" t="str">
        <f t="shared" ca="1" si="77"/>
        <v/>
      </c>
      <c r="AA189" s="156">
        <f ca="1">IF($C189="S",IF($Z189="CP",$X189,IF($Z189="RA",(($X189)*QCI!$AA$3),0)),SomaAgrup)</f>
        <v>0</v>
      </c>
      <c r="AB189" s="157">
        <f t="shared" ca="1" si="78"/>
        <v>0</v>
      </c>
      <c r="AC189" s="158" t="str">
        <f t="shared" ca="1" si="79"/>
        <v/>
      </c>
      <c r="AD189" s="104" t="str">
        <f ca="1">IF(C189&lt;=CRONO.NivelExibicao,MAX($AD$15:OFFSET(AD189,-1,0))+IF($C189&lt;&gt;1,1,MAX(1,COUNTIF(QCI!$A$13:$A$24,OFFSET($E189,-1,0)))),"")</f>
        <v/>
      </c>
      <c r="AE189" s="114" t="str">
        <f t="shared" ca="1" si="80"/>
        <v>SINAPI 100702</v>
      </c>
      <c r="AF189" s="159" t="str">
        <f t="shared" ca="1" si="81"/>
        <v>(abra o arquivo 'Referência 05-2024.xls)</v>
      </c>
      <c r="AG189" s="579">
        <f t="shared" ca="1" si="82"/>
        <v>0</v>
      </c>
      <c r="AH189" s="580">
        <f t="shared" ca="1" si="83"/>
        <v>0.22470000000000001</v>
      </c>
      <c r="AJ189" s="582">
        <v>5.99</v>
      </c>
      <c r="AL189" s="612"/>
      <c r="AM189" s="430">
        <f t="shared" ca="1" si="84"/>
        <v>0</v>
      </c>
      <c r="AN189" s="655">
        <f t="shared" ca="1" si="85"/>
        <v>0</v>
      </c>
    </row>
    <row r="190" spans="1:40" ht="13.8" x14ac:dyDescent="0.3">
      <c r="A190" t="str">
        <f t="shared" si="64"/>
        <v>S</v>
      </c>
      <c r="B190">
        <f t="shared" ca="1" si="65"/>
        <v>3</v>
      </c>
      <c r="C190" t="str">
        <f t="shared" ca="1" si="66"/>
        <v>S</v>
      </c>
      <c r="D190">
        <f t="shared" ca="1" si="67"/>
        <v>0</v>
      </c>
      <c r="E190">
        <f ca="1">IF($C190=1,OFFSET(E190,-1,0)+MAX(1,COUNTIF(QCI!$A$13:$A$24,OFFSET(ORÇAMENTO!E190,-1,0))),OFFSET(E190,-1,0))</f>
        <v>1</v>
      </c>
      <c r="F190">
        <f t="shared" ca="1" si="68"/>
        <v>6</v>
      </c>
      <c r="G190">
        <f t="shared" ca="1" si="69"/>
        <v>3</v>
      </c>
      <c r="H190">
        <f t="shared" ca="1" si="70"/>
        <v>0</v>
      </c>
      <c r="I190">
        <f t="shared" ca="1" si="71"/>
        <v>0</v>
      </c>
      <c r="J190">
        <f t="shared" ca="1" si="86"/>
        <v>0</v>
      </c>
      <c r="K190">
        <f ca="1">IF(OR($C190="S",$C190=0),0,MATCH(OFFSET($D190,0,$C190)+IF($C190&lt;&gt;1,1,COUNTIF(QCI!$A$13:$A$24,ORÇAMENTO!E190)),OFFSET($D190,1,$C190,ROW($C$710)-ROW($C190)),0))</f>
        <v>0</v>
      </c>
      <c r="L190" s="143" t="str">
        <f t="shared" ca="1" si="72"/>
        <v/>
      </c>
      <c r="M190" s="144" t="s">
        <v>201</v>
      </c>
      <c r="N190" s="145" t="str">
        <f t="shared" ca="1" si="73"/>
        <v>Serviço</v>
      </c>
      <c r="O190" s="146" t="str">
        <f t="shared" ca="1" si="74"/>
        <v>-</v>
      </c>
      <c r="P190" s="147" t="s">
        <v>249</v>
      </c>
      <c r="Q190" s="148">
        <v>91341</v>
      </c>
      <c r="R190" s="149" t="str">
        <f t="shared" ca="1" si="88"/>
        <v>(abra o arquivo 'Referência 05-2024.xls)</v>
      </c>
      <c r="S190" s="150" t="str">
        <f t="shared" ca="1" si="89"/>
        <v>-</v>
      </c>
      <c r="T190" s="151">
        <f ca="1">OFFSET(CÁLCULO!H$15,ROW($T190)-ROW(T$15),0)</f>
        <v>3.3</v>
      </c>
      <c r="U190" s="152">
        <f t="shared" ca="1" si="87"/>
        <v>0</v>
      </c>
      <c r="V190" s="153" t="s">
        <v>158</v>
      </c>
      <c r="W190" s="151">
        <f t="shared" ca="1" si="75"/>
        <v>0</v>
      </c>
      <c r="X190" s="154">
        <f t="shared" ca="1" si="76"/>
        <v>0</v>
      </c>
      <c r="Y190" s="155" t="s">
        <v>583</v>
      </c>
      <c r="Z190" t="str">
        <f t="shared" ca="1" si="77"/>
        <v/>
      </c>
      <c r="AA190" s="156">
        <f ca="1">IF($C190="S",IF($Z190="CP",$X190,IF($Z190="RA",(($X190)*QCI!$AA$3),0)),SomaAgrup)</f>
        <v>0</v>
      </c>
      <c r="AB190" s="157">
        <f t="shared" ca="1" si="78"/>
        <v>0</v>
      </c>
      <c r="AC190" s="158" t="str">
        <f t="shared" ca="1" si="79"/>
        <v/>
      </c>
      <c r="AD190" s="104" t="str">
        <f ca="1">IF(C190&lt;=CRONO.NivelExibicao,MAX($AD$15:OFFSET(AD190,-1,0))+IF($C190&lt;&gt;1,1,MAX(1,COUNTIF(QCI!$A$13:$A$24,OFFSET($E190,-1,0)))),"")</f>
        <v/>
      </c>
      <c r="AE190" s="114" t="str">
        <f t="shared" ca="1" si="80"/>
        <v>SINAPI 91341</v>
      </c>
      <c r="AF190" s="159" t="str">
        <f t="shared" ca="1" si="81"/>
        <v>(abra o arquivo 'Referência 05-2024.xls)</v>
      </c>
      <c r="AG190" s="579">
        <f t="shared" ca="1" si="82"/>
        <v>0</v>
      </c>
      <c r="AH190" s="580">
        <f t="shared" ca="1" si="83"/>
        <v>0.22470000000000001</v>
      </c>
      <c r="AJ190" s="582">
        <v>3.3</v>
      </c>
      <c r="AL190" s="612"/>
      <c r="AM190" s="430">
        <f t="shared" ca="1" si="84"/>
        <v>0</v>
      </c>
      <c r="AN190" s="655">
        <f t="shared" ca="1" si="85"/>
        <v>0</v>
      </c>
    </row>
    <row r="191" spans="1:40" ht="13.8" x14ac:dyDescent="0.3">
      <c r="A191" t="str">
        <f t="shared" si="64"/>
        <v>S</v>
      </c>
      <c r="B191">
        <f t="shared" ca="1" si="65"/>
        <v>3</v>
      </c>
      <c r="C191" t="str">
        <f t="shared" ca="1" si="66"/>
        <v>S</v>
      </c>
      <c r="D191">
        <f t="shared" ca="1" si="67"/>
        <v>0</v>
      </c>
      <c r="E191">
        <f ca="1">IF($C191=1,OFFSET(E191,-1,0)+MAX(1,COUNTIF(QCI!$A$13:$A$24,OFFSET(ORÇAMENTO!E191,-1,0))),OFFSET(E191,-1,0))</f>
        <v>1</v>
      </c>
      <c r="F191">
        <f t="shared" ca="1" si="68"/>
        <v>6</v>
      </c>
      <c r="G191">
        <f t="shared" ca="1" si="69"/>
        <v>3</v>
      </c>
      <c r="H191">
        <f t="shared" ca="1" si="70"/>
        <v>0</v>
      </c>
      <c r="I191">
        <f t="shared" ca="1" si="71"/>
        <v>0</v>
      </c>
      <c r="J191">
        <f t="shared" ca="1" si="86"/>
        <v>0</v>
      </c>
      <c r="K191">
        <f ca="1">IF(OR($C191="S",$C191=0),0,MATCH(OFFSET($D191,0,$C191)+IF($C191&lt;&gt;1,1,COUNTIF(QCI!$A$13:$A$24,ORÇAMENTO!E191)),OFFSET($D191,1,$C191,ROW($C$710)-ROW($C191)),0))</f>
        <v>0</v>
      </c>
      <c r="L191" s="143" t="str">
        <f t="shared" ca="1" si="72"/>
        <v/>
      </c>
      <c r="M191" s="144" t="s">
        <v>201</v>
      </c>
      <c r="N191" s="145" t="str">
        <f t="shared" ca="1" si="73"/>
        <v>Serviço</v>
      </c>
      <c r="O191" s="146" t="str">
        <f t="shared" ca="1" si="74"/>
        <v>-</v>
      </c>
      <c r="P191" s="147" t="s">
        <v>249</v>
      </c>
      <c r="Q191" s="148">
        <v>91341</v>
      </c>
      <c r="R191" s="149" t="str">
        <f t="shared" ca="1" si="88"/>
        <v>(abra o arquivo 'Referência 05-2024.xls)</v>
      </c>
      <c r="S191" s="150" t="str">
        <f t="shared" ca="1" si="89"/>
        <v>-</v>
      </c>
      <c r="T191" s="151">
        <f ca="1">OFFSET(CÁLCULO!H$15,ROW($T191)-ROW(T$15),0)</f>
        <v>5.52</v>
      </c>
      <c r="U191" s="152">
        <f t="shared" ca="1" si="87"/>
        <v>0</v>
      </c>
      <c r="V191" s="153" t="s">
        <v>158</v>
      </c>
      <c r="W191" s="151">
        <f t="shared" ca="1" si="75"/>
        <v>0</v>
      </c>
      <c r="X191" s="154">
        <f t="shared" ca="1" si="76"/>
        <v>0</v>
      </c>
      <c r="Y191" s="155" t="s">
        <v>583</v>
      </c>
      <c r="Z191" t="str">
        <f t="shared" ca="1" si="77"/>
        <v/>
      </c>
      <c r="AA191" s="156">
        <f ca="1">IF($C191="S",IF($Z191="CP",$X191,IF($Z191="RA",(($X191)*QCI!$AA$3),0)),SomaAgrup)</f>
        <v>0</v>
      </c>
      <c r="AB191" s="157">
        <f t="shared" ca="1" si="78"/>
        <v>0</v>
      </c>
      <c r="AC191" s="158" t="str">
        <f t="shared" ca="1" si="79"/>
        <v/>
      </c>
      <c r="AD191" s="104" t="str">
        <f ca="1">IF(C191&lt;=CRONO.NivelExibicao,MAX($AD$15:OFFSET(AD191,-1,0))+IF($C191&lt;&gt;1,1,MAX(1,COUNTIF(QCI!$A$13:$A$24,OFFSET($E191,-1,0)))),"")</f>
        <v/>
      </c>
      <c r="AE191" s="114" t="str">
        <f t="shared" ca="1" si="80"/>
        <v>SINAPI 91341</v>
      </c>
      <c r="AF191" s="159" t="str">
        <f t="shared" ca="1" si="81"/>
        <v>(abra o arquivo 'Referência 05-2024.xls)</v>
      </c>
      <c r="AG191" s="579">
        <f t="shared" ca="1" si="82"/>
        <v>0</v>
      </c>
      <c r="AH191" s="580">
        <f t="shared" ca="1" si="83"/>
        <v>0.22470000000000001</v>
      </c>
      <c r="AJ191" s="582">
        <v>5.52</v>
      </c>
      <c r="AL191" s="612"/>
      <c r="AM191" s="430">
        <f t="shared" ca="1" si="84"/>
        <v>0</v>
      </c>
      <c r="AN191" s="655">
        <f t="shared" ca="1" si="85"/>
        <v>0</v>
      </c>
    </row>
    <row r="192" spans="1:40" ht="13.8" x14ac:dyDescent="0.3">
      <c r="A192" t="str">
        <f t="shared" si="64"/>
        <v>S</v>
      </c>
      <c r="B192">
        <f t="shared" ca="1" si="65"/>
        <v>3</v>
      </c>
      <c r="C192" t="str">
        <f t="shared" ca="1" si="66"/>
        <v>S</v>
      </c>
      <c r="D192">
        <f t="shared" ca="1" si="67"/>
        <v>0</v>
      </c>
      <c r="E192">
        <f ca="1">IF($C192=1,OFFSET(E192,-1,0)+MAX(1,COUNTIF(QCI!$A$13:$A$24,OFFSET(ORÇAMENTO!E192,-1,0))),OFFSET(E192,-1,0))</f>
        <v>1</v>
      </c>
      <c r="F192">
        <f t="shared" ca="1" si="68"/>
        <v>6</v>
      </c>
      <c r="G192">
        <f t="shared" ca="1" si="69"/>
        <v>3</v>
      </c>
      <c r="H192">
        <f t="shared" ca="1" si="70"/>
        <v>0</v>
      </c>
      <c r="I192">
        <f t="shared" ca="1" si="71"/>
        <v>0</v>
      </c>
      <c r="J192">
        <f t="shared" ca="1" si="86"/>
        <v>0</v>
      </c>
      <c r="K192">
        <f ca="1">IF(OR($C192="S",$C192=0),0,MATCH(OFFSET($D192,0,$C192)+IF($C192&lt;&gt;1,1,COUNTIF(QCI!$A$13:$A$24,ORÇAMENTO!E192)),OFFSET($D192,1,$C192,ROW($C$710)-ROW($C192)),0))</f>
        <v>0</v>
      </c>
      <c r="L192" s="143" t="str">
        <f t="shared" ca="1" si="72"/>
        <v/>
      </c>
      <c r="M192" s="144" t="s">
        <v>201</v>
      </c>
      <c r="N192" s="145" t="str">
        <f t="shared" ca="1" si="73"/>
        <v>Serviço</v>
      </c>
      <c r="O192" s="146" t="str">
        <f t="shared" ca="1" si="74"/>
        <v>-</v>
      </c>
      <c r="P192" s="147" t="s">
        <v>249</v>
      </c>
      <c r="Q192" s="148">
        <v>91341</v>
      </c>
      <c r="R192" s="149" t="str">
        <f t="shared" ca="1" si="88"/>
        <v>(abra o arquivo 'Referência 05-2024.xls)</v>
      </c>
      <c r="S192" s="150" t="str">
        <f t="shared" ca="1" si="89"/>
        <v>-</v>
      </c>
      <c r="T192" s="151">
        <f ca="1">OFFSET(CÁLCULO!H$15,ROW($T192)-ROW(T$15),0)</f>
        <v>4.08</v>
      </c>
      <c r="U192" s="152">
        <f t="shared" ca="1" si="87"/>
        <v>0</v>
      </c>
      <c r="V192" s="153" t="s">
        <v>158</v>
      </c>
      <c r="W192" s="151">
        <f t="shared" ca="1" si="75"/>
        <v>0</v>
      </c>
      <c r="X192" s="154">
        <f t="shared" ca="1" si="76"/>
        <v>0</v>
      </c>
      <c r="Y192" s="155" t="s">
        <v>583</v>
      </c>
      <c r="Z192" t="str">
        <f t="shared" ca="1" si="77"/>
        <v/>
      </c>
      <c r="AA192" s="156">
        <f ca="1">IF($C192="S",IF($Z192="CP",$X192,IF($Z192="RA",(($X192)*QCI!$AA$3),0)),SomaAgrup)</f>
        <v>0</v>
      </c>
      <c r="AB192" s="157">
        <f t="shared" ca="1" si="78"/>
        <v>0</v>
      </c>
      <c r="AC192" s="158" t="str">
        <f t="shared" ca="1" si="79"/>
        <v/>
      </c>
      <c r="AD192" s="104" t="str">
        <f ca="1">IF(C192&lt;=CRONO.NivelExibicao,MAX($AD$15:OFFSET(AD192,-1,0))+IF($C192&lt;&gt;1,1,MAX(1,COUNTIF(QCI!$A$13:$A$24,OFFSET($E192,-1,0)))),"")</f>
        <v/>
      </c>
      <c r="AE192" s="114" t="str">
        <f t="shared" ca="1" si="80"/>
        <v>SINAPI 91341</v>
      </c>
      <c r="AF192" s="159" t="str">
        <f t="shared" ca="1" si="81"/>
        <v>(abra o arquivo 'Referência 05-2024.xls)</v>
      </c>
      <c r="AG192" s="579">
        <f t="shared" ca="1" si="82"/>
        <v>0</v>
      </c>
      <c r="AH192" s="580">
        <f t="shared" ca="1" si="83"/>
        <v>0.22470000000000001</v>
      </c>
      <c r="AJ192" s="582">
        <v>4.08</v>
      </c>
      <c r="AL192" s="612"/>
      <c r="AM192" s="430">
        <f t="shared" ca="1" si="84"/>
        <v>0</v>
      </c>
      <c r="AN192" s="655">
        <f t="shared" ca="1" si="85"/>
        <v>0</v>
      </c>
    </row>
    <row r="193" spans="1:40" ht="13.8" x14ac:dyDescent="0.3">
      <c r="A193">
        <f t="shared" si="64"/>
        <v>3</v>
      </c>
      <c r="B193">
        <f t="shared" ca="1" si="65"/>
        <v>3</v>
      </c>
      <c r="C193">
        <f t="shared" ca="1" si="66"/>
        <v>3</v>
      </c>
      <c r="D193">
        <f t="shared" ca="1" si="67"/>
        <v>17</v>
      </c>
      <c r="E193">
        <f ca="1">IF($C193=1,OFFSET(E193,-1,0)+MAX(1,COUNTIF(QCI!$A$13:$A$24,OFFSET(ORÇAMENTO!E193,-1,0))),OFFSET(E193,-1,0))</f>
        <v>1</v>
      </c>
      <c r="F193">
        <f t="shared" ca="1" si="68"/>
        <v>6</v>
      </c>
      <c r="G193">
        <f t="shared" ca="1" si="69"/>
        <v>4</v>
      </c>
      <c r="H193">
        <f t="shared" ca="1" si="70"/>
        <v>0</v>
      </c>
      <c r="I193">
        <f t="shared" ca="1" si="71"/>
        <v>0</v>
      </c>
      <c r="J193">
        <f t="shared" ca="1" si="86"/>
        <v>26</v>
      </c>
      <c r="K193">
        <f ca="1">IF(OR($C193="S",$C193=0),0,MATCH(OFFSET($D193,0,$C193)+IF($C193&lt;&gt;1,1,COUNTIF(QCI!$A$13:$A$24,ORÇAMENTO!E193)),OFFSET($D193,1,$C193,ROW($C$710)-ROW($C193)),0))</f>
        <v>17</v>
      </c>
      <c r="L193" s="143" t="str">
        <f t="shared" ca="1" si="72"/>
        <v>F</v>
      </c>
      <c r="M193" s="144" t="s">
        <v>199</v>
      </c>
      <c r="N193" s="145" t="str">
        <f t="shared" ca="1" si="73"/>
        <v>Nível 3</v>
      </c>
      <c r="O193" s="146" t="str">
        <f t="shared" ca="1" si="74"/>
        <v>1.6.4.</v>
      </c>
      <c r="P193" s="147" t="s">
        <v>249</v>
      </c>
      <c r="Q193" s="148"/>
      <c r="R193" s="149" t="s">
        <v>512</v>
      </c>
      <c r="S193" s="150" t="s">
        <v>168</v>
      </c>
      <c r="T193" s="151">
        <f ca="1">OFFSET(CÁLCULO!H$15,ROW($T193)-ROW(T$15),0)</f>
        <v>0</v>
      </c>
      <c r="U193" s="152">
        <f t="shared" ca="1" si="87"/>
        <v>0</v>
      </c>
      <c r="V193" s="153" t="s">
        <v>158</v>
      </c>
      <c r="W193" s="151">
        <f t="shared" ca="1" si="75"/>
        <v>0</v>
      </c>
      <c r="X193" s="154">
        <f t="shared" ca="1" si="76"/>
        <v>0</v>
      </c>
      <c r="Y193" s="155" t="s">
        <v>583</v>
      </c>
      <c r="Z193" t="str">
        <f t="shared" ca="1" si="77"/>
        <v/>
      </c>
      <c r="AA193" s="156">
        <f ca="1">IF($C193="S",IF($Z193="CP",$X193,IF($Z193="RA",(($X193)*QCI!$AA$3),0)),SomaAgrup)</f>
        <v>0</v>
      </c>
      <c r="AB193" s="157">
        <f t="shared" ca="1" si="78"/>
        <v>0</v>
      </c>
      <c r="AC193" s="158" t="str">
        <f t="shared" ca="1" si="79"/>
        <v/>
      </c>
      <c r="AD193" s="104" t="str">
        <f ca="1">IF(C193&lt;=CRONO.NivelExibicao,MAX($AD$15:OFFSET(AD193,-1,0))+IF($C193&lt;&gt;1,1,MAX(1,COUNTIF(QCI!$A$13:$A$24,OFFSET($E193,-1,0)))),"")</f>
        <v/>
      </c>
      <c r="AE193" s="114" t="b">
        <f t="shared" ca="1" si="80"/>
        <v>0</v>
      </c>
      <c r="AF193" s="159" t="str">
        <f t="shared" ca="1" si="81"/>
        <v>(abra o arquivo 'Referência 05-2024.xls)</v>
      </c>
      <c r="AG193" s="579">
        <f t="shared" ca="1" si="82"/>
        <v>0</v>
      </c>
      <c r="AH193" s="580">
        <f t="shared" ca="1" si="83"/>
        <v>0.22470000000000001</v>
      </c>
      <c r="AJ193" s="582"/>
      <c r="AL193" s="612"/>
      <c r="AM193" s="430">
        <f t="shared" ca="1" si="84"/>
        <v>0</v>
      </c>
      <c r="AN193" s="655">
        <f t="shared" ca="1" si="85"/>
        <v>0</v>
      </c>
    </row>
    <row r="194" spans="1:40" ht="13.8" x14ac:dyDescent="0.3">
      <c r="A194" t="str">
        <f t="shared" si="64"/>
        <v>S</v>
      </c>
      <c r="B194">
        <f t="shared" ca="1" si="65"/>
        <v>3</v>
      </c>
      <c r="C194" t="str">
        <f t="shared" ca="1" si="66"/>
        <v>S</v>
      </c>
      <c r="D194">
        <f t="shared" ca="1" si="67"/>
        <v>0</v>
      </c>
      <c r="E194">
        <f ca="1">IF($C194=1,OFFSET(E194,-1,0)+MAX(1,COUNTIF(QCI!$A$13:$A$24,OFFSET(ORÇAMENTO!E194,-1,0))),OFFSET(E194,-1,0))</f>
        <v>1</v>
      </c>
      <c r="F194">
        <f t="shared" ca="1" si="68"/>
        <v>6</v>
      </c>
      <c r="G194">
        <f t="shared" ca="1" si="69"/>
        <v>4</v>
      </c>
      <c r="H194">
        <f t="shared" ca="1" si="70"/>
        <v>0</v>
      </c>
      <c r="I194">
        <f t="shared" ca="1" si="71"/>
        <v>0</v>
      </c>
      <c r="J194">
        <f t="shared" ca="1" si="86"/>
        <v>0</v>
      </c>
      <c r="K194">
        <f ca="1">IF(OR($C194="S",$C194=0),0,MATCH(OFFSET($D194,0,$C194)+IF($C194&lt;&gt;1,1,COUNTIF(QCI!$A$13:$A$24,ORÇAMENTO!E194)),OFFSET($D194,1,$C194,ROW($C$710)-ROW($C194)),0))</f>
        <v>0</v>
      </c>
      <c r="L194" s="143" t="str">
        <f t="shared" ca="1" si="72"/>
        <v/>
      </c>
      <c r="M194" s="144" t="s">
        <v>201</v>
      </c>
      <c r="N194" s="145" t="str">
        <f t="shared" ca="1" si="73"/>
        <v>Serviço</v>
      </c>
      <c r="O194" s="146" t="str">
        <f t="shared" ca="1" si="74"/>
        <v>-</v>
      </c>
      <c r="P194" s="147" t="s">
        <v>249</v>
      </c>
      <c r="Q194" s="148">
        <v>94569</v>
      </c>
      <c r="R194" s="149" t="str">
        <f t="shared" ref="R194:R209" ca="1" si="90">IF($C194="S",REFERENCIA.Descricao,"(digite a descrição aqui)")</f>
        <v>(abra o arquivo 'Referência 05-2024.xls)</v>
      </c>
      <c r="S194" s="150" t="str">
        <f t="shared" ref="S194:S209" ca="1" si="91">REFERENCIA.Unidade</f>
        <v>-</v>
      </c>
      <c r="T194" s="151">
        <f ca="1">OFFSET(CÁLCULO!H$15,ROW($T194)-ROW(T$15),0)</f>
        <v>5.46</v>
      </c>
      <c r="U194" s="152">
        <f t="shared" ca="1" si="87"/>
        <v>0</v>
      </c>
      <c r="V194" s="153" t="s">
        <v>158</v>
      </c>
      <c r="W194" s="151">
        <f t="shared" ca="1" si="75"/>
        <v>0</v>
      </c>
      <c r="X194" s="154">
        <f t="shared" ca="1" si="76"/>
        <v>0</v>
      </c>
      <c r="Y194" s="155" t="s">
        <v>583</v>
      </c>
      <c r="Z194" t="str">
        <f t="shared" ca="1" si="77"/>
        <v/>
      </c>
      <c r="AA194" s="156">
        <f ca="1">IF($C194="S",IF($Z194="CP",$X194,IF($Z194="RA",(($X194)*QCI!$AA$3),0)),SomaAgrup)</f>
        <v>0</v>
      </c>
      <c r="AB194" s="157">
        <f t="shared" ca="1" si="78"/>
        <v>0</v>
      </c>
      <c r="AC194" s="158" t="str">
        <f t="shared" ca="1" si="79"/>
        <v/>
      </c>
      <c r="AD194" s="104" t="str">
        <f ca="1">IF(C194&lt;=CRONO.NivelExibicao,MAX($AD$15:OFFSET(AD194,-1,0))+IF($C194&lt;&gt;1,1,MAX(1,COUNTIF(QCI!$A$13:$A$24,OFFSET($E194,-1,0)))),"")</f>
        <v/>
      </c>
      <c r="AE194" s="114" t="str">
        <f t="shared" ca="1" si="80"/>
        <v>SINAPI 94569</v>
      </c>
      <c r="AF194" s="159" t="str">
        <f t="shared" ca="1" si="81"/>
        <v>(abra o arquivo 'Referência 05-2024.xls)</v>
      </c>
      <c r="AG194" s="579">
        <f t="shared" ca="1" si="82"/>
        <v>0</v>
      </c>
      <c r="AH194" s="580">
        <f t="shared" ca="1" si="83"/>
        <v>0.22470000000000001</v>
      </c>
      <c r="AJ194" s="582">
        <v>5.46</v>
      </c>
      <c r="AL194" s="612"/>
      <c r="AM194" s="430">
        <f t="shared" ca="1" si="84"/>
        <v>0</v>
      </c>
      <c r="AN194" s="655">
        <f t="shared" ca="1" si="85"/>
        <v>0</v>
      </c>
    </row>
    <row r="195" spans="1:40" ht="13.8" x14ac:dyDescent="0.3">
      <c r="A195" t="str">
        <f t="shared" si="64"/>
        <v>S</v>
      </c>
      <c r="B195">
        <f t="shared" ca="1" si="65"/>
        <v>3</v>
      </c>
      <c r="C195" t="str">
        <f t="shared" ca="1" si="66"/>
        <v>S</v>
      </c>
      <c r="D195">
        <f t="shared" ca="1" si="67"/>
        <v>0</v>
      </c>
      <c r="E195">
        <f ca="1">IF($C195=1,OFFSET(E195,-1,0)+MAX(1,COUNTIF(QCI!$A$13:$A$24,OFFSET(ORÇAMENTO!E195,-1,0))),OFFSET(E195,-1,0))</f>
        <v>1</v>
      </c>
      <c r="F195">
        <f t="shared" ca="1" si="68"/>
        <v>6</v>
      </c>
      <c r="G195">
        <f t="shared" ca="1" si="69"/>
        <v>4</v>
      </c>
      <c r="H195">
        <f t="shared" ca="1" si="70"/>
        <v>0</v>
      </c>
      <c r="I195">
        <f t="shared" ca="1" si="71"/>
        <v>0</v>
      </c>
      <c r="J195">
        <f t="shared" ca="1" si="86"/>
        <v>0</v>
      </c>
      <c r="K195">
        <f ca="1">IF(OR($C195="S",$C195=0),0,MATCH(OFFSET($D195,0,$C195)+IF($C195&lt;&gt;1,1,COUNTIF(QCI!$A$13:$A$24,ORÇAMENTO!E195)),OFFSET($D195,1,$C195,ROW($C$710)-ROW($C195)),0))</f>
        <v>0</v>
      </c>
      <c r="L195" s="143" t="str">
        <f t="shared" ca="1" si="72"/>
        <v/>
      </c>
      <c r="M195" s="144" t="s">
        <v>201</v>
      </c>
      <c r="N195" s="145" t="str">
        <f t="shared" ca="1" si="73"/>
        <v>Serviço</v>
      </c>
      <c r="O195" s="146" t="str">
        <f t="shared" ca="1" si="74"/>
        <v>-</v>
      </c>
      <c r="P195" s="147" t="s">
        <v>249</v>
      </c>
      <c r="Q195" s="148">
        <v>94570</v>
      </c>
      <c r="R195" s="149" t="str">
        <f t="shared" ca="1" si="90"/>
        <v>(abra o arquivo 'Referência 05-2024.xls)</v>
      </c>
      <c r="S195" s="150" t="str">
        <f t="shared" ca="1" si="91"/>
        <v>-</v>
      </c>
      <c r="T195" s="151">
        <f ca="1">OFFSET(CÁLCULO!H$15,ROW($T195)-ROW(T$15),0)</f>
        <v>2.1</v>
      </c>
      <c r="U195" s="152">
        <f t="shared" ca="1" si="87"/>
        <v>0</v>
      </c>
      <c r="V195" s="153" t="s">
        <v>158</v>
      </c>
      <c r="W195" s="151">
        <f t="shared" ca="1" si="75"/>
        <v>0</v>
      </c>
      <c r="X195" s="154">
        <f t="shared" ca="1" si="76"/>
        <v>0</v>
      </c>
      <c r="Y195" s="155" t="s">
        <v>583</v>
      </c>
      <c r="Z195" t="str">
        <f t="shared" ca="1" si="77"/>
        <v/>
      </c>
      <c r="AA195" s="156">
        <f ca="1">IF($C195="S",IF($Z195="CP",$X195,IF($Z195="RA",(($X195)*QCI!$AA$3),0)),SomaAgrup)</f>
        <v>0</v>
      </c>
      <c r="AB195" s="157">
        <f t="shared" ca="1" si="78"/>
        <v>0</v>
      </c>
      <c r="AC195" s="158" t="str">
        <f t="shared" ca="1" si="79"/>
        <v/>
      </c>
      <c r="AD195" s="104" t="str">
        <f ca="1">IF(C195&lt;=CRONO.NivelExibicao,MAX($AD$15:OFFSET(AD195,-1,0))+IF($C195&lt;&gt;1,1,MAX(1,COUNTIF(QCI!$A$13:$A$24,OFFSET($E195,-1,0)))),"")</f>
        <v/>
      </c>
      <c r="AE195" s="114" t="str">
        <f t="shared" ca="1" si="80"/>
        <v>SINAPI 94570</v>
      </c>
      <c r="AF195" s="159" t="str">
        <f t="shared" ca="1" si="81"/>
        <v>(abra o arquivo 'Referência 05-2024.xls)</v>
      </c>
      <c r="AG195" s="579">
        <f t="shared" ca="1" si="82"/>
        <v>0</v>
      </c>
      <c r="AH195" s="580">
        <f t="shared" ca="1" si="83"/>
        <v>0.22470000000000001</v>
      </c>
      <c r="AJ195" s="582">
        <v>2.1</v>
      </c>
      <c r="AL195" s="612"/>
      <c r="AM195" s="430">
        <f t="shared" ca="1" si="84"/>
        <v>0</v>
      </c>
      <c r="AN195" s="655">
        <f t="shared" ca="1" si="85"/>
        <v>0</v>
      </c>
    </row>
    <row r="196" spans="1:40" ht="13.8" x14ac:dyDescent="0.3">
      <c r="A196" t="str">
        <f t="shared" si="64"/>
        <v>S</v>
      </c>
      <c r="B196">
        <f t="shared" ca="1" si="65"/>
        <v>3</v>
      </c>
      <c r="C196" t="str">
        <f t="shared" ca="1" si="66"/>
        <v>S</v>
      </c>
      <c r="D196">
        <f t="shared" ca="1" si="67"/>
        <v>0</v>
      </c>
      <c r="E196">
        <f ca="1">IF($C196=1,OFFSET(E196,-1,0)+MAX(1,COUNTIF(QCI!$A$13:$A$24,OFFSET(ORÇAMENTO!E196,-1,0))),OFFSET(E196,-1,0))</f>
        <v>1</v>
      </c>
      <c r="F196">
        <f t="shared" ca="1" si="68"/>
        <v>6</v>
      </c>
      <c r="G196">
        <f t="shared" ca="1" si="69"/>
        <v>4</v>
      </c>
      <c r="H196">
        <f t="shared" ca="1" si="70"/>
        <v>0</v>
      </c>
      <c r="I196">
        <f t="shared" ca="1" si="71"/>
        <v>0</v>
      </c>
      <c r="J196">
        <f t="shared" ca="1" si="86"/>
        <v>0</v>
      </c>
      <c r="K196">
        <f ca="1">IF(OR($C196="S",$C196=0),0,MATCH(OFFSET($D196,0,$C196)+IF($C196&lt;&gt;1,1,COUNTIF(QCI!$A$13:$A$24,ORÇAMENTO!E196)),OFFSET($D196,1,$C196,ROW($C$710)-ROW($C196)),0))</f>
        <v>0</v>
      </c>
      <c r="L196" s="143" t="str">
        <f t="shared" ca="1" si="72"/>
        <v/>
      </c>
      <c r="M196" s="144" t="s">
        <v>201</v>
      </c>
      <c r="N196" s="145" t="str">
        <f t="shared" ca="1" si="73"/>
        <v>Serviço</v>
      </c>
      <c r="O196" s="146" t="str">
        <f t="shared" ca="1" si="74"/>
        <v>-</v>
      </c>
      <c r="P196" s="147" t="s">
        <v>249</v>
      </c>
      <c r="Q196" s="148">
        <v>94570</v>
      </c>
      <c r="R196" s="149" t="str">
        <f t="shared" ca="1" si="90"/>
        <v>(abra o arquivo 'Referência 05-2024.xls)</v>
      </c>
      <c r="S196" s="150" t="str">
        <f t="shared" ca="1" si="91"/>
        <v>-</v>
      </c>
      <c r="T196" s="151">
        <f ca="1">OFFSET(CÁLCULO!H$15,ROW($T196)-ROW(T$15),0)</f>
        <v>5.74</v>
      </c>
      <c r="U196" s="152">
        <f t="shared" ca="1" si="87"/>
        <v>0</v>
      </c>
      <c r="V196" s="153" t="s">
        <v>158</v>
      </c>
      <c r="W196" s="151">
        <f t="shared" ca="1" si="75"/>
        <v>0</v>
      </c>
      <c r="X196" s="154">
        <f t="shared" ca="1" si="76"/>
        <v>0</v>
      </c>
      <c r="Y196" s="155" t="s">
        <v>583</v>
      </c>
      <c r="Z196" t="str">
        <f t="shared" ca="1" si="77"/>
        <v/>
      </c>
      <c r="AA196" s="156">
        <f ca="1">IF($C196="S",IF($Z196="CP",$X196,IF($Z196="RA",(($X196)*QCI!$AA$3),0)),SomaAgrup)</f>
        <v>0</v>
      </c>
      <c r="AB196" s="157">
        <f t="shared" ca="1" si="78"/>
        <v>0</v>
      </c>
      <c r="AC196" s="158" t="str">
        <f t="shared" ca="1" si="79"/>
        <v/>
      </c>
      <c r="AD196" s="104" t="str">
        <f ca="1">IF(C196&lt;=CRONO.NivelExibicao,MAX($AD$15:OFFSET(AD196,-1,0))+IF($C196&lt;&gt;1,1,MAX(1,COUNTIF(QCI!$A$13:$A$24,OFFSET($E196,-1,0)))),"")</f>
        <v/>
      </c>
      <c r="AE196" s="114" t="str">
        <f t="shared" ca="1" si="80"/>
        <v>SINAPI 94570</v>
      </c>
      <c r="AF196" s="159" t="str">
        <f t="shared" ca="1" si="81"/>
        <v>(abra o arquivo 'Referência 05-2024.xls)</v>
      </c>
      <c r="AG196" s="579">
        <f t="shared" ca="1" si="82"/>
        <v>0</v>
      </c>
      <c r="AH196" s="580">
        <f t="shared" ca="1" si="83"/>
        <v>0.22470000000000001</v>
      </c>
      <c r="AJ196" s="582">
        <v>5.74</v>
      </c>
      <c r="AL196" s="612"/>
      <c r="AM196" s="430">
        <f t="shared" ca="1" si="84"/>
        <v>0</v>
      </c>
      <c r="AN196" s="655">
        <f t="shared" ca="1" si="85"/>
        <v>0</v>
      </c>
    </row>
    <row r="197" spans="1:40" ht="13.8" x14ac:dyDescent="0.3">
      <c r="A197" t="str">
        <f t="shared" si="64"/>
        <v>S</v>
      </c>
      <c r="B197">
        <f t="shared" ca="1" si="65"/>
        <v>3</v>
      </c>
      <c r="C197" t="str">
        <f t="shared" ca="1" si="66"/>
        <v>S</v>
      </c>
      <c r="D197">
        <f t="shared" ca="1" si="67"/>
        <v>0</v>
      </c>
      <c r="E197">
        <f ca="1">IF($C197=1,OFFSET(E197,-1,0)+MAX(1,COUNTIF(QCI!$A$13:$A$24,OFFSET(ORÇAMENTO!E197,-1,0))),OFFSET(E197,-1,0))</f>
        <v>1</v>
      </c>
      <c r="F197">
        <f t="shared" ca="1" si="68"/>
        <v>6</v>
      </c>
      <c r="G197">
        <f t="shared" ca="1" si="69"/>
        <v>4</v>
      </c>
      <c r="H197">
        <f t="shared" ca="1" si="70"/>
        <v>0</v>
      </c>
      <c r="I197">
        <f t="shared" ca="1" si="71"/>
        <v>0</v>
      </c>
      <c r="J197">
        <f t="shared" ca="1" si="86"/>
        <v>0</v>
      </c>
      <c r="K197">
        <f ca="1">IF(OR($C197="S",$C197=0),0,MATCH(OFFSET($D197,0,$C197)+IF($C197&lt;&gt;1,1,COUNTIF(QCI!$A$13:$A$24,ORÇAMENTO!E197)),OFFSET($D197,1,$C197,ROW($C$710)-ROW($C197)),0))</f>
        <v>0</v>
      </c>
      <c r="L197" s="143" t="str">
        <f t="shared" ca="1" si="72"/>
        <v/>
      </c>
      <c r="M197" s="144" t="s">
        <v>201</v>
      </c>
      <c r="N197" s="145" t="str">
        <f t="shared" ca="1" si="73"/>
        <v>Serviço</v>
      </c>
      <c r="O197" s="146" t="str">
        <f t="shared" ca="1" si="74"/>
        <v>-</v>
      </c>
      <c r="P197" s="147" t="s">
        <v>249</v>
      </c>
      <c r="Q197" s="148">
        <v>94570</v>
      </c>
      <c r="R197" s="149" t="str">
        <f t="shared" ca="1" si="90"/>
        <v>(abra o arquivo 'Referência 05-2024.xls)</v>
      </c>
      <c r="S197" s="150" t="str">
        <f t="shared" ca="1" si="91"/>
        <v>-</v>
      </c>
      <c r="T197" s="151">
        <f ca="1">OFFSET(CÁLCULO!H$15,ROW($T197)-ROW(T$15),0)</f>
        <v>10.36</v>
      </c>
      <c r="U197" s="152">
        <f t="shared" ca="1" si="87"/>
        <v>0</v>
      </c>
      <c r="V197" s="153" t="s">
        <v>158</v>
      </c>
      <c r="W197" s="151">
        <f t="shared" ca="1" si="75"/>
        <v>0</v>
      </c>
      <c r="X197" s="154">
        <f t="shared" ca="1" si="76"/>
        <v>0</v>
      </c>
      <c r="Y197" s="155" t="s">
        <v>583</v>
      </c>
      <c r="Z197" t="str">
        <f t="shared" ca="1" si="77"/>
        <v/>
      </c>
      <c r="AA197" s="156">
        <f ca="1">IF($C197="S",IF($Z197="CP",$X197,IF($Z197="RA",(($X197)*QCI!$AA$3),0)),SomaAgrup)</f>
        <v>0</v>
      </c>
      <c r="AB197" s="157">
        <f t="shared" ca="1" si="78"/>
        <v>0</v>
      </c>
      <c r="AC197" s="158" t="str">
        <f t="shared" ca="1" si="79"/>
        <v/>
      </c>
      <c r="AD197" s="104" t="str">
        <f ca="1">IF(C197&lt;=CRONO.NivelExibicao,MAX($AD$15:OFFSET(AD197,-1,0))+IF($C197&lt;&gt;1,1,MAX(1,COUNTIF(QCI!$A$13:$A$24,OFFSET($E197,-1,0)))),"")</f>
        <v/>
      </c>
      <c r="AE197" s="114" t="str">
        <f t="shared" ca="1" si="80"/>
        <v>SINAPI 94570</v>
      </c>
      <c r="AF197" s="159" t="str">
        <f t="shared" ca="1" si="81"/>
        <v>(abra o arquivo 'Referência 05-2024.xls)</v>
      </c>
      <c r="AG197" s="579">
        <f t="shared" ca="1" si="82"/>
        <v>0</v>
      </c>
      <c r="AH197" s="580">
        <f t="shared" ca="1" si="83"/>
        <v>0.22470000000000001</v>
      </c>
      <c r="AJ197" s="582">
        <v>10.36</v>
      </c>
      <c r="AL197" s="612"/>
      <c r="AM197" s="430">
        <f t="shared" ca="1" si="84"/>
        <v>0</v>
      </c>
      <c r="AN197" s="655">
        <f t="shared" ca="1" si="85"/>
        <v>0</v>
      </c>
    </row>
    <row r="198" spans="1:40" ht="13.8" x14ac:dyDescent="0.3">
      <c r="A198" t="str">
        <f t="shared" si="64"/>
        <v>S</v>
      </c>
      <c r="B198">
        <f t="shared" ca="1" si="65"/>
        <v>3</v>
      </c>
      <c r="C198" t="str">
        <f t="shared" ca="1" si="66"/>
        <v>S</v>
      </c>
      <c r="D198">
        <f t="shared" ca="1" si="67"/>
        <v>0</v>
      </c>
      <c r="E198">
        <f ca="1">IF($C198=1,OFFSET(E198,-1,0)+MAX(1,COUNTIF(QCI!$A$13:$A$24,OFFSET(ORÇAMENTO!E198,-1,0))),OFFSET(E198,-1,0))</f>
        <v>1</v>
      </c>
      <c r="F198">
        <f t="shared" ca="1" si="68"/>
        <v>6</v>
      </c>
      <c r="G198">
        <f t="shared" ca="1" si="69"/>
        <v>4</v>
      </c>
      <c r="H198">
        <f t="shared" ca="1" si="70"/>
        <v>0</v>
      </c>
      <c r="I198">
        <f t="shared" ca="1" si="71"/>
        <v>0</v>
      </c>
      <c r="J198">
        <f t="shared" ca="1" si="86"/>
        <v>0</v>
      </c>
      <c r="K198">
        <f ca="1">IF(OR($C198="S",$C198=0),0,MATCH(OFFSET($D198,0,$C198)+IF($C198&lt;&gt;1,1,COUNTIF(QCI!$A$13:$A$24,ORÇAMENTO!E198)),OFFSET($D198,1,$C198,ROW($C$710)-ROW($C198)),0))</f>
        <v>0</v>
      </c>
      <c r="L198" s="143" t="str">
        <f t="shared" ca="1" si="72"/>
        <v/>
      </c>
      <c r="M198" s="144" t="s">
        <v>201</v>
      </c>
      <c r="N198" s="145" t="str">
        <f t="shared" ca="1" si="73"/>
        <v>Serviço</v>
      </c>
      <c r="O198" s="146" t="str">
        <f t="shared" ca="1" si="74"/>
        <v>-</v>
      </c>
      <c r="P198" s="147" t="s">
        <v>249</v>
      </c>
      <c r="Q198" s="148">
        <v>94570</v>
      </c>
      <c r="R198" s="149" t="str">
        <f t="shared" ca="1" si="90"/>
        <v>(abra o arquivo 'Referência 05-2024.xls)</v>
      </c>
      <c r="S198" s="150" t="str">
        <f t="shared" ca="1" si="91"/>
        <v>-</v>
      </c>
      <c r="T198" s="151">
        <f ca="1">OFFSET(CÁLCULO!H$15,ROW($T198)-ROW(T$15),0)</f>
        <v>19.43</v>
      </c>
      <c r="U198" s="152">
        <f t="shared" ca="1" si="87"/>
        <v>0</v>
      </c>
      <c r="V198" s="153" t="s">
        <v>158</v>
      </c>
      <c r="W198" s="151">
        <f t="shared" ca="1" si="75"/>
        <v>0</v>
      </c>
      <c r="X198" s="154">
        <f t="shared" ca="1" si="76"/>
        <v>0</v>
      </c>
      <c r="Y198" s="155" t="s">
        <v>583</v>
      </c>
      <c r="Z198" t="str">
        <f t="shared" ca="1" si="77"/>
        <v/>
      </c>
      <c r="AA198" s="156">
        <f ca="1">IF($C198="S",IF($Z198="CP",$X198,IF($Z198="RA",(($X198)*QCI!$AA$3),0)),SomaAgrup)</f>
        <v>0</v>
      </c>
      <c r="AB198" s="157">
        <f t="shared" ca="1" si="78"/>
        <v>0</v>
      </c>
      <c r="AC198" s="158" t="str">
        <f t="shared" ca="1" si="79"/>
        <v/>
      </c>
      <c r="AD198" s="104" t="str">
        <f ca="1">IF(C198&lt;=CRONO.NivelExibicao,MAX($AD$15:OFFSET(AD198,-1,0))+IF($C198&lt;&gt;1,1,MAX(1,COUNTIF(QCI!$A$13:$A$24,OFFSET($E198,-1,0)))),"")</f>
        <v/>
      </c>
      <c r="AE198" s="114" t="str">
        <f t="shared" ca="1" si="80"/>
        <v>SINAPI 94570</v>
      </c>
      <c r="AF198" s="159" t="str">
        <f t="shared" ca="1" si="81"/>
        <v>(abra o arquivo 'Referência 05-2024.xls)</v>
      </c>
      <c r="AG198" s="579">
        <f t="shared" ca="1" si="82"/>
        <v>0</v>
      </c>
      <c r="AH198" s="580">
        <f t="shared" ca="1" si="83"/>
        <v>0.22470000000000001</v>
      </c>
      <c r="AJ198" s="582">
        <v>19.43</v>
      </c>
      <c r="AL198" s="612"/>
      <c r="AM198" s="430">
        <f t="shared" ca="1" si="84"/>
        <v>0</v>
      </c>
      <c r="AN198" s="655">
        <f t="shared" ca="1" si="85"/>
        <v>0</v>
      </c>
    </row>
    <row r="199" spans="1:40" ht="13.8" x14ac:dyDescent="0.3">
      <c r="A199" t="str">
        <f t="shared" si="64"/>
        <v>S</v>
      </c>
      <c r="B199">
        <f t="shared" ca="1" si="65"/>
        <v>3</v>
      </c>
      <c r="C199" t="str">
        <f t="shared" ca="1" si="66"/>
        <v>S</v>
      </c>
      <c r="D199">
        <f t="shared" ca="1" si="67"/>
        <v>0</v>
      </c>
      <c r="E199">
        <f ca="1">IF($C199=1,OFFSET(E199,-1,0)+MAX(1,COUNTIF(QCI!$A$13:$A$24,OFFSET(ORÇAMENTO!E199,-1,0))),OFFSET(E199,-1,0))</f>
        <v>1</v>
      </c>
      <c r="F199">
        <f t="shared" ca="1" si="68"/>
        <v>6</v>
      </c>
      <c r="G199">
        <f t="shared" ca="1" si="69"/>
        <v>4</v>
      </c>
      <c r="H199">
        <f t="shared" ca="1" si="70"/>
        <v>0</v>
      </c>
      <c r="I199">
        <f t="shared" ca="1" si="71"/>
        <v>0</v>
      </c>
      <c r="J199">
        <f t="shared" ca="1" si="86"/>
        <v>0</v>
      </c>
      <c r="K199">
        <f ca="1">IF(OR($C199="S",$C199=0),0,MATCH(OFFSET($D199,0,$C199)+IF($C199&lt;&gt;1,1,COUNTIF(QCI!$A$13:$A$24,ORÇAMENTO!E199)),OFFSET($D199,1,$C199,ROW($C$710)-ROW($C199)),0))</f>
        <v>0</v>
      </c>
      <c r="L199" s="143" t="str">
        <f t="shared" ca="1" si="72"/>
        <v/>
      </c>
      <c r="M199" s="144" t="s">
        <v>201</v>
      </c>
      <c r="N199" s="145" t="str">
        <f t="shared" ca="1" si="73"/>
        <v>Serviço</v>
      </c>
      <c r="O199" s="146" t="str">
        <f t="shared" ca="1" si="74"/>
        <v>-</v>
      </c>
      <c r="P199" s="147" t="s">
        <v>249</v>
      </c>
      <c r="Q199" s="148">
        <v>100674</v>
      </c>
      <c r="R199" s="149" t="str">
        <f t="shared" ca="1" si="90"/>
        <v>(abra o arquivo 'Referência 05-2024.xls)</v>
      </c>
      <c r="S199" s="150" t="str">
        <f t="shared" ca="1" si="91"/>
        <v>-</v>
      </c>
      <c r="T199" s="151">
        <f ca="1">OFFSET(CÁLCULO!H$15,ROW($T199)-ROW(T$15),0)</f>
        <v>4.2</v>
      </c>
      <c r="U199" s="152">
        <f t="shared" ca="1" si="87"/>
        <v>0</v>
      </c>
      <c r="V199" s="153" t="s">
        <v>158</v>
      </c>
      <c r="W199" s="151">
        <f t="shared" ca="1" si="75"/>
        <v>0</v>
      </c>
      <c r="X199" s="154">
        <f t="shared" ca="1" si="76"/>
        <v>0</v>
      </c>
      <c r="Y199" s="155" t="s">
        <v>583</v>
      </c>
      <c r="Z199" t="str">
        <f t="shared" ca="1" si="77"/>
        <v/>
      </c>
      <c r="AA199" s="156">
        <f ca="1">IF($C199="S",IF($Z199="CP",$X199,IF($Z199="RA",(($X199)*QCI!$AA$3),0)),SomaAgrup)</f>
        <v>0</v>
      </c>
      <c r="AB199" s="157">
        <f t="shared" ca="1" si="78"/>
        <v>0</v>
      </c>
      <c r="AC199" s="158" t="str">
        <f t="shared" ca="1" si="79"/>
        <v/>
      </c>
      <c r="AD199" s="104" t="str">
        <f ca="1">IF(C199&lt;=CRONO.NivelExibicao,MAX($AD$15:OFFSET(AD199,-1,0))+IF($C199&lt;&gt;1,1,MAX(1,COUNTIF(QCI!$A$13:$A$24,OFFSET($E199,-1,0)))),"")</f>
        <v/>
      </c>
      <c r="AE199" s="114" t="str">
        <f t="shared" ca="1" si="80"/>
        <v>SINAPI 100674</v>
      </c>
      <c r="AF199" s="159" t="str">
        <f t="shared" ca="1" si="81"/>
        <v>(abra o arquivo 'Referência 05-2024.xls)</v>
      </c>
      <c r="AG199" s="579">
        <f t="shared" ca="1" si="82"/>
        <v>0</v>
      </c>
      <c r="AH199" s="580">
        <f t="shared" ca="1" si="83"/>
        <v>0.22470000000000001</v>
      </c>
      <c r="AJ199" s="582">
        <v>4.2</v>
      </c>
      <c r="AL199" s="612"/>
      <c r="AM199" s="430">
        <f t="shared" ca="1" si="84"/>
        <v>0</v>
      </c>
      <c r="AN199" s="655">
        <f t="shared" ca="1" si="85"/>
        <v>0</v>
      </c>
    </row>
    <row r="200" spans="1:40" ht="13.8" x14ac:dyDescent="0.3">
      <c r="A200" t="str">
        <f t="shared" si="64"/>
        <v>S</v>
      </c>
      <c r="B200">
        <f t="shared" ca="1" si="65"/>
        <v>3</v>
      </c>
      <c r="C200" t="str">
        <f t="shared" ca="1" si="66"/>
        <v>S</v>
      </c>
      <c r="D200">
        <f t="shared" ca="1" si="67"/>
        <v>0</v>
      </c>
      <c r="E200">
        <f ca="1">IF($C200=1,OFFSET(E200,-1,0)+MAX(1,COUNTIF(QCI!$A$13:$A$24,OFFSET(ORÇAMENTO!E200,-1,0))),OFFSET(E200,-1,0))</f>
        <v>1</v>
      </c>
      <c r="F200">
        <f t="shared" ca="1" si="68"/>
        <v>6</v>
      </c>
      <c r="G200">
        <f t="shared" ca="1" si="69"/>
        <v>4</v>
      </c>
      <c r="H200">
        <f t="shared" ca="1" si="70"/>
        <v>0</v>
      </c>
      <c r="I200">
        <f t="shared" ca="1" si="71"/>
        <v>0</v>
      </c>
      <c r="J200">
        <f t="shared" ca="1" si="86"/>
        <v>0</v>
      </c>
      <c r="K200">
        <f ca="1">IF(OR($C200="S",$C200=0),0,MATCH(OFFSET($D200,0,$C200)+IF($C200&lt;&gt;1,1,COUNTIF(QCI!$A$13:$A$24,ORÇAMENTO!E200)),OFFSET($D200,1,$C200,ROW($C$710)-ROW($C200)),0))</f>
        <v>0</v>
      </c>
      <c r="L200" s="143" t="str">
        <f t="shared" ca="1" si="72"/>
        <v/>
      </c>
      <c r="M200" s="144" t="s">
        <v>201</v>
      </c>
      <c r="N200" s="145" t="str">
        <f t="shared" ca="1" si="73"/>
        <v>Serviço</v>
      </c>
      <c r="O200" s="146" t="str">
        <f t="shared" ca="1" si="74"/>
        <v>-</v>
      </c>
      <c r="P200" s="147" t="s">
        <v>249</v>
      </c>
      <c r="Q200" s="148">
        <v>100674</v>
      </c>
      <c r="R200" s="149" t="str">
        <f t="shared" ca="1" si="90"/>
        <v>(abra o arquivo 'Referência 05-2024.xls)</v>
      </c>
      <c r="S200" s="150" t="str">
        <f t="shared" ca="1" si="91"/>
        <v>-</v>
      </c>
      <c r="T200" s="151">
        <f ca="1">OFFSET(CÁLCULO!H$15,ROW($T200)-ROW(T$15),0)</f>
        <v>19.32</v>
      </c>
      <c r="U200" s="152">
        <f t="shared" ca="1" si="87"/>
        <v>0</v>
      </c>
      <c r="V200" s="153" t="s">
        <v>158</v>
      </c>
      <c r="W200" s="151">
        <f t="shared" ca="1" si="75"/>
        <v>0</v>
      </c>
      <c r="X200" s="154">
        <f t="shared" ca="1" si="76"/>
        <v>0</v>
      </c>
      <c r="Y200" s="155" t="s">
        <v>583</v>
      </c>
      <c r="Z200" t="str">
        <f t="shared" ca="1" si="77"/>
        <v/>
      </c>
      <c r="AA200" s="156">
        <f ca="1">IF($C200="S",IF($Z200="CP",$X200,IF($Z200="RA",(($X200)*QCI!$AA$3),0)),SomaAgrup)</f>
        <v>0</v>
      </c>
      <c r="AB200" s="157">
        <f t="shared" ca="1" si="78"/>
        <v>0</v>
      </c>
      <c r="AC200" s="158" t="str">
        <f t="shared" ca="1" si="79"/>
        <v/>
      </c>
      <c r="AD200" s="104" t="str">
        <f ca="1">IF(C200&lt;=CRONO.NivelExibicao,MAX($AD$15:OFFSET(AD200,-1,0))+IF($C200&lt;&gt;1,1,MAX(1,COUNTIF(QCI!$A$13:$A$24,OFFSET($E200,-1,0)))),"")</f>
        <v/>
      </c>
      <c r="AE200" s="114" t="str">
        <f t="shared" ca="1" si="80"/>
        <v>SINAPI 100674</v>
      </c>
      <c r="AF200" s="159" t="str">
        <f t="shared" ca="1" si="81"/>
        <v>(abra o arquivo 'Referência 05-2024.xls)</v>
      </c>
      <c r="AG200" s="579">
        <f t="shared" ca="1" si="82"/>
        <v>0</v>
      </c>
      <c r="AH200" s="580">
        <f t="shared" ca="1" si="83"/>
        <v>0.22470000000000001</v>
      </c>
      <c r="AJ200" s="582">
        <v>19.32</v>
      </c>
      <c r="AL200" s="612"/>
      <c r="AM200" s="430">
        <f t="shared" ca="1" si="84"/>
        <v>0</v>
      </c>
      <c r="AN200" s="655">
        <f t="shared" ca="1" si="85"/>
        <v>0</v>
      </c>
    </row>
    <row r="201" spans="1:40" ht="13.8" x14ac:dyDescent="0.3">
      <c r="A201" t="str">
        <f t="shared" si="64"/>
        <v>S</v>
      </c>
      <c r="B201">
        <f t="shared" ca="1" si="65"/>
        <v>3</v>
      </c>
      <c r="C201" t="str">
        <f t="shared" ca="1" si="66"/>
        <v>S</v>
      </c>
      <c r="D201">
        <f t="shared" ca="1" si="67"/>
        <v>0</v>
      </c>
      <c r="E201">
        <f ca="1">IF($C201=1,OFFSET(E201,-1,0)+MAX(1,COUNTIF(QCI!$A$13:$A$24,OFFSET(ORÇAMENTO!E201,-1,0))),OFFSET(E201,-1,0))</f>
        <v>1</v>
      </c>
      <c r="F201">
        <f t="shared" ca="1" si="68"/>
        <v>6</v>
      </c>
      <c r="G201">
        <f t="shared" ca="1" si="69"/>
        <v>4</v>
      </c>
      <c r="H201">
        <f t="shared" ca="1" si="70"/>
        <v>0</v>
      </c>
      <c r="I201">
        <f t="shared" ca="1" si="71"/>
        <v>0</v>
      </c>
      <c r="J201">
        <f t="shared" ca="1" si="86"/>
        <v>0</v>
      </c>
      <c r="K201">
        <f ca="1">IF(OR($C201="S",$C201=0),0,MATCH(OFFSET($D201,0,$C201)+IF($C201&lt;&gt;1,1,COUNTIF(QCI!$A$13:$A$24,ORÇAMENTO!E201)),OFFSET($D201,1,$C201,ROW($C$710)-ROW($C201)),0))</f>
        <v>0</v>
      </c>
      <c r="L201" s="143" t="str">
        <f t="shared" ca="1" si="72"/>
        <v/>
      </c>
      <c r="M201" s="144" t="s">
        <v>201</v>
      </c>
      <c r="N201" s="145" t="str">
        <f t="shared" ca="1" si="73"/>
        <v>Serviço</v>
      </c>
      <c r="O201" s="146" t="str">
        <f t="shared" ca="1" si="74"/>
        <v>-</v>
      </c>
      <c r="P201" s="147" t="s">
        <v>249</v>
      </c>
      <c r="Q201" s="148">
        <v>100674</v>
      </c>
      <c r="R201" s="149" t="str">
        <f t="shared" ca="1" si="90"/>
        <v>(abra o arquivo 'Referência 05-2024.xls)</v>
      </c>
      <c r="S201" s="150" t="str">
        <f t="shared" ca="1" si="91"/>
        <v>-</v>
      </c>
      <c r="T201" s="151">
        <f ca="1">OFFSET(CÁLCULO!H$15,ROW($T201)-ROW(T$15),0)</f>
        <v>20.3</v>
      </c>
      <c r="U201" s="152">
        <f t="shared" ca="1" si="87"/>
        <v>0</v>
      </c>
      <c r="V201" s="153" t="s">
        <v>158</v>
      </c>
      <c r="W201" s="151">
        <f t="shared" ca="1" si="75"/>
        <v>0</v>
      </c>
      <c r="X201" s="154">
        <f t="shared" ca="1" si="76"/>
        <v>0</v>
      </c>
      <c r="Y201" s="155" t="s">
        <v>583</v>
      </c>
      <c r="Z201" t="str">
        <f t="shared" ca="1" si="77"/>
        <v/>
      </c>
      <c r="AA201" s="156">
        <f ca="1">IF($C201="S",IF($Z201="CP",$X201,IF($Z201="RA",(($X201)*QCI!$AA$3),0)),SomaAgrup)</f>
        <v>0</v>
      </c>
      <c r="AB201" s="157">
        <f t="shared" ca="1" si="78"/>
        <v>0</v>
      </c>
      <c r="AC201" s="158" t="str">
        <f t="shared" ca="1" si="79"/>
        <v/>
      </c>
      <c r="AD201" s="104" t="str">
        <f ca="1">IF(C201&lt;=CRONO.NivelExibicao,MAX($AD$15:OFFSET(AD201,-1,0))+IF($C201&lt;&gt;1,1,MAX(1,COUNTIF(QCI!$A$13:$A$24,OFFSET($E201,-1,0)))),"")</f>
        <v/>
      </c>
      <c r="AE201" s="114" t="str">
        <f t="shared" ca="1" si="80"/>
        <v>SINAPI 100674</v>
      </c>
      <c r="AF201" s="159" t="str">
        <f t="shared" ca="1" si="81"/>
        <v>(abra o arquivo 'Referência 05-2024.xls)</v>
      </c>
      <c r="AG201" s="579">
        <f t="shared" ca="1" si="82"/>
        <v>0</v>
      </c>
      <c r="AH201" s="580">
        <f t="shared" ca="1" si="83"/>
        <v>0.22470000000000001</v>
      </c>
      <c r="AJ201" s="582">
        <v>20.3</v>
      </c>
      <c r="AL201" s="612"/>
      <c r="AM201" s="430">
        <f t="shared" ca="1" si="84"/>
        <v>0</v>
      </c>
      <c r="AN201" s="655">
        <f t="shared" ca="1" si="85"/>
        <v>0</v>
      </c>
    </row>
    <row r="202" spans="1:40" ht="13.8" x14ac:dyDescent="0.3">
      <c r="A202" t="str">
        <f t="shared" si="64"/>
        <v>S</v>
      </c>
      <c r="B202">
        <f t="shared" ca="1" si="65"/>
        <v>3</v>
      </c>
      <c r="C202" t="str">
        <f t="shared" ca="1" si="66"/>
        <v>S</v>
      </c>
      <c r="D202">
        <f t="shared" ca="1" si="67"/>
        <v>0</v>
      </c>
      <c r="E202">
        <f ca="1">IF($C202=1,OFFSET(E202,-1,0)+MAX(1,COUNTIF(QCI!$A$13:$A$24,OFFSET(ORÇAMENTO!E202,-1,0))),OFFSET(E202,-1,0))</f>
        <v>1</v>
      </c>
      <c r="F202">
        <f t="shared" ca="1" si="68"/>
        <v>6</v>
      </c>
      <c r="G202">
        <f t="shared" ca="1" si="69"/>
        <v>4</v>
      </c>
      <c r="H202">
        <f t="shared" ca="1" si="70"/>
        <v>0</v>
      </c>
      <c r="I202">
        <f t="shared" ca="1" si="71"/>
        <v>0</v>
      </c>
      <c r="J202">
        <f t="shared" ca="1" si="86"/>
        <v>0</v>
      </c>
      <c r="K202">
        <f ca="1">IF(OR($C202="S",$C202=0),0,MATCH(OFFSET($D202,0,$C202)+IF($C202&lt;&gt;1,1,COUNTIF(QCI!$A$13:$A$24,ORÇAMENTO!E202)),OFFSET($D202,1,$C202,ROW($C$710)-ROW($C202)),0))</f>
        <v>0</v>
      </c>
      <c r="L202" s="143" t="str">
        <f t="shared" ca="1" si="72"/>
        <v/>
      </c>
      <c r="M202" s="144" t="s">
        <v>201</v>
      </c>
      <c r="N202" s="145" t="str">
        <f t="shared" ca="1" si="73"/>
        <v>Serviço</v>
      </c>
      <c r="O202" s="146" t="str">
        <f t="shared" ca="1" si="74"/>
        <v>-</v>
      </c>
      <c r="P202" s="147" t="s">
        <v>249</v>
      </c>
      <c r="Q202" s="148">
        <v>100674</v>
      </c>
      <c r="R202" s="149" t="str">
        <f t="shared" ca="1" si="90"/>
        <v>(abra o arquivo 'Referência 05-2024.xls)</v>
      </c>
      <c r="S202" s="150" t="str">
        <f t="shared" ca="1" si="91"/>
        <v>-</v>
      </c>
      <c r="T202" s="151">
        <f ca="1">OFFSET(CÁLCULO!H$15,ROW($T202)-ROW(T$15),0)</f>
        <v>53.55</v>
      </c>
      <c r="U202" s="152">
        <f t="shared" ca="1" si="87"/>
        <v>0</v>
      </c>
      <c r="V202" s="153" t="s">
        <v>158</v>
      </c>
      <c r="W202" s="151">
        <f t="shared" ca="1" si="75"/>
        <v>0</v>
      </c>
      <c r="X202" s="154">
        <f t="shared" ca="1" si="76"/>
        <v>0</v>
      </c>
      <c r="Y202" s="155" t="s">
        <v>583</v>
      </c>
      <c r="Z202" t="str">
        <f t="shared" ca="1" si="77"/>
        <v/>
      </c>
      <c r="AA202" s="156">
        <f ca="1">IF($C202="S",IF($Z202="CP",$X202,IF($Z202="RA",(($X202)*QCI!$AA$3),0)),SomaAgrup)</f>
        <v>0</v>
      </c>
      <c r="AB202" s="157">
        <f t="shared" ca="1" si="78"/>
        <v>0</v>
      </c>
      <c r="AC202" s="158" t="str">
        <f t="shared" ca="1" si="79"/>
        <v/>
      </c>
      <c r="AD202" s="104" t="str">
        <f ca="1">IF(C202&lt;=CRONO.NivelExibicao,MAX($AD$15:OFFSET(AD202,-1,0))+IF($C202&lt;&gt;1,1,MAX(1,COUNTIF(QCI!$A$13:$A$24,OFFSET($E202,-1,0)))),"")</f>
        <v/>
      </c>
      <c r="AE202" s="114" t="str">
        <f t="shared" ca="1" si="80"/>
        <v>SINAPI 100674</v>
      </c>
      <c r="AF202" s="159" t="str">
        <f t="shared" ca="1" si="81"/>
        <v>(abra o arquivo 'Referência 05-2024.xls)</v>
      </c>
      <c r="AG202" s="579">
        <f t="shared" ca="1" si="82"/>
        <v>0</v>
      </c>
      <c r="AH202" s="580">
        <f t="shared" ca="1" si="83"/>
        <v>0.22470000000000001</v>
      </c>
      <c r="AJ202" s="582">
        <v>53.55</v>
      </c>
      <c r="AL202" s="612"/>
      <c r="AM202" s="430">
        <f t="shared" ca="1" si="84"/>
        <v>0</v>
      </c>
      <c r="AN202" s="655">
        <f t="shared" ca="1" si="85"/>
        <v>0</v>
      </c>
    </row>
    <row r="203" spans="1:40" ht="13.8" x14ac:dyDescent="0.3">
      <c r="A203" t="str">
        <f t="shared" si="64"/>
        <v>S</v>
      </c>
      <c r="B203">
        <f t="shared" ca="1" si="65"/>
        <v>3</v>
      </c>
      <c r="C203" t="str">
        <f t="shared" ca="1" si="66"/>
        <v>S</v>
      </c>
      <c r="D203">
        <f t="shared" ca="1" si="67"/>
        <v>0</v>
      </c>
      <c r="E203">
        <f ca="1">IF($C203=1,OFFSET(E203,-1,0)+MAX(1,COUNTIF(QCI!$A$13:$A$24,OFFSET(ORÇAMENTO!E203,-1,0))),OFFSET(E203,-1,0))</f>
        <v>1</v>
      </c>
      <c r="F203">
        <f t="shared" ca="1" si="68"/>
        <v>6</v>
      </c>
      <c r="G203">
        <f t="shared" ca="1" si="69"/>
        <v>4</v>
      </c>
      <c r="H203">
        <f t="shared" ca="1" si="70"/>
        <v>0</v>
      </c>
      <c r="I203">
        <f t="shared" ca="1" si="71"/>
        <v>0</v>
      </c>
      <c r="J203">
        <f t="shared" ca="1" si="86"/>
        <v>0</v>
      </c>
      <c r="K203">
        <f ca="1">IF(OR($C203="S",$C203=0),0,MATCH(OFFSET($D203,0,$C203)+IF($C203&lt;&gt;1,1,COUNTIF(QCI!$A$13:$A$24,ORÇAMENTO!E203)),OFFSET($D203,1,$C203,ROW($C$710)-ROW($C203)),0))</f>
        <v>0</v>
      </c>
      <c r="L203" s="143" t="str">
        <f t="shared" ca="1" si="72"/>
        <v/>
      </c>
      <c r="M203" s="144" t="s">
        <v>201</v>
      </c>
      <c r="N203" s="145" t="str">
        <f t="shared" ca="1" si="73"/>
        <v>Serviço</v>
      </c>
      <c r="O203" s="146" t="str">
        <f t="shared" ca="1" si="74"/>
        <v>-</v>
      </c>
      <c r="P203" s="147" t="s">
        <v>249</v>
      </c>
      <c r="Q203" s="148">
        <v>94569</v>
      </c>
      <c r="R203" s="149" t="str">
        <f t="shared" ca="1" si="90"/>
        <v>(abra o arquivo 'Referência 05-2024.xls)</v>
      </c>
      <c r="S203" s="150" t="str">
        <f t="shared" ca="1" si="91"/>
        <v>-</v>
      </c>
      <c r="T203" s="151">
        <f ca="1">OFFSET(CÁLCULO!H$15,ROW($T203)-ROW(T$15),0)</f>
        <v>12.6</v>
      </c>
      <c r="U203" s="152">
        <f t="shared" ca="1" si="87"/>
        <v>0</v>
      </c>
      <c r="V203" s="153" t="s">
        <v>158</v>
      </c>
      <c r="W203" s="151">
        <f t="shared" ca="1" si="75"/>
        <v>0</v>
      </c>
      <c r="X203" s="154">
        <f t="shared" ca="1" si="76"/>
        <v>0</v>
      </c>
      <c r="Y203" s="155" t="s">
        <v>583</v>
      </c>
      <c r="Z203" t="str">
        <f t="shared" ca="1" si="77"/>
        <v/>
      </c>
      <c r="AA203" s="156">
        <f ca="1">IF($C203="S",IF($Z203="CP",$X203,IF($Z203="RA",(($X203)*QCI!$AA$3),0)),SomaAgrup)</f>
        <v>0</v>
      </c>
      <c r="AB203" s="157">
        <f t="shared" ca="1" si="78"/>
        <v>0</v>
      </c>
      <c r="AC203" s="158" t="str">
        <f t="shared" ca="1" si="79"/>
        <v/>
      </c>
      <c r="AD203" s="104" t="str">
        <f ca="1">IF(C203&lt;=CRONO.NivelExibicao,MAX($AD$15:OFFSET(AD203,-1,0))+IF($C203&lt;&gt;1,1,MAX(1,COUNTIF(QCI!$A$13:$A$24,OFFSET($E203,-1,0)))),"")</f>
        <v/>
      </c>
      <c r="AE203" s="114" t="str">
        <f t="shared" ca="1" si="80"/>
        <v>SINAPI 94569</v>
      </c>
      <c r="AF203" s="159" t="str">
        <f t="shared" ca="1" si="81"/>
        <v>(abra o arquivo 'Referência 05-2024.xls)</v>
      </c>
      <c r="AG203" s="579">
        <f t="shared" ca="1" si="82"/>
        <v>0</v>
      </c>
      <c r="AH203" s="580">
        <f t="shared" ca="1" si="83"/>
        <v>0.22470000000000001</v>
      </c>
      <c r="AJ203" s="582">
        <v>12.6</v>
      </c>
      <c r="AL203" s="612"/>
      <c r="AM203" s="430">
        <f t="shared" ca="1" si="84"/>
        <v>0</v>
      </c>
      <c r="AN203" s="655">
        <f t="shared" ca="1" si="85"/>
        <v>0</v>
      </c>
    </row>
    <row r="204" spans="1:40" ht="13.8" x14ac:dyDescent="0.3">
      <c r="A204" t="str">
        <f t="shared" si="64"/>
        <v>S</v>
      </c>
      <c r="B204">
        <f t="shared" ca="1" si="65"/>
        <v>3</v>
      </c>
      <c r="C204" t="str">
        <f t="shared" ca="1" si="66"/>
        <v>S</v>
      </c>
      <c r="D204">
        <f t="shared" ca="1" si="67"/>
        <v>0</v>
      </c>
      <c r="E204">
        <f ca="1">IF($C204=1,OFFSET(E204,-1,0)+MAX(1,COUNTIF(QCI!$A$13:$A$24,OFFSET(ORÇAMENTO!E204,-1,0))),OFFSET(E204,-1,0))</f>
        <v>1</v>
      </c>
      <c r="F204">
        <f t="shared" ca="1" si="68"/>
        <v>6</v>
      </c>
      <c r="G204">
        <f t="shared" ca="1" si="69"/>
        <v>4</v>
      </c>
      <c r="H204">
        <f t="shared" ca="1" si="70"/>
        <v>0</v>
      </c>
      <c r="I204">
        <f t="shared" ca="1" si="71"/>
        <v>0</v>
      </c>
      <c r="J204">
        <f t="shared" ca="1" si="86"/>
        <v>0</v>
      </c>
      <c r="K204">
        <f ca="1">IF(OR($C204="S",$C204=0),0,MATCH(OFFSET($D204,0,$C204)+IF($C204&lt;&gt;1,1,COUNTIF(QCI!$A$13:$A$24,ORÇAMENTO!E204)),OFFSET($D204,1,$C204,ROW($C$710)-ROW($C204)),0))</f>
        <v>0</v>
      </c>
      <c r="L204" s="143" t="str">
        <f t="shared" ca="1" si="72"/>
        <v/>
      </c>
      <c r="M204" s="144" t="s">
        <v>201</v>
      </c>
      <c r="N204" s="145" t="str">
        <f t="shared" ca="1" si="73"/>
        <v>Serviço</v>
      </c>
      <c r="O204" s="146" t="str">
        <f t="shared" ca="1" si="74"/>
        <v>-</v>
      </c>
      <c r="P204" s="147" t="s">
        <v>249</v>
      </c>
      <c r="Q204" s="148">
        <v>94569</v>
      </c>
      <c r="R204" s="149" t="str">
        <f t="shared" ca="1" si="90"/>
        <v>(abra o arquivo 'Referência 05-2024.xls)</v>
      </c>
      <c r="S204" s="150" t="str">
        <f t="shared" ca="1" si="91"/>
        <v>-</v>
      </c>
      <c r="T204" s="151">
        <f ca="1">OFFSET(CÁLCULO!H$15,ROW($T204)-ROW(T$15),0)</f>
        <v>2.4</v>
      </c>
      <c r="U204" s="152">
        <f t="shared" ca="1" si="87"/>
        <v>0</v>
      </c>
      <c r="V204" s="153" t="s">
        <v>158</v>
      </c>
      <c r="W204" s="151">
        <f t="shared" ca="1" si="75"/>
        <v>0</v>
      </c>
      <c r="X204" s="154">
        <f t="shared" ca="1" si="76"/>
        <v>0</v>
      </c>
      <c r="Y204" s="155" t="s">
        <v>583</v>
      </c>
      <c r="Z204" t="str">
        <f t="shared" ca="1" si="77"/>
        <v/>
      </c>
      <c r="AA204" s="156">
        <f ca="1">IF($C204="S",IF($Z204="CP",$X204,IF($Z204="RA",(($X204)*QCI!$AA$3),0)),SomaAgrup)</f>
        <v>0</v>
      </c>
      <c r="AB204" s="157">
        <f t="shared" ca="1" si="78"/>
        <v>0</v>
      </c>
      <c r="AC204" s="158" t="str">
        <f t="shared" ca="1" si="79"/>
        <v/>
      </c>
      <c r="AD204" s="104" t="str">
        <f ca="1">IF(C204&lt;=CRONO.NivelExibicao,MAX($AD$15:OFFSET(AD204,-1,0))+IF($C204&lt;&gt;1,1,MAX(1,COUNTIF(QCI!$A$13:$A$24,OFFSET($E204,-1,0)))),"")</f>
        <v/>
      </c>
      <c r="AE204" s="114" t="str">
        <f t="shared" ca="1" si="80"/>
        <v>SINAPI 94569</v>
      </c>
      <c r="AF204" s="159" t="str">
        <f t="shared" ca="1" si="81"/>
        <v>(abra o arquivo 'Referência 05-2024.xls)</v>
      </c>
      <c r="AG204" s="579">
        <f t="shared" ca="1" si="82"/>
        <v>0</v>
      </c>
      <c r="AH204" s="580">
        <f t="shared" ca="1" si="83"/>
        <v>0.22470000000000001</v>
      </c>
      <c r="AJ204" s="582">
        <v>2.4</v>
      </c>
      <c r="AL204" s="612"/>
      <c r="AM204" s="430">
        <f t="shared" ca="1" si="84"/>
        <v>0</v>
      </c>
      <c r="AN204" s="655">
        <f t="shared" ca="1" si="85"/>
        <v>0</v>
      </c>
    </row>
    <row r="205" spans="1:40" ht="13.8" x14ac:dyDescent="0.3">
      <c r="A205" t="str">
        <f t="shared" si="64"/>
        <v>S</v>
      </c>
      <c r="B205">
        <f t="shared" ca="1" si="65"/>
        <v>3</v>
      </c>
      <c r="C205" t="str">
        <f t="shared" ca="1" si="66"/>
        <v>S</v>
      </c>
      <c r="D205">
        <f t="shared" ca="1" si="67"/>
        <v>0</v>
      </c>
      <c r="E205">
        <f ca="1">IF($C205=1,OFFSET(E205,-1,0)+MAX(1,COUNTIF(QCI!$A$13:$A$24,OFFSET(ORÇAMENTO!E205,-1,0))),OFFSET(E205,-1,0))</f>
        <v>1</v>
      </c>
      <c r="F205">
        <f t="shared" ca="1" si="68"/>
        <v>6</v>
      </c>
      <c r="G205">
        <f t="shared" ca="1" si="69"/>
        <v>4</v>
      </c>
      <c r="H205">
        <f t="shared" ca="1" si="70"/>
        <v>0</v>
      </c>
      <c r="I205">
        <f t="shared" ca="1" si="71"/>
        <v>0</v>
      </c>
      <c r="J205">
        <f t="shared" ca="1" si="86"/>
        <v>0</v>
      </c>
      <c r="K205">
        <f ca="1">IF(OR($C205="S",$C205=0),0,MATCH(OFFSET($D205,0,$C205)+IF($C205&lt;&gt;1,1,COUNTIF(QCI!$A$13:$A$24,ORÇAMENTO!E205)),OFFSET($D205,1,$C205,ROW($C$710)-ROW($C205)),0))</f>
        <v>0</v>
      </c>
      <c r="L205" s="143" t="str">
        <f t="shared" ca="1" si="72"/>
        <v/>
      </c>
      <c r="M205" s="144" t="s">
        <v>201</v>
      </c>
      <c r="N205" s="145" t="str">
        <f t="shared" ca="1" si="73"/>
        <v>Serviço</v>
      </c>
      <c r="O205" s="146" t="str">
        <f t="shared" ca="1" si="74"/>
        <v>-</v>
      </c>
      <c r="P205" s="147" t="s">
        <v>249</v>
      </c>
      <c r="Q205" s="148">
        <v>94569</v>
      </c>
      <c r="R205" s="149" t="str">
        <f t="shared" ca="1" si="90"/>
        <v>(abra o arquivo 'Referência 05-2024.xls)</v>
      </c>
      <c r="S205" s="150" t="str">
        <f t="shared" ca="1" si="91"/>
        <v>-</v>
      </c>
      <c r="T205" s="151">
        <f ca="1">OFFSET(CÁLCULO!H$15,ROW($T205)-ROW(T$15),0)</f>
        <v>20.16</v>
      </c>
      <c r="U205" s="152">
        <f t="shared" ca="1" si="87"/>
        <v>0</v>
      </c>
      <c r="V205" s="153" t="s">
        <v>158</v>
      </c>
      <c r="W205" s="151">
        <f t="shared" ca="1" si="75"/>
        <v>0</v>
      </c>
      <c r="X205" s="154">
        <f t="shared" ca="1" si="76"/>
        <v>0</v>
      </c>
      <c r="Y205" s="155" t="s">
        <v>583</v>
      </c>
      <c r="Z205" t="str">
        <f t="shared" ca="1" si="77"/>
        <v/>
      </c>
      <c r="AA205" s="156">
        <f ca="1">IF($C205="S",IF($Z205="CP",$X205,IF($Z205="RA",(($X205)*QCI!$AA$3),0)),SomaAgrup)</f>
        <v>0</v>
      </c>
      <c r="AB205" s="157">
        <f t="shared" ca="1" si="78"/>
        <v>0</v>
      </c>
      <c r="AC205" s="158" t="str">
        <f t="shared" ca="1" si="79"/>
        <v/>
      </c>
      <c r="AD205" s="104" t="str">
        <f ca="1">IF(C205&lt;=CRONO.NivelExibicao,MAX($AD$15:OFFSET(AD205,-1,0))+IF($C205&lt;&gt;1,1,MAX(1,COUNTIF(QCI!$A$13:$A$24,OFFSET($E205,-1,0)))),"")</f>
        <v/>
      </c>
      <c r="AE205" s="114" t="str">
        <f t="shared" ca="1" si="80"/>
        <v>SINAPI 94569</v>
      </c>
      <c r="AF205" s="159" t="str">
        <f t="shared" ca="1" si="81"/>
        <v>(abra o arquivo 'Referência 05-2024.xls)</v>
      </c>
      <c r="AG205" s="579">
        <f t="shared" ca="1" si="82"/>
        <v>0</v>
      </c>
      <c r="AH205" s="580">
        <f t="shared" ca="1" si="83"/>
        <v>0.22470000000000001</v>
      </c>
      <c r="AJ205" s="582">
        <v>20.16</v>
      </c>
      <c r="AL205" s="612"/>
      <c r="AM205" s="430">
        <f t="shared" ca="1" si="84"/>
        <v>0</v>
      </c>
      <c r="AN205" s="655">
        <f t="shared" ca="1" si="85"/>
        <v>0</v>
      </c>
    </row>
    <row r="206" spans="1:40" ht="13.8" x14ac:dyDescent="0.3">
      <c r="A206" t="str">
        <f t="shared" si="64"/>
        <v>S</v>
      </c>
      <c r="B206">
        <f t="shared" ca="1" si="65"/>
        <v>3</v>
      </c>
      <c r="C206" t="str">
        <f t="shared" ca="1" si="66"/>
        <v>S</v>
      </c>
      <c r="D206">
        <f t="shared" ca="1" si="67"/>
        <v>0</v>
      </c>
      <c r="E206">
        <f ca="1">IF($C206=1,OFFSET(E206,-1,0)+MAX(1,COUNTIF(QCI!$A$13:$A$24,OFFSET(ORÇAMENTO!E206,-1,0))),OFFSET(E206,-1,0))</f>
        <v>1</v>
      </c>
      <c r="F206">
        <f t="shared" ca="1" si="68"/>
        <v>6</v>
      </c>
      <c r="G206">
        <f t="shared" ca="1" si="69"/>
        <v>4</v>
      </c>
      <c r="H206">
        <f t="shared" ca="1" si="70"/>
        <v>0</v>
      </c>
      <c r="I206">
        <f t="shared" ca="1" si="71"/>
        <v>0</v>
      </c>
      <c r="J206">
        <f t="shared" ca="1" si="86"/>
        <v>0</v>
      </c>
      <c r="K206">
        <f ca="1">IF(OR($C206="S",$C206=0),0,MATCH(OFFSET($D206,0,$C206)+IF($C206&lt;&gt;1,1,COUNTIF(QCI!$A$13:$A$24,ORÇAMENTO!E206)),OFFSET($D206,1,$C206,ROW($C$710)-ROW($C206)),0))</f>
        <v>0</v>
      </c>
      <c r="L206" s="143" t="str">
        <f t="shared" ca="1" si="72"/>
        <v/>
      </c>
      <c r="M206" s="144" t="s">
        <v>201</v>
      </c>
      <c r="N206" s="145" t="str">
        <f t="shared" ca="1" si="73"/>
        <v>Serviço</v>
      </c>
      <c r="O206" s="146" t="str">
        <f t="shared" ca="1" si="74"/>
        <v>-</v>
      </c>
      <c r="P206" s="147" t="s">
        <v>249</v>
      </c>
      <c r="Q206" s="148">
        <v>94569</v>
      </c>
      <c r="R206" s="149" t="str">
        <f t="shared" ca="1" si="90"/>
        <v>(abra o arquivo 'Referência 05-2024.xls)</v>
      </c>
      <c r="S206" s="150" t="str">
        <f t="shared" ca="1" si="91"/>
        <v>-</v>
      </c>
      <c r="T206" s="151">
        <f ca="1">OFFSET(CÁLCULO!H$15,ROW($T206)-ROW(T$15),0)</f>
        <v>3.36</v>
      </c>
      <c r="U206" s="152">
        <f t="shared" ca="1" si="87"/>
        <v>0</v>
      </c>
      <c r="V206" s="153" t="s">
        <v>158</v>
      </c>
      <c r="W206" s="151">
        <f t="shared" ca="1" si="75"/>
        <v>0</v>
      </c>
      <c r="X206" s="154">
        <f t="shared" ca="1" si="76"/>
        <v>0</v>
      </c>
      <c r="Y206" s="155" t="s">
        <v>583</v>
      </c>
      <c r="Z206" t="str">
        <f t="shared" ca="1" si="77"/>
        <v/>
      </c>
      <c r="AA206" s="156">
        <f ca="1">IF($C206="S",IF($Z206="CP",$X206,IF($Z206="RA",(($X206)*QCI!$AA$3),0)),SomaAgrup)</f>
        <v>0</v>
      </c>
      <c r="AB206" s="157">
        <f t="shared" ca="1" si="78"/>
        <v>0</v>
      </c>
      <c r="AC206" s="158" t="str">
        <f t="shared" ca="1" si="79"/>
        <v/>
      </c>
      <c r="AD206" s="104" t="str">
        <f ca="1">IF(C206&lt;=CRONO.NivelExibicao,MAX($AD$15:OFFSET(AD206,-1,0))+IF($C206&lt;&gt;1,1,MAX(1,COUNTIF(QCI!$A$13:$A$24,OFFSET($E206,-1,0)))),"")</f>
        <v/>
      </c>
      <c r="AE206" s="114" t="str">
        <f t="shared" ca="1" si="80"/>
        <v>SINAPI 94569</v>
      </c>
      <c r="AF206" s="159" t="str">
        <f t="shared" ca="1" si="81"/>
        <v>(abra o arquivo 'Referência 05-2024.xls)</v>
      </c>
      <c r="AG206" s="579">
        <f t="shared" ca="1" si="82"/>
        <v>0</v>
      </c>
      <c r="AH206" s="580">
        <f t="shared" ca="1" si="83"/>
        <v>0.22470000000000001</v>
      </c>
      <c r="AJ206" s="582">
        <v>3.36</v>
      </c>
      <c r="AL206" s="612"/>
      <c r="AM206" s="430">
        <f t="shared" ca="1" si="84"/>
        <v>0</v>
      </c>
      <c r="AN206" s="655">
        <f t="shared" ca="1" si="85"/>
        <v>0</v>
      </c>
    </row>
    <row r="207" spans="1:40" ht="13.8" x14ac:dyDescent="0.3">
      <c r="A207" t="str">
        <f t="shared" ref="A207:A270" si="92">CHOOSE(1+LOG(1+2*(ORÇAMENTO.Nivel="Meta")+4*(ORÇAMENTO.Nivel="Nível 2")+8*(ORÇAMENTO.Nivel="Nível 3")+16*(ORÇAMENTO.Nivel="Nível 4")+32*(ORÇAMENTO.Nivel="Serviço"),2),0,1,2,3,4,"S")</f>
        <v>S</v>
      </c>
      <c r="B207">
        <f t="shared" ref="B207:B270" ca="1" si="93">IF(OR(C207="s",C207=0),OFFSET(B207,-1,0),C207)</f>
        <v>3</v>
      </c>
      <c r="C207" t="str">
        <f t="shared" ref="C207:C270" ca="1" si="94">IF(OFFSET(C207,-1,0)="L",1,IF(OFFSET(C207,-1,0)=1,2,IF(OR(A207="s",A207=0),"S",IF(AND(OFFSET(C207,-1,0)=2,A207=4),3,IF(AND(OR(OFFSET(C207,-1,0)="s",OFFSET(C207,-1,0)=0),A207&lt;&gt;"s",A207&gt;OFFSET(B207,-1,0)),OFFSET(B207,-1,0),A207)))))</f>
        <v>S</v>
      </c>
      <c r="D207">
        <f t="shared" ref="D207:D270" ca="1" si="95">IF(OR(C207="S",C207=0),0,IF(ISERROR(K207),J207,SMALL(J207:K207,1)))</f>
        <v>0</v>
      </c>
      <c r="E207">
        <f ca="1">IF($C207=1,OFFSET(E207,-1,0)+MAX(1,COUNTIF(QCI!$A$13:$A$24,OFFSET(ORÇAMENTO!E207,-1,0))),OFFSET(E207,-1,0))</f>
        <v>1</v>
      </c>
      <c r="F207">
        <f t="shared" ref="F207:F270" ca="1" si="96">IF($C207=1,0,IF($C207=2,OFFSET(F207,-1,0)+1,OFFSET(F207,-1,0)))</f>
        <v>6</v>
      </c>
      <c r="G207">
        <f t="shared" ref="G207:G270" ca="1" si="97">IF(AND($C207&lt;=2,$C207&lt;&gt;0),0,IF($C207=3,OFFSET(G207,-1,0)+1,OFFSET(G207,-1,0)))</f>
        <v>4</v>
      </c>
      <c r="H207">
        <f t="shared" ref="H207:H270" ca="1" si="98">IF(AND($C207&lt;=3,$C207&lt;&gt;0),0,IF($C207=4,OFFSET(H207,-1,0)+1,OFFSET(H207,-1,0)))</f>
        <v>0</v>
      </c>
      <c r="I207">
        <f t="shared" ref="I207:I270" ca="1" si="99">IF(AND($C207&lt;=4,$C207&lt;&gt;0),0,IF(AND($C207="S",$X207&gt;0),OFFSET(I207,-1,0)+1,OFFSET(I207,-1,0)))</f>
        <v>0</v>
      </c>
      <c r="J207">
        <f t="shared" ca="1" si="86"/>
        <v>0</v>
      </c>
      <c r="K207">
        <f ca="1">IF(OR($C207="S",$C207=0),0,MATCH(OFFSET($D207,0,$C207)+IF($C207&lt;&gt;1,1,COUNTIF(QCI!$A$13:$A$24,ORÇAMENTO!E207)),OFFSET($D207,1,$C207,ROW($C$710)-ROW($C207)),0))</f>
        <v>0</v>
      </c>
      <c r="L207" s="143" t="str">
        <f t="shared" ref="L207:L270" ca="1" si="100">IF(OR($X207&gt;0,$C207=1,$C207=2,$C207=3,$C207=4),"F","")</f>
        <v/>
      </c>
      <c r="M207" s="144" t="s">
        <v>201</v>
      </c>
      <c r="N207" s="145" t="str">
        <f t="shared" ref="N207:N270" ca="1" si="101">CHOOSE(1+LOG(1+2*(C207=1)+4*(C207=2)+8*(C207=3)+16*(C207=4)+32*(C207="S"),2),"","Meta","Nível 2","Nível 3","Nível 4","Serviço")</f>
        <v>Serviço</v>
      </c>
      <c r="O207" s="146" t="str">
        <f t="shared" ref="O207:O270" ca="1" si="102">IF(OR($C207=0,$L207=""),"-",CONCATENATE(E207&amp;".",IF(AND($A$5&gt;=2,$C207&gt;=2),F207&amp;".",""),IF(AND($A$5&gt;=3,$C207&gt;=3),G207&amp;".",""),IF(AND($A$5&gt;=4,$C207&gt;=4),H207&amp;".",""),IF($C207="S",I207&amp;".","")))</f>
        <v>-</v>
      </c>
      <c r="P207" s="147" t="s">
        <v>249</v>
      </c>
      <c r="Q207" s="148">
        <v>94569</v>
      </c>
      <c r="R207" s="149" t="str">
        <f t="shared" ca="1" si="90"/>
        <v>(abra o arquivo 'Referência 05-2024.xls)</v>
      </c>
      <c r="S207" s="150" t="str">
        <f t="shared" ca="1" si="91"/>
        <v>-</v>
      </c>
      <c r="T207" s="151">
        <f ca="1">OFFSET(CÁLCULO!H$15,ROW($T207)-ROW(T$15),0)</f>
        <v>15.54</v>
      </c>
      <c r="U207" s="152">
        <f t="shared" ca="1" si="87"/>
        <v>0</v>
      </c>
      <c r="V207" s="153" t="s">
        <v>158</v>
      </c>
      <c r="W207" s="151">
        <f t="shared" ref="W207:W270" ca="1" si="103">IF($C207="S",ROUND(IF(TIPOORCAMENTO="Proposto",ORÇAMENTO.CustoUnitario*(1+$AH207),ORÇAMENTO.PrecoUnitarioLicitado),15-13*$AF$10),0)</f>
        <v>0</v>
      </c>
      <c r="X207" s="154">
        <f t="shared" ref="X207:X270" ca="1" si="104">IF($C207="S",VTOTAL1,IF($C207=0,0,ROUND(SomaAgrup,15-13*$AF$11)))</f>
        <v>0</v>
      </c>
      <c r="Y207" s="155" t="s">
        <v>583</v>
      </c>
      <c r="Z207" t="str">
        <f t="shared" ref="Z207:Z270" ca="1" si="105">IF(AND($C207="S",$X207&gt;0),IF(ISBLANK($Y207),"RA",LEFT($Y207,2)),"")</f>
        <v/>
      </c>
      <c r="AA207" s="156">
        <f ca="1">IF($C207="S",IF($Z207="CP",$X207,IF($Z207="RA",(($X207)*QCI!$AA$3),0)),SomaAgrup)</f>
        <v>0</v>
      </c>
      <c r="AB207" s="157">
        <f t="shared" ref="AB207:AB270" ca="1" si="106">IF($C207="S",IF($Z207="OU",ROUND($X207,2),0),SomaAgrup)</f>
        <v>0</v>
      </c>
      <c r="AC207" s="158" t="str">
        <f t="shared" ref="AC207:AC270" ca="1" si="107">IF($N207="","",IF(ORÇAMENTO.Descricao="","DESCRIÇÃO",IF(AND($C207="S",ORÇAMENTO.Unidade=""),"UNIDADE",IF($X207&lt;0,"VALOR NEGATIVO",IF(OR(AND(TIPOORCAMENTO="Proposto",$AG207&lt;&gt;"",$AG207&gt;0,ORÇAMENTO.CustoUnitario&gt;$AG207),AND(TIPOORCAMENTO="LICITADO",ORÇAMENTO.PrecoUnitarioLicitado&gt;$AN207)),"ACIMA REF.","")))))</f>
        <v/>
      </c>
      <c r="AD207" s="104" t="str">
        <f ca="1">IF(C207&lt;=CRONO.NivelExibicao,MAX($AD$15:OFFSET(AD207,-1,0))+IF($C207&lt;&gt;1,1,MAX(1,COUNTIF(QCI!$A$13:$A$24,OFFSET($E207,-1,0)))),"")</f>
        <v/>
      </c>
      <c r="AE207" s="114" t="str">
        <f t="shared" ref="AE207:AE270" ca="1" si="108">IF(AND($C207="S",ORÇAMENTO.CodBarra&lt;&gt;""),IF(ORÇAMENTO.Fonte="",ORÇAMENTO.CodBarra,CONCATENATE(ORÇAMENTO.Fonte," ",ORÇAMENTO.CodBarra)))</f>
        <v>SINAPI 94569</v>
      </c>
      <c r="AF207" s="159" t="str">
        <f t="shared" ref="AF207:AF270" ca="1" si="109">IF(ISERROR(INDIRECT(ORÇAMENTO.BancoRef)),"(abra o arquivo 'Referência "&amp;Excel_BuiltIn_Database&amp;".xls)",IF(OR($C207&lt;&gt;"S",ORÇAMENTO.CodBarra=""),"(Sem Código)",IF(ISERROR(MATCH($AE207,INDIRECT(ORÇAMENTO.BancoRef),0)),"(Código não identificado nas referências)",MATCH($AE207,INDIRECT(ORÇAMENTO.BancoRef),0))))</f>
        <v>(abra o arquivo 'Referência 05-2024.xls)</v>
      </c>
      <c r="AG207" s="579">
        <f t="shared" ref="AG207:AG270" ca="1" si="110">ROUND(IF(DESONERACAO="sim",REFERENCIA.Desonerado,REFERENCIA.NaoDesonerado),2)</f>
        <v>0</v>
      </c>
      <c r="AH207" s="580">
        <f t="shared" ref="AH207:AH270" ca="1" si="111">ROUND(IF(ISNUMBER(ORÇAMENTO.OpcaoBDI),ORÇAMENTO.OpcaoBDI,IF(LEFT(ORÇAMENTO.OpcaoBDI,3)="BDI",HLOOKUP(ORÇAMENTO.OpcaoBDI,$F$4:$H$5,2,FALSE),0)),15-11*$AF$9)</f>
        <v>0.22470000000000001</v>
      </c>
      <c r="AJ207" s="582">
        <v>15.54</v>
      </c>
      <c r="AL207" s="612"/>
      <c r="AM207" s="430">
        <f t="shared" ref="AM207:AM270" ca="1" si="112">$X207</f>
        <v>0</v>
      </c>
      <c r="AN207" s="655">
        <f t="shared" ref="AN207:AN270" ca="1" si="113">ROUND(ORÇAMENTO.CustoUnitario*(1+$AH207),2)</f>
        <v>0</v>
      </c>
    </row>
    <row r="208" spans="1:40" ht="13.8" x14ac:dyDescent="0.3">
      <c r="A208" t="str">
        <f t="shared" si="92"/>
        <v>S</v>
      </c>
      <c r="B208">
        <f t="shared" ca="1" si="93"/>
        <v>3</v>
      </c>
      <c r="C208" t="str">
        <f t="shared" ca="1" si="94"/>
        <v>S</v>
      </c>
      <c r="D208">
        <f t="shared" ca="1" si="95"/>
        <v>0</v>
      </c>
      <c r="E208">
        <f ca="1">IF($C208=1,OFFSET(E208,-1,0)+MAX(1,COUNTIF(QCI!$A$13:$A$24,OFFSET(ORÇAMENTO!E208,-1,0))),OFFSET(E208,-1,0))</f>
        <v>1</v>
      </c>
      <c r="F208">
        <f t="shared" ca="1" si="96"/>
        <v>6</v>
      </c>
      <c r="G208">
        <f t="shared" ca="1" si="97"/>
        <v>4</v>
      </c>
      <c r="H208">
        <f t="shared" ca="1" si="98"/>
        <v>0</v>
      </c>
      <c r="I208">
        <f t="shared" ca="1" si="99"/>
        <v>0</v>
      </c>
      <c r="J208">
        <f t="shared" ref="J208:J271" ca="1" si="114">IF(OR($C208="S",$C208=0),0,MATCH(0,OFFSET($D208,1,$C208,ROW($C$710)-ROW($C208)),0))</f>
        <v>0</v>
      </c>
      <c r="K208">
        <f ca="1">IF(OR($C208="S",$C208=0),0,MATCH(OFFSET($D208,0,$C208)+IF($C208&lt;&gt;1,1,COUNTIF(QCI!$A$13:$A$24,ORÇAMENTO!E208)),OFFSET($D208,1,$C208,ROW($C$710)-ROW($C208)),0))</f>
        <v>0</v>
      </c>
      <c r="L208" s="143" t="str">
        <f t="shared" ca="1" si="100"/>
        <v/>
      </c>
      <c r="M208" s="144" t="s">
        <v>201</v>
      </c>
      <c r="N208" s="145" t="str">
        <f t="shared" ca="1" si="101"/>
        <v>Serviço</v>
      </c>
      <c r="O208" s="146" t="str">
        <f t="shared" ca="1" si="102"/>
        <v>-</v>
      </c>
      <c r="P208" s="147" t="s">
        <v>249</v>
      </c>
      <c r="Q208" s="148">
        <v>94569</v>
      </c>
      <c r="R208" s="149" t="str">
        <f t="shared" ca="1" si="90"/>
        <v>(abra o arquivo 'Referência 05-2024.xls)</v>
      </c>
      <c r="S208" s="150" t="str">
        <f t="shared" ca="1" si="91"/>
        <v>-</v>
      </c>
      <c r="T208" s="151">
        <f ca="1">OFFSET(CÁLCULO!H$15,ROW($T208)-ROW(T$15),0)</f>
        <v>16.8</v>
      </c>
      <c r="U208" s="152">
        <f t="shared" ca="1" si="87"/>
        <v>0</v>
      </c>
      <c r="V208" s="153" t="s">
        <v>158</v>
      </c>
      <c r="W208" s="151">
        <f t="shared" ca="1" si="103"/>
        <v>0</v>
      </c>
      <c r="X208" s="154">
        <f t="shared" ca="1" si="104"/>
        <v>0</v>
      </c>
      <c r="Y208" s="155" t="s">
        <v>583</v>
      </c>
      <c r="Z208" t="str">
        <f t="shared" ca="1" si="105"/>
        <v/>
      </c>
      <c r="AA208" s="156">
        <f ca="1">IF($C208="S",IF($Z208="CP",$X208,IF($Z208="RA",(($X208)*QCI!$AA$3),0)),SomaAgrup)</f>
        <v>0</v>
      </c>
      <c r="AB208" s="157">
        <f t="shared" ca="1" si="106"/>
        <v>0</v>
      </c>
      <c r="AC208" s="158" t="str">
        <f t="shared" ca="1" si="107"/>
        <v/>
      </c>
      <c r="AD208" s="104" t="str">
        <f ca="1">IF(C208&lt;=CRONO.NivelExibicao,MAX($AD$15:OFFSET(AD208,-1,0))+IF($C208&lt;&gt;1,1,MAX(1,COUNTIF(QCI!$A$13:$A$24,OFFSET($E208,-1,0)))),"")</f>
        <v/>
      </c>
      <c r="AE208" s="114" t="str">
        <f t="shared" ca="1" si="108"/>
        <v>SINAPI 94569</v>
      </c>
      <c r="AF208" s="159" t="str">
        <f t="shared" ca="1" si="109"/>
        <v>(abra o arquivo 'Referência 05-2024.xls)</v>
      </c>
      <c r="AG208" s="579">
        <f t="shared" ca="1" si="110"/>
        <v>0</v>
      </c>
      <c r="AH208" s="580">
        <f t="shared" ca="1" si="111"/>
        <v>0.22470000000000001</v>
      </c>
      <c r="AJ208" s="582">
        <v>16.8</v>
      </c>
      <c r="AL208" s="612"/>
      <c r="AM208" s="430">
        <f t="shared" ca="1" si="112"/>
        <v>0</v>
      </c>
      <c r="AN208" s="655">
        <f t="shared" ca="1" si="113"/>
        <v>0</v>
      </c>
    </row>
    <row r="209" spans="1:40" ht="13.8" x14ac:dyDescent="0.3">
      <c r="A209" t="str">
        <f t="shared" si="92"/>
        <v>S</v>
      </c>
      <c r="B209">
        <f t="shared" ca="1" si="93"/>
        <v>3</v>
      </c>
      <c r="C209" t="str">
        <f t="shared" ca="1" si="94"/>
        <v>S</v>
      </c>
      <c r="D209">
        <f t="shared" ca="1" si="95"/>
        <v>0</v>
      </c>
      <c r="E209">
        <f ca="1">IF($C209=1,OFFSET(E209,-1,0)+MAX(1,COUNTIF(QCI!$A$13:$A$24,OFFSET(ORÇAMENTO!E209,-1,0))),OFFSET(E209,-1,0))</f>
        <v>1</v>
      </c>
      <c r="F209">
        <f t="shared" ca="1" si="96"/>
        <v>6</v>
      </c>
      <c r="G209">
        <f t="shared" ca="1" si="97"/>
        <v>4</v>
      </c>
      <c r="H209">
        <f t="shared" ca="1" si="98"/>
        <v>0</v>
      </c>
      <c r="I209">
        <f t="shared" ca="1" si="99"/>
        <v>0</v>
      </c>
      <c r="J209">
        <f t="shared" ca="1" si="114"/>
        <v>0</v>
      </c>
      <c r="K209">
        <f ca="1">IF(OR($C209="S",$C209=0),0,MATCH(OFFSET($D209,0,$C209)+IF($C209&lt;&gt;1,1,COUNTIF(QCI!$A$13:$A$24,ORÇAMENTO!E209)),OFFSET($D209,1,$C209,ROW($C$710)-ROW($C209)),0))</f>
        <v>0</v>
      </c>
      <c r="L209" s="143" t="str">
        <f t="shared" ca="1" si="100"/>
        <v/>
      </c>
      <c r="M209" s="144" t="s">
        <v>201</v>
      </c>
      <c r="N209" s="145" t="str">
        <f t="shared" ca="1" si="101"/>
        <v>Serviço</v>
      </c>
      <c r="O209" s="146" t="str">
        <f t="shared" ca="1" si="102"/>
        <v>-</v>
      </c>
      <c r="P209" s="147" t="s">
        <v>441</v>
      </c>
      <c r="Q209" s="148" t="s">
        <v>468</v>
      </c>
      <c r="R209" s="149" t="str">
        <f t="shared" ca="1" si="90"/>
        <v>(abra o arquivo 'Referência 05-2024.xls)</v>
      </c>
      <c r="S209" s="150" t="str">
        <f t="shared" ca="1" si="91"/>
        <v>-</v>
      </c>
      <c r="T209" s="151">
        <f ca="1">OFFSET(CÁLCULO!H$15,ROW($T209)-ROW(T$15),0)</f>
        <v>2.73</v>
      </c>
      <c r="U209" s="152">
        <f t="shared" ca="1" si="87"/>
        <v>0</v>
      </c>
      <c r="V209" s="153" t="s">
        <v>193</v>
      </c>
      <c r="W209" s="151">
        <f t="shared" ca="1" si="103"/>
        <v>0</v>
      </c>
      <c r="X209" s="154">
        <f t="shared" ca="1" si="104"/>
        <v>0</v>
      </c>
      <c r="Y209" s="155" t="s">
        <v>583</v>
      </c>
      <c r="Z209" t="str">
        <f t="shared" ca="1" si="105"/>
        <v/>
      </c>
      <c r="AA209" s="156">
        <f ca="1">IF($C209="S",IF($Z209="CP",$X209,IF($Z209="RA",(($X209)*QCI!$AA$3),0)),SomaAgrup)</f>
        <v>0</v>
      </c>
      <c r="AB209" s="157">
        <f t="shared" ca="1" si="106"/>
        <v>0</v>
      </c>
      <c r="AC209" s="158" t="str">
        <f t="shared" ca="1" si="107"/>
        <v/>
      </c>
      <c r="AD209" s="104" t="str">
        <f ca="1">IF(C209&lt;=CRONO.NivelExibicao,MAX($AD$15:OFFSET(AD209,-1,0))+IF($C209&lt;&gt;1,1,MAX(1,COUNTIF(QCI!$A$13:$A$24,OFFSET($E209,-1,0)))),"")</f>
        <v/>
      </c>
      <c r="AE209" s="114" t="str">
        <f t="shared" ca="1" si="108"/>
        <v>Composição CP-18</v>
      </c>
      <c r="AF209" s="159" t="str">
        <f t="shared" ca="1" si="109"/>
        <v>(abra o arquivo 'Referência 05-2024.xls)</v>
      </c>
      <c r="AG209" s="579">
        <f t="shared" ca="1" si="110"/>
        <v>0</v>
      </c>
      <c r="AH209" s="580">
        <f t="shared" ca="1" si="111"/>
        <v>0.16800000000000001</v>
      </c>
      <c r="AJ209" s="582">
        <v>2.73</v>
      </c>
      <c r="AL209" s="612"/>
      <c r="AM209" s="430">
        <f t="shared" ca="1" si="112"/>
        <v>0</v>
      </c>
      <c r="AN209" s="655">
        <f t="shared" ca="1" si="113"/>
        <v>0</v>
      </c>
    </row>
    <row r="210" spans="1:40" ht="13.8" x14ac:dyDescent="0.3">
      <c r="A210">
        <f t="shared" si="92"/>
        <v>3</v>
      </c>
      <c r="B210">
        <f t="shared" ca="1" si="93"/>
        <v>3</v>
      </c>
      <c r="C210">
        <f t="shared" ca="1" si="94"/>
        <v>3</v>
      </c>
      <c r="D210">
        <f t="shared" ca="1" si="95"/>
        <v>2</v>
      </c>
      <c r="E210">
        <f ca="1">IF($C210=1,OFFSET(E210,-1,0)+MAX(1,COUNTIF(QCI!$A$13:$A$24,OFFSET(ORÇAMENTO!E210,-1,0))),OFFSET(E210,-1,0))</f>
        <v>1</v>
      </c>
      <c r="F210">
        <f t="shared" ca="1" si="96"/>
        <v>6</v>
      </c>
      <c r="G210">
        <f t="shared" ca="1" si="97"/>
        <v>5</v>
      </c>
      <c r="H210">
        <f t="shared" ca="1" si="98"/>
        <v>0</v>
      </c>
      <c r="I210">
        <f t="shared" ca="1" si="99"/>
        <v>0</v>
      </c>
      <c r="J210">
        <f t="shared" ca="1" si="114"/>
        <v>9</v>
      </c>
      <c r="K210">
        <f ca="1">IF(OR($C210="S",$C210=0),0,MATCH(OFFSET($D210,0,$C210)+IF($C210&lt;&gt;1,1,COUNTIF(QCI!$A$13:$A$24,ORÇAMENTO!E210)),OFFSET($D210,1,$C210,ROW($C$710)-ROW($C210)),0))</f>
        <v>2</v>
      </c>
      <c r="L210" s="143" t="str">
        <f t="shared" ca="1" si="100"/>
        <v>F</v>
      </c>
      <c r="M210" s="144" t="s">
        <v>199</v>
      </c>
      <c r="N210" s="145" t="str">
        <f t="shared" ca="1" si="101"/>
        <v>Nível 3</v>
      </c>
      <c r="O210" s="146" t="str">
        <f t="shared" ca="1" si="102"/>
        <v>1.6.5.</v>
      </c>
      <c r="P210" s="147" t="s">
        <v>249</v>
      </c>
      <c r="Q210" s="148"/>
      <c r="R210" s="149" t="s">
        <v>513</v>
      </c>
      <c r="S210" s="150" t="s">
        <v>168</v>
      </c>
      <c r="T210" s="151">
        <f ca="1">OFFSET(CÁLCULO!H$15,ROW($T210)-ROW(T$15),0)</f>
        <v>0</v>
      </c>
      <c r="U210" s="152">
        <f t="shared" ref="U210:U273" ca="1" si="115">AG210</f>
        <v>0</v>
      </c>
      <c r="V210" s="153" t="s">
        <v>158</v>
      </c>
      <c r="W210" s="151">
        <f t="shared" ca="1" si="103"/>
        <v>0</v>
      </c>
      <c r="X210" s="154">
        <f t="shared" ca="1" si="104"/>
        <v>0</v>
      </c>
      <c r="Y210" s="155" t="s">
        <v>583</v>
      </c>
      <c r="Z210" t="str">
        <f t="shared" ca="1" si="105"/>
        <v/>
      </c>
      <c r="AA210" s="156">
        <f ca="1">IF($C210="S",IF($Z210="CP",$X210,IF($Z210="RA",(($X210)*QCI!$AA$3),0)),SomaAgrup)</f>
        <v>0</v>
      </c>
      <c r="AB210" s="157">
        <f t="shared" ca="1" si="106"/>
        <v>0</v>
      </c>
      <c r="AC210" s="158" t="str">
        <f t="shared" ca="1" si="107"/>
        <v/>
      </c>
      <c r="AD210" s="104" t="str">
        <f ca="1">IF(C210&lt;=CRONO.NivelExibicao,MAX($AD$15:OFFSET(AD210,-1,0))+IF($C210&lt;&gt;1,1,MAX(1,COUNTIF(QCI!$A$13:$A$24,OFFSET($E210,-1,0)))),"")</f>
        <v/>
      </c>
      <c r="AE210" s="114" t="b">
        <f t="shared" ca="1" si="108"/>
        <v>0</v>
      </c>
      <c r="AF210" s="159" t="str">
        <f t="shared" ca="1" si="109"/>
        <v>(abra o arquivo 'Referência 05-2024.xls)</v>
      </c>
      <c r="AG210" s="579">
        <f t="shared" ca="1" si="110"/>
        <v>0</v>
      </c>
      <c r="AH210" s="580">
        <f t="shared" ca="1" si="111"/>
        <v>0.22470000000000001</v>
      </c>
      <c r="AJ210" s="582"/>
      <c r="AL210" s="612"/>
      <c r="AM210" s="430">
        <f t="shared" ca="1" si="112"/>
        <v>0</v>
      </c>
      <c r="AN210" s="655">
        <f t="shared" ca="1" si="113"/>
        <v>0</v>
      </c>
    </row>
    <row r="211" spans="1:40" ht="13.8" x14ac:dyDescent="0.3">
      <c r="A211" t="str">
        <f t="shared" si="92"/>
        <v>S</v>
      </c>
      <c r="B211">
        <f t="shared" ca="1" si="93"/>
        <v>3</v>
      </c>
      <c r="C211" t="str">
        <f t="shared" ca="1" si="94"/>
        <v>S</v>
      </c>
      <c r="D211">
        <f t="shared" ca="1" si="95"/>
        <v>0</v>
      </c>
      <c r="E211">
        <f ca="1">IF($C211=1,OFFSET(E211,-1,0)+MAX(1,COUNTIF(QCI!$A$13:$A$24,OFFSET(ORÇAMENTO!E211,-1,0))),OFFSET(E211,-1,0))</f>
        <v>1</v>
      </c>
      <c r="F211">
        <f t="shared" ca="1" si="96"/>
        <v>6</v>
      </c>
      <c r="G211">
        <f t="shared" ca="1" si="97"/>
        <v>5</v>
      </c>
      <c r="H211">
        <f t="shared" ca="1" si="98"/>
        <v>0</v>
      </c>
      <c r="I211">
        <f t="shared" ca="1" si="99"/>
        <v>0</v>
      </c>
      <c r="J211">
        <f t="shared" ca="1" si="114"/>
        <v>0</v>
      </c>
      <c r="K211">
        <f ca="1">IF(OR($C211="S",$C211=0),0,MATCH(OFFSET($D211,0,$C211)+IF($C211&lt;&gt;1,1,COUNTIF(QCI!$A$13:$A$24,ORÇAMENTO!E211)),OFFSET($D211,1,$C211,ROW($C$710)-ROW($C211)),0))</f>
        <v>0</v>
      </c>
      <c r="L211" s="143" t="str">
        <f t="shared" ca="1" si="100"/>
        <v/>
      </c>
      <c r="M211" s="144" t="s">
        <v>201</v>
      </c>
      <c r="N211" s="145" t="str">
        <f t="shared" ca="1" si="101"/>
        <v>Serviço</v>
      </c>
      <c r="O211" s="146" t="str">
        <f t="shared" ca="1" si="102"/>
        <v>-</v>
      </c>
      <c r="P211" s="147" t="s">
        <v>441</v>
      </c>
      <c r="Q211" s="148" t="s">
        <v>476</v>
      </c>
      <c r="R211" s="149" t="str">
        <f ca="1">IF($C211="S",REFERENCIA.Descricao,"(digite a descrição aqui)")</f>
        <v>(abra o arquivo 'Referência 05-2024.xls)</v>
      </c>
      <c r="S211" s="150" t="str">
        <f ca="1">REFERENCIA.Unidade</f>
        <v>-</v>
      </c>
      <c r="T211" s="151">
        <f ca="1">OFFSET(CÁLCULO!H$15,ROW($T211)-ROW(T$15),0)</f>
        <v>6.65</v>
      </c>
      <c r="U211" s="152">
        <f t="shared" ca="1" si="115"/>
        <v>0</v>
      </c>
      <c r="V211" s="153" t="s">
        <v>193</v>
      </c>
      <c r="W211" s="151">
        <f t="shared" ca="1" si="103"/>
        <v>0</v>
      </c>
      <c r="X211" s="154">
        <f t="shared" ca="1" si="104"/>
        <v>0</v>
      </c>
      <c r="Y211" s="155" t="s">
        <v>583</v>
      </c>
      <c r="Z211" t="str">
        <f t="shared" ca="1" si="105"/>
        <v/>
      </c>
      <c r="AA211" s="156">
        <f ca="1">IF($C211="S",IF($Z211="CP",$X211,IF($Z211="RA",(($X211)*QCI!$AA$3),0)),SomaAgrup)</f>
        <v>0</v>
      </c>
      <c r="AB211" s="157">
        <f t="shared" ca="1" si="106"/>
        <v>0</v>
      </c>
      <c r="AC211" s="158" t="str">
        <f t="shared" ca="1" si="107"/>
        <v/>
      </c>
      <c r="AD211" s="104" t="str">
        <f ca="1">IF(C211&lt;=CRONO.NivelExibicao,MAX($AD$15:OFFSET(AD211,-1,0))+IF($C211&lt;&gt;1,1,MAX(1,COUNTIF(QCI!$A$13:$A$24,OFFSET($E211,-1,0)))),"")</f>
        <v/>
      </c>
      <c r="AE211" s="114" t="str">
        <f t="shared" ca="1" si="108"/>
        <v>Composição CP-19</v>
      </c>
      <c r="AF211" s="159" t="str">
        <f t="shared" ca="1" si="109"/>
        <v>(abra o arquivo 'Referência 05-2024.xls)</v>
      </c>
      <c r="AG211" s="579">
        <f t="shared" ca="1" si="110"/>
        <v>0</v>
      </c>
      <c r="AH211" s="580">
        <f t="shared" ca="1" si="111"/>
        <v>0.16800000000000001</v>
      </c>
      <c r="AJ211" s="582">
        <v>6.65</v>
      </c>
      <c r="AL211" s="612"/>
      <c r="AM211" s="430">
        <f t="shared" ca="1" si="112"/>
        <v>0</v>
      </c>
      <c r="AN211" s="655">
        <f t="shared" ca="1" si="113"/>
        <v>0</v>
      </c>
    </row>
    <row r="212" spans="1:40" ht="13.8" x14ac:dyDescent="0.3">
      <c r="A212">
        <f t="shared" si="92"/>
        <v>3</v>
      </c>
      <c r="B212">
        <f t="shared" ca="1" si="93"/>
        <v>3</v>
      </c>
      <c r="C212">
        <f t="shared" ca="1" si="94"/>
        <v>3</v>
      </c>
      <c r="D212">
        <f t="shared" ca="1" si="95"/>
        <v>7</v>
      </c>
      <c r="E212">
        <f ca="1">IF($C212=1,OFFSET(E212,-1,0)+MAX(1,COUNTIF(QCI!$A$13:$A$24,OFFSET(ORÇAMENTO!E212,-1,0))),OFFSET(E212,-1,0))</f>
        <v>1</v>
      </c>
      <c r="F212">
        <f t="shared" ca="1" si="96"/>
        <v>6</v>
      </c>
      <c r="G212">
        <f t="shared" ca="1" si="97"/>
        <v>6</v>
      </c>
      <c r="H212">
        <f t="shared" ca="1" si="98"/>
        <v>0</v>
      </c>
      <c r="I212">
        <f t="shared" ca="1" si="99"/>
        <v>0</v>
      </c>
      <c r="J212">
        <f t="shared" ca="1" si="114"/>
        <v>7</v>
      </c>
      <c r="K212" t="e">
        <f ca="1">IF(OR($C212="S",$C212=0),0,MATCH(OFFSET($D212,0,$C212)+IF($C212&lt;&gt;1,1,COUNTIF(QCI!$A$13:$A$24,ORÇAMENTO!E212)),OFFSET($D212,1,$C212,ROW($C$710)-ROW($C212)),0))</f>
        <v>#N/A</v>
      </c>
      <c r="L212" s="143" t="str">
        <f t="shared" ca="1" si="100"/>
        <v>F</v>
      </c>
      <c r="M212" s="144" t="s">
        <v>199</v>
      </c>
      <c r="N212" s="145" t="str">
        <f t="shared" ca="1" si="101"/>
        <v>Nível 3</v>
      </c>
      <c r="O212" s="146" t="str">
        <f t="shared" ca="1" si="102"/>
        <v>1.6.6.</v>
      </c>
      <c r="P212" s="147" t="s">
        <v>249</v>
      </c>
      <c r="Q212" s="148"/>
      <c r="R212" s="149" t="s">
        <v>514</v>
      </c>
      <c r="S212" s="150" t="s">
        <v>168</v>
      </c>
      <c r="T212" s="151">
        <f ca="1">OFFSET(CÁLCULO!H$15,ROW($T212)-ROW(T$15),0)</f>
        <v>0</v>
      </c>
      <c r="U212" s="152">
        <f t="shared" ca="1" si="115"/>
        <v>0</v>
      </c>
      <c r="V212" s="153" t="s">
        <v>158</v>
      </c>
      <c r="W212" s="151">
        <f t="shared" ca="1" si="103"/>
        <v>0</v>
      </c>
      <c r="X212" s="154">
        <f t="shared" ca="1" si="104"/>
        <v>0</v>
      </c>
      <c r="Y212" s="155" t="s">
        <v>583</v>
      </c>
      <c r="Z212" t="str">
        <f t="shared" ca="1" si="105"/>
        <v/>
      </c>
      <c r="AA212" s="156">
        <f ca="1">IF($C212="S",IF($Z212="CP",$X212,IF($Z212="RA",(($X212)*QCI!$AA$3),0)),SomaAgrup)</f>
        <v>0</v>
      </c>
      <c r="AB212" s="157">
        <f t="shared" ca="1" si="106"/>
        <v>0</v>
      </c>
      <c r="AC212" s="158" t="str">
        <f t="shared" ca="1" si="107"/>
        <v/>
      </c>
      <c r="AD212" s="104" t="str">
        <f ca="1">IF(C212&lt;=CRONO.NivelExibicao,MAX($AD$15:OFFSET(AD212,-1,0))+IF($C212&lt;&gt;1,1,MAX(1,COUNTIF(QCI!$A$13:$A$24,OFFSET($E212,-1,0)))),"")</f>
        <v/>
      </c>
      <c r="AE212" s="114" t="b">
        <f t="shared" ca="1" si="108"/>
        <v>0</v>
      </c>
      <c r="AF212" s="159" t="str">
        <f t="shared" ca="1" si="109"/>
        <v>(abra o arquivo 'Referência 05-2024.xls)</v>
      </c>
      <c r="AG212" s="579">
        <f t="shared" ca="1" si="110"/>
        <v>0</v>
      </c>
      <c r="AH212" s="580">
        <f t="shared" ca="1" si="111"/>
        <v>0.22470000000000001</v>
      </c>
      <c r="AJ212" s="582"/>
      <c r="AL212" s="612"/>
      <c r="AM212" s="430">
        <f t="shared" ca="1" si="112"/>
        <v>0</v>
      </c>
      <c r="AN212" s="655">
        <f t="shared" ca="1" si="113"/>
        <v>0</v>
      </c>
    </row>
    <row r="213" spans="1:40" ht="13.8" x14ac:dyDescent="0.3">
      <c r="A213" t="str">
        <f t="shared" si="92"/>
        <v>S</v>
      </c>
      <c r="B213">
        <f t="shared" ca="1" si="93"/>
        <v>3</v>
      </c>
      <c r="C213" t="str">
        <f t="shared" ca="1" si="94"/>
        <v>S</v>
      </c>
      <c r="D213">
        <f t="shared" ca="1" si="95"/>
        <v>0</v>
      </c>
      <c r="E213">
        <f ca="1">IF($C213=1,OFFSET(E213,-1,0)+MAX(1,COUNTIF(QCI!$A$13:$A$24,OFFSET(ORÇAMENTO!E213,-1,0))),OFFSET(E213,-1,0))</f>
        <v>1</v>
      </c>
      <c r="F213">
        <f t="shared" ca="1" si="96"/>
        <v>6</v>
      </c>
      <c r="G213">
        <f t="shared" ca="1" si="97"/>
        <v>6</v>
      </c>
      <c r="H213">
        <f t="shared" ca="1" si="98"/>
        <v>0</v>
      </c>
      <c r="I213">
        <f t="shared" ca="1" si="99"/>
        <v>0</v>
      </c>
      <c r="J213">
        <f t="shared" ca="1" si="114"/>
        <v>0</v>
      </c>
      <c r="K213">
        <f ca="1">IF(OR($C213="S",$C213=0),0,MATCH(OFFSET($D213,0,$C213)+IF($C213&lt;&gt;1,1,COUNTIF(QCI!$A$13:$A$24,ORÇAMENTO!E213)),OFFSET($D213,1,$C213,ROW($C$710)-ROW($C213)),0))</f>
        <v>0</v>
      </c>
      <c r="L213" s="143" t="str">
        <f t="shared" ca="1" si="100"/>
        <v/>
      </c>
      <c r="M213" s="144" t="s">
        <v>201</v>
      </c>
      <c r="N213" s="145" t="str">
        <f t="shared" ca="1" si="101"/>
        <v>Serviço</v>
      </c>
      <c r="O213" s="146" t="str">
        <f t="shared" ca="1" si="102"/>
        <v>-</v>
      </c>
      <c r="P213" s="147" t="s">
        <v>441</v>
      </c>
      <c r="Q213" s="148" t="s">
        <v>477</v>
      </c>
      <c r="R213" s="149" t="str">
        <f t="shared" ref="R213:R218" ca="1" si="116">IF($C213="S",REFERENCIA.Descricao,"(digite a descrição aqui)")</f>
        <v>(abra o arquivo 'Referência 05-2024.xls)</v>
      </c>
      <c r="S213" s="150" t="str">
        <f t="shared" ref="S213:S218" ca="1" si="117">REFERENCIA.Unidade</f>
        <v>-</v>
      </c>
      <c r="T213" s="151">
        <f ca="1">OFFSET(CÁLCULO!H$15,ROW($T213)-ROW(T$15),0)</f>
        <v>10.94</v>
      </c>
      <c r="U213" s="152">
        <f t="shared" ca="1" si="115"/>
        <v>0</v>
      </c>
      <c r="V213" s="153" t="s">
        <v>158</v>
      </c>
      <c r="W213" s="151">
        <f t="shared" ca="1" si="103"/>
        <v>0</v>
      </c>
      <c r="X213" s="154">
        <f t="shared" ca="1" si="104"/>
        <v>0</v>
      </c>
      <c r="Y213" s="155" t="s">
        <v>583</v>
      </c>
      <c r="Z213" t="str">
        <f t="shared" ca="1" si="105"/>
        <v/>
      </c>
      <c r="AA213" s="156">
        <f ca="1">IF($C213="S",IF($Z213="CP",$X213,IF($Z213="RA",(($X213)*QCI!$AA$3),0)),SomaAgrup)</f>
        <v>0</v>
      </c>
      <c r="AB213" s="157">
        <f t="shared" ca="1" si="106"/>
        <v>0</v>
      </c>
      <c r="AC213" s="158" t="str">
        <f t="shared" ca="1" si="107"/>
        <v/>
      </c>
      <c r="AD213" s="104" t="str">
        <f ca="1">IF(C213&lt;=CRONO.NivelExibicao,MAX($AD$15:OFFSET(AD213,-1,0))+IF($C213&lt;&gt;1,1,MAX(1,COUNTIF(QCI!$A$13:$A$24,OFFSET($E213,-1,0)))),"")</f>
        <v/>
      </c>
      <c r="AE213" s="114" t="str">
        <f t="shared" ca="1" si="108"/>
        <v>Composição CP-20</v>
      </c>
      <c r="AF213" s="159" t="str">
        <f t="shared" ca="1" si="109"/>
        <v>(abra o arquivo 'Referência 05-2024.xls)</v>
      </c>
      <c r="AG213" s="579">
        <f t="shared" ca="1" si="110"/>
        <v>0</v>
      </c>
      <c r="AH213" s="580">
        <f t="shared" ca="1" si="111"/>
        <v>0.22470000000000001</v>
      </c>
      <c r="AJ213" s="582">
        <v>10.94</v>
      </c>
      <c r="AL213" s="612"/>
      <c r="AM213" s="430">
        <f t="shared" ca="1" si="112"/>
        <v>0</v>
      </c>
      <c r="AN213" s="655">
        <f t="shared" ca="1" si="113"/>
        <v>0</v>
      </c>
    </row>
    <row r="214" spans="1:40" ht="13.8" x14ac:dyDescent="0.3">
      <c r="A214" t="str">
        <f t="shared" si="92"/>
        <v>S</v>
      </c>
      <c r="B214">
        <f t="shared" ca="1" si="93"/>
        <v>3</v>
      </c>
      <c r="C214" t="str">
        <f t="shared" ca="1" si="94"/>
        <v>S</v>
      </c>
      <c r="D214">
        <f t="shared" ca="1" si="95"/>
        <v>0</v>
      </c>
      <c r="E214">
        <f ca="1">IF($C214=1,OFFSET(E214,-1,0)+MAX(1,COUNTIF(QCI!$A$13:$A$24,OFFSET(ORÇAMENTO!E214,-1,0))),OFFSET(E214,-1,0))</f>
        <v>1</v>
      </c>
      <c r="F214">
        <f t="shared" ca="1" si="96"/>
        <v>6</v>
      </c>
      <c r="G214">
        <f t="shared" ca="1" si="97"/>
        <v>6</v>
      </c>
      <c r="H214">
        <f t="shared" ca="1" si="98"/>
        <v>0</v>
      </c>
      <c r="I214">
        <f t="shared" ca="1" si="99"/>
        <v>0</v>
      </c>
      <c r="J214">
        <f t="shared" ca="1" si="114"/>
        <v>0</v>
      </c>
      <c r="K214">
        <f ca="1">IF(OR($C214="S",$C214=0),0,MATCH(OFFSET($D214,0,$C214)+IF($C214&lt;&gt;1,1,COUNTIF(QCI!$A$13:$A$24,ORÇAMENTO!E214)),OFFSET($D214,1,$C214,ROW($C$710)-ROW($C214)),0))</f>
        <v>0</v>
      </c>
      <c r="L214" s="143" t="str">
        <f t="shared" ca="1" si="100"/>
        <v/>
      </c>
      <c r="M214" s="144" t="s">
        <v>201</v>
      </c>
      <c r="N214" s="145" t="str">
        <f t="shared" ca="1" si="101"/>
        <v>Serviço</v>
      </c>
      <c r="O214" s="146" t="str">
        <f t="shared" ca="1" si="102"/>
        <v>-</v>
      </c>
      <c r="P214" s="147" t="s">
        <v>441</v>
      </c>
      <c r="Q214" s="148" t="s">
        <v>474</v>
      </c>
      <c r="R214" s="149" t="str">
        <f t="shared" ca="1" si="116"/>
        <v>(abra o arquivo 'Referência 05-2024.xls)</v>
      </c>
      <c r="S214" s="150" t="str">
        <f t="shared" ca="1" si="117"/>
        <v>-</v>
      </c>
      <c r="T214" s="151">
        <f ca="1">OFFSET(CÁLCULO!H$15,ROW($T214)-ROW(T$15),0)</f>
        <v>9.92</v>
      </c>
      <c r="U214" s="152">
        <f t="shared" ca="1" si="115"/>
        <v>0</v>
      </c>
      <c r="V214" s="153" t="s">
        <v>158</v>
      </c>
      <c r="W214" s="151">
        <f t="shared" ca="1" si="103"/>
        <v>0</v>
      </c>
      <c r="X214" s="154">
        <f t="shared" ca="1" si="104"/>
        <v>0</v>
      </c>
      <c r="Y214" s="155" t="s">
        <v>583</v>
      </c>
      <c r="Z214" t="str">
        <f t="shared" ca="1" si="105"/>
        <v/>
      </c>
      <c r="AA214" s="156">
        <f ca="1">IF($C214="S",IF($Z214="CP",$X214,IF($Z214="RA",(($X214)*QCI!$AA$3),0)),SomaAgrup)</f>
        <v>0</v>
      </c>
      <c r="AB214" s="157">
        <f t="shared" ca="1" si="106"/>
        <v>0</v>
      </c>
      <c r="AC214" s="158" t="str">
        <f t="shared" ca="1" si="107"/>
        <v/>
      </c>
      <c r="AD214" s="104" t="str">
        <f ca="1">IF(C214&lt;=CRONO.NivelExibicao,MAX($AD$15:OFFSET(AD214,-1,0))+IF($C214&lt;&gt;1,1,MAX(1,COUNTIF(QCI!$A$13:$A$24,OFFSET($E214,-1,0)))),"")</f>
        <v/>
      </c>
      <c r="AE214" s="114" t="str">
        <f t="shared" ca="1" si="108"/>
        <v>Composição CP-21</v>
      </c>
      <c r="AF214" s="159" t="str">
        <f t="shared" ca="1" si="109"/>
        <v>(abra o arquivo 'Referência 05-2024.xls)</v>
      </c>
      <c r="AG214" s="579">
        <f t="shared" ca="1" si="110"/>
        <v>0</v>
      </c>
      <c r="AH214" s="580">
        <f t="shared" ca="1" si="111"/>
        <v>0.22470000000000001</v>
      </c>
      <c r="AJ214" s="582">
        <v>9.92</v>
      </c>
      <c r="AL214" s="612"/>
      <c r="AM214" s="430">
        <f t="shared" ca="1" si="112"/>
        <v>0</v>
      </c>
      <c r="AN214" s="655">
        <f t="shared" ca="1" si="113"/>
        <v>0</v>
      </c>
    </row>
    <row r="215" spans="1:40" ht="13.8" x14ac:dyDescent="0.3">
      <c r="A215" t="str">
        <f t="shared" si="92"/>
        <v>S</v>
      </c>
      <c r="B215">
        <f t="shared" ca="1" si="93"/>
        <v>3</v>
      </c>
      <c r="C215" t="str">
        <f t="shared" ca="1" si="94"/>
        <v>S</v>
      </c>
      <c r="D215">
        <f t="shared" ca="1" si="95"/>
        <v>0</v>
      </c>
      <c r="E215">
        <f ca="1">IF($C215=1,OFFSET(E215,-1,0)+MAX(1,COUNTIF(QCI!$A$13:$A$24,OFFSET(ORÇAMENTO!E215,-1,0))),OFFSET(E215,-1,0))</f>
        <v>1</v>
      </c>
      <c r="F215">
        <f t="shared" ca="1" si="96"/>
        <v>6</v>
      </c>
      <c r="G215">
        <f t="shared" ca="1" si="97"/>
        <v>6</v>
      </c>
      <c r="H215">
        <f t="shared" ca="1" si="98"/>
        <v>0</v>
      </c>
      <c r="I215">
        <f t="shared" ca="1" si="99"/>
        <v>0</v>
      </c>
      <c r="J215">
        <f t="shared" ca="1" si="114"/>
        <v>0</v>
      </c>
      <c r="K215">
        <f ca="1">IF(OR($C215="S",$C215=0),0,MATCH(OFFSET($D215,0,$C215)+IF($C215&lt;&gt;1,1,COUNTIF(QCI!$A$13:$A$24,ORÇAMENTO!E215)),OFFSET($D215,1,$C215,ROW($C$710)-ROW($C215)),0))</f>
        <v>0</v>
      </c>
      <c r="L215" s="143" t="str">
        <f t="shared" ca="1" si="100"/>
        <v/>
      </c>
      <c r="M215" s="144" t="s">
        <v>201</v>
      </c>
      <c r="N215" s="145" t="str">
        <f t="shared" ca="1" si="101"/>
        <v>Serviço</v>
      </c>
      <c r="O215" s="146" t="str">
        <f t="shared" ca="1" si="102"/>
        <v>-</v>
      </c>
      <c r="P215" s="147" t="s">
        <v>441</v>
      </c>
      <c r="Q215" s="148" t="s">
        <v>469</v>
      </c>
      <c r="R215" s="149" t="str">
        <f t="shared" ca="1" si="116"/>
        <v>(abra o arquivo 'Referência 05-2024.xls)</v>
      </c>
      <c r="S215" s="150" t="str">
        <f t="shared" ca="1" si="117"/>
        <v>-</v>
      </c>
      <c r="T215" s="151">
        <f ca="1">OFFSET(CÁLCULO!H$15,ROW($T215)-ROW(T$15),0)</f>
        <v>34.69</v>
      </c>
      <c r="U215" s="152">
        <f t="shared" ca="1" si="115"/>
        <v>0</v>
      </c>
      <c r="V215" s="153" t="s">
        <v>158</v>
      </c>
      <c r="W215" s="151">
        <f t="shared" ca="1" si="103"/>
        <v>0</v>
      </c>
      <c r="X215" s="154">
        <f t="shared" ca="1" si="104"/>
        <v>0</v>
      </c>
      <c r="Y215" s="155" t="s">
        <v>583</v>
      </c>
      <c r="Z215" t="str">
        <f t="shared" ca="1" si="105"/>
        <v/>
      </c>
      <c r="AA215" s="156">
        <f ca="1">IF($C215="S",IF($Z215="CP",$X215,IF($Z215="RA",(($X215)*QCI!$AA$3),0)),SomaAgrup)</f>
        <v>0</v>
      </c>
      <c r="AB215" s="157">
        <f t="shared" ca="1" si="106"/>
        <v>0</v>
      </c>
      <c r="AC215" s="158" t="str">
        <f t="shared" ca="1" si="107"/>
        <v/>
      </c>
      <c r="AD215" s="104" t="str">
        <f ca="1">IF(C215&lt;=CRONO.NivelExibicao,MAX($AD$15:OFFSET(AD215,-1,0))+IF($C215&lt;&gt;1,1,MAX(1,COUNTIF(QCI!$A$13:$A$24,OFFSET($E215,-1,0)))),"")</f>
        <v/>
      </c>
      <c r="AE215" s="114" t="str">
        <f t="shared" ca="1" si="108"/>
        <v>Composição CP-22</v>
      </c>
      <c r="AF215" s="159" t="str">
        <f t="shared" ca="1" si="109"/>
        <v>(abra o arquivo 'Referência 05-2024.xls)</v>
      </c>
      <c r="AG215" s="579">
        <f t="shared" ca="1" si="110"/>
        <v>0</v>
      </c>
      <c r="AH215" s="580">
        <f t="shared" ca="1" si="111"/>
        <v>0.22470000000000001</v>
      </c>
      <c r="AJ215" s="582">
        <v>34.69</v>
      </c>
      <c r="AL215" s="612"/>
      <c r="AM215" s="430">
        <f t="shared" ca="1" si="112"/>
        <v>0</v>
      </c>
      <c r="AN215" s="655">
        <f t="shared" ca="1" si="113"/>
        <v>0</v>
      </c>
    </row>
    <row r="216" spans="1:40" ht="13.8" x14ac:dyDescent="0.3">
      <c r="A216" t="str">
        <f t="shared" si="92"/>
        <v>S</v>
      </c>
      <c r="B216">
        <f t="shared" ca="1" si="93"/>
        <v>3</v>
      </c>
      <c r="C216" t="str">
        <f t="shared" ca="1" si="94"/>
        <v>S</v>
      </c>
      <c r="D216">
        <f t="shared" ca="1" si="95"/>
        <v>0</v>
      </c>
      <c r="E216">
        <f ca="1">IF($C216=1,OFFSET(E216,-1,0)+MAX(1,COUNTIF(QCI!$A$13:$A$24,OFFSET(ORÇAMENTO!E216,-1,0))),OFFSET(E216,-1,0))</f>
        <v>1</v>
      </c>
      <c r="F216">
        <f t="shared" ca="1" si="96"/>
        <v>6</v>
      </c>
      <c r="G216">
        <f t="shared" ca="1" si="97"/>
        <v>6</v>
      </c>
      <c r="H216">
        <f t="shared" ca="1" si="98"/>
        <v>0</v>
      </c>
      <c r="I216">
        <f t="shared" ca="1" si="99"/>
        <v>0</v>
      </c>
      <c r="J216">
        <f t="shared" ca="1" si="114"/>
        <v>0</v>
      </c>
      <c r="K216">
        <f ca="1">IF(OR($C216="S",$C216=0),0,MATCH(OFFSET($D216,0,$C216)+IF($C216&lt;&gt;1,1,COUNTIF(QCI!$A$13:$A$24,ORÇAMENTO!E216)),OFFSET($D216,1,$C216,ROW($C$710)-ROW($C216)),0))</f>
        <v>0</v>
      </c>
      <c r="L216" s="143" t="str">
        <f t="shared" ca="1" si="100"/>
        <v/>
      </c>
      <c r="M216" s="144" t="s">
        <v>201</v>
      </c>
      <c r="N216" s="145" t="str">
        <f t="shared" ca="1" si="101"/>
        <v>Serviço</v>
      </c>
      <c r="O216" s="146" t="str">
        <f t="shared" ca="1" si="102"/>
        <v>-</v>
      </c>
      <c r="P216" s="147" t="s">
        <v>441</v>
      </c>
      <c r="Q216" s="148" t="s">
        <v>470</v>
      </c>
      <c r="R216" s="149" t="str">
        <f t="shared" ca="1" si="116"/>
        <v>(abra o arquivo 'Referência 05-2024.xls)</v>
      </c>
      <c r="S216" s="150" t="str">
        <f t="shared" ca="1" si="117"/>
        <v>-</v>
      </c>
      <c r="T216" s="151">
        <f ca="1">OFFSET(CÁLCULO!H$15,ROW($T216)-ROW(T$15),0)</f>
        <v>104.15</v>
      </c>
      <c r="U216" s="152">
        <f t="shared" ca="1" si="115"/>
        <v>0</v>
      </c>
      <c r="V216" s="153" t="s">
        <v>158</v>
      </c>
      <c r="W216" s="151">
        <f t="shared" ca="1" si="103"/>
        <v>0</v>
      </c>
      <c r="X216" s="154">
        <f t="shared" ca="1" si="104"/>
        <v>0</v>
      </c>
      <c r="Y216" s="155" t="s">
        <v>583</v>
      </c>
      <c r="Z216" t="str">
        <f t="shared" ca="1" si="105"/>
        <v/>
      </c>
      <c r="AA216" s="156">
        <f ca="1">IF($C216="S",IF($Z216="CP",$X216,IF($Z216="RA",(($X216)*QCI!$AA$3),0)),SomaAgrup)</f>
        <v>0</v>
      </c>
      <c r="AB216" s="157">
        <f t="shared" ca="1" si="106"/>
        <v>0</v>
      </c>
      <c r="AC216" s="158" t="str">
        <f t="shared" ca="1" si="107"/>
        <v/>
      </c>
      <c r="AD216" s="104" t="str">
        <f ca="1">IF(C216&lt;=CRONO.NivelExibicao,MAX($AD$15:OFFSET(AD216,-1,0))+IF($C216&lt;&gt;1,1,MAX(1,COUNTIF(QCI!$A$13:$A$24,OFFSET($E216,-1,0)))),"")</f>
        <v/>
      </c>
      <c r="AE216" s="114" t="str">
        <f t="shared" ca="1" si="108"/>
        <v>Composição CP-23</v>
      </c>
      <c r="AF216" s="159" t="str">
        <f t="shared" ca="1" si="109"/>
        <v>(abra o arquivo 'Referência 05-2024.xls)</v>
      </c>
      <c r="AG216" s="579">
        <f t="shared" ca="1" si="110"/>
        <v>0</v>
      </c>
      <c r="AH216" s="580">
        <f t="shared" ca="1" si="111"/>
        <v>0.22470000000000001</v>
      </c>
      <c r="AJ216" s="582">
        <v>104.15</v>
      </c>
      <c r="AL216" s="612"/>
      <c r="AM216" s="430">
        <f t="shared" ca="1" si="112"/>
        <v>0</v>
      </c>
      <c r="AN216" s="655">
        <f t="shared" ca="1" si="113"/>
        <v>0</v>
      </c>
    </row>
    <row r="217" spans="1:40" ht="13.8" x14ac:dyDescent="0.3">
      <c r="A217" t="str">
        <f t="shared" si="92"/>
        <v>S</v>
      </c>
      <c r="B217">
        <f t="shared" ca="1" si="93"/>
        <v>3</v>
      </c>
      <c r="C217" t="str">
        <f t="shared" ca="1" si="94"/>
        <v>S</v>
      </c>
      <c r="D217">
        <f t="shared" ca="1" si="95"/>
        <v>0</v>
      </c>
      <c r="E217">
        <f ca="1">IF($C217=1,OFFSET(E217,-1,0)+MAX(1,COUNTIF(QCI!$A$13:$A$24,OFFSET(ORÇAMENTO!E217,-1,0))),OFFSET(E217,-1,0))</f>
        <v>1</v>
      </c>
      <c r="F217">
        <f t="shared" ca="1" si="96"/>
        <v>6</v>
      </c>
      <c r="G217">
        <f t="shared" ca="1" si="97"/>
        <v>6</v>
      </c>
      <c r="H217">
        <f t="shared" ca="1" si="98"/>
        <v>0</v>
      </c>
      <c r="I217">
        <f t="shared" ca="1" si="99"/>
        <v>0</v>
      </c>
      <c r="J217">
        <f t="shared" ca="1" si="114"/>
        <v>0</v>
      </c>
      <c r="K217">
        <f ca="1">IF(OR($C217="S",$C217=0),0,MATCH(OFFSET($D217,0,$C217)+IF($C217&lt;&gt;1,1,COUNTIF(QCI!$A$13:$A$24,ORÇAMENTO!E217)),OFFSET($D217,1,$C217,ROW($C$710)-ROW($C217)),0))</f>
        <v>0</v>
      </c>
      <c r="L217" s="143" t="str">
        <f t="shared" ca="1" si="100"/>
        <v/>
      </c>
      <c r="M217" s="144" t="s">
        <v>201</v>
      </c>
      <c r="N217" s="145" t="str">
        <f t="shared" ca="1" si="101"/>
        <v>Serviço</v>
      </c>
      <c r="O217" s="146" t="str">
        <f t="shared" ca="1" si="102"/>
        <v>-</v>
      </c>
      <c r="P217" s="147" t="s">
        <v>441</v>
      </c>
      <c r="Q217" s="148" t="s">
        <v>471</v>
      </c>
      <c r="R217" s="149" t="str">
        <f t="shared" ca="1" si="116"/>
        <v>(abra o arquivo 'Referência 05-2024.xls)</v>
      </c>
      <c r="S217" s="150" t="str">
        <f t="shared" ca="1" si="117"/>
        <v>-</v>
      </c>
      <c r="T217" s="151">
        <f ca="1">OFFSET(CÁLCULO!H$15,ROW($T217)-ROW(T$15),0)</f>
        <v>151.6</v>
      </c>
      <c r="U217" s="152">
        <f t="shared" ca="1" si="115"/>
        <v>0</v>
      </c>
      <c r="V217" s="153" t="s">
        <v>158</v>
      </c>
      <c r="W217" s="151">
        <f t="shared" ca="1" si="103"/>
        <v>0</v>
      </c>
      <c r="X217" s="154">
        <f t="shared" ca="1" si="104"/>
        <v>0</v>
      </c>
      <c r="Y217" s="155" t="s">
        <v>583</v>
      </c>
      <c r="Z217" t="str">
        <f t="shared" ca="1" si="105"/>
        <v/>
      </c>
      <c r="AA217" s="156">
        <f ca="1">IF($C217="S",IF($Z217="CP",$X217,IF($Z217="RA",(($X217)*QCI!$AA$3),0)),SomaAgrup)</f>
        <v>0</v>
      </c>
      <c r="AB217" s="157">
        <f t="shared" ca="1" si="106"/>
        <v>0</v>
      </c>
      <c r="AC217" s="158" t="str">
        <f t="shared" ca="1" si="107"/>
        <v/>
      </c>
      <c r="AD217" s="104" t="str">
        <f ca="1">IF(C217&lt;=CRONO.NivelExibicao,MAX($AD$15:OFFSET(AD217,-1,0))+IF($C217&lt;&gt;1,1,MAX(1,COUNTIF(QCI!$A$13:$A$24,OFFSET($E217,-1,0)))),"")</f>
        <v/>
      </c>
      <c r="AE217" s="114" t="str">
        <f t="shared" ca="1" si="108"/>
        <v>Composição CP-24</v>
      </c>
      <c r="AF217" s="159" t="str">
        <f t="shared" ca="1" si="109"/>
        <v>(abra o arquivo 'Referência 05-2024.xls)</v>
      </c>
      <c r="AG217" s="579">
        <f t="shared" ca="1" si="110"/>
        <v>0</v>
      </c>
      <c r="AH217" s="580">
        <f t="shared" ca="1" si="111"/>
        <v>0.22470000000000001</v>
      </c>
      <c r="AJ217" s="582">
        <v>151.6</v>
      </c>
      <c r="AL217" s="612"/>
      <c r="AM217" s="430">
        <f t="shared" ca="1" si="112"/>
        <v>0</v>
      </c>
      <c r="AN217" s="655">
        <f t="shared" ca="1" si="113"/>
        <v>0</v>
      </c>
    </row>
    <row r="218" spans="1:40" ht="13.8" x14ac:dyDescent="0.3">
      <c r="A218" t="str">
        <f t="shared" si="92"/>
        <v>S</v>
      </c>
      <c r="B218">
        <f t="shared" ca="1" si="93"/>
        <v>3</v>
      </c>
      <c r="C218" t="str">
        <f t="shared" ca="1" si="94"/>
        <v>S</v>
      </c>
      <c r="D218">
        <f t="shared" ca="1" si="95"/>
        <v>0</v>
      </c>
      <c r="E218">
        <f ca="1">IF($C218=1,OFFSET(E218,-1,0)+MAX(1,COUNTIF(QCI!$A$13:$A$24,OFFSET(ORÇAMENTO!E218,-1,0))),OFFSET(E218,-1,0))</f>
        <v>1</v>
      </c>
      <c r="F218">
        <f t="shared" ca="1" si="96"/>
        <v>6</v>
      </c>
      <c r="G218">
        <f t="shared" ca="1" si="97"/>
        <v>6</v>
      </c>
      <c r="H218">
        <f t="shared" ca="1" si="98"/>
        <v>0</v>
      </c>
      <c r="I218">
        <f t="shared" ca="1" si="99"/>
        <v>0</v>
      </c>
      <c r="J218">
        <f t="shared" ca="1" si="114"/>
        <v>0</v>
      </c>
      <c r="K218">
        <f ca="1">IF(OR($C218="S",$C218=0),0,MATCH(OFFSET($D218,0,$C218)+IF($C218&lt;&gt;1,1,COUNTIF(QCI!$A$13:$A$24,ORÇAMENTO!E218)),OFFSET($D218,1,$C218,ROW($C$710)-ROW($C218)),0))</f>
        <v>0</v>
      </c>
      <c r="L218" s="143" t="str">
        <f t="shared" ca="1" si="100"/>
        <v/>
      </c>
      <c r="M218" s="144" t="s">
        <v>201</v>
      </c>
      <c r="N218" s="145" t="str">
        <f t="shared" ca="1" si="101"/>
        <v>Serviço</v>
      </c>
      <c r="O218" s="146" t="str">
        <f t="shared" ca="1" si="102"/>
        <v>-</v>
      </c>
      <c r="P218" s="147" t="s">
        <v>441</v>
      </c>
      <c r="Q218" s="148" t="s">
        <v>469</v>
      </c>
      <c r="R218" s="149" t="str">
        <f t="shared" ca="1" si="116"/>
        <v>(abra o arquivo 'Referência 05-2024.xls)</v>
      </c>
      <c r="S218" s="150" t="str">
        <f t="shared" ca="1" si="117"/>
        <v>-</v>
      </c>
      <c r="T218" s="151">
        <f ca="1">OFFSET(CÁLCULO!H$15,ROW($T218)-ROW(T$15),0)</f>
        <v>104.15</v>
      </c>
      <c r="U218" s="152">
        <f t="shared" ca="1" si="115"/>
        <v>0</v>
      </c>
      <c r="V218" s="153" t="s">
        <v>158</v>
      </c>
      <c r="W218" s="151">
        <f t="shared" ca="1" si="103"/>
        <v>0</v>
      </c>
      <c r="X218" s="154">
        <f t="shared" ca="1" si="104"/>
        <v>0</v>
      </c>
      <c r="Y218" s="155" t="s">
        <v>583</v>
      </c>
      <c r="Z218" t="str">
        <f t="shared" ca="1" si="105"/>
        <v/>
      </c>
      <c r="AA218" s="156">
        <f ca="1">IF($C218="S",IF($Z218="CP",$X218,IF($Z218="RA",(($X218)*QCI!$AA$3),0)),SomaAgrup)</f>
        <v>0</v>
      </c>
      <c r="AB218" s="157">
        <f t="shared" ca="1" si="106"/>
        <v>0</v>
      </c>
      <c r="AC218" s="158" t="str">
        <f t="shared" ca="1" si="107"/>
        <v/>
      </c>
      <c r="AD218" s="104" t="str">
        <f ca="1">IF(C218&lt;=CRONO.NivelExibicao,MAX($AD$15:OFFSET(AD218,-1,0))+IF($C218&lt;&gt;1,1,MAX(1,COUNTIF(QCI!$A$13:$A$24,OFFSET($E218,-1,0)))),"")</f>
        <v/>
      </c>
      <c r="AE218" s="114" t="str">
        <f t="shared" ca="1" si="108"/>
        <v>Composição CP-22</v>
      </c>
      <c r="AF218" s="159" t="str">
        <f t="shared" ca="1" si="109"/>
        <v>(abra o arquivo 'Referência 05-2024.xls)</v>
      </c>
      <c r="AG218" s="579">
        <f t="shared" ca="1" si="110"/>
        <v>0</v>
      </c>
      <c r="AH218" s="580">
        <f t="shared" ca="1" si="111"/>
        <v>0.22470000000000001</v>
      </c>
      <c r="AJ218" s="582">
        <v>104.15</v>
      </c>
      <c r="AL218" s="612"/>
      <c r="AM218" s="430">
        <f t="shared" ca="1" si="112"/>
        <v>0</v>
      </c>
      <c r="AN218" s="655">
        <f t="shared" ca="1" si="113"/>
        <v>0</v>
      </c>
    </row>
    <row r="219" spans="1:40" ht="13.8" x14ac:dyDescent="0.3">
      <c r="A219">
        <f t="shared" si="92"/>
        <v>2</v>
      </c>
      <c r="B219">
        <f t="shared" ca="1" si="93"/>
        <v>2</v>
      </c>
      <c r="C219">
        <f t="shared" ca="1" si="94"/>
        <v>2</v>
      </c>
      <c r="D219">
        <f t="shared" ca="1" si="95"/>
        <v>19</v>
      </c>
      <c r="E219">
        <f ca="1">IF($C219=1,OFFSET(E219,-1,0)+MAX(1,COUNTIF(QCI!$A$13:$A$24,OFFSET(ORÇAMENTO!E219,-1,0))),OFFSET(E219,-1,0))</f>
        <v>1</v>
      </c>
      <c r="F219">
        <f t="shared" ca="1" si="96"/>
        <v>7</v>
      </c>
      <c r="G219">
        <f t="shared" ca="1" si="97"/>
        <v>0</v>
      </c>
      <c r="H219">
        <f t="shared" ca="1" si="98"/>
        <v>0</v>
      </c>
      <c r="I219">
        <f t="shared" ca="1" si="99"/>
        <v>0</v>
      </c>
      <c r="J219">
        <f t="shared" ca="1" si="114"/>
        <v>483</v>
      </c>
      <c r="K219">
        <f ca="1">IF(OR($C219="S",$C219=0),0,MATCH(OFFSET($D219,0,$C219)+IF($C219&lt;&gt;1,1,COUNTIF(QCI!$A$13:$A$24,ORÇAMENTO!E219)),OFFSET($D219,1,$C219,ROW($C$710)-ROW($C219)),0))</f>
        <v>19</v>
      </c>
      <c r="L219" s="143" t="str">
        <f t="shared" ca="1" si="100"/>
        <v>F</v>
      </c>
      <c r="M219" s="144" t="s">
        <v>198</v>
      </c>
      <c r="N219" s="145" t="str">
        <f t="shared" ca="1" si="101"/>
        <v>Nível 2</v>
      </c>
      <c r="O219" s="146" t="str">
        <f t="shared" ca="1" si="102"/>
        <v>1.7.</v>
      </c>
      <c r="P219" s="147" t="s">
        <v>249</v>
      </c>
      <c r="Q219" s="148"/>
      <c r="R219" s="149" t="s">
        <v>515</v>
      </c>
      <c r="S219" s="150" t="s">
        <v>168</v>
      </c>
      <c r="T219" s="151">
        <f ca="1">OFFSET(CÁLCULO!H$15,ROW($T219)-ROW(T$15),0)</f>
        <v>0</v>
      </c>
      <c r="U219" s="152"/>
      <c r="V219" s="153" t="s">
        <v>158</v>
      </c>
      <c r="W219" s="151">
        <f t="shared" ca="1" si="103"/>
        <v>0</v>
      </c>
      <c r="X219" s="154">
        <f t="shared" ca="1" si="104"/>
        <v>0</v>
      </c>
      <c r="Y219" s="155" t="s">
        <v>583</v>
      </c>
      <c r="Z219" t="str">
        <f t="shared" ca="1" si="105"/>
        <v/>
      </c>
      <c r="AA219" s="156">
        <f ca="1">IF($C219="S",IF($Z219="CP",$X219,IF($Z219="RA",(($X219)*QCI!$AA$3),0)),SomaAgrup)</f>
        <v>0</v>
      </c>
      <c r="AB219" s="157">
        <f t="shared" ca="1" si="106"/>
        <v>0</v>
      </c>
      <c r="AC219" s="158" t="str">
        <f t="shared" ca="1" si="107"/>
        <v/>
      </c>
      <c r="AD219" s="104">
        <f ca="1">IF(C219&lt;=CRONO.NivelExibicao,MAX($AD$15:OFFSET(AD219,-1,0))+IF($C219&lt;&gt;1,1,MAX(1,COUNTIF(QCI!$A$13:$A$24,OFFSET($E219,-1,0)))),"")</f>
        <v>8</v>
      </c>
      <c r="AE219" s="114" t="b">
        <f t="shared" ca="1" si="108"/>
        <v>0</v>
      </c>
      <c r="AF219" s="159" t="str">
        <f t="shared" ca="1" si="109"/>
        <v>(abra o arquivo 'Referência 05-2024.xls)</v>
      </c>
      <c r="AG219" s="579">
        <f t="shared" ca="1" si="110"/>
        <v>0</v>
      </c>
      <c r="AH219" s="580">
        <f t="shared" ca="1" si="111"/>
        <v>0.22470000000000001</v>
      </c>
      <c r="AJ219" s="582"/>
      <c r="AL219" s="612"/>
      <c r="AM219" s="430">
        <f t="shared" ca="1" si="112"/>
        <v>0</v>
      </c>
      <c r="AN219" s="655">
        <f t="shared" ca="1" si="113"/>
        <v>0</v>
      </c>
    </row>
    <row r="220" spans="1:40" ht="13.8" x14ac:dyDescent="0.3">
      <c r="A220">
        <f t="shared" si="92"/>
        <v>3</v>
      </c>
      <c r="B220">
        <f t="shared" ca="1" si="93"/>
        <v>3</v>
      </c>
      <c r="C220">
        <f t="shared" ca="1" si="94"/>
        <v>3</v>
      </c>
      <c r="D220">
        <f t="shared" ca="1" si="95"/>
        <v>14</v>
      </c>
      <c r="E220">
        <f ca="1">IF($C220=1,OFFSET(E220,-1,0)+MAX(1,COUNTIF(QCI!$A$13:$A$24,OFFSET(ORÇAMENTO!E220,-1,0))),OFFSET(E220,-1,0))</f>
        <v>1</v>
      </c>
      <c r="F220">
        <f t="shared" ca="1" si="96"/>
        <v>7</v>
      </c>
      <c r="G220">
        <f t="shared" ca="1" si="97"/>
        <v>1</v>
      </c>
      <c r="H220">
        <f t="shared" ca="1" si="98"/>
        <v>0</v>
      </c>
      <c r="I220">
        <f t="shared" ca="1" si="99"/>
        <v>0</v>
      </c>
      <c r="J220">
        <f t="shared" ca="1" si="114"/>
        <v>18</v>
      </c>
      <c r="K220">
        <f ca="1">IF(OR($C220="S",$C220=0),0,MATCH(OFFSET($D220,0,$C220)+IF($C220&lt;&gt;1,1,COUNTIF(QCI!$A$13:$A$24,ORÇAMENTO!E220)),OFFSET($D220,1,$C220,ROW($C$710)-ROW($C220)),0))</f>
        <v>14</v>
      </c>
      <c r="L220" s="143" t="str">
        <f t="shared" ca="1" si="100"/>
        <v>F</v>
      </c>
      <c r="M220" s="144" t="s">
        <v>199</v>
      </c>
      <c r="N220" s="145" t="str">
        <f t="shared" ca="1" si="101"/>
        <v>Nível 3</v>
      </c>
      <c r="O220" s="146" t="str">
        <f t="shared" ca="1" si="102"/>
        <v>1.7.1.</v>
      </c>
      <c r="P220" s="147" t="s">
        <v>249</v>
      </c>
      <c r="Q220" s="148"/>
      <c r="R220" s="149" t="s">
        <v>481</v>
      </c>
      <c r="S220" s="150" t="s">
        <v>168</v>
      </c>
      <c r="T220" s="151">
        <f ca="1">OFFSET(CÁLCULO!H$15,ROW($T220)-ROW(T$15),0)</f>
        <v>0</v>
      </c>
      <c r="U220" s="152"/>
      <c r="V220" s="153" t="s">
        <v>158</v>
      </c>
      <c r="W220" s="151">
        <f t="shared" ca="1" si="103"/>
        <v>0</v>
      </c>
      <c r="X220" s="154">
        <f t="shared" ca="1" si="104"/>
        <v>0</v>
      </c>
      <c r="Y220" s="155" t="s">
        <v>583</v>
      </c>
      <c r="Z220" t="str">
        <f t="shared" ca="1" si="105"/>
        <v/>
      </c>
      <c r="AA220" s="156">
        <f ca="1">IF($C220="S",IF($Z220="CP",$X220,IF($Z220="RA",(($X220)*QCI!$AA$3),0)),SomaAgrup)</f>
        <v>0</v>
      </c>
      <c r="AB220" s="157">
        <f t="shared" ca="1" si="106"/>
        <v>0</v>
      </c>
      <c r="AC220" s="158" t="str">
        <f t="shared" ca="1" si="107"/>
        <v/>
      </c>
      <c r="AD220" s="104" t="str">
        <f ca="1">IF(C220&lt;=CRONO.NivelExibicao,MAX($AD$15:OFFSET(AD220,-1,0))+IF($C220&lt;&gt;1,1,MAX(1,COUNTIF(QCI!$A$13:$A$24,OFFSET($E220,-1,0)))),"")</f>
        <v/>
      </c>
      <c r="AE220" s="114" t="b">
        <f t="shared" ca="1" si="108"/>
        <v>0</v>
      </c>
      <c r="AF220" s="159" t="str">
        <f t="shared" ca="1" si="109"/>
        <v>(abra o arquivo 'Referência 05-2024.xls)</v>
      </c>
      <c r="AG220" s="579">
        <f t="shared" ca="1" si="110"/>
        <v>0</v>
      </c>
      <c r="AH220" s="580">
        <f t="shared" ca="1" si="111"/>
        <v>0.22470000000000001</v>
      </c>
      <c r="AJ220" s="582"/>
      <c r="AL220" s="612"/>
      <c r="AM220" s="430">
        <f t="shared" ca="1" si="112"/>
        <v>0</v>
      </c>
      <c r="AN220" s="655">
        <f t="shared" ca="1" si="113"/>
        <v>0</v>
      </c>
    </row>
    <row r="221" spans="1:40" ht="13.8" x14ac:dyDescent="0.3">
      <c r="A221" t="str">
        <f t="shared" si="92"/>
        <v>S</v>
      </c>
      <c r="B221">
        <f t="shared" ca="1" si="93"/>
        <v>3</v>
      </c>
      <c r="C221" t="str">
        <f t="shared" ca="1" si="94"/>
        <v>S</v>
      </c>
      <c r="D221">
        <f t="shared" ca="1" si="95"/>
        <v>0</v>
      </c>
      <c r="E221">
        <f ca="1">IF($C221=1,OFFSET(E221,-1,0)+MAX(1,COUNTIF(QCI!$A$13:$A$24,OFFSET(ORÇAMENTO!E221,-1,0))),OFFSET(E221,-1,0))</f>
        <v>1</v>
      </c>
      <c r="F221">
        <f t="shared" ca="1" si="96"/>
        <v>7</v>
      </c>
      <c r="G221">
        <f t="shared" ca="1" si="97"/>
        <v>1</v>
      </c>
      <c r="H221">
        <f t="shared" ca="1" si="98"/>
        <v>0</v>
      </c>
      <c r="I221">
        <f t="shared" ca="1" si="99"/>
        <v>0</v>
      </c>
      <c r="J221">
        <f t="shared" ca="1" si="114"/>
        <v>0</v>
      </c>
      <c r="K221">
        <f ca="1">IF(OR($C221="S",$C221=0),0,MATCH(OFFSET($D221,0,$C221)+IF($C221&lt;&gt;1,1,COUNTIF(QCI!$A$13:$A$24,ORÇAMENTO!E221)),OFFSET($D221,1,$C221,ROW($C$710)-ROW($C221)),0))</f>
        <v>0</v>
      </c>
      <c r="L221" s="143" t="str">
        <f t="shared" ca="1" si="100"/>
        <v/>
      </c>
      <c r="M221" s="144" t="s">
        <v>201</v>
      </c>
      <c r="N221" s="145" t="str">
        <f t="shared" ca="1" si="101"/>
        <v>Serviço</v>
      </c>
      <c r="O221" s="146" t="str">
        <f t="shared" ca="1" si="102"/>
        <v>-</v>
      </c>
      <c r="P221" s="147" t="s">
        <v>249</v>
      </c>
      <c r="Q221" s="148">
        <v>94216</v>
      </c>
      <c r="R221" s="149" t="str">
        <f t="shared" ref="R221:R233" ca="1" si="118">IF($C221="S",REFERENCIA.Descricao,"(digite a descrição aqui)")</f>
        <v>(abra o arquivo 'Referência 05-2024.xls)</v>
      </c>
      <c r="S221" s="150" t="str">
        <f t="shared" ref="S221:S233" ca="1" si="119">REFERENCIA.Unidade</f>
        <v>-</v>
      </c>
      <c r="T221" s="151">
        <f ca="1">OFFSET(CÁLCULO!H$15,ROW($T221)-ROW(T$15),0)</f>
        <v>1858.82</v>
      </c>
      <c r="U221" s="152">
        <f t="shared" ca="1" si="115"/>
        <v>0</v>
      </c>
      <c r="V221" s="153" t="s">
        <v>158</v>
      </c>
      <c r="W221" s="151">
        <f t="shared" ca="1" si="103"/>
        <v>0</v>
      </c>
      <c r="X221" s="154">
        <f t="shared" ca="1" si="104"/>
        <v>0</v>
      </c>
      <c r="Y221" s="155" t="s">
        <v>583</v>
      </c>
      <c r="Z221" t="str">
        <f t="shared" ca="1" si="105"/>
        <v/>
      </c>
      <c r="AA221" s="156">
        <f ca="1">IF($C221="S",IF($Z221="CP",$X221,IF($Z221="RA",(($X221)*QCI!$AA$3),0)),SomaAgrup)</f>
        <v>0</v>
      </c>
      <c r="AB221" s="157">
        <f t="shared" ca="1" si="106"/>
        <v>0</v>
      </c>
      <c r="AC221" s="158" t="str">
        <f t="shared" ca="1" si="107"/>
        <v/>
      </c>
      <c r="AD221" s="104" t="str">
        <f ca="1">IF(C221&lt;=CRONO.NivelExibicao,MAX($AD$15:OFFSET(AD221,-1,0))+IF($C221&lt;&gt;1,1,MAX(1,COUNTIF(QCI!$A$13:$A$24,OFFSET($E221,-1,0)))),"")</f>
        <v/>
      </c>
      <c r="AE221" s="114" t="str">
        <f t="shared" ca="1" si="108"/>
        <v>SINAPI 94216</v>
      </c>
      <c r="AF221" s="159" t="str">
        <f t="shared" ca="1" si="109"/>
        <v>(abra o arquivo 'Referência 05-2024.xls)</v>
      </c>
      <c r="AG221" s="579">
        <f t="shared" ca="1" si="110"/>
        <v>0</v>
      </c>
      <c r="AH221" s="580">
        <f t="shared" ca="1" si="111"/>
        <v>0.22470000000000001</v>
      </c>
      <c r="AJ221" s="582">
        <v>1858.82</v>
      </c>
      <c r="AL221" s="612"/>
      <c r="AM221" s="430">
        <f t="shared" ca="1" si="112"/>
        <v>0</v>
      </c>
      <c r="AN221" s="655">
        <f t="shared" ca="1" si="113"/>
        <v>0</v>
      </c>
    </row>
    <row r="222" spans="1:40" ht="13.8" x14ac:dyDescent="0.3">
      <c r="A222" t="str">
        <f t="shared" si="92"/>
        <v>S</v>
      </c>
      <c r="B222">
        <f t="shared" ca="1" si="93"/>
        <v>3</v>
      </c>
      <c r="C222" t="str">
        <f t="shared" ca="1" si="94"/>
        <v>S</v>
      </c>
      <c r="D222">
        <f t="shared" ca="1" si="95"/>
        <v>0</v>
      </c>
      <c r="E222">
        <f ca="1">IF($C222=1,OFFSET(E222,-1,0)+MAX(1,COUNTIF(QCI!$A$13:$A$24,OFFSET(ORÇAMENTO!E222,-1,0))),OFFSET(E222,-1,0))</f>
        <v>1</v>
      </c>
      <c r="F222">
        <f t="shared" ca="1" si="96"/>
        <v>7</v>
      </c>
      <c r="G222">
        <f t="shared" ca="1" si="97"/>
        <v>1</v>
      </c>
      <c r="H222">
        <f t="shared" ca="1" si="98"/>
        <v>0</v>
      </c>
      <c r="I222">
        <f t="shared" ca="1" si="99"/>
        <v>0</v>
      </c>
      <c r="J222">
        <f t="shared" ca="1" si="114"/>
        <v>0</v>
      </c>
      <c r="K222">
        <f ca="1">IF(OR($C222="S",$C222=0),0,MATCH(OFFSET($D222,0,$C222)+IF($C222&lt;&gt;1,1,COUNTIF(QCI!$A$13:$A$24,ORÇAMENTO!E222)),OFFSET($D222,1,$C222,ROW($C$710)-ROW($C222)),0))</f>
        <v>0</v>
      </c>
      <c r="L222" s="143" t="str">
        <f t="shared" ca="1" si="100"/>
        <v/>
      </c>
      <c r="M222" s="144" t="s">
        <v>201</v>
      </c>
      <c r="N222" s="145" t="str">
        <f t="shared" ca="1" si="101"/>
        <v>Serviço</v>
      </c>
      <c r="O222" s="146" t="str">
        <f t="shared" ca="1" si="102"/>
        <v>-</v>
      </c>
      <c r="P222" s="147" t="s">
        <v>578</v>
      </c>
      <c r="Q222" s="148">
        <v>6002050</v>
      </c>
      <c r="R222" s="149" t="str">
        <f t="shared" ca="1" si="118"/>
        <v>(abra o arquivo 'Referência 05-2024.xls)</v>
      </c>
      <c r="S222" s="150" t="str">
        <f t="shared" ca="1" si="119"/>
        <v>-</v>
      </c>
      <c r="T222" s="151">
        <f ca="1">OFFSET(CÁLCULO!H$15,ROW($T222)-ROW(T$15),0)</f>
        <v>9.3699999999999992</v>
      </c>
      <c r="U222" s="152">
        <f t="shared" ca="1" si="115"/>
        <v>0</v>
      </c>
      <c r="V222" s="153" t="s">
        <v>158</v>
      </c>
      <c r="W222" s="151">
        <f t="shared" ca="1" si="103"/>
        <v>0</v>
      </c>
      <c r="X222" s="154">
        <f t="shared" ca="1" si="104"/>
        <v>0</v>
      </c>
      <c r="Y222" s="155" t="s">
        <v>583</v>
      </c>
      <c r="Z222" t="str">
        <f t="shared" ca="1" si="105"/>
        <v/>
      </c>
      <c r="AA222" s="156">
        <f ca="1">IF($C222="S",IF($Z222="CP",$X222,IF($Z222="RA",(($X222)*QCI!$AA$3),0)),SomaAgrup)</f>
        <v>0</v>
      </c>
      <c r="AB222" s="157">
        <f t="shared" ca="1" si="106"/>
        <v>0</v>
      </c>
      <c r="AC222" s="158" t="str">
        <f t="shared" ca="1" si="107"/>
        <v/>
      </c>
      <c r="AD222" s="104" t="str">
        <f ca="1">IF(C222&lt;=CRONO.NivelExibicao,MAX($AD$15:OFFSET(AD222,-1,0))+IF($C222&lt;&gt;1,1,MAX(1,COUNTIF(QCI!$A$13:$A$24,OFFSET($E222,-1,0)))),"")</f>
        <v/>
      </c>
      <c r="AE222" s="114" t="str">
        <f t="shared" ca="1" si="108"/>
        <v>SIURB 6002050</v>
      </c>
      <c r="AF222" s="159" t="str">
        <f t="shared" ca="1" si="109"/>
        <v>(abra o arquivo 'Referência 05-2024.xls)</v>
      </c>
      <c r="AG222" s="579">
        <f t="shared" ca="1" si="110"/>
        <v>0</v>
      </c>
      <c r="AH222" s="580">
        <f t="shared" ca="1" si="111"/>
        <v>0.22470000000000001</v>
      </c>
      <c r="AJ222" s="582">
        <v>9.3699999999999992</v>
      </c>
      <c r="AL222" s="612"/>
      <c r="AM222" s="430">
        <f t="shared" ca="1" si="112"/>
        <v>0</v>
      </c>
      <c r="AN222" s="655">
        <f t="shared" ca="1" si="113"/>
        <v>0</v>
      </c>
    </row>
    <row r="223" spans="1:40" ht="13.8" x14ac:dyDescent="0.3">
      <c r="A223" t="str">
        <f t="shared" si="92"/>
        <v>S</v>
      </c>
      <c r="B223">
        <f t="shared" ca="1" si="93"/>
        <v>3</v>
      </c>
      <c r="C223" t="str">
        <f t="shared" ca="1" si="94"/>
        <v>S</v>
      </c>
      <c r="D223">
        <f t="shared" ca="1" si="95"/>
        <v>0</v>
      </c>
      <c r="E223">
        <f ca="1">IF($C223=1,OFFSET(E223,-1,0)+MAX(1,COUNTIF(QCI!$A$13:$A$24,OFFSET(ORÇAMENTO!E223,-1,0))),OFFSET(E223,-1,0))</f>
        <v>1</v>
      </c>
      <c r="F223">
        <f t="shared" ca="1" si="96"/>
        <v>7</v>
      </c>
      <c r="G223">
        <f t="shared" ca="1" si="97"/>
        <v>1</v>
      </c>
      <c r="H223">
        <f t="shared" ca="1" si="98"/>
        <v>0</v>
      </c>
      <c r="I223">
        <f t="shared" ca="1" si="99"/>
        <v>0</v>
      </c>
      <c r="J223">
        <f t="shared" ca="1" si="114"/>
        <v>0</v>
      </c>
      <c r="K223">
        <f ca="1">IF(OR($C223="S",$C223=0),0,MATCH(OFFSET($D223,0,$C223)+IF($C223&lt;&gt;1,1,COUNTIF(QCI!$A$13:$A$24,ORÇAMENTO!E223)),OFFSET($D223,1,$C223,ROW($C$710)-ROW($C223)),0))</f>
        <v>0</v>
      </c>
      <c r="L223" s="143" t="str">
        <f t="shared" ca="1" si="100"/>
        <v/>
      </c>
      <c r="M223" s="144" t="s">
        <v>201</v>
      </c>
      <c r="N223" s="145" t="str">
        <f t="shared" ca="1" si="101"/>
        <v>Serviço</v>
      </c>
      <c r="O223" s="146" t="str">
        <f t="shared" ca="1" si="102"/>
        <v>-</v>
      </c>
      <c r="P223" s="147" t="s">
        <v>249</v>
      </c>
      <c r="Q223" s="148">
        <v>94227</v>
      </c>
      <c r="R223" s="149" t="str">
        <f t="shared" ca="1" si="118"/>
        <v>(abra o arquivo 'Referência 05-2024.xls)</v>
      </c>
      <c r="S223" s="150" t="str">
        <f t="shared" ca="1" si="119"/>
        <v>-</v>
      </c>
      <c r="T223" s="151">
        <f ca="1">OFFSET(CÁLCULO!H$15,ROW($T223)-ROW(T$15),0)</f>
        <v>88.71</v>
      </c>
      <c r="U223" s="152">
        <f t="shared" ca="1" si="115"/>
        <v>0</v>
      </c>
      <c r="V223" s="153" t="s">
        <v>158</v>
      </c>
      <c r="W223" s="151">
        <f t="shared" ca="1" si="103"/>
        <v>0</v>
      </c>
      <c r="X223" s="154">
        <f t="shared" ca="1" si="104"/>
        <v>0</v>
      </c>
      <c r="Y223" s="155" t="s">
        <v>583</v>
      </c>
      <c r="Z223" t="str">
        <f t="shared" ca="1" si="105"/>
        <v/>
      </c>
      <c r="AA223" s="156">
        <f ca="1">IF($C223="S",IF($Z223="CP",$X223,IF($Z223="RA",(($X223)*QCI!$AA$3),0)),SomaAgrup)</f>
        <v>0</v>
      </c>
      <c r="AB223" s="157">
        <f t="shared" ca="1" si="106"/>
        <v>0</v>
      </c>
      <c r="AC223" s="158" t="str">
        <f t="shared" ca="1" si="107"/>
        <v/>
      </c>
      <c r="AD223" s="104" t="str">
        <f ca="1">IF(C223&lt;=CRONO.NivelExibicao,MAX($AD$15:OFFSET(AD223,-1,0))+IF($C223&lt;&gt;1,1,MAX(1,COUNTIF(QCI!$A$13:$A$24,OFFSET($E223,-1,0)))),"")</f>
        <v/>
      </c>
      <c r="AE223" s="114" t="str">
        <f t="shared" ca="1" si="108"/>
        <v>SINAPI 94227</v>
      </c>
      <c r="AF223" s="159" t="str">
        <f t="shared" ca="1" si="109"/>
        <v>(abra o arquivo 'Referência 05-2024.xls)</v>
      </c>
      <c r="AG223" s="579">
        <f t="shared" ca="1" si="110"/>
        <v>0</v>
      </c>
      <c r="AH223" s="580">
        <f t="shared" ca="1" si="111"/>
        <v>0.22470000000000001</v>
      </c>
      <c r="AJ223" s="582">
        <v>88.71</v>
      </c>
      <c r="AL223" s="612"/>
      <c r="AM223" s="430">
        <f t="shared" ca="1" si="112"/>
        <v>0</v>
      </c>
      <c r="AN223" s="655">
        <f t="shared" ca="1" si="113"/>
        <v>0</v>
      </c>
    </row>
    <row r="224" spans="1:40" ht="13.8" x14ac:dyDescent="0.3">
      <c r="A224" t="str">
        <f t="shared" si="92"/>
        <v>S</v>
      </c>
      <c r="B224">
        <f t="shared" ca="1" si="93"/>
        <v>3</v>
      </c>
      <c r="C224" t="str">
        <f t="shared" ca="1" si="94"/>
        <v>S</v>
      </c>
      <c r="D224">
        <f t="shared" ca="1" si="95"/>
        <v>0</v>
      </c>
      <c r="E224">
        <f ca="1">IF($C224=1,OFFSET(E224,-1,0)+MAX(1,COUNTIF(QCI!$A$13:$A$24,OFFSET(ORÇAMENTO!E224,-1,0))),OFFSET(E224,-1,0))</f>
        <v>1</v>
      </c>
      <c r="F224">
        <f t="shared" ca="1" si="96"/>
        <v>7</v>
      </c>
      <c r="G224">
        <f t="shared" ca="1" si="97"/>
        <v>1</v>
      </c>
      <c r="H224">
        <f t="shared" ca="1" si="98"/>
        <v>0</v>
      </c>
      <c r="I224">
        <f t="shared" ca="1" si="99"/>
        <v>0</v>
      </c>
      <c r="J224">
        <f t="shared" ca="1" si="114"/>
        <v>0</v>
      </c>
      <c r="K224">
        <f ca="1">IF(OR($C224="S",$C224=0),0,MATCH(OFFSET($D224,0,$C224)+IF($C224&lt;&gt;1,1,COUNTIF(QCI!$A$13:$A$24,ORÇAMENTO!E224)),OFFSET($D224,1,$C224,ROW($C$710)-ROW($C224)),0))</f>
        <v>0</v>
      </c>
      <c r="L224" s="143" t="str">
        <f t="shared" ca="1" si="100"/>
        <v/>
      </c>
      <c r="M224" s="144" t="s">
        <v>201</v>
      </c>
      <c r="N224" s="145" t="str">
        <f t="shared" ca="1" si="101"/>
        <v>Serviço</v>
      </c>
      <c r="O224" s="146" t="str">
        <f t="shared" ca="1" si="102"/>
        <v>-</v>
      </c>
      <c r="P224" s="147" t="s">
        <v>249</v>
      </c>
      <c r="Q224" s="148">
        <v>94227</v>
      </c>
      <c r="R224" s="149" t="str">
        <f t="shared" ca="1" si="118"/>
        <v>(abra o arquivo 'Referência 05-2024.xls)</v>
      </c>
      <c r="S224" s="150" t="str">
        <f t="shared" ca="1" si="119"/>
        <v>-</v>
      </c>
      <c r="T224" s="151">
        <f ca="1">OFFSET(CÁLCULO!H$15,ROW($T224)-ROW(T$15),0)</f>
        <v>64.599999999999994</v>
      </c>
      <c r="U224" s="152">
        <f t="shared" ca="1" si="115"/>
        <v>0</v>
      </c>
      <c r="V224" s="153" t="s">
        <v>158</v>
      </c>
      <c r="W224" s="151">
        <f t="shared" ca="1" si="103"/>
        <v>0</v>
      </c>
      <c r="X224" s="154">
        <f t="shared" ca="1" si="104"/>
        <v>0</v>
      </c>
      <c r="Y224" s="155" t="s">
        <v>583</v>
      </c>
      <c r="Z224" t="str">
        <f t="shared" ca="1" si="105"/>
        <v/>
      </c>
      <c r="AA224" s="156">
        <f ca="1">IF($C224="S",IF($Z224="CP",$X224,IF($Z224="RA",(($X224)*QCI!$AA$3),0)),SomaAgrup)</f>
        <v>0</v>
      </c>
      <c r="AB224" s="157">
        <f t="shared" ca="1" si="106"/>
        <v>0</v>
      </c>
      <c r="AC224" s="158" t="str">
        <f t="shared" ca="1" si="107"/>
        <v/>
      </c>
      <c r="AD224" s="104" t="str">
        <f ca="1">IF(C224&lt;=CRONO.NivelExibicao,MAX($AD$15:OFFSET(AD224,-1,0))+IF($C224&lt;&gt;1,1,MAX(1,COUNTIF(QCI!$A$13:$A$24,OFFSET($E224,-1,0)))),"")</f>
        <v/>
      </c>
      <c r="AE224" s="114" t="str">
        <f t="shared" ca="1" si="108"/>
        <v>SINAPI 94227</v>
      </c>
      <c r="AF224" s="159" t="str">
        <f t="shared" ca="1" si="109"/>
        <v>(abra o arquivo 'Referência 05-2024.xls)</v>
      </c>
      <c r="AG224" s="579">
        <f t="shared" ca="1" si="110"/>
        <v>0</v>
      </c>
      <c r="AH224" s="580">
        <f t="shared" ca="1" si="111"/>
        <v>0.22470000000000001</v>
      </c>
      <c r="AJ224" s="582">
        <v>64.599999999999994</v>
      </c>
      <c r="AL224" s="612"/>
      <c r="AM224" s="430">
        <f t="shared" ca="1" si="112"/>
        <v>0</v>
      </c>
      <c r="AN224" s="655">
        <f t="shared" ca="1" si="113"/>
        <v>0</v>
      </c>
    </row>
    <row r="225" spans="1:40" ht="13.8" x14ac:dyDescent="0.3">
      <c r="A225" t="str">
        <f t="shared" si="92"/>
        <v>S</v>
      </c>
      <c r="B225">
        <f t="shared" ca="1" si="93"/>
        <v>3</v>
      </c>
      <c r="C225" t="str">
        <f t="shared" ca="1" si="94"/>
        <v>S</v>
      </c>
      <c r="D225">
        <f t="shared" ca="1" si="95"/>
        <v>0</v>
      </c>
      <c r="E225">
        <f ca="1">IF($C225=1,OFFSET(E225,-1,0)+MAX(1,COUNTIF(QCI!$A$13:$A$24,OFFSET(ORÇAMENTO!E225,-1,0))),OFFSET(E225,-1,0))</f>
        <v>1</v>
      </c>
      <c r="F225">
        <f t="shared" ca="1" si="96"/>
        <v>7</v>
      </c>
      <c r="G225">
        <f t="shared" ca="1" si="97"/>
        <v>1</v>
      </c>
      <c r="H225">
        <f t="shared" ca="1" si="98"/>
        <v>0</v>
      </c>
      <c r="I225">
        <f t="shared" ca="1" si="99"/>
        <v>0</v>
      </c>
      <c r="J225">
        <f t="shared" ca="1" si="114"/>
        <v>0</v>
      </c>
      <c r="K225">
        <f ca="1">IF(OR($C225="S",$C225=0),0,MATCH(OFFSET($D225,0,$C225)+IF($C225&lt;&gt;1,1,COUNTIF(QCI!$A$13:$A$24,ORÇAMENTO!E225)),OFFSET($D225,1,$C225,ROW($C$710)-ROW($C225)),0))</f>
        <v>0</v>
      </c>
      <c r="L225" s="143" t="str">
        <f t="shared" ca="1" si="100"/>
        <v/>
      </c>
      <c r="M225" s="144" t="s">
        <v>201</v>
      </c>
      <c r="N225" s="145" t="str">
        <f t="shared" ca="1" si="101"/>
        <v>Serviço</v>
      </c>
      <c r="O225" s="146" t="str">
        <f t="shared" ca="1" si="102"/>
        <v>-</v>
      </c>
      <c r="P225" s="147" t="s">
        <v>249</v>
      </c>
      <c r="Q225" s="148">
        <v>94227</v>
      </c>
      <c r="R225" s="149" t="str">
        <f t="shared" ca="1" si="118"/>
        <v>(abra o arquivo 'Referência 05-2024.xls)</v>
      </c>
      <c r="S225" s="150" t="str">
        <f t="shared" ca="1" si="119"/>
        <v>-</v>
      </c>
      <c r="T225" s="151">
        <f ca="1">OFFSET(CÁLCULO!H$15,ROW($T225)-ROW(T$15),0)</f>
        <v>63.2</v>
      </c>
      <c r="U225" s="152">
        <f t="shared" ca="1" si="115"/>
        <v>0</v>
      </c>
      <c r="V225" s="153" t="s">
        <v>158</v>
      </c>
      <c r="W225" s="151">
        <f t="shared" ca="1" si="103"/>
        <v>0</v>
      </c>
      <c r="X225" s="154">
        <f t="shared" ca="1" si="104"/>
        <v>0</v>
      </c>
      <c r="Y225" s="155" t="s">
        <v>583</v>
      </c>
      <c r="Z225" t="str">
        <f t="shared" ca="1" si="105"/>
        <v/>
      </c>
      <c r="AA225" s="156">
        <f ca="1">IF($C225="S",IF($Z225="CP",$X225,IF($Z225="RA",(($X225)*QCI!$AA$3),0)),SomaAgrup)</f>
        <v>0</v>
      </c>
      <c r="AB225" s="157">
        <f t="shared" ca="1" si="106"/>
        <v>0</v>
      </c>
      <c r="AC225" s="158" t="str">
        <f t="shared" ca="1" si="107"/>
        <v/>
      </c>
      <c r="AD225" s="104" t="str">
        <f ca="1">IF(C225&lt;=CRONO.NivelExibicao,MAX($AD$15:OFFSET(AD225,-1,0))+IF($C225&lt;&gt;1,1,MAX(1,COUNTIF(QCI!$A$13:$A$24,OFFSET($E225,-1,0)))),"")</f>
        <v/>
      </c>
      <c r="AE225" s="114" t="str">
        <f t="shared" ca="1" si="108"/>
        <v>SINAPI 94227</v>
      </c>
      <c r="AF225" s="159" t="str">
        <f t="shared" ca="1" si="109"/>
        <v>(abra o arquivo 'Referência 05-2024.xls)</v>
      </c>
      <c r="AG225" s="579">
        <f t="shared" ca="1" si="110"/>
        <v>0</v>
      </c>
      <c r="AH225" s="580">
        <f t="shared" ca="1" si="111"/>
        <v>0.22470000000000001</v>
      </c>
      <c r="AJ225" s="582">
        <v>63.2</v>
      </c>
      <c r="AL225" s="612"/>
      <c r="AM225" s="430">
        <f t="shared" ca="1" si="112"/>
        <v>0</v>
      </c>
      <c r="AN225" s="655">
        <f t="shared" ca="1" si="113"/>
        <v>0</v>
      </c>
    </row>
    <row r="226" spans="1:40" ht="13.8" x14ac:dyDescent="0.3">
      <c r="A226" t="str">
        <f t="shared" si="92"/>
        <v>S</v>
      </c>
      <c r="B226">
        <f t="shared" ca="1" si="93"/>
        <v>3</v>
      </c>
      <c r="C226" t="str">
        <f t="shared" ca="1" si="94"/>
        <v>S</v>
      </c>
      <c r="D226">
        <f t="shared" ca="1" si="95"/>
        <v>0</v>
      </c>
      <c r="E226">
        <f ca="1">IF($C226=1,OFFSET(E226,-1,0)+MAX(1,COUNTIF(QCI!$A$13:$A$24,OFFSET(ORÇAMENTO!E226,-1,0))),OFFSET(E226,-1,0))</f>
        <v>1</v>
      </c>
      <c r="F226">
        <f t="shared" ca="1" si="96"/>
        <v>7</v>
      </c>
      <c r="G226">
        <f t="shared" ca="1" si="97"/>
        <v>1</v>
      </c>
      <c r="H226">
        <f t="shared" ca="1" si="98"/>
        <v>0</v>
      </c>
      <c r="I226">
        <f t="shared" ca="1" si="99"/>
        <v>0</v>
      </c>
      <c r="J226">
        <f t="shared" ca="1" si="114"/>
        <v>0</v>
      </c>
      <c r="K226">
        <f ca="1">IF(OR($C226="S",$C226=0),0,MATCH(OFFSET($D226,0,$C226)+IF($C226&lt;&gt;1,1,COUNTIF(QCI!$A$13:$A$24,ORÇAMENTO!E226)),OFFSET($D226,1,$C226,ROW($C$710)-ROW($C226)),0))</f>
        <v>0</v>
      </c>
      <c r="L226" s="143" t="str">
        <f t="shared" ca="1" si="100"/>
        <v/>
      </c>
      <c r="M226" s="144" t="s">
        <v>201</v>
      </c>
      <c r="N226" s="145" t="str">
        <f t="shared" ca="1" si="101"/>
        <v>Serviço</v>
      </c>
      <c r="O226" s="146" t="str">
        <f t="shared" ca="1" si="102"/>
        <v>-</v>
      </c>
      <c r="P226" s="147" t="s">
        <v>249</v>
      </c>
      <c r="Q226" s="148">
        <v>94227</v>
      </c>
      <c r="R226" s="149" t="str">
        <f t="shared" ca="1" si="118"/>
        <v>(abra o arquivo 'Referência 05-2024.xls)</v>
      </c>
      <c r="S226" s="150" t="str">
        <f t="shared" ca="1" si="119"/>
        <v>-</v>
      </c>
      <c r="T226" s="151">
        <f ca="1">OFFSET(CÁLCULO!H$15,ROW($T226)-ROW(T$15),0)</f>
        <v>20.9</v>
      </c>
      <c r="U226" s="152">
        <f t="shared" ca="1" si="115"/>
        <v>0</v>
      </c>
      <c r="V226" s="153" t="s">
        <v>158</v>
      </c>
      <c r="W226" s="151">
        <f t="shared" ca="1" si="103"/>
        <v>0</v>
      </c>
      <c r="X226" s="154">
        <f t="shared" ca="1" si="104"/>
        <v>0</v>
      </c>
      <c r="Y226" s="155" t="s">
        <v>583</v>
      </c>
      <c r="Z226" t="str">
        <f t="shared" ca="1" si="105"/>
        <v/>
      </c>
      <c r="AA226" s="156">
        <f ca="1">IF($C226="S",IF($Z226="CP",$X226,IF($Z226="RA",(($X226)*QCI!$AA$3),0)),SomaAgrup)</f>
        <v>0</v>
      </c>
      <c r="AB226" s="157">
        <f t="shared" ca="1" si="106"/>
        <v>0</v>
      </c>
      <c r="AC226" s="158" t="str">
        <f t="shared" ca="1" si="107"/>
        <v/>
      </c>
      <c r="AD226" s="104" t="str">
        <f ca="1">IF(C226&lt;=CRONO.NivelExibicao,MAX($AD$15:OFFSET(AD226,-1,0))+IF($C226&lt;&gt;1,1,MAX(1,COUNTIF(QCI!$A$13:$A$24,OFFSET($E226,-1,0)))),"")</f>
        <v/>
      </c>
      <c r="AE226" s="114" t="str">
        <f t="shared" ca="1" si="108"/>
        <v>SINAPI 94227</v>
      </c>
      <c r="AF226" s="159" t="str">
        <f t="shared" ca="1" si="109"/>
        <v>(abra o arquivo 'Referência 05-2024.xls)</v>
      </c>
      <c r="AG226" s="579">
        <f t="shared" ca="1" si="110"/>
        <v>0</v>
      </c>
      <c r="AH226" s="580">
        <f t="shared" ca="1" si="111"/>
        <v>0.22470000000000001</v>
      </c>
      <c r="AJ226" s="582">
        <v>20.9</v>
      </c>
      <c r="AL226" s="612"/>
      <c r="AM226" s="430">
        <f t="shared" ca="1" si="112"/>
        <v>0</v>
      </c>
      <c r="AN226" s="655">
        <f t="shared" ca="1" si="113"/>
        <v>0</v>
      </c>
    </row>
    <row r="227" spans="1:40" ht="13.8" x14ac:dyDescent="0.3">
      <c r="A227" t="str">
        <f t="shared" si="92"/>
        <v>S</v>
      </c>
      <c r="B227">
        <f t="shared" ca="1" si="93"/>
        <v>3</v>
      </c>
      <c r="C227" t="str">
        <f t="shared" ca="1" si="94"/>
        <v>S</v>
      </c>
      <c r="D227">
        <f t="shared" ca="1" si="95"/>
        <v>0</v>
      </c>
      <c r="E227">
        <f ca="1">IF($C227=1,OFFSET(E227,-1,0)+MAX(1,COUNTIF(QCI!$A$13:$A$24,OFFSET(ORÇAMENTO!E227,-1,0))),OFFSET(E227,-1,0))</f>
        <v>1</v>
      </c>
      <c r="F227">
        <f t="shared" ca="1" si="96"/>
        <v>7</v>
      </c>
      <c r="G227">
        <f t="shared" ca="1" si="97"/>
        <v>1</v>
      </c>
      <c r="H227">
        <f t="shared" ca="1" si="98"/>
        <v>0</v>
      </c>
      <c r="I227">
        <f t="shared" ca="1" si="99"/>
        <v>0</v>
      </c>
      <c r="J227">
        <f t="shared" ca="1" si="114"/>
        <v>0</v>
      </c>
      <c r="K227">
        <f ca="1">IF(OR($C227="S",$C227=0),0,MATCH(OFFSET($D227,0,$C227)+IF($C227&lt;&gt;1,1,COUNTIF(QCI!$A$13:$A$24,ORÇAMENTO!E227)),OFFSET($D227,1,$C227,ROW($C$710)-ROW($C227)),0))</f>
        <v>0</v>
      </c>
      <c r="L227" s="143" t="str">
        <f t="shared" ca="1" si="100"/>
        <v/>
      </c>
      <c r="M227" s="144" t="s">
        <v>201</v>
      </c>
      <c r="N227" s="145" t="str">
        <f t="shared" ca="1" si="101"/>
        <v>Serviço</v>
      </c>
      <c r="O227" s="146" t="str">
        <f t="shared" ca="1" si="102"/>
        <v>-</v>
      </c>
      <c r="P227" s="147" t="s">
        <v>249</v>
      </c>
      <c r="Q227" s="148">
        <v>94227</v>
      </c>
      <c r="R227" s="149" t="str">
        <f t="shared" ca="1" si="118"/>
        <v>(abra o arquivo 'Referência 05-2024.xls)</v>
      </c>
      <c r="S227" s="150" t="str">
        <f t="shared" ca="1" si="119"/>
        <v>-</v>
      </c>
      <c r="T227" s="151">
        <f ca="1">OFFSET(CÁLCULO!H$15,ROW($T227)-ROW(T$15),0)</f>
        <v>190.78</v>
      </c>
      <c r="U227" s="152">
        <f t="shared" ca="1" si="115"/>
        <v>0</v>
      </c>
      <c r="V227" s="153" t="s">
        <v>158</v>
      </c>
      <c r="W227" s="151">
        <f t="shared" ca="1" si="103"/>
        <v>0</v>
      </c>
      <c r="X227" s="154">
        <f t="shared" ca="1" si="104"/>
        <v>0</v>
      </c>
      <c r="Y227" s="155" t="s">
        <v>583</v>
      </c>
      <c r="Z227" t="str">
        <f t="shared" ca="1" si="105"/>
        <v/>
      </c>
      <c r="AA227" s="156">
        <f ca="1">IF($C227="S",IF($Z227="CP",$X227,IF($Z227="RA",(($X227)*QCI!$AA$3),0)),SomaAgrup)</f>
        <v>0</v>
      </c>
      <c r="AB227" s="157">
        <f t="shared" ca="1" si="106"/>
        <v>0</v>
      </c>
      <c r="AC227" s="158" t="str">
        <f t="shared" ca="1" si="107"/>
        <v/>
      </c>
      <c r="AD227" s="104" t="str">
        <f ca="1">IF(C227&lt;=CRONO.NivelExibicao,MAX($AD$15:OFFSET(AD227,-1,0))+IF($C227&lt;&gt;1,1,MAX(1,COUNTIF(QCI!$A$13:$A$24,OFFSET($E227,-1,0)))),"")</f>
        <v/>
      </c>
      <c r="AE227" s="114" t="str">
        <f t="shared" ca="1" si="108"/>
        <v>SINAPI 94227</v>
      </c>
      <c r="AF227" s="159" t="str">
        <f t="shared" ca="1" si="109"/>
        <v>(abra o arquivo 'Referência 05-2024.xls)</v>
      </c>
      <c r="AG227" s="579">
        <f t="shared" ca="1" si="110"/>
        <v>0</v>
      </c>
      <c r="AH227" s="580">
        <f t="shared" ca="1" si="111"/>
        <v>0.22470000000000001</v>
      </c>
      <c r="AJ227" s="582">
        <v>190.78</v>
      </c>
      <c r="AL227" s="612"/>
      <c r="AM227" s="430">
        <f t="shared" ca="1" si="112"/>
        <v>0</v>
      </c>
      <c r="AN227" s="655">
        <f t="shared" ca="1" si="113"/>
        <v>0</v>
      </c>
    </row>
    <row r="228" spans="1:40" ht="13.8" x14ac:dyDescent="0.3">
      <c r="A228" t="str">
        <f t="shared" si="92"/>
        <v>S</v>
      </c>
      <c r="B228">
        <f t="shared" ca="1" si="93"/>
        <v>3</v>
      </c>
      <c r="C228" t="str">
        <f t="shared" ca="1" si="94"/>
        <v>S</v>
      </c>
      <c r="D228">
        <f t="shared" ca="1" si="95"/>
        <v>0</v>
      </c>
      <c r="E228">
        <f ca="1">IF($C228=1,OFFSET(E228,-1,0)+MAX(1,COUNTIF(QCI!$A$13:$A$24,OFFSET(ORÇAMENTO!E228,-1,0))),OFFSET(E228,-1,0))</f>
        <v>1</v>
      </c>
      <c r="F228">
        <f t="shared" ca="1" si="96"/>
        <v>7</v>
      </c>
      <c r="G228">
        <f t="shared" ca="1" si="97"/>
        <v>1</v>
      </c>
      <c r="H228">
        <f t="shared" ca="1" si="98"/>
        <v>0</v>
      </c>
      <c r="I228">
        <f t="shared" ca="1" si="99"/>
        <v>0</v>
      </c>
      <c r="J228">
        <f t="shared" ca="1" si="114"/>
        <v>0</v>
      </c>
      <c r="K228">
        <f ca="1">IF(OR($C228="S",$C228=0),0,MATCH(OFFSET($D228,0,$C228)+IF($C228&lt;&gt;1,1,COUNTIF(QCI!$A$13:$A$24,ORÇAMENTO!E228)),OFFSET($D228,1,$C228,ROW($C$710)-ROW($C228)),0))</f>
        <v>0</v>
      </c>
      <c r="L228" s="143" t="str">
        <f t="shared" ca="1" si="100"/>
        <v/>
      </c>
      <c r="M228" s="144" t="s">
        <v>201</v>
      </c>
      <c r="N228" s="145" t="str">
        <f t="shared" ca="1" si="101"/>
        <v>Serviço</v>
      </c>
      <c r="O228" s="146" t="str">
        <f t="shared" ca="1" si="102"/>
        <v>-</v>
      </c>
      <c r="P228" s="147" t="s">
        <v>249</v>
      </c>
      <c r="Q228" s="148">
        <v>94227</v>
      </c>
      <c r="R228" s="149" t="str">
        <f t="shared" ca="1" si="118"/>
        <v>(abra o arquivo 'Referência 05-2024.xls)</v>
      </c>
      <c r="S228" s="150" t="str">
        <f t="shared" ca="1" si="119"/>
        <v>-</v>
      </c>
      <c r="T228" s="151">
        <f ca="1">OFFSET(CÁLCULO!H$15,ROW($T228)-ROW(T$15),0)</f>
        <v>74.16</v>
      </c>
      <c r="U228" s="152">
        <f t="shared" ca="1" si="115"/>
        <v>0</v>
      </c>
      <c r="V228" s="153" t="s">
        <v>158</v>
      </c>
      <c r="W228" s="151">
        <f t="shared" ca="1" si="103"/>
        <v>0</v>
      </c>
      <c r="X228" s="154">
        <f t="shared" ca="1" si="104"/>
        <v>0</v>
      </c>
      <c r="Y228" s="155" t="s">
        <v>583</v>
      </c>
      <c r="Z228" t="str">
        <f t="shared" ca="1" si="105"/>
        <v/>
      </c>
      <c r="AA228" s="156">
        <f ca="1">IF($C228="S",IF($Z228="CP",$X228,IF($Z228="RA",(($X228)*QCI!$AA$3),0)),SomaAgrup)</f>
        <v>0</v>
      </c>
      <c r="AB228" s="157">
        <f t="shared" ca="1" si="106"/>
        <v>0</v>
      </c>
      <c r="AC228" s="158" t="str">
        <f t="shared" ca="1" si="107"/>
        <v/>
      </c>
      <c r="AD228" s="104" t="str">
        <f ca="1">IF(C228&lt;=CRONO.NivelExibicao,MAX($AD$15:OFFSET(AD228,-1,0))+IF($C228&lt;&gt;1,1,MAX(1,COUNTIF(QCI!$A$13:$A$24,OFFSET($E228,-1,0)))),"")</f>
        <v/>
      </c>
      <c r="AE228" s="114" t="str">
        <f t="shared" ca="1" si="108"/>
        <v>SINAPI 94227</v>
      </c>
      <c r="AF228" s="159" t="str">
        <f t="shared" ca="1" si="109"/>
        <v>(abra o arquivo 'Referência 05-2024.xls)</v>
      </c>
      <c r="AG228" s="579">
        <f t="shared" ca="1" si="110"/>
        <v>0</v>
      </c>
      <c r="AH228" s="580">
        <f t="shared" ca="1" si="111"/>
        <v>0.22470000000000001</v>
      </c>
      <c r="AJ228" s="582">
        <v>74.16</v>
      </c>
      <c r="AL228" s="612"/>
      <c r="AM228" s="430">
        <f t="shared" ca="1" si="112"/>
        <v>0</v>
      </c>
      <c r="AN228" s="655">
        <f t="shared" ca="1" si="113"/>
        <v>0</v>
      </c>
    </row>
    <row r="229" spans="1:40" ht="13.8" x14ac:dyDescent="0.3">
      <c r="A229" t="str">
        <f t="shared" si="92"/>
        <v>S</v>
      </c>
      <c r="B229">
        <f t="shared" ca="1" si="93"/>
        <v>3</v>
      </c>
      <c r="C229" t="str">
        <f t="shared" ca="1" si="94"/>
        <v>S</v>
      </c>
      <c r="D229">
        <f t="shared" ca="1" si="95"/>
        <v>0</v>
      </c>
      <c r="E229">
        <f ca="1">IF($C229=1,OFFSET(E229,-1,0)+MAX(1,COUNTIF(QCI!$A$13:$A$24,OFFSET(ORÇAMENTO!E229,-1,0))),OFFSET(E229,-1,0))</f>
        <v>1</v>
      </c>
      <c r="F229">
        <f t="shared" ca="1" si="96"/>
        <v>7</v>
      </c>
      <c r="G229">
        <f t="shared" ca="1" si="97"/>
        <v>1</v>
      </c>
      <c r="H229">
        <f t="shared" ca="1" si="98"/>
        <v>0</v>
      </c>
      <c r="I229">
        <f t="shared" ca="1" si="99"/>
        <v>0</v>
      </c>
      <c r="J229">
        <f t="shared" ca="1" si="114"/>
        <v>0</v>
      </c>
      <c r="K229">
        <f ca="1">IF(OR($C229="S",$C229=0),0,MATCH(OFFSET($D229,0,$C229)+IF($C229&lt;&gt;1,1,COUNTIF(QCI!$A$13:$A$24,ORÇAMENTO!E229)),OFFSET($D229,1,$C229,ROW($C$710)-ROW($C229)),0))</f>
        <v>0</v>
      </c>
      <c r="L229" s="143" t="str">
        <f t="shared" ca="1" si="100"/>
        <v/>
      </c>
      <c r="M229" s="144" t="s">
        <v>201</v>
      </c>
      <c r="N229" s="145" t="str">
        <f t="shared" ca="1" si="101"/>
        <v>Serviço</v>
      </c>
      <c r="O229" s="146" t="str">
        <f t="shared" ca="1" si="102"/>
        <v>-</v>
      </c>
      <c r="P229" s="147" t="s">
        <v>441</v>
      </c>
      <c r="Q229" s="148" t="s">
        <v>472</v>
      </c>
      <c r="R229" s="149" t="str">
        <f t="shared" ca="1" si="118"/>
        <v>(abra o arquivo 'Referência 05-2024.xls)</v>
      </c>
      <c r="S229" s="150" t="str">
        <f t="shared" ca="1" si="119"/>
        <v>-</v>
      </c>
      <c r="T229" s="151">
        <f ca="1">OFFSET(CÁLCULO!H$15,ROW($T229)-ROW(T$15),0)</f>
        <v>157.49</v>
      </c>
      <c r="U229" s="152">
        <f t="shared" ca="1" si="115"/>
        <v>0</v>
      </c>
      <c r="V229" s="153" t="s">
        <v>158</v>
      </c>
      <c r="W229" s="151">
        <f t="shared" ca="1" si="103"/>
        <v>0</v>
      </c>
      <c r="X229" s="154">
        <f t="shared" ca="1" si="104"/>
        <v>0</v>
      </c>
      <c r="Y229" s="155" t="s">
        <v>583</v>
      </c>
      <c r="Z229" t="str">
        <f t="shared" ca="1" si="105"/>
        <v/>
      </c>
      <c r="AA229" s="156">
        <f ca="1">IF($C229="S",IF($Z229="CP",$X229,IF($Z229="RA",(($X229)*QCI!$AA$3),0)),SomaAgrup)</f>
        <v>0</v>
      </c>
      <c r="AB229" s="157">
        <f t="shared" ca="1" si="106"/>
        <v>0</v>
      </c>
      <c r="AC229" s="158" t="str">
        <f t="shared" ca="1" si="107"/>
        <v/>
      </c>
      <c r="AD229" s="104" t="str">
        <f ca="1">IF(C229&lt;=CRONO.NivelExibicao,MAX($AD$15:OFFSET(AD229,-1,0))+IF($C229&lt;&gt;1,1,MAX(1,COUNTIF(QCI!$A$13:$A$24,OFFSET($E229,-1,0)))),"")</f>
        <v/>
      </c>
      <c r="AE229" s="114" t="str">
        <f t="shared" ca="1" si="108"/>
        <v>Composição CP-25</v>
      </c>
      <c r="AF229" s="159" t="str">
        <f t="shared" ca="1" si="109"/>
        <v>(abra o arquivo 'Referência 05-2024.xls)</v>
      </c>
      <c r="AG229" s="579">
        <f t="shared" ca="1" si="110"/>
        <v>0</v>
      </c>
      <c r="AH229" s="580">
        <f t="shared" ca="1" si="111"/>
        <v>0.22470000000000001</v>
      </c>
      <c r="AJ229" s="582">
        <v>157.49</v>
      </c>
      <c r="AL229" s="612"/>
      <c r="AM229" s="430">
        <f t="shared" ca="1" si="112"/>
        <v>0</v>
      </c>
      <c r="AN229" s="655">
        <f t="shared" ca="1" si="113"/>
        <v>0</v>
      </c>
    </row>
    <row r="230" spans="1:40" ht="13.8" x14ac:dyDescent="0.3">
      <c r="A230" t="str">
        <f t="shared" si="92"/>
        <v>S</v>
      </c>
      <c r="B230">
        <f t="shared" ca="1" si="93"/>
        <v>3</v>
      </c>
      <c r="C230" t="str">
        <f t="shared" ca="1" si="94"/>
        <v>S</v>
      </c>
      <c r="D230">
        <f t="shared" ca="1" si="95"/>
        <v>0</v>
      </c>
      <c r="E230">
        <f ca="1">IF($C230=1,OFFSET(E230,-1,0)+MAX(1,COUNTIF(QCI!$A$13:$A$24,OFFSET(ORÇAMENTO!E230,-1,0))),OFFSET(E230,-1,0))</f>
        <v>1</v>
      </c>
      <c r="F230">
        <f t="shared" ca="1" si="96"/>
        <v>7</v>
      </c>
      <c r="G230">
        <f t="shared" ca="1" si="97"/>
        <v>1</v>
      </c>
      <c r="H230">
        <f t="shared" ca="1" si="98"/>
        <v>0</v>
      </c>
      <c r="I230">
        <f t="shared" ca="1" si="99"/>
        <v>0</v>
      </c>
      <c r="J230">
        <f t="shared" ca="1" si="114"/>
        <v>0</v>
      </c>
      <c r="K230">
        <f ca="1">IF(OR($C230="S",$C230=0),0,MATCH(OFFSET($D230,0,$C230)+IF($C230&lt;&gt;1,1,COUNTIF(QCI!$A$13:$A$24,ORÇAMENTO!E230)),OFFSET($D230,1,$C230,ROW($C$710)-ROW($C230)),0))</f>
        <v>0</v>
      </c>
      <c r="L230" s="143" t="str">
        <f t="shared" ca="1" si="100"/>
        <v/>
      </c>
      <c r="M230" s="144" t="s">
        <v>201</v>
      </c>
      <c r="N230" s="145" t="str">
        <f t="shared" ca="1" si="101"/>
        <v>Serviço</v>
      </c>
      <c r="O230" s="146" t="str">
        <f t="shared" ca="1" si="102"/>
        <v>-</v>
      </c>
      <c r="P230" s="147" t="s">
        <v>249</v>
      </c>
      <c r="Q230" s="148">
        <v>94231</v>
      </c>
      <c r="R230" s="149" t="str">
        <f t="shared" ca="1" si="118"/>
        <v>(abra o arquivo 'Referência 05-2024.xls)</v>
      </c>
      <c r="S230" s="150" t="str">
        <f t="shared" ca="1" si="119"/>
        <v>-</v>
      </c>
      <c r="T230" s="151">
        <f ca="1">OFFSET(CÁLCULO!H$15,ROW($T230)-ROW(T$15),0)</f>
        <v>307.08999999999997</v>
      </c>
      <c r="U230" s="152">
        <f t="shared" ca="1" si="115"/>
        <v>0</v>
      </c>
      <c r="V230" s="153" t="s">
        <v>158</v>
      </c>
      <c r="W230" s="151">
        <f t="shared" ca="1" si="103"/>
        <v>0</v>
      </c>
      <c r="X230" s="154">
        <f t="shared" ca="1" si="104"/>
        <v>0</v>
      </c>
      <c r="Y230" s="155" t="s">
        <v>583</v>
      </c>
      <c r="Z230" t="str">
        <f t="shared" ca="1" si="105"/>
        <v/>
      </c>
      <c r="AA230" s="156">
        <f ca="1">IF($C230="S",IF($Z230="CP",$X230,IF($Z230="RA",(($X230)*QCI!$AA$3),0)),SomaAgrup)</f>
        <v>0</v>
      </c>
      <c r="AB230" s="157">
        <f t="shared" ca="1" si="106"/>
        <v>0</v>
      </c>
      <c r="AC230" s="158" t="str">
        <f t="shared" ca="1" si="107"/>
        <v/>
      </c>
      <c r="AD230" s="104" t="str">
        <f ca="1">IF(C230&lt;=CRONO.NivelExibicao,MAX($AD$15:OFFSET(AD230,-1,0))+IF($C230&lt;&gt;1,1,MAX(1,COUNTIF(QCI!$A$13:$A$24,OFFSET($E230,-1,0)))),"")</f>
        <v/>
      </c>
      <c r="AE230" s="114" t="str">
        <f t="shared" ca="1" si="108"/>
        <v>SINAPI 94231</v>
      </c>
      <c r="AF230" s="159" t="str">
        <f t="shared" ca="1" si="109"/>
        <v>(abra o arquivo 'Referência 05-2024.xls)</v>
      </c>
      <c r="AG230" s="579">
        <f t="shared" ca="1" si="110"/>
        <v>0</v>
      </c>
      <c r="AH230" s="580">
        <f t="shared" ca="1" si="111"/>
        <v>0.22470000000000001</v>
      </c>
      <c r="AJ230" s="582">
        <v>307.08999999999997</v>
      </c>
      <c r="AL230" s="612"/>
      <c r="AM230" s="430">
        <f t="shared" ca="1" si="112"/>
        <v>0</v>
      </c>
      <c r="AN230" s="655">
        <f t="shared" ca="1" si="113"/>
        <v>0</v>
      </c>
    </row>
    <row r="231" spans="1:40" ht="13.8" x14ac:dyDescent="0.3">
      <c r="A231" t="str">
        <f t="shared" si="92"/>
        <v>S</v>
      </c>
      <c r="B231">
        <f t="shared" ca="1" si="93"/>
        <v>3</v>
      </c>
      <c r="C231" t="str">
        <f t="shared" ca="1" si="94"/>
        <v>S</v>
      </c>
      <c r="D231">
        <f t="shared" ca="1" si="95"/>
        <v>0</v>
      </c>
      <c r="E231">
        <f ca="1">IF($C231=1,OFFSET(E231,-1,0)+MAX(1,COUNTIF(QCI!$A$13:$A$24,OFFSET(ORÇAMENTO!E231,-1,0))),OFFSET(E231,-1,0))</f>
        <v>1</v>
      </c>
      <c r="F231">
        <f t="shared" ca="1" si="96"/>
        <v>7</v>
      </c>
      <c r="G231">
        <f t="shared" ca="1" si="97"/>
        <v>1</v>
      </c>
      <c r="H231">
        <f t="shared" ca="1" si="98"/>
        <v>0</v>
      </c>
      <c r="I231">
        <f t="shared" ca="1" si="99"/>
        <v>0</v>
      </c>
      <c r="J231">
        <f t="shared" ca="1" si="114"/>
        <v>0</v>
      </c>
      <c r="K231">
        <f ca="1">IF(OR($C231="S",$C231=0),0,MATCH(OFFSET($D231,0,$C231)+IF($C231&lt;&gt;1,1,COUNTIF(QCI!$A$13:$A$24,ORÇAMENTO!E231)),OFFSET($D231,1,$C231,ROW($C$710)-ROW($C231)),0))</f>
        <v>0</v>
      </c>
      <c r="L231" s="143" t="str">
        <f t="shared" ca="1" si="100"/>
        <v/>
      </c>
      <c r="M231" s="144" t="s">
        <v>201</v>
      </c>
      <c r="N231" s="145" t="str">
        <f t="shared" ca="1" si="101"/>
        <v>Serviço</v>
      </c>
      <c r="O231" s="146" t="str">
        <f t="shared" ca="1" si="102"/>
        <v>-</v>
      </c>
      <c r="P231" s="147" t="s">
        <v>249</v>
      </c>
      <c r="Q231" s="148">
        <v>94231</v>
      </c>
      <c r="R231" s="149" t="str">
        <f t="shared" ca="1" si="118"/>
        <v>(abra o arquivo 'Referência 05-2024.xls)</v>
      </c>
      <c r="S231" s="150" t="str">
        <f t="shared" ca="1" si="119"/>
        <v>-</v>
      </c>
      <c r="T231" s="151">
        <f ca="1">OFFSET(CÁLCULO!H$15,ROW($T231)-ROW(T$15),0)</f>
        <v>421.05</v>
      </c>
      <c r="U231" s="152">
        <f t="shared" ca="1" si="115"/>
        <v>0</v>
      </c>
      <c r="V231" s="153" t="s">
        <v>158</v>
      </c>
      <c r="W231" s="151">
        <f t="shared" ca="1" si="103"/>
        <v>0</v>
      </c>
      <c r="X231" s="154">
        <f t="shared" ca="1" si="104"/>
        <v>0</v>
      </c>
      <c r="Y231" s="155" t="s">
        <v>583</v>
      </c>
      <c r="Z231" t="str">
        <f t="shared" ca="1" si="105"/>
        <v/>
      </c>
      <c r="AA231" s="156">
        <f ca="1">IF($C231="S",IF($Z231="CP",$X231,IF($Z231="RA",(($X231)*QCI!$AA$3),0)),SomaAgrup)</f>
        <v>0</v>
      </c>
      <c r="AB231" s="157">
        <f t="shared" ca="1" si="106"/>
        <v>0</v>
      </c>
      <c r="AC231" s="158" t="str">
        <f t="shared" ca="1" si="107"/>
        <v/>
      </c>
      <c r="AD231" s="104" t="str">
        <f ca="1">IF(C231&lt;=CRONO.NivelExibicao,MAX($AD$15:OFFSET(AD231,-1,0))+IF($C231&lt;&gt;1,1,MAX(1,COUNTIF(QCI!$A$13:$A$24,OFFSET($E231,-1,0)))),"")</f>
        <v/>
      </c>
      <c r="AE231" s="114" t="str">
        <f t="shared" ca="1" si="108"/>
        <v>SINAPI 94231</v>
      </c>
      <c r="AF231" s="159" t="str">
        <f t="shared" ca="1" si="109"/>
        <v>(abra o arquivo 'Referência 05-2024.xls)</v>
      </c>
      <c r="AG231" s="579">
        <f t="shared" ca="1" si="110"/>
        <v>0</v>
      </c>
      <c r="AH231" s="580">
        <f t="shared" ca="1" si="111"/>
        <v>0.22470000000000001</v>
      </c>
      <c r="AJ231" s="582">
        <v>421.05</v>
      </c>
      <c r="AL231" s="612"/>
      <c r="AM231" s="430">
        <f t="shared" ca="1" si="112"/>
        <v>0</v>
      </c>
      <c r="AN231" s="655">
        <f t="shared" ca="1" si="113"/>
        <v>0</v>
      </c>
    </row>
    <row r="232" spans="1:40" ht="13.8" x14ac:dyDescent="0.3">
      <c r="A232" t="str">
        <f t="shared" si="92"/>
        <v>S</v>
      </c>
      <c r="B232">
        <f t="shared" ca="1" si="93"/>
        <v>3</v>
      </c>
      <c r="C232" t="str">
        <f t="shared" ca="1" si="94"/>
        <v>S</v>
      </c>
      <c r="D232">
        <f t="shared" ca="1" si="95"/>
        <v>0</v>
      </c>
      <c r="E232">
        <f ca="1">IF($C232=1,OFFSET(E232,-1,0)+MAX(1,COUNTIF(QCI!$A$13:$A$24,OFFSET(ORÇAMENTO!E232,-1,0))),OFFSET(E232,-1,0))</f>
        <v>1</v>
      </c>
      <c r="F232">
        <f t="shared" ca="1" si="96"/>
        <v>7</v>
      </c>
      <c r="G232">
        <f t="shared" ca="1" si="97"/>
        <v>1</v>
      </c>
      <c r="H232">
        <f t="shared" ca="1" si="98"/>
        <v>0</v>
      </c>
      <c r="I232">
        <f t="shared" ca="1" si="99"/>
        <v>0</v>
      </c>
      <c r="J232">
        <f t="shared" ca="1" si="114"/>
        <v>0</v>
      </c>
      <c r="K232">
        <f ca="1">IF(OR($C232="S",$C232=0),0,MATCH(OFFSET($D232,0,$C232)+IF($C232&lt;&gt;1,1,COUNTIF(QCI!$A$13:$A$24,ORÇAMENTO!E232)),OFFSET($D232,1,$C232,ROW($C$710)-ROW($C232)),0))</f>
        <v>0</v>
      </c>
      <c r="L232" s="143" t="str">
        <f t="shared" ca="1" si="100"/>
        <v/>
      </c>
      <c r="M232" s="144" t="s">
        <v>201</v>
      </c>
      <c r="N232" s="145" t="str">
        <f t="shared" ca="1" si="101"/>
        <v>Serviço</v>
      </c>
      <c r="O232" s="146" t="str">
        <f t="shared" ca="1" si="102"/>
        <v>-</v>
      </c>
      <c r="P232" s="147" t="s">
        <v>249</v>
      </c>
      <c r="Q232" s="148">
        <v>94231</v>
      </c>
      <c r="R232" s="149" t="str">
        <f t="shared" ca="1" si="118"/>
        <v>(abra o arquivo 'Referência 05-2024.xls)</v>
      </c>
      <c r="S232" s="150" t="str">
        <f t="shared" ca="1" si="119"/>
        <v>-</v>
      </c>
      <c r="T232" s="151">
        <f ca="1">OFFSET(CÁLCULO!H$15,ROW($T232)-ROW(T$15),0)</f>
        <v>206.8</v>
      </c>
      <c r="U232" s="152">
        <f t="shared" ca="1" si="115"/>
        <v>0</v>
      </c>
      <c r="V232" s="153" t="s">
        <v>158</v>
      </c>
      <c r="W232" s="151">
        <f t="shared" ca="1" si="103"/>
        <v>0</v>
      </c>
      <c r="X232" s="154">
        <f t="shared" ca="1" si="104"/>
        <v>0</v>
      </c>
      <c r="Y232" s="155" t="s">
        <v>583</v>
      </c>
      <c r="Z232" t="str">
        <f t="shared" ca="1" si="105"/>
        <v/>
      </c>
      <c r="AA232" s="156">
        <f ca="1">IF($C232="S",IF($Z232="CP",$X232,IF($Z232="RA",(($X232)*QCI!$AA$3),0)),SomaAgrup)</f>
        <v>0</v>
      </c>
      <c r="AB232" s="157">
        <f t="shared" ca="1" si="106"/>
        <v>0</v>
      </c>
      <c r="AC232" s="158" t="str">
        <f t="shared" ca="1" si="107"/>
        <v/>
      </c>
      <c r="AD232" s="104" t="str">
        <f ca="1">IF(C232&lt;=CRONO.NivelExibicao,MAX($AD$15:OFFSET(AD232,-1,0))+IF($C232&lt;&gt;1,1,MAX(1,COUNTIF(QCI!$A$13:$A$24,OFFSET($E232,-1,0)))),"")</f>
        <v/>
      </c>
      <c r="AE232" s="114" t="str">
        <f t="shared" ca="1" si="108"/>
        <v>SINAPI 94231</v>
      </c>
      <c r="AF232" s="159" t="str">
        <f t="shared" ca="1" si="109"/>
        <v>(abra o arquivo 'Referência 05-2024.xls)</v>
      </c>
      <c r="AG232" s="579">
        <f t="shared" ca="1" si="110"/>
        <v>0</v>
      </c>
      <c r="AH232" s="580">
        <f t="shared" ca="1" si="111"/>
        <v>0.22470000000000001</v>
      </c>
      <c r="AJ232" s="582">
        <v>206.8</v>
      </c>
      <c r="AL232" s="612"/>
      <c r="AM232" s="430">
        <f t="shared" ca="1" si="112"/>
        <v>0</v>
      </c>
      <c r="AN232" s="655">
        <f t="shared" ca="1" si="113"/>
        <v>0</v>
      </c>
    </row>
    <row r="233" spans="1:40" ht="13.8" x14ac:dyDescent="0.3">
      <c r="A233" t="str">
        <f t="shared" si="92"/>
        <v>S</v>
      </c>
      <c r="B233">
        <f t="shared" ca="1" si="93"/>
        <v>3</v>
      </c>
      <c r="C233" t="str">
        <f t="shared" ca="1" si="94"/>
        <v>S</v>
      </c>
      <c r="D233">
        <f t="shared" ca="1" si="95"/>
        <v>0</v>
      </c>
      <c r="E233">
        <f ca="1">IF($C233=1,OFFSET(E233,-1,0)+MAX(1,COUNTIF(QCI!$A$13:$A$24,OFFSET(ORÇAMENTO!E233,-1,0))),OFFSET(E233,-1,0))</f>
        <v>1</v>
      </c>
      <c r="F233">
        <f t="shared" ca="1" si="96"/>
        <v>7</v>
      </c>
      <c r="G233">
        <f t="shared" ca="1" si="97"/>
        <v>1</v>
      </c>
      <c r="H233">
        <f t="shared" ca="1" si="98"/>
        <v>0</v>
      </c>
      <c r="I233">
        <f t="shared" ca="1" si="99"/>
        <v>0</v>
      </c>
      <c r="J233">
        <f t="shared" ca="1" si="114"/>
        <v>0</v>
      </c>
      <c r="K233">
        <f ca="1">IF(OR($C233="S",$C233=0),0,MATCH(OFFSET($D233,0,$C233)+IF($C233&lt;&gt;1,1,COUNTIF(QCI!$A$13:$A$24,ORÇAMENTO!E233)),OFFSET($D233,1,$C233,ROW($C$710)-ROW($C233)),0))</f>
        <v>0</v>
      </c>
      <c r="L233" s="143" t="str">
        <f t="shared" ca="1" si="100"/>
        <v/>
      </c>
      <c r="M233" s="144" t="s">
        <v>201</v>
      </c>
      <c r="N233" s="145" t="str">
        <f t="shared" ca="1" si="101"/>
        <v>Serviço</v>
      </c>
      <c r="O233" s="146" t="str">
        <f t="shared" ca="1" si="102"/>
        <v>-</v>
      </c>
      <c r="P233" s="147" t="s">
        <v>249</v>
      </c>
      <c r="Q233" s="148">
        <v>94231</v>
      </c>
      <c r="R233" s="149" t="str">
        <f t="shared" ca="1" si="118"/>
        <v>(abra o arquivo 'Referência 05-2024.xls)</v>
      </c>
      <c r="S233" s="150" t="str">
        <f t="shared" ca="1" si="119"/>
        <v>-</v>
      </c>
      <c r="T233" s="151">
        <f ca="1">OFFSET(CÁLCULO!H$15,ROW($T233)-ROW(T$15),0)</f>
        <v>268.45999999999998</v>
      </c>
      <c r="U233" s="152">
        <f t="shared" ca="1" si="115"/>
        <v>0</v>
      </c>
      <c r="V233" s="153" t="s">
        <v>158</v>
      </c>
      <c r="W233" s="151">
        <f t="shared" ca="1" si="103"/>
        <v>0</v>
      </c>
      <c r="X233" s="154">
        <f t="shared" ca="1" si="104"/>
        <v>0</v>
      </c>
      <c r="Y233" s="155" t="s">
        <v>583</v>
      </c>
      <c r="Z233" t="str">
        <f t="shared" ca="1" si="105"/>
        <v/>
      </c>
      <c r="AA233" s="156">
        <f ca="1">IF($C233="S",IF($Z233="CP",$X233,IF($Z233="RA",(($X233)*QCI!$AA$3),0)),SomaAgrup)</f>
        <v>0</v>
      </c>
      <c r="AB233" s="157">
        <f t="shared" ca="1" si="106"/>
        <v>0</v>
      </c>
      <c r="AC233" s="158" t="str">
        <f t="shared" ca="1" si="107"/>
        <v/>
      </c>
      <c r="AD233" s="104" t="str">
        <f ca="1">IF(C233&lt;=CRONO.NivelExibicao,MAX($AD$15:OFFSET(AD233,-1,0))+IF($C233&lt;&gt;1,1,MAX(1,COUNTIF(QCI!$A$13:$A$24,OFFSET($E233,-1,0)))),"")</f>
        <v/>
      </c>
      <c r="AE233" s="114" t="str">
        <f t="shared" ca="1" si="108"/>
        <v>SINAPI 94231</v>
      </c>
      <c r="AF233" s="159" t="str">
        <f t="shared" ca="1" si="109"/>
        <v>(abra o arquivo 'Referência 05-2024.xls)</v>
      </c>
      <c r="AG233" s="579">
        <f t="shared" ca="1" si="110"/>
        <v>0</v>
      </c>
      <c r="AH233" s="580">
        <f t="shared" ca="1" si="111"/>
        <v>0.22470000000000001</v>
      </c>
      <c r="AJ233" s="582">
        <v>268.45999999999998</v>
      </c>
      <c r="AL233" s="612"/>
      <c r="AM233" s="430">
        <f t="shared" ca="1" si="112"/>
        <v>0</v>
      </c>
      <c r="AN233" s="655">
        <f t="shared" ca="1" si="113"/>
        <v>0</v>
      </c>
    </row>
    <row r="234" spans="1:40" ht="13.8" x14ac:dyDescent="0.3">
      <c r="A234">
        <f t="shared" si="92"/>
        <v>3</v>
      </c>
      <c r="B234">
        <f t="shared" ca="1" si="93"/>
        <v>3</v>
      </c>
      <c r="C234">
        <f t="shared" ca="1" si="94"/>
        <v>3</v>
      </c>
      <c r="D234">
        <f t="shared" ca="1" si="95"/>
        <v>4</v>
      </c>
      <c r="E234">
        <f ca="1">IF($C234=1,OFFSET(E234,-1,0)+MAX(1,COUNTIF(QCI!$A$13:$A$24,OFFSET(ORÇAMENTO!E234,-1,0))),OFFSET(E234,-1,0))</f>
        <v>1</v>
      </c>
      <c r="F234">
        <f t="shared" ca="1" si="96"/>
        <v>7</v>
      </c>
      <c r="G234">
        <f t="shared" ca="1" si="97"/>
        <v>2</v>
      </c>
      <c r="H234">
        <f t="shared" ca="1" si="98"/>
        <v>0</v>
      </c>
      <c r="I234">
        <f t="shared" ca="1" si="99"/>
        <v>0</v>
      </c>
      <c r="J234">
        <f t="shared" ca="1" si="114"/>
        <v>4</v>
      </c>
      <c r="K234">
        <f ca="1">IF(OR($C234="S",$C234=0),0,MATCH(OFFSET($D234,0,$C234)+IF($C234&lt;&gt;1,1,COUNTIF(QCI!$A$13:$A$24,ORÇAMENTO!E234)),OFFSET($D234,1,$C234,ROW($C$710)-ROW($C234)),0))</f>
        <v>126</v>
      </c>
      <c r="L234" s="143" t="str">
        <f t="shared" ca="1" si="100"/>
        <v>F</v>
      </c>
      <c r="M234" s="144" t="s">
        <v>199</v>
      </c>
      <c r="N234" s="145" t="str">
        <f t="shared" ca="1" si="101"/>
        <v>Nível 3</v>
      </c>
      <c r="O234" s="146" t="str">
        <f t="shared" ca="1" si="102"/>
        <v>1.7.2.</v>
      </c>
      <c r="P234" s="147" t="s">
        <v>249</v>
      </c>
      <c r="Q234" s="148"/>
      <c r="R234" s="149" t="s">
        <v>516</v>
      </c>
      <c r="S234" s="150" t="s">
        <v>168</v>
      </c>
      <c r="T234" s="151">
        <f ca="1">OFFSET(CÁLCULO!H$15,ROW($T234)-ROW(T$15),0)</f>
        <v>0</v>
      </c>
      <c r="U234" s="152">
        <f t="shared" ca="1" si="115"/>
        <v>0</v>
      </c>
      <c r="V234" s="153" t="s">
        <v>158</v>
      </c>
      <c r="W234" s="151">
        <f t="shared" ca="1" si="103"/>
        <v>0</v>
      </c>
      <c r="X234" s="154">
        <f t="shared" ca="1" si="104"/>
        <v>0</v>
      </c>
      <c r="Y234" s="155" t="s">
        <v>583</v>
      </c>
      <c r="Z234" t="str">
        <f t="shared" ca="1" si="105"/>
        <v/>
      </c>
      <c r="AA234" s="156">
        <f ca="1">IF($C234="S",IF($Z234="CP",$X234,IF($Z234="RA",(($X234)*QCI!$AA$3),0)),SomaAgrup)</f>
        <v>0</v>
      </c>
      <c r="AB234" s="157">
        <f t="shared" ca="1" si="106"/>
        <v>0</v>
      </c>
      <c r="AC234" s="158" t="str">
        <f t="shared" ca="1" si="107"/>
        <v/>
      </c>
      <c r="AD234" s="104" t="str">
        <f ca="1">IF(C234&lt;=CRONO.NivelExibicao,MAX($AD$15:OFFSET(AD234,-1,0))+IF($C234&lt;&gt;1,1,MAX(1,COUNTIF(QCI!$A$13:$A$24,OFFSET($E234,-1,0)))),"")</f>
        <v/>
      </c>
      <c r="AE234" s="114" t="b">
        <f t="shared" ca="1" si="108"/>
        <v>0</v>
      </c>
      <c r="AF234" s="159" t="str">
        <f t="shared" ca="1" si="109"/>
        <v>(abra o arquivo 'Referência 05-2024.xls)</v>
      </c>
      <c r="AG234" s="579">
        <f t="shared" ca="1" si="110"/>
        <v>0</v>
      </c>
      <c r="AH234" s="580">
        <f t="shared" ca="1" si="111"/>
        <v>0.22470000000000001</v>
      </c>
      <c r="AJ234" s="582"/>
      <c r="AL234" s="612"/>
      <c r="AM234" s="430">
        <f t="shared" ca="1" si="112"/>
        <v>0</v>
      </c>
      <c r="AN234" s="655">
        <f t="shared" ca="1" si="113"/>
        <v>0</v>
      </c>
    </row>
    <row r="235" spans="1:40" ht="13.8" x14ac:dyDescent="0.3">
      <c r="A235" t="str">
        <f t="shared" si="92"/>
        <v>S</v>
      </c>
      <c r="B235">
        <f t="shared" ca="1" si="93"/>
        <v>3</v>
      </c>
      <c r="C235" t="str">
        <f t="shared" ca="1" si="94"/>
        <v>S</v>
      </c>
      <c r="D235">
        <f t="shared" ca="1" si="95"/>
        <v>0</v>
      </c>
      <c r="E235">
        <f ca="1">IF($C235=1,OFFSET(E235,-1,0)+MAX(1,COUNTIF(QCI!$A$13:$A$24,OFFSET(ORÇAMENTO!E235,-1,0))),OFFSET(E235,-1,0))</f>
        <v>1</v>
      </c>
      <c r="F235">
        <f t="shared" ca="1" si="96"/>
        <v>7</v>
      </c>
      <c r="G235">
        <f t="shared" ca="1" si="97"/>
        <v>2</v>
      </c>
      <c r="H235">
        <f t="shared" ca="1" si="98"/>
        <v>0</v>
      </c>
      <c r="I235">
        <f t="shared" ca="1" si="99"/>
        <v>0</v>
      </c>
      <c r="J235">
        <f t="shared" ca="1" si="114"/>
        <v>0</v>
      </c>
      <c r="K235">
        <f ca="1">IF(OR($C235="S",$C235=0),0,MATCH(OFFSET($D235,0,$C235)+IF($C235&lt;&gt;1,1,COUNTIF(QCI!$A$13:$A$24,ORÇAMENTO!E235)),OFFSET($D235,1,$C235,ROW($C$710)-ROW($C235)),0))</f>
        <v>0</v>
      </c>
      <c r="L235" s="143" t="str">
        <f t="shared" ca="1" si="100"/>
        <v/>
      </c>
      <c r="M235" s="144" t="s">
        <v>201</v>
      </c>
      <c r="N235" s="145" t="str">
        <f t="shared" ca="1" si="101"/>
        <v>Serviço</v>
      </c>
      <c r="O235" s="146" t="str">
        <f t="shared" ca="1" si="102"/>
        <v>-</v>
      </c>
      <c r="P235" s="147" t="s">
        <v>249</v>
      </c>
      <c r="Q235" s="148">
        <v>94213</v>
      </c>
      <c r="R235" s="149" t="str">
        <f ca="1">IF($C235="S",REFERENCIA.Descricao,"(digite a descrição aqui)")</f>
        <v>(abra o arquivo 'Referência 05-2024.xls)</v>
      </c>
      <c r="S235" s="150" t="str">
        <f ca="1">REFERENCIA.Unidade</f>
        <v>-</v>
      </c>
      <c r="T235" s="151">
        <f ca="1">OFFSET(CÁLCULO!H$15,ROW($T235)-ROW(T$15),0)</f>
        <v>724.81</v>
      </c>
      <c r="U235" s="152">
        <f t="shared" ca="1" si="115"/>
        <v>0</v>
      </c>
      <c r="V235" s="153" t="s">
        <v>158</v>
      </c>
      <c r="W235" s="151">
        <f t="shared" ca="1" si="103"/>
        <v>0</v>
      </c>
      <c r="X235" s="154">
        <f t="shared" ca="1" si="104"/>
        <v>0</v>
      </c>
      <c r="Y235" s="155" t="s">
        <v>583</v>
      </c>
      <c r="Z235" t="str">
        <f t="shared" ca="1" si="105"/>
        <v/>
      </c>
      <c r="AA235" s="156">
        <f ca="1">IF($C235="S",IF($Z235="CP",$X235,IF($Z235="RA",(($X235)*QCI!$AA$3),0)),SomaAgrup)</f>
        <v>0</v>
      </c>
      <c r="AB235" s="157">
        <f t="shared" ca="1" si="106"/>
        <v>0</v>
      </c>
      <c r="AC235" s="158" t="str">
        <f t="shared" ca="1" si="107"/>
        <v/>
      </c>
      <c r="AD235" s="104" t="str">
        <f ca="1">IF(C235&lt;=CRONO.NivelExibicao,MAX($AD$15:OFFSET(AD235,-1,0))+IF($C235&lt;&gt;1,1,MAX(1,COUNTIF(QCI!$A$13:$A$24,OFFSET($E235,-1,0)))),"")</f>
        <v/>
      </c>
      <c r="AE235" s="114" t="str">
        <f t="shared" ca="1" si="108"/>
        <v>SINAPI 94213</v>
      </c>
      <c r="AF235" s="159" t="str">
        <f t="shared" ca="1" si="109"/>
        <v>(abra o arquivo 'Referência 05-2024.xls)</v>
      </c>
      <c r="AG235" s="579">
        <f t="shared" ca="1" si="110"/>
        <v>0</v>
      </c>
      <c r="AH235" s="580">
        <f t="shared" ca="1" si="111"/>
        <v>0.22470000000000001</v>
      </c>
      <c r="AJ235" s="582">
        <v>724.81</v>
      </c>
      <c r="AL235" s="612"/>
      <c r="AM235" s="430">
        <f t="shared" ca="1" si="112"/>
        <v>0</v>
      </c>
      <c r="AN235" s="655">
        <f t="shared" ca="1" si="113"/>
        <v>0</v>
      </c>
    </row>
    <row r="236" spans="1:40" ht="13.8" x14ac:dyDescent="0.3">
      <c r="A236" t="str">
        <f t="shared" si="92"/>
        <v>S</v>
      </c>
      <c r="B236">
        <f t="shared" ca="1" si="93"/>
        <v>3</v>
      </c>
      <c r="C236" t="str">
        <f t="shared" ca="1" si="94"/>
        <v>S</v>
      </c>
      <c r="D236">
        <f t="shared" ca="1" si="95"/>
        <v>0</v>
      </c>
      <c r="E236">
        <f ca="1">IF($C236=1,OFFSET(E236,-1,0)+MAX(1,COUNTIF(QCI!$A$13:$A$24,OFFSET(ORÇAMENTO!E236,-1,0))),OFFSET(E236,-1,0))</f>
        <v>1</v>
      </c>
      <c r="F236">
        <f t="shared" ca="1" si="96"/>
        <v>7</v>
      </c>
      <c r="G236">
        <f t="shared" ca="1" si="97"/>
        <v>2</v>
      </c>
      <c r="H236">
        <f t="shared" ca="1" si="98"/>
        <v>0</v>
      </c>
      <c r="I236">
        <f t="shared" ca="1" si="99"/>
        <v>0</v>
      </c>
      <c r="J236">
        <f t="shared" ca="1" si="114"/>
        <v>0</v>
      </c>
      <c r="K236">
        <f ca="1">IF(OR($C236="S",$C236=0),0,MATCH(OFFSET($D236,0,$C236)+IF($C236&lt;&gt;1,1,COUNTIF(QCI!$A$13:$A$24,ORÇAMENTO!E236)),OFFSET($D236,1,$C236,ROW($C$710)-ROW($C236)),0))</f>
        <v>0</v>
      </c>
      <c r="L236" s="143" t="str">
        <f t="shared" ca="1" si="100"/>
        <v/>
      </c>
      <c r="M236" s="144" t="s">
        <v>201</v>
      </c>
      <c r="N236" s="145" t="str">
        <f t="shared" ca="1" si="101"/>
        <v>Serviço</v>
      </c>
      <c r="O236" s="146" t="str">
        <f t="shared" ca="1" si="102"/>
        <v>-</v>
      </c>
      <c r="P236" s="147" t="s">
        <v>441</v>
      </c>
      <c r="Q236" s="148" t="s">
        <v>472</v>
      </c>
      <c r="R236" s="149" t="str">
        <f ca="1">IF($C236="S",REFERENCIA.Descricao,"(digite a descrição aqui)")</f>
        <v>(abra o arquivo 'Referência 05-2024.xls)</v>
      </c>
      <c r="S236" s="150" t="str">
        <f ca="1">REFERENCIA.Unidade</f>
        <v>-</v>
      </c>
      <c r="T236" s="151">
        <f ca="1">OFFSET(CÁLCULO!H$15,ROW($T236)-ROW(T$15),0)</f>
        <v>32.299999999999997</v>
      </c>
      <c r="U236" s="152">
        <f t="shared" ca="1" si="115"/>
        <v>0</v>
      </c>
      <c r="V236" s="153" t="s">
        <v>158</v>
      </c>
      <c r="W236" s="151">
        <f t="shared" ca="1" si="103"/>
        <v>0</v>
      </c>
      <c r="X236" s="154">
        <f t="shared" ca="1" si="104"/>
        <v>0</v>
      </c>
      <c r="Y236" s="155" t="s">
        <v>583</v>
      </c>
      <c r="Z236" t="str">
        <f t="shared" ca="1" si="105"/>
        <v/>
      </c>
      <c r="AA236" s="156">
        <f ca="1">IF($C236="S",IF($Z236="CP",$X236,IF($Z236="RA",(($X236)*QCI!$AA$3),0)),SomaAgrup)</f>
        <v>0</v>
      </c>
      <c r="AB236" s="157">
        <f t="shared" ca="1" si="106"/>
        <v>0</v>
      </c>
      <c r="AC236" s="158" t="str">
        <f t="shared" ca="1" si="107"/>
        <v/>
      </c>
      <c r="AD236" s="104" t="str">
        <f ca="1">IF(C236&lt;=CRONO.NivelExibicao,MAX($AD$15:OFFSET(AD236,-1,0))+IF($C236&lt;&gt;1,1,MAX(1,COUNTIF(QCI!$A$13:$A$24,OFFSET($E236,-1,0)))),"")</f>
        <v/>
      </c>
      <c r="AE236" s="114" t="str">
        <f t="shared" ca="1" si="108"/>
        <v>Composição CP-25</v>
      </c>
      <c r="AF236" s="159" t="str">
        <f t="shared" ca="1" si="109"/>
        <v>(abra o arquivo 'Referência 05-2024.xls)</v>
      </c>
      <c r="AG236" s="579">
        <f t="shared" ca="1" si="110"/>
        <v>0</v>
      </c>
      <c r="AH236" s="580">
        <f t="shared" ca="1" si="111"/>
        <v>0.22470000000000001</v>
      </c>
      <c r="AJ236" s="582">
        <v>32.299999999999997</v>
      </c>
      <c r="AL236" s="612"/>
      <c r="AM236" s="430">
        <f t="shared" ca="1" si="112"/>
        <v>0</v>
      </c>
      <c r="AN236" s="655">
        <f t="shared" ca="1" si="113"/>
        <v>0</v>
      </c>
    </row>
    <row r="237" spans="1:40" ht="13.8" x14ac:dyDescent="0.3">
      <c r="A237" t="str">
        <f t="shared" si="92"/>
        <v>S</v>
      </c>
      <c r="B237">
        <f t="shared" ca="1" si="93"/>
        <v>3</v>
      </c>
      <c r="C237" t="str">
        <f t="shared" ca="1" si="94"/>
        <v>S</v>
      </c>
      <c r="D237">
        <f t="shared" ca="1" si="95"/>
        <v>0</v>
      </c>
      <c r="E237">
        <f ca="1">IF($C237=1,OFFSET(E237,-1,0)+MAX(1,COUNTIF(QCI!$A$13:$A$24,OFFSET(ORÇAMENTO!E237,-1,0))),OFFSET(E237,-1,0))</f>
        <v>1</v>
      </c>
      <c r="F237">
        <f t="shared" ca="1" si="96"/>
        <v>7</v>
      </c>
      <c r="G237">
        <f t="shared" ca="1" si="97"/>
        <v>2</v>
      </c>
      <c r="H237">
        <f t="shared" ca="1" si="98"/>
        <v>0</v>
      </c>
      <c r="I237">
        <f t="shared" ca="1" si="99"/>
        <v>0</v>
      </c>
      <c r="J237">
        <f t="shared" ca="1" si="114"/>
        <v>0</v>
      </c>
      <c r="K237">
        <f ca="1">IF(OR($C237="S",$C237=0),0,MATCH(OFFSET($D237,0,$C237)+IF($C237&lt;&gt;1,1,COUNTIF(QCI!$A$13:$A$24,ORÇAMENTO!E237)),OFFSET($D237,1,$C237,ROW($C$710)-ROW($C237)),0))</f>
        <v>0</v>
      </c>
      <c r="L237" s="143" t="str">
        <f t="shared" ca="1" si="100"/>
        <v/>
      </c>
      <c r="M237" s="144" t="s">
        <v>201</v>
      </c>
      <c r="N237" s="145" t="str">
        <f t="shared" ca="1" si="101"/>
        <v>Serviço</v>
      </c>
      <c r="O237" s="146" t="str">
        <f t="shared" ca="1" si="102"/>
        <v>-</v>
      </c>
      <c r="P237" s="147" t="s">
        <v>249</v>
      </c>
      <c r="Q237" s="148">
        <v>94213</v>
      </c>
      <c r="R237" s="149" t="str">
        <f ca="1">IF($C237="S",REFERENCIA.Descricao,"(digite a descrição aqui)")</f>
        <v>(abra o arquivo 'Referência 05-2024.xls)</v>
      </c>
      <c r="S237" s="150" t="str">
        <f ca="1">REFERENCIA.Unidade</f>
        <v>-</v>
      </c>
      <c r="T237" s="151">
        <f ca="1">OFFSET(CÁLCULO!H$15,ROW($T237)-ROW(T$15),0)</f>
        <v>632.70000000000005</v>
      </c>
      <c r="U237" s="152">
        <f t="shared" ca="1" si="115"/>
        <v>0</v>
      </c>
      <c r="V237" s="153" t="s">
        <v>158</v>
      </c>
      <c r="W237" s="151">
        <f t="shared" ca="1" si="103"/>
        <v>0</v>
      </c>
      <c r="X237" s="154">
        <f t="shared" ca="1" si="104"/>
        <v>0</v>
      </c>
      <c r="Y237" s="155" t="s">
        <v>583</v>
      </c>
      <c r="Z237" t="str">
        <f t="shared" ca="1" si="105"/>
        <v/>
      </c>
      <c r="AA237" s="156">
        <f ca="1">IF($C237="S",IF($Z237="CP",$X237,IF($Z237="RA",(($X237)*QCI!$AA$3),0)),SomaAgrup)</f>
        <v>0</v>
      </c>
      <c r="AB237" s="157">
        <f t="shared" ca="1" si="106"/>
        <v>0</v>
      </c>
      <c r="AC237" s="158" t="str">
        <f t="shared" ca="1" si="107"/>
        <v/>
      </c>
      <c r="AD237" s="104" t="str">
        <f ca="1">IF(C237&lt;=CRONO.NivelExibicao,MAX($AD$15:OFFSET(AD237,-1,0))+IF($C237&lt;&gt;1,1,MAX(1,COUNTIF(QCI!$A$13:$A$24,OFFSET($E237,-1,0)))),"")</f>
        <v/>
      </c>
      <c r="AE237" s="114" t="str">
        <f t="shared" ca="1" si="108"/>
        <v>SINAPI 94213</v>
      </c>
      <c r="AF237" s="159" t="str">
        <f t="shared" ca="1" si="109"/>
        <v>(abra o arquivo 'Referência 05-2024.xls)</v>
      </c>
      <c r="AG237" s="579">
        <f t="shared" ca="1" si="110"/>
        <v>0</v>
      </c>
      <c r="AH237" s="580">
        <f t="shared" ca="1" si="111"/>
        <v>0.22470000000000001</v>
      </c>
      <c r="AJ237" s="582">
        <v>632.70000000000005</v>
      </c>
      <c r="AL237" s="612"/>
      <c r="AM237" s="430">
        <f t="shared" ca="1" si="112"/>
        <v>0</v>
      </c>
      <c r="AN237" s="655">
        <f t="shared" ca="1" si="113"/>
        <v>0</v>
      </c>
    </row>
    <row r="238" spans="1:40" ht="13.8" x14ac:dyDescent="0.3">
      <c r="A238">
        <f t="shared" si="92"/>
        <v>2</v>
      </c>
      <c r="B238">
        <f t="shared" ca="1" si="93"/>
        <v>2</v>
      </c>
      <c r="C238">
        <f t="shared" ca="1" si="94"/>
        <v>2</v>
      </c>
      <c r="D238">
        <f t="shared" ca="1" si="95"/>
        <v>5</v>
      </c>
      <c r="E238">
        <f ca="1">IF($C238=1,OFFSET(E238,-1,0)+MAX(1,COUNTIF(QCI!$A$13:$A$24,OFFSET(ORÇAMENTO!E238,-1,0))),OFFSET(E238,-1,0))</f>
        <v>1</v>
      </c>
      <c r="F238">
        <f t="shared" ca="1" si="96"/>
        <v>8</v>
      </c>
      <c r="G238">
        <f t="shared" ca="1" si="97"/>
        <v>0</v>
      </c>
      <c r="H238">
        <f t="shared" ca="1" si="98"/>
        <v>0</v>
      </c>
      <c r="I238">
        <f t="shared" ca="1" si="99"/>
        <v>0</v>
      </c>
      <c r="J238">
        <f t="shared" ca="1" si="114"/>
        <v>464</v>
      </c>
      <c r="K238">
        <f ca="1">IF(OR($C238="S",$C238=0),0,MATCH(OFFSET($D238,0,$C238)+IF($C238&lt;&gt;1,1,COUNTIF(QCI!$A$13:$A$24,ORÇAMENTO!E238)),OFFSET($D238,1,$C238,ROW($C$710)-ROW($C238)),0))</f>
        <v>5</v>
      </c>
      <c r="L238" s="143" t="str">
        <f t="shared" ca="1" si="100"/>
        <v>F</v>
      </c>
      <c r="M238" s="144" t="s">
        <v>198</v>
      </c>
      <c r="N238" s="145" t="str">
        <f t="shared" ca="1" si="101"/>
        <v>Nível 2</v>
      </c>
      <c r="O238" s="146" t="str">
        <f t="shared" ca="1" si="102"/>
        <v>1.8.</v>
      </c>
      <c r="P238" s="147" t="s">
        <v>249</v>
      </c>
      <c r="Q238" s="148"/>
      <c r="R238" s="149" t="s">
        <v>517</v>
      </c>
      <c r="S238" s="150" t="s">
        <v>168</v>
      </c>
      <c r="T238" s="151">
        <f ca="1">OFFSET(CÁLCULO!H$15,ROW($T238)-ROW(T$15),0)</f>
        <v>0</v>
      </c>
      <c r="U238" s="152">
        <f t="shared" ca="1" si="115"/>
        <v>0</v>
      </c>
      <c r="V238" s="153" t="s">
        <v>158</v>
      </c>
      <c r="W238" s="151">
        <f t="shared" ca="1" si="103"/>
        <v>0</v>
      </c>
      <c r="X238" s="154">
        <f t="shared" ca="1" si="104"/>
        <v>0</v>
      </c>
      <c r="Y238" s="155" t="s">
        <v>583</v>
      </c>
      <c r="Z238" t="str">
        <f t="shared" ca="1" si="105"/>
        <v/>
      </c>
      <c r="AA238" s="156">
        <f ca="1">IF($C238="S",IF($Z238="CP",$X238,IF($Z238="RA",(($X238)*QCI!$AA$3),0)),SomaAgrup)</f>
        <v>0</v>
      </c>
      <c r="AB238" s="157">
        <f t="shared" ca="1" si="106"/>
        <v>0</v>
      </c>
      <c r="AC238" s="158" t="str">
        <f t="shared" ca="1" si="107"/>
        <v/>
      </c>
      <c r="AD238" s="104">
        <f ca="1">IF(C238&lt;=CRONO.NivelExibicao,MAX($AD$15:OFFSET(AD238,-1,0))+IF($C238&lt;&gt;1,1,MAX(1,COUNTIF(QCI!$A$13:$A$24,OFFSET($E238,-1,0)))),"")</f>
        <v>9</v>
      </c>
      <c r="AE238" s="114" t="b">
        <f t="shared" ca="1" si="108"/>
        <v>0</v>
      </c>
      <c r="AF238" s="159" t="str">
        <f t="shared" ca="1" si="109"/>
        <v>(abra o arquivo 'Referência 05-2024.xls)</v>
      </c>
      <c r="AG238" s="579">
        <f t="shared" ca="1" si="110"/>
        <v>0</v>
      </c>
      <c r="AH238" s="580">
        <f t="shared" ca="1" si="111"/>
        <v>0.22470000000000001</v>
      </c>
      <c r="AJ238" s="582"/>
      <c r="AL238" s="612"/>
      <c r="AM238" s="430">
        <f t="shared" ca="1" si="112"/>
        <v>0</v>
      </c>
      <c r="AN238" s="655">
        <f t="shared" ca="1" si="113"/>
        <v>0</v>
      </c>
    </row>
    <row r="239" spans="1:40" ht="13.8" x14ac:dyDescent="0.3">
      <c r="A239" t="str">
        <f t="shared" si="92"/>
        <v>S</v>
      </c>
      <c r="B239">
        <f t="shared" ca="1" si="93"/>
        <v>2</v>
      </c>
      <c r="C239" t="str">
        <f t="shared" ca="1" si="94"/>
        <v>S</v>
      </c>
      <c r="D239">
        <f t="shared" ca="1" si="95"/>
        <v>0</v>
      </c>
      <c r="E239">
        <f ca="1">IF($C239=1,OFFSET(E239,-1,0)+MAX(1,COUNTIF(QCI!$A$13:$A$24,OFFSET(ORÇAMENTO!E239,-1,0))),OFFSET(E239,-1,0))</f>
        <v>1</v>
      </c>
      <c r="F239">
        <f t="shared" ca="1" si="96"/>
        <v>8</v>
      </c>
      <c r="G239">
        <f t="shared" ca="1" si="97"/>
        <v>0</v>
      </c>
      <c r="H239">
        <f t="shared" ca="1" si="98"/>
        <v>0</v>
      </c>
      <c r="I239">
        <f t="shared" ca="1" si="99"/>
        <v>0</v>
      </c>
      <c r="J239">
        <f t="shared" ca="1" si="114"/>
        <v>0</v>
      </c>
      <c r="K239">
        <f ca="1">IF(OR($C239="S",$C239=0),0,MATCH(OFFSET($D239,0,$C239)+IF($C239&lt;&gt;1,1,COUNTIF(QCI!$A$13:$A$24,ORÇAMENTO!E239)),OFFSET($D239,1,$C239,ROW($C$710)-ROW($C239)),0))</f>
        <v>0</v>
      </c>
      <c r="L239" s="143" t="str">
        <f t="shared" ca="1" si="100"/>
        <v/>
      </c>
      <c r="M239" s="144" t="s">
        <v>201</v>
      </c>
      <c r="N239" s="145" t="str">
        <f t="shared" ca="1" si="101"/>
        <v>Serviço</v>
      </c>
      <c r="O239" s="146" t="str">
        <f t="shared" ca="1" si="102"/>
        <v>-</v>
      </c>
      <c r="P239" s="147" t="s">
        <v>249</v>
      </c>
      <c r="Q239" s="148">
        <v>98557</v>
      </c>
      <c r="R239" s="149" t="str">
        <f ca="1">IF($C239="S",REFERENCIA.Descricao,"(digite a descrição aqui)")</f>
        <v>(abra o arquivo 'Referência 05-2024.xls)</v>
      </c>
      <c r="S239" s="150" t="str">
        <f ca="1">REFERENCIA.Unidade</f>
        <v>-</v>
      </c>
      <c r="T239" s="151">
        <f ca="1">OFFSET(CÁLCULO!H$15,ROW($T239)-ROW(T$15),0)</f>
        <v>1078.06</v>
      </c>
      <c r="U239" s="152">
        <f t="shared" ca="1" si="115"/>
        <v>0</v>
      </c>
      <c r="V239" s="153" t="s">
        <v>158</v>
      </c>
      <c r="W239" s="151">
        <f t="shared" ca="1" si="103"/>
        <v>0</v>
      </c>
      <c r="X239" s="154">
        <f t="shared" ca="1" si="104"/>
        <v>0</v>
      </c>
      <c r="Y239" s="155" t="s">
        <v>583</v>
      </c>
      <c r="Z239" t="str">
        <f t="shared" ca="1" si="105"/>
        <v/>
      </c>
      <c r="AA239" s="156">
        <f ca="1">IF($C239="S",IF($Z239="CP",$X239,IF($Z239="RA",(($X239)*QCI!$AA$3),0)),SomaAgrup)</f>
        <v>0</v>
      </c>
      <c r="AB239" s="157">
        <f t="shared" ca="1" si="106"/>
        <v>0</v>
      </c>
      <c r="AC239" s="158" t="str">
        <f t="shared" ca="1" si="107"/>
        <v/>
      </c>
      <c r="AD239" s="104" t="str">
        <f ca="1">IF(C239&lt;=CRONO.NivelExibicao,MAX($AD$15:OFFSET(AD239,-1,0))+IF($C239&lt;&gt;1,1,MAX(1,COUNTIF(QCI!$A$13:$A$24,OFFSET($E239,-1,0)))),"")</f>
        <v/>
      </c>
      <c r="AE239" s="114" t="str">
        <f t="shared" ca="1" si="108"/>
        <v>SINAPI 98557</v>
      </c>
      <c r="AF239" s="159" t="str">
        <f t="shared" ca="1" si="109"/>
        <v>(abra o arquivo 'Referência 05-2024.xls)</v>
      </c>
      <c r="AG239" s="579">
        <f t="shared" ca="1" si="110"/>
        <v>0</v>
      </c>
      <c r="AH239" s="580">
        <f t="shared" ca="1" si="111"/>
        <v>0.22470000000000001</v>
      </c>
      <c r="AJ239" s="582">
        <v>1078.06</v>
      </c>
      <c r="AL239" s="612"/>
      <c r="AM239" s="430">
        <f t="shared" ca="1" si="112"/>
        <v>0</v>
      </c>
      <c r="AN239" s="655">
        <f t="shared" ca="1" si="113"/>
        <v>0</v>
      </c>
    </row>
    <row r="240" spans="1:40" ht="13.8" x14ac:dyDescent="0.3">
      <c r="A240" t="str">
        <f t="shared" si="92"/>
        <v>S</v>
      </c>
      <c r="B240">
        <f t="shared" ca="1" si="93"/>
        <v>2</v>
      </c>
      <c r="C240" t="str">
        <f t="shared" ca="1" si="94"/>
        <v>S</v>
      </c>
      <c r="D240">
        <f t="shared" ca="1" si="95"/>
        <v>0</v>
      </c>
      <c r="E240">
        <f ca="1">IF($C240=1,OFFSET(E240,-1,0)+MAX(1,COUNTIF(QCI!$A$13:$A$24,OFFSET(ORÇAMENTO!E240,-1,0))),OFFSET(E240,-1,0))</f>
        <v>1</v>
      </c>
      <c r="F240">
        <f t="shared" ca="1" si="96"/>
        <v>8</v>
      </c>
      <c r="G240">
        <f t="shared" ca="1" si="97"/>
        <v>0</v>
      </c>
      <c r="H240">
        <f t="shared" ca="1" si="98"/>
        <v>0</v>
      </c>
      <c r="I240">
        <f t="shared" ca="1" si="99"/>
        <v>0</v>
      </c>
      <c r="J240">
        <f t="shared" ca="1" si="114"/>
        <v>0</v>
      </c>
      <c r="K240">
        <f ca="1">IF(OR($C240="S",$C240=0),0,MATCH(OFFSET($D240,0,$C240)+IF($C240&lt;&gt;1,1,COUNTIF(QCI!$A$13:$A$24,ORÇAMENTO!E240)),OFFSET($D240,1,$C240,ROW($C$710)-ROW($C240)),0))</f>
        <v>0</v>
      </c>
      <c r="L240" s="143" t="str">
        <f t="shared" ca="1" si="100"/>
        <v/>
      </c>
      <c r="M240" s="144" t="s">
        <v>201</v>
      </c>
      <c r="N240" s="145" t="str">
        <f t="shared" ca="1" si="101"/>
        <v>Serviço</v>
      </c>
      <c r="O240" s="146" t="str">
        <f t="shared" ca="1" si="102"/>
        <v>-</v>
      </c>
      <c r="P240" s="147" t="s">
        <v>249</v>
      </c>
      <c r="Q240" s="148">
        <v>98557</v>
      </c>
      <c r="R240" s="149" t="str">
        <f ca="1">IF($C240="S",REFERENCIA.Descricao,"(digite a descrição aqui)")</f>
        <v>(abra o arquivo 'Referência 05-2024.xls)</v>
      </c>
      <c r="S240" s="150" t="str">
        <f ca="1">REFERENCIA.Unidade</f>
        <v>-</v>
      </c>
      <c r="T240" s="151">
        <f ca="1">OFFSET(CÁLCULO!H$15,ROW($T240)-ROW(T$15),0)</f>
        <v>60.03</v>
      </c>
      <c r="U240" s="152">
        <f t="shared" ca="1" si="115"/>
        <v>0</v>
      </c>
      <c r="V240" s="153" t="s">
        <v>158</v>
      </c>
      <c r="W240" s="151">
        <f t="shared" ca="1" si="103"/>
        <v>0</v>
      </c>
      <c r="X240" s="154">
        <f t="shared" ca="1" si="104"/>
        <v>0</v>
      </c>
      <c r="Y240" s="155" t="s">
        <v>583</v>
      </c>
      <c r="Z240" t="str">
        <f t="shared" ca="1" si="105"/>
        <v/>
      </c>
      <c r="AA240" s="156">
        <f ca="1">IF($C240="S",IF($Z240="CP",$X240,IF($Z240="RA",(($X240)*QCI!$AA$3),0)),SomaAgrup)</f>
        <v>0</v>
      </c>
      <c r="AB240" s="157">
        <f t="shared" ca="1" si="106"/>
        <v>0</v>
      </c>
      <c r="AC240" s="158" t="str">
        <f t="shared" ca="1" si="107"/>
        <v/>
      </c>
      <c r="AD240" s="104" t="str">
        <f ca="1">IF(C240&lt;=CRONO.NivelExibicao,MAX($AD$15:OFFSET(AD240,-1,0))+IF($C240&lt;&gt;1,1,MAX(1,COUNTIF(QCI!$A$13:$A$24,OFFSET($E240,-1,0)))),"")</f>
        <v/>
      </c>
      <c r="AE240" s="114" t="str">
        <f t="shared" ca="1" si="108"/>
        <v>SINAPI 98557</v>
      </c>
      <c r="AF240" s="159" t="str">
        <f t="shared" ca="1" si="109"/>
        <v>(abra o arquivo 'Referência 05-2024.xls)</v>
      </c>
      <c r="AG240" s="579">
        <f t="shared" ca="1" si="110"/>
        <v>0</v>
      </c>
      <c r="AH240" s="580">
        <f t="shared" ca="1" si="111"/>
        <v>0.22470000000000001</v>
      </c>
      <c r="AJ240" s="582">
        <v>60.03</v>
      </c>
      <c r="AL240" s="612"/>
      <c r="AM240" s="430">
        <f t="shared" ca="1" si="112"/>
        <v>0</v>
      </c>
      <c r="AN240" s="655">
        <f t="shared" ca="1" si="113"/>
        <v>0</v>
      </c>
    </row>
    <row r="241" spans="1:40" ht="13.8" x14ac:dyDescent="0.3">
      <c r="A241" t="str">
        <f t="shared" si="92"/>
        <v>S</v>
      </c>
      <c r="B241">
        <f t="shared" ca="1" si="93"/>
        <v>2</v>
      </c>
      <c r="C241" t="str">
        <f t="shared" ca="1" si="94"/>
        <v>S</v>
      </c>
      <c r="D241">
        <f t="shared" ca="1" si="95"/>
        <v>0</v>
      </c>
      <c r="E241">
        <f ca="1">IF($C241=1,OFFSET(E241,-1,0)+MAX(1,COUNTIF(QCI!$A$13:$A$24,OFFSET(ORÇAMENTO!E241,-1,0))),OFFSET(E241,-1,0))</f>
        <v>1</v>
      </c>
      <c r="F241">
        <f t="shared" ca="1" si="96"/>
        <v>8</v>
      </c>
      <c r="G241">
        <f t="shared" ca="1" si="97"/>
        <v>0</v>
      </c>
      <c r="H241">
        <f t="shared" ca="1" si="98"/>
        <v>0</v>
      </c>
      <c r="I241">
        <f t="shared" ca="1" si="99"/>
        <v>0</v>
      </c>
      <c r="J241">
        <f t="shared" ca="1" si="114"/>
        <v>0</v>
      </c>
      <c r="K241">
        <f ca="1">IF(OR($C241="S",$C241=0),0,MATCH(OFFSET($D241,0,$C241)+IF($C241&lt;&gt;1,1,COUNTIF(QCI!$A$13:$A$24,ORÇAMENTO!E241)),OFFSET($D241,1,$C241,ROW($C$710)-ROW($C241)),0))</f>
        <v>0</v>
      </c>
      <c r="L241" s="143" t="str">
        <f t="shared" ca="1" si="100"/>
        <v/>
      </c>
      <c r="M241" s="144" t="s">
        <v>201</v>
      </c>
      <c r="N241" s="145" t="str">
        <f t="shared" ca="1" si="101"/>
        <v>Serviço</v>
      </c>
      <c r="O241" s="146" t="str">
        <f t="shared" ca="1" si="102"/>
        <v>-</v>
      </c>
      <c r="P241" s="147" t="s">
        <v>249</v>
      </c>
      <c r="Q241" s="148">
        <v>98557</v>
      </c>
      <c r="R241" s="149" t="str">
        <f ca="1">IF($C241="S",REFERENCIA.Descricao,"(digite a descrição aqui)")</f>
        <v>(abra o arquivo 'Referência 05-2024.xls)</v>
      </c>
      <c r="S241" s="150" t="str">
        <f ca="1">REFERENCIA.Unidade</f>
        <v>-</v>
      </c>
      <c r="T241" s="151">
        <f ca="1">OFFSET(CÁLCULO!H$15,ROW($T241)-ROW(T$15),0)</f>
        <v>197.46</v>
      </c>
      <c r="U241" s="152">
        <f t="shared" ca="1" si="115"/>
        <v>0</v>
      </c>
      <c r="V241" s="153" t="s">
        <v>158</v>
      </c>
      <c r="W241" s="151">
        <f t="shared" ca="1" si="103"/>
        <v>0</v>
      </c>
      <c r="X241" s="154">
        <f t="shared" ca="1" si="104"/>
        <v>0</v>
      </c>
      <c r="Y241" s="155" t="s">
        <v>583</v>
      </c>
      <c r="Z241" t="str">
        <f t="shared" ca="1" si="105"/>
        <v/>
      </c>
      <c r="AA241" s="156">
        <f ca="1">IF($C241="S",IF($Z241="CP",$X241,IF($Z241="RA",(($X241)*QCI!$AA$3),0)),SomaAgrup)</f>
        <v>0</v>
      </c>
      <c r="AB241" s="157">
        <f t="shared" ca="1" si="106"/>
        <v>0</v>
      </c>
      <c r="AC241" s="158" t="str">
        <f t="shared" ca="1" si="107"/>
        <v/>
      </c>
      <c r="AD241" s="104" t="str">
        <f ca="1">IF(C241&lt;=CRONO.NivelExibicao,MAX($AD$15:OFFSET(AD241,-1,0))+IF($C241&lt;&gt;1,1,MAX(1,COUNTIF(QCI!$A$13:$A$24,OFFSET($E241,-1,0)))),"")</f>
        <v/>
      </c>
      <c r="AE241" s="114" t="str">
        <f t="shared" ca="1" si="108"/>
        <v>SINAPI 98557</v>
      </c>
      <c r="AF241" s="159" t="str">
        <f t="shared" ca="1" si="109"/>
        <v>(abra o arquivo 'Referência 05-2024.xls)</v>
      </c>
      <c r="AG241" s="579">
        <f t="shared" ca="1" si="110"/>
        <v>0</v>
      </c>
      <c r="AH241" s="580">
        <f t="shared" ca="1" si="111"/>
        <v>0.22470000000000001</v>
      </c>
      <c r="AJ241" s="582">
        <v>197.46</v>
      </c>
      <c r="AL241" s="612"/>
      <c r="AM241" s="430">
        <f t="shared" ca="1" si="112"/>
        <v>0</v>
      </c>
      <c r="AN241" s="655">
        <f t="shared" ca="1" si="113"/>
        <v>0</v>
      </c>
    </row>
    <row r="242" spans="1:40" ht="13.8" x14ac:dyDescent="0.3">
      <c r="A242" t="str">
        <f t="shared" si="92"/>
        <v>S</v>
      </c>
      <c r="B242">
        <f t="shared" ca="1" si="93"/>
        <v>2</v>
      </c>
      <c r="C242" t="str">
        <f t="shared" ca="1" si="94"/>
        <v>S</v>
      </c>
      <c r="D242">
        <f t="shared" ca="1" si="95"/>
        <v>0</v>
      </c>
      <c r="E242">
        <f ca="1">IF($C242=1,OFFSET(E242,-1,0)+MAX(1,COUNTIF(QCI!$A$13:$A$24,OFFSET(ORÇAMENTO!E242,-1,0))),OFFSET(E242,-1,0))</f>
        <v>1</v>
      </c>
      <c r="F242">
        <f t="shared" ca="1" si="96"/>
        <v>8</v>
      </c>
      <c r="G242">
        <f t="shared" ca="1" si="97"/>
        <v>0</v>
      </c>
      <c r="H242">
        <f t="shared" ca="1" si="98"/>
        <v>0</v>
      </c>
      <c r="I242">
        <f t="shared" ca="1" si="99"/>
        <v>0</v>
      </c>
      <c r="J242">
        <f t="shared" ca="1" si="114"/>
        <v>0</v>
      </c>
      <c r="K242">
        <f ca="1">IF(OR($C242="S",$C242=0),0,MATCH(OFFSET($D242,0,$C242)+IF($C242&lt;&gt;1,1,COUNTIF(QCI!$A$13:$A$24,ORÇAMENTO!E242)),OFFSET($D242,1,$C242,ROW($C$710)-ROW($C242)),0))</f>
        <v>0</v>
      </c>
      <c r="L242" s="143" t="str">
        <f t="shared" ca="1" si="100"/>
        <v/>
      </c>
      <c r="M242" s="144" t="s">
        <v>201</v>
      </c>
      <c r="N242" s="145" t="str">
        <f t="shared" ca="1" si="101"/>
        <v>Serviço</v>
      </c>
      <c r="O242" s="146" t="str">
        <f t="shared" ca="1" si="102"/>
        <v>-</v>
      </c>
      <c r="P242" s="147" t="s">
        <v>249</v>
      </c>
      <c r="Q242" s="148">
        <v>98557</v>
      </c>
      <c r="R242" s="149" t="str">
        <f ca="1">IF($C242="S",REFERENCIA.Descricao,"(digite a descrição aqui)")</f>
        <v>(abra o arquivo 'Referência 05-2024.xls)</v>
      </c>
      <c r="S242" s="150" t="str">
        <f ca="1">REFERENCIA.Unidade</f>
        <v>-</v>
      </c>
      <c r="T242" s="151">
        <f ca="1">OFFSET(CÁLCULO!H$15,ROW($T242)-ROW(T$15),0)</f>
        <v>29.4</v>
      </c>
      <c r="U242" s="152">
        <f t="shared" ca="1" si="115"/>
        <v>0</v>
      </c>
      <c r="V242" s="153" t="s">
        <v>158</v>
      </c>
      <c r="W242" s="151">
        <f t="shared" ca="1" si="103"/>
        <v>0</v>
      </c>
      <c r="X242" s="154">
        <f t="shared" ca="1" si="104"/>
        <v>0</v>
      </c>
      <c r="Y242" s="155" t="s">
        <v>583</v>
      </c>
      <c r="Z242" t="str">
        <f t="shared" ca="1" si="105"/>
        <v/>
      </c>
      <c r="AA242" s="156">
        <f ca="1">IF($C242="S",IF($Z242="CP",$X242,IF($Z242="RA",(($X242)*QCI!$AA$3),0)),SomaAgrup)</f>
        <v>0</v>
      </c>
      <c r="AB242" s="157">
        <f t="shared" ca="1" si="106"/>
        <v>0</v>
      </c>
      <c r="AC242" s="158" t="str">
        <f t="shared" ca="1" si="107"/>
        <v/>
      </c>
      <c r="AD242" s="104" t="str">
        <f ca="1">IF(C242&lt;=CRONO.NivelExibicao,MAX($AD$15:OFFSET(AD242,-1,0))+IF($C242&lt;&gt;1,1,MAX(1,COUNTIF(QCI!$A$13:$A$24,OFFSET($E242,-1,0)))),"")</f>
        <v/>
      </c>
      <c r="AE242" s="114" t="str">
        <f t="shared" ca="1" si="108"/>
        <v>SINAPI 98557</v>
      </c>
      <c r="AF242" s="159" t="str">
        <f t="shared" ca="1" si="109"/>
        <v>(abra o arquivo 'Referência 05-2024.xls)</v>
      </c>
      <c r="AG242" s="579">
        <f t="shared" ca="1" si="110"/>
        <v>0</v>
      </c>
      <c r="AH242" s="580">
        <f t="shared" ca="1" si="111"/>
        <v>0.22470000000000001</v>
      </c>
      <c r="AJ242" s="582">
        <v>29.4</v>
      </c>
      <c r="AL242" s="612"/>
      <c r="AM242" s="430">
        <f t="shared" ca="1" si="112"/>
        <v>0</v>
      </c>
      <c r="AN242" s="655">
        <f t="shared" ca="1" si="113"/>
        <v>0</v>
      </c>
    </row>
    <row r="243" spans="1:40" ht="13.8" x14ac:dyDescent="0.3">
      <c r="A243">
        <f t="shared" si="92"/>
        <v>2</v>
      </c>
      <c r="B243">
        <f t="shared" ca="1" si="93"/>
        <v>2</v>
      </c>
      <c r="C243">
        <f t="shared" ca="1" si="94"/>
        <v>2</v>
      </c>
      <c r="D243">
        <f t="shared" ca="1" si="95"/>
        <v>16</v>
      </c>
      <c r="E243">
        <f ca="1">IF($C243=1,OFFSET(E243,-1,0)+MAX(1,COUNTIF(QCI!$A$13:$A$24,OFFSET(ORÇAMENTO!E243,-1,0))),OFFSET(E243,-1,0))</f>
        <v>1</v>
      </c>
      <c r="F243">
        <f t="shared" ca="1" si="96"/>
        <v>9</v>
      </c>
      <c r="G243">
        <f t="shared" ca="1" si="97"/>
        <v>0</v>
      </c>
      <c r="H243">
        <f t="shared" ca="1" si="98"/>
        <v>0</v>
      </c>
      <c r="I243">
        <f t="shared" ca="1" si="99"/>
        <v>0</v>
      </c>
      <c r="J243">
        <f t="shared" ca="1" si="114"/>
        <v>459</v>
      </c>
      <c r="K243">
        <f ca="1">IF(OR($C243="S",$C243=0),0,MATCH(OFFSET($D243,0,$C243)+IF($C243&lt;&gt;1,1,COUNTIF(QCI!$A$13:$A$24,ORÇAMENTO!E243)),OFFSET($D243,1,$C243,ROW($C$710)-ROW($C243)),0))</f>
        <v>16</v>
      </c>
      <c r="L243" s="143" t="str">
        <f t="shared" ca="1" si="100"/>
        <v>F</v>
      </c>
      <c r="M243" s="144" t="s">
        <v>198</v>
      </c>
      <c r="N243" s="145" t="str">
        <f t="shared" ca="1" si="101"/>
        <v>Nível 2</v>
      </c>
      <c r="O243" s="146" t="str">
        <f t="shared" ca="1" si="102"/>
        <v>1.9.</v>
      </c>
      <c r="P243" s="147" t="s">
        <v>249</v>
      </c>
      <c r="Q243" s="148"/>
      <c r="R243" s="149" t="s">
        <v>518</v>
      </c>
      <c r="S243" s="150" t="s">
        <v>168</v>
      </c>
      <c r="T243" s="151">
        <f ca="1">OFFSET(CÁLCULO!H$15,ROW($T243)-ROW(T$15),0)</f>
        <v>0</v>
      </c>
      <c r="U243" s="152">
        <f t="shared" ca="1" si="115"/>
        <v>0</v>
      </c>
      <c r="V243" s="153" t="s">
        <v>158</v>
      </c>
      <c r="W243" s="151">
        <f t="shared" ca="1" si="103"/>
        <v>0</v>
      </c>
      <c r="X243" s="154">
        <f t="shared" ca="1" si="104"/>
        <v>0</v>
      </c>
      <c r="Y243" s="155" t="s">
        <v>583</v>
      </c>
      <c r="Z243" t="str">
        <f t="shared" ca="1" si="105"/>
        <v/>
      </c>
      <c r="AA243" s="156">
        <f ca="1">IF($C243="S",IF($Z243="CP",$X243,IF($Z243="RA",(($X243)*QCI!$AA$3),0)),SomaAgrup)</f>
        <v>0</v>
      </c>
      <c r="AB243" s="157">
        <f t="shared" ca="1" si="106"/>
        <v>0</v>
      </c>
      <c r="AC243" s="158" t="str">
        <f t="shared" ca="1" si="107"/>
        <v/>
      </c>
      <c r="AD243" s="104">
        <f ca="1">IF(C243&lt;=CRONO.NivelExibicao,MAX($AD$15:OFFSET(AD243,-1,0))+IF($C243&lt;&gt;1,1,MAX(1,COUNTIF(QCI!$A$13:$A$24,OFFSET($E243,-1,0)))),"")</f>
        <v>10</v>
      </c>
      <c r="AE243" s="114" t="b">
        <f t="shared" ca="1" si="108"/>
        <v>0</v>
      </c>
      <c r="AF243" s="159" t="str">
        <f t="shared" ca="1" si="109"/>
        <v>(abra o arquivo 'Referência 05-2024.xls)</v>
      </c>
      <c r="AG243" s="579">
        <f t="shared" ca="1" si="110"/>
        <v>0</v>
      </c>
      <c r="AH243" s="580">
        <f t="shared" ca="1" si="111"/>
        <v>0.22470000000000001</v>
      </c>
      <c r="AJ243" s="582"/>
      <c r="AL243" s="612"/>
      <c r="AM243" s="430">
        <f t="shared" ca="1" si="112"/>
        <v>0</v>
      </c>
      <c r="AN243" s="655">
        <f t="shared" ca="1" si="113"/>
        <v>0</v>
      </c>
    </row>
    <row r="244" spans="1:40" ht="13.8" x14ac:dyDescent="0.3">
      <c r="A244">
        <f t="shared" si="92"/>
        <v>3</v>
      </c>
      <c r="B244">
        <f t="shared" ca="1" si="93"/>
        <v>3</v>
      </c>
      <c r="C244">
        <f t="shared" ca="1" si="94"/>
        <v>3</v>
      </c>
      <c r="D244">
        <f t="shared" ca="1" si="95"/>
        <v>12</v>
      </c>
      <c r="E244">
        <f ca="1">IF($C244=1,OFFSET(E244,-1,0)+MAX(1,COUNTIF(QCI!$A$13:$A$24,OFFSET(ORÇAMENTO!E244,-1,0))),OFFSET(E244,-1,0))</f>
        <v>1</v>
      </c>
      <c r="F244">
        <f t="shared" ca="1" si="96"/>
        <v>9</v>
      </c>
      <c r="G244">
        <f t="shared" ca="1" si="97"/>
        <v>1</v>
      </c>
      <c r="H244">
        <f t="shared" ca="1" si="98"/>
        <v>0</v>
      </c>
      <c r="I244">
        <f t="shared" ca="1" si="99"/>
        <v>0</v>
      </c>
      <c r="J244">
        <f t="shared" ca="1" si="114"/>
        <v>15</v>
      </c>
      <c r="K244">
        <f ca="1">IF(OR($C244="S",$C244=0),0,MATCH(OFFSET($D244,0,$C244)+IF($C244&lt;&gt;1,1,COUNTIF(QCI!$A$13:$A$24,ORÇAMENTO!E244)),OFFSET($D244,1,$C244,ROW($C$710)-ROW($C244)),0))</f>
        <v>12</v>
      </c>
      <c r="L244" s="143" t="str">
        <f t="shared" ca="1" si="100"/>
        <v>F</v>
      </c>
      <c r="M244" s="144" t="s">
        <v>199</v>
      </c>
      <c r="N244" s="145" t="str">
        <f t="shared" ca="1" si="101"/>
        <v>Nível 3</v>
      </c>
      <c r="O244" s="146" t="str">
        <f t="shared" ca="1" si="102"/>
        <v>1.9.1.</v>
      </c>
      <c r="P244" s="147" t="s">
        <v>249</v>
      </c>
      <c r="Q244" s="148"/>
      <c r="R244" s="149" t="s">
        <v>481</v>
      </c>
      <c r="S244" s="150" t="s">
        <v>168</v>
      </c>
      <c r="T244" s="151">
        <f ca="1">OFFSET(CÁLCULO!H$15,ROW($T244)-ROW(T$15),0)</f>
        <v>0</v>
      </c>
      <c r="U244" s="152">
        <f t="shared" ca="1" si="115"/>
        <v>0</v>
      </c>
      <c r="V244" s="153" t="s">
        <v>158</v>
      </c>
      <c r="W244" s="151">
        <f t="shared" ca="1" si="103"/>
        <v>0</v>
      </c>
      <c r="X244" s="154">
        <f t="shared" ca="1" si="104"/>
        <v>0</v>
      </c>
      <c r="Y244" s="155" t="s">
        <v>583</v>
      </c>
      <c r="Z244" t="str">
        <f t="shared" ca="1" si="105"/>
        <v/>
      </c>
      <c r="AA244" s="156">
        <f ca="1">IF($C244="S",IF($Z244="CP",$X244,IF($Z244="RA",(($X244)*QCI!$AA$3),0)),SomaAgrup)</f>
        <v>0</v>
      </c>
      <c r="AB244" s="157">
        <f t="shared" ca="1" si="106"/>
        <v>0</v>
      </c>
      <c r="AC244" s="158" t="str">
        <f t="shared" ca="1" si="107"/>
        <v/>
      </c>
      <c r="AD244" s="104" t="str">
        <f ca="1">IF(C244&lt;=CRONO.NivelExibicao,MAX($AD$15:OFFSET(AD244,-1,0))+IF($C244&lt;&gt;1,1,MAX(1,COUNTIF(QCI!$A$13:$A$24,OFFSET($E244,-1,0)))),"")</f>
        <v/>
      </c>
      <c r="AE244" s="114" t="b">
        <f t="shared" ca="1" si="108"/>
        <v>0</v>
      </c>
      <c r="AF244" s="159" t="str">
        <f t="shared" ca="1" si="109"/>
        <v>(abra o arquivo 'Referência 05-2024.xls)</v>
      </c>
      <c r="AG244" s="579">
        <f t="shared" ca="1" si="110"/>
        <v>0</v>
      </c>
      <c r="AH244" s="580">
        <f t="shared" ca="1" si="111"/>
        <v>0.22470000000000001</v>
      </c>
      <c r="AJ244" s="582"/>
      <c r="AL244" s="612"/>
      <c r="AM244" s="430">
        <f t="shared" ca="1" si="112"/>
        <v>0</v>
      </c>
      <c r="AN244" s="655">
        <f t="shared" ca="1" si="113"/>
        <v>0</v>
      </c>
    </row>
    <row r="245" spans="1:40" ht="13.8" x14ac:dyDescent="0.3">
      <c r="A245" t="str">
        <f t="shared" si="92"/>
        <v>S</v>
      </c>
      <c r="B245">
        <f t="shared" ca="1" si="93"/>
        <v>3</v>
      </c>
      <c r="C245" t="str">
        <f t="shared" ca="1" si="94"/>
        <v>S</v>
      </c>
      <c r="D245">
        <f t="shared" ca="1" si="95"/>
        <v>0</v>
      </c>
      <c r="E245">
        <f ca="1">IF($C245=1,OFFSET(E245,-1,0)+MAX(1,COUNTIF(QCI!$A$13:$A$24,OFFSET(ORÇAMENTO!E245,-1,0))),OFFSET(E245,-1,0))</f>
        <v>1</v>
      </c>
      <c r="F245">
        <f t="shared" ca="1" si="96"/>
        <v>9</v>
      </c>
      <c r="G245">
        <f t="shared" ca="1" si="97"/>
        <v>1</v>
      </c>
      <c r="H245">
        <f t="shared" ca="1" si="98"/>
        <v>0</v>
      </c>
      <c r="I245">
        <f t="shared" ca="1" si="99"/>
        <v>0</v>
      </c>
      <c r="J245">
        <f t="shared" ca="1" si="114"/>
        <v>0</v>
      </c>
      <c r="K245">
        <f ca="1">IF(OR($C245="S",$C245=0),0,MATCH(OFFSET($D245,0,$C245)+IF($C245&lt;&gt;1,1,COUNTIF(QCI!$A$13:$A$24,ORÇAMENTO!E245)),OFFSET($D245,1,$C245,ROW($C$710)-ROW($C245)),0))</f>
        <v>0</v>
      </c>
      <c r="L245" s="143" t="str">
        <f t="shared" ca="1" si="100"/>
        <v/>
      </c>
      <c r="M245" s="144" t="s">
        <v>201</v>
      </c>
      <c r="N245" s="145" t="str">
        <f t="shared" ca="1" si="101"/>
        <v>Serviço</v>
      </c>
      <c r="O245" s="146" t="str">
        <f t="shared" ca="1" si="102"/>
        <v>-</v>
      </c>
      <c r="P245" s="147" t="s">
        <v>249</v>
      </c>
      <c r="Q245" s="148">
        <v>87879</v>
      </c>
      <c r="R245" s="149" t="str">
        <f t="shared" ref="R245:R255" ca="1" si="120">IF($C245="S",REFERENCIA.Descricao,"(digite a descrição aqui)")</f>
        <v>(abra o arquivo 'Referência 05-2024.xls)</v>
      </c>
      <c r="S245" s="150" t="str">
        <f t="shared" ref="S245:S255" ca="1" si="121">REFERENCIA.Unidade</f>
        <v>-</v>
      </c>
      <c r="T245" s="151">
        <f ca="1">OFFSET(CÁLCULO!H$15,ROW($T245)-ROW(T$15),0)</f>
        <v>2179.6799999999998</v>
      </c>
      <c r="U245" s="152">
        <f t="shared" ca="1" si="115"/>
        <v>0</v>
      </c>
      <c r="V245" s="153" t="s">
        <v>158</v>
      </c>
      <c r="W245" s="151">
        <f t="shared" ca="1" si="103"/>
        <v>0</v>
      </c>
      <c r="X245" s="154">
        <f t="shared" ca="1" si="104"/>
        <v>0</v>
      </c>
      <c r="Y245" s="155" t="s">
        <v>583</v>
      </c>
      <c r="Z245" t="str">
        <f t="shared" ca="1" si="105"/>
        <v/>
      </c>
      <c r="AA245" s="156">
        <f ca="1">IF($C245="S",IF($Z245="CP",$X245,IF($Z245="RA",(($X245)*QCI!$AA$3),0)),SomaAgrup)</f>
        <v>0</v>
      </c>
      <c r="AB245" s="157">
        <f t="shared" ca="1" si="106"/>
        <v>0</v>
      </c>
      <c r="AC245" s="158" t="str">
        <f t="shared" ca="1" si="107"/>
        <v/>
      </c>
      <c r="AD245" s="104" t="str">
        <f ca="1">IF(C245&lt;=CRONO.NivelExibicao,MAX($AD$15:OFFSET(AD245,-1,0))+IF($C245&lt;&gt;1,1,MAX(1,COUNTIF(QCI!$A$13:$A$24,OFFSET($E245,-1,0)))),"")</f>
        <v/>
      </c>
      <c r="AE245" s="114" t="str">
        <f t="shared" ca="1" si="108"/>
        <v>SINAPI 87879</v>
      </c>
      <c r="AF245" s="159" t="str">
        <f t="shared" ca="1" si="109"/>
        <v>(abra o arquivo 'Referência 05-2024.xls)</v>
      </c>
      <c r="AG245" s="579">
        <f t="shared" ca="1" si="110"/>
        <v>0</v>
      </c>
      <c r="AH245" s="580">
        <f t="shared" ca="1" si="111"/>
        <v>0.22470000000000001</v>
      </c>
      <c r="AJ245" s="582">
        <v>2179.6799999999998</v>
      </c>
      <c r="AL245" s="612"/>
      <c r="AM245" s="430">
        <f t="shared" ca="1" si="112"/>
        <v>0</v>
      </c>
      <c r="AN245" s="655">
        <f t="shared" ca="1" si="113"/>
        <v>0</v>
      </c>
    </row>
    <row r="246" spans="1:40" ht="13.8" x14ac:dyDescent="0.3">
      <c r="A246" t="str">
        <f t="shared" si="92"/>
        <v>S</v>
      </c>
      <c r="B246">
        <f t="shared" ca="1" si="93"/>
        <v>3</v>
      </c>
      <c r="C246" t="str">
        <f t="shared" ca="1" si="94"/>
        <v>S</v>
      </c>
      <c r="D246">
        <f t="shared" ca="1" si="95"/>
        <v>0</v>
      </c>
      <c r="E246">
        <f ca="1">IF($C246=1,OFFSET(E246,-1,0)+MAX(1,COUNTIF(QCI!$A$13:$A$24,OFFSET(ORÇAMENTO!E246,-1,0))),OFFSET(E246,-1,0))</f>
        <v>1</v>
      </c>
      <c r="F246">
        <f t="shared" ca="1" si="96"/>
        <v>9</v>
      </c>
      <c r="G246">
        <f t="shared" ca="1" si="97"/>
        <v>1</v>
      </c>
      <c r="H246">
        <f t="shared" ca="1" si="98"/>
        <v>0</v>
      </c>
      <c r="I246">
        <f t="shared" ca="1" si="99"/>
        <v>0</v>
      </c>
      <c r="J246">
        <f t="shared" ca="1" si="114"/>
        <v>0</v>
      </c>
      <c r="K246">
        <f ca="1">IF(OR($C246="S",$C246=0),0,MATCH(OFFSET($D246,0,$C246)+IF($C246&lt;&gt;1,1,COUNTIF(QCI!$A$13:$A$24,ORÇAMENTO!E246)),OFFSET($D246,1,$C246,ROW($C$710)-ROW($C246)),0))</f>
        <v>0</v>
      </c>
      <c r="L246" s="143" t="str">
        <f t="shared" ca="1" si="100"/>
        <v/>
      </c>
      <c r="M246" s="144" t="s">
        <v>201</v>
      </c>
      <c r="N246" s="145" t="str">
        <f t="shared" ca="1" si="101"/>
        <v>Serviço</v>
      </c>
      <c r="O246" s="146" t="str">
        <f t="shared" ca="1" si="102"/>
        <v>-</v>
      </c>
      <c r="P246" s="147" t="s">
        <v>249</v>
      </c>
      <c r="Q246" s="148">
        <v>87879</v>
      </c>
      <c r="R246" s="149" t="str">
        <f t="shared" ca="1" si="120"/>
        <v>(abra o arquivo 'Referência 05-2024.xls)</v>
      </c>
      <c r="S246" s="150" t="str">
        <f t="shared" ca="1" si="121"/>
        <v>-</v>
      </c>
      <c r="T246" s="151">
        <f ca="1">OFFSET(CÁLCULO!H$15,ROW($T246)-ROW(T$15),0)</f>
        <v>1734.95</v>
      </c>
      <c r="U246" s="152">
        <f t="shared" ca="1" si="115"/>
        <v>0</v>
      </c>
      <c r="V246" s="153" t="s">
        <v>158</v>
      </c>
      <c r="W246" s="151">
        <f t="shared" ca="1" si="103"/>
        <v>0</v>
      </c>
      <c r="X246" s="154">
        <f t="shared" ca="1" si="104"/>
        <v>0</v>
      </c>
      <c r="Y246" s="155" t="s">
        <v>583</v>
      </c>
      <c r="Z246" t="str">
        <f t="shared" ca="1" si="105"/>
        <v/>
      </c>
      <c r="AA246" s="156">
        <f ca="1">IF($C246="S",IF($Z246="CP",$X246,IF($Z246="RA",(($X246)*QCI!$AA$3),0)),SomaAgrup)</f>
        <v>0</v>
      </c>
      <c r="AB246" s="157">
        <f t="shared" ca="1" si="106"/>
        <v>0</v>
      </c>
      <c r="AC246" s="158" t="str">
        <f t="shared" ca="1" si="107"/>
        <v/>
      </c>
      <c r="AD246" s="104" t="str">
        <f ca="1">IF(C246&lt;=CRONO.NivelExibicao,MAX($AD$15:OFFSET(AD246,-1,0))+IF($C246&lt;&gt;1,1,MAX(1,COUNTIF(QCI!$A$13:$A$24,OFFSET($E246,-1,0)))),"")</f>
        <v/>
      </c>
      <c r="AE246" s="114" t="str">
        <f t="shared" ca="1" si="108"/>
        <v>SINAPI 87879</v>
      </c>
      <c r="AF246" s="159" t="str">
        <f t="shared" ca="1" si="109"/>
        <v>(abra o arquivo 'Referência 05-2024.xls)</v>
      </c>
      <c r="AG246" s="579">
        <f t="shared" ca="1" si="110"/>
        <v>0</v>
      </c>
      <c r="AH246" s="580">
        <f t="shared" ca="1" si="111"/>
        <v>0.22470000000000001</v>
      </c>
      <c r="AJ246" s="582">
        <v>1734.95</v>
      </c>
      <c r="AL246" s="612"/>
      <c r="AM246" s="430">
        <f t="shared" ca="1" si="112"/>
        <v>0</v>
      </c>
      <c r="AN246" s="655">
        <f t="shared" ca="1" si="113"/>
        <v>0</v>
      </c>
    </row>
    <row r="247" spans="1:40" ht="13.8" x14ac:dyDescent="0.3">
      <c r="A247" t="str">
        <f t="shared" si="92"/>
        <v>S</v>
      </c>
      <c r="B247">
        <f t="shared" ca="1" si="93"/>
        <v>3</v>
      </c>
      <c r="C247" t="str">
        <f t="shared" ca="1" si="94"/>
        <v>S</v>
      </c>
      <c r="D247">
        <f t="shared" ca="1" si="95"/>
        <v>0</v>
      </c>
      <c r="E247">
        <f ca="1">IF($C247=1,OFFSET(E247,-1,0)+MAX(1,COUNTIF(QCI!$A$13:$A$24,OFFSET(ORÇAMENTO!E247,-1,0))),OFFSET(E247,-1,0))</f>
        <v>1</v>
      </c>
      <c r="F247">
        <f t="shared" ca="1" si="96"/>
        <v>9</v>
      </c>
      <c r="G247">
        <f t="shared" ca="1" si="97"/>
        <v>1</v>
      </c>
      <c r="H247">
        <f t="shared" ca="1" si="98"/>
        <v>0</v>
      </c>
      <c r="I247">
        <f t="shared" ca="1" si="99"/>
        <v>0</v>
      </c>
      <c r="J247">
        <f t="shared" ca="1" si="114"/>
        <v>0</v>
      </c>
      <c r="K247">
        <f ca="1">IF(OR($C247="S",$C247=0),0,MATCH(OFFSET($D247,0,$C247)+IF($C247&lt;&gt;1,1,COUNTIF(QCI!$A$13:$A$24,ORÇAMENTO!E247)),OFFSET($D247,1,$C247,ROW($C$710)-ROW($C247)),0))</f>
        <v>0</v>
      </c>
      <c r="L247" s="143" t="str">
        <f t="shared" ca="1" si="100"/>
        <v/>
      </c>
      <c r="M247" s="144" t="s">
        <v>201</v>
      </c>
      <c r="N247" s="145" t="str">
        <f t="shared" ca="1" si="101"/>
        <v>Serviço</v>
      </c>
      <c r="O247" s="146" t="str">
        <f t="shared" ca="1" si="102"/>
        <v>-</v>
      </c>
      <c r="P247" s="147" t="s">
        <v>249</v>
      </c>
      <c r="Q247" s="148">
        <v>87792</v>
      </c>
      <c r="R247" s="149" t="str">
        <f t="shared" ca="1" si="120"/>
        <v>(abra o arquivo 'Referência 05-2024.xls)</v>
      </c>
      <c r="S247" s="150" t="str">
        <f t="shared" ca="1" si="121"/>
        <v>-</v>
      </c>
      <c r="T247" s="151">
        <f ca="1">OFFSET(CÁLCULO!H$15,ROW($T247)-ROW(T$15),0)</f>
        <v>1119.23</v>
      </c>
      <c r="U247" s="152">
        <f t="shared" ca="1" si="115"/>
        <v>0</v>
      </c>
      <c r="V247" s="153" t="s">
        <v>158</v>
      </c>
      <c r="W247" s="151">
        <f t="shared" ca="1" si="103"/>
        <v>0</v>
      </c>
      <c r="X247" s="154">
        <f t="shared" ca="1" si="104"/>
        <v>0</v>
      </c>
      <c r="Y247" s="155" t="s">
        <v>583</v>
      </c>
      <c r="Z247" t="str">
        <f t="shared" ca="1" si="105"/>
        <v/>
      </c>
      <c r="AA247" s="156">
        <f ca="1">IF($C247="S",IF($Z247="CP",$X247,IF($Z247="RA",(($X247)*QCI!$AA$3),0)),SomaAgrup)</f>
        <v>0</v>
      </c>
      <c r="AB247" s="157">
        <f t="shared" ca="1" si="106"/>
        <v>0</v>
      </c>
      <c r="AC247" s="158" t="str">
        <f t="shared" ca="1" si="107"/>
        <v/>
      </c>
      <c r="AD247" s="104" t="str">
        <f ca="1">IF(C247&lt;=CRONO.NivelExibicao,MAX($AD$15:OFFSET(AD247,-1,0))+IF($C247&lt;&gt;1,1,MAX(1,COUNTIF(QCI!$A$13:$A$24,OFFSET($E247,-1,0)))),"")</f>
        <v/>
      </c>
      <c r="AE247" s="114" t="str">
        <f t="shared" ca="1" si="108"/>
        <v>SINAPI 87792</v>
      </c>
      <c r="AF247" s="159" t="str">
        <f t="shared" ca="1" si="109"/>
        <v>(abra o arquivo 'Referência 05-2024.xls)</v>
      </c>
      <c r="AG247" s="579">
        <f t="shared" ca="1" si="110"/>
        <v>0</v>
      </c>
      <c r="AH247" s="580">
        <f t="shared" ca="1" si="111"/>
        <v>0.22470000000000001</v>
      </c>
      <c r="AJ247" s="582">
        <v>1119.23</v>
      </c>
      <c r="AL247" s="612"/>
      <c r="AM247" s="430">
        <f t="shared" ca="1" si="112"/>
        <v>0</v>
      </c>
      <c r="AN247" s="655">
        <f t="shared" ca="1" si="113"/>
        <v>0</v>
      </c>
    </row>
    <row r="248" spans="1:40" ht="13.8" x14ac:dyDescent="0.3">
      <c r="A248" t="str">
        <f t="shared" si="92"/>
        <v>S</v>
      </c>
      <c r="B248">
        <f t="shared" ca="1" si="93"/>
        <v>3</v>
      </c>
      <c r="C248" t="str">
        <f t="shared" ca="1" si="94"/>
        <v>S</v>
      </c>
      <c r="D248">
        <f t="shared" ca="1" si="95"/>
        <v>0</v>
      </c>
      <c r="E248">
        <f ca="1">IF($C248=1,OFFSET(E248,-1,0)+MAX(1,COUNTIF(QCI!$A$13:$A$24,OFFSET(ORÇAMENTO!E248,-1,0))),OFFSET(E248,-1,0))</f>
        <v>1</v>
      </c>
      <c r="F248">
        <f t="shared" ca="1" si="96"/>
        <v>9</v>
      </c>
      <c r="G248">
        <f t="shared" ca="1" si="97"/>
        <v>1</v>
      </c>
      <c r="H248">
        <f t="shared" ca="1" si="98"/>
        <v>0</v>
      </c>
      <c r="I248">
        <f t="shared" ca="1" si="99"/>
        <v>0</v>
      </c>
      <c r="J248">
        <f t="shared" ca="1" si="114"/>
        <v>0</v>
      </c>
      <c r="K248">
        <f ca="1">IF(OR($C248="S",$C248=0),0,MATCH(OFFSET($D248,0,$C248)+IF($C248&lt;&gt;1,1,COUNTIF(QCI!$A$13:$A$24,ORÇAMENTO!E248)),OFFSET($D248,1,$C248,ROW($C$710)-ROW($C248)),0))</f>
        <v>0</v>
      </c>
      <c r="L248" s="143" t="str">
        <f t="shared" ca="1" si="100"/>
        <v/>
      </c>
      <c r="M248" s="144" t="s">
        <v>201</v>
      </c>
      <c r="N248" s="145" t="str">
        <f t="shared" ca="1" si="101"/>
        <v>Serviço</v>
      </c>
      <c r="O248" s="146" t="str">
        <f t="shared" ca="1" si="102"/>
        <v>-</v>
      </c>
      <c r="P248" s="147" t="s">
        <v>249</v>
      </c>
      <c r="Q248" s="148">
        <v>87792</v>
      </c>
      <c r="R248" s="149" t="str">
        <f t="shared" ca="1" si="120"/>
        <v>(abra o arquivo 'Referência 05-2024.xls)</v>
      </c>
      <c r="S248" s="150" t="str">
        <f t="shared" ca="1" si="121"/>
        <v>-</v>
      </c>
      <c r="T248" s="151">
        <f ca="1">OFFSET(CÁLCULO!H$15,ROW($T248)-ROW(T$15),0)</f>
        <v>615.72</v>
      </c>
      <c r="U248" s="152">
        <f t="shared" ca="1" si="115"/>
        <v>0</v>
      </c>
      <c r="V248" s="153" t="s">
        <v>158</v>
      </c>
      <c r="W248" s="151">
        <f t="shared" ca="1" si="103"/>
        <v>0</v>
      </c>
      <c r="X248" s="154">
        <f t="shared" ca="1" si="104"/>
        <v>0</v>
      </c>
      <c r="Y248" s="155" t="s">
        <v>583</v>
      </c>
      <c r="Z248" t="str">
        <f t="shared" ca="1" si="105"/>
        <v/>
      </c>
      <c r="AA248" s="156">
        <f ca="1">IF($C248="S",IF($Z248="CP",$X248,IF($Z248="RA",(($X248)*QCI!$AA$3),0)),SomaAgrup)</f>
        <v>0</v>
      </c>
      <c r="AB248" s="157">
        <f t="shared" ca="1" si="106"/>
        <v>0</v>
      </c>
      <c r="AC248" s="158" t="str">
        <f t="shared" ca="1" si="107"/>
        <v/>
      </c>
      <c r="AD248" s="104" t="str">
        <f ca="1">IF(C248&lt;=CRONO.NivelExibicao,MAX($AD$15:OFFSET(AD248,-1,0))+IF($C248&lt;&gt;1,1,MAX(1,COUNTIF(QCI!$A$13:$A$24,OFFSET($E248,-1,0)))),"")</f>
        <v/>
      </c>
      <c r="AE248" s="114" t="str">
        <f t="shared" ca="1" si="108"/>
        <v>SINAPI 87792</v>
      </c>
      <c r="AF248" s="159" t="str">
        <f t="shared" ca="1" si="109"/>
        <v>(abra o arquivo 'Referência 05-2024.xls)</v>
      </c>
      <c r="AG248" s="579">
        <f t="shared" ca="1" si="110"/>
        <v>0</v>
      </c>
      <c r="AH248" s="580">
        <f t="shared" ca="1" si="111"/>
        <v>0.22470000000000001</v>
      </c>
      <c r="AJ248" s="582">
        <v>615.72</v>
      </c>
      <c r="AL248" s="612"/>
      <c r="AM248" s="430">
        <f t="shared" ca="1" si="112"/>
        <v>0</v>
      </c>
      <c r="AN248" s="655">
        <f t="shared" ca="1" si="113"/>
        <v>0</v>
      </c>
    </row>
    <row r="249" spans="1:40" ht="13.8" x14ac:dyDescent="0.3">
      <c r="A249" t="str">
        <f t="shared" si="92"/>
        <v>S</v>
      </c>
      <c r="B249">
        <f t="shared" ca="1" si="93"/>
        <v>3</v>
      </c>
      <c r="C249" t="str">
        <f t="shared" ca="1" si="94"/>
        <v>S</v>
      </c>
      <c r="D249">
        <f t="shared" ca="1" si="95"/>
        <v>0</v>
      </c>
      <c r="E249">
        <f ca="1">IF($C249=1,OFFSET(E249,-1,0)+MAX(1,COUNTIF(QCI!$A$13:$A$24,OFFSET(ORÇAMENTO!E249,-1,0))),OFFSET(E249,-1,0))</f>
        <v>1</v>
      </c>
      <c r="F249">
        <f t="shared" ca="1" si="96"/>
        <v>9</v>
      </c>
      <c r="G249">
        <f t="shared" ca="1" si="97"/>
        <v>1</v>
      </c>
      <c r="H249">
        <f t="shared" ca="1" si="98"/>
        <v>0</v>
      </c>
      <c r="I249">
        <f t="shared" ca="1" si="99"/>
        <v>0</v>
      </c>
      <c r="J249">
        <f t="shared" ca="1" si="114"/>
        <v>0</v>
      </c>
      <c r="K249">
        <f ca="1">IF(OR($C249="S",$C249=0),0,MATCH(OFFSET($D249,0,$C249)+IF($C249&lt;&gt;1,1,COUNTIF(QCI!$A$13:$A$24,ORÇAMENTO!E249)),OFFSET($D249,1,$C249,ROW($C$710)-ROW($C249)),0))</f>
        <v>0</v>
      </c>
      <c r="L249" s="143" t="str">
        <f t="shared" ca="1" si="100"/>
        <v/>
      </c>
      <c r="M249" s="144" t="s">
        <v>201</v>
      </c>
      <c r="N249" s="145" t="str">
        <f t="shared" ca="1" si="101"/>
        <v>Serviço</v>
      </c>
      <c r="O249" s="146" t="str">
        <f t="shared" ca="1" si="102"/>
        <v>-</v>
      </c>
      <c r="P249" s="147" t="s">
        <v>249</v>
      </c>
      <c r="Q249" s="148">
        <v>87273</v>
      </c>
      <c r="R249" s="149" t="str">
        <f t="shared" ca="1" si="120"/>
        <v>(abra o arquivo 'Referência 05-2024.xls)</v>
      </c>
      <c r="S249" s="150" t="str">
        <f t="shared" ca="1" si="121"/>
        <v>-</v>
      </c>
      <c r="T249" s="151">
        <f ca="1">OFFSET(CÁLCULO!H$15,ROW($T249)-ROW(T$15),0)</f>
        <v>398.09</v>
      </c>
      <c r="U249" s="152">
        <f t="shared" ca="1" si="115"/>
        <v>0</v>
      </c>
      <c r="V249" s="153" t="s">
        <v>158</v>
      </c>
      <c r="W249" s="151">
        <f t="shared" ca="1" si="103"/>
        <v>0</v>
      </c>
      <c r="X249" s="154">
        <f t="shared" ca="1" si="104"/>
        <v>0</v>
      </c>
      <c r="Y249" s="155" t="s">
        <v>583</v>
      </c>
      <c r="Z249" t="str">
        <f t="shared" ca="1" si="105"/>
        <v/>
      </c>
      <c r="AA249" s="156">
        <f ca="1">IF($C249="S",IF($Z249="CP",$X249,IF($Z249="RA",(($X249)*QCI!$AA$3),0)),SomaAgrup)</f>
        <v>0</v>
      </c>
      <c r="AB249" s="157">
        <f t="shared" ca="1" si="106"/>
        <v>0</v>
      </c>
      <c r="AC249" s="158" t="str">
        <f t="shared" ca="1" si="107"/>
        <v/>
      </c>
      <c r="AD249" s="104" t="str">
        <f ca="1">IF(C249&lt;=CRONO.NivelExibicao,MAX($AD$15:OFFSET(AD249,-1,0))+IF($C249&lt;&gt;1,1,MAX(1,COUNTIF(QCI!$A$13:$A$24,OFFSET($E249,-1,0)))),"")</f>
        <v/>
      </c>
      <c r="AE249" s="114" t="str">
        <f t="shared" ca="1" si="108"/>
        <v>SINAPI 87273</v>
      </c>
      <c r="AF249" s="159" t="str">
        <f t="shared" ca="1" si="109"/>
        <v>(abra o arquivo 'Referência 05-2024.xls)</v>
      </c>
      <c r="AG249" s="579">
        <f t="shared" ca="1" si="110"/>
        <v>0</v>
      </c>
      <c r="AH249" s="580">
        <f t="shared" ca="1" si="111"/>
        <v>0.22470000000000001</v>
      </c>
      <c r="AJ249" s="582">
        <v>398.09</v>
      </c>
      <c r="AL249" s="612"/>
      <c r="AM249" s="430">
        <f t="shared" ca="1" si="112"/>
        <v>0</v>
      </c>
      <c r="AN249" s="655">
        <f t="shared" ca="1" si="113"/>
        <v>0</v>
      </c>
    </row>
    <row r="250" spans="1:40" ht="13.8" x14ac:dyDescent="0.3">
      <c r="A250" t="str">
        <f t="shared" si="92"/>
        <v>S</v>
      </c>
      <c r="B250">
        <f t="shared" ca="1" si="93"/>
        <v>3</v>
      </c>
      <c r="C250" t="str">
        <f t="shared" ca="1" si="94"/>
        <v>S</v>
      </c>
      <c r="D250">
        <f t="shared" ca="1" si="95"/>
        <v>0</v>
      </c>
      <c r="E250">
        <f ca="1">IF($C250=1,OFFSET(E250,-1,0)+MAX(1,COUNTIF(QCI!$A$13:$A$24,OFFSET(ORÇAMENTO!E250,-1,0))),OFFSET(E250,-1,0))</f>
        <v>1</v>
      </c>
      <c r="F250">
        <f t="shared" ca="1" si="96"/>
        <v>9</v>
      </c>
      <c r="G250">
        <f t="shared" ca="1" si="97"/>
        <v>1</v>
      </c>
      <c r="H250">
        <f t="shared" ca="1" si="98"/>
        <v>0</v>
      </c>
      <c r="I250">
        <f t="shared" ca="1" si="99"/>
        <v>0</v>
      </c>
      <c r="J250">
        <f t="shared" ca="1" si="114"/>
        <v>0</v>
      </c>
      <c r="K250">
        <f ca="1">IF(OR($C250="S",$C250=0),0,MATCH(OFFSET($D250,0,$C250)+IF($C250&lt;&gt;1,1,COUNTIF(QCI!$A$13:$A$24,ORÇAMENTO!E250)),OFFSET($D250,1,$C250,ROW($C$710)-ROW($C250)),0))</f>
        <v>0</v>
      </c>
      <c r="L250" s="143" t="str">
        <f t="shared" ca="1" si="100"/>
        <v/>
      </c>
      <c r="M250" s="144" t="s">
        <v>201</v>
      </c>
      <c r="N250" s="145" t="str">
        <f t="shared" ca="1" si="101"/>
        <v>Serviço</v>
      </c>
      <c r="O250" s="146" t="str">
        <f t="shared" ca="1" si="102"/>
        <v>-</v>
      </c>
      <c r="P250" s="147" t="s">
        <v>249</v>
      </c>
      <c r="Q250" s="148">
        <v>87265</v>
      </c>
      <c r="R250" s="149" t="str">
        <f t="shared" ca="1" si="120"/>
        <v>(abra o arquivo 'Referência 05-2024.xls)</v>
      </c>
      <c r="S250" s="150" t="str">
        <f t="shared" ca="1" si="121"/>
        <v>-</v>
      </c>
      <c r="T250" s="151">
        <f ca="1">OFFSET(CÁLCULO!H$15,ROW($T250)-ROW(T$15),0)</f>
        <v>162.05000000000001</v>
      </c>
      <c r="U250" s="152">
        <f t="shared" ca="1" si="115"/>
        <v>0</v>
      </c>
      <c r="V250" s="153" t="s">
        <v>158</v>
      </c>
      <c r="W250" s="151">
        <f t="shared" ca="1" si="103"/>
        <v>0</v>
      </c>
      <c r="X250" s="154">
        <f t="shared" ca="1" si="104"/>
        <v>0</v>
      </c>
      <c r="Y250" s="155" t="s">
        <v>583</v>
      </c>
      <c r="Z250" t="str">
        <f t="shared" ca="1" si="105"/>
        <v/>
      </c>
      <c r="AA250" s="156">
        <f ca="1">IF($C250="S",IF($Z250="CP",$X250,IF($Z250="RA",(($X250)*QCI!$AA$3),0)),SomaAgrup)</f>
        <v>0</v>
      </c>
      <c r="AB250" s="157">
        <f t="shared" ca="1" si="106"/>
        <v>0</v>
      </c>
      <c r="AC250" s="158" t="str">
        <f t="shared" ca="1" si="107"/>
        <v/>
      </c>
      <c r="AD250" s="104" t="str">
        <f ca="1">IF(C250&lt;=CRONO.NivelExibicao,MAX($AD$15:OFFSET(AD250,-1,0))+IF($C250&lt;&gt;1,1,MAX(1,COUNTIF(QCI!$A$13:$A$24,OFFSET($E250,-1,0)))),"")</f>
        <v/>
      </c>
      <c r="AE250" s="114" t="str">
        <f t="shared" ca="1" si="108"/>
        <v>SINAPI 87265</v>
      </c>
      <c r="AF250" s="159" t="str">
        <f t="shared" ca="1" si="109"/>
        <v>(abra o arquivo 'Referência 05-2024.xls)</v>
      </c>
      <c r="AG250" s="579">
        <f t="shared" ca="1" si="110"/>
        <v>0</v>
      </c>
      <c r="AH250" s="580">
        <f t="shared" ca="1" si="111"/>
        <v>0.22470000000000001</v>
      </c>
      <c r="AJ250" s="582">
        <v>162.05000000000001</v>
      </c>
      <c r="AL250" s="612"/>
      <c r="AM250" s="430">
        <f t="shared" ca="1" si="112"/>
        <v>0</v>
      </c>
      <c r="AN250" s="655">
        <f t="shared" ca="1" si="113"/>
        <v>0</v>
      </c>
    </row>
    <row r="251" spans="1:40" ht="13.8" x14ac:dyDescent="0.3">
      <c r="A251" t="str">
        <f t="shared" si="92"/>
        <v>S</v>
      </c>
      <c r="B251">
        <f t="shared" ca="1" si="93"/>
        <v>3</v>
      </c>
      <c r="C251" t="str">
        <f t="shared" ca="1" si="94"/>
        <v>S</v>
      </c>
      <c r="D251">
        <f t="shared" ca="1" si="95"/>
        <v>0</v>
      </c>
      <c r="E251">
        <f ca="1">IF($C251=1,OFFSET(E251,-1,0)+MAX(1,COUNTIF(QCI!$A$13:$A$24,OFFSET(ORÇAMENTO!E251,-1,0))),OFFSET(E251,-1,0))</f>
        <v>1</v>
      </c>
      <c r="F251">
        <f t="shared" ca="1" si="96"/>
        <v>9</v>
      </c>
      <c r="G251">
        <f t="shared" ca="1" si="97"/>
        <v>1</v>
      </c>
      <c r="H251">
        <f t="shared" ca="1" si="98"/>
        <v>0</v>
      </c>
      <c r="I251">
        <f t="shared" ca="1" si="99"/>
        <v>0</v>
      </c>
      <c r="J251">
        <f t="shared" ca="1" si="114"/>
        <v>0</v>
      </c>
      <c r="K251">
        <f ca="1">IF(OR($C251="S",$C251=0),0,MATCH(OFFSET($D251,0,$C251)+IF($C251&lt;&gt;1,1,COUNTIF(QCI!$A$13:$A$24,ORÇAMENTO!E251)),OFFSET($D251,1,$C251,ROW($C$710)-ROW($C251)),0))</f>
        <v>0</v>
      </c>
      <c r="L251" s="143" t="str">
        <f t="shared" ca="1" si="100"/>
        <v/>
      </c>
      <c r="M251" s="144" t="s">
        <v>201</v>
      </c>
      <c r="N251" s="145" t="str">
        <f t="shared" ca="1" si="101"/>
        <v>Serviço</v>
      </c>
      <c r="O251" s="146" t="str">
        <f t="shared" ca="1" si="102"/>
        <v>-</v>
      </c>
      <c r="P251" s="147" t="s">
        <v>249</v>
      </c>
      <c r="Q251" s="148">
        <v>104615</v>
      </c>
      <c r="R251" s="149" t="str">
        <f t="shared" ca="1" si="120"/>
        <v>(abra o arquivo 'Referência 05-2024.xls)</v>
      </c>
      <c r="S251" s="150" t="str">
        <f t="shared" ca="1" si="121"/>
        <v>-</v>
      </c>
      <c r="T251" s="151">
        <f ca="1">OFFSET(CÁLCULO!H$15,ROW($T251)-ROW(T$15),0)</f>
        <v>41.38</v>
      </c>
      <c r="U251" s="152">
        <f t="shared" ca="1" si="115"/>
        <v>0</v>
      </c>
      <c r="V251" s="153" t="s">
        <v>158</v>
      </c>
      <c r="W251" s="151">
        <f t="shared" ca="1" si="103"/>
        <v>0</v>
      </c>
      <c r="X251" s="154">
        <f t="shared" ca="1" si="104"/>
        <v>0</v>
      </c>
      <c r="Y251" s="155" t="s">
        <v>583</v>
      </c>
      <c r="Z251" t="str">
        <f t="shared" ca="1" si="105"/>
        <v/>
      </c>
      <c r="AA251" s="156">
        <f ca="1">IF($C251="S",IF($Z251="CP",$X251,IF($Z251="RA",(($X251)*QCI!$AA$3),0)),SomaAgrup)</f>
        <v>0</v>
      </c>
      <c r="AB251" s="157">
        <f t="shared" ca="1" si="106"/>
        <v>0</v>
      </c>
      <c r="AC251" s="158" t="str">
        <f t="shared" ca="1" si="107"/>
        <v/>
      </c>
      <c r="AD251" s="104" t="str">
        <f ca="1">IF(C251&lt;=CRONO.NivelExibicao,MAX($AD$15:OFFSET(AD251,-1,0))+IF($C251&lt;&gt;1,1,MAX(1,COUNTIF(QCI!$A$13:$A$24,OFFSET($E251,-1,0)))),"")</f>
        <v/>
      </c>
      <c r="AE251" s="114" t="str">
        <f t="shared" ca="1" si="108"/>
        <v>SINAPI 104615</v>
      </c>
      <c r="AF251" s="159" t="str">
        <f t="shared" ca="1" si="109"/>
        <v>(abra o arquivo 'Referência 05-2024.xls)</v>
      </c>
      <c r="AG251" s="579">
        <f t="shared" ca="1" si="110"/>
        <v>0</v>
      </c>
      <c r="AH251" s="580">
        <f t="shared" ca="1" si="111"/>
        <v>0.22470000000000001</v>
      </c>
      <c r="AJ251" s="582">
        <v>41.38</v>
      </c>
      <c r="AL251" s="612"/>
      <c r="AM251" s="430">
        <f t="shared" ca="1" si="112"/>
        <v>0</v>
      </c>
      <c r="AN251" s="655">
        <f t="shared" ca="1" si="113"/>
        <v>0</v>
      </c>
    </row>
    <row r="252" spans="1:40" ht="13.8" x14ac:dyDescent="0.3">
      <c r="A252" t="str">
        <f t="shared" si="92"/>
        <v>S</v>
      </c>
      <c r="B252">
        <f t="shared" ca="1" si="93"/>
        <v>3</v>
      </c>
      <c r="C252" t="str">
        <f t="shared" ca="1" si="94"/>
        <v>S</v>
      </c>
      <c r="D252">
        <f t="shared" ca="1" si="95"/>
        <v>0</v>
      </c>
      <c r="E252">
        <f ca="1">IF($C252=1,OFFSET(E252,-1,0)+MAX(1,COUNTIF(QCI!$A$13:$A$24,OFFSET(ORÇAMENTO!E252,-1,0))),OFFSET(E252,-1,0))</f>
        <v>1</v>
      </c>
      <c r="F252">
        <f t="shared" ca="1" si="96"/>
        <v>9</v>
      </c>
      <c r="G252">
        <f t="shared" ca="1" si="97"/>
        <v>1</v>
      </c>
      <c r="H252">
        <f t="shared" ca="1" si="98"/>
        <v>0</v>
      </c>
      <c r="I252">
        <f t="shared" ca="1" si="99"/>
        <v>0</v>
      </c>
      <c r="J252">
        <f t="shared" ca="1" si="114"/>
        <v>0</v>
      </c>
      <c r="K252">
        <f ca="1">IF(OR($C252="S",$C252=0),0,MATCH(OFFSET($D252,0,$C252)+IF($C252&lt;&gt;1,1,COUNTIF(QCI!$A$13:$A$24,ORÇAMENTO!E252)),OFFSET($D252,1,$C252,ROW($C$710)-ROW($C252)),0))</f>
        <v>0</v>
      </c>
      <c r="L252" s="143" t="str">
        <f t="shared" ca="1" si="100"/>
        <v/>
      </c>
      <c r="M252" s="144" t="s">
        <v>201</v>
      </c>
      <c r="N252" s="145" t="str">
        <f t="shared" ca="1" si="101"/>
        <v>Serviço</v>
      </c>
      <c r="O252" s="146" t="str">
        <f t="shared" ca="1" si="102"/>
        <v>-</v>
      </c>
      <c r="P252" s="147" t="s">
        <v>441</v>
      </c>
      <c r="Q252" s="148" t="s">
        <v>473</v>
      </c>
      <c r="R252" s="149" t="str">
        <f t="shared" ca="1" si="120"/>
        <v>(abra o arquivo 'Referência 05-2024.xls)</v>
      </c>
      <c r="S252" s="150" t="str">
        <f t="shared" ca="1" si="121"/>
        <v>-</v>
      </c>
      <c r="T252" s="151">
        <f ca="1">OFFSET(CÁLCULO!H$15,ROW($T252)-ROW(T$15),0)</f>
        <v>149.4</v>
      </c>
      <c r="U252" s="152">
        <f t="shared" ca="1" si="115"/>
        <v>0</v>
      </c>
      <c r="V252" s="153" t="s">
        <v>158</v>
      </c>
      <c r="W252" s="151">
        <f t="shared" ca="1" si="103"/>
        <v>0</v>
      </c>
      <c r="X252" s="154">
        <f t="shared" ca="1" si="104"/>
        <v>0</v>
      </c>
      <c r="Y252" s="155" t="s">
        <v>583</v>
      </c>
      <c r="Z252" t="str">
        <f t="shared" ca="1" si="105"/>
        <v/>
      </c>
      <c r="AA252" s="156">
        <f ca="1">IF($C252="S",IF($Z252="CP",$X252,IF($Z252="RA",(($X252)*QCI!$AA$3),0)),SomaAgrup)</f>
        <v>0</v>
      </c>
      <c r="AB252" s="157">
        <f t="shared" ca="1" si="106"/>
        <v>0</v>
      </c>
      <c r="AC252" s="158" t="str">
        <f t="shared" ca="1" si="107"/>
        <v/>
      </c>
      <c r="AD252" s="104" t="str">
        <f ca="1">IF(C252&lt;=CRONO.NivelExibicao,MAX($AD$15:OFFSET(AD252,-1,0))+IF($C252&lt;&gt;1,1,MAX(1,COUNTIF(QCI!$A$13:$A$24,OFFSET($E252,-1,0)))),"")</f>
        <v/>
      </c>
      <c r="AE252" s="114" t="str">
        <f t="shared" ca="1" si="108"/>
        <v>Composição CP-26</v>
      </c>
      <c r="AF252" s="159" t="str">
        <f t="shared" ca="1" si="109"/>
        <v>(abra o arquivo 'Referência 05-2024.xls)</v>
      </c>
      <c r="AG252" s="579">
        <f t="shared" ca="1" si="110"/>
        <v>0</v>
      </c>
      <c r="AH252" s="580">
        <f t="shared" ca="1" si="111"/>
        <v>0.22470000000000001</v>
      </c>
      <c r="AJ252" s="582">
        <v>149.4</v>
      </c>
      <c r="AL252" s="612"/>
      <c r="AM252" s="430">
        <f t="shared" ca="1" si="112"/>
        <v>0</v>
      </c>
      <c r="AN252" s="655">
        <f t="shared" ca="1" si="113"/>
        <v>0</v>
      </c>
    </row>
    <row r="253" spans="1:40" ht="13.8" x14ac:dyDescent="0.3">
      <c r="A253" t="str">
        <f t="shared" si="92"/>
        <v>S</v>
      </c>
      <c r="B253">
        <f t="shared" ca="1" si="93"/>
        <v>3</v>
      </c>
      <c r="C253" t="str">
        <f t="shared" ca="1" si="94"/>
        <v>S</v>
      </c>
      <c r="D253">
        <f t="shared" ca="1" si="95"/>
        <v>0</v>
      </c>
      <c r="E253">
        <f ca="1">IF($C253=1,OFFSET(E253,-1,0)+MAX(1,COUNTIF(QCI!$A$13:$A$24,OFFSET(ORÇAMENTO!E253,-1,0))),OFFSET(E253,-1,0))</f>
        <v>1</v>
      </c>
      <c r="F253">
        <f t="shared" ca="1" si="96"/>
        <v>9</v>
      </c>
      <c r="G253">
        <f t="shared" ca="1" si="97"/>
        <v>1</v>
      </c>
      <c r="H253">
        <f t="shared" ca="1" si="98"/>
        <v>0</v>
      </c>
      <c r="I253">
        <f t="shared" ca="1" si="99"/>
        <v>0</v>
      </c>
      <c r="J253">
        <f t="shared" ca="1" si="114"/>
        <v>0</v>
      </c>
      <c r="K253">
        <f ca="1">IF(OR($C253="S",$C253=0),0,MATCH(OFFSET($D253,0,$C253)+IF($C253&lt;&gt;1,1,COUNTIF(QCI!$A$13:$A$24,ORÇAMENTO!E253)),OFFSET($D253,1,$C253,ROW($C$710)-ROW($C253)),0))</f>
        <v>0</v>
      </c>
      <c r="L253" s="143" t="str">
        <f t="shared" ca="1" si="100"/>
        <v/>
      </c>
      <c r="M253" s="144" t="s">
        <v>201</v>
      </c>
      <c r="N253" s="145" t="str">
        <f t="shared" ca="1" si="101"/>
        <v>Serviço</v>
      </c>
      <c r="O253" s="146" t="str">
        <f t="shared" ca="1" si="102"/>
        <v>-</v>
      </c>
      <c r="P253" s="147" t="s">
        <v>249</v>
      </c>
      <c r="Q253" s="148">
        <v>96114</v>
      </c>
      <c r="R253" s="149" t="str">
        <f t="shared" ca="1" si="120"/>
        <v>(abra o arquivo 'Referência 05-2024.xls)</v>
      </c>
      <c r="S253" s="150" t="str">
        <f t="shared" ca="1" si="121"/>
        <v>-</v>
      </c>
      <c r="T253" s="151">
        <f ca="1">OFFSET(CÁLCULO!H$15,ROW($T253)-ROW(T$15),0)</f>
        <v>338.11</v>
      </c>
      <c r="U253" s="152">
        <f t="shared" ca="1" si="115"/>
        <v>0</v>
      </c>
      <c r="V253" s="153" t="s">
        <v>158</v>
      </c>
      <c r="W253" s="151">
        <f t="shared" ca="1" si="103"/>
        <v>0</v>
      </c>
      <c r="X253" s="154">
        <f t="shared" ca="1" si="104"/>
        <v>0</v>
      </c>
      <c r="Y253" s="155" t="s">
        <v>583</v>
      </c>
      <c r="Z253" t="str">
        <f t="shared" ca="1" si="105"/>
        <v/>
      </c>
      <c r="AA253" s="156">
        <f ca="1">IF($C253="S",IF($Z253="CP",$X253,IF($Z253="RA",(($X253)*QCI!$AA$3),0)),SomaAgrup)</f>
        <v>0</v>
      </c>
      <c r="AB253" s="157">
        <f t="shared" ca="1" si="106"/>
        <v>0</v>
      </c>
      <c r="AC253" s="158" t="str">
        <f t="shared" ca="1" si="107"/>
        <v/>
      </c>
      <c r="AD253" s="104" t="str">
        <f ca="1">IF(C253&lt;=CRONO.NivelExibicao,MAX($AD$15:OFFSET(AD253,-1,0))+IF($C253&lt;&gt;1,1,MAX(1,COUNTIF(QCI!$A$13:$A$24,OFFSET($E253,-1,0)))),"")</f>
        <v/>
      </c>
      <c r="AE253" s="114" t="str">
        <f t="shared" ca="1" si="108"/>
        <v>SINAPI 96114</v>
      </c>
      <c r="AF253" s="159" t="str">
        <f t="shared" ca="1" si="109"/>
        <v>(abra o arquivo 'Referência 05-2024.xls)</v>
      </c>
      <c r="AG253" s="579">
        <f t="shared" ca="1" si="110"/>
        <v>0</v>
      </c>
      <c r="AH253" s="580">
        <f t="shared" ca="1" si="111"/>
        <v>0.22470000000000001</v>
      </c>
      <c r="AJ253" s="582">
        <v>338.11</v>
      </c>
      <c r="AL253" s="612"/>
      <c r="AM253" s="430">
        <f t="shared" ca="1" si="112"/>
        <v>0</v>
      </c>
      <c r="AN253" s="655">
        <f t="shared" ca="1" si="113"/>
        <v>0</v>
      </c>
    </row>
    <row r="254" spans="1:40" ht="13.8" x14ac:dyDescent="0.3">
      <c r="A254" t="str">
        <f t="shared" si="92"/>
        <v>S</v>
      </c>
      <c r="B254">
        <f t="shared" ca="1" si="93"/>
        <v>3</v>
      </c>
      <c r="C254" t="str">
        <f t="shared" ca="1" si="94"/>
        <v>S</v>
      </c>
      <c r="D254">
        <f t="shared" ca="1" si="95"/>
        <v>0</v>
      </c>
      <c r="E254">
        <f ca="1">IF($C254=1,OFFSET(E254,-1,0)+MAX(1,COUNTIF(QCI!$A$13:$A$24,OFFSET(ORÇAMENTO!E254,-1,0))),OFFSET(E254,-1,0))</f>
        <v>1</v>
      </c>
      <c r="F254">
        <f t="shared" ca="1" si="96"/>
        <v>9</v>
      </c>
      <c r="G254">
        <f t="shared" ca="1" si="97"/>
        <v>1</v>
      </c>
      <c r="H254">
        <f t="shared" ca="1" si="98"/>
        <v>0</v>
      </c>
      <c r="I254">
        <f t="shared" ca="1" si="99"/>
        <v>0</v>
      </c>
      <c r="J254">
        <f t="shared" ca="1" si="114"/>
        <v>0</v>
      </c>
      <c r="K254">
        <f ca="1">IF(OR($C254="S",$C254=0),0,MATCH(OFFSET($D254,0,$C254)+IF($C254&lt;&gt;1,1,COUNTIF(QCI!$A$13:$A$24,ORÇAMENTO!E254)),OFFSET($D254,1,$C254,ROW($C$710)-ROW($C254)),0))</f>
        <v>0</v>
      </c>
      <c r="L254" s="143" t="str">
        <f t="shared" ca="1" si="100"/>
        <v/>
      </c>
      <c r="M254" s="144" t="s">
        <v>201</v>
      </c>
      <c r="N254" s="145" t="str">
        <f t="shared" ca="1" si="101"/>
        <v>Serviço</v>
      </c>
      <c r="O254" s="146" t="str">
        <f t="shared" ca="1" si="102"/>
        <v>-</v>
      </c>
      <c r="P254" s="147" t="s">
        <v>441</v>
      </c>
      <c r="Q254" s="148" t="s">
        <v>475</v>
      </c>
      <c r="R254" s="149" t="str">
        <f t="shared" ca="1" si="120"/>
        <v>(abra o arquivo 'Referência 05-2024.xls)</v>
      </c>
      <c r="S254" s="150" t="str">
        <f t="shared" ca="1" si="121"/>
        <v>-</v>
      </c>
      <c r="T254" s="151">
        <f ca="1">OFFSET(CÁLCULO!H$15,ROW($T254)-ROW(T$15),0)</f>
        <v>646.49</v>
      </c>
      <c r="U254" s="152">
        <f t="shared" ca="1" si="115"/>
        <v>0</v>
      </c>
      <c r="V254" s="153" t="s">
        <v>158</v>
      </c>
      <c r="W254" s="151">
        <f t="shared" ca="1" si="103"/>
        <v>0</v>
      </c>
      <c r="X254" s="154">
        <f t="shared" ca="1" si="104"/>
        <v>0</v>
      </c>
      <c r="Y254" s="155" t="s">
        <v>583</v>
      </c>
      <c r="Z254" t="str">
        <f t="shared" ca="1" si="105"/>
        <v/>
      </c>
      <c r="AA254" s="156">
        <f ca="1">IF($C254="S",IF($Z254="CP",$X254,IF($Z254="RA",(($X254)*QCI!$AA$3),0)),SomaAgrup)</f>
        <v>0</v>
      </c>
      <c r="AB254" s="157">
        <f t="shared" ca="1" si="106"/>
        <v>0</v>
      </c>
      <c r="AC254" s="158" t="str">
        <f t="shared" ca="1" si="107"/>
        <v/>
      </c>
      <c r="AD254" s="104" t="str">
        <f ca="1">IF(C254&lt;=CRONO.NivelExibicao,MAX($AD$15:OFFSET(AD254,-1,0))+IF($C254&lt;&gt;1,1,MAX(1,COUNTIF(QCI!$A$13:$A$24,OFFSET($E254,-1,0)))),"")</f>
        <v/>
      </c>
      <c r="AE254" s="114" t="str">
        <f t="shared" ca="1" si="108"/>
        <v>Composição CP-27</v>
      </c>
      <c r="AF254" s="159" t="str">
        <f t="shared" ca="1" si="109"/>
        <v>(abra o arquivo 'Referência 05-2024.xls)</v>
      </c>
      <c r="AG254" s="579">
        <f t="shared" ca="1" si="110"/>
        <v>0</v>
      </c>
      <c r="AH254" s="580">
        <f t="shared" ca="1" si="111"/>
        <v>0.22470000000000001</v>
      </c>
      <c r="AJ254" s="582">
        <v>646.49</v>
      </c>
      <c r="AL254" s="612"/>
      <c r="AM254" s="430">
        <f t="shared" ca="1" si="112"/>
        <v>0</v>
      </c>
      <c r="AN254" s="655">
        <f t="shared" ca="1" si="113"/>
        <v>0</v>
      </c>
    </row>
    <row r="255" spans="1:40" ht="13.8" x14ac:dyDescent="0.3">
      <c r="A255" t="str">
        <f t="shared" si="92"/>
        <v>S</v>
      </c>
      <c r="B255">
        <f t="shared" ca="1" si="93"/>
        <v>3</v>
      </c>
      <c r="C255" t="str">
        <f t="shared" ca="1" si="94"/>
        <v>S</v>
      </c>
      <c r="D255">
        <f t="shared" ca="1" si="95"/>
        <v>0</v>
      </c>
      <c r="E255">
        <f ca="1">IF($C255=1,OFFSET(E255,-1,0)+MAX(1,COUNTIF(QCI!$A$13:$A$24,OFFSET(ORÇAMENTO!E255,-1,0))),OFFSET(E255,-1,0))</f>
        <v>1</v>
      </c>
      <c r="F255">
        <f t="shared" ca="1" si="96"/>
        <v>9</v>
      </c>
      <c r="G255">
        <f t="shared" ca="1" si="97"/>
        <v>1</v>
      </c>
      <c r="H255">
        <f t="shared" ca="1" si="98"/>
        <v>0</v>
      </c>
      <c r="I255">
        <f t="shared" ca="1" si="99"/>
        <v>0</v>
      </c>
      <c r="J255">
        <f t="shared" ca="1" si="114"/>
        <v>0</v>
      </c>
      <c r="K255">
        <f ca="1">IF(OR($C255="S",$C255=0),0,MATCH(OFFSET($D255,0,$C255)+IF($C255&lt;&gt;1,1,COUNTIF(QCI!$A$13:$A$24,ORÇAMENTO!E255)),OFFSET($D255,1,$C255,ROW($C$710)-ROW($C255)),0))</f>
        <v>0</v>
      </c>
      <c r="L255" s="143" t="str">
        <f t="shared" ca="1" si="100"/>
        <v/>
      </c>
      <c r="M255" s="144" t="s">
        <v>201</v>
      </c>
      <c r="N255" s="145" t="str">
        <f t="shared" ca="1" si="101"/>
        <v>Serviço</v>
      </c>
      <c r="O255" s="146" t="str">
        <f t="shared" ca="1" si="102"/>
        <v>-</v>
      </c>
      <c r="P255" s="147" t="s">
        <v>441</v>
      </c>
      <c r="Q255" s="148" t="s">
        <v>465</v>
      </c>
      <c r="R255" s="149" t="str">
        <f t="shared" ca="1" si="120"/>
        <v>(abra o arquivo 'Referência 05-2024.xls)</v>
      </c>
      <c r="S255" s="150" t="str">
        <f t="shared" ca="1" si="121"/>
        <v>-</v>
      </c>
      <c r="T255" s="151">
        <f ca="1">OFFSET(CÁLCULO!H$15,ROW($T255)-ROW(T$15),0)</f>
        <v>254.88</v>
      </c>
      <c r="U255" s="152">
        <f t="shared" ca="1" si="115"/>
        <v>0</v>
      </c>
      <c r="V255" s="153" t="s">
        <v>158</v>
      </c>
      <c r="W255" s="151">
        <f t="shared" ca="1" si="103"/>
        <v>0</v>
      </c>
      <c r="X255" s="154">
        <f t="shared" ca="1" si="104"/>
        <v>0</v>
      </c>
      <c r="Y255" s="155" t="s">
        <v>583</v>
      </c>
      <c r="Z255" t="str">
        <f t="shared" ca="1" si="105"/>
        <v/>
      </c>
      <c r="AA255" s="156">
        <f ca="1">IF($C255="S",IF($Z255="CP",$X255,IF($Z255="RA",(($X255)*QCI!$AA$3),0)),SomaAgrup)</f>
        <v>0</v>
      </c>
      <c r="AB255" s="157">
        <f t="shared" ca="1" si="106"/>
        <v>0</v>
      </c>
      <c r="AC255" s="158" t="str">
        <f t="shared" ca="1" si="107"/>
        <v/>
      </c>
      <c r="AD255" s="104" t="str">
        <f ca="1">IF(C255&lt;=CRONO.NivelExibicao,MAX($AD$15:OFFSET(AD255,-1,0))+IF($C255&lt;&gt;1,1,MAX(1,COUNTIF(QCI!$A$13:$A$24,OFFSET($E255,-1,0)))),"")</f>
        <v/>
      </c>
      <c r="AE255" s="114" t="str">
        <f t="shared" ca="1" si="108"/>
        <v>Composição CP-28</v>
      </c>
      <c r="AF255" s="159" t="str">
        <f t="shared" ca="1" si="109"/>
        <v>(abra o arquivo 'Referência 05-2024.xls)</v>
      </c>
      <c r="AG255" s="579">
        <f t="shared" ca="1" si="110"/>
        <v>0</v>
      </c>
      <c r="AH255" s="580">
        <f t="shared" ca="1" si="111"/>
        <v>0.22470000000000001</v>
      </c>
      <c r="AJ255" s="582">
        <v>254.88</v>
      </c>
      <c r="AL255" s="612"/>
      <c r="AM255" s="430">
        <f t="shared" ca="1" si="112"/>
        <v>0</v>
      </c>
      <c r="AN255" s="655">
        <f t="shared" ca="1" si="113"/>
        <v>0</v>
      </c>
    </row>
    <row r="256" spans="1:40" ht="13.8" x14ac:dyDescent="0.3">
      <c r="A256">
        <f t="shared" si="92"/>
        <v>3</v>
      </c>
      <c r="B256">
        <f t="shared" ca="1" si="93"/>
        <v>3</v>
      </c>
      <c r="C256">
        <f t="shared" ca="1" si="94"/>
        <v>3</v>
      </c>
      <c r="D256">
        <f t="shared" ca="1" si="95"/>
        <v>3</v>
      </c>
      <c r="E256">
        <f ca="1">IF($C256=1,OFFSET(E256,-1,0)+MAX(1,COUNTIF(QCI!$A$13:$A$24,OFFSET(ORÇAMENTO!E256,-1,0))),OFFSET(E256,-1,0))</f>
        <v>1</v>
      </c>
      <c r="F256">
        <f t="shared" ca="1" si="96"/>
        <v>9</v>
      </c>
      <c r="G256">
        <f t="shared" ca="1" si="97"/>
        <v>2</v>
      </c>
      <c r="H256">
        <f t="shared" ca="1" si="98"/>
        <v>0</v>
      </c>
      <c r="I256">
        <f t="shared" ca="1" si="99"/>
        <v>0</v>
      </c>
      <c r="J256">
        <f t="shared" ca="1" si="114"/>
        <v>3</v>
      </c>
      <c r="K256">
        <f ca="1">IF(OR($C256="S",$C256=0),0,MATCH(OFFSET($D256,0,$C256)+IF($C256&lt;&gt;1,1,COUNTIF(QCI!$A$13:$A$24,ORÇAMENTO!E256)),OFFSET($D256,1,$C256,ROW($C$710)-ROW($C256)),0))</f>
        <v>104</v>
      </c>
      <c r="L256" s="143" t="str">
        <f t="shared" ca="1" si="100"/>
        <v>F</v>
      </c>
      <c r="M256" s="144" t="s">
        <v>199</v>
      </c>
      <c r="N256" s="145" t="str">
        <f t="shared" ca="1" si="101"/>
        <v>Nível 3</v>
      </c>
      <c r="O256" s="146" t="str">
        <f t="shared" ca="1" si="102"/>
        <v>1.9.2.</v>
      </c>
      <c r="P256" s="147" t="s">
        <v>249</v>
      </c>
      <c r="Q256" s="148"/>
      <c r="R256" s="149" t="s">
        <v>519</v>
      </c>
      <c r="S256" s="150" t="s">
        <v>168</v>
      </c>
      <c r="T256" s="151">
        <f ca="1">OFFSET(CÁLCULO!H$15,ROW($T256)-ROW(T$15),0)</f>
        <v>0</v>
      </c>
      <c r="U256" s="152"/>
      <c r="V256" s="153" t="s">
        <v>158</v>
      </c>
      <c r="W256" s="151">
        <f t="shared" ca="1" si="103"/>
        <v>0</v>
      </c>
      <c r="X256" s="154">
        <f t="shared" ca="1" si="104"/>
        <v>0</v>
      </c>
      <c r="Y256" s="155" t="s">
        <v>583</v>
      </c>
      <c r="Z256" t="str">
        <f t="shared" ca="1" si="105"/>
        <v/>
      </c>
      <c r="AA256" s="156">
        <f ca="1">IF($C256="S",IF($Z256="CP",$X256,IF($Z256="RA",(($X256)*QCI!$AA$3),0)),SomaAgrup)</f>
        <v>0</v>
      </c>
      <c r="AB256" s="157">
        <f t="shared" ca="1" si="106"/>
        <v>0</v>
      </c>
      <c r="AC256" s="158" t="str">
        <f t="shared" ca="1" si="107"/>
        <v/>
      </c>
      <c r="AD256" s="104" t="str">
        <f ca="1">IF(C256&lt;=CRONO.NivelExibicao,MAX($AD$15:OFFSET(AD256,-1,0))+IF($C256&lt;&gt;1,1,MAX(1,COUNTIF(QCI!$A$13:$A$24,OFFSET($E256,-1,0)))),"")</f>
        <v/>
      </c>
      <c r="AE256" s="114" t="b">
        <f t="shared" ca="1" si="108"/>
        <v>0</v>
      </c>
      <c r="AF256" s="159" t="str">
        <f t="shared" ca="1" si="109"/>
        <v>(abra o arquivo 'Referência 05-2024.xls)</v>
      </c>
      <c r="AG256" s="579">
        <f t="shared" ca="1" si="110"/>
        <v>0</v>
      </c>
      <c r="AH256" s="580">
        <f t="shared" ca="1" si="111"/>
        <v>0.22470000000000001</v>
      </c>
      <c r="AJ256" s="582"/>
      <c r="AL256" s="612"/>
      <c r="AM256" s="430">
        <f t="shared" ca="1" si="112"/>
        <v>0</v>
      </c>
      <c r="AN256" s="655">
        <f t="shared" ca="1" si="113"/>
        <v>0</v>
      </c>
    </row>
    <row r="257" spans="1:40" ht="13.8" x14ac:dyDescent="0.3">
      <c r="A257" t="str">
        <f t="shared" si="92"/>
        <v>S</v>
      </c>
      <c r="B257">
        <f t="shared" ca="1" si="93"/>
        <v>3</v>
      </c>
      <c r="C257" t="str">
        <f t="shared" ca="1" si="94"/>
        <v>S</v>
      </c>
      <c r="D257">
        <f t="shared" ca="1" si="95"/>
        <v>0</v>
      </c>
      <c r="E257">
        <f ca="1">IF($C257=1,OFFSET(E257,-1,0)+MAX(1,COUNTIF(QCI!$A$13:$A$24,OFFSET(ORÇAMENTO!E257,-1,0))),OFFSET(E257,-1,0))</f>
        <v>1</v>
      </c>
      <c r="F257">
        <f t="shared" ca="1" si="96"/>
        <v>9</v>
      </c>
      <c r="G257">
        <f t="shared" ca="1" si="97"/>
        <v>2</v>
      </c>
      <c r="H257">
        <f t="shared" ca="1" si="98"/>
        <v>0</v>
      </c>
      <c r="I257">
        <f t="shared" ca="1" si="99"/>
        <v>0</v>
      </c>
      <c r="J257">
        <f t="shared" ca="1" si="114"/>
        <v>0</v>
      </c>
      <c r="K257">
        <f ca="1">IF(OR($C257="S",$C257=0),0,MATCH(OFFSET($D257,0,$C257)+IF($C257&lt;&gt;1,1,COUNTIF(QCI!$A$13:$A$24,ORÇAMENTO!E257)),OFFSET($D257,1,$C257,ROW($C$710)-ROW($C257)),0))</f>
        <v>0</v>
      </c>
      <c r="L257" s="143" t="str">
        <f t="shared" ca="1" si="100"/>
        <v/>
      </c>
      <c r="M257" s="144" t="s">
        <v>201</v>
      </c>
      <c r="N257" s="145" t="str">
        <f t="shared" ca="1" si="101"/>
        <v>Serviço</v>
      </c>
      <c r="O257" s="146" t="str">
        <f t="shared" ca="1" si="102"/>
        <v>-</v>
      </c>
      <c r="P257" s="147" t="s">
        <v>249</v>
      </c>
      <c r="Q257" s="148">
        <v>87879</v>
      </c>
      <c r="R257" s="149" t="str">
        <f ca="1">IF($C257="S",REFERENCIA.Descricao,"(digite a descrição aqui)")</f>
        <v>(abra o arquivo 'Referência 05-2024.xls)</v>
      </c>
      <c r="S257" s="150" t="str">
        <f ca="1">REFERENCIA.Unidade</f>
        <v>-</v>
      </c>
      <c r="T257" s="151">
        <f ca="1">OFFSET(CÁLCULO!H$15,ROW($T257)-ROW(T$15),0)</f>
        <v>1298.68</v>
      </c>
      <c r="U257" s="152">
        <f t="shared" ca="1" si="115"/>
        <v>0</v>
      </c>
      <c r="V257" s="153" t="s">
        <v>158</v>
      </c>
      <c r="W257" s="151">
        <f t="shared" ca="1" si="103"/>
        <v>0</v>
      </c>
      <c r="X257" s="154">
        <f t="shared" ca="1" si="104"/>
        <v>0</v>
      </c>
      <c r="Y257" s="155" t="s">
        <v>583</v>
      </c>
      <c r="Z257" t="str">
        <f t="shared" ca="1" si="105"/>
        <v/>
      </c>
      <c r="AA257" s="156">
        <f ca="1">IF($C257="S",IF($Z257="CP",$X257,IF($Z257="RA",(($X257)*QCI!$AA$3),0)),SomaAgrup)</f>
        <v>0</v>
      </c>
      <c r="AB257" s="157">
        <f t="shared" ca="1" si="106"/>
        <v>0</v>
      </c>
      <c r="AC257" s="158" t="str">
        <f t="shared" ca="1" si="107"/>
        <v/>
      </c>
      <c r="AD257" s="104" t="str">
        <f ca="1">IF(C257&lt;=CRONO.NivelExibicao,MAX($AD$15:OFFSET(AD257,-1,0))+IF($C257&lt;&gt;1,1,MAX(1,COUNTIF(QCI!$A$13:$A$24,OFFSET($E257,-1,0)))),"")</f>
        <v/>
      </c>
      <c r="AE257" s="114" t="str">
        <f t="shared" ca="1" si="108"/>
        <v>SINAPI 87879</v>
      </c>
      <c r="AF257" s="159" t="str">
        <f t="shared" ca="1" si="109"/>
        <v>(abra o arquivo 'Referência 05-2024.xls)</v>
      </c>
      <c r="AG257" s="579">
        <f t="shared" ca="1" si="110"/>
        <v>0</v>
      </c>
      <c r="AH257" s="580">
        <f t="shared" ca="1" si="111"/>
        <v>0.22470000000000001</v>
      </c>
      <c r="AJ257" s="582">
        <v>1298.68</v>
      </c>
      <c r="AL257" s="612"/>
      <c r="AM257" s="430">
        <f t="shared" ca="1" si="112"/>
        <v>0</v>
      </c>
      <c r="AN257" s="655">
        <f t="shared" ca="1" si="113"/>
        <v>0</v>
      </c>
    </row>
    <row r="258" spans="1:40" ht="13.8" x14ac:dyDescent="0.3">
      <c r="A258" t="str">
        <f t="shared" si="92"/>
        <v>S</v>
      </c>
      <c r="B258">
        <f t="shared" ca="1" si="93"/>
        <v>3</v>
      </c>
      <c r="C258" t="str">
        <f t="shared" ca="1" si="94"/>
        <v>S</v>
      </c>
      <c r="D258">
        <f t="shared" ca="1" si="95"/>
        <v>0</v>
      </c>
      <c r="E258">
        <f ca="1">IF($C258=1,OFFSET(E258,-1,0)+MAX(1,COUNTIF(QCI!$A$13:$A$24,OFFSET(ORÇAMENTO!E258,-1,0))),OFFSET(E258,-1,0))</f>
        <v>1</v>
      </c>
      <c r="F258">
        <f t="shared" ca="1" si="96"/>
        <v>9</v>
      </c>
      <c r="G258">
        <f t="shared" ca="1" si="97"/>
        <v>2</v>
      </c>
      <c r="H258">
        <f t="shared" ca="1" si="98"/>
        <v>0</v>
      </c>
      <c r="I258">
        <f t="shared" ca="1" si="99"/>
        <v>0</v>
      </c>
      <c r="J258">
        <f t="shared" ca="1" si="114"/>
        <v>0</v>
      </c>
      <c r="K258">
        <f ca="1">IF(OR($C258="S",$C258=0),0,MATCH(OFFSET($D258,0,$C258)+IF($C258&lt;&gt;1,1,COUNTIF(QCI!$A$13:$A$24,ORÇAMENTO!E258)),OFFSET($D258,1,$C258,ROW($C$710)-ROW($C258)),0))</f>
        <v>0</v>
      </c>
      <c r="L258" s="143" t="str">
        <f t="shared" ca="1" si="100"/>
        <v/>
      </c>
      <c r="M258" s="144" t="s">
        <v>201</v>
      </c>
      <c r="N258" s="145" t="str">
        <f t="shared" ca="1" si="101"/>
        <v>Serviço</v>
      </c>
      <c r="O258" s="146" t="str">
        <f t="shared" ca="1" si="102"/>
        <v>-</v>
      </c>
      <c r="P258" s="147" t="s">
        <v>249</v>
      </c>
      <c r="Q258" s="148">
        <v>87792</v>
      </c>
      <c r="R258" s="149" t="str">
        <f ca="1">IF($C258="S",REFERENCIA.Descricao,"(digite a descrição aqui)")</f>
        <v>(abra o arquivo 'Referência 05-2024.xls)</v>
      </c>
      <c r="S258" s="150" t="str">
        <f ca="1">REFERENCIA.Unidade</f>
        <v>-</v>
      </c>
      <c r="T258" s="151">
        <f ca="1">OFFSET(CÁLCULO!H$15,ROW($T258)-ROW(T$15),0)</f>
        <v>1298.68</v>
      </c>
      <c r="U258" s="152">
        <f t="shared" ca="1" si="115"/>
        <v>0</v>
      </c>
      <c r="V258" s="153" t="s">
        <v>158</v>
      </c>
      <c r="W258" s="151">
        <f t="shared" ca="1" si="103"/>
        <v>0</v>
      </c>
      <c r="X258" s="154">
        <f t="shared" ca="1" si="104"/>
        <v>0</v>
      </c>
      <c r="Y258" s="155" t="s">
        <v>583</v>
      </c>
      <c r="Z258" t="str">
        <f t="shared" ca="1" si="105"/>
        <v/>
      </c>
      <c r="AA258" s="156">
        <f ca="1">IF($C258="S",IF($Z258="CP",$X258,IF($Z258="RA",(($X258)*QCI!$AA$3),0)),SomaAgrup)</f>
        <v>0</v>
      </c>
      <c r="AB258" s="157">
        <f t="shared" ca="1" si="106"/>
        <v>0</v>
      </c>
      <c r="AC258" s="158" t="str">
        <f t="shared" ca="1" si="107"/>
        <v/>
      </c>
      <c r="AD258" s="104" t="str">
        <f ca="1">IF(C258&lt;=CRONO.NivelExibicao,MAX($AD$15:OFFSET(AD258,-1,0))+IF($C258&lt;&gt;1,1,MAX(1,COUNTIF(QCI!$A$13:$A$24,OFFSET($E258,-1,0)))),"")</f>
        <v/>
      </c>
      <c r="AE258" s="114" t="str">
        <f t="shared" ca="1" si="108"/>
        <v>SINAPI 87792</v>
      </c>
      <c r="AF258" s="159" t="str">
        <f t="shared" ca="1" si="109"/>
        <v>(abra o arquivo 'Referência 05-2024.xls)</v>
      </c>
      <c r="AG258" s="579">
        <f t="shared" ca="1" si="110"/>
        <v>0</v>
      </c>
      <c r="AH258" s="580">
        <f t="shared" ca="1" si="111"/>
        <v>0.22470000000000001</v>
      </c>
      <c r="AJ258" s="582">
        <v>1298.68</v>
      </c>
      <c r="AL258" s="612"/>
      <c r="AM258" s="430">
        <f t="shared" ca="1" si="112"/>
        <v>0</v>
      </c>
      <c r="AN258" s="655">
        <f t="shared" ca="1" si="113"/>
        <v>0</v>
      </c>
    </row>
    <row r="259" spans="1:40" ht="13.8" x14ac:dyDescent="0.3">
      <c r="A259">
        <f t="shared" si="92"/>
        <v>2</v>
      </c>
      <c r="B259">
        <f t="shared" ca="1" si="93"/>
        <v>2</v>
      </c>
      <c r="C259">
        <f t="shared" ca="1" si="94"/>
        <v>2</v>
      </c>
      <c r="D259">
        <f t="shared" ca="1" si="95"/>
        <v>23</v>
      </c>
      <c r="E259">
        <f ca="1">IF($C259=1,OFFSET(E259,-1,0)+MAX(1,COUNTIF(QCI!$A$13:$A$24,OFFSET(ORÇAMENTO!E259,-1,0))),OFFSET(E259,-1,0))</f>
        <v>1</v>
      </c>
      <c r="F259">
        <f t="shared" ca="1" si="96"/>
        <v>10</v>
      </c>
      <c r="G259">
        <f t="shared" ca="1" si="97"/>
        <v>0</v>
      </c>
      <c r="H259">
        <f t="shared" ca="1" si="98"/>
        <v>0</v>
      </c>
      <c r="I259">
        <f t="shared" ca="1" si="99"/>
        <v>0</v>
      </c>
      <c r="J259">
        <f t="shared" ca="1" si="114"/>
        <v>443</v>
      </c>
      <c r="K259">
        <f ca="1">IF(OR($C259="S",$C259=0),0,MATCH(OFFSET($D259,0,$C259)+IF($C259&lt;&gt;1,1,COUNTIF(QCI!$A$13:$A$24,ORÇAMENTO!E259)),OFFSET($D259,1,$C259,ROW($C$710)-ROW($C259)),0))</f>
        <v>23</v>
      </c>
      <c r="L259" s="143" t="str">
        <f t="shared" ca="1" si="100"/>
        <v>F</v>
      </c>
      <c r="M259" s="144" t="s">
        <v>198</v>
      </c>
      <c r="N259" s="145" t="str">
        <f t="shared" ca="1" si="101"/>
        <v>Nível 2</v>
      </c>
      <c r="O259" s="146" t="str">
        <f t="shared" ca="1" si="102"/>
        <v>1.10.</v>
      </c>
      <c r="P259" s="147" t="s">
        <v>249</v>
      </c>
      <c r="Q259" s="148"/>
      <c r="R259" s="149" t="s">
        <v>520</v>
      </c>
      <c r="S259" s="150" t="s">
        <v>168</v>
      </c>
      <c r="T259" s="151">
        <f ca="1">OFFSET(CÁLCULO!H$15,ROW($T259)-ROW(T$15),0)</f>
        <v>0</v>
      </c>
      <c r="U259" s="152"/>
      <c r="V259" s="153" t="s">
        <v>158</v>
      </c>
      <c r="W259" s="151">
        <f t="shared" ca="1" si="103"/>
        <v>0</v>
      </c>
      <c r="X259" s="154">
        <f t="shared" ca="1" si="104"/>
        <v>0</v>
      </c>
      <c r="Y259" s="155" t="s">
        <v>583</v>
      </c>
      <c r="Z259" t="str">
        <f t="shared" ca="1" si="105"/>
        <v/>
      </c>
      <c r="AA259" s="156">
        <f ca="1">IF($C259="S",IF($Z259="CP",$X259,IF($Z259="RA",(($X259)*QCI!$AA$3),0)),SomaAgrup)</f>
        <v>0</v>
      </c>
      <c r="AB259" s="157">
        <f t="shared" ca="1" si="106"/>
        <v>0</v>
      </c>
      <c r="AC259" s="158" t="str">
        <f t="shared" ca="1" si="107"/>
        <v/>
      </c>
      <c r="AD259" s="104">
        <f ca="1">IF(C259&lt;=CRONO.NivelExibicao,MAX($AD$15:OFFSET(AD259,-1,0))+IF($C259&lt;&gt;1,1,MAX(1,COUNTIF(QCI!$A$13:$A$24,OFFSET($E259,-1,0)))),"")</f>
        <v>11</v>
      </c>
      <c r="AE259" s="114" t="b">
        <f t="shared" ca="1" si="108"/>
        <v>0</v>
      </c>
      <c r="AF259" s="159" t="str">
        <f t="shared" ca="1" si="109"/>
        <v>(abra o arquivo 'Referência 05-2024.xls)</v>
      </c>
      <c r="AG259" s="579">
        <f t="shared" ca="1" si="110"/>
        <v>0</v>
      </c>
      <c r="AH259" s="580">
        <f t="shared" ca="1" si="111"/>
        <v>0.22470000000000001</v>
      </c>
      <c r="AJ259" s="582"/>
      <c r="AL259" s="612"/>
      <c r="AM259" s="430">
        <f t="shared" ca="1" si="112"/>
        <v>0</v>
      </c>
      <c r="AN259" s="655">
        <f t="shared" ca="1" si="113"/>
        <v>0</v>
      </c>
    </row>
    <row r="260" spans="1:40" ht="13.8" x14ac:dyDescent="0.3">
      <c r="A260">
        <f t="shared" si="92"/>
        <v>3</v>
      </c>
      <c r="B260">
        <f t="shared" ca="1" si="93"/>
        <v>3</v>
      </c>
      <c r="C260">
        <f t="shared" ca="1" si="94"/>
        <v>3</v>
      </c>
      <c r="D260">
        <f t="shared" ca="1" si="95"/>
        <v>9</v>
      </c>
      <c r="E260">
        <f ca="1">IF($C260=1,OFFSET(E260,-1,0)+MAX(1,COUNTIF(QCI!$A$13:$A$24,OFFSET(ORÇAMENTO!E260,-1,0))),OFFSET(E260,-1,0))</f>
        <v>1</v>
      </c>
      <c r="F260">
        <f t="shared" ca="1" si="96"/>
        <v>10</v>
      </c>
      <c r="G260">
        <f t="shared" ca="1" si="97"/>
        <v>1</v>
      </c>
      <c r="H260">
        <f t="shared" ca="1" si="98"/>
        <v>0</v>
      </c>
      <c r="I260">
        <f t="shared" ca="1" si="99"/>
        <v>0</v>
      </c>
      <c r="J260">
        <f t="shared" ca="1" si="114"/>
        <v>22</v>
      </c>
      <c r="K260">
        <f ca="1">IF(OR($C260="S",$C260=0),0,MATCH(OFFSET($D260,0,$C260)+IF($C260&lt;&gt;1,1,COUNTIF(QCI!$A$13:$A$24,ORÇAMENTO!E260)),OFFSET($D260,1,$C260,ROW($C$710)-ROW($C260)),0))</f>
        <v>9</v>
      </c>
      <c r="L260" s="143" t="str">
        <f t="shared" ca="1" si="100"/>
        <v>F</v>
      </c>
      <c r="M260" s="144" t="s">
        <v>199</v>
      </c>
      <c r="N260" s="145" t="str">
        <f t="shared" ca="1" si="101"/>
        <v>Nível 3</v>
      </c>
      <c r="O260" s="146" t="str">
        <f t="shared" ca="1" si="102"/>
        <v>1.10.1.</v>
      </c>
      <c r="P260" s="147" t="s">
        <v>249</v>
      </c>
      <c r="Q260" s="148"/>
      <c r="R260" s="149" t="s">
        <v>521</v>
      </c>
      <c r="S260" s="150" t="s">
        <v>168</v>
      </c>
      <c r="T260" s="151">
        <f ca="1">OFFSET(CÁLCULO!H$15,ROW($T260)-ROW(T$15),0)</f>
        <v>0</v>
      </c>
      <c r="U260" s="152"/>
      <c r="V260" s="153" t="s">
        <v>158</v>
      </c>
      <c r="W260" s="151">
        <f t="shared" ca="1" si="103"/>
        <v>0</v>
      </c>
      <c r="X260" s="154">
        <f t="shared" ca="1" si="104"/>
        <v>0</v>
      </c>
      <c r="Y260" s="155" t="s">
        <v>583</v>
      </c>
      <c r="Z260" t="str">
        <f t="shared" ca="1" si="105"/>
        <v/>
      </c>
      <c r="AA260" s="156">
        <f ca="1">IF($C260="S",IF($Z260="CP",$X260,IF($Z260="RA",(($X260)*QCI!$AA$3),0)),SomaAgrup)</f>
        <v>0</v>
      </c>
      <c r="AB260" s="157">
        <f t="shared" ca="1" si="106"/>
        <v>0</v>
      </c>
      <c r="AC260" s="158" t="str">
        <f t="shared" ca="1" si="107"/>
        <v/>
      </c>
      <c r="AD260" s="104" t="str">
        <f ca="1">IF(C260&lt;=CRONO.NivelExibicao,MAX($AD$15:OFFSET(AD260,-1,0))+IF($C260&lt;&gt;1,1,MAX(1,COUNTIF(QCI!$A$13:$A$24,OFFSET($E260,-1,0)))),"")</f>
        <v/>
      </c>
      <c r="AE260" s="114" t="b">
        <f t="shared" ca="1" si="108"/>
        <v>0</v>
      </c>
      <c r="AF260" s="159" t="str">
        <f t="shared" ca="1" si="109"/>
        <v>(abra o arquivo 'Referência 05-2024.xls)</v>
      </c>
      <c r="AG260" s="579">
        <f t="shared" ca="1" si="110"/>
        <v>0</v>
      </c>
      <c r="AH260" s="580">
        <f t="shared" ca="1" si="111"/>
        <v>0.22470000000000001</v>
      </c>
      <c r="AJ260" s="582"/>
      <c r="AL260" s="612"/>
      <c r="AM260" s="430">
        <f t="shared" ca="1" si="112"/>
        <v>0</v>
      </c>
      <c r="AN260" s="655">
        <f t="shared" ca="1" si="113"/>
        <v>0</v>
      </c>
    </row>
    <row r="261" spans="1:40" ht="13.8" x14ac:dyDescent="0.3">
      <c r="A261" t="str">
        <f t="shared" si="92"/>
        <v>S</v>
      </c>
      <c r="B261">
        <f t="shared" ca="1" si="93"/>
        <v>3</v>
      </c>
      <c r="C261" t="str">
        <f t="shared" ca="1" si="94"/>
        <v>S</v>
      </c>
      <c r="D261">
        <f t="shared" ca="1" si="95"/>
        <v>0</v>
      </c>
      <c r="E261">
        <f ca="1">IF($C261=1,OFFSET(E261,-1,0)+MAX(1,COUNTIF(QCI!$A$13:$A$24,OFFSET(ORÇAMENTO!E261,-1,0))),OFFSET(E261,-1,0))</f>
        <v>1</v>
      </c>
      <c r="F261">
        <f t="shared" ca="1" si="96"/>
        <v>10</v>
      </c>
      <c r="G261">
        <f t="shared" ca="1" si="97"/>
        <v>1</v>
      </c>
      <c r="H261">
        <f t="shared" ca="1" si="98"/>
        <v>0</v>
      </c>
      <c r="I261">
        <f t="shared" ca="1" si="99"/>
        <v>0</v>
      </c>
      <c r="J261">
        <f t="shared" ca="1" si="114"/>
        <v>0</v>
      </c>
      <c r="K261">
        <f ca="1">IF(OR($C261="S",$C261=0),0,MATCH(OFFSET($D261,0,$C261)+IF($C261&lt;&gt;1,1,COUNTIF(QCI!$A$13:$A$24,ORÇAMENTO!E261)),OFFSET($D261,1,$C261,ROW($C$710)-ROW($C261)),0))</f>
        <v>0</v>
      </c>
      <c r="L261" s="143" t="str">
        <f t="shared" ca="1" si="100"/>
        <v/>
      </c>
      <c r="M261" s="144" t="s">
        <v>201</v>
      </c>
      <c r="N261" s="145" t="str">
        <f t="shared" ca="1" si="101"/>
        <v>Serviço</v>
      </c>
      <c r="O261" s="146" t="str">
        <f t="shared" ca="1" si="102"/>
        <v>-</v>
      </c>
      <c r="P261" s="147" t="s">
        <v>249</v>
      </c>
      <c r="Q261" s="148">
        <v>87630</v>
      </c>
      <c r="R261" s="149" t="str">
        <f t="shared" ref="R261:R268" ca="1" si="122">IF($C261="S",REFERENCIA.Descricao,"(digite a descrição aqui)")</f>
        <v>(abra o arquivo 'Referência 05-2024.xls)</v>
      </c>
      <c r="S261" s="150" t="str">
        <f t="shared" ref="S261:S268" ca="1" si="123">REFERENCIA.Unidade</f>
        <v>-</v>
      </c>
      <c r="T261" s="151">
        <f ca="1">OFFSET(CÁLCULO!H$15,ROW($T261)-ROW(T$15),0)</f>
        <v>1780.58</v>
      </c>
      <c r="U261" s="152">
        <f t="shared" ca="1" si="115"/>
        <v>0</v>
      </c>
      <c r="V261" s="153" t="s">
        <v>158</v>
      </c>
      <c r="W261" s="151">
        <f t="shared" ca="1" si="103"/>
        <v>0</v>
      </c>
      <c r="X261" s="154">
        <f t="shared" ca="1" si="104"/>
        <v>0</v>
      </c>
      <c r="Y261" s="155" t="s">
        <v>583</v>
      </c>
      <c r="Z261" t="str">
        <f t="shared" ca="1" si="105"/>
        <v/>
      </c>
      <c r="AA261" s="156">
        <f ca="1">IF($C261="S",IF($Z261="CP",$X261,IF($Z261="RA",(($X261)*QCI!$AA$3),0)),SomaAgrup)</f>
        <v>0</v>
      </c>
      <c r="AB261" s="157">
        <f t="shared" ca="1" si="106"/>
        <v>0</v>
      </c>
      <c r="AC261" s="158" t="str">
        <f t="shared" ca="1" si="107"/>
        <v/>
      </c>
      <c r="AD261" s="104" t="str">
        <f ca="1">IF(C261&lt;=CRONO.NivelExibicao,MAX($AD$15:OFFSET(AD261,-1,0))+IF($C261&lt;&gt;1,1,MAX(1,COUNTIF(QCI!$A$13:$A$24,OFFSET($E261,-1,0)))),"")</f>
        <v/>
      </c>
      <c r="AE261" s="114" t="str">
        <f t="shared" ca="1" si="108"/>
        <v>SINAPI 87630</v>
      </c>
      <c r="AF261" s="159" t="str">
        <f t="shared" ca="1" si="109"/>
        <v>(abra o arquivo 'Referência 05-2024.xls)</v>
      </c>
      <c r="AG261" s="579">
        <f t="shared" ca="1" si="110"/>
        <v>0</v>
      </c>
      <c r="AH261" s="580">
        <f t="shared" ca="1" si="111"/>
        <v>0.22470000000000001</v>
      </c>
      <c r="AJ261" s="582">
        <v>1780.58</v>
      </c>
      <c r="AL261" s="612"/>
      <c r="AM261" s="430">
        <f t="shared" ca="1" si="112"/>
        <v>0</v>
      </c>
      <c r="AN261" s="655">
        <f t="shared" ca="1" si="113"/>
        <v>0</v>
      </c>
    </row>
    <row r="262" spans="1:40" ht="13.8" x14ac:dyDescent="0.3">
      <c r="A262" t="str">
        <f t="shared" si="92"/>
        <v>S</v>
      </c>
      <c r="B262">
        <f t="shared" ca="1" si="93"/>
        <v>3</v>
      </c>
      <c r="C262" t="str">
        <f t="shared" ca="1" si="94"/>
        <v>S</v>
      </c>
      <c r="D262">
        <f t="shared" ca="1" si="95"/>
        <v>0</v>
      </c>
      <c r="E262">
        <f ca="1">IF($C262=1,OFFSET(E262,-1,0)+MAX(1,COUNTIF(QCI!$A$13:$A$24,OFFSET(ORÇAMENTO!E262,-1,0))),OFFSET(E262,-1,0))</f>
        <v>1</v>
      </c>
      <c r="F262">
        <f t="shared" ca="1" si="96"/>
        <v>10</v>
      </c>
      <c r="G262">
        <f t="shared" ca="1" si="97"/>
        <v>1</v>
      </c>
      <c r="H262">
        <f t="shared" ca="1" si="98"/>
        <v>0</v>
      </c>
      <c r="I262">
        <f t="shared" ca="1" si="99"/>
        <v>0</v>
      </c>
      <c r="J262">
        <f t="shared" ca="1" si="114"/>
        <v>0</v>
      </c>
      <c r="K262">
        <f ca="1">IF(OR($C262="S",$C262=0),0,MATCH(OFFSET($D262,0,$C262)+IF($C262&lt;&gt;1,1,COUNTIF(QCI!$A$13:$A$24,ORÇAMENTO!E262)),OFFSET($D262,1,$C262,ROW($C$710)-ROW($C262)),0))</f>
        <v>0</v>
      </c>
      <c r="L262" s="143" t="str">
        <f t="shared" ca="1" si="100"/>
        <v/>
      </c>
      <c r="M262" s="144" t="s">
        <v>201</v>
      </c>
      <c r="N262" s="145" t="str">
        <f t="shared" ca="1" si="101"/>
        <v>Serviço</v>
      </c>
      <c r="O262" s="146" t="str">
        <f t="shared" ca="1" si="102"/>
        <v>-</v>
      </c>
      <c r="P262" s="147" t="s">
        <v>249</v>
      </c>
      <c r="Q262" s="148">
        <v>87620</v>
      </c>
      <c r="R262" s="149" t="str">
        <f t="shared" ca="1" si="122"/>
        <v>(abra o arquivo 'Referência 05-2024.xls)</v>
      </c>
      <c r="S262" s="150" t="str">
        <f t="shared" ca="1" si="123"/>
        <v>-</v>
      </c>
      <c r="T262" s="151">
        <f ca="1">OFFSET(CÁLCULO!H$15,ROW($T262)-ROW(T$15),0)</f>
        <v>256.23</v>
      </c>
      <c r="U262" s="152">
        <f t="shared" ca="1" si="115"/>
        <v>0</v>
      </c>
      <c r="V262" s="153" t="s">
        <v>158</v>
      </c>
      <c r="W262" s="151">
        <f t="shared" ca="1" si="103"/>
        <v>0</v>
      </c>
      <c r="X262" s="154">
        <f t="shared" ca="1" si="104"/>
        <v>0</v>
      </c>
      <c r="Y262" s="155" t="s">
        <v>583</v>
      </c>
      <c r="Z262" t="str">
        <f t="shared" ca="1" si="105"/>
        <v/>
      </c>
      <c r="AA262" s="156">
        <f ca="1">IF($C262="S",IF($Z262="CP",$X262,IF($Z262="RA",(($X262)*QCI!$AA$3),0)),SomaAgrup)</f>
        <v>0</v>
      </c>
      <c r="AB262" s="157">
        <f t="shared" ca="1" si="106"/>
        <v>0</v>
      </c>
      <c r="AC262" s="158" t="str">
        <f t="shared" ca="1" si="107"/>
        <v/>
      </c>
      <c r="AD262" s="104" t="str">
        <f ca="1">IF(C262&lt;=CRONO.NivelExibicao,MAX($AD$15:OFFSET(AD262,-1,0))+IF($C262&lt;&gt;1,1,MAX(1,COUNTIF(QCI!$A$13:$A$24,OFFSET($E262,-1,0)))),"")</f>
        <v/>
      </c>
      <c r="AE262" s="114" t="str">
        <f t="shared" ca="1" si="108"/>
        <v>SINAPI 87620</v>
      </c>
      <c r="AF262" s="159" t="str">
        <f t="shared" ca="1" si="109"/>
        <v>(abra o arquivo 'Referência 05-2024.xls)</v>
      </c>
      <c r="AG262" s="579">
        <f t="shared" ca="1" si="110"/>
        <v>0</v>
      </c>
      <c r="AH262" s="580">
        <f t="shared" ca="1" si="111"/>
        <v>0.22470000000000001</v>
      </c>
      <c r="AJ262" s="582">
        <v>256.23</v>
      </c>
      <c r="AL262" s="612"/>
      <c r="AM262" s="430">
        <f t="shared" ca="1" si="112"/>
        <v>0</v>
      </c>
      <c r="AN262" s="655">
        <f t="shared" ca="1" si="113"/>
        <v>0</v>
      </c>
    </row>
    <row r="263" spans="1:40" ht="13.8" x14ac:dyDescent="0.3">
      <c r="A263" t="str">
        <f t="shared" si="92"/>
        <v>S</v>
      </c>
      <c r="B263">
        <f t="shared" ca="1" si="93"/>
        <v>3</v>
      </c>
      <c r="C263" t="str">
        <f t="shared" ca="1" si="94"/>
        <v>S</v>
      </c>
      <c r="D263">
        <f t="shared" ca="1" si="95"/>
        <v>0</v>
      </c>
      <c r="E263">
        <f ca="1">IF($C263=1,OFFSET(E263,-1,0)+MAX(1,COUNTIF(QCI!$A$13:$A$24,OFFSET(ORÇAMENTO!E263,-1,0))),OFFSET(E263,-1,0))</f>
        <v>1</v>
      </c>
      <c r="F263">
        <f t="shared" ca="1" si="96"/>
        <v>10</v>
      </c>
      <c r="G263">
        <f t="shared" ca="1" si="97"/>
        <v>1</v>
      </c>
      <c r="H263">
        <f t="shared" ca="1" si="98"/>
        <v>0</v>
      </c>
      <c r="I263">
        <f t="shared" ca="1" si="99"/>
        <v>0</v>
      </c>
      <c r="J263">
        <f t="shared" ca="1" si="114"/>
        <v>0</v>
      </c>
      <c r="K263">
        <f ca="1">IF(OR($C263="S",$C263=0),0,MATCH(OFFSET($D263,0,$C263)+IF($C263&lt;&gt;1,1,COUNTIF(QCI!$A$13:$A$24,ORÇAMENTO!E263)),OFFSET($D263,1,$C263,ROW($C$710)-ROW($C263)),0))</f>
        <v>0</v>
      </c>
      <c r="L263" s="143" t="str">
        <f t="shared" ca="1" si="100"/>
        <v/>
      </c>
      <c r="M263" s="144" t="s">
        <v>201</v>
      </c>
      <c r="N263" s="145" t="str">
        <f t="shared" ca="1" si="101"/>
        <v>Serviço</v>
      </c>
      <c r="O263" s="146" t="str">
        <f t="shared" ca="1" si="102"/>
        <v>-</v>
      </c>
      <c r="P263" s="147" t="s">
        <v>249</v>
      </c>
      <c r="Q263" s="148">
        <v>104162</v>
      </c>
      <c r="R263" s="149" t="str">
        <f t="shared" ca="1" si="122"/>
        <v>(abra o arquivo 'Referência 05-2024.xls)</v>
      </c>
      <c r="S263" s="150" t="str">
        <f t="shared" ca="1" si="123"/>
        <v>-</v>
      </c>
      <c r="T263" s="151">
        <f ca="1">OFFSET(CÁLCULO!H$15,ROW($T263)-ROW(T$15),0)</f>
        <v>1780.58</v>
      </c>
      <c r="U263" s="152">
        <f t="shared" ca="1" si="115"/>
        <v>0</v>
      </c>
      <c r="V263" s="153" t="s">
        <v>158</v>
      </c>
      <c r="W263" s="151">
        <f t="shared" ca="1" si="103"/>
        <v>0</v>
      </c>
      <c r="X263" s="154">
        <f t="shared" ca="1" si="104"/>
        <v>0</v>
      </c>
      <c r="Y263" s="155" t="s">
        <v>583</v>
      </c>
      <c r="Z263" t="str">
        <f t="shared" ca="1" si="105"/>
        <v/>
      </c>
      <c r="AA263" s="156">
        <f ca="1">IF($C263="S",IF($Z263="CP",$X263,IF($Z263="RA",(($X263)*QCI!$AA$3),0)),SomaAgrup)</f>
        <v>0</v>
      </c>
      <c r="AB263" s="157">
        <f t="shared" ca="1" si="106"/>
        <v>0</v>
      </c>
      <c r="AC263" s="158" t="str">
        <f t="shared" ca="1" si="107"/>
        <v/>
      </c>
      <c r="AD263" s="104" t="str">
        <f ca="1">IF(C263&lt;=CRONO.NivelExibicao,MAX($AD$15:OFFSET(AD263,-1,0))+IF($C263&lt;&gt;1,1,MAX(1,COUNTIF(QCI!$A$13:$A$24,OFFSET($E263,-1,0)))),"")</f>
        <v/>
      </c>
      <c r="AE263" s="114" t="str">
        <f t="shared" ca="1" si="108"/>
        <v>SINAPI 104162</v>
      </c>
      <c r="AF263" s="159" t="str">
        <f t="shared" ca="1" si="109"/>
        <v>(abra o arquivo 'Referência 05-2024.xls)</v>
      </c>
      <c r="AG263" s="579">
        <f t="shared" ca="1" si="110"/>
        <v>0</v>
      </c>
      <c r="AH263" s="580">
        <f t="shared" ca="1" si="111"/>
        <v>0.22470000000000001</v>
      </c>
      <c r="AJ263" s="582">
        <v>1780.58</v>
      </c>
      <c r="AL263" s="612"/>
      <c r="AM263" s="430">
        <f t="shared" ca="1" si="112"/>
        <v>0</v>
      </c>
      <c r="AN263" s="655">
        <f t="shared" ca="1" si="113"/>
        <v>0</v>
      </c>
    </row>
    <row r="264" spans="1:40" ht="13.8" x14ac:dyDescent="0.3">
      <c r="A264" t="str">
        <f t="shared" si="92"/>
        <v>S</v>
      </c>
      <c r="B264">
        <f t="shared" ca="1" si="93"/>
        <v>3</v>
      </c>
      <c r="C264" t="str">
        <f t="shared" ca="1" si="94"/>
        <v>S</v>
      </c>
      <c r="D264">
        <f t="shared" ca="1" si="95"/>
        <v>0</v>
      </c>
      <c r="E264">
        <f ca="1">IF($C264=1,OFFSET(E264,-1,0)+MAX(1,COUNTIF(QCI!$A$13:$A$24,OFFSET(ORÇAMENTO!E264,-1,0))),OFFSET(E264,-1,0))</f>
        <v>1</v>
      </c>
      <c r="F264">
        <f t="shared" ca="1" si="96"/>
        <v>10</v>
      </c>
      <c r="G264">
        <f t="shared" ca="1" si="97"/>
        <v>1</v>
      </c>
      <c r="H264">
        <f t="shared" ca="1" si="98"/>
        <v>0</v>
      </c>
      <c r="I264">
        <f t="shared" ca="1" si="99"/>
        <v>0</v>
      </c>
      <c r="J264">
        <f t="shared" ca="1" si="114"/>
        <v>0</v>
      </c>
      <c r="K264">
        <f ca="1">IF(OR($C264="S",$C264=0),0,MATCH(OFFSET($D264,0,$C264)+IF($C264&lt;&gt;1,1,COUNTIF(QCI!$A$13:$A$24,ORÇAMENTO!E264)),OFFSET($D264,1,$C264,ROW($C$710)-ROW($C264)),0))</f>
        <v>0</v>
      </c>
      <c r="L264" s="143" t="str">
        <f t="shared" ca="1" si="100"/>
        <v/>
      </c>
      <c r="M264" s="144" t="s">
        <v>201</v>
      </c>
      <c r="N264" s="145" t="str">
        <f t="shared" ca="1" si="101"/>
        <v>Serviço</v>
      </c>
      <c r="O264" s="146" t="str">
        <f t="shared" ca="1" si="102"/>
        <v>-</v>
      </c>
      <c r="P264" s="147" t="s">
        <v>249</v>
      </c>
      <c r="Q264" s="148">
        <v>87251</v>
      </c>
      <c r="R264" s="149" t="str">
        <f t="shared" ca="1" si="122"/>
        <v>(abra o arquivo 'Referência 05-2024.xls)</v>
      </c>
      <c r="S264" s="150" t="str">
        <f t="shared" ca="1" si="123"/>
        <v>-</v>
      </c>
      <c r="T264" s="151">
        <f ca="1">OFFSET(CÁLCULO!H$15,ROW($T264)-ROW(T$15),0)</f>
        <v>256.23</v>
      </c>
      <c r="U264" s="152">
        <f t="shared" ca="1" si="115"/>
        <v>0</v>
      </c>
      <c r="V264" s="153" t="s">
        <v>158</v>
      </c>
      <c r="W264" s="151">
        <f t="shared" ca="1" si="103"/>
        <v>0</v>
      </c>
      <c r="X264" s="154">
        <f t="shared" ca="1" si="104"/>
        <v>0</v>
      </c>
      <c r="Y264" s="155" t="s">
        <v>583</v>
      </c>
      <c r="Z264" t="str">
        <f t="shared" ca="1" si="105"/>
        <v/>
      </c>
      <c r="AA264" s="156">
        <f ca="1">IF($C264="S",IF($Z264="CP",$X264,IF($Z264="RA",(($X264)*QCI!$AA$3),0)),SomaAgrup)</f>
        <v>0</v>
      </c>
      <c r="AB264" s="157">
        <f t="shared" ca="1" si="106"/>
        <v>0</v>
      </c>
      <c r="AC264" s="158" t="str">
        <f t="shared" ca="1" si="107"/>
        <v/>
      </c>
      <c r="AD264" s="104" t="str">
        <f ca="1">IF(C264&lt;=CRONO.NivelExibicao,MAX($AD$15:OFFSET(AD264,-1,0))+IF($C264&lt;&gt;1,1,MAX(1,COUNTIF(QCI!$A$13:$A$24,OFFSET($E264,-1,0)))),"")</f>
        <v/>
      </c>
      <c r="AE264" s="114" t="str">
        <f t="shared" ca="1" si="108"/>
        <v>SINAPI 87251</v>
      </c>
      <c r="AF264" s="159" t="str">
        <f t="shared" ca="1" si="109"/>
        <v>(abra o arquivo 'Referência 05-2024.xls)</v>
      </c>
      <c r="AG264" s="579">
        <f t="shared" ca="1" si="110"/>
        <v>0</v>
      </c>
      <c r="AH264" s="580">
        <f t="shared" ca="1" si="111"/>
        <v>0.22470000000000001</v>
      </c>
      <c r="AJ264" s="582">
        <v>256.23</v>
      </c>
      <c r="AL264" s="612"/>
      <c r="AM264" s="430">
        <f t="shared" ca="1" si="112"/>
        <v>0</v>
      </c>
      <c r="AN264" s="655">
        <f t="shared" ca="1" si="113"/>
        <v>0</v>
      </c>
    </row>
    <row r="265" spans="1:40" ht="13.8" x14ac:dyDescent="0.3">
      <c r="A265" t="str">
        <f t="shared" si="92"/>
        <v>S</v>
      </c>
      <c r="B265">
        <f t="shared" ca="1" si="93"/>
        <v>3</v>
      </c>
      <c r="C265" t="str">
        <f t="shared" ca="1" si="94"/>
        <v>S</v>
      </c>
      <c r="D265">
        <f t="shared" ca="1" si="95"/>
        <v>0</v>
      </c>
      <c r="E265">
        <f ca="1">IF($C265=1,OFFSET(E265,-1,0)+MAX(1,COUNTIF(QCI!$A$13:$A$24,OFFSET(ORÇAMENTO!E265,-1,0))),OFFSET(E265,-1,0))</f>
        <v>1</v>
      </c>
      <c r="F265">
        <f t="shared" ca="1" si="96"/>
        <v>10</v>
      </c>
      <c r="G265">
        <f t="shared" ca="1" si="97"/>
        <v>1</v>
      </c>
      <c r="H265">
        <f t="shared" ca="1" si="98"/>
        <v>0</v>
      </c>
      <c r="I265">
        <f t="shared" ca="1" si="99"/>
        <v>0</v>
      </c>
      <c r="J265">
        <f t="shared" ca="1" si="114"/>
        <v>0</v>
      </c>
      <c r="K265">
        <f ca="1">IF(OR($C265="S",$C265=0),0,MATCH(OFFSET($D265,0,$C265)+IF($C265&lt;&gt;1,1,COUNTIF(QCI!$A$13:$A$24,ORÇAMENTO!E265)),OFFSET($D265,1,$C265,ROW($C$710)-ROW($C265)),0))</f>
        <v>0</v>
      </c>
      <c r="L265" s="143" t="str">
        <f t="shared" ca="1" si="100"/>
        <v/>
      </c>
      <c r="M265" s="144" t="s">
        <v>201</v>
      </c>
      <c r="N265" s="145" t="str">
        <f t="shared" ca="1" si="101"/>
        <v>Serviço</v>
      </c>
      <c r="O265" s="146" t="str">
        <f t="shared" ca="1" si="102"/>
        <v>-</v>
      </c>
      <c r="P265" s="147" t="s">
        <v>441</v>
      </c>
      <c r="Q265" s="148" t="s">
        <v>581</v>
      </c>
      <c r="R265" s="149" t="str">
        <f t="shared" ca="1" si="122"/>
        <v>(abra o arquivo 'Referência 05-2024.xls)</v>
      </c>
      <c r="S265" s="150" t="str">
        <f t="shared" ca="1" si="123"/>
        <v>-</v>
      </c>
      <c r="T265" s="151">
        <f ca="1">OFFSET(CÁLCULO!H$15,ROW($T265)-ROW(T$15),0)</f>
        <v>16.059999999999999</v>
      </c>
      <c r="U265" s="152">
        <f t="shared" ca="1" si="115"/>
        <v>0</v>
      </c>
      <c r="V265" s="153" t="s">
        <v>158</v>
      </c>
      <c r="W265" s="151">
        <f t="shared" ca="1" si="103"/>
        <v>0</v>
      </c>
      <c r="X265" s="154">
        <f t="shared" ca="1" si="104"/>
        <v>0</v>
      </c>
      <c r="Y265" s="155" t="s">
        <v>583</v>
      </c>
      <c r="Z265" t="str">
        <f t="shared" ca="1" si="105"/>
        <v/>
      </c>
      <c r="AA265" s="156">
        <f ca="1">IF($C265="S",IF($Z265="CP",$X265,IF($Z265="RA",(($X265)*QCI!$AA$3),0)),SomaAgrup)</f>
        <v>0</v>
      </c>
      <c r="AB265" s="157">
        <f t="shared" ca="1" si="106"/>
        <v>0</v>
      </c>
      <c r="AC265" s="158" t="str">
        <f t="shared" ca="1" si="107"/>
        <v/>
      </c>
      <c r="AD265" s="104" t="str">
        <f ca="1">IF(C265&lt;=CRONO.NivelExibicao,MAX($AD$15:OFFSET(AD265,-1,0))+IF($C265&lt;&gt;1,1,MAX(1,COUNTIF(QCI!$A$13:$A$24,OFFSET($E265,-1,0)))),"")</f>
        <v/>
      </c>
      <c r="AE265" s="114" t="str">
        <f t="shared" ca="1" si="108"/>
        <v>Composição CP-29</v>
      </c>
      <c r="AF265" s="159" t="str">
        <f t="shared" ca="1" si="109"/>
        <v>(abra o arquivo 'Referência 05-2024.xls)</v>
      </c>
      <c r="AG265" s="579">
        <f t="shared" ca="1" si="110"/>
        <v>0</v>
      </c>
      <c r="AH265" s="580">
        <f t="shared" ca="1" si="111"/>
        <v>0.22470000000000001</v>
      </c>
      <c r="AJ265" s="582">
        <v>16.059999999999999</v>
      </c>
      <c r="AL265" s="612"/>
      <c r="AM265" s="430">
        <f t="shared" ca="1" si="112"/>
        <v>0</v>
      </c>
      <c r="AN265" s="655">
        <f t="shared" ca="1" si="113"/>
        <v>0</v>
      </c>
    </row>
    <row r="266" spans="1:40" ht="13.8" x14ac:dyDescent="0.3">
      <c r="A266" t="str">
        <f t="shared" si="92"/>
        <v>S</v>
      </c>
      <c r="B266">
        <f t="shared" ca="1" si="93"/>
        <v>3</v>
      </c>
      <c r="C266" t="str">
        <f t="shared" ca="1" si="94"/>
        <v>S</v>
      </c>
      <c r="D266">
        <f t="shared" ca="1" si="95"/>
        <v>0</v>
      </c>
      <c r="E266">
        <f ca="1">IF($C266=1,OFFSET(E266,-1,0)+MAX(1,COUNTIF(QCI!$A$13:$A$24,OFFSET(ORÇAMENTO!E266,-1,0))),OFFSET(E266,-1,0))</f>
        <v>1</v>
      </c>
      <c r="F266">
        <f t="shared" ca="1" si="96"/>
        <v>10</v>
      </c>
      <c r="G266">
        <f t="shared" ca="1" si="97"/>
        <v>1</v>
      </c>
      <c r="H266">
        <f t="shared" ca="1" si="98"/>
        <v>0</v>
      </c>
      <c r="I266">
        <f t="shared" ca="1" si="99"/>
        <v>0</v>
      </c>
      <c r="J266">
        <f t="shared" ca="1" si="114"/>
        <v>0</v>
      </c>
      <c r="K266">
        <f ca="1">IF(OR($C266="S",$C266=0),0,MATCH(OFFSET($D266,0,$C266)+IF($C266&lt;&gt;1,1,COUNTIF(QCI!$A$13:$A$24,ORÇAMENTO!E266)),OFFSET($D266,1,$C266,ROW($C$710)-ROW($C266)),0))</f>
        <v>0</v>
      </c>
      <c r="L266" s="143" t="str">
        <f t="shared" ca="1" si="100"/>
        <v/>
      </c>
      <c r="M266" s="144" t="s">
        <v>201</v>
      </c>
      <c r="N266" s="145" t="str">
        <f t="shared" ca="1" si="101"/>
        <v>Serviço</v>
      </c>
      <c r="O266" s="146" t="str">
        <f t="shared" ca="1" si="102"/>
        <v>-</v>
      </c>
      <c r="P266" s="147" t="s">
        <v>249</v>
      </c>
      <c r="Q266" s="148">
        <v>101741</v>
      </c>
      <c r="R266" s="149" t="str">
        <f t="shared" ca="1" si="122"/>
        <v>(abra o arquivo 'Referência 05-2024.xls)</v>
      </c>
      <c r="S266" s="150" t="str">
        <f t="shared" ca="1" si="123"/>
        <v>-</v>
      </c>
      <c r="T266" s="151">
        <f ca="1">OFFSET(CÁLCULO!H$15,ROW($T266)-ROW(T$15),0)</f>
        <v>391.29</v>
      </c>
      <c r="U266" s="152">
        <f t="shared" ca="1" si="115"/>
        <v>0</v>
      </c>
      <c r="V266" s="153" t="s">
        <v>158</v>
      </c>
      <c r="W266" s="151">
        <f t="shared" ca="1" si="103"/>
        <v>0</v>
      </c>
      <c r="X266" s="154">
        <f t="shared" ca="1" si="104"/>
        <v>0</v>
      </c>
      <c r="Y266" s="155" t="s">
        <v>583</v>
      </c>
      <c r="Z266" t="str">
        <f t="shared" ca="1" si="105"/>
        <v/>
      </c>
      <c r="AA266" s="156">
        <f ca="1">IF($C266="S",IF($Z266="CP",$X266,IF($Z266="RA",(($X266)*QCI!$AA$3),0)),SomaAgrup)</f>
        <v>0</v>
      </c>
      <c r="AB266" s="157">
        <f t="shared" ca="1" si="106"/>
        <v>0</v>
      </c>
      <c r="AC266" s="158" t="str">
        <f t="shared" ca="1" si="107"/>
        <v/>
      </c>
      <c r="AD266" s="104" t="str">
        <f ca="1">IF(C266&lt;=CRONO.NivelExibicao,MAX($AD$15:OFFSET(AD266,-1,0))+IF($C266&lt;&gt;1,1,MAX(1,COUNTIF(QCI!$A$13:$A$24,OFFSET($E266,-1,0)))),"")</f>
        <v/>
      </c>
      <c r="AE266" s="114" t="str">
        <f t="shared" ca="1" si="108"/>
        <v>SINAPI 101741</v>
      </c>
      <c r="AF266" s="159" t="str">
        <f t="shared" ca="1" si="109"/>
        <v>(abra o arquivo 'Referência 05-2024.xls)</v>
      </c>
      <c r="AG266" s="579">
        <f t="shared" ca="1" si="110"/>
        <v>0</v>
      </c>
      <c r="AH266" s="580">
        <f t="shared" ca="1" si="111"/>
        <v>0.22470000000000001</v>
      </c>
      <c r="AJ266" s="582">
        <v>391.29</v>
      </c>
      <c r="AL266" s="612"/>
      <c r="AM266" s="430">
        <f t="shared" ca="1" si="112"/>
        <v>0</v>
      </c>
      <c r="AN266" s="655">
        <f t="shared" ca="1" si="113"/>
        <v>0</v>
      </c>
    </row>
    <row r="267" spans="1:40" ht="13.8" x14ac:dyDescent="0.3">
      <c r="A267" t="str">
        <f t="shared" si="92"/>
        <v>S</v>
      </c>
      <c r="B267">
        <f t="shared" ca="1" si="93"/>
        <v>3</v>
      </c>
      <c r="C267" t="str">
        <f t="shared" ca="1" si="94"/>
        <v>S</v>
      </c>
      <c r="D267">
        <f t="shared" ca="1" si="95"/>
        <v>0</v>
      </c>
      <c r="E267">
        <f ca="1">IF($C267=1,OFFSET(E267,-1,0)+MAX(1,COUNTIF(QCI!$A$13:$A$24,OFFSET(ORÇAMENTO!E267,-1,0))),OFFSET(E267,-1,0))</f>
        <v>1</v>
      </c>
      <c r="F267">
        <f t="shared" ca="1" si="96"/>
        <v>10</v>
      </c>
      <c r="G267">
        <f t="shared" ca="1" si="97"/>
        <v>1</v>
      </c>
      <c r="H267">
        <f t="shared" ca="1" si="98"/>
        <v>0</v>
      </c>
      <c r="I267">
        <f t="shared" ca="1" si="99"/>
        <v>0</v>
      </c>
      <c r="J267">
        <f t="shared" ca="1" si="114"/>
        <v>0</v>
      </c>
      <c r="K267">
        <f ca="1">IF(OR($C267="S",$C267=0),0,MATCH(OFFSET($D267,0,$C267)+IF($C267&lt;&gt;1,1,COUNTIF(QCI!$A$13:$A$24,ORÇAMENTO!E267)),OFFSET($D267,1,$C267,ROW($C$710)-ROW($C267)),0))</f>
        <v>0</v>
      </c>
      <c r="L267" s="143" t="str">
        <f t="shared" ca="1" si="100"/>
        <v/>
      </c>
      <c r="M267" s="144" t="s">
        <v>201</v>
      </c>
      <c r="N267" s="145" t="str">
        <f t="shared" ca="1" si="101"/>
        <v>Serviço</v>
      </c>
      <c r="O267" s="146" t="str">
        <f t="shared" ca="1" si="102"/>
        <v>-</v>
      </c>
      <c r="P267" s="147" t="s">
        <v>249</v>
      </c>
      <c r="Q267" s="148">
        <v>98689</v>
      </c>
      <c r="R267" s="149" t="str">
        <f t="shared" ca="1" si="122"/>
        <v>(abra o arquivo 'Referência 05-2024.xls)</v>
      </c>
      <c r="S267" s="150" t="str">
        <f t="shared" ca="1" si="123"/>
        <v>-</v>
      </c>
      <c r="T267" s="151">
        <f ca="1">OFFSET(CÁLCULO!H$15,ROW($T267)-ROW(T$15),0)</f>
        <v>12.89</v>
      </c>
      <c r="U267" s="152">
        <f t="shared" ca="1" si="115"/>
        <v>0</v>
      </c>
      <c r="V267" s="153" t="s">
        <v>158</v>
      </c>
      <c r="W267" s="151">
        <f t="shared" ca="1" si="103"/>
        <v>0</v>
      </c>
      <c r="X267" s="154">
        <f t="shared" ca="1" si="104"/>
        <v>0</v>
      </c>
      <c r="Y267" s="155" t="s">
        <v>583</v>
      </c>
      <c r="Z267" t="str">
        <f t="shared" ca="1" si="105"/>
        <v/>
      </c>
      <c r="AA267" s="156">
        <f ca="1">IF($C267="S",IF($Z267="CP",$X267,IF($Z267="RA",(($X267)*QCI!$AA$3),0)),SomaAgrup)</f>
        <v>0</v>
      </c>
      <c r="AB267" s="157">
        <f t="shared" ca="1" si="106"/>
        <v>0</v>
      </c>
      <c r="AC267" s="158" t="str">
        <f t="shared" ca="1" si="107"/>
        <v/>
      </c>
      <c r="AD267" s="104" t="str">
        <f ca="1">IF(C267&lt;=CRONO.NivelExibicao,MAX($AD$15:OFFSET(AD267,-1,0))+IF($C267&lt;&gt;1,1,MAX(1,COUNTIF(QCI!$A$13:$A$24,OFFSET($E267,-1,0)))),"")</f>
        <v/>
      </c>
      <c r="AE267" s="114" t="str">
        <f t="shared" ca="1" si="108"/>
        <v>SINAPI 98689</v>
      </c>
      <c r="AF267" s="159" t="str">
        <f t="shared" ca="1" si="109"/>
        <v>(abra o arquivo 'Referência 05-2024.xls)</v>
      </c>
      <c r="AG267" s="579">
        <f t="shared" ca="1" si="110"/>
        <v>0</v>
      </c>
      <c r="AH267" s="580">
        <f t="shared" ca="1" si="111"/>
        <v>0.22470000000000001</v>
      </c>
      <c r="AJ267" s="582">
        <v>12.89</v>
      </c>
      <c r="AL267" s="612"/>
      <c r="AM267" s="430">
        <f t="shared" ca="1" si="112"/>
        <v>0</v>
      </c>
      <c r="AN267" s="655">
        <f t="shared" ca="1" si="113"/>
        <v>0</v>
      </c>
    </row>
    <row r="268" spans="1:40" ht="13.8" x14ac:dyDescent="0.3">
      <c r="A268" t="str">
        <f t="shared" si="92"/>
        <v>S</v>
      </c>
      <c r="B268">
        <f t="shared" ca="1" si="93"/>
        <v>3</v>
      </c>
      <c r="C268" t="str">
        <f t="shared" ca="1" si="94"/>
        <v>S</v>
      </c>
      <c r="D268">
        <f t="shared" ca="1" si="95"/>
        <v>0</v>
      </c>
      <c r="E268">
        <f ca="1">IF($C268=1,OFFSET(E268,-1,0)+MAX(1,COUNTIF(QCI!$A$13:$A$24,OFFSET(ORÇAMENTO!E268,-1,0))),OFFSET(E268,-1,0))</f>
        <v>1</v>
      </c>
      <c r="F268">
        <f t="shared" ca="1" si="96"/>
        <v>10</v>
      </c>
      <c r="G268">
        <f t="shared" ca="1" si="97"/>
        <v>1</v>
      </c>
      <c r="H268">
        <f t="shared" ca="1" si="98"/>
        <v>0</v>
      </c>
      <c r="I268">
        <f t="shared" ca="1" si="99"/>
        <v>0</v>
      </c>
      <c r="J268">
        <f t="shared" ca="1" si="114"/>
        <v>0</v>
      </c>
      <c r="K268">
        <f ca="1">IF(OR($C268="S",$C268=0),0,MATCH(OFFSET($D268,0,$C268)+IF($C268&lt;&gt;1,1,COUNTIF(QCI!$A$13:$A$24,ORÇAMENTO!E268)),OFFSET($D268,1,$C268,ROW($C$710)-ROW($C268)),0))</f>
        <v>0</v>
      </c>
      <c r="L268" s="143" t="str">
        <f t="shared" ca="1" si="100"/>
        <v/>
      </c>
      <c r="M268" s="144" t="s">
        <v>201</v>
      </c>
      <c r="N268" s="145" t="str">
        <f t="shared" ca="1" si="101"/>
        <v>Serviço</v>
      </c>
      <c r="O268" s="146" t="str">
        <f t="shared" ca="1" si="102"/>
        <v>-</v>
      </c>
      <c r="P268" s="147" t="s">
        <v>441</v>
      </c>
      <c r="Q268" s="148" t="s">
        <v>589</v>
      </c>
      <c r="R268" s="149" t="str">
        <f t="shared" ca="1" si="122"/>
        <v>(abra o arquivo 'Referência 05-2024.xls)</v>
      </c>
      <c r="S268" s="150" t="str">
        <f t="shared" ca="1" si="123"/>
        <v>-</v>
      </c>
      <c r="T268" s="151">
        <f ca="1">OFFSET(CÁLCULO!H$15,ROW($T268)-ROW(T$15),0)</f>
        <v>48.6</v>
      </c>
      <c r="U268" s="152">
        <f t="shared" ca="1" si="115"/>
        <v>0</v>
      </c>
      <c r="V268" s="153" t="s">
        <v>158</v>
      </c>
      <c r="W268" s="151">
        <f t="shared" ca="1" si="103"/>
        <v>0</v>
      </c>
      <c r="X268" s="154">
        <f t="shared" ca="1" si="104"/>
        <v>0</v>
      </c>
      <c r="Y268" s="155" t="s">
        <v>583</v>
      </c>
      <c r="Z268" t="str">
        <f t="shared" ca="1" si="105"/>
        <v/>
      </c>
      <c r="AA268" s="156">
        <f ca="1">IF($C268="S",IF($Z268="CP",$X268,IF($Z268="RA",(($X268)*QCI!$AA$3),0)),SomaAgrup)</f>
        <v>0</v>
      </c>
      <c r="AB268" s="157">
        <f t="shared" ca="1" si="106"/>
        <v>0</v>
      </c>
      <c r="AC268" s="158" t="str">
        <f t="shared" ca="1" si="107"/>
        <v/>
      </c>
      <c r="AD268" s="104" t="str">
        <f ca="1">IF(C268&lt;=CRONO.NivelExibicao,MAX($AD$15:OFFSET(AD268,-1,0))+IF($C268&lt;&gt;1,1,MAX(1,COUNTIF(QCI!$A$13:$A$24,OFFSET($E268,-1,0)))),"")</f>
        <v/>
      </c>
      <c r="AE268" s="114" t="str">
        <f t="shared" ca="1" si="108"/>
        <v>Composição CP-30</v>
      </c>
      <c r="AF268" s="159" t="str">
        <f t="shared" ca="1" si="109"/>
        <v>(abra o arquivo 'Referência 05-2024.xls)</v>
      </c>
      <c r="AG268" s="579">
        <f t="shared" ca="1" si="110"/>
        <v>0</v>
      </c>
      <c r="AH268" s="580">
        <f t="shared" ca="1" si="111"/>
        <v>0.22470000000000001</v>
      </c>
      <c r="AJ268" s="582">
        <v>48.6</v>
      </c>
      <c r="AL268" s="612"/>
      <c r="AM268" s="430">
        <f t="shared" ca="1" si="112"/>
        <v>0</v>
      </c>
      <c r="AN268" s="655">
        <f t="shared" ca="1" si="113"/>
        <v>0</v>
      </c>
    </row>
    <row r="269" spans="1:40" ht="13.8" x14ac:dyDescent="0.3">
      <c r="A269">
        <f t="shared" si="92"/>
        <v>3</v>
      </c>
      <c r="B269">
        <f t="shared" ca="1" si="93"/>
        <v>3</v>
      </c>
      <c r="C269">
        <f t="shared" ca="1" si="94"/>
        <v>3</v>
      </c>
      <c r="D269">
        <f t="shared" ca="1" si="95"/>
        <v>13</v>
      </c>
      <c r="E269">
        <f ca="1">IF($C269=1,OFFSET(E269,-1,0)+MAX(1,COUNTIF(QCI!$A$13:$A$24,OFFSET(ORÇAMENTO!E269,-1,0))),OFFSET(E269,-1,0))</f>
        <v>1</v>
      </c>
      <c r="F269">
        <f t="shared" ca="1" si="96"/>
        <v>10</v>
      </c>
      <c r="G269">
        <f t="shared" ca="1" si="97"/>
        <v>2</v>
      </c>
      <c r="H269">
        <f t="shared" ca="1" si="98"/>
        <v>0</v>
      </c>
      <c r="I269">
        <f t="shared" ca="1" si="99"/>
        <v>0</v>
      </c>
      <c r="J269">
        <f t="shared" ca="1" si="114"/>
        <v>13</v>
      </c>
      <c r="K269">
        <f ca="1">IF(OR($C269="S",$C269=0),0,MATCH(OFFSET($D269,0,$C269)+IF($C269&lt;&gt;1,1,COUNTIF(QCI!$A$13:$A$24,ORÇAMENTO!E269)),OFFSET($D269,1,$C269,ROW($C$710)-ROW($C269)),0))</f>
        <v>91</v>
      </c>
      <c r="L269" s="143" t="str">
        <f t="shared" ca="1" si="100"/>
        <v>F</v>
      </c>
      <c r="M269" s="144" t="s">
        <v>199</v>
      </c>
      <c r="N269" s="145" t="str">
        <f t="shared" ca="1" si="101"/>
        <v>Nível 3</v>
      </c>
      <c r="O269" s="146" t="str">
        <f t="shared" ca="1" si="102"/>
        <v>1.10.2.</v>
      </c>
      <c r="P269" s="147" t="s">
        <v>249</v>
      </c>
      <c r="Q269" s="148"/>
      <c r="R269" s="149" t="s">
        <v>522</v>
      </c>
      <c r="S269" s="150" t="s">
        <v>168</v>
      </c>
      <c r="T269" s="151">
        <f ca="1">OFFSET(CÁLCULO!H$15,ROW($T269)-ROW(T$15),0)</f>
        <v>0</v>
      </c>
      <c r="U269" s="152"/>
      <c r="V269" s="153" t="s">
        <v>158</v>
      </c>
      <c r="W269" s="151">
        <f t="shared" ca="1" si="103"/>
        <v>0</v>
      </c>
      <c r="X269" s="154">
        <f t="shared" ca="1" si="104"/>
        <v>0</v>
      </c>
      <c r="Y269" s="155" t="s">
        <v>583</v>
      </c>
      <c r="Z269" t="str">
        <f t="shared" ca="1" si="105"/>
        <v/>
      </c>
      <c r="AA269" s="156">
        <f ca="1">IF($C269="S",IF($Z269="CP",$X269,IF($Z269="RA",(($X269)*QCI!$AA$3),0)),SomaAgrup)</f>
        <v>0</v>
      </c>
      <c r="AB269" s="157">
        <f t="shared" ca="1" si="106"/>
        <v>0</v>
      </c>
      <c r="AC269" s="158" t="str">
        <f t="shared" ca="1" si="107"/>
        <v/>
      </c>
      <c r="AD269" s="104" t="str">
        <f ca="1">IF(C269&lt;=CRONO.NivelExibicao,MAX($AD$15:OFFSET(AD269,-1,0))+IF($C269&lt;&gt;1,1,MAX(1,COUNTIF(QCI!$A$13:$A$24,OFFSET($E269,-1,0)))),"")</f>
        <v/>
      </c>
      <c r="AE269" s="114" t="b">
        <f t="shared" ca="1" si="108"/>
        <v>0</v>
      </c>
      <c r="AF269" s="159" t="str">
        <f t="shared" ca="1" si="109"/>
        <v>(abra o arquivo 'Referência 05-2024.xls)</v>
      </c>
      <c r="AG269" s="579">
        <f t="shared" ca="1" si="110"/>
        <v>0</v>
      </c>
      <c r="AH269" s="580">
        <f t="shared" ca="1" si="111"/>
        <v>0.22470000000000001</v>
      </c>
      <c r="AJ269" s="582"/>
      <c r="AL269" s="612"/>
      <c r="AM269" s="430">
        <f t="shared" ca="1" si="112"/>
        <v>0</v>
      </c>
      <c r="AN269" s="655">
        <f t="shared" ca="1" si="113"/>
        <v>0</v>
      </c>
    </row>
    <row r="270" spans="1:40" ht="13.8" x14ac:dyDescent="0.3">
      <c r="A270" t="str">
        <f t="shared" si="92"/>
        <v>S</v>
      </c>
      <c r="B270">
        <f t="shared" ca="1" si="93"/>
        <v>3</v>
      </c>
      <c r="C270" t="str">
        <f t="shared" ca="1" si="94"/>
        <v>S</v>
      </c>
      <c r="D270">
        <f t="shared" ca="1" si="95"/>
        <v>0</v>
      </c>
      <c r="E270">
        <f ca="1">IF($C270=1,OFFSET(E270,-1,0)+MAX(1,COUNTIF(QCI!$A$13:$A$24,OFFSET(ORÇAMENTO!E270,-1,0))),OFFSET(E270,-1,0))</f>
        <v>1</v>
      </c>
      <c r="F270">
        <f t="shared" ca="1" si="96"/>
        <v>10</v>
      </c>
      <c r="G270">
        <f t="shared" ca="1" si="97"/>
        <v>2</v>
      </c>
      <c r="H270">
        <f t="shared" ca="1" si="98"/>
        <v>0</v>
      </c>
      <c r="I270">
        <f t="shared" ca="1" si="99"/>
        <v>0</v>
      </c>
      <c r="J270">
        <f t="shared" ca="1" si="114"/>
        <v>0</v>
      </c>
      <c r="K270">
        <f ca="1">IF(OR($C270="S",$C270=0),0,MATCH(OFFSET($D270,0,$C270)+IF($C270&lt;&gt;1,1,COUNTIF(QCI!$A$13:$A$24,ORÇAMENTO!E270)),OFFSET($D270,1,$C270,ROW($C$710)-ROW($C270)),0))</f>
        <v>0</v>
      </c>
      <c r="L270" s="143" t="str">
        <f t="shared" ca="1" si="100"/>
        <v/>
      </c>
      <c r="M270" s="144" t="s">
        <v>201</v>
      </c>
      <c r="N270" s="145" t="str">
        <f t="shared" ca="1" si="101"/>
        <v>Serviço</v>
      </c>
      <c r="O270" s="146" t="str">
        <f t="shared" ca="1" si="102"/>
        <v>-</v>
      </c>
      <c r="P270" s="147" t="s">
        <v>249</v>
      </c>
      <c r="Q270" s="148">
        <v>94991</v>
      </c>
      <c r="R270" s="149" t="str">
        <f t="shared" ref="R270:R281" ca="1" si="124">IF($C270="S",REFERENCIA.Descricao,"(digite a descrição aqui)")</f>
        <v>(abra o arquivo 'Referência 05-2024.xls)</v>
      </c>
      <c r="S270" s="150" t="str">
        <f t="shared" ref="S270:S281" ca="1" si="125">REFERENCIA.Unidade</f>
        <v>-</v>
      </c>
      <c r="T270" s="151">
        <f ca="1">OFFSET(CÁLCULO!H$15,ROW($T270)-ROW(T$15),0)</f>
        <v>57.24</v>
      </c>
      <c r="U270" s="152">
        <f t="shared" ca="1" si="115"/>
        <v>0</v>
      </c>
      <c r="V270" s="153" t="s">
        <v>158</v>
      </c>
      <c r="W270" s="151">
        <f t="shared" ca="1" si="103"/>
        <v>0</v>
      </c>
      <c r="X270" s="154">
        <f t="shared" ca="1" si="104"/>
        <v>0</v>
      </c>
      <c r="Y270" s="155" t="s">
        <v>583</v>
      </c>
      <c r="Z270" t="str">
        <f t="shared" ca="1" si="105"/>
        <v/>
      </c>
      <c r="AA270" s="156">
        <f ca="1">IF($C270="S",IF($Z270="CP",$X270,IF($Z270="RA",(($X270)*QCI!$AA$3),0)),SomaAgrup)</f>
        <v>0</v>
      </c>
      <c r="AB270" s="157">
        <f t="shared" ca="1" si="106"/>
        <v>0</v>
      </c>
      <c r="AC270" s="158" t="str">
        <f t="shared" ca="1" si="107"/>
        <v/>
      </c>
      <c r="AD270" s="104" t="str">
        <f ca="1">IF(C270&lt;=CRONO.NivelExibicao,MAX($AD$15:OFFSET(AD270,-1,0))+IF($C270&lt;&gt;1,1,MAX(1,COUNTIF(QCI!$A$13:$A$24,OFFSET($E270,-1,0)))),"")</f>
        <v/>
      </c>
      <c r="AE270" s="114" t="str">
        <f t="shared" ca="1" si="108"/>
        <v>SINAPI 94991</v>
      </c>
      <c r="AF270" s="159" t="str">
        <f t="shared" ca="1" si="109"/>
        <v>(abra o arquivo 'Referência 05-2024.xls)</v>
      </c>
      <c r="AG270" s="579">
        <f t="shared" ca="1" si="110"/>
        <v>0</v>
      </c>
      <c r="AH270" s="580">
        <f t="shared" ca="1" si="111"/>
        <v>0.22470000000000001</v>
      </c>
      <c r="AJ270" s="582">
        <v>57.24</v>
      </c>
      <c r="AL270" s="612"/>
      <c r="AM270" s="430">
        <f t="shared" ca="1" si="112"/>
        <v>0</v>
      </c>
      <c r="AN270" s="655">
        <f t="shared" ca="1" si="113"/>
        <v>0</v>
      </c>
    </row>
    <row r="271" spans="1:40" ht="13.8" x14ac:dyDescent="0.3">
      <c r="A271" t="str">
        <f t="shared" ref="A271:A330" si="126">CHOOSE(1+LOG(1+2*(ORÇAMENTO.Nivel="Meta")+4*(ORÇAMENTO.Nivel="Nível 2")+8*(ORÇAMENTO.Nivel="Nível 3")+16*(ORÇAMENTO.Nivel="Nível 4")+32*(ORÇAMENTO.Nivel="Serviço"),2),0,1,2,3,4,"S")</f>
        <v>S</v>
      </c>
      <c r="B271">
        <f t="shared" ref="B271:B330" ca="1" si="127">IF(OR(C271="s",C271=0),OFFSET(B271,-1,0),C271)</f>
        <v>3</v>
      </c>
      <c r="C271" t="str">
        <f t="shared" ref="C271:C330" ca="1" si="128">IF(OFFSET(C271,-1,0)="L",1,IF(OFFSET(C271,-1,0)=1,2,IF(OR(A271="s",A271=0),"S",IF(AND(OFFSET(C271,-1,0)=2,A271=4),3,IF(AND(OR(OFFSET(C271,-1,0)="s",OFFSET(C271,-1,0)=0),A271&lt;&gt;"s",A271&gt;OFFSET(B271,-1,0)),OFFSET(B271,-1,0),A271)))))</f>
        <v>S</v>
      </c>
      <c r="D271">
        <f t="shared" ref="D271:D330" ca="1" si="129">IF(OR(C271="S",C271=0),0,IF(ISERROR(K271),J271,SMALL(J271:K271,1)))</f>
        <v>0</v>
      </c>
      <c r="E271">
        <f ca="1">IF($C271=1,OFFSET(E271,-1,0)+MAX(1,COUNTIF(QCI!$A$13:$A$24,OFFSET(ORÇAMENTO!E271,-1,0))),OFFSET(E271,-1,0))</f>
        <v>1</v>
      </c>
      <c r="F271">
        <f t="shared" ref="F271:F330" ca="1" si="130">IF($C271=1,0,IF($C271=2,OFFSET(F271,-1,0)+1,OFFSET(F271,-1,0)))</f>
        <v>10</v>
      </c>
      <c r="G271">
        <f t="shared" ref="G271:G330" ca="1" si="131">IF(AND($C271&lt;=2,$C271&lt;&gt;0),0,IF($C271=3,OFFSET(G271,-1,0)+1,OFFSET(G271,-1,0)))</f>
        <v>2</v>
      </c>
      <c r="H271">
        <f t="shared" ref="H271:H330" ca="1" si="132">IF(AND($C271&lt;=3,$C271&lt;&gt;0),0,IF($C271=4,OFFSET(H271,-1,0)+1,OFFSET(H271,-1,0)))</f>
        <v>0</v>
      </c>
      <c r="I271">
        <f t="shared" ref="I271:I330" ca="1" si="133">IF(AND($C271&lt;=4,$C271&lt;&gt;0),0,IF(AND($C271="S",$X271&gt;0),OFFSET(I271,-1,0)+1,OFFSET(I271,-1,0)))</f>
        <v>0</v>
      </c>
      <c r="J271">
        <f t="shared" ca="1" si="114"/>
        <v>0</v>
      </c>
      <c r="K271">
        <f ca="1">IF(OR($C271="S",$C271=0),0,MATCH(OFFSET($D271,0,$C271)+IF($C271&lt;&gt;1,1,COUNTIF(QCI!$A$13:$A$24,ORÇAMENTO!E271)),OFFSET($D271,1,$C271,ROW($C$710)-ROW($C271)),0))</f>
        <v>0</v>
      </c>
      <c r="L271" s="143" t="str">
        <f t="shared" ref="L271:L330" ca="1" si="134">IF(OR($X271&gt;0,$C271=1,$C271=2,$C271=3,$C271=4),"F","")</f>
        <v/>
      </c>
      <c r="M271" s="144" t="s">
        <v>201</v>
      </c>
      <c r="N271" s="145" t="str">
        <f t="shared" ref="N271:N330" ca="1" si="135">CHOOSE(1+LOG(1+2*(C271=1)+4*(C271=2)+8*(C271=3)+16*(C271=4)+32*(C271="S"),2),"","Meta","Nível 2","Nível 3","Nível 4","Serviço")</f>
        <v>Serviço</v>
      </c>
      <c r="O271" s="146" t="str">
        <f t="shared" ref="O271:O330" ca="1" si="136">IF(OR($C271=0,$L271=""),"-",CONCATENATE(E271&amp;".",IF(AND($A$5&gt;=2,$C271&gt;=2),F271&amp;".",""),IF(AND($A$5&gt;=3,$C271&gt;=3),G271&amp;".",""),IF(AND($A$5&gt;=4,$C271&gt;=4),H271&amp;".",""),IF($C271="S",I271&amp;".","")))</f>
        <v>-</v>
      </c>
      <c r="P271" s="147" t="s">
        <v>249</v>
      </c>
      <c r="Q271" s="148">
        <v>87700</v>
      </c>
      <c r="R271" s="149" t="str">
        <f t="shared" ca="1" si="124"/>
        <v>(abra o arquivo 'Referência 05-2024.xls)</v>
      </c>
      <c r="S271" s="150" t="str">
        <f t="shared" ca="1" si="125"/>
        <v>-</v>
      </c>
      <c r="T271" s="151">
        <f ca="1">OFFSET(CÁLCULO!H$15,ROW($T271)-ROW(T$15),0)</f>
        <v>156.84</v>
      </c>
      <c r="U271" s="152">
        <f t="shared" ca="1" si="115"/>
        <v>0</v>
      </c>
      <c r="V271" s="153" t="s">
        <v>158</v>
      </c>
      <c r="W271" s="151">
        <f t="shared" ref="W271:W330" ca="1" si="137">IF($C271="S",ROUND(IF(TIPOORCAMENTO="Proposto",ORÇAMENTO.CustoUnitario*(1+$AH271),ORÇAMENTO.PrecoUnitarioLicitado),15-13*$AF$10),0)</f>
        <v>0</v>
      </c>
      <c r="X271" s="154">
        <f t="shared" ref="X271:X330" ca="1" si="138">IF($C271="S",VTOTAL1,IF($C271=0,0,ROUND(SomaAgrup,15-13*$AF$11)))</f>
        <v>0</v>
      </c>
      <c r="Y271" s="155" t="s">
        <v>583</v>
      </c>
      <c r="Z271" t="str">
        <f t="shared" ref="Z271:Z330" ca="1" si="139">IF(AND($C271="S",$X271&gt;0),IF(ISBLANK($Y271),"RA",LEFT($Y271,2)),"")</f>
        <v/>
      </c>
      <c r="AA271" s="156">
        <f ca="1">IF($C271="S",IF($Z271="CP",$X271,IF($Z271="RA",(($X271)*QCI!$AA$3),0)),SomaAgrup)</f>
        <v>0</v>
      </c>
      <c r="AB271" s="157">
        <f t="shared" ref="AB271:AB330" ca="1" si="140">IF($C271="S",IF($Z271="OU",ROUND($X271,2),0),SomaAgrup)</f>
        <v>0</v>
      </c>
      <c r="AC271" s="158" t="str">
        <f t="shared" ref="AC271:AC330" ca="1" si="141">IF($N271="","",IF(ORÇAMENTO.Descricao="","DESCRIÇÃO",IF(AND($C271="S",ORÇAMENTO.Unidade=""),"UNIDADE",IF($X271&lt;0,"VALOR NEGATIVO",IF(OR(AND(TIPOORCAMENTO="Proposto",$AG271&lt;&gt;"",$AG271&gt;0,ORÇAMENTO.CustoUnitario&gt;$AG271),AND(TIPOORCAMENTO="LICITADO",ORÇAMENTO.PrecoUnitarioLicitado&gt;$AN271)),"ACIMA REF.","")))))</f>
        <v/>
      </c>
      <c r="AD271" s="104" t="str">
        <f ca="1">IF(C271&lt;=CRONO.NivelExibicao,MAX($AD$15:OFFSET(AD271,-1,0))+IF($C271&lt;&gt;1,1,MAX(1,COUNTIF(QCI!$A$13:$A$24,OFFSET($E271,-1,0)))),"")</f>
        <v/>
      </c>
      <c r="AE271" s="114" t="str">
        <f t="shared" ref="AE271:AE330" ca="1" si="142">IF(AND($C271="S",ORÇAMENTO.CodBarra&lt;&gt;""),IF(ORÇAMENTO.Fonte="",ORÇAMENTO.CodBarra,CONCATENATE(ORÇAMENTO.Fonte," ",ORÇAMENTO.CodBarra)))</f>
        <v>SINAPI 87700</v>
      </c>
      <c r="AF271" s="159" t="str">
        <f t="shared" ref="AF271:AF330" ca="1" si="143">IF(ISERROR(INDIRECT(ORÇAMENTO.BancoRef)),"(abra o arquivo 'Referência "&amp;Excel_BuiltIn_Database&amp;".xls)",IF(OR($C271&lt;&gt;"S",ORÇAMENTO.CodBarra=""),"(Sem Código)",IF(ISERROR(MATCH($AE271,INDIRECT(ORÇAMENTO.BancoRef),0)),"(Código não identificado nas referências)",MATCH($AE271,INDIRECT(ORÇAMENTO.BancoRef),0))))</f>
        <v>(abra o arquivo 'Referência 05-2024.xls)</v>
      </c>
      <c r="AG271" s="579">
        <f t="shared" ref="AG271:AG330" ca="1" si="144">ROUND(IF(DESONERACAO="sim",REFERENCIA.Desonerado,REFERENCIA.NaoDesonerado),2)</f>
        <v>0</v>
      </c>
      <c r="AH271" s="580">
        <f t="shared" ref="AH271:AH330" ca="1" si="145">ROUND(IF(ISNUMBER(ORÇAMENTO.OpcaoBDI),ORÇAMENTO.OpcaoBDI,IF(LEFT(ORÇAMENTO.OpcaoBDI,3)="BDI",HLOOKUP(ORÇAMENTO.OpcaoBDI,$F$4:$H$5,2,FALSE),0)),15-11*$AF$9)</f>
        <v>0.22470000000000001</v>
      </c>
      <c r="AJ271" s="582">
        <v>156.84</v>
      </c>
      <c r="AL271" s="612"/>
      <c r="AM271" s="430">
        <f t="shared" ref="AM271:AM330" ca="1" si="146">$X271</f>
        <v>0</v>
      </c>
      <c r="AN271" s="655">
        <f t="shared" ref="AN271:AN330" ca="1" si="147">ROUND(ORÇAMENTO.CustoUnitario*(1+$AH271),2)</f>
        <v>0</v>
      </c>
    </row>
    <row r="272" spans="1:40" ht="13.8" x14ac:dyDescent="0.3">
      <c r="A272" t="str">
        <f t="shared" si="126"/>
        <v>S</v>
      </c>
      <c r="B272">
        <f t="shared" ca="1" si="127"/>
        <v>3</v>
      </c>
      <c r="C272" t="str">
        <f t="shared" ca="1" si="128"/>
        <v>S</v>
      </c>
      <c r="D272">
        <f t="shared" ca="1" si="129"/>
        <v>0</v>
      </c>
      <c r="E272">
        <f ca="1">IF($C272=1,OFFSET(E272,-1,0)+MAX(1,COUNTIF(QCI!$A$13:$A$24,OFFSET(ORÇAMENTO!E272,-1,0))),OFFSET(E272,-1,0))</f>
        <v>1</v>
      </c>
      <c r="F272">
        <f t="shared" ca="1" si="130"/>
        <v>10</v>
      </c>
      <c r="G272">
        <f t="shared" ca="1" si="131"/>
        <v>2</v>
      </c>
      <c r="H272">
        <f t="shared" ca="1" si="132"/>
        <v>0</v>
      </c>
      <c r="I272">
        <f t="shared" ca="1" si="133"/>
        <v>0</v>
      </c>
      <c r="J272">
        <f t="shared" ref="J272:J335" ca="1" si="148">IF(OR($C272="S",$C272=0),0,MATCH(0,OFFSET($D272,1,$C272,ROW($C$710)-ROW($C272)),0))</f>
        <v>0</v>
      </c>
      <c r="K272">
        <f ca="1">IF(OR($C272="S",$C272=0),0,MATCH(OFFSET($D272,0,$C272)+IF($C272&lt;&gt;1,1,COUNTIF(QCI!$A$13:$A$24,ORÇAMENTO!E272)),OFFSET($D272,1,$C272,ROW($C$710)-ROW($C272)),0))</f>
        <v>0</v>
      </c>
      <c r="L272" s="143" t="str">
        <f t="shared" ca="1" si="134"/>
        <v/>
      </c>
      <c r="M272" s="144" t="s">
        <v>201</v>
      </c>
      <c r="N272" s="145" t="str">
        <f t="shared" ca="1" si="135"/>
        <v>Serviço</v>
      </c>
      <c r="O272" s="146" t="str">
        <f t="shared" ca="1" si="136"/>
        <v>-</v>
      </c>
      <c r="P272" s="147" t="s">
        <v>249</v>
      </c>
      <c r="Q272" s="148">
        <v>98680</v>
      </c>
      <c r="R272" s="149" t="str">
        <f t="shared" ca="1" si="124"/>
        <v>(abra o arquivo 'Referência 05-2024.xls)</v>
      </c>
      <c r="S272" s="150" t="str">
        <f t="shared" ca="1" si="125"/>
        <v>-</v>
      </c>
      <c r="T272" s="151">
        <f ca="1">OFFSET(CÁLCULO!H$15,ROW($T272)-ROW(T$15),0)</f>
        <v>157.84</v>
      </c>
      <c r="U272" s="152">
        <f t="shared" ca="1" si="115"/>
        <v>0</v>
      </c>
      <c r="V272" s="153" t="s">
        <v>158</v>
      </c>
      <c r="W272" s="151">
        <f t="shared" ca="1" si="137"/>
        <v>0</v>
      </c>
      <c r="X272" s="154">
        <f t="shared" ca="1" si="138"/>
        <v>0</v>
      </c>
      <c r="Y272" s="155" t="s">
        <v>583</v>
      </c>
      <c r="Z272" t="str">
        <f t="shared" ca="1" si="139"/>
        <v/>
      </c>
      <c r="AA272" s="156">
        <f ca="1">IF($C272="S",IF($Z272="CP",$X272,IF($Z272="RA",(($X272)*QCI!$AA$3),0)),SomaAgrup)</f>
        <v>0</v>
      </c>
      <c r="AB272" s="157">
        <f t="shared" ca="1" si="140"/>
        <v>0</v>
      </c>
      <c r="AC272" s="158" t="str">
        <f t="shared" ca="1" si="141"/>
        <v/>
      </c>
      <c r="AD272" s="104" t="str">
        <f ca="1">IF(C272&lt;=CRONO.NivelExibicao,MAX($AD$15:OFFSET(AD272,-1,0))+IF($C272&lt;&gt;1,1,MAX(1,COUNTIF(QCI!$A$13:$A$24,OFFSET($E272,-1,0)))),"")</f>
        <v/>
      </c>
      <c r="AE272" s="114" t="str">
        <f t="shared" ca="1" si="142"/>
        <v>SINAPI 98680</v>
      </c>
      <c r="AF272" s="159" t="str">
        <f t="shared" ca="1" si="143"/>
        <v>(abra o arquivo 'Referência 05-2024.xls)</v>
      </c>
      <c r="AG272" s="579">
        <f t="shared" ca="1" si="144"/>
        <v>0</v>
      </c>
      <c r="AH272" s="580">
        <f t="shared" ca="1" si="145"/>
        <v>0.22470000000000001</v>
      </c>
      <c r="AJ272" s="582">
        <v>157.84</v>
      </c>
      <c r="AL272" s="612"/>
      <c r="AM272" s="430">
        <f t="shared" ca="1" si="146"/>
        <v>0</v>
      </c>
      <c r="AN272" s="655">
        <f t="shared" ca="1" si="147"/>
        <v>0</v>
      </c>
    </row>
    <row r="273" spans="1:40" ht="13.8" x14ac:dyDescent="0.3">
      <c r="A273" t="str">
        <f t="shared" si="126"/>
        <v>S</v>
      </c>
      <c r="B273">
        <f t="shared" ca="1" si="127"/>
        <v>3</v>
      </c>
      <c r="C273" t="str">
        <f t="shared" ca="1" si="128"/>
        <v>S</v>
      </c>
      <c r="D273">
        <f t="shared" ca="1" si="129"/>
        <v>0</v>
      </c>
      <c r="E273">
        <f ca="1">IF($C273=1,OFFSET(E273,-1,0)+MAX(1,COUNTIF(QCI!$A$13:$A$24,OFFSET(ORÇAMENTO!E273,-1,0))),OFFSET(E273,-1,0))</f>
        <v>1</v>
      </c>
      <c r="F273">
        <f t="shared" ca="1" si="130"/>
        <v>10</v>
      </c>
      <c r="G273">
        <f t="shared" ca="1" si="131"/>
        <v>2</v>
      </c>
      <c r="H273">
        <f t="shared" ca="1" si="132"/>
        <v>0</v>
      </c>
      <c r="I273">
        <f t="shared" ca="1" si="133"/>
        <v>0</v>
      </c>
      <c r="J273">
        <f t="shared" ca="1" si="148"/>
        <v>0</v>
      </c>
      <c r="K273">
        <f ca="1">IF(OR($C273="S",$C273=0),0,MATCH(OFFSET($D273,0,$C273)+IF($C273&lt;&gt;1,1,COUNTIF(QCI!$A$13:$A$24,ORÇAMENTO!E273)),OFFSET($D273,1,$C273,ROW($C$710)-ROW($C273)),0))</f>
        <v>0</v>
      </c>
      <c r="L273" s="143" t="str">
        <f t="shared" ca="1" si="134"/>
        <v/>
      </c>
      <c r="M273" s="144" t="s">
        <v>201</v>
      </c>
      <c r="N273" s="145" t="str">
        <f t="shared" ca="1" si="135"/>
        <v>Serviço</v>
      </c>
      <c r="O273" s="146" t="str">
        <f t="shared" ca="1" si="136"/>
        <v>-</v>
      </c>
      <c r="P273" s="147" t="s">
        <v>249</v>
      </c>
      <c r="Q273" s="148">
        <v>102494</v>
      </c>
      <c r="R273" s="149" t="str">
        <f t="shared" ca="1" si="124"/>
        <v>(abra o arquivo 'Referência 05-2024.xls)</v>
      </c>
      <c r="S273" s="150" t="str">
        <f t="shared" ca="1" si="125"/>
        <v>-</v>
      </c>
      <c r="T273" s="151">
        <f ca="1">OFFSET(CÁLCULO!H$15,ROW($T273)-ROW(T$15),0)</f>
        <v>416</v>
      </c>
      <c r="U273" s="152">
        <f t="shared" ca="1" si="115"/>
        <v>0</v>
      </c>
      <c r="V273" s="153" t="s">
        <v>158</v>
      </c>
      <c r="W273" s="151">
        <f t="shared" ca="1" si="137"/>
        <v>0</v>
      </c>
      <c r="X273" s="154">
        <f t="shared" ca="1" si="138"/>
        <v>0</v>
      </c>
      <c r="Y273" s="155" t="s">
        <v>583</v>
      </c>
      <c r="Z273" t="str">
        <f t="shared" ca="1" si="139"/>
        <v/>
      </c>
      <c r="AA273" s="156">
        <f ca="1">IF($C273="S",IF($Z273="CP",$X273,IF($Z273="RA",(($X273)*QCI!$AA$3),0)),SomaAgrup)</f>
        <v>0</v>
      </c>
      <c r="AB273" s="157">
        <f t="shared" ca="1" si="140"/>
        <v>0</v>
      </c>
      <c r="AC273" s="158" t="str">
        <f t="shared" ca="1" si="141"/>
        <v/>
      </c>
      <c r="AD273" s="104" t="str">
        <f ca="1">IF(C273&lt;=CRONO.NivelExibicao,MAX($AD$15:OFFSET(AD273,-1,0))+IF($C273&lt;&gt;1,1,MAX(1,COUNTIF(QCI!$A$13:$A$24,OFFSET($E273,-1,0)))),"")</f>
        <v/>
      </c>
      <c r="AE273" s="114" t="str">
        <f t="shared" ca="1" si="142"/>
        <v>SINAPI 102494</v>
      </c>
      <c r="AF273" s="159" t="str">
        <f t="shared" ca="1" si="143"/>
        <v>(abra o arquivo 'Referência 05-2024.xls)</v>
      </c>
      <c r="AG273" s="579">
        <f t="shared" ca="1" si="144"/>
        <v>0</v>
      </c>
      <c r="AH273" s="580">
        <f t="shared" ca="1" si="145"/>
        <v>0.22470000000000001</v>
      </c>
      <c r="AJ273" s="582">
        <v>416</v>
      </c>
      <c r="AL273" s="612"/>
      <c r="AM273" s="430">
        <f t="shared" ca="1" si="146"/>
        <v>0</v>
      </c>
      <c r="AN273" s="655">
        <f t="shared" ca="1" si="147"/>
        <v>0</v>
      </c>
    </row>
    <row r="274" spans="1:40" ht="13.8" x14ac:dyDescent="0.3">
      <c r="A274" t="str">
        <f t="shared" si="126"/>
        <v>S</v>
      </c>
      <c r="B274">
        <f t="shared" ca="1" si="127"/>
        <v>3</v>
      </c>
      <c r="C274" t="str">
        <f t="shared" ca="1" si="128"/>
        <v>S</v>
      </c>
      <c r="D274">
        <f t="shared" ca="1" si="129"/>
        <v>0</v>
      </c>
      <c r="E274">
        <f ca="1">IF($C274=1,OFFSET(E274,-1,0)+MAX(1,COUNTIF(QCI!$A$13:$A$24,OFFSET(ORÇAMENTO!E274,-1,0))),OFFSET(E274,-1,0))</f>
        <v>1</v>
      </c>
      <c r="F274">
        <f t="shared" ca="1" si="130"/>
        <v>10</v>
      </c>
      <c r="G274">
        <f t="shared" ca="1" si="131"/>
        <v>2</v>
      </c>
      <c r="H274">
        <f t="shared" ca="1" si="132"/>
        <v>0</v>
      </c>
      <c r="I274">
        <f t="shared" ca="1" si="133"/>
        <v>0</v>
      </c>
      <c r="J274">
        <f t="shared" ca="1" si="148"/>
        <v>0</v>
      </c>
      <c r="K274">
        <f ca="1">IF(OR($C274="S",$C274=0),0,MATCH(OFFSET($D274,0,$C274)+IF($C274&lt;&gt;1,1,COUNTIF(QCI!$A$13:$A$24,ORÇAMENTO!E274)),OFFSET($D274,1,$C274,ROW($C$710)-ROW($C274)),0))</f>
        <v>0</v>
      </c>
      <c r="L274" s="143" t="str">
        <f t="shared" ca="1" si="134"/>
        <v/>
      </c>
      <c r="M274" s="144" t="s">
        <v>201</v>
      </c>
      <c r="N274" s="145" t="str">
        <f t="shared" ca="1" si="135"/>
        <v>Serviço</v>
      </c>
      <c r="O274" s="146" t="str">
        <f t="shared" ca="1" si="136"/>
        <v>-</v>
      </c>
      <c r="P274" s="147" t="s">
        <v>249</v>
      </c>
      <c r="Q274" s="148">
        <v>92396</v>
      </c>
      <c r="R274" s="149" t="str">
        <f t="shared" ca="1" si="124"/>
        <v>(abra o arquivo 'Referência 05-2024.xls)</v>
      </c>
      <c r="S274" s="150" t="str">
        <f t="shared" ca="1" si="125"/>
        <v>-</v>
      </c>
      <c r="T274" s="151">
        <f ca="1">OFFSET(CÁLCULO!H$15,ROW($T274)-ROW(T$15),0)</f>
        <v>135.94999999999999</v>
      </c>
      <c r="U274" s="152">
        <f t="shared" ref="U274:U333" ca="1" si="149">AG274</f>
        <v>0</v>
      </c>
      <c r="V274" s="153" t="s">
        <v>158</v>
      </c>
      <c r="W274" s="151">
        <f t="shared" ca="1" si="137"/>
        <v>0</v>
      </c>
      <c r="X274" s="154">
        <f t="shared" ca="1" si="138"/>
        <v>0</v>
      </c>
      <c r="Y274" s="155" t="s">
        <v>583</v>
      </c>
      <c r="Z274" t="str">
        <f t="shared" ca="1" si="139"/>
        <v/>
      </c>
      <c r="AA274" s="156">
        <f ca="1">IF($C274="S",IF($Z274="CP",$X274,IF($Z274="RA",(($X274)*QCI!$AA$3),0)),SomaAgrup)</f>
        <v>0</v>
      </c>
      <c r="AB274" s="157">
        <f t="shared" ca="1" si="140"/>
        <v>0</v>
      </c>
      <c r="AC274" s="158" t="str">
        <f t="shared" ca="1" si="141"/>
        <v/>
      </c>
      <c r="AD274" s="104" t="str">
        <f ca="1">IF(C274&lt;=CRONO.NivelExibicao,MAX($AD$15:OFFSET(AD274,-1,0))+IF($C274&lt;&gt;1,1,MAX(1,COUNTIF(QCI!$A$13:$A$24,OFFSET($E274,-1,0)))),"")</f>
        <v/>
      </c>
      <c r="AE274" s="114" t="str">
        <f t="shared" ca="1" si="142"/>
        <v>SINAPI 92396</v>
      </c>
      <c r="AF274" s="159" t="str">
        <f t="shared" ca="1" si="143"/>
        <v>(abra o arquivo 'Referência 05-2024.xls)</v>
      </c>
      <c r="AG274" s="579">
        <f t="shared" ca="1" si="144"/>
        <v>0</v>
      </c>
      <c r="AH274" s="580">
        <f t="shared" ca="1" si="145"/>
        <v>0.22470000000000001</v>
      </c>
      <c r="AJ274" s="582">
        <v>135.94999999999999</v>
      </c>
      <c r="AL274" s="612"/>
      <c r="AM274" s="430">
        <f t="shared" ca="1" si="146"/>
        <v>0</v>
      </c>
      <c r="AN274" s="655">
        <f t="shared" ca="1" si="147"/>
        <v>0</v>
      </c>
    </row>
    <row r="275" spans="1:40" ht="13.8" x14ac:dyDescent="0.3">
      <c r="A275" t="str">
        <f t="shared" si="126"/>
        <v>S</v>
      </c>
      <c r="B275">
        <f t="shared" ca="1" si="127"/>
        <v>3</v>
      </c>
      <c r="C275" t="str">
        <f t="shared" ca="1" si="128"/>
        <v>S</v>
      </c>
      <c r="D275">
        <f t="shared" ca="1" si="129"/>
        <v>0</v>
      </c>
      <c r="E275">
        <f ca="1">IF($C275=1,OFFSET(E275,-1,0)+MAX(1,COUNTIF(QCI!$A$13:$A$24,OFFSET(ORÇAMENTO!E275,-1,0))),OFFSET(E275,-1,0))</f>
        <v>1</v>
      </c>
      <c r="F275">
        <f t="shared" ca="1" si="130"/>
        <v>10</v>
      </c>
      <c r="G275">
        <f t="shared" ca="1" si="131"/>
        <v>2</v>
      </c>
      <c r="H275">
        <f t="shared" ca="1" si="132"/>
        <v>0</v>
      </c>
      <c r="I275">
        <f t="shared" ca="1" si="133"/>
        <v>0</v>
      </c>
      <c r="J275">
        <f t="shared" ca="1" si="148"/>
        <v>0</v>
      </c>
      <c r="K275">
        <f ca="1">IF(OR($C275="S",$C275=0),0,MATCH(OFFSET($D275,0,$C275)+IF($C275&lt;&gt;1,1,COUNTIF(QCI!$A$13:$A$24,ORÇAMENTO!E275)),OFFSET($D275,1,$C275,ROW($C$710)-ROW($C275)),0))</f>
        <v>0</v>
      </c>
      <c r="L275" s="143" t="str">
        <f t="shared" ca="1" si="134"/>
        <v/>
      </c>
      <c r="M275" s="144" t="s">
        <v>201</v>
      </c>
      <c r="N275" s="145" t="str">
        <f t="shared" ca="1" si="135"/>
        <v>Serviço</v>
      </c>
      <c r="O275" s="146" t="str">
        <f t="shared" ca="1" si="136"/>
        <v>-</v>
      </c>
      <c r="P275" s="147" t="s">
        <v>249</v>
      </c>
      <c r="Q275" s="148">
        <v>92391</v>
      </c>
      <c r="R275" s="149" t="str">
        <f t="shared" ca="1" si="124"/>
        <v>(abra o arquivo 'Referência 05-2024.xls)</v>
      </c>
      <c r="S275" s="150" t="str">
        <f t="shared" ca="1" si="125"/>
        <v>-</v>
      </c>
      <c r="T275" s="151">
        <f ca="1">OFFSET(CÁLCULO!H$15,ROW($T275)-ROW(T$15),0)</f>
        <v>95.12</v>
      </c>
      <c r="U275" s="152">
        <f t="shared" ca="1" si="149"/>
        <v>0</v>
      </c>
      <c r="V275" s="153" t="s">
        <v>158</v>
      </c>
      <c r="W275" s="151">
        <f t="shared" ca="1" si="137"/>
        <v>0</v>
      </c>
      <c r="X275" s="154">
        <f t="shared" ca="1" si="138"/>
        <v>0</v>
      </c>
      <c r="Y275" s="155" t="s">
        <v>583</v>
      </c>
      <c r="Z275" t="str">
        <f t="shared" ca="1" si="139"/>
        <v/>
      </c>
      <c r="AA275" s="156">
        <f ca="1">IF($C275="S",IF($Z275="CP",$X275,IF($Z275="RA",(($X275)*QCI!$AA$3),0)),SomaAgrup)</f>
        <v>0</v>
      </c>
      <c r="AB275" s="157">
        <f t="shared" ca="1" si="140"/>
        <v>0</v>
      </c>
      <c r="AC275" s="158" t="str">
        <f t="shared" ca="1" si="141"/>
        <v/>
      </c>
      <c r="AD275" s="104" t="str">
        <f ca="1">IF(C275&lt;=CRONO.NivelExibicao,MAX($AD$15:OFFSET(AD275,-1,0))+IF($C275&lt;&gt;1,1,MAX(1,COUNTIF(QCI!$A$13:$A$24,OFFSET($E275,-1,0)))),"")</f>
        <v/>
      </c>
      <c r="AE275" s="114" t="str">
        <f t="shared" ca="1" si="142"/>
        <v>SINAPI 92391</v>
      </c>
      <c r="AF275" s="159" t="str">
        <f t="shared" ca="1" si="143"/>
        <v>(abra o arquivo 'Referência 05-2024.xls)</v>
      </c>
      <c r="AG275" s="579">
        <f t="shared" ca="1" si="144"/>
        <v>0</v>
      </c>
      <c r="AH275" s="580">
        <f t="shared" ca="1" si="145"/>
        <v>0.22470000000000001</v>
      </c>
      <c r="AJ275" s="582">
        <v>95.12</v>
      </c>
      <c r="AL275" s="612"/>
      <c r="AM275" s="430">
        <f t="shared" ca="1" si="146"/>
        <v>0</v>
      </c>
      <c r="AN275" s="655">
        <f t="shared" ca="1" si="147"/>
        <v>0</v>
      </c>
    </row>
    <row r="276" spans="1:40" ht="13.8" x14ac:dyDescent="0.3">
      <c r="A276" t="str">
        <f t="shared" si="126"/>
        <v>S</v>
      </c>
      <c r="B276">
        <f t="shared" ca="1" si="127"/>
        <v>3</v>
      </c>
      <c r="C276" t="str">
        <f t="shared" ca="1" si="128"/>
        <v>S</v>
      </c>
      <c r="D276">
        <f t="shared" ca="1" si="129"/>
        <v>0</v>
      </c>
      <c r="E276">
        <f ca="1">IF($C276=1,OFFSET(E276,-1,0)+MAX(1,COUNTIF(QCI!$A$13:$A$24,OFFSET(ORÇAMENTO!E276,-1,0))),OFFSET(E276,-1,0))</f>
        <v>1</v>
      </c>
      <c r="F276">
        <f t="shared" ca="1" si="130"/>
        <v>10</v>
      </c>
      <c r="G276">
        <f t="shared" ca="1" si="131"/>
        <v>2</v>
      </c>
      <c r="H276">
        <f t="shared" ca="1" si="132"/>
        <v>0</v>
      </c>
      <c r="I276">
        <f t="shared" ca="1" si="133"/>
        <v>0</v>
      </c>
      <c r="J276">
        <f t="shared" ca="1" si="148"/>
        <v>0</v>
      </c>
      <c r="K276">
        <f ca="1">IF(OR($C276="S",$C276=0),0,MATCH(OFFSET($D276,0,$C276)+IF($C276&lt;&gt;1,1,COUNTIF(QCI!$A$13:$A$24,ORÇAMENTO!E276)),OFFSET($D276,1,$C276,ROW($C$710)-ROW($C276)),0))</f>
        <v>0</v>
      </c>
      <c r="L276" s="143" t="str">
        <f t="shared" ca="1" si="134"/>
        <v/>
      </c>
      <c r="M276" s="144" t="s">
        <v>201</v>
      </c>
      <c r="N276" s="145" t="str">
        <f t="shared" ca="1" si="135"/>
        <v>Serviço</v>
      </c>
      <c r="O276" s="146" t="str">
        <f t="shared" ca="1" si="136"/>
        <v>-</v>
      </c>
      <c r="P276" s="147" t="s">
        <v>249</v>
      </c>
      <c r="Q276" s="148">
        <v>101094</v>
      </c>
      <c r="R276" s="149" t="str">
        <f t="shared" ca="1" si="124"/>
        <v>(abra o arquivo 'Referência 05-2024.xls)</v>
      </c>
      <c r="S276" s="150" t="str">
        <f t="shared" ca="1" si="125"/>
        <v>-</v>
      </c>
      <c r="T276" s="151">
        <f ca="1">OFFSET(CÁLCULO!H$15,ROW($T276)-ROW(T$15),0)</f>
        <v>98.5</v>
      </c>
      <c r="U276" s="152">
        <f t="shared" ca="1" si="149"/>
        <v>0</v>
      </c>
      <c r="V276" s="153" t="s">
        <v>158</v>
      </c>
      <c r="W276" s="151">
        <f t="shared" ca="1" si="137"/>
        <v>0</v>
      </c>
      <c r="X276" s="154">
        <f t="shared" ca="1" si="138"/>
        <v>0</v>
      </c>
      <c r="Y276" s="155" t="s">
        <v>583</v>
      </c>
      <c r="Z276" t="str">
        <f t="shared" ca="1" si="139"/>
        <v/>
      </c>
      <c r="AA276" s="156">
        <f ca="1">IF($C276="S",IF($Z276="CP",$X276,IF($Z276="RA",(($X276)*QCI!$AA$3),0)),SomaAgrup)</f>
        <v>0</v>
      </c>
      <c r="AB276" s="157">
        <f t="shared" ca="1" si="140"/>
        <v>0</v>
      </c>
      <c r="AC276" s="158" t="str">
        <f t="shared" ca="1" si="141"/>
        <v/>
      </c>
      <c r="AD276" s="104" t="str">
        <f ca="1">IF(C276&lt;=CRONO.NivelExibicao,MAX($AD$15:OFFSET(AD276,-1,0))+IF($C276&lt;&gt;1,1,MAX(1,COUNTIF(QCI!$A$13:$A$24,OFFSET($E276,-1,0)))),"")</f>
        <v/>
      </c>
      <c r="AE276" s="114" t="str">
        <f t="shared" ca="1" si="142"/>
        <v>SINAPI 101094</v>
      </c>
      <c r="AF276" s="159" t="str">
        <f t="shared" ca="1" si="143"/>
        <v>(abra o arquivo 'Referência 05-2024.xls)</v>
      </c>
      <c r="AG276" s="579">
        <f t="shared" ca="1" si="144"/>
        <v>0</v>
      </c>
      <c r="AH276" s="580">
        <f t="shared" ca="1" si="145"/>
        <v>0.22470000000000001</v>
      </c>
      <c r="AJ276" s="582">
        <v>98.5</v>
      </c>
      <c r="AL276" s="612"/>
      <c r="AM276" s="430">
        <f t="shared" ca="1" si="146"/>
        <v>0</v>
      </c>
      <c r="AN276" s="655">
        <f t="shared" ca="1" si="147"/>
        <v>0</v>
      </c>
    </row>
    <row r="277" spans="1:40" ht="13.8" x14ac:dyDescent="0.3">
      <c r="A277" t="str">
        <f t="shared" si="126"/>
        <v>S</v>
      </c>
      <c r="B277">
        <f t="shared" ca="1" si="127"/>
        <v>3</v>
      </c>
      <c r="C277" t="str">
        <f t="shared" ca="1" si="128"/>
        <v>S</v>
      </c>
      <c r="D277">
        <f t="shared" ca="1" si="129"/>
        <v>0</v>
      </c>
      <c r="E277">
        <f ca="1">IF($C277=1,OFFSET(E277,-1,0)+MAX(1,COUNTIF(QCI!$A$13:$A$24,OFFSET(ORÇAMENTO!E277,-1,0))),OFFSET(E277,-1,0))</f>
        <v>1</v>
      </c>
      <c r="F277">
        <f t="shared" ca="1" si="130"/>
        <v>10</v>
      </c>
      <c r="G277">
        <f t="shared" ca="1" si="131"/>
        <v>2</v>
      </c>
      <c r="H277">
        <f t="shared" ca="1" si="132"/>
        <v>0</v>
      </c>
      <c r="I277">
        <f t="shared" ca="1" si="133"/>
        <v>0</v>
      </c>
      <c r="J277">
        <f t="shared" ca="1" si="148"/>
        <v>0</v>
      </c>
      <c r="K277">
        <f ca="1">IF(OR($C277="S",$C277=0),0,MATCH(OFFSET($D277,0,$C277)+IF($C277&lt;&gt;1,1,COUNTIF(QCI!$A$13:$A$24,ORÇAMENTO!E277)),OFFSET($D277,1,$C277,ROW($C$710)-ROW($C277)),0))</f>
        <v>0</v>
      </c>
      <c r="L277" s="143" t="str">
        <f t="shared" ca="1" si="134"/>
        <v/>
      </c>
      <c r="M277" s="144" t="s">
        <v>201</v>
      </c>
      <c r="N277" s="145" t="str">
        <f t="shared" ca="1" si="135"/>
        <v>Serviço</v>
      </c>
      <c r="O277" s="146" t="str">
        <f t="shared" ca="1" si="136"/>
        <v>-</v>
      </c>
      <c r="P277" s="147" t="s">
        <v>249</v>
      </c>
      <c r="Q277" s="148">
        <v>101094</v>
      </c>
      <c r="R277" s="149" t="str">
        <f t="shared" ca="1" si="124"/>
        <v>(abra o arquivo 'Referência 05-2024.xls)</v>
      </c>
      <c r="S277" s="150" t="str">
        <f t="shared" ca="1" si="125"/>
        <v>-</v>
      </c>
      <c r="T277" s="151">
        <f ca="1">OFFSET(CÁLCULO!H$15,ROW($T277)-ROW(T$15),0)</f>
        <v>29.5</v>
      </c>
      <c r="U277" s="152">
        <f t="shared" ca="1" si="149"/>
        <v>0</v>
      </c>
      <c r="V277" s="153" t="s">
        <v>158</v>
      </c>
      <c r="W277" s="151">
        <f t="shared" ca="1" si="137"/>
        <v>0</v>
      </c>
      <c r="X277" s="154">
        <f t="shared" ca="1" si="138"/>
        <v>0</v>
      </c>
      <c r="Y277" s="155" t="s">
        <v>583</v>
      </c>
      <c r="Z277" t="str">
        <f t="shared" ca="1" si="139"/>
        <v/>
      </c>
      <c r="AA277" s="156">
        <f ca="1">IF($C277="S",IF($Z277="CP",$X277,IF($Z277="RA",(($X277)*QCI!$AA$3),0)),SomaAgrup)</f>
        <v>0</v>
      </c>
      <c r="AB277" s="157">
        <f t="shared" ca="1" si="140"/>
        <v>0</v>
      </c>
      <c r="AC277" s="158" t="str">
        <f t="shared" ca="1" si="141"/>
        <v/>
      </c>
      <c r="AD277" s="104" t="str">
        <f ca="1">IF(C277&lt;=CRONO.NivelExibicao,MAX($AD$15:OFFSET(AD277,-1,0))+IF($C277&lt;&gt;1,1,MAX(1,COUNTIF(QCI!$A$13:$A$24,OFFSET($E277,-1,0)))),"")</f>
        <v/>
      </c>
      <c r="AE277" s="114" t="str">
        <f t="shared" ca="1" si="142"/>
        <v>SINAPI 101094</v>
      </c>
      <c r="AF277" s="159" t="str">
        <f t="shared" ca="1" si="143"/>
        <v>(abra o arquivo 'Referência 05-2024.xls)</v>
      </c>
      <c r="AG277" s="579">
        <f t="shared" ca="1" si="144"/>
        <v>0</v>
      </c>
      <c r="AH277" s="580">
        <f t="shared" ca="1" si="145"/>
        <v>0.22470000000000001</v>
      </c>
      <c r="AJ277" s="582">
        <v>29.5</v>
      </c>
      <c r="AL277" s="612"/>
      <c r="AM277" s="430">
        <f t="shared" ca="1" si="146"/>
        <v>0</v>
      </c>
      <c r="AN277" s="655">
        <f t="shared" ca="1" si="147"/>
        <v>0</v>
      </c>
    </row>
    <row r="278" spans="1:40" ht="13.8" x14ac:dyDescent="0.3">
      <c r="A278" t="str">
        <f t="shared" si="126"/>
        <v>S</v>
      </c>
      <c r="B278">
        <f t="shared" ca="1" si="127"/>
        <v>3</v>
      </c>
      <c r="C278" t="str">
        <f t="shared" ca="1" si="128"/>
        <v>S</v>
      </c>
      <c r="D278">
        <f t="shared" ca="1" si="129"/>
        <v>0</v>
      </c>
      <c r="E278">
        <f ca="1">IF($C278=1,OFFSET(E278,-1,0)+MAX(1,COUNTIF(QCI!$A$13:$A$24,OFFSET(ORÇAMENTO!E278,-1,0))),OFFSET(E278,-1,0))</f>
        <v>1</v>
      </c>
      <c r="F278">
        <f t="shared" ca="1" si="130"/>
        <v>10</v>
      </c>
      <c r="G278">
        <f t="shared" ca="1" si="131"/>
        <v>2</v>
      </c>
      <c r="H278">
        <f t="shared" ca="1" si="132"/>
        <v>0</v>
      </c>
      <c r="I278">
        <f t="shared" ca="1" si="133"/>
        <v>0</v>
      </c>
      <c r="J278">
        <f t="shared" ca="1" si="148"/>
        <v>0</v>
      </c>
      <c r="K278">
        <f ca="1">IF(OR($C278="S",$C278=0),0,MATCH(OFFSET($D278,0,$C278)+IF($C278&lt;&gt;1,1,COUNTIF(QCI!$A$13:$A$24,ORÇAMENTO!E278)),OFFSET($D278,1,$C278,ROW($C$710)-ROW($C278)),0))</f>
        <v>0</v>
      </c>
      <c r="L278" s="143" t="str">
        <f t="shared" ca="1" si="134"/>
        <v/>
      </c>
      <c r="M278" s="144" t="s">
        <v>201</v>
      </c>
      <c r="N278" s="145" t="str">
        <f t="shared" ca="1" si="135"/>
        <v>Serviço</v>
      </c>
      <c r="O278" s="146" t="str">
        <f t="shared" ca="1" si="136"/>
        <v>-</v>
      </c>
      <c r="P278" s="147" t="s">
        <v>249</v>
      </c>
      <c r="Q278" s="148">
        <v>101094</v>
      </c>
      <c r="R278" s="149" t="str">
        <f t="shared" ca="1" si="124"/>
        <v>(abra o arquivo 'Referência 05-2024.xls)</v>
      </c>
      <c r="S278" s="150" t="str">
        <f t="shared" ca="1" si="125"/>
        <v>-</v>
      </c>
      <c r="T278" s="151">
        <f ca="1">OFFSET(CÁLCULO!H$15,ROW($T278)-ROW(T$15),0)</f>
        <v>81</v>
      </c>
      <c r="U278" s="152">
        <f t="shared" ca="1" si="149"/>
        <v>0</v>
      </c>
      <c r="V278" s="153" t="s">
        <v>158</v>
      </c>
      <c r="W278" s="151">
        <f t="shared" ca="1" si="137"/>
        <v>0</v>
      </c>
      <c r="X278" s="154">
        <f t="shared" ca="1" si="138"/>
        <v>0</v>
      </c>
      <c r="Y278" s="155" t="s">
        <v>583</v>
      </c>
      <c r="Z278" t="str">
        <f t="shared" ca="1" si="139"/>
        <v/>
      </c>
      <c r="AA278" s="156">
        <f ca="1">IF($C278="S",IF($Z278="CP",$X278,IF($Z278="RA",(($X278)*QCI!$AA$3),0)),SomaAgrup)</f>
        <v>0</v>
      </c>
      <c r="AB278" s="157">
        <f t="shared" ca="1" si="140"/>
        <v>0</v>
      </c>
      <c r="AC278" s="158" t="str">
        <f t="shared" ca="1" si="141"/>
        <v/>
      </c>
      <c r="AD278" s="104" t="str">
        <f ca="1">IF(C278&lt;=CRONO.NivelExibicao,MAX($AD$15:OFFSET(AD278,-1,0))+IF($C278&lt;&gt;1,1,MAX(1,COUNTIF(QCI!$A$13:$A$24,OFFSET($E278,-1,0)))),"")</f>
        <v/>
      </c>
      <c r="AE278" s="114" t="str">
        <f t="shared" ca="1" si="142"/>
        <v>SINAPI 101094</v>
      </c>
      <c r="AF278" s="159" t="str">
        <f t="shared" ca="1" si="143"/>
        <v>(abra o arquivo 'Referência 05-2024.xls)</v>
      </c>
      <c r="AG278" s="579">
        <f t="shared" ca="1" si="144"/>
        <v>0</v>
      </c>
      <c r="AH278" s="580">
        <f t="shared" ca="1" si="145"/>
        <v>0.22470000000000001</v>
      </c>
      <c r="AJ278" s="582">
        <v>81</v>
      </c>
      <c r="AL278" s="612"/>
      <c r="AM278" s="430">
        <f t="shared" ca="1" si="146"/>
        <v>0</v>
      </c>
      <c r="AN278" s="655">
        <f t="shared" ca="1" si="147"/>
        <v>0</v>
      </c>
    </row>
    <row r="279" spans="1:40" ht="13.8" x14ac:dyDescent="0.3">
      <c r="A279" t="str">
        <f t="shared" si="126"/>
        <v>S</v>
      </c>
      <c r="B279">
        <f t="shared" ca="1" si="127"/>
        <v>3</v>
      </c>
      <c r="C279" t="str">
        <f t="shared" ca="1" si="128"/>
        <v>S</v>
      </c>
      <c r="D279">
        <f t="shared" ca="1" si="129"/>
        <v>0</v>
      </c>
      <c r="E279">
        <f ca="1">IF($C279=1,OFFSET(E279,-1,0)+MAX(1,COUNTIF(QCI!$A$13:$A$24,OFFSET(ORÇAMENTO!E279,-1,0))),OFFSET(E279,-1,0))</f>
        <v>1</v>
      </c>
      <c r="F279">
        <f t="shared" ca="1" si="130"/>
        <v>10</v>
      </c>
      <c r="G279">
        <f t="shared" ca="1" si="131"/>
        <v>2</v>
      </c>
      <c r="H279">
        <f t="shared" ca="1" si="132"/>
        <v>0</v>
      </c>
      <c r="I279">
        <f t="shared" ca="1" si="133"/>
        <v>0</v>
      </c>
      <c r="J279">
        <f t="shared" ca="1" si="148"/>
        <v>0</v>
      </c>
      <c r="K279">
        <f ca="1">IF(OR($C279="S",$C279=0),0,MATCH(OFFSET($D279,0,$C279)+IF($C279&lt;&gt;1,1,COUNTIF(QCI!$A$13:$A$24,ORÇAMENTO!E279)),OFFSET($D279,1,$C279,ROW($C$710)-ROW($C279)),0))</f>
        <v>0</v>
      </c>
      <c r="L279" s="143" t="str">
        <f t="shared" ca="1" si="134"/>
        <v/>
      </c>
      <c r="M279" s="144" t="s">
        <v>201</v>
      </c>
      <c r="N279" s="145" t="str">
        <f t="shared" ca="1" si="135"/>
        <v>Serviço</v>
      </c>
      <c r="O279" s="146" t="str">
        <f t="shared" ca="1" si="136"/>
        <v>-</v>
      </c>
      <c r="P279" s="147" t="s">
        <v>441</v>
      </c>
      <c r="Q279" s="148" t="s">
        <v>590</v>
      </c>
      <c r="R279" s="149" t="str">
        <f t="shared" ca="1" si="124"/>
        <v>(abra o arquivo 'Referência 05-2024.xls)</v>
      </c>
      <c r="S279" s="150" t="str">
        <f t="shared" ca="1" si="125"/>
        <v>-</v>
      </c>
      <c r="T279" s="151">
        <f ca="1">OFFSET(CÁLCULO!H$15,ROW($T279)-ROW(T$15),0)</f>
        <v>13.55</v>
      </c>
      <c r="U279" s="152">
        <f t="shared" ca="1" si="149"/>
        <v>0</v>
      </c>
      <c r="V279" s="153" t="s">
        <v>158</v>
      </c>
      <c r="W279" s="151">
        <f t="shared" ca="1" si="137"/>
        <v>0</v>
      </c>
      <c r="X279" s="154">
        <f t="shared" ca="1" si="138"/>
        <v>0</v>
      </c>
      <c r="Y279" s="155" t="s">
        <v>583</v>
      </c>
      <c r="Z279" t="str">
        <f t="shared" ca="1" si="139"/>
        <v/>
      </c>
      <c r="AA279" s="156">
        <f ca="1">IF($C279="S",IF($Z279="CP",$X279,IF($Z279="RA",(($X279)*QCI!$AA$3),0)),SomaAgrup)</f>
        <v>0</v>
      </c>
      <c r="AB279" s="157">
        <f t="shared" ca="1" si="140"/>
        <v>0</v>
      </c>
      <c r="AC279" s="158" t="str">
        <f t="shared" ca="1" si="141"/>
        <v/>
      </c>
      <c r="AD279" s="104" t="str">
        <f ca="1">IF(C279&lt;=CRONO.NivelExibicao,MAX($AD$15:OFFSET(AD279,-1,0))+IF($C279&lt;&gt;1,1,MAX(1,COUNTIF(QCI!$A$13:$A$24,OFFSET($E279,-1,0)))),"")</f>
        <v/>
      </c>
      <c r="AE279" s="114" t="str">
        <f t="shared" ca="1" si="142"/>
        <v>Composição CP-31</v>
      </c>
      <c r="AF279" s="159" t="str">
        <f t="shared" ca="1" si="143"/>
        <v>(abra o arquivo 'Referência 05-2024.xls)</v>
      </c>
      <c r="AG279" s="579">
        <f t="shared" ca="1" si="144"/>
        <v>0</v>
      </c>
      <c r="AH279" s="580">
        <f t="shared" ca="1" si="145"/>
        <v>0.22470000000000001</v>
      </c>
      <c r="AJ279" s="582">
        <v>13.55</v>
      </c>
      <c r="AL279" s="612"/>
      <c r="AM279" s="430">
        <f t="shared" ca="1" si="146"/>
        <v>0</v>
      </c>
      <c r="AN279" s="655">
        <f t="shared" ca="1" si="147"/>
        <v>0</v>
      </c>
    </row>
    <row r="280" spans="1:40" ht="13.8" x14ac:dyDescent="0.3">
      <c r="A280" t="str">
        <f t="shared" si="126"/>
        <v>S</v>
      </c>
      <c r="B280">
        <f t="shared" ca="1" si="127"/>
        <v>3</v>
      </c>
      <c r="C280" t="str">
        <f t="shared" ca="1" si="128"/>
        <v>S</v>
      </c>
      <c r="D280">
        <f t="shared" ca="1" si="129"/>
        <v>0</v>
      </c>
      <c r="E280">
        <f ca="1">IF($C280=1,OFFSET(E280,-1,0)+MAX(1,COUNTIF(QCI!$A$13:$A$24,OFFSET(ORÇAMENTO!E280,-1,0))),OFFSET(E280,-1,0))</f>
        <v>1</v>
      </c>
      <c r="F280">
        <f t="shared" ca="1" si="130"/>
        <v>10</v>
      </c>
      <c r="G280">
        <f t="shared" ca="1" si="131"/>
        <v>2</v>
      </c>
      <c r="H280">
        <f t="shared" ca="1" si="132"/>
        <v>0</v>
      </c>
      <c r="I280">
        <f t="shared" ca="1" si="133"/>
        <v>0</v>
      </c>
      <c r="J280">
        <f t="shared" ca="1" si="148"/>
        <v>0</v>
      </c>
      <c r="K280">
        <f ca="1">IF(OR($C280="S",$C280=0),0,MATCH(OFFSET($D280,0,$C280)+IF($C280&lt;&gt;1,1,COUNTIF(QCI!$A$13:$A$24,ORÇAMENTO!E280)),OFFSET($D280,1,$C280,ROW($C$710)-ROW($C280)),0))</f>
        <v>0</v>
      </c>
      <c r="L280" s="143" t="str">
        <f t="shared" ca="1" si="134"/>
        <v/>
      </c>
      <c r="M280" s="144" t="s">
        <v>201</v>
      </c>
      <c r="N280" s="145" t="str">
        <f t="shared" ca="1" si="135"/>
        <v>Serviço</v>
      </c>
      <c r="O280" s="146" t="str">
        <f t="shared" ca="1" si="136"/>
        <v>-</v>
      </c>
      <c r="P280" s="147" t="s">
        <v>249</v>
      </c>
      <c r="Q280" s="148">
        <v>98504</v>
      </c>
      <c r="R280" s="149" t="str">
        <f t="shared" ca="1" si="124"/>
        <v>(abra o arquivo 'Referência 05-2024.xls)</v>
      </c>
      <c r="S280" s="150" t="str">
        <f t="shared" ca="1" si="125"/>
        <v>-</v>
      </c>
      <c r="T280" s="151">
        <f ca="1">OFFSET(CÁLCULO!H$15,ROW($T280)-ROW(T$15),0)</f>
        <v>1006.41</v>
      </c>
      <c r="U280" s="152">
        <f t="shared" ca="1" si="149"/>
        <v>0</v>
      </c>
      <c r="V280" s="153" t="s">
        <v>193</v>
      </c>
      <c r="W280" s="151">
        <f t="shared" ca="1" si="137"/>
        <v>0</v>
      </c>
      <c r="X280" s="154">
        <f t="shared" ca="1" si="138"/>
        <v>0</v>
      </c>
      <c r="Y280" s="155" t="s">
        <v>583</v>
      </c>
      <c r="Z280" t="str">
        <f t="shared" ca="1" si="139"/>
        <v/>
      </c>
      <c r="AA280" s="156">
        <f ca="1">IF($C280="S",IF($Z280="CP",$X280,IF($Z280="RA",(($X280)*QCI!$AA$3),0)),SomaAgrup)</f>
        <v>0</v>
      </c>
      <c r="AB280" s="157">
        <f t="shared" ca="1" si="140"/>
        <v>0</v>
      </c>
      <c r="AC280" s="158" t="str">
        <f t="shared" ca="1" si="141"/>
        <v/>
      </c>
      <c r="AD280" s="104" t="str">
        <f ca="1">IF(C280&lt;=CRONO.NivelExibicao,MAX($AD$15:OFFSET(AD280,-1,0))+IF($C280&lt;&gt;1,1,MAX(1,COUNTIF(QCI!$A$13:$A$24,OFFSET($E280,-1,0)))),"")</f>
        <v/>
      </c>
      <c r="AE280" s="114" t="str">
        <f t="shared" ca="1" si="142"/>
        <v>SINAPI 98504</v>
      </c>
      <c r="AF280" s="159" t="str">
        <f t="shared" ca="1" si="143"/>
        <v>(abra o arquivo 'Referência 05-2024.xls)</v>
      </c>
      <c r="AG280" s="579">
        <f t="shared" ca="1" si="144"/>
        <v>0</v>
      </c>
      <c r="AH280" s="580">
        <f t="shared" ca="1" si="145"/>
        <v>0.16800000000000001</v>
      </c>
      <c r="AJ280" s="582">
        <v>1006.41</v>
      </c>
      <c r="AL280" s="612"/>
      <c r="AM280" s="430">
        <f t="shared" ca="1" si="146"/>
        <v>0</v>
      </c>
      <c r="AN280" s="655">
        <f t="shared" ca="1" si="147"/>
        <v>0</v>
      </c>
    </row>
    <row r="281" spans="1:40" ht="13.8" x14ac:dyDescent="0.3">
      <c r="A281" t="str">
        <f t="shared" si="126"/>
        <v>S</v>
      </c>
      <c r="B281">
        <f t="shared" ca="1" si="127"/>
        <v>3</v>
      </c>
      <c r="C281" t="str">
        <f t="shared" ca="1" si="128"/>
        <v>S</v>
      </c>
      <c r="D281">
        <f t="shared" ca="1" si="129"/>
        <v>0</v>
      </c>
      <c r="E281">
        <f ca="1">IF($C281=1,OFFSET(E281,-1,0)+MAX(1,COUNTIF(QCI!$A$13:$A$24,OFFSET(ORÇAMENTO!E281,-1,0))),OFFSET(E281,-1,0))</f>
        <v>1</v>
      </c>
      <c r="F281">
        <f t="shared" ca="1" si="130"/>
        <v>10</v>
      </c>
      <c r="G281">
        <f t="shared" ca="1" si="131"/>
        <v>2</v>
      </c>
      <c r="H281">
        <f t="shared" ca="1" si="132"/>
        <v>0</v>
      </c>
      <c r="I281">
        <f t="shared" ca="1" si="133"/>
        <v>0</v>
      </c>
      <c r="J281">
        <f t="shared" ca="1" si="148"/>
        <v>0</v>
      </c>
      <c r="K281">
        <f ca="1">IF(OR($C281="S",$C281=0),0,MATCH(OFFSET($D281,0,$C281)+IF($C281&lt;&gt;1,1,COUNTIF(QCI!$A$13:$A$24,ORÇAMENTO!E281)),OFFSET($D281,1,$C281,ROW($C$710)-ROW($C281)),0))</f>
        <v>0</v>
      </c>
      <c r="L281" s="143" t="str">
        <f t="shared" ca="1" si="134"/>
        <v/>
      </c>
      <c r="M281" s="144" t="s">
        <v>201</v>
      </c>
      <c r="N281" s="145" t="str">
        <f t="shared" ca="1" si="135"/>
        <v>Serviço</v>
      </c>
      <c r="O281" s="146" t="str">
        <f t="shared" ca="1" si="136"/>
        <v>-</v>
      </c>
      <c r="P281" s="147" t="s">
        <v>249</v>
      </c>
      <c r="Q281" s="148">
        <v>94263</v>
      </c>
      <c r="R281" s="149" t="str">
        <f t="shared" ca="1" si="124"/>
        <v>(abra o arquivo 'Referência 05-2024.xls)</v>
      </c>
      <c r="S281" s="150" t="str">
        <f t="shared" ca="1" si="125"/>
        <v>-</v>
      </c>
      <c r="T281" s="151">
        <f ca="1">OFFSET(CÁLCULO!H$15,ROW($T281)-ROW(T$15),0)</f>
        <v>96.52</v>
      </c>
      <c r="U281" s="152">
        <f t="shared" ca="1" si="149"/>
        <v>0</v>
      </c>
      <c r="V281" s="153" t="s">
        <v>158</v>
      </c>
      <c r="W281" s="151">
        <f t="shared" ca="1" si="137"/>
        <v>0</v>
      </c>
      <c r="X281" s="154">
        <f t="shared" ca="1" si="138"/>
        <v>0</v>
      </c>
      <c r="Y281" s="155" t="s">
        <v>583</v>
      </c>
      <c r="Z281" t="str">
        <f t="shared" ca="1" si="139"/>
        <v/>
      </c>
      <c r="AA281" s="156">
        <f ca="1">IF($C281="S",IF($Z281="CP",$X281,IF($Z281="RA",(($X281)*QCI!$AA$3),0)),SomaAgrup)</f>
        <v>0</v>
      </c>
      <c r="AB281" s="157">
        <f t="shared" ca="1" si="140"/>
        <v>0</v>
      </c>
      <c r="AC281" s="158" t="str">
        <f t="shared" ca="1" si="141"/>
        <v/>
      </c>
      <c r="AD281" s="104" t="str">
        <f ca="1">IF(C281&lt;=CRONO.NivelExibicao,MAX($AD$15:OFFSET(AD281,-1,0))+IF($C281&lt;&gt;1,1,MAX(1,COUNTIF(QCI!$A$13:$A$24,OFFSET($E281,-1,0)))),"")</f>
        <v/>
      </c>
      <c r="AE281" s="114" t="str">
        <f t="shared" ca="1" si="142"/>
        <v>SINAPI 94263</v>
      </c>
      <c r="AF281" s="159" t="str">
        <f t="shared" ca="1" si="143"/>
        <v>(abra o arquivo 'Referência 05-2024.xls)</v>
      </c>
      <c r="AG281" s="579">
        <f t="shared" ca="1" si="144"/>
        <v>0</v>
      </c>
      <c r="AH281" s="580">
        <f t="shared" ca="1" si="145"/>
        <v>0.22470000000000001</v>
      </c>
      <c r="AJ281" s="582">
        <v>96.52</v>
      </c>
      <c r="AL281" s="612"/>
      <c r="AM281" s="430">
        <f t="shared" ca="1" si="146"/>
        <v>0</v>
      </c>
      <c r="AN281" s="655">
        <f t="shared" ca="1" si="147"/>
        <v>0</v>
      </c>
    </row>
    <row r="282" spans="1:40" ht="13.8" x14ac:dyDescent="0.3">
      <c r="A282">
        <f t="shared" si="126"/>
        <v>2</v>
      </c>
      <c r="B282">
        <f t="shared" ca="1" si="127"/>
        <v>2</v>
      </c>
      <c r="C282">
        <f t="shared" ca="1" si="128"/>
        <v>2</v>
      </c>
      <c r="D282">
        <f t="shared" ca="1" si="129"/>
        <v>19</v>
      </c>
      <c r="E282">
        <f ca="1">IF($C282=1,OFFSET(E282,-1,0)+MAX(1,COUNTIF(QCI!$A$13:$A$24,OFFSET(ORÇAMENTO!E282,-1,0))),OFFSET(E282,-1,0))</f>
        <v>1</v>
      </c>
      <c r="F282">
        <f t="shared" ca="1" si="130"/>
        <v>11</v>
      </c>
      <c r="G282">
        <f t="shared" ca="1" si="131"/>
        <v>0</v>
      </c>
      <c r="H282">
        <f t="shared" ca="1" si="132"/>
        <v>0</v>
      </c>
      <c r="I282">
        <f t="shared" ca="1" si="133"/>
        <v>0</v>
      </c>
      <c r="J282">
        <f t="shared" ca="1" si="148"/>
        <v>420</v>
      </c>
      <c r="K282">
        <f ca="1">IF(OR($C282="S",$C282=0),0,MATCH(OFFSET($D282,0,$C282)+IF($C282&lt;&gt;1,1,COUNTIF(QCI!$A$13:$A$24,ORÇAMENTO!E282)),OFFSET($D282,1,$C282,ROW($C$710)-ROW($C282)),0))</f>
        <v>19</v>
      </c>
      <c r="L282" s="143" t="str">
        <f t="shared" ca="1" si="134"/>
        <v>F</v>
      </c>
      <c r="M282" s="144" t="s">
        <v>198</v>
      </c>
      <c r="N282" s="145" t="str">
        <f t="shared" ca="1" si="135"/>
        <v>Nível 2</v>
      </c>
      <c r="O282" s="146" t="str">
        <f t="shared" ca="1" si="136"/>
        <v>1.11.</v>
      </c>
      <c r="P282" s="147" t="s">
        <v>249</v>
      </c>
      <c r="Q282" s="148"/>
      <c r="R282" s="149" t="s">
        <v>524</v>
      </c>
      <c r="S282" s="150" t="s">
        <v>168</v>
      </c>
      <c r="T282" s="151">
        <f ca="1">OFFSET(CÁLCULO!H$15,ROW($T282)-ROW(T$15),0)</f>
        <v>0</v>
      </c>
      <c r="U282" s="152"/>
      <c r="V282" s="153" t="s">
        <v>158</v>
      </c>
      <c r="W282" s="151">
        <f t="shared" ca="1" si="137"/>
        <v>0</v>
      </c>
      <c r="X282" s="154">
        <f t="shared" ca="1" si="138"/>
        <v>0</v>
      </c>
      <c r="Y282" s="155" t="s">
        <v>583</v>
      </c>
      <c r="Z282" t="str">
        <f t="shared" ca="1" si="139"/>
        <v/>
      </c>
      <c r="AA282" s="156">
        <f ca="1">IF($C282="S",IF($Z282="CP",$X282,IF($Z282="RA",(($X282)*QCI!$AA$3),0)),SomaAgrup)</f>
        <v>0</v>
      </c>
      <c r="AB282" s="157">
        <f t="shared" ca="1" si="140"/>
        <v>0</v>
      </c>
      <c r="AC282" s="158" t="str">
        <f t="shared" ca="1" si="141"/>
        <v/>
      </c>
      <c r="AD282" s="104">
        <f ca="1">IF(C282&lt;=CRONO.NivelExibicao,MAX($AD$15:OFFSET(AD282,-1,0))+IF($C282&lt;&gt;1,1,MAX(1,COUNTIF(QCI!$A$13:$A$24,OFFSET($E282,-1,0)))),"")</f>
        <v>12</v>
      </c>
      <c r="AE282" s="114" t="b">
        <f t="shared" ca="1" si="142"/>
        <v>0</v>
      </c>
      <c r="AF282" s="159" t="str">
        <f t="shared" ca="1" si="143"/>
        <v>(abra o arquivo 'Referência 05-2024.xls)</v>
      </c>
      <c r="AG282" s="579">
        <f t="shared" ca="1" si="144"/>
        <v>0</v>
      </c>
      <c r="AH282" s="580">
        <f t="shared" ca="1" si="145"/>
        <v>0.22470000000000001</v>
      </c>
      <c r="AJ282" s="582"/>
      <c r="AL282" s="612"/>
      <c r="AM282" s="430">
        <f t="shared" ca="1" si="146"/>
        <v>0</v>
      </c>
      <c r="AN282" s="655">
        <f t="shared" ca="1" si="147"/>
        <v>0</v>
      </c>
    </row>
    <row r="283" spans="1:40" ht="13.8" x14ac:dyDescent="0.3">
      <c r="A283">
        <f t="shared" si="126"/>
        <v>3</v>
      </c>
      <c r="B283">
        <f t="shared" ca="1" si="127"/>
        <v>3</v>
      </c>
      <c r="C283">
        <f t="shared" ca="1" si="128"/>
        <v>3</v>
      </c>
      <c r="D283">
        <f t="shared" ca="1" si="129"/>
        <v>15</v>
      </c>
      <c r="E283">
        <f ca="1">IF($C283=1,OFFSET(E283,-1,0)+MAX(1,COUNTIF(QCI!$A$13:$A$24,OFFSET(ORÇAMENTO!E283,-1,0))),OFFSET(E283,-1,0))</f>
        <v>1</v>
      </c>
      <c r="F283">
        <f t="shared" ca="1" si="130"/>
        <v>11</v>
      </c>
      <c r="G283">
        <f t="shared" ca="1" si="131"/>
        <v>1</v>
      </c>
      <c r="H283">
        <f t="shared" ca="1" si="132"/>
        <v>0</v>
      </c>
      <c r="I283">
        <f t="shared" ca="1" si="133"/>
        <v>0</v>
      </c>
      <c r="J283">
        <f t="shared" ca="1" si="148"/>
        <v>18</v>
      </c>
      <c r="K283">
        <f ca="1">IF(OR($C283="S",$C283=0),0,MATCH(OFFSET($D283,0,$C283)+IF($C283&lt;&gt;1,1,COUNTIF(QCI!$A$13:$A$24,ORÇAMENTO!E283)),OFFSET($D283,1,$C283,ROW($C$710)-ROW($C283)),0))</f>
        <v>15</v>
      </c>
      <c r="L283" s="143" t="str">
        <f t="shared" ca="1" si="134"/>
        <v>F</v>
      </c>
      <c r="M283" s="144" t="s">
        <v>199</v>
      </c>
      <c r="N283" s="145" t="str">
        <f t="shared" ca="1" si="135"/>
        <v>Nível 3</v>
      </c>
      <c r="O283" s="146" t="str">
        <f t="shared" ca="1" si="136"/>
        <v>1.11.1.</v>
      </c>
      <c r="P283" s="147" t="s">
        <v>249</v>
      </c>
      <c r="Q283" s="148"/>
      <c r="R283" s="149" t="s">
        <v>481</v>
      </c>
      <c r="S283" s="150" t="s">
        <v>168</v>
      </c>
      <c r="T283" s="151">
        <f ca="1">OFFSET(CÁLCULO!H$15,ROW($T283)-ROW(T$15),0)</f>
        <v>0</v>
      </c>
      <c r="U283" s="152"/>
      <c r="V283" s="153" t="s">
        <v>158</v>
      </c>
      <c r="W283" s="151">
        <f t="shared" ca="1" si="137"/>
        <v>0</v>
      </c>
      <c r="X283" s="154">
        <f t="shared" ca="1" si="138"/>
        <v>0</v>
      </c>
      <c r="Y283" s="155" t="s">
        <v>583</v>
      </c>
      <c r="Z283" t="str">
        <f t="shared" ca="1" si="139"/>
        <v/>
      </c>
      <c r="AA283" s="156">
        <f ca="1">IF($C283="S",IF($Z283="CP",$X283,IF($Z283="RA",(($X283)*QCI!$AA$3),0)),SomaAgrup)</f>
        <v>0</v>
      </c>
      <c r="AB283" s="157">
        <f t="shared" ca="1" si="140"/>
        <v>0</v>
      </c>
      <c r="AC283" s="158" t="str">
        <f t="shared" ca="1" si="141"/>
        <v/>
      </c>
      <c r="AD283" s="104" t="str">
        <f ca="1">IF(C283&lt;=CRONO.NivelExibicao,MAX($AD$15:OFFSET(AD283,-1,0))+IF($C283&lt;&gt;1,1,MAX(1,COUNTIF(QCI!$A$13:$A$24,OFFSET($E283,-1,0)))),"")</f>
        <v/>
      </c>
      <c r="AE283" s="114" t="b">
        <f t="shared" ca="1" si="142"/>
        <v>0</v>
      </c>
      <c r="AF283" s="159" t="str">
        <f t="shared" ca="1" si="143"/>
        <v>(abra o arquivo 'Referência 05-2024.xls)</v>
      </c>
      <c r="AG283" s="579">
        <f t="shared" ca="1" si="144"/>
        <v>0</v>
      </c>
      <c r="AH283" s="580">
        <f t="shared" ca="1" si="145"/>
        <v>0.22470000000000001</v>
      </c>
      <c r="AJ283" s="582"/>
      <c r="AL283" s="612"/>
      <c r="AM283" s="430">
        <f t="shared" ca="1" si="146"/>
        <v>0</v>
      </c>
      <c r="AN283" s="655">
        <f t="shared" ca="1" si="147"/>
        <v>0</v>
      </c>
    </row>
    <row r="284" spans="1:40" ht="13.8" x14ac:dyDescent="0.3">
      <c r="A284" t="str">
        <f t="shared" si="126"/>
        <v>S</v>
      </c>
      <c r="B284">
        <f t="shared" ca="1" si="127"/>
        <v>3</v>
      </c>
      <c r="C284" t="str">
        <f t="shared" ca="1" si="128"/>
        <v>S</v>
      </c>
      <c r="D284">
        <f t="shared" ca="1" si="129"/>
        <v>0</v>
      </c>
      <c r="E284">
        <f ca="1">IF($C284=1,OFFSET(E284,-1,0)+MAX(1,COUNTIF(QCI!$A$13:$A$24,OFFSET(ORÇAMENTO!E284,-1,0))),OFFSET(E284,-1,0))</f>
        <v>1</v>
      </c>
      <c r="F284">
        <f t="shared" ca="1" si="130"/>
        <v>11</v>
      </c>
      <c r="G284">
        <f t="shared" ca="1" si="131"/>
        <v>1</v>
      </c>
      <c r="H284">
        <f t="shared" ca="1" si="132"/>
        <v>0</v>
      </c>
      <c r="I284">
        <f t="shared" ca="1" si="133"/>
        <v>0</v>
      </c>
      <c r="J284">
        <f t="shared" ca="1" si="148"/>
        <v>0</v>
      </c>
      <c r="K284">
        <f ca="1">IF(OR($C284="S",$C284=0),0,MATCH(OFFSET($D284,0,$C284)+IF($C284&lt;&gt;1,1,COUNTIF(QCI!$A$13:$A$24,ORÇAMENTO!E284)),OFFSET($D284,1,$C284,ROW($C$710)-ROW($C284)),0))</f>
        <v>0</v>
      </c>
      <c r="L284" s="143" t="str">
        <f t="shared" ca="1" si="134"/>
        <v/>
      </c>
      <c r="M284" s="144" t="s">
        <v>201</v>
      </c>
      <c r="N284" s="145" t="str">
        <f t="shared" ca="1" si="135"/>
        <v>Serviço</v>
      </c>
      <c r="O284" s="146" t="str">
        <f t="shared" ca="1" si="136"/>
        <v>-</v>
      </c>
      <c r="P284" s="147" t="s">
        <v>249</v>
      </c>
      <c r="Q284" s="148">
        <v>88494</v>
      </c>
      <c r="R284" s="149" t="str">
        <f t="shared" ref="R284:R297" ca="1" si="150">IF($C284="S",REFERENCIA.Descricao,"(digite a descrição aqui)")</f>
        <v>(abra o arquivo 'Referência 05-2024.xls)</v>
      </c>
      <c r="S284" s="150" t="str">
        <f t="shared" ref="S284:S297" ca="1" si="151">REFERENCIA.Unidade</f>
        <v>-</v>
      </c>
      <c r="T284" s="151">
        <f ca="1">OFFSET(CÁLCULO!H$15,ROW($T284)-ROW(T$15),0)</f>
        <v>338.11</v>
      </c>
      <c r="U284" s="152">
        <f t="shared" ca="1" si="149"/>
        <v>0</v>
      </c>
      <c r="V284" s="153" t="s">
        <v>158</v>
      </c>
      <c r="W284" s="151">
        <f t="shared" ca="1" si="137"/>
        <v>0</v>
      </c>
      <c r="X284" s="154">
        <f t="shared" ca="1" si="138"/>
        <v>0</v>
      </c>
      <c r="Y284" s="155" t="s">
        <v>583</v>
      </c>
      <c r="Z284" t="str">
        <f t="shared" ca="1" si="139"/>
        <v/>
      </c>
      <c r="AA284" s="156">
        <f ca="1">IF($C284="S",IF($Z284="CP",$X284,IF($Z284="RA",(($X284)*QCI!$AA$3),0)),SomaAgrup)</f>
        <v>0</v>
      </c>
      <c r="AB284" s="157">
        <f t="shared" ca="1" si="140"/>
        <v>0</v>
      </c>
      <c r="AC284" s="158" t="str">
        <f t="shared" ca="1" si="141"/>
        <v/>
      </c>
      <c r="AD284" s="104" t="str">
        <f ca="1">IF(C284&lt;=CRONO.NivelExibicao,MAX($AD$15:OFFSET(AD284,-1,0))+IF($C284&lt;&gt;1,1,MAX(1,COUNTIF(QCI!$A$13:$A$24,OFFSET($E284,-1,0)))),"")</f>
        <v/>
      </c>
      <c r="AE284" s="114" t="str">
        <f t="shared" ca="1" si="142"/>
        <v>SINAPI 88494</v>
      </c>
      <c r="AF284" s="159" t="str">
        <f t="shared" ca="1" si="143"/>
        <v>(abra o arquivo 'Referência 05-2024.xls)</v>
      </c>
      <c r="AG284" s="579">
        <f t="shared" ca="1" si="144"/>
        <v>0</v>
      </c>
      <c r="AH284" s="580">
        <f t="shared" ca="1" si="145"/>
        <v>0.22470000000000001</v>
      </c>
      <c r="AJ284" s="582">
        <v>338.11</v>
      </c>
      <c r="AL284" s="612"/>
      <c r="AM284" s="430">
        <f t="shared" ca="1" si="146"/>
        <v>0</v>
      </c>
      <c r="AN284" s="655">
        <f t="shared" ca="1" si="147"/>
        <v>0</v>
      </c>
    </row>
    <row r="285" spans="1:40" ht="13.8" x14ac:dyDescent="0.3">
      <c r="A285" t="str">
        <f t="shared" si="126"/>
        <v>S</v>
      </c>
      <c r="B285">
        <f t="shared" ca="1" si="127"/>
        <v>3</v>
      </c>
      <c r="C285" t="str">
        <f t="shared" ca="1" si="128"/>
        <v>S</v>
      </c>
      <c r="D285">
        <f t="shared" ca="1" si="129"/>
        <v>0</v>
      </c>
      <c r="E285">
        <f ca="1">IF($C285=1,OFFSET(E285,-1,0)+MAX(1,COUNTIF(QCI!$A$13:$A$24,OFFSET(ORÇAMENTO!E285,-1,0))),OFFSET(E285,-1,0))</f>
        <v>1</v>
      </c>
      <c r="F285">
        <f t="shared" ca="1" si="130"/>
        <v>11</v>
      </c>
      <c r="G285">
        <f t="shared" ca="1" si="131"/>
        <v>1</v>
      </c>
      <c r="H285">
        <f t="shared" ca="1" si="132"/>
        <v>0</v>
      </c>
      <c r="I285">
        <f t="shared" ca="1" si="133"/>
        <v>0</v>
      </c>
      <c r="J285">
        <f t="shared" ca="1" si="148"/>
        <v>0</v>
      </c>
      <c r="K285">
        <f ca="1">IF(OR($C285="S",$C285=0),0,MATCH(OFFSET($D285,0,$C285)+IF($C285&lt;&gt;1,1,COUNTIF(QCI!$A$13:$A$24,ORÇAMENTO!E285)),OFFSET($D285,1,$C285,ROW($C$710)-ROW($C285)),0))</f>
        <v>0</v>
      </c>
      <c r="L285" s="143" t="str">
        <f t="shared" ca="1" si="134"/>
        <v/>
      </c>
      <c r="M285" s="144" t="s">
        <v>201</v>
      </c>
      <c r="N285" s="145" t="str">
        <f t="shared" ca="1" si="135"/>
        <v>Serviço</v>
      </c>
      <c r="O285" s="146" t="str">
        <f t="shared" ca="1" si="136"/>
        <v>-</v>
      </c>
      <c r="P285" s="147" t="s">
        <v>249</v>
      </c>
      <c r="Q285" s="148">
        <v>88497</v>
      </c>
      <c r="R285" s="149" t="str">
        <f t="shared" ca="1" si="150"/>
        <v>(abra o arquivo 'Referência 05-2024.xls)</v>
      </c>
      <c r="S285" s="150" t="str">
        <f t="shared" ca="1" si="151"/>
        <v>-</v>
      </c>
      <c r="T285" s="151">
        <f ca="1">OFFSET(CÁLCULO!H$15,ROW($T285)-ROW(T$15),0)</f>
        <v>895.48</v>
      </c>
      <c r="U285" s="152">
        <f t="shared" ca="1" si="149"/>
        <v>0</v>
      </c>
      <c r="V285" s="153" t="s">
        <v>158</v>
      </c>
      <c r="W285" s="151">
        <f t="shared" ca="1" si="137"/>
        <v>0</v>
      </c>
      <c r="X285" s="154">
        <f t="shared" ca="1" si="138"/>
        <v>0</v>
      </c>
      <c r="Y285" s="155" t="s">
        <v>583</v>
      </c>
      <c r="Z285" t="str">
        <f t="shared" ca="1" si="139"/>
        <v/>
      </c>
      <c r="AA285" s="156">
        <f ca="1">IF($C285="S",IF($Z285="CP",$X285,IF($Z285="RA",(($X285)*QCI!$AA$3),0)),SomaAgrup)</f>
        <v>0</v>
      </c>
      <c r="AB285" s="157">
        <f t="shared" ca="1" si="140"/>
        <v>0</v>
      </c>
      <c r="AC285" s="158" t="str">
        <f t="shared" ca="1" si="141"/>
        <v/>
      </c>
      <c r="AD285" s="104" t="str">
        <f ca="1">IF(C285&lt;=CRONO.NivelExibicao,MAX($AD$15:OFFSET(AD285,-1,0))+IF($C285&lt;&gt;1,1,MAX(1,COUNTIF(QCI!$A$13:$A$24,OFFSET($E285,-1,0)))),"")</f>
        <v/>
      </c>
      <c r="AE285" s="114" t="str">
        <f t="shared" ca="1" si="142"/>
        <v>SINAPI 88497</v>
      </c>
      <c r="AF285" s="159" t="str">
        <f t="shared" ca="1" si="143"/>
        <v>(abra o arquivo 'Referência 05-2024.xls)</v>
      </c>
      <c r="AG285" s="579">
        <f t="shared" ca="1" si="144"/>
        <v>0</v>
      </c>
      <c r="AH285" s="580">
        <f t="shared" ca="1" si="145"/>
        <v>0.22470000000000001</v>
      </c>
      <c r="AJ285" s="582">
        <v>895.48</v>
      </c>
      <c r="AL285" s="612"/>
      <c r="AM285" s="430">
        <f t="shared" ca="1" si="146"/>
        <v>0</v>
      </c>
      <c r="AN285" s="655">
        <f t="shared" ca="1" si="147"/>
        <v>0</v>
      </c>
    </row>
    <row r="286" spans="1:40" ht="13.8" x14ac:dyDescent="0.3">
      <c r="A286" t="str">
        <f t="shared" si="126"/>
        <v>S</v>
      </c>
      <c r="B286">
        <f t="shared" ca="1" si="127"/>
        <v>3</v>
      </c>
      <c r="C286" t="str">
        <f t="shared" ca="1" si="128"/>
        <v>S</v>
      </c>
      <c r="D286">
        <f t="shared" ca="1" si="129"/>
        <v>0</v>
      </c>
      <c r="E286">
        <f ca="1">IF($C286=1,OFFSET(E286,-1,0)+MAX(1,COUNTIF(QCI!$A$13:$A$24,OFFSET(ORÇAMENTO!E286,-1,0))),OFFSET(E286,-1,0))</f>
        <v>1</v>
      </c>
      <c r="F286">
        <f t="shared" ca="1" si="130"/>
        <v>11</v>
      </c>
      <c r="G286">
        <f t="shared" ca="1" si="131"/>
        <v>1</v>
      </c>
      <c r="H286">
        <f t="shared" ca="1" si="132"/>
        <v>0</v>
      </c>
      <c r="I286">
        <f t="shared" ca="1" si="133"/>
        <v>0</v>
      </c>
      <c r="J286">
        <f t="shared" ca="1" si="148"/>
        <v>0</v>
      </c>
      <c r="K286">
        <f ca="1">IF(OR($C286="S",$C286=0),0,MATCH(OFFSET($D286,0,$C286)+IF($C286&lt;&gt;1,1,COUNTIF(QCI!$A$13:$A$24,ORÇAMENTO!E286)),OFFSET($D286,1,$C286,ROW($C$710)-ROW($C286)),0))</f>
        <v>0</v>
      </c>
      <c r="L286" s="143" t="str">
        <f t="shared" ca="1" si="134"/>
        <v/>
      </c>
      <c r="M286" s="144" t="s">
        <v>201</v>
      </c>
      <c r="N286" s="145" t="str">
        <f t="shared" ca="1" si="135"/>
        <v>Serviço</v>
      </c>
      <c r="O286" s="146" t="str">
        <f t="shared" ca="1" si="136"/>
        <v>-</v>
      </c>
      <c r="P286" s="147" t="s">
        <v>249</v>
      </c>
      <c r="Q286" s="148">
        <v>96132</v>
      </c>
      <c r="R286" s="149" t="str">
        <f t="shared" ca="1" si="150"/>
        <v>(abra o arquivo 'Referência 05-2024.xls)</v>
      </c>
      <c r="S286" s="150" t="str">
        <f t="shared" ca="1" si="151"/>
        <v>-</v>
      </c>
      <c r="T286" s="151">
        <f ca="1">OFFSET(CÁLCULO!H$15,ROW($T286)-ROW(T$15),0)</f>
        <v>105.93</v>
      </c>
      <c r="U286" s="152">
        <f t="shared" ca="1" si="149"/>
        <v>0</v>
      </c>
      <c r="V286" s="153" t="s">
        <v>158</v>
      </c>
      <c r="W286" s="151">
        <f t="shared" ca="1" si="137"/>
        <v>0</v>
      </c>
      <c r="X286" s="154">
        <f t="shared" ca="1" si="138"/>
        <v>0</v>
      </c>
      <c r="Y286" s="155" t="s">
        <v>583</v>
      </c>
      <c r="Z286" t="str">
        <f t="shared" ca="1" si="139"/>
        <v/>
      </c>
      <c r="AA286" s="156">
        <f ca="1">IF($C286="S",IF($Z286="CP",$X286,IF($Z286="RA",(($X286)*QCI!$AA$3),0)),SomaAgrup)</f>
        <v>0</v>
      </c>
      <c r="AB286" s="157">
        <f t="shared" ca="1" si="140"/>
        <v>0</v>
      </c>
      <c r="AC286" s="158" t="str">
        <f t="shared" ca="1" si="141"/>
        <v/>
      </c>
      <c r="AD286" s="104" t="str">
        <f ca="1">IF(C286&lt;=CRONO.NivelExibicao,MAX($AD$15:OFFSET(AD286,-1,0))+IF($C286&lt;&gt;1,1,MAX(1,COUNTIF(QCI!$A$13:$A$24,OFFSET($E286,-1,0)))),"")</f>
        <v/>
      </c>
      <c r="AE286" s="114" t="str">
        <f t="shared" ca="1" si="142"/>
        <v>SINAPI 96132</v>
      </c>
      <c r="AF286" s="159" t="str">
        <f t="shared" ca="1" si="143"/>
        <v>(abra o arquivo 'Referência 05-2024.xls)</v>
      </c>
      <c r="AG286" s="579">
        <f t="shared" ca="1" si="144"/>
        <v>0</v>
      </c>
      <c r="AH286" s="580">
        <f t="shared" ca="1" si="145"/>
        <v>0.22470000000000001</v>
      </c>
      <c r="AJ286" s="582">
        <v>105.93</v>
      </c>
      <c r="AL286" s="612"/>
      <c r="AM286" s="430">
        <f t="shared" ca="1" si="146"/>
        <v>0</v>
      </c>
      <c r="AN286" s="655">
        <f t="shared" ca="1" si="147"/>
        <v>0</v>
      </c>
    </row>
    <row r="287" spans="1:40" ht="13.8" x14ac:dyDescent="0.3">
      <c r="A287" t="str">
        <f t="shared" si="126"/>
        <v>S</v>
      </c>
      <c r="B287">
        <f t="shared" ca="1" si="127"/>
        <v>3</v>
      </c>
      <c r="C287" t="str">
        <f t="shared" ca="1" si="128"/>
        <v>S</v>
      </c>
      <c r="D287">
        <f t="shared" ca="1" si="129"/>
        <v>0</v>
      </c>
      <c r="E287">
        <f ca="1">IF($C287=1,OFFSET(E287,-1,0)+MAX(1,COUNTIF(QCI!$A$13:$A$24,OFFSET(ORÇAMENTO!E287,-1,0))),OFFSET(E287,-1,0))</f>
        <v>1</v>
      </c>
      <c r="F287">
        <f t="shared" ca="1" si="130"/>
        <v>11</v>
      </c>
      <c r="G287">
        <f t="shared" ca="1" si="131"/>
        <v>1</v>
      </c>
      <c r="H287">
        <f t="shared" ca="1" si="132"/>
        <v>0</v>
      </c>
      <c r="I287">
        <f t="shared" ca="1" si="133"/>
        <v>0</v>
      </c>
      <c r="J287">
        <f t="shared" ca="1" si="148"/>
        <v>0</v>
      </c>
      <c r="K287">
        <f ca="1">IF(OR($C287="S",$C287=0),0,MATCH(OFFSET($D287,0,$C287)+IF($C287&lt;&gt;1,1,COUNTIF(QCI!$A$13:$A$24,ORÇAMENTO!E287)),OFFSET($D287,1,$C287,ROW($C$710)-ROW($C287)),0))</f>
        <v>0</v>
      </c>
      <c r="L287" s="143" t="str">
        <f t="shared" ca="1" si="134"/>
        <v/>
      </c>
      <c r="M287" s="144" t="s">
        <v>201</v>
      </c>
      <c r="N287" s="145" t="str">
        <f t="shared" ca="1" si="135"/>
        <v>Serviço</v>
      </c>
      <c r="O287" s="146" t="str">
        <f t="shared" ca="1" si="136"/>
        <v>-</v>
      </c>
      <c r="P287" s="147" t="s">
        <v>249</v>
      </c>
      <c r="Q287" s="148">
        <v>88489</v>
      </c>
      <c r="R287" s="149" t="str">
        <f t="shared" ca="1" si="150"/>
        <v>(abra o arquivo 'Referência 05-2024.xls)</v>
      </c>
      <c r="S287" s="150" t="str">
        <f t="shared" ca="1" si="151"/>
        <v>-</v>
      </c>
      <c r="T287" s="151">
        <f ca="1">OFFSET(CÁLCULO!H$15,ROW($T287)-ROW(T$15),0)</f>
        <v>484.46</v>
      </c>
      <c r="U287" s="152">
        <f t="shared" ca="1" si="149"/>
        <v>0</v>
      </c>
      <c r="V287" s="153" t="s">
        <v>158</v>
      </c>
      <c r="W287" s="151">
        <f t="shared" ca="1" si="137"/>
        <v>0</v>
      </c>
      <c r="X287" s="154">
        <f t="shared" ca="1" si="138"/>
        <v>0</v>
      </c>
      <c r="Y287" s="155" t="s">
        <v>583</v>
      </c>
      <c r="Z287" t="str">
        <f t="shared" ca="1" si="139"/>
        <v/>
      </c>
      <c r="AA287" s="156">
        <f ca="1">IF($C287="S",IF($Z287="CP",$X287,IF($Z287="RA",(($X287)*QCI!$AA$3),0)),SomaAgrup)</f>
        <v>0</v>
      </c>
      <c r="AB287" s="157">
        <f t="shared" ca="1" si="140"/>
        <v>0</v>
      </c>
      <c r="AC287" s="158" t="str">
        <f t="shared" ca="1" si="141"/>
        <v/>
      </c>
      <c r="AD287" s="104" t="str">
        <f ca="1">IF(C287&lt;=CRONO.NivelExibicao,MAX($AD$15:OFFSET(AD287,-1,0))+IF($C287&lt;&gt;1,1,MAX(1,COUNTIF(QCI!$A$13:$A$24,OFFSET($E287,-1,0)))),"")</f>
        <v/>
      </c>
      <c r="AE287" s="114" t="str">
        <f t="shared" ca="1" si="142"/>
        <v>SINAPI 88489</v>
      </c>
      <c r="AF287" s="159" t="str">
        <f t="shared" ca="1" si="143"/>
        <v>(abra o arquivo 'Referência 05-2024.xls)</v>
      </c>
      <c r="AG287" s="579">
        <f t="shared" ca="1" si="144"/>
        <v>0</v>
      </c>
      <c r="AH287" s="580">
        <f t="shared" ca="1" si="145"/>
        <v>0.22470000000000001</v>
      </c>
      <c r="AJ287" s="582">
        <v>484.46</v>
      </c>
      <c r="AL287" s="612"/>
      <c r="AM287" s="430">
        <f t="shared" ca="1" si="146"/>
        <v>0</v>
      </c>
      <c r="AN287" s="655">
        <f t="shared" ca="1" si="147"/>
        <v>0</v>
      </c>
    </row>
    <row r="288" spans="1:40" ht="13.8" x14ac:dyDescent="0.3">
      <c r="A288" t="str">
        <f t="shared" si="126"/>
        <v>S</v>
      </c>
      <c r="B288">
        <f t="shared" ca="1" si="127"/>
        <v>3</v>
      </c>
      <c r="C288" t="str">
        <f t="shared" ca="1" si="128"/>
        <v>S</v>
      </c>
      <c r="D288">
        <f t="shared" ca="1" si="129"/>
        <v>0</v>
      </c>
      <c r="E288">
        <f ca="1">IF($C288=1,OFFSET(E288,-1,0)+MAX(1,COUNTIF(QCI!$A$13:$A$24,OFFSET(ORÇAMENTO!E288,-1,0))),OFFSET(E288,-1,0))</f>
        <v>1</v>
      </c>
      <c r="F288">
        <f t="shared" ca="1" si="130"/>
        <v>11</v>
      </c>
      <c r="G288">
        <f t="shared" ca="1" si="131"/>
        <v>1</v>
      </c>
      <c r="H288">
        <f t="shared" ca="1" si="132"/>
        <v>0</v>
      </c>
      <c r="I288">
        <f t="shared" ca="1" si="133"/>
        <v>0</v>
      </c>
      <c r="J288">
        <f t="shared" ca="1" si="148"/>
        <v>0</v>
      </c>
      <c r="K288">
        <f ca="1">IF(OR($C288="S",$C288=0),0,MATCH(OFFSET($D288,0,$C288)+IF($C288&lt;&gt;1,1,COUNTIF(QCI!$A$13:$A$24,ORÇAMENTO!E288)),OFFSET($D288,1,$C288,ROW($C$710)-ROW($C288)),0))</f>
        <v>0</v>
      </c>
      <c r="L288" s="143" t="str">
        <f t="shared" ca="1" si="134"/>
        <v/>
      </c>
      <c r="M288" s="144" t="s">
        <v>201</v>
      </c>
      <c r="N288" s="145" t="str">
        <f t="shared" ca="1" si="135"/>
        <v>Serviço</v>
      </c>
      <c r="O288" s="146" t="str">
        <f t="shared" ca="1" si="136"/>
        <v>-</v>
      </c>
      <c r="P288" s="147" t="s">
        <v>249</v>
      </c>
      <c r="Q288" s="148">
        <v>88488</v>
      </c>
      <c r="R288" s="149" t="str">
        <f t="shared" ca="1" si="150"/>
        <v>(abra o arquivo 'Referência 05-2024.xls)</v>
      </c>
      <c r="S288" s="150" t="str">
        <f t="shared" ca="1" si="151"/>
        <v>-</v>
      </c>
      <c r="T288" s="151">
        <f ca="1">OFFSET(CÁLCULO!H$15,ROW($T288)-ROW(T$15),0)</f>
        <v>338.11</v>
      </c>
      <c r="U288" s="152">
        <f t="shared" ca="1" si="149"/>
        <v>0</v>
      </c>
      <c r="V288" s="153" t="s">
        <v>158</v>
      </c>
      <c r="W288" s="151">
        <f t="shared" ca="1" si="137"/>
        <v>0</v>
      </c>
      <c r="X288" s="154">
        <f t="shared" ca="1" si="138"/>
        <v>0</v>
      </c>
      <c r="Y288" s="155" t="s">
        <v>583</v>
      </c>
      <c r="Z288" t="str">
        <f t="shared" ca="1" si="139"/>
        <v/>
      </c>
      <c r="AA288" s="156">
        <f ca="1">IF($C288="S",IF($Z288="CP",$X288,IF($Z288="RA",(($X288)*QCI!$AA$3),0)),SomaAgrup)</f>
        <v>0</v>
      </c>
      <c r="AB288" s="157">
        <f t="shared" ca="1" si="140"/>
        <v>0</v>
      </c>
      <c r="AC288" s="158" t="str">
        <f t="shared" ca="1" si="141"/>
        <v/>
      </c>
      <c r="AD288" s="104" t="str">
        <f ca="1">IF(C288&lt;=CRONO.NivelExibicao,MAX($AD$15:OFFSET(AD288,-1,0))+IF($C288&lt;&gt;1,1,MAX(1,COUNTIF(QCI!$A$13:$A$24,OFFSET($E288,-1,0)))),"")</f>
        <v/>
      </c>
      <c r="AE288" s="114" t="str">
        <f t="shared" ca="1" si="142"/>
        <v>SINAPI 88488</v>
      </c>
      <c r="AF288" s="159" t="str">
        <f t="shared" ca="1" si="143"/>
        <v>(abra o arquivo 'Referência 05-2024.xls)</v>
      </c>
      <c r="AG288" s="579">
        <f t="shared" ca="1" si="144"/>
        <v>0</v>
      </c>
      <c r="AH288" s="580">
        <f t="shared" ca="1" si="145"/>
        <v>0.22470000000000001</v>
      </c>
      <c r="AJ288" s="582">
        <v>338.11</v>
      </c>
      <c r="AL288" s="612"/>
      <c r="AM288" s="430">
        <f t="shared" ca="1" si="146"/>
        <v>0</v>
      </c>
      <c r="AN288" s="655">
        <f t="shared" ca="1" si="147"/>
        <v>0</v>
      </c>
    </row>
    <row r="289" spans="1:40" ht="13.8" x14ac:dyDescent="0.3">
      <c r="A289" t="str">
        <f t="shared" si="126"/>
        <v>S</v>
      </c>
      <c r="B289">
        <f t="shared" ca="1" si="127"/>
        <v>3</v>
      </c>
      <c r="C289" t="str">
        <f t="shared" ca="1" si="128"/>
        <v>S</v>
      </c>
      <c r="D289">
        <f t="shared" ca="1" si="129"/>
        <v>0</v>
      </c>
      <c r="E289">
        <f ca="1">IF($C289=1,OFFSET(E289,-1,0)+MAX(1,COUNTIF(QCI!$A$13:$A$24,OFFSET(ORÇAMENTO!E289,-1,0))),OFFSET(E289,-1,0))</f>
        <v>1</v>
      </c>
      <c r="F289">
        <f t="shared" ca="1" si="130"/>
        <v>11</v>
      </c>
      <c r="G289">
        <f t="shared" ca="1" si="131"/>
        <v>1</v>
      </c>
      <c r="H289">
        <f t="shared" ca="1" si="132"/>
        <v>0</v>
      </c>
      <c r="I289">
        <f t="shared" ca="1" si="133"/>
        <v>0</v>
      </c>
      <c r="J289">
        <f t="shared" ca="1" si="148"/>
        <v>0</v>
      </c>
      <c r="K289">
        <f ca="1">IF(OR($C289="S",$C289=0),0,MATCH(OFFSET($D289,0,$C289)+IF($C289&lt;&gt;1,1,COUNTIF(QCI!$A$13:$A$24,ORÇAMENTO!E289)),OFFSET($D289,1,$C289,ROW($C$710)-ROW($C289)),0))</f>
        <v>0</v>
      </c>
      <c r="L289" s="143" t="str">
        <f t="shared" ca="1" si="134"/>
        <v/>
      </c>
      <c r="M289" s="144" t="s">
        <v>201</v>
      </c>
      <c r="N289" s="145" t="str">
        <f t="shared" ca="1" si="135"/>
        <v>Serviço</v>
      </c>
      <c r="O289" s="146" t="str">
        <f t="shared" ca="1" si="136"/>
        <v>-</v>
      </c>
      <c r="P289" s="147" t="s">
        <v>249</v>
      </c>
      <c r="Q289" s="148">
        <v>88489</v>
      </c>
      <c r="R289" s="149" t="str">
        <f t="shared" ca="1" si="150"/>
        <v>(abra o arquivo 'Referência 05-2024.xls)</v>
      </c>
      <c r="S289" s="150" t="str">
        <f t="shared" ca="1" si="151"/>
        <v>-</v>
      </c>
      <c r="T289" s="151">
        <f ca="1">OFFSET(CÁLCULO!H$15,ROW($T289)-ROW(T$15),0)</f>
        <v>212.58</v>
      </c>
      <c r="U289" s="152">
        <f t="shared" ca="1" si="149"/>
        <v>0</v>
      </c>
      <c r="V289" s="153" t="s">
        <v>158</v>
      </c>
      <c r="W289" s="151">
        <f t="shared" ca="1" si="137"/>
        <v>0</v>
      </c>
      <c r="X289" s="154">
        <f t="shared" ca="1" si="138"/>
        <v>0</v>
      </c>
      <c r="Y289" s="155" t="s">
        <v>583</v>
      </c>
      <c r="Z289" t="str">
        <f t="shared" ca="1" si="139"/>
        <v/>
      </c>
      <c r="AA289" s="156">
        <f ca="1">IF($C289="S",IF($Z289="CP",$X289,IF($Z289="RA",(($X289)*QCI!$AA$3),0)),SomaAgrup)</f>
        <v>0</v>
      </c>
      <c r="AB289" s="157">
        <f t="shared" ca="1" si="140"/>
        <v>0</v>
      </c>
      <c r="AC289" s="158" t="str">
        <f t="shared" ca="1" si="141"/>
        <v/>
      </c>
      <c r="AD289" s="104" t="str">
        <f ca="1">IF(C289&lt;=CRONO.NivelExibicao,MAX($AD$15:OFFSET(AD289,-1,0))+IF($C289&lt;&gt;1,1,MAX(1,COUNTIF(QCI!$A$13:$A$24,OFFSET($E289,-1,0)))),"")</f>
        <v/>
      </c>
      <c r="AE289" s="114" t="str">
        <f t="shared" ca="1" si="142"/>
        <v>SINAPI 88489</v>
      </c>
      <c r="AF289" s="159" t="str">
        <f t="shared" ca="1" si="143"/>
        <v>(abra o arquivo 'Referência 05-2024.xls)</v>
      </c>
      <c r="AG289" s="579">
        <f t="shared" ca="1" si="144"/>
        <v>0</v>
      </c>
      <c r="AH289" s="580">
        <f t="shared" ca="1" si="145"/>
        <v>0.22470000000000001</v>
      </c>
      <c r="AJ289" s="582">
        <v>212.58</v>
      </c>
      <c r="AL289" s="612"/>
      <c r="AM289" s="430">
        <f t="shared" ca="1" si="146"/>
        <v>0</v>
      </c>
      <c r="AN289" s="655">
        <f t="shared" ca="1" si="147"/>
        <v>0</v>
      </c>
    </row>
    <row r="290" spans="1:40" ht="13.8" x14ac:dyDescent="0.3">
      <c r="A290" t="str">
        <f t="shared" si="126"/>
        <v>S</v>
      </c>
      <c r="B290">
        <f t="shared" ca="1" si="127"/>
        <v>3</v>
      </c>
      <c r="C290" t="str">
        <f t="shared" ca="1" si="128"/>
        <v>S</v>
      </c>
      <c r="D290">
        <f t="shared" ca="1" si="129"/>
        <v>0</v>
      </c>
      <c r="E290">
        <f ca="1">IF($C290=1,OFFSET(E290,-1,0)+MAX(1,COUNTIF(QCI!$A$13:$A$24,OFFSET(ORÇAMENTO!E290,-1,0))),OFFSET(E290,-1,0))</f>
        <v>1</v>
      </c>
      <c r="F290">
        <f t="shared" ca="1" si="130"/>
        <v>11</v>
      </c>
      <c r="G290">
        <f t="shared" ca="1" si="131"/>
        <v>1</v>
      </c>
      <c r="H290">
        <f t="shared" ca="1" si="132"/>
        <v>0</v>
      </c>
      <c r="I290">
        <f t="shared" ca="1" si="133"/>
        <v>0</v>
      </c>
      <c r="J290">
        <f t="shared" ca="1" si="148"/>
        <v>0</v>
      </c>
      <c r="K290">
        <f ca="1">IF(OR($C290="S",$C290=0),0,MATCH(OFFSET($D290,0,$C290)+IF($C290&lt;&gt;1,1,COUNTIF(QCI!$A$13:$A$24,ORÇAMENTO!E290)),OFFSET($D290,1,$C290,ROW($C$710)-ROW($C290)),0))</f>
        <v>0</v>
      </c>
      <c r="L290" s="143" t="str">
        <f t="shared" ca="1" si="134"/>
        <v/>
      </c>
      <c r="M290" s="144" t="s">
        <v>201</v>
      </c>
      <c r="N290" s="145" t="str">
        <f t="shared" ca="1" si="135"/>
        <v>Serviço</v>
      </c>
      <c r="O290" s="146" t="str">
        <f t="shared" ca="1" si="136"/>
        <v>-</v>
      </c>
      <c r="P290" s="147" t="s">
        <v>249</v>
      </c>
      <c r="Q290" s="148">
        <v>88489</v>
      </c>
      <c r="R290" s="149" t="str">
        <f t="shared" ca="1" si="150"/>
        <v>(abra o arquivo 'Referência 05-2024.xls)</v>
      </c>
      <c r="S290" s="150" t="str">
        <f t="shared" ca="1" si="151"/>
        <v>-</v>
      </c>
      <c r="T290" s="151">
        <f ca="1">OFFSET(CÁLCULO!H$15,ROW($T290)-ROW(T$15),0)</f>
        <v>11.18</v>
      </c>
      <c r="U290" s="152">
        <f t="shared" ca="1" si="149"/>
        <v>0</v>
      </c>
      <c r="V290" s="153" t="s">
        <v>158</v>
      </c>
      <c r="W290" s="151">
        <f t="shared" ca="1" si="137"/>
        <v>0</v>
      </c>
      <c r="X290" s="154">
        <f t="shared" ca="1" si="138"/>
        <v>0</v>
      </c>
      <c r="Y290" s="155" t="s">
        <v>583</v>
      </c>
      <c r="Z290" t="str">
        <f t="shared" ca="1" si="139"/>
        <v/>
      </c>
      <c r="AA290" s="156">
        <f ca="1">IF($C290="S",IF($Z290="CP",$X290,IF($Z290="RA",(($X290)*QCI!$AA$3),0)),SomaAgrup)</f>
        <v>0</v>
      </c>
      <c r="AB290" s="157">
        <f t="shared" ca="1" si="140"/>
        <v>0</v>
      </c>
      <c r="AC290" s="158" t="str">
        <f t="shared" ca="1" si="141"/>
        <v/>
      </c>
      <c r="AD290" s="104" t="str">
        <f ca="1">IF(C290&lt;=CRONO.NivelExibicao,MAX($AD$15:OFFSET(AD290,-1,0))+IF($C290&lt;&gt;1,1,MAX(1,COUNTIF(QCI!$A$13:$A$24,OFFSET($E290,-1,0)))),"")</f>
        <v/>
      </c>
      <c r="AE290" s="114" t="str">
        <f t="shared" ca="1" si="142"/>
        <v>SINAPI 88489</v>
      </c>
      <c r="AF290" s="159" t="str">
        <f t="shared" ca="1" si="143"/>
        <v>(abra o arquivo 'Referência 05-2024.xls)</v>
      </c>
      <c r="AG290" s="579">
        <f t="shared" ca="1" si="144"/>
        <v>0</v>
      </c>
      <c r="AH290" s="580">
        <f t="shared" ca="1" si="145"/>
        <v>0.22470000000000001</v>
      </c>
      <c r="AJ290" s="582">
        <v>11.18</v>
      </c>
      <c r="AL290" s="612"/>
      <c r="AM290" s="430">
        <f t="shared" ca="1" si="146"/>
        <v>0</v>
      </c>
      <c r="AN290" s="655">
        <f t="shared" ca="1" si="147"/>
        <v>0</v>
      </c>
    </row>
    <row r="291" spans="1:40" ht="13.8" x14ac:dyDescent="0.3">
      <c r="A291" t="str">
        <f t="shared" si="126"/>
        <v>S</v>
      </c>
      <c r="B291">
        <f t="shared" ca="1" si="127"/>
        <v>3</v>
      </c>
      <c r="C291" t="str">
        <f t="shared" ca="1" si="128"/>
        <v>S</v>
      </c>
      <c r="D291">
        <f t="shared" ca="1" si="129"/>
        <v>0</v>
      </c>
      <c r="E291">
        <f ca="1">IF($C291=1,OFFSET(E291,-1,0)+MAX(1,COUNTIF(QCI!$A$13:$A$24,OFFSET(ORÇAMENTO!E291,-1,0))),OFFSET(E291,-1,0))</f>
        <v>1</v>
      </c>
      <c r="F291">
        <f t="shared" ca="1" si="130"/>
        <v>11</v>
      </c>
      <c r="G291">
        <f t="shared" ca="1" si="131"/>
        <v>1</v>
      </c>
      <c r="H291">
        <f t="shared" ca="1" si="132"/>
        <v>0</v>
      </c>
      <c r="I291">
        <f t="shared" ca="1" si="133"/>
        <v>0</v>
      </c>
      <c r="J291">
        <f t="shared" ca="1" si="148"/>
        <v>0</v>
      </c>
      <c r="K291">
        <f ca="1">IF(OR($C291="S",$C291=0),0,MATCH(OFFSET($D291,0,$C291)+IF($C291&lt;&gt;1,1,COUNTIF(QCI!$A$13:$A$24,ORÇAMENTO!E291)),OFFSET($D291,1,$C291,ROW($C$710)-ROW($C291)),0))</f>
        <v>0</v>
      </c>
      <c r="L291" s="143" t="str">
        <f t="shared" ca="1" si="134"/>
        <v/>
      </c>
      <c r="M291" s="144" t="s">
        <v>201</v>
      </c>
      <c r="N291" s="145" t="str">
        <f t="shared" ca="1" si="135"/>
        <v>Serviço</v>
      </c>
      <c r="O291" s="146" t="str">
        <f t="shared" ca="1" si="136"/>
        <v>-</v>
      </c>
      <c r="P291" s="147" t="s">
        <v>249</v>
      </c>
      <c r="Q291" s="148">
        <v>88489</v>
      </c>
      <c r="R291" s="149" t="str">
        <f t="shared" ca="1" si="150"/>
        <v>(abra o arquivo 'Referência 05-2024.xls)</v>
      </c>
      <c r="S291" s="150" t="str">
        <f t="shared" ca="1" si="151"/>
        <v>-</v>
      </c>
      <c r="T291" s="151">
        <f ca="1">OFFSET(CÁLCULO!H$15,ROW($T291)-ROW(T$15),0)</f>
        <v>105.93</v>
      </c>
      <c r="U291" s="152">
        <f t="shared" ca="1" si="149"/>
        <v>0</v>
      </c>
      <c r="V291" s="153" t="s">
        <v>158</v>
      </c>
      <c r="W291" s="151">
        <f t="shared" ca="1" si="137"/>
        <v>0</v>
      </c>
      <c r="X291" s="154">
        <f t="shared" ca="1" si="138"/>
        <v>0</v>
      </c>
      <c r="Y291" s="155" t="s">
        <v>583</v>
      </c>
      <c r="Z291" t="str">
        <f t="shared" ca="1" si="139"/>
        <v/>
      </c>
      <c r="AA291" s="156">
        <f ca="1">IF($C291="S",IF($Z291="CP",$X291,IF($Z291="RA",(($X291)*QCI!$AA$3),0)),SomaAgrup)</f>
        <v>0</v>
      </c>
      <c r="AB291" s="157">
        <f t="shared" ca="1" si="140"/>
        <v>0</v>
      </c>
      <c r="AC291" s="158" t="str">
        <f t="shared" ca="1" si="141"/>
        <v/>
      </c>
      <c r="AD291" s="104" t="str">
        <f ca="1">IF(C291&lt;=CRONO.NivelExibicao,MAX($AD$15:OFFSET(AD291,-1,0))+IF($C291&lt;&gt;1,1,MAX(1,COUNTIF(QCI!$A$13:$A$24,OFFSET($E291,-1,0)))),"")</f>
        <v/>
      </c>
      <c r="AE291" s="114" t="str">
        <f t="shared" ca="1" si="142"/>
        <v>SINAPI 88489</v>
      </c>
      <c r="AF291" s="159" t="str">
        <f t="shared" ca="1" si="143"/>
        <v>(abra o arquivo 'Referência 05-2024.xls)</v>
      </c>
      <c r="AG291" s="579">
        <f t="shared" ca="1" si="144"/>
        <v>0</v>
      </c>
      <c r="AH291" s="580">
        <f t="shared" ca="1" si="145"/>
        <v>0.22470000000000001</v>
      </c>
      <c r="AJ291" s="582">
        <v>105.93</v>
      </c>
      <c r="AL291" s="612"/>
      <c r="AM291" s="430">
        <f t="shared" ca="1" si="146"/>
        <v>0</v>
      </c>
      <c r="AN291" s="655">
        <f t="shared" ca="1" si="147"/>
        <v>0</v>
      </c>
    </row>
    <row r="292" spans="1:40" ht="13.8" x14ac:dyDescent="0.3">
      <c r="A292" t="str">
        <f t="shared" si="126"/>
        <v>S</v>
      </c>
      <c r="B292">
        <f t="shared" ca="1" si="127"/>
        <v>3</v>
      </c>
      <c r="C292" t="str">
        <f t="shared" ca="1" si="128"/>
        <v>S</v>
      </c>
      <c r="D292">
        <f t="shared" ca="1" si="129"/>
        <v>0</v>
      </c>
      <c r="E292">
        <f ca="1">IF($C292=1,OFFSET(E292,-1,0)+MAX(1,COUNTIF(QCI!$A$13:$A$24,OFFSET(ORÇAMENTO!E292,-1,0))),OFFSET(E292,-1,0))</f>
        <v>1</v>
      </c>
      <c r="F292">
        <f t="shared" ca="1" si="130"/>
        <v>11</v>
      </c>
      <c r="G292">
        <f t="shared" ca="1" si="131"/>
        <v>1</v>
      </c>
      <c r="H292">
        <f t="shared" ca="1" si="132"/>
        <v>0</v>
      </c>
      <c r="I292">
        <f t="shared" ca="1" si="133"/>
        <v>0</v>
      </c>
      <c r="J292">
        <f t="shared" ca="1" si="148"/>
        <v>0</v>
      </c>
      <c r="K292">
        <f ca="1">IF(OR($C292="S",$C292=0),0,MATCH(OFFSET($D292,0,$C292)+IF($C292&lt;&gt;1,1,COUNTIF(QCI!$A$13:$A$24,ORÇAMENTO!E292)),OFFSET($D292,1,$C292,ROW($C$710)-ROW($C292)),0))</f>
        <v>0</v>
      </c>
      <c r="L292" s="143" t="str">
        <f t="shared" ca="1" si="134"/>
        <v/>
      </c>
      <c r="M292" s="144" t="s">
        <v>201</v>
      </c>
      <c r="N292" s="145" t="str">
        <f t="shared" ca="1" si="135"/>
        <v>Serviço</v>
      </c>
      <c r="O292" s="146" t="str">
        <f t="shared" ca="1" si="136"/>
        <v>-</v>
      </c>
      <c r="P292" s="147" t="s">
        <v>249</v>
      </c>
      <c r="Q292" s="148">
        <v>102219</v>
      </c>
      <c r="R292" s="149" t="str">
        <f t="shared" ca="1" si="150"/>
        <v>(abra o arquivo 'Referência 05-2024.xls)</v>
      </c>
      <c r="S292" s="150" t="str">
        <f t="shared" ca="1" si="151"/>
        <v>-</v>
      </c>
      <c r="T292" s="151">
        <f ca="1">OFFSET(CÁLCULO!H$15,ROW($T292)-ROW(T$15),0)</f>
        <v>113.4</v>
      </c>
      <c r="U292" s="152">
        <f t="shared" ca="1" si="149"/>
        <v>0</v>
      </c>
      <c r="V292" s="153" t="s">
        <v>158</v>
      </c>
      <c r="W292" s="151">
        <f t="shared" ca="1" si="137"/>
        <v>0</v>
      </c>
      <c r="X292" s="154">
        <f t="shared" ca="1" si="138"/>
        <v>0</v>
      </c>
      <c r="Y292" s="155" t="s">
        <v>583</v>
      </c>
      <c r="Z292" t="str">
        <f t="shared" ca="1" si="139"/>
        <v/>
      </c>
      <c r="AA292" s="156">
        <f ca="1">IF($C292="S",IF($Z292="CP",$X292,IF($Z292="RA",(($X292)*QCI!$AA$3),0)),SomaAgrup)</f>
        <v>0</v>
      </c>
      <c r="AB292" s="157">
        <f t="shared" ca="1" si="140"/>
        <v>0</v>
      </c>
      <c r="AC292" s="158" t="str">
        <f t="shared" ca="1" si="141"/>
        <v/>
      </c>
      <c r="AD292" s="104" t="str">
        <f ca="1">IF(C292&lt;=CRONO.NivelExibicao,MAX($AD$15:OFFSET(AD292,-1,0))+IF($C292&lt;&gt;1,1,MAX(1,COUNTIF(QCI!$A$13:$A$24,OFFSET($E292,-1,0)))),"")</f>
        <v/>
      </c>
      <c r="AE292" s="114" t="str">
        <f t="shared" ca="1" si="142"/>
        <v>SINAPI 102219</v>
      </c>
      <c r="AF292" s="159" t="str">
        <f t="shared" ca="1" si="143"/>
        <v>(abra o arquivo 'Referência 05-2024.xls)</v>
      </c>
      <c r="AG292" s="579">
        <f t="shared" ca="1" si="144"/>
        <v>0</v>
      </c>
      <c r="AH292" s="580">
        <f t="shared" ca="1" si="145"/>
        <v>0.22470000000000001</v>
      </c>
      <c r="AJ292" s="582">
        <v>113.4</v>
      </c>
      <c r="AL292" s="612"/>
      <c r="AM292" s="430">
        <f t="shared" ca="1" si="146"/>
        <v>0</v>
      </c>
      <c r="AN292" s="655">
        <f t="shared" ca="1" si="147"/>
        <v>0</v>
      </c>
    </row>
    <row r="293" spans="1:40" ht="13.8" x14ac:dyDescent="0.3">
      <c r="A293" t="str">
        <f t="shared" si="126"/>
        <v>S</v>
      </c>
      <c r="B293">
        <f t="shared" ca="1" si="127"/>
        <v>3</v>
      </c>
      <c r="C293" t="str">
        <f t="shared" ca="1" si="128"/>
        <v>S</v>
      </c>
      <c r="D293">
        <f t="shared" ca="1" si="129"/>
        <v>0</v>
      </c>
      <c r="E293">
        <f ca="1">IF($C293=1,OFFSET(E293,-1,0)+MAX(1,COUNTIF(QCI!$A$13:$A$24,OFFSET(ORÇAMENTO!E293,-1,0))),OFFSET(E293,-1,0))</f>
        <v>1</v>
      </c>
      <c r="F293">
        <f t="shared" ca="1" si="130"/>
        <v>11</v>
      </c>
      <c r="G293">
        <f t="shared" ca="1" si="131"/>
        <v>1</v>
      </c>
      <c r="H293">
        <f t="shared" ca="1" si="132"/>
        <v>0</v>
      </c>
      <c r="I293">
        <f t="shared" ca="1" si="133"/>
        <v>0</v>
      </c>
      <c r="J293">
        <f t="shared" ca="1" si="148"/>
        <v>0</v>
      </c>
      <c r="K293">
        <f ca="1">IF(OR($C293="S",$C293=0),0,MATCH(OFFSET($D293,0,$C293)+IF($C293&lt;&gt;1,1,COUNTIF(QCI!$A$13:$A$24,ORÇAMENTO!E293)),OFFSET($D293,1,$C293,ROW($C$710)-ROW($C293)),0))</f>
        <v>0</v>
      </c>
      <c r="L293" s="143" t="str">
        <f t="shared" ca="1" si="134"/>
        <v/>
      </c>
      <c r="M293" s="144" t="s">
        <v>201</v>
      </c>
      <c r="N293" s="145" t="str">
        <f t="shared" ca="1" si="135"/>
        <v>Serviço</v>
      </c>
      <c r="O293" s="146" t="str">
        <f t="shared" ca="1" si="136"/>
        <v>-</v>
      </c>
      <c r="P293" s="147" t="s">
        <v>249</v>
      </c>
      <c r="Q293" s="148">
        <v>102219</v>
      </c>
      <c r="R293" s="149" t="str">
        <f t="shared" ca="1" si="150"/>
        <v>(abra o arquivo 'Referência 05-2024.xls)</v>
      </c>
      <c r="S293" s="150" t="str">
        <f t="shared" ca="1" si="151"/>
        <v>-</v>
      </c>
      <c r="T293" s="151">
        <f ca="1">OFFSET(CÁLCULO!H$15,ROW($T293)-ROW(T$15),0)</f>
        <v>16.88</v>
      </c>
      <c r="U293" s="152">
        <f t="shared" ca="1" si="149"/>
        <v>0</v>
      </c>
      <c r="V293" s="153" t="s">
        <v>158</v>
      </c>
      <c r="W293" s="151">
        <f t="shared" ca="1" si="137"/>
        <v>0</v>
      </c>
      <c r="X293" s="154">
        <f t="shared" ca="1" si="138"/>
        <v>0</v>
      </c>
      <c r="Y293" s="155" t="s">
        <v>583</v>
      </c>
      <c r="Z293" t="str">
        <f t="shared" ca="1" si="139"/>
        <v/>
      </c>
      <c r="AA293" s="156">
        <f ca="1">IF($C293="S",IF($Z293="CP",$X293,IF($Z293="RA",(($X293)*QCI!$AA$3),0)),SomaAgrup)</f>
        <v>0</v>
      </c>
      <c r="AB293" s="157">
        <f t="shared" ca="1" si="140"/>
        <v>0</v>
      </c>
      <c r="AC293" s="158" t="str">
        <f t="shared" ca="1" si="141"/>
        <v/>
      </c>
      <c r="AD293" s="104" t="str">
        <f ca="1">IF(C293&lt;=CRONO.NivelExibicao,MAX($AD$15:OFFSET(AD293,-1,0))+IF($C293&lt;&gt;1,1,MAX(1,COUNTIF(QCI!$A$13:$A$24,OFFSET($E293,-1,0)))),"")</f>
        <v/>
      </c>
      <c r="AE293" s="114" t="str">
        <f t="shared" ca="1" si="142"/>
        <v>SINAPI 102219</v>
      </c>
      <c r="AF293" s="159" t="str">
        <f t="shared" ca="1" si="143"/>
        <v>(abra o arquivo 'Referência 05-2024.xls)</v>
      </c>
      <c r="AG293" s="579">
        <f t="shared" ca="1" si="144"/>
        <v>0</v>
      </c>
      <c r="AH293" s="580">
        <f t="shared" ca="1" si="145"/>
        <v>0.22470000000000001</v>
      </c>
      <c r="AJ293" s="582">
        <v>16.88</v>
      </c>
      <c r="AL293" s="612"/>
      <c r="AM293" s="430">
        <f t="shared" ca="1" si="146"/>
        <v>0</v>
      </c>
      <c r="AN293" s="655">
        <f t="shared" ca="1" si="147"/>
        <v>0</v>
      </c>
    </row>
    <row r="294" spans="1:40" ht="13.8" x14ac:dyDescent="0.3">
      <c r="A294" t="str">
        <f t="shared" si="126"/>
        <v>S</v>
      </c>
      <c r="B294">
        <f t="shared" ca="1" si="127"/>
        <v>3</v>
      </c>
      <c r="C294" t="str">
        <f t="shared" ca="1" si="128"/>
        <v>S</v>
      </c>
      <c r="D294">
        <f t="shared" ca="1" si="129"/>
        <v>0</v>
      </c>
      <c r="E294">
        <f ca="1">IF($C294=1,OFFSET(E294,-1,0)+MAX(1,COUNTIF(QCI!$A$13:$A$24,OFFSET(ORÇAMENTO!E294,-1,0))),OFFSET(E294,-1,0))</f>
        <v>1</v>
      </c>
      <c r="F294">
        <f t="shared" ca="1" si="130"/>
        <v>11</v>
      </c>
      <c r="G294">
        <f t="shared" ca="1" si="131"/>
        <v>1</v>
      </c>
      <c r="H294">
        <f t="shared" ca="1" si="132"/>
        <v>0</v>
      </c>
      <c r="I294">
        <f t="shared" ca="1" si="133"/>
        <v>0</v>
      </c>
      <c r="J294">
        <f t="shared" ca="1" si="148"/>
        <v>0</v>
      </c>
      <c r="K294">
        <f ca="1">IF(OR($C294="S",$C294=0),0,MATCH(OFFSET($D294,0,$C294)+IF($C294&lt;&gt;1,1,COUNTIF(QCI!$A$13:$A$24,ORÇAMENTO!E294)),OFFSET($D294,1,$C294,ROW($C$710)-ROW($C294)),0))</f>
        <v>0</v>
      </c>
      <c r="L294" s="143" t="str">
        <f t="shared" ca="1" si="134"/>
        <v/>
      </c>
      <c r="M294" s="144" t="s">
        <v>201</v>
      </c>
      <c r="N294" s="145" t="str">
        <f t="shared" ca="1" si="135"/>
        <v>Serviço</v>
      </c>
      <c r="O294" s="146" t="str">
        <f t="shared" ca="1" si="136"/>
        <v>-</v>
      </c>
      <c r="P294" s="147" t="s">
        <v>249</v>
      </c>
      <c r="Q294" s="148">
        <v>88489</v>
      </c>
      <c r="R294" s="149" t="str">
        <f t="shared" ca="1" si="150"/>
        <v>(abra o arquivo 'Referência 05-2024.xls)</v>
      </c>
      <c r="S294" s="150" t="str">
        <f t="shared" ca="1" si="151"/>
        <v>-</v>
      </c>
      <c r="T294" s="151">
        <f ca="1">OFFSET(CÁLCULO!H$15,ROW($T294)-ROW(T$15),0)</f>
        <v>173.86</v>
      </c>
      <c r="U294" s="152">
        <f t="shared" ca="1" si="149"/>
        <v>0</v>
      </c>
      <c r="V294" s="153" t="s">
        <v>158</v>
      </c>
      <c r="W294" s="151">
        <f t="shared" ca="1" si="137"/>
        <v>0</v>
      </c>
      <c r="X294" s="154">
        <f t="shared" ca="1" si="138"/>
        <v>0</v>
      </c>
      <c r="Y294" s="155" t="s">
        <v>583</v>
      </c>
      <c r="Z294" t="str">
        <f t="shared" ca="1" si="139"/>
        <v/>
      </c>
      <c r="AA294" s="156">
        <f ca="1">IF($C294="S",IF($Z294="CP",$X294,IF($Z294="RA",(($X294)*QCI!$AA$3),0)),SomaAgrup)</f>
        <v>0</v>
      </c>
      <c r="AB294" s="157">
        <f t="shared" ca="1" si="140"/>
        <v>0</v>
      </c>
      <c r="AC294" s="158" t="str">
        <f t="shared" ca="1" si="141"/>
        <v/>
      </c>
      <c r="AD294" s="104" t="str">
        <f ca="1">IF(C294&lt;=CRONO.NivelExibicao,MAX($AD$15:OFFSET(AD294,-1,0))+IF($C294&lt;&gt;1,1,MAX(1,COUNTIF(QCI!$A$13:$A$24,OFFSET($E294,-1,0)))),"")</f>
        <v/>
      </c>
      <c r="AE294" s="114" t="str">
        <f t="shared" ca="1" si="142"/>
        <v>SINAPI 88489</v>
      </c>
      <c r="AF294" s="159" t="str">
        <f t="shared" ca="1" si="143"/>
        <v>(abra o arquivo 'Referência 05-2024.xls)</v>
      </c>
      <c r="AG294" s="579">
        <f t="shared" ca="1" si="144"/>
        <v>0</v>
      </c>
      <c r="AH294" s="580">
        <f t="shared" ca="1" si="145"/>
        <v>0.22470000000000001</v>
      </c>
      <c r="AJ294" s="582">
        <v>173.86</v>
      </c>
      <c r="AL294" s="612"/>
      <c r="AM294" s="430">
        <f t="shared" ca="1" si="146"/>
        <v>0</v>
      </c>
      <c r="AN294" s="655">
        <f t="shared" ca="1" si="147"/>
        <v>0</v>
      </c>
    </row>
    <row r="295" spans="1:40" ht="13.8" x14ac:dyDescent="0.3">
      <c r="A295" t="str">
        <f t="shared" si="126"/>
        <v>S</v>
      </c>
      <c r="B295">
        <f t="shared" ca="1" si="127"/>
        <v>3</v>
      </c>
      <c r="C295" t="str">
        <f t="shared" ca="1" si="128"/>
        <v>S</v>
      </c>
      <c r="D295">
        <f t="shared" ca="1" si="129"/>
        <v>0</v>
      </c>
      <c r="E295">
        <f ca="1">IF($C295=1,OFFSET(E295,-1,0)+MAX(1,COUNTIF(QCI!$A$13:$A$24,OFFSET(ORÇAMENTO!E295,-1,0))),OFFSET(E295,-1,0))</f>
        <v>1</v>
      </c>
      <c r="F295">
        <f t="shared" ca="1" si="130"/>
        <v>11</v>
      </c>
      <c r="G295">
        <f t="shared" ca="1" si="131"/>
        <v>1</v>
      </c>
      <c r="H295">
        <f t="shared" ca="1" si="132"/>
        <v>0</v>
      </c>
      <c r="I295">
        <f t="shared" ca="1" si="133"/>
        <v>0</v>
      </c>
      <c r="J295">
        <f t="shared" ca="1" si="148"/>
        <v>0</v>
      </c>
      <c r="K295">
        <f ca="1">IF(OR($C295="S",$C295=0),0,MATCH(OFFSET($D295,0,$C295)+IF($C295&lt;&gt;1,1,COUNTIF(QCI!$A$13:$A$24,ORÇAMENTO!E295)),OFFSET($D295,1,$C295,ROW($C$710)-ROW($C295)),0))</f>
        <v>0</v>
      </c>
      <c r="L295" s="143" t="str">
        <f t="shared" ca="1" si="134"/>
        <v/>
      </c>
      <c r="M295" s="144" t="s">
        <v>201</v>
      </c>
      <c r="N295" s="145" t="str">
        <f t="shared" ca="1" si="135"/>
        <v>Serviço</v>
      </c>
      <c r="O295" s="146" t="str">
        <f t="shared" ca="1" si="136"/>
        <v>-</v>
      </c>
      <c r="P295" s="147" t="s">
        <v>249</v>
      </c>
      <c r="Q295" s="148">
        <v>95305</v>
      </c>
      <c r="R295" s="149" t="str">
        <f t="shared" ca="1" si="150"/>
        <v>(abra o arquivo 'Referência 05-2024.xls)</v>
      </c>
      <c r="S295" s="150" t="str">
        <f t="shared" ca="1" si="151"/>
        <v>-</v>
      </c>
      <c r="T295" s="151">
        <f ca="1">OFFSET(CÁLCULO!H$15,ROW($T295)-ROW(T$15),0)</f>
        <v>269.72000000000003</v>
      </c>
      <c r="U295" s="152">
        <f t="shared" ca="1" si="149"/>
        <v>0</v>
      </c>
      <c r="V295" s="153" t="s">
        <v>158</v>
      </c>
      <c r="W295" s="151">
        <f t="shared" ca="1" si="137"/>
        <v>0</v>
      </c>
      <c r="X295" s="154">
        <f t="shared" ca="1" si="138"/>
        <v>0</v>
      </c>
      <c r="Y295" s="155" t="s">
        <v>583</v>
      </c>
      <c r="Z295" t="str">
        <f t="shared" ca="1" si="139"/>
        <v/>
      </c>
      <c r="AA295" s="156">
        <f ca="1">IF($C295="S",IF($Z295="CP",$X295,IF($Z295="RA",(($X295)*QCI!$AA$3),0)),SomaAgrup)</f>
        <v>0</v>
      </c>
      <c r="AB295" s="157">
        <f t="shared" ca="1" si="140"/>
        <v>0</v>
      </c>
      <c r="AC295" s="158" t="str">
        <f t="shared" ca="1" si="141"/>
        <v/>
      </c>
      <c r="AD295" s="104" t="str">
        <f ca="1">IF(C295&lt;=CRONO.NivelExibicao,MAX($AD$15:OFFSET(AD295,-1,0))+IF($C295&lt;&gt;1,1,MAX(1,COUNTIF(QCI!$A$13:$A$24,OFFSET($E295,-1,0)))),"")</f>
        <v/>
      </c>
      <c r="AE295" s="114" t="str">
        <f t="shared" ca="1" si="142"/>
        <v>SINAPI 95305</v>
      </c>
      <c r="AF295" s="159" t="str">
        <f t="shared" ca="1" si="143"/>
        <v>(abra o arquivo 'Referência 05-2024.xls)</v>
      </c>
      <c r="AG295" s="579">
        <f t="shared" ca="1" si="144"/>
        <v>0</v>
      </c>
      <c r="AH295" s="580">
        <f t="shared" ca="1" si="145"/>
        <v>0.22470000000000001</v>
      </c>
      <c r="AJ295" s="582">
        <v>269.72000000000003</v>
      </c>
      <c r="AL295" s="612"/>
      <c r="AM295" s="430">
        <f t="shared" ca="1" si="146"/>
        <v>0</v>
      </c>
      <c r="AN295" s="655">
        <f t="shared" ca="1" si="147"/>
        <v>0</v>
      </c>
    </row>
    <row r="296" spans="1:40" ht="13.8" x14ac:dyDescent="0.3">
      <c r="A296" t="str">
        <f t="shared" si="126"/>
        <v>S</v>
      </c>
      <c r="B296">
        <f t="shared" ca="1" si="127"/>
        <v>3</v>
      </c>
      <c r="C296" t="str">
        <f t="shared" ca="1" si="128"/>
        <v>S</v>
      </c>
      <c r="D296">
        <f t="shared" ca="1" si="129"/>
        <v>0</v>
      </c>
      <c r="E296">
        <f ca="1">IF($C296=1,OFFSET(E296,-1,0)+MAX(1,COUNTIF(QCI!$A$13:$A$24,OFFSET(ORÇAMENTO!E296,-1,0))),OFFSET(E296,-1,0))</f>
        <v>1</v>
      </c>
      <c r="F296">
        <f t="shared" ca="1" si="130"/>
        <v>11</v>
      </c>
      <c r="G296">
        <f t="shared" ca="1" si="131"/>
        <v>1</v>
      </c>
      <c r="H296">
        <f t="shared" ca="1" si="132"/>
        <v>0</v>
      </c>
      <c r="I296">
        <f t="shared" ca="1" si="133"/>
        <v>0</v>
      </c>
      <c r="J296">
        <f t="shared" ca="1" si="148"/>
        <v>0</v>
      </c>
      <c r="K296">
        <f ca="1">IF(OR($C296="S",$C296=0),0,MATCH(OFFSET($D296,0,$C296)+IF($C296&lt;&gt;1,1,COUNTIF(QCI!$A$13:$A$24,ORÇAMENTO!E296)),OFFSET($D296,1,$C296,ROW($C$710)-ROW($C296)),0))</f>
        <v>0</v>
      </c>
      <c r="L296" s="143" t="str">
        <f t="shared" ca="1" si="134"/>
        <v/>
      </c>
      <c r="M296" s="144" t="s">
        <v>201</v>
      </c>
      <c r="N296" s="145" t="str">
        <f t="shared" ca="1" si="135"/>
        <v>Serviço</v>
      </c>
      <c r="O296" s="146" t="str">
        <f t="shared" ca="1" si="136"/>
        <v>-</v>
      </c>
      <c r="P296" s="147" t="s">
        <v>249</v>
      </c>
      <c r="Q296" s="148">
        <v>95305</v>
      </c>
      <c r="R296" s="149" t="str">
        <f t="shared" ca="1" si="150"/>
        <v>(abra o arquivo 'Referência 05-2024.xls)</v>
      </c>
      <c r="S296" s="150" t="str">
        <f t="shared" ca="1" si="151"/>
        <v>-</v>
      </c>
      <c r="T296" s="151">
        <f ca="1">OFFSET(CÁLCULO!H$15,ROW($T296)-ROW(T$15),0)</f>
        <v>1173.21</v>
      </c>
      <c r="U296" s="152">
        <f t="shared" ca="1" si="149"/>
        <v>0</v>
      </c>
      <c r="V296" s="153" t="s">
        <v>158</v>
      </c>
      <c r="W296" s="151">
        <f t="shared" ca="1" si="137"/>
        <v>0</v>
      </c>
      <c r="X296" s="154">
        <f t="shared" ca="1" si="138"/>
        <v>0</v>
      </c>
      <c r="Y296" s="155" t="s">
        <v>583</v>
      </c>
      <c r="Z296" t="str">
        <f t="shared" ca="1" si="139"/>
        <v/>
      </c>
      <c r="AA296" s="156">
        <f ca="1">IF($C296="S",IF($Z296="CP",$X296,IF($Z296="RA",(($X296)*QCI!$AA$3),0)),SomaAgrup)</f>
        <v>0</v>
      </c>
      <c r="AB296" s="157">
        <f t="shared" ca="1" si="140"/>
        <v>0</v>
      </c>
      <c r="AC296" s="158" t="str">
        <f t="shared" ca="1" si="141"/>
        <v/>
      </c>
      <c r="AD296" s="104" t="str">
        <f ca="1">IF(C296&lt;=CRONO.NivelExibicao,MAX($AD$15:OFFSET(AD296,-1,0))+IF($C296&lt;&gt;1,1,MAX(1,COUNTIF(QCI!$A$13:$A$24,OFFSET($E296,-1,0)))),"")</f>
        <v/>
      </c>
      <c r="AE296" s="114" t="str">
        <f t="shared" ca="1" si="142"/>
        <v>SINAPI 95305</v>
      </c>
      <c r="AF296" s="159" t="str">
        <f t="shared" ca="1" si="143"/>
        <v>(abra o arquivo 'Referência 05-2024.xls)</v>
      </c>
      <c r="AG296" s="579">
        <f t="shared" ca="1" si="144"/>
        <v>0</v>
      </c>
      <c r="AH296" s="580">
        <f t="shared" ca="1" si="145"/>
        <v>0.22470000000000001</v>
      </c>
      <c r="AJ296" s="582">
        <v>1173.21</v>
      </c>
      <c r="AL296" s="612"/>
      <c r="AM296" s="430">
        <f t="shared" ca="1" si="146"/>
        <v>0</v>
      </c>
      <c r="AN296" s="655">
        <f t="shared" ca="1" si="147"/>
        <v>0</v>
      </c>
    </row>
    <row r="297" spans="1:40" ht="13.8" x14ac:dyDescent="0.3">
      <c r="A297" t="str">
        <f t="shared" si="126"/>
        <v>S</v>
      </c>
      <c r="B297">
        <f t="shared" ca="1" si="127"/>
        <v>3</v>
      </c>
      <c r="C297" t="str">
        <f t="shared" ca="1" si="128"/>
        <v>S</v>
      </c>
      <c r="D297">
        <f t="shared" ca="1" si="129"/>
        <v>0</v>
      </c>
      <c r="E297">
        <f ca="1">IF($C297=1,OFFSET(E297,-1,0)+MAX(1,COUNTIF(QCI!$A$13:$A$24,OFFSET(ORÇAMENTO!E297,-1,0))),OFFSET(E297,-1,0))</f>
        <v>1</v>
      </c>
      <c r="F297">
        <f t="shared" ca="1" si="130"/>
        <v>11</v>
      </c>
      <c r="G297">
        <f t="shared" ca="1" si="131"/>
        <v>1</v>
      </c>
      <c r="H297">
        <f t="shared" ca="1" si="132"/>
        <v>0</v>
      </c>
      <c r="I297">
        <f t="shared" ca="1" si="133"/>
        <v>0</v>
      </c>
      <c r="J297">
        <f t="shared" ca="1" si="148"/>
        <v>0</v>
      </c>
      <c r="K297">
        <f ca="1">IF(OR($C297="S",$C297=0),0,MATCH(OFFSET($D297,0,$C297)+IF($C297&lt;&gt;1,1,COUNTIF(QCI!$A$13:$A$24,ORÇAMENTO!E297)),OFFSET($D297,1,$C297,ROW($C$710)-ROW($C297)),0))</f>
        <v>0</v>
      </c>
      <c r="L297" s="143" t="str">
        <f t="shared" ca="1" si="134"/>
        <v/>
      </c>
      <c r="M297" s="144" t="s">
        <v>201</v>
      </c>
      <c r="N297" s="145" t="str">
        <f t="shared" ca="1" si="135"/>
        <v>Serviço</v>
      </c>
      <c r="O297" s="146" t="str">
        <f t="shared" ca="1" si="136"/>
        <v>-</v>
      </c>
      <c r="P297" s="147" t="s">
        <v>249</v>
      </c>
      <c r="Q297" s="148">
        <v>95305</v>
      </c>
      <c r="R297" s="149" t="str">
        <f t="shared" ca="1" si="150"/>
        <v>(abra o arquivo 'Referência 05-2024.xls)</v>
      </c>
      <c r="S297" s="150" t="str">
        <f t="shared" ca="1" si="151"/>
        <v>-</v>
      </c>
      <c r="T297" s="151">
        <f ca="1">OFFSET(CÁLCULO!H$15,ROW($T297)-ROW(T$15),0)</f>
        <v>426.58</v>
      </c>
      <c r="U297" s="152">
        <f t="shared" ca="1" si="149"/>
        <v>0</v>
      </c>
      <c r="V297" s="153" t="s">
        <v>158</v>
      </c>
      <c r="W297" s="151">
        <f t="shared" ca="1" si="137"/>
        <v>0</v>
      </c>
      <c r="X297" s="154">
        <f t="shared" ca="1" si="138"/>
        <v>0</v>
      </c>
      <c r="Y297" s="155" t="s">
        <v>583</v>
      </c>
      <c r="Z297" t="str">
        <f t="shared" ca="1" si="139"/>
        <v/>
      </c>
      <c r="AA297" s="156">
        <f ca="1">IF($C297="S",IF($Z297="CP",$X297,IF($Z297="RA",(($X297)*QCI!$AA$3),0)),SomaAgrup)</f>
        <v>0</v>
      </c>
      <c r="AB297" s="157">
        <f t="shared" ca="1" si="140"/>
        <v>0</v>
      </c>
      <c r="AC297" s="158" t="str">
        <f t="shared" ca="1" si="141"/>
        <v/>
      </c>
      <c r="AD297" s="104" t="str">
        <f ca="1">IF(C297&lt;=CRONO.NivelExibicao,MAX($AD$15:OFFSET(AD297,-1,0))+IF($C297&lt;&gt;1,1,MAX(1,COUNTIF(QCI!$A$13:$A$24,OFFSET($E297,-1,0)))),"")</f>
        <v/>
      </c>
      <c r="AE297" s="114" t="str">
        <f t="shared" ca="1" si="142"/>
        <v>SINAPI 95305</v>
      </c>
      <c r="AF297" s="159" t="str">
        <f t="shared" ca="1" si="143"/>
        <v>(abra o arquivo 'Referência 05-2024.xls)</v>
      </c>
      <c r="AG297" s="579">
        <f t="shared" ca="1" si="144"/>
        <v>0</v>
      </c>
      <c r="AH297" s="580">
        <f t="shared" ca="1" si="145"/>
        <v>0.22470000000000001</v>
      </c>
      <c r="AJ297" s="582">
        <v>426.58</v>
      </c>
      <c r="AL297" s="612"/>
      <c r="AM297" s="430">
        <f t="shared" ca="1" si="146"/>
        <v>0</v>
      </c>
      <c r="AN297" s="655">
        <f t="shared" ca="1" si="147"/>
        <v>0</v>
      </c>
    </row>
    <row r="298" spans="1:40" ht="13.8" x14ac:dyDescent="0.3">
      <c r="A298">
        <f t="shared" si="126"/>
        <v>3</v>
      </c>
      <c r="B298">
        <f t="shared" ca="1" si="127"/>
        <v>3</v>
      </c>
      <c r="C298">
        <f t="shared" ca="1" si="128"/>
        <v>3</v>
      </c>
      <c r="D298">
        <f t="shared" ca="1" si="129"/>
        <v>3</v>
      </c>
      <c r="E298">
        <f ca="1">IF($C298=1,OFFSET(E298,-1,0)+MAX(1,COUNTIF(QCI!$A$13:$A$24,OFFSET(ORÇAMENTO!E298,-1,0))),OFFSET(E298,-1,0))</f>
        <v>1</v>
      </c>
      <c r="F298">
        <f t="shared" ca="1" si="130"/>
        <v>11</v>
      </c>
      <c r="G298">
        <f t="shared" ca="1" si="131"/>
        <v>2</v>
      </c>
      <c r="H298">
        <f t="shared" ca="1" si="132"/>
        <v>0</v>
      </c>
      <c r="I298">
        <f t="shared" ca="1" si="133"/>
        <v>0</v>
      </c>
      <c r="J298">
        <f t="shared" ca="1" si="148"/>
        <v>3</v>
      </c>
      <c r="K298">
        <f ca="1">IF(OR($C298="S",$C298=0),0,MATCH(OFFSET($D298,0,$C298)+IF($C298&lt;&gt;1,1,COUNTIF(QCI!$A$13:$A$24,ORÇAMENTO!E298)),OFFSET($D298,1,$C298,ROW($C$710)-ROW($C298)),0))</f>
        <v>62</v>
      </c>
      <c r="L298" s="143" t="str">
        <f t="shared" ca="1" si="134"/>
        <v>F</v>
      </c>
      <c r="M298" s="144" t="s">
        <v>199</v>
      </c>
      <c r="N298" s="145" t="str">
        <f t="shared" ca="1" si="135"/>
        <v>Nível 3</v>
      </c>
      <c r="O298" s="146" t="str">
        <f t="shared" ca="1" si="136"/>
        <v>1.11.2.</v>
      </c>
      <c r="P298" s="147" t="s">
        <v>249</v>
      </c>
      <c r="Q298" s="148"/>
      <c r="R298" s="149" t="s">
        <v>519</v>
      </c>
      <c r="S298" s="150" t="s">
        <v>168</v>
      </c>
      <c r="T298" s="151">
        <f ca="1">OFFSET(CÁLCULO!H$15,ROW($T298)-ROW(T$15),0)</f>
        <v>0</v>
      </c>
      <c r="U298" s="152">
        <f t="shared" ca="1" si="149"/>
        <v>0</v>
      </c>
      <c r="V298" s="153" t="s">
        <v>158</v>
      </c>
      <c r="W298" s="151">
        <f t="shared" ca="1" si="137"/>
        <v>0</v>
      </c>
      <c r="X298" s="154">
        <f t="shared" ca="1" si="138"/>
        <v>0</v>
      </c>
      <c r="Y298" s="155" t="s">
        <v>583</v>
      </c>
      <c r="Z298" t="str">
        <f t="shared" ca="1" si="139"/>
        <v/>
      </c>
      <c r="AA298" s="156">
        <f ca="1">IF($C298="S",IF($Z298="CP",$X298,IF($Z298="RA",(($X298)*QCI!$AA$3),0)),SomaAgrup)</f>
        <v>0</v>
      </c>
      <c r="AB298" s="157">
        <f t="shared" ca="1" si="140"/>
        <v>0</v>
      </c>
      <c r="AC298" s="158" t="str">
        <f t="shared" ca="1" si="141"/>
        <v/>
      </c>
      <c r="AD298" s="104" t="str">
        <f ca="1">IF(C298&lt;=CRONO.NivelExibicao,MAX($AD$15:OFFSET(AD298,-1,0))+IF($C298&lt;&gt;1,1,MAX(1,COUNTIF(QCI!$A$13:$A$24,OFFSET($E298,-1,0)))),"")</f>
        <v/>
      </c>
      <c r="AE298" s="114" t="b">
        <f t="shared" ca="1" si="142"/>
        <v>0</v>
      </c>
      <c r="AF298" s="159" t="str">
        <f t="shared" ca="1" si="143"/>
        <v>(abra o arquivo 'Referência 05-2024.xls)</v>
      </c>
      <c r="AG298" s="579">
        <f t="shared" ca="1" si="144"/>
        <v>0</v>
      </c>
      <c r="AH298" s="580">
        <f t="shared" ca="1" si="145"/>
        <v>0.22470000000000001</v>
      </c>
      <c r="AJ298" s="582"/>
      <c r="AL298" s="612"/>
      <c r="AM298" s="430">
        <f t="shared" ca="1" si="146"/>
        <v>0</v>
      </c>
      <c r="AN298" s="655">
        <f t="shared" ca="1" si="147"/>
        <v>0</v>
      </c>
    </row>
    <row r="299" spans="1:40" ht="13.8" x14ac:dyDescent="0.3">
      <c r="A299" t="str">
        <f t="shared" si="126"/>
        <v>S</v>
      </c>
      <c r="B299">
        <f t="shared" ca="1" si="127"/>
        <v>3</v>
      </c>
      <c r="C299" t="str">
        <f t="shared" ca="1" si="128"/>
        <v>S</v>
      </c>
      <c r="D299">
        <f t="shared" ca="1" si="129"/>
        <v>0</v>
      </c>
      <c r="E299">
        <f ca="1">IF($C299=1,OFFSET(E299,-1,0)+MAX(1,COUNTIF(QCI!$A$13:$A$24,OFFSET(ORÇAMENTO!E299,-1,0))),OFFSET(E299,-1,0))</f>
        <v>1</v>
      </c>
      <c r="F299">
        <f t="shared" ca="1" si="130"/>
        <v>11</v>
      </c>
      <c r="G299">
        <f t="shared" ca="1" si="131"/>
        <v>2</v>
      </c>
      <c r="H299">
        <f t="shared" ca="1" si="132"/>
        <v>0</v>
      </c>
      <c r="I299">
        <f t="shared" ca="1" si="133"/>
        <v>0</v>
      </c>
      <c r="J299">
        <f t="shared" ca="1" si="148"/>
        <v>0</v>
      </c>
      <c r="K299">
        <f ca="1">IF(OR($C299="S",$C299=0),0,MATCH(OFFSET($D299,0,$C299)+IF($C299&lt;&gt;1,1,COUNTIF(QCI!$A$13:$A$24,ORÇAMENTO!E299)),OFFSET($D299,1,$C299,ROW($C$710)-ROW($C299)),0))</f>
        <v>0</v>
      </c>
      <c r="L299" s="143" t="str">
        <f t="shared" ca="1" si="134"/>
        <v/>
      </c>
      <c r="M299" s="144" t="s">
        <v>201</v>
      </c>
      <c r="N299" s="145" t="str">
        <f t="shared" ca="1" si="135"/>
        <v>Serviço</v>
      </c>
      <c r="O299" s="146" t="str">
        <f t="shared" ca="1" si="136"/>
        <v>-</v>
      </c>
      <c r="P299" s="147" t="s">
        <v>249</v>
      </c>
      <c r="Q299" s="148">
        <v>95305</v>
      </c>
      <c r="R299" s="149" t="str">
        <f ca="1">IF($C299="S",REFERENCIA.Descricao,"(digite a descrição aqui)")</f>
        <v>(abra o arquivo 'Referência 05-2024.xls)</v>
      </c>
      <c r="S299" s="150" t="str">
        <f ca="1">REFERENCIA.Unidade</f>
        <v>-</v>
      </c>
      <c r="T299" s="151">
        <f ca="1">OFFSET(CÁLCULO!H$15,ROW($T299)-ROW(T$15),0)</f>
        <v>1201.4100000000001</v>
      </c>
      <c r="U299" s="152">
        <f t="shared" ca="1" si="149"/>
        <v>0</v>
      </c>
      <c r="V299" s="153" t="s">
        <v>158</v>
      </c>
      <c r="W299" s="151">
        <f t="shared" ca="1" si="137"/>
        <v>0</v>
      </c>
      <c r="X299" s="154">
        <f t="shared" ca="1" si="138"/>
        <v>0</v>
      </c>
      <c r="Y299" s="155" t="s">
        <v>583</v>
      </c>
      <c r="Z299" t="str">
        <f t="shared" ca="1" si="139"/>
        <v/>
      </c>
      <c r="AA299" s="156">
        <f ca="1">IF($C299="S",IF($Z299="CP",$X299,IF($Z299="RA",(($X299)*QCI!$AA$3),0)),SomaAgrup)</f>
        <v>0</v>
      </c>
      <c r="AB299" s="157">
        <f t="shared" ca="1" si="140"/>
        <v>0</v>
      </c>
      <c r="AC299" s="158" t="str">
        <f t="shared" ca="1" si="141"/>
        <v/>
      </c>
      <c r="AD299" s="104" t="str">
        <f ca="1">IF(C299&lt;=CRONO.NivelExibicao,MAX($AD$15:OFFSET(AD299,-1,0))+IF($C299&lt;&gt;1,1,MAX(1,COUNTIF(QCI!$A$13:$A$24,OFFSET($E299,-1,0)))),"")</f>
        <v/>
      </c>
      <c r="AE299" s="114" t="str">
        <f t="shared" ca="1" si="142"/>
        <v>SINAPI 95305</v>
      </c>
      <c r="AF299" s="159" t="str">
        <f t="shared" ca="1" si="143"/>
        <v>(abra o arquivo 'Referência 05-2024.xls)</v>
      </c>
      <c r="AG299" s="579">
        <f t="shared" ca="1" si="144"/>
        <v>0</v>
      </c>
      <c r="AH299" s="580">
        <f t="shared" ca="1" si="145"/>
        <v>0.22470000000000001</v>
      </c>
      <c r="AJ299" s="582">
        <v>1201.4100000000001</v>
      </c>
      <c r="AL299" s="612"/>
      <c r="AM299" s="430">
        <f t="shared" ca="1" si="146"/>
        <v>0</v>
      </c>
      <c r="AN299" s="655">
        <f t="shared" ca="1" si="147"/>
        <v>0</v>
      </c>
    </row>
    <row r="300" spans="1:40" ht="13.8" x14ac:dyDescent="0.3">
      <c r="A300" t="str">
        <f t="shared" si="126"/>
        <v>S</v>
      </c>
      <c r="B300">
        <f t="shared" ca="1" si="127"/>
        <v>3</v>
      </c>
      <c r="C300" t="str">
        <f t="shared" ca="1" si="128"/>
        <v>S</v>
      </c>
      <c r="D300">
        <f t="shared" ca="1" si="129"/>
        <v>0</v>
      </c>
      <c r="E300">
        <f ca="1">IF($C300=1,OFFSET(E300,-1,0)+MAX(1,COUNTIF(QCI!$A$13:$A$24,OFFSET(ORÇAMENTO!E300,-1,0))),OFFSET(E300,-1,0))</f>
        <v>1</v>
      </c>
      <c r="F300">
        <f t="shared" ca="1" si="130"/>
        <v>11</v>
      </c>
      <c r="G300">
        <f t="shared" ca="1" si="131"/>
        <v>2</v>
      </c>
      <c r="H300">
        <f t="shared" ca="1" si="132"/>
        <v>0</v>
      </c>
      <c r="I300">
        <f t="shared" ca="1" si="133"/>
        <v>0</v>
      </c>
      <c r="J300">
        <f t="shared" ca="1" si="148"/>
        <v>0</v>
      </c>
      <c r="K300">
        <f ca="1">IF(OR($C300="S",$C300=0),0,MATCH(OFFSET($D300,0,$C300)+IF($C300&lt;&gt;1,1,COUNTIF(QCI!$A$13:$A$24,ORÇAMENTO!E300)),OFFSET($D300,1,$C300,ROW($C$710)-ROW($C300)),0))</f>
        <v>0</v>
      </c>
      <c r="L300" s="143" t="str">
        <f t="shared" ca="1" si="134"/>
        <v/>
      </c>
      <c r="M300" s="144" t="s">
        <v>201</v>
      </c>
      <c r="N300" s="145" t="str">
        <f t="shared" ca="1" si="135"/>
        <v>Serviço</v>
      </c>
      <c r="O300" s="146" t="str">
        <f t="shared" ca="1" si="136"/>
        <v>-</v>
      </c>
      <c r="P300" s="147" t="s">
        <v>249</v>
      </c>
      <c r="Q300" s="148">
        <v>95305</v>
      </c>
      <c r="R300" s="149" t="str">
        <f ca="1">IF($C300="S",REFERENCIA.Descricao,"(digite a descrição aqui)")</f>
        <v>(abra o arquivo 'Referência 05-2024.xls)</v>
      </c>
      <c r="S300" s="150" t="str">
        <f ca="1">REFERENCIA.Unidade</f>
        <v>-</v>
      </c>
      <c r="T300" s="151">
        <f ca="1">OFFSET(CÁLCULO!H$15,ROW($T300)-ROW(T$15),0)</f>
        <v>97.27</v>
      </c>
      <c r="U300" s="152">
        <f t="shared" ca="1" si="149"/>
        <v>0</v>
      </c>
      <c r="V300" s="153" t="s">
        <v>158</v>
      </c>
      <c r="W300" s="151">
        <f t="shared" ca="1" si="137"/>
        <v>0</v>
      </c>
      <c r="X300" s="154">
        <f t="shared" ca="1" si="138"/>
        <v>0</v>
      </c>
      <c r="Y300" s="155" t="s">
        <v>583</v>
      </c>
      <c r="Z300" t="str">
        <f t="shared" ca="1" si="139"/>
        <v/>
      </c>
      <c r="AA300" s="156">
        <f ca="1">IF($C300="S",IF($Z300="CP",$X300,IF($Z300="RA",(($X300)*QCI!$AA$3),0)),SomaAgrup)</f>
        <v>0</v>
      </c>
      <c r="AB300" s="157">
        <f t="shared" ca="1" si="140"/>
        <v>0</v>
      </c>
      <c r="AC300" s="158" t="str">
        <f t="shared" ca="1" si="141"/>
        <v/>
      </c>
      <c r="AD300" s="104" t="str">
        <f ca="1">IF(C300&lt;=CRONO.NivelExibicao,MAX($AD$15:OFFSET(AD300,-1,0))+IF($C300&lt;&gt;1,1,MAX(1,COUNTIF(QCI!$A$13:$A$24,OFFSET($E300,-1,0)))),"")</f>
        <v/>
      </c>
      <c r="AE300" s="114" t="str">
        <f t="shared" ca="1" si="142"/>
        <v>SINAPI 95305</v>
      </c>
      <c r="AF300" s="159" t="str">
        <f t="shared" ca="1" si="143"/>
        <v>(abra o arquivo 'Referência 05-2024.xls)</v>
      </c>
      <c r="AG300" s="579">
        <f t="shared" ca="1" si="144"/>
        <v>0</v>
      </c>
      <c r="AH300" s="580">
        <f t="shared" ca="1" si="145"/>
        <v>0.22470000000000001</v>
      </c>
      <c r="AJ300" s="582">
        <v>97.27</v>
      </c>
      <c r="AL300" s="612"/>
      <c r="AM300" s="430">
        <f t="shared" ca="1" si="146"/>
        <v>0</v>
      </c>
      <c r="AN300" s="655">
        <f t="shared" ca="1" si="147"/>
        <v>0</v>
      </c>
    </row>
    <row r="301" spans="1:40" ht="13.8" x14ac:dyDescent="0.3">
      <c r="A301">
        <f t="shared" si="126"/>
        <v>2</v>
      </c>
      <c r="B301">
        <f t="shared" ca="1" si="127"/>
        <v>2</v>
      </c>
      <c r="C301">
        <f t="shared" ca="1" si="128"/>
        <v>2</v>
      </c>
      <c r="D301">
        <f t="shared" ca="1" si="129"/>
        <v>70</v>
      </c>
      <c r="E301">
        <f ca="1">IF($C301=1,OFFSET(E301,-1,0)+MAX(1,COUNTIF(QCI!$A$13:$A$24,OFFSET(ORÇAMENTO!E301,-1,0))),OFFSET(E301,-1,0))</f>
        <v>1</v>
      </c>
      <c r="F301">
        <f t="shared" ca="1" si="130"/>
        <v>12</v>
      </c>
      <c r="G301">
        <f t="shared" ca="1" si="131"/>
        <v>0</v>
      </c>
      <c r="H301">
        <f t="shared" ca="1" si="132"/>
        <v>0</v>
      </c>
      <c r="I301">
        <f t="shared" ca="1" si="133"/>
        <v>0</v>
      </c>
      <c r="J301">
        <f t="shared" ca="1" si="148"/>
        <v>401</v>
      </c>
      <c r="K301">
        <f ca="1">IF(OR($C301="S",$C301=0),0,MATCH(OFFSET($D301,0,$C301)+IF($C301&lt;&gt;1,1,COUNTIF(QCI!$A$13:$A$24,ORÇAMENTO!E301)),OFFSET($D301,1,$C301,ROW($C$710)-ROW($C301)),0))</f>
        <v>70</v>
      </c>
      <c r="L301" s="143" t="str">
        <f t="shared" ca="1" si="134"/>
        <v>F</v>
      </c>
      <c r="M301" s="144" t="s">
        <v>198</v>
      </c>
      <c r="N301" s="145" t="str">
        <f t="shared" ca="1" si="135"/>
        <v>Nível 2</v>
      </c>
      <c r="O301" s="146" t="str">
        <f t="shared" ca="1" si="136"/>
        <v>1.12.</v>
      </c>
      <c r="P301" s="147" t="s">
        <v>249</v>
      </c>
      <c r="Q301" s="148"/>
      <c r="R301" s="149" t="s">
        <v>525</v>
      </c>
      <c r="S301" s="150" t="s">
        <v>168</v>
      </c>
      <c r="T301" s="151">
        <f ca="1">OFFSET(CÁLCULO!H$15,ROW($T301)-ROW(T$15),0)</f>
        <v>0</v>
      </c>
      <c r="U301" s="152">
        <f t="shared" ca="1" si="149"/>
        <v>0</v>
      </c>
      <c r="V301" s="153" t="s">
        <v>158</v>
      </c>
      <c r="W301" s="151">
        <f t="shared" ca="1" si="137"/>
        <v>0</v>
      </c>
      <c r="X301" s="154">
        <f t="shared" ca="1" si="138"/>
        <v>0</v>
      </c>
      <c r="Y301" s="155" t="s">
        <v>583</v>
      </c>
      <c r="Z301" t="str">
        <f t="shared" ca="1" si="139"/>
        <v/>
      </c>
      <c r="AA301" s="156">
        <f ca="1">IF($C301="S",IF($Z301="CP",$X301,IF($Z301="RA",(($X301)*QCI!$AA$3),0)),SomaAgrup)</f>
        <v>0</v>
      </c>
      <c r="AB301" s="157">
        <f t="shared" ca="1" si="140"/>
        <v>0</v>
      </c>
      <c r="AC301" s="158" t="str">
        <f t="shared" ca="1" si="141"/>
        <v/>
      </c>
      <c r="AD301" s="104">
        <f ca="1">IF(C301&lt;=CRONO.NivelExibicao,MAX($AD$15:OFFSET(AD301,-1,0))+IF($C301&lt;&gt;1,1,MAX(1,COUNTIF(QCI!$A$13:$A$24,OFFSET($E301,-1,0)))),"")</f>
        <v>13</v>
      </c>
      <c r="AE301" s="114" t="b">
        <f t="shared" ca="1" si="142"/>
        <v>0</v>
      </c>
      <c r="AF301" s="159" t="str">
        <f t="shared" ca="1" si="143"/>
        <v>(abra o arquivo 'Referência 05-2024.xls)</v>
      </c>
      <c r="AG301" s="579">
        <f t="shared" ca="1" si="144"/>
        <v>0</v>
      </c>
      <c r="AH301" s="580">
        <f t="shared" ca="1" si="145"/>
        <v>0.22470000000000001</v>
      </c>
      <c r="AJ301" s="582"/>
      <c r="AL301" s="612"/>
      <c r="AM301" s="430">
        <f t="shared" ca="1" si="146"/>
        <v>0</v>
      </c>
      <c r="AN301" s="655">
        <f t="shared" ca="1" si="147"/>
        <v>0</v>
      </c>
    </row>
    <row r="302" spans="1:40" ht="13.8" x14ac:dyDescent="0.3">
      <c r="A302">
        <f t="shared" si="126"/>
        <v>3</v>
      </c>
      <c r="B302">
        <f t="shared" ca="1" si="127"/>
        <v>3</v>
      </c>
      <c r="C302">
        <f t="shared" ca="1" si="128"/>
        <v>3</v>
      </c>
      <c r="D302">
        <f t="shared" ca="1" si="129"/>
        <v>49</v>
      </c>
      <c r="E302">
        <f ca="1">IF($C302=1,OFFSET(E302,-1,0)+MAX(1,COUNTIF(QCI!$A$13:$A$24,OFFSET(ORÇAMENTO!E302,-1,0))),OFFSET(E302,-1,0))</f>
        <v>1</v>
      </c>
      <c r="F302">
        <f t="shared" ca="1" si="130"/>
        <v>12</v>
      </c>
      <c r="G302">
        <f t="shared" ca="1" si="131"/>
        <v>1</v>
      </c>
      <c r="H302">
        <f t="shared" ca="1" si="132"/>
        <v>0</v>
      </c>
      <c r="I302">
        <f t="shared" ca="1" si="133"/>
        <v>0</v>
      </c>
      <c r="J302">
        <f t="shared" ca="1" si="148"/>
        <v>69</v>
      </c>
      <c r="K302">
        <f ca="1">IF(OR($C302="S",$C302=0),0,MATCH(OFFSET($D302,0,$C302)+IF($C302&lt;&gt;1,1,COUNTIF(QCI!$A$13:$A$24,ORÇAMENTO!E302)),OFFSET($D302,1,$C302,ROW($C$710)-ROW($C302)),0))</f>
        <v>49</v>
      </c>
      <c r="L302" s="143" t="str">
        <f t="shared" ca="1" si="134"/>
        <v>F</v>
      </c>
      <c r="M302" s="144" t="s">
        <v>199</v>
      </c>
      <c r="N302" s="145" t="str">
        <f t="shared" ca="1" si="135"/>
        <v>Nível 3</v>
      </c>
      <c r="O302" s="146" t="str">
        <f t="shared" ca="1" si="136"/>
        <v>1.12.1.</v>
      </c>
      <c r="P302" s="147" t="s">
        <v>249</v>
      </c>
      <c r="Q302" s="148"/>
      <c r="R302" s="149" t="s">
        <v>526</v>
      </c>
      <c r="S302" s="150" t="s">
        <v>168</v>
      </c>
      <c r="T302" s="151">
        <f ca="1">OFFSET(CÁLCULO!H$15,ROW($T302)-ROW(T$15),0)</f>
        <v>0</v>
      </c>
      <c r="U302" s="152">
        <f t="shared" ca="1" si="149"/>
        <v>0</v>
      </c>
      <c r="V302" s="153" t="s">
        <v>158</v>
      </c>
      <c r="W302" s="151">
        <f t="shared" ca="1" si="137"/>
        <v>0</v>
      </c>
      <c r="X302" s="154">
        <f t="shared" ca="1" si="138"/>
        <v>0</v>
      </c>
      <c r="Y302" s="155" t="s">
        <v>583</v>
      </c>
      <c r="Z302" t="str">
        <f t="shared" ca="1" si="139"/>
        <v/>
      </c>
      <c r="AA302" s="156">
        <f ca="1">IF($C302="S",IF($Z302="CP",$X302,IF($Z302="RA",(($X302)*QCI!$AA$3),0)),SomaAgrup)</f>
        <v>0</v>
      </c>
      <c r="AB302" s="157">
        <f t="shared" ca="1" si="140"/>
        <v>0</v>
      </c>
      <c r="AC302" s="158" t="str">
        <f t="shared" ca="1" si="141"/>
        <v/>
      </c>
      <c r="AD302" s="104" t="str">
        <f ca="1">IF(C302&lt;=CRONO.NivelExibicao,MAX($AD$15:OFFSET(AD302,-1,0))+IF($C302&lt;&gt;1,1,MAX(1,COUNTIF(QCI!$A$13:$A$24,OFFSET($E302,-1,0)))),"")</f>
        <v/>
      </c>
      <c r="AE302" s="114" t="b">
        <f t="shared" ca="1" si="142"/>
        <v>0</v>
      </c>
      <c r="AF302" s="159" t="str">
        <f t="shared" ca="1" si="143"/>
        <v>(abra o arquivo 'Referência 05-2024.xls)</v>
      </c>
      <c r="AG302" s="579">
        <f t="shared" ca="1" si="144"/>
        <v>0</v>
      </c>
      <c r="AH302" s="580">
        <f t="shared" ca="1" si="145"/>
        <v>0.22470000000000001</v>
      </c>
      <c r="AJ302" s="582"/>
      <c r="AL302" s="612"/>
      <c r="AM302" s="430">
        <f t="shared" ca="1" si="146"/>
        <v>0</v>
      </c>
      <c r="AN302" s="655">
        <f t="shared" ca="1" si="147"/>
        <v>0</v>
      </c>
    </row>
    <row r="303" spans="1:40" ht="13.8" x14ac:dyDescent="0.3">
      <c r="A303" t="str">
        <f t="shared" si="126"/>
        <v>S</v>
      </c>
      <c r="B303">
        <f t="shared" ca="1" si="127"/>
        <v>3</v>
      </c>
      <c r="C303" t="str">
        <f t="shared" ca="1" si="128"/>
        <v>S</v>
      </c>
      <c r="D303">
        <f t="shared" ca="1" si="129"/>
        <v>0</v>
      </c>
      <c r="E303">
        <f ca="1">IF($C303=1,OFFSET(E303,-1,0)+MAX(1,COUNTIF(QCI!$A$13:$A$24,OFFSET(ORÇAMENTO!E303,-1,0))),OFFSET(E303,-1,0))</f>
        <v>1</v>
      </c>
      <c r="F303">
        <f t="shared" ca="1" si="130"/>
        <v>12</v>
      </c>
      <c r="G303">
        <f t="shared" ca="1" si="131"/>
        <v>1</v>
      </c>
      <c r="H303">
        <f t="shared" ca="1" si="132"/>
        <v>0</v>
      </c>
      <c r="I303">
        <f t="shared" ca="1" si="133"/>
        <v>0</v>
      </c>
      <c r="J303">
        <f t="shared" ca="1" si="148"/>
        <v>0</v>
      </c>
      <c r="K303">
        <f ca="1">IF(OR($C303="S",$C303=0),0,MATCH(OFFSET($D303,0,$C303)+IF($C303&lt;&gt;1,1,COUNTIF(QCI!$A$13:$A$24,ORÇAMENTO!E303)),OFFSET($D303,1,$C303,ROW($C$710)-ROW($C303)),0))</f>
        <v>0</v>
      </c>
      <c r="L303" s="143" t="str">
        <f t="shared" ca="1" si="134"/>
        <v/>
      </c>
      <c r="M303" s="144" t="s">
        <v>201</v>
      </c>
      <c r="N303" s="145" t="str">
        <f t="shared" ca="1" si="135"/>
        <v>Serviço</v>
      </c>
      <c r="O303" s="146" t="str">
        <f t="shared" ca="1" si="136"/>
        <v>-</v>
      </c>
      <c r="P303" s="147" t="s">
        <v>249</v>
      </c>
      <c r="Q303" s="148">
        <v>89446</v>
      </c>
      <c r="R303" s="149" t="str">
        <f t="shared" ref="R303:R350" ca="1" si="152">IF($C303="S",REFERENCIA.Descricao,"(digite a descrição aqui)")</f>
        <v>(abra o arquivo 'Referência 05-2024.xls)</v>
      </c>
      <c r="S303" s="150" t="str">
        <f t="shared" ref="S303:S350" ca="1" si="153">REFERENCIA.Unidade</f>
        <v>-</v>
      </c>
      <c r="T303" s="151">
        <f ca="1">OFFSET(CÁLCULO!H$15,ROW($T303)-ROW(T$15),0)</f>
        <v>194.5</v>
      </c>
      <c r="U303" s="152">
        <f t="shared" ca="1" si="149"/>
        <v>0</v>
      </c>
      <c r="V303" s="153" t="s">
        <v>158</v>
      </c>
      <c r="W303" s="151">
        <f t="shared" ca="1" si="137"/>
        <v>0</v>
      </c>
      <c r="X303" s="154">
        <f t="shared" ca="1" si="138"/>
        <v>0</v>
      </c>
      <c r="Y303" s="155" t="s">
        <v>583</v>
      </c>
      <c r="Z303" t="str">
        <f t="shared" ca="1" si="139"/>
        <v/>
      </c>
      <c r="AA303" s="156">
        <f ca="1">IF($C303="S",IF($Z303="CP",$X303,IF($Z303="RA",(($X303)*QCI!$AA$3),0)),SomaAgrup)</f>
        <v>0</v>
      </c>
      <c r="AB303" s="157">
        <f t="shared" ca="1" si="140"/>
        <v>0</v>
      </c>
      <c r="AC303" s="158" t="str">
        <f t="shared" ca="1" si="141"/>
        <v/>
      </c>
      <c r="AD303" s="104" t="str">
        <f ca="1">IF(C303&lt;=CRONO.NivelExibicao,MAX($AD$15:OFFSET(AD303,-1,0))+IF($C303&lt;&gt;1,1,MAX(1,COUNTIF(QCI!$A$13:$A$24,OFFSET($E303,-1,0)))),"")</f>
        <v/>
      </c>
      <c r="AE303" s="114" t="str">
        <f t="shared" ca="1" si="142"/>
        <v>SINAPI 89446</v>
      </c>
      <c r="AF303" s="159" t="str">
        <f t="shared" ca="1" si="143"/>
        <v>(abra o arquivo 'Referência 05-2024.xls)</v>
      </c>
      <c r="AG303" s="579">
        <f t="shared" ca="1" si="144"/>
        <v>0</v>
      </c>
      <c r="AH303" s="580">
        <f t="shared" ca="1" si="145"/>
        <v>0.22470000000000001</v>
      </c>
      <c r="AJ303" s="582">
        <v>194.5</v>
      </c>
      <c r="AL303" s="612"/>
      <c r="AM303" s="430">
        <f t="shared" ca="1" si="146"/>
        <v>0</v>
      </c>
      <c r="AN303" s="655">
        <f t="shared" ca="1" si="147"/>
        <v>0</v>
      </c>
    </row>
    <row r="304" spans="1:40" ht="13.8" x14ac:dyDescent="0.3">
      <c r="A304" t="str">
        <f t="shared" si="126"/>
        <v>S</v>
      </c>
      <c r="B304">
        <f t="shared" ca="1" si="127"/>
        <v>3</v>
      </c>
      <c r="C304" t="str">
        <f t="shared" ca="1" si="128"/>
        <v>S</v>
      </c>
      <c r="D304">
        <f t="shared" ca="1" si="129"/>
        <v>0</v>
      </c>
      <c r="E304">
        <f ca="1">IF($C304=1,OFFSET(E304,-1,0)+MAX(1,COUNTIF(QCI!$A$13:$A$24,OFFSET(ORÇAMENTO!E304,-1,0))),OFFSET(E304,-1,0))</f>
        <v>1</v>
      </c>
      <c r="F304">
        <f t="shared" ca="1" si="130"/>
        <v>12</v>
      </c>
      <c r="G304">
        <f t="shared" ca="1" si="131"/>
        <v>1</v>
      </c>
      <c r="H304">
        <f t="shared" ca="1" si="132"/>
        <v>0</v>
      </c>
      <c r="I304">
        <f t="shared" ca="1" si="133"/>
        <v>0</v>
      </c>
      <c r="J304">
        <f t="shared" ca="1" si="148"/>
        <v>0</v>
      </c>
      <c r="K304">
        <f ca="1">IF(OR($C304="S",$C304=0),0,MATCH(OFFSET($D304,0,$C304)+IF($C304&lt;&gt;1,1,COUNTIF(QCI!$A$13:$A$24,ORÇAMENTO!E304)),OFFSET($D304,1,$C304,ROW($C$710)-ROW($C304)),0))</f>
        <v>0</v>
      </c>
      <c r="L304" s="143" t="str">
        <f t="shared" ca="1" si="134"/>
        <v/>
      </c>
      <c r="M304" s="144" t="s">
        <v>201</v>
      </c>
      <c r="N304" s="145" t="str">
        <f t="shared" ca="1" si="135"/>
        <v>Serviço</v>
      </c>
      <c r="O304" s="146" t="str">
        <f t="shared" ca="1" si="136"/>
        <v>-</v>
      </c>
      <c r="P304" s="147" t="s">
        <v>249</v>
      </c>
      <c r="Q304" s="148">
        <v>89447</v>
      </c>
      <c r="R304" s="149" t="str">
        <f t="shared" ca="1" si="152"/>
        <v>(abra o arquivo 'Referência 05-2024.xls)</v>
      </c>
      <c r="S304" s="150" t="str">
        <f t="shared" ca="1" si="153"/>
        <v>-</v>
      </c>
      <c r="T304" s="151">
        <f ca="1">OFFSET(CÁLCULO!H$15,ROW($T304)-ROW(T$15),0)</f>
        <v>105.97</v>
      </c>
      <c r="U304" s="152">
        <f t="shared" ca="1" si="149"/>
        <v>0</v>
      </c>
      <c r="V304" s="153" t="s">
        <v>158</v>
      </c>
      <c r="W304" s="151">
        <f t="shared" ca="1" si="137"/>
        <v>0</v>
      </c>
      <c r="X304" s="154">
        <f t="shared" ca="1" si="138"/>
        <v>0</v>
      </c>
      <c r="Y304" s="155" t="s">
        <v>583</v>
      </c>
      <c r="Z304" t="str">
        <f t="shared" ca="1" si="139"/>
        <v/>
      </c>
      <c r="AA304" s="156">
        <f ca="1">IF($C304="S",IF($Z304="CP",$X304,IF($Z304="RA",(($X304)*QCI!$AA$3),0)),SomaAgrup)</f>
        <v>0</v>
      </c>
      <c r="AB304" s="157">
        <f t="shared" ca="1" si="140"/>
        <v>0</v>
      </c>
      <c r="AC304" s="158" t="str">
        <f t="shared" ca="1" si="141"/>
        <v/>
      </c>
      <c r="AD304" s="104" t="str">
        <f ca="1">IF(C304&lt;=CRONO.NivelExibicao,MAX($AD$15:OFFSET(AD304,-1,0))+IF($C304&lt;&gt;1,1,MAX(1,COUNTIF(QCI!$A$13:$A$24,OFFSET($E304,-1,0)))),"")</f>
        <v/>
      </c>
      <c r="AE304" s="114" t="str">
        <f t="shared" ca="1" si="142"/>
        <v>SINAPI 89447</v>
      </c>
      <c r="AF304" s="159" t="str">
        <f t="shared" ca="1" si="143"/>
        <v>(abra o arquivo 'Referência 05-2024.xls)</v>
      </c>
      <c r="AG304" s="579">
        <f t="shared" ca="1" si="144"/>
        <v>0</v>
      </c>
      <c r="AH304" s="580">
        <f t="shared" ca="1" si="145"/>
        <v>0.22470000000000001</v>
      </c>
      <c r="AJ304" s="582">
        <v>105.97</v>
      </c>
      <c r="AL304" s="612"/>
      <c r="AM304" s="430">
        <f t="shared" ca="1" si="146"/>
        <v>0</v>
      </c>
      <c r="AN304" s="655">
        <f t="shared" ca="1" si="147"/>
        <v>0</v>
      </c>
    </row>
    <row r="305" spans="1:40" ht="13.8" x14ac:dyDescent="0.3">
      <c r="A305" t="str">
        <f t="shared" si="126"/>
        <v>S</v>
      </c>
      <c r="B305">
        <f t="shared" ca="1" si="127"/>
        <v>3</v>
      </c>
      <c r="C305" t="str">
        <f t="shared" ca="1" si="128"/>
        <v>S</v>
      </c>
      <c r="D305">
        <f t="shared" ca="1" si="129"/>
        <v>0</v>
      </c>
      <c r="E305">
        <f ca="1">IF($C305=1,OFFSET(E305,-1,0)+MAX(1,COUNTIF(QCI!$A$13:$A$24,OFFSET(ORÇAMENTO!E305,-1,0))),OFFSET(E305,-1,0))</f>
        <v>1</v>
      </c>
      <c r="F305">
        <f t="shared" ca="1" si="130"/>
        <v>12</v>
      </c>
      <c r="G305">
        <f t="shared" ca="1" si="131"/>
        <v>1</v>
      </c>
      <c r="H305">
        <f t="shared" ca="1" si="132"/>
        <v>0</v>
      </c>
      <c r="I305">
        <f t="shared" ca="1" si="133"/>
        <v>0</v>
      </c>
      <c r="J305">
        <f t="shared" ca="1" si="148"/>
        <v>0</v>
      </c>
      <c r="K305">
        <f ca="1">IF(OR($C305="S",$C305=0),0,MATCH(OFFSET($D305,0,$C305)+IF($C305&lt;&gt;1,1,COUNTIF(QCI!$A$13:$A$24,ORÇAMENTO!E305)),OFFSET($D305,1,$C305,ROW($C$710)-ROW($C305)),0))</f>
        <v>0</v>
      </c>
      <c r="L305" s="143" t="str">
        <f t="shared" ca="1" si="134"/>
        <v/>
      </c>
      <c r="M305" s="144" t="s">
        <v>201</v>
      </c>
      <c r="N305" s="145" t="str">
        <f t="shared" ca="1" si="135"/>
        <v>Serviço</v>
      </c>
      <c r="O305" s="146" t="str">
        <f t="shared" ca="1" si="136"/>
        <v>-</v>
      </c>
      <c r="P305" s="147" t="s">
        <v>249</v>
      </c>
      <c r="Q305" s="148">
        <v>89449</v>
      </c>
      <c r="R305" s="149" t="str">
        <f t="shared" ca="1" si="152"/>
        <v>(abra o arquivo 'Referência 05-2024.xls)</v>
      </c>
      <c r="S305" s="150" t="str">
        <f t="shared" ca="1" si="153"/>
        <v>-</v>
      </c>
      <c r="T305" s="151">
        <f ca="1">OFFSET(CÁLCULO!H$15,ROW($T305)-ROW(T$15),0)</f>
        <v>148.80000000000001</v>
      </c>
      <c r="U305" s="152">
        <f t="shared" ca="1" si="149"/>
        <v>0</v>
      </c>
      <c r="V305" s="153" t="s">
        <v>158</v>
      </c>
      <c r="W305" s="151">
        <f t="shared" ca="1" si="137"/>
        <v>0</v>
      </c>
      <c r="X305" s="154">
        <f t="shared" ca="1" si="138"/>
        <v>0</v>
      </c>
      <c r="Y305" s="155" t="s">
        <v>583</v>
      </c>
      <c r="Z305" t="str">
        <f t="shared" ca="1" si="139"/>
        <v/>
      </c>
      <c r="AA305" s="156">
        <f ca="1">IF($C305="S",IF($Z305="CP",$X305,IF($Z305="RA",(($X305)*QCI!$AA$3),0)),SomaAgrup)</f>
        <v>0</v>
      </c>
      <c r="AB305" s="157">
        <f t="shared" ca="1" si="140"/>
        <v>0</v>
      </c>
      <c r="AC305" s="158" t="str">
        <f t="shared" ca="1" si="141"/>
        <v/>
      </c>
      <c r="AD305" s="104" t="str">
        <f ca="1">IF(C305&lt;=CRONO.NivelExibicao,MAX($AD$15:OFFSET(AD305,-1,0))+IF($C305&lt;&gt;1,1,MAX(1,COUNTIF(QCI!$A$13:$A$24,OFFSET($E305,-1,0)))),"")</f>
        <v/>
      </c>
      <c r="AE305" s="114" t="str">
        <f t="shared" ca="1" si="142"/>
        <v>SINAPI 89449</v>
      </c>
      <c r="AF305" s="159" t="str">
        <f t="shared" ca="1" si="143"/>
        <v>(abra o arquivo 'Referência 05-2024.xls)</v>
      </c>
      <c r="AG305" s="579">
        <f t="shared" ca="1" si="144"/>
        <v>0</v>
      </c>
      <c r="AH305" s="580">
        <f t="shared" ca="1" si="145"/>
        <v>0.22470000000000001</v>
      </c>
      <c r="AJ305" s="582">
        <v>148.80000000000001</v>
      </c>
      <c r="AL305" s="612"/>
      <c r="AM305" s="430">
        <f t="shared" ca="1" si="146"/>
        <v>0</v>
      </c>
      <c r="AN305" s="655">
        <f t="shared" ca="1" si="147"/>
        <v>0</v>
      </c>
    </row>
    <row r="306" spans="1:40" ht="13.8" x14ac:dyDescent="0.3">
      <c r="A306" t="str">
        <f t="shared" si="126"/>
        <v>S</v>
      </c>
      <c r="B306">
        <f t="shared" ca="1" si="127"/>
        <v>3</v>
      </c>
      <c r="C306" t="str">
        <f t="shared" ca="1" si="128"/>
        <v>S</v>
      </c>
      <c r="D306">
        <f t="shared" ca="1" si="129"/>
        <v>0</v>
      </c>
      <c r="E306">
        <f ca="1">IF($C306=1,OFFSET(E306,-1,0)+MAX(1,COUNTIF(QCI!$A$13:$A$24,OFFSET(ORÇAMENTO!E306,-1,0))),OFFSET(E306,-1,0))</f>
        <v>1</v>
      </c>
      <c r="F306">
        <f t="shared" ca="1" si="130"/>
        <v>12</v>
      </c>
      <c r="G306">
        <f t="shared" ca="1" si="131"/>
        <v>1</v>
      </c>
      <c r="H306">
        <f t="shared" ca="1" si="132"/>
        <v>0</v>
      </c>
      <c r="I306">
        <f t="shared" ca="1" si="133"/>
        <v>0</v>
      </c>
      <c r="J306">
        <f t="shared" ca="1" si="148"/>
        <v>0</v>
      </c>
      <c r="K306">
        <f ca="1">IF(OR($C306="S",$C306=0),0,MATCH(OFFSET($D306,0,$C306)+IF($C306&lt;&gt;1,1,COUNTIF(QCI!$A$13:$A$24,ORÇAMENTO!E306)),OFFSET($D306,1,$C306,ROW($C$710)-ROW($C306)),0))</f>
        <v>0</v>
      </c>
      <c r="L306" s="143" t="str">
        <f t="shared" ca="1" si="134"/>
        <v/>
      </c>
      <c r="M306" s="144" t="s">
        <v>201</v>
      </c>
      <c r="N306" s="145" t="str">
        <f t="shared" ca="1" si="135"/>
        <v>Serviço</v>
      </c>
      <c r="O306" s="146" t="str">
        <f t="shared" ca="1" si="136"/>
        <v>-</v>
      </c>
      <c r="P306" s="147" t="s">
        <v>249</v>
      </c>
      <c r="Q306" s="148">
        <v>89450</v>
      </c>
      <c r="R306" s="149" t="str">
        <f t="shared" ca="1" si="152"/>
        <v>(abra o arquivo 'Referência 05-2024.xls)</v>
      </c>
      <c r="S306" s="150" t="str">
        <f t="shared" ca="1" si="153"/>
        <v>-</v>
      </c>
      <c r="T306" s="151">
        <f ca="1">OFFSET(CÁLCULO!H$15,ROW($T306)-ROW(T$15),0)</f>
        <v>132.16</v>
      </c>
      <c r="U306" s="152">
        <f t="shared" ca="1" si="149"/>
        <v>0</v>
      </c>
      <c r="V306" s="153" t="s">
        <v>158</v>
      </c>
      <c r="W306" s="151">
        <f t="shared" ca="1" si="137"/>
        <v>0</v>
      </c>
      <c r="X306" s="154">
        <f t="shared" ca="1" si="138"/>
        <v>0</v>
      </c>
      <c r="Y306" s="155" t="s">
        <v>583</v>
      </c>
      <c r="Z306" t="str">
        <f t="shared" ca="1" si="139"/>
        <v/>
      </c>
      <c r="AA306" s="156">
        <f ca="1">IF($C306="S",IF($Z306="CP",$X306,IF($Z306="RA",(($X306)*QCI!$AA$3),0)),SomaAgrup)</f>
        <v>0</v>
      </c>
      <c r="AB306" s="157">
        <f t="shared" ca="1" si="140"/>
        <v>0</v>
      </c>
      <c r="AC306" s="158" t="str">
        <f t="shared" ca="1" si="141"/>
        <v/>
      </c>
      <c r="AD306" s="104" t="str">
        <f ca="1">IF(C306&lt;=CRONO.NivelExibicao,MAX($AD$15:OFFSET(AD306,-1,0))+IF($C306&lt;&gt;1,1,MAX(1,COUNTIF(QCI!$A$13:$A$24,OFFSET($E306,-1,0)))),"")</f>
        <v/>
      </c>
      <c r="AE306" s="114" t="str">
        <f t="shared" ca="1" si="142"/>
        <v>SINAPI 89450</v>
      </c>
      <c r="AF306" s="159" t="str">
        <f t="shared" ca="1" si="143"/>
        <v>(abra o arquivo 'Referência 05-2024.xls)</v>
      </c>
      <c r="AG306" s="579">
        <f t="shared" ca="1" si="144"/>
        <v>0</v>
      </c>
      <c r="AH306" s="580">
        <f t="shared" ca="1" si="145"/>
        <v>0.22470000000000001</v>
      </c>
      <c r="AJ306" s="582">
        <v>132.16</v>
      </c>
      <c r="AL306" s="612"/>
      <c r="AM306" s="430">
        <f t="shared" ca="1" si="146"/>
        <v>0</v>
      </c>
      <c r="AN306" s="655">
        <f t="shared" ca="1" si="147"/>
        <v>0</v>
      </c>
    </row>
    <row r="307" spans="1:40" ht="13.8" x14ac:dyDescent="0.3">
      <c r="A307" t="str">
        <f t="shared" si="126"/>
        <v>S</v>
      </c>
      <c r="B307">
        <f t="shared" ca="1" si="127"/>
        <v>3</v>
      </c>
      <c r="C307" t="str">
        <f t="shared" ca="1" si="128"/>
        <v>S</v>
      </c>
      <c r="D307">
        <f t="shared" ca="1" si="129"/>
        <v>0</v>
      </c>
      <c r="E307">
        <f ca="1">IF($C307=1,OFFSET(E307,-1,0)+MAX(1,COUNTIF(QCI!$A$13:$A$24,OFFSET(ORÇAMENTO!E307,-1,0))),OFFSET(E307,-1,0))</f>
        <v>1</v>
      </c>
      <c r="F307">
        <f t="shared" ca="1" si="130"/>
        <v>12</v>
      </c>
      <c r="G307">
        <f t="shared" ca="1" si="131"/>
        <v>1</v>
      </c>
      <c r="H307">
        <f t="shared" ca="1" si="132"/>
        <v>0</v>
      </c>
      <c r="I307">
        <f t="shared" ca="1" si="133"/>
        <v>0</v>
      </c>
      <c r="J307">
        <f t="shared" ca="1" si="148"/>
        <v>0</v>
      </c>
      <c r="K307">
        <f ca="1">IF(OR($C307="S",$C307=0),0,MATCH(OFFSET($D307,0,$C307)+IF($C307&lt;&gt;1,1,COUNTIF(QCI!$A$13:$A$24,ORÇAMENTO!E307)),OFFSET($D307,1,$C307,ROW($C$710)-ROW($C307)),0))</f>
        <v>0</v>
      </c>
      <c r="L307" s="143" t="str">
        <f t="shared" ca="1" si="134"/>
        <v/>
      </c>
      <c r="M307" s="144" t="s">
        <v>201</v>
      </c>
      <c r="N307" s="145" t="str">
        <f t="shared" ca="1" si="135"/>
        <v>Serviço</v>
      </c>
      <c r="O307" s="146" t="str">
        <f t="shared" ca="1" si="136"/>
        <v>-</v>
      </c>
      <c r="P307" s="147" t="s">
        <v>249</v>
      </c>
      <c r="Q307" s="148">
        <v>89451</v>
      </c>
      <c r="R307" s="149" t="str">
        <f t="shared" ca="1" si="152"/>
        <v>(abra o arquivo 'Referência 05-2024.xls)</v>
      </c>
      <c r="S307" s="150" t="str">
        <f t="shared" ca="1" si="153"/>
        <v>-</v>
      </c>
      <c r="T307" s="151">
        <f ca="1">OFFSET(CÁLCULO!H$15,ROW($T307)-ROW(T$15),0)</f>
        <v>44.74</v>
      </c>
      <c r="U307" s="152">
        <f t="shared" ca="1" si="149"/>
        <v>0</v>
      </c>
      <c r="V307" s="153" t="s">
        <v>158</v>
      </c>
      <c r="W307" s="151">
        <f t="shared" ca="1" si="137"/>
        <v>0</v>
      </c>
      <c r="X307" s="154">
        <f t="shared" ca="1" si="138"/>
        <v>0</v>
      </c>
      <c r="Y307" s="155" t="s">
        <v>583</v>
      </c>
      <c r="Z307" t="str">
        <f t="shared" ca="1" si="139"/>
        <v/>
      </c>
      <c r="AA307" s="156">
        <f ca="1">IF($C307="S",IF($Z307="CP",$X307,IF($Z307="RA",(($X307)*QCI!$AA$3),0)),SomaAgrup)</f>
        <v>0</v>
      </c>
      <c r="AB307" s="157">
        <f t="shared" ca="1" si="140"/>
        <v>0</v>
      </c>
      <c r="AC307" s="158" t="str">
        <f t="shared" ca="1" si="141"/>
        <v/>
      </c>
      <c r="AD307" s="104" t="str">
        <f ca="1">IF(C307&lt;=CRONO.NivelExibicao,MAX($AD$15:OFFSET(AD307,-1,0))+IF($C307&lt;&gt;1,1,MAX(1,COUNTIF(QCI!$A$13:$A$24,OFFSET($E307,-1,0)))),"")</f>
        <v/>
      </c>
      <c r="AE307" s="114" t="str">
        <f t="shared" ca="1" si="142"/>
        <v>SINAPI 89451</v>
      </c>
      <c r="AF307" s="159" t="str">
        <f t="shared" ca="1" si="143"/>
        <v>(abra o arquivo 'Referência 05-2024.xls)</v>
      </c>
      <c r="AG307" s="579">
        <f t="shared" ca="1" si="144"/>
        <v>0</v>
      </c>
      <c r="AH307" s="580">
        <f t="shared" ca="1" si="145"/>
        <v>0.22470000000000001</v>
      </c>
      <c r="AJ307" s="582">
        <v>44.74</v>
      </c>
      <c r="AL307" s="612"/>
      <c r="AM307" s="430">
        <f t="shared" ca="1" si="146"/>
        <v>0</v>
      </c>
      <c r="AN307" s="655">
        <f t="shared" ca="1" si="147"/>
        <v>0</v>
      </c>
    </row>
    <row r="308" spans="1:40" ht="13.8" x14ac:dyDescent="0.3">
      <c r="A308" t="str">
        <f t="shared" si="126"/>
        <v>S</v>
      </c>
      <c r="B308">
        <f t="shared" ca="1" si="127"/>
        <v>3</v>
      </c>
      <c r="C308" t="str">
        <f t="shared" ca="1" si="128"/>
        <v>S</v>
      </c>
      <c r="D308">
        <f t="shared" ca="1" si="129"/>
        <v>0</v>
      </c>
      <c r="E308">
        <f ca="1">IF($C308=1,OFFSET(E308,-1,0)+MAX(1,COUNTIF(QCI!$A$13:$A$24,OFFSET(ORÇAMENTO!E308,-1,0))),OFFSET(E308,-1,0))</f>
        <v>1</v>
      </c>
      <c r="F308">
        <f t="shared" ca="1" si="130"/>
        <v>12</v>
      </c>
      <c r="G308">
        <f t="shared" ca="1" si="131"/>
        <v>1</v>
      </c>
      <c r="H308">
        <f t="shared" ca="1" si="132"/>
        <v>0</v>
      </c>
      <c r="I308">
        <f t="shared" ca="1" si="133"/>
        <v>0</v>
      </c>
      <c r="J308">
        <f t="shared" ca="1" si="148"/>
        <v>0</v>
      </c>
      <c r="K308">
        <f ca="1">IF(OR($C308="S",$C308=0),0,MATCH(OFFSET($D308,0,$C308)+IF($C308&lt;&gt;1,1,COUNTIF(QCI!$A$13:$A$24,ORÇAMENTO!E308)),OFFSET($D308,1,$C308,ROW($C$710)-ROW($C308)),0))</f>
        <v>0</v>
      </c>
      <c r="L308" s="143" t="str">
        <f t="shared" ca="1" si="134"/>
        <v/>
      </c>
      <c r="M308" s="144" t="s">
        <v>201</v>
      </c>
      <c r="N308" s="145" t="str">
        <f t="shared" ca="1" si="135"/>
        <v>Serviço</v>
      </c>
      <c r="O308" s="146" t="str">
        <f t="shared" ca="1" si="136"/>
        <v>-</v>
      </c>
      <c r="P308" s="147" t="s">
        <v>249</v>
      </c>
      <c r="Q308" s="148">
        <v>89452</v>
      </c>
      <c r="R308" s="149" t="str">
        <f t="shared" ca="1" si="152"/>
        <v>(abra o arquivo 'Referência 05-2024.xls)</v>
      </c>
      <c r="S308" s="150" t="str">
        <f t="shared" ca="1" si="153"/>
        <v>-</v>
      </c>
      <c r="T308" s="151">
        <f ca="1">OFFSET(CÁLCULO!H$15,ROW($T308)-ROW(T$15),0)</f>
        <v>25.63</v>
      </c>
      <c r="U308" s="152">
        <f t="shared" ca="1" si="149"/>
        <v>0</v>
      </c>
      <c r="V308" s="153" t="s">
        <v>158</v>
      </c>
      <c r="W308" s="151">
        <f t="shared" ca="1" si="137"/>
        <v>0</v>
      </c>
      <c r="X308" s="154">
        <f t="shared" ca="1" si="138"/>
        <v>0</v>
      </c>
      <c r="Y308" s="155" t="s">
        <v>583</v>
      </c>
      <c r="Z308" t="str">
        <f t="shared" ca="1" si="139"/>
        <v/>
      </c>
      <c r="AA308" s="156">
        <f ca="1">IF($C308="S",IF($Z308="CP",$X308,IF($Z308="RA",(($X308)*QCI!$AA$3),0)),SomaAgrup)</f>
        <v>0</v>
      </c>
      <c r="AB308" s="157">
        <f t="shared" ca="1" si="140"/>
        <v>0</v>
      </c>
      <c r="AC308" s="158" t="str">
        <f t="shared" ca="1" si="141"/>
        <v/>
      </c>
      <c r="AD308" s="104" t="str">
        <f ca="1">IF(C308&lt;=CRONO.NivelExibicao,MAX($AD$15:OFFSET(AD308,-1,0))+IF($C308&lt;&gt;1,1,MAX(1,COUNTIF(QCI!$A$13:$A$24,OFFSET($E308,-1,0)))),"")</f>
        <v/>
      </c>
      <c r="AE308" s="114" t="str">
        <f t="shared" ca="1" si="142"/>
        <v>SINAPI 89452</v>
      </c>
      <c r="AF308" s="159" t="str">
        <f t="shared" ca="1" si="143"/>
        <v>(abra o arquivo 'Referência 05-2024.xls)</v>
      </c>
      <c r="AG308" s="579">
        <f t="shared" ca="1" si="144"/>
        <v>0</v>
      </c>
      <c r="AH308" s="580">
        <f t="shared" ca="1" si="145"/>
        <v>0.22470000000000001</v>
      </c>
      <c r="AJ308" s="582">
        <v>25.63</v>
      </c>
      <c r="AL308" s="612"/>
      <c r="AM308" s="430">
        <f t="shared" ca="1" si="146"/>
        <v>0</v>
      </c>
      <c r="AN308" s="655">
        <f t="shared" ca="1" si="147"/>
        <v>0</v>
      </c>
    </row>
    <row r="309" spans="1:40" ht="13.8" x14ac:dyDescent="0.3">
      <c r="A309" t="str">
        <f t="shared" si="126"/>
        <v>S</v>
      </c>
      <c r="B309">
        <f t="shared" ca="1" si="127"/>
        <v>3</v>
      </c>
      <c r="C309" t="str">
        <f t="shared" ca="1" si="128"/>
        <v>S</v>
      </c>
      <c r="D309">
        <f t="shared" ca="1" si="129"/>
        <v>0</v>
      </c>
      <c r="E309">
        <f ca="1">IF($C309=1,OFFSET(E309,-1,0)+MAX(1,COUNTIF(QCI!$A$13:$A$24,OFFSET(ORÇAMENTO!E309,-1,0))),OFFSET(E309,-1,0))</f>
        <v>1</v>
      </c>
      <c r="F309">
        <f t="shared" ca="1" si="130"/>
        <v>12</v>
      </c>
      <c r="G309">
        <f t="shared" ca="1" si="131"/>
        <v>1</v>
      </c>
      <c r="H309">
        <f t="shared" ca="1" si="132"/>
        <v>0</v>
      </c>
      <c r="I309">
        <f t="shared" ca="1" si="133"/>
        <v>0</v>
      </c>
      <c r="J309">
        <f t="shared" ca="1" si="148"/>
        <v>0</v>
      </c>
      <c r="K309">
        <f ca="1">IF(OR($C309="S",$C309=0),0,MATCH(OFFSET($D309,0,$C309)+IF($C309&lt;&gt;1,1,COUNTIF(QCI!$A$13:$A$24,ORÇAMENTO!E309)),OFFSET($D309,1,$C309,ROW($C$710)-ROW($C309)),0))</f>
        <v>0</v>
      </c>
      <c r="L309" s="143" t="str">
        <f t="shared" ca="1" si="134"/>
        <v/>
      </c>
      <c r="M309" s="144" t="s">
        <v>201</v>
      </c>
      <c r="N309" s="145" t="str">
        <f t="shared" ca="1" si="135"/>
        <v>Serviço</v>
      </c>
      <c r="O309" s="146" t="str">
        <f t="shared" ca="1" si="136"/>
        <v>-</v>
      </c>
      <c r="P309" s="147" t="s">
        <v>249</v>
      </c>
      <c r="Q309" s="148">
        <v>94703</v>
      </c>
      <c r="R309" s="149" t="str">
        <f t="shared" ca="1" si="152"/>
        <v>(abra o arquivo 'Referência 05-2024.xls)</v>
      </c>
      <c r="S309" s="150" t="str">
        <f t="shared" ca="1" si="153"/>
        <v>-</v>
      </c>
      <c r="T309" s="151">
        <f ca="1">OFFSET(CÁLCULO!H$15,ROW($T309)-ROW(T$15),0)</f>
        <v>1</v>
      </c>
      <c r="U309" s="152">
        <f t="shared" ca="1" si="149"/>
        <v>0</v>
      </c>
      <c r="V309" s="153" t="s">
        <v>158</v>
      </c>
      <c r="W309" s="151">
        <f t="shared" ca="1" si="137"/>
        <v>0</v>
      </c>
      <c r="X309" s="154">
        <f t="shared" ca="1" si="138"/>
        <v>0</v>
      </c>
      <c r="Y309" s="155" t="s">
        <v>583</v>
      </c>
      <c r="Z309" t="str">
        <f t="shared" ca="1" si="139"/>
        <v/>
      </c>
      <c r="AA309" s="156">
        <f ca="1">IF($C309="S",IF($Z309="CP",$X309,IF($Z309="RA",(($X309)*QCI!$AA$3),0)),SomaAgrup)</f>
        <v>0</v>
      </c>
      <c r="AB309" s="157">
        <f t="shared" ca="1" si="140"/>
        <v>0</v>
      </c>
      <c r="AC309" s="158" t="str">
        <f t="shared" ca="1" si="141"/>
        <v/>
      </c>
      <c r="AD309" s="104" t="str">
        <f ca="1">IF(C309&lt;=CRONO.NivelExibicao,MAX($AD$15:OFFSET(AD309,-1,0))+IF($C309&lt;&gt;1,1,MAX(1,COUNTIF(QCI!$A$13:$A$24,OFFSET($E309,-1,0)))),"")</f>
        <v/>
      </c>
      <c r="AE309" s="114" t="str">
        <f t="shared" ca="1" si="142"/>
        <v>SINAPI 94703</v>
      </c>
      <c r="AF309" s="159" t="str">
        <f t="shared" ca="1" si="143"/>
        <v>(abra o arquivo 'Referência 05-2024.xls)</v>
      </c>
      <c r="AG309" s="579">
        <f t="shared" ca="1" si="144"/>
        <v>0</v>
      </c>
      <c r="AH309" s="580">
        <f t="shared" ca="1" si="145"/>
        <v>0.22470000000000001</v>
      </c>
      <c r="AJ309" s="582">
        <v>1</v>
      </c>
      <c r="AL309" s="612"/>
      <c r="AM309" s="430">
        <f t="shared" ca="1" si="146"/>
        <v>0</v>
      </c>
      <c r="AN309" s="655">
        <f t="shared" ca="1" si="147"/>
        <v>0</v>
      </c>
    </row>
    <row r="310" spans="1:40" ht="13.8" x14ac:dyDescent="0.3">
      <c r="A310" t="str">
        <f t="shared" si="126"/>
        <v>S</v>
      </c>
      <c r="B310">
        <f t="shared" ca="1" si="127"/>
        <v>3</v>
      </c>
      <c r="C310" t="str">
        <f t="shared" ca="1" si="128"/>
        <v>S</v>
      </c>
      <c r="D310">
        <f t="shared" ca="1" si="129"/>
        <v>0</v>
      </c>
      <c r="E310">
        <f ca="1">IF($C310=1,OFFSET(E310,-1,0)+MAX(1,COUNTIF(QCI!$A$13:$A$24,OFFSET(ORÇAMENTO!E310,-1,0))),OFFSET(E310,-1,0))</f>
        <v>1</v>
      </c>
      <c r="F310">
        <f t="shared" ca="1" si="130"/>
        <v>12</v>
      </c>
      <c r="G310">
        <f t="shared" ca="1" si="131"/>
        <v>1</v>
      </c>
      <c r="H310">
        <f t="shared" ca="1" si="132"/>
        <v>0</v>
      </c>
      <c r="I310">
        <f t="shared" ca="1" si="133"/>
        <v>0</v>
      </c>
      <c r="J310">
        <f t="shared" ca="1" si="148"/>
        <v>0</v>
      </c>
      <c r="K310">
        <f ca="1">IF(OR($C310="S",$C310=0),0,MATCH(OFFSET($D310,0,$C310)+IF($C310&lt;&gt;1,1,COUNTIF(QCI!$A$13:$A$24,ORÇAMENTO!E310)),OFFSET($D310,1,$C310,ROW($C$710)-ROW($C310)),0))</f>
        <v>0</v>
      </c>
      <c r="L310" s="143" t="str">
        <f t="shared" ca="1" si="134"/>
        <v/>
      </c>
      <c r="M310" s="144" t="s">
        <v>201</v>
      </c>
      <c r="N310" s="145" t="str">
        <f t="shared" ca="1" si="135"/>
        <v>Serviço</v>
      </c>
      <c r="O310" s="146" t="str">
        <f t="shared" ca="1" si="136"/>
        <v>-</v>
      </c>
      <c r="P310" s="147" t="s">
        <v>249</v>
      </c>
      <c r="Q310" s="148">
        <v>94704</v>
      </c>
      <c r="R310" s="149" t="str">
        <f t="shared" ca="1" si="152"/>
        <v>(abra o arquivo 'Referência 05-2024.xls)</v>
      </c>
      <c r="S310" s="150" t="str">
        <f t="shared" ca="1" si="153"/>
        <v>-</v>
      </c>
      <c r="T310" s="151">
        <f ca="1">OFFSET(CÁLCULO!H$15,ROW($T310)-ROW(T$15),0)</f>
        <v>1</v>
      </c>
      <c r="U310" s="152">
        <f t="shared" ca="1" si="149"/>
        <v>0</v>
      </c>
      <c r="V310" s="153" t="s">
        <v>158</v>
      </c>
      <c r="W310" s="151">
        <f t="shared" ca="1" si="137"/>
        <v>0</v>
      </c>
      <c r="X310" s="154">
        <f t="shared" ca="1" si="138"/>
        <v>0</v>
      </c>
      <c r="Y310" s="155" t="s">
        <v>583</v>
      </c>
      <c r="Z310" t="str">
        <f t="shared" ca="1" si="139"/>
        <v/>
      </c>
      <c r="AA310" s="156">
        <f ca="1">IF($C310="S",IF($Z310="CP",$X310,IF($Z310="RA",(($X310)*QCI!$AA$3),0)),SomaAgrup)</f>
        <v>0</v>
      </c>
      <c r="AB310" s="157">
        <f t="shared" ca="1" si="140"/>
        <v>0</v>
      </c>
      <c r="AC310" s="158" t="str">
        <f t="shared" ca="1" si="141"/>
        <v/>
      </c>
      <c r="AD310" s="104" t="str">
        <f ca="1">IF(C310&lt;=CRONO.NivelExibicao,MAX($AD$15:OFFSET(AD310,-1,0))+IF($C310&lt;&gt;1,1,MAX(1,COUNTIF(QCI!$A$13:$A$24,OFFSET($E310,-1,0)))),"")</f>
        <v/>
      </c>
      <c r="AE310" s="114" t="str">
        <f t="shared" ca="1" si="142"/>
        <v>SINAPI 94704</v>
      </c>
      <c r="AF310" s="159" t="str">
        <f t="shared" ca="1" si="143"/>
        <v>(abra o arquivo 'Referência 05-2024.xls)</v>
      </c>
      <c r="AG310" s="579">
        <f t="shared" ca="1" si="144"/>
        <v>0</v>
      </c>
      <c r="AH310" s="580">
        <f t="shared" ca="1" si="145"/>
        <v>0.22470000000000001</v>
      </c>
      <c r="AJ310" s="582">
        <v>1</v>
      </c>
      <c r="AL310" s="612"/>
      <c r="AM310" s="430">
        <f t="shared" ca="1" si="146"/>
        <v>0</v>
      </c>
      <c r="AN310" s="655">
        <f t="shared" ca="1" si="147"/>
        <v>0</v>
      </c>
    </row>
    <row r="311" spans="1:40" ht="13.8" x14ac:dyDescent="0.3">
      <c r="A311" t="str">
        <f t="shared" si="126"/>
        <v>S</v>
      </c>
      <c r="B311">
        <f t="shared" ca="1" si="127"/>
        <v>3</v>
      </c>
      <c r="C311" t="str">
        <f t="shared" ca="1" si="128"/>
        <v>S</v>
      </c>
      <c r="D311">
        <f t="shared" ca="1" si="129"/>
        <v>0</v>
      </c>
      <c r="E311">
        <f ca="1">IF($C311=1,OFFSET(E311,-1,0)+MAX(1,COUNTIF(QCI!$A$13:$A$24,OFFSET(ORÇAMENTO!E311,-1,0))),OFFSET(E311,-1,0))</f>
        <v>1</v>
      </c>
      <c r="F311">
        <f t="shared" ca="1" si="130"/>
        <v>12</v>
      </c>
      <c r="G311">
        <f t="shared" ca="1" si="131"/>
        <v>1</v>
      </c>
      <c r="H311">
        <f t="shared" ca="1" si="132"/>
        <v>0</v>
      </c>
      <c r="I311">
        <f t="shared" ca="1" si="133"/>
        <v>0</v>
      </c>
      <c r="J311">
        <f t="shared" ca="1" si="148"/>
        <v>0</v>
      </c>
      <c r="K311">
        <f ca="1">IF(OR($C311="S",$C311=0),0,MATCH(OFFSET($D311,0,$C311)+IF($C311&lt;&gt;1,1,COUNTIF(QCI!$A$13:$A$24,ORÇAMENTO!E311)),OFFSET($D311,1,$C311,ROW($C$710)-ROW($C311)),0))</f>
        <v>0</v>
      </c>
      <c r="L311" s="143" t="str">
        <f t="shared" ca="1" si="134"/>
        <v/>
      </c>
      <c r="M311" s="144" t="s">
        <v>201</v>
      </c>
      <c r="N311" s="145" t="str">
        <f t="shared" ca="1" si="135"/>
        <v>Serviço</v>
      </c>
      <c r="O311" s="146" t="str">
        <f t="shared" ca="1" si="136"/>
        <v>-</v>
      </c>
      <c r="P311" s="147" t="s">
        <v>249</v>
      </c>
      <c r="Q311" s="148">
        <v>94713</v>
      </c>
      <c r="R311" s="149" t="str">
        <f t="shared" ca="1" si="152"/>
        <v>(abra o arquivo 'Referência 05-2024.xls)</v>
      </c>
      <c r="S311" s="150" t="str">
        <f t="shared" ca="1" si="153"/>
        <v>-</v>
      </c>
      <c r="T311" s="151">
        <f ca="1">OFFSET(CÁLCULO!H$15,ROW($T311)-ROW(T$15),0)</f>
        <v>1</v>
      </c>
      <c r="U311" s="152">
        <f t="shared" ca="1" si="149"/>
        <v>0</v>
      </c>
      <c r="V311" s="153" t="s">
        <v>158</v>
      </c>
      <c r="W311" s="151">
        <f t="shared" ca="1" si="137"/>
        <v>0</v>
      </c>
      <c r="X311" s="154">
        <f t="shared" ca="1" si="138"/>
        <v>0</v>
      </c>
      <c r="Y311" s="155" t="s">
        <v>583</v>
      </c>
      <c r="Z311" t="str">
        <f t="shared" ca="1" si="139"/>
        <v/>
      </c>
      <c r="AA311" s="156">
        <f ca="1">IF($C311="S",IF($Z311="CP",$X311,IF($Z311="RA",(($X311)*QCI!$AA$3),0)),SomaAgrup)</f>
        <v>0</v>
      </c>
      <c r="AB311" s="157">
        <f t="shared" ca="1" si="140"/>
        <v>0</v>
      </c>
      <c r="AC311" s="158" t="str">
        <f t="shared" ca="1" si="141"/>
        <v/>
      </c>
      <c r="AD311" s="104" t="str">
        <f ca="1">IF(C311&lt;=CRONO.NivelExibicao,MAX($AD$15:OFFSET(AD311,-1,0))+IF($C311&lt;&gt;1,1,MAX(1,COUNTIF(QCI!$A$13:$A$24,OFFSET($E311,-1,0)))),"")</f>
        <v/>
      </c>
      <c r="AE311" s="114" t="str">
        <f t="shared" ca="1" si="142"/>
        <v>SINAPI 94713</v>
      </c>
      <c r="AF311" s="159" t="str">
        <f t="shared" ca="1" si="143"/>
        <v>(abra o arquivo 'Referência 05-2024.xls)</v>
      </c>
      <c r="AG311" s="579">
        <f t="shared" ca="1" si="144"/>
        <v>0</v>
      </c>
      <c r="AH311" s="580">
        <f t="shared" ca="1" si="145"/>
        <v>0.22470000000000001</v>
      </c>
      <c r="AJ311" s="582">
        <v>1</v>
      </c>
      <c r="AL311" s="612"/>
      <c r="AM311" s="430">
        <f t="shared" ca="1" si="146"/>
        <v>0</v>
      </c>
      <c r="AN311" s="655">
        <f t="shared" ca="1" si="147"/>
        <v>0</v>
      </c>
    </row>
    <row r="312" spans="1:40" ht="13.8" x14ac:dyDescent="0.3">
      <c r="A312" t="str">
        <f t="shared" si="126"/>
        <v>S</v>
      </c>
      <c r="B312">
        <f t="shared" ca="1" si="127"/>
        <v>3</v>
      </c>
      <c r="C312" t="str">
        <f t="shared" ca="1" si="128"/>
        <v>S</v>
      </c>
      <c r="D312">
        <f t="shared" ca="1" si="129"/>
        <v>0</v>
      </c>
      <c r="E312">
        <f ca="1">IF($C312=1,OFFSET(E312,-1,0)+MAX(1,COUNTIF(QCI!$A$13:$A$24,OFFSET(ORÇAMENTO!E312,-1,0))),OFFSET(E312,-1,0))</f>
        <v>1</v>
      </c>
      <c r="F312">
        <f t="shared" ca="1" si="130"/>
        <v>12</v>
      </c>
      <c r="G312">
        <f t="shared" ca="1" si="131"/>
        <v>1</v>
      </c>
      <c r="H312">
        <f t="shared" ca="1" si="132"/>
        <v>0</v>
      </c>
      <c r="I312">
        <f t="shared" ca="1" si="133"/>
        <v>0</v>
      </c>
      <c r="J312">
        <f t="shared" ca="1" si="148"/>
        <v>0</v>
      </c>
      <c r="K312">
        <f ca="1">IF(OR($C312="S",$C312=0),0,MATCH(OFFSET($D312,0,$C312)+IF($C312&lt;&gt;1,1,COUNTIF(QCI!$A$13:$A$24,ORÇAMENTO!E312)),OFFSET($D312,1,$C312,ROW($C$710)-ROW($C312)),0))</f>
        <v>0</v>
      </c>
      <c r="L312" s="143" t="str">
        <f t="shared" ca="1" si="134"/>
        <v/>
      </c>
      <c r="M312" s="144" t="s">
        <v>201</v>
      </c>
      <c r="N312" s="145" t="str">
        <f t="shared" ca="1" si="135"/>
        <v>Serviço</v>
      </c>
      <c r="O312" s="146" t="str">
        <f t="shared" ca="1" si="136"/>
        <v>-</v>
      </c>
      <c r="P312" s="147" t="s">
        <v>249</v>
      </c>
      <c r="Q312" s="148">
        <v>94656</v>
      </c>
      <c r="R312" s="149" t="str">
        <f t="shared" ca="1" si="152"/>
        <v>(abra o arquivo 'Referência 05-2024.xls)</v>
      </c>
      <c r="S312" s="150" t="str">
        <f t="shared" ca="1" si="153"/>
        <v>-</v>
      </c>
      <c r="T312" s="151">
        <f ca="1">OFFSET(CÁLCULO!H$15,ROW($T312)-ROW(T$15),0)</f>
        <v>58</v>
      </c>
      <c r="U312" s="152">
        <f t="shared" ca="1" si="149"/>
        <v>0</v>
      </c>
      <c r="V312" s="153" t="s">
        <v>158</v>
      </c>
      <c r="W312" s="151">
        <f t="shared" ca="1" si="137"/>
        <v>0</v>
      </c>
      <c r="X312" s="154">
        <f t="shared" ca="1" si="138"/>
        <v>0</v>
      </c>
      <c r="Y312" s="155" t="s">
        <v>583</v>
      </c>
      <c r="Z312" t="str">
        <f t="shared" ca="1" si="139"/>
        <v/>
      </c>
      <c r="AA312" s="156">
        <f ca="1">IF($C312="S",IF($Z312="CP",$X312,IF($Z312="RA",(($X312)*QCI!$AA$3),0)),SomaAgrup)</f>
        <v>0</v>
      </c>
      <c r="AB312" s="157">
        <f t="shared" ca="1" si="140"/>
        <v>0</v>
      </c>
      <c r="AC312" s="158" t="str">
        <f t="shared" ca="1" si="141"/>
        <v/>
      </c>
      <c r="AD312" s="104" t="str">
        <f ca="1">IF(C312&lt;=CRONO.NivelExibicao,MAX($AD$15:OFFSET(AD312,-1,0))+IF($C312&lt;&gt;1,1,MAX(1,COUNTIF(QCI!$A$13:$A$24,OFFSET($E312,-1,0)))),"")</f>
        <v/>
      </c>
      <c r="AE312" s="114" t="str">
        <f t="shared" ca="1" si="142"/>
        <v>SINAPI 94656</v>
      </c>
      <c r="AF312" s="159" t="str">
        <f t="shared" ca="1" si="143"/>
        <v>(abra o arquivo 'Referência 05-2024.xls)</v>
      </c>
      <c r="AG312" s="579">
        <f t="shared" ca="1" si="144"/>
        <v>0</v>
      </c>
      <c r="AH312" s="580">
        <f t="shared" ca="1" si="145"/>
        <v>0.22470000000000001</v>
      </c>
      <c r="AJ312" s="582">
        <v>58</v>
      </c>
      <c r="AL312" s="612"/>
      <c r="AM312" s="430">
        <f t="shared" ca="1" si="146"/>
        <v>0</v>
      </c>
      <c r="AN312" s="655">
        <f t="shared" ca="1" si="147"/>
        <v>0</v>
      </c>
    </row>
    <row r="313" spans="1:40" ht="13.8" x14ac:dyDescent="0.3">
      <c r="A313" t="str">
        <f t="shared" si="126"/>
        <v>S</v>
      </c>
      <c r="B313">
        <f t="shared" ca="1" si="127"/>
        <v>3</v>
      </c>
      <c r="C313" t="str">
        <f t="shared" ca="1" si="128"/>
        <v>S</v>
      </c>
      <c r="D313">
        <f t="shared" ca="1" si="129"/>
        <v>0</v>
      </c>
      <c r="E313">
        <f ca="1">IF($C313=1,OFFSET(E313,-1,0)+MAX(1,COUNTIF(QCI!$A$13:$A$24,OFFSET(ORÇAMENTO!E313,-1,0))),OFFSET(E313,-1,0))</f>
        <v>1</v>
      </c>
      <c r="F313">
        <f t="shared" ca="1" si="130"/>
        <v>12</v>
      </c>
      <c r="G313">
        <f t="shared" ca="1" si="131"/>
        <v>1</v>
      </c>
      <c r="H313">
        <f t="shared" ca="1" si="132"/>
        <v>0</v>
      </c>
      <c r="I313">
        <f t="shared" ca="1" si="133"/>
        <v>0</v>
      </c>
      <c r="J313">
        <f t="shared" ca="1" si="148"/>
        <v>0</v>
      </c>
      <c r="K313">
        <f ca="1">IF(OR($C313="S",$C313=0),0,MATCH(OFFSET($D313,0,$C313)+IF($C313&lt;&gt;1,1,COUNTIF(QCI!$A$13:$A$24,ORÇAMENTO!E313)),OFFSET($D313,1,$C313,ROW($C$710)-ROW($C313)),0))</f>
        <v>0</v>
      </c>
      <c r="L313" s="143" t="str">
        <f t="shared" ca="1" si="134"/>
        <v/>
      </c>
      <c r="M313" s="144" t="s">
        <v>201</v>
      </c>
      <c r="N313" s="145" t="str">
        <f t="shared" ca="1" si="135"/>
        <v>Serviço</v>
      </c>
      <c r="O313" s="146" t="str">
        <f t="shared" ca="1" si="136"/>
        <v>-</v>
      </c>
      <c r="P313" s="147" t="s">
        <v>249</v>
      </c>
      <c r="Q313" s="148">
        <v>89553</v>
      </c>
      <c r="R313" s="149" t="str">
        <f t="shared" ca="1" si="152"/>
        <v>(abra o arquivo 'Referência 05-2024.xls)</v>
      </c>
      <c r="S313" s="150" t="str">
        <f t="shared" ca="1" si="153"/>
        <v>-</v>
      </c>
      <c r="T313" s="151">
        <f ca="1">OFFSET(CÁLCULO!H$15,ROW($T313)-ROW(T$15),0)</f>
        <v>14</v>
      </c>
      <c r="U313" s="152">
        <f t="shared" ca="1" si="149"/>
        <v>0</v>
      </c>
      <c r="V313" s="153" t="s">
        <v>158</v>
      </c>
      <c r="W313" s="151">
        <f t="shared" ca="1" si="137"/>
        <v>0</v>
      </c>
      <c r="X313" s="154">
        <f t="shared" ca="1" si="138"/>
        <v>0</v>
      </c>
      <c r="Y313" s="155" t="s">
        <v>583</v>
      </c>
      <c r="Z313" t="str">
        <f t="shared" ca="1" si="139"/>
        <v/>
      </c>
      <c r="AA313" s="156">
        <f ca="1">IF($C313="S",IF($Z313="CP",$X313,IF($Z313="RA",(($X313)*QCI!$AA$3),0)),SomaAgrup)</f>
        <v>0</v>
      </c>
      <c r="AB313" s="157">
        <f t="shared" ca="1" si="140"/>
        <v>0</v>
      </c>
      <c r="AC313" s="158" t="str">
        <f t="shared" ca="1" si="141"/>
        <v/>
      </c>
      <c r="AD313" s="104" t="str">
        <f ca="1">IF(C313&lt;=CRONO.NivelExibicao,MAX($AD$15:OFFSET(AD313,-1,0))+IF($C313&lt;&gt;1,1,MAX(1,COUNTIF(QCI!$A$13:$A$24,OFFSET($E313,-1,0)))),"")</f>
        <v/>
      </c>
      <c r="AE313" s="114" t="str">
        <f t="shared" ca="1" si="142"/>
        <v>SINAPI 89553</v>
      </c>
      <c r="AF313" s="159" t="str">
        <f t="shared" ca="1" si="143"/>
        <v>(abra o arquivo 'Referência 05-2024.xls)</v>
      </c>
      <c r="AG313" s="579">
        <f t="shared" ca="1" si="144"/>
        <v>0</v>
      </c>
      <c r="AH313" s="580">
        <f t="shared" ca="1" si="145"/>
        <v>0.22470000000000001</v>
      </c>
      <c r="AJ313" s="582">
        <v>14</v>
      </c>
      <c r="AL313" s="612"/>
      <c r="AM313" s="430">
        <f t="shared" ca="1" si="146"/>
        <v>0</v>
      </c>
      <c r="AN313" s="655">
        <f t="shared" ca="1" si="147"/>
        <v>0</v>
      </c>
    </row>
    <row r="314" spans="1:40" ht="13.8" x14ac:dyDescent="0.3">
      <c r="A314" t="str">
        <f t="shared" si="126"/>
        <v>S</v>
      </c>
      <c r="B314">
        <f t="shared" ca="1" si="127"/>
        <v>3</v>
      </c>
      <c r="C314" t="str">
        <f t="shared" ca="1" si="128"/>
        <v>S</v>
      </c>
      <c r="D314">
        <f t="shared" ca="1" si="129"/>
        <v>0</v>
      </c>
      <c r="E314">
        <f ca="1">IF($C314=1,OFFSET(E314,-1,0)+MAX(1,COUNTIF(QCI!$A$13:$A$24,OFFSET(ORÇAMENTO!E314,-1,0))),OFFSET(E314,-1,0))</f>
        <v>1</v>
      </c>
      <c r="F314">
        <f t="shared" ca="1" si="130"/>
        <v>12</v>
      </c>
      <c r="G314">
        <f t="shared" ca="1" si="131"/>
        <v>1</v>
      </c>
      <c r="H314">
        <f t="shared" ca="1" si="132"/>
        <v>0</v>
      </c>
      <c r="I314">
        <f t="shared" ca="1" si="133"/>
        <v>0</v>
      </c>
      <c r="J314">
        <f t="shared" ca="1" si="148"/>
        <v>0</v>
      </c>
      <c r="K314">
        <f ca="1">IF(OR($C314="S",$C314=0),0,MATCH(OFFSET($D314,0,$C314)+IF($C314&lt;&gt;1,1,COUNTIF(QCI!$A$13:$A$24,ORÇAMENTO!E314)),OFFSET($D314,1,$C314,ROW($C$710)-ROW($C314)),0))</f>
        <v>0</v>
      </c>
      <c r="L314" s="143" t="str">
        <f t="shared" ca="1" si="134"/>
        <v/>
      </c>
      <c r="M314" s="144" t="s">
        <v>201</v>
      </c>
      <c r="N314" s="145" t="str">
        <f t="shared" ca="1" si="135"/>
        <v>Serviço</v>
      </c>
      <c r="O314" s="146" t="str">
        <f t="shared" ca="1" si="136"/>
        <v>-</v>
      </c>
      <c r="P314" s="147" t="s">
        <v>249</v>
      </c>
      <c r="Q314" s="148">
        <v>89596</v>
      </c>
      <c r="R314" s="149" t="str">
        <f t="shared" ca="1" si="152"/>
        <v>(abra o arquivo 'Referência 05-2024.xls)</v>
      </c>
      <c r="S314" s="150" t="str">
        <f t="shared" ca="1" si="153"/>
        <v>-</v>
      </c>
      <c r="T314" s="151">
        <f ca="1">OFFSET(CÁLCULO!H$15,ROW($T314)-ROW(T$15),0)</f>
        <v>38</v>
      </c>
      <c r="U314" s="152">
        <f t="shared" ca="1" si="149"/>
        <v>0</v>
      </c>
      <c r="V314" s="153" t="s">
        <v>158</v>
      </c>
      <c r="W314" s="151">
        <f t="shared" ca="1" si="137"/>
        <v>0</v>
      </c>
      <c r="X314" s="154">
        <f t="shared" ca="1" si="138"/>
        <v>0</v>
      </c>
      <c r="Y314" s="155" t="s">
        <v>583</v>
      </c>
      <c r="Z314" t="str">
        <f t="shared" ca="1" si="139"/>
        <v/>
      </c>
      <c r="AA314" s="156">
        <f ca="1">IF($C314="S",IF($Z314="CP",$X314,IF($Z314="RA",(($X314)*QCI!$AA$3),0)),SomaAgrup)</f>
        <v>0</v>
      </c>
      <c r="AB314" s="157">
        <f t="shared" ca="1" si="140"/>
        <v>0</v>
      </c>
      <c r="AC314" s="158" t="str">
        <f t="shared" ca="1" si="141"/>
        <v/>
      </c>
      <c r="AD314" s="104" t="str">
        <f ca="1">IF(C314&lt;=CRONO.NivelExibicao,MAX($AD$15:OFFSET(AD314,-1,0))+IF($C314&lt;&gt;1,1,MAX(1,COUNTIF(QCI!$A$13:$A$24,OFFSET($E314,-1,0)))),"")</f>
        <v/>
      </c>
      <c r="AE314" s="114" t="str">
        <f t="shared" ca="1" si="142"/>
        <v>SINAPI 89596</v>
      </c>
      <c r="AF314" s="159" t="str">
        <f t="shared" ca="1" si="143"/>
        <v>(abra o arquivo 'Referência 05-2024.xls)</v>
      </c>
      <c r="AG314" s="579">
        <f t="shared" ca="1" si="144"/>
        <v>0</v>
      </c>
      <c r="AH314" s="580">
        <f t="shared" ca="1" si="145"/>
        <v>0.22470000000000001</v>
      </c>
      <c r="AJ314" s="582">
        <v>38</v>
      </c>
      <c r="AL314" s="612"/>
      <c r="AM314" s="430">
        <f t="shared" ca="1" si="146"/>
        <v>0</v>
      </c>
      <c r="AN314" s="655">
        <f t="shared" ca="1" si="147"/>
        <v>0</v>
      </c>
    </row>
    <row r="315" spans="1:40" ht="13.8" x14ac:dyDescent="0.3">
      <c r="A315" t="str">
        <f t="shared" si="126"/>
        <v>S</v>
      </c>
      <c r="B315">
        <f t="shared" ca="1" si="127"/>
        <v>3</v>
      </c>
      <c r="C315" t="str">
        <f t="shared" ca="1" si="128"/>
        <v>S</v>
      </c>
      <c r="D315">
        <f t="shared" ca="1" si="129"/>
        <v>0</v>
      </c>
      <c r="E315">
        <f ca="1">IF($C315=1,OFFSET(E315,-1,0)+MAX(1,COUNTIF(QCI!$A$13:$A$24,OFFSET(ORÇAMENTO!E315,-1,0))),OFFSET(E315,-1,0))</f>
        <v>1</v>
      </c>
      <c r="F315">
        <f t="shared" ca="1" si="130"/>
        <v>12</v>
      </c>
      <c r="G315">
        <f t="shared" ca="1" si="131"/>
        <v>1</v>
      </c>
      <c r="H315">
        <f t="shared" ca="1" si="132"/>
        <v>0</v>
      </c>
      <c r="I315">
        <f t="shared" ca="1" si="133"/>
        <v>0</v>
      </c>
      <c r="J315">
        <f t="shared" ca="1" si="148"/>
        <v>0</v>
      </c>
      <c r="K315">
        <f ca="1">IF(OR($C315="S",$C315=0),0,MATCH(OFFSET($D315,0,$C315)+IF($C315&lt;&gt;1,1,COUNTIF(QCI!$A$13:$A$24,ORÇAMENTO!E315)),OFFSET($D315,1,$C315,ROW($C$710)-ROW($C315)),0))</f>
        <v>0</v>
      </c>
      <c r="L315" s="143" t="str">
        <f t="shared" ca="1" si="134"/>
        <v/>
      </c>
      <c r="M315" s="144" t="s">
        <v>201</v>
      </c>
      <c r="N315" s="145" t="str">
        <f t="shared" ca="1" si="135"/>
        <v>Serviço</v>
      </c>
      <c r="O315" s="146" t="str">
        <f t="shared" ca="1" si="136"/>
        <v>-</v>
      </c>
      <c r="P315" s="147" t="s">
        <v>249</v>
      </c>
      <c r="Q315" s="148">
        <v>89610</v>
      </c>
      <c r="R315" s="149" t="str">
        <f t="shared" ca="1" si="152"/>
        <v>(abra o arquivo 'Referência 05-2024.xls)</v>
      </c>
      <c r="S315" s="150" t="str">
        <f t="shared" ca="1" si="153"/>
        <v>-</v>
      </c>
      <c r="T315" s="151">
        <f ca="1">OFFSET(CÁLCULO!H$15,ROW($T315)-ROW(T$15),0)</f>
        <v>10</v>
      </c>
      <c r="U315" s="152">
        <f t="shared" ca="1" si="149"/>
        <v>0</v>
      </c>
      <c r="V315" s="153" t="s">
        <v>158</v>
      </c>
      <c r="W315" s="151">
        <f t="shared" ca="1" si="137"/>
        <v>0</v>
      </c>
      <c r="X315" s="154">
        <f t="shared" ca="1" si="138"/>
        <v>0</v>
      </c>
      <c r="Y315" s="155" t="s">
        <v>583</v>
      </c>
      <c r="Z315" t="str">
        <f t="shared" ca="1" si="139"/>
        <v/>
      </c>
      <c r="AA315" s="156">
        <f ca="1">IF($C315="S",IF($Z315="CP",$X315,IF($Z315="RA",(($X315)*QCI!$AA$3),0)),SomaAgrup)</f>
        <v>0</v>
      </c>
      <c r="AB315" s="157">
        <f t="shared" ca="1" si="140"/>
        <v>0</v>
      </c>
      <c r="AC315" s="158" t="str">
        <f t="shared" ca="1" si="141"/>
        <v/>
      </c>
      <c r="AD315" s="104" t="str">
        <f ca="1">IF(C315&lt;=CRONO.NivelExibicao,MAX($AD$15:OFFSET(AD315,-1,0))+IF($C315&lt;&gt;1,1,MAX(1,COUNTIF(QCI!$A$13:$A$24,OFFSET($E315,-1,0)))),"")</f>
        <v/>
      </c>
      <c r="AE315" s="114" t="str">
        <f t="shared" ca="1" si="142"/>
        <v>SINAPI 89610</v>
      </c>
      <c r="AF315" s="159" t="str">
        <f t="shared" ca="1" si="143"/>
        <v>(abra o arquivo 'Referência 05-2024.xls)</v>
      </c>
      <c r="AG315" s="579">
        <f t="shared" ca="1" si="144"/>
        <v>0</v>
      </c>
      <c r="AH315" s="580">
        <f t="shared" ca="1" si="145"/>
        <v>0.22470000000000001</v>
      </c>
      <c r="AJ315" s="582">
        <v>10</v>
      </c>
      <c r="AL315" s="612"/>
      <c r="AM315" s="430">
        <f t="shared" ca="1" si="146"/>
        <v>0</v>
      </c>
      <c r="AN315" s="655">
        <f t="shared" ca="1" si="147"/>
        <v>0</v>
      </c>
    </row>
    <row r="316" spans="1:40" ht="13.8" x14ac:dyDescent="0.3">
      <c r="A316" t="str">
        <f t="shared" si="126"/>
        <v>S</v>
      </c>
      <c r="B316">
        <f t="shared" ca="1" si="127"/>
        <v>3</v>
      </c>
      <c r="C316" t="str">
        <f t="shared" ca="1" si="128"/>
        <v>S</v>
      </c>
      <c r="D316">
        <f t="shared" ca="1" si="129"/>
        <v>0</v>
      </c>
      <c r="E316">
        <f ca="1">IF($C316=1,OFFSET(E316,-1,0)+MAX(1,COUNTIF(QCI!$A$13:$A$24,OFFSET(ORÇAMENTO!E316,-1,0))),OFFSET(E316,-1,0))</f>
        <v>1</v>
      </c>
      <c r="F316">
        <f t="shared" ca="1" si="130"/>
        <v>12</v>
      </c>
      <c r="G316">
        <f t="shared" ca="1" si="131"/>
        <v>1</v>
      </c>
      <c r="H316">
        <f t="shared" ca="1" si="132"/>
        <v>0</v>
      </c>
      <c r="I316">
        <f t="shared" ca="1" si="133"/>
        <v>0</v>
      </c>
      <c r="J316">
        <f t="shared" ca="1" si="148"/>
        <v>0</v>
      </c>
      <c r="K316">
        <f ca="1">IF(OR($C316="S",$C316=0),0,MATCH(OFFSET($D316,0,$C316)+IF($C316&lt;&gt;1,1,COUNTIF(QCI!$A$13:$A$24,ORÇAMENTO!E316)),OFFSET($D316,1,$C316,ROW($C$710)-ROW($C316)),0))</f>
        <v>0</v>
      </c>
      <c r="L316" s="143" t="str">
        <f t="shared" ca="1" si="134"/>
        <v/>
      </c>
      <c r="M316" s="144" t="s">
        <v>201</v>
      </c>
      <c r="N316" s="145" t="str">
        <f t="shared" ca="1" si="135"/>
        <v>Serviço</v>
      </c>
      <c r="O316" s="146" t="str">
        <f t="shared" ca="1" si="136"/>
        <v>-</v>
      </c>
      <c r="P316" s="147" t="s">
        <v>249</v>
      </c>
      <c r="Q316" s="148">
        <v>89546</v>
      </c>
      <c r="R316" s="149" t="str">
        <f t="shared" ca="1" si="152"/>
        <v>(abra o arquivo 'Referência 05-2024.xls)</v>
      </c>
      <c r="S316" s="150" t="str">
        <f t="shared" ca="1" si="153"/>
        <v>-</v>
      </c>
      <c r="T316" s="151">
        <f ca="1">OFFSET(CÁLCULO!H$15,ROW($T316)-ROW(T$15),0)</f>
        <v>3</v>
      </c>
      <c r="U316" s="152">
        <f t="shared" ca="1" si="149"/>
        <v>0</v>
      </c>
      <c r="V316" s="153" t="s">
        <v>158</v>
      </c>
      <c r="W316" s="151">
        <f t="shared" ca="1" si="137"/>
        <v>0</v>
      </c>
      <c r="X316" s="154">
        <f t="shared" ca="1" si="138"/>
        <v>0</v>
      </c>
      <c r="Y316" s="155" t="s">
        <v>583</v>
      </c>
      <c r="Z316" t="str">
        <f t="shared" ca="1" si="139"/>
        <v/>
      </c>
      <c r="AA316" s="156">
        <f ca="1">IF($C316="S",IF($Z316="CP",$X316,IF($Z316="RA",(($X316)*QCI!$AA$3),0)),SomaAgrup)</f>
        <v>0</v>
      </c>
      <c r="AB316" s="157">
        <f t="shared" ca="1" si="140"/>
        <v>0</v>
      </c>
      <c r="AC316" s="158" t="str">
        <f t="shared" ca="1" si="141"/>
        <v/>
      </c>
      <c r="AD316" s="104" t="str">
        <f ca="1">IF(C316&lt;=CRONO.NivelExibicao,MAX($AD$15:OFFSET(AD316,-1,0))+IF($C316&lt;&gt;1,1,MAX(1,COUNTIF(QCI!$A$13:$A$24,OFFSET($E316,-1,0)))),"")</f>
        <v/>
      </c>
      <c r="AE316" s="114" t="str">
        <f t="shared" ca="1" si="142"/>
        <v>SINAPI 89546</v>
      </c>
      <c r="AF316" s="159" t="str">
        <f t="shared" ca="1" si="143"/>
        <v>(abra o arquivo 'Referência 05-2024.xls)</v>
      </c>
      <c r="AG316" s="579">
        <f t="shared" ca="1" si="144"/>
        <v>0</v>
      </c>
      <c r="AH316" s="580">
        <f t="shared" ca="1" si="145"/>
        <v>0.22470000000000001</v>
      </c>
      <c r="AJ316" s="582">
        <v>3</v>
      </c>
      <c r="AL316" s="612"/>
      <c r="AM316" s="430">
        <f t="shared" ca="1" si="146"/>
        <v>0</v>
      </c>
      <c r="AN316" s="655">
        <f t="shared" ca="1" si="147"/>
        <v>0</v>
      </c>
    </row>
    <row r="317" spans="1:40" ht="13.8" x14ac:dyDescent="0.3">
      <c r="A317" t="str">
        <f t="shared" si="126"/>
        <v>S</v>
      </c>
      <c r="B317">
        <f t="shared" ca="1" si="127"/>
        <v>3</v>
      </c>
      <c r="C317" t="str">
        <f t="shared" ca="1" si="128"/>
        <v>S</v>
      </c>
      <c r="D317">
        <f t="shared" ca="1" si="129"/>
        <v>0</v>
      </c>
      <c r="E317">
        <f ca="1">IF($C317=1,OFFSET(E317,-1,0)+MAX(1,COUNTIF(QCI!$A$13:$A$24,OFFSET(ORÇAMENTO!E317,-1,0))),OFFSET(E317,-1,0))</f>
        <v>1</v>
      </c>
      <c r="F317">
        <f t="shared" ca="1" si="130"/>
        <v>12</v>
      </c>
      <c r="G317">
        <f t="shared" ca="1" si="131"/>
        <v>1</v>
      </c>
      <c r="H317">
        <f t="shared" ca="1" si="132"/>
        <v>0</v>
      </c>
      <c r="I317">
        <f t="shared" ca="1" si="133"/>
        <v>0</v>
      </c>
      <c r="J317">
        <f t="shared" ca="1" si="148"/>
        <v>0</v>
      </c>
      <c r="K317">
        <f ca="1">IF(OR($C317="S",$C317=0),0,MATCH(OFFSET($D317,0,$C317)+IF($C317&lt;&gt;1,1,COUNTIF(QCI!$A$13:$A$24,ORÇAMENTO!E317)),OFFSET($D317,1,$C317,ROW($C$710)-ROW($C317)),0))</f>
        <v>0</v>
      </c>
      <c r="L317" s="143" t="str">
        <f t="shared" ca="1" si="134"/>
        <v/>
      </c>
      <c r="M317" s="144" t="s">
        <v>201</v>
      </c>
      <c r="N317" s="145" t="str">
        <f t="shared" ca="1" si="135"/>
        <v>Serviço</v>
      </c>
      <c r="O317" s="146" t="str">
        <f t="shared" ca="1" si="136"/>
        <v>-</v>
      </c>
      <c r="P317" s="147" t="s">
        <v>249</v>
      </c>
      <c r="Q317" s="148">
        <v>89546</v>
      </c>
      <c r="R317" s="149" t="str">
        <f t="shared" ca="1" si="152"/>
        <v>(abra o arquivo 'Referência 05-2024.xls)</v>
      </c>
      <c r="S317" s="150" t="str">
        <f t="shared" ca="1" si="153"/>
        <v>-</v>
      </c>
      <c r="T317" s="151">
        <f ca="1">OFFSET(CÁLCULO!H$15,ROW($T317)-ROW(T$15),0)</f>
        <v>7</v>
      </c>
      <c r="U317" s="152">
        <f t="shared" ca="1" si="149"/>
        <v>0</v>
      </c>
      <c r="V317" s="153" t="s">
        <v>158</v>
      </c>
      <c r="W317" s="151">
        <f t="shared" ca="1" si="137"/>
        <v>0</v>
      </c>
      <c r="X317" s="154">
        <f t="shared" ca="1" si="138"/>
        <v>0</v>
      </c>
      <c r="Y317" s="155" t="s">
        <v>583</v>
      </c>
      <c r="Z317" t="str">
        <f t="shared" ca="1" si="139"/>
        <v/>
      </c>
      <c r="AA317" s="156">
        <f ca="1">IF($C317="S",IF($Z317="CP",$X317,IF($Z317="RA",(($X317)*QCI!$AA$3),0)),SomaAgrup)</f>
        <v>0</v>
      </c>
      <c r="AB317" s="157">
        <f t="shared" ca="1" si="140"/>
        <v>0</v>
      </c>
      <c r="AC317" s="158" t="str">
        <f t="shared" ca="1" si="141"/>
        <v/>
      </c>
      <c r="AD317" s="104" t="str">
        <f ca="1">IF(C317&lt;=CRONO.NivelExibicao,MAX($AD$15:OFFSET(AD317,-1,0))+IF($C317&lt;&gt;1,1,MAX(1,COUNTIF(QCI!$A$13:$A$24,OFFSET($E317,-1,0)))),"")</f>
        <v/>
      </c>
      <c r="AE317" s="114" t="str">
        <f t="shared" ca="1" si="142"/>
        <v>SINAPI 89546</v>
      </c>
      <c r="AF317" s="159" t="str">
        <f t="shared" ca="1" si="143"/>
        <v>(abra o arquivo 'Referência 05-2024.xls)</v>
      </c>
      <c r="AG317" s="579">
        <f t="shared" ca="1" si="144"/>
        <v>0</v>
      </c>
      <c r="AH317" s="580">
        <f t="shared" ca="1" si="145"/>
        <v>0.22470000000000001</v>
      </c>
      <c r="AJ317" s="582">
        <v>7</v>
      </c>
      <c r="AL317" s="612"/>
      <c r="AM317" s="430">
        <f t="shared" ca="1" si="146"/>
        <v>0</v>
      </c>
      <c r="AN317" s="655">
        <f t="shared" ca="1" si="147"/>
        <v>0</v>
      </c>
    </row>
    <row r="318" spans="1:40" ht="13.8" x14ac:dyDescent="0.3">
      <c r="A318" t="str">
        <f t="shared" si="126"/>
        <v>S</v>
      </c>
      <c r="B318">
        <f t="shared" ca="1" si="127"/>
        <v>3</v>
      </c>
      <c r="C318" t="str">
        <f t="shared" ca="1" si="128"/>
        <v>S</v>
      </c>
      <c r="D318">
        <f t="shared" ca="1" si="129"/>
        <v>0</v>
      </c>
      <c r="E318">
        <f ca="1">IF($C318=1,OFFSET(E318,-1,0)+MAX(1,COUNTIF(QCI!$A$13:$A$24,OFFSET(ORÇAMENTO!E318,-1,0))),OFFSET(E318,-1,0))</f>
        <v>1</v>
      </c>
      <c r="F318">
        <f t="shared" ca="1" si="130"/>
        <v>12</v>
      </c>
      <c r="G318">
        <f t="shared" ca="1" si="131"/>
        <v>1</v>
      </c>
      <c r="H318">
        <f t="shared" ca="1" si="132"/>
        <v>0</v>
      </c>
      <c r="I318">
        <f t="shared" ca="1" si="133"/>
        <v>0</v>
      </c>
      <c r="J318">
        <f t="shared" ca="1" si="148"/>
        <v>0</v>
      </c>
      <c r="K318">
        <f ca="1">IF(OR($C318="S",$C318=0),0,MATCH(OFFSET($D318,0,$C318)+IF($C318&lt;&gt;1,1,COUNTIF(QCI!$A$13:$A$24,ORÇAMENTO!E318)),OFFSET($D318,1,$C318,ROW($C$710)-ROW($C318)),0))</f>
        <v>0</v>
      </c>
      <c r="L318" s="143" t="str">
        <f t="shared" ca="1" si="134"/>
        <v/>
      </c>
      <c r="M318" s="144" t="s">
        <v>201</v>
      </c>
      <c r="N318" s="145" t="str">
        <f t="shared" ca="1" si="135"/>
        <v>Serviço</v>
      </c>
      <c r="O318" s="146" t="str">
        <f t="shared" ca="1" si="136"/>
        <v>-</v>
      </c>
      <c r="P318" s="147" t="s">
        <v>249</v>
      </c>
      <c r="Q318" s="148">
        <v>89546</v>
      </c>
      <c r="R318" s="149" t="str">
        <f t="shared" ca="1" si="152"/>
        <v>(abra o arquivo 'Referência 05-2024.xls)</v>
      </c>
      <c r="S318" s="150" t="str">
        <f t="shared" ca="1" si="153"/>
        <v>-</v>
      </c>
      <c r="T318" s="151">
        <f ca="1">OFFSET(CÁLCULO!H$15,ROW($T318)-ROW(T$15),0)</f>
        <v>1</v>
      </c>
      <c r="U318" s="152">
        <f t="shared" ca="1" si="149"/>
        <v>0</v>
      </c>
      <c r="V318" s="153" t="s">
        <v>158</v>
      </c>
      <c r="W318" s="151">
        <f t="shared" ca="1" si="137"/>
        <v>0</v>
      </c>
      <c r="X318" s="154">
        <f t="shared" ca="1" si="138"/>
        <v>0</v>
      </c>
      <c r="Y318" s="155" t="s">
        <v>583</v>
      </c>
      <c r="Z318" t="str">
        <f t="shared" ca="1" si="139"/>
        <v/>
      </c>
      <c r="AA318" s="156">
        <f ca="1">IF($C318="S",IF($Z318="CP",$X318,IF($Z318="RA",(($X318)*QCI!$AA$3),0)),SomaAgrup)</f>
        <v>0</v>
      </c>
      <c r="AB318" s="157">
        <f t="shared" ca="1" si="140"/>
        <v>0</v>
      </c>
      <c r="AC318" s="158" t="str">
        <f t="shared" ca="1" si="141"/>
        <v/>
      </c>
      <c r="AD318" s="104" t="str">
        <f ca="1">IF(C318&lt;=CRONO.NivelExibicao,MAX($AD$15:OFFSET(AD318,-1,0))+IF($C318&lt;&gt;1,1,MAX(1,COUNTIF(QCI!$A$13:$A$24,OFFSET($E318,-1,0)))),"")</f>
        <v/>
      </c>
      <c r="AE318" s="114" t="str">
        <f t="shared" ca="1" si="142"/>
        <v>SINAPI 89546</v>
      </c>
      <c r="AF318" s="159" t="str">
        <f t="shared" ca="1" si="143"/>
        <v>(abra o arquivo 'Referência 05-2024.xls)</v>
      </c>
      <c r="AG318" s="579">
        <f t="shared" ca="1" si="144"/>
        <v>0</v>
      </c>
      <c r="AH318" s="580">
        <f t="shared" ca="1" si="145"/>
        <v>0.22470000000000001</v>
      </c>
      <c r="AJ318" s="582">
        <v>1</v>
      </c>
      <c r="AL318" s="612"/>
      <c r="AM318" s="430">
        <f t="shared" ca="1" si="146"/>
        <v>0</v>
      </c>
      <c r="AN318" s="655">
        <f t="shared" ca="1" si="147"/>
        <v>0</v>
      </c>
    </row>
    <row r="319" spans="1:40" ht="13.8" x14ac:dyDescent="0.3">
      <c r="A319" t="str">
        <f t="shared" si="126"/>
        <v>S</v>
      </c>
      <c r="B319">
        <f t="shared" ca="1" si="127"/>
        <v>3</v>
      </c>
      <c r="C319" t="str">
        <f t="shared" ca="1" si="128"/>
        <v>S</v>
      </c>
      <c r="D319">
        <f t="shared" ca="1" si="129"/>
        <v>0</v>
      </c>
      <c r="E319">
        <f ca="1">IF($C319=1,OFFSET(E319,-1,0)+MAX(1,COUNTIF(QCI!$A$13:$A$24,OFFSET(ORÇAMENTO!E319,-1,0))),OFFSET(E319,-1,0))</f>
        <v>1</v>
      </c>
      <c r="F319">
        <f t="shared" ca="1" si="130"/>
        <v>12</v>
      </c>
      <c r="G319">
        <f t="shared" ca="1" si="131"/>
        <v>1</v>
      </c>
      <c r="H319">
        <f t="shared" ca="1" si="132"/>
        <v>0</v>
      </c>
      <c r="I319">
        <f t="shared" ca="1" si="133"/>
        <v>0</v>
      </c>
      <c r="J319">
        <f t="shared" ca="1" si="148"/>
        <v>0</v>
      </c>
      <c r="K319">
        <f ca="1">IF(OR($C319="S",$C319=0),0,MATCH(OFFSET($D319,0,$C319)+IF($C319&lt;&gt;1,1,COUNTIF(QCI!$A$13:$A$24,ORÇAMENTO!E319)),OFFSET($D319,1,$C319,ROW($C$710)-ROW($C319)),0))</f>
        <v>0</v>
      </c>
      <c r="L319" s="143" t="str">
        <f t="shared" ca="1" si="134"/>
        <v/>
      </c>
      <c r="M319" s="144" t="s">
        <v>201</v>
      </c>
      <c r="N319" s="145" t="str">
        <f t="shared" ca="1" si="135"/>
        <v>Serviço</v>
      </c>
      <c r="O319" s="146" t="str">
        <f t="shared" ca="1" si="136"/>
        <v>-</v>
      </c>
      <c r="P319" s="147" t="s">
        <v>249</v>
      </c>
      <c r="Q319" s="148">
        <v>89546</v>
      </c>
      <c r="R319" s="149" t="str">
        <f t="shared" ca="1" si="152"/>
        <v>(abra o arquivo 'Referência 05-2024.xls)</v>
      </c>
      <c r="S319" s="150" t="str">
        <f t="shared" ca="1" si="153"/>
        <v>-</v>
      </c>
      <c r="T319" s="151">
        <f ca="1">OFFSET(CÁLCULO!H$15,ROW($T319)-ROW(T$15),0)</f>
        <v>2</v>
      </c>
      <c r="U319" s="152">
        <f t="shared" ca="1" si="149"/>
        <v>0</v>
      </c>
      <c r="V319" s="153" t="s">
        <v>158</v>
      </c>
      <c r="W319" s="151">
        <f t="shared" ca="1" si="137"/>
        <v>0</v>
      </c>
      <c r="X319" s="154">
        <f t="shared" ca="1" si="138"/>
        <v>0</v>
      </c>
      <c r="Y319" s="155" t="s">
        <v>583</v>
      </c>
      <c r="Z319" t="str">
        <f t="shared" ca="1" si="139"/>
        <v/>
      </c>
      <c r="AA319" s="156">
        <f ca="1">IF($C319="S",IF($Z319="CP",$X319,IF($Z319="RA",(($X319)*QCI!$AA$3),0)),SomaAgrup)</f>
        <v>0</v>
      </c>
      <c r="AB319" s="157">
        <f t="shared" ca="1" si="140"/>
        <v>0</v>
      </c>
      <c r="AC319" s="158" t="str">
        <f t="shared" ca="1" si="141"/>
        <v/>
      </c>
      <c r="AD319" s="104" t="str">
        <f ca="1">IF(C319&lt;=CRONO.NivelExibicao,MAX($AD$15:OFFSET(AD319,-1,0))+IF($C319&lt;&gt;1,1,MAX(1,COUNTIF(QCI!$A$13:$A$24,OFFSET($E319,-1,0)))),"")</f>
        <v/>
      </c>
      <c r="AE319" s="114" t="str">
        <f t="shared" ca="1" si="142"/>
        <v>SINAPI 89546</v>
      </c>
      <c r="AF319" s="159" t="str">
        <f t="shared" ca="1" si="143"/>
        <v>(abra o arquivo 'Referência 05-2024.xls)</v>
      </c>
      <c r="AG319" s="579">
        <f t="shared" ca="1" si="144"/>
        <v>0</v>
      </c>
      <c r="AH319" s="580">
        <f t="shared" ca="1" si="145"/>
        <v>0.22470000000000001</v>
      </c>
      <c r="AJ319" s="582">
        <v>2</v>
      </c>
      <c r="AL319" s="612"/>
      <c r="AM319" s="430">
        <f t="shared" ca="1" si="146"/>
        <v>0</v>
      </c>
      <c r="AN319" s="655">
        <f t="shared" ca="1" si="147"/>
        <v>0</v>
      </c>
    </row>
    <row r="320" spans="1:40" ht="13.8" x14ac:dyDescent="0.3">
      <c r="A320" t="str">
        <f t="shared" si="126"/>
        <v>S</v>
      </c>
      <c r="B320">
        <f t="shared" ca="1" si="127"/>
        <v>3</v>
      </c>
      <c r="C320" t="str">
        <f t="shared" ca="1" si="128"/>
        <v>S</v>
      </c>
      <c r="D320">
        <f t="shared" ca="1" si="129"/>
        <v>0</v>
      </c>
      <c r="E320">
        <f ca="1">IF($C320=1,OFFSET(E320,-1,0)+MAX(1,COUNTIF(QCI!$A$13:$A$24,OFFSET(ORÇAMENTO!E320,-1,0))),OFFSET(E320,-1,0))</f>
        <v>1</v>
      </c>
      <c r="F320">
        <f t="shared" ca="1" si="130"/>
        <v>12</v>
      </c>
      <c r="G320">
        <f t="shared" ca="1" si="131"/>
        <v>1</v>
      </c>
      <c r="H320">
        <f t="shared" ca="1" si="132"/>
        <v>0</v>
      </c>
      <c r="I320">
        <f t="shared" ca="1" si="133"/>
        <v>0</v>
      </c>
      <c r="J320">
        <f t="shared" ca="1" si="148"/>
        <v>0</v>
      </c>
      <c r="K320">
        <f ca="1">IF(OR($C320="S",$C320=0),0,MATCH(OFFSET($D320,0,$C320)+IF($C320&lt;&gt;1,1,COUNTIF(QCI!$A$13:$A$24,ORÇAMENTO!E320)),OFFSET($D320,1,$C320,ROW($C$710)-ROW($C320)),0))</f>
        <v>0</v>
      </c>
      <c r="L320" s="143" t="str">
        <f t="shared" ca="1" si="134"/>
        <v/>
      </c>
      <c r="M320" s="144" t="s">
        <v>201</v>
      </c>
      <c r="N320" s="145" t="str">
        <f t="shared" ca="1" si="135"/>
        <v>Serviço</v>
      </c>
      <c r="O320" s="146" t="str">
        <f t="shared" ca="1" si="136"/>
        <v>-</v>
      </c>
      <c r="P320" s="147" t="s">
        <v>249</v>
      </c>
      <c r="Q320" s="148">
        <v>89546</v>
      </c>
      <c r="R320" s="149" t="str">
        <f t="shared" ca="1" si="152"/>
        <v>(abra o arquivo 'Referência 05-2024.xls)</v>
      </c>
      <c r="S320" s="150" t="str">
        <f t="shared" ca="1" si="153"/>
        <v>-</v>
      </c>
      <c r="T320" s="151">
        <f ca="1">OFFSET(CÁLCULO!H$15,ROW($T320)-ROW(T$15),0)</f>
        <v>7</v>
      </c>
      <c r="U320" s="152">
        <f t="shared" ca="1" si="149"/>
        <v>0</v>
      </c>
      <c r="V320" s="153" t="s">
        <v>158</v>
      </c>
      <c r="W320" s="151">
        <f t="shared" ca="1" si="137"/>
        <v>0</v>
      </c>
      <c r="X320" s="154">
        <f t="shared" ca="1" si="138"/>
        <v>0</v>
      </c>
      <c r="Y320" s="155" t="s">
        <v>583</v>
      </c>
      <c r="Z320" t="str">
        <f t="shared" ca="1" si="139"/>
        <v/>
      </c>
      <c r="AA320" s="156">
        <f ca="1">IF($C320="S",IF($Z320="CP",$X320,IF($Z320="RA",(($X320)*QCI!$AA$3),0)),SomaAgrup)</f>
        <v>0</v>
      </c>
      <c r="AB320" s="157">
        <f t="shared" ca="1" si="140"/>
        <v>0</v>
      </c>
      <c r="AC320" s="158" t="str">
        <f t="shared" ca="1" si="141"/>
        <v/>
      </c>
      <c r="AD320" s="104" t="str">
        <f ca="1">IF(C320&lt;=CRONO.NivelExibicao,MAX($AD$15:OFFSET(AD320,-1,0))+IF($C320&lt;&gt;1,1,MAX(1,COUNTIF(QCI!$A$13:$A$24,OFFSET($E320,-1,0)))),"")</f>
        <v/>
      </c>
      <c r="AE320" s="114" t="str">
        <f t="shared" ca="1" si="142"/>
        <v>SINAPI 89546</v>
      </c>
      <c r="AF320" s="159" t="str">
        <f t="shared" ca="1" si="143"/>
        <v>(abra o arquivo 'Referência 05-2024.xls)</v>
      </c>
      <c r="AG320" s="579">
        <f t="shared" ca="1" si="144"/>
        <v>0</v>
      </c>
      <c r="AH320" s="580">
        <f t="shared" ca="1" si="145"/>
        <v>0.22470000000000001</v>
      </c>
      <c r="AJ320" s="582">
        <v>7</v>
      </c>
      <c r="AL320" s="612"/>
      <c r="AM320" s="430">
        <f t="shared" ca="1" si="146"/>
        <v>0</v>
      </c>
      <c r="AN320" s="655">
        <f t="shared" ca="1" si="147"/>
        <v>0</v>
      </c>
    </row>
    <row r="321" spans="1:40" ht="13.8" x14ac:dyDescent="0.3">
      <c r="A321" t="str">
        <f t="shared" si="126"/>
        <v>S</v>
      </c>
      <c r="B321">
        <f t="shared" ca="1" si="127"/>
        <v>3</v>
      </c>
      <c r="C321" t="str">
        <f t="shared" ca="1" si="128"/>
        <v>S</v>
      </c>
      <c r="D321">
        <f t="shared" ca="1" si="129"/>
        <v>0</v>
      </c>
      <c r="E321">
        <f ca="1">IF($C321=1,OFFSET(E321,-1,0)+MAX(1,COUNTIF(QCI!$A$13:$A$24,OFFSET(ORÇAMENTO!E321,-1,0))),OFFSET(E321,-1,0))</f>
        <v>1</v>
      </c>
      <c r="F321">
        <f t="shared" ca="1" si="130"/>
        <v>12</v>
      </c>
      <c r="G321">
        <f t="shared" ca="1" si="131"/>
        <v>1</v>
      </c>
      <c r="H321">
        <f t="shared" ca="1" si="132"/>
        <v>0</v>
      </c>
      <c r="I321">
        <f t="shared" ca="1" si="133"/>
        <v>0</v>
      </c>
      <c r="J321">
        <f t="shared" ca="1" si="148"/>
        <v>0</v>
      </c>
      <c r="K321">
        <f ca="1">IF(OR($C321="S",$C321=0),0,MATCH(OFFSET($D321,0,$C321)+IF($C321&lt;&gt;1,1,COUNTIF(QCI!$A$13:$A$24,ORÇAMENTO!E321)),OFFSET($D321,1,$C321,ROW($C$710)-ROW($C321)),0))</f>
        <v>0</v>
      </c>
      <c r="L321" s="143" t="str">
        <f t="shared" ca="1" si="134"/>
        <v/>
      </c>
      <c r="M321" s="144" t="s">
        <v>201</v>
      </c>
      <c r="N321" s="145" t="str">
        <f t="shared" ca="1" si="135"/>
        <v>Serviço</v>
      </c>
      <c r="O321" s="146" t="str">
        <f t="shared" ca="1" si="136"/>
        <v>-</v>
      </c>
      <c r="P321" s="147" t="s">
        <v>249</v>
      </c>
      <c r="Q321" s="148">
        <v>89546</v>
      </c>
      <c r="R321" s="149" t="str">
        <f t="shared" ca="1" si="152"/>
        <v>(abra o arquivo 'Referência 05-2024.xls)</v>
      </c>
      <c r="S321" s="150" t="str">
        <f t="shared" ca="1" si="153"/>
        <v>-</v>
      </c>
      <c r="T321" s="151">
        <f ca="1">OFFSET(CÁLCULO!H$15,ROW($T321)-ROW(T$15),0)</f>
        <v>1</v>
      </c>
      <c r="U321" s="152">
        <f t="shared" ca="1" si="149"/>
        <v>0</v>
      </c>
      <c r="V321" s="153" t="s">
        <v>158</v>
      </c>
      <c r="W321" s="151">
        <f t="shared" ca="1" si="137"/>
        <v>0</v>
      </c>
      <c r="X321" s="154">
        <f t="shared" ca="1" si="138"/>
        <v>0</v>
      </c>
      <c r="Y321" s="155" t="s">
        <v>583</v>
      </c>
      <c r="Z321" t="str">
        <f t="shared" ca="1" si="139"/>
        <v/>
      </c>
      <c r="AA321" s="156">
        <f ca="1">IF($C321="S",IF($Z321="CP",$X321,IF($Z321="RA",(($X321)*QCI!$AA$3),0)),SomaAgrup)</f>
        <v>0</v>
      </c>
      <c r="AB321" s="157">
        <f t="shared" ca="1" si="140"/>
        <v>0</v>
      </c>
      <c r="AC321" s="158" t="str">
        <f t="shared" ca="1" si="141"/>
        <v/>
      </c>
      <c r="AD321" s="104" t="str">
        <f ca="1">IF(C321&lt;=CRONO.NivelExibicao,MAX($AD$15:OFFSET(AD321,-1,0))+IF($C321&lt;&gt;1,1,MAX(1,COUNTIF(QCI!$A$13:$A$24,OFFSET($E321,-1,0)))),"")</f>
        <v/>
      </c>
      <c r="AE321" s="114" t="str">
        <f t="shared" ca="1" si="142"/>
        <v>SINAPI 89546</v>
      </c>
      <c r="AF321" s="159" t="str">
        <f t="shared" ca="1" si="143"/>
        <v>(abra o arquivo 'Referência 05-2024.xls)</v>
      </c>
      <c r="AG321" s="579">
        <f t="shared" ca="1" si="144"/>
        <v>0</v>
      </c>
      <c r="AH321" s="580">
        <f t="shared" ca="1" si="145"/>
        <v>0.22470000000000001</v>
      </c>
      <c r="AJ321" s="582">
        <v>1</v>
      </c>
      <c r="AL321" s="612"/>
      <c r="AM321" s="430">
        <f t="shared" ca="1" si="146"/>
        <v>0</v>
      </c>
      <c r="AN321" s="655">
        <f t="shared" ca="1" si="147"/>
        <v>0</v>
      </c>
    </row>
    <row r="322" spans="1:40" ht="13.8" x14ac:dyDescent="0.3">
      <c r="A322" t="str">
        <f t="shared" si="126"/>
        <v>S</v>
      </c>
      <c r="B322">
        <f t="shared" ca="1" si="127"/>
        <v>3</v>
      </c>
      <c r="C322" t="str">
        <f t="shared" ca="1" si="128"/>
        <v>S</v>
      </c>
      <c r="D322">
        <f t="shared" ca="1" si="129"/>
        <v>0</v>
      </c>
      <c r="E322">
        <f ca="1">IF($C322=1,OFFSET(E322,-1,0)+MAX(1,COUNTIF(QCI!$A$13:$A$24,OFFSET(ORÇAMENTO!E322,-1,0))),OFFSET(E322,-1,0))</f>
        <v>1</v>
      </c>
      <c r="F322">
        <f t="shared" ca="1" si="130"/>
        <v>12</v>
      </c>
      <c r="G322">
        <f t="shared" ca="1" si="131"/>
        <v>1</v>
      </c>
      <c r="H322">
        <f t="shared" ca="1" si="132"/>
        <v>0</v>
      </c>
      <c r="I322">
        <f t="shared" ca="1" si="133"/>
        <v>0</v>
      </c>
      <c r="J322">
        <f t="shared" ca="1" si="148"/>
        <v>0</v>
      </c>
      <c r="K322">
        <f ca="1">IF(OR($C322="S",$C322=0),0,MATCH(OFFSET($D322,0,$C322)+IF($C322&lt;&gt;1,1,COUNTIF(QCI!$A$13:$A$24,ORÇAMENTO!E322)),OFFSET($D322,1,$C322,ROW($C$710)-ROW($C322)),0))</f>
        <v>0</v>
      </c>
      <c r="L322" s="143" t="str">
        <f t="shared" ca="1" si="134"/>
        <v/>
      </c>
      <c r="M322" s="144" t="s">
        <v>201</v>
      </c>
      <c r="N322" s="145" t="str">
        <f t="shared" ca="1" si="135"/>
        <v>Serviço</v>
      </c>
      <c r="O322" s="146" t="str">
        <f t="shared" ca="1" si="136"/>
        <v>-</v>
      </c>
      <c r="P322" s="147" t="s">
        <v>249</v>
      </c>
      <c r="Q322" s="148">
        <v>89546</v>
      </c>
      <c r="R322" s="149" t="str">
        <f t="shared" ca="1" si="152"/>
        <v>(abra o arquivo 'Referência 05-2024.xls)</v>
      </c>
      <c r="S322" s="150" t="str">
        <f t="shared" ca="1" si="153"/>
        <v>-</v>
      </c>
      <c r="T322" s="151">
        <f ca="1">OFFSET(CÁLCULO!H$15,ROW($T322)-ROW(T$15),0)</f>
        <v>7</v>
      </c>
      <c r="U322" s="152">
        <f t="shared" ca="1" si="149"/>
        <v>0</v>
      </c>
      <c r="V322" s="153" t="s">
        <v>158</v>
      </c>
      <c r="W322" s="151">
        <f t="shared" ca="1" si="137"/>
        <v>0</v>
      </c>
      <c r="X322" s="154">
        <f t="shared" ca="1" si="138"/>
        <v>0</v>
      </c>
      <c r="Y322" s="155" t="s">
        <v>583</v>
      </c>
      <c r="Z322" t="str">
        <f t="shared" ca="1" si="139"/>
        <v/>
      </c>
      <c r="AA322" s="156">
        <f ca="1">IF($C322="S",IF($Z322="CP",$X322,IF($Z322="RA",(($X322)*QCI!$AA$3),0)),SomaAgrup)</f>
        <v>0</v>
      </c>
      <c r="AB322" s="157">
        <f t="shared" ca="1" si="140"/>
        <v>0</v>
      </c>
      <c r="AC322" s="158" t="str">
        <f t="shared" ca="1" si="141"/>
        <v/>
      </c>
      <c r="AD322" s="104" t="str">
        <f ca="1">IF(C322&lt;=CRONO.NivelExibicao,MAX($AD$15:OFFSET(AD322,-1,0))+IF($C322&lt;&gt;1,1,MAX(1,COUNTIF(QCI!$A$13:$A$24,OFFSET($E322,-1,0)))),"")</f>
        <v/>
      </c>
      <c r="AE322" s="114" t="str">
        <f t="shared" ca="1" si="142"/>
        <v>SINAPI 89546</v>
      </c>
      <c r="AF322" s="159" t="str">
        <f t="shared" ca="1" si="143"/>
        <v>(abra o arquivo 'Referência 05-2024.xls)</v>
      </c>
      <c r="AG322" s="579">
        <f t="shared" ca="1" si="144"/>
        <v>0</v>
      </c>
      <c r="AH322" s="580">
        <f t="shared" ca="1" si="145"/>
        <v>0.22470000000000001</v>
      </c>
      <c r="AJ322" s="582">
        <v>7</v>
      </c>
      <c r="AL322" s="612"/>
      <c r="AM322" s="430">
        <f t="shared" ca="1" si="146"/>
        <v>0</v>
      </c>
      <c r="AN322" s="655">
        <f t="shared" ca="1" si="147"/>
        <v>0</v>
      </c>
    </row>
    <row r="323" spans="1:40" ht="13.8" x14ac:dyDescent="0.3">
      <c r="A323" t="str">
        <f t="shared" si="126"/>
        <v>S</v>
      </c>
      <c r="B323">
        <f t="shared" ca="1" si="127"/>
        <v>3</v>
      </c>
      <c r="C323" t="str">
        <f t="shared" ca="1" si="128"/>
        <v>S</v>
      </c>
      <c r="D323">
        <f t="shared" ca="1" si="129"/>
        <v>0</v>
      </c>
      <c r="E323">
        <f ca="1">IF($C323=1,OFFSET(E323,-1,0)+MAX(1,COUNTIF(QCI!$A$13:$A$24,OFFSET(ORÇAMENTO!E323,-1,0))),OFFSET(E323,-1,0))</f>
        <v>1</v>
      </c>
      <c r="F323">
        <f t="shared" ca="1" si="130"/>
        <v>12</v>
      </c>
      <c r="G323">
        <f t="shared" ca="1" si="131"/>
        <v>1</v>
      </c>
      <c r="H323">
        <f t="shared" ca="1" si="132"/>
        <v>0</v>
      </c>
      <c r="I323">
        <f t="shared" ca="1" si="133"/>
        <v>0</v>
      </c>
      <c r="J323">
        <f t="shared" ca="1" si="148"/>
        <v>0</v>
      </c>
      <c r="K323">
        <f ca="1">IF(OR($C323="S",$C323=0),0,MATCH(OFFSET($D323,0,$C323)+IF($C323&lt;&gt;1,1,COUNTIF(QCI!$A$13:$A$24,ORÇAMENTO!E323)),OFFSET($D323,1,$C323,ROW($C$710)-ROW($C323)),0))</f>
        <v>0</v>
      </c>
      <c r="L323" s="143" t="str">
        <f t="shared" ca="1" si="134"/>
        <v/>
      </c>
      <c r="M323" s="144" t="s">
        <v>201</v>
      </c>
      <c r="N323" s="145" t="str">
        <f t="shared" ca="1" si="135"/>
        <v>Serviço</v>
      </c>
      <c r="O323" s="146" t="str">
        <f t="shared" ca="1" si="136"/>
        <v>-</v>
      </c>
      <c r="P323" s="147" t="s">
        <v>249</v>
      </c>
      <c r="Q323" s="148">
        <v>89546</v>
      </c>
      <c r="R323" s="149" t="str">
        <f t="shared" ca="1" si="152"/>
        <v>(abra o arquivo 'Referência 05-2024.xls)</v>
      </c>
      <c r="S323" s="150" t="str">
        <f t="shared" ca="1" si="153"/>
        <v>-</v>
      </c>
      <c r="T323" s="151">
        <f ca="1">OFFSET(CÁLCULO!H$15,ROW($T323)-ROW(T$15),0)</f>
        <v>3</v>
      </c>
      <c r="U323" s="152">
        <f t="shared" ca="1" si="149"/>
        <v>0</v>
      </c>
      <c r="V323" s="153" t="s">
        <v>158</v>
      </c>
      <c r="W323" s="151">
        <f t="shared" ca="1" si="137"/>
        <v>0</v>
      </c>
      <c r="X323" s="154">
        <f t="shared" ca="1" si="138"/>
        <v>0</v>
      </c>
      <c r="Y323" s="155" t="s">
        <v>583</v>
      </c>
      <c r="Z323" t="str">
        <f t="shared" ca="1" si="139"/>
        <v/>
      </c>
      <c r="AA323" s="156">
        <f ca="1">IF($C323="S",IF($Z323="CP",$X323,IF($Z323="RA",(($X323)*QCI!$AA$3),0)),SomaAgrup)</f>
        <v>0</v>
      </c>
      <c r="AB323" s="157">
        <f t="shared" ca="1" si="140"/>
        <v>0</v>
      </c>
      <c r="AC323" s="158" t="str">
        <f t="shared" ca="1" si="141"/>
        <v/>
      </c>
      <c r="AD323" s="104" t="str">
        <f ca="1">IF(C323&lt;=CRONO.NivelExibicao,MAX($AD$15:OFFSET(AD323,-1,0))+IF($C323&lt;&gt;1,1,MAX(1,COUNTIF(QCI!$A$13:$A$24,OFFSET($E323,-1,0)))),"")</f>
        <v/>
      </c>
      <c r="AE323" s="114" t="str">
        <f t="shared" ca="1" si="142"/>
        <v>SINAPI 89546</v>
      </c>
      <c r="AF323" s="159" t="str">
        <f t="shared" ca="1" si="143"/>
        <v>(abra o arquivo 'Referência 05-2024.xls)</v>
      </c>
      <c r="AG323" s="579">
        <f t="shared" ca="1" si="144"/>
        <v>0</v>
      </c>
      <c r="AH323" s="580">
        <f t="shared" ca="1" si="145"/>
        <v>0.22470000000000001</v>
      </c>
      <c r="AJ323" s="582">
        <v>3</v>
      </c>
      <c r="AL323" s="612"/>
      <c r="AM323" s="430">
        <f t="shared" ca="1" si="146"/>
        <v>0</v>
      </c>
      <c r="AN323" s="655">
        <f t="shared" ca="1" si="147"/>
        <v>0</v>
      </c>
    </row>
    <row r="324" spans="1:40" ht="13.8" x14ac:dyDescent="0.3">
      <c r="A324" t="str">
        <f t="shared" si="126"/>
        <v>S</v>
      </c>
      <c r="B324">
        <f t="shared" ca="1" si="127"/>
        <v>3</v>
      </c>
      <c r="C324" t="str">
        <f t="shared" ca="1" si="128"/>
        <v>S</v>
      </c>
      <c r="D324">
        <f t="shared" ca="1" si="129"/>
        <v>0</v>
      </c>
      <c r="E324">
        <f ca="1">IF($C324=1,OFFSET(E324,-1,0)+MAX(1,COUNTIF(QCI!$A$13:$A$24,OFFSET(ORÇAMENTO!E324,-1,0))),OFFSET(E324,-1,0))</f>
        <v>1</v>
      </c>
      <c r="F324">
        <f t="shared" ca="1" si="130"/>
        <v>12</v>
      </c>
      <c r="G324">
        <f t="shared" ca="1" si="131"/>
        <v>1</v>
      </c>
      <c r="H324">
        <f t="shared" ca="1" si="132"/>
        <v>0</v>
      </c>
      <c r="I324">
        <f t="shared" ca="1" si="133"/>
        <v>0</v>
      </c>
      <c r="J324">
        <f t="shared" ca="1" si="148"/>
        <v>0</v>
      </c>
      <c r="K324">
        <f ca="1">IF(OR($C324="S",$C324=0),0,MATCH(OFFSET($D324,0,$C324)+IF($C324&lt;&gt;1,1,COUNTIF(QCI!$A$13:$A$24,ORÇAMENTO!E324)),OFFSET($D324,1,$C324,ROW($C$710)-ROW($C324)),0))</f>
        <v>0</v>
      </c>
      <c r="L324" s="143" t="str">
        <f t="shared" ca="1" si="134"/>
        <v/>
      </c>
      <c r="M324" s="144" t="s">
        <v>201</v>
      </c>
      <c r="N324" s="145" t="str">
        <f t="shared" ca="1" si="135"/>
        <v>Serviço</v>
      </c>
      <c r="O324" s="146" t="str">
        <f t="shared" ca="1" si="136"/>
        <v>-</v>
      </c>
      <c r="P324" s="147" t="s">
        <v>249</v>
      </c>
      <c r="Q324" s="148">
        <v>89546</v>
      </c>
      <c r="R324" s="149" t="str">
        <f t="shared" ca="1" si="152"/>
        <v>(abra o arquivo 'Referência 05-2024.xls)</v>
      </c>
      <c r="S324" s="150" t="str">
        <f t="shared" ca="1" si="153"/>
        <v>-</v>
      </c>
      <c r="T324" s="151">
        <f ca="1">OFFSET(CÁLCULO!H$15,ROW($T324)-ROW(T$15),0)</f>
        <v>1</v>
      </c>
      <c r="U324" s="152">
        <f t="shared" ca="1" si="149"/>
        <v>0</v>
      </c>
      <c r="V324" s="153" t="s">
        <v>158</v>
      </c>
      <c r="W324" s="151">
        <f t="shared" ca="1" si="137"/>
        <v>0</v>
      </c>
      <c r="X324" s="154">
        <f t="shared" ca="1" si="138"/>
        <v>0</v>
      </c>
      <c r="Y324" s="155" t="s">
        <v>583</v>
      </c>
      <c r="Z324" t="str">
        <f t="shared" ca="1" si="139"/>
        <v/>
      </c>
      <c r="AA324" s="156">
        <f ca="1">IF($C324="S",IF($Z324="CP",$X324,IF($Z324="RA",(($X324)*QCI!$AA$3),0)),SomaAgrup)</f>
        <v>0</v>
      </c>
      <c r="AB324" s="157">
        <f t="shared" ca="1" si="140"/>
        <v>0</v>
      </c>
      <c r="AC324" s="158" t="str">
        <f t="shared" ca="1" si="141"/>
        <v/>
      </c>
      <c r="AD324" s="104" t="str">
        <f ca="1">IF(C324&lt;=CRONO.NivelExibicao,MAX($AD$15:OFFSET(AD324,-1,0))+IF($C324&lt;&gt;1,1,MAX(1,COUNTIF(QCI!$A$13:$A$24,OFFSET($E324,-1,0)))),"")</f>
        <v/>
      </c>
      <c r="AE324" s="114" t="str">
        <f t="shared" ca="1" si="142"/>
        <v>SINAPI 89546</v>
      </c>
      <c r="AF324" s="159" t="str">
        <f t="shared" ca="1" si="143"/>
        <v>(abra o arquivo 'Referência 05-2024.xls)</v>
      </c>
      <c r="AG324" s="579">
        <f t="shared" ca="1" si="144"/>
        <v>0</v>
      </c>
      <c r="AH324" s="580">
        <f t="shared" ca="1" si="145"/>
        <v>0.22470000000000001</v>
      </c>
      <c r="AJ324" s="582">
        <v>1</v>
      </c>
      <c r="AL324" s="612"/>
      <c r="AM324" s="430">
        <f t="shared" ca="1" si="146"/>
        <v>0</v>
      </c>
      <c r="AN324" s="655">
        <f t="shared" ca="1" si="147"/>
        <v>0</v>
      </c>
    </row>
    <row r="325" spans="1:40" ht="13.8" x14ac:dyDescent="0.3">
      <c r="A325" t="str">
        <f t="shared" si="126"/>
        <v>S</v>
      </c>
      <c r="B325">
        <f t="shared" ca="1" si="127"/>
        <v>3</v>
      </c>
      <c r="C325" t="str">
        <f t="shared" ca="1" si="128"/>
        <v>S</v>
      </c>
      <c r="D325">
        <f t="shared" ca="1" si="129"/>
        <v>0</v>
      </c>
      <c r="E325">
        <f ca="1">IF($C325=1,OFFSET(E325,-1,0)+MAX(1,COUNTIF(QCI!$A$13:$A$24,OFFSET(ORÇAMENTO!E325,-1,0))),OFFSET(E325,-1,0))</f>
        <v>1</v>
      </c>
      <c r="F325">
        <f t="shared" ca="1" si="130"/>
        <v>12</v>
      </c>
      <c r="G325">
        <f t="shared" ca="1" si="131"/>
        <v>1</v>
      </c>
      <c r="H325">
        <f t="shared" ca="1" si="132"/>
        <v>0</v>
      </c>
      <c r="I325">
        <f t="shared" ca="1" si="133"/>
        <v>0</v>
      </c>
      <c r="J325">
        <f t="shared" ca="1" si="148"/>
        <v>0</v>
      </c>
      <c r="K325">
        <f ca="1">IF(OR($C325="S",$C325=0),0,MATCH(OFFSET($D325,0,$C325)+IF($C325&lt;&gt;1,1,COUNTIF(QCI!$A$13:$A$24,ORÇAMENTO!E325)),OFFSET($D325,1,$C325,ROW($C$710)-ROW($C325)),0))</f>
        <v>0</v>
      </c>
      <c r="L325" s="143" t="str">
        <f t="shared" ca="1" si="134"/>
        <v/>
      </c>
      <c r="M325" s="144" t="s">
        <v>201</v>
      </c>
      <c r="N325" s="145" t="str">
        <f t="shared" ca="1" si="135"/>
        <v>Serviço</v>
      </c>
      <c r="O325" s="146" t="str">
        <f t="shared" ca="1" si="136"/>
        <v>-</v>
      </c>
      <c r="P325" s="147" t="s">
        <v>249</v>
      </c>
      <c r="Q325" s="148">
        <v>89546</v>
      </c>
      <c r="R325" s="149" t="str">
        <f t="shared" ca="1" si="152"/>
        <v>(abra o arquivo 'Referência 05-2024.xls)</v>
      </c>
      <c r="S325" s="150" t="str">
        <f t="shared" ca="1" si="153"/>
        <v>-</v>
      </c>
      <c r="T325" s="151">
        <f ca="1">OFFSET(CÁLCULO!H$15,ROW($T325)-ROW(T$15),0)</f>
        <v>1</v>
      </c>
      <c r="U325" s="152">
        <f t="shared" ca="1" si="149"/>
        <v>0</v>
      </c>
      <c r="V325" s="153" t="s">
        <v>158</v>
      </c>
      <c r="W325" s="151">
        <f t="shared" ca="1" si="137"/>
        <v>0</v>
      </c>
      <c r="X325" s="154">
        <f t="shared" ca="1" si="138"/>
        <v>0</v>
      </c>
      <c r="Y325" s="155" t="s">
        <v>583</v>
      </c>
      <c r="Z325" t="str">
        <f t="shared" ca="1" si="139"/>
        <v/>
      </c>
      <c r="AA325" s="156">
        <f ca="1">IF($C325="S",IF($Z325="CP",$X325,IF($Z325="RA",(($X325)*QCI!$AA$3),0)),SomaAgrup)</f>
        <v>0</v>
      </c>
      <c r="AB325" s="157">
        <f t="shared" ca="1" si="140"/>
        <v>0</v>
      </c>
      <c r="AC325" s="158" t="str">
        <f t="shared" ca="1" si="141"/>
        <v/>
      </c>
      <c r="AD325" s="104" t="str">
        <f ca="1">IF(C325&lt;=CRONO.NivelExibicao,MAX($AD$15:OFFSET(AD325,-1,0))+IF($C325&lt;&gt;1,1,MAX(1,COUNTIF(QCI!$A$13:$A$24,OFFSET($E325,-1,0)))),"")</f>
        <v/>
      </c>
      <c r="AE325" s="114" t="str">
        <f t="shared" ca="1" si="142"/>
        <v>SINAPI 89546</v>
      </c>
      <c r="AF325" s="159" t="str">
        <f t="shared" ca="1" si="143"/>
        <v>(abra o arquivo 'Referência 05-2024.xls)</v>
      </c>
      <c r="AG325" s="579">
        <f t="shared" ca="1" si="144"/>
        <v>0</v>
      </c>
      <c r="AH325" s="580">
        <f t="shared" ca="1" si="145"/>
        <v>0.22470000000000001</v>
      </c>
      <c r="AJ325" s="582">
        <v>1</v>
      </c>
      <c r="AL325" s="612"/>
      <c r="AM325" s="430">
        <f t="shared" ca="1" si="146"/>
        <v>0</v>
      </c>
      <c r="AN325" s="655">
        <f t="shared" ca="1" si="147"/>
        <v>0</v>
      </c>
    </row>
    <row r="326" spans="1:40" ht="13.8" x14ac:dyDescent="0.3">
      <c r="A326" t="str">
        <f t="shared" si="126"/>
        <v>S</v>
      </c>
      <c r="B326">
        <f t="shared" ca="1" si="127"/>
        <v>3</v>
      </c>
      <c r="C326" t="str">
        <f t="shared" ca="1" si="128"/>
        <v>S</v>
      </c>
      <c r="D326">
        <f t="shared" ca="1" si="129"/>
        <v>0</v>
      </c>
      <c r="E326">
        <f ca="1">IF($C326=1,OFFSET(E326,-1,0)+MAX(1,COUNTIF(QCI!$A$13:$A$24,OFFSET(ORÇAMENTO!E326,-1,0))),OFFSET(E326,-1,0))</f>
        <v>1</v>
      </c>
      <c r="F326">
        <f t="shared" ca="1" si="130"/>
        <v>12</v>
      </c>
      <c r="G326">
        <f t="shared" ca="1" si="131"/>
        <v>1</v>
      </c>
      <c r="H326">
        <f t="shared" ca="1" si="132"/>
        <v>0</v>
      </c>
      <c r="I326">
        <f t="shared" ca="1" si="133"/>
        <v>0</v>
      </c>
      <c r="J326">
        <f t="shared" ca="1" si="148"/>
        <v>0</v>
      </c>
      <c r="K326">
        <f ca="1">IF(OR($C326="S",$C326=0),0,MATCH(OFFSET($D326,0,$C326)+IF($C326&lt;&gt;1,1,COUNTIF(QCI!$A$13:$A$24,ORÇAMENTO!E326)),OFFSET($D326,1,$C326,ROW($C$710)-ROW($C326)),0))</f>
        <v>0</v>
      </c>
      <c r="L326" s="143" t="str">
        <f t="shared" ca="1" si="134"/>
        <v/>
      </c>
      <c r="M326" s="144" t="s">
        <v>201</v>
      </c>
      <c r="N326" s="145" t="str">
        <f t="shared" ca="1" si="135"/>
        <v>Serviço</v>
      </c>
      <c r="O326" s="146" t="str">
        <f t="shared" ca="1" si="136"/>
        <v>-</v>
      </c>
      <c r="P326" s="147" t="s">
        <v>249</v>
      </c>
      <c r="Q326" s="148">
        <v>89598</v>
      </c>
      <c r="R326" s="149" t="str">
        <f t="shared" ca="1" si="152"/>
        <v>(abra o arquivo 'Referência 05-2024.xls)</v>
      </c>
      <c r="S326" s="150" t="str">
        <f t="shared" ca="1" si="153"/>
        <v>-</v>
      </c>
      <c r="T326" s="151">
        <f ca="1">OFFSET(CÁLCULO!H$15,ROW($T326)-ROW(T$15),0)</f>
        <v>1</v>
      </c>
      <c r="U326" s="152">
        <f t="shared" ca="1" si="149"/>
        <v>0</v>
      </c>
      <c r="V326" s="153" t="s">
        <v>158</v>
      </c>
      <c r="W326" s="151">
        <f t="shared" ca="1" si="137"/>
        <v>0</v>
      </c>
      <c r="X326" s="154">
        <f t="shared" ca="1" si="138"/>
        <v>0</v>
      </c>
      <c r="Y326" s="155" t="s">
        <v>583</v>
      </c>
      <c r="Z326" t="str">
        <f t="shared" ca="1" si="139"/>
        <v/>
      </c>
      <c r="AA326" s="156">
        <f ca="1">IF($C326="S",IF($Z326="CP",$X326,IF($Z326="RA",(($X326)*QCI!$AA$3),0)),SomaAgrup)</f>
        <v>0</v>
      </c>
      <c r="AB326" s="157">
        <f t="shared" ca="1" si="140"/>
        <v>0</v>
      </c>
      <c r="AC326" s="158" t="str">
        <f t="shared" ca="1" si="141"/>
        <v/>
      </c>
      <c r="AD326" s="104" t="str">
        <f ca="1">IF(C326&lt;=CRONO.NivelExibicao,MAX($AD$15:OFFSET(AD326,-1,0))+IF($C326&lt;&gt;1,1,MAX(1,COUNTIF(QCI!$A$13:$A$24,OFFSET($E326,-1,0)))),"")</f>
        <v/>
      </c>
      <c r="AE326" s="114" t="str">
        <f t="shared" ca="1" si="142"/>
        <v>SINAPI 89598</v>
      </c>
      <c r="AF326" s="159" t="str">
        <f t="shared" ca="1" si="143"/>
        <v>(abra o arquivo 'Referência 05-2024.xls)</v>
      </c>
      <c r="AG326" s="579">
        <f t="shared" ca="1" si="144"/>
        <v>0</v>
      </c>
      <c r="AH326" s="580">
        <f t="shared" ca="1" si="145"/>
        <v>0.22470000000000001</v>
      </c>
      <c r="AJ326" s="582">
        <v>1</v>
      </c>
      <c r="AL326" s="612"/>
      <c r="AM326" s="430">
        <f t="shared" ca="1" si="146"/>
        <v>0</v>
      </c>
      <c r="AN326" s="655">
        <f t="shared" ca="1" si="147"/>
        <v>0</v>
      </c>
    </row>
    <row r="327" spans="1:40" ht="13.8" x14ac:dyDescent="0.3">
      <c r="A327" t="str">
        <f t="shared" si="126"/>
        <v>S</v>
      </c>
      <c r="B327">
        <f t="shared" ca="1" si="127"/>
        <v>3</v>
      </c>
      <c r="C327" t="str">
        <f t="shared" ca="1" si="128"/>
        <v>S</v>
      </c>
      <c r="D327">
        <f t="shared" ca="1" si="129"/>
        <v>0</v>
      </c>
      <c r="E327">
        <f ca="1">IF($C327=1,OFFSET(E327,-1,0)+MAX(1,COUNTIF(QCI!$A$13:$A$24,OFFSET(ORÇAMENTO!E327,-1,0))),OFFSET(E327,-1,0))</f>
        <v>1</v>
      </c>
      <c r="F327">
        <f t="shared" ca="1" si="130"/>
        <v>12</v>
      </c>
      <c r="G327">
        <f t="shared" ca="1" si="131"/>
        <v>1</v>
      </c>
      <c r="H327">
        <f t="shared" ca="1" si="132"/>
        <v>0</v>
      </c>
      <c r="I327">
        <f t="shared" ca="1" si="133"/>
        <v>0</v>
      </c>
      <c r="J327">
        <f t="shared" ca="1" si="148"/>
        <v>0</v>
      </c>
      <c r="K327">
        <f ca="1">IF(OR($C327="S",$C327=0),0,MATCH(OFFSET($D327,0,$C327)+IF($C327&lt;&gt;1,1,COUNTIF(QCI!$A$13:$A$24,ORÇAMENTO!E327)),OFFSET($D327,1,$C327,ROW($C$710)-ROW($C327)),0))</f>
        <v>0</v>
      </c>
      <c r="L327" s="143" t="str">
        <f t="shared" ca="1" si="134"/>
        <v/>
      </c>
      <c r="M327" s="144" t="s">
        <v>201</v>
      </c>
      <c r="N327" s="145" t="str">
        <f t="shared" ca="1" si="135"/>
        <v>Serviço</v>
      </c>
      <c r="O327" s="146" t="str">
        <f t="shared" ca="1" si="136"/>
        <v>-</v>
      </c>
      <c r="P327" s="147" t="s">
        <v>249</v>
      </c>
      <c r="Q327" s="148">
        <v>89380</v>
      </c>
      <c r="R327" s="149" t="str">
        <f t="shared" ca="1" si="152"/>
        <v>(abra o arquivo 'Referência 05-2024.xls)</v>
      </c>
      <c r="S327" s="150" t="str">
        <f t="shared" ca="1" si="153"/>
        <v>-</v>
      </c>
      <c r="T327" s="151">
        <f ca="1">OFFSET(CÁLCULO!H$15,ROW($T327)-ROW(T$15),0)</f>
        <v>4</v>
      </c>
      <c r="U327" s="152">
        <f t="shared" ca="1" si="149"/>
        <v>0</v>
      </c>
      <c r="V327" s="153" t="s">
        <v>158</v>
      </c>
      <c r="W327" s="151">
        <f t="shared" ca="1" si="137"/>
        <v>0</v>
      </c>
      <c r="X327" s="154">
        <f t="shared" ca="1" si="138"/>
        <v>0</v>
      </c>
      <c r="Y327" s="155" t="s">
        <v>583</v>
      </c>
      <c r="Z327" t="str">
        <f t="shared" ca="1" si="139"/>
        <v/>
      </c>
      <c r="AA327" s="156">
        <f ca="1">IF($C327="S",IF($Z327="CP",$X327,IF($Z327="RA",(($X327)*QCI!$AA$3),0)),SomaAgrup)</f>
        <v>0</v>
      </c>
      <c r="AB327" s="157">
        <f t="shared" ca="1" si="140"/>
        <v>0</v>
      </c>
      <c r="AC327" s="158" t="str">
        <f t="shared" ca="1" si="141"/>
        <v/>
      </c>
      <c r="AD327" s="104" t="str">
        <f ca="1">IF(C327&lt;=CRONO.NivelExibicao,MAX($AD$15:OFFSET(AD327,-1,0))+IF($C327&lt;&gt;1,1,MAX(1,COUNTIF(QCI!$A$13:$A$24,OFFSET($E327,-1,0)))),"")</f>
        <v/>
      </c>
      <c r="AE327" s="114" t="str">
        <f t="shared" ca="1" si="142"/>
        <v>SINAPI 89380</v>
      </c>
      <c r="AF327" s="159" t="str">
        <f t="shared" ca="1" si="143"/>
        <v>(abra o arquivo 'Referência 05-2024.xls)</v>
      </c>
      <c r="AG327" s="579">
        <f t="shared" ca="1" si="144"/>
        <v>0</v>
      </c>
      <c r="AH327" s="580">
        <f t="shared" ca="1" si="145"/>
        <v>0.22470000000000001</v>
      </c>
      <c r="AJ327" s="582">
        <v>4</v>
      </c>
      <c r="AL327" s="612"/>
      <c r="AM327" s="430">
        <f t="shared" ca="1" si="146"/>
        <v>0</v>
      </c>
      <c r="AN327" s="655">
        <f t="shared" ca="1" si="147"/>
        <v>0</v>
      </c>
    </row>
    <row r="328" spans="1:40" ht="13.8" x14ac:dyDescent="0.3">
      <c r="A328" t="str">
        <f t="shared" si="126"/>
        <v>S</v>
      </c>
      <c r="B328">
        <f t="shared" ca="1" si="127"/>
        <v>3</v>
      </c>
      <c r="C328" t="str">
        <f t="shared" ca="1" si="128"/>
        <v>S</v>
      </c>
      <c r="D328">
        <f t="shared" ca="1" si="129"/>
        <v>0</v>
      </c>
      <c r="E328">
        <f ca="1">IF($C328=1,OFFSET(E328,-1,0)+MAX(1,COUNTIF(QCI!$A$13:$A$24,OFFSET(ORÇAMENTO!E328,-1,0))),OFFSET(E328,-1,0))</f>
        <v>1</v>
      </c>
      <c r="F328">
        <f t="shared" ca="1" si="130"/>
        <v>12</v>
      </c>
      <c r="G328">
        <f t="shared" ca="1" si="131"/>
        <v>1</v>
      </c>
      <c r="H328">
        <f t="shared" ca="1" si="132"/>
        <v>0</v>
      </c>
      <c r="I328">
        <f t="shared" ca="1" si="133"/>
        <v>0</v>
      </c>
      <c r="J328">
        <f t="shared" ca="1" si="148"/>
        <v>0</v>
      </c>
      <c r="K328">
        <f ca="1">IF(OR($C328="S",$C328=0),0,MATCH(OFFSET($D328,0,$C328)+IF($C328&lt;&gt;1,1,COUNTIF(QCI!$A$13:$A$24,ORÇAMENTO!E328)),OFFSET($D328,1,$C328,ROW($C$710)-ROW($C328)),0))</f>
        <v>0</v>
      </c>
      <c r="L328" s="143" t="str">
        <f t="shared" ca="1" si="134"/>
        <v/>
      </c>
      <c r="M328" s="144" t="s">
        <v>201</v>
      </c>
      <c r="N328" s="145" t="str">
        <f t="shared" ca="1" si="135"/>
        <v>Serviço</v>
      </c>
      <c r="O328" s="146" t="str">
        <f t="shared" ca="1" si="136"/>
        <v>-</v>
      </c>
      <c r="P328" s="147" t="s">
        <v>249</v>
      </c>
      <c r="Q328" s="148">
        <v>89605</v>
      </c>
      <c r="R328" s="149" t="str">
        <f t="shared" ca="1" si="152"/>
        <v>(abra o arquivo 'Referência 05-2024.xls)</v>
      </c>
      <c r="S328" s="150" t="str">
        <f t="shared" ca="1" si="153"/>
        <v>-</v>
      </c>
      <c r="T328" s="151">
        <f ca="1">OFFSET(CÁLCULO!H$15,ROW($T328)-ROW(T$15),0)</f>
        <v>3</v>
      </c>
      <c r="U328" s="152">
        <f t="shared" ca="1" si="149"/>
        <v>0</v>
      </c>
      <c r="V328" s="153" t="s">
        <v>158</v>
      </c>
      <c r="W328" s="151">
        <f t="shared" ca="1" si="137"/>
        <v>0</v>
      </c>
      <c r="X328" s="154">
        <f t="shared" ca="1" si="138"/>
        <v>0</v>
      </c>
      <c r="Y328" s="155" t="s">
        <v>583</v>
      </c>
      <c r="Z328" t="str">
        <f t="shared" ca="1" si="139"/>
        <v/>
      </c>
      <c r="AA328" s="156">
        <f ca="1">IF($C328="S",IF($Z328="CP",$X328,IF($Z328="RA",(($X328)*QCI!$AA$3),0)),SomaAgrup)</f>
        <v>0</v>
      </c>
      <c r="AB328" s="157">
        <f t="shared" ca="1" si="140"/>
        <v>0</v>
      </c>
      <c r="AC328" s="158" t="str">
        <f t="shared" ca="1" si="141"/>
        <v/>
      </c>
      <c r="AD328" s="104" t="str">
        <f ca="1">IF(C328&lt;=CRONO.NivelExibicao,MAX($AD$15:OFFSET(AD328,-1,0))+IF($C328&lt;&gt;1,1,MAX(1,COUNTIF(QCI!$A$13:$A$24,OFFSET($E328,-1,0)))),"")</f>
        <v/>
      </c>
      <c r="AE328" s="114" t="str">
        <f t="shared" ca="1" si="142"/>
        <v>SINAPI 89605</v>
      </c>
      <c r="AF328" s="159" t="str">
        <f t="shared" ca="1" si="143"/>
        <v>(abra o arquivo 'Referência 05-2024.xls)</v>
      </c>
      <c r="AG328" s="579">
        <f t="shared" ca="1" si="144"/>
        <v>0</v>
      </c>
      <c r="AH328" s="580">
        <f t="shared" ca="1" si="145"/>
        <v>0.22470000000000001</v>
      </c>
      <c r="AJ328" s="582">
        <v>3</v>
      </c>
      <c r="AL328" s="612"/>
      <c r="AM328" s="430">
        <f t="shared" ca="1" si="146"/>
        <v>0</v>
      </c>
      <c r="AN328" s="655">
        <f t="shared" ca="1" si="147"/>
        <v>0</v>
      </c>
    </row>
    <row r="329" spans="1:40" ht="13.8" x14ac:dyDescent="0.3">
      <c r="A329" t="str">
        <f t="shared" si="126"/>
        <v>S</v>
      </c>
      <c r="B329">
        <f t="shared" ca="1" si="127"/>
        <v>3</v>
      </c>
      <c r="C329" t="str">
        <f t="shared" ca="1" si="128"/>
        <v>S</v>
      </c>
      <c r="D329">
        <f t="shared" ca="1" si="129"/>
        <v>0</v>
      </c>
      <c r="E329">
        <f ca="1">IF($C329=1,OFFSET(E329,-1,0)+MAX(1,COUNTIF(QCI!$A$13:$A$24,OFFSET(ORÇAMENTO!E329,-1,0))),OFFSET(E329,-1,0))</f>
        <v>1</v>
      </c>
      <c r="F329">
        <f t="shared" ca="1" si="130"/>
        <v>12</v>
      </c>
      <c r="G329">
        <f t="shared" ca="1" si="131"/>
        <v>1</v>
      </c>
      <c r="H329">
        <f t="shared" ca="1" si="132"/>
        <v>0</v>
      </c>
      <c r="I329">
        <f t="shared" ca="1" si="133"/>
        <v>0</v>
      </c>
      <c r="J329">
        <f t="shared" ca="1" si="148"/>
        <v>0</v>
      </c>
      <c r="K329">
        <f ca="1">IF(OR($C329="S",$C329=0),0,MATCH(OFFSET($D329,0,$C329)+IF($C329&lt;&gt;1,1,COUNTIF(QCI!$A$13:$A$24,ORÇAMENTO!E329)),OFFSET($D329,1,$C329,ROW($C$710)-ROW($C329)),0))</f>
        <v>0</v>
      </c>
      <c r="L329" s="143" t="str">
        <f t="shared" ca="1" si="134"/>
        <v/>
      </c>
      <c r="M329" s="144" t="s">
        <v>201</v>
      </c>
      <c r="N329" s="145" t="str">
        <f t="shared" ca="1" si="135"/>
        <v>Serviço</v>
      </c>
      <c r="O329" s="146" t="str">
        <f t="shared" ca="1" si="136"/>
        <v>-</v>
      </c>
      <c r="P329" s="147" t="s">
        <v>249</v>
      </c>
      <c r="Q329" s="148">
        <v>89541</v>
      </c>
      <c r="R329" s="149" t="str">
        <f t="shared" ca="1" si="152"/>
        <v>(abra o arquivo 'Referência 05-2024.xls)</v>
      </c>
      <c r="S329" s="150" t="str">
        <f t="shared" ca="1" si="153"/>
        <v>-</v>
      </c>
      <c r="T329" s="151">
        <f ca="1">OFFSET(CÁLCULO!H$15,ROW($T329)-ROW(T$15),0)</f>
        <v>2</v>
      </c>
      <c r="U329" s="152">
        <f t="shared" ca="1" si="149"/>
        <v>0</v>
      </c>
      <c r="V329" s="153" t="s">
        <v>158</v>
      </c>
      <c r="W329" s="151">
        <f t="shared" ca="1" si="137"/>
        <v>0</v>
      </c>
      <c r="X329" s="154">
        <f t="shared" ca="1" si="138"/>
        <v>0</v>
      </c>
      <c r="Y329" s="155" t="s">
        <v>583</v>
      </c>
      <c r="Z329" t="str">
        <f t="shared" ca="1" si="139"/>
        <v/>
      </c>
      <c r="AA329" s="156">
        <f ca="1">IF($C329="S",IF($Z329="CP",$X329,IF($Z329="RA",(($X329)*QCI!$AA$3),0)),SomaAgrup)</f>
        <v>0</v>
      </c>
      <c r="AB329" s="157">
        <f t="shared" ca="1" si="140"/>
        <v>0</v>
      </c>
      <c r="AC329" s="158" t="str">
        <f t="shared" ca="1" si="141"/>
        <v/>
      </c>
      <c r="AD329" s="104" t="str">
        <f ca="1">IF(C329&lt;=CRONO.NivelExibicao,MAX($AD$15:OFFSET(AD329,-1,0))+IF($C329&lt;&gt;1,1,MAX(1,COUNTIF(QCI!$A$13:$A$24,OFFSET($E329,-1,0)))),"")</f>
        <v/>
      </c>
      <c r="AE329" s="114" t="str">
        <f t="shared" ca="1" si="142"/>
        <v>SINAPI 89541</v>
      </c>
      <c r="AF329" s="159" t="str">
        <f t="shared" ca="1" si="143"/>
        <v>(abra o arquivo 'Referência 05-2024.xls)</v>
      </c>
      <c r="AG329" s="579">
        <f t="shared" ca="1" si="144"/>
        <v>0</v>
      </c>
      <c r="AH329" s="580">
        <f t="shared" ca="1" si="145"/>
        <v>0.22470000000000001</v>
      </c>
      <c r="AJ329" s="582">
        <v>2</v>
      </c>
      <c r="AL329" s="612"/>
      <c r="AM329" s="430">
        <f t="shared" ca="1" si="146"/>
        <v>0</v>
      </c>
      <c r="AN329" s="655">
        <f t="shared" ca="1" si="147"/>
        <v>0</v>
      </c>
    </row>
    <row r="330" spans="1:40" ht="13.8" x14ac:dyDescent="0.3">
      <c r="A330" t="str">
        <f t="shared" si="126"/>
        <v>S</v>
      </c>
      <c r="B330">
        <f t="shared" ca="1" si="127"/>
        <v>3</v>
      </c>
      <c r="C330" t="str">
        <f t="shared" ca="1" si="128"/>
        <v>S</v>
      </c>
      <c r="D330">
        <f t="shared" ca="1" si="129"/>
        <v>0</v>
      </c>
      <c r="E330">
        <f ca="1">IF($C330=1,OFFSET(E330,-1,0)+MAX(1,COUNTIF(QCI!$A$13:$A$24,OFFSET(ORÇAMENTO!E330,-1,0))),OFFSET(E330,-1,0))</f>
        <v>1</v>
      </c>
      <c r="F330">
        <f t="shared" ca="1" si="130"/>
        <v>12</v>
      </c>
      <c r="G330">
        <f t="shared" ca="1" si="131"/>
        <v>1</v>
      </c>
      <c r="H330">
        <f t="shared" ca="1" si="132"/>
        <v>0</v>
      </c>
      <c r="I330">
        <f t="shared" ca="1" si="133"/>
        <v>0</v>
      </c>
      <c r="J330">
        <f t="shared" ca="1" si="148"/>
        <v>0</v>
      </c>
      <c r="K330">
        <f ca="1">IF(OR($C330="S",$C330=0),0,MATCH(OFFSET($D330,0,$C330)+IF($C330&lt;&gt;1,1,COUNTIF(QCI!$A$13:$A$24,ORÇAMENTO!E330)),OFFSET($D330,1,$C330,ROW($C$710)-ROW($C330)),0))</f>
        <v>0</v>
      </c>
      <c r="L330" s="143" t="str">
        <f t="shared" ca="1" si="134"/>
        <v/>
      </c>
      <c r="M330" s="144" t="s">
        <v>201</v>
      </c>
      <c r="N330" s="145" t="str">
        <f t="shared" ca="1" si="135"/>
        <v>Serviço</v>
      </c>
      <c r="O330" s="146" t="str">
        <f t="shared" ca="1" si="136"/>
        <v>-</v>
      </c>
      <c r="P330" s="147" t="s">
        <v>249</v>
      </c>
      <c r="Q330" s="148">
        <v>89597</v>
      </c>
      <c r="R330" s="149" t="str">
        <f t="shared" ca="1" si="152"/>
        <v>(abra o arquivo 'Referência 05-2024.xls)</v>
      </c>
      <c r="S330" s="150" t="str">
        <f t="shared" ca="1" si="153"/>
        <v>-</v>
      </c>
      <c r="T330" s="151">
        <f ca="1">OFFSET(CÁLCULO!H$15,ROW($T330)-ROW(T$15),0)</f>
        <v>2</v>
      </c>
      <c r="U330" s="152">
        <f t="shared" ca="1" si="149"/>
        <v>0</v>
      </c>
      <c r="V330" s="153" t="s">
        <v>158</v>
      </c>
      <c r="W330" s="151">
        <f t="shared" ca="1" si="137"/>
        <v>0</v>
      </c>
      <c r="X330" s="154">
        <f t="shared" ca="1" si="138"/>
        <v>0</v>
      </c>
      <c r="Y330" s="155" t="s">
        <v>583</v>
      </c>
      <c r="Z330" t="str">
        <f t="shared" ca="1" si="139"/>
        <v/>
      </c>
      <c r="AA330" s="156">
        <f ca="1">IF($C330="S",IF($Z330="CP",$X330,IF($Z330="RA",(($X330)*QCI!$AA$3),0)),SomaAgrup)</f>
        <v>0</v>
      </c>
      <c r="AB330" s="157">
        <f t="shared" ca="1" si="140"/>
        <v>0</v>
      </c>
      <c r="AC330" s="158" t="str">
        <f t="shared" ca="1" si="141"/>
        <v/>
      </c>
      <c r="AD330" s="104" t="str">
        <f ca="1">IF(C330&lt;=CRONO.NivelExibicao,MAX($AD$15:OFFSET(AD330,-1,0))+IF($C330&lt;&gt;1,1,MAX(1,COUNTIF(QCI!$A$13:$A$24,OFFSET($E330,-1,0)))),"")</f>
        <v/>
      </c>
      <c r="AE330" s="114" t="str">
        <f t="shared" ca="1" si="142"/>
        <v>SINAPI 89597</v>
      </c>
      <c r="AF330" s="159" t="str">
        <f t="shared" ca="1" si="143"/>
        <v>(abra o arquivo 'Referência 05-2024.xls)</v>
      </c>
      <c r="AG330" s="579">
        <f t="shared" ca="1" si="144"/>
        <v>0</v>
      </c>
      <c r="AH330" s="580">
        <f t="shared" ca="1" si="145"/>
        <v>0.22470000000000001</v>
      </c>
      <c r="AJ330" s="582">
        <v>2</v>
      </c>
      <c r="AL330" s="612"/>
      <c r="AM330" s="430">
        <f t="shared" ca="1" si="146"/>
        <v>0</v>
      </c>
      <c r="AN330" s="655">
        <f t="shared" ca="1" si="147"/>
        <v>0</v>
      </c>
    </row>
    <row r="331" spans="1:40" ht="13.8" x14ac:dyDescent="0.3">
      <c r="A331" t="str">
        <f t="shared" ref="A331:A394" si="154">CHOOSE(1+LOG(1+2*(ORÇAMENTO.Nivel="Meta")+4*(ORÇAMENTO.Nivel="Nível 2")+8*(ORÇAMENTO.Nivel="Nível 3")+16*(ORÇAMENTO.Nivel="Nível 4")+32*(ORÇAMENTO.Nivel="Serviço"),2),0,1,2,3,4,"S")</f>
        <v>S</v>
      </c>
      <c r="B331">
        <f t="shared" ref="B331:B394" ca="1" si="155">IF(OR(C331="s",C331=0),OFFSET(B331,-1,0),C331)</f>
        <v>3</v>
      </c>
      <c r="C331" t="str">
        <f t="shared" ref="C331:C394" ca="1" si="156">IF(OFFSET(C331,-1,0)="L",1,IF(OFFSET(C331,-1,0)=1,2,IF(OR(A331="s",A331=0),"S",IF(AND(OFFSET(C331,-1,0)=2,A331=4),3,IF(AND(OR(OFFSET(C331,-1,0)="s",OFFSET(C331,-1,0)=0),A331&lt;&gt;"s",A331&gt;OFFSET(B331,-1,0)),OFFSET(B331,-1,0),A331)))))</f>
        <v>S</v>
      </c>
      <c r="D331">
        <f t="shared" ref="D331:D394" ca="1" si="157">IF(OR(C331="S",C331=0),0,IF(ISERROR(K331),J331,SMALL(J331:K331,1)))</f>
        <v>0</v>
      </c>
      <c r="E331">
        <f ca="1">IF($C331=1,OFFSET(E331,-1,0)+MAX(1,COUNTIF(QCI!$A$13:$A$24,OFFSET(ORÇAMENTO!E331,-1,0))),OFFSET(E331,-1,0))</f>
        <v>1</v>
      </c>
      <c r="F331">
        <f t="shared" ref="F331:F394" ca="1" si="158">IF($C331=1,0,IF($C331=2,OFFSET(F331,-1,0)+1,OFFSET(F331,-1,0)))</f>
        <v>12</v>
      </c>
      <c r="G331">
        <f t="shared" ref="G331:G394" ca="1" si="159">IF(AND($C331&lt;=2,$C331&lt;&gt;0),0,IF($C331=3,OFFSET(G331,-1,0)+1,OFFSET(G331,-1,0)))</f>
        <v>1</v>
      </c>
      <c r="H331">
        <f t="shared" ref="H331:H394" ca="1" si="160">IF(AND($C331&lt;=3,$C331&lt;&gt;0),0,IF($C331=4,OFFSET(H331,-1,0)+1,OFFSET(H331,-1,0)))</f>
        <v>0</v>
      </c>
      <c r="I331">
        <f t="shared" ref="I331:I394" ca="1" si="161">IF(AND($C331&lt;=4,$C331&lt;&gt;0),0,IF(AND($C331="S",$X331&gt;0),OFFSET(I331,-1,0)+1,OFFSET(I331,-1,0)))</f>
        <v>0</v>
      </c>
      <c r="J331">
        <f t="shared" ca="1" si="148"/>
        <v>0</v>
      </c>
      <c r="K331">
        <f ca="1">IF(OR($C331="S",$C331=0),0,MATCH(OFFSET($D331,0,$C331)+IF($C331&lt;&gt;1,1,COUNTIF(QCI!$A$13:$A$24,ORÇAMENTO!E331)),OFFSET($D331,1,$C331,ROW($C$710)-ROW($C331)),0))</f>
        <v>0</v>
      </c>
      <c r="L331" s="143" t="str">
        <f t="shared" ref="L331:L394" ca="1" si="162">IF(OR($X331&gt;0,$C331=1,$C331=2,$C331=3,$C331=4),"F","")</f>
        <v/>
      </c>
      <c r="M331" s="144" t="s">
        <v>201</v>
      </c>
      <c r="N331" s="145" t="str">
        <f t="shared" ref="N331:N394" ca="1" si="163">CHOOSE(1+LOG(1+2*(C331=1)+4*(C331=2)+8*(C331=3)+16*(C331=4)+32*(C331="S"),2),"","Meta","Nível 2","Nível 3","Nível 4","Serviço")</f>
        <v>Serviço</v>
      </c>
      <c r="O331" s="146" t="str">
        <f t="shared" ref="O331:O394" ca="1" si="164">IF(OR($C331=0,$L331=""),"-",CONCATENATE(E331&amp;".",IF(AND($A$5&gt;=2,$C331&gt;=2),F331&amp;".",""),IF(AND($A$5&gt;=3,$C331&gt;=3),G331&amp;".",""),IF(AND($A$5&gt;=4,$C331&gt;=4),H331&amp;".",""),IF($C331="S",I331&amp;".","")))</f>
        <v>-</v>
      </c>
      <c r="P331" s="147" t="s">
        <v>249</v>
      </c>
      <c r="Q331" s="148">
        <v>89362</v>
      </c>
      <c r="R331" s="149" t="str">
        <f t="shared" ca="1" si="152"/>
        <v>(abra o arquivo 'Referência 05-2024.xls)</v>
      </c>
      <c r="S331" s="150" t="str">
        <f t="shared" ca="1" si="153"/>
        <v>-</v>
      </c>
      <c r="T331" s="151">
        <f ca="1">OFFSET(CÁLCULO!H$15,ROW($T331)-ROW(T$15),0)</f>
        <v>123</v>
      </c>
      <c r="U331" s="152">
        <f t="shared" ca="1" si="149"/>
        <v>0</v>
      </c>
      <c r="V331" s="153" t="s">
        <v>158</v>
      </c>
      <c r="W331" s="151">
        <f t="shared" ref="W331:W394" ca="1" si="165">IF($C331="S",ROUND(IF(TIPOORCAMENTO="Proposto",ORÇAMENTO.CustoUnitario*(1+$AH331),ORÇAMENTO.PrecoUnitarioLicitado),15-13*$AF$10),0)</f>
        <v>0</v>
      </c>
      <c r="X331" s="154">
        <f t="shared" ref="X331:X394" ca="1" si="166">IF($C331="S",VTOTAL1,IF($C331=0,0,ROUND(SomaAgrup,15-13*$AF$11)))</f>
        <v>0</v>
      </c>
      <c r="Y331" s="155" t="s">
        <v>583</v>
      </c>
      <c r="Z331" t="str">
        <f t="shared" ref="Z331:Z394" ca="1" si="167">IF(AND($C331="S",$X331&gt;0),IF(ISBLANK($Y331),"RA",LEFT($Y331,2)),"")</f>
        <v/>
      </c>
      <c r="AA331" s="156">
        <f ca="1">IF($C331="S",IF($Z331="CP",$X331,IF($Z331="RA",(($X331)*QCI!$AA$3),0)),SomaAgrup)</f>
        <v>0</v>
      </c>
      <c r="AB331" s="157">
        <f t="shared" ref="AB331:AB394" ca="1" si="168">IF($C331="S",IF($Z331="OU",ROUND($X331,2),0),SomaAgrup)</f>
        <v>0</v>
      </c>
      <c r="AC331" s="158" t="str">
        <f t="shared" ref="AC331:AC394" ca="1" si="169">IF($N331="","",IF(ORÇAMENTO.Descricao="","DESCRIÇÃO",IF(AND($C331="S",ORÇAMENTO.Unidade=""),"UNIDADE",IF($X331&lt;0,"VALOR NEGATIVO",IF(OR(AND(TIPOORCAMENTO="Proposto",$AG331&lt;&gt;"",$AG331&gt;0,ORÇAMENTO.CustoUnitario&gt;$AG331),AND(TIPOORCAMENTO="LICITADO",ORÇAMENTO.PrecoUnitarioLicitado&gt;$AN331)),"ACIMA REF.","")))))</f>
        <v/>
      </c>
      <c r="AD331" s="104" t="str">
        <f ca="1">IF(C331&lt;=CRONO.NivelExibicao,MAX($AD$15:OFFSET(AD331,-1,0))+IF($C331&lt;&gt;1,1,MAX(1,COUNTIF(QCI!$A$13:$A$24,OFFSET($E331,-1,0)))),"")</f>
        <v/>
      </c>
      <c r="AE331" s="114" t="str">
        <f t="shared" ref="AE331:AE394" ca="1" si="170">IF(AND($C331="S",ORÇAMENTO.CodBarra&lt;&gt;""),IF(ORÇAMENTO.Fonte="",ORÇAMENTO.CodBarra,CONCATENATE(ORÇAMENTO.Fonte," ",ORÇAMENTO.CodBarra)))</f>
        <v>SINAPI 89362</v>
      </c>
      <c r="AF331" s="159" t="str">
        <f t="shared" ref="AF331:AF394" ca="1" si="171">IF(ISERROR(INDIRECT(ORÇAMENTO.BancoRef)),"(abra o arquivo 'Referência "&amp;Excel_BuiltIn_Database&amp;".xls)",IF(OR($C331&lt;&gt;"S",ORÇAMENTO.CodBarra=""),"(Sem Código)",IF(ISERROR(MATCH($AE331,INDIRECT(ORÇAMENTO.BancoRef),0)),"(Código não identificado nas referências)",MATCH($AE331,INDIRECT(ORÇAMENTO.BancoRef),0))))</f>
        <v>(abra o arquivo 'Referência 05-2024.xls)</v>
      </c>
      <c r="AG331" s="579">
        <f t="shared" ref="AG331:AG394" ca="1" si="172">ROUND(IF(DESONERACAO="sim",REFERENCIA.Desonerado,REFERENCIA.NaoDesonerado),2)</f>
        <v>0</v>
      </c>
      <c r="AH331" s="580">
        <f t="shared" ref="AH331:AH394" ca="1" si="173">ROUND(IF(ISNUMBER(ORÇAMENTO.OpcaoBDI),ORÇAMENTO.OpcaoBDI,IF(LEFT(ORÇAMENTO.OpcaoBDI,3)="BDI",HLOOKUP(ORÇAMENTO.OpcaoBDI,$F$4:$H$5,2,FALSE),0)),15-11*$AF$9)</f>
        <v>0.22470000000000001</v>
      </c>
      <c r="AJ331" s="582">
        <v>123</v>
      </c>
      <c r="AL331" s="612"/>
      <c r="AM331" s="430">
        <f t="shared" ref="AM331:AM394" ca="1" si="174">$X331</f>
        <v>0</v>
      </c>
      <c r="AN331" s="655">
        <f t="shared" ref="AN331:AN394" ca="1" si="175">ROUND(ORÇAMENTO.CustoUnitario*(1+$AH331),2)</f>
        <v>0</v>
      </c>
    </row>
    <row r="332" spans="1:40" ht="13.8" x14ac:dyDescent="0.3">
      <c r="A332" t="str">
        <f t="shared" si="154"/>
        <v>S</v>
      </c>
      <c r="B332">
        <f t="shared" ca="1" si="155"/>
        <v>3</v>
      </c>
      <c r="C332" t="str">
        <f t="shared" ca="1" si="156"/>
        <v>S</v>
      </c>
      <c r="D332">
        <f t="shared" ca="1" si="157"/>
        <v>0</v>
      </c>
      <c r="E332">
        <f ca="1">IF($C332=1,OFFSET(E332,-1,0)+MAX(1,COUNTIF(QCI!$A$13:$A$24,OFFSET(ORÇAMENTO!E332,-1,0))),OFFSET(E332,-1,0))</f>
        <v>1</v>
      </c>
      <c r="F332">
        <f t="shared" ca="1" si="158"/>
        <v>12</v>
      </c>
      <c r="G332">
        <f t="shared" ca="1" si="159"/>
        <v>1</v>
      </c>
      <c r="H332">
        <f t="shared" ca="1" si="160"/>
        <v>0</v>
      </c>
      <c r="I332">
        <f t="shared" ca="1" si="161"/>
        <v>0</v>
      </c>
      <c r="J332">
        <f t="shared" ca="1" si="148"/>
        <v>0</v>
      </c>
      <c r="K332">
        <f ca="1">IF(OR($C332="S",$C332=0),0,MATCH(OFFSET($D332,0,$C332)+IF($C332&lt;&gt;1,1,COUNTIF(QCI!$A$13:$A$24,ORÇAMENTO!E332)),OFFSET($D332,1,$C332,ROW($C$710)-ROW($C332)),0))</f>
        <v>0</v>
      </c>
      <c r="L332" s="143" t="str">
        <f t="shared" ca="1" si="162"/>
        <v/>
      </c>
      <c r="M332" s="144" t="s">
        <v>201</v>
      </c>
      <c r="N332" s="145" t="str">
        <f t="shared" ca="1" si="163"/>
        <v>Serviço</v>
      </c>
      <c r="O332" s="146" t="str">
        <f t="shared" ca="1" si="164"/>
        <v>-</v>
      </c>
      <c r="P332" s="147" t="s">
        <v>249</v>
      </c>
      <c r="Q332" s="148">
        <v>89367</v>
      </c>
      <c r="R332" s="149" t="str">
        <f t="shared" ca="1" si="152"/>
        <v>(abra o arquivo 'Referência 05-2024.xls)</v>
      </c>
      <c r="S332" s="150" t="str">
        <f t="shared" ca="1" si="153"/>
        <v>-</v>
      </c>
      <c r="T332" s="151">
        <f ca="1">OFFSET(CÁLCULO!H$15,ROW($T332)-ROW(T$15),0)</f>
        <v>53</v>
      </c>
      <c r="U332" s="152">
        <f t="shared" ca="1" si="149"/>
        <v>0</v>
      </c>
      <c r="V332" s="153" t="s">
        <v>158</v>
      </c>
      <c r="W332" s="151">
        <f t="shared" ca="1" si="165"/>
        <v>0</v>
      </c>
      <c r="X332" s="154">
        <f t="shared" ca="1" si="166"/>
        <v>0</v>
      </c>
      <c r="Y332" s="155" t="s">
        <v>583</v>
      </c>
      <c r="Z332" t="str">
        <f t="shared" ca="1" si="167"/>
        <v/>
      </c>
      <c r="AA332" s="156">
        <f ca="1">IF($C332="S",IF($Z332="CP",$X332,IF($Z332="RA",(($X332)*QCI!$AA$3),0)),SomaAgrup)</f>
        <v>0</v>
      </c>
      <c r="AB332" s="157">
        <f t="shared" ca="1" si="168"/>
        <v>0</v>
      </c>
      <c r="AC332" s="158" t="str">
        <f t="shared" ca="1" si="169"/>
        <v/>
      </c>
      <c r="AD332" s="104" t="str">
        <f ca="1">IF(C332&lt;=CRONO.NivelExibicao,MAX($AD$15:OFFSET(AD332,-1,0))+IF($C332&lt;&gt;1,1,MAX(1,COUNTIF(QCI!$A$13:$A$24,OFFSET($E332,-1,0)))),"")</f>
        <v/>
      </c>
      <c r="AE332" s="114" t="str">
        <f t="shared" ca="1" si="170"/>
        <v>SINAPI 89367</v>
      </c>
      <c r="AF332" s="159" t="str">
        <f t="shared" ca="1" si="171"/>
        <v>(abra o arquivo 'Referência 05-2024.xls)</v>
      </c>
      <c r="AG332" s="579">
        <f t="shared" ca="1" si="172"/>
        <v>0</v>
      </c>
      <c r="AH332" s="580">
        <f t="shared" ca="1" si="173"/>
        <v>0.22470000000000001</v>
      </c>
      <c r="AJ332" s="582">
        <v>53</v>
      </c>
      <c r="AL332" s="612"/>
      <c r="AM332" s="430">
        <f t="shared" ca="1" si="174"/>
        <v>0</v>
      </c>
      <c r="AN332" s="655">
        <f t="shared" ca="1" si="175"/>
        <v>0</v>
      </c>
    </row>
    <row r="333" spans="1:40" ht="13.8" x14ac:dyDescent="0.3">
      <c r="A333" t="str">
        <f t="shared" si="154"/>
        <v>S</v>
      </c>
      <c r="B333">
        <f t="shared" ca="1" si="155"/>
        <v>3</v>
      </c>
      <c r="C333" t="str">
        <f t="shared" ca="1" si="156"/>
        <v>S</v>
      </c>
      <c r="D333">
        <f t="shared" ca="1" si="157"/>
        <v>0</v>
      </c>
      <c r="E333">
        <f ca="1">IF($C333=1,OFFSET(E333,-1,0)+MAX(1,COUNTIF(QCI!$A$13:$A$24,OFFSET(ORÇAMENTO!E333,-1,0))),OFFSET(E333,-1,0))</f>
        <v>1</v>
      </c>
      <c r="F333">
        <f t="shared" ca="1" si="158"/>
        <v>12</v>
      </c>
      <c r="G333">
        <f t="shared" ca="1" si="159"/>
        <v>1</v>
      </c>
      <c r="H333">
        <f t="shared" ca="1" si="160"/>
        <v>0</v>
      </c>
      <c r="I333">
        <f t="shared" ca="1" si="161"/>
        <v>0</v>
      </c>
      <c r="J333">
        <f t="shared" ca="1" si="148"/>
        <v>0</v>
      </c>
      <c r="K333">
        <f ca="1">IF(OR($C333="S",$C333=0),0,MATCH(OFFSET($D333,0,$C333)+IF($C333&lt;&gt;1,1,COUNTIF(QCI!$A$13:$A$24,ORÇAMENTO!E333)),OFFSET($D333,1,$C333,ROW($C$710)-ROW($C333)),0))</f>
        <v>0</v>
      </c>
      <c r="L333" s="143" t="str">
        <f t="shared" ca="1" si="162"/>
        <v/>
      </c>
      <c r="M333" s="144" t="s">
        <v>201</v>
      </c>
      <c r="N333" s="145" t="str">
        <f t="shared" ca="1" si="163"/>
        <v>Serviço</v>
      </c>
      <c r="O333" s="146" t="str">
        <f t="shared" ca="1" si="164"/>
        <v>-</v>
      </c>
      <c r="P333" s="147" t="s">
        <v>249</v>
      </c>
      <c r="Q333" s="148">
        <v>89501</v>
      </c>
      <c r="R333" s="149" t="str">
        <f t="shared" ca="1" si="152"/>
        <v>(abra o arquivo 'Referência 05-2024.xls)</v>
      </c>
      <c r="S333" s="150" t="str">
        <f t="shared" ca="1" si="153"/>
        <v>-</v>
      </c>
      <c r="T333" s="151">
        <f ca="1">OFFSET(CÁLCULO!H$15,ROW($T333)-ROW(T$15),0)</f>
        <v>60</v>
      </c>
      <c r="U333" s="152">
        <f t="shared" ca="1" si="149"/>
        <v>0</v>
      </c>
      <c r="V333" s="153" t="s">
        <v>158</v>
      </c>
      <c r="W333" s="151">
        <f t="shared" ca="1" si="165"/>
        <v>0</v>
      </c>
      <c r="X333" s="154">
        <f t="shared" ca="1" si="166"/>
        <v>0</v>
      </c>
      <c r="Y333" s="155" t="s">
        <v>583</v>
      </c>
      <c r="Z333" t="str">
        <f t="shared" ca="1" si="167"/>
        <v/>
      </c>
      <c r="AA333" s="156">
        <f ca="1">IF($C333="S",IF($Z333="CP",$X333,IF($Z333="RA",(($X333)*QCI!$AA$3),0)),SomaAgrup)</f>
        <v>0</v>
      </c>
      <c r="AB333" s="157">
        <f t="shared" ca="1" si="168"/>
        <v>0</v>
      </c>
      <c r="AC333" s="158" t="str">
        <f t="shared" ca="1" si="169"/>
        <v/>
      </c>
      <c r="AD333" s="104" t="str">
        <f ca="1">IF(C333&lt;=CRONO.NivelExibicao,MAX($AD$15:OFFSET(AD333,-1,0))+IF($C333&lt;&gt;1,1,MAX(1,COUNTIF(QCI!$A$13:$A$24,OFFSET($E333,-1,0)))),"")</f>
        <v/>
      </c>
      <c r="AE333" s="114" t="str">
        <f t="shared" ca="1" si="170"/>
        <v>SINAPI 89501</v>
      </c>
      <c r="AF333" s="159" t="str">
        <f t="shared" ca="1" si="171"/>
        <v>(abra o arquivo 'Referência 05-2024.xls)</v>
      </c>
      <c r="AG333" s="579">
        <f t="shared" ca="1" si="172"/>
        <v>0</v>
      </c>
      <c r="AH333" s="580">
        <f t="shared" ca="1" si="173"/>
        <v>0.22470000000000001</v>
      </c>
      <c r="AJ333" s="582">
        <v>60</v>
      </c>
      <c r="AL333" s="612"/>
      <c r="AM333" s="430">
        <f t="shared" ca="1" si="174"/>
        <v>0</v>
      </c>
      <c r="AN333" s="655">
        <f t="shared" ca="1" si="175"/>
        <v>0</v>
      </c>
    </row>
    <row r="334" spans="1:40" ht="13.8" x14ac:dyDescent="0.3">
      <c r="A334" t="str">
        <f t="shared" si="154"/>
        <v>S</v>
      </c>
      <c r="B334">
        <f t="shared" ca="1" si="155"/>
        <v>3</v>
      </c>
      <c r="C334" t="str">
        <f t="shared" ca="1" si="156"/>
        <v>S</v>
      </c>
      <c r="D334">
        <f t="shared" ca="1" si="157"/>
        <v>0</v>
      </c>
      <c r="E334">
        <f ca="1">IF($C334=1,OFFSET(E334,-1,0)+MAX(1,COUNTIF(QCI!$A$13:$A$24,OFFSET(ORÇAMENTO!E334,-1,0))),OFFSET(E334,-1,0))</f>
        <v>1</v>
      </c>
      <c r="F334">
        <f t="shared" ca="1" si="158"/>
        <v>12</v>
      </c>
      <c r="G334">
        <f t="shared" ca="1" si="159"/>
        <v>1</v>
      </c>
      <c r="H334">
        <f t="shared" ca="1" si="160"/>
        <v>0</v>
      </c>
      <c r="I334">
        <f t="shared" ca="1" si="161"/>
        <v>0</v>
      </c>
      <c r="J334">
        <f t="shared" ca="1" si="148"/>
        <v>0</v>
      </c>
      <c r="K334">
        <f ca="1">IF(OR($C334="S",$C334=0),0,MATCH(OFFSET($D334,0,$C334)+IF($C334&lt;&gt;1,1,COUNTIF(QCI!$A$13:$A$24,ORÇAMENTO!E334)),OFFSET($D334,1,$C334,ROW($C$710)-ROW($C334)),0))</f>
        <v>0</v>
      </c>
      <c r="L334" s="143" t="str">
        <f t="shared" ca="1" si="162"/>
        <v/>
      </c>
      <c r="M334" s="144" t="s">
        <v>201</v>
      </c>
      <c r="N334" s="145" t="str">
        <f t="shared" ca="1" si="163"/>
        <v>Serviço</v>
      </c>
      <c r="O334" s="146" t="str">
        <f t="shared" ca="1" si="164"/>
        <v>-</v>
      </c>
      <c r="P334" s="147" t="s">
        <v>249</v>
      </c>
      <c r="Q334" s="148">
        <v>89505</v>
      </c>
      <c r="R334" s="149" t="str">
        <f t="shared" ca="1" si="152"/>
        <v>(abra o arquivo 'Referência 05-2024.xls)</v>
      </c>
      <c r="S334" s="150" t="str">
        <f t="shared" ca="1" si="153"/>
        <v>-</v>
      </c>
      <c r="T334" s="151">
        <f ca="1">OFFSET(CÁLCULO!H$15,ROW($T334)-ROW(T$15),0)</f>
        <v>36</v>
      </c>
      <c r="U334" s="152">
        <f t="shared" ref="U334:U397" ca="1" si="176">AG334</f>
        <v>0</v>
      </c>
      <c r="V334" s="153" t="s">
        <v>158</v>
      </c>
      <c r="W334" s="151">
        <f t="shared" ca="1" si="165"/>
        <v>0</v>
      </c>
      <c r="X334" s="154">
        <f t="shared" ca="1" si="166"/>
        <v>0</v>
      </c>
      <c r="Y334" s="155" t="s">
        <v>583</v>
      </c>
      <c r="Z334" t="str">
        <f t="shared" ca="1" si="167"/>
        <v/>
      </c>
      <c r="AA334" s="156">
        <f ca="1">IF($C334="S",IF($Z334="CP",$X334,IF($Z334="RA",(($X334)*QCI!$AA$3),0)),SomaAgrup)</f>
        <v>0</v>
      </c>
      <c r="AB334" s="157">
        <f t="shared" ca="1" si="168"/>
        <v>0</v>
      </c>
      <c r="AC334" s="158" t="str">
        <f t="shared" ca="1" si="169"/>
        <v/>
      </c>
      <c r="AD334" s="104" t="str">
        <f ca="1">IF(C334&lt;=CRONO.NivelExibicao,MAX($AD$15:OFFSET(AD334,-1,0))+IF($C334&lt;&gt;1,1,MAX(1,COUNTIF(QCI!$A$13:$A$24,OFFSET($E334,-1,0)))),"")</f>
        <v/>
      </c>
      <c r="AE334" s="114" t="str">
        <f t="shared" ca="1" si="170"/>
        <v>SINAPI 89505</v>
      </c>
      <c r="AF334" s="159" t="str">
        <f t="shared" ca="1" si="171"/>
        <v>(abra o arquivo 'Referência 05-2024.xls)</v>
      </c>
      <c r="AG334" s="579">
        <f t="shared" ca="1" si="172"/>
        <v>0</v>
      </c>
      <c r="AH334" s="580">
        <f t="shared" ca="1" si="173"/>
        <v>0.22470000000000001</v>
      </c>
      <c r="AJ334" s="582">
        <v>36</v>
      </c>
      <c r="AL334" s="612"/>
      <c r="AM334" s="430">
        <f t="shared" ca="1" si="174"/>
        <v>0</v>
      </c>
      <c r="AN334" s="655">
        <f t="shared" ca="1" si="175"/>
        <v>0</v>
      </c>
    </row>
    <row r="335" spans="1:40" ht="13.8" x14ac:dyDescent="0.3">
      <c r="A335" t="str">
        <f t="shared" si="154"/>
        <v>S</v>
      </c>
      <c r="B335">
        <f t="shared" ca="1" si="155"/>
        <v>3</v>
      </c>
      <c r="C335" t="str">
        <f t="shared" ca="1" si="156"/>
        <v>S</v>
      </c>
      <c r="D335">
        <f t="shared" ca="1" si="157"/>
        <v>0</v>
      </c>
      <c r="E335">
        <f ca="1">IF($C335=1,OFFSET(E335,-1,0)+MAX(1,COUNTIF(QCI!$A$13:$A$24,OFFSET(ORÇAMENTO!E335,-1,0))),OFFSET(E335,-1,0))</f>
        <v>1</v>
      </c>
      <c r="F335">
        <f t="shared" ca="1" si="158"/>
        <v>12</v>
      </c>
      <c r="G335">
        <f t="shared" ca="1" si="159"/>
        <v>1</v>
      </c>
      <c r="H335">
        <f t="shared" ca="1" si="160"/>
        <v>0</v>
      </c>
      <c r="I335">
        <f t="shared" ca="1" si="161"/>
        <v>0</v>
      </c>
      <c r="J335">
        <f t="shared" ca="1" si="148"/>
        <v>0</v>
      </c>
      <c r="K335">
        <f ca="1">IF(OR($C335="S",$C335=0),0,MATCH(OFFSET($D335,0,$C335)+IF($C335&lt;&gt;1,1,COUNTIF(QCI!$A$13:$A$24,ORÇAMENTO!E335)),OFFSET($D335,1,$C335,ROW($C$710)-ROW($C335)),0))</f>
        <v>0</v>
      </c>
      <c r="L335" s="143" t="str">
        <f t="shared" ca="1" si="162"/>
        <v/>
      </c>
      <c r="M335" s="144" t="s">
        <v>201</v>
      </c>
      <c r="N335" s="145" t="str">
        <f t="shared" ca="1" si="163"/>
        <v>Serviço</v>
      </c>
      <c r="O335" s="146" t="str">
        <f t="shared" ca="1" si="164"/>
        <v>-</v>
      </c>
      <c r="P335" s="147" t="s">
        <v>249</v>
      </c>
      <c r="Q335" s="148">
        <v>89521</v>
      </c>
      <c r="R335" s="149" t="str">
        <f t="shared" ca="1" si="152"/>
        <v>(abra o arquivo 'Referência 05-2024.xls)</v>
      </c>
      <c r="S335" s="150" t="str">
        <f t="shared" ca="1" si="153"/>
        <v>-</v>
      </c>
      <c r="T335" s="151">
        <f ca="1">OFFSET(CÁLCULO!H$15,ROW($T335)-ROW(T$15),0)</f>
        <v>10</v>
      </c>
      <c r="U335" s="152">
        <f t="shared" ca="1" si="176"/>
        <v>0</v>
      </c>
      <c r="V335" s="153" t="s">
        <v>158</v>
      </c>
      <c r="W335" s="151">
        <f t="shared" ca="1" si="165"/>
        <v>0</v>
      </c>
      <c r="X335" s="154">
        <f t="shared" ca="1" si="166"/>
        <v>0</v>
      </c>
      <c r="Y335" s="155" t="s">
        <v>583</v>
      </c>
      <c r="Z335" t="str">
        <f t="shared" ca="1" si="167"/>
        <v/>
      </c>
      <c r="AA335" s="156">
        <f ca="1">IF($C335="S",IF($Z335="CP",$X335,IF($Z335="RA",(($X335)*QCI!$AA$3),0)),SomaAgrup)</f>
        <v>0</v>
      </c>
      <c r="AB335" s="157">
        <f t="shared" ca="1" si="168"/>
        <v>0</v>
      </c>
      <c r="AC335" s="158" t="str">
        <f t="shared" ca="1" si="169"/>
        <v/>
      </c>
      <c r="AD335" s="104" t="str">
        <f ca="1">IF(C335&lt;=CRONO.NivelExibicao,MAX($AD$15:OFFSET(AD335,-1,0))+IF($C335&lt;&gt;1,1,MAX(1,COUNTIF(QCI!$A$13:$A$24,OFFSET($E335,-1,0)))),"")</f>
        <v/>
      </c>
      <c r="AE335" s="114" t="str">
        <f t="shared" ca="1" si="170"/>
        <v>SINAPI 89521</v>
      </c>
      <c r="AF335" s="159" t="str">
        <f t="shared" ca="1" si="171"/>
        <v>(abra o arquivo 'Referência 05-2024.xls)</v>
      </c>
      <c r="AG335" s="579">
        <f t="shared" ca="1" si="172"/>
        <v>0</v>
      </c>
      <c r="AH335" s="580">
        <f t="shared" ca="1" si="173"/>
        <v>0.22470000000000001</v>
      </c>
      <c r="AJ335" s="582">
        <v>10</v>
      </c>
      <c r="AL335" s="612"/>
      <c r="AM335" s="430">
        <f t="shared" ca="1" si="174"/>
        <v>0</v>
      </c>
      <c r="AN335" s="655">
        <f t="shared" ca="1" si="175"/>
        <v>0</v>
      </c>
    </row>
    <row r="336" spans="1:40" ht="13.8" x14ac:dyDescent="0.3">
      <c r="A336" t="str">
        <f t="shared" si="154"/>
        <v>S</v>
      </c>
      <c r="B336">
        <f t="shared" ca="1" si="155"/>
        <v>3</v>
      </c>
      <c r="C336" t="str">
        <f t="shared" ca="1" si="156"/>
        <v>S</v>
      </c>
      <c r="D336">
        <f t="shared" ca="1" si="157"/>
        <v>0</v>
      </c>
      <c r="E336">
        <f ca="1">IF($C336=1,OFFSET(E336,-1,0)+MAX(1,COUNTIF(QCI!$A$13:$A$24,OFFSET(ORÇAMENTO!E336,-1,0))),OFFSET(E336,-1,0))</f>
        <v>1</v>
      </c>
      <c r="F336">
        <f t="shared" ca="1" si="158"/>
        <v>12</v>
      </c>
      <c r="G336">
        <f t="shared" ca="1" si="159"/>
        <v>1</v>
      </c>
      <c r="H336">
        <f t="shared" ca="1" si="160"/>
        <v>0</v>
      </c>
      <c r="I336">
        <f t="shared" ca="1" si="161"/>
        <v>0</v>
      </c>
      <c r="J336">
        <f t="shared" ref="J336:J399" ca="1" si="177">IF(OR($C336="S",$C336=0),0,MATCH(0,OFFSET($D336,1,$C336,ROW($C$710)-ROW($C336)),0))</f>
        <v>0</v>
      </c>
      <c r="K336">
        <f ca="1">IF(OR($C336="S",$C336=0),0,MATCH(OFFSET($D336,0,$C336)+IF($C336&lt;&gt;1,1,COUNTIF(QCI!$A$13:$A$24,ORÇAMENTO!E336)),OFFSET($D336,1,$C336,ROW($C$710)-ROW($C336)),0))</f>
        <v>0</v>
      </c>
      <c r="L336" s="143" t="str">
        <f t="shared" ca="1" si="162"/>
        <v/>
      </c>
      <c r="M336" s="144" t="s">
        <v>201</v>
      </c>
      <c r="N336" s="145" t="str">
        <f t="shared" ca="1" si="163"/>
        <v>Serviço</v>
      </c>
      <c r="O336" s="146" t="str">
        <f t="shared" ca="1" si="164"/>
        <v>-</v>
      </c>
      <c r="P336" s="147" t="s">
        <v>249</v>
      </c>
      <c r="Q336" s="148">
        <v>89366</v>
      </c>
      <c r="R336" s="149" t="str">
        <f t="shared" ca="1" si="152"/>
        <v>(abra o arquivo 'Referência 05-2024.xls)</v>
      </c>
      <c r="S336" s="150" t="str">
        <f t="shared" ca="1" si="153"/>
        <v>-</v>
      </c>
      <c r="T336" s="151">
        <f ca="1">OFFSET(CÁLCULO!H$15,ROW($T336)-ROW(T$15),0)</f>
        <v>10</v>
      </c>
      <c r="U336" s="152">
        <f t="shared" ca="1" si="176"/>
        <v>0</v>
      </c>
      <c r="V336" s="153" t="s">
        <v>158</v>
      </c>
      <c r="W336" s="151">
        <f t="shared" ca="1" si="165"/>
        <v>0</v>
      </c>
      <c r="X336" s="154">
        <f t="shared" ca="1" si="166"/>
        <v>0</v>
      </c>
      <c r="Y336" s="155" t="s">
        <v>583</v>
      </c>
      <c r="Z336" t="str">
        <f t="shared" ca="1" si="167"/>
        <v/>
      </c>
      <c r="AA336" s="156">
        <f ca="1">IF($C336="S",IF($Z336="CP",$X336,IF($Z336="RA",(($X336)*QCI!$AA$3),0)),SomaAgrup)</f>
        <v>0</v>
      </c>
      <c r="AB336" s="157">
        <f t="shared" ca="1" si="168"/>
        <v>0</v>
      </c>
      <c r="AC336" s="158" t="str">
        <f t="shared" ca="1" si="169"/>
        <v/>
      </c>
      <c r="AD336" s="104" t="str">
        <f ca="1">IF(C336&lt;=CRONO.NivelExibicao,MAX($AD$15:OFFSET(AD336,-1,0))+IF($C336&lt;&gt;1,1,MAX(1,COUNTIF(QCI!$A$13:$A$24,OFFSET($E336,-1,0)))),"")</f>
        <v/>
      </c>
      <c r="AE336" s="114" t="str">
        <f t="shared" ca="1" si="170"/>
        <v>SINAPI 89366</v>
      </c>
      <c r="AF336" s="159" t="str">
        <f t="shared" ca="1" si="171"/>
        <v>(abra o arquivo 'Referência 05-2024.xls)</v>
      </c>
      <c r="AG336" s="579">
        <f t="shared" ca="1" si="172"/>
        <v>0</v>
      </c>
      <c r="AH336" s="580">
        <f t="shared" ca="1" si="173"/>
        <v>0.22470000000000001</v>
      </c>
      <c r="AJ336" s="582">
        <v>10</v>
      </c>
      <c r="AL336" s="612"/>
      <c r="AM336" s="430">
        <f t="shared" ca="1" si="174"/>
        <v>0</v>
      </c>
      <c r="AN336" s="655">
        <f t="shared" ca="1" si="175"/>
        <v>0</v>
      </c>
    </row>
    <row r="337" spans="1:40" ht="13.8" x14ac:dyDescent="0.3">
      <c r="A337" t="str">
        <f t="shared" si="154"/>
        <v>S</v>
      </c>
      <c r="B337">
        <f t="shared" ca="1" si="155"/>
        <v>3</v>
      </c>
      <c r="C337" t="str">
        <f t="shared" ca="1" si="156"/>
        <v>S</v>
      </c>
      <c r="D337">
        <f t="shared" ca="1" si="157"/>
        <v>0</v>
      </c>
      <c r="E337">
        <f ca="1">IF($C337=1,OFFSET(E337,-1,0)+MAX(1,COUNTIF(QCI!$A$13:$A$24,OFFSET(ORÇAMENTO!E337,-1,0))),OFFSET(E337,-1,0))</f>
        <v>1</v>
      </c>
      <c r="F337">
        <f t="shared" ca="1" si="158"/>
        <v>12</v>
      </c>
      <c r="G337">
        <f t="shared" ca="1" si="159"/>
        <v>1</v>
      </c>
      <c r="H337">
        <f t="shared" ca="1" si="160"/>
        <v>0</v>
      </c>
      <c r="I337">
        <f t="shared" ca="1" si="161"/>
        <v>0</v>
      </c>
      <c r="J337">
        <f t="shared" ca="1" si="177"/>
        <v>0</v>
      </c>
      <c r="K337">
        <f ca="1">IF(OR($C337="S",$C337=0),0,MATCH(OFFSET($D337,0,$C337)+IF($C337&lt;&gt;1,1,COUNTIF(QCI!$A$13:$A$24,ORÇAMENTO!E337)),OFFSET($D337,1,$C337,ROW($C$710)-ROW($C337)),0))</f>
        <v>0</v>
      </c>
      <c r="L337" s="143" t="str">
        <f t="shared" ca="1" si="162"/>
        <v/>
      </c>
      <c r="M337" s="144" t="s">
        <v>201</v>
      </c>
      <c r="N337" s="145" t="str">
        <f t="shared" ca="1" si="163"/>
        <v>Serviço</v>
      </c>
      <c r="O337" s="146" t="str">
        <f t="shared" ca="1" si="164"/>
        <v>-</v>
      </c>
      <c r="P337" s="147" t="s">
        <v>249</v>
      </c>
      <c r="Q337" s="148">
        <v>90373</v>
      </c>
      <c r="R337" s="149" t="str">
        <f t="shared" ca="1" si="152"/>
        <v>(abra o arquivo 'Referência 05-2024.xls)</v>
      </c>
      <c r="S337" s="150" t="str">
        <f t="shared" ca="1" si="153"/>
        <v>-</v>
      </c>
      <c r="T337" s="151">
        <f ca="1">OFFSET(CÁLCULO!H$15,ROW($T337)-ROW(T$15),0)</f>
        <v>50</v>
      </c>
      <c r="U337" s="152">
        <f t="shared" ca="1" si="176"/>
        <v>0</v>
      </c>
      <c r="V337" s="153" t="s">
        <v>158</v>
      </c>
      <c r="W337" s="151">
        <f t="shared" ca="1" si="165"/>
        <v>0</v>
      </c>
      <c r="X337" s="154">
        <f t="shared" ca="1" si="166"/>
        <v>0</v>
      </c>
      <c r="Y337" s="155" t="s">
        <v>583</v>
      </c>
      <c r="Z337" t="str">
        <f t="shared" ca="1" si="167"/>
        <v/>
      </c>
      <c r="AA337" s="156">
        <f ca="1">IF($C337="S",IF($Z337="CP",$X337,IF($Z337="RA",(($X337)*QCI!$AA$3),0)),SomaAgrup)</f>
        <v>0</v>
      </c>
      <c r="AB337" s="157">
        <f t="shared" ca="1" si="168"/>
        <v>0</v>
      </c>
      <c r="AC337" s="158" t="str">
        <f t="shared" ca="1" si="169"/>
        <v/>
      </c>
      <c r="AD337" s="104" t="str">
        <f ca="1">IF(C337&lt;=CRONO.NivelExibicao,MAX($AD$15:OFFSET(AD337,-1,0))+IF($C337&lt;&gt;1,1,MAX(1,COUNTIF(QCI!$A$13:$A$24,OFFSET($E337,-1,0)))),"")</f>
        <v/>
      </c>
      <c r="AE337" s="114" t="str">
        <f t="shared" ca="1" si="170"/>
        <v>SINAPI 90373</v>
      </c>
      <c r="AF337" s="159" t="str">
        <f t="shared" ca="1" si="171"/>
        <v>(abra o arquivo 'Referência 05-2024.xls)</v>
      </c>
      <c r="AG337" s="579">
        <f t="shared" ca="1" si="172"/>
        <v>0</v>
      </c>
      <c r="AH337" s="580">
        <f t="shared" ca="1" si="173"/>
        <v>0.22470000000000001</v>
      </c>
      <c r="AJ337" s="582">
        <v>50</v>
      </c>
      <c r="AL337" s="612"/>
      <c r="AM337" s="430">
        <f t="shared" ca="1" si="174"/>
        <v>0</v>
      </c>
      <c r="AN337" s="655">
        <f t="shared" ca="1" si="175"/>
        <v>0</v>
      </c>
    </row>
    <row r="338" spans="1:40" ht="13.8" x14ac:dyDescent="0.3">
      <c r="A338" t="str">
        <f t="shared" si="154"/>
        <v>S</v>
      </c>
      <c r="B338">
        <f t="shared" ca="1" si="155"/>
        <v>3</v>
      </c>
      <c r="C338" t="str">
        <f t="shared" ca="1" si="156"/>
        <v>S</v>
      </c>
      <c r="D338">
        <f t="shared" ca="1" si="157"/>
        <v>0</v>
      </c>
      <c r="E338">
        <f ca="1">IF($C338=1,OFFSET(E338,-1,0)+MAX(1,COUNTIF(QCI!$A$13:$A$24,OFFSET(ORÇAMENTO!E338,-1,0))),OFFSET(E338,-1,0))</f>
        <v>1</v>
      </c>
      <c r="F338">
        <f t="shared" ca="1" si="158"/>
        <v>12</v>
      </c>
      <c r="G338">
        <f t="shared" ca="1" si="159"/>
        <v>1</v>
      </c>
      <c r="H338">
        <f t="shared" ca="1" si="160"/>
        <v>0</v>
      </c>
      <c r="I338">
        <f t="shared" ca="1" si="161"/>
        <v>0</v>
      </c>
      <c r="J338">
        <f t="shared" ca="1" si="177"/>
        <v>0</v>
      </c>
      <c r="K338">
        <f ca="1">IF(OR($C338="S",$C338=0),0,MATCH(OFFSET($D338,0,$C338)+IF($C338&lt;&gt;1,1,COUNTIF(QCI!$A$13:$A$24,ORÇAMENTO!E338)),OFFSET($D338,1,$C338,ROW($C$710)-ROW($C338)),0))</f>
        <v>0</v>
      </c>
      <c r="L338" s="143" t="str">
        <f t="shared" ca="1" si="162"/>
        <v/>
      </c>
      <c r="M338" s="144" t="s">
        <v>201</v>
      </c>
      <c r="N338" s="145" t="str">
        <f t="shared" ca="1" si="163"/>
        <v>Serviço</v>
      </c>
      <c r="O338" s="146" t="str">
        <f t="shared" ca="1" si="164"/>
        <v>-</v>
      </c>
      <c r="P338" s="147" t="s">
        <v>249</v>
      </c>
      <c r="Q338" s="148">
        <v>89440</v>
      </c>
      <c r="R338" s="149" t="str">
        <f t="shared" ca="1" si="152"/>
        <v>(abra o arquivo 'Referência 05-2024.xls)</v>
      </c>
      <c r="S338" s="150" t="str">
        <f t="shared" ca="1" si="153"/>
        <v>-</v>
      </c>
      <c r="T338" s="151">
        <f ca="1">OFFSET(CÁLCULO!H$15,ROW($T338)-ROW(T$15),0)</f>
        <v>22</v>
      </c>
      <c r="U338" s="152">
        <f t="shared" ca="1" si="176"/>
        <v>0</v>
      </c>
      <c r="V338" s="153" t="s">
        <v>158</v>
      </c>
      <c r="W338" s="151">
        <f t="shared" ca="1" si="165"/>
        <v>0</v>
      </c>
      <c r="X338" s="154">
        <f t="shared" ca="1" si="166"/>
        <v>0</v>
      </c>
      <c r="Y338" s="155" t="s">
        <v>583</v>
      </c>
      <c r="Z338" t="str">
        <f t="shared" ca="1" si="167"/>
        <v/>
      </c>
      <c r="AA338" s="156">
        <f ca="1">IF($C338="S",IF($Z338="CP",$X338,IF($Z338="RA",(($X338)*QCI!$AA$3),0)),SomaAgrup)</f>
        <v>0</v>
      </c>
      <c r="AB338" s="157">
        <f t="shared" ca="1" si="168"/>
        <v>0</v>
      </c>
      <c r="AC338" s="158" t="str">
        <f t="shared" ca="1" si="169"/>
        <v/>
      </c>
      <c r="AD338" s="104" t="str">
        <f ca="1">IF(C338&lt;=CRONO.NivelExibicao,MAX($AD$15:OFFSET(AD338,-1,0))+IF($C338&lt;&gt;1,1,MAX(1,COUNTIF(QCI!$A$13:$A$24,OFFSET($E338,-1,0)))),"")</f>
        <v/>
      </c>
      <c r="AE338" s="114" t="str">
        <f t="shared" ca="1" si="170"/>
        <v>SINAPI 89440</v>
      </c>
      <c r="AF338" s="159" t="str">
        <f t="shared" ca="1" si="171"/>
        <v>(abra o arquivo 'Referência 05-2024.xls)</v>
      </c>
      <c r="AG338" s="579">
        <f t="shared" ca="1" si="172"/>
        <v>0</v>
      </c>
      <c r="AH338" s="580">
        <f t="shared" ca="1" si="173"/>
        <v>0.22470000000000001</v>
      </c>
      <c r="AJ338" s="582">
        <v>22</v>
      </c>
      <c r="AL338" s="612"/>
      <c r="AM338" s="430">
        <f t="shared" ca="1" si="174"/>
        <v>0</v>
      </c>
      <c r="AN338" s="655">
        <f t="shared" ca="1" si="175"/>
        <v>0</v>
      </c>
    </row>
    <row r="339" spans="1:40" ht="13.8" x14ac:dyDescent="0.3">
      <c r="A339" t="str">
        <f t="shared" si="154"/>
        <v>S</v>
      </c>
      <c r="B339">
        <f t="shared" ca="1" si="155"/>
        <v>3</v>
      </c>
      <c r="C339" t="str">
        <f t="shared" ca="1" si="156"/>
        <v>S</v>
      </c>
      <c r="D339">
        <f t="shared" ca="1" si="157"/>
        <v>0</v>
      </c>
      <c r="E339">
        <f ca="1">IF($C339=1,OFFSET(E339,-1,0)+MAX(1,COUNTIF(QCI!$A$13:$A$24,OFFSET(ORÇAMENTO!E339,-1,0))),OFFSET(E339,-1,0))</f>
        <v>1</v>
      </c>
      <c r="F339">
        <f t="shared" ca="1" si="158"/>
        <v>12</v>
      </c>
      <c r="G339">
        <f t="shared" ca="1" si="159"/>
        <v>1</v>
      </c>
      <c r="H339">
        <f t="shared" ca="1" si="160"/>
        <v>0</v>
      </c>
      <c r="I339">
        <f t="shared" ca="1" si="161"/>
        <v>0</v>
      </c>
      <c r="J339">
        <f t="shared" ca="1" si="177"/>
        <v>0</v>
      </c>
      <c r="K339">
        <f ca="1">IF(OR($C339="S",$C339=0),0,MATCH(OFFSET($D339,0,$C339)+IF($C339&lt;&gt;1,1,COUNTIF(QCI!$A$13:$A$24,ORÇAMENTO!E339)),OFFSET($D339,1,$C339,ROW($C$710)-ROW($C339)),0))</f>
        <v>0</v>
      </c>
      <c r="L339" s="143" t="str">
        <f t="shared" ca="1" si="162"/>
        <v/>
      </c>
      <c r="M339" s="144" t="s">
        <v>201</v>
      </c>
      <c r="N339" s="145" t="str">
        <f t="shared" ca="1" si="163"/>
        <v>Serviço</v>
      </c>
      <c r="O339" s="146" t="str">
        <f t="shared" ca="1" si="164"/>
        <v>-</v>
      </c>
      <c r="P339" s="147" t="s">
        <v>249</v>
      </c>
      <c r="Q339" s="148">
        <v>89443</v>
      </c>
      <c r="R339" s="149" t="str">
        <f t="shared" ca="1" si="152"/>
        <v>(abra o arquivo 'Referência 05-2024.xls)</v>
      </c>
      <c r="S339" s="150" t="str">
        <f t="shared" ca="1" si="153"/>
        <v>-</v>
      </c>
      <c r="T339" s="151">
        <f ca="1">OFFSET(CÁLCULO!H$15,ROW($T339)-ROW(T$15),0)</f>
        <v>3</v>
      </c>
      <c r="U339" s="152">
        <f t="shared" ca="1" si="176"/>
        <v>0</v>
      </c>
      <c r="V339" s="153" t="s">
        <v>158</v>
      </c>
      <c r="W339" s="151">
        <f t="shared" ca="1" si="165"/>
        <v>0</v>
      </c>
      <c r="X339" s="154">
        <f t="shared" ca="1" si="166"/>
        <v>0</v>
      </c>
      <c r="Y339" s="155" t="s">
        <v>583</v>
      </c>
      <c r="Z339" t="str">
        <f t="shared" ca="1" si="167"/>
        <v/>
      </c>
      <c r="AA339" s="156">
        <f ca="1">IF($C339="S",IF($Z339="CP",$X339,IF($Z339="RA",(($X339)*QCI!$AA$3),0)),SomaAgrup)</f>
        <v>0</v>
      </c>
      <c r="AB339" s="157">
        <f t="shared" ca="1" si="168"/>
        <v>0</v>
      </c>
      <c r="AC339" s="158" t="str">
        <f t="shared" ca="1" si="169"/>
        <v/>
      </c>
      <c r="AD339" s="104" t="str">
        <f ca="1">IF(C339&lt;=CRONO.NivelExibicao,MAX($AD$15:OFFSET(AD339,-1,0))+IF($C339&lt;&gt;1,1,MAX(1,COUNTIF(QCI!$A$13:$A$24,OFFSET($E339,-1,0)))),"")</f>
        <v/>
      </c>
      <c r="AE339" s="114" t="str">
        <f t="shared" ca="1" si="170"/>
        <v>SINAPI 89443</v>
      </c>
      <c r="AF339" s="159" t="str">
        <f t="shared" ca="1" si="171"/>
        <v>(abra o arquivo 'Referência 05-2024.xls)</v>
      </c>
      <c r="AG339" s="579">
        <f t="shared" ca="1" si="172"/>
        <v>0</v>
      </c>
      <c r="AH339" s="580">
        <f t="shared" ca="1" si="173"/>
        <v>0.22470000000000001</v>
      </c>
      <c r="AJ339" s="582">
        <v>3</v>
      </c>
      <c r="AL339" s="612"/>
      <c r="AM339" s="430">
        <f t="shared" ca="1" si="174"/>
        <v>0</v>
      </c>
      <c r="AN339" s="655">
        <f t="shared" ca="1" si="175"/>
        <v>0</v>
      </c>
    </row>
    <row r="340" spans="1:40" ht="13.8" x14ac:dyDescent="0.3">
      <c r="A340" t="str">
        <f t="shared" si="154"/>
        <v>S</v>
      </c>
      <c r="B340">
        <f t="shared" ca="1" si="155"/>
        <v>3</v>
      </c>
      <c r="C340" t="str">
        <f t="shared" ca="1" si="156"/>
        <v>S</v>
      </c>
      <c r="D340">
        <f t="shared" ca="1" si="157"/>
        <v>0</v>
      </c>
      <c r="E340">
        <f ca="1">IF($C340=1,OFFSET(E340,-1,0)+MAX(1,COUNTIF(QCI!$A$13:$A$24,OFFSET(ORÇAMENTO!E340,-1,0))),OFFSET(E340,-1,0))</f>
        <v>1</v>
      </c>
      <c r="F340">
        <f t="shared" ca="1" si="158"/>
        <v>12</v>
      </c>
      <c r="G340">
        <f t="shared" ca="1" si="159"/>
        <v>1</v>
      </c>
      <c r="H340">
        <f t="shared" ca="1" si="160"/>
        <v>0</v>
      </c>
      <c r="I340">
        <f t="shared" ca="1" si="161"/>
        <v>0</v>
      </c>
      <c r="J340">
        <f t="shared" ca="1" si="177"/>
        <v>0</v>
      </c>
      <c r="K340">
        <f ca="1">IF(OR($C340="S",$C340=0),0,MATCH(OFFSET($D340,0,$C340)+IF($C340&lt;&gt;1,1,COUNTIF(QCI!$A$13:$A$24,ORÇAMENTO!E340)),OFFSET($D340,1,$C340,ROW($C$710)-ROW($C340)),0))</f>
        <v>0</v>
      </c>
      <c r="L340" s="143" t="str">
        <f t="shared" ca="1" si="162"/>
        <v/>
      </c>
      <c r="M340" s="144" t="s">
        <v>201</v>
      </c>
      <c r="N340" s="145" t="str">
        <f t="shared" ca="1" si="163"/>
        <v>Serviço</v>
      </c>
      <c r="O340" s="146" t="str">
        <f t="shared" ca="1" si="164"/>
        <v>-</v>
      </c>
      <c r="P340" s="147" t="s">
        <v>249</v>
      </c>
      <c r="Q340" s="148">
        <v>89625</v>
      </c>
      <c r="R340" s="149" t="str">
        <f t="shared" ca="1" si="152"/>
        <v>(abra o arquivo 'Referência 05-2024.xls)</v>
      </c>
      <c r="S340" s="150" t="str">
        <f t="shared" ca="1" si="153"/>
        <v>-</v>
      </c>
      <c r="T340" s="151">
        <f ca="1">OFFSET(CÁLCULO!H$15,ROW($T340)-ROW(T$15),0)</f>
        <v>16</v>
      </c>
      <c r="U340" s="152">
        <f t="shared" ca="1" si="176"/>
        <v>0</v>
      </c>
      <c r="V340" s="153" t="s">
        <v>158</v>
      </c>
      <c r="W340" s="151">
        <f t="shared" ca="1" si="165"/>
        <v>0</v>
      </c>
      <c r="X340" s="154">
        <f t="shared" ca="1" si="166"/>
        <v>0</v>
      </c>
      <c r="Y340" s="155" t="s">
        <v>583</v>
      </c>
      <c r="Z340" t="str">
        <f t="shared" ca="1" si="167"/>
        <v/>
      </c>
      <c r="AA340" s="156">
        <f ca="1">IF($C340="S",IF($Z340="CP",$X340,IF($Z340="RA",(($X340)*QCI!$AA$3),0)),SomaAgrup)</f>
        <v>0</v>
      </c>
      <c r="AB340" s="157">
        <f t="shared" ca="1" si="168"/>
        <v>0</v>
      </c>
      <c r="AC340" s="158" t="str">
        <f t="shared" ca="1" si="169"/>
        <v/>
      </c>
      <c r="AD340" s="104" t="str">
        <f ca="1">IF(C340&lt;=CRONO.NivelExibicao,MAX($AD$15:OFFSET(AD340,-1,0))+IF($C340&lt;&gt;1,1,MAX(1,COUNTIF(QCI!$A$13:$A$24,OFFSET($E340,-1,0)))),"")</f>
        <v/>
      </c>
      <c r="AE340" s="114" t="str">
        <f t="shared" ca="1" si="170"/>
        <v>SINAPI 89625</v>
      </c>
      <c r="AF340" s="159" t="str">
        <f t="shared" ca="1" si="171"/>
        <v>(abra o arquivo 'Referência 05-2024.xls)</v>
      </c>
      <c r="AG340" s="579">
        <f t="shared" ca="1" si="172"/>
        <v>0</v>
      </c>
      <c r="AH340" s="580">
        <f t="shared" ca="1" si="173"/>
        <v>0.22470000000000001</v>
      </c>
      <c r="AJ340" s="582">
        <v>16</v>
      </c>
      <c r="AL340" s="612"/>
      <c r="AM340" s="430">
        <f t="shared" ca="1" si="174"/>
        <v>0</v>
      </c>
      <c r="AN340" s="655">
        <f t="shared" ca="1" si="175"/>
        <v>0</v>
      </c>
    </row>
    <row r="341" spans="1:40" ht="13.8" x14ac:dyDescent="0.3">
      <c r="A341" t="str">
        <f t="shared" si="154"/>
        <v>S</v>
      </c>
      <c r="B341">
        <f t="shared" ca="1" si="155"/>
        <v>3</v>
      </c>
      <c r="C341" t="str">
        <f t="shared" ca="1" si="156"/>
        <v>S</v>
      </c>
      <c r="D341">
        <f t="shared" ca="1" si="157"/>
        <v>0</v>
      </c>
      <c r="E341">
        <f ca="1">IF($C341=1,OFFSET(E341,-1,0)+MAX(1,COUNTIF(QCI!$A$13:$A$24,OFFSET(ORÇAMENTO!E341,-1,0))),OFFSET(E341,-1,0))</f>
        <v>1</v>
      </c>
      <c r="F341">
        <f t="shared" ca="1" si="158"/>
        <v>12</v>
      </c>
      <c r="G341">
        <f t="shared" ca="1" si="159"/>
        <v>1</v>
      </c>
      <c r="H341">
        <f t="shared" ca="1" si="160"/>
        <v>0</v>
      </c>
      <c r="I341">
        <f t="shared" ca="1" si="161"/>
        <v>0</v>
      </c>
      <c r="J341">
        <f t="shared" ca="1" si="177"/>
        <v>0</v>
      </c>
      <c r="K341">
        <f ca="1">IF(OR($C341="S",$C341=0),0,MATCH(OFFSET($D341,0,$C341)+IF($C341&lt;&gt;1,1,COUNTIF(QCI!$A$13:$A$24,ORÇAMENTO!E341)),OFFSET($D341,1,$C341,ROW($C$710)-ROW($C341)),0))</f>
        <v>0</v>
      </c>
      <c r="L341" s="143" t="str">
        <f t="shared" ca="1" si="162"/>
        <v/>
      </c>
      <c r="M341" s="144" t="s">
        <v>201</v>
      </c>
      <c r="N341" s="145" t="str">
        <f t="shared" ca="1" si="163"/>
        <v>Serviço</v>
      </c>
      <c r="O341" s="146" t="str">
        <f t="shared" ca="1" si="164"/>
        <v>-</v>
      </c>
      <c r="P341" s="147" t="s">
        <v>249</v>
      </c>
      <c r="Q341" s="148">
        <v>89628</v>
      </c>
      <c r="R341" s="149" t="str">
        <f t="shared" ca="1" si="152"/>
        <v>(abra o arquivo 'Referência 05-2024.xls)</v>
      </c>
      <c r="S341" s="150" t="str">
        <f t="shared" ca="1" si="153"/>
        <v>-</v>
      </c>
      <c r="T341" s="151">
        <f ca="1">OFFSET(CÁLCULO!H$15,ROW($T341)-ROW(T$15),0)</f>
        <v>14</v>
      </c>
      <c r="U341" s="152">
        <f t="shared" ca="1" si="176"/>
        <v>0</v>
      </c>
      <c r="V341" s="153" t="s">
        <v>158</v>
      </c>
      <c r="W341" s="151">
        <f t="shared" ca="1" si="165"/>
        <v>0</v>
      </c>
      <c r="X341" s="154">
        <f t="shared" ca="1" si="166"/>
        <v>0</v>
      </c>
      <c r="Y341" s="155" t="s">
        <v>583</v>
      </c>
      <c r="Z341" t="str">
        <f t="shared" ca="1" si="167"/>
        <v/>
      </c>
      <c r="AA341" s="156">
        <f ca="1">IF($C341="S",IF($Z341="CP",$X341,IF($Z341="RA",(($X341)*QCI!$AA$3),0)),SomaAgrup)</f>
        <v>0</v>
      </c>
      <c r="AB341" s="157">
        <f t="shared" ca="1" si="168"/>
        <v>0</v>
      </c>
      <c r="AC341" s="158" t="str">
        <f t="shared" ca="1" si="169"/>
        <v/>
      </c>
      <c r="AD341" s="104" t="str">
        <f ca="1">IF(C341&lt;=CRONO.NivelExibicao,MAX($AD$15:OFFSET(AD341,-1,0))+IF($C341&lt;&gt;1,1,MAX(1,COUNTIF(QCI!$A$13:$A$24,OFFSET($E341,-1,0)))),"")</f>
        <v/>
      </c>
      <c r="AE341" s="114" t="str">
        <f t="shared" ca="1" si="170"/>
        <v>SINAPI 89628</v>
      </c>
      <c r="AF341" s="159" t="str">
        <f t="shared" ca="1" si="171"/>
        <v>(abra o arquivo 'Referência 05-2024.xls)</v>
      </c>
      <c r="AG341" s="579">
        <f t="shared" ca="1" si="172"/>
        <v>0</v>
      </c>
      <c r="AH341" s="580">
        <f t="shared" ca="1" si="173"/>
        <v>0.22470000000000001</v>
      </c>
      <c r="AJ341" s="582">
        <v>14</v>
      </c>
      <c r="AL341" s="612"/>
      <c r="AM341" s="430">
        <f t="shared" ca="1" si="174"/>
        <v>0</v>
      </c>
      <c r="AN341" s="655">
        <f t="shared" ca="1" si="175"/>
        <v>0</v>
      </c>
    </row>
    <row r="342" spans="1:40" ht="13.8" x14ac:dyDescent="0.3">
      <c r="A342" t="str">
        <f t="shared" si="154"/>
        <v>S</v>
      </c>
      <c r="B342">
        <f t="shared" ca="1" si="155"/>
        <v>3</v>
      </c>
      <c r="C342" t="str">
        <f t="shared" ca="1" si="156"/>
        <v>S</v>
      </c>
      <c r="D342">
        <f t="shared" ca="1" si="157"/>
        <v>0</v>
      </c>
      <c r="E342">
        <f ca="1">IF($C342=1,OFFSET(E342,-1,0)+MAX(1,COUNTIF(QCI!$A$13:$A$24,OFFSET(ORÇAMENTO!E342,-1,0))),OFFSET(E342,-1,0))</f>
        <v>1</v>
      </c>
      <c r="F342">
        <f t="shared" ca="1" si="158"/>
        <v>12</v>
      </c>
      <c r="G342">
        <f t="shared" ca="1" si="159"/>
        <v>1</v>
      </c>
      <c r="H342">
        <f t="shared" ca="1" si="160"/>
        <v>0</v>
      </c>
      <c r="I342">
        <f t="shared" ca="1" si="161"/>
        <v>0</v>
      </c>
      <c r="J342">
        <f t="shared" ca="1" si="177"/>
        <v>0</v>
      </c>
      <c r="K342">
        <f ca="1">IF(OR($C342="S",$C342=0),0,MATCH(OFFSET($D342,0,$C342)+IF($C342&lt;&gt;1,1,COUNTIF(QCI!$A$13:$A$24,ORÇAMENTO!E342)),OFFSET($D342,1,$C342,ROW($C$710)-ROW($C342)),0))</f>
        <v>0</v>
      </c>
      <c r="L342" s="143" t="str">
        <f t="shared" ca="1" si="162"/>
        <v/>
      </c>
      <c r="M342" s="144" t="s">
        <v>201</v>
      </c>
      <c r="N342" s="145" t="str">
        <f t="shared" ca="1" si="163"/>
        <v>Serviço</v>
      </c>
      <c r="O342" s="146" t="str">
        <f t="shared" ca="1" si="164"/>
        <v>-</v>
      </c>
      <c r="P342" s="147" t="s">
        <v>249</v>
      </c>
      <c r="Q342" s="148">
        <v>89629</v>
      </c>
      <c r="R342" s="149" t="str">
        <f t="shared" ca="1" si="152"/>
        <v>(abra o arquivo 'Referência 05-2024.xls)</v>
      </c>
      <c r="S342" s="150" t="str">
        <f t="shared" ca="1" si="153"/>
        <v>-</v>
      </c>
      <c r="T342" s="151">
        <f ca="1">OFFSET(CÁLCULO!H$15,ROW($T342)-ROW(T$15),0)</f>
        <v>1</v>
      </c>
      <c r="U342" s="152">
        <f t="shared" ca="1" si="176"/>
        <v>0</v>
      </c>
      <c r="V342" s="153" t="s">
        <v>158</v>
      </c>
      <c r="W342" s="151">
        <f t="shared" ca="1" si="165"/>
        <v>0</v>
      </c>
      <c r="X342" s="154">
        <f t="shared" ca="1" si="166"/>
        <v>0</v>
      </c>
      <c r="Y342" s="155" t="s">
        <v>583</v>
      </c>
      <c r="Z342" t="str">
        <f t="shared" ca="1" si="167"/>
        <v/>
      </c>
      <c r="AA342" s="156">
        <f ca="1">IF($C342="S",IF($Z342="CP",$X342,IF($Z342="RA",(($X342)*QCI!$AA$3),0)),SomaAgrup)</f>
        <v>0</v>
      </c>
      <c r="AB342" s="157">
        <f t="shared" ca="1" si="168"/>
        <v>0</v>
      </c>
      <c r="AC342" s="158" t="str">
        <f t="shared" ca="1" si="169"/>
        <v/>
      </c>
      <c r="AD342" s="104" t="str">
        <f ca="1">IF(C342&lt;=CRONO.NivelExibicao,MAX($AD$15:OFFSET(AD342,-1,0))+IF($C342&lt;&gt;1,1,MAX(1,COUNTIF(QCI!$A$13:$A$24,OFFSET($E342,-1,0)))),"")</f>
        <v/>
      </c>
      <c r="AE342" s="114" t="str">
        <f t="shared" ca="1" si="170"/>
        <v>SINAPI 89629</v>
      </c>
      <c r="AF342" s="159" t="str">
        <f t="shared" ca="1" si="171"/>
        <v>(abra o arquivo 'Referência 05-2024.xls)</v>
      </c>
      <c r="AG342" s="579">
        <f t="shared" ca="1" si="172"/>
        <v>0</v>
      </c>
      <c r="AH342" s="580">
        <f t="shared" ca="1" si="173"/>
        <v>0.22470000000000001</v>
      </c>
      <c r="AJ342" s="582">
        <v>1</v>
      </c>
      <c r="AL342" s="612"/>
      <c r="AM342" s="430">
        <f t="shared" ca="1" si="174"/>
        <v>0</v>
      </c>
      <c r="AN342" s="655">
        <f t="shared" ca="1" si="175"/>
        <v>0</v>
      </c>
    </row>
    <row r="343" spans="1:40" ht="13.8" x14ac:dyDescent="0.3">
      <c r="A343" t="str">
        <f t="shared" si="154"/>
        <v>S</v>
      </c>
      <c r="B343">
        <f t="shared" ca="1" si="155"/>
        <v>3</v>
      </c>
      <c r="C343" t="str">
        <f t="shared" ca="1" si="156"/>
        <v>S</v>
      </c>
      <c r="D343">
        <f t="shared" ca="1" si="157"/>
        <v>0</v>
      </c>
      <c r="E343">
        <f ca="1">IF($C343=1,OFFSET(E343,-1,0)+MAX(1,COUNTIF(QCI!$A$13:$A$24,OFFSET(ORÇAMENTO!E343,-1,0))),OFFSET(E343,-1,0))</f>
        <v>1</v>
      </c>
      <c r="F343">
        <f t="shared" ca="1" si="158"/>
        <v>12</v>
      </c>
      <c r="G343">
        <f t="shared" ca="1" si="159"/>
        <v>1</v>
      </c>
      <c r="H343">
        <f t="shared" ca="1" si="160"/>
        <v>0</v>
      </c>
      <c r="I343">
        <f t="shared" ca="1" si="161"/>
        <v>0</v>
      </c>
      <c r="J343">
        <f t="shared" ca="1" si="177"/>
        <v>0</v>
      </c>
      <c r="K343">
        <f ca="1">IF(OR($C343="S",$C343=0),0,MATCH(OFFSET($D343,0,$C343)+IF($C343&lt;&gt;1,1,COUNTIF(QCI!$A$13:$A$24,ORÇAMENTO!E343)),OFFSET($D343,1,$C343,ROW($C$710)-ROW($C343)),0))</f>
        <v>0</v>
      </c>
      <c r="L343" s="143" t="str">
        <f t="shared" ca="1" si="162"/>
        <v/>
      </c>
      <c r="M343" s="144" t="s">
        <v>201</v>
      </c>
      <c r="N343" s="145" t="str">
        <f t="shared" ca="1" si="163"/>
        <v>Serviço</v>
      </c>
      <c r="O343" s="146" t="str">
        <f t="shared" ca="1" si="164"/>
        <v>-</v>
      </c>
      <c r="P343" s="147" t="s">
        <v>249</v>
      </c>
      <c r="Q343" s="148">
        <v>89622</v>
      </c>
      <c r="R343" s="149" t="str">
        <f t="shared" ca="1" si="152"/>
        <v>(abra o arquivo 'Referência 05-2024.xls)</v>
      </c>
      <c r="S343" s="150" t="str">
        <f t="shared" ca="1" si="153"/>
        <v>-</v>
      </c>
      <c r="T343" s="151">
        <f ca="1">OFFSET(CÁLCULO!H$15,ROW($T343)-ROW(T$15),0)</f>
        <v>3</v>
      </c>
      <c r="U343" s="152">
        <f t="shared" ca="1" si="176"/>
        <v>0</v>
      </c>
      <c r="V343" s="153" t="s">
        <v>158</v>
      </c>
      <c r="W343" s="151">
        <f t="shared" ca="1" si="165"/>
        <v>0</v>
      </c>
      <c r="X343" s="154">
        <f t="shared" ca="1" si="166"/>
        <v>0</v>
      </c>
      <c r="Y343" s="155" t="s">
        <v>583</v>
      </c>
      <c r="Z343" t="str">
        <f t="shared" ca="1" si="167"/>
        <v/>
      </c>
      <c r="AA343" s="156">
        <f ca="1">IF($C343="S",IF($Z343="CP",$X343,IF($Z343="RA",(($X343)*QCI!$AA$3),0)),SomaAgrup)</f>
        <v>0</v>
      </c>
      <c r="AB343" s="157">
        <f t="shared" ca="1" si="168"/>
        <v>0</v>
      </c>
      <c r="AC343" s="158" t="str">
        <f t="shared" ca="1" si="169"/>
        <v/>
      </c>
      <c r="AD343" s="104" t="str">
        <f ca="1">IF(C343&lt;=CRONO.NivelExibicao,MAX($AD$15:OFFSET(AD343,-1,0))+IF($C343&lt;&gt;1,1,MAX(1,COUNTIF(QCI!$A$13:$A$24,OFFSET($E343,-1,0)))),"")</f>
        <v/>
      </c>
      <c r="AE343" s="114" t="str">
        <f t="shared" ca="1" si="170"/>
        <v>SINAPI 89622</v>
      </c>
      <c r="AF343" s="159" t="str">
        <f t="shared" ca="1" si="171"/>
        <v>(abra o arquivo 'Referência 05-2024.xls)</v>
      </c>
      <c r="AG343" s="579">
        <f t="shared" ca="1" si="172"/>
        <v>0</v>
      </c>
      <c r="AH343" s="580">
        <f t="shared" ca="1" si="173"/>
        <v>0.22470000000000001</v>
      </c>
      <c r="AJ343" s="582">
        <v>3</v>
      </c>
      <c r="AL343" s="612"/>
      <c r="AM343" s="430">
        <f t="shared" ca="1" si="174"/>
        <v>0</v>
      </c>
      <c r="AN343" s="655">
        <f t="shared" ca="1" si="175"/>
        <v>0</v>
      </c>
    </row>
    <row r="344" spans="1:40" ht="13.8" x14ac:dyDescent="0.3">
      <c r="A344" t="str">
        <f t="shared" si="154"/>
        <v>S</v>
      </c>
      <c r="B344">
        <f t="shared" ca="1" si="155"/>
        <v>3</v>
      </c>
      <c r="C344" t="str">
        <f t="shared" ca="1" si="156"/>
        <v>S</v>
      </c>
      <c r="D344">
        <f t="shared" ca="1" si="157"/>
        <v>0</v>
      </c>
      <c r="E344">
        <f ca="1">IF($C344=1,OFFSET(E344,-1,0)+MAX(1,COUNTIF(QCI!$A$13:$A$24,OFFSET(ORÇAMENTO!E344,-1,0))),OFFSET(E344,-1,0))</f>
        <v>1</v>
      </c>
      <c r="F344">
        <f t="shared" ca="1" si="158"/>
        <v>12</v>
      </c>
      <c r="G344">
        <f t="shared" ca="1" si="159"/>
        <v>1</v>
      </c>
      <c r="H344">
        <f t="shared" ca="1" si="160"/>
        <v>0</v>
      </c>
      <c r="I344">
        <f t="shared" ca="1" si="161"/>
        <v>0</v>
      </c>
      <c r="J344">
        <f t="shared" ca="1" si="177"/>
        <v>0</v>
      </c>
      <c r="K344">
        <f ca="1">IF(OR($C344="S",$C344=0),0,MATCH(OFFSET($D344,0,$C344)+IF($C344&lt;&gt;1,1,COUNTIF(QCI!$A$13:$A$24,ORÇAMENTO!E344)),OFFSET($D344,1,$C344,ROW($C$710)-ROW($C344)),0))</f>
        <v>0</v>
      </c>
      <c r="L344" s="143" t="str">
        <f t="shared" ca="1" si="162"/>
        <v/>
      </c>
      <c r="M344" s="144" t="s">
        <v>201</v>
      </c>
      <c r="N344" s="145" t="str">
        <f t="shared" ca="1" si="163"/>
        <v>Serviço</v>
      </c>
      <c r="O344" s="146" t="str">
        <f t="shared" ca="1" si="164"/>
        <v>-</v>
      </c>
      <c r="P344" s="147" t="s">
        <v>249</v>
      </c>
      <c r="Q344" s="148">
        <v>89627</v>
      </c>
      <c r="R344" s="149" t="str">
        <f t="shared" ca="1" si="152"/>
        <v>(abra o arquivo 'Referência 05-2024.xls)</v>
      </c>
      <c r="S344" s="150" t="str">
        <f t="shared" ca="1" si="153"/>
        <v>-</v>
      </c>
      <c r="T344" s="151">
        <f ca="1">OFFSET(CÁLCULO!H$15,ROW($T344)-ROW(T$15),0)</f>
        <v>13</v>
      </c>
      <c r="U344" s="152">
        <f t="shared" ca="1" si="176"/>
        <v>0</v>
      </c>
      <c r="V344" s="153" t="s">
        <v>158</v>
      </c>
      <c r="W344" s="151">
        <f t="shared" ca="1" si="165"/>
        <v>0</v>
      </c>
      <c r="X344" s="154">
        <f t="shared" ca="1" si="166"/>
        <v>0</v>
      </c>
      <c r="Y344" s="155" t="s">
        <v>583</v>
      </c>
      <c r="Z344" t="str">
        <f t="shared" ca="1" si="167"/>
        <v/>
      </c>
      <c r="AA344" s="156">
        <f ca="1">IF($C344="S",IF($Z344="CP",$X344,IF($Z344="RA",(($X344)*QCI!$AA$3),0)),SomaAgrup)</f>
        <v>0</v>
      </c>
      <c r="AB344" s="157">
        <f t="shared" ca="1" si="168"/>
        <v>0</v>
      </c>
      <c r="AC344" s="158" t="str">
        <f t="shared" ca="1" si="169"/>
        <v/>
      </c>
      <c r="AD344" s="104" t="str">
        <f ca="1">IF(C344&lt;=CRONO.NivelExibicao,MAX($AD$15:OFFSET(AD344,-1,0))+IF($C344&lt;&gt;1,1,MAX(1,COUNTIF(QCI!$A$13:$A$24,OFFSET($E344,-1,0)))),"")</f>
        <v/>
      </c>
      <c r="AE344" s="114" t="str">
        <f t="shared" ca="1" si="170"/>
        <v>SINAPI 89627</v>
      </c>
      <c r="AF344" s="159" t="str">
        <f t="shared" ca="1" si="171"/>
        <v>(abra o arquivo 'Referência 05-2024.xls)</v>
      </c>
      <c r="AG344" s="579">
        <f t="shared" ca="1" si="172"/>
        <v>0</v>
      </c>
      <c r="AH344" s="580">
        <f t="shared" ca="1" si="173"/>
        <v>0.22470000000000001</v>
      </c>
      <c r="AJ344" s="582">
        <v>13</v>
      </c>
      <c r="AL344" s="612"/>
      <c r="AM344" s="430">
        <f t="shared" ca="1" si="174"/>
        <v>0</v>
      </c>
      <c r="AN344" s="655">
        <f t="shared" ca="1" si="175"/>
        <v>0</v>
      </c>
    </row>
    <row r="345" spans="1:40" ht="13.8" x14ac:dyDescent="0.3">
      <c r="A345" t="str">
        <f t="shared" si="154"/>
        <v>S</v>
      </c>
      <c r="B345">
        <f t="shared" ca="1" si="155"/>
        <v>3</v>
      </c>
      <c r="C345" t="str">
        <f t="shared" ca="1" si="156"/>
        <v>S</v>
      </c>
      <c r="D345">
        <f t="shared" ca="1" si="157"/>
        <v>0</v>
      </c>
      <c r="E345">
        <f ca="1">IF($C345=1,OFFSET(E345,-1,0)+MAX(1,COUNTIF(QCI!$A$13:$A$24,OFFSET(ORÇAMENTO!E345,-1,0))),OFFSET(E345,-1,0))</f>
        <v>1</v>
      </c>
      <c r="F345">
        <f t="shared" ca="1" si="158"/>
        <v>12</v>
      </c>
      <c r="G345">
        <f t="shared" ca="1" si="159"/>
        <v>1</v>
      </c>
      <c r="H345">
        <f t="shared" ca="1" si="160"/>
        <v>0</v>
      </c>
      <c r="I345">
        <f t="shared" ca="1" si="161"/>
        <v>0</v>
      </c>
      <c r="J345">
        <f t="shared" ca="1" si="177"/>
        <v>0</v>
      </c>
      <c r="K345">
        <f ca="1">IF(OR($C345="S",$C345=0),0,MATCH(OFFSET($D345,0,$C345)+IF($C345&lt;&gt;1,1,COUNTIF(QCI!$A$13:$A$24,ORÇAMENTO!E345)),OFFSET($D345,1,$C345,ROW($C$710)-ROW($C345)),0))</f>
        <v>0</v>
      </c>
      <c r="L345" s="143" t="str">
        <f t="shared" ca="1" si="162"/>
        <v/>
      </c>
      <c r="M345" s="144" t="s">
        <v>201</v>
      </c>
      <c r="N345" s="145" t="str">
        <f t="shared" ca="1" si="163"/>
        <v>Serviço</v>
      </c>
      <c r="O345" s="146" t="str">
        <f t="shared" ca="1" si="164"/>
        <v>-</v>
      </c>
      <c r="P345" s="147" t="s">
        <v>249</v>
      </c>
      <c r="Q345" s="148">
        <v>89630</v>
      </c>
      <c r="R345" s="149" t="str">
        <f t="shared" ca="1" si="152"/>
        <v>(abra o arquivo 'Referência 05-2024.xls)</v>
      </c>
      <c r="S345" s="150" t="str">
        <f t="shared" ca="1" si="153"/>
        <v>-</v>
      </c>
      <c r="T345" s="151">
        <f ca="1">OFFSET(CÁLCULO!H$15,ROW($T345)-ROW(T$15),0)</f>
        <v>1</v>
      </c>
      <c r="U345" s="152">
        <f t="shared" ca="1" si="176"/>
        <v>0</v>
      </c>
      <c r="V345" s="153" t="s">
        <v>158</v>
      </c>
      <c r="W345" s="151">
        <f t="shared" ca="1" si="165"/>
        <v>0</v>
      </c>
      <c r="X345" s="154">
        <f t="shared" ca="1" si="166"/>
        <v>0</v>
      </c>
      <c r="Y345" s="155" t="s">
        <v>583</v>
      </c>
      <c r="Z345" t="str">
        <f t="shared" ca="1" si="167"/>
        <v/>
      </c>
      <c r="AA345" s="156">
        <f ca="1">IF($C345="S",IF($Z345="CP",$X345,IF($Z345="RA",(($X345)*QCI!$AA$3),0)),SomaAgrup)</f>
        <v>0</v>
      </c>
      <c r="AB345" s="157">
        <f t="shared" ca="1" si="168"/>
        <v>0</v>
      </c>
      <c r="AC345" s="158" t="str">
        <f t="shared" ca="1" si="169"/>
        <v/>
      </c>
      <c r="AD345" s="104" t="str">
        <f ca="1">IF(C345&lt;=CRONO.NivelExibicao,MAX($AD$15:OFFSET(AD345,-1,0))+IF($C345&lt;&gt;1,1,MAX(1,COUNTIF(QCI!$A$13:$A$24,OFFSET($E345,-1,0)))),"")</f>
        <v/>
      </c>
      <c r="AE345" s="114" t="str">
        <f t="shared" ca="1" si="170"/>
        <v>SINAPI 89630</v>
      </c>
      <c r="AF345" s="159" t="str">
        <f t="shared" ca="1" si="171"/>
        <v>(abra o arquivo 'Referência 05-2024.xls)</v>
      </c>
      <c r="AG345" s="579">
        <f t="shared" ca="1" si="172"/>
        <v>0</v>
      </c>
      <c r="AH345" s="580">
        <f t="shared" ca="1" si="173"/>
        <v>0.22470000000000001</v>
      </c>
      <c r="AJ345" s="582">
        <v>1</v>
      </c>
      <c r="AL345" s="612"/>
      <c r="AM345" s="430">
        <f t="shared" ca="1" si="174"/>
        <v>0</v>
      </c>
      <c r="AN345" s="655">
        <f t="shared" ca="1" si="175"/>
        <v>0</v>
      </c>
    </row>
    <row r="346" spans="1:40" ht="13.8" x14ac:dyDescent="0.3">
      <c r="A346" t="str">
        <f t="shared" si="154"/>
        <v>S</v>
      </c>
      <c r="B346">
        <f t="shared" ca="1" si="155"/>
        <v>3</v>
      </c>
      <c r="C346" t="str">
        <f t="shared" ca="1" si="156"/>
        <v>S</v>
      </c>
      <c r="D346">
        <f t="shared" ca="1" si="157"/>
        <v>0</v>
      </c>
      <c r="E346">
        <f ca="1">IF($C346=1,OFFSET(E346,-1,0)+MAX(1,COUNTIF(QCI!$A$13:$A$24,OFFSET(ORÇAMENTO!E346,-1,0))),OFFSET(E346,-1,0))</f>
        <v>1</v>
      </c>
      <c r="F346">
        <f t="shared" ca="1" si="158"/>
        <v>12</v>
      </c>
      <c r="G346">
        <f t="shared" ca="1" si="159"/>
        <v>1</v>
      </c>
      <c r="H346">
        <f t="shared" ca="1" si="160"/>
        <v>0</v>
      </c>
      <c r="I346">
        <f t="shared" ca="1" si="161"/>
        <v>0</v>
      </c>
      <c r="J346">
        <f t="shared" ca="1" si="177"/>
        <v>0</v>
      </c>
      <c r="K346">
        <f ca="1">IF(OR($C346="S",$C346=0),0,MATCH(OFFSET($D346,0,$C346)+IF($C346&lt;&gt;1,1,COUNTIF(QCI!$A$13:$A$24,ORÇAMENTO!E346)),OFFSET($D346,1,$C346,ROW($C$710)-ROW($C346)),0))</f>
        <v>0</v>
      </c>
      <c r="L346" s="143" t="str">
        <f t="shared" ca="1" si="162"/>
        <v/>
      </c>
      <c r="M346" s="144" t="s">
        <v>201</v>
      </c>
      <c r="N346" s="145" t="str">
        <f t="shared" ca="1" si="163"/>
        <v>Serviço</v>
      </c>
      <c r="O346" s="146" t="str">
        <f t="shared" ca="1" si="164"/>
        <v>-</v>
      </c>
      <c r="P346" s="147" t="s">
        <v>249</v>
      </c>
      <c r="Q346" s="148">
        <v>89630</v>
      </c>
      <c r="R346" s="149" t="str">
        <f t="shared" ca="1" si="152"/>
        <v>(abra o arquivo 'Referência 05-2024.xls)</v>
      </c>
      <c r="S346" s="150" t="str">
        <f t="shared" ca="1" si="153"/>
        <v>-</v>
      </c>
      <c r="T346" s="151">
        <f ca="1">OFFSET(CÁLCULO!H$15,ROW($T346)-ROW(T$15),0)</f>
        <v>2</v>
      </c>
      <c r="U346" s="152">
        <f t="shared" ca="1" si="176"/>
        <v>0</v>
      </c>
      <c r="V346" s="153" t="s">
        <v>158</v>
      </c>
      <c r="W346" s="151">
        <f t="shared" ca="1" si="165"/>
        <v>0</v>
      </c>
      <c r="X346" s="154">
        <f t="shared" ca="1" si="166"/>
        <v>0</v>
      </c>
      <c r="Y346" s="155" t="s">
        <v>583</v>
      </c>
      <c r="Z346" t="str">
        <f t="shared" ca="1" si="167"/>
        <v/>
      </c>
      <c r="AA346" s="156">
        <f ca="1">IF($C346="S",IF($Z346="CP",$X346,IF($Z346="RA",(($X346)*QCI!$AA$3),0)),SomaAgrup)</f>
        <v>0</v>
      </c>
      <c r="AB346" s="157">
        <f t="shared" ca="1" si="168"/>
        <v>0</v>
      </c>
      <c r="AC346" s="158" t="str">
        <f t="shared" ca="1" si="169"/>
        <v/>
      </c>
      <c r="AD346" s="104" t="str">
        <f ca="1">IF(C346&lt;=CRONO.NivelExibicao,MAX($AD$15:OFFSET(AD346,-1,0))+IF($C346&lt;&gt;1,1,MAX(1,COUNTIF(QCI!$A$13:$A$24,OFFSET($E346,-1,0)))),"")</f>
        <v/>
      </c>
      <c r="AE346" s="114" t="str">
        <f t="shared" ca="1" si="170"/>
        <v>SINAPI 89630</v>
      </c>
      <c r="AF346" s="159" t="str">
        <f t="shared" ca="1" si="171"/>
        <v>(abra o arquivo 'Referência 05-2024.xls)</v>
      </c>
      <c r="AG346" s="579">
        <f t="shared" ca="1" si="172"/>
        <v>0</v>
      </c>
      <c r="AH346" s="580">
        <f t="shared" ca="1" si="173"/>
        <v>0.22470000000000001</v>
      </c>
      <c r="AJ346" s="582">
        <v>2</v>
      </c>
      <c r="AL346" s="612"/>
      <c r="AM346" s="430">
        <f t="shared" ca="1" si="174"/>
        <v>0</v>
      </c>
      <c r="AN346" s="655">
        <f t="shared" ca="1" si="175"/>
        <v>0</v>
      </c>
    </row>
    <row r="347" spans="1:40" ht="13.8" x14ac:dyDescent="0.3">
      <c r="A347" t="str">
        <f t="shared" si="154"/>
        <v>S</v>
      </c>
      <c r="B347">
        <f t="shared" ca="1" si="155"/>
        <v>3</v>
      </c>
      <c r="C347" t="str">
        <f t="shared" ca="1" si="156"/>
        <v>S</v>
      </c>
      <c r="D347">
        <f t="shared" ca="1" si="157"/>
        <v>0</v>
      </c>
      <c r="E347">
        <f ca="1">IF($C347=1,OFFSET(E347,-1,0)+MAX(1,COUNTIF(QCI!$A$13:$A$24,OFFSET(ORÇAMENTO!E347,-1,0))),OFFSET(E347,-1,0))</f>
        <v>1</v>
      </c>
      <c r="F347">
        <f t="shared" ca="1" si="158"/>
        <v>12</v>
      </c>
      <c r="G347">
        <f t="shared" ca="1" si="159"/>
        <v>1</v>
      </c>
      <c r="H347">
        <f t="shared" ca="1" si="160"/>
        <v>0</v>
      </c>
      <c r="I347">
        <f t="shared" ca="1" si="161"/>
        <v>0</v>
      </c>
      <c r="J347">
        <f t="shared" ca="1" si="177"/>
        <v>0</v>
      </c>
      <c r="K347">
        <f ca="1">IF(OR($C347="S",$C347=0),0,MATCH(OFFSET($D347,0,$C347)+IF($C347&lt;&gt;1,1,COUNTIF(QCI!$A$13:$A$24,ORÇAMENTO!E347)),OFFSET($D347,1,$C347,ROW($C$710)-ROW($C347)),0))</f>
        <v>0</v>
      </c>
      <c r="L347" s="143" t="str">
        <f t="shared" ca="1" si="162"/>
        <v/>
      </c>
      <c r="M347" s="144" t="s">
        <v>201</v>
      </c>
      <c r="N347" s="145" t="str">
        <f t="shared" ca="1" si="163"/>
        <v>Serviço</v>
      </c>
      <c r="O347" s="146" t="str">
        <f t="shared" ca="1" si="164"/>
        <v>-</v>
      </c>
      <c r="P347" s="147" t="s">
        <v>249</v>
      </c>
      <c r="Q347" s="148">
        <v>89632</v>
      </c>
      <c r="R347" s="149" t="str">
        <f t="shared" ca="1" si="152"/>
        <v>(abra o arquivo 'Referência 05-2024.xls)</v>
      </c>
      <c r="S347" s="150" t="str">
        <f t="shared" ca="1" si="153"/>
        <v>-</v>
      </c>
      <c r="T347" s="151">
        <f ca="1">OFFSET(CÁLCULO!H$15,ROW($T347)-ROW(T$15),0)</f>
        <v>2</v>
      </c>
      <c r="U347" s="152">
        <f t="shared" ca="1" si="176"/>
        <v>0</v>
      </c>
      <c r="V347" s="153" t="s">
        <v>158</v>
      </c>
      <c r="W347" s="151">
        <f t="shared" ca="1" si="165"/>
        <v>0</v>
      </c>
      <c r="X347" s="154">
        <f t="shared" ca="1" si="166"/>
        <v>0</v>
      </c>
      <c r="Y347" s="155" t="s">
        <v>583</v>
      </c>
      <c r="Z347" t="str">
        <f t="shared" ca="1" si="167"/>
        <v/>
      </c>
      <c r="AA347" s="156">
        <f ca="1">IF($C347="S",IF($Z347="CP",$X347,IF($Z347="RA",(($X347)*QCI!$AA$3),0)),SomaAgrup)</f>
        <v>0</v>
      </c>
      <c r="AB347" s="157">
        <f t="shared" ca="1" si="168"/>
        <v>0</v>
      </c>
      <c r="AC347" s="158" t="str">
        <f t="shared" ca="1" si="169"/>
        <v/>
      </c>
      <c r="AD347" s="104" t="str">
        <f ca="1">IF(C347&lt;=CRONO.NivelExibicao,MAX($AD$15:OFFSET(AD347,-1,0))+IF($C347&lt;&gt;1,1,MAX(1,COUNTIF(QCI!$A$13:$A$24,OFFSET($E347,-1,0)))),"")</f>
        <v/>
      </c>
      <c r="AE347" s="114" t="str">
        <f t="shared" ca="1" si="170"/>
        <v>SINAPI 89632</v>
      </c>
      <c r="AF347" s="159" t="str">
        <f t="shared" ca="1" si="171"/>
        <v>(abra o arquivo 'Referência 05-2024.xls)</v>
      </c>
      <c r="AG347" s="579">
        <f t="shared" ca="1" si="172"/>
        <v>0</v>
      </c>
      <c r="AH347" s="580">
        <f t="shared" ca="1" si="173"/>
        <v>0.22470000000000001</v>
      </c>
      <c r="AJ347" s="582">
        <v>2</v>
      </c>
      <c r="AL347" s="612"/>
      <c r="AM347" s="430">
        <f t="shared" ca="1" si="174"/>
        <v>0</v>
      </c>
      <c r="AN347" s="655">
        <f t="shared" ca="1" si="175"/>
        <v>0</v>
      </c>
    </row>
    <row r="348" spans="1:40" ht="13.8" x14ac:dyDescent="0.3">
      <c r="A348" t="str">
        <f t="shared" si="154"/>
        <v>S</v>
      </c>
      <c r="B348">
        <f t="shared" ca="1" si="155"/>
        <v>3</v>
      </c>
      <c r="C348" t="str">
        <f t="shared" ca="1" si="156"/>
        <v>S</v>
      </c>
      <c r="D348">
        <f t="shared" ca="1" si="157"/>
        <v>0</v>
      </c>
      <c r="E348">
        <f ca="1">IF($C348=1,OFFSET(E348,-1,0)+MAX(1,COUNTIF(QCI!$A$13:$A$24,OFFSET(ORÇAMENTO!E348,-1,0))),OFFSET(E348,-1,0))</f>
        <v>1</v>
      </c>
      <c r="F348">
        <f t="shared" ca="1" si="158"/>
        <v>12</v>
      </c>
      <c r="G348">
        <f t="shared" ca="1" si="159"/>
        <v>1</v>
      </c>
      <c r="H348">
        <f t="shared" ca="1" si="160"/>
        <v>0</v>
      </c>
      <c r="I348">
        <f t="shared" ca="1" si="161"/>
        <v>0</v>
      </c>
      <c r="J348">
        <f t="shared" ca="1" si="177"/>
        <v>0</v>
      </c>
      <c r="K348">
        <f ca="1">IF(OR($C348="S",$C348=0),0,MATCH(OFFSET($D348,0,$C348)+IF($C348&lt;&gt;1,1,COUNTIF(QCI!$A$13:$A$24,ORÇAMENTO!E348)),OFFSET($D348,1,$C348,ROW($C$710)-ROW($C348)),0))</f>
        <v>0</v>
      </c>
      <c r="L348" s="143" t="str">
        <f t="shared" ca="1" si="162"/>
        <v/>
      </c>
      <c r="M348" s="144" t="s">
        <v>201</v>
      </c>
      <c r="N348" s="145" t="str">
        <f t="shared" ca="1" si="163"/>
        <v>Serviço</v>
      </c>
      <c r="O348" s="146" t="str">
        <f t="shared" ca="1" si="164"/>
        <v>-</v>
      </c>
      <c r="P348" s="147" t="s">
        <v>249</v>
      </c>
      <c r="Q348" s="148">
        <v>89442</v>
      </c>
      <c r="R348" s="149" t="str">
        <f t="shared" ca="1" si="152"/>
        <v>(abra o arquivo 'Referência 05-2024.xls)</v>
      </c>
      <c r="S348" s="150" t="str">
        <f t="shared" ca="1" si="153"/>
        <v>-</v>
      </c>
      <c r="T348" s="151">
        <f ca="1">OFFSET(CÁLCULO!H$15,ROW($T348)-ROW(T$15),0)</f>
        <v>16</v>
      </c>
      <c r="U348" s="152">
        <f t="shared" ca="1" si="176"/>
        <v>0</v>
      </c>
      <c r="V348" s="153" t="s">
        <v>158</v>
      </c>
      <c r="W348" s="151">
        <f t="shared" ca="1" si="165"/>
        <v>0</v>
      </c>
      <c r="X348" s="154">
        <f t="shared" ca="1" si="166"/>
        <v>0</v>
      </c>
      <c r="Y348" s="155" t="s">
        <v>583</v>
      </c>
      <c r="Z348" t="str">
        <f t="shared" ca="1" si="167"/>
        <v/>
      </c>
      <c r="AA348" s="156">
        <f ca="1">IF($C348="S",IF($Z348="CP",$X348,IF($Z348="RA",(($X348)*QCI!$AA$3),0)),SomaAgrup)</f>
        <v>0</v>
      </c>
      <c r="AB348" s="157">
        <f t="shared" ca="1" si="168"/>
        <v>0</v>
      </c>
      <c r="AC348" s="158" t="str">
        <f t="shared" ca="1" si="169"/>
        <v/>
      </c>
      <c r="AD348" s="104" t="str">
        <f ca="1">IF(C348&lt;=CRONO.NivelExibicao,MAX($AD$15:OFFSET(AD348,-1,0))+IF($C348&lt;&gt;1,1,MAX(1,COUNTIF(QCI!$A$13:$A$24,OFFSET($E348,-1,0)))),"")</f>
        <v/>
      </c>
      <c r="AE348" s="114" t="str">
        <f t="shared" ca="1" si="170"/>
        <v>SINAPI 89442</v>
      </c>
      <c r="AF348" s="159" t="str">
        <f t="shared" ca="1" si="171"/>
        <v>(abra o arquivo 'Referência 05-2024.xls)</v>
      </c>
      <c r="AG348" s="579">
        <f t="shared" ca="1" si="172"/>
        <v>0</v>
      </c>
      <c r="AH348" s="580">
        <f t="shared" ca="1" si="173"/>
        <v>0.22470000000000001</v>
      </c>
      <c r="AJ348" s="582">
        <v>16</v>
      </c>
      <c r="AL348" s="612"/>
      <c r="AM348" s="430">
        <f t="shared" ca="1" si="174"/>
        <v>0</v>
      </c>
      <c r="AN348" s="655">
        <f t="shared" ca="1" si="175"/>
        <v>0</v>
      </c>
    </row>
    <row r="349" spans="1:40" ht="13.8" x14ac:dyDescent="0.3">
      <c r="A349" t="str">
        <f t="shared" si="154"/>
        <v>S</v>
      </c>
      <c r="B349">
        <f t="shared" ca="1" si="155"/>
        <v>3</v>
      </c>
      <c r="C349" t="str">
        <f t="shared" ca="1" si="156"/>
        <v>S</v>
      </c>
      <c r="D349">
        <f t="shared" ca="1" si="157"/>
        <v>0</v>
      </c>
      <c r="E349">
        <f ca="1">IF($C349=1,OFFSET(E349,-1,0)+MAX(1,COUNTIF(QCI!$A$13:$A$24,OFFSET(ORÇAMENTO!E349,-1,0))),OFFSET(E349,-1,0))</f>
        <v>1</v>
      </c>
      <c r="F349">
        <f t="shared" ca="1" si="158"/>
        <v>12</v>
      </c>
      <c r="G349">
        <f t="shared" ca="1" si="159"/>
        <v>1</v>
      </c>
      <c r="H349">
        <f t="shared" ca="1" si="160"/>
        <v>0</v>
      </c>
      <c r="I349">
        <f t="shared" ca="1" si="161"/>
        <v>0</v>
      </c>
      <c r="J349">
        <f t="shared" ca="1" si="177"/>
        <v>0</v>
      </c>
      <c r="K349">
        <f ca="1">IF(OR($C349="S",$C349=0),0,MATCH(OFFSET($D349,0,$C349)+IF($C349&lt;&gt;1,1,COUNTIF(QCI!$A$13:$A$24,ORÇAMENTO!E349)),OFFSET($D349,1,$C349,ROW($C$710)-ROW($C349)),0))</f>
        <v>0</v>
      </c>
      <c r="L349" s="143" t="str">
        <f t="shared" ca="1" si="162"/>
        <v/>
      </c>
      <c r="M349" s="144" t="s">
        <v>201</v>
      </c>
      <c r="N349" s="145" t="str">
        <f t="shared" ca="1" si="163"/>
        <v>Serviço</v>
      </c>
      <c r="O349" s="146" t="str">
        <f t="shared" ca="1" si="164"/>
        <v>-</v>
      </c>
      <c r="P349" s="147" t="s">
        <v>249</v>
      </c>
      <c r="Q349" s="148">
        <v>89536</v>
      </c>
      <c r="R349" s="149" t="str">
        <f t="shared" ca="1" si="152"/>
        <v>(abra o arquivo 'Referência 05-2024.xls)</v>
      </c>
      <c r="S349" s="150" t="str">
        <f t="shared" ca="1" si="153"/>
        <v>-</v>
      </c>
      <c r="T349" s="151">
        <f ca="1">OFFSET(CÁLCULO!H$15,ROW($T349)-ROW(T$15),0)</f>
        <v>2</v>
      </c>
      <c r="U349" s="152">
        <f t="shared" ca="1" si="176"/>
        <v>0</v>
      </c>
      <c r="V349" s="153" t="s">
        <v>158</v>
      </c>
      <c r="W349" s="151">
        <f t="shared" ca="1" si="165"/>
        <v>0</v>
      </c>
      <c r="X349" s="154">
        <f t="shared" ca="1" si="166"/>
        <v>0</v>
      </c>
      <c r="Y349" s="155" t="s">
        <v>583</v>
      </c>
      <c r="Z349" t="str">
        <f t="shared" ca="1" si="167"/>
        <v/>
      </c>
      <c r="AA349" s="156">
        <f ca="1">IF($C349="S",IF($Z349="CP",$X349,IF($Z349="RA",(($X349)*QCI!$AA$3),0)),SomaAgrup)</f>
        <v>0</v>
      </c>
      <c r="AB349" s="157">
        <f t="shared" ca="1" si="168"/>
        <v>0</v>
      </c>
      <c r="AC349" s="158" t="str">
        <f t="shared" ca="1" si="169"/>
        <v/>
      </c>
      <c r="AD349" s="104" t="str">
        <f ca="1">IF(C349&lt;=CRONO.NivelExibicao,MAX($AD$15:OFFSET(AD349,-1,0))+IF($C349&lt;&gt;1,1,MAX(1,COUNTIF(QCI!$A$13:$A$24,OFFSET($E349,-1,0)))),"")</f>
        <v/>
      </c>
      <c r="AE349" s="114" t="str">
        <f t="shared" ca="1" si="170"/>
        <v>SINAPI 89536</v>
      </c>
      <c r="AF349" s="159" t="str">
        <f t="shared" ca="1" si="171"/>
        <v>(abra o arquivo 'Referência 05-2024.xls)</v>
      </c>
      <c r="AG349" s="579">
        <f t="shared" ca="1" si="172"/>
        <v>0</v>
      </c>
      <c r="AH349" s="580">
        <f t="shared" ca="1" si="173"/>
        <v>0.22470000000000001</v>
      </c>
      <c r="AJ349" s="582">
        <v>2</v>
      </c>
      <c r="AL349" s="612"/>
      <c r="AM349" s="430">
        <f t="shared" ca="1" si="174"/>
        <v>0</v>
      </c>
      <c r="AN349" s="655">
        <f t="shared" ca="1" si="175"/>
        <v>0</v>
      </c>
    </row>
    <row r="350" spans="1:40" ht="13.8" x14ac:dyDescent="0.3">
      <c r="A350" t="str">
        <f t="shared" si="154"/>
        <v>S</v>
      </c>
      <c r="B350">
        <f t="shared" ca="1" si="155"/>
        <v>3</v>
      </c>
      <c r="C350" t="str">
        <f t="shared" ca="1" si="156"/>
        <v>S</v>
      </c>
      <c r="D350">
        <f t="shared" ca="1" si="157"/>
        <v>0</v>
      </c>
      <c r="E350">
        <f ca="1">IF($C350=1,OFFSET(E350,-1,0)+MAX(1,COUNTIF(QCI!$A$13:$A$24,OFFSET(ORÇAMENTO!E350,-1,0))),OFFSET(E350,-1,0))</f>
        <v>1</v>
      </c>
      <c r="F350">
        <f t="shared" ca="1" si="158"/>
        <v>12</v>
      </c>
      <c r="G350">
        <f t="shared" ca="1" si="159"/>
        <v>1</v>
      </c>
      <c r="H350">
        <f t="shared" ca="1" si="160"/>
        <v>0</v>
      </c>
      <c r="I350">
        <f t="shared" ca="1" si="161"/>
        <v>0</v>
      </c>
      <c r="J350">
        <f t="shared" ca="1" si="177"/>
        <v>0</v>
      </c>
      <c r="K350">
        <f ca="1">IF(OR($C350="S",$C350=0),0,MATCH(OFFSET($D350,0,$C350)+IF($C350&lt;&gt;1,1,COUNTIF(QCI!$A$13:$A$24,ORÇAMENTO!E350)),OFFSET($D350,1,$C350,ROW($C$710)-ROW($C350)),0))</f>
        <v>0</v>
      </c>
      <c r="L350" s="143" t="str">
        <f t="shared" ca="1" si="162"/>
        <v/>
      </c>
      <c r="M350" s="144" t="s">
        <v>201</v>
      </c>
      <c r="N350" s="145" t="str">
        <f t="shared" ca="1" si="163"/>
        <v>Serviço</v>
      </c>
      <c r="O350" s="146" t="str">
        <f t="shared" ca="1" si="164"/>
        <v>-</v>
      </c>
      <c r="P350" s="147" t="s">
        <v>249</v>
      </c>
      <c r="Q350" s="148">
        <v>89594</v>
      </c>
      <c r="R350" s="149" t="str">
        <f t="shared" ca="1" si="152"/>
        <v>(abra o arquivo 'Referência 05-2024.xls)</v>
      </c>
      <c r="S350" s="150" t="str">
        <f t="shared" ca="1" si="153"/>
        <v>-</v>
      </c>
      <c r="T350" s="151">
        <f ca="1">OFFSET(CÁLCULO!H$15,ROW($T350)-ROW(T$15),0)</f>
        <v>2</v>
      </c>
      <c r="U350" s="152">
        <f t="shared" ca="1" si="176"/>
        <v>0</v>
      </c>
      <c r="V350" s="153" t="s">
        <v>158</v>
      </c>
      <c r="W350" s="151">
        <f t="shared" ca="1" si="165"/>
        <v>0</v>
      </c>
      <c r="X350" s="154">
        <f t="shared" ca="1" si="166"/>
        <v>0</v>
      </c>
      <c r="Y350" s="155" t="s">
        <v>583</v>
      </c>
      <c r="Z350" t="str">
        <f t="shared" ca="1" si="167"/>
        <v/>
      </c>
      <c r="AA350" s="156">
        <f ca="1">IF($C350="S",IF($Z350="CP",$X350,IF($Z350="RA",(($X350)*QCI!$AA$3),0)),SomaAgrup)</f>
        <v>0</v>
      </c>
      <c r="AB350" s="157">
        <f t="shared" ca="1" si="168"/>
        <v>0</v>
      </c>
      <c r="AC350" s="158" t="str">
        <f t="shared" ca="1" si="169"/>
        <v/>
      </c>
      <c r="AD350" s="104" t="str">
        <f ca="1">IF(C350&lt;=CRONO.NivelExibicao,MAX($AD$15:OFFSET(AD350,-1,0))+IF($C350&lt;&gt;1,1,MAX(1,COUNTIF(QCI!$A$13:$A$24,OFFSET($E350,-1,0)))),"")</f>
        <v/>
      </c>
      <c r="AE350" s="114" t="str">
        <f t="shared" ca="1" si="170"/>
        <v>SINAPI 89594</v>
      </c>
      <c r="AF350" s="159" t="str">
        <f t="shared" ca="1" si="171"/>
        <v>(abra o arquivo 'Referência 05-2024.xls)</v>
      </c>
      <c r="AG350" s="579">
        <f t="shared" ca="1" si="172"/>
        <v>0</v>
      </c>
      <c r="AH350" s="580">
        <f t="shared" ca="1" si="173"/>
        <v>0.22470000000000001</v>
      </c>
      <c r="AJ350" s="582">
        <v>2</v>
      </c>
      <c r="AL350" s="612"/>
      <c r="AM350" s="430">
        <f t="shared" ca="1" si="174"/>
        <v>0</v>
      </c>
      <c r="AN350" s="655">
        <f t="shared" ca="1" si="175"/>
        <v>0</v>
      </c>
    </row>
    <row r="351" spans="1:40" ht="13.8" x14ac:dyDescent="0.3">
      <c r="A351">
        <f t="shared" si="154"/>
        <v>3</v>
      </c>
      <c r="B351">
        <f t="shared" ca="1" si="155"/>
        <v>3</v>
      </c>
      <c r="C351">
        <f t="shared" ca="1" si="156"/>
        <v>3</v>
      </c>
      <c r="D351">
        <f t="shared" ca="1" si="157"/>
        <v>9</v>
      </c>
      <c r="E351">
        <f ca="1">IF($C351=1,OFFSET(E351,-1,0)+MAX(1,COUNTIF(QCI!$A$13:$A$24,OFFSET(ORÇAMENTO!E351,-1,0))),OFFSET(E351,-1,0))</f>
        <v>1</v>
      </c>
      <c r="F351">
        <f t="shared" ca="1" si="158"/>
        <v>12</v>
      </c>
      <c r="G351">
        <f t="shared" ca="1" si="159"/>
        <v>2</v>
      </c>
      <c r="H351">
        <f t="shared" ca="1" si="160"/>
        <v>0</v>
      </c>
      <c r="I351">
        <f t="shared" ca="1" si="161"/>
        <v>0</v>
      </c>
      <c r="J351">
        <f t="shared" ca="1" si="177"/>
        <v>20</v>
      </c>
      <c r="K351">
        <f ca="1">IF(OR($C351="S",$C351=0),0,MATCH(OFFSET($D351,0,$C351)+IF($C351&lt;&gt;1,1,COUNTIF(QCI!$A$13:$A$24,ORÇAMENTO!E351)),OFFSET($D351,1,$C351,ROW($C$710)-ROW($C351)),0))</f>
        <v>9</v>
      </c>
      <c r="L351" s="143" t="str">
        <f t="shared" ca="1" si="162"/>
        <v>F</v>
      </c>
      <c r="M351" s="144" t="s">
        <v>199</v>
      </c>
      <c r="N351" s="145" t="str">
        <f t="shared" ca="1" si="163"/>
        <v>Nível 3</v>
      </c>
      <c r="O351" s="146" t="str">
        <f t="shared" ca="1" si="164"/>
        <v>1.12.2.</v>
      </c>
      <c r="P351" s="147" t="s">
        <v>249</v>
      </c>
      <c r="Q351" s="148"/>
      <c r="R351" s="149" t="s">
        <v>527</v>
      </c>
      <c r="S351" s="150" t="s">
        <v>168</v>
      </c>
      <c r="T351" s="151">
        <f ca="1">OFFSET(CÁLCULO!H$15,ROW($T351)-ROW(T$15),0)</f>
        <v>0</v>
      </c>
      <c r="U351" s="152">
        <f t="shared" ca="1" si="176"/>
        <v>0</v>
      </c>
      <c r="V351" s="153" t="s">
        <v>158</v>
      </c>
      <c r="W351" s="151">
        <f t="shared" ca="1" si="165"/>
        <v>0</v>
      </c>
      <c r="X351" s="154">
        <f t="shared" ca="1" si="166"/>
        <v>0</v>
      </c>
      <c r="Y351" s="155" t="s">
        <v>583</v>
      </c>
      <c r="Z351" t="str">
        <f t="shared" ca="1" si="167"/>
        <v/>
      </c>
      <c r="AA351" s="156">
        <f ca="1">IF($C351="S",IF($Z351="CP",$X351,IF($Z351="RA",(($X351)*QCI!$AA$3),0)),SomaAgrup)</f>
        <v>0</v>
      </c>
      <c r="AB351" s="157">
        <f t="shared" ca="1" si="168"/>
        <v>0</v>
      </c>
      <c r="AC351" s="158" t="str">
        <f t="shared" ca="1" si="169"/>
        <v/>
      </c>
      <c r="AD351" s="104" t="str">
        <f ca="1">IF(C351&lt;=CRONO.NivelExibicao,MAX($AD$15:OFFSET(AD351,-1,0))+IF($C351&lt;&gt;1,1,MAX(1,COUNTIF(QCI!$A$13:$A$24,OFFSET($E351,-1,0)))),"")</f>
        <v/>
      </c>
      <c r="AE351" s="114" t="b">
        <f t="shared" ca="1" si="170"/>
        <v>0</v>
      </c>
      <c r="AF351" s="159" t="str">
        <f t="shared" ca="1" si="171"/>
        <v>(abra o arquivo 'Referência 05-2024.xls)</v>
      </c>
      <c r="AG351" s="579">
        <f t="shared" ca="1" si="172"/>
        <v>0</v>
      </c>
      <c r="AH351" s="580">
        <f t="shared" ca="1" si="173"/>
        <v>0.22470000000000001</v>
      </c>
      <c r="AJ351" s="582"/>
      <c r="AL351" s="612"/>
      <c r="AM351" s="430">
        <f t="shared" ca="1" si="174"/>
        <v>0</v>
      </c>
      <c r="AN351" s="655">
        <f t="shared" ca="1" si="175"/>
        <v>0</v>
      </c>
    </row>
    <row r="352" spans="1:40" ht="13.8" x14ac:dyDescent="0.3">
      <c r="A352" t="str">
        <f t="shared" si="154"/>
        <v>S</v>
      </c>
      <c r="B352">
        <f t="shared" ca="1" si="155"/>
        <v>3</v>
      </c>
      <c r="C352" t="str">
        <f t="shared" ca="1" si="156"/>
        <v>S</v>
      </c>
      <c r="D352">
        <f t="shared" ca="1" si="157"/>
        <v>0</v>
      </c>
      <c r="E352">
        <f ca="1">IF($C352=1,OFFSET(E352,-1,0)+MAX(1,COUNTIF(QCI!$A$13:$A$24,OFFSET(ORÇAMENTO!E352,-1,0))),OFFSET(E352,-1,0))</f>
        <v>1</v>
      </c>
      <c r="F352">
        <f t="shared" ca="1" si="158"/>
        <v>12</v>
      </c>
      <c r="G352">
        <f t="shared" ca="1" si="159"/>
        <v>2</v>
      </c>
      <c r="H352">
        <f t="shared" ca="1" si="160"/>
        <v>0</v>
      </c>
      <c r="I352">
        <f t="shared" ca="1" si="161"/>
        <v>0</v>
      </c>
      <c r="J352">
        <f t="shared" ca="1" si="177"/>
        <v>0</v>
      </c>
      <c r="K352">
        <f ca="1">IF(OR($C352="S",$C352=0),0,MATCH(OFFSET($D352,0,$C352)+IF($C352&lt;&gt;1,1,COUNTIF(QCI!$A$13:$A$24,ORÇAMENTO!E352)),OFFSET($D352,1,$C352,ROW($C$710)-ROW($C352)),0))</f>
        <v>0</v>
      </c>
      <c r="L352" s="143" t="str">
        <f t="shared" ca="1" si="162"/>
        <v/>
      </c>
      <c r="M352" s="144" t="s">
        <v>201</v>
      </c>
      <c r="N352" s="145" t="str">
        <f t="shared" ca="1" si="163"/>
        <v>Serviço</v>
      </c>
      <c r="O352" s="146" t="str">
        <f t="shared" ca="1" si="164"/>
        <v>-</v>
      </c>
      <c r="P352" s="147" t="s">
        <v>249</v>
      </c>
      <c r="Q352" s="148">
        <v>94495</v>
      </c>
      <c r="R352" s="149" t="str">
        <f t="shared" ref="R352:R359" ca="1" si="178">IF($C352="S",REFERENCIA.Descricao,"(digite a descrição aqui)")</f>
        <v>(abra o arquivo 'Referência 05-2024.xls)</v>
      </c>
      <c r="S352" s="150" t="str">
        <f t="shared" ref="S352:S359" ca="1" si="179">REFERENCIA.Unidade</f>
        <v>-</v>
      </c>
      <c r="T352" s="151">
        <f ca="1">OFFSET(CÁLCULO!H$15,ROW($T352)-ROW(T$15),0)</f>
        <v>6</v>
      </c>
      <c r="U352" s="152">
        <f t="shared" ca="1" si="176"/>
        <v>0</v>
      </c>
      <c r="V352" s="153" t="s">
        <v>158</v>
      </c>
      <c r="W352" s="151">
        <f t="shared" ca="1" si="165"/>
        <v>0</v>
      </c>
      <c r="X352" s="154">
        <f t="shared" ca="1" si="166"/>
        <v>0</v>
      </c>
      <c r="Y352" s="155" t="s">
        <v>583</v>
      </c>
      <c r="Z352" t="str">
        <f t="shared" ca="1" si="167"/>
        <v/>
      </c>
      <c r="AA352" s="156">
        <f ca="1">IF($C352="S",IF($Z352="CP",$X352,IF($Z352="RA",(($X352)*QCI!$AA$3),0)),SomaAgrup)</f>
        <v>0</v>
      </c>
      <c r="AB352" s="157">
        <f t="shared" ca="1" si="168"/>
        <v>0</v>
      </c>
      <c r="AC352" s="158" t="str">
        <f t="shared" ca="1" si="169"/>
        <v/>
      </c>
      <c r="AD352" s="104" t="str">
        <f ca="1">IF(C352&lt;=CRONO.NivelExibicao,MAX($AD$15:OFFSET(AD352,-1,0))+IF($C352&lt;&gt;1,1,MAX(1,COUNTIF(QCI!$A$13:$A$24,OFFSET($E352,-1,0)))),"")</f>
        <v/>
      </c>
      <c r="AE352" s="114" t="str">
        <f t="shared" ca="1" si="170"/>
        <v>SINAPI 94495</v>
      </c>
      <c r="AF352" s="159" t="str">
        <f t="shared" ca="1" si="171"/>
        <v>(abra o arquivo 'Referência 05-2024.xls)</v>
      </c>
      <c r="AG352" s="579">
        <f t="shared" ca="1" si="172"/>
        <v>0</v>
      </c>
      <c r="AH352" s="580">
        <f t="shared" ca="1" si="173"/>
        <v>0.22470000000000001</v>
      </c>
      <c r="AJ352" s="582">
        <v>6</v>
      </c>
      <c r="AL352" s="612"/>
      <c r="AM352" s="430">
        <f t="shared" ca="1" si="174"/>
        <v>0</v>
      </c>
      <c r="AN352" s="655">
        <f t="shared" ca="1" si="175"/>
        <v>0</v>
      </c>
    </row>
    <row r="353" spans="1:40" ht="13.8" x14ac:dyDescent="0.3">
      <c r="A353" t="str">
        <f t="shared" si="154"/>
        <v>S</v>
      </c>
      <c r="B353">
        <f t="shared" ca="1" si="155"/>
        <v>3</v>
      </c>
      <c r="C353" t="str">
        <f t="shared" ca="1" si="156"/>
        <v>S</v>
      </c>
      <c r="D353">
        <f t="shared" ca="1" si="157"/>
        <v>0</v>
      </c>
      <c r="E353">
        <f ca="1">IF($C353=1,OFFSET(E353,-1,0)+MAX(1,COUNTIF(QCI!$A$13:$A$24,OFFSET(ORÇAMENTO!E353,-1,0))),OFFSET(E353,-1,0))</f>
        <v>1</v>
      </c>
      <c r="F353">
        <f t="shared" ca="1" si="158"/>
        <v>12</v>
      </c>
      <c r="G353">
        <f t="shared" ca="1" si="159"/>
        <v>2</v>
      </c>
      <c r="H353">
        <f t="shared" ca="1" si="160"/>
        <v>0</v>
      </c>
      <c r="I353">
        <f t="shared" ca="1" si="161"/>
        <v>0</v>
      </c>
      <c r="J353">
        <f t="shared" ca="1" si="177"/>
        <v>0</v>
      </c>
      <c r="K353">
        <f ca="1">IF(OR($C353="S",$C353=0),0,MATCH(OFFSET($D353,0,$C353)+IF($C353&lt;&gt;1,1,COUNTIF(QCI!$A$13:$A$24,ORÇAMENTO!E353)),OFFSET($D353,1,$C353,ROW($C$710)-ROW($C353)),0))</f>
        <v>0</v>
      </c>
      <c r="L353" s="143" t="str">
        <f t="shared" ca="1" si="162"/>
        <v/>
      </c>
      <c r="M353" s="144" t="s">
        <v>201</v>
      </c>
      <c r="N353" s="145" t="str">
        <f t="shared" ca="1" si="163"/>
        <v>Serviço</v>
      </c>
      <c r="O353" s="146" t="str">
        <f t="shared" ca="1" si="164"/>
        <v>-</v>
      </c>
      <c r="P353" s="147" t="s">
        <v>249</v>
      </c>
      <c r="Q353" s="148">
        <v>94497</v>
      </c>
      <c r="R353" s="149" t="str">
        <f t="shared" ca="1" si="178"/>
        <v>(abra o arquivo 'Referência 05-2024.xls)</v>
      </c>
      <c r="S353" s="150" t="str">
        <f t="shared" ca="1" si="179"/>
        <v>-</v>
      </c>
      <c r="T353" s="151">
        <f ca="1">OFFSET(CÁLCULO!H$15,ROW($T353)-ROW(T$15),0)</f>
        <v>7</v>
      </c>
      <c r="U353" s="152">
        <f t="shared" ca="1" si="176"/>
        <v>0</v>
      </c>
      <c r="V353" s="153" t="s">
        <v>158</v>
      </c>
      <c r="W353" s="151">
        <f t="shared" ca="1" si="165"/>
        <v>0</v>
      </c>
      <c r="X353" s="154">
        <f t="shared" ca="1" si="166"/>
        <v>0</v>
      </c>
      <c r="Y353" s="155" t="s">
        <v>583</v>
      </c>
      <c r="Z353" t="str">
        <f t="shared" ca="1" si="167"/>
        <v/>
      </c>
      <c r="AA353" s="156">
        <f ca="1">IF($C353="S",IF($Z353="CP",$X353,IF($Z353="RA",(($X353)*QCI!$AA$3),0)),SomaAgrup)</f>
        <v>0</v>
      </c>
      <c r="AB353" s="157">
        <f t="shared" ca="1" si="168"/>
        <v>0</v>
      </c>
      <c r="AC353" s="158" t="str">
        <f t="shared" ca="1" si="169"/>
        <v/>
      </c>
      <c r="AD353" s="104" t="str">
        <f ca="1">IF(C353&lt;=CRONO.NivelExibicao,MAX($AD$15:OFFSET(AD353,-1,0))+IF($C353&lt;&gt;1,1,MAX(1,COUNTIF(QCI!$A$13:$A$24,OFFSET($E353,-1,0)))),"")</f>
        <v/>
      </c>
      <c r="AE353" s="114" t="str">
        <f t="shared" ca="1" si="170"/>
        <v>SINAPI 94497</v>
      </c>
      <c r="AF353" s="159" t="str">
        <f t="shared" ca="1" si="171"/>
        <v>(abra o arquivo 'Referência 05-2024.xls)</v>
      </c>
      <c r="AG353" s="579">
        <f t="shared" ca="1" si="172"/>
        <v>0</v>
      </c>
      <c r="AH353" s="580">
        <f t="shared" ca="1" si="173"/>
        <v>0.22470000000000001</v>
      </c>
      <c r="AJ353" s="582">
        <v>7</v>
      </c>
      <c r="AL353" s="612"/>
      <c r="AM353" s="430">
        <f t="shared" ca="1" si="174"/>
        <v>0</v>
      </c>
      <c r="AN353" s="655">
        <f t="shared" ca="1" si="175"/>
        <v>0</v>
      </c>
    </row>
    <row r="354" spans="1:40" ht="13.8" x14ac:dyDescent="0.3">
      <c r="A354" t="str">
        <f t="shared" si="154"/>
        <v>S</v>
      </c>
      <c r="B354">
        <f t="shared" ca="1" si="155"/>
        <v>3</v>
      </c>
      <c r="C354" t="str">
        <f t="shared" ca="1" si="156"/>
        <v>S</v>
      </c>
      <c r="D354">
        <f t="shared" ca="1" si="157"/>
        <v>0</v>
      </c>
      <c r="E354">
        <f ca="1">IF($C354=1,OFFSET(E354,-1,0)+MAX(1,COUNTIF(QCI!$A$13:$A$24,OFFSET(ORÇAMENTO!E354,-1,0))),OFFSET(E354,-1,0))</f>
        <v>1</v>
      </c>
      <c r="F354">
        <f t="shared" ca="1" si="158"/>
        <v>12</v>
      </c>
      <c r="G354">
        <f t="shared" ca="1" si="159"/>
        <v>2</v>
      </c>
      <c r="H354">
        <f t="shared" ca="1" si="160"/>
        <v>0</v>
      </c>
      <c r="I354">
        <f t="shared" ca="1" si="161"/>
        <v>0</v>
      </c>
      <c r="J354">
        <f t="shared" ca="1" si="177"/>
        <v>0</v>
      </c>
      <c r="K354">
        <f ca="1">IF(OR($C354="S",$C354=0),0,MATCH(OFFSET($D354,0,$C354)+IF($C354&lt;&gt;1,1,COUNTIF(QCI!$A$13:$A$24,ORÇAMENTO!E354)),OFFSET($D354,1,$C354,ROW($C$710)-ROW($C354)),0))</f>
        <v>0</v>
      </c>
      <c r="L354" s="143" t="str">
        <f t="shared" ca="1" si="162"/>
        <v/>
      </c>
      <c r="M354" s="144" t="s">
        <v>201</v>
      </c>
      <c r="N354" s="145" t="str">
        <f t="shared" ca="1" si="163"/>
        <v>Serviço</v>
      </c>
      <c r="O354" s="146" t="str">
        <f t="shared" ca="1" si="164"/>
        <v>-</v>
      </c>
      <c r="P354" s="147" t="s">
        <v>249</v>
      </c>
      <c r="Q354" s="148">
        <v>94498</v>
      </c>
      <c r="R354" s="149" t="str">
        <f t="shared" ca="1" si="178"/>
        <v>(abra o arquivo 'Referência 05-2024.xls)</v>
      </c>
      <c r="S354" s="150" t="str">
        <f t="shared" ca="1" si="179"/>
        <v>-</v>
      </c>
      <c r="T354" s="151">
        <f ca="1">OFFSET(CÁLCULO!H$15,ROW($T354)-ROW(T$15),0)</f>
        <v>5</v>
      </c>
      <c r="U354" s="152">
        <f t="shared" ca="1" si="176"/>
        <v>0</v>
      </c>
      <c r="V354" s="153" t="s">
        <v>158</v>
      </c>
      <c r="W354" s="151">
        <f t="shared" ca="1" si="165"/>
        <v>0</v>
      </c>
      <c r="X354" s="154">
        <f t="shared" ca="1" si="166"/>
        <v>0</v>
      </c>
      <c r="Y354" s="155" t="s">
        <v>583</v>
      </c>
      <c r="Z354" t="str">
        <f t="shared" ca="1" si="167"/>
        <v/>
      </c>
      <c r="AA354" s="156">
        <f ca="1">IF($C354="S",IF($Z354="CP",$X354,IF($Z354="RA",(($X354)*QCI!$AA$3),0)),SomaAgrup)</f>
        <v>0</v>
      </c>
      <c r="AB354" s="157">
        <f t="shared" ca="1" si="168"/>
        <v>0</v>
      </c>
      <c r="AC354" s="158" t="str">
        <f t="shared" ca="1" si="169"/>
        <v/>
      </c>
      <c r="AD354" s="104" t="str">
        <f ca="1">IF(C354&lt;=CRONO.NivelExibicao,MAX($AD$15:OFFSET(AD354,-1,0))+IF($C354&lt;&gt;1,1,MAX(1,COUNTIF(QCI!$A$13:$A$24,OFFSET($E354,-1,0)))),"")</f>
        <v/>
      </c>
      <c r="AE354" s="114" t="str">
        <f t="shared" ca="1" si="170"/>
        <v>SINAPI 94498</v>
      </c>
      <c r="AF354" s="159" t="str">
        <f t="shared" ca="1" si="171"/>
        <v>(abra o arquivo 'Referência 05-2024.xls)</v>
      </c>
      <c r="AG354" s="579">
        <f t="shared" ca="1" si="172"/>
        <v>0</v>
      </c>
      <c r="AH354" s="580">
        <f t="shared" ca="1" si="173"/>
        <v>0.22470000000000001</v>
      </c>
      <c r="AJ354" s="582">
        <v>5</v>
      </c>
      <c r="AL354" s="612"/>
      <c r="AM354" s="430">
        <f t="shared" ca="1" si="174"/>
        <v>0</v>
      </c>
      <c r="AN354" s="655">
        <f t="shared" ca="1" si="175"/>
        <v>0</v>
      </c>
    </row>
    <row r="355" spans="1:40" ht="13.8" x14ac:dyDescent="0.3">
      <c r="A355" t="str">
        <f t="shared" si="154"/>
        <v>S</v>
      </c>
      <c r="B355">
        <f t="shared" ca="1" si="155"/>
        <v>3</v>
      </c>
      <c r="C355" t="str">
        <f t="shared" ca="1" si="156"/>
        <v>S</v>
      </c>
      <c r="D355">
        <f t="shared" ca="1" si="157"/>
        <v>0</v>
      </c>
      <c r="E355">
        <f ca="1">IF($C355=1,OFFSET(E355,-1,0)+MAX(1,COUNTIF(QCI!$A$13:$A$24,OFFSET(ORÇAMENTO!E355,-1,0))),OFFSET(E355,-1,0))</f>
        <v>1</v>
      </c>
      <c r="F355">
        <f t="shared" ca="1" si="158"/>
        <v>12</v>
      </c>
      <c r="G355">
        <f t="shared" ca="1" si="159"/>
        <v>2</v>
      </c>
      <c r="H355">
        <f t="shared" ca="1" si="160"/>
        <v>0</v>
      </c>
      <c r="I355">
        <f t="shared" ca="1" si="161"/>
        <v>0</v>
      </c>
      <c r="J355">
        <f t="shared" ca="1" si="177"/>
        <v>0</v>
      </c>
      <c r="K355">
        <f ca="1">IF(OR($C355="S",$C355=0),0,MATCH(OFFSET($D355,0,$C355)+IF($C355&lt;&gt;1,1,COUNTIF(QCI!$A$13:$A$24,ORÇAMENTO!E355)),OFFSET($D355,1,$C355,ROW($C$710)-ROW($C355)),0))</f>
        <v>0</v>
      </c>
      <c r="L355" s="143" t="str">
        <f t="shared" ca="1" si="162"/>
        <v/>
      </c>
      <c r="M355" s="144" t="s">
        <v>201</v>
      </c>
      <c r="N355" s="145" t="str">
        <f t="shared" ca="1" si="163"/>
        <v>Serviço</v>
      </c>
      <c r="O355" s="146" t="str">
        <f t="shared" ca="1" si="164"/>
        <v>-</v>
      </c>
      <c r="P355" s="147" t="s">
        <v>249</v>
      </c>
      <c r="Q355" s="148">
        <v>94792</v>
      </c>
      <c r="R355" s="149" t="str">
        <f t="shared" ca="1" si="178"/>
        <v>(abra o arquivo 'Referência 05-2024.xls)</v>
      </c>
      <c r="S355" s="150" t="str">
        <f t="shared" ca="1" si="179"/>
        <v>-</v>
      </c>
      <c r="T355" s="151">
        <f ca="1">OFFSET(CÁLCULO!H$15,ROW($T355)-ROW(T$15),0)</f>
        <v>1</v>
      </c>
      <c r="U355" s="152">
        <f t="shared" ca="1" si="176"/>
        <v>0</v>
      </c>
      <c r="V355" s="153" t="s">
        <v>158</v>
      </c>
      <c r="W355" s="151">
        <f t="shared" ca="1" si="165"/>
        <v>0</v>
      </c>
      <c r="X355" s="154">
        <f t="shared" ca="1" si="166"/>
        <v>0</v>
      </c>
      <c r="Y355" s="155" t="s">
        <v>583</v>
      </c>
      <c r="Z355" t="str">
        <f t="shared" ca="1" si="167"/>
        <v/>
      </c>
      <c r="AA355" s="156">
        <f ca="1">IF($C355="S",IF($Z355="CP",$X355,IF($Z355="RA",(($X355)*QCI!$AA$3),0)),SomaAgrup)</f>
        <v>0</v>
      </c>
      <c r="AB355" s="157">
        <f t="shared" ca="1" si="168"/>
        <v>0</v>
      </c>
      <c r="AC355" s="158" t="str">
        <f t="shared" ca="1" si="169"/>
        <v/>
      </c>
      <c r="AD355" s="104" t="str">
        <f ca="1">IF(C355&lt;=CRONO.NivelExibicao,MAX($AD$15:OFFSET(AD355,-1,0))+IF($C355&lt;&gt;1,1,MAX(1,COUNTIF(QCI!$A$13:$A$24,OFFSET($E355,-1,0)))),"")</f>
        <v/>
      </c>
      <c r="AE355" s="114" t="str">
        <f t="shared" ca="1" si="170"/>
        <v>SINAPI 94792</v>
      </c>
      <c r="AF355" s="159" t="str">
        <f t="shared" ca="1" si="171"/>
        <v>(abra o arquivo 'Referência 05-2024.xls)</v>
      </c>
      <c r="AG355" s="579">
        <f t="shared" ca="1" si="172"/>
        <v>0</v>
      </c>
      <c r="AH355" s="580">
        <f t="shared" ca="1" si="173"/>
        <v>0.22470000000000001</v>
      </c>
      <c r="AJ355" s="582">
        <v>1</v>
      </c>
      <c r="AL355" s="612"/>
      <c r="AM355" s="430">
        <f t="shared" ca="1" si="174"/>
        <v>0</v>
      </c>
      <c r="AN355" s="655">
        <f t="shared" ca="1" si="175"/>
        <v>0</v>
      </c>
    </row>
    <row r="356" spans="1:40" ht="13.8" x14ac:dyDescent="0.3">
      <c r="A356" t="str">
        <f t="shared" si="154"/>
        <v>S</v>
      </c>
      <c r="B356">
        <f t="shared" ca="1" si="155"/>
        <v>3</v>
      </c>
      <c r="C356" t="str">
        <f t="shared" ca="1" si="156"/>
        <v>S</v>
      </c>
      <c r="D356">
        <f t="shared" ca="1" si="157"/>
        <v>0</v>
      </c>
      <c r="E356">
        <f ca="1">IF($C356=1,OFFSET(E356,-1,0)+MAX(1,COUNTIF(QCI!$A$13:$A$24,OFFSET(ORÇAMENTO!E356,-1,0))),OFFSET(E356,-1,0))</f>
        <v>1</v>
      </c>
      <c r="F356">
        <f t="shared" ca="1" si="158"/>
        <v>12</v>
      </c>
      <c r="G356">
        <f t="shared" ca="1" si="159"/>
        <v>2</v>
      </c>
      <c r="H356">
        <f t="shared" ca="1" si="160"/>
        <v>0</v>
      </c>
      <c r="I356">
        <f t="shared" ca="1" si="161"/>
        <v>0</v>
      </c>
      <c r="J356">
        <f t="shared" ca="1" si="177"/>
        <v>0</v>
      </c>
      <c r="K356">
        <f ca="1">IF(OR($C356="S",$C356=0),0,MATCH(OFFSET($D356,0,$C356)+IF($C356&lt;&gt;1,1,COUNTIF(QCI!$A$13:$A$24,ORÇAMENTO!E356)),OFFSET($D356,1,$C356,ROW($C$710)-ROW($C356)),0))</f>
        <v>0</v>
      </c>
      <c r="L356" s="143" t="str">
        <f t="shared" ca="1" si="162"/>
        <v/>
      </c>
      <c r="M356" s="144" t="s">
        <v>201</v>
      </c>
      <c r="N356" s="145" t="str">
        <f t="shared" ca="1" si="163"/>
        <v>Serviço</v>
      </c>
      <c r="O356" s="146" t="str">
        <f t="shared" ca="1" si="164"/>
        <v>-</v>
      </c>
      <c r="P356" s="147" t="s">
        <v>249</v>
      </c>
      <c r="Q356" s="148">
        <v>94794</v>
      </c>
      <c r="R356" s="149" t="str">
        <f t="shared" ca="1" si="178"/>
        <v>(abra o arquivo 'Referência 05-2024.xls)</v>
      </c>
      <c r="S356" s="150" t="str">
        <f t="shared" ca="1" si="179"/>
        <v>-</v>
      </c>
      <c r="T356" s="151">
        <f ca="1">OFFSET(CÁLCULO!H$15,ROW($T356)-ROW(T$15),0)</f>
        <v>10</v>
      </c>
      <c r="U356" s="152">
        <f t="shared" ca="1" si="176"/>
        <v>0</v>
      </c>
      <c r="V356" s="153" t="s">
        <v>158</v>
      </c>
      <c r="W356" s="151">
        <f t="shared" ca="1" si="165"/>
        <v>0</v>
      </c>
      <c r="X356" s="154">
        <f t="shared" ca="1" si="166"/>
        <v>0</v>
      </c>
      <c r="Y356" s="155" t="s">
        <v>583</v>
      </c>
      <c r="Z356" t="str">
        <f t="shared" ca="1" si="167"/>
        <v/>
      </c>
      <c r="AA356" s="156">
        <f ca="1">IF($C356="S",IF($Z356="CP",$X356,IF($Z356="RA",(($X356)*QCI!$AA$3),0)),SomaAgrup)</f>
        <v>0</v>
      </c>
      <c r="AB356" s="157">
        <f t="shared" ca="1" si="168"/>
        <v>0</v>
      </c>
      <c r="AC356" s="158" t="str">
        <f t="shared" ca="1" si="169"/>
        <v/>
      </c>
      <c r="AD356" s="104" t="str">
        <f ca="1">IF(C356&lt;=CRONO.NivelExibicao,MAX($AD$15:OFFSET(AD356,-1,0))+IF($C356&lt;&gt;1,1,MAX(1,COUNTIF(QCI!$A$13:$A$24,OFFSET($E356,-1,0)))),"")</f>
        <v/>
      </c>
      <c r="AE356" s="114" t="str">
        <f t="shared" ca="1" si="170"/>
        <v>SINAPI 94794</v>
      </c>
      <c r="AF356" s="159" t="str">
        <f t="shared" ca="1" si="171"/>
        <v>(abra o arquivo 'Referência 05-2024.xls)</v>
      </c>
      <c r="AG356" s="579">
        <f t="shared" ca="1" si="172"/>
        <v>0</v>
      </c>
      <c r="AH356" s="580">
        <f t="shared" ca="1" si="173"/>
        <v>0.22470000000000001</v>
      </c>
      <c r="AJ356" s="582">
        <v>10</v>
      </c>
      <c r="AL356" s="612"/>
      <c r="AM356" s="430">
        <f t="shared" ca="1" si="174"/>
        <v>0</v>
      </c>
      <c r="AN356" s="655">
        <f t="shared" ca="1" si="175"/>
        <v>0</v>
      </c>
    </row>
    <row r="357" spans="1:40" ht="13.8" x14ac:dyDescent="0.3">
      <c r="A357" t="str">
        <f t="shared" si="154"/>
        <v>S</v>
      </c>
      <c r="B357">
        <f t="shared" ca="1" si="155"/>
        <v>3</v>
      </c>
      <c r="C357" t="str">
        <f t="shared" ca="1" si="156"/>
        <v>S</v>
      </c>
      <c r="D357">
        <f t="shared" ca="1" si="157"/>
        <v>0</v>
      </c>
      <c r="E357">
        <f ca="1">IF($C357=1,OFFSET(E357,-1,0)+MAX(1,COUNTIF(QCI!$A$13:$A$24,OFFSET(ORÇAMENTO!E357,-1,0))),OFFSET(E357,-1,0))</f>
        <v>1</v>
      </c>
      <c r="F357">
        <f t="shared" ca="1" si="158"/>
        <v>12</v>
      </c>
      <c r="G357">
        <f t="shared" ca="1" si="159"/>
        <v>2</v>
      </c>
      <c r="H357">
        <f t="shared" ca="1" si="160"/>
        <v>0</v>
      </c>
      <c r="I357">
        <f t="shared" ca="1" si="161"/>
        <v>0</v>
      </c>
      <c r="J357">
        <f t="shared" ca="1" si="177"/>
        <v>0</v>
      </c>
      <c r="K357">
        <f ca="1">IF(OR($C357="S",$C357=0),0,MATCH(OFFSET($D357,0,$C357)+IF($C357&lt;&gt;1,1,COUNTIF(QCI!$A$13:$A$24,ORÇAMENTO!E357)),OFFSET($D357,1,$C357,ROW($C$710)-ROW($C357)),0))</f>
        <v>0</v>
      </c>
      <c r="L357" s="143" t="str">
        <f t="shared" ca="1" si="162"/>
        <v/>
      </c>
      <c r="M357" s="144" t="s">
        <v>201</v>
      </c>
      <c r="N357" s="145" t="str">
        <f t="shared" ca="1" si="163"/>
        <v>Serviço</v>
      </c>
      <c r="O357" s="146" t="str">
        <f t="shared" ca="1" si="164"/>
        <v>-</v>
      </c>
      <c r="P357" s="147" t="s">
        <v>249</v>
      </c>
      <c r="Q357" s="148">
        <v>89987</v>
      </c>
      <c r="R357" s="149" t="str">
        <f t="shared" ca="1" si="178"/>
        <v>(abra o arquivo 'Referência 05-2024.xls)</v>
      </c>
      <c r="S357" s="150" t="str">
        <f t="shared" ca="1" si="179"/>
        <v>-</v>
      </c>
      <c r="T357" s="151">
        <f ca="1">OFFSET(CÁLCULO!H$15,ROW($T357)-ROW(T$15),0)</f>
        <v>19</v>
      </c>
      <c r="U357" s="152">
        <f t="shared" ca="1" si="176"/>
        <v>0</v>
      </c>
      <c r="V357" s="153" t="s">
        <v>158</v>
      </c>
      <c r="W357" s="151">
        <f t="shared" ca="1" si="165"/>
        <v>0</v>
      </c>
      <c r="X357" s="154">
        <f t="shared" ca="1" si="166"/>
        <v>0</v>
      </c>
      <c r="Y357" s="155" t="s">
        <v>583</v>
      </c>
      <c r="Z357" t="str">
        <f t="shared" ca="1" si="167"/>
        <v/>
      </c>
      <c r="AA357" s="156">
        <f ca="1">IF($C357="S",IF($Z357="CP",$X357,IF($Z357="RA",(($X357)*QCI!$AA$3),0)),SomaAgrup)</f>
        <v>0</v>
      </c>
      <c r="AB357" s="157">
        <f t="shared" ca="1" si="168"/>
        <v>0</v>
      </c>
      <c r="AC357" s="158" t="str">
        <f t="shared" ca="1" si="169"/>
        <v/>
      </c>
      <c r="AD357" s="104" t="str">
        <f ca="1">IF(C357&lt;=CRONO.NivelExibicao,MAX($AD$15:OFFSET(AD357,-1,0))+IF($C357&lt;&gt;1,1,MAX(1,COUNTIF(QCI!$A$13:$A$24,OFFSET($E357,-1,0)))),"")</f>
        <v/>
      </c>
      <c r="AE357" s="114" t="str">
        <f t="shared" ca="1" si="170"/>
        <v>SINAPI 89987</v>
      </c>
      <c r="AF357" s="159" t="str">
        <f t="shared" ca="1" si="171"/>
        <v>(abra o arquivo 'Referência 05-2024.xls)</v>
      </c>
      <c r="AG357" s="579">
        <f t="shared" ca="1" si="172"/>
        <v>0</v>
      </c>
      <c r="AH357" s="580">
        <f t="shared" ca="1" si="173"/>
        <v>0.22470000000000001</v>
      </c>
      <c r="AJ357" s="582">
        <v>19</v>
      </c>
      <c r="AL357" s="612"/>
      <c r="AM357" s="430">
        <f t="shared" ca="1" si="174"/>
        <v>0</v>
      </c>
      <c r="AN357" s="655">
        <f t="shared" ca="1" si="175"/>
        <v>0</v>
      </c>
    </row>
    <row r="358" spans="1:40" ht="13.8" x14ac:dyDescent="0.3">
      <c r="A358" t="str">
        <f t="shared" si="154"/>
        <v>S</v>
      </c>
      <c r="B358">
        <f t="shared" ca="1" si="155"/>
        <v>3</v>
      </c>
      <c r="C358" t="str">
        <f t="shared" ca="1" si="156"/>
        <v>S</v>
      </c>
      <c r="D358">
        <f t="shared" ca="1" si="157"/>
        <v>0</v>
      </c>
      <c r="E358">
        <f ca="1">IF($C358=1,OFFSET(E358,-1,0)+MAX(1,COUNTIF(QCI!$A$13:$A$24,OFFSET(ORÇAMENTO!E358,-1,0))),OFFSET(E358,-1,0))</f>
        <v>1</v>
      </c>
      <c r="F358">
        <f t="shared" ca="1" si="158"/>
        <v>12</v>
      </c>
      <c r="G358">
        <f t="shared" ca="1" si="159"/>
        <v>2</v>
      </c>
      <c r="H358">
        <f t="shared" ca="1" si="160"/>
        <v>0</v>
      </c>
      <c r="I358">
        <f t="shared" ca="1" si="161"/>
        <v>0</v>
      </c>
      <c r="J358">
        <f t="shared" ca="1" si="177"/>
        <v>0</v>
      </c>
      <c r="K358">
        <f ca="1">IF(OR($C358="S",$C358=0),0,MATCH(OFFSET($D358,0,$C358)+IF($C358&lt;&gt;1,1,COUNTIF(QCI!$A$13:$A$24,ORÇAMENTO!E358)),OFFSET($D358,1,$C358,ROW($C$710)-ROW($C358)),0))</f>
        <v>0</v>
      </c>
      <c r="L358" s="143" t="str">
        <f t="shared" ca="1" si="162"/>
        <v/>
      </c>
      <c r="M358" s="144" t="s">
        <v>201</v>
      </c>
      <c r="N358" s="145" t="str">
        <f t="shared" ca="1" si="163"/>
        <v>Serviço</v>
      </c>
      <c r="O358" s="146" t="str">
        <f t="shared" ca="1" si="164"/>
        <v>-</v>
      </c>
      <c r="P358" s="147" t="s">
        <v>249</v>
      </c>
      <c r="Q358" s="148">
        <v>89985</v>
      </c>
      <c r="R358" s="149" t="str">
        <f t="shared" ca="1" si="178"/>
        <v>(abra o arquivo 'Referência 05-2024.xls)</v>
      </c>
      <c r="S358" s="150" t="str">
        <f t="shared" ca="1" si="179"/>
        <v>-</v>
      </c>
      <c r="T358" s="151">
        <f ca="1">OFFSET(CÁLCULO!H$15,ROW($T358)-ROW(T$15),0)</f>
        <v>10</v>
      </c>
      <c r="U358" s="152">
        <f t="shared" ca="1" si="176"/>
        <v>0</v>
      </c>
      <c r="V358" s="153" t="s">
        <v>158</v>
      </c>
      <c r="W358" s="151">
        <f t="shared" ca="1" si="165"/>
        <v>0</v>
      </c>
      <c r="X358" s="154">
        <f t="shared" ca="1" si="166"/>
        <v>0</v>
      </c>
      <c r="Y358" s="155" t="s">
        <v>583</v>
      </c>
      <c r="Z358" t="str">
        <f t="shared" ca="1" si="167"/>
        <v/>
      </c>
      <c r="AA358" s="156">
        <f ca="1">IF($C358="S",IF($Z358="CP",$X358,IF($Z358="RA",(($X358)*QCI!$AA$3),0)),SomaAgrup)</f>
        <v>0</v>
      </c>
      <c r="AB358" s="157">
        <f t="shared" ca="1" si="168"/>
        <v>0</v>
      </c>
      <c r="AC358" s="158" t="str">
        <f t="shared" ca="1" si="169"/>
        <v/>
      </c>
      <c r="AD358" s="104" t="str">
        <f ca="1">IF(C358&lt;=CRONO.NivelExibicao,MAX($AD$15:OFFSET(AD358,-1,0))+IF($C358&lt;&gt;1,1,MAX(1,COUNTIF(QCI!$A$13:$A$24,OFFSET($E358,-1,0)))),"")</f>
        <v/>
      </c>
      <c r="AE358" s="114" t="str">
        <f t="shared" ca="1" si="170"/>
        <v>SINAPI 89985</v>
      </c>
      <c r="AF358" s="159" t="str">
        <f t="shared" ca="1" si="171"/>
        <v>(abra o arquivo 'Referência 05-2024.xls)</v>
      </c>
      <c r="AG358" s="579">
        <f t="shared" ca="1" si="172"/>
        <v>0</v>
      </c>
      <c r="AH358" s="580">
        <f t="shared" ca="1" si="173"/>
        <v>0.22470000000000001</v>
      </c>
      <c r="AJ358" s="582">
        <v>10</v>
      </c>
      <c r="AL358" s="612"/>
      <c r="AM358" s="430">
        <f t="shared" ca="1" si="174"/>
        <v>0</v>
      </c>
      <c r="AN358" s="655">
        <f t="shared" ca="1" si="175"/>
        <v>0</v>
      </c>
    </row>
    <row r="359" spans="1:40" ht="13.8" x14ac:dyDescent="0.3">
      <c r="A359" t="str">
        <f t="shared" si="154"/>
        <v>S</v>
      </c>
      <c r="B359">
        <f t="shared" ca="1" si="155"/>
        <v>3</v>
      </c>
      <c r="C359" t="str">
        <f t="shared" ca="1" si="156"/>
        <v>S</v>
      </c>
      <c r="D359">
        <f t="shared" ca="1" si="157"/>
        <v>0</v>
      </c>
      <c r="E359">
        <f ca="1">IF($C359=1,OFFSET(E359,-1,0)+MAX(1,COUNTIF(QCI!$A$13:$A$24,OFFSET(ORÇAMENTO!E359,-1,0))),OFFSET(E359,-1,0))</f>
        <v>1</v>
      </c>
      <c r="F359">
        <f t="shared" ca="1" si="158"/>
        <v>12</v>
      </c>
      <c r="G359">
        <f t="shared" ca="1" si="159"/>
        <v>2</v>
      </c>
      <c r="H359">
        <f t="shared" ca="1" si="160"/>
        <v>0</v>
      </c>
      <c r="I359">
        <f t="shared" ca="1" si="161"/>
        <v>0</v>
      </c>
      <c r="J359">
        <f t="shared" ca="1" si="177"/>
        <v>0</v>
      </c>
      <c r="K359">
        <f ca="1">IF(OR($C359="S",$C359=0),0,MATCH(OFFSET($D359,0,$C359)+IF($C359&lt;&gt;1,1,COUNTIF(QCI!$A$13:$A$24,ORÇAMENTO!E359)),OFFSET($D359,1,$C359,ROW($C$710)-ROW($C359)),0))</f>
        <v>0</v>
      </c>
      <c r="L359" s="143" t="str">
        <f t="shared" ca="1" si="162"/>
        <v/>
      </c>
      <c r="M359" s="144" t="s">
        <v>201</v>
      </c>
      <c r="N359" s="145" t="str">
        <f t="shared" ca="1" si="163"/>
        <v>Serviço</v>
      </c>
      <c r="O359" s="146" t="str">
        <f t="shared" ca="1" si="164"/>
        <v>-</v>
      </c>
      <c r="P359" s="147" t="s">
        <v>249</v>
      </c>
      <c r="Q359" s="148">
        <v>99622</v>
      </c>
      <c r="R359" s="149" t="str">
        <f t="shared" ca="1" si="178"/>
        <v>(abra o arquivo 'Referência 05-2024.xls)</v>
      </c>
      <c r="S359" s="150" t="str">
        <f t="shared" ca="1" si="179"/>
        <v>-</v>
      </c>
      <c r="T359" s="151">
        <f ca="1">OFFSET(CÁLCULO!H$15,ROW($T359)-ROW(T$15),0)</f>
        <v>1</v>
      </c>
      <c r="U359" s="152">
        <f t="shared" ca="1" si="176"/>
        <v>0</v>
      </c>
      <c r="V359" s="153" t="s">
        <v>158</v>
      </c>
      <c r="W359" s="151">
        <f t="shared" ca="1" si="165"/>
        <v>0</v>
      </c>
      <c r="X359" s="154">
        <f t="shared" ca="1" si="166"/>
        <v>0</v>
      </c>
      <c r="Y359" s="155" t="s">
        <v>583</v>
      </c>
      <c r="Z359" t="str">
        <f t="shared" ca="1" si="167"/>
        <v/>
      </c>
      <c r="AA359" s="156">
        <f ca="1">IF($C359="S",IF($Z359="CP",$X359,IF($Z359="RA",(($X359)*QCI!$AA$3),0)),SomaAgrup)</f>
        <v>0</v>
      </c>
      <c r="AB359" s="157">
        <f t="shared" ca="1" si="168"/>
        <v>0</v>
      </c>
      <c r="AC359" s="158" t="str">
        <f t="shared" ca="1" si="169"/>
        <v/>
      </c>
      <c r="AD359" s="104" t="str">
        <f ca="1">IF(C359&lt;=CRONO.NivelExibicao,MAX($AD$15:OFFSET(AD359,-1,0))+IF($C359&lt;&gt;1,1,MAX(1,COUNTIF(QCI!$A$13:$A$24,OFFSET($E359,-1,0)))),"")</f>
        <v/>
      </c>
      <c r="AE359" s="114" t="str">
        <f t="shared" ca="1" si="170"/>
        <v>SINAPI 99622</v>
      </c>
      <c r="AF359" s="159" t="str">
        <f t="shared" ca="1" si="171"/>
        <v>(abra o arquivo 'Referência 05-2024.xls)</v>
      </c>
      <c r="AG359" s="579">
        <f t="shared" ca="1" si="172"/>
        <v>0</v>
      </c>
      <c r="AH359" s="580">
        <f t="shared" ca="1" si="173"/>
        <v>0.22470000000000001</v>
      </c>
      <c r="AJ359" s="582">
        <v>1</v>
      </c>
      <c r="AL359" s="612"/>
      <c r="AM359" s="430">
        <f t="shared" ca="1" si="174"/>
        <v>0</v>
      </c>
      <c r="AN359" s="655">
        <f t="shared" ca="1" si="175"/>
        <v>0</v>
      </c>
    </row>
    <row r="360" spans="1:40" ht="13.8" x14ac:dyDescent="0.3">
      <c r="A360">
        <f t="shared" si="154"/>
        <v>3</v>
      </c>
      <c r="B360">
        <f t="shared" ca="1" si="155"/>
        <v>3</v>
      </c>
      <c r="C360">
        <f t="shared" ca="1" si="156"/>
        <v>3</v>
      </c>
      <c r="D360">
        <f t="shared" ca="1" si="157"/>
        <v>4</v>
      </c>
      <c r="E360">
        <f ca="1">IF($C360=1,OFFSET(E360,-1,0)+MAX(1,COUNTIF(QCI!$A$13:$A$24,OFFSET(ORÇAMENTO!E360,-1,0))),OFFSET(E360,-1,0))</f>
        <v>1</v>
      </c>
      <c r="F360">
        <f t="shared" ca="1" si="158"/>
        <v>12</v>
      </c>
      <c r="G360">
        <f t="shared" ca="1" si="159"/>
        <v>3</v>
      </c>
      <c r="H360">
        <f t="shared" ca="1" si="160"/>
        <v>0</v>
      </c>
      <c r="I360">
        <f t="shared" ca="1" si="161"/>
        <v>0</v>
      </c>
      <c r="J360">
        <f t="shared" ca="1" si="177"/>
        <v>11</v>
      </c>
      <c r="K360">
        <f ca="1">IF(OR($C360="S",$C360=0),0,MATCH(OFFSET($D360,0,$C360)+IF($C360&lt;&gt;1,1,COUNTIF(QCI!$A$13:$A$24,ORÇAMENTO!E360)),OFFSET($D360,1,$C360,ROW($C$710)-ROW($C360)),0))</f>
        <v>4</v>
      </c>
      <c r="L360" s="143" t="str">
        <f t="shared" ca="1" si="162"/>
        <v>F</v>
      </c>
      <c r="M360" s="144" t="s">
        <v>199</v>
      </c>
      <c r="N360" s="145" t="str">
        <f t="shared" ca="1" si="163"/>
        <v>Nível 3</v>
      </c>
      <c r="O360" s="146" t="str">
        <f t="shared" ca="1" si="164"/>
        <v>1.12.3.</v>
      </c>
      <c r="P360" s="147" t="s">
        <v>249</v>
      </c>
      <c r="Q360" s="148"/>
      <c r="R360" s="149" t="s">
        <v>528</v>
      </c>
      <c r="S360" s="150" t="s">
        <v>168</v>
      </c>
      <c r="T360" s="151">
        <f ca="1">OFFSET(CÁLCULO!H$15,ROW($T360)-ROW(T$15),0)</f>
        <v>0</v>
      </c>
      <c r="U360" s="152">
        <f t="shared" ca="1" si="176"/>
        <v>0</v>
      </c>
      <c r="V360" s="153" t="s">
        <v>158</v>
      </c>
      <c r="W360" s="151">
        <f t="shared" ca="1" si="165"/>
        <v>0</v>
      </c>
      <c r="X360" s="154">
        <f t="shared" ca="1" si="166"/>
        <v>0</v>
      </c>
      <c r="Y360" s="155" t="s">
        <v>583</v>
      </c>
      <c r="Z360" t="str">
        <f t="shared" ca="1" si="167"/>
        <v/>
      </c>
      <c r="AA360" s="156">
        <f ca="1">IF($C360="S",IF($Z360="CP",$X360,IF($Z360="RA",(($X360)*QCI!$AA$3),0)),SomaAgrup)</f>
        <v>0</v>
      </c>
      <c r="AB360" s="157">
        <f t="shared" ca="1" si="168"/>
        <v>0</v>
      </c>
      <c r="AC360" s="158" t="str">
        <f t="shared" ca="1" si="169"/>
        <v/>
      </c>
      <c r="AD360" s="104" t="str">
        <f ca="1">IF(C360&lt;=CRONO.NivelExibicao,MAX($AD$15:OFFSET(AD360,-1,0))+IF($C360&lt;&gt;1,1,MAX(1,COUNTIF(QCI!$A$13:$A$24,OFFSET($E360,-1,0)))),"")</f>
        <v/>
      </c>
      <c r="AE360" s="114" t="b">
        <f t="shared" ca="1" si="170"/>
        <v>0</v>
      </c>
      <c r="AF360" s="159" t="str">
        <f t="shared" ca="1" si="171"/>
        <v>(abra o arquivo 'Referência 05-2024.xls)</v>
      </c>
      <c r="AG360" s="579">
        <f t="shared" ca="1" si="172"/>
        <v>0</v>
      </c>
      <c r="AH360" s="580">
        <f t="shared" ca="1" si="173"/>
        <v>0.22470000000000001</v>
      </c>
      <c r="AJ360" s="582"/>
      <c r="AL360" s="612"/>
      <c r="AM360" s="430">
        <f t="shared" ca="1" si="174"/>
        <v>0</v>
      </c>
      <c r="AN360" s="655">
        <f t="shared" ca="1" si="175"/>
        <v>0</v>
      </c>
    </row>
    <row r="361" spans="1:40" ht="13.8" x14ac:dyDescent="0.3">
      <c r="A361" t="str">
        <f t="shared" si="154"/>
        <v>S</v>
      </c>
      <c r="B361">
        <f t="shared" ca="1" si="155"/>
        <v>3</v>
      </c>
      <c r="C361" t="str">
        <f t="shared" ca="1" si="156"/>
        <v>S</v>
      </c>
      <c r="D361">
        <f t="shared" ca="1" si="157"/>
        <v>0</v>
      </c>
      <c r="E361">
        <f ca="1">IF($C361=1,OFFSET(E361,-1,0)+MAX(1,COUNTIF(QCI!$A$13:$A$24,OFFSET(ORÇAMENTO!E361,-1,0))),OFFSET(E361,-1,0))</f>
        <v>1</v>
      </c>
      <c r="F361">
        <f t="shared" ca="1" si="158"/>
        <v>12</v>
      </c>
      <c r="G361">
        <f t="shared" ca="1" si="159"/>
        <v>3</v>
      </c>
      <c r="H361">
        <f t="shared" ca="1" si="160"/>
        <v>0</v>
      </c>
      <c r="I361">
        <f t="shared" ca="1" si="161"/>
        <v>0</v>
      </c>
      <c r="J361">
        <f t="shared" ca="1" si="177"/>
        <v>0</v>
      </c>
      <c r="K361">
        <f ca="1">IF(OR($C361="S",$C361=0),0,MATCH(OFFSET($D361,0,$C361)+IF($C361&lt;&gt;1,1,COUNTIF(QCI!$A$13:$A$24,ORÇAMENTO!E361)),OFFSET($D361,1,$C361,ROW($C$710)-ROW($C361)),0))</f>
        <v>0</v>
      </c>
      <c r="L361" s="143" t="str">
        <f t="shared" ca="1" si="162"/>
        <v/>
      </c>
      <c r="M361" s="144" t="s">
        <v>201</v>
      </c>
      <c r="N361" s="145" t="str">
        <f t="shared" ca="1" si="163"/>
        <v>Serviço</v>
      </c>
      <c r="O361" s="146" t="str">
        <f t="shared" ca="1" si="164"/>
        <v>-</v>
      </c>
      <c r="P361" s="147" t="s">
        <v>579</v>
      </c>
      <c r="Q361" s="148" t="s">
        <v>466</v>
      </c>
      <c r="R361" s="149" t="str">
        <f ca="1">IF($C361="S",REFERENCIA.Descricao,"(digite a descrição aqui)")</f>
        <v>(abra o arquivo 'Referência 05-2024.xls)</v>
      </c>
      <c r="S361" s="150" t="str">
        <f ca="1">REFERENCIA.Unidade</f>
        <v>-</v>
      </c>
      <c r="T361" s="151">
        <f ca="1">OFFSET(CÁLCULO!H$15,ROW($T361)-ROW(T$15),0)</f>
        <v>1</v>
      </c>
      <c r="U361" s="152">
        <f t="shared" ca="1" si="176"/>
        <v>0</v>
      </c>
      <c r="V361" s="153" t="s">
        <v>193</v>
      </c>
      <c r="W361" s="151">
        <f t="shared" ca="1" si="165"/>
        <v>0</v>
      </c>
      <c r="X361" s="154">
        <f t="shared" ca="1" si="166"/>
        <v>0</v>
      </c>
      <c r="Y361" s="155" t="s">
        <v>583</v>
      </c>
      <c r="Z361" t="str">
        <f t="shared" ca="1" si="167"/>
        <v/>
      </c>
      <c r="AA361" s="156">
        <f ca="1">IF($C361="S",IF($Z361="CP",$X361,IF($Z361="RA",(($X361)*QCI!$AA$3),0)),SomaAgrup)</f>
        <v>0</v>
      </c>
      <c r="AB361" s="157">
        <f t="shared" ca="1" si="168"/>
        <v>0</v>
      </c>
      <c r="AC361" s="158" t="str">
        <f t="shared" ca="1" si="169"/>
        <v/>
      </c>
      <c r="AD361" s="104" t="str">
        <f ca="1">IF(C361&lt;=CRONO.NivelExibicao,MAX($AD$15:OFFSET(AD361,-1,0))+IF($C361&lt;&gt;1,1,MAX(1,COUNTIF(QCI!$A$13:$A$24,OFFSET($E361,-1,0)))),"")</f>
        <v/>
      </c>
      <c r="AE361" s="114" t="str">
        <f t="shared" ca="1" si="170"/>
        <v>Cotação CT-01</v>
      </c>
      <c r="AF361" s="159" t="str">
        <f t="shared" ca="1" si="171"/>
        <v>(abra o arquivo 'Referência 05-2024.xls)</v>
      </c>
      <c r="AG361" s="579">
        <f t="shared" ca="1" si="172"/>
        <v>0</v>
      </c>
      <c r="AH361" s="580">
        <f t="shared" ca="1" si="173"/>
        <v>0.16800000000000001</v>
      </c>
      <c r="AJ361" s="582">
        <v>1</v>
      </c>
      <c r="AL361" s="612"/>
      <c r="AM361" s="430">
        <f t="shared" ca="1" si="174"/>
        <v>0</v>
      </c>
      <c r="AN361" s="655">
        <f t="shared" ca="1" si="175"/>
        <v>0</v>
      </c>
    </row>
    <row r="362" spans="1:40" ht="13.8" x14ac:dyDescent="0.3">
      <c r="A362" t="str">
        <f t="shared" si="154"/>
        <v>S</v>
      </c>
      <c r="B362">
        <f t="shared" ca="1" si="155"/>
        <v>3</v>
      </c>
      <c r="C362" t="str">
        <f t="shared" ca="1" si="156"/>
        <v>S</v>
      </c>
      <c r="D362">
        <f t="shared" ca="1" si="157"/>
        <v>0</v>
      </c>
      <c r="E362">
        <f ca="1">IF($C362=1,OFFSET(E362,-1,0)+MAX(1,COUNTIF(QCI!$A$13:$A$24,OFFSET(ORÇAMENTO!E362,-1,0))),OFFSET(E362,-1,0))</f>
        <v>1</v>
      </c>
      <c r="F362">
        <f t="shared" ca="1" si="158"/>
        <v>12</v>
      </c>
      <c r="G362">
        <f t="shared" ca="1" si="159"/>
        <v>3</v>
      </c>
      <c r="H362">
        <f t="shared" ca="1" si="160"/>
        <v>0</v>
      </c>
      <c r="I362">
        <f t="shared" ca="1" si="161"/>
        <v>0</v>
      </c>
      <c r="J362">
        <f t="shared" ca="1" si="177"/>
        <v>0</v>
      </c>
      <c r="K362">
        <f ca="1">IF(OR($C362="S",$C362=0),0,MATCH(OFFSET($D362,0,$C362)+IF($C362&lt;&gt;1,1,COUNTIF(QCI!$A$13:$A$24,ORÇAMENTO!E362)),OFFSET($D362,1,$C362,ROW($C$710)-ROW($C362)),0))</f>
        <v>0</v>
      </c>
      <c r="L362" s="143" t="str">
        <f t="shared" ca="1" si="162"/>
        <v/>
      </c>
      <c r="M362" s="144" t="s">
        <v>201</v>
      </c>
      <c r="N362" s="145" t="str">
        <f t="shared" ca="1" si="163"/>
        <v>Serviço</v>
      </c>
      <c r="O362" s="146" t="str">
        <f t="shared" ca="1" si="164"/>
        <v>-</v>
      </c>
      <c r="P362" s="147" t="s">
        <v>249</v>
      </c>
      <c r="Q362" s="148">
        <v>102116</v>
      </c>
      <c r="R362" s="149" t="str">
        <f ca="1">IF($C362="S",REFERENCIA.Descricao,"(digite a descrição aqui)")</f>
        <v>(abra o arquivo 'Referência 05-2024.xls)</v>
      </c>
      <c r="S362" s="150" t="str">
        <f ca="1">REFERENCIA.Unidade</f>
        <v>-</v>
      </c>
      <c r="T362" s="151">
        <f ca="1">OFFSET(CÁLCULO!H$15,ROW($T362)-ROW(T$15),0)</f>
        <v>2</v>
      </c>
      <c r="U362" s="152">
        <f t="shared" ca="1" si="176"/>
        <v>0</v>
      </c>
      <c r="V362" s="153" t="s">
        <v>193</v>
      </c>
      <c r="W362" s="151">
        <f t="shared" ca="1" si="165"/>
        <v>0</v>
      </c>
      <c r="X362" s="154">
        <f t="shared" ca="1" si="166"/>
        <v>0</v>
      </c>
      <c r="Y362" s="155" t="s">
        <v>583</v>
      </c>
      <c r="Z362" t="str">
        <f t="shared" ca="1" si="167"/>
        <v/>
      </c>
      <c r="AA362" s="156">
        <f ca="1">IF($C362="S",IF($Z362="CP",$X362,IF($Z362="RA",(($X362)*QCI!$AA$3),0)),SomaAgrup)</f>
        <v>0</v>
      </c>
      <c r="AB362" s="157">
        <f t="shared" ca="1" si="168"/>
        <v>0</v>
      </c>
      <c r="AC362" s="158" t="str">
        <f t="shared" ca="1" si="169"/>
        <v/>
      </c>
      <c r="AD362" s="104" t="str">
        <f ca="1">IF(C362&lt;=CRONO.NivelExibicao,MAX($AD$15:OFFSET(AD362,-1,0))+IF($C362&lt;&gt;1,1,MAX(1,COUNTIF(QCI!$A$13:$A$24,OFFSET($E362,-1,0)))),"")</f>
        <v/>
      </c>
      <c r="AE362" s="114" t="str">
        <f t="shared" ca="1" si="170"/>
        <v>SINAPI 102116</v>
      </c>
      <c r="AF362" s="159" t="str">
        <f t="shared" ca="1" si="171"/>
        <v>(abra o arquivo 'Referência 05-2024.xls)</v>
      </c>
      <c r="AG362" s="579">
        <f t="shared" ca="1" si="172"/>
        <v>0</v>
      </c>
      <c r="AH362" s="580">
        <f t="shared" ca="1" si="173"/>
        <v>0.16800000000000001</v>
      </c>
      <c r="AJ362" s="582">
        <v>2</v>
      </c>
      <c r="AL362" s="612"/>
      <c r="AM362" s="430">
        <f t="shared" ca="1" si="174"/>
        <v>0</v>
      </c>
      <c r="AN362" s="655">
        <f t="shared" ca="1" si="175"/>
        <v>0</v>
      </c>
    </row>
    <row r="363" spans="1:40" ht="13.8" x14ac:dyDescent="0.3">
      <c r="A363" t="str">
        <f t="shared" si="154"/>
        <v>S</v>
      </c>
      <c r="B363">
        <f t="shared" ca="1" si="155"/>
        <v>3</v>
      </c>
      <c r="C363" t="str">
        <f t="shared" ca="1" si="156"/>
        <v>S</v>
      </c>
      <c r="D363">
        <f t="shared" ca="1" si="157"/>
        <v>0</v>
      </c>
      <c r="E363">
        <f ca="1">IF($C363=1,OFFSET(E363,-1,0)+MAX(1,COUNTIF(QCI!$A$13:$A$24,OFFSET(ORÇAMENTO!E363,-1,0))),OFFSET(E363,-1,0))</f>
        <v>1</v>
      </c>
      <c r="F363">
        <f t="shared" ca="1" si="158"/>
        <v>12</v>
      </c>
      <c r="G363">
        <f t="shared" ca="1" si="159"/>
        <v>3</v>
      </c>
      <c r="H363">
        <f t="shared" ca="1" si="160"/>
        <v>0</v>
      </c>
      <c r="I363">
        <f t="shared" ca="1" si="161"/>
        <v>0</v>
      </c>
      <c r="J363">
        <f t="shared" ca="1" si="177"/>
        <v>0</v>
      </c>
      <c r="K363">
        <f ca="1">IF(OR($C363="S",$C363=0),0,MATCH(OFFSET($D363,0,$C363)+IF($C363&lt;&gt;1,1,COUNTIF(QCI!$A$13:$A$24,ORÇAMENTO!E363)),OFFSET($D363,1,$C363,ROW($C$710)-ROW($C363)),0))</f>
        <v>0</v>
      </c>
      <c r="L363" s="143" t="str">
        <f t="shared" ca="1" si="162"/>
        <v/>
      </c>
      <c r="M363" s="144" t="s">
        <v>201</v>
      </c>
      <c r="N363" s="145" t="str">
        <f t="shared" ca="1" si="163"/>
        <v>Serviço</v>
      </c>
      <c r="O363" s="146" t="str">
        <f t="shared" ca="1" si="164"/>
        <v>-</v>
      </c>
      <c r="P363" s="147" t="s">
        <v>249</v>
      </c>
      <c r="Q363" s="148">
        <v>102609</v>
      </c>
      <c r="R363" s="149" t="str">
        <f ca="1">IF($C363="S",REFERENCIA.Descricao,"(digite a descrição aqui)")</f>
        <v>(abra o arquivo 'Referência 05-2024.xls)</v>
      </c>
      <c r="S363" s="150" t="str">
        <f ca="1">REFERENCIA.Unidade</f>
        <v>-</v>
      </c>
      <c r="T363" s="151">
        <f ca="1">OFFSET(CÁLCULO!H$15,ROW($T363)-ROW(T$15),0)</f>
        <v>1</v>
      </c>
      <c r="U363" s="152">
        <f t="shared" ca="1" si="176"/>
        <v>0</v>
      </c>
      <c r="V363" s="153" t="s">
        <v>158</v>
      </c>
      <c r="W363" s="151">
        <f t="shared" ca="1" si="165"/>
        <v>0</v>
      </c>
      <c r="X363" s="154">
        <f t="shared" ca="1" si="166"/>
        <v>0</v>
      </c>
      <c r="Y363" s="155" t="s">
        <v>583</v>
      </c>
      <c r="Z363" t="str">
        <f t="shared" ca="1" si="167"/>
        <v/>
      </c>
      <c r="AA363" s="156">
        <f ca="1">IF($C363="S",IF($Z363="CP",$X363,IF($Z363="RA",(($X363)*QCI!$AA$3),0)),SomaAgrup)</f>
        <v>0</v>
      </c>
      <c r="AB363" s="157">
        <f t="shared" ca="1" si="168"/>
        <v>0</v>
      </c>
      <c r="AC363" s="158" t="str">
        <f t="shared" ca="1" si="169"/>
        <v/>
      </c>
      <c r="AD363" s="104" t="str">
        <f ca="1">IF(C363&lt;=CRONO.NivelExibicao,MAX($AD$15:OFFSET(AD363,-1,0))+IF($C363&lt;&gt;1,1,MAX(1,COUNTIF(QCI!$A$13:$A$24,OFFSET($E363,-1,0)))),"")</f>
        <v/>
      </c>
      <c r="AE363" s="114" t="str">
        <f t="shared" ca="1" si="170"/>
        <v>SINAPI 102609</v>
      </c>
      <c r="AF363" s="159" t="str">
        <f t="shared" ca="1" si="171"/>
        <v>(abra o arquivo 'Referência 05-2024.xls)</v>
      </c>
      <c r="AG363" s="579">
        <f t="shared" ca="1" si="172"/>
        <v>0</v>
      </c>
      <c r="AH363" s="580">
        <f t="shared" ca="1" si="173"/>
        <v>0.22470000000000001</v>
      </c>
      <c r="AJ363" s="582">
        <v>1</v>
      </c>
      <c r="AL363" s="612"/>
      <c r="AM363" s="430">
        <f t="shared" ca="1" si="174"/>
        <v>0</v>
      </c>
      <c r="AN363" s="655">
        <f t="shared" ca="1" si="175"/>
        <v>0</v>
      </c>
    </row>
    <row r="364" spans="1:40" ht="13.8" x14ac:dyDescent="0.3">
      <c r="A364">
        <f t="shared" si="154"/>
        <v>3</v>
      </c>
      <c r="B364">
        <f t="shared" ca="1" si="155"/>
        <v>3</v>
      </c>
      <c r="C364">
        <f t="shared" ca="1" si="156"/>
        <v>3</v>
      </c>
      <c r="D364">
        <f t="shared" ca="1" si="157"/>
        <v>5</v>
      </c>
      <c r="E364">
        <f ca="1">IF($C364=1,OFFSET(E364,-1,0)+MAX(1,COUNTIF(QCI!$A$13:$A$24,OFFSET(ORÇAMENTO!E364,-1,0))),OFFSET(E364,-1,0))</f>
        <v>1</v>
      </c>
      <c r="F364">
        <f t="shared" ca="1" si="158"/>
        <v>12</v>
      </c>
      <c r="G364">
        <f t="shared" ca="1" si="159"/>
        <v>4</v>
      </c>
      <c r="H364">
        <f t="shared" ca="1" si="160"/>
        <v>0</v>
      </c>
      <c r="I364">
        <f t="shared" ca="1" si="161"/>
        <v>0</v>
      </c>
      <c r="J364">
        <f t="shared" ca="1" si="177"/>
        <v>7</v>
      </c>
      <c r="K364">
        <f ca="1">IF(OR($C364="S",$C364=0),0,MATCH(OFFSET($D364,0,$C364)+IF($C364&lt;&gt;1,1,COUNTIF(QCI!$A$13:$A$24,ORÇAMENTO!E364)),OFFSET($D364,1,$C364,ROW($C$710)-ROW($C364)),0))</f>
        <v>5</v>
      </c>
      <c r="L364" s="143" t="str">
        <f t="shared" ca="1" si="162"/>
        <v>F</v>
      </c>
      <c r="M364" s="144" t="s">
        <v>199</v>
      </c>
      <c r="N364" s="145" t="str">
        <f t="shared" ca="1" si="163"/>
        <v>Nível 3</v>
      </c>
      <c r="O364" s="146" t="str">
        <f t="shared" ca="1" si="164"/>
        <v>1.12.4.</v>
      </c>
      <c r="P364" s="147" t="s">
        <v>249</v>
      </c>
      <c r="Q364" s="148"/>
      <c r="R364" s="149" t="s">
        <v>529</v>
      </c>
      <c r="S364" s="150" t="s">
        <v>168</v>
      </c>
      <c r="T364" s="151">
        <f ca="1">OFFSET(CÁLCULO!H$15,ROW($T364)-ROW(T$15),0)</f>
        <v>0</v>
      </c>
      <c r="U364" s="152"/>
      <c r="V364" s="153" t="s">
        <v>158</v>
      </c>
      <c r="W364" s="151">
        <f t="shared" ca="1" si="165"/>
        <v>0</v>
      </c>
      <c r="X364" s="154">
        <f t="shared" ca="1" si="166"/>
        <v>0</v>
      </c>
      <c r="Y364" s="155" t="s">
        <v>583</v>
      </c>
      <c r="Z364" t="str">
        <f t="shared" ca="1" si="167"/>
        <v/>
      </c>
      <c r="AA364" s="156">
        <f ca="1">IF($C364="S",IF($Z364="CP",$X364,IF($Z364="RA",(($X364)*QCI!$AA$3),0)),SomaAgrup)</f>
        <v>0</v>
      </c>
      <c r="AB364" s="157">
        <f t="shared" ca="1" si="168"/>
        <v>0</v>
      </c>
      <c r="AC364" s="158" t="str">
        <f t="shared" ca="1" si="169"/>
        <v/>
      </c>
      <c r="AD364" s="104" t="str">
        <f ca="1">IF(C364&lt;=CRONO.NivelExibicao,MAX($AD$15:OFFSET(AD364,-1,0))+IF($C364&lt;&gt;1,1,MAX(1,COUNTIF(QCI!$A$13:$A$24,OFFSET($E364,-1,0)))),"")</f>
        <v/>
      </c>
      <c r="AE364" s="114" t="b">
        <f t="shared" ca="1" si="170"/>
        <v>0</v>
      </c>
      <c r="AF364" s="159" t="str">
        <f t="shared" ca="1" si="171"/>
        <v>(abra o arquivo 'Referência 05-2024.xls)</v>
      </c>
      <c r="AG364" s="579">
        <f t="shared" ca="1" si="172"/>
        <v>0</v>
      </c>
      <c r="AH364" s="580">
        <f t="shared" ca="1" si="173"/>
        <v>0.22470000000000001</v>
      </c>
      <c r="AJ364" s="582"/>
      <c r="AL364" s="612"/>
      <c r="AM364" s="430">
        <f t="shared" ca="1" si="174"/>
        <v>0</v>
      </c>
      <c r="AN364" s="655">
        <f t="shared" ca="1" si="175"/>
        <v>0</v>
      </c>
    </row>
    <row r="365" spans="1:40" ht="13.8" x14ac:dyDescent="0.3">
      <c r="A365" t="str">
        <f t="shared" si="154"/>
        <v>S</v>
      </c>
      <c r="B365">
        <f t="shared" ca="1" si="155"/>
        <v>3</v>
      </c>
      <c r="C365" t="str">
        <f t="shared" ca="1" si="156"/>
        <v>S</v>
      </c>
      <c r="D365">
        <f t="shared" ca="1" si="157"/>
        <v>0</v>
      </c>
      <c r="E365">
        <f ca="1">IF($C365=1,OFFSET(E365,-1,0)+MAX(1,COUNTIF(QCI!$A$13:$A$24,OFFSET(ORÇAMENTO!E365,-1,0))),OFFSET(E365,-1,0))</f>
        <v>1</v>
      </c>
      <c r="F365">
        <f t="shared" ca="1" si="158"/>
        <v>12</v>
      </c>
      <c r="G365">
        <f t="shared" ca="1" si="159"/>
        <v>4</v>
      </c>
      <c r="H365">
        <f t="shared" ca="1" si="160"/>
        <v>0</v>
      </c>
      <c r="I365">
        <f t="shared" ca="1" si="161"/>
        <v>0</v>
      </c>
      <c r="J365">
        <f t="shared" ca="1" si="177"/>
        <v>0</v>
      </c>
      <c r="K365">
        <f ca="1">IF(OR($C365="S",$C365=0),0,MATCH(OFFSET($D365,0,$C365)+IF($C365&lt;&gt;1,1,COUNTIF(QCI!$A$13:$A$24,ORÇAMENTO!E365)),OFFSET($D365,1,$C365,ROW($C$710)-ROW($C365)),0))</f>
        <v>0</v>
      </c>
      <c r="L365" s="143" t="str">
        <f t="shared" ca="1" si="162"/>
        <v/>
      </c>
      <c r="M365" s="144" t="s">
        <v>201</v>
      </c>
      <c r="N365" s="145" t="str">
        <f t="shared" ca="1" si="163"/>
        <v>Serviço</v>
      </c>
      <c r="O365" s="146" t="str">
        <f t="shared" ca="1" si="164"/>
        <v>-</v>
      </c>
      <c r="P365" s="147" t="s">
        <v>579</v>
      </c>
      <c r="Q365" s="148" t="s">
        <v>467</v>
      </c>
      <c r="R365" s="149" t="str">
        <f ca="1">IF($C365="S",REFERENCIA.Descricao,"(digite a descrição aqui)")</f>
        <v>(abra o arquivo 'Referência 05-2024.xls)</v>
      </c>
      <c r="S365" s="150" t="str">
        <f ca="1">REFERENCIA.Unidade</f>
        <v>-</v>
      </c>
      <c r="T365" s="151">
        <f ca="1">OFFSET(CÁLCULO!H$15,ROW($T365)-ROW(T$15),0)</f>
        <v>6</v>
      </c>
      <c r="U365" s="152">
        <f t="shared" ca="1" si="176"/>
        <v>0</v>
      </c>
      <c r="V365" s="153" t="s">
        <v>193</v>
      </c>
      <c r="W365" s="151">
        <f t="shared" ca="1" si="165"/>
        <v>0</v>
      </c>
      <c r="X365" s="154">
        <f t="shared" ca="1" si="166"/>
        <v>0</v>
      </c>
      <c r="Y365" s="155" t="s">
        <v>583</v>
      </c>
      <c r="Z365" t="str">
        <f t="shared" ca="1" si="167"/>
        <v/>
      </c>
      <c r="AA365" s="156">
        <f ca="1">IF($C365="S",IF($Z365="CP",$X365,IF($Z365="RA",(($X365)*QCI!$AA$3),0)),SomaAgrup)</f>
        <v>0</v>
      </c>
      <c r="AB365" s="157">
        <f t="shared" ca="1" si="168"/>
        <v>0</v>
      </c>
      <c r="AC365" s="158" t="str">
        <f t="shared" ca="1" si="169"/>
        <v/>
      </c>
      <c r="AD365" s="104" t="str">
        <f ca="1">IF(C365&lt;=CRONO.NivelExibicao,MAX($AD$15:OFFSET(AD365,-1,0))+IF($C365&lt;&gt;1,1,MAX(1,COUNTIF(QCI!$A$13:$A$24,OFFSET($E365,-1,0)))),"")</f>
        <v/>
      </c>
      <c r="AE365" s="114" t="str">
        <f t="shared" ca="1" si="170"/>
        <v>Cotação CT-02</v>
      </c>
      <c r="AF365" s="159" t="str">
        <f t="shared" ca="1" si="171"/>
        <v>(abra o arquivo 'Referência 05-2024.xls)</v>
      </c>
      <c r="AG365" s="579">
        <f t="shared" ca="1" si="172"/>
        <v>0</v>
      </c>
      <c r="AH365" s="580">
        <f t="shared" ca="1" si="173"/>
        <v>0.16800000000000001</v>
      </c>
      <c r="AJ365" s="582">
        <v>6</v>
      </c>
      <c r="AL365" s="612"/>
      <c r="AM365" s="430">
        <f t="shared" ca="1" si="174"/>
        <v>0</v>
      </c>
      <c r="AN365" s="655">
        <f t="shared" ca="1" si="175"/>
        <v>0</v>
      </c>
    </row>
    <row r="366" spans="1:40" ht="13.8" x14ac:dyDescent="0.3">
      <c r="A366" t="str">
        <f t="shared" si="154"/>
        <v>S</v>
      </c>
      <c r="B366">
        <f t="shared" ca="1" si="155"/>
        <v>3</v>
      </c>
      <c r="C366" t="str">
        <f t="shared" ca="1" si="156"/>
        <v>S</v>
      </c>
      <c r="D366">
        <f t="shared" ca="1" si="157"/>
        <v>0</v>
      </c>
      <c r="E366">
        <f ca="1">IF($C366=1,OFFSET(E366,-1,0)+MAX(1,COUNTIF(QCI!$A$13:$A$24,OFFSET(ORÇAMENTO!E366,-1,0))),OFFSET(E366,-1,0))</f>
        <v>1</v>
      </c>
      <c r="F366">
        <f t="shared" ca="1" si="158"/>
        <v>12</v>
      </c>
      <c r="G366">
        <f t="shared" ca="1" si="159"/>
        <v>4</v>
      </c>
      <c r="H366">
        <f t="shared" ca="1" si="160"/>
        <v>0</v>
      </c>
      <c r="I366">
        <f t="shared" ca="1" si="161"/>
        <v>0</v>
      </c>
      <c r="J366">
        <f t="shared" ca="1" si="177"/>
        <v>0</v>
      </c>
      <c r="K366">
        <f ca="1">IF(OR($C366="S",$C366=0),0,MATCH(OFFSET($D366,0,$C366)+IF($C366&lt;&gt;1,1,COUNTIF(QCI!$A$13:$A$24,ORÇAMENTO!E366)),OFFSET($D366,1,$C366,ROW($C$710)-ROW($C366)),0))</f>
        <v>0</v>
      </c>
      <c r="L366" s="143" t="str">
        <f t="shared" ca="1" si="162"/>
        <v/>
      </c>
      <c r="M366" s="144" t="s">
        <v>201</v>
      </c>
      <c r="N366" s="145" t="str">
        <f t="shared" ca="1" si="163"/>
        <v>Serviço</v>
      </c>
      <c r="O366" s="146" t="str">
        <f t="shared" ca="1" si="164"/>
        <v>-</v>
      </c>
      <c r="P366" s="147" t="s">
        <v>579</v>
      </c>
      <c r="Q366" s="148" t="s">
        <v>580</v>
      </c>
      <c r="R366" s="149" t="str">
        <f ca="1">IF($C366="S",REFERENCIA.Descricao,"(digite a descrição aqui)")</f>
        <v>(abra o arquivo 'Referência 05-2024.xls)</v>
      </c>
      <c r="S366" s="150" t="str">
        <f ca="1">REFERENCIA.Unidade</f>
        <v>-</v>
      </c>
      <c r="T366" s="151">
        <f ca="1">OFFSET(CÁLCULO!H$15,ROW($T366)-ROW(T$15),0)</f>
        <v>2</v>
      </c>
      <c r="U366" s="152">
        <f t="shared" ca="1" si="176"/>
        <v>0</v>
      </c>
      <c r="V366" s="153" t="s">
        <v>193</v>
      </c>
      <c r="W366" s="151">
        <f t="shared" ca="1" si="165"/>
        <v>0</v>
      </c>
      <c r="X366" s="154">
        <f t="shared" ca="1" si="166"/>
        <v>0</v>
      </c>
      <c r="Y366" s="155" t="s">
        <v>583</v>
      </c>
      <c r="Z366" t="str">
        <f t="shared" ca="1" si="167"/>
        <v/>
      </c>
      <c r="AA366" s="156">
        <f ca="1">IF($C366="S",IF($Z366="CP",$X366,IF($Z366="RA",(($X366)*QCI!$AA$3),0)),SomaAgrup)</f>
        <v>0</v>
      </c>
      <c r="AB366" s="157">
        <f t="shared" ca="1" si="168"/>
        <v>0</v>
      </c>
      <c r="AC366" s="158" t="str">
        <f t="shared" ca="1" si="169"/>
        <v/>
      </c>
      <c r="AD366" s="104" t="str">
        <f ca="1">IF(C366&lt;=CRONO.NivelExibicao,MAX($AD$15:OFFSET(AD366,-1,0))+IF($C366&lt;&gt;1,1,MAX(1,COUNTIF(QCI!$A$13:$A$24,OFFSET($E366,-1,0)))),"")</f>
        <v/>
      </c>
      <c r="AE366" s="114" t="str">
        <f t="shared" ca="1" si="170"/>
        <v>Cotação CT-03</v>
      </c>
      <c r="AF366" s="159" t="str">
        <f t="shared" ca="1" si="171"/>
        <v>(abra o arquivo 'Referência 05-2024.xls)</v>
      </c>
      <c r="AG366" s="579">
        <f t="shared" ca="1" si="172"/>
        <v>0</v>
      </c>
      <c r="AH366" s="580">
        <f t="shared" ca="1" si="173"/>
        <v>0.16800000000000001</v>
      </c>
      <c r="AJ366" s="582">
        <v>2</v>
      </c>
      <c r="AL366" s="612"/>
      <c r="AM366" s="430">
        <f t="shared" ca="1" si="174"/>
        <v>0</v>
      </c>
      <c r="AN366" s="655">
        <f t="shared" ca="1" si="175"/>
        <v>0</v>
      </c>
    </row>
    <row r="367" spans="1:40" ht="13.8" x14ac:dyDescent="0.3">
      <c r="A367" t="str">
        <f t="shared" si="154"/>
        <v>S</v>
      </c>
      <c r="B367">
        <f t="shared" ca="1" si="155"/>
        <v>3</v>
      </c>
      <c r="C367" t="str">
        <f t="shared" ca="1" si="156"/>
        <v>S</v>
      </c>
      <c r="D367">
        <f t="shared" ca="1" si="157"/>
        <v>0</v>
      </c>
      <c r="E367">
        <f ca="1">IF($C367=1,OFFSET(E367,-1,0)+MAX(1,COUNTIF(QCI!$A$13:$A$24,OFFSET(ORÇAMENTO!E367,-1,0))),OFFSET(E367,-1,0))</f>
        <v>1</v>
      </c>
      <c r="F367">
        <f t="shared" ca="1" si="158"/>
        <v>12</v>
      </c>
      <c r="G367">
        <f t="shared" ca="1" si="159"/>
        <v>4</v>
      </c>
      <c r="H367">
        <f t="shared" ca="1" si="160"/>
        <v>0</v>
      </c>
      <c r="I367">
        <f t="shared" ca="1" si="161"/>
        <v>0</v>
      </c>
      <c r="J367">
        <f t="shared" ca="1" si="177"/>
        <v>0</v>
      </c>
      <c r="K367">
        <f ca="1">IF(OR($C367="S",$C367=0),0,MATCH(OFFSET($D367,0,$C367)+IF($C367&lt;&gt;1,1,COUNTIF(QCI!$A$13:$A$24,ORÇAMENTO!E367)),OFFSET($D367,1,$C367,ROW($C$710)-ROW($C367)),0))</f>
        <v>0</v>
      </c>
      <c r="L367" s="143" t="str">
        <f t="shared" ca="1" si="162"/>
        <v/>
      </c>
      <c r="M367" s="144" t="s">
        <v>201</v>
      </c>
      <c r="N367" s="145" t="str">
        <f t="shared" ca="1" si="163"/>
        <v>Serviço</v>
      </c>
      <c r="O367" s="146" t="str">
        <f t="shared" ca="1" si="164"/>
        <v>-</v>
      </c>
      <c r="P367" s="147" t="s">
        <v>249</v>
      </c>
      <c r="Q367" s="148">
        <v>92692</v>
      </c>
      <c r="R367" s="149" t="str">
        <f ca="1">IF($C367="S",REFERENCIA.Descricao,"(digite a descrição aqui)")</f>
        <v>(abra o arquivo 'Referência 05-2024.xls)</v>
      </c>
      <c r="S367" s="150" t="str">
        <f ca="1">REFERENCIA.Unidade</f>
        <v>-</v>
      </c>
      <c r="T367" s="151">
        <f ca="1">OFFSET(CÁLCULO!H$15,ROW($T367)-ROW(T$15),0)</f>
        <v>10</v>
      </c>
      <c r="U367" s="152">
        <f t="shared" ca="1" si="176"/>
        <v>0</v>
      </c>
      <c r="V367" s="153" t="s">
        <v>158</v>
      </c>
      <c r="W367" s="151">
        <f t="shared" ca="1" si="165"/>
        <v>0</v>
      </c>
      <c r="X367" s="154">
        <f t="shared" ca="1" si="166"/>
        <v>0</v>
      </c>
      <c r="Y367" s="155" t="s">
        <v>583</v>
      </c>
      <c r="Z367" t="str">
        <f t="shared" ca="1" si="167"/>
        <v/>
      </c>
      <c r="AA367" s="156">
        <f ca="1">IF($C367="S",IF($Z367="CP",$X367,IF($Z367="RA",(($X367)*QCI!$AA$3),0)),SomaAgrup)</f>
        <v>0</v>
      </c>
      <c r="AB367" s="157">
        <f t="shared" ca="1" si="168"/>
        <v>0</v>
      </c>
      <c r="AC367" s="158" t="str">
        <f t="shared" ca="1" si="169"/>
        <v/>
      </c>
      <c r="AD367" s="104" t="str">
        <f ca="1">IF(C367&lt;=CRONO.NivelExibicao,MAX($AD$15:OFFSET(AD367,-1,0))+IF($C367&lt;&gt;1,1,MAX(1,COUNTIF(QCI!$A$13:$A$24,OFFSET($E367,-1,0)))),"")</f>
        <v/>
      </c>
      <c r="AE367" s="114" t="str">
        <f t="shared" ca="1" si="170"/>
        <v>SINAPI 92692</v>
      </c>
      <c r="AF367" s="159" t="str">
        <f t="shared" ca="1" si="171"/>
        <v>(abra o arquivo 'Referência 05-2024.xls)</v>
      </c>
      <c r="AG367" s="579">
        <f t="shared" ca="1" si="172"/>
        <v>0</v>
      </c>
      <c r="AH367" s="580">
        <f t="shared" ca="1" si="173"/>
        <v>0.22470000000000001</v>
      </c>
      <c r="AJ367" s="582">
        <v>10</v>
      </c>
      <c r="AL367" s="612"/>
      <c r="AM367" s="430">
        <f t="shared" ca="1" si="174"/>
        <v>0</v>
      </c>
      <c r="AN367" s="655">
        <f t="shared" ca="1" si="175"/>
        <v>0</v>
      </c>
    </row>
    <row r="368" spans="1:40" ht="13.8" x14ac:dyDescent="0.3">
      <c r="A368" t="str">
        <f t="shared" si="154"/>
        <v>S</v>
      </c>
      <c r="B368">
        <f t="shared" ca="1" si="155"/>
        <v>3</v>
      </c>
      <c r="C368" t="str">
        <f t="shared" ca="1" si="156"/>
        <v>S</v>
      </c>
      <c r="D368">
        <f t="shared" ca="1" si="157"/>
        <v>0</v>
      </c>
      <c r="E368">
        <f ca="1">IF($C368=1,OFFSET(E368,-1,0)+MAX(1,COUNTIF(QCI!$A$13:$A$24,OFFSET(ORÇAMENTO!E368,-1,0))),OFFSET(E368,-1,0))</f>
        <v>1</v>
      </c>
      <c r="F368">
        <f t="shared" ca="1" si="158"/>
        <v>12</v>
      </c>
      <c r="G368">
        <f t="shared" ca="1" si="159"/>
        <v>4</v>
      </c>
      <c r="H368">
        <f t="shared" ca="1" si="160"/>
        <v>0</v>
      </c>
      <c r="I368">
        <f t="shared" ca="1" si="161"/>
        <v>0</v>
      </c>
      <c r="J368">
        <f t="shared" ca="1" si="177"/>
        <v>0</v>
      </c>
      <c r="K368">
        <f ca="1">IF(OR($C368="S",$C368=0),0,MATCH(OFFSET($D368,0,$C368)+IF($C368&lt;&gt;1,1,COUNTIF(QCI!$A$13:$A$24,ORÇAMENTO!E368)),OFFSET($D368,1,$C368,ROW($C$710)-ROW($C368)),0))</f>
        <v>0</v>
      </c>
      <c r="L368" s="143" t="str">
        <f t="shared" ca="1" si="162"/>
        <v/>
      </c>
      <c r="M368" s="144" t="s">
        <v>201</v>
      </c>
      <c r="N368" s="145" t="str">
        <f t="shared" ca="1" si="163"/>
        <v>Serviço</v>
      </c>
      <c r="O368" s="146" t="str">
        <f t="shared" ca="1" si="164"/>
        <v>-</v>
      </c>
      <c r="P368" s="147" t="s">
        <v>249</v>
      </c>
      <c r="Q368" s="148">
        <v>86884</v>
      </c>
      <c r="R368" s="149" t="str">
        <f ca="1">IF($C368="S",REFERENCIA.Descricao,"(digite a descrição aqui)")</f>
        <v>(abra o arquivo 'Referência 05-2024.xls)</v>
      </c>
      <c r="S368" s="150" t="str">
        <f ca="1">REFERENCIA.Unidade</f>
        <v>-</v>
      </c>
      <c r="T368" s="151">
        <f ca="1">OFFSET(CÁLCULO!H$15,ROW($T368)-ROW(T$15),0)</f>
        <v>5</v>
      </c>
      <c r="U368" s="152">
        <f t="shared" ca="1" si="176"/>
        <v>0</v>
      </c>
      <c r="V368" s="153" t="s">
        <v>158</v>
      </c>
      <c r="W368" s="151">
        <f t="shared" ca="1" si="165"/>
        <v>0</v>
      </c>
      <c r="X368" s="154">
        <f t="shared" ca="1" si="166"/>
        <v>0</v>
      </c>
      <c r="Y368" s="155" t="s">
        <v>583</v>
      </c>
      <c r="Z368" t="str">
        <f t="shared" ca="1" si="167"/>
        <v/>
      </c>
      <c r="AA368" s="156">
        <f ca="1">IF($C368="S",IF($Z368="CP",$X368,IF($Z368="RA",(($X368)*QCI!$AA$3),0)),SomaAgrup)</f>
        <v>0</v>
      </c>
      <c r="AB368" s="157">
        <f t="shared" ca="1" si="168"/>
        <v>0</v>
      </c>
      <c r="AC368" s="158" t="str">
        <f t="shared" ca="1" si="169"/>
        <v/>
      </c>
      <c r="AD368" s="104" t="str">
        <f ca="1">IF(C368&lt;=CRONO.NivelExibicao,MAX($AD$15:OFFSET(AD368,-1,0))+IF($C368&lt;&gt;1,1,MAX(1,COUNTIF(QCI!$A$13:$A$24,OFFSET($E368,-1,0)))),"")</f>
        <v/>
      </c>
      <c r="AE368" s="114" t="str">
        <f t="shared" ca="1" si="170"/>
        <v>SINAPI 86884</v>
      </c>
      <c r="AF368" s="159" t="str">
        <f t="shared" ca="1" si="171"/>
        <v>(abra o arquivo 'Referência 05-2024.xls)</v>
      </c>
      <c r="AG368" s="579">
        <f t="shared" ca="1" si="172"/>
        <v>0</v>
      </c>
      <c r="AH368" s="580">
        <f t="shared" ca="1" si="173"/>
        <v>0.22470000000000001</v>
      </c>
      <c r="AJ368" s="582">
        <v>5</v>
      </c>
      <c r="AL368" s="612"/>
      <c r="AM368" s="430">
        <f t="shared" ca="1" si="174"/>
        <v>0</v>
      </c>
      <c r="AN368" s="655">
        <f t="shared" ca="1" si="175"/>
        <v>0</v>
      </c>
    </row>
    <row r="369" spans="1:40" ht="13.8" x14ac:dyDescent="0.3">
      <c r="A369">
        <f t="shared" si="154"/>
        <v>3</v>
      </c>
      <c r="B369">
        <f t="shared" ca="1" si="155"/>
        <v>3</v>
      </c>
      <c r="C369">
        <f t="shared" ca="1" si="156"/>
        <v>3</v>
      </c>
      <c r="D369">
        <f t="shared" ca="1" si="157"/>
        <v>2</v>
      </c>
      <c r="E369">
        <f ca="1">IF($C369=1,OFFSET(E369,-1,0)+MAX(1,COUNTIF(QCI!$A$13:$A$24,OFFSET(ORÇAMENTO!E369,-1,0))),OFFSET(E369,-1,0))</f>
        <v>1</v>
      </c>
      <c r="F369">
        <f t="shared" ca="1" si="158"/>
        <v>12</v>
      </c>
      <c r="G369">
        <f t="shared" ca="1" si="159"/>
        <v>5</v>
      </c>
      <c r="H369">
        <f t="shared" ca="1" si="160"/>
        <v>0</v>
      </c>
      <c r="I369">
        <f t="shared" ca="1" si="161"/>
        <v>0</v>
      </c>
      <c r="J369">
        <f t="shared" ca="1" si="177"/>
        <v>2</v>
      </c>
      <c r="K369">
        <f ca="1">IF(OR($C369="S",$C369=0),0,MATCH(OFFSET($D369,0,$C369)+IF($C369&lt;&gt;1,1,COUNTIF(QCI!$A$13:$A$24,ORÇAMENTO!E369)),OFFSET($D369,1,$C369,ROW($C$710)-ROW($C369)),0))</f>
        <v>154</v>
      </c>
      <c r="L369" s="143" t="str">
        <f t="shared" ca="1" si="162"/>
        <v>F</v>
      </c>
      <c r="M369" s="144" t="s">
        <v>199</v>
      </c>
      <c r="N369" s="145" t="str">
        <f t="shared" ca="1" si="163"/>
        <v>Nível 3</v>
      </c>
      <c r="O369" s="146" t="str">
        <f t="shared" ca="1" si="164"/>
        <v>1.12.5.</v>
      </c>
      <c r="P369" s="147" t="s">
        <v>249</v>
      </c>
      <c r="Q369" s="148"/>
      <c r="R369" s="149" t="s">
        <v>530</v>
      </c>
      <c r="S369" s="150" t="s">
        <v>168</v>
      </c>
      <c r="T369" s="151">
        <f ca="1">OFFSET(CÁLCULO!H$15,ROW($T369)-ROW(T$15),0)</f>
        <v>0</v>
      </c>
      <c r="U369" s="152">
        <f t="shared" ca="1" si="176"/>
        <v>0</v>
      </c>
      <c r="V369" s="153" t="s">
        <v>158</v>
      </c>
      <c r="W369" s="151">
        <f t="shared" ca="1" si="165"/>
        <v>0</v>
      </c>
      <c r="X369" s="154">
        <f t="shared" ca="1" si="166"/>
        <v>0</v>
      </c>
      <c r="Y369" s="155" t="s">
        <v>583</v>
      </c>
      <c r="Z369" t="str">
        <f t="shared" ca="1" si="167"/>
        <v/>
      </c>
      <c r="AA369" s="156">
        <f ca="1">IF($C369="S",IF($Z369="CP",$X369,IF($Z369="RA",(($X369)*QCI!$AA$3),0)),SomaAgrup)</f>
        <v>0</v>
      </c>
      <c r="AB369" s="157">
        <f t="shared" ca="1" si="168"/>
        <v>0</v>
      </c>
      <c r="AC369" s="158" t="str">
        <f t="shared" ca="1" si="169"/>
        <v/>
      </c>
      <c r="AD369" s="104" t="str">
        <f ca="1">IF(C369&lt;=CRONO.NivelExibicao,MAX($AD$15:OFFSET(AD369,-1,0))+IF($C369&lt;&gt;1,1,MAX(1,COUNTIF(QCI!$A$13:$A$24,OFFSET($E369,-1,0)))),"")</f>
        <v/>
      </c>
      <c r="AE369" s="114" t="b">
        <f t="shared" ca="1" si="170"/>
        <v>0</v>
      </c>
      <c r="AF369" s="159" t="str">
        <f t="shared" ca="1" si="171"/>
        <v>(abra o arquivo 'Referência 05-2024.xls)</v>
      </c>
      <c r="AG369" s="579">
        <f t="shared" ca="1" si="172"/>
        <v>0</v>
      </c>
      <c r="AH369" s="580">
        <f t="shared" ca="1" si="173"/>
        <v>0.22470000000000001</v>
      </c>
      <c r="AJ369" s="582"/>
      <c r="AL369" s="612"/>
      <c r="AM369" s="430">
        <f t="shared" ca="1" si="174"/>
        <v>0</v>
      </c>
      <c r="AN369" s="655">
        <f t="shared" ca="1" si="175"/>
        <v>0</v>
      </c>
    </row>
    <row r="370" spans="1:40" ht="13.8" x14ac:dyDescent="0.3">
      <c r="A370" t="str">
        <f t="shared" si="154"/>
        <v>S</v>
      </c>
      <c r="B370">
        <f t="shared" ca="1" si="155"/>
        <v>3</v>
      </c>
      <c r="C370" t="str">
        <f t="shared" ca="1" si="156"/>
        <v>S</v>
      </c>
      <c r="D370">
        <f t="shared" ca="1" si="157"/>
        <v>0</v>
      </c>
      <c r="E370">
        <f ca="1">IF($C370=1,OFFSET(E370,-1,0)+MAX(1,COUNTIF(QCI!$A$13:$A$24,OFFSET(ORÇAMENTO!E370,-1,0))),OFFSET(E370,-1,0))</f>
        <v>1</v>
      </c>
      <c r="F370">
        <f t="shared" ca="1" si="158"/>
        <v>12</v>
      </c>
      <c r="G370">
        <f t="shared" ca="1" si="159"/>
        <v>5</v>
      </c>
      <c r="H370">
        <f t="shared" ca="1" si="160"/>
        <v>0</v>
      </c>
      <c r="I370">
        <f t="shared" ca="1" si="161"/>
        <v>0</v>
      </c>
      <c r="J370">
        <f t="shared" ca="1" si="177"/>
        <v>0</v>
      </c>
      <c r="K370">
        <f ca="1">IF(OR($C370="S",$C370=0),0,MATCH(OFFSET($D370,0,$C370)+IF($C370&lt;&gt;1,1,COUNTIF(QCI!$A$13:$A$24,ORÇAMENTO!E370)),OFFSET($D370,1,$C370,ROW($C$710)-ROW($C370)),0))</f>
        <v>0</v>
      </c>
      <c r="L370" s="143" t="str">
        <f t="shared" ca="1" si="162"/>
        <v/>
      </c>
      <c r="M370" s="144" t="s">
        <v>201</v>
      </c>
      <c r="N370" s="145" t="str">
        <f t="shared" ca="1" si="163"/>
        <v>Serviço</v>
      </c>
      <c r="O370" s="146" t="str">
        <f t="shared" ca="1" si="164"/>
        <v>-</v>
      </c>
      <c r="P370" s="147" t="s">
        <v>441</v>
      </c>
      <c r="Q370" s="148" t="s">
        <v>582</v>
      </c>
      <c r="R370" s="149" t="str">
        <f ca="1">IF($C370="S",REFERENCIA.Descricao,"(digite a descrição aqui)")</f>
        <v>(abra o arquivo 'Referência 05-2024.xls)</v>
      </c>
      <c r="S370" s="150" t="str">
        <f ca="1">REFERENCIA.Unidade</f>
        <v>-</v>
      </c>
      <c r="T370" s="151">
        <f ca="1">OFFSET(CÁLCULO!H$15,ROW($T370)-ROW(T$15),0)</f>
        <v>1</v>
      </c>
      <c r="U370" s="152">
        <f t="shared" ca="1" si="176"/>
        <v>0</v>
      </c>
      <c r="V370" s="153" t="s">
        <v>158</v>
      </c>
      <c r="W370" s="151">
        <f t="shared" ca="1" si="165"/>
        <v>0</v>
      </c>
      <c r="X370" s="154">
        <f t="shared" ca="1" si="166"/>
        <v>0</v>
      </c>
      <c r="Y370" s="155" t="s">
        <v>583</v>
      </c>
      <c r="Z370" t="str">
        <f t="shared" ca="1" si="167"/>
        <v/>
      </c>
      <c r="AA370" s="156">
        <f ca="1">IF($C370="S",IF($Z370="CP",$X370,IF($Z370="RA",(($X370)*QCI!$AA$3),0)),SomaAgrup)</f>
        <v>0</v>
      </c>
      <c r="AB370" s="157">
        <f t="shared" ca="1" si="168"/>
        <v>0</v>
      </c>
      <c r="AC370" s="158" t="str">
        <f t="shared" ca="1" si="169"/>
        <v/>
      </c>
      <c r="AD370" s="104" t="str">
        <f ca="1">IF(C370&lt;=CRONO.NivelExibicao,MAX($AD$15:OFFSET(AD370,-1,0))+IF($C370&lt;&gt;1,1,MAX(1,COUNTIF(QCI!$A$13:$A$24,OFFSET($E370,-1,0)))),"")</f>
        <v/>
      </c>
      <c r="AE370" s="114" t="str">
        <f t="shared" ca="1" si="170"/>
        <v>Composição CP-32</v>
      </c>
      <c r="AF370" s="159" t="str">
        <f t="shared" ca="1" si="171"/>
        <v>(abra o arquivo 'Referência 05-2024.xls)</v>
      </c>
      <c r="AG370" s="579">
        <f t="shared" ca="1" si="172"/>
        <v>0</v>
      </c>
      <c r="AH370" s="580">
        <f t="shared" ca="1" si="173"/>
        <v>0.22470000000000001</v>
      </c>
      <c r="AJ370" s="582">
        <v>1</v>
      </c>
      <c r="AL370" s="612"/>
      <c r="AM370" s="430">
        <f t="shared" ca="1" si="174"/>
        <v>0</v>
      </c>
      <c r="AN370" s="655">
        <f t="shared" ca="1" si="175"/>
        <v>0</v>
      </c>
    </row>
    <row r="371" spans="1:40" ht="13.8" x14ac:dyDescent="0.3">
      <c r="A371">
        <f t="shared" si="154"/>
        <v>2</v>
      </c>
      <c r="B371">
        <f t="shared" ca="1" si="155"/>
        <v>2</v>
      </c>
      <c r="C371">
        <f t="shared" ca="1" si="156"/>
        <v>2</v>
      </c>
      <c r="D371">
        <f t="shared" ca="1" si="157"/>
        <v>19</v>
      </c>
      <c r="E371">
        <f ca="1">IF($C371=1,OFFSET(E371,-1,0)+MAX(1,COUNTIF(QCI!$A$13:$A$24,OFFSET(ORÇAMENTO!E371,-1,0))),OFFSET(E371,-1,0))</f>
        <v>1</v>
      </c>
      <c r="F371">
        <f t="shared" ca="1" si="158"/>
        <v>13</v>
      </c>
      <c r="G371">
        <f t="shared" ca="1" si="159"/>
        <v>0</v>
      </c>
      <c r="H371">
        <f t="shared" ca="1" si="160"/>
        <v>0</v>
      </c>
      <c r="I371">
        <f t="shared" ca="1" si="161"/>
        <v>0</v>
      </c>
      <c r="J371">
        <f t="shared" ca="1" si="177"/>
        <v>331</v>
      </c>
      <c r="K371">
        <f ca="1">IF(OR($C371="S",$C371=0),0,MATCH(OFFSET($D371,0,$C371)+IF($C371&lt;&gt;1,1,COUNTIF(QCI!$A$13:$A$24,ORÇAMENTO!E371)),OFFSET($D371,1,$C371,ROW($C$710)-ROW($C371)),0))</f>
        <v>19</v>
      </c>
      <c r="L371" s="143" t="str">
        <f t="shared" ca="1" si="162"/>
        <v>F</v>
      </c>
      <c r="M371" s="144" t="s">
        <v>198</v>
      </c>
      <c r="N371" s="145" t="str">
        <f t="shared" ca="1" si="163"/>
        <v>Nível 2</v>
      </c>
      <c r="O371" s="146" t="str">
        <f t="shared" ca="1" si="164"/>
        <v>1.13.</v>
      </c>
      <c r="P371" s="147" t="s">
        <v>249</v>
      </c>
      <c r="Q371" s="148"/>
      <c r="R371" s="149" t="s">
        <v>531</v>
      </c>
      <c r="S371" s="150" t="s">
        <v>168</v>
      </c>
      <c r="T371" s="151">
        <f ca="1">OFFSET(CÁLCULO!H$15,ROW($T371)-ROW(T$15),0)</f>
        <v>0</v>
      </c>
      <c r="U371" s="152">
        <f t="shared" ca="1" si="176"/>
        <v>0</v>
      </c>
      <c r="V371" s="153" t="s">
        <v>158</v>
      </c>
      <c r="W371" s="151">
        <f t="shared" ca="1" si="165"/>
        <v>0</v>
      </c>
      <c r="X371" s="154">
        <f t="shared" ca="1" si="166"/>
        <v>0</v>
      </c>
      <c r="Y371" s="155" t="s">
        <v>583</v>
      </c>
      <c r="Z371" t="str">
        <f t="shared" ca="1" si="167"/>
        <v/>
      </c>
      <c r="AA371" s="156">
        <f ca="1">IF($C371="S",IF($Z371="CP",$X371,IF($Z371="RA",(($X371)*QCI!$AA$3),0)),SomaAgrup)</f>
        <v>0</v>
      </c>
      <c r="AB371" s="157">
        <f t="shared" ca="1" si="168"/>
        <v>0</v>
      </c>
      <c r="AC371" s="158" t="str">
        <f t="shared" ca="1" si="169"/>
        <v/>
      </c>
      <c r="AD371" s="104">
        <f ca="1">IF(C371&lt;=CRONO.NivelExibicao,MAX($AD$15:OFFSET(AD371,-1,0))+IF($C371&lt;&gt;1,1,MAX(1,COUNTIF(QCI!$A$13:$A$24,OFFSET($E371,-1,0)))),"")</f>
        <v>14</v>
      </c>
      <c r="AE371" s="114" t="b">
        <f t="shared" ca="1" si="170"/>
        <v>0</v>
      </c>
      <c r="AF371" s="159" t="str">
        <f t="shared" ca="1" si="171"/>
        <v>(abra o arquivo 'Referência 05-2024.xls)</v>
      </c>
      <c r="AG371" s="579">
        <f t="shared" ca="1" si="172"/>
        <v>0</v>
      </c>
      <c r="AH371" s="580">
        <f t="shared" ca="1" si="173"/>
        <v>0.22470000000000001</v>
      </c>
      <c r="AJ371" s="582"/>
      <c r="AL371" s="612"/>
      <c r="AM371" s="430">
        <f t="shared" ca="1" si="174"/>
        <v>0</v>
      </c>
      <c r="AN371" s="655">
        <f t="shared" ca="1" si="175"/>
        <v>0</v>
      </c>
    </row>
    <row r="372" spans="1:40" ht="13.8" x14ac:dyDescent="0.3">
      <c r="A372">
        <f t="shared" si="154"/>
        <v>3</v>
      </c>
      <c r="B372">
        <f t="shared" ca="1" si="155"/>
        <v>3</v>
      </c>
      <c r="C372">
        <f t="shared" ca="1" si="156"/>
        <v>3</v>
      </c>
      <c r="D372">
        <f t="shared" ca="1" si="157"/>
        <v>14</v>
      </c>
      <c r="E372">
        <f ca="1">IF($C372=1,OFFSET(E372,-1,0)+MAX(1,COUNTIF(QCI!$A$13:$A$24,OFFSET(ORÇAMENTO!E372,-1,0))),OFFSET(E372,-1,0))</f>
        <v>1</v>
      </c>
      <c r="F372">
        <f t="shared" ca="1" si="158"/>
        <v>13</v>
      </c>
      <c r="G372">
        <f t="shared" ca="1" si="159"/>
        <v>1</v>
      </c>
      <c r="H372">
        <f t="shared" ca="1" si="160"/>
        <v>0</v>
      </c>
      <c r="I372">
        <f t="shared" ca="1" si="161"/>
        <v>0</v>
      </c>
      <c r="J372">
        <f t="shared" ca="1" si="177"/>
        <v>18</v>
      </c>
      <c r="K372">
        <f ca="1">IF(OR($C372="S",$C372=0),0,MATCH(OFFSET($D372,0,$C372)+IF($C372&lt;&gt;1,1,COUNTIF(QCI!$A$13:$A$24,ORÇAMENTO!E372)),OFFSET($D372,1,$C372,ROW($C$710)-ROW($C372)),0))</f>
        <v>14</v>
      </c>
      <c r="L372" s="143" t="str">
        <f t="shared" ca="1" si="162"/>
        <v>F</v>
      </c>
      <c r="M372" s="144" t="s">
        <v>199</v>
      </c>
      <c r="N372" s="145" t="str">
        <f t="shared" ca="1" si="163"/>
        <v>Nível 3</v>
      </c>
      <c r="O372" s="146" t="str">
        <f t="shared" ca="1" si="164"/>
        <v>1.13.1.</v>
      </c>
      <c r="P372" s="147" t="s">
        <v>249</v>
      </c>
      <c r="Q372" s="148"/>
      <c r="R372" s="149" t="s">
        <v>532</v>
      </c>
      <c r="S372" s="150" t="s">
        <v>168</v>
      </c>
      <c r="T372" s="151">
        <f ca="1">OFFSET(CÁLCULO!H$15,ROW($T372)-ROW(T$15),0)</f>
        <v>0</v>
      </c>
      <c r="U372" s="152">
        <f t="shared" ca="1" si="176"/>
        <v>0</v>
      </c>
      <c r="V372" s="153" t="s">
        <v>158</v>
      </c>
      <c r="W372" s="151">
        <f t="shared" ca="1" si="165"/>
        <v>0</v>
      </c>
      <c r="X372" s="154">
        <f t="shared" ca="1" si="166"/>
        <v>0</v>
      </c>
      <c r="Y372" s="155" t="s">
        <v>583</v>
      </c>
      <c r="Z372" t="str">
        <f t="shared" ca="1" si="167"/>
        <v/>
      </c>
      <c r="AA372" s="156">
        <f ca="1">IF($C372="S",IF($Z372="CP",$X372,IF($Z372="RA",(($X372)*QCI!$AA$3),0)),SomaAgrup)</f>
        <v>0</v>
      </c>
      <c r="AB372" s="157">
        <f t="shared" ca="1" si="168"/>
        <v>0</v>
      </c>
      <c r="AC372" s="158" t="str">
        <f t="shared" ca="1" si="169"/>
        <v/>
      </c>
      <c r="AD372" s="104" t="str">
        <f ca="1">IF(C372&lt;=CRONO.NivelExibicao,MAX($AD$15:OFFSET(AD372,-1,0))+IF($C372&lt;&gt;1,1,MAX(1,COUNTIF(QCI!$A$13:$A$24,OFFSET($E372,-1,0)))),"")</f>
        <v/>
      </c>
      <c r="AE372" s="114" t="b">
        <f t="shared" ca="1" si="170"/>
        <v>0</v>
      </c>
      <c r="AF372" s="159" t="str">
        <f t="shared" ca="1" si="171"/>
        <v>(abra o arquivo 'Referência 05-2024.xls)</v>
      </c>
      <c r="AG372" s="579">
        <f t="shared" ca="1" si="172"/>
        <v>0</v>
      </c>
      <c r="AH372" s="580">
        <f t="shared" ca="1" si="173"/>
        <v>0.22470000000000001</v>
      </c>
      <c r="AJ372" s="582"/>
      <c r="AL372" s="612"/>
      <c r="AM372" s="430">
        <f t="shared" ca="1" si="174"/>
        <v>0</v>
      </c>
      <c r="AN372" s="655">
        <f t="shared" ca="1" si="175"/>
        <v>0</v>
      </c>
    </row>
    <row r="373" spans="1:40" ht="13.8" x14ac:dyDescent="0.3">
      <c r="A373" t="str">
        <f t="shared" si="154"/>
        <v>S</v>
      </c>
      <c r="B373">
        <f t="shared" ca="1" si="155"/>
        <v>3</v>
      </c>
      <c r="C373" t="str">
        <f t="shared" ca="1" si="156"/>
        <v>S</v>
      </c>
      <c r="D373">
        <f t="shared" ca="1" si="157"/>
        <v>0</v>
      </c>
      <c r="E373">
        <f ca="1">IF($C373=1,OFFSET(E373,-1,0)+MAX(1,COUNTIF(QCI!$A$13:$A$24,OFFSET(ORÇAMENTO!E373,-1,0))),OFFSET(E373,-1,0))</f>
        <v>1</v>
      </c>
      <c r="F373">
        <f t="shared" ca="1" si="158"/>
        <v>13</v>
      </c>
      <c r="G373">
        <f t="shared" ca="1" si="159"/>
        <v>1</v>
      </c>
      <c r="H373">
        <f t="shared" ca="1" si="160"/>
        <v>0</v>
      </c>
      <c r="I373">
        <f t="shared" ca="1" si="161"/>
        <v>0</v>
      </c>
      <c r="J373">
        <f t="shared" ca="1" si="177"/>
        <v>0</v>
      </c>
      <c r="K373">
        <f ca="1">IF(OR($C373="S",$C373=0),0,MATCH(OFFSET($D373,0,$C373)+IF($C373&lt;&gt;1,1,COUNTIF(QCI!$A$13:$A$24,ORÇAMENTO!E373)),OFFSET($D373,1,$C373,ROW($C$710)-ROW($C373)),0))</f>
        <v>0</v>
      </c>
      <c r="L373" s="143" t="str">
        <f t="shared" ca="1" si="162"/>
        <v/>
      </c>
      <c r="M373" s="144" t="s">
        <v>201</v>
      </c>
      <c r="N373" s="145" t="str">
        <f t="shared" ca="1" si="163"/>
        <v>Serviço</v>
      </c>
      <c r="O373" s="146" t="str">
        <f t="shared" ca="1" si="164"/>
        <v>-</v>
      </c>
      <c r="P373" s="147" t="s">
        <v>249</v>
      </c>
      <c r="Q373" s="148">
        <v>89578</v>
      </c>
      <c r="R373" s="149" t="str">
        <f t="shared" ref="R373:R385" ca="1" si="180">IF($C373="S",REFERENCIA.Descricao,"(digite a descrição aqui)")</f>
        <v>(abra o arquivo 'Referência 05-2024.xls)</v>
      </c>
      <c r="S373" s="150" t="str">
        <f t="shared" ref="S373:S385" ca="1" si="181">REFERENCIA.Unidade</f>
        <v>-</v>
      </c>
      <c r="T373" s="151">
        <f ca="1">OFFSET(CÁLCULO!H$15,ROW($T373)-ROW(T$15),0)</f>
        <v>414.8</v>
      </c>
      <c r="U373" s="152">
        <f t="shared" ca="1" si="176"/>
        <v>0</v>
      </c>
      <c r="V373" s="153" t="s">
        <v>158</v>
      </c>
      <c r="W373" s="151">
        <f t="shared" ca="1" si="165"/>
        <v>0</v>
      </c>
      <c r="X373" s="154">
        <f t="shared" ca="1" si="166"/>
        <v>0</v>
      </c>
      <c r="Y373" s="155" t="s">
        <v>583</v>
      </c>
      <c r="Z373" t="str">
        <f t="shared" ca="1" si="167"/>
        <v/>
      </c>
      <c r="AA373" s="156">
        <f ca="1">IF($C373="S",IF($Z373="CP",$X373,IF($Z373="RA",(($X373)*QCI!$AA$3),0)),SomaAgrup)</f>
        <v>0</v>
      </c>
      <c r="AB373" s="157">
        <f t="shared" ca="1" si="168"/>
        <v>0</v>
      </c>
      <c r="AC373" s="158" t="str">
        <f t="shared" ca="1" si="169"/>
        <v/>
      </c>
      <c r="AD373" s="104" t="str">
        <f ca="1">IF(C373&lt;=CRONO.NivelExibicao,MAX($AD$15:OFFSET(AD373,-1,0))+IF($C373&lt;&gt;1,1,MAX(1,COUNTIF(QCI!$A$13:$A$24,OFFSET($E373,-1,0)))),"")</f>
        <v/>
      </c>
      <c r="AE373" s="114" t="str">
        <f t="shared" ca="1" si="170"/>
        <v>SINAPI 89578</v>
      </c>
      <c r="AF373" s="159" t="str">
        <f t="shared" ca="1" si="171"/>
        <v>(abra o arquivo 'Referência 05-2024.xls)</v>
      </c>
      <c r="AG373" s="579">
        <f t="shared" ca="1" si="172"/>
        <v>0</v>
      </c>
      <c r="AH373" s="580">
        <f t="shared" ca="1" si="173"/>
        <v>0.22470000000000001</v>
      </c>
      <c r="AJ373" s="582">
        <v>414.8</v>
      </c>
      <c r="AL373" s="612"/>
      <c r="AM373" s="430">
        <f t="shared" ca="1" si="174"/>
        <v>0</v>
      </c>
      <c r="AN373" s="655">
        <f t="shared" ca="1" si="175"/>
        <v>0</v>
      </c>
    </row>
    <row r="374" spans="1:40" ht="13.8" x14ac:dyDescent="0.3">
      <c r="A374" t="str">
        <f t="shared" si="154"/>
        <v>S</v>
      </c>
      <c r="B374">
        <f t="shared" ca="1" si="155"/>
        <v>3</v>
      </c>
      <c r="C374" t="str">
        <f t="shared" ca="1" si="156"/>
        <v>S</v>
      </c>
      <c r="D374">
        <f t="shared" ca="1" si="157"/>
        <v>0</v>
      </c>
      <c r="E374">
        <f ca="1">IF($C374=1,OFFSET(E374,-1,0)+MAX(1,COUNTIF(QCI!$A$13:$A$24,OFFSET(ORÇAMENTO!E374,-1,0))),OFFSET(E374,-1,0))</f>
        <v>1</v>
      </c>
      <c r="F374">
        <f t="shared" ca="1" si="158"/>
        <v>13</v>
      </c>
      <c r="G374">
        <f t="shared" ca="1" si="159"/>
        <v>1</v>
      </c>
      <c r="H374">
        <f t="shared" ca="1" si="160"/>
        <v>0</v>
      </c>
      <c r="I374">
        <f t="shared" ca="1" si="161"/>
        <v>0</v>
      </c>
      <c r="J374">
        <f t="shared" ca="1" si="177"/>
        <v>0</v>
      </c>
      <c r="K374">
        <f ca="1">IF(OR($C374="S",$C374=0),0,MATCH(OFFSET($D374,0,$C374)+IF($C374&lt;&gt;1,1,COUNTIF(QCI!$A$13:$A$24,ORÇAMENTO!E374)),OFFSET($D374,1,$C374,ROW($C$710)-ROW($C374)),0))</f>
        <v>0</v>
      </c>
      <c r="L374" s="143" t="str">
        <f t="shared" ca="1" si="162"/>
        <v/>
      </c>
      <c r="M374" s="144" t="s">
        <v>201</v>
      </c>
      <c r="N374" s="145" t="str">
        <f t="shared" ca="1" si="163"/>
        <v>Serviço</v>
      </c>
      <c r="O374" s="146" t="str">
        <f t="shared" ca="1" si="164"/>
        <v>-</v>
      </c>
      <c r="P374" s="147" t="s">
        <v>249</v>
      </c>
      <c r="Q374" s="148">
        <v>89580</v>
      </c>
      <c r="R374" s="149" t="str">
        <f t="shared" ca="1" si="180"/>
        <v>(abra o arquivo 'Referência 05-2024.xls)</v>
      </c>
      <c r="S374" s="150" t="str">
        <f t="shared" ca="1" si="181"/>
        <v>-</v>
      </c>
      <c r="T374" s="151">
        <f ca="1">OFFSET(CÁLCULO!H$15,ROW($T374)-ROW(T$15),0)</f>
        <v>186</v>
      </c>
      <c r="U374" s="152">
        <f t="shared" ca="1" si="176"/>
        <v>0</v>
      </c>
      <c r="V374" s="153" t="s">
        <v>158</v>
      </c>
      <c r="W374" s="151">
        <f t="shared" ca="1" si="165"/>
        <v>0</v>
      </c>
      <c r="X374" s="154">
        <f t="shared" ca="1" si="166"/>
        <v>0</v>
      </c>
      <c r="Y374" s="155" t="s">
        <v>583</v>
      </c>
      <c r="Z374" t="str">
        <f t="shared" ca="1" si="167"/>
        <v/>
      </c>
      <c r="AA374" s="156">
        <f ca="1">IF($C374="S",IF($Z374="CP",$X374,IF($Z374="RA",(($X374)*QCI!$AA$3),0)),SomaAgrup)</f>
        <v>0</v>
      </c>
      <c r="AB374" s="157">
        <f t="shared" ca="1" si="168"/>
        <v>0</v>
      </c>
      <c r="AC374" s="158" t="str">
        <f t="shared" ca="1" si="169"/>
        <v/>
      </c>
      <c r="AD374" s="104" t="str">
        <f ca="1">IF(C374&lt;=CRONO.NivelExibicao,MAX($AD$15:OFFSET(AD374,-1,0))+IF($C374&lt;&gt;1,1,MAX(1,COUNTIF(QCI!$A$13:$A$24,OFFSET($E374,-1,0)))),"")</f>
        <v/>
      </c>
      <c r="AE374" s="114" t="str">
        <f t="shared" ca="1" si="170"/>
        <v>SINAPI 89580</v>
      </c>
      <c r="AF374" s="159" t="str">
        <f t="shared" ca="1" si="171"/>
        <v>(abra o arquivo 'Referência 05-2024.xls)</v>
      </c>
      <c r="AG374" s="579">
        <f t="shared" ca="1" si="172"/>
        <v>0</v>
      </c>
      <c r="AH374" s="580">
        <f t="shared" ca="1" si="173"/>
        <v>0.22470000000000001</v>
      </c>
      <c r="AJ374" s="582">
        <v>186</v>
      </c>
      <c r="AL374" s="612"/>
      <c r="AM374" s="430">
        <f t="shared" ca="1" si="174"/>
        <v>0</v>
      </c>
      <c r="AN374" s="655">
        <f t="shared" ca="1" si="175"/>
        <v>0</v>
      </c>
    </row>
    <row r="375" spans="1:40" ht="13.8" x14ac:dyDescent="0.3">
      <c r="A375" t="str">
        <f t="shared" si="154"/>
        <v>S</v>
      </c>
      <c r="B375">
        <f t="shared" ca="1" si="155"/>
        <v>3</v>
      </c>
      <c r="C375" t="str">
        <f t="shared" ca="1" si="156"/>
        <v>S</v>
      </c>
      <c r="D375">
        <f t="shared" ca="1" si="157"/>
        <v>0</v>
      </c>
      <c r="E375">
        <f ca="1">IF($C375=1,OFFSET(E375,-1,0)+MAX(1,COUNTIF(QCI!$A$13:$A$24,OFFSET(ORÇAMENTO!E375,-1,0))),OFFSET(E375,-1,0))</f>
        <v>1</v>
      </c>
      <c r="F375">
        <f t="shared" ca="1" si="158"/>
        <v>13</v>
      </c>
      <c r="G375">
        <f t="shared" ca="1" si="159"/>
        <v>1</v>
      </c>
      <c r="H375">
        <f t="shared" ca="1" si="160"/>
        <v>0</v>
      </c>
      <c r="I375">
        <f t="shared" ca="1" si="161"/>
        <v>0</v>
      </c>
      <c r="J375">
        <f t="shared" ca="1" si="177"/>
        <v>0</v>
      </c>
      <c r="K375">
        <f ca="1">IF(OR($C375="S",$C375=0),0,MATCH(OFFSET($D375,0,$C375)+IF($C375&lt;&gt;1,1,COUNTIF(QCI!$A$13:$A$24,ORÇAMENTO!E375)),OFFSET($D375,1,$C375,ROW($C$710)-ROW($C375)),0))</f>
        <v>0</v>
      </c>
      <c r="L375" s="143" t="str">
        <f t="shared" ca="1" si="162"/>
        <v/>
      </c>
      <c r="M375" s="144" t="s">
        <v>201</v>
      </c>
      <c r="N375" s="145" t="str">
        <f t="shared" ca="1" si="163"/>
        <v>Serviço</v>
      </c>
      <c r="O375" s="146" t="str">
        <f t="shared" ca="1" si="164"/>
        <v>-</v>
      </c>
      <c r="P375" s="147" t="s">
        <v>249</v>
      </c>
      <c r="Q375" s="148">
        <v>90696</v>
      </c>
      <c r="R375" s="149" t="str">
        <f t="shared" ca="1" si="180"/>
        <v>(abra o arquivo 'Referência 05-2024.xls)</v>
      </c>
      <c r="S375" s="150" t="str">
        <f t="shared" ca="1" si="181"/>
        <v>-</v>
      </c>
      <c r="T375" s="151">
        <f ca="1">OFFSET(CÁLCULO!H$15,ROW($T375)-ROW(T$15),0)</f>
        <v>58.4</v>
      </c>
      <c r="U375" s="152">
        <f t="shared" ca="1" si="176"/>
        <v>0</v>
      </c>
      <c r="V375" s="153" t="s">
        <v>158</v>
      </c>
      <c r="W375" s="151">
        <f t="shared" ca="1" si="165"/>
        <v>0</v>
      </c>
      <c r="X375" s="154">
        <f t="shared" ca="1" si="166"/>
        <v>0</v>
      </c>
      <c r="Y375" s="155" t="s">
        <v>583</v>
      </c>
      <c r="Z375" t="str">
        <f t="shared" ca="1" si="167"/>
        <v/>
      </c>
      <c r="AA375" s="156">
        <f ca="1">IF($C375="S",IF($Z375="CP",$X375,IF($Z375="RA",(($X375)*QCI!$AA$3),0)),SomaAgrup)</f>
        <v>0</v>
      </c>
      <c r="AB375" s="157">
        <f t="shared" ca="1" si="168"/>
        <v>0</v>
      </c>
      <c r="AC375" s="158" t="str">
        <f t="shared" ca="1" si="169"/>
        <v/>
      </c>
      <c r="AD375" s="104" t="str">
        <f ca="1">IF(C375&lt;=CRONO.NivelExibicao,MAX($AD$15:OFFSET(AD375,-1,0))+IF($C375&lt;&gt;1,1,MAX(1,COUNTIF(QCI!$A$13:$A$24,OFFSET($E375,-1,0)))),"")</f>
        <v/>
      </c>
      <c r="AE375" s="114" t="str">
        <f t="shared" ca="1" si="170"/>
        <v>SINAPI 90696</v>
      </c>
      <c r="AF375" s="159" t="str">
        <f t="shared" ca="1" si="171"/>
        <v>(abra o arquivo 'Referência 05-2024.xls)</v>
      </c>
      <c r="AG375" s="579">
        <f t="shared" ca="1" si="172"/>
        <v>0</v>
      </c>
      <c r="AH375" s="580">
        <f t="shared" ca="1" si="173"/>
        <v>0.22470000000000001</v>
      </c>
      <c r="AJ375" s="582">
        <v>58.4</v>
      </c>
      <c r="AL375" s="612"/>
      <c r="AM375" s="430">
        <f t="shared" ca="1" si="174"/>
        <v>0</v>
      </c>
      <c r="AN375" s="655">
        <f t="shared" ca="1" si="175"/>
        <v>0</v>
      </c>
    </row>
    <row r="376" spans="1:40" ht="13.8" x14ac:dyDescent="0.3">
      <c r="A376" t="str">
        <f t="shared" si="154"/>
        <v>S</v>
      </c>
      <c r="B376">
        <f t="shared" ca="1" si="155"/>
        <v>3</v>
      </c>
      <c r="C376" t="str">
        <f t="shared" ca="1" si="156"/>
        <v>S</v>
      </c>
      <c r="D376">
        <f t="shared" ca="1" si="157"/>
        <v>0</v>
      </c>
      <c r="E376">
        <f ca="1">IF($C376=1,OFFSET(E376,-1,0)+MAX(1,COUNTIF(QCI!$A$13:$A$24,OFFSET(ORÇAMENTO!E376,-1,0))),OFFSET(E376,-1,0))</f>
        <v>1</v>
      </c>
      <c r="F376">
        <f t="shared" ca="1" si="158"/>
        <v>13</v>
      </c>
      <c r="G376">
        <f t="shared" ca="1" si="159"/>
        <v>1</v>
      </c>
      <c r="H376">
        <f t="shared" ca="1" si="160"/>
        <v>0</v>
      </c>
      <c r="I376">
        <f t="shared" ca="1" si="161"/>
        <v>0</v>
      </c>
      <c r="J376">
        <f t="shared" ca="1" si="177"/>
        <v>0</v>
      </c>
      <c r="K376">
        <f ca="1">IF(OR($C376="S",$C376=0),0,MATCH(OFFSET($D376,0,$C376)+IF($C376&lt;&gt;1,1,COUNTIF(QCI!$A$13:$A$24,ORÇAMENTO!E376)),OFFSET($D376,1,$C376,ROW($C$710)-ROW($C376)),0))</f>
        <v>0</v>
      </c>
      <c r="L376" s="143" t="str">
        <f t="shared" ca="1" si="162"/>
        <v/>
      </c>
      <c r="M376" s="144" t="s">
        <v>201</v>
      </c>
      <c r="N376" s="145" t="str">
        <f t="shared" ca="1" si="163"/>
        <v>Serviço</v>
      </c>
      <c r="O376" s="146" t="str">
        <f t="shared" ca="1" si="164"/>
        <v>-</v>
      </c>
      <c r="P376" s="147" t="s">
        <v>249</v>
      </c>
      <c r="Q376" s="148">
        <v>90697</v>
      </c>
      <c r="R376" s="149" t="str">
        <f t="shared" ca="1" si="180"/>
        <v>(abra o arquivo 'Referência 05-2024.xls)</v>
      </c>
      <c r="S376" s="150" t="str">
        <f t="shared" ca="1" si="181"/>
        <v>-</v>
      </c>
      <c r="T376" s="151">
        <f ca="1">OFFSET(CÁLCULO!H$15,ROW($T376)-ROW(T$15),0)</f>
        <v>103.6</v>
      </c>
      <c r="U376" s="152">
        <f t="shared" ca="1" si="176"/>
        <v>0</v>
      </c>
      <c r="V376" s="153" t="s">
        <v>158</v>
      </c>
      <c r="W376" s="151">
        <f t="shared" ca="1" si="165"/>
        <v>0</v>
      </c>
      <c r="X376" s="154">
        <f t="shared" ca="1" si="166"/>
        <v>0</v>
      </c>
      <c r="Y376" s="155" t="s">
        <v>583</v>
      </c>
      <c r="Z376" t="str">
        <f t="shared" ca="1" si="167"/>
        <v/>
      </c>
      <c r="AA376" s="156">
        <f ca="1">IF($C376="S",IF($Z376="CP",$X376,IF($Z376="RA",(($X376)*QCI!$AA$3),0)),SomaAgrup)</f>
        <v>0</v>
      </c>
      <c r="AB376" s="157">
        <f t="shared" ca="1" si="168"/>
        <v>0</v>
      </c>
      <c r="AC376" s="158" t="str">
        <f t="shared" ca="1" si="169"/>
        <v/>
      </c>
      <c r="AD376" s="104" t="str">
        <f ca="1">IF(C376&lt;=CRONO.NivelExibicao,MAX($AD$15:OFFSET(AD376,-1,0))+IF($C376&lt;&gt;1,1,MAX(1,COUNTIF(QCI!$A$13:$A$24,OFFSET($E376,-1,0)))),"")</f>
        <v/>
      </c>
      <c r="AE376" s="114" t="str">
        <f t="shared" ca="1" si="170"/>
        <v>SINAPI 90697</v>
      </c>
      <c r="AF376" s="159" t="str">
        <f t="shared" ca="1" si="171"/>
        <v>(abra o arquivo 'Referência 05-2024.xls)</v>
      </c>
      <c r="AG376" s="579">
        <f t="shared" ca="1" si="172"/>
        <v>0</v>
      </c>
      <c r="AH376" s="580">
        <f t="shared" ca="1" si="173"/>
        <v>0.22470000000000001</v>
      </c>
      <c r="AJ376" s="582">
        <v>103.6</v>
      </c>
      <c r="AL376" s="612"/>
      <c r="AM376" s="430">
        <f t="shared" ca="1" si="174"/>
        <v>0</v>
      </c>
      <c r="AN376" s="655">
        <f t="shared" ca="1" si="175"/>
        <v>0</v>
      </c>
    </row>
    <row r="377" spans="1:40" ht="13.8" x14ac:dyDescent="0.3">
      <c r="A377" t="str">
        <f t="shared" si="154"/>
        <v>S</v>
      </c>
      <c r="B377">
        <f t="shared" ca="1" si="155"/>
        <v>3</v>
      </c>
      <c r="C377" t="str">
        <f t="shared" ca="1" si="156"/>
        <v>S</v>
      </c>
      <c r="D377">
        <f t="shared" ca="1" si="157"/>
        <v>0</v>
      </c>
      <c r="E377">
        <f ca="1">IF($C377=1,OFFSET(E377,-1,0)+MAX(1,COUNTIF(QCI!$A$13:$A$24,OFFSET(ORÇAMENTO!E377,-1,0))),OFFSET(E377,-1,0))</f>
        <v>1</v>
      </c>
      <c r="F377">
        <f t="shared" ca="1" si="158"/>
        <v>13</v>
      </c>
      <c r="G377">
        <f t="shared" ca="1" si="159"/>
        <v>1</v>
      </c>
      <c r="H377">
        <f t="shared" ca="1" si="160"/>
        <v>0</v>
      </c>
      <c r="I377">
        <f t="shared" ca="1" si="161"/>
        <v>0</v>
      </c>
      <c r="J377">
        <f t="shared" ca="1" si="177"/>
        <v>0</v>
      </c>
      <c r="K377">
        <f ca="1">IF(OR($C377="S",$C377=0),0,MATCH(OFFSET($D377,0,$C377)+IF($C377&lt;&gt;1,1,COUNTIF(QCI!$A$13:$A$24,ORÇAMENTO!E377)),OFFSET($D377,1,$C377,ROW($C$710)-ROW($C377)),0))</f>
        <v>0</v>
      </c>
      <c r="L377" s="143" t="str">
        <f t="shared" ca="1" si="162"/>
        <v/>
      </c>
      <c r="M377" s="144" t="s">
        <v>201</v>
      </c>
      <c r="N377" s="145" t="str">
        <f t="shared" ca="1" si="163"/>
        <v>Serviço</v>
      </c>
      <c r="O377" s="146" t="str">
        <f t="shared" ca="1" si="164"/>
        <v>-</v>
      </c>
      <c r="P377" s="147" t="s">
        <v>249</v>
      </c>
      <c r="Q377" s="148">
        <v>89585</v>
      </c>
      <c r="R377" s="149" t="str">
        <f t="shared" ca="1" si="180"/>
        <v>(abra o arquivo 'Referência 05-2024.xls)</v>
      </c>
      <c r="S377" s="150" t="str">
        <f t="shared" ca="1" si="181"/>
        <v>-</v>
      </c>
      <c r="T377" s="151">
        <f ca="1">OFFSET(CÁLCULO!H$15,ROW($T377)-ROW(T$15),0)</f>
        <v>13</v>
      </c>
      <c r="U377" s="152">
        <f t="shared" ca="1" si="176"/>
        <v>0</v>
      </c>
      <c r="V377" s="153" t="s">
        <v>158</v>
      </c>
      <c r="W377" s="151">
        <f t="shared" ca="1" si="165"/>
        <v>0</v>
      </c>
      <c r="X377" s="154">
        <f t="shared" ca="1" si="166"/>
        <v>0</v>
      </c>
      <c r="Y377" s="155" t="s">
        <v>583</v>
      </c>
      <c r="Z377" t="str">
        <f t="shared" ca="1" si="167"/>
        <v/>
      </c>
      <c r="AA377" s="156">
        <f ca="1">IF($C377="S",IF($Z377="CP",$X377,IF($Z377="RA",(($X377)*QCI!$AA$3),0)),SomaAgrup)</f>
        <v>0</v>
      </c>
      <c r="AB377" s="157">
        <f t="shared" ca="1" si="168"/>
        <v>0</v>
      </c>
      <c r="AC377" s="158" t="str">
        <f t="shared" ca="1" si="169"/>
        <v/>
      </c>
      <c r="AD377" s="104" t="str">
        <f ca="1">IF(C377&lt;=CRONO.NivelExibicao,MAX($AD$15:OFFSET(AD377,-1,0))+IF($C377&lt;&gt;1,1,MAX(1,COUNTIF(QCI!$A$13:$A$24,OFFSET($E377,-1,0)))),"")</f>
        <v/>
      </c>
      <c r="AE377" s="114" t="str">
        <f t="shared" ca="1" si="170"/>
        <v>SINAPI 89585</v>
      </c>
      <c r="AF377" s="159" t="str">
        <f t="shared" ca="1" si="171"/>
        <v>(abra o arquivo 'Referência 05-2024.xls)</v>
      </c>
      <c r="AG377" s="579">
        <f t="shared" ca="1" si="172"/>
        <v>0</v>
      </c>
      <c r="AH377" s="580">
        <f t="shared" ca="1" si="173"/>
        <v>0.22470000000000001</v>
      </c>
      <c r="AJ377" s="582">
        <v>13</v>
      </c>
      <c r="AL377" s="612"/>
      <c r="AM377" s="430">
        <f t="shared" ca="1" si="174"/>
        <v>0</v>
      </c>
      <c r="AN377" s="655">
        <f t="shared" ca="1" si="175"/>
        <v>0</v>
      </c>
    </row>
    <row r="378" spans="1:40" ht="13.8" x14ac:dyDescent="0.3">
      <c r="A378" t="str">
        <f t="shared" si="154"/>
        <v>S</v>
      </c>
      <c r="B378">
        <f t="shared" ca="1" si="155"/>
        <v>3</v>
      </c>
      <c r="C378" t="str">
        <f t="shared" ca="1" si="156"/>
        <v>S</v>
      </c>
      <c r="D378">
        <f t="shared" ca="1" si="157"/>
        <v>0</v>
      </c>
      <c r="E378">
        <f ca="1">IF($C378=1,OFFSET(E378,-1,0)+MAX(1,COUNTIF(QCI!$A$13:$A$24,OFFSET(ORÇAMENTO!E378,-1,0))),OFFSET(E378,-1,0))</f>
        <v>1</v>
      </c>
      <c r="F378">
        <f t="shared" ca="1" si="158"/>
        <v>13</v>
      </c>
      <c r="G378">
        <f t="shared" ca="1" si="159"/>
        <v>1</v>
      </c>
      <c r="H378">
        <f t="shared" ca="1" si="160"/>
        <v>0</v>
      </c>
      <c r="I378">
        <f t="shared" ca="1" si="161"/>
        <v>0</v>
      </c>
      <c r="J378">
        <f t="shared" ca="1" si="177"/>
        <v>0</v>
      </c>
      <c r="K378">
        <f ca="1">IF(OR($C378="S",$C378=0),0,MATCH(OFFSET($D378,0,$C378)+IF($C378&lt;&gt;1,1,COUNTIF(QCI!$A$13:$A$24,ORÇAMENTO!E378)),OFFSET($D378,1,$C378,ROW($C$710)-ROW($C378)),0))</f>
        <v>0</v>
      </c>
      <c r="L378" s="143" t="str">
        <f t="shared" ca="1" si="162"/>
        <v/>
      </c>
      <c r="M378" s="144" t="s">
        <v>201</v>
      </c>
      <c r="N378" s="145" t="str">
        <f t="shared" ca="1" si="163"/>
        <v>Serviço</v>
      </c>
      <c r="O378" s="146" t="str">
        <f t="shared" ca="1" si="164"/>
        <v>-</v>
      </c>
      <c r="P378" s="147" t="s">
        <v>249</v>
      </c>
      <c r="Q378" s="148">
        <v>89591</v>
      </c>
      <c r="R378" s="149" t="str">
        <f t="shared" ca="1" si="180"/>
        <v>(abra o arquivo 'Referência 05-2024.xls)</v>
      </c>
      <c r="S378" s="150" t="str">
        <f t="shared" ca="1" si="181"/>
        <v>-</v>
      </c>
      <c r="T378" s="151">
        <f ca="1">OFFSET(CÁLCULO!H$15,ROW($T378)-ROW(T$15),0)</f>
        <v>4</v>
      </c>
      <c r="U378" s="152">
        <f t="shared" ca="1" si="176"/>
        <v>0</v>
      </c>
      <c r="V378" s="153" t="s">
        <v>158</v>
      </c>
      <c r="W378" s="151">
        <f t="shared" ca="1" si="165"/>
        <v>0</v>
      </c>
      <c r="X378" s="154">
        <f t="shared" ca="1" si="166"/>
        <v>0</v>
      </c>
      <c r="Y378" s="155" t="s">
        <v>583</v>
      </c>
      <c r="Z378" t="str">
        <f t="shared" ca="1" si="167"/>
        <v/>
      </c>
      <c r="AA378" s="156">
        <f ca="1">IF($C378="S",IF($Z378="CP",$X378,IF($Z378="RA",(($X378)*QCI!$AA$3),0)),SomaAgrup)</f>
        <v>0</v>
      </c>
      <c r="AB378" s="157">
        <f t="shared" ca="1" si="168"/>
        <v>0</v>
      </c>
      <c r="AC378" s="158" t="str">
        <f t="shared" ca="1" si="169"/>
        <v/>
      </c>
      <c r="AD378" s="104" t="str">
        <f ca="1">IF(C378&lt;=CRONO.NivelExibicao,MAX($AD$15:OFFSET(AD378,-1,0))+IF($C378&lt;&gt;1,1,MAX(1,COUNTIF(QCI!$A$13:$A$24,OFFSET($E378,-1,0)))),"")</f>
        <v/>
      </c>
      <c r="AE378" s="114" t="str">
        <f t="shared" ca="1" si="170"/>
        <v>SINAPI 89591</v>
      </c>
      <c r="AF378" s="159" t="str">
        <f t="shared" ca="1" si="171"/>
        <v>(abra o arquivo 'Referência 05-2024.xls)</v>
      </c>
      <c r="AG378" s="579">
        <f t="shared" ca="1" si="172"/>
        <v>0</v>
      </c>
      <c r="AH378" s="580">
        <f t="shared" ca="1" si="173"/>
        <v>0.22470000000000001</v>
      </c>
      <c r="AJ378" s="582">
        <v>4</v>
      </c>
      <c r="AL378" s="612"/>
      <c r="AM378" s="430">
        <f t="shared" ca="1" si="174"/>
        <v>0</v>
      </c>
      <c r="AN378" s="655">
        <f t="shared" ca="1" si="175"/>
        <v>0</v>
      </c>
    </row>
    <row r="379" spans="1:40" ht="13.8" x14ac:dyDescent="0.3">
      <c r="A379" t="str">
        <f t="shared" si="154"/>
        <v>S</v>
      </c>
      <c r="B379">
        <f t="shared" ca="1" si="155"/>
        <v>3</v>
      </c>
      <c r="C379" t="str">
        <f t="shared" ca="1" si="156"/>
        <v>S</v>
      </c>
      <c r="D379">
        <f t="shared" ca="1" si="157"/>
        <v>0</v>
      </c>
      <c r="E379">
        <f ca="1">IF($C379=1,OFFSET(E379,-1,0)+MAX(1,COUNTIF(QCI!$A$13:$A$24,OFFSET(ORÇAMENTO!E379,-1,0))),OFFSET(E379,-1,0))</f>
        <v>1</v>
      </c>
      <c r="F379">
        <f t="shared" ca="1" si="158"/>
        <v>13</v>
      </c>
      <c r="G379">
        <f t="shared" ca="1" si="159"/>
        <v>1</v>
      </c>
      <c r="H379">
        <f t="shared" ca="1" si="160"/>
        <v>0</v>
      </c>
      <c r="I379">
        <f t="shared" ca="1" si="161"/>
        <v>0</v>
      </c>
      <c r="J379">
        <f t="shared" ca="1" si="177"/>
        <v>0</v>
      </c>
      <c r="K379">
        <f ca="1">IF(OR($C379="S",$C379=0),0,MATCH(OFFSET($D379,0,$C379)+IF($C379&lt;&gt;1,1,COUNTIF(QCI!$A$13:$A$24,ORÇAMENTO!E379)),OFFSET($D379,1,$C379,ROW($C$710)-ROW($C379)),0))</f>
        <v>0</v>
      </c>
      <c r="L379" s="143" t="str">
        <f t="shared" ca="1" si="162"/>
        <v/>
      </c>
      <c r="M379" s="144" t="s">
        <v>201</v>
      </c>
      <c r="N379" s="145" t="str">
        <f t="shared" ca="1" si="163"/>
        <v>Serviço</v>
      </c>
      <c r="O379" s="146" t="str">
        <f t="shared" ca="1" si="164"/>
        <v>-</v>
      </c>
      <c r="P379" s="147" t="s">
        <v>249</v>
      </c>
      <c r="Q379" s="148">
        <v>89584</v>
      </c>
      <c r="R379" s="149" t="str">
        <f t="shared" ca="1" si="180"/>
        <v>(abra o arquivo 'Referência 05-2024.xls)</v>
      </c>
      <c r="S379" s="150" t="str">
        <f t="shared" ca="1" si="181"/>
        <v>-</v>
      </c>
      <c r="T379" s="151">
        <f ca="1">OFFSET(CÁLCULO!H$15,ROW($T379)-ROW(T$15),0)</f>
        <v>129</v>
      </c>
      <c r="U379" s="152">
        <f t="shared" ca="1" si="176"/>
        <v>0</v>
      </c>
      <c r="V379" s="153" t="s">
        <v>158</v>
      </c>
      <c r="W379" s="151">
        <f t="shared" ca="1" si="165"/>
        <v>0</v>
      </c>
      <c r="X379" s="154">
        <f t="shared" ca="1" si="166"/>
        <v>0</v>
      </c>
      <c r="Y379" s="155" t="s">
        <v>583</v>
      </c>
      <c r="Z379" t="str">
        <f t="shared" ca="1" si="167"/>
        <v/>
      </c>
      <c r="AA379" s="156">
        <f ca="1">IF($C379="S",IF($Z379="CP",$X379,IF($Z379="RA",(($X379)*QCI!$AA$3),0)),SomaAgrup)</f>
        <v>0</v>
      </c>
      <c r="AB379" s="157">
        <f t="shared" ca="1" si="168"/>
        <v>0</v>
      </c>
      <c r="AC379" s="158" t="str">
        <f t="shared" ca="1" si="169"/>
        <v/>
      </c>
      <c r="AD379" s="104" t="str">
        <f ca="1">IF(C379&lt;=CRONO.NivelExibicao,MAX($AD$15:OFFSET(AD379,-1,0))+IF($C379&lt;&gt;1,1,MAX(1,COUNTIF(QCI!$A$13:$A$24,OFFSET($E379,-1,0)))),"")</f>
        <v/>
      </c>
      <c r="AE379" s="114" t="str">
        <f t="shared" ca="1" si="170"/>
        <v>SINAPI 89584</v>
      </c>
      <c r="AF379" s="159" t="str">
        <f t="shared" ca="1" si="171"/>
        <v>(abra o arquivo 'Referência 05-2024.xls)</v>
      </c>
      <c r="AG379" s="579">
        <f t="shared" ca="1" si="172"/>
        <v>0</v>
      </c>
      <c r="AH379" s="580">
        <f t="shared" ca="1" si="173"/>
        <v>0.22470000000000001</v>
      </c>
      <c r="AJ379" s="582">
        <v>129</v>
      </c>
      <c r="AL379" s="612"/>
      <c r="AM379" s="430">
        <f t="shared" ca="1" si="174"/>
        <v>0</v>
      </c>
      <c r="AN379" s="655">
        <f t="shared" ca="1" si="175"/>
        <v>0</v>
      </c>
    </row>
    <row r="380" spans="1:40" ht="13.8" x14ac:dyDescent="0.3">
      <c r="A380" t="str">
        <f t="shared" si="154"/>
        <v>S</v>
      </c>
      <c r="B380">
        <f t="shared" ca="1" si="155"/>
        <v>3</v>
      </c>
      <c r="C380" t="str">
        <f t="shared" ca="1" si="156"/>
        <v>S</v>
      </c>
      <c r="D380">
        <f t="shared" ca="1" si="157"/>
        <v>0</v>
      </c>
      <c r="E380">
        <f ca="1">IF($C380=1,OFFSET(E380,-1,0)+MAX(1,COUNTIF(QCI!$A$13:$A$24,OFFSET(ORÇAMENTO!E380,-1,0))),OFFSET(E380,-1,0))</f>
        <v>1</v>
      </c>
      <c r="F380">
        <f t="shared" ca="1" si="158"/>
        <v>13</v>
      </c>
      <c r="G380">
        <f t="shared" ca="1" si="159"/>
        <v>1</v>
      </c>
      <c r="H380">
        <f t="shared" ca="1" si="160"/>
        <v>0</v>
      </c>
      <c r="I380">
        <f t="shared" ca="1" si="161"/>
        <v>0</v>
      </c>
      <c r="J380">
        <f t="shared" ca="1" si="177"/>
        <v>0</v>
      </c>
      <c r="K380">
        <f ca="1">IF(OR($C380="S",$C380=0),0,MATCH(OFFSET($D380,0,$C380)+IF($C380&lt;&gt;1,1,COUNTIF(QCI!$A$13:$A$24,ORÇAMENTO!E380)),OFFSET($D380,1,$C380,ROW($C$710)-ROW($C380)),0))</f>
        <v>0</v>
      </c>
      <c r="L380" s="143" t="str">
        <f t="shared" ca="1" si="162"/>
        <v/>
      </c>
      <c r="M380" s="144" t="s">
        <v>201</v>
      </c>
      <c r="N380" s="145" t="str">
        <f t="shared" ca="1" si="163"/>
        <v>Serviço</v>
      </c>
      <c r="O380" s="146" t="str">
        <f t="shared" ca="1" si="164"/>
        <v>-</v>
      </c>
      <c r="P380" s="147" t="s">
        <v>249</v>
      </c>
      <c r="Q380" s="148">
        <v>89590</v>
      </c>
      <c r="R380" s="149" t="str">
        <f t="shared" ca="1" si="180"/>
        <v>(abra o arquivo 'Referência 05-2024.xls)</v>
      </c>
      <c r="S380" s="150" t="str">
        <f t="shared" ca="1" si="181"/>
        <v>-</v>
      </c>
      <c r="T380" s="151">
        <f ca="1">OFFSET(CÁLCULO!H$15,ROW($T380)-ROW(T$15),0)</f>
        <v>34</v>
      </c>
      <c r="U380" s="152">
        <f t="shared" ca="1" si="176"/>
        <v>0</v>
      </c>
      <c r="V380" s="153" t="s">
        <v>158</v>
      </c>
      <c r="W380" s="151">
        <f t="shared" ca="1" si="165"/>
        <v>0</v>
      </c>
      <c r="X380" s="154">
        <f t="shared" ca="1" si="166"/>
        <v>0</v>
      </c>
      <c r="Y380" s="155" t="s">
        <v>583</v>
      </c>
      <c r="Z380" t="str">
        <f t="shared" ca="1" si="167"/>
        <v/>
      </c>
      <c r="AA380" s="156">
        <f ca="1">IF($C380="S",IF($Z380="CP",$X380,IF($Z380="RA",(($X380)*QCI!$AA$3),0)),SomaAgrup)</f>
        <v>0</v>
      </c>
      <c r="AB380" s="157">
        <f t="shared" ca="1" si="168"/>
        <v>0</v>
      </c>
      <c r="AC380" s="158" t="str">
        <f t="shared" ca="1" si="169"/>
        <v/>
      </c>
      <c r="AD380" s="104" t="str">
        <f ca="1">IF(C380&lt;=CRONO.NivelExibicao,MAX($AD$15:OFFSET(AD380,-1,0))+IF($C380&lt;&gt;1,1,MAX(1,COUNTIF(QCI!$A$13:$A$24,OFFSET($E380,-1,0)))),"")</f>
        <v/>
      </c>
      <c r="AE380" s="114" t="str">
        <f t="shared" ca="1" si="170"/>
        <v>SINAPI 89590</v>
      </c>
      <c r="AF380" s="159" t="str">
        <f t="shared" ca="1" si="171"/>
        <v>(abra o arquivo 'Referência 05-2024.xls)</v>
      </c>
      <c r="AG380" s="579">
        <f t="shared" ca="1" si="172"/>
        <v>0</v>
      </c>
      <c r="AH380" s="580">
        <f t="shared" ca="1" si="173"/>
        <v>0.22470000000000001</v>
      </c>
      <c r="AJ380" s="582">
        <v>34</v>
      </c>
      <c r="AL380" s="612"/>
      <c r="AM380" s="430">
        <f t="shared" ca="1" si="174"/>
        <v>0</v>
      </c>
      <c r="AN380" s="655">
        <f t="shared" ca="1" si="175"/>
        <v>0</v>
      </c>
    </row>
    <row r="381" spans="1:40" ht="13.8" x14ac:dyDescent="0.3">
      <c r="A381" t="str">
        <f t="shared" si="154"/>
        <v>S</v>
      </c>
      <c r="B381">
        <f t="shared" ca="1" si="155"/>
        <v>3</v>
      </c>
      <c r="C381" t="str">
        <f t="shared" ca="1" si="156"/>
        <v>S</v>
      </c>
      <c r="D381">
        <f t="shared" ca="1" si="157"/>
        <v>0</v>
      </c>
      <c r="E381">
        <f ca="1">IF($C381=1,OFFSET(E381,-1,0)+MAX(1,COUNTIF(QCI!$A$13:$A$24,OFFSET(ORÇAMENTO!E381,-1,0))),OFFSET(E381,-1,0))</f>
        <v>1</v>
      </c>
      <c r="F381">
        <f t="shared" ca="1" si="158"/>
        <v>13</v>
      </c>
      <c r="G381">
        <f t="shared" ca="1" si="159"/>
        <v>1</v>
      </c>
      <c r="H381">
        <f t="shared" ca="1" si="160"/>
        <v>0</v>
      </c>
      <c r="I381">
        <f t="shared" ca="1" si="161"/>
        <v>0</v>
      </c>
      <c r="J381">
        <f t="shared" ca="1" si="177"/>
        <v>0</v>
      </c>
      <c r="K381">
        <f ca="1">IF(OR($C381="S",$C381=0),0,MATCH(OFFSET($D381,0,$C381)+IF($C381&lt;&gt;1,1,COUNTIF(QCI!$A$13:$A$24,ORÇAMENTO!E381)),OFFSET($D381,1,$C381,ROW($C$710)-ROW($C381)),0))</f>
        <v>0</v>
      </c>
      <c r="L381" s="143" t="str">
        <f t="shared" ca="1" si="162"/>
        <v/>
      </c>
      <c r="M381" s="144" t="s">
        <v>201</v>
      </c>
      <c r="N381" s="145" t="str">
        <f t="shared" ca="1" si="163"/>
        <v>Serviço</v>
      </c>
      <c r="O381" s="146" t="str">
        <f t="shared" ca="1" si="164"/>
        <v>-</v>
      </c>
      <c r="P381" s="147" t="s">
        <v>249</v>
      </c>
      <c r="Q381" s="148">
        <v>89567</v>
      </c>
      <c r="R381" s="149" t="str">
        <f t="shared" ca="1" si="180"/>
        <v>(abra o arquivo 'Referência 05-2024.xls)</v>
      </c>
      <c r="S381" s="150" t="str">
        <f t="shared" ca="1" si="181"/>
        <v>-</v>
      </c>
      <c r="T381" s="151">
        <f ca="1">OFFSET(CÁLCULO!H$15,ROW($T381)-ROW(T$15),0)</f>
        <v>7</v>
      </c>
      <c r="U381" s="152">
        <f t="shared" ca="1" si="176"/>
        <v>0</v>
      </c>
      <c r="V381" s="153" t="s">
        <v>158</v>
      </c>
      <c r="W381" s="151">
        <f t="shared" ca="1" si="165"/>
        <v>0</v>
      </c>
      <c r="X381" s="154">
        <f t="shared" ca="1" si="166"/>
        <v>0</v>
      </c>
      <c r="Y381" s="155" t="s">
        <v>583</v>
      </c>
      <c r="Z381" t="str">
        <f t="shared" ca="1" si="167"/>
        <v/>
      </c>
      <c r="AA381" s="156">
        <f ca="1">IF($C381="S",IF($Z381="CP",$X381,IF($Z381="RA",(($X381)*QCI!$AA$3),0)),SomaAgrup)</f>
        <v>0</v>
      </c>
      <c r="AB381" s="157">
        <f t="shared" ca="1" si="168"/>
        <v>0</v>
      </c>
      <c r="AC381" s="158" t="str">
        <f t="shared" ca="1" si="169"/>
        <v/>
      </c>
      <c r="AD381" s="104" t="str">
        <f ca="1">IF(C381&lt;=CRONO.NivelExibicao,MAX($AD$15:OFFSET(AD381,-1,0))+IF($C381&lt;&gt;1,1,MAX(1,COUNTIF(QCI!$A$13:$A$24,OFFSET($E381,-1,0)))),"")</f>
        <v/>
      </c>
      <c r="AE381" s="114" t="str">
        <f t="shared" ca="1" si="170"/>
        <v>SINAPI 89567</v>
      </c>
      <c r="AF381" s="159" t="str">
        <f t="shared" ca="1" si="171"/>
        <v>(abra o arquivo 'Referência 05-2024.xls)</v>
      </c>
      <c r="AG381" s="579">
        <f t="shared" ca="1" si="172"/>
        <v>0</v>
      </c>
      <c r="AH381" s="580">
        <f t="shared" ca="1" si="173"/>
        <v>0.22470000000000001</v>
      </c>
      <c r="AJ381" s="582">
        <v>7</v>
      </c>
      <c r="AL381" s="612"/>
      <c r="AM381" s="430">
        <f t="shared" ca="1" si="174"/>
        <v>0</v>
      </c>
      <c r="AN381" s="655">
        <f t="shared" ca="1" si="175"/>
        <v>0</v>
      </c>
    </row>
    <row r="382" spans="1:40" ht="13.8" x14ac:dyDescent="0.3">
      <c r="A382" t="str">
        <f t="shared" si="154"/>
        <v>S</v>
      </c>
      <c r="B382">
        <f t="shared" ca="1" si="155"/>
        <v>3</v>
      </c>
      <c r="C382" t="str">
        <f t="shared" ca="1" si="156"/>
        <v>S</v>
      </c>
      <c r="D382">
        <f t="shared" ca="1" si="157"/>
        <v>0</v>
      </c>
      <c r="E382">
        <f ca="1">IF($C382=1,OFFSET(E382,-1,0)+MAX(1,COUNTIF(QCI!$A$13:$A$24,OFFSET(ORÇAMENTO!E382,-1,0))),OFFSET(E382,-1,0))</f>
        <v>1</v>
      </c>
      <c r="F382">
        <f t="shared" ca="1" si="158"/>
        <v>13</v>
      </c>
      <c r="G382">
        <f t="shared" ca="1" si="159"/>
        <v>1</v>
      </c>
      <c r="H382">
        <f t="shared" ca="1" si="160"/>
        <v>0</v>
      </c>
      <c r="I382">
        <f t="shared" ca="1" si="161"/>
        <v>0</v>
      </c>
      <c r="J382">
        <f t="shared" ca="1" si="177"/>
        <v>0</v>
      </c>
      <c r="K382">
        <f ca="1">IF(OR($C382="S",$C382=0),0,MATCH(OFFSET($D382,0,$C382)+IF($C382&lt;&gt;1,1,COUNTIF(QCI!$A$13:$A$24,ORÇAMENTO!E382)),OFFSET($D382,1,$C382,ROW($C$710)-ROW($C382)),0))</f>
        <v>0</v>
      </c>
      <c r="L382" s="143" t="str">
        <f t="shared" ca="1" si="162"/>
        <v/>
      </c>
      <c r="M382" s="144" t="s">
        <v>201</v>
      </c>
      <c r="N382" s="145" t="str">
        <f t="shared" ca="1" si="163"/>
        <v>Serviço</v>
      </c>
      <c r="O382" s="146" t="str">
        <f t="shared" ca="1" si="164"/>
        <v>-</v>
      </c>
      <c r="P382" s="147" t="s">
        <v>249</v>
      </c>
      <c r="Q382" s="148">
        <v>89699</v>
      </c>
      <c r="R382" s="149" t="str">
        <f t="shared" ca="1" si="180"/>
        <v>(abra o arquivo 'Referência 05-2024.xls)</v>
      </c>
      <c r="S382" s="150" t="str">
        <f t="shared" ca="1" si="181"/>
        <v>-</v>
      </c>
      <c r="T382" s="151">
        <f ca="1">OFFSET(CÁLCULO!H$15,ROW($T382)-ROW(T$15),0)</f>
        <v>2</v>
      </c>
      <c r="U382" s="152">
        <f t="shared" ca="1" si="176"/>
        <v>0</v>
      </c>
      <c r="V382" s="153" t="s">
        <v>158</v>
      </c>
      <c r="W382" s="151">
        <f t="shared" ca="1" si="165"/>
        <v>0</v>
      </c>
      <c r="X382" s="154">
        <f t="shared" ca="1" si="166"/>
        <v>0</v>
      </c>
      <c r="Y382" s="155" t="s">
        <v>583</v>
      </c>
      <c r="Z382" t="str">
        <f t="shared" ca="1" si="167"/>
        <v/>
      </c>
      <c r="AA382" s="156">
        <f ca="1">IF($C382="S",IF($Z382="CP",$X382,IF($Z382="RA",(($X382)*QCI!$AA$3),0)),SomaAgrup)</f>
        <v>0</v>
      </c>
      <c r="AB382" s="157">
        <f t="shared" ca="1" si="168"/>
        <v>0</v>
      </c>
      <c r="AC382" s="158" t="str">
        <f t="shared" ca="1" si="169"/>
        <v/>
      </c>
      <c r="AD382" s="104" t="str">
        <f ca="1">IF(C382&lt;=CRONO.NivelExibicao,MAX($AD$15:OFFSET(AD382,-1,0))+IF($C382&lt;&gt;1,1,MAX(1,COUNTIF(QCI!$A$13:$A$24,OFFSET($E382,-1,0)))),"")</f>
        <v/>
      </c>
      <c r="AE382" s="114" t="str">
        <f t="shared" ca="1" si="170"/>
        <v>SINAPI 89699</v>
      </c>
      <c r="AF382" s="159" t="str">
        <f t="shared" ca="1" si="171"/>
        <v>(abra o arquivo 'Referência 05-2024.xls)</v>
      </c>
      <c r="AG382" s="579">
        <f t="shared" ca="1" si="172"/>
        <v>0</v>
      </c>
      <c r="AH382" s="580">
        <f t="shared" ca="1" si="173"/>
        <v>0.22470000000000001</v>
      </c>
      <c r="AJ382" s="582">
        <v>2</v>
      </c>
      <c r="AL382" s="612"/>
      <c r="AM382" s="430">
        <f t="shared" ca="1" si="174"/>
        <v>0</v>
      </c>
      <c r="AN382" s="655">
        <f t="shared" ca="1" si="175"/>
        <v>0</v>
      </c>
    </row>
    <row r="383" spans="1:40" ht="13.8" x14ac:dyDescent="0.3">
      <c r="A383" t="str">
        <f t="shared" si="154"/>
        <v>S</v>
      </c>
      <c r="B383">
        <f t="shared" ca="1" si="155"/>
        <v>3</v>
      </c>
      <c r="C383" t="str">
        <f t="shared" ca="1" si="156"/>
        <v>S</v>
      </c>
      <c r="D383">
        <f t="shared" ca="1" si="157"/>
        <v>0</v>
      </c>
      <c r="E383">
        <f ca="1">IF($C383=1,OFFSET(E383,-1,0)+MAX(1,COUNTIF(QCI!$A$13:$A$24,OFFSET(ORÇAMENTO!E383,-1,0))),OFFSET(E383,-1,0))</f>
        <v>1</v>
      </c>
      <c r="F383">
        <f t="shared" ca="1" si="158"/>
        <v>13</v>
      </c>
      <c r="G383">
        <f t="shared" ca="1" si="159"/>
        <v>1</v>
      </c>
      <c r="H383">
        <f t="shared" ca="1" si="160"/>
        <v>0</v>
      </c>
      <c r="I383">
        <f t="shared" ca="1" si="161"/>
        <v>0</v>
      </c>
      <c r="J383">
        <f t="shared" ca="1" si="177"/>
        <v>0</v>
      </c>
      <c r="K383">
        <f ca="1">IF(OR($C383="S",$C383=0),0,MATCH(OFFSET($D383,0,$C383)+IF($C383&lt;&gt;1,1,COUNTIF(QCI!$A$13:$A$24,ORÇAMENTO!E383)),OFFSET($D383,1,$C383,ROW($C$710)-ROW($C383)),0))</f>
        <v>0</v>
      </c>
      <c r="L383" s="143" t="str">
        <f t="shared" ca="1" si="162"/>
        <v/>
      </c>
      <c r="M383" s="144" t="s">
        <v>201</v>
      </c>
      <c r="N383" s="145" t="str">
        <f t="shared" ca="1" si="163"/>
        <v>Serviço</v>
      </c>
      <c r="O383" s="146" t="str">
        <f t="shared" ca="1" si="164"/>
        <v>-</v>
      </c>
      <c r="P383" s="147" t="s">
        <v>249</v>
      </c>
      <c r="Q383" s="148">
        <v>89669</v>
      </c>
      <c r="R383" s="149" t="str">
        <f t="shared" ca="1" si="180"/>
        <v>(abra o arquivo 'Referência 05-2024.xls)</v>
      </c>
      <c r="S383" s="150" t="str">
        <f t="shared" ca="1" si="181"/>
        <v>-</v>
      </c>
      <c r="T383" s="151">
        <f ca="1">OFFSET(CÁLCULO!H$15,ROW($T383)-ROW(T$15),0)</f>
        <v>33</v>
      </c>
      <c r="U383" s="152">
        <f t="shared" ca="1" si="176"/>
        <v>0</v>
      </c>
      <c r="V383" s="153" t="s">
        <v>158</v>
      </c>
      <c r="W383" s="151">
        <f t="shared" ca="1" si="165"/>
        <v>0</v>
      </c>
      <c r="X383" s="154">
        <f t="shared" ca="1" si="166"/>
        <v>0</v>
      </c>
      <c r="Y383" s="155" t="s">
        <v>583</v>
      </c>
      <c r="Z383" t="str">
        <f t="shared" ca="1" si="167"/>
        <v/>
      </c>
      <c r="AA383" s="156">
        <f ca="1">IF($C383="S",IF($Z383="CP",$X383,IF($Z383="RA",(($X383)*QCI!$AA$3),0)),SomaAgrup)</f>
        <v>0</v>
      </c>
      <c r="AB383" s="157">
        <f t="shared" ca="1" si="168"/>
        <v>0</v>
      </c>
      <c r="AC383" s="158" t="str">
        <f t="shared" ca="1" si="169"/>
        <v/>
      </c>
      <c r="AD383" s="104" t="str">
        <f ca="1">IF(C383&lt;=CRONO.NivelExibicao,MAX($AD$15:OFFSET(AD383,-1,0))+IF($C383&lt;&gt;1,1,MAX(1,COUNTIF(QCI!$A$13:$A$24,OFFSET($E383,-1,0)))),"")</f>
        <v/>
      </c>
      <c r="AE383" s="114" t="str">
        <f t="shared" ca="1" si="170"/>
        <v>SINAPI 89669</v>
      </c>
      <c r="AF383" s="159" t="str">
        <f t="shared" ca="1" si="171"/>
        <v>(abra o arquivo 'Referência 05-2024.xls)</v>
      </c>
      <c r="AG383" s="579">
        <f t="shared" ca="1" si="172"/>
        <v>0</v>
      </c>
      <c r="AH383" s="580">
        <f t="shared" ca="1" si="173"/>
        <v>0.22470000000000001</v>
      </c>
      <c r="AJ383" s="582">
        <v>33</v>
      </c>
      <c r="AL383" s="612"/>
      <c r="AM383" s="430">
        <f t="shared" ca="1" si="174"/>
        <v>0</v>
      </c>
      <c r="AN383" s="655">
        <f t="shared" ca="1" si="175"/>
        <v>0</v>
      </c>
    </row>
    <row r="384" spans="1:40" ht="13.8" x14ac:dyDescent="0.3">
      <c r="A384" t="str">
        <f t="shared" si="154"/>
        <v>S</v>
      </c>
      <c r="B384">
        <f t="shared" ca="1" si="155"/>
        <v>3</v>
      </c>
      <c r="C384" t="str">
        <f t="shared" ca="1" si="156"/>
        <v>S</v>
      </c>
      <c r="D384">
        <f t="shared" ca="1" si="157"/>
        <v>0</v>
      </c>
      <c r="E384">
        <f ca="1">IF($C384=1,OFFSET(E384,-1,0)+MAX(1,COUNTIF(QCI!$A$13:$A$24,OFFSET(ORÇAMENTO!E384,-1,0))),OFFSET(E384,-1,0))</f>
        <v>1</v>
      </c>
      <c r="F384">
        <f t="shared" ca="1" si="158"/>
        <v>13</v>
      </c>
      <c r="G384">
        <f t="shared" ca="1" si="159"/>
        <v>1</v>
      </c>
      <c r="H384">
        <f t="shared" ca="1" si="160"/>
        <v>0</v>
      </c>
      <c r="I384">
        <f t="shared" ca="1" si="161"/>
        <v>0</v>
      </c>
      <c r="J384">
        <f t="shared" ca="1" si="177"/>
        <v>0</v>
      </c>
      <c r="K384">
        <f ca="1">IF(OR($C384="S",$C384=0),0,MATCH(OFFSET($D384,0,$C384)+IF($C384&lt;&gt;1,1,COUNTIF(QCI!$A$13:$A$24,ORÇAMENTO!E384)),OFFSET($D384,1,$C384,ROW($C$710)-ROW($C384)),0))</f>
        <v>0</v>
      </c>
      <c r="L384" s="143" t="str">
        <f t="shared" ca="1" si="162"/>
        <v/>
      </c>
      <c r="M384" s="144" t="s">
        <v>201</v>
      </c>
      <c r="N384" s="145" t="str">
        <f t="shared" ca="1" si="163"/>
        <v>Serviço</v>
      </c>
      <c r="O384" s="146" t="str">
        <f t="shared" ca="1" si="164"/>
        <v>-</v>
      </c>
      <c r="P384" s="147" t="s">
        <v>249</v>
      </c>
      <c r="Q384" s="148">
        <v>89677</v>
      </c>
      <c r="R384" s="149" t="str">
        <f t="shared" ca="1" si="180"/>
        <v>(abra o arquivo 'Referência 05-2024.xls)</v>
      </c>
      <c r="S384" s="150" t="str">
        <f t="shared" ca="1" si="181"/>
        <v>-</v>
      </c>
      <c r="T384" s="151">
        <f ca="1">OFFSET(CÁLCULO!H$15,ROW($T384)-ROW(T$15),0)</f>
        <v>2</v>
      </c>
      <c r="U384" s="152">
        <f t="shared" ca="1" si="176"/>
        <v>0</v>
      </c>
      <c r="V384" s="153" t="s">
        <v>158</v>
      </c>
      <c r="W384" s="151">
        <f t="shared" ca="1" si="165"/>
        <v>0</v>
      </c>
      <c r="X384" s="154">
        <f t="shared" ca="1" si="166"/>
        <v>0</v>
      </c>
      <c r="Y384" s="155" t="s">
        <v>583</v>
      </c>
      <c r="Z384" t="str">
        <f t="shared" ca="1" si="167"/>
        <v/>
      </c>
      <c r="AA384" s="156">
        <f ca="1">IF($C384="S",IF($Z384="CP",$X384,IF($Z384="RA",(($X384)*QCI!$AA$3),0)),SomaAgrup)</f>
        <v>0</v>
      </c>
      <c r="AB384" s="157">
        <f t="shared" ca="1" si="168"/>
        <v>0</v>
      </c>
      <c r="AC384" s="158" t="str">
        <f t="shared" ca="1" si="169"/>
        <v/>
      </c>
      <c r="AD384" s="104" t="str">
        <f ca="1">IF(C384&lt;=CRONO.NivelExibicao,MAX($AD$15:OFFSET(AD384,-1,0))+IF($C384&lt;&gt;1,1,MAX(1,COUNTIF(QCI!$A$13:$A$24,OFFSET($E384,-1,0)))),"")</f>
        <v/>
      </c>
      <c r="AE384" s="114" t="str">
        <f t="shared" ca="1" si="170"/>
        <v>SINAPI 89677</v>
      </c>
      <c r="AF384" s="159" t="str">
        <f t="shared" ca="1" si="171"/>
        <v>(abra o arquivo 'Referência 05-2024.xls)</v>
      </c>
      <c r="AG384" s="579">
        <f t="shared" ca="1" si="172"/>
        <v>0</v>
      </c>
      <c r="AH384" s="580">
        <f t="shared" ca="1" si="173"/>
        <v>0.22470000000000001</v>
      </c>
      <c r="AJ384" s="582">
        <v>2</v>
      </c>
      <c r="AL384" s="612"/>
      <c r="AM384" s="430">
        <f t="shared" ca="1" si="174"/>
        <v>0</v>
      </c>
      <c r="AN384" s="655">
        <f t="shared" ca="1" si="175"/>
        <v>0</v>
      </c>
    </row>
    <row r="385" spans="1:40" ht="13.8" x14ac:dyDescent="0.3">
      <c r="A385" t="str">
        <f t="shared" si="154"/>
        <v>S</v>
      </c>
      <c r="B385">
        <f t="shared" ca="1" si="155"/>
        <v>3</v>
      </c>
      <c r="C385" t="str">
        <f t="shared" ca="1" si="156"/>
        <v>S</v>
      </c>
      <c r="D385">
        <f t="shared" ca="1" si="157"/>
        <v>0</v>
      </c>
      <c r="E385">
        <f ca="1">IF($C385=1,OFFSET(E385,-1,0)+MAX(1,COUNTIF(QCI!$A$13:$A$24,OFFSET(ORÇAMENTO!E385,-1,0))),OFFSET(E385,-1,0))</f>
        <v>1</v>
      </c>
      <c r="F385">
        <f t="shared" ca="1" si="158"/>
        <v>13</v>
      </c>
      <c r="G385">
        <f t="shared" ca="1" si="159"/>
        <v>1</v>
      </c>
      <c r="H385">
        <f t="shared" ca="1" si="160"/>
        <v>0</v>
      </c>
      <c r="I385">
        <f t="shared" ca="1" si="161"/>
        <v>0</v>
      </c>
      <c r="J385">
        <f t="shared" ca="1" si="177"/>
        <v>0</v>
      </c>
      <c r="K385">
        <f ca="1">IF(OR($C385="S",$C385=0),0,MATCH(OFFSET($D385,0,$C385)+IF($C385&lt;&gt;1,1,COUNTIF(QCI!$A$13:$A$24,ORÇAMENTO!E385)),OFFSET($D385,1,$C385,ROW($C$710)-ROW($C385)),0))</f>
        <v>0</v>
      </c>
      <c r="L385" s="143" t="str">
        <f t="shared" ca="1" si="162"/>
        <v/>
      </c>
      <c r="M385" s="144" t="s">
        <v>201</v>
      </c>
      <c r="N385" s="145" t="str">
        <f t="shared" ca="1" si="163"/>
        <v>Serviço</v>
      </c>
      <c r="O385" s="146" t="str">
        <f t="shared" ca="1" si="164"/>
        <v>-</v>
      </c>
      <c r="P385" s="147" t="s">
        <v>249</v>
      </c>
      <c r="Q385" s="148">
        <v>89681</v>
      </c>
      <c r="R385" s="149" t="str">
        <f t="shared" ca="1" si="180"/>
        <v>(abra o arquivo 'Referência 05-2024.xls)</v>
      </c>
      <c r="S385" s="150" t="str">
        <f t="shared" ca="1" si="181"/>
        <v>-</v>
      </c>
      <c r="T385" s="151">
        <f ca="1">OFFSET(CÁLCULO!H$15,ROW($T385)-ROW(T$15),0)</f>
        <v>7</v>
      </c>
      <c r="U385" s="152">
        <f t="shared" ca="1" si="176"/>
        <v>0</v>
      </c>
      <c r="V385" s="153" t="s">
        <v>158</v>
      </c>
      <c r="W385" s="151">
        <f t="shared" ca="1" si="165"/>
        <v>0</v>
      </c>
      <c r="X385" s="154">
        <f t="shared" ca="1" si="166"/>
        <v>0</v>
      </c>
      <c r="Y385" s="155" t="s">
        <v>583</v>
      </c>
      <c r="Z385" t="str">
        <f t="shared" ca="1" si="167"/>
        <v/>
      </c>
      <c r="AA385" s="156">
        <f ca="1">IF($C385="S",IF($Z385="CP",$X385,IF($Z385="RA",(($X385)*QCI!$AA$3),0)),SomaAgrup)</f>
        <v>0</v>
      </c>
      <c r="AB385" s="157">
        <f t="shared" ca="1" si="168"/>
        <v>0</v>
      </c>
      <c r="AC385" s="158" t="str">
        <f t="shared" ca="1" si="169"/>
        <v/>
      </c>
      <c r="AD385" s="104" t="str">
        <f ca="1">IF(C385&lt;=CRONO.NivelExibicao,MAX($AD$15:OFFSET(AD385,-1,0))+IF($C385&lt;&gt;1,1,MAX(1,COUNTIF(QCI!$A$13:$A$24,OFFSET($E385,-1,0)))),"")</f>
        <v/>
      </c>
      <c r="AE385" s="114" t="str">
        <f t="shared" ca="1" si="170"/>
        <v>SINAPI 89681</v>
      </c>
      <c r="AF385" s="159" t="str">
        <f t="shared" ca="1" si="171"/>
        <v>(abra o arquivo 'Referência 05-2024.xls)</v>
      </c>
      <c r="AG385" s="579">
        <f t="shared" ca="1" si="172"/>
        <v>0</v>
      </c>
      <c r="AH385" s="580">
        <f t="shared" ca="1" si="173"/>
        <v>0.22470000000000001</v>
      </c>
      <c r="AJ385" s="582">
        <v>7</v>
      </c>
      <c r="AL385" s="612"/>
      <c r="AM385" s="430">
        <f t="shared" ca="1" si="174"/>
        <v>0</v>
      </c>
      <c r="AN385" s="655">
        <f t="shared" ca="1" si="175"/>
        <v>0</v>
      </c>
    </row>
    <row r="386" spans="1:40" ht="13.8" x14ac:dyDescent="0.3">
      <c r="A386">
        <f t="shared" si="154"/>
        <v>3</v>
      </c>
      <c r="B386">
        <f t="shared" ca="1" si="155"/>
        <v>3</v>
      </c>
      <c r="C386">
        <f t="shared" ca="1" si="156"/>
        <v>3</v>
      </c>
      <c r="D386">
        <f t="shared" ca="1" si="157"/>
        <v>4</v>
      </c>
      <c r="E386">
        <f ca="1">IF($C386=1,OFFSET(E386,-1,0)+MAX(1,COUNTIF(QCI!$A$13:$A$24,OFFSET(ORÇAMENTO!E386,-1,0))),OFFSET(E386,-1,0))</f>
        <v>1</v>
      </c>
      <c r="F386">
        <f t="shared" ca="1" si="158"/>
        <v>13</v>
      </c>
      <c r="G386">
        <f t="shared" ca="1" si="159"/>
        <v>2</v>
      </c>
      <c r="H386">
        <f t="shared" ca="1" si="160"/>
        <v>0</v>
      </c>
      <c r="I386">
        <f t="shared" ca="1" si="161"/>
        <v>0</v>
      </c>
      <c r="J386">
        <f t="shared" ca="1" si="177"/>
        <v>4</v>
      </c>
      <c r="K386">
        <f ca="1">IF(OR($C386="S",$C386=0),0,MATCH(OFFSET($D386,0,$C386)+IF($C386&lt;&gt;1,1,COUNTIF(QCI!$A$13:$A$24,ORÇAMENTO!E386)),OFFSET($D386,1,$C386,ROW($C$710)-ROW($C386)),0))</f>
        <v>43</v>
      </c>
      <c r="L386" s="143" t="str">
        <f t="shared" ca="1" si="162"/>
        <v>F</v>
      </c>
      <c r="M386" s="144" t="s">
        <v>199</v>
      </c>
      <c r="N386" s="145" t="str">
        <f t="shared" ca="1" si="163"/>
        <v>Nível 3</v>
      </c>
      <c r="O386" s="146" t="str">
        <f t="shared" ca="1" si="164"/>
        <v>1.13.2.</v>
      </c>
      <c r="P386" s="147" t="s">
        <v>249</v>
      </c>
      <c r="Q386" s="148"/>
      <c r="R386" s="149" t="s">
        <v>533</v>
      </c>
      <c r="S386" s="150" t="s">
        <v>168</v>
      </c>
      <c r="T386" s="151">
        <f ca="1">OFFSET(CÁLCULO!H$15,ROW($T386)-ROW(T$15),0)</f>
        <v>0</v>
      </c>
      <c r="U386" s="152">
        <f t="shared" ca="1" si="176"/>
        <v>0</v>
      </c>
      <c r="V386" s="153" t="s">
        <v>158</v>
      </c>
      <c r="W386" s="151">
        <f t="shared" ca="1" si="165"/>
        <v>0</v>
      </c>
      <c r="X386" s="154">
        <f t="shared" ca="1" si="166"/>
        <v>0</v>
      </c>
      <c r="Y386" s="155" t="s">
        <v>583</v>
      </c>
      <c r="Z386" t="str">
        <f t="shared" ca="1" si="167"/>
        <v/>
      </c>
      <c r="AA386" s="156">
        <f ca="1">IF($C386="S",IF($Z386="CP",$X386,IF($Z386="RA",(($X386)*QCI!$AA$3),0)),SomaAgrup)</f>
        <v>0</v>
      </c>
      <c r="AB386" s="157">
        <f t="shared" ca="1" si="168"/>
        <v>0</v>
      </c>
      <c r="AC386" s="158" t="str">
        <f t="shared" ca="1" si="169"/>
        <v/>
      </c>
      <c r="AD386" s="104" t="str">
        <f ca="1">IF(C386&lt;=CRONO.NivelExibicao,MAX($AD$15:OFFSET(AD386,-1,0))+IF($C386&lt;&gt;1,1,MAX(1,COUNTIF(QCI!$A$13:$A$24,OFFSET($E386,-1,0)))),"")</f>
        <v/>
      </c>
      <c r="AE386" s="114" t="b">
        <f t="shared" ca="1" si="170"/>
        <v>0</v>
      </c>
      <c r="AF386" s="159" t="str">
        <f t="shared" ca="1" si="171"/>
        <v>(abra o arquivo 'Referência 05-2024.xls)</v>
      </c>
      <c r="AG386" s="579">
        <f t="shared" ca="1" si="172"/>
        <v>0</v>
      </c>
      <c r="AH386" s="580">
        <f t="shared" ca="1" si="173"/>
        <v>0.22470000000000001</v>
      </c>
      <c r="AJ386" s="582"/>
      <c r="AL386" s="612"/>
      <c r="AM386" s="430">
        <f t="shared" ca="1" si="174"/>
        <v>0</v>
      </c>
      <c r="AN386" s="655">
        <f t="shared" ca="1" si="175"/>
        <v>0</v>
      </c>
    </row>
    <row r="387" spans="1:40" ht="13.8" x14ac:dyDescent="0.3">
      <c r="A387" t="str">
        <f t="shared" si="154"/>
        <v>S</v>
      </c>
      <c r="B387">
        <f t="shared" ca="1" si="155"/>
        <v>3</v>
      </c>
      <c r="C387" t="str">
        <f t="shared" ca="1" si="156"/>
        <v>S</v>
      </c>
      <c r="D387">
        <f t="shared" ca="1" si="157"/>
        <v>0</v>
      </c>
      <c r="E387">
        <f ca="1">IF($C387=1,OFFSET(E387,-1,0)+MAX(1,COUNTIF(QCI!$A$13:$A$24,OFFSET(ORÇAMENTO!E387,-1,0))),OFFSET(E387,-1,0))</f>
        <v>1</v>
      </c>
      <c r="F387">
        <f t="shared" ca="1" si="158"/>
        <v>13</v>
      </c>
      <c r="G387">
        <f t="shared" ca="1" si="159"/>
        <v>2</v>
      </c>
      <c r="H387">
        <f t="shared" ca="1" si="160"/>
        <v>0</v>
      </c>
      <c r="I387">
        <f t="shared" ca="1" si="161"/>
        <v>0</v>
      </c>
      <c r="J387">
        <f t="shared" ca="1" si="177"/>
        <v>0</v>
      </c>
      <c r="K387">
        <f ca="1">IF(OR($C387="S",$C387=0),0,MATCH(OFFSET($D387,0,$C387)+IF($C387&lt;&gt;1,1,COUNTIF(QCI!$A$13:$A$24,ORÇAMENTO!E387)),OFFSET($D387,1,$C387,ROW($C$710)-ROW($C387)),0))</f>
        <v>0</v>
      </c>
      <c r="L387" s="143" t="str">
        <f t="shared" ca="1" si="162"/>
        <v/>
      </c>
      <c r="M387" s="144" t="s">
        <v>201</v>
      </c>
      <c r="N387" s="145" t="str">
        <f t="shared" ca="1" si="163"/>
        <v>Serviço</v>
      </c>
      <c r="O387" s="146" t="str">
        <f t="shared" ca="1" si="164"/>
        <v>-</v>
      </c>
      <c r="P387" s="147" t="s">
        <v>249</v>
      </c>
      <c r="Q387" s="148">
        <v>99253</v>
      </c>
      <c r="R387" s="149" t="str">
        <f ca="1">IF($C387="S",REFERENCIA.Descricao,"(digite a descrição aqui)")</f>
        <v>(abra o arquivo 'Referência 05-2024.xls)</v>
      </c>
      <c r="S387" s="150" t="str">
        <f ca="1">REFERENCIA.Unidade</f>
        <v>-</v>
      </c>
      <c r="T387" s="151">
        <f ca="1">OFFSET(CÁLCULO!H$15,ROW($T387)-ROW(T$15),0)</f>
        <v>13</v>
      </c>
      <c r="U387" s="152">
        <f t="shared" ca="1" si="176"/>
        <v>0</v>
      </c>
      <c r="V387" s="153" t="s">
        <v>158</v>
      </c>
      <c r="W387" s="151">
        <f t="shared" ca="1" si="165"/>
        <v>0</v>
      </c>
      <c r="X387" s="154">
        <f t="shared" ca="1" si="166"/>
        <v>0</v>
      </c>
      <c r="Y387" s="155" t="s">
        <v>583</v>
      </c>
      <c r="Z387" t="str">
        <f t="shared" ca="1" si="167"/>
        <v/>
      </c>
      <c r="AA387" s="156">
        <f ca="1">IF($C387="S",IF($Z387="CP",$X387,IF($Z387="RA",(($X387)*QCI!$AA$3),0)),SomaAgrup)</f>
        <v>0</v>
      </c>
      <c r="AB387" s="157">
        <f t="shared" ca="1" si="168"/>
        <v>0</v>
      </c>
      <c r="AC387" s="158" t="str">
        <f t="shared" ca="1" si="169"/>
        <v/>
      </c>
      <c r="AD387" s="104" t="str">
        <f ca="1">IF(C387&lt;=CRONO.NivelExibicao,MAX($AD$15:OFFSET(AD387,-1,0))+IF($C387&lt;&gt;1,1,MAX(1,COUNTIF(QCI!$A$13:$A$24,OFFSET($E387,-1,0)))),"")</f>
        <v/>
      </c>
      <c r="AE387" s="114" t="str">
        <f t="shared" ca="1" si="170"/>
        <v>SINAPI 99253</v>
      </c>
      <c r="AF387" s="159" t="str">
        <f t="shared" ca="1" si="171"/>
        <v>(abra o arquivo 'Referência 05-2024.xls)</v>
      </c>
      <c r="AG387" s="579">
        <f t="shared" ca="1" si="172"/>
        <v>0</v>
      </c>
      <c r="AH387" s="580">
        <f t="shared" ca="1" si="173"/>
        <v>0.22470000000000001</v>
      </c>
      <c r="AJ387" s="582">
        <v>13</v>
      </c>
      <c r="AL387" s="612"/>
      <c r="AM387" s="430">
        <f t="shared" ca="1" si="174"/>
        <v>0</v>
      </c>
      <c r="AN387" s="655">
        <f t="shared" ca="1" si="175"/>
        <v>0</v>
      </c>
    </row>
    <row r="388" spans="1:40" ht="13.8" x14ac:dyDescent="0.3">
      <c r="A388" t="str">
        <f t="shared" si="154"/>
        <v>S</v>
      </c>
      <c r="B388">
        <f t="shared" ca="1" si="155"/>
        <v>3</v>
      </c>
      <c r="C388" t="str">
        <f t="shared" ca="1" si="156"/>
        <v>S</v>
      </c>
      <c r="D388">
        <f t="shared" ca="1" si="157"/>
        <v>0</v>
      </c>
      <c r="E388">
        <f ca="1">IF($C388=1,OFFSET(E388,-1,0)+MAX(1,COUNTIF(QCI!$A$13:$A$24,OFFSET(ORÇAMENTO!E388,-1,0))),OFFSET(E388,-1,0))</f>
        <v>1</v>
      </c>
      <c r="F388">
        <f t="shared" ca="1" si="158"/>
        <v>13</v>
      </c>
      <c r="G388">
        <f t="shared" ca="1" si="159"/>
        <v>2</v>
      </c>
      <c r="H388">
        <f t="shared" ca="1" si="160"/>
        <v>0</v>
      </c>
      <c r="I388">
        <f t="shared" ca="1" si="161"/>
        <v>0</v>
      </c>
      <c r="J388">
        <f t="shared" ca="1" si="177"/>
        <v>0</v>
      </c>
      <c r="K388">
        <f ca="1">IF(OR($C388="S",$C388=0),0,MATCH(OFFSET($D388,0,$C388)+IF($C388&lt;&gt;1,1,COUNTIF(QCI!$A$13:$A$24,ORÇAMENTO!E388)),OFFSET($D388,1,$C388,ROW($C$710)-ROW($C388)),0))</f>
        <v>0</v>
      </c>
      <c r="L388" s="143" t="str">
        <f t="shared" ca="1" si="162"/>
        <v/>
      </c>
      <c r="M388" s="144" t="s">
        <v>201</v>
      </c>
      <c r="N388" s="145" t="str">
        <f t="shared" ca="1" si="163"/>
        <v>Serviço</v>
      </c>
      <c r="O388" s="146" t="str">
        <f t="shared" ca="1" si="164"/>
        <v>-</v>
      </c>
      <c r="P388" s="147" t="s">
        <v>249</v>
      </c>
      <c r="Q388" s="148">
        <v>99268</v>
      </c>
      <c r="R388" s="149" t="str">
        <f ca="1">IF($C388="S",REFERENCIA.Descricao,"(digite a descrição aqui)")</f>
        <v>(abra o arquivo 'Referência 05-2024.xls)</v>
      </c>
      <c r="S388" s="150" t="str">
        <f ca="1">REFERENCIA.Unidade</f>
        <v>-</v>
      </c>
      <c r="T388" s="151">
        <f ca="1">OFFSET(CÁLCULO!H$15,ROW($T388)-ROW(T$15),0)</f>
        <v>9</v>
      </c>
      <c r="U388" s="152">
        <f t="shared" ca="1" si="176"/>
        <v>0</v>
      </c>
      <c r="V388" s="153" t="s">
        <v>158</v>
      </c>
      <c r="W388" s="151">
        <f t="shared" ca="1" si="165"/>
        <v>0</v>
      </c>
      <c r="X388" s="154">
        <f t="shared" ca="1" si="166"/>
        <v>0</v>
      </c>
      <c r="Y388" s="155" t="s">
        <v>583</v>
      </c>
      <c r="Z388" t="str">
        <f t="shared" ca="1" si="167"/>
        <v/>
      </c>
      <c r="AA388" s="156">
        <f ca="1">IF($C388="S",IF($Z388="CP",$X388,IF($Z388="RA",(($X388)*QCI!$AA$3),0)),SomaAgrup)</f>
        <v>0</v>
      </c>
      <c r="AB388" s="157">
        <f t="shared" ca="1" si="168"/>
        <v>0</v>
      </c>
      <c r="AC388" s="158" t="str">
        <f t="shared" ca="1" si="169"/>
        <v/>
      </c>
      <c r="AD388" s="104" t="str">
        <f ca="1">IF(C388&lt;=CRONO.NivelExibicao,MAX($AD$15:OFFSET(AD388,-1,0))+IF($C388&lt;&gt;1,1,MAX(1,COUNTIF(QCI!$A$13:$A$24,OFFSET($E388,-1,0)))),"")</f>
        <v/>
      </c>
      <c r="AE388" s="114" t="str">
        <f t="shared" ca="1" si="170"/>
        <v>SINAPI 99268</v>
      </c>
      <c r="AF388" s="159" t="str">
        <f t="shared" ca="1" si="171"/>
        <v>(abra o arquivo 'Referência 05-2024.xls)</v>
      </c>
      <c r="AG388" s="579">
        <f t="shared" ca="1" si="172"/>
        <v>0</v>
      </c>
      <c r="AH388" s="580">
        <f t="shared" ca="1" si="173"/>
        <v>0.22470000000000001</v>
      </c>
      <c r="AJ388" s="582">
        <v>9</v>
      </c>
      <c r="AL388" s="612"/>
      <c r="AM388" s="430">
        <f t="shared" ca="1" si="174"/>
        <v>0</v>
      </c>
      <c r="AN388" s="655">
        <f t="shared" ca="1" si="175"/>
        <v>0</v>
      </c>
    </row>
    <row r="389" spans="1:40" ht="13.8" x14ac:dyDescent="0.3">
      <c r="A389" t="str">
        <f t="shared" si="154"/>
        <v>S</v>
      </c>
      <c r="B389">
        <f t="shared" ca="1" si="155"/>
        <v>3</v>
      </c>
      <c r="C389" t="str">
        <f t="shared" ca="1" si="156"/>
        <v>S</v>
      </c>
      <c r="D389">
        <f t="shared" ca="1" si="157"/>
        <v>0</v>
      </c>
      <c r="E389">
        <f ca="1">IF($C389=1,OFFSET(E389,-1,0)+MAX(1,COUNTIF(QCI!$A$13:$A$24,OFFSET(ORÇAMENTO!E389,-1,0))),OFFSET(E389,-1,0))</f>
        <v>1</v>
      </c>
      <c r="F389">
        <f t="shared" ca="1" si="158"/>
        <v>13</v>
      </c>
      <c r="G389">
        <f t="shared" ca="1" si="159"/>
        <v>2</v>
      </c>
      <c r="H389">
        <f t="shared" ca="1" si="160"/>
        <v>0</v>
      </c>
      <c r="I389">
        <f t="shared" ca="1" si="161"/>
        <v>0</v>
      </c>
      <c r="J389">
        <f t="shared" ca="1" si="177"/>
        <v>0</v>
      </c>
      <c r="K389">
        <f ca="1">IF(OR($C389="S",$C389=0),0,MATCH(OFFSET($D389,0,$C389)+IF($C389&lt;&gt;1,1,COUNTIF(QCI!$A$13:$A$24,ORÇAMENTO!E389)),OFFSET($D389,1,$C389,ROW($C$710)-ROW($C389)),0))</f>
        <v>0</v>
      </c>
      <c r="L389" s="143" t="str">
        <f t="shared" ca="1" si="162"/>
        <v/>
      </c>
      <c r="M389" s="144" t="s">
        <v>201</v>
      </c>
      <c r="N389" s="145" t="str">
        <f t="shared" ca="1" si="163"/>
        <v>Serviço</v>
      </c>
      <c r="O389" s="146" t="str">
        <f t="shared" ca="1" si="164"/>
        <v>-</v>
      </c>
      <c r="P389" s="147" t="s">
        <v>441</v>
      </c>
      <c r="Q389" s="148" t="s">
        <v>591</v>
      </c>
      <c r="R389" s="149" t="str">
        <f ca="1">IF($C389="S",REFERENCIA.Descricao,"(digite a descrição aqui)")</f>
        <v>(abra o arquivo 'Referência 05-2024.xls)</v>
      </c>
      <c r="S389" s="150" t="str">
        <f ca="1">REFERENCIA.Unidade</f>
        <v>-</v>
      </c>
      <c r="T389" s="151">
        <f ca="1">OFFSET(CÁLCULO!H$15,ROW($T389)-ROW(T$15),0)</f>
        <v>12.55</v>
      </c>
      <c r="U389" s="152">
        <f t="shared" ca="1" si="176"/>
        <v>0</v>
      </c>
      <c r="V389" s="153" t="s">
        <v>158</v>
      </c>
      <c r="W389" s="151">
        <f t="shared" ca="1" si="165"/>
        <v>0</v>
      </c>
      <c r="X389" s="154">
        <f t="shared" ca="1" si="166"/>
        <v>0</v>
      </c>
      <c r="Y389" s="155" t="s">
        <v>583</v>
      </c>
      <c r="Z389" t="str">
        <f t="shared" ca="1" si="167"/>
        <v/>
      </c>
      <c r="AA389" s="156">
        <f ca="1">IF($C389="S",IF($Z389="CP",$X389,IF($Z389="RA",(($X389)*QCI!$AA$3),0)),SomaAgrup)</f>
        <v>0</v>
      </c>
      <c r="AB389" s="157">
        <f t="shared" ca="1" si="168"/>
        <v>0</v>
      </c>
      <c r="AC389" s="158" t="str">
        <f t="shared" ca="1" si="169"/>
        <v/>
      </c>
      <c r="AD389" s="104" t="str">
        <f ca="1">IF(C389&lt;=CRONO.NivelExibicao,MAX($AD$15:OFFSET(AD389,-1,0))+IF($C389&lt;&gt;1,1,MAX(1,COUNTIF(QCI!$A$13:$A$24,OFFSET($E389,-1,0)))),"")</f>
        <v/>
      </c>
      <c r="AE389" s="114" t="str">
        <f t="shared" ca="1" si="170"/>
        <v>Composição CP-33</v>
      </c>
      <c r="AF389" s="159" t="str">
        <f t="shared" ca="1" si="171"/>
        <v>(abra o arquivo 'Referência 05-2024.xls)</v>
      </c>
      <c r="AG389" s="579">
        <f t="shared" ca="1" si="172"/>
        <v>0</v>
      </c>
      <c r="AH389" s="580">
        <f t="shared" ca="1" si="173"/>
        <v>0.22470000000000001</v>
      </c>
      <c r="AJ389" s="582">
        <v>12.55</v>
      </c>
      <c r="AL389" s="612"/>
      <c r="AM389" s="430">
        <f t="shared" ca="1" si="174"/>
        <v>0</v>
      </c>
      <c r="AN389" s="655">
        <f t="shared" ca="1" si="175"/>
        <v>0</v>
      </c>
    </row>
    <row r="390" spans="1:40" ht="13.8" x14ac:dyDescent="0.3">
      <c r="A390">
        <f t="shared" si="154"/>
        <v>2</v>
      </c>
      <c r="B390">
        <f t="shared" ca="1" si="155"/>
        <v>2</v>
      </c>
      <c r="C390">
        <f t="shared" ca="1" si="156"/>
        <v>2</v>
      </c>
      <c r="D390">
        <f t="shared" ca="1" si="157"/>
        <v>56</v>
      </c>
      <c r="E390">
        <f ca="1">IF($C390=1,OFFSET(E390,-1,0)+MAX(1,COUNTIF(QCI!$A$13:$A$24,OFFSET(ORÇAMENTO!E390,-1,0))),OFFSET(E390,-1,0))</f>
        <v>1</v>
      </c>
      <c r="F390">
        <f t="shared" ca="1" si="158"/>
        <v>14</v>
      </c>
      <c r="G390">
        <f t="shared" ca="1" si="159"/>
        <v>0</v>
      </c>
      <c r="H390">
        <f t="shared" ca="1" si="160"/>
        <v>0</v>
      </c>
      <c r="I390">
        <f t="shared" ca="1" si="161"/>
        <v>0</v>
      </c>
      <c r="J390">
        <f t="shared" ca="1" si="177"/>
        <v>312</v>
      </c>
      <c r="K390">
        <f ca="1">IF(OR($C390="S",$C390=0),0,MATCH(OFFSET($D390,0,$C390)+IF($C390&lt;&gt;1,1,COUNTIF(QCI!$A$13:$A$24,ORÇAMENTO!E390)),OFFSET($D390,1,$C390,ROW($C$710)-ROW($C390)),0))</f>
        <v>56</v>
      </c>
      <c r="L390" s="143" t="str">
        <f t="shared" ca="1" si="162"/>
        <v>F</v>
      </c>
      <c r="M390" s="144" t="s">
        <v>198</v>
      </c>
      <c r="N390" s="145" t="str">
        <f t="shared" ca="1" si="163"/>
        <v>Nível 2</v>
      </c>
      <c r="O390" s="146" t="str">
        <f t="shared" ca="1" si="164"/>
        <v>1.14.</v>
      </c>
      <c r="P390" s="147" t="s">
        <v>249</v>
      </c>
      <c r="Q390" s="148"/>
      <c r="R390" s="149" t="s">
        <v>534</v>
      </c>
      <c r="S390" s="150" t="s">
        <v>168</v>
      </c>
      <c r="T390" s="151">
        <f ca="1">OFFSET(CÁLCULO!H$15,ROW($T390)-ROW(T$15),0)</f>
        <v>0</v>
      </c>
      <c r="U390" s="152">
        <f t="shared" ca="1" si="176"/>
        <v>0</v>
      </c>
      <c r="V390" s="153" t="s">
        <v>158</v>
      </c>
      <c r="W390" s="151">
        <f t="shared" ca="1" si="165"/>
        <v>0</v>
      </c>
      <c r="X390" s="154">
        <f t="shared" ca="1" si="166"/>
        <v>0</v>
      </c>
      <c r="Y390" s="155" t="s">
        <v>583</v>
      </c>
      <c r="Z390" t="str">
        <f t="shared" ca="1" si="167"/>
        <v/>
      </c>
      <c r="AA390" s="156">
        <f ca="1">IF($C390="S",IF($Z390="CP",$X390,IF($Z390="RA",(($X390)*QCI!$AA$3),0)),SomaAgrup)</f>
        <v>0</v>
      </c>
      <c r="AB390" s="157">
        <f t="shared" ca="1" si="168"/>
        <v>0</v>
      </c>
      <c r="AC390" s="158" t="str">
        <f t="shared" ca="1" si="169"/>
        <v/>
      </c>
      <c r="AD390" s="104">
        <f ca="1">IF(C390&lt;=CRONO.NivelExibicao,MAX($AD$15:OFFSET(AD390,-1,0))+IF($C390&lt;&gt;1,1,MAX(1,COUNTIF(QCI!$A$13:$A$24,OFFSET($E390,-1,0)))),"")</f>
        <v>15</v>
      </c>
      <c r="AE390" s="114" t="b">
        <f t="shared" ca="1" si="170"/>
        <v>0</v>
      </c>
      <c r="AF390" s="159" t="str">
        <f t="shared" ca="1" si="171"/>
        <v>(abra o arquivo 'Referência 05-2024.xls)</v>
      </c>
      <c r="AG390" s="579">
        <f t="shared" ca="1" si="172"/>
        <v>0</v>
      </c>
      <c r="AH390" s="580">
        <f t="shared" ca="1" si="173"/>
        <v>0.22470000000000001</v>
      </c>
      <c r="AJ390" s="582"/>
      <c r="AL390" s="612"/>
      <c r="AM390" s="430">
        <f t="shared" ca="1" si="174"/>
        <v>0</v>
      </c>
      <c r="AN390" s="655">
        <f t="shared" ca="1" si="175"/>
        <v>0</v>
      </c>
    </row>
    <row r="391" spans="1:40" ht="13.8" x14ac:dyDescent="0.3">
      <c r="A391">
        <f t="shared" si="154"/>
        <v>3</v>
      </c>
      <c r="B391">
        <f t="shared" ca="1" si="155"/>
        <v>3</v>
      </c>
      <c r="C391">
        <f t="shared" ca="1" si="156"/>
        <v>3</v>
      </c>
      <c r="D391">
        <f t="shared" ca="1" si="157"/>
        <v>35</v>
      </c>
      <c r="E391">
        <f ca="1">IF($C391=1,OFFSET(E391,-1,0)+MAX(1,COUNTIF(QCI!$A$13:$A$24,OFFSET(ORÇAMENTO!E391,-1,0))),OFFSET(E391,-1,0))</f>
        <v>1</v>
      </c>
      <c r="F391">
        <f t="shared" ca="1" si="158"/>
        <v>14</v>
      </c>
      <c r="G391">
        <f t="shared" ca="1" si="159"/>
        <v>1</v>
      </c>
      <c r="H391">
        <f t="shared" ca="1" si="160"/>
        <v>0</v>
      </c>
      <c r="I391">
        <f t="shared" ca="1" si="161"/>
        <v>0</v>
      </c>
      <c r="J391">
        <f t="shared" ca="1" si="177"/>
        <v>55</v>
      </c>
      <c r="K391">
        <f ca="1">IF(OR($C391="S",$C391=0),0,MATCH(OFFSET($D391,0,$C391)+IF($C391&lt;&gt;1,1,COUNTIF(QCI!$A$13:$A$24,ORÇAMENTO!E391)),OFFSET($D391,1,$C391,ROW($C$710)-ROW($C391)),0))</f>
        <v>35</v>
      </c>
      <c r="L391" s="143" t="str">
        <f t="shared" ca="1" si="162"/>
        <v>F</v>
      </c>
      <c r="M391" s="144" t="s">
        <v>199</v>
      </c>
      <c r="N391" s="145" t="str">
        <f t="shared" ca="1" si="163"/>
        <v>Nível 3</v>
      </c>
      <c r="O391" s="146" t="str">
        <f t="shared" ca="1" si="164"/>
        <v>1.14.1.</v>
      </c>
      <c r="P391" s="147" t="s">
        <v>249</v>
      </c>
      <c r="Q391" s="148"/>
      <c r="R391" s="149" t="s">
        <v>535</v>
      </c>
      <c r="S391" s="150" t="s">
        <v>168</v>
      </c>
      <c r="T391" s="151">
        <f ca="1">OFFSET(CÁLCULO!H$15,ROW($T391)-ROW(T$15),0)</f>
        <v>0</v>
      </c>
      <c r="U391" s="152">
        <f t="shared" ca="1" si="176"/>
        <v>0</v>
      </c>
      <c r="V391" s="153" t="s">
        <v>158</v>
      </c>
      <c r="W391" s="151">
        <f t="shared" ca="1" si="165"/>
        <v>0</v>
      </c>
      <c r="X391" s="154">
        <f t="shared" ca="1" si="166"/>
        <v>0</v>
      </c>
      <c r="Y391" s="155" t="s">
        <v>583</v>
      </c>
      <c r="Z391" t="str">
        <f t="shared" ca="1" si="167"/>
        <v/>
      </c>
      <c r="AA391" s="156">
        <f ca="1">IF($C391="S",IF($Z391="CP",$X391,IF($Z391="RA",(($X391)*QCI!$AA$3),0)),SomaAgrup)</f>
        <v>0</v>
      </c>
      <c r="AB391" s="157">
        <f t="shared" ca="1" si="168"/>
        <v>0</v>
      </c>
      <c r="AC391" s="158" t="str">
        <f t="shared" ca="1" si="169"/>
        <v/>
      </c>
      <c r="AD391" s="104" t="str">
        <f ca="1">IF(C391&lt;=CRONO.NivelExibicao,MAX($AD$15:OFFSET(AD391,-1,0))+IF($C391&lt;&gt;1,1,MAX(1,COUNTIF(QCI!$A$13:$A$24,OFFSET($E391,-1,0)))),"")</f>
        <v/>
      </c>
      <c r="AE391" s="114" t="b">
        <f t="shared" ca="1" si="170"/>
        <v>0</v>
      </c>
      <c r="AF391" s="159" t="str">
        <f t="shared" ca="1" si="171"/>
        <v>(abra o arquivo 'Referência 05-2024.xls)</v>
      </c>
      <c r="AG391" s="579">
        <f t="shared" ca="1" si="172"/>
        <v>0</v>
      </c>
      <c r="AH391" s="580">
        <f t="shared" ca="1" si="173"/>
        <v>0.22470000000000001</v>
      </c>
      <c r="AJ391" s="582"/>
      <c r="AL391" s="612"/>
      <c r="AM391" s="430">
        <f t="shared" ca="1" si="174"/>
        <v>0</v>
      </c>
      <c r="AN391" s="655">
        <f t="shared" ca="1" si="175"/>
        <v>0</v>
      </c>
    </row>
    <row r="392" spans="1:40" ht="13.8" x14ac:dyDescent="0.3">
      <c r="A392" t="str">
        <f t="shared" si="154"/>
        <v>S</v>
      </c>
      <c r="B392">
        <f t="shared" ca="1" si="155"/>
        <v>3</v>
      </c>
      <c r="C392" t="str">
        <f t="shared" ca="1" si="156"/>
        <v>S</v>
      </c>
      <c r="D392">
        <f t="shared" ca="1" si="157"/>
        <v>0</v>
      </c>
      <c r="E392">
        <f ca="1">IF($C392=1,OFFSET(E392,-1,0)+MAX(1,COUNTIF(QCI!$A$13:$A$24,OFFSET(ORÇAMENTO!E392,-1,0))),OFFSET(E392,-1,0))</f>
        <v>1</v>
      </c>
      <c r="F392">
        <f t="shared" ca="1" si="158"/>
        <v>14</v>
      </c>
      <c r="G392">
        <f t="shared" ca="1" si="159"/>
        <v>1</v>
      </c>
      <c r="H392">
        <f t="shared" ca="1" si="160"/>
        <v>0</v>
      </c>
      <c r="I392">
        <f t="shared" ca="1" si="161"/>
        <v>0</v>
      </c>
      <c r="J392">
        <f t="shared" ca="1" si="177"/>
        <v>0</v>
      </c>
      <c r="K392">
        <f ca="1">IF(OR($C392="S",$C392=0),0,MATCH(OFFSET($D392,0,$C392)+IF($C392&lt;&gt;1,1,COUNTIF(QCI!$A$13:$A$24,ORÇAMENTO!E392)),OFFSET($D392,1,$C392,ROW($C$710)-ROW($C392)),0))</f>
        <v>0</v>
      </c>
      <c r="L392" s="143" t="str">
        <f t="shared" ca="1" si="162"/>
        <v/>
      </c>
      <c r="M392" s="144" t="s">
        <v>201</v>
      </c>
      <c r="N392" s="145" t="str">
        <f t="shared" ca="1" si="163"/>
        <v>Serviço</v>
      </c>
      <c r="O392" s="146" t="str">
        <f t="shared" ca="1" si="164"/>
        <v>-</v>
      </c>
      <c r="P392" s="147" t="s">
        <v>249</v>
      </c>
      <c r="Q392" s="148">
        <v>89711</v>
      </c>
      <c r="R392" s="149" t="str">
        <f t="shared" ref="R392:R425" ca="1" si="182">IF($C392="S",REFERENCIA.Descricao,"(digite a descrição aqui)")</f>
        <v>(abra o arquivo 'Referência 05-2024.xls)</v>
      </c>
      <c r="S392" s="150" t="str">
        <f t="shared" ref="S392:S428" ca="1" si="183">REFERENCIA.Unidade</f>
        <v>-</v>
      </c>
      <c r="T392" s="151">
        <f ca="1">OFFSET(CÁLCULO!H$15,ROW($T392)-ROW(T$15),0)</f>
        <v>246.11</v>
      </c>
      <c r="U392" s="152">
        <f t="shared" ca="1" si="176"/>
        <v>0</v>
      </c>
      <c r="V392" s="153" t="s">
        <v>158</v>
      </c>
      <c r="W392" s="151">
        <f t="shared" ca="1" si="165"/>
        <v>0</v>
      </c>
      <c r="X392" s="154">
        <f t="shared" ca="1" si="166"/>
        <v>0</v>
      </c>
      <c r="Y392" s="155" t="s">
        <v>583</v>
      </c>
      <c r="Z392" t="str">
        <f t="shared" ca="1" si="167"/>
        <v/>
      </c>
      <c r="AA392" s="156">
        <f ca="1">IF($C392="S",IF($Z392="CP",$X392,IF($Z392="RA",(($X392)*QCI!$AA$3),0)),SomaAgrup)</f>
        <v>0</v>
      </c>
      <c r="AB392" s="157">
        <f t="shared" ca="1" si="168"/>
        <v>0</v>
      </c>
      <c r="AC392" s="158" t="str">
        <f t="shared" ca="1" si="169"/>
        <v/>
      </c>
      <c r="AD392" s="104" t="str">
        <f ca="1">IF(C392&lt;=CRONO.NivelExibicao,MAX($AD$15:OFFSET(AD392,-1,0))+IF($C392&lt;&gt;1,1,MAX(1,COUNTIF(QCI!$A$13:$A$24,OFFSET($E392,-1,0)))),"")</f>
        <v/>
      </c>
      <c r="AE392" s="114" t="str">
        <f t="shared" ca="1" si="170"/>
        <v>SINAPI 89711</v>
      </c>
      <c r="AF392" s="159" t="str">
        <f t="shared" ca="1" si="171"/>
        <v>(abra o arquivo 'Referência 05-2024.xls)</v>
      </c>
      <c r="AG392" s="579">
        <f t="shared" ca="1" si="172"/>
        <v>0</v>
      </c>
      <c r="AH392" s="580">
        <f t="shared" ca="1" si="173"/>
        <v>0.22470000000000001</v>
      </c>
      <c r="AJ392" s="582">
        <v>246.11</v>
      </c>
      <c r="AL392" s="612"/>
      <c r="AM392" s="430">
        <f t="shared" ca="1" si="174"/>
        <v>0</v>
      </c>
      <c r="AN392" s="655">
        <f t="shared" ca="1" si="175"/>
        <v>0</v>
      </c>
    </row>
    <row r="393" spans="1:40" ht="13.8" x14ac:dyDescent="0.3">
      <c r="A393" t="str">
        <f t="shared" si="154"/>
        <v>S</v>
      </c>
      <c r="B393">
        <f t="shared" ca="1" si="155"/>
        <v>3</v>
      </c>
      <c r="C393" t="str">
        <f t="shared" ca="1" si="156"/>
        <v>S</v>
      </c>
      <c r="D393">
        <f t="shared" ca="1" si="157"/>
        <v>0</v>
      </c>
      <c r="E393">
        <f ca="1">IF($C393=1,OFFSET(E393,-1,0)+MAX(1,COUNTIF(QCI!$A$13:$A$24,OFFSET(ORÇAMENTO!E393,-1,0))),OFFSET(E393,-1,0))</f>
        <v>1</v>
      </c>
      <c r="F393">
        <f t="shared" ca="1" si="158"/>
        <v>14</v>
      </c>
      <c r="G393">
        <f t="shared" ca="1" si="159"/>
        <v>1</v>
      </c>
      <c r="H393">
        <f t="shared" ca="1" si="160"/>
        <v>0</v>
      </c>
      <c r="I393">
        <f t="shared" ca="1" si="161"/>
        <v>0</v>
      </c>
      <c r="J393">
        <f t="shared" ca="1" si="177"/>
        <v>0</v>
      </c>
      <c r="K393">
        <f ca="1">IF(OR($C393="S",$C393=0),0,MATCH(OFFSET($D393,0,$C393)+IF($C393&lt;&gt;1,1,COUNTIF(QCI!$A$13:$A$24,ORÇAMENTO!E393)),OFFSET($D393,1,$C393,ROW($C$710)-ROW($C393)),0))</f>
        <v>0</v>
      </c>
      <c r="L393" s="143" t="str">
        <f t="shared" ca="1" si="162"/>
        <v/>
      </c>
      <c r="M393" s="144" t="s">
        <v>201</v>
      </c>
      <c r="N393" s="145" t="str">
        <f t="shared" ca="1" si="163"/>
        <v>Serviço</v>
      </c>
      <c r="O393" s="146" t="str">
        <f t="shared" ca="1" si="164"/>
        <v>-</v>
      </c>
      <c r="P393" s="147" t="s">
        <v>249</v>
      </c>
      <c r="Q393" s="148">
        <v>89712</v>
      </c>
      <c r="R393" s="149" t="str">
        <f t="shared" ca="1" si="182"/>
        <v>(abra o arquivo 'Referência 05-2024.xls)</v>
      </c>
      <c r="S393" s="150" t="str">
        <f t="shared" ca="1" si="183"/>
        <v>-</v>
      </c>
      <c r="T393" s="151">
        <f ca="1">OFFSET(CÁLCULO!H$15,ROW($T393)-ROW(T$15),0)</f>
        <v>67.849999999999994</v>
      </c>
      <c r="U393" s="152">
        <f t="shared" ca="1" si="176"/>
        <v>0</v>
      </c>
      <c r="V393" s="153" t="s">
        <v>158</v>
      </c>
      <c r="W393" s="151">
        <f t="shared" ca="1" si="165"/>
        <v>0</v>
      </c>
      <c r="X393" s="154">
        <f t="shared" ca="1" si="166"/>
        <v>0</v>
      </c>
      <c r="Y393" s="155" t="s">
        <v>583</v>
      </c>
      <c r="Z393" t="str">
        <f t="shared" ca="1" si="167"/>
        <v/>
      </c>
      <c r="AA393" s="156">
        <f ca="1">IF($C393="S",IF($Z393="CP",$X393,IF($Z393="RA",(($X393)*QCI!$AA$3),0)),SomaAgrup)</f>
        <v>0</v>
      </c>
      <c r="AB393" s="157">
        <f t="shared" ca="1" si="168"/>
        <v>0</v>
      </c>
      <c r="AC393" s="158" t="str">
        <f t="shared" ca="1" si="169"/>
        <v/>
      </c>
      <c r="AD393" s="104" t="str">
        <f ca="1">IF(C393&lt;=CRONO.NivelExibicao,MAX($AD$15:OFFSET(AD393,-1,0))+IF($C393&lt;&gt;1,1,MAX(1,COUNTIF(QCI!$A$13:$A$24,OFFSET($E393,-1,0)))),"")</f>
        <v/>
      </c>
      <c r="AE393" s="114" t="str">
        <f t="shared" ca="1" si="170"/>
        <v>SINAPI 89712</v>
      </c>
      <c r="AF393" s="159" t="str">
        <f t="shared" ca="1" si="171"/>
        <v>(abra o arquivo 'Referência 05-2024.xls)</v>
      </c>
      <c r="AG393" s="579">
        <f t="shared" ca="1" si="172"/>
        <v>0</v>
      </c>
      <c r="AH393" s="580">
        <f t="shared" ca="1" si="173"/>
        <v>0.22470000000000001</v>
      </c>
      <c r="AJ393" s="582">
        <v>67.849999999999994</v>
      </c>
      <c r="AL393" s="612"/>
      <c r="AM393" s="430">
        <f t="shared" ca="1" si="174"/>
        <v>0</v>
      </c>
      <c r="AN393" s="655">
        <f t="shared" ca="1" si="175"/>
        <v>0</v>
      </c>
    </row>
    <row r="394" spans="1:40" ht="13.8" x14ac:dyDescent="0.3">
      <c r="A394" t="str">
        <f t="shared" si="154"/>
        <v>S</v>
      </c>
      <c r="B394">
        <f t="shared" ca="1" si="155"/>
        <v>3</v>
      </c>
      <c r="C394" t="str">
        <f t="shared" ca="1" si="156"/>
        <v>S</v>
      </c>
      <c r="D394">
        <f t="shared" ca="1" si="157"/>
        <v>0</v>
      </c>
      <c r="E394">
        <f ca="1">IF($C394=1,OFFSET(E394,-1,0)+MAX(1,COUNTIF(QCI!$A$13:$A$24,OFFSET(ORÇAMENTO!E394,-1,0))),OFFSET(E394,-1,0))</f>
        <v>1</v>
      </c>
      <c r="F394">
        <f t="shared" ca="1" si="158"/>
        <v>14</v>
      </c>
      <c r="G394">
        <f t="shared" ca="1" si="159"/>
        <v>1</v>
      </c>
      <c r="H394">
        <f t="shared" ca="1" si="160"/>
        <v>0</v>
      </c>
      <c r="I394">
        <f t="shared" ca="1" si="161"/>
        <v>0</v>
      </c>
      <c r="J394">
        <f t="shared" ca="1" si="177"/>
        <v>0</v>
      </c>
      <c r="K394">
        <f ca="1">IF(OR($C394="S",$C394=0),0,MATCH(OFFSET($D394,0,$C394)+IF($C394&lt;&gt;1,1,COUNTIF(QCI!$A$13:$A$24,ORÇAMENTO!E394)),OFFSET($D394,1,$C394,ROW($C$710)-ROW($C394)),0))</f>
        <v>0</v>
      </c>
      <c r="L394" s="143" t="str">
        <f t="shared" ca="1" si="162"/>
        <v/>
      </c>
      <c r="M394" s="144" t="s">
        <v>201</v>
      </c>
      <c r="N394" s="145" t="str">
        <f t="shared" ca="1" si="163"/>
        <v>Serviço</v>
      </c>
      <c r="O394" s="146" t="str">
        <f t="shared" ca="1" si="164"/>
        <v>-</v>
      </c>
      <c r="P394" s="147" t="s">
        <v>249</v>
      </c>
      <c r="Q394" s="148">
        <v>89511</v>
      </c>
      <c r="R394" s="149" t="str">
        <f t="shared" ca="1" si="182"/>
        <v>(abra o arquivo 'Referência 05-2024.xls)</v>
      </c>
      <c r="S394" s="150" t="str">
        <f t="shared" ca="1" si="183"/>
        <v>-</v>
      </c>
      <c r="T394" s="151">
        <f ca="1">OFFSET(CÁLCULO!H$15,ROW($T394)-ROW(T$15),0)</f>
        <v>31.38</v>
      </c>
      <c r="U394" s="152">
        <f t="shared" ca="1" si="176"/>
        <v>0</v>
      </c>
      <c r="V394" s="153" t="s">
        <v>158</v>
      </c>
      <c r="W394" s="151">
        <f t="shared" ca="1" si="165"/>
        <v>0</v>
      </c>
      <c r="X394" s="154">
        <f t="shared" ca="1" si="166"/>
        <v>0</v>
      </c>
      <c r="Y394" s="155" t="s">
        <v>583</v>
      </c>
      <c r="Z394" t="str">
        <f t="shared" ca="1" si="167"/>
        <v/>
      </c>
      <c r="AA394" s="156">
        <f ca="1">IF($C394="S",IF($Z394="CP",$X394,IF($Z394="RA",(($X394)*QCI!$AA$3),0)),SomaAgrup)</f>
        <v>0</v>
      </c>
      <c r="AB394" s="157">
        <f t="shared" ca="1" si="168"/>
        <v>0</v>
      </c>
      <c r="AC394" s="158" t="str">
        <f t="shared" ca="1" si="169"/>
        <v/>
      </c>
      <c r="AD394" s="104" t="str">
        <f ca="1">IF(C394&lt;=CRONO.NivelExibicao,MAX($AD$15:OFFSET(AD394,-1,0))+IF($C394&lt;&gt;1,1,MAX(1,COUNTIF(QCI!$A$13:$A$24,OFFSET($E394,-1,0)))),"")</f>
        <v/>
      </c>
      <c r="AE394" s="114" t="str">
        <f t="shared" ca="1" si="170"/>
        <v>SINAPI 89511</v>
      </c>
      <c r="AF394" s="159" t="str">
        <f t="shared" ca="1" si="171"/>
        <v>(abra o arquivo 'Referência 05-2024.xls)</v>
      </c>
      <c r="AG394" s="579">
        <f t="shared" ca="1" si="172"/>
        <v>0</v>
      </c>
      <c r="AH394" s="580">
        <f t="shared" ca="1" si="173"/>
        <v>0.22470000000000001</v>
      </c>
      <c r="AJ394" s="582">
        <v>31.38</v>
      </c>
      <c r="AL394" s="612"/>
      <c r="AM394" s="430">
        <f t="shared" ca="1" si="174"/>
        <v>0</v>
      </c>
      <c r="AN394" s="655">
        <f t="shared" ca="1" si="175"/>
        <v>0</v>
      </c>
    </row>
    <row r="395" spans="1:40" ht="13.8" x14ac:dyDescent="0.3">
      <c r="A395" t="str">
        <f t="shared" ref="A395:A461" si="184">CHOOSE(1+LOG(1+2*(ORÇAMENTO.Nivel="Meta")+4*(ORÇAMENTO.Nivel="Nível 2")+8*(ORÇAMENTO.Nivel="Nível 3")+16*(ORÇAMENTO.Nivel="Nível 4")+32*(ORÇAMENTO.Nivel="Serviço"),2),0,1,2,3,4,"S")</f>
        <v>S</v>
      </c>
      <c r="B395">
        <f t="shared" ref="B395:B461" ca="1" si="185">IF(OR(C395="s",C395=0),OFFSET(B395,-1,0),C395)</f>
        <v>3</v>
      </c>
      <c r="C395" t="str">
        <f t="shared" ref="C395:C461" ca="1" si="186">IF(OFFSET(C395,-1,0)="L",1,IF(OFFSET(C395,-1,0)=1,2,IF(OR(A395="s",A395=0),"S",IF(AND(OFFSET(C395,-1,0)=2,A395=4),3,IF(AND(OR(OFFSET(C395,-1,0)="s",OFFSET(C395,-1,0)=0),A395&lt;&gt;"s",A395&gt;OFFSET(B395,-1,0)),OFFSET(B395,-1,0),A395)))))</f>
        <v>S</v>
      </c>
      <c r="D395">
        <f t="shared" ref="D395:D461" ca="1" si="187">IF(OR(C395="S",C395=0),0,IF(ISERROR(K395),J395,SMALL(J395:K395,1)))</f>
        <v>0</v>
      </c>
      <c r="E395">
        <f ca="1">IF($C395=1,OFFSET(E395,-1,0)+MAX(1,COUNTIF(QCI!$A$13:$A$24,OFFSET(ORÇAMENTO!E395,-1,0))),OFFSET(E395,-1,0))</f>
        <v>1</v>
      </c>
      <c r="F395">
        <f t="shared" ref="F395:F461" ca="1" si="188">IF($C395=1,0,IF($C395=2,OFFSET(F395,-1,0)+1,OFFSET(F395,-1,0)))</f>
        <v>14</v>
      </c>
      <c r="G395">
        <f t="shared" ref="G395:G461" ca="1" si="189">IF(AND($C395&lt;=2,$C395&lt;&gt;0),0,IF($C395=3,OFFSET(G395,-1,0)+1,OFFSET(G395,-1,0)))</f>
        <v>1</v>
      </c>
      <c r="H395">
        <f t="shared" ref="H395:H461" ca="1" si="190">IF(AND($C395&lt;=3,$C395&lt;&gt;0),0,IF($C395=4,OFFSET(H395,-1,0)+1,OFFSET(H395,-1,0)))</f>
        <v>0</v>
      </c>
      <c r="I395">
        <f t="shared" ref="I395:I461" ca="1" si="191">IF(AND($C395&lt;=4,$C395&lt;&gt;0),0,IF(AND($C395="S",$X395&gt;0),OFFSET(I395,-1,0)+1,OFFSET(I395,-1,0)))</f>
        <v>0</v>
      </c>
      <c r="J395">
        <f t="shared" ca="1" si="177"/>
        <v>0</v>
      </c>
      <c r="K395">
        <f ca="1">IF(OR($C395="S",$C395=0),0,MATCH(OFFSET($D395,0,$C395)+IF($C395&lt;&gt;1,1,COUNTIF(QCI!$A$13:$A$24,ORÇAMENTO!E395)),OFFSET($D395,1,$C395,ROW($C$710)-ROW($C395)),0))</f>
        <v>0</v>
      </c>
      <c r="L395" s="143" t="str">
        <f t="shared" ref="L395:L461" ca="1" si="192">IF(OR($X395&gt;0,$C395=1,$C395=2,$C395=3,$C395=4),"F","")</f>
        <v/>
      </c>
      <c r="M395" s="144" t="s">
        <v>201</v>
      </c>
      <c r="N395" s="145" t="str">
        <f t="shared" ref="N395:N461" ca="1" si="193">CHOOSE(1+LOG(1+2*(C395=1)+4*(C395=2)+8*(C395=3)+16*(C395=4)+32*(C395="S"),2),"","Meta","Nível 2","Nível 3","Nível 4","Serviço")</f>
        <v>Serviço</v>
      </c>
      <c r="O395" s="146" t="str">
        <f t="shared" ref="O395:O461" ca="1" si="194">IF(OR($C395=0,$L395=""),"-",CONCATENATE(E395&amp;".",IF(AND($A$5&gt;=2,$C395&gt;=2),F395&amp;".",""),IF(AND($A$5&gt;=3,$C395&gt;=3),G395&amp;".",""),IF(AND($A$5&gt;=4,$C395&gt;=4),H395&amp;".",""),IF($C395="S",I395&amp;".","")))</f>
        <v>-</v>
      </c>
      <c r="P395" s="147" t="s">
        <v>249</v>
      </c>
      <c r="Q395" s="148">
        <v>89714</v>
      </c>
      <c r="R395" s="149" t="str">
        <f t="shared" ca="1" si="182"/>
        <v>(abra o arquivo 'Referência 05-2024.xls)</v>
      </c>
      <c r="S395" s="150" t="str">
        <f t="shared" ca="1" si="183"/>
        <v>-</v>
      </c>
      <c r="T395" s="151">
        <f ca="1">OFFSET(CÁLCULO!H$15,ROW($T395)-ROW(T$15),0)</f>
        <v>255.62</v>
      </c>
      <c r="U395" s="152">
        <f t="shared" ca="1" si="176"/>
        <v>0</v>
      </c>
      <c r="V395" s="153" t="s">
        <v>158</v>
      </c>
      <c r="W395" s="151">
        <f t="shared" ref="W395:W461" ca="1" si="195">IF($C395="S",ROUND(IF(TIPOORCAMENTO="Proposto",ORÇAMENTO.CustoUnitario*(1+$AH395),ORÇAMENTO.PrecoUnitarioLicitado),15-13*$AF$10),0)</f>
        <v>0</v>
      </c>
      <c r="X395" s="154">
        <f t="shared" ref="X395:X461" ca="1" si="196">IF($C395="S",VTOTAL1,IF($C395=0,0,ROUND(SomaAgrup,15-13*$AF$11)))</f>
        <v>0</v>
      </c>
      <c r="Y395" s="155" t="s">
        <v>583</v>
      </c>
      <c r="Z395" t="str">
        <f t="shared" ref="Z395:Z461" ca="1" si="197">IF(AND($C395="S",$X395&gt;0),IF(ISBLANK($Y395),"RA",LEFT($Y395,2)),"")</f>
        <v/>
      </c>
      <c r="AA395" s="156">
        <f ca="1">IF($C395="S",IF($Z395="CP",$X395,IF($Z395="RA",(($X395)*QCI!$AA$3),0)),SomaAgrup)</f>
        <v>0</v>
      </c>
      <c r="AB395" s="157">
        <f t="shared" ref="AB395:AB461" ca="1" si="198">IF($C395="S",IF($Z395="OU",ROUND($X395,2),0),SomaAgrup)</f>
        <v>0</v>
      </c>
      <c r="AC395" s="158" t="str">
        <f t="shared" ref="AC395:AC461" ca="1" si="199">IF($N395="","",IF(ORÇAMENTO.Descricao="","DESCRIÇÃO",IF(AND($C395="S",ORÇAMENTO.Unidade=""),"UNIDADE",IF($X395&lt;0,"VALOR NEGATIVO",IF(OR(AND(TIPOORCAMENTO="Proposto",$AG395&lt;&gt;"",$AG395&gt;0,ORÇAMENTO.CustoUnitario&gt;$AG395),AND(TIPOORCAMENTO="LICITADO",ORÇAMENTO.PrecoUnitarioLicitado&gt;$AN395)),"ACIMA REF.","")))))</f>
        <v/>
      </c>
      <c r="AD395" s="104" t="str">
        <f ca="1">IF(C395&lt;=CRONO.NivelExibicao,MAX($AD$15:OFFSET(AD395,-1,0))+IF($C395&lt;&gt;1,1,MAX(1,COUNTIF(QCI!$A$13:$A$24,OFFSET($E395,-1,0)))),"")</f>
        <v/>
      </c>
      <c r="AE395" s="114" t="str">
        <f t="shared" ref="AE395:AE461" ca="1" si="200">IF(AND($C395="S",ORÇAMENTO.CodBarra&lt;&gt;""),IF(ORÇAMENTO.Fonte="",ORÇAMENTO.CodBarra,CONCATENATE(ORÇAMENTO.Fonte," ",ORÇAMENTO.CodBarra)))</f>
        <v>SINAPI 89714</v>
      </c>
      <c r="AF395" s="159" t="str">
        <f t="shared" ref="AF395:AF461" ca="1" si="201">IF(ISERROR(INDIRECT(ORÇAMENTO.BancoRef)),"(abra o arquivo 'Referência "&amp;Excel_BuiltIn_Database&amp;".xls)",IF(OR($C395&lt;&gt;"S",ORÇAMENTO.CodBarra=""),"(Sem Código)",IF(ISERROR(MATCH($AE395,INDIRECT(ORÇAMENTO.BancoRef),0)),"(Código não identificado nas referências)",MATCH($AE395,INDIRECT(ORÇAMENTO.BancoRef),0))))</f>
        <v>(abra o arquivo 'Referência 05-2024.xls)</v>
      </c>
      <c r="AG395" s="579">
        <f t="shared" ref="AG395:AG461" ca="1" si="202">ROUND(IF(DESONERACAO="sim",REFERENCIA.Desonerado,REFERENCIA.NaoDesonerado),2)</f>
        <v>0</v>
      </c>
      <c r="AH395" s="580">
        <f t="shared" ref="AH395:AH461" ca="1" si="203">ROUND(IF(ISNUMBER(ORÇAMENTO.OpcaoBDI),ORÇAMENTO.OpcaoBDI,IF(LEFT(ORÇAMENTO.OpcaoBDI,3)="BDI",HLOOKUP(ORÇAMENTO.OpcaoBDI,$F$4:$H$5,2,FALSE),0)),15-11*$AF$9)</f>
        <v>0.22470000000000001</v>
      </c>
      <c r="AJ395" s="582">
        <v>255.62</v>
      </c>
      <c r="AL395" s="612"/>
      <c r="AM395" s="430">
        <f t="shared" ref="AM395:AM461" ca="1" si="204">$X395</f>
        <v>0</v>
      </c>
      <c r="AN395" s="655">
        <f t="shared" ref="AN395:AN461" ca="1" si="205">ROUND(ORÇAMENTO.CustoUnitario*(1+$AH395),2)</f>
        <v>0</v>
      </c>
    </row>
    <row r="396" spans="1:40" ht="13.8" x14ac:dyDescent="0.3">
      <c r="A396" t="str">
        <f t="shared" si="184"/>
        <v>S</v>
      </c>
      <c r="B396">
        <f t="shared" ca="1" si="185"/>
        <v>3</v>
      </c>
      <c r="C396" t="str">
        <f t="shared" ca="1" si="186"/>
        <v>S</v>
      </c>
      <c r="D396">
        <f t="shared" ca="1" si="187"/>
        <v>0</v>
      </c>
      <c r="E396">
        <f ca="1">IF($C396=1,OFFSET(E396,-1,0)+MAX(1,COUNTIF(QCI!$A$13:$A$24,OFFSET(ORÇAMENTO!E396,-1,0))),OFFSET(E396,-1,0))</f>
        <v>1</v>
      </c>
      <c r="F396">
        <f t="shared" ca="1" si="188"/>
        <v>14</v>
      </c>
      <c r="G396">
        <f t="shared" ca="1" si="189"/>
        <v>1</v>
      </c>
      <c r="H396">
        <f t="shared" ca="1" si="190"/>
        <v>0</v>
      </c>
      <c r="I396">
        <f t="shared" ca="1" si="191"/>
        <v>0</v>
      </c>
      <c r="J396">
        <f t="shared" ca="1" si="177"/>
        <v>0</v>
      </c>
      <c r="K396">
        <f ca="1">IF(OR($C396="S",$C396=0),0,MATCH(OFFSET($D396,0,$C396)+IF($C396&lt;&gt;1,1,COUNTIF(QCI!$A$13:$A$24,ORÇAMENTO!E396)),OFFSET($D396,1,$C396,ROW($C$710)-ROW($C396)),0))</f>
        <v>0</v>
      </c>
      <c r="L396" s="143" t="str">
        <f t="shared" ca="1" si="192"/>
        <v/>
      </c>
      <c r="M396" s="144" t="s">
        <v>201</v>
      </c>
      <c r="N396" s="145" t="str">
        <f t="shared" ca="1" si="193"/>
        <v>Serviço</v>
      </c>
      <c r="O396" s="146" t="str">
        <f t="shared" ca="1" si="194"/>
        <v>-</v>
      </c>
      <c r="P396" s="147" t="s">
        <v>249</v>
      </c>
      <c r="Q396" s="148">
        <v>89849</v>
      </c>
      <c r="R396" s="149" t="str">
        <f t="shared" ca="1" si="182"/>
        <v>(abra o arquivo 'Referência 05-2024.xls)</v>
      </c>
      <c r="S396" s="150" t="str">
        <f t="shared" ca="1" si="183"/>
        <v>-</v>
      </c>
      <c r="T396" s="151">
        <f ca="1">OFFSET(CÁLCULO!H$15,ROW($T396)-ROW(T$15),0)</f>
        <v>31.38</v>
      </c>
      <c r="U396" s="152">
        <f t="shared" ca="1" si="176"/>
        <v>0</v>
      </c>
      <c r="V396" s="153" t="s">
        <v>158</v>
      </c>
      <c r="W396" s="151">
        <f t="shared" ca="1" si="195"/>
        <v>0</v>
      </c>
      <c r="X396" s="154">
        <f t="shared" ca="1" si="196"/>
        <v>0</v>
      </c>
      <c r="Y396" s="155" t="s">
        <v>583</v>
      </c>
      <c r="Z396" t="str">
        <f t="shared" ca="1" si="197"/>
        <v/>
      </c>
      <c r="AA396" s="156">
        <f ca="1">IF($C396="S",IF($Z396="CP",$X396,IF($Z396="RA",(($X396)*QCI!$AA$3),0)),SomaAgrup)</f>
        <v>0</v>
      </c>
      <c r="AB396" s="157">
        <f t="shared" ca="1" si="198"/>
        <v>0</v>
      </c>
      <c r="AC396" s="158" t="str">
        <f t="shared" ca="1" si="199"/>
        <v/>
      </c>
      <c r="AD396" s="104" t="str">
        <f ca="1">IF(C396&lt;=CRONO.NivelExibicao,MAX($AD$15:OFFSET(AD396,-1,0))+IF($C396&lt;&gt;1,1,MAX(1,COUNTIF(QCI!$A$13:$A$24,OFFSET($E396,-1,0)))),"")</f>
        <v/>
      </c>
      <c r="AE396" s="114" t="str">
        <f t="shared" ca="1" si="200"/>
        <v>SINAPI 89849</v>
      </c>
      <c r="AF396" s="159" t="str">
        <f t="shared" ca="1" si="201"/>
        <v>(abra o arquivo 'Referência 05-2024.xls)</v>
      </c>
      <c r="AG396" s="579">
        <f t="shared" ca="1" si="202"/>
        <v>0</v>
      </c>
      <c r="AH396" s="580">
        <f t="shared" ca="1" si="203"/>
        <v>0.22470000000000001</v>
      </c>
      <c r="AJ396" s="582">
        <v>31.38</v>
      </c>
      <c r="AL396" s="612"/>
      <c r="AM396" s="430">
        <f t="shared" ca="1" si="204"/>
        <v>0</v>
      </c>
      <c r="AN396" s="655">
        <f t="shared" ca="1" si="205"/>
        <v>0</v>
      </c>
    </row>
    <row r="397" spans="1:40" ht="13.8" x14ac:dyDescent="0.3">
      <c r="A397" t="str">
        <f t="shared" si="184"/>
        <v>S</v>
      </c>
      <c r="B397">
        <f t="shared" ca="1" si="185"/>
        <v>3</v>
      </c>
      <c r="C397" t="str">
        <f t="shared" ca="1" si="186"/>
        <v>S</v>
      </c>
      <c r="D397">
        <f t="shared" ca="1" si="187"/>
        <v>0</v>
      </c>
      <c r="E397">
        <f ca="1">IF($C397=1,OFFSET(E397,-1,0)+MAX(1,COUNTIF(QCI!$A$13:$A$24,OFFSET(ORÇAMENTO!E397,-1,0))),OFFSET(E397,-1,0))</f>
        <v>1</v>
      </c>
      <c r="F397">
        <f t="shared" ca="1" si="188"/>
        <v>14</v>
      </c>
      <c r="G397">
        <f t="shared" ca="1" si="189"/>
        <v>1</v>
      </c>
      <c r="H397">
        <f t="shared" ca="1" si="190"/>
        <v>0</v>
      </c>
      <c r="I397">
        <f t="shared" ca="1" si="191"/>
        <v>0</v>
      </c>
      <c r="J397">
        <f t="shared" ca="1" si="177"/>
        <v>0</v>
      </c>
      <c r="K397">
        <f ca="1">IF(OR($C397="S",$C397=0),0,MATCH(OFFSET($D397,0,$C397)+IF($C397&lt;&gt;1,1,COUNTIF(QCI!$A$13:$A$24,ORÇAMENTO!E397)),OFFSET($D397,1,$C397,ROW($C$710)-ROW($C397)),0))</f>
        <v>0</v>
      </c>
      <c r="L397" s="143" t="str">
        <f t="shared" ca="1" si="192"/>
        <v/>
      </c>
      <c r="M397" s="144" t="s">
        <v>201</v>
      </c>
      <c r="N397" s="145" t="str">
        <f t="shared" ca="1" si="193"/>
        <v>Serviço</v>
      </c>
      <c r="O397" s="146" t="str">
        <f t="shared" ca="1" si="194"/>
        <v>-</v>
      </c>
      <c r="P397" s="147" t="s">
        <v>249</v>
      </c>
      <c r="Q397" s="148">
        <v>89726</v>
      </c>
      <c r="R397" s="149" t="str">
        <f t="shared" ca="1" si="182"/>
        <v>(abra o arquivo 'Referência 05-2024.xls)</v>
      </c>
      <c r="S397" s="150" t="str">
        <f t="shared" ca="1" si="183"/>
        <v>-</v>
      </c>
      <c r="T397" s="151">
        <f ca="1">OFFSET(CÁLCULO!H$15,ROW($T397)-ROW(T$15),0)</f>
        <v>45</v>
      </c>
      <c r="U397" s="152">
        <f t="shared" ca="1" si="176"/>
        <v>0</v>
      </c>
      <c r="V397" s="153" t="s">
        <v>158</v>
      </c>
      <c r="W397" s="151">
        <f t="shared" ca="1" si="195"/>
        <v>0</v>
      </c>
      <c r="X397" s="154">
        <f t="shared" ca="1" si="196"/>
        <v>0</v>
      </c>
      <c r="Y397" s="155" t="s">
        <v>583</v>
      </c>
      <c r="Z397" t="str">
        <f t="shared" ca="1" si="197"/>
        <v/>
      </c>
      <c r="AA397" s="156">
        <f ca="1">IF($C397="S",IF($Z397="CP",$X397,IF($Z397="RA",(($X397)*QCI!$AA$3),0)),SomaAgrup)</f>
        <v>0</v>
      </c>
      <c r="AB397" s="157">
        <f t="shared" ca="1" si="198"/>
        <v>0</v>
      </c>
      <c r="AC397" s="158" t="str">
        <f t="shared" ca="1" si="199"/>
        <v/>
      </c>
      <c r="AD397" s="104" t="str">
        <f ca="1">IF(C397&lt;=CRONO.NivelExibicao,MAX($AD$15:OFFSET(AD397,-1,0))+IF($C397&lt;&gt;1,1,MAX(1,COUNTIF(QCI!$A$13:$A$24,OFFSET($E397,-1,0)))),"")</f>
        <v/>
      </c>
      <c r="AE397" s="114" t="str">
        <f t="shared" ca="1" si="200"/>
        <v>SINAPI 89726</v>
      </c>
      <c r="AF397" s="159" t="str">
        <f t="shared" ca="1" si="201"/>
        <v>(abra o arquivo 'Referência 05-2024.xls)</v>
      </c>
      <c r="AG397" s="579">
        <f t="shared" ca="1" si="202"/>
        <v>0</v>
      </c>
      <c r="AH397" s="580">
        <f t="shared" ca="1" si="203"/>
        <v>0.22470000000000001</v>
      </c>
      <c r="AJ397" s="582">
        <v>45</v>
      </c>
      <c r="AL397" s="612"/>
      <c r="AM397" s="430">
        <f t="shared" ca="1" si="204"/>
        <v>0</v>
      </c>
      <c r="AN397" s="655">
        <f t="shared" ca="1" si="205"/>
        <v>0</v>
      </c>
    </row>
    <row r="398" spans="1:40" ht="13.8" x14ac:dyDescent="0.3">
      <c r="A398" t="str">
        <f t="shared" si="184"/>
        <v>S</v>
      </c>
      <c r="B398">
        <f t="shared" ca="1" si="185"/>
        <v>3</v>
      </c>
      <c r="C398" t="str">
        <f t="shared" ca="1" si="186"/>
        <v>S</v>
      </c>
      <c r="D398">
        <f t="shared" ca="1" si="187"/>
        <v>0</v>
      </c>
      <c r="E398">
        <f ca="1">IF($C398=1,OFFSET(E398,-1,0)+MAX(1,COUNTIF(QCI!$A$13:$A$24,OFFSET(ORÇAMENTO!E398,-1,0))),OFFSET(E398,-1,0))</f>
        <v>1</v>
      </c>
      <c r="F398">
        <f t="shared" ca="1" si="188"/>
        <v>14</v>
      </c>
      <c r="G398">
        <f t="shared" ca="1" si="189"/>
        <v>1</v>
      </c>
      <c r="H398">
        <f t="shared" ca="1" si="190"/>
        <v>0</v>
      </c>
      <c r="I398">
        <f t="shared" ca="1" si="191"/>
        <v>0</v>
      </c>
      <c r="J398">
        <f t="shared" ca="1" si="177"/>
        <v>0</v>
      </c>
      <c r="K398">
        <f ca="1">IF(OR($C398="S",$C398=0),0,MATCH(OFFSET($D398,0,$C398)+IF($C398&lt;&gt;1,1,COUNTIF(QCI!$A$13:$A$24,ORÇAMENTO!E398)),OFFSET($D398,1,$C398,ROW($C$710)-ROW($C398)),0))</f>
        <v>0</v>
      </c>
      <c r="L398" s="143" t="str">
        <f t="shared" ca="1" si="192"/>
        <v/>
      </c>
      <c r="M398" s="144" t="s">
        <v>201</v>
      </c>
      <c r="N398" s="145" t="str">
        <f t="shared" ca="1" si="193"/>
        <v>Serviço</v>
      </c>
      <c r="O398" s="146" t="str">
        <f t="shared" ca="1" si="194"/>
        <v>-</v>
      </c>
      <c r="P398" s="147" t="s">
        <v>249</v>
      </c>
      <c r="Q398" s="148">
        <v>89732</v>
      </c>
      <c r="R398" s="149" t="str">
        <f t="shared" ca="1" si="182"/>
        <v>(abra o arquivo 'Referência 05-2024.xls)</v>
      </c>
      <c r="S398" s="150" t="str">
        <f t="shared" ca="1" si="183"/>
        <v>-</v>
      </c>
      <c r="T398" s="151">
        <f ca="1">OFFSET(CÁLCULO!H$15,ROW($T398)-ROW(T$15),0)</f>
        <v>29</v>
      </c>
      <c r="U398" s="152">
        <f t="shared" ref="U398:U464" ca="1" si="206">AG398</f>
        <v>0</v>
      </c>
      <c r="V398" s="153" t="s">
        <v>158</v>
      </c>
      <c r="W398" s="151">
        <f t="shared" ca="1" si="195"/>
        <v>0</v>
      </c>
      <c r="X398" s="154">
        <f t="shared" ca="1" si="196"/>
        <v>0</v>
      </c>
      <c r="Y398" s="155" t="s">
        <v>583</v>
      </c>
      <c r="Z398" t="str">
        <f t="shared" ca="1" si="197"/>
        <v/>
      </c>
      <c r="AA398" s="156">
        <f ca="1">IF($C398="S",IF($Z398="CP",$X398,IF($Z398="RA",(($X398)*QCI!$AA$3),0)),SomaAgrup)</f>
        <v>0</v>
      </c>
      <c r="AB398" s="157">
        <f t="shared" ca="1" si="198"/>
        <v>0</v>
      </c>
      <c r="AC398" s="158" t="str">
        <f t="shared" ca="1" si="199"/>
        <v/>
      </c>
      <c r="AD398" s="104" t="str">
        <f ca="1">IF(C398&lt;=CRONO.NivelExibicao,MAX($AD$15:OFFSET(AD398,-1,0))+IF($C398&lt;&gt;1,1,MAX(1,COUNTIF(QCI!$A$13:$A$24,OFFSET($E398,-1,0)))),"")</f>
        <v/>
      </c>
      <c r="AE398" s="114" t="str">
        <f t="shared" ca="1" si="200"/>
        <v>SINAPI 89732</v>
      </c>
      <c r="AF398" s="159" t="str">
        <f t="shared" ca="1" si="201"/>
        <v>(abra o arquivo 'Referência 05-2024.xls)</v>
      </c>
      <c r="AG398" s="579">
        <f t="shared" ca="1" si="202"/>
        <v>0</v>
      </c>
      <c r="AH398" s="580">
        <f t="shared" ca="1" si="203"/>
        <v>0.22470000000000001</v>
      </c>
      <c r="AJ398" s="582">
        <v>29</v>
      </c>
      <c r="AL398" s="612"/>
      <c r="AM398" s="430">
        <f t="shared" ca="1" si="204"/>
        <v>0</v>
      </c>
      <c r="AN398" s="655">
        <f t="shared" ca="1" si="205"/>
        <v>0</v>
      </c>
    </row>
    <row r="399" spans="1:40" ht="13.8" x14ac:dyDescent="0.3">
      <c r="A399" t="str">
        <f t="shared" si="184"/>
        <v>S</v>
      </c>
      <c r="B399">
        <f t="shared" ca="1" si="185"/>
        <v>3</v>
      </c>
      <c r="C399" t="str">
        <f t="shared" ca="1" si="186"/>
        <v>S</v>
      </c>
      <c r="D399">
        <f t="shared" ca="1" si="187"/>
        <v>0</v>
      </c>
      <c r="E399">
        <f ca="1">IF($C399=1,OFFSET(E399,-1,0)+MAX(1,COUNTIF(QCI!$A$13:$A$24,OFFSET(ORÇAMENTO!E399,-1,0))),OFFSET(E399,-1,0))</f>
        <v>1</v>
      </c>
      <c r="F399">
        <f t="shared" ca="1" si="188"/>
        <v>14</v>
      </c>
      <c r="G399">
        <f t="shared" ca="1" si="189"/>
        <v>1</v>
      </c>
      <c r="H399">
        <f t="shared" ca="1" si="190"/>
        <v>0</v>
      </c>
      <c r="I399">
        <f t="shared" ca="1" si="191"/>
        <v>0</v>
      </c>
      <c r="J399">
        <f t="shared" ca="1" si="177"/>
        <v>0</v>
      </c>
      <c r="K399">
        <f ca="1">IF(OR($C399="S",$C399=0),0,MATCH(OFFSET($D399,0,$C399)+IF($C399&lt;&gt;1,1,COUNTIF(QCI!$A$13:$A$24,ORÇAMENTO!E399)),OFFSET($D399,1,$C399,ROW($C$710)-ROW($C399)),0))</f>
        <v>0</v>
      </c>
      <c r="L399" s="143" t="str">
        <f t="shared" ca="1" si="192"/>
        <v/>
      </c>
      <c r="M399" s="144" t="s">
        <v>201</v>
      </c>
      <c r="N399" s="145" t="str">
        <f t="shared" ca="1" si="193"/>
        <v>Serviço</v>
      </c>
      <c r="O399" s="146" t="str">
        <f t="shared" ca="1" si="194"/>
        <v>-</v>
      </c>
      <c r="P399" s="147" t="s">
        <v>249</v>
      </c>
      <c r="Q399" s="148">
        <v>89739</v>
      </c>
      <c r="R399" s="149" t="str">
        <f t="shared" ca="1" si="182"/>
        <v>(abra o arquivo 'Referência 05-2024.xls)</v>
      </c>
      <c r="S399" s="150" t="str">
        <f t="shared" ca="1" si="183"/>
        <v>-</v>
      </c>
      <c r="T399" s="151">
        <f ca="1">OFFSET(CÁLCULO!H$15,ROW($T399)-ROW(T$15),0)</f>
        <v>3</v>
      </c>
      <c r="U399" s="152">
        <f t="shared" ca="1" si="206"/>
        <v>0</v>
      </c>
      <c r="V399" s="153" t="s">
        <v>158</v>
      </c>
      <c r="W399" s="151">
        <f t="shared" ca="1" si="195"/>
        <v>0</v>
      </c>
      <c r="X399" s="154">
        <f t="shared" ca="1" si="196"/>
        <v>0</v>
      </c>
      <c r="Y399" s="155" t="s">
        <v>583</v>
      </c>
      <c r="Z399" t="str">
        <f t="shared" ca="1" si="197"/>
        <v/>
      </c>
      <c r="AA399" s="156">
        <f ca="1">IF($C399="S",IF($Z399="CP",$X399,IF($Z399="RA",(($X399)*QCI!$AA$3),0)),SomaAgrup)</f>
        <v>0</v>
      </c>
      <c r="AB399" s="157">
        <f t="shared" ca="1" si="198"/>
        <v>0</v>
      </c>
      <c r="AC399" s="158" t="str">
        <f t="shared" ca="1" si="199"/>
        <v/>
      </c>
      <c r="AD399" s="104" t="str">
        <f ca="1">IF(C399&lt;=CRONO.NivelExibicao,MAX($AD$15:OFFSET(AD399,-1,0))+IF($C399&lt;&gt;1,1,MAX(1,COUNTIF(QCI!$A$13:$A$24,OFFSET($E399,-1,0)))),"")</f>
        <v/>
      </c>
      <c r="AE399" s="114" t="str">
        <f t="shared" ca="1" si="200"/>
        <v>SINAPI 89739</v>
      </c>
      <c r="AF399" s="159" t="str">
        <f t="shared" ca="1" si="201"/>
        <v>(abra o arquivo 'Referência 05-2024.xls)</v>
      </c>
      <c r="AG399" s="579">
        <f t="shared" ca="1" si="202"/>
        <v>0</v>
      </c>
      <c r="AH399" s="580">
        <f t="shared" ca="1" si="203"/>
        <v>0.22470000000000001</v>
      </c>
      <c r="AJ399" s="582">
        <v>3</v>
      </c>
      <c r="AL399" s="612"/>
      <c r="AM399" s="430">
        <f t="shared" ca="1" si="204"/>
        <v>0</v>
      </c>
      <c r="AN399" s="655">
        <f t="shared" ca="1" si="205"/>
        <v>0</v>
      </c>
    </row>
    <row r="400" spans="1:40" ht="13.8" x14ac:dyDescent="0.3">
      <c r="A400" t="str">
        <f t="shared" si="184"/>
        <v>S</v>
      </c>
      <c r="B400">
        <f t="shared" ca="1" si="185"/>
        <v>3</v>
      </c>
      <c r="C400" t="str">
        <f t="shared" ca="1" si="186"/>
        <v>S</v>
      </c>
      <c r="D400">
        <f t="shared" ca="1" si="187"/>
        <v>0</v>
      </c>
      <c r="E400">
        <f ca="1">IF($C400=1,OFFSET(E400,-1,0)+MAX(1,COUNTIF(QCI!$A$13:$A$24,OFFSET(ORÇAMENTO!E400,-1,0))),OFFSET(E400,-1,0))</f>
        <v>1</v>
      </c>
      <c r="F400">
        <f t="shared" ca="1" si="188"/>
        <v>14</v>
      </c>
      <c r="G400">
        <f t="shared" ca="1" si="189"/>
        <v>1</v>
      </c>
      <c r="H400">
        <f t="shared" ca="1" si="190"/>
        <v>0</v>
      </c>
      <c r="I400">
        <f t="shared" ca="1" si="191"/>
        <v>0</v>
      </c>
      <c r="J400">
        <f t="shared" ref="J400:J463" ca="1" si="207">IF(OR($C400="S",$C400=0),0,MATCH(0,OFFSET($D400,1,$C400,ROW($C$710)-ROW($C400)),0))</f>
        <v>0</v>
      </c>
      <c r="K400">
        <f ca="1">IF(OR($C400="S",$C400=0),0,MATCH(OFFSET($D400,0,$C400)+IF($C400&lt;&gt;1,1,COUNTIF(QCI!$A$13:$A$24,ORÇAMENTO!E400)),OFFSET($D400,1,$C400,ROW($C$710)-ROW($C400)),0))</f>
        <v>0</v>
      </c>
      <c r="L400" s="143" t="str">
        <f t="shared" ca="1" si="192"/>
        <v/>
      </c>
      <c r="M400" s="144" t="s">
        <v>201</v>
      </c>
      <c r="N400" s="145" t="str">
        <f t="shared" ca="1" si="193"/>
        <v>Serviço</v>
      </c>
      <c r="O400" s="146" t="str">
        <f t="shared" ca="1" si="194"/>
        <v>-</v>
      </c>
      <c r="P400" s="147" t="s">
        <v>249</v>
      </c>
      <c r="Q400" s="148">
        <v>89746</v>
      </c>
      <c r="R400" s="149" t="str">
        <f t="shared" ca="1" si="182"/>
        <v>(abra o arquivo 'Referência 05-2024.xls)</v>
      </c>
      <c r="S400" s="150" t="str">
        <f t="shared" ca="1" si="183"/>
        <v>-</v>
      </c>
      <c r="T400" s="151">
        <f ca="1">OFFSET(CÁLCULO!H$15,ROW($T400)-ROW(T$15),0)</f>
        <v>16</v>
      </c>
      <c r="U400" s="152">
        <f t="shared" ca="1" si="206"/>
        <v>0</v>
      </c>
      <c r="V400" s="153" t="s">
        <v>158</v>
      </c>
      <c r="W400" s="151">
        <f t="shared" ca="1" si="195"/>
        <v>0</v>
      </c>
      <c r="X400" s="154">
        <f t="shared" ca="1" si="196"/>
        <v>0</v>
      </c>
      <c r="Y400" s="155" t="s">
        <v>583</v>
      </c>
      <c r="Z400" t="str">
        <f t="shared" ca="1" si="197"/>
        <v/>
      </c>
      <c r="AA400" s="156">
        <f ca="1">IF($C400="S",IF($Z400="CP",$X400,IF($Z400="RA",(($X400)*QCI!$AA$3),0)),SomaAgrup)</f>
        <v>0</v>
      </c>
      <c r="AB400" s="157">
        <f t="shared" ca="1" si="198"/>
        <v>0</v>
      </c>
      <c r="AC400" s="158" t="str">
        <f t="shared" ca="1" si="199"/>
        <v/>
      </c>
      <c r="AD400" s="104" t="str">
        <f ca="1">IF(C400&lt;=CRONO.NivelExibicao,MAX($AD$15:OFFSET(AD400,-1,0))+IF($C400&lt;&gt;1,1,MAX(1,COUNTIF(QCI!$A$13:$A$24,OFFSET($E400,-1,0)))),"")</f>
        <v/>
      </c>
      <c r="AE400" s="114" t="str">
        <f t="shared" ca="1" si="200"/>
        <v>SINAPI 89746</v>
      </c>
      <c r="AF400" s="159" t="str">
        <f t="shared" ca="1" si="201"/>
        <v>(abra o arquivo 'Referência 05-2024.xls)</v>
      </c>
      <c r="AG400" s="579">
        <f t="shared" ca="1" si="202"/>
        <v>0</v>
      </c>
      <c r="AH400" s="580">
        <f t="shared" ca="1" si="203"/>
        <v>0.22470000000000001</v>
      </c>
      <c r="AJ400" s="582">
        <v>16</v>
      </c>
      <c r="AL400" s="612"/>
      <c r="AM400" s="430">
        <f t="shared" ca="1" si="204"/>
        <v>0</v>
      </c>
      <c r="AN400" s="655">
        <f t="shared" ca="1" si="205"/>
        <v>0</v>
      </c>
    </row>
    <row r="401" spans="1:40" ht="13.8" x14ac:dyDescent="0.3">
      <c r="A401" t="str">
        <f t="shared" si="184"/>
        <v>S</v>
      </c>
      <c r="B401">
        <f t="shared" ca="1" si="185"/>
        <v>3</v>
      </c>
      <c r="C401" t="str">
        <f t="shared" ca="1" si="186"/>
        <v>S</v>
      </c>
      <c r="D401">
        <f t="shared" ca="1" si="187"/>
        <v>0</v>
      </c>
      <c r="E401">
        <f ca="1">IF($C401=1,OFFSET(E401,-1,0)+MAX(1,COUNTIF(QCI!$A$13:$A$24,OFFSET(ORÇAMENTO!E401,-1,0))),OFFSET(E401,-1,0))</f>
        <v>1</v>
      </c>
      <c r="F401">
        <f t="shared" ca="1" si="188"/>
        <v>14</v>
      </c>
      <c r="G401">
        <f t="shared" ca="1" si="189"/>
        <v>1</v>
      </c>
      <c r="H401">
        <f t="shared" ca="1" si="190"/>
        <v>0</v>
      </c>
      <c r="I401">
        <f t="shared" ca="1" si="191"/>
        <v>0</v>
      </c>
      <c r="J401">
        <f t="shared" ca="1" si="207"/>
        <v>0</v>
      </c>
      <c r="K401">
        <f ca="1">IF(OR($C401="S",$C401=0),0,MATCH(OFFSET($D401,0,$C401)+IF($C401&lt;&gt;1,1,COUNTIF(QCI!$A$13:$A$24,ORÇAMENTO!E401)),OFFSET($D401,1,$C401,ROW($C$710)-ROW($C401)),0))</f>
        <v>0</v>
      </c>
      <c r="L401" s="143" t="str">
        <f t="shared" ca="1" si="192"/>
        <v/>
      </c>
      <c r="M401" s="144" t="s">
        <v>201</v>
      </c>
      <c r="N401" s="145" t="str">
        <f t="shared" ca="1" si="193"/>
        <v>Serviço</v>
      </c>
      <c r="O401" s="146" t="str">
        <f t="shared" ca="1" si="194"/>
        <v>-</v>
      </c>
      <c r="P401" s="147" t="s">
        <v>249</v>
      </c>
      <c r="Q401" s="148">
        <v>89724</v>
      </c>
      <c r="R401" s="149" t="str">
        <f t="shared" ca="1" si="182"/>
        <v>(abra o arquivo 'Referência 05-2024.xls)</v>
      </c>
      <c r="S401" s="150" t="str">
        <f t="shared" ca="1" si="183"/>
        <v>-</v>
      </c>
      <c r="T401" s="151">
        <f ca="1">OFFSET(CÁLCULO!H$15,ROW($T401)-ROW(T$15),0)</f>
        <v>59</v>
      </c>
      <c r="U401" s="152">
        <f t="shared" ca="1" si="206"/>
        <v>0</v>
      </c>
      <c r="V401" s="153" t="s">
        <v>158</v>
      </c>
      <c r="W401" s="151">
        <f t="shared" ca="1" si="195"/>
        <v>0</v>
      </c>
      <c r="X401" s="154">
        <f t="shared" ca="1" si="196"/>
        <v>0</v>
      </c>
      <c r="Y401" s="155" t="s">
        <v>583</v>
      </c>
      <c r="Z401" t="str">
        <f t="shared" ca="1" si="197"/>
        <v/>
      </c>
      <c r="AA401" s="156">
        <f ca="1">IF($C401="S",IF($Z401="CP",$X401,IF($Z401="RA",(($X401)*QCI!$AA$3),0)),SomaAgrup)</f>
        <v>0</v>
      </c>
      <c r="AB401" s="157">
        <f t="shared" ca="1" si="198"/>
        <v>0</v>
      </c>
      <c r="AC401" s="158" t="str">
        <f t="shared" ca="1" si="199"/>
        <v/>
      </c>
      <c r="AD401" s="104" t="str">
        <f ca="1">IF(C401&lt;=CRONO.NivelExibicao,MAX($AD$15:OFFSET(AD401,-1,0))+IF($C401&lt;&gt;1,1,MAX(1,COUNTIF(QCI!$A$13:$A$24,OFFSET($E401,-1,0)))),"")</f>
        <v/>
      </c>
      <c r="AE401" s="114" t="str">
        <f t="shared" ca="1" si="200"/>
        <v>SINAPI 89724</v>
      </c>
      <c r="AF401" s="159" t="str">
        <f t="shared" ca="1" si="201"/>
        <v>(abra o arquivo 'Referência 05-2024.xls)</v>
      </c>
      <c r="AG401" s="579">
        <f t="shared" ca="1" si="202"/>
        <v>0</v>
      </c>
      <c r="AH401" s="580">
        <f t="shared" ca="1" si="203"/>
        <v>0.22470000000000001</v>
      </c>
      <c r="AJ401" s="582">
        <v>59</v>
      </c>
      <c r="AL401" s="612"/>
      <c r="AM401" s="430">
        <f t="shared" ca="1" si="204"/>
        <v>0</v>
      </c>
      <c r="AN401" s="655">
        <f t="shared" ca="1" si="205"/>
        <v>0</v>
      </c>
    </row>
    <row r="402" spans="1:40" ht="13.8" x14ac:dyDescent="0.3">
      <c r="A402" t="str">
        <f t="shared" si="184"/>
        <v>S</v>
      </c>
      <c r="B402">
        <f t="shared" ca="1" si="185"/>
        <v>3</v>
      </c>
      <c r="C402" t="str">
        <f t="shared" ca="1" si="186"/>
        <v>S</v>
      </c>
      <c r="D402">
        <f t="shared" ca="1" si="187"/>
        <v>0</v>
      </c>
      <c r="E402">
        <f ca="1">IF($C402=1,OFFSET(E402,-1,0)+MAX(1,COUNTIF(QCI!$A$13:$A$24,OFFSET(ORÇAMENTO!E402,-1,0))),OFFSET(E402,-1,0))</f>
        <v>1</v>
      </c>
      <c r="F402">
        <f t="shared" ca="1" si="188"/>
        <v>14</v>
      </c>
      <c r="G402">
        <f t="shared" ca="1" si="189"/>
        <v>1</v>
      </c>
      <c r="H402">
        <f t="shared" ca="1" si="190"/>
        <v>0</v>
      </c>
      <c r="I402">
        <f t="shared" ca="1" si="191"/>
        <v>0</v>
      </c>
      <c r="J402">
        <f t="shared" ca="1" si="207"/>
        <v>0</v>
      </c>
      <c r="K402">
        <f ca="1">IF(OR($C402="S",$C402=0),0,MATCH(OFFSET($D402,0,$C402)+IF($C402&lt;&gt;1,1,COUNTIF(QCI!$A$13:$A$24,ORÇAMENTO!E402)),OFFSET($D402,1,$C402,ROW($C$710)-ROW($C402)),0))</f>
        <v>0</v>
      </c>
      <c r="L402" s="143" t="str">
        <f t="shared" ca="1" si="192"/>
        <v/>
      </c>
      <c r="M402" s="144" t="s">
        <v>201</v>
      </c>
      <c r="N402" s="145" t="str">
        <f t="shared" ca="1" si="193"/>
        <v>Serviço</v>
      </c>
      <c r="O402" s="146" t="str">
        <f t="shared" ca="1" si="194"/>
        <v>-</v>
      </c>
      <c r="P402" s="147" t="s">
        <v>249</v>
      </c>
      <c r="Q402" s="148">
        <v>89731</v>
      </c>
      <c r="R402" s="149" t="str">
        <f t="shared" ca="1" si="182"/>
        <v>(abra o arquivo 'Referência 05-2024.xls)</v>
      </c>
      <c r="S402" s="150" t="str">
        <f t="shared" ca="1" si="183"/>
        <v>-</v>
      </c>
      <c r="T402" s="151">
        <f ca="1">OFFSET(CÁLCULO!H$15,ROW($T402)-ROW(T$15),0)</f>
        <v>24</v>
      </c>
      <c r="U402" s="152">
        <f t="shared" ca="1" si="206"/>
        <v>0</v>
      </c>
      <c r="V402" s="153" t="s">
        <v>158</v>
      </c>
      <c r="W402" s="151">
        <f t="shared" ca="1" si="195"/>
        <v>0</v>
      </c>
      <c r="X402" s="154">
        <f t="shared" ca="1" si="196"/>
        <v>0</v>
      </c>
      <c r="Y402" s="155" t="s">
        <v>583</v>
      </c>
      <c r="Z402" t="str">
        <f t="shared" ca="1" si="197"/>
        <v/>
      </c>
      <c r="AA402" s="156">
        <f ca="1">IF($C402="S",IF($Z402="CP",$X402,IF($Z402="RA",(($X402)*QCI!$AA$3),0)),SomaAgrup)</f>
        <v>0</v>
      </c>
      <c r="AB402" s="157">
        <f t="shared" ca="1" si="198"/>
        <v>0</v>
      </c>
      <c r="AC402" s="158" t="str">
        <f t="shared" ca="1" si="199"/>
        <v/>
      </c>
      <c r="AD402" s="104" t="str">
        <f ca="1">IF(C402&lt;=CRONO.NivelExibicao,MAX($AD$15:OFFSET(AD402,-1,0))+IF($C402&lt;&gt;1,1,MAX(1,COUNTIF(QCI!$A$13:$A$24,OFFSET($E402,-1,0)))),"")</f>
        <v/>
      </c>
      <c r="AE402" s="114" t="str">
        <f t="shared" ca="1" si="200"/>
        <v>SINAPI 89731</v>
      </c>
      <c r="AF402" s="159" t="str">
        <f t="shared" ca="1" si="201"/>
        <v>(abra o arquivo 'Referência 05-2024.xls)</v>
      </c>
      <c r="AG402" s="579">
        <f t="shared" ca="1" si="202"/>
        <v>0</v>
      </c>
      <c r="AH402" s="580">
        <f t="shared" ca="1" si="203"/>
        <v>0.22470000000000001</v>
      </c>
      <c r="AJ402" s="582">
        <v>24</v>
      </c>
      <c r="AL402" s="612"/>
      <c r="AM402" s="430">
        <f t="shared" ca="1" si="204"/>
        <v>0</v>
      </c>
      <c r="AN402" s="655">
        <f t="shared" ca="1" si="205"/>
        <v>0</v>
      </c>
    </row>
    <row r="403" spans="1:40" ht="13.8" x14ac:dyDescent="0.3">
      <c r="A403" t="str">
        <f t="shared" si="184"/>
        <v>S</v>
      </c>
      <c r="B403">
        <f t="shared" ca="1" si="185"/>
        <v>3</v>
      </c>
      <c r="C403" t="str">
        <f t="shared" ca="1" si="186"/>
        <v>S</v>
      </c>
      <c r="D403">
        <f t="shared" ca="1" si="187"/>
        <v>0</v>
      </c>
      <c r="E403">
        <f ca="1">IF($C403=1,OFFSET(E403,-1,0)+MAX(1,COUNTIF(QCI!$A$13:$A$24,OFFSET(ORÇAMENTO!E403,-1,0))),OFFSET(E403,-1,0))</f>
        <v>1</v>
      </c>
      <c r="F403">
        <f t="shared" ca="1" si="188"/>
        <v>14</v>
      </c>
      <c r="G403">
        <f t="shared" ca="1" si="189"/>
        <v>1</v>
      </c>
      <c r="H403">
        <f t="shared" ca="1" si="190"/>
        <v>0</v>
      </c>
      <c r="I403">
        <f t="shared" ca="1" si="191"/>
        <v>0</v>
      </c>
      <c r="J403">
        <f t="shared" ca="1" si="207"/>
        <v>0</v>
      </c>
      <c r="K403">
        <f ca="1">IF(OR($C403="S",$C403=0),0,MATCH(OFFSET($D403,0,$C403)+IF($C403&lt;&gt;1,1,COUNTIF(QCI!$A$13:$A$24,ORÇAMENTO!E403)),OFFSET($D403,1,$C403,ROW($C$710)-ROW($C403)),0))</f>
        <v>0</v>
      </c>
      <c r="L403" s="143" t="str">
        <f t="shared" ca="1" si="192"/>
        <v/>
      </c>
      <c r="M403" s="144" t="s">
        <v>201</v>
      </c>
      <c r="N403" s="145" t="str">
        <f t="shared" ca="1" si="193"/>
        <v>Serviço</v>
      </c>
      <c r="O403" s="146" t="str">
        <f t="shared" ca="1" si="194"/>
        <v>-</v>
      </c>
      <c r="P403" s="147" t="s">
        <v>249</v>
      </c>
      <c r="Q403" s="148">
        <v>89834</v>
      </c>
      <c r="R403" s="149" t="str">
        <f t="shared" ca="1" si="182"/>
        <v>(abra o arquivo 'Referência 05-2024.xls)</v>
      </c>
      <c r="S403" s="150" t="str">
        <f t="shared" ca="1" si="183"/>
        <v>-</v>
      </c>
      <c r="T403" s="151">
        <f ca="1">OFFSET(CÁLCULO!H$15,ROW($T403)-ROW(T$15),0)</f>
        <v>24</v>
      </c>
      <c r="U403" s="152">
        <f t="shared" ca="1" si="206"/>
        <v>0</v>
      </c>
      <c r="V403" s="153" t="s">
        <v>158</v>
      </c>
      <c r="W403" s="151">
        <f t="shared" ca="1" si="195"/>
        <v>0</v>
      </c>
      <c r="X403" s="154">
        <f t="shared" ca="1" si="196"/>
        <v>0</v>
      </c>
      <c r="Y403" s="155" t="s">
        <v>583</v>
      </c>
      <c r="Z403" t="str">
        <f t="shared" ca="1" si="197"/>
        <v/>
      </c>
      <c r="AA403" s="156">
        <f ca="1">IF($C403="S",IF($Z403="CP",$X403,IF($Z403="RA",(($X403)*QCI!$AA$3),0)),SomaAgrup)</f>
        <v>0</v>
      </c>
      <c r="AB403" s="157">
        <f t="shared" ca="1" si="198"/>
        <v>0</v>
      </c>
      <c r="AC403" s="158" t="str">
        <f t="shared" ca="1" si="199"/>
        <v/>
      </c>
      <c r="AD403" s="104" t="str">
        <f ca="1">IF(C403&lt;=CRONO.NivelExibicao,MAX($AD$15:OFFSET(AD403,-1,0))+IF($C403&lt;&gt;1,1,MAX(1,COUNTIF(QCI!$A$13:$A$24,OFFSET($E403,-1,0)))),"")</f>
        <v/>
      </c>
      <c r="AE403" s="114" t="str">
        <f t="shared" ca="1" si="200"/>
        <v>SINAPI 89834</v>
      </c>
      <c r="AF403" s="159" t="str">
        <f t="shared" ca="1" si="201"/>
        <v>(abra o arquivo 'Referência 05-2024.xls)</v>
      </c>
      <c r="AG403" s="579">
        <f t="shared" ca="1" si="202"/>
        <v>0</v>
      </c>
      <c r="AH403" s="580">
        <f t="shared" ca="1" si="203"/>
        <v>0.22470000000000001</v>
      </c>
      <c r="AJ403" s="582">
        <v>24</v>
      </c>
      <c r="AL403" s="612"/>
      <c r="AM403" s="430">
        <f t="shared" ca="1" si="204"/>
        <v>0</v>
      </c>
      <c r="AN403" s="655">
        <f t="shared" ca="1" si="205"/>
        <v>0</v>
      </c>
    </row>
    <row r="404" spans="1:40" ht="13.8" x14ac:dyDescent="0.3">
      <c r="A404" t="str">
        <f t="shared" si="184"/>
        <v>S</v>
      </c>
      <c r="B404">
        <f t="shared" ca="1" si="185"/>
        <v>3</v>
      </c>
      <c r="C404" t="str">
        <f t="shared" ca="1" si="186"/>
        <v>S</v>
      </c>
      <c r="D404">
        <f t="shared" ca="1" si="187"/>
        <v>0</v>
      </c>
      <c r="E404">
        <f ca="1">IF($C404=1,OFFSET(E404,-1,0)+MAX(1,COUNTIF(QCI!$A$13:$A$24,OFFSET(ORÇAMENTO!E404,-1,0))),OFFSET(E404,-1,0))</f>
        <v>1</v>
      </c>
      <c r="F404">
        <f t="shared" ca="1" si="188"/>
        <v>14</v>
      </c>
      <c r="G404">
        <f t="shared" ca="1" si="189"/>
        <v>1</v>
      </c>
      <c r="H404">
        <f t="shared" ca="1" si="190"/>
        <v>0</v>
      </c>
      <c r="I404">
        <f t="shared" ca="1" si="191"/>
        <v>0</v>
      </c>
      <c r="J404">
        <f t="shared" ca="1" si="207"/>
        <v>0</v>
      </c>
      <c r="K404">
        <f ca="1">IF(OR($C404="S",$C404=0),0,MATCH(OFFSET($D404,0,$C404)+IF($C404&lt;&gt;1,1,COUNTIF(QCI!$A$13:$A$24,ORÇAMENTO!E404)),OFFSET($D404,1,$C404,ROW($C$710)-ROW($C404)),0))</f>
        <v>0</v>
      </c>
      <c r="L404" s="143" t="str">
        <f t="shared" ca="1" si="192"/>
        <v/>
      </c>
      <c r="M404" s="144" t="s">
        <v>201</v>
      </c>
      <c r="N404" s="145" t="str">
        <f t="shared" ca="1" si="193"/>
        <v>Serviço</v>
      </c>
      <c r="O404" s="146" t="str">
        <f t="shared" ca="1" si="194"/>
        <v>-</v>
      </c>
      <c r="P404" s="147" t="s">
        <v>249</v>
      </c>
      <c r="Q404" s="148">
        <v>89834</v>
      </c>
      <c r="R404" s="149" t="str">
        <f t="shared" ca="1" si="182"/>
        <v>(abra o arquivo 'Referência 05-2024.xls)</v>
      </c>
      <c r="S404" s="150" t="str">
        <f t="shared" ca="1" si="183"/>
        <v>-</v>
      </c>
      <c r="T404" s="151">
        <f ca="1">OFFSET(CÁLCULO!H$15,ROW($T404)-ROW(T$15),0)</f>
        <v>1</v>
      </c>
      <c r="U404" s="152">
        <f t="shared" ca="1" si="206"/>
        <v>0</v>
      </c>
      <c r="V404" s="153" t="s">
        <v>158</v>
      </c>
      <c r="W404" s="151">
        <f t="shared" ca="1" si="195"/>
        <v>0</v>
      </c>
      <c r="X404" s="154">
        <f t="shared" ca="1" si="196"/>
        <v>0</v>
      </c>
      <c r="Y404" s="155" t="s">
        <v>583</v>
      </c>
      <c r="Z404" t="str">
        <f t="shared" ca="1" si="197"/>
        <v/>
      </c>
      <c r="AA404" s="156">
        <f ca="1">IF($C404="S",IF($Z404="CP",$X404,IF($Z404="RA",(($X404)*QCI!$AA$3),0)),SomaAgrup)</f>
        <v>0</v>
      </c>
      <c r="AB404" s="157">
        <f t="shared" ca="1" si="198"/>
        <v>0</v>
      </c>
      <c r="AC404" s="158" t="str">
        <f t="shared" ca="1" si="199"/>
        <v/>
      </c>
      <c r="AD404" s="104" t="str">
        <f ca="1">IF(C404&lt;=CRONO.NivelExibicao,MAX($AD$15:OFFSET(AD404,-1,0))+IF($C404&lt;&gt;1,1,MAX(1,COUNTIF(QCI!$A$13:$A$24,OFFSET($E404,-1,0)))),"")</f>
        <v/>
      </c>
      <c r="AE404" s="114" t="str">
        <f t="shared" ca="1" si="200"/>
        <v>SINAPI 89834</v>
      </c>
      <c r="AF404" s="159" t="str">
        <f t="shared" ca="1" si="201"/>
        <v>(abra o arquivo 'Referência 05-2024.xls)</v>
      </c>
      <c r="AG404" s="579">
        <f t="shared" ca="1" si="202"/>
        <v>0</v>
      </c>
      <c r="AH404" s="580">
        <f t="shared" ca="1" si="203"/>
        <v>0.22470000000000001</v>
      </c>
      <c r="AJ404" s="582">
        <v>1</v>
      </c>
      <c r="AL404" s="612"/>
      <c r="AM404" s="430">
        <f t="shared" ca="1" si="204"/>
        <v>0</v>
      </c>
      <c r="AN404" s="655">
        <f t="shared" ca="1" si="205"/>
        <v>0</v>
      </c>
    </row>
    <row r="405" spans="1:40" ht="13.8" x14ac:dyDescent="0.3">
      <c r="A405" t="str">
        <f t="shared" si="184"/>
        <v>S</v>
      </c>
      <c r="B405">
        <f t="shared" ca="1" si="185"/>
        <v>3</v>
      </c>
      <c r="C405" t="str">
        <f t="shared" ca="1" si="186"/>
        <v>S</v>
      </c>
      <c r="D405">
        <f t="shared" ca="1" si="187"/>
        <v>0</v>
      </c>
      <c r="E405">
        <f ca="1">IF($C405=1,OFFSET(E405,-1,0)+MAX(1,COUNTIF(QCI!$A$13:$A$24,OFFSET(ORÇAMENTO!E405,-1,0))),OFFSET(E405,-1,0))</f>
        <v>1</v>
      </c>
      <c r="F405">
        <f t="shared" ca="1" si="188"/>
        <v>14</v>
      </c>
      <c r="G405">
        <f t="shared" ca="1" si="189"/>
        <v>1</v>
      </c>
      <c r="H405">
        <f t="shared" ca="1" si="190"/>
        <v>0</v>
      </c>
      <c r="I405">
        <f t="shared" ca="1" si="191"/>
        <v>0</v>
      </c>
      <c r="J405">
        <f t="shared" ca="1" si="207"/>
        <v>0</v>
      </c>
      <c r="K405">
        <f ca="1">IF(OR($C405="S",$C405=0),0,MATCH(OFFSET($D405,0,$C405)+IF($C405&lt;&gt;1,1,COUNTIF(QCI!$A$13:$A$24,ORÇAMENTO!E405)),OFFSET($D405,1,$C405,ROW($C$710)-ROW($C405)),0))</f>
        <v>0</v>
      </c>
      <c r="L405" s="143" t="str">
        <f t="shared" ca="1" si="192"/>
        <v/>
      </c>
      <c r="M405" s="144" t="s">
        <v>201</v>
      </c>
      <c r="N405" s="145" t="str">
        <f t="shared" ca="1" si="193"/>
        <v>Serviço</v>
      </c>
      <c r="O405" s="146" t="str">
        <f t="shared" ca="1" si="194"/>
        <v>-</v>
      </c>
      <c r="P405" s="147" t="s">
        <v>249</v>
      </c>
      <c r="Q405" s="148">
        <v>89834</v>
      </c>
      <c r="R405" s="149" t="str">
        <f t="shared" ca="1" si="182"/>
        <v>(abra o arquivo 'Referência 05-2024.xls)</v>
      </c>
      <c r="S405" s="150" t="str">
        <f t="shared" ca="1" si="183"/>
        <v>-</v>
      </c>
      <c r="T405" s="151">
        <f ca="1">OFFSET(CÁLCULO!H$15,ROW($T405)-ROW(T$15),0)</f>
        <v>12</v>
      </c>
      <c r="U405" s="152">
        <f t="shared" ca="1" si="206"/>
        <v>0</v>
      </c>
      <c r="V405" s="153" t="s">
        <v>158</v>
      </c>
      <c r="W405" s="151">
        <f t="shared" ca="1" si="195"/>
        <v>0</v>
      </c>
      <c r="X405" s="154">
        <f t="shared" ca="1" si="196"/>
        <v>0</v>
      </c>
      <c r="Y405" s="155" t="s">
        <v>583</v>
      </c>
      <c r="Z405" t="str">
        <f t="shared" ca="1" si="197"/>
        <v/>
      </c>
      <c r="AA405" s="156">
        <f ca="1">IF($C405="S",IF($Z405="CP",$X405,IF($Z405="RA",(($X405)*QCI!$AA$3),0)),SomaAgrup)</f>
        <v>0</v>
      </c>
      <c r="AB405" s="157">
        <f t="shared" ca="1" si="198"/>
        <v>0</v>
      </c>
      <c r="AC405" s="158" t="str">
        <f t="shared" ca="1" si="199"/>
        <v/>
      </c>
      <c r="AD405" s="104" t="str">
        <f ca="1">IF(C405&lt;=CRONO.NivelExibicao,MAX($AD$15:OFFSET(AD405,-1,0))+IF($C405&lt;&gt;1,1,MAX(1,COUNTIF(QCI!$A$13:$A$24,OFFSET($E405,-1,0)))),"")</f>
        <v/>
      </c>
      <c r="AE405" s="114" t="str">
        <f t="shared" ca="1" si="200"/>
        <v>SINAPI 89834</v>
      </c>
      <c r="AF405" s="159" t="str">
        <f t="shared" ca="1" si="201"/>
        <v>(abra o arquivo 'Referência 05-2024.xls)</v>
      </c>
      <c r="AG405" s="579">
        <f t="shared" ca="1" si="202"/>
        <v>0</v>
      </c>
      <c r="AH405" s="580">
        <f t="shared" ca="1" si="203"/>
        <v>0.22470000000000001</v>
      </c>
      <c r="AJ405" s="582">
        <v>12</v>
      </c>
      <c r="AL405" s="612"/>
      <c r="AM405" s="430">
        <f t="shared" ca="1" si="204"/>
        <v>0</v>
      </c>
      <c r="AN405" s="655">
        <f t="shared" ca="1" si="205"/>
        <v>0</v>
      </c>
    </row>
    <row r="406" spans="1:40" ht="13.8" x14ac:dyDescent="0.3">
      <c r="A406" t="str">
        <f t="shared" si="184"/>
        <v>S</v>
      </c>
      <c r="B406">
        <f t="shared" ca="1" si="185"/>
        <v>3</v>
      </c>
      <c r="C406" t="str">
        <f t="shared" ca="1" si="186"/>
        <v>S</v>
      </c>
      <c r="D406">
        <f t="shared" ca="1" si="187"/>
        <v>0</v>
      </c>
      <c r="E406">
        <f ca="1">IF($C406=1,OFFSET(E406,-1,0)+MAX(1,COUNTIF(QCI!$A$13:$A$24,OFFSET(ORÇAMENTO!E406,-1,0))),OFFSET(E406,-1,0))</f>
        <v>1</v>
      </c>
      <c r="F406">
        <f t="shared" ca="1" si="188"/>
        <v>14</v>
      </c>
      <c r="G406">
        <f t="shared" ca="1" si="189"/>
        <v>1</v>
      </c>
      <c r="H406">
        <f t="shared" ca="1" si="190"/>
        <v>0</v>
      </c>
      <c r="I406">
        <f t="shared" ca="1" si="191"/>
        <v>0</v>
      </c>
      <c r="J406">
        <f t="shared" ca="1" si="207"/>
        <v>0</v>
      </c>
      <c r="K406">
        <f ca="1">IF(OR($C406="S",$C406=0),0,MATCH(OFFSET($D406,0,$C406)+IF($C406&lt;&gt;1,1,COUNTIF(QCI!$A$13:$A$24,ORÇAMENTO!E406)),OFFSET($D406,1,$C406,ROW($C$710)-ROW($C406)),0))</f>
        <v>0</v>
      </c>
      <c r="L406" s="143" t="str">
        <f t="shared" ca="1" si="192"/>
        <v/>
      </c>
      <c r="M406" s="144" t="s">
        <v>201</v>
      </c>
      <c r="N406" s="145" t="str">
        <f t="shared" ca="1" si="193"/>
        <v>Serviço</v>
      </c>
      <c r="O406" s="146" t="str">
        <f t="shared" ca="1" si="194"/>
        <v>-</v>
      </c>
      <c r="P406" s="147" t="s">
        <v>249</v>
      </c>
      <c r="Q406" s="148">
        <v>89785</v>
      </c>
      <c r="R406" s="149" t="str">
        <f t="shared" ca="1" si="182"/>
        <v>(abra o arquivo 'Referência 05-2024.xls)</v>
      </c>
      <c r="S406" s="150" t="str">
        <f t="shared" ca="1" si="183"/>
        <v>-</v>
      </c>
      <c r="T406" s="151">
        <f ca="1">OFFSET(CÁLCULO!H$15,ROW($T406)-ROW(T$15),0)</f>
        <v>5</v>
      </c>
      <c r="U406" s="152">
        <f t="shared" ca="1" si="206"/>
        <v>0</v>
      </c>
      <c r="V406" s="153" t="s">
        <v>158</v>
      </c>
      <c r="W406" s="151">
        <f t="shared" ca="1" si="195"/>
        <v>0</v>
      </c>
      <c r="X406" s="154">
        <f t="shared" ca="1" si="196"/>
        <v>0</v>
      </c>
      <c r="Y406" s="155" t="s">
        <v>583</v>
      </c>
      <c r="Z406" t="str">
        <f t="shared" ca="1" si="197"/>
        <v/>
      </c>
      <c r="AA406" s="156">
        <f ca="1">IF($C406="S",IF($Z406="CP",$X406,IF($Z406="RA",(($X406)*QCI!$AA$3),0)),SomaAgrup)</f>
        <v>0</v>
      </c>
      <c r="AB406" s="157">
        <f t="shared" ca="1" si="198"/>
        <v>0</v>
      </c>
      <c r="AC406" s="158" t="str">
        <f t="shared" ca="1" si="199"/>
        <v/>
      </c>
      <c r="AD406" s="104" t="str">
        <f ca="1">IF(C406&lt;=CRONO.NivelExibicao,MAX($AD$15:OFFSET(AD406,-1,0))+IF($C406&lt;&gt;1,1,MAX(1,COUNTIF(QCI!$A$13:$A$24,OFFSET($E406,-1,0)))),"")</f>
        <v/>
      </c>
      <c r="AE406" s="114" t="str">
        <f t="shared" ca="1" si="200"/>
        <v>SINAPI 89785</v>
      </c>
      <c r="AF406" s="159" t="str">
        <f t="shared" ca="1" si="201"/>
        <v>(abra o arquivo 'Referência 05-2024.xls)</v>
      </c>
      <c r="AG406" s="579">
        <f t="shared" ca="1" si="202"/>
        <v>0</v>
      </c>
      <c r="AH406" s="580">
        <f t="shared" ca="1" si="203"/>
        <v>0.22470000000000001</v>
      </c>
      <c r="AJ406" s="582">
        <v>5</v>
      </c>
      <c r="AL406" s="612"/>
      <c r="AM406" s="430">
        <f t="shared" ca="1" si="204"/>
        <v>0</v>
      </c>
      <c r="AN406" s="655">
        <f t="shared" ca="1" si="205"/>
        <v>0</v>
      </c>
    </row>
    <row r="407" spans="1:40" ht="13.8" x14ac:dyDescent="0.3">
      <c r="A407" t="str">
        <f t="shared" si="184"/>
        <v>S</v>
      </c>
      <c r="B407">
        <f t="shared" ca="1" si="185"/>
        <v>3</v>
      </c>
      <c r="C407" t="str">
        <f t="shared" ca="1" si="186"/>
        <v>S</v>
      </c>
      <c r="D407">
        <f t="shared" ca="1" si="187"/>
        <v>0</v>
      </c>
      <c r="E407">
        <f ca="1">IF($C407=1,OFFSET(E407,-1,0)+MAX(1,COUNTIF(QCI!$A$13:$A$24,OFFSET(ORÇAMENTO!E407,-1,0))),OFFSET(E407,-1,0))</f>
        <v>1</v>
      </c>
      <c r="F407">
        <f t="shared" ca="1" si="188"/>
        <v>14</v>
      </c>
      <c r="G407">
        <f t="shared" ca="1" si="189"/>
        <v>1</v>
      </c>
      <c r="H407">
        <f t="shared" ca="1" si="190"/>
        <v>0</v>
      </c>
      <c r="I407">
        <f t="shared" ca="1" si="191"/>
        <v>0</v>
      </c>
      <c r="J407">
        <f t="shared" ca="1" si="207"/>
        <v>0</v>
      </c>
      <c r="K407">
        <f ca="1">IF(OR($C407="S",$C407=0),0,MATCH(OFFSET($D407,0,$C407)+IF($C407&lt;&gt;1,1,COUNTIF(QCI!$A$13:$A$24,ORÇAMENTO!E407)),OFFSET($D407,1,$C407,ROW($C$710)-ROW($C407)),0))</f>
        <v>0</v>
      </c>
      <c r="L407" s="143" t="str">
        <f t="shared" ca="1" si="192"/>
        <v/>
      </c>
      <c r="M407" s="144" t="s">
        <v>201</v>
      </c>
      <c r="N407" s="145" t="str">
        <f t="shared" ca="1" si="193"/>
        <v>Serviço</v>
      </c>
      <c r="O407" s="146" t="str">
        <f t="shared" ca="1" si="194"/>
        <v>-</v>
      </c>
      <c r="P407" s="147" t="s">
        <v>249</v>
      </c>
      <c r="Q407" s="148">
        <v>89795</v>
      </c>
      <c r="R407" s="149" t="str">
        <f t="shared" ca="1" si="182"/>
        <v>(abra o arquivo 'Referência 05-2024.xls)</v>
      </c>
      <c r="S407" s="150" t="str">
        <f t="shared" ca="1" si="183"/>
        <v>-</v>
      </c>
      <c r="T407" s="151">
        <f ca="1">OFFSET(CÁLCULO!H$15,ROW($T407)-ROW(T$15),0)</f>
        <v>6</v>
      </c>
      <c r="U407" s="152">
        <f t="shared" ca="1" si="206"/>
        <v>0</v>
      </c>
      <c r="V407" s="153" t="s">
        <v>158</v>
      </c>
      <c r="W407" s="151">
        <f t="shared" ca="1" si="195"/>
        <v>0</v>
      </c>
      <c r="X407" s="154">
        <f t="shared" ca="1" si="196"/>
        <v>0</v>
      </c>
      <c r="Y407" s="155" t="s">
        <v>583</v>
      </c>
      <c r="Z407" t="str">
        <f t="shared" ca="1" si="197"/>
        <v/>
      </c>
      <c r="AA407" s="156">
        <f ca="1">IF($C407="S",IF($Z407="CP",$X407,IF($Z407="RA",(($X407)*QCI!$AA$3),0)),SomaAgrup)</f>
        <v>0</v>
      </c>
      <c r="AB407" s="157">
        <f t="shared" ca="1" si="198"/>
        <v>0</v>
      </c>
      <c r="AC407" s="158" t="str">
        <f t="shared" ca="1" si="199"/>
        <v/>
      </c>
      <c r="AD407" s="104" t="str">
        <f ca="1">IF(C407&lt;=CRONO.NivelExibicao,MAX($AD$15:OFFSET(AD407,-1,0))+IF($C407&lt;&gt;1,1,MAX(1,COUNTIF(QCI!$A$13:$A$24,OFFSET($E407,-1,0)))),"")</f>
        <v/>
      </c>
      <c r="AE407" s="114" t="str">
        <f t="shared" ca="1" si="200"/>
        <v>SINAPI 89795</v>
      </c>
      <c r="AF407" s="159" t="str">
        <f t="shared" ca="1" si="201"/>
        <v>(abra o arquivo 'Referência 05-2024.xls)</v>
      </c>
      <c r="AG407" s="579">
        <f t="shared" ca="1" si="202"/>
        <v>0</v>
      </c>
      <c r="AH407" s="580">
        <f t="shared" ca="1" si="203"/>
        <v>0.22470000000000001</v>
      </c>
      <c r="AJ407" s="582">
        <v>6</v>
      </c>
      <c r="AL407" s="612"/>
      <c r="AM407" s="430">
        <f t="shared" ca="1" si="204"/>
        <v>0</v>
      </c>
      <c r="AN407" s="655">
        <f t="shared" ca="1" si="205"/>
        <v>0</v>
      </c>
    </row>
    <row r="408" spans="1:40" ht="13.8" x14ac:dyDescent="0.3">
      <c r="A408" t="str">
        <f t="shared" si="184"/>
        <v>S</v>
      </c>
      <c r="B408">
        <f t="shared" ca="1" si="185"/>
        <v>3</v>
      </c>
      <c r="C408" t="str">
        <f t="shared" ca="1" si="186"/>
        <v>S</v>
      </c>
      <c r="D408">
        <f t="shared" ca="1" si="187"/>
        <v>0</v>
      </c>
      <c r="E408">
        <f ca="1">IF($C408=1,OFFSET(E408,-1,0)+MAX(1,COUNTIF(QCI!$A$13:$A$24,OFFSET(ORÇAMENTO!E408,-1,0))),OFFSET(E408,-1,0))</f>
        <v>1</v>
      </c>
      <c r="F408">
        <f t="shared" ca="1" si="188"/>
        <v>14</v>
      </c>
      <c r="G408">
        <f t="shared" ca="1" si="189"/>
        <v>1</v>
      </c>
      <c r="H408">
        <f t="shared" ca="1" si="190"/>
        <v>0</v>
      </c>
      <c r="I408">
        <f t="shared" ca="1" si="191"/>
        <v>0</v>
      </c>
      <c r="J408">
        <f t="shared" ca="1" si="207"/>
        <v>0</v>
      </c>
      <c r="K408">
        <f ca="1">IF(OR($C408="S",$C408=0),0,MATCH(OFFSET($D408,0,$C408)+IF($C408&lt;&gt;1,1,COUNTIF(QCI!$A$13:$A$24,ORÇAMENTO!E408)),OFFSET($D408,1,$C408,ROW($C$710)-ROW($C408)),0))</f>
        <v>0</v>
      </c>
      <c r="L408" s="143" t="str">
        <f t="shared" ca="1" si="192"/>
        <v/>
      </c>
      <c r="M408" s="144" t="s">
        <v>201</v>
      </c>
      <c r="N408" s="145" t="str">
        <f t="shared" ca="1" si="193"/>
        <v>Serviço</v>
      </c>
      <c r="O408" s="146" t="str">
        <f t="shared" ca="1" si="194"/>
        <v>-</v>
      </c>
      <c r="P408" s="147" t="s">
        <v>249</v>
      </c>
      <c r="Q408" s="148">
        <v>89795</v>
      </c>
      <c r="R408" s="149" t="str">
        <f t="shared" ca="1" si="182"/>
        <v>(abra o arquivo 'Referência 05-2024.xls)</v>
      </c>
      <c r="S408" s="150" t="str">
        <f t="shared" ca="1" si="183"/>
        <v>-</v>
      </c>
      <c r="T408" s="151">
        <f ca="1">OFFSET(CÁLCULO!H$15,ROW($T408)-ROW(T$15),0)</f>
        <v>1</v>
      </c>
      <c r="U408" s="152">
        <f t="shared" ca="1" si="206"/>
        <v>0</v>
      </c>
      <c r="V408" s="153" t="s">
        <v>158</v>
      </c>
      <c r="W408" s="151">
        <f t="shared" ca="1" si="195"/>
        <v>0</v>
      </c>
      <c r="X408" s="154">
        <f t="shared" ca="1" si="196"/>
        <v>0</v>
      </c>
      <c r="Y408" s="155" t="s">
        <v>583</v>
      </c>
      <c r="Z408" t="str">
        <f t="shared" ca="1" si="197"/>
        <v/>
      </c>
      <c r="AA408" s="156">
        <f ca="1">IF($C408="S",IF($Z408="CP",$X408,IF($Z408="RA",(($X408)*QCI!$AA$3),0)),SomaAgrup)</f>
        <v>0</v>
      </c>
      <c r="AB408" s="157">
        <f t="shared" ca="1" si="198"/>
        <v>0</v>
      </c>
      <c r="AC408" s="158" t="str">
        <f t="shared" ca="1" si="199"/>
        <v/>
      </c>
      <c r="AD408" s="104" t="str">
        <f ca="1">IF(C408&lt;=CRONO.NivelExibicao,MAX($AD$15:OFFSET(AD408,-1,0))+IF($C408&lt;&gt;1,1,MAX(1,COUNTIF(QCI!$A$13:$A$24,OFFSET($E408,-1,0)))),"")</f>
        <v/>
      </c>
      <c r="AE408" s="114" t="str">
        <f t="shared" ca="1" si="200"/>
        <v>SINAPI 89795</v>
      </c>
      <c r="AF408" s="159" t="str">
        <f t="shared" ca="1" si="201"/>
        <v>(abra o arquivo 'Referência 05-2024.xls)</v>
      </c>
      <c r="AG408" s="579">
        <f t="shared" ca="1" si="202"/>
        <v>0</v>
      </c>
      <c r="AH408" s="580">
        <f t="shared" ca="1" si="203"/>
        <v>0.22470000000000001</v>
      </c>
      <c r="AJ408" s="582">
        <v>1</v>
      </c>
      <c r="AL408" s="612"/>
      <c r="AM408" s="430">
        <f t="shared" ca="1" si="204"/>
        <v>0</v>
      </c>
      <c r="AN408" s="655">
        <f t="shared" ca="1" si="205"/>
        <v>0</v>
      </c>
    </row>
    <row r="409" spans="1:40" ht="13.8" x14ac:dyDescent="0.3">
      <c r="A409" t="str">
        <f t="shared" si="184"/>
        <v>S</v>
      </c>
      <c r="B409">
        <f t="shared" ca="1" si="185"/>
        <v>3</v>
      </c>
      <c r="C409" t="str">
        <f t="shared" ca="1" si="186"/>
        <v>S</v>
      </c>
      <c r="D409">
        <f t="shared" ca="1" si="187"/>
        <v>0</v>
      </c>
      <c r="E409">
        <f ca="1">IF($C409=1,OFFSET(E409,-1,0)+MAX(1,COUNTIF(QCI!$A$13:$A$24,OFFSET(ORÇAMENTO!E409,-1,0))),OFFSET(E409,-1,0))</f>
        <v>1</v>
      </c>
      <c r="F409">
        <f t="shared" ca="1" si="188"/>
        <v>14</v>
      </c>
      <c r="G409">
        <f t="shared" ca="1" si="189"/>
        <v>1</v>
      </c>
      <c r="H409">
        <f t="shared" ca="1" si="190"/>
        <v>0</v>
      </c>
      <c r="I409">
        <f t="shared" ca="1" si="191"/>
        <v>0</v>
      </c>
      <c r="J409">
        <f t="shared" ca="1" si="207"/>
        <v>0</v>
      </c>
      <c r="K409">
        <f ca="1">IF(OR($C409="S",$C409=0),0,MATCH(OFFSET($D409,0,$C409)+IF($C409&lt;&gt;1,1,COUNTIF(QCI!$A$13:$A$24,ORÇAMENTO!E409)),OFFSET($D409,1,$C409,ROW($C$710)-ROW($C409)),0))</f>
        <v>0</v>
      </c>
      <c r="L409" s="143" t="str">
        <f t="shared" ca="1" si="192"/>
        <v/>
      </c>
      <c r="M409" s="144" t="s">
        <v>201</v>
      </c>
      <c r="N409" s="145" t="str">
        <f t="shared" ca="1" si="193"/>
        <v>Serviço</v>
      </c>
      <c r="O409" s="146" t="str">
        <f t="shared" ca="1" si="194"/>
        <v>-</v>
      </c>
      <c r="P409" s="147" t="s">
        <v>249</v>
      </c>
      <c r="Q409" s="148">
        <v>89546</v>
      </c>
      <c r="R409" s="149" t="str">
        <f t="shared" ca="1" si="182"/>
        <v>(abra o arquivo 'Referência 05-2024.xls)</v>
      </c>
      <c r="S409" s="150" t="str">
        <f t="shared" ca="1" si="183"/>
        <v>-</v>
      </c>
      <c r="T409" s="151">
        <f ca="1">OFFSET(CÁLCULO!H$15,ROW($T409)-ROW(T$15),0)</f>
        <v>3</v>
      </c>
      <c r="U409" s="152">
        <f t="shared" ca="1" si="206"/>
        <v>0</v>
      </c>
      <c r="V409" s="153" t="s">
        <v>158</v>
      </c>
      <c r="W409" s="151">
        <f t="shared" ca="1" si="195"/>
        <v>0</v>
      </c>
      <c r="X409" s="154">
        <f t="shared" ca="1" si="196"/>
        <v>0</v>
      </c>
      <c r="Y409" s="155" t="s">
        <v>583</v>
      </c>
      <c r="Z409" t="str">
        <f t="shared" ca="1" si="197"/>
        <v/>
      </c>
      <c r="AA409" s="156">
        <f ca="1">IF($C409="S",IF($Z409="CP",$X409,IF($Z409="RA",(($X409)*QCI!$AA$3),0)),SomaAgrup)</f>
        <v>0</v>
      </c>
      <c r="AB409" s="157">
        <f t="shared" ca="1" si="198"/>
        <v>0</v>
      </c>
      <c r="AC409" s="158" t="str">
        <f t="shared" ca="1" si="199"/>
        <v/>
      </c>
      <c r="AD409" s="104" t="str">
        <f ca="1">IF(C409&lt;=CRONO.NivelExibicao,MAX($AD$15:OFFSET(AD409,-1,0))+IF($C409&lt;&gt;1,1,MAX(1,COUNTIF(QCI!$A$13:$A$24,OFFSET($E409,-1,0)))),"")</f>
        <v/>
      </c>
      <c r="AE409" s="114" t="str">
        <f t="shared" ca="1" si="200"/>
        <v>SINAPI 89546</v>
      </c>
      <c r="AF409" s="159" t="str">
        <f t="shared" ca="1" si="201"/>
        <v>(abra o arquivo 'Referência 05-2024.xls)</v>
      </c>
      <c r="AG409" s="579">
        <f t="shared" ca="1" si="202"/>
        <v>0</v>
      </c>
      <c r="AH409" s="580">
        <f t="shared" ca="1" si="203"/>
        <v>0.22470000000000001</v>
      </c>
      <c r="AJ409" s="582">
        <v>3</v>
      </c>
      <c r="AL409" s="612"/>
      <c r="AM409" s="430">
        <f t="shared" ca="1" si="204"/>
        <v>0</v>
      </c>
      <c r="AN409" s="655">
        <f t="shared" ca="1" si="205"/>
        <v>0</v>
      </c>
    </row>
    <row r="410" spans="1:40" ht="13.8" x14ac:dyDescent="0.3">
      <c r="A410" t="str">
        <f t="shared" si="184"/>
        <v>S</v>
      </c>
      <c r="B410">
        <f t="shared" ca="1" si="185"/>
        <v>3</v>
      </c>
      <c r="C410" t="str">
        <f t="shared" ca="1" si="186"/>
        <v>S</v>
      </c>
      <c r="D410">
        <f t="shared" ca="1" si="187"/>
        <v>0</v>
      </c>
      <c r="E410">
        <f ca="1">IF($C410=1,OFFSET(E410,-1,0)+MAX(1,COUNTIF(QCI!$A$13:$A$24,OFFSET(ORÇAMENTO!E410,-1,0))),OFFSET(E410,-1,0))</f>
        <v>1</v>
      </c>
      <c r="F410">
        <f t="shared" ca="1" si="188"/>
        <v>14</v>
      </c>
      <c r="G410">
        <f t="shared" ca="1" si="189"/>
        <v>1</v>
      </c>
      <c r="H410">
        <f t="shared" ca="1" si="190"/>
        <v>0</v>
      </c>
      <c r="I410">
        <f t="shared" ca="1" si="191"/>
        <v>0</v>
      </c>
      <c r="J410">
        <f t="shared" ca="1" si="207"/>
        <v>0</v>
      </c>
      <c r="K410">
        <f ca="1">IF(OR($C410="S",$C410=0),0,MATCH(OFFSET($D410,0,$C410)+IF($C410&lt;&gt;1,1,COUNTIF(QCI!$A$13:$A$24,ORÇAMENTO!E410)),OFFSET($D410,1,$C410,ROW($C$710)-ROW($C410)),0))</f>
        <v>0</v>
      </c>
      <c r="L410" s="143" t="str">
        <f t="shared" ca="1" si="192"/>
        <v/>
      </c>
      <c r="M410" s="144" t="s">
        <v>201</v>
      </c>
      <c r="N410" s="145" t="str">
        <f t="shared" ca="1" si="193"/>
        <v>Serviço</v>
      </c>
      <c r="O410" s="146" t="str">
        <f t="shared" ca="1" si="194"/>
        <v>-</v>
      </c>
      <c r="P410" s="147" t="s">
        <v>249</v>
      </c>
      <c r="Q410" s="148">
        <v>104357</v>
      </c>
      <c r="R410" s="149" t="str">
        <f t="shared" ca="1" si="182"/>
        <v>(abra o arquivo 'Referência 05-2024.xls)</v>
      </c>
      <c r="S410" s="150" t="str">
        <f t="shared" ca="1" si="183"/>
        <v>-</v>
      </c>
      <c r="T410" s="151">
        <f ca="1">OFFSET(CÁLCULO!H$15,ROW($T410)-ROW(T$15),0)</f>
        <v>2</v>
      </c>
      <c r="U410" s="152">
        <f t="shared" ca="1" si="206"/>
        <v>0</v>
      </c>
      <c r="V410" s="153" t="s">
        <v>158</v>
      </c>
      <c r="W410" s="151">
        <f t="shared" ca="1" si="195"/>
        <v>0</v>
      </c>
      <c r="X410" s="154">
        <f t="shared" ca="1" si="196"/>
        <v>0</v>
      </c>
      <c r="Y410" s="155" t="s">
        <v>583</v>
      </c>
      <c r="Z410" t="str">
        <f t="shared" ca="1" si="197"/>
        <v/>
      </c>
      <c r="AA410" s="156">
        <f ca="1">IF($C410="S",IF($Z410="CP",$X410,IF($Z410="RA",(($X410)*QCI!$AA$3),0)),SomaAgrup)</f>
        <v>0</v>
      </c>
      <c r="AB410" s="157">
        <f t="shared" ca="1" si="198"/>
        <v>0</v>
      </c>
      <c r="AC410" s="158" t="str">
        <f t="shared" ca="1" si="199"/>
        <v/>
      </c>
      <c r="AD410" s="104" t="str">
        <f ca="1">IF(C410&lt;=CRONO.NivelExibicao,MAX($AD$15:OFFSET(AD410,-1,0))+IF($C410&lt;&gt;1,1,MAX(1,COUNTIF(QCI!$A$13:$A$24,OFFSET($E410,-1,0)))),"")</f>
        <v/>
      </c>
      <c r="AE410" s="114" t="str">
        <f t="shared" ca="1" si="200"/>
        <v>SINAPI 104357</v>
      </c>
      <c r="AF410" s="159" t="str">
        <f t="shared" ca="1" si="201"/>
        <v>(abra o arquivo 'Referência 05-2024.xls)</v>
      </c>
      <c r="AG410" s="579">
        <f t="shared" ca="1" si="202"/>
        <v>0</v>
      </c>
      <c r="AH410" s="580">
        <f t="shared" ca="1" si="203"/>
        <v>0.22470000000000001</v>
      </c>
      <c r="AJ410" s="582">
        <v>2</v>
      </c>
      <c r="AL410" s="612"/>
      <c r="AM410" s="430">
        <f t="shared" ca="1" si="204"/>
        <v>0</v>
      </c>
      <c r="AN410" s="655">
        <f t="shared" ca="1" si="205"/>
        <v>0</v>
      </c>
    </row>
    <row r="411" spans="1:40" ht="13.8" x14ac:dyDescent="0.3">
      <c r="A411" t="str">
        <f t="shared" si="184"/>
        <v>S</v>
      </c>
      <c r="B411">
        <f t="shared" ca="1" si="185"/>
        <v>3</v>
      </c>
      <c r="C411" t="str">
        <f t="shared" ca="1" si="186"/>
        <v>S</v>
      </c>
      <c r="D411">
        <f t="shared" ca="1" si="187"/>
        <v>0</v>
      </c>
      <c r="E411">
        <f ca="1">IF($C411=1,OFFSET(E411,-1,0)+MAX(1,COUNTIF(QCI!$A$13:$A$24,OFFSET(ORÇAMENTO!E411,-1,0))),OFFSET(E411,-1,0))</f>
        <v>1</v>
      </c>
      <c r="F411">
        <f t="shared" ca="1" si="188"/>
        <v>14</v>
      </c>
      <c r="G411">
        <f t="shared" ca="1" si="189"/>
        <v>1</v>
      </c>
      <c r="H411">
        <f t="shared" ca="1" si="190"/>
        <v>0</v>
      </c>
      <c r="I411">
        <f t="shared" ca="1" si="191"/>
        <v>0</v>
      </c>
      <c r="J411">
        <f t="shared" ca="1" si="207"/>
        <v>0</v>
      </c>
      <c r="K411">
        <f ca="1">IF(OR($C411="S",$C411=0),0,MATCH(OFFSET($D411,0,$C411)+IF($C411&lt;&gt;1,1,COUNTIF(QCI!$A$13:$A$24,ORÇAMENTO!E411)),OFFSET($D411,1,$C411,ROW($C$710)-ROW($C411)),0))</f>
        <v>0</v>
      </c>
      <c r="L411" s="143" t="str">
        <f t="shared" ca="1" si="192"/>
        <v/>
      </c>
      <c r="M411" s="144" t="s">
        <v>201</v>
      </c>
      <c r="N411" s="145" t="str">
        <f t="shared" ca="1" si="193"/>
        <v>Serviço</v>
      </c>
      <c r="O411" s="146" t="str">
        <f t="shared" ca="1" si="194"/>
        <v>-</v>
      </c>
      <c r="P411" s="147" t="s">
        <v>249</v>
      </c>
      <c r="Q411" s="148">
        <v>104082</v>
      </c>
      <c r="R411" s="149" t="str">
        <f t="shared" ca="1" si="182"/>
        <v>(abra o arquivo 'Referência 05-2024.xls)</v>
      </c>
      <c r="S411" s="150" t="str">
        <f t="shared" ca="1" si="183"/>
        <v>-</v>
      </c>
      <c r="T411" s="151">
        <f ca="1">OFFSET(CÁLCULO!H$15,ROW($T411)-ROW(T$15),0)</f>
        <v>2</v>
      </c>
      <c r="U411" s="152">
        <f t="shared" ca="1" si="206"/>
        <v>0</v>
      </c>
      <c r="V411" s="153" t="s">
        <v>158</v>
      </c>
      <c r="W411" s="151">
        <f t="shared" ca="1" si="195"/>
        <v>0</v>
      </c>
      <c r="X411" s="154">
        <f t="shared" ca="1" si="196"/>
        <v>0</v>
      </c>
      <c r="Y411" s="155" t="s">
        <v>583</v>
      </c>
      <c r="Z411" t="str">
        <f t="shared" ca="1" si="197"/>
        <v/>
      </c>
      <c r="AA411" s="156">
        <f ca="1">IF($C411="S",IF($Z411="CP",$X411,IF($Z411="RA",(($X411)*QCI!$AA$3),0)),SomaAgrup)</f>
        <v>0</v>
      </c>
      <c r="AB411" s="157">
        <f t="shared" ca="1" si="198"/>
        <v>0</v>
      </c>
      <c r="AC411" s="158" t="str">
        <f t="shared" ca="1" si="199"/>
        <v/>
      </c>
      <c r="AD411" s="104" t="str">
        <f ca="1">IF(C411&lt;=CRONO.NivelExibicao,MAX($AD$15:OFFSET(AD411,-1,0))+IF($C411&lt;&gt;1,1,MAX(1,COUNTIF(QCI!$A$13:$A$24,OFFSET($E411,-1,0)))),"")</f>
        <v/>
      </c>
      <c r="AE411" s="114" t="str">
        <f t="shared" ca="1" si="200"/>
        <v>SINAPI 104082</v>
      </c>
      <c r="AF411" s="159" t="str">
        <f t="shared" ca="1" si="201"/>
        <v>(abra o arquivo 'Referência 05-2024.xls)</v>
      </c>
      <c r="AG411" s="579">
        <f t="shared" ca="1" si="202"/>
        <v>0</v>
      </c>
      <c r="AH411" s="580">
        <f t="shared" ca="1" si="203"/>
        <v>0.22470000000000001</v>
      </c>
      <c r="AJ411" s="582">
        <v>2</v>
      </c>
      <c r="AL411" s="612"/>
      <c r="AM411" s="430">
        <f t="shared" ca="1" si="204"/>
        <v>0</v>
      </c>
      <c r="AN411" s="655">
        <f t="shared" ca="1" si="205"/>
        <v>0</v>
      </c>
    </row>
    <row r="412" spans="1:40" ht="13.8" x14ac:dyDescent="0.3">
      <c r="A412" t="str">
        <f t="shared" si="184"/>
        <v>S</v>
      </c>
      <c r="B412">
        <f t="shared" ca="1" si="185"/>
        <v>3</v>
      </c>
      <c r="C412" t="str">
        <f t="shared" ca="1" si="186"/>
        <v>S</v>
      </c>
      <c r="D412">
        <f t="shared" ca="1" si="187"/>
        <v>0</v>
      </c>
      <c r="E412">
        <f ca="1">IF($C412=1,OFFSET(E412,-1,0)+MAX(1,COUNTIF(QCI!$A$13:$A$24,OFFSET(ORÇAMENTO!E412,-1,0))),OFFSET(E412,-1,0))</f>
        <v>1</v>
      </c>
      <c r="F412">
        <f t="shared" ca="1" si="188"/>
        <v>14</v>
      </c>
      <c r="G412">
        <f t="shared" ca="1" si="189"/>
        <v>1</v>
      </c>
      <c r="H412">
        <f t="shared" ca="1" si="190"/>
        <v>0</v>
      </c>
      <c r="I412">
        <f t="shared" ca="1" si="191"/>
        <v>0</v>
      </c>
      <c r="J412">
        <f t="shared" ca="1" si="207"/>
        <v>0</v>
      </c>
      <c r="K412">
        <f ca="1">IF(OR($C412="S",$C412=0),0,MATCH(OFFSET($D412,0,$C412)+IF($C412&lt;&gt;1,1,COUNTIF(QCI!$A$13:$A$24,ORÇAMENTO!E412)),OFFSET($D412,1,$C412,ROW($C$710)-ROW($C412)),0))</f>
        <v>0</v>
      </c>
      <c r="L412" s="143" t="str">
        <f t="shared" ca="1" si="192"/>
        <v/>
      </c>
      <c r="M412" s="144" t="s">
        <v>201</v>
      </c>
      <c r="N412" s="145" t="str">
        <f t="shared" ca="1" si="193"/>
        <v>Serviço</v>
      </c>
      <c r="O412" s="146" t="str">
        <f t="shared" ca="1" si="194"/>
        <v>-</v>
      </c>
      <c r="P412" s="147" t="s">
        <v>249</v>
      </c>
      <c r="Q412" s="148">
        <v>89728</v>
      </c>
      <c r="R412" s="149" t="str">
        <f t="shared" ca="1" si="182"/>
        <v>(abra o arquivo 'Referência 05-2024.xls)</v>
      </c>
      <c r="S412" s="150" t="str">
        <f t="shared" ca="1" si="183"/>
        <v>-</v>
      </c>
      <c r="T412" s="151">
        <f ca="1">OFFSET(CÁLCULO!H$15,ROW($T412)-ROW(T$15),0)</f>
        <v>40</v>
      </c>
      <c r="U412" s="152">
        <f t="shared" ca="1" si="206"/>
        <v>0</v>
      </c>
      <c r="V412" s="153" t="s">
        <v>158</v>
      </c>
      <c r="W412" s="151">
        <f t="shared" ca="1" si="195"/>
        <v>0</v>
      </c>
      <c r="X412" s="154">
        <f t="shared" ca="1" si="196"/>
        <v>0</v>
      </c>
      <c r="Y412" s="155" t="s">
        <v>583</v>
      </c>
      <c r="Z412" t="str">
        <f t="shared" ca="1" si="197"/>
        <v/>
      </c>
      <c r="AA412" s="156">
        <f ca="1">IF($C412="S",IF($Z412="CP",$X412,IF($Z412="RA",(($X412)*QCI!$AA$3),0)),SomaAgrup)</f>
        <v>0</v>
      </c>
      <c r="AB412" s="157">
        <f t="shared" ca="1" si="198"/>
        <v>0</v>
      </c>
      <c r="AC412" s="158" t="str">
        <f t="shared" ca="1" si="199"/>
        <v/>
      </c>
      <c r="AD412" s="104" t="str">
        <f ca="1">IF(C412&lt;=CRONO.NivelExibicao,MAX($AD$15:OFFSET(AD412,-1,0))+IF($C412&lt;&gt;1,1,MAX(1,COUNTIF(QCI!$A$13:$A$24,OFFSET($E412,-1,0)))),"")</f>
        <v/>
      </c>
      <c r="AE412" s="114" t="str">
        <f t="shared" ca="1" si="200"/>
        <v>SINAPI 89728</v>
      </c>
      <c r="AF412" s="159" t="str">
        <f t="shared" ca="1" si="201"/>
        <v>(abra o arquivo 'Referência 05-2024.xls)</v>
      </c>
      <c r="AG412" s="579">
        <f t="shared" ca="1" si="202"/>
        <v>0</v>
      </c>
      <c r="AH412" s="580">
        <f t="shared" ca="1" si="203"/>
        <v>0.22470000000000001</v>
      </c>
      <c r="AJ412" s="582">
        <v>40</v>
      </c>
      <c r="AL412" s="612"/>
      <c r="AM412" s="430">
        <f t="shared" ca="1" si="204"/>
        <v>0</v>
      </c>
      <c r="AN412" s="655">
        <f t="shared" ca="1" si="205"/>
        <v>0</v>
      </c>
    </row>
    <row r="413" spans="1:40" ht="13.8" x14ac:dyDescent="0.3">
      <c r="A413" t="str">
        <f t="shared" si="184"/>
        <v>S</v>
      </c>
      <c r="B413">
        <f t="shared" ca="1" si="185"/>
        <v>3</v>
      </c>
      <c r="C413" t="str">
        <f t="shared" ca="1" si="186"/>
        <v>S</v>
      </c>
      <c r="D413">
        <f t="shared" ca="1" si="187"/>
        <v>0</v>
      </c>
      <c r="E413">
        <f ca="1">IF($C413=1,OFFSET(E413,-1,0)+MAX(1,COUNTIF(QCI!$A$13:$A$24,OFFSET(ORÇAMENTO!E413,-1,0))),OFFSET(E413,-1,0))</f>
        <v>1</v>
      </c>
      <c r="F413">
        <f t="shared" ca="1" si="188"/>
        <v>14</v>
      </c>
      <c r="G413">
        <f t="shared" ca="1" si="189"/>
        <v>1</v>
      </c>
      <c r="H413">
        <f t="shared" ca="1" si="190"/>
        <v>0</v>
      </c>
      <c r="I413">
        <f t="shared" ca="1" si="191"/>
        <v>0</v>
      </c>
      <c r="J413">
        <f t="shared" ca="1" si="207"/>
        <v>0</v>
      </c>
      <c r="K413">
        <f ca="1">IF(OR($C413="S",$C413=0),0,MATCH(OFFSET($D413,0,$C413)+IF($C413&lt;&gt;1,1,COUNTIF(QCI!$A$13:$A$24,ORÇAMENTO!E413)),OFFSET($D413,1,$C413,ROW($C$710)-ROW($C413)),0))</f>
        <v>0</v>
      </c>
      <c r="L413" s="143" t="str">
        <f t="shared" ca="1" si="192"/>
        <v/>
      </c>
      <c r="M413" s="144" t="s">
        <v>201</v>
      </c>
      <c r="N413" s="145" t="str">
        <f t="shared" ca="1" si="193"/>
        <v>Serviço</v>
      </c>
      <c r="O413" s="146" t="str">
        <f t="shared" ca="1" si="194"/>
        <v>-</v>
      </c>
      <c r="P413" s="147" t="s">
        <v>249</v>
      </c>
      <c r="Q413" s="148">
        <v>89724</v>
      </c>
      <c r="R413" s="149" t="str">
        <f t="shared" ca="1" si="182"/>
        <v>(abra o arquivo 'Referência 05-2024.xls)</v>
      </c>
      <c r="S413" s="150" t="str">
        <f t="shared" ca="1" si="183"/>
        <v>-</v>
      </c>
      <c r="T413" s="151">
        <f ca="1">OFFSET(CÁLCULO!H$15,ROW($T413)-ROW(T$15),0)</f>
        <v>37</v>
      </c>
      <c r="U413" s="152">
        <f t="shared" ca="1" si="206"/>
        <v>0</v>
      </c>
      <c r="V413" s="153" t="s">
        <v>158</v>
      </c>
      <c r="W413" s="151">
        <f t="shared" ca="1" si="195"/>
        <v>0</v>
      </c>
      <c r="X413" s="154">
        <f t="shared" ca="1" si="196"/>
        <v>0</v>
      </c>
      <c r="Y413" s="155" t="s">
        <v>583</v>
      </c>
      <c r="Z413" t="str">
        <f t="shared" ca="1" si="197"/>
        <v/>
      </c>
      <c r="AA413" s="156">
        <f ca="1">IF($C413="S",IF($Z413="CP",$X413,IF($Z413="RA",(($X413)*QCI!$AA$3),0)),SomaAgrup)</f>
        <v>0</v>
      </c>
      <c r="AB413" s="157">
        <f t="shared" ca="1" si="198"/>
        <v>0</v>
      </c>
      <c r="AC413" s="158" t="str">
        <f t="shared" ca="1" si="199"/>
        <v/>
      </c>
      <c r="AD413" s="104" t="str">
        <f ca="1">IF(C413&lt;=CRONO.NivelExibicao,MAX($AD$15:OFFSET(AD413,-1,0))+IF($C413&lt;&gt;1,1,MAX(1,COUNTIF(QCI!$A$13:$A$24,OFFSET($E413,-1,0)))),"")</f>
        <v/>
      </c>
      <c r="AE413" s="114" t="str">
        <f t="shared" ca="1" si="200"/>
        <v>SINAPI 89724</v>
      </c>
      <c r="AF413" s="159" t="str">
        <f t="shared" ca="1" si="201"/>
        <v>(abra o arquivo 'Referência 05-2024.xls)</v>
      </c>
      <c r="AG413" s="579">
        <f t="shared" ca="1" si="202"/>
        <v>0</v>
      </c>
      <c r="AH413" s="580">
        <f t="shared" ca="1" si="203"/>
        <v>0.22470000000000001</v>
      </c>
      <c r="AJ413" s="582">
        <v>37</v>
      </c>
      <c r="AL413" s="612"/>
      <c r="AM413" s="430">
        <f t="shared" ca="1" si="204"/>
        <v>0</v>
      </c>
      <c r="AN413" s="655">
        <f t="shared" ca="1" si="205"/>
        <v>0</v>
      </c>
    </row>
    <row r="414" spans="1:40" ht="13.8" x14ac:dyDescent="0.3">
      <c r="A414" t="str">
        <f t="shared" si="184"/>
        <v>S</v>
      </c>
      <c r="B414">
        <f t="shared" ca="1" si="185"/>
        <v>3</v>
      </c>
      <c r="C414" t="str">
        <f t="shared" ca="1" si="186"/>
        <v>S</v>
      </c>
      <c r="D414">
        <f t="shared" ca="1" si="187"/>
        <v>0</v>
      </c>
      <c r="E414">
        <f ca="1">IF($C414=1,OFFSET(E414,-1,0)+MAX(1,COUNTIF(QCI!$A$13:$A$24,OFFSET(ORÇAMENTO!E414,-1,0))),OFFSET(E414,-1,0))</f>
        <v>1</v>
      </c>
      <c r="F414">
        <f t="shared" ca="1" si="188"/>
        <v>14</v>
      </c>
      <c r="G414">
        <f t="shared" ca="1" si="189"/>
        <v>1</v>
      </c>
      <c r="H414">
        <f t="shared" ca="1" si="190"/>
        <v>0</v>
      </c>
      <c r="I414">
        <f t="shared" ca="1" si="191"/>
        <v>0</v>
      </c>
      <c r="J414">
        <f t="shared" ca="1" si="207"/>
        <v>0</v>
      </c>
      <c r="K414">
        <f ca="1">IF(OR($C414="S",$C414=0),0,MATCH(OFFSET($D414,0,$C414)+IF($C414&lt;&gt;1,1,COUNTIF(QCI!$A$13:$A$24,ORÇAMENTO!E414)),OFFSET($D414,1,$C414,ROW($C$710)-ROW($C414)),0))</f>
        <v>0</v>
      </c>
      <c r="L414" s="143" t="str">
        <f t="shared" ca="1" si="192"/>
        <v/>
      </c>
      <c r="M414" s="144" t="s">
        <v>201</v>
      </c>
      <c r="N414" s="145" t="str">
        <f t="shared" ca="1" si="193"/>
        <v>Serviço</v>
      </c>
      <c r="O414" s="146" t="str">
        <f t="shared" ca="1" si="194"/>
        <v>-</v>
      </c>
      <c r="P414" s="147" t="s">
        <v>249</v>
      </c>
      <c r="Q414" s="148">
        <v>89557</v>
      </c>
      <c r="R414" s="149" t="str">
        <f t="shared" ca="1" si="182"/>
        <v>(abra o arquivo 'Referência 05-2024.xls)</v>
      </c>
      <c r="S414" s="150" t="str">
        <f t="shared" ca="1" si="183"/>
        <v>-</v>
      </c>
      <c r="T414" s="151">
        <f ca="1">OFFSET(CÁLCULO!H$15,ROW($T414)-ROW(T$15),0)</f>
        <v>2</v>
      </c>
      <c r="U414" s="152">
        <f t="shared" ca="1" si="206"/>
        <v>0</v>
      </c>
      <c r="V414" s="153" t="s">
        <v>158</v>
      </c>
      <c r="W414" s="151">
        <f t="shared" ca="1" si="195"/>
        <v>0</v>
      </c>
      <c r="X414" s="154">
        <f t="shared" ca="1" si="196"/>
        <v>0</v>
      </c>
      <c r="Y414" s="155" t="s">
        <v>583</v>
      </c>
      <c r="Z414" t="str">
        <f t="shared" ca="1" si="197"/>
        <v/>
      </c>
      <c r="AA414" s="156">
        <f ca="1">IF($C414="S",IF($Z414="CP",$X414,IF($Z414="RA",(($X414)*QCI!$AA$3),0)),SomaAgrup)</f>
        <v>0</v>
      </c>
      <c r="AB414" s="157">
        <f t="shared" ca="1" si="198"/>
        <v>0</v>
      </c>
      <c r="AC414" s="158" t="str">
        <f t="shared" ca="1" si="199"/>
        <v/>
      </c>
      <c r="AD414" s="104" t="str">
        <f ca="1">IF(C414&lt;=CRONO.NivelExibicao,MAX($AD$15:OFFSET(AD414,-1,0))+IF($C414&lt;&gt;1,1,MAX(1,COUNTIF(QCI!$A$13:$A$24,OFFSET($E414,-1,0)))),"")</f>
        <v/>
      </c>
      <c r="AE414" s="114" t="str">
        <f t="shared" ca="1" si="200"/>
        <v>SINAPI 89557</v>
      </c>
      <c r="AF414" s="159" t="str">
        <f t="shared" ca="1" si="201"/>
        <v>(abra o arquivo 'Referência 05-2024.xls)</v>
      </c>
      <c r="AG414" s="579">
        <f t="shared" ca="1" si="202"/>
        <v>0</v>
      </c>
      <c r="AH414" s="580">
        <f t="shared" ca="1" si="203"/>
        <v>0.22470000000000001</v>
      </c>
      <c r="AJ414" s="582">
        <v>2</v>
      </c>
      <c r="AL414" s="612"/>
      <c r="AM414" s="430">
        <f t="shared" ca="1" si="204"/>
        <v>0</v>
      </c>
      <c r="AN414" s="655">
        <f t="shared" ca="1" si="205"/>
        <v>0</v>
      </c>
    </row>
    <row r="415" spans="1:40" ht="13.8" x14ac:dyDescent="0.3">
      <c r="A415" t="str">
        <f t="shared" si="184"/>
        <v>S</v>
      </c>
      <c r="B415">
        <f t="shared" ca="1" si="185"/>
        <v>3</v>
      </c>
      <c r="C415" t="str">
        <f t="shared" ca="1" si="186"/>
        <v>S</v>
      </c>
      <c r="D415">
        <f t="shared" ca="1" si="187"/>
        <v>0</v>
      </c>
      <c r="E415">
        <f ca="1">IF($C415=1,OFFSET(E415,-1,0)+MAX(1,COUNTIF(QCI!$A$13:$A$24,OFFSET(ORÇAMENTO!E415,-1,0))),OFFSET(E415,-1,0))</f>
        <v>1</v>
      </c>
      <c r="F415">
        <f t="shared" ca="1" si="188"/>
        <v>14</v>
      </c>
      <c r="G415">
        <f t="shared" ca="1" si="189"/>
        <v>1</v>
      </c>
      <c r="H415">
        <f t="shared" ca="1" si="190"/>
        <v>0</v>
      </c>
      <c r="I415">
        <f t="shared" ca="1" si="191"/>
        <v>0</v>
      </c>
      <c r="J415">
        <f t="shared" ca="1" si="207"/>
        <v>0</v>
      </c>
      <c r="K415">
        <f ca="1">IF(OR($C415="S",$C415=0),0,MATCH(OFFSET($D415,0,$C415)+IF($C415&lt;&gt;1,1,COUNTIF(QCI!$A$13:$A$24,ORÇAMENTO!E415)),OFFSET($D415,1,$C415,ROW($C$710)-ROW($C415)),0))</f>
        <v>0</v>
      </c>
      <c r="L415" s="143" t="str">
        <f t="shared" ca="1" si="192"/>
        <v/>
      </c>
      <c r="M415" s="144" t="s">
        <v>201</v>
      </c>
      <c r="N415" s="145" t="str">
        <f t="shared" ca="1" si="193"/>
        <v>Serviço</v>
      </c>
      <c r="O415" s="146" t="str">
        <f t="shared" ca="1" si="194"/>
        <v>-</v>
      </c>
      <c r="P415" s="147" t="s">
        <v>249</v>
      </c>
      <c r="Q415" s="148">
        <v>89549</v>
      </c>
      <c r="R415" s="149" t="str">
        <f t="shared" ca="1" si="182"/>
        <v>(abra o arquivo 'Referência 05-2024.xls)</v>
      </c>
      <c r="S415" s="150" t="str">
        <f t="shared" ca="1" si="183"/>
        <v>-</v>
      </c>
      <c r="T415" s="151">
        <f ca="1">OFFSET(CÁLCULO!H$15,ROW($T415)-ROW(T$15),0)</f>
        <v>5</v>
      </c>
      <c r="U415" s="152">
        <f t="shared" ca="1" si="206"/>
        <v>0</v>
      </c>
      <c r="V415" s="153" t="s">
        <v>158</v>
      </c>
      <c r="W415" s="151">
        <f t="shared" ca="1" si="195"/>
        <v>0</v>
      </c>
      <c r="X415" s="154">
        <f t="shared" ca="1" si="196"/>
        <v>0</v>
      </c>
      <c r="Y415" s="155" t="s">
        <v>583</v>
      </c>
      <c r="Z415" t="str">
        <f t="shared" ca="1" si="197"/>
        <v/>
      </c>
      <c r="AA415" s="156">
        <f ca="1">IF($C415="S",IF($Z415="CP",$X415,IF($Z415="RA",(($X415)*QCI!$AA$3),0)),SomaAgrup)</f>
        <v>0</v>
      </c>
      <c r="AB415" s="157">
        <f t="shared" ca="1" si="198"/>
        <v>0</v>
      </c>
      <c r="AC415" s="158" t="str">
        <f t="shared" ca="1" si="199"/>
        <v/>
      </c>
      <c r="AD415" s="104" t="str">
        <f ca="1">IF(C415&lt;=CRONO.NivelExibicao,MAX($AD$15:OFFSET(AD415,-1,0))+IF($C415&lt;&gt;1,1,MAX(1,COUNTIF(QCI!$A$13:$A$24,OFFSET($E415,-1,0)))),"")</f>
        <v/>
      </c>
      <c r="AE415" s="114" t="str">
        <f t="shared" ca="1" si="200"/>
        <v>SINAPI 89549</v>
      </c>
      <c r="AF415" s="159" t="str">
        <f t="shared" ca="1" si="201"/>
        <v>(abra o arquivo 'Referência 05-2024.xls)</v>
      </c>
      <c r="AG415" s="579">
        <f t="shared" ca="1" si="202"/>
        <v>0</v>
      </c>
      <c r="AH415" s="580">
        <f t="shared" ca="1" si="203"/>
        <v>0.22470000000000001</v>
      </c>
      <c r="AJ415" s="582">
        <v>5</v>
      </c>
      <c r="AL415" s="612"/>
      <c r="AM415" s="430">
        <f t="shared" ca="1" si="204"/>
        <v>0</v>
      </c>
      <c r="AN415" s="655">
        <f t="shared" ca="1" si="205"/>
        <v>0</v>
      </c>
    </row>
    <row r="416" spans="1:40" ht="13.8" x14ac:dyDescent="0.3">
      <c r="A416" t="str">
        <f t="shared" si="184"/>
        <v>S</v>
      </c>
      <c r="B416">
        <f t="shared" ca="1" si="185"/>
        <v>3</v>
      </c>
      <c r="C416" t="str">
        <f t="shared" ca="1" si="186"/>
        <v>S</v>
      </c>
      <c r="D416">
        <f t="shared" ca="1" si="187"/>
        <v>0</v>
      </c>
      <c r="E416">
        <f ca="1">IF($C416=1,OFFSET(E416,-1,0)+MAX(1,COUNTIF(QCI!$A$13:$A$24,OFFSET(ORÇAMENTO!E416,-1,0))),OFFSET(E416,-1,0))</f>
        <v>1</v>
      </c>
      <c r="F416">
        <f t="shared" ca="1" si="188"/>
        <v>14</v>
      </c>
      <c r="G416">
        <f t="shared" ca="1" si="189"/>
        <v>1</v>
      </c>
      <c r="H416">
        <f t="shared" ca="1" si="190"/>
        <v>0</v>
      </c>
      <c r="I416">
        <f t="shared" ca="1" si="191"/>
        <v>0</v>
      </c>
      <c r="J416">
        <f t="shared" ca="1" si="207"/>
        <v>0</v>
      </c>
      <c r="K416">
        <f ca="1">IF(OR($C416="S",$C416=0),0,MATCH(OFFSET($D416,0,$C416)+IF($C416&lt;&gt;1,1,COUNTIF(QCI!$A$13:$A$24,ORÇAMENTO!E416)),OFFSET($D416,1,$C416,ROW($C$710)-ROW($C416)),0))</f>
        <v>0</v>
      </c>
      <c r="L416" s="143" t="str">
        <f t="shared" ca="1" si="192"/>
        <v/>
      </c>
      <c r="M416" s="144" t="s">
        <v>201</v>
      </c>
      <c r="N416" s="145" t="str">
        <f t="shared" ca="1" si="193"/>
        <v>Serviço</v>
      </c>
      <c r="O416" s="146" t="str">
        <f t="shared" ca="1" si="194"/>
        <v>-</v>
      </c>
      <c r="P416" s="147" t="s">
        <v>249</v>
      </c>
      <c r="Q416" s="148">
        <v>89825</v>
      </c>
      <c r="R416" s="149" t="str">
        <f t="shared" ca="1" si="182"/>
        <v>(abra o arquivo 'Referência 05-2024.xls)</v>
      </c>
      <c r="S416" s="150" t="str">
        <f t="shared" ca="1" si="183"/>
        <v>-</v>
      </c>
      <c r="T416" s="151">
        <f ca="1">OFFSET(CÁLCULO!H$15,ROW($T416)-ROW(T$15),0)</f>
        <v>2</v>
      </c>
      <c r="U416" s="152">
        <f t="shared" ca="1" si="206"/>
        <v>0</v>
      </c>
      <c r="V416" s="153" t="s">
        <v>158</v>
      </c>
      <c r="W416" s="151">
        <f t="shared" ca="1" si="195"/>
        <v>0</v>
      </c>
      <c r="X416" s="154">
        <f t="shared" ca="1" si="196"/>
        <v>0</v>
      </c>
      <c r="Y416" s="155" t="s">
        <v>583</v>
      </c>
      <c r="Z416" t="str">
        <f t="shared" ca="1" si="197"/>
        <v/>
      </c>
      <c r="AA416" s="156">
        <f ca="1">IF($C416="S",IF($Z416="CP",$X416,IF($Z416="RA",(($X416)*QCI!$AA$3),0)),SomaAgrup)</f>
        <v>0</v>
      </c>
      <c r="AB416" s="157">
        <f t="shared" ca="1" si="198"/>
        <v>0</v>
      </c>
      <c r="AC416" s="158" t="str">
        <f t="shared" ca="1" si="199"/>
        <v/>
      </c>
      <c r="AD416" s="104" t="str">
        <f ca="1">IF(C416&lt;=CRONO.NivelExibicao,MAX($AD$15:OFFSET(AD416,-1,0))+IF($C416&lt;&gt;1,1,MAX(1,COUNTIF(QCI!$A$13:$A$24,OFFSET($E416,-1,0)))),"")</f>
        <v/>
      </c>
      <c r="AE416" s="114" t="str">
        <f t="shared" ca="1" si="200"/>
        <v>SINAPI 89825</v>
      </c>
      <c r="AF416" s="159" t="str">
        <f t="shared" ca="1" si="201"/>
        <v>(abra o arquivo 'Referência 05-2024.xls)</v>
      </c>
      <c r="AG416" s="579">
        <f t="shared" ca="1" si="202"/>
        <v>0</v>
      </c>
      <c r="AH416" s="580">
        <f t="shared" ca="1" si="203"/>
        <v>0.22470000000000001</v>
      </c>
      <c r="AJ416" s="582">
        <v>2</v>
      </c>
      <c r="AL416" s="612"/>
      <c r="AM416" s="430">
        <f t="shared" ca="1" si="204"/>
        <v>0</v>
      </c>
      <c r="AN416" s="655">
        <f t="shared" ca="1" si="205"/>
        <v>0</v>
      </c>
    </row>
    <row r="417" spans="1:40" ht="13.8" x14ac:dyDescent="0.3">
      <c r="A417" t="str">
        <f t="shared" si="184"/>
        <v>S</v>
      </c>
      <c r="B417">
        <f t="shared" ca="1" si="185"/>
        <v>3</v>
      </c>
      <c r="C417" t="str">
        <f t="shared" ca="1" si="186"/>
        <v>S</v>
      </c>
      <c r="D417">
        <f t="shared" ca="1" si="187"/>
        <v>0</v>
      </c>
      <c r="E417">
        <f ca="1">IF($C417=1,OFFSET(E417,-1,0)+MAX(1,COUNTIF(QCI!$A$13:$A$24,OFFSET(ORÇAMENTO!E417,-1,0))),OFFSET(E417,-1,0))</f>
        <v>1</v>
      </c>
      <c r="F417">
        <f t="shared" ca="1" si="188"/>
        <v>14</v>
      </c>
      <c r="G417">
        <f t="shared" ca="1" si="189"/>
        <v>1</v>
      </c>
      <c r="H417">
        <f t="shared" ca="1" si="190"/>
        <v>0</v>
      </c>
      <c r="I417">
        <f t="shared" ca="1" si="191"/>
        <v>0</v>
      </c>
      <c r="J417">
        <f t="shared" ca="1" si="207"/>
        <v>0</v>
      </c>
      <c r="K417">
        <f ca="1">IF(OR($C417="S",$C417=0),0,MATCH(OFFSET($D417,0,$C417)+IF($C417&lt;&gt;1,1,COUNTIF(QCI!$A$13:$A$24,ORÇAMENTO!E417)),OFFSET($D417,1,$C417,ROW($C$710)-ROW($C417)),0))</f>
        <v>0</v>
      </c>
      <c r="L417" s="143" t="str">
        <f t="shared" ca="1" si="192"/>
        <v/>
      </c>
      <c r="M417" s="144" t="s">
        <v>201</v>
      </c>
      <c r="N417" s="145" t="str">
        <f t="shared" ca="1" si="193"/>
        <v>Serviço</v>
      </c>
      <c r="O417" s="146" t="str">
        <f t="shared" ca="1" si="194"/>
        <v>-</v>
      </c>
      <c r="P417" s="147" t="s">
        <v>249</v>
      </c>
      <c r="Q417" s="148">
        <v>89782</v>
      </c>
      <c r="R417" s="149" t="str">
        <f t="shared" ca="1" si="182"/>
        <v>(abra o arquivo 'Referência 05-2024.xls)</v>
      </c>
      <c r="S417" s="150" t="str">
        <f t="shared" ca="1" si="183"/>
        <v>-</v>
      </c>
      <c r="T417" s="151">
        <f ca="1">OFFSET(CÁLCULO!H$15,ROW($T417)-ROW(T$15),0)</f>
        <v>11</v>
      </c>
      <c r="U417" s="152">
        <f t="shared" ca="1" si="206"/>
        <v>0</v>
      </c>
      <c r="V417" s="153" t="s">
        <v>158</v>
      </c>
      <c r="W417" s="151">
        <f t="shared" ca="1" si="195"/>
        <v>0</v>
      </c>
      <c r="X417" s="154">
        <f t="shared" ca="1" si="196"/>
        <v>0</v>
      </c>
      <c r="Y417" s="155" t="s">
        <v>583</v>
      </c>
      <c r="Z417" t="str">
        <f t="shared" ca="1" si="197"/>
        <v/>
      </c>
      <c r="AA417" s="156">
        <f ca="1">IF($C417="S",IF($Z417="CP",$X417,IF($Z417="RA",(($X417)*QCI!$AA$3),0)),SomaAgrup)</f>
        <v>0</v>
      </c>
      <c r="AB417" s="157">
        <f t="shared" ca="1" si="198"/>
        <v>0</v>
      </c>
      <c r="AC417" s="158" t="str">
        <f t="shared" ca="1" si="199"/>
        <v/>
      </c>
      <c r="AD417" s="104" t="str">
        <f ca="1">IF(C417&lt;=CRONO.NivelExibicao,MAX($AD$15:OFFSET(AD417,-1,0))+IF($C417&lt;&gt;1,1,MAX(1,COUNTIF(QCI!$A$13:$A$24,OFFSET($E417,-1,0)))),"")</f>
        <v/>
      </c>
      <c r="AE417" s="114" t="str">
        <f t="shared" ca="1" si="200"/>
        <v>SINAPI 89782</v>
      </c>
      <c r="AF417" s="159" t="str">
        <f t="shared" ca="1" si="201"/>
        <v>(abra o arquivo 'Referência 05-2024.xls)</v>
      </c>
      <c r="AG417" s="579">
        <f t="shared" ca="1" si="202"/>
        <v>0</v>
      </c>
      <c r="AH417" s="580">
        <f t="shared" ca="1" si="203"/>
        <v>0.22470000000000001</v>
      </c>
      <c r="AJ417" s="582">
        <v>11</v>
      </c>
      <c r="AL417" s="612"/>
      <c r="AM417" s="430">
        <f t="shared" ca="1" si="204"/>
        <v>0</v>
      </c>
      <c r="AN417" s="655">
        <f t="shared" ca="1" si="205"/>
        <v>0</v>
      </c>
    </row>
    <row r="418" spans="1:40" ht="13.8" x14ac:dyDescent="0.3">
      <c r="A418" t="str">
        <f t="shared" si="184"/>
        <v>S</v>
      </c>
      <c r="B418">
        <f t="shared" ca="1" si="185"/>
        <v>3</v>
      </c>
      <c r="C418" t="str">
        <f t="shared" ca="1" si="186"/>
        <v>S</v>
      </c>
      <c r="D418">
        <f t="shared" ca="1" si="187"/>
        <v>0</v>
      </c>
      <c r="E418">
        <f ca="1">IF($C418=1,OFFSET(E418,-1,0)+MAX(1,COUNTIF(QCI!$A$13:$A$24,OFFSET(ORÇAMENTO!E418,-1,0))),OFFSET(E418,-1,0))</f>
        <v>1</v>
      </c>
      <c r="F418">
        <f t="shared" ca="1" si="188"/>
        <v>14</v>
      </c>
      <c r="G418">
        <f t="shared" ca="1" si="189"/>
        <v>1</v>
      </c>
      <c r="H418">
        <f t="shared" ca="1" si="190"/>
        <v>0</v>
      </c>
      <c r="I418">
        <f t="shared" ca="1" si="191"/>
        <v>0</v>
      </c>
      <c r="J418">
        <f t="shared" ca="1" si="207"/>
        <v>0</v>
      </c>
      <c r="K418">
        <f ca="1">IF(OR($C418="S",$C418=0),0,MATCH(OFFSET($D418,0,$C418)+IF($C418&lt;&gt;1,1,COUNTIF(QCI!$A$13:$A$24,ORÇAMENTO!E418)),OFFSET($D418,1,$C418,ROW($C$710)-ROW($C418)),0))</f>
        <v>0</v>
      </c>
      <c r="L418" s="143" t="str">
        <f t="shared" ca="1" si="192"/>
        <v/>
      </c>
      <c r="M418" s="144" t="s">
        <v>201</v>
      </c>
      <c r="N418" s="145" t="str">
        <f t="shared" ca="1" si="193"/>
        <v>Serviço</v>
      </c>
      <c r="O418" s="146" t="str">
        <f t="shared" ca="1" si="194"/>
        <v>-</v>
      </c>
      <c r="P418" s="147" t="s">
        <v>249</v>
      </c>
      <c r="Q418" s="148">
        <v>89707</v>
      </c>
      <c r="R418" s="149" t="str">
        <f t="shared" ca="1" si="182"/>
        <v>(abra o arquivo 'Referência 05-2024.xls)</v>
      </c>
      <c r="S418" s="150" t="str">
        <f t="shared" ca="1" si="183"/>
        <v>-</v>
      </c>
      <c r="T418" s="151">
        <f ca="1">OFFSET(CÁLCULO!H$15,ROW($T418)-ROW(T$15),0)</f>
        <v>2</v>
      </c>
      <c r="U418" s="152">
        <f t="shared" ca="1" si="206"/>
        <v>0</v>
      </c>
      <c r="V418" s="153" t="s">
        <v>158</v>
      </c>
      <c r="W418" s="151">
        <f t="shared" ca="1" si="195"/>
        <v>0</v>
      </c>
      <c r="X418" s="154">
        <f t="shared" ca="1" si="196"/>
        <v>0</v>
      </c>
      <c r="Y418" s="155" t="s">
        <v>583</v>
      </c>
      <c r="Z418" t="str">
        <f t="shared" ca="1" si="197"/>
        <v/>
      </c>
      <c r="AA418" s="156">
        <f ca="1">IF($C418="S",IF($Z418="CP",$X418,IF($Z418="RA",(($X418)*QCI!$AA$3),0)),SomaAgrup)</f>
        <v>0</v>
      </c>
      <c r="AB418" s="157">
        <f t="shared" ca="1" si="198"/>
        <v>0</v>
      </c>
      <c r="AC418" s="158" t="str">
        <f t="shared" ca="1" si="199"/>
        <v/>
      </c>
      <c r="AD418" s="104" t="str">
        <f ca="1">IF(C418&lt;=CRONO.NivelExibicao,MAX($AD$15:OFFSET(AD418,-1,0))+IF($C418&lt;&gt;1,1,MAX(1,COUNTIF(QCI!$A$13:$A$24,OFFSET($E418,-1,0)))),"")</f>
        <v/>
      </c>
      <c r="AE418" s="114" t="str">
        <f t="shared" ca="1" si="200"/>
        <v>SINAPI 89707</v>
      </c>
      <c r="AF418" s="159" t="str">
        <f t="shared" ca="1" si="201"/>
        <v>(abra o arquivo 'Referência 05-2024.xls)</v>
      </c>
      <c r="AG418" s="579">
        <f t="shared" ca="1" si="202"/>
        <v>0</v>
      </c>
      <c r="AH418" s="580">
        <f t="shared" ca="1" si="203"/>
        <v>0.22470000000000001</v>
      </c>
      <c r="AJ418" s="582">
        <v>2</v>
      </c>
      <c r="AL418" s="612"/>
      <c r="AM418" s="430">
        <f t="shared" ca="1" si="204"/>
        <v>0</v>
      </c>
      <c r="AN418" s="655">
        <f t="shared" ca="1" si="205"/>
        <v>0</v>
      </c>
    </row>
    <row r="419" spans="1:40" ht="13.8" x14ac:dyDescent="0.3">
      <c r="A419" t="str">
        <f t="shared" si="184"/>
        <v>S</v>
      </c>
      <c r="B419">
        <f t="shared" ca="1" si="185"/>
        <v>3</v>
      </c>
      <c r="C419" t="str">
        <f t="shared" ca="1" si="186"/>
        <v>S</v>
      </c>
      <c r="D419">
        <f t="shared" ca="1" si="187"/>
        <v>0</v>
      </c>
      <c r="E419">
        <f ca="1">IF($C419=1,OFFSET(E419,-1,0)+MAX(1,COUNTIF(QCI!$A$13:$A$24,OFFSET(ORÇAMENTO!E419,-1,0))),OFFSET(E419,-1,0))</f>
        <v>1</v>
      </c>
      <c r="F419">
        <f t="shared" ca="1" si="188"/>
        <v>14</v>
      </c>
      <c r="G419">
        <f t="shared" ca="1" si="189"/>
        <v>1</v>
      </c>
      <c r="H419">
        <f t="shared" ca="1" si="190"/>
        <v>0</v>
      </c>
      <c r="I419">
        <f t="shared" ca="1" si="191"/>
        <v>0</v>
      </c>
      <c r="J419">
        <f t="shared" ca="1" si="207"/>
        <v>0</v>
      </c>
      <c r="K419">
        <f ca="1">IF(OR($C419="S",$C419=0),0,MATCH(OFFSET($D419,0,$C419)+IF($C419&lt;&gt;1,1,COUNTIF(QCI!$A$13:$A$24,ORÇAMENTO!E419)),OFFSET($D419,1,$C419,ROW($C$710)-ROW($C419)),0))</f>
        <v>0</v>
      </c>
      <c r="L419" s="143" t="str">
        <f t="shared" ca="1" si="192"/>
        <v/>
      </c>
      <c r="M419" s="144" t="s">
        <v>201</v>
      </c>
      <c r="N419" s="145" t="str">
        <f t="shared" ca="1" si="193"/>
        <v>Serviço</v>
      </c>
      <c r="O419" s="146" t="str">
        <f t="shared" ca="1" si="194"/>
        <v>-</v>
      </c>
      <c r="P419" s="147" t="s">
        <v>249</v>
      </c>
      <c r="Q419" s="148">
        <v>89708</v>
      </c>
      <c r="R419" s="149" t="str">
        <f t="shared" ca="1" si="182"/>
        <v>(abra o arquivo 'Referência 05-2024.xls)</v>
      </c>
      <c r="S419" s="150" t="str">
        <f t="shared" ca="1" si="183"/>
        <v>-</v>
      </c>
      <c r="T419" s="151">
        <f ca="1">OFFSET(CÁLCULO!H$15,ROW($T419)-ROW(T$15),0)</f>
        <v>1</v>
      </c>
      <c r="U419" s="152">
        <f t="shared" ca="1" si="206"/>
        <v>0</v>
      </c>
      <c r="V419" s="153" t="s">
        <v>158</v>
      </c>
      <c r="W419" s="151">
        <f t="shared" ca="1" si="195"/>
        <v>0</v>
      </c>
      <c r="X419" s="154">
        <f t="shared" ca="1" si="196"/>
        <v>0</v>
      </c>
      <c r="Y419" s="155" t="s">
        <v>583</v>
      </c>
      <c r="Z419" t="str">
        <f t="shared" ca="1" si="197"/>
        <v/>
      </c>
      <c r="AA419" s="156">
        <f ca="1">IF($C419="S",IF($Z419="CP",$X419,IF($Z419="RA",(($X419)*QCI!$AA$3),0)),SomaAgrup)</f>
        <v>0</v>
      </c>
      <c r="AB419" s="157">
        <f t="shared" ca="1" si="198"/>
        <v>0</v>
      </c>
      <c r="AC419" s="158" t="str">
        <f t="shared" ca="1" si="199"/>
        <v/>
      </c>
      <c r="AD419" s="104" t="str">
        <f ca="1">IF(C419&lt;=CRONO.NivelExibicao,MAX($AD$15:OFFSET(AD419,-1,0))+IF($C419&lt;&gt;1,1,MAX(1,COUNTIF(QCI!$A$13:$A$24,OFFSET($E419,-1,0)))),"")</f>
        <v/>
      </c>
      <c r="AE419" s="114" t="str">
        <f t="shared" ca="1" si="200"/>
        <v>SINAPI 89708</v>
      </c>
      <c r="AF419" s="159" t="str">
        <f t="shared" ca="1" si="201"/>
        <v>(abra o arquivo 'Referência 05-2024.xls)</v>
      </c>
      <c r="AG419" s="579">
        <f t="shared" ca="1" si="202"/>
        <v>0</v>
      </c>
      <c r="AH419" s="580">
        <f t="shared" ca="1" si="203"/>
        <v>0.22470000000000001</v>
      </c>
      <c r="AJ419" s="582">
        <v>1</v>
      </c>
      <c r="AL419" s="612"/>
      <c r="AM419" s="430">
        <f t="shared" ca="1" si="204"/>
        <v>0</v>
      </c>
      <c r="AN419" s="655">
        <f t="shared" ca="1" si="205"/>
        <v>0</v>
      </c>
    </row>
    <row r="420" spans="1:40" ht="13.8" x14ac:dyDescent="0.3">
      <c r="A420" t="str">
        <f t="shared" si="184"/>
        <v>S</v>
      </c>
      <c r="B420">
        <f t="shared" ca="1" si="185"/>
        <v>3</v>
      </c>
      <c r="C420" t="str">
        <f t="shared" ca="1" si="186"/>
        <v>S</v>
      </c>
      <c r="D420">
        <f t="shared" ca="1" si="187"/>
        <v>0</v>
      </c>
      <c r="E420">
        <f ca="1">IF($C420=1,OFFSET(E420,-1,0)+MAX(1,COUNTIF(QCI!$A$13:$A$24,OFFSET(ORÇAMENTO!E420,-1,0))),OFFSET(E420,-1,0))</f>
        <v>1</v>
      </c>
      <c r="F420">
        <f t="shared" ca="1" si="188"/>
        <v>14</v>
      </c>
      <c r="G420">
        <f t="shared" ca="1" si="189"/>
        <v>1</v>
      </c>
      <c r="H420">
        <f t="shared" ca="1" si="190"/>
        <v>0</v>
      </c>
      <c r="I420">
        <f t="shared" ca="1" si="191"/>
        <v>0</v>
      </c>
      <c r="J420">
        <f t="shared" ca="1" si="207"/>
        <v>0</v>
      </c>
      <c r="K420">
        <f ca="1">IF(OR($C420="S",$C420=0),0,MATCH(OFFSET($D420,0,$C420)+IF($C420&lt;&gt;1,1,COUNTIF(QCI!$A$13:$A$24,ORÇAMENTO!E420)),OFFSET($D420,1,$C420,ROW($C$710)-ROW($C420)),0))</f>
        <v>0</v>
      </c>
      <c r="L420" s="143" t="str">
        <f t="shared" ca="1" si="192"/>
        <v/>
      </c>
      <c r="M420" s="144" t="s">
        <v>201</v>
      </c>
      <c r="N420" s="145" t="str">
        <f t="shared" ca="1" si="193"/>
        <v>Serviço</v>
      </c>
      <c r="O420" s="146" t="str">
        <f t="shared" ca="1" si="194"/>
        <v>-</v>
      </c>
      <c r="P420" s="147" t="s">
        <v>249</v>
      </c>
      <c r="Q420" s="148">
        <v>89482</v>
      </c>
      <c r="R420" s="149" t="str">
        <f t="shared" ca="1" si="182"/>
        <v>(abra o arquivo 'Referência 05-2024.xls)</v>
      </c>
      <c r="S420" s="150" t="str">
        <f t="shared" ca="1" si="183"/>
        <v>-</v>
      </c>
      <c r="T420" s="151">
        <f ca="1">OFFSET(CÁLCULO!H$15,ROW($T420)-ROW(T$15),0)</f>
        <v>8</v>
      </c>
      <c r="U420" s="152">
        <f t="shared" ca="1" si="206"/>
        <v>0</v>
      </c>
      <c r="V420" s="153" t="s">
        <v>158</v>
      </c>
      <c r="W420" s="151">
        <f t="shared" ca="1" si="195"/>
        <v>0</v>
      </c>
      <c r="X420" s="154">
        <f t="shared" ca="1" si="196"/>
        <v>0</v>
      </c>
      <c r="Y420" s="155" t="s">
        <v>583</v>
      </c>
      <c r="Z420" t="str">
        <f t="shared" ca="1" si="197"/>
        <v/>
      </c>
      <c r="AA420" s="156">
        <f ca="1">IF($C420="S",IF($Z420="CP",$X420,IF($Z420="RA",(($X420)*QCI!$AA$3),0)),SomaAgrup)</f>
        <v>0</v>
      </c>
      <c r="AB420" s="157">
        <f t="shared" ca="1" si="198"/>
        <v>0</v>
      </c>
      <c r="AC420" s="158" t="str">
        <f t="shared" ca="1" si="199"/>
        <v/>
      </c>
      <c r="AD420" s="104" t="str">
        <f ca="1">IF(C420&lt;=CRONO.NivelExibicao,MAX($AD$15:OFFSET(AD420,-1,0))+IF($C420&lt;&gt;1,1,MAX(1,COUNTIF(QCI!$A$13:$A$24,OFFSET($E420,-1,0)))),"")</f>
        <v/>
      </c>
      <c r="AE420" s="114" t="str">
        <f t="shared" ca="1" si="200"/>
        <v>SINAPI 89482</v>
      </c>
      <c r="AF420" s="159" t="str">
        <f t="shared" ca="1" si="201"/>
        <v>(abra o arquivo 'Referência 05-2024.xls)</v>
      </c>
      <c r="AG420" s="579">
        <f t="shared" ca="1" si="202"/>
        <v>0</v>
      </c>
      <c r="AH420" s="580">
        <f t="shared" ca="1" si="203"/>
        <v>0.22470000000000001</v>
      </c>
      <c r="AJ420" s="582">
        <v>8</v>
      </c>
      <c r="AL420" s="612"/>
      <c r="AM420" s="430">
        <f t="shared" ca="1" si="204"/>
        <v>0</v>
      </c>
      <c r="AN420" s="655">
        <f t="shared" ca="1" si="205"/>
        <v>0</v>
      </c>
    </row>
    <row r="421" spans="1:40" ht="13.8" x14ac:dyDescent="0.3">
      <c r="A421" t="str">
        <f t="shared" si="184"/>
        <v>S</v>
      </c>
      <c r="B421">
        <f t="shared" ca="1" si="185"/>
        <v>3</v>
      </c>
      <c r="C421" t="str">
        <f t="shared" ca="1" si="186"/>
        <v>S</v>
      </c>
      <c r="D421">
        <f t="shared" ca="1" si="187"/>
        <v>0</v>
      </c>
      <c r="E421">
        <f ca="1">IF($C421=1,OFFSET(E421,-1,0)+MAX(1,COUNTIF(QCI!$A$13:$A$24,OFFSET(ORÇAMENTO!E421,-1,0))),OFFSET(E421,-1,0))</f>
        <v>1</v>
      </c>
      <c r="F421">
        <f t="shared" ca="1" si="188"/>
        <v>14</v>
      </c>
      <c r="G421">
        <f t="shared" ca="1" si="189"/>
        <v>1</v>
      </c>
      <c r="H421">
        <f t="shared" ca="1" si="190"/>
        <v>0</v>
      </c>
      <c r="I421">
        <f t="shared" ca="1" si="191"/>
        <v>0</v>
      </c>
      <c r="J421">
        <f t="shared" ca="1" si="207"/>
        <v>0</v>
      </c>
      <c r="K421">
        <f ca="1">IF(OR($C421="S",$C421=0),0,MATCH(OFFSET($D421,0,$C421)+IF($C421&lt;&gt;1,1,COUNTIF(QCI!$A$13:$A$24,ORÇAMENTO!E421)),OFFSET($D421,1,$C421,ROW($C$710)-ROW($C421)),0))</f>
        <v>0</v>
      </c>
      <c r="L421" s="143" t="str">
        <f t="shared" ca="1" si="192"/>
        <v/>
      </c>
      <c r="M421" s="144" t="s">
        <v>201</v>
      </c>
      <c r="N421" s="145" t="str">
        <f t="shared" ca="1" si="193"/>
        <v>Serviço</v>
      </c>
      <c r="O421" s="146" t="str">
        <f t="shared" ca="1" si="194"/>
        <v>-</v>
      </c>
      <c r="P421" s="147" t="s">
        <v>249</v>
      </c>
      <c r="Q421" s="148">
        <v>89491</v>
      </c>
      <c r="R421" s="149" t="str">
        <f t="shared" ca="1" si="182"/>
        <v>(abra o arquivo 'Referência 05-2024.xls)</v>
      </c>
      <c r="S421" s="150" t="str">
        <f t="shared" ca="1" si="183"/>
        <v>-</v>
      </c>
      <c r="T421" s="151">
        <f ca="1">OFFSET(CÁLCULO!H$15,ROW($T421)-ROW(T$15),0)</f>
        <v>24</v>
      </c>
      <c r="U421" s="152">
        <f t="shared" ca="1" si="206"/>
        <v>0</v>
      </c>
      <c r="V421" s="153" t="s">
        <v>158</v>
      </c>
      <c r="W421" s="151">
        <f t="shared" ca="1" si="195"/>
        <v>0</v>
      </c>
      <c r="X421" s="154">
        <f t="shared" ca="1" si="196"/>
        <v>0</v>
      </c>
      <c r="Y421" s="155" t="s">
        <v>583</v>
      </c>
      <c r="Z421" t="str">
        <f t="shared" ca="1" si="197"/>
        <v/>
      </c>
      <c r="AA421" s="156">
        <f ca="1">IF($C421="S",IF($Z421="CP",$X421,IF($Z421="RA",(($X421)*QCI!$AA$3),0)),SomaAgrup)</f>
        <v>0</v>
      </c>
      <c r="AB421" s="157">
        <f t="shared" ca="1" si="198"/>
        <v>0</v>
      </c>
      <c r="AC421" s="158" t="str">
        <f t="shared" ca="1" si="199"/>
        <v/>
      </c>
      <c r="AD421" s="104" t="str">
        <f ca="1">IF(C421&lt;=CRONO.NivelExibicao,MAX($AD$15:OFFSET(AD421,-1,0))+IF($C421&lt;&gt;1,1,MAX(1,COUNTIF(QCI!$A$13:$A$24,OFFSET($E421,-1,0)))),"")</f>
        <v/>
      </c>
      <c r="AE421" s="114" t="str">
        <f t="shared" ca="1" si="200"/>
        <v>SINAPI 89491</v>
      </c>
      <c r="AF421" s="159" t="str">
        <f t="shared" ca="1" si="201"/>
        <v>(abra o arquivo 'Referência 05-2024.xls)</v>
      </c>
      <c r="AG421" s="579">
        <f t="shared" ca="1" si="202"/>
        <v>0</v>
      </c>
      <c r="AH421" s="580">
        <f t="shared" ca="1" si="203"/>
        <v>0.22470000000000001</v>
      </c>
      <c r="AJ421" s="582">
        <v>24</v>
      </c>
      <c r="AL421" s="612"/>
      <c r="AM421" s="430">
        <f t="shared" ca="1" si="204"/>
        <v>0</v>
      </c>
      <c r="AN421" s="655">
        <f t="shared" ca="1" si="205"/>
        <v>0</v>
      </c>
    </row>
    <row r="422" spans="1:40" ht="13.8" x14ac:dyDescent="0.3">
      <c r="A422" t="str">
        <f t="shared" si="184"/>
        <v>S</v>
      </c>
      <c r="B422">
        <f t="shared" ca="1" si="185"/>
        <v>3</v>
      </c>
      <c r="C422" t="str">
        <f t="shared" ca="1" si="186"/>
        <v>S</v>
      </c>
      <c r="D422">
        <f t="shared" ca="1" si="187"/>
        <v>0</v>
      </c>
      <c r="E422">
        <f ca="1">IF($C422=1,OFFSET(E422,-1,0)+MAX(1,COUNTIF(QCI!$A$13:$A$24,OFFSET(ORÇAMENTO!E422,-1,0))),OFFSET(E422,-1,0))</f>
        <v>1</v>
      </c>
      <c r="F422">
        <f t="shared" ca="1" si="188"/>
        <v>14</v>
      </c>
      <c r="G422">
        <f t="shared" ca="1" si="189"/>
        <v>1</v>
      </c>
      <c r="H422">
        <f t="shared" ca="1" si="190"/>
        <v>0</v>
      </c>
      <c r="I422">
        <f t="shared" ca="1" si="191"/>
        <v>0</v>
      </c>
      <c r="J422">
        <f t="shared" ca="1" si="207"/>
        <v>0</v>
      </c>
      <c r="K422">
        <f ca="1">IF(OR($C422="S",$C422=0),0,MATCH(OFFSET($D422,0,$C422)+IF($C422&lt;&gt;1,1,COUNTIF(QCI!$A$13:$A$24,ORÇAMENTO!E422)),OFFSET($D422,1,$C422,ROW($C$710)-ROW($C422)),0))</f>
        <v>0</v>
      </c>
      <c r="L422" s="143" t="str">
        <f t="shared" ca="1" si="192"/>
        <v/>
      </c>
      <c r="M422" s="144" t="s">
        <v>201</v>
      </c>
      <c r="N422" s="145" t="str">
        <f t="shared" ca="1" si="193"/>
        <v>Serviço</v>
      </c>
      <c r="O422" s="146" t="str">
        <f t="shared" ca="1" si="194"/>
        <v>-</v>
      </c>
      <c r="P422" s="147" t="s">
        <v>249</v>
      </c>
      <c r="Q422" s="148">
        <v>89482</v>
      </c>
      <c r="R422" s="149" t="str">
        <f t="shared" ca="1" si="182"/>
        <v>(abra o arquivo 'Referência 05-2024.xls)</v>
      </c>
      <c r="S422" s="150" t="str">
        <f t="shared" ca="1" si="183"/>
        <v>-</v>
      </c>
      <c r="T422" s="151">
        <f ca="1">OFFSET(CÁLCULO!H$15,ROW($T422)-ROW(T$15),0)</f>
        <v>2</v>
      </c>
      <c r="U422" s="152">
        <f t="shared" ca="1" si="206"/>
        <v>0</v>
      </c>
      <c r="V422" s="153" t="s">
        <v>158</v>
      </c>
      <c r="W422" s="151">
        <f t="shared" ca="1" si="195"/>
        <v>0</v>
      </c>
      <c r="X422" s="154">
        <f t="shared" ca="1" si="196"/>
        <v>0</v>
      </c>
      <c r="Y422" s="155" t="s">
        <v>583</v>
      </c>
      <c r="Z422" t="str">
        <f t="shared" ca="1" si="197"/>
        <v/>
      </c>
      <c r="AA422" s="156">
        <f ca="1">IF($C422="S",IF($Z422="CP",$X422,IF($Z422="RA",(($X422)*QCI!$AA$3),0)),SomaAgrup)</f>
        <v>0</v>
      </c>
      <c r="AB422" s="157">
        <f t="shared" ca="1" si="198"/>
        <v>0</v>
      </c>
      <c r="AC422" s="158" t="str">
        <f t="shared" ca="1" si="199"/>
        <v/>
      </c>
      <c r="AD422" s="104" t="str">
        <f ca="1">IF(C422&lt;=CRONO.NivelExibicao,MAX($AD$15:OFFSET(AD422,-1,0))+IF($C422&lt;&gt;1,1,MAX(1,COUNTIF(QCI!$A$13:$A$24,OFFSET($E422,-1,0)))),"")</f>
        <v/>
      </c>
      <c r="AE422" s="114" t="str">
        <f t="shared" ca="1" si="200"/>
        <v>SINAPI 89482</v>
      </c>
      <c r="AF422" s="159" t="str">
        <f t="shared" ca="1" si="201"/>
        <v>(abra o arquivo 'Referência 05-2024.xls)</v>
      </c>
      <c r="AG422" s="579">
        <f t="shared" ca="1" si="202"/>
        <v>0</v>
      </c>
      <c r="AH422" s="580">
        <f t="shared" ca="1" si="203"/>
        <v>0.22470000000000001</v>
      </c>
      <c r="AJ422" s="582">
        <v>2</v>
      </c>
      <c r="AL422" s="612"/>
      <c r="AM422" s="430">
        <f t="shared" ca="1" si="204"/>
        <v>0</v>
      </c>
      <c r="AN422" s="655">
        <f t="shared" ca="1" si="205"/>
        <v>0</v>
      </c>
    </row>
    <row r="423" spans="1:40" ht="13.8" x14ac:dyDescent="0.3">
      <c r="A423" t="str">
        <f t="shared" si="184"/>
        <v>S</v>
      </c>
      <c r="B423">
        <f t="shared" ca="1" si="185"/>
        <v>3</v>
      </c>
      <c r="C423" t="str">
        <f t="shared" ca="1" si="186"/>
        <v>S</v>
      </c>
      <c r="D423">
        <f t="shared" ca="1" si="187"/>
        <v>0</v>
      </c>
      <c r="E423">
        <f ca="1">IF($C423=1,OFFSET(E423,-1,0)+MAX(1,COUNTIF(QCI!$A$13:$A$24,OFFSET(ORÇAMENTO!E423,-1,0))),OFFSET(E423,-1,0))</f>
        <v>1</v>
      </c>
      <c r="F423">
        <f t="shared" ca="1" si="188"/>
        <v>14</v>
      </c>
      <c r="G423">
        <f t="shared" ca="1" si="189"/>
        <v>1</v>
      </c>
      <c r="H423">
        <f t="shared" ca="1" si="190"/>
        <v>0</v>
      </c>
      <c r="I423">
        <f t="shared" ca="1" si="191"/>
        <v>0</v>
      </c>
      <c r="J423">
        <f t="shared" ca="1" si="207"/>
        <v>0</v>
      </c>
      <c r="K423">
        <f ca="1">IF(OR($C423="S",$C423=0),0,MATCH(OFFSET($D423,0,$C423)+IF($C423&lt;&gt;1,1,COUNTIF(QCI!$A$13:$A$24,ORÇAMENTO!E423)),OFFSET($D423,1,$C423,ROW($C$710)-ROW($C423)),0))</f>
        <v>0</v>
      </c>
      <c r="L423" s="143" t="str">
        <f t="shared" ca="1" si="192"/>
        <v/>
      </c>
      <c r="M423" s="144" t="s">
        <v>201</v>
      </c>
      <c r="N423" s="145" t="str">
        <f t="shared" ca="1" si="193"/>
        <v>Serviço</v>
      </c>
      <c r="O423" s="146" t="str">
        <f t="shared" ca="1" si="194"/>
        <v>-</v>
      </c>
      <c r="P423" s="147" t="s">
        <v>249</v>
      </c>
      <c r="Q423" s="148">
        <v>97902</v>
      </c>
      <c r="R423" s="149" t="str">
        <f t="shared" ca="1" si="182"/>
        <v>(abra o arquivo 'Referência 05-2024.xls)</v>
      </c>
      <c r="S423" s="150" t="str">
        <f t="shared" ca="1" si="183"/>
        <v>-</v>
      </c>
      <c r="T423" s="151">
        <f ca="1">OFFSET(CÁLCULO!H$15,ROW($T423)-ROW(T$15),0)</f>
        <v>9</v>
      </c>
      <c r="U423" s="152">
        <f t="shared" ca="1" si="206"/>
        <v>0</v>
      </c>
      <c r="V423" s="153" t="s">
        <v>158</v>
      </c>
      <c r="W423" s="151">
        <f t="shared" ca="1" si="195"/>
        <v>0</v>
      </c>
      <c r="X423" s="154">
        <f t="shared" ca="1" si="196"/>
        <v>0</v>
      </c>
      <c r="Y423" s="155" t="s">
        <v>583</v>
      </c>
      <c r="Z423" t="str">
        <f t="shared" ca="1" si="197"/>
        <v/>
      </c>
      <c r="AA423" s="156">
        <f ca="1">IF($C423="S",IF($Z423="CP",$X423,IF($Z423="RA",(($X423)*QCI!$AA$3),0)),SomaAgrup)</f>
        <v>0</v>
      </c>
      <c r="AB423" s="157">
        <f t="shared" ca="1" si="198"/>
        <v>0</v>
      </c>
      <c r="AC423" s="158" t="str">
        <f t="shared" ca="1" si="199"/>
        <v/>
      </c>
      <c r="AD423" s="104" t="str">
        <f ca="1">IF(C423&lt;=CRONO.NivelExibicao,MAX($AD$15:OFFSET(AD423,-1,0))+IF($C423&lt;&gt;1,1,MAX(1,COUNTIF(QCI!$A$13:$A$24,OFFSET($E423,-1,0)))),"")</f>
        <v/>
      </c>
      <c r="AE423" s="114" t="str">
        <f t="shared" ca="1" si="200"/>
        <v>SINAPI 97902</v>
      </c>
      <c r="AF423" s="159" t="str">
        <f t="shared" ca="1" si="201"/>
        <v>(abra o arquivo 'Referência 05-2024.xls)</v>
      </c>
      <c r="AG423" s="579">
        <f t="shared" ca="1" si="202"/>
        <v>0</v>
      </c>
      <c r="AH423" s="580">
        <f t="shared" ca="1" si="203"/>
        <v>0.22470000000000001</v>
      </c>
      <c r="AJ423" s="582">
        <v>9</v>
      </c>
      <c r="AL423" s="612"/>
      <c r="AM423" s="430">
        <f t="shared" ca="1" si="204"/>
        <v>0</v>
      </c>
      <c r="AN423" s="655">
        <f t="shared" ca="1" si="205"/>
        <v>0</v>
      </c>
    </row>
    <row r="424" spans="1:40" ht="13.8" x14ac:dyDescent="0.3">
      <c r="A424" t="str">
        <f t="shared" si="184"/>
        <v>S</v>
      </c>
      <c r="B424">
        <f t="shared" ca="1" si="185"/>
        <v>3</v>
      </c>
      <c r="C424" t="str">
        <f t="shared" ca="1" si="186"/>
        <v>S</v>
      </c>
      <c r="D424">
        <f t="shared" ca="1" si="187"/>
        <v>0</v>
      </c>
      <c r="E424">
        <f ca="1">IF($C424=1,OFFSET(E424,-1,0)+MAX(1,COUNTIF(QCI!$A$13:$A$24,OFFSET(ORÇAMENTO!E424,-1,0))),OFFSET(E424,-1,0))</f>
        <v>1</v>
      </c>
      <c r="F424">
        <f t="shared" ca="1" si="188"/>
        <v>14</v>
      </c>
      <c r="G424">
        <f t="shared" ca="1" si="189"/>
        <v>1</v>
      </c>
      <c r="H424">
        <f t="shared" ca="1" si="190"/>
        <v>0</v>
      </c>
      <c r="I424">
        <f t="shared" ca="1" si="191"/>
        <v>0</v>
      </c>
      <c r="J424">
        <f t="shared" ca="1" si="207"/>
        <v>0</v>
      </c>
      <c r="K424">
        <f ca="1">IF(OR($C424="S",$C424=0),0,MATCH(OFFSET($D424,0,$C424)+IF($C424&lt;&gt;1,1,COUNTIF(QCI!$A$13:$A$24,ORÇAMENTO!E424)),OFFSET($D424,1,$C424,ROW($C$710)-ROW($C424)),0))</f>
        <v>0</v>
      </c>
      <c r="L424" s="143" t="str">
        <f t="shared" ca="1" si="192"/>
        <v/>
      </c>
      <c r="M424" s="144" t="s">
        <v>201</v>
      </c>
      <c r="N424" s="145" t="str">
        <f t="shared" ca="1" si="193"/>
        <v>Serviço</v>
      </c>
      <c r="O424" s="146" t="str">
        <f t="shared" ca="1" si="194"/>
        <v>-</v>
      </c>
      <c r="P424" s="147" t="s">
        <v>249</v>
      </c>
      <c r="Q424" s="148">
        <v>97974</v>
      </c>
      <c r="R424" s="149" t="str">
        <f t="shared" ca="1" si="182"/>
        <v>(abra o arquivo 'Referência 05-2024.xls)</v>
      </c>
      <c r="S424" s="150" t="str">
        <f t="shared" ca="1" si="183"/>
        <v>-</v>
      </c>
      <c r="T424" s="151">
        <f ca="1">OFFSET(CÁLCULO!H$15,ROW($T424)-ROW(T$15),0)</f>
        <v>5</v>
      </c>
      <c r="U424" s="152">
        <f t="shared" ca="1" si="206"/>
        <v>0</v>
      </c>
      <c r="V424" s="153" t="s">
        <v>158</v>
      </c>
      <c r="W424" s="151">
        <f t="shared" ca="1" si="195"/>
        <v>0</v>
      </c>
      <c r="X424" s="154">
        <f t="shared" ca="1" si="196"/>
        <v>0</v>
      </c>
      <c r="Y424" s="155" t="s">
        <v>583</v>
      </c>
      <c r="Z424" t="str">
        <f t="shared" ca="1" si="197"/>
        <v/>
      </c>
      <c r="AA424" s="156">
        <f ca="1">IF($C424="S",IF($Z424="CP",$X424,IF($Z424="RA",(($X424)*QCI!$AA$3),0)),SomaAgrup)</f>
        <v>0</v>
      </c>
      <c r="AB424" s="157">
        <f t="shared" ca="1" si="198"/>
        <v>0</v>
      </c>
      <c r="AC424" s="158" t="str">
        <f t="shared" ca="1" si="199"/>
        <v/>
      </c>
      <c r="AD424" s="104" t="str">
        <f ca="1">IF(C424&lt;=CRONO.NivelExibicao,MAX($AD$15:OFFSET(AD424,-1,0))+IF($C424&lt;&gt;1,1,MAX(1,COUNTIF(QCI!$A$13:$A$24,OFFSET($E424,-1,0)))),"")</f>
        <v/>
      </c>
      <c r="AE424" s="114" t="str">
        <f t="shared" ca="1" si="200"/>
        <v>SINAPI 97974</v>
      </c>
      <c r="AF424" s="159" t="str">
        <f t="shared" ca="1" si="201"/>
        <v>(abra o arquivo 'Referência 05-2024.xls)</v>
      </c>
      <c r="AG424" s="579">
        <f t="shared" ca="1" si="202"/>
        <v>0</v>
      </c>
      <c r="AH424" s="580">
        <f t="shared" ca="1" si="203"/>
        <v>0.22470000000000001</v>
      </c>
      <c r="AJ424" s="582">
        <v>5</v>
      </c>
      <c r="AL424" s="612"/>
      <c r="AM424" s="430">
        <f t="shared" ca="1" si="204"/>
        <v>0</v>
      </c>
      <c r="AN424" s="655">
        <f t="shared" ca="1" si="205"/>
        <v>0</v>
      </c>
    </row>
    <row r="425" spans="1:40" ht="13.8" x14ac:dyDescent="0.3">
      <c r="A425" t="str">
        <f t="shared" si="184"/>
        <v>S</v>
      </c>
      <c r="B425">
        <f t="shared" ca="1" si="185"/>
        <v>3</v>
      </c>
      <c r="C425" t="str">
        <f t="shared" ca="1" si="186"/>
        <v>S</v>
      </c>
      <c r="D425">
        <f t="shared" ca="1" si="187"/>
        <v>0</v>
      </c>
      <c r="E425">
        <f ca="1">IF($C425=1,OFFSET(E425,-1,0)+MAX(1,COUNTIF(QCI!$A$13:$A$24,OFFSET(ORÇAMENTO!E425,-1,0))),OFFSET(E425,-1,0))</f>
        <v>1</v>
      </c>
      <c r="F425">
        <f t="shared" ca="1" si="188"/>
        <v>14</v>
      </c>
      <c r="G425">
        <f t="shared" ca="1" si="189"/>
        <v>1</v>
      </c>
      <c r="H425">
        <f t="shared" ca="1" si="190"/>
        <v>0</v>
      </c>
      <c r="I425">
        <f t="shared" ca="1" si="191"/>
        <v>0</v>
      </c>
      <c r="J425">
        <f t="shared" ca="1" si="207"/>
        <v>0</v>
      </c>
      <c r="K425">
        <f ca="1">IF(OR($C425="S",$C425=0),0,MATCH(OFFSET($D425,0,$C425)+IF($C425&lt;&gt;1,1,COUNTIF(QCI!$A$13:$A$24,ORÇAMENTO!E425)),OFFSET($D425,1,$C425,ROW($C$710)-ROW($C425)),0))</f>
        <v>0</v>
      </c>
      <c r="L425" s="143" t="str">
        <f t="shared" ca="1" si="192"/>
        <v/>
      </c>
      <c r="M425" s="144" t="s">
        <v>201</v>
      </c>
      <c r="N425" s="145" t="str">
        <f t="shared" ca="1" si="193"/>
        <v>Serviço</v>
      </c>
      <c r="O425" s="146" t="str">
        <f t="shared" ca="1" si="194"/>
        <v>-</v>
      </c>
      <c r="P425" s="147" t="s">
        <v>249</v>
      </c>
      <c r="Q425" s="148">
        <v>86883</v>
      </c>
      <c r="R425" s="149" t="str">
        <f t="shared" ca="1" si="182"/>
        <v>(abra o arquivo 'Referência 05-2024.xls)</v>
      </c>
      <c r="S425" s="150" t="str">
        <f t="shared" ca="1" si="183"/>
        <v>-</v>
      </c>
      <c r="T425" s="151">
        <f ca="1">OFFSET(CÁLCULO!H$15,ROW($T425)-ROW(T$15),0)</f>
        <v>2</v>
      </c>
      <c r="U425" s="152">
        <f t="shared" ca="1" si="206"/>
        <v>0</v>
      </c>
      <c r="V425" s="153" t="s">
        <v>158</v>
      </c>
      <c r="W425" s="151">
        <f t="shared" ca="1" si="195"/>
        <v>0</v>
      </c>
      <c r="X425" s="154">
        <f t="shared" ca="1" si="196"/>
        <v>0</v>
      </c>
      <c r="Y425" s="155" t="s">
        <v>583</v>
      </c>
      <c r="Z425" t="str">
        <f t="shared" ca="1" si="197"/>
        <v/>
      </c>
      <c r="AA425" s="156">
        <f ca="1">IF($C425="S",IF($Z425="CP",$X425,IF($Z425="RA",(($X425)*QCI!$AA$3),0)),SomaAgrup)</f>
        <v>0</v>
      </c>
      <c r="AB425" s="157">
        <f t="shared" ca="1" si="198"/>
        <v>0</v>
      </c>
      <c r="AC425" s="158" t="str">
        <f t="shared" ca="1" si="199"/>
        <v/>
      </c>
      <c r="AD425" s="104" t="str">
        <f ca="1">IF(C425&lt;=CRONO.NivelExibicao,MAX($AD$15:OFFSET(AD425,-1,0))+IF($C425&lt;&gt;1,1,MAX(1,COUNTIF(QCI!$A$13:$A$24,OFFSET($E425,-1,0)))),"")</f>
        <v/>
      </c>
      <c r="AE425" s="114" t="str">
        <f t="shared" ca="1" si="200"/>
        <v>SINAPI 86883</v>
      </c>
      <c r="AF425" s="159" t="str">
        <f t="shared" ca="1" si="201"/>
        <v>(abra o arquivo 'Referência 05-2024.xls)</v>
      </c>
      <c r="AG425" s="579">
        <f t="shared" ca="1" si="202"/>
        <v>0</v>
      </c>
      <c r="AH425" s="580">
        <f t="shared" ca="1" si="203"/>
        <v>0.22470000000000001</v>
      </c>
      <c r="AJ425" s="582">
        <v>2</v>
      </c>
      <c r="AL425" s="612"/>
      <c r="AM425" s="430">
        <f t="shared" ca="1" si="204"/>
        <v>0</v>
      </c>
      <c r="AN425" s="655">
        <f t="shared" ca="1" si="205"/>
        <v>0</v>
      </c>
    </row>
    <row r="426" spans="1:40" ht="13.8" x14ac:dyDescent="0.3">
      <c r="A426">
        <f t="shared" si="184"/>
        <v>3</v>
      </c>
      <c r="B426">
        <f t="shared" ca="1" si="185"/>
        <v>3</v>
      </c>
      <c r="C426">
        <f t="shared" ca="1" si="186"/>
        <v>3</v>
      </c>
      <c r="D426">
        <f t="shared" ca="1" si="187"/>
        <v>3</v>
      </c>
      <c r="E426">
        <f ca="1">IF($C426=1,OFFSET(E426,-1,0)+MAX(1,COUNTIF(QCI!$A$13:$A$24,OFFSET(ORÇAMENTO!E426,-1,0))),OFFSET(E426,-1,0))</f>
        <v>1</v>
      </c>
      <c r="F426">
        <f t="shared" ca="1" si="188"/>
        <v>14</v>
      </c>
      <c r="G426">
        <f t="shared" ca="1" si="189"/>
        <v>2</v>
      </c>
      <c r="H426">
        <f t="shared" ca="1" si="190"/>
        <v>0</v>
      </c>
      <c r="I426">
        <f t="shared" ca="1" si="191"/>
        <v>0</v>
      </c>
      <c r="J426">
        <f t="shared" ca="1" si="207"/>
        <v>20</v>
      </c>
      <c r="K426">
        <f ca="1">IF(OR($C426="S",$C426=0),0,MATCH(OFFSET($D426,0,$C426)+IF($C426&lt;&gt;1,1,COUNTIF(QCI!$A$13:$A$24,ORÇAMENTO!E426)),OFFSET($D426,1,$C426,ROW($C$710)-ROW($C426)),0))</f>
        <v>3</v>
      </c>
      <c r="L426" s="143" t="str">
        <f t="shared" ca="1" si="192"/>
        <v>F</v>
      </c>
      <c r="M426" s="144" t="s">
        <v>199</v>
      </c>
      <c r="N426" s="145" t="str">
        <f t="shared" ca="1" si="193"/>
        <v>Nível 3</v>
      </c>
      <c r="O426" s="146" t="str">
        <f t="shared" ca="1" si="194"/>
        <v>1.14.2.</v>
      </c>
      <c r="P426" s="147" t="s">
        <v>249</v>
      </c>
      <c r="Q426" s="148"/>
      <c r="R426" s="149" t="s">
        <v>595</v>
      </c>
      <c r="S426" s="150" t="str">
        <f t="shared" ca="1" si="183"/>
        <v>-</v>
      </c>
      <c r="T426" s="151">
        <f ca="1">OFFSET(CÁLCULO!H$15,ROW($T426)-ROW(T$15),0)</f>
        <v>0</v>
      </c>
      <c r="U426" s="152">
        <f t="shared" ca="1" si="206"/>
        <v>0</v>
      </c>
      <c r="V426" s="153" t="s">
        <v>158</v>
      </c>
      <c r="W426" s="151">
        <f t="shared" ca="1" si="195"/>
        <v>0</v>
      </c>
      <c r="X426" s="154">
        <f t="shared" ca="1" si="196"/>
        <v>0</v>
      </c>
      <c r="Y426" s="155" t="s">
        <v>247</v>
      </c>
      <c r="Z426" t="str">
        <f t="shared" ca="1" si="197"/>
        <v/>
      </c>
      <c r="AA426" s="156">
        <f ca="1">IF($C426="S",IF($Z426="CP",$X426,IF($Z426="RA",(($X426)*QCI!$AA$3),0)),SomaAgrup)</f>
        <v>0</v>
      </c>
      <c r="AB426" s="157">
        <f t="shared" ca="1" si="198"/>
        <v>0</v>
      </c>
      <c r="AC426" s="158" t="str">
        <f t="shared" ca="1" si="199"/>
        <v/>
      </c>
      <c r="AD426" s="104" t="str">
        <f ca="1">IF(C426&lt;=CRONO.NivelExibicao,MAX($AD$15:OFFSET(AD426,-1,0))+IF($C426&lt;&gt;1,1,MAX(1,COUNTIF(QCI!$A$13:$A$24,OFFSET($E426,-1,0)))),"")</f>
        <v/>
      </c>
      <c r="AE426" s="114" t="b">
        <f t="shared" ca="1" si="200"/>
        <v>0</v>
      </c>
      <c r="AF426" s="159" t="str">
        <f t="shared" ca="1" si="201"/>
        <v>(abra o arquivo 'Referência 05-2024.xls)</v>
      </c>
      <c r="AG426" s="579">
        <f t="shared" ca="1" si="202"/>
        <v>0</v>
      </c>
      <c r="AH426" s="580">
        <f t="shared" ca="1" si="203"/>
        <v>0.22470000000000001</v>
      </c>
      <c r="AJ426" s="582"/>
      <c r="AL426" s="612"/>
      <c r="AM426" s="430">
        <f t="shared" ca="1" si="204"/>
        <v>0</v>
      </c>
      <c r="AN426" s="655">
        <f t="shared" ca="1" si="205"/>
        <v>0</v>
      </c>
    </row>
    <row r="427" spans="1:40" ht="13.8" x14ac:dyDescent="0.3">
      <c r="A427" t="str">
        <f t="shared" si="184"/>
        <v>S</v>
      </c>
      <c r="B427">
        <f t="shared" ca="1" si="185"/>
        <v>3</v>
      </c>
      <c r="C427" t="str">
        <f t="shared" ca="1" si="186"/>
        <v>S</v>
      </c>
      <c r="D427">
        <f t="shared" ca="1" si="187"/>
        <v>0</v>
      </c>
      <c r="E427">
        <f ca="1">IF($C427=1,OFFSET(E427,-1,0)+MAX(1,COUNTIF(QCI!$A$13:$A$24,OFFSET(ORÇAMENTO!E427,-1,0))),OFFSET(E427,-1,0))</f>
        <v>1</v>
      </c>
      <c r="F427">
        <f t="shared" ca="1" si="188"/>
        <v>14</v>
      </c>
      <c r="G427">
        <f t="shared" ca="1" si="189"/>
        <v>2</v>
      </c>
      <c r="H427">
        <f t="shared" ca="1" si="190"/>
        <v>0</v>
      </c>
      <c r="I427">
        <f t="shared" ca="1" si="191"/>
        <v>0</v>
      </c>
      <c r="J427">
        <f t="shared" ca="1" si="207"/>
        <v>0</v>
      </c>
      <c r="K427">
        <f ca="1">IF(OR($C427="S",$C427=0),0,MATCH(OFFSET($D427,0,$C427)+IF($C427&lt;&gt;1,1,COUNTIF(QCI!$A$13:$A$24,ORÇAMENTO!E427)),OFFSET($D427,1,$C427,ROW($C$710)-ROW($C427)),0))</f>
        <v>0</v>
      </c>
      <c r="L427" s="143" t="str">
        <f t="shared" ca="1" si="192"/>
        <v/>
      </c>
      <c r="M427" s="144" t="s">
        <v>201</v>
      </c>
      <c r="N427" s="145" t="str">
        <f t="shared" ca="1" si="193"/>
        <v>Serviço</v>
      </c>
      <c r="O427" s="146" t="str">
        <f t="shared" ca="1" si="194"/>
        <v>-</v>
      </c>
      <c r="P427" s="147" t="s">
        <v>249</v>
      </c>
      <c r="Q427" s="148">
        <v>89849</v>
      </c>
      <c r="R427" s="149" t="str">
        <f ca="1">IF($C427="S",REFERENCIA.Descricao,"(digite a descrição aqui)")</f>
        <v>(abra o arquivo 'Referência 05-2024.xls)</v>
      </c>
      <c r="S427" s="150" t="str">
        <f t="shared" ca="1" si="183"/>
        <v>-</v>
      </c>
      <c r="T427" s="151">
        <f ca="1">OFFSET(CÁLCULO!H$15,ROW($T427)-ROW(T$15),0)</f>
        <v>16.5</v>
      </c>
      <c r="U427" s="152">
        <f t="shared" ca="1" si="206"/>
        <v>0</v>
      </c>
      <c r="V427" s="153" t="s">
        <v>158</v>
      </c>
      <c r="W427" s="151">
        <f t="shared" ca="1" si="195"/>
        <v>0</v>
      </c>
      <c r="X427" s="154">
        <f t="shared" ca="1" si="196"/>
        <v>0</v>
      </c>
      <c r="Y427" s="155" t="s">
        <v>247</v>
      </c>
      <c r="Z427" t="str">
        <f t="shared" ca="1" si="197"/>
        <v/>
      </c>
      <c r="AA427" s="156">
        <f ca="1">IF($C427="S",IF($Z427="CP",$X427,IF($Z427="RA",(($X427)*QCI!$AA$3),0)),SomaAgrup)</f>
        <v>0</v>
      </c>
      <c r="AB427" s="157">
        <f t="shared" ca="1" si="198"/>
        <v>0</v>
      </c>
      <c r="AC427" s="158" t="str">
        <f t="shared" ca="1" si="199"/>
        <v/>
      </c>
      <c r="AD427" s="104" t="str">
        <f ca="1">IF(C427&lt;=CRONO.NivelExibicao,MAX($AD$15:OFFSET(AD427,-1,0))+IF($C427&lt;&gt;1,1,MAX(1,COUNTIF(QCI!$A$13:$A$24,OFFSET($E427,-1,0)))),"")</f>
        <v/>
      </c>
      <c r="AE427" s="114" t="str">
        <f t="shared" ca="1" si="200"/>
        <v>SINAPI 89849</v>
      </c>
      <c r="AF427" s="159" t="str">
        <f t="shared" ca="1" si="201"/>
        <v>(abra o arquivo 'Referência 05-2024.xls)</v>
      </c>
      <c r="AG427" s="579">
        <f t="shared" ca="1" si="202"/>
        <v>0</v>
      </c>
      <c r="AH427" s="580">
        <f t="shared" ca="1" si="203"/>
        <v>0.22470000000000001</v>
      </c>
      <c r="AJ427" s="582">
        <v>16.5</v>
      </c>
      <c r="AL427" s="612"/>
      <c r="AM427" s="430">
        <f t="shared" ca="1" si="204"/>
        <v>0</v>
      </c>
      <c r="AN427" s="655">
        <f t="shared" ca="1" si="205"/>
        <v>0</v>
      </c>
    </row>
    <row r="428" spans="1:40" ht="13.8" x14ac:dyDescent="0.3">
      <c r="A428" t="str">
        <f t="shared" si="184"/>
        <v>S</v>
      </c>
      <c r="B428">
        <f t="shared" ca="1" si="185"/>
        <v>3</v>
      </c>
      <c r="C428" t="str">
        <f t="shared" ca="1" si="186"/>
        <v>S</v>
      </c>
      <c r="D428">
        <f t="shared" ca="1" si="187"/>
        <v>0</v>
      </c>
      <c r="E428">
        <f ca="1">IF($C428=1,OFFSET(E428,-1,0)+MAX(1,COUNTIF(QCI!$A$13:$A$24,OFFSET(ORÇAMENTO!E428,-1,0))),OFFSET(E428,-1,0))</f>
        <v>1</v>
      </c>
      <c r="F428">
        <f t="shared" ca="1" si="188"/>
        <v>14</v>
      </c>
      <c r="G428">
        <f t="shared" ca="1" si="189"/>
        <v>2</v>
      </c>
      <c r="H428">
        <f t="shared" ca="1" si="190"/>
        <v>0</v>
      </c>
      <c r="I428">
        <f t="shared" ca="1" si="191"/>
        <v>0</v>
      </c>
      <c r="J428">
        <f t="shared" ca="1" si="207"/>
        <v>0</v>
      </c>
      <c r="K428">
        <f ca="1">IF(OR($C428="S",$C428=0),0,MATCH(OFFSET($D428,0,$C428)+IF($C428&lt;&gt;1,1,COUNTIF(QCI!$A$13:$A$24,ORÇAMENTO!E428)),OFFSET($D428,1,$C428,ROW($C$710)-ROW($C428)),0))</f>
        <v>0</v>
      </c>
      <c r="L428" s="143" t="str">
        <f t="shared" ca="1" si="192"/>
        <v/>
      </c>
      <c r="M428" s="144" t="s">
        <v>201</v>
      </c>
      <c r="N428" s="145" t="str">
        <f t="shared" ca="1" si="193"/>
        <v>Serviço</v>
      </c>
      <c r="O428" s="146" t="str">
        <f t="shared" ca="1" si="194"/>
        <v>-</v>
      </c>
      <c r="P428" s="147" t="s">
        <v>249</v>
      </c>
      <c r="Q428" s="148">
        <v>97974</v>
      </c>
      <c r="R428" s="149" t="str">
        <f ca="1">IF($C428="S",REFERENCIA.Descricao,"(digite a descrição aqui)")</f>
        <v>(abra o arquivo 'Referência 05-2024.xls)</v>
      </c>
      <c r="S428" s="150" t="str">
        <f t="shared" ca="1" si="183"/>
        <v>-</v>
      </c>
      <c r="T428" s="151">
        <f ca="1">OFFSET(CÁLCULO!H$15,ROW($T428)-ROW(T$15),0)</f>
        <v>1</v>
      </c>
      <c r="U428" s="152">
        <f t="shared" ca="1" si="206"/>
        <v>0</v>
      </c>
      <c r="V428" s="153" t="s">
        <v>158</v>
      </c>
      <c r="W428" s="151">
        <f t="shared" ca="1" si="195"/>
        <v>0</v>
      </c>
      <c r="X428" s="154">
        <f t="shared" ca="1" si="196"/>
        <v>0</v>
      </c>
      <c r="Y428" s="155" t="s">
        <v>247</v>
      </c>
      <c r="Z428" t="str">
        <f t="shared" ca="1" si="197"/>
        <v/>
      </c>
      <c r="AA428" s="156">
        <f ca="1">IF($C428="S",IF($Z428="CP",$X428,IF($Z428="RA",(($X428)*QCI!$AA$3),0)),SomaAgrup)</f>
        <v>0</v>
      </c>
      <c r="AB428" s="157">
        <f t="shared" ca="1" si="198"/>
        <v>0</v>
      </c>
      <c r="AC428" s="158" t="str">
        <f t="shared" ca="1" si="199"/>
        <v/>
      </c>
      <c r="AD428" s="104" t="str">
        <f ca="1">IF(C428&lt;=CRONO.NivelExibicao,MAX($AD$15:OFFSET(AD428,-1,0))+IF($C428&lt;&gt;1,1,MAX(1,COUNTIF(QCI!$A$13:$A$24,OFFSET($E428,-1,0)))),"")</f>
        <v/>
      </c>
      <c r="AE428" s="114" t="str">
        <f t="shared" ca="1" si="200"/>
        <v>SINAPI 97974</v>
      </c>
      <c r="AF428" s="159" t="str">
        <f t="shared" ca="1" si="201"/>
        <v>(abra o arquivo 'Referência 05-2024.xls)</v>
      </c>
      <c r="AG428" s="579">
        <f t="shared" ca="1" si="202"/>
        <v>0</v>
      </c>
      <c r="AH428" s="580">
        <f t="shared" ca="1" si="203"/>
        <v>0.22470000000000001</v>
      </c>
      <c r="AJ428" s="582">
        <v>1</v>
      </c>
      <c r="AL428" s="612"/>
      <c r="AM428" s="430">
        <f t="shared" ca="1" si="204"/>
        <v>0</v>
      </c>
      <c r="AN428" s="655">
        <f t="shared" ca="1" si="205"/>
        <v>0</v>
      </c>
    </row>
    <row r="429" spans="1:40" ht="13.8" x14ac:dyDescent="0.3">
      <c r="A429">
        <f t="shared" si="184"/>
        <v>3</v>
      </c>
      <c r="B429">
        <f t="shared" ca="1" si="185"/>
        <v>3</v>
      </c>
      <c r="C429">
        <f t="shared" ca="1" si="186"/>
        <v>3</v>
      </c>
      <c r="D429">
        <f t="shared" ca="1" si="187"/>
        <v>17</v>
      </c>
      <c r="E429">
        <f ca="1">IF($C429=1,OFFSET(E429,-1,0)+MAX(1,COUNTIF(QCI!$A$13:$A$24,OFFSET(ORÇAMENTO!E429,-1,0))),OFFSET(E429,-1,0))</f>
        <v>1</v>
      </c>
      <c r="F429">
        <f t="shared" ca="1" si="188"/>
        <v>14</v>
      </c>
      <c r="G429">
        <f t="shared" ca="1" si="189"/>
        <v>3</v>
      </c>
      <c r="H429">
        <f t="shared" ca="1" si="190"/>
        <v>0</v>
      </c>
      <c r="I429">
        <f t="shared" ca="1" si="191"/>
        <v>0</v>
      </c>
      <c r="J429">
        <f t="shared" ca="1" si="207"/>
        <v>17</v>
      </c>
      <c r="K429">
        <f ca="1">IF(OR($C429="S",$C429=0),0,MATCH(OFFSET($D429,0,$C429)+IF($C429&lt;&gt;1,1,COUNTIF(QCI!$A$13:$A$24,ORÇAMENTO!E429)),OFFSET($D429,1,$C429,ROW($C$710)-ROW($C429)),0))</f>
        <v>78</v>
      </c>
      <c r="L429" s="143" t="str">
        <f t="shared" ca="1" si="192"/>
        <v>F</v>
      </c>
      <c r="M429" s="144" t="s">
        <v>199</v>
      </c>
      <c r="N429" s="145" t="str">
        <f t="shared" ca="1" si="193"/>
        <v>Nível 3</v>
      </c>
      <c r="O429" s="146" t="str">
        <f t="shared" ca="1" si="194"/>
        <v>1.14.3.</v>
      </c>
      <c r="P429" s="147" t="s">
        <v>249</v>
      </c>
      <c r="Q429" s="148"/>
      <c r="R429" s="149" t="s">
        <v>536</v>
      </c>
      <c r="S429" s="150" t="s">
        <v>168</v>
      </c>
      <c r="T429" s="151">
        <f ca="1">OFFSET(CÁLCULO!H$15,ROW($T429)-ROW(T$15),0)</f>
        <v>0</v>
      </c>
      <c r="U429" s="152"/>
      <c r="V429" s="153" t="s">
        <v>158</v>
      </c>
      <c r="W429" s="151">
        <f t="shared" ca="1" si="195"/>
        <v>0</v>
      </c>
      <c r="X429" s="154">
        <f t="shared" ca="1" si="196"/>
        <v>0</v>
      </c>
      <c r="Y429" s="155" t="s">
        <v>583</v>
      </c>
      <c r="Z429" t="str">
        <f t="shared" ca="1" si="197"/>
        <v/>
      </c>
      <c r="AA429" s="156">
        <f ca="1">IF($C429="S",IF($Z429="CP",$X429,IF($Z429="RA",(($X429)*QCI!$AA$3),0)),SomaAgrup)</f>
        <v>0</v>
      </c>
      <c r="AB429" s="157">
        <f t="shared" ca="1" si="198"/>
        <v>0</v>
      </c>
      <c r="AC429" s="158" t="str">
        <f t="shared" ca="1" si="199"/>
        <v/>
      </c>
      <c r="AD429" s="104" t="str">
        <f ca="1">IF(C429&lt;=CRONO.NivelExibicao,MAX($AD$15:OFFSET(AD429,-1,0))+IF($C429&lt;&gt;1,1,MAX(1,COUNTIF(QCI!$A$13:$A$24,OFFSET($E429,-1,0)))),"")</f>
        <v/>
      </c>
      <c r="AE429" s="114" t="b">
        <f t="shared" ca="1" si="200"/>
        <v>0</v>
      </c>
      <c r="AF429" s="159" t="str">
        <f t="shared" ca="1" si="201"/>
        <v>(abra o arquivo 'Referência 05-2024.xls)</v>
      </c>
      <c r="AG429" s="579">
        <f t="shared" ca="1" si="202"/>
        <v>0</v>
      </c>
      <c r="AH429" s="580">
        <f t="shared" ca="1" si="203"/>
        <v>0.22470000000000001</v>
      </c>
      <c r="AJ429" s="582"/>
      <c r="AL429" s="612"/>
      <c r="AM429" s="430">
        <f t="shared" ca="1" si="204"/>
        <v>0</v>
      </c>
      <c r="AN429" s="655">
        <f t="shared" ca="1" si="205"/>
        <v>0</v>
      </c>
    </row>
    <row r="430" spans="1:40" ht="13.8" x14ac:dyDescent="0.3">
      <c r="A430" t="str">
        <f t="shared" si="184"/>
        <v>S</v>
      </c>
      <c r="B430">
        <f t="shared" ca="1" si="185"/>
        <v>3</v>
      </c>
      <c r="C430" t="str">
        <f t="shared" ca="1" si="186"/>
        <v>S</v>
      </c>
      <c r="D430">
        <f t="shared" ca="1" si="187"/>
        <v>0</v>
      </c>
      <c r="E430">
        <f ca="1">IF($C430=1,OFFSET(E430,-1,0)+MAX(1,COUNTIF(QCI!$A$13:$A$24,OFFSET(ORÇAMENTO!E430,-1,0))),OFFSET(E430,-1,0))</f>
        <v>1</v>
      </c>
      <c r="F430">
        <f t="shared" ca="1" si="188"/>
        <v>14</v>
      </c>
      <c r="G430">
        <f t="shared" ca="1" si="189"/>
        <v>3</v>
      </c>
      <c r="H430">
        <f t="shared" ca="1" si="190"/>
        <v>0</v>
      </c>
      <c r="I430">
        <f t="shared" ca="1" si="191"/>
        <v>0</v>
      </c>
      <c r="J430">
        <f t="shared" ca="1" si="207"/>
        <v>0</v>
      </c>
      <c r="K430">
        <f ca="1">IF(OR($C430="S",$C430=0),0,MATCH(OFFSET($D430,0,$C430)+IF($C430&lt;&gt;1,1,COUNTIF(QCI!$A$13:$A$24,ORÇAMENTO!E430)),OFFSET($D430,1,$C430,ROW($C$710)-ROW($C430)),0))</f>
        <v>0</v>
      </c>
      <c r="L430" s="143" t="str">
        <f t="shared" ca="1" si="192"/>
        <v/>
      </c>
      <c r="M430" s="144" t="s">
        <v>201</v>
      </c>
      <c r="N430" s="145" t="str">
        <f t="shared" ca="1" si="193"/>
        <v>Serviço</v>
      </c>
      <c r="O430" s="146" t="str">
        <f t="shared" ca="1" si="194"/>
        <v>-</v>
      </c>
      <c r="P430" s="147" t="s">
        <v>249</v>
      </c>
      <c r="Q430" s="148">
        <v>89712</v>
      </c>
      <c r="R430" s="149" t="str">
        <f t="shared" ref="R430:R445" ca="1" si="208">IF($C430="S",REFERENCIA.Descricao,"(digite a descrição aqui)")</f>
        <v>(abra o arquivo 'Referência 05-2024.xls)</v>
      </c>
      <c r="S430" s="150" t="str">
        <f t="shared" ref="S430:S445" ca="1" si="209">REFERENCIA.Unidade</f>
        <v>-</v>
      </c>
      <c r="T430" s="151">
        <f ca="1">OFFSET(CÁLCULO!H$15,ROW($T430)-ROW(T$15),0)</f>
        <v>179.4</v>
      </c>
      <c r="U430" s="152">
        <f t="shared" ca="1" si="206"/>
        <v>0</v>
      </c>
      <c r="V430" s="153" t="s">
        <v>158</v>
      </c>
      <c r="W430" s="151">
        <f t="shared" ca="1" si="195"/>
        <v>0</v>
      </c>
      <c r="X430" s="154">
        <f t="shared" ca="1" si="196"/>
        <v>0</v>
      </c>
      <c r="Y430" s="155" t="s">
        <v>583</v>
      </c>
      <c r="Z430" t="str">
        <f t="shared" ca="1" si="197"/>
        <v/>
      </c>
      <c r="AA430" s="156">
        <f ca="1">IF($C430="S",IF($Z430="CP",$X430,IF($Z430="RA",(($X430)*QCI!$AA$3),0)),SomaAgrup)</f>
        <v>0</v>
      </c>
      <c r="AB430" s="157">
        <f t="shared" ca="1" si="198"/>
        <v>0</v>
      </c>
      <c r="AC430" s="158" t="str">
        <f t="shared" ca="1" si="199"/>
        <v/>
      </c>
      <c r="AD430" s="104" t="str">
        <f ca="1">IF(C430&lt;=CRONO.NivelExibicao,MAX($AD$15:OFFSET(AD430,-1,0))+IF($C430&lt;&gt;1,1,MAX(1,COUNTIF(QCI!$A$13:$A$24,OFFSET($E430,-1,0)))),"")</f>
        <v/>
      </c>
      <c r="AE430" s="114" t="str">
        <f t="shared" ca="1" si="200"/>
        <v>SINAPI 89712</v>
      </c>
      <c r="AF430" s="159" t="str">
        <f t="shared" ca="1" si="201"/>
        <v>(abra o arquivo 'Referência 05-2024.xls)</v>
      </c>
      <c r="AG430" s="579">
        <f t="shared" ca="1" si="202"/>
        <v>0</v>
      </c>
      <c r="AH430" s="580">
        <f t="shared" ca="1" si="203"/>
        <v>0.22470000000000001</v>
      </c>
      <c r="AJ430" s="582">
        <v>179.4</v>
      </c>
      <c r="AL430" s="612"/>
      <c r="AM430" s="430">
        <f t="shared" ca="1" si="204"/>
        <v>0</v>
      </c>
      <c r="AN430" s="655">
        <f t="shared" ca="1" si="205"/>
        <v>0</v>
      </c>
    </row>
    <row r="431" spans="1:40" ht="13.8" x14ac:dyDescent="0.3">
      <c r="A431" t="str">
        <f t="shared" si="184"/>
        <v>S</v>
      </c>
      <c r="B431">
        <f t="shared" ca="1" si="185"/>
        <v>3</v>
      </c>
      <c r="C431" t="str">
        <f t="shared" ca="1" si="186"/>
        <v>S</v>
      </c>
      <c r="D431">
        <f t="shared" ca="1" si="187"/>
        <v>0</v>
      </c>
      <c r="E431">
        <f ca="1">IF($C431=1,OFFSET(E431,-1,0)+MAX(1,COUNTIF(QCI!$A$13:$A$24,OFFSET(ORÇAMENTO!E431,-1,0))),OFFSET(E431,-1,0))</f>
        <v>1</v>
      </c>
      <c r="F431">
        <f t="shared" ca="1" si="188"/>
        <v>14</v>
      </c>
      <c r="G431">
        <f t="shared" ca="1" si="189"/>
        <v>3</v>
      </c>
      <c r="H431">
        <f t="shared" ca="1" si="190"/>
        <v>0</v>
      </c>
      <c r="I431">
        <f t="shared" ca="1" si="191"/>
        <v>0</v>
      </c>
      <c r="J431">
        <f t="shared" ca="1" si="207"/>
        <v>0</v>
      </c>
      <c r="K431">
        <f ca="1">IF(OR($C431="S",$C431=0),0,MATCH(OFFSET($D431,0,$C431)+IF($C431&lt;&gt;1,1,COUNTIF(QCI!$A$13:$A$24,ORÇAMENTO!E431)),OFFSET($D431,1,$C431,ROW($C$710)-ROW($C431)),0))</f>
        <v>0</v>
      </c>
      <c r="L431" s="143" t="str">
        <f t="shared" ca="1" si="192"/>
        <v/>
      </c>
      <c r="M431" s="144" t="s">
        <v>201</v>
      </c>
      <c r="N431" s="145" t="str">
        <f t="shared" ca="1" si="193"/>
        <v>Serviço</v>
      </c>
      <c r="O431" s="146" t="str">
        <f t="shared" ca="1" si="194"/>
        <v>-</v>
      </c>
      <c r="P431" s="147" t="s">
        <v>249</v>
      </c>
      <c r="Q431" s="148">
        <v>89511</v>
      </c>
      <c r="R431" s="149" t="str">
        <f t="shared" ca="1" si="208"/>
        <v>(abra o arquivo 'Referência 05-2024.xls)</v>
      </c>
      <c r="S431" s="150" t="str">
        <f t="shared" ca="1" si="209"/>
        <v>-</v>
      </c>
      <c r="T431" s="151">
        <f ca="1">OFFSET(CÁLCULO!H$15,ROW($T431)-ROW(T$15),0)</f>
        <v>37.1</v>
      </c>
      <c r="U431" s="152">
        <f t="shared" ca="1" si="206"/>
        <v>0</v>
      </c>
      <c r="V431" s="153" t="s">
        <v>158</v>
      </c>
      <c r="W431" s="151">
        <f t="shared" ca="1" si="195"/>
        <v>0</v>
      </c>
      <c r="X431" s="154">
        <f t="shared" ca="1" si="196"/>
        <v>0</v>
      </c>
      <c r="Y431" s="155" t="s">
        <v>583</v>
      </c>
      <c r="Z431" t="str">
        <f t="shared" ca="1" si="197"/>
        <v/>
      </c>
      <c r="AA431" s="156">
        <f ca="1">IF($C431="S",IF($Z431="CP",$X431,IF($Z431="RA",(($X431)*QCI!$AA$3),0)),SomaAgrup)</f>
        <v>0</v>
      </c>
      <c r="AB431" s="157">
        <f t="shared" ca="1" si="198"/>
        <v>0</v>
      </c>
      <c r="AC431" s="158" t="str">
        <f t="shared" ca="1" si="199"/>
        <v/>
      </c>
      <c r="AD431" s="104" t="str">
        <f ca="1">IF(C431&lt;=CRONO.NivelExibicao,MAX($AD$15:OFFSET(AD431,-1,0))+IF($C431&lt;&gt;1,1,MAX(1,COUNTIF(QCI!$A$13:$A$24,OFFSET($E431,-1,0)))),"")</f>
        <v/>
      </c>
      <c r="AE431" s="114" t="str">
        <f t="shared" ca="1" si="200"/>
        <v>SINAPI 89511</v>
      </c>
      <c r="AF431" s="159" t="str">
        <f t="shared" ca="1" si="201"/>
        <v>(abra o arquivo 'Referência 05-2024.xls)</v>
      </c>
      <c r="AG431" s="579">
        <f t="shared" ca="1" si="202"/>
        <v>0</v>
      </c>
      <c r="AH431" s="580">
        <f t="shared" ca="1" si="203"/>
        <v>0.22470000000000001</v>
      </c>
      <c r="AJ431" s="582">
        <v>37.1</v>
      </c>
      <c r="AL431" s="612"/>
      <c r="AM431" s="430">
        <f t="shared" ca="1" si="204"/>
        <v>0</v>
      </c>
      <c r="AN431" s="655">
        <f t="shared" ca="1" si="205"/>
        <v>0</v>
      </c>
    </row>
    <row r="432" spans="1:40" ht="13.8" x14ac:dyDescent="0.3">
      <c r="A432" t="str">
        <f t="shared" si="184"/>
        <v>S</v>
      </c>
      <c r="B432">
        <f t="shared" ca="1" si="185"/>
        <v>3</v>
      </c>
      <c r="C432" t="str">
        <f t="shared" ca="1" si="186"/>
        <v>S</v>
      </c>
      <c r="D432">
        <f t="shared" ca="1" si="187"/>
        <v>0</v>
      </c>
      <c r="E432">
        <f ca="1">IF($C432=1,OFFSET(E432,-1,0)+MAX(1,COUNTIF(QCI!$A$13:$A$24,OFFSET(ORÇAMENTO!E432,-1,0))),OFFSET(E432,-1,0))</f>
        <v>1</v>
      </c>
      <c r="F432">
        <f t="shared" ca="1" si="188"/>
        <v>14</v>
      </c>
      <c r="G432">
        <f t="shared" ca="1" si="189"/>
        <v>3</v>
      </c>
      <c r="H432">
        <f t="shared" ca="1" si="190"/>
        <v>0</v>
      </c>
      <c r="I432">
        <f t="shared" ca="1" si="191"/>
        <v>0</v>
      </c>
      <c r="J432">
        <f t="shared" ca="1" si="207"/>
        <v>0</v>
      </c>
      <c r="K432">
        <f ca="1">IF(OR($C432="S",$C432=0),0,MATCH(OFFSET($D432,0,$C432)+IF($C432&lt;&gt;1,1,COUNTIF(QCI!$A$13:$A$24,ORÇAMENTO!E432)),OFFSET($D432,1,$C432,ROW($C$710)-ROW($C432)),0))</f>
        <v>0</v>
      </c>
      <c r="L432" s="143" t="str">
        <f t="shared" ca="1" si="192"/>
        <v/>
      </c>
      <c r="M432" s="144" t="s">
        <v>201</v>
      </c>
      <c r="N432" s="145" t="str">
        <f t="shared" ca="1" si="193"/>
        <v>Serviço</v>
      </c>
      <c r="O432" s="146" t="str">
        <f t="shared" ca="1" si="194"/>
        <v>-</v>
      </c>
      <c r="P432" s="147" t="s">
        <v>249</v>
      </c>
      <c r="Q432" s="148">
        <v>89732</v>
      </c>
      <c r="R432" s="149" t="str">
        <f t="shared" ca="1" si="208"/>
        <v>(abra o arquivo 'Referência 05-2024.xls)</v>
      </c>
      <c r="S432" s="150" t="str">
        <f t="shared" ca="1" si="209"/>
        <v>-</v>
      </c>
      <c r="T432" s="151">
        <f ca="1">OFFSET(CÁLCULO!H$15,ROW($T432)-ROW(T$15),0)</f>
        <v>36</v>
      </c>
      <c r="U432" s="152">
        <f t="shared" ca="1" si="206"/>
        <v>0</v>
      </c>
      <c r="V432" s="153" t="s">
        <v>158</v>
      </c>
      <c r="W432" s="151">
        <f t="shared" ca="1" si="195"/>
        <v>0</v>
      </c>
      <c r="X432" s="154">
        <f t="shared" ca="1" si="196"/>
        <v>0</v>
      </c>
      <c r="Y432" s="155" t="s">
        <v>583</v>
      </c>
      <c r="Z432" t="str">
        <f t="shared" ca="1" si="197"/>
        <v/>
      </c>
      <c r="AA432" s="156">
        <f ca="1">IF($C432="S",IF($Z432="CP",$X432,IF($Z432="RA",(($X432)*QCI!$AA$3),0)),SomaAgrup)</f>
        <v>0</v>
      </c>
      <c r="AB432" s="157">
        <f t="shared" ca="1" si="198"/>
        <v>0</v>
      </c>
      <c r="AC432" s="158" t="str">
        <f t="shared" ca="1" si="199"/>
        <v/>
      </c>
      <c r="AD432" s="104" t="str">
        <f ca="1">IF(C432&lt;=CRONO.NivelExibicao,MAX($AD$15:OFFSET(AD432,-1,0))+IF($C432&lt;&gt;1,1,MAX(1,COUNTIF(QCI!$A$13:$A$24,OFFSET($E432,-1,0)))),"")</f>
        <v/>
      </c>
      <c r="AE432" s="114" t="str">
        <f t="shared" ca="1" si="200"/>
        <v>SINAPI 89732</v>
      </c>
      <c r="AF432" s="159" t="str">
        <f t="shared" ca="1" si="201"/>
        <v>(abra o arquivo 'Referência 05-2024.xls)</v>
      </c>
      <c r="AG432" s="579">
        <f t="shared" ca="1" si="202"/>
        <v>0</v>
      </c>
      <c r="AH432" s="580">
        <f t="shared" ca="1" si="203"/>
        <v>0.22470000000000001</v>
      </c>
      <c r="AJ432" s="582">
        <v>36</v>
      </c>
      <c r="AL432" s="612"/>
      <c r="AM432" s="430">
        <f t="shared" ca="1" si="204"/>
        <v>0</v>
      </c>
      <c r="AN432" s="655">
        <f t="shared" ca="1" si="205"/>
        <v>0</v>
      </c>
    </row>
    <row r="433" spans="1:40" ht="13.8" x14ac:dyDescent="0.3">
      <c r="A433" t="str">
        <f t="shared" si="184"/>
        <v>S</v>
      </c>
      <c r="B433">
        <f t="shared" ca="1" si="185"/>
        <v>3</v>
      </c>
      <c r="C433" t="str">
        <f t="shared" ca="1" si="186"/>
        <v>S</v>
      </c>
      <c r="D433">
        <f t="shared" ca="1" si="187"/>
        <v>0</v>
      </c>
      <c r="E433">
        <f ca="1">IF($C433=1,OFFSET(E433,-1,0)+MAX(1,COUNTIF(QCI!$A$13:$A$24,OFFSET(ORÇAMENTO!E433,-1,0))),OFFSET(E433,-1,0))</f>
        <v>1</v>
      </c>
      <c r="F433">
        <f t="shared" ca="1" si="188"/>
        <v>14</v>
      </c>
      <c r="G433">
        <f t="shared" ca="1" si="189"/>
        <v>3</v>
      </c>
      <c r="H433">
        <f t="shared" ca="1" si="190"/>
        <v>0</v>
      </c>
      <c r="I433">
        <f t="shared" ca="1" si="191"/>
        <v>0</v>
      </c>
      <c r="J433">
        <f t="shared" ca="1" si="207"/>
        <v>0</v>
      </c>
      <c r="K433">
        <f ca="1">IF(OR($C433="S",$C433=0),0,MATCH(OFFSET($D433,0,$C433)+IF($C433&lt;&gt;1,1,COUNTIF(QCI!$A$13:$A$24,ORÇAMENTO!E433)),OFFSET($D433,1,$C433,ROW($C$710)-ROW($C433)),0))</f>
        <v>0</v>
      </c>
      <c r="L433" s="143" t="str">
        <f t="shared" ca="1" si="192"/>
        <v/>
      </c>
      <c r="M433" s="144" t="s">
        <v>201</v>
      </c>
      <c r="N433" s="145" t="str">
        <f t="shared" ca="1" si="193"/>
        <v>Serviço</v>
      </c>
      <c r="O433" s="146" t="str">
        <f t="shared" ca="1" si="194"/>
        <v>-</v>
      </c>
      <c r="P433" s="147" t="s">
        <v>249</v>
      </c>
      <c r="Q433" s="148">
        <v>89739</v>
      </c>
      <c r="R433" s="149" t="str">
        <f t="shared" ca="1" si="208"/>
        <v>(abra o arquivo 'Referência 05-2024.xls)</v>
      </c>
      <c r="S433" s="150" t="str">
        <f t="shared" ca="1" si="209"/>
        <v>-</v>
      </c>
      <c r="T433" s="151">
        <f ca="1">OFFSET(CÁLCULO!H$15,ROW($T433)-ROW(T$15),0)</f>
        <v>2</v>
      </c>
      <c r="U433" s="152">
        <f t="shared" ca="1" si="206"/>
        <v>0</v>
      </c>
      <c r="V433" s="153" t="s">
        <v>158</v>
      </c>
      <c r="W433" s="151">
        <f t="shared" ca="1" si="195"/>
        <v>0</v>
      </c>
      <c r="X433" s="154">
        <f t="shared" ca="1" si="196"/>
        <v>0</v>
      </c>
      <c r="Y433" s="155" t="s">
        <v>583</v>
      </c>
      <c r="Z433" t="str">
        <f t="shared" ca="1" si="197"/>
        <v/>
      </c>
      <c r="AA433" s="156">
        <f ca="1">IF($C433="S",IF($Z433="CP",$X433,IF($Z433="RA",(($X433)*QCI!$AA$3),0)),SomaAgrup)</f>
        <v>0</v>
      </c>
      <c r="AB433" s="157">
        <f t="shared" ca="1" si="198"/>
        <v>0</v>
      </c>
      <c r="AC433" s="158" t="str">
        <f t="shared" ca="1" si="199"/>
        <v/>
      </c>
      <c r="AD433" s="104" t="str">
        <f ca="1">IF(C433&lt;=CRONO.NivelExibicao,MAX($AD$15:OFFSET(AD433,-1,0))+IF($C433&lt;&gt;1,1,MAX(1,COUNTIF(QCI!$A$13:$A$24,OFFSET($E433,-1,0)))),"")</f>
        <v/>
      </c>
      <c r="AE433" s="114" t="str">
        <f t="shared" ca="1" si="200"/>
        <v>SINAPI 89739</v>
      </c>
      <c r="AF433" s="159" t="str">
        <f t="shared" ca="1" si="201"/>
        <v>(abra o arquivo 'Referência 05-2024.xls)</v>
      </c>
      <c r="AG433" s="579">
        <f t="shared" ca="1" si="202"/>
        <v>0</v>
      </c>
      <c r="AH433" s="580">
        <f t="shared" ca="1" si="203"/>
        <v>0.22470000000000001</v>
      </c>
      <c r="AJ433" s="582">
        <v>2</v>
      </c>
      <c r="AL433" s="612"/>
      <c r="AM433" s="430">
        <f t="shared" ca="1" si="204"/>
        <v>0</v>
      </c>
      <c r="AN433" s="655">
        <f t="shared" ca="1" si="205"/>
        <v>0</v>
      </c>
    </row>
    <row r="434" spans="1:40" ht="13.8" x14ac:dyDescent="0.3">
      <c r="A434" t="str">
        <f t="shared" si="184"/>
        <v>S</v>
      </c>
      <c r="B434">
        <f t="shared" ca="1" si="185"/>
        <v>3</v>
      </c>
      <c r="C434" t="str">
        <f t="shared" ca="1" si="186"/>
        <v>S</v>
      </c>
      <c r="D434">
        <f t="shared" ca="1" si="187"/>
        <v>0</v>
      </c>
      <c r="E434">
        <f ca="1">IF($C434=1,OFFSET(E434,-1,0)+MAX(1,COUNTIF(QCI!$A$13:$A$24,OFFSET(ORÇAMENTO!E434,-1,0))),OFFSET(E434,-1,0))</f>
        <v>1</v>
      </c>
      <c r="F434">
        <f t="shared" ca="1" si="188"/>
        <v>14</v>
      </c>
      <c r="G434">
        <f t="shared" ca="1" si="189"/>
        <v>3</v>
      </c>
      <c r="H434">
        <f t="shared" ca="1" si="190"/>
        <v>0</v>
      </c>
      <c r="I434">
        <f t="shared" ca="1" si="191"/>
        <v>0</v>
      </c>
      <c r="J434">
        <f t="shared" ca="1" si="207"/>
        <v>0</v>
      </c>
      <c r="K434">
        <f ca="1">IF(OR($C434="S",$C434=0),0,MATCH(OFFSET($D434,0,$C434)+IF($C434&lt;&gt;1,1,COUNTIF(QCI!$A$13:$A$24,ORÇAMENTO!E434)),OFFSET($D434,1,$C434,ROW($C$710)-ROW($C434)),0))</f>
        <v>0</v>
      </c>
      <c r="L434" s="143" t="str">
        <f t="shared" ca="1" si="192"/>
        <v/>
      </c>
      <c r="M434" s="144" t="s">
        <v>201</v>
      </c>
      <c r="N434" s="145" t="str">
        <f t="shared" ca="1" si="193"/>
        <v>Serviço</v>
      </c>
      <c r="O434" s="146" t="str">
        <f t="shared" ca="1" si="194"/>
        <v>-</v>
      </c>
      <c r="P434" s="147" t="s">
        <v>249</v>
      </c>
      <c r="Q434" s="148">
        <v>89731</v>
      </c>
      <c r="R434" s="149" t="str">
        <f t="shared" ca="1" si="208"/>
        <v>(abra o arquivo 'Referência 05-2024.xls)</v>
      </c>
      <c r="S434" s="150" t="str">
        <f t="shared" ca="1" si="209"/>
        <v>-</v>
      </c>
      <c r="T434" s="151">
        <f ca="1">OFFSET(CÁLCULO!H$15,ROW($T434)-ROW(T$15),0)</f>
        <v>80</v>
      </c>
      <c r="U434" s="152">
        <f t="shared" ca="1" si="206"/>
        <v>0</v>
      </c>
      <c r="V434" s="153" t="s">
        <v>158</v>
      </c>
      <c r="W434" s="151">
        <f t="shared" ca="1" si="195"/>
        <v>0</v>
      </c>
      <c r="X434" s="154">
        <f t="shared" ca="1" si="196"/>
        <v>0</v>
      </c>
      <c r="Y434" s="155" t="s">
        <v>583</v>
      </c>
      <c r="Z434" t="str">
        <f t="shared" ca="1" si="197"/>
        <v/>
      </c>
      <c r="AA434" s="156">
        <f ca="1">IF($C434="S",IF($Z434="CP",$X434,IF($Z434="RA",(($X434)*QCI!$AA$3),0)),SomaAgrup)</f>
        <v>0</v>
      </c>
      <c r="AB434" s="157">
        <f t="shared" ca="1" si="198"/>
        <v>0</v>
      </c>
      <c r="AC434" s="158" t="str">
        <f t="shared" ca="1" si="199"/>
        <v/>
      </c>
      <c r="AD434" s="104" t="str">
        <f ca="1">IF(C434&lt;=CRONO.NivelExibicao,MAX($AD$15:OFFSET(AD434,-1,0))+IF($C434&lt;&gt;1,1,MAX(1,COUNTIF(QCI!$A$13:$A$24,OFFSET($E434,-1,0)))),"")</f>
        <v/>
      </c>
      <c r="AE434" s="114" t="str">
        <f t="shared" ca="1" si="200"/>
        <v>SINAPI 89731</v>
      </c>
      <c r="AF434" s="159" t="str">
        <f t="shared" ca="1" si="201"/>
        <v>(abra o arquivo 'Referência 05-2024.xls)</v>
      </c>
      <c r="AG434" s="579">
        <f t="shared" ca="1" si="202"/>
        <v>0</v>
      </c>
      <c r="AH434" s="580">
        <f t="shared" ca="1" si="203"/>
        <v>0.22470000000000001</v>
      </c>
      <c r="AJ434" s="582">
        <v>80</v>
      </c>
      <c r="AL434" s="612"/>
      <c r="AM434" s="430">
        <f t="shared" ca="1" si="204"/>
        <v>0</v>
      </c>
      <c r="AN434" s="655">
        <f t="shared" ca="1" si="205"/>
        <v>0</v>
      </c>
    </row>
    <row r="435" spans="1:40" ht="13.8" x14ac:dyDescent="0.3">
      <c r="A435" t="str">
        <f t="shared" si="184"/>
        <v>S</v>
      </c>
      <c r="B435">
        <f t="shared" ca="1" si="185"/>
        <v>3</v>
      </c>
      <c r="C435" t="str">
        <f t="shared" ca="1" si="186"/>
        <v>S</v>
      </c>
      <c r="D435">
        <f t="shared" ca="1" si="187"/>
        <v>0</v>
      </c>
      <c r="E435">
        <f ca="1">IF($C435=1,OFFSET(E435,-1,0)+MAX(1,COUNTIF(QCI!$A$13:$A$24,OFFSET(ORÇAMENTO!E435,-1,0))),OFFSET(E435,-1,0))</f>
        <v>1</v>
      </c>
      <c r="F435">
        <f t="shared" ca="1" si="188"/>
        <v>14</v>
      </c>
      <c r="G435">
        <f t="shared" ca="1" si="189"/>
        <v>3</v>
      </c>
      <c r="H435">
        <f t="shared" ca="1" si="190"/>
        <v>0</v>
      </c>
      <c r="I435">
        <f t="shared" ca="1" si="191"/>
        <v>0</v>
      </c>
      <c r="J435">
        <f t="shared" ca="1" si="207"/>
        <v>0</v>
      </c>
      <c r="K435">
        <f ca="1">IF(OR($C435="S",$C435=0),0,MATCH(OFFSET($D435,0,$C435)+IF($C435&lt;&gt;1,1,COUNTIF(QCI!$A$13:$A$24,ORÇAMENTO!E435)),OFFSET($D435,1,$C435,ROW($C$710)-ROW($C435)),0))</f>
        <v>0</v>
      </c>
      <c r="L435" s="143" t="str">
        <f t="shared" ca="1" si="192"/>
        <v/>
      </c>
      <c r="M435" s="144" t="s">
        <v>201</v>
      </c>
      <c r="N435" s="145" t="str">
        <f t="shared" ca="1" si="193"/>
        <v>Serviço</v>
      </c>
      <c r="O435" s="146" t="str">
        <f t="shared" ca="1" si="194"/>
        <v>-</v>
      </c>
      <c r="P435" s="147" t="s">
        <v>249</v>
      </c>
      <c r="Q435" s="148">
        <v>89737</v>
      </c>
      <c r="R435" s="149" t="str">
        <f t="shared" ca="1" si="208"/>
        <v>(abra o arquivo 'Referência 05-2024.xls)</v>
      </c>
      <c r="S435" s="150" t="str">
        <f t="shared" ca="1" si="209"/>
        <v>-</v>
      </c>
      <c r="T435" s="151">
        <f ca="1">OFFSET(CÁLCULO!H$15,ROW($T435)-ROW(T$15),0)</f>
        <v>9</v>
      </c>
      <c r="U435" s="152">
        <f t="shared" ca="1" si="206"/>
        <v>0</v>
      </c>
      <c r="V435" s="153" t="s">
        <v>158</v>
      </c>
      <c r="W435" s="151">
        <f t="shared" ca="1" si="195"/>
        <v>0</v>
      </c>
      <c r="X435" s="154">
        <f t="shared" ca="1" si="196"/>
        <v>0</v>
      </c>
      <c r="Y435" s="155" t="s">
        <v>583</v>
      </c>
      <c r="Z435" t="str">
        <f t="shared" ca="1" si="197"/>
        <v/>
      </c>
      <c r="AA435" s="156">
        <f ca="1">IF($C435="S",IF($Z435="CP",$X435,IF($Z435="RA",(($X435)*QCI!$AA$3),0)),SomaAgrup)</f>
        <v>0</v>
      </c>
      <c r="AB435" s="157">
        <f t="shared" ca="1" si="198"/>
        <v>0</v>
      </c>
      <c r="AC435" s="158" t="str">
        <f t="shared" ca="1" si="199"/>
        <v/>
      </c>
      <c r="AD435" s="104" t="str">
        <f ca="1">IF(C435&lt;=CRONO.NivelExibicao,MAX($AD$15:OFFSET(AD435,-1,0))+IF($C435&lt;&gt;1,1,MAX(1,COUNTIF(QCI!$A$13:$A$24,OFFSET($E435,-1,0)))),"")</f>
        <v/>
      </c>
      <c r="AE435" s="114" t="str">
        <f t="shared" ca="1" si="200"/>
        <v>SINAPI 89737</v>
      </c>
      <c r="AF435" s="159" t="str">
        <f t="shared" ca="1" si="201"/>
        <v>(abra o arquivo 'Referência 05-2024.xls)</v>
      </c>
      <c r="AG435" s="579">
        <f t="shared" ca="1" si="202"/>
        <v>0</v>
      </c>
      <c r="AH435" s="580">
        <f t="shared" ca="1" si="203"/>
        <v>0.22470000000000001</v>
      </c>
      <c r="AJ435" s="582">
        <v>9</v>
      </c>
      <c r="AL435" s="612"/>
      <c r="AM435" s="430">
        <f t="shared" ca="1" si="204"/>
        <v>0</v>
      </c>
      <c r="AN435" s="655">
        <f t="shared" ca="1" si="205"/>
        <v>0</v>
      </c>
    </row>
    <row r="436" spans="1:40" ht="13.8" x14ac:dyDescent="0.3">
      <c r="A436" t="str">
        <f t="shared" si="184"/>
        <v>S</v>
      </c>
      <c r="B436">
        <f t="shared" ca="1" si="185"/>
        <v>3</v>
      </c>
      <c r="C436" t="str">
        <f t="shared" ca="1" si="186"/>
        <v>S</v>
      </c>
      <c r="D436">
        <f t="shared" ca="1" si="187"/>
        <v>0</v>
      </c>
      <c r="E436">
        <f ca="1">IF($C436=1,OFFSET(E436,-1,0)+MAX(1,COUNTIF(QCI!$A$13:$A$24,OFFSET(ORÇAMENTO!E436,-1,0))),OFFSET(E436,-1,0))</f>
        <v>1</v>
      </c>
      <c r="F436">
        <f t="shared" ca="1" si="188"/>
        <v>14</v>
      </c>
      <c r="G436">
        <f t="shared" ca="1" si="189"/>
        <v>3</v>
      </c>
      <c r="H436">
        <f t="shared" ca="1" si="190"/>
        <v>0</v>
      </c>
      <c r="I436">
        <f t="shared" ca="1" si="191"/>
        <v>0</v>
      </c>
      <c r="J436">
        <f t="shared" ca="1" si="207"/>
        <v>0</v>
      </c>
      <c r="K436">
        <f ca="1">IF(OR($C436="S",$C436=0),0,MATCH(OFFSET($D436,0,$C436)+IF($C436&lt;&gt;1,1,COUNTIF(QCI!$A$13:$A$24,ORÇAMENTO!E436)),OFFSET($D436,1,$C436,ROW($C$710)-ROW($C436)),0))</f>
        <v>0</v>
      </c>
      <c r="L436" s="143" t="str">
        <f t="shared" ca="1" si="192"/>
        <v/>
      </c>
      <c r="M436" s="144" t="s">
        <v>201</v>
      </c>
      <c r="N436" s="145" t="str">
        <f t="shared" ca="1" si="193"/>
        <v>Serviço</v>
      </c>
      <c r="O436" s="146" t="str">
        <f t="shared" ca="1" si="194"/>
        <v>-</v>
      </c>
      <c r="P436" s="147" t="s">
        <v>249</v>
      </c>
      <c r="Q436" s="148">
        <v>89685</v>
      </c>
      <c r="R436" s="149" t="str">
        <f t="shared" ca="1" si="208"/>
        <v>(abra o arquivo 'Referência 05-2024.xls)</v>
      </c>
      <c r="S436" s="150" t="str">
        <f t="shared" ca="1" si="209"/>
        <v>-</v>
      </c>
      <c r="T436" s="151">
        <f ca="1">OFFSET(CÁLCULO!H$15,ROW($T436)-ROW(T$15),0)</f>
        <v>2</v>
      </c>
      <c r="U436" s="152">
        <f t="shared" ca="1" si="206"/>
        <v>0</v>
      </c>
      <c r="V436" s="153" t="s">
        <v>158</v>
      </c>
      <c r="W436" s="151">
        <f t="shared" ca="1" si="195"/>
        <v>0</v>
      </c>
      <c r="X436" s="154">
        <f t="shared" ca="1" si="196"/>
        <v>0</v>
      </c>
      <c r="Y436" s="155" t="s">
        <v>583</v>
      </c>
      <c r="Z436" t="str">
        <f t="shared" ca="1" si="197"/>
        <v/>
      </c>
      <c r="AA436" s="156">
        <f ca="1">IF($C436="S",IF($Z436="CP",$X436,IF($Z436="RA",(($X436)*QCI!$AA$3),0)),SomaAgrup)</f>
        <v>0</v>
      </c>
      <c r="AB436" s="157">
        <f t="shared" ca="1" si="198"/>
        <v>0</v>
      </c>
      <c r="AC436" s="158" t="str">
        <f t="shared" ca="1" si="199"/>
        <v/>
      </c>
      <c r="AD436" s="104" t="str">
        <f ca="1">IF(C436&lt;=CRONO.NivelExibicao,MAX($AD$15:OFFSET(AD436,-1,0))+IF($C436&lt;&gt;1,1,MAX(1,COUNTIF(QCI!$A$13:$A$24,OFFSET($E436,-1,0)))),"")</f>
        <v/>
      </c>
      <c r="AE436" s="114" t="str">
        <f t="shared" ca="1" si="200"/>
        <v>SINAPI 89685</v>
      </c>
      <c r="AF436" s="159" t="str">
        <f t="shared" ca="1" si="201"/>
        <v>(abra o arquivo 'Referência 05-2024.xls)</v>
      </c>
      <c r="AG436" s="579">
        <f t="shared" ca="1" si="202"/>
        <v>0</v>
      </c>
      <c r="AH436" s="580">
        <f t="shared" ca="1" si="203"/>
        <v>0.22470000000000001</v>
      </c>
      <c r="AJ436" s="582">
        <v>2</v>
      </c>
      <c r="AL436" s="612"/>
      <c r="AM436" s="430">
        <f t="shared" ca="1" si="204"/>
        <v>0</v>
      </c>
      <c r="AN436" s="655">
        <f t="shared" ca="1" si="205"/>
        <v>0</v>
      </c>
    </row>
    <row r="437" spans="1:40" ht="13.8" x14ac:dyDescent="0.3">
      <c r="A437" t="str">
        <f t="shared" si="184"/>
        <v>S</v>
      </c>
      <c r="B437">
        <f t="shared" ca="1" si="185"/>
        <v>3</v>
      </c>
      <c r="C437" t="str">
        <f t="shared" ca="1" si="186"/>
        <v>S</v>
      </c>
      <c r="D437">
        <f t="shared" ca="1" si="187"/>
        <v>0</v>
      </c>
      <c r="E437">
        <f ca="1">IF($C437=1,OFFSET(E437,-1,0)+MAX(1,COUNTIF(QCI!$A$13:$A$24,OFFSET(ORÇAMENTO!E437,-1,0))),OFFSET(E437,-1,0))</f>
        <v>1</v>
      </c>
      <c r="F437">
        <f t="shared" ca="1" si="188"/>
        <v>14</v>
      </c>
      <c r="G437">
        <f t="shared" ca="1" si="189"/>
        <v>3</v>
      </c>
      <c r="H437">
        <f t="shared" ca="1" si="190"/>
        <v>0</v>
      </c>
      <c r="I437">
        <f t="shared" ca="1" si="191"/>
        <v>0</v>
      </c>
      <c r="J437">
        <f t="shared" ca="1" si="207"/>
        <v>0</v>
      </c>
      <c r="K437">
        <f ca="1">IF(OR($C437="S",$C437=0),0,MATCH(OFFSET($D437,0,$C437)+IF($C437&lt;&gt;1,1,COUNTIF(QCI!$A$13:$A$24,ORÇAMENTO!E437)),OFFSET($D437,1,$C437,ROW($C$710)-ROW($C437)),0))</f>
        <v>0</v>
      </c>
      <c r="L437" s="143" t="str">
        <f t="shared" ca="1" si="192"/>
        <v/>
      </c>
      <c r="M437" s="144" t="s">
        <v>201</v>
      </c>
      <c r="N437" s="145" t="str">
        <f t="shared" ca="1" si="193"/>
        <v>Serviço</v>
      </c>
      <c r="O437" s="146" t="str">
        <f t="shared" ca="1" si="194"/>
        <v>-</v>
      </c>
      <c r="P437" s="147" t="s">
        <v>249</v>
      </c>
      <c r="Q437" s="148">
        <v>89753</v>
      </c>
      <c r="R437" s="149" t="str">
        <f t="shared" ca="1" si="208"/>
        <v>(abra o arquivo 'Referência 05-2024.xls)</v>
      </c>
      <c r="S437" s="150" t="str">
        <f t="shared" ca="1" si="209"/>
        <v>-</v>
      </c>
      <c r="T437" s="151">
        <f ca="1">OFFSET(CÁLCULO!H$15,ROW($T437)-ROW(T$15),0)</f>
        <v>1</v>
      </c>
      <c r="U437" s="152">
        <f t="shared" ca="1" si="206"/>
        <v>0</v>
      </c>
      <c r="V437" s="153" t="s">
        <v>158</v>
      </c>
      <c r="W437" s="151">
        <f t="shared" ca="1" si="195"/>
        <v>0</v>
      </c>
      <c r="X437" s="154">
        <f t="shared" ca="1" si="196"/>
        <v>0</v>
      </c>
      <c r="Y437" s="155" t="s">
        <v>583</v>
      </c>
      <c r="Z437" t="str">
        <f t="shared" ca="1" si="197"/>
        <v/>
      </c>
      <c r="AA437" s="156">
        <f ca="1">IF($C437="S",IF($Z437="CP",$X437,IF($Z437="RA",(($X437)*QCI!$AA$3),0)),SomaAgrup)</f>
        <v>0</v>
      </c>
      <c r="AB437" s="157">
        <f t="shared" ca="1" si="198"/>
        <v>0</v>
      </c>
      <c r="AC437" s="158" t="str">
        <f t="shared" ca="1" si="199"/>
        <v/>
      </c>
      <c r="AD437" s="104" t="str">
        <f ca="1">IF(C437&lt;=CRONO.NivelExibicao,MAX($AD$15:OFFSET(AD437,-1,0))+IF($C437&lt;&gt;1,1,MAX(1,COUNTIF(QCI!$A$13:$A$24,OFFSET($E437,-1,0)))),"")</f>
        <v/>
      </c>
      <c r="AE437" s="114" t="str">
        <f t="shared" ca="1" si="200"/>
        <v>SINAPI 89753</v>
      </c>
      <c r="AF437" s="159" t="str">
        <f t="shared" ca="1" si="201"/>
        <v>(abra o arquivo 'Referência 05-2024.xls)</v>
      </c>
      <c r="AG437" s="579">
        <f t="shared" ca="1" si="202"/>
        <v>0</v>
      </c>
      <c r="AH437" s="580">
        <f t="shared" ca="1" si="203"/>
        <v>0.22470000000000001</v>
      </c>
      <c r="AJ437" s="582">
        <v>1</v>
      </c>
      <c r="AL437" s="612"/>
      <c r="AM437" s="430">
        <f t="shared" ca="1" si="204"/>
        <v>0</v>
      </c>
      <c r="AN437" s="655">
        <f t="shared" ca="1" si="205"/>
        <v>0</v>
      </c>
    </row>
    <row r="438" spans="1:40" ht="13.8" x14ac:dyDescent="0.3">
      <c r="A438" t="str">
        <f t="shared" si="184"/>
        <v>S</v>
      </c>
      <c r="B438">
        <f t="shared" ca="1" si="185"/>
        <v>3</v>
      </c>
      <c r="C438" t="str">
        <f t="shared" ca="1" si="186"/>
        <v>S</v>
      </c>
      <c r="D438">
        <f t="shared" ca="1" si="187"/>
        <v>0</v>
      </c>
      <c r="E438">
        <f ca="1">IF($C438=1,OFFSET(E438,-1,0)+MAX(1,COUNTIF(QCI!$A$13:$A$24,OFFSET(ORÇAMENTO!E438,-1,0))),OFFSET(E438,-1,0))</f>
        <v>1</v>
      </c>
      <c r="F438">
        <f t="shared" ca="1" si="188"/>
        <v>14</v>
      </c>
      <c r="G438">
        <f t="shared" ca="1" si="189"/>
        <v>3</v>
      </c>
      <c r="H438">
        <f t="shared" ca="1" si="190"/>
        <v>0</v>
      </c>
      <c r="I438">
        <f t="shared" ca="1" si="191"/>
        <v>0</v>
      </c>
      <c r="J438">
        <f t="shared" ca="1" si="207"/>
        <v>0</v>
      </c>
      <c r="K438">
        <f ca="1">IF(OR($C438="S",$C438=0),0,MATCH(OFFSET($D438,0,$C438)+IF($C438&lt;&gt;1,1,COUNTIF(QCI!$A$13:$A$24,ORÇAMENTO!E438)),OFFSET($D438,1,$C438,ROW($C$710)-ROW($C438)),0))</f>
        <v>0</v>
      </c>
      <c r="L438" s="143" t="str">
        <f t="shared" ca="1" si="192"/>
        <v/>
      </c>
      <c r="M438" s="144" t="s">
        <v>201</v>
      </c>
      <c r="N438" s="145" t="str">
        <f t="shared" ca="1" si="193"/>
        <v>Serviço</v>
      </c>
      <c r="O438" s="146" t="str">
        <f t="shared" ca="1" si="194"/>
        <v>-</v>
      </c>
      <c r="P438" s="147" t="s">
        <v>249</v>
      </c>
      <c r="Q438" s="148">
        <v>89549</v>
      </c>
      <c r="R438" s="149" t="str">
        <f t="shared" ca="1" si="208"/>
        <v>(abra o arquivo 'Referência 05-2024.xls)</v>
      </c>
      <c r="S438" s="150" t="str">
        <f t="shared" ca="1" si="209"/>
        <v>-</v>
      </c>
      <c r="T438" s="151">
        <f ca="1">OFFSET(CÁLCULO!H$15,ROW($T438)-ROW(T$15),0)</f>
        <v>6</v>
      </c>
      <c r="U438" s="152">
        <f t="shared" ca="1" si="206"/>
        <v>0</v>
      </c>
      <c r="V438" s="153" t="s">
        <v>158</v>
      </c>
      <c r="W438" s="151">
        <f t="shared" ca="1" si="195"/>
        <v>0</v>
      </c>
      <c r="X438" s="154">
        <f t="shared" ca="1" si="196"/>
        <v>0</v>
      </c>
      <c r="Y438" s="155" t="s">
        <v>583</v>
      </c>
      <c r="Z438" t="str">
        <f t="shared" ca="1" si="197"/>
        <v/>
      </c>
      <c r="AA438" s="156">
        <f ca="1">IF($C438="S",IF($Z438="CP",$X438,IF($Z438="RA",(($X438)*QCI!$AA$3),0)),SomaAgrup)</f>
        <v>0</v>
      </c>
      <c r="AB438" s="157">
        <f t="shared" ca="1" si="198"/>
        <v>0</v>
      </c>
      <c r="AC438" s="158" t="str">
        <f t="shared" ca="1" si="199"/>
        <v/>
      </c>
      <c r="AD438" s="104" t="str">
        <f ca="1">IF(C438&lt;=CRONO.NivelExibicao,MAX($AD$15:OFFSET(AD438,-1,0))+IF($C438&lt;&gt;1,1,MAX(1,COUNTIF(QCI!$A$13:$A$24,OFFSET($E438,-1,0)))),"")</f>
        <v/>
      </c>
      <c r="AE438" s="114" t="str">
        <f t="shared" ca="1" si="200"/>
        <v>SINAPI 89549</v>
      </c>
      <c r="AF438" s="159" t="str">
        <f t="shared" ca="1" si="201"/>
        <v>(abra o arquivo 'Referência 05-2024.xls)</v>
      </c>
      <c r="AG438" s="579">
        <f t="shared" ca="1" si="202"/>
        <v>0</v>
      </c>
      <c r="AH438" s="580">
        <f t="shared" ca="1" si="203"/>
        <v>0.22470000000000001</v>
      </c>
      <c r="AJ438" s="582">
        <v>6</v>
      </c>
      <c r="AL438" s="612"/>
      <c r="AM438" s="430">
        <f t="shared" ca="1" si="204"/>
        <v>0</v>
      </c>
      <c r="AN438" s="655">
        <f t="shared" ca="1" si="205"/>
        <v>0</v>
      </c>
    </row>
    <row r="439" spans="1:40" ht="13.8" x14ac:dyDescent="0.3">
      <c r="A439" t="str">
        <f t="shared" si="184"/>
        <v>S</v>
      </c>
      <c r="B439">
        <f t="shared" ca="1" si="185"/>
        <v>3</v>
      </c>
      <c r="C439" t="str">
        <f t="shared" ca="1" si="186"/>
        <v>S</v>
      </c>
      <c r="D439">
        <f t="shared" ca="1" si="187"/>
        <v>0</v>
      </c>
      <c r="E439">
        <f ca="1">IF($C439=1,OFFSET(E439,-1,0)+MAX(1,COUNTIF(QCI!$A$13:$A$24,OFFSET(ORÇAMENTO!E439,-1,0))),OFFSET(E439,-1,0))</f>
        <v>1</v>
      </c>
      <c r="F439">
        <f t="shared" ca="1" si="188"/>
        <v>14</v>
      </c>
      <c r="G439">
        <f t="shared" ca="1" si="189"/>
        <v>3</v>
      </c>
      <c r="H439">
        <f t="shared" ca="1" si="190"/>
        <v>0</v>
      </c>
      <c r="I439">
        <f t="shared" ca="1" si="191"/>
        <v>0</v>
      </c>
      <c r="J439">
        <f t="shared" ca="1" si="207"/>
        <v>0</v>
      </c>
      <c r="K439">
        <f ca="1">IF(OR($C439="S",$C439=0),0,MATCH(OFFSET($D439,0,$C439)+IF($C439&lt;&gt;1,1,COUNTIF(QCI!$A$13:$A$24,ORÇAMENTO!E439)),OFFSET($D439,1,$C439,ROW($C$710)-ROW($C439)),0))</f>
        <v>0</v>
      </c>
      <c r="L439" s="143" t="str">
        <f t="shared" ca="1" si="192"/>
        <v/>
      </c>
      <c r="M439" s="144" t="s">
        <v>201</v>
      </c>
      <c r="N439" s="145" t="str">
        <f t="shared" ca="1" si="193"/>
        <v>Serviço</v>
      </c>
      <c r="O439" s="146" t="str">
        <f t="shared" ca="1" si="194"/>
        <v>-</v>
      </c>
      <c r="P439" s="147" t="s">
        <v>249</v>
      </c>
      <c r="Q439" s="148">
        <v>104348</v>
      </c>
      <c r="R439" s="149" t="str">
        <f t="shared" ca="1" si="208"/>
        <v>(abra o arquivo 'Referência 05-2024.xls)</v>
      </c>
      <c r="S439" s="150" t="str">
        <f t="shared" ca="1" si="209"/>
        <v>-</v>
      </c>
      <c r="T439" s="151">
        <f ca="1">OFFSET(CÁLCULO!H$15,ROW($T439)-ROW(T$15),0)</f>
        <v>4</v>
      </c>
      <c r="U439" s="152">
        <f t="shared" ca="1" si="206"/>
        <v>0</v>
      </c>
      <c r="V439" s="153" t="s">
        <v>158</v>
      </c>
      <c r="W439" s="151">
        <f t="shared" ca="1" si="195"/>
        <v>0</v>
      </c>
      <c r="X439" s="154">
        <f t="shared" ca="1" si="196"/>
        <v>0</v>
      </c>
      <c r="Y439" s="155" t="s">
        <v>583</v>
      </c>
      <c r="Z439" t="str">
        <f t="shared" ca="1" si="197"/>
        <v/>
      </c>
      <c r="AA439" s="156">
        <f ca="1">IF($C439="S",IF($Z439="CP",$X439,IF($Z439="RA",(($X439)*QCI!$AA$3),0)),SomaAgrup)</f>
        <v>0</v>
      </c>
      <c r="AB439" s="157">
        <f t="shared" ca="1" si="198"/>
        <v>0</v>
      </c>
      <c r="AC439" s="158" t="str">
        <f t="shared" ca="1" si="199"/>
        <v/>
      </c>
      <c r="AD439" s="104" t="str">
        <f ca="1">IF(C439&lt;=CRONO.NivelExibicao,MAX($AD$15:OFFSET(AD439,-1,0))+IF($C439&lt;&gt;1,1,MAX(1,COUNTIF(QCI!$A$13:$A$24,OFFSET($E439,-1,0)))),"")</f>
        <v/>
      </c>
      <c r="AE439" s="114" t="str">
        <f t="shared" ca="1" si="200"/>
        <v>SINAPI 104348</v>
      </c>
      <c r="AF439" s="159" t="str">
        <f t="shared" ca="1" si="201"/>
        <v>(abra o arquivo 'Referência 05-2024.xls)</v>
      </c>
      <c r="AG439" s="579">
        <f t="shared" ca="1" si="202"/>
        <v>0</v>
      </c>
      <c r="AH439" s="580">
        <f t="shared" ca="1" si="203"/>
        <v>0.22470000000000001</v>
      </c>
      <c r="AJ439" s="582">
        <v>4</v>
      </c>
      <c r="AL439" s="612"/>
      <c r="AM439" s="430">
        <f t="shared" ca="1" si="204"/>
        <v>0</v>
      </c>
      <c r="AN439" s="655">
        <f t="shared" ca="1" si="205"/>
        <v>0</v>
      </c>
    </row>
    <row r="440" spans="1:40" ht="13.8" x14ac:dyDescent="0.3">
      <c r="A440" t="str">
        <f t="shared" si="184"/>
        <v>S</v>
      </c>
      <c r="B440">
        <f t="shared" ca="1" si="185"/>
        <v>3</v>
      </c>
      <c r="C440" t="str">
        <f t="shared" ca="1" si="186"/>
        <v>S</v>
      </c>
      <c r="D440">
        <f t="shared" ca="1" si="187"/>
        <v>0</v>
      </c>
      <c r="E440">
        <f ca="1">IF($C440=1,OFFSET(E440,-1,0)+MAX(1,COUNTIF(QCI!$A$13:$A$24,OFFSET(ORÇAMENTO!E440,-1,0))),OFFSET(E440,-1,0))</f>
        <v>1</v>
      </c>
      <c r="F440">
        <f t="shared" ca="1" si="188"/>
        <v>14</v>
      </c>
      <c r="G440">
        <f t="shared" ca="1" si="189"/>
        <v>3</v>
      </c>
      <c r="H440">
        <f t="shared" ca="1" si="190"/>
        <v>0</v>
      </c>
      <c r="I440">
        <f t="shared" ca="1" si="191"/>
        <v>0</v>
      </c>
      <c r="J440">
        <f t="shared" ca="1" si="207"/>
        <v>0</v>
      </c>
      <c r="K440">
        <f ca="1">IF(OR($C440="S",$C440=0),0,MATCH(OFFSET($D440,0,$C440)+IF($C440&lt;&gt;1,1,COUNTIF(QCI!$A$13:$A$24,ORÇAMENTO!E440)),OFFSET($D440,1,$C440,ROW($C$710)-ROW($C440)),0))</f>
        <v>0</v>
      </c>
      <c r="L440" s="143" t="str">
        <f t="shared" ca="1" si="192"/>
        <v/>
      </c>
      <c r="M440" s="144" t="s">
        <v>201</v>
      </c>
      <c r="N440" s="145" t="str">
        <f t="shared" ca="1" si="193"/>
        <v>Serviço</v>
      </c>
      <c r="O440" s="146" t="str">
        <f t="shared" ca="1" si="194"/>
        <v>-</v>
      </c>
      <c r="P440" s="147" t="s">
        <v>249</v>
      </c>
      <c r="Q440" s="148">
        <v>104351</v>
      </c>
      <c r="R440" s="149" t="str">
        <f t="shared" ca="1" si="208"/>
        <v>(abra o arquivo 'Referência 05-2024.xls)</v>
      </c>
      <c r="S440" s="150" t="str">
        <f t="shared" ca="1" si="209"/>
        <v>-</v>
      </c>
      <c r="T440" s="151">
        <f ca="1">OFFSET(CÁLCULO!H$15,ROW($T440)-ROW(T$15),0)</f>
        <v>4</v>
      </c>
      <c r="U440" s="152">
        <f t="shared" ca="1" si="206"/>
        <v>0</v>
      </c>
      <c r="V440" s="153" t="s">
        <v>158</v>
      </c>
      <c r="W440" s="151">
        <f t="shared" ca="1" si="195"/>
        <v>0</v>
      </c>
      <c r="X440" s="154">
        <f t="shared" ca="1" si="196"/>
        <v>0</v>
      </c>
      <c r="Y440" s="155" t="s">
        <v>583</v>
      </c>
      <c r="Z440" t="str">
        <f t="shared" ca="1" si="197"/>
        <v/>
      </c>
      <c r="AA440" s="156">
        <f ca="1">IF($C440="S",IF($Z440="CP",$X440,IF($Z440="RA",(($X440)*QCI!$AA$3),0)),SomaAgrup)</f>
        <v>0</v>
      </c>
      <c r="AB440" s="157">
        <f t="shared" ca="1" si="198"/>
        <v>0</v>
      </c>
      <c r="AC440" s="158" t="str">
        <f t="shared" ca="1" si="199"/>
        <v/>
      </c>
      <c r="AD440" s="104" t="str">
        <f ca="1">IF(C440&lt;=CRONO.NivelExibicao,MAX($AD$15:OFFSET(AD440,-1,0))+IF($C440&lt;&gt;1,1,MAX(1,COUNTIF(QCI!$A$13:$A$24,OFFSET($E440,-1,0)))),"")</f>
        <v/>
      </c>
      <c r="AE440" s="114" t="str">
        <f t="shared" ca="1" si="200"/>
        <v>SINAPI 104351</v>
      </c>
      <c r="AF440" s="159" t="str">
        <f t="shared" ca="1" si="201"/>
        <v>(abra o arquivo 'Referência 05-2024.xls)</v>
      </c>
      <c r="AG440" s="579">
        <f t="shared" ca="1" si="202"/>
        <v>0</v>
      </c>
      <c r="AH440" s="580">
        <f t="shared" ca="1" si="203"/>
        <v>0.22470000000000001</v>
      </c>
      <c r="AJ440" s="582">
        <v>4</v>
      </c>
      <c r="AL440" s="612"/>
      <c r="AM440" s="430">
        <f t="shared" ca="1" si="204"/>
        <v>0</v>
      </c>
      <c r="AN440" s="655">
        <f t="shared" ca="1" si="205"/>
        <v>0</v>
      </c>
    </row>
    <row r="441" spans="1:40" ht="13.8" x14ac:dyDescent="0.3">
      <c r="A441" t="str">
        <f t="shared" si="184"/>
        <v>S</v>
      </c>
      <c r="B441">
        <f t="shared" ca="1" si="185"/>
        <v>3</v>
      </c>
      <c r="C441" t="str">
        <f t="shared" ca="1" si="186"/>
        <v>S</v>
      </c>
      <c r="D441">
        <f t="shared" ca="1" si="187"/>
        <v>0</v>
      </c>
      <c r="E441">
        <f ca="1">IF($C441=1,OFFSET(E441,-1,0)+MAX(1,COUNTIF(QCI!$A$13:$A$24,OFFSET(ORÇAMENTO!E441,-1,0))),OFFSET(E441,-1,0))</f>
        <v>1</v>
      </c>
      <c r="F441">
        <f t="shared" ca="1" si="188"/>
        <v>14</v>
      </c>
      <c r="G441">
        <f t="shared" ca="1" si="189"/>
        <v>3</v>
      </c>
      <c r="H441">
        <f t="shared" ca="1" si="190"/>
        <v>0</v>
      </c>
      <c r="I441">
        <f t="shared" ca="1" si="191"/>
        <v>0</v>
      </c>
      <c r="J441">
        <f t="shared" ca="1" si="207"/>
        <v>0</v>
      </c>
      <c r="K441">
        <f ca="1">IF(OR($C441="S",$C441=0),0,MATCH(OFFSET($D441,0,$C441)+IF($C441&lt;&gt;1,1,COUNTIF(QCI!$A$13:$A$24,ORÇAMENTO!E441)),OFFSET($D441,1,$C441,ROW($C$710)-ROW($C441)),0))</f>
        <v>0</v>
      </c>
      <c r="L441" s="143" t="str">
        <f t="shared" ca="1" si="192"/>
        <v/>
      </c>
      <c r="M441" s="144" t="s">
        <v>201</v>
      </c>
      <c r="N441" s="145" t="str">
        <f t="shared" ca="1" si="193"/>
        <v>Serviço</v>
      </c>
      <c r="O441" s="146" t="str">
        <f t="shared" ca="1" si="194"/>
        <v>-</v>
      </c>
      <c r="P441" s="147" t="s">
        <v>249</v>
      </c>
      <c r="Q441" s="148">
        <v>89696</v>
      </c>
      <c r="R441" s="149" t="str">
        <f t="shared" ca="1" si="208"/>
        <v>(abra o arquivo 'Referência 05-2024.xls)</v>
      </c>
      <c r="S441" s="150" t="str">
        <f t="shared" ca="1" si="209"/>
        <v>-</v>
      </c>
      <c r="T441" s="151">
        <f ca="1">OFFSET(CÁLCULO!H$15,ROW($T441)-ROW(T$15),0)</f>
        <v>6</v>
      </c>
      <c r="U441" s="152">
        <f t="shared" ca="1" si="206"/>
        <v>0</v>
      </c>
      <c r="V441" s="153" t="s">
        <v>158</v>
      </c>
      <c r="W441" s="151">
        <f t="shared" ca="1" si="195"/>
        <v>0</v>
      </c>
      <c r="X441" s="154">
        <f t="shared" ca="1" si="196"/>
        <v>0</v>
      </c>
      <c r="Y441" s="155" t="s">
        <v>583</v>
      </c>
      <c r="Z441" t="str">
        <f t="shared" ca="1" si="197"/>
        <v/>
      </c>
      <c r="AA441" s="156">
        <f ca="1">IF($C441="S",IF($Z441="CP",$X441,IF($Z441="RA",(($X441)*QCI!$AA$3),0)),SomaAgrup)</f>
        <v>0</v>
      </c>
      <c r="AB441" s="157">
        <f t="shared" ca="1" si="198"/>
        <v>0</v>
      </c>
      <c r="AC441" s="158" t="str">
        <f t="shared" ca="1" si="199"/>
        <v/>
      </c>
      <c r="AD441" s="104" t="str">
        <f ca="1">IF(C441&lt;=CRONO.NivelExibicao,MAX($AD$15:OFFSET(AD441,-1,0))+IF($C441&lt;&gt;1,1,MAX(1,COUNTIF(QCI!$A$13:$A$24,OFFSET($E441,-1,0)))),"")</f>
        <v/>
      </c>
      <c r="AE441" s="114" t="str">
        <f t="shared" ca="1" si="200"/>
        <v>SINAPI 89696</v>
      </c>
      <c r="AF441" s="159" t="str">
        <f t="shared" ca="1" si="201"/>
        <v>(abra o arquivo 'Referência 05-2024.xls)</v>
      </c>
      <c r="AG441" s="579">
        <f t="shared" ca="1" si="202"/>
        <v>0</v>
      </c>
      <c r="AH441" s="580">
        <f t="shared" ca="1" si="203"/>
        <v>0.22470000000000001</v>
      </c>
      <c r="AJ441" s="582">
        <v>6</v>
      </c>
      <c r="AL441" s="612"/>
      <c r="AM441" s="430">
        <f t="shared" ca="1" si="204"/>
        <v>0</v>
      </c>
      <c r="AN441" s="655">
        <f t="shared" ca="1" si="205"/>
        <v>0</v>
      </c>
    </row>
    <row r="442" spans="1:40" ht="13.8" x14ac:dyDescent="0.3">
      <c r="A442" t="str">
        <f t="shared" si="184"/>
        <v>S</v>
      </c>
      <c r="B442">
        <f t="shared" ca="1" si="185"/>
        <v>3</v>
      </c>
      <c r="C442" t="str">
        <f t="shared" ca="1" si="186"/>
        <v>S</v>
      </c>
      <c r="D442">
        <f t="shared" ca="1" si="187"/>
        <v>0</v>
      </c>
      <c r="E442">
        <f ca="1">IF($C442=1,OFFSET(E442,-1,0)+MAX(1,COUNTIF(QCI!$A$13:$A$24,OFFSET(ORÇAMENTO!E442,-1,0))),OFFSET(E442,-1,0))</f>
        <v>1</v>
      </c>
      <c r="F442">
        <f t="shared" ca="1" si="188"/>
        <v>14</v>
      </c>
      <c r="G442">
        <f t="shared" ca="1" si="189"/>
        <v>3</v>
      </c>
      <c r="H442">
        <f t="shared" ca="1" si="190"/>
        <v>0</v>
      </c>
      <c r="I442">
        <f t="shared" ca="1" si="191"/>
        <v>0</v>
      </c>
      <c r="J442">
        <f t="shared" ca="1" si="207"/>
        <v>0</v>
      </c>
      <c r="K442">
        <f ca="1">IF(OR($C442="S",$C442=0),0,MATCH(OFFSET($D442,0,$C442)+IF($C442&lt;&gt;1,1,COUNTIF(QCI!$A$13:$A$24,ORÇAMENTO!E442)),OFFSET($D442,1,$C442,ROW($C$710)-ROW($C442)),0))</f>
        <v>0</v>
      </c>
      <c r="L442" s="143" t="str">
        <f t="shared" ca="1" si="192"/>
        <v/>
      </c>
      <c r="M442" s="144" t="s">
        <v>201</v>
      </c>
      <c r="N442" s="145" t="str">
        <f t="shared" ca="1" si="193"/>
        <v>Serviço</v>
      </c>
      <c r="O442" s="146" t="str">
        <f t="shared" ca="1" si="194"/>
        <v>-</v>
      </c>
      <c r="P442" s="147" t="s">
        <v>249</v>
      </c>
      <c r="Q442" s="148">
        <v>89696</v>
      </c>
      <c r="R442" s="149" t="str">
        <f t="shared" ca="1" si="208"/>
        <v>(abra o arquivo 'Referência 05-2024.xls)</v>
      </c>
      <c r="S442" s="150" t="str">
        <f t="shared" ca="1" si="209"/>
        <v>-</v>
      </c>
      <c r="T442" s="151">
        <f ca="1">OFFSET(CÁLCULO!H$15,ROW($T442)-ROW(T$15),0)</f>
        <v>2</v>
      </c>
      <c r="U442" s="152">
        <f t="shared" ca="1" si="206"/>
        <v>0</v>
      </c>
      <c r="V442" s="153" t="s">
        <v>158</v>
      </c>
      <c r="W442" s="151">
        <f t="shared" ca="1" si="195"/>
        <v>0</v>
      </c>
      <c r="X442" s="154">
        <f t="shared" ca="1" si="196"/>
        <v>0</v>
      </c>
      <c r="Y442" s="155" t="s">
        <v>583</v>
      </c>
      <c r="Z442" t="str">
        <f t="shared" ca="1" si="197"/>
        <v/>
      </c>
      <c r="AA442" s="156">
        <f ca="1">IF($C442="S",IF($Z442="CP",$X442,IF($Z442="RA",(($X442)*QCI!$AA$3),0)),SomaAgrup)</f>
        <v>0</v>
      </c>
      <c r="AB442" s="157">
        <f t="shared" ca="1" si="198"/>
        <v>0</v>
      </c>
      <c r="AC442" s="158" t="str">
        <f t="shared" ca="1" si="199"/>
        <v/>
      </c>
      <c r="AD442" s="104" t="str">
        <f ca="1">IF(C442&lt;=CRONO.NivelExibicao,MAX($AD$15:OFFSET(AD442,-1,0))+IF($C442&lt;&gt;1,1,MAX(1,COUNTIF(QCI!$A$13:$A$24,OFFSET($E442,-1,0)))),"")</f>
        <v/>
      </c>
      <c r="AE442" s="114" t="str">
        <f t="shared" ca="1" si="200"/>
        <v>SINAPI 89696</v>
      </c>
      <c r="AF442" s="159" t="str">
        <f t="shared" ca="1" si="201"/>
        <v>(abra o arquivo 'Referência 05-2024.xls)</v>
      </c>
      <c r="AG442" s="579">
        <f t="shared" ca="1" si="202"/>
        <v>0</v>
      </c>
      <c r="AH442" s="580">
        <f t="shared" ca="1" si="203"/>
        <v>0.22470000000000001</v>
      </c>
      <c r="AJ442" s="582">
        <v>2</v>
      </c>
      <c r="AL442" s="612"/>
      <c r="AM442" s="430">
        <f t="shared" ca="1" si="204"/>
        <v>0</v>
      </c>
      <c r="AN442" s="655">
        <f t="shared" ca="1" si="205"/>
        <v>0</v>
      </c>
    </row>
    <row r="443" spans="1:40" ht="13.8" x14ac:dyDescent="0.3">
      <c r="A443" t="str">
        <f t="shared" si="184"/>
        <v>S</v>
      </c>
      <c r="B443">
        <f t="shared" ca="1" si="185"/>
        <v>3</v>
      </c>
      <c r="C443" t="str">
        <f t="shared" ca="1" si="186"/>
        <v>S</v>
      </c>
      <c r="D443">
        <f t="shared" ca="1" si="187"/>
        <v>0</v>
      </c>
      <c r="E443">
        <f ca="1">IF($C443=1,OFFSET(E443,-1,0)+MAX(1,COUNTIF(QCI!$A$13:$A$24,OFFSET(ORÇAMENTO!E443,-1,0))),OFFSET(E443,-1,0))</f>
        <v>1</v>
      </c>
      <c r="F443">
        <f t="shared" ca="1" si="188"/>
        <v>14</v>
      </c>
      <c r="G443">
        <f t="shared" ca="1" si="189"/>
        <v>3</v>
      </c>
      <c r="H443">
        <f t="shared" ca="1" si="190"/>
        <v>0</v>
      </c>
      <c r="I443">
        <f t="shared" ca="1" si="191"/>
        <v>0</v>
      </c>
      <c r="J443">
        <f t="shared" ca="1" si="207"/>
        <v>0</v>
      </c>
      <c r="K443">
        <f ca="1">IF(OR($C443="S",$C443=0),0,MATCH(OFFSET($D443,0,$C443)+IF($C443&lt;&gt;1,1,COUNTIF(QCI!$A$13:$A$24,ORÇAMENTO!E443)),OFFSET($D443,1,$C443,ROW($C$710)-ROW($C443)),0))</f>
        <v>0</v>
      </c>
      <c r="L443" s="143" t="str">
        <f t="shared" ca="1" si="192"/>
        <v/>
      </c>
      <c r="M443" s="144" t="s">
        <v>201</v>
      </c>
      <c r="N443" s="145" t="str">
        <f t="shared" ca="1" si="193"/>
        <v>Serviço</v>
      </c>
      <c r="O443" s="146" t="str">
        <f t="shared" ca="1" si="194"/>
        <v>-</v>
      </c>
      <c r="P443" s="147" t="s">
        <v>249</v>
      </c>
      <c r="Q443" s="148">
        <v>89784</v>
      </c>
      <c r="R443" s="149" t="str">
        <f t="shared" ca="1" si="208"/>
        <v>(abra o arquivo 'Referência 05-2024.xls)</v>
      </c>
      <c r="S443" s="150" t="str">
        <f t="shared" ca="1" si="209"/>
        <v>-</v>
      </c>
      <c r="T443" s="151">
        <f ca="1">OFFSET(CÁLCULO!H$15,ROW($T443)-ROW(T$15),0)</f>
        <v>57</v>
      </c>
      <c r="U443" s="152">
        <f t="shared" ca="1" si="206"/>
        <v>0</v>
      </c>
      <c r="V443" s="153" t="s">
        <v>158</v>
      </c>
      <c r="W443" s="151">
        <f t="shared" ca="1" si="195"/>
        <v>0</v>
      </c>
      <c r="X443" s="154">
        <f t="shared" ca="1" si="196"/>
        <v>0</v>
      </c>
      <c r="Y443" s="155" t="s">
        <v>583</v>
      </c>
      <c r="Z443" t="str">
        <f t="shared" ca="1" si="197"/>
        <v/>
      </c>
      <c r="AA443" s="156">
        <f ca="1">IF($C443="S",IF($Z443="CP",$X443,IF($Z443="RA",(($X443)*QCI!$AA$3),0)),SomaAgrup)</f>
        <v>0</v>
      </c>
      <c r="AB443" s="157">
        <f t="shared" ca="1" si="198"/>
        <v>0</v>
      </c>
      <c r="AC443" s="158" t="str">
        <f t="shared" ca="1" si="199"/>
        <v/>
      </c>
      <c r="AD443" s="104" t="str">
        <f ca="1">IF(C443&lt;=CRONO.NivelExibicao,MAX($AD$15:OFFSET(AD443,-1,0))+IF($C443&lt;&gt;1,1,MAX(1,COUNTIF(QCI!$A$13:$A$24,OFFSET($E443,-1,0)))),"")</f>
        <v/>
      </c>
      <c r="AE443" s="114" t="str">
        <f t="shared" ca="1" si="200"/>
        <v>SINAPI 89784</v>
      </c>
      <c r="AF443" s="159" t="str">
        <f t="shared" ca="1" si="201"/>
        <v>(abra o arquivo 'Referência 05-2024.xls)</v>
      </c>
      <c r="AG443" s="579">
        <f t="shared" ca="1" si="202"/>
        <v>0</v>
      </c>
      <c r="AH443" s="580">
        <f t="shared" ca="1" si="203"/>
        <v>0.22470000000000001</v>
      </c>
      <c r="AJ443" s="582">
        <v>57</v>
      </c>
      <c r="AL443" s="612"/>
      <c r="AM443" s="430">
        <f t="shared" ca="1" si="204"/>
        <v>0</v>
      </c>
      <c r="AN443" s="655">
        <f t="shared" ca="1" si="205"/>
        <v>0</v>
      </c>
    </row>
    <row r="444" spans="1:40" ht="13.8" x14ac:dyDescent="0.3">
      <c r="A444" t="str">
        <f t="shared" si="184"/>
        <v>S</v>
      </c>
      <c r="B444">
        <f t="shared" ca="1" si="185"/>
        <v>3</v>
      </c>
      <c r="C444" t="str">
        <f t="shared" ca="1" si="186"/>
        <v>S</v>
      </c>
      <c r="D444">
        <f t="shared" ca="1" si="187"/>
        <v>0</v>
      </c>
      <c r="E444">
        <f ca="1">IF($C444=1,OFFSET(E444,-1,0)+MAX(1,COUNTIF(QCI!$A$13:$A$24,OFFSET(ORÇAMENTO!E444,-1,0))),OFFSET(E444,-1,0))</f>
        <v>1</v>
      </c>
      <c r="F444">
        <f t="shared" ca="1" si="188"/>
        <v>14</v>
      </c>
      <c r="G444">
        <f t="shared" ca="1" si="189"/>
        <v>3</v>
      </c>
      <c r="H444">
        <f t="shared" ca="1" si="190"/>
        <v>0</v>
      </c>
      <c r="I444">
        <f t="shared" ca="1" si="191"/>
        <v>0</v>
      </c>
      <c r="J444">
        <f t="shared" ca="1" si="207"/>
        <v>0</v>
      </c>
      <c r="K444">
        <f ca="1">IF(OR($C444="S",$C444=0),0,MATCH(OFFSET($D444,0,$C444)+IF($C444&lt;&gt;1,1,COUNTIF(QCI!$A$13:$A$24,ORÇAMENTO!E444)),OFFSET($D444,1,$C444,ROW($C$710)-ROW($C444)),0))</f>
        <v>0</v>
      </c>
      <c r="L444" s="143" t="str">
        <f t="shared" ca="1" si="192"/>
        <v/>
      </c>
      <c r="M444" s="144" t="s">
        <v>201</v>
      </c>
      <c r="N444" s="145" t="str">
        <f t="shared" ca="1" si="193"/>
        <v>Serviço</v>
      </c>
      <c r="O444" s="146" t="str">
        <f t="shared" ca="1" si="194"/>
        <v>-</v>
      </c>
      <c r="P444" s="147" t="s">
        <v>249</v>
      </c>
      <c r="Q444" s="148">
        <v>89687</v>
      </c>
      <c r="R444" s="149" t="str">
        <f t="shared" ca="1" si="208"/>
        <v>(abra o arquivo 'Referência 05-2024.xls)</v>
      </c>
      <c r="S444" s="150" t="str">
        <f t="shared" ca="1" si="209"/>
        <v>-</v>
      </c>
      <c r="T444" s="151">
        <f ca="1">OFFSET(CÁLCULO!H$15,ROW($T444)-ROW(T$15),0)</f>
        <v>5</v>
      </c>
      <c r="U444" s="152">
        <f t="shared" ca="1" si="206"/>
        <v>0</v>
      </c>
      <c r="V444" s="153" t="s">
        <v>158</v>
      </c>
      <c r="W444" s="151">
        <f t="shared" ca="1" si="195"/>
        <v>0</v>
      </c>
      <c r="X444" s="154">
        <f t="shared" ca="1" si="196"/>
        <v>0</v>
      </c>
      <c r="Y444" s="155" t="s">
        <v>583</v>
      </c>
      <c r="Z444" t="str">
        <f t="shared" ca="1" si="197"/>
        <v/>
      </c>
      <c r="AA444" s="156">
        <f ca="1">IF($C444="S",IF($Z444="CP",$X444,IF($Z444="RA",(($X444)*QCI!$AA$3),0)),SomaAgrup)</f>
        <v>0</v>
      </c>
      <c r="AB444" s="157">
        <f t="shared" ca="1" si="198"/>
        <v>0</v>
      </c>
      <c r="AC444" s="158" t="str">
        <f t="shared" ca="1" si="199"/>
        <v/>
      </c>
      <c r="AD444" s="104" t="str">
        <f ca="1">IF(C444&lt;=CRONO.NivelExibicao,MAX($AD$15:OFFSET(AD444,-1,0))+IF($C444&lt;&gt;1,1,MAX(1,COUNTIF(QCI!$A$13:$A$24,OFFSET($E444,-1,0)))),"")</f>
        <v/>
      </c>
      <c r="AE444" s="114" t="str">
        <f t="shared" ca="1" si="200"/>
        <v>SINAPI 89687</v>
      </c>
      <c r="AF444" s="159" t="str">
        <f t="shared" ca="1" si="201"/>
        <v>(abra o arquivo 'Referência 05-2024.xls)</v>
      </c>
      <c r="AG444" s="579">
        <f t="shared" ca="1" si="202"/>
        <v>0</v>
      </c>
      <c r="AH444" s="580">
        <f t="shared" ca="1" si="203"/>
        <v>0.22470000000000001</v>
      </c>
      <c r="AJ444" s="582">
        <v>5</v>
      </c>
      <c r="AL444" s="612"/>
      <c r="AM444" s="430">
        <f t="shared" ca="1" si="204"/>
        <v>0</v>
      </c>
      <c r="AN444" s="655">
        <f t="shared" ca="1" si="205"/>
        <v>0</v>
      </c>
    </row>
    <row r="445" spans="1:40" ht="13.8" x14ac:dyDescent="0.3">
      <c r="A445" t="str">
        <f t="shared" si="184"/>
        <v>S</v>
      </c>
      <c r="B445">
        <f t="shared" ca="1" si="185"/>
        <v>3</v>
      </c>
      <c r="C445" t="str">
        <f t="shared" ca="1" si="186"/>
        <v>S</v>
      </c>
      <c r="D445">
        <f t="shared" ca="1" si="187"/>
        <v>0</v>
      </c>
      <c r="E445">
        <f ca="1">IF($C445=1,OFFSET(E445,-1,0)+MAX(1,COUNTIF(QCI!$A$13:$A$24,OFFSET(ORÇAMENTO!E445,-1,0))),OFFSET(E445,-1,0))</f>
        <v>1</v>
      </c>
      <c r="F445">
        <f t="shared" ca="1" si="188"/>
        <v>14</v>
      </c>
      <c r="G445">
        <f t="shared" ca="1" si="189"/>
        <v>3</v>
      </c>
      <c r="H445">
        <f t="shared" ca="1" si="190"/>
        <v>0</v>
      </c>
      <c r="I445">
        <f t="shared" ca="1" si="191"/>
        <v>0</v>
      </c>
      <c r="J445">
        <f t="shared" ca="1" si="207"/>
        <v>0</v>
      </c>
      <c r="K445">
        <f ca="1">IF(OR($C445="S",$C445=0),0,MATCH(OFFSET($D445,0,$C445)+IF($C445&lt;&gt;1,1,COUNTIF(QCI!$A$13:$A$24,ORÇAMENTO!E445)),OFFSET($D445,1,$C445,ROW($C$710)-ROW($C445)),0))</f>
        <v>0</v>
      </c>
      <c r="L445" s="143" t="str">
        <f t="shared" ca="1" si="192"/>
        <v/>
      </c>
      <c r="M445" s="144" t="s">
        <v>201</v>
      </c>
      <c r="N445" s="145" t="str">
        <f t="shared" ca="1" si="193"/>
        <v>Serviço</v>
      </c>
      <c r="O445" s="146" t="str">
        <f t="shared" ca="1" si="194"/>
        <v>-</v>
      </c>
      <c r="P445" s="147" t="s">
        <v>249</v>
      </c>
      <c r="Q445" s="148">
        <v>89687</v>
      </c>
      <c r="R445" s="149" t="str">
        <f t="shared" ca="1" si="208"/>
        <v>(abra o arquivo 'Referência 05-2024.xls)</v>
      </c>
      <c r="S445" s="150" t="str">
        <f t="shared" ca="1" si="209"/>
        <v>-</v>
      </c>
      <c r="T445" s="151">
        <f ca="1">OFFSET(CÁLCULO!H$15,ROW($T445)-ROW(T$15),0)</f>
        <v>9</v>
      </c>
      <c r="U445" s="152">
        <f t="shared" ca="1" si="206"/>
        <v>0</v>
      </c>
      <c r="V445" s="153" t="s">
        <v>158</v>
      </c>
      <c r="W445" s="151">
        <f t="shared" ca="1" si="195"/>
        <v>0</v>
      </c>
      <c r="X445" s="154">
        <f t="shared" ca="1" si="196"/>
        <v>0</v>
      </c>
      <c r="Y445" s="155" t="s">
        <v>583</v>
      </c>
      <c r="Z445" t="str">
        <f t="shared" ca="1" si="197"/>
        <v/>
      </c>
      <c r="AA445" s="156">
        <f ca="1">IF($C445="S",IF($Z445="CP",$X445,IF($Z445="RA",(($X445)*QCI!$AA$3),0)),SomaAgrup)</f>
        <v>0</v>
      </c>
      <c r="AB445" s="157">
        <f t="shared" ca="1" si="198"/>
        <v>0</v>
      </c>
      <c r="AC445" s="158" t="str">
        <f t="shared" ca="1" si="199"/>
        <v/>
      </c>
      <c r="AD445" s="104" t="str">
        <f ca="1">IF(C445&lt;=CRONO.NivelExibicao,MAX($AD$15:OFFSET(AD445,-1,0))+IF($C445&lt;&gt;1,1,MAX(1,COUNTIF(QCI!$A$13:$A$24,OFFSET($E445,-1,0)))),"")</f>
        <v/>
      </c>
      <c r="AE445" s="114" t="str">
        <f t="shared" ca="1" si="200"/>
        <v>SINAPI 89687</v>
      </c>
      <c r="AF445" s="159" t="str">
        <f t="shared" ca="1" si="201"/>
        <v>(abra o arquivo 'Referência 05-2024.xls)</v>
      </c>
      <c r="AG445" s="579">
        <f t="shared" ca="1" si="202"/>
        <v>0</v>
      </c>
      <c r="AH445" s="580">
        <f t="shared" ca="1" si="203"/>
        <v>0.22470000000000001</v>
      </c>
      <c r="AJ445" s="582">
        <v>9</v>
      </c>
      <c r="AL445" s="612"/>
      <c r="AM445" s="430">
        <f t="shared" ca="1" si="204"/>
        <v>0</v>
      </c>
      <c r="AN445" s="655">
        <f t="shared" ca="1" si="205"/>
        <v>0</v>
      </c>
    </row>
    <row r="446" spans="1:40" ht="13.8" x14ac:dyDescent="0.3">
      <c r="A446">
        <f t="shared" si="184"/>
        <v>2</v>
      </c>
      <c r="B446">
        <f t="shared" ca="1" si="185"/>
        <v>2</v>
      </c>
      <c r="C446">
        <f t="shared" ca="1" si="186"/>
        <v>2</v>
      </c>
      <c r="D446">
        <f t="shared" ca="1" si="187"/>
        <v>36</v>
      </c>
      <c r="E446">
        <f ca="1">IF($C446=1,OFFSET(E446,-1,0)+MAX(1,COUNTIF(QCI!$A$13:$A$24,OFFSET(ORÇAMENTO!E446,-1,0))),OFFSET(E446,-1,0))</f>
        <v>1</v>
      </c>
      <c r="F446">
        <f t="shared" ca="1" si="188"/>
        <v>15</v>
      </c>
      <c r="G446">
        <f t="shared" ca="1" si="189"/>
        <v>0</v>
      </c>
      <c r="H446">
        <f t="shared" ca="1" si="190"/>
        <v>0</v>
      </c>
      <c r="I446">
        <f t="shared" ca="1" si="191"/>
        <v>0</v>
      </c>
      <c r="J446">
        <f t="shared" ca="1" si="207"/>
        <v>256</v>
      </c>
      <c r="K446">
        <f ca="1">IF(OR($C446="S",$C446=0),0,MATCH(OFFSET($D446,0,$C446)+IF($C446&lt;&gt;1,1,COUNTIF(QCI!$A$13:$A$24,ORÇAMENTO!E446)),OFFSET($D446,1,$C446,ROW($C$710)-ROW($C446)),0))</f>
        <v>36</v>
      </c>
      <c r="L446" s="143" t="str">
        <f t="shared" ca="1" si="192"/>
        <v>F</v>
      </c>
      <c r="M446" s="144" t="s">
        <v>198</v>
      </c>
      <c r="N446" s="145" t="str">
        <f t="shared" ca="1" si="193"/>
        <v>Nível 2</v>
      </c>
      <c r="O446" s="146" t="str">
        <f t="shared" ca="1" si="194"/>
        <v>1.15.</v>
      </c>
      <c r="P446" s="147" t="s">
        <v>249</v>
      </c>
      <c r="Q446" s="148"/>
      <c r="R446" s="149" t="s">
        <v>537</v>
      </c>
      <c r="S446" s="150" t="s">
        <v>168</v>
      </c>
      <c r="T446" s="151">
        <f ca="1">OFFSET(CÁLCULO!H$15,ROW($T446)-ROW(T$15),0)</f>
        <v>0</v>
      </c>
      <c r="U446" s="152">
        <f t="shared" ca="1" si="206"/>
        <v>0</v>
      </c>
      <c r="V446" s="153" t="s">
        <v>158</v>
      </c>
      <c r="W446" s="151">
        <f t="shared" ca="1" si="195"/>
        <v>0</v>
      </c>
      <c r="X446" s="154">
        <f t="shared" ca="1" si="196"/>
        <v>0</v>
      </c>
      <c r="Y446" s="155" t="s">
        <v>583</v>
      </c>
      <c r="Z446" t="str">
        <f t="shared" ca="1" si="197"/>
        <v/>
      </c>
      <c r="AA446" s="156">
        <f ca="1">IF($C446="S",IF($Z446="CP",$X446,IF($Z446="RA",(($X446)*QCI!$AA$3),0)),SomaAgrup)</f>
        <v>0</v>
      </c>
      <c r="AB446" s="157">
        <f t="shared" ca="1" si="198"/>
        <v>0</v>
      </c>
      <c r="AC446" s="158" t="str">
        <f t="shared" ca="1" si="199"/>
        <v/>
      </c>
      <c r="AD446" s="104">
        <f ca="1">IF(C446&lt;=CRONO.NivelExibicao,MAX($AD$15:OFFSET(AD446,-1,0))+IF($C446&lt;&gt;1,1,MAX(1,COUNTIF(QCI!$A$13:$A$24,OFFSET($E446,-1,0)))),"")</f>
        <v>16</v>
      </c>
      <c r="AE446" s="114" t="b">
        <f t="shared" ca="1" si="200"/>
        <v>0</v>
      </c>
      <c r="AF446" s="159" t="str">
        <f t="shared" ca="1" si="201"/>
        <v>(abra o arquivo 'Referência 05-2024.xls)</v>
      </c>
      <c r="AG446" s="579">
        <f t="shared" ca="1" si="202"/>
        <v>0</v>
      </c>
      <c r="AH446" s="580">
        <f t="shared" ca="1" si="203"/>
        <v>0.22470000000000001</v>
      </c>
      <c r="AJ446" s="582"/>
      <c r="AL446" s="612"/>
      <c r="AM446" s="430">
        <f t="shared" ca="1" si="204"/>
        <v>0</v>
      </c>
      <c r="AN446" s="655">
        <f t="shared" ca="1" si="205"/>
        <v>0</v>
      </c>
    </row>
    <row r="447" spans="1:40" ht="13.8" x14ac:dyDescent="0.3">
      <c r="A447" t="str">
        <f t="shared" si="184"/>
        <v>S</v>
      </c>
      <c r="B447">
        <f t="shared" ca="1" si="185"/>
        <v>2</v>
      </c>
      <c r="C447" t="str">
        <f t="shared" ca="1" si="186"/>
        <v>S</v>
      </c>
      <c r="D447">
        <f t="shared" ca="1" si="187"/>
        <v>0</v>
      </c>
      <c r="E447">
        <f ca="1">IF($C447=1,OFFSET(E447,-1,0)+MAX(1,COUNTIF(QCI!$A$13:$A$24,OFFSET(ORÇAMENTO!E447,-1,0))),OFFSET(E447,-1,0))</f>
        <v>1</v>
      </c>
      <c r="F447">
        <f t="shared" ca="1" si="188"/>
        <v>15</v>
      </c>
      <c r="G447">
        <f t="shared" ca="1" si="189"/>
        <v>0</v>
      </c>
      <c r="H447">
        <f t="shared" ca="1" si="190"/>
        <v>0</v>
      </c>
      <c r="I447">
        <f t="shared" ca="1" si="191"/>
        <v>0</v>
      </c>
      <c r="J447">
        <f t="shared" ca="1" si="207"/>
        <v>0</v>
      </c>
      <c r="K447">
        <f ca="1">IF(OR($C447="S",$C447=0),0,MATCH(OFFSET($D447,0,$C447)+IF($C447&lt;&gt;1,1,COUNTIF(QCI!$A$13:$A$24,ORÇAMENTO!E447)),OFFSET($D447,1,$C447,ROW($C$710)-ROW($C447)),0))</f>
        <v>0</v>
      </c>
      <c r="L447" s="143" t="str">
        <f t="shared" ca="1" si="192"/>
        <v/>
      </c>
      <c r="M447" s="144" t="s">
        <v>201</v>
      </c>
      <c r="N447" s="145" t="str">
        <f t="shared" ca="1" si="193"/>
        <v>Serviço</v>
      </c>
      <c r="O447" s="146" t="str">
        <f t="shared" ca="1" si="194"/>
        <v>-</v>
      </c>
      <c r="P447" s="147" t="s">
        <v>249</v>
      </c>
      <c r="Q447" s="148">
        <v>95470</v>
      </c>
      <c r="R447" s="149" t="str">
        <f t="shared" ref="R447:R481" ca="1" si="210">IF($C447="S",REFERENCIA.Descricao,"(digite a descrição aqui)")</f>
        <v>(abra o arquivo 'Referência 05-2024.xls)</v>
      </c>
      <c r="S447" s="150" t="str">
        <f t="shared" ref="S447:S481" ca="1" si="211">REFERENCIA.Unidade</f>
        <v>-</v>
      </c>
      <c r="T447" s="151">
        <f ca="1">OFFSET(CÁLCULO!H$15,ROW($T447)-ROW(T$15),0)</f>
        <v>13</v>
      </c>
      <c r="U447" s="152">
        <f t="shared" ca="1" si="206"/>
        <v>0</v>
      </c>
      <c r="V447" s="153" t="s">
        <v>158</v>
      </c>
      <c r="W447" s="151">
        <f t="shared" ca="1" si="195"/>
        <v>0</v>
      </c>
      <c r="X447" s="154">
        <f t="shared" ca="1" si="196"/>
        <v>0</v>
      </c>
      <c r="Y447" s="155" t="s">
        <v>583</v>
      </c>
      <c r="Z447" t="str">
        <f t="shared" ca="1" si="197"/>
        <v/>
      </c>
      <c r="AA447" s="156">
        <f ca="1">IF($C447="S",IF($Z447="CP",$X447,IF($Z447="RA",(($X447)*QCI!$AA$3),0)),SomaAgrup)</f>
        <v>0</v>
      </c>
      <c r="AB447" s="157">
        <f t="shared" ca="1" si="198"/>
        <v>0</v>
      </c>
      <c r="AC447" s="158" t="str">
        <f t="shared" ca="1" si="199"/>
        <v/>
      </c>
      <c r="AD447" s="104" t="str">
        <f ca="1">IF(C447&lt;=CRONO.NivelExibicao,MAX($AD$15:OFFSET(AD447,-1,0))+IF($C447&lt;&gt;1,1,MAX(1,COUNTIF(QCI!$A$13:$A$24,OFFSET($E447,-1,0)))),"")</f>
        <v/>
      </c>
      <c r="AE447" s="114" t="str">
        <f t="shared" ca="1" si="200"/>
        <v>SINAPI 95470</v>
      </c>
      <c r="AF447" s="159" t="str">
        <f t="shared" ca="1" si="201"/>
        <v>(abra o arquivo 'Referência 05-2024.xls)</v>
      </c>
      <c r="AG447" s="579">
        <f t="shared" ca="1" si="202"/>
        <v>0</v>
      </c>
      <c r="AH447" s="580">
        <f t="shared" ca="1" si="203"/>
        <v>0.22470000000000001</v>
      </c>
      <c r="AJ447" s="582">
        <v>13</v>
      </c>
      <c r="AL447" s="612"/>
      <c r="AM447" s="430">
        <f t="shared" ca="1" si="204"/>
        <v>0</v>
      </c>
      <c r="AN447" s="655">
        <f t="shared" ca="1" si="205"/>
        <v>0</v>
      </c>
    </row>
    <row r="448" spans="1:40" ht="13.8" x14ac:dyDescent="0.3">
      <c r="A448" t="str">
        <f t="shared" si="184"/>
        <v>S</v>
      </c>
      <c r="B448">
        <f t="shared" ca="1" si="185"/>
        <v>2</v>
      </c>
      <c r="C448" t="str">
        <f t="shared" ca="1" si="186"/>
        <v>S</v>
      </c>
      <c r="D448">
        <f t="shared" ca="1" si="187"/>
        <v>0</v>
      </c>
      <c r="E448">
        <f ca="1">IF($C448=1,OFFSET(E448,-1,0)+MAX(1,COUNTIF(QCI!$A$13:$A$24,OFFSET(ORÇAMENTO!E448,-1,0))),OFFSET(E448,-1,0))</f>
        <v>1</v>
      </c>
      <c r="F448">
        <f t="shared" ca="1" si="188"/>
        <v>15</v>
      </c>
      <c r="G448">
        <f t="shared" ca="1" si="189"/>
        <v>0</v>
      </c>
      <c r="H448">
        <f t="shared" ca="1" si="190"/>
        <v>0</v>
      </c>
      <c r="I448">
        <f t="shared" ca="1" si="191"/>
        <v>0</v>
      </c>
      <c r="J448">
        <f t="shared" ca="1" si="207"/>
        <v>0</v>
      </c>
      <c r="K448">
        <f ca="1">IF(OR($C448="S",$C448=0),0,MATCH(OFFSET($D448,0,$C448)+IF($C448&lt;&gt;1,1,COUNTIF(QCI!$A$13:$A$24,ORÇAMENTO!E448)),OFFSET($D448,1,$C448,ROW($C$710)-ROW($C448)),0))</f>
        <v>0</v>
      </c>
      <c r="L448" s="143" t="str">
        <f t="shared" ca="1" si="192"/>
        <v/>
      </c>
      <c r="M448" s="144" t="s">
        <v>201</v>
      </c>
      <c r="N448" s="145" t="str">
        <f t="shared" ca="1" si="193"/>
        <v>Serviço</v>
      </c>
      <c r="O448" s="146" t="str">
        <f t="shared" ca="1" si="194"/>
        <v>-</v>
      </c>
      <c r="P448" s="147" t="s">
        <v>249</v>
      </c>
      <c r="Q448" s="148">
        <v>99635</v>
      </c>
      <c r="R448" s="149" t="str">
        <f t="shared" ca="1" si="210"/>
        <v>(abra o arquivo 'Referência 05-2024.xls)</v>
      </c>
      <c r="S448" s="150" t="str">
        <f t="shared" ca="1" si="211"/>
        <v>-</v>
      </c>
      <c r="T448" s="151">
        <f ca="1">OFFSET(CÁLCULO!H$15,ROW($T448)-ROW(T$15),0)</f>
        <v>13</v>
      </c>
      <c r="U448" s="152">
        <f t="shared" ca="1" si="206"/>
        <v>0</v>
      </c>
      <c r="V448" s="153" t="s">
        <v>158</v>
      </c>
      <c r="W448" s="151">
        <f t="shared" ca="1" si="195"/>
        <v>0</v>
      </c>
      <c r="X448" s="154">
        <f t="shared" ca="1" si="196"/>
        <v>0</v>
      </c>
      <c r="Y448" s="155" t="s">
        <v>583</v>
      </c>
      <c r="Z448" t="str">
        <f t="shared" ca="1" si="197"/>
        <v/>
      </c>
      <c r="AA448" s="156">
        <f ca="1">IF($C448="S",IF($Z448="CP",$X448,IF($Z448="RA",(($X448)*QCI!$AA$3),0)),SomaAgrup)</f>
        <v>0</v>
      </c>
      <c r="AB448" s="157">
        <f t="shared" ca="1" si="198"/>
        <v>0</v>
      </c>
      <c r="AC448" s="158" t="str">
        <f t="shared" ca="1" si="199"/>
        <v/>
      </c>
      <c r="AD448" s="104" t="str">
        <f ca="1">IF(C448&lt;=CRONO.NivelExibicao,MAX($AD$15:OFFSET(AD448,-1,0))+IF($C448&lt;&gt;1,1,MAX(1,COUNTIF(QCI!$A$13:$A$24,OFFSET($E448,-1,0)))),"")</f>
        <v/>
      </c>
      <c r="AE448" s="114" t="str">
        <f t="shared" ca="1" si="200"/>
        <v>SINAPI 99635</v>
      </c>
      <c r="AF448" s="159" t="str">
        <f t="shared" ca="1" si="201"/>
        <v>(abra o arquivo 'Referência 05-2024.xls)</v>
      </c>
      <c r="AG448" s="579">
        <f t="shared" ca="1" si="202"/>
        <v>0</v>
      </c>
      <c r="AH448" s="580">
        <f t="shared" ca="1" si="203"/>
        <v>0.22470000000000001</v>
      </c>
      <c r="AJ448" s="582">
        <v>13</v>
      </c>
      <c r="AL448" s="612"/>
      <c r="AM448" s="430">
        <f t="shared" ca="1" si="204"/>
        <v>0</v>
      </c>
      <c r="AN448" s="655">
        <f t="shared" ca="1" si="205"/>
        <v>0</v>
      </c>
    </row>
    <row r="449" spans="1:40" ht="13.8" x14ac:dyDescent="0.3">
      <c r="A449" t="str">
        <f t="shared" si="184"/>
        <v>S</v>
      </c>
      <c r="B449">
        <f t="shared" ca="1" si="185"/>
        <v>2</v>
      </c>
      <c r="C449" t="str">
        <f t="shared" ca="1" si="186"/>
        <v>S</v>
      </c>
      <c r="D449">
        <f t="shared" ca="1" si="187"/>
        <v>0</v>
      </c>
      <c r="E449">
        <f ca="1">IF($C449=1,OFFSET(E449,-1,0)+MAX(1,COUNTIF(QCI!$A$13:$A$24,OFFSET(ORÇAMENTO!E449,-1,0))),OFFSET(E449,-1,0))</f>
        <v>1</v>
      </c>
      <c r="F449">
        <f t="shared" ca="1" si="188"/>
        <v>15</v>
      </c>
      <c r="G449">
        <f t="shared" ca="1" si="189"/>
        <v>0</v>
      </c>
      <c r="H449">
        <f t="shared" ca="1" si="190"/>
        <v>0</v>
      </c>
      <c r="I449">
        <f t="shared" ca="1" si="191"/>
        <v>0</v>
      </c>
      <c r="J449">
        <f t="shared" ca="1" si="207"/>
        <v>0</v>
      </c>
      <c r="K449">
        <f ca="1">IF(OR($C449="S",$C449=0),0,MATCH(OFFSET($D449,0,$C449)+IF($C449&lt;&gt;1,1,COUNTIF(QCI!$A$13:$A$24,ORÇAMENTO!E449)),OFFSET($D449,1,$C449,ROW($C$710)-ROW($C449)),0))</f>
        <v>0</v>
      </c>
      <c r="L449" s="143" t="str">
        <f t="shared" ca="1" si="192"/>
        <v/>
      </c>
      <c r="M449" s="144" t="s">
        <v>201</v>
      </c>
      <c r="N449" s="145" t="str">
        <f t="shared" ca="1" si="193"/>
        <v>Serviço</v>
      </c>
      <c r="O449" s="146" t="str">
        <f t="shared" ca="1" si="194"/>
        <v>-</v>
      </c>
      <c r="P449" s="147" t="s">
        <v>249</v>
      </c>
      <c r="Q449" s="148">
        <v>100858</v>
      </c>
      <c r="R449" s="149" t="str">
        <f t="shared" ca="1" si="210"/>
        <v>(abra o arquivo 'Referência 05-2024.xls)</v>
      </c>
      <c r="S449" s="150" t="str">
        <f t="shared" ca="1" si="211"/>
        <v>-</v>
      </c>
      <c r="T449" s="151">
        <f ca="1">OFFSET(CÁLCULO!H$15,ROW($T449)-ROW(T$15),0)</f>
        <v>3</v>
      </c>
      <c r="U449" s="152">
        <f t="shared" ca="1" si="206"/>
        <v>0</v>
      </c>
      <c r="V449" s="153" t="s">
        <v>158</v>
      </c>
      <c r="W449" s="151">
        <f t="shared" ca="1" si="195"/>
        <v>0</v>
      </c>
      <c r="X449" s="154">
        <f t="shared" ca="1" si="196"/>
        <v>0</v>
      </c>
      <c r="Y449" s="155" t="s">
        <v>583</v>
      </c>
      <c r="Z449" t="str">
        <f t="shared" ca="1" si="197"/>
        <v/>
      </c>
      <c r="AA449" s="156">
        <f ca="1">IF($C449="S",IF($Z449="CP",$X449,IF($Z449="RA",(($X449)*QCI!$AA$3),0)),SomaAgrup)</f>
        <v>0</v>
      </c>
      <c r="AB449" s="157">
        <f t="shared" ca="1" si="198"/>
        <v>0</v>
      </c>
      <c r="AC449" s="158" t="str">
        <f t="shared" ca="1" si="199"/>
        <v/>
      </c>
      <c r="AD449" s="104" t="str">
        <f ca="1">IF(C449&lt;=CRONO.NivelExibicao,MAX($AD$15:OFFSET(AD449,-1,0))+IF($C449&lt;&gt;1,1,MAX(1,COUNTIF(QCI!$A$13:$A$24,OFFSET($E449,-1,0)))),"")</f>
        <v/>
      </c>
      <c r="AE449" s="114" t="str">
        <f t="shared" ca="1" si="200"/>
        <v>SINAPI 100858</v>
      </c>
      <c r="AF449" s="159" t="str">
        <f t="shared" ca="1" si="201"/>
        <v>(abra o arquivo 'Referência 05-2024.xls)</v>
      </c>
      <c r="AG449" s="579">
        <f t="shared" ca="1" si="202"/>
        <v>0</v>
      </c>
      <c r="AH449" s="580">
        <f t="shared" ca="1" si="203"/>
        <v>0.22470000000000001</v>
      </c>
      <c r="AJ449" s="582">
        <v>3</v>
      </c>
      <c r="AL449" s="612"/>
      <c r="AM449" s="430">
        <f t="shared" ca="1" si="204"/>
        <v>0</v>
      </c>
      <c r="AN449" s="655">
        <f t="shared" ca="1" si="205"/>
        <v>0</v>
      </c>
    </row>
    <row r="450" spans="1:40" ht="13.8" x14ac:dyDescent="0.3">
      <c r="A450" t="str">
        <f t="shared" si="184"/>
        <v>S</v>
      </c>
      <c r="B450">
        <f t="shared" ca="1" si="185"/>
        <v>2</v>
      </c>
      <c r="C450" t="str">
        <f t="shared" ca="1" si="186"/>
        <v>S</v>
      </c>
      <c r="D450">
        <f t="shared" ca="1" si="187"/>
        <v>0</v>
      </c>
      <c r="E450">
        <f ca="1">IF($C450=1,OFFSET(E450,-1,0)+MAX(1,COUNTIF(QCI!$A$13:$A$24,OFFSET(ORÇAMENTO!E450,-1,0))),OFFSET(E450,-1,0))</f>
        <v>1</v>
      </c>
      <c r="F450">
        <f t="shared" ca="1" si="188"/>
        <v>15</v>
      </c>
      <c r="G450">
        <f t="shared" ca="1" si="189"/>
        <v>0</v>
      </c>
      <c r="H450">
        <f t="shared" ca="1" si="190"/>
        <v>0</v>
      </c>
      <c r="I450">
        <f t="shared" ca="1" si="191"/>
        <v>0</v>
      </c>
      <c r="J450">
        <f t="shared" ca="1" si="207"/>
        <v>0</v>
      </c>
      <c r="K450">
        <f ca="1">IF(OR($C450="S",$C450=0),0,MATCH(OFFSET($D450,0,$C450)+IF($C450&lt;&gt;1,1,COUNTIF(QCI!$A$13:$A$24,ORÇAMENTO!E450)),OFFSET($D450,1,$C450,ROW($C$710)-ROW($C450)),0))</f>
        <v>0</v>
      </c>
      <c r="L450" s="143" t="str">
        <f t="shared" ca="1" si="192"/>
        <v/>
      </c>
      <c r="M450" s="144" t="s">
        <v>201</v>
      </c>
      <c r="N450" s="145" t="str">
        <f t="shared" ca="1" si="193"/>
        <v>Serviço</v>
      </c>
      <c r="O450" s="146" t="str">
        <f t="shared" ca="1" si="194"/>
        <v>-</v>
      </c>
      <c r="P450" s="147" t="s">
        <v>249</v>
      </c>
      <c r="Q450" s="148">
        <v>86937</v>
      </c>
      <c r="R450" s="149" t="str">
        <f t="shared" ca="1" si="210"/>
        <v>(abra o arquivo 'Referência 05-2024.xls)</v>
      </c>
      <c r="S450" s="150" t="str">
        <f t="shared" ca="1" si="211"/>
        <v>-</v>
      </c>
      <c r="T450" s="151">
        <f ca="1">OFFSET(CÁLCULO!H$15,ROW($T450)-ROW(T$15),0)</f>
        <v>15</v>
      </c>
      <c r="U450" s="152">
        <f t="shared" ca="1" si="206"/>
        <v>0</v>
      </c>
      <c r="V450" s="153" t="s">
        <v>158</v>
      </c>
      <c r="W450" s="151">
        <f t="shared" ca="1" si="195"/>
        <v>0</v>
      </c>
      <c r="X450" s="154">
        <f t="shared" ca="1" si="196"/>
        <v>0</v>
      </c>
      <c r="Y450" s="155" t="s">
        <v>583</v>
      </c>
      <c r="Z450" t="str">
        <f t="shared" ca="1" si="197"/>
        <v/>
      </c>
      <c r="AA450" s="156">
        <f ca="1">IF($C450="S",IF($Z450="CP",$X450,IF($Z450="RA",(($X450)*QCI!$AA$3),0)),SomaAgrup)</f>
        <v>0</v>
      </c>
      <c r="AB450" s="157">
        <f t="shared" ca="1" si="198"/>
        <v>0</v>
      </c>
      <c r="AC450" s="158" t="str">
        <f t="shared" ca="1" si="199"/>
        <v/>
      </c>
      <c r="AD450" s="104" t="str">
        <f ca="1">IF(C450&lt;=CRONO.NivelExibicao,MAX($AD$15:OFFSET(AD450,-1,0))+IF($C450&lt;&gt;1,1,MAX(1,COUNTIF(QCI!$A$13:$A$24,OFFSET($E450,-1,0)))),"")</f>
        <v/>
      </c>
      <c r="AE450" s="114" t="str">
        <f t="shared" ca="1" si="200"/>
        <v>SINAPI 86937</v>
      </c>
      <c r="AF450" s="159" t="str">
        <f t="shared" ca="1" si="201"/>
        <v>(abra o arquivo 'Referência 05-2024.xls)</v>
      </c>
      <c r="AG450" s="579">
        <f t="shared" ca="1" si="202"/>
        <v>0</v>
      </c>
      <c r="AH450" s="580">
        <f t="shared" ca="1" si="203"/>
        <v>0.22470000000000001</v>
      </c>
      <c r="AJ450" s="582">
        <v>15</v>
      </c>
      <c r="AL450" s="612"/>
      <c r="AM450" s="430">
        <f t="shared" ca="1" si="204"/>
        <v>0</v>
      </c>
      <c r="AN450" s="655">
        <f t="shared" ca="1" si="205"/>
        <v>0</v>
      </c>
    </row>
    <row r="451" spans="1:40" ht="13.8" x14ac:dyDescent="0.3">
      <c r="A451" t="str">
        <f t="shared" si="184"/>
        <v>S</v>
      </c>
      <c r="B451">
        <f t="shared" ca="1" si="185"/>
        <v>2</v>
      </c>
      <c r="C451" t="str">
        <f t="shared" ca="1" si="186"/>
        <v>S</v>
      </c>
      <c r="D451">
        <f t="shared" ca="1" si="187"/>
        <v>0</v>
      </c>
      <c r="E451">
        <f ca="1">IF($C451=1,OFFSET(E451,-1,0)+MAX(1,COUNTIF(QCI!$A$13:$A$24,OFFSET(ORÇAMENTO!E451,-1,0))),OFFSET(E451,-1,0))</f>
        <v>1</v>
      </c>
      <c r="F451">
        <f t="shared" ca="1" si="188"/>
        <v>15</v>
      </c>
      <c r="G451">
        <f t="shared" ca="1" si="189"/>
        <v>0</v>
      </c>
      <c r="H451">
        <f t="shared" ca="1" si="190"/>
        <v>0</v>
      </c>
      <c r="I451">
        <f t="shared" ca="1" si="191"/>
        <v>0</v>
      </c>
      <c r="J451">
        <f t="shared" ca="1" si="207"/>
        <v>0</v>
      </c>
      <c r="K451">
        <f ca="1">IF(OR($C451="S",$C451=0),0,MATCH(OFFSET($D451,0,$C451)+IF($C451&lt;&gt;1,1,COUNTIF(QCI!$A$13:$A$24,ORÇAMENTO!E451)),OFFSET($D451,1,$C451,ROW($C$710)-ROW($C451)),0))</f>
        <v>0</v>
      </c>
      <c r="L451" s="143" t="str">
        <f t="shared" ca="1" si="192"/>
        <v/>
      </c>
      <c r="M451" s="144" t="s">
        <v>201</v>
      </c>
      <c r="N451" s="145" t="str">
        <f t="shared" ca="1" si="193"/>
        <v>Serviço</v>
      </c>
      <c r="O451" s="146" t="str">
        <f t="shared" ca="1" si="194"/>
        <v>-</v>
      </c>
      <c r="P451" s="147" t="s">
        <v>249</v>
      </c>
      <c r="Q451" s="148">
        <v>86900</v>
      </c>
      <c r="R451" s="149" t="str">
        <f t="shared" ca="1" si="210"/>
        <v>(abra o arquivo 'Referência 05-2024.xls)</v>
      </c>
      <c r="S451" s="150" t="str">
        <f t="shared" ca="1" si="211"/>
        <v>-</v>
      </c>
      <c r="T451" s="151">
        <f ca="1">OFFSET(CÁLCULO!H$15,ROW($T451)-ROW(T$15),0)</f>
        <v>10</v>
      </c>
      <c r="U451" s="152">
        <f t="shared" ca="1" si="206"/>
        <v>0</v>
      </c>
      <c r="V451" s="153" t="s">
        <v>158</v>
      </c>
      <c r="W451" s="151">
        <f t="shared" ca="1" si="195"/>
        <v>0</v>
      </c>
      <c r="X451" s="154">
        <f t="shared" ca="1" si="196"/>
        <v>0</v>
      </c>
      <c r="Y451" s="155" t="s">
        <v>583</v>
      </c>
      <c r="Z451" t="str">
        <f t="shared" ca="1" si="197"/>
        <v/>
      </c>
      <c r="AA451" s="156">
        <f ca="1">IF($C451="S",IF($Z451="CP",$X451,IF($Z451="RA",(($X451)*QCI!$AA$3),0)),SomaAgrup)</f>
        <v>0</v>
      </c>
      <c r="AB451" s="157">
        <f t="shared" ca="1" si="198"/>
        <v>0</v>
      </c>
      <c r="AC451" s="158" t="str">
        <f t="shared" ca="1" si="199"/>
        <v/>
      </c>
      <c r="AD451" s="104" t="str">
        <f ca="1">IF(C451&lt;=CRONO.NivelExibicao,MAX($AD$15:OFFSET(AD451,-1,0))+IF($C451&lt;&gt;1,1,MAX(1,COUNTIF(QCI!$A$13:$A$24,OFFSET($E451,-1,0)))),"")</f>
        <v/>
      </c>
      <c r="AE451" s="114" t="str">
        <f t="shared" ca="1" si="200"/>
        <v>SINAPI 86900</v>
      </c>
      <c r="AF451" s="159" t="str">
        <f t="shared" ca="1" si="201"/>
        <v>(abra o arquivo 'Referência 05-2024.xls)</v>
      </c>
      <c r="AG451" s="579">
        <f t="shared" ca="1" si="202"/>
        <v>0</v>
      </c>
      <c r="AH451" s="580">
        <f t="shared" ca="1" si="203"/>
        <v>0.22470000000000001</v>
      </c>
      <c r="AJ451" s="582">
        <v>10</v>
      </c>
      <c r="AL451" s="612"/>
      <c r="AM451" s="430">
        <f t="shared" ca="1" si="204"/>
        <v>0</v>
      </c>
      <c r="AN451" s="655">
        <f t="shared" ca="1" si="205"/>
        <v>0</v>
      </c>
    </row>
    <row r="452" spans="1:40" ht="13.8" x14ac:dyDescent="0.3">
      <c r="A452" t="str">
        <f t="shared" si="184"/>
        <v>S</v>
      </c>
      <c r="B452">
        <f t="shared" ca="1" si="185"/>
        <v>2</v>
      </c>
      <c r="C452" t="str">
        <f t="shared" ca="1" si="186"/>
        <v>S</v>
      </c>
      <c r="D452">
        <f t="shared" ca="1" si="187"/>
        <v>0</v>
      </c>
      <c r="E452">
        <f ca="1">IF($C452=1,OFFSET(E452,-1,0)+MAX(1,COUNTIF(QCI!$A$13:$A$24,OFFSET(ORÇAMENTO!E452,-1,0))),OFFSET(E452,-1,0))</f>
        <v>1</v>
      </c>
      <c r="F452">
        <f t="shared" ca="1" si="188"/>
        <v>15</v>
      </c>
      <c r="G452">
        <f t="shared" ca="1" si="189"/>
        <v>0</v>
      </c>
      <c r="H452">
        <f t="shared" ca="1" si="190"/>
        <v>0</v>
      </c>
      <c r="I452">
        <f t="shared" ca="1" si="191"/>
        <v>0</v>
      </c>
      <c r="J452">
        <f t="shared" ca="1" si="207"/>
        <v>0</v>
      </c>
      <c r="K452">
        <f ca="1">IF(OR($C452="S",$C452=0),0,MATCH(OFFSET($D452,0,$C452)+IF($C452&lt;&gt;1,1,COUNTIF(QCI!$A$13:$A$24,ORÇAMENTO!E452)),OFFSET($D452,1,$C452,ROW($C$710)-ROW($C452)),0))</f>
        <v>0</v>
      </c>
      <c r="L452" s="143" t="str">
        <f t="shared" ca="1" si="192"/>
        <v/>
      </c>
      <c r="M452" s="144" t="s">
        <v>201</v>
      </c>
      <c r="N452" s="145" t="str">
        <f t="shared" ca="1" si="193"/>
        <v>Serviço</v>
      </c>
      <c r="O452" s="146" t="str">
        <f t="shared" ca="1" si="194"/>
        <v>-</v>
      </c>
      <c r="P452" s="147" t="s">
        <v>249</v>
      </c>
      <c r="Q452" s="148">
        <v>86900</v>
      </c>
      <c r="R452" s="149" t="str">
        <f t="shared" ca="1" si="210"/>
        <v>(abra o arquivo 'Referência 05-2024.xls)</v>
      </c>
      <c r="S452" s="150" t="str">
        <f t="shared" ca="1" si="211"/>
        <v>-</v>
      </c>
      <c r="T452" s="151">
        <f ca="1">OFFSET(CÁLCULO!H$15,ROW($T452)-ROW(T$15),0)</f>
        <v>2</v>
      </c>
      <c r="U452" s="152">
        <f t="shared" ca="1" si="206"/>
        <v>0</v>
      </c>
      <c r="V452" s="153" t="s">
        <v>158</v>
      </c>
      <c r="W452" s="151">
        <f t="shared" ca="1" si="195"/>
        <v>0</v>
      </c>
      <c r="X452" s="154">
        <f t="shared" ca="1" si="196"/>
        <v>0</v>
      </c>
      <c r="Y452" s="155" t="s">
        <v>583</v>
      </c>
      <c r="Z452" t="str">
        <f t="shared" ca="1" si="197"/>
        <v/>
      </c>
      <c r="AA452" s="156">
        <f ca="1">IF($C452="S",IF($Z452="CP",$X452,IF($Z452="RA",(($X452)*QCI!$AA$3),0)),SomaAgrup)</f>
        <v>0</v>
      </c>
      <c r="AB452" s="157">
        <f t="shared" ca="1" si="198"/>
        <v>0</v>
      </c>
      <c r="AC452" s="158" t="str">
        <f t="shared" ca="1" si="199"/>
        <v/>
      </c>
      <c r="AD452" s="104" t="str">
        <f ca="1">IF(C452&lt;=CRONO.NivelExibicao,MAX($AD$15:OFFSET(AD452,-1,0))+IF($C452&lt;&gt;1,1,MAX(1,COUNTIF(QCI!$A$13:$A$24,OFFSET($E452,-1,0)))),"")</f>
        <v/>
      </c>
      <c r="AE452" s="114" t="str">
        <f t="shared" ca="1" si="200"/>
        <v>SINAPI 86900</v>
      </c>
      <c r="AF452" s="159" t="str">
        <f t="shared" ca="1" si="201"/>
        <v>(abra o arquivo 'Referência 05-2024.xls)</v>
      </c>
      <c r="AG452" s="579">
        <f t="shared" ca="1" si="202"/>
        <v>0</v>
      </c>
      <c r="AH452" s="580">
        <f t="shared" ca="1" si="203"/>
        <v>0.22470000000000001</v>
      </c>
      <c r="AJ452" s="582">
        <v>2</v>
      </c>
      <c r="AL452" s="612"/>
      <c r="AM452" s="430">
        <f t="shared" ca="1" si="204"/>
        <v>0</v>
      </c>
      <c r="AN452" s="655">
        <f t="shared" ca="1" si="205"/>
        <v>0</v>
      </c>
    </row>
    <row r="453" spans="1:40" ht="13.8" x14ac:dyDescent="0.3">
      <c r="A453" t="str">
        <f t="shared" si="184"/>
        <v>S</v>
      </c>
      <c r="B453">
        <f t="shared" ca="1" si="185"/>
        <v>2</v>
      </c>
      <c r="C453" t="str">
        <f t="shared" ca="1" si="186"/>
        <v>S</v>
      </c>
      <c r="D453">
        <f t="shared" ca="1" si="187"/>
        <v>0</v>
      </c>
      <c r="E453">
        <f ca="1">IF($C453=1,OFFSET(E453,-1,0)+MAX(1,COUNTIF(QCI!$A$13:$A$24,OFFSET(ORÇAMENTO!E453,-1,0))),OFFSET(E453,-1,0))</f>
        <v>1</v>
      </c>
      <c r="F453">
        <f t="shared" ca="1" si="188"/>
        <v>15</v>
      </c>
      <c r="G453">
        <f t="shared" ca="1" si="189"/>
        <v>0</v>
      </c>
      <c r="H453">
        <f t="shared" ca="1" si="190"/>
        <v>0</v>
      </c>
      <c r="I453">
        <f t="shared" ca="1" si="191"/>
        <v>0</v>
      </c>
      <c r="J453">
        <f t="shared" ca="1" si="207"/>
        <v>0</v>
      </c>
      <c r="K453">
        <f ca="1">IF(OR($C453="S",$C453=0),0,MATCH(OFFSET($D453,0,$C453)+IF($C453&lt;&gt;1,1,COUNTIF(QCI!$A$13:$A$24,ORÇAMENTO!E453)),OFFSET($D453,1,$C453,ROW($C$710)-ROW($C453)),0))</f>
        <v>0</v>
      </c>
      <c r="L453" s="143" t="str">
        <f t="shared" ca="1" si="192"/>
        <v/>
      </c>
      <c r="M453" s="144" t="s">
        <v>201</v>
      </c>
      <c r="N453" s="145" t="str">
        <f t="shared" ca="1" si="193"/>
        <v>Serviço</v>
      </c>
      <c r="O453" s="146" t="str">
        <f t="shared" ca="1" si="194"/>
        <v>-</v>
      </c>
      <c r="P453" s="147" t="s">
        <v>249</v>
      </c>
      <c r="Q453" s="148">
        <v>100852</v>
      </c>
      <c r="R453" s="149" t="str">
        <f t="shared" ca="1" si="210"/>
        <v>(abra o arquivo 'Referência 05-2024.xls)</v>
      </c>
      <c r="S453" s="150" t="str">
        <f t="shared" ca="1" si="211"/>
        <v>-</v>
      </c>
      <c r="T453" s="151">
        <f ca="1">OFFSET(CÁLCULO!H$15,ROW($T453)-ROW(T$15),0)</f>
        <v>3</v>
      </c>
      <c r="U453" s="152">
        <f t="shared" ca="1" si="206"/>
        <v>0</v>
      </c>
      <c r="V453" s="153" t="s">
        <v>158</v>
      </c>
      <c r="W453" s="151">
        <f t="shared" ca="1" si="195"/>
        <v>0</v>
      </c>
      <c r="X453" s="154">
        <f t="shared" ca="1" si="196"/>
        <v>0</v>
      </c>
      <c r="Y453" s="155" t="s">
        <v>583</v>
      </c>
      <c r="Z453" t="str">
        <f t="shared" ca="1" si="197"/>
        <v/>
      </c>
      <c r="AA453" s="156">
        <f ca="1">IF($C453="S",IF($Z453="CP",$X453,IF($Z453="RA",(($X453)*QCI!$AA$3),0)),SomaAgrup)</f>
        <v>0</v>
      </c>
      <c r="AB453" s="157">
        <f t="shared" ca="1" si="198"/>
        <v>0</v>
      </c>
      <c r="AC453" s="158" t="str">
        <f t="shared" ca="1" si="199"/>
        <v/>
      </c>
      <c r="AD453" s="104" t="str">
        <f ca="1">IF(C453&lt;=CRONO.NivelExibicao,MAX($AD$15:OFFSET(AD453,-1,0))+IF($C453&lt;&gt;1,1,MAX(1,COUNTIF(QCI!$A$13:$A$24,OFFSET($E453,-1,0)))),"")</f>
        <v/>
      </c>
      <c r="AE453" s="114" t="str">
        <f t="shared" ca="1" si="200"/>
        <v>SINAPI 100852</v>
      </c>
      <c r="AF453" s="159" t="str">
        <f t="shared" ca="1" si="201"/>
        <v>(abra o arquivo 'Referência 05-2024.xls)</v>
      </c>
      <c r="AG453" s="579">
        <f t="shared" ca="1" si="202"/>
        <v>0</v>
      </c>
      <c r="AH453" s="580">
        <f t="shared" ca="1" si="203"/>
        <v>0.22470000000000001</v>
      </c>
      <c r="AJ453" s="582">
        <v>3</v>
      </c>
      <c r="AL453" s="612"/>
      <c r="AM453" s="430">
        <f t="shared" ca="1" si="204"/>
        <v>0</v>
      </c>
      <c r="AN453" s="655">
        <f t="shared" ca="1" si="205"/>
        <v>0</v>
      </c>
    </row>
    <row r="454" spans="1:40" ht="13.8" x14ac:dyDescent="0.3">
      <c r="A454" t="str">
        <f t="shared" si="184"/>
        <v>S</v>
      </c>
      <c r="B454">
        <f t="shared" ca="1" si="185"/>
        <v>2</v>
      </c>
      <c r="C454" t="str">
        <f t="shared" ca="1" si="186"/>
        <v>S</v>
      </c>
      <c r="D454">
        <f t="shared" ca="1" si="187"/>
        <v>0</v>
      </c>
      <c r="E454">
        <f ca="1">IF($C454=1,OFFSET(E454,-1,0)+MAX(1,COUNTIF(QCI!$A$13:$A$24,OFFSET(ORÇAMENTO!E454,-1,0))),OFFSET(E454,-1,0))</f>
        <v>1</v>
      </c>
      <c r="F454">
        <f t="shared" ca="1" si="188"/>
        <v>15</v>
      </c>
      <c r="G454">
        <f t="shared" ca="1" si="189"/>
        <v>0</v>
      </c>
      <c r="H454">
        <f t="shared" ca="1" si="190"/>
        <v>0</v>
      </c>
      <c r="I454">
        <f t="shared" ca="1" si="191"/>
        <v>0</v>
      </c>
      <c r="J454">
        <f t="shared" ca="1" si="207"/>
        <v>0</v>
      </c>
      <c r="K454">
        <f ca="1">IF(OR($C454="S",$C454=0),0,MATCH(OFFSET($D454,0,$C454)+IF($C454&lt;&gt;1,1,COUNTIF(QCI!$A$13:$A$24,ORÇAMENTO!E454)),OFFSET($D454,1,$C454,ROW($C$710)-ROW($C454)),0))</f>
        <v>0</v>
      </c>
      <c r="L454" s="143" t="str">
        <f t="shared" ca="1" si="192"/>
        <v/>
      </c>
      <c r="M454" s="144" t="s">
        <v>201</v>
      </c>
      <c r="N454" s="145" t="str">
        <f t="shared" ca="1" si="193"/>
        <v>Serviço</v>
      </c>
      <c r="O454" s="146" t="str">
        <f t="shared" ca="1" si="194"/>
        <v>-</v>
      </c>
      <c r="P454" s="147" t="s">
        <v>249</v>
      </c>
      <c r="Q454" s="148">
        <v>86904</v>
      </c>
      <c r="R454" s="149" t="str">
        <f t="shared" ca="1" si="210"/>
        <v>(abra o arquivo 'Referência 05-2024.xls)</v>
      </c>
      <c r="S454" s="150" t="str">
        <f t="shared" ca="1" si="211"/>
        <v>-</v>
      </c>
      <c r="T454" s="151">
        <f ca="1">OFFSET(CÁLCULO!H$15,ROW($T454)-ROW(T$15),0)</f>
        <v>4</v>
      </c>
      <c r="U454" s="152">
        <f t="shared" ca="1" si="206"/>
        <v>0</v>
      </c>
      <c r="V454" s="153" t="s">
        <v>158</v>
      </c>
      <c r="W454" s="151">
        <f t="shared" ca="1" si="195"/>
        <v>0</v>
      </c>
      <c r="X454" s="154">
        <f t="shared" ca="1" si="196"/>
        <v>0</v>
      </c>
      <c r="Y454" s="155" t="s">
        <v>583</v>
      </c>
      <c r="Z454" t="str">
        <f t="shared" ca="1" si="197"/>
        <v/>
      </c>
      <c r="AA454" s="156">
        <f ca="1">IF($C454="S",IF($Z454="CP",$X454,IF($Z454="RA",(($X454)*QCI!$AA$3),0)),SomaAgrup)</f>
        <v>0</v>
      </c>
      <c r="AB454" s="157">
        <f t="shared" ca="1" si="198"/>
        <v>0</v>
      </c>
      <c r="AC454" s="158" t="str">
        <f t="shared" ca="1" si="199"/>
        <v/>
      </c>
      <c r="AD454" s="104" t="str">
        <f ca="1">IF(C454&lt;=CRONO.NivelExibicao,MAX($AD$15:OFFSET(AD454,-1,0))+IF($C454&lt;&gt;1,1,MAX(1,COUNTIF(QCI!$A$13:$A$24,OFFSET($E454,-1,0)))),"")</f>
        <v/>
      </c>
      <c r="AE454" s="114" t="str">
        <f t="shared" ca="1" si="200"/>
        <v>SINAPI 86904</v>
      </c>
      <c r="AF454" s="159" t="str">
        <f t="shared" ca="1" si="201"/>
        <v>(abra o arquivo 'Referência 05-2024.xls)</v>
      </c>
      <c r="AG454" s="579">
        <f t="shared" ca="1" si="202"/>
        <v>0</v>
      </c>
      <c r="AH454" s="580">
        <f t="shared" ca="1" si="203"/>
        <v>0.22470000000000001</v>
      </c>
      <c r="AJ454" s="582">
        <v>4</v>
      </c>
      <c r="AL454" s="612"/>
      <c r="AM454" s="430">
        <f t="shared" ca="1" si="204"/>
        <v>0</v>
      </c>
      <c r="AN454" s="655">
        <f t="shared" ca="1" si="205"/>
        <v>0</v>
      </c>
    </row>
    <row r="455" spans="1:40" ht="13.8" x14ac:dyDescent="0.3">
      <c r="A455" t="str">
        <f t="shared" si="184"/>
        <v>S</v>
      </c>
      <c r="B455">
        <f t="shared" ca="1" si="185"/>
        <v>2</v>
      </c>
      <c r="C455" t="str">
        <f t="shared" ca="1" si="186"/>
        <v>S</v>
      </c>
      <c r="D455">
        <f t="shared" ca="1" si="187"/>
        <v>0</v>
      </c>
      <c r="E455">
        <f ca="1">IF($C455=1,OFFSET(E455,-1,0)+MAX(1,COUNTIF(QCI!$A$13:$A$24,OFFSET(ORÇAMENTO!E455,-1,0))),OFFSET(E455,-1,0))</f>
        <v>1</v>
      </c>
      <c r="F455">
        <f t="shared" ca="1" si="188"/>
        <v>15</v>
      </c>
      <c r="G455">
        <f t="shared" ca="1" si="189"/>
        <v>0</v>
      </c>
      <c r="H455">
        <f t="shared" ca="1" si="190"/>
        <v>0</v>
      </c>
      <c r="I455">
        <f t="shared" ca="1" si="191"/>
        <v>0</v>
      </c>
      <c r="J455">
        <f t="shared" ca="1" si="207"/>
        <v>0</v>
      </c>
      <c r="K455">
        <f ca="1">IF(OR($C455="S",$C455=0),0,MATCH(OFFSET($D455,0,$C455)+IF($C455&lt;&gt;1,1,COUNTIF(QCI!$A$13:$A$24,ORÇAMENTO!E455)),OFFSET($D455,1,$C455,ROW($C$710)-ROW($C455)),0))</f>
        <v>0</v>
      </c>
      <c r="L455" s="143" t="str">
        <f t="shared" ca="1" si="192"/>
        <v/>
      </c>
      <c r="M455" s="144" t="s">
        <v>201</v>
      </c>
      <c r="N455" s="145" t="str">
        <f t="shared" ca="1" si="193"/>
        <v>Serviço</v>
      </c>
      <c r="O455" s="146" t="str">
        <f t="shared" ca="1" si="194"/>
        <v>-</v>
      </c>
      <c r="P455" s="147" t="s">
        <v>249</v>
      </c>
      <c r="Q455" s="148">
        <v>86904</v>
      </c>
      <c r="R455" s="149" t="str">
        <f t="shared" ca="1" si="210"/>
        <v>(abra o arquivo 'Referência 05-2024.xls)</v>
      </c>
      <c r="S455" s="150" t="str">
        <f t="shared" ca="1" si="211"/>
        <v>-</v>
      </c>
      <c r="T455" s="151">
        <f ca="1">OFFSET(CÁLCULO!H$15,ROW($T455)-ROW(T$15),0)</f>
        <v>1</v>
      </c>
      <c r="U455" s="152">
        <f t="shared" ca="1" si="206"/>
        <v>0</v>
      </c>
      <c r="V455" s="153" t="s">
        <v>158</v>
      </c>
      <c r="W455" s="151">
        <f t="shared" ca="1" si="195"/>
        <v>0</v>
      </c>
      <c r="X455" s="154">
        <f t="shared" ca="1" si="196"/>
        <v>0</v>
      </c>
      <c r="Y455" s="155" t="s">
        <v>583</v>
      </c>
      <c r="Z455" t="str">
        <f t="shared" ca="1" si="197"/>
        <v/>
      </c>
      <c r="AA455" s="156">
        <f ca="1">IF($C455="S",IF($Z455="CP",$X455,IF($Z455="RA",(($X455)*QCI!$AA$3),0)),SomaAgrup)</f>
        <v>0</v>
      </c>
      <c r="AB455" s="157">
        <f t="shared" ca="1" si="198"/>
        <v>0</v>
      </c>
      <c r="AC455" s="158" t="str">
        <f t="shared" ca="1" si="199"/>
        <v/>
      </c>
      <c r="AD455" s="104" t="str">
        <f ca="1">IF(C455&lt;=CRONO.NivelExibicao,MAX($AD$15:OFFSET(AD455,-1,0))+IF($C455&lt;&gt;1,1,MAX(1,COUNTIF(QCI!$A$13:$A$24,OFFSET($E455,-1,0)))),"")</f>
        <v/>
      </c>
      <c r="AE455" s="114" t="str">
        <f t="shared" ca="1" si="200"/>
        <v>SINAPI 86904</v>
      </c>
      <c r="AF455" s="159" t="str">
        <f t="shared" ca="1" si="201"/>
        <v>(abra o arquivo 'Referência 05-2024.xls)</v>
      </c>
      <c r="AG455" s="579">
        <f t="shared" ca="1" si="202"/>
        <v>0</v>
      </c>
      <c r="AH455" s="580">
        <f t="shared" ca="1" si="203"/>
        <v>0.22470000000000001</v>
      </c>
      <c r="AJ455" s="582">
        <v>1</v>
      </c>
      <c r="AL455" s="612"/>
      <c r="AM455" s="430">
        <f t="shared" ca="1" si="204"/>
        <v>0</v>
      </c>
      <c r="AN455" s="655">
        <f t="shared" ca="1" si="205"/>
        <v>0</v>
      </c>
    </row>
    <row r="456" spans="1:40" ht="13.8" x14ac:dyDescent="0.3">
      <c r="A456" t="str">
        <f t="shared" si="184"/>
        <v>S</v>
      </c>
      <c r="B456">
        <f t="shared" ca="1" si="185"/>
        <v>2</v>
      </c>
      <c r="C456" t="str">
        <f t="shared" ca="1" si="186"/>
        <v>S</v>
      </c>
      <c r="D456">
        <f t="shared" ca="1" si="187"/>
        <v>0</v>
      </c>
      <c r="E456">
        <f ca="1">IF($C456=1,OFFSET(E456,-1,0)+MAX(1,COUNTIF(QCI!$A$13:$A$24,OFFSET(ORÇAMENTO!E456,-1,0))),OFFSET(E456,-1,0))</f>
        <v>1</v>
      </c>
      <c r="F456">
        <f t="shared" ca="1" si="188"/>
        <v>15</v>
      </c>
      <c r="G456">
        <f t="shared" ca="1" si="189"/>
        <v>0</v>
      </c>
      <c r="H456">
        <f t="shared" ca="1" si="190"/>
        <v>0</v>
      </c>
      <c r="I456">
        <f t="shared" ca="1" si="191"/>
        <v>0</v>
      </c>
      <c r="J456">
        <f t="shared" ca="1" si="207"/>
        <v>0</v>
      </c>
      <c r="K456">
        <f ca="1">IF(OR($C456="S",$C456=0),0,MATCH(OFFSET($D456,0,$C456)+IF($C456&lt;&gt;1,1,COUNTIF(QCI!$A$13:$A$24,ORÇAMENTO!E456)),OFFSET($D456,1,$C456,ROW($C$710)-ROW($C456)),0))</f>
        <v>0</v>
      </c>
      <c r="L456" s="143" t="str">
        <f t="shared" ca="1" si="192"/>
        <v/>
      </c>
      <c r="M456" s="144" t="s">
        <v>201</v>
      </c>
      <c r="N456" s="145" t="str">
        <f t="shared" ca="1" si="193"/>
        <v>Serviço</v>
      </c>
      <c r="O456" s="146" t="str">
        <f t="shared" ca="1" si="194"/>
        <v>-</v>
      </c>
      <c r="P456" s="147" t="s">
        <v>441</v>
      </c>
      <c r="Q456" s="148" t="s">
        <v>592</v>
      </c>
      <c r="R456" s="149" t="str">
        <f t="shared" ca="1" si="210"/>
        <v>(abra o arquivo 'Referência 05-2024.xls)</v>
      </c>
      <c r="S456" s="150" t="str">
        <f t="shared" ca="1" si="211"/>
        <v>-</v>
      </c>
      <c r="T456" s="151">
        <f ca="1">OFFSET(CÁLCULO!H$15,ROW($T456)-ROW(T$15),0)</f>
        <v>2</v>
      </c>
      <c r="U456" s="152">
        <f t="shared" ca="1" si="206"/>
        <v>0</v>
      </c>
      <c r="V456" s="153" t="s">
        <v>158</v>
      </c>
      <c r="W456" s="151">
        <f t="shared" ca="1" si="195"/>
        <v>0</v>
      </c>
      <c r="X456" s="154">
        <f t="shared" ca="1" si="196"/>
        <v>0</v>
      </c>
      <c r="Y456" s="155" t="s">
        <v>583</v>
      </c>
      <c r="Z456" t="str">
        <f t="shared" ca="1" si="197"/>
        <v/>
      </c>
      <c r="AA456" s="156">
        <f ca="1">IF($C456="S",IF($Z456="CP",$X456,IF($Z456="RA",(($X456)*QCI!$AA$3),0)),SomaAgrup)</f>
        <v>0</v>
      </c>
      <c r="AB456" s="157">
        <f t="shared" ca="1" si="198"/>
        <v>0</v>
      </c>
      <c r="AC456" s="158" t="str">
        <f t="shared" ca="1" si="199"/>
        <v/>
      </c>
      <c r="AD456" s="104" t="str">
        <f ca="1">IF(C456&lt;=CRONO.NivelExibicao,MAX($AD$15:OFFSET(AD456,-1,0))+IF($C456&lt;&gt;1,1,MAX(1,COUNTIF(QCI!$A$13:$A$24,OFFSET($E456,-1,0)))),"")</f>
        <v/>
      </c>
      <c r="AE456" s="114" t="str">
        <f t="shared" ca="1" si="200"/>
        <v>Composição CP-34</v>
      </c>
      <c r="AF456" s="159" t="str">
        <f t="shared" ca="1" si="201"/>
        <v>(abra o arquivo 'Referência 05-2024.xls)</v>
      </c>
      <c r="AG456" s="579">
        <f t="shared" ca="1" si="202"/>
        <v>0</v>
      </c>
      <c r="AH456" s="580">
        <f t="shared" ca="1" si="203"/>
        <v>0.22470000000000001</v>
      </c>
      <c r="AJ456" s="582">
        <v>2</v>
      </c>
      <c r="AL456" s="612"/>
      <c r="AM456" s="430">
        <f t="shared" ca="1" si="204"/>
        <v>0</v>
      </c>
      <c r="AN456" s="655">
        <f t="shared" ca="1" si="205"/>
        <v>0</v>
      </c>
    </row>
    <row r="457" spans="1:40" ht="13.8" x14ac:dyDescent="0.3">
      <c r="A457" t="str">
        <f t="shared" si="184"/>
        <v>S</v>
      </c>
      <c r="B457">
        <f t="shared" ca="1" si="185"/>
        <v>2</v>
      </c>
      <c r="C457" t="str">
        <f t="shared" ca="1" si="186"/>
        <v>S</v>
      </c>
      <c r="D457">
        <f t="shared" ca="1" si="187"/>
        <v>0</v>
      </c>
      <c r="E457">
        <f ca="1">IF($C457=1,OFFSET(E457,-1,0)+MAX(1,COUNTIF(QCI!$A$13:$A$24,OFFSET(ORÇAMENTO!E457,-1,0))),OFFSET(E457,-1,0))</f>
        <v>1</v>
      </c>
      <c r="F457">
        <f t="shared" ca="1" si="188"/>
        <v>15</v>
      </c>
      <c r="G457">
        <f t="shared" ca="1" si="189"/>
        <v>0</v>
      </c>
      <c r="H457">
        <f t="shared" ca="1" si="190"/>
        <v>0</v>
      </c>
      <c r="I457">
        <f t="shared" ca="1" si="191"/>
        <v>0</v>
      </c>
      <c r="J457">
        <f t="shared" ca="1" si="207"/>
        <v>0</v>
      </c>
      <c r="K457">
        <f ca="1">IF(OR($C457="S",$C457=0),0,MATCH(OFFSET($D457,0,$C457)+IF($C457&lt;&gt;1,1,COUNTIF(QCI!$A$13:$A$24,ORÇAMENTO!E457)),OFFSET($D457,1,$C457,ROW($C$710)-ROW($C457)),0))</f>
        <v>0</v>
      </c>
      <c r="L457" s="143" t="str">
        <f t="shared" ca="1" si="192"/>
        <v/>
      </c>
      <c r="M457" s="144" t="s">
        <v>201</v>
      </c>
      <c r="N457" s="145" t="str">
        <f t="shared" ca="1" si="193"/>
        <v>Serviço</v>
      </c>
      <c r="O457" s="146" t="str">
        <f t="shared" ca="1" si="194"/>
        <v>-</v>
      </c>
      <c r="P457" s="147" t="s">
        <v>249</v>
      </c>
      <c r="Q457" s="148">
        <v>86872</v>
      </c>
      <c r="R457" s="149" t="str">
        <f t="shared" ca="1" si="210"/>
        <v>(abra o arquivo 'Referência 05-2024.xls)</v>
      </c>
      <c r="S457" s="150" t="str">
        <f t="shared" ca="1" si="211"/>
        <v>-</v>
      </c>
      <c r="T457" s="151">
        <f ca="1">OFFSET(CÁLCULO!H$15,ROW($T457)-ROW(T$15),0)</f>
        <v>2</v>
      </c>
      <c r="U457" s="152">
        <f t="shared" ca="1" si="206"/>
        <v>0</v>
      </c>
      <c r="V457" s="153" t="s">
        <v>158</v>
      </c>
      <c r="W457" s="151">
        <f t="shared" ca="1" si="195"/>
        <v>0</v>
      </c>
      <c r="X457" s="154">
        <f t="shared" ca="1" si="196"/>
        <v>0</v>
      </c>
      <c r="Y457" s="155" t="s">
        <v>583</v>
      </c>
      <c r="Z457" t="str">
        <f t="shared" ca="1" si="197"/>
        <v/>
      </c>
      <c r="AA457" s="156">
        <f ca="1">IF($C457="S",IF($Z457="CP",$X457,IF($Z457="RA",(($X457)*QCI!$AA$3),0)),SomaAgrup)</f>
        <v>0</v>
      </c>
      <c r="AB457" s="157">
        <f t="shared" ca="1" si="198"/>
        <v>0</v>
      </c>
      <c r="AC457" s="158" t="str">
        <f t="shared" ca="1" si="199"/>
        <v/>
      </c>
      <c r="AD457" s="104" t="str">
        <f ca="1">IF(C457&lt;=CRONO.NivelExibicao,MAX($AD$15:OFFSET(AD457,-1,0))+IF($C457&lt;&gt;1,1,MAX(1,COUNTIF(QCI!$A$13:$A$24,OFFSET($E457,-1,0)))),"")</f>
        <v/>
      </c>
      <c r="AE457" s="114" t="str">
        <f t="shared" ca="1" si="200"/>
        <v>SINAPI 86872</v>
      </c>
      <c r="AF457" s="159" t="str">
        <f t="shared" ca="1" si="201"/>
        <v>(abra o arquivo 'Referência 05-2024.xls)</v>
      </c>
      <c r="AG457" s="579">
        <f t="shared" ca="1" si="202"/>
        <v>0</v>
      </c>
      <c r="AH457" s="580">
        <f t="shared" ca="1" si="203"/>
        <v>0.22470000000000001</v>
      </c>
      <c r="AJ457" s="582">
        <v>2</v>
      </c>
      <c r="AL457" s="612"/>
      <c r="AM457" s="430">
        <f t="shared" ca="1" si="204"/>
        <v>0</v>
      </c>
      <c r="AN457" s="655">
        <f t="shared" ca="1" si="205"/>
        <v>0</v>
      </c>
    </row>
    <row r="458" spans="1:40" ht="13.8" x14ac:dyDescent="0.3">
      <c r="A458" t="str">
        <f t="shared" si="184"/>
        <v>S</v>
      </c>
      <c r="B458">
        <f t="shared" ca="1" si="185"/>
        <v>2</v>
      </c>
      <c r="C458" t="str">
        <f t="shared" ca="1" si="186"/>
        <v>S</v>
      </c>
      <c r="D458">
        <f t="shared" ca="1" si="187"/>
        <v>0</v>
      </c>
      <c r="E458">
        <f ca="1">IF($C458=1,OFFSET(E458,-1,0)+MAX(1,COUNTIF(QCI!$A$13:$A$24,OFFSET(ORÇAMENTO!E458,-1,0))),OFFSET(E458,-1,0))</f>
        <v>1</v>
      </c>
      <c r="F458">
        <f t="shared" ca="1" si="188"/>
        <v>15</v>
      </c>
      <c r="G458">
        <f t="shared" ca="1" si="189"/>
        <v>0</v>
      </c>
      <c r="H458">
        <f t="shared" ca="1" si="190"/>
        <v>0</v>
      </c>
      <c r="I458">
        <f t="shared" ca="1" si="191"/>
        <v>0</v>
      </c>
      <c r="J458">
        <f t="shared" ca="1" si="207"/>
        <v>0</v>
      </c>
      <c r="K458">
        <f ca="1">IF(OR($C458="S",$C458=0),0,MATCH(OFFSET($D458,0,$C458)+IF($C458&lt;&gt;1,1,COUNTIF(QCI!$A$13:$A$24,ORÇAMENTO!E458)),OFFSET($D458,1,$C458,ROW($C$710)-ROW($C458)),0))</f>
        <v>0</v>
      </c>
      <c r="L458" s="143" t="str">
        <f t="shared" ca="1" si="192"/>
        <v/>
      </c>
      <c r="M458" s="144" t="s">
        <v>201</v>
      </c>
      <c r="N458" s="145" t="str">
        <f t="shared" ca="1" si="193"/>
        <v>Serviço</v>
      </c>
      <c r="O458" s="146" t="str">
        <f t="shared" ca="1" si="194"/>
        <v>-</v>
      </c>
      <c r="P458" s="147" t="s">
        <v>249</v>
      </c>
      <c r="Q458" s="148">
        <v>100860</v>
      </c>
      <c r="R458" s="149" t="str">
        <f t="shared" ca="1" si="210"/>
        <v>(abra o arquivo 'Referência 05-2024.xls)</v>
      </c>
      <c r="S458" s="150" t="str">
        <f t="shared" ca="1" si="211"/>
        <v>-</v>
      </c>
      <c r="T458" s="151">
        <f ca="1">OFFSET(CÁLCULO!H$15,ROW($T458)-ROW(T$15),0)</f>
        <v>10</v>
      </c>
      <c r="U458" s="152">
        <f t="shared" ca="1" si="206"/>
        <v>0</v>
      </c>
      <c r="V458" s="153" t="s">
        <v>158</v>
      </c>
      <c r="W458" s="151">
        <f t="shared" ca="1" si="195"/>
        <v>0</v>
      </c>
      <c r="X458" s="154">
        <f t="shared" ca="1" si="196"/>
        <v>0</v>
      </c>
      <c r="Y458" s="155" t="s">
        <v>583</v>
      </c>
      <c r="Z458" t="str">
        <f t="shared" ca="1" si="197"/>
        <v/>
      </c>
      <c r="AA458" s="156">
        <f ca="1">IF($C458="S",IF($Z458="CP",$X458,IF($Z458="RA",(($X458)*QCI!$AA$3),0)),SomaAgrup)</f>
        <v>0</v>
      </c>
      <c r="AB458" s="157">
        <f t="shared" ca="1" si="198"/>
        <v>0</v>
      </c>
      <c r="AC458" s="158" t="str">
        <f t="shared" ca="1" si="199"/>
        <v/>
      </c>
      <c r="AD458" s="104" t="str">
        <f ca="1">IF(C458&lt;=CRONO.NivelExibicao,MAX($AD$15:OFFSET(AD458,-1,0))+IF($C458&lt;&gt;1,1,MAX(1,COUNTIF(QCI!$A$13:$A$24,OFFSET($E458,-1,0)))),"")</f>
        <v/>
      </c>
      <c r="AE458" s="114" t="str">
        <f t="shared" ca="1" si="200"/>
        <v>SINAPI 100860</v>
      </c>
      <c r="AF458" s="159" t="str">
        <f t="shared" ca="1" si="201"/>
        <v>(abra o arquivo 'Referência 05-2024.xls)</v>
      </c>
      <c r="AG458" s="579">
        <f t="shared" ca="1" si="202"/>
        <v>0</v>
      </c>
      <c r="AH458" s="580">
        <f t="shared" ca="1" si="203"/>
        <v>0.22470000000000001</v>
      </c>
      <c r="AJ458" s="582">
        <v>10</v>
      </c>
      <c r="AL458" s="612"/>
      <c r="AM458" s="430">
        <f t="shared" ca="1" si="204"/>
        <v>0</v>
      </c>
      <c r="AN458" s="655">
        <f t="shared" ca="1" si="205"/>
        <v>0</v>
      </c>
    </row>
    <row r="459" spans="1:40" ht="13.8" x14ac:dyDescent="0.3">
      <c r="A459" t="str">
        <f t="shared" si="184"/>
        <v>S</v>
      </c>
      <c r="B459">
        <f t="shared" ca="1" si="185"/>
        <v>2</v>
      </c>
      <c r="C459" t="str">
        <f t="shared" ca="1" si="186"/>
        <v>S</v>
      </c>
      <c r="D459">
        <f t="shared" ca="1" si="187"/>
        <v>0</v>
      </c>
      <c r="E459">
        <f ca="1">IF($C459=1,OFFSET(E459,-1,0)+MAX(1,COUNTIF(QCI!$A$13:$A$24,OFFSET(ORÇAMENTO!E459,-1,0))),OFFSET(E459,-1,0))</f>
        <v>1</v>
      </c>
      <c r="F459">
        <f t="shared" ca="1" si="188"/>
        <v>15</v>
      </c>
      <c r="G459">
        <f t="shared" ca="1" si="189"/>
        <v>0</v>
      </c>
      <c r="H459">
        <f t="shared" ca="1" si="190"/>
        <v>0</v>
      </c>
      <c r="I459">
        <f t="shared" ca="1" si="191"/>
        <v>0</v>
      </c>
      <c r="J459">
        <f t="shared" ca="1" si="207"/>
        <v>0</v>
      </c>
      <c r="K459">
        <f ca="1">IF(OR($C459="S",$C459=0),0,MATCH(OFFSET($D459,0,$C459)+IF($C459&lt;&gt;1,1,COUNTIF(QCI!$A$13:$A$24,ORÇAMENTO!E459)),OFFSET($D459,1,$C459,ROW($C$710)-ROW($C459)),0))</f>
        <v>0</v>
      </c>
      <c r="L459" s="143" t="str">
        <f t="shared" ca="1" si="192"/>
        <v/>
      </c>
      <c r="M459" s="144" t="s">
        <v>201</v>
      </c>
      <c r="N459" s="145" t="str">
        <f t="shared" ca="1" si="193"/>
        <v>Serviço</v>
      </c>
      <c r="O459" s="146" t="str">
        <f t="shared" ca="1" si="194"/>
        <v>-</v>
      </c>
      <c r="P459" s="147" t="s">
        <v>249</v>
      </c>
      <c r="Q459" s="148">
        <v>95544</v>
      </c>
      <c r="R459" s="149" t="str">
        <f t="shared" ca="1" si="210"/>
        <v>(abra o arquivo 'Referência 05-2024.xls)</v>
      </c>
      <c r="S459" s="150" t="str">
        <f t="shared" ca="1" si="211"/>
        <v>-</v>
      </c>
      <c r="T459" s="151">
        <f ca="1">OFFSET(CÁLCULO!H$15,ROW($T459)-ROW(T$15),0)</f>
        <v>2</v>
      </c>
      <c r="U459" s="152">
        <f t="shared" ca="1" si="206"/>
        <v>0</v>
      </c>
      <c r="V459" s="153" t="s">
        <v>193</v>
      </c>
      <c r="W459" s="151">
        <f t="shared" ca="1" si="195"/>
        <v>0</v>
      </c>
      <c r="X459" s="154">
        <f t="shared" ca="1" si="196"/>
        <v>0</v>
      </c>
      <c r="Y459" s="155" t="s">
        <v>583</v>
      </c>
      <c r="Z459" t="str">
        <f t="shared" ca="1" si="197"/>
        <v/>
      </c>
      <c r="AA459" s="156">
        <f ca="1">IF($C459="S",IF($Z459="CP",$X459,IF($Z459="RA",(($X459)*QCI!$AA$3),0)),SomaAgrup)</f>
        <v>0</v>
      </c>
      <c r="AB459" s="157">
        <f t="shared" ca="1" si="198"/>
        <v>0</v>
      </c>
      <c r="AC459" s="158" t="str">
        <f t="shared" ca="1" si="199"/>
        <v/>
      </c>
      <c r="AD459" s="104" t="str">
        <f ca="1">IF(C459&lt;=CRONO.NivelExibicao,MAX($AD$15:OFFSET(AD459,-1,0))+IF($C459&lt;&gt;1,1,MAX(1,COUNTIF(QCI!$A$13:$A$24,OFFSET($E459,-1,0)))),"")</f>
        <v/>
      </c>
      <c r="AE459" s="114" t="str">
        <f t="shared" ca="1" si="200"/>
        <v>SINAPI 95544</v>
      </c>
      <c r="AF459" s="159" t="str">
        <f t="shared" ca="1" si="201"/>
        <v>(abra o arquivo 'Referência 05-2024.xls)</v>
      </c>
      <c r="AG459" s="579">
        <f t="shared" ca="1" si="202"/>
        <v>0</v>
      </c>
      <c r="AH459" s="580">
        <f t="shared" ca="1" si="203"/>
        <v>0.16800000000000001</v>
      </c>
      <c r="AJ459" s="582">
        <v>2</v>
      </c>
      <c r="AL459" s="612"/>
      <c r="AM459" s="430">
        <f t="shared" ca="1" si="204"/>
        <v>0</v>
      </c>
      <c r="AN459" s="655">
        <f t="shared" ca="1" si="205"/>
        <v>0</v>
      </c>
    </row>
    <row r="460" spans="1:40" ht="13.8" x14ac:dyDescent="0.3">
      <c r="A460" t="str">
        <f t="shared" si="184"/>
        <v>S</v>
      </c>
      <c r="B460">
        <f t="shared" ca="1" si="185"/>
        <v>2</v>
      </c>
      <c r="C460" t="str">
        <f t="shared" ca="1" si="186"/>
        <v>S</v>
      </c>
      <c r="D460">
        <f t="shared" ca="1" si="187"/>
        <v>0</v>
      </c>
      <c r="E460">
        <f ca="1">IF($C460=1,OFFSET(E460,-1,0)+MAX(1,COUNTIF(QCI!$A$13:$A$24,OFFSET(ORÇAMENTO!E460,-1,0))),OFFSET(E460,-1,0))</f>
        <v>1</v>
      </c>
      <c r="F460">
        <f t="shared" ca="1" si="188"/>
        <v>15</v>
      </c>
      <c r="G460">
        <f t="shared" ca="1" si="189"/>
        <v>0</v>
      </c>
      <c r="H460">
        <f t="shared" ca="1" si="190"/>
        <v>0</v>
      </c>
      <c r="I460">
        <f t="shared" ca="1" si="191"/>
        <v>0</v>
      </c>
      <c r="J460">
        <f t="shared" ca="1" si="207"/>
        <v>0</v>
      </c>
      <c r="K460">
        <f ca="1">IF(OR($C460="S",$C460=0),0,MATCH(OFFSET($D460,0,$C460)+IF($C460&lt;&gt;1,1,COUNTIF(QCI!$A$13:$A$24,ORÇAMENTO!E460)),OFFSET($D460,1,$C460,ROW($C$710)-ROW($C460)),0))</f>
        <v>0</v>
      </c>
      <c r="L460" s="143" t="str">
        <f t="shared" ca="1" si="192"/>
        <v/>
      </c>
      <c r="M460" s="144" t="s">
        <v>201</v>
      </c>
      <c r="N460" s="145" t="str">
        <f t="shared" ca="1" si="193"/>
        <v>Serviço</v>
      </c>
      <c r="O460" s="146" t="str">
        <f t="shared" ca="1" si="194"/>
        <v>-</v>
      </c>
      <c r="P460" s="147" t="s">
        <v>249</v>
      </c>
      <c r="Q460" s="148">
        <v>95544</v>
      </c>
      <c r="R460" s="149" t="str">
        <f t="shared" ca="1" si="210"/>
        <v>(abra o arquivo 'Referência 05-2024.xls)</v>
      </c>
      <c r="S460" s="150" t="str">
        <f t="shared" ca="1" si="211"/>
        <v>-</v>
      </c>
      <c r="T460" s="151">
        <f ca="1">OFFSET(CÁLCULO!H$15,ROW($T460)-ROW(T$15),0)</f>
        <v>11</v>
      </c>
      <c r="U460" s="152">
        <f t="shared" ca="1" si="206"/>
        <v>0</v>
      </c>
      <c r="V460" s="153" t="s">
        <v>193</v>
      </c>
      <c r="W460" s="151">
        <f t="shared" ca="1" si="195"/>
        <v>0</v>
      </c>
      <c r="X460" s="154">
        <f t="shared" ca="1" si="196"/>
        <v>0</v>
      </c>
      <c r="Y460" s="155" t="s">
        <v>583</v>
      </c>
      <c r="Z460" t="str">
        <f t="shared" ca="1" si="197"/>
        <v/>
      </c>
      <c r="AA460" s="156">
        <f ca="1">IF($C460="S",IF($Z460="CP",$X460,IF($Z460="RA",(($X460)*QCI!$AA$3),0)),SomaAgrup)</f>
        <v>0</v>
      </c>
      <c r="AB460" s="157">
        <f t="shared" ca="1" si="198"/>
        <v>0</v>
      </c>
      <c r="AC460" s="158" t="str">
        <f t="shared" ca="1" si="199"/>
        <v/>
      </c>
      <c r="AD460" s="104" t="str">
        <f ca="1">IF(C460&lt;=CRONO.NivelExibicao,MAX($AD$15:OFFSET(AD460,-1,0))+IF($C460&lt;&gt;1,1,MAX(1,COUNTIF(QCI!$A$13:$A$24,OFFSET($E460,-1,0)))),"")</f>
        <v/>
      </c>
      <c r="AE460" s="114" t="str">
        <f t="shared" ca="1" si="200"/>
        <v>SINAPI 95544</v>
      </c>
      <c r="AF460" s="159" t="str">
        <f t="shared" ca="1" si="201"/>
        <v>(abra o arquivo 'Referência 05-2024.xls)</v>
      </c>
      <c r="AG460" s="579">
        <f t="shared" ca="1" si="202"/>
        <v>0</v>
      </c>
      <c r="AH460" s="580">
        <f t="shared" ca="1" si="203"/>
        <v>0.16800000000000001</v>
      </c>
      <c r="AJ460" s="582">
        <v>11</v>
      </c>
      <c r="AL460" s="612"/>
      <c r="AM460" s="430">
        <f t="shared" ca="1" si="204"/>
        <v>0</v>
      </c>
      <c r="AN460" s="655">
        <f t="shared" ca="1" si="205"/>
        <v>0</v>
      </c>
    </row>
    <row r="461" spans="1:40" ht="13.8" x14ac:dyDescent="0.3">
      <c r="A461" t="str">
        <f t="shared" si="184"/>
        <v>S</v>
      </c>
      <c r="B461">
        <f t="shared" ca="1" si="185"/>
        <v>2</v>
      </c>
      <c r="C461" t="str">
        <f t="shared" ca="1" si="186"/>
        <v>S</v>
      </c>
      <c r="D461">
        <f t="shared" ca="1" si="187"/>
        <v>0</v>
      </c>
      <c r="E461">
        <f ca="1">IF($C461=1,OFFSET(E461,-1,0)+MAX(1,COUNTIF(QCI!$A$13:$A$24,OFFSET(ORÇAMENTO!E461,-1,0))),OFFSET(E461,-1,0))</f>
        <v>1</v>
      </c>
      <c r="F461">
        <f t="shared" ca="1" si="188"/>
        <v>15</v>
      </c>
      <c r="G461">
        <f t="shared" ca="1" si="189"/>
        <v>0</v>
      </c>
      <c r="H461">
        <f t="shared" ca="1" si="190"/>
        <v>0</v>
      </c>
      <c r="I461">
        <f t="shared" ca="1" si="191"/>
        <v>0</v>
      </c>
      <c r="J461">
        <f t="shared" ca="1" si="207"/>
        <v>0</v>
      </c>
      <c r="K461">
        <f ca="1">IF(OR($C461="S",$C461=0),0,MATCH(OFFSET($D461,0,$C461)+IF($C461&lt;&gt;1,1,COUNTIF(QCI!$A$13:$A$24,ORÇAMENTO!E461)),OFFSET($D461,1,$C461,ROW($C$710)-ROW($C461)),0))</f>
        <v>0</v>
      </c>
      <c r="L461" s="143" t="str">
        <f t="shared" ca="1" si="192"/>
        <v/>
      </c>
      <c r="M461" s="144" t="s">
        <v>201</v>
      </c>
      <c r="N461" s="145" t="str">
        <f t="shared" ca="1" si="193"/>
        <v>Serviço</v>
      </c>
      <c r="O461" s="146" t="str">
        <f t="shared" ca="1" si="194"/>
        <v>-</v>
      </c>
      <c r="P461" s="147" t="s">
        <v>441</v>
      </c>
      <c r="Q461" s="148" t="s">
        <v>593</v>
      </c>
      <c r="R461" s="149" t="str">
        <f t="shared" ca="1" si="210"/>
        <v>(abra o arquivo 'Referência 05-2024.xls)</v>
      </c>
      <c r="S461" s="150" t="str">
        <f t="shared" ca="1" si="211"/>
        <v>-</v>
      </c>
      <c r="T461" s="151">
        <f ca="1">OFFSET(CÁLCULO!H$15,ROW($T461)-ROW(T$15),0)</f>
        <v>6</v>
      </c>
      <c r="U461" s="152">
        <f t="shared" ca="1" si="206"/>
        <v>0</v>
      </c>
      <c r="V461" s="153" t="s">
        <v>158</v>
      </c>
      <c r="W461" s="151">
        <f t="shared" ca="1" si="195"/>
        <v>0</v>
      </c>
      <c r="X461" s="154">
        <f t="shared" ca="1" si="196"/>
        <v>0</v>
      </c>
      <c r="Y461" s="155" t="s">
        <v>583</v>
      </c>
      <c r="Z461" t="str">
        <f t="shared" ca="1" si="197"/>
        <v/>
      </c>
      <c r="AA461" s="156">
        <f ca="1">IF($C461="S",IF($Z461="CP",$X461,IF($Z461="RA",(($X461)*QCI!$AA$3),0)),SomaAgrup)</f>
        <v>0</v>
      </c>
      <c r="AB461" s="157">
        <f t="shared" ca="1" si="198"/>
        <v>0</v>
      </c>
      <c r="AC461" s="158" t="str">
        <f t="shared" ca="1" si="199"/>
        <v/>
      </c>
      <c r="AD461" s="104" t="str">
        <f ca="1">IF(C461&lt;=CRONO.NivelExibicao,MAX($AD$15:OFFSET(AD461,-1,0))+IF($C461&lt;&gt;1,1,MAX(1,COUNTIF(QCI!$A$13:$A$24,OFFSET($E461,-1,0)))),"")</f>
        <v/>
      </c>
      <c r="AE461" s="114" t="str">
        <f t="shared" ca="1" si="200"/>
        <v>Composição CP-35</v>
      </c>
      <c r="AF461" s="159" t="str">
        <f t="shared" ca="1" si="201"/>
        <v>(abra o arquivo 'Referência 05-2024.xls)</v>
      </c>
      <c r="AG461" s="579">
        <f t="shared" ca="1" si="202"/>
        <v>0</v>
      </c>
      <c r="AH461" s="580">
        <f t="shared" ca="1" si="203"/>
        <v>0.22470000000000001</v>
      </c>
      <c r="AJ461" s="582">
        <v>6</v>
      </c>
      <c r="AL461" s="612"/>
      <c r="AM461" s="430">
        <f t="shared" ca="1" si="204"/>
        <v>0</v>
      </c>
      <c r="AN461" s="655">
        <f t="shared" ca="1" si="205"/>
        <v>0</v>
      </c>
    </row>
    <row r="462" spans="1:40" ht="13.8" x14ac:dyDescent="0.3">
      <c r="A462" t="str">
        <f t="shared" ref="A462:A525" si="212">CHOOSE(1+LOG(1+2*(ORÇAMENTO.Nivel="Meta")+4*(ORÇAMENTO.Nivel="Nível 2")+8*(ORÇAMENTO.Nivel="Nível 3")+16*(ORÇAMENTO.Nivel="Nível 4")+32*(ORÇAMENTO.Nivel="Serviço"),2),0,1,2,3,4,"S")</f>
        <v>S</v>
      </c>
      <c r="B462">
        <f t="shared" ref="B462:B525" ca="1" si="213">IF(OR(C462="s",C462=0),OFFSET(B462,-1,0),C462)</f>
        <v>2</v>
      </c>
      <c r="C462" t="str">
        <f t="shared" ref="C462:C525" ca="1" si="214">IF(OFFSET(C462,-1,0)="L",1,IF(OFFSET(C462,-1,0)=1,2,IF(OR(A462="s",A462=0),"S",IF(AND(OFFSET(C462,-1,0)=2,A462=4),3,IF(AND(OR(OFFSET(C462,-1,0)="s",OFFSET(C462,-1,0)=0),A462&lt;&gt;"s",A462&gt;OFFSET(B462,-1,0)),OFFSET(B462,-1,0),A462)))))</f>
        <v>S</v>
      </c>
      <c r="D462">
        <f t="shared" ref="D462:D525" ca="1" si="215">IF(OR(C462="S",C462=0),0,IF(ISERROR(K462),J462,SMALL(J462:K462,1)))</f>
        <v>0</v>
      </c>
      <c r="E462">
        <f ca="1">IF($C462=1,OFFSET(E462,-1,0)+MAX(1,COUNTIF(QCI!$A$13:$A$24,OFFSET(ORÇAMENTO!E462,-1,0))),OFFSET(E462,-1,0))</f>
        <v>1</v>
      </c>
      <c r="F462">
        <f t="shared" ref="F462:F525" ca="1" si="216">IF($C462=1,0,IF($C462=2,OFFSET(F462,-1,0)+1,OFFSET(F462,-1,0)))</f>
        <v>15</v>
      </c>
      <c r="G462">
        <f t="shared" ref="G462:G525" ca="1" si="217">IF(AND($C462&lt;=2,$C462&lt;&gt;0),0,IF($C462=3,OFFSET(G462,-1,0)+1,OFFSET(G462,-1,0)))</f>
        <v>0</v>
      </c>
      <c r="H462">
        <f t="shared" ref="H462:H525" ca="1" si="218">IF(AND($C462&lt;=3,$C462&lt;&gt;0),0,IF($C462=4,OFFSET(H462,-1,0)+1,OFFSET(H462,-1,0)))</f>
        <v>0</v>
      </c>
      <c r="I462">
        <f t="shared" ref="I462:I525" ca="1" si="219">IF(AND($C462&lt;=4,$C462&lt;&gt;0),0,IF(AND($C462="S",$X462&gt;0),OFFSET(I462,-1,0)+1,OFFSET(I462,-1,0)))</f>
        <v>0</v>
      </c>
      <c r="J462">
        <f t="shared" ca="1" si="207"/>
        <v>0</v>
      </c>
      <c r="K462">
        <f ca="1">IF(OR($C462="S",$C462=0),0,MATCH(OFFSET($D462,0,$C462)+IF($C462&lt;&gt;1,1,COUNTIF(QCI!$A$13:$A$24,ORÇAMENTO!E462)),OFFSET($D462,1,$C462,ROW($C$710)-ROW($C462)),0))</f>
        <v>0</v>
      </c>
      <c r="L462" s="143" t="str">
        <f t="shared" ref="L462:L525" ca="1" si="220">IF(OR($X462&gt;0,$C462=1,$C462=2,$C462=3,$C462=4),"F","")</f>
        <v/>
      </c>
      <c r="M462" s="144" t="s">
        <v>201</v>
      </c>
      <c r="N462" s="145" t="str">
        <f t="shared" ref="N462:N525" ca="1" si="221">CHOOSE(1+LOG(1+2*(C462=1)+4*(C462=2)+8*(C462=3)+16*(C462=4)+32*(C462="S"),2),"","Meta","Nível 2","Nível 3","Nível 4","Serviço")</f>
        <v>Serviço</v>
      </c>
      <c r="O462" s="146" t="str">
        <f t="shared" ref="O462:O525" ca="1" si="222">IF(OR($C462=0,$L462=""),"-",CONCATENATE(E462&amp;".",IF(AND($A$5&gt;=2,$C462&gt;=2),F462&amp;".",""),IF(AND($A$5&gt;=3,$C462&gt;=3),G462&amp;".",""),IF(AND($A$5&gt;=4,$C462&gt;=4),H462&amp;".",""),IF($C462="S",I462&amp;".","")))</f>
        <v>-</v>
      </c>
      <c r="P462" s="147" t="s">
        <v>441</v>
      </c>
      <c r="Q462" s="148" t="s">
        <v>594</v>
      </c>
      <c r="R462" s="149" t="str">
        <f t="shared" ca="1" si="210"/>
        <v>(abra o arquivo 'Referência 05-2024.xls)</v>
      </c>
      <c r="S462" s="150" t="str">
        <f t="shared" ca="1" si="211"/>
        <v>-</v>
      </c>
      <c r="T462" s="151">
        <f ca="1">OFFSET(CÁLCULO!H$15,ROW($T462)-ROW(T$15),0)</f>
        <v>2</v>
      </c>
      <c r="U462" s="152">
        <f t="shared" ca="1" si="206"/>
        <v>0</v>
      </c>
      <c r="V462" s="153" t="s">
        <v>158</v>
      </c>
      <c r="W462" s="151">
        <f t="shared" ref="W462:W525" ca="1" si="223">IF($C462="S",ROUND(IF(TIPOORCAMENTO="Proposto",ORÇAMENTO.CustoUnitario*(1+$AH462),ORÇAMENTO.PrecoUnitarioLicitado),15-13*$AF$10),0)</f>
        <v>0</v>
      </c>
      <c r="X462" s="154">
        <f t="shared" ref="X462:X525" ca="1" si="224">IF($C462="S",VTOTAL1,IF($C462=0,0,ROUND(SomaAgrup,15-13*$AF$11)))</f>
        <v>0</v>
      </c>
      <c r="Y462" s="155" t="s">
        <v>583</v>
      </c>
      <c r="Z462" t="str">
        <f t="shared" ref="Z462:Z525" ca="1" si="225">IF(AND($C462="S",$X462&gt;0),IF(ISBLANK($Y462),"RA",LEFT($Y462,2)),"")</f>
        <v/>
      </c>
      <c r="AA462" s="156">
        <f ca="1">IF($C462="S",IF($Z462="CP",$X462,IF($Z462="RA",(($X462)*QCI!$AA$3),0)),SomaAgrup)</f>
        <v>0</v>
      </c>
      <c r="AB462" s="157">
        <f t="shared" ref="AB462:AB525" ca="1" si="226">IF($C462="S",IF($Z462="OU",ROUND($X462,2),0),SomaAgrup)</f>
        <v>0</v>
      </c>
      <c r="AC462" s="158" t="str">
        <f t="shared" ref="AC462:AC525" ca="1" si="227">IF($N462="","",IF(ORÇAMENTO.Descricao="","DESCRIÇÃO",IF(AND($C462="S",ORÇAMENTO.Unidade=""),"UNIDADE",IF($X462&lt;0,"VALOR NEGATIVO",IF(OR(AND(TIPOORCAMENTO="Proposto",$AG462&lt;&gt;"",$AG462&gt;0,ORÇAMENTO.CustoUnitario&gt;$AG462),AND(TIPOORCAMENTO="LICITADO",ORÇAMENTO.PrecoUnitarioLicitado&gt;$AN462)),"ACIMA REF.","")))))</f>
        <v/>
      </c>
      <c r="AD462" s="104" t="str">
        <f ca="1">IF(C462&lt;=CRONO.NivelExibicao,MAX($AD$15:OFFSET(AD462,-1,0))+IF($C462&lt;&gt;1,1,MAX(1,COUNTIF(QCI!$A$13:$A$24,OFFSET($E462,-1,0)))),"")</f>
        <v/>
      </c>
      <c r="AE462" s="114" t="str">
        <f t="shared" ref="AE462:AE525" ca="1" si="228">IF(AND($C462="S",ORÇAMENTO.CodBarra&lt;&gt;""),IF(ORÇAMENTO.Fonte="",ORÇAMENTO.CodBarra,CONCATENATE(ORÇAMENTO.Fonte," ",ORÇAMENTO.CodBarra)))</f>
        <v>Composição CP-36</v>
      </c>
      <c r="AF462" s="159" t="str">
        <f t="shared" ref="AF462:AF525" ca="1" si="229">IF(ISERROR(INDIRECT(ORÇAMENTO.BancoRef)),"(abra o arquivo 'Referência "&amp;Excel_BuiltIn_Database&amp;".xls)",IF(OR($C462&lt;&gt;"S",ORÇAMENTO.CodBarra=""),"(Sem Código)",IF(ISERROR(MATCH($AE462,INDIRECT(ORÇAMENTO.BancoRef),0)),"(Código não identificado nas referências)",MATCH($AE462,INDIRECT(ORÇAMENTO.BancoRef),0))))</f>
        <v>(abra o arquivo 'Referência 05-2024.xls)</v>
      </c>
      <c r="AG462" s="579">
        <f t="shared" ref="AG462:AG525" ca="1" si="230">ROUND(IF(DESONERACAO="sim",REFERENCIA.Desonerado,REFERENCIA.NaoDesonerado),2)</f>
        <v>0</v>
      </c>
      <c r="AH462" s="580">
        <f t="shared" ref="AH462:AH525" ca="1" si="231">ROUND(IF(ISNUMBER(ORÇAMENTO.OpcaoBDI),ORÇAMENTO.OpcaoBDI,IF(LEFT(ORÇAMENTO.OpcaoBDI,3)="BDI",HLOOKUP(ORÇAMENTO.OpcaoBDI,$F$4:$H$5,2,FALSE),0)),15-11*$AF$9)</f>
        <v>0.22470000000000001</v>
      </c>
      <c r="AJ462" s="582">
        <v>2</v>
      </c>
      <c r="AL462" s="612"/>
      <c r="AM462" s="430">
        <f t="shared" ref="AM462:AM525" ca="1" si="232">$X462</f>
        <v>0</v>
      </c>
      <c r="AN462" s="655">
        <f t="shared" ref="AN462:AN525" ca="1" si="233">ROUND(ORÇAMENTO.CustoUnitario*(1+$AH462),2)</f>
        <v>0</v>
      </c>
    </row>
    <row r="463" spans="1:40" ht="13.8" x14ac:dyDescent="0.3">
      <c r="A463" t="str">
        <f t="shared" si="212"/>
        <v>S</v>
      </c>
      <c r="B463">
        <f t="shared" ca="1" si="213"/>
        <v>2</v>
      </c>
      <c r="C463" t="str">
        <f t="shared" ca="1" si="214"/>
        <v>S</v>
      </c>
      <c r="D463">
        <f t="shared" ca="1" si="215"/>
        <v>0</v>
      </c>
      <c r="E463">
        <f ca="1">IF($C463=1,OFFSET(E463,-1,0)+MAX(1,COUNTIF(QCI!$A$13:$A$24,OFFSET(ORÇAMENTO!E463,-1,0))),OFFSET(E463,-1,0))</f>
        <v>1</v>
      </c>
      <c r="F463">
        <f t="shared" ca="1" si="216"/>
        <v>15</v>
      </c>
      <c r="G463">
        <f t="shared" ca="1" si="217"/>
        <v>0</v>
      </c>
      <c r="H463">
        <f t="shared" ca="1" si="218"/>
        <v>0</v>
      </c>
      <c r="I463">
        <f t="shared" ca="1" si="219"/>
        <v>0</v>
      </c>
      <c r="J463">
        <f t="shared" ca="1" si="207"/>
        <v>0</v>
      </c>
      <c r="K463">
        <f ca="1">IF(OR($C463="S",$C463=0),0,MATCH(OFFSET($D463,0,$C463)+IF($C463&lt;&gt;1,1,COUNTIF(QCI!$A$13:$A$24,ORÇAMENTO!E463)),OFFSET($D463,1,$C463,ROW($C$710)-ROW($C463)),0))</f>
        <v>0</v>
      </c>
      <c r="L463" s="143" t="str">
        <f t="shared" ca="1" si="220"/>
        <v/>
      </c>
      <c r="M463" s="144" t="s">
        <v>201</v>
      </c>
      <c r="N463" s="145" t="str">
        <f t="shared" ca="1" si="221"/>
        <v>Serviço</v>
      </c>
      <c r="O463" s="146" t="str">
        <f t="shared" ca="1" si="222"/>
        <v>-</v>
      </c>
      <c r="P463" s="147" t="s">
        <v>249</v>
      </c>
      <c r="Q463" s="148">
        <v>86915</v>
      </c>
      <c r="R463" s="149" t="str">
        <f t="shared" ca="1" si="210"/>
        <v>(abra o arquivo 'Referência 05-2024.xls)</v>
      </c>
      <c r="S463" s="150" t="str">
        <f t="shared" ca="1" si="211"/>
        <v>-</v>
      </c>
      <c r="T463" s="151">
        <f ca="1">OFFSET(CÁLCULO!H$15,ROW($T463)-ROW(T$15),0)</f>
        <v>9</v>
      </c>
      <c r="U463" s="152">
        <f t="shared" ca="1" si="206"/>
        <v>0</v>
      </c>
      <c r="V463" s="153" t="s">
        <v>158</v>
      </c>
      <c r="W463" s="151">
        <f t="shared" ca="1" si="223"/>
        <v>0</v>
      </c>
      <c r="X463" s="154">
        <f t="shared" ca="1" si="224"/>
        <v>0</v>
      </c>
      <c r="Y463" s="155" t="s">
        <v>583</v>
      </c>
      <c r="Z463" t="str">
        <f t="shared" ca="1" si="225"/>
        <v/>
      </c>
      <c r="AA463" s="156">
        <f ca="1">IF($C463="S",IF($Z463="CP",$X463,IF($Z463="RA",(($X463)*QCI!$AA$3),0)),SomaAgrup)</f>
        <v>0</v>
      </c>
      <c r="AB463" s="157">
        <f t="shared" ca="1" si="226"/>
        <v>0</v>
      </c>
      <c r="AC463" s="158" t="str">
        <f t="shared" ca="1" si="227"/>
        <v/>
      </c>
      <c r="AD463" s="104" t="str">
        <f ca="1">IF(C463&lt;=CRONO.NivelExibicao,MAX($AD$15:OFFSET(AD463,-1,0))+IF($C463&lt;&gt;1,1,MAX(1,COUNTIF(QCI!$A$13:$A$24,OFFSET($E463,-1,0)))),"")</f>
        <v/>
      </c>
      <c r="AE463" s="114" t="str">
        <f t="shared" ca="1" si="228"/>
        <v>SINAPI 86915</v>
      </c>
      <c r="AF463" s="159" t="str">
        <f t="shared" ca="1" si="229"/>
        <v>(abra o arquivo 'Referência 05-2024.xls)</v>
      </c>
      <c r="AG463" s="579">
        <f t="shared" ca="1" si="230"/>
        <v>0</v>
      </c>
      <c r="AH463" s="580">
        <f t="shared" ca="1" si="231"/>
        <v>0.22470000000000001</v>
      </c>
      <c r="AJ463" s="582">
        <v>9</v>
      </c>
      <c r="AL463" s="612"/>
      <c r="AM463" s="430">
        <f t="shared" ca="1" si="232"/>
        <v>0</v>
      </c>
      <c r="AN463" s="655">
        <f t="shared" ca="1" si="233"/>
        <v>0</v>
      </c>
    </row>
    <row r="464" spans="1:40" ht="13.8" x14ac:dyDescent="0.3">
      <c r="A464" t="str">
        <f t="shared" si="212"/>
        <v>S</v>
      </c>
      <c r="B464">
        <f t="shared" ca="1" si="213"/>
        <v>2</v>
      </c>
      <c r="C464" t="str">
        <f t="shared" ca="1" si="214"/>
        <v>S</v>
      </c>
      <c r="D464">
        <f t="shared" ca="1" si="215"/>
        <v>0</v>
      </c>
      <c r="E464">
        <f ca="1">IF($C464=1,OFFSET(E464,-1,0)+MAX(1,COUNTIF(QCI!$A$13:$A$24,OFFSET(ORÇAMENTO!E464,-1,0))),OFFSET(E464,-1,0))</f>
        <v>1</v>
      </c>
      <c r="F464">
        <f t="shared" ca="1" si="216"/>
        <v>15</v>
      </c>
      <c r="G464">
        <f t="shared" ca="1" si="217"/>
        <v>0</v>
      </c>
      <c r="H464">
        <f t="shared" ca="1" si="218"/>
        <v>0</v>
      </c>
      <c r="I464">
        <f t="shared" ca="1" si="219"/>
        <v>0</v>
      </c>
      <c r="J464">
        <f t="shared" ref="J464:J527" ca="1" si="234">IF(OR($C464="S",$C464=0),0,MATCH(0,OFFSET($D464,1,$C464,ROW($C$710)-ROW($C464)),0))</f>
        <v>0</v>
      </c>
      <c r="K464">
        <f ca="1">IF(OR($C464="S",$C464=0),0,MATCH(OFFSET($D464,0,$C464)+IF($C464&lt;&gt;1,1,COUNTIF(QCI!$A$13:$A$24,ORÇAMENTO!E464)),OFFSET($D464,1,$C464,ROW($C$710)-ROW($C464)),0))</f>
        <v>0</v>
      </c>
      <c r="L464" s="143" t="str">
        <f t="shared" ca="1" si="220"/>
        <v/>
      </c>
      <c r="M464" s="144" t="s">
        <v>201</v>
      </c>
      <c r="N464" s="145" t="str">
        <f t="shared" ca="1" si="221"/>
        <v>Serviço</v>
      </c>
      <c r="O464" s="146" t="str">
        <f t="shared" ca="1" si="222"/>
        <v>-</v>
      </c>
      <c r="P464" s="147" t="s">
        <v>249</v>
      </c>
      <c r="Q464" s="148">
        <v>86910</v>
      </c>
      <c r="R464" s="149" t="str">
        <f t="shared" ca="1" si="210"/>
        <v>(abra o arquivo 'Referência 05-2024.xls)</v>
      </c>
      <c r="S464" s="150" t="str">
        <f t="shared" ca="1" si="211"/>
        <v>-</v>
      </c>
      <c r="T464" s="151">
        <f ca="1">OFFSET(CÁLCULO!H$15,ROW($T464)-ROW(T$15),0)</f>
        <v>6</v>
      </c>
      <c r="U464" s="152">
        <f t="shared" ca="1" si="206"/>
        <v>0</v>
      </c>
      <c r="V464" s="153" t="s">
        <v>158</v>
      </c>
      <c r="W464" s="151">
        <f t="shared" ca="1" si="223"/>
        <v>0</v>
      </c>
      <c r="X464" s="154">
        <f t="shared" ca="1" si="224"/>
        <v>0</v>
      </c>
      <c r="Y464" s="155" t="s">
        <v>583</v>
      </c>
      <c r="Z464" t="str">
        <f t="shared" ca="1" si="225"/>
        <v/>
      </c>
      <c r="AA464" s="156">
        <f ca="1">IF($C464="S",IF($Z464="CP",$X464,IF($Z464="RA",(($X464)*QCI!$AA$3),0)),SomaAgrup)</f>
        <v>0</v>
      </c>
      <c r="AB464" s="157">
        <f t="shared" ca="1" si="226"/>
        <v>0</v>
      </c>
      <c r="AC464" s="158" t="str">
        <f t="shared" ca="1" si="227"/>
        <v/>
      </c>
      <c r="AD464" s="104" t="str">
        <f ca="1">IF(C464&lt;=CRONO.NivelExibicao,MAX($AD$15:OFFSET(AD464,-1,0))+IF($C464&lt;&gt;1,1,MAX(1,COUNTIF(QCI!$A$13:$A$24,OFFSET($E464,-1,0)))),"")</f>
        <v/>
      </c>
      <c r="AE464" s="114" t="str">
        <f t="shared" ca="1" si="228"/>
        <v>SINAPI 86910</v>
      </c>
      <c r="AF464" s="159" t="str">
        <f t="shared" ca="1" si="229"/>
        <v>(abra o arquivo 'Referência 05-2024.xls)</v>
      </c>
      <c r="AG464" s="579">
        <f t="shared" ca="1" si="230"/>
        <v>0</v>
      </c>
      <c r="AH464" s="580">
        <f t="shared" ca="1" si="231"/>
        <v>0.22470000000000001</v>
      </c>
      <c r="AJ464" s="582">
        <v>6</v>
      </c>
      <c r="AL464" s="612"/>
      <c r="AM464" s="430">
        <f t="shared" ca="1" si="232"/>
        <v>0</v>
      </c>
      <c r="AN464" s="655">
        <f t="shared" ca="1" si="233"/>
        <v>0</v>
      </c>
    </row>
    <row r="465" spans="1:40" ht="13.8" x14ac:dyDescent="0.3">
      <c r="A465" t="str">
        <f t="shared" si="212"/>
        <v>S</v>
      </c>
      <c r="B465">
        <f t="shared" ca="1" si="213"/>
        <v>2</v>
      </c>
      <c r="C465" t="str">
        <f t="shared" ca="1" si="214"/>
        <v>S</v>
      </c>
      <c r="D465">
        <f t="shared" ca="1" si="215"/>
        <v>0</v>
      </c>
      <c r="E465">
        <f ca="1">IF($C465=1,OFFSET(E465,-1,0)+MAX(1,COUNTIF(QCI!$A$13:$A$24,OFFSET(ORÇAMENTO!E465,-1,0))),OFFSET(E465,-1,0))</f>
        <v>1</v>
      </c>
      <c r="F465">
        <f t="shared" ca="1" si="216"/>
        <v>15</v>
      </c>
      <c r="G465">
        <f t="shared" ca="1" si="217"/>
        <v>0</v>
      </c>
      <c r="H465">
        <f t="shared" ca="1" si="218"/>
        <v>0</v>
      </c>
      <c r="I465">
        <f t="shared" ca="1" si="219"/>
        <v>0</v>
      </c>
      <c r="J465">
        <f t="shared" ca="1" si="234"/>
        <v>0</v>
      </c>
      <c r="K465">
        <f ca="1">IF(OR($C465="S",$C465=0),0,MATCH(OFFSET($D465,0,$C465)+IF($C465&lt;&gt;1,1,COUNTIF(QCI!$A$13:$A$24,ORÇAMENTO!E465)),OFFSET($D465,1,$C465,ROW($C$710)-ROW($C465)),0))</f>
        <v>0</v>
      </c>
      <c r="L465" s="143" t="str">
        <f t="shared" ca="1" si="220"/>
        <v/>
      </c>
      <c r="M465" s="144" t="s">
        <v>201</v>
      </c>
      <c r="N465" s="145" t="str">
        <f t="shared" ca="1" si="221"/>
        <v>Serviço</v>
      </c>
      <c r="O465" s="146" t="str">
        <f t="shared" ca="1" si="222"/>
        <v>-</v>
      </c>
      <c r="P465" s="147" t="s">
        <v>441</v>
      </c>
      <c r="Q465" s="148" t="s">
        <v>597</v>
      </c>
      <c r="R465" s="149" t="str">
        <f t="shared" ca="1" si="210"/>
        <v>(abra o arquivo 'Referência 05-2024.xls)</v>
      </c>
      <c r="S465" s="150" t="str">
        <f t="shared" ca="1" si="211"/>
        <v>-</v>
      </c>
      <c r="T465" s="151">
        <f ca="1">OFFSET(CÁLCULO!H$15,ROW($T465)-ROW(T$15),0)</f>
        <v>16</v>
      </c>
      <c r="U465" s="152">
        <f t="shared" ref="U465:U527" ca="1" si="235">AG465</f>
        <v>0</v>
      </c>
      <c r="V465" s="153" t="s">
        <v>158</v>
      </c>
      <c r="W465" s="151">
        <f t="shared" ca="1" si="223"/>
        <v>0</v>
      </c>
      <c r="X465" s="154">
        <f t="shared" ca="1" si="224"/>
        <v>0</v>
      </c>
      <c r="Y465" s="155" t="s">
        <v>583</v>
      </c>
      <c r="Z465" t="str">
        <f t="shared" ca="1" si="225"/>
        <v/>
      </c>
      <c r="AA465" s="156">
        <f ca="1">IF($C465="S",IF($Z465="CP",$X465,IF($Z465="RA",(($X465)*QCI!$AA$3),0)),SomaAgrup)</f>
        <v>0</v>
      </c>
      <c r="AB465" s="157">
        <f t="shared" ca="1" si="226"/>
        <v>0</v>
      </c>
      <c r="AC465" s="158" t="str">
        <f t="shared" ca="1" si="227"/>
        <v/>
      </c>
      <c r="AD465" s="104" t="str">
        <f ca="1">IF(C465&lt;=CRONO.NivelExibicao,MAX($AD$15:OFFSET(AD465,-1,0))+IF($C465&lt;&gt;1,1,MAX(1,COUNTIF(QCI!$A$13:$A$24,OFFSET($E465,-1,0)))),"")</f>
        <v/>
      </c>
      <c r="AE465" s="114" t="str">
        <f t="shared" ca="1" si="228"/>
        <v>Composição CP-37</v>
      </c>
      <c r="AF465" s="159" t="str">
        <f t="shared" ca="1" si="229"/>
        <v>(abra o arquivo 'Referência 05-2024.xls)</v>
      </c>
      <c r="AG465" s="579">
        <f t="shared" ca="1" si="230"/>
        <v>0</v>
      </c>
      <c r="AH465" s="580">
        <f t="shared" ca="1" si="231"/>
        <v>0.22470000000000001</v>
      </c>
      <c r="AJ465" s="582">
        <v>16</v>
      </c>
      <c r="AL465" s="612"/>
      <c r="AM465" s="430">
        <f t="shared" ca="1" si="232"/>
        <v>0</v>
      </c>
      <c r="AN465" s="655">
        <f t="shared" ca="1" si="233"/>
        <v>0</v>
      </c>
    </row>
    <row r="466" spans="1:40" ht="13.8" x14ac:dyDescent="0.3">
      <c r="A466" t="str">
        <f t="shared" si="212"/>
        <v>S</v>
      </c>
      <c r="B466">
        <f t="shared" ca="1" si="213"/>
        <v>2</v>
      </c>
      <c r="C466" t="str">
        <f t="shared" ca="1" si="214"/>
        <v>S</v>
      </c>
      <c r="D466">
        <f t="shared" ca="1" si="215"/>
        <v>0</v>
      </c>
      <c r="E466">
        <f ca="1">IF($C466=1,OFFSET(E466,-1,0)+MAX(1,COUNTIF(QCI!$A$13:$A$24,OFFSET(ORÇAMENTO!E466,-1,0))),OFFSET(E466,-1,0))</f>
        <v>1</v>
      </c>
      <c r="F466">
        <f t="shared" ca="1" si="216"/>
        <v>15</v>
      </c>
      <c r="G466">
        <f t="shared" ca="1" si="217"/>
        <v>0</v>
      </c>
      <c r="H466">
        <f t="shared" ca="1" si="218"/>
        <v>0</v>
      </c>
      <c r="I466">
        <f t="shared" ca="1" si="219"/>
        <v>0</v>
      </c>
      <c r="J466">
        <f t="shared" ca="1" si="234"/>
        <v>0</v>
      </c>
      <c r="K466">
        <f ca="1">IF(OR($C466="S",$C466=0),0,MATCH(OFFSET($D466,0,$C466)+IF($C466&lt;&gt;1,1,COUNTIF(QCI!$A$13:$A$24,ORÇAMENTO!E466)),OFFSET($D466,1,$C466,ROW($C$710)-ROW($C466)),0))</f>
        <v>0</v>
      </c>
      <c r="L466" s="143" t="str">
        <f t="shared" ca="1" si="220"/>
        <v/>
      </c>
      <c r="M466" s="144" t="s">
        <v>201</v>
      </c>
      <c r="N466" s="145" t="str">
        <f t="shared" ca="1" si="221"/>
        <v>Serviço</v>
      </c>
      <c r="O466" s="146" t="str">
        <f t="shared" ca="1" si="222"/>
        <v>-</v>
      </c>
      <c r="P466" s="147" t="s">
        <v>249</v>
      </c>
      <c r="Q466" s="148">
        <v>100853</v>
      </c>
      <c r="R466" s="149" t="str">
        <f t="shared" ca="1" si="210"/>
        <v>(abra o arquivo 'Referência 05-2024.xls)</v>
      </c>
      <c r="S466" s="150" t="str">
        <f t="shared" ca="1" si="211"/>
        <v>-</v>
      </c>
      <c r="T466" s="151">
        <f ca="1">OFFSET(CÁLCULO!H$15,ROW($T466)-ROW(T$15),0)</f>
        <v>6</v>
      </c>
      <c r="U466" s="152">
        <f t="shared" ca="1" si="235"/>
        <v>0</v>
      </c>
      <c r="V466" s="153" t="s">
        <v>158</v>
      </c>
      <c r="W466" s="151">
        <f t="shared" ca="1" si="223"/>
        <v>0</v>
      </c>
      <c r="X466" s="154">
        <f t="shared" ca="1" si="224"/>
        <v>0</v>
      </c>
      <c r="Y466" s="155" t="s">
        <v>583</v>
      </c>
      <c r="Z466" t="str">
        <f t="shared" ca="1" si="225"/>
        <v/>
      </c>
      <c r="AA466" s="156">
        <f ca="1">IF($C466="S",IF($Z466="CP",$X466,IF($Z466="RA",(($X466)*QCI!$AA$3),0)),SomaAgrup)</f>
        <v>0</v>
      </c>
      <c r="AB466" s="157">
        <f t="shared" ca="1" si="226"/>
        <v>0</v>
      </c>
      <c r="AC466" s="158" t="str">
        <f t="shared" ca="1" si="227"/>
        <v/>
      </c>
      <c r="AD466" s="104" t="str">
        <f ca="1">IF(C466&lt;=CRONO.NivelExibicao,MAX($AD$15:OFFSET(AD466,-1,0))+IF($C466&lt;&gt;1,1,MAX(1,COUNTIF(QCI!$A$13:$A$24,OFFSET($E466,-1,0)))),"")</f>
        <v/>
      </c>
      <c r="AE466" s="114" t="str">
        <f t="shared" ca="1" si="228"/>
        <v>SINAPI 100853</v>
      </c>
      <c r="AF466" s="159" t="str">
        <f t="shared" ca="1" si="229"/>
        <v>(abra o arquivo 'Referência 05-2024.xls)</v>
      </c>
      <c r="AG466" s="579">
        <f t="shared" ca="1" si="230"/>
        <v>0</v>
      </c>
      <c r="AH466" s="580">
        <f t="shared" ca="1" si="231"/>
        <v>0.22470000000000001</v>
      </c>
      <c r="AJ466" s="582">
        <v>6</v>
      </c>
      <c r="AL466" s="612"/>
      <c r="AM466" s="430">
        <f t="shared" ca="1" si="232"/>
        <v>0</v>
      </c>
      <c r="AN466" s="655">
        <f t="shared" ca="1" si="233"/>
        <v>0</v>
      </c>
    </row>
    <row r="467" spans="1:40" ht="13.8" x14ac:dyDescent="0.3">
      <c r="A467" t="str">
        <f t="shared" si="212"/>
        <v>S</v>
      </c>
      <c r="B467">
        <f t="shared" ca="1" si="213"/>
        <v>2</v>
      </c>
      <c r="C467" t="str">
        <f t="shared" ca="1" si="214"/>
        <v>S</v>
      </c>
      <c r="D467">
        <f t="shared" ca="1" si="215"/>
        <v>0</v>
      </c>
      <c r="E467">
        <f ca="1">IF($C467=1,OFFSET(E467,-1,0)+MAX(1,COUNTIF(QCI!$A$13:$A$24,OFFSET(ORÇAMENTO!E467,-1,0))),OFFSET(E467,-1,0))</f>
        <v>1</v>
      </c>
      <c r="F467">
        <f t="shared" ca="1" si="216"/>
        <v>15</v>
      </c>
      <c r="G467">
        <f t="shared" ca="1" si="217"/>
        <v>0</v>
      </c>
      <c r="H467">
        <f t="shared" ca="1" si="218"/>
        <v>0</v>
      </c>
      <c r="I467">
        <f t="shared" ca="1" si="219"/>
        <v>0</v>
      </c>
      <c r="J467">
        <f t="shared" ca="1" si="234"/>
        <v>0</v>
      </c>
      <c r="K467">
        <f ca="1">IF(OR($C467="S",$C467=0),0,MATCH(OFFSET($D467,0,$C467)+IF($C467&lt;&gt;1,1,COUNTIF(QCI!$A$13:$A$24,ORÇAMENTO!E467)),OFFSET($D467,1,$C467,ROW($C$710)-ROW($C467)),0))</f>
        <v>0</v>
      </c>
      <c r="L467" s="143" t="str">
        <f t="shared" ca="1" si="220"/>
        <v/>
      </c>
      <c r="M467" s="144" t="s">
        <v>201</v>
      </c>
      <c r="N467" s="145" t="str">
        <f t="shared" ca="1" si="221"/>
        <v>Serviço</v>
      </c>
      <c r="O467" s="146" t="str">
        <f t="shared" ca="1" si="222"/>
        <v>-</v>
      </c>
      <c r="P467" s="147" t="s">
        <v>249</v>
      </c>
      <c r="Q467" s="148">
        <v>95547</v>
      </c>
      <c r="R467" s="149" t="str">
        <f t="shared" ca="1" si="210"/>
        <v>(abra o arquivo 'Referência 05-2024.xls)</v>
      </c>
      <c r="S467" s="150" t="str">
        <f t="shared" ca="1" si="211"/>
        <v>-</v>
      </c>
      <c r="T467" s="151">
        <f ca="1">OFFSET(CÁLCULO!H$15,ROW($T467)-ROW(T$15),0)</f>
        <v>15</v>
      </c>
      <c r="U467" s="152">
        <f t="shared" ca="1" si="235"/>
        <v>0</v>
      </c>
      <c r="V467" s="153" t="s">
        <v>193</v>
      </c>
      <c r="W467" s="151">
        <f t="shared" ca="1" si="223"/>
        <v>0</v>
      </c>
      <c r="X467" s="154">
        <f t="shared" ca="1" si="224"/>
        <v>0</v>
      </c>
      <c r="Y467" s="155" t="s">
        <v>583</v>
      </c>
      <c r="Z467" t="str">
        <f t="shared" ca="1" si="225"/>
        <v/>
      </c>
      <c r="AA467" s="156">
        <f ca="1">IF($C467="S",IF($Z467="CP",$X467,IF($Z467="RA",(($X467)*QCI!$AA$3),0)),SomaAgrup)</f>
        <v>0</v>
      </c>
      <c r="AB467" s="157">
        <f t="shared" ca="1" si="226"/>
        <v>0</v>
      </c>
      <c r="AC467" s="158" t="str">
        <f t="shared" ca="1" si="227"/>
        <v/>
      </c>
      <c r="AD467" s="104" t="str">
        <f ca="1">IF(C467&lt;=CRONO.NivelExibicao,MAX($AD$15:OFFSET(AD467,-1,0))+IF($C467&lt;&gt;1,1,MAX(1,COUNTIF(QCI!$A$13:$A$24,OFFSET($E467,-1,0)))),"")</f>
        <v/>
      </c>
      <c r="AE467" s="114" t="str">
        <f t="shared" ca="1" si="228"/>
        <v>SINAPI 95547</v>
      </c>
      <c r="AF467" s="159" t="str">
        <f t="shared" ca="1" si="229"/>
        <v>(abra o arquivo 'Referência 05-2024.xls)</v>
      </c>
      <c r="AG467" s="579">
        <f t="shared" ca="1" si="230"/>
        <v>0</v>
      </c>
      <c r="AH467" s="580">
        <f t="shared" ca="1" si="231"/>
        <v>0.16800000000000001</v>
      </c>
      <c r="AJ467" s="582">
        <v>15</v>
      </c>
      <c r="AL467" s="612"/>
      <c r="AM467" s="430">
        <f t="shared" ca="1" si="232"/>
        <v>0</v>
      </c>
      <c r="AN467" s="655">
        <f t="shared" ca="1" si="233"/>
        <v>0</v>
      </c>
    </row>
    <row r="468" spans="1:40" ht="13.8" x14ac:dyDescent="0.3">
      <c r="A468" t="str">
        <f t="shared" si="212"/>
        <v>S</v>
      </c>
      <c r="B468">
        <f t="shared" ca="1" si="213"/>
        <v>2</v>
      </c>
      <c r="C468" t="str">
        <f t="shared" ca="1" si="214"/>
        <v>S</v>
      </c>
      <c r="D468">
        <f t="shared" ca="1" si="215"/>
        <v>0</v>
      </c>
      <c r="E468">
        <f ca="1">IF($C468=1,OFFSET(E468,-1,0)+MAX(1,COUNTIF(QCI!$A$13:$A$24,OFFSET(ORÇAMENTO!E468,-1,0))),OFFSET(E468,-1,0))</f>
        <v>1</v>
      </c>
      <c r="F468">
        <f t="shared" ca="1" si="216"/>
        <v>15</v>
      </c>
      <c r="G468">
        <f t="shared" ca="1" si="217"/>
        <v>0</v>
      </c>
      <c r="H468">
        <f t="shared" ca="1" si="218"/>
        <v>0</v>
      </c>
      <c r="I468">
        <f t="shared" ca="1" si="219"/>
        <v>0</v>
      </c>
      <c r="J468">
        <f t="shared" ca="1" si="234"/>
        <v>0</v>
      </c>
      <c r="K468">
        <f ca="1">IF(OR($C468="S",$C468=0),0,MATCH(OFFSET($D468,0,$C468)+IF($C468&lt;&gt;1,1,COUNTIF(QCI!$A$13:$A$24,ORÇAMENTO!E468)),OFFSET($D468,1,$C468,ROW($C$710)-ROW($C468)),0))</f>
        <v>0</v>
      </c>
      <c r="L468" s="143" t="str">
        <f t="shared" ca="1" si="220"/>
        <v/>
      </c>
      <c r="M468" s="144" t="s">
        <v>201</v>
      </c>
      <c r="N468" s="145" t="str">
        <f t="shared" ca="1" si="221"/>
        <v>Serviço</v>
      </c>
      <c r="O468" s="146" t="str">
        <f t="shared" ca="1" si="222"/>
        <v>-</v>
      </c>
      <c r="P468" s="147" t="s">
        <v>441</v>
      </c>
      <c r="Q468" s="148" t="s">
        <v>622</v>
      </c>
      <c r="R468" s="149" t="str">
        <f t="shared" ca="1" si="210"/>
        <v>(abra o arquivo 'Referência 05-2024.xls)</v>
      </c>
      <c r="S468" s="150" t="str">
        <f t="shared" ca="1" si="211"/>
        <v>-</v>
      </c>
      <c r="T468" s="151">
        <f ca="1">OFFSET(CÁLCULO!H$15,ROW($T468)-ROW(T$15),0)</f>
        <v>16</v>
      </c>
      <c r="U468" s="152">
        <f t="shared" ca="1" si="235"/>
        <v>0</v>
      </c>
      <c r="V468" s="153" t="s">
        <v>193</v>
      </c>
      <c r="W468" s="151">
        <f t="shared" ca="1" si="223"/>
        <v>0</v>
      </c>
      <c r="X468" s="154">
        <f t="shared" ca="1" si="224"/>
        <v>0</v>
      </c>
      <c r="Y468" s="155" t="s">
        <v>583</v>
      </c>
      <c r="Z468" t="str">
        <f t="shared" ca="1" si="225"/>
        <v/>
      </c>
      <c r="AA468" s="156">
        <f ca="1">IF($C468="S",IF($Z468="CP",$X468,IF($Z468="RA",(($X468)*QCI!$AA$3),0)),SomaAgrup)</f>
        <v>0</v>
      </c>
      <c r="AB468" s="157">
        <f t="shared" ca="1" si="226"/>
        <v>0</v>
      </c>
      <c r="AC468" s="158" t="str">
        <f t="shared" ca="1" si="227"/>
        <v/>
      </c>
      <c r="AD468" s="104" t="str">
        <f ca="1">IF(C468&lt;=CRONO.NivelExibicao,MAX($AD$15:OFFSET(AD468,-1,0))+IF($C468&lt;&gt;1,1,MAX(1,COUNTIF(QCI!$A$13:$A$24,OFFSET($E468,-1,0)))),"")</f>
        <v/>
      </c>
      <c r="AE468" s="114" t="str">
        <f t="shared" ca="1" si="228"/>
        <v>Composição CP-58</v>
      </c>
      <c r="AF468" s="159" t="str">
        <f t="shared" ca="1" si="229"/>
        <v>(abra o arquivo 'Referência 05-2024.xls)</v>
      </c>
      <c r="AG468" s="579">
        <f t="shared" ca="1" si="230"/>
        <v>0</v>
      </c>
      <c r="AH468" s="580">
        <f t="shared" ca="1" si="231"/>
        <v>0.16800000000000001</v>
      </c>
      <c r="AJ468" s="582">
        <v>16</v>
      </c>
      <c r="AL468" s="612"/>
      <c r="AM468" s="430">
        <f t="shared" ca="1" si="232"/>
        <v>0</v>
      </c>
      <c r="AN468" s="655">
        <f t="shared" ca="1" si="233"/>
        <v>0</v>
      </c>
    </row>
    <row r="469" spans="1:40" ht="13.8" x14ac:dyDescent="0.3">
      <c r="A469" t="str">
        <f t="shared" si="212"/>
        <v>S</v>
      </c>
      <c r="B469">
        <f t="shared" ca="1" si="213"/>
        <v>2</v>
      </c>
      <c r="C469" t="str">
        <f t="shared" ca="1" si="214"/>
        <v>S</v>
      </c>
      <c r="D469">
        <f t="shared" ca="1" si="215"/>
        <v>0</v>
      </c>
      <c r="E469">
        <f ca="1">IF($C469=1,OFFSET(E469,-1,0)+MAX(1,COUNTIF(QCI!$A$13:$A$24,OFFSET(ORÇAMENTO!E469,-1,0))),OFFSET(E469,-1,0))</f>
        <v>1</v>
      </c>
      <c r="F469">
        <f t="shared" ca="1" si="216"/>
        <v>15</v>
      </c>
      <c r="G469">
        <f t="shared" ca="1" si="217"/>
        <v>0</v>
      </c>
      <c r="H469">
        <f t="shared" ca="1" si="218"/>
        <v>0</v>
      </c>
      <c r="I469">
        <f t="shared" ca="1" si="219"/>
        <v>0</v>
      </c>
      <c r="J469">
        <f t="shared" ca="1" si="234"/>
        <v>0</v>
      </c>
      <c r="K469">
        <f ca="1">IF(OR($C469="S",$C469=0),0,MATCH(OFFSET($D469,0,$C469)+IF($C469&lt;&gt;1,1,COUNTIF(QCI!$A$13:$A$24,ORÇAMENTO!E469)),OFFSET($D469,1,$C469,ROW($C$710)-ROW($C469)),0))</f>
        <v>0</v>
      </c>
      <c r="L469" s="143" t="str">
        <f t="shared" ca="1" si="220"/>
        <v/>
      </c>
      <c r="M469" s="144" t="s">
        <v>201</v>
      </c>
      <c r="N469" s="145" t="str">
        <f t="shared" ca="1" si="221"/>
        <v>Serviço</v>
      </c>
      <c r="O469" s="146" t="str">
        <f t="shared" ca="1" si="222"/>
        <v>-</v>
      </c>
      <c r="P469" s="147" t="s">
        <v>441</v>
      </c>
      <c r="Q469" s="148" t="s">
        <v>623</v>
      </c>
      <c r="R469" s="149" t="str">
        <f t="shared" ca="1" si="210"/>
        <v>(abra o arquivo 'Referência 05-2024.xls)</v>
      </c>
      <c r="S469" s="150" t="str">
        <f t="shared" ca="1" si="211"/>
        <v>-</v>
      </c>
      <c r="T469" s="151">
        <f ca="1">OFFSET(CÁLCULO!H$15,ROW($T469)-ROW(T$15),0)</f>
        <v>10</v>
      </c>
      <c r="U469" s="152">
        <f t="shared" ca="1" si="235"/>
        <v>0</v>
      </c>
      <c r="V469" s="153" t="s">
        <v>193</v>
      </c>
      <c r="W469" s="151">
        <f t="shared" ca="1" si="223"/>
        <v>0</v>
      </c>
      <c r="X469" s="154">
        <f t="shared" ca="1" si="224"/>
        <v>0</v>
      </c>
      <c r="Y469" s="155" t="s">
        <v>583</v>
      </c>
      <c r="Z469" t="str">
        <f t="shared" ca="1" si="225"/>
        <v/>
      </c>
      <c r="AA469" s="156">
        <f ca="1">IF($C469="S",IF($Z469="CP",$X469,IF($Z469="RA",(($X469)*QCI!$AA$3),0)),SomaAgrup)</f>
        <v>0</v>
      </c>
      <c r="AB469" s="157">
        <f t="shared" ca="1" si="226"/>
        <v>0</v>
      </c>
      <c r="AC469" s="158" t="str">
        <f t="shared" ca="1" si="227"/>
        <v/>
      </c>
      <c r="AD469" s="104" t="str">
        <f ca="1">IF(C469&lt;=CRONO.NivelExibicao,MAX($AD$15:OFFSET(AD469,-1,0))+IF($C469&lt;&gt;1,1,MAX(1,COUNTIF(QCI!$A$13:$A$24,OFFSET($E469,-1,0)))),"")</f>
        <v/>
      </c>
      <c r="AE469" s="114" t="str">
        <f t="shared" ca="1" si="228"/>
        <v>Composição CP-59</v>
      </c>
      <c r="AF469" s="159" t="str">
        <f t="shared" ca="1" si="229"/>
        <v>(abra o arquivo 'Referência 05-2024.xls)</v>
      </c>
      <c r="AG469" s="579">
        <f t="shared" ca="1" si="230"/>
        <v>0</v>
      </c>
      <c r="AH469" s="580">
        <f t="shared" ca="1" si="231"/>
        <v>0.16800000000000001</v>
      </c>
      <c r="AJ469" s="582">
        <v>10</v>
      </c>
      <c r="AL469" s="612"/>
      <c r="AM469" s="430">
        <f t="shared" ca="1" si="232"/>
        <v>0</v>
      </c>
      <c r="AN469" s="655">
        <f t="shared" ca="1" si="233"/>
        <v>0</v>
      </c>
    </row>
    <row r="470" spans="1:40" ht="13.8" x14ac:dyDescent="0.3">
      <c r="A470" t="str">
        <f t="shared" si="212"/>
        <v>S</v>
      </c>
      <c r="B470">
        <f t="shared" ca="1" si="213"/>
        <v>2</v>
      </c>
      <c r="C470" t="str">
        <f t="shared" ca="1" si="214"/>
        <v>S</v>
      </c>
      <c r="D470">
        <f t="shared" ca="1" si="215"/>
        <v>0</v>
      </c>
      <c r="E470">
        <f ca="1">IF($C470=1,OFFSET(E470,-1,0)+MAX(1,COUNTIF(QCI!$A$13:$A$24,OFFSET(ORÇAMENTO!E470,-1,0))),OFFSET(E470,-1,0))</f>
        <v>1</v>
      </c>
      <c r="F470">
        <f t="shared" ca="1" si="216"/>
        <v>15</v>
      </c>
      <c r="G470">
        <f t="shared" ca="1" si="217"/>
        <v>0</v>
      </c>
      <c r="H470">
        <f t="shared" ca="1" si="218"/>
        <v>0</v>
      </c>
      <c r="I470">
        <f t="shared" ca="1" si="219"/>
        <v>0</v>
      </c>
      <c r="J470">
        <f t="shared" ca="1" si="234"/>
        <v>0</v>
      </c>
      <c r="K470">
        <f ca="1">IF(OR($C470="S",$C470=0),0,MATCH(OFFSET($D470,0,$C470)+IF($C470&lt;&gt;1,1,COUNTIF(QCI!$A$13:$A$24,ORÇAMENTO!E470)),OFFSET($D470,1,$C470,ROW($C$710)-ROW($C470)),0))</f>
        <v>0</v>
      </c>
      <c r="L470" s="143" t="str">
        <f t="shared" ca="1" si="220"/>
        <v/>
      </c>
      <c r="M470" s="144" t="s">
        <v>201</v>
      </c>
      <c r="N470" s="145" t="str">
        <f t="shared" ca="1" si="221"/>
        <v>Serviço</v>
      </c>
      <c r="O470" s="146" t="str">
        <f t="shared" ca="1" si="222"/>
        <v>-</v>
      </c>
      <c r="P470" s="147" t="s">
        <v>249</v>
      </c>
      <c r="Q470" s="148">
        <v>100868</v>
      </c>
      <c r="R470" s="149" t="str">
        <f t="shared" ca="1" si="210"/>
        <v>(abra o arquivo 'Referência 05-2024.xls)</v>
      </c>
      <c r="S470" s="150" t="str">
        <f t="shared" ca="1" si="211"/>
        <v>-</v>
      </c>
      <c r="T470" s="151">
        <f ca="1">OFFSET(CÁLCULO!H$15,ROW($T470)-ROW(T$15),0)</f>
        <v>10</v>
      </c>
      <c r="U470" s="152">
        <f t="shared" ca="1" si="235"/>
        <v>0</v>
      </c>
      <c r="V470" s="153" t="s">
        <v>158</v>
      </c>
      <c r="W470" s="151">
        <f t="shared" ca="1" si="223"/>
        <v>0</v>
      </c>
      <c r="X470" s="154">
        <f t="shared" ca="1" si="224"/>
        <v>0</v>
      </c>
      <c r="Y470" s="155" t="s">
        <v>583</v>
      </c>
      <c r="Z470" t="str">
        <f t="shared" ca="1" si="225"/>
        <v/>
      </c>
      <c r="AA470" s="156">
        <f ca="1">IF($C470="S",IF($Z470="CP",$X470,IF($Z470="RA",(($X470)*QCI!$AA$3),0)),SomaAgrup)</f>
        <v>0</v>
      </c>
      <c r="AB470" s="157">
        <f t="shared" ca="1" si="226"/>
        <v>0</v>
      </c>
      <c r="AC470" s="158" t="str">
        <f t="shared" ca="1" si="227"/>
        <v/>
      </c>
      <c r="AD470" s="104" t="str">
        <f ca="1">IF(C470&lt;=CRONO.NivelExibicao,MAX($AD$15:OFFSET(AD470,-1,0))+IF($C470&lt;&gt;1,1,MAX(1,COUNTIF(QCI!$A$13:$A$24,OFFSET($E470,-1,0)))),"")</f>
        <v/>
      </c>
      <c r="AE470" s="114" t="str">
        <f t="shared" ca="1" si="228"/>
        <v>SINAPI 100868</v>
      </c>
      <c r="AF470" s="159" t="str">
        <f t="shared" ca="1" si="229"/>
        <v>(abra o arquivo 'Referência 05-2024.xls)</v>
      </c>
      <c r="AG470" s="579">
        <f t="shared" ca="1" si="230"/>
        <v>0</v>
      </c>
      <c r="AH470" s="580">
        <f t="shared" ca="1" si="231"/>
        <v>0.22470000000000001</v>
      </c>
      <c r="AJ470" s="582">
        <v>10</v>
      </c>
      <c r="AL470" s="612"/>
      <c r="AM470" s="430">
        <f t="shared" ca="1" si="232"/>
        <v>0</v>
      </c>
      <c r="AN470" s="655">
        <f t="shared" ca="1" si="233"/>
        <v>0</v>
      </c>
    </row>
    <row r="471" spans="1:40" ht="13.8" x14ac:dyDescent="0.3">
      <c r="A471" t="str">
        <f t="shared" si="212"/>
        <v>S</v>
      </c>
      <c r="B471">
        <f t="shared" ca="1" si="213"/>
        <v>2</v>
      </c>
      <c r="C471" t="str">
        <f t="shared" ca="1" si="214"/>
        <v>S</v>
      </c>
      <c r="D471">
        <f t="shared" ca="1" si="215"/>
        <v>0</v>
      </c>
      <c r="E471">
        <f ca="1">IF($C471=1,OFFSET(E471,-1,0)+MAX(1,COUNTIF(QCI!$A$13:$A$24,OFFSET(ORÇAMENTO!E471,-1,0))),OFFSET(E471,-1,0))</f>
        <v>1</v>
      </c>
      <c r="F471">
        <f t="shared" ca="1" si="216"/>
        <v>15</v>
      </c>
      <c r="G471">
        <f t="shared" ca="1" si="217"/>
        <v>0</v>
      </c>
      <c r="H471">
        <f t="shared" ca="1" si="218"/>
        <v>0</v>
      </c>
      <c r="I471">
        <f t="shared" ca="1" si="219"/>
        <v>0</v>
      </c>
      <c r="J471">
        <f t="shared" ca="1" si="234"/>
        <v>0</v>
      </c>
      <c r="K471">
        <f ca="1">IF(OR($C471="S",$C471=0),0,MATCH(OFFSET($D471,0,$C471)+IF($C471&lt;&gt;1,1,COUNTIF(QCI!$A$13:$A$24,ORÇAMENTO!E471)),OFFSET($D471,1,$C471,ROW($C$710)-ROW($C471)),0))</f>
        <v>0</v>
      </c>
      <c r="L471" s="143" t="str">
        <f t="shared" ca="1" si="220"/>
        <v/>
      </c>
      <c r="M471" s="144" t="s">
        <v>201</v>
      </c>
      <c r="N471" s="145" t="str">
        <f t="shared" ca="1" si="221"/>
        <v>Serviço</v>
      </c>
      <c r="O471" s="146" t="str">
        <f t="shared" ca="1" si="222"/>
        <v>-</v>
      </c>
      <c r="P471" s="147" t="s">
        <v>249</v>
      </c>
      <c r="Q471" s="148">
        <v>100867</v>
      </c>
      <c r="R471" s="149" t="str">
        <f t="shared" ca="1" si="210"/>
        <v>(abra o arquivo 'Referência 05-2024.xls)</v>
      </c>
      <c r="S471" s="150" t="str">
        <f t="shared" ca="1" si="211"/>
        <v>-</v>
      </c>
      <c r="T471" s="151">
        <f ca="1">OFFSET(CÁLCULO!H$15,ROW($T471)-ROW(T$15),0)</f>
        <v>12</v>
      </c>
      <c r="U471" s="152">
        <f t="shared" ca="1" si="235"/>
        <v>0</v>
      </c>
      <c r="V471" s="153" t="s">
        <v>158</v>
      </c>
      <c r="W471" s="151">
        <f t="shared" ca="1" si="223"/>
        <v>0</v>
      </c>
      <c r="X471" s="154">
        <f t="shared" ca="1" si="224"/>
        <v>0</v>
      </c>
      <c r="Y471" s="155" t="s">
        <v>583</v>
      </c>
      <c r="Z471" t="str">
        <f t="shared" ca="1" si="225"/>
        <v/>
      </c>
      <c r="AA471" s="156">
        <f ca="1">IF($C471="S",IF($Z471="CP",$X471,IF($Z471="RA",(($X471)*QCI!$AA$3),0)),SomaAgrup)</f>
        <v>0</v>
      </c>
      <c r="AB471" s="157">
        <f t="shared" ca="1" si="226"/>
        <v>0</v>
      </c>
      <c r="AC471" s="158" t="str">
        <f t="shared" ca="1" si="227"/>
        <v/>
      </c>
      <c r="AD471" s="104" t="str">
        <f ca="1">IF(C471&lt;=CRONO.NivelExibicao,MAX($AD$15:OFFSET(AD471,-1,0))+IF($C471&lt;&gt;1,1,MAX(1,COUNTIF(QCI!$A$13:$A$24,OFFSET($E471,-1,0)))),"")</f>
        <v/>
      </c>
      <c r="AE471" s="114" t="str">
        <f t="shared" ca="1" si="228"/>
        <v>SINAPI 100867</v>
      </c>
      <c r="AF471" s="159" t="str">
        <f t="shared" ca="1" si="229"/>
        <v>(abra o arquivo 'Referência 05-2024.xls)</v>
      </c>
      <c r="AG471" s="579">
        <f t="shared" ca="1" si="230"/>
        <v>0</v>
      </c>
      <c r="AH471" s="580">
        <f t="shared" ca="1" si="231"/>
        <v>0.22470000000000001</v>
      </c>
      <c r="AJ471" s="582">
        <v>12</v>
      </c>
      <c r="AL471" s="612"/>
      <c r="AM471" s="430">
        <f t="shared" ca="1" si="232"/>
        <v>0</v>
      </c>
      <c r="AN471" s="655">
        <f t="shared" ca="1" si="233"/>
        <v>0</v>
      </c>
    </row>
    <row r="472" spans="1:40" ht="13.8" x14ac:dyDescent="0.3">
      <c r="A472" t="str">
        <f t="shared" si="212"/>
        <v>S</v>
      </c>
      <c r="B472">
        <f t="shared" ca="1" si="213"/>
        <v>2</v>
      </c>
      <c r="C472" t="str">
        <f t="shared" ca="1" si="214"/>
        <v>S</v>
      </c>
      <c r="D472">
        <f t="shared" ca="1" si="215"/>
        <v>0</v>
      </c>
      <c r="E472">
        <f ca="1">IF($C472=1,OFFSET(E472,-1,0)+MAX(1,COUNTIF(QCI!$A$13:$A$24,OFFSET(ORÇAMENTO!E472,-1,0))),OFFSET(E472,-1,0))</f>
        <v>1</v>
      </c>
      <c r="F472">
        <f t="shared" ca="1" si="216"/>
        <v>15</v>
      </c>
      <c r="G472">
        <f t="shared" ca="1" si="217"/>
        <v>0</v>
      </c>
      <c r="H472">
        <f t="shared" ca="1" si="218"/>
        <v>0</v>
      </c>
      <c r="I472">
        <f t="shared" ca="1" si="219"/>
        <v>0</v>
      </c>
      <c r="J472">
        <f t="shared" ca="1" si="234"/>
        <v>0</v>
      </c>
      <c r="K472">
        <f ca="1">IF(OR($C472="S",$C472=0),0,MATCH(OFFSET($D472,0,$C472)+IF($C472&lt;&gt;1,1,COUNTIF(QCI!$A$13:$A$24,ORÇAMENTO!E472)),OFFSET($D472,1,$C472,ROW($C$710)-ROW($C472)),0))</f>
        <v>0</v>
      </c>
      <c r="L472" s="143" t="str">
        <f t="shared" ca="1" si="220"/>
        <v/>
      </c>
      <c r="M472" s="144" t="s">
        <v>201</v>
      </c>
      <c r="N472" s="145" t="str">
        <f t="shared" ca="1" si="221"/>
        <v>Serviço</v>
      </c>
      <c r="O472" s="146" t="str">
        <f t="shared" ca="1" si="222"/>
        <v>-</v>
      </c>
      <c r="P472" s="147" t="s">
        <v>249</v>
      </c>
      <c r="Q472" s="148">
        <v>100866</v>
      </c>
      <c r="R472" s="149" t="str">
        <f t="shared" ca="1" si="210"/>
        <v>(abra o arquivo 'Referência 05-2024.xls)</v>
      </c>
      <c r="S472" s="150" t="str">
        <f t="shared" ca="1" si="211"/>
        <v>-</v>
      </c>
      <c r="T472" s="151">
        <f ca="1">OFFSET(CÁLCULO!H$15,ROW($T472)-ROW(T$15),0)</f>
        <v>12</v>
      </c>
      <c r="U472" s="152">
        <f t="shared" ca="1" si="235"/>
        <v>0</v>
      </c>
      <c r="V472" s="153" t="s">
        <v>158</v>
      </c>
      <c r="W472" s="151">
        <f t="shared" ca="1" si="223"/>
        <v>0</v>
      </c>
      <c r="X472" s="154">
        <f t="shared" ca="1" si="224"/>
        <v>0</v>
      </c>
      <c r="Y472" s="155" t="s">
        <v>583</v>
      </c>
      <c r="Z472" t="str">
        <f t="shared" ca="1" si="225"/>
        <v/>
      </c>
      <c r="AA472" s="156">
        <f ca="1">IF($C472="S",IF($Z472="CP",$X472,IF($Z472="RA",(($X472)*QCI!$AA$3),0)),SomaAgrup)</f>
        <v>0</v>
      </c>
      <c r="AB472" s="157">
        <f t="shared" ca="1" si="226"/>
        <v>0</v>
      </c>
      <c r="AC472" s="158" t="str">
        <f t="shared" ca="1" si="227"/>
        <v/>
      </c>
      <c r="AD472" s="104" t="str">
        <f ca="1">IF(C472&lt;=CRONO.NivelExibicao,MAX($AD$15:OFFSET(AD472,-1,0))+IF($C472&lt;&gt;1,1,MAX(1,COUNTIF(QCI!$A$13:$A$24,OFFSET($E472,-1,0)))),"")</f>
        <v/>
      </c>
      <c r="AE472" s="114" t="str">
        <f t="shared" ca="1" si="228"/>
        <v>SINAPI 100866</v>
      </c>
      <c r="AF472" s="159" t="str">
        <f t="shared" ca="1" si="229"/>
        <v>(abra o arquivo 'Referência 05-2024.xls)</v>
      </c>
      <c r="AG472" s="579">
        <f t="shared" ca="1" si="230"/>
        <v>0</v>
      </c>
      <c r="AH472" s="580">
        <f t="shared" ca="1" si="231"/>
        <v>0.22470000000000001</v>
      </c>
      <c r="AJ472" s="582">
        <v>12</v>
      </c>
      <c r="AL472" s="612"/>
      <c r="AM472" s="430">
        <f t="shared" ca="1" si="232"/>
        <v>0</v>
      </c>
      <c r="AN472" s="655">
        <f t="shared" ca="1" si="233"/>
        <v>0</v>
      </c>
    </row>
    <row r="473" spans="1:40" ht="13.8" x14ac:dyDescent="0.3">
      <c r="A473" t="str">
        <f t="shared" si="212"/>
        <v>S</v>
      </c>
      <c r="B473">
        <f t="shared" ca="1" si="213"/>
        <v>2</v>
      </c>
      <c r="C473" t="str">
        <f t="shared" ca="1" si="214"/>
        <v>S</v>
      </c>
      <c r="D473">
        <f t="shared" ca="1" si="215"/>
        <v>0</v>
      </c>
      <c r="E473">
        <f ca="1">IF($C473=1,OFFSET(E473,-1,0)+MAX(1,COUNTIF(QCI!$A$13:$A$24,OFFSET(ORÇAMENTO!E473,-1,0))),OFFSET(E473,-1,0))</f>
        <v>1</v>
      </c>
      <c r="F473">
        <f t="shared" ca="1" si="216"/>
        <v>15</v>
      </c>
      <c r="G473">
        <f t="shared" ca="1" si="217"/>
        <v>0</v>
      </c>
      <c r="H473">
        <f t="shared" ca="1" si="218"/>
        <v>0</v>
      </c>
      <c r="I473">
        <f t="shared" ca="1" si="219"/>
        <v>0</v>
      </c>
      <c r="J473">
        <f t="shared" ca="1" si="234"/>
        <v>0</v>
      </c>
      <c r="K473">
        <f ca="1">IF(OR($C473="S",$C473=0),0,MATCH(OFFSET($D473,0,$C473)+IF($C473&lt;&gt;1,1,COUNTIF(QCI!$A$13:$A$24,ORÇAMENTO!E473)),OFFSET($D473,1,$C473,ROW($C$710)-ROW($C473)),0))</f>
        <v>0</v>
      </c>
      <c r="L473" s="143" t="str">
        <f t="shared" ca="1" si="220"/>
        <v/>
      </c>
      <c r="M473" s="144" t="s">
        <v>201</v>
      </c>
      <c r="N473" s="145" t="str">
        <f t="shared" ca="1" si="221"/>
        <v>Serviço</v>
      </c>
      <c r="O473" s="146" t="str">
        <f t="shared" ca="1" si="222"/>
        <v>-</v>
      </c>
      <c r="P473" s="147" t="s">
        <v>249</v>
      </c>
      <c r="Q473" s="148">
        <v>100863</v>
      </c>
      <c r="R473" s="149" t="str">
        <f t="shared" ca="1" si="210"/>
        <v>(abra o arquivo 'Referência 05-2024.xls)</v>
      </c>
      <c r="S473" s="150" t="str">
        <f t="shared" ca="1" si="211"/>
        <v>-</v>
      </c>
      <c r="T473" s="151">
        <f ca="1">OFFSET(CÁLCULO!H$15,ROW($T473)-ROW(T$15),0)</f>
        <v>2</v>
      </c>
      <c r="U473" s="152">
        <f t="shared" ca="1" si="235"/>
        <v>0</v>
      </c>
      <c r="V473" s="153" t="s">
        <v>158</v>
      </c>
      <c r="W473" s="151">
        <f t="shared" ca="1" si="223"/>
        <v>0</v>
      </c>
      <c r="X473" s="154">
        <f t="shared" ca="1" si="224"/>
        <v>0</v>
      </c>
      <c r="Y473" s="155" t="s">
        <v>583</v>
      </c>
      <c r="Z473" t="str">
        <f t="shared" ca="1" si="225"/>
        <v/>
      </c>
      <c r="AA473" s="156">
        <f ca="1">IF($C473="S",IF($Z473="CP",$X473,IF($Z473="RA",(($X473)*QCI!$AA$3),0)),SomaAgrup)</f>
        <v>0</v>
      </c>
      <c r="AB473" s="157">
        <f t="shared" ca="1" si="226"/>
        <v>0</v>
      </c>
      <c r="AC473" s="158" t="str">
        <f t="shared" ca="1" si="227"/>
        <v/>
      </c>
      <c r="AD473" s="104" t="str">
        <f ca="1">IF(C473&lt;=CRONO.NivelExibicao,MAX($AD$15:OFFSET(AD473,-1,0))+IF($C473&lt;&gt;1,1,MAX(1,COUNTIF(QCI!$A$13:$A$24,OFFSET($E473,-1,0)))),"")</f>
        <v/>
      </c>
      <c r="AE473" s="114" t="str">
        <f t="shared" ca="1" si="228"/>
        <v>SINAPI 100863</v>
      </c>
      <c r="AF473" s="159" t="str">
        <f t="shared" ca="1" si="229"/>
        <v>(abra o arquivo 'Referência 05-2024.xls)</v>
      </c>
      <c r="AG473" s="579">
        <f t="shared" ca="1" si="230"/>
        <v>0</v>
      </c>
      <c r="AH473" s="580">
        <f t="shared" ca="1" si="231"/>
        <v>0.22470000000000001</v>
      </c>
      <c r="AJ473" s="582">
        <v>2</v>
      </c>
      <c r="AL473" s="612"/>
      <c r="AM473" s="430">
        <f t="shared" ca="1" si="232"/>
        <v>0</v>
      </c>
      <c r="AN473" s="655">
        <f t="shared" ca="1" si="233"/>
        <v>0</v>
      </c>
    </row>
    <row r="474" spans="1:40" ht="13.8" x14ac:dyDescent="0.3">
      <c r="A474" t="str">
        <f t="shared" si="212"/>
        <v>S</v>
      </c>
      <c r="B474">
        <f t="shared" ca="1" si="213"/>
        <v>2</v>
      </c>
      <c r="C474" t="str">
        <f t="shared" ca="1" si="214"/>
        <v>S</v>
      </c>
      <c r="D474">
        <f t="shared" ca="1" si="215"/>
        <v>0</v>
      </c>
      <c r="E474">
        <f ca="1">IF($C474=1,OFFSET(E474,-1,0)+MAX(1,COUNTIF(QCI!$A$13:$A$24,OFFSET(ORÇAMENTO!E474,-1,0))),OFFSET(E474,-1,0))</f>
        <v>1</v>
      </c>
      <c r="F474">
        <f t="shared" ca="1" si="216"/>
        <v>15</v>
      </c>
      <c r="G474">
        <f t="shared" ca="1" si="217"/>
        <v>0</v>
      </c>
      <c r="H474">
        <f t="shared" ca="1" si="218"/>
        <v>0</v>
      </c>
      <c r="I474">
        <f t="shared" ca="1" si="219"/>
        <v>0</v>
      </c>
      <c r="J474">
        <f t="shared" ca="1" si="234"/>
        <v>0</v>
      </c>
      <c r="K474">
        <f ca="1">IF(OR($C474="S",$C474=0),0,MATCH(OFFSET($D474,0,$C474)+IF($C474&lt;&gt;1,1,COUNTIF(QCI!$A$13:$A$24,ORÇAMENTO!E474)),OFFSET($D474,1,$C474,ROW($C$710)-ROW($C474)),0))</f>
        <v>0</v>
      </c>
      <c r="L474" s="143" t="str">
        <f t="shared" ca="1" si="220"/>
        <v/>
      </c>
      <c r="M474" s="144" t="s">
        <v>201</v>
      </c>
      <c r="N474" s="145" t="str">
        <f t="shared" ca="1" si="221"/>
        <v>Serviço</v>
      </c>
      <c r="O474" s="146" t="str">
        <f t="shared" ca="1" si="222"/>
        <v>-</v>
      </c>
      <c r="P474" s="147" t="s">
        <v>249</v>
      </c>
      <c r="Q474" s="148">
        <v>100875</v>
      </c>
      <c r="R474" s="149" t="str">
        <f t="shared" ca="1" si="210"/>
        <v>(abra o arquivo 'Referência 05-2024.xls)</v>
      </c>
      <c r="S474" s="150" t="str">
        <f t="shared" ca="1" si="211"/>
        <v>-</v>
      </c>
      <c r="T474" s="151">
        <f ca="1">OFFSET(CÁLCULO!H$15,ROW($T474)-ROW(T$15),0)</f>
        <v>2</v>
      </c>
      <c r="U474" s="152">
        <f t="shared" ca="1" si="235"/>
        <v>0</v>
      </c>
      <c r="V474" s="153" t="s">
        <v>158</v>
      </c>
      <c r="W474" s="151">
        <f t="shared" ca="1" si="223"/>
        <v>0</v>
      </c>
      <c r="X474" s="154">
        <f t="shared" ca="1" si="224"/>
        <v>0</v>
      </c>
      <c r="Y474" s="155" t="s">
        <v>583</v>
      </c>
      <c r="Z474" t="str">
        <f t="shared" ca="1" si="225"/>
        <v/>
      </c>
      <c r="AA474" s="156">
        <f ca="1">IF($C474="S",IF($Z474="CP",$X474,IF($Z474="RA",(($X474)*QCI!$AA$3),0)),SomaAgrup)</f>
        <v>0</v>
      </c>
      <c r="AB474" s="157">
        <f t="shared" ca="1" si="226"/>
        <v>0</v>
      </c>
      <c r="AC474" s="158" t="str">
        <f t="shared" ca="1" si="227"/>
        <v/>
      </c>
      <c r="AD474" s="104" t="str">
        <f ca="1">IF(C474&lt;=CRONO.NivelExibicao,MAX($AD$15:OFFSET(AD474,-1,0))+IF($C474&lt;&gt;1,1,MAX(1,COUNTIF(QCI!$A$13:$A$24,OFFSET($E474,-1,0)))),"")</f>
        <v/>
      </c>
      <c r="AE474" s="114" t="str">
        <f t="shared" ca="1" si="228"/>
        <v>SINAPI 100875</v>
      </c>
      <c r="AF474" s="159" t="str">
        <f t="shared" ca="1" si="229"/>
        <v>(abra o arquivo 'Referência 05-2024.xls)</v>
      </c>
      <c r="AG474" s="579">
        <f t="shared" ca="1" si="230"/>
        <v>0</v>
      </c>
      <c r="AH474" s="580">
        <f t="shared" ca="1" si="231"/>
        <v>0.22470000000000001</v>
      </c>
      <c r="AJ474" s="582">
        <v>2</v>
      </c>
      <c r="AL474" s="612"/>
      <c r="AM474" s="430">
        <f t="shared" ca="1" si="232"/>
        <v>0</v>
      </c>
      <c r="AN474" s="655">
        <f t="shared" ca="1" si="233"/>
        <v>0</v>
      </c>
    </row>
    <row r="475" spans="1:40" ht="13.8" x14ac:dyDescent="0.3">
      <c r="A475" t="str">
        <f t="shared" si="212"/>
        <v>S</v>
      </c>
      <c r="B475">
        <f t="shared" ca="1" si="213"/>
        <v>2</v>
      </c>
      <c r="C475" t="str">
        <f t="shared" ca="1" si="214"/>
        <v>S</v>
      </c>
      <c r="D475">
        <f t="shared" ca="1" si="215"/>
        <v>0</v>
      </c>
      <c r="E475">
        <f ca="1">IF($C475=1,OFFSET(E475,-1,0)+MAX(1,COUNTIF(QCI!$A$13:$A$24,OFFSET(ORÇAMENTO!E475,-1,0))),OFFSET(E475,-1,0))</f>
        <v>1</v>
      </c>
      <c r="F475">
        <f t="shared" ca="1" si="216"/>
        <v>15</v>
      </c>
      <c r="G475">
        <f t="shared" ca="1" si="217"/>
        <v>0</v>
      </c>
      <c r="H475">
        <f t="shared" ca="1" si="218"/>
        <v>0</v>
      </c>
      <c r="I475">
        <f t="shared" ca="1" si="219"/>
        <v>0</v>
      </c>
      <c r="J475">
        <f t="shared" ca="1" si="234"/>
        <v>0</v>
      </c>
      <c r="K475">
        <f ca="1">IF(OR($C475="S",$C475=0),0,MATCH(OFFSET($D475,0,$C475)+IF($C475&lt;&gt;1,1,COUNTIF(QCI!$A$13:$A$24,ORÇAMENTO!E475)),OFFSET($D475,1,$C475,ROW($C$710)-ROW($C475)),0))</f>
        <v>0</v>
      </c>
      <c r="L475" s="143" t="str">
        <f t="shared" ca="1" si="220"/>
        <v/>
      </c>
      <c r="M475" s="144" t="s">
        <v>201</v>
      </c>
      <c r="N475" s="145" t="str">
        <f t="shared" ca="1" si="221"/>
        <v>Serviço</v>
      </c>
      <c r="O475" s="146" t="str">
        <f t="shared" ca="1" si="222"/>
        <v>-</v>
      </c>
      <c r="P475" s="147" t="s">
        <v>441</v>
      </c>
      <c r="Q475" s="148" t="s">
        <v>598</v>
      </c>
      <c r="R475" s="149" t="str">
        <f t="shared" ca="1" si="210"/>
        <v>(abra o arquivo 'Referência 05-2024.xls)</v>
      </c>
      <c r="S475" s="150" t="str">
        <f t="shared" ca="1" si="211"/>
        <v>-</v>
      </c>
      <c r="T475" s="151">
        <f ca="1">OFFSET(CÁLCULO!H$15,ROW($T475)-ROW(T$15),0)</f>
        <v>3</v>
      </c>
      <c r="U475" s="152">
        <f t="shared" ca="1" si="235"/>
        <v>0</v>
      </c>
      <c r="V475" s="153" t="s">
        <v>158</v>
      </c>
      <c r="W475" s="151">
        <f t="shared" ca="1" si="223"/>
        <v>0</v>
      </c>
      <c r="X475" s="154">
        <f t="shared" ca="1" si="224"/>
        <v>0</v>
      </c>
      <c r="Y475" s="155" t="s">
        <v>583</v>
      </c>
      <c r="Z475" t="str">
        <f t="shared" ca="1" si="225"/>
        <v/>
      </c>
      <c r="AA475" s="156">
        <f ca="1">IF($C475="S",IF($Z475="CP",$X475,IF($Z475="RA",(($X475)*QCI!$AA$3),0)),SomaAgrup)</f>
        <v>0</v>
      </c>
      <c r="AB475" s="157">
        <f t="shared" ca="1" si="226"/>
        <v>0</v>
      </c>
      <c r="AC475" s="158" t="str">
        <f t="shared" ca="1" si="227"/>
        <v/>
      </c>
      <c r="AD475" s="104" t="str">
        <f ca="1">IF(C475&lt;=CRONO.NivelExibicao,MAX($AD$15:OFFSET(AD475,-1,0))+IF($C475&lt;&gt;1,1,MAX(1,COUNTIF(QCI!$A$13:$A$24,OFFSET($E475,-1,0)))),"")</f>
        <v/>
      </c>
      <c r="AE475" s="114" t="str">
        <f t="shared" ca="1" si="228"/>
        <v>Composição CP-38</v>
      </c>
      <c r="AF475" s="159" t="str">
        <f t="shared" ca="1" si="229"/>
        <v>(abra o arquivo 'Referência 05-2024.xls)</v>
      </c>
      <c r="AG475" s="579">
        <f t="shared" ca="1" si="230"/>
        <v>0</v>
      </c>
      <c r="AH475" s="580">
        <f t="shared" ca="1" si="231"/>
        <v>0.22470000000000001</v>
      </c>
      <c r="AJ475" s="582">
        <v>3</v>
      </c>
      <c r="AL475" s="612"/>
      <c r="AM475" s="430">
        <f t="shared" ca="1" si="232"/>
        <v>0</v>
      </c>
      <c r="AN475" s="655">
        <f t="shared" ca="1" si="233"/>
        <v>0</v>
      </c>
    </row>
    <row r="476" spans="1:40" ht="13.8" x14ac:dyDescent="0.3">
      <c r="A476" t="str">
        <f t="shared" si="212"/>
        <v>S</v>
      </c>
      <c r="B476">
        <f t="shared" ca="1" si="213"/>
        <v>2</v>
      </c>
      <c r="C476" t="str">
        <f t="shared" ca="1" si="214"/>
        <v>S</v>
      </c>
      <c r="D476">
        <f t="shared" ca="1" si="215"/>
        <v>0</v>
      </c>
      <c r="E476">
        <f ca="1">IF($C476=1,OFFSET(E476,-1,0)+MAX(1,COUNTIF(QCI!$A$13:$A$24,OFFSET(ORÇAMENTO!E476,-1,0))),OFFSET(E476,-1,0))</f>
        <v>1</v>
      </c>
      <c r="F476">
        <f t="shared" ca="1" si="216"/>
        <v>15</v>
      </c>
      <c r="G476">
        <f t="shared" ca="1" si="217"/>
        <v>0</v>
      </c>
      <c r="H476">
        <f t="shared" ca="1" si="218"/>
        <v>0</v>
      </c>
      <c r="I476">
        <f t="shared" ca="1" si="219"/>
        <v>0</v>
      </c>
      <c r="J476">
        <f t="shared" ca="1" si="234"/>
        <v>0</v>
      </c>
      <c r="K476">
        <f ca="1">IF(OR($C476="S",$C476=0),0,MATCH(OFFSET($D476,0,$C476)+IF($C476&lt;&gt;1,1,COUNTIF(QCI!$A$13:$A$24,ORÇAMENTO!E476)),OFFSET($D476,1,$C476,ROW($C$710)-ROW($C476)),0))</f>
        <v>0</v>
      </c>
      <c r="L476" s="143" t="str">
        <f t="shared" ca="1" si="220"/>
        <v/>
      </c>
      <c r="M476" s="144" t="s">
        <v>201</v>
      </c>
      <c r="N476" s="145" t="str">
        <f t="shared" ca="1" si="221"/>
        <v>Serviço</v>
      </c>
      <c r="O476" s="146" t="str">
        <f t="shared" ca="1" si="222"/>
        <v>-</v>
      </c>
      <c r="P476" s="147" t="s">
        <v>249</v>
      </c>
      <c r="Q476" s="148">
        <v>100856</v>
      </c>
      <c r="R476" s="149" t="str">
        <f t="shared" ca="1" si="210"/>
        <v>(abra o arquivo 'Referência 05-2024.xls)</v>
      </c>
      <c r="S476" s="150" t="str">
        <f t="shared" ca="1" si="211"/>
        <v>-</v>
      </c>
      <c r="T476" s="151">
        <f ca="1">OFFSET(CÁLCULO!H$15,ROW($T476)-ROW(T$15),0)</f>
        <v>10</v>
      </c>
      <c r="U476" s="152">
        <f t="shared" ca="1" si="235"/>
        <v>0</v>
      </c>
      <c r="V476" s="153" t="s">
        <v>158</v>
      </c>
      <c r="W476" s="151">
        <f t="shared" ca="1" si="223"/>
        <v>0</v>
      </c>
      <c r="X476" s="154">
        <f t="shared" ca="1" si="224"/>
        <v>0</v>
      </c>
      <c r="Y476" s="155" t="s">
        <v>583</v>
      </c>
      <c r="Z476" t="str">
        <f t="shared" ca="1" si="225"/>
        <v/>
      </c>
      <c r="AA476" s="156">
        <f ca="1">IF($C476="S",IF($Z476="CP",$X476,IF($Z476="RA",(($X476)*QCI!$AA$3),0)),SomaAgrup)</f>
        <v>0</v>
      </c>
      <c r="AB476" s="157">
        <f t="shared" ca="1" si="226"/>
        <v>0</v>
      </c>
      <c r="AC476" s="158" t="str">
        <f t="shared" ca="1" si="227"/>
        <v/>
      </c>
      <c r="AD476" s="104" t="str">
        <f ca="1">IF(C476&lt;=CRONO.NivelExibicao,MAX($AD$15:OFFSET(AD476,-1,0))+IF($C476&lt;&gt;1,1,MAX(1,COUNTIF(QCI!$A$13:$A$24,OFFSET($E476,-1,0)))),"")</f>
        <v/>
      </c>
      <c r="AE476" s="114" t="str">
        <f t="shared" ca="1" si="228"/>
        <v>SINAPI 100856</v>
      </c>
      <c r="AF476" s="159" t="str">
        <f t="shared" ca="1" si="229"/>
        <v>(abra o arquivo 'Referência 05-2024.xls)</v>
      </c>
      <c r="AG476" s="579">
        <f t="shared" ca="1" si="230"/>
        <v>0</v>
      </c>
      <c r="AH476" s="580">
        <f t="shared" ca="1" si="231"/>
        <v>0.22470000000000001</v>
      </c>
      <c r="AJ476" s="582">
        <v>10</v>
      </c>
      <c r="AL476" s="612"/>
      <c r="AM476" s="430">
        <f t="shared" ca="1" si="232"/>
        <v>0</v>
      </c>
      <c r="AN476" s="655">
        <f t="shared" ca="1" si="233"/>
        <v>0</v>
      </c>
    </row>
    <row r="477" spans="1:40" ht="13.8" x14ac:dyDescent="0.3">
      <c r="A477" t="str">
        <f t="shared" si="212"/>
        <v>S</v>
      </c>
      <c r="B477">
        <f t="shared" ca="1" si="213"/>
        <v>2</v>
      </c>
      <c r="C477" t="str">
        <f t="shared" ca="1" si="214"/>
        <v>S</v>
      </c>
      <c r="D477">
        <f t="shared" ca="1" si="215"/>
        <v>0</v>
      </c>
      <c r="E477">
        <f ca="1">IF($C477=1,OFFSET(E477,-1,0)+MAX(1,COUNTIF(QCI!$A$13:$A$24,OFFSET(ORÇAMENTO!E477,-1,0))),OFFSET(E477,-1,0))</f>
        <v>1</v>
      </c>
      <c r="F477">
        <f t="shared" ca="1" si="216"/>
        <v>15</v>
      </c>
      <c r="G477">
        <f t="shared" ca="1" si="217"/>
        <v>0</v>
      </c>
      <c r="H477">
        <f t="shared" ca="1" si="218"/>
        <v>0</v>
      </c>
      <c r="I477">
        <f t="shared" ca="1" si="219"/>
        <v>0</v>
      </c>
      <c r="J477">
        <f t="shared" ca="1" si="234"/>
        <v>0</v>
      </c>
      <c r="K477">
        <f ca="1">IF(OR($C477="S",$C477=0),0,MATCH(OFFSET($D477,0,$C477)+IF($C477&lt;&gt;1,1,COUNTIF(QCI!$A$13:$A$24,ORÇAMENTO!E477)),OFFSET($D477,1,$C477,ROW($C$710)-ROW($C477)),0))</f>
        <v>0</v>
      </c>
      <c r="L477" s="143" t="str">
        <f t="shared" ca="1" si="220"/>
        <v/>
      </c>
      <c r="M477" s="144" t="s">
        <v>201</v>
      </c>
      <c r="N477" s="145" t="str">
        <f t="shared" ca="1" si="221"/>
        <v>Serviço</v>
      </c>
      <c r="O477" s="146" t="str">
        <f t="shared" ca="1" si="222"/>
        <v>-</v>
      </c>
      <c r="P477" s="147" t="s">
        <v>249</v>
      </c>
      <c r="Q477" s="148">
        <v>100856</v>
      </c>
      <c r="R477" s="149" t="str">
        <f t="shared" ca="1" si="210"/>
        <v>(abra o arquivo 'Referência 05-2024.xls)</v>
      </c>
      <c r="S477" s="150" t="str">
        <f t="shared" ca="1" si="211"/>
        <v>-</v>
      </c>
      <c r="T477" s="151">
        <f ca="1">OFFSET(CÁLCULO!H$15,ROW($T477)-ROW(T$15),0)</f>
        <v>30</v>
      </c>
      <c r="U477" s="152">
        <f t="shared" ca="1" si="235"/>
        <v>0</v>
      </c>
      <c r="V477" s="153" t="s">
        <v>158</v>
      </c>
      <c r="W477" s="151">
        <f t="shared" ca="1" si="223"/>
        <v>0</v>
      </c>
      <c r="X477" s="154">
        <f t="shared" ca="1" si="224"/>
        <v>0</v>
      </c>
      <c r="Y477" s="155" t="s">
        <v>583</v>
      </c>
      <c r="Z477" t="str">
        <f t="shared" ca="1" si="225"/>
        <v/>
      </c>
      <c r="AA477" s="156">
        <f ca="1">IF($C477="S",IF($Z477="CP",$X477,IF($Z477="RA",(($X477)*QCI!$AA$3),0)),SomaAgrup)</f>
        <v>0</v>
      </c>
      <c r="AB477" s="157">
        <f t="shared" ca="1" si="226"/>
        <v>0</v>
      </c>
      <c r="AC477" s="158" t="str">
        <f t="shared" ca="1" si="227"/>
        <v/>
      </c>
      <c r="AD477" s="104" t="str">
        <f ca="1">IF(C477&lt;=CRONO.NivelExibicao,MAX($AD$15:OFFSET(AD477,-1,0))+IF($C477&lt;&gt;1,1,MAX(1,COUNTIF(QCI!$A$13:$A$24,OFFSET($E477,-1,0)))),"")</f>
        <v/>
      </c>
      <c r="AE477" s="114" t="str">
        <f t="shared" ca="1" si="228"/>
        <v>SINAPI 100856</v>
      </c>
      <c r="AF477" s="159" t="str">
        <f t="shared" ca="1" si="229"/>
        <v>(abra o arquivo 'Referência 05-2024.xls)</v>
      </c>
      <c r="AG477" s="579">
        <f t="shared" ca="1" si="230"/>
        <v>0</v>
      </c>
      <c r="AH477" s="580">
        <f t="shared" ca="1" si="231"/>
        <v>0.22470000000000001</v>
      </c>
      <c r="AJ477" s="582">
        <v>30</v>
      </c>
      <c r="AL477" s="612"/>
      <c r="AM477" s="430">
        <f t="shared" ca="1" si="232"/>
        <v>0</v>
      </c>
      <c r="AN477" s="655">
        <f t="shared" ca="1" si="233"/>
        <v>0</v>
      </c>
    </row>
    <row r="478" spans="1:40" ht="13.8" x14ac:dyDescent="0.3">
      <c r="A478" t="str">
        <f t="shared" si="212"/>
        <v>S</v>
      </c>
      <c r="B478">
        <f t="shared" ca="1" si="213"/>
        <v>2</v>
      </c>
      <c r="C478" t="str">
        <f t="shared" ca="1" si="214"/>
        <v>S</v>
      </c>
      <c r="D478">
        <f t="shared" ca="1" si="215"/>
        <v>0</v>
      </c>
      <c r="E478">
        <f ca="1">IF($C478=1,OFFSET(E478,-1,0)+MAX(1,COUNTIF(QCI!$A$13:$A$24,OFFSET(ORÇAMENTO!E478,-1,0))),OFFSET(E478,-1,0))</f>
        <v>1</v>
      </c>
      <c r="F478">
        <f t="shared" ca="1" si="216"/>
        <v>15</v>
      </c>
      <c r="G478">
        <f t="shared" ca="1" si="217"/>
        <v>0</v>
      </c>
      <c r="H478">
        <f t="shared" ca="1" si="218"/>
        <v>0</v>
      </c>
      <c r="I478">
        <f t="shared" ca="1" si="219"/>
        <v>0</v>
      </c>
      <c r="J478">
        <f t="shared" ca="1" si="234"/>
        <v>0</v>
      </c>
      <c r="K478">
        <f ca="1">IF(OR($C478="S",$C478=0),0,MATCH(OFFSET($D478,0,$C478)+IF($C478&lt;&gt;1,1,COUNTIF(QCI!$A$13:$A$24,ORÇAMENTO!E478)),OFFSET($D478,1,$C478,ROW($C$710)-ROW($C478)),0))</f>
        <v>0</v>
      </c>
      <c r="L478" s="143" t="str">
        <f t="shared" ca="1" si="220"/>
        <v/>
      </c>
      <c r="M478" s="144" t="s">
        <v>201</v>
      </c>
      <c r="N478" s="145" t="str">
        <f t="shared" ca="1" si="221"/>
        <v>Serviço</v>
      </c>
      <c r="O478" s="146" t="str">
        <f t="shared" ca="1" si="222"/>
        <v>-</v>
      </c>
      <c r="P478" s="147" t="s">
        <v>249</v>
      </c>
      <c r="Q478" s="148">
        <v>86877</v>
      </c>
      <c r="R478" s="149" t="str">
        <f t="shared" ca="1" si="210"/>
        <v>(abra o arquivo 'Referência 05-2024.xls)</v>
      </c>
      <c r="S478" s="150" t="str">
        <f t="shared" ca="1" si="211"/>
        <v>-</v>
      </c>
      <c r="T478" s="151">
        <f ca="1">OFFSET(CÁLCULO!H$15,ROW($T478)-ROW(T$15),0)</f>
        <v>24</v>
      </c>
      <c r="U478" s="152">
        <f t="shared" ca="1" si="235"/>
        <v>0</v>
      </c>
      <c r="V478" s="153" t="s">
        <v>158</v>
      </c>
      <c r="W478" s="151">
        <f t="shared" ca="1" si="223"/>
        <v>0</v>
      </c>
      <c r="X478" s="154">
        <f t="shared" ca="1" si="224"/>
        <v>0</v>
      </c>
      <c r="Y478" s="155" t="s">
        <v>583</v>
      </c>
      <c r="Z478" t="str">
        <f t="shared" ca="1" si="225"/>
        <v/>
      </c>
      <c r="AA478" s="156">
        <f ca="1">IF($C478="S",IF($Z478="CP",$X478,IF($Z478="RA",(($X478)*QCI!$AA$3),0)),SomaAgrup)</f>
        <v>0</v>
      </c>
      <c r="AB478" s="157">
        <f t="shared" ca="1" si="226"/>
        <v>0</v>
      </c>
      <c r="AC478" s="158" t="str">
        <f t="shared" ca="1" si="227"/>
        <v/>
      </c>
      <c r="AD478" s="104" t="str">
        <f ca="1">IF(C478&lt;=CRONO.NivelExibicao,MAX($AD$15:OFFSET(AD478,-1,0))+IF($C478&lt;&gt;1,1,MAX(1,COUNTIF(QCI!$A$13:$A$24,OFFSET($E478,-1,0)))),"")</f>
        <v/>
      </c>
      <c r="AE478" s="114" t="str">
        <f t="shared" ca="1" si="228"/>
        <v>SINAPI 86877</v>
      </c>
      <c r="AF478" s="159" t="str">
        <f t="shared" ca="1" si="229"/>
        <v>(abra o arquivo 'Referência 05-2024.xls)</v>
      </c>
      <c r="AG478" s="579">
        <f t="shared" ca="1" si="230"/>
        <v>0</v>
      </c>
      <c r="AH478" s="580">
        <f t="shared" ca="1" si="231"/>
        <v>0.22470000000000001</v>
      </c>
      <c r="AJ478" s="582">
        <v>24</v>
      </c>
      <c r="AL478" s="612"/>
      <c r="AM478" s="430">
        <f t="shared" ca="1" si="232"/>
        <v>0</v>
      </c>
      <c r="AN478" s="655">
        <f t="shared" ca="1" si="233"/>
        <v>0</v>
      </c>
    </row>
    <row r="479" spans="1:40" ht="13.8" x14ac:dyDescent="0.3">
      <c r="A479" t="str">
        <f t="shared" si="212"/>
        <v>S</v>
      </c>
      <c r="B479">
        <f t="shared" ca="1" si="213"/>
        <v>2</v>
      </c>
      <c r="C479" t="str">
        <f t="shared" ca="1" si="214"/>
        <v>S</v>
      </c>
      <c r="D479">
        <f t="shared" ca="1" si="215"/>
        <v>0</v>
      </c>
      <c r="E479">
        <f ca="1">IF($C479=1,OFFSET(E479,-1,0)+MAX(1,COUNTIF(QCI!$A$13:$A$24,OFFSET(ORÇAMENTO!E479,-1,0))),OFFSET(E479,-1,0))</f>
        <v>1</v>
      </c>
      <c r="F479">
        <f t="shared" ca="1" si="216"/>
        <v>15</v>
      </c>
      <c r="G479">
        <f t="shared" ca="1" si="217"/>
        <v>0</v>
      </c>
      <c r="H479">
        <f t="shared" ca="1" si="218"/>
        <v>0</v>
      </c>
      <c r="I479">
        <f t="shared" ca="1" si="219"/>
        <v>0</v>
      </c>
      <c r="J479">
        <f t="shared" ca="1" si="234"/>
        <v>0</v>
      </c>
      <c r="K479">
        <f ca="1">IF(OR($C479="S",$C479=0),0,MATCH(OFFSET($D479,0,$C479)+IF($C479&lt;&gt;1,1,COUNTIF(QCI!$A$13:$A$24,ORÇAMENTO!E479)),OFFSET($D479,1,$C479,ROW($C$710)-ROW($C479)),0))</f>
        <v>0</v>
      </c>
      <c r="L479" s="143" t="str">
        <f t="shared" ca="1" si="220"/>
        <v/>
      </c>
      <c r="M479" s="144" t="s">
        <v>201</v>
      </c>
      <c r="N479" s="145" t="str">
        <f t="shared" ca="1" si="221"/>
        <v>Serviço</v>
      </c>
      <c r="O479" s="146" t="str">
        <f t="shared" ca="1" si="222"/>
        <v>-</v>
      </c>
      <c r="P479" s="147" t="s">
        <v>249</v>
      </c>
      <c r="Q479" s="148">
        <v>86878</v>
      </c>
      <c r="R479" s="149" t="str">
        <f t="shared" ca="1" si="210"/>
        <v>(abra o arquivo 'Referência 05-2024.xls)</v>
      </c>
      <c r="S479" s="150" t="str">
        <f t="shared" ca="1" si="211"/>
        <v>-</v>
      </c>
      <c r="T479" s="151">
        <f ca="1">OFFSET(CÁLCULO!H$15,ROW($T479)-ROW(T$15),0)</f>
        <v>15</v>
      </c>
      <c r="U479" s="152">
        <f t="shared" ca="1" si="235"/>
        <v>0</v>
      </c>
      <c r="V479" s="153" t="s">
        <v>158</v>
      </c>
      <c r="W479" s="151">
        <f t="shared" ca="1" si="223"/>
        <v>0</v>
      </c>
      <c r="X479" s="154">
        <f t="shared" ca="1" si="224"/>
        <v>0</v>
      </c>
      <c r="Y479" s="155" t="s">
        <v>583</v>
      </c>
      <c r="Z479" t="str">
        <f t="shared" ca="1" si="225"/>
        <v/>
      </c>
      <c r="AA479" s="156">
        <f ca="1">IF($C479="S",IF($Z479="CP",$X479,IF($Z479="RA",(($X479)*QCI!$AA$3),0)),SomaAgrup)</f>
        <v>0</v>
      </c>
      <c r="AB479" s="157">
        <f t="shared" ca="1" si="226"/>
        <v>0</v>
      </c>
      <c r="AC479" s="158" t="str">
        <f t="shared" ca="1" si="227"/>
        <v/>
      </c>
      <c r="AD479" s="104" t="str">
        <f ca="1">IF(C479&lt;=CRONO.NivelExibicao,MAX($AD$15:OFFSET(AD479,-1,0))+IF($C479&lt;&gt;1,1,MAX(1,COUNTIF(QCI!$A$13:$A$24,OFFSET($E479,-1,0)))),"")</f>
        <v/>
      </c>
      <c r="AE479" s="114" t="str">
        <f t="shared" ca="1" si="228"/>
        <v>SINAPI 86878</v>
      </c>
      <c r="AF479" s="159" t="str">
        <f t="shared" ca="1" si="229"/>
        <v>(abra o arquivo 'Referência 05-2024.xls)</v>
      </c>
      <c r="AG479" s="579">
        <f t="shared" ca="1" si="230"/>
        <v>0</v>
      </c>
      <c r="AH479" s="580">
        <f t="shared" ca="1" si="231"/>
        <v>0.22470000000000001</v>
      </c>
      <c r="AJ479" s="582">
        <v>15</v>
      </c>
      <c r="AL479" s="612"/>
      <c r="AM479" s="430">
        <f t="shared" ca="1" si="232"/>
        <v>0</v>
      </c>
      <c r="AN479" s="655">
        <f t="shared" ca="1" si="233"/>
        <v>0</v>
      </c>
    </row>
    <row r="480" spans="1:40" ht="13.8" x14ac:dyDescent="0.3">
      <c r="A480" t="str">
        <f t="shared" si="212"/>
        <v>S</v>
      </c>
      <c r="B480">
        <f t="shared" ca="1" si="213"/>
        <v>2</v>
      </c>
      <c r="C480" t="str">
        <f t="shared" ca="1" si="214"/>
        <v>S</v>
      </c>
      <c r="D480">
        <f t="shared" ca="1" si="215"/>
        <v>0</v>
      </c>
      <c r="E480">
        <f ca="1">IF($C480=1,OFFSET(E480,-1,0)+MAX(1,COUNTIF(QCI!$A$13:$A$24,OFFSET(ORÇAMENTO!E480,-1,0))),OFFSET(E480,-1,0))</f>
        <v>1</v>
      </c>
      <c r="F480">
        <f t="shared" ca="1" si="216"/>
        <v>15</v>
      </c>
      <c r="G480">
        <f t="shared" ca="1" si="217"/>
        <v>0</v>
      </c>
      <c r="H480">
        <f t="shared" ca="1" si="218"/>
        <v>0</v>
      </c>
      <c r="I480">
        <f t="shared" ca="1" si="219"/>
        <v>0</v>
      </c>
      <c r="J480">
        <f t="shared" ca="1" si="234"/>
        <v>0</v>
      </c>
      <c r="K480">
        <f ca="1">IF(OR($C480="S",$C480=0),0,MATCH(OFFSET($D480,0,$C480)+IF($C480&lt;&gt;1,1,COUNTIF(QCI!$A$13:$A$24,ORÇAMENTO!E480)),OFFSET($D480,1,$C480,ROW($C$710)-ROW($C480)),0))</f>
        <v>0</v>
      </c>
      <c r="L480" s="143" t="str">
        <f t="shared" ca="1" si="220"/>
        <v/>
      </c>
      <c r="M480" s="144" t="s">
        <v>201</v>
      </c>
      <c r="N480" s="145" t="str">
        <f t="shared" ca="1" si="221"/>
        <v>Serviço</v>
      </c>
      <c r="O480" s="146" t="str">
        <f t="shared" ca="1" si="222"/>
        <v>-</v>
      </c>
      <c r="P480" s="147" t="s">
        <v>249</v>
      </c>
      <c r="Q480" s="148">
        <v>86881</v>
      </c>
      <c r="R480" s="149" t="str">
        <f t="shared" ca="1" si="210"/>
        <v>(abra o arquivo 'Referência 05-2024.xls)</v>
      </c>
      <c r="S480" s="150" t="str">
        <f t="shared" ca="1" si="211"/>
        <v>-</v>
      </c>
      <c r="T480" s="151">
        <f ca="1">OFFSET(CÁLCULO!H$15,ROW($T480)-ROW(T$15),0)</f>
        <v>3</v>
      </c>
      <c r="U480" s="152">
        <f t="shared" ca="1" si="235"/>
        <v>0</v>
      </c>
      <c r="V480" s="153" t="s">
        <v>158</v>
      </c>
      <c r="W480" s="151">
        <f t="shared" ca="1" si="223"/>
        <v>0</v>
      </c>
      <c r="X480" s="154">
        <f t="shared" ca="1" si="224"/>
        <v>0</v>
      </c>
      <c r="Y480" s="155" t="s">
        <v>583</v>
      </c>
      <c r="Z480" t="str">
        <f t="shared" ca="1" si="225"/>
        <v/>
      </c>
      <c r="AA480" s="156">
        <f ca="1">IF($C480="S",IF($Z480="CP",$X480,IF($Z480="RA",(($X480)*QCI!$AA$3),0)),SomaAgrup)</f>
        <v>0</v>
      </c>
      <c r="AB480" s="157">
        <f t="shared" ca="1" si="226"/>
        <v>0</v>
      </c>
      <c r="AC480" s="158" t="str">
        <f t="shared" ca="1" si="227"/>
        <v/>
      </c>
      <c r="AD480" s="104" t="str">
        <f ca="1">IF(C480&lt;=CRONO.NivelExibicao,MAX($AD$15:OFFSET(AD480,-1,0))+IF($C480&lt;&gt;1,1,MAX(1,COUNTIF(QCI!$A$13:$A$24,OFFSET($E480,-1,0)))),"")</f>
        <v/>
      </c>
      <c r="AE480" s="114" t="str">
        <f t="shared" ca="1" si="228"/>
        <v>SINAPI 86881</v>
      </c>
      <c r="AF480" s="159" t="str">
        <f t="shared" ca="1" si="229"/>
        <v>(abra o arquivo 'Referência 05-2024.xls)</v>
      </c>
      <c r="AG480" s="579">
        <f t="shared" ca="1" si="230"/>
        <v>0</v>
      </c>
      <c r="AH480" s="580">
        <f t="shared" ca="1" si="231"/>
        <v>0.22470000000000001</v>
      </c>
      <c r="AJ480" s="582">
        <v>3</v>
      </c>
      <c r="AL480" s="612"/>
      <c r="AM480" s="430">
        <f t="shared" ca="1" si="232"/>
        <v>0</v>
      </c>
      <c r="AN480" s="655">
        <f t="shared" ca="1" si="233"/>
        <v>0</v>
      </c>
    </row>
    <row r="481" spans="1:40" ht="13.8" x14ac:dyDescent="0.3">
      <c r="A481" t="str">
        <f t="shared" si="212"/>
        <v>S</v>
      </c>
      <c r="B481">
        <f t="shared" ca="1" si="213"/>
        <v>2</v>
      </c>
      <c r="C481" t="str">
        <f t="shared" ca="1" si="214"/>
        <v>S</v>
      </c>
      <c r="D481">
        <f t="shared" ca="1" si="215"/>
        <v>0</v>
      </c>
      <c r="E481">
        <f ca="1">IF($C481=1,OFFSET(E481,-1,0)+MAX(1,COUNTIF(QCI!$A$13:$A$24,OFFSET(ORÇAMENTO!E481,-1,0))),OFFSET(E481,-1,0))</f>
        <v>1</v>
      </c>
      <c r="F481">
        <f t="shared" ca="1" si="216"/>
        <v>15</v>
      </c>
      <c r="G481">
        <f t="shared" ca="1" si="217"/>
        <v>0</v>
      </c>
      <c r="H481">
        <f t="shared" ca="1" si="218"/>
        <v>0</v>
      </c>
      <c r="I481">
        <f t="shared" ca="1" si="219"/>
        <v>0</v>
      </c>
      <c r="J481">
        <f t="shared" ca="1" si="234"/>
        <v>0</v>
      </c>
      <c r="K481">
        <f ca="1">IF(OR($C481="S",$C481=0),0,MATCH(OFFSET($D481,0,$C481)+IF($C481&lt;&gt;1,1,COUNTIF(QCI!$A$13:$A$24,ORÇAMENTO!E481)),OFFSET($D481,1,$C481,ROW($C$710)-ROW($C481)),0))</f>
        <v>0</v>
      </c>
      <c r="L481" s="143" t="str">
        <f t="shared" ca="1" si="220"/>
        <v/>
      </c>
      <c r="M481" s="144" t="s">
        <v>201</v>
      </c>
      <c r="N481" s="145" t="str">
        <f t="shared" ca="1" si="221"/>
        <v>Serviço</v>
      </c>
      <c r="O481" s="146" t="str">
        <f t="shared" ca="1" si="222"/>
        <v>-</v>
      </c>
      <c r="P481" s="147" t="s">
        <v>249</v>
      </c>
      <c r="Q481" s="148">
        <v>86887</v>
      </c>
      <c r="R481" s="149" t="str">
        <f t="shared" ca="1" si="210"/>
        <v>(abra o arquivo 'Referência 05-2024.xls)</v>
      </c>
      <c r="S481" s="150" t="str">
        <f t="shared" ca="1" si="211"/>
        <v>-</v>
      </c>
      <c r="T481" s="151">
        <f ca="1">OFFSET(CÁLCULO!H$15,ROW($T481)-ROW(T$15),0)</f>
        <v>31</v>
      </c>
      <c r="U481" s="152">
        <f t="shared" ca="1" si="235"/>
        <v>0</v>
      </c>
      <c r="V481" s="153" t="s">
        <v>158</v>
      </c>
      <c r="W481" s="151">
        <f t="shared" ca="1" si="223"/>
        <v>0</v>
      </c>
      <c r="X481" s="154">
        <f t="shared" ca="1" si="224"/>
        <v>0</v>
      </c>
      <c r="Y481" s="155" t="s">
        <v>583</v>
      </c>
      <c r="Z481" t="str">
        <f t="shared" ca="1" si="225"/>
        <v/>
      </c>
      <c r="AA481" s="156">
        <f ca="1">IF($C481="S",IF($Z481="CP",$X481,IF($Z481="RA",(($X481)*QCI!$AA$3),0)),SomaAgrup)</f>
        <v>0</v>
      </c>
      <c r="AB481" s="157">
        <f t="shared" ca="1" si="226"/>
        <v>0</v>
      </c>
      <c r="AC481" s="158" t="str">
        <f t="shared" ca="1" si="227"/>
        <v/>
      </c>
      <c r="AD481" s="104" t="str">
        <f ca="1">IF(C481&lt;=CRONO.NivelExibicao,MAX($AD$15:OFFSET(AD481,-1,0))+IF($C481&lt;&gt;1,1,MAX(1,COUNTIF(QCI!$A$13:$A$24,OFFSET($E481,-1,0)))),"")</f>
        <v/>
      </c>
      <c r="AE481" s="114" t="str">
        <f t="shared" ca="1" si="228"/>
        <v>SINAPI 86887</v>
      </c>
      <c r="AF481" s="159" t="str">
        <f t="shared" ca="1" si="229"/>
        <v>(abra o arquivo 'Referência 05-2024.xls)</v>
      </c>
      <c r="AG481" s="579">
        <f t="shared" ca="1" si="230"/>
        <v>0</v>
      </c>
      <c r="AH481" s="580">
        <f t="shared" ca="1" si="231"/>
        <v>0.22470000000000001</v>
      </c>
      <c r="AJ481" s="582">
        <v>31</v>
      </c>
      <c r="AL481" s="612"/>
      <c r="AM481" s="430">
        <f t="shared" ca="1" si="232"/>
        <v>0</v>
      </c>
      <c r="AN481" s="655">
        <f t="shared" ca="1" si="233"/>
        <v>0</v>
      </c>
    </row>
    <row r="482" spans="1:40" ht="13.8" x14ac:dyDescent="0.3">
      <c r="A482">
        <f t="shared" si="212"/>
        <v>2</v>
      </c>
      <c r="B482">
        <f t="shared" ca="1" si="213"/>
        <v>2</v>
      </c>
      <c r="C482">
        <f t="shared" ca="1" si="214"/>
        <v>2</v>
      </c>
      <c r="D482">
        <f t="shared" ca="1" si="215"/>
        <v>9</v>
      </c>
      <c r="E482">
        <f ca="1">IF($C482=1,OFFSET(E482,-1,0)+MAX(1,COUNTIF(QCI!$A$13:$A$24,OFFSET(ORÇAMENTO!E482,-1,0))),OFFSET(E482,-1,0))</f>
        <v>1</v>
      </c>
      <c r="F482">
        <f t="shared" ca="1" si="216"/>
        <v>16</v>
      </c>
      <c r="G482">
        <f t="shared" ca="1" si="217"/>
        <v>0</v>
      </c>
      <c r="H482">
        <f t="shared" ca="1" si="218"/>
        <v>0</v>
      </c>
      <c r="I482">
        <f t="shared" ca="1" si="219"/>
        <v>0</v>
      </c>
      <c r="J482">
        <f t="shared" ca="1" si="234"/>
        <v>220</v>
      </c>
      <c r="K482">
        <f ca="1">IF(OR($C482="S",$C482=0),0,MATCH(OFFSET($D482,0,$C482)+IF($C482&lt;&gt;1,1,COUNTIF(QCI!$A$13:$A$24,ORÇAMENTO!E482)),OFFSET($D482,1,$C482,ROW($C$710)-ROW($C482)),0))</f>
        <v>9</v>
      </c>
      <c r="L482" s="143" t="str">
        <f t="shared" ca="1" si="220"/>
        <v>F</v>
      </c>
      <c r="M482" s="144" t="s">
        <v>198</v>
      </c>
      <c r="N482" s="145" t="str">
        <f t="shared" ca="1" si="221"/>
        <v>Nível 2</v>
      </c>
      <c r="O482" s="146" t="str">
        <f t="shared" ca="1" si="222"/>
        <v>1.16.</v>
      </c>
      <c r="P482" s="147" t="s">
        <v>249</v>
      </c>
      <c r="Q482" s="148"/>
      <c r="R482" s="149" t="s">
        <v>538</v>
      </c>
      <c r="S482" s="150" t="s">
        <v>168</v>
      </c>
      <c r="T482" s="151">
        <f ca="1">OFFSET(CÁLCULO!H$15,ROW($T482)-ROW(T$15),0)</f>
        <v>0</v>
      </c>
      <c r="U482" s="152"/>
      <c r="V482" s="153" t="s">
        <v>158</v>
      </c>
      <c r="W482" s="151">
        <f t="shared" ca="1" si="223"/>
        <v>0</v>
      </c>
      <c r="X482" s="154">
        <f t="shared" ca="1" si="224"/>
        <v>0</v>
      </c>
      <c r="Y482" s="155" t="s">
        <v>583</v>
      </c>
      <c r="Z482" t="str">
        <f t="shared" ca="1" si="225"/>
        <v/>
      </c>
      <c r="AA482" s="156">
        <f ca="1">IF($C482="S",IF($Z482="CP",$X482,IF($Z482="RA",(($X482)*QCI!$AA$3),0)),SomaAgrup)</f>
        <v>0</v>
      </c>
      <c r="AB482" s="157">
        <f t="shared" ca="1" si="226"/>
        <v>0</v>
      </c>
      <c r="AC482" s="158" t="str">
        <f t="shared" ca="1" si="227"/>
        <v/>
      </c>
      <c r="AD482" s="104">
        <f ca="1">IF(C482&lt;=CRONO.NivelExibicao,MAX($AD$15:OFFSET(AD482,-1,0))+IF($C482&lt;&gt;1,1,MAX(1,COUNTIF(QCI!$A$13:$A$24,OFFSET($E482,-1,0)))),"")</f>
        <v>17</v>
      </c>
      <c r="AE482" s="114" t="b">
        <f t="shared" ca="1" si="228"/>
        <v>0</v>
      </c>
      <c r="AF482" s="159" t="str">
        <f t="shared" ca="1" si="229"/>
        <v>(abra o arquivo 'Referência 05-2024.xls)</v>
      </c>
      <c r="AG482" s="579">
        <f t="shared" ca="1" si="230"/>
        <v>0</v>
      </c>
      <c r="AH482" s="580">
        <f t="shared" ca="1" si="231"/>
        <v>0.22470000000000001</v>
      </c>
      <c r="AJ482" s="582"/>
      <c r="AL482" s="612"/>
      <c r="AM482" s="430">
        <f t="shared" ca="1" si="232"/>
        <v>0</v>
      </c>
      <c r="AN482" s="655">
        <f t="shared" ca="1" si="233"/>
        <v>0</v>
      </c>
    </row>
    <row r="483" spans="1:40" ht="13.8" x14ac:dyDescent="0.3">
      <c r="A483" t="str">
        <f t="shared" si="212"/>
        <v>S</v>
      </c>
      <c r="B483">
        <f t="shared" ca="1" si="213"/>
        <v>2</v>
      </c>
      <c r="C483" t="str">
        <f t="shared" ca="1" si="214"/>
        <v>S</v>
      </c>
      <c r="D483">
        <f t="shared" ca="1" si="215"/>
        <v>0</v>
      </c>
      <c r="E483">
        <f ca="1">IF($C483=1,OFFSET(E483,-1,0)+MAX(1,COUNTIF(QCI!$A$13:$A$24,OFFSET(ORÇAMENTO!E483,-1,0))),OFFSET(E483,-1,0))</f>
        <v>1</v>
      </c>
      <c r="F483">
        <f t="shared" ca="1" si="216"/>
        <v>16</v>
      </c>
      <c r="G483">
        <f t="shared" ca="1" si="217"/>
        <v>0</v>
      </c>
      <c r="H483">
        <f t="shared" ca="1" si="218"/>
        <v>0</v>
      </c>
      <c r="I483">
        <f t="shared" ca="1" si="219"/>
        <v>0</v>
      </c>
      <c r="J483">
        <f t="shared" ca="1" si="234"/>
        <v>0</v>
      </c>
      <c r="K483">
        <f ca="1">IF(OR($C483="S",$C483=0),0,MATCH(OFFSET($D483,0,$C483)+IF($C483&lt;&gt;1,1,COUNTIF(QCI!$A$13:$A$24,ORÇAMENTO!E483)),OFFSET($D483,1,$C483,ROW($C$710)-ROW($C483)),0))</f>
        <v>0</v>
      </c>
      <c r="L483" s="143" t="str">
        <f t="shared" ca="1" si="220"/>
        <v/>
      </c>
      <c r="M483" s="144" t="s">
        <v>201</v>
      </c>
      <c r="N483" s="145" t="str">
        <f t="shared" ca="1" si="221"/>
        <v>Serviço</v>
      </c>
      <c r="O483" s="146" t="str">
        <f t="shared" ca="1" si="222"/>
        <v>-</v>
      </c>
      <c r="P483" s="147" t="s">
        <v>249</v>
      </c>
      <c r="Q483" s="148">
        <v>91341</v>
      </c>
      <c r="R483" s="149" t="str">
        <f t="shared" ref="R483:R490" ca="1" si="236">IF($C483="S",REFERENCIA.Descricao,"(digite a descrição aqui)")</f>
        <v>(abra o arquivo 'Referência 05-2024.xls)</v>
      </c>
      <c r="S483" s="150" t="str">
        <f t="shared" ref="S483:S490" ca="1" si="237">REFERENCIA.Unidade</f>
        <v>-</v>
      </c>
      <c r="T483" s="151">
        <f ca="1">OFFSET(CÁLCULO!H$15,ROW($T483)-ROW(T$15),0)</f>
        <v>0.48</v>
      </c>
      <c r="U483" s="152">
        <f t="shared" ca="1" si="235"/>
        <v>0</v>
      </c>
      <c r="V483" s="153" t="s">
        <v>158</v>
      </c>
      <c r="W483" s="151">
        <f t="shared" ca="1" si="223"/>
        <v>0</v>
      </c>
      <c r="X483" s="154">
        <f t="shared" ca="1" si="224"/>
        <v>0</v>
      </c>
      <c r="Y483" s="155" t="s">
        <v>583</v>
      </c>
      <c r="Z483" t="str">
        <f t="shared" ca="1" si="225"/>
        <v/>
      </c>
      <c r="AA483" s="156">
        <f ca="1">IF($C483="S",IF($Z483="CP",$X483,IF($Z483="RA",(($X483)*QCI!$AA$3),0)),SomaAgrup)</f>
        <v>0</v>
      </c>
      <c r="AB483" s="157">
        <f t="shared" ca="1" si="226"/>
        <v>0</v>
      </c>
      <c r="AC483" s="158" t="str">
        <f t="shared" ca="1" si="227"/>
        <v/>
      </c>
      <c r="AD483" s="104" t="str">
        <f ca="1">IF(C483&lt;=CRONO.NivelExibicao,MAX($AD$15:OFFSET(AD483,-1,0))+IF($C483&lt;&gt;1,1,MAX(1,COUNTIF(QCI!$A$13:$A$24,OFFSET($E483,-1,0)))),"")</f>
        <v/>
      </c>
      <c r="AE483" s="114" t="str">
        <f t="shared" ca="1" si="228"/>
        <v>SINAPI 91341</v>
      </c>
      <c r="AF483" s="159" t="str">
        <f t="shared" ca="1" si="229"/>
        <v>(abra o arquivo 'Referência 05-2024.xls)</v>
      </c>
      <c r="AG483" s="579">
        <f t="shared" ca="1" si="230"/>
        <v>0</v>
      </c>
      <c r="AH483" s="580">
        <f t="shared" ca="1" si="231"/>
        <v>0.22470000000000001</v>
      </c>
      <c r="AJ483" s="582">
        <v>0.48</v>
      </c>
      <c r="AL483" s="612"/>
      <c r="AM483" s="430">
        <f t="shared" ca="1" si="232"/>
        <v>0</v>
      </c>
      <c r="AN483" s="655">
        <f t="shared" ca="1" si="233"/>
        <v>0</v>
      </c>
    </row>
    <row r="484" spans="1:40" ht="13.8" x14ac:dyDescent="0.3">
      <c r="A484" t="str">
        <f t="shared" si="212"/>
        <v>S</v>
      </c>
      <c r="B484">
        <f t="shared" ca="1" si="213"/>
        <v>2</v>
      </c>
      <c r="C484" t="str">
        <f t="shared" ca="1" si="214"/>
        <v>S</v>
      </c>
      <c r="D484">
        <f t="shared" ca="1" si="215"/>
        <v>0</v>
      </c>
      <c r="E484">
        <f ca="1">IF($C484=1,OFFSET(E484,-1,0)+MAX(1,COUNTIF(QCI!$A$13:$A$24,OFFSET(ORÇAMENTO!E484,-1,0))),OFFSET(E484,-1,0))</f>
        <v>1</v>
      </c>
      <c r="F484">
        <f t="shared" ca="1" si="216"/>
        <v>16</v>
      </c>
      <c r="G484">
        <f t="shared" ca="1" si="217"/>
        <v>0</v>
      </c>
      <c r="H484">
        <f t="shared" ca="1" si="218"/>
        <v>0</v>
      </c>
      <c r="I484">
        <f t="shared" ca="1" si="219"/>
        <v>0</v>
      </c>
      <c r="J484">
        <f t="shared" ca="1" si="234"/>
        <v>0</v>
      </c>
      <c r="K484">
        <f ca="1">IF(OR($C484="S",$C484=0),0,MATCH(OFFSET($D484,0,$C484)+IF($C484&lt;&gt;1,1,COUNTIF(QCI!$A$13:$A$24,ORÇAMENTO!E484)),OFFSET($D484,1,$C484,ROW($C$710)-ROW($C484)),0))</f>
        <v>0</v>
      </c>
      <c r="L484" s="143" t="str">
        <f t="shared" ca="1" si="220"/>
        <v/>
      </c>
      <c r="M484" s="144" t="s">
        <v>201</v>
      </c>
      <c r="N484" s="145" t="str">
        <f t="shared" ca="1" si="221"/>
        <v>Serviço</v>
      </c>
      <c r="O484" s="146" t="str">
        <f t="shared" ca="1" si="222"/>
        <v>-</v>
      </c>
      <c r="P484" s="147" t="s">
        <v>249</v>
      </c>
      <c r="Q484" s="148">
        <v>92688</v>
      </c>
      <c r="R484" s="149" t="str">
        <f t="shared" ca="1" si="236"/>
        <v>(abra o arquivo 'Referência 05-2024.xls)</v>
      </c>
      <c r="S484" s="150" t="str">
        <f t="shared" ca="1" si="237"/>
        <v>-</v>
      </c>
      <c r="T484" s="151">
        <f ca="1">OFFSET(CÁLCULO!H$15,ROW($T484)-ROW(T$15),0)</f>
        <v>35.200000000000003</v>
      </c>
      <c r="U484" s="152">
        <f t="shared" ca="1" si="235"/>
        <v>0</v>
      </c>
      <c r="V484" s="153" t="s">
        <v>158</v>
      </c>
      <c r="W484" s="151">
        <f t="shared" ca="1" si="223"/>
        <v>0</v>
      </c>
      <c r="X484" s="154">
        <f t="shared" ca="1" si="224"/>
        <v>0</v>
      </c>
      <c r="Y484" s="155" t="s">
        <v>583</v>
      </c>
      <c r="Z484" t="str">
        <f t="shared" ca="1" si="225"/>
        <v/>
      </c>
      <c r="AA484" s="156">
        <f ca="1">IF($C484="S",IF($Z484="CP",$X484,IF($Z484="RA",(($X484)*QCI!$AA$3),0)),SomaAgrup)</f>
        <v>0</v>
      </c>
      <c r="AB484" s="157">
        <f t="shared" ca="1" si="226"/>
        <v>0</v>
      </c>
      <c r="AC484" s="158" t="str">
        <f t="shared" ca="1" si="227"/>
        <v/>
      </c>
      <c r="AD484" s="104" t="str">
        <f ca="1">IF(C484&lt;=CRONO.NivelExibicao,MAX($AD$15:OFFSET(AD484,-1,0))+IF($C484&lt;&gt;1,1,MAX(1,COUNTIF(QCI!$A$13:$A$24,OFFSET($E484,-1,0)))),"")</f>
        <v/>
      </c>
      <c r="AE484" s="114" t="str">
        <f t="shared" ca="1" si="228"/>
        <v>SINAPI 92688</v>
      </c>
      <c r="AF484" s="159" t="str">
        <f t="shared" ca="1" si="229"/>
        <v>(abra o arquivo 'Referência 05-2024.xls)</v>
      </c>
      <c r="AG484" s="579">
        <f t="shared" ca="1" si="230"/>
        <v>0</v>
      </c>
      <c r="AH484" s="580">
        <f t="shared" ca="1" si="231"/>
        <v>0.22470000000000001</v>
      </c>
      <c r="AJ484" s="582">
        <v>35.200000000000003</v>
      </c>
      <c r="AL484" s="612"/>
      <c r="AM484" s="430">
        <f t="shared" ca="1" si="232"/>
        <v>0</v>
      </c>
      <c r="AN484" s="655">
        <f t="shared" ca="1" si="233"/>
        <v>0</v>
      </c>
    </row>
    <row r="485" spans="1:40" ht="13.8" x14ac:dyDescent="0.3">
      <c r="A485" t="str">
        <f t="shared" si="212"/>
        <v>S</v>
      </c>
      <c r="B485">
        <f t="shared" ca="1" si="213"/>
        <v>2</v>
      </c>
      <c r="C485" t="str">
        <f t="shared" ca="1" si="214"/>
        <v>S</v>
      </c>
      <c r="D485">
        <f t="shared" ca="1" si="215"/>
        <v>0</v>
      </c>
      <c r="E485">
        <f ca="1">IF($C485=1,OFFSET(E485,-1,0)+MAX(1,COUNTIF(QCI!$A$13:$A$24,OFFSET(ORÇAMENTO!E485,-1,0))),OFFSET(E485,-1,0))</f>
        <v>1</v>
      </c>
      <c r="F485">
        <f t="shared" ca="1" si="216"/>
        <v>16</v>
      </c>
      <c r="G485">
        <f t="shared" ca="1" si="217"/>
        <v>0</v>
      </c>
      <c r="H485">
        <f t="shared" ca="1" si="218"/>
        <v>0</v>
      </c>
      <c r="I485">
        <f t="shared" ca="1" si="219"/>
        <v>0</v>
      </c>
      <c r="J485">
        <f t="shared" ca="1" si="234"/>
        <v>0</v>
      </c>
      <c r="K485">
        <f ca="1">IF(OR($C485="S",$C485=0),0,MATCH(OFFSET($D485,0,$C485)+IF($C485&lt;&gt;1,1,COUNTIF(QCI!$A$13:$A$24,ORÇAMENTO!E485)),OFFSET($D485,1,$C485,ROW($C$710)-ROW($C485)),0))</f>
        <v>0</v>
      </c>
      <c r="L485" s="143" t="str">
        <f t="shared" ca="1" si="220"/>
        <v/>
      </c>
      <c r="M485" s="144" t="s">
        <v>201</v>
      </c>
      <c r="N485" s="145" t="str">
        <f t="shared" ca="1" si="221"/>
        <v>Serviço</v>
      </c>
      <c r="O485" s="146" t="str">
        <f t="shared" ca="1" si="222"/>
        <v>-</v>
      </c>
      <c r="P485" s="147" t="s">
        <v>249</v>
      </c>
      <c r="Q485" s="148">
        <v>97549</v>
      </c>
      <c r="R485" s="149" t="str">
        <f t="shared" ca="1" si="236"/>
        <v>(abra o arquivo 'Referência 05-2024.xls)</v>
      </c>
      <c r="S485" s="150" t="str">
        <f t="shared" ca="1" si="237"/>
        <v>-</v>
      </c>
      <c r="T485" s="151">
        <f ca="1">OFFSET(CÁLCULO!H$15,ROW($T485)-ROW(T$15),0)</f>
        <v>6</v>
      </c>
      <c r="U485" s="152">
        <f t="shared" ca="1" si="235"/>
        <v>0</v>
      </c>
      <c r="V485" s="153" t="s">
        <v>158</v>
      </c>
      <c r="W485" s="151">
        <f t="shared" ca="1" si="223"/>
        <v>0</v>
      </c>
      <c r="X485" s="154">
        <f t="shared" ca="1" si="224"/>
        <v>0</v>
      </c>
      <c r="Y485" s="155" t="s">
        <v>583</v>
      </c>
      <c r="Z485" t="str">
        <f t="shared" ca="1" si="225"/>
        <v/>
      </c>
      <c r="AA485" s="156">
        <f ca="1">IF($C485="S",IF($Z485="CP",$X485,IF($Z485="RA",(($X485)*QCI!$AA$3),0)),SomaAgrup)</f>
        <v>0</v>
      </c>
      <c r="AB485" s="157">
        <f t="shared" ca="1" si="226"/>
        <v>0</v>
      </c>
      <c r="AC485" s="158" t="str">
        <f t="shared" ca="1" si="227"/>
        <v/>
      </c>
      <c r="AD485" s="104" t="str">
        <f ca="1">IF(C485&lt;=CRONO.NivelExibicao,MAX($AD$15:OFFSET(AD485,-1,0))+IF($C485&lt;&gt;1,1,MAX(1,COUNTIF(QCI!$A$13:$A$24,OFFSET($E485,-1,0)))),"")</f>
        <v/>
      </c>
      <c r="AE485" s="114" t="str">
        <f t="shared" ca="1" si="228"/>
        <v>SINAPI 97549</v>
      </c>
      <c r="AF485" s="159" t="str">
        <f t="shared" ca="1" si="229"/>
        <v>(abra o arquivo 'Referência 05-2024.xls)</v>
      </c>
      <c r="AG485" s="579">
        <f t="shared" ca="1" si="230"/>
        <v>0</v>
      </c>
      <c r="AH485" s="580">
        <f t="shared" ca="1" si="231"/>
        <v>0.22470000000000001</v>
      </c>
      <c r="AJ485" s="582">
        <v>6</v>
      </c>
      <c r="AL485" s="612"/>
      <c r="AM485" s="430">
        <f t="shared" ca="1" si="232"/>
        <v>0</v>
      </c>
      <c r="AN485" s="655">
        <f t="shared" ca="1" si="233"/>
        <v>0</v>
      </c>
    </row>
    <row r="486" spans="1:40" ht="13.8" x14ac:dyDescent="0.3">
      <c r="A486" t="str">
        <f t="shared" si="212"/>
        <v>S</v>
      </c>
      <c r="B486">
        <f t="shared" ca="1" si="213"/>
        <v>2</v>
      </c>
      <c r="C486" t="str">
        <f t="shared" ca="1" si="214"/>
        <v>S</v>
      </c>
      <c r="D486">
        <f t="shared" ca="1" si="215"/>
        <v>0</v>
      </c>
      <c r="E486">
        <f ca="1">IF($C486=1,OFFSET(E486,-1,0)+MAX(1,COUNTIF(QCI!$A$13:$A$24,OFFSET(ORÇAMENTO!E486,-1,0))),OFFSET(E486,-1,0))</f>
        <v>1</v>
      </c>
      <c r="F486">
        <f t="shared" ca="1" si="216"/>
        <v>16</v>
      </c>
      <c r="G486">
        <f t="shared" ca="1" si="217"/>
        <v>0</v>
      </c>
      <c r="H486">
        <f t="shared" ca="1" si="218"/>
        <v>0</v>
      </c>
      <c r="I486">
        <f t="shared" ca="1" si="219"/>
        <v>0</v>
      </c>
      <c r="J486">
        <f t="shared" ca="1" si="234"/>
        <v>0</v>
      </c>
      <c r="K486">
        <f ca="1">IF(OR($C486="S",$C486=0),0,MATCH(OFFSET($D486,0,$C486)+IF($C486&lt;&gt;1,1,COUNTIF(QCI!$A$13:$A$24,ORÇAMENTO!E486)),OFFSET($D486,1,$C486,ROW($C$710)-ROW($C486)),0))</f>
        <v>0</v>
      </c>
      <c r="L486" s="143" t="str">
        <f t="shared" ca="1" si="220"/>
        <v/>
      </c>
      <c r="M486" s="144" t="s">
        <v>201</v>
      </c>
      <c r="N486" s="145" t="str">
        <f t="shared" ca="1" si="221"/>
        <v>Serviço</v>
      </c>
      <c r="O486" s="146" t="str">
        <f t="shared" ca="1" si="222"/>
        <v>-</v>
      </c>
      <c r="P486" s="147" t="s">
        <v>249</v>
      </c>
      <c r="Q486" s="148">
        <v>97553</v>
      </c>
      <c r="R486" s="149" t="str">
        <f t="shared" ca="1" si="236"/>
        <v>(abra o arquivo 'Referência 05-2024.xls)</v>
      </c>
      <c r="S486" s="150" t="str">
        <f t="shared" ca="1" si="237"/>
        <v>-</v>
      </c>
      <c r="T486" s="151">
        <f ca="1">OFFSET(CÁLCULO!H$15,ROW($T486)-ROW(T$15),0)</f>
        <v>4</v>
      </c>
      <c r="U486" s="152">
        <f t="shared" ca="1" si="235"/>
        <v>0</v>
      </c>
      <c r="V486" s="153" t="s">
        <v>158</v>
      </c>
      <c r="W486" s="151">
        <f t="shared" ca="1" si="223"/>
        <v>0</v>
      </c>
      <c r="X486" s="154">
        <f t="shared" ca="1" si="224"/>
        <v>0</v>
      </c>
      <c r="Y486" s="155" t="s">
        <v>583</v>
      </c>
      <c r="Z486" t="str">
        <f t="shared" ca="1" si="225"/>
        <v/>
      </c>
      <c r="AA486" s="156">
        <f ca="1">IF($C486="S",IF($Z486="CP",$X486,IF($Z486="RA",(($X486)*QCI!$AA$3),0)),SomaAgrup)</f>
        <v>0</v>
      </c>
      <c r="AB486" s="157">
        <f t="shared" ca="1" si="226"/>
        <v>0</v>
      </c>
      <c r="AC486" s="158" t="str">
        <f t="shared" ca="1" si="227"/>
        <v/>
      </c>
      <c r="AD486" s="104" t="str">
        <f ca="1">IF(C486&lt;=CRONO.NivelExibicao,MAX($AD$15:OFFSET(AD486,-1,0))+IF($C486&lt;&gt;1,1,MAX(1,COUNTIF(QCI!$A$13:$A$24,OFFSET($E486,-1,0)))),"")</f>
        <v/>
      </c>
      <c r="AE486" s="114" t="str">
        <f t="shared" ca="1" si="228"/>
        <v>SINAPI 97553</v>
      </c>
      <c r="AF486" s="159" t="str">
        <f t="shared" ca="1" si="229"/>
        <v>(abra o arquivo 'Referência 05-2024.xls)</v>
      </c>
      <c r="AG486" s="579">
        <f t="shared" ca="1" si="230"/>
        <v>0</v>
      </c>
      <c r="AH486" s="580">
        <f t="shared" ca="1" si="231"/>
        <v>0.22470000000000001</v>
      </c>
      <c r="AJ486" s="582">
        <v>4</v>
      </c>
      <c r="AL486" s="612"/>
      <c r="AM486" s="430">
        <f t="shared" ca="1" si="232"/>
        <v>0</v>
      </c>
      <c r="AN486" s="655">
        <f t="shared" ca="1" si="233"/>
        <v>0</v>
      </c>
    </row>
    <row r="487" spans="1:40" ht="13.8" x14ac:dyDescent="0.3">
      <c r="A487" t="str">
        <f t="shared" si="212"/>
        <v>S</v>
      </c>
      <c r="B487">
        <f t="shared" ca="1" si="213"/>
        <v>2</v>
      </c>
      <c r="C487" t="str">
        <f t="shared" ca="1" si="214"/>
        <v>S</v>
      </c>
      <c r="D487">
        <f t="shared" ca="1" si="215"/>
        <v>0</v>
      </c>
      <c r="E487">
        <f ca="1">IF($C487=1,OFFSET(E487,-1,0)+MAX(1,COUNTIF(QCI!$A$13:$A$24,OFFSET(ORÇAMENTO!E487,-1,0))),OFFSET(E487,-1,0))</f>
        <v>1</v>
      </c>
      <c r="F487">
        <f t="shared" ca="1" si="216"/>
        <v>16</v>
      </c>
      <c r="G487">
        <f t="shared" ca="1" si="217"/>
        <v>0</v>
      </c>
      <c r="H487">
        <f t="shared" ca="1" si="218"/>
        <v>0</v>
      </c>
      <c r="I487">
        <f t="shared" ca="1" si="219"/>
        <v>0</v>
      </c>
      <c r="J487">
        <f t="shared" ca="1" si="234"/>
        <v>0</v>
      </c>
      <c r="K487">
        <f ca="1">IF(OR($C487="S",$C487=0),0,MATCH(OFFSET($D487,0,$C487)+IF($C487&lt;&gt;1,1,COUNTIF(QCI!$A$13:$A$24,ORÇAMENTO!E487)),OFFSET($D487,1,$C487,ROW($C$710)-ROW($C487)),0))</f>
        <v>0</v>
      </c>
      <c r="L487" s="143" t="str">
        <f t="shared" ca="1" si="220"/>
        <v/>
      </c>
      <c r="M487" s="144" t="s">
        <v>201</v>
      </c>
      <c r="N487" s="145" t="str">
        <f t="shared" ca="1" si="221"/>
        <v>Serviço</v>
      </c>
      <c r="O487" s="146" t="str">
        <f t="shared" ca="1" si="222"/>
        <v>-</v>
      </c>
      <c r="P487" s="147" t="s">
        <v>249</v>
      </c>
      <c r="Q487" s="148">
        <v>93074</v>
      </c>
      <c r="R487" s="149" t="str">
        <f t="shared" ca="1" si="236"/>
        <v>(abra o arquivo 'Referência 05-2024.xls)</v>
      </c>
      <c r="S487" s="150" t="str">
        <f t="shared" ca="1" si="237"/>
        <v>-</v>
      </c>
      <c r="T487" s="151">
        <f ca="1">OFFSET(CÁLCULO!H$15,ROW($T487)-ROW(T$15),0)</f>
        <v>2</v>
      </c>
      <c r="U487" s="152">
        <f t="shared" ca="1" si="235"/>
        <v>0</v>
      </c>
      <c r="V487" s="153" t="s">
        <v>158</v>
      </c>
      <c r="W487" s="151">
        <f t="shared" ca="1" si="223"/>
        <v>0</v>
      </c>
      <c r="X487" s="154">
        <f t="shared" ca="1" si="224"/>
        <v>0</v>
      </c>
      <c r="Y487" s="155" t="s">
        <v>583</v>
      </c>
      <c r="Z487" t="str">
        <f t="shared" ca="1" si="225"/>
        <v/>
      </c>
      <c r="AA487" s="156">
        <f ca="1">IF($C487="S",IF($Z487="CP",$X487,IF($Z487="RA",(($X487)*QCI!$AA$3),0)),SomaAgrup)</f>
        <v>0</v>
      </c>
      <c r="AB487" s="157">
        <f t="shared" ca="1" si="226"/>
        <v>0</v>
      </c>
      <c r="AC487" s="158" t="str">
        <f t="shared" ca="1" si="227"/>
        <v/>
      </c>
      <c r="AD487" s="104" t="str">
        <f ca="1">IF(C487&lt;=CRONO.NivelExibicao,MAX($AD$15:OFFSET(AD487,-1,0))+IF($C487&lt;&gt;1,1,MAX(1,COUNTIF(QCI!$A$13:$A$24,OFFSET($E487,-1,0)))),"")</f>
        <v/>
      </c>
      <c r="AE487" s="114" t="str">
        <f t="shared" ca="1" si="228"/>
        <v>SINAPI 93074</v>
      </c>
      <c r="AF487" s="159" t="str">
        <f t="shared" ca="1" si="229"/>
        <v>(abra o arquivo 'Referência 05-2024.xls)</v>
      </c>
      <c r="AG487" s="579">
        <f t="shared" ca="1" si="230"/>
        <v>0</v>
      </c>
      <c r="AH487" s="580">
        <f t="shared" ca="1" si="231"/>
        <v>0.22470000000000001</v>
      </c>
      <c r="AJ487" s="582">
        <v>2</v>
      </c>
      <c r="AL487" s="612"/>
      <c r="AM487" s="430">
        <f t="shared" ca="1" si="232"/>
        <v>0</v>
      </c>
      <c r="AN487" s="655">
        <f t="shared" ca="1" si="233"/>
        <v>0</v>
      </c>
    </row>
    <row r="488" spans="1:40" ht="13.8" x14ac:dyDescent="0.3">
      <c r="A488" t="str">
        <f t="shared" si="212"/>
        <v>S</v>
      </c>
      <c r="B488">
        <f t="shared" ca="1" si="213"/>
        <v>2</v>
      </c>
      <c r="C488" t="str">
        <f t="shared" ca="1" si="214"/>
        <v>S</v>
      </c>
      <c r="D488">
        <f t="shared" ca="1" si="215"/>
        <v>0</v>
      </c>
      <c r="E488">
        <f ca="1">IF($C488=1,OFFSET(E488,-1,0)+MAX(1,COUNTIF(QCI!$A$13:$A$24,OFFSET(ORÇAMENTO!E488,-1,0))),OFFSET(E488,-1,0))</f>
        <v>1</v>
      </c>
      <c r="F488">
        <f t="shared" ca="1" si="216"/>
        <v>16</v>
      </c>
      <c r="G488">
        <f t="shared" ca="1" si="217"/>
        <v>0</v>
      </c>
      <c r="H488">
        <f t="shared" ca="1" si="218"/>
        <v>0</v>
      </c>
      <c r="I488">
        <f t="shared" ca="1" si="219"/>
        <v>0</v>
      </c>
      <c r="J488">
        <f t="shared" ca="1" si="234"/>
        <v>0</v>
      </c>
      <c r="K488">
        <f ca="1">IF(OR($C488="S",$C488=0),0,MATCH(OFFSET($D488,0,$C488)+IF($C488&lt;&gt;1,1,COUNTIF(QCI!$A$13:$A$24,ORÇAMENTO!E488)),OFFSET($D488,1,$C488,ROW($C$710)-ROW($C488)),0))</f>
        <v>0</v>
      </c>
      <c r="L488" s="143" t="str">
        <f t="shared" ca="1" si="220"/>
        <v/>
      </c>
      <c r="M488" s="144" t="s">
        <v>201</v>
      </c>
      <c r="N488" s="145" t="str">
        <f t="shared" ca="1" si="221"/>
        <v>Serviço</v>
      </c>
      <c r="O488" s="146" t="str">
        <f t="shared" ca="1" si="222"/>
        <v>-</v>
      </c>
      <c r="P488" s="147" t="s">
        <v>249</v>
      </c>
      <c r="Q488" s="148">
        <v>103029</v>
      </c>
      <c r="R488" s="149" t="str">
        <f t="shared" ca="1" si="236"/>
        <v>(abra o arquivo 'Referência 05-2024.xls)</v>
      </c>
      <c r="S488" s="150" t="str">
        <f t="shared" ca="1" si="237"/>
        <v>-</v>
      </c>
      <c r="T488" s="151">
        <f ca="1">OFFSET(CÁLCULO!H$15,ROW($T488)-ROW(T$15),0)</f>
        <v>1</v>
      </c>
      <c r="U488" s="152">
        <f t="shared" ca="1" si="235"/>
        <v>0</v>
      </c>
      <c r="V488" s="153" t="s">
        <v>158</v>
      </c>
      <c r="W488" s="151">
        <f t="shared" ca="1" si="223"/>
        <v>0</v>
      </c>
      <c r="X488" s="154">
        <f t="shared" ca="1" si="224"/>
        <v>0</v>
      </c>
      <c r="Y488" s="155" t="s">
        <v>583</v>
      </c>
      <c r="Z488" t="str">
        <f t="shared" ca="1" si="225"/>
        <v/>
      </c>
      <c r="AA488" s="156">
        <f ca="1">IF($C488="S",IF($Z488="CP",$X488,IF($Z488="RA",(($X488)*QCI!$AA$3),0)),SomaAgrup)</f>
        <v>0</v>
      </c>
      <c r="AB488" s="157">
        <f t="shared" ca="1" si="226"/>
        <v>0</v>
      </c>
      <c r="AC488" s="158" t="str">
        <f t="shared" ca="1" si="227"/>
        <v/>
      </c>
      <c r="AD488" s="104" t="str">
        <f ca="1">IF(C488&lt;=CRONO.NivelExibicao,MAX($AD$15:OFFSET(AD488,-1,0))+IF($C488&lt;&gt;1,1,MAX(1,COUNTIF(QCI!$A$13:$A$24,OFFSET($E488,-1,0)))),"")</f>
        <v/>
      </c>
      <c r="AE488" s="114" t="str">
        <f t="shared" ca="1" si="228"/>
        <v>SINAPI 103029</v>
      </c>
      <c r="AF488" s="159" t="str">
        <f t="shared" ca="1" si="229"/>
        <v>(abra o arquivo 'Referência 05-2024.xls)</v>
      </c>
      <c r="AG488" s="579">
        <f t="shared" ca="1" si="230"/>
        <v>0</v>
      </c>
      <c r="AH488" s="580">
        <f t="shared" ca="1" si="231"/>
        <v>0.22470000000000001</v>
      </c>
      <c r="AJ488" s="582">
        <v>1</v>
      </c>
      <c r="AL488" s="612"/>
      <c r="AM488" s="430">
        <f t="shared" ca="1" si="232"/>
        <v>0</v>
      </c>
      <c r="AN488" s="655">
        <f t="shared" ca="1" si="233"/>
        <v>0</v>
      </c>
    </row>
    <row r="489" spans="1:40" ht="13.8" x14ac:dyDescent="0.3">
      <c r="A489" t="str">
        <f t="shared" si="212"/>
        <v>S</v>
      </c>
      <c r="B489">
        <f t="shared" ca="1" si="213"/>
        <v>2</v>
      </c>
      <c r="C489" t="str">
        <f t="shared" ca="1" si="214"/>
        <v>S</v>
      </c>
      <c r="D489">
        <f t="shared" ca="1" si="215"/>
        <v>0</v>
      </c>
      <c r="E489">
        <f ca="1">IF($C489=1,OFFSET(E489,-1,0)+MAX(1,COUNTIF(QCI!$A$13:$A$24,OFFSET(ORÇAMENTO!E489,-1,0))),OFFSET(E489,-1,0))</f>
        <v>1</v>
      </c>
      <c r="F489">
        <f t="shared" ca="1" si="216"/>
        <v>16</v>
      </c>
      <c r="G489">
        <f t="shared" ca="1" si="217"/>
        <v>0</v>
      </c>
      <c r="H489">
        <f t="shared" ca="1" si="218"/>
        <v>0</v>
      </c>
      <c r="I489">
        <f t="shared" ca="1" si="219"/>
        <v>0</v>
      </c>
      <c r="J489">
        <f t="shared" ca="1" si="234"/>
        <v>0</v>
      </c>
      <c r="K489">
        <f ca="1">IF(OR($C489="S",$C489=0),0,MATCH(OFFSET($D489,0,$C489)+IF($C489&lt;&gt;1,1,COUNTIF(QCI!$A$13:$A$24,ORÇAMENTO!E489)),OFFSET($D489,1,$C489,ROW($C$710)-ROW($C489)),0))</f>
        <v>0</v>
      </c>
      <c r="L489" s="143" t="str">
        <f t="shared" ca="1" si="220"/>
        <v/>
      </c>
      <c r="M489" s="144" t="s">
        <v>201</v>
      </c>
      <c r="N489" s="145" t="str">
        <f t="shared" ca="1" si="221"/>
        <v>Serviço</v>
      </c>
      <c r="O489" s="146" t="str">
        <f t="shared" ca="1" si="222"/>
        <v>-</v>
      </c>
      <c r="P489" s="147" t="s">
        <v>249</v>
      </c>
      <c r="Q489" s="148">
        <v>103029</v>
      </c>
      <c r="R489" s="149" t="str">
        <f t="shared" ca="1" si="236"/>
        <v>(abra o arquivo 'Referência 05-2024.xls)</v>
      </c>
      <c r="S489" s="150" t="str">
        <f t="shared" ca="1" si="237"/>
        <v>-</v>
      </c>
      <c r="T489" s="151">
        <f ca="1">OFFSET(CÁLCULO!H$15,ROW($T489)-ROW(T$15),0)</f>
        <v>2</v>
      </c>
      <c r="U489" s="152">
        <f t="shared" ca="1" si="235"/>
        <v>0</v>
      </c>
      <c r="V489" s="153" t="s">
        <v>158</v>
      </c>
      <c r="W489" s="151">
        <f t="shared" ca="1" si="223"/>
        <v>0</v>
      </c>
      <c r="X489" s="154">
        <f t="shared" ca="1" si="224"/>
        <v>0</v>
      </c>
      <c r="Y489" s="155" t="s">
        <v>583</v>
      </c>
      <c r="Z489" t="str">
        <f t="shared" ca="1" si="225"/>
        <v/>
      </c>
      <c r="AA489" s="156">
        <f ca="1">IF($C489="S",IF($Z489="CP",$X489,IF($Z489="RA",(($X489)*QCI!$AA$3),0)),SomaAgrup)</f>
        <v>0</v>
      </c>
      <c r="AB489" s="157">
        <f t="shared" ca="1" si="226"/>
        <v>0</v>
      </c>
      <c r="AC489" s="158" t="str">
        <f t="shared" ca="1" si="227"/>
        <v/>
      </c>
      <c r="AD489" s="104" t="str">
        <f ca="1">IF(C489&lt;=CRONO.NivelExibicao,MAX($AD$15:OFFSET(AD489,-1,0))+IF($C489&lt;&gt;1,1,MAX(1,COUNTIF(QCI!$A$13:$A$24,OFFSET($E489,-1,0)))),"")</f>
        <v/>
      </c>
      <c r="AE489" s="114" t="str">
        <f t="shared" ca="1" si="228"/>
        <v>SINAPI 103029</v>
      </c>
      <c r="AF489" s="159" t="str">
        <f t="shared" ca="1" si="229"/>
        <v>(abra o arquivo 'Referência 05-2024.xls)</v>
      </c>
      <c r="AG489" s="579">
        <f t="shared" ca="1" si="230"/>
        <v>0</v>
      </c>
      <c r="AH489" s="580">
        <f t="shared" ca="1" si="231"/>
        <v>0.22470000000000001</v>
      </c>
      <c r="AJ489" s="582">
        <v>2</v>
      </c>
      <c r="AL489" s="612"/>
      <c r="AM489" s="430">
        <f t="shared" ca="1" si="232"/>
        <v>0</v>
      </c>
      <c r="AN489" s="655">
        <f t="shared" ca="1" si="233"/>
        <v>0</v>
      </c>
    </row>
    <row r="490" spans="1:40" ht="13.8" x14ac:dyDescent="0.3">
      <c r="A490" t="str">
        <f t="shared" si="212"/>
        <v>S</v>
      </c>
      <c r="B490">
        <f t="shared" ca="1" si="213"/>
        <v>2</v>
      </c>
      <c r="C490" t="str">
        <f t="shared" ca="1" si="214"/>
        <v>S</v>
      </c>
      <c r="D490">
        <f t="shared" ca="1" si="215"/>
        <v>0</v>
      </c>
      <c r="E490">
        <f ca="1">IF($C490=1,OFFSET(E490,-1,0)+MAX(1,COUNTIF(QCI!$A$13:$A$24,OFFSET(ORÇAMENTO!E490,-1,0))),OFFSET(E490,-1,0))</f>
        <v>1</v>
      </c>
      <c r="F490">
        <f t="shared" ca="1" si="216"/>
        <v>16</v>
      </c>
      <c r="G490">
        <f t="shared" ca="1" si="217"/>
        <v>0</v>
      </c>
      <c r="H490">
        <f t="shared" ca="1" si="218"/>
        <v>0</v>
      </c>
      <c r="I490">
        <f t="shared" ca="1" si="219"/>
        <v>0</v>
      </c>
      <c r="J490">
        <f t="shared" ca="1" si="234"/>
        <v>0</v>
      </c>
      <c r="K490">
        <f ca="1">IF(OR($C490="S",$C490=0),0,MATCH(OFFSET($D490,0,$C490)+IF($C490&lt;&gt;1,1,COUNTIF(QCI!$A$13:$A$24,ORÇAMENTO!E490)),OFFSET($D490,1,$C490,ROW($C$710)-ROW($C490)),0))</f>
        <v>0</v>
      </c>
      <c r="L490" s="143" t="str">
        <f t="shared" ca="1" si="220"/>
        <v/>
      </c>
      <c r="M490" s="144" t="s">
        <v>201</v>
      </c>
      <c r="N490" s="145" t="str">
        <f t="shared" ca="1" si="221"/>
        <v>Serviço</v>
      </c>
      <c r="O490" s="146" t="str">
        <f t="shared" ca="1" si="222"/>
        <v>-</v>
      </c>
      <c r="P490" s="147" t="s">
        <v>249</v>
      </c>
      <c r="Q490" s="148">
        <v>95249</v>
      </c>
      <c r="R490" s="149" t="str">
        <f t="shared" ca="1" si="236"/>
        <v>(abra o arquivo 'Referência 05-2024.xls)</v>
      </c>
      <c r="S490" s="150" t="str">
        <f t="shared" ca="1" si="237"/>
        <v>-</v>
      </c>
      <c r="T490" s="151">
        <f ca="1">OFFSET(CÁLCULO!H$15,ROW($T490)-ROW(T$15),0)</f>
        <v>4</v>
      </c>
      <c r="U490" s="152">
        <f t="shared" ca="1" si="235"/>
        <v>0</v>
      </c>
      <c r="V490" s="153" t="s">
        <v>158</v>
      </c>
      <c r="W490" s="151">
        <f t="shared" ca="1" si="223"/>
        <v>0</v>
      </c>
      <c r="X490" s="154">
        <f t="shared" ca="1" si="224"/>
        <v>0</v>
      </c>
      <c r="Y490" s="155" t="s">
        <v>583</v>
      </c>
      <c r="Z490" t="str">
        <f t="shared" ca="1" si="225"/>
        <v/>
      </c>
      <c r="AA490" s="156">
        <f ca="1">IF($C490="S",IF($Z490="CP",$X490,IF($Z490="RA",(($X490)*QCI!$AA$3),0)),SomaAgrup)</f>
        <v>0</v>
      </c>
      <c r="AB490" s="157">
        <f t="shared" ca="1" si="226"/>
        <v>0</v>
      </c>
      <c r="AC490" s="158" t="str">
        <f t="shared" ca="1" si="227"/>
        <v/>
      </c>
      <c r="AD490" s="104" t="str">
        <f ca="1">IF(C490&lt;=CRONO.NivelExibicao,MAX($AD$15:OFFSET(AD490,-1,0))+IF($C490&lt;&gt;1,1,MAX(1,COUNTIF(QCI!$A$13:$A$24,OFFSET($E490,-1,0)))),"")</f>
        <v/>
      </c>
      <c r="AE490" s="114" t="str">
        <f t="shared" ca="1" si="228"/>
        <v>SINAPI 95249</v>
      </c>
      <c r="AF490" s="159" t="str">
        <f t="shared" ca="1" si="229"/>
        <v>(abra o arquivo 'Referência 05-2024.xls)</v>
      </c>
      <c r="AG490" s="579">
        <f t="shared" ca="1" si="230"/>
        <v>0</v>
      </c>
      <c r="AH490" s="580">
        <f t="shared" ca="1" si="231"/>
        <v>0.22470000000000001</v>
      </c>
      <c r="AJ490" s="582">
        <v>4</v>
      </c>
      <c r="AL490" s="612"/>
      <c r="AM490" s="430">
        <f t="shared" ca="1" si="232"/>
        <v>0</v>
      </c>
      <c r="AN490" s="655">
        <f t="shared" ca="1" si="233"/>
        <v>0</v>
      </c>
    </row>
    <row r="491" spans="1:40" ht="13.8" x14ac:dyDescent="0.3">
      <c r="A491">
        <f t="shared" si="212"/>
        <v>2</v>
      </c>
      <c r="B491">
        <f t="shared" ca="1" si="213"/>
        <v>2</v>
      </c>
      <c r="C491">
        <f t="shared" ca="1" si="214"/>
        <v>2</v>
      </c>
      <c r="D491">
        <f t="shared" ca="1" si="215"/>
        <v>37</v>
      </c>
      <c r="E491">
        <f ca="1">IF($C491=1,OFFSET(E491,-1,0)+MAX(1,COUNTIF(QCI!$A$13:$A$24,OFFSET(ORÇAMENTO!E491,-1,0))),OFFSET(E491,-1,0))</f>
        <v>1</v>
      </c>
      <c r="F491">
        <f t="shared" ca="1" si="216"/>
        <v>17</v>
      </c>
      <c r="G491">
        <f t="shared" ca="1" si="217"/>
        <v>0</v>
      </c>
      <c r="H491">
        <f t="shared" ca="1" si="218"/>
        <v>0</v>
      </c>
      <c r="I491">
        <f t="shared" ca="1" si="219"/>
        <v>0</v>
      </c>
      <c r="J491">
        <f t="shared" ca="1" si="234"/>
        <v>211</v>
      </c>
      <c r="K491">
        <f ca="1">IF(OR($C491="S",$C491=0),0,MATCH(OFFSET($D491,0,$C491)+IF($C491&lt;&gt;1,1,COUNTIF(QCI!$A$13:$A$24,ORÇAMENTO!E491)),OFFSET($D491,1,$C491,ROW($C$710)-ROW($C491)),0))</f>
        <v>37</v>
      </c>
      <c r="L491" s="143" t="str">
        <f t="shared" ca="1" si="220"/>
        <v>F</v>
      </c>
      <c r="M491" s="144" t="s">
        <v>198</v>
      </c>
      <c r="N491" s="145" t="str">
        <f t="shared" ca="1" si="221"/>
        <v>Nível 2</v>
      </c>
      <c r="O491" s="146" t="str">
        <f t="shared" ca="1" si="222"/>
        <v>1.17.</v>
      </c>
      <c r="P491" s="147" t="s">
        <v>249</v>
      </c>
      <c r="Q491" s="148"/>
      <c r="R491" s="149" t="s">
        <v>539</v>
      </c>
      <c r="S491" s="150" t="s">
        <v>168</v>
      </c>
      <c r="T491" s="151">
        <f ca="1">OFFSET(CÁLCULO!H$15,ROW($T491)-ROW(T$15),0)</f>
        <v>0</v>
      </c>
      <c r="U491" s="152"/>
      <c r="V491" s="153" t="s">
        <v>158</v>
      </c>
      <c r="W491" s="151">
        <f t="shared" ca="1" si="223"/>
        <v>0</v>
      </c>
      <c r="X491" s="154">
        <f t="shared" ca="1" si="224"/>
        <v>0</v>
      </c>
      <c r="Y491" s="155" t="s">
        <v>583</v>
      </c>
      <c r="Z491" t="str">
        <f t="shared" ca="1" si="225"/>
        <v/>
      </c>
      <c r="AA491" s="156">
        <f ca="1">IF($C491="S",IF($Z491="CP",$X491,IF($Z491="RA",(($X491)*QCI!$AA$3),0)),SomaAgrup)</f>
        <v>0</v>
      </c>
      <c r="AB491" s="157">
        <f t="shared" ca="1" si="226"/>
        <v>0</v>
      </c>
      <c r="AC491" s="158" t="str">
        <f t="shared" ca="1" si="227"/>
        <v/>
      </c>
      <c r="AD491" s="104">
        <f ca="1">IF(C491&lt;=CRONO.NivelExibicao,MAX($AD$15:OFFSET(AD491,-1,0))+IF($C491&lt;&gt;1,1,MAX(1,COUNTIF(QCI!$A$13:$A$24,OFFSET($E491,-1,0)))),"")</f>
        <v>18</v>
      </c>
      <c r="AE491" s="114" t="b">
        <f t="shared" ca="1" si="228"/>
        <v>0</v>
      </c>
      <c r="AF491" s="159" t="str">
        <f t="shared" ca="1" si="229"/>
        <v>(abra o arquivo 'Referência 05-2024.xls)</v>
      </c>
      <c r="AG491" s="579">
        <f t="shared" ca="1" si="230"/>
        <v>0</v>
      </c>
      <c r="AH491" s="580">
        <f t="shared" ca="1" si="231"/>
        <v>0.22470000000000001</v>
      </c>
      <c r="AJ491" s="582"/>
      <c r="AL491" s="612"/>
      <c r="AM491" s="430">
        <f t="shared" ca="1" si="232"/>
        <v>0</v>
      </c>
      <c r="AN491" s="655">
        <f t="shared" ca="1" si="233"/>
        <v>0</v>
      </c>
    </row>
    <row r="492" spans="1:40" ht="13.8" x14ac:dyDescent="0.3">
      <c r="A492">
        <f t="shared" si="212"/>
        <v>3</v>
      </c>
      <c r="B492">
        <f t="shared" ca="1" si="213"/>
        <v>3</v>
      </c>
      <c r="C492">
        <f t="shared" ca="1" si="214"/>
        <v>3</v>
      </c>
      <c r="D492">
        <f t="shared" ca="1" si="215"/>
        <v>3</v>
      </c>
      <c r="E492">
        <f ca="1">IF($C492=1,OFFSET(E492,-1,0)+MAX(1,COUNTIF(QCI!$A$13:$A$24,OFFSET(ORÇAMENTO!E492,-1,0))),OFFSET(E492,-1,0))</f>
        <v>1</v>
      </c>
      <c r="F492">
        <f t="shared" ca="1" si="216"/>
        <v>17</v>
      </c>
      <c r="G492">
        <f t="shared" ca="1" si="217"/>
        <v>1</v>
      </c>
      <c r="H492">
        <f t="shared" ca="1" si="218"/>
        <v>0</v>
      </c>
      <c r="I492">
        <f t="shared" ca="1" si="219"/>
        <v>0</v>
      </c>
      <c r="J492">
        <f t="shared" ca="1" si="234"/>
        <v>36</v>
      </c>
      <c r="K492">
        <f ca="1">IF(OR($C492="S",$C492=0),0,MATCH(OFFSET($D492,0,$C492)+IF($C492&lt;&gt;1,1,COUNTIF(QCI!$A$13:$A$24,ORÇAMENTO!E492)),OFFSET($D492,1,$C492,ROW($C$710)-ROW($C492)),0))</f>
        <v>3</v>
      </c>
      <c r="L492" s="143" t="str">
        <f t="shared" ca="1" si="220"/>
        <v>F</v>
      </c>
      <c r="M492" s="144" t="s">
        <v>199</v>
      </c>
      <c r="N492" s="145" t="str">
        <f t="shared" ca="1" si="221"/>
        <v>Nível 3</v>
      </c>
      <c r="O492" s="146" t="str">
        <f t="shared" ca="1" si="222"/>
        <v>1.17.1.</v>
      </c>
      <c r="P492" s="147" t="s">
        <v>249</v>
      </c>
      <c r="Q492" s="148"/>
      <c r="R492" s="149" t="s">
        <v>540</v>
      </c>
      <c r="S492" s="150" t="s">
        <v>168</v>
      </c>
      <c r="T492" s="151">
        <f ca="1">OFFSET(CÁLCULO!H$15,ROW($T492)-ROW(T$15),0)</f>
        <v>0</v>
      </c>
      <c r="U492" s="152"/>
      <c r="V492" s="153" t="s">
        <v>158</v>
      </c>
      <c r="W492" s="151">
        <f t="shared" ca="1" si="223"/>
        <v>0</v>
      </c>
      <c r="X492" s="154">
        <f t="shared" ca="1" si="224"/>
        <v>0</v>
      </c>
      <c r="Y492" s="155" t="s">
        <v>583</v>
      </c>
      <c r="Z492" t="str">
        <f t="shared" ca="1" si="225"/>
        <v/>
      </c>
      <c r="AA492" s="156">
        <f ca="1">IF($C492="S",IF($Z492="CP",$X492,IF($Z492="RA",(($X492)*QCI!$AA$3),0)),SomaAgrup)</f>
        <v>0</v>
      </c>
      <c r="AB492" s="157">
        <f t="shared" ca="1" si="226"/>
        <v>0</v>
      </c>
      <c r="AC492" s="158" t="str">
        <f t="shared" ca="1" si="227"/>
        <v/>
      </c>
      <c r="AD492" s="104" t="str">
        <f ca="1">IF(C492&lt;=CRONO.NivelExibicao,MAX($AD$15:OFFSET(AD492,-1,0))+IF($C492&lt;&gt;1,1,MAX(1,COUNTIF(QCI!$A$13:$A$24,OFFSET($E492,-1,0)))),"")</f>
        <v/>
      </c>
      <c r="AE492" s="114" t="b">
        <f t="shared" ca="1" si="228"/>
        <v>0</v>
      </c>
      <c r="AF492" s="159" t="str">
        <f t="shared" ca="1" si="229"/>
        <v>(abra o arquivo 'Referência 05-2024.xls)</v>
      </c>
      <c r="AG492" s="579">
        <f t="shared" ca="1" si="230"/>
        <v>0</v>
      </c>
      <c r="AH492" s="580">
        <f t="shared" ca="1" si="231"/>
        <v>0.22470000000000001</v>
      </c>
      <c r="AJ492" s="582"/>
      <c r="AL492" s="612"/>
      <c r="AM492" s="430">
        <f t="shared" ca="1" si="232"/>
        <v>0</v>
      </c>
      <c r="AN492" s="655">
        <f t="shared" ca="1" si="233"/>
        <v>0</v>
      </c>
    </row>
    <row r="493" spans="1:40" ht="13.8" x14ac:dyDescent="0.3">
      <c r="A493" t="str">
        <f t="shared" si="212"/>
        <v>S</v>
      </c>
      <c r="B493">
        <f t="shared" ca="1" si="213"/>
        <v>3</v>
      </c>
      <c r="C493" t="str">
        <f t="shared" ca="1" si="214"/>
        <v>S</v>
      </c>
      <c r="D493">
        <f t="shared" ca="1" si="215"/>
        <v>0</v>
      </c>
      <c r="E493">
        <f ca="1">IF($C493=1,OFFSET(E493,-1,0)+MAX(1,COUNTIF(QCI!$A$13:$A$24,OFFSET(ORÇAMENTO!E493,-1,0))),OFFSET(E493,-1,0))</f>
        <v>1</v>
      </c>
      <c r="F493">
        <f t="shared" ca="1" si="216"/>
        <v>17</v>
      </c>
      <c r="G493">
        <f t="shared" ca="1" si="217"/>
        <v>1</v>
      </c>
      <c r="H493">
        <f t="shared" ca="1" si="218"/>
        <v>0</v>
      </c>
      <c r="I493">
        <f t="shared" ca="1" si="219"/>
        <v>0</v>
      </c>
      <c r="J493">
        <f t="shared" ca="1" si="234"/>
        <v>0</v>
      </c>
      <c r="K493">
        <f ca="1">IF(OR($C493="S",$C493=0),0,MATCH(OFFSET($D493,0,$C493)+IF($C493&lt;&gt;1,1,COUNTIF(QCI!$A$13:$A$24,ORÇAMENTO!E493)),OFFSET($D493,1,$C493,ROW($C$710)-ROW($C493)),0))</f>
        <v>0</v>
      </c>
      <c r="L493" s="143" t="str">
        <f t="shared" ca="1" si="220"/>
        <v/>
      </c>
      <c r="M493" s="144" t="s">
        <v>201</v>
      </c>
      <c r="N493" s="145" t="str">
        <f t="shared" ca="1" si="221"/>
        <v>Serviço</v>
      </c>
      <c r="O493" s="146" t="str">
        <f t="shared" ca="1" si="222"/>
        <v>-</v>
      </c>
      <c r="P493" s="147" t="s">
        <v>249</v>
      </c>
      <c r="Q493" s="148">
        <v>101909</v>
      </c>
      <c r="R493" s="149" t="str">
        <f ca="1">IF($C493="S",REFERENCIA.Descricao,"(digite a descrição aqui)")</f>
        <v>(abra o arquivo 'Referência 05-2024.xls)</v>
      </c>
      <c r="S493" s="150" t="str">
        <f ca="1">REFERENCIA.Unidade</f>
        <v>-</v>
      </c>
      <c r="T493" s="151">
        <f ca="1">OFFSET(CÁLCULO!H$15,ROW($T493)-ROW(T$15),0)</f>
        <v>22</v>
      </c>
      <c r="U493" s="152">
        <f t="shared" ca="1" si="235"/>
        <v>0</v>
      </c>
      <c r="V493" s="153" t="s">
        <v>193</v>
      </c>
      <c r="W493" s="151">
        <f t="shared" ca="1" si="223"/>
        <v>0</v>
      </c>
      <c r="X493" s="154">
        <f t="shared" ca="1" si="224"/>
        <v>0</v>
      </c>
      <c r="Y493" s="155" t="s">
        <v>583</v>
      </c>
      <c r="Z493" t="str">
        <f t="shared" ca="1" si="225"/>
        <v/>
      </c>
      <c r="AA493" s="156">
        <f ca="1">IF($C493="S",IF($Z493="CP",$X493,IF($Z493="RA",(($X493)*QCI!$AA$3),0)),SomaAgrup)</f>
        <v>0</v>
      </c>
      <c r="AB493" s="157">
        <f t="shared" ca="1" si="226"/>
        <v>0</v>
      </c>
      <c r="AC493" s="158" t="str">
        <f t="shared" ca="1" si="227"/>
        <v/>
      </c>
      <c r="AD493" s="104" t="str">
        <f ca="1">IF(C493&lt;=CRONO.NivelExibicao,MAX($AD$15:OFFSET(AD493,-1,0))+IF($C493&lt;&gt;1,1,MAX(1,COUNTIF(QCI!$A$13:$A$24,OFFSET($E493,-1,0)))),"")</f>
        <v/>
      </c>
      <c r="AE493" s="114" t="str">
        <f t="shared" ca="1" si="228"/>
        <v>SINAPI 101909</v>
      </c>
      <c r="AF493" s="159" t="str">
        <f t="shared" ca="1" si="229"/>
        <v>(abra o arquivo 'Referência 05-2024.xls)</v>
      </c>
      <c r="AG493" s="579">
        <f t="shared" ca="1" si="230"/>
        <v>0</v>
      </c>
      <c r="AH493" s="580">
        <f t="shared" ca="1" si="231"/>
        <v>0.16800000000000001</v>
      </c>
      <c r="AJ493" s="582">
        <v>22</v>
      </c>
      <c r="AL493" s="612"/>
      <c r="AM493" s="430">
        <f t="shared" ca="1" si="232"/>
        <v>0</v>
      </c>
      <c r="AN493" s="655">
        <f t="shared" ca="1" si="233"/>
        <v>0</v>
      </c>
    </row>
    <row r="494" spans="1:40" ht="13.8" x14ac:dyDescent="0.3">
      <c r="A494" t="str">
        <f t="shared" si="212"/>
        <v>S</v>
      </c>
      <c r="B494">
        <f t="shared" ca="1" si="213"/>
        <v>3</v>
      </c>
      <c r="C494" t="str">
        <f t="shared" ca="1" si="214"/>
        <v>S</v>
      </c>
      <c r="D494">
        <f t="shared" ca="1" si="215"/>
        <v>0</v>
      </c>
      <c r="E494">
        <f ca="1">IF($C494=1,OFFSET(E494,-1,0)+MAX(1,COUNTIF(QCI!$A$13:$A$24,OFFSET(ORÇAMENTO!E494,-1,0))),OFFSET(E494,-1,0))</f>
        <v>1</v>
      </c>
      <c r="F494">
        <f t="shared" ca="1" si="216"/>
        <v>17</v>
      </c>
      <c r="G494">
        <f t="shared" ca="1" si="217"/>
        <v>1</v>
      </c>
      <c r="H494">
        <f t="shared" ca="1" si="218"/>
        <v>0</v>
      </c>
      <c r="I494">
        <f t="shared" ca="1" si="219"/>
        <v>0</v>
      </c>
      <c r="J494">
        <f t="shared" ca="1" si="234"/>
        <v>0</v>
      </c>
      <c r="K494">
        <f ca="1">IF(OR($C494="S",$C494=0),0,MATCH(OFFSET($D494,0,$C494)+IF($C494&lt;&gt;1,1,COUNTIF(QCI!$A$13:$A$24,ORÇAMENTO!E494)),OFFSET($D494,1,$C494,ROW($C$710)-ROW($C494)),0))</f>
        <v>0</v>
      </c>
      <c r="L494" s="143" t="str">
        <f t="shared" ca="1" si="220"/>
        <v/>
      </c>
      <c r="M494" s="144" t="s">
        <v>201</v>
      </c>
      <c r="N494" s="145" t="str">
        <f t="shared" ca="1" si="221"/>
        <v>Serviço</v>
      </c>
      <c r="O494" s="146" t="str">
        <f t="shared" ca="1" si="222"/>
        <v>-</v>
      </c>
      <c r="P494" s="147" t="s">
        <v>249</v>
      </c>
      <c r="Q494" s="148">
        <v>101907</v>
      </c>
      <c r="R494" s="149" t="str">
        <f ca="1">IF($C494="S",REFERENCIA.Descricao,"(digite a descrição aqui)")</f>
        <v>(abra o arquivo 'Referência 05-2024.xls)</v>
      </c>
      <c r="S494" s="150" t="str">
        <f ca="1">REFERENCIA.Unidade</f>
        <v>-</v>
      </c>
      <c r="T494" s="151">
        <f ca="1">OFFSET(CÁLCULO!H$15,ROW($T494)-ROW(T$15),0)</f>
        <v>2</v>
      </c>
      <c r="U494" s="152">
        <f t="shared" ca="1" si="235"/>
        <v>0</v>
      </c>
      <c r="V494" s="153" t="s">
        <v>193</v>
      </c>
      <c r="W494" s="151">
        <f t="shared" ca="1" si="223"/>
        <v>0</v>
      </c>
      <c r="X494" s="154">
        <f t="shared" ca="1" si="224"/>
        <v>0</v>
      </c>
      <c r="Y494" s="155" t="s">
        <v>583</v>
      </c>
      <c r="Z494" t="str">
        <f t="shared" ca="1" si="225"/>
        <v/>
      </c>
      <c r="AA494" s="156">
        <f ca="1">IF($C494="S",IF($Z494="CP",$X494,IF($Z494="RA",(($X494)*QCI!$AA$3),0)),SomaAgrup)</f>
        <v>0</v>
      </c>
      <c r="AB494" s="157">
        <f t="shared" ca="1" si="226"/>
        <v>0</v>
      </c>
      <c r="AC494" s="158" t="str">
        <f t="shared" ca="1" si="227"/>
        <v/>
      </c>
      <c r="AD494" s="104" t="str">
        <f ca="1">IF(C494&lt;=CRONO.NivelExibicao,MAX($AD$15:OFFSET(AD494,-1,0))+IF($C494&lt;&gt;1,1,MAX(1,COUNTIF(QCI!$A$13:$A$24,OFFSET($E494,-1,0)))),"")</f>
        <v/>
      </c>
      <c r="AE494" s="114" t="str">
        <f t="shared" ca="1" si="228"/>
        <v>SINAPI 101907</v>
      </c>
      <c r="AF494" s="159" t="str">
        <f t="shared" ca="1" si="229"/>
        <v>(abra o arquivo 'Referência 05-2024.xls)</v>
      </c>
      <c r="AG494" s="579">
        <f t="shared" ca="1" si="230"/>
        <v>0</v>
      </c>
      <c r="AH494" s="580">
        <f t="shared" ca="1" si="231"/>
        <v>0.16800000000000001</v>
      </c>
      <c r="AJ494" s="582">
        <v>2</v>
      </c>
      <c r="AL494" s="612"/>
      <c r="AM494" s="430">
        <f t="shared" ca="1" si="232"/>
        <v>0</v>
      </c>
      <c r="AN494" s="655">
        <f t="shared" ca="1" si="233"/>
        <v>0</v>
      </c>
    </row>
    <row r="495" spans="1:40" ht="13.8" x14ac:dyDescent="0.3">
      <c r="A495">
        <f t="shared" si="212"/>
        <v>3</v>
      </c>
      <c r="B495">
        <f t="shared" ca="1" si="213"/>
        <v>3</v>
      </c>
      <c r="C495">
        <f t="shared" ca="1" si="214"/>
        <v>3</v>
      </c>
      <c r="D495">
        <f t="shared" ca="1" si="215"/>
        <v>8</v>
      </c>
      <c r="E495">
        <f ca="1">IF($C495=1,OFFSET(E495,-1,0)+MAX(1,COUNTIF(QCI!$A$13:$A$24,OFFSET(ORÇAMENTO!E495,-1,0))),OFFSET(E495,-1,0))</f>
        <v>1</v>
      </c>
      <c r="F495">
        <f t="shared" ca="1" si="216"/>
        <v>17</v>
      </c>
      <c r="G495">
        <f t="shared" ca="1" si="217"/>
        <v>2</v>
      </c>
      <c r="H495">
        <f t="shared" ca="1" si="218"/>
        <v>0</v>
      </c>
      <c r="I495">
        <f t="shared" ca="1" si="219"/>
        <v>0</v>
      </c>
      <c r="J495">
        <f t="shared" ca="1" si="234"/>
        <v>33</v>
      </c>
      <c r="K495">
        <f ca="1">IF(OR($C495="S",$C495=0),0,MATCH(OFFSET($D495,0,$C495)+IF($C495&lt;&gt;1,1,COUNTIF(QCI!$A$13:$A$24,ORÇAMENTO!E495)),OFFSET($D495,1,$C495,ROW($C$710)-ROW($C495)),0))</f>
        <v>8</v>
      </c>
      <c r="L495" s="143" t="str">
        <f t="shared" ca="1" si="220"/>
        <v>F</v>
      </c>
      <c r="M495" s="144" t="s">
        <v>199</v>
      </c>
      <c r="N495" s="145" t="str">
        <f t="shared" ca="1" si="221"/>
        <v>Nível 3</v>
      </c>
      <c r="O495" s="146" t="str">
        <f t="shared" ca="1" si="222"/>
        <v>1.17.2.</v>
      </c>
      <c r="P495" s="147" t="s">
        <v>249</v>
      </c>
      <c r="Q495" s="148"/>
      <c r="R495" s="149" t="s">
        <v>541</v>
      </c>
      <c r="S495" s="150" t="s">
        <v>168</v>
      </c>
      <c r="T495" s="151">
        <f ca="1">OFFSET(CÁLCULO!H$15,ROW($T495)-ROW(T$15),0)</f>
        <v>0</v>
      </c>
      <c r="U495" s="152"/>
      <c r="V495" s="153" t="s">
        <v>158</v>
      </c>
      <c r="W495" s="151">
        <f t="shared" ca="1" si="223"/>
        <v>0</v>
      </c>
      <c r="X495" s="154">
        <f t="shared" ca="1" si="224"/>
        <v>0</v>
      </c>
      <c r="Y495" s="155" t="s">
        <v>583</v>
      </c>
      <c r="Z495" t="str">
        <f t="shared" ca="1" si="225"/>
        <v/>
      </c>
      <c r="AA495" s="156">
        <f ca="1">IF($C495="S",IF($Z495="CP",$X495,IF($Z495="RA",(($X495)*QCI!$AA$3),0)),SomaAgrup)</f>
        <v>0</v>
      </c>
      <c r="AB495" s="157">
        <f t="shared" ca="1" si="226"/>
        <v>0</v>
      </c>
      <c r="AC495" s="158" t="str">
        <f t="shared" ca="1" si="227"/>
        <v/>
      </c>
      <c r="AD495" s="104" t="str">
        <f ca="1">IF(C495&lt;=CRONO.NivelExibicao,MAX($AD$15:OFFSET(AD495,-1,0))+IF($C495&lt;&gt;1,1,MAX(1,COUNTIF(QCI!$A$13:$A$24,OFFSET($E495,-1,0)))),"")</f>
        <v/>
      </c>
      <c r="AE495" s="114" t="b">
        <f t="shared" ca="1" si="228"/>
        <v>0</v>
      </c>
      <c r="AF495" s="159" t="str">
        <f t="shared" ca="1" si="229"/>
        <v>(abra o arquivo 'Referência 05-2024.xls)</v>
      </c>
      <c r="AG495" s="579">
        <f t="shared" ca="1" si="230"/>
        <v>0</v>
      </c>
      <c r="AH495" s="580">
        <f t="shared" ca="1" si="231"/>
        <v>0.22470000000000001</v>
      </c>
      <c r="AJ495" s="582"/>
      <c r="AL495" s="612"/>
      <c r="AM495" s="430">
        <f t="shared" ca="1" si="232"/>
        <v>0</v>
      </c>
      <c r="AN495" s="655">
        <f t="shared" ca="1" si="233"/>
        <v>0</v>
      </c>
    </row>
    <row r="496" spans="1:40" ht="13.8" x14ac:dyDescent="0.3">
      <c r="A496" t="str">
        <f t="shared" si="212"/>
        <v>S</v>
      </c>
      <c r="B496">
        <f t="shared" ca="1" si="213"/>
        <v>3</v>
      </c>
      <c r="C496" t="str">
        <f t="shared" ca="1" si="214"/>
        <v>S</v>
      </c>
      <c r="D496">
        <f t="shared" ca="1" si="215"/>
        <v>0</v>
      </c>
      <c r="E496">
        <f ca="1">IF($C496=1,OFFSET(E496,-1,0)+MAX(1,COUNTIF(QCI!$A$13:$A$24,OFFSET(ORÇAMENTO!E496,-1,0))),OFFSET(E496,-1,0))</f>
        <v>1</v>
      </c>
      <c r="F496">
        <f t="shared" ca="1" si="216"/>
        <v>17</v>
      </c>
      <c r="G496">
        <f t="shared" ca="1" si="217"/>
        <v>2</v>
      </c>
      <c r="H496">
        <f t="shared" ca="1" si="218"/>
        <v>0</v>
      </c>
      <c r="I496">
        <f t="shared" ca="1" si="219"/>
        <v>0</v>
      </c>
      <c r="J496">
        <f t="shared" ca="1" si="234"/>
        <v>0</v>
      </c>
      <c r="K496">
        <f ca="1">IF(OR($C496="S",$C496=0),0,MATCH(OFFSET($D496,0,$C496)+IF($C496&lt;&gt;1,1,COUNTIF(QCI!$A$13:$A$24,ORÇAMENTO!E496)),OFFSET($D496,1,$C496,ROW($C$710)-ROW($C496)),0))</f>
        <v>0</v>
      </c>
      <c r="L496" s="143" t="str">
        <f t="shared" ca="1" si="220"/>
        <v/>
      </c>
      <c r="M496" s="144" t="s">
        <v>201</v>
      </c>
      <c r="N496" s="145" t="str">
        <f t="shared" ca="1" si="221"/>
        <v>Serviço</v>
      </c>
      <c r="O496" s="146" t="str">
        <f t="shared" ca="1" si="222"/>
        <v>-</v>
      </c>
      <c r="P496" s="147" t="s">
        <v>441</v>
      </c>
      <c r="Q496" s="148" t="s">
        <v>624</v>
      </c>
      <c r="R496" s="149" t="str">
        <f t="shared" ref="R496:R502" ca="1" si="238">IF($C496="S",REFERENCIA.Descricao,"(digite a descrição aqui)")</f>
        <v>(abra o arquivo 'Referência 05-2024.xls)</v>
      </c>
      <c r="S496" s="150" t="str">
        <f t="shared" ref="S496:S502" ca="1" si="239">REFERENCIA.Unidade</f>
        <v>-</v>
      </c>
      <c r="T496" s="151">
        <f ca="1">OFFSET(CÁLCULO!H$15,ROW($T496)-ROW(T$15),0)</f>
        <v>1</v>
      </c>
      <c r="U496" s="152">
        <f t="shared" ca="1" si="235"/>
        <v>0</v>
      </c>
      <c r="V496" s="153" t="s">
        <v>158</v>
      </c>
      <c r="W496" s="151">
        <f t="shared" ca="1" si="223"/>
        <v>0</v>
      </c>
      <c r="X496" s="154">
        <f t="shared" ca="1" si="224"/>
        <v>0</v>
      </c>
      <c r="Y496" s="155" t="s">
        <v>583</v>
      </c>
      <c r="Z496" t="str">
        <f t="shared" ca="1" si="225"/>
        <v/>
      </c>
      <c r="AA496" s="156">
        <f ca="1">IF($C496="S",IF($Z496="CP",$X496,IF($Z496="RA",(($X496)*QCI!$AA$3),0)),SomaAgrup)</f>
        <v>0</v>
      </c>
      <c r="AB496" s="157">
        <f t="shared" ca="1" si="226"/>
        <v>0</v>
      </c>
      <c r="AC496" s="158" t="str">
        <f t="shared" ca="1" si="227"/>
        <v/>
      </c>
      <c r="AD496" s="104" t="str">
        <f ca="1">IF(C496&lt;=CRONO.NivelExibicao,MAX($AD$15:OFFSET(AD496,-1,0))+IF($C496&lt;&gt;1,1,MAX(1,COUNTIF(QCI!$A$13:$A$24,OFFSET($E496,-1,0)))),"")</f>
        <v/>
      </c>
      <c r="AE496" s="114" t="str">
        <f t="shared" ca="1" si="228"/>
        <v>Composição CP-60</v>
      </c>
      <c r="AF496" s="159" t="str">
        <f t="shared" ca="1" si="229"/>
        <v>(abra o arquivo 'Referência 05-2024.xls)</v>
      </c>
      <c r="AG496" s="579">
        <f t="shared" ca="1" si="230"/>
        <v>0</v>
      </c>
      <c r="AH496" s="580">
        <f t="shared" ca="1" si="231"/>
        <v>0.22470000000000001</v>
      </c>
      <c r="AJ496" s="582">
        <v>1</v>
      </c>
      <c r="AL496" s="612"/>
      <c r="AM496" s="430">
        <f t="shared" ca="1" si="232"/>
        <v>0</v>
      </c>
      <c r="AN496" s="655">
        <f t="shared" ca="1" si="233"/>
        <v>0</v>
      </c>
    </row>
    <row r="497" spans="1:40" ht="13.8" x14ac:dyDescent="0.3">
      <c r="A497" t="str">
        <f t="shared" si="212"/>
        <v>S</v>
      </c>
      <c r="B497">
        <f t="shared" ca="1" si="213"/>
        <v>3</v>
      </c>
      <c r="C497" t="str">
        <f t="shared" ca="1" si="214"/>
        <v>S</v>
      </c>
      <c r="D497">
        <f t="shared" ca="1" si="215"/>
        <v>0</v>
      </c>
      <c r="E497">
        <f ca="1">IF($C497=1,OFFSET(E497,-1,0)+MAX(1,COUNTIF(QCI!$A$13:$A$24,OFFSET(ORÇAMENTO!E497,-1,0))),OFFSET(E497,-1,0))</f>
        <v>1</v>
      </c>
      <c r="F497">
        <f t="shared" ca="1" si="216"/>
        <v>17</v>
      </c>
      <c r="G497">
        <f t="shared" ca="1" si="217"/>
        <v>2</v>
      </c>
      <c r="H497">
        <f t="shared" ca="1" si="218"/>
        <v>0</v>
      </c>
      <c r="I497">
        <f t="shared" ca="1" si="219"/>
        <v>0</v>
      </c>
      <c r="J497">
        <f t="shared" ca="1" si="234"/>
        <v>0</v>
      </c>
      <c r="K497">
        <f ca="1">IF(OR($C497="S",$C497=0),0,MATCH(OFFSET($D497,0,$C497)+IF($C497&lt;&gt;1,1,COUNTIF(QCI!$A$13:$A$24,ORÇAMENTO!E497)),OFFSET($D497,1,$C497,ROW($C$710)-ROW($C497)),0))</f>
        <v>0</v>
      </c>
      <c r="L497" s="143" t="str">
        <f t="shared" ca="1" si="220"/>
        <v/>
      </c>
      <c r="M497" s="144" t="s">
        <v>201</v>
      </c>
      <c r="N497" s="145" t="str">
        <f t="shared" ca="1" si="221"/>
        <v>Serviço</v>
      </c>
      <c r="O497" s="146" t="str">
        <f t="shared" ca="1" si="222"/>
        <v>-</v>
      </c>
      <c r="P497" s="147" t="s">
        <v>249</v>
      </c>
      <c r="Q497" s="148">
        <v>94473</v>
      </c>
      <c r="R497" s="149" t="str">
        <f t="shared" ca="1" si="238"/>
        <v>(abra o arquivo 'Referência 05-2024.xls)</v>
      </c>
      <c r="S497" s="150" t="str">
        <f t="shared" ca="1" si="239"/>
        <v>-</v>
      </c>
      <c r="T497" s="151">
        <f ca="1">OFFSET(CÁLCULO!H$15,ROW($T497)-ROW(T$15),0)</f>
        <v>43</v>
      </c>
      <c r="U497" s="152">
        <f t="shared" ca="1" si="235"/>
        <v>0</v>
      </c>
      <c r="V497" s="153" t="s">
        <v>158</v>
      </c>
      <c r="W497" s="151">
        <f t="shared" ca="1" si="223"/>
        <v>0</v>
      </c>
      <c r="X497" s="154">
        <f t="shared" ca="1" si="224"/>
        <v>0</v>
      </c>
      <c r="Y497" s="155" t="s">
        <v>583</v>
      </c>
      <c r="Z497" t="str">
        <f t="shared" ca="1" si="225"/>
        <v/>
      </c>
      <c r="AA497" s="156">
        <f ca="1">IF($C497="S",IF($Z497="CP",$X497,IF($Z497="RA",(($X497)*QCI!$AA$3),0)),SomaAgrup)</f>
        <v>0</v>
      </c>
      <c r="AB497" s="157">
        <f t="shared" ca="1" si="226"/>
        <v>0</v>
      </c>
      <c r="AC497" s="158" t="str">
        <f t="shared" ca="1" si="227"/>
        <v/>
      </c>
      <c r="AD497" s="104" t="str">
        <f ca="1">IF(C497&lt;=CRONO.NivelExibicao,MAX($AD$15:OFFSET(AD497,-1,0))+IF($C497&lt;&gt;1,1,MAX(1,COUNTIF(QCI!$A$13:$A$24,OFFSET($E497,-1,0)))),"")</f>
        <v/>
      </c>
      <c r="AE497" s="114" t="str">
        <f t="shared" ca="1" si="228"/>
        <v>SINAPI 94473</v>
      </c>
      <c r="AF497" s="159" t="str">
        <f t="shared" ca="1" si="229"/>
        <v>(abra o arquivo 'Referência 05-2024.xls)</v>
      </c>
      <c r="AG497" s="579">
        <f t="shared" ca="1" si="230"/>
        <v>0</v>
      </c>
      <c r="AH497" s="580">
        <f t="shared" ca="1" si="231"/>
        <v>0.22470000000000001</v>
      </c>
      <c r="AJ497" s="582">
        <v>43</v>
      </c>
      <c r="AL497" s="612"/>
      <c r="AM497" s="430">
        <f t="shared" ca="1" si="232"/>
        <v>0</v>
      </c>
      <c r="AN497" s="655">
        <f t="shared" ca="1" si="233"/>
        <v>0</v>
      </c>
    </row>
    <row r="498" spans="1:40" ht="13.8" x14ac:dyDescent="0.3">
      <c r="A498" t="str">
        <f t="shared" si="212"/>
        <v>S</v>
      </c>
      <c r="B498">
        <f t="shared" ca="1" si="213"/>
        <v>3</v>
      </c>
      <c r="C498" t="str">
        <f t="shared" ca="1" si="214"/>
        <v>S</v>
      </c>
      <c r="D498">
        <f t="shared" ca="1" si="215"/>
        <v>0</v>
      </c>
      <c r="E498">
        <f ca="1">IF($C498=1,OFFSET(E498,-1,0)+MAX(1,COUNTIF(QCI!$A$13:$A$24,OFFSET(ORÇAMENTO!E498,-1,0))),OFFSET(E498,-1,0))</f>
        <v>1</v>
      </c>
      <c r="F498">
        <f t="shared" ca="1" si="216"/>
        <v>17</v>
      </c>
      <c r="G498">
        <f t="shared" ca="1" si="217"/>
        <v>2</v>
      </c>
      <c r="H498">
        <f t="shared" ca="1" si="218"/>
        <v>0</v>
      </c>
      <c r="I498">
        <f t="shared" ca="1" si="219"/>
        <v>0</v>
      </c>
      <c r="J498">
        <f t="shared" ca="1" si="234"/>
        <v>0</v>
      </c>
      <c r="K498">
        <f ca="1">IF(OR($C498="S",$C498=0),0,MATCH(OFFSET($D498,0,$C498)+IF($C498&lt;&gt;1,1,COUNTIF(QCI!$A$13:$A$24,ORÇAMENTO!E498)),OFFSET($D498,1,$C498,ROW($C$710)-ROW($C498)),0))</f>
        <v>0</v>
      </c>
      <c r="L498" s="143" t="str">
        <f t="shared" ca="1" si="220"/>
        <v/>
      </c>
      <c r="M498" s="144" t="s">
        <v>201</v>
      </c>
      <c r="N498" s="145" t="str">
        <f t="shared" ca="1" si="221"/>
        <v>Serviço</v>
      </c>
      <c r="O498" s="146" t="str">
        <f t="shared" ca="1" si="222"/>
        <v>-</v>
      </c>
      <c r="P498" s="147" t="s">
        <v>249</v>
      </c>
      <c r="Q498" s="148">
        <v>97488</v>
      </c>
      <c r="R498" s="149" t="str">
        <f t="shared" ca="1" si="238"/>
        <v>(abra o arquivo 'Referência 05-2024.xls)</v>
      </c>
      <c r="S498" s="150" t="str">
        <f t="shared" ca="1" si="239"/>
        <v>-</v>
      </c>
      <c r="T498" s="151">
        <f ca="1">OFFSET(CÁLCULO!H$15,ROW($T498)-ROW(T$15),0)</f>
        <v>1</v>
      </c>
      <c r="U498" s="152">
        <f t="shared" ca="1" si="235"/>
        <v>0</v>
      </c>
      <c r="V498" s="153" t="s">
        <v>158</v>
      </c>
      <c r="W498" s="151">
        <f t="shared" ca="1" si="223"/>
        <v>0</v>
      </c>
      <c r="X498" s="154">
        <f t="shared" ca="1" si="224"/>
        <v>0</v>
      </c>
      <c r="Y498" s="155" t="s">
        <v>583</v>
      </c>
      <c r="Z498" t="str">
        <f t="shared" ca="1" si="225"/>
        <v/>
      </c>
      <c r="AA498" s="156">
        <f ca="1">IF($C498="S",IF($Z498="CP",$X498,IF($Z498="RA",(($X498)*QCI!$AA$3),0)),SomaAgrup)</f>
        <v>0</v>
      </c>
      <c r="AB498" s="157">
        <f t="shared" ca="1" si="226"/>
        <v>0</v>
      </c>
      <c r="AC498" s="158" t="str">
        <f t="shared" ca="1" si="227"/>
        <v/>
      </c>
      <c r="AD498" s="104" t="str">
        <f ca="1">IF(C498&lt;=CRONO.NivelExibicao,MAX($AD$15:OFFSET(AD498,-1,0))+IF($C498&lt;&gt;1,1,MAX(1,COUNTIF(QCI!$A$13:$A$24,OFFSET($E498,-1,0)))),"")</f>
        <v/>
      </c>
      <c r="AE498" s="114" t="str">
        <f t="shared" ca="1" si="228"/>
        <v>SINAPI 97488</v>
      </c>
      <c r="AF498" s="159" t="str">
        <f t="shared" ca="1" si="229"/>
        <v>(abra o arquivo 'Referência 05-2024.xls)</v>
      </c>
      <c r="AG498" s="579">
        <f t="shared" ca="1" si="230"/>
        <v>0</v>
      </c>
      <c r="AH498" s="580">
        <f t="shared" ca="1" si="231"/>
        <v>0.22470000000000001</v>
      </c>
      <c r="AJ498" s="582">
        <v>1</v>
      </c>
      <c r="AL498" s="612"/>
      <c r="AM498" s="430">
        <f t="shared" ca="1" si="232"/>
        <v>0</v>
      </c>
      <c r="AN498" s="655">
        <f t="shared" ca="1" si="233"/>
        <v>0</v>
      </c>
    </row>
    <row r="499" spans="1:40" ht="13.8" x14ac:dyDescent="0.3">
      <c r="A499" t="str">
        <f t="shared" si="212"/>
        <v>S</v>
      </c>
      <c r="B499">
        <f t="shared" ca="1" si="213"/>
        <v>3</v>
      </c>
      <c r="C499" t="str">
        <f t="shared" ca="1" si="214"/>
        <v>S</v>
      </c>
      <c r="D499">
        <f t="shared" ca="1" si="215"/>
        <v>0</v>
      </c>
      <c r="E499">
        <f ca="1">IF($C499=1,OFFSET(E499,-1,0)+MAX(1,COUNTIF(QCI!$A$13:$A$24,OFFSET(ORÇAMENTO!E499,-1,0))),OFFSET(E499,-1,0))</f>
        <v>1</v>
      </c>
      <c r="F499">
        <f t="shared" ca="1" si="216"/>
        <v>17</v>
      </c>
      <c r="G499">
        <f t="shared" ca="1" si="217"/>
        <v>2</v>
      </c>
      <c r="H499">
        <f t="shared" ca="1" si="218"/>
        <v>0</v>
      </c>
      <c r="I499">
        <f t="shared" ca="1" si="219"/>
        <v>0</v>
      </c>
      <c r="J499">
        <f t="shared" ca="1" si="234"/>
        <v>0</v>
      </c>
      <c r="K499">
        <f ca="1">IF(OR($C499="S",$C499=0),0,MATCH(OFFSET($D499,0,$C499)+IF($C499&lt;&gt;1,1,COUNTIF(QCI!$A$13:$A$24,ORÇAMENTO!E499)),OFFSET($D499,1,$C499,ROW($C$710)-ROW($C499)),0))</f>
        <v>0</v>
      </c>
      <c r="L499" s="143" t="str">
        <f t="shared" ca="1" si="220"/>
        <v/>
      </c>
      <c r="M499" s="144" t="s">
        <v>201</v>
      </c>
      <c r="N499" s="145" t="str">
        <f t="shared" ca="1" si="221"/>
        <v>Serviço</v>
      </c>
      <c r="O499" s="146" t="str">
        <f t="shared" ca="1" si="222"/>
        <v>-</v>
      </c>
      <c r="P499" s="147" t="s">
        <v>249</v>
      </c>
      <c r="Q499" s="148">
        <v>92377</v>
      </c>
      <c r="R499" s="149" t="str">
        <f t="shared" ca="1" si="238"/>
        <v>(abra o arquivo 'Referência 05-2024.xls)</v>
      </c>
      <c r="S499" s="150" t="str">
        <f t="shared" ca="1" si="239"/>
        <v>-</v>
      </c>
      <c r="T499" s="151">
        <f ca="1">OFFSET(CÁLCULO!H$15,ROW($T499)-ROW(T$15),0)</f>
        <v>11</v>
      </c>
      <c r="U499" s="152">
        <f t="shared" ca="1" si="235"/>
        <v>0</v>
      </c>
      <c r="V499" s="153" t="s">
        <v>158</v>
      </c>
      <c r="W499" s="151">
        <f t="shared" ca="1" si="223"/>
        <v>0</v>
      </c>
      <c r="X499" s="154">
        <f t="shared" ca="1" si="224"/>
        <v>0</v>
      </c>
      <c r="Y499" s="155" t="s">
        <v>583</v>
      </c>
      <c r="Z499" t="str">
        <f t="shared" ca="1" si="225"/>
        <v/>
      </c>
      <c r="AA499" s="156">
        <f ca="1">IF($C499="S",IF($Z499="CP",$X499,IF($Z499="RA",(($X499)*QCI!$AA$3),0)),SomaAgrup)</f>
        <v>0</v>
      </c>
      <c r="AB499" s="157">
        <f t="shared" ca="1" si="226"/>
        <v>0</v>
      </c>
      <c r="AC499" s="158" t="str">
        <f t="shared" ca="1" si="227"/>
        <v/>
      </c>
      <c r="AD499" s="104" t="str">
        <f ca="1">IF(C499&lt;=CRONO.NivelExibicao,MAX($AD$15:OFFSET(AD499,-1,0))+IF($C499&lt;&gt;1,1,MAX(1,COUNTIF(QCI!$A$13:$A$24,OFFSET($E499,-1,0)))),"")</f>
        <v/>
      </c>
      <c r="AE499" s="114" t="str">
        <f t="shared" ca="1" si="228"/>
        <v>SINAPI 92377</v>
      </c>
      <c r="AF499" s="159" t="str">
        <f t="shared" ca="1" si="229"/>
        <v>(abra o arquivo 'Referência 05-2024.xls)</v>
      </c>
      <c r="AG499" s="579">
        <f t="shared" ca="1" si="230"/>
        <v>0</v>
      </c>
      <c r="AH499" s="580">
        <f t="shared" ca="1" si="231"/>
        <v>0.22470000000000001</v>
      </c>
      <c r="AJ499" s="582">
        <v>11</v>
      </c>
      <c r="AL499" s="612"/>
      <c r="AM499" s="430">
        <f t="shared" ca="1" si="232"/>
        <v>0</v>
      </c>
      <c r="AN499" s="655">
        <f t="shared" ca="1" si="233"/>
        <v>0</v>
      </c>
    </row>
    <row r="500" spans="1:40" ht="13.8" x14ac:dyDescent="0.3">
      <c r="A500" t="str">
        <f t="shared" si="212"/>
        <v>S</v>
      </c>
      <c r="B500">
        <f t="shared" ca="1" si="213"/>
        <v>3</v>
      </c>
      <c r="C500" t="str">
        <f t="shared" ca="1" si="214"/>
        <v>S</v>
      </c>
      <c r="D500">
        <f t="shared" ca="1" si="215"/>
        <v>0</v>
      </c>
      <c r="E500">
        <f ca="1">IF($C500=1,OFFSET(E500,-1,0)+MAX(1,COUNTIF(QCI!$A$13:$A$24,OFFSET(ORÇAMENTO!E500,-1,0))),OFFSET(E500,-1,0))</f>
        <v>1</v>
      </c>
      <c r="F500">
        <f t="shared" ca="1" si="216"/>
        <v>17</v>
      </c>
      <c r="G500">
        <f t="shared" ca="1" si="217"/>
        <v>2</v>
      </c>
      <c r="H500">
        <f t="shared" ca="1" si="218"/>
        <v>0</v>
      </c>
      <c r="I500">
        <f t="shared" ca="1" si="219"/>
        <v>0</v>
      </c>
      <c r="J500">
        <f t="shared" ca="1" si="234"/>
        <v>0</v>
      </c>
      <c r="K500">
        <f ca="1">IF(OR($C500="S",$C500=0),0,MATCH(OFFSET($D500,0,$C500)+IF($C500&lt;&gt;1,1,COUNTIF(QCI!$A$13:$A$24,ORÇAMENTO!E500)),OFFSET($D500,1,$C500,ROW($C$710)-ROW($C500)),0))</f>
        <v>0</v>
      </c>
      <c r="L500" s="143" t="str">
        <f t="shared" ca="1" si="220"/>
        <v/>
      </c>
      <c r="M500" s="144" t="s">
        <v>201</v>
      </c>
      <c r="N500" s="145" t="str">
        <f t="shared" ca="1" si="221"/>
        <v>Serviço</v>
      </c>
      <c r="O500" s="146" t="str">
        <f t="shared" ca="1" si="222"/>
        <v>-</v>
      </c>
      <c r="P500" s="147" t="s">
        <v>249</v>
      </c>
      <c r="Q500" s="148">
        <v>92367</v>
      </c>
      <c r="R500" s="149" t="str">
        <f t="shared" ca="1" si="238"/>
        <v>(abra o arquivo 'Referência 05-2024.xls)</v>
      </c>
      <c r="S500" s="150" t="str">
        <f t="shared" ca="1" si="239"/>
        <v>-</v>
      </c>
      <c r="T500" s="151">
        <f ca="1">OFFSET(CÁLCULO!H$15,ROW($T500)-ROW(T$15),0)</f>
        <v>272.31</v>
      </c>
      <c r="U500" s="152">
        <f t="shared" ca="1" si="235"/>
        <v>0</v>
      </c>
      <c r="V500" s="153" t="s">
        <v>158</v>
      </c>
      <c r="W500" s="151">
        <f t="shared" ca="1" si="223"/>
        <v>0</v>
      </c>
      <c r="X500" s="154">
        <f t="shared" ca="1" si="224"/>
        <v>0</v>
      </c>
      <c r="Y500" s="155" t="s">
        <v>583</v>
      </c>
      <c r="Z500" t="str">
        <f t="shared" ca="1" si="225"/>
        <v/>
      </c>
      <c r="AA500" s="156">
        <f ca="1">IF($C500="S",IF($Z500="CP",$X500,IF($Z500="RA",(($X500)*QCI!$AA$3),0)),SomaAgrup)</f>
        <v>0</v>
      </c>
      <c r="AB500" s="157">
        <f t="shared" ca="1" si="226"/>
        <v>0</v>
      </c>
      <c r="AC500" s="158" t="str">
        <f t="shared" ca="1" si="227"/>
        <v/>
      </c>
      <c r="AD500" s="104" t="str">
        <f ca="1">IF(C500&lt;=CRONO.NivelExibicao,MAX($AD$15:OFFSET(AD500,-1,0))+IF($C500&lt;&gt;1,1,MAX(1,COUNTIF(QCI!$A$13:$A$24,OFFSET($E500,-1,0)))),"")</f>
        <v/>
      </c>
      <c r="AE500" s="114" t="str">
        <f t="shared" ca="1" si="228"/>
        <v>SINAPI 92367</v>
      </c>
      <c r="AF500" s="159" t="str">
        <f t="shared" ca="1" si="229"/>
        <v>(abra o arquivo 'Referência 05-2024.xls)</v>
      </c>
      <c r="AG500" s="579">
        <f t="shared" ca="1" si="230"/>
        <v>0</v>
      </c>
      <c r="AH500" s="580">
        <f t="shared" ca="1" si="231"/>
        <v>0.22470000000000001</v>
      </c>
      <c r="AJ500" s="582">
        <v>272.31</v>
      </c>
      <c r="AL500" s="612"/>
      <c r="AM500" s="430">
        <f t="shared" ca="1" si="232"/>
        <v>0</v>
      </c>
      <c r="AN500" s="655">
        <f t="shared" ca="1" si="233"/>
        <v>0</v>
      </c>
    </row>
    <row r="501" spans="1:40" ht="13.8" x14ac:dyDescent="0.3">
      <c r="A501" t="str">
        <f t="shared" si="212"/>
        <v>S</v>
      </c>
      <c r="B501">
        <f t="shared" ca="1" si="213"/>
        <v>3</v>
      </c>
      <c r="C501" t="str">
        <f t="shared" ca="1" si="214"/>
        <v>S</v>
      </c>
      <c r="D501">
        <f t="shared" ca="1" si="215"/>
        <v>0</v>
      </c>
      <c r="E501">
        <f ca="1">IF($C501=1,OFFSET(E501,-1,0)+MAX(1,COUNTIF(QCI!$A$13:$A$24,OFFSET(ORÇAMENTO!E501,-1,0))),OFFSET(E501,-1,0))</f>
        <v>1</v>
      </c>
      <c r="F501">
        <f t="shared" ca="1" si="216"/>
        <v>17</v>
      </c>
      <c r="G501">
        <f t="shared" ca="1" si="217"/>
        <v>2</v>
      </c>
      <c r="H501">
        <f t="shared" ca="1" si="218"/>
        <v>0</v>
      </c>
      <c r="I501">
        <f t="shared" ca="1" si="219"/>
        <v>0</v>
      </c>
      <c r="J501">
        <f t="shared" ca="1" si="234"/>
        <v>0</v>
      </c>
      <c r="K501">
        <f ca="1">IF(OR($C501="S",$C501=0),0,MATCH(OFFSET($D501,0,$C501)+IF($C501&lt;&gt;1,1,COUNTIF(QCI!$A$13:$A$24,ORÇAMENTO!E501)),OFFSET($D501,1,$C501,ROW($C$710)-ROW($C501)),0))</f>
        <v>0</v>
      </c>
      <c r="L501" s="143" t="str">
        <f t="shared" ca="1" si="220"/>
        <v/>
      </c>
      <c r="M501" s="144" t="s">
        <v>201</v>
      </c>
      <c r="N501" s="145" t="str">
        <f t="shared" ca="1" si="221"/>
        <v>Serviço</v>
      </c>
      <c r="O501" s="146" t="str">
        <f t="shared" ca="1" si="222"/>
        <v>-</v>
      </c>
      <c r="P501" s="147" t="s">
        <v>249</v>
      </c>
      <c r="Q501" s="148">
        <v>92642</v>
      </c>
      <c r="R501" s="149" t="str">
        <f t="shared" ca="1" si="238"/>
        <v>(abra o arquivo 'Referência 05-2024.xls)</v>
      </c>
      <c r="S501" s="150" t="str">
        <f t="shared" ca="1" si="239"/>
        <v>-</v>
      </c>
      <c r="T501" s="151">
        <f ca="1">OFFSET(CÁLCULO!H$15,ROW($T501)-ROW(T$15),0)</f>
        <v>13</v>
      </c>
      <c r="U501" s="152">
        <f t="shared" ca="1" si="235"/>
        <v>0</v>
      </c>
      <c r="V501" s="153" t="s">
        <v>158</v>
      </c>
      <c r="W501" s="151">
        <f t="shared" ca="1" si="223"/>
        <v>0</v>
      </c>
      <c r="X501" s="154">
        <f t="shared" ca="1" si="224"/>
        <v>0</v>
      </c>
      <c r="Y501" s="155" t="s">
        <v>583</v>
      </c>
      <c r="Z501" t="str">
        <f t="shared" ca="1" si="225"/>
        <v/>
      </c>
      <c r="AA501" s="156">
        <f ca="1">IF($C501="S",IF($Z501="CP",$X501,IF($Z501="RA",(($X501)*QCI!$AA$3),0)),SomaAgrup)</f>
        <v>0</v>
      </c>
      <c r="AB501" s="157">
        <f t="shared" ca="1" si="226"/>
        <v>0</v>
      </c>
      <c r="AC501" s="158" t="str">
        <f t="shared" ca="1" si="227"/>
        <v/>
      </c>
      <c r="AD501" s="104" t="str">
        <f ca="1">IF(C501&lt;=CRONO.NivelExibicao,MAX($AD$15:OFFSET(AD501,-1,0))+IF($C501&lt;&gt;1,1,MAX(1,COUNTIF(QCI!$A$13:$A$24,OFFSET($E501,-1,0)))),"")</f>
        <v/>
      </c>
      <c r="AE501" s="114" t="str">
        <f t="shared" ca="1" si="228"/>
        <v>SINAPI 92642</v>
      </c>
      <c r="AF501" s="159" t="str">
        <f t="shared" ca="1" si="229"/>
        <v>(abra o arquivo 'Referência 05-2024.xls)</v>
      </c>
      <c r="AG501" s="579">
        <f t="shared" ca="1" si="230"/>
        <v>0</v>
      </c>
      <c r="AH501" s="580">
        <f t="shared" ca="1" si="231"/>
        <v>0.22470000000000001</v>
      </c>
      <c r="AJ501" s="582">
        <v>13</v>
      </c>
      <c r="AL501" s="612"/>
      <c r="AM501" s="430">
        <f t="shared" ca="1" si="232"/>
        <v>0</v>
      </c>
      <c r="AN501" s="655">
        <f t="shared" ca="1" si="233"/>
        <v>0</v>
      </c>
    </row>
    <row r="502" spans="1:40" ht="13.8" x14ac:dyDescent="0.3">
      <c r="A502" t="str">
        <f t="shared" si="212"/>
        <v>S</v>
      </c>
      <c r="B502">
        <f t="shared" ca="1" si="213"/>
        <v>3</v>
      </c>
      <c r="C502" t="str">
        <f t="shared" ca="1" si="214"/>
        <v>S</v>
      </c>
      <c r="D502">
        <f t="shared" ca="1" si="215"/>
        <v>0</v>
      </c>
      <c r="E502">
        <f ca="1">IF($C502=1,OFFSET(E502,-1,0)+MAX(1,COUNTIF(QCI!$A$13:$A$24,OFFSET(ORÇAMENTO!E502,-1,0))),OFFSET(E502,-1,0))</f>
        <v>1</v>
      </c>
      <c r="F502">
        <f t="shared" ca="1" si="216"/>
        <v>17</v>
      </c>
      <c r="G502">
        <f t="shared" ca="1" si="217"/>
        <v>2</v>
      </c>
      <c r="H502">
        <f t="shared" ca="1" si="218"/>
        <v>0</v>
      </c>
      <c r="I502">
        <f t="shared" ca="1" si="219"/>
        <v>0</v>
      </c>
      <c r="J502">
        <f t="shared" ca="1" si="234"/>
        <v>0</v>
      </c>
      <c r="K502">
        <f ca="1">IF(OR($C502="S",$C502=0),0,MATCH(OFFSET($D502,0,$C502)+IF($C502&lt;&gt;1,1,COUNTIF(QCI!$A$13:$A$24,ORÇAMENTO!E502)),OFFSET($D502,1,$C502,ROW($C$710)-ROW($C502)),0))</f>
        <v>0</v>
      </c>
      <c r="L502" s="143" t="str">
        <f t="shared" ca="1" si="220"/>
        <v/>
      </c>
      <c r="M502" s="144" t="s">
        <v>201</v>
      </c>
      <c r="N502" s="145" t="str">
        <f t="shared" ca="1" si="221"/>
        <v>Serviço</v>
      </c>
      <c r="O502" s="146" t="str">
        <f t="shared" ca="1" si="222"/>
        <v>-</v>
      </c>
      <c r="P502" s="147" t="s">
        <v>249</v>
      </c>
      <c r="Q502" s="148">
        <v>92896</v>
      </c>
      <c r="R502" s="149" t="str">
        <f t="shared" ca="1" si="238"/>
        <v>(abra o arquivo 'Referência 05-2024.xls)</v>
      </c>
      <c r="S502" s="150" t="str">
        <f t="shared" ca="1" si="239"/>
        <v>-</v>
      </c>
      <c r="T502" s="151">
        <f ca="1">OFFSET(CÁLCULO!H$15,ROW($T502)-ROW(T$15),0)</f>
        <v>6</v>
      </c>
      <c r="U502" s="152">
        <f t="shared" ca="1" si="235"/>
        <v>0</v>
      </c>
      <c r="V502" s="153" t="s">
        <v>158</v>
      </c>
      <c r="W502" s="151">
        <f t="shared" ca="1" si="223"/>
        <v>0</v>
      </c>
      <c r="X502" s="154">
        <f t="shared" ca="1" si="224"/>
        <v>0</v>
      </c>
      <c r="Y502" s="155" t="s">
        <v>583</v>
      </c>
      <c r="Z502" t="str">
        <f t="shared" ca="1" si="225"/>
        <v/>
      </c>
      <c r="AA502" s="156">
        <f ca="1">IF($C502="S",IF($Z502="CP",$X502,IF($Z502="RA",(($X502)*QCI!$AA$3),0)),SomaAgrup)</f>
        <v>0</v>
      </c>
      <c r="AB502" s="157">
        <f t="shared" ca="1" si="226"/>
        <v>0</v>
      </c>
      <c r="AC502" s="158" t="str">
        <f t="shared" ca="1" si="227"/>
        <v/>
      </c>
      <c r="AD502" s="104" t="str">
        <f ca="1">IF(C502&lt;=CRONO.NivelExibicao,MAX($AD$15:OFFSET(AD502,-1,0))+IF($C502&lt;&gt;1,1,MAX(1,COUNTIF(QCI!$A$13:$A$24,OFFSET($E502,-1,0)))),"")</f>
        <v/>
      </c>
      <c r="AE502" s="114" t="str">
        <f t="shared" ca="1" si="228"/>
        <v>SINAPI 92896</v>
      </c>
      <c r="AF502" s="159" t="str">
        <f t="shared" ca="1" si="229"/>
        <v>(abra o arquivo 'Referência 05-2024.xls)</v>
      </c>
      <c r="AG502" s="579">
        <f t="shared" ca="1" si="230"/>
        <v>0</v>
      </c>
      <c r="AH502" s="580">
        <f t="shared" ca="1" si="231"/>
        <v>0.22470000000000001</v>
      </c>
      <c r="AJ502" s="582">
        <v>6</v>
      </c>
      <c r="AL502" s="612"/>
      <c r="AM502" s="430">
        <f t="shared" ca="1" si="232"/>
        <v>0</v>
      </c>
      <c r="AN502" s="655">
        <f t="shared" ca="1" si="233"/>
        <v>0</v>
      </c>
    </row>
    <row r="503" spans="1:40" ht="13.8" x14ac:dyDescent="0.3">
      <c r="A503">
        <f t="shared" si="212"/>
        <v>3</v>
      </c>
      <c r="B503">
        <f t="shared" ca="1" si="213"/>
        <v>3</v>
      </c>
      <c r="C503">
        <f t="shared" ca="1" si="214"/>
        <v>3</v>
      </c>
      <c r="D503">
        <f t="shared" ca="1" si="215"/>
        <v>4</v>
      </c>
      <c r="E503">
        <f ca="1">IF($C503=1,OFFSET(E503,-1,0)+MAX(1,COUNTIF(QCI!$A$13:$A$24,OFFSET(ORÇAMENTO!E503,-1,0))),OFFSET(E503,-1,0))</f>
        <v>1</v>
      </c>
      <c r="F503">
        <f t="shared" ca="1" si="216"/>
        <v>17</v>
      </c>
      <c r="G503">
        <f t="shared" ca="1" si="217"/>
        <v>3</v>
      </c>
      <c r="H503">
        <f t="shared" ca="1" si="218"/>
        <v>0</v>
      </c>
      <c r="I503">
        <f t="shared" ca="1" si="219"/>
        <v>0</v>
      </c>
      <c r="J503">
        <f t="shared" ca="1" si="234"/>
        <v>25</v>
      </c>
      <c r="K503">
        <f ca="1">IF(OR($C503="S",$C503=0),0,MATCH(OFFSET($D503,0,$C503)+IF($C503&lt;&gt;1,1,COUNTIF(QCI!$A$13:$A$24,ORÇAMENTO!E503)),OFFSET($D503,1,$C503,ROW($C$710)-ROW($C503)),0))</f>
        <v>4</v>
      </c>
      <c r="L503" s="143" t="str">
        <f t="shared" ca="1" si="220"/>
        <v>F</v>
      </c>
      <c r="M503" s="144" t="s">
        <v>199</v>
      </c>
      <c r="N503" s="145" t="str">
        <f t="shared" ca="1" si="221"/>
        <v>Nível 3</v>
      </c>
      <c r="O503" s="146" t="str">
        <f t="shared" ca="1" si="222"/>
        <v>1.17.3.</v>
      </c>
      <c r="P503" s="147" t="s">
        <v>249</v>
      </c>
      <c r="Q503" s="148"/>
      <c r="R503" s="149" t="s">
        <v>542</v>
      </c>
      <c r="S503" s="150" t="s">
        <v>168</v>
      </c>
      <c r="T503" s="151">
        <f ca="1">OFFSET(CÁLCULO!H$15,ROW($T503)-ROW(T$15),0)</f>
        <v>0</v>
      </c>
      <c r="U503" s="152"/>
      <c r="V503" s="153" t="s">
        <v>158</v>
      </c>
      <c r="W503" s="151">
        <f t="shared" ca="1" si="223"/>
        <v>0</v>
      </c>
      <c r="X503" s="154">
        <f t="shared" ca="1" si="224"/>
        <v>0</v>
      </c>
      <c r="Y503" s="155" t="s">
        <v>583</v>
      </c>
      <c r="Z503" t="str">
        <f t="shared" ca="1" si="225"/>
        <v/>
      </c>
      <c r="AA503" s="156">
        <f ca="1">IF($C503="S",IF($Z503="CP",$X503,IF($Z503="RA",(($X503)*QCI!$AA$3),0)),SomaAgrup)</f>
        <v>0</v>
      </c>
      <c r="AB503" s="157">
        <f t="shared" ca="1" si="226"/>
        <v>0</v>
      </c>
      <c r="AC503" s="158" t="str">
        <f t="shared" ca="1" si="227"/>
        <v/>
      </c>
      <c r="AD503" s="104" t="str">
        <f ca="1">IF(C503&lt;=CRONO.NivelExibicao,MAX($AD$15:OFFSET(AD503,-1,0))+IF($C503&lt;&gt;1,1,MAX(1,COUNTIF(QCI!$A$13:$A$24,OFFSET($E503,-1,0)))),"")</f>
        <v/>
      </c>
      <c r="AE503" s="114" t="b">
        <f t="shared" ca="1" si="228"/>
        <v>0</v>
      </c>
      <c r="AF503" s="159" t="str">
        <f t="shared" ca="1" si="229"/>
        <v>(abra o arquivo 'Referência 05-2024.xls)</v>
      </c>
      <c r="AG503" s="579">
        <f t="shared" ca="1" si="230"/>
        <v>0</v>
      </c>
      <c r="AH503" s="580">
        <f t="shared" ca="1" si="231"/>
        <v>0.22470000000000001</v>
      </c>
      <c r="AJ503" s="582"/>
      <c r="AL503" s="612"/>
      <c r="AM503" s="430">
        <f t="shared" ca="1" si="232"/>
        <v>0</v>
      </c>
      <c r="AN503" s="655">
        <f t="shared" ca="1" si="233"/>
        <v>0</v>
      </c>
    </row>
    <row r="504" spans="1:40" ht="13.8" x14ac:dyDescent="0.3">
      <c r="A504" t="str">
        <f t="shared" si="212"/>
        <v>S</v>
      </c>
      <c r="B504">
        <f t="shared" ca="1" si="213"/>
        <v>3</v>
      </c>
      <c r="C504" t="str">
        <f t="shared" ca="1" si="214"/>
        <v>S</v>
      </c>
      <c r="D504">
        <f t="shared" ca="1" si="215"/>
        <v>0</v>
      </c>
      <c r="E504">
        <f ca="1">IF($C504=1,OFFSET(E504,-1,0)+MAX(1,COUNTIF(QCI!$A$13:$A$24,OFFSET(ORÇAMENTO!E504,-1,0))),OFFSET(E504,-1,0))</f>
        <v>1</v>
      </c>
      <c r="F504">
        <f t="shared" ca="1" si="216"/>
        <v>17</v>
      </c>
      <c r="G504">
        <f t="shared" ca="1" si="217"/>
        <v>3</v>
      </c>
      <c r="H504">
        <f t="shared" ca="1" si="218"/>
        <v>0</v>
      </c>
      <c r="I504">
        <f t="shared" ca="1" si="219"/>
        <v>0</v>
      </c>
      <c r="J504">
        <f t="shared" ca="1" si="234"/>
        <v>0</v>
      </c>
      <c r="K504">
        <f ca="1">IF(OR($C504="S",$C504=0),0,MATCH(OFFSET($D504,0,$C504)+IF($C504&lt;&gt;1,1,COUNTIF(QCI!$A$13:$A$24,ORÇAMENTO!E504)),OFFSET($D504,1,$C504,ROW($C$710)-ROW($C504)),0))</f>
        <v>0</v>
      </c>
      <c r="L504" s="143" t="str">
        <f t="shared" ca="1" si="220"/>
        <v/>
      </c>
      <c r="M504" s="144" t="s">
        <v>201</v>
      </c>
      <c r="N504" s="145" t="str">
        <f t="shared" ca="1" si="221"/>
        <v>Serviço</v>
      </c>
      <c r="O504" s="146" t="str">
        <f t="shared" ca="1" si="222"/>
        <v>-</v>
      </c>
      <c r="P504" s="147" t="s">
        <v>249</v>
      </c>
      <c r="Q504" s="148">
        <v>94499</v>
      </c>
      <c r="R504" s="149" t="str">
        <f ca="1">IF($C504="S",REFERENCIA.Descricao,"(digite a descrição aqui)")</f>
        <v>(abra o arquivo 'Referência 05-2024.xls)</v>
      </c>
      <c r="S504" s="150" t="str">
        <f ca="1">REFERENCIA.Unidade</f>
        <v>-</v>
      </c>
      <c r="T504" s="151">
        <f ca="1">OFFSET(CÁLCULO!H$15,ROW($T504)-ROW(T$15),0)</f>
        <v>5</v>
      </c>
      <c r="U504" s="152">
        <f t="shared" ca="1" si="235"/>
        <v>0</v>
      </c>
      <c r="V504" s="153" t="s">
        <v>158</v>
      </c>
      <c r="W504" s="151">
        <f t="shared" ca="1" si="223"/>
        <v>0</v>
      </c>
      <c r="X504" s="154">
        <f t="shared" ca="1" si="224"/>
        <v>0</v>
      </c>
      <c r="Y504" s="155" t="s">
        <v>583</v>
      </c>
      <c r="Z504" t="str">
        <f t="shared" ca="1" si="225"/>
        <v/>
      </c>
      <c r="AA504" s="156">
        <f ca="1">IF($C504="S",IF($Z504="CP",$X504,IF($Z504="RA",(($X504)*QCI!$AA$3),0)),SomaAgrup)</f>
        <v>0</v>
      </c>
      <c r="AB504" s="157">
        <f t="shared" ca="1" si="226"/>
        <v>0</v>
      </c>
      <c r="AC504" s="158" t="str">
        <f t="shared" ca="1" si="227"/>
        <v/>
      </c>
      <c r="AD504" s="104" t="str">
        <f ca="1">IF(C504&lt;=CRONO.NivelExibicao,MAX($AD$15:OFFSET(AD504,-1,0))+IF($C504&lt;&gt;1,1,MAX(1,COUNTIF(QCI!$A$13:$A$24,OFFSET($E504,-1,0)))),"")</f>
        <v/>
      </c>
      <c r="AE504" s="114" t="str">
        <f t="shared" ca="1" si="228"/>
        <v>SINAPI 94499</v>
      </c>
      <c r="AF504" s="159" t="str">
        <f t="shared" ca="1" si="229"/>
        <v>(abra o arquivo 'Referência 05-2024.xls)</v>
      </c>
      <c r="AG504" s="579">
        <f t="shared" ca="1" si="230"/>
        <v>0</v>
      </c>
      <c r="AH504" s="580">
        <f t="shared" ca="1" si="231"/>
        <v>0.22470000000000001</v>
      </c>
      <c r="AJ504" s="582">
        <v>5</v>
      </c>
      <c r="AL504" s="612"/>
      <c r="AM504" s="430">
        <f t="shared" ca="1" si="232"/>
        <v>0</v>
      </c>
      <c r="AN504" s="655">
        <f t="shared" ca="1" si="233"/>
        <v>0</v>
      </c>
    </row>
    <row r="505" spans="1:40" ht="13.8" x14ac:dyDescent="0.3">
      <c r="A505" t="str">
        <f t="shared" si="212"/>
        <v>S</v>
      </c>
      <c r="B505">
        <f t="shared" ca="1" si="213"/>
        <v>3</v>
      </c>
      <c r="C505" t="str">
        <f t="shared" ca="1" si="214"/>
        <v>S</v>
      </c>
      <c r="D505">
        <f t="shared" ca="1" si="215"/>
        <v>0</v>
      </c>
      <c r="E505">
        <f ca="1">IF($C505=1,OFFSET(E505,-1,0)+MAX(1,COUNTIF(QCI!$A$13:$A$24,OFFSET(ORÇAMENTO!E505,-1,0))),OFFSET(E505,-1,0))</f>
        <v>1</v>
      </c>
      <c r="F505">
        <f t="shared" ca="1" si="216"/>
        <v>17</v>
      </c>
      <c r="G505">
        <f t="shared" ca="1" si="217"/>
        <v>3</v>
      </c>
      <c r="H505">
        <f t="shared" ca="1" si="218"/>
        <v>0</v>
      </c>
      <c r="I505">
        <f t="shared" ca="1" si="219"/>
        <v>0</v>
      </c>
      <c r="J505">
        <f t="shared" ca="1" si="234"/>
        <v>0</v>
      </c>
      <c r="K505">
        <f ca="1">IF(OR($C505="S",$C505=0),0,MATCH(OFFSET($D505,0,$C505)+IF($C505&lt;&gt;1,1,COUNTIF(QCI!$A$13:$A$24,ORÇAMENTO!E505)),OFFSET($D505,1,$C505,ROW($C$710)-ROW($C505)),0))</f>
        <v>0</v>
      </c>
      <c r="L505" s="143" t="str">
        <f t="shared" ca="1" si="220"/>
        <v/>
      </c>
      <c r="M505" s="144" t="s">
        <v>201</v>
      </c>
      <c r="N505" s="145" t="str">
        <f t="shared" ca="1" si="221"/>
        <v>Serviço</v>
      </c>
      <c r="O505" s="146" t="str">
        <f t="shared" ca="1" si="222"/>
        <v>-</v>
      </c>
      <c r="P505" s="147" t="s">
        <v>249</v>
      </c>
      <c r="Q505" s="148">
        <v>99624</v>
      </c>
      <c r="R505" s="149" t="str">
        <f ca="1">IF($C505="S",REFERENCIA.Descricao,"(digite a descrição aqui)")</f>
        <v>(abra o arquivo 'Referência 05-2024.xls)</v>
      </c>
      <c r="S505" s="150" t="str">
        <f ca="1">REFERENCIA.Unidade</f>
        <v>-</v>
      </c>
      <c r="T505" s="151">
        <f ca="1">OFFSET(CÁLCULO!H$15,ROW($T505)-ROW(T$15),0)</f>
        <v>2</v>
      </c>
      <c r="U505" s="152">
        <f t="shared" ca="1" si="235"/>
        <v>0</v>
      </c>
      <c r="V505" s="153" t="s">
        <v>158</v>
      </c>
      <c r="W505" s="151">
        <f t="shared" ca="1" si="223"/>
        <v>0</v>
      </c>
      <c r="X505" s="154">
        <f t="shared" ca="1" si="224"/>
        <v>0</v>
      </c>
      <c r="Y505" s="155" t="s">
        <v>583</v>
      </c>
      <c r="Z505" t="str">
        <f t="shared" ca="1" si="225"/>
        <v/>
      </c>
      <c r="AA505" s="156">
        <f ca="1">IF($C505="S",IF($Z505="CP",$X505,IF($Z505="RA",(($X505)*QCI!$AA$3),0)),SomaAgrup)</f>
        <v>0</v>
      </c>
      <c r="AB505" s="157">
        <f t="shared" ca="1" si="226"/>
        <v>0</v>
      </c>
      <c r="AC505" s="158" t="str">
        <f t="shared" ca="1" si="227"/>
        <v/>
      </c>
      <c r="AD505" s="104" t="str">
        <f ca="1">IF(C505&lt;=CRONO.NivelExibicao,MAX($AD$15:OFFSET(AD505,-1,0))+IF($C505&lt;&gt;1,1,MAX(1,COUNTIF(QCI!$A$13:$A$24,OFFSET($E505,-1,0)))),"")</f>
        <v/>
      </c>
      <c r="AE505" s="114" t="str">
        <f t="shared" ca="1" si="228"/>
        <v>SINAPI 99624</v>
      </c>
      <c r="AF505" s="159" t="str">
        <f t="shared" ca="1" si="229"/>
        <v>(abra o arquivo 'Referência 05-2024.xls)</v>
      </c>
      <c r="AG505" s="579">
        <f t="shared" ca="1" si="230"/>
        <v>0</v>
      </c>
      <c r="AH505" s="580">
        <f t="shared" ca="1" si="231"/>
        <v>0.22470000000000001</v>
      </c>
      <c r="AJ505" s="582">
        <v>2</v>
      </c>
      <c r="AL505" s="612"/>
      <c r="AM505" s="430">
        <f t="shared" ca="1" si="232"/>
        <v>0</v>
      </c>
      <c r="AN505" s="655">
        <f t="shared" ca="1" si="233"/>
        <v>0</v>
      </c>
    </row>
    <row r="506" spans="1:40" ht="13.8" x14ac:dyDescent="0.3">
      <c r="A506" t="str">
        <f t="shared" si="212"/>
        <v>S</v>
      </c>
      <c r="B506">
        <f t="shared" ca="1" si="213"/>
        <v>3</v>
      </c>
      <c r="C506" t="str">
        <f t="shared" ca="1" si="214"/>
        <v>S</v>
      </c>
      <c r="D506">
        <f t="shared" ca="1" si="215"/>
        <v>0</v>
      </c>
      <c r="E506">
        <f ca="1">IF($C506=1,OFFSET(E506,-1,0)+MAX(1,COUNTIF(QCI!$A$13:$A$24,OFFSET(ORÇAMENTO!E506,-1,0))),OFFSET(E506,-1,0))</f>
        <v>1</v>
      </c>
      <c r="F506">
        <f t="shared" ca="1" si="216"/>
        <v>17</v>
      </c>
      <c r="G506">
        <f t="shared" ca="1" si="217"/>
        <v>3</v>
      </c>
      <c r="H506">
        <f t="shared" ca="1" si="218"/>
        <v>0</v>
      </c>
      <c r="I506">
        <f t="shared" ca="1" si="219"/>
        <v>0</v>
      </c>
      <c r="J506">
        <f t="shared" ca="1" si="234"/>
        <v>0</v>
      </c>
      <c r="K506">
        <f ca="1">IF(OR($C506="S",$C506=0),0,MATCH(OFFSET($D506,0,$C506)+IF($C506&lt;&gt;1,1,COUNTIF(QCI!$A$13:$A$24,ORÇAMENTO!E506)),OFFSET($D506,1,$C506,ROW($C$710)-ROW($C506)),0))</f>
        <v>0</v>
      </c>
      <c r="L506" s="143" t="str">
        <f t="shared" ca="1" si="220"/>
        <v/>
      </c>
      <c r="M506" s="144" t="s">
        <v>201</v>
      </c>
      <c r="N506" s="145" t="str">
        <f t="shared" ca="1" si="221"/>
        <v>Serviço</v>
      </c>
      <c r="O506" s="146" t="str">
        <f t="shared" ca="1" si="222"/>
        <v>-</v>
      </c>
      <c r="P506" s="147" t="s">
        <v>249</v>
      </c>
      <c r="Q506" s="148">
        <v>99624</v>
      </c>
      <c r="R506" s="149" t="str">
        <f ca="1">IF($C506="S",REFERENCIA.Descricao,"(digite a descrição aqui)")</f>
        <v>(abra o arquivo 'Referência 05-2024.xls)</v>
      </c>
      <c r="S506" s="150" t="str">
        <f ca="1">REFERENCIA.Unidade</f>
        <v>-</v>
      </c>
      <c r="T506" s="151">
        <f ca="1">OFFSET(CÁLCULO!H$15,ROW($T506)-ROW(T$15),0)</f>
        <v>1</v>
      </c>
      <c r="U506" s="152">
        <f t="shared" ca="1" si="235"/>
        <v>0</v>
      </c>
      <c r="V506" s="153" t="s">
        <v>158</v>
      </c>
      <c r="W506" s="151">
        <f t="shared" ca="1" si="223"/>
        <v>0</v>
      </c>
      <c r="X506" s="154">
        <f t="shared" ca="1" si="224"/>
        <v>0</v>
      </c>
      <c r="Y506" s="155" t="s">
        <v>583</v>
      </c>
      <c r="Z506" t="str">
        <f t="shared" ca="1" si="225"/>
        <v/>
      </c>
      <c r="AA506" s="156">
        <f ca="1">IF($C506="S",IF($Z506="CP",$X506,IF($Z506="RA",(($X506)*QCI!$AA$3),0)),SomaAgrup)</f>
        <v>0</v>
      </c>
      <c r="AB506" s="157">
        <f t="shared" ca="1" si="226"/>
        <v>0</v>
      </c>
      <c r="AC506" s="158" t="str">
        <f t="shared" ca="1" si="227"/>
        <v/>
      </c>
      <c r="AD506" s="104" t="str">
        <f ca="1">IF(C506&lt;=CRONO.NivelExibicao,MAX($AD$15:OFFSET(AD506,-1,0))+IF($C506&lt;&gt;1,1,MAX(1,COUNTIF(QCI!$A$13:$A$24,OFFSET($E506,-1,0)))),"")</f>
        <v/>
      </c>
      <c r="AE506" s="114" t="str">
        <f t="shared" ca="1" si="228"/>
        <v>SINAPI 99624</v>
      </c>
      <c r="AF506" s="159" t="str">
        <f t="shared" ca="1" si="229"/>
        <v>(abra o arquivo 'Referência 05-2024.xls)</v>
      </c>
      <c r="AG506" s="579">
        <f t="shared" ca="1" si="230"/>
        <v>0</v>
      </c>
      <c r="AH506" s="580">
        <f t="shared" ca="1" si="231"/>
        <v>0.22470000000000001</v>
      </c>
      <c r="AJ506" s="582">
        <v>1</v>
      </c>
      <c r="AL506" s="612"/>
      <c r="AM506" s="430">
        <f t="shared" ca="1" si="232"/>
        <v>0</v>
      </c>
      <c r="AN506" s="655">
        <f t="shared" ca="1" si="233"/>
        <v>0</v>
      </c>
    </row>
    <row r="507" spans="1:40" ht="13.8" x14ac:dyDescent="0.3">
      <c r="A507">
        <f t="shared" si="212"/>
        <v>3</v>
      </c>
      <c r="B507">
        <f t="shared" ca="1" si="213"/>
        <v>3</v>
      </c>
      <c r="C507">
        <f t="shared" ca="1" si="214"/>
        <v>3</v>
      </c>
      <c r="D507">
        <f t="shared" ca="1" si="215"/>
        <v>6</v>
      </c>
      <c r="E507">
        <f ca="1">IF($C507=1,OFFSET(E507,-1,0)+MAX(1,COUNTIF(QCI!$A$13:$A$24,OFFSET(ORÇAMENTO!E507,-1,0))),OFFSET(E507,-1,0))</f>
        <v>1</v>
      </c>
      <c r="F507">
        <f t="shared" ca="1" si="216"/>
        <v>17</v>
      </c>
      <c r="G507">
        <f t="shared" ca="1" si="217"/>
        <v>4</v>
      </c>
      <c r="H507">
        <f t="shared" ca="1" si="218"/>
        <v>0</v>
      </c>
      <c r="I507">
        <f t="shared" ca="1" si="219"/>
        <v>0</v>
      </c>
      <c r="J507">
        <f t="shared" ca="1" si="234"/>
        <v>21</v>
      </c>
      <c r="K507">
        <f ca="1">IF(OR($C507="S",$C507=0),0,MATCH(OFFSET($D507,0,$C507)+IF($C507&lt;&gt;1,1,COUNTIF(QCI!$A$13:$A$24,ORÇAMENTO!E507)),OFFSET($D507,1,$C507,ROW($C$710)-ROW($C507)),0))</f>
        <v>6</v>
      </c>
      <c r="L507" s="143" t="str">
        <f t="shared" ca="1" si="220"/>
        <v>F</v>
      </c>
      <c r="M507" s="144" t="s">
        <v>199</v>
      </c>
      <c r="N507" s="145" t="str">
        <f t="shared" ca="1" si="221"/>
        <v>Nível 3</v>
      </c>
      <c r="O507" s="146" t="str">
        <f t="shared" ca="1" si="222"/>
        <v>1.17.4.</v>
      </c>
      <c r="P507" s="147" t="s">
        <v>249</v>
      </c>
      <c r="Q507" s="148"/>
      <c r="R507" s="149" t="s">
        <v>543</v>
      </c>
      <c r="S507" s="150" t="s">
        <v>168</v>
      </c>
      <c r="T507" s="151">
        <f ca="1">OFFSET(CÁLCULO!H$15,ROW($T507)-ROW(T$15),0)</f>
        <v>0</v>
      </c>
      <c r="U507" s="152"/>
      <c r="V507" s="153" t="s">
        <v>158</v>
      </c>
      <c r="W507" s="151">
        <f t="shared" ca="1" si="223"/>
        <v>0</v>
      </c>
      <c r="X507" s="154">
        <f t="shared" ca="1" si="224"/>
        <v>0</v>
      </c>
      <c r="Y507" s="155" t="s">
        <v>583</v>
      </c>
      <c r="Z507" t="str">
        <f t="shared" ca="1" si="225"/>
        <v/>
      </c>
      <c r="AA507" s="156">
        <f ca="1">IF($C507="S",IF($Z507="CP",$X507,IF($Z507="RA",(($X507)*QCI!$AA$3),0)),SomaAgrup)</f>
        <v>0</v>
      </c>
      <c r="AB507" s="157">
        <f t="shared" ca="1" si="226"/>
        <v>0</v>
      </c>
      <c r="AC507" s="158" t="str">
        <f t="shared" ca="1" si="227"/>
        <v/>
      </c>
      <c r="AD507" s="104" t="str">
        <f ca="1">IF(C507&lt;=CRONO.NivelExibicao,MAX($AD$15:OFFSET(AD507,-1,0))+IF($C507&lt;&gt;1,1,MAX(1,COUNTIF(QCI!$A$13:$A$24,OFFSET($E507,-1,0)))),"")</f>
        <v/>
      </c>
      <c r="AE507" s="114" t="b">
        <f t="shared" ca="1" si="228"/>
        <v>0</v>
      </c>
      <c r="AF507" s="159" t="str">
        <f t="shared" ca="1" si="229"/>
        <v>(abra o arquivo 'Referência 05-2024.xls)</v>
      </c>
      <c r="AG507" s="579">
        <f t="shared" ca="1" si="230"/>
        <v>0</v>
      </c>
      <c r="AH507" s="580">
        <f t="shared" ca="1" si="231"/>
        <v>0.22470000000000001</v>
      </c>
      <c r="AJ507" s="582"/>
      <c r="AL507" s="612"/>
      <c r="AM507" s="430">
        <f t="shared" ca="1" si="232"/>
        <v>0</v>
      </c>
      <c r="AN507" s="655">
        <f t="shared" ca="1" si="233"/>
        <v>0</v>
      </c>
    </row>
    <row r="508" spans="1:40" ht="13.8" x14ac:dyDescent="0.3">
      <c r="A508" t="str">
        <f t="shared" si="212"/>
        <v>S</v>
      </c>
      <c r="B508">
        <f t="shared" ca="1" si="213"/>
        <v>3</v>
      </c>
      <c r="C508" t="str">
        <f t="shared" ca="1" si="214"/>
        <v>S</v>
      </c>
      <c r="D508">
        <f t="shared" ca="1" si="215"/>
        <v>0</v>
      </c>
      <c r="E508">
        <f ca="1">IF($C508=1,OFFSET(E508,-1,0)+MAX(1,COUNTIF(QCI!$A$13:$A$24,OFFSET(ORÇAMENTO!E508,-1,0))),OFFSET(E508,-1,0))</f>
        <v>1</v>
      </c>
      <c r="F508">
        <f t="shared" ca="1" si="216"/>
        <v>17</v>
      </c>
      <c r="G508">
        <f t="shared" ca="1" si="217"/>
        <v>4</v>
      </c>
      <c r="H508">
        <f t="shared" ca="1" si="218"/>
        <v>0</v>
      </c>
      <c r="I508">
        <f t="shared" ca="1" si="219"/>
        <v>0</v>
      </c>
      <c r="J508">
        <f t="shared" ca="1" si="234"/>
        <v>0</v>
      </c>
      <c r="K508">
        <f ca="1">IF(OR($C508="S",$C508=0),0,MATCH(OFFSET($D508,0,$C508)+IF($C508&lt;&gt;1,1,COUNTIF(QCI!$A$13:$A$24,ORÇAMENTO!E508)),OFFSET($D508,1,$C508,ROW($C$710)-ROW($C508)),0))</f>
        <v>0</v>
      </c>
      <c r="L508" s="143" t="str">
        <f t="shared" ca="1" si="220"/>
        <v/>
      </c>
      <c r="M508" s="144" t="s">
        <v>201</v>
      </c>
      <c r="N508" s="145" t="str">
        <f t="shared" ca="1" si="221"/>
        <v>Serviço</v>
      </c>
      <c r="O508" s="146" t="str">
        <f t="shared" ca="1" si="222"/>
        <v>-</v>
      </c>
      <c r="P508" s="147" t="s">
        <v>249</v>
      </c>
      <c r="Q508" s="148">
        <v>96765</v>
      </c>
      <c r="R508" s="149" t="str">
        <f ca="1">IF($C508="S",REFERENCIA.Descricao,"(digite a descrição aqui)")</f>
        <v>(abra o arquivo 'Referência 05-2024.xls)</v>
      </c>
      <c r="S508" s="150" t="str">
        <f ca="1">REFERENCIA.Unidade</f>
        <v>-</v>
      </c>
      <c r="T508" s="151">
        <f ca="1">OFFSET(CÁLCULO!H$15,ROW($T508)-ROW(T$15),0)</f>
        <v>9</v>
      </c>
      <c r="U508" s="152">
        <f t="shared" ca="1" si="235"/>
        <v>0</v>
      </c>
      <c r="V508" s="153" t="s">
        <v>158</v>
      </c>
      <c r="W508" s="151">
        <f t="shared" ca="1" si="223"/>
        <v>0</v>
      </c>
      <c r="X508" s="154">
        <f t="shared" ca="1" si="224"/>
        <v>0</v>
      </c>
      <c r="Y508" s="155" t="s">
        <v>583</v>
      </c>
      <c r="Z508" t="str">
        <f t="shared" ca="1" si="225"/>
        <v/>
      </c>
      <c r="AA508" s="156">
        <f ca="1">IF($C508="S",IF($Z508="CP",$X508,IF($Z508="RA",(($X508)*QCI!$AA$3),0)),SomaAgrup)</f>
        <v>0</v>
      </c>
      <c r="AB508" s="157">
        <f t="shared" ca="1" si="226"/>
        <v>0</v>
      </c>
      <c r="AC508" s="158" t="str">
        <f t="shared" ca="1" si="227"/>
        <v/>
      </c>
      <c r="AD508" s="104" t="str">
        <f ca="1">IF(C508&lt;=CRONO.NivelExibicao,MAX($AD$15:OFFSET(AD508,-1,0))+IF($C508&lt;&gt;1,1,MAX(1,COUNTIF(QCI!$A$13:$A$24,OFFSET($E508,-1,0)))),"")</f>
        <v/>
      </c>
      <c r="AE508" s="114" t="str">
        <f t="shared" ca="1" si="228"/>
        <v>SINAPI 96765</v>
      </c>
      <c r="AF508" s="159" t="str">
        <f t="shared" ca="1" si="229"/>
        <v>(abra o arquivo 'Referência 05-2024.xls)</v>
      </c>
      <c r="AG508" s="579">
        <f t="shared" ca="1" si="230"/>
        <v>0</v>
      </c>
      <c r="AH508" s="580">
        <f t="shared" ca="1" si="231"/>
        <v>0.22470000000000001</v>
      </c>
      <c r="AJ508" s="582">
        <v>9</v>
      </c>
      <c r="AL508" s="612"/>
      <c r="AM508" s="430">
        <f t="shared" ca="1" si="232"/>
        <v>0</v>
      </c>
      <c r="AN508" s="655">
        <f t="shared" ca="1" si="233"/>
        <v>0</v>
      </c>
    </row>
    <row r="509" spans="1:40" ht="13.8" x14ac:dyDescent="0.3">
      <c r="A509" t="str">
        <f t="shared" si="212"/>
        <v>S</v>
      </c>
      <c r="B509">
        <f t="shared" ca="1" si="213"/>
        <v>3</v>
      </c>
      <c r="C509" t="str">
        <f t="shared" ca="1" si="214"/>
        <v>S</v>
      </c>
      <c r="D509">
        <f t="shared" ca="1" si="215"/>
        <v>0</v>
      </c>
      <c r="E509">
        <f ca="1">IF($C509=1,OFFSET(E509,-1,0)+MAX(1,COUNTIF(QCI!$A$13:$A$24,OFFSET(ORÇAMENTO!E509,-1,0))),OFFSET(E509,-1,0))</f>
        <v>1</v>
      </c>
      <c r="F509">
        <f t="shared" ca="1" si="216"/>
        <v>17</v>
      </c>
      <c r="G509">
        <f t="shared" ca="1" si="217"/>
        <v>4</v>
      </c>
      <c r="H509">
        <f t="shared" ca="1" si="218"/>
        <v>0</v>
      </c>
      <c r="I509">
        <f t="shared" ca="1" si="219"/>
        <v>0</v>
      </c>
      <c r="J509">
        <f t="shared" ca="1" si="234"/>
        <v>0</v>
      </c>
      <c r="K509">
        <f ca="1">IF(OR($C509="S",$C509=0),0,MATCH(OFFSET($D509,0,$C509)+IF($C509&lt;&gt;1,1,COUNTIF(QCI!$A$13:$A$24,ORÇAMENTO!E509)),OFFSET($D509,1,$C509,ROW($C$710)-ROW($C509)),0))</f>
        <v>0</v>
      </c>
      <c r="L509" s="143" t="str">
        <f t="shared" ca="1" si="220"/>
        <v/>
      </c>
      <c r="M509" s="144" t="s">
        <v>201</v>
      </c>
      <c r="N509" s="145" t="str">
        <f t="shared" ca="1" si="221"/>
        <v>Serviço</v>
      </c>
      <c r="O509" s="146" t="str">
        <f t="shared" ca="1" si="222"/>
        <v>-</v>
      </c>
      <c r="P509" s="147" t="s">
        <v>249</v>
      </c>
      <c r="Q509" s="148">
        <v>101798</v>
      </c>
      <c r="R509" s="149" t="str">
        <f ca="1">IF($C509="S",REFERENCIA.Descricao,"(digite a descrição aqui)")</f>
        <v>(abra o arquivo 'Referência 05-2024.xls)</v>
      </c>
      <c r="S509" s="150" t="str">
        <f ca="1">REFERENCIA.Unidade</f>
        <v>-</v>
      </c>
      <c r="T509" s="151">
        <f ca="1">OFFSET(CÁLCULO!H$15,ROW($T509)-ROW(T$15),0)</f>
        <v>1</v>
      </c>
      <c r="U509" s="152">
        <f t="shared" ca="1" si="235"/>
        <v>0</v>
      </c>
      <c r="V509" s="153" t="s">
        <v>158</v>
      </c>
      <c r="W509" s="151">
        <f t="shared" ca="1" si="223"/>
        <v>0</v>
      </c>
      <c r="X509" s="154">
        <f t="shared" ca="1" si="224"/>
        <v>0</v>
      </c>
      <c r="Y509" s="155" t="s">
        <v>583</v>
      </c>
      <c r="Z509" t="str">
        <f t="shared" ca="1" si="225"/>
        <v/>
      </c>
      <c r="AA509" s="156">
        <f ca="1">IF($C509="S",IF($Z509="CP",$X509,IF($Z509="RA",(($X509)*QCI!$AA$3),0)),SomaAgrup)</f>
        <v>0</v>
      </c>
      <c r="AB509" s="157">
        <f t="shared" ca="1" si="226"/>
        <v>0</v>
      </c>
      <c r="AC509" s="158" t="str">
        <f t="shared" ca="1" si="227"/>
        <v/>
      </c>
      <c r="AD509" s="104" t="str">
        <f ca="1">IF(C509&lt;=CRONO.NivelExibicao,MAX($AD$15:OFFSET(AD509,-1,0))+IF($C509&lt;&gt;1,1,MAX(1,COUNTIF(QCI!$A$13:$A$24,OFFSET($E509,-1,0)))),"")</f>
        <v/>
      </c>
      <c r="AE509" s="114" t="str">
        <f t="shared" ca="1" si="228"/>
        <v>SINAPI 101798</v>
      </c>
      <c r="AF509" s="159" t="str">
        <f t="shared" ca="1" si="229"/>
        <v>(abra o arquivo 'Referência 05-2024.xls)</v>
      </c>
      <c r="AG509" s="579">
        <f t="shared" ca="1" si="230"/>
        <v>0</v>
      </c>
      <c r="AH509" s="580">
        <f t="shared" ca="1" si="231"/>
        <v>0.22470000000000001</v>
      </c>
      <c r="AJ509" s="582">
        <v>1</v>
      </c>
      <c r="AL509" s="612"/>
      <c r="AM509" s="430">
        <f t="shared" ca="1" si="232"/>
        <v>0</v>
      </c>
      <c r="AN509" s="655">
        <f t="shared" ca="1" si="233"/>
        <v>0</v>
      </c>
    </row>
    <row r="510" spans="1:40" ht="13.8" x14ac:dyDescent="0.3">
      <c r="A510" t="str">
        <f t="shared" si="212"/>
        <v>S</v>
      </c>
      <c r="B510">
        <f t="shared" ca="1" si="213"/>
        <v>3</v>
      </c>
      <c r="C510" t="str">
        <f t="shared" ca="1" si="214"/>
        <v>S</v>
      </c>
      <c r="D510">
        <f t="shared" ca="1" si="215"/>
        <v>0</v>
      </c>
      <c r="E510">
        <f ca="1">IF($C510=1,OFFSET(E510,-1,0)+MAX(1,COUNTIF(QCI!$A$13:$A$24,OFFSET(ORÇAMENTO!E510,-1,0))),OFFSET(E510,-1,0))</f>
        <v>1</v>
      </c>
      <c r="F510">
        <f t="shared" ca="1" si="216"/>
        <v>17</v>
      </c>
      <c r="G510">
        <f t="shared" ca="1" si="217"/>
        <v>4</v>
      </c>
      <c r="H510">
        <f t="shared" ca="1" si="218"/>
        <v>0</v>
      </c>
      <c r="I510">
        <f t="shared" ca="1" si="219"/>
        <v>0</v>
      </c>
      <c r="J510">
        <f t="shared" ca="1" si="234"/>
        <v>0</v>
      </c>
      <c r="K510">
        <f ca="1">IF(OR($C510="S",$C510=0),0,MATCH(OFFSET($D510,0,$C510)+IF($C510&lt;&gt;1,1,COUNTIF(QCI!$A$13:$A$24,ORÇAMENTO!E510)),OFFSET($D510,1,$C510,ROW($C$710)-ROW($C510)),0))</f>
        <v>0</v>
      </c>
      <c r="L510" s="143" t="str">
        <f t="shared" ca="1" si="220"/>
        <v/>
      </c>
      <c r="M510" s="144" t="s">
        <v>201</v>
      </c>
      <c r="N510" s="145" t="str">
        <f t="shared" ca="1" si="221"/>
        <v>Serviço</v>
      </c>
      <c r="O510" s="146" t="str">
        <f t="shared" ca="1" si="222"/>
        <v>-</v>
      </c>
      <c r="P510" s="147" t="s">
        <v>441</v>
      </c>
      <c r="Q510" s="148" t="s">
        <v>625</v>
      </c>
      <c r="R510" s="149" t="str">
        <f ca="1">IF($C510="S",REFERENCIA.Descricao,"(digite a descrição aqui)")</f>
        <v>(abra o arquivo 'Referência 05-2024.xls)</v>
      </c>
      <c r="S510" s="150" t="str">
        <f ca="1">REFERENCIA.Unidade</f>
        <v>-</v>
      </c>
      <c r="T510" s="151">
        <f ca="1">OFFSET(CÁLCULO!H$15,ROW($T510)-ROW(T$15),0)</f>
        <v>1</v>
      </c>
      <c r="U510" s="152">
        <f t="shared" ca="1" si="235"/>
        <v>0</v>
      </c>
      <c r="V510" s="153" t="s">
        <v>158</v>
      </c>
      <c r="W510" s="151">
        <f t="shared" ca="1" si="223"/>
        <v>0</v>
      </c>
      <c r="X510" s="154">
        <f t="shared" ca="1" si="224"/>
        <v>0</v>
      </c>
      <c r="Y510" s="155" t="s">
        <v>583</v>
      </c>
      <c r="Z510" t="str">
        <f t="shared" ca="1" si="225"/>
        <v/>
      </c>
      <c r="AA510" s="156">
        <f ca="1">IF($C510="S",IF($Z510="CP",$X510,IF($Z510="RA",(($X510)*QCI!$AA$3),0)),SomaAgrup)</f>
        <v>0</v>
      </c>
      <c r="AB510" s="157">
        <f t="shared" ca="1" si="226"/>
        <v>0</v>
      </c>
      <c r="AC510" s="158" t="str">
        <f t="shared" ca="1" si="227"/>
        <v/>
      </c>
      <c r="AD510" s="104" t="str">
        <f ca="1">IF(C510&lt;=CRONO.NivelExibicao,MAX($AD$15:OFFSET(AD510,-1,0))+IF($C510&lt;&gt;1,1,MAX(1,COUNTIF(QCI!$A$13:$A$24,OFFSET($E510,-1,0)))),"")</f>
        <v/>
      </c>
      <c r="AE510" s="114" t="str">
        <f t="shared" ca="1" si="228"/>
        <v>Composição CP-61</v>
      </c>
      <c r="AF510" s="159" t="str">
        <f t="shared" ca="1" si="229"/>
        <v>(abra o arquivo 'Referência 05-2024.xls)</v>
      </c>
      <c r="AG510" s="579">
        <f t="shared" ca="1" si="230"/>
        <v>0</v>
      </c>
      <c r="AH510" s="580">
        <f t="shared" ca="1" si="231"/>
        <v>0.22470000000000001</v>
      </c>
      <c r="AJ510" s="582">
        <v>1</v>
      </c>
      <c r="AL510" s="612"/>
      <c r="AM510" s="430">
        <f t="shared" ca="1" si="232"/>
        <v>0</v>
      </c>
      <c r="AN510" s="655">
        <f t="shared" ca="1" si="233"/>
        <v>0</v>
      </c>
    </row>
    <row r="511" spans="1:40" ht="13.8" x14ac:dyDescent="0.3">
      <c r="A511" t="str">
        <f t="shared" si="212"/>
        <v>S</v>
      </c>
      <c r="B511">
        <f t="shared" ca="1" si="213"/>
        <v>3</v>
      </c>
      <c r="C511" t="str">
        <f t="shared" ca="1" si="214"/>
        <v>S</v>
      </c>
      <c r="D511">
        <f t="shared" ca="1" si="215"/>
        <v>0</v>
      </c>
      <c r="E511">
        <f ca="1">IF($C511=1,OFFSET(E511,-1,0)+MAX(1,COUNTIF(QCI!$A$13:$A$24,OFFSET(ORÇAMENTO!E511,-1,0))),OFFSET(E511,-1,0))</f>
        <v>1</v>
      </c>
      <c r="F511">
        <f t="shared" ca="1" si="216"/>
        <v>17</v>
      </c>
      <c r="G511">
        <f t="shared" ca="1" si="217"/>
        <v>4</v>
      </c>
      <c r="H511">
        <f t="shared" ca="1" si="218"/>
        <v>0</v>
      </c>
      <c r="I511">
        <f t="shared" ca="1" si="219"/>
        <v>0</v>
      </c>
      <c r="J511">
        <f t="shared" ca="1" si="234"/>
        <v>0</v>
      </c>
      <c r="K511">
        <f ca="1">IF(OR($C511="S",$C511=0),0,MATCH(OFFSET($D511,0,$C511)+IF($C511&lt;&gt;1,1,COUNTIF(QCI!$A$13:$A$24,ORÇAMENTO!E511)),OFFSET($D511,1,$C511,ROW($C$710)-ROW($C511)),0))</f>
        <v>0</v>
      </c>
      <c r="L511" s="143" t="str">
        <f t="shared" ca="1" si="220"/>
        <v/>
      </c>
      <c r="M511" s="144" t="s">
        <v>201</v>
      </c>
      <c r="N511" s="145" t="str">
        <f t="shared" ca="1" si="221"/>
        <v>Serviço</v>
      </c>
      <c r="O511" s="146" t="str">
        <f t="shared" ca="1" si="222"/>
        <v>-</v>
      </c>
      <c r="P511" s="147" t="s">
        <v>249</v>
      </c>
      <c r="Q511" s="148" t="s">
        <v>596</v>
      </c>
      <c r="R511" s="149" t="str">
        <f ca="1">IF($C511="S",REFERENCIA.Descricao,"(digite a descrição aqui)")</f>
        <v>(abra o arquivo 'Referência 05-2024.xls)</v>
      </c>
      <c r="S511" s="150" t="str">
        <f ca="1">REFERENCIA.Unidade</f>
        <v>-</v>
      </c>
      <c r="T511" s="151">
        <f ca="1">OFFSET(CÁLCULO!H$15,ROW($T511)-ROW(T$15),0)</f>
        <v>1</v>
      </c>
      <c r="U511" s="152">
        <f t="shared" ca="1" si="235"/>
        <v>0</v>
      </c>
      <c r="V511" s="153" t="s">
        <v>158</v>
      </c>
      <c r="W511" s="151">
        <f t="shared" ca="1" si="223"/>
        <v>0</v>
      </c>
      <c r="X511" s="154">
        <f t="shared" ca="1" si="224"/>
        <v>0</v>
      </c>
      <c r="Y511" s="155" t="s">
        <v>583</v>
      </c>
      <c r="Z511" t="str">
        <f t="shared" ca="1" si="225"/>
        <v/>
      </c>
      <c r="AA511" s="156">
        <f ca="1">IF($C511="S",IF($Z511="CP",$X511,IF($Z511="RA",(($X511)*QCI!$AA$3),0)),SomaAgrup)</f>
        <v>0</v>
      </c>
      <c r="AB511" s="157">
        <f t="shared" ca="1" si="226"/>
        <v>0</v>
      </c>
      <c r="AC511" s="158" t="str">
        <f t="shared" ca="1" si="227"/>
        <v/>
      </c>
      <c r="AD511" s="104" t="str">
        <f ca="1">IF(C511&lt;=CRONO.NivelExibicao,MAX($AD$15:OFFSET(AD511,-1,0))+IF($C511&lt;&gt;1,1,MAX(1,COUNTIF(QCI!$A$13:$A$24,OFFSET($E511,-1,0)))),"")</f>
        <v/>
      </c>
      <c r="AE511" s="114" t="str">
        <f t="shared" ca="1" si="228"/>
        <v>SINAPI 94499</v>
      </c>
      <c r="AF511" s="159" t="str">
        <f t="shared" ca="1" si="229"/>
        <v>(abra o arquivo 'Referência 05-2024.xls)</v>
      </c>
      <c r="AG511" s="579">
        <f t="shared" ca="1" si="230"/>
        <v>0</v>
      </c>
      <c r="AH511" s="580">
        <f t="shared" ca="1" si="231"/>
        <v>0.22470000000000001</v>
      </c>
      <c r="AJ511" s="582">
        <v>1</v>
      </c>
      <c r="AL511" s="612"/>
      <c r="AM511" s="430">
        <f t="shared" ca="1" si="232"/>
        <v>0</v>
      </c>
      <c r="AN511" s="655">
        <f t="shared" ca="1" si="233"/>
        <v>0</v>
      </c>
    </row>
    <row r="512" spans="1:40" ht="13.8" x14ac:dyDescent="0.3">
      <c r="A512" t="str">
        <f t="shared" si="212"/>
        <v>S</v>
      </c>
      <c r="B512">
        <f t="shared" ca="1" si="213"/>
        <v>3</v>
      </c>
      <c r="C512" t="str">
        <f t="shared" ca="1" si="214"/>
        <v>S</v>
      </c>
      <c r="D512">
        <f t="shared" ca="1" si="215"/>
        <v>0</v>
      </c>
      <c r="E512">
        <f ca="1">IF($C512=1,OFFSET(E512,-1,0)+MAX(1,COUNTIF(QCI!$A$13:$A$24,OFFSET(ORÇAMENTO!E512,-1,0))),OFFSET(E512,-1,0))</f>
        <v>1</v>
      </c>
      <c r="F512">
        <f t="shared" ca="1" si="216"/>
        <v>17</v>
      </c>
      <c r="G512">
        <f t="shared" ca="1" si="217"/>
        <v>4</v>
      </c>
      <c r="H512">
        <f t="shared" ca="1" si="218"/>
        <v>0</v>
      </c>
      <c r="I512">
        <f t="shared" ca="1" si="219"/>
        <v>0</v>
      </c>
      <c r="J512">
        <f t="shared" ca="1" si="234"/>
        <v>0</v>
      </c>
      <c r="K512">
        <f ca="1">IF(OR($C512="S",$C512=0),0,MATCH(OFFSET($D512,0,$C512)+IF($C512&lt;&gt;1,1,COUNTIF(QCI!$A$13:$A$24,ORÇAMENTO!E512)),OFFSET($D512,1,$C512,ROW($C$710)-ROW($C512)),0))</f>
        <v>0</v>
      </c>
      <c r="L512" s="143" t="str">
        <f t="shared" ca="1" si="220"/>
        <v/>
      </c>
      <c r="M512" s="144" t="s">
        <v>201</v>
      </c>
      <c r="N512" s="145" t="str">
        <f t="shared" ca="1" si="221"/>
        <v>Serviço</v>
      </c>
      <c r="O512" s="146" t="str">
        <f t="shared" ca="1" si="222"/>
        <v>-</v>
      </c>
      <c r="P512" s="147" t="s">
        <v>441</v>
      </c>
      <c r="Q512" s="148" t="s">
        <v>626</v>
      </c>
      <c r="R512" s="149" t="str">
        <f ca="1">IF($C512="S",REFERENCIA.Descricao,"(digite a descrição aqui)")</f>
        <v>(abra o arquivo 'Referência 05-2024.xls)</v>
      </c>
      <c r="S512" s="150" t="str">
        <f ca="1">REFERENCIA.Unidade</f>
        <v>-</v>
      </c>
      <c r="T512" s="151">
        <f ca="1">OFFSET(CÁLCULO!H$15,ROW($T512)-ROW(T$15),0)</f>
        <v>1</v>
      </c>
      <c r="U512" s="152">
        <f t="shared" ca="1" si="235"/>
        <v>0</v>
      </c>
      <c r="V512" s="153" t="s">
        <v>158</v>
      </c>
      <c r="W512" s="151">
        <f t="shared" ca="1" si="223"/>
        <v>0</v>
      </c>
      <c r="X512" s="154">
        <f t="shared" ca="1" si="224"/>
        <v>0</v>
      </c>
      <c r="Y512" s="155" t="s">
        <v>583</v>
      </c>
      <c r="Z512" t="str">
        <f t="shared" ca="1" si="225"/>
        <v/>
      </c>
      <c r="AA512" s="156">
        <f ca="1">IF($C512="S",IF($Z512="CP",$X512,IF($Z512="RA",(($X512)*QCI!$AA$3),0)),SomaAgrup)</f>
        <v>0</v>
      </c>
      <c r="AB512" s="157">
        <f t="shared" ca="1" si="226"/>
        <v>0</v>
      </c>
      <c r="AC512" s="158" t="str">
        <f t="shared" ca="1" si="227"/>
        <v/>
      </c>
      <c r="AD512" s="104" t="str">
        <f ca="1">IF(C512&lt;=CRONO.NivelExibicao,MAX($AD$15:OFFSET(AD512,-1,0))+IF($C512&lt;&gt;1,1,MAX(1,COUNTIF(QCI!$A$13:$A$24,OFFSET($E512,-1,0)))),"")</f>
        <v/>
      </c>
      <c r="AE512" s="114" t="str">
        <f t="shared" ca="1" si="228"/>
        <v>Composição CP-62</v>
      </c>
      <c r="AF512" s="159" t="str">
        <f t="shared" ca="1" si="229"/>
        <v>(abra o arquivo 'Referência 05-2024.xls)</v>
      </c>
      <c r="AG512" s="579">
        <f t="shared" ca="1" si="230"/>
        <v>0</v>
      </c>
      <c r="AH512" s="580">
        <f t="shared" ca="1" si="231"/>
        <v>0.22470000000000001</v>
      </c>
      <c r="AJ512" s="582">
        <v>1</v>
      </c>
      <c r="AL512" s="612"/>
      <c r="AM512" s="430">
        <f t="shared" ca="1" si="232"/>
        <v>0</v>
      </c>
      <c r="AN512" s="655">
        <f t="shared" ca="1" si="233"/>
        <v>0</v>
      </c>
    </row>
    <row r="513" spans="1:40" ht="13.8" x14ac:dyDescent="0.3">
      <c r="A513">
        <f t="shared" si="212"/>
        <v>3</v>
      </c>
      <c r="B513">
        <f t="shared" ca="1" si="213"/>
        <v>3</v>
      </c>
      <c r="C513">
        <f t="shared" ca="1" si="214"/>
        <v>3</v>
      </c>
      <c r="D513">
        <f t="shared" ca="1" si="215"/>
        <v>10</v>
      </c>
      <c r="E513">
        <f ca="1">IF($C513=1,OFFSET(E513,-1,0)+MAX(1,COUNTIF(QCI!$A$13:$A$24,OFFSET(ORÇAMENTO!E513,-1,0))),OFFSET(E513,-1,0))</f>
        <v>1</v>
      </c>
      <c r="F513">
        <f t="shared" ca="1" si="216"/>
        <v>17</v>
      </c>
      <c r="G513">
        <f t="shared" ca="1" si="217"/>
        <v>5</v>
      </c>
      <c r="H513">
        <f t="shared" ca="1" si="218"/>
        <v>0</v>
      </c>
      <c r="I513">
        <f t="shared" ca="1" si="219"/>
        <v>0</v>
      </c>
      <c r="J513">
        <f t="shared" ca="1" si="234"/>
        <v>15</v>
      </c>
      <c r="K513">
        <f ca="1">IF(OR($C513="S",$C513=0),0,MATCH(OFFSET($D513,0,$C513)+IF($C513&lt;&gt;1,1,COUNTIF(QCI!$A$13:$A$24,ORÇAMENTO!E513)),OFFSET($D513,1,$C513,ROW($C$710)-ROW($C513)),0))</f>
        <v>10</v>
      </c>
      <c r="L513" s="143" t="str">
        <f t="shared" ca="1" si="220"/>
        <v>F</v>
      </c>
      <c r="M513" s="144" t="s">
        <v>199</v>
      </c>
      <c r="N513" s="145" t="str">
        <f t="shared" ca="1" si="221"/>
        <v>Nível 3</v>
      </c>
      <c r="O513" s="146" t="str">
        <f t="shared" ca="1" si="222"/>
        <v>1.17.5.</v>
      </c>
      <c r="P513" s="147" t="s">
        <v>249</v>
      </c>
      <c r="Q513" s="148"/>
      <c r="R513" s="149" t="s">
        <v>544</v>
      </c>
      <c r="S513" s="150" t="s">
        <v>168</v>
      </c>
      <c r="T513" s="151">
        <f ca="1">OFFSET(CÁLCULO!H$15,ROW($T513)-ROW(T$15),0)</f>
        <v>0</v>
      </c>
      <c r="U513" s="152"/>
      <c r="V513" s="153" t="s">
        <v>158</v>
      </c>
      <c r="W513" s="151">
        <f t="shared" ca="1" si="223"/>
        <v>0</v>
      </c>
      <c r="X513" s="154">
        <f t="shared" ca="1" si="224"/>
        <v>0</v>
      </c>
      <c r="Y513" s="155" t="s">
        <v>583</v>
      </c>
      <c r="Z513" t="str">
        <f t="shared" ca="1" si="225"/>
        <v/>
      </c>
      <c r="AA513" s="156">
        <f ca="1">IF($C513="S",IF($Z513="CP",$X513,IF($Z513="RA",(($X513)*QCI!$AA$3),0)),SomaAgrup)</f>
        <v>0</v>
      </c>
      <c r="AB513" s="157">
        <f t="shared" ca="1" si="226"/>
        <v>0</v>
      </c>
      <c r="AC513" s="158" t="str">
        <f t="shared" ca="1" si="227"/>
        <v/>
      </c>
      <c r="AD513" s="104" t="str">
        <f ca="1">IF(C513&lt;=CRONO.NivelExibicao,MAX($AD$15:OFFSET(AD513,-1,0))+IF($C513&lt;&gt;1,1,MAX(1,COUNTIF(QCI!$A$13:$A$24,OFFSET($E513,-1,0)))),"")</f>
        <v/>
      </c>
      <c r="AE513" s="114" t="b">
        <f t="shared" ca="1" si="228"/>
        <v>0</v>
      </c>
      <c r="AF513" s="159" t="str">
        <f t="shared" ca="1" si="229"/>
        <v>(abra o arquivo 'Referência 05-2024.xls)</v>
      </c>
      <c r="AG513" s="579">
        <f t="shared" ca="1" si="230"/>
        <v>0</v>
      </c>
      <c r="AH513" s="580">
        <f t="shared" ca="1" si="231"/>
        <v>0.22470000000000001</v>
      </c>
      <c r="AJ513" s="582"/>
      <c r="AL513" s="612"/>
      <c r="AM513" s="430">
        <f t="shared" ca="1" si="232"/>
        <v>0</v>
      </c>
      <c r="AN513" s="655">
        <f t="shared" ca="1" si="233"/>
        <v>0</v>
      </c>
    </row>
    <row r="514" spans="1:40" ht="13.8" x14ac:dyDescent="0.3">
      <c r="A514" t="str">
        <f t="shared" si="212"/>
        <v>S</v>
      </c>
      <c r="B514">
        <f t="shared" ca="1" si="213"/>
        <v>3</v>
      </c>
      <c r="C514" t="str">
        <f t="shared" ca="1" si="214"/>
        <v>S</v>
      </c>
      <c r="D514">
        <f t="shared" ca="1" si="215"/>
        <v>0</v>
      </c>
      <c r="E514">
        <f ca="1">IF($C514=1,OFFSET(E514,-1,0)+MAX(1,COUNTIF(QCI!$A$13:$A$24,OFFSET(ORÇAMENTO!E514,-1,0))),OFFSET(E514,-1,0))</f>
        <v>1</v>
      </c>
      <c r="F514">
        <f t="shared" ca="1" si="216"/>
        <v>17</v>
      </c>
      <c r="G514">
        <f t="shared" ca="1" si="217"/>
        <v>5</v>
      </c>
      <c r="H514">
        <f t="shared" ca="1" si="218"/>
        <v>0</v>
      </c>
      <c r="I514">
        <f t="shared" ca="1" si="219"/>
        <v>0</v>
      </c>
      <c r="J514">
        <f t="shared" ca="1" si="234"/>
        <v>0</v>
      </c>
      <c r="K514">
        <f ca="1">IF(OR($C514="S",$C514=0),0,MATCH(OFFSET($D514,0,$C514)+IF($C514&lt;&gt;1,1,COUNTIF(QCI!$A$13:$A$24,ORÇAMENTO!E514)),OFFSET($D514,1,$C514,ROW($C$710)-ROW($C514)),0))</f>
        <v>0</v>
      </c>
      <c r="L514" s="143" t="str">
        <f t="shared" ca="1" si="220"/>
        <v/>
      </c>
      <c r="M514" s="144" t="s">
        <v>201</v>
      </c>
      <c r="N514" s="145" t="str">
        <f t="shared" ca="1" si="221"/>
        <v>Serviço</v>
      </c>
      <c r="O514" s="146" t="str">
        <f t="shared" ca="1" si="222"/>
        <v>-</v>
      </c>
      <c r="P514" s="147" t="s">
        <v>249</v>
      </c>
      <c r="Q514" s="148">
        <v>91943</v>
      </c>
      <c r="R514" s="149" t="str">
        <f t="shared" ref="R514:R522" ca="1" si="240">IF($C514="S",REFERENCIA.Descricao,"(digite a descrição aqui)")</f>
        <v>(abra o arquivo 'Referência 05-2024.xls)</v>
      </c>
      <c r="S514" s="150" t="str">
        <f t="shared" ref="S514:S522" ca="1" si="241">REFERENCIA.Unidade</f>
        <v>-</v>
      </c>
      <c r="T514" s="151">
        <f ca="1">OFFSET(CÁLCULO!H$15,ROW($T514)-ROW(T$15),0)</f>
        <v>9</v>
      </c>
      <c r="U514" s="152">
        <f t="shared" ca="1" si="235"/>
        <v>0</v>
      </c>
      <c r="V514" s="153" t="s">
        <v>158</v>
      </c>
      <c r="W514" s="151">
        <f t="shared" ca="1" si="223"/>
        <v>0</v>
      </c>
      <c r="X514" s="154">
        <f t="shared" ca="1" si="224"/>
        <v>0</v>
      </c>
      <c r="Y514" s="155" t="s">
        <v>583</v>
      </c>
      <c r="Z514" t="str">
        <f t="shared" ca="1" si="225"/>
        <v/>
      </c>
      <c r="AA514" s="156">
        <f ca="1">IF($C514="S",IF($Z514="CP",$X514,IF($Z514="RA",(($X514)*QCI!$AA$3),0)),SomaAgrup)</f>
        <v>0</v>
      </c>
      <c r="AB514" s="157">
        <f t="shared" ca="1" si="226"/>
        <v>0</v>
      </c>
      <c r="AC514" s="158" t="str">
        <f t="shared" ca="1" si="227"/>
        <v/>
      </c>
      <c r="AD514" s="104" t="str">
        <f ca="1">IF(C514&lt;=CRONO.NivelExibicao,MAX($AD$15:OFFSET(AD514,-1,0))+IF($C514&lt;&gt;1,1,MAX(1,COUNTIF(QCI!$A$13:$A$24,OFFSET($E514,-1,0)))),"")</f>
        <v/>
      </c>
      <c r="AE514" s="114" t="str">
        <f t="shared" ca="1" si="228"/>
        <v>SINAPI 91943</v>
      </c>
      <c r="AF514" s="159" t="str">
        <f t="shared" ca="1" si="229"/>
        <v>(abra o arquivo 'Referência 05-2024.xls)</v>
      </c>
      <c r="AG514" s="579">
        <f t="shared" ca="1" si="230"/>
        <v>0</v>
      </c>
      <c r="AH514" s="580">
        <f t="shared" ca="1" si="231"/>
        <v>0.22470000000000001</v>
      </c>
      <c r="AJ514" s="582">
        <v>9</v>
      </c>
      <c r="AL514" s="612"/>
      <c r="AM514" s="430">
        <f t="shared" ca="1" si="232"/>
        <v>0</v>
      </c>
      <c r="AN514" s="655">
        <f t="shared" ca="1" si="233"/>
        <v>0</v>
      </c>
    </row>
    <row r="515" spans="1:40" ht="13.8" x14ac:dyDescent="0.3">
      <c r="A515" t="str">
        <f t="shared" si="212"/>
        <v>S</v>
      </c>
      <c r="B515">
        <f t="shared" ca="1" si="213"/>
        <v>3</v>
      </c>
      <c r="C515" t="str">
        <f t="shared" ca="1" si="214"/>
        <v>S</v>
      </c>
      <c r="D515">
        <f t="shared" ca="1" si="215"/>
        <v>0</v>
      </c>
      <c r="E515">
        <f ca="1">IF($C515=1,OFFSET(E515,-1,0)+MAX(1,COUNTIF(QCI!$A$13:$A$24,OFFSET(ORÇAMENTO!E515,-1,0))),OFFSET(E515,-1,0))</f>
        <v>1</v>
      </c>
      <c r="F515">
        <f t="shared" ca="1" si="216"/>
        <v>17</v>
      </c>
      <c r="G515">
        <f t="shared" ca="1" si="217"/>
        <v>5</v>
      </c>
      <c r="H515">
        <f t="shared" ca="1" si="218"/>
        <v>0</v>
      </c>
      <c r="I515">
        <f t="shared" ca="1" si="219"/>
        <v>0</v>
      </c>
      <c r="J515">
        <f t="shared" ca="1" si="234"/>
        <v>0</v>
      </c>
      <c r="K515">
        <f ca="1">IF(OR($C515="S",$C515=0),0,MATCH(OFFSET($D515,0,$C515)+IF($C515&lt;&gt;1,1,COUNTIF(QCI!$A$13:$A$24,ORÇAMENTO!E515)),OFFSET($D515,1,$C515,ROW($C$710)-ROW($C515)),0))</f>
        <v>0</v>
      </c>
      <c r="L515" s="143" t="str">
        <f t="shared" ca="1" si="220"/>
        <v/>
      </c>
      <c r="M515" s="144" t="s">
        <v>201</v>
      </c>
      <c r="N515" s="145" t="str">
        <f t="shared" ca="1" si="221"/>
        <v>Serviço</v>
      </c>
      <c r="O515" s="146" t="str">
        <f t="shared" ca="1" si="222"/>
        <v>-</v>
      </c>
      <c r="P515" s="147" t="s">
        <v>249</v>
      </c>
      <c r="Q515" s="148">
        <v>91940</v>
      </c>
      <c r="R515" s="149" t="str">
        <f t="shared" ca="1" si="240"/>
        <v>(abra o arquivo 'Referência 05-2024.xls)</v>
      </c>
      <c r="S515" s="150" t="str">
        <f t="shared" ca="1" si="241"/>
        <v>-</v>
      </c>
      <c r="T515" s="151">
        <f ca="1">OFFSET(CÁLCULO!H$15,ROW($T515)-ROW(T$15),0)</f>
        <v>7</v>
      </c>
      <c r="U515" s="152">
        <f t="shared" ca="1" si="235"/>
        <v>0</v>
      </c>
      <c r="V515" s="153" t="s">
        <v>158</v>
      </c>
      <c r="W515" s="151">
        <f t="shared" ca="1" si="223"/>
        <v>0</v>
      </c>
      <c r="X515" s="154">
        <f t="shared" ca="1" si="224"/>
        <v>0</v>
      </c>
      <c r="Y515" s="155" t="s">
        <v>583</v>
      </c>
      <c r="Z515" t="str">
        <f t="shared" ca="1" si="225"/>
        <v/>
      </c>
      <c r="AA515" s="156">
        <f ca="1">IF($C515="S",IF($Z515="CP",$X515,IF($Z515="RA",(($X515)*QCI!$AA$3),0)),SomaAgrup)</f>
        <v>0</v>
      </c>
      <c r="AB515" s="157">
        <f t="shared" ca="1" si="226"/>
        <v>0</v>
      </c>
      <c r="AC515" s="158" t="str">
        <f t="shared" ca="1" si="227"/>
        <v/>
      </c>
      <c r="AD515" s="104" t="str">
        <f ca="1">IF(C515&lt;=CRONO.NivelExibicao,MAX($AD$15:OFFSET(AD515,-1,0))+IF($C515&lt;&gt;1,1,MAX(1,COUNTIF(QCI!$A$13:$A$24,OFFSET($E515,-1,0)))),"")</f>
        <v/>
      </c>
      <c r="AE515" s="114" t="str">
        <f t="shared" ca="1" si="228"/>
        <v>SINAPI 91940</v>
      </c>
      <c r="AF515" s="159" t="str">
        <f t="shared" ca="1" si="229"/>
        <v>(abra o arquivo 'Referência 05-2024.xls)</v>
      </c>
      <c r="AG515" s="579">
        <f t="shared" ca="1" si="230"/>
        <v>0</v>
      </c>
      <c r="AH515" s="580">
        <f t="shared" ca="1" si="231"/>
        <v>0.22470000000000001</v>
      </c>
      <c r="AJ515" s="582">
        <v>7</v>
      </c>
      <c r="AL515" s="612"/>
      <c r="AM515" s="430">
        <f t="shared" ca="1" si="232"/>
        <v>0</v>
      </c>
      <c r="AN515" s="655">
        <f t="shared" ca="1" si="233"/>
        <v>0</v>
      </c>
    </row>
    <row r="516" spans="1:40" ht="13.8" x14ac:dyDescent="0.3">
      <c r="A516" t="str">
        <f t="shared" si="212"/>
        <v>S</v>
      </c>
      <c r="B516">
        <f t="shared" ca="1" si="213"/>
        <v>3</v>
      </c>
      <c r="C516" t="str">
        <f t="shared" ca="1" si="214"/>
        <v>S</v>
      </c>
      <c r="D516">
        <f t="shared" ca="1" si="215"/>
        <v>0</v>
      </c>
      <c r="E516">
        <f ca="1">IF($C516=1,OFFSET(E516,-1,0)+MAX(1,COUNTIF(QCI!$A$13:$A$24,OFFSET(ORÇAMENTO!E516,-1,0))),OFFSET(E516,-1,0))</f>
        <v>1</v>
      </c>
      <c r="F516">
        <f t="shared" ca="1" si="216"/>
        <v>17</v>
      </c>
      <c r="G516">
        <f t="shared" ca="1" si="217"/>
        <v>5</v>
      </c>
      <c r="H516">
        <f t="shared" ca="1" si="218"/>
        <v>0</v>
      </c>
      <c r="I516">
        <f t="shared" ca="1" si="219"/>
        <v>0</v>
      </c>
      <c r="J516">
        <f t="shared" ca="1" si="234"/>
        <v>0</v>
      </c>
      <c r="K516">
        <f ca="1">IF(OR($C516="S",$C516=0),0,MATCH(OFFSET($D516,0,$C516)+IF($C516&lt;&gt;1,1,COUNTIF(QCI!$A$13:$A$24,ORÇAMENTO!E516)),OFFSET($D516,1,$C516,ROW($C$710)-ROW($C516)),0))</f>
        <v>0</v>
      </c>
      <c r="L516" s="143" t="str">
        <f t="shared" ca="1" si="220"/>
        <v/>
      </c>
      <c r="M516" s="144" t="s">
        <v>201</v>
      </c>
      <c r="N516" s="145" t="str">
        <f t="shared" ca="1" si="221"/>
        <v>Serviço</v>
      </c>
      <c r="O516" s="146" t="str">
        <f t="shared" ca="1" si="222"/>
        <v>-</v>
      </c>
      <c r="P516" s="147" t="s">
        <v>441</v>
      </c>
      <c r="Q516" s="148" t="s">
        <v>604</v>
      </c>
      <c r="R516" s="149" t="str">
        <f t="shared" ca="1" si="240"/>
        <v>(abra o arquivo 'Referência 05-2024.xls)</v>
      </c>
      <c r="S516" s="150" t="str">
        <f t="shared" ca="1" si="241"/>
        <v>-</v>
      </c>
      <c r="T516" s="151">
        <f ca="1">OFFSET(CÁLCULO!H$15,ROW($T516)-ROW(T$15),0)</f>
        <v>456</v>
      </c>
      <c r="U516" s="152">
        <f t="shared" ca="1" si="235"/>
        <v>0</v>
      </c>
      <c r="V516" s="153" t="s">
        <v>158</v>
      </c>
      <c r="W516" s="151">
        <f t="shared" ca="1" si="223"/>
        <v>0</v>
      </c>
      <c r="X516" s="154">
        <f t="shared" ca="1" si="224"/>
        <v>0</v>
      </c>
      <c r="Y516" s="155" t="s">
        <v>583</v>
      </c>
      <c r="Z516" t="str">
        <f t="shared" ca="1" si="225"/>
        <v/>
      </c>
      <c r="AA516" s="156">
        <f ca="1">IF($C516="S",IF($Z516="CP",$X516,IF($Z516="RA",(($X516)*QCI!$AA$3),0)),SomaAgrup)</f>
        <v>0</v>
      </c>
      <c r="AB516" s="157">
        <f t="shared" ca="1" si="226"/>
        <v>0</v>
      </c>
      <c r="AC516" s="158" t="str">
        <f t="shared" ca="1" si="227"/>
        <v/>
      </c>
      <c r="AD516" s="104" t="str">
        <f ca="1">IF(C516&lt;=CRONO.NivelExibicao,MAX($AD$15:OFFSET(AD516,-1,0))+IF($C516&lt;&gt;1,1,MAX(1,COUNTIF(QCI!$A$13:$A$24,OFFSET($E516,-1,0)))),"")</f>
        <v/>
      </c>
      <c r="AE516" s="114" t="str">
        <f t="shared" ca="1" si="228"/>
        <v>Composição CP-42</v>
      </c>
      <c r="AF516" s="159" t="str">
        <f t="shared" ca="1" si="229"/>
        <v>(abra o arquivo 'Referência 05-2024.xls)</v>
      </c>
      <c r="AG516" s="579">
        <f t="shared" ca="1" si="230"/>
        <v>0</v>
      </c>
      <c r="AH516" s="580">
        <f t="shared" ca="1" si="231"/>
        <v>0.22470000000000001</v>
      </c>
      <c r="AJ516" s="582">
        <v>456</v>
      </c>
      <c r="AL516" s="612"/>
      <c r="AM516" s="430">
        <f t="shared" ca="1" si="232"/>
        <v>0</v>
      </c>
      <c r="AN516" s="655">
        <f t="shared" ca="1" si="233"/>
        <v>0</v>
      </c>
    </row>
    <row r="517" spans="1:40" ht="13.8" x14ac:dyDescent="0.3">
      <c r="A517" t="str">
        <f t="shared" si="212"/>
        <v>S</v>
      </c>
      <c r="B517">
        <f t="shared" ca="1" si="213"/>
        <v>3</v>
      </c>
      <c r="C517" t="str">
        <f t="shared" ca="1" si="214"/>
        <v>S</v>
      </c>
      <c r="D517">
        <f t="shared" ca="1" si="215"/>
        <v>0</v>
      </c>
      <c r="E517">
        <f ca="1">IF($C517=1,OFFSET(E517,-1,0)+MAX(1,COUNTIF(QCI!$A$13:$A$24,OFFSET(ORÇAMENTO!E517,-1,0))),OFFSET(E517,-1,0))</f>
        <v>1</v>
      </c>
      <c r="F517">
        <f t="shared" ca="1" si="216"/>
        <v>17</v>
      </c>
      <c r="G517">
        <f t="shared" ca="1" si="217"/>
        <v>5</v>
      </c>
      <c r="H517">
        <f t="shared" ca="1" si="218"/>
        <v>0</v>
      </c>
      <c r="I517">
        <f t="shared" ca="1" si="219"/>
        <v>0</v>
      </c>
      <c r="J517">
        <f t="shared" ca="1" si="234"/>
        <v>0</v>
      </c>
      <c r="K517">
        <f ca="1">IF(OR($C517="S",$C517=0),0,MATCH(OFFSET($D517,0,$C517)+IF($C517&lt;&gt;1,1,COUNTIF(QCI!$A$13:$A$24,ORÇAMENTO!E517)),OFFSET($D517,1,$C517,ROW($C$710)-ROW($C517)),0))</f>
        <v>0</v>
      </c>
      <c r="L517" s="143" t="str">
        <f t="shared" ca="1" si="220"/>
        <v/>
      </c>
      <c r="M517" s="144" t="s">
        <v>201</v>
      </c>
      <c r="N517" s="145" t="str">
        <f t="shared" ca="1" si="221"/>
        <v>Serviço</v>
      </c>
      <c r="O517" s="146" t="str">
        <f t="shared" ca="1" si="222"/>
        <v>-</v>
      </c>
      <c r="P517" s="147" t="s">
        <v>578</v>
      </c>
      <c r="Q517" s="148">
        <v>9010053</v>
      </c>
      <c r="R517" s="149" t="str">
        <f t="shared" ca="1" si="240"/>
        <v>(abra o arquivo 'Referência 05-2024.xls)</v>
      </c>
      <c r="S517" s="150" t="str">
        <f t="shared" ca="1" si="241"/>
        <v>-</v>
      </c>
      <c r="T517" s="151">
        <f ca="1">OFFSET(CÁLCULO!H$15,ROW($T517)-ROW(T$15),0)</f>
        <v>1</v>
      </c>
      <c r="U517" s="152">
        <f t="shared" ca="1" si="235"/>
        <v>0</v>
      </c>
      <c r="V517" s="153" t="s">
        <v>158</v>
      </c>
      <c r="W517" s="151">
        <f t="shared" ca="1" si="223"/>
        <v>0</v>
      </c>
      <c r="X517" s="154">
        <f t="shared" ca="1" si="224"/>
        <v>0</v>
      </c>
      <c r="Y517" s="155" t="s">
        <v>583</v>
      </c>
      <c r="Z517" t="str">
        <f t="shared" ca="1" si="225"/>
        <v/>
      </c>
      <c r="AA517" s="156">
        <f ca="1">IF($C517="S",IF($Z517="CP",$X517,IF($Z517="RA",(($X517)*QCI!$AA$3),0)),SomaAgrup)</f>
        <v>0</v>
      </c>
      <c r="AB517" s="157">
        <f t="shared" ca="1" si="226"/>
        <v>0</v>
      </c>
      <c r="AC517" s="158" t="str">
        <f t="shared" ca="1" si="227"/>
        <v/>
      </c>
      <c r="AD517" s="104" t="str">
        <f ca="1">IF(C517&lt;=CRONO.NivelExibicao,MAX($AD$15:OFFSET(AD517,-1,0))+IF($C517&lt;&gt;1,1,MAX(1,COUNTIF(QCI!$A$13:$A$24,OFFSET($E517,-1,0)))),"")</f>
        <v/>
      </c>
      <c r="AE517" s="114" t="str">
        <f t="shared" ca="1" si="228"/>
        <v>SIURB 9010053</v>
      </c>
      <c r="AF517" s="159" t="str">
        <f t="shared" ca="1" si="229"/>
        <v>(abra o arquivo 'Referência 05-2024.xls)</v>
      </c>
      <c r="AG517" s="579">
        <f t="shared" ca="1" si="230"/>
        <v>0</v>
      </c>
      <c r="AH517" s="580">
        <f t="shared" ca="1" si="231"/>
        <v>0.22470000000000001</v>
      </c>
      <c r="AJ517" s="582">
        <v>1</v>
      </c>
      <c r="AL517" s="612"/>
      <c r="AM517" s="430">
        <f t="shared" ca="1" si="232"/>
        <v>0</v>
      </c>
      <c r="AN517" s="655">
        <f t="shared" ca="1" si="233"/>
        <v>0</v>
      </c>
    </row>
    <row r="518" spans="1:40" ht="13.8" x14ac:dyDescent="0.3">
      <c r="A518" t="str">
        <f t="shared" si="212"/>
        <v>S</v>
      </c>
      <c r="B518">
        <f t="shared" ca="1" si="213"/>
        <v>3</v>
      </c>
      <c r="C518" t="str">
        <f t="shared" ca="1" si="214"/>
        <v>S</v>
      </c>
      <c r="D518">
        <f t="shared" ca="1" si="215"/>
        <v>0</v>
      </c>
      <c r="E518">
        <f ca="1">IF($C518=1,OFFSET(E518,-1,0)+MAX(1,COUNTIF(QCI!$A$13:$A$24,OFFSET(ORÇAMENTO!E518,-1,0))),OFFSET(E518,-1,0))</f>
        <v>1</v>
      </c>
      <c r="F518">
        <f t="shared" ca="1" si="216"/>
        <v>17</v>
      </c>
      <c r="G518">
        <f t="shared" ca="1" si="217"/>
        <v>5</v>
      </c>
      <c r="H518">
        <f t="shared" ca="1" si="218"/>
        <v>0</v>
      </c>
      <c r="I518">
        <f t="shared" ca="1" si="219"/>
        <v>0</v>
      </c>
      <c r="J518">
        <f t="shared" ca="1" si="234"/>
        <v>0</v>
      </c>
      <c r="K518">
        <f ca="1">IF(OR($C518="S",$C518=0),0,MATCH(OFFSET($D518,0,$C518)+IF($C518&lt;&gt;1,1,COUNTIF(QCI!$A$13:$A$24,ORÇAMENTO!E518)),OFFSET($D518,1,$C518,ROW($C$710)-ROW($C518)),0))</f>
        <v>0</v>
      </c>
      <c r="L518" s="143" t="str">
        <f t="shared" ca="1" si="220"/>
        <v/>
      </c>
      <c r="M518" s="144" t="s">
        <v>201</v>
      </c>
      <c r="N518" s="145" t="str">
        <f t="shared" ca="1" si="221"/>
        <v>Serviço</v>
      </c>
      <c r="O518" s="146" t="str">
        <f t="shared" ca="1" si="222"/>
        <v>-</v>
      </c>
      <c r="P518" s="147" t="s">
        <v>578</v>
      </c>
      <c r="Q518" s="148">
        <v>9010055</v>
      </c>
      <c r="R518" s="149" t="str">
        <f t="shared" ca="1" si="240"/>
        <v>(abra o arquivo 'Referência 05-2024.xls)</v>
      </c>
      <c r="S518" s="150" t="str">
        <f t="shared" ca="1" si="241"/>
        <v>-</v>
      </c>
      <c r="T518" s="151">
        <f ca="1">OFFSET(CÁLCULO!H$15,ROW($T518)-ROW(T$15),0)</f>
        <v>7</v>
      </c>
      <c r="U518" s="152">
        <f t="shared" ca="1" si="235"/>
        <v>0</v>
      </c>
      <c r="V518" s="153" t="s">
        <v>158</v>
      </c>
      <c r="W518" s="151">
        <f t="shared" ca="1" si="223"/>
        <v>0</v>
      </c>
      <c r="X518" s="154">
        <f t="shared" ca="1" si="224"/>
        <v>0</v>
      </c>
      <c r="Y518" s="155" t="s">
        <v>583</v>
      </c>
      <c r="Z518" t="str">
        <f t="shared" ca="1" si="225"/>
        <v/>
      </c>
      <c r="AA518" s="156">
        <f ca="1">IF($C518="S",IF($Z518="CP",$X518,IF($Z518="RA",(($X518)*QCI!$AA$3),0)),SomaAgrup)</f>
        <v>0</v>
      </c>
      <c r="AB518" s="157">
        <f t="shared" ca="1" si="226"/>
        <v>0</v>
      </c>
      <c r="AC518" s="158" t="str">
        <f t="shared" ca="1" si="227"/>
        <v/>
      </c>
      <c r="AD518" s="104" t="str">
        <f ca="1">IF(C518&lt;=CRONO.NivelExibicao,MAX($AD$15:OFFSET(AD518,-1,0))+IF($C518&lt;&gt;1,1,MAX(1,COUNTIF(QCI!$A$13:$A$24,OFFSET($E518,-1,0)))),"")</f>
        <v/>
      </c>
      <c r="AE518" s="114" t="str">
        <f t="shared" ca="1" si="228"/>
        <v>SIURB 9010055</v>
      </c>
      <c r="AF518" s="159" t="str">
        <f t="shared" ca="1" si="229"/>
        <v>(abra o arquivo 'Referência 05-2024.xls)</v>
      </c>
      <c r="AG518" s="579">
        <f t="shared" ca="1" si="230"/>
        <v>0</v>
      </c>
      <c r="AH518" s="580">
        <f t="shared" ca="1" si="231"/>
        <v>0.22470000000000001</v>
      </c>
      <c r="AJ518" s="582">
        <v>7</v>
      </c>
      <c r="AL518" s="612"/>
      <c r="AM518" s="430">
        <f t="shared" ca="1" si="232"/>
        <v>0</v>
      </c>
      <c r="AN518" s="655">
        <f t="shared" ca="1" si="233"/>
        <v>0</v>
      </c>
    </row>
    <row r="519" spans="1:40" ht="13.8" x14ac:dyDescent="0.3">
      <c r="A519" t="str">
        <f t="shared" si="212"/>
        <v>S</v>
      </c>
      <c r="B519">
        <f t="shared" ca="1" si="213"/>
        <v>3</v>
      </c>
      <c r="C519" t="str">
        <f t="shared" ca="1" si="214"/>
        <v>S</v>
      </c>
      <c r="D519">
        <f t="shared" ca="1" si="215"/>
        <v>0</v>
      </c>
      <c r="E519">
        <f ca="1">IF($C519=1,OFFSET(E519,-1,0)+MAX(1,COUNTIF(QCI!$A$13:$A$24,OFFSET(ORÇAMENTO!E519,-1,0))),OFFSET(E519,-1,0))</f>
        <v>1</v>
      </c>
      <c r="F519">
        <f t="shared" ca="1" si="216"/>
        <v>17</v>
      </c>
      <c r="G519">
        <f t="shared" ca="1" si="217"/>
        <v>5</v>
      </c>
      <c r="H519">
        <f t="shared" ca="1" si="218"/>
        <v>0</v>
      </c>
      <c r="I519">
        <f t="shared" ca="1" si="219"/>
        <v>0</v>
      </c>
      <c r="J519">
        <f t="shared" ca="1" si="234"/>
        <v>0</v>
      </c>
      <c r="K519">
        <f ca="1">IF(OR($C519="S",$C519=0),0,MATCH(OFFSET($D519,0,$C519)+IF($C519&lt;&gt;1,1,COUNTIF(QCI!$A$13:$A$24,ORÇAMENTO!E519)),OFFSET($D519,1,$C519,ROW($C$710)-ROW($C519)),0))</f>
        <v>0</v>
      </c>
      <c r="L519" s="143" t="str">
        <f t="shared" ca="1" si="220"/>
        <v/>
      </c>
      <c r="M519" s="144" t="s">
        <v>201</v>
      </c>
      <c r="N519" s="145" t="str">
        <f t="shared" ca="1" si="221"/>
        <v>Serviço</v>
      </c>
      <c r="O519" s="146" t="str">
        <f t="shared" ca="1" si="222"/>
        <v>-</v>
      </c>
      <c r="P519" s="147" t="s">
        <v>578</v>
      </c>
      <c r="Q519" s="148">
        <v>9010063</v>
      </c>
      <c r="R519" s="149" t="str">
        <f t="shared" ca="1" si="240"/>
        <v>(abra o arquivo 'Referência 05-2024.xls)</v>
      </c>
      <c r="S519" s="150" t="str">
        <f t="shared" ca="1" si="241"/>
        <v>-</v>
      </c>
      <c r="T519" s="151">
        <f ca="1">OFFSET(CÁLCULO!H$15,ROW($T519)-ROW(T$15),0)</f>
        <v>9</v>
      </c>
      <c r="U519" s="152">
        <f t="shared" ca="1" si="235"/>
        <v>0</v>
      </c>
      <c r="V519" s="153" t="s">
        <v>158</v>
      </c>
      <c r="W519" s="151">
        <f t="shared" ca="1" si="223"/>
        <v>0</v>
      </c>
      <c r="X519" s="154">
        <f t="shared" ca="1" si="224"/>
        <v>0</v>
      </c>
      <c r="Y519" s="155" t="s">
        <v>583</v>
      </c>
      <c r="Z519" t="str">
        <f t="shared" ca="1" si="225"/>
        <v/>
      </c>
      <c r="AA519" s="156">
        <f ca="1">IF($C519="S",IF($Z519="CP",$X519,IF($Z519="RA",(($X519)*QCI!$AA$3),0)),SomaAgrup)</f>
        <v>0</v>
      </c>
      <c r="AB519" s="157">
        <f t="shared" ca="1" si="226"/>
        <v>0</v>
      </c>
      <c r="AC519" s="158" t="str">
        <f t="shared" ca="1" si="227"/>
        <v/>
      </c>
      <c r="AD519" s="104" t="str">
        <f ca="1">IF(C519&lt;=CRONO.NivelExibicao,MAX($AD$15:OFFSET(AD519,-1,0))+IF($C519&lt;&gt;1,1,MAX(1,COUNTIF(QCI!$A$13:$A$24,OFFSET($E519,-1,0)))),"")</f>
        <v/>
      </c>
      <c r="AE519" s="114" t="str">
        <f t="shared" ca="1" si="228"/>
        <v>SIURB 9010063</v>
      </c>
      <c r="AF519" s="159" t="str">
        <f t="shared" ca="1" si="229"/>
        <v>(abra o arquivo 'Referência 05-2024.xls)</v>
      </c>
      <c r="AG519" s="579">
        <f t="shared" ca="1" si="230"/>
        <v>0</v>
      </c>
      <c r="AH519" s="580">
        <f t="shared" ca="1" si="231"/>
        <v>0.22470000000000001</v>
      </c>
      <c r="AJ519" s="582">
        <v>9</v>
      </c>
      <c r="AL519" s="612"/>
      <c r="AM519" s="430">
        <f t="shared" ca="1" si="232"/>
        <v>0</v>
      </c>
      <c r="AN519" s="655">
        <f t="shared" ca="1" si="233"/>
        <v>0</v>
      </c>
    </row>
    <row r="520" spans="1:40" ht="13.8" x14ac:dyDescent="0.3">
      <c r="A520" t="str">
        <f t="shared" si="212"/>
        <v>S</v>
      </c>
      <c r="B520">
        <f t="shared" ca="1" si="213"/>
        <v>3</v>
      </c>
      <c r="C520" t="str">
        <f t="shared" ca="1" si="214"/>
        <v>S</v>
      </c>
      <c r="D520">
        <f t="shared" ca="1" si="215"/>
        <v>0</v>
      </c>
      <c r="E520">
        <f ca="1">IF($C520=1,OFFSET(E520,-1,0)+MAX(1,COUNTIF(QCI!$A$13:$A$24,OFFSET(ORÇAMENTO!E520,-1,0))),OFFSET(E520,-1,0))</f>
        <v>1</v>
      </c>
      <c r="F520">
        <f t="shared" ca="1" si="216"/>
        <v>17</v>
      </c>
      <c r="G520">
        <f t="shared" ca="1" si="217"/>
        <v>5</v>
      </c>
      <c r="H520">
        <f t="shared" ca="1" si="218"/>
        <v>0</v>
      </c>
      <c r="I520">
        <f t="shared" ca="1" si="219"/>
        <v>0</v>
      </c>
      <c r="J520">
        <f t="shared" ca="1" si="234"/>
        <v>0</v>
      </c>
      <c r="K520">
        <f ca="1">IF(OR($C520="S",$C520=0),0,MATCH(OFFSET($D520,0,$C520)+IF($C520&lt;&gt;1,1,COUNTIF(QCI!$A$13:$A$24,ORÇAMENTO!E520)),OFFSET($D520,1,$C520,ROW($C$710)-ROW($C520)),0))</f>
        <v>0</v>
      </c>
      <c r="L520" s="143" t="str">
        <f t="shared" ca="1" si="220"/>
        <v/>
      </c>
      <c r="M520" s="144" t="s">
        <v>201</v>
      </c>
      <c r="N520" s="145" t="str">
        <f t="shared" ca="1" si="221"/>
        <v>Serviço</v>
      </c>
      <c r="O520" s="146" t="str">
        <f t="shared" ca="1" si="222"/>
        <v>-</v>
      </c>
      <c r="P520" s="147" t="s">
        <v>441</v>
      </c>
      <c r="Q520" s="148" t="s">
        <v>601</v>
      </c>
      <c r="R520" s="149" t="str">
        <f t="shared" ca="1" si="240"/>
        <v>(abra o arquivo 'Referência 05-2024.xls)</v>
      </c>
      <c r="S520" s="150" t="str">
        <f t="shared" ca="1" si="241"/>
        <v>-</v>
      </c>
      <c r="T520" s="151">
        <f ca="1">OFFSET(CÁLCULO!H$15,ROW($T520)-ROW(T$15),0)</f>
        <v>228</v>
      </c>
      <c r="U520" s="152">
        <f t="shared" ca="1" si="235"/>
        <v>0</v>
      </c>
      <c r="V520" s="153" t="s">
        <v>158</v>
      </c>
      <c r="W520" s="151">
        <f t="shared" ca="1" si="223"/>
        <v>0</v>
      </c>
      <c r="X520" s="154">
        <f t="shared" ca="1" si="224"/>
        <v>0</v>
      </c>
      <c r="Y520" s="155" t="s">
        <v>583</v>
      </c>
      <c r="Z520" t="str">
        <f t="shared" ca="1" si="225"/>
        <v/>
      </c>
      <c r="AA520" s="156">
        <f ca="1">IF($C520="S",IF($Z520="CP",$X520,IF($Z520="RA",(($X520)*QCI!$AA$3),0)),SomaAgrup)</f>
        <v>0</v>
      </c>
      <c r="AB520" s="157">
        <f t="shared" ca="1" si="226"/>
        <v>0</v>
      </c>
      <c r="AC520" s="158" t="str">
        <f t="shared" ca="1" si="227"/>
        <v/>
      </c>
      <c r="AD520" s="104" t="str">
        <f ca="1">IF(C520&lt;=CRONO.NivelExibicao,MAX($AD$15:OFFSET(AD520,-1,0))+IF($C520&lt;&gt;1,1,MAX(1,COUNTIF(QCI!$A$13:$A$24,OFFSET($E520,-1,0)))),"")</f>
        <v/>
      </c>
      <c r="AE520" s="114" t="str">
        <f t="shared" ca="1" si="228"/>
        <v>Composição CP-39</v>
      </c>
      <c r="AF520" s="159" t="str">
        <f t="shared" ca="1" si="229"/>
        <v>(abra o arquivo 'Referência 05-2024.xls)</v>
      </c>
      <c r="AG520" s="579">
        <f t="shared" ca="1" si="230"/>
        <v>0</v>
      </c>
      <c r="AH520" s="580">
        <f t="shared" ca="1" si="231"/>
        <v>0.22470000000000001</v>
      </c>
      <c r="AJ520" s="582">
        <v>228</v>
      </c>
      <c r="AL520" s="612"/>
      <c r="AM520" s="430">
        <f t="shared" ca="1" si="232"/>
        <v>0</v>
      </c>
      <c r="AN520" s="655">
        <f t="shared" ca="1" si="233"/>
        <v>0</v>
      </c>
    </row>
    <row r="521" spans="1:40" ht="13.8" x14ac:dyDescent="0.3">
      <c r="A521" t="str">
        <f t="shared" si="212"/>
        <v>S</v>
      </c>
      <c r="B521">
        <f t="shared" ca="1" si="213"/>
        <v>3</v>
      </c>
      <c r="C521" t="str">
        <f t="shared" ca="1" si="214"/>
        <v>S</v>
      </c>
      <c r="D521">
        <f t="shared" ca="1" si="215"/>
        <v>0</v>
      </c>
      <c r="E521">
        <f ca="1">IF($C521=1,OFFSET(E521,-1,0)+MAX(1,COUNTIF(QCI!$A$13:$A$24,OFFSET(ORÇAMENTO!E521,-1,0))),OFFSET(E521,-1,0))</f>
        <v>1</v>
      </c>
      <c r="F521">
        <f t="shared" ca="1" si="216"/>
        <v>17</v>
      </c>
      <c r="G521">
        <f t="shared" ca="1" si="217"/>
        <v>5</v>
      </c>
      <c r="H521">
        <f t="shared" ca="1" si="218"/>
        <v>0</v>
      </c>
      <c r="I521">
        <f t="shared" ca="1" si="219"/>
        <v>0</v>
      </c>
      <c r="J521">
        <f t="shared" ca="1" si="234"/>
        <v>0</v>
      </c>
      <c r="K521">
        <f ca="1">IF(OR($C521="S",$C521=0),0,MATCH(OFFSET($D521,0,$C521)+IF($C521&lt;&gt;1,1,COUNTIF(QCI!$A$13:$A$24,ORÇAMENTO!E521)),OFFSET($D521,1,$C521,ROW($C$710)-ROW($C521)),0))</f>
        <v>0</v>
      </c>
      <c r="L521" s="143" t="str">
        <f t="shared" ca="1" si="220"/>
        <v/>
      </c>
      <c r="M521" s="144" t="s">
        <v>201</v>
      </c>
      <c r="N521" s="145" t="str">
        <f t="shared" ca="1" si="221"/>
        <v>Serviço</v>
      </c>
      <c r="O521" s="146" t="str">
        <f t="shared" ca="1" si="222"/>
        <v>-</v>
      </c>
      <c r="P521" s="147" t="s">
        <v>441</v>
      </c>
      <c r="Q521" s="148" t="s">
        <v>601</v>
      </c>
      <c r="R521" s="149" t="str">
        <f t="shared" ca="1" si="240"/>
        <v>(abra o arquivo 'Referência 05-2024.xls)</v>
      </c>
      <c r="S521" s="150" t="str">
        <f t="shared" ca="1" si="241"/>
        <v>-</v>
      </c>
      <c r="T521" s="151">
        <f ca="1">OFFSET(CÁLCULO!H$15,ROW($T521)-ROW(T$15),0)</f>
        <v>228</v>
      </c>
      <c r="U521" s="152">
        <f t="shared" ca="1" si="235"/>
        <v>0</v>
      </c>
      <c r="V521" s="153" t="s">
        <v>158</v>
      </c>
      <c r="W521" s="151">
        <f t="shared" ca="1" si="223"/>
        <v>0</v>
      </c>
      <c r="X521" s="154">
        <f t="shared" ca="1" si="224"/>
        <v>0</v>
      </c>
      <c r="Y521" s="155" t="s">
        <v>583</v>
      </c>
      <c r="Z521" t="str">
        <f t="shared" ca="1" si="225"/>
        <v/>
      </c>
      <c r="AA521" s="156">
        <f ca="1">IF($C521="S",IF($Z521="CP",$X521,IF($Z521="RA",(($X521)*QCI!$AA$3),0)),SomaAgrup)</f>
        <v>0</v>
      </c>
      <c r="AB521" s="157">
        <f t="shared" ca="1" si="226"/>
        <v>0</v>
      </c>
      <c r="AC521" s="158" t="str">
        <f t="shared" ca="1" si="227"/>
        <v/>
      </c>
      <c r="AD521" s="104" t="str">
        <f ca="1">IF(C521&lt;=CRONO.NivelExibicao,MAX($AD$15:OFFSET(AD521,-1,0))+IF($C521&lt;&gt;1,1,MAX(1,COUNTIF(QCI!$A$13:$A$24,OFFSET($E521,-1,0)))),"")</f>
        <v/>
      </c>
      <c r="AE521" s="114" t="str">
        <f t="shared" ca="1" si="228"/>
        <v>Composição CP-39</v>
      </c>
      <c r="AF521" s="159" t="str">
        <f t="shared" ca="1" si="229"/>
        <v>(abra o arquivo 'Referência 05-2024.xls)</v>
      </c>
      <c r="AG521" s="579">
        <f t="shared" ca="1" si="230"/>
        <v>0</v>
      </c>
      <c r="AH521" s="580">
        <f t="shared" ca="1" si="231"/>
        <v>0.22470000000000001</v>
      </c>
      <c r="AJ521" s="582">
        <v>228</v>
      </c>
      <c r="AL521" s="612"/>
      <c r="AM521" s="430">
        <f t="shared" ca="1" si="232"/>
        <v>0</v>
      </c>
      <c r="AN521" s="655">
        <f t="shared" ca="1" si="233"/>
        <v>0</v>
      </c>
    </row>
    <row r="522" spans="1:40" ht="13.8" x14ac:dyDescent="0.3">
      <c r="A522" t="str">
        <f t="shared" si="212"/>
        <v>S</v>
      </c>
      <c r="B522">
        <f t="shared" ca="1" si="213"/>
        <v>3</v>
      </c>
      <c r="C522" t="str">
        <f t="shared" ca="1" si="214"/>
        <v>S</v>
      </c>
      <c r="D522">
        <f t="shared" ca="1" si="215"/>
        <v>0</v>
      </c>
      <c r="E522">
        <f ca="1">IF($C522=1,OFFSET(E522,-1,0)+MAX(1,COUNTIF(QCI!$A$13:$A$24,OFFSET(ORÇAMENTO!E522,-1,0))),OFFSET(E522,-1,0))</f>
        <v>1</v>
      </c>
      <c r="F522">
        <f t="shared" ca="1" si="216"/>
        <v>17</v>
      </c>
      <c r="G522">
        <f t="shared" ca="1" si="217"/>
        <v>5</v>
      </c>
      <c r="H522">
        <f t="shared" ca="1" si="218"/>
        <v>0</v>
      </c>
      <c r="I522">
        <f t="shared" ca="1" si="219"/>
        <v>0</v>
      </c>
      <c r="J522">
        <f t="shared" ca="1" si="234"/>
        <v>0</v>
      </c>
      <c r="K522">
        <f ca="1">IF(OR($C522="S",$C522=0),0,MATCH(OFFSET($D522,0,$C522)+IF($C522&lt;&gt;1,1,COUNTIF(QCI!$A$13:$A$24,ORÇAMENTO!E522)),OFFSET($D522,1,$C522,ROW($C$710)-ROW($C522)),0))</f>
        <v>0</v>
      </c>
      <c r="L522" s="143" t="str">
        <f t="shared" ca="1" si="220"/>
        <v/>
      </c>
      <c r="M522" s="144" t="s">
        <v>201</v>
      </c>
      <c r="N522" s="145" t="str">
        <f t="shared" ca="1" si="221"/>
        <v>Serviço</v>
      </c>
      <c r="O522" s="146" t="str">
        <f t="shared" ca="1" si="222"/>
        <v>-</v>
      </c>
      <c r="P522" s="147" t="s">
        <v>578</v>
      </c>
      <c r="Q522" s="148">
        <v>9010055</v>
      </c>
      <c r="R522" s="149" t="str">
        <f t="shared" ca="1" si="240"/>
        <v>(abra o arquivo 'Referência 05-2024.xls)</v>
      </c>
      <c r="S522" s="150" t="str">
        <f t="shared" ca="1" si="241"/>
        <v>-</v>
      </c>
      <c r="T522" s="151">
        <f ca="1">OFFSET(CÁLCULO!H$15,ROW($T522)-ROW(T$15),0)</f>
        <v>6</v>
      </c>
      <c r="U522" s="152">
        <f t="shared" ca="1" si="235"/>
        <v>0</v>
      </c>
      <c r="V522" s="153" t="s">
        <v>158</v>
      </c>
      <c r="W522" s="151">
        <f t="shared" ca="1" si="223"/>
        <v>0</v>
      </c>
      <c r="X522" s="154">
        <f t="shared" ca="1" si="224"/>
        <v>0</v>
      </c>
      <c r="Y522" s="155" t="s">
        <v>583</v>
      </c>
      <c r="Z522" t="str">
        <f t="shared" ca="1" si="225"/>
        <v/>
      </c>
      <c r="AA522" s="156">
        <f ca="1">IF($C522="S",IF($Z522="CP",$X522,IF($Z522="RA",(($X522)*QCI!$AA$3),0)),SomaAgrup)</f>
        <v>0</v>
      </c>
      <c r="AB522" s="157">
        <f t="shared" ca="1" si="226"/>
        <v>0</v>
      </c>
      <c r="AC522" s="158" t="str">
        <f t="shared" ca="1" si="227"/>
        <v/>
      </c>
      <c r="AD522" s="104" t="str">
        <f ca="1">IF(C522&lt;=CRONO.NivelExibicao,MAX($AD$15:OFFSET(AD522,-1,0))+IF($C522&lt;&gt;1,1,MAX(1,COUNTIF(QCI!$A$13:$A$24,OFFSET($E522,-1,0)))),"")</f>
        <v/>
      </c>
      <c r="AE522" s="114" t="str">
        <f t="shared" ca="1" si="228"/>
        <v>SIURB 9010055</v>
      </c>
      <c r="AF522" s="159" t="str">
        <f t="shared" ca="1" si="229"/>
        <v>(abra o arquivo 'Referência 05-2024.xls)</v>
      </c>
      <c r="AG522" s="579">
        <f t="shared" ca="1" si="230"/>
        <v>0</v>
      </c>
      <c r="AH522" s="580">
        <f t="shared" ca="1" si="231"/>
        <v>0.22470000000000001</v>
      </c>
      <c r="AJ522" s="582">
        <v>6</v>
      </c>
      <c r="AL522" s="612"/>
      <c r="AM522" s="430">
        <f t="shared" ca="1" si="232"/>
        <v>0</v>
      </c>
      <c r="AN522" s="655">
        <f t="shared" ca="1" si="233"/>
        <v>0</v>
      </c>
    </row>
    <row r="523" spans="1:40" ht="13.8" x14ac:dyDescent="0.3">
      <c r="A523">
        <f t="shared" si="212"/>
        <v>3</v>
      </c>
      <c r="B523">
        <f t="shared" ca="1" si="213"/>
        <v>3</v>
      </c>
      <c r="C523">
        <f t="shared" ca="1" si="214"/>
        <v>3</v>
      </c>
      <c r="D523">
        <f t="shared" ca="1" si="215"/>
        <v>5</v>
      </c>
      <c r="E523">
        <f ca="1">IF($C523=1,OFFSET(E523,-1,0)+MAX(1,COUNTIF(QCI!$A$13:$A$24,OFFSET(ORÇAMENTO!E523,-1,0))),OFFSET(E523,-1,0))</f>
        <v>1</v>
      </c>
      <c r="F523">
        <f t="shared" ca="1" si="216"/>
        <v>17</v>
      </c>
      <c r="G523">
        <f t="shared" ca="1" si="217"/>
        <v>6</v>
      </c>
      <c r="H523">
        <f t="shared" ca="1" si="218"/>
        <v>0</v>
      </c>
      <c r="I523">
        <f t="shared" ca="1" si="219"/>
        <v>0</v>
      </c>
      <c r="J523">
        <f t="shared" ca="1" si="234"/>
        <v>5</v>
      </c>
      <c r="K523" t="e">
        <f ca="1">IF(OR($C523="S",$C523=0),0,MATCH(OFFSET($D523,0,$C523)+IF($C523&lt;&gt;1,1,COUNTIF(QCI!$A$13:$A$24,ORÇAMENTO!E523)),OFFSET($D523,1,$C523,ROW($C$710)-ROW($C523)),0))</f>
        <v>#N/A</v>
      </c>
      <c r="L523" s="143" t="str">
        <f t="shared" ca="1" si="220"/>
        <v>F</v>
      </c>
      <c r="M523" s="144" t="s">
        <v>199</v>
      </c>
      <c r="N523" s="145" t="str">
        <f t="shared" ca="1" si="221"/>
        <v>Nível 3</v>
      </c>
      <c r="O523" s="146" t="str">
        <f t="shared" ca="1" si="222"/>
        <v>1.17.6.</v>
      </c>
      <c r="P523" s="147" t="s">
        <v>249</v>
      </c>
      <c r="Q523" s="148"/>
      <c r="R523" s="149" t="s">
        <v>545</v>
      </c>
      <c r="S523" s="150" t="s">
        <v>168</v>
      </c>
      <c r="T523" s="151">
        <f ca="1">OFFSET(CÁLCULO!H$15,ROW($T523)-ROW(T$15),0)</f>
        <v>0</v>
      </c>
      <c r="U523" s="152"/>
      <c r="V523" s="153" t="s">
        <v>158</v>
      </c>
      <c r="W523" s="151">
        <f t="shared" ca="1" si="223"/>
        <v>0</v>
      </c>
      <c r="X523" s="154">
        <f t="shared" ca="1" si="224"/>
        <v>0</v>
      </c>
      <c r="Y523" s="155" t="s">
        <v>583</v>
      </c>
      <c r="Z523" t="str">
        <f t="shared" ca="1" si="225"/>
        <v/>
      </c>
      <c r="AA523" s="156">
        <f ca="1">IF($C523="S",IF($Z523="CP",$X523,IF($Z523="RA",(($X523)*QCI!$AA$3),0)),SomaAgrup)</f>
        <v>0</v>
      </c>
      <c r="AB523" s="157">
        <f t="shared" ca="1" si="226"/>
        <v>0</v>
      </c>
      <c r="AC523" s="158" t="str">
        <f t="shared" ca="1" si="227"/>
        <v/>
      </c>
      <c r="AD523" s="104" t="str">
        <f ca="1">IF(C523&lt;=CRONO.NivelExibicao,MAX($AD$15:OFFSET(AD523,-1,0))+IF($C523&lt;&gt;1,1,MAX(1,COUNTIF(QCI!$A$13:$A$24,OFFSET($E523,-1,0)))),"")</f>
        <v/>
      </c>
      <c r="AE523" s="114" t="b">
        <f t="shared" ca="1" si="228"/>
        <v>0</v>
      </c>
      <c r="AF523" s="159" t="str">
        <f t="shared" ca="1" si="229"/>
        <v>(abra o arquivo 'Referência 05-2024.xls)</v>
      </c>
      <c r="AG523" s="579">
        <f t="shared" ca="1" si="230"/>
        <v>0</v>
      </c>
      <c r="AH523" s="580">
        <f t="shared" ca="1" si="231"/>
        <v>0.22470000000000001</v>
      </c>
      <c r="AJ523" s="582"/>
      <c r="AL523" s="612"/>
      <c r="AM523" s="430">
        <f t="shared" ca="1" si="232"/>
        <v>0</v>
      </c>
      <c r="AN523" s="655">
        <f t="shared" ca="1" si="233"/>
        <v>0</v>
      </c>
    </row>
    <row r="524" spans="1:40" ht="13.8" x14ac:dyDescent="0.3">
      <c r="A524" t="str">
        <f t="shared" si="212"/>
        <v>S</v>
      </c>
      <c r="B524">
        <f t="shared" ca="1" si="213"/>
        <v>3</v>
      </c>
      <c r="C524" t="str">
        <f t="shared" ca="1" si="214"/>
        <v>S</v>
      </c>
      <c r="D524">
        <f t="shared" ca="1" si="215"/>
        <v>0</v>
      </c>
      <c r="E524">
        <f ca="1">IF($C524=1,OFFSET(E524,-1,0)+MAX(1,COUNTIF(QCI!$A$13:$A$24,OFFSET(ORÇAMENTO!E524,-1,0))),OFFSET(E524,-1,0))</f>
        <v>1</v>
      </c>
      <c r="F524">
        <f t="shared" ca="1" si="216"/>
        <v>17</v>
      </c>
      <c r="G524">
        <f t="shared" ca="1" si="217"/>
        <v>6</v>
      </c>
      <c r="H524">
        <f t="shared" ca="1" si="218"/>
        <v>0</v>
      </c>
      <c r="I524">
        <f t="shared" ca="1" si="219"/>
        <v>0</v>
      </c>
      <c r="J524">
        <f t="shared" ca="1" si="234"/>
        <v>0</v>
      </c>
      <c r="K524">
        <f ca="1">IF(OR($C524="S",$C524=0),0,MATCH(OFFSET($D524,0,$C524)+IF($C524&lt;&gt;1,1,COUNTIF(QCI!$A$13:$A$24,ORÇAMENTO!E524)),OFFSET($D524,1,$C524,ROW($C$710)-ROW($C524)),0))</f>
        <v>0</v>
      </c>
      <c r="L524" s="143" t="str">
        <f t="shared" ca="1" si="220"/>
        <v/>
      </c>
      <c r="M524" s="144" t="s">
        <v>201</v>
      </c>
      <c r="N524" s="145" t="str">
        <f t="shared" ca="1" si="221"/>
        <v>Serviço</v>
      </c>
      <c r="O524" s="146" t="str">
        <f t="shared" ca="1" si="222"/>
        <v>-</v>
      </c>
      <c r="P524" s="147" t="s">
        <v>249</v>
      </c>
      <c r="Q524" s="148">
        <v>97599</v>
      </c>
      <c r="R524" s="149" t="str">
        <f ca="1">IF($C524="S",REFERENCIA.Descricao,"(digite a descrição aqui)")</f>
        <v>(abra o arquivo 'Referência 05-2024.xls)</v>
      </c>
      <c r="S524" s="150" t="str">
        <f ca="1">REFERENCIA.Unidade</f>
        <v>-</v>
      </c>
      <c r="T524" s="151">
        <f ca="1">OFFSET(CÁLCULO!H$15,ROW($T524)-ROW(T$15),0)</f>
        <v>69</v>
      </c>
      <c r="U524" s="152">
        <f t="shared" ca="1" si="235"/>
        <v>0</v>
      </c>
      <c r="V524" s="153" t="s">
        <v>193</v>
      </c>
      <c r="W524" s="151">
        <f t="shared" ca="1" si="223"/>
        <v>0</v>
      </c>
      <c r="X524" s="154">
        <f t="shared" ca="1" si="224"/>
        <v>0</v>
      </c>
      <c r="Y524" s="155" t="s">
        <v>583</v>
      </c>
      <c r="Z524" t="str">
        <f t="shared" ca="1" si="225"/>
        <v/>
      </c>
      <c r="AA524" s="156">
        <f ca="1">IF($C524="S",IF($Z524="CP",$X524,IF($Z524="RA",(($X524)*QCI!$AA$3),0)),SomaAgrup)</f>
        <v>0</v>
      </c>
      <c r="AB524" s="157">
        <f t="shared" ca="1" si="226"/>
        <v>0</v>
      </c>
      <c r="AC524" s="158" t="str">
        <f t="shared" ca="1" si="227"/>
        <v/>
      </c>
      <c r="AD524" s="104" t="str">
        <f ca="1">IF(C524&lt;=CRONO.NivelExibicao,MAX($AD$15:OFFSET(AD524,-1,0))+IF($C524&lt;&gt;1,1,MAX(1,COUNTIF(QCI!$A$13:$A$24,OFFSET($E524,-1,0)))),"")</f>
        <v/>
      </c>
      <c r="AE524" s="114" t="str">
        <f t="shared" ca="1" si="228"/>
        <v>SINAPI 97599</v>
      </c>
      <c r="AF524" s="159" t="str">
        <f t="shared" ca="1" si="229"/>
        <v>(abra o arquivo 'Referência 05-2024.xls)</v>
      </c>
      <c r="AG524" s="579">
        <f t="shared" ca="1" si="230"/>
        <v>0</v>
      </c>
      <c r="AH524" s="580">
        <f t="shared" ca="1" si="231"/>
        <v>0.16800000000000001</v>
      </c>
      <c r="AJ524" s="582">
        <v>69</v>
      </c>
      <c r="AL524" s="612"/>
      <c r="AM524" s="430">
        <f t="shared" ca="1" si="232"/>
        <v>0</v>
      </c>
      <c r="AN524" s="655">
        <f t="shared" ca="1" si="233"/>
        <v>0</v>
      </c>
    </row>
    <row r="525" spans="1:40" ht="13.8" x14ac:dyDescent="0.3">
      <c r="A525" t="str">
        <f t="shared" si="212"/>
        <v>S</v>
      </c>
      <c r="B525">
        <f t="shared" ca="1" si="213"/>
        <v>3</v>
      </c>
      <c r="C525" t="str">
        <f t="shared" ca="1" si="214"/>
        <v>S</v>
      </c>
      <c r="D525">
        <f t="shared" ca="1" si="215"/>
        <v>0</v>
      </c>
      <c r="E525">
        <f ca="1">IF($C525=1,OFFSET(E525,-1,0)+MAX(1,COUNTIF(QCI!$A$13:$A$24,OFFSET(ORÇAMENTO!E525,-1,0))),OFFSET(E525,-1,0))</f>
        <v>1</v>
      </c>
      <c r="F525">
        <f t="shared" ca="1" si="216"/>
        <v>17</v>
      </c>
      <c r="G525">
        <f t="shared" ca="1" si="217"/>
        <v>6</v>
      </c>
      <c r="H525">
        <f t="shared" ca="1" si="218"/>
        <v>0</v>
      </c>
      <c r="I525">
        <f t="shared" ca="1" si="219"/>
        <v>0</v>
      </c>
      <c r="J525">
        <f t="shared" ca="1" si="234"/>
        <v>0</v>
      </c>
      <c r="K525">
        <f ca="1">IF(OR($C525="S",$C525=0),0,MATCH(OFFSET($D525,0,$C525)+IF($C525&lt;&gt;1,1,COUNTIF(QCI!$A$13:$A$24,ORÇAMENTO!E525)),OFFSET($D525,1,$C525,ROW($C$710)-ROW($C525)),0))</f>
        <v>0</v>
      </c>
      <c r="L525" s="143" t="str">
        <f t="shared" ca="1" si="220"/>
        <v/>
      </c>
      <c r="M525" s="144" t="s">
        <v>201</v>
      </c>
      <c r="N525" s="145" t="str">
        <f t="shared" ca="1" si="221"/>
        <v>Serviço</v>
      </c>
      <c r="O525" s="146" t="str">
        <f t="shared" ca="1" si="222"/>
        <v>-</v>
      </c>
      <c r="P525" s="147" t="s">
        <v>249</v>
      </c>
      <c r="Q525" s="148">
        <v>102494</v>
      </c>
      <c r="R525" s="149" t="str">
        <f ca="1">IF($C525="S",REFERENCIA.Descricao,"(digite a descrição aqui)")</f>
        <v>(abra o arquivo 'Referência 05-2024.xls)</v>
      </c>
      <c r="S525" s="150" t="str">
        <f ca="1">REFERENCIA.Unidade</f>
        <v>-</v>
      </c>
      <c r="T525" s="151">
        <f ca="1">OFFSET(CÁLCULO!H$15,ROW($T525)-ROW(T$15),0)</f>
        <v>27</v>
      </c>
      <c r="U525" s="152">
        <f t="shared" ca="1" si="235"/>
        <v>0</v>
      </c>
      <c r="V525" s="153" t="s">
        <v>158</v>
      </c>
      <c r="W525" s="151">
        <f t="shared" ca="1" si="223"/>
        <v>0</v>
      </c>
      <c r="X525" s="154">
        <f t="shared" ca="1" si="224"/>
        <v>0</v>
      </c>
      <c r="Y525" s="155" t="s">
        <v>583</v>
      </c>
      <c r="Z525" t="str">
        <f t="shared" ca="1" si="225"/>
        <v/>
      </c>
      <c r="AA525" s="156">
        <f ca="1">IF($C525="S",IF($Z525="CP",$X525,IF($Z525="RA",(($X525)*QCI!$AA$3),0)),SomaAgrup)</f>
        <v>0</v>
      </c>
      <c r="AB525" s="157">
        <f t="shared" ca="1" si="226"/>
        <v>0</v>
      </c>
      <c r="AC525" s="158" t="str">
        <f t="shared" ca="1" si="227"/>
        <v/>
      </c>
      <c r="AD525" s="104" t="str">
        <f ca="1">IF(C525&lt;=CRONO.NivelExibicao,MAX($AD$15:OFFSET(AD525,-1,0))+IF($C525&lt;&gt;1,1,MAX(1,COUNTIF(QCI!$A$13:$A$24,OFFSET($E525,-1,0)))),"")</f>
        <v/>
      </c>
      <c r="AE525" s="114" t="str">
        <f t="shared" ca="1" si="228"/>
        <v>SINAPI 102494</v>
      </c>
      <c r="AF525" s="159" t="str">
        <f t="shared" ca="1" si="229"/>
        <v>(abra o arquivo 'Referência 05-2024.xls)</v>
      </c>
      <c r="AG525" s="579">
        <f t="shared" ca="1" si="230"/>
        <v>0</v>
      </c>
      <c r="AH525" s="580">
        <f t="shared" ca="1" si="231"/>
        <v>0.22470000000000001</v>
      </c>
      <c r="AJ525" s="582">
        <v>27</v>
      </c>
      <c r="AL525" s="612"/>
      <c r="AM525" s="430">
        <f t="shared" ca="1" si="232"/>
        <v>0</v>
      </c>
      <c r="AN525" s="655">
        <f t="shared" ca="1" si="233"/>
        <v>0</v>
      </c>
    </row>
    <row r="526" spans="1:40" ht="13.8" x14ac:dyDescent="0.3">
      <c r="A526" t="str">
        <f t="shared" ref="A526:A589" si="242">CHOOSE(1+LOG(1+2*(ORÇAMENTO.Nivel="Meta")+4*(ORÇAMENTO.Nivel="Nível 2")+8*(ORÇAMENTO.Nivel="Nível 3")+16*(ORÇAMENTO.Nivel="Nível 4")+32*(ORÇAMENTO.Nivel="Serviço"),2),0,1,2,3,4,"S")</f>
        <v>S</v>
      </c>
      <c r="B526">
        <f t="shared" ref="B526:B589" ca="1" si="243">IF(OR(C526="s",C526=0),OFFSET(B526,-1,0),C526)</f>
        <v>3</v>
      </c>
      <c r="C526" t="str">
        <f t="shared" ref="C526:C589" ca="1" si="244">IF(OFFSET(C526,-1,0)="L",1,IF(OFFSET(C526,-1,0)=1,2,IF(OR(A526="s",A526=0),"S",IF(AND(OFFSET(C526,-1,0)=2,A526=4),3,IF(AND(OR(OFFSET(C526,-1,0)="s",OFFSET(C526,-1,0)=0),A526&lt;&gt;"s",A526&gt;OFFSET(B526,-1,0)),OFFSET(B526,-1,0),A526)))))</f>
        <v>S</v>
      </c>
      <c r="D526">
        <f t="shared" ref="D526:D589" ca="1" si="245">IF(OR(C526="S",C526=0),0,IF(ISERROR(K526),J526,SMALL(J526:K526,1)))</f>
        <v>0</v>
      </c>
      <c r="E526">
        <f ca="1">IF($C526=1,OFFSET(E526,-1,0)+MAX(1,COUNTIF(QCI!$A$13:$A$24,OFFSET(ORÇAMENTO!E526,-1,0))),OFFSET(E526,-1,0))</f>
        <v>1</v>
      </c>
      <c r="F526">
        <f t="shared" ref="F526:F589" ca="1" si="246">IF($C526=1,0,IF($C526=2,OFFSET(F526,-1,0)+1,OFFSET(F526,-1,0)))</f>
        <v>17</v>
      </c>
      <c r="G526">
        <f t="shared" ref="G526:G589" ca="1" si="247">IF(AND($C526&lt;=2,$C526&lt;&gt;0),0,IF($C526=3,OFFSET(G526,-1,0)+1,OFFSET(G526,-1,0)))</f>
        <v>6</v>
      </c>
      <c r="H526">
        <f t="shared" ref="H526:H589" ca="1" si="248">IF(AND($C526&lt;=3,$C526&lt;&gt;0),0,IF($C526=4,OFFSET(H526,-1,0)+1,OFFSET(H526,-1,0)))</f>
        <v>0</v>
      </c>
      <c r="I526">
        <f t="shared" ref="I526:I589" ca="1" si="249">IF(AND($C526&lt;=4,$C526&lt;&gt;0),0,IF(AND($C526="S",$X526&gt;0),OFFSET(I526,-1,0)+1,OFFSET(I526,-1,0)))</f>
        <v>0</v>
      </c>
      <c r="J526">
        <f t="shared" ca="1" si="234"/>
        <v>0</v>
      </c>
      <c r="K526">
        <f ca="1">IF(OR($C526="S",$C526=0),0,MATCH(OFFSET($D526,0,$C526)+IF($C526&lt;&gt;1,1,COUNTIF(QCI!$A$13:$A$24,ORÇAMENTO!E526)),OFFSET($D526,1,$C526,ROW($C$710)-ROW($C526)),0))</f>
        <v>0</v>
      </c>
      <c r="L526" s="143" t="str">
        <f t="shared" ref="L526:L589" ca="1" si="250">IF(OR($X526&gt;0,$C526=1,$C526=2,$C526=3,$C526=4),"F","")</f>
        <v/>
      </c>
      <c r="M526" s="144" t="s">
        <v>201</v>
      </c>
      <c r="N526" s="145" t="str">
        <f t="shared" ref="N526:N589" ca="1" si="251">CHOOSE(1+LOG(1+2*(C526=1)+4*(C526=2)+8*(C526=3)+16*(C526=4)+32*(C526="S"),2),"","Meta","Nível 2","Nível 3","Nível 4","Serviço")</f>
        <v>Serviço</v>
      </c>
      <c r="O526" s="146" t="str">
        <f t="shared" ref="O526:O589" ca="1" si="252">IF(OR($C526=0,$L526=""),"-",CONCATENATE(E526&amp;".",IF(AND($A$5&gt;=2,$C526&gt;=2),F526&amp;".",""),IF(AND($A$5&gt;=3,$C526&gt;=3),G526&amp;".",""),IF(AND($A$5&gt;=4,$C526&gt;=4),H526&amp;".",""),IF($C526="S",I526&amp;".","")))</f>
        <v>-</v>
      </c>
      <c r="P526" s="147" t="s">
        <v>249</v>
      </c>
      <c r="Q526" s="148">
        <v>102118</v>
      </c>
      <c r="R526" s="149" t="str">
        <f ca="1">IF($C526="S",REFERENCIA.Descricao,"(digite a descrição aqui)")</f>
        <v>(abra o arquivo 'Referência 05-2024.xls)</v>
      </c>
      <c r="S526" s="150" t="str">
        <f ca="1">REFERENCIA.Unidade</f>
        <v>-</v>
      </c>
      <c r="T526" s="151">
        <f ca="1">OFFSET(CÁLCULO!H$15,ROW($T526)-ROW(T$15),0)</f>
        <v>2</v>
      </c>
      <c r="U526" s="152">
        <f t="shared" ca="1" si="235"/>
        <v>0</v>
      </c>
      <c r="V526" s="153" t="s">
        <v>193</v>
      </c>
      <c r="W526" s="151">
        <f t="shared" ref="W526:W589" ca="1" si="253">IF($C526="S",ROUND(IF(TIPOORCAMENTO="Proposto",ORÇAMENTO.CustoUnitario*(1+$AH526),ORÇAMENTO.PrecoUnitarioLicitado),15-13*$AF$10),0)</f>
        <v>0</v>
      </c>
      <c r="X526" s="154">
        <f t="shared" ref="X526:X589" ca="1" si="254">IF($C526="S",VTOTAL1,IF($C526=0,0,ROUND(SomaAgrup,15-13*$AF$11)))</f>
        <v>0</v>
      </c>
      <c r="Y526" s="155" t="s">
        <v>583</v>
      </c>
      <c r="Z526" t="str">
        <f t="shared" ref="Z526:Z589" ca="1" si="255">IF(AND($C526="S",$X526&gt;0),IF(ISBLANK($Y526),"RA",LEFT($Y526,2)),"")</f>
        <v/>
      </c>
      <c r="AA526" s="156">
        <f ca="1">IF($C526="S",IF($Z526="CP",$X526,IF($Z526="RA",(($X526)*QCI!$AA$3),0)),SomaAgrup)</f>
        <v>0</v>
      </c>
      <c r="AB526" s="157">
        <f t="shared" ref="AB526:AB589" ca="1" si="256">IF($C526="S",IF($Z526="OU",ROUND($X526,2),0),SomaAgrup)</f>
        <v>0</v>
      </c>
      <c r="AC526" s="158" t="str">
        <f t="shared" ref="AC526:AC589" ca="1" si="257">IF($N526="","",IF(ORÇAMENTO.Descricao="","DESCRIÇÃO",IF(AND($C526="S",ORÇAMENTO.Unidade=""),"UNIDADE",IF($X526&lt;0,"VALOR NEGATIVO",IF(OR(AND(TIPOORCAMENTO="Proposto",$AG526&lt;&gt;"",$AG526&gt;0,ORÇAMENTO.CustoUnitario&gt;$AG526),AND(TIPOORCAMENTO="LICITADO",ORÇAMENTO.PrecoUnitarioLicitado&gt;$AN526)),"ACIMA REF.","")))))</f>
        <v/>
      </c>
      <c r="AD526" s="104" t="str">
        <f ca="1">IF(C526&lt;=CRONO.NivelExibicao,MAX($AD$15:OFFSET(AD526,-1,0))+IF($C526&lt;&gt;1,1,MAX(1,COUNTIF(QCI!$A$13:$A$24,OFFSET($E526,-1,0)))),"")</f>
        <v/>
      </c>
      <c r="AE526" s="114" t="str">
        <f t="shared" ref="AE526:AE589" ca="1" si="258">IF(AND($C526="S",ORÇAMENTO.CodBarra&lt;&gt;""),IF(ORÇAMENTO.Fonte="",ORÇAMENTO.CodBarra,CONCATENATE(ORÇAMENTO.Fonte," ",ORÇAMENTO.CodBarra)))</f>
        <v>SINAPI 102118</v>
      </c>
      <c r="AF526" s="159" t="str">
        <f t="shared" ref="AF526:AF589" ca="1" si="259">IF(ISERROR(INDIRECT(ORÇAMENTO.BancoRef)),"(abra o arquivo 'Referência "&amp;Excel_BuiltIn_Database&amp;".xls)",IF(OR($C526&lt;&gt;"S",ORÇAMENTO.CodBarra=""),"(Sem Código)",IF(ISERROR(MATCH($AE526,INDIRECT(ORÇAMENTO.BancoRef),0)),"(Código não identificado nas referências)",MATCH($AE526,INDIRECT(ORÇAMENTO.BancoRef),0))))</f>
        <v>(abra o arquivo 'Referência 05-2024.xls)</v>
      </c>
      <c r="AG526" s="579">
        <f t="shared" ref="AG526:AG589" ca="1" si="260">ROUND(IF(DESONERACAO="sim",REFERENCIA.Desonerado,REFERENCIA.NaoDesonerado),2)</f>
        <v>0</v>
      </c>
      <c r="AH526" s="580">
        <f t="shared" ref="AH526:AH589" ca="1" si="261">ROUND(IF(ISNUMBER(ORÇAMENTO.OpcaoBDI),ORÇAMENTO.OpcaoBDI,IF(LEFT(ORÇAMENTO.OpcaoBDI,3)="BDI",HLOOKUP(ORÇAMENTO.OpcaoBDI,$F$4:$H$5,2,FALSE),0)),15-11*$AF$9)</f>
        <v>0.16800000000000001</v>
      </c>
      <c r="AJ526" s="582">
        <v>2</v>
      </c>
      <c r="AL526" s="612"/>
      <c r="AM526" s="430">
        <f t="shared" ref="AM526:AM589" ca="1" si="262">$X526</f>
        <v>0</v>
      </c>
      <c r="AN526" s="655">
        <f t="shared" ref="AN526:AN589" ca="1" si="263">ROUND(ORÇAMENTO.CustoUnitario*(1+$AH526),2)</f>
        <v>0</v>
      </c>
    </row>
    <row r="527" spans="1:40" ht="13.8" x14ac:dyDescent="0.3">
      <c r="A527" t="str">
        <f t="shared" si="242"/>
        <v>S</v>
      </c>
      <c r="B527">
        <f t="shared" ca="1" si="243"/>
        <v>3</v>
      </c>
      <c r="C527" t="str">
        <f t="shared" ca="1" si="244"/>
        <v>S</v>
      </c>
      <c r="D527">
        <f t="shared" ca="1" si="245"/>
        <v>0</v>
      </c>
      <c r="E527">
        <f ca="1">IF($C527=1,OFFSET(E527,-1,0)+MAX(1,COUNTIF(QCI!$A$13:$A$24,OFFSET(ORÇAMENTO!E527,-1,0))),OFFSET(E527,-1,0))</f>
        <v>1</v>
      </c>
      <c r="F527">
        <f t="shared" ca="1" si="246"/>
        <v>17</v>
      </c>
      <c r="G527">
        <f t="shared" ca="1" si="247"/>
        <v>6</v>
      </c>
      <c r="H527">
        <f t="shared" ca="1" si="248"/>
        <v>0</v>
      </c>
      <c r="I527">
        <f t="shared" ca="1" si="249"/>
        <v>0</v>
      </c>
      <c r="J527">
        <f t="shared" ca="1" si="234"/>
        <v>0</v>
      </c>
      <c r="K527">
        <f ca="1">IF(OR($C527="S",$C527=0),0,MATCH(OFFSET($D527,0,$C527)+IF($C527&lt;&gt;1,1,COUNTIF(QCI!$A$13:$A$24,ORÇAMENTO!E527)),OFFSET($D527,1,$C527,ROW($C$710)-ROW($C527)),0))</f>
        <v>0</v>
      </c>
      <c r="L527" s="143" t="str">
        <f t="shared" ca="1" si="250"/>
        <v/>
      </c>
      <c r="M527" s="144" t="s">
        <v>201</v>
      </c>
      <c r="N527" s="145" t="str">
        <f t="shared" ca="1" si="251"/>
        <v>Serviço</v>
      </c>
      <c r="O527" s="146" t="str">
        <f t="shared" ca="1" si="252"/>
        <v>-</v>
      </c>
      <c r="P527" s="147" t="s">
        <v>441</v>
      </c>
      <c r="Q527" s="148" t="s">
        <v>627</v>
      </c>
      <c r="R527" s="149" t="str">
        <f ca="1">IF($C527="S",REFERENCIA.Descricao,"(digite a descrição aqui)")</f>
        <v>(abra o arquivo 'Referência 05-2024.xls)</v>
      </c>
      <c r="S527" s="150" t="str">
        <f ca="1">REFERENCIA.Unidade</f>
        <v>-</v>
      </c>
      <c r="T527" s="151">
        <f ca="1">OFFSET(CÁLCULO!H$15,ROW($T527)-ROW(T$15),0)</f>
        <v>110</v>
      </c>
      <c r="U527" s="152">
        <f t="shared" ca="1" si="235"/>
        <v>0</v>
      </c>
      <c r="V527" s="153" t="s">
        <v>193</v>
      </c>
      <c r="W527" s="151">
        <f t="shared" ca="1" si="253"/>
        <v>0</v>
      </c>
      <c r="X527" s="154">
        <f t="shared" ca="1" si="254"/>
        <v>0</v>
      </c>
      <c r="Y527" s="155" t="s">
        <v>583</v>
      </c>
      <c r="Z527" t="str">
        <f t="shared" ca="1" si="255"/>
        <v/>
      </c>
      <c r="AA527" s="156">
        <f ca="1">IF($C527="S",IF($Z527="CP",$X527,IF($Z527="RA",(($X527)*QCI!$AA$3),0)),SomaAgrup)</f>
        <v>0</v>
      </c>
      <c r="AB527" s="157">
        <f t="shared" ca="1" si="256"/>
        <v>0</v>
      </c>
      <c r="AC527" s="158" t="str">
        <f t="shared" ca="1" si="257"/>
        <v/>
      </c>
      <c r="AD527" s="104" t="str">
        <f ca="1">IF(C527&lt;=CRONO.NivelExibicao,MAX($AD$15:OFFSET(AD527,-1,0))+IF($C527&lt;&gt;1,1,MAX(1,COUNTIF(QCI!$A$13:$A$24,OFFSET($E527,-1,0)))),"")</f>
        <v/>
      </c>
      <c r="AE527" s="114" t="str">
        <f t="shared" ca="1" si="258"/>
        <v>Composição CP-63</v>
      </c>
      <c r="AF527" s="159" t="str">
        <f t="shared" ca="1" si="259"/>
        <v>(abra o arquivo 'Referência 05-2024.xls)</v>
      </c>
      <c r="AG527" s="579">
        <f t="shared" ca="1" si="260"/>
        <v>0</v>
      </c>
      <c r="AH527" s="580">
        <f t="shared" ca="1" si="261"/>
        <v>0.16800000000000001</v>
      </c>
      <c r="AJ527" s="582">
        <v>110</v>
      </c>
      <c r="AL527" s="612"/>
      <c r="AM527" s="430">
        <f t="shared" ca="1" si="262"/>
        <v>0</v>
      </c>
      <c r="AN527" s="655">
        <f t="shared" ca="1" si="263"/>
        <v>0</v>
      </c>
    </row>
    <row r="528" spans="1:40" ht="13.8" x14ac:dyDescent="0.3">
      <c r="A528">
        <f t="shared" si="242"/>
        <v>2</v>
      </c>
      <c r="B528">
        <f t="shared" ca="1" si="243"/>
        <v>2</v>
      </c>
      <c r="C528">
        <f t="shared" ca="1" si="244"/>
        <v>2</v>
      </c>
      <c r="D528">
        <f t="shared" ca="1" si="245"/>
        <v>90</v>
      </c>
      <c r="E528">
        <f ca="1">IF($C528=1,OFFSET(E528,-1,0)+MAX(1,COUNTIF(QCI!$A$13:$A$24,OFFSET(ORÇAMENTO!E528,-1,0))),OFFSET(E528,-1,0))</f>
        <v>1</v>
      </c>
      <c r="F528">
        <f t="shared" ca="1" si="246"/>
        <v>18</v>
      </c>
      <c r="G528">
        <f t="shared" ca="1" si="247"/>
        <v>0</v>
      </c>
      <c r="H528">
        <f t="shared" ca="1" si="248"/>
        <v>0</v>
      </c>
      <c r="I528">
        <f t="shared" ca="1" si="249"/>
        <v>0</v>
      </c>
      <c r="J528">
        <f t="shared" ref="J528:J591" ca="1" si="264">IF(OR($C528="S",$C528=0),0,MATCH(0,OFFSET($D528,1,$C528,ROW($C$710)-ROW($C528)),0))</f>
        <v>174</v>
      </c>
      <c r="K528">
        <f ca="1">IF(OR($C528="S",$C528=0),0,MATCH(OFFSET($D528,0,$C528)+IF($C528&lt;&gt;1,1,COUNTIF(QCI!$A$13:$A$24,ORÇAMENTO!E528)),OFFSET($D528,1,$C528,ROW($C$710)-ROW($C528)),0))</f>
        <v>90</v>
      </c>
      <c r="L528" s="143" t="str">
        <f t="shared" ca="1" si="250"/>
        <v>F</v>
      </c>
      <c r="M528" s="144" t="s">
        <v>198</v>
      </c>
      <c r="N528" s="145" t="str">
        <f t="shared" ca="1" si="251"/>
        <v>Nível 2</v>
      </c>
      <c r="O528" s="146" t="str">
        <f t="shared" ca="1" si="252"/>
        <v>1.18.</v>
      </c>
      <c r="P528" s="147" t="s">
        <v>249</v>
      </c>
      <c r="Q528" s="148"/>
      <c r="R528" s="149" t="s">
        <v>546</v>
      </c>
      <c r="S528" s="150" t="s">
        <v>168</v>
      </c>
      <c r="T528" s="151">
        <f ca="1">OFFSET(CÁLCULO!H$15,ROW($T528)-ROW(T$15),0)</f>
        <v>0</v>
      </c>
      <c r="U528" s="152"/>
      <c r="V528" s="153" t="s">
        <v>158</v>
      </c>
      <c r="W528" s="151">
        <f t="shared" ca="1" si="253"/>
        <v>0</v>
      </c>
      <c r="X528" s="154">
        <f t="shared" ca="1" si="254"/>
        <v>0</v>
      </c>
      <c r="Y528" s="155" t="s">
        <v>583</v>
      </c>
      <c r="Z528" t="str">
        <f t="shared" ca="1" si="255"/>
        <v/>
      </c>
      <c r="AA528" s="156">
        <f ca="1">IF($C528="S",IF($Z528="CP",$X528,IF($Z528="RA",(($X528)*QCI!$AA$3),0)),SomaAgrup)</f>
        <v>0</v>
      </c>
      <c r="AB528" s="157">
        <f t="shared" ca="1" si="256"/>
        <v>0</v>
      </c>
      <c r="AC528" s="158" t="str">
        <f t="shared" ca="1" si="257"/>
        <v/>
      </c>
      <c r="AD528" s="104">
        <f ca="1">IF(C528&lt;=CRONO.NivelExibicao,MAX($AD$15:OFFSET(AD528,-1,0))+IF($C528&lt;&gt;1,1,MAX(1,COUNTIF(QCI!$A$13:$A$24,OFFSET($E528,-1,0)))),"")</f>
        <v>19</v>
      </c>
      <c r="AE528" s="114" t="b">
        <f t="shared" ca="1" si="258"/>
        <v>0</v>
      </c>
      <c r="AF528" s="159" t="str">
        <f t="shared" ca="1" si="259"/>
        <v>(abra o arquivo 'Referência 05-2024.xls)</v>
      </c>
      <c r="AG528" s="579">
        <f t="shared" ca="1" si="260"/>
        <v>0</v>
      </c>
      <c r="AH528" s="580">
        <f t="shared" ca="1" si="261"/>
        <v>0.22470000000000001</v>
      </c>
      <c r="AJ528" s="582"/>
      <c r="AL528" s="612"/>
      <c r="AM528" s="430">
        <f t="shared" ca="1" si="262"/>
        <v>0</v>
      </c>
      <c r="AN528" s="655">
        <f t="shared" ca="1" si="263"/>
        <v>0</v>
      </c>
    </row>
    <row r="529" spans="1:40" ht="13.8" x14ac:dyDescent="0.3">
      <c r="A529">
        <f t="shared" si="242"/>
        <v>3</v>
      </c>
      <c r="B529">
        <f t="shared" ca="1" si="243"/>
        <v>3</v>
      </c>
      <c r="C529">
        <f t="shared" ca="1" si="244"/>
        <v>3</v>
      </c>
      <c r="D529">
        <f t="shared" ca="1" si="245"/>
        <v>6</v>
      </c>
      <c r="E529">
        <f ca="1">IF($C529=1,OFFSET(E529,-1,0)+MAX(1,COUNTIF(QCI!$A$13:$A$24,OFFSET(ORÇAMENTO!E529,-1,0))),OFFSET(E529,-1,0))</f>
        <v>1</v>
      </c>
      <c r="F529">
        <f t="shared" ca="1" si="246"/>
        <v>18</v>
      </c>
      <c r="G529">
        <f t="shared" ca="1" si="247"/>
        <v>1</v>
      </c>
      <c r="H529">
        <f t="shared" ca="1" si="248"/>
        <v>0</v>
      </c>
      <c r="I529">
        <f t="shared" ca="1" si="249"/>
        <v>0</v>
      </c>
      <c r="J529">
        <f t="shared" ca="1" si="264"/>
        <v>89</v>
      </c>
      <c r="K529">
        <f ca="1">IF(OR($C529="S",$C529=0),0,MATCH(OFFSET($D529,0,$C529)+IF($C529&lt;&gt;1,1,COUNTIF(QCI!$A$13:$A$24,ORÇAMENTO!E529)),OFFSET($D529,1,$C529,ROW($C$710)-ROW($C529)),0))</f>
        <v>6</v>
      </c>
      <c r="L529" s="143" t="str">
        <f t="shared" ca="1" si="250"/>
        <v>F</v>
      </c>
      <c r="M529" s="144" t="s">
        <v>199</v>
      </c>
      <c r="N529" s="145" t="str">
        <f t="shared" ca="1" si="251"/>
        <v>Nível 3</v>
      </c>
      <c r="O529" s="146" t="str">
        <f t="shared" ca="1" si="252"/>
        <v>1.18.1.</v>
      </c>
      <c r="P529" s="147" t="s">
        <v>249</v>
      </c>
      <c r="Q529" s="148"/>
      <c r="R529" s="149" t="s">
        <v>547</v>
      </c>
      <c r="S529" s="150" t="s">
        <v>168</v>
      </c>
      <c r="T529" s="151">
        <f ca="1">OFFSET(CÁLCULO!H$15,ROW($T529)-ROW(T$15),0)</f>
        <v>0</v>
      </c>
      <c r="U529" s="152"/>
      <c r="V529" s="153" t="s">
        <v>158</v>
      </c>
      <c r="W529" s="151">
        <f t="shared" ca="1" si="253"/>
        <v>0</v>
      </c>
      <c r="X529" s="154">
        <f t="shared" ca="1" si="254"/>
        <v>0</v>
      </c>
      <c r="Y529" s="155" t="s">
        <v>583</v>
      </c>
      <c r="Z529" t="str">
        <f t="shared" ca="1" si="255"/>
        <v/>
      </c>
      <c r="AA529" s="156">
        <f ca="1">IF($C529="S",IF($Z529="CP",$X529,IF($Z529="RA",(($X529)*QCI!$AA$3),0)),SomaAgrup)</f>
        <v>0</v>
      </c>
      <c r="AB529" s="157">
        <f t="shared" ca="1" si="256"/>
        <v>0</v>
      </c>
      <c r="AC529" s="158" t="str">
        <f t="shared" ca="1" si="257"/>
        <v/>
      </c>
      <c r="AD529" s="104" t="str">
        <f ca="1">IF(C529&lt;=CRONO.NivelExibicao,MAX($AD$15:OFFSET(AD529,-1,0))+IF($C529&lt;&gt;1,1,MAX(1,COUNTIF(QCI!$A$13:$A$24,OFFSET($E529,-1,0)))),"")</f>
        <v/>
      </c>
      <c r="AE529" s="114" t="b">
        <f t="shared" ca="1" si="258"/>
        <v>0</v>
      </c>
      <c r="AF529" s="159" t="str">
        <f t="shared" ca="1" si="259"/>
        <v>(abra o arquivo 'Referência 05-2024.xls)</v>
      </c>
      <c r="AG529" s="579">
        <f t="shared" ca="1" si="260"/>
        <v>0</v>
      </c>
      <c r="AH529" s="580">
        <f t="shared" ca="1" si="261"/>
        <v>0.22470000000000001</v>
      </c>
      <c r="AJ529" s="582"/>
      <c r="AL529" s="612"/>
      <c r="AM529" s="430">
        <f t="shared" ca="1" si="262"/>
        <v>0</v>
      </c>
      <c r="AN529" s="655">
        <f t="shared" ca="1" si="263"/>
        <v>0</v>
      </c>
    </row>
    <row r="530" spans="1:40" ht="13.8" x14ac:dyDescent="0.3">
      <c r="A530" t="str">
        <f t="shared" si="242"/>
        <v>S</v>
      </c>
      <c r="B530">
        <f t="shared" ca="1" si="243"/>
        <v>3</v>
      </c>
      <c r="C530" t="str">
        <f t="shared" ca="1" si="244"/>
        <v>S</v>
      </c>
      <c r="D530">
        <f t="shared" ca="1" si="245"/>
        <v>0</v>
      </c>
      <c r="E530">
        <f ca="1">IF($C530=1,OFFSET(E530,-1,0)+MAX(1,COUNTIF(QCI!$A$13:$A$24,OFFSET(ORÇAMENTO!E530,-1,0))),OFFSET(E530,-1,0))</f>
        <v>1</v>
      </c>
      <c r="F530">
        <f t="shared" ca="1" si="246"/>
        <v>18</v>
      </c>
      <c r="G530">
        <f t="shared" ca="1" si="247"/>
        <v>1</v>
      </c>
      <c r="H530">
        <f t="shared" ca="1" si="248"/>
        <v>0</v>
      </c>
      <c r="I530">
        <f t="shared" ca="1" si="249"/>
        <v>0</v>
      </c>
      <c r="J530">
        <f t="shared" ca="1" si="264"/>
        <v>0</v>
      </c>
      <c r="K530">
        <f ca="1">IF(OR($C530="S",$C530=0),0,MATCH(OFFSET($D530,0,$C530)+IF($C530&lt;&gt;1,1,COUNTIF(QCI!$A$13:$A$24,ORÇAMENTO!E530)),OFFSET($D530,1,$C530,ROW($C$710)-ROW($C530)),0))</f>
        <v>0</v>
      </c>
      <c r="L530" s="143" t="str">
        <f t="shared" ca="1" si="250"/>
        <v/>
      </c>
      <c r="M530" s="144" t="s">
        <v>201</v>
      </c>
      <c r="N530" s="145" t="str">
        <f t="shared" ca="1" si="251"/>
        <v>Serviço</v>
      </c>
      <c r="O530" s="146" t="str">
        <f t="shared" ca="1" si="252"/>
        <v>-</v>
      </c>
      <c r="P530" s="147" t="s">
        <v>249</v>
      </c>
      <c r="Q530" s="148">
        <v>101883</v>
      </c>
      <c r="R530" s="149" t="str">
        <f ca="1">IF($C530="S",REFERENCIA.Descricao,"(digite a descrição aqui)")</f>
        <v>(abra o arquivo 'Referência 05-2024.xls)</v>
      </c>
      <c r="S530" s="150" t="str">
        <f ca="1">REFERENCIA.Unidade</f>
        <v>-</v>
      </c>
      <c r="T530" s="151">
        <f ca="1">OFFSET(CÁLCULO!H$15,ROW($T530)-ROW(T$15),0)</f>
        <v>2</v>
      </c>
      <c r="U530" s="152">
        <f t="shared" ref="U530:U591" ca="1" si="265">AG530</f>
        <v>0</v>
      </c>
      <c r="V530" s="153" t="s">
        <v>158</v>
      </c>
      <c r="W530" s="151">
        <f t="shared" ca="1" si="253"/>
        <v>0</v>
      </c>
      <c r="X530" s="154">
        <f t="shared" ca="1" si="254"/>
        <v>0</v>
      </c>
      <c r="Y530" s="155" t="s">
        <v>583</v>
      </c>
      <c r="Z530" t="str">
        <f t="shared" ca="1" si="255"/>
        <v/>
      </c>
      <c r="AA530" s="156">
        <f ca="1">IF($C530="S",IF($Z530="CP",$X530,IF($Z530="RA",(($X530)*QCI!$AA$3),0)),SomaAgrup)</f>
        <v>0</v>
      </c>
      <c r="AB530" s="157">
        <f t="shared" ca="1" si="256"/>
        <v>0</v>
      </c>
      <c r="AC530" s="158" t="str">
        <f t="shared" ca="1" si="257"/>
        <v/>
      </c>
      <c r="AD530" s="104" t="str">
        <f ca="1">IF(C530&lt;=CRONO.NivelExibicao,MAX($AD$15:OFFSET(AD530,-1,0))+IF($C530&lt;&gt;1,1,MAX(1,COUNTIF(QCI!$A$13:$A$24,OFFSET($E530,-1,0)))),"")</f>
        <v/>
      </c>
      <c r="AE530" s="114" t="str">
        <f t="shared" ca="1" si="258"/>
        <v>SINAPI 101883</v>
      </c>
      <c r="AF530" s="159" t="str">
        <f t="shared" ca="1" si="259"/>
        <v>(abra o arquivo 'Referência 05-2024.xls)</v>
      </c>
      <c r="AG530" s="579">
        <f t="shared" ca="1" si="260"/>
        <v>0</v>
      </c>
      <c r="AH530" s="580">
        <f t="shared" ca="1" si="261"/>
        <v>0.22470000000000001</v>
      </c>
      <c r="AJ530" s="582">
        <v>2</v>
      </c>
      <c r="AL530" s="612"/>
      <c r="AM530" s="430">
        <f t="shared" ca="1" si="262"/>
        <v>0</v>
      </c>
      <c r="AN530" s="655">
        <f t="shared" ca="1" si="263"/>
        <v>0</v>
      </c>
    </row>
    <row r="531" spans="1:40" ht="13.8" x14ac:dyDescent="0.3">
      <c r="A531" t="str">
        <f t="shared" si="242"/>
        <v>S</v>
      </c>
      <c r="B531">
        <f t="shared" ca="1" si="243"/>
        <v>3</v>
      </c>
      <c r="C531" t="str">
        <f t="shared" ca="1" si="244"/>
        <v>S</v>
      </c>
      <c r="D531">
        <f t="shared" ca="1" si="245"/>
        <v>0</v>
      </c>
      <c r="E531">
        <f ca="1">IF($C531=1,OFFSET(E531,-1,0)+MAX(1,COUNTIF(QCI!$A$13:$A$24,OFFSET(ORÇAMENTO!E531,-1,0))),OFFSET(E531,-1,0))</f>
        <v>1</v>
      </c>
      <c r="F531">
        <f t="shared" ca="1" si="246"/>
        <v>18</v>
      </c>
      <c r="G531">
        <f t="shared" ca="1" si="247"/>
        <v>1</v>
      </c>
      <c r="H531">
        <f t="shared" ca="1" si="248"/>
        <v>0</v>
      </c>
      <c r="I531">
        <f t="shared" ca="1" si="249"/>
        <v>0</v>
      </c>
      <c r="J531">
        <f t="shared" ca="1" si="264"/>
        <v>0</v>
      </c>
      <c r="K531">
        <f ca="1">IF(OR($C531="S",$C531=0),0,MATCH(OFFSET($D531,0,$C531)+IF($C531&lt;&gt;1,1,COUNTIF(QCI!$A$13:$A$24,ORÇAMENTO!E531)),OFFSET($D531,1,$C531,ROW($C$710)-ROW($C531)),0))</f>
        <v>0</v>
      </c>
      <c r="L531" s="143" t="str">
        <f t="shared" ca="1" si="250"/>
        <v/>
      </c>
      <c r="M531" s="144" t="s">
        <v>201</v>
      </c>
      <c r="N531" s="145" t="str">
        <f t="shared" ca="1" si="251"/>
        <v>Serviço</v>
      </c>
      <c r="O531" s="146" t="str">
        <f t="shared" ca="1" si="252"/>
        <v>-</v>
      </c>
      <c r="P531" s="147" t="s">
        <v>249</v>
      </c>
      <c r="Q531" s="148">
        <v>101879</v>
      </c>
      <c r="R531" s="149" t="str">
        <f ca="1">IF($C531="S",REFERENCIA.Descricao,"(digite a descrição aqui)")</f>
        <v>(abra o arquivo 'Referência 05-2024.xls)</v>
      </c>
      <c r="S531" s="150" t="str">
        <f ca="1">REFERENCIA.Unidade</f>
        <v>-</v>
      </c>
      <c r="T531" s="151">
        <f ca="1">OFFSET(CÁLCULO!H$15,ROW($T531)-ROW(T$15),0)</f>
        <v>2</v>
      </c>
      <c r="U531" s="152">
        <f t="shared" ca="1" si="265"/>
        <v>0</v>
      </c>
      <c r="V531" s="153" t="s">
        <v>158</v>
      </c>
      <c r="W531" s="151">
        <f t="shared" ca="1" si="253"/>
        <v>0</v>
      </c>
      <c r="X531" s="154">
        <f t="shared" ca="1" si="254"/>
        <v>0</v>
      </c>
      <c r="Y531" s="155" t="s">
        <v>583</v>
      </c>
      <c r="Z531" t="str">
        <f t="shared" ca="1" si="255"/>
        <v/>
      </c>
      <c r="AA531" s="156">
        <f ca="1">IF($C531="S",IF($Z531="CP",$X531,IF($Z531="RA",(($X531)*QCI!$AA$3),0)),SomaAgrup)</f>
        <v>0</v>
      </c>
      <c r="AB531" s="157">
        <f t="shared" ca="1" si="256"/>
        <v>0</v>
      </c>
      <c r="AC531" s="158" t="str">
        <f t="shared" ca="1" si="257"/>
        <v/>
      </c>
      <c r="AD531" s="104" t="str">
        <f ca="1">IF(C531&lt;=CRONO.NivelExibicao,MAX($AD$15:OFFSET(AD531,-1,0))+IF($C531&lt;&gt;1,1,MAX(1,COUNTIF(QCI!$A$13:$A$24,OFFSET($E531,-1,0)))),"")</f>
        <v/>
      </c>
      <c r="AE531" s="114" t="str">
        <f t="shared" ca="1" si="258"/>
        <v>SINAPI 101879</v>
      </c>
      <c r="AF531" s="159" t="str">
        <f t="shared" ca="1" si="259"/>
        <v>(abra o arquivo 'Referência 05-2024.xls)</v>
      </c>
      <c r="AG531" s="579">
        <f t="shared" ca="1" si="260"/>
        <v>0</v>
      </c>
      <c r="AH531" s="580">
        <f t="shared" ca="1" si="261"/>
        <v>0.22470000000000001</v>
      </c>
      <c r="AJ531" s="582">
        <v>2</v>
      </c>
      <c r="AL531" s="612"/>
      <c r="AM531" s="430">
        <f t="shared" ca="1" si="262"/>
        <v>0</v>
      </c>
      <c r="AN531" s="655">
        <f t="shared" ca="1" si="263"/>
        <v>0</v>
      </c>
    </row>
    <row r="532" spans="1:40" ht="13.8" x14ac:dyDescent="0.3">
      <c r="A532" t="str">
        <f t="shared" si="242"/>
        <v>S</v>
      </c>
      <c r="B532">
        <f t="shared" ca="1" si="243"/>
        <v>3</v>
      </c>
      <c r="C532" t="str">
        <f t="shared" ca="1" si="244"/>
        <v>S</v>
      </c>
      <c r="D532">
        <f t="shared" ca="1" si="245"/>
        <v>0</v>
      </c>
      <c r="E532">
        <f ca="1">IF($C532=1,OFFSET(E532,-1,0)+MAX(1,COUNTIF(QCI!$A$13:$A$24,OFFSET(ORÇAMENTO!E532,-1,0))),OFFSET(E532,-1,0))</f>
        <v>1</v>
      </c>
      <c r="F532">
        <f t="shared" ca="1" si="246"/>
        <v>18</v>
      </c>
      <c r="G532">
        <f t="shared" ca="1" si="247"/>
        <v>1</v>
      </c>
      <c r="H532">
        <f t="shared" ca="1" si="248"/>
        <v>0</v>
      </c>
      <c r="I532">
        <f t="shared" ca="1" si="249"/>
        <v>0</v>
      </c>
      <c r="J532">
        <f t="shared" ca="1" si="264"/>
        <v>0</v>
      </c>
      <c r="K532">
        <f ca="1">IF(OR($C532="S",$C532=0),0,MATCH(OFFSET($D532,0,$C532)+IF($C532&lt;&gt;1,1,COUNTIF(QCI!$A$13:$A$24,ORÇAMENTO!E532)),OFFSET($D532,1,$C532,ROW($C$710)-ROW($C532)),0))</f>
        <v>0</v>
      </c>
      <c r="L532" s="143" t="str">
        <f t="shared" ca="1" si="250"/>
        <v/>
      </c>
      <c r="M532" s="144" t="s">
        <v>201</v>
      </c>
      <c r="N532" s="145" t="str">
        <f t="shared" ca="1" si="251"/>
        <v>Serviço</v>
      </c>
      <c r="O532" s="146" t="str">
        <f t="shared" ca="1" si="252"/>
        <v>-</v>
      </c>
      <c r="P532" s="147" t="s">
        <v>249</v>
      </c>
      <c r="Q532" s="148">
        <v>101881</v>
      </c>
      <c r="R532" s="149" t="str">
        <f ca="1">IF($C532="S",REFERENCIA.Descricao,"(digite a descrição aqui)")</f>
        <v>(abra o arquivo 'Referência 05-2024.xls)</v>
      </c>
      <c r="S532" s="150" t="str">
        <f ca="1">REFERENCIA.Unidade</f>
        <v>-</v>
      </c>
      <c r="T532" s="151">
        <f ca="1">OFFSET(CÁLCULO!H$15,ROW($T532)-ROW(T$15),0)</f>
        <v>3</v>
      </c>
      <c r="U532" s="152">
        <f t="shared" ca="1" si="265"/>
        <v>0</v>
      </c>
      <c r="V532" s="153" t="s">
        <v>158</v>
      </c>
      <c r="W532" s="151">
        <f t="shared" ca="1" si="253"/>
        <v>0</v>
      </c>
      <c r="X532" s="154">
        <f t="shared" ca="1" si="254"/>
        <v>0</v>
      </c>
      <c r="Y532" s="155" t="s">
        <v>583</v>
      </c>
      <c r="Z532" t="str">
        <f t="shared" ca="1" si="255"/>
        <v/>
      </c>
      <c r="AA532" s="156">
        <f ca="1">IF($C532="S",IF($Z532="CP",$X532,IF($Z532="RA",(($X532)*QCI!$AA$3),0)),SomaAgrup)</f>
        <v>0</v>
      </c>
      <c r="AB532" s="157">
        <f t="shared" ca="1" si="256"/>
        <v>0</v>
      </c>
      <c r="AC532" s="158" t="str">
        <f t="shared" ca="1" si="257"/>
        <v/>
      </c>
      <c r="AD532" s="104" t="str">
        <f ca="1">IF(C532&lt;=CRONO.NivelExibicao,MAX($AD$15:OFFSET(AD532,-1,0))+IF($C532&lt;&gt;1,1,MAX(1,COUNTIF(QCI!$A$13:$A$24,OFFSET($E532,-1,0)))),"")</f>
        <v/>
      </c>
      <c r="AE532" s="114" t="str">
        <f t="shared" ca="1" si="258"/>
        <v>SINAPI 101881</v>
      </c>
      <c r="AF532" s="159" t="str">
        <f t="shared" ca="1" si="259"/>
        <v>(abra o arquivo 'Referência 05-2024.xls)</v>
      </c>
      <c r="AG532" s="579">
        <f t="shared" ca="1" si="260"/>
        <v>0</v>
      </c>
      <c r="AH532" s="580">
        <f t="shared" ca="1" si="261"/>
        <v>0.22470000000000001</v>
      </c>
      <c r="AJ532" s="582">
        <v>3</v>
      </c>
      <c r="AL532" s="612"/>
      <c r="AM532" s="430">
        <f t="shared" ca="1" si="262"/>
        <v>0</v>
      </c>
      <c r="AN532" s="655">
        <f t="shared" ca="1" si="263"/>
        <v>0</v>
      </c>
    </row>
    <row r="533" spans="1:40" ht="13.8" x14ac:dyDescent="0.3">
      <c r="A533" t="str">
        <f t="shared" si="242"/>
        <v>S</v>
      </c>
      <c r="B533">
        <f t="shared" ca="1" si="243"/>
        <v>3</v>
      </c>
      <c r="C533" t="str">
        <f t="shared" ca="1" si="244"/>
        <v>S</v>
      </c>
      <c r="D533">
        <f t="shared" ca="1" si="245"/>
        <v>0</v>
      </c>
      <c r="E533">
        <f ca="1">IF($C533=1,OFFSET(E533,-1,0)+MAX(1,COUNTIF(QCI!$A$13:$A$24,OFFSET(ORÇAMENTO!E533,-1,0))),OFFSET(E533,-1,0))</f>
        <v>1</v>
      </c>
      <c r="F533">
        <f t="shared" ca="1" si="246"/>
        <v>18</v>
      </c>
      <c r="G533">
        <f t="shared" ca="1" si="247"/>
        <v>1</v>
      </c>
      <c r="H533">
        <f t="shared" ca="1" si="248"/>
        <v>0</v>
      </c>
      <c r="I533">
        <f t="shared" ca="1" si="249"/>
        <v>0</v>
      </c>
      <c r="J533">
        <f t="shared" ca="1" si="264"/>
        <v>0</v>
      </c>
      <c r="K533">
        <f ca="1">IF(OR($C533="S",$C533=0),0,MATCH(OFFSET($D533,0,$C533)+IF($C533&lt;&gt;1,1,COUNTIF(QCI!$A$13:$A$24,ORÇAMENTO!E533)),OFFSET($D533,1,$C533,ROW($C$710)-ROW($C533)),0))</f>
        <v>0</v>
      </c>
      <c r="L533" s="143" t="str">
        <f t="shared" ca="1" si="250"/>
        <v/>
      </c>
      <c r="M533" s="144" t="s">
        <v>201</v>
      </c>
      <c r="N533" s="145" t="str">
        <f t="shared" ca="1" si="251"/>
        <v>Serviço</v>
      </c>
      <c r="O533" s="146" t="str">
        <f t="shared" ca="1" si="252"/>
        <v>-</v>
      </c>
      <c r="P533" s="147" t="s">
        <v>249</v>
      </c>
      <c r="Q533" s="148">
        <v>101881</v>
      </c>
      <c r="R533" s="149" t="str">
        <f ca="1">IF($C533="S",REFERENCIA.Descricao,"(digite a descrição aqui)")</f>
        <v>(abra o arquivo 'Referência 05-2024.xls)</v>
      </c>
      <c r="S533" s="150" t="str">
        <f ca="1">REFERENCIA.Unidade</f>
        <v>-</v>
      </c>
      <c r="T533" s="151">
        <f ca="1">OFFSET(CÁLCULO!H$15,ROW($T533)-ROW(T$15),0)</f>
        <v>4</v>
      </c>
      <c r="U533" s="152">
        <f t="shared" ca="1" si="265"/>
        <v>0</v>
      </c>
      <c r="V533" s="153" t="s">
        <v>158</v>
      </c>
      <c r="W533" s="151">
        <f t="shared" ca="1" si="253"/>
        <v>0</v>
      </c>
      <c r="X533" s="154">
        <f t="shared" ca="1" si="254"/>
        <v>0</v>
      </c>
      <c r="Y533" s="155" t="s">
        <v>583</v>
      </c>
      <c r="Z533" t="str">
        <f t="shared" ca="1" si="255"/>
        <v/>
      </c>
      <c r="AA533" s="156">
        <f ca="1">IF($C533="S",IF($Z533="CP",$X533,IF($Z533="RA",(($X533)*QCI!$AA$3),0)),SomaAgrup)</f>
        <v>0</v>
      </c>
      <c r="AB533" s="157">
        <f t="shared" ca="1" si="256"/>
        <v>0</v>
      </c>
      <c r="AC533" s="158" t="str">
        <f t="shared" ca="1" si="257"/>
        <v/>
      </c>
      <c r="AD533" s="104" t="str">
        <f ca="1">IF(C533&lt;=CRONO.NivelExibicao,MAX($AD$15:OFFSET(AD533,-1,0))+IF($C533&lt;&gt;1,1,MAX(1,COUNTIF(QCI!$A$13:$A$24,OFFSET($E533,-1,0)))),"")</f>
        <v/>
      </c>
      <c r="AE533" s="114" t="str">
        <f t="shared" ca="1" si="258"/>
        <v>SINAPI 101881</v>
      </c>
      <c r="AF533" s="159" t="str">
        <f t="shared" ca="1" si="259"/>
        <v>(abra o arquivo 'Referência 05-2024.xls)</v>
      </c>
      <c r="AG533" s="579">
        <f t="shared" ca="1" si="260"/>
        <v>0</v>
      </c>
      <c r="AH533" s="580">
        <f t="shared" ca="1" si="261"/>
        <v>0.22470000000000001</v>
      </c>
      <c r="AJ533" s="582">
        <v>4</v>
      </c>
      <c r="AL533" s="612"/>
      <c r="AM533" s="430">
        <f t="shared" ca="1" si="262"/>
        <v>0</v>
      </c>
      <c r="AN533" s="655">
        <f t="shared" ca="1" si="263"/>
        <v>0</v>
      </c>
    </row>
    <row r="534" spans="1:40" ht="13.8" x14ac:dyDescent="0.3">
      <c r="A534" t="str">
        <f t="shared" si="242"/>
        <v>S</v>
      </c>
      <c r="B534">
        <f t="shared" ca="1" si="243"/>
        <v>3</v>
      </c>
      <c r="C534" t="str">
        <f t="shared" ca="1" si="244"/>
        <v>S</v>
      </c>
      <c r="D534">
        <f t="shared" ca="1" si="245"/>
        <v>0</v>
      </c>
      <c r="E534">
        <f ca="1">IF($C534=1,OFFSET(E534,-1,0)+MAX(1,COUNTIF(QCI!$A$13:$A$24,OFFSET(ORÇAMENTO!E534,-1,0))),OFFSET(E534,-1,0))</f>
        <v>1</v>
      </c>
      <c r="F534">
        <f t="shared" ca="1" si="246"/>
        <v>18</v>
      </c>
      <c r="G534">
        <f t="shared" ca="1" si="247"/>
        <v>1</v>
      </c>
      <c r="H534">
        <f t="shared" ca="1" si="248"/>
        <v>0</v>
      </c>
      <c r="I534">
        <f t="shared" ca="1" si="249"/>
        <v>0</v>
      </c>
      <c r="J534">
        <f t="shared" ca="1" si="264"/>
        <v>0</v>
      </c>
      <c r="K534">
        <f ca="1">IF(OR($C534="S",$C534=0),0,MATCH(OFFSET($D534,0,$C534)+IF($C534&lt;&gt;1,1,COUNTIF(QCI!$A$13:$A$24,ORÇAMENTO!E534)),OFFSET($D534,1,$C534,ROW($C$710)-ROW($C534)),0))</f>
        <v>0</v>
      </c>
      <c r="L534" s="143" t="str">
        <f t="shared" ca="1" si="250"/>
        <v/>
      </c>
      <c r="M534" s="144" t="s">
        <v>201</v>
      </c>
      <c r="N534" s="145" t="str">
        <f t="shared" ca="1" si="251"/>
        <v>Serviço</v>
      </c>
      <c r="O534" s="146" t="str">
        <f t="shared" ca="1" si="252"/>
        <v>-</v>
      </c>
      <c r="P534" s="147" t="s">
        <v>249</v>
      </c>
      <c r="Q534" s="148">
        <v>101946</v>
      </c>
      <c r="R534" s="149" t="str">
        <f ca="1">IF($C534="S",REFERENCIA.Descricao,"(digite a descrição aqui)")</f>
        <v>(abra o arquivo 'Referência 05-2024.xls)</v>
      </c>
      <c r="S534" s="150" t="str">
        <f ca="1">REFERENCIA.Unidade</f>
        <v>-</v>
      </c>
      <c r="T534" s="151">
        <f ca="1">OFFSET(CÁLCULO!H$15,ROW($T534)-ROW(T$15),0)</f>
        <v>3</v>
      </c>
      <c r="U534" s="152">
        <f t="shared" ca="1" si="265"/>
        <v>0</v>
      </c>
      <c r="V534" s="153" t="s">
        <v>158</v>
      </c>
      <c r="W534" s="151">
        <f t="shared" ca="1" si="253"/>
        <v>0</v>
      </c>
      <c r="X534" s="154">
        <f t="shared" ca="1" si="254"/>
        <v>0</v>
      </c>
      <c r="Y534" s="155" t="s">
        <v>583</v>
      </c>
      <c r="Z534" t="str">
        <f t="shared" ca="1" si="255"/>
        <v/>
      </c>
      <c r="AA534" s="156">
        <f ca="1">IF($C534="S",IF($Z534="CP",$X534,IF($Z534="RA",(($X534)*QCI!$AA$3),0)),SomaAgrup)</f>
        <v>0</v>
      </c>
      <c r="AB534" s="157">
        <f t="shared" ca="1" si="256"/>
        <v>0</v>
      </c>
      <c r="AC534" s="158" t="str">
        <f t="shared" ca="1" si="257"/>
        <v/>
      </c>
      <c r="AD534" s="104" t="str">
        <f ca="1">IF(C534&lt;=CRONO.NivelExibicao,MAX($AD$15:OFFSET(AD534,-1,0))+IF($C534&lt;&gt;1,1,MAX(1,COUNTIF(QCI!$A$13:$A$24,OFFSET($E534,-1,0)))),"")</f>
        <v/>
      </c>
      <c r="AE534" s="114" t="str">
        <f t="shared" ca="1" si="258"/>
        <v>SINAPI 101946</v>
      </c>
      <c r="AF534" s="159" t="str">
        <f t="shared" ca="1" si="259"/>
        <v>(abra o arquivo 'Referência 05-2024.xls)</v>
      </c>
      <c r="AG534" s="579">
        <f t="shared" ca="1" si="260"/>
        <v>0</v>
      </c>
      <c r="AH534" s="580">
        <f t="shared" ca="1" si="261"/>
        <v>0.22470000000000001</v>
      </c>
      <c r="AJ534" s="582">
        <v>3</v>
      </c>
      <c r="AL534" s="612"/>
      <c r="AM534" s="430">
        <f t="shared" ca="1" si="262"/>
        <v>0</v>
      </c>
      <c r="AN534" s="655">
        <f t="shared" ca="1" si="263"/>
        <v>0</v>
      </c>
    </row>
    <row r="535" spans="1:40" ht="13.8" x14ac:dyDescent="0.3">
      <c r="A535">
        <f t="shared" si="242"/>
        <v>3</v>
      </c>
      <c r="B535">
        <f t="shared" ca="1" si="243"/>
        <v>3</v>
      </c>
      <c r="C535">
        <f t="shared" ca="1" si="244"/>
        <v>3</v>
      </c>
      <c r="D535">
        <f t="shared" ca="1" si="245"/>
        <v>19</v>
      </c>
      <c r="E535">
        <f ca="1">IF($C535=1,OFFSET(E535,-1,0)+MAX(1,COUNTIF(QCI!$A$13:$A$24,OFFSET(ORÇAMENTO!E535,-1,0))),OFFSET(E535,-1,0))</f>
        <v>1</v>
      </c>
      <c r="F535">
        <f t="shared" ca="1" si="246"/>
        <v>18</v>
      </c>
      <c r="G535">
        <f t="shared" ca="1" si="247"/>
        <v>2</v>
      </c>
      <c r="H535">
        <f t="shared" ca="1" si="248"/>
        <v>0</v>
      </c>
      <c r="I535">
        <f t="shared" ca="1" si="249"/>
        <v>0</v>
      </c>
      <c r="J535">
        <f t="shared" ca="1" si="264"/>
        <v>83</v>
      </c>
      <c r="K535">
        <f ca="1">IF(OR($C535="S",$C535=0),0,MATCH(OFFSET($D535,0,$C535)+IF($C535&lt;&gt;1,1,COUNTIF(QCI!$A$13:$A$24,ORÇAMENTO!E535)),OFFSET($D535,1,$C535,ROW($C$710)-ROW($C535)),0))</f>
        <v>19</v>
      </c>
      <c r="L535" s="143" t="str">
        <f t="shared" ca="1" si="250"/>
        <v>F</v>
      </c>
      <c r="M535" s="144" t="s">
        <v>199</v>
      </c>
      <c r="N535" s="145" t="str">
        <f t="shared" ca="1" si="251"/>
        <v>Nível 3</v>
      </c>
      <c r="O535" s="146" t="str">
        <f t="shared" ca="1" si="252"/>
        <v>1.18.2.</v>
      </c>
      <c r="P535" s="147" t="s">
        <v>249</v>
      </c>
      <c r="Q535" s="148"/>
      <c r="R535" s="149" t="s">
        <v>548</v>
      </c>
      <c r="S535" s="150" t="s">
        <v>168</v>
      </c>
      <c r="T535" s="151">
        <f ca="1">OFFSET(CÁLCULO!H$15,ROW($T535)-ROW(T$15),0)</f>
        <v>0</v>
      </c>
      <c r="U535" s="152"/>
      <c r="V535" s="153" t="s">
        <v>158</v>
      </c>
      <c r="W535" s="151">
        <f t="shared" ca="1" si="253"/>
        <v>0</v>
      </c>
      <c r="X535" s="154">
        <f t="shared" ca="1" si="254"/>
        <v>0</v>
      </c>
      <c r="Y535" s="155" t="s">
        <v>583</v>
      </c>
      <c r="Z535" t="str">
        <f t="shared" ca="1" si="255"/>
        <v/>
      </c>
      <c r="AA535" s="156">
        <f ca="1">IF($C535="S",IF($Z535="CP",$X535,IF($Z535="RA",(($X535)*QCI!$AA$3),0)),SomaAgrup)</f>
        <v>0</v>
      </c>
      <c r="AB535" s="157">
        <f t="shared" ca="1" si="256"/>
        <v>0</v>
      </c>
      <c r="AC535" s="158" t="str">
        <f t="shared" ca="1" si="257"/>
        <v/>
      </c>
      <c r="AD535" s="104" t="str">
        <f ca="1">IF(C535&lt;=CRONO.NivelExibicao,MAX($AD$15:OFFSET(AD535,-1,0))+IF($C535&lt;&gt;1,1,MAX(1,COUNTIF(QCI!$A$13:$A$24,OFFSET($E535,-1,0)))),"")</f>
        <v/>
      </c>
      <c r="AE535" s="114" t="b">
        <f t="shared" ca="1" si="258"/>
        <v>0</v>
      </c>
      <c r="AF535" s="159" t="str">
        <f t="shared" ca="1" si="259"/>
        <v>(abra o arquivo 'Referência 05-2024.xls)</v>
      </c>
      <c r="AG535" s="579">
        <f t="shared" ca="1" si="260"/>
        <v>0</v>
      </c>
      <c r="AH535" s="580">
        <f t="shared" ca="1" si="261"/>
        <v>0.22470000000000001</v>
      </c>
      <c r="AJ535" s="582"/>
      <c r="AL535" s="612"/>
      <c r="AM535" s="430">
        <f t="shared" ca="1" si="262"/>
        <v>0</v>
      </c>
      <c r="AN535" s="655">
        <f t="shared" ca="1" si="263"/>
        <v>0</v>
      </c>
    </row>
    <row r="536" spans="1:40" ht="13.8" x14ac:dyDescent="0.3">
      <c r="A536" t="str">
        <f t="shared" si="242"/>
        <v>S</v>
      </c>
      <c r="B536">
        <f t="shared" ca="1" si="243"/>
        <v>3</v>
      </c>
      <c r="C536" t="str">
        <f t="shared" ca="1" si="244"/>
        <v>S</v>
      </c>
      <c r="D536">
        <f t="shared" ca="1" si="245"/>
        <v>0</v>
      </c>
      <c r="E536">
        <f ca="1">IF($C536=1,OFFSET(E536,-1,0)+MAX(1,COUNTIF(QCI!$A$13:$A$24,OFFSET(ORÇAMENTO!E536,-1,0))),OFFSET(E536,-1,0))</f>
        <v>1</v>
      </c>
      <c r="F536">
        <f t="shared" ca="1" si="246"/>
        <v>18</v>
      </c>
      <c r="G536">
        <f t="shared" ca="1" si="247"/>
        <v>2</v>
      </c>
      <c r="H536">
        <f t="shared" ca="1" si="248"/>
        <v>0</v>
      </c>
      <c r="I536">
        <f t="shared" ca="1" si="249"/>
        <v>0</v>
      </c>
      <c r="J536">
        <f t="shared" ca="1" si="264"/>
        <v>0</v>
      </c>
      <c r="K536">
        <f ca="1">IF(OR($C536="S",$C536=0),0,MATCH(OFFSET($D536,0,$C536)+IF($C536&lt;&gt;1,1,COUNTIF(QCI!$A$13:$A$24,ORÇAMENTO!E536)),OFFSET($D536,1,$C536,ROW($C$710)-ROW($C536)),0))</f>
        <v>0</v>
      </c>
      <c r="L536" s="143" t="str">
        <f t="shared" ca="1" si="250"/>
        <v/>
      </c>
      <c r="M536" s="144" t="s">
        <v>201</v>
      </c>
      <c r="N536" s="145" t="str">
        <f t="shared" ca="1" si="251"/>
        <v>Serviço</v>
      </c>
      <c r="O536" s="146" t="str">
        <f t="shared" ca="1" si="252"/>
        <v>-</v>
      </c>
      <c r="P536" s="147" t="s">
        <v>249</v>
      </c>
      <c r="Q536" s="148">
        <v>93653</v>
      </c>
      <c r="R536" s="149" t="str">
        <f t="shared" ref="R536:R553" ca="1" si="266">IF($C536="S",REFERENCIA.Descricao,"(digite a descrição aqui)")</f>
        <v>(abra o arquivo 'Referência 05-2024.xls)</v>
      </c>
      <c r="S536" s="150" t="str">
        <f t="shared" ref="S536:S553" ca="1" si="267">REFERENCIA.Unidade</f>
        <v>-</v>
      </c>
      <c r="T536" s="151">
        <f ca="1">OFFSET(CÁLCULO!H$15,ROW($T536)-ROW(T$15),0)</f>
        <v>54</v>
      </c>
      <c r="U536" s="152">
        <f t="shared" ca="1" si="265"/>
        <v>0</v>
      </c>
      <c r="V536" s="153" t="s">
        <v>158</v>
      </c>
      <c r="W536" s="151">
        <f t="shared" ca="1" si="253"/>
        <v>0</v>
      </c>
      <c r="X536" s="154">
        <f t="shared" ca="1" si="254"/>
        <v>0</v>
      </c>
      <c r="Y536" s="155" t="s">
        <v>583</v>
      </c>
      <c r="Z536" t="str">
        <f t="shared" ca="1" si="255"/>
        <v/>
      </c>
      <c r="AA536" s="156">
        <f ca="1">IF($C536="S",IF($Z536="CP",$X536,IF($Z536="RA",(($X536)*QCI!$AA$3),0)),SomaAgrup)</f>
        <v>0</v>
      </c>
      <c r="AB536" s="157">
        <f t="shared" ca="1" si="256"/>
        <v>0</v>
      </c>
      <c r="AC536" s="158" t="str">
        <f t="shared" ca="1" si="257"/>
        <v/>
      </c>
      <c r="AD536" s="104" t="str">
        <f ca="1">IF(C536&lt;=CRONO.NivelExibicao,MAX($AD$15:OFFSET(AD536,-1,0))+IF($C536&lt;&gt;1,1,MAX(1,COUNTIF(QCI!$A$13:$A$24,OFFSET($E536,-1,0)))),"")</f>
        <v/>
      </c>
      <c r="AE536" s="114" t="str">
        <f t="shared" ca="1" si="258"/>
        <v>SINAPI 93653</v>
      </c>
      <c r="AF536" s="159" t="str">
        <f t="shared" ca="1" si="259"/>
        <v>(abra o arquivo 'Referência 05-2024.xls)</v>
      </c>
      <c r="AG536" s="579">
        <f t="shared" ca="1" si="260"/>
        <v>0</v>
      </c>
      <c r="AH536" s="580">
        <f t="shared" ca="1" si="261"/>
        <v>0.22470000000000001</v>
      </c>
      <c r="AJ536" s="582">
        <v>54</v>
      </c>
      <c r="AL536" s="612"/>
      <c r="AM536" s="430">
        <f t="shared" ca="1" si="262"/>
        <v>0</v>
      </c>
      <c r="AN536" s="655">
        <f t="shared" ca="1" si="263"/>
        <v>0</v>
      </c>
    </row>
    <row r="537" spans="1:40" ht="13.8" x14ac:dyDescent="0.3">
      <c r="A537" t="str">
        <f t="shared" si="242"/>
        <v>S</v>
      </c>
      <c r="B537">
        <f t="shared" ca="1" si="243"/>
        <v>3</v>
      </c>
      <c r="C537" t="str">
        <f t="shared" ca="1" si="244"/>
        <v>S</v>
      </c>
      <c r="D537">
        <f t="shared" ca="1" si="245"/>
        <v>0</v>
      </c>
      <c r="E537">
        <f ca="1">IF($C537=1,OFFSET(E537,-1,0)+MAX(1,COUNTIF(QCI!$A$13:$A$24,OFFSET(ORÇAMENTO!E537,-1,0))),OFFSET(E537,-1,0))</f>
        <v>1</v>
      </c>
      <c r="F537">
        <f t="shared" ca="1" si="246"/>
        <v>18</v>
      </c>
      <c r="G537">
        <f t="shared" ca="1" si="247"/>
        <v>2</v>
      </c>
      <c r="H537">
        <f t="shared" ca="1" si="248"/>
        <v>0</v>
      </c>
      <c r="I537">
        <f t="shared" ca="1" si="249"/>
        <v>0</v>
      </c>
      <c r="J537">
        <f t="shared" ca="1" si="264"/>
        <v>0</v>
      </c>
      <c r="K537">
        <f ca="1">IF(OR($C537="S",$C537=0),0,MATCH(OFFSET($D537,0,$C537)+IF($C537&lt;&gt;1,1,COUNTIF(QCI!$A$13:$A$24,ORÇAMENTO!E537)),OFFSET($D537,1,$C537,ROW($C$710)-ROW($C537)),0))</f>
        <v>0</v>
      </c>
      <c r="L537" s="143" t="str">
        <f t="shared" ca="1" si="250"/>
        <v/>
      </c>
      <c r="M537" s="144" t="s">
        <v>201</v>
      </c>
      <c r="N537" s="145" t="str">
        <f t="shared" ca="1" si="251"/>
        <v>Serviço</v>
      </c>
      <c r="O537" s="146" t="str">
        <f t="shared" ca="1" si="252"/>
        <v>-</v>
      </c>
      <c r="P537" s="147" t="s">
        <v>249</v>
      </c>
      <c r="Q537" s="148">
        <v>93654</v>
      </c>
      <c r="R537" s="149" t="str">
        <f t="shared" ca="1" si="266"/>
        <v>(abra o arquivo 'Referência 05-2024.xls)</v>
      </c>
      <c r="S537" s="150" t="str">
        <f t="shared" ca="1" si="267"/>
        <v>-</v>
      </c>
      <c r="T537" s="151">
        <f ca="1">OFFSET(CÁLCULO!H$15,ROW($T537)-ROW(T$15),0)</f>
        <v>21</v>
      </c>
      <c r="U537" s="152">
        <f t="shared" ca="1" si="265"/>
        <v>0</v>
      </c>
      <c r="V537" s="153" t="s">
        <v>158</v>
      </c>
      <c r="W537" s="151">
        <f t="shared" ca="1" si="253"/>
        <v>0</v>
      </c>
      <c r="X537" s="154">
        <f t="shared" ca="1" si="254"/>
        <v>0</v>
      </c>
      <c r="Y537" s="155" t="s">
        <v>583</v>
      </c>
      <c r="Z537" t="str">
        <f t="shared" ca="1" si="255"/>
        <v/>
      </c>
      <c r="AA537" s="156">
        <f ca="1">IF($C537="S",IF($Z537="CP",$X537,IF($Z537="RA",(($X537)*QCI!$AA$3),0)),SomaAgrup)</f>
        <v>0</v>
      </c>
      <c r="AB537" s="157">
        <f t="shared" ca="1" si="256"/>
        <v>0</v>
      </c>
      <c r="AC537" s="158" t="str">
        <f t="shared" ca="1" si="257"/>
        <v/>
      </c>
      <c r="AD537" s="104" t="str">
        <f ca="1">IF(C537&lt;=CRONO.NivelExibicao,MAX($AD$15:OFFSET(AD537,-1,0))+IF($C537&lt;&gt;1,1,MAX(1,COUNTIF(QCI!$A$13:$A$24,OFFSET($E537,-1,0)))),"")</f>
        <v/>
      </c>
      <c r="AE537" s="114" t="str">
        <f t="shared" ca="1" si="258"/>
        <v>SINAPI 93654</v>
      </c>
      <c r="AF537" s="159" t="str">
        <f t="shared" ca="1" si="259"/>
        <v>(abra o arquivo 'Referência 05-2024.xls)</v>
      </c>
      <c r="AG537" s="579">
        <f t="shared" ca="1" si="260"/>
        <v>0</v>
      </c>
      <c r="AH537" s="580">
        <f t="shared" ca="1" si="261"/>
        <v>0.22470000000000001</v>
      </c>
      <c r="AJ537" s="582">
        <v>21</v>
      </c>
      <c r="AL537" s="612"/>
      <c r="AM537" s="430">
        <f t="shared" ca="1" si="262"/>
        <v>0</v>
      </c>
      <c r="AN537" s="655">
        <f t="shared" ca="1" si="263"/>
        <v>0</v>
      </c>
    </row>
    <row r="538" spans="1:40" ht="13.8" x14ac:dyDescent="0.3">
      <c r="A538" t="str">
        <f t="shared" si="242"/>
        <v>S</v>
      </c>
      <c r="B538">
        <f t="shared" ca="1" si="243"/>
        <v>3</v>
      </c>
      <c r="C538" t="str">
        <f t="shared" ca="1" si="244"/>
        <v>S</v>
      </c>
      <c r="D538">
        <f t="shared" ca="1" si="245"/>
        <v>0</v>
      </c>
      <c r="E538">
        <f ca="1">IF($C538=1,OFFSET(E538,-1,0)+MAX(1,COUNTIF(QCI!$A$13:$A$24,OFFSET(ORÇAMENTO!E538,-1,0))),OFFSET(E538,-1,0))</f>
        <v>1</v>
      </c>
      <c r="F538">
        <f t="shared" ca="1" si="246"/>
        <v>18</v>
      </c>
      <c r="G538">
        <f t="shared" ca="1" si="247"/>
        <v>2</v>
      </c>
      <c r="H538">
        <f t="shared" ca="1" si="248"/>
        <v>0</v>
      </c>
      <c r="I538">
        <f t="shared" ca="1" si="249"/>
        <v>0</v>
      </c>
      <c r="J538">
        <f t="shared" ca="1" si="264"/>
        <v>0</v>
      </c>
      <c r="K538">
        <f ca="1">IF(OR($C538="S",$C538=0),0,MATCH(OFFSET($D538,0,$C538)+IF($C538&lt;&gt;1,1,COUNTIF(QCI!$A$13:$A$24,ORÇAMENTO!E538)),OFFSET($D538,1,$C538,ROW($C$710)-ROW($C538)),0))</f>
        <v>0</v>
      </c>
      <c r="L538" s="143" t="str">
        <f t="shared" ca="1" si="250"/>
        <v/>
      </c>
      <c r="M538" s="144" t="s">
        <v>201</v>
      </c>
      <c r="N538" s="145" t="str">
        <f t="shared" ca="1" si="251"/>
        <v>Serviço</v>
      </c>
      <c r="O538" s="146" t="str">
        <f t="shared" ca="1" si="252"/>
        <v>-</v>
      </c>
      <c r="P538" s="147" t="s">
        <v>249</v>
      </c>
      <c r="Q538" s="148">
        <v>93655</v>
      </c>
      <c r="R538" s="149" t="str">
        <f t="shared" ca="1" si="266"/>
        <v>(abra o arquivo 'Referência 05-2024.xls)</v>
      </c>
      <c r="S538" s="150" t="str">
        <f t="shared" ca="1" si="267"/>
        <v>-</v>
      </c>
      <c r="T538" s="151">
        <f ca="1">OFFSET(CÁLCULO!H$15,ROW($T538)-ROW(T$15),0)</f>
        <v>11</v>
      </c>
      <c r="U538" s="152">
        <f t="shared" ca="1" si="265"/>
        <v>0</v>
      </c>
      <c r="V538" s="153" t="s">
        <v>158</v>
      </c>
      <c r="W538" s="151">
        <f t="shared" ca="1" si="253"/>
        <v>0</v>
      </c>
      <c r="X538" s="154">
        <f t="shared" ca="1" si="254"/>
        <v>0</v>
      </c>
      <c r="Y538" s="155" t="s">
        <v>583</v>
      </c>
      <c r="Z538" t="str">
        <f t="shared" ca="1" si="255"/>
        <v/>
      </c>
      <c r="AA538" s="156">
        <f ca="1">IF($C538="S",IF($Z538="CP",$X538,IF($Z538="RA",(($X538)*QCI!$AA$3),0)),SomaAgrup)</f>
        <v>0</v>
      </c>
      <c r="AB538" s="157">
        <f t="shared" ca="1" si="256"/>
        <v>0</v>
      </c>
      <c r="AC538" s="158" t="str">
        <f t="shared" ca="1" si="257"/>
        <v/>
      </c>
      <c r="AD538" s="104" t="str">
        <f ca="1">IF(C538&lt;=CRONO.NivelExibicao,MAX($AD$15:OFFSET(AD538,-1,0))+IF($C538&lt;&gt;1,1,MAX(1,COUNTIF(QCI!$A$13:$A$24,OFFSET($E538,-1,0)))),"")</f>
        <v/>
      </c>
      <c r="AE538" s="114" t="str">
        <f t="shared" ca="1" si="258"/>
        <v>SINAPI 93655</v>
      </c>
      <c r="AF538" s="159" t="str">
        <f t="shared" ca="1" si="259"/>
        <v>(abra o arquivo 'Referência 05-2024.xls)</v>
      </c>
      <c r="AG538" s="579">
        <f t="shared" ca="1" si="260"/>
        <v>0</v>
      </c>
      <c r="AH538" s="580">
        <f t="shared" ca="1" si="261"/>
        <v>0.22470000000000001</v>
      </c>
      <c r="AJ538" s="582">
        <v>11</v>
      </c>
      <c r="AL538" s="612"/>
      <c r="AM538" s="430">
        <f t="shared" ca="1" si="262"/>
        <v>0</v>
      </c>
      <c r="AN538" s="655">
        <f t="shared" ca="1" si="263"/>
        <v>0</v>
      </c>
    </row>
    <row r="539" spans="1:40" ht="13.8" x14ac:dyDescent="0.3">
      <c r="A539" t="str">
        <f t="shared" si="242"/>
        <v>S</v>
      </c>
      <c r="B539">
        <f t="shared" ca="1" si="243"/>
        <v>3</v>
      </c>
      <c r="C539" t="str">
        <f t="shared" ca="1" si="244"/>
        <v>S</v>
      </c>
      <c r="D539">
        <f t="shared" ca="1" si="245"/>
        <v>0</v>
      </c>
      <c r="E539">
        <f ca="1">IF($C539=1,OFFSET(E539,-1,0)+MAX(1,COUNTIF(QCI!$A$13:$A$24,OFFSET(ORÇAMENTO!E539,-1,0))),OFFSET(E539,-1,0))</f>
        <v>1</v>
      </c>
      <c r="F539">
        <f t="shared" ca="1" si="246"/>
        <v>18</v>
      </c>
      <c r="G539">
        <f t="shared" ca="1" si="247"/>
        <v>2</v>
      </c>
      <c r="H539">
        <f t="shared" ca="1" si="248"/>
        <v>0</v>
      </c>
      <c r="I539">
        <f t="shared" ca="1" si="249"/>
        <v>0</v>
      </c>
      <c r="J539">
        <f t="shared" ca="1" si="264"/>
        <v>0</v>
      </c>
      <c r="K539">
        <f ca="1">IF(OR($C539="S",$C539=0),0,MATCH(OFFSET($D539,0,$C539)+IF($C539&lt;&gt;1,1,COUNTIF(QCI!$A$13:$A$24,ORÇAMENTO!E539)),OFFSET($D539,1,$C539,ROW($C$710)-ROW($C539)),0))</f>
        <v>0</v>
      </c>
      <c r="L539" s="143" t="str">
        <f t="shared" ca="1" si="250"/>
        <v/>
      </c>
      <c r="M539" s="144" t="s">
        <v>201</v>
      </c>
      <c r="N539" s="145" t="str">
        <f t="shared" ca="1" si="251"/>
        <v>Serviço</v>
      </c>
      <c r="O539" s="146" t="str">
        <f t="shared" ca="1" si="252"/>
        <v>-</v>
      </c>
      <c r="P539" s="147" t="s">
        <v>249</v>
      </c>
      <c r="Q539" s="148">
        <v>93656</v>
      </c>
      <c r="R539" s="149" t="str">
        <f t="shared" ca="1" si="266"/>
        <v>(abra o arquivo 'Referência 05-2024.xls)</v>
      </c>
      <c r="S539" s="150" t="str">
        <f t="shared" ca="1" si="267"/>
        <v>-</v>
      </c>
      <c r="T539" s="151">
        <f ca="1">OFFSET(CÁLCULO!H$15,ROW($T539)-ROW(T$15),0)</f>
        <v>12</v>
      </c>
      <c r="U539" s="152">
        <f t="shared" ca="1" si="265"/>
        <v>0</v>
      </c>
      <c r="V539" s="153" t="s">
        <v>158</v>
      </c>
      <c r="W539" s="151">
        <f t="shared" ca="1" si="253"/>
        <v>0</v>
      </c>
      <c r="X539" s="154">
        <f t="shared" ca="1" si="254"/>
        <v>0</v>
      </c>
      <c r="Y539" s="155" t="s">
        <v>583</v>
      </c>
      <c r="Z539" t="str">
        <f t="shared" ca="1" si="255"/>
        <v/>
      </c>
      <c r="AA539" s="156">
        <f ca="1">IF($C539="S",IF($Z539="CP",$X539,IF($Z539="RA",(($X539)*QCI!$AA$3),0)),SomaAgrup)</f>
        <v>0</v>
      </c>
      <c r="AB539" s="157">
        <f t="shared" ca="1" si="256"/>
        <v>0</v>
      </c>
      <c r="AC539" s="158" t="str">
        <f t="shared" ca="1" si="257"/>
        <v/>
      </c>
      <c r="AD539" s="104" t="str">
        <f ca="1">IF(C539&lt;=CRONO.NivelExibicao,MAX($AD$15:OFFSET(AD539,-1,0))+IF($C539&lt;&gt;1,1,MAX(1,COUNTIF(QCI!$A$13:$A$24,OFFSET($E539,-1,0)))),"")</f>
        <v/>
      </c>
      <c r="AE539" s="114" t="str">
        <f t="shared" ca="1" si="258"/>
        <v>SINAPI 93656</v>
      </c>
      <c r="AF539" s="159" t="str">
        <f t="shared" ca="1" si="259"/>
        <v>(abra o arquivo 'Referência 05-2024.xls)</v>
      </c>
      <c r="AG539" s="579">
        <f t="shared" ca="1" si="260"/>
        <v>0</v>
      </c>
      <c r="AH539" s="580">
        <f t="shared" ca="1" si="261"/>
        <v>0.22470000000000001</v>
      </c>
      <c r="AJ539" s="582">
        <v>12</v>
      </c>
      <c r="AL539" s="612"/>
      <c r="AM539" s="430">
        <f t="shared" ca="1" si="262"/>
        <v>0</v>
      </c>
      <c r="AN539" s="655">
        <f t="shared" ca="1" si="263"/>
        <v>0</v>
      </c>
    </row>
    <row r="540" spans="1:40" ht="13.8" x14ac:dyDescent="0.3">
      <c r="A540" t="str">
        <f t="shared" si="242"/>
        <v>S</v>
      </c>
      <c r="B540">
        <f t="shared" ca="1" si="243"/>
        <v>3</v>
      </c>
      <c r="C540" t="str">
        <f t="shared" ca="1" si="244"/>
        <v>S</v>
      </c>
      <c r="D540">
        <f t="shared" ca="1" si="245"/>
        <v>0</v>
      </c>
      <c r="E540">
        <f ca="1">IF($C540=1,OFFSET(E540,-1,0)+MAX(1,COUNTIF(QCI!$A$13:$A$24,OFFSET(ORÇAMENTO!E540,-1,0))),OFFSET(E540,-1,0))</f>
        <v>1</v>
      </c>
      <c r="F540">
        <f t="shared" ca="1" si="246"/>
        <v>18</v>
      </c>
      <c r="G540">
        <f t="shared" ca="1" si="247"/>
        <v>2</v>
      </c>
      <c r="H540">
        <f t="shared" ca="1" si="248"/>
        <v>0</v>
      </c>
      <c r="I540">
        <f t="shared" ca="1" si="249"/>
        <v>0</v>
      </c>
      <c r="J540">
        <f t="shared" ca="1" si="264"/>
        <v>0</v>
      </c>
      <c r="K540">
        <f ca="1">IF(OR($C540="S",$C540=0),0,MATCH(OFFSET($D540,0,$C540)+IF($C540&lt;&gt;1,1,COUNTIF(QCI!$A$13:$A$24,ORÇAMENTO!E540)),OFFSET($D540,1,$C540,ROW($C$710)-ROW($C540)),0))</f>
        <v>0</v>
      </c>
      <c r="L540" s="143" t="str">
        <f t="shared" ca="1" si="250"/>
        <v/>
      </c>
      <c r="M540" s="144" t="s">
        <v>201</v>
      </c>
      <c r="N540" s="145" t="str">
        <f t="shared" ca="1" si="251"/>
        <v>Serviço</v>
      </c>
      <c r="O540" s="146" t="str">
        <f t="shared" ca="1" si="252"/>
        <v>-</v>
      </c>
      <c r="P540" s="147" t="s">
        <v>249</v>
      </c>
      <c r="Q540" s="148">
        <v>93658</v>
      </c>
      <c r="R540" s="149" t="str">
        <f t="shared" ca="1" si="266"/>
        <v>(abra o arquivo 'Referência 05-2024.xls)</v>
      </c>
      <c r="S540" s="150" t="str">
        <f t="shared" ca="1" si="267"/>
        <v>-</v>
      </c>
      <c r="T540" s="151">
        <f ca="1">OFFSET(CÁLCULO!H$15,ROW($T540)-ROW(T$15),0)</f>
        <v>1</v>
      </c>
      <c r="U540" s="152">
        <f t="shared" ca="1" si="265"/>
        <v>0</v>
      </c>
      <c r="V540" s="153" t="s">
        <v>158</v>
      </c>
      <c r="W540" s="151">
        <f t="shared" ca="1" si="253"/>
        <v>0</v>
      </c>
      <c r="X540" s="154">
        <f t="shared" ca="1" si="254"/>
        <v>0</v>
      </c>
      <c r="Y540" s="155" t="s">
        <v>583</v>
      </c>
      <c r="Z540" t="str">
        <f t="shared" ca="1" si="255"/>
        <v/>
      </c>
      <c r="AA540" s="156">
        <f ca="1">IF($C540="S",IF($Z540="CP",$X540,IF($Z540="RA",(($X540)*QCI!$AA$3),0)),SomaAgrup)</f>
        <v>0</v>
      </c>
      <c r="AB540" s="157">
        <f t="shared" ca="1" si="256"/>
        <v>0</v>
      </c>
      <c r="AC540" s="158" t="str">
        <f t="shared" ca="1" si="257"/>
        <v/>
      </c>
      <c r="AD540" s="104" t="str">
        <f ca="1">IF(C540&lt;=CRONO.NivelExibicao,MAX($AD$15:OFFSET(AD540,-1,0))+IF($C540&lt;&gt;1,1,MAX(1,COUNTIF(QCI!$A$13:$A$24,OFFSET($E540,-1,0)))),"")</f>
        <v/>
      </c>
      <c r="AE540" s="114" t="str">
        <f t="shared" ca="1" si="258"/>
        <v>SINAPI 93658</v>
      </c>
      <c r="AF540" s="159" t="str">
        <f t="shared" ca="1" si="259"/>
        <v>(abra o arquivo 'Referência 05-2024.xls)</v>
      </c>
      <c r="AG540" s="579">
        <f t="shared" ca="1" si="260"/>
        <v>0</v>
      </c>
      <c r="AH540" s="580">
        <f t="shared" ca="1" si="261"/>
        <v>0.22470000000000001</v>
      </c>
      <c r="AJ540" s="582">
        <v>1</v>
      </c>
      <c r="AL540" s="612"/>
      <c r="AM540" s="430">
        <f t="shared" ca="1" si="262"/>
        <v>0</v>
      </c>
      <c r="AN540" s="655">
        <f t="shared" ca="1" si="263"/>
        <v>0</v>
      </c>
    </row>
    <row r="541" spans="1:40" ht="13.8" x14ac:dyDescent="0.3">
      <c r="A541" t="str">
        <f t="shared" si="242"/>
        <v>S</v>
      </c>
      <c r="B541">
        <f t="shared" ca="1" si="243"/>
        <v>3</v>
      </c>
      <c r="C541" t="str">
        <f t="shared" ca="1" si="244"/>
        <v>S</v>
      </c>
      <c r="D541">
        <f t="shared" ca="1" si="245"/>
        <v>0</v>
      </c>
      <c r="E541">
        <f ca="1">IF($C541=1,OFFSET(E541,-1,0)+MAX(1,COUNTIF(QCI!$A$13:$A$24,OFFSET(ORÇAMENTO!E541,-1,0))),OFFSET(E541,-1,0))</f>
        <v>1</v>
      </c>
      <c r="F541">
        <f t="shared" ca="1" si="246"/>
        <v>18</v>
      </c>
      <c r="G541">
        <f t="shared" ca="1" si="247"/>
        <v>2</v>
      </c>
      <c r="H541">
        <f t="shared" ca="1" si="248"/>
        <v>0</v>
      </c>
      <c r="I541">
        <f t="shared" ca="1" si="249"/>
        <v>0</v>
      </c>
      <c r="J541">
        <f t="shared" ca="1" si="264"/>
        <v>0</v>
      </c>
      <c r="K541">
        <f ca="1">IF(OR($C541="S",$C541=0),0,MATCH(OFFSET($D541,0,$C541)+IF($C541&lt;&gt;1,1,COUNTIF(QCI!$A$13:$A$24,ORÇAMENTO!E541)),OFFSET($D541,1,$C541,ROW($C$710)-ROW($C541)),0))</f>
        <v>0</v>
      </c>
      <c r="L541" s="143" t="str">
        <f t="shared" ca="1" si="250"/>
        <v/>
      </c>
      <c r="M541" s="144" t="s">
        <v>201</v>
      </c>
      <c r="N541" s="145" t="str">
        <f t="shared" ca="1" si="251"/>
        <v>Serviço</v>
      </c>
      <c r="O541" s="146" t="str">
        <f t="shared" ca="1" si="252"/>
        <v>-</v>
      </c>
      <c r="P541" s="147" t="s">
        <v>249</v>
      </c>
      <c r="Q541" s="148">
        <v>93667</v>
      </c>
      <c r="R541" s="149" t="str">
        <f t="shared" ca="1" si="266"/>
        <v>(abra o arquivo 'Referência 05-2024.xls)</v>
      </c>
      <c r="S541" s="150" t="str">
        <f t="shared" ca="1" si="267"/>
        <v>-</v>
      </c>
      <c r="T541" s="151">
        <f ca="1">OFFSET(CÁLCULO!H$15,ROW($T541)-ROW(T$15),0)</f>
        <v>9</v>
      </c>
      <c r="U541" s="152">
        <f t="shared" ca="1" si="265"/>
        <v>0</v>
      </c>
      <c r="V541" s="153" t="s">
        <v>158</v>
      </c>
      <c r="W541" s="151">
        <f t="shared" ca="1" si="253"/>
        <v>0</v>
      </c>
      <c r="X541" s="154">
        <f t="shared" ca="1" si="254"/>
        <v>0</v>
      </c>
      <c r="Y541" s="155" t="s">
        <v>583</v>
      </c>
      <c r="Z541" t="str">
        <f t="shared" ca="1" si="255"/>
        <v/>
      </c>
      <c r="AA541" s="156">
        <f ca="1">IF($C541="S",IF($Z541="CP",$X541,IF($Z541="RA",(($X541)*QCI!$AA$3),0)),SomaAgrup)</f>
        <v>0</v>
      </c>
      <c r="AB541" s="157">
        <f t="shared" ca="1" si="256"/>
        <v>0</v>
      </c>
      <c r="AC541" s="158" t="str">
        <f t="shared" ca="1" si="257"/>
        <v/>
      </c>
      <c r="AD541" s="104" t="str">
        <f ca="1">IF(C541&lt;=CRONO.NivelExibicao,MAX($AD$15:OFFSET(AD541,-1,0))+IF($C541&lt;&gt;1,1,MAX(1,COUNTIF(QCI!$A$13:$A$24,OFFSET($E541,-1,0)))),"")</f>
        <v/>
      </c>
      <c r="AE541" s="114" t="str">
        <f t="shared" ca="1" si="258"/>
        <v>SINAPI 93667</v>
      </c>
      <c r="AF541" s="159" t="str">
        <f t="shared" ca="1" si="259"/>
        <v>(abra o arquivo 'Referência 05-2024.xls)</v>
      </c>
      <c r="AG541" s="579">
        <f t="shared" ca="1" si="260"/>
        <v>0</v>
      </c>
      <c r="AH541" s="580">
        <f t="shared" ca="1" si="261"/>
        <v>0.22470000000000001</v>
      </c>
      <c r="AJ541" s="582">
        <v>9</v>
      </c>
      <c r="AL541" s="612"/>
      <c r="AM541" s="430">
        <f t="shared" ca="1" si="262"/>
        <v>0</v>
      </c>
      <c r="AN541" s="655">
        <f t="shared" ca="1" si="263"/>
        <v>0</v>
      </c>
    </row>
    <row r="542" spans="1:40" ht="13.8" x14ac:dyDescent="0.3">
      <c r="A542" t="str">
        <f t="shared" si="242"/>
        <v>S</v>
      </c>
      <c r="B542">
        <f t="shared" ca="1" si="243"/>
        <v>3</v>
      </c>
      <c r="C542" t="str">
        <f t="shared" ca="1" si="244"/>
        <v>S</v>
      </c>
      <c r="D542">
        <f t="shared" ca="1" si="245"/>
        <v>0</v>
      </c>
      <c r="E542">
        <f ca="1">IF($C542=1,OFFSET(E542,-1,0)+MAX(1,COUNTIF(QCI!$A$13:$A$24,OFFSET(ORÇAMENTO!E542,-1,0))),OFFSET(E542,-1,0))</f>
        <v>1</v>
      </c>
      <c r="F542">
        <f t="shared" ca="1" si="246"/>
        <v>18</v>
      </c>
      <c r="G542">
        <f t="shared" ca="1" si="247"/>
        <v>2</v>
      </c>
      <c r="H542">
        <f t="shared" ca="1" si="248"/>
        <v>0</v>
      </c>
      <c r="I542">
        <f t="shared" ca="1" si="249"/>
        <v>0</v>
      </c>
      <c r="J542">
        <f t="shared" ca="1" si="264"/>
        <v>0</v>
      </c>
      <c r="K542">
        <f ca="1">IF(OR($C542="S",$C542=0),0,MATCH(OFFSET($D542,0,$C542)+IF($C542&lt;&gt;1,1,COUNTIF(QCI!$A$13:$A$24,ORÇAMENTO!E542)),OFFSET($D542,1,$C542,ROW($C$710)-ROW($C542)),0))</f>
        <v>0</v>
      </c>
      <c r="L542" s="143" t="str">
        <f t="shared" ca="1" si="250"/>
        <v/>
      </c>
      <c r="M542" s="144" t="s">
        <v>201</v>
      </c>
      <c r="N542" s="145" t="str">
        <f t="shared" ca="1" si="251"/>
        <v>Serviço</v>
      </c>
      <c r="O542" s="146" t="str">
        <f t="shared" ca="1" si="252"/>
        <v>-</v>
      </c>
      <c r="P542" s="147" t="s">
        <v>249</v>
      </c>
      <c r="Q542" s="148">
        <v>93668</v>
      </c>
      <c r="R542" s="149" t="str">
        <f t="shared" ca="1" si="266"/>
        <v>(abra o arquivo 'Referência 05-2024.xls)</v>
      </c>
      <c r="S542" s="150" t="str">
        <f t="shared" ca="1" si="267"/>
        <v>-</v>
      </c>
      <c r="T542" s="151">
        <f ca="1">OFFSET(CÁLCULO!H$15,ROW($T542)-ROW(T$15),0)</f>
        <v>7</v>
      </c>
      <c r="U542" s="152">
        <f t="shared" ca="1" si="265"/>
        <v>0</v>
      </c>
      <c r="V542" s="153" t="s">
        <v>158</v>
      </c>
      <c r="W542" s="151">
        <f t="shared" ca="1" si="253"/>
        <v>0</v>
      </c>
      <c r="X542" s="154">
        <f t="shared" ca="1" si="254"/>
        <v>0</v>
      </c>
      <c r="Y542" s="155" t="s">
        <v>583</v>
      </c>
      <c r="Z542" t="str">
        <f t="shared" ca="1" si="255"/>
        <v/>
      </c>
      <c r="AA542" s="156">
        <f ca="1">IF($C542="S",IF($Z542="CP",$X542,IF($Z542="RA",(($X542)*QCI!$AA$3),0)),SomaAgrup)</f>
        <v>0</v>
      </c>
      <c r="AB542" s="157">
        <f t="shared" ca="1" si="256"/>
        <v>0</v>
      </c>
      <c r="AC542" s="158" t="str">
        <f t="shared" ca="1" si="257"/>
        <v/>
      </c>
      <c r="AD542" s="104" t="str">
        <f ca="1">IF(C542&lt;=CRONO.NivelExibicao,MAX($AD$15:OFFSET(AD542,-1,0))+IF($C542&lt;&gt;1,1,MAX(1,COUNTIF(QCI!$A$13:$A$24,OFFSET($E542,-1,0)))),"")</f>
        <v/>
      </c>
      <c r="AE542" s="114" t="str">
        <f t="shared" ca="1" si="258"/>
        <v>SINAPI 93668</v>
      </c>
      <c r="AF542" s="159" t="str">
        <f t="shared" ca="1" si="259"/>
        <v>(abra o arquivo 'Referência 05-2024.xls)</v>
      </c>
      <c r="AG542" s="579">
        <f t="shared" ca="1" si="260"/>
        <v>0</v>
      </c>
      <c r="AH542" s="580">
        <f t="shared" ca="1" si="261"/>
        <v>0.22470000000000001</v>
      </c>
      <c r="AJ542" s="582">
        <v>7</v>
      </c>
      <c r="AL542" s="612"/>
      <c r="AM542" s="430">
        <f t="shared" ca="1" si="262"/>
        <v>0</v>
      </c>
      <c r="AN542" s="655">
        <f t="shared" ca="1" si="263"/>
        <v>0</v>
      </c>
    </row>
    <row r="543" spans="1:40" ht="13.8" x14ac:dyDescent="0.3">
      <c r="A543" t="str">
        <f t="shared" si="242"/>
        <v>S</v>
      </c>
      <c r="B543">
        <f t="shared" ca="1" si="243"/>
        <v>3</v>
      </c>
      <c r="C543" t="str">
        <f t="shared" ca="1" si="244"/>
        <v>S</v>
      </c>
      <c r="D543">
        <f t="shared" ca="1" si="245"/>
        <v>0</v>
      </c>
      <c r="E543">
        <f ca="1">IF($C543=1,OFFSET(E543,-1,0)+MAX(1,COUNTIF(QCI!$A$13:$A$24,OFFSET(ORÇAMENTO!E543,-1,0))),OFFSET(E543,-1,0))</f>
        <v>1</v>
      </c>
      <c r="F543">
        <f t="shared" ca="1" si="246"/>
        <v>18</v>
      </c>
      <c r="G543">
        <f t="shared" ca="1" si="247"/>
        <v>2</v>
      </c>
      <c r="H543">
        <f t="shared" ca="1" si="248"/>
        <v>0</v>
      </c>
      <c r="I543">
        <f t="shared" ca="1" si="249"/>
        <v>0</v>
      </c>
      <c r="J543">
        <f t="shared" ca="1" si="264"/>
        <v>0</v>
      </c>
      <c r="K543">
        <f ca="1">IF(OR($C543="S",$C543=0),0,MATCH(OFFSET($D543,0,$C543)+IF($C543&lt;&gt;1,1,COUNTIF(QCI!$A$13:$A$24,ORÇAMENTO!E543)),OFFSET($D543,1,$C543,ROW($C$710)-ROW($C543)),0))</f>
        <v>0</v>
      </c>
      <c r="L543" s="143" t="str">
        <f t="shared" ca="1" si="250"/>
        <v/>
      </c>
      <c r="M543" s="144" t="s">
        <v>201</v>
      </c>
      <c r="N543" s="145" t="str">
        <f t="shared" ca="1" si="251"/>
        <v>Serviço</v>
      </c>
      <c r="O543" s="146" t="str">
        <f t="shared" ca="1" si="252"/>
        <v>-</v>
      </c>
      <c r="P543" s="147" t="s">
        <v>249</v>
      </c>
      <c r="Q543" s="148">
        <v>93671</v>
      </c>
      <c r="R543" s="149" t="str">
        <f t="shared" ca="1" si="266"/>
        <v>(abra o arquivo 'Referência 05-2024.xls)</v>
      </c>
      <c r="S543" s="150" t="str">
        <f t="shared" ca="1" si="267"/>
        <v>-</v>
      </c>
      <c r="T543" s="151">
        <f ca="1">OFFSET(CÁLCULO!H$15,ROW($T543)-ROW(T$15),0)</f>
        <v>4</v>
      </c>
      <c r="U543" s="152">
        <f t="shared" ca="1" si="265"/>
        <v>0</v>
      </c>
      <c r="V543" s="153" t="s">
        <v>158</v>
      </c>
      <c r="W543" s="151">
        <f t="shared" ca="1" si="253"/>
        <v>0</v>
      </c>
      <c r="X543" s="154">
        <f t="shared" ca="1" si="254"/>
        <v>0</v>
      </c>
      <c r="Y543" s="155" t="s">
        <v>583</v>
      </c>
      <c r="Z543" t="str">
        <f t="shared" ca="1" si="255"/>
        <v/>
      </c>
      <c r="AA543" s="156">
        <f ca="1">IF($C543="S",IF($Z543="CP",$X543,IF($Z543="RA",(($X543)*QCI!$AA$3),0)),SomaAgrup)</f>
        <v>0</v>
      </c>
      <c r="AB543" s="157">
        <f t="shared" ca="1" si="256"/>
        <v>0</v>
      </c>
      <c r="AC543" s="158" t="str">
        <f t="shared" ca="1" si="257"/>
        <v/>
      </c>
      <c r="AD543" s="104" t="str">
        <f ca="1">IF(C543&lt;=CRONO.NivelExibicao,MAX($AD$15:OFFSET(AD543,-1,0))+IF($C543&lt;&gt;1,1,MAX(1,COUNTIF(QCI!$A$13:$A$24,OFFSET($E543,-1,0)))),"")</f>
        <v/>
      </c>
      <c r="AE543" s="114" t="str">
        <f t="shared" ca="1" si="258"/>
        <v>SINAPI 93671</v>
      </c>
      <c r="AF543" s="159" t="str">
        <f t="shared" ca="1" si="259"/>
        <v>(abra o arquivo 'Referência 05-2024.xls)</v>
      </c>
      <c r="AG543" s="579">
        <f t="shared" ca="1" si="260"/>
        <v>0</v>
      </c>
      <c r="AH543" s="580">
        <f t="shared" ca="1" si="261"/>
        <v>0.22470000000000001</v>
      </c>
      <c r="AJ543" s="582">
        <v>4</v>
      </c>
      <c r="AL543" s="612"/>
      <c r="AM543" s="430">
        <f t="shared" ca="1" si="262"/>
        <v>0</v>
      </c>
      <c r="AN543" s="655">
        <f t="shared" ca="1" si="263"/>
        <v>0</v>
      </c>
    </row>
    <row r="544" spans="1:40" ht="13.8" x14ac:dyDescent="0.3">
      <c r="A544" t="str">
        <f t="shared" si="242"/>
        <v>S</v>
      </c>
      <c r="B544">
        <f t="shared" ca="1" si="243"/>
        <v>3</v>
      </c>
      <c r="C544" t="str">
        <f t="shared" ca="1" si="244"/>
        <v>S</v>
      </c>
      <c r="D544">
        <f t="shared" ca="1" si="245"/>
        <v>0</v>
      </c>
      <c r="E544">
        <f ca="1">IF($C544=1,OFFSET(E544,-1,0)+MAX(1,COUNTIF(QCI!$A$13:$A$24,OFFSET(ORÇAMENTO!E544,-1,0))),OFFSET(E544,-1,0))</f>
        <v>1</v>
      </c>
      <c r="F544">
        <f t="shared" ca="1" si="246"/>
        <v>18</v>
      </c>
      <c r="G544">
        <f t="shared" ca="1" si="247"/>
        <v>2</v>
      </c>
      <c r="H544">
        <f t="shared" ca="1" si="248"/>
        <v>0</v>
      </c>
      <c r="I544">
        <f t="shared" ca="1" si="249"/>
        <v>0</v>
      </c>
      <c r="J544">
        <f t="shared" ca="1" si="264"/>
        <v>0</v>
      </c>
      <c r="K544">
        <f ca="1">IF(OR($C544="S",$C544=0),0,MATCH(OFFSET($D544,0,$C544)+IF($C544&lt;&gt;1,1,COUNTIF(QCI!$A$13:$A$24,ORÇAMENTO!E544)),OFFSET($D544,1,$C544,ROW($C$710)-ROW($C544)),0))</f>
        <v>0</v>
      </c>
      <c r="L544" s="143" t="str">
        <f t="shared" ca="1" si="250"/>
        <v/>
      </c>
      <c r="M544" s="144" t="s">
        <v>201</v>
      </c>
      <c r="N544" s="145" t="str">
        <f t="shared" ca="1" si="251"/>
        <v>Serviço</v>
      </c>
      <c r="O544" s="146" t="str">
        <f t="shared" ca="1" si="252"/>
        <v>-</v>
      </c>
      <c r="P544" s="147" t="s">
        <v>249</v>
      </c>
      <c r="Q544" s="148">
        <v>93672</v>
      </c>
      <c r="R544" s="149" t="str">
        <f t="shared" ca="1" si="266"/>
        <v>(abra o arquivo 'Referência 05-2024.xls)</v>
      </c>
      <c r="S544" s="150" t="str">
        <f t="shared" ca="1" si="267"/>
        <v>-</v>
      </c>
      <c r="T544" s="151">
        <f ca="1">OFFSET(CÁLCULO!H$15,ROW($T544)-ROW(T$15),0)</f>
        <v>2</v>
      </c>
      <c r="U544" s="152">
        <f t="shared" ca="1" si="265"/>
        <v>0</v>
      </c>
      <c r="V544" s="153" t="s">
        <v>158</v>
      </c>
      <c r="W544" s="151">
        <f t="shared" ca="1" si="253"/>
        <v>0</v>
      </c>
      <c r="X544" s="154">
        <f t="shared" ca="1" si="254"/>
        <v>0</v>
      </c>
      <c r="Y544" s="155" t="s">
        <v>583</v>
      </c>
      <c r="Z544" t="str">
        <f t="shared" ca="1" si="255"/>
        <v/>
      </c>
      <c r="AA544" s="156">
        <f ca="1">IF($C544="S",IF($Z544="CP",$X544,IF($Z544="RA",(($X544)*QCI!$AA$3),0)),SomaAgrup)</f>
        <v>0</v>
      </c>
      <c r="AB544" s="157">
        <f t="shared" ca="1" si="256"/>
        <v>0</v>
      </c>
      <c r="AC544" s="158" t="str">
        <f t="shared" ca="1" si="257"/>
        <v/>
      </c>
      <c r="AD544" s="104" t="str">
        <f ca="1">IF(C544&lt;=CRONO.NivelExibicao,MAX($AD$15:OFFSET(AD544,-1,0))+IF($C544&lt;&gt;1,1,MAX(1,COUNTIF(QCI!$A$13:$A$24,OFFSET($E544,-1,0)))),"")</f>
        <v/>
      </c>
      <c r="AE544" s="114" t="str">
        <f t="shared" ca="1" si="258"/>
        <v>SINAPI 93672</v>
      </c>
      <c r="AF544" s="159" t="str">
        <f t="shared" ca="1" si="259"/>
        <v>(abra o arquivo 'Referência 05-2024.xls)</v>
      </c>
      <c r="AG544" s="579">
        <f t="shared" ca="1" si="260"/>
        <v>0</v>
      </c>
      <c r="AH544" s="580">
        <f t="shared" ca="1" si="261"/>
        <v>0.22470000000000001</v>
      </c>
      <c r="AJ544" s="582">
        <v>2</v>
      </c>
      <c r="AL544" s="612"/>
      <c r="AM544" s="430">
        <f t="shared" ca="1" si="262"/>
        <v>0</v>
      </c>
      <c r="AN544" s="655">
        <f t="shared" ca="1" si="263"/>
        <v>0</v>
      </c>
    </row>
    <row r="545" spans="1:40" ht="13.8" x14ac:dyDescent="0.3">
      <c r="A545" t="str">
        <f t="shared" si="242"/>
        <v>S</v>
      </c>
      <c r="B545">
        <f t="shared" ca="1" si="243"/>
        <v>3</v>
      </c>
      <c r="C545" t="str">
        <f t="shared" ca="1" si="244"/>
        <v>S</v>
      </c>
      <c r="D545">
        <f t="shared" ca="1" si="245"/>
        <v>0</v>
      </c>
      <c r="E545">
        <f ca="1">IF($C545=1,OFFSET(E545,-1,0)+MAX(1,COUNTIF(QCI!$A$13:$A$24,OFFSET(ORÇAMENTO!E545,-1,0))),OFFSET(E545,-1,0))</f>
        <v>1</v>
      </c>
      <c r="F545">
        <f t="shared" ca="1" si="246"/>
        <v>18</v>
      </c>
      <c r="G545">
        <f t="shared" ca="1" si="247"/>
        <v>2</v>
      </c>
      <c r="H545">
        <f t="shared" ca="1" si="248"/>
        <v>0</v>
      </c>
      <c r="I545">
        <f t="shared" ca="1" si="249"/>
        <v>0</v>
      </c>
      <c r="J545">
        <f t="shared" ca="1" si="264"/>
        <v>0</v>
      </c>
      <c r="K545">
        <f ca="1">IF(OR($C545="S",$C545=0),0,MATCH(OFFSET($D545,0,$C545)+IF($C545&lt;&gt;1,1,COUNTIF(QCI!$A$13:$A$24,ORÇAMENTO!E545)),OFFSET($D545,1,$C545,ROW($C$710)-ROW($C545)),0))</f>
        <v>0</v>
      </c>
      <c r="L545" s="143" t="str">
        <f t="shared" ca="1" si="250"/>
        <v/>
      </c>
      <c r="M545" s="144" t="s">
        <v>201</v>
      </c>
      <c r="N545" s="145" t="str">
        <f t="shared" ca="1" si="251"/>
        <v>Serviço</v>
      </c>
      <c r="O545" s="146" t="str">
        <f t="shared" ca="1" si="252"/>
        <v>-</v>
      </c>
      <c r="P545" s="147" t="s">
        <v>249</v>
      </c>
      <c r="Q545" s="148">
        <v>93673</v>
      </c>
      <c r="R545" s="149" t="str">
        <f t="shared" ca="1" si="266"/>
        <v>(abra o arquivo 'Referência 05-2024.xls)</v>
      </c>
      <c r="S545" s="150" t="str">
        <f t="shared" ca="1" si="267"/>
        <v>-</v>
      </c>
      <c r="T545" s="151">
        <f ca="1">OFFSET(CÁLCULO!H$15,ROW($T545)-ROW(T$15),0)</f>
        <v>2</v>
      </c>
      <c r="U545" s="152">
        <f t="shared" ca="1" si="265"/>
        <v>0</v>
      </c>
      <c r="V545" s="153" t="s">
        <v>158</v>
      </c>
      <c r="W545" s="151">
        <f t="shared" ca="1" si="253"/>
        <v>0</v>
      </c>
      <c r="X545" s="154">
        <f t="shared" ca="1" si="254"/>
        <v>0</v>
      </c>
      <c r="Y545" s="155" t="s">
        <v>583</v>
      </c>
      <c r="Z545" t="str">
        <f t="shared" ca="1" si="255"/>
        <v/>
      </c>
      <c r="AA545" s="156">
        <f ca="1">IF($C545="S",IF($Z545="CP",$X545,IF($Z545="RA",(($X545)*QCI!$AA$3),0)),SomaAgrup)</f>
        <v>0</v>
      </c>
      <c r="AB545" s="157">
        <f t="shared" ca="1" si="256"/>
        <v>0</v>
      </c>
      <c r="AC545" s="158" t="str">
        <f t="shared" ca="1" si="257"/>
        <v/>
      </c>
      <c r="AD545" s="104" t="str">
        <f ca="1">IF(C545&lt;=CRONO.NivelExibicao,MAX($AD$15:OFFSET(AD545,-1,0))+IF($C545&lt;&gt;1,1,MAX(1,COUNTIF(QCI!$A$13:$A$24,OFFSET($E545,-1,0)))),"")</f>
        <v/>
      </c>
      <c r="AE545" s="114" t="str">
        <f t="shared" ca="1" si="258"/>
        <v>SINAPI 93673</v>
      </c>
      <c r="AF545" s="159" t="str">
        <f t="shared" ca="1" si="259"/>
        <v>(abra o arquivo 'Referência 05-2024.xls)</v>
      </c>
      <c r="AG545" s="579">
        <f t="shared" ca="1" si="260"/>
        <v>0</v>
      </c>
      <c r="AH545" s="580">
        <f t="shared" ca="1" si="261"/>
        <v>0.22470000000000001</v>
      </c>
      <c r="AJ545" s="582">
        <v>2</v>
      </c>
      <c r="AL545" s="612"/>
      <c r="AM545" s="430">
        <f t="shared" ca="1" si="262"/>
        <v>0</v>
      </c>
      <c r="AN545" s="655">
        <f t="shared" ca="1" si="263"/>
        <v>0</v>
      </c>
    </row>
    <row r="546" spans="1:40" ht="13.8" x14ac:dyDescent="0.3">
      <c r="A546" t="str">
        <f t="shared" si="242"/>
        <v>S</v>
      </c>
      <c r="B546">
        <f t="shared" ca="1" si="243"/>
        <v>3</v>
      </c>
      <c r="C546" t="str">
        <f t="shared" ca="1" si="244"/>
        <v>S</v>
      </c>
      <c r="D546">
        <f t="shared" ca="1" si="245"/>
        <v>0</v>
      </c>
      <c r="E546">
        <f ca="1">IF($C546=1,OFFSET(E546,-1,0)+MAX(1,COUNTIF(QCI!$A$13:$A$24,OFFSET(ORÇAMENTO!E546,-1,0))),OFFSET(E546,-1,0))</f>
        <v>1</v>
      </c>
      <c r="F546">
        <f t="shared" ca="1" si="246"/>
        <v>18</v>
      </c>
      <c r="G546">
        <f t="shared" ca="1" si="247"/>
        <v>2</v>
      </c>
      <c r="H546">
        <f t="shared" ca="1" si="248"/>
        <v>0</v>
      </c>
      <c r="I546">
        <f t="shared" ca="1" si="249"/>
        <v>0</v>
      </c>
      <c r="J546">
        <f t="shared" ca="1" si="264"/>
        <v>0</v>
      </c>
      <c r="K546">
        <f ca="1">IF(OR($C546="S",$C546=0),0,MATCH(OFFSET($D546,0,$C546)+IF($C546&lt;&gt;1,1,COUNTIF(QCI!$A$13:$A$24,ORÇAMENTO!E546)),OFFSET($D546,1,$C546,ROW($C$710)-ROW($C546)),0))</f>
        <v>0</v>
      </c>
      <c r="L546" s="143" t="str">
        <f t="shared" ca="1" si="250"/>
        <v/>
      </c>
      <c r="M546" s="144" t="s">
        <v>201</v>
      </c>
      <c r="N546" s="145" t="str">
        <f t="shared" ca="1" si="251"/>
        <v>Serviço</v>
      </c>
      <c r="O546" s="146" t="str">
        <f t="shared" ca="1" si="252"/>
        <v>-</v>
      </c>
      <c r="P546" s="147" t="s">
        <v>249</v>
      </c>
      <c r="Q546" s="148">
        <v>93673</v>
      </c>
      <c r="R546" s="149" t="str">
        <f t="shared" ca="1" si="266"/>
        <v>(abra o arquivo 'Referência 05-2024.xls)</v>
      </c>
      <c r="S546" s="150" t="str">
        <f t="shared" ca="1" si="267"/>
        <v>-</v>
      </c>
      <c r="T546" s="151">
        <f ca="1">OFFSET(CÁLCULO!H$15,ROW($T546)-ROW(T$15),0)</f>
        <v>2</v>
      </c>
      <c r="U546" s="152">
        <f t="shared" ca="1" si="265"/>
        <v>0</v>
      </c>
      <c r="V546" s="153" t="s">
        <v>158</v>
      </c>
      <c r="W546" s="151">
        <f t="shared" ca="1" si="253"/>
        <v>0</v>
      </c>
      <c r="X546" s="154">
        <f t="shared" ca="1" si="254"/>
        <v>0</v>
      </c>
      <c r="Y546" s="155" t="s">
        <v>583</v>
      </c>
      <c r="Z546" t="str">
        <f t="shared" ca="1" si="255"/>
        <v/>
      </c>
      <c r="AA546" s="156">
        <f ca="1">IF($C546="S",IF($Z546="CP",$X546,IF($Z546="RA",(($X546)*QCI!$AA$3),0)),SomaAgrup)</f>
        <v>0</v>
      </c>
      <c r="AB546" s="157">
        <f t="shared" ca="1" si="256"/>
        <v>0</v>
      </c>
      <c r="AC546" s="158" t="str">
        <f t="shared" ca="1" si="257"/>
        <v/>
      </c>
      <c r="AD546" s="104" t="str">
        <f ca="1">IF(C546&lt;=CRONO.NivelExibicao,MAX($AD$15:OFFSET(AD546,-1,0))+IF($C546&lt;&gt;1,1,MAX(1,COUNTIF(QCI!$A$13:$A$24,OFFSET($E546,-1,0)))),"")</f>
        <v/>
      </c>
      <c r="AE546" s="114" t="str">
        <f t="shared" ca="1" si="258"/>
        <v>SINAPI 93673</v>
      </c>
      <c r="AF546" s="159" t="str">
        <f t="shared" ca="1" si="259"/>
        <v>(abra o arquivo 'Referência 05-2024.xls)</v>
      </c>
      <c r="AG546" s="579">
        <f t="shared" ca="1" si="260"/>
        <v>0</v>
      </c>
      <c r="AH546" s="580">
        <f t="shared" ca="1" si="261"/>
        <v>0.22470000000000001</v>
      </c>
      <c r="AJ546" s="582">
        <v>2</v>
      </c>
      <c r="AL546" s="612"/>
      <c r="AM546" s="430">
        <f t="shared" ca="1" si="262"/>
        <v>0</v>
      </c>
      <c r="AN546" s="655">
        <f t="shared" ca="1" si="263"/>
        <v>0</v>
      </c>
    </row>
    <row r="547" spans="1:40" ht="13.8" x14ac:dyDescent="0.3">
      <c r="A547" t="str">
        <f t="shared" si="242"/>
        <v>S</v>
      </c>
      <c r="B547">
        <f t="shared" ca="1" si="243"/>
        <v>3</v>
      </c>
      <c r="C547" t="str">
        <f t="shared" ca="1" si="244"/>
        <v>S</v>
      </c>
      <c r="D547">
        <f t="shared" ca="1" si="245"/>
        <v>0</v>
      </c>
      <c r="E547">
        <f ca="1">IF($C547=1,OFFSET(E547,-1,0)+MAX(1,COUNTIF(QCI!$A$13:$A$24,OFFSET(ORÇAMENTO!E547,-1,0))),OFFSET(E547,-1,0))</f>
        <v>1</v>
      </c>
      <c r="F547">
        <f t="shared" ca="1" si="246"/>
        <v>18</v>
      </c>
      <c r="G547">
        <f t="shared" ca="1" si="247"/>
        <v>2</v>
      </c>
      <c r="H547">
        <f t="shared" ca="1" si="248"/>
        <v>0</v>
      </c>
      <c r="I547">
        <f t="shared" ca="1" si="249"/>
        <v>0</v>
      </c>
      <c r="J547">
        <f t="shared" ca="1" si="264"/>
        <v>0</v>
      </c>
      <c r="K547">
        <f ca="1">IF(OR($C547="S",$C547=0),0,MATCH(OFFSET($D547,0,$C547)+IF($C547&lt;&gt;1,1,COUNTIF(QCI!$A$13:$A$24,ORÇAMENTO!E547)),OFFSET($D547,1,$C547,ROW($C$710)-ROW($C547)),0))</f>
        <v>0</v>
      </c>
      <c r="L547" s="143" t="str">
        <f t="shared" ca="1" si="250"/>
        <v/>
      </c>
      <c r="M547" s="144" t="s">
        <v>201</v>
      </c>
      <c r="N547" s="145" t="str">
        <f t="shared" ca="1" si="251"/>
        <v>Serviço</v>
      </c>
      <c r="O547" s="146" t="str">
        <f t="shared" ca="1" si="252"/>
        <v>-</v>
      </c>
      <c r="P547" s="147" t="s">
        <v>249</v>
      </c>
      <c r="Q547" s="148">
        <v>101895</v>
      </c>
      <c r="R547" s="149" t="str">
        <f t="shared" ca="1" si="266"/>
        <v>(abra o arquivo 'Referência 05-2024.xls)</v>
      </c>
      <c r="S547" s="150" t="str">
        <f t="shared" ca="1" si="267"/>
        <v>-</v>
      </c>
      <c r="T547" s="151">
        <f ca="1">OFFSET(CÁLCULO!H$15,ROW($T547)-ROW(T$15),0)</f>
        <v>2</v>
      </c>
      <c r="U547" s="152">
        <f t="shared" ca="1" si="265"/>
        <v>0</v>
      </c>
      <c r="V547" s="153" t="s">
        <v>158</v>
      </c>
      <c r="W547" s="151">
        <f t="shared" ca="1" si="253"/>
        <v>0</v>
      </c>
      <c r="X547" s="154">
        <f t="shared" ca="1" si="254"/>
        <v>0</v>
      </c>
      <c r="Y547" s="155" t="s">
        <v>583</v>
      </c>
      <c r="Z547" t="str">
        <f t="shared" ca="1" si="255"/>
        <v/>
      </c>
      <c r="AA547" s="156">
        <f ca="1">IF($C547="S",IF($Z547="CP",$X547,IF($Z547="RA",(($X547)*QCI!$AA$3),0)),SomaAgrup)</f>
        <v>0</v>
      </c>
      <c r="AB547" s="157">
        <f t="shared" ca="1" si="256"/>
        <v>0</v>
      </c>
      <c r="AC547" s="158" t="str">
        <f t="shared" ca="1" si="257"/>
        <v/>
      </c>
      <c r="AD547" s="104" t="str">
        <f ca="1">IF(C547&lt;=CRONO.NivelExibicao,MAX($AD$15:OFFSET(AD547,-1,0))+IF($C547&lt;&gt;1,1,MAX(1,COUNTIF(QCI!$A$13:$A$24,OFFSET($E547,-1,0)))),"")</f>
        <v/>
      </c>
      <c r="AE547" s="114" t="str">
        <f t="shared" ca="1" si="258"/>
        <v>SINAPI 101895</v>
      </c>
      <c r="AF547" s="159" t="str">
        <f t="shared" ca="1" si="259"/>
        <v>(abra o arquivo 'Referência 05-2024.xls)</v>
      </c>
      <c r="AG547" s="579">
        <f t="shared" ca="1" si="260"/>
        <v>0</v>
      </c>
      <c r="AH547" s="580">
        <f t="shared" ca="1" si="261"/>
        <v>0.22470000000000001</v>
      </c>
      <c r="AJ547" s="582">
        <v>2</v>
      </c>
      <c r="AL547" s="612"/>
      <c r="AM547" s="430">
        <f t="shared" ca="1" si="262"/>
        <v>0</v>
      </c>
      <c r="AN547" s="655">
        <f t="shared" ca="1" si="263"/>
        <v>0</v>
      </c>
    </row>
    <row r="548" spans="1:40" ht="13.8" x14ac:dyDescent="0.3">
      <c r="A548" t="str">
        <f t="shared" si="242"/>
        <v>S</v>
      </c>
      <c r="B548">
        <f t="shared" ca="1" si="243"/>
        <v>3</v>
      </c>
      <c r="C548" t="str">
        <f t="shared" ca="1" si="244"/>
        <v>S</v>
      </c>
      <c r="D548">
        <f t="shared" ca="1" si="245"/>
        <v>0</v>
      </c>
      <c r="E548">
        <f ca="1">IF($C548=1,OFFSET(E548,-1,0)+MAX(1,COUNTIF(QCI!$A$13:$A$24,OFFSET(ORÇAMENTO!E548,-1,0))),OFFSET(E548,-1,0))</f>
        <v>1</v>
      </c>
      <c r="F548">
        <f t="shared" ca="1" si="246"/>
        <v>18</v>
      </c>
      <c r="G548">
        <f t="shared" ca="1" si="247"/>
        <v>2</v>
      </c>
      <c r="H548">
        <f t="shared" ca="1" si="248"/>
        <v>0</v>
      </c>
      <c r="I548">
        <f t="shared" ca="1" si="249"/>
        <v>0</v>
      </c>
      <c r="J548">
        <f t="shared" ca="1" si="264"/>
        <v>0</v>
      </c>
      <c r="K548">
        <f ca="1">IF(OR($C548="S",$C548=0),0,MATCH(OFFSET($D548,0,$C548)+IF($C548&lt;&gt;1,1,COUNTIF(QCI!$A$13:$A$24,ORÇAMENTO!E548)),OFFSET($D548,1,$C548,ROW($C$710)-ROW($C548)),0))</f>
        <v>0</v>
      </c>
      <c r="L548" s="143" t="str">
        <f t="shared" ca="1" si="250"/>
        <v/>
      </c>
      <c r="M548" s="144" t="s">
        <v>201</v>
      </c>
      <c r="N548" s="145" t="str">
        <f t="shared" ca="1" si="251"/>
        <v>Serviço</v>
      </c>
      <c r="O548" s="146" t="str">
        <f t="shared" ca="1" si="252"/>
        <v>-</v>
      </c>
      <c r="P548" s="147" t="s">
        <v>249</v>
      </c>
      <c r="Q548" s="148">
        <v>101897</v>
      </c>
      <c r="R548" s="149" t="str">
        <f t="shared" ca="1" si="266"/>
        <v>(abra o arquivo 'Referência 05-2024.xls)</v>
      </c>
      <c r="S548" s="150" t="str">
        <f t="shared" ca="1" si="267"/>
        <v>-</v>
      </c>
      <c r="T548" s="151">
        <f ca="1">OFFSET(CÁLCULO!H$15,ROW($T548)-ROW(T$15),0)</f>
        <v>3</v>
      </c>
      <c r="U548" s="152">
        <f t="shared" ca="1" si="265"/>
        <v>0</v>
      </c>
      <c r="V548" s="153" t="s">
        <v>158</v>
      </c>
      <c r="W548" s="151">
        <f t="shared" ca="1" si="253"/>
        <v>0</v>
      </c>
      <c r="X548" s="154">
        <f t="shared" ca="1" si="254"/>
        <v>0</v>
      </c>
      <c r="Y548" s="155" t="s">
        <v>583</v>
      </c>
      <c r="Z548" t="str">
        <f t="shared" ca="1" si="255"/>
        <v/>
      </c>
      <c r="AA548" s="156">
        <f ca="1">IF($C548="S",IF($Z548="CP",$X548,IF($Z548="RA",(($X548)*QCI!$AA$3),0)),SomaAgrup)</f>
        <v>0</v>
      </c>
      <c r="AB548" s="157">
        <f t="shared" ca="1" si="256"/>
        <v>0</v>
      </c>
      <c r="AC548" s="158" t="str">
        <f t="shared" ca="1" si="257"/>
        <v/>
      </c>
      <c r="AD548" s="104" t="str">
        <f ca="1">IF(C548&lt;=CRONO.NivelExibicao,MAX($AD$15:OFFSET(AD548,-1,0))+IF($C548&lt;&gt;1,1,MAX(1,COUNTIF(QCI!$A$13:$A$24,OFFSET($E548,-1,0)))),"")</f>
        <v/>
      </c>
      <c r="AE548" s="114" t="str">
        <f t="shared" ca="1" si="258"/>
        <v>SINAPI 101897</v>
      </c>
      <c r="AF548" s="159" t="str">
        <f t="shared" ca="1" si="259"/>
        <v>(abra o arquivo 'Referência 05-2024.xls)</v>
      </c>
      <c r="AG548" s="579">
        <f t="shared" ca="1" si="260"/>
        <v>0</v>
      </c>
      <c r="AH548" s="580">
        <f t="shared" ca="1" si="261"/>
        <v>0.22470000000000001</v>
      </c>
      <c r="AJ548" s="582">
        <v>3</v>
      </c>
      <c r="AL548" s="612"/>
      <c r="AM548" s="430">
        <f t="shared" ca="1" si="262"/>
        <v>0</v>
      </c>
      <c r="AN548" s="655">
        <f t="shared" ca="1" si="263"/>
        <v>0</v>
      </c>
    </row>
    <row r="549" spans="1:40" ht="13.8" x14ac:dyDescent="0.3">
      <c r="A549" t="str">
        <f t="shared" si="242"/>
        <v>S</v>
      </c>
      <c r="B549">
        <f t="shared" ca="1" si="243"/>
        <v>3</v>
      </c>
      <c r="C549" t="str">
        <f t="shared" ca="1" si="244"/>
        <v>S</v>
      </c>
      <c r="D549">
        <f t="shared" ca="1" si="245"/>
        <v>0</v>
      </c>
      <c r="E549">
        <f ca="1">IF($C549=1,OFFSET(E549,-1,0)+MAX(1,COUNTIF(QCI!$A$13:$A$24,OFFSET(ORÇAMENTO!E549,-1,0))),OFFSET(E549,-1,0))</f>
        <v>1</v>
      </c>
      <c r="F549">
        <f t="shared" ca="1" si="246"/>
        <v>18</v>
      </c>
      <c r="G549">
        <f t="shared" ca="1" si="247"/>
        <v>2</v>
      </c>
      <c r="H549">
        <f t="shared" ca="1" si="248"/>
        <v>0</v>
      </c>
      <c r="I549">
        <f t="shared" ca="1" si="249"/>
        <v>0</v>
      </c>
      <c r="J549">
        <f t="shared" ca="1" si="264"/>
        <v>0</v>
      </c>
      <c r="K549">
        <f ca="1">IF(OR($C549="S",$C549=0),0,MATCH(OFFSET($D549,0,$C549)+IF($C549&lt;&gt;1,1,COUNTIF(QCI!$A$13:$A$24,ORÇAMENTO!E549)),OFFSET($D549,1,$C549,ROW($C$710)-ROW($C549)),0))</f>
        <v>0</v>
      </c>
      <c r="L549" s="143" t="str">
        <f t="shared" ca="1" si="250"/>
        <v/>
      </c>
      <c r="M549" s="144" t="s">
        <v>201</v>
      </c>
      <c r="N549" s="145" t="str">
        <f t="shared" ca="1" si="251"/>
        <v>Serviço</v>
      </c>
      <c r="O549" s="146" t="str">
        <f t="shared" ca="1" si="252"/>
        <v>-</v>
      </c>
      <c r="P549" s="147" t="s">
        <v>578</v>
      </c>
      <c r="Q549" s="148">
        <v>9004068</v>
      </c>
      <c r="R549" s="149" t="str">
        <f t="shared" ca="1" si="266"/>
        <v>(abra o arquivo 'Referência 05-2024.xls)</v>
      </c>
      <c r="S549" s="150" t="str">
        <f t="shared" ca="1" si="267"/>
        <v>-</v>
      </c>
      <c r="T549" s="151">
        <f ca="1">OFFSET(CÁLCULO!H$15,ROW($T549)-ROW(T$15),0)</f>
        <v>3</v>
      </c>
      <c r="U549" s="152">
        <f t="shared" ca="1" si="265"/>
        <v>0</v>
      </c>
      <c r="V549" s="153" t="s">
        <v>158</v>
      </c>
      <c r="W549" s="151">
        <f t="shared" ca="1" si="253"/>
        <v>0</v>
      </c>
      <c r="X549" s="154">
        <f t="shared" ca="1" si="254"/>
        <v>0</v>
      </c>
      <c r="Y549" s="155" t="s">
        <v>583</v>
      </c>
      <c r="Z549" t="str">
        <f t="shared" ca="1" si="255"/>
        <v/>
      </c>
      <c r="AA549" s="156">
        <f ca="1">IF($C549="S",IF($Z549="CP",$X549,IF($Z549="RA",(($X549)*QCI!$AA$3),0)),SomaAgrup)</f>
        <v>0</v>
      </c>
      <c r="AB549" s="157">
        <f t="shared" ca="1" si="256"/>
        <v>0</v>
      </c>
      <c r="AC549" s="158" t="str">
        <f t="shared" ca="1" si="257"/>
        <v/>
      </c>
      <c r="AD549" s="104" t="str">
        <f ca="1">IF(C549&lt;=CRONO.NivelExibicao,MAX($AD$15:OFFSET(AD549,-1,0))+IF($C549&lt;&gt;1,1,MAX(1,COUNTIF(QCI!$A$13:$A$24,OFFSET($E549,-1,0)))),"")</f>
        <v/>
      </c>
      <c r="AE549" s="114" t="str">
        <f t="shared" ca="1" si="258"/>
        <v>SIURB 9004068</v>
      </c>
      <c r="AF549" s="159" t="str">
        <f t="shared" ca="1" si="259"/>
        <v>(abra o arquivo 'Referência 05-2024.xls)</v>
      </c>
      <c r="AG549" s="579">
        <f t="shared" ca="1" si="260"/>
        <v>0</v>
      </c>
      <c r="AH549" s="580">
        <f t="shared" ca="1" si="261"/>
        <v>0.22470000000000001</v>
      </c>
      <c r="AJ549" s="582">
        <v>3</v>
      </c>
      <c r="AL549" s="612"/>
      <c r="AM549" s="430">
        <f t="shared" ca="1" si="262"/>
        <v>0</v>
      </c>
      <c r="AN549" s="655">
        <f t="shared" ca="1" si="263"/>
        <v>0</v>
      </c>
    </row>
    <row r="550" spans="1:40" ht="13.8" x14ac:dyDescent="0.3">
      <c r="A550" t="str">
        <f t="shared" si="242"/>
        <v>S</v>
      </c>
      <c r="B550">
        <f t="shared" ca="1" si="243"/>
        <v>3</v>
      </c>
      <c r="C550" t="str">
        <f t="shared" ca="1" si="244"/>
        <v>S</v>
      </c>
      <c r="D550">
        <f t="shared" ca="1" si="245"/>
        <v>0</v>
      </c>
      <c r="E550">
        <f ca="1">IF($C550=1,OFFSET(E550,-1,0)+MAX(1,COUNTIF(QCI!$A$13:$A$24,OFFSET(ORÇAMENTO!E550,-1,0))),OFFSET(E550,-1,0))</f>
        <v>1</v>
      </c>
      <c r="F550">
        <f t="shared" ca="1" si="246"/>
        <v>18</v>
      </c>
      <c r="G550">
        <f t="shared" ca="1" si="247"/>
        <v>2</v>
      </c>
      <c r="H550">
        <f t="shared" ca="1" si="248"/>
        <v>0</v>
      </c>
      <c r="I550">
        <f t="shared" ca="1" si="249"/>
        <v>0</v>
      </c>
      <c r="J550">
        <f t="shared" ca="1" si="264"/>
        <v>0</v>
      </c>
      <c r="K550">
        <f ca="1">IF(OR($C550="S",$C550=0),0,MATCH(OFFSET($D550,0,$C550)+IF($C550&lt;&gt;1,1,COUNTIF(QCI!$A$13:$A$24,ORÇAMENTO!E550)),OFFSET($D550,1,$C550,ROW($C$710)-ROW($C550)),0))</f>
        <v>0</v>
      </c>
      <c r="L550" s="143" t="str">
        <f t="shared" ca="1" si="250"/>
        <v/>
      </c>
      <c r="M550" s="144" t="s">
        <v>201</v>
      </c>
      <c r="N550" s="145" t="str">
        <f t="shared" ca="1" si="251"/>
        <v>Serviço</v>
      </c>
      <c r="O550" s="146" t="str">
        <f t="shared" ca="1" si="252"/>
        <v>-</v>
      </c>
      <c r="P550" s="147" t="s">
        <v>578</v>
      </c>
      <c r="Q550" s="148">
        <v>9004069</v>
      </c>
      <c r="R550" s="149" t="str">
        <f t="shared" ca="1" si="266"/>
        <v>(abra o arquivo 'Referência 05-2024.xls)</v>
      </c>
      <c r="S550" s="150" t="str">
        <f t="shared" ca="1" si="267"/>
        <v>-</v>
      </c>
      <c r="T550" s="151">
        <f ca="1">OFFSET(CÁLCULO!H$15,ROW($T550)-ROW(T$15),0)</f>
        <v>1</v>
      </c>
      <c r="U550" s="152">
        <f t="shared" ca="1" si="265"/>
        <v>0</v>
      </c>
      <c r="V550" s="153" t="s">
        <v>158</v>
      </c>
      <c r="W550" s="151">
        <f t="shared" ca="1" si="253"/>
        <v>0</v>
      </c>
      <c r="X550" s="154">
        <f t="shared" ca="1" si="254"/>
        <v>0</v>
      </c>
      <c r="Y550" s="155" t="s">
        <v>583</v>
      </c>
      <c r="Z550" t="str">
        <f t="shared" ca="1" si="255"/>
        <v/>
      </c>
      <c r="AA550" s="156">
        <f ca="1">IF($C550="S",IF($Z550="CP",$X550,IF($Z550="RA",(($X550)*QCI!$AA$3),0)),SomaAgrup)</f>
        <v>0</v>
      </c>
      <c r="AB550" s="157">
        <f t="shared" ca="1" si="256"/>
        <v>0</v>
      </c>
      <c r="AC550" s="158" t="str">
        <f t="shared" ca="1" si="257"/>
        <v/>
      </c>
      <c r="AD550" s="104" t="str">
        <f ca="1">IF(C550&lt;=CRONO.NivelExibicao,MAX($AD$15:OFFSET(AD550,-1,0))+IF($C550&lt;&gt;1,1,MAX(1,COUNTIF(QCI!$A$13:$A$24,OFFSET($E550,-1,0)))),"")</f>
        <v/>
      </c>
      <c r="AE550" s="114" t="str">
        <f t="shared" ca="1" si="258"/>
        <v>SIURB 9004069</v>
      </c>
      <c r="AF550" s="159" t="str">
        <f t="shared" ca="1" si="259"/>
        <v>(abra o arquivo 'Referência 05-2024.xls)</v>
      </c>
      <c r="AG550" s="579">
        <f t="shared" ca="1" si="260"/>
        <v>0</v>
      </c>
      <c r="AH550" s="580">
        <f t="shared" ca="1" si="261"/>
        <v>0.22470000000000001</v>
      </c>
      <c r="AJ550" s="582">
        <v>1</v>
      </c>
      <c r="AL550" s="612"/>
      <c r="AM550" s="430">
        <f t="shared" ca="1" si="262"/>
        <v>0</v>
      </c>
      <c r="AN550" s="655">
        <f t="shared" ca="1" si="263"/>
        <v>0</v>
      </c>
    </row>
    <row r="551" spans="1:40" ht="13.8" x14ac:dyDescent="0.3">
      <c r="A551" t="str">
        <f t="shared" si="242"/>
        <v>S</v>
      </c>
      <c r="B551">
        <f t="shared" ca="1" si="243"/>
        <v>3</v>
      </c>
      <c r="C551" t="str">
        <f t="shared" ca="1" si="244"/>
        <v>S</v>
      </c>
      <c r="D551">
        <f t="shared" ca="1" si="245"/>
        <v>0</v>
      </c>
      <c r="E551">
        <f ca="1">IF($C551=1,OFFSET(E551,-1,0)+MAX(1,COUNTIF(QCI!$A$13:$A$24,OFFSET(ORÇAMENTO!E551,-1,0))),OFFSET(E551,-1,0))</f>
        <v>1</v>
      </c>
      <c r="F551">
        <f t="shared" ca="1" si="246"/>
        <v>18</v>
      </c>
      <c r="G551">
        <f t="shared" ca="1" si="247"/>
        <v>2</v>
      </c>
      <c r="H551">
        <f t="shared" ca="1" si="248"/>
        <v>0</v>
      </c>
      <c r="I551">
        <f t="shared" ca="1" si="249"/>
        <v>0</v>
      </c>
      <c r="J551">
        <f t="shared" ca="1" si="264"/>
        <v>0</v>
      </c>
      <c r="K551">
        <f ca="1">IF(OR($C551="S",$C551=0),0,MATCH(OFFSET($D551,0,$C551)+IF($C551&lt;&gt;1,1,COUNTIF(QCI!$A$13:$A$24,ORÇAMENTO!E551)),OFFSET($D551,1,$C551,ROW($C$710)-ROW($C551)),0))</f>
        <v>0</v>
      </c>
      <c r="L551" s="143" t="str">
        <f t="shared" ca="1" si="250"/>
        <v/>
      </c>
      <c r="M551" s="144" t="s">
        <v>201</v>
      </c>
      <c r="N551" s="145" t="str">
        <f t="shared" ca="1" si="251"/>
        <v>Serviço</v>
      </c>
      <c r="O551" s="146" t="str">
        <f t="shared" ca="1" si="252"/>
        <v>-</v>
      </c>
      <c r="P551" s="147" t="s">
        <v>578</v>
      </c>
      <c r="Q551" s="148">
        <v>9004072</v>
      </c>
      <c r="R551" s="149" t="str">
        <f t="shared" ca="1" si="266"/>
        <v>(abra o arquivo 'Referência 05-2024.xls)</v>
      </c>
      <c r="S551" s="150" t="str">
        <f t="shared" ca="1" si="267"/>
        <v>-</v>
      </c>
      <c r="T551" s="151">
        <f ca="1">OFFSET(CÁLCULO!H$15,ROW($T551)-ROW(T$15),0)</f>
        <v>26</v>
      </c>
      <c r="U551" s="152">
        <f t="shared" ca="1" si="265"/>
        <v>0</v>
      </c>
      <c r="V551" s="153" t="s">
        <v>158</v>
      </c>
      <c r="W551" s="151">
        <f t="shared" ca="1" si="253"/>
        <v>0</v>
      </c>
      <c r="X551" s="154">
        <f t="shared" ca="1" si="254"/>
        <v>0</v>
      </c>
      <c r="Y551" s="155" t="s">
        <v>583</v>
      </c>
      <c r="Z551" t="str">
        <f t="shared" ca="1" si="255"/>
        <v/>
      </c>
      <c r="AA551" s="156">
        <f ca="1">IF($C551="S",IF($Z551="CP",$X551,IF($Z551="RA",(($X551)*QCI!$AA$3),0)),SomaAgrup)</f>
        <v>0</v>
      </c>
      <c r="AB551" s="157">
        <f t="shared" ca="1" si="256"/>
        <v>0</v>
      </c>
      <c r="AC551" s="158" t="str">
        <f t="shared" ca="1" si="257"/>
        <v/>
      </c>
      <c r="AD551" s="104" t="str">
        <f ca="1">IF(C551&lt;=CRONO.NivelExibicao,MAX($AD$15:OFFSET(AD551,-1,0))+IF($C551&lt;&gt;1,1,MAX(1,COUNTIF(QCI!$A$13:$A$24,OFFSET($E551,-1,0)))),"")</f>
        <v/>
      </c>
      <c r="AE551" s="114" t="str">
        <f t="shared" ca="1" si="258"/>
        <v>SIURB 9004072</v>
      </c>
      <c r="AF551" s="159" t="str">
        <f t="shared" ca="1" si="259"/>
        <v>(abra o arquivo 'Referência 05-2024.xls)</v>
      </c>
      <c r="AG551" s="579">
        <f t="shared" ca="1" si="260"/>
        <v>0</v>
      </c>
      <c r="AH551" s="580">
        <f t="shared" ca="1" si="261"/>
        <v>0.22470000000000001</v>
      </c>
      <c r="AJ551" s="582">
        <v>26</v>
      </c>
      <c r="AL551" s="612"/>
      <c r="AM551" s="430">
        <f t="shared" ca="1" si="262"/>
        <v>0</v>
      </c>
      <c r="AN551" s="655">
        <f t="shared" ca="1" si="263"/>
        <v>0</v>
      </c>
    </row>
    <row r="552" spans="1:40" ht="13.8" x14ac:dyDescent="0.3">
      <c r="A552" t="str">
        <f t="shared" si="242"/>
        <v>S</v>
      </c>
      <c r="B552">
        <f t="shared" ca="1" si="243"/>
        <v>3</v>
      </c>
      <c r="C552" t="str">
        <f t="shared" ca="1" si="244"/>
        <v>S</v>
      </c>
      <c r="D552">
        <f t="shared" ca="1" si="245"/>
        <v>0</v>
      </c>
      <c r="E552">
        <f ca="1">IF($C552=1,OFFSET(E552,-1,0)+MAX(1,COUNTIF(QCI!$A$13:$A$24,OFFSET(ORÇAMENTO!E552,-1,0))),OFFSET(E552,-1,0))</f>
        <v>1</v>
      </c>
      <c r="F552">
        <f t="shared" ca="1" si="246"/>
        <v>18</v>
      </c>
      <c r="G552">
        <f t="shared" ca="1" si="247"/>
        <v>2</v>
      </c>
      <c r="H552">
        <f t="shared" ca="1" si="248"/>
        <v>0</v>
      </c>
      <c r="I552">
        <f t="shared" ca="1" si="249"/>
        <v>0</v>
      </c>
      <c r="J552">
        <f t="shared" ca="1" si="264"/>
        <v>0</v>
      </c>
      <c r="K552">
        <f ca="1">IF(OR($C552="S",$C552=0),0,MATCH(OFFSET($D552,0,$C552)+IF($C552&lt;&gt;1,1,COUNTIF(QCI!$A$13:$A$24,ORÇAMENTO!E552)),OFFSET($D552,1,$C552,ROW($C$710)-ROW($C552)),0))</f>
        <v>0</v>
      </c>
      <c r="L552" s="143" t="str">
        <f t="shared" ca="1" si="250"/>
        <v/>
      </c>
      <c r="M552" s="144" t="s">
        <v>201</v>
      </c>
      <c r="N552" s="145" t="str">
        <f t="shared" ca="1" si="251"/>
        <v>Serviço</v>
      </c>
      <c r="O552" s="146" t="str">
        <f t="shared" ca="1" si="252"/>
        <v>-</v>
      </c>
      <c r="P552" s="147" t="s">
        <v>441</v>
      </c>
      <c r="Q552" s="148" t="s">
        <v>602</v>
      </c>
      <c r="R552" s="149" t="str">
        <f t="shared" ca="1" si="266"/>
        <v>(abra o arquivo 'Referência 05-2024.xls)</v>
      </c>
      <c r="S552" s="150" t="str">
        <f t="shared" ca="1" si="267"/>
        <v>-</v>
      </c>
      <c r="T552" s="151">
        <f ca="1">OFFSET(CÁLCULO!H$15,ROW($T552)-ROW(T$15),0)</f>
        <v>40</v>
      </c>
      <c r="U552" s="152">
        <f t="shared" ca="1" si="265"/>
        <v>0</v>
      </c>
      <c r="V552" s="153" t="s">
        <v>158</v>
      </c>
      <c r="W552" s="151">
        <f t="shared" ca="1" si="253"/>
        <v>0</v>
      </c>
      <c r="X552" s="154">
        <f t="shared" ca="1" si="254"/>
        <v>0</v>
      </c>
      <c r="Y552" s="155" t="s">
        <v>583</v>
      </c>
      <c r="Z552" t="str">
        <f t="shared" ca="1" si="255"/>
        <v/>
      </c>
      <c r="AA552" s="156">
        <f ca="1">IF($C552="S",IF($Z552="CP",$X552,IF($Z552="RA",(($X552)*QCI!$AA$3),0)),SomaAgrup)</f>
        <v>0</v>
      </c>
      <c r="AB552" s="157">
        <f t="shared" ca="1" si="256"/>
        <v>0</v>
      </c>
      <c r="AC552" s="158" t="str">
        <f t="shared" ca="1" si="257"/>
        <v/>
      </c>
      <c r="AD552" s="104" t="str">
        <f ca="1">IF(C552&lt;=CRONO.NivelExibicao,MAX($AD$15:OFFSET(AD552,-1,0))+IF($C552&lt;&gt;1,1,MAX(1,COUNTIF(QCI!$A$13:$A$24,OFFSET($E552,-1,0)))),"")</f>
        <v/>
      </c>
      <c r="AE552" s="114" t="str">
        <f t="shared" ca="1" si="258"/>
        <v>Composição CP-40</v>
      </c>
      <c r="AF552" s="159" t="str">
        <f t="shared" ca="1" si="259"/>
        <v>(abra o arquivo 'Referência 05-2024.xls)</v>
      </c>
      <c r="AG552" s="579">
        <f t="shared" ca="1" si="260"/>
        <v>0</v>
      </c>
      <c r="AH552" s="580">
        <f t="shared" ca="1" si="261"/>
        <v>0.22470000000000001</v>
      </c>
      <c r="AJ552" s="582">
        <v>40</v>
      </c>
      <c r="AL552" s="612"/>
      <c r="AM552" s="430">
        <f t="shared" ca="1" si="262"/>
        <v>0</v>
      </c>
      <c r="AN552" s="655">
        <f t="shared" ca="1" si="263"/>
        <v>0</v>
      </c>
    </row>
    <row r="553" spans="1:40" ht="13.8" x14ac:dyDescent="0.3">
      <c r="A553" t="str">
        <f t="shared" si="242"/>
        <v>S</v>
      </c>
      <c r="B553">
        <f t="shared" ca="1" si="243"/>
        <v>3</v>
      </c>
      <c r="C553" t="str">
        <f t="shared" ca="1" si="244"/>
        <v>S</v>
      </c>
      <c r="D553">
        <f t="shared" ca="1" si="245"/>
        <v>0</v>
      </c>
      <c r="E553">
        <f ca="1">IF($C553=1,OFFSET(E553,-1,0)+MAX(1,COUNTIF(QCI!$A$13:$A$24,OFFSET(ORÇAMENTO!E553,-1,0))),OFFSET(E553,-1,0))</f>
        <v>1</v>
      </c>
      <c r="F553">
        <f t="shared" ca="1" si="246"/>
        <v>18</v>
      </c>
      <c r="G553">
        <f t="shared" ca="1" si="247"/>
        <v>2</v>
      </c>
      <c r="H553">
        <f t="shared" ca="1" si="248"/>
        <v>0</v>
      </c>
      <c r="I553">
        <f t="shared" ca="1" si="249"/>
        <v>0</v>
      </c>
      <c r="J553">
        <f t="shared" ca="1" si="264"/>
        <v>0</v>
      </c>
      <c r="K553">
        <f ca="1">IF(OR($C553="S",$C553=0),0,MATCH(OFFSET($D553,0,$C553)+IF($C553&lt;&gt;1,1,COUNTIF(QCI!$A$13:$A$24,ORÇAMENTO!E553)),OFFSET($D553,1,$C553,ROW($C$710)-ROW($C553)),0))</f>
        <v>0</v>
      </c>
      <c r="L553" s="143" t="str">
        <f t="shared" ca="1" si="250"/>
        <v/>
      </c>
      <c r="M553" s="144" t="s">
        <v>201</v>
      </c>
      <c r="N553" s="145" t="str">
        <f t="shared" ca="1" si="251"/>
        <v>Serviço</v>
      </c>
      <c r="O553" s="146" t="str">
        <f t="shared" ca="1" si="252"/>
        <v>-</v>
      </c>
      <c r="P553" s="147" t="s">
        <v>441</v>
      </c>
      <c r="Q553" s="148" t="s">
        <v>603</v>
      </c>
      <c r="R553" s="149" t="str">
        <f t="shared" ca="1" si="266"/>
        <v>(abra o arquivo 'Referência 05-2024.xls)</v>
      </c>
      <c r="S553" s="150" t="str">
        <f t="shared" ca="1" si="267"/>
        <v>-</v>
      </c>
      <c r="T553" s="151">
        <f ca="1">OFFSET(CÁLCULO!H$15,ROW($T553)-ROW(T$15),0)</f>
        <v>8</v>
      </c>
      <c r="U553" s="152">
        <f t="shared" ca="1" si="265"/>
        <v>0</v>
      </c>
      <c r="V553" s="153" t="s">
        <v>158</v>
      </c>
      <c r="W553" s="151">
        <f t="shared" ca="1" si="253"/>
        <v>0</v>
      </c>
      <c r="X553" s="154">
        <f t="shared" ca="1" si="254"/>
        <v>0</v>
      </c>
      <c r="Y553" s="155" t="s">
        <v>583</v>
      </c>
      <c r="Z553" t="str">
        <f t="shared" ca="1" si="255"/>
        <v/>
      </c>
      <c r="AA553" s="156">
        <f ca="1">IF($C553="S",IF($Z553="CP",$X553,IF($Z553="RA",(($X553)*QCI!$AA$3),0)),SomaAgrup)</f>
        <v>0</v>
      </c>
      <c r="AB553" s="157">
        <f t="shared" ca="1" si="256"/>
        <v>0</v>
      </c>
      <c r="AC553" s="158" t="str">
        <f t="shared" ca="1" si="257"/>
        <v/>
      </c>
      <c r="AD553" s="104" t="str">
        <f ca="1">IF(C553&lt;=CRONO.NivelExibicao,MAX($AD$15:OFFSET(AD553,-1,0))+IF($C553&lt;&gt;1,1,MAX(1,COUNTIF(QCI!$A$13:$A$24,OFFSET($E553,-1,0)))),"")</f>
        <v/>
      </c>
      <c r="AE553" s="114" t="str">
        <f t="shared" ca="1" si="258"/>
        <v>Composição CP-41</v>
      </c>
      <c r="AF553" s="159" t="str">
        <f t="shared" ca="1" si="259"/>
        <v>(abra o arquivo 'Referência 05-2024.xls)</v>
      </c>
      <c r="AG553" s="579">
        <f t="shared" ca="1" si="260"/>
        <v>0</v>
      </c>
      <c r="AH553" s="580">
        <f t="shared" ca="1" si="261"/>
        <v>0.22470000000000001</v>
      </c>
      <c r="AJ553" s="582">
        <v>8</v>
      </c>
      <c r="AL553" s="612"/>
      <c r="AM553" s="430">
        <f t="shared" ca="1" si="262"/>
        <v>0</v>
      </c>
      <c r="AN553" s="655">
        <f t="shared" ca="1" si="263"/>
        <v>0</v>
      </c>
    </row>
    <row r="554" spans="1:40" ht="13.8" x14ac:dyDescent="0.3">
      <c r="A554">
        <f t="shared" si="242"/>
        <v>3</v>
      </c>
      <c r="B554">
        <f t="shared" ca="1" si="243"/>
        <v>3</v>
      </c>
      <c r="C554">
        <f t="shared" ca="1" si="244"/>
        <v>3</v>
      </c>
      <c r="D554">
        <f t="shared" ca="1" si="245"/>
        <v>26</v>
      </c>
      <c r="E554">
        <f ca="1">IF($C554=1,OFFSET(E554,-1,0)+MAX(1,COUNTIF(QCI!$A$13:$A$24,OFFSET(ORÇAMENTO!E554,-1,0))),OFFSET(E554,-1,0))</f>
        <v>1</v>
      </c>
      <c r="F554">
        <f t="shared" ca="1" si="246"/>
        <v>18</v>
      </c>
      <c r="G554">
        <f t="shared" ca="1" si="247"/>
        <v>3</v>
      </c>
      <c r="H554">
        <f t="shared" ca="1" si="248"/>
        <v>0</v>
      </c>
      <c r="I554">
        <f t="shared" ca="1" si="249"/>
        <v>0</v>
      </c>
      <c r="J554">
        <f t="shared" ca="1" si="264"/>
        <v>64</v>
      </c>
      <c r="K554">
        <f ca="1">IF(OR($C554="S",$C554=0),0,MATCH(OFFSET($D554,0,$C554)+IF($C554&lt;&gt;1,1,COUNTIF(QCI!$A$13:$A$24,ORÇAMENTO!E554)),OFFSET($D554,1,$C554,ROW($C$710)-ROW($C554)),0))</f>
        <v>26</v>
      </c>
      <c r="L554" s="143" t="str">
        <f t="shared" ca="1" si="250"/>
        <v>F</v>
      </c>
      <c r="M554" s="144" t="s">
        <v>199</v>
      </c>
      <c r="N554" s="145" t="str">
        <f t="shared" ca="1" si="251"/>
        <v>Nível 3</v>
      </c>
      <c r="O554" s="146" t="str">
        <f t="shared" ca="1" si="252"/>
        <v>1.18.3.</v>
      </c>
      <c r="P554" s="147" t="s">
        <v>249</v>
      </c>
      <c r="Q554" s="148"/>
      <c r="R554" s="149" t="s">
        <v>549</v>
      </c>
      <c r="S554" s="150" t="s">
        <v>168</v>
      </c>
      <c r="T554" s="151">
        <f ca="1">OFFSET(CÁLCULO!H$15,ROW($T554)-ROW(T$15),0)</f>
        <v>0</v>
      </c>
      <c r="U554" s="152"/>
      <c r="V554" s="153" t="s">
        <v>158</v>
      </c>
      <c r="W554" s="151">
        <f t="shared" ca="1" si="253"/>
        <v>0</v>
      </c>
      <c r="X554" s="154">
        <f t="shared" ca="1" si="254"/>
        <v>0</v>
      </c>
      <c r="Y554" s="155" t="s">
        <v>583</v>
      </c>
      <c r="Z554" t="str">
        <f t="shared" ca="1" si="255"/>
        <v/>
      </c>
      <c r="AA554" s="156">
        <f ca="1">IF($C554="S",IF($Z554="CP",$X554,IF($Z554="RA",(($X554)*QCI!$AA$3),0)),SomaAgrup)</f>
        <v>0</v>
      </c>
      <c r="AB554" s="157">
        <f t="shared" ca="1" si="256"/>
        <v>0</v>
      </c>
      <c r="AC554" s="158" t="str">
        <f t="shared" ca="1" si="257"/>
        <v/>
      </c>
      <c r="AD554" s="104" t="str">
        <f ca="1">IF(C554&lt;=CRONO.NivelExibicao,MAX($AD$15:OFFSET(AD554,-1,0))+IF($C554&lt;&gt;1,1,MAX(1,COUNTIF(QCI!$A$13:$A$24,OFFSET($E554,-1,0)))),"")</f>
        <v/>
      </c>
      <c r="AE554" s="114" t="b">
        <f t="shared" ca="1" si="258"/>
        <v>0</v>
      </c>
      <c r="AF554" s="159" t="str">
        <f t="shared" ca="1" si="259"/>
        <v>(abra o arquivo 'Referência 05-2024.xls)</v>
      </c>
      <c r="AG554" s="579">
        <f t="shared" ca="1" si="260"/>
        <v>0</v>
      </c>
      <c r="AH554" s="580">
        <f t="shared" ca="1" si="261"/>
        <v>0.22470000000000001</v>
      </c>
      <c r="AJ554" s="582"/>
      <c r="AL554" s="612"/>
      <c r="AM554" s="430">
        <f t="shared" ca="1" si="262"/>
        <v>0</v>
      </c>
      <c r="AN554" s="655">
        <f t="shared" ca="1" si="263"/>
        <v>0</v>
      </c>
    </row>
    <row r="555" spans="1:40" ht="13.8" x14ac:dyDescent="0.3">
      <c r="A555" t="str">
        <f t="shared" si="242"/>
        <v>S</v>
      </c>
      <c r="B555">
        <f t="shared" ca="1" si="243"/>
        <v>3</v>
      </c>
      <c r="C555" t="str">
        <f t="shared" ca="1" si="244"/>
        <v>S</v>
      </c>
      <c r="D555">
        <f t="shared" ca="1" si="245"/>
        <v>0</v>
      </c>
      <c r="E555">
        <f ca="1">IF($C555=1,OFFSET(E555,-1,0)+MAX(1,COUNTIF(QCI!$A$13:$A$24,OFFSET(ORÇAMENTO!E555,-1,0))),OFFSET(E555,-1,0))</f>
        <v>1</v>
      </c>
      <c r="F555">
        <f t="shared" ca="1" si="246"/>
        <v>18</v>
      </c>
      <c r="G555">
        <f t="shared" ca="1" si="247"/>
        <v>3</v>
      </c>
      <c r="H555">
        <f t="shared" ca="1" si="248"/>
        <v>0</v>
      </c>
      <c r="I555">
        <f t="shared" ca="1" si="249"/>
        <v>0</v>
      </c>
      <c r="J555">
        <f t="shared" ca="1" si="264"/>
        <v>0</v>
      </c>
      <c r="K555">
        <f ca="1">IF(OR($C555="S",$C555=0),0,MATCH(OFFSET($D555,0,$C555)+IF($C555&lt;&gt;1,1,COUNTIF(QCI!$A$13:$A$24,ORÇAMENTO!E555)),OFFSET($D555,1,$C555,ROW($C$710)-ROW($C555)),0))</f>
        <v>0</v>
      </c>
      <c r="L555" s="143" t="str">
        <f t="shared" ca="1" si="250"/>
        <v/>
      </c>
      <c r="M555" s="144" t="s">
        <v>201</v>
      </c>
      <c r="N555" s="145" t="str">
        <f t="shared" ca="1" si="251"/>
        <v>Serviço</v>
      </c>
      <c r="O555" s="146" t="str">
        <f t="shared" ca="1" si="252"/>
        <v>-</v>
      </c>
      <c r="P555" s="147" t="s">
        <v>249</v>
      </c>
      <c r="Q555" s="148">
        <v>91834</v>
      </c>
      <c r="R555" s="149" t="str">
        <f t="shared" ref="R555:R579" ca="1" si="268">IF($C555="S",REFERENCIA.Descricao,"(digite a descrição aqui)")</f>
        <v>(abra o arquivo 'Referência 05-2024.xls)</v>
      </c>
      <c r="S555" s="150" t="str">
        <f t="shared" ref="S555:S579" ca="1" si="269">REFERENCIA.Unidade</f>
        <v>-</v>
      </c>
      <c r="T555" s="151">
        <f ca="1">OFFSET(CÁLCULO!H$15,ROW($T555)-ROW(T$15),0)</f>
        <v>184.3</v>
      </c>
      <c r="U555" s="152">
        <f t="shared" ca="1" si="265"/>
        <v>0</v>
      </c>
      <c r="V555" s="153" t="s">
        <v>158</v>
      </c>
      <c r="W555" s="151">
        <f t="shared" ca="1" si="253"/>
        <v>0</v>
      </c>
      <c r="X555" s="154">
        <f t="shared" ca="1" si="254"/>
        <v>0</v>
      </c>
      <c r="Y555" s="155" t="s">
        <v>583</v>
      </c>
      <c r="Z555" t="str">
        <f t="shared" ca="1" si="255"/>
        <v/>
      </c>
      <c r="AA555" s="156">
        <f ca="1">IF($C555="S",IF($Z555="CP",$X555,IF($Z555="RA",(($X555)*QCI!$AA$3),0)),SomaAgrup)</f>
        <v>0</v>
      </c>
      <c r="AB555" s="157">
        <f t="shared" ca="1" si="256"/>
        <v>0</v>
      </c>
      <c r="AC555" s="158" t="str">
        <f t="shared" ca="1" si="257"/>
        <v/>
      </c>
      <c r="AD555" s="104" t="str">
        <f ca="1">IF(C555&lt;=CRONO.NivelExibicao,MAX($AD$15:OFFSET(AD555,-1,0))+IF($C555&lt;&gt;1,1,MAX(1,COUNTIF(QCI!$A$13:$A$24,OFFSET($E555,-1,0)))),"")</f>
        <v/>
      </c>
      <c r="AE555" s="114" t="str">
        <f t="shared" ca="1" si="258"/>
        <v>SINAPI 91834</v>
      </c>
      <c r="AF555" s="159" t="str">
        <f t="shared" ca="1" si="259"/>
        <v>(abra o arquivo 'Referência 05-2024.xls)</v>
      </c>
      <c r="AG555" s="579">
        <f t="shared" ca="1" si="260"/>
        <v>0</v>
      </c>
      <c r="AH555" s="580">
        <f t="shared" ca="1" si="261"/>
        <v>0.22470000000000001</v>
      </c>
      <c r="AJ555" s="582">
        <v>184.3</v>
      </c>
      <c r="AL555" s="612"/>
      <c r="AM555" s="430">
        <f t="shared" ca="1" si="262"/>
        <v>0</v>
      </c>
      <c r="AN555" s="655">
        <f t="shared" ca="1" si="263"/>
        <v>0</v>
      </c>
    </row>
    <row r="556" spans="1:40" ht="13.8" x14ac:dyDescent="0.3">
      <c r="A556" t="str">
        <f t="shared" si="242"/>
        <v>S</v>
      </c>
      <c r="B556">
        <f t="shared" ca="1" si="243"/>
        <v>3</v>
      </c>
      <c r="C556" t="str">
        <f t="shared" ca="1" si="244"/>
        <v>S</v>
      </c>
      <c r="D556">
        <f t="shared" ca="1" si="245"/>
        <v>0</v>
      </c>
      <c r="E556">
        <f ca="1">IF($C556=1,OFFSET(E556,-1,0)+MAX(1,COUNTIF(QCI!$A$13:$A$24,OFFSET(ORÇAMENTO!E556,-1,0))),OFFSET(E556,-1,0))</f>
        <v>1</v>
      </c>
      <c r="F556">
        <f t="shared" ca="1" si="246"/>
        <v>18</v>
      </c>
      <c r="G556">
        <f t="shared" ca="1" si="247"/>
        <v>3</v>
      </c>
      <c r="H556">
        <f t="shared" ca="1" si="248"/>
        <v>0</v>
      </c>
      <c r="I556">
        <f t="shared" ca="1" si="249"/>
        <v>0</v>
      </c>
      <c r="J556">
        <f t="shared" ca="1" si="264"/>
        <v>0</v>
      </c>
      <c r="K556">
        <f ca="1">IF(OR($C556="S",$C556=0),0,MATCH(OFFSET($D556,0,$C556)+IF($C556&lt;&gt;1,1,COUNTIF(QCI!$A$13:$A$24,ORÇAMENTO!E556)),OFFSET($D556,1,$C556,ROW($C$710)-ROW($C556)),0))</f>
        <v>0</v>
      </c>
      <c r="L556" s="143" t="str">
        <f t="shared" ca="1" si="250"/>
        <v/>
      </c>
      <c r="M556" s="144" t="s">
        <v>201</v>
      </c>
      <c r="N556" s="145" t="str">
        <f t="shared" ca="1" si="251"/>
        <v>Serviço</v>
      </c>
      <c r="O556" s="146" t="str">
        <f t="shared" ca="1" si="252"/>
        <v>-</v>
      </c>
      <c r="P556" s="147" t="s">
        <v>249</v>
      </c>
      <c r="Q556" s="148">
        <v>91836</v>
      </c>
      <c r="R556" s="149" t="str">
        <f t="shared" ca="1" si="268"/>
        <v>(abra o arquivo 'Referência 05-2024.xls)</v>
      </c>
      <c r="S556" s="150" t="str">
        <f t="shared" ca="1" si="269"/>
        <v>-</v>
      </c>
      <c r="T556" s="151">
        <f ca="1">OFFSET(CÁLCULO!H$15,ROW($T556)-ROW(T$15),0)</f>
        <v>1235.07</v>
      </c>
      <c r="U556" s="152">
        <f t="shared" ca="1" si="265"/>
        <v>0</v>
      </c>
      <c r="V556" s="153" t="s">
        <v>158</v>
      </c>
      <c r="W556" s="151">
        <f t="shared" ca="1" si="253"/>
        <v>0</v>
      </c>
      <c r="X556" s="154">
        <f t="shared" ca="1" si="254"/>
        <v>0</v>
      </c>
      <c r="Y556" s="155" t="s">
        <v>583</v>
      </c>
      <c r="Z556" t="str">
        <f t="shared" ca="1" si="255"/>
        <v/>
      </c>
      <c r="AA556" s="156">
        <f ca="1">IF($C556="S",IF($Z556="CP",$X556,IF($Z556="RA",(($X556)*QCI!$AA$3),0)),SomaAgrup)</f>
        <v>0</v>
      </c>
      <c r="AB556" s="157">
        <f t="shared" ca="1" si="256"/>
        <v>0</v>
      </c>
      <c r="AC556" s="158" t="str">
        <f t="shared" ca="1" si="257"/>
        <v/>
      </c>
      <c r="AD556" s="104" t="str">
        <f ca="1">IF(C556&lt;=CRONO.NivelExibicao,MAX($AD$15:OFFSET(AD556,-1,0))+IF($C556&lt;&gt;1,1,MAX(1,COUNTIF(QCI!$A$13:$A$24,OFFSET($E556,-1,0)))),"")</f>
        <v/>
      </c>
      <c r="AE556" s="114" t="str">
        <f t="shared" ca="1" si="258"/>
        <v>SINAPI 91836</v>
      </c>
      <c r="AF556" s="159" t="str">
        <f t="shared" ca="1" si="259"/>
        <v>(abra o arquivo 'Referência 05-2024.xls)</v>
      </c>
      <c r="AG556" s="579">
        <f t="shared" ca="1" si="260"/>
        <v>0</v>
      </c>
      <c r="AH556" s="580">
        <f t="shared" ca="1" si="261"/>
        <v>0.22470000000000001</v>
      </c>
      <c r="AJ556" s="582">
        <v>1235.07</v>
      </c>
      <c r="AL556" s="612"/>
      <c r="AM556" s="430">
        <f t="shared" ca="1" si="262"/>
        <v>0</v>
      </c>
      <c r="AN556" s="655">
        <f t="shared" ca="1" si="263"/>
        <v>0</v>
      </c>
    </row>
    <row r="557" spans="1:40" ht="13.8" x14ac:dyDescent="0.3">
      <c r="A557" t="str">
        <f t="shared" si="242"/>
        <v>S</v>
      </c>
      <c r="B557">
        <f t="shared" ca="1" si="243"/>
        <v>3</v>
      </c>
      <c r="C557" t="str">
        <f t="shared" ca="1" si="244"/>
        <v>S</v>
      </c>
      <c r="D557">
        <f t="shared" ca="1" si="245"/>
        <v>0</v>
      </c>
      <c r="E557">
        <f ca="1">IF($C557=1,OFFSET(E557,-1,0)+MAX(1,COUNTIF(QCI!$A$13:$A$24,OFFSET(ORÇAMENTO!E557,-1,0))),OFFSET(E557,-1,0))</f>
        <v>1</v>
      </c>
      <c r="F557">
        <f t="shared" ca="1" si="246"/>
        <v>18</v>
      </c>
      <c r="G557">
        <f t="shared" ca="1" si="247"/>
        <v>3</v>
      </c>
      <c r="H557">
        <f t="shared" ca="1" si="248"/>
        <v>0</v>
      </c>
      <c r="I557">
        <f t="shared" ca="1" si="249"/>
        <v>0</v>
      </c>
      <c r="J557">
        <f t="shared" ca="1" si="264"/>
        <v>0</v>
      </c>
      <c r="K557">
        <f ca="1">IF(OR($C557="S",$C557=0),0,MATCH(OFFSET($D557,0,$C557)+IF($C557&lt;&gt;1,1,COUNTIF(QCI!$A$13:$A$24,ORÇAMENTO!E557)),OFFSET($D557,1,$C557,ROW($C$710)-ROW($C557)),0))</f>
        <v>0</v>
      </c>
      <c r="L557" s="143" t="str">
        <f t="shared" ca="1" si="250"/>
        <v/>
      </c>
      <c r="M557" s="144" t="s">
        <v>201</v>
      </c>
      <c r="N557" s="145" t="str">
        <f t="shared" ca="1" si="251"/>
        <v>Serviço</v>
      </c>
      <c r="O557" s="146" t="str">
        <f t="shared" ca="1" si="252"/>
        <v>-</v>
      </c>
      <c r="P557" s="147" t="s">
        <v>249</v>
      </c>
      <c r="Q557" s="148">
        <v>91860</v>
      </c>
      <c r="R557" s="149" t="str">
        <f t="shared" ca="1" si="268"/>
        <v>(abra o arquivo 'Referência 05-2024.xls)</v>
      </c>
      <c r="S557" s="150" t="str">
        <f t="shared" ca="1" si="269"/>
        <v>-</v>
      </c>
      <c r="T557" s="151">
        <f ca="1">OFFSET(CÁLCULO!H$15,ROW($T557)-ROW(T$15),0)</f>
        <v>1.5</v>
      </c>
      <c r="U557" s="152">
        <f t="shared" ca="1" si="265"/>
        <v>0</v>
      </c>
      <c r="V557" s="153" t="s">
        <v>158</v>
      </c>
      <c r="W557" s="151">
        <f t="shared" ca="1" si="253"/>
        <v>0</v>
      </c>
      <c r="X557" s="154">
        <f t="shared" ca="1" si="254"/>
        <v>0</v>
      </c>
      <c r="Y557" s="155" t="s">
        <v>583</v>
      </c>
      <c r="Z557" t="str">
        <f t="shared" ca="1" si="255"/>
        <v/>
      </c>
      <c r="AA557" s="156">
        <f ca="1">IF($C557="S",IF($Z557="CP",$X557,IF($Z557="RA",(($X557)*QCI!$AA$3),0)),SomaAgrup)</f>
        <v>0</v>
      </c>
      <c r="AB557" s="157">
        <f t="shared" ca="1" si="256"/>
        <v>0</v>
      </c>
      <c r="AC557" s="158" t="str">
        <f t="shared" ca="1" si="257"/>
        <v/>
      </c>
      <c r="AD557" s="104" t="str">
        <f ca="1">IF(C557&lt;=CRONO.NivelExibicao,MAX($AD$15:OFFSET(AD557,-1,0))+IF($C557&lt;&gt;1,1,MAX(1,COUNTIF(QCI!$A$13:$A$24,OFFSET($E557,-1,0)))),"")</f>
        <v/>
      </c>
      <c r="AE557" s="114" t="str">
        <f t="shared" ca="1" si="258"/>
        <v>SINAPI 91860</v>
      </c>
      <c r="AF557" s="159" t="str">
        <f t="shared" ca="1" si="259"/>
        <v>(abra o arquivo 'Referência 05-2024.xls)</v>
      </c>
      <c r="AG557" s="579">
        <f t="shared" ca="1" si="260"/>
        <v>0</v>
      </c>
      <c r="AH557" s="580">
        <f t="shared" ca="1" si="261"/>
        <v>0.22470000000000001</v>
      </c>
      <c r="AJ557" s="582">
        <v>1.5</v>
      </c>
      <c r="AL557" s="612"/>
      <c r="AM557" s="430">
        <f t="shared" ca="1" si="262"/>
        <v>0</v>
      </c>
      <c r="AN557" s="655">
        <f t="shared" ca="1" si="263"/>
        <v>0</v>
      </c>
    </row>
    <row r="558" spans="1:40" ht="13.8" x14ac:dyDescent="0.3">
      <c r="A558" t="str">
        <f t="shared" si="242"/>
        <v>S</v>
      </c>
      <c r="B558">
        <f t="shared" ca="1" si="243"/>
        <v>3</v>
      </c>
      <c r="C558" t="str">
        <f t="shared" ca="1" si="244"/>
        <v>S</v>
      </c>
      <c r="D558">
        <f t="shared" ca="1" si="245"/>
        <v>0</v>
      </c>
      <c r="E558">
        <f ca="1">IF($C558=1,OFFSET(E558,-1,0)+MAX(1,COUNTIF(QCI!$A$13:$A$24,OFFSET(ORÇAMENTO!E558,-1,0))),OFFSET(E558,-1,0))</f>
        <v>1</v>
      </c>
      <c r="F558">
        <f t="shared" ca="1" si="246"/>
        <v>18</v>
      </c>
      <c r="G558">
        <f t="shared" ca="1" si="247"/>
        <v>3</v>
      </c>
      <c r="H558">
        <f t="shared" ca="1" si="248"/>
        <v>0</v>
      </c>
      <c r="I558">
        <f t="shared" ca="1" si="249"/>
        <v>0</v>
      </c>
      <c r="J558">
        <f t="shared" ca="1" si="264"/>
        <v>0</v>
      </c>
      <c r="K558">
        <f ca="1">IF(OR($C558="S",$C558=0),0,MATCH(OFFSET($D558,0,$C558)+IF($C558&lt;&gt;1,1,COUNTIF(QCI!$A$13:$A$24,ORÇAMENTO!E558)),OFFSET($D558,1,$C558,ROW($C$710)-ROW($C558)),0))</f>
        <v>0</v>
      </c>
      <c r="L558" s="143" t="str">
        <f t="shared" ca="1" si="250"/>
        <v/>
      </c>
      <c r="M558" s="144" t="s">
        <v>201</v>
      </c>
      <c r="N558" s="145" t="str">
        <f t="shared" ca="1" si="251"/>
        <v>Serviço</v>
      </c>
      <c r="O558" s="146" t="str">
        <f t="shared" ca="1" si="252"/>
        <v>-</v>
      </c>
      <c r="P558" s="147" t="s">
        <v>249</v>
      </c>
      <c r="Q558" s="148">
        <v>91866</v>
      </c>
      <c r="R558" s="149" t="str">
        <f t="shared" ca="1" si="268"/>
        <v>(abra o arquivo 'Referência 05-2024.xls)</v>
      </c>
      <c r="S558" s="150" t="str">
        <f t="shared" ca="1" si="269"/>
        <v>-</v>
      </c>
      <c r="T558" s="151">
        <f ca="1">OFFSET(CÁLCULO!H$15,ROW($T558)-ROW(T$15),0)</f>
        <v>3</v>
      </c>
      <c r="U558" s="152">
        <f t="shared" ca="1" si="265"/>
        <v>0</v>
      </c>
      <c r="V558" s="153" t="s">
        <v>158</v>
      </c>
      <c r="W558" s="151">
        <f t="shared" ca="1" si="253"/>
        <v>0</v>
      </c>
      <c r="X558" s="154">
        <f t="shared" ca="1" si="254"/>
        <v>0</v>
      </c>
      <c r="Y558" s="155" t="s">
        <v>583</v>
      </c>
      <c r="Z558" t="str">
        <f t="shared" ca="1" si="255"/>
        <v/>
      </c>
      <c r="AA558" s="156">
        <f ca="1">IF($C558="S",IF($Z558="CP",$X558,IF($Z558="RA",(($X558)*QCI!$AA$3),0)),SomaAgrup)</f>
        <v>0</v>
      </c>
      <c r="AB558" s="157">
        <f t="shared" ca="1" si="256"/>
        <v>0</v>
      </c>
      <c r="AC558" s="158" t="str">
        <f t="shared" ca="1" si="257"/>
        <v/>
      </c>
      <c r="AD558" s="104" t="str">
        <f ca="1">IF(C558&lt;=CRONO.NivelExibicao,MAX($AD$15:OFFSET(AD558,-1,0))+IF($C558&lt;&gt;1,1,MAX(1,COUNTIF(QCI!$A$13:$A$24,OFFSET($E558,-1,0)))),"")</f>
        <v/>
      </c>
      <c r="AE558" s="114" t="str">
        <f t="shared" ca="1" si="258"/>
        <v>SINAPI 91866</v>
      </c>
      <c r="AF558" s="159" t="str">
        <f t="shared" ca="1" si="259"/>
        <v>(abra o arquivo 'Referência 05-2024.xls)</v>
      </c>
      <c r="AG558" s="579">
        <f t="shared" ca="1" si="260"/>
        <v>0</v>
      </c>
      <c r="AH558" s="580">
        <f t="shared" ca="1" si="261"/>
        <v>0.22470000000000001</v>
      </c>
      <c r="AJ558" s="582">
        <v>3</v>
      </c>
      <c r="AL558" s="612"/>
      <c r="AM558" s="430">
        <f t="shared" ca="1" si="262"/>
        <v>0</v>
      </c>
      <c r="AN558" s="655">
        <f t="shared" ca="1" si="263"/>
        <v>0</v>
      </c>
    </row>
    <row r="559" spans="1:40" ht="13.8" x14ac:dyDescent="0.3">
      <c r="A559" t="str">
        <f t="shared" si="242"/>
        <v>S</v>
      </c>
      <c r="B559">
        <f t="shared" ca="1" si="243"/>
        <v>3</v>
      </c>
      <c r="C559" t="str">
        <f t="shared" ca="1" si="244"/>
        <v>S</v>
      </c>
      <c r="D559">
        <f t="shared" ca="1" si="245"/>
        <v>0</v>
      </c>
      <c r="E559">
        <f ca="1">IF($C559=1,OFFSET(E559,-1,0)+MAX(1,COUNTIF(QCI!$A$13:$A$24,OFFSET(ORÇAMENTO!E559,-1,0))),OFFSET(E559,-1,0))</f>
        <v>1</v>
      </c>
      <c r="F559">
        <f t="shared" ca="1" si="246"/>
        <v>18</v>
      </c>
      <c r="G559">
        <f t="shared" ca="1" si="247"/>
        <v>3</v>
      </c>
      <c r="H559">
        <f t="shared" ca="1" si="248"/>
        <v>0</v>
      </c>
      <c r="I559">
        <f t="shared" ca="1" si="249"/>
        <v>0</v>
      </c>
      <c r="J559">
        <f t="shared" ca="1" si="264"/>
        <v>0</v>
      </c>
      <c r="K559">
        <f ca="1">IF(OR($C559="S",$C559=0),0,MATCH(OFFSET($D559,0,$C559)+IF($C559&lt;&gt;1,1,COUNTIF(QCI!$A$13:$A$24,ORÇAMENTO!E559)),OFFSET($D559,1,$C559,ROW($C$710)-ROW($C559)),0))</f>
        <v>0</v>
      </c>
      <c r="L559" s="143" t="str">
        <f t="shared" ca="1" si="250"/>
        <v/>
      </c>
      <c r="M559" s="144" t="s">
        <v>201</v>
      </c>
      <c r="N559" s="145" t="str">
        <f t="shared" ca="1" si="251"/>
        <v>Serviço</v>
      </c>
      <c r="O559" s="146" t="str">
        <f t="shared" ca="1" si="252"/>
        <v>-</v>
      </c>
      <c r="P559" s="147" t="s">
        <v>441</v>
      </c>
      <c r="Q559" s="148" t="s">
        <v>605</v>
      </c>
      <c r="R559" s="149" t="str">
        <f t="shared" ca="1" si="268"/>
        <v>(abra o arquivo 'Referência 05-2024.xls)</v>
      </c>
      <c r="S559" s="150" t="str">
        <f t="shared" ca="1" si="269"/>
        <v>-</v>
      </c>
      <c r="T559" s="151">
        <f ca="1">OFFSET(CÁLCULO!H$15,ROW($T559)-ROW(T$15),0)</f>
        <v>59.78</v>
      </c>
      <c r="U559" s="152">
        <f t="shared" ca="1" si="265"/>
        <v>0</v>
      </c>
      <c r="V559" s="153" t="s">
        <v>158</v>
      </c>
      <c r="W559" s="151">
        <f t="shared" ca="1" si="253"/>
        <v>0</v>
      </c>
      <c r="X559" s="154">
        <f t="shared" ca="1" si="254"/>
        <v>0</v>
      </c>
      <c r="Y559" s="155" t="s">
        <v>583</v>
      </c>
      <c r="Z559" t="str">
        <f t="shared" ca="1" si="255"/>
        <v/>
      </c>
      <c r="AA559" s="156">
        <f ca="1">IF($C559="S",IF($Z559="CP",$X559,IF($Z559="RA",(($X559)*QCI!$AA$3),0)),SomaAgrup)</f>
        <v>0</v>
      </c>
      <c r="AB559" s="157">
        <f t="shared" ca="1" si="256"/>
        <v>0</v>
      </c>
      <c r="AC559" s="158" t="str">
        <f t="shared" ca="1" si="257"/>
        <v/>
      </c>
      <c r="AD559" s="104" t="str">
        <f ca="1">IF(C559&lt;=CRONO.NivelExibicao,MAX($AD$15:OFFSET(AD559,-1,0))+IF($C559&lt;&gt;1,1,MAX(1,COUNTIF(QCI!$A$13:$A$24,OFFSET($E559,-1,0)))),"")</f>
        <v/>
      </c>
      <c r="AE559" s="114" t="str">
        <f t="shared" ca="1" si="258"/>
        <v>Composição CP-43</v>
      </c>
      <c r="AF559" s="159" t="str">
        <f t="shared" ca="1" si="259"/>
        <v>(abra o arquivo 'Referência 05-2024.xls)</v>
      </c>
      <c r="AG559" s="579">
        <f t="shared" ca="1" si="260"/>
        <v>0</v>
      </c>
      <c r="AH559" s="580">
        <f t="shared" ca="1" si="261"/>
        <v>0.22470000000000001</v>
      </c>
      <c r="AJ559" s="582">
        <v>59.78</v>
      </c>
      <c r="AL559" s="612"/>
      <c r="AM559" s="430">
        <f t="shared" ca="1" si="262"/>
        <v>0</v>
      </c>
      <c r="AN559" s="655">
        <f t="shared" ca="1" si="263"/>
        <v>0</v>
      </c>
    </row>
    <row r="560" spans="1:40" ht="13.8" x14ac:dyDescent="0.3">
      <c r="A560" t="str">
        <f t="shared" si="242"/>
        <v>S</v>
      </c>
      <c r="B560">
        <f t="shared" ca="1" si="243"/>
        <v>3</v>
      </c>
      <c r="C560" t="str">
        <f t="shared" ca="1" si="244"/>
        <v>S</v>
      </c>
      <c r="D560">
        <f t="shared" ca="1" si="245"/>
        <v>0</v>
      </c>
      <c r="E560">
        <f ca="1">IF($C560=1,OFFSET(E560,-1,0)+MAX(1,COUNTIF(QCI!$A$13:$A$24,OFFSET(ORÇAMENTO!E560,-1,0))),OFFSET(E560,-1,0))</f>
        <v>1</v>
      </c>
      <c r="F560">
        <f t="shared" ca="1" si="246"/>
        <v>18</v>
      </c>
      <c r="G560">
        <f t="shared" ca="1" si="247"/>
        <v>3</v>
      </c>
      <c r="H560">
        <f t="shared" ca="1" si="248"/>
        <v>0</v>
      </c>
      <c r="I560">
        <f t="shared" ca="1" si="249"/>
        <v>0</v>
      </c>
      <c r="J560">
        <f t="shared" ca="1" si="264"/>
        <v>0</v>
      </c>
      <c r="K560">
        <f ca="1">IF(OR($C560="S",$C560=0),0,MATCH(OFFSET($D560,0,$C560)+IF($C560&lt;&gt;1,1,COUNTIF(QCI!$A$13:$A$24,ORÇAMENTO!E560)),OFFSET($D560,1,$C560,ROW($C$710)-ROW($C560)),0))</f>
        <v>0</v>
      </c>
      <c r="L560" s="143" t="str">
        <f t="shared" ca="1" si="250"/>
        <v/>
      </c>
      <c r="M560" s="144" t="s">
        <v>201</v>
      </c>
      <c r="N560" s="145" t="str">
        <f t="shared" ca="1" si="251"/>
        <v>Serviço</v>
      </c>
      <c r="O560" s="146" t="str">
        <f t="shared" ca="1" si="252"/>
        <v>-</v>
      </c>
      <c r="P560" s="147" t="s">
        <v>441</v>
      </c>
      <c r="Q560" s="148" t="s">
        <v>606</v>
      </c>
      <c r="R560" s="149" t="str">
        <f t="shared" ca="1" si="268"/>
        <v>(abra o arquivo 'Referência 05-2024.xls)</v>
      </c>
      <c r="S560" s="150" t="str">
        <f t="shared" ca="1" si="269"/>
        <v>-</v>
      </c>
      <c r="T560" s="151">
        <f ca="1">OFFSET(CÁLCULO!H$15,ROW($T560)-ROW(T$15),0)</f>
        <v>51.85</v>
      </c>
      <c r="U560" s="152">
        <f t="shared" ca="1" si="265"/>
        <v>0</v>
      </c>
      <c r="V560" s="153" t="s">
        <v>158</v>
      </c>
      <c r="W560" s="151">
        <f t="shared" ca="1" si="253"/>
        <v>0</v>
      </c>
      <c r="X560" s="154">
        <f t="shared" ca="1" si="254"/>
        <v>0</v>
      </c>
      <c r="Y560" s="155" t="s">
        <v>583</v>
      </c>
      <c r="Z560" t="str">
        <f t="shared" ca="1" si="255"/>
        <v/>
      </c>
      <c r="AA560" s="156">
        <f ca="1">IF($C560="S",IF($Z560="CP",$X560,IF($Z560="RA",(($X560)*QCI!$AA$3),0)),SomaAgrup)</f>
        <v>0</v>
      </c>
      <c r="AB560" s="157">
        <f t="shared" ca="1" si="256"/>
        <v>0</v>
      </c>
      <c r="AC560" s="158" t="str">
        <f t="shared" ca="1" si="257"/>
        <v/>
      </c>
      <c r="AD560" s="104" t="str">
        <f ca="1">IF(C560&lt;=CRONO.NivelExibicao,MAX($AD$15:OFFSET(AD560,-1,0))+IF($C560&lt;&gt;1,1,MAX(1,COUNTIF(QCI!$A$13:$A$24,OFFSET($E560,-1,0)))),"")</f>
        <v/>
      </c>
      <c r="AE560" s="114" t="str">
        <f t="shared" ca="1" si="258"/>
        <v>Composição CP-44</v>
      </c>
      <c r="AF560" s="159" t="str">
        <f t="shared" ca="1" si="259"/>
        <v>(abra o arquivo 'Referência 05-2024.xls)</v>
      </c>
      <c r="AG560" s="579">
        <f t="shared" ca="1" si="260"/>
        <v>0</v>
      </c>
      <c r="AH560" s="580">
        <f t="shared" ca="1" si="261"/>
        <v>0.22470000000000001</v>
      </c>
      <c r="AJ560" s="582">
        <v>51.85</v>
      </c>
      <c r="AL560" s="612"/>
      <c r="AM560" s="430">
        <f t="shared" ca="1" si="262"/>
        <v>0</v>
      </c>
      <c r="AN560" s="655">
        <f t="shared" ca="1" si="263"/>
        <v>0</v>
      </c>
    </row>
    <row r="561" spans="1:40" ht="13.8" x14ac:dyDescent="0.3">
      <c r="A561" t="str">
        <f t="shared" si="242"/>
        <v>S</v>
      </c>
      <c r="B561">
        <f t="shared" ca="1" si="243"/>
        <v>3</v>
      </c>
      <c r="C561" t="str">
        <f t="shared" ca="1" si="244"/>
        <v>S</v>
      </c>
      <c r="D561">
        <f t="shared" ca="1" si="245"/>
        <v>0</v>
      </c>
      <c r="E561">
        <f ca="1">IF($C561=1,OFFSET(E561,-1,0)+MAX(1,COUNTIF(QCI!$A$13:$A$24,OFFSET(ORÇAMENTO!E561,-1,0))),OFFSET(E561,-1,0))</f>
        <v>1</v>
      </c>
      <c r="F561">
        <f t="shared" ca="1" si="246"/>
        <v>18</v>
      </c>
      <c r="G561">
        <f t="shared" ca="1" si="247"/>
        <v>3</v>
      </c>
      <c r="H561">
        <f t="shared" ca="1" si="248"/>
        <v>0</v>
      </c>
      <c r="I561">
        <f t="shared" ca="1" si="249"/>
        <v>0</v>
      </c>
      <c r="J561">
        <f t="shared" ca="1" si="264"/>
        <v>0</v>
      </c>
      <c r="K561">
        <f ca="1">IF(OR($C561="S",$C561=0),0,MATCH(OFFSET($D561,0,$C561)+IF($C561&lt;&gt;1,1,COUNTIF(QCI!$A$13:$A$24,ORÇAMENTO!E561)),OFFSET($D561,1,$C561,ROW($C$710)-ROW($C561)),0))</f>
        <v>0</v>
      </c>
      <c r="L561" s="143" t="str">
        <f t="shared" ca="1" si="250"/>
        <v/>
      </c>
      <c r="M561" s="144" t="s">
        <v>201</v>
      </c>
      <c r="N561" s="145" t="str">
        <f t="shared" ca="1" si="251"/>
        <v>Serviço</v>
      </c>
      <c r="O561" s="146" t="str">
        <f t="shared" ca="1" si="252"/>
        <v>-</v>
      </c>
      <c r="P561" s="147" t="s">
        <v>441</v>
      </c>
      <c r="Q561" s="148" t="s">
        <v>607</v>
      </c>
      <c r="R561" s="149" t="str">
        <f t="shared" ca="1" si="268"/>
        <v>(abra o arquivo 'Referência 05-2024.xls)</v>
      </c>
      <c r="S561" s="150" t="str">
        <f t="shared" ca="1" si="269"/>
        <v>-</v>
      </c>
      <c r="T561" s="151">
        <f ca="1">OFFSET(CÁLCULO!H$15,ROW($T561)-ROW(T$15),0)</f>
        <v>132.65</v>
      </c>
      <c r="U561" s="152">
        <f t="shared" ca="1" si="265"/>
        <v>0</v>
      </c>
      <c r="V561" s="153" t="s">
        <v>158</v>
      </c>
      <c r="W561" s="151">
        <f t="shared" ca="1" si="253"/>
        <v>0</v>
      </c>
      <c r="X561" s="154">
        <f t="shared" ca="1" si="254"/>
        <v>0</v>
      </c>
      <c r="Y561" s="155" t="s">
        <v>583</v>
      </c>
      <c r="Z561" t="str">
        <f t="shared" ca="1" si="255"/>
        <v/>
      </c>
      <c r="AA561" s="156">
        <f ca="1">IF($C561="S",IF($Z561="CP",$X561,IF($Z561="RA",(($X561)*QCI!$AA$3),0)),SomaAgrup)</f>
        <v>0</v>
      </c>
      <c r="AB561" s="157">
        <f t="shared" ca="1" si="256"/>
        <v>0</v>
      </c>
      <c r="AC561" s="158" t="str">
        <f t="shared" ca="1" si="257"/>
        <v/>
      </c>
      <c r="AD561" s="104" t="str">
        <f ca="1">IF(C561&lt;=CRONO.NivelExibicao,MAX($AD$15:OFFSET(AD561,-1,0))+IF($C561&lt;&gt;1,1,MAX(1,COUNTIF(QCI!$A$13:$A$24,OFFSET($E561,-1,0)))),"")</f>
        <v/>
      </c>
      <c r="AE561" s="114" t="str">
        <f t="shared" ca="1" si="258"/>
        <v>Composição CP-45</v>
      </c>
      <c r="AF561" s="159" t="str">
        <f t="shared" ca="1" si="259"/>
        <v>(abra o arquivo 'Referência 05-2024.xls)</v>
      </c>
      <c r="AG561" s="579">
        <f t="shared" ca="1" si="260"/>
        <v>0</v>
      </c>
      <c r="AH561" s="580">
        <f t="shared" ca="1" si="261"/>
        <v>0.22470000000000001</v>
      </c>
      <c r="AJ561" s="582">
        <v>132.65</v>
      </c>
      <c r="AL561" s="612"/>
      <c r="AM561" s="430">
        <f t="shared" ca="1" si="262"/>
        <v>0</v>
      </c>
      <c r="AN561" s="655">
        <f t="shared" ca="1" si="263"/>
        <v>0</v>
      </c>
    </row>
    <row r="562" spans="1:40" ht="13.8" x14ac:dyDescent="0.3">
      <c r="A562" t="str">
        <f t="shared" si="242"/>
        <v>S</v>
      </c>
      <c r="B562">
        <f t="shared" ca="1" si="243"/>
        <v>3</v>
      </c>
      <c r="C562" t="str">
        <f t="shared" ca="1" si="244"/>
        <v>S</v>
      </c>
      <c r="D562">
        <f t="shared" ca="1" si="245"/>
        <v>0</v>
      </c>
      <c r="E562">
        <f ca="1">IF($C562=1,OFFSET(E562,-1,0)+MAX(1,COUNTIF(QCI!$A$13:$A$24,OFFSET(ORÇAMENTO!E562,-1,0))),OFFSET(E562,-1,0))</f>
        <v>1</v>
      </c>
      <c r="F562">
        <f t="shared" ca="1" si="246"/>
        <v>18</v>
      </c>
      <c r="G562">
        <f t="shared" ca="1" si="247"/>
        <v>3</v>
      </c>
      <c r="H562">
        <f t="shared" ca="1" si="248"/>
        <v>0</v>
      </c>
      <c r="I562">
        <f t="shared" ca="1" si="249"/>
        <v>0</v>
      </c>
      <c r="J562">
        <f t="shared" ca="1" si="264"/>
        <v>0</v>
      </c>
      <c r="K562">
        <f ca="1">IF(OR($C562="S",$C562=0),0,MATCH(OFFSET($D562,0,$C562)+IF($C562&lt;&gt;1,1,COUNTIF(QCI!$A$13:$A$24,ORÇAMENTO!E562)),OFFSET($D562,1,$C562,ROW($C$710)-ROW($C562)),0))</f>
        <v>0</v>
      </c>
      <c r="L562" s="143" t="str">
        <f t="shared" ca="1" si="250"/>
        <v/>
      </c>
      <c r="M562" s="144" t="s">
        <v>201</v>
      </c>
      <c r="N562" s="145" t="str">
        <f t="shared" ca="1" si="251"/>
        <v>Serviço</v>
      </c>
      <c r="O562" s="146" t="str">
        <f t="shared" ca="1" si="252"/>
        <v>-</v>
      </c>
      <c r="P562" s="147" t="s">
        <v>441</v>
      </c>
      <c r="Q562" s="148" t="s">
        <v>608</v>
      </c>
      <c r="R562" s="149" t="str">
        <f t="shared" ca="1" si="268"/>
        <v>(abra o arquivo 'Referência 05-2024.xls)</v>
      </c>
      <c r="S562" s="150" t="str">
        <f t="shared" ca="1" si="269"/>
        <v>-</v>
      </c>
      <c r="T562" s="151">
        <f ca="1">OFFSET(CÁLCULO!H$15,ROW($T562)-ROW(T$15),0)</f>
        <v>42.65</v>
      </c>
      <c r="U562" s="152">
        <f t="shared" ca="1" si="265"/>
        <v>0</v>
      </c>
      <c r="V562" s="153" t="s">
        <v>158</v>
      </c>
      <c r="W562" s="151">
        <f t="shared" ca="1" si="253"/>
        <v>0</v>
      </c>
      <c r="X562" s="154">
        <f t="shared" ca="1" si="254"/>
        <v>0</v>
      </c>
      <c r="Y562" s="155" t="s">
        <v>583</v>
      </c>
      <c r="Z562" t="str">
        <f t="shared" ca="1" si="255"/>
        <v/>
      </c>
      <c r="AA562" s="156">
        <f ca="1">IF($C562="S",IF($Z562="CP",$X562,IF($Z562="RA",(($X562)*QCI!$AA$3),0)),SomaAgrup)</f>
        <v>0</v>
      </c>
      <c r="AB562" s="157">
        <f t="shared" ca="1" si="256"/>
        <v>0</v>
      </c>
      <c r="AC562" s="158" t="str">
        <f t="shared" ca="1" si="257"/>
        <v/>
      </c>
      <c r="AD562" s="104" t="str">
        <f ca="1">IF(C562&lt;=CRONO.NivelExibicao,MAX($AD$15:OFFSET(AD562,-1,0))+IF($C562&lt;&gt;1,1,MAX(1,COUNTIF(QCI!$A$13:$A$24,OFFSET($E562,-1,0)))),"")</f>
        <v/>
      </c>
      <c r="AE562" s="114" t="str">
        <f t="shared" ca="1" si="258"/>
        <v>Composição CP-46</v>
      </c>
      <c r="AF562" s="159" t="str">
        <f t="shared" ca="1" si="259"/>
        <v>(abra o arquivo 'Referência 05-2024.xls)</v>
      </c>
      <c r="AG562" s="579">
        <f t="shared" ca="1" si="260"/>
        <v>0</v>
      </c>
      <c r="AH562" s="580">
        <f t="shared" ca="1" si="261"/>
        <v>0.22470000000000001</v>
      </c>
      <c r="AJ562" s="582">
        <v>42.65</v>
      </c>
      <c r="AL562" s="612"/>
      <c r="AM562" s="430">
        <f t="shared" ca="1" si="262"/>
        <v>0</v>
      </c>
      <c r="AN562" s="655">
        <f t="shared" ca="1" si="263"/>
        <v>0</v>
      </c>
    </row>
    <row r="563" spans="1:40" ht="13.8" x14ac:dyDescent="0.3">
      <c r="A563" t="str">
        <f t="shared" si="242"/>
        <v>S</v>
      </c>
      <c r="B563">
        <f t="shared" ca="1" si="243"/>
        <v>3</v>
      </c>
      <c r="C563" t="str">
        <f t="shared" ca="1" si="244"/>
        <v>S</v>
      </c>
      <c r="D563">
        <f t="shared" ca="1" si="245"/>
        <v>0</v>
      </c>
      <c r="E563">
        <f ca="1">IF($C563=1,OFFSET(E563,-1,0)+MAX(1,COUNTIF(QCI!$A$13:$A$24,OFFSET(ORÇAMENTO!E563,-1,0))),OFFSET(E563,-1,0))</f>
        <v>1</v>
      </c>
      <c r="F563">
        <f t="shared" ca="1" si="246"/>
        <v>18</v>
      </c>
      <c r="G563">
        <f t="shared" ca="1" si="247"/>
        <v>3</v>
      </c>
      <c r="H563">
        <f t="shared" ca="1" si="248"/>
        <v>0</v>
      </c>
      <c r="I563">
        <f t="shared" ca="1" si="249"/>
        <v>0</v>
      </c>
      <c r="J563">
        <f t="shared" ca="1" si="264"/>
        <v>0</v>
      </c>
      <c r="K563">
        <f ca="1">IF(OR($C563="S",$C563=0),0,MATCH(OFFSET($D563,0,$C563)+IF($C563&lt;&gt;1,1,COUNTIF(QCI!$A$13:$A$24,ORÇAMENTO!E563)),OFFSET($D563,1,$C563,ROW($C$710)-ROW($C563)),0))</f>
        <v>0</v>
      </c>
      <c r="L563" s="143" t="str">
        <f t="shared" ca="1" si="250"/>
        <v/>
      </c>
      <c r="M563" s="144" t="s">
        <v>201</v>
      </c>
      <c r="N563" s="145" t="str">
        <f t="shared" ca="1" si="251"/>
        <v>Serviço</v>
      </c>
      <c r="O563" s="146" t="str">
        <f t="shared" ca="1" si="252"/>
        <v>-</v>
      </c>
      <c r="P563" s="147" t="s">
        <v>441</v>
      </c>
      <c r="Q563" s="148" t="s">
        <v>604</v>
      </c>
      <c r="R563" s="149" t="str">
        <f t="shared" ca="1" si="268"/>
        <v>(abra o arquivo 'Referência 05-2024.xls)</v>
      </c>
      <c r="S563" s="150" t="str">
        <f t="shared" ca="1" si="269"/>
        <v>-</v>
      </c>
      <c r="T563" s="151">
        <f ca="1">OFFSET(CÁLCULO!H$15,ROW($T563)-ROW(T$15),0)</f>
        <v>650.08000000000004</v>
      </c>
      <c r="U563" s="152">
        <f t="shared" ca="1" si="265"/>
        <v>0</v>
      </c>
      <c r="V563" s="153" t="s">
        <v>158</v>
      </c>
      <c r="W563" s="151">
        <f t="shared" ca="1" si="253"/>
        <v>0</v>
      </c>
      <c r="X563" s="154">
        <f t="shared" ca="1" si="254"/>
        <v>0</v>
      </c>
      <c r="Y563" s="155" t="s">
        <v>583</v>
      </c>
      <c r="Z563" t="str">
        <f t="shared" ca="1" si="255"/>
        <v/>
      </c>
      <c r="AA563" s="156">
        <f ca="1">IF($C563="S",IF($Z563="CP",$X563,IF($Z563="RA",(($X563)*QCI!$AA$3),0)),SomaAgrup)</f>
        <v>0</v>
      </c>
      <c r="AB563" s="157">
        <f t="shared" ca="1" si="256"/>
        <v>0</v>
      </c>
      <c r="AC563" s="158" t="str">
        <f t="shared" ca="1" si="257"/>
        <v/>
      </c>
      <c r="AD563" s="104" t="str">
        <f ca="1">IF(C563&lt;=CRONO.NivelExibicao,MAX($AD$15:OFFSET(AD563,-1,0))+IF($C563&lt;&gt;1,1,MAX(1,COUNTIF(QCI!$A$13:$A$24,OFFSET($E563,-1,0)))),"")</f>
        <v/>
      </c>
      <c r="AE563" s="114" t="str">
        <f t="shared" ca="1" si="258"/>
        <v>Composição CP-42</v>
      </c>
      <c r="AF563" s="159" t="str">
        <f t="shared" ca="1" si="259"/>
        <v>(abra o arquivo 'Referência 05-2024.xls)</v>
      </c>
      <c r="AG563" s="579">
        <f t="shared" ca="1" si="260"/>
        <v>0</v>
      </c>
      <c r="AH563" s="580">
        <f t="shared" ca="1" si="261"/>
        <v>0.22470000000000001</v>
      </c>
      <c r="AJ563" s="582">
        <v>650.08000000000004</v>
      </c>
      <c r="AL563" s="612"/>
      <c r="AM563" s="430">
        <f t="shared" ca="1" si="262"/>
        <v>0</v>
      </c>
      <c r="AN563" s="655">
        <f t="shared" ca="1" si="263"/>
        <v>0</v>
      </c>
    </row>
    <row r="564" spans="1:40" ht="13.8" x14ac:dyDescent="0.3">
      <c r="A564" t="str">
        <f t="shared" si="242"/>
        <v>S</v>
      </c>
      <c r="B564">
        <f t="shared" ca="1" si="243"/>
        <v>3</v>
      </c>
      <c r="C564" t="str">
        <f t="shared" ca="1" si="244"/>
        <v>S</v>
      </c>
      <c r="D564">
        <f t="shared" ca="1" si="245"/>
        <v>0</v>
      </c>
      <c r="E564">
        <f ca="1">IF($C564=1,OFFSET(E564,-1,0)+MAX(1,COUNTIF(QCI!$A$13:$A$24,OFFSET(ORÇAMENTO!E564,-1,0))),OFFSET(E564,-1,0))</f>
        <v>1</v>
      </c>
      <c r="F564">
        <f t="shared" ca="1" si="246"/>
        <v>18</v>
      </c>
      <c r="G564">
        <f t="shared" ca="1" si="247"/>
        <v>3</v>
      </c>
      <c r="H564">
        <f t="shared" ca="1" si="248"/>
        <v>0</v>
      </c>
      <c r="I564">
        <f t="shared" ca="1" si="249"/>
        <v>0</v>
      </c>
      <c r="J564">
        <f t="shared" ca="1" si="264"/>
        <v>0</v>
      </c>
      <c r="K564">
        <f ca="1">IF(OR($C564="S",$C564=0),0,MATCH(OFFSET($D564,0,$C564)+IF($C564&lt;&gt;1,1,COUNTIF(QCI!$A$13:$A$24,ORÇAMENTO!E564)),OFFSET($D564,1,$C564,ROW($C$710)-ROW($C564)),0))</f>
        <v>0</v>
      </c>
      <c r="L564" s="143" t="str">
        <f t="shared" ca="1" si="250"/>
        <v/>
      </c>
      <c r="M564" s="144" t="s">
        <v>201</v>
      </c>
      <c r="N564" s="145" t="str">
        <f t="shared" ca="1" si="251"/>
        <v>Serviço</v>
      </c>
      <c r="O564" s="146" t="str">
        <f t="shared" ca="1" si="252"/>
        <v>-</v>
      </c>
      <c r="P564" s="147" t="s">
        <v>578</v>
      </c>
      <c r="Q564" s="148">
        <v>9002019</v>
      </c>
      <c r="R564" s="149" t="str">
        <f t="shared" ca="1" si="268"/>
        <v>(abra o arquivo 'Referência 05-2024.xls)</v>
      </c>
      <c r="S564" s="150" t="str">
        <f t="shared" ca="1" si="269"/>
        <v>-</v>
      </c>
      <c r="T564" s="151">
        <f ca="1">OFFSET(CÁLCULO!H$15,ROW($T564)-ROW(T$15),0)</f>
        <v>110.6</v>
      </c>
      <c r="U564" s="152">
        <f t="shared" ca="1" si="265"/>
        <v>0</v>
      </c>
      <c r="V564" s="153" t="s">
        <v>158</v>
      </c>
      <c r="W564" s="151">
        <f t="shared" ca="1" si="253"/>
        <v>0</v>
      </c>
      <c r="X564" s="154">
        <f t="shared" ca="1" si="254"/>
        <v>0</v>
      </c>
      <c r="Y564" s="155" t="s">
        <v>583</v>
      </c>
      <c r="Z564" t="str">
        <f t="shared" ca="1" si="255"/>
        <v/>
      </c>
      <c r="AA564" s="156">
        <f ca="1">IF($C564="S",IF($Z564="CP",$X564,IF($Z564="RA",(($X564)*QCI!$AA$3),0)),SomaAgrup)</f>
        <v>0</v>
      </c>
      <c r="AB564" s="157">
        <f t="shared" ca="1" si="256"/>
        <v>0</v>
      </c>
      <c r="AC564" s="158" t="str">
        <f t="shared" ca="1" si="257"/>
        <v/>
      </c>
      <c r="AD564" s="104" t="str">
        <f ca="1">IF(C564&lt;=CRONO.NivelExibicao,MAX($AD$15:OFFSET(AD564,-1,0))+IF($C564&lt;&gt;1,1,MAX(1,COUNTIF(QCI!$A$13:$A$24,OFFSET($E564,-1,0)))),"")</f>
        <v/>
      </c>
      <c r="AE564" s="114" t="str">
        <f t="shared" ca="1" si="258"/>
        <v>SIURB 9002019</v>
      </c>
      <c r="AF564" s="159" t="str">
        <f t="shared" ca="1" si="259"/>
        <v>(abra o arquivo 'Referência 05-2024.xls)</v>
      </c>
      <c r="AG564" s="579">
        <f t="shared" ca="1" si="260"/>
        <v>0</v>
      </c>
      <c r="AH564" s="580">
        <f t="shared" ca="1" si="261"/>
        <v>0.22470000000000001</v>
      </c>
      <c r="AJ564" s="582">
        <v>110.6</v>
      </c>
      <c r="AL564" s="612"/>
      <c r="AM564" s="430">
        <f t="shared" ca="1" si="262"/>
        <v>0</v>
      </c>
      <c r="AN564" s="655">
        <f t="shared" ca="1" si="263"/>
        <v>0</v>
      </c>
    </row>
    <row r="565" spans="1:40" ht="13.8" x14ac:dyDescent="0.3">
      <c r="A565" t="str">
        <f t="shared" si="242"/>
        <v>S</v>
      </c>
      <c r="B565">
        <f t="shared" ca="1" si="243"/>
        <v>3</v>
      </c>
      <c r="C565" t="str">
        <f t="shared" ca="1" si="244"/>
        <v>S</v>
      </c>
      <c r="D565">
        <f t="shared" ca="1" si="245"/>
        <v>0</v>
      </c>
      <c r="E565">
        <f ca="1">IF($C565=1,OFFSET(E565,-1,0)+MAX(1,COUNTIF(QCI!$A$13:$A$24,OFFSET(ORÇAMENTO!E565,-1,0))),OFFSET(E565,-1,0))</f>
        <v>1</v>
      </c>
      <c r="F565">
        <f t="shared" ca="1" si="246"/>
        <v>18</v>
      </c>
      <c r="G565">
        <f t="shared" ca="1" si="247"/>
        <v>3</v>
      </c>
      <c r="H565">
        <f t="shared" ca="1" si="248"/>
        <v>0</v>
      </c>
      <c r="I565">
        <f t="shared" ca="1" si="249"/>
        <v>0</v>
      </c>
      <c r="J565">
        <f t="shared" ca="1" si="264"/>
        <v>0</v>
      </c>
      <c r="K565">
        <f ca="1">IF(OR($C565="S",$C565=0),0,MATCH(OFFSET($D565,0,$C565)+IF($C565&lt;&gt;1,1,COUNTIF(QCI!$A$13:$A$24,ORÇAMENTO!E565)),OFFSET($D565,1,$C565,ROW($C$710)-ROW($C565)),0))</f>
        <v>0</v>
      </c>
      <c r="L565" s="143" t="str">
        <f t="shared" ca="1" si="250"/>
        <v/>
      </c>
      <c r="M565" s="144" t="s">
        <v>201</v>
      </c>
      <c r="N565" s="145" t="str">
        <f t="shared" ca="1" si="251"/>
        <v>Serviço</v>
      </c>
      <c r="O565" s="146" t="str">
        <f t="shared" ca="1" si="252"/>
        <v>-</v>
      </c>
      <c r="P565" s="147" t="s">
        <v>249</v>
      </c>
      <c r="Q565" s="148">
        <v>97886</v>
      </c>
      <c r="R565" s="149" t="str">
        <f t="shared" ca="1" si="268"/>
        <v>(abra o arquivo 'Referência 05-2024.xls)</v>
      </c>
      <c r="S565" s="150" t="str">
        <f t="shared" ca="1" si="269"/>
        <v>-</v>
      </c>
      <c r="T565" s="151">
        <f ca="1">OFFSET(CÁLCULO!H$15,ROW($T565)-ROW(T$15),0)</f>
        <v>7</v>
      </c>
      <c r="U565" s="152">
        <f t="shared" ca="1" si="265"/>
        <v>0</v>
      </c>
      <c r="V565" s="153" t="s">
        <v>158</v>
      </c>
      <c r="W565" s="151">
        <f t="shared" ca="1" si="253"/>
        <v>0</v>
      </c>
      <c r="X565" s="154">
        <f t="shared" ca="1" si="254"/>
        <v>0</v>
      </c>
      <c r="Y565" s="155" t="s">
        <v>583</v>
      </c>
      <c r="Z565" t="str">
        <f t="shared" ca="1" si="255"/>
        <v/>
      </c>
      <c r="AA565" s="156">
        <f ca="1">IF($C565="S",IF($Z565="CP",$X565,IF($Z565="RA",(($X565)*QCI!$AA$3),0)),SomaAgrup)</f>
        <v>0</v>
      </c>
      <c r="AB565" s="157">
        <f t="shared" ca="1" si="256"/>
        <v>0</v>
      </c>
      <c r="AC565" s="158" t="str">
        <f t="shared" ca="1" si="257"/>
        <v/>
      </c>
      <c r="AD565" s="104" t="str">
        <f ca="1">IF(C565&lt;=CRONO.NivelExibicao,MAX($AD$15:OFFSET(AD565,-1,0))+IF($C565&lt;&gt;1,1,MAX(1,COUNTIF(QCI!$A$13:$A$24,OFFSET($E565,-1,0)))),"")</f>
        <v/>
      </c>
      <c r="AE565" s="114" t="str">
        <f t="shared" ca="1" si="258"/>
        <v>SINAPI 97886</v>
      </c>
      <c r="AF565" s="159" t="str">
        <f t="shared" ca="1" si="259"/>
        <v>(abra o arquivo 'Referência 05-2024.xls)</v>
      </c>
      <c r="AG565" s="579">
        <f t="shared" ca="1" si="260"/>
        <v>0</v>
      </c>
      <c r="AH565" s="580">
        <f t="shared" ca="1" si="261"/>
        <v>0.22470000000000001</v>
      </c>
      <c r="AJ565" s="582">
        <v>7</v>
      </c>
      <c r="AL565" s="612"/>
      <c r="AM565" s="430">
        <f t="shared" ca="1" si="262"/>
        <v>0</v>
      </c>
      <c r="AN565" s="655">
        <f t="shared" ca="1" si="263"/>
        <v>0</v>
      </c>
    </row>
    <row r="566" spans="1:40" ht="13.8" x14ac:dyDescent="0.3">
      <c r="A566" t="str">
        <f t="shared" si="242"/>
        <v>S</v>
      </c>
      <c r="B566">
        <f t="shared" ca="1" si="243"/>
        <v>3</v>
      </c>
      <c r="C566" t="str">
        <f t="shared" ca="1" si="244"/>
        <v>S</v>
      </c>
      <c r="D566">
        <f t="shared" ca="1" si="245"/>
        <v>0</v>
      </c>
      <c r="E566">
        <f ca="1">IF($C566=1,OFFSET(E566,-1,0)+MAX(1,COUNTIF(QCI!$A$13:$A$24,OFFSET(ORÇAMENTO!E566,-1,0))),OFFSET(E566,-1,0))</f>
        <v>1</v>
      </c>
      <c r="F566">
        <f t="shared" ca="1" si="246"/>
        <v>18</v>
      </c>
      <c r="G566">
        <f t="shared" ca="1" si="247"/>
        <v>3</v>
      </c>
      <c r="H566">
        <f t="shared" ca="1" si="248"/>
        <v>0</v>
      </c>
      <c r="I566">
        <f t="shared" ca="1" si="249"/>
        <v>0</v>
      </c>
      <c r="J566">
        <f t="shared" ca="1" si="264"/>
        <v>0</v>
      </c>
      <c r="K566">
        <f ca="1">IF(OR($C566="S",$C566=0),0,MATCH(OFFSET($D566,0,$C566)+IF($C566&lt;&gt;1,1,COUNTIF(QCI!$A$13:$A$24,ORÇAMENTO!E566)),OFFSET($D566,1,$C566,ROW($C$710)-ROW($C566)),0))</f>
        <v>0</v>
      </c>
      <c r="L566" s="143" t="str">
        <f t="shared" ca="1" si="250"/>
        <v/>
      </c>
      <c r="M566" s="144" t="s">
        <v>201</v>
      </c>
      <c r="N566" s="145" t="str">
        <f t="shared" ca="1" si="251"/>
        <v>Serviço</v>
      </c>
      <c r="O566" s="146" t="str">
        <f t="shared" ca="1" si="252"/>
        <v>-</v>
      </c>
      <c r="P566" s="147" t="s">
        <v>249</v>
      </c>
      <c r="Q566" s="148">
        <v>97887</v>
      </c>
      <c r="R566" s="149" t="str">
        <f t="shared" ca="1" si="268"/>
        <v>(abra o arquivo 'Referência 05-2024.xls)</v>
      </c>
      <c r="S566" s="150" t="str">
        <f t="shared" ca="1" si="269"/>
        <v>-</v>
      </c>
      <c r="T566" s="151">
        <f ca="1">OFFSET(CÁLCULO!H$15,ROW($T566)-ROW(T$15),0)</f>
        <v>10</v>
      </c>
      <c r="U566" s="152">
        <f t="shared" ca="1" si="265"/>
        <v>0</v>
      </c>
      <c r="V566" s="153" t="s">
        <v>158</v>
      </c>
      <c r="W566" s="151">
        <f t="shared" ca="1" si="253"/>
        <v>0</v>
      </c>
      <c r="X566" s="154">
        <f t="shared" ca="1" si="254"/>
        <v>0</v>
      </c>
      <c r="Y566" s="155" t="s">
        <v>583</v>
      </c>
      <c r="Z566" t="str">
        <f t="shared" ca="1" si="255"/>
        <v/>
      </c>
      <c r="AA566" s="156">
        <f ca="1">IF($C566="S",IF($Z566="CP",$X566,IF($Z566="RA",(($X566)*QCI!$AA$3),0)),SomaAgrup)</f>
        <v>0</v>
      </c>
      <c r="AB566" s="157">
        <f t="shared" ca="1" si="256"/>
        <v>0</v>
      </c>
      <c r="AC566" s="158" t="str">
        <f t="shared" ca="1" si="257"/>
        <v/>
      </c>
      <c r="AD566" s="104" t="str">
        <f ca="1">IF(C566&lt;=CRONO.NivelExibicao,MAX($AD$15:OFFSET(AD566,-1,0))+IF($C566&lt;&gt;1,1,MAX(1,COUNTIF(QCI!$A$13:$A$24,OFFSET($E566,-1,0)))),"")</f>
        <v/>
      </c>
      <c r="AE566" s="114" t="str">
        <f t="shared" ca="1" si="258"/>
        <v>SINAPI 97887</v>
      </c>
      <c r="AF566" s="159" t="str">
        <f t="shared" ca="1" si="259"/>
        <v>(abra o arquivo 'Referência 05-2024.xls)</v>
      </c>
      <c r="AG566" s="579">
        <f t="shared" ca="1" si="260"/>
        <v>0</v>
      </c>
      <c r="AH566" s="580">
        <f t="shared" ca="1" si="261"/>
        <v>0.22470000000000001</v>
      </c>
      <c r="AJ566" s="582">
        <v>10</v>
      </c>
      <c r="AL566" s="612"/>
      <c r="AM566" s="430">
        <f t="shared" ca="1" si="262"/>
        <v>0</v>
      </c>
      <c r="AN566" s="655">
        <f t="shared" ca="1" si="263"/>
        <v>0</v>
      </c>
    </row>
    <row r="567" spans="1:40" ht="13.8" x14ac:dyDescent="0.3">
      <c r="A567" t="str">
        <f t="shared" si="242"/>
        <v>S</v>
      </c>
      <c r="B567">
        <f t="shared" ca="1" si="243"/>
        <v>3</v>
      </c>
      <c r="C567" t="str">
        <f t="shared" ca="1" si="244"/>
        <v>S</v>
      </c>
      <c r="D567">
        <f t="shared" ca="1" si="245"/>
        <v>0</v>
      </c>
      <c r="E567">
        <f ca="1">IF($C567=1,OFFSET(E567,-1,0)+MAX(1,COUNTIF(QCI!$A$13:$A$24,OFFSET(ORÇAMENTO!E567,-1,0))),OFFSET(E567,-1,0))</f>
        <v>1</v>
      </c>
      <c r="F567">
        <f t="shared" ca="1" si="246"/>
        <v>18</v>
      </c>
      <c r="G567">
        <f t="shared" ca="1" si="247"/>
        <v>3</v>
      </c>
      <c r="H567">
        <f t="shared" ca="1" si="248"/>
        <v>0</v>
      </c>
      <c r="I567">
        <f t="shared" ca="1" si="249"/>
        <v>0</v>
      </c>
      <c r="J567">
        <f t="shared" ca="1" si="264"/>
        <v>0</v>
      </c>
      <c r="K567">
        <f ca="1">IF(OR($C567="S",$C567=0),0,MATCH(OFFSET($D567,0,$C567)+IF($C567&lt;&gt;1,1,COUNTIF(QCI!$A$13:$A$24,ORÇAMENTO!E567)),OFFSET($D567,1,$C567,ROW($C$710)-ROW($C567)),0))</f>
        <v>0</v>
      </c>
      <c r="L567" s="143" t="str">
        <f t="shared" ca="1" si="250"/>
        <v/>
      </c>
      <c r="M567" s="144" t="s">
        <v>201</v>
      </c>
      <c r="N567" s="145" t="str">
        <f t="shared" ca="1" si="251"/>
        <v>Serviço</v>
      </c>
      <c r="O567" s="146" t="str">
        <f t="shared" ca="1" si="252"/>
        <v>-</v>
      </c>
      <c r="P567" s="147" t="s">
        <v>249</v>
      </c>
      <c r="Q567" s="148">
        <v>100556</v>
      </c>
      <c r="R567" s="149" t="str">
        <f t="shared" ca="1" si="268"/>
        <v>(abra o arquivo 'Referência 05-2024.xls)</v>
      </c>
      <c r="S567" s="150" t="str">
        <f t="shared" ca="1" si="269"/>
        <v>-</v>
      </c>
      <c r="T567" s="151">
        <f ca="1">OFFSET(CÁLCULO!H$15,ROW($T567)-ROW(T$15),0)</f>
        <v>1</v>
      </c>
      <c r="U567" s="152">
        <f t="shared" ca="1" si="265"/>
        <v>0</v>
      </c>
      <c r="V567" s="153" t="s">
        <v>158</v>
      </c>
      <c r="W567" s="151">
        <f t="shared" ca="1" si="253"/>
        <v>0</v>
      </c>
      <c r="X567" s="154">
        <f t="shared" ca="1" si="254"/>
        <v>0</v>
      </c>
      <c r="Y567" s="155" t="s">
        <v>583</v>
      </c>
      <c r="Z567" t="str">
        <f t="shared" ca="1" si="255"/>
        <v/>
      </c>
      <c r="AA567" s="156">
        <f ca="1">IF($C567="S",IF($Z567="CP",$X567,IF($Z567="RA",(($X567)*QCI!$AA$3),0)),SomaAgrup)</f>
        <v>0</v>
      </c>
      <c r="AB567" s="157">
        <f t="shared" ca="1" si="256"/>
        <v>0</v>
      </c>
      <c r="AC567" s="158" t="str">
        <f t="shared" ca="1" si="257"/>
        <v/>
      </c>
      <c r="AD567" s="104" t="str">
        <f ca="1">IF(C567&lt;=CRONO.NivelExibicao,MAX($AD$15:OFFSET(AD567,-1,0))+IF($C567&lt;&gt;1,1,MAX(1,COUNTIF(QCI!$A$13:$A$24,OFFSET($E567,-1,0)))),"")</f>
        <v/>
      </c>
      <c r="AE567" s="114" t="str">
        <f t="shared" ca="1" si="258"/>
        <v>SINAPI 100556</v>
      </c>
      <c r="AF567" s="159" t="str">
        <f t="shared" ca="1" si="259"/>
        <v>(abra o arquivo 'Referência 05-2024.xls)</v>
      </c>
      <c r="AG567" s="579">
        <f t="shared" ca="1" si="260"/>
        <v>0</v>
      </c>
      <c r="AH567" s="580">
        <f t="shared" ca="1" si="261"/>
        <v>0.22470000000000001</v>
      </c>
      <c r="AJ567" s="582">
        <v>1</v>
      </c>
      <c r="AL567" s="612"/>
      <c r="AM567" s="430">
        <f t="shared" ca="1" si="262"/>
        <v>0</v>
      </c>
      <c r="AN567" s="655">
        <f t="shared" ca="1" si="263"/>
        <v>0</v>
      </c>
    </row>
    <row r="568" spans="1:40" ht="13.8" x14ac:dyDescent="0.3">
      <c r="A568" t="str">
        <f t="shared" si="242"/>
        <v>S</v>
      </c>
      <c r="B568">
        <f t="shared" ca="1" si="243"/>
        <v>3</v>
      </c>
      <c r="C568" t="str">
        <f t="shared" ca="1" si="244"/>
        <v>S</v>
      </c>
      <c r="D568">
        <f t="shared" ca="1" si="245"/>
        <v>0</v>
      </c>
      <c r="E568">
        <f ca="1">IF($C568=1,OFFSET(E568,-1,0)+MAX(1,COUNTIF(QCI!$A$13:$A$24,OFFSET(ORÇAMENTO!E568,-1,0))),OFFSET(E568,-1,0))</f>
        <v>1</v>
      </c>
      <c r="F568">
        <f t="shared" ca="1" si="246"/>
        <v>18</v>
      </c>
      <c r="G568">
        <f t="shared" ca="1" si="247"/>
        <v>3</v>
      </c>
      <c r="H568">
        <f t="shared" ca="1" si="248"/>
        <v>0</v>
      </c>
      <c r="I568">
        <f t="shared" ca="1" si="249"/>
        <v>0</v>
      </c>
      <c r="J568">
        <f t="shared" ca="1" si="264"/>
        <v>0</v>
      </c>
      <c r="K568">
        <f ca="1">IF(OR($C568="S",$C568=0),0,MATCH(OFFSET($D568,0,$C568)+IF($C568&lt;&gt;1,1,COUNTIF(QCI!$A$13:$A$24,ORÇAMENTO!E568)),OFFSET($D568,1,$C568,ROW($C$710)-ROW($C568)),0))</f>
        <v>0</v>
      </c>
      <c r="L568" s="143" t="str">
        <f t="shared" ca="1" si="250"/>
        <v/>
      </c>
      <c r="M568" s="144" t="s">
        <v>201</v>
      </c>
      <c r="N568" s="145" t="str">
        <f t="shared" ca="1" si="251"/>
        <v>Serviço</v>
      </c>
      <c r="O568" s="146" t="str">
        <f t="shared" ca="1" si="252"/>
        <v>-</v>
      </c>
      <c r="P568" s="147" t="s">
        <v>249</v>
      </c>
      <c r="Q568" s="148">
        <v>97887</v>
      </c>
      <c r="R568" s="149" t="str">
        <f t="shared" ca="1" si="268"/>
        <v>(abra o arquivo 'Referência 05-2024.xls)</v>
      </c>
      <c r="S568" s="150" t="str">
        <f t="shared" ca="1" si="269"/>
        <v>-</v>
      </c>
      <c r="T568" s="151">
        <f ca="1">OFFSET(CÁLCULO!H$15,ROW($T568)-ROW(T$15),0)</f>
        <v>1</v>
      </c>
      <c r="U568" s="152">
        <f t="shared" ca="1" si="265"/>
        <v>0</v>
      </c>
      <c r="V568" s="153" t="s">
        <v>158</v>
      </c>
      <c r="W568" s="151">
        <f t="shared" ca="1" si="253"/>
        <v>0</v>
      </c>
      <c r="X568" s="154">
        <f t="shared" ca="1" si="254"/>
        <v>0</v>
      </c>
      <c r="Y568" s="155" t="s">
        <v>583</v>
      </c>
      <c r="Z568" t="str">
        <f t="shared" ca="1" si="255"/>
        <v/>
      </c>
      <c r="AA568" s="156">
        <f ca="1">IF($C568="S",IF($Z568="CP",$X568,IF($Z568="RA",(($X568)*QCI!$AA$3),0)),SomaAgrup)</f>
        <v>0</v>
      </c>
      <c r="AB568" s="157">
        <f t="shared" ca="1" si="256"/>
        <v>0</v>
      </c>
      <c r="AC568" s="158" t="str">
        <f t="shared" ca="1" si="257"/>
        <v/>
      </c>
      <c r="AD568" s="104" t="str">
        <f ca="1">IF(C568&lt;=CRONO.NivelExibicao,MAX($AD$15:OFFSET(AD568,-1,0))+IF($C568&lt;&gt;1,1,MAX(1,COUNTIF(QCI!$A$13:$A$24,OFFSET($E568,-1,0)))),"")</f>
        <v/>
      </c>
      <c r="AE568" s="114" t="str">
        <f t="shared" ca="1" si="258"/>
        <v>SINAPI 97887</v>
      </c>
      <c r="AF568" s="159" t="str">
        <f t="shared" ca="1" si="259"/>
        <v>(abra o arquivo 'Referência 05-2024.xls)</v>
      </c>
      <c r="AG568" s="579">
        <f t="shared" ca="1" si="260"/>
        <v>0</v>
      </c>
      <c r="AH568" s="580">
        <f t="shared" ca="1" si="261"/>
        <v>0.22470000000000001</v>
      </c>
      <c r="AJ568" s="582">
        <v>1</v>
      </c>
      <c r="AL568" s="612"/>
      <c r="AM568" s="430">
        <f t="shared" ca="1" si="262"/>
        <v>0</v>
      </c>
      <c r="AN568" s="655">
        <f t="shared" ca="1" si="263"/>
        <v>0</v>
      </c>
    </row>
    <row r="569" spans="1:40" ht="13.8" x14ac:dyDescent="0.3">
      <c r="A569" t="str">
        <f t="shared" si="242"/>
        <v>S</v>
      </c>
      <c r="B569">
        <f t="shared" ca="1" si="243"/>
        <v>3</v>
      </c>
      <c r="C569" t="str">
        <f t="shared" ca="1" si="244"/>
        <v>S</v>
      </c>
      <c r="D569">
        <f t="shared" ca="1" si="245"/>
        <v>0</v>
      </c>
      <c r="E569">
        <f ca="1">IF($C569=1,OFFSET(E569,-1,0)+MAX(1,COUNTIF(QCI!$A$13:$A$24,OFFSET(ORÇAMENTO!E569,-1,0))),OFFSET(E569,-1,0))</f>
        <v>1</v>
      </c>
      <c r="F569">
        <f t="shared" ca="1" si="246"/>
        <v>18</v>
      </c>
      <c r="G569">
        <f t="shared" ca="1" si="247"/>
        <v>3</v>
      </c>
      <c r="H569">
        <f t="shared" ca="1" si="248"/>
        <v>0</v>
      </c>
      <c r="I569">
        <f t="shared" ca="1" si="249"/>
        <v>0</v>
      </c>
      <c r="J569">
        <f t="shared" ca="1" si="264"/>
        <v>0</v>
      </c>
      <c r="K569">
        <f ca="1">IF(OR($C569="S",$C569=0),0,MATCH(OFFSET($D569,0,$C569)+IF($C569&lt;&gt;1,1,COUNTIF(QCI!$A$13:$A$24,ORÇAMENTO!E569)),OFFSET($D569,1,$C569,ROW($C$710)-ROW($C569)),0))</f>
        <v>0</v>
      </c>
      <c r="L569" s="143" t="str">
        <f t="shared" ca="1" si="250"/>
        <v/>
      </c>
      <c r="M569" s="144" t="s">
        <v>201</v>
      </c>
      <c r="N569" s="145" t="str">
        <f t="shared" ca="1" si="251"/>
        <v>Serviço</v>
      </c>
      <c r="O569" s="146" t="str">
        <f t="shared" ca="1" si="252"/>
        <v>-</v>
      </c>
      <c r="P569" s="147" t="s">
        <v>249</v>
      </c>
      <c r="Q569" s="148">
        <v>91940</v>
      </c>
      <c r="R569" s="149" t="str">
        <f t="shared" ca="1" si="268"/>
        <v>(abra o arquivo 'Referência 05-2024.xls)</v>
      </c>
      <c r="S569" s="150" t="str">
        <f t="shared" ca="1" si="269"/>
        <v>-</v>
      </c>
      <c r="T569" s="151">
        <f ca="1">OFFSET(CÁLCULO!H$15,ROW($T569)-ROW(T$15),0)</f>
        <v>14</v>
      </c>
      <c r="U569" s="152">
        <f t="shared" ca="1" si="265"/>
        <v>0</v>
      </c>
      <c r="V569" s="153" t="s">
        <v>158</v>
      </c>
      <c r="W569" s="151">
        <f t="shared" ca="1" si="253"/>
        <v>0</v>
      </c>
      <c r="X569" s="154">
        <f t="shared" ca="1" si="254"/>
        <v>0</v>
      </c>
      <c r="Y569" s="155" t="s">
        <v>583</v>
      </c>
      <c r="Z569" t="str">
        <f t="shared" ca="1" si="255"/>
        <v/>
      </c>
      <c r="AA569" s="156">
        <f ca="1">IF($C569="S",IF($Z569="CP",$X569,IF($Z569="RA",(($X569)*QCI!$AA$3),0)),SomaAgrup)</f>
        <v>0</v>
      </c>
      <c r="AB569" s="157">
        <f t="shared" ca="1" si="256"/>
        <v>0</v>
      </c>
      <c r="AC569" s="158" t="str">
        <f t="shared" ca="1" si="257"/>
        <v/>
      </c>
      <c r="AD569" s="104" t="str">
        <f ca="1">IF(C569&lt;=CRONO.NivelExibicao,MAX($AD$15:OFFSET(AD569,-1,0))+IF($C569&lt;&gt;1,1,MAX(1,COUNTIF(QCI!$A$13:$A$24,OFFSET($E569,-1,0)))),"")</f>
        <v/>
      </c>
      <c r="AE569" s="114" t="str">
        <f t="shared" ca="1" si="258"/>
        <v>SINAPI 91940</v>
      </c>
      <c r="AF569" s="159" t="str">
        <f t="shared" ca="1" si="259"/>
        <v>(abra o arquivo 'Referência 05-2024.xls)</v>
      </c>
      <c r="AG569" s="579">
        <f t="shared" ca="1" si="260"/>
        <v>0</v>
      </c>
      <c r="AH569" s="580">
        <f t="shared" ca="1" si="261"/>
        <v>0.22470000000000001</v>
      </c>
      <c r="AJ569" s="582">
        <v>14</v>
      </c>
      <c r="AL569" s="612"/>
      <c r="AM569" s="430">
        <f t="shared" ca="1" si="262"/>
        <v>0</v>
      </c>
      <c r="AN569" s="655">
        <f t="shared" ca="1" si="263"/>
        <v>0</v>
      </c>
    </row>
    <row r="570" spans="1:40" ht="13.8" x14ac:dyDescent="0.3">
      <c r="A570" t="str">
        <f t="shared" si="242"/>
        <v>S</v>
      </c>
      <c r="B570">
        <f t="shared" ca="1" si="243"/>
        <v>3</v>
      </c>
      <c r="C570" t="str">
        <f t="shared" ca="1" si="244"/>
        <v>S</v>
      </c>
      <c r="D570">
        <f t="shared" ca="1" si="245"/>
        <v>0</v>
      </c>
      <c r="E570">
        <f ca="1">IF($C570=1,OFFSET(E570,-1,0)+MAX(1,COUNTIF(QCI!$A$13:$A$24,OFFSET(ORÇAMENTO!E570,-1,0))),OFFSET(E570,-1,0))</f>
        <v>1</v>
      </c>
      <c r="F570">
        <f t="shared" ca="1" si="246"/>
        <v>18</v>
      </c>
      <c r="G570">
        <f t="shared" ca="1" si="247"/>
        <v>3</v>
      </c>
      <c r="H570">
        <f t="shared" ca="1" si="248"/>
        <v>0</v>
      </c>
      <c r="I570">
        <f t="shared" ca="1" si="249"/>
        <v>0</v>
      </c>
      <c r="J570">
        <f t="shared" ca="1" si="264"/>
        <v>0</v>
      </c>
      <c r="K570">
        <f ca="1">IF(OR($C570="S",$C570=0),0,MATCH(OFFSET($D570,0,$C570)+IF($C570&lt;&gt;1,1,COUNTIF(QCI!$A$13:$A$24,ORÇAMENTO!E570)),OFFSET($D570,1,$C570,ROW($C$710)-ROW($C570)),0))</f>
        <v>0</v>
      </c>
      <c r="L570" s="143" t="str">
        <f t="shared" ca="1" si="250"/>
        <v/>
      </c>
      <c r="M570" s="144" t="s">
        <v>201</v>
      </c>
      <c r="N570" s="145" t="str">
        <f t="shared" ca="1" si="251"/>
        <v>Serviço</v>
      </c>
      <c r="O570" s="146" t="str">
        <f t="shared" ca="1" si="252"/>
        <v>-</v>
      </c>
      <c r="P570" s="147" t="s">
        <v>249</v>
      </c>
      <c r="Q570" s="148">
        <v>91937</v>
      </c>
      <c r="R570" s="149" t="str">
        <f t="shared" ca="1" si="268"/>
        <v>(abra o arquivo 'Referência 05-2024.xls)</v>
      </c>
      <c r="S570" s="150" t="str">
        <f t="shared" ca="1" si="269"/>
        <v>-</v>
      </c>
      <c r="T570" s="151">
        <f ca="1">OFFSET(CÁLCULO!H$15,ROW($T570)-ROW(T$15),0)</f>
        <v>45</v>
      </c>
      <c r="U570" s="152">
        <f t="shared" ca="1" si="265"/>
        <v>0</v>
      </c>
      <c r="V570" s="153" t="s">
        <v>158</v>
      </c>
      <c r="W570" s="151">
        <f t="shared" ca="1" si="253"/>
        <v>0</v>
      </c>
      <c r="X570" s="154">
        <f t="shared" ca="1" si="254"/>
        <v>0</v>
      </c>
      <c r="Y570" s="155" t="s">
        <v>583</v>
      </c>
      <c r="Z570" t="str">
        <f t="shared" ca="1" si="255"/>
        <v/>
      </c>
      <c r="AA570" s="156">
        <f ca="1">IF($C570="S",IF($Z570="CP",$X570,IF($Z570="RA",(($X570)*QCI!$AA$3),0)),SomaAgrup)</f>
        <v>0</v>
      </c>
      <c r="AB570" s="157">
        <f t="shared" ca="1" si="256"/>
        <v>0</v>
      </c>
      <c r="AC570" s="158" t="str">
        <f t="shared" ca="1" si="257"/>
        <v/>
      </c>
      <c r="AD570" s="104" t="str">
        <f ca="1">IF(C570&lt;=CRONO.NivelExibicao,MAX($AD$15:OFFSET(AD570,-1,0))+IF($C570&lt;&gt;1,1,MAX(1,COUNTIF(QCI!$A$13:$A$24,OFFSET($E570,-1,0)))),"")</f>
        <v/>
      </c>
      <c r="AE570" s="114" t="str">
        <f t="shared" ca="1" si="258"/>
        <v>SINAPI 91937</v>
      </c>
      <c r="AF570" s="159" t="str">
        <f t="shared" ca="1" si="259"/>
        <v>(abra o arquivo 'Referência 05-2024.xls)</v>
      </c>
      <c r="AG570" s="579">
        <f t="shared" ca="1" si="260"/>
        <v>0</v>
      </c>
      <c r="AH570" s="580">
        <f t="shared" ca="1" si="261"/>
        <v>0.22470000000000001</v>
      </c>
      <c r="AJ570" s="582">
        <v>45</v>
      </c>
      <c r="AL570" s="612"/>
      <c r="AM570" s="430">
        <f t="shared" ca="1" si="262"/>
        <v>0</v>
      </c>
      <c r="AN570" s="655">
        <f t="shared" ca="1" si="263"/>
        <v>0</v>
      </c>
    </row>
    <row r="571" spans="1:40" ht="13.8" x14ac:dyDescent="0.3">
      <c r="A571" t="str">
        <f t="shared" si="242"/>
        <v>S</v>
      </c>
      <c r="B571">
        <f t="shared" ca="1" si="243"/>
        <v>3</v>
      </c>
      <c r="C571" t="str">
        <f t="shared" ca="1" si="244"/>
        <v>S</v>
      </c>
      <c r="D571">
        <f t="shared" ca="1" si="245"/>
        <v>0</v>
      </c>
      <c r="E571">
        <f ca="1">IF($C571=1,OFFSET(E571,-1,0)+MAX(1,COUNTIF(QCI!$A$13:$A$24,OFFSET(ORÇAMENTO!E571,-1,0))),OFFSET(E571,-1,0))</f>
        <v>1</v>
      </c>
      <c r="F571">
        <f t="shared" ca="1" si="246"/>
        <v>18</v>
      </c>
      <c r="G571">
        <f t="shared" ca="1" si="247"/>
        <v>3</v>
      </c>
      <c r="H571">
        <f t="shared" ca="1" si="248"/>
        <v>0</v>
      </c>
      <c r="I571">
        <f t="shared" ca="1" si="249"/>
        <v>0</v>
      </c>
      <c r="J571">
        <f t="shared" ca="1" si="264"/>
        <v>0</v>
      </c>
      <c r="K571">
        <f ca="1">IF(OR($C571="S",$C571=0),0,MATCH(OFFSET($D571,0,$C571)+IF($C571&lt;&gt;1,1,COUNTIF(QCI!$A$13:$A$24,ORÇAMENTO!E571)),OFFSET($D571,1,$C571,ROW($C$710)-ROW($C571)),0))</f>
        <v>0</v>
      </c>
      <c r="L571" s="143" t="str">
        <f t="shared" ca="1" si="250"/>
        <v/>
      </c>
      <c r="M571" s="144" t="s">
        <v>201</v>
      </c>
      <c r="N571" s="145" t="str">
        <f t="shared" ca="1" si="251"/>
        <v>Serviço</v>
      </c>
      <c r="O571" s="146" t="str">
        <f t="shared" ca="1" si="252"/>
        <v>-</v>
      </c>
      <c r="P571" s="147" t="s">
        <v>441</v>
      </c>
      <c r="Q571" s="148" t="s">
        <v>628</v>
      </c>
      <c r="R571" s="149" t="str">
        <f t="shared" ca="1" si="268"/>
        <v>(abra o arquivo 'Referência 05-2024.xls)</v>
      </c>
      <c r="S571" s="150" t="str">
        <f t="shared" ca="1" si="269"/>
        <v>-</v>
      </c>
      <c r="T571" s="151">
        <f ca="1">OFFSET(CÁLCULO!H$15,ROW($T571)-ROW(T$15),0)</f>
        <v>96</v>
      </c>
      <c r="U571" s="152">
        <f t="shared" ca="1" si="265"/>
        <v>0</v>
      </c>
      <c r="V571" s="153" t="s">
        <v>158</v>
      </c>
      <c r="W571" s="151">
        <f t="shared" ca="1" si="253"/>
        <v>0</v>
      </c>
      <c r="X571" s="154">
        <f t="shared" ca="1" si="254"/>
        <v>0</v>
      </c>
      <c r="Y571" s="155" t="s">
        <v>583</v>
      </c>
      <c r="Z571" t="str">
        <f t="shared" ca="1" si="255"/>
        <v/>
      </c>
      <c r="AA571" s="156">
        <f ca="1">IF($C571="S",IF($Z571="CP",$X571,IF($Z571="RA",(($X571)*QCI!$AA$3),0)),SomaAgrup)</f>
        <v>0</v>
      </c>
      <c r="AB571" s="157">
        <f t="shared" ca="1" si="256"/>
        <v>0</v>
      </c>
      <c r="AC571" s="158" t="str">
        <f t="shared" ca="1" si="257"/>
        <v/>
      </c>
      <c r="AD571" s="104" t="str">
        <f ca="1">IF(C571&lt;=CRONO.NivelExibicao,MAX($AD$15:OFFSET(AD571,-1,0))+IF($C571&lt;&gt;1,1,MAX(1,COUNTIF(QCI!$A$13:$A$24,OFFSET($E571,-1,0)))),"")</f>
        <v/>
      </c>
      <c r="AE571" s="114" t="str">
        <f t="shared" ca="1" si="258"/>
        <v>Composição CP-64</v>
      </c>
      <c r="AF571" s="159" t="str">
        <f t="shared" ca="1" si="259"/>
        <v>(abra o arquivo 'Referência 05-2024.xls)</v>
      </c>
      <c r="AG571" s="579">
        <f t="shared" ca="1" si="260"/>
        <v>0</v>
      </c>
      <c r="AH571" s="580">
        <f t="shared" ca="1" si="261"/>
        <v>0.22470000000000001</v>
      </c>
      <c r="AJ571" s="582">
        <v>96</v>
      </c>
      <c r="AL571" s="612"/>
      <c r="AM571" s="430">
        <f t="shared" ca="1" si="262"/>
        <v>0</v>
      </c>
      <c r="AN571" s="655">
        <f t="shared" ca="1" si="263"/>
        <v>0</v>
      </c>
    </row>
    <row r="572" spans="1:40" ht="13.8" x14ac:dyDescent="0.3">
      <c r="A572" t="str">
        <f t="shared" si="242"/>
        <v>S</v>
      </c>
      <c r="B572">
        <f t="shared" ca="1" si="243"/>
        <v>3</v>
      </c>
      <c r="C572" t="str">
        <f t="shared" ca="1" si="244"/>
        <v>S</v>
      </c>
      <c r="D572">
        <f t="shared" ca="1" si="245"/>
        <v>0</v>
      </c>
      <c r="E572">
        <f ca="1">IF($C572=1,OFFSET(E572,-1,0)+MAX(1,COUNTIF(QCI!$A$13:$A$24,OFFSET(ORÇAMENTO!E572,-1,0))),OFFSET(E572,-1,0))</f>
        <v>1</v>
      </c>
      <c r="F572">
        <f t="shared" ca="1" si="246"/>
        <v>18</v>
      </c>
      <c r="G572">
        <f t="shared" ca="1" si="247"/>
        <v>3</v>
      </c>
      <c r="H572">
        <f t="shared" ca="1" si="248"/>
        <v>0</v>
      </c>
      <c r="I572">
        <f t="shared" ca="1" si="249"/>
        <v>0</v>
      </c>
      <c r="J572">
        <f t="shared" ca="1" si="264"/>
        <v>0</v>
      </c>
      <c r="K572">
        <f ca="1">IF(OR($C572="S",$C572=0),0,MATCH(OFFSET($D572,0,$C572)+IF($C572&lt;&gt;1,1,COUNTIF(QCI!$A$13:$A$24,ORÇAMENTO!E572)),OFFSET($D572,1,$C572,ROW($C$710)-ROW($C572)),0))</f>
        <v>0</v>
      </c>
      <c r="L572" s="143" t="str">
        <f t="shared" ca="1" si="250"/>
        <v/>
      </c>
      <c r="M572" s="144" t="s">
        <v>201</v>
      </c>
      <c r="N572" s="145" t="str">
        <f t="shared" ca="1" si="251"/>
        <v>Serviço</v>
      </c>
      <c r="O572" s="146" t="str">
        <f t="shared" ca="1" si="252"/>
        <v>-</v>
      </c>
      <c r="P572" s="147" t="s">
        <v>441</v>
      </c>
      <c r="Q572" s="148" t="s">
        <v>629</v>
      </c>
      <c r="R572" s="149" t="str">
        <f t="shared" ca="1" si="268"/>
        <v>(abra o arquivo 'Referência 05-2024.xls)</v>
      </c>
      <c r="S572" s="150" t="str">
        <f t="shared" ca="1" si="269"/>
        <v>-</v>
      </c>
      <c r="T572" s="151">
        <f ca="1">OFFSET(CÁLCULO!H$15,ROW($T572)-ROW(T$15),0)</f>
        <v>15</v>
      </c>
      <c r="U572" s="152">
        <f t="shared" ca="1" si="265"/>
        <v>0</v>
      </c>
      <c r="V572" s="153" t="s">
        <v>158</v>
      </c>
      <c r="W572" s="151">
        <f t="shared" ca="1" si="253"/>
        <v>0</v>
      </c>
      <c r="X572" s="154">
        <f t="shared" ca="1" si="254"/>
        <v>0</v>
      </c>
      <c r="Y572" s="155" t="s">
        <v>583</v>
      </c>
      <c r="Z572" t="str">
        <f t="shared" ca="1" si="255"/>
        <v/>
      </c>
      <c r="AA572" s="156">
        <f ca="1">IF($C572="S",IF($Z572="CP",$X572,IF($Z572="RA",(($X572)*QCI!$AA$3),0)),SomaAgrup)</f>
        <v>0</v>
      </c>
      <c r="AB572" s="157">
        <f t="shared" ca="1" si="256"/>
        <v>0</v>
      </c>
      <c r="AC572" s="158" t="str">
        <f t="shared" ca="1" si="257"/>
        <v/>
      </c>
      <c r="AD572" s="104" t="str">
        <f ca="1">IF(C572&lt;=CRONO.NivelExibicao,MAX($AD$15:OFFSET(AD572,-1,0))+IF($C572&lt;&gt;1,1,MAX(1,COUNTIF(QCI!$A$13:$A$24,OFFSET($E572,-1,0)))),"")</f>
        <v/>
      </c>
      <c r="AE572" s="114" t="str">
        <f t="shared" ca="1" si="258"/>
        <v>Composição CP-65</v>
      </c>
      <c r="AF572" s="159" t="str">
        <f t="shared" ca="1" si="259"/>
        <v>(abra o arquivo 'Referência 05-2024.xls)</v>
      </c>
      <c r="AG572" s="579">
        <f t="shared" ca="1" si="260"/>
        <v>0</v>
      </c>
      <c r="AH572" s="580">
        <f t="shared" ca="1" si="261"/>
        <v>0.22470000000000001</v>
      </c>
      <c r="AJ572" s="582">
        <v>15</v>
      </c>
      <c r="AL572" s="612"/>
      <c r="AM572" s="430">
        <f t="shared" ca="1" si="262"/>
        <v>0</v>
      </c>
      <c r="AN572" s="655">
        <f t="shared" ca="1" si="263"/>
        <v>0</v>
      </c>
    </row>
    <row r="573" spans="1:40" ht="13.8" x14ac:dyDescent="0.3">
      <c r="A573" t="str">
        <f t="shared" si="242"/>
        <v>S</v>
      </c>
      <c r="B573">
        <f t="shared" ca="1" si="243"/>
        <v>3</v>
      </c>
      <c r="C573" t="str">
        <f t="shared" ca="1" si="244"/>
        <v>S</v>
      </c>
      <c r="D573">
        <f t="shared" ca="1" si="245"/>
        <v>0</v>
      </c>
      <c r="E573">
        <f ca="1">IF($C573=1,OFFSET(E573,-1,0)+MAX(1,COUNTIF(QCI!$A$13:$A$24,OFFSET(ORÇAMENTO!E573,-1,0))),OFFSET(E573,-1,0))</f>
        <v>1</v>
      </c>
      <c r="F573">
        <f t="shared" ca="1" si="246"/>
        <v>18</v>
      </c>
      <c r="G573">
        <f t="shared" ca="1" si="247"/>
        <v>3</v>
      </c>
      <c r="H573">
        <f t="shared" ca="1" si="248"/>
        <v>0</v>
      </c>
      <c r="I573">
        <f t="shared" ca="1" si="249"/>
        <v>0</v>
      </c>
      <c r="J573">
        <f t="shared" ca="1" si="264"/>
        <v>0</v>
      </c>
      <c r="K573">
        <f ca="1">IF(OR($C573="S",$C573=0),0,MATCH(OFFSET($D573,0,$C573)+IF($C573&lt;&gt;1,1,COUNTIF(QCI!$A$13:$A$24,ORÇAMENTO!E573)),OFFSET($D573,1,$C573,ROW($C$710)-ROW($C573)),0))</f>
        <v>0</v>
      </c>
      <c r="L573" s="143" t="str">
        <f t="shared" ca="1" si="250"/>
        <v/>
      </c>
      <c r="M573" s="144" t="s">
        <v>201</v>
      </c>
      <c r="N573" s="145" t="str">
        <f t="shared" ca="1" si="251"/>
        <v>Serviço</v>
      </c>
      <c r="O573" s="146" t="str">
        <f t="shared" ca="1" si="252"/>
        <v>-</v>
      </c>
      <c r="P573" s="147" t="s">
        <v>441</v>
      </c>
      <c r="Q573" s="148" t="s">
        <v>630</v>
      </c>
      <c r="R573" s="149" t="str">
        <f t="shared" ca="1" si="268"/>
        <v>(abra o arquivo 'Referência 05-2024.xls)</v>
      </c>
      <c r="S573" s="150" t="str">
        <f t="shared" ca="1" si="269"/>
        <v>-</v>
      </c>
      <c r="T573" s="151">
        <f ca="1">OFFSET(CÁLCULO!H$15,ROW($T573)-ROW(T$15),0)</f>
        <v>16</v>
      </c>
      <c r="U573" s="152">
        <f t="shared" ca="1" si="265"/>
        <v>0</v>
      </c>
      <c r="V573" s="153" t="s">
        <v>158</v>
      </c>
      <c r="W573" s="151">
        <f t="shared" ca="1" si="253"/>
        <v>0</v>
      </c>
      <c r="X573" s="154">
        <f t="shared" ca="1" si="254"/>
        <v>0</v>
      </c>
      <c r="Y573" s="155" t="s">
        <v>583</v>
      </c>
      <c r="Z573" t="str">
        <f t="shared" ca="1" si="255"/>
        <v/>
      </c>
      <c r="AA573" s="156">
        <f ca="1">IF($C573="S",IF($Z573="CP",$X573,IF($Z573="RA",(($X573)*QCI!$AA$3),0)),SomaAgrup)</f>
        <v>0</v>
      </c>
      <c r="AB573" s="157">
        <f t="shared" ca="1" si="256"/>
        <v>0</v>
      </c>
      <c r="AC573" s="158" t="str">
        <f t="shared" ca="1" si="257"/>
        <v/>
      </c>
      <c r="AD573" s="104" t="str">
        <f ca="1">IF(C573&lt;=CRONO.NivelExibicao,MAX($AD$15:OFFSET(AD573,-1,0))+IF($C573&lt;&gt;1,1,MAX(1,COUNTIF(QCI!$A$13:$A$24,OFFSET($E573,-1,0)))),"")</f>
        <v/>
      </c>
      <c r="AE573" s="114" t="str">
        <f t="shared" ca="1" si="258"/>
        <v>Composição CP-66</v>
      </c>
      <c r="AF573" s="159" t="str">
        <f t="shared" ca="1" si="259"/>
        <v>(abra o arquivo 'Referência 05-2024.xls)</v>
      </c>
      <c r="AG573" s="579">
        <f t="shared" ca="1" si="260"/>
        <v>0</v>
      </c>
      <c r="AH573" s="580">
        <f t="shared" ca="1" si="261"/>
        <v>0.22470000000000001</v>
      </c>
      <c r="AJ573" s="582">
        <v>16</v>
      </c>
      <c r="AL573" s="612"/>
      <c r="AM573" s="430">
        <f t="shared" ca="1" si="262"/>
        <v>0</v>
      </c>
      <c r="AN573" s="655">
        <f t="shared" ca="1" si="263"/>
        <v>0</v>
      </c>
    </row>
    <row r="574" spans="1:40" ht="13.8" x14ac:dyDescent="0.3">
      <c r="A574" t="str">
        <f t="shared" si="242"/>
        <v>S</v>
      </c>
      <c r="B574">
        <f t="shared" ca="1" si="243"/>
        <v>3</v>
      </c>
      <c r="C574" t="str">
        <f t="shared" ca="1" si="244"/>
        <v>S</v>
      </c>
      <c r="D574">
        <f t="shared" ca="1" si="245"/>
        <v>0</v>
      </c>
      <c r="E574">
        <f ca="1">IF($C574=1,OFFSET(E574,-1,0)+MAX(1,COUNTIF(QCI!$A$13:$A$24,OFFSET(ORÇAMENTO!E574,-1,0))),OFFSET(E574,-1,0))</f>
        <v>1</v>
      </c>
      <c r="F574">
        <f t="shared" ca="1" si="246"/>
        <v>18</v>
      </c>
      <c r="G574">
        <f t="shared" ca="1" si="247"/>
        <v>3</v>
      </c>
      <c r="H574">
        <f t="shared" ca="1" si="248"/>
        <v>0</v>
      </c>
      <c r="I574">
        <f t="shared" ca="1" si="249"/>
        <v>0</v>
      </c>
      <c r="J574">
        <f t="shared" ca="1" si="264"/>
        <v>0</v>
      </c>
      <c r="K574">
        <f ca="1">IF(OR($C574="S",$C574=0),0,MATCH(OFFSET($D574,0,$C574)+IF($C574&lt;&gt;1,1,COUNTIF(QCI!$A$13:$A$24,ORÇAMENTO!E574)),OFFSET($D574,1,$C574,ROW($C$710)-ROW($C574)),0))</f>
        <v>0</v>
      </c>
      <c r="L574" s="143" t="str">
        <f t="shared" ca="1" si="250"/>
        <v/>
      </c>
      <c r="M574" s="144" t="s">
        <v>201</v>
      </c>
      <c r="N574" s="145" t="str">
        <f t="shared" ca="1" si="251"/>
        <v>Serviço</v>
      </c>
      <c r="O574" s="146" t="str">
        <f t="shared" ca="1" si="252"/>
        <v>-</v>
      </c>
      <c r="P574" s="147" t="s">
        <v>441</v>
      </c>
      <c r="Q574" s="148" t="s">
        <v>631</v>
      </c>
      <c r="R574" s="149" t="str">
        <f t="shared" ca="1" si="268"/>
        <v>(abra o arquivo 'Referência 05-2024.xls)</v>
      </c>
      <c r="S574" s="150" t="str">
        <f t="shared" ca="1" si="269"/>
        <v>-</v>
      </c>
      <c r="T574" s="151">
        <f ca="1">OFFSET(CÁLCULO!H$15,ROW($T574)-ROW(T$15),0)</f>
        <v>35</v>
      </c>
      <c r="U574" s="152">
        <f t="shared" ca="1" si="265"/>
        <v>0</v>
      </c>
      <c r="V574" s="153" t="s">
        <v>158</v>
      </c>
      <c r="W574" s="151">
        <f t="shared" ca="1" si="253"/>
        <v>0</v>
      </c>
      <c r="X574" s="154">
        <f t="shared" ca="1" si="254"/>
        <v>0</v>
      </c>
      <c r="Y574" s="155" t="s">
        <v>583</v>
      </c>
      <c r="Z574" t="str">
        <f t="shared" ca="1" si="255"/>
        <v/>
      </c>
      <c r="AA574" s="156">
        <f ca="1">IF($C574="S",IF($Z574="CP",$X574,IF($Z574="RA",(($X574)*QCI!$AA$3),0)),SomaAgrup)</f>
        <v>0</v>
      </c>
      <c r="AB574" s="157">
        <f t="shared" ca="1" si="256"/>
        <v>0</v>
      </c>
      <c r="AC574" s="158" t="str">
        <f t="shared" ca="1" si="257"/>
        <v/>
      </c>
      <c r="AD574" s="104" t="str">
        <f ca="1">IF(C574&lt;=CRONO.NivelExibicao,MAX($AD$15:OFFSET(AD574,-1,0))+IF($C574&lt;&gt;1,1,MAX(1,COUNTIF(QCI!$A$13:$A$24,OFFSET($E574,-1,0)))),"")</f>
        <v/>
      </c>
      <c r="AE574" s="114" t="str">
        <f t="shared" ca="1" si="258"/>
        <v>Composição CP-67</v>
      </c>
      <c r="AF574" s="159" t="str">
        <f t="shared" ca="1" si="259"/>
        <v>(abra o arquivo 'Referência 05-2024.xls)</v>
      </c>
      <c r="AG574" s="579">
        <f t="shared" ca="1" si="260"/>
        <v>0</v>
      </c>
      <c r="AH574" s="580">
        <f t="shared" ca="1" si="261"/>
        <v>0.22470000000000001</v>
      </c>
      <c r="AJ574" s="582">
        <v>35</v>
      </c>
      <c r="AL574" s="612"/>
      <c r="AM574" s="430">
        <f t="shared" ca="1" si="262"/>
        <v>0</v>
      </c>
      <c r="AN574" s="655">
        <f t="shared" ca="1" si="263"/>
        <v>0</v>
      </c>
    </row>
    <row r="575" spans="1:40" ht="13.8" x14ac:dyDescent="0.3">
      <c r="A575" t="str">
        <f t="shared" si="242"/>
        <v>S</v>
      </c>
      <c r="B575">
        <f t="shared" ca="1" si="243"/>
        <v>3</v>
      </c>
      <c r="C575" t="str">
        <f t="shared" ca="1" si="244"/>
        <v>S</v>
      </c>
      <c r="D575">
        <f t="shared" ca="1" si="245"/>
        <v>0</v>
      </c>
      <c r="E575">
        <f ca="1">IF($C575=1,OFFSET(E575,-1,0)+MAX(1,COUNTIF(QCI!$A$13:$A$24,OFFSET(ORÇAMENTO!E575,-1,0))),OFFSET(E575,-1,0))</f>
        <v>1</v>
      </c>
      <c r="F575">
        <f t="shared" ca="1" si="246"/>
        <v>18</v>
      </c>
      <c r="G575">
        <f t="shared" ca="1" si="247"/>
        <v>3</v>
      </c>
      <c r="H575">
        <f t="shared" ca="1" si="248"/>
        <v>0</v>
      </c>
      <c r="I575">
        <f t="shared" ca="1" si="249"/>
        <v>0</v>
      </c>
      <c r="J575">
        <f t="shared" ca="1" si="264"/>
        <v>0</v>
      </c>
      <c r="K575">
        <f ca="1">IF(OR($C575="S",$C575=0),0,MATCH(OFFSET($D575,0,$C575)+IF($C575&lt;&gt;1,1,COUNTIF(QCI!$A$13:$A$24,ORÇAMENTO!E575)),OFFSET($D575,1,$C575,ROW($C$710)-ROW($C575)),0))</f>
        <v>0</v>
      </c>
      <c r="L575" s="143" t="str">
        <f t="shared" ca="1" si="250"/>
        <v/>
      </c>
      <c r="M575" s="144" t="s">
        <v>201</v>
      </c>
      <c r="N575" s="145" t="str">
        <f t="shared" ca="1" si="251"/>
        <v>Serviço</v>
      </c>
      <c r="O575" s="146" t="str">
        <f t="shared" ca="1" si="252"/>
        <v>-</v>
      </c>
      <c r="P575" s="147" t="s">
        <v>441</v>
      </c>
      <c r="Q575" s="148" t="s">
        <v>632</v>
      </c>
      <c r="R575" s="149" t="str">
        <f t="shared" ca="1" si="268"/>
        <v>(abra o arquivo 'Referência 05-2024.xls)</v>
      </c>
      <c r="S575" s="150" t="str">
        <f t="shared" ca="1" si="269"/>
        <v>-</v>
      </c>
      <c r="T575" s="151">
        <f ca="1">OFFSET(CÁLCULO!H$15,ROW($T575)-ROW(T$15),0)</f>
        <v>2</v>
      </c>
      <c r="U575" s="152">
        <f t="shared" ca="1" si="265"/>
        <v>0</v>
      </c>
      <c r="V575" s="153" t="s">
        <v>158</v>
      </c>
      <c r="W575" s="151">
        <f t="shared" ca="1" si="253"/>
        <v>0</v>
      </c>
      <c r="X575" s="154">
        <f t="shared" ca="1" si="254"/>
        <v>0</v>
      </c>
      <c r="Y575" s="155" t="s">
        <v>583</v>
      </c>
      <c r="Z575" t="str">
        <f t="shared" ca="1" si="255"/>
        <v/>
      </c>
      <c r="AA575" s="156">
        <f ca="1">IF($C575="S",IF($Z575="CP",$X575,IF($Z575="RA",(($X575)*QCI!$AA$3),0)),SomaAgrup)</f>
        <v>0</v>
      </c>
      <c r="AB575" s="157">
        <f t="shared" ca="1" si="256"/>
        <v>0</v>
      </c>
      <c r="AC575" s="158" t="str">
        <f t="shared" ca="1" si="257"/>
        <v/>
      </c>
      <c r="AD575" s="104" t="str">
        <f ca="1">IF(C575&lt;=CRONO.NivelExibicao,MAX($AD$15:OFFSET(AD575,-1,0))+IF($C575&lt;&gt;1,1,MAX(1,COUNTIF(QCI!$A$13:$A$24,OFFSET($E575,-1,0)))),"")</f>
        <v/>
      </c>
      <c r="AE575" s="114" t="str">
        <f t="shared" ca="1" si="258"/>
        <v>Composição CP-68</v>
      </c>
      <c r="AF575" s="159" t="str">
        <f t="shared" ca="1" si="259"/>
        <v>(abra o arquivo 'Referência 05-2024.xls)</v>
      </c>
      <c r="AG575" s="579">
        <f t="shared" ca="1" si="260"/>
        <v>0</v>
      </c>
      <c r="AH575" s="580">
        <f t="shared" ca="1" si="261"/>
        <v>0.22470000000000001</v>
      </c>
      <c r="AJ575" s="582">
        <v>2</v>
      </c>
      <c r="AL575" s="612"/>
      <c r="AM575" s="430">
        <f t="shared" ca="1" si="262"/>
        <v>0</v>
      </c>
      <c r="AN575" s="655">
        <f t="shared" ca="1" si="263"/>
        <v>0</v>
      </c>
    </row>
    <row r="576" spans="1:40" ht="13.8" x14ac:dyDescent="0.3">
      <c r="A576" t="str">
        <f t="shared" si="242"/>
        <v>S</v>
      </c>
      <c r="B576">
        <f t="shared" ca="1" si="243"/>
        <v>3</v>
      </c>
      <c r="C576" t="str">
        <f t="shared" ca="1" si="244"/>
        <v>S</v>
      </c>
      <c r="D576">
        <f t="shared" ca="1" si="245"/>
        <v>0</v>
      </c>
      <c r="E576">
        <f ca="1">IF($C576=1,OFFSET(E576,-1,0)+MAX(1,COUNTIF(QCI!$A$13:$A$24,OFFSET(ORÇAMENTO!E576,-1,0))),OFFSET(E576,-1,0))</f>
        <v>1</v>
      </c>
      <c r="F576">
        <f t="shared" ca="1" si="246"/>
        <v>18</v>
      </c>
      <c r="G576">
        <f t="shared" ca="1" si="247"/>
        <v>3</v>
      </c>
      <c r="H576">
        <f t="shared" ca="1" si="248"/>
        <v>0</v>
      </c>
      <c r="I576">
        <f t="shared" ca="1" si="249"/>
        <v>0</v>
      </c>
      <c r="J576">
        <f t="shared" ca="1" si="264"/>
        <v>0</v>
      </c>
      <c r="K576">
        <f ca="1">IF(OR($C576="S",$C576=0),0,MATCH(OFFSET($D576,0,$C576)+IF($C576&lt;&gt;1,1,COUNTIF(QCI!$A$13:$A$24,ORÇAMENTO!E576)),OFFSET($D576,1,$C576,ROW($C$710)-ROW($C576)),0))</f>
        <v>0</v>
      </c>
      <c r="L576" s="143" t="str">
        <f t="shared" ca="1" si="250"/>
        <v/>
      </c>
      <c r="M576" s="144" t="s">
        <v>201</v>
      </c>
      <c r="N576" s="145" t="str">
        <f t="shared" ca="1" si="251"/>
        <v>Serviço</v>
      </c>
      <c r="O576" s="146" t="str">
        <f t="shared" ca="1" si="252"/>
        <v>-</v>
      </c>
      <c r="P576" s="147" t="s">
        <v>441</v>
      </c>
      <c r="Q576" s="148" t="s">
        <v>633</v>
      </c>
      <c r="R576" s="149" t="str">
        <f t="shared" ca="1" si="268"/>
        <v>(abra o arquivo 'Referência 05-2024.xls)</v>
      </c>
      <c r="S576" s="150" t="str">
        <f t="shared" ca="1" si="269"/>
        <v>-</v>
      </c>
      <c r="T576" s="151">
        <f ca="1">OFFSET(CÁLCULO!H$15,ROW($T576)-ROW(T$15),0)</f>
        <v>11</v>
      </c>
      <c r="U576" s="152">
        <f t="shared" ca="1" si="265"/>
        <v>0</v>
      </c>
      <c r="V576" s="153" t="s">
        <v>158</v>
      </c>
      <c r="W576" s="151">
        <f t="shared" ca="1" si="253"/>
        <v>0</v>
      </c>
      <c r="X576" s="154">
        <f t="shared" ca="1" si="254"/>
        <v>0</v>
      </c>
      <c r="Y576" s="155" t="s">
        <v>583</v>
      </c>
      <c r="Z576" t="str">
        <f t="shared" ca="1" si="255"/>
        <v/>
      </c>
      <c r="AA576" s="156">
        <f ca="1">IF($C576="S",IF($Z576="CP",$X576,IF($Z576="RA",(($X576)*QCI!$AA$3),0)),SomaAgrup)</f>
        <v>0</v>
      </c>
      <c r="AB576" s="157">
        <f t="shared" ca="1" si="256"/>
        <v>0</v>
      </c>
      <c r="AC576" s="158" t="str">
        <f t="shared" ca="1" si="257"/>
        <v/>
      </c>
      <c r="AD576" s="104" t="str">
        <f ca="1">IF(C576&lt;=CRONO.NivelExibicao,MAX($AD$15:OFFSET(AD576,-1,0))+IF($C576&lt;&gt;1,1,MAX(1,COUNTIF(QCI!$A$13:$A$24,OFFSET($E576,-1,0)))),"")</f>
        <v/>
      </c>
      <c r="AE576" s="114" t="str">
        <f t="shared" ca="1" si="258"/>
        <v>Composição CP-69</v>
      </c>
      <c r="AF576" s="159" t="str">
        <f t="shared" ca="1" si="259"/>
        <v>(abra o arquivo 'Referência 05-2024.xls)</v>
      </c>
      <c r="AG576" s="579">
        <f t="shared" ca="1" si="260"/>
        <v>0</v>
      </c>
      <c r="AH576" s="580">
        <f t="shared" ca="1" si="261"/>
        <v>0.22470000000000001</v>
      </c>
      <c r="AJ576" s="582">
        <v>11</v>
      </c>
      <c r="AL576" s="612"/>
      <c r="AM576" s="430">
        <f t="shared" ca="1" si="262"/>
        <v>0</v>
      </c>
      <c r="AN576" s="655">
        <f t="shared" ca="1" si="263"/>
        <v>0</v>
      </c>
    </row>
    <row r="577" spans="1:40" ht="13.8" x14ac:dyDescent="0.3">
      <c r="A577" t="str">
        <f t="shared" si="242"/>
        <v>S</v>
      </c>
      <c r="B577">
        <f t="shared" ca="1" si="243"/>
        <v>3</v>
      </c>
      <c r="C577" t="str">
        <f t="shared" ca="1" si="244"/>
        <v>S</v>
      </c>
      <c r="D577">
        <f t="shared" ca="1" si="245"/>
        <v>0</v>
      </c>
      <c r="E577">
        <f ca="1">IF($C577=1,OFFSET(E577,-1,0)+MAX(1,COUNTIF(QCI!$A$13:$A$24,OFFSET(ORÇAMENTO!E577,-1,0))),OFFSET(E577,-1,0))</f>
        <v>1</v>
      </c>
      <c r="F577">
        <f t="shared" ca="1" si="246"/>
        <v>18</v>
      </c>
      <c r="G577">
        <f t="shared" ca="1" si="247"/>
        <v>3</v>
      </c>
      <c r="H577">
        <f t="shared" ca="1" si="248"/>
        <v>0</v>
      </c>
      <c r="I577">
        <f t="shared" ca="1" si="249"/>
        <v>0</v>
      </c>
      <c r="J577">
        <f t="shared" ca="1" si="264"/>
        <v>0</v>
      </c>
      <c r="K577">
        <f ca="1">IF(OR($C577="S",$C577=0),0,MATCH(OFFSET($D577,0,$C577)+IF($C577&lt;&gt;1,1,COUNTIF(QCI!$A$13:$A$24,ORÇAMENTO!E577)),OFFSET($D577,1,$C577,ROW($C$710)-ROW($C577)),0))</f>
        <v>0</v>
      </c>
      <c r="L577" s="143" t="str">
        <f t="shared" ca="1" si="250"/>
        <v/>
      </c>
      <c r="M577" s="144" t="s">
        <v>201</v>
      </c>
      <c r="N577" s="145" t="str">
        <f t="shared" ca="1" si="251"/>
        <v>Serviço</v>
      </c>
      <c r="O577" s="146" t="str">
        <f t="shared" ca="1" si="252"/>
        <v>-</v>
      </c>
      <c r="P577" s="147" t="s">
        <v>441</v>
      </c>
      <c r="Q577" s="148" t="s">
        <v>634</v>
      </c>
      <c r="R577" s="149" t="str">
        <f t="shared" ca="1" si="268"/>
        <v>(abra o arquivo 'Referência 05-2024.xls)</v>
      </c>
      <c r="S577" s="150" t="str">
        <f t="shared" ca="1" si="269"/>
        <v>-</v>
      </c>
      <c r="T577" s="151">
        <f ca="1">OFFSET(CÁLCULO!H$15,ROW($T577)-ROW(T$15),0)</f>
        <v>24</v>
      </c>
      <c r="U577" s="152">
        <f t="shared" ca="1" si="265"/>
        <v>0</v>
      </c>
      <c r="V577" s="153" t="s">
        <v>158</v>
      </c>
      <c r="W577" s="151">
        <f t="shared" ca="1" si="253"/>
        <v>0</v>
      </c>
      <c r="X577" s="154">
        <f t="shared" ca="1" si="254"/>
        <v>0</v>
      </c>
      <c r="Y577" s="155" t="s">
        <v>583</v>
      </c>
      <c r="Z577" t="str">
        <f t="shared" ca="1" si="255"/>
        <v/>
      </c>
      <c r="AA577" s="156">
        <f ca="1">IF($C577="S",IF($Z577="CP",$X577,IF($Z577="RA",(($X577)*QCI!$AA$3),0)),SomaAgrup)</f>
        <v>0</v>
      </c>
      <c r="AB577" s="157">
        <f t="shared" ca="1" si="256"/>
        <v>0</v>
      </c>
      <c r="AC577" s="158" t="str">
        <f t="shared" ca="1" si="257"/>
        <v/>
      </c>
      <c r="AD577" s="104" t="str">
        <f ca="1">IF(C577&lt;=CRONO.NivelExibicao,MAX($AD$15:OFFSET(AD577,-1,0))+IF($C577&lt;&gt;1,1,MAX(1,COUNTIF(QCI!$A$13:$A$24,OFFSET($E577,-1,0)))),"")</f>
        <v/>
      </c>
      <c r="AE577" s="114" t="str">
        <f t="shared" ca="1" si="258"/>
        <v>Composição CP-70</v>
      </c>
      <c r="AF577" s="159" t="str">
        <f t="shared" ca="1" si="259"/>
        <v>(abra o arquivo 'Referência 05-2024.xls)</v>
      </c>
      <c r="AG577" s="579">
        <f t="shared" ca="1" si="260"/>
        <v>0</v>
      </c>
      <c r="AH577" s="580">
        <f t="shared" ca="1" si="261"/>
        <v>0.22470000000000001</v>
      </c>
      <c r="AJ577" s="582">
        <v>24</v>
      </c>
      <c r="AL577" s="612"/>
      <c r="AM577" s="430">
        <f t="shared" ca="1" si="262"/>
        <v>0</v>
      </c>
      <c r="AN577" s="655">
        <f t="shared" ca="1" si="263"/>
        <v>0</v>
      </c>
    </row>
    <row r="578" spans="1:40" ht="13.8" x14ac:dyDescent="0.3">
      <c r="A578" t="str">
        <f t="shared" si="242"/>
        <v>S</v>
      </c>
      <c r="B578">
        <f t="shared" ca="1" si="243"/>
        <v>3</v>
      </c>
      <c r="C578" t="str">
        <f t="shared" ca="1" si="244"/>
        <v>S</v>
      </c>
      <c r="D578">
        <f t="shared" ca="1" si="245"/>
        <v>0</v>
      </c>
      <c r="E578">
        <f ca="1">IF($C578=1,OFFSET(E578,-1,0)+MAX(1,COUNTIF(QCI!$A$13:$A$24,OFFSET(ORÇAMENTO!E578,-1,0))),OFFSET(E578,-1,0))</f>
        <v>1</v>
      </c>
      <c r="F578">
        <f t="shared" ca="1" si="246"/>
        <v>18</v>
      </c>
      <c r="G578">
        <f t="shared" ca="1" si="247"/>
        <v>3</v>
      </c>
      <c r="H578">
        <f t="shared" ca="1" si="248"/>
        <v>0</v>
      </c>
      <c r="I578">
        <f t="shared" ca="1" si="249"/>
        <v>0</v>
      </c>
      <c r="J578">
        <f t="shared" ca="1" si="264"/>
        <v>0</v>
      </c>
      <c r="K578">
        <f ca="1">IF(OR($C578="S",$C578=0),0,MATCH(OFFSET($D578,0,$C578)+IF($C578&lt;&gt;1,1,COUNTIF(QCI!$A$13:$A$24,ORÇAMENTO!E578)),OFFSET($D578,1,$C578,ROW($C$710)-ROW($C578)),0))</f>
        <v>0</v>
      </c>
      <c r="L578" s="143" t="str">
        <f t="shared" ca="1" si="250"/>
        <v/>
      </c>
      <c r="M578" s="144" t="s">
        <v>201</v>
      </c>
      <c r="N578" s="145" t="str">
        <f t="shared" ca="1" si="251"/>
        <v>Serviço</v>
      </c>
      <c r="O578" s="146" t="str">
        <f t="shared" ca="1" si="252"/>
        <v>-</v>
      </c>
      <c r="P578" s="147" t="s">
        <v>249</v>
      </c>
      <c r="Q578" s="148">
        <v>95795</v>
      </c>
      <c r="R578" s="149" t="str">
        <f t="shared" ca="1" si="268"/>
        <v>(abra o arquivo 'Referência 05-2024.xls)</v>
      </c>
      <c r="S578" s="150" t="str">
        <f t="shared" ca="1" si="269"/>
        <v>-</v>
      </c>
      <c r="T578" s="151">
        <f ca="1">OFFSET(CÁLCULO!H$15,ROW($T578)-ROW(T$15),0)</f>
        <v>22</v>
      </c>
      <c r="U578" s="152">
        <f t="shared" ca="1" si="265"/>
        <v>0</v>
      </c>
      <c r="V578" s="153" t="s">
        <v>158</v>
      </c>
      <c r="W578" s="151">
        <f t="shared" ca="1" si="253"/>
        <v>0</v>
      </c>
      <c r="X578" s="154">
        <f t="shared" ca="1" si="254"/>
        <v>0</v>
      </c>
      <c r="Y578" s="155" t="s">
        <v>583</v>
      </c>
      <c r="Z578" t="str">
        <f t="shared" ca="1" si="255"/>
        <v/>
      </c>
      <c r="AA578" s="156">
        <f ca="1">IF($C578="S",IF($Z578="CP",$X578,IF($Z578="RA",(($X578)*QCI!$AA$3),0)),SomaAgrup)</f>
        <v>0</v>
      </c>
      <c r="AB578" s="157">
        <f t="shared" ca="1" si="256"/>
        <v>0</v>
      </c>
      <c r="AC578" s="158" t="str">
        <f t="shared" ca="1" si="257"/>
        <v/>
      </c>
      <c r="AD578" s="104" t="str">
        <f ca="1">IF(C578&lt;=CRONO.NivelExibicao,MAX($AD$15:OFFSET(AD578,-1,0))+IF($C578&lt;&gt;1,1,MAX(1,COUNTIF(QCI!$A$13:$A$24,OFFSET($E578,-1,0)))),"")</f>
        <v/>
      </c>
      <c r="AE578" s="114" t="str">
        <f t="shared" ca="1" si="258"/>
        <v>SINAPI 95795</v>
      </c>
      <c r="AF578" s="159" t="str">
        <f t="shared" ca="1" si="259"/>
        <v>(abra o arquivo 'Referência 05-2024.xls)</v>
      </c>
      <c r="AG578" s="579">
        <f t="shared" ca="1" si="260"/>
        <v>0</v>
      </c>
      <c r="AH578" s="580">
        <f t="shared" ca="1" si="261"/>
        <v>0.22470000000000001</v>
      </c>
      <c r="AJ578" s="582">
        <v>22</v>
      </c>
      <c r="AL578" s="612"/>
      <c r="AM578" s="430">
        <f t="shared" ca="1" si="262"/>
        <v>0</v>
      </c>
      <c r="AN578" s="655">
        <f t="shared" ca="1" si="263"/>
        <v>0</v>
      </c>
    </row>
    <row r="579" spans="1:40" ht="13.8" x14ac:dyDescent="0.3">
      <c r="A579" t="str">
        <f t="shared" si="242"/>
        <v>S</v>
      </c>
      <c r="B579">
        <f t="shared" ca="1" si="243"/>
        <v>3</v>
      </c>
      <c r="C579" t="str">
        <f t="shared" ca="1" si="244"/>
        <v>S</v>
      </c>
      <c r="D579">
        <f t="shared" ca="1" si="245"/>
        <v>0</v>
      </c>
      <c r="E579">
        <f ca="1">IF($C579=1,OFFSET(E579,-1,0)+MAX(1,COUNTIF(QCI!$A$13:$A$24,OFFSET(ORÇAMENTO!E579,-1,0))),OFFSET(E579,-1,0))</f>
        <v>1</v>
      </c>
      <c r="F579">
        <f t="shared" ca="1" si="246"/>
        <v>18</v>
      </c>
      <c r="G579">
        <f t="shared" ca="1" si="247"/>
        <v>3</v>
      </c>
      <c r="H579">
        <f t="shared" ca="1" si="248"/>
        <v>0</v>
      </c>
      <c r="I579">
        <f t="shared" ca="1" si="249"/>
        <v>0</v>
      </c>
      <c r="J579">
        <f t="shared" ca="1" si="264"/>
        <v>0</v>
      </c>
      <c r="K579">
        <f ca="1">IF(OR($C579="S",$C579=0),0,MATCH(OFFSET($D579,0,$C579)+IF($C579&lt;&gt;1,1,COUNTIF(QCI!$A$13:$A$24,ORÇAMENTO!E579)),OFFSET($D579,1,$C579,ROW($C$710)-ROW($C579)),0))</f>
        <v>0</v>
      </c>
      <c r="L579" s="143" t="str">
        <f t="shared" ca="1" si="250"/>
        <v/>
      </c>
      <c r="M579" s="144" t="s">
        <v>201</v>
      </c>
      <c r="N579" s="145" t="str">
        <f t="shared" ca="1" si="251"/>
        <v>Serviço</v>
      </c>
      <c r="O579" s="146" t="str">
        <f t="shared" ca="1" si="252"/>
        <v>-</v>
      </c>
      <c r="P579" s="147" t="s">
        <v>249</v>
      </c>
      <c r="Q579" s="148">
        <v>95795</v>
      </c>
      <c r="R579" s="149" t="str">
        <f t="shared" ca="1" si="268"/>
        <v>(abra o arquivo 'Referência 05-2024.xls)</v>
      </c>
      <c r="S579" s="150" t="str">
        <f t="shared" ca="1" si="269"/>
        <v>-</v>
      </c>
      <c r="T579" s="151">
        <f ca="1">OFFSET(CÁLCULO!H$15,ROW($T579)-ROW(T$15),0)</f>
        <v>13</v>
      </c>
      <c r="U579" s="152">
        <f t="shared" ca="1" si="265"/>
        <v>0</v>
      </c>
      <c r="V579" s="153" t="s">
        <v>158</v>
      </c>
      <c r="W579" s="151">
        <f t="shared" ca="1" si="253"/>
        <v>0</v>
      </c>
      <c r="X579" s="154">
        <f t="shared" ca="1" si="254"/>
        <v>0</v>
      </c>
      <c r="Y579" s="155" t="s">
        <v>583</v>
      </c>
      <c r="Z579" t="str">
        <f t="shared" ca="1" si="255"/>
        <v/>
      </c>
      <c r="AA579" s="156">
        <f ca="1">IF($C579="S",IF($Z579="CP",$X579,IF($Z579="RA",(($X579)*QCI!$AA$3),0)),SomaAgrup)</f>
        <v>0</v>
      </c>
      <c r="AB579" s="157">
        <f t="shared" ca="1" si="256"/>
        <v>0</v>
      </c>
      <c r="AC579" s="158" t="str">
        <f t="shared" ca="1" si="257"/>
        <v/>
      </c>
      <c r="AD579" s="104" t="str">
        <f ca="1">IF(C579&lt;=CRONO.NivelExibicao,MAX($AD$15:OFFSET(AD579,-1,0))+IF($C579&lt;&gt;1,1,MAX(1,COUNTIF(QCI!$A$13:$A$24,OFFSET($E579,-1,0)))),"")</f>
        <v/>
      </c>
      <c r="AE579" s="114" t="str">
        <f t="shared" ca="1" si="258"/>
        <v>SINAPI 95795</v>
      </c>
      <c r="AF579" s="159" t="str">
        <f t="shared" ca="1" si="259"/>
        <v>(abra o arquivo 'Referência 05-2024.xls)</v>
      </c>
      <c r="AG579" s="579">
        <f t="shared" ca="1" si="260"/>
        <v>0</v>
      </c>
      <c r="AH579" s="580">
        <f t="shared" ca="1" si="261"/>
        <v>0.22470000000000001</v>
      </c>
      <c r="AJ579" s="582">
        <v>13</v>
      </c>
      <c r="AL579" s="612"/>
      <c r="AM579" s="430">
        <f t="shared" ca="1" si="262"/>
        <v>0</v>
      </c>
      <c r="AN579" s="655">
        <f t="shared" ca="1" si="263"/>
        <v>0</v>
      </c>
    </row>
    <row r="580" spans="1:40" ht="13.8" x14ac:dyDescent="0.3">
      <c r="A580">
        <f t="shared" si="242"/>
        <v>3</v>
      </c>
      <c r="B580">
        <f t="shared" ca="1" si="243"/>
        <v>3</v>
      </c>
      <c r="C580">
        <f t="shared" ca="1" si="244"/>
        <v>3</v>
      </c>
      <c r="D580">
        <f t="shared" ca="1" si="245"/>
        <v>12</v>
      </c>
      <c r="E580">
        <f ca="1">IF($C580=1,OFFSET(E580,-1,0)+MAX(1,COUNTIF(QCI!$A$13:$A$24,OFFSET(ORÇAMENTO!E580,-1,0))),OFFSET(E580,-1,0))</f>
        <v>1</v>
      </c>
      <c r="F580">
        <f t="shared" ca="1" si="246"/>
        <v>18</v>
      </c>
      <c r="G580">
        <f t="shared" ca="1" si="247"/>
        <v>4</v>
      </c>
      <c r="H580">
        <f t="shared" ca="1" si="248"/>
        <v>0</v>
      </c>
      <c r="I580">
        <f t="shared" ca="1" si="249"/>
        <v>0</v>
      </c>
      <c r="J580">
        <f t="shared" ca="1" si="264"/>
        <v>38</v>
      </c>
      <c r="K580">
        <f ca="1">IF(OR($C580="S",$C580=0),0,MATCH(OFFSET($D580,0,$C580)+IF($C580&lt;&gt;1,1,COUNTIF(QCI!$A$13:$A$24,ORÇAMENTO!E580)),OFFSET($D580,1,$C580,ROW($C$710)-ROW($C580)),0))</f>
        <v>12</v>
      </c>
      <c r="L580" s="143" t="str">
        <f t="shared" ca="1" si="250"/>
        <v>F</v>
      </c>
      <c r="M580" s="144" t="s">
        <v>199</v>
      </c>
      <c r="N580" s="145" t="str">
        <f t="shared" ca="1" si="251"/>
        <v>Nível 3</v>
      </c>
      <c r="O580" s="146" t="str">
        <f t="shared" ca="1" si="252"/>
        <v>1.18.4.</v>
      </c>
      <c r="P580" s="147" t="s">
        <v>249</v>
      </c>
      <c r="Q580" s="148"/>
      <c r="R580" s="149" t="s">
        <v>550</v>
      </c>
      <c r="S580" s="150" t="s">
        <v>168</v>
      </c>
      <c r="T580" s="151">
        <f ca="1">OFFSET(CÁLCULO!H$15,ROW($T580)-ROW(T$15),0)</f>
        <v>0</v>
      </c>
      <c r="U580" s="152">
        <f t="shared" ca="1" si="265"/>
        <v>0</v>
      </c>
      <c r="V580" s="153" t="s">
        <v>158</v>
      </c>
      <c r="W580" s="151">
        <f t="shared" ca="1" si="253"/>
        <v>0</v>
      </c>
      <c r="X580" s="154">
        <f t="shared" ca="1" si="254"/>
        <v>0</v>
      </c>
      <c r="Y580" s="155" t="s">
        <v>583</v>
      </c>
      <c r="Z580" t="str">
        <f t="shared" ca="1" si="255"/>
        <v/>
      </c>
      <c r="AA580" s="156">
        <f ca="1">IF($C580="S",IF($Z580="CP",$X580,IF($Z580="RA",(($X580)*QCI!$AA$3),0)),SomaAgrup)</f>
        <v>0</v>
      </c>
      <c r="AB580" s="157">
        <f t="shared" ca="1" si="256"/>
        <v>0</v>
      </c>
      <c r="AC580" s="158" t="str">
        <f t="shared" ca="1" si="257"/>
        <v/>
      </c>
      <c r="AD580" s="104" t="str">
        <f ca="1">IF(C580&lt;=CRONO.NivelExibicao,MAX($AD$15:OFFSET(AD580,-1,0))+IF($C580&lt;&gt;1,1,MAX(1,COUNTIF(QCI!$A$13:$A$24,OFFSET($E580,-1,0)))),"")</f>
        <v/>
      </c>
      <c r="AE580" s="114" t="b">
        <f t="shared" ca="1" si="258"/>
        <v>0</v>
      </c>
      <c r="AF580" s="159" t="str">
        <f t="shared" ca="1" si="259"/>
        <v>(abra o arquivo 'Referência 05-2024.xls)</v>
      </c>
      <c r="AG580" s="579">
        <f t="shared" ca="1" si="260"/>
        <v>0</v>
      </c>
      <c r="AH580" s="580">
        <f t="shared" ca="1" si="261"/>
        <v>0.22470000000000001</v>
      </c>
      <c r="AJ580" s="582"/>
      <c r="AL580" s="612"/>
      <c r="AM580" s="430">
        <f t="shared" ca="1" si="262"/>
        <v>0</v>
      </c>
      <c r="AN580" s="655">
        <f t="shared" ca="1" si="263"/>
        <v>0</v>
      </c>
    </row>
    <row r="581" spans="1:40" ht="13.8" x14ac:dyDescent="0.3">
      <c r="A581" t="str">
        <f t="shared" si="242"/>
        <v>S</v>
      </c>
      <c r="B581">
        <f t="shared" ca="1" si="243"/>
        <v>3</v>
      </c>
      <c r="C581" t="str">
        <f t="shared" ca="1" si="244"/>
        <v>S</v>
      </c>
      <c r="D581">
        <f t="shared" ca="1" si="245"/>
        <v>0</v>
      </c>
      <c r="E581">
        <f ca="1">IF($C581=1,OFFSET(E581,-1,0)+MAX(1,COUNTIF(QCI!$A$13:$A$24,OFFSET(ORÇAMENTO!E581,-1,0))),OFFSET(E581,-1,0))</f>
        <v>1</v>
      </c>
      <c r="F581">
        <f t="shared" ca="1" si="246"/>
        <v>18</v>
      </c>
      <c r="G581">
        <f t="shared" ca="1" si="247"/>
        <v>4</v>
      </c>
      <c r="H581">
        <f t="shared" ca="1" si="248"/>
        <v>0</v>
      </c>
      <c r="I581">
        <f t="shared" ca="1" si="249"/>
        <v>0</v>
      </c>
      <c r="J581">
        <f t="shared" ca="1" si="264"/>
        <v>0</v>
      </c>
      <c r="K581">
        <f ca="1">IF(OR($C581="S",$C581=0),0,MATCH(OFFSET($D581,0,$C581)+IF($C581&lt;&gt;1,1,COUNTIF(QCI!$A$13:$A$24,ORÇAMENTO!E581)),OFFSET($D581,1,$C581,ROW($C$710)-ROW($C581)),0))</f>
        <v>0</v>
      </c>
      <c r="L581" s="143" t="str">
        <f t="shared" ca="1" si="250"/>
        <v/>
      </c>
      <c r="M581" s="144" t="s">
        <v>201</v>
      </c>
      <c r="N581" s="145" t="str">
        <f t="shared" ca="1" si="251"/>
        <v>Serviço</v>
      </c>
      <c r="O581" s="146" t="str">
        <f t="shared" ca="1" si="252"/>
        <v>-</v>
      </c>
      <c r="P581" s="147" t="s">
        <v>249</v>
      </c>
      <c r="Q581" s="148">
        <v>91926</v>
      </c>
      <c r="R581" s="149" t="str">
        <f t="shared" ref="R581:R591" ca="1" si="270">IF($C581="S",REFERENCIA.Descricao,"(digite a descrição aqui)")</f>
        <v>(abra o arquivo 'Referência 05-2024.xls)</v>
      </c>
      <c r="S581" s="150" t="str">
        <f t="shared" ref="S581:S591" ca="1" si="271">REFERENCIA.Unidade</f>
        <v>-</v>
      </c>
      <c r="T581" s="151">
        <f ca="1">OFFSET(CÁLCULO!H$15,ROW($T581)-ROW(T$15),0)</f>
        <v>8209.3799999999992</v>
      </c>
      <c r="U581" s="152">
        <f t="shared" ca="1" si="265"/>
        <v>0</v>
      </c>
      <c r="V581" s="153" t="s">
        <v>158</v>
      </c>
      <c r="W581" s="151">
        <f t="shared" ca="1" si="253"/>
        <v>0</v>
      </c>
      <c r="X581" s="154">
        <f t="shared" ca="1" si="254"/>
        <v>0</v>
      </c>
      <c r="Y581" s="155" t="s">
        <v>583</v>
      </c>
      <c r="Z581" t="str">
        <f t="shared" ca="1" si="255"/>
        <v/>
      </c>
      <c r="AA581" s="156">
        <f ca="1">IF($C581="S",IF($Z581="CP",$X581,IF($Z581="RA",(($X581)*QCI!$AA$3),0)),SomaAgrup)</f>
        <v>0</v>
      </c>
      <c r="AB581" s="157">
        <f t="shared" ca="1" si="256"/>
        <v>0</v>
      </c>
      <c r="AC581" s="158" t="str">
        <f t="shared" ca="1" si="257"/>
        <v/>
      </c>
      <c r="AD581" s="104" t="str">
        <f ca="1">IF(C581&lt;=CRONO.NivelExibicao,MAX($AD$15:OFFSET(AD581,-1,0))+IF($C581&lt;&gt;1,1,MAX(1,COUNTIF(QCI!$A$13:$A$24,OFFSET($E581,-1,0)))),"")</f>
        <v/>
      </c>
      <c r="AE581" s="114" t="str">
        <f t="shared" ca="1" si="258"/>
        <v>SINAPI 91926</v>
      </c>
      <c r="AF581" s="159" t="str">
        <f t="shared" ca="1" si="259"/>
        <v>(abra o arquivo 'Referência 05-2024.xls)</v>
      </c>
      <c r="AG581" s="579">
        <f t="shared" ca="1" si="260"/>
        <v>0</v>
      </c>
      <c r="AH581" s="580">
        <f t="shared" ca="1" si="261"/>
        <v>0.22470000000000001</v>
      </c>
      <c r="AJ581" s="582">
        <v>8209.3799999999992</v>
      </c>
      <c r="AL581" s="612"/>
      <c r="AM581" s="430">
        <f t="shared" ca="1" si="262"/>
        <v>0</v>
      </c>
      <c r="AN581" s="655">
        <f t="shared" ca="1" si="263"/>
        <v>0</v>
      </c>
    </row>
    <row r="582" spans="1:40" ht="13.8" x14ac:dyDescent="0.3">
      <c r="A582" t="str">
        <f t="shared" si="242"/>
        <v>S</v>
      </c>
      <c r="B582">
        <f t="shared" ca="1" si="243"/>
        <v>3</v>
      </c>
      <c r="C582" t="str">
        <f t="shared" ca="1" si="244"/>
        <v>S</v>
      </c>
      <c r="D582">
        <f t="shared" ca="1" si="245"/>
        <v>0</v>
      </c>
      <c r="E582">
        <f ca="1">IF($C582=1,OFFSET(E582,-1,0)+MAX(1,COUNTIF(QCI!$A$13:$A$24,OFFSET(ORÇAMENTO!E582,-1,0))),OFFSET(E582,-1,0))</f>
        <v>1</v>
      </c>
      <c r="F582">
        <f t="shared" ca="1" si="246"/>
        <v>18</v>
      </c>
      <c r="G582">
        <f t="shared" ca="1" si="247"/>
        <v>4</v>
      </c>
      <c r="H582">
        <f t="shared" ca="1" si="248"/>
        <v>0</v>
      </c>
      <c r="I582">
        <f t="shared" ca="1" si="249"/>
        <v>0</v>
      </c>
      <c r="J582">
        <f t="shared" ca="1" si="264"/>
        <v>0</v>
      </c>
      <c r="K582">
        <f ca="1">IF(OR($C582="S",$C582=0),0,MATCH(OFFSET($D582,0,$C582)+IF($C582&lt;&gt;1,1,COUNTIF(QCI!$A$13:$A$24,ORÇAMENTO!E582)),OFFSET($D582,1,$C582,ROW($C$710)-ROW($C582)),0))</f>
        <v>0</v>
      </c>
      <c r="L582" s="143" t="str">
        <f t="shared" ca="1" si="250"/>
        <v/>
      </c>
      <c r="M582" s="144" t="s">
        <v>201</v>
      </c>
      <c r="N582" s="145" t="str">
        <f t="shared" ca="1" si="251"/>
        <v>Serviço</v>
      </c>
      <c r="O582" s="146" t="str">
        <f t="shared" ca="1" si="252"/>
        <v>-</v>
      </c>
      <c r="P582" s="147" t="s">
        <v>249</v>
      </c>
      <c r="Q582" s="148">
        <v>91928</v>
      </c>
      <c r="R582" s="149" t="str">
        <f t="shared" ca="1" si="270"/>
        <v>(abra o arquivo 'Referência 05-2024.xls)</v>
      </c>
      <c r="S582" s="150" t="str">
        <f t="shared" ca="1" si="271"/>
        <v>-</v>
      </c>
      <c r="T582" s="151">
        <f ca="1">OFFSET(CÁLCULO!H$15,ROW($T582)-ROW(T$15),0)</f>
        <v>3917.07</v>
      </c>
      <c r="U582" s="152">
        <f t="shared" ca="1" si="265"/>
        <v>0</v>
      </c>
      <c r="V582" s="153" t="s">
        <v>158</v>
      </c>
      <c r="W582" s="151">
        <f t="shared" ca="1" si="253"/>
        <v>0</v>
      </c>
      <c r="X582" s="154">
        <f t="shared" ca="1" si="254"/>
        <v>0</v>
      </c>
      <c r="Y582" s="155" t="s">
        <v>583</v>
      </c>
      <c r="Z582" t="str">
        <f t="shared" ca="1" si="255"/>
        <v/>
      </c>
      <c r="AA582" s="156">
        <f ca="1">IF($C582="S",IF($Z582="CP",$X582,IF($Z582="RA",(($X582)*QCI!$AA$3),0)),SomaAgrup)</f>
        <v>0</v>
      </c>
      <c r="AB582" s="157">
        <f t="shared" ca="1" si="256"/>
        <v>0</v>
      </c>
      <c r="AC582" s="158" t="str">
        <f t="shared" ca="1" si="257"/>
        <v/>
      </c>
      <c r="AD582" s="104" t="str">
        <f ca="1">IF(C582&lt;=CRONO.NivelExibicao,MAX($AD$15:OFFSET(AD582,-1,0))+IF($C582&lt;&gt;1,1,MAX(1,COUNTIF(QCI!$A$13:$A$24,OFFSET($E582,-1,0)))),"")</f>
        <v/>
      </c>
      <c r="AE582" s="114" t="str">
        <f t="shared" ca="1" si="258"/>
        <v>SINAPI 91928</v>
      </c>
      <c r="AF582" s="159" t="str">
        <f t="shared" ca="1" si="259"/>
        <v>(abra o arquivo 'Referência 05-2024.xls)</v>
      </c>
      <c r="AG582" s="579">
        <f t="shared" ca="1" si="260"/>
        <v>0</v>
      </c>
      <c r="AH582" s="580">
        <f t="shared" ca="1" si="261"/>
        <v>0.22470000000000001</v>
      </c>
      <c r="AJ582" s="582">
        <v>3917.07</v>
      </c>
      <c r="AL582" s="612"/>
      <c r="AM582" s="430">
        <f t="shared" ca="1" si="262"/>
        <v>0</v>
      </c>
      <c r="AN582" s="655">
        <f t="shared" ca="1" si="263"/>
        <v>0</v>
      </c>
    </row>
    <row r="583" spans="1:40" ht="13.8" x14ac:dyDescent="0.3">
      <c r="A583" t="str">
        <f t="shared" si="242"/>
        <v>S</v>
      </c>
      <c r="B583">
        <f t="shared" ca="1" si="243"/>
        <v>3</v>
      </c>
      <c r="C583" t="str">
        <f t="shared" ca="1" si="244"/>
        <v>S</v>
      </c>
      <c r="D583">
        <f t="shared" ca="1" si="245"/>
        <v>0</v>
      </c>
      <c r="E583">
        <f ca="1">IF($C583=1,OFFSET(E583,-1,0)+MAX(1,COUNTIF(QCI!$A$13:$A$24,OFFSET(ORÇAMENTO!E583,-1,0))),OFFSET(E583,-1,0))</f>
        <v>1</v>
      </c>
      <c r="F583">
        <f t="shared" ca="1" si="246"/>
        <v>18</v>
      </c>
      <c r="G583">
        <f t="shared" ca="1" si="247"/>
        <v>4</v>
      </c>
      <c r="H583">
        <f t="shared" ca="1" si="248"/>
        <v>0</v>
      </c>
      <c r="I583">
        <f t="shared" ca="1" si="249"/>
        <v>0</v>
      </c>
      <c r="J583">
        <f t="shared" ca="1" si="264"/>
        <v>0</v>
      </c>
      <c r="K583">
        <f ca="1">IF(OR($C583="S",$C583=0),0,MATCH(OFFSET($D583,0,$C583)+IF($C583&lt;&gt;1,1,COUNTIF(QCI!$A$13:$A$24,ORÇAMENTO!E583)),OFFSET($D583,1,$C583,ROW($C$710)-ROW($C583)),0))</f>
        <v>0</v>
      </c>
      <c r="L583" s="143" t="str">
        <f t="shared" ca="1" si="250"/>
        <v/>
      </c>
      <c r="M583" s="144" t="s">
        <v>201</v>
      </c>
      <c r="N583" s="145" t="str">
        <f t="shared" ca="1" si="251"/>
        <v>Serviço</v>
      </c>
      <c r="O583" s="146" t="str">
        <f t="shared" ca="1" si="252"/>
        <v>-</v>
      </c>
      <c r="P583" s="147" t="s">
        <v>249</v>
      </c>
      <c r="Q583" s="148">
        <v>91930</v>
      </c>
      <c r="R583" s="149" t="str">
        <f t="shared" ca="1" si="270"/>
        <v>(abra o arquivo 'Referência 05-2024.xls)</v>
      </c>
      <c r="S583" s="150" t="str">
        <f t="shared" ca="1" si="271"/>
        <v>-</v>
      </c>
      <c r="T583" s="151">
        <f ca="1">OFFSET(CÁLCULO!H$15,ROW($T583)-ROW(T$15),0)</f>
        <v>1335.8</v>
      </c>
      <c r="U583" s="152">
        <f t="shared" ca="1" si="265"/>
        <v>0</v>
      </c>
      <c r="V583" s="153" t="s">
        <v>158</v>
      </c>
      <c r="W583" s="151">
        <f t="shared" ca="1" si="253"/>
        <v>0</v>
      </c>
      <c r="X583" s="154">
        <f t="shared" ca="1" si="254"/>
        <v>0</v>
      </c>
      <c r="Y583" s="155" t="s">
        <v>583</v>
      </c>
      <c r="Z583" t="str">
        <f t="shared" ca="1" si="255"/>
        <v/>
      </c>
      <c r="AA583" s="156">
        <f ca="1">IF($C583="S",IF($Z583="CP",$X583,IF($Z583="RA",(($X583)*QCI!$AA$3),0)),SomaAgrup)</f>
        <v>0</v>
      </c>
      <c r="AB583" s="157">
        <f t="shared" ca="1" si="256"/>
        <v>0</v>
      </c>
      <c r="AC583" s="158" t="str">
        <f t="shared" ca="1" si="257"/>
        <v/>
      </c>
      <c r="AD583" s="104" t="str">
        <f ca="1">IF(C583&lt;=CRONO.NivelExibicao,MAX($AD$15:OFFSET(AD583,-1,0))+IF($C583&lt;&gt;1,1,MAX(1,COUNTIF(QCI!$A$13:$A$24,OFFSET($E583,-1,0)))),"")</f>
        <v/>
      </c>
      <c r="AE583" s="114" t="str">
        <f t="shared" ca="1" si="258"/>
        <v>SINAPI 91930</v>
      </c>
      <c r="AF583" s="159" t="str">
        <f t="shared" ca="1" si="259"/>
        <v>(abra o arquivo 'Referência 05-2024.xls)</v>
      </c>
      <c r="AG583" s="579">
        <f t="shared" ca="1" si="260"/>
        <v>0</v>
      </c>
      <c r="AH583" s="580">
        <f t="shared" ca="1" si="261"/>
        <v>0.22470000000000001</v>
      </c>
      <c r="AJ583" s="582">
        <v>1335.8</v>
      </c>
      <c r="AL583" s="612"/>
      <c r="AM583" s="430">
        <f t="shared" ca="1" si="262"/>
        <v>0</v>
      </c>
      <c r="AN583" s="655">
        <f t="shared" ca="1" si="263"/>
        <v>0</v>
      </c>
    </row>
    <row r="584" spans="1:40" ht="13.8" x14ac:dyDescent="0.3">
      <c r="A584" t="str">
        <f t="shared" si="242"/>
        <v>S</v>
      </c>
      <c r="B584">
        <f t="shared" ca="1" si="243"/>
        <v>3</v>
      </c>
      <c r="C584" t="str">
        <f t="shared" ca="1" si="244"/>
        <v>S</v>
      </c>
      <c r="D584">
        <f t="shared" ca="1" si="245"/>
        <v>0</v>
      </c>
      <c r="E584">
        <f ca="1">IF($C584=1,OFFSET(E584,-1,0)+MAX(1,COUNTIF(QCI!$A$13:$A$24,OFFSET(ORÇAMENTO!E584,-1,0))),OFFSET(E584,-1,0))</f>
        <v>1</v>
      </c>
      <c r="F584">
        <f t="shared" ca="1" si="246"/>
        <v>18</v>
      </c>
      <c r="G584">
        <f t="shared" ca="1" si="247"/>
        <v>4</v>
      </c>
      <c r="H584">
        <f t="shared" ca="1" si="248"/>
        <v>0</v>
      </c>
      <c r="I584">
        <f t="shared" ca="1" si="249"/>
        <v>0</v>
      </c>
      <c r="J584">
        <f t="shared" ca="1" si="264"/>
        <v>0</v>
      </c>
      <c r="K584">
        <f ca="1">IF(OR($C584="S",$C584=0),0,MATCH(OFFSET($D584,0,$C584)+IF($C584&lt;&gt;1,1,COUNTIF(QCI!$A$13:$A$24,ORÇAMENTO!E584)),OFFSET($D584,1,$C584,ROW($C$710)-ROW($C584)),0))</f>
        <v>0</v>
      </c>
      <c r="L584" s="143" t="str">
        <f t="shared" ca="1" si="250"/>
        <v/>
      </c>
      <c r="M584" s="144" t="s">
        <v>201</v>
      </c>
      <c r="N584" s="145" t="str">
        <f t="shared" ca="1" si="251"/>
        <v>Serviço</v>
      </c>
      <c r="O584" s="146" t="str">
        <f t="shared" ca="1" si="252"/>
        <v>-</v>
      </c>
      <c r="P584" s="147" t="s">
        <v>249</v>
      </c>
      <c r="Q584" s="148">
        <v>91932</v>
      </c>
      <c r="R584" s="149" t="str">
        <f t="shared" ca="1" si="270"/>
        <v>(abra o arquivo 'Referência 05-2024.xls)</v>
      </c>
      <c r="S584" s="150" t="str">
        <f t="shared" ca="1" si="271"/>
        <v>-</v>
      </c>
      <c r="T584" s="151">
        <f ca="1">OFFSET(CÁLCULO!H$15,ROW($T584)-ROW(T$15),0)</f>
        <v>113.1</v>
      </c>
      <c r="U584" s="152">
        <f t="shared" ca="1" si="265"/>
        <v>0</v>
      </c>
      <c r="V584" s="153" t="s">
        <v>158</v>
      </c>
      <c r="W584" s="151">
        <f t="shared" ca="1" si="253"/>
        <v>0</v>
      </c>
      <c r="X584" s="154">
        <f t="shared" ca="1" si="254"/>
        <v>0</v>
      </c>
      <c r="Y584" s="155" t="s">
        <v>583</v>
      </c>
      <c r="Z584" t="str">
        <f t="shared" ca="1" si="255"/>
        <v/>
      </c>
      <c r="AA584" s="156">
        <f ca="1">IF($C584="S",IF($Z584="CP",$X584,IF($Z584="RA",(($X584)*QCI!$AA$3),0)),SomaAgrup)</f>
        <v>0</v>
      </c>
      <c r="AB584" s="157">
        <f t="shared" ca="1" si="256"/>
        <v>0</v>
      </c>
      <c r="AC584" s="158" t="str">
        <f t="shared" ca="1" si="257"/>
        <v/>
      </c>
      <c r="AD584" s="104" t="str">
        <f ca="1">IF(C584&lt;=CRONO.NivelExibicao,MAX($AD$15:OFFSET(AD584,-1,0))+IF($C584&lt;&gt;1,1,MAX(1,COUNTIF(QCI!$A$13:$A$24,OFFSET($E584,-1,0)))),"")</f>
        <v/>
      </c>
      <c r="AE584" s="114" t="str">
        <f t="shared" ca="1" si="258"/>
        <v>SINAPI 91932</v>
      </c>
      <c r="AF584" s="159" t="str">
        <f t="shared" ca="1" si="259"/>
        <v>(abra o arquivo 'Referência 05-2024.xls)</v>
      </c>
      <c r="AG584" s="579">
        <f t="shared" ca="1" si="260"/>
        <v>0</v>
      </c>
      <c r="AH584" s="580">
        <f t="shared" ca="1" si="261"/>
        <v>0.22470000000000001</v>
      </c>
      <c r="AJ584" s="582">
        <v>113.1</v>
      </c>
      <c r="AL584" s="612"/>
      <c r="AM584" s="430">
        <f t="shared" ca="1" si="262"/>
        <v>0</v>
      </c>
      <c r="AN584" s="655">
        <f t="shared" ca="1" si="263"/>
        <v>0</v>
      </c>
    </row>
    <row r="585" spans="1:40" ht="13.8" x14ac:dyDescent="0.3">
      <c r="A585" t="str">
        <f t="shared" si="242"/>
        <v>S</v>
      </c>
      <c r="B585">
        <f t="shared" ca="1" si="243"/>
        <v>3</v>
      </c>
      <c r="C585" t="str">
        <f t="shared" ca="1" si="244"/>
        <v>S</v>
      </c>
      <c r="D585">
        <f t="shared" ca="1" si="245"/>
        <v>0</v>
      </c>
      <c r="E585">
        <f ca="1">IF($C585=1,OFFSET(E585,-1,0)+MAX(1,COUNTIF(QCI!$A$13:$A$24,OFFSET(ORÇAMENTO!E585,-1,0))),OFFSET(E585,-1,0))</f>
        <v>1</v>
      </c>
      <c r="F585">
        <f t="shared" ca="1" si="246"/>
        <v>18</v>
      </c>
      <c r="G585">
        <f t="shared" ca="1" si="247"/>
        <v>4</v>
      </c>
      <c r="H585">
        <f t="shared" ca="1" si="248"/>
        <v>0</v>
      </c>
      <c r="I585">
        <f t="shared" ca="1" si="249"/>
        <v>0</v>
      </c>
      <c r="J585">
        <f t="shared" ca="1" si="264"/>
        <v>0</v>
      </c>
      <c r="K585">
        <f ca="1">IF(OR($C585="S",$C585=0),0,MATCH(OFFSET($D585,0,$C585)+IF($C585&lt;&gt;1,1,COUNTIF(QCI!$A$13:$A$24,ORÇAMENTO!E585)),OFFSET($D585,1,$C585,ROW($C$710)-ROW($C585)),0))</f>
        <v>0</v>
      </c>
      <c r="L585" s="143" t="str">
        <f t="shared" ca="1" si="250"/>
        <v/>
      </c>
      <c r="M585" s="144" t="s">
        <v>201</v>
      </c>
      <c r="N585" s="145" t="str">
        <f t="shared" ca="1" si="251"/>
        <v>Serviço</v>
      </c>
      <c r="O585" s="146" t="str">
        <f t="shared" ca="1" si="252"/>
        <v>-</v>
      </c>
      <c r="P585" s="147" t="s">
        <v>249</v>
      </c>
      <c r="Q585" s="148">
        <v>91929</v>
      </c>
      <c r="R585" s="149" t="str">
        <f t="shared" ca="1" si="270"/>
        <v>(abra o arquivo 'Referência 05-2024.xls)</v>
      </c>
      <c r="S585" s="150" t="str">
        <f t="shared" ca="1" si="271"/>
        <v>-</v>
      </c>
      <c r="T585" s="151">
        <f ca="1">OFFSET(CÁLCULO!H$15,ROW($T585)-ROW(T$15),0)</f>
        <v>700</v>
      </c>
      <c r="U585" s="152">
        <f t="shared" ca="1" si="265"/>
        <v>0</v>
      </c>
      <c r="V585" s="153" t="s">
        <v>158</v>
      </c>
      <c r="W585" s="151">
        <f t="shared" ca="1" si="253"/>
        <v>0</v>
      </c>
      <c r="X585" s="154">
        <f t="shared" ca="1" si="254"/>
        <v>0</v>
      </c>
      <c r="Y585" s="155" t="s">
        <v>583</v>
      </c>
      <c r="Z585" t="str">
        <f t="shared" ca="1" si="255"/>
        <v/>
      </c>
      <c r="AA585" s="156">
        <f ca="1">IF($C585="S",IF($Z585="CP",$X585,IF($Z585="RA",(($X585)*QCI!$AA$3),0)),SomaAgrup)</f>
        <v>0</v>
      </c>
      <c r="AB585" s="157">
        <f t="shared" ca="1" si="256"/>
        <v>0</v>
      </c>
      <c r="AC585" s="158" t="str">
        <f t="shared" ca="1" si="257"/>
        <v/>
      </c>
      <c r="AD585" s="104" t="str">
        <f ca="1">IF(C585&lt;=CRONO.NivelExibicao,MAX($AD$15:OFFSET(AD585,-1,0))+IF($C585&lt;&gt;1,1,MAX(1,COUNTIF(QCI!$A$13:$A$24,OFFSET($E585,-1,0)))),"")</f>
        <v/>
      </c>
      <c r="AE585" s="114" t="str">
        <f t="shared" ca="1" si="258"/>
        <v>SINAPI 91929</v>
      </c>
      <c r="AF585" s="159" t="str">
        <f t="shared" ca="1" si="259"/>
        <v>(abra o arquivo 'Referência 05-2024.xls)</v>
      </c>
      <c r="AG585" s="579">
        <f t="shared" ca="1" si="260"/>
        <v>0</v>
      </c>
      <c r="AH585" s="580">
        <f t="shared" ca="1" si="261"/>
        <v>0.22470000000000001</v>
      </c>
      <c r="AJ585" s="582">
        <v>700</v>
      </c>
      <c r="AL585" s="612"/>
      <c r="AM585" s="430">
        <f t="shared" ca="1" si="262"/>
        <v>0</v>
      </c>
      <c r="AN585" s="655">
        <f t="shared" ca="1" si="263"/>
        <v>0</v>
      </c>
    </row>
    <row r="586" spans="1:40" ht="13.8" x14ac:dyDescent="0.3">
      <c r="A586" t="str">
        <f t="shared" si="242"/>
        <v>S</v>
      </c>
      <c r="B586">
        <f t="shared" ca="1" si="243"/>
        <v>3</v>
      </c>
      <c r="C586" t="str">
        <f t="shared" ca="1" si="244"/>
        <v>S</v>
      </c>
      <c r="D586">
        <f t="shared" ca="1" si="245"/>
        <v>0</v>
      </c>
      <c r="E586">
        <f ca="1">IF($C586=1,OFFSET(E586,-1,0)+MAX(1,COUNTIF(QCI!$A$13:$A$24,OFFSET(ORÇAMENTO!E586,-1,0))),OFFSET(E586,-1,0))</f>
        <v>1</v>
      </c>
      <c r="F586">
        <f t="shared" ca="1" si="246"/>
        <v>18</v>
      </c>
      <c r="G586">
        <f t="shared" ca="1" si="247"/>
        <v>4</v>
      </c>
      <c r="H586">
        <f t="shared" ca="1" si="248"/>
        <v>0</v>
      </c>
      <c r="I586">
        <f t="shared" ca="1" si="249"/>
        <v>0</v>
      </c>
      <c r="J586">
        <f t="shared" ca="1" si="264"/>
        <v>0</v>
      </c>
      <c r="K586">
        <f ca="1">IF(OR($C586="S",$C586=0),0,MATCH(OFFSET($D586,0,$C586)+IF($C586&lt;&gt;1,1,COUNTIF(QCI!$A$13:$A$24,ORÇAMENTO!E586)),OFFSET($D586,1,$C586,ROW($C$710)-ROW($C586)),0))</f>
        <v>0</v>
      </c>
      <c r="L586" s="143" t="str">
        <f t="shared" ca="1" si="250"/>
        <v/>
      </c>
      <c r="M586" s="144" t="s">
        <v>201</v>
      </c>
      <c r="N586" s="145" t="str">
        <f t="shared" ca="1" si="251"/>
        <v>Serviço</v>
      </c>
      <c r="O586" s="146" t="str">
        <f t="shared" ca="1" si="252"/>
        <v>-</v>
      </c>
      <c r="P586" s="147" t="s">
        <v>249</v>
      </c>
      <c r="Q586" s="148">
        <v>91931</v>
      </c>
      <c r="R586" s="149" t="str">
        <f t="shared" ca="1" si="270"/>
        <v>(abra o arquivo 'Referência 05-2024.xls)</v>
      </c>
      <c r="S586" s="150" t="str">
        <f t="shared" ca="1" si="271"/>
        <v>-</v>
      </c>
      <c r="T586" s="151">
        <f ca="1">OFFSET(CÁLCULO!H$15,ROW($T586)-ROW(T$15),0)</f>
        <v>578</v>
      </c>
      <c r="U586" s="152">
        <f t="shared" ca="1" si="265"/>
        <v>0</v>
      </c>
      <c r="V586" s="153" t="s">
        <v>158</v>
      </c>
      <c r="W586" s="151">
        <f t="shared" ca="1" si="253"/>
        <v>0</v>
      </c>
      <c r="X586" s="154">
        <f t="shared" ca="1" si="254"/>
        <v>0</v>
      </c>
      <c r="Y586" s="155" t="s">
        <v>583</v>
      </c>
      <c r="Z586" t="str">
        <f t="shared" ca="1" si="255"/>
        <v/>
      </c>
      <c r="AA586" s="156">
        <f ca="1">IF($C586="S",IF($Z586="CP",$X586,IF($Z586="RA",(($X586)*QCI!$AA$3),0)),SomaAgrup)</f>
        <v>0</v>
      </c>
      <c r="AB586" s="157">
        <f t="shared" ca="1" si="256"/>
        <v>0</v>
      </c>
      <c r="AC586" s="158" t="str">
        <f t="shared" ca="1" si="257"/>
        <v/>
      </c>
      <c r="AD586" s="104" t="str">
        <f ca="1">IF(C586&lt;=CRONO.NivelExibicao,MAX($AD$15:OFFSET(AD586,-1,0))+IF($C586&lt;&gt;1,1,MAX(1,COUNTIF(QCI!$A$13:$A$24,OFFSET($E586,-1,0)))),"")</f>
        <v/>
      </c>
      <c r="AE586" s="114" t="str">
        <f t="shared" ca="1" si="258"/>
        <v>SINAPI 91931</v>
      </c>
      <c r="AF586" s="159" t="str">
        <f t="shared" ca="1" si="259"/>
        <v>(abra o arquivo 'Referência 05-2024.xls)</v>
      </c>
      <c r="AG586" s="579">
        <f t="shared" ca="1" si="260"/>
        <v>0</v>
      </c>
      <c r="AH586" s="580">
        <f t="shared" ca="1" si="261"/>
        <v>0.22470000000000001</v>
      </c>
      <c r="AJ586" s="582">
        <v>578</v>
      </c>
      <c r="AL586" s="612"/>
      <c r="AM586" s="430">
        <f t="shared" ca="1" si="262"/>
        <v>0</v>
      </c>
      <c r="AN586" s="655">
        <f t="shared" ca="1" si="263"/>
        <v>0</v>
      </c>
    </row>
    <row r="587" spans="1:40" ht="13.8" x14ac:dyDescent="0.3">
      <c r="A587" t="str">
        <f t="shared" si="242"/>
        <v>S</v>
      </c>
      <c r="B587">
        <f t="shared" ca="1" si="243"/>
        <v>3</v>
      </c>
      <c r="C587" t="str">
        <f t="shared" ca="1" si="244"/>
        <v>S</v>
      </c>
      <c r="D587">
        <f t="shared" ca="1" si="245"/>
        <v>0</v>
      </c>
      <c r="E587">
        <f ca="1">IF($C587=1,OFFSET(E587,-1,0)+MAX(1,COUNTIF(QCI!$A$13:$A$24,OFFSET(ORÇAMENTO!E587,-1,0))),OFFSET(E587,-1,0))</f>
        <v>1</v>
      </c>
      <c r="F587">
        <f t="shared" ca="1" si="246"/>
        <v>18</v>
      </c>
      <c r="G587">
        <f t="shared" ca="1" si="247"/>
        <v>4</v>
      </c>
      <c r="H587">
        <f t="shared" ca="1" si="248"/>
        <v>0</v>
      </c>
      <c r="I587">
        <f t="shared" ca="1" si="249"/>
        <v>0</v>
      </c>
      <c r="J587">
        <f t="shared" ca="1" si="264"/>
        <v>0</v>
      </c>
      <c r="K587">
        <f ca="1">IF(OR($C587="S",$C587=0),0,MATCH(OFFSET($D587,0,$C587)+IF($C587&lt;&gt;1,1,COUNTIF(QCI!$A$13:$A$24,ORÇAMENTO!E587)),OFFSET($D587,1,$C587,ROW($C$710)-ROW($C587)),0))</f>
        <v>0</v>
      </c>
      <c r="L587" s="143" t="str">
        <f t="shared" ca="1" si="250"/>
        <v/>
      </c>
      <c r="M587" s="144" t="s">
        <v>201</v>
      </c>
      <c r="N587" s="145" t="str">
        <f t="shared" ca="1" si="251"/>
        <v>Serviço</v>
      </c>
      <c r="O587" s="146" t="str">
        <f t="shared" ca="1" si="252"/>
        <v>-</v>
      </c>
      <c r="P587" s="147" t="s">
        <v>249</v>
      </c>
      <c r="Q587" s="148">
        <v>92980</v>
      </c>
      <c r="R587" s="149" t="str">
        <f t="shared" ca="1" si="270"/>
        <v>(abra o arquivo 'Referência 05-2024.xls)</v>
      </c>
      <c r="S587" s="150" t="str">
        <f t="shared" ca="1" si="271"/>
        <v>-</v>
      </c>
      <c r="T587" s="151">
        <f ca="1">OFFSET(CÁLCULO!H$15,ROW($T587)-ROW(T$15),0)</f>
        <v>238.5</v>
      </c>
      <c r="U587" s="152">
        <f t="shared" ca="1" si="265"/>
        <v>0</v>
      </c>
      <c r="V587" s="153" t="s">
        <v>158</v>
      </c>
      <c r="W587" s="151">
        <f t="shared" ca="1" si="253"/>
        <v>0</v>
      </c>
      <c r="X587" s="154">
        <f t="shared" ca="1" si="254"/>
        <v>0</v>
      </c>
      <c r="Y587" s="155" t="s">
        <v>583</v>
      </c>
      <c r="Z587" t="str">
        <f t="shared" ca="1" si="255"/>
        <v/>
      </c>
      <c r="AA587" s="156">
        <f ca="1">IF($C587="S",IF($Z587="CP",$X587,IF($Z587="RA",(($X587)*QCI!$AA$3),0)),SomaAgrup)</f>
        <v>0</v>
      </c>
      <c r="AB587" s="157">
        <f t="shared" ca="1" si="256"/>
        <v>0</v>
      </c>
      <c r="AC587" s="158" t="str">
        <f t="shared" ca="1" si="257"/>
        <v/>
      </c>
      <c r="AD587" s="104" t="str">
        <f ca="1">IF(C587&lt;=CRONO.NivelExibicao,MAX($AD$15:OFFSET(AD587,-1,0))+IF($C587&lt;&gt;1,1,MAX(1,COUNTIF(QCI!$A$13:$A$24,OFFSET($E587,-1,0)))),"")</f>
        <v/>
      </c>
      <c r="AE587" s="114" t="str">
        <f t="shared" ca="1" si="258"/>
        <v>SINAPI 92980</v>
      </c>
      <c r="AF587" s="159" t="str">
        <f t="shared" ca="1" si="259"/>
        <v>(abra o arquivo 'Referência 05-2024.xls)</v>
      </c>
      <c r="AG587" s="579">
        <f t="shared" ca="1" si="260"/>
        <v>0</v>
      </c>
      <c r="AH587" s="580">
        <f t="shared" ca="1" si="261"/>
        <v>0.22470000000000001</v>
      </c>
      <c r="AJ587" s="582">
        <v>238.5</v>
      </c>
      <c r="AL587" s="612"/>
      <c r="AM587" s="430">
        <f t="shared" ca="1" si="262"/>
        <v>0</v>
      </c>
      <c r="AN587" s="655">
        <f t="shared" ca="1" si="263"/>
        <v>0</v>
      </c>
    </row>
    <row r="588" spans="1:40" ht="13.8" x14ac:dyDescent="0.3">
      <c r="A588" t="str">
        <f t="shared" si="242"/>
        <v>S</v>
      </c>
      <c r="B588">
        <f t="shared" ca="1" si="243"/>
        <v>3</v>
      </c>
      <c r="C588" t="str">
        <f t="shared" ca="1" si="244"/>
        <v>S</v>
      </c>
      <c r="D588">
        <f t="shared" ca="1" si="245"/>
        <v>0</v>
      </c>
      <c r="E588">
        <f ca="1">IF($C588=1,OFFSET(E588,-1,0)+MAX(1,COUNTIF(QCI!$A$13:$A$24,OFFSET(ORÇAMENTO!E588,-1,0))),OFFSET(E588,-1,0))</f>
        <v>1</v>
      </c>
      <c r="F588">
        <f t="shared" ca="1" si="246"/>
        <v>18</v>
      </c>
      <c r="G588">
        <f t="shared" ca="1" si="247"/>
        <v>4</v>
      </c>
      <c r="H588">
        <f t="shared" ca="1" si="248"/>
        <v>0</v>
      </c>
      <c r="I588">
        <f t="shared" ca="1" si="249"/>
        <v>0</v>
      </c>
      <c r="J588">
        <f t="shared" ca="1" si="264"/>
        <v>0</v>
      </c>
      <c r="K588">
        <f ca="1">IF(OR($C588="S",$C588=0),0,MATCH(OFFSET($D588,0,$C588)+IF($C588&lt;&gt;1,1,COUNTIF(QCI!$A$13:$A$24,ORÇAMENTO!E588)),OFFSET($D588,1,$C588,ROW($C$710)-ROW($C588)),0))</f>
        <v>0</v>
      </c>
      <c r="L588" s="143" t="str">
        <f t="shared" ca="1" si="250"/>
        <v/>
      </c>
      <c r="M588" s="144" t="s">
        <v>201</v>
      </c>
      <c r="N588" s="145" t="str">
        <f t="shared" ca="1" si="251"/>
        <v>Serviço</v>
      </c>
      <c r="O588" s="146" t="str">
        <f t="shared" ca="1" si="252"/>
        <v>-</v>
      </c>
      <c r="P588" s="147" t="s">
        <v>249</v>
      </c>
      <c r="Q588" s="148">
        <v>92982</v>
      </c>
      <c r="R588" s="149" t="str">
        <f t="shared" ca="1" si="270"/>
        <v>(abra o arquivo 'Referência 05-2024.xls)</v>
      </c>
      <c r="S588" s="150" t="str">
        <f t="shared" ca="1" si="271"/>
        <v>-</v>
      </c>
      <c r="T588" s="151">
        <f ca="1">OFFSET(CÁLCULO!H$15,ROW($T588)-ROW(T$15),0)</f>
        <v>97.5</v>
      </c>
      <c r="U588" s="152">
        <f t="shared" ca="1" si="265"/>
        <v>0</v>
      </c>
      <c r="V588" s="153" t="s">
        <v>158</v>
      </c>
      <c r="W588" s="151">
        <f t="shared" ca="1" si="253"/>
        <v>0</v>
      </c>
      <c r="X588" s="154">
        <f t="shared" ca="1" si="254"/>
        <v>0</v>
      </c>
      <c r="Y588" s="155" t="s">
        <v>583</v>
      </c>
      <c r="Z588" t="str">
        <f t="shared" ca="1" si="255"/>
        <v/>
      </c>
      <c r="AA588" s="156">
        <f ca="1">IF($C588="S",IF($Z588="CP",$X588,IF($Z588="RA",(($X588)*QCI!$AA$3),0)),SomaAgrup)</f>
        <v>0</v>
      </c>
      <c r="AB588" s="157">
        <f t="shared" ca="1" si="256"/>
        <v>0</v>
      </c>
      <c r="AC588" s="158" t="str">
        <f t="shared" ca="1" si="257"/>
        <v/>
      </c>
      <c r="AD588" s="104" t="str">
        <f ca="1">IF(C588&lt;=CRONO.NivelExibicao,MAX($AD$15:OFFSET(AD588,-1,0))+IF($C588&lt;&gt;1,1,MAX(1,COUNTIF(QCI!$A$13:$A$24,OFFSET($E588,-1,0)))),"")</f>
        <v/>
      </c>
      <c r="AE588" s="114" t="str">
        <f t="shared" ca="1" si="258"/>
        <v>SINAPI 92982</v>
      </c>
      <c r="AF588" s="159" t="str">
        <f t="shared" ca="1" si="259"/>
        <v>(abra o arquivo 'Referência 05-2024.xls)</v>
      </c>
      <c r="AG588" s="579">
        <f t="shared" ca="1" si="260"/>
        <v>0</v>
      </c>
      <c r="AH588" s="580">
        <f t="shared" ca="1" si="261"/>
        <v>0.22470000000000001</v>
      </c>
      <c r="AJ588" s="582">
        <v>97.5</v>
      </c>
      <c r="AL588" s="612"/>
      <c r="AM588" s="430">
        <f t="shared" ca="1" si="262"/>
        <v>0</v>
      </c>
      <c r="AN588" s="655">
        <f t="shared" ca="1" si="263"/>
        <v>0</v>
      </c>
    </row>
    <row r="589" spans="1:40" ht="13.8" x14ac:dyDescent="0.3">
      <c r="A589" t="str">
        <f t="shared" si="242"/>
        <v>S</v>
      </c>
      <c r="B589">
        <f t="shared" ca="1" si="243"/>
        <v>3</v>
      </c>
      <c r="C589" t="str">
        <f t="shared" ca="1" si="244"/>
        <v>S</v>
      </c>
      <c r="D589">
        <f t="shared" ca="1" si="245"/>
        <v>0</v>
      </c>
      <c r="E589">
        <f ca="1">IF($C589=1,OFFSET(E589,-1,0)+MAX(1,COUNTIF(QCI!$A$13:$A$24,OFFSET(ORÇAMENTO!E589,-1,0))),OFFSET(E589,-1,0))</f>
        <v>1</v>
      </c>
      <c r="F589">
        <f t="shared" ca="1" si="246"/>
        <v>18</v>
      </c>
      <c r="G589">
        <f t="shared" ca="1" si="247"/>
        <v>4</v>
      </c>
      <c r="H589">
        <f t="shared" ca="1" si="248"/>
        <v>0</v>
      </c>
      <c r="I589">
        <f t="shared" ca="1" si="249"/>
        <v>0</v>
      </c>
      <c r="J589">
        <f t="shared" ca="1" si="264"/>
        <v>0</v>
      </c>
      <c r="K589">
        <f ca="1">IF(OR($C589="S",$C589=0),0,MATCH(OFFSET($D589,0,$C589)+IF($C589&lt;&gt;1,1,COUNTIF(QCI!$A$13:$A$24,ORÇAMENTO!E589)),OFFSET($D589,1,$C589,ROW($C$710)-ROW($C589)),0))</f>
        <v>0</v>
      </c>
      <c r="L589" s="143" t="str">
        <f t="shared" ca="1" si="250"/>
        <v/>
      </c>
      <c r="M589" s="144" t="s">
        <v>201</v>
      </c>
      <c r="N589" s="145" t="str">
        <f t="shared" ca="1" si="251"/>
        <v>Serviço</v>
      </c>
      <c r="O589" s="146" t="str">
        <f t="shared" ca="1" si="252"/>
        <v>-</v>
      </c>
      <c r="P589" s="147" t="s">
        <v>249</v>
      </c>
      <c r="Q589" s="148">
        <v>92984</v>
      </c>
      <c r="R589" s="149" t="str">
        <f t="shared" ca="1" si="270"/>
        <v>(abra o arquivo 'Referência 05-2024.xls)</v>
      </c>
      <c r="S589" s="150" t="str">
        <f t="shared" ca="1" si="271"/>
        <v>-</v>
      </c>
      <c r="T589" s="151">
        <f ca="1">OFFSET(CÁLCULO!H$15,ROW($T589)-ROW(T$15),0)</f>
        <v>50.3</v>
      </c>
      <c r="U589" s="152">
        <f t="shared" ca="1" si="265"/>
        <v>0</v>
      </c>
      <c r="V589" s="153" t="s">
        <v>158</v>
      </c>
      <c r="W589" s="151">
        <f t="shared" ca="1" si="253"/>
        <v>0</v>
      </c>
      <c r="X589" s="154">
        <f t="shared" ca="1" si="254"/>
        <v>0</v>
      </c>
      <c r="Y589" s="155" t="s">
        <v>583</v>
      </c>
      <c r="Z589" t="str">
        <f t="shared" ca="1" si="255"/>
        <v/>
      </c>
      <c r="AA589" s="156">
        <f ca="1">IF($C589="S",IF($Z589="CP",$X589,IF($Z589="RA",(($X589)*QCI!$AA$3),0)),SomaAgrup)</f>
        <v>0</v>
      </c>
      <c r="AB589" s="157">
        <f t="shared" ca="1" si="256"/>
        <v>0</v>
      </c>
      <c r="AC589" s="158" t="str">
        <f t="shared" ca="1" si="257"/>
        <v/>
      </c>
      <c r="AD589" s="104" t="str">
        <f ca="1">IF(C589&lt;=CRONO.NivelExibicao,MAX($AD$15:OFFSET(AD589,-1,0))+IF($C589&lt;&gt;1,1,MAX(1,COUNTIF(QCI!$A$13:$A$24,OFFSET($E589,-1,0)))),"")</f>
        <v/>
      </c>
      <c r="AE589" s="114" t="str">
        <f t="shared" ca="1" si="258"/>
        <v>SINAPI 92984</v>
      </c>
      <c r="AF589" s="159" t="str">
        <f t="shared" ca="1" si="259"/>
        <v>(abra o arquivo 'Referência 05-2024.xls)</v>
      </c>
      <c r="AG589" s="579">
        <f t="shared" ca="1" si="260"/>
        <v>0</v>
      </c>
      <c r="AH589" s="580">
        <f t="shared" ca="1" si="261"/>
        <v>0.22470000000000001</v>
      </c>
      <c r="AJ589" s="582">
        <v>50.3</v>
      </c>
      <c r="AL589" s="612"/>
      <c r="AM589" s="430">
        <f t="shared" ca="1" si="262"/>
        <v>0</v>
      </c>
      <c r="AN589" s="655">
        <f t="shared" ca="1" si="263"/>
        <v>0</v>
      </c>
    </row>
    <row r="590" spans="1:40" ht="13.8" x14ac:dyDescent="0.3">
      <c r="A590" t="str">
        <f t="shared" ref="A590:A617" si="272">CHOOSE(1+LOG(1+2*(ORÇAMENTO.Nivel="Meta")+4*(ORÇAMENTO.Nivel="Nível 2")+8*(ORÇAMENTO.Nivel="Nível 3")+16*(ORÇAMENTO.Nivel="Nível 4")+32*(ORÇAMENTO.Nivel="Serviço"),2),0,1,2,3,4,"S")</f>
        <v>S</v>
      </c>
      <c r="B590">
        <f t="shared" ref="B590:B617" ca="1" si="273">IF(OR(C590="s",C590=0),OFFSET(B590,-1,0),C590)</f>
        <v>3</v>
      </c>
      <c r="C590" t="str">
        <f t="shared" ref="C590:C617" ca="1" si="274">IF(OFFSET(C590,-1,0)="L",1,IF(OFFSET(C590,-1,0)=1,2,IF(OR(A590="s",A590=0),"S",IF(AND(OFFSET(C590,-1,0)=2,A590=4),3,IF(AND(OR(OFFSET(C590,-1,0)="s",OFFSET(C590,-1,0)=0),A590&lt;&gt;"s",A590&gt;OFFSET(B590,-1,0)),OFFSET(B590,-1,0),A590)))))</f>
        <v>S</v>
      </c>
      <c r="D590">
        <f t="shared" ref="D590:D617" ca="1" si="275">IF(OR(C590="S",C590=0),0,IF(ISERROR(K590),J590,SMALL(J590:K590,1)))</f>
        <v>0</v>
      </c>
      <c r="E590">
        <f ca="1">IF($C590=1,OFFSET(E590,-1,0)+MAX(1,COUNTIF(QCI!$A$13:$A$24,OFFSET(ORÇAMENTO!E590,-1,0))),OFFSET(E590,-1,0))</f>
        <v>1</v>
      </c>
      <c r="F590">
        <f t="shared" ref="F590:F617" ca="1" si="276">IF($C590=1,0,IF($C590=2,OFFSET(F590,-1,0)+1,OFFSET(F590,-1,0)))</f>
        <v>18</v>
      </c>
      <c r="G590">
        <f t="shared" ref="G590:G617" ca="1" si="277">IF(AND($C590&lt;=2,$C590&lt;&gt;0),0,IF($C590=3,OFFSET(G590,-1,0)+1,OFFSET(G590,-1,0)))</f>
        <v>4</v>
      </c>
      <c r="H590">
        <f t="shared" ref="H590:H617" ca="1" si="278">IF(AND($C590&lt;=3,$C590&lt;&gt;0),0,IF($C590=4,OFFSET(H590,-1,0)+1,OFFSET(H590,-1,0)))</f>
        <v>0</v>
      </c>
      <c r="I590">
        <f t="shared" ref="I590:I617" ca="1" si="279">IF(AND($C590&lt;=4,$C590&lt;&gt;0),0,IF(AND($C590="S",$X590&gt;0),OFFSET(I590,-1,0)+1,OFFSET(I590,-1,0)))</f>
        <v>0</v>
      </c>
      <c r="J590">
        <f t="shared" ca="1" si="264"/>
        <v>0</v>
      </c>
      <c r="K590">
        <f ca="1">IF(OR($C590="S",$C590=0),0,MATCH(OFFSET($D590,0,$C590)+IF($C590&lt;&gt;1,1,COUNTIF(QCI!$A$13:$A$24,ORÇAMENTO!E590)),OFFSET($D590,1,$C590,ROW($C$710)-ROW($C590)),0))</f>
        <v>0</v>
      </c>
      <c r="L590" s="143" t="str">
        <f t="shared" ref="L590:L617" ca="1" si="280">IF(OR($X590&gt;0,$C590=1,$C590=2,$C590=3,$C590=4),"F","")</f>
        <v/>
      </c>
      <c r="M590" s="144" t="s">
        <v>201</v>
      </c>
      <c r="N590" s="145" t="str">
        <f t="shared" ref="N590:N617" ca="1" si="281">CHOOSE(1+LOG(1+2*(C590=1)+4*(C590=2)+8*(C590=3)+16*(C590=4)+32*(C590="S"),2),"","Meta","Nível 2","Nível 3","Nível 4","Serviço")</f>
        <v>Serviço</v>
      </c>
      <c r="O590" s="146" t="str">
        <f t="shared" ref="O590:O617" ca="1" si="282">IF(OR($C590=0,$L590=""),"-",CONCATENATE(E590&amp;".",IF(AND($A$5&gt;=2,$C590&gt;=2),F590&amp;".",""),IF(AND($A$5&gt;=3,$C590&gt;=3),G590&amp;".",""),IF(AND($A$5&gt;=4,$C590&gt;=4),H590&amp;".",""),IF($C590="S",I590&amp;".","")))</f>
        <v>-</v>
      </c>
      <c r="P590" s="147" t="s">
        <v>249</v>
      </c>
      <c r="Q590" s="148">
        <v>92988</v>
      </c>
      <c r="R590" s="149" t="str">
        <f t="shared" ca="1" si="270"/>
        <v>(abra o arquivo 'Referência 05-2024.xls)</v>
      </c>
      <c r="S590" s="150" t="str">
        <f t="shared" ca="1" si="271"/>
        <v>-</v>
      </c>
      <c r="T590" s="151">
        <f ca="1">OFFSET(CÁLCULO!H$15,ROW($T590)-ROW(T$15),0)</f>
        <v>256.60000000000002</v>
      </c>
      <c r="U590" s="152">
        <f t="shared" ca="1" si="265"/>
        <v>0</v>
      </c>
      <c r="V590" s="153" t="s">
        <v>158</v>
      </c>
      <c r="W590" s="151">
        <f t="shared" ref="W590:W617" ca="1" si="283">IF($C590="S",ROUND(IF(TIPOORCAMENTO="Proposto",ORÇAMENTO.CustoUnitario*(1+$AH590),ORÇAMENTO.PrecoUnitarioLicitado),15-13*$AF$10),0)</f>
        <v>0</v>
      </c>
      <c r="X590" s="154">
        <f t="shared" ref="X590:X617" ca="1" si="284">IF($C590="S",VTOTAL1,IF($C590=0,0,ROUND(SomaAgrup,15-13*$AF$11)))</f>
        <v>0</v>
      </c>
      <c r="Y590" s="155" t="s">
        <v>583</v>
      </c>
      <c r="Z590" t="str">
        <f t="shared" ref="Z590:Z617" ca="1" si="285">IF(AND($C590="S",$X590&gt;0),IF(ISBLANK($Y590),"RA",LEFT($Y590,2)),"")</f>
        <v/>
      </c>
      <c r="AA590" s="156">
        <f ca="1">IF($C590="S",IF($Z590="CP",$X590,IF($Z590="RA",(($X590)*QCI!$AA$3),0)),SomaAgrup)</f>
        <v>0</v>
      </c>
      <c r="AB590" s="157">
        <f t="shared" ref="AB590:AB617" ca="1" si="286">IF($C590="S",IF($Z590="OU",ROUND($X590,2),0),SomaAgrup)</f>
        <v>0</v>
      </c>
      <c r="AC590" s="158" t="str">
        <f t="shared" ref="AC590:AC617" ca="1" si="287">IF($N590="","",IF(ORÇAMENTO.Descricao="","DESCRIÇÃO",IF(AND($C590="S",ORÇAMENTO.Unidade=""),"UNIDADE",IF($X590&lt;0,"VALOR NEGATIVO",IF(OR(AND(TIPOORCAMENTO="Proposto",$AG590&lt;&gt;"",$AG590&gt;0,ORÇAMENTO.CustoUnitario&gt;$AG590),AND(TIPOORCAMENTO="LICITADO",ORÇAMENTO.PrecoUnitarioLicitado&gt;$AN590)),"ACIMA REF.","")))))</f>
        <v/>
      </c>
      <c r="AD590" s="104" t="str">
        <f ca="1">IF(C590&lt;=CRONO.NivelExibicao,MAX($AD$15:OFFSET(AD590,-1,0))+IF($C590&lt;&gt;1,1,MAX(1,COUNTIF(QCI!$A$13:$A$24,OFFSET($E590,-1,0)))),"")</f>
        <v/>
      </c>
      <c r="AE590" s="114" t="str">
        <f t="shared" ref="AE590:AE617" ca="1" si="288">IF(AND($C590="S",ORÇAMENTO.CodBarra&lt;&gt;""),IF(ORÇAMENTO.Fonte="",ORÇAMENTO.CodBarra,CONCATENATE(ORÇAMENTO.Fonte," ",ORÇAMENTO.CodBarra)))</f>
        <v>SINAPI 92988</v>
      </c>
      <c r="AF590" s="159" t="str">
        <f t="shared" ref="AF590:AF617" ca="1" si="289">IF(ISERROR(INDIRECT(ORÇAMENTO.BancoRef)),"(abra o arquivo 'Referência "&amp;Excel_BuiltIn_Database&amp;".xls)",IF(OR($C590&lt;&gt;"S",ORÇAMENTO.CodBarra=""),"(Sem Código)",IF(ISERROR(MATCH($AE590,INDIRECT(ORÇAMENTO.BancoRef),0)),"(Código não identificado nas referências)",MATCH($AE590,INDIRECT(ORÇAMENTO.BancoRef),0))))</f>
        <v>(abra o arquivo 'Referência 05-2024.xls)</v>
      </c>
      <c r="AG590" s="579">
        <f t="shared" ref="AG590:AG617" ca="1" si="290">ROUND(IF(DESONERACAO="sim",REFERENCIA.Desonerado,REFERENCIA.NaoDesonerado),2)</f>
        <v>0</v>
      </c>
      <c r="AH590" s="580">
        <f t="shared" ref="AH590:AH617" ca="1" si="291">ROUND(IF(ISNUMBER(ORÇAMENTO.OpcaoBDI),ORÇAMENTO.OpcaoBDI,IF(LEFT(ORÇAMENTO.OpcaoBDI,3)="BDI",HLOOKUP(ORÇAMENTO.OpcaoBDI,$F$4:$H$5,2,FALSE),0)),15-11*$AF$9)</f>
        <v>0.22470000000000001</v>
      </c>
      <c r="AJ590" s="582">
        <v>256.60000000000002</v>
      </c>
      <c r="AL590" s="612"/>
      <c r="AM590" s="430">
        <f t="shared" ref="AM590:AM617" ca="1" si="292">$X590</f>
        <v>0</v>
      </c>
      <c r="AN590" s="655">
        <f t="shared" ref="AN590:AN617" ca="1" si="293">ROUND(ORÇAMENTO.CustoUnitario*(1+$AH590),2)</f>
        <v>0</v>
      </c>
    </row>
    <row r="591" spans="1:40" ht="13.8" x14ac:dyDescent="0.3">
      <c r="A591" t="str">
        <f t="shared" si="272"/>
        <v>S</v>
      </c>
      <c r="B591">
        <f t="shared" ca="1" si="273"/>
        <v>3</v>
      </c>
      <c r="C591" t="str">
        <f t="shared" ca="1" si="274"/>
        <v>S</v>
      </c>
      <c r="D591">
        <f t="shared" ca="1" si="275"/>
        <v>0</v>
      </c>
      <c r="E591">
        <f ca="1">IF($C591=1,OFFSET(E591,-1,0)+MAX(1,COUNTIF(QCI!$A$13:$A$24,OFFSET(ORÇAMENTO!E591,-1,0))),OFFSET(E591,-1,0))</f>
        <v>1</v>
      </c>
      <c r="F591">
        <f t="shared" ca="1" si="276"/>
        <v>18</v>
      </c>
      <c r="G591">
        <f t="shared" ca="1" si="277"/>
        <v>4</v>
      </c>
      <c r="H591">
        <f t="shared" ca="1" si="278"/>
        <v>0</v>
      </c>
      <c r="I591">
        <f t="shared" ca="1" si="279"/>
        <v>0</v>
      </c>
      <c r="J591">
        <f t="shared" ca="1" si="264"/>
        <v>0</v>
      </c>
      <c r="K591">
        <f ca="1">IF(OR($C591="S",$C591=0),0,MATCH(OFFSET($D591,0,$C591)+IF($C591&lt;&gt;1,1,COUNTIF(QCI!$A$13:$A$24,ORÇAMENTO!E591)),OFFSET($D591,1,$C591,ROW($C$710)-ROW($C591)),0))</f>
        <v>0</v>
      </c>
      <c r="L591" s="143" t="str">
        <f t="shared" ca="1" si="280"/>
        <v/>
      </c>
      <c r="M591" s="144" t="s">
        <v>201</v>
      </c>
      <c r="N591" s="145" t="str">
        <f t="shared" ca="1" si="281"/>
        <v>Serviço</v>
      </c>
      <c r="O591" s="146" t="str">
        <f t="shared" ca="1" si="282"/>
        <v>-</v>
      </c>
      <c r="P591" s="147" t="s">
        <v>249</v>
      </c>
      <c r="Q591" s="148">
        <v>92992</v>
      </c>
      <c r="R591" s="149" t="str">
        <f t="shared" ca="1" si="270"/>
        <v>(abra o arquivo 'Referência 05-2024.xls)</v>
      </c>
      <c r="S591" s="150" t="str">
        <f t="shared" ca="1" si="271"/>
        <v>-</v>
      </c>
      <c r="T591" s="151">
        <f ca="1">OFFSET(CÁLCULO!H$15,ROW($T591)-ROW(T$15),0)</f>
        <v>221.6</v>
      </c>
      <c r="U591" s="152">
        <f t="shared" ca="1" si="265"/>
        <v>0</v>
      </c>
      <c r="V591" s="153" t="s">
        <v>158</v>
      </c>
      <c r="W591" s="151">
        <f t="shared" ca="1" si="283"/>
        <v>0</v>
      </c>
      <c r="X591" s="154">
        <f t="shared" ca="1" si="284"/>
        <v>0</v>
      </c>
      <c r="Y591" s="155" t="s">
        <v>583</v>
      </c>
      <c r="Z591" t="str">
        <f t="shared" ca="1" si="285"/>
        <v/>
      </c>
      <c r="AA591" s="156">
        <f ca="1">IF($C591="S",IF($Z591="CP",$X591,IF($Z591="RA",(($X591)*QCI!$AA$3),0)),SomaAgrup)</f>
        <v>0</v>
      </c>
      <c r="AB591" s="157">
        <f t="shared" ca="1" si="286"/>
        <v>0</v>
      </c>
      <c r="AC591" s="158" t="str">
        <f t="shared" ca="1" si="287"/>
        <v/>
      </c>
      <c r="AD591" s="104" t="str">
        <f ca="1">IF(C591&lt;=CRONO.NivelExibicao,MAX($AD$15:OFFSET(AD591,-1,0))+IF($C591&lt;&gt;1,1,MAX(1,COUNTIF(QCI!$A$13:$A$24,OFFSET($E591,-1,0)))),"")</f>
        <v/>
      </c>
      <c r="AE591" s="114" t="str">
        <f t="shared" ca="1" si="288"/>
        <v>SINAPI 92992</v>
      </c>
      <c r="AF591" s="159" t="str">
        <f t="shared" ca="1" si="289"/>
        <v>(abra o arquivo 'Referência 05-2024.xls)</v>
      </c>
      <c r="AG591" s="579">
        <f t="shared" ca="1" si="290"/>
        <v>0</v>
      </c>
      <c r="AH591" s="580">
        <f t="shared" ca="1" si="291"/>
        <v>0.22470000000000001</v>
      </c>
      <c r="AJ591" s="582">
        <v>221.6</v>
      </c>
      <c r="AL591" s="612"/>
      <c r="AM591" s="430">
        <f t="shared" ca="1" si="292"/>
        <v>0</v>
      </c>
      <c r="AN591" s="655">
        <f t="shared" ca="1" si="293"/>
        <v>0</v>
      </c>
    </row>
    <row r="592" spans="1:40" ht="13.8" x14ac:dyDescent="0.3">
      <c r="A592">
        <f t="shared" si="272"/>
        <v>3</v>
      </c>
      <c r="B592">
        <f t="shared" ca="1" si="273"/>
        <v>3</v>
      </c>
      <c r="C592">
        <f t="shared" ca="1" si="274"/>
        <v>3</v>
      </c>
      <c r="D592">
        <f t="shared" ca="1" si="275"/>
        <v>8</v>
      </c>
      <c r="E592">
        <f ca="1">IF($C592=1,OFFSET(E592,-1,0)+MAX(1,COUNTIF(QCI!$A$13:$A$24,OFFSET(ORÇAMENTO!E592,-1,0))),OFFSET(E592,-1,0))</f>
        <v>1</v>
      </c>
      <c r="F592">
        <f t="shared" ca="1" si="276"/>
        <v>18</v>
      </c>
      <c r="G592">
        <f t="shared" ca="1" si="277"/>
        <v>5</v>
      </c>
      <c r="H592">
        <f t="shared" ca="1" si="278"/>
        <v>0</v>
      </c>
      <c r="I592">
        <f t="shared" ca="1" si="279"/>
        <v>0</v>
      </c>
      <c r="J592">
        <f t="shared" ref="J592:J655" ca="1" si="294">IF(OR($C592="S",$C592=0),0,MATCH(0,OFFSET($D592,1,$C592,ROW($C$710)-ROW($C592)),0))</f>
        <v>26</v>
      </c>
      <c r="K592">
        <f ca="1">IF(OR($C592="S",$C592=0),0,MATCH(OFFSET($D592,0,$C592)+IF($C592&lt;&gt;1,1,COUNTIF(QCI!$A$13:$A$24,ORÇAMENTO!E592)),OFFSET($D592,1,$C592,ROW($C$710)-ROW($C592)),0))</f>
        <v>8</v>
      </c>
      <c r="L592" s="143" t="str">
        <f t="shared" ca="1" si="280"/>
        <v>F</v>
      </c>
      <c r="M592" s="144" t="s">
        <v>199</v>
      </c>
      <c r="N592" s="145" t="str">
        <f t="shared" ca="1" si="281"/>
        <v>Nível 3</v>
      </c>
      <c r="O592" s="146" t="str">
        <f t="shared" ca="1" si="282"/>
        <v>1.18.5.</v>
      </c>
      <c r="P592" s="147" t="s">
        <v>249</v>
      </c>
      <c r="Q592" s="148"/>
      <c r="R592" s="149" t="s">
        <v>551</v>
      </c>
      <c r="S592" s="150" t="s">
        <v>168</v>
      </c>
      <c r="T592" s="151">
        <f ca="1">OFFSET(CÁLCULO!H$15,ROW($T592)-ROW(T$15),0)</f>
        <v>0</v>
      </c>
      <c r="U592" s="152"/>
      <c r="V592" s="153" t="s">
        <v>158</v>
      </c>
      <c r="W592" s="151">
        <f t="shared" ca="1" si="283"/>
        <v>0</v>
      </c>
      <c r="X592" s="154">
        <f t="shared" ca="1" si="284"/>
        <v>0</v>
      </c>
      <c r="Y592" s="155" t="s">
        <v>583</v>
      </c>
      <c r="Z592" t="str">
        <f t="shared" ca="1" si="285"/>
        <v/>
      </c>
      <c r="AA592" s="156">
        <f ca="1">IF($C592="S",IF($Z592="CP",$X592,IF($Z592="RA",(($X592)*QCI!$AA$3),0)),SomaAgrup)</f>
        <v>0</v>
      </c>
      <c r="AB592" s="157">
        <f t="shared" ca="1" si="286"/>
        <v>0</v>
      </c>
      <c r="AC592" s="158" t="str">
        <f t="shared" ca="1" si="287"/>
        <v/>
      </c>
      <c r="AD592" s="104" t="str">
        <f ca="1">IF(C592&lt;=CRONO.NivelExibicao,MAX($AD$15:OFFSET(AD592,-1,0))+IF($C592&lt;&gt;1,1,MAX(1,COUNTIF(QCI!$A$13:$A$24,OFFSET($E592,-1,0)))),"")</f>
        <v/>
      </c>
      <c r="AE592" s="114" t="b">
        <f t="shared" ca="1" si="288"/>
        <v>0</v>
      </c>
      <c r="AF592" s="159" t="str">
        <f t="shared" ca="1" si="289"/>
        <v>(abra o arquivo 'Referência 05-2024.xls)</v>
      </c>
      <c r="AG592" s="579">
        <f t="shared" ca="1" si="290"/>
        <v>0</v>
      </c>
      <c r="AH592" s="580">
        <f t="shared" ca="1" si="291"/>
        <v>0.22470000000000001</v>
      </c>
      <c r="AJ592" s="582"/>
      <c r="AL592" s="612"/>
      <c r="AM592" s="430">
        <f t="shared" ca="1" si="292"/>
        <v>0</v>
      </c>
      <c r="AN592" s="655">
        <f t="shared" ca="1" si="293"/>
        <v>0</v>
      </c>
    </row>
    <row r="593" spans="1:40" ht="13.8" x14ac:dyDescent="0.3">
      <c r="A593" t="str">
        <f t="shared" si="272"/>
        <v>S</v>
      </c>
      <c r="B593">
        <f t="shared" ca="1" si="273"/>
        <v>3</v>
      </c>
      <c r="C593" t="str">
        <f t="shared" ca="1" si="274"/>
        <v>S</v>
      </c>
      <c r="D593">
        <f t="shared" ca="1" si="275"/>
        <v>0</v>
      </c>
      <c r="E593">
        <f ca="1">IF($C593=1,OFFSET(E593,-1,0)+MAX(1,COUNTIF(QCI!$A$13:$A$24,OFFSET(ORÇAMENTO!E593,-1,0))),OFFSET(E593,-1,0))</f>
        <v>1</v>
      </c>
      <c r="F593">
        <f t="shared" ca="1" si="276"/>
        <v>18</v>
      </c>
      <c r="G593">
        <f t="shared" ca="1" si="277"/>
        <v>5</v>
      </c>
      <c r="H593">
        <f t="shared" ca="1" si="278"/>
        <v>0</v>
      </c>
      <c r="I593">
        <f t="shared" ca="1" si="279"/>
        <v>0</v>
      </c>
      <c r="J593">
        <f t="shared" ca="1" si="294"/>
        <v>0</v>
      </c>
      <c r="K593">
        <f ca="1">IF(OR($C593="S",$C593=0),0,MATCH(OFFSET($D593,0,$C593)+IF($C593&lt;&gt;1,1,COUNTIF(QCI!$A$13:$A$24,ORÇAMENTO!E593)),OFFSET($D593,1,$C593,ROW($C$710)-ROW($C593)),0))</f>
        <v>0</v>
      </c>
      <c r="L593" s="143" t="str">
        <f t="shared" ca="1" si="280"/>
        <v/>
      </c>
      <c r="M593" s="144" t="s">
        <v>201</v>
      </c>
      <c r="N593" s="145" t="str">
        <f t="shared" ca="1" si="281"/>
        <v>Serviço</v>
      </c>
      <c r="O593" s="146" t="str">
        <f t="shared" ca="1" si="282"/>
        <v>-</v>
      </c>
      <c r="P593" s="147" t="s">
        <v>578</v>
      </c>
      <c r="Q593" s="148">
        <v>9013038</v>
      </c>
      <c r="R593" s="149" t="str">
        <f t="shared" ref="R593:R599" ca="1" si="295">IF($C593="S",REFERENCIA.Descricao,"(digite a descrição aqui)")</f>
        <v>(abra o arquivo 'Referência 05-2024.xls)</v>
      </c>
      <c r="S593" s="150" t="str">
        <f t="shared" ref="S593:S599" ca="1" si="296">REFERENCIA.Unidade</f>
        <v>-</v>
      </c>
      <c r="T593" s="151">
        <f ca="1">OFFSET(CÁLCULO!H$15,ROW($T593)-ROW(T$15),0)</f>
        <v>17.7</v>
      </c>
      <c r="U593" s="152">
        <f t="shared" ref="U593:U617" ca="1" si="297">AG593</f>
        <v>0</v>
      </c>
      <c r="V593" s="153" t="s">
        <v>158</v>
      </c>
      <c r="W593" s="151">
        <f t="shared" ca="1" si="283"/>
        <v>0</v>
      </c>
      <c r="X593" s="154">
        <f t="shared" ca="1" si="284"/>
        <v>0</v>
      </c>
      <c r="Y593" s="155" t="s">
        <v>583</v>
      </c>
      <c r="Z593" t="str">
        <f t="shared" ca="1" si="285"/>
        <v/>
      </c>
      <c r="AA593" s="156">
        <f ca="1">IF($C593="S",IF($Z593="CP",$X593,IF($Z593="RA",(($X593)*QCI!$AA$3),0)),SomaAgrup)</f>
        <v>0</v>
      </c>
      <c r="AB593" s="157">
        <f t="shared" ca="1" si="286"/>
        <v>0</v>
      </c>
      <c r="AC593" s="158" t="str">
        <f t="shared" ca="1" si="287"/>
        <v/>
      </c>
      <c r="AD593" s="104" t="str">
        <f ca="1">IF(C593&lt;=CRONO.NivelExibicao,MAX($AD$15:OFFSET(AD593,-1,0))+IF($C593&lt;&gt;1,1,MAX(1,COUNTIF(QCI!$A$13:$A$24,OFFSET($E593,-1,0)))),"")</f>
        <v/>
      </c>
      <c r="AE593" s="114" t="str">
        <f t="shared" ca="1" si="288"/>
        <v>SIURB 9013038</v>
      </c>
      <c r="AF593" s="159" t="str">
        <f t="shared" ca="1" si="289"/>
        <v>(abra o arquivo 'Referência 05-2024.xls)</v>
      </c>
      <c r="AG593" s="579">
        <f t="shared" ca="1" si="290"/>
        <v>0</v>
      </c>
      <c r="AH593" s="580">
        <f t="shared" ca="1" si="291"/>
        <v>0.22470000000000001</v>
      </c>
      <c r="AJ593" s="582">
        <v>17.7</v>
      </c>
      <c r="AL593" s="612"/>
      <c r="AM593" s="430">
        <f t="shared" ca="1" si="292"/>
        <v>0</v>
      </c>
      <c r="AN593" s="655">
        <f t="shared" ca="1" si="293"/>
        <v>0</v>
      </c>
    </row>
    <row r="594" spans="1:40" ht="13.8" x14ac:dyDescent="0.3">
      <c r="A594" t="str">
        <f t="shared" si="272"/>
        <v>S</v>
      </c>
      <c r="B594">
        <f t="shared" ca="1" si="273"/>
        <v>3</v>
      </c>
      <c r="C594" t="str">
        <f t="shared" ca="1" si="274"/>
        <v>S</v>
      </c>
      <c r="D594">
        <f t="shared" ca="1" si="275"/>
        <v>0</v>
      </c>
      <c r="E594">
        <f ca="1">IF($C594=1,OFFSET(E594,-1,0)+MAX(1,COUNTIF(QCI!$A$13:$A$24,OFFSET(ORÇAMENTO!E594,-1,0))),OFFSET(E594,-1,0))</f>
        <v>1</v>
      </c>
      <c r="F594">
        <f t="shared" ca="1" si="276"/>
        <v>18</v>
      </c>
      <c r="G594">
        <f t="shared" ca="1" si="277"/>
        <v>5</v>
      </c>
      <c r="H594">
        <f t="shared" ca="1" si="278"/>
        <v>0</v>
      </c>
      <c r="I594">
        <f t="shared" ca="1" si="279"/>
        <v>0</v>
      </c>
      <c r="J594">
        <f t="shared" ca="1" si="294"/>
        <v>0</v>
      </c>
      <c r="K594">
        <f ca="1">IF(OR($C594="S",$C594=0),0,MATCH(OFFSET($D594,0,$C594)+IF($C594&lt;&gt;1,1,COUNTIF(QCI!$A$13:$A$24,ORÇAMENTO!E594)),OFFSET($D594,1,$C594,ROW($C$710)-ROW($C594)),0))</f>
        <v>0</v>
      </c>
      <c r="L594" s="143" t="str">
        <f t="shared" ca="1" si="280"/>
        <v/>
      </c>
      <c r="M594" s="144" t="s">
        <v>201</v>
      </c>
      <c r="N594" s="145" t="str">
        <f t="shared" ca="1" si="281"/>
        <v>Serviço</v>
      </c>
      <c r="O594" s="146" t="str">
        <f t="shared" ca="1" si="282"/>
        <v>-</v>
      </c>
      <c r="P594" s="147" t="s">
        <v>578</v>
      </c>
      <c r="Q594" s="148">
        <v>9013040</v>
      </c>
      <c r="R594" s="149" t="str">
        <f t="shared" ca="1" si="295"/>
        <v>(abra o arquivo 'Referência 05-2024.xls)</v>
      </c>
      <c r="S594" s="150" t="str">
        <f t="shared" ca="1" si="296"/>
        <v>-</v>
      </c>
      <c r="T594" s="151">
        <f ca="1">OFFSET(CÁLCULO!H$15,ROW($T594)-ROW(T$15),0)</f>
        <v>8.5</v>
      </c>
      <c r="U594" s="152">
        <f t="shared" ca="1" si="297"/>
        <v>0</v>
      </c>
      <c r="V594" s="153" t="s">
        <v>158</v>
      </c>
      <c r="W594" s="151">
        <f t="shared" ca="1" si="283"/>
        <v>0</v>
      </c>
      <c r="X594" s="154">
        <f t="shared" ca="1" si="284"/>
        <v>0</v>
      </c>
      <c r="Y594" s="155" t="s">
        <v>583</v>
      </c>
      <c r="Z594" t="str">
        <f t="shared" ca="1" si="285"/>
        <v/>
      </c>
      <c r="AA594" s="156">
        <f ca="1">IF($C594="S",IF($Z594="CP",$X594,IF($Z594="RA",(($X594)*QCI!$AA$3),0)),SomaAgrup)</f>
        <v>0</v>
      </c>
      <c r="AB594" s="157">
        <f t="shared" ca="1" si="286"/>
        <v>0</v>
      </c>
      <c r="AC594" s="158" t="str">
        <f t="shared" ca="1" si="287"/>
        <v/>
      </c>
      <c r="AD594" s="104" t="str">
        <f ca="1">IF(C594&lt;=CRONO.NivelExibicao,MAX($AD$15:OFFSET(AD594,-1,0))+IF($C594&lt;&gt;1,1,MAX(1,COUNTIF(QCI!$A$13:$A$24,OFFSET($E594,-1,0)))),"")</f>
        <v/>
      </c>
      <c r="AE594" s="114" t="str">
        <f t="shared" ca="1" si="288"/>
        <v>SIURB 9013040</v>
      </c>
      <c r="AF594" s="159" t="str">
        <f t="shared" ca="1" si="289"/>
        <v>(abra o arquivo 'Referência 05-2024.xls)</v>
      </c>
      <c r="AG594" s="579">
        <f t="shared" ca="1" si="290"/>
        <v>0</v>
      </c>
      <c r="AH594" s="580">
        <f t="shared" ca="1" si="291"/>
        <v>0.22470000000000001</v>
      </c>
      <c r="AJ594" s="582">
        <v>8.5</v>
      </c>
      <c r="AL594" s="612"/>
      <c r="AM594" s="430">
        <f t="shared" ca="1" si="292"/>
        <v>0</v>
      </c>
      <c r="AN594" s="655">
        <f t="shared" ca="1" si="293"/>
        <v>0</v>
      </c>
    </row>
    <row r="595" spans="1:40" ht="13.8" x14ac:dyDescent="0.3">
      <c r="A595" t="str">
        <f t="shared" si="272"/>
        <v>S</v>
      </c>
      <c r="B595">
        <f t="shared" ca="1" si="273"/>
        <v>3</v>
      </c>
      <c r="C595" t="str">
        <f t="shared" ca="1" si="274"/>
        <v>S</v>
      </c>
      <c r="D595">
        <f t="shared" ca="1" si="275"/>
        <v>0</v>
      </c>
      <c r="E595">
        <f ca="1">IF($C595=1,OFFSET(E595,-1,0)+MAX(1,COUNTIF(QCI!$A$13:$A$24,OFFSET(ORÇAMENTO!E595,-1,0))),OFFSET(E595,-1,0))</f>
        <v>1</v>
      </c>
      <c r="F595">
        <f t="shared" ca="1" si="276"/>
        <v>18</v>
      </c>
      <c r="G595">
        <f t="shared" ca="1" si="277"/>
        <v>5</v>
      </c>
      <c r="H595">
        <f t="shared" ca="1" si="278"/>
        <v>0</v>
      </c>
      <c r="I595">
        <f t="shared" ca="1" si="279"/>
        <v>0</v>
      </c>
      <c r="J595">
        <f t="shared" ca="1" si="294"/>
        <v>0</v>
      </c>
      <c r="K595">
        <f ca="1">IF(OR($C595="S",$C595=0),0,MATCH(OFFSET($D595,0,$C595)+IF($C595&lt;&gt;1,1,COUNTIF(QCI!$A$13:$A$24,ORÇAMENTO!E595)),OFFSET($D595,1,$C595,ROW($C$710)-ROW($C595)),0))</f>
        <v>0</v>
      </c>
      <c r="L595" s="143" t="str">
        <f t="shared" ca="1" si="280"/>
        <v/>
      </c>
      <c r="M595" s="144" t="s">
        <v>201</v>
      </c>
      <c r="N595" s="145" t="str">
        <f t="shared" ca="1" si="281"/>
        <v>Serviço</v>
      </c>
      <c r="O595" s="146" t="str">
        <f t="shared" ca="1" si="282"/>
        <v>-</v>
      </c>
      <c r="P595" s="147" t="s">
        <v>441</v>
      </c>
      <c r="Q595" s="148" t="s">
        <v>609</v>
      </c>
      <c r="R595" s="149" t="str">
        <f t="shared" ca="1" si="295"/>
        <v>(abra o arquivo 'Referência 05-2024.xls)</v>
      </c>
      <c r="S595" s="150" t="str">
        <f t="shared" ca="1" si="296"/>
        <v>-</v>
      </c>
      <c r="T595" s="151">
        <f ca="1">OFFSET(CÁLCULO!H$15,ROW($T595)-ROW(T$15),0)</f>
        <v>100.7</v>
      </c>
      <c r="U595" s="152">
        <f t="shared" ca="1" si="297"/>
        <v>0</v>
      </c>
      <c r="V595" s="153" t="s">
        <v>158</v>
      </c>
      <c r="W595" s="151">
        <f t="shared" ca="1" si="283"/>
        <v>0</v>
      </c>
      <c r="X595" s="154">
        <f t="shared" ca="1" si="284"/>
        <v>0</v>
      </c>
      <c r="Y595" s="155" t="s">
        <v>583</v>
      </c>
      <c r="Z595" t="str">
        <f t="shared" ca="1" si="285"/>
        <v/>
      </c>
      <c r="AA595" s="156">
        <f ca="1">IF($C595="S",IF($Z595="CP",$X595,IF($Z595="RA",(($X595)*QCI!$AA$3),0)),SomaAgrup)</f>
        <v>0</v>
      </c>
      <c r="AB595" s="157">
        <f t="shared" ca="1" si="286"/>
        <v>0</v>
      </c>
      <c r="AC595" s="158" t="str">
        <f t="shared" ca="1" si="287"/>
        <v/>
      </c>
      <c r="AD595" s="104" t="str">
        <f ca="1">IF(C595&lt;=CRONO.NivelExibicao,MAX($AD$15:OFFSET(AD595,-1,0))+IF($C595&lt;&gt;1,1,MAX(1,COUNTIF(QCI!$A$13:$A$24,OFFSET($E595,-1,0)))),"")</f>
        <v/>
      </c>
      <c r="AE595" s="114" t="str">
        <f t="shared" ca="1" si="288"/>
        <v>Composição CP-48</v>
      </c>
      <c r="AF595" s="159" t="str">
        <f t="shared" ca="1" si="289"/>
        <v>(abra o arquivo 'Referência 05-2024.xls)</v>
      </c>
      <c r="AG595" s="579">
        <f t="shared" ca="1" si="290"/>
        <v>0</v>
      </c>
      <c r="AH595" s="580">
        <f t="shared" ca="1" si="291"/>
        <v>0.22470000000000001</v>
      </c>
      <c r="AJ595" s="582">
        <v>100.7</v>
      </c>
      <c r="AL595" s="612"/>
      <c r="AM595" s="430">
        <f t="shared" ca="1" si="292"/>
        <v>0</v>
      </c>
      <c r="AN595" s="655">
        <f t="shared" ca="1" si="293"/>
        <v>0</v>
      </c>
    </row>
    <row r="596" spans="1:40" ht="13.8" x14ac:dyDescent="0.3">
      <c r="A596" t="str">
        <f t="shared" si="272"/>
        <v>S</v>
      </c>
      <c r="B596">
        <f t="shared" ca="1" si="273"/>
        <v>3</v>
      </c>
      <c r="C596" t="str">
        <f t="shared" ca="1" si="274"/>
        <v>S</v>
      </c>
      <c r="D596">
        <f t="shared" ca="1" si="275"/>
        <v>0</v>
      </c>
      <c r="E596">
        <f ca="1">IF($C596=1,OFFSET(E596,-1,0)+MAX(1,COUNTIF(QCI!$A$13:$A$24,OFFSET(ORÇAMENTO!E596,-1,0))),OFFSET(E596,-1,0))</f>
        <v>1</v>
      </c>
      <c r="F596">
        <f t="shared" ca="1" si="276"/>
        <v>18</v>
      </c>
      <c r="G596">
        <f t="shared" ca="1" si="277"/>
        <v>5</v>
      </c>
      <c r="H596">
        <f t="shared" ca="1" si="278"/>
        <v>0</v>
      </c>
      <c r="I596">
        <f t="shared" ca="1" si="279"/>
        <v>0</v>
      </c>
      <c r="J596">
        <f t="shared" ca="1" si="294"/>
        <v>0</v>
      </c>
      <c r="K596">
        <f ca="1">IF(OR($C596="S",$C596=0),0,MATCH(OFFSET($D596,0,$C596)+IF($C596&lt;&gt;1,1,COUNTIF(QCI!$A$13:$A$24,ORÇAMENTO!E596)),OFFSET($D596,1,$C596,ROW($C$710)-ROW($C596)),0))</f>
        <v>0</v>
      </c>
      <c r="L596" s="143" t="str">
        <f t="shared" ca="1" si="280"/>
        <v/>
      </c>
      <c r="M596" s="144" t="s">
        <v>201</v>
      </c>
      <c r="N596" s="145" t="str">
        <f t="shared" ca="1" si="281"/>
        <v>Serviço</v>
      </c>
      <c r="O596" s="146" t="str">
        <f t="shared" ca="1" si="282"/>
        <v>-</v>
      </c>
      <c r="P596" s="147" t="s">
        <v>578</v>
      </c>
      <c r="Q596" s="148">
        <v>9013021</v>
      </c>
      <c r="R596" s="149" t="str">
        <f t="shared" ca="1" si="295"/>
        <v>(abra o arquivo 'Referência 05-2024.xls)</v>
      </c>
      <c r="S596" s="150" t="str">
        <f t="shared" ca="1" si="296"/>
        <v>-</v>
      </c>
      <c r="T596" s="151">
        <f ca="1">OFFSET(CÁLCULO!H$15,ROW($T596)-ROW(T$15),0)</f>
        <v>0.4</v>
      </c>
      <c r="U596" s="152">
        <f t="shared" ca="1" si="297"/>
        <v>0</v>
      </c>
      <c r="V596" s="153" t="s">
        <v>158</v>
      </c>
      <c r="W596" s="151">
        <f t="shared" ca="1" si="283"/>
        <v>0</v>
      </c>
      <c r="X596" s="154">
        <f t="shared" ca="1" si="284"/>
        <v>0</v>
      </c>
      <c r="Y596" s="155" t="s">
        <v>583</v>
      </c>
      <c r="Z596" t="str">
        <f t="shared" ca="1" si="285"/>
        <v/>
      </c>
      <c r="AA596" s="156">
        <f ca="1">IF($C596="S",IF($Z596="CP",$X596,IF($Z596="RA",(($X596)*QCI!$AA$3),0)),SomaAgrup)</f>
        <v>0</v>
      </c>
      <c r="AB596" s="157">
        <f t="shared" ca="1" si="286"/>
        <v>0</v>
      </c>
      <c r="AC596" s="158" t="str">
        <f t="shared" ca="1" si="287"/>
        <v/>
      </c>
      <c r="AD596" s="104" t="str">
        <f ca="1">IF(C596&lt;=CRONO.NivelExibicao,MAX($AD$15:OFFSET(AD596,-1,0))+IF($C596&lt;&gt;1,1,MAX(1,COUNTIF(QCI!$A$13:$A$24,OFFSET($E596,-1,0)))),"")</f>
        <v/>
      </c>
      <c r="AE596" s="114" t="str">
        <f t="shared" ca="1" si="288"/>
        <v>SIURB 9013021</v>
      </c>
      <c r="AF596" s="159" t="str">
        <f t="shared" ca="1" si="289"/>
        <v>(abra o arquivo 'Referência 05-2024.xls)</v>
      </c>
      <c r="AG596" s="579">
        <f t="shared" ca="1" si="290"/>
        <v>0</v>
      </c>
      <c r="AH596" s="580">
        <f t="shared" ca="1" si="291"/>
        <v>0.22470000000000001</v>
      </c>
      <c r="AJ596" s="582">
        <v>0.4</v>
      </c>
      <c r="AL596" s="612"/>
      <c r="AM596" s="430">
        <f t="shared" ca="1" si="292"/>
        <v>0</v>
      </c>
      <c r="AN596" s="655">
        <f t="shared" ca="1" si="293"/>
        <v>0</v>
      </c>
    </row>
    <row r="597" spans="1:40" ht="13.8" x14ac:dyDescent="0.3">
      <c r="A597" t="str">
        <f t="shared" si="272"/>
        <v>S</v>
      </c>
      <c r="B597">
        <f t="shared" ca="1" si="273"/>
        <v>3</v>
      </c>
      <c r="C597" t="str">
        <f t="shared" ca="1" si="274"/>
        <v>S</v>
      </c>
      <c r="D597">
        <f t="shared" ca="1" si="275"/>
        <v>0</v>
      </c>
      <c r="E597">
        <f ca="1">IF($C597=1,OFFSET(E597,-1,0)+MAX(1,COUNTIF(QCI!$A$13:$A$24,OFFSET(ORÇAMENTO!E597,-1,0))),OFFSET(E597,-1,0))</f>
        <v>1</v>
      </c>
      <c r="F597">
        <f t="shared" ca="1" si="276"/>
        <v>18</v>
      </c>
      <c r="G597">
        <f t="shared" ca="1" si="277"/>
        <v>5</v>
      </c>
      <c r="H597">
        <f t="shared" ca="1" si="278"/>
        <v>0</v>
      </c>
      <c r="I597">
        <f t="shared" ca="1" si="279"/>
        <v>0</v>
      </c>
      <c r="J597">
        <f t="shared" ca="1" si="294"/>
        <v>0</v>
      </c>
      <c r="K597">
        <f ca="1">IF(OR($C597="S",$C597=0),0,MATCH(OFFSET($D597,0,$C597)+IF($C597&lt;&gt;1,1,COUNTIF(QCI!$A$13:$A$24,ORÇAMENTO!E597)),OFFSET($D597,1,$C597,ROW($C$710)-ROW($C597)),0))</f>
        <v>0</v>
      </c>
      <c r="L597" s="143" t="str">
        <f t="shared" ca="1" si="280"/>
        <v/>
      </c>
      <c r="M597" s="144" t="s">
        <v>201</v>
      </c>
      <c r="N597" s="145" t="str">
        <f t="shared" ca="1" si="281"/>
        <v>Serviço</v>
      </c>
      <c r="O597" s="146" t="str">
        <f t="shared" ca="1" si="282"/>
        <v>-</v>
      </c>
      <c r="P597" s="147" t="s">
        <v>578</v>
      </c>
      <c r="Q597" s="148">
        <v>9013023</v>
      </c>
      <c r="R597" s="149" t="str">
        <f t="shared" ca="1" si="295"/>
        <v>(abra o arquivo 'Referência 05-2024.xls)</v>
      </c>
      <c r="S597" s="150" t="str">
        <f t="shared" ca="1" si="296"/>
        <v>-</v>
      </c>
      <c r="T597" s="151">
        <f ca="1">OFFSET(CÁLCULO!H$15,ROW($T597)-ROW(T$15),0)</f>
        <v>2.9</v>
      </c>
      <c r="U597" s="152">
        <f t="shared" ca="1" si="297"/>
        <v>0</v>
      </c>
      <c r="V597" s="153" t="s">
        <v>158</v>
      </c>
      <c r="W597" s="151">
        <f t="shared" ca="1" si="283"/>
        <v>0</v>
      </c>
      <c r="X597" s="154">
        <f t="shared" ca="1" si="284"/>
        <v>0</v>
      </c>
      <c r="Y597" s="155" t="s">
        <v>583</v>
      </c>
      <c r="Z597" t="str">
        <f t="shared" ca="1" si="285"/>
        <v/>
      </c>
      <c r="AA597" s="156">
        <f ca="1">IF($C597="S",IF($Z597="CP",$X597,IF($Z597="RA",(($X597)*QCI!$AA$3),0)),SomaAgrup)</f>
        <v>0</v>
      </c>
      <c r="AB597" s="157">
        <f t="shared" ca="1" si="286"/>
        <v>0</v>
      </c>
      <c r="AC597" s="158" t="str">
        <f t="shared" ca="1" si="287"/>
        <v/>
      </c>
      <c r="AD597" s="104" t="str">
        <f ca="1">IF(C597&lt;=CRONO.NivelExibicao,MAX($AD$15:OFFSET(AD597,-1,0))+IF($C597&lt;&gt;1,1,MAX(1,COUNTIF(QCI!$A$13:$A$24,OFFSET($E597,-1,0)))),"")</f>
        <v/>
      </c>
      <c r="AE597" s="114" t="str">
        <f t="shared" ca="1" si="288"/>
        <v>SIURB 9013023</v>
      </c>
      <c r="AF597" s="159" t="str">
        <f t="shared" ca="1" si="289"/>
        <v>(abra o arquivo 'Referência 05-2024.xls)</v>
      </c>
      <c r="AG597" s="579">
        <f t="shared" ca="1" si="290"/>
        <v>0</v>
      </c>
      <c r="AH597" s="580">
        <f t="shared" ca="1" si="291"/>
        <v>0.22470000000000001</v>
      </c>
      <c r="AJ597" s="582">
        <v>2.9</v>
      </c>
      <c r="AL597" s="612"/>
      <c r="AM597" s="430">
        <f t="shared" ca="1" si="292"/>
        <v>0</v>
      </c>
      <c r="AN597" s="655">
        <f t="shared" ca="1" si="293"/>
        <v>0</v>
      </c>
    </row>
    <row r="598" spans="1:40" ht="13.8" x14ac:dyDescent="0.3">
      <c r="A598" t="str">
        <f t="shared" si="272"/>
        <v>S</v>
      </c>
      <c r="B598">
        <f t="shared" ca="1" si="273"/>
        <v>3</v>
      </c>
      <c r="C598" t="str">
        <f t="shared" ca="1" si="274"/>
        <v>S</v>
      </c>
      <c r="D598">
        <f t="shared" ca="1" si="275"/>
        <v>0</v>
      </c>
      <c r="E598">
        <f ca="1">IF($C598=1,OFFSET(E598,-1,0)+MAX(1,COUNTIF(QCI!$A$13:$A$24,OFFSET(ORÇAMENTO!E598,-1,0))),OFFSET(E598,-1,0))</f>
        <v>1</v>
      </c>
      <c r="F598">
        <f t="shared" ca="1" si="276"/>
        <v>18</v>
      </c>
      <c r="G598">
        <f t="shared" ca="1" si="277"/>
        <v>5</v>
      </c>
      <c r="H598">
        <f t="shared" ca="1" si="278"/>
        <v>0</v>
      </c>
      <c r="I598">
        <f t="shared" ca="1" si="279"/>
        <v>0</v>
      </c>
      <c r="J598">
        <f t="shared" ca="1" si="294"/>
        <v>0</v>
      </c>
      <c r="K598">
        <f ca="1">IF(OR($C598="S",$C598=0),0,MATCH(OFFSET($D598,0,$C598)+IF($C598&lt;&gt;1,1,COUNTIF(QCI!$A$13:$A$24,ORÇAMENTO!E598)),OFFSET($D598,1,$C598,ROW($C$710)-ROW($C598)),0))</f>
        <v>0</v>
      </c>
      <c r="L598" s="143" t="str">
        <f t="shared" ca="1" si="280"/>
        <v/>
      </c>
      <c r="M598" s="144" t="s">
        <v>201</v>
      </c>
      <c r="N598" s="145" t="str">
        <f t="shared" ca="1" si="281"/>
        <v>Serviço</v>
      </c>
      <c r="O598" s="146" t="str">
        <f t="shared" ca="1" si="282"/>
        <v>-</v>
      </c>
      <c r="P598" s="147" t="s">
        <v>441</v>
      </c>
      <c r="Q598" s="148" t="s">
        <v>610</v>
      </c>
      <c r="R598" s="149" t="str">
        <f t="shared" ca="1" si="295"/>
        <v>(abra o arquivo 'Referência 05-2024.xls)</v>
      </c>
      <c r="S598" s="150" t="str">
        <f t="shared" ca="1" si="296"/>
        <v>-</v>
      </c>
      <c r="T598" s="151">
        <f ca="1">OFFSET(CÁLCULO!H$15,ROW($T598)-ROW(T$15),0)</f>
        <v>19.7</v>
      </c>
      <c r="U598" s="152">
        <f t="shared" ca="1" si="297"/>
        <v>0</v>
      </c>
      <c r="V598" s="153" t="s">
        <v>158</v>
      </c>
      <c r="W598" s="151">
        <f t="shared" ca="1" si="283"/>
        <v>0</v>
      </c>
      <c r="X598" s="154">
        <f t="shared" ca="1" si="284"/>
        <v>0</v>
      </c>
      <c r="Y598" s="155" t="s">
        <v>583</v>
      </c>
      <c r="Z598" t="str">
        <f t="shared" ca="1" si="285"/>
        <v/>
      </c>
      <c r="AA598" s="156">
        <f ca="1">IF($C598="S",IF($Z598="CP",$X598,IF($Z598="RA",(($X598)*QCI!$AA$3),0)),SomaAgrup)</f>
        <v>0</v>
      </c>
      <c r="AB598" s="157">
        <f t="shared" ca="1" si="286"/>
        <v>0</v>
      </c>
      <c r="AC598" s="158" t="str">
        <f t="shared" ca="1" si="287"/>
        <v/>
      </c>
      <c r="AD598" s="104" t="str">
        <f ca="1">IF(C598&lt;=CRONO.NivelExibicao,MAX($AD$15:OFFSET(AD598,-1,0))+IF($C598&lt;&gt;1,1,MAX(1,COUNTIF(QCI!$A$13:$A$24,OFFSET($E598,-1,0)))),"")</f>
        <v/>
      </c>
      <c r="AE598" s="114" t="str">
        <f t="shared" ca="1" si="288"/>
        <v>Composição CP-49</v>
      </c>
      <c r="AF598" s="159" t="str">
        <f t="shared" ca="1" si="289"/>
        <v>(abra o arquivo 'Referência 05-2024.xls)</v>
      </c>
      <c r="AG598" s="579">
        <f t="shared" ca="1" si="290"/>
        <v>0</v>
      </c>
      <c r="AH598" s="580">
        <f t="shared" ca="1" si="291"/>
        <v>0.22470000000000001</v>
      </c>
      <c r="AJ598" s="582">
        <v>19.7</v>
      </c>
      <c r="AL598" s="612"/>
      <c r="AM598" s="430">
        <f t="shared" ca="1" si="292"/>
        <v>0</v>
      </c>
      <c r="AN598" s="655">
        <f t="shared" ca="1" si="293"/>
        <v>0</v>
      </c>
    </row>
    <row r="599" spans="1:40" ht="13.8" x14ac:dyDescent="0.3">
      <c r="A599" t="str">
        <f t="shared" si="272"/>
        <v>S</v>
      </c>
      <c r="B599">
        <f t="shared" ca="1" si="273"/>
        <v>3</v>
      </c>
      <c r="C599" t="str">
        <f t="shared" ca="1" si="274"/>
        <v>S</v>
      </c>
      <c r="D599">
        <f t="shared" ca="1" si="275"/>
        <v>0</v>
      </c>
      <c r="E599">
        <f ca="1">IF($C599=1,OFFSET(E599,-1,0)+MAX(1,COUNTIF(QCI!$A$13:$A$24,OFFSET(ORÇAMENTO!E599,-1,0))),OFFSET(E599,-1,0))</f>
        <v>1</v>
      </c>
      <c r="F599">
        <f t="shared" ca="1" si="276"/>
        <v>18</v>
      </c>
      <c r="G599">
        <f t="shared" ca="1" si="277"/>
        <v>5</v>
      </c>
      <c r="H599">
        <f t="shared" ca="1" si="278"/>
        <v>0</v>
      </c>
      <c r="I599">
        <f t="shared" ca="1" si="279"/>
        <v>0</v>
      </c>
      <c r="J599">
        <f t="shared" ca="1" si="294"/>
        <v>0</v>
      </c>
      <c r="K599">
        <f ca="1">IF(OR($C599="S",$C599=0),0,MATCH(OFFSET($D599,0,$C599)+IF($C599&lt;&gt;1,1,COUNTIF(QCI!$A$13:$A$24,ORÇAMENTO!E599)),OFFSET($D599,1,$C599,ROW($C$710)-ROW($C599)),0))</f>
        <v>0</v>
      </c>
      <c r="L599" s="143" t="str">
        <f t="shared" ca="1" si="280"/>
        <v/>
      </c>
      <c r="M599" s="144" t="s">
        <v>201</v>
      </c>
      <c r="N599" s="145" t="str">
        <f t="shared" ca="1" si="281"/>
        <v>Serviço</v>
      </c>
      <c r="O599" s="146" t="str">
        <f t="shared" ca="1" si="282"/>
        <v>-</v>
      </c>
      <c r="P599" s="147" t="s">
        <v>578</v>
      </c>
      <c r="Q599" s="148">
        <v>9013007</v>
      </c>
      <c r="R599" s="149" t="str">
        <f t="shared" ca="1" si="295"/>
        <v>(abra o arquivo 'Referência 05-2024.xls)</v>
      </c>
      <c r="S599" s="150" t="str">
        <f t="shared" ca="1" si="296"/>
        <v>-</v>
      </c>
      <c r="T599" s="151">
        <f ca="1">OFFSET(CÁLCULO!H$15,ROW($T599)-ROW(T$15),0)</f>
        <v>127.52</v>
      </c>
      <c r="U599" s="152">
        <f t="shared" ca="1" si="297"/>
        <v>0</v>
      </c>
      <c r="V599" s="153" t="s">
        <v>158</v>
      </c>
      <c r="W599" s="151">
        <f t="shared" ca="1" si="283"/>
        <v>0</v>
      </c>
      <c r="X599" s="154">
        <f t="shared" ca="1" si="284"/>
        <v>0</v>
      </c>
      <c r="Y599" s="155" t="s">
        <v>583</v>
      </c>
      <c r="Z599" t="str">
        <f t="shared" ca="1" si="285"/>
        <v/>
      </c>
      <c r="AA599" s="156">
        <f ca="1">IF($C599="S",IF($Z599="CP",$X599,IF($Z599="RA",(($X599)*QCI!$AA$3),0)),SomaAgrup)</f>
        <v>0</v>
      </c>
      <c r="AB599" s="157">
        <f t="shared" ca="1" si="286"/>
        <v>0</v>
      </c>
      <c r="AC599" s="158" t="str">
        <f t="shared" ca="1" si="287"/>
        <v/>
      </c>
      <c r="AD599" s="104" t="str">
        <f ca="1">IF(C599&lt;=CRONO.NivelExibicao,MAX($AD$15:OFFSET(AD599,-1,0))+IF($C599&lt;&gt;1,1,MAX(1,COUNTIF(QCI!$A$13:$A$24,OFFSET($E599,-1,0)))),"")</f>
        <v/>
      </c>
      <c r="AE599" s="114" t="str">
        <f t="shared" ca="1" si="288"/>
        <v>SIURB 9013007</v>
      </c>
      <c r="AF599" s="159" t="str">
        <f t="shared" ca="1" si="289"/>
        <v>(abra o arquivo 'Referência 05-2024.xls)</v>
      </c>
      <c r="AG599" s="579">
        <f t="shared" ca="1" si="290"/>
        <v>0</v>
      </c>
      <c r="AH599" s="580">
        <f t="shared" ca="1" si="291"/>
        <v>0.22470000000000001</v>
      </c>
      <c r="AJ599" s="582">
        <v>127.52</v>
      </c>
      <c r="AL599" s="612"/>
      <c r="AM599" s="430">
        <f t="shared" ca="1" si="292"/>
        <v>0</v>
      </c>
      <c r="AN599" s="655">
        <f t="shared" ca="1" si="293"/>
        <v>0</v>
      </c>
    </row>
    <row r="600" spans="1:40" ht="13.8" x14ac:dyDescent="0.3">
      <c r="A600">
        <f t="shared" si="272"/>
        <v>3</v>
      </c>
      <c r="B600">
        <f t="shared" ca="1" si="273"/>
        <v>3</v>
      </c>
      <c r="C600">
        <f t="shared" ca="1" si="274"/>
        <v>3</v>
      </c>
      <c r="D600">
        <f t="shared" ca="1" si="275"/>
        <v>18</v>
      </c>
      <c r="E600">
        <f ca="1">IF($C600=1,OFFSET(E600,-1,0)+MAX(1,COUNTIF(QCI!$A$13:$A$24,OFFSET(ORÇAMENTO!E600,-1,0))),OFFSET(E600,-1,0))</f>
        <v>1</v>
      </c>
      <c r="F600">
        <f t="shared" ca="1" si="276"/>
        <v>18</v>
      </c>
      <c r="G600">
        <f t="shared" ca="1" si="277"/>
        <v>6</v>
      </c>
      <c r="H600">
        <f t="shared" ca="1" si="278"/>
        <v>0</v>
      </c>
      <c r="I600">
        <f t="shared" ca="1" si="279"/>
        <v>0</v>
      </c>
      <c r="J600">
        <f t="shared" ca="1" si="294"/>
        <v>18</v>
      </c>
      <c r="K600" t="e">
        <f ca="1">IF(OR($C600="S",$C600=0),0,MATCH(OFFSET($D600,0,$C600)+IF($C600&lt;&gt;1,1,COUNTIF(QCI!$A$13:$A$24,ORÇAMENTO!E600)),OFFSET($D600,1,$C600,ROW($C$710)-ROW($C600)),0))</f>
        <v>#N/A</v>
      </c>
      <c r="L600" s="143" t="str">
        <f t="shared" ca="1" si="280"/>
        <v>F</v>
      </c>
      <c r="M600" s="144" t="s">
        <v>199</v>
      </c>
      <c r="N600" s="145" t="str">
        <f t="shared" ca="1" si="281"/>
        <v>Nível 3</v>
      </c>
      <c r="O600" s="146" t="str">
        <f t="shared" ca="1" si="282"/>
        <v>1.18.6.</v>
      </c>
      <c r="P600" s="147" t="s">
        <v>249</v>
      </c>
      <c r="Q600" s="148"/>
      <c r="R600" s="149" t="s">
        <v>552</v>
      </c>
      <c r="S600" s="150" t="s">
        <v>168</v>
      </c>
      <c r="T600" s="151">
        <f ca="1">OFFSET(CÁLCULO!H$15,ROW($T600)-ROW(T$15),0)</f>
        <v>0</v>
      </c>
      <c r="U600" s="152"/>
      <c r="V600" s="153" t="s">
        <v>158</v>
      </c>
      <c r="W600" s="151">
        <f t="shared" ca="1" si="283"/>
        <v>0</v>
      </c>
      <c r="X600" s="154">
        <f t="shared" ca="1" si="284"/>
        <v>0</v>
      </c>
      <c r="Y600" s="155" t="s">
        <v>583</v>
      </c>
      <c r="Z600" t="str">
        <f t="shared" ca="1" si="285"/>
        <v/>
      </c>
      <c r="AA600" s="156">
        <f ca="1">IF($C600="S",IF($Z600="CP",$X600,IF($Z600="RA",(($X600)*QCI!$AA$3),0)),SomaAgrup)</f>
        <v>0</v>
      </c>
      <c r="AB600" s="157">
        <f t="shared" ca="1" si="286"/>
        <v>0</v>
      </c>
      <c r="AC600" s="158" t="str">
        <f t="shared" ca="1" si="287"/>
        <v/>
      </c>
      <c r="AD600" s="104" t="str">
        <f ca="1">IF(C600&lt;=CRONO.NivelExibicao,MAX($AD$15:OFFSET(AD600,-1,0))+IF($C600&lt;&gt;1,1,MAX(1,COUNTIF(QCI!$A$13:$A$24,OFFSET($E600,-1,0)))),"")</f>
        <v/>
      </c>
      <c r="AE600" s="114" t="b">
        <f t="shared" ca="1" si="288"/>
        <v>0</v>
      </c>
      <c r="AF600" s="159" t="str">
        <f t="shared" ca="1" si="289"/>
        <v>(abra o arquivo 'Referência 05-2024.xls)</v>
      </c>
      <c r="AG600" s="579">
        <f t="shared" ca="1" si="290"/>
        <v>0</v>
      </c>
      <c r="AH600" s="580">
        <f t="shared" ca="1" si="291"/>
        <v>0.22470000000000001</v>
      </c>
      <c r="AJ600" s="582"/>
      <c r="AL600" s="612"/>
      <c r="AM600" s="430">
        <f t="shared" ca="1" si="292"/>
        <v>0</v>
      </c>
      <c r="AN600" s="655">
        <f t="shared" ca="1" si="293"/>
        <v>0</v>
      </c>
    </row>
    <row r="601" spans="1:40" ht="13.8" x14ac:dyDescent="0.3">
      <c r="A601" t="str">
        <f t="shared" si="272"/>
        <v>S</v>
      </c>
      <c r="B601">
        <f t="shared" ca="1" si="273"/>
        <v>3</v>
      </c>
      <c r="C601" t="str">
        <f t="shared" ca="1" si="274"/>
        <v>S</v>
      </c>
      <c r="D601">
        <f t="shared" ca="1" si="275"/>
        <v>0</v>
      </c>
      <c r="E601">
        <f ca="1">IF($C601=1,OFFSET(E601,-1,0)+MAX(1,COUNTIF(QCI!$A$13:$A$24,OFFSET(ORÇAMENTO!E601,-1,0))),OFFSET(E601,-1,0))</f>
        <v>1</v>
      </c>
      <c r="F601">
        <f t="shared" ca="1" si="276"/>
        <v>18</v>
      </c>
      <c r="G601">
        <f t="shared" ca="1" si="277"/>
        <v>6</v>
      </c>
      <c r="H601">
        <f t="shared" ca="1" si="278"/>
        <v>0</v>
      </c>
      <c r="I601">
        <f t="shared" ca="1" si="279"/>
        <v>0</v>
      </c>
      <c r="J601">
        <f t="shared" ca="1" si="294"/>
        <v>0</v>
      </c>
      <c r="K601">
        <f ca="1">IF(OR($C601="S",$C601=0),0,MATCH(OFFSET($D601,0,$C601)+IF($C601&lt;&gt;1,1,COUNTIF(QCI!$A$13:$A$24,ORÇAMENTO!E601)),OFFSET($D601,1,$C601,ROW($C$710)-ROW($C601)),0))</f>
        <v>0</v>
      </c>
      <c r="L601" s="143" t="str">
        <f t="shared" ca="1" si="280"/>
        <v/>
      </c>
      <c r="M601" s="144" t="s">
        <v>201</v>
      </c>
      <c r="N601" s="145" t="str">
        <f t="shared" ca="1" si="281"/>
        <v>Serviço</v>
      </c>
      <c r="O601" s="146" t="str">
        <f t="shared" ca="1" si="282"/>
        <v>-</v>
      </c>
      <c r="P601" s="147" t="s">
        <v>249</v>
      </c>
      <c r="Q601" s="148">
        <v>91996</v>
      </c>
      <c r="R601" s="149" t="str">
        <f t="shared" ref="R601:R617" ca="1" si="298">IF($C601="S",REFERENCIA.Descricao,"(digite a descrição aqui)")</f>
        <v>(abra o arquivo 'Referência 05-2024.xls)</v>
      </c>
      <c r="S601" s="150" t="str">
        <f t="shared" ref="S601:S617" ca="1" si="299">REFERENCIA.Unidade</f>
        <v>-</v>
      </c>
      <c r="T601" s="151">
        <f ca="1">OFFSET(CÁLCULO!H$15,ROW($T601)-ROW(T$15),0)</f>
        <v>160</v>
      </c>
      <c r="U601" s="152">
        <f t="shared" ca="1" si="297"/>
        <v>0</v>
      </c>
      <c r="V601" s="153" t="s">
        <v>158</v>
      </c>
      <c r="W601" s="151">
        <f t="shared" ca="1" si="283"/>
        <v>0</v>
      </c>
      <c r="X601" s="154">
        <f t="shared" ca="1" si="284"/>
        <v>0</v>
      </c>
      <c r="Y601" s="155" t="s">
        <v>583</v>
      </c>
      <c r="Z601" t="str">
        <f t="shared" ca="1" si="285"/>
        <v/>
      </c>
      <c r="AA601" s="156">
        <f ca="1">IF($C601="S",IF($Z601="CP",$X601,IF($Z601="RA",(($X601)*QCI!$AA$3),0)),SomaAgrup)</f>
        <v>0</v>
      </c>
      <c r="AB601" s="157">
        <f t="shared" ca="1" si="286"/>
        <v>0</v>
      </c>
      <c r="AC601" s="158" t="str">
        <f t="shared" ca="1" si="287"/>
        <v/>
      </c>
      <c r="AD601" s="104" t="str">
        <f ca="1">IF(C601&lt;=CRONO.NivelExibicao,MAX($AD$15:OFFSET(AD601,-1,0))+IF($C601&lt;&gt;1,1,MAX(1,COUNTIF(QCI!$A$13:$A$24,OFFSET($E601,-1,0)))),"")</f>
        <v/>
      </c>
      <c r="AE601" s="114" t="str">
        <f t="shared" ca="1" si="288"/>
        <v>SINAPI 91996</v>
      </c>
      <c r="AF601" s="159" t="str">
        <f t="shared" ca="1" si="289"/>
        <v>(abra o arquivo 'Referência 05-2024.xls)</v>
      </c>
      <c r="AG601" s="579">
        <f t="shared" ca="1" si="290"/>
        <v>0</v>
      </c>
      <c r="AH601" s="580">
        <f t="shared" ca="1" si="291"/>
        <v>0.22470000000000001</v>
      </c>
      <c r="AJ601" s="582">
        <v>160</v>
      </c>
      <c r="AL601" s="612"/>
      <c r="AM601" s="430">
        <f t="shared" ca="1" si="292"/>
        <v>0</v>
      </c>
      <c r="AN601" s="655">
        <f t="shared" ca="1" si="293"/>
        <v>0</v>
      </c>
    </row>
    <row r="602" spans="1:40" ht="13.8" x14ac:dyDescent="0.3">
      <c r="A602" t="str">
        <f t="shared" si="272"/>
        <v>S</v>
      </c>
      <c r="B602">
        <f t="shared" ca="1" si="273"/>
        <v>3</v>
      </c>
      <c r="C602" t="str">
        <f t="shared" ca="1" si="274"/>
        <v>S</v>
      </c>
      <c r="D602">
        <f t="shared" ca="1" si="275"/>
        <v>0</v>
      </c>
      <c r="E602">
        <f ca="1">IF($C602=1,OFFSET(E602,-1,0)+MAX(1,COUNTIF(QCI!$A$13:$A$24,OFFSET(ORÇAMENTO!E602,-1,0))),OFFSET(E602,-1,0))</f>
        <v>1</v>
      </c>
      <c r="F602">
        <f t="shared" ca="1" si="276"/>
        <v>18</v>
      </c>
      <c r="G602">
        <f t="shared" ca="1" si="277"/>
        <v>6</v>
      </c>
      <c r="H602">
        <f t="shared" ca="1" si="278"/>
        <v>0</v>
      </c>
      <c r="I602">
        <f t="shared" ca="1" si="279"/>
        <v>0</v>
      </c>
      <c r="J602">
        <f t="shared" ca="1" si="294"/>
        <v>0</v>
      </c>
      <c r="K602">
        <f ca="1">IF(OR($C602="S",$C602=0),0,MATCH(OFFSET($D602,0,$C602)+IF($C602&lt;&gt;1,1,COUNTIF(QCI!$A$13:$A$24,ORÇAMENTO!E602)),OFFSET($D602,1,$C602,ROW($C$710)-ROW($C602)),0))</f>
        <v>0</v>
      </c>
      <c r="L602" s="143" t="str">
        <f t="shared" ca="1" si="280"/>
        <v/>
      </c>
      <c r="M602" s="144" t="s">
        <v>201</v>
      </c>
      <c r="N602" s="145" t="str">
        <f t="shared" ca="1" si="281"/>
        <v>Serviço</v>
      </c>
      <c r="O602" s="146" t="str">
        <f t="shared" ca="1" si="282"/>
        <v>-</v>
      </c>
      <c r="P602" s="147" t="s">
        <v>249</v>
      </c>
      <c r="Q602" s="148">
        <v>91997</v>
      </c>
      <c r="R602" s="149" t="str">
        <f t="shared" ca="1" si="298"/>
        <v>(abra o arquivo 'Referência 05-2024.xls)</v>
      </c>
      <c r="S602" s="150" t="str">
        <f t="shared" ca="1" si="299"/>
        <v>-</v>
      </c>
      <c r="T602" s="151">
        <f ca="1">OFFSET(CÁLCULO!H$15,ROW($T602)-ROW(T$15),0)</f>
        <v>28</v>
      </c>
      <c r="U602" s="152">
        <f t="shared" ca="1" si="297"/>
        <v>0</v>
      </c>
      <c r="V602" s="153" t="s">
        <v>158</v>
      </c>
      <c r="W602" s="151">
        <f t="shared" ca="1" si="283"/>
        <v>0</v>
      </c>
      <c r="X602" s="154">
        <f t="shared" ca="1" si="284"/>
        <v>0</v>
      </c>
      <c r="Y602" s="155" t="s">
        <v>583</v>
      </c>
      <c r="Z602" t="str">
        <f t="shared" ca="1" si="285"/>
        <v/>
      </c>
      <c r="AA602" s="156">
        <f ca="1">IF($C602="S",IF($Z602="CP",$X602,IF($Z602="RA",(($X602)*QCI!$AA$3),0)),SomaAgrup)</f>
        <v>0</v>
      </c>
      <c r="AB602" s="157">
        <f t="shared" ca="1" si="286"/>
        <v>0</v>
      </c>
      <c r="AC602" s="158" t="str">
        <f t="shared" ca="1" si="287"/>
        <v/>
      </c>
      <c r="AD602" s="104" t="str">
        <f ca="1">IF(C602&lt;=CRONO.NivelExibicao,MAX($AD$15:OFFSET(AD602,-1,0))+IF($C602&lt;&gt;1,1,MAX(1,COUNTIF(QCI!$A$13:$A$24,OFFSET($E602,-1,0)))),"")</f>
        <v/>
      </c>
      <c r="AE602" s="114" t="str">
        <f t="shared" ca="1" si="288"/>
        <v>SINAPI 91997</v>
      </c>
      <c r="AF602" s="159" t="str">
        <f t="shared" ca="1" si="289"/>
        <v>(abra o arquivo 'Referência 05-2024.xls)</v>
      </c>
      <c r="AG602" s="579">
        <f t="shared" ca="1" si="290"/>
        <v>0</v>
      </c>
      <c r="AH602" s="580">
        <f t="shared" ca="1" si="291"/>
        <v>0.22470000000000001</v>
      </c>
      <c r="AJ602" s="582">
        <v>28</v>
      </c>
      <c r="AL602" s="612"/>
      <c r="AM602" s="430">
        <f t="shared" ca="1" si="292"/>
        <v>0</v>
      </c>
      <c r="AN602" s="655">
        <f t="shared" ca="1" si="293"/>
        <v>0</v>
      </c>
    </row>
    <row r="603" spans="1:40" ht="13.8" x14ac:dyDescent="0.3">
      <c r="A603" t="str">
        <f t="shared" si="272"/>
        <v>S</v>
      </c>
      <c r="B603">
        <f t="shared" ca="1" si="273"/>
        <v>3</v>
      </c>
      <c r="C603" t="str">
        <f t="shared" ca="1" si="274"/>
        <v>S</v>
      </c>
      <c r="D603">
        <f t="shared" ca="1" si="275"/>
        <v>0</v>
      </c>
      <c r="E603">
        <f ca="1">IF($C603=1,OFFSET(E603,-1,0)+MAX(1,COUNTIF(QCI!$A$13:$A$24,OFFSET(ORÇAMENTO!E603,-1,0))),OFFSET(E603,-1,0))</f>
        <v>1</v>
      </c>
      <c r="F603">
        <f t="shared" ca="1" si="276"/>
        <v>18</v>
      </c>
      <c r="G603">
        <f t="shared" ca="1" si="277"/>
        <v>6</v>
      </c>
      <c r="H603">
        <f t="shared" ca="1" si="278"/>
        <v>0</v>
      </c>
      <c r="I603">
        <f t="shared" ca="1" si="279"/>
        <v>0</v>
      </c>
      <c r="J603">
        <f t="shared" ca="1" si="294"/>
        <v>0</v>
      </c>
      <c r="K603">
        <f ca="1">IF(OR($C603="S",$C603=0),0,MATCH(OFFSET($D603,0,$C603)+IF($C603&lt;&gt;1,1,COUNTIF(QCI!$A$13:$A$24,ORÇAMENTO!E603)),OFFSET($D603,1,$C603,ROW($C$710)-ROW($C603)),0))</f>
        <v>0</v>
      </c>
      <c r="L603" s="143" t="str">
        <f t="shared" ca="1" si="280"/>
        <v/>
      </c>
      <c r="M603" s="144" t="s">
        <v>201</v>
      </c>
      <c r="N603" s="145" t="str">
        <f t="shared" ca="1" si="281"/>
        <v>Serviço</v>
      </c>
      <c r="O603" s="146" t="str">
        <f t="shared" ca="1" si="282"/>
        <v>-</v>
      </c>
      <c r="P603" s="147" t="s">
        <v>249</v>
      </c>
      <c r="Q603" s="148">
        <v>92029</v>
      </c>
      <c r="R603" s="149" t="str">
        <f t="shared" ca="1" si="298"/>
        <v>(abra o arquivo 'Referência 05-2024.xls)</v>
      </c>
      <c r="S603" s="150" t="str">
        <f t="shared" ca="1" si="299"/>
        <v>-</v>
      </c>
      <c r="T603" s="151">
        <f ca="1">OFFSET(CÁLCULO!H$15,ROW($T603)-ROW(T$15),0)</f>
        <v>5</v>
      </c>
      <c r="U603" s="152">
        <f t="shared" ca="1" si="297"/>
        <v>0</v>
      </c>
      <c r="V603" s="153" t="s">
        <v>158</v>
      </c>
      <c r="W603" s="151">
        <f t="shared" ca="1" si="283"/>
        <v>0</v>
      </c>
      <c r="X603" s="154">
        <f t="shared" ca="1" si="284"/>
        <v>0</v>
      </c>
      <c r="Y603" s="155" t="s">
        <v>583</v>
      </c>
      <c r="Z603" t="str">
        <f t="shared" ca="1" si="285"/>
        <v/>
      </c>
      <c r="AA603" s="156">
        <f ca="1">IF($C603="S",IF($Z603="CP",$X603,IF($Z603="RA",(($X603)*QCI!$AA$3),0)),SomaAgrup)</f>
        <v>0</v>
      </c>
      <c r="AB603" s="157">
        <f t="shared" ca="1" si="286"/>
        <v>0</v>
      </c>
      <c r="AC603" s="158" t="str">
        <f t="shared" ca="1" si="287"/>
        <v/>
      </c>
      <c r="AD603" s="104" t="str">
        <f ca="1">IF(C603&lt;=CRONO.NivelExibicao,MAX($AD$15:OFFSET(AD603,-1,0))+IF($C603&lt;&gt;1,1,MAX(1,COUNTIF(QCI!$A$13:$A$24,OFFSET($E603,-1,0)))),"")</f>
        <v/>
      </c>
      <c r="AE603" s="114" t="str">
        <f t="shared" ca="1" si="288"/>
        <v>SINAPI 92029</v>
      </c>
      <c r="AF603" s="159" t="str">
        <f t="shared" ca="1" si="289"/>
        <v>(abra o arquivo 'Referência 05-2024.xls)</v>
      </c>
      <c r="AG603" s="579">
        <f t="shared" ca="1" si="290"/>
        <v>0</v>
      </c>
      <c r="AH603" s="580">
        <f t="shared" ca="1" si="291"/>
        <v>0.22470000000000001</v>
      </c>
      <c r="AJ603" s="582">
        <v>5</v>
      </c>
      <c r="AL603" s="612"/>
      <c r="AM603" s="430">
        <f t="shared" ca="1" si="292"/>
        <v>0</v>
      </c>
      <c r="AN603" s="655">
        <f t="shared" ca="1" si="293"/>
        <v>0</v>
      </c>
    </row>
    <row r="604" spans="1:40" ht="13.8" x14ac:dyDescent="0.3">
      <c r="A604" t="str">
        <f t="shared" si="272"/>
        <v>S</v>
      </c>
      <c r="B604">
        <f t="shared" ca="1" si="273"/>
        <v>3</v>
      </c>
      <c r="C604" t="str">
        <f t="shared" ca="1" si="274"/>
        <v>S</v>
      </c>
      <c r="D604">
        <f t="shared" ca="1" si="275"/>
        <v>0</v>
      </c>
      <c r="E604">
        <f ca="1">IF($C604=1,OFFSET(E604,-1,0)+MAX(1,COUNTIF(QCI!$A$13:$A$24,OFFSET(ORÇAMENTO!E604,-1,0))),OFFSET(E604,-1,0))</f>
        <v>1</v>
      </c>
      <c r="F604">
        <f t="shared" ca="1" si="276"/>
        <v>18</v>
      </c>
      <c r="G604">
        <f t="shared" ca="1" si="277"/>
        <v>6</v>
      </c>
      <c r="H604">
        <f t="shared" ca="1" si="278"/>
        <v>0</v>
      </c>
      <c r="I604">
        <f t="shared" ca="1" si="279"/>
        <v>0</v>
      </c>
      <c r="J604">
        <f t="shared" ca="1" si="294"/>
        <v>0</v>
      </c>
      <c r="K604">
        <f ca="1">IF(OR($C604="S",$C604=0),0,MATCH(OFFSET($D604,0,$C604)+IF($C604&lt;&gt;1,1,COUNTIF(QCI!$A$13:$A$24,ORÇAMENTO!E604)),OFFSET($D604,1,$C604,ROW($C$710)-ROW($C604)),0))</f>
        <v>0</v>
      </c>
      <c r="L604" s="143" t="str">
        <f t="shared" ca="1" si="280"/>
        <v/>
      </c>
      <c r="M604" s="144" t="s">
        <v>201</v>
      </c>
      <c r="N604" s="145" t="str">
        <f t="shared" ca="1" si="281"/>
        <v>Serviço</v>
      </c>
      <c r="O604" s="146" t="str">
        <f t="shared" ca="1" si="282"/>
        <v>-</v>
      </c>
      <c r="P604" s="147" t="s">
        <v>249</v>
      </c>
      <c r="Q604" s="148">
        <v>92027</v>
      </c>
      <c r="R604" s="149" t="str">
        <f t="shared" ca="1" si="298"/>
        <v>(abra o arquivo 'Referência 05-2024.xls)</v>
      </c>
      <c r="S604" s="150" t="str">
        <f t="shared" ca="1" si="299"/>
        <v>-</v>
      </c>
      <c r="T604" s="151">
        <f ca="1">OFFSET(CÁLCULO!H$15,ROW($T604)-ROW(T$15),0)</f>
        <v>4</v>
      </c>
      <c r="U604" s="152">
        <f t="shared" ca="1" si="297"/>
        <v>0</v>
      </c>
      <c r="V604" s="153" t="s">
        <v>158</v>
      </c>
      <c r="W604" s="151">
        <f t="shared" ca="1" si="283"/>
        <v>0</v>
      </c>
      <c r="X604" s="154">
        <f t="shared" ca="1" si="284"/>
        <v>0</v>
      </c>
      <c r="Y604" s="155" t="s">
        <v>583</v>
      </c>
      <c r="Z604" t="str">
        <f t="shared" ca="1" si="285"/>
        <v/>
      </c>
      <c r="AA604" s="156">
        <f ca="1">IF($C604="S",IF($Z604="CP",$X604,IF($Z604="RA",(($X604)*QCI!$AA$3),0)),SomaAgrup)</f>
        <v>0</v>
      </c>
      <c r="AB604" s="157">
        <f t="shared" ca="1" si="286"/>
        <v>0</v>
      </c>
      <c r="AC604" s="158" t="str">
        <f t="shared" ca="1" si="287"/>
        <v/>
      </c>
      <c r="AD604" s="104" t="str">
        <f ca="1">IF(C604&lt;=CRONO.NivelExibicao,MAX($AD$15:OFFSET(AD604,-1,0))+IF($C604&lt;&gt;1,1,MAX(1,COUNTIF(QCI!$A$13:$A$24,OFFSET($E604,-1,0)))),"")</f>
        <v/>
      </c>
      <c r="AE604" s="114" t="str">
        <f t="shared" ca="1" si="288"/>
        <v>SINAPI 92027</v>
      </c>
      <c r="AF604" s="159" t="str">
        <f t="shared" ca="1" si="289"/>
        <v>(abra o arquivo 'Referência 05-2024.xls)</v>
      </c>
      <c r="AG604" s="579">
        <f t="shared" ca="1" si="290"/>
        <v>0</v>
      </c>
      <c r="AH604" s="580">
        <f t="shared" ca="1" si="291"/>
        <v>0.22470000000000001</v>
      </c>
      <c r="AJ604" s="582">
        <v>4</v>
      </c>
      <c r="AL604" s="612"/>
      <c r="AM604" s="430">
        <f t="shared" ca="1" si="292"/>
        <v>0</v>
      </c>
      <c r="AN604" s="655">
        <f t="shared" ca="1" si="293"/>
        <v>0</v>
      </c>
    </row>
    <row r="605" spans="1:40" ht="13.8" x14ac:dyDescent="0.3">
      <c r="A605" t="str">
        <f t="shared" si="272"/>
        <v>S</v>
      </c>
      <c r="B605">
        <f t="shared" ca="1" si="273"/>
        <v>3</v>
      </c>
      <c r="C605" t="str">
        <f t="shared" ca="1" si="274"/>
        <v>S</v>
      </c>
      <c r="D605">
        <f t="shared" ca="1" si="275"/>
        <v>0</v>
      </c>
      <c r="E605">
        <f ca="1">IF($C605=1,OFFSET(E605,-1,0)+MAX(1,COUNTIF(QCI!$A$13:$A$24,OFFSET(ORÇAMENTO!E605,-1,0))),OFFSET(E605,-1,0))</f>
        <v>1</v>
      </c>
      <c r="F605">
        <f t="shared" ca="1" si="276"/>
        <v>18</v>
      </c>
      <c r="G605">
        <f t="shared" ca="1" si="277"/>
        <v>6</v>
      </c>
      <c r="H605">
        <f t="shared" ca="1" si="278"/>
        <v>0</v>
      </c>
      <c r="I605">
        <f t="shared" ca="1" si="279"/>
        <v>0</v>
      </c>
      <c r="J605">
        <f t="shared" ca="1" si="294"/>
        <v>0</v>
      </c>
      <c r="K605">
        <f ca="1">IF(OR($C605="S",$C605=0),0,MATCH(OFFSET($D605,0,$C605)+IF($C605&lt;&gt;1,1,COUNTIF(QCI!$A$13:$A$24,ORÇAMENTO!E605)),OFFSET($D605,1,$C605,ROW($C$710)-ROW($C605)),0))</f>
        <v>0</v>
      </c>
      <c r="L605" s="143" t="str">
        <f t="shared" ca="1" si="280"/>
        <v/>
      </c>
      <c r="M605" s="144" t="s">
        <v>201</v>
      </c>
      <c r="N605" s="145" t="str">
        <f t="shared" ca="1" si="281"/>
        <v>Serviço</v>
      </c>
      <c r="O605" s="146" t="str">
        <f t="shared" ca="1" si="282"/>
        <v>-</v>
      </c>
      <c r="P605" s="147" t="s">
        <v>249</v>
      </c>
      <c r="Q605" s="148">
        <v>92023</v>
      </c>
      <c r="R605" s="149" t="str">
        <f t="shared" ca="1" si="298"/>
        <v>(abra o arquivo 'Referência 05-2024.xls)</v>
      </c>
      <c r="S605" s="150" t="str">
        <f t="shared" ca="1" si="299"/>
        <v>-</v>
      </c>
      <c r="T605" s="151">
        <f ca="1">OFFSET(CÁLCULO!H$15,ROW($T605)-ROW(T$15),0)</f>
        <v>8</v>
      </c>
      <c r="U605" s="152">
        <f t="shared" ca="1" si="297"/>
        <v>0</v>
      </c>
      <c r="V605" s="153" t="s">
        <v>158</v>
      </c>
      <c r="W605" s="151">
        <f t="shared" ca="1" si="283"/>
        <v>0</v>
      </c>
      <c r="X605" s="154">
        <f t="shared" ca="1" si="284"/>
        <v>0</v>
      </c>
      <c r="Y605" s="155" t="s">
        <v>583</v>
      </c>
      <c r="Z605" t="str">
        <f t="shared" ca="1" si="285"/>
        <v/>
      </c>
      <c r="AA605" s="156">
        <f ca="1">IF($C605="S",IF($Z605="CP",$X605,IF($Z605="RA",(($X605)*QCI!$AA$3),0)),SomaAgrup)</f>
        <v>0</v>
      </c>
      <c r="AB605" s="157">
        <f t="shared" ca="1" si="286"/>
        <v>0</v>
      </c>
      <c r="AC605" s="158" t="str">
        <f t="shared" ca="1" si="287"/>
        <v/>
      </c>
      <c r="AD605" s="104" t="str">
        <f ca="1">IF(C605&lt;=CRONO.NivelExibicao,MAX($AD$15:OFFSET(AD605,-1,0))+IF($C605&lt;&gt;1,1,MAX(1,COUNTIF(QCI!$A$13:$A$24,OFFSET($E605,-1,0)))),"")</f>
        <v/>
      </c>
      <c r="AE605" s="114" t="str">
        <f t="shared" ca="1" si="288"/>
        <v>SINAPI 92023</v>
      </c>
      <c r="AF605" s="159" t="str">
        <f t="shared" ca="1" si="289"/>
        <v>(abra o arquivo 'Referência 05-2024.xls)</v>
      </c>
      <c r="AG605" s="579">
        <f t="shared" ca="1" si="290"/>
        <v>0</v>
      </c>
      <c r="AH605" s="580">
        <f t="shared" ca="1" si="291"/>
        <v>0.22470000000000001</v>
      </c>
      <c r="AJ605" s="582">
        <v>8</v>
      </c>
      <c r="AL605" s="612"/>
      <c r="AM605" s="430">
        <f t="shared" ca="1" si="292"/>
        <v>0</v>
      </c>
      <c r="AN605" s="655">
        <f t="shared" ca="1" si="293"/>
        <v>0</v>
      </c>
    </row>
    <row r="606" spans="1:40" ht="13.8" x14ac:dyDescent="0.3">
      <c r="A606" t="str">
        <f t="shared" si="272"/>
        <v>S</v>
      </c>
      <c r="B606">
        <f t="shared" ca="1" si="273"/>
        <v>3</v>
      </c>
      <c r="C606" t="str">
        <f t="shared" ca="1" si="274"/>
        <v>S</v>
      </c>
      <c r="D606">
        <f t="shared" ca="1" si="275"/>
        <v>0</v>
      </c>
      <c r="E606">
        <f ca="1">IF($C606=1,OFFSET(E606,-1,0)+MAX(1,COUNTIF(QCI!$A$13:$A$24,OFFSET(ORÇAMENTO!E606,-1,0))),OFFSET(E606,-1,0))</f>
        <v>1</v>
      </c>
      <c r="F606">
        <f t="shared" ca="1" si="276"/>
        <v>18</v>
      </c>
      <c r="G606">
        <f t="shared" ca="1" si="277"/>
        <v>6</v>
      </c>
      <c r="H606">
        <f t="shared" ca="1" si="278"/>
        <v>0</v>
      </c>
      <c r="I606">
        <f t="shared" ca="1" si="279"/>
        <v>0</v>
      </c>
      <c r="J606">
        <f t="shared" ca="1" si="294"/>
        <v>0</v>
      </c>
      <c r="K606">
        <f ca="1">IF(OR($C606="S",$C606=0),0,MATCH(OFFSET($D606,0,$C606)+IF($C606&lt;&gt;1,1,COUNTIF(QCI!$A$13:$A$24,ORÇAMENTO!E606)),OFFSET($D606,1,$C606,ROW($C$710)-ROW($C606)),0))</f>
        <v>0</v>
      </c>
      <c r="L606" s="143" t="str">
        <f t="shared" ca="1" si="280"/>
        <v/>
      </c>
      <c r="M606" s="144" t="s">
        <v>201</v>
      </c>
      <c r="N606" s="145" t="str">
        <f t="shared" ca="1" si="281"/>
        <v>Serviço</v>
      </c>
      <c r="O606" s="146" t="str">
        <f t="shared" ca="1" si="282"/>
        <v>-</v>
      </c>
      <c r="P606" s="147" t="s">
        <v>249</v>
      </c>
      <c r="Q606" s="148">
        <v>91953</v>
      </c>
      <c r="R606" s="149" t="str">
        <f t="shared" ca="1" si="298"/>
        <v>(abra o arquivo 'Referência 05-2024.xls)</v>
      </c>
      <c r="S606" s="150" t="str">
        <f t="shared" ca="1" si="299"/>
        <v>-</v>
      </c>
      <c r="T606" s="151">
        <f ca="1">OFFSET(CÁLCULO!H$15,ROW($T606)-ROW(T$15),0)</f>
        <v>23</v>
      </c>
      <c r="U606" s="152">
        <f t="shared" ca="1" si="297"/>
        <v>0</v>
      </c>
      <c r="V606" s="153" t="s">
        <v>158</v>
      </c>
      <c r="W606" s="151">
        <f t="shared" ca="1" si="283"/>
        <v>0</v>
      </c>
      <c r="X606" s="154">
        <f t="shared" ca="1" si="284"/>
        <v>0</v>
      </c>
      <c r="Y606" s="155" t="s">
        <v>583</v>
      </c>
      <c r="Z606" t="str">
        <f t="shared" ca="1" si="285"/>
        <v/>
      </c>
      <c r="AA606" s="156">
        <f ca="1">IF($C606="S",IF($Z606="CP",$X606,IF($Z606="RA",(($X606)*QCI!$AA$3),0)),SomaAgrup)</f>
        <v>0</v>
      </c>
      <c r="AB606" s="157">
        <f t="shared" ca="1" si="286"/>
        <v>0</v>
      </c>
      <c r="AC606" s="158" t="str">
        <f t="shared" ca="1" si="287"/>
        <v/>
      </c>
      <c r="AD606" s="104" t="str">
        <f ca="1">IF(C606&lt;=CRONO.NivelExibicao,MAX($AD$15:OFFSET(AD606,-1,0))+IF($C606&lt;&gt;1,1,MAX(1,COUNTIF(QCI!$A$13:$A$24,OFFSET($E606,-1,0)))),"")</f>
        <v/>
      </c>
      <c r="AE606" s="114" t="str">
        <f t="shared" ca="1" si="288"/>
        <v>SINAPI 91953</v>
      </c>
      <c r="AF606" s="159" t="str">
        <f t="shared" ca="1" si="289"/>
        <v>(abra o arquivo 'Referência 05-2024.xls)</v>
      </c>
      <c r="AG606" s="579">
        <f t="shared" ca="1" si="290"/>
        <v>0</v>
      </c>
      <c r="AH606" s="580">
        <f t="shared" ca="1" si="291"/>
        <v>0.22470000000000001</v>
      </c>
      <c r="AJ606" s="582">
        <v>23</v>
      </c>
      <c r="AL606" s="612"/>
      <c r="AM606" s="430">
        <f t="shared" ca="1" si="292"/>
        <v>0</v>
      </c>
      <c r="AN606" s="655">
        <f t="shared" ca="1" si="293"/>
        <v>0</v>
      </c>
    </row>
    <row r="607" spans="1:40" ht="13.8" x14ac:dyDescent="0.3">
      <c r="A607" t="str">
        <f t="shared" si="272"/>
        <v>S</v>
      </c>
      <c r="B607">
        <f t="shared" ca="1" si="273"/>
        <v>3</v>
      </c>
      <c r="C607" t="str">
        <f t="shared" ca="1" si="274"/>
        <v>S</v>
      </c>
      <c r="D607">
        <f t="shared" ca="1" si="275"/>
        <v>0</v>
      </c>
      <c r="E607">
        <f ca="1">IF($C607=1,OFFSET(E607,-1,0)+MAX(1,COUNTIF(QCI!$A$13:$A$24,OFFSET(ORÇAMENTO!E607,-1,0))),OFFSET(E607,-1,0))</f>
        <v>1</v>
      </c>
      <c r="F607">
        <f t="shared" ca="1" si="276"/>
        <v>18</v>
      </c>
      <c r="G607">
        <f t="shared" ca="1" si="277"/>
        <v>6</v>
      </c>
      <c r="H607">
        <f t="shared" ca="1" si="278"/>
        <v>0</v>
      </c>
      <c r="I607">
        <f t="shared" ca="1" si="279"/>
        <v>0</v>
      </c>
      <c r="J607">
        <f t="shared" ca="1" si="294"/>
        <v>0</v>
      </c>
      <c r="K607">
        <f ca="1">IF(OR($C607="S",$C607=0),0,MATCH(OFFSET($D607,0,$C607)+IF($C607&lt;&gt;1,1,COUNTIF(QCI!$A$13:$A$24,ORÇAMENTO!E607)),OFFSET($D607,1,$C607,ROW($C$710)-ROW($C607)),0))</f>
        <v>0</v>
      </c>
      <c r="L607" s="143" t="str">
        <f t="shared" ca="1" si="280"/>
        <v/>
      </c>
      <c r="M607" s="144" t="s">
        <v>201</v>
      </c>
      <c r="N607" s="145" t="str">
        <f t="shared" ca="1" si="281"/>
        <v>Serviço</v>
      </c>
      <c r="O607" s="146" t="str">
        <f t="shared" ca="1" si="282"/>
        <v>-</v>
      </c>
      <c r="P607" s="147" t="s">
        <v>249</v>
      </c>
      <c r="Q607" s="148">
        <v>91959</v>
      </c>
      <c r="R607" s="149" t="str">
        <f t="shared" ca="1" si="298"/>
        <v>(abra o arquivo 'Referência 05-2024.xls)</v>
      </c>
      <c r="S607" s="150" t="str">
        <f t="shared" ca="1" si="299"/>
        <v>-</v>
      </c>
      <c r="T607" s="151">
        <f ca="1">OFFSET(CÁLCULO!H$15,ROW($T607)-ROW(T$15),0)</f>
        <v>9</v>
      </c>
      <c r="U607" s="152">
        <f t="shared" ca="1" si="297"/>
        <v>0</v>
      </c>
      <c r="V607" s="153" t="s">
        <v>158</v>
      </c>
      <c r="W607" s="151">
        <f t="shared" ca="1" si="283"/>
        <v>0</v>
      </c>
      <c r="X607" s="154">
        <f t="shared" ca="1" si="284"/>
        <v>0</v>
      </c>
      <c r="Y607" s="155" t="s">
        <v>583</v>
      </c>
      <c r="Z607" t="str">
        <f t="shared" ca="1" si="285"/>
        <v/>
      </c>
      <c r="AA607" s="156">
        <f ca="1">IF($C607="S",IF($Z607="CP",$X607,IF($Z607="RA",(($X607)*QCI!$AA$3),0)),SomaAgrup)</f>
        <v>0</v>
      </c>
      <c r="AB607" s="157">
        <f t="shared" ca="1" si="286"/>
        <v>0</v>
      </c>
      <c r="AC607" s="158" t="str">
        <f t="shared" ca="1" si="287"/>
        <v/>
      </c>
      <c r="AD607" s="104" t="str">
        <f ca="1">IF(C607&lt;=CRONO.NivelExibicao,MAX($AD$15:OFFSET(AD607,-1,0))+IF($C607&lt;&gt;1,1,MAX(1,COUNTIF(QCI!$A$13:$A$24,OFFSET($E607,-1,0)))),"")</f>
        <v/>
      </c>
      <c r="AE607" s="114" t="str">
        <f t="shared" ca="1" si="288"/>
        <v>SINAPI 91959</v>
      </c>
      <c r="AF607" s="159" t="str">
        <f t="shared" ca="1" si="289"/>
        <v>(abra o arquivo 'Referência 05-2024.xls)</v>
      </c>
      <c r="AG607" s="579">
        <f t="shared" ca="1" si="290"/>
        <v>0</v>
      </c>
      <c r="AH607" s="580">
        <f t="shared" ca="1" si="291"/>
        <v>0.22470000000000001</v>
      </c>
      <c r="AJ607" s="582">
        <v>9</v>
      </c>
      <c r="AL607" s="612"/>
      <c r="AM607" s="430">
        <f t="shared" ca="1" si="292"/>
        <v>0</v>
      </c>
      <c r="AN607" s="655">
        <f t="shared" ca="1" si="293"/>
        <v>0</v>
      </c>
    </row>
    <row r="608" spans="1:40" ht="13.8" x14ac:dyDescent="0.3">
      <c r="A608" t="str">
        <f t="shared" si="272"/>
        <v>S</v>
      </c>
      <c r="B608">
        <f t="shared" ca="1" si="273"/>
        <v>3</v>
      </c>
      <c r="C608" t="str">
        <f t="shared" ca="1" si="274"/>
        <v>S</v>
      </c>
      <c r="D608">
        <f t="shared" ca="1" si="275"/>
        <v>0</v>
      </c>
      <c r="E608">
        <f ca="1">IF($C608=1,OFFSET(E608,-1,0)+MAX(1,COUNTIF(QCI!$A$13:$A$24,OFFSET(ORÇAMENTO!E608,-1,0))),OFFSET(E608,-1,0))</f>
        <v>1</v>
      </c>
      <c r="F608">
        <f t="shared" ca="1" si="276"/>
        <v>18</v>
      </c>
      <c r="G608">
        <f t="shared" ca="1" si="277"/>
        <v>6</v>
      </c>
      <c r="H608">
        <f t="shared" ca="1" si="278"/>
        <v>0</v>
      </c>
      <c r="I608">
        <f t="shared" ca="1" si="279"/>
        <v>0</v>
      </c>
      <c r="J608">
        <f t="shared" ca="1" si="294"/>
        <v>0</v>
      </c>
      <c r="K608">
        <f ca="1">IF(OR($C608="S",$C608=0),0,MATCH(OFFSET($D608,0,$C608)+IF($C608&lt;&gt;1,1,COUNTIF(QCI!$A$13:$A$24,ORÇAMENTO!E608)),OFFSET($D608,1,$C608,ROW($C$710)-ROW($C608)),0))</f>
        <v>0</v>
      </c>
      <c r="L608" s="143" t="str">
        <f t="shared" ca="1" si="280"/>
        <v/>
      </c>
      <c r="M608" s="144" t="s">
        <v>201</v>
      </c>
      <c r="N608" s="145" t="str">
        <f t="shared" ca="1" si="281"/>
        <v>Serviço</v>
      </c>
      <c r="O608" s="146" t="str">
        <f t="shared" ca="1" si="282"/>
        <v>-</v>
      </c>
      <c r="P608" s="147" t="s">
        <v>249</v>
      </c>
      <c r="Q608" s="148">
        <v>91967</v>
      </c>
      <c r="R608" s="149" t="str">
        <f t="shared" ca="1" si="298"/>
        <v>(abra o arquivo 'Referência 05-2024.xls)</v>
      </c>
      <c r="S608" s="150" t="str">
        <f t="shared" ca="1" si="299"/>
        <v>-</v>
      </c>
      <c r="T608" s="151">
        <f ca="1">OFFSET(CÁLCULO!H$15,ROW($T608)-ROW(T$15),0)</f>
        <v>2</v>
      </c>
      <c r="U608" s="152">
        <f t="shared" ca="1" si="297"/>
        <v>0</v>
      </c>
      <c r="V608" s="153" t="s">
        <v>158</v>
      </c>
      <c r="W608" s="151">
        <f t="shared" ca="1" si="283"/>
        <v>0</v>
      </c>
      <c r="X608" s="154">
        <f t="shared" ca="1" si="284"/>
        <v>0</v>
      </c>
      <c r="Y608" s="155" t="s">
        <v>583</v>
      </c>
      <c r="Z608" t="str">
        <f t="shared" ca="1" si="285"/>
        <v/>
      </c>
      <c r="AA608" s="156">
        <f ca="1">IF($C608="S",IF($Z608="CP",$X608,IF($Z608="RA",(($X608)*QCI!$AA$3),0)),SomaAgrup)</f>
        <v>0</v>
      </c>
      <c r="AB608" s="157">
        <f t="shared" ca="1" si="286"/>
        <v>0</v>
      </c>
      <c r="AC608" s="158" t="str">
        <f t="shared" ca="1" si="287"/>
        <v/>
      </c>
      <c r="AD608" s="104" t="str">
        <f ca="1">IF(C608&lt;=CRONO.NivelExibicao,MAX($AD$15:OFFSET(AD608,-1,0))+IF($C608&lt;&gt;1,1,MAX(1,COUNTIF(QCI!$A$13:$A$24,OFFSET($E608,-1,0)))),"")</f>
        <v/>
      </c>
      <c r="AE608" s="114" t="str">
        <f t="shared" ca="1" si="288"/>
        <v>SINAPI 91967</v>
      </c>
      <c r="AF608" s="159" t="str">
        <f t="shared" ca="1" si="289"/>
        <v>(abra o arquivo 'Referência 05-2024.xls)</v>
      </c>
      <c r="AG608" s="579">
        <f t="shared" ca="1" si="290"/>
        <v>0</v>
      </c>
      <c r="AH608" s="580">
        <f t="shared" ca="1" si="291"/>
        <v>0.22470000000000001</v>
      </c>
      <c r="AJ608" s="582">
        <v>2</v>
      </c>
      <c r="AL608" s="612"/>
      <c r="AM608" s="430">
        <f t="shared" ca="1" si="292"/>
        <v>0</v>
      </c>
      <c r="AN608" s="655">
        <f t="shared" ca="1" si="293"/>
        <v>0</v>
      </c>
    </row>
    <row r="609" spans="1:40" ht="13.8" x14ac:dyDescent="0.3">
      <c r="A609" t="str">
        <f t="shared" si="272"/>
        <v>S</v>
      </c>
      <c r="B609">
        <f t="shared" ca="1" si="273"/>
        <v>3</v>
      </c>
      <c r="C609" t="str">
        <f t="shared" ca="1" si="274"/>
        <v>S</v>
      </c>
      <c r="D609">
        <f t="shared" ca="1" si="275"/>
        <v>0</v>
      </c>
      <c r="E609">
        <f ca="1">IF($C609=1,OFFSET(E609,-1,0)+MAX(1,COUNTIF(QCI!$A$13:$A$24,OFFSET(ORÇAMENTO!E609,-1,0))),OFFSET(E609,-1,0))</f>
        <v>1</v>
      </c>
      <c r="F609">
        <f t="shared" ca="1" si="276"/>
        <v>18</v>
      </c>
      <c r="G609">
        <f t="shared" ca="1" si="277"/>
        <v>6</v>
      </c>
      <c r="H609">
        <f t="shared" ca="1" si="278"/>
        <v>0</v>
      </c>
      <c r="I609">
        <f t="shared" ca="1" si="279"/>
        <v>0</v>
      </c>
      <c r="J609">
        <f t="shared" ca="1" si="294"/>
        <v>0</v>
      </c>
      <c r="K609">
        <f ca="1">IF(OR($C609="S",$C609=0),0,MATCH(OFFSET($D609,0,$C609)+IF($C609&lt;&gt;1,1,COUNTIF(QCI!$A$13:$A$24,ORÇAMENTO!E609)),OFFSET($D609,1,$C609,ROW($C$710)-ROW($C609)),0))</f>
        <v>0</v>
      </c>
      <c r="L609" s="143" t="str">
        <f t="shared" ca="1" si="280"/>
        <v/>
      </c>
      <c r="M609" s="144" t="s">
        <v>201</v>
      </c>
      <c r="N609" s="145" t="str">
        <f t="shared" ca="1" si="281"/>
        <v>Serviço</v>
      </c>
      <c r="O609" s="146" t="str">
        <f t="shared" ca="1" si="282"/>
        <v>-</v>
      </c>
      <c r="P609" s="147" t="s">
        <v>249</v>
      </c>
      <c r="Q609" s="148">
        <v>91968</v>
      </c>
      <c r="R609" s="149" t="str">
        <f t="shared" ca="1" si="298"/>
        <v>(abra o arquivo 'Referência 05-2024.xls)</v>
      </c>
      <c r="S609" s="150" t="str">
        <f t="shared" ca="1" si="299"/>
        <v>-</v>
      </c>
      <c r="T609" s="151">
        <f ca="1">OFFSET(CÁLCULO!H$15,ROW($T609)-ROW(T$15),0)</f>
        <v>2</v>
      </c>
      <c r="U609" s="152">
        <f t="shared" ca="1" si="297"/>
        <v>0</v>
      </c>
      <c r="V609" s="153" t="s">
        <v>158</v>
      </c>
      <c r="W609" s="151">
        <f t="shared" ca="1" si="283"/>
        <v>0</v>
      </c>
      <c r="X609" s="154">
        <f t="shared" ca="1" si="284"/>
        <v>0</v>
      </c>
      <c r="Y609" s="155" t="s">
        <v>583</v>
      </c>
      <c r="Z609" t="str">
        <f t="shared" ca="1" si="285"/>
        <v/>
      </c>
      <c r="AA609" s="156">
        <f ca="1">IF($C609="S",IF($Z609="CP",$X609,IF($Z609="RA",(($X609)*QCI!$AA$3),0)),SomaAgrup)</f>
        <v>0</v>
      </c>
      <c r="AB609" s="157">
        <f t="shared" ca="1" si="286"/>
        <v>0</v>
      </c>
      <c r="AC609" s="158" t="str">
        <f t="shared" ca="1" si="287"/>
        <v/>
      </c>
      <c r="AD609" s="104" t="str">
        <f ca="1">IF(C609&lt;=CRONO.NivelExibicao,MAX($AD$15:OFFSET(AD609,-1,0))+IF($C609&lt;&gt;1,1,MAX(1,COUNTIF(QCI!$A$13:$A$24,OFFSET($E609,-1,0)))),"")</f>
        <v/>
      </c>
      <c r="AE609" s="114" t="str">
        <f t="shared" ca="1" si="288"/>
        <v>SINAPI 91968</v>
      </c>
      <c r="AF609" s="159" t="str">
        <f t="shared" ca="1" si="289"/>
        <v>(abra o arquivo 'Referência 05-2024.xls)</v>
      </c>
      <c r="AG609" s="579">
        <f t="shared" ca="1" si="290"/>
        <v>0</v>
      </c>
      <c r="AH609" s="580">
        <f t="shared" ca="1" si="291"/>
        <v>0.22470000000000001</v>
      </c>
      <c r="AJ609" s="582">
        <v>2</v>
      </c>
      <c r="AL609" s="612"/>
      <c r="AM609" s="430">
        <f t="shared" ca="1" si="292"/>
        <v>0</v>
      </c>
      <c r="AN609" s="655">
        <f t="shared" ca="1" si="293"/>
        <v>0</v>
      </c>
    </row>
    <row r="610" spans="1:40" ht="13.8" x14ac:dyDescent="0.3">
      <c r="A610" t="str">
        <f t="shared" si="272"/>
        <v>S</v>
      </c>
      <c r="B610">
        <f t="shared" ca="1" si="273"/>
        <v>3</v>
      </c>
      <c r="C610" t="str">
        <f t="shared" ca="1" si="274"/>
        <v>S</v>
      </c>
      <c r="D610">
        <f t="shared" ca="1" si="275"/>
        <v>0</v>
      </c>
      <c r="E610">
        <f ca="1">IF($C610=1,OFFSET(E610,-1,0)+MAX(1,COUNTIF(QCI!$A$13:$A$24,OFFSET(ORÇAMENTO!E610,-1,0))),OFFSET(E610,-1,0))</f>
        <v>1</v>
      </c>
      <c r="F610">
        <f t="shared" ca="1" si="276"/>
        <v>18</v>
      </c>
      <c r="G610">
        <f t="shared" ca="1" si="277"/>
        <v>6</v>
      </c>
      <c r="H610">
        <f t="shared" ca="1" si="278"/>
        <v>0</v>
      </c>
      <c r="I610">
        <f t="shared" ca="1" si="279"/>
        <v>0</v>
      </c>
      <c r="J610">
        <f t="shared" ca="1" si="294"/>
        <v>0</v>
      </c>
      <c r="K610">
        <f ca="1">IF(OR($C610="S",$C610=0),0,MATCH(OFFSET($D610,0,$C610)+IF($C610&lt;&gt;1,1,COUNTIF(QCI!$A$13:$A$24,ORÇAMENTO!E610)),OFFSET($D610,1,$C610,ROW($C$710)-ROW($C610)),0))</f>
        <v>0</v>
      </c>
      <c r="L610" s="143" t="str">
        <f t="shared" ca="1" si="280"/>
        <v/>
      </c>
      <c r="M610" s="144" t="s">
        <v>201</v>
      </c>
      <c r="N610" s="145" t="str">
        <f t="shared" ca="1" si="281"/>
        <v>Serviço</v>
      </c>
      <c r="O610" s="146" t="str">
        <f t="shared" ca="1" si="282"/>
        <v>-</v>
      </c>
      <c r="P610" s="147" t="s">
        <v>249</v>
      </c>
      <c r="Q610" s="148">
        <v>91996</v>
      </c>
      <c r="R610" s="149" t="str">
        <f t="shared" ca="1" si="298"/>
        <v>(abra o arquivo 'Referência 05-2024.xls)</v>
      </c>
      <c r="S610" s="150" t="str">
        <f t="shared" ca="1" si="299"/>
        <v>-</v>
      </c>
      <c r="T610" s="151">
        <f ca="1">OFFSET(CÁLCULO!H$15,ROW($T610)-ROW(T$15),0)</f>
        <v>16</v>
      </c>
      <c r="U610" s="152">
        <f t="shared" ca="1" si="297"/>
        <v>0</v>
      </c>
      <c r="V610" s="153" t="s">
        <v>158</v>
      </c>
      <c r="W610" s="151">
        <f t="shared" ca="1" si="283"/>
        <v>0</v>
      </c>
      <c r="X610" s="154">
        <f t="shared" ca="1" si="284"/>
        <v>0</v>
      </c>
      <c r="Y610" s="155" t="s">
        <v>583</v>
      </c>
      <c r="Z610" t="str">
        <f t="shared" ca="1" si="285"/>
        <v/>
      </c>
      <c r="AA610" s="156">
        <f ca="1">IF($C610="S",IF($Z610="CP",$X610,IF($Z610="RA",(($X610)*QCI!$AA$3),0)),SomaAgrup)</f>
        <v>0</v>
      </c>
      <c r="AB610" s="157">
        <f t="shared" ca="1" si="286"/>
        <v>0</v>
      </c>
      <c r="AC610" s="158" t="str">
        <f t="shared" ca="1" si="287"/>
        <v/>
      </c>
      <c r="AD610" s="104" t="str">
        <f ca="1">IF(C610&lt;=CRONO.NivelExibicao,MAX($AD$15:OFFSET(AD610,-1,0))+IF($C610&lt;&gt;1,1,MAX(1,COUNTIF(QCI!$A$13:$A$24,OFFSET($E610,-1,0)))),"")</f>
        <v/>
      </c>
      <c r="AE610" s="114" t="str">
        <f t="shared" ca="1" si="288"/>
        <v>SINAPI 91996</v>
      </c>
      <c r="AF610" s="159" t="str">
        <f t="shared" ca="1" si="289"/>
        <v>(abra o arquivo 'Referência 05-2024.xls)</v>
      </c>
      <c r="AG610" s="579">
        <f t="shared" ca="1" si="290"/>
        <v>0</v>
      </c>
      <c r="AH610" s="580">
        <f t="shared" ca="1" si="291"/>
        <v>0.22470000000000001</v>
      </c>
      <c r="AJ610" s="582">
        <v>16</v>
      </c>
      <c r="AL610" s="612"/>
      <c r="AM610" s="430">
        <f t="shared" ca="1" si="292"/>
        <v>0</v>
      </c>
      <c r="AN610" s="655">
        <f t="shared" ca="1" si="293"/>
        <v>0</v>
      </c>
    </row>
    <row r="611" spans="1:40" ht="13.8" x14ac:dyDescent="0.3">
      <c r="A611" t="str">
        <f t="shared" si="272"/>
        <v>S</v>
      </c>
      <c r="B611">
        <f t="shared" ca="1" si="273"/>
        <v>3</v>
      </c>
      <c r="C611" t="str">
        <f t="shared" ca="1" si="274"/>
        <v>S</v>
      </c>
      <c r="D611">
        <f t="shared" ca="1" si="275"/>
        <v>0</v>
      </c>
      <c r="E611">
        <f ca="1">IF($C611=1,OFFSET(E611,-1,0)+MAX(1,COUNTIF(QCI!$A$13:$A$24,OFFSET(ORÇAMENTO!E611,-1,0))),OFFSET(E611,-1,0))</f>
        <v>1</v>
      </c>
      <c r="F611">
        <f t="shared" ca="1" si="276"/>
        <v>18</v>
      </c>
      <c r="G611">
        <f t="shared" ca="1" si="277"/>
        <v>6</v>
      </c>
      <c r="H611">
        <f t="shared" ca="1" si="278"/>
        <v>0</v>
      </c>
      <c r="I611">
        <f t="shared" ca="1" si="279"/>
        <v>0</v>
      </c>
      <c r="J611">
        <f t="shared" ca="1" si="294"/>
        <v>0</v>
      </c>
      <c r="K611">
        <f ca="1">IF(OR($C611="S",$C611=0),0,MATCH(OFFSET($D611,0,$C611)+IF($C611&lt;&gt;1,1,COUNTIF(QCI!$A$13:$A$24,ORÇAMENTO!E611)),OFFSET($D611,1,$C611,ROW($C$710)-ROW($C611)),0))</f>
        <v>0</v>
      </c>
      <c r="L611" s="143" t="str">
        <f t="shared" ca="1" si="280"/>
        <v/>
      </c>
      <c r="M611" s="144" t="s">
        <v>201</v>
      </c>
      <c r="N611" s="145" t="str">
        <f t="shared" ca="1" si="281"/>
        <v>Serviço</v>
      </c>
      <c r="O611" s="146" t="str">
        <f t="shared" ca="1" si="282"/>
        <v>-</v>
      </c>
      <c r="P611" s="147" t="s">
        <v>249</v>
      </c>
      <c r="Q611" s="148">
        <v>103782</v>
      </c>
      <c r="R611" s="149" t="str">
        <f t="shared" ca="1" si="298"/>
        <v>(abra o arquivo 'Referência 05-2024.xls)</v>
      </c>
      <c r="S611" s="150" t="str">
        <f t="shared" ca="1" si="299"/>
        <v>-</v>
      </c>
      <c r="T611" s="151">
        <f ca="1">OFFSET(CÁLCULO!H$15,ROW($T611)-ROW(T$15),0)</f>
        <v>29</v>
      </c>
      <c r="U611" s="152">
        <f t="shared" ca="1" si="297"/>
        <v>0</v>
      </c>
      <c r="V611" s="153" t="s">
        <v>158</v>
      </c>
      <c r="W611" s="151">
        <f t="shared" ca="1" si="283"/>
        <v>0</v>
      </c>
      <c r="X611" s="154">
        <f t="shared" ca="1" si="284"/>
        <v>0</v>
      </c>
      <c r="Y611" s="155" t="s">
        <v>583</v>
      </c>
      <c r="Z611" t="str">
        <f t="shared" ca="1" si="285"/>
        <v/>
      </c>
      <c r="AA611" s="156">
        <f ca="1">IF($C611="S",IF($Z611="CP",$X611,IF($Z611="RA",(($X611)*QCI!$AA$3),0)),SomaAgrup)</f>
        <v>0</v>
      </c>
      <c r="AB611" s="157">
        <f t="shared" ca="1" si="286"/>
        <v>0</v>
      </c>
      <c r="AC611" s="158" t="str">
        <f t="shared" ca="1" si="287"/>
        <v/>
      </c>
      <c r="AD611" s="104" t="str">
        <f ca="1">IF(C611&lt;=CRONO.NivelExibicao,MAX($AD$15:OFFSET(AD611,-1,0))+IF($C611&lt;&gt;1,1,MAX(1,COUNTIF(QCI!$A$13:$A$24,OFFSET($E611,-1,0)))),"")</f>
        <v/>
      </c>
      <c r="AE611" s="114" t="str">
        <f t="shared" ca="1" si="288"/>
        <v>SINAPI 103782</v>
      </c>
      <c r="AF611" s="159" t="str">
        <f t="shared" ca="1" si="289"/>
        <v>(abra o arquivo 'Referência 05-2024.xls)</v>
      </c>
      <c r="AG611" s="579">
        <f t="shared" ca="1" si="290"/>
        <v>0</v>
      </c>
      <c r="AH611" s="580">
        <f t="shared" ca="1" si="291"/>
        <v>0.22470000000000001</v>
      </c>
      <c r="AJ611" s="582">
        <v>29</v>
      </c>
      <c r="AL611" s="612"/>
      <c r="AM611" s="430">
        <f t="shared" ca="1" si="292"/>
        <v>0</v>
      </c>
      <c r="AN611" s="655">
        <f t="shared" ca="1" si="293"/>
        <v>0</v>
      </c>
    </row>
    <row r="612" spans="1:40" ht="13.8" x14ac:dyDescent="0.3">
      <c r="A612" t="str">
        <f t="shared" si="272"/>
        <v>S</v>
      </c>
      <c r="B612">
        <f t="shared" ca="1" si="273"/>
        <v>3</v>
      </c>
      <c r="C612" t="str">
        <f t="shared" ca="1" si="274"/>
        <v>S</v>
      </c>
      <c r="D612">
        <f t="shared" ca="1" si="275"/>
        <v>0</v>
      </c>
      <c r="E612">
        <f ca="1">IF($C612=1,OFFSET(E612,-1,0)+MAX(1,COUNTIF(QCI!$A$13:$A$24,OFFSET(ORÇAMENTO!E612,-1,0))),OFFSET(E612,-1,0))</f>
        <v>1</v>
      </c>
      <c r="F612">
        <f t="shared" ca="1" si="276"/>
        <v>18</v>
      </c>
      <c r="G612">
        <f t="shared" ca="1" si="277"/>
        <v>6</v>
      </c>
      <c r="H612">
        <f t="shared" ca="1" si="278"/>
        <v>0</v>
      </c>
      <c r="I612">
        <f t="shared" ca="1" si="279"/>
        <v>0</v>
      </c>
      <c r="J612">
        <f t="shared" ca="1" si="294"/>
        <v>0</v>
      </c>
      <c r="K612">
        <f ca="1">IF(OR($C612="S",$C612=0),0,MATCH(OFFSET($D612,0,$C612)+IF($C612&lt;&gt;1,1,COUNTIF(QCI!$A$13:$A$24,ORÇAMENTO!E612)),OFFSET($D612,1,$C612,ROW($C$710)-ROW($C612)),0))</f>
        <v>0</v>
      </c>
      <c r="L612" s="143" t="str">
        <f t="shared" ca="1" si="280"/>
        <v/>
      </c>
      <c r="M612" s="144" t="s">
        <v>201</v>
      </c>
      <c r="N612" s="145" t="str">
        <f t="shared" ca="1" si="281"/>
        <v>Serviço</v>
      </c>
      <c r="O612" s="146" t="str">
        <f t="shared" ca="1" si="282"/>
        <v>-</v>
      </c>
      <c r="P612" s="147" t="s">
        <v>249</v>
      </c>
      <c r="Q612" s="148">
        <v>97584</v>
      </c>
      <c r="R612" s="149" t="str">
        <f t="shared" ca="1" si="298"/>
        <v>(abra o arquivo 'Referência 05-2024.xls)</v>
      </c>
      <c r="S612" s="150" t="str">
        <f t="shared" ca="1" si="299"/>
        <v>-</v>
      </c>
      <c r="T612" s="151">
        <f ca="1">OFFSET(CÁLCULO!H$15,ROW($T612)-ROW(T$15),0)</f>
        <v>20</v>
      </c>
      <c r="U612" s="152">
        <f t="shared" ca="1" si="297"/>
        <v>0</v>
      </c>
      <c r="V612" s="153" t="s">
        <v>158</v>
      </c>
      <c r="W612" s="151">
        <f t="shared" ca="1" si="283"/>
        <v>0</v>
      </c>
      <c r="X612" s="154">
        <f t="shared" ca="1" si="284"/>
        <v>0</v>
      </c>
      <c r="Y612" s="155" t="s">
        <v>583</v>
      </c>
      <c r="Z612" t="str">
        <f t="shared" ca="1" si="285"/>
        <v/>
      </c>
      <c r="AA612" s="156">
        <f ca="1">IF($C612="S",IF($Z612="CP",$X612,IF($Z612="RA",(($X612)*QCI!$AA$3),0)),SomaAgrup)</f>
        <v>0</v>
      </c>
      <c r="AB612" s="157">
        <f t="shared" ca="1" si="286"/>
        <v>0</v>
      </c>
      <c r="AC612" s="158" t="str">
        <f t="shared" ca="1" si="287"/>
        <v/>
      </c>
      <c r="AD612" s="104" t="str">
        <f ca="1">IF(C612&lt;=CRONO.NivelExibicao,MAX($AD$15:OFFSET(AD612,-1,0))+IF($C612&lt;&gt;1,1,MAX(1,COUNTIF(QCI!$A$13:$A$24,OFFSET($E612,-1,0)))),"")</f>
        <v/>
      </c>
      <c r="AE612" s="114" t="str">
        <f t="shared" ca="1" si="288"/>
        <v>SINAPI 97584</v>
      </c>
      <c r="AF612" s="159" t="str">
        <f t="shared" ca="1" si="289"/>
        <v>(abra o arquivo 'Referência 05-2024.xls)</v>
      </c>
      <c r="AG612" s="579">
        <f t="shared" ca="1" si="290"/>
        <v>0</v>
      </c>
      <c r="AH612" s="580">
        <f t="shared" ca="1" si="291"/>
        <v>0.22470000000000001</v>
      </c>
      <c r="AJ612" s="582">
        <v>20</v>
      </c>
      <c r="AL612" s="612"/>
      <c r="AM612" s="430">
        <f t="shared" ca="1" si="292"/>
        <v>0</v>
      </c>
      <c r="AN612" s="655">
        <f t="shared" ca="1" si="293"/>
        <v>0</v>
      </c>
    </row>
    <row r="613" spans="1:40" ht="13.8" x14ac:dyDescent="0.3">
      <c r="A613" t="str">
        <f t="shared" si="272"/>
        <v>S</v>
      </c>
      <c r="B613">
        <f t="shared" ca="1" si="273"/>
        <v>3</v>
      </c>
      <c r="C613" t="str">
        <f t="shared" ca="1" si="274"/>
        <v>S</v>
      </c>
      <c r="D613">
        <f t="shared" ca="1" si="275"/>
        <v>0</v>
      </c>
      <c r="E613">
        <f ca="1">IF($C613=1,OFFSET(E613,-1,0)+MAX(1,COUNTIF(QCI!$A$13:$A$24,OFFSET(ORÇAMENTO!E613,-1,0))),OFFSET(E613,-1,0))</f>
        <v>1</v>
      </c>
      <c r="F613">
        <f t="shared" ca="1" si="276"/>
        <v>18</v>
      </c>
      <c r="G613">
        <f t="shared" ca="1" si="277"/>
        <v>6</v>
      </c>
      <c r="H613">
        <f t="shared" ca="1" si="278"/>
        <v>0</v>
      </c>
      <c r="I613">
        <f t="shared" ca="1" si="279"/>
        <v>0</v>
      </c>
      <c r="J613">
        <f t="shared" ca="1" si="294"/>
        <v>0</v>
      </c>
      <c r="K613">
        <f ca="1">IF(OR($C613="S",$C613=0),0,MATCH(OFFSET($D613,0,$C613)+IF($C613&lt;&gt;1,1,COUNTIF(QCI!$A$13:$A$24,ORÇAMENTO!E613)),OFFSET($D613,1,$C613,ROW($C$710)-ROW($C613)),0))</f>
        <v>0</v>
      </c>
      <c r="L613" s="143" t="str">
        <f t="shared" ca="1" si="280"/>
        <v/>
      </c>
      <c r="M613" s="144" t="s">
        <v>201</v>
      </c>
      <c r="N613" s="145" t="str">
        <f t="shared" ca="1" si="281"/>
        <v>Serviço</v>
      </c>
      <c r="O613" s="146" t="str">
        <f t="shared" ca="1" si="282"/>
        <v>-</v>
      </c>
      <c r="P613" s="147" t="s">
        <v>249</v>
      </c>
      <c r="Q613" s="148">
        <v>97584</v>
      </c>
      <c r="R613" s="149" t="str">
        <f t="shared" ca="1" si="298"/>
        <v>(abra o arquivo 'Referência 05-2024.xls)</v>
      </c>
      <c r="S613" s="150" t="str">
        <f t="shared" ca="1" si="299"/>
        <v>-</v>
      </c>
      <c r="T613" s="151">
        <f ca="1">OFFSET(CÁLCULO!H$15,ROW($T613)-ROW(T$15),0)</f>
        <v>95</v>
      </c>
      <c r="U613" s="152">
        <f t="shared" ca="1" si="297"/>
        <v>0</v>
      </c>
      <c r="V613" s="153" t="s">
        <v>158</v>
      </c>
      <c r="W613" s="151">
        <f t="shared" ca="1" si="283"/>
        <v>0</v>
      </c>
      <c r="X613" s="154">
        <f t="shared" ca="1" si="284"/>
        <v>0</v>
      </c>
      <c r="Y613" s="155" t="s">
        <v>583</v>
      </c>
      <c r="Z613" t="str">
        <f t="shared" ca="1" si="285"/>
        <v/>
      </c>
      <c r="AA613" s="156">
        <f ca="1">IF($C613="S",IF($Z613="CP",$X613,IF($Z613="RA",(($X613)*QCI!$AA$3),0)),SomaAgrup)</f>
        <v>0</v>
      </c>
      <c r="AB613" s="157">
        <f t="shared" ca="1" si="286"/>
        <v>0</v>
      </c>
      <c r="AC613" s="158" t="str">
        <f t="shared" ca="1" si="287"/>
        <v/>
      </c>
      <c r="AD613" s="104" t="str">
        <f ca="1">IF(C613&lt;=CRONO.NivelExibicao,MAX($AD$15:OFFSET(AD613,-1,0))+IF($C613&lt;&gt;1,1,MAX(1,COUNTIF(QCI!$A$13:$A$24,OFFSET($E613,-1,0)))),"")</f>
        <v/>
      </c>
      <c r="AE613" s="114" t="str">
        <f t="shared" ca="1" si="288"/>
        <v>SINAPI 97584</v>
      </c>
      <c r="AF613" s="159" t="str">
        <f t="shared" ca="1" si="289"/>
        <v>(abra o arquivo 'Referência 05-2024.xls)</v>
      </c>
      <c r="AG613" s="579">
        <f t="shared" ca="1" si="290"/>
        <v>0</v>
      </c>
      <c r="AH613" s="580">
        <f t="shared" ca="1" si="291"/>
        <v>0.22470000000000001</v>
      </c>
      <c r="AJ613" s="582">
        <v>95</v>
      </c>
      <c r="AL613" s="612"/>
      <c r="AM613" s="430">
        <f t="shared" ca="1" si="292"/>
        <v>0</v>
      </c>
      <c r="AN613" s="655">
        <f t="shared" ca="1" si="293"/>
        <v>0</v>
      </c>
    </row>
    <row r="614" spans="1:40" ht="13.8" x14ac:dyDescent="0.3">
      <c r="A614" t="str">
        <f t="shared" si="272"/>
        <v>S</v>
      </c>
      <c r="B614">
        <f t="shared" ca="1" si="273"/>
        <v>3</v>
      </c>
      <c r="C614" t="str">
        <f t="shared" ca="1" si="274"/>
        <v>S</v>
      </c>
      <c r="D614">
        <f t="shared" ca="1" si="275"/>
        <v>0</v>
      </c>
      <c r="E614">
        <f ca="1">IF($C614=1,OFFSET(E614,-1,0)+MAX(1,COUNTIF(QCI!$A$13:$A$24,OFFSET(ORÇAMENTO!E614,-1,0))),OFFSET(E614,-1,0))</f>
        <v>1</v>
      </c>
      <c r="F614">
        <f t="shared" ca="1" si="276"/>
        <v>18</v>
      </c>
      <c r="G614">
        <f t="shared" ca="1" si="277"/>
        <v>6</v>
      </c>
      <c r="H614">
        <f t="shared" ca="1" si="278"/>
        <v>0</v>
      </c>
      <c r="I614">
        <f t="shared" ca="1" si="279"/>
        <v>0</v>
      </c>
      <c r="J614">
        <f t="shared" ca="1" si="294"/>
        <v>0</v>
      </c>
      <c r="K614">
        <f ca="1">IF(OR($C614="S",$C614=0),0,MATCH(OFFSET($D614,0,$C614)+IF($C614&lt;&gt;1,1,COUNTIF(QCI!$A$13:$A$24,ORÇAMENTO!E614)),OFFSET($D614,1,$C614,ROW($C$710)-ROW($C614)),0))</f>
        <v>0</v>
      </c>
      <c r="L614" s="143" t="str">
        <f t="shared" ca="1" si="280"/>
        <v/>
      </c>
      <c r="M614" s="144" t="s">
        <v>201</v>
      </c>
      <c r="N614" s="145" t="str">
        <f t="shared" ca="1" si="281"/>
        <v>Serviço</v>
      </c>
      <c r="O614" s="146" t="str">
        <f t="shared" ca="1" si="282"/>
        <v>-</v>
      </c>
      <c r="P614" s="147" t="s">
        <v>249</v>
      </c>
      <c r="Q614" s="148">
        <v>100903</v>
      </c>
      <c r="R614" s="149" t="str">
        <f t="shared" ca="1" si="298"/>
        <v>(abra o arquivo 'Referência 05-2024.xls)</v>
      </c>
      <c r="S614" s="150" t="str">
        <f t="shared" ca="1" si="299"/>
        <v>-</v>
      </c>
      <c r="T614" s="151">
        <f ca="1">OFFSET(CÁLCULO!H$15,ROW($T614)-ROW(T$15),0)</f>
        <v>86</v>
      </c>
      <c r="U614" s="152">
        <f t="shared" ca="1" si="297"/>
        <v>0</v>
      </c>
      <c r="V614" s="153" t="s">
        <v>158</v>
      </c>
      <c r="W614" s="151">
        <f t="shared" ca="1" si="283"/>
        <v>0</v>
      </c>
      <c r="X614" s="154">
        <f t="shared" ca="1" si="284"/>
        <v>0</v>
      </c>
      <c r="Y614" s="155" t="s">
        <v>583</v>
      </c>
      <c r="Z614" t="str">
        <f t="shared" ca="1" si="285"/>
        <v/>
      </c>
      <c r="AA614" s="156">
        <f ca="1">IF($C614="S",IF($Z614="CP",$X614,IF($Z614="RA",(($X614)*QCI!$AA$3),0)),SomaAgrup)</f>
        <v>0</v>
      </c>
      <c r="AB614" s="157">
        <f t="shared" ca="1" si="286"/>
        <v>0</v>
      </c>
      <c r="AC614" s="158" t="str">
        <f t="shared" ca="1" si="287"/>
        <v/>
      </c>
      <c r="AD614" s="104" t="str">
        <f ca="1">IF(C614&lt;=CRONO.NivelExibicao,MAX($AD$15:OFFSET(AD614,-1,0))+IF($C614&lt;&gt;1,1,MAX(1,COUNTIF(QCI!$A$13:$A$24,OFFSET($E614,-1,0)))),"")</f>
        <v/>
      </c>
      <c r="AE614" s="114" t="str">
        <f t="shared" ca="1" si="288"/>
        <v>SINAPI 100903</v>
      </c>
      <c r="AF614" s="159" t="str">
        <f t="shared" ca="1" si="289"/>
        <v>(abra o arquivo 'Referência 05-2024.xls)</v>
      </c>
      <c r="AG614" s="579">
        <f t="shared" ca="1" si="290"/>
        <v>0</v>
      </c>
      <c r="AH614" s="580">
        <f t="shared" ca="1" si="291"/>
        <v>0.22470000000000001</v>
      </c>
      <c r="AJ614" s="582">
        <v>86</v>
      </c>
      <c r="AL614" s="612"/>
      <c r="AM614" s="430">
        <f t="shared" ca="1" si="292"/>
        <v>0</v>
      </c>
      <c r="AN614" s="655">
        <f t="shared" ca="1" si="293"/>
        <v>0</v>
      </c>
    </row>
    <row r="615" spans="1:40" ht="13.8" x14ac:dyDescent="0.3">
      <c r="A615" t="str">
        <f t="shared" si="272"/>
        <v>S</v>
      </c>
      <c r="B615">
        <f t="shared" ca="1" si="273"/>
        <v>3</v>
      </c>
      <c r="C615" t="str">
        <f t="shared" ca="1" si="274"/>
        <v>S</v>
      </c>
      <c r="D615">
        <f t="shared" ca="1" si="275"/>
        <v>0</v>
      </c>
      <c r="E615">
        <f ca="1">IF($C615=1,OFFSET(E615,-1,0)+MAX(1,COUNTIF(QCI!$A$13:$A$24,OFFSET(ORÇAMENTO!E615,-1,0))),OFFSET(E615,-1,0))</f>
        <v>1</v>
      </c>
      <c r="F615">
        <f t="shared" ca="1" si="276"/>
        <v>18</v>
      </c>
      <c r="G615">
        <f t="shared" ca="1" si="277"/>
        <v>6</v>
      </c>
      <c r="H615">
        <f t="shared" ca="1" si="278"/>
        <v>0</v>
      </c>
      <c r="I615">
        <f t="shared" ca="1" si="279"/>
        <v>0</v>
      </c>
      <c r="J615">
        <f t="shared" ca="1" si="294"/>
        <v>0</v>
      </c>
      <c r="K615">
        <f ca="1">IF(OR($C615="S",$C615=0),0,MATCH(OFFSET($D615,0,$C615)+IF($C615&lt;&gt;1,1,COUNTIF(QCI!$A$13:$A$24,ORÇAMENTO!E615)),OFFSET($D615,1,$C615,ROW($C$710)-ROW($C615)),0))</f>
        <v>0</v>
      </c>
      <c r="L615" s="143" t="str">
        <f t="shared" ca="1" si="280"/>
        <v/>
      </c>
      <c r="M615" s="144" t="s">
        <v>201</v>
      </c>
      <c r="N615" s="145" t="str">
        <f t="shared" ca="1" si="281"/>
        <v>Serviço</v>
      </c>
      <c r="O615" s="146" t="str">
        <f t="shared" ca="1" si="282"/>
        <v>-</v>
      </c>
      <c r="P615" s="147" t="s">
        <v>249</v>
      </c>
      <c r="Q615" s="148">
        <v>101659</v>
      </c>
      <c r="R615" s="149" t="str">
        <f t="shared" ca="1" si="298"/>
        <v>(abra o arquivo 'Referência 05-2024.xls)</v>
      </c>
      <c r="S615" s="150" t="str">
        <f t="shared" ca="1" si="299"/>
        <v>-</v>
      </c>
      <c r="T615" s="151">
        <f ca="1">OFFSET(CÁLCULO!H$15,ROW($T615)-ROW(T$15),0)</f>
        <v>18</v>
      </c>
      <c r="U615" s="152">
        <f t="shared" ca="1" si="297"/>
        <v>0</v>
      </c>
      <c r="V615" s="153" t="s">
        <v>158</v>
      </c>
      <c r="W615" s="151">
        <f t="shared" ca="1" si="283"/>
        <v>0</v>
      </c>
      <c r="X615" s="154">
        <f t="shared" ca="1" si="284"/>
        <v>0</v>
      </c>
      <c r="Y615" s="155" t="s">
        <v>583</v>
      </c>
      <c r="Z615" t="str">
        <f t="shared" ca="1" si="285"/>
        <v/>
      </c>
      <c r="AA615" s="156">
        <f ca="1">IF($C615="S",IF($Z615="CP",$X615,IF($Z615="RA",(($X615)*QCI!$AA$3),0)),SomaAgrup)</f>
        <v>0</v>
      </c>
      <c r="AB615" s="157">
        <f t="shared" ca="1" si="286"/>
        <v>0</v>
      </c>
      <c r="AC615" s="158" t="str">
        <f t="shared" ca="1" si="287"/>
        <v/>
      </c>
      <c r="AD615" s="104" t="str">
        <f ca="1">IF(C615&lt;=CRONO.NivelExibicao,MAX($AD$15:OFFSET(AD615,-1,0))+IF($C615&lt;&gt;1,1,MAX(1,COUNTIF(QCI!$A$13:$A$24,OFFSET($E615,-1,0)))),"")</f>
        <v/>
      </c>
      <c r="AE615" s="114" t="str">
        <f t="shared" ca="1" si="288"/>
        <v>SINAPI 101659</v>
      </c>
      <c r="AF615" s="159" t="str">
        <f t="shared" ca="1" si="289"/>
        <v>(abra o arquivo 'Referência 05-2024.xls)</v>
      </c>
      <c r="AG615" s="579">
        <f t="shared" ca="1" si="290"/>
        <v>0</v>
      </c>
      <c r="AH615" s="580">
        <f t="shared" ca="1" si="291"/>
        <v>0.22470000000000001</v>
      </c>
      <c r="AJ615" s="582">
        <v>18</v>
      </c>
      <c r="AL615" s="612"/>
      <c r="AM615" s="430">
        <f t="shared" ca="1" si="292"/>
        <v>0</v>
      </c>
      <c r="AN615" s="655">
        <f t="shared" ca="1" si="293"/>
        <v>0</v>
      </c>
    </row>
    <row r="616" spans="1:40" ht="13.8" x14ac:dyDescent="0.3">
      <c r="A616" t="str">
        <f t="shared" si="272"/>
        <v>S</v>
      </c>
      <c r="B616">
        <f t="shared" ca="1" si="273"/>
        <v>3</v>
      </c>
      <c r="C616" t="str">
        <f t="shared" ca="1" si="274"/>
        <v>S</v>
      </c>
      <c r="D616">
        <f t="shared" ca="1" si="275"/>
        <v>0</v>
      </c>
      <c r="E616">
        <f ca="1">IF($C616=1,OFFSET(E616,-1,0)+MAX(1,COUNTIF(QCI!$A$13:$A$24,OFFSET(ORÇAMENTO!E616,-1,0))),OFFSET(E616,-1,0))</f>
        <v>1</v>
      </c>
      <c r="F616">
        <f t="shared" ca="1" si="276"/>
        <v>18</v>
      </c>
      <c r="G616">
        <f t="shared" ca="1" si="277"/>
        <v>6</v>
      </c>
      <c r="H616">
        <f t="shared" ca="1" si="278"/>
        <v>0</v>
      </c>
      <c r="I616">
        <f t="shared" ca="1" si="279"/>
        <v>0</v>
      </c>
      <c r="J616">
        <f t="shared" ca="1" si="294"/>
        <v>0</v>
      </c>
      <c r="K616">
        <f ca="1">IF(OR($C616="S",$C616=0),0,MATCH(OFFSET($D616,0,$C616)+IF($C616&lt;&gt;1,1,COUNTIF(QCI!$A$13:$A$24,ORÇAMENTO!E616)),OFFSET($D616,1,$C616,ROW($C$710)-ROW($C616)),0))</f>
        <v>0</v>
      </c>
      <c r="L616" s="143" t="str">
        <f t="shared" ca="1" si="280"/>
        <v/>
      </c>
      <c r="M616" s="144" t="s">
        <v>201</v>
      </c>
      <c r="N616" s="145" t="str">
        <f t="shared" ca="1" si="281"/>
        <v>Serviço</v>
      </c>
      <c r="O616" s="146" t="str">
        <f t="shared" ca="1" si="282"/>
        <v>-</v>
      </c>
      <c r="P616" s="147" t="s">
        <v>249</v>
      </c>
      <c r="Q616" s="148">
        <v>97607</v>
      </c>
      <c r="R616" s="149" t="str">
        <f t="shared" ca="1" si="298"/>
        <v>(abra o arquivo 'Referência 05-2024.xls)</v>
      </c>
      <c r="S616" s="150" t="str">
        <f t="shared" ca="1" si="299"/>
        <v>-</v>
      </c>
      <c r="T616" s="151">
        <f ca="1">OFFSET(CÁLCULO!H$15,ROW($T616)-ROW(T$15),0)</f>
        <v>46</v>
      </c>
      <c r="U616" s="152">
        <f t="shared" ca="1" si="297"/>
        <v>0</v>
      </c>
      <c r="V616" s="153" t="s">
        <v>158</v>
      </c>
      <c r="W616" s="151">
        <f t="shared" ca="1" si="283"/>
        <v>0</v>
      </c>
      <c r="X616" s="154">
        <f t="shared" ca="1" si="284"/>
        <v>0</v>
      </c>
      <c r="Y616" s="155" t="s">
        <v>583</v>
      </c>
      <c r="Z616" t="str">
        <f t="shared" ca="1" si="285"/>
        <v/>
      </c>
      <c r="AA616" s="156">
        <f ca="1">IF($C616="S",IF($Z616="CP",$X616,IF($Z616="RA",(($X616)*QCI!$AA$3),0)),SomaAgrup)</f>
        <v>0</v>
      </c>
      <c r="AB616" s="157">
        <f t="shared" ca="1" si="286"/>
        <v>0</v>
      </c>
      <c r="AC616" s="158" t="str">
        <f t="shared" ca="1" si="287"/>
        <v/>
      </c>
      <c r="AD616" s="104" t="str">
        <f ca="1">IF(C616&lt;=CRONO.NivelExibicao,MAX($AD$15:OFFSET(AD616,-1,0))+IF($C616&lt;&gt;1,1,MAX(1,COUNTIF(QCI!$A$13:$A$24,OFFSET($E616,-1,0)))),"")</f>
        <v/>
      </c>
      <c r="AE616" s="114" t="str">
        <f t="shared" ca="1" si="288"/>
        <v>SINAPI 97607</v>
      </c>
      <c r="AF616" s="159" t="str">
        <f t="shared" ca="1" si="289"/>
        <v>(abra o arquivo 'Referência 05-2024.xls)</v>
      </c>
      <c r="AG616" s="579">
        <f t="shared" ca="1" si="290"/>
        <v>0</v>
      </c>
      <c r="AH616" s="580">
        <f t="shared" ca="1" si="291"/>
        <v>0.22470000000000001</v>
      </c>
      <c r="AJ616" s="582">
        <v>46</v>
      </c>
      <c r="AL616" s="612"/>
      <c r="AM616" s="430">
        <f t="shared" ca="1" si="292"/>
        <v>0</v>
      </c>
      <c r="AN616" s="655">
        <f t="shared" ca="1" si="293"/>
        <v>0</v>
      </c>
    </row>
    <row r="617" spans="1:40" ht="13.8" x14ac:dyDescent="0.3">
      <c r="A617" t="str">
        <f t="shared" si="272"/>
        <v>S</v>
      </c>
      <c r="B617">
        <f t="shared" ca="1" si="273"/>
        <v>3</v>
      </c>
      <c r="C617" t="str">
        <f t="shared" ca="1" si="274"/>
        <v>S</v>
      </c>
      <c r="D617">
        <f t="shared" ca="1" si="275"/>
        <v>0</v>
      </c>
      <c r="E617">
        <f ca="1">IF($C617=1,OFFSET(E617,-1,0)+MAX(1,COUNTIF(QCI!$A$13:$A$24,OFFSET(ORÇAMENTO!E617,-1,0))),OFFSET(E617,-1,0))</f>
        <v>1</v>
      </c>
      <c r="F617">
        <f t="shared" ca="1" si="276"/>
        <v>18</v>
      </c>
      <c r="G617">
        <f t="shared" ca="1" si="277"/>
        <v>6</v>
      </c>
      <c r="H617">
        <f t="shared" ca="1" si="278"/>
        <v>0</v>
      </c>
      <c r="I617">
        <f t="shared" ca="1" si="279"/>
        <v>0</v>
      </c>
      <c r="J617">
        <f t="shared" ca="1" si="294"/>
        <v>0</v>
      </c>
      <c r="K617">
        <f ca="1">IF(OR($C617="S",$C617=0),0,MATCH(OFFSET($D617,0,$C617)+IF($C617&lt;&gt;1,1,COUNTIF(QCI!$A$13:$A$24,ORÇAMENTO!E617)),OFFSET($D617,1,$C617,ROW($C$710)-ROW($C617)),0))</f>
        <v>0</v>
      </c>
      <c r="L617" s="143" t="str">
        <f t="shared" ca="1" si="280"/>
        <v/>
      </c>
      <c r="M617" s="144" t="s">
        <v>201</v>
      </c>
      <c r="N617" s="145" t="str">
        <f t="shared" ca="1" si="281"/>
        <v>Serviço</v>
      </c>
      <c r="O617" s="146" t="str">
        <f t="shared" ca="1" si="282"/>
        <v>-</v>
      </c>
      <c r="P617" s="147" t="s">
        <v>441</v>
      </c>
      <c r="Q617" s="148" t="s">
        <v>611</v>
      </c>
      <c r="R617" s="149" t="str">
        <f t="shared" ca="1" si="298"/>
        <v>(abra o arquivo 'Referência 05-2024.xls)</v>
      </c>
      <c r="S617" s="150" t="str">
        <f t="shared" ca="1" si="299"/>
        <v>-</v>
      </c>
      <c r="T617" s="151">
        <f ca="1">OFFSET(CÁLCULO!H$15,ROW($T617)-ROW(T$15),0)</f>
        <v>18</v>
      </c>
      <c r="U617" s="152">
        <f t="shared" ca="1" si="297"/>
        <v>0</v>
      </c>
      <c r="V617" s="153" t="s">
        <v>158</v>
      </c>
      <c r="W617" s="151">
        <f t="shared" ca="1" si="283"/>
        <v>0</v>
      </c>
      <c r="X617" s="154">
        <f t="shared" ca="1" si="284"/>
        <v>0</v>
      </c>
      <c r="Y617" s="155" t="s">
        <v>583</v>
      </c>
      <c r="Z617" t="str">
        <f t="shared" ca="1" si="285"/>
        <v/>
      </c>
      <c r="AA617" s="156">
        <f ca="1">IF($C617="S",IF($Z617="CP",$X617,IF($Z617="RA",(($X617)*QCI!$AA$3),0)),SomaAgrup)</f>
        <v>0</v>
      </c>
      <c r="AB617" s="157">
        <f t="shared" ca="1" si="286"/>
        <v>0</v>
      </c>
      <c r="AC617" s="158" t="str">
        <f t="shared" ca="1" si="287"/>
        <v/>
      </c>
      <c r="AD617" s="104" t="str">
        <f ca="1">IF(C617&lt;=CRONO.NivelExibicao,MAX($AD$15:OFFSET(AD617,-1,0))+IF($C617&lt;&gt;1,1,MAX(1,COUNTIF(QCI!$A$13:$A$24,OFFSET($E617,-1,0)))),"")</f>
        <v/>
      </c>
      <c r="AE617" s="114" t="str">
        <f t="shared" ca="1" si="288"/>
        <v>Composição CP-50</v>
      </c>
      <c r="AF617" s="159" t="str">
        <f t="shared" ca="1" si="289"/>
        <v>(abra o arquivo 'Referência 05-2024.xls)</v>
      </c>
      <c r="AG617" s="579">
        <f t="shared" ca="1" si="290"/>
        <v>0</v>
      </c>
      <c r="AH617" s="580">
        <f t="shared" ca="1" si="291"/>
        <v>0.22470000000000001</v>
      </c>
      <c r="AJ617" s="582">
        <v>18</v>
      </c>
      <c r="AL617" s="612"/>
      <c r="AM617" s="430">
        <f t="shared" ca="1" si="292"/>
        <v>0</v>
      </c>
      <c r="AN617" s="655">
        <f t="shared" ca="1" si="293"/>
        <v>0</v>
      </c>
    </row>
    <row r="618" spans="1:40" ht="13.8" x14ac:dyDescent="0.3">
      <c r="A618">
        <f t="shared" ref="A618:A649" si="300">CHOOSE(1+LOG(1+2*(ORÇAMENTO.Nivel="Meta")+4*(ORÇAMENTO.Nivel="Nível 2")+8*(ORÇAMENTO.Nivel="Nível 3")+16*(ORÇAMENTO.Nivel="Nível 4")+32*(ORÇAMENTO.Nivel="Serviço"),2),0,1,2,3,4,"S")</f>
        <v>2</v>
      </c>
      <c r="B618">
        <f t="shared" ref="B618:B649" ca="1" si="301">IF(OR(C618="s",C618=0),OFFSET(B618,-1,0),C618)</f>
        <v>2</v>
      </c>
      <c r="C618">
        <f t="shared" ref="C618:C649" ca="1" si="302">IF(OFFSET(C618,-1,0)="L",1,IF(OFFSET(C618,-1,0)=1,2,IF(OR(A618="s",A618=0),"S",IF(AND(OFFSET(C618,-1,0)=2,A618=4),3,IF(AND(OR(OFFSET(C618,-1,0)="s",OFFSET(C618,-1,0)=0),A618&lt;&gt;"s",A618&gt;OFFSET(B618,-1,0)),OFFSET(B618,-1,0),A618)))))</f>
        <v>2</v>
      </c>
      <c r="D618">
        <f t="shared" ref="D618:D649" ca="1" si="303">IF(OR(C618="S",C618=0),0,IF(ISERROR(K618),J618,SMALL(J618:K618,1)))</f>
        <v>10</v>
      </c>
      <c r="E618">
        <f ca="1">IF($C618=1,OFFSET(E618,-1,0)+MAX(1,COUNTIF(QCI!$A$13:$A$24,OFFSET(ORÇAMENTO!E618,-1,0))),OFFSET(E618,-1,0))</f>
        <v>1</v>
      </c>
      <c r="F618">
        <f t="shared" ref="F618:F649" ca="1" si="304">IF($C618=1,0,IF($C618=2,OFFSET(F618,-1,0)+1,OFFSET(F618,-1,0)))</f>
        <v>19</v>
      </c>
      <c r="G618">
        <f t="shared" ref="G618:G649" ca="1" si="305">IF(AND($C618&lt;=2,$C618&lt;&gt;0),0,IF($C618=3,OFFSET(G618,-1,0)+1,OFFSET(G618,-1,0)))</f>
        <v>0</v>
      </c>
      <c r="H618">
        <f t="shared" ref="H618:H649" ca="1" si="306">IF(AND($C618&lt;=3,$C618&lt;&gt;0),0,IF($C618=4,OFFSET(H618,-1,0)+1,OFFSET(H618,-1,0)))</f>
        <v>0</v>
      </c>
      <c r="I618">
        <f t="shared" ref="I618:I649" ca="1" si="307">IF(AND($C618&lt;=4,$C618&lt;&gt;0),0,IF(AND($C618="S",$X618&gt;0),OFFSET(I618,-1,0)+1,OFFSET(I618,-1,0)))</f>
        <v>0</v>
      </c>
      <c r="J618">
        <f t="shared" ca="1" si="294"/>
        <v>84</v>
      </c>
      <c r="K618">
        <f ca="1">IF(OR($C618="S",$C618=0),0,MATCH(OFFSET($D618,0,$C618)+IF($C618&lt;&gt;1,1,COUNTIF(QCI!$A$13:$A$24,ORÇAMENTO!E618)),OFFSET($D618,1,$C618,ROW($C$710)-ROW($C618)),0))</f>
        <v>10</v>
      </c>
      <c r="L618" s="143" t="str">
        <f t="shared" ref="L618:L649" ca="1" si="308">IF(OR($X618&gt;0,$C618=1,$C618=2,$C618=3,$C618=4),"F","")</f>
        <v>F</v>
      </c>
      <c r="M618" s="144" t="s">
        <v>198</v>
      </c>
      <c r="N618" s="145" t="str">
        <f t="shared" ref="N618:N649" ca="1" si="309">CHOOSE(1+LOG(1+2*(C618=1)+4*(C618=2)+8*(C618=3)+16*(C618=4)+32*(C618="S"),2),"","Meta","Nível 2","Nível 3","Nível 4","Serviço")</f>
        <v>Nível 2</v>
      </c>
      <c r="O618" s="146" t="str">
        <f t="shared" ref="O618:O649" ca="1" si="310">IF(OR($C618=0,$L618=""),"-",CONCATENATE(E618&amp;".",IF(AND($A$5&gt;=2,$C618&gt;=2),F618&amp;".",""),IF(AND($A$5&gt;=3,$C618&gt;=3),G618&amp;".",""),IF(AND($A$5&gt;=4,$C618&gt;=4),H618&amp;".",""),IF($C618="S",I618&amp;".","")))</f>
        <v>1.19.</v>
      </c>
      <c r="P618" s="147" t="s">
        <v>249</v>
      </c>
      <c r="Q618" s="148"/>
      <c r="R618" s="149" t="s">
        <v>554</v>
      </c>
      <c r="S618" s="150" t="s">
        <v>168</v>
      </c>
      <c r="T618" s="151">
        <f ca="1">OFFSET(CÁLCULO!H$15,ROW($T618)-ROW(T$15),0)</f>
        <v>0</v>
      </c>
      <c r="U618" s="152"/>
      <c r="V618" s="153" t="s">
        <v>158</v>
      </c>
      <c r="W618" s="151">
        <f t="shared" ref="W618:W649" ca="1" si="311">IF($C618="S",ROUND(IF(TIPOORCAMENTO="Proposto",ORÇAMENTO.CustoUnitario*(1+$AH618),ORÇAMENTO.PrecoUnitarioLicitado),15-13*$AF$10),0)</f>
        <v>0</v>
      </c>
      <c r="X618" s="154">
        <f t="shared" ref="X618:X649" ca="1" si="312">IF($C618="S",VTOTAL1,IF($C618=0,0,ROUND(SomaAgrup,15-13*$AF$11)))</f>
        <v>0</v>
      </c>
      <c r="Y618" s="155" t="s">
        <v>583</v>
      </c>
      <c r="Z618" t="str">
        <f t="shared" ref="Z618:Z649" ca="1" si="313">IF(AND($C618="S",$X618&gt;0),IF(ISBLANK($Y618),"RA",LEFT($Y618,2)),"")</f>
        <v/>
      </c>
      <c r="AA618" s="156">
        <f ca="1">IF($C618="S",IF($Z618="CP",$X618,IF($Z618="RA",(($X618)*QCI!$AA$3),0)),SomaAgrup)</f>
        <v>0</v>
      </c>
      <c r="AB618" s="157">
        <f t="shared" ref="AB618:AB649" ca="1" si="314">IF($C618="S",IF($Z618="OU",ROUND($X618,2),0),SomaAgrup)</f>
        <v>0</v>
      </c>
      <c r="AC618" s="158" t="str">
        <f t="shared" ref="AC618:AC649" ca="1" si="315">IF($N618="","",IF(ORÇAMENTO.Descricao="","DESCRIÇÃO",IF(AND($C618="S",ORÇAMENTO.Unidade=""),"UNIDADE",IF($X618&lt;0,"VALOR NEGATIVO",IF(OR(AND(TIPOORCAMENTO="Proposto",$AG618&lt;&gt;"",$AG618&gt;0,ORÇAMENTO.CustoUnitario&gt;$AG618),AND(TIPOORCAMENTO="LICITADO",ORÇAMENTO.PrecoUnitarioLicitado&gt;$AN618)),"ACIMA REF.","")))))</f>
        <v/>
      </c>
      <c r="AD618" s="104">
        <f ca="1">IF(C618&lt;=CRONO.NivelExibicao,MAX($AD$15:OFFSET(AD618,-1,0))+IF($C618&lt;&gt;1,1,MAX(1,COUNTIF(QCI!$A$13:$A$24,OFFSET($E618,-1,0)))),"")</f>
        <v>20</v>
      </c>
      <c r="AE618" s="114" t="b">
        <f t="shared" ref="AE618:AE649" ca="1" si="316">IF(AND($C618="S",ORÇAMENTO.CodBarra&lt;&gt;""),IF(ORÇAMENTO.Fonte="",ORÇAMENTO.CodBarra,CONCATENATE(ORÇAMENTO.Fonte," ",ORÇAMENTO.CodBarra)))</f>
        <v>0</v>
      </c>
      <c r="AF618" s="159" t="str">
        <f t="shared" ref="AF618:AF649" ca="1" si="317">IF(ISERROR(INDIRECT(ORÇAMENTO.BancoRef)),"(abra o arquivo 'Referência "&amp;Excel_BuiltIn_Database&amp;".xls)",IF(OR($C618&lt;&gt;"S",ORÇAMENTO.CodBarra=""),"(Sem Código)",IF(ISERROR(MATCH($AE618,INDIRECT(ORÇAMENTO.BancoRef),0)),"(Código não identificado nas referências)",MATCH($AE618,INDIRECT(ORÇAMENTO.BancoRef),0))))</f>
        <v>(abra o arquivo 'Referência 05-2024.xls)</v>
      </c>
      <c r="AG618" s="579">
        <f t="shared" ref="AG618:AG649" ca="1" si="318">ROUND(IF(DESONERACAO="sim",REFERENCIA.Desonerado,REFERENCIA.NaoDesonerado),2)</f>
        <v>0</v>
      </c>
      <c r="AH618" s="580">
        <f t="shared" ref="AH618:AH649" ca="1" si="319">ROUND(IF(ISNUMBER(ORÇAMENTO.OpcaoBDI),ORÇAMENTO.OpcaoBDI,IF(LEFT(ORÇAMENTO.OpcaoBDI,3)="BDI",HLOOKUP(ORÇAMENTO.OpcaoBDI,$F$4:$H$5,2,FALSE),0)),15-11*$AF$9)</f>
        <v>0.22470000000000001</v>
      </c>
      <c r="AJ618" s="582"/>
      <c r="AL618" s="612"/>
      <c r="AM618" s="430">
        <f t="shared" ref="AM618:AM649" ca="1" si="320">$X618</f>
        <v>0</v>
      </c>
      <c r="AN618" s="655">
        <f t="shared" ref="AN618:AN649" ca="1" si="321">ROUND(ORÇAMENTO.CustoUnitario*(1+$AH618),2)</f>
        <v>0</v>
      </c>
    </row>
    <row r="619" spans="1:40" ht="13.8" x14ac:dyDescent="0.3">
      <c r="A619" t="str">
        <f t="shared" si="300"/>
        <v>S</v>
      </c>
      <c r="B619">
        <f t="shared" ca="1" si="301"/>
        <v>2</v>
      </c>
      <c r="C619" t="str">
        <f t="shared" ca="1" si="302"/>
        <v>S</v>
      </c>
      <c r="D619">
        <f t="shared" ca="1" si="303"/>
        <v>0</v>
      </c>
      <c r="E619">
        <f ca="1">IF($C619=1,OFFSET(E619,-1,0)+MAX(1,COUNTIF(QCI!$A$13:$A$24,OFFSET(ORÇAMENTO!E619,-1,0))),OFFSET(E619,-1,0))</f>
        <v>1</v>
      </c>
      <c r="F619">
        <f t="shared" ca="1" si="304"/>
        <v>19</v>
      </c>
      <c r="G619">
        <f t="shared" ca="1" si="305"/>
        <v>0</v>
      </c>
      <c r="H619">
        <f t="shared" ca="1" si="306"/>
        <v>0</v>
      </c>
      <c r="I619">
        <f t="shared" ca="1" si="307"/>
        <v>0</v>
      </c>
      <c r="J619">
        <f t="shared" ca="1" si="294"/>
        <v>0</v>
      </c>
      <c r="K619">
        <f ca="1">IF(OR($C619="S",$C619=0),0,MATCH(OFFSET($D619,0,$C619)+IF($C619&lt;&gt;1,1,COUNTIF(QCI!$A$13:$A$24,ORÇAMENTO!E619)),OFFSET($D619,1,$C619,ROW($C$710)-ROW($C619)),0))</f>
        <v>0</v>
      </c>
      <c r="L619" s="143" t="str">
        <f t="shared" ca="1" si="308"/>
        <v/>
      </c>
      <c r="M619" s="144" t="s">
        <v>201</v>
      </c>
      <c r="N619" s="145" t="str">
        <f t="shared" ca="1" si="309"/>
        <v>Serviço</v>
      </c>
      <c r="O619" s="146" t="str">
        <f t="shared" ca="1" si="310"/>
        <v>-</v>
      </c>
      <c r="P619" s="147" t="s">
        <v>249</v>
      </c>
      <c r="Q619" s="148">
        <v>97328</v>
      </c>
      <c r="R619" s="149" t="str">
        <f t="shared" ref="R619:R627" ca="1" si="322">IF($C619="S",REFERENCIA.Descricao,"(digite a descrição aqui)")</f>
        <v>(abra o arquivo 'Referência 05-2024.xls)</v>
      </c>
      <c r="S619" s="150" t="str">
        <f t="shared" ref="S619:S627" ca="1" si="323">REFERENCIA.Unidade</f>
        <v>-</v>
      </c>
      <c r="T619" s="151">
        <f ca="1">OFFSET(CÁLCULO!H$15,ROW($T619)-ROW(T$15),0)</f>
        <v>156</v>
      </c>
      <c r="U619" s="152">
        <f t="shared" ref="U619:U652" ca="1" si="324">AG619</f>
        <v>0</v>
      </c>
      <c r="V619" s="153" t="s">
        <v>158</v>
      </c>
      <c r="W619" s="151">
        <f t="shared" ca="1" si="311"/>
        <v>0</v>
      </c>
      <c r="X619" s="154">
        <f t="shared" ca="1" si="312"/>
        <v>0</v>
      </c>
      <c r="Y619" s="155" t="s">
        <v>583</v>
      </c>
      <c r="Z619" t="str">
        <f t="shared" ca="1" si="313"/>
        <v/>
      </c>
      <c r="AA619" s="156">
        <f ca="1">IF($C619="S",IF($Z619="CP",$X619,IF($Z619="RA",(($X619)*QCI!$AA$3),0)),SomaAgrup)</f>
        <v>0</v>
      </c>
      <c r="AB619" s="157">
        <f t="shared" ca="1" si="314"/>
        <v>0</v>
      </c>
      <c r="AC619" s="158" t="str">
        <f t="shared" ca="1" si="315"/>
        <v/>
      </c>
      <c r="AD619" s="104" t="str">
        <f ca="1">IF(C619&lt;=CRONO.NivelExibicao,MAX($AD$15:OFFSET(AD619,-1,0))+IF($C619&lt;&gt;1,1,MAX(1,COUNTIF(QCI!$A$13:$A$24,OFFSET($E619,-1,0)))),"")</f>
        <v/>
      </c>
      <c r="AE619" s="114" t="str">
        <f t="shared" ca="1" si="316"/>
        <v>SINAPI 97328</v>
      </c>
      <c r="AF619" s="159" t="str">
        <f t="shared" ca="1" si="317"/>
        <v>(abra o arquivo 'Referência 05-2024.xls)</v>
      </c>
      <c r="AG619" s="579">
        <f t="shared" ca="1" si="318"/>
        <v>0</v>
      </c>
      <c r="AH619" s="580">
        <f t="shared" ca="1" si="319"/>
        <v>0.22470000000000001</v>
      </c>
      <c r="AJ619" s="582">
        <v>156</v>
      </c>
      <c r="AL619" s="612"/>
      <c r="AM619" s="430">
        <f t="shared" ca="1" si="320"/>
        <v>0</v>
      </c>
      <c r="AN619" s="655">
        <f t="shared" ca="1" si="321"/>
        <v>0</v>
      </c>
    </row>
    <row r="620" spans="1:40" ht="13.8" x14ac:dyDescent="0.3">
      <c r="A620" t="str">
        <f t="shared" si="300"/>
        <v>S</v>
      </c>
      <c r="B620">
        <f t="shared" ca="1" si="301"/>
        <v>2</v>
      </c>
      <c r="C620" t="str">
        <f t="shared" ca="1" si="302"/>
        <v>S</v>
      </c>
      <c r="D620">
        <f t="shared" ca="1" si="303"/>
        <v>0</v>
      </c>
      <c r="E620">
        <f ca="1">IF($C620=1,OFFSET(E620,-1,0)+MAX(1,COUNTIF(QCI!$A$13:$A$24,OFFSET(ORÇAMENTO!E620,-1,0))),OFFSET(E620,-1,0))</f>
        <v>1</v>
      </c>
      <c r="F620">
        <f t="shared" ca="1" si="304"/>
        <v>19</v>
      </c>
      <c r="G620">
        <f t="shared" ca="1" si="305"/>
        <v>0</v>
      </c>
      <c r="H620">
        <f t="shared" ca="1" si="306"/>
        <v>0</v>
      </c>
      <c r="I620">
        <f t="shared" ca="1" si="307"/>
        <v>0</v>
      </c>
      <c r="J620">
        <f t="shared" ca="1" si="294"/>
        <v>0</v>
      </c>
      <c r="K620">
        <f ca="1">IF(OR($C620="S",$C620=0),0,MATCH(OFFSET($D620,0,$C620)+IF($C620&lt;&gt;1,1,COUNTIF(QCI!$A$13:$A$24,ORÇAMENTO!E620)),OFFSET($D620,1,$C620,ROW($C$710)-ROW($C620)),0))</f>
        <v>0</v>
      </c>
      <c r="L620" s="143" t="str">
        <f t="shared" ca="1" si="308"/>
        <v/>
      </c>
      <c r="M620" s="144" t="s">
        <v>201</v>
      </c>
      <c r="N620" s="145" t="str">
        <f t="shared" ca="1" si="309"/>
        <v>Serviço</v>
      </c>
      <c r="O620" s="146" t="str">
        <f t="shared" ca="1" si="310"/>
        <v>-</v>
      </c>
      <c r="P620" s="147" t="s">
        <v>249</v>
      </c>
      <c r="Q620" s="148">
        <v>97327</v>
      </c>
      <c r="R620" s="149" t="str">
        <f t="shared" ca="1" si="322"/>
        <v>(abra o arquivo 'Referência 05-2024.xls)</v>
      </c>
      <c r="S620" s="150" t="str">
        <f t="shared" ca="1" si="323"/>
        <v>-</v>
      </c>
      <c r="T620" s="151">
        <f ca="1">OFFSET(CÁLCULO!H$15,ROW($T620)-ROW(T$15),0)</f>
        <v>18</v>
      </c>
      <c r="U620" s="152">
        <f t="shared" ca="1" si="324"/>
        <v>0</v>
      </c>
      <c r="V620" s="153" t="s">
        <v>158</v>
      </c>
      <c r="W620" s="151">
        <f t="shared" ca="1" si="311"/>
        <v>0</v>
      </c>
      <c r="X620" s="154">
        <f t="shared" ca="1" si="312"/>
        <v>0</v>
      </c>
      <c r="Y620" s="155" t="s">
        <v>583</v>
      </c>
      <c r="Z620" t="str">
        <f t="shared" ca="1" si="313"/>
        <v/>
      </c>
      <c r="AA620" s="156">
        <f ca="1">IF($C620="S",IF($Z620="CP",$X620,IF($Z620="RA",(($X620)*QCI!$AA$3),0)),SomaAgrup)</f>
        <v>0</v>
      </c>
      <c r="AB620" s="157">
        <f t="shared" ca="1" si="314"/>
        <v>0</v>
      </c>
      <c r="AC620" s="158" t="str">
        <f t="shared" ca="1" si="315"/>
        <v/>
      </c>
      <c r="AD620" s="104" t="str">
        <f ca="1">IF(C620&lt;=CRONO.NivelExibicao,MAX($AD$15:OFFSET(AD620,-1,0))+IF($C620&lt;&gt;1,1,MAX(1,COUNTIF(QCI!$A$13:$A$24,OFFSET($E620,-1,0)))),"")</f>
        <v/>
      </c>
      <c r="AE620" s="114" t="str">
        <f t="shared" ca="1" si="316"/>
        <v>SINAPI 97327</v>
      </c>
      <c r="AF620" s="159" t="str">
        <f t="shared" ca="1" si="317"/>
        <v>(abra o arquivo 'Referência 05-2024.xls)</v>
      </c>
      <c r="AG620" s="579">
        <f t="shared" ca="1" si="318"/>
        <v>0</v>
      </c>
      <c r="AH620" s="580">
        <f t="shared" ca="1" si="319"/>
        <v>0.22470000000000001</v>
      </c>
      <c r="AJ620" s="582">
        <v>18</v>
      </c>
      <c r="AL620" s="612"/>
      <c r="AM620" s="430">
        <f t="shared" ca="1" si="320"/>
        <v>0</v>
      </c>
      <c r="AN620" s="655">
        <f t="shared" ca="1" si="321"/>
        <v>0</v>
      </c>
    </row>
    <row r="621" spans="1:40" ht="13.8" x14ac:dyDescent="0.3">
      <c r="A621" t="str">
        <f t="shared" si="300"/>
        <v>S</v>
      </c>
      <c r="B621">
        <f t="shared" ca="1" si="301"/>
        <v>2</v>
      </c>
      <c r="C621" t="str">
        <f t="shared" ca="1" si="302"/>
        <v>S</v>
      </c>
      <c r="D621">
        <f t="shared" ca="1" si="303"/>
        <v>0</v>
      </c>
      <c r="E621">
        <f ca="1">IF($C621=1,OFFSET(E621,-1,0)+MAX(1,COUNTIF(QCI!$A$13:$A$24,OFFSET(ORÇAMENTO!E621,-1,0))),OFFSET(E621,-1,0))</f>
        <v>1</v>
      </c>
      <c r="F621">
        <f t="shared" ca="1" si="304"/>
        <v>19</v>
      </c>
      <c r="G621">
        <f t="shared" ca="1" si="305"/>
        <v>0</v>
      </c>
      <c r="H621">
        <f t="shared" ca="1" si="306"/>
        <v>0</v>
      </c>
      <c r="I621">
        <f t="shared" ca="1" si="307"/>
        <v>0</v>
      </c>
      <c r="J621">
        <f t="shared" ca="1" si="294"/>
        <v>0</v>
      </c>
      <c r="K621">
        <f ca="1">IF(OR($C621="S",$C621=0),0,MATCH(OFFSET($D621,0,$C621)+IF($C621&lt;&gt;1,1,COUNTIF(QCI!$A$13:$A$24,ORÇAMENTO!E621)),OFFSET($D621,1,$C621,ROW($C$710)-ROW($C621)),0))</f>
        <v>0</v>
      </c>
      <c r="L621" s="143" t="str">
        <f t="shared" ca="1" si="308"/>
        <v/>
      </c>
      <c r="M621" s="144" t="s">
        <v>201</v>
      </c>
      <c r="N621" s="145" t="str">
        <f t="shared" ca="1" si="309"/>
        <v>Serviço</v>
      </c>
      <c r="O621" s="146" t="str">
        <f t="shared" ca="1" si="310"/>
        <v>-</v>
      </c>
      <c r="P621" s="147" t="s">
        <v>249</v>
      </c>
      <c r="Q621" s="148">
        <v>97328</v>
      </c>
      <c r="R621" s="149" t="str">
        <f t="shared" ca="1" si="322"/>
        <v>(abra o arquivo 'Referência 05-2024.xls)</v>
      </c>
      <c r="S621" s="150" t="str">
        <f t="shared" ca="1" si="323"/>
        <v>-</v>
      </c>
      <c r="T621" s="151">
        <f ca="1">OFFSET(CÁLCULO!H$15,ROW($T621)-ROW(T$15),0)</f>
        <v>140</v>
      </c>
      <c r="U621" s="152">
        <f t="shared" ca="1" si="324"/>
        <v>0</v>
      </c>
      <c r="V621" s="153" t="s">
        <v>158</v>
      </c>
      <c r="W621" s="151">
        <f t="shared" ca="1" si="311"/>
        <v>0</v>
      </c>
      <c r="X621" s="154">
        <f t="shared" ca="1" si="312"/>
        <v>0</v>
      </c>
      <c r="Y621" s="155" t="s">
        <v>583</v>
      </c>
      <c r="Z621" t="str">
        <f t="shared" ca="1" si="313"/>
        <v/>
      </c>
      <c r="AA621" s="156">
        <f ca="1">IF($C621="S",IF($Z621="CP",$X621,IF($Z621="RA",(($X621)*QCI!$AA$3),0)),SomaAgrup)</f>
        <v>0</v>
      </c>
      <c r="AB621" s="157">
        <f t="shared" ca="1" si="314"/>
        <v>0</v>
      </c>
      <c r="AC621" s="158" t="str">
        <f t="shared" ca="1" si="315"/>
        <v/>
      </c>
      <c r="AD621" s="104" t="str">
        <f ca="1">IF(C621&lt;=CRONO.NivelExibicao,MAX($AD$15:OFFSET(AD621,-1,0))+IF($C621&lt;&gt;1,1,MAX(1,COUNTIF(QCI!$A$13:$A$24,OFFSET($E621,-1,0)))),"")</f>
        <v/>
      </c>
      <c r="AE621" s="114" t="str">
        <f t="shared" ca="1" si="316"/>
        <v>SINAPI 97328</v>
      </c>
      <c r="AF621" s="159" t="str">
        <f t="shared" ca="1" si="317"/>
        <v>(abra o arquivo 'Referência 05-2024.xls)</v>
      </c>
      <c r="AG621" s="579">
        <f t="shared" ca="1" si="318"/>
        <v>0</v>
      </c>
      <c r="AH621" s="580">
        <f t="shared" ca="1" si="319"/>
        <v>0.22470000000000001</v>
      </c>
      <c r="AJ621" s="582">
        <v>140</v>
      </c>
      <c r="AL621" s="612"/>
      <c r="AM621" s="430">
        <f t="shared" ca="1" si="320"/>
        <v>0</v>
      </c>
      <c r="AN621" s="655">
        <f t="shared" ca="1" si="321"/>
        <v>0</v>
      </c>
    </row>
    <row r="622" spans="1:40" ht="13.8" x14ac:dyDescent="0.3">
      <c r="A622" t="str">
        <f t="shared" si="300"/>
        <v>S</v>
      </c>
      <c r="B622">
        <f t="shared" ca="1" si="301"/>
        <v>2</v>
      </c>
      <c r="C622" t="str">
        <f t="shared" ca="1" si="302"/>
        <v>S</v>
      </c>
      <c r="D622">
        <f t="shared" ca="1" si="303"/>
        <v>0</v>
      </c>
      <c r="E622">
        <f ca="1">IF($C622=1,OFFSET(E622,-1,0)+MAX(1,COUNTIF(QCI!$A$13:$A$24,OFFSET(ORÇAMENTO!E622,-1,0))),OFFSET(E622,-1,0))</f>
        <v>1</v>
      </c>
      <c r="F622">
        <f t="shared" ca="1" si="304"/>
        <v>19</v>
      </c>
      <c r="G622">
        <f t="shared" ca="1" si="305"/>
        <v>0</v>
      </c>
      <c r="H622">
        <f t="shared" ca="1" si="306"/>
        <v>0</v>
      </c>
      <c r="I622">
        <f t="shared" ca="1" si="307"/>
        <v>0</v>
      </c>
      <c r="J622">
        <f t="shared" ca="1" si="294"/>
        <v>0</v>
      </c>
      <c r="K622">
        <f ca="1">IF(OR($C622="S",$C622=0),0,MATCH(OFFSET($D622,0,$C622)+IF($C622&lt;&gt;1,1,COUNTIF(QCI!$A$13:$A$24,ORÇAMENTO!E622)),OFFSET($D622,1,$C622,ROW($C$710)-ROW($C622)),0))</f>
        <v>0</v>
      </c>
      <c r="L622" s="143" t="str">
        <f t="shared" ca="1" si="308"/>
        <v/>
      </c>
      <c r="M622" s="144" t="s">
        <v>201</v>
      </c>
      <c r="N622" s="145" t="str">
        <f t="shared" ca="1" si="309"/>
        <v>Serviço</v>
      </c>
      <c r="O622" s="146" t="str">
        <f t="shared" ca="1" si="310"/>
        <v>-</v>
      </c>
      <c r="P622" s="147" t="s">
        <v>249</v>
      </c>
      <c r="Q622" s="148">
        <v>97330</v>
      </c>
      <c r="R622" s="149" t="str">
        <f t="shared" ca="1" si="322"/>
        <v>(abra o arquivo 'Referência 05-2024.xls)</v>
      </c>
      <c r="S622" s="150" t="str">
        <f t="shared" ca="1" si="323"/>
        <v>-</v>
      </c>
      <c r="T622" s="151">
        <f ca="1">OFFSET(CÁLCULO!H$15,ROW($T622)-ROW(T$15),0)</f>
        <v>16</v>
      </c>
      <c r="U622" s="152">
        <f t="shared" ca="1" si="324"/>
        <v>0</v>
      </c>
      <c r="V622" s="153" t="s">
        <v>158</v>
      </c>
      <c r="W622" s="151">
        <f t="shared" ca="1" si="311"/>
        <v>0</v>
      </c>
      <c r="X622" s="154">
        <f t="shared" ca="1" si="312"/>
        <v>0</v>
      </c>
      <c r="Y622" s="155" t="s">
        <v>583</v>
      </c>
      <c r="Z622" t="str">
        <f t="shared" ca="1" si="313"/>
        <v/>
      </c>
      <c r="AA622" s="156">
        <f ca="1">IF($C622="S",IF($Z622="CP",$X622,IF($Z622="RA",(($X622)*QCI!$AA$3),0)),SomaAgrup)</f>
        <v>0</v>
      </c>
      <c r="AB622" s="157">
        <f t="shared" ca="1" si="314"/>
        <v>0</v>
      </c>
      <c r="AC622" s="158" t="str">
        <f t="shared" ca="1" si="315"/>
        <v/>
      </c>
      <c r="AD622" s="104" t="str">
        <f ca="1">IF(C622&lt;=CRONO.NivelExibicao,MAX($AD$15:OFFSET(AD622,-1,0))+IF($C622&lt;&gt;1,1,MAX(1,COUNTIF(QCI!$A$13:$A$24,OFFSET($E622,-1,0)))),"")</f>
        <v/>
      </c>
      <c r="AE622" s="114" t="str">
        <f t="shared" ca="1" si="316"/>
        <v>SINAPI 97330</v>
      </c>
      <c r="AF622" s="159" t="str">
        <f t="shared" ca="1" si="317"/>
        <v>(abra o arquivo 'Referência 05-2024.xls)</v>
      </c>
      <c r="AG622" s="579">
        <f t="shared" ca="1" si="318"/>
        <v>0</v>
      </c>
      <c r="AH622" s="580">
        <f t="shared" ca="1" si="319"/>
        <v>0.22470000000000001</v>
      </c>
      <c r="AJ622" s="582">
        <v>16</v>
      </c>
      <c r="AL622" s="612"/>
      <c r="AM622" s="430">
        <f t="shared" ca="1" si="320"/>
        <v>0</v>
      </c>
      <c r="AN622" s="655">
        <f t="shared" ca="1" si="321"/>
        <v>0</v>
      </c>
    </row>
    <row r="623" spans="1:40" ht="13.8" x14ac:dyDescent="0.3">
      <c r="A623" t="str">
        <f t="shared" si="300"/>
        <v>S</v>
      </c>
      <c r="B623">
        <f t="shared" ca="1" si="301"/>
        <v>2</v>
      </c>
      <c r="C623" t="str">
        <f t="shared" ca="1" si="302"/>
        <v>S</v>
      </c>
      <c r="D623">
        <f t="shared" ca="1" si="303"/>
        <v>0</v>
      </c>
      <c r="E623">
        <f ca="1">IF($C623=1,OFFSET(E623,-1,0)+MAX(1,COUNTIF(QCI!$A$13:$A$24,OFFSET(ORÇAMENTO!E623,-1,0))),OFFSET(E623,-1,0))</f>
        <v>1</v>
      </c>
      <c r="F623">
        <f t="shared" ca="1" si="304"/>
        <v>19</v>
      </c>
      <c r="G623">
        <f t="shared" ca="1" si="305"/>
        <v>0</v>
      </c>
      <c r="H623">
        <f t="shared" ca="1" si="306"/>
        <v>0</v>
      </c>
      <c r="I623">
        <f t="shared" ca="1" si="307"/>
        <v>0</v>
      </c>
      <c r="J623">
        <f t="shared" ca="1" si="294"/>
        <v>0</v>
      </c>
      <c r="K623">
        <f ca="1">IF(OR($C623="S",$C623=0),0,MATCH(OFFSET($D623,0,$C623)+IF($C623&lt;&gt;1,1,COUNTIF(QCI!$A$13:$A$24,ORÇAMENTO!E623)),OFFSET($D623,1,$C623,ROW($C$710)-ROW($C623)),0))</f>
        <v>0</v>
      </c>
      <c r="L623" s="143" t="str">
        <f t="shared" ca="1" si="308"/>
        <v/>
      </c>
      <c r="M623" s="144" t="s">
        <v>201</v>
      </c>
      <c r="N623" s="145" t="str">
        <f t="shared" ca="1" si="309"/>
        <v>Serviço</v>
      </c>
      <c r="O623" s="146" t="str">
        <f t="shared" ca="1" si="310"/>
        <v>-</v>
      </c>
      <c r="P623" s="147" t="s">
        <v>249</v>
      </c>
      <c r="Q623" s="148">
        <v>97329</v>
      </c>
      <c r="R623" s="149" t="str">
        <f t="shared" ca="1" si="322"/>
        <v>(abra o arquivo 'Referência 05-2024.xls)</v>
      </c>
      <c r="S623" s="150" t="str">
        <f t="shared" ca="1" si="323"/>
        <v>-</v>
      </c>
      <c r="T623" s="151">
        <f ca="1">OFFSET(CÁLCULO!H$15,ROW($T623)-ROW(T$15),0)</f>
        <v>18</v>
      </c>
      <c r="U623" s="152">
        <f t="shared" ca="1" si="324"/>
        <v>0</v>
      </c>
      <c r="V623" s="153" t="s">
        <v>158</v>
      </c>
      <c r="W623" s="151">
        <f t="shared" ca="1" si="311"/>
        <v>0</v>
      </c>
      <c r="X623" s="154">
        <f t="shared" ca="1" si="312"/>
        <v>0</v>
      </c>
      <c r="Y623" s="155" t="s">
        <v>583</v>
      </c>
      <c r="Z623" t="str">
        <f t="shared" ca="1" si="313"/>
        <v/>
      </c>
      <c r="AA623" s="156">
        <f ca="1">IF($C623="S",IF($Z623="CP",$X623,IF($Z623="RA",(($X623)*QCI!$AA$3),0)),SomaAgrup)</f>
        <v>0</v>
      </c>
      <c r="AB623" s="157">
        <f t="shared" ca="1" si="314"/>
        <v>0</v>
      </c>
      <c r="AC623" s="158" t="str">
        <f t="shared" ca="1" si="315"/>
        <v/>
      </c>
      <c r="AD623" s="104" t="str">
        <f ca="1">IF(C623&lt;=CRONO.NivelExibicao,MAX($AD$15:OFFSET(AD623,-1,0))+IF($C623&lt;&gt;1,1,MAX(1,COUNTIF(QCI!$A$13:$A$24,OFFSET($E623,-1,0)))),"")</f>
        <v/>
      </c>
      <c r="AE623" s="114" t="str">
        <f t="shared" ca="1" si="316"/>
        <v>SINAPI 97329</v>
      </c>
      <c r="AF623" s="159" t="str">
        <f t="shared" ca="1" si="317"/>
        <v>(abra o arquivo 'Referência 05-2024.xls)</v>
      </c>
      <c r="AG623" s="579">
        <f t="shared" ca="1" si="318"/>
        <v>0</v>
      </c>
      <c r="AH623" s="580">
        <f t="shared" ca="1" si="319"/>
        <v>0.22470000000000001</v>
      </c>
      <c r="AJ623" s="582">
        <v>18</v>
      </c>
      <c r="AL623" s="612"/>
      <c r="AM623" s="430">
        <f t="shared" ca="1" si="320"/>
        <v>0</v>
      </c>
      <c r="AN623" s="655">
        <f t="shared" ca="1" si="321"/>
        <v>0</v>
      </c>
    </row>
    <row r="624" spans="1:40" ht="13.8" x14ac:dyDescent="0.3">
      <c r="A624" t="str">
        <f t="shared" si="300"/>
        <v>S</v>
      </c>
      <c r="B624">
        <f t="shared" ca="1" si="301"/>
        <v>2</v>
      </c>
      <c r="C624" t="str">
        <f t="shared" ca="1" si="302"/>
        <v>S</v>
      </c>
      <c r="D624">
        <f t="shared" ca="1" si="303"/>
        <v>0</v>
      </c>
      <c r="E624">
        <f ca="1">IF($C624=1,OFFSET(E624,-1,0)+MAX(1,COUNTIF(QCI!$A$13:$A$24,OFFSET(ORÇAMENTO!E624,-1,0))),OFFSET(E624,-1,0))</f>
        <v>1</v>
      </c>
      <c r="F624">
        <f t="shared" ca="1" si="304"/>
        <v>19</v>
      </c>
      <c r="G624">
        <f t="shared" ca="1" si="305"/>
        <v>0</v>
      </c>
      <c r="H624">
        <f t="shared" ca="1" si="306"/>
        <v>0</v>
      </c>
      <c r="I624">
        <f t="shared" ca="1" si="307"/>
        <v>0</v>
      </c>
      <c r="J624">
        <f t="shared" ca="1" si="294"/>
        <v>0</v>
      </c>
      <c r="K624">
        <f ca="1">IF(OR($C624="S",$C624=0),0,MATCH(OFFSET($D624,0,$C624)+IF($C624&lt;&gt;1,1,COUNTIF(QCI!$A$13:$A$24,ORÇAMENTO!E624)),OFFSET($D624,1,$C624,ROW($C$710)-ROW($C624)),0))</f>
        <v>0</v>
      </c>
      <c r="L624" s="143" t="str">
        <f t="shared" ca="1" si="308"/>
        <v/>
      </c>
      <c r="M624" s="144" t="s">
        <v>201</v>
      </c>
      <c r="N624" s="145" t="str">
        <f t="shared" ca="1" si="309"/>
        <v>Serviço</v>
      </c>
      <c r="O624" s="146" t="str">
        <f t="shared" ca="1" si="310"/>
        <v>-</v>
      </c>
      <c r="P624" s="147" t="s">
        <v>249</v>
      </c>
      <c r="Q624" s="148">
        <v>100763</v>
      </c>
      <c r="R624" s="149" t="str">
        <f t="shared" ca="1" si="322"/>
        <v>(abra o arquivo 'Referência 05-2024.xls)</v>
      </c>
      <c r="S624" s="150" t="str">
        <f t="shared" ca="1" si="323"/>
        <v>-</v>
      </c>
      <c r="T624" s="151">
        <f ca="1">OFFSET(CÁLCULO!H$15,ROW($T624)-ROW(T$15),0)</f>
        <v>257.44</v>
      </c>
      <c r="U624" s="152">
        <f t="shared" ca="1" si="324"/>
        <v>0</v>
      </c>
      <c r="V624" s="153" t="s">
        <v>158</v>
      </c>
      <c r="W624" s="151">
        <f t="shared" ca="1" si="311"/>
        <v>0</v>
      </c>
      <c r="X624" s="154">
        <f t="shared" ca="1" si="312"/>
        <v>0</v>
      </c>
      <c r="Y624" s="155" t="s">
        <v>583</v>
      </c>
      <c r="Z624" t="str">
        <f t="shared" ca="1" si="313"/>
        <v/>
      </c>
      <c r="AA624" s="156">
        <f ca="1">IF($C624="S",IF($Z624="CP",$X624,IF($Z624="RA",(($X624)*QCI!$AA$3),0)),SomaAgrup)</f>
        <v>0</v>
      </c>
      <c r="AB624" s="157">
        <f t="shared" ca="1" si="314"/>
        <v>0</v>
      </c>
      <c r="AC624" s="158" t="str">
        <f t="shared" ca="1" si="315"/>
        <v/>
      </c>
      <c r="AD624" s="104" t="str">
        <f ca="1">IF(C624&lt;=CRONO.NivelExibicao,MAX($AD$15:OFFSET(AD624,-1,0))+IF($C624&lt;&gt;1,1,MAX(1,COUNTIF(QCI!$A$13:$A$24,OFFSET($E624,-1,0)))),"")</f>
        <v/>
      </c>
      <c r="AE624" s="114" t="str">
        <f t="shared" ca="1" si="316"/>
        <v>SINAPI 100763</v>
      </c>
      <c r="AF624" s="159" t="str">
        <f t="shared" ca="1" si="317"/>
        <v>(abra o arquivo 'Referência 05-2024.xls)</v>
      </c>
      <c r="AG624" s="579">
        <f t="shared" ca="1" si="318"/>
        <v>0</v>
      </c>
      <c r="AH624" s="580">
        <f t="shared" ca="1" si="319"/>
        <v>0.22470000000000001</v>
      </c>
      <c r="AJ624" s="582">
        <v>257.44</v>
      </c>
      <c r="AL624" s="612"/>
      <c r="AM624" s="430">
        <f t="shared" ca="1" si="320"/>
        <v>0</v>
      </c>
      <c r="AN624" s="655">
        <f t="shared" ca="1" si="321"/>
        <v>0</v>
      </c>
    </row>
    <row r="625" spans="1:40" ht="13.8" x14ac:dyDescent="0.3">
      <c r="A625" t="str">
        <f t="shared" si="300"/>
        <v>S</v>
      </c>
      <c r="B625">
        <f t="shared" ca="1" si="301"/>
        <v>2</v>
      </c>
      <c r="C625" t="str">
        <f t="shared" ca="1" si="302"/>
        <v>S</v>
      </c>
      <c r="D625">
        <f t="shared" ca="1" si="303"/>
        <v>0</v>
      </c>
      <c r="E625">
        <f ca="1">IF($C625=1,OFFSET(E625,-1,0)+MAX(1,COUNTIF(QCI!$A$13:$A$24,OFFSET(ORÇAMENTO!E625,-1,0))),OFFSET(E625,-1,0))</f>
        <v>1</v>
      </c>
      <c r="F625">
        <f t="shared" ca="1" si="304"/>
        <v>19</v>
      </c>
      <c r="G625">
        <f t="shared" ca="1" si="305"/>
        <v>0</v>
      </c>
      <c r="H625">
        <f t="shared" ca="1" si="306"/>
        <v>0</v>
      </c>
      <c r="I625">
        <f t="shared" ca="1" si="307"/>
        <v>0</v>
      </c>
      <c r="J625">
        <f t="shared" ca="1" si="294"/>
        <v>0</v>
      </c>
      <c r="K625">
        <f ca="1">IF(OR($C625="S",$C625=0),0,MATCH(OFFSET($D625,0,$C625)+IF($C625&lt;&gt;1,1,COUNTIF(QCI!$A$13:$A$24,ORÇAMENTO!E625)),OFFSET($D625,1,$C625,ROW($C$710)-ROW($C625)),0))</f>
        <v>0</v>
      </c>
      <c r="L625" s="143" t="str">
        <f t="shared" ca="1" si="308"/>
        <v/>
      </c>
      <c r="M625" s="144" t="s">
        <v>201</v>
      </c>
      <c r="N625" s="145" t="str">
        <f t="shared" ca="1" si="309"/>
        <v>Serviço</v>
      </c>
      <c r="O625" s="146" t="str">
        <f t="shared" ca="1" si="310"/>
        <v>-</v>
      </c>
      <c r="P625" s="147" t="s">
        <v>249</v>
      </c>
      <c r="Q625" s="148">
        <v>89865</v>
      </c>
      <c r="R625" s="149" t="str">
        <f t="shared" ca="1" si="322"/>
        <v>(abra o arquivo 'Referência 05-2024.xls)</v>
      </c>
      <c r="S625" s="150" t="str">
        <f t="shared" ca="1" si="323"/>
        <v>-</v>
      </c>
      <c r="T625" s="151">
        <f ca="1">OFFSET(CÁLCULO!H$15,ROW($T625)-ROW(T$15),0)</f>
        <v>55</v>
      </c>
      <c r="U625" s="152">
        <f t="shared" ca="1" si="324"/>
        <v>0</v>
      </c>
      <c r="V625" s="153" t="s">
        <v>158</v>
      </c>
      <c r="W625" s="151">
        <f t="shared" ca="1" si="311"/>
        <v>0</v>
      </c>
      <c r="X625" s="154">
        <f t="shared" ca="1" si="312"/>
        <v>0</v>
      </c>
      <c r="Y625" s="155" t="s">
        <v>583</v>
      </c>
      <c r="Z625" t="str">
        <f t="shared" ca="1" si="313"/>
        <v/>
      </c>
      <c r="AA625" s="156">
        <f ca="1">IF($C625="S",IF($Z625="CP",$X625,IF($Z625="RA",(($X625)*QCI!$AA$3),0)),SomaAgrup)</f>
        <v>0</v>
      </c>
      <c r="AB625" s="157">
        <f t="shared" ca="1" si="314"/>
        <v>0</v>
      </c>
      <c r="AC625" s="158" t="str">
        <f t="shared" ca="1" si="315"/>
        <v/>
      </c>
      <c r="AD625" s="104" t="str">
        <f ca="1">IF(C625&lt;=CRONO.NivelExibicao,MAX($AD$15:OFFSET(AD625,-1,0))+IF($C625&lt;&gt;1,1,MAX(1,COUNTIF(QCI!$A$13:$A$24,OFFSET($E625,-1,0)))),"")</f>
        <v/>
      </c>
      <c r="AE625" s="114" t="str">
        <f t="shared" ca="1" si="316"/>
        <v>SINAPI 89865</v>
      </c>
      <c r="AF625" s="159" t="str">
        <f t="shared" ca="1" si="317"/>
        <v>(abra o arquivo 'Referência 05-2024.xls)</v>
      </c>
      <c r="AG625" s="579">
        <f t="shared" ca="1" si="318"/>
        <v>0</v>
      </c>
      <c r="AH625" s="580">
        <f t="shared" ca="1" si="319"/>
        <v>0.22470000000000001</v>
      </c>
      <c r="AJ625" s="582">
        <v>55</v>
      </c>
      <c r="AL625" s="612"/>
      <c r="AM625" s="430">
        <f t="shared" ca="1" si="320"/>
        <v>0</v>
      </c>
      <c r="AN625" s="655">
        <f t="shared" ca="1" si="321"/>
        <v>0</v>
      </c>
    </row>
    <row r="626" spans="1:40" ht="13.8" x14ac:dyDescent="0.3">
      <c r="A626" t="str">
        <f t="shared" si="300"/>
        <v>S</v>
      </c>
      <c r="B626">
        <f t="shared" ca="1" si="301"/>
        <v>2</v>
      </c>
      <c r="C626" t="str">
        <f t="shared" ca="1" si="302"/>
        <v>S</v>
      </c>
      <c r="D626">
        <f t="shared" ca="1" si="303"/>
        <v>0</v>
      </c>
      <c r="E626">
        <f ca="1">IF($C626=1,OFFSET(E626,-1,0)+MAX(1,COUNTIF(QCI!$A$13:$A$24,OFFSET(ORÇAMENTO!E626,-1,0))),OFFSET(E626,-1,0))</f>
        <v>1</v>
      </c>
      <c r="F626">
        <f t="shared" ca="1" si="304"/>
        <v>19</v>
      </c>
      <c r="G626">
        <f t="shared" ca="1" si="305"/>
        <v>0</v>
      </c>
      <c r="H626">
        <f t="shared" ca="1" si="306"/>
        <v>0</v>
      </c>
      <c r="I626">
        <f t="shared" ca="1" si="307"/>
        <v>0</v>
      </c>
      <c r="J626">
        <f t="shared" ca="1" si="294"/>
        <v>0</v>
      </c>
      <c r="K626">
        <f ca="1">IF(OR($C626="S",$C626=0),0,MATCH(OFFSET($D626,0,$C626)+IF($C626&lt;&gt;1,1,COUNTIF(QCI!$A$13:$A$24,ORÇAMENTO!E626)),OFFSET($D626,1,$C626,ROW($C$710)-ROW($C626)),0))</f>
        <v>0</v>
      </c>
      <c r="L626" s="143" t="str">
        <f t="shared" ca="1" si="308"/>
        <v/>
      </c>
      <c r="M626" s="144" t="s">
        <v>201</v>
      </c>
      <c r="N626" s="145" t="str">
        <f t="shared" ca="1" si="309"/>
        <v>Serviço</v>
      </c>
      <c r="O626" s="146" t="str">
        <f t="shared" ca="1" si="310"/>
        <v>-</v>
      </c>
      <c r="P626" s="147" t="s">
        <v>249</v>
      </c>
      <c r="Q626" s="148">
        <v>89866</v>
      </c>
      <c r="R626" s="149" t="str">
        <f t="shared" ca="1" si="322"/>
        <v>(abra o arquivo 'Referência 05-2024.xls)</v>
      </c>
      <c r="S626" s="150" t="str">
        <f t="shared" ca="1" si="323"/>
        <v>-</v>
      </c>
      <c r="T626" s="151">
        <f ca="1">OFFSET(CÁLCULO!H$15,ROW($T626)-ROW(T$15),0)</f>
        <v>105</v>
      </c>
      <c r="U626" s="152">
        <f t="shared" ca="1" si="324"/>
        <v>0</v>
      </c>
      <c r="V626" s="153" t="s">
        <v>158</v>
      </c>
      <c r="W626" s="151">
        <f t="shared" ca="1" si="311"/>
        <v>0</v>
      </c>
      <c r="X626" s="154">
        <f t="shared" ca="1" si="312"/>
        <v>0</v>
      </c>
      <c r="Y626" s="155" t="s">
        <v>583</v>
      </c>
      <c r="Z626" t="str">
        <f t="shared" ca="1" si="313"/>
        <v/>
      </c>
      <c r="AA626" s="156">
        <f ca="1">IF($C626="S",IF($Z626="CP",$X626,IF($Z626="RA",(($X626)*QCI!$AA$3),0)),SomaAgrup)</f>
        <v>0</v>
      </c>
      <c r="AB626" s="157">
        <f t="shared" ca="1" si="314"/>
        <v>0</v>
      </c>
      <c r="AC626" s="158" t="str">
        <f t="shared" ca="1" si="315"/>
        <v/>
      </c>
      <c r="AD626" s="104" t="str">
        <f ca="1">IF(C626&lt;=CRONO.NivelExibicao,MAX($AD$15:OFFSET(AD626,-1,0))+IF($C626&lt;&gt;1,1,MAX(1,COUNTIF(QCI!$A$13:$A$24,OFFSET($E626,-1,0)))),"")</f>
        <v/>
      </c>
      <c r="AE626" s="114" t="str">
        <f t="shared" ca="1" si="316"/>
        <v>SINAPI 89866</v>
      </c>
      <c r="AF626" s="159" t="str">
        <f t="shared" ca="1" si="317"/>
        <v>(abra o arquivo 'Referência 05-2024.xls)</v>
      </c>
      <c r="AG626" s="579">
        <f t="shared" ca="1" si="318"/>
        <v>0</v>
      </c>
      <c r="AH626" s="580">
        <f t="shared" ca="1" si="319"/>
        <v>0.22470000000000001</v>
      </c>
      <c r="AJ626" s="582">
        <v>105</v>
      </c>
      <c r="AL626" s="612"/>
      <c r="AM626" s="430">
        <f t="shared" ca="1" si="320"/>
        <v>0</v>
      </c>
      <c r="AN626" s="655">
        <f t="shared" ca="1" si="321"/>
        <v>0</v>
      </c>
    </row>
    <row r="627" spans="1:40" ht="13.8" x14ac:dyDescent="0.3">
      <c r="A627" t="str">
        <f t="shared" si="300"/>
        <v>S</v>
      </c>
      <c r="B627">
        <f t="shared" ca="1" si="301"/>
        <v>2</v>
      </c>
      <c r="C627" t="str">
        <f t="shared" ca="1" si="302"/>
        <v>S</v>
      </c>
      <c r="D627">
        <f t="shared" ca="1" si="303"/>
        <v>0</v>
      </c>
      <c r="E627">
        <f ca="1">IF($C627=1,OFFSET(E627,-1,0)+MAX(1,COUNTIF(QCI!$A$13:$A$24,OFFSET(ORÇAMENTO!E627,-1,0))),OFFSET(E627,-1,0))</f>
        <v>1</v>
      </c>
      <c r="F627">
        <f t="shared" ca="1" si="304"/>
        <v>19</v>
      </c>
      <c r="G627">
        <f t="shared" ca="1" si="305"/>
        <v>0</v>
      </c>
      <c r="H627">
        <f t="shared" ca="1" si="306"/>
        <v>0</v>
      </c>
      <c r="I627">
        <f t="shared" ca="1" si="307"/>
        <v>0</v>
      </c>
      <c r="J627">
        <f t="shared" ca="1" si="294"/>
        <v>0</v>
      </c>
      <c r="K627">
        <f ca="1">IF(OR($C627="S",$C627=0),0,MATCH(OFFSET($D627,0,$C627)+IF($C627&lt;&gt;1,1,COUNTIF(QCI!$A$13:$A$24,ORÇAMENTO!E627)),OFFSET($D627,1,$C627,ROW($C$710)-ROW($C627)),0))</f>
        <v>0</v>
      </c>
      <c r="L627" s="143" t="str">
        <f t="shared" ca="1" si="308"/>
        <v/>
      </c>
      <c r="M627" s="144" t="s">
        <v>201</v>
      </c>
      <c r="N627" s="145" t="str">
        <f t="shared" ca="1" si="309"/>
        <v>Serviço</v>
      </c>
      <c r="O627" s="146" t="str">
        <f t="shared" ca="1" si="310"/>
        <v>-</v>
      </c>
      <c r="P627" s="147" t="s">
        <v>249</v>
      </c>
      <c r="Q627" s="148">
        <v>103964</v>
      </c>
      <c r="R627" s="149" t="str">
        <f t="shared" ca="1" si="322"/>
        <v>(abra o arquivo 'Referência 05-2024.xls)</v>
      </c>
      <c r="S627" s="150" t="str">
        <f t="shared" ca="1" si="323"/>
        <v>-</v>
      </c>
      <c r="T627" s="151">
        <f ca="1">OFFSET(CÁLCULO!H$15,ROW($T627)-ROW(T$15),0)</f>
        <v>21</v>
      </c>
      <c r="U627" s="152">
        <f t="shared" ca="1" si="324"/>
        <v>0</v>
      </c>
      <c r="V627" s="153" t="s">
        <v>158</v>
      </c>
      <c r="W627" s="151">
        <f t="shared" ca="1" si="311"/>
        <v>0</v>
      </c>
      <c r="X627" s="154">
        <f t="shared" ca="1" si="312"/>
        <v>0</v>
      </c>
      <c r="Y627" s="155" t="s">
        <v>583</v>
      </c>
      <c r="Z627" t="str">
        <f t="shared" ca="1" si="313"/>
        <v/>
      </c>
      <c r="AA627" s="156">
        <f ca="1">IF($C627="S",IF($Z627="CP",$X627,IF($Z627="RA",(($X627)*QCI!$AA$3),0)),SomaAgrup)</f>
        <v>0</v>
      </c>
      <c r="AB627" s="157">
        <f t="shared" ca="1" si="314"/>
        <v>0</v>
      </c>
      <c r="AC627" s="158" t="str">
        <f t="shared" ca="1" si="315"/>
        <v/>
      </c>
      <c r="AD627" s="104" t="str">
        <f ca="1">IF(C627&lt;=CRONO.NivelExibicao,MAX($AD$15:OFFSET(AD627,-1,0))+IF($C627&lt;&gt;1,1,MAX(1,COUNTIF(QCI!$A$13:$A$24,OFFSET($E627,-1,0)))),"")</f>
        <v/>
      </c>
      <c r="AE627" s="114" t="str">
        <f t="shared" ca="1" si="316"/>
        <v>SINAPI 103964</v>
      </c>
      <c r="AF627" s="159" t="str">
        <f t="shared" ca="1" si="317"/>
        <v>(abra o arquivo 'Referência 05-2024.xls)</v>
      </c>
      <c r="AG627" s="579">
        <f t="shared" ca="1" si="318"/>
        <v>0</v>
      </c>
      <c r="AH627" s="580">
        <f t="shared" ca="1" si="319"/>
        <v>0.22470000000000001</v>
      </c>
      <c r="AJ627" s="582">
        <v>21</v>
      </c>
      <c r="AL627" s="612"/>
      <c r="AM627" s="430">
        <f t="shared" ca="1" si="320"/>
        <v>0</v>
      </c>
      <c r="AN627" s="655">
        <f t="shared" ca="1" si="321"/>
        <v>0</v>
      </c>
    </row>
    <row r="628" spans="1:40" ht="13.8" x14ac:dyDescent="0.3">
      <c r="A628">
        <f t="shared" si="300"/>
        <v>2</v>
      </c>
      <c r="B628">
        <f t="shared" ca="1" si="301"/>
        <v>2</v>
      </c>
      <c r="C628">
        <f t="shared" ca="1" si="302"/>
        <v>2</v>
      </c>
      <c r="D628">
        <f t="shared" ca="1" si="303"/>
        <v>40</v>
      </c>
      <c r="E628">
        <f ca="1">IF($C628=1,OFFSET(E628,-1,0)+MAX(1,COUNTIF(QCI!$A$13:$A$24,OFFSET(ORÇAMENTO!E628,-1,0))),OFFSET(E628,-1,0))</f>
        <v>1</v>
      </c>
      <c r="F628">
        <f t="shared" ca="1" si="304"/>
        <v>20</v>
      </c>
      <c r="G628">
        <f t="shared" ca="1" si="305"/>
        <v>0</v>
      </c>
      <c r="H628">
        <f t="shared" ca="1" si="306"/>
        <v>0</v>
      </c>
      <c r="I628">
        <f t="shared" ca="1" si="307"/>
        <v>0</v>
      </c>
      <c r="J628">
        <f t="shared" ca="1" si="294"/>
        <v>74</v>
      </c>
      <c r="K628">
        <f ca="1">IF(OR($C628="S",$C628=0),0,MATCH(OFFSET($D628,0,$C628)+IF($C628&lt;&gt;1,1,COUNTIF(QCI!$A$13:$A$24,ORÇAMENTO!E628)),OFFSET($D628,1,$C628,ROW($C$710)-ROW($C628)),0))</f>
        <v>40</v>
      </c>
      <c r="L628" s="143" t="str">
        <f t="shared" ca="1" si="308"/>
        <v>F</v>
      </c>
      <c r="M628" s="144" t="s">
        <v>198</v>
      </c>
      <c r="N628" s="145" t="str">
        <f t="shared" ca="1" si="309"/>
        <v>Nível 2</v>
      </c>
      <c r="O628" s="146" t="str">
        <f t="shared" ca="1" si="310"/>
        <v>1.20.</v>
      </c>
      <c r="P628" s="147" t="s">
        <v>249</v>
      </c>
      <c r="Q628" s="148"/>
      <c r="R628" s="149" t="s">
        <v>555</v>
      </c>
      <c r="S628" s="150" t="s">
        <v>168</v>
      </c>
      <c r="T628" s="151">
        <f ca="1">OFFSET(CÁLCULO!H$15,ROW($T628)-ROW(T$15),0)</f>
        <v>0</v>
      </c>
      <c r="U628" s="152"/>
      <c r="V628" s="153" t="s">
        <v>158</v>
      </c>
      <c r="W628" s="151">
        <f t="shared" ca="1" si="311"/>
        <v>0</v>
      </c>
      <c r="X628" s="154">
        <f t="shared" ca="1" si="312"/>
        <v>0</v>
      </c>
      <c r="Y628" s="155" t="s">
        <v>583</v>
      </c>
      <c r="Z628" t="str">
        <f t="shared" ca="1" si="313"/>
        <v/>
      </c>
      <c r="AA628" s="156">
        <f ca="1">IF($C628="S",IF($Z628="CP",$X628,IF($Z628="RA",(($X628)*QCI!$AA$3),0)),SomaAgrup)</f>
        <v>0</v>
      </c>
      <c r="AB628" s="157">
        <f t="shared" ca="1" si="314"/>
        <v>0</v>
      </c>
      <c r="AC628" s="158" t="str">
        <f t="shared" ca="1" si="315"/>
        <v/>
      </c>
      <c r="AD628" s="104">
        <f ca="1">IF(C628&lt;=CRONO.NivelExibicao,MAX($AD$15:OFFSET(AD628,-1,0))+IF($C628&lt;&gt;1,1,MAX(1,COUNTIF(QCI!$A$13:$A$24,OFFSET($E628,-1,0)))),"")</f>
        <v>21</v>
      </c>
      <c r="AE628" s="114" t="b">
        <f t="shared" ca="1" si="316"/>
        <v>0</v>
      </c>
      <c r="AF628" s="159" t="str">
        <f t="shared" ca="1" si="317"/>
        <v>(abra o arquivo 'Referência 05-2024.xls)</v>
      </c>
      <c r="AG628" s="579">
        <f t="shared" ca="1" si="318"/>
        <v>0</v>
      </c>
      <c r="AH628" s="580">
        <f t="shared" ca="1" si="319"/>
        <v>0.22470000000000001</v>
      </c>
      <c r="AJ628" s="582"/>
      <c r="AL628" s="612"/>
      <c r="AM628" s="430">
        <f t="shared" ca="1" si="320"/>
        <v>0</v>
      </c>
      <c r="AN628" s="655">
        <f t="shared" ca="1" si="321"/>
        <v>0</v>
      </c>
    </row>
    <row r="629" spans="1:40" ht="13.8" x14ac:dyDescent="0.3">
      <c r="A629">
        <f t="shared" si="300"/>
        <v>3</v>
      </c>
      <c r="B629">
        <f t="shared" ca="1" si="301"/>
        <v>3</v>
      </c>
      <c r="C629">
        <f t="shared" ca="1" si="302"/>
        <v>3</v>
      </c>
      <c r="D629">
        <f t="shared" ca="1" si="303"/>
        <v>5</v>
      </c>
      <c r="E629">
        <f ca="1">IF($C629=1,OFFSET(E629,-1,0)+MAX(1,COUNTIF(QCI!$A$13:$A$24,OFFSET(ORÇAMENTO!E629,-1,0))),OFFSET(E629,-1,0))</f>
        <v>1</v>
      </c>
      <c r="F629">
        <f t="shared" ca="1" si="304"/>
        <v>20</v>
      </c>
      <c r="G629">
        <f t="shared" ca="1" si="305"/>
        <v>1</v>
      </c>
      <c r="H629">
        <f t="shared" ca="1" si="306"/>
        <v>0</v>
      </c>
      <c r="I629">
        <f t="shared" ca="1" si="307"/>
        <v>0</v>
      </c>
      <c r="J629">
        <f t="shared" ca="1" si="294"/>
        <v>39</v>
      </c>
      <c r="K629">
        <f ca="1">IF(OR($C629="S",$C629=0),0,MATCH(OFFSET($D629,0,$C629)+IF($C629&lt;&gt;1,1,COUNTIF(QCI!$A$13:$A$24,ORÇAMENTO!E629)),OFFSET($D629,1,$C629,ROW($C$710)-ROW($C629)),0))</f>
        <v>5</v>
      </c>
      <c r="L629" s="143" t="str">
        <f t="shared" ca="1" si="308"/>
        <v>F</v>
      </c>
      <c r="M629" s="144" t="s">
        <v>199</v>
      </c>
      <c r="N629" s="145" t="str">
        <f t="shared" ca="1" si="309"/>
        <v>Nível 3</v>
      </c>
      <c r="O629" s="146" t="str">
        <f t="shared" ca="1" si="310"/>
        <v>1.20.1.</v>
      </c>
      <c r="P629" s="147" t="s">
        <v>249</v>
      </c>
      <c r="Q629" s="148"/>
      <c r="R629" s="149" t="s">
        <v>556</v>
      </c>
      <c r="S629" s="150" t="s">
        <v>168</v>
      </c>
      <c r="T629" s="151">
        <f ca="1">OFFSET(CÁLCULO!H$15,ROW($T629)-ROW(T$15),0)</f>
        <v>0</v>
      </c>
      <c r="U629" s="152"/>
      <c r="V629" s="153" t="s">
        <v>158</v>
      </c>
      <c r="W629" s="151">
        <f t="shared" ca="1" si="311"/>
        <v>0</v>
      </c>
      <c r="X629" s="154">
        <f t="shared" ca="1" si="312"/>
        <v>0</v>
      </c>
      <c r="Y629" s="155" t="s">
        <v>583</v>
      </c>
      <c r="Z629" t="str">
        <f t="shared" ca="1" si="313"/>
        <v/>
      </c>
      <c r="AA629" s="156">
        <f ca="1">IF($C629="S",IF($Z629="CP",$X629,IF($Z629="RA",(($X629)*QCI!$AA$3),0)),SomaAgrup)</f>
        <v>0</v>
      </c>
      <c r="AB629" s="157">
        <f t="shared" ca="1" si="314"/>
        <v>0</v>
      </c>
      <c r="AC629" s="158" t="str">
        <f t="shared" ca="1" si="315"/>
        <v/>
      </c>
      <c r="AD629" s="104" t="str">
        <f ca="1">IF(C629&lt;=CRONO.NivelExibicao,MAX($AD$15:OFFSET(AD629,-1,0))+IF($C629&lt;&gt;1,1,MAX(1,COUNTIF(QCI!$A$13:$A$24,OFFSET($E629,-1,0)))),"")</f>
        <v/>
      </c>
      <c r="AE629" s="114" t="b">
        <f t="shared" ca="1" si="316"/>
        <v>0</v>
      </c>
      <c r="AF629" s="159" t="str">
        <f t="shared" ca="1" si="317"/>
        <v>(abra o arquivo 'Referência 05-2024.xls)</v>
      </c>
      <c r="AG629" s="579">
        <f t="shared" ca="1" si="318"/>
        <v>0</v>
      </c>
      <c r="AH629" s="580">
        <f t="shared" ca="1" si="319"/>
        <v>0.22470000000000001</v>
      </c>
      <c r="AJ629" s="582"/>
      <c r="AL629" s="612"/>
      <c r="AM629" s="430">
        <f t="shared" ca="1" si="320"/>
        <v>0</v>
      </c>
      <c r="AN629" s="655">
        <f t="shared" ca="1" si="321"/>
        <v>0</v>
      </c>
    </row>
    <row r="630" spans="1:40" ht="13.8" x14ac:dyDescent="0.3">
      <c r="A630" t="str">
        <f t="shared" si="300"/>
        <v>S</v>
      </c>
      <c r="B630">
        <f t="shared" ca="1" si="301"/>
        <v>3</v>
      </c>
      <c r="C630" t="str">
        <f t="shared" ca="1" si="302"/>
        <v>S</v>
      </c>
      <c r="D630">
        <f t="shared" ca="1" si="303"/>
        <v>0</v>
      </c>
      <c r="E630">
        <f ca="1">IF($C630=1,OFFSET(E630,-1,0)+MAX(1,COUNTIF(QCI!$A$13:$A$24,OFFSET(ORÇAMENTO!E630,-1,0))),OFFSET(E630,-1,0))</f>
        <v>1</v>
      </c>
      <c r="F630">
        <f t="shared" ca="1" si="304"/>
        <v>20</v>
      </c>
      <c r="G630">
        <f t="shared" ca="1" si="305"/>
        <v>1</v>
      </c>
      <c r="H630">
        <f t="shared" ca="1" si="306"/>
        <v>0</v>
      </c>
      <c r="I630">
        <f t="shared" ca="1" si="307"/>
        <v>0</v>
      </c>
      <c r="J630">
        <f t="shared" ca="1" si="294"/>
        <v>0</v>
      </c>
      <c r="K630">
        <f ca="1">IF(OR($C630="S",$C630=0),0,MATCH(OFFSET($D630,0,$C630)+IF($C630&lt;&gt;1,1,COUNTIF(QCI!$A$13:$A$24,ORÇAMENTO!E630)),OFFSET($D630,1,$C630,ROW($C$710)-ROW($C630)),0))</f>
        <v>0</v>
      </c>
      <c r="L630" s="143" t="str">
        <f t="shared" ca="1" si="308"/>
        <v/>
      </c>
      <c r="M630" s="144" t="s">
        <v>201</v>
      </c>
      <c r="N630" s="145" t="str">
        <f t="shared" ca="1" si="309"/>
        <v>Serviço</v>
      </c>
      <c r="O630" s="146" t="str">
        <f t="shared" ca="1" si="310"/>
        <v>-</v>
      </c>
      <c r="P630" s="147" t="s">
        <v>249</v>
      </c>
      <c r="Q630" s="148">
        <v>98302</v>
      </c>
      <c r="R630" s="149" t="str">
        <f ca="1">IF($C630="S",REFERENCIA.Descricao,"(digite a descrição aqui)")</f>
        <v>(abra o arquivo 'Referência 05-2024.xls)</v>
      </c>
      <c r="S630" s="150" t="str">
        <f ca="1">REFERENCIA.Unidade</f>
        <v>-</v>
      </c>
      <c r="T630" s="151">
        <f ca="1">OFFSET(CÁLCULO!H$15,ROW($T630)-ROW(T$15),0)</f>
        <v>10</v>
      </c>
      <c r="U630" s="152">
        <f t="shared" ca="1" si="324"/>
        <v>0</v>
      </c>
      <c r="V630" s="153" t="s">
        <v>193</v>
      </c>
      <c r="W630" s="151">
        <f t="shared" ca="1" si="311"/>
        <v>0</v>
      </c>
      <c r="X630" s="154">
        <f t="shared" ca="1" si="312"/>
        <v>0</v>
      </c>
      <c r="Y630" s="155" t="s">
        <v>583</v>
      </c>
      <c r="Z630" t="str">
        <f t="shared" ca="1" si="313"/>
        <v/>
      </c>
      <c r="AA630" s="156">
        <f ca="1">IF($C630="S",IF($Z630="CP",$X630,IF($Z630="RA",(($X630)*QCI!$AA$3),0)),SomaAgrup)</f>
        <v>0</v>
      </c>
      <c r="AB630" s="157">
        <f t="shared" ca="1" si="314"/>
        <v>0</v>
      </c>
      <c r="AC630" s="158" t="str">
        <f t="shared" ca="1" si="315"/>
        <v/>
      </c>
      <c r="AD630" s="104" t="str">
        <f ca="1">IF(C630&lt;=CRONO.NivelExibicao,MAX($AD$15:OFFSET(AD630,-1,0))+IF($C630&lt;&gt;1,1,MAX(1,COUNTIF(QCI!$A$13:$A$24,OFFSET($E630,-1,0)))),"")</f>
        <v/>
      </c>
      <c r="AE630" s="114" t="str">
        <f t="shared" ca="1" si="316"/>
        <v>SINAPI 98302</v>
      </c>
      <c r="AF630" s="159" t="str">
        <f t="shared" ca="1" si="317"/>
        <v>(abra o arquivo 'Referência 05-2024.xls)</v>
      </c>
      <c r="AG630" s="579">
        <f t="shared" ca="1" si="318"/>
        <v>0</v>
      </c>
      <c r="AH630" s="580">
        <f t="shared" ca="1" si="319"/>
        <v>0.16800000000000001</v>
      </c>
      <c r="AJ630" s="582">
        <v>10</v>
      </c>
      <c r="AL630" s="612"/>
      <c r="AM630" s="430">
        <f t="shared" ca="1" si="320"/>
        <v>0</v>
      </c>
      <c r="AN630" s="655">
        <f t="shared" ca="1" si="321"/>
        <v>0</v>
      </c>
    </row>
    <row r="631" spans="1:40" ht="13.8" x14ac:dyDescent="0.3">
      <c r="A631" t="str">
        <f t="shared" si="300"/>
        <v>S</v>
      </c>
      <c r="B631">
        <f t="shared" ca="1" si="301"/>
        <v>3</v>
      </c>
      <c r="C631" t="str">
        <f t="shared" ca="1" si="302"/>
        <v>S</v>
      </c>
      <c r="D631">
        <f t="shared" ca="1" si="303"/>
        <v>0</v>
      </c>
      <c r="E631">
        <f ca="1">IF($C631=1,OFFSET(E631,-1,0)+MAX(1,COUNTIF(QCI!$A$13:$A$24,OFFSET(ORÇAMENTO!E631,-1,0))),OFFSET(E631,-1,0))</f>
        <v>1</v>
      </c>
      <c r="F631">
        <f t="shared" ca="1" si="304"/>
        <v>20</v>
      </c>
      <c r="G631">
        <f t="shared" ca="1" si="305"/>
        <v>1</v>
      </c>
      <c r="H631">
        <f t="shared" ca="1" si="306"/>
        <v>0</v>
      </c>
      <c r="I631">
        <f t="shared" ca="1" si="307"/>
        <v>0</v>
      </c>
      <c r="J631">
        <f t="shared" ca="1" si="294"/>
        <v>0</v>
      </c>
      <c r="K631">
        <f ca="1">IF(OR($C631="S",$C631=0),0,MATCH(OFFSET($D631,0,$C631)+IF($C631&lt;&gt;1,1,COUNTIF(QCI!$A$13:$A$24,ORÇAMENTO!E631)),OFFSET($D631,1,$C631,ROW($C$710)-ROW($C631)),0))</f>
        <v>0</v>
      </c>
      <c r="L631" s="143" t="str">
        <f t="shared" ca="1" si="308"/>
        <v/>
      </c>
      <c r="M631" s="144" t="s">
        <v>201</v>
      </c>
      <c r="N631" s="145" t="str">
        <f t="shared" ca="1" si="309"/>
        <v>Serviço</v>
      </c>
      <c r="O631" s="146" t="str">
        <f t="shared" ca="1" si="310"/>
        <v>-</v>
      </c>
      <c r="P631" s="147" t="s">
        <v>578</v>
      </c>
      <c r="Q631" s="148">
        <v>9090017</v>
      </c>
      <c r="R631" s="149" t="str">
        <f ca="1">IF($C631="S",REFERENCIA.Descricao,"(digite a descrição aqui)")</f>
        <v>(abra o arquivo 'Referência 05-2024.xls)</v>
      </c>
      <c r="S631" s="150" t="str">
        <f ca="1">REFERENCIA.Unidade</f>
        <v>-</v>
      </c>
      <c r="T631" s="151">
        <f ca="1">OFFSET(CÁLCULO!H$15,ROW($T631)-ROW(T$15),0)</f>
        <v>1</v>
      </c>
      <c r="U631" s="152">
        <f t="shared" ca="1" si="324"/>
        <v>0</v>
      </c>
      <c r="V631" s="153" t="s">
        <v>193</v>
      </c>
      <c r="W631" s="151">
        <f t="shared" ca="1" si="311"/>
        <v>0</v>
      </c>
      <c r="X631" s="154">
        <f t="shared" ca="1" si="312"/>
        <v>0</v>
      </c>
      <c r="Y631" s="155" t="s">
        <v>583</v>
      </c>
      <c r="Z631" t="str">
        <f t="shared" ca="1" si="313"/>
        <v/>
      </c>
      <c r="AA631" s="156">
        <f ca="1">IF($C631="S",IF($Z631="CP",$X631,IF($Z631="RA",(($X631)*QCI!$AA$3),0)),SomaAgrup)</f>
        <v>0</v>
      </c>
      <c r="AB631" s="157">
        <f t="shared" ca="1" si="314"/>
        <v>0</v>
      </c>
      <c r="AC631" s="158" t="str">
        <f t="shared" ca="1" si="315"/>
        <v/>
      </c>
      <c r="AD631" s="104" t="str">
        <f ca="1">IF(C631&lt;=CRONO.NivelExibicao,MAX($AD$15:OFFSET(AD631,-1,0))+IF($C631&lt;&gt;1,1,MAX(1,COUNTIF(QCI!$A$13:$A$24,OFFSET($E631,-1,0)))),"")</f>
        <v/>
      </c>
      <c r="AE631" s="114" t="str">
        <f t="shared" ca="1" si="316"/>
        <v>SIURB 9090017</v>
      </c>
      <c r="AF631" s="159" t="str">
        <f t="shared" ca="1" si="317"/>
        <v>(abra o arquivo 'Referência 05-2024.xls)</v>
      </c>
      <c r="AG631" s="579">
        <f t="shared" ca="1" si="318"/>
        <v>0</v>
      </c>
      <c r="AH631" s="580">
        <f t="shared" ca="1" si="319"/>
        <v>0.16800000000000001</v>
      </c>
      <c r="AJ631" s="582">
        <v>1</v>
      </c>
      <c r="AL631" s="612"/>
      <c r="AM631" s="430">
        <f t="shared" ca="1" si="320"/>
        <v>0</v>
      </c>
      <c r="AN631" s="655">
        <f t="shared" ca="1" si="321"/>
        <v>0</v>
      </c>
    </row>
    <row r="632" spans="1:40" ht="13.8" x14ac:dyDescent="0.3">
      <c r="A632" t="str">
        <f t="shared" si="300"/>
        <v>S</v>
      </c>
      <c r="B632">
        <f t="shared" ca="1" si="301"/>
        <v>3</v>
      </c>
      <c r="C632" t="str">
        <f t="shared" ca="1" si="302"/>
        <v>S</v>
      </c>
      <c r="D632">
        <f t="shared" ca="1" si="303"/>
        <v>0</v>
      </c>
      <c r="E632">
        <f ca="1">IF($C632=1,OFFSET(E632,-1,0)+MAX(1,COUNTIF(QCI!$A$13:$A$24,OFFSET(ORÇAMENTO!E632,-1,0))),OFFSET(E632,-1,0))</f>
        <v>1</v>
      </c>
      <c r="F632">
        <f t="shared" ca="1" si="304"/>
        <v>20</v>
      </c>
      <c r="G632">
        <f t="shared" ca="1" si="305"/>
        <v>1</v>
      </c>
      <c r="H632">
        <f t="shared" ca="1" si="306"/>
        <v>0</v>
      </c>
      <c r="I632">
        <f t="shared" ca="1" si="307"/>
        <v>0</v>
      </c>
      <c r="J632">
        <f t="shared" ca="1" si="294"/>
        <v>0</v>
      </c>
      <c r="K632">
        <f ca="1">IF(OR($C632="S",$C632=0),0,MATCH(OFFSET($D632,0,$C632)+IF($C632&lt;&gt;1,1,COUNTIF(QCI!$A$13:$A$24,ORÇAMENTO!E632)),OFFSET($D632,1,$C632,ROW($C$710)-ROW($C632)),0))</f>
        <v>0</v>
      </c>
      <c r="L632" s="143" t="str">
        <f t="shared" ca="1" si="308"/>
        <v/>
      </c>
      <c r="M632" s="144" t="s">
        <v>201</v>
      </c>
      <c r="N632" s="145" t="str">
        <f t="shared" ca="1" si="309"/>
        <v>Serviço</v>
      </c>
      <c r="O632" s="146" t="str">
        <f t="shared" ca="1" si="310"/>
        <v>-</v>
      </c>
      <c r="P632" s="147" t="s">
        <v>249</v>
      </c>
      <c r="Q632" s="148">
        <v>100555</v>
      </c>
      <c r="R632" s="149" t="str">
        <f ca="1">IF($C632="S",REFERENCIA.Descricao,"(digite a descrição aqui)")</f>
        <v>(abra o arquivo 'Referência 05-2024.xls)</v>
      </c>
      <c r="S632" s="150" t="str">
        <f ca="1">REFERENCIA.Unidade</f>
        <v>-</v>
      </c>
      <c r="T632" s="151">
        <f ca="1">OFFSET(CÁLCULO!H$15,ROW($T632)-ROW(T$15),0)</f>
        <v>1</v>
      </c>
      <c r="U632" s="152">
        <f t="shared" ca="1" si="324"/>
        <v>0</v>
      </c>
      <c r="V632" s="153" t="s">
        <v>193</v>
      </c>
      <c r="W632" s="151">
        <f t="shared" ca="1" si="311"/>
        <v>0</v>
      </c>
      <c r="X632" s="154">
        <f t="shared" ca="1" si="312"/>
        <v>0</v>
      </c>
      <c r="Y632" s="155" t="s">
        <v>583</v>
      </c>
      <c r="Z632" t="str">
        <f t="shared" ca="1" si="313"/>
        <v/>
      </c>
      <c r="AA632" s="156">
        <f ca="1">IF($C632="S",IF($Z632="CP",$X632,IF($Z632="RA",(($X632)*QCI!$AA$3),0)),SomaAgrup)</f>
        <v>0</v>
      </c>
      <c r="AB632" s="157">
        <f t="shared" ca="1" si="314"/>
        <v>0</v>
      </c>
      <c r="AC632" s="158" t="str">
        <f t="shared" ca="1" si="315"/>
        <v/>
      </c>
      <c r="AD632" s="104" t="str">
        <f ca="1">IF(C632&lt;=CRONO.NivelExibicao,MAX($AD$15:OFFSET(AD632,-1,0))+IF($C632&lt;&gt;1,1,MAX(1,COUNTIF(QCI!$A$13:$A$24,OFFSET($E632,-1,0)))),"")</f>
        <v/>
      </c>
      <c r="AE632" s="114" t="str">
        <f t="shared" ca="1" si="316"/>
        <v>SINAPI 100555</v>
      </c>
      <c r="AF632" s="159" t="str">
        <f t="shared" ca="1" si="317"/>
        <v>(abra o arquivo 'Referência 05-2024.xls)</v>
      </c>
      <c r="AG632" s="579">
        <f t="shared" ca="1" si="318"/>
        <v>0</v>
      </c>
      <c r="AH632" s="580">
        <f t="shared" ca="1" si="319"/>
        <v>0.16800000000000001</v>
      </c>
      <c r="AJ632" s="582">
        <v>1</v>
      </c>
      <c r="AL632" s="612"/>
      <c r="AM632" s="430">
        <f t="shared" ca="1" si="320"/>
        <v>0</v>
      </c>
      <c r="AN632" s="655">
        <f t="shared" ca="1" si="321"/>
        <v>0</v>
      </c>
    </row>
    <row r="633" spans="1:40" ht="13.8" x14ac:dyDescent="0.3">
      <c r="A633" t="str">
        <f t="shared" si="300"/>
        <v>S</v>
      </c>
      <c r="B633">
        <f t="shared" ca="1" si="301"/>
        <v>3</v>
      </c>
      <c r="C633" t="str">
        <f t="shared" ca="1" si="302"/>
        <v>S</v>
      </c>
      <c r="D633">
        <f t="shared" ca="1" si="303"/>
        <v>0</v>
      </c>
      <c r="E633">
        <f ca="1">IF($C633=1,OFFSET(E633,-1,0)+MAX(1,COUNTIF(QCI!$A$13:$A$24,OFFSET(ORÇAMENTO!E633,-1,0))),OFFSET(E633,-1,0))</f>
        <v>1</v>
      </c>
      <c r="F633">
        <f t="shared" ca="1" si="304"/>
        <v>20</v>
      </c>
      <c r="G633">
        <f t="shared" ca="1" si="305"/>
        <v>1</v>
      </c>
      <c r="H633">
        <f t="shared" ca="1" si="306"/>
        <v>0</v>
      </c>
      <c r="I633">
        <f t="shared" ca="1" si="307"/>
        <v>0</v>
      </c>
      <c r="J633">
        <f t="shared" ca="1" si="294"/>
        <v>0</v>
      </c>
      <c r="K633">
        <f ca="1">IF(OR($C633="S",$C633=0),0,MATCH(OFFSET($D633,0,$C633)+IF($C633&lt;&gt;1,1,COUNTIF(QCI!$A$13:$A$24,ORÇAMENTO!E633)),OFFSET($D633,1,$C633,ROW($C$710)-ROW($C633)),0))</f>
        <v>0</v>
      </c>
      <c r="L633" s="143" t="str">
        <f t="shared" ca="1" si="308"/>
        <v/>
      </c>
      <c r="M633" s="144" t="s">
        <v>201</v>
      </c>
      <c r="N633" s="145" t="str">
        <f t="shared" ca="1" si="309"/>
        <v>Serviço</v>
      </c>
      <c r="O633" s="146" t="str">
        <f t="shared" ca="1" si="310"/>
        <v>-</v>
      </c>
      <c r="P633" s="147" t="s">
        <v>578</v>
      </c>
      <c r="Q633" s="148">
        <v>9090017</v>
      </c>
      <c r="R633" s="149" t="str">
        <f ca="1">IF($C633="S",REFERENCIA.Descricao,"(digite a descrição aqui)")</f>
        <v>(abra o arquivo 'Referência 05-2024.xls)</v>
      </c>
      <c r="S633" s="150" t="str">
        <f ca="1">REFERENCIA.Unidade</f>
        <v>-</v>
      </c>
      <c r="T633" s="151">
        <f ca="1">OFFSET(CÁLCULO!H$15,ROW($T633)-ROW(T$15),0)</f>
        <v>4</v>
      </c>
      <c r="U633" s="152">
        <f t="shared" ca="1" si="324"/>
        <v>0</v>
      </c>
      <c r="V633" s="153" t="s">
        <v>193</v>
      </c>
      <c r="W633" s="151">
        <f t="shared" ca="1" si="311"/>
        <v>0</v>
      </c>
      <c r="X633" s="154">
        <f t="shared" ca="1" si="312"/>
        <v>0</v>
      </c>
      <c r="Y633" s="155" t="s">
        <v>583</v>
      </c>
      <c r="Z633" t="str">
        <f t="shared" ca="1" si="313"/>
        <v/>
      </c>
      <c r="AA633" s="156">
        <f ca="1">IF($C633="S",IF($Z633="CP",$X633,IF($Z633="RA",(($X633)*QCI!$AA$3),0)),SomaAgrup)</f>
        <v>0</v>
      </c>
      <c r="AB633" s="157">
        <f t="shared" ca="1" si="314"/>
        <v>0</v>
      </c>
      <c r="AC633" s="158" t="str">
        <f t="shared" ca="1" si="315"/>
        <v/>
      </c>
      <c r="AD633" s="104" t="str">
        <f ca="1">IF(C633&lt;=CRONO.NivelExibicao,MAX($AD$15:OFFSET(AD633,-1,0))+IF($C633&lt;&gt;1,1,MAX(1,COUNTIF(QCI!$A$13:$A$24,OFFSET($E633,-1,0)))),"")</f>
        <v/>
      </c>
      <c r="AE633" s="114" t="str">
        <f t="shared" ca="1" si="316"/>
        <v>SIURB 9090017</v>
      </c>
      <c r="AF633" s="159" t="str">
        <f t="shared" ca="1" si="317"/>
        <v>(abra o arquivo 'Referência 05-2024.xls)</v>
      </c>
      <c r="AG633" s="579">
        <f t="shared" ca="1" si="318"/>
        <v>0</v>
      </c>
      <c r="AH633" s="580">
        <f t="shared" ca="1" si="319"/>
        <v>0.16800000000000001</v>
      </c>
      <c r="AJ633" s="582">
        <v>4</v>
      </c>
      <c r="AL633" s="612"/>
      <c r="AM633" s="430">
        <f t="shared" ca="1" si="320"/>
        <v>0</v>
      </c>
      <c r="AN633" s="655">
        <f t="shared" ca="1" si="321"/>
        <v>0</v>
      </c>
    </row>
    <row r="634" spans="1:40" ht="13.8" x14ac:dyDescent="0.3">
      <c r="A634">
        <f t="shared" si="300"/>
        <v>3</v>
      </c>
      <c r="B634">
        <f t="shared" ca="1" si="301"/>
        <v>3</v>
      </c>
      <c r="C634">
        <f t="shared" ca="1" si="302"/>
        <v>3</v>
      </c>
      <c r="D634">
        <f t="shared" ca="1" si="303"/>
        <v>2</v>
      </c>
      <c r="E634">
        <f ca="1">IF($C634=1,OFFSET(E634,-1,0)+MAX(1,COUNTIF(QCI!$A$13:$A$24,OFFSET(ORÇAMENTO!E634,-1,0))),OFFSET(E634,-1,0))</f>
        <v>1</v>
      </c>
      <c r="F634">
        <f t="shared" ca="1" si="304"/>
        <v>20</v>
      </c>
      <c r="G634">
        <f t="shared" ca="1" si="305"/>
        <v>2</v>
      </c>
      <c r="H634">
        <f t="shared" ca="1" si="306"/>
        <v>0</v>
      </c>
      <c r="I634">
        <f t="shared" ca="1" si="307"/>
        <v>0</v>
      </c>
      <c r="J634">
        <f t="shared" ca="1" si="294"/>
        <v>34</v>
      </c>
      <c r="K634">
        <f ca="1">IF(OR($C634="S",$C634=0),0,MATCH(OFFSET($D634,0,$C634)+IF($C634&lt;&gt;1,1,COUNTIF(QCI!$A$13:$A$24,ORÇAMENTO!E634)),OFFSET($D634,1,$C634,ROW($C$710)-ROW($C634)),0))</f>
        <v>2</v>
      </c>
      <c r="L634" s="143" t="str">
        <f t="shared" ca="1" si="308"/>
        <v>F</v>
      </c>
      <c r="M634" s="144" t="s">
        <v>199</v>
      </c>
      <c r="N634" s="145" t="str">
        <f t="shared" ca="1" si="309"/>
        <v>Nível 3</v>
      </c>
      <c r="O634" s="146" t="str">
        <f t="shared" ca="1" si="310"/>
        <v>1.20.2.</v>
      </c>
      <c r="P634" s="147" t="s">
        <v>249</v>
      </c>
      <c r="Q634" s="148"/>
      <c r="R634" s="149" t="s">
        <v>557</v>
      </c>
      <c r="S634" s="150" t="s">
        <v>168</v>
      </c>
      <c r="T634" s="151">
        <f ca="1">OFFSET(CÁLCULO!H$15,ROW($T634)-ROW(T$15),0)</f>
        <v>0</v>
      </c>
      <c r="U634" s="152"/>
      <c r="V634" s="153" t="s">
        <v>158</v>
      </c>
      <c r="W634" s="151">
        <f t="shared" ca="1" si="311"/>
        <v>0</v>
      </c>
      <c r="X634" s="154">
        <f t="shared" ca="1" si="312"/>
        <v>0</v>
      </c>
      <c r="Y634" s="155" t="s">
        <v>583</v>
      </c>
      <c r="Z634" t="str">
        <f t="shared" ca="1" si="313"/>
        <v/>
      </c>
      <c r="AA634" s="156">
        <f ca="1">IF($C634="S",IF($Z634="CP",$X634,IF($Z634="RA",(($X634)*QCI!$AA$3),0)),SomaAgrup)</f>
        <v>0</v>
      </c>
      <c r="AB634" s="157">
        <f t="shared" ca="1" si="314"/>
        <v>0</v>
      </c>
      <c r="AC634" s="158" t="str">
        <f t="shared" ca="1" si="315"/>
        <v/>
      </c>
      <c r="AD634" s="104" t="str">
        <f ca="1">IF(C634&lt;=CRONO.NivelExibicao,MAX($AD$15:OFFSET(AD634,-1,0))+IF($C634&lt;&gt;1,1,MAX(1,COUNTIF(QCI!$A$13:$A$24,OFFSET($E634,-1,0)))),"")</f>
        <v/>
      </c>
      <c r="AE634" s="114" t="b">
        <f t="shared" ca="1" si="316"/>
        <v>0</v>
      </c>
      <c r="AF634" s="159" t="str">
        <f t="shared" ca="1" si="317"/>
        <v>(abra o arquivo 'Referência 05-2024.xls)</v>
      </c>
      <c r="AG634" s="579">
        <f t="shared" ca="1" si="318"/>
        <v>0</v>
      </c>
      <c r="AH634" s="580">
        <f t="shared" ca="1" si="319"/>
        <v>0.22470000000000001</v>
      </c>
      <c r="AJ634" s="582"/>
      <c r="AL634" s="612"/>
      <c r="AM634" s="430">
        <f t="shared" ca="1" si="320"/>
        <v>0</v>
      </c>
      <c r="AN634" s="655">
        <f t="shared" ca="1" si="321"/>
        <v>0</v>
      </c>
    </row>
    <row r="635" spans="1:40" ht="13.8" x14ac:dyDescent="0.3">
      <c r="A635" t="str">
        <f t="shared" si="300"/>
        <v>S</v>
      </c>
      <c r="B635">
        <f t="shared" ca="1" si="301"/>
        <v>3</v>
      </c>
      <c r="C635" t="str">
        <f t="shared" ca="1" si="302"/>
        <v>S</v>
      </c>
      <c r="D635">
        <f t="shared" ca="1" si="303"/>
        <v>0</v>
      </c>
      <c r="E635">
        <f ca="1">IF($C635=1,OFFSET(E635,-1,0)+MAX(1,COUNTIF(QCI!$A$13:$A$24,OFFSET(ORÇAMENTO!E635,-1,0))),OFFSET(E635,-1,0))</f>
        <v>1</v>
      </c>
      <c r="F635">
        <f t="shared" ca="1" si="304"/>
        <v>20</v>
      </c>
      <c r="G635">
        <f t="shared" ca="1" si="305"/>
        <v>2</v>
      </c>
      <c r="H635">
        <f t="shared" ca="1" si="306"/>
        <v>0</v>
      </c>
      <c r="I635">
        <f t="shared" ca="1" si="307"/>
        <v>0</v>
      </c>
      <c r="J635">
        <f t="shared" ca="1" si="294"/>
        <v>0</v>
      </c>
      <c r="K635">
        <f ca="1">IF(OR($C635="S",$C635=0),0,MATCH(OFFSET($D635,0,$C635)+IF($C635&lt;&gt;1,1,COUNTIF(QCI!$A$13:$A$24,ORÇAMENTO!E635)),OFFSET($D635,1,$C635,ROW($C$710)-ROW($C635)),0))</f>
        <v>0</v>
      </c>
      <c r="L635" s="143" t="str">
        <f t="shared" ca="1" si="308"/>
        <v/>
      </c>
      <c r="M635" s="144" t="s">
        <v>201</v>
      </c>
      <c r="N635" s="145" t="str">
        <f t="shared" ca="1" si="309"/>
        <v>Serviço</v>
      </c>
      <c r="O635" s="146" t="str">
        <f t="shared" ca="1" si="310"/>
        <v>-</v>
      </c>
      <c r="P635" s="147" t="s">
        <v>249</v>
      </c>
      <c r="Q635" s="148">
        <v>98295</v>
      </c>
      <c r="R635" s="149" t="str">
        <f ca="1">IF($C635="S",REFERENCIA.Descricao,"(digite a descrição aqui)")</f>
        <v>(abra o arquivo 'Referência 05-2024.xls)</v>
      </c>
      <c r="S635" s="150" t="str">
        <f ca="1">REFERENCIA.Unidade</f>
        <v>-</v>
      </c>
      <c r="T635" s="151">
        <f ca="1">OFFSET(CÁLCULO!H$15,ROW($T635)-ROW(T$15),0)</f>
        <v>5034.41</v>
      </c>
      <c r="U635" s="152">
        <f t="shared" ca="1" si="324"/>
        <v>0</v>
      </c>
      <c r="V635" s="153" t="s">
        <v>158</v>
      </c>
      <c r="W635" s="151">
        <f t="shared" ca="1" si="311"/>
        <v>0</v>
      </c>
      <c r="X635" s="154">
        <f t="shared" ca="1" si="312"/>
        <v>0</v>
      </c>
      <c r="Y635" s="155" t="s">
        <v>583</v>
      </c>
      <c r="Z635" t="str">
        <f t="shared" ca="1" si="313"/>
        <v/>
      </c>
      <c r="AA635" s="156">
        <f ca="1">IF($C635="S",IF($Z635="CP",$X635,IF($Z635="RA",(($X635)*QCI!$AA$3),0)),SomaAgrup)</f>
        <v>0</v>
      </c>
      <c r="AB635" s="157">
        <f t="shared" ca="1" si="314"/>
        <v>0</v>
      </c>
      <c r="AC635" s="158" t="str">
        <f t="shared" ca="1" si="315"/>
        <v/>
      </c>
      <c r="AD635" s="104" t="str">
        <f ca="1">IF(C635&lt;=CRONO.NivelExibicao,MAX($AD$15:OFFSET(AD635,-1,0))+IF($C635&lt;&gt;1,1,MAX(1,COUNTIF(QCI!$A$13:$A$24,OFFSET($E635,-1,0)))),"")</f>
        <v/>
      </c>
      <c r="AE635" s="114" t="str">
        <f t="shared" ca="1" si="316"/>
        <v>SINAPI 98295</v>
      </c>
      <c r="AF635" s="159" t="str">
        <f t="shared" ca="1" si="317"/>
        <v>(abra o arquivo 'Referência 05-2024.xls)</v>
      </c>
      <c r="AG635" s="579">
        <f t="shared" ca="1" si="318"/>
        <v>0</v>
      </c>
      <c r="AH635" s="580">
        <f t="shared" ca="1" si="319"/>
        <v>0.22470000000000001</v>
      </c>
      <c r="AJ635" s="582">
        <v>5034.41</v>
      </c>
      <c r="AL635" s="612"/>
      <c r="AM635" s="430">
        <f t="shared" ca="1" si="320"/>
        <v>0</v>
      </c>
      <c r="AN635" s="655">
        <f t="shared" ca="1" si="321"/>
        <v>0</v>
      </c>
    </row>
    <row r="636" spans="1:40" ht="13.8" x14ac:dyDescent="0.3">
      <c r="A636">
        <f t="shared" si="300"/>
        <v>3</v>
      </c>
      <c r="B636">
        <f t="shared" ca="1" si="301"/>
        <v>3</v>
      </c>
      <c r="C636">
        <f t="shared" ca="1" si="302"/>
        <v>3</v>
      </c>
      <c r="D636">
        <f t="shared" ca="1" si="303"/>
        <v>11</v>
      </c>
      <c r="E636">
        <f ca="1">IF($C636=1,OFFSET(E636,-1,0)+MAX(1,COUNTIF(QCI!$A$13:$A$24,OFFSET(ORÇAMENTO!E636,-1,0))),OFFSET(E636,-1,0))</f>
        <v>1</v>
      </c>
      <c r="F636">
        <f t="shared" ca="1" si="304"/>
        <v>20</v>
      </c>
      <c r="G636">
        <f t="shared" ca="1" si="305"/>
        <v>3</v>
      </c>
      <c r="H636">
        <f t="shared" ca="1" si="306"/>
        <v>0</v>
      </c>
      <c r="I636">
        <f t="shared" ca="1" si="307"/>
        <v>0</v>
      </c>
      <c r="J636">
        <f t="shared" ca="1" si="294"/>
        <v>32</v>
      </c>
      <c r="K636">
        <f ca="1">IF(OR($C636="S",$C636=0),0,MATCH(OFFSET($D636,0,$C636)+IF($C636&lt;&gt;1,1,COUNTIF(QCI!$A$13:$A$24,ORÇAMENTO!E636)),OFFSET($D636,1,$C636,ROW($C$710)-ROW($C636)),0))</f>
        <v>11</v>
      </c>
      <c r="L636" s="143" t="str">
        <f t="shared" ca="1" si="308"/>
        <v>F</v>
      </c>
      <c r="M636" s="144" t="s">
        <v>199</v>
      </c>
      <c r="N636" s="145" t="str">
        <f t="shared" ca="1" si="309"/>
        <v>Nível 3</v>
      </c>
      <c r="O636" s="146" t="str">
        <f t="shared" ca="1" si="310"/>
        <v>1.20.3.</v>
      </c>
      <c r="P636" s="147" t="s">
        <v>249</v>
      </c>
      <c r="Q636" s="148"/>
      <c r="R636" s="149" t="s">
        <v>558</v>
      </c>
      <c r="S636" s="150" t="s">
        <v>168</v>
      </c>
      <c r="T636" s="151">
        <f ca="1">OFFSET(CÁLCULO!H$15,ROW($T636)-ROW(T$15),0)</f>
        <v>0</v>
      </c>
      <c r="U636" s="152">
        <f t="shared" ca="1" si="324"/>
        <v>0</v>
      </c>
      <c r="V636" s="153" t="s">
        <v>158</v>
      </c>
      <c r="W636" s="151">
        <f t="shared" ca="1" si="311"/>
        <v>0</v>
      </c>
      <c r="X636" s="154">
        <f t="shared" ca="1" si="312"/>
        <v>0</v>
      </c>
      <c r="Y636" s="155" t="s">
        <v>583</v>
      </c>
      <c r="Z636" t="str">
        <f t="shared" ca="1" si="313"/>
        <v/>
      </c>
      <c r="AA636" s="156">
        <f ca="1">IF($C636="S",IF($Z636="CP",$X636,IF($Z636="RA",(($X636)*QCI!$AA$3),0)),SomaAgrup)</f>
        <v>0</v>
      </c>
      <c r="AB636" s="157">
        <f t="shared" ca="1" si="314"/>
        <v>0</v>
      </c>
      <c r="AC636" s="158" t="str">
        <f t="shared" ca="1" si="315"/>
        <v/>
      </c>
      <c r="AD636" s="104" t="str">
        <f ca="1">IF(C636&lt;=CRONO.NivelExibicao,MAX($AD$15:OFFSET(AD636,-1,0))+IF($C636&lt;&gt;1,1,MAX(1,COUNTIF(QCI!$A$13:$A$24,OFFSET($E636,-1,0)))),"")</f>
        <v/>
      </c>
      <c r="AE636" s="114" t="b">
        <f t="shared" ca="1" si="316"/>
        <v>0</v>
      </c>
      <c r="AF636" s="159" t="str">
        <f t="shared" ca="1" si="317"/>
        <v>(abra o arquivo 'Referência 05-2024.xls)</v>
      </c>
      <c r="AG636" s="579">
        <f t="shared" ca="1" si="318"/>
        <v>0</v>
      </c>
      <c r="AH636" s="580">
        <f t="shared" ca="1" si="319"/>
        <v>0.22470000000000001</v>
      </c>
      <c r="AJ636" s="582"/>
      <c r="AL636" s="612"/>
      <c r="AM636" s="430">
        <f t="shared" ca="1" si="320"/>
        <v>0</v>
      </c>
      <c r="AN636" s="655">
        <f t="shared" ca="1" si="321"/>
        <v>0</v>
      </c>
    </row>
    <row r="637" spans="1:40" ht="13.8" x14ac:dyDescent="0.3">
      <c r="A637" t="str">
        <f t="shared" si="300"/>
        <v>S</v>
      </c>
      <c r="B637">
        <f t="shared" ca="1" si="301"/>
        <v>3</v>
      </c>
      <c r="C637" t="str">
        <f t="shared" ca="1" si="302"/>
        <v>S</v>
      </c>
      <c r="D637">
        <f t="shared" ca="1" si="303"/>
        <v>0</v>
      </c>
      <c r="E637">
        <f ca="1">IF($C637=1,OFFSET(E637,-1,0)+MAX(1,COUNTIF(QCI!$A$13:$A$24,OFFSET(ORÇAMENTO!E637,-1,0))),OFFSET(E637,-1,0))</f>
        <v>1</v>
      </c>
      <c r="F637">
        <f t="shared" ca="1" si="304"/>
        <v>20</v>
      </c>
      <c r="G637">
        <f t="shared" ca="1" si="305"/>
        <v>3</v>
      </c>
      <c r="H637">
        <f t="shared" ca="1" si="306"/>
        <v>0</v>
      </c>
      <c r="I637">
        <f t="shared" ca="1" si="307"/>
        <v>0</v>
      </c>
      <c r="J637">
        <f t="shared" ca="1" si="294"/>
        <v>0</v>
      </c>
      <c r="K637">
        <f ca="1">IF(OR($C637="S",$C637=0),0,MATCH(OFFSET($D637,0,$C637)+IF($C637&lt;&gt;1,1,COUNTIF(QCI!$A$13:$A$24,ORÇAMENTO!E637)),OFFSET($D637,1,$C637,ROW($C$710)-ROW($C637)),0))</f>
        <v>0</v>
      </c>
      <c r="L637" s="143" t="str">
        <f t="shared" ca="1" si="308"/>
        <v/>
      </c>
      <c r="M637" s="144" t="s">
        <v>201</v>
      </c>
      <c r="N637" s="145" t="str">
        <f t="shared" ca="1" si="309"/>
        <v>Serviço</v>
      </c>
      <c r="O637" s="146" t="str">
        <f t="shared" ca="1" si="310"/>
        <v>-</v>
      </c>
      <c r="P637" s="147" t="s">
        <v>249</v>
      </c>
      <c r="Q637" s="148">
        <v>98307</v>
      </c>
      <c r="R637" s="149" t="str">
        <f t="shared" ref="R637:R646" ca="1" si="325">IF($C637="S",REFERENCIA.Descricao,"(digite a descrição aqui)")</f>
        <v>(abra o arquivo 'Referência 05-2024.xls)</v>
      </c>
      <c r="S637" s="150" t="str">
        <f t="shared" ref="S637:S646" ca="1" si="326">REFERENCIA.Unidade</f>
        <v>-</v>
      </c>
      <c r="T637" s="151">
        <f ca="1">OFFSET(CÁLCULO!H$15,ROW($T637)-ROW(T$15),0)</f>
        <v>14</v>
      </c>
      <c r="U637" s="152">
        <f t="shared" ca="1" si="324"/>
        <v>0</v>
      </c>
      <c r="V637" s="153" t="s">
        <v>158</v>
      </c>
      <c r="W637" s="151">
        <f t="shared" ca="1" si="311"/>
        <v>0</v>
      </c>
      <c r="X637" s="154">
        <f t="shared" ca="1" si="312"/>
        <v>0</v>
      </c>
      <c r="Y637" s="155" t="s">
        <v>583</v>
      </c>
      <c r="Z637" t="str">
        <f t="shared" ca="1" si="313"/>
        <v/>
      </c>
      <c r="AA637" s="156">
        <f ca="1">IF($C637="S",IF($Z637="CP",$X637,IF($Z637="RA",(($X637)*QCI!$AA$3),0)),SomaAgrup)</f>
        <v>0</v>
      </c>
      <c r="AB637" s="157">
        <f t="shared" ca="1" si="314"/>
        <v>0</v>
      </c>
      <c r="AC637" s="158" t="str">
        <f t="shared" ca="1" si="315"/>
        <v/>
      </c>
      <c r="AD637" s="104" t="str">
        <f ca="1">IF(C637&lt;=CRONO.NivelExibicao,MAX($AD$15:OFFSET(AD637,-1,0))+IF($C637&lt;&gt;1,1,MAX(1,COUNTIF(QCI!$A$13:$A$24,OFFSET($E637,-1,0)))),"")</f>
        <v/>
      </c>
      <c r="AE637" s="114" t="str">
        <f t="shared" ca="1" si="316"/>
        <v>SINAPI 98307</v>
      </c>
      <c r="AF637" s="159" t="str">
        <f t="shared" ca="1" si="317"/>
        <v>(abra o arquivo 'Referência 05-2024.xls)</v>
      </c>
      <c r="AG637" s="579">
        <f t="shared" ca="1" si="318"/>
        <v>0</v>
      </c>
      <c r="AH637" s="580">
        <f t="shared" ca="1" si="319"/>
        <v>0.22470000000000001</v>
      </c>
      <c r="AJ637" s="582">
        <v>14</v>
      </c>
      <c r="AL637" s="612"/>
      <c r="AM637" s="430">
        <f t="shared" ca="1" si="320"/>
        <v>0</v>
      </c>
      <c r="AN637" s="655">
        <f t="shared" ca="1" si="321"/>
        <v>0</v>
      </c>
    </row>
    <row r="638" spans="1:40" ht="13.8" x14ac:dyDescent="0.3">
      <c r="A638" t="str">
        <f t="shared" si="300"/>
        <v>S</v>
      </c>
      <c r="B638">
        <f t="shared" ca="1" si="301"/>
        <v>3</v>
      </c>
      <c r="C638" t="str">
        <f t="shared" ca="1" si="302"/>
        <v>S</v>
      </c>
      <c r="D638">
        <f t="shared" ca="1" si="303"/>
        <v>0</v>
      </c>
      <c r="E638">
        <f ca="1">IF($C638=1,OFFSET(E638,-1,0)+MAX(1,COUNTIF(QCI!$A$13:$A$24,OFFSET(ORÇAMENTO!E638,-1,0))),OFFSET(E638,-1,0))</f>
        <v>1</v>
      </c>
      <c r="F638">
        <f t="shared" ca="1" si="304"/>
        <v>20</v>
      </c>
      <c r="G638">
        <f t="shared" ca="1" si="305"/>
        <v>3</v>
      </c>
      <c r="H638">
        <f t="shared" ca="1" si="306"/>
        <v>0</v>
      </c>
      <c r="I638">
        <f t="shared" ca="1" si="307"/>
        <v>0</v>
      </c>
      <c r="J638">
        <f t="shared" ca="1" si="294"/>
        <v>0</v>
      </c>
      <c r="K638">
        <f ca="1">IF(OR($C638="S",$C638=0),0,MATCH(OFFSET($D638,0,$C638)+IF($C638&lt;&gt;1,1,COUNTIF(QCI!$A$13:$A$24,ORÇAMENTO!E638)),OFFSET($D638,1,$C638,ROW($C$710)-ROW($C638)),0))</f>
        <v>0</v>
      </c>
      <c r="L638" s="143" t="str">
        <f t="shared" ca="1" si="308"/>
        <v/>
      </c>
      <c r="M638" s="144" t="s">
        <v>201</v>
      </c>
      <c r="N638" s="145" t="str">
        <f t="shared" ca="1" si="309"/>
        <v>Serviço</v>
      </c>
      <c r="O638" s="146" t="str">
        <f t="shared" ca="1" si="310"/>
        <v>-</v>
      </c>
      <c r="P638" s="147" t="s">
        <v>249</v>
      </c>
      <c r="Q638" s="148">
        <v>98307</v>
      </c>
      <c r="R638" s="149" t="str">
        <f t="shared" ca="1" si="325"/>
        <v>(abra o arquivo 'Referência 05-2024.xls)</v>
      </c>
      <c r="S638" s="150" t="str">
        <f t="shared" ca="1" si="326"/>
        <v>-</v>
      </c>
      <c r="T638" s="151">
        <f ca="1">OFFSET(CÁLCULO!H$15,ROW($T638)-ROW(T$15),0)</f>
        <v>42</v>
      </c>
      <c r="U638" s="152">
        <f t="shared" ca="1" si="324"/>
        <v>0</v>
      </c>
      <c r="V638" s="153" t="s">
        <v>158</v>
      </c>
      <c r="W638" s="151">
        <f t="shared" ca="1" si="311"/>
        <v>0</v>
      </c>
      <c r="X638" s="154">
        <f t="shared" ca="1" si="312"/>
        <v>0</v>
      </c>
      <c r="Y638" s="155" t="s">
        <v>583</v>
      </c>
      <c r="Z638" t="str">
        <f t="shared" ca="1" si="313"/>
        <v/>
      </c>
      <c r="AA638" s="156">
        <f ca="1">IF($C638="S",IF($Z638="CP",$X638,IF($Z638="RA",(($X638)*QCI!$AA$3),0)),SomaAgrup)</f>
        <v>0</v>
      </c>
      <c r="AB638" s="157">
        <f t="shared" ca="1" si="314"/>
        <v>0</v>
      </c>
      <c r="AC638" s="158" t="str">
        <f t="shared" ca="1" si="315"/>
        <v/>
      </c>
      <c r="AD638" s="104" t="str">
        <f ca="1">IF(C638&lt;=CRONO.NivelExibicao,MAX($AD$15:OFFSET(AD638,-1,0))+IF($C638&lt;&gt;1,1,MAX(1,COUNTIF(QCI!$A$13:$A$24,OFFSET($E638,-1,0)))),"")</f>
        <v/>
      </c>
      <c r="AE638" s="114" t="str">
        <f t="shared" ca="1" si="316"/>
        <v>SINAPI 98307</v>
      </c>
      <c r="AF638" s="159" t="str">
        <f t="shared" ca="1" si="317"/>
        <v>(abra o arquivo 'Referência 05-2024.xls)</v>
      </c>
      <c r="AG638" s="579">
        <f t="shared" ca="1" si="318"/>
        <v>0</v>
      </c>
      <c r="AH638" s="580">
        <f t="shared" ca="1" si="319"/>
        <v>0.22470000000000001</v>
      </c>
      <c r="AJ638" s="582">
        <v>42</v>
      </c>
      <c r="AL638" s="612"/>
      <c r="AM638" s="430">
        <f t="shared" ca="1" si="320"/>
        <v>0</v>
      </c>
      <c r="AN638" s="655">
        <f t="shared" ca="1" si="321"/>
        <v>0</v>
      </c>
    </row>
    <row r="639" spans="1:40" ht="13.8" x14ac:dyDescent="0.3">
      <c r="A639" t="str">
        <f t="shared" si="300"/>
        <v>S</v>
      </c>
      <c r="B639">
        <f t="shared" ca="1" si="301"/>
        <v>3</v>
      </c>
      <c r="C639" t="str">
        <f t="shared" ca="1" si="302"/>
        <v>S</v>
      </c>
      <c r="D639">
        <f t="shared" ca="1" si="303"/>
        <v>0</v>
      </c>
      <c r="E639">
        <f ca="1">IF($C639=1,OFFSET(E639,-1,0)+MAX(1,COUNTIF(QCI!$A$13:$A$24,OFFSET(ORÇAMENTO!E639,-1,0))),OFFSET(E639,-1,0))</f>
        <v>1</v>
      </c>
      <c r="F639">
        <f t="shared" ca="1" si="304"/>
        <v>20</v>
      </c>
      <c r="G639">
        <f t="shared" ca="1" si="305"/>
        <v>3</v>
      </c>
      <c r="H639">
        <f t="shared" ca="1" si="306"/>
        <v>0</v>
      </c>
      <c r="I639">
        <f t="shared" ca="1" si="307"/>
        <v>0</v>
      </c>
      <c r="J639">
        <f t="shared" ca="1" si="294"/>
        <v>0</v>
      </c>
      <c r="K639">
        <f ca="1">IF(OR($C639="S",$C639=0),0,MATCH(OFFSET($D639,0,$C639)+IF($C639&lt;&gt;1,1,COUNTIF(QCI!$A$13:$A$24,ORÇAMENTO!E639)),OFFSET($D639,1,$C639,ROW($C$710)-ROW($C639)),0))</f>
        <v>0</v>
      </c>
      <c r="L639" s="143" t="str">
        <f t="shared" ca="1" si="308"/>
        <v/>
      </c>
      <c r="M639" s="144" t="s">
        <v>201</v>
      </c>
      <c r="N639" s="145" t="str">
        <f t="shared" ca="1" si="309"/>
        <v>Serviço</v>
      </c>
      <c r="O639" s="146" t="str">
        <f t="shared" ca="1" si="310"/>
        <v>-</v>
      </c>
      <c r="P639" s="147" t="s">
        <v>249</v>
      </c>
      <c r="Q639" s="148">
        <v>95795</v>
      </c>
      <c r="R639" s="149" t="str">
        <f t="shared" ca="1" si="325"/>
        <v>(abra o arquivo 'Referência 05-2024.xls)</v>
      </c>
      <c r="S639" s="150" t="str">
        <f t="shared" ca="1" si="326"/>
        <v>-</v>
      </c>
      <c r="T639" s="151">
        <f ca="1">OFFSET(CÁLCULO!H$15,ROW($T639)-ROW(T$15),0)</f>
        <v>9</v>
      </c>
      <c r="U639" s="152">
        <f t="shared" ca="1" si="324"/>
        <v>0</v>
      </c>
      <c r="V639" s="153" t="s">
        <v>158</v>
      </c>
      <c r="W639" s="151">
        <f t="shared" ca="1" si="311"/>
        <v>0</v>
      </c>
      <c r="X639" s="154">
        <f t="shared" ca="1" si="312"/>
        <v>0</v>
      </c>
      <c r="Y639" s="155" t="s">
        <v>583</v>
      </c>
      <c r="Z639" t="str">
        <f t="shared" ca="1" si="313"/>
        <v/>
      </c>
      <c r="AA639" s="156">
        <f ca="1">IF($C639="S",IF($Z639="CP",$X639,IF($Z639="RA",(($X639)*QCI!$AA$3),0)),SomaAgrup)</f>
        <v>0</v>
      </c>
      <c r="AB639" s="157">
        <f t="shared" ca="1" si="314"/>
        <v>0</v>
      </c>
      <c r="AC639" s="158" t="str">
        <f t="shared" ca="1" si="315"/>
        <v/>
      </c>
      <c r="AD639" s="104" t="str">
        <f ca="1">IF(C639&lt;=CRONO.NivelExibicao,MAX($AD$15:OFFSET(AD639,-1,0))+IF($C639&lt;&gt;1,1,MAX(1,COUNTIF(QCI!$A$13:$A$24,OFFSET($E639,-1,0)))),"")</f>
        <v/>
      </c>
      <c r="AE639" s="114" t="str">
        <f t="shared" ca="1" si="316"/>
        <v>SINAPI 95795</v>
      </c>
      <c r="AF639" s="159" t="str">
        <f t="shared" ca="1" si="317"/>
        <v>(abra o arquivo 'Referência 05-2024.xls)</v>
      </c>
      <c r="AG639" s="579">
        <f t="shared" ca="1" si="318"/>
        <v>0</v>
      </c>
      <c r="AH639" s="580">
        <f t="shared" ca="1" si="319"/>
        <v>0.22470000000000001</v>
      </c>
      <c r="AJ639" s="582">
        <v>9</v>
      </c>
      <c r="AL639" s="612"/>
      <c r="AM639" s="430">
        <f t="shared" ca="1" si="320"/>
        <v>0</v>
      </c>
      <c r="AN639" s="655">
        <f t="shared" ca="1" si="321"/>
        <v>0</v>
      </c>
    </row>
    <row r="640" spans="1:40" ht="13.8" x14ac:dyDescent="0.3">
      <c r="A640" t="str">
        <f t="shared" si="300"/>
        <v>S</v>
      </c>
      <c r="B640">
        <f t="shared" ca="1" si="301"/>
        <v>3</v>
      </c>
      <c r="C640" t="str">
        <f t="shared" ca="1" si="302"/>
        <v>S</v>
      </c>
      <c r="D640">
        <f t="shared" ca="1" si="303"/>
        <v>0</v>
      </c>
      <c r="E640">
        <f ca="1">IF($C640=1,OFFSET(E640,-1,0)+MAX(1,COUNTIF(QCI!$A$13:$A$24,OFFSET(ORÇAMENTO!E640,-1,0))),OFFSET(E640,-1,0))</f>
        <v>1</v>
      </c>
      <c r="F640">
        <f t="shared" ca="1" si="304"/>
        <v>20</v>
      </c>
      <c r="G640">
        <f t="shared" ca="1" si="305"/>
        <v>3</v>
      </c>
      <c r="H640">
        <f t="shared" ca="1" si="306"/>
        <v>0</v>
      </c>
      <c r="I640">
        <f t="shared" ca="1" si="307"/>
        <v>0</v>
      </c>
      <c r="J640">
        <f t="shared" ca="1" si="294"/>
        <v>0</v>
      </c>
      <c r="K640">
        <f ca="1">IF(OR($C640="S",$C640=0),0,MATCH(OFFSET($D640,0,$C640)+IF($C640&lt;&gt;1,1,COUNTIF(QCI!$A$13:$A$24,ORÇAMENTO!E640)),OFFSET($D640,1,$C640,ROW($C$710)-ROW($C640)),0))</f>
        <v>0</v>
      </c>
      <c r="L640" s="143" t="str">
        <f t="shared" ca="1" si="308"/>
        <v/>
      </c>
      <c r="M640" s="144" t="s">
        <v>201</v>
      </c>
      <c r="N640" s="145" t="str">
        <f t="shared" ca="1" si="309"/>
        <v>Serviço</v>
      </c>
      <c r="O640" s="146" t="str">
        <f t="shared" ca="1" si="310"/>
        <v>-</v>
      </c>
      <c r="P640" s="147" t="s">
        <v>249</v>
      </c>
      <c r="Q640" s="148">
        <v>95795</v>
      </c>
      <c r="R640" s="149" t="str">
        <f t="shared" ca="1" si="325"/>
        <v>(abra o arquivo 'Referência 05-2024.xls)</v>
      </c>
      <c r="S640" s="150" t="str">
        <f t="shared" ca="1" si="326"/>
        <v>-</v>
      </c>
      <c r="T640" s="151">
        <f ca="1">OFFSET(CÁLCULO!H$15,ROW($T640)-ROW(T$15),0)</f>
        <v>4</v>
      </c>
      <c r="U640" s="152">
        <f t="shared" ca="1" si="324"/>
        <v>0</v>
      </c>
      <c r="V640" s="153" t="s">
        <v>158</v>
      </c>
      <c r="W640" s="151">
        <f t="shared" ca="1" si="311"/>
        <v>0</v>
      </c>
      <c r="X640" s="154">
        <f t="shared" ca="1" si="312"/>
        <v>0</v>
      </c>
      <c r="Y640" s="155" t="s">
        <v>583</v>
      </c>
      <c r="Z640" t="str">
        <f t="shared" ca="1" si="313"/>
        <v/>
      </c>
      <c r="AA640" s="156">
        <f ca="1">IF($C640="S",IF($Z640="CP",$X640,IF($Z640="RA",(($X640)*QCI!$AA$3),0)),SomaAgrup)</f>
        <v>0</v>
      </c>
      <c r="AB640" s="157">
        <f t="shared" ca="1" si="314"/>
        <v>0</v>
      </c>
      <c r="AC640" s="158" t="str">
        <f t="shared" ca="1" si="315"/>
        <v/>
      </c>
      <c r="AD640" s="104" t="str">
        <f ca="1">IF(C640&lt;=CRONO.NivelExibicao,MAX($AD$15:OFFSET(AD640,-1,0))+IF($C640&lt;&gt;1,1,MAX(1,COUNTIF(QCI!$A$13:$A$24,OFFSET($E640,-1,0)))),"")</f>
        <v/>
      </c>
      <c r="AE640" s="114" t="str">
        <f t="shared" ca="1" si="316"/>
        <v>SINAPI 95795</v>
      </c>
      <c r="AF640" s="159" t="str">
        <f t="shared" ca="1" si="317"/>
        <v>(abra o arquivo 'Referência 05-2024.xls)</v>
      </c>
      <c r="AG640" s="579">
        <f t="shared" ca="1" si="318"/>
        <v>0</v>
      </c>
      <c r="AH640" s="580">
        <f t="shared" ca="1" si="319"/>
        <v>0.22470000000000001</v>
      </c>
      <c r="AJ640" s="582">
        <v>4</v>
      </c>
      <c r="AL640" s="612"/>
      <c r="AM640" s="430">
        <f t="shared" ca="1" si="320"/>
        <v>0</v>
      </c>
      <c r="AN640" s="655">
        <f t="shared" ca="1" si="321"/>
        <v>0</v>
      </c>
    </row>
    <row r="641" spans="1:40" ht="13.8" x14ac:dyDescent="0.3">
      <c r="A641" t="str">
        <f t="shared" si="300"/>
        <v>S</v>
      </c>
      <c r="B641">
        <f t="shared" ca="1" si="301"/>
        <v>3</v>
      </c>
      <c r="C641" t="str">
        <f t="shared" ca="1" si="302"/>
        <v>S</v>
      </c>
      <c r="D641">
        <f t="shared" ca="1" si="303"/>
        <v>0</v>
      </c>
      <c r="E641">
        <f ca="1">IF($C641=1,OFFSET(E641,-1,0)+MAX(1,COUNTIF(QCI!$A$13:$A$24,OFFSET(ORÇAMENTO!E641,-1,0))),OFFSET(E641,-1,0))</f>
        <v>1</v>
      </c>
      <c r="F641">
        <f t="shared" ca="1" si="304"/>
        <v>20</v>
      </c>
      <c r="G641">
        <f t="shared" ca="1" si="305"/>
        <v>3</v>
      </c>
      <c r="H641">
        <f t="shared" ca="1" si="306"/>
        <v>0</v>
      </c>
      <c r="I641">
        <f t="shared" ca="1" si="307"/>
        <v>0</v>
      </c>
      <c r="J641">
        <f t="shared" ca="1" si="294"/>
        <v>0</v>
      </c>
      <c r="K641">
        <f ca="1">IF(OR($C641="S",$C641=0),0,MATCH(OFFSET($D641,0,$C641)+IF($C641&lt;&gt;1,1,COUNTIF(QCI!$A$13:$A$24,ORÇAMENTO!E641)),OFFSET($D641,1,$C641,ROW($C$710)-ROW($C641)),0))</f>
        <v>0</v>
      </c>
      <c r="L641" s="143" t="str">
        <f t="shared" ca="1" si="308"/>
        <v/>
      </c>
      <c r="M641" s="144" t="s">
        <v>201</v>
      </c>
      <c r="N641" s="145" t="str">
        <f t="shared" ca="1" si="309"/>
        <v>Serviço</v>
      </c>
      <c r="O641" s="146" t="str">
        <f t="shared" ca="1" si="310"/>
        <v>-</v>
      </c>
      <c r="P641" s="147" t="s">
        <v>249</v>
      </c>
      <c r="Q641" s="148">
        <v>91884</v>
      </c>
      <c r="R641" s="149" t="str">
        <f t="shared" ca="1" si="325"/>
        <v>(abra o arquivo 'Referência 05-2024.xls)</v>
      </c>
      <c r="S641" s="150" t="str">
        <f t="shared" ca="1" si="326"/>
        <v>-</v>
      </c>
      <c r="T641" s="151">
        <f ca="1">OFFSET(CÁLCULO!H$15,ROW($T641)-ROW(T$15),0)</f>
        <v>18</v>
      </c>
      <c r="U641" s="152">
        <f t="shared" ca="1" si="324"/>
        <v>0</v>
      </c>
      <c r="V641" s="153" t="s">
        <v>158</v>
      </c>
      <c r="W641" s="151">
        <f t="shared" ca="1" si="311"/>
        <v>0</v>
      </c>
      <c r="X641" s="154">
        <f t="shared" ca="1" si="312"/>
        <v>0</v>
      </c>
      <c r="Y641" s="155" t="s">
        <v>583</v>
      </c>
      <c r="Z641" t="str">
        <f t="shared" ca="1" si="313"/>
        <v/>
      </c>
      <c r="AA641" s="156">
        <f ca="1">IF($C641="S",IF($Z641="CP",$X641,IF($Z641="RA",(($X641)*QCI!$AA$3),0)),SomaAgrup)</f>
        <v>0</v>
      </c>
      <c r="AB641" s="157">
        <f t="shared" ca="1" si="314"/>
        <v>0</v>
      </c>
      <c r="AC641" s="158" t="str">
        <f t="shared" ca="1" si="315"/>
        <v/>
      </c>
      <c r="AD641" s="104" t="str">
        <f ca="1">IF(C641&lt;=CRONO.NivelExibicao,MAX($AD$15:OFFSET(AD641,-1,0))+IF($C641&lt;&gt;1,1,MAX(1,COUNTIF(QCI!$A$13:$A$24,OFFSET($E641,-1,0)))),"")</f>
        <v/>
      </c>
      <c r="AE641" s="114" t="str">
        <f t="shared" ca="1" si="316"/>
        <v>SINAPI 91884</v>
      </c>
      <c r="AF641" s="159" t="str">
        <f t="shared" ca="1" si="317"/>
        <v>(abra o arquivo 'Referência 05-2024.xls)</v>
      </c>
      <c r="AG641" s="579">
        <f t="shared" ca="1" si="318"/>
        <v>0</v>
      </c>
      <c r="AH641" s="580">
        <f t="shared" ca="1" si="319"/>
        <v>0.22470000000000001</v>
      </c>
      <c r="AJ641" s="582">
        <v>18</v>
      </c>
      <c r="AL641" s="612"/>
      <c r="AM641" s="430">
        <f t="shared" ca="1" si="320"/>
        <v>0</v>
      </c>
      <c r="AN641" s="655">
        <f t="shared" ca="1" si="321"/>
        <v>0</v>
      </c>
    </row>
    <row r="642" spans="1:40" ht="13.8" x14ac:dyDescent="0.3">
      <c r="A642" t="str">
        <f t="shared" si="300"/>
        <v>S</v>
      </c>
      <c r="B642">
        <f t="shared" ca="1" si="301"/>
        <v>3</v>
      </c>
      <c r="C642" t="str">
        <f t="shared" ca="1" si="302"/>
        <v>S</v>
      </c>
      <c r="D642">
        <f t="shared" ca="1" si="303"/>
        <v>0</v>
      </c>
      <c r="E642">
        <f ca="1">IF($C642=1,OFFSET(E642,-1,0)+MAX(1,COUNTIF(QCI!$A$13:$A$24,OFFSET(ORÇAMENTO!E642,-1,0))),OFFSET(E642,-1,0))</f>
        <v>1</v>
      </c>
      <c r="F642">
        <f t="shared" ca="1" si="304"/>
        <v>20</v>
      </c>
      <c r="G642">
        <f t="shared" ca="1" si="305"/>
        <v>3</v>
      </c>
      <c r="H642">
        <f t="shared" ca="1" si="306"/>
        <v>0</v>
      </c>
      <c r="I642">
        <f t="shared" ca="1" si="307"/>
        <v>0</v>
      </c>
      <c r="J642">
        <f t="shared" ca="1" si="294"/>
        <v>0</v>
      </c>
      <c r="K642">
        <f ca="1">IF(OR($C642="S",$C642=0),0,MATCH(OFFSET($D642,0,$C642)+IF($C642&lt;&gt;1,1,COUNTIF(QCI!$A$13:$A$24,ORÇAMENTO!E642)),OFFSET($D642,1,$C642,ROW($C$710)-ROW($C642)),0))</f>
        <v>0</v>
      </c>
      <c r="L642" s="143" t="str">
        <f t="shared" ca="1" si="308"/>
        <v/>
      </c>
      <c r="M642" s="144" t="s">
        <v>201</v>
      </c>
      <c r="N642" s="145" t="str">
        <f t="shared" ca="1" si="309"/>
        <v>Serviço</v>
      </c>
      <c r="O642" s="146" t="str">
        <f t="shared" ca="1" si="310"/>
        <v>-</v>
      </c>
      <c r="P642" s="147" t="s">
        <v>441</v>
      </c>
      <c r="Q642" s="148" t="s">
        <v>629</v>
      </c>
      <c r="R642" s="149" t="str">
        <f t="shared" ca="1" si="325"/>
        <v>(abra o arquivo 'Referência 05-2024.xls)</v>
      </c>
      <c r="S642" s="150" t="str">
        <f t="shared" ca="1" si="326"/>
        <v>-</v>
      </c>
      <c r="T642" s="151">
        <f ca="1">OFFSET(CÁLCULO!H$15,ROW($T642)-ROW(T$15),0)</f>
        <v>2</v>
      </c>
      <c r="U642" s="152">
        <f t="shared" ca="1" si="324"/>
        <v>0</v>
      </c>
      <c r="V642" s="153" t="s">
        <v>158</v>
      </c>
      <c r="W642" s="151">
        <f t="shared" ca="1" si="311"/>
        <v>0</v>
      </c>
      <c r="X642" s="154">
        <f t="shared" ca="1" si="312"/>
        <v>0</v>
      </c>
      <c r="Y642" s="155" t="s">
        <v>583</v>
      </c>
      <c r="Z642" t="str">
        <f t="shared" ca="1" si="313"/>
        <v/>
      </c>
      <c r="AA642" s="156">
        <f ca="1">IF($C642="S",IF($Z642="CP",$X642,IF($Z642="RA",(($X642)*QCI!$AA$3),0)),SomaAgrup)</f>
        <v>0</v>
      </c>
      <c r="AB642" s="157">
        <f t="shared" ca="1" si="314"/>
        <v>0</v>
      </c>
      <c r="AC642" s="158" t="str">
        <f t="shared" ca="1" si="315"/>
        <v/>
      </c>
      <c r="AD642" s="104" t="str">
        <f ca="1">IF(C642&lt;=CRONO.NivelExibicao,MAX($AD$15:OFFSET(AD642,-1,0))+IF($C642&lt;&gt;1,1,MAX(1,COUNTIF(QCI!$A$13:$A$24,OFFSET($E642,-1,0)))),"")</f>
        <v/>
      </c>
      <c r="AE642" s="114" t="str">
        <f t="shared" ca="1" si="316"/>
        <v>Composição CP-65</v>
      </c>
      <c r="AF642" s="159" t="str">
        <f t="shared" ca="1" si="317"/>
        <v>(abra o arquivo 'Referência 05-2024.xls)</v>
      </c>
      <c r="AG642" s="579">
        <f t="shared" ca="1" si="318"/>
        <v>0</v>
      </c>
      <c r="AH642" s="580">
        <f t="shared" ca="1" si="319"/>
        <v>0.22470000000000001</v>
      </c>
      <c r="AJ642" s="582">
        <v>2</v>
      </c>
      <c r="AL642" s="612"/>
      <c r="AM642" s="430">
        <f t="shared" ca="1" si="320"/>
        <v>0</v>
      </c>
      <c r="AN642" s="655">
        <f t="shared" ca="1" si="321"/>
        <v>0</v>
      </c>
    </row>
    <row r="643" spans="1:40" ht="13.8" x14ac:dyDescent="0.3">
      <c r="A643" t="str">
        <f t="shared" si="300"/>
        <v>S</v>
      </c>
      <c r="B643">
        <f t="shared" ca="1" si="301"/>
        <v>3</v>
      </c>
      <c r="C643" t="str">
        <f t="shared" ca="1" si="302"/>
        <v>S</v>
      </c>
      <c r="D643">
        <f t="shared" ca="1" si="303"/>
        <v>0</v>
      </c>
      <c r="E643">
        <f ca="1">IF($C643=1,OFFSET(E643,-1,0)+MAX(1,COUNTIF(QCI!$A$13:$A$24,OFFSET(ORÇAMENTO!E643,-1,0))),OFFSET(E643,-1,0))</f>
        <v>1</v>
      </c>
      <c r="F643">
        <f t="shared" ca="1" si="304"/>
        <v>20</v>
      </c>
      <c r="G643">
        <f t="shared" ca="1" si="305"/>
        <v>3</v>
      </c>
      <c r="H643">
        <f t="shared" ca="1" si="306"/>
        <v>0</v>
      </c>
      <c r="I643">
        <f t="shared" ca="1" si="307"/>
        <v>0</v>
      </c>
      <c r="J643">
        <f t="shared" ca="1" si="294"/>
        <v>0</v>
      </c>
      <c r="K643">
        <f ca="1">IF(OR($C643="S",$C643=0),0,MATCH(OFFSET($D643,0,$C643)+IF($C643&lt;&gt;1,1,COUNTIF(QCI!$A$13:$A$24,ORÇAMENTO!E643)),OFFSET($D643,1,$C643,ROW($C$710)-ROW($C643)),0))</f>
        <v>0</v>
      </c>
      <c r="L643" s="143" t="str">
        <f t="shared" ca="1" si="308"/>
        <v/>
      </c>
      <c r="M643" s="144" t="s">
        <v>201</v>
      </c>
      <c r="N643" s="145" t="str">
        <f t="shared" ca="1" si="309"/>
        <v>Serviço</v>
      </c>
      <c r="O643" s="146" t="str">
        <f t="shared" ca="1" si="310"/>
        <v>-</v>
      </c>
      <c r="P643" s="147" t="s">
        <v>441</v>
      </c>
      <c r="Q643" s="148" t="s">
        <v>630</v>
      </c>
      <c r="R643" s="149" t="str">
        <f t="shared" ca="1" si="325"/>
        <v>(abra o arquivo 'Referência 05-2024.xls)</v>
      </c>
      <c r="S643" s="150" t="str">
        <f t="shared" ca="1" si="326"/>
        <v>-</v>
      </c>
      <c r="T643" s="151">
        <f ca="1">OFFSET(CÁLCULO!H$15,ROW($T643)-ROW(T$15),0)</f>
        <v>38</v>
      </c>
      <c r="U643" s="152">
        <f t="shared" ca="1" si="324"/>
        <v>0</v>
      </c>
      <c r="V643" s="153" t="s">
        <v>158</v>
      </c>
      <c r="W643" s="151">
        <f t="shared" ca="1" si="311"/>
        <v>0</v>
      </c>
      <c r="X643" s="154">
        <f t="shared" ca="1" si="312"/>
        <v>0</v>
      </c>
      <c r="Y643" s="155" t="s">
        <v>583</v>
      </c>
      <c r="Z643" t="str">
        <f t="shared" ca="1" si="313"/>
        <v/>
      </c>
      <c r="AA643" s="156">
        <f ca="1">IF($C643="S",IF($Z643="CP",$X643,IF($Z643="RA",(($X643)*QCI!$AA$3),0)),SomaAgrup)</f>
        <v>0</v>
      </c>
      <c r="AB643" s="157">
        <f t="shared" ca="1" si="314"/>
        <v>0</v>
      </c>
      <c r="AC643" s="158" t="str">
        <f t="shared" ca="1" si="315"/>
        <v/>
      </c>
      <c r="AD643" s="104" t="str">
        <f ca="1">IF(C643&lt;=CRONO.NivelExibicao,MAX($AD$15:OFFSET(AD643,-1,0))+IF($C643&lt;&gt;1,1,MAX(1,COUNTIF(QCI!$A$13:$A$24,OFFSET($E643,-1,0)))),"")</f>
        <v/>
      </c>
      <c r="AE643" s="114" t="str">
        <f t="shared" ca="1" si="316"/>
        <v>Composição CP-66</v>
      </c>
      <c r="AF643" s="159" t="str">
        <f t="shared" ca="1" si="317"/>
        <v>(abra o arquivo 'Referência 05-2024.xls)</v>
      </c>
      <c r="AG643" s="579">
        <f t="shared" ca="1" si="318"/>
        <v>0</v>
      </c>
      <c r="AH643" s="580">
        <f t="shared" ca="1" si="319"/>
        <v>0.22470000000000001</v>
      </c>
      <c r="AJ643" s="582">
        <v>38</v>
      </c>
      <c r="AL643" s="612"/>
      <c r="AM643" s="430">
        <f t="shared" ca="1" si="320"/>
        <v>0</v>
      </c>
      <c r="AN643" s="655">
        <f t="shared" ca="1" si="321"/>
        <v>0</v>
      </c>
    </row>
    <row r="644" spans="1:40" ht="13.8" x14ac:dyDescent="0.3">
      <c r="A644" t="str">
        <f t="shared" si="300"/>
        <v>S</v>
      </c>
      <c r="B644">
        <f t="shared" ca="1" si="301"/>
        <v>3</v>
      </c>
      <c r="C644" t="str">
        <f t="shared" ca="1" si="302"/>
        <v>S</v>
      </c>
      <c r="D644">
        <f t="shared" ca="1" si="303"/>
        <v>0</v>
      </c>
      <c r="E644">
        <f ca="1">IF($C644=1,OFFSET(E644,-1,0)+MAX(1,COUNTIF(QCI!$A$13:$A$24,OFFSET(ORÇAMENTO!E644,-1,0))),OFFSET(E644,-1,0))</f>
        <v>1</v>
      </c>
      <c r="F644">
        <f t="shared" ca="1" si="304"/>
        <v>20</v>
      </c>
      <c r="G644">
        <f t="shared" ca="1" si="305"/>
        <v>3</v>
      </c>
      <c r="H644">
        <f t="shared" ca="1" si="306"/>
        <v>0</v>
      </c>
      <c r="I644">
        <f t="shared" ca="1" si="307"/>
        <v>0</v>
      </c>
      <c r="J644">
        <f t="shared" ca="1" si="294"/>
        <v>0</v>
      </c>
      <c r="K644">
        <f ca="1">IF(OR($C644="S",$C644=0),0,MATCH(OFFSET($D644,0,$C644)+IF($C644&lt;&gt;1,1,COUNTIF(QCI!$A$13:$A$24,ORÇAMENTO!E644)),OFFSET($D644,1,$C644,ROW($C$710)-ROW($C644)),0))</f>
        <v>0</v>
      </c>
      <c r="L644" s="143" t="str">
        <f t="shared" ca="1" si="308"/>
        <v/>
      </c>
      <c r="M644" s="144" t="s">
        <v>201</v>
      </c>
      <c r="N644" s="145" t="str">
        <f t="shared" ca="1" si="309"/>
        <v>Serviço</v>
      </c>
      <c r="O644" s="146" t="str">
        <f t="shared" ca="1" si="310"/>
        <v>-</v>
      </c>
      <c r="P644" s="147" t="s">
        <v>441</v>
      </c>
      <c r="Q644" s="148" t="s">
        <v>631</v>
      </c>
      <c r="R644" s="149" t="str">
        <f t="shared" ca="1" si="325"/>
        <v>(abra o arquivo 'Referência 05-2024.xls)</v>
      </c>
      <c r="S644" s="150" t="str">
        <f t="shared" ca="1" si="326"/>
        <v>-</v>
      </c>
      <c r="T644" s="151">
        <f ca="1">OFFSET(CÁLCULO!H$15,ROW($T644)-ROW(T$15),0)</f>
        <v>8</v>
      </c>
      <c r="U644" s="152">
        <f t="shared" ca="1" si="324"/>
        <v>0</v>
      </c>
      <c r="V644" s="153" t="s">
        <v>158</v>
      </c>
      <c r="W644" s="151">
        <f t="shared" ca="1" si="311"/>
        <v>0</v>
      </c>
      <c r="X644" s="154">
        <f t="shared" ca="1" si="312"/>
        <v>0</v>
      </c>
      <c r="Y644" s="155" t="s">
        <v>583</v>
      </c>
      <c r="Z644" t="str">
        <f t="shared" ca="1" si="313"/>
        <v/>
      </c>
      <c r="AA644" s="156">
        <f ca="1">IF($C644="S",IF($Z644="CP",$X644,IF($Z644="RA",(($X644)*QCI!$AA$3),0)),SomaAgrup)</f>
        <v>0</v>
      </c>
      <c r="AB644" s="157">
        <f t="shared" ca="1" si="314"/>
        <v>0</v>
      </c>
      <c r="AC644" s="158" t="str">
        <f t="shared" ca="1" si="315"/>
        <v/>
      </c>
      <c r="AD644" s="104" t="str">
        <f ca="1">IF(C644&lt;=CRONO.NivelExibicao,MAX($AD$15:OFFSET(AD644,-1,0))+IF($C644&lt;&gt;1,1,MAX(1,COUNTIF(QCI!$A$13:$A$24,OFFSET($E644,-1,0)))),"")</f>
        <v/>
      </c>
      <c r="AE644" s="114" t="str">
        <f t="shared" ca="1" si="316"/>
        <v>Composição CP-67</v>
      </c>
      <c r="AF644" s="159" t="str">
        <f t="shared" ca="1" si="317"/>
        <v>(abra o arquivo 'Referência 05-2024.xls)</v>
      </c>
      <c r="AG644" s="579">
        <f t="shared" ca="1" si="318"/>
        <v>0</v>
      </c>
      <c r="AH644" s="580">
        <f t="shared" ca="1" si="319"/>
        <v>0.22470000000000001</v>
      </c>
      <c r="AJ644" s="582">
        <v>8</v>
      </c>
      <c r="AL644" s="612"/>
      <c r="AM644" s="430">
        <f t="shared" ca="1" si="320"/>
        <v>0</v>
      </c>
      <c r="AN644" s="655">
        <f t="shared" ca="1" si="321"/>
        <v>0</v>
      </c>
    </row>
    <row r="645" spans="1:40" ht="13.8" x14ac:dyDescent="0.3">
      <c r="A645" t="str">
        <f t="shared" si="300"/>
        <v>S</v>
      </c>
      <c r="B645">
        <f t="shared" ca="1" si="301"/>
        <v>3</v>
      </c>
      <c r="C645" t="str">
        <f t="shared" ca="1" si="302"/>
        <v>S</v>
      </c>
      <c r="D645">
        <f t="shared" ca="1" si="303"/>
        <v>0</v>
      </c>
      <c r="E645">
        <f ca="1">IF($C645=1,OFFSET(E645,-1,0)+MAX(1,COUNTIF(QCI!$A$13:$A$24,OFFSET(ORÇAMENTO!E645,-1,0))),OFFSET(E645,-1,0))</f>
        <v>1</v>
      </c>
      <c r="F645">
        <f t="shared" ca="1" si="304"/>
        <v>20</v>
      </c>
      <c r="G645">
        <f t="shared" ca="1" si="305"/>
        <v>3</v>
      </c>
      <c r="H645">
        <f t="shared" ca="1" si="306"/>
        <v>0</v>
      </c>
      <c r="I645">
        <f t="shared" ca="1" si="307"/>
        <v>0</v>
      </c>
      <c r="J645">
        <f t="shared" ca="1" si="294"/>
        <v>0</v>
      </c>
      <c r="K645">
        <f ca="1">IF(OR($C645="S",$C645=0),0,MATCH(OFFSET($D645,0,$C645)+IF($C645&lt;&gt;1,1,COUNTIF(QCI!$A$13:$A$24,ORÇAMENTO!E645)),OFFSET($D645,1,$C645,ROW($C$710)-ROW($C645)),0))</f>
        <v>0</v>
      </c>
      <c r="L645" s="143" t="str">
        <f t="shared" ca="1" si="308"/>
        <v/>
      </c>
      <c r="M645" s="144" t="s">
        <v>201</v>
      </c>
      <c r="N645" s="145" t="str">
        <f t="shared" ca="1" si="309"/>
        <v>Serviço</v>
      </c>
      <c r="O645" s="146" t="str">
        <f t="shared" ca="1" si="310"/>
        <v>-</v>
      </c>
      <c r="P645" s="147" t="s">
        <v>441</v>
      </c>
      <c r="Q645" s="148" t="s">
        <v>635</v>
      </c>
      <c r="R645" s="149" t="str">
        <f t="shared" ca="1" si="325"/>
        <v>(abra o arquivo 'Referência 05-2024.xls)</v>
      </c>
      <c r="S645" s="150" t="str">
        <f t="shared" ca="1" si="326"/>
        <v>-</v>
      </c>
      <c r="T645" s="151">
        <f ca="1">OFFSET(CÁLCULO!H$15,ROW($T645)-ROW(T$15),0)</f>
        <v>8</v>
      </c>
      <c r="U645" s="152">
        <f t="shared" ca="1" si="324"/>
        <v>0</v>
      </c>
      <c r="V645" s="153" t="s">
        <v>158</v>
      </c>
      <c r="W645" s="151">
        <f t="shared" ca="1" si="311"/>
        <v>0</v>
      </c>
      <c r="X645" s="154">
        <f t="shared" ca="1" si="312"/>
        <v>0</v>
      </c>
      <c r="Y645" s="155" t="s">
        <v>583</v>
      </c>
      <c r="Z645" t="str">
        <f t="shared" ca="1" si="313"/>
        <v/>
      </c>
      <c r="AA645" s="156">
        <f ca="1">IF($C645="S",IF($Z645="CP",$X645,IF($Z645="RA",(($X645)*QCI!$AA$3),0)),SomaAgrup)</f>
        <v>0</v>
      </c>
      <c r="AB645" s="157">
        <f t="shared" ca="1" si="314"/>
        <v>0</v>
      </c>
      <c r="AC645" s="158" t="str">
        <f t="shared" ca="1" si="315"/>
        <v/>
      </c>
      <c r="AD645" s="104" t="str">
        <f ca="1">IF(C645&lt;=CRONO.NivelExibicao,MAX($AD$15:OFFSET(AD645,-1,0))+IF($C645&lt;&gt;1,1,MAX(1,COUNTIF(QCI!$A$13:$A$24,OFFSET($E645,-1,0)))),"")</f>
        <v/>
      </c>
      <c r="AE645" s="114" t="str">
        <f t="shared" ca="1" si="316"/>
        <v>Composição CP-71</v>
      </c>
      <c r="AF645" s="159" t="str">
        <f t="shared" ca="1" si="317"/>
        <v>(abra o arquivo 'Referência 05-2024.xls)</v>
      </c>
      <c r="AG645" s="579">
        <f t="shared" ca="1" si="318"/>
        <v>0</v>
      </c>
      <c r="AH645" s="580">
        <f t="shared" ca="1" si="319"/>
        <v>0.22470000000000001</v>
      </c>
      <c r="AJ645" s="582">
        <v>8</v>
      </c>
      <c r="AL645" s="612"/>
      <c r="AM645" s="430">
        <f t="shared" ca="1" si="320"/>
        <v>0</v>
      </c>
      <c r="AN645" s="655">
        <f t="shared" ca="1" si="321"/>
        <v>0</v>
      </c>
    </row>
    <row r="646" spans="1:40" ht="13.8" x14ac:dyDescent="0.3">
      <c r="A646" t="str">
        <f t="shared" si="300"/>
        <v>S</v>
      </c>
      <c r="B646">
        <f t="shared" ca="1" si="301"/>
        <v>3</v>
      </c>
      <c r="C646" t="str">
        <f t="shared" ca="1" si="302"/>
        <v>S</v>
      </c>
      <c r="D646">
        <f t="shared" ca="1" si="303"/>
        <v>0</v>
      </c>
      <c r="E646">
        <f ca="1">IF($C646=1,OFFSET(E646,-1,0)+MAX(1,COUNTIF(QCI!$A$13:$A$24,OFFSET(ORÇAMENTO!E646,-1,0))),OFFSET(E646,-1,0))</f>
        <v>1</v>
      </c>
      <c r="F646">
        <f t="shared" ca="1" si="304"/>
        <v>20</v>
      </c>
      <c r="G646">
        <f t="shared" ca="1" si="305"/>
        <v>3</v>
      </c>
      <c r="H646">
        <f t="shared" ca="1" si="306"/>
        <v>0</v>
      </c>
      <c r="I646">
        <f t="shared" ca="1" si="307"/>
        <v>0</v>
      </c>
      <c r="J646">
        <f t="shared" ca="1" si="294"/>
        <v>0</v>
      </c>
      <c r="K646">
        <f ca="1">IF(OR($C646="S",$C646=0),0,MATCH(OFFSET($D646,0,$C646)+IF($C646&lt;&gt;1,1,COUNTIF(QCI!$A$13:$A$24,ORÇAMENTO!E646)),OFFSET($D646,1,$C646,ROW($C$710)-ROW($C646)),0))</f>
        <v>0</v>
      </c>
      <c r="L646" s="143" t="str">
        <f t="shared" ca="1" si="308"/>
        <v/>
      </c>
      <c r="M646" s="144" t="s">
        <v>201</v>
      </c>
      <c r="N646" s="145" t="str">
        <f t="shared" ca="1" si="309"/>
        <v>Serviço</v>
      </c>
      <c r="O646" s="146" t="str">
        <f t="shared" ca="1" si="310"/>
        <v>-</v>
      </c>
      <c r="P646" s="147" t="s">
        <v>249</v>
      </c>
      <c r="Q646" s="148">
        <v>91943</v>
      </c>
      <c r="R646" s="149" t="str">
        <f t="shared" ca="1" si="325"/>
        <v>(abra o arquivo 'Referência 05-2024.xls)</v>
      </c>
      <c r="S646" s="150" t="str">
        <f t="shared" ca="1" si="326"/>
        <v>-</v>
      </c>
      <c r="T646" s="151">
        <f ca="1">OFFSET(CÁLCULO!H$15,ROW($T646)-ROW(T$15),0)</f>
        <v>1</v>
      </c>
      <c r="U646" s="152">
        <f t="shared" ca="1" si="324"/>
        <v>0</v>
      </c>
      <c r="V646" s="153" t="s">
        <v>158</v>
      </c>
      <c r="W646" s="151">
        <f t="shared" ca="1" si="311"/>
        <v>0</v>
      </c>
      <c r="X646" s="154">
        <f t="shared" ca="1" si="312"/>
        <v>0</v>
      </c>
      <c r="Y646" s="155" t="s">
        <v>583</v>
      </c>
      <c r="Z646" t="str">
        <f t="shared" ca="1" si="313"/>
        <v/>
      </c>
      <c r="AA646" s="156">
        <f ca="1">IF($C646="S",IF($Z646="CP",$X646,IF($Z646="RA",(($X646)*QCI!$AA$3),0)),SomaAgrup)</f>
        <v>0</v>
      </c>
      <c r="AB646" s="157">
        <f t="shared" ca="1" si="314"/>
        <v>0</v>
      </c>
      <c r="AC646" s="158" t="str">
        <f t="shared" ca="1" si="315"/>
        <v/>
      </c>
      <c r="AD646" s="104" t="str">
        <f ca="1">IF(C646&lt;=CRONO.NivelExibicao,MAX($AD$15:OFFSET(AD646,-1,0))+IF($C646&lt;&gt;1,1,MAX(1,COUNTIF(QCI!$A$13:$A$24,OFFSET($E646,-1,0)))),"")</f>
        <v/>
      </c>
      <c r="AE646" s="114" t="str">
        <f t="shared" ca="1" si="316"/>
        <v>SINAPI 91943</v>
      </c>
      <c r="AF646" s="159" t="str">
        <f t="shared" ca="1" si="317"/>
        <v>(abra o arquivo 'Referência 05-2024.xls)</v>
      </c>
      <c r="AG646" s="579">
        <f t="shared" ca="1" si="318"/>
        <v>0</v>
      </c>
      <c r="AH646" s="580">
        <f t="shared" ca="1" si="319"/>
        <v>0.22470000000000001</v>
      </c>
      <c r="AJ646" s="582">
        <v>1</v>
      </c>
      <c r="AL646" s="612"/>
      <c r="AM646" s="430">
        <f t="shared" ca="1" si="320"/>
        <v>0</v>
      </c>
      <c r="AN646" s="655">
        <f t="shared" ca="1" si="321"/>
        <v>0</v>
      </c>
    </row>
    <row r="647" spans="1:40" ht="13.8" x14ac:dyDescent="0.3">
      <c r="A647">
        <f t="shared" si="300"/>
        <v>3</v>
      </c>
      <c r="B647">
        <f t="shared" ca="1" si="301"/>
        <v>3</v>
      </c>
      <c r="C647">
        <f t="shared" ca="1" si="302"/>
        <v>3</v>
      </c>
      <c r="D647">
        <f t="shared" ca="1" si="303"/>
        <v>3</v>
      </c>
      <c r="E647">
        <f ca="1">IF($C647=1,OFFSET(E647,-1,0)+MAX(1,COUNTIF(QCI!$A$13:$A$24,OFFSET(ORÇAMENTO!E647,-1,0))),OFFSET(E647,-1,0))</f>
        <v>1</v>
      </c>
      <c r="F647">
        <f t="shared" ca="1" si="304"/>
        <v>20</v>
      </c>
      <c r="G647">
        <f t="shared" ca="1" si="305"/>
        <v>4</v>
      </c>
      <c r="H647">
        <f t="shared" ca="1" si="306"/>
        <v>0</v>
      </c>
      <c r="I647">
        <f t="shared" ca="1" si="307"/>
        <v>0</v>
      </c>
      <c r="J647">
        <f t="shared" ca="1" si="294"/>
        <v>21</v>
      </c>
      <c r="K647">
        <f ca="1">IF(OR($C647="S",$C647=0),0,MATCH(OFFSET($D647,0,$C647)+IF($C647&lt;&gt;1,1,COUNTIF(QCI!$A$13:$A$24,ORÇAMENTO!E647)),OFFSET($D647,1,$C647,ROW($C$710)-ROW($C647)),0))</f>
        <v>3</v>
      </c>
      <c r="L647" s="143" t="str">
        <f t="shared" ca="1" si="308"/>
        <v>F</v>
      </c>
      <c r="M647" s="144" t="s">
        <v>199</v>
      </c>
      <c r="N647" s="145" t="str">
        <f t="shared" ca="1" si="309"/>
        <v>Nível 3</v>
      </c>
      <c r="O647" s="146" t="str">
        <f t="shared" ca="1" si="310"/>
        <v>1.20.4.</v>
      </c>
      <c r="P647" s="147" t="s">
        <v>249</v>
      </c>
      <c r="Q647" s="148"/>
      <c r="R647" s="149" t="s">
        <v>559</v>
      </c>
      <c r="S647" s="150" t="s">
        <v>168</v>
      </c>
      <c r="T647" s="151">
        <f ca="1">OFFSET(CÁLCULO!H$15,ROW($T647)-ROW(T$15),0)</f>
        <v>0</v>
      </c>
      <c r="U647" s="152"/>
      <c r="V647" s="153" t="s">
        <v>158</v>
      </c>
      <c r="W647" s="151">
        <f t="shared" ca="1" si="311"/>
        <v>0</v>
      </c>
      <c r="X647" s="154">
        <f t="shared" ca="1" si="312"/>
        <v>0</v>
      </c>
      <c r="Y647" s="155" t="s">
        <v>583</v>
      </c>
      <c r="Z647" t="str">
        <f t="shared" ca="1" si="313"/>
        <v/>
      </c>
      <c r="AA647" s="156">
        <f ca="1">IF($C647="S",IF($Z647="CP",$X647,IF($Z647="RA",(($X647)*QCI!$AA$3),0)),SomaAgrup)</f>
        <v>0</v>
      </c>
      <c r="AB647" s="157">
        <f t="shared" ca="1" si="314"/>
        <v>0</v>
      </c>
      <c r="AC647" s="158" t="str">
        <f t="shared" ca="1" si="315"/>
        <v/>
      </c>
      <c r="AD647" s="104" t="str">
        <f ca="1">IF(C647&lt;=CRONO.NivelExibicao,MAX($AD$15:OFFSET(AD647,-1,0))+IF($C647&lt;&gt;1,1,MAX(1,COUNTIF(QCI!$A$13:$A$24,OFFSET($E647,-1,0)))),"")</f>
        <v/>
      </c>
      <c r="AE647" s="114" t="b">
        <f t="shared" ca="1" si="316"/>
        <v>0</v>
      </c>
      <c r="AF647" s="159" t="str">
        <f t="shared" ca="1" si="317"/>
        <v>(abra o arquivo 'Referência 05-2024.xls)</v>
      </c>
      <c r="AG647" s="579">
        <f t="shared" ca="1" si="318"/>
        <v>0</v>
      </c>
      <c r="AH647" s="580">
        <f t="shared" ca="1" si="319"/>
        <v>0.22470000000000001</v>
      </c>
      <c r="AJ647" s="582"/>
      <c r="AL647" s="612"/>
      <c r="AM647" s="430">
        <f t="shared" ca="1" si="320"/>
        <v>0</v>
      </c>
      <c r="AN647" s="655">
        <f t="shared" ca="1" si="321"/>
        <v>0</v>
      </c>
    </row>
    <row r="648" spans="1:40" ht="13.8" x14ac:dyDescent="0.3">
      <c r="A648" t="str">
        <f t="shared" si="300"/>
        <v>S</v>
      </c>
      <c r="B648">
        <f t="shared" ca="1" si="301"/>
        <v>3</v>
      </c>
      <c r="C648" t="str">
        <f t="shared" ca="1" si="302"/>
        <v>S</v>
      </c>
      <c r="D648">
        <f t="shared" ca="1" si="303"/>
        <v>0</v>
      </c>
      <c r="E648">
        <f ca="1">IF($C648=1,OFFSET(E648,-1,0)+MAX(1,COUNTIF(QCI!$A$13:$A$24,OFFSET(ORÇAMENTO!E648,-1,0))),OFFSET(E648,-1,0))</f>
        <v>1</v>
      </c>
      <c r="F648">
        <f t="shared" ca="1" si="304"/>
        <v>20</v>
      </c>
      <c r="G648">
        <f t="shared" ca="1" si="305"/>
        <v>4</v>
      </c>
      <c r="H648">
        <f t="shared" ca="1" si="306"/>
        <v>0</v>
      </c>
      <c r="I648">
        <f t="shared" ca="1" si="307"/>
        <v>0</v>
      </c>
      <c r="J648">
        <f t="shared" ca="1" si="294"/>
        <v>0</v>
      </c>
      <c r="K648">
        <f ca="1">IF(OR($C648="S",$C648=0),0,MATCH(OFFSET($D648,0,$C648)+IF($C648&lt;&gt;1,1,COUNTIF(QCI!$A$13:$A$24,ORÇAMENTO!E648)),OFFSET($D648,1,$C648,ROW($C$710)-ROW($C648)),0))</f>
        <v>0</v>
      </c>
      <c r="L648" s="143" t="str">
        <f t="shared" ca="1" si="308"/>
        <v/>
      </c>
      <c r="M648" s="144" t="s">
        <v>201</v>
      </c>
      <c r="N648" s="145" t="str">
        <f t="shared" ca="1" si="309"/>
        <v>Serviço</v>
      </c>
      <c r="O648" s="146" t="str">
        <f t="shared" ca="1" si="310"/>
        <v>-</v>
      </c>
      <c r="P648" s="147" t="s">
        <v>599</v>
      </c>
      <c r="Q648" s="148" t="s">
        <v>619</v>
      </c>
      <c r="R648" s="149" t="str">
        <f ca="1">IF($C648="S",REFERENCIA.Descricao,"(digite a descrição aqui)")</f>
        <v>(abra o arquivo 'Referência 05-2024.xls)</v>
      </c>
      <c r="S648" s="150" t="str">
        <f ca="1">REFERENCIA.Unidade</f>
        <v>-</v>
      </c>
      <c r="T648" s="151">
        <f ca="1">OFFSET(CÁLCULO!H$15,ROW($T648)-ROW(T$15),0)</f>
        <v>2</v>
      </c>
      <c r="U648" s="152">
        <f t="shared" ca="1" si="324"/>
        <v>0</v>
      </c>
      <c r="V648" s="153" t="s">
        <v>193</v>
      </c>
      <c r="W648" s="151">
        <f t="shared" ca="1" si="311"/>
        <v>0</v>
      </c>
      <c r="X648" s="154">
        <f t="shared" ca="1" si="312"/>
        <v>0</v>
      </c>
      <c r="Y648" s="155" t="s">
        <v>583</v>
      </c>
      <c r="Z648" t="str">
        <f t="shared" ca="1" si="313"/>
        <v/>
      </c>
      <c r="AA648" s="156">
        <f ca="1">IF($C648="S",IF($Z648="CP",$X648,IF($Z648="RA",(($X648)*QCI!$AA$3),0)),SomaAgrup)</f>
        <v>0</v>
      </c>
      <c r="AB648" s="157">
        <f t="shared" ca="1" si="314"/>
        <v>0</v>
      </c>
      <c r="AC648" s="158" t="str">
        <f t="shared" ca="1" si="315"/>
        <v/>
      </c>
      <c r="AD648" s="104" t="str">
        <f ca="1">IF(C648&lt;=CRONO.NivelExibicao,MAX($AD$15:OFFSET(AD648,-1,0))+IF($C648&lt;&gt;1,1,MAX(1,COUNTIF(QCI!$A$13:$A$24,OFFSET($E648,-1,0)))),"")</f>
        <v/>
      </c>
      <c r="AE648" s="114" t="str">
        <f t="shared" ca="1" si="316"/>
        <v>SUDECAP 11.82.21</v>
      </c>
      <c r="AF648" s="159" t="str">
        <f t="shared" ca="1" si="317"/>
        <v>(abra o arquivo 'Referência 05-2024.xls)</v>
      </c>
      <c r="AG648" s="579">
        <f t="shared" ca="1" si="318"/>
        <v>0</v>
      </c>
      <c r="AH648" s="580">
        <f t="shared" ca="1" si="319"/>
        <v>0.16800000000000001</v>
      </c>
      <c r="AJ648" s="582">
        <v>2</v>
      </c>
      <c r="AL648" s="612"/>
      <c r="AM648" s="430">
        <f t="shared" ca="1" si="320"/>
        <v>0</v>
      </c>
      <c r="AN648" s="655">
        <f t="shared" ca="1" si="321"/>
        <v>0</v>
      </c>
    </row>
    <row r="649" spans="1:40" ht="13.8" x14ac:dyDescent="0.3">
      <c r="A649" t="str">
        <f t="shared" si="300"/>
        <v>S</v>
      </c>
      <c r="B649">
        <f t="shared" ca="1" si="301"/>
        <v>3</v>
      </c>
      <c r="C649" t="str">
        <f t="shared" ca="1" si="302"/>
        <v>S</v>
      </c>
      <c r="D649">
        <f t="shared" ca="1" si="303"/>
        <v>0</v>
      </c>
      <c r="E649">
        <f ca="1">IF($C649=1,OFFSET(E649,-1,0)+MAX(1,COUNTIF(QCI!$A$13:$A$24,OFFSET(ORÇAMENTO!E649,-1,0))),OFFSET(E649,-1,0))</f>
        <v>1</v>
      </c>
      <c r="F649">
        <f t="shared" ca="1" si="304"/>
        <v>20</v>
      </c>
      <c r="G649">
        <f t="shared" ca="1" si="305"/>
        <v>4</v>
      </c>
      <c r="H649">
        <f t="shared" ca="1" si="306"/>
        <v>0</v>
      </c>
      <c r="I649">
        <f t="shared" ca="1" si="307"/>
        <v>0</v>
      </c>
      <c r="J649">
        <f t="shared" ca="1" si="294"/>
        <v>0</v>
      </c>
      <c r="K649">
        <f ca="1">IF(OR($C649="S",$C649=0),0,MATCH(OFFSET($D649,0,$C649)+IF($C649&lt;&gt;1,1,COUNTIF(QCI!$A$13:$A$24,ORÇAMENTO!E649)),OFFSET($D649,1,$C649,ROW($C$710)-ROW($C649)),0))</f>
        <v>0</v>
      </c>
      <c r="L649" s="143" t="str">
        <f t="shared" ca="1" si="308"/>
        <v/>
      </c>
      <c r="M649" s="144" t="s">
        <v>201</v>
      </c>
      <c r="N649" s="145" t="str">
        <f t="shared" ca="1" si="309"/>
        <v>Serviço</v>
      </c>
      <c r="O649" s="146" t="str">
        <f t="shared" ca="1" si="310"/>
        <v>-</v>
      </c>
      <c r="P649" s="147" t="s">
        <v>599</v>
      </c>
      <c r="Q649" s="148" t="s">
        <v>618</v>
      </c>
      <c r="R649" s="149" t="str">
        <f ca="1">IF($C649="S",REFERENCIA.Descricao,"(digite a descrição aqui)")</f>
        <v>(abra o arquivo 'Referência 05-2024.xls)</v>
      </c>
      <c r="S649" s="150" t="str">
        <f ca="1">REFERENCIA.Unidade</f>
        <v>-</v>
      </c>
      <c r="T649" s="151">
        <f ca="1">OFFSET(CÁLCULO!H$15,ROW($T649)-ROW(T$15),0)</f>
        <v>2</v>
      </c>
      <c r="U649" s="152">
        <f t="shared" ca="1" si="324"/>
        <v>0</v>
      </c>
      <c r="V649" s="153" t="s">
        <v>193</v>
      </c>
      <c r="W649" s="151">
        <f t="shared" ca="1" si="311"/>
        <v>0</v>
      </c>
      <c r="X649" s="154">
        <f t="shared" ca="1" si="312"/>
        <v>0</v>
      </c>
      <c r="Y649" s="155" t="s">
        <v>583</v>
      </c>
      <c r="Z649" t="str">
        <f t="shared" ca="1" si="313"/>
        <v/>
      </c>
      <c r="AA649" s="156">
        <f ca="1">IF($C649="S",IF($Z649="CP",$X649,IF($Z649="RA",(($X649)*QCI!$AA$3),0)),SomaAgrup)</f>
        <v>0</v>
      </c>
      <c r="AB649" s="157">
        <f t="shared" ca="1" si="314"/>
        <v>0</v>
      </c>
      <c r="AC649" s="158" t="str">
        <f t="shared" ca="1" si="315"/>
        <v/>
      </c>
      <c r="AD649" s="104" t="str">
        <f ca="1">IF(C649&lt;=CRONO.NivelExibicao,MAX($AD$15:OFFSET(AD649,-1,0))+IF($C649&lt;&gt;1,1,MAX(1,COUNTIF(QCI!$A$13:$A$24,OFFSET($E649,-1,0)))),"")</f>
        <v/>
      </c>
      <c r="AE649" s="114" t="str">
        <f t="shared" ca="1" si="316"/>
        <v>SUDECAP 11.82.10</v>
      </c>
      <c r="AF649" s="159" t="str">
        <f t="shared" ca="1" si="317"/>
        <v>(abra o arquivo 'Referência 05-2024.xls)</v>
      </c>
      <c r="AG649" s="579">
        <f t="shared" ca="1" si="318"/>
        <v>0</v>
      </c>
      <c r="AH649" s="580">
        <f t="shared" ca="1" si="319"/>
        <v>0.16800000000000001</v>
      </c>
      <c r="AJ649" s="582">
        <v>2</v>
      </c>
      <c r="AL649" s="612"/>
      <c r="AM649" s="430">
        <f t="shared" ca="1" si="320"/>
        <v>0</v>
      </c>
      <c r="AN649" s="655">
        <f t="shared" ca="1" si="321"/>
        <v>0</v>
      </c>
    </row>
    <row r="650" spans="1:40" ht="13.8" x14ac:dyDescent="0.3">
      <c r="A650">
        <f t="shared" ref="A650:A707" si="327">CHOOSE(1+LOG(1+2*(ORÇAMENTO.Nivel="Meta")+4*(ORÇAMENTO.Nivel="Nível 2")+8*(ORÇAMENTO.Nivel="Nível 3")+16*(ORÇAMENTO.Nivel="Nível 4")+32*(ORÇAMENTO.Nivel="Serviço"),2),0,1,2,3,4,"S")</f>
        <v>3</v>
      </c>
      <c r="B650">
        <f t="shared" ref="B650:B707" ca="1" si="328">IF(OR(C650="s",C650=0),OFFSET(B650,-1,0),C650)</f>
        <v>3</v>
      </c>
      <c r="C650">
        <f t="shared" ref="C650:C707" ca="1" si="329">IF(OFFSET(C650,-1,0)="L",1,IF(OFFSET(C650,-1,0)=1,2,IF(OR(A650="s",A650=0),"S",IF(AND(OFFSET(C650,-1,0)=2,A650=4),3,IF(AND(OR(OFFSET(C650,-1,0)="s",OFFSET(C650,-1,0)=0),A650&lt;&gt;"s",A650&gt;OFFSET(B650,-1,0)),OFFSET(B650,-1,0),A650)))))</f>
        <v>3</v>
      </c>
      <c r="D650">
        <f t="shared" ref="D650:D707" ca="1" si="330">IF(OR(C650="S",C650=0),0,IF(ISERROR(K650),J650,SMALL(J650:K650,1)))</f>
        <v>7</v>
      </c>
      <c r="E650">
        <f ca="1">IF($C650=1,OFFSET(E650,-1,0)+MAX(1,COUNTIF(QCI!$A$13:$A$24,OFFSET(ORÇAMENTO!E650,-1,0))),OFFSET(E650,-1,0))</f>
        <v>1</v>
      </c>
      <c r="F650">
        <f t="shared" ref="F650:F707" ca="1" si="331">IF($C650=1,0,IF($C650=2,OFFSET(F650,-1,0)+1,OFFSET(F650,-1,0)))</f>
        <v>20</v>
      </c>
      <c r="G650">
        <f t="shared" ref="G650:G707" ca="1" si="332">IF(AND($C650&lt;=2,$C650&lt;&gt;0),0,IF($C650=3,OFFSET(G650,-1,0)+1,OFFSET(G650,-1,0)))</f>
        <v>5</v>
      </c>
      <c r="H650">
        <f t="shared" ref="H650:H707" ca="1" si="333">IF(AND($C650&lt;=3,$C650&lt;&gt;0),0,IF($C650=4,OFFSET(H650,-1,0)+1,OFFSET(H650,-1,0)))</f>
        <v>0</v>
      </c>
      <c r="I650">
        <f t="shared" ref="I650:I707" ca="1" si="334">IF(AND($C650&lt;=4,$C650&lt;&gt;0),0,IF(AND($C650="S",$X650&gt;0),OFFSET(I650,-1,0)+1,OFFSET(I650,-1,0)))</f>
        <v>0</v>
      </c>
      <c r="J650">
        <f t="shared" ca="1" si="294"/>
        <v>18</v>
      </c>
      <c r="K650">
        <f ca="1">IF(OR($C650="S",$C650=0),0,MATCH(OFFSET($D650,0,$C650)+IF($C650&lt;&gt;1,1,COUNTIF(QCI!$A$13:$A$24,ORÇAMENTO!E650)),OFFSET($D650,1,$C650,ROW($C$710)-ROW($C650)),0))</f>
        <v>7</v>
      </c>
      <c r="L650" s="143" t="str">
        <f t="shared" ref="L650:L707" ca="1" si="335">IF(OR($X650&gt;0,$C650=1,$C650=2,$C650=3,$C650=4),"F","")</f>
        <v>F</v>
      </c>
      <c r="M650" s="144" t="s">
        <v>199</v>
      </c>
      <c r="N650" s="145" t="str">
        <f t="shared" ref="N650:N707" ca="1" si="336">CHOOSE(1+LOG(1+2*(C650=1)+4*(C650=2)+8*(C650=3)+16*(C650=4)+32*(C650="S"),2),"","Meta","Nível 2","Nível 3","Nível 4","Serviço")</f>
        <v>Nível 3</v>
      </c>
      <c r="O650" s="146" t="str">
        <f t="shared" ref="O650:O707" ca="1" si="337">IF(OR($C650=0,$L650=""),"-",CONCATENATE(E650&amp;".",IF(AND($A$5&gt;=2,$C650&gt;=2),F650&amp;".",""),IF(AND($A$5&gt;=3,$C650&gt;=3),G650&amp;".",""),IF(AND($A$5&gt;=4,$C650&gt;=4),H650&amp;".",""),IF($C650="S",I650&amp;".","")))</f>
        <v>1.20.5.</v>
      </c>
      <c r="P650" s="147" t="s">
        <v>249</v>
      </c>
      <c r="Q650" s="148"/>
      <c r="R650" s="149" t="s">
        <v>560</v>
      </c>
      <c r="S650" s="150" t="s">
        <v>168</v>
      </c>
      <c r="T650" s="151">
        <f ca="1">OFFSET(CÁLCULO!H$15,ROW($T650)-ROW(T$15),0)</f>
        <v>0</v>
      </c>
      <c r="U650" s="152"/>
      <c r="V650" s="153" t="s">
        <v>158</v>
      </c>
      <c r="W650" s="151">
        <f t="shared" ref="W650:W707" ca="1" si="338">IF($C650="S",ROUND(IF(TIPOORCAMENTO="Proposto",ORÇAMENTO.CustoUnitario*(1+$AH650),ORÇAMENTO.PrecoUnitarioLicitado),15-13*$AF$10),0)</f>
        <v>0</v>
      </c>
      <c r="X650" s="154">
        <f t="shared" ref="X650:X707" ca="1" si="339">IF($C650="S",VTOTAL1,IF($C650=0,0,ROUND(SomaAgrup,15-13*$AF$11)))</f>
        <v>0</v>
      </c>
      <c r="Y650" s="155" t="s">
        <v>583</v>
      </c>
      <c r="Z650" t="str">
        <f t="shared" ref="Z650:Z707" ca="1" si="340">IF(AND($C650="S",$X650&gt;0),IF(ISBLANK($Y650),"RA",LEFT($Y650,2)),"")</f>
        <v/>
      </c>
      <c r="AA650" s="156">
        <f ca="1">IF($C650="S",IF($Z650="CP",$X650,IF($Z650="RA",(($X650)*QCI!$AA$3),0)),SomaAgrup)</f>
        <v>0</v>
      </c>
      <c r="AB650" s="157">
        <f t="shared" ref="AB650:AB707" ca="1" si="341">IF($C650="S",IF($Z650="OU",ROUND($X650,2),0),SomaAgrup)</f>
        <v>0</v>
      </c>
      <c r="AC650" s="158" t="str">
        <f t="shared" ref="AC650:AC707" ca="1" si="342">IF($N650="","",IF(ORÇAMENTO.Descricao="","DESCRIÇÃO",IF(AND($C650="S",ORÇAMENTO.Unidade=""),"UNIDADE",IF($X650&lt;0,"VALOR NEGATIVO",IF(OR(AND(TIPOORCAMENTO="Proposto",$AG650&lt;&gt;"",$AG650&gt;0,ORÇAMENTO.CustoUnitario&gt;$AG650),AND(TIPOORCAMENTO="LICITADO",ORÇAMENTO.PrecoUnitarioLicitado&gt;$AN650)),"ACIMA REF.","")))))</f>
        <v/>
      </c>
      <c r="AD650" s="104" t="str">
        <f ca="1">IF(C650&lt;=CRONO.NivelExibicao,MAX($AD$15:OFFSET(AD650,-1,0))+IF($C650&lt;&gt;1,1,MAX(1,COUNTIF(QCI!$A$13:$A$24,OFFSET($E650,-1,0)))),"")</f>
        <v/>
      </c>
      <c r="AE650" s="114" t="b">
        <f t="shared" ref="AE650:AE707" ca="1" si="343">IF(AND($C650="S",ORÇAMENTO.CodBarra&lt;&gt;""),IF(ORÇAMENTO.Fonte="",ORÇAMENTO.CodBarra,CONCATENATE(ORÇAMENTO.Fonte," ",ORÇAMENTO.CodBarra)))</f>
        <v>0</v>
      </c>
      <c r="AF650" s="159" t="str">
        <f t="shared" ref="AF650:AF707" ca="1" si="344">IF(ISERROR(INDIRECT(ORÇAMENTO.BancoRef)),"(abra o arquivo 'Referência "&amp;Excel_BuiltIn_Database&amp;".xls)",IF(OR($C650&lt;&gt;"S",ORÇAMENTO.CodBarra=""),"(Sem Código)",IF(ISERROR(MATCH($AE650,INDIRECT(ORÇAMENTO.BancoRef),0)),"(Código não identificado nas referências)",MATCH($AE650,INDIRECT(ORÇAMENTO.BancoRef),0))))</f>
        <v>(abra o arquivo 'Referência 05-2024.xls)</v>
      </c>
      <c r="AG650" s="579">
        <f t="shared" ref="AG650:AG707" ca="1" si="345">ROUND(IF(DESONERACAO="sim",REFERENCIA.Desonerado,REFERENCIA.NaoDesonerado),2)</f>
        <v>0</v>
      </c>
      <c r="AH650" s="580">
        <f t="shared" ref="AH650:AH707" ca="1" si="346">ROUND(IF(ISNUMBER(ORÇAMENTO.OpcaoBDI),ORÇAMENTO.OpcaoBDI,IF(LEFT(ORÇAMENTO.OpcaoBDI,3)="BDI",HLOOKUP(ORÇAMENTO.OpcaoBDI,$F$4:$H$5,2,FALSE),0)),15-11*$AF$9)</f>
        <v>0.22470000000000001</v>
      </c>
      <c r="AJ650" s="582"/>
      <c r="AL650" s="612"/>
      <c r="AM650" s="430">
        <f t="shared" ref="AM650:AM709" ca="1" si="347">$X650</f>
        <v>0</v>
      </c>
      <c r="AN650" s="655">
        <f t="shared" ref="AN650:AN707" ca="1" si="348">ROUND(ORÇAMENTO.CustoUnitario*(1+$AH650),2)</f>
        <v>0</v>
      </c>
    </row>
    <row r="651" spans="1:40" ht="13.8" x14ac:dyDescent="0.3">
      <c r="A651" t="str">
        <f t="shared" si="327"/>
        <v>S</v>
      </c>
      <c r="B651">
        <f t="shared" ca="1" si="328"/>
        <v>3</v>
      </c>
      <c r="C651" t="str">
        <f t="shared" ca="1" si="329"/>
        <v>S</v>
      </c>
      <c r="D651">
        <f t="shared" ca="1" si="330"/>
        <v>0</v>
      </c>
      <c r="E651">
        <f ca="1">IF($C651=1,OFFSET(E651,-1,0)+MAX(1,COUNTIF(QCI!$A$13:$A$24,OFFSET(ORÇAMENTO!E651,-1,0))),OFFSET(E651,-1,0))</f>
        <v>1</v>
      </c>
      <c r="F651">
        <f t="shared" ca="1" si="331"/>
        <v>20</v>
      </c>
      <c r="G651">
        <f t="shared" ca="1" si="332"/>
        <v>5</v>
      </c>
      <c r="H651">
        <f t="shared" ca="1" si="333"/>
        <v>0</v>
      </c>
      <c r="I651">
        <f t="shared" ca="1" si="334"/>
        <v>0</v>
      </c>
      <c r="J651">
        <f t="shared" ca="1" si="294"/>
        <v>0</v>
      </c>
      <c r="K651">
        <f ca="1">IF(OR($C651="S",$C651=0),0,MATCH(OFFSET($D651,0,$C651)+IF($C651&lt;&gt;1,1,COUNTIF(QCI!$A$13:$A$24,ORÇAMENTO!E651)),OFFSET($D651,1,$C651,ROW($C$710)-ROW($C651)),0))</f>
        <v>0</v>
      </c>
      <c r="L651" s="143" t="str">
        <f t="shared" ca="1" si="335"/>
        <v/>
      </c>
      <c r="M651" s="144" t="s">
        <v>201</v>
      </c>
      <c r="N651" s="145" t="str">
        <f t="shared" ca="1" si="336"/>
        <v>Serviço</v>
      </c>
      <c r="O651" s="146" t="str">
        <f t="shared" ca="1" si="337"/>
        <v>-</v>
      </c>
      <c r="P651" s="147" t="s">
        <v>249</v>
      </c>
      <c r="Q651" s="148">
        <v>97886</v>
      </c>
      <c r="R651" s="149" t="str">
        <f t="shared" ref="R651:R656" ca="1" si="349">IF($C651="S",REFERENCIA.Descricao,"(digite a descrição aqui)")</f>
        <v>(abra o arquivo 'Referência 05-2024.xls)</v>
      </c>
      <c r="S651" s="150" t="str">
        <f t="shared" ref="S651:S656" ca="1" si="350">REFERENCIA.Unidade</f>
        <v>-</v>
      </c>
      <c r="T651" s="151">
        <f ca="1">OFFSET(CÁLCULO!H$15,ROW($T651)-ROW(T$15),0)</f>
        <v>1</v>
      </c>
      <c r="U651" s="152">
        <f t="shared" ca="1" si="324"/>
        <v>0</v>
      </c>
      <c r="V651" s="153" t="s">
        <v>158</v>
      </c>
      <c r="W651" s="151">
        <f t="shared" ca="1" si="338"/>
        <v>0</v>
      </c>
      <c r="X651" s="154">
        <f t="shared" ca="1" si="339"/>
        <v>0</v>
      </c>
      <c r="Y651" s="155" t="s">
        <v>583</v>
      </c>
      <c r="Z651" t="str">
        <f t="shared" ca="1" si="340"/>
        <v/>
      </c>
      <c r="AA651" s="156">
        <f ca="1">IF($C651="S",IF($Z651="CP",$X651,IF($Z651="RA",(($X651)*QCI!$AA$3),0)),SomaAgrup)</f>
        <v>0</v>
      </c>
      <c r="AB651" s="157">
        <f t="shared" ca="1" si="341"/>
        <v>0</v>
      </c>
      <c r="AC651" s="158" t="str">
        <f t="shared" ca="1" si="342"/>
        <v/>
      </c>
      <c r="AD651" s="104" t="str">
        <f ca="1">IF(C651&lt;=CRONO.NivelExibicao,MAX($AD$15:OFFSET(AD651,-1,0))+IF($C651&lt;&gt;1,1,MAX(1,COUNTIF(QCI!$A$13:$A$24,OFFSET($E651,-1,0)))),"")</f>
        <v/>
      </c>
      <c r="AE651" s="114" t="str">
        <f t="shared" ca="1" si="343"/>
        <v>SINAPI 97886</v>
      </c>
      <c r="AF651" s="159" t="str">
        <f t="shared" ca="1" si="344"/>
        <v>(abra o arquivo 'Referência 05-2024.xls)</v>
      </c>
      <c r="AG651" s="579">
        <f t="shared" ca="1" si="345"/>
        <v>0</v>
      </c>
      <c r="AH651" s="580">
        <f t="shared" ca="1" si="346"/>
        <v>0.22470000000000001</v>
      </c>
      <c r="AJ651" s="582">
        <v>1</v>
      </c>
      <c r="AL651" s="612"/>
      <c r="AM651" s="430">
        <f t="shared" ca="1" si="347"/>
        <v>0</v>
      </c>
      <c r="AN651" s="655">
        <f t="shared" ca="1" si="348"/>
        <v>0</v>
      </c>
    </row>
    <row r="652" spans="1:40" ht="13.8" x14ac:dyDescent="0.3">
      <c r="A652" t="str">
        <f t="shared" si="327"/>
        <v>S</v>
      </c>
      <c r="B652">
        <f t="shared" ca="1" si="328"/>
        <v>3</v>
      </c>
      <c r="C652" t="str">
        <f t="shared" ca="1" si="329"/>
        <v>S</v>
      </c>
      <c r="D652">
        <f t="shared" ca="1" si="330"/>
        <v>0</v>
      </c>
      <c r="E652">
        <f ca="1">IF($C652=1,OFFSET(E652,-1,0)+MAX(1,COUNTIF(QCI!$A$13:$A$24,OFFSET(ORÇAMENTO!E652,-1,0))),OFFSET(E652,-1,0))</f>
        <v>1</v>
      </c>
      <c r="F652">
        <f t="shared" ca="1" si="331"/>
        <v>20</v>
      </c>
      <c r="G652">
        <f t="shared" ca="1" si="332"/>
        <v>5</v>
      </c>
      <c r="H652">
        <f t="shared" ca="1" si="333"/>
        <v>0</v>
      </c>
      <c r="I652">
        <f t="shared" ca="1" si="334"/>
        <v>0</v>
      </c>
      <c r="J652">
        <f t="shared" ca="1" si="294"/>
        <v>0</v>
      </c>
      <c r="K652">
        <f ca="1">IF(OR($C652="S",$C652=0),0,MATCH(OFFSET($D652,0,$C652)+IF($C652&lt;&gt;1,1,COUNTIF(QCI!$A$13:$A$24,ORÇAMENTO!E652)),OFFSET($D652,1,$C652,ROW($C$710)-ROW($C652)),0))</f>
        <v>0</v>
      </c>
      <c r="L652" s="143" t="str">
        <f t="shared" ca="1" si="335"/>
        <v/>
      </c>
      <c r="M652" s="144" t="s">
        <v>201</v>
      </c>
      <c r="N652" s="145" t="str">
        <f t="shared" ca="1" si="336"/>
        <v>Serviço</v>
      </c>
      <c r="O652" s="146" t="str">
        <f t="shared" ca="1" si="337"/>
        <v>-</v>
      </c>
      <c r="P652" s="147" t="s">
        <v>249</v>
      </c>
      <c r="Q652" s="148">
        <v>97887</v>
      </c>
      <c r="R652" s="149" t="str">
        <f t="shared" ca="1" si="349"/>
        <v>(abra o arquivo 'Referência 05-2024.xls)</v>
      </c>
      <c r="S652" s="150" t="str">
        <f t="shared" ca="1" si="350"/>
        <v>-</v>
      </c>
      <c r="T652" s="151">
        <f ca="1">OFFSET(CÁLCULO!H$15,ROW($T652)-ROW(T$15),0)</f>
        <v>5</v>
      </c>
      <c r="U652" s="152">
        <f t="shared" ca="1" si="324"/>
        <v>0</v>
      </c>
      <c r="V652" s="153" t="s">
        <v>158</v>
      </c>
      <c r="W652" s="151">
        <f t="shared" ca="1" si="338"/>
        <v>0</v>
      </c>
      <c r="X652" s="154">
        <f t="shared" ca="1" si="339"/>
        <v>0</v>
      </c>
      <c r="Y652" s="155" t="s">
        <v>583</v>
      </c>
      <c r="Z652" t="str">
        <f t="shared" ca="1" si="340"/>
        <v/>
      </c>
      <c r="AA652" s="156">
        <f ca="1">IF($C652="S",IF($Z652="CP",$X652,IF($Z652="RA",(($X652)*QCI!$AA$3),0)),SomaAgrup)</f>
        <v>0</v>
      </c>
      <c r="AB652" s="157">
        <f t="shared" ca="1" si="341"/>
        <v>0</v>
      </c>
      <c r="AC652" s="158" t="str">
        <f t="shared" ca="1" si="342"/>
        <v/>
      </c>
      <c r="AD652" s="104" t="str">
        <f ca="1">IF(C652&lt;=CRONO.NivelExibicao,MAX($AD$15:OFFSET(AD652,-1,0))+IF($C652&lt;&gt;1,1,MAX(1,COUNTIF(QCI!$A$13:$A$24,OFFSET($E652,-1,0)))),"")</f>
        <v/>
      </c>
      <c r="AE652" s="114" t="str">
        <f t="shared" ca="1" si="343"/>
        <v>SINAPI 97887</v>
      </c>
      <c r="AF652" s="159" t="str">
        <f t="shared" ca="1" si="344"/>
        <v>(abra o arquivo 'Referência 05-2024.xls)</v>
      </c>
      <c r="AG652" s="579">
        <f t="shared" ca="1" si="345"/>
        <v>0</v>
      </c>
      <c r="AH652" s="580">
        <f t="shared" ca="1" si="346"/>
        <v>0.22470000000000001</v>
      </c>
      <c r="AJ652" s="582">
        <v>5</v>
      </c>
      <c r="AL652" s="612"/>
      <c r="AM652" s="430">
        <f t="shared" ca="1" si="347"/>
        <v>0</v>
      </c>
      <c r="AN652" s="655">
        <f t="shared" ca="1" si="348"/>
        <v>0</v>
      </c>
    </row>
    <row r="653" spans="1:40" ht="13.8" x14ac:dyDescent="0.3">
      <c r="A653" t="str">
        <f t="shared" si="327"/>
        <v>S</v>
      </c>
      <c r="B653">
        <f t="shared" ca="1" si="328"/>
        <v>3</v>
      </c>
      <c r="C653" t="str">
        <f t="shared" ca="1" si="329"/>
        <v>S</v>
      </c>
      <c r="D653">
        <f t="shared" ca="1" si="330"/>
        <v>0</v>
      </c>
      <c r="E653">
        <f ca="1">IF($C653=1,OFFSET(E653,-1,0)+MAX(1,COUNTIF(QCI!$A$13:$A$24,OFFSET(ORÇAMENTO!E653,-1,0))),OFFSET(E653,-1,0))</f>
        <v>1</v>
      </c>
      <c r="F653">
        <f t="shared" ca="1" si="331"/>
        <v>20</v>
      </c>
      <c r="G653">
        <f t="shared" ca="1" si="332"/>
        <v>5</v>
      </c>
      <c r="H653">
        <f t="shared" ca="1" si="333"/>
        <v>0</v>
      </c>
      <c r="I653">
        <f t="shared" ca="1" si="334"/>
        <v>0</v>
      </c>
      <c r="J653">
        <f t="shared" ca="1" si="294"/>
        <v>0</v>
      </c>
      <c r="K653">
        <f ca="1">IF(OR($C653="S",$C653=0),0,MATCH(OFFSET($D653,0,$C653)+IF($C653&lt;&gt;1,1,COUNTIF(QCI!$A$13:$A$24,ORÇAMENTO!E653)),OFFSET($D653,1,$C653,ROW($C$710)-ROW($C653)),0))</f>
        <v>0</v>
      </c>
      <c r="L653" s="143" t="str">
        <f t="shared" ca="1" si="335"/>
        <v/>
      </c>
      <c r="M653" s="144" t="s">
        <v>201</v>
      </c>
      <c r="N653" s="145" t="str">
        <f t="shared" ca="1" si="336"/>
        <v>Serviço</v>
      </c>
      <c r="O653" s="146" t="str">
        <f t="shared" ca="1" si="337"/>
        <v>-</v>
      </c>
      <c r="P653" s="147" t="s">
        <v>249</v>
      </c>
      <c r="Q653" s="148">
        <v>100556</v>
      </c>
      <c r="R653" s="149" t="str">
        <f t="shared" ca="1" si="349"/>
        <v>(abra o arquivo 'Referência 05-2024.xls)</v>
      </c>
      <c r="S653" s="150" t="str">
        <f t="shared" ca="1" si="350"/>
        <v>-</v>
      </c>
      <c r="T653" s="151">
        <f ca="1">OFFSET(CÁLCULO!H$15,ROW($T653)-ROW(T$15),0)</f>
        <v>2</v>
      </c>
      <c r="U653" s="152">
        <f t="shared" ref="U653:U709" ca="1" si="351">AG653</f>
        <v>0</v>
      </c>
      <c r="V653" s="153" t="s">
        <v>158</v>
      </c>
      <c r="W653" s="151">
        <f t="shared" ca="1" si="338"/>
        <v>0</v>
      </c>
      <c r="X653" s="154">
        <f t="shared" ca="1" si="339"/>
        <v>0</v>
      </c>
      <c r="Y653" s="155" t="s">
        <v>583</v>
      </c>
      <c r="Z653" t="str">
        <f t="shared" ca="1" si="340"/>
        <v/>
      </c>
      <c r="AA653" s="156">
        <f ca="1">IF($C653="S",IF($Z653="CP",$X653,IF($Z653="RA",(($X653)*QCI!$AA$3),0)),SomaAgrup)</f>
        <v>0</v>
      </c>
      <c r="AB653" s="157">
        <f t="shared" ca="1" si="341"/>
        <v>0</v>
      </c>
      <c r="AC653" s="158" t="str">
        <f t="shared" ca="1" si="342"/>
        <v/>
      </c>
      <c r="AD653" s="104" t="str">
        <f ca="1">IF(C653&lt;=CRONO.NivelExibicao,MAX($AD$15:OFFSET(AD653,-1,0))+IF($C653&lt;&gt;1,1,MAX(1,COUNTIF(QCI!$A$13:$A$24,OFFSET($E653,-1,0)))),"")</f>
        <v/>
      </c>
      <c r="AE653" s="114" t="str">
        <f t="shared" ca="1" si="343"/>
        <v>SINAPI 100556</v>
      </c>
      <c r="AF653" s="159" t="str">
        <f t="shared" ca="1" si="344"/>
        <v>(abra o arquivo 'Referência 05-2024.xls)</v>
      </c>
      <c r="AG653" s="579">
        <f t="shared" ca="1" si="345"/>
        <v>0</v>
      </c>
      <c r="AH653" s="580">
        <f t="shared" ca="1" si="346"/>
        <v>0.22470000000000001</v>
      </c>
      <c r="AJ653" s="582">
        <v>2</v>
      </c>
      <c r="AL653" s="612"/>
      <c r="AM653" s="430">
        <f t="shared" ca="1" si="347"/>
        <v>0</v>
      </c>
      <c r="AN653" s="655">
        <f t="shared" ca="1" si="348"/>
        <v>0</v>
      </c>
    </row>
    <row r="654" spans="1:40" ht="13.8" x14ac:dyDescent="0.3">
      <c r="A654" t="str">
        <f t="shared" si="327"/>
        <v>S</v>
      </c>
      <c r="B654">
        <f t="shared" ca="1" si="328"/>
        <v>3</v>
      </c>
      <c r="C654" t="str">
        <f t="shared" ca="1" si="329"/>
        <v>S</v>
      </c>
      <c r="D654">
        <f t="shared" ca="1" si="330"/>
        <v>0</v>
      </c>
      <c r="E654">
        <f ca="1">IF($C654=1,OFFSET(E654,-1,0)+MAX(1,COUNTIF(QCI!$A$13:$A$24,OFFSET(ORÇAMENTO!E654,-1,0))),OFFSET(E654,-1,0))</f>
        <v>1</v>
      </c>
      <c r="F654">
        <f t="shared" ca="1" si="331"/>
        <v>20</v>
      </c>
      <c r="G654">
        <f t="shared" ca="1" si="332"/>
        <v>5</v>
      </c>
      <c r="H654">
        <f t="shared" ca="1" si="333"/>
        <v>0</v>
      </c>
      <c r="I654">
        <f t="shared" ca="1" si="334"/>
        <v>0</v>
      </c>
      <c r="J654">
        <f t="shared" ca="1" si="294"/>
        <v>0</v>
      </c>
      <c r="K654">
        <f ca="1">IF(OR($C654="S",$C654=0),0,MATCH(OFFSET($D654,0,$C654)+IF($C654&lt;&gt;1,1,COUNTIF(QCI!$A$13:$A$24,ORÇAMENTO!E654)),OFFSET($D654,1,$C654,ROW($C$710)-ROW($C654)),0))</f>
        <v>0</v>
      </c>
      <c r="L654" s="143" t="str">
        <f t="shared" ca="1" si="335"/>
        <v/>
      </c>
      <c r="M654" s="144" t="s">
        <v>201</v>
      </c>
      <c r="N654" s="145" t="str">
        <f t="shared" ca="1" si="336"/>
        <v>Serviço</v>
      </c>
      <c r="O654" s="146" t="str">
        <f t="shared" ca="1" si="337"/>
        <v>-</v>
      </c>
      <c r="P654" s="147" t="s">
        <v>249</v>
      </c>
      <c r="Q654" s="148">
        <v>100556</v>
      </c>
      <c r="R654" s="149" t="str">
        <f t="shared" ca="1" si="349"/>
        <v>(abra o arquivo 'Referência 05-2024.xls)</v>
      </c>
      <c r="S654" s="150" t="str">
        <f t="shared" ca="1" si="350"/>
        <v>-</v>
      </c>
      <c r="T654" s="151">
        <f ca="1">OFFSET(CÁLCULO!H$15,ROW($T654)-ROW(T$15),0)</f>
        <v>3</v>
      </c>
      <c r="U654" s="152">
        <f t="shared" ca="1" si="351"/>
        <v>0</v>
      </c>
      <c r="V654" s="153" t="s">
        <v>158</v>
      </c>
      <c r="W654" s="151">
        <f t="shared" ca="1" si="338"/>
        <v>0</v>
      </c>
      <c r="X654" s="154">
        <f t="shared" ca="1" si="339"/>
        <v>0</v>
      </c>
      <c r="Y654" s="155" t="s">
        <v>583</v>
      </c>
      <c r="Z654" t="str">
        <f t="shared" ca="1" si="340"/>
        <v/>
      </c>
      <c r="AA654" s="156">
        <f ca="1">IF($C654="S",IF($Z654="CP",$X654,IF($Z654="RA",(($X654)*QCI!$AA$3),0)),SomaAgrup)</f>
        <v>0</v>
      </c>
      <c r="AB654" s="157">
        <f t="shared" ca="1" si="341"/>
        <v>0</v>
      </c>
      <c r="AC654" s="158" t="str">
        <f t="shared" ca="1" si="342"/>
        <v/>
      </c>
      <c r="AD654" s="104" t="str">
        <f ca="1">IF(C654&lt;=CRONO.NivelExibicao,MAX($AD$15:OFFSET(AD654,-1,0))+IF($C654&lt;&gt;1,1,MAX(1,COUNTIF(QCI!$A$13:$A$24,OFFSET($E654,-1,0)))),"")</f>
        <v/>
      </c>
      <c r="AE654" s="114" t="str">
        <f t="shared" ca="1" si="343"/>
        <v>SINAPI 100556</v>
      </c>
      <c r="AF654" s="159" t="str">
        <f t="shared" ca="1" si="344"/>
        <v>(abra o arquivo 'Referência 05-2024.xls)</v>
      </c>
      <c r="AG654" s="579">
        <f t="shared" ca="1" si="345"/>
        <v>0</v>
      </c>
      <c r="AH654" s="580">
        <f t="shared" ca="1" si="346"/>
        <v>0.22470000000000001</v>
      </c>
      <c r="AJ654" s="582">
        <v>3</v>
      </c>
      <c r="AL654" s="612"/>
      <c r="AM654" s="430">
        <f t="shared" ca="1" si="347"/>
        <v>0</v>
      </c>
      <c r="AN654" s="655">
        <f t="shared" ca="1" si="348"/>
        <v>0</v>
      </c>
    </row>
    <row r="655" spans="1:40" ht="13.8" x14ac:dyDescent="0.3">
      <c r="A655" t="str">
        <f t="shared" si="327"/>
        <v>S</v>
      </c>
      <c r="B655">
        <f t="shared" ca="1" si="328"/>
        <v>3</v>
      </c>
      <c r="C655" t="str">
        <f t="shared" ca="1" si="329"/>
        <v>S</v>
      </c>
      <c r="D655">
        <f t="shared" ca="1" si="330"/>
        <v>0</v>
      </c>
      <c r="E655">
        <f ca="1">IF($C655=1,OFFSET(E655,-1,0)+MAX(1,COUNTIF(QCI!$A$13:$A$24,OFFSET(ORÇAMENTO!E655,-1,0))),OFFSET(E655,-1,0))</f>
        <v>1</v>
      </c>
      <c r="F655">
        <f t="shared" ca="1" si="331"/>
        <v>20</v>
      </c>
      <c r="G655">
        <f t="shared" ca="1" si="332"/>
        <v>5</v>
      </c>
      <c r="H655">
        <f t="shared" ca="1" si="333"/>
        <v>0</v>
      </c>
      <c r="I655">
        <f t="shared" ca="1" si="334"/>
        <v>0</v>
      </c>
      <c r="J655">
        <f t="shared" ca="1" si="294"/>
        <v>0</v>
      </c>
      <c r="K655">
        <f ca="1">IF(OR($C655="S",$C655=0),0,MATCH(OFFSET($D655,0,$C655)+IF($C655&lt;&gt;1,1,COUNTIF(QCI!$A$13:$A$24,ORÇAMENTO!E655)),OFFSET($D655,1,$C655,ROW($C$710)-ROW($C655)),0))</f>
        <v>0</v>
      </c>
      <c r="L655" s="143" t="str">
        <f t="shared" ca="1" si="335"/>
        <v/>
      </c>
      <c r="M655" s="144" t="s">
        <v>201</v>
      </c>
      <c r="N655" s="145" t="str">
        <f t="shared" ca="1" si="336"/>
        <v>Serviço</v>
      </c>
      <c r="O655" s="146" t="str">
        <f t="shared" ca="1" si="337"/>
        <v>-</v>
      </c>
      <c r="P655" s="147" t="s">
        <v>249</v>
      </c>
      <c r="Q655" s="148">
        <v>100561</v>
      </c>
      <c r="R655" s="149" t="str">
        <f t="shared" ca="1" si="349"/>
        <v>(abra o arquivo 'Referência 05-2024.xls)</v>
      </c>
      <c r="S655" s="150" t="str">
        <f t="shared" ca="1" si="350"/>
        <v>-</v>
      </c>
      <c r="T655" s="151">
        <f ca="1">OFFSET(CÁLCULO!H$15,ROW($T655)-ROW(T$15),0)</f>
        <v>1</v>
      </c>
      <c r="U655" s="152">
        <f t="shared" ca="1" si="351"/>
        <v>0</v>
      </c>
      <c r="V655" s="153" t="s">
        <v>158</v>
      </c>
      <c r="W655" s="151">
        <f t="shared" ca="1" si="338"/>
        <v>0</v>
      </c>
      <c r="X655" s="154">
        <f t="shared" ca="1" si="339"/>
        <v>0</v>
      </c>
      <c r="Y655" s="155" t="s">
        <v>583</v>
      </c>
      <c r="Z655" t="str">
        <f t="shared" ca="1" si="340"/>
        <v/>
      </c>
      <c r="AA655" s="156">
        <f ca="1">IF($C655="S",IF($Z655="CP",$X655,IF($Z655="RA",(($X655)*QCI!$AA$3),0)),SomaAgrup)</f>
        <v>0</v>
      </c>
      <c r="AB655" s="157">
        <f t="shared" ca="1" si="341"/>
        <v>0</v>
      </c>
      <c r="AC655" s="158" t="str">
        <f t="shared" ca="1" si="342"/>
        <v/>
      </c>
      <c r="AD655" s="104" t="str">
        <f ca="1">IF(C655&lt;=CRONO.NivelExibicao,MAX($AD$15:OFFSET(AD655,-1,0))+IF($C655&lt;&gt;1,1,MAX(1,COUNTIF(QCI!$A$13:$A$24,OFFSET($E655,-1,0)))),"")</f>
        <v/>
      </c>
      <c r="AE655" s="114" t="str">
        <f t="shared" ca="1" si="343"/>
        <v>SINAPI 100561</v>
      </c>
      <c r="AF655" s="159" t="str">
        <f t="shared" ca="1" si="344"/>
        <v>(abra o arquivo 'Referência 05-2024.xls)</v>
      </c>
      <c r="AG655" s="579">
        <f t="shared" ca="1" si="345"/>
        <v>0</v>
      </c>
      <c r="AH655" s="580">
        <f t="shared" ca="1" si="346"/>
        <v>0.22470000000000001</v>
      </c>
      <c r="AJ655" s="582">
        <v>1</v>
      </c>
      <c r="AL655" s="612"/>
      <c r="AM655" s="430">
        <f t="shared" ca="1" si="347"/>
        <v>0</v>
      </c>
      <c r="AN655" s="655">
        <f t="shared" ca="1" si="348"/>
        <v>0</v>
      </c>
    </row>
    <row r="656" spans="1:40" ht="13.8" x14ac:dyDescent="0.3">
      <c r="A656" t="str">
        <f t="shared" si="327"/>
        <v>S</v>
      </c>
      <c r="B656">
        <f t="shared" ca="1" si="328"/>
        <v>3</v>
      </c>
      <c r="C656" t="str">
        <f t="shared" ca="1" si="329"/>
        <v>S</v>
      </c>
      <c r="D656">
        <f t="shared" ca="1" si="330"/>
        <v>0</v>
      </c>
      <c r="E656">
        <f ca="1">IF($C656=1,OFFSET(E656,-1,0)+MAX(1,COUNTIF(QCI!$A$13:$A$24,OFFSET(ORÇAMENTO!E656,-1,0))),OFFSET(E656,-1,0))</f>
        <v>1</v>
      </c>
      <c r="F656">
        <f t="shared" ca="1" si="331"/>
        <v>20</v>
      </c>
      <c r="G656">
        <f t="shared" ca="1" si="332"/>
        <v>5</v>
      </c>
      <c r="H656">
        <f t="shared" ca="1" si="333"/>
        <v>0</v>
      </c>
      <c r="I656">
        <f t="shared" ca="1" si="334"/>
        <v>0</v>
      </c>
      <c r="J656">
        <f t="shared" ref="J656:J709" ca="1" si="352">IF(OR($C656="S",$C656=0),0,MATCH(0,OFFSET($D656,1,$C656,ROW($C$710)-ROW($C656)),0))</f>
        <v>0</v>
      </c>
      <c r="K656">
        <f ca="1">IF(OR($C656="S",$C656=0),0,MATCH(OFFSET($D656,0,$C656)+IF($C656&lt;&gt;1,1,COUNTIF(QCI!$A$13:$A$24,ORÇAMENTO!E656)),OFFSET($D656,1,$C656,ROW($C$710)-ROW($C656)),0))</f>
        <v>0</v>
      </c>
      <c r="L656" s="143" t="str">
        <f t="shared" ca="1" si="335"/>
        <v/>
      </c>
      <c r="M656" s="144" t="s">
        <v>201</v>
      </c>
      <c r="N656" s="145" t="str">
        <f t="shared" ca="1" si="336"/>
        <v>Serviço</v>
      </c>
      <c r="O656" s="146" t="str">
        <f t="shared" ca="1" si="337"/>
        <v>-</v>
      </c>
      <c r="P656" s="147" t="s">
        <v>249</v>
      </c>
      <c r="Q656" s="148">
        <v>101795</v>
      </c>
      <c r="R656" s="149" t="str">
        <f t="shared" ca="1" si="349"/>
        <v>(abra o arquivo 'Referência 05-2024.xls)</v>
      </c>
      <c r="S656" s="150" t="str">
        <f t="shared" ca="1" si="350"/>
        <v>-</v>
      </c>
      <c r="T656" s="151">
        <f ca="1">OFFSET(CÁLCULO!H$15,ROW($T656)-ROW(T$15),0)</f>
        <v>1</v>
      </c>
      <c r="U656" s="152">
        <f t="shared" ca="1" si="351"/>
        <v>0</v>
      </c>
      <c r="V656" s="153" t="s">
        <v>158</v>
      </c>
      <c r="W656" s="151">
        <f t="shared" ca="1" si="338"/>
        <v>0</v>
      </c>
      <c r="X656" s="154">
        <f t="shared" ca="1" si="339"/>
        <v>0</v>
      </c>
      <c r="Y656" s="155" t="s">
        <v>583</v>
      </c>
      <c r="Z656" t="str">
        <f t="shared" ca="1" si="340"/>
        <v/>
      </c>
      <c r="AA656" s="156">
        <f ca="1">IF($C656="S",IF($Z656="CP",$X656,IF($Z656="RA",(($X656)*QCI!$AA$3),0)),SomaAgrup)</f>
        <v>0</v>
      </c>
      <c r="AB656" s="157">
        <f t="shared" ca="1" si="341"/>
        <v>0</v>
      </c>
      <c r="AC656" s="158" t="str">
        <f t="shared" ca="1" si="342"/>
        <v/>
      </c>
      <c r="AD656" s="104" t="str">
        <f ca="1">IF(C656&lt;=CRONO.NivelExibicao,MAX($AD$15:OFFSET(AD656,-1,0))+IF($C656&lt;&gt;1,1,MAX(1,COUNTIF(QCI!$A$13:$A$24,OFFSET($E656,-1,0)))),"")</f>
        <v/>
      </c>
      <c r="AE656" s="114" t="str">
        <f t="shared" ca="1" si="343"/>
        <v>SINAPI 101795</v>
      </c>
      <c r="AF656" s="159" t="str">
        <f t="shared" ca="1" si="344"/>
        <v>(abra o arquivo 'Referência 05-2024.xls)</v>
      </c>
      <c r="AG656" s="579">
        <f t="shared" ca="1" si="345"/>
        <v>0</v>
      </c>
      <c r="AH656" s="580">
        <f t="shared" ca="1" si="346"/>
        <v>0.22470000000000001</v>
      </c>
      <c r="AJ656" s="582">
        <v>1</v>
      </c>
      <c r="AL656" s="612"/>
      <c r="AM656" s="430">
        <f t="shared" ca="1" si="347"/>
        <v>0</v>
      </c>
      <c r="AN656" s="655">
        <f t="shared" ca="1" si="348"/>
        <v>0</v>
      </c>
    </row>
    <row r="657" spans="1:40" ht="13.8" x14ac:dyDescent="0.3">
      <c r="A657">
        <f t="shared" si="327"/>
        <v>3</v>
      </c>
      <c r="B657">
        <f t="shared" ca="1" si="328"/>
        <v>3</v>
      </c>
      <c r="C657">
        <f t="shared" ca="1" si="329"/>
        <v>3</v>
      </c>
      <c r="D657">
        <f t="shared" ca="1" si="330"/>
        <v>11</v>
      </c>
      <c r="E657">
        <f ca="1">IF($C657=1,OFFSET(E657,-1,0)+MAX(1,COUNTIF(QCI!$A$13:$A$24,OFFSET(ORÇAMENTO!E657,-1,0))),OFFSET(E657,-1,0))</f>
        <v>1</v>
      </c>
      <c r="F657">
        <f t="shared" ca="1" si="331"/>
        <v>20</v>
      </c>
      <c r="G657">
        <f t="shared" ca="1" si="332"/>
        <v>6</v>
      </c>
      <c r="H657">
        <f t="shared" ca="1" si="333"/>
        <v>0</v>
      </c>
      <c r="I657">
        <f t="shared" ca="1" si="334"/>
        <v>0</v>
      </c>
      <c r="J657">
        <f t="shared" ca="1" si="352"/>
        <v>11</v>
      </c>
      <c r="K657" t="e">
        <f ca="1">IF(OR($C657="S",$C657=0),0,MATCH(OFFSET($D657,0,$C657)+IF($C657&lt;&gt;1,1,COUNTIF(QCI!$A$13:$A$24,ORÇAMENTO!E657)),OFFSET($D657,1,$C657,ROW($C$710)-ROW($C657)),0))</f>
        <v>#N/A</v>
      </c>
      <c r="L657" s="143" t="str">
        <f t="shared" ca="1" si="335"/>
        <v>F</v>
      </c>
      <c r="M657" s="144" t="s">
        <v>199</v>
      </c>
      <c r="N657" s="145" t="str">
        <f t="shared" ca="1" si="336"/>
        <v>Nível 3</v>
      </c>
      <c r="O657" s="146" t="str">
        <f t="shared" ca="1" si="337"/>
        <v>1.20.6.</v>
      </c>
      <c r="P657" s="147" t="s">
        <v>249</v>
      </c>
      <c r="Q657" s="148"/>
      <c r="R657" s="149" t="s">
        <v>549</v>
      </c>
      <c r="S657" s="150" t="s">
        <v>168</v>
      </c>
      <c r="T657" s="151">
        <f ca="1">OFFSET(CÁLCULO!H$15,ROW($T657)-ROW(T$15),0)</f>
        <v>0</v>
      </c>
      <c r="U657" s="152"/>
      <c r="V657" s="153" t="s">
        <v>158</v>
      </c>
      <c r="W657" s="151">
        <f t="shared" ca="1" si="338"/>
        <v>0</v>
      </c>
      <c r="X657" s="154">
        <f t="shared" ca="1" si="339"/>
        <v>0</v>
      </c>
      <c r="Y657" s="155" t="s">
        <v>583</v>
      </c>
      <c r="Z657" t="str">
        <f t="shared" ca="1" si="340"/>
        <v/>
      </c>
      <c r="AA657" s="156">
        <f ca="1">IF($C657="S",IF($Z657="CP",$X657,IF($Z657="RA",(($X657)*QCI!$AA$3),0)),SomaAgrup)</f>
        <v>0</v>
      </c>
      <c r="AB657" s="157">
        <f t="shared" ca="1" si="341"/>
        <v>0</v>
      </c>
      <c r="AC657" s="158" t="str">
        <f t="shared" ca="1" si="342"/>
        <v/>
      </c>
      <c r="AD657" s="104" t="str">
        <f ca="1">IF(C657&lt;=CRONO.NivelExibicao,MAX($AD$15:OFFSET(AD657,-1,0))+IF($C657&lt;&gt;1,1,MAX(1,COUNTIF(QCI!$A$13:$A$24,OFFSET($E657,-1,0)))),"")</f>
        <v/>
      </c>
      <c r="AE657" s="114" t="b">
        <f t="shared" ca="1" si="343"/>
        <v>0</v>
      </c>
      <c r="AF657" s="159" t="str">
        <f t="shared" ca="1" si="344"/>
        <v>(abra o arquivo 'Referência 05-2024.xls)</v>
      </c>
      <c r="AG657" s="579">
        <f t="shared" ca="1" si="345"/>
        <v>0</v>
      </c>
      <c r="AH657" s="580">
        <f t="shared" ca="1" si="346"/>
        <v>0.22470000000000001</v>
      </c>
      <c r="AJ657" s="582"/>
      <c r="AL657" s="612"/>
      <c r="AM657" s="430">
        <f t="shared" ca="1" si="347"/>
        <v>0</v>
      </c>
      <c r="AN657" s="655">
        <f t="shared" ca="1" si="348"/>
        <v>0</v>
      </c>
    </row>
    <row r="658" spans="1:40" ht="13.8" x14ac:dyDescent="0.3">
      <c r="A658" t="str">
        <f t="shared" si="327"/>
        <v>S</v>
      </c>
      <c r="B658">
        <f t="shared" ca="1" si="328"/>
        <v>3</v>
      </c>
      <c r="C658" t="str">
        <f t="shared" ca="1" si="329"/>
        <v>S</v>
      </c>
      <c r="D658">
        <f t="shared" ca="1" si="330"/>
        <v>0</v>
      </c>
      <c r="E658">
        <f ca="1">IF($C658=1,OFFSET(E658,-1,0)+MAX(1,COUNTIF(QCI!$A$13:$A$24,OFFSET(ORÇAMENTO!E658,-1,0))),OFFSET(E658,-1,0))</f>
        <v>1</v>
      </c>
      <c r="F658">
        <f t="shared" ca="1" si="331"/>
        <v>20</v>
      </c>
      <c r="G658">
        <f t="shared" ca="1" si="332"/>
        <v>6</v>
      </c>
      <c r="H658">
        <f t="shared" ca="1" si="333"/>
        <v>0</v>
      </c>
      <c r="I658">
        <f t="shared" ca="1" si="334"/>
        <v>0</v>
      </c>
      <c r="J658">
        <f t="shared" ca="1" si="352"/>
        <v>0</v>
      </c>
      <c r="K658">
        <f ca="1">IF(OR($C658="S",$C658=0),0,MATCH(OFFSET($D658,0,$C658)+IF($C658&lt;&gt;1,1,COUNTIF(QCI!$A$13:$A$24,ORÇAMENTO!E658)),OFFSET($D658,1,$C658,ROW($C$710)-ROW($C658)),0))</f>
        <v>0</v>
      </c>
      <c r="L658" s="143" t="str">
        <f t="shared" ca="1" si="335"/>
        <v/>
      </c>
      <c r="M658" s="144" t="s">
        <v>201</v>
      </c>
      <c r="N658" s="145" t="str">
        <f t="shared" ca="1" si="336"/>
        <v>Serviço</v>
      </c>
      <c r="O658" s="146" t="str">
        <f t="shared" ca="1" si="337"/>
        <v>-</v>
      </c>
      <c r="P658" s="147" t="s">
        <v>249</v>
      </c>
      <c r="Q658" s="148">
        <v>91834</v>
      </c>
      <c r="R658" s="149" t="str">
        <f t="shared" ref="R658:R667" ca="1" si="353">IF($C658="S",REFERENCIA.Descricao,"(digite a descrição aqui)")</f>
        <v>(abra o arquivo 'Referência 05-2024.xls)</v>
      </c>
      <c r="S658" s="150" t="str">
        <f t="shared" ref="S658:S667" ca="1" si="354">REFERENCIA.Unidade</f>
        <v>-</v>
      </c>
      <c r="T658" s="151">
        <f ca="1">OFFSET(CÁLCULO!H$15,ROW($T658)-ROW(T$15),0)</f>
        <v>167.49</v>
      </c>
      <c r="U658" s="152">
        <f t="shared" ca="1" si="351"/>
        <v>0</v>
      </c>
      <c r="V658" s="153" t="s">
        <v>158</v>
      </c>
      <c r="W658" s="151">
        <f t="shared" ca="1" si="338"/>
        <v>0</v>
      </c>
      <c r="X658" s="154">
        <f t="shared" ca="1" si="339"/>
        <v>0</v>
      </c>
      <c r="Y658" s="155" t="s">
        <v>583</v>
      </c>
      <c r="Z658" t="str">
        <f t="shared" ca="1" si="340"/>
        <v/>
      </c>
      <c r="AA658" s="156">
        <f ca="1">IF($C658="S",IF($Z658="CP",$X658,IF($Z658="RA",(($X658)*QCI!$AA$3),0)),SomaAgrup)</f>
        <v>0</v>
      </c>
      <c r="AB658" s="157">
        <f t="shared" ca="1" si="341"/>
        <v>0</v>
      </c>
      <c r="AC658" s="158" t="str">
        <f t="shared" ca="1" si="342"/>
        <v/>
      </c>
      <c r="AD658" s="104" t="str">
        <f ca="1">IF(C658&lt;=CRONO.NivelExibicao,MAX($AD$15:OFFSET(AD658,-1,0))+IF($C658&lt;&gt;1,1,MAX(1,COUNTIF(QCI!$A$13:$A$24,OFFSET($E658,-1,0)))),"")</f>
        <v/>
      </c>
      <c r="AE658" s="114" t="str">
        <f t="shared" ca="1" si="343"/>
        <v>SINAPI 91834</v>
      </c>
      <c r="AF658" s="159" t="str">
        <f t="shared" ca="1" si="344"/>
        <v>(abra o arquivo 'Referência 05-2024.xls)</v>
      </c>
      <c r="AG658" s="579">
        <f t="shared" ca="1" si="345"/>
        <v>0</v>
      </c>
      <c r="AH658" s="580">
        <f t="shared" ca="1" si="346"/>
        <v>0.22470000000000001</v>
      </c>
      <c r="AJ658" s="582">
        <v>167.49</v>
      </c>
      <c r="AL658" s="612"/>
      <c r="AM658" s="430">
        <f t="shared" ca="1" si="347"/>
        <v>0</v>
      </c>
      <c r="AN658" s="655">
        <f t="shared" ca="1" si="348"/>
        <v>0</v>
      </c>
    </row>
    <row r="659" spans="1:40" ht="13.8" x14ac:dyDescent="0.3">
      <c r="A659" t="str">
        <f t="shared" si="327"/>
        <v>S</v>
      </c>
      <c r="B659">
        <f t="shared" ca="1" si="328"/>
        <v>3</v>
      </c>
      <c r="C659" t="str">
        <f t="shared" ca="1" si="329"/>
        <v>S</v>
      </c>
      <c r="D659">
        <f t="shared" ca="1" si="330"/>
        <v>0</v>
      </c>
      <c r="E659">
        <f ca="1">IF($C659=1,OFFSET(E659,-1,0)+MAX(1,COUNTIF(QCI!$A$13:$A$24,OFFSET(ORÇAMENTO!E659,-1,0))),OFFSET(E659,-1,0))</f>
        <v>1</v>
      </c>
      <c r="F659">
        <f t="shared" ca="1" si="331"/>
        <v>20</v>
      </c>
      <c r="G659">
        <f t="shared" ca="1" si="332"/>
        <v>6</v>
      </c>
      <c r="H659">
        <f t="shared" ca="1" si="333"/>
        <v>0</v>
      </c>
      <c r="I659">
        <f t="shared" ca="1" si="334"/>
        <v>0</v>
      </c>
      <c r="J659">
        <f t="shared" ca="1" si="352"/>
        <v>0</v>
      </c>
      <c r="K659">
        <f ca="1">IF(OR($C659="S",$C659=0),0,MATCH(OFFSET($D659,0,$C659)+IF($C659&lt;&gt;1,1,COUNTIF(QCI!$A$13:$A$24,ORÇAMENTO!E659)),OFFSET($D659,1,$C659,ROW($C$710)-ROW($C659)),0))</f>
        <v>0</v>
      </c>
      <c r="L659" s="143" t="str">
        <f t="shared" ca="1" si="335"/>
        <v/>
      </c>
      <c r="M659" s="144" t="s">
        <v>201</v>
      </c>
      <c r="N659" s="145" t="str">
        <f t="shared" ca="1" si="336"/>
        <v>Serviço</v>
      </c>
      <c r="O659" s="146" t="str">
        <f t="shared" ca="1" si="337"/>
        <v>-</v>
      </c>
      <c r="P659" s="147" t="s">
        <v>249</v>
      </c>
      <c r="Q659" s="148">
        <v>91834</v>
      </c>
      <c r="R659" s="149" t="str">
        <f t="shared" ca="1" si="353"/>
        <v>(abra o arquivo 'Referência 05-2024.xls)</v>
      </c>
      <c r="S659" s="150" t="str">
        <f t="shared" ca="1" si="354"/>
        <v>-</v>
      </c>
      <c r="T659" s="151">
        <f ca="1">OFFSET(CÁLCULO!H$15,ROW($T659)-ROW(T$15),0)</f>
        <v>106.19</v>
      </c>
      <c r="U659" s="152">
        <f t="shared" ca="1" si="351"/>
        <v>0</v>
      </c>
      <c r="V659" s="153" t="s">
        <v>158</v>
      </c>
      <c r="W659" s="151">
        <f t="shared" ca="1" si="338"/>
        <v>0</v>
      </c>
      <c r="X659" s="154">
        <f t="shared" ca="1" si="339"/>
        <v>0</v>
      </c>
      <c r="Y659" s="155" t="s">
        <v>583</v>
      </c>
      <c r="Z659" t="str">
        <f t="shared" ca="1" si="340"/>
        <v/>
      </c>
      <c r="AA659" s="156">
        <f ca="1">IF($C659="S",IF($Z659="CP",$X659,IF($Z659="RA",(($X659)*QCI!$AA$3),0)),SomaAgrup)</f>
        <v>0</v>
      </c>
      <c r="AB659" s="157">
        <f t="shared" ca="1" si="341"/>
        <v>0</v>
      </c>
      <c r="AC659" s="158" t="str">
        <f t="shared" ca="1" si="342"/>
        <v/>
      </c>
      <c r="AD659" s="104" t="str">
        <f ca="1">IF(C659&lt;=CRONO.NivelExibicao,MAX($AD$15:OFFSET(AD659,-1,0))+IF($C659&lt;&gt;1,1,MAX(1,COUNTIF(QCI!$A$13:$A$24,OFFSET($E659,-1,0)))),"")</f>
        <v/>
      </c>
      <c r="AE659" s="114" t="str">
        <f t="shared" ca="1" si="343"/>
        <v>SINAPI 91834</v>
      </c>
      <c r="AF659" s="159" t="str">
        <f t="shared" ca="1" si="344"/>
        <v>(abra o arquivo 'Referência 05-2024.xls)</v>
      </c>
      <c r="AG659" s="579">
        <f t="shared" ca="1" si="345"/>
        <v>0</v>
      </c>
      <c r="AH659" s="580">
        <f t="shared" ca="1" si="346"/>
        <v>0.22470000000000001</v>
      </c>
      <c r="AJ659" s="582">
        <v>106.19</v>
      </c>
      <c r="AL659" s="612"/>
      <c r="AM659" s="430">
        <f t="shared" ca="1" si="347"/>
        <v>0</v>
      </c>
      <c r="AN659" s="655">
        <f t="shared" ca="1" si="348"/>
        <v>0</v>
      </c>
    </row>
    <row r="660" spans="1:40" ht="13.8" x14ac:dyDescent="0.3">
      <c r="A660" t="str">
        <f t="shared" si="327"/>
        <v>S</v>
      </c>
      <c r="B660">
        <f t="shared" ca="1" si="328"/>
        <v>3</v>
      </c>
      <c r="C660" t="str">
        <f t="shared" ca="1" si="329"/>
        <v>S</v>
      </c>
      <c r="D660">
        <f t="shared" ca="1" si="330"/>
        <v>0</v>
      </c>
      <c r="E660">
        <f ca="1">IF($C660=1,OFFSET(E660,-1,0)+MAX(1,COUNTIF(QCI!$A$13:$A$24,OFFSET(ORÇAMENTO!E660,-1,0))),OFFSET(E660,-1,0))</f>
        <v>1</v>
      </c>
      <c r="F660">
        <f t="shared" ca="1" si="331"/>
        <v>20</v>
      </c>
      <c r="G660">
        <f t="shared" ca="1" si="332"/>
        <v>6</v>
      </c>
      <c r="H660">
        <f t="shared" ca="1" si="333"/>
        <v>0</v>
      </c>
      <c r="I660">
        <f t="shared" ca="1" si="334"/>
        <v>0</v>
      </c>
      <c r="J660">
        <f t="shared" ca="1" si="352"/>
        <v>0</v>
      </c>
      <c r="K660">
        <f ca="1">IF(OR($C660="S",$C660=0),0,MATCH(OFFSET($D660,0,$C660)+IF($C660&lt;&gt;1,1,COUNTIF(QCI!$A$13:$A$24,ORÇAMENTO!E660)),OFFSET($D660,1,$C660,ROW($C$710)-ROW($C660)),0))</f>
        <v>0</v>
      </c>
      <c r="L660" s="143" t="str">
        <f t="shared" ca="1" si="335"/>
        <v/>
      </c>
      <c r="M660" s="144" t="s">
        <v>201</v>
      </c>
      <c r="N660" s="145" t="str">
        <f t="shared" ca="1" si="336"/>
        <v>Serviço</v>
      </c>
      <c r="O660" s="146" t="str">
        <f t="shared" ca="1" si="337"/>
        <v>-</v>
      </c>
      <c r="P660" s="147" t="s">
        <v>249</v>
      </c>
      <c r="Q660" s="148">
        <v>91836</v>
      </c>
      <c r="R660" s="149" t="str">
        <f t="shared" ca="1" si="353"/>
        <v>(abra o arquivo 'Referência 05-2024.xls)</v>
      </c>
      <c r="S660" s="150" t="str">
        <f t="shared" ca="1" si="354"/>
        <v>-</v>
      </c>
      <c r="T660" s="151">
        <f ca="1">OFFSET(CÁLCULO!H$15,ROW($T660)-ROW(T$15),0)</f>
        <v>9.9</v>
      </c>
      <c r="U660" s="152">
        <f t="shared" ca="1" si="351"/>
        <v>0</v>
      </c>
      <c r="V660" s="153" t="s">
        <v>158</v>
      </c>
      <c r="W660" s="151">
        <f t="shared" ca="1" si="338"/>
        <v>0</v>
      </c>
      <c r="X660" s="154">
        <f t="shared" ca="1" si="339"/>
        <v>0</v>
      </c>
      <c r="Y660" s="155" t="s">
        <v>583</v>
      </c>
      <c r="Z660" t="str">
        <f t="shared" ca="1" si="340"/>
        <v/>
      </c>
      <c r="AA660" s="156">
        <f ca="1">IF($C660="S",IF($Z660="CP",$X660,IF($Z660="RA",(($X660)*QCI!$AA$3),0)),SomaAgrup)</f>
        <v>0</v>
      </c>
      <c r="AB660" s="157">
        <f t="shared" ca="1" si="341"/>
        <v>0</v>
      </c>
      <c r="AC660" s="158" t="str">
        <f t="shared" ca="1" si="342"/>
        <v/>
      </c>
      <c r="AD660" s="104" t="str">
        <f ca="1">IF(C660&lt;=CRONO.NivelExibicao,MAX($AD$15:OFFSET(AD660,-1,0))+IF($C660&lt;&gt;1,1,MAX(1,COUNTIF(QCI!$A$13:$A$24,OFFSET($E660,-1,0)))),"")</f>
        <v/>
      </c>
      <c r="AE660" s="114" t="str">
        <f t="shared" ca="1" si="343"/>
        <v>SINAPI 91836</v>
      </c>
      <c r="AF660" s="159" t="str">
        <f t="shared" ca="1" si="344"/>
        <v>(abra o arquivo 'Referência 05-2024.xls)</v>
      </c>
      <c r="AG660" s="579">
        <f t="shared" ca="1" si="345"/>
        <v>0</v>
      </c>
      <c r="AH660" s="580">
        <f t="shared" ca="1" si="346"/>
        <v>0.22470000000000001</v>
      </c>
      <c r="AJ660" s="582">
        <v>9.9</v>
      </c>
      <c r="AL660" s="612"/>
      <c r="AM660" s="430">
        <f t="shared" ca="1" si="347"/>
        <v>0</v>
      </c>
      <c r="AN660" s="655">
        <f t="shared" ca="1" si="348"/>
        <v>0</v>
      </c>
    </row>
    <row r="661" spans="1:40" ht="13.8" x14ac:dyDescent="0.3">
      <c r="A661" t="str">
        <f t="shared" si="327"/>
        <v>S</v>
      </c>
      <c r="B661">
        <f t="shared" ca="1" si="328"/>
        <v>3</v>
      </c>
      <c r="C661" t="str">
        <f t="shared" ca="1" si="329"/>
        <v>S</v>
      </c>
      <c r="D661">
        <f t="shared" ca="1" si="330"/>
        <v>0</v>
      </c>
      <c r="E661">
        <f ca="1">IF($C661=1,OFFSET(E661,-1,0)+MAX(1,COUNTIF(QCI!$A$13:$A$24,OFFSET(ORÇAMENTO!E661,-1,0))),OFFSET(E661,-1,0))</f>
        <v>1</v>
      </c>
      <c r="F661">
        <f t="shared" ca="1" si="331"/>
        <v>20</v>
      </c>
      <c r="G661">
        <f t="shared" ca="1" si="332"/>
        <v>6</v>
      </c>
      <c r="H661">
        <f t="shared" ca="1" si="333"/>
        <v>0</v>
      </c>
      <c r="I661">
        <f t="shared" ca="1" si="334"/>
        <v>0</v>
      </c>
      <c r="J661">
        <f t="shared" ca="1" si="352"/>
        <v>0</v>
      </c>
      <c r="K661">
        <f ca="1">IF(OR($C661="S",$C661=0),0,MATCH(OFFSET($D661,0,$C661)+IF($C661&lt;&gt;1,1,COUNTIF(QCI!$A$13:$A$24,ORÇAMENTO!E661)),OFFSET($D661,1,$C661,ROW($C$710)-ROW($C661)),0))</f>
        <v>0</v>
      </c>
      <c r="L661" s="143" t="str">
        <f t="shared" ca="1" si="335"/>
        <v/>
      </c>
      <c r="M661" s="144" t="s">
        <v>201</v>
      </c>
      <c r="N661" s="145" t="str">
        <f t="shared" ca="1" si="336"/>
        <v>Serviço</v>
      </c>
      <c r="O661" s="146" t="str">
        <f t="shared" ca="1" si="337"/>
        <v>-</v>
      </c>
      <c r="P661" s="147" t="s">
        <v>441</v>
      </c>
      <c r="Q661" s="148" t="s">
        <v>604</v>
      </c>
      <c r="R661" s="149" t="str">
        <f t="shared" ca="1" si="353"/>
        <v>(abra o arquivo 'Referência 05-2024.xls)</v>
      </c>
      <c r="S661" s="150" t="str">
        <f t="shared" ca="1" si="354"/>
        <v>-</v>
      </c>
      <c r="T661" s="151">
        <f ca="1">OFFSET(CÁLCULO!H$15,ROW($T661)-ROW(T$15),0)</f>
        <v>3.7</v>
      </c>
      <c r="U661" s="152">
        <f t="shared" ca="1" si="351"/>
        <v>0</v>
      </c>
      <c r="V661" s="153" t="s">
        <v>158</v>
      </c>
      <c r="W661" s="151">
        <f t="shared" ca="1" si="338"/>
        <v>0</v>
      </c>
      <c r="X661" s="154">
        <f t="shared" ca="1" si="339"/>
        <v>0</v>
      </c>
      <c r="Y661" s="155" t="s">
        <v>583</v>
      </c>
      <c r="Z661" t="str">
        <f t="shared" ca="1" si="340"/>
        <v/>
      </c>
      <c r="AA661" s="156">
        <f ca="1">IF($C661="S",IF($Z661="CP",$X661,IF($Z661="RA",(($X661)*QCI!$AA$3),0)),SomaAgrup)</f>
        <v>0</v>
      </c>
      <c r="AB661" s="157">
        <f t="shared" ca="1" si="341"/>
        <v>0</v>
      </c>
      <c r="AC661" s="158" t="str">
        <f t="shared" ca="1" si="342"/>
        <v/>
      </c>
      <c r="AD661" s="104" t="str">
        <f ca="1">IF(C661&lt;=CRONO.NivelExibicao,MAX($AD$15:OFFSET(AD661,-1,0))+IF($C661&lt;&gt;1,1,MAX(1,COUNTIF(QCI!$A$13:$A$24,OFFSET($E661,-1,0)))),"")</f>
        <v/>
      </c>
      <c r="AE661" s="114" t="str">
        <f t="shared" ca="1" si="343"/>
        <v>Composição CP-42</v>
      </c>
      <c r="AF661" s="159" t="str">
        <f t="shared" ca="1" si="344"/>
        <v>(abra o arquivo 'Referência 05-2024.xls)</v>
      </c>
      <c r="AG661" s="579">
        <f t="shared" ca="1" si="345"/>
        <v>0</v>
      </c>
      <c r="AH661" s="580">
        <f t="shared" ca="1" si="346"/>
        <v>0.22470000000000001</v>
      </c>
      <c r="AJ661" s="582">
        <v>3.7</v>
      </c>
      <c r="AL661" s="612"/>
      <c r="AM661" s="430">
        <f t="shared" ca="1" si="347"/>
        <v>0</v>
      </c>
      <c r="AN661" s="655">
        <f t="shared" ca="1" si="348"/>
        <v>0</v>
      </c>
    </row>
    <row r="662" spans="1:40" ht="13.8" x14ac:dyDescent="0.3">
      <c r="A662" t="str">
        <f t="shared" si="327"/>
        <v>S</v>
      </c>
      <c r="B662">
        <f t="shared" ca="1" si="328"/>
        <v>3</v>
      </c>
      <c r="C662" t="str">
        <f t="shared" ca="1" si="329"/>
        <v>S</v>
      </c>
      <c r="D662">
        <f t="shared" ca="1" si="330"/>
        <v>0</v>
      </c>
      <c r="E662">
        <f ca="1">IF($C662=1,OFFSET(E662,-1,0)+MAX(1,COUNTIF(QCI!$A$13:$A$24,OFFSET(ORÇAMENTO!E662,-1,0))),OFFSET(E662,-1,0))</f>
        <v>1</v>
      </c>
      <c r="F662">
        <f t="shared" ca="1" si="331"/>
        <v>20</v>
      </c>
      <c r="G662">
        <f t="shared" ca="1" si="332"/>
        <v>6</v>
      </c>
      <c r="H662">
        <f t="shared" ca="1" si="333"/>
        <v>0</v>
      </c>
      <c r="I662">
        <f t="shared" ca="1" si="334"/>
        <v>0</v>
      </c>
      <c r="J662">
        <f t="shared" ca="1" si="352"/>
        <v>0</v>
      </c>
      <c r="K662">
        <f ca="1">IF(OR($C662="S",$C662=0),0,MATCH(OFFSET($D662,0,$C662)+IF($C662&lt;&gt;1,1,COUNTIF(QCI!$A$13:$A$24,ORÇAMENTO!E662)),OFFSET($D662,1,$C662,ROW($C$710)-ROW($C662)),0))</f>
        <v>0</v>
      </c>
      <c r="L662" s="143" t="str">
        <f t="shared" ca="1" si="335"/>
        <v/>
      </c>
      <c r="M662" s="144" t="s">
        <v>201</v>
      </c>
      <c r="N662" s="145" t="str">
        <f t="shared" ca="1" si="336"/>
        <v>Serviço</v>
      </c>
      <c r="O662" s="146" t="str">
        <f t="shared" ca="1" si="337"/>
        <v>-</v>
      </c>
      <c r="P662" s="147" t="s">
        <v>441</v>
      </c>
      <c r="Q662" s="148" t="s">
        <v>605</v>
      </c>
      <c r="R662" s="149" t="str">
        <f t="shared" ca="1" si="353"/>
        <v>(abra o arquivo 'Referência 05-2024.xls)</v>
      </c>
      <c r="S662" s="150" t="str">
        <f t="shared" ca="1" si="354"/>
        <v>-</v>
      </c>
      <c r="T662" s="151">
        <f ca="1">OFFSET(CÁLCULO!H$15,ROW($T662)-ROW(T$15),0)</f>
        <v>32.4</v>
      </c>
      <c r="U662" s="152">
        <f t="shared" ca="1" si="351"/>
        <v>0</v>
      </c>
      <c r="V662" s="153" t="s">
        <v>158</v>
      </c>
      <c r="W662" s="151">
        <f t="shared" ca="1" si="338"/>
        <v>0</v>
      </c>
      <c r="X662" s="154">
        <f t="shared" ca="1" si="339"/>
        <v>0</v>
      </c>
      <c r="Y662" s="155" t="s">
        <v>583</v>
      </c>
      <c r="Z662" t="str">
        <f t="shared" ca="1" si="340"/>
        <v/>
      </c>
      <c r="AA662" s="156">
        <f ca="1">IF($C662="S",IF($Z662="CP",$X662,IF($Z662="RA",(($X662)*QCI!$AA$3),0)),SomaAgrup)</f>
        <v>0</v>
      </c>
      <c r="AB662" s="157">
        <f t="shared" ca="1" si="341"/>
        <v>0</v>
      </c>
      <c r="AC662" s="158" t="str">
        <f t="shared" ca="1" si="342"/>
        <v/>
      </c>
      <c r="AD662" s="104" t="str">
        <f ca="1">IF(C662&lt;=CRONO.NivelExibicao,MAX($AD$15:OFFSET(AD662,-1,0))+IF($C662&lt;&gt;1,1,MAX(1,COUNTIF(QCI!$A$13:$A$24,OFFSET($E662,-1,0)))),"")</f>
        <v/>
      </c>
      <c r="AE662" s="114" t="str">
        <f t="shared" ca="1" si="343"/>
        <v>Composição CP-43</v>
      </c>
      <c r="AF662" s="159" t="str">
        <f t="shared" ca="1" si="344"/>
        <v>(abra o arquivo 'Referência 05-2024.xls)</v>
      </c>
      <c r="AG662" s="579">
        <f t="shared" ca="1" si="345"/>
        <v>0</v>
      </c>
      <c r="AH662" s="580">
        <f t="shared" ca="1" si="346"/>
        <v>0.22470000000000001</v>
      </c>
      <c r="AJ662" s="582">
        <v>32.4</v>
      </c>
      <c r="AL662" s="612"/>
      <c r="AM662" s="430">
        <f t="shared" ca="1" si="347"/>
        <v>0</v>
      </c>
      <c r="AN662" s="655">
        <f t="shared" ca="1" si="348"/>
        <v>0</v>
      </c>
    </row>
    <row r="663" spans="1:40" ht="13.8" x14ac:dyDescent="0.3">
      <c r="A663" t="str">
        <f t="shared" si="327"/>
        <v>S</v>
      </c>
      <c r="B663">
        <f t="shared" ca="1" si="328"/>
        <v>3</v>
      </c>
      <c r="C663" t="str">
        <f t="shared" ca="1" si="329"/>
        <v>S</v>
      </c>
      <c r="D663">
        <f t="shared" ca="1" si="330"/>
        <v>0</v>
      </c>
      <c r="E663">
        <f ca="1">IF($C663=1,OFFSET(E663,-1,0)+MAX(1,COUNTIF(QCI!$A$13:$A$24,OFFSET(ORÇAMENTO!E663,-1,0))),OFFSET(E663,-1,0))</f>
        <v>1</v>
      </c>
      <c r="F663">
        <f t="shared" ca="1" si="331"/>
        <v>20</v>
      </c>
      <c r="G663">
        <f t="shared" ca="1" si="332"/>
        <v>6</v>
      </c>
      <c r="H663">
        <f t="shared" ca="1" si="333"/>
        <v>0</v>
      </c>
      <c r="I663">
        <f t="shared" ca="1" si="334"/>
        <v>0</v>
      </c>
      <c r="J663">
        <f t="shared" ca="1" si="352"/>
        <v>0</v>
      </c>
      <c r="K663">
        <f ca="1">IF(OR($C663="S",$C663=0),0,MATCH(OFFSET($D663,0,$C663)+IF($C663&lt;&gt;1,1,COUNTIF(QCI!$A$13:$A$24,ORÇAMENTO!E663)),OFFSET($D663,1,$C663,ROW($C$710)-ROW($C663)),0))</f>
        <v>0</v>
      </c>
      <c r="L663" s="143" t="str">
        <f t="shared" ca="1" si="335"/>
        <v/>
      </c>
      <c r="M663" s="144" t="s">
        <v>201</v>
      </c>
      <c r="N663" s="145" t="str">
        <f t="shared" ca="1" si="336"/>
        <v>Serviço</v>
      </c>
      <c r="O663" s="146" t="str">
        <f t="shared" ca="1" si="337"/>
        <v>-</v>
      </c>
      <c r="P663" s="147" t="s">
        <v>441</v>
      </c>
      <c r="Q663" s="148" t="s">
        <v>606</v>
      </c>
      <c r="R663" s="149" t="str">
        <f t="shared" ca="1" si="353"/>
        <v>(abra o arquivo 'Referência 05-2024.xls)</v>
      </c>
      <c r="S663" s="150" t="str">
        <f t="shared" ca="1" si="354"/>
        <v>-</v>
      </c>
      <c r="T663" s="151">
        <f ca="1">OFFSET(CÁLCULO!H$15,ROW($T663)-ROW(T$15),0)</f>
        <v>128.9</v>
      </c>
      <c r="U663" s="152">
        <f t="shared" ca="1" si="351"/>
        <v>0</v>
      </c>
      <c r="V663" s="153" t="s">
        <v>158</v>
      </c>
      <c r="W663" s="151">
        <f t="shared" ca="1" si="338"/>
        <v>0</v>
      </c>
      <c r="X663" s="154">
        <f t="shared" ca="1" si="339"/>
        <v>0</v>
      </c>
      <c r="Y663" s="155" t="s">
        <v>583</v>
      </c>
      <c r="Z663" t="str">
        <f t="shared" ca="1" si="340"/>
        <v/>
      </c>
      <c r="AA663" s="156">
        <f ca="1">IF($C663="S",IF($Z663="CP",$X663,IF($Z663="RA",(($X663)*QCI!$AA$3),0)),SomaAgrup)</f>
        <v>0</v>
      </c>
      <c r="AB663" s="157">
        <f t="shared" ca="1" si="341"/>
        <v>0</v>
      </c>
      <c r="AC663" s="158" t="str">
        <f t="shared" ca="1" si="342"/>
        <v/>
      </c>
      <c r="AD663" s="104" t="str">
        <f ca="1">IF(C663&lt;=CRONO.NivelExibicao,MAX($AD$15:OFFSET(AD663,-1,0))+IF($C663&lt;&gt;1,1,MAX(1,COUNTIF(QCI!$A$13:$A$24,OFFSET($E663,-1,0)))),"")</f>
        <v/>
      </c>
      <c r="AE663" s="114" t="str">
        <f t="shared" ca="1" si="343"/>
        <v>Composição CP-44</v>
      </c>
      <c r="AF663" s="159" t="str">
        <f t="shared" ca="1" si="344"/>
        <v>(abra o arquivo 'Referência 05-2024.xls)</v>
      </c>
      <c r="AG663" s="579">
        <f t="shared" ca="1" si="345"/>
        <v>0</v>
      </c>
      <c r="AH663" s="580">
        <f t="shared" ca="1" si="346"/>
        <v>0.22470000000000001</v>
      </c>
      <c r="AJ663" s="582">
        <v>128.9</v>
      </c>
      <c r="AL663" s="612"/>
      <c r="AM663" s="430">
        <f t="shared" ca="1" si="347"/>
        <v>0</v>
      </c>
      <c r="AN663" s="655">
        <f t="shared" ca="1" si="348"/>
        <v>0</v>
      </c>
    </row>
    <row r="664" spans="1:40" ht="13.8" x14ac:dyDescent="0.3">
      <c r="A664" t="str">
        <f t="shared" si="327"/>
        <v>S</v>
      </c>
      <c r="B664">
        <f t="shared" ca="1" si="328"/>
        <v>3</v>
      </c>
      <c r="C664" t="str">
        <f t="shared" ca="1" si="329"/>
        <v>S</v>
      </c>
      <c r="D664">
        <f t="shared" ca="1" si="330"/>
        <v>0</v>
      </c>
      <c r="E664">
        <f ca="1">IF($C664=1,OFFSET(E664,-1,0)+MAX(1,COUNTIF(QCI!$A$13:$A$24,OFFSET(ORÇAMENTO!E664,-1,0))),OFFSET(E664,-1,0))</f>
        <v>1</v>
      </c>
      <c r="F664">
        <f t="shared" ca="1" si="331"/>
        <v>20</v>
      </c>
      <c r="G664">
        <f t="shared" ca="1" si="332"/>
        <v>6</v>
      </c>
      <c r="H664">
        <f t="shared" ca="1" si="333"/>
        <v>0</v>
      </c>
      <c r="I664">
        <f t="shared" ca="1" si="334"/>
        <v>0</v>
      </c>
      <c r="J664">
        <f t="shared" ca="1" si="352"/>
        <v>0</v>
      </c>
      <c r="K664">
        <f ca="1">IF(OR($C664="S",$C664=0),0,MATCH(OFFSET($D664,0,$C664)+IF($C664&lt;&gt;1,1,COUNTIF(QCI!$A$13:$A$24,ORÇAMENTO!E664)),OFFSET($D664,1,$C664,ROW($C$710)-ROW($C664)),0))</f>
        <v>0</v>
      </c>
      <c r="L664" s="143" t="str">
        <f t="shared" ca="1" si="335"/>
        <v/>
      </c>
      <c r="M664" s="144" t="s">
        <v>201</v>
      </c>
      <c r="N664" s="145" t="str">
        <f t="shared" ca="1" si="336"/>
        <v>Serviço</v>
      </c>
      <c r="O664" s="146" t="str">
        <f t="shared" ca="1" si="337"/>
        <v>-</v>
      </c>
      <c r="P664" s="147" t="s">
        <v>441</v>
      </c>
      <c r="Q664" s="148" t="s">
        <v>607</v>
      </c>
      <c r="R664" s="149" t="str">
        <f t="shared" ca="1" si="353"/>
        <v>(abra o arquivo 'Referência 05-2024.xls)</v>
      </c>
      <c r="S664" s="150" t="str">
        <f t="shared" ca="1" si="354"/>
        <v>-</v>
      </c>
      <c r="T664" s="151">
        <f ca="1">OFFSET(CÁLCULO!H$15,ROW($T664)-ROW(T$15),0)</f>
        <v>33.1</v>
      </c>
      <c r="U664" s="152">
        <f t="shared" ca="1" si="351"/>
        <v>0</v>
      </c>
      <c r="V664" s="153" t="s">
        <v>158</v>
      </c>
      <c r="W664" s="151">
        <f t="shared" ca="1" si="338"/>
        <v>0</v>
      </c>
      <c r="X664" s="154">
        <f t="shared" ca="1" si="339"/>
        <v>0</v>
      </c>
      <c r="Y664" s="155" t="s">
        <v>583</v>
      </c>
      <c r="Z664" t="str">
        <f t="shared" ca="1" si="340"/>
        <v/>
      </c>
      <c r="AA664" s="156">
        <f ca="1">IF($C664="S",IF($Z664="CP",$X664,IF($Z664="RA",(($X664)*QCI!$AA$3),0)),SomaAgrup)</f>
        <v>0</v>
      </c>
      <c r="AB664" s="157">
        <f t="shared" ca="1" si="341"/>
        <v>0</v>
      </c>
      <c r="AC664" s="158" t="str">
        <f t="shared" ca="1" si="342"/>
        <v/>
      </c>
      <c r="AD664" s="104" t="str">
        <f ca="1">IF(C664&lt;=CRONO.NivelExibicao,MAX($AD$15:OFFSET(AD664,-1,0))+IF($C664&lt;&gt;1,1,MAX(1,COUNTIF(QCI!$A$13:$A$24,OFFSET($E664,-1,0)))),"")</f>
        <v/>
      </c>
      <c r="AE664" s="114" t="str">
        <f t="shared" ca="1" si="343"/>
        <v>Composição CP-45</v>
      </c>
      <c r="AF664" s="159" t="str">
        <f t="shared" ca="1" si="344"/>
        <v>(abra o arquivo 'Referência 05-2024.xls)</v>
      </c>
      <c r="AG664" s="579">
        <f t="shared" ca="1" si="345"/>
        <v>0</v>
      </c>
      <c r="AH664" s="580">
        <f t="shared" ca="1" si="346"/>
        <v>0.22470000000000001</v>
      </c>
      <c r="AJ664" s="582">
        <v>33.1</v>
      </c>
      <c r="AL664" s="612"/>
      <c r="AM664" s="430">
        <f t="shared" ca="1" si="347"/>
        <v>0</v>
      </c>
      <c r="AN664" s="655">
        <f t="shared" ca="1" si="348"/>
        <v>0</v>
      </c>
    </row>
    <row r="665" spans="1:40" ht="13.8" x14ac:dyDescent="0.3">
      <c r="A665" t="str">
        <f t="shared" si="327"/>
        <v>S</v>
      </c>
      <c r="B665">
        <f t="shared" ca="1" si="328"/>
        <v>3</v>
      </c>
      <c r="C665" t="str">
        <f t="shared" ca="1" si="329"/>
        <v>S</v>
      </c>
      <c r="D665">
        <f t="shared" ca="1" si="330"/>
        <v>0</v>
      </c>
      <c r="E665">
        <f ca="1">IF($C665=1,OFFSET(E665,-1,0)+MAX(1,COUNTIF(QCI!$A$13:$A$24,OFFSET(ORÇAMENTO!E665,-1,0))),OFFSET(E665,-1,0))</f>
        <v>1</v>
      </c>
      <c r="F665">
        <f t="shared" ca="1" si="331"/>
        <v>20</v>
      </c>
      <c r="G665">
        <f t="shared" ca="1" si="332"/>
        <v>6</v>
      </c>
      <c r="H665">
        <f t="shared" ca="1" si="333"/>
        <v>0</v>
      </c>
      <c r="I665">
        <f t="shared" ca="1" si="334"/>
        <v>0</v>
      </c>
      <c r="J665">
        <f t="shared" ca="1" si="352"/>
        <v>0</v>
      </c>
      <c r="K665">
        <f ca="1">IF(OR($C665="S",$C665=0),0,MATCH(OFFSET($D665,0,$C665)+IF($C665&lt;&gt;1,1,COUNTIF(QCI!$A$13:$A$24,ORÇAMENTO!E665)),OFFSET($D665,1,$C665,ROW($C$710)-ROW($C665)),0))</f>
        <v>0</v>
      </c>
      <c r="L665" s="143" t="str">
        <f t="shared" ca="1" si="335"/>
        <v/>
      </c>
      <c r="M665" s="144" t="s">
        <v>201</v>
      </c>
      <c r="N665" s="145" t="str">
        <f t="shared" ca="1" si="336"/>
        <v>Serviço</v>
      </c>
      <c r="O665" s="146" t="str">
        <f t="shared" ca="1" si="337"/>
        <v>-</v>
      </c>
      <c r="P665" s="147" t="s">
        <v>441</v>
      </c>
      <c r="Q665" s="148" t="s">
        <v>612</v>
      </c>
      <c r="R665" s="149" t="str">
        <f t="shared" ca="1" si="353"/>
        <v>(abra o arquivo 'Referência 05-2024.xls)</v>
      </c>
      <c r="S665" s="150" t="str">
        <f t="shared" ca="1" si="354"/>
        <v>-</v>
      </c>
      <c r="T665" s="151">
        <f ca="1">OFFSET(CÁLCULO!H$15,ROW($T665)-ROW(T$15),0)</f>
        <v>39.85</v>
      </c>
      <c r="U665" s="152">
        <f t="shared" ca="1" si="351"/>
        <v>0</v>
      </c>
      <c r="V665" s="153" t="s">
        <v>158</v>
      </c>
      <c r="W665" s="151">
        <f t="shared" ca="1" si="338"/>
        <v>0</v>
      </c>
      <c r="X665" s="154">
        <f t="shared" ca="1" si="339"/>
        <v>0</v>
      </c>
      <c r="Y665" s="155" t="s">
        <v>583</v>
      </c>
      <c r="Z665" t="str">
        <f t="shared" ca="1" si="340"/>
        <v/>
      </c>
      <c r="AA665" s="156">
        <f ca="1">IF($C665="S",IF($Z665="CP",$X665,IF($Z665="RA",(($X665)*QCI!$AA$3),0)),SomaAgrup)</f>
        <v>0</v>
      </c>
      <c r="AB665" s="157">
        <f t="shared" ca="1" si="341"/>
        <v>0</v>
      </c>
      <c r="AC665" s="158" t="str">
        <f t="shared" ca="1" si="342"/>
        <v/>
      </c>
      <c r="AD665" s="104" t="str">
        <f ca="1">IF(C665&lt;=CRONO.NivelExibicao,MAX($AD$15:OFFSET(AD665,-1,0))+IF($C665&lt;&gt;1,1,MAX(1,COUNTIF(QCI!$A$13:$A$24,OFFSET($E665,-1,0)))),"")</f>
        <v/>
      </c>
      <c r="AE665" s="114" t="str">
        <f t="shared" ca="1" si="343"/>
        <v>Composição CP-47</v>
      </c>
      <c r="AF665" s="159" t="str">
        <f t="shared" ca="1" si="344"/>
        <v>(abra o arquivo 'Referência 05-2024.xls)</v>
      </c>
      <c r="AG665" s="579">
        <f t="shared" ca="1" si="345"/>
        <v>0</v>
      </c>
      <c r="AH665" s="580">
        <f t="shared" ca="1" si="346"/>
        <v>0.22470000000000001</v>
      </c>
      <c r="AJ665" s="582">
        <v>39.85</v>
      </c>
      <c r="AL665" s="612"/>
      <c r="AM665" s="430">
        <f t="shared" ca="1" si="347"/>
        <v>0</v>
      </c>
      <c r="AN665" s="655">
        <f t="shared" ca="1" si="348"/>
        <v>0</v>
      </c>
    </row>
    <row r="666" spans="1:40" ht="13.8" x14ac:dyDescent="0.3">
      <c r="A666" t="str">
        <f t="shared" si="327"/>
        <v>S</v>
      </c>
      <c r="B666">
        <f t="shared" ca="1" si="328"/>
        <v>3</v>
      </c>
      <c r="C666" t="str">
        <f t="shared" ca="1" si="329"/>
        <v>S</v>
      </c>
      <c r="D666">
        <f t="shared" ca="1" si="330"/>
        <v>0</v>
      </c>
      <c r="E666">
        <f ca="1">IF($C666=1,OFFSET(E666,-1,0)+MAX(1,COUNTIF(QCI!$A$13:$A$24,OFFSET(ORÇAMENTO!E666,-1,0))),OFFSET(E666,-1,0))</f>
        <v>1</v>
      </c>
      <c r="F666">
        <f t="shared" ca="1" si="331"/>
        <v>20</v>
      </c>
      <c r="G666">
        <f t="shared" ca="1" si="332"/>
        <v>6</v>
      </c>
      <c r="H666">
        <f t="shared" ca="1" si="333"/>
        <v>0</v>
      </c>
      <c r="I666">
        <f t="shared" ca="1" si="334"/>
        <v>0</v>
      </c>
      <c r="J666">
        <f t="shared" ca="1" si="352"/>
        <v>0</v>
      </c>
      <c r="K666">
        <f ca="1">IF(OR($C666="S",$C666=0),0,MATCH(OFFSET($D666,0,$C666)+IF($C666&lt;&gt;1,1,COUNTIF(QCI!$A$13:$A$24,ORÇAMENTO!E666)),OFFSET($D666,1,$C666,ROW($C$710)-ROW($C666)),0))</f>
        <v>0</v>
      </c>
      <c r="L666" s="143" t="str">
        <f t="shared" ca="1" si="335"/>
        <v/>
      </c>
      <c r="M666" s="144" t="s">
        <v>201</v>
      </c>
      <c r="N666" s="145" t="str">
        <f t="shared" ca="1" si="336"/>
        <v>Serviço</v>
      </c>
      <c r="O666" s="146" t="str">
        <f t="shared" ca="1" si="337"/>
        <v>-</v>
      </c>
      <c r="P666" s="147" t="s">
        <v>441</v>
      </c>
      <c r="Q666" s="148" t="s">
        <v>609</v>
      </c>
      <c r="R666" s="149" t="str">
        <f t="shared" ca="1" si="353"/>
        <v>(abra o arquivo 'Referência 05-2024.xls)</v>
      </c>
      <c r="S666" s="150" t="str">
        <f t="shared" ca="1" si="354"/>
        <v>-</v>
      </c>
      <c r="T666" s="151">
        <f ca="1">OFFSET(CÁLCULO!H$15,ROW($T666)-ROW(T$15),0)</f>
        <v>25.4</v>
      </c>
      <c r="U666" s="152">
        <f t="shared" ca="1" si="351"/>
        <v>0</v>
      </c>
      <c r="V666" s="153" t="s">
        <v>158</v>
      </c>
      <c r="W666" s="151">
        <f t="shared" ca="1" si="338"/>
        <v>0</v>
      </c>
      <c r="X666" s="154">
        <f t="shared" ca="1" si="339"/>
        <v>0</v>
      </c>
      <c r="Y666" s="155" t="s">
        <v>583</v>
      </c>
      <c r="Z666" t="str">
        <f t="shared" ca="1" si="340"/>
        <v/>
      </c>
      <c r="AA666" s="156">
        <f ca="1">IF($C666="S",IF($Z666="CP",$X666,IF($Z666="RA",(($X666)*QCI!$AA$3),0)),SomaAgrup)</f>
        <v>0</v>
      </c>
      <c r="AB666" s="157">
        <f t="shared" ca="1" si="341"/>
        <v>0</v>
      </c>
      <c r="AC666" s="158" t="str">
        <f t="shared" ca="1" si="342"/>
        <v/>
      </c>
      <c r="AD666" s="104" t="str">
        <f ca="1">IF(C666&lt;=CRONO.NivelExibicao,MAX($AD$15:OFFSET(AD666,-1,0))+IF($C666&lt;&gt;1,1,MAX(1,COUNTIF(QCI!$A$13:$A$24,OFFSET($E666,-1,0)))),"")</f>
        <v/>
      </c>
      <c r="AE666" s="114" t="str">
        <f t="shared" ca="1" si="343"/>
        <v>Composição CP-48</v>
      </c>
      <c r="AF666" s="159" t="str">
        <f t="shared" ca="1" si="344"/>
        <v>(abra o arquivo 'Referência 05-2024.xls)</v>
      </c>
      <c r="AG666" s="579">
        <f t="shared" ca="1" si="345"/>
        <v>0</v>
      </c>
      <c r="AH666" s="580">
        <f t="shared" ca="1" si="346"/>
        <v>0.22470000000000001</v>
      </c>
      <c r="AJ666" s="582">
        <v>25.4</v>
      </c>
      <c r="AL666" s="612"/>
      <c r="AM666" s="430">
        <f t="shared" ca="1" si="347"/>
        <v>0</v>
      </c>
      <c r="AN666" s="655">
        <f t="shared" ca="1" si="348"/>
        <v>0</v>
      </c>
    </row>
    <row r="667" spans="1:40" ht="13.8" x14ac:dyDescent="0.3">
      <c r="A667" t="str">
        <f t="shared" si="327"/>
        <v>S</v>
      </c>
      <c r="B667">
        <f t="shared" ca="1" si="328"/>
        <v>3</v>
      </c>
      <c r="C667" t="str">
        <f t="shared" ca="1" si="329"/>
        <v>S</v>
      </c>
      <c r="D667">
        <f t="shared" ca="1" si="330"/>
        <v>0</v>
      </c>
      <c r="E667">
        <f ca="1">IF($C667=1,OFFSET(E667,-1,0)+MAX(1,COUNTIF(QCI!$A$13:$A$24,OFFSET(ORÇAMENTO!E667,-1,0))),OFFSET(E667,-1,0))</f>
        <v>1</v>
      </c>
      <c r="F667">
        <f t="shared" ca="1" si="331"/>
        <v>20</v>
      </c>
      <c r="G667">
        <f t="shared" ca="1" si="332"/>
        <v>6</v>
      </c>
      <c r="H667">
        <f t="shared" ca="1" si="333"/>
        <v>0</v>
      </c>
      <c r="I667">
        <f t="shared" ca="1" si="334"/>
        <v>0</v>
      </c>
      <c r="J667">
        <f t="shared" ca="1" si="352"/>
        <v>0</v>
      </c>
      <c r="K667">
        <f ca="1">IF(OR($C667="S",$C667=0),0,MATCH(OFFSET($D667,0,$C667)+IF($C667&lt;&gt;1,1,COUNTIF(QCI!$A$13:$A$24,ORÇAMENTO!E667)),OFFSET($D667,1,$C667,ROW($C$710)-ROW($C667)),0))</f>
        <v>0</v>
      </c>
      <c r="L667" s="143" t="str">
        <f t="shared" ca="1" si="335"/>
        <v/>
      </c>
      <c r="M667" s="144" t="s">
        <v>201</v>
      </c>
      <c r="N667" s="145" t="str">
        <f t="shared" ca="1" si="336"/>
        <v>Serviço</v>
      </c>
      <c r="O667" s="146" t="str">
        <f t="shared" ca="1" si="337"/>
        <v>-</v>
      </c>
      <c r="P667" s="147" t="s">
        <v>578</v>
      </c>
      <c r="Q667" s="148">
        <v>9013021</v>
      </c>
      <c r="R667" s="149" t="str">
        <f t="shared" ca="1" si="353"/>
        <v>(abra o arquivo 'Referência 05-2024.xls)</v>
      </c>
      <c r="S667" s="150" t="str">
        <f t="shared" ca="1" si="354"/>
        <v>-</v>
      </c>
      <c r="T667" s="151">
        <f ca="1">OFFSET(CÁLCULO!H$15,ROW($T667)-ROW(T$15),0)</f>
        <v>113.4</v>
      </c>
      <c r="U667" s="152">
        <f t="shared" ca="1" si="351"/>
        <v>0</v>
      </c>
      <c r="V667" s="153" t="s">
        <v>158</v>
      </c>
      <c r="W667" s="151">
        <f t="shared" ca="1" si="338"/>
        <v>0</v>
      </c>
      <c r="X667" s="154">
        <f t="shared" ca="1" si="339"/>
        <v>0</v>
      </c>
      <c r="Y667" s="155" t="s">
        <v>583</v>
      </c>
      <c r="Z667" t="str">
        <f t="shared" ca="1" si="340"/>
        <v/>
      </c>
      <c r="AA667" s="156">
        <f ca="1">IF($C667="S",IF($Z667="CP",$X667,IF($Z667="RA",(($X667)*QCI!$AA$3),0)),SomaAgrup)</f>
        <v>0</v>
      </c>
      <c r="AB667" s="157">
        <f t="shared" ca="1" si="341"/>
        <v>0</v>
      </c>
      <c r="AC667" s="158" t="str">
        <f t="shared" ca="1" si="342"/>
        <v/>
      </c>
      <c r="AD667" s="104" t="str">
        <f ca="1">IF(C667&lt;=CRONO.NivelExibicao,MAX($AD$15:OFFSET(AD667,-1,0))+IF($C667&lt;&gt;1,1,MAX(1,COUNTIF(QCI!$A$13:$A$24,OFFSET($E667,-1,0)))),"")</f>
        <v/>
      </c>
      <c r="AE667" s="114" t="str">
        <f t="shared" ca="1" si="343"/>
        <v>SIURB 9013021</v>
      </c>
      <c r="AF667" s="159" t="str">
        <f t="shared" ca="1" si="344"/>
        <v>(abra o arquivo 'Referência 05-2024.xls)</v>
      </c>
      <c r="AG667" s="579">
        <f t="shared" ca="1" si="345"/>
        <v>0</v>
      </c>
      <c r="AH667" s="580">
        <f t="shared" ca="1" si="346"/>
        <v>0.22470000000000001</v>
      </c>
      <c r="AJ667" s="582">
        <v>113.4</v>
      </c>
      <c r="AL667" s="612"/>
      <c r="AM667" s="430">
        <f t="shared" ca="1" si="347"/>
        <v>0</v>
      </c>
      <c r="AN667" s="655">
        <f t="shared" ca="1" si="348"/>
        <v>0</v>
      </c>
    </row>
    <row r="668" spans="1:40" ht="13.8" x14ac:dyDescent="0.3">
      <c r="A668">
        <f t="shared" si="327"/>
        <v>2</v>
      </c>
      <c r="B668">
        <f t="shared" ca="1" si="328"/>
        <v>2</v>
      </c>
      <c r="C668">
        <f t="shared" ca="1" si="329"/>
        <v>2</v>
      </c>
      <c r="D668">
        <f t="shared" ca="1" si="330"/>
        <v>4</v>
      </c>
      <c r="E668">
        <f ca="1">IF($C668=1,OFFSET(E668,-1,0)+MAX(1,COUNTIF(QCI!$A$13:$A$24,OFFSET(ORÇAMENTO!E668,-1,0))),OFFSET(E668,-1,0))</f>
        <v>1</v>
      </c>
      <c r="F668">
        <f t="shared" ca="1" si="331"/>
        <v>21</v>
      </c>
      <c r="G668">
        <f t="shared" ca="1" si="332"/>
        <v>0</v>
      </c>
      <c r="H668">
        <f t="shared" ca="1" si="333"/>
        <v>0</v>
      </c>
      <c r="I668">
        <f t="shared" ca="1" si="334"/>
        <v>0</v>
      </c>
      <c r="J668">
        <f t="shared" ca="1" si="352"/>
        <v>34</v>
      </c>
      <c r="K668">
        <f ca="1">IF(OR($C668="S",$C668=0),0,MATCH(OFFSET($D668,0,$C668)+IF($C668&lt;&gt;1,1,COUNTIF(QCI!$A$13:$A$24,ORÇAMENTO!E668)),OFFSET($D668,1,$C668,ROW($C$710)-ROW($C668)),0))</f>
        <v>4</v>
      </c>
      <c r="L668" s="143" t="str">
        <f t="shared" ca="1" si="335"/>
        <v>F</v>
      </c>
      <c r="M668" s="144" t="s">
        <v>198</v>
      </c>
      <c r="N668" s="145" t="str">
        <f t="shared" ca="1" si="336"/>
        <v>Nível 2</v>
      </c>
      <c r="O668" s="146" t="str">
        <f t="shared" ca="1" si="337"/>
        <v>1.21.</v>
      </c>
      <c r="P668" s="147" t="s">
        <v>249</v>
      </c>
      <c r="Q668" s="148"/>
      <c r="R668" s="149" t="s">
        <v>561</v>
      </c>
      <c r="S668" s="150" t="s">
        <v>168</v>
      </c>
      <c r="T668" s="151">
        <f ca="1">OFFSET(CÁLCULO!H$15,ROW($T668)-ROW(T$15),0)</f>
        <v>0</v>
      </c>
      <c r="U668" s="152"/>
      <c r="V668" s="153" t="s">
        <v>158</v>
      </c>
      <c r="W668" s="151">
        <f t="shared" ca="1" si="338"/>
        <v>0</v>
      </c>
      <c r="X668" s="154">
        <f t="shared" ca="1" si="339"/>
        <v>0</v>
      </c>
      <c r="Y668" s="155" t="s">
        <v>583</v>
      </c>
      <c r="Z668" t="str">
        <f t="shared" ca="1" si="340"/>
        <v/>
      </c>
      <c r="AA668" s="156">
        <f ca="1">IF($C668="S",IF($Z668="CP",$X668,IF($Z668="RA",(($X668)*QCI!$AA$3),0)),SomaAgrup)</f>
        <v>0</v>
      </c>
      <c r="AB668" s="157">
        <f t="shared" ca="1" si="341"/>
        <v>0</v>
      </c>
      <c r="AC668" s="158" t="str">
        <f t="shared" ca="1" si="342"/>
        <v/>
      </c>
      <c r="AD668" s="104">
        <f ca="1">IF(C668&lt;=CRONO.NivelExibicao,MAX($AD$15:OFFSET(AD668,-1,0))+IF($C668&lt;&gt;1,1,MAX(1,COUNTIF(QCI!$A$13:$A$24,OFFSET($E668,-1,0)))),"")</f>
        <v>22</v>
      </c>
      <c r="AE668" s="114" t="b">
        <f t="shared" ca="1" si="343"/>
        <v>0</v>
      </c>
      <c r="AF668" s="159" t="str">
        <f t="shared" ca="1" si="344"/>
        <v>(abra o arquivo 'Referência 05-2024.xls)</v>
      </c>
      <c r="AG668" s="579">
        <f t="shared" ca="1" si="345"/>
        <v>0</v>
      </c>
      <c r="AH668" s="580">
        <f t="shared" ca="1" si="346"/>
        <v>0.22470000000000001</v>
      </c>
      <c r="AJ668" s="582"/>
      <c r="AL668" s="612"/>
      <c r="AM668" s="430">
        <f t="shared" ca="1" si="347"/>
        <v>0</v>
      </c>
      <c r="AN668" s="655">
        <f t="shared" ca="1" si="348"/>
        <v>0</v>
      </c>
    </row>
    <row r="669" spans="1:40" ht="13.8" x14ac:dyDescent="0.3">
      <c r="A669" t="str">
        <f t="shared" si="327"/>
        <v>S</v>
      </c>
      <c r="B669">
        <f t="shared" ca="1" si="328"/>
        <v>2</v>
      </c>
      <c r="C669" t="str">
        <f t="shared" ca="1" si="329"/>
        <v>S</v>
      </c>
      <c r="D669">
        <f t="shared" ca="1" si="330"/>
        <v>0</v>
      </c>
      <c r="E669">
        <f ca="1">IF($C669=1,OFFSET(E669,-1,0)+MAX(1,COUNTIF(QCI!$A$13:$A$24,OFFSET(ORÇAMENTO!E669,-1,0))),OFFSET(E669,-1,0))</f>
        <v>1</v>
      </c>
      <c r="F669">
        <f t="shared" ca="1" si="331"/>
        <v>21</v>
      </c>
      <c r="G669">
        <f t="shared" ca="1" si="332"/>
        <v>0</v>
      </c>
      <c r="H669">
        <f t="shared" ca="1" si="333"/>
        <v>0</v>
      </c>
      <c r="I669">
        <f t="shared" ca="1" si="334"/>
        <v>0</v>
      </c>
      <c r="J669">
        <f t="shared" ca="1" si="352"/>
        <v>0</v>
      </c>
      <c r="K669">
        <f ca="1">IF(OR($C669="S",$C669=0),0,MATCH(OFFSET($D669,0,$C669)+IF($C669&lt;&gt;1,1,COUNTIF(QCI!$A$13:$A$24,ORÇAMENTO!E669)),OFFSET($D669,1,$C669,ROW($C$710)-ROW($C669)),0))</f>
        <v>0</v>
      </c>
      <c r="L669" s="143" t="str">
        <f t="shared" ca="1" si="335"/>
        <v/>
      </c>
      <c r="M669" s="144" t="s">
        <v>201</v>
      </c>
      <c r="N669" s="145" t="str">
        <f t="shared" ca="1" si="336"/>
        <v>Serviço</v>
      </c>
      <c r="O669" s="146" t="str">
        <f t="shared" ca="1" si="337"/>
        <v>-</v>
      </c>
      <c r="P669" s="147" t="s">
        <v>578</v>
      </c>
      <c r="Q669" s="148">
        <v>17010012</v>
      </c>
      <c r="R669" s="149" t="str">
        <f ca="1">IF($C669="S",REFERENCIA.Descricao,"(digite a descrição aqui)")</f>
        <v>(abra o arquivo 'Referência 05-2024.xls)</v>
      </c>
      <c r="S669" s="150" t="str">
        <f ca="1">REFERENCIA.Unidade</f>
        <v>-</v>
      </c>
      <c r="T669" s="151">
        <f ca="1">OFFSET(CÁLCULO!H$15,ROW($T669)-ROW(T$15),0)</f>
        <v>1</v>
      </c>
      <c r="U669" s="152">
        <f t="shared" ca="1" si="351"/>
        <v>0</v>
      </c>
      <c r="V669" s="153" t="s">
        <v>193</v>
      </c>
      <c r="W669" s="151">
        <f t="shared" ca="1" si="338"/>
        <v>0</v>
      </c>
      <c r="X669" s="154">
        <f t="shared" ca="1" si="339"/>
        <v>0</v>
      </c>
      <c r="Y669" s="155" t="s">
        <v>583</v>
      </c>
      <c r="Z669" t="str">
        <f t="shared" ca="1" si="340"/>
        <v/>
      </c>
      <c r="AA669" s="156">
        <f ca="1">IF($C669="S",IF($Z669="CP",$X669,IF($Z669="RA",(($X669)*QCI!$AA$3),0)),SomaAgrup)</f>
        <v>0</v>
      </c>
      <c r="AB669" s="157">
        <f t="shared" ca="1" si="341"/>
        <v>0</v>
      </c>
      <c r="AC669" s="158" t="str">
        <f t="shared" ca="1" si="342"/>
        <v/>
      </c>
      <c r="AD669" s="104" t="str">
        <f ca="1">IF(C669&lt;=CRONO.NivelExibicao,MAX($AD$15:OFFSET(AD669,-1,0))+IF($C669&lt;&gt;1,1,MAX(1,COUNTIF(QCI!$A$13:$A$24,OFFSET($E669,-1,0)))),"")</f>
        <v/>
      </c>
      <c r="AE669" s="114" t="str">
        <f t="shared" ca="1" si="343"/>
        <v>SIURB 17010012</v>
      </c>
      <c r="AF669" s="159" t="str">
        <f t="shared" ca="1" si="344"/>
        <v>(abra o arquivo 'Referência 05-2024.xls)</v>
      </c>
      <c r="AG669" s="579">
        <f t="shared" ca="1" si="345"/>
        <v>0</v>
      </c>
      <c r="AH669" s="580">
        <f t="shared" ca="1" si="346"/>
        <v>0.16800000000000001</v>
      </c>
      <c r="AJ669" s="582">
        <v>1</v>
      </c>
      <c r="AL669" s="612"/>
      <c r="AM669" s="430">
        <f t="shared" ca="1" si="347"/>
        <v>0</v>
      </c>
      <c r="AN669" s="655">
        <f t="shared" ca="1" si="348"/>
        <v>0</v>
      </c>
    </row>
    <row r="670" spans="1:40" ht="13.8" x14ac:dyDescent="0.3">
      <c r="A670" t="str">
        <f t="shared" si="327"/>
        <v>S</v>
      </c>
      <c r="B670">
        <f t="shared" ca="1" si="328"/>
        <v>2</v>
      </c>
      <c r="C670" t="str">
        <f t="shared" ca="1" si="329"/>
        <v>S</v>
      </c>
      <c r="D670">
        <f t="shared" ca="1" si="330"/>
        <v>0</v>
      </c>
      <c r="E670">
        <f ca="1">IF($C670=1,OFFSET(E670,-1,0)+MAX(1,COUNTIF(QCI!$A$13:$A$24,OFFSET(ORÇAMENTO!E670,-1,0))),OFFSET(E670,-1,0))</f>
        <v>1</v>
      </c>
      <c r="F670">
        <f t="shared" ca="1" si="331"/>
        <v>21</v>
      </c>
      <c r="G670">
        <f t="shared" ca="1" si="332"/>
        <v>0</v>
      </c>
      <c r="H670">
        <f t="shared" ca="1" si="333"/>
        <v>0</v>
      </c>
      <c r="I670">
        <f t="shared" ca="1" si="334"/>
        <v>0</v>
      </c>
      <c r="J670">
        <f t="shared" ca="1" si="352"/>
        <v>0</v>
      </c>
      <c r="K670">
        <f ca="1">IF(OR($C670="S",$C670=0),0,MATCH(OFFSET($D670,0,$C670)+IF($C670&lt;&gt;1,1,COUNTIF(QCI!$A$13:$A$24,ORÇAMENTO!E670)),OFFSET($D670,1,$C670,ROW($C$710)-ROW($C670)),0))</f>
        <v>0</v>
      </c>
      <c r="L670" s="143" t="str">
        <f t="shared" ca="1" si="335"/>
        <v/>
      </c>
      <c r="M670" s="144" t="s">
        <v>201</v>
      </c>
      <c r="N670" s="145" t="str">
        <f t="shared" ca="1" si="336"/>
        <v>Serviço</v>
      </c>
      <c r="O670" s="146" t="str">
        <f t="shared" ca="1" si="337"/>
        <v>-</v>
      </c>
      <c r="P670" s="147" t="s">
        <v>578</v>
      </c>
      <c r="Q670" s="148">
        <v>17010018</v>
      </c>
      <c r="R670" s="149" t="str">
        <f ca="1">IF($C670="S",REFERENCIA.Descricao,"(digite a descrição aqui)")</f>
        <v>(abra o arquivo 'Referência 05-2024.xls)</v>
      </c>
      <c r="S670" s="150" t="str">
        <f ca="1">REFERENCIA.Unidade</f>
        <v>-</v>
      </c>
      <c r="T670" s="151">
        <f ca="1">OFFSET(CÁLCULO!H$15,ROW($T670)-ROW(T$15),0)</f>
        <v>6</v>
      </c>
      <c r="U670" s="152">
        <f t="shared" ca="1" si="351"/>
        <v>0</v>
      </c>
      <c r="V670" s="153" t="s">
        <v>158</v>
      </c>
      <c r="W670" s="151">
        <f t="shared" ca="1" si="338"/>
        <v>0</v>
      </c>
      <c r="X670" s="154">
        <f t="shared" ca="1" si="339"/>
        <v>0</v>
      </c>
      <c r="Y670" s="155" t="s">
        <v>583</v>
      </c>
      <c r="Z670" t="str">
        <f t="shared" ca="1" si="340"/>
        <v/>
      </c>
      <c r="AA670" s="156">
        <f ca="1">IF($C670="S",IF($Z670="CP",$X670,IF($Z670="RA",(($X670)*QCI!$AA$3),0)),SomaAgrup)</f>
        <v>0</v>
      </c>
      <c r="AB670" s="157">
        <f t="shared" ca="1" si="341"/>
        <v>0</v>
      </c>
      <c r="AC670" s="158" t="str">
        <f t="shared" ca="1" si="342"/>
        <v/>
      </c>
      <c r="AD670" s="104" t="str">
        <f ca="1">IF(C670&lt;=CRONO.NivelExibicao,MAX($AD$15:OFFSET(AD670,-1,0))+IF($C670&lt;&gt;1,1,MAX(1,COUNTIF(QCI!$A$13:$A$24,OFFSET($E670,-1,0)))),"")</f>
        <v/>
      </c>
      <c r="AE670" s="114" t="str">
        <f t="shared" ca="1" si="343"/>
        <v>SIURB 17010018</v>
      </c>
      <c r="AF670" s="159" t="str">
        <f t="shared" ca="1" si="344"/>
        <v>(abra o arquivo 'Referência 05-2024.xls)</v>
      </c>
      <c r="AG670" s="579">
        <f t="shared" ca="1" si="345"/>
        <v>0</v>
      </c>
      <c r="AH670" s="580">
        <f t="shared" ca="1" si="346"/>
        <v>0.22470000000000001</v>
      </c>
      <c r="AJ670" s="582">
        <v>6</v>
      </c>
      <c r="AL670" s="612"/>
      <c r="AM670" s="430">
        <f t="shared" ca="1" si="347"/>
        <v>0</v>
      </c>
      <c r="AN670" s="655">
        <f t="shared" ca="1" si="348"/>
        <v>0</v>
      </c>
    </row>
    <row r="671" spans="1:40" ht="13.8" x14ac:dyDescent="0.3">
      <c r="A671" t="str">
        <f t="shared" si="327"/>
        <v>S</v>
      </c>
      <c r="B671">
        <f t="shared" ca="1" si="328"/>
        <v>2</v>
      </c>
      <c r="C671" t="str">
        <f t="shared" ca="1" si="329"/>
        <v>S</v>
      </c>
      <c r="D671">
        <f t="shared" ca="1" si="330"/>
        <v>0</v>
      </c>
      <c r="E671">
        <f ca="1">IF($C671=1,OFFSET(E671,-1,0)+MAX(1,COUNTIF(QCI!$A$13:$A$24,OFFSET(ORÇAMENTO!E671,-1,0))),OFFSET(E671,-1,0))</f>
        <v>1</v>
      </c>
      <c r="F671">
        <f t="shared" ca="1" si="331"/>
        <v>21</v>
      </c>
      <c r="G671">
        <f t="shared" ca="1" si="332"/>
        <v>0</v>
      </c>
      <c r="H671">
        <f t="shared" ca="1" si="333"/>
        <v>0</v>
      </c>
      <c r="I671">
        <f t="shared" ca="1" si="334"/>
        <v>0</v>
      </c>
      <c r="J671">
        <f t="shared" ca="1" si="352"/>
        <v>0</v>
      </c>
      <c r="K671">
        <f ca="1">IF(OR($C671="S",$C671=0),0,MATCH(OFFSET($D671,0,$C671)+IF($C671&lt;&gt;1,1,COUNTIF(QCI!$A$13:$A$24,ORÇAMENTO!E671)),OFFSET($D671,1,$C671,ROW($C$710)-ROW($C671)),0))</f>
        <v>0</v>
      </c>
      <c r="L671" s="143" t="str">
        <f t="shared" ca="1" si="335"/>
        <v/>
      </c>
      <c r="M671" s="144" t="s">
        <v>201</v>
      </c>
      <c r="N671" s="145" t="str">
        <f t="shared" ca="1" si="336"/>
        <v>Serviço</v>
      </c>
      <c r="O671" s="146" t="str">
        <f t="shared" ca="1" si="337"/>
        <v>-</v>
      </c>
      <c r="P671" s="147" t="s">
        <v>578</v>
      </c>
      <c r="Q671" s="148">
        <v>17010025</v>
      </c>
      <c r="R671" s="149" t="str">
        <f ca="1">IF($C671="S",REFERENCIA.Descricao,"(digite a descrição aqui)")</f>
        <v>(abra o arquivo 'Referência 05-2024.xls)</v>
      </c>
      <c r="S671" s="150" t="str">
        <f ca="1">REFERENCIA.Unidade</f>
        <v>-</v>
      </c>
      <c r="T671" s="151">
        <f ca="1">OFFSET(CÁLCULO!H$15,ROW($T671)-ROW(T$15),0)</f>
        <v>1</v>
      </c>
      <c r="U671" s="152">
        <f t="shared" ca="1" si="351"/>
        <v>0</v>
      </c>
      <c r="V671" s="153" t="s">
        <v>193</v>
      </c>
      <c r="W671" s="151">
        <f t="shared" ca="1" si="338"/>
        <v>0</v>
      </c>
      <c r="X671" s="154">
        <f t="shared" ca="1" si="339"/>
        <v>0</v>
      </c>
      <c r="Y671" s="155" t="s">
        <v>583</v>
      </c>
      <c r="Z671" t="str">
        <f t="shared" ca="1" si="340"/>
        <v/>
      </c>
      <c r="AA671" s="156">
        <f ca="1">IF($C671="S",IF($Z671="CP",$X671,IF($Z671="RA",(($X671)*QCI!$AA$3),0)),SomaAgrup)</f>
        <v>0</v>
      </c>
      <c r="AB671" s="157">
        <f t="shared" ca="1" si="341"/>
        <v>0</v>
      </c>
      <c r="AC671" s="158" t="str">
        <f t="shared" ca="1" si="342"/>
        <v/>
      </c>
      <c r="AD671" s="104" t="str">
        <f ca="1">IF(C671&lt;=CRONO.NivelExibicao,MAX($AD$15:OFFSET(AD671,-1,0))+IF($C671&lt;&gt;1,1,MAX(1,COUNTIF(QCI!$A$13:$A$24,OFFSET($E671,-1,0)))),"")</f>
        <v/>
      </c>
      <c r="AE671" s="114" t="str">
        <f t="shared" ca="1" si="343"/>
        <v>SIURB 17010025</v>
      </c>
      <c r="AF671" s="159" t="str">
        <f t="shared" ca="1" si="344"/>
        <v>(abra o arquivo 'Referência 05-2024.xls)</v>
      </c>
      <c r="AG671" s="579">
        <f t="shared" ca="1" si="345"/>
        <v>0</v>
      </c>
      <c r="AH671" s="580">
        <f t="shared" ca="1" si="346"/>
        <v>0.16800000000000001</v>
      </c>
      <c r="AJ671" s="582">
        <v>1</v>
      </c>
      <c r="AL671" s="612"/>
      <c r="AM671" s="430">
        <f t="shared" ca="1" si="347"/>
        <v>0</v>
      </c>
      <c r="AN671" s="655">
        <f t="shared" ca="1" si="348"/>
        <v>0</v>
      </c>
    </row>
    <row r="672" spans="1:40" ht="13.8" x14ac:dyDescent="0.3">
      <c r="A672">
        <f t="shared" si="327"/>
        <v>2</v>
      </c>
      <c r="B672">
        <f t="shared" ca="1" si="328"/>
        <v>2</v>
      </c>
      <c r="C672">
        <f t="shared" ca="1" si="329"/>
        <v>2</v>
      </c>
      <c r="D672">
        <f t="shared" ca="1" si="330"/>
        <v>16</v>
      </c>
      <c r="E672">
        <f ca="1">IF($C672=1,OFFSET(E672,-1,0)+MAX(1,COUNTIF(QCI!$A$13:$A$24,OFFSET(ORÇAMENTO!E672,-1,0))),OFFSET(E672,-1,0))</f>
        <v>1</v>
      </c>
      <c r="F672">
        <f t="shared" ca="1" si="331"/>
        <v>22</v>
      </c>
      <c r="G672">
        <f t="shared" ca="1" si="332"/>
        <v>0</v>
      </c>
      <c r="H672">
        <f t="shared" ca="1" si="333"/>
        <v>0</v>
      </c>
      <c r="I672">
        <f t="shared" ca="1" si="334"/>
        <v>0</v>
      </c>
      <c r="J672">
        <f t="shared" ca="1" si="352"/>
        <v>30</v>
      </c>
      <c r="K672">
        <f ca="1">IF(OR($C672="S",$C672=0),0,MATCH(OFFSET($D672,0,$C672)+IF($C672&lt;&gt;1,1,COUNTIF(QCI!$A$13:$A$24,ORÇAMENTO!E672)),OFFSET($D672,1,$C672,ROW($C$710)-ROW($C672)),0))</f>
        <v>16</v>
      </c>
      <c r="L672" s="143" t="str">
        <f t="shared" ca="1" si="335"/>
        <v>F</v>
      </c>
      <c r="M672" s="144" t="s">
        <v>198</v>
      </c>
      <c r="N672" s="145" t="str">
        <f t="shared" ca="1" si="336"/>
        <v>Nível 2</v>
      </c>
      <c r="O672" s="146" t="str">
        <f t="shared" ca="1" si="337"/>
        <v>1.22.</v>
      </c>
      <c r="P672" s="147" t="s">
        <v>249</v>
      </c>
      <c r="Q672" s="148"/>
      <c r="R672" s="149" t="s">
        <v>562</v>
      </c>
      <c r="S672" s="150" t="s">
        <v>168</v>
      </c>
      <c r="T672" s="151">
        <f ca="1">OFFSET(CÁLCULO!H$15,ROW($T672)-ROW(T$15),0)</f>
        <v>0</v>
      </c>
      <c r="U672" s="152">
        <f t="shared" ca="1" si="351"/>
        <v>0</v>
      </c>
      <c r="V672" s="153" t="s">
        <v>158</v>
      </c>
      <c r="W672" s="151">
        <f t="shared" ca="1" si="338"/>
        <v>0</v>
      </c>
      <c r="X672" s="154">
        <f t="shared" ca="1" si="339"/>
        <v>0</v>
      </c>
      <c r="Y672" s="155" t="s">
        <v>583</v>
      </c>
      <c r="Z672" t="str">
        <f t="shared" ca="1" si="340"/>
        <v/>
      </c>
      <c r="AA672" s="156">
        <f ca="1">IF($C672="S",IF($Z672="CP",$X672,IF($Z672="RA",(($X672)*QCI!$AA$3),0)),SomaAgrup)</f>
        <v>0</v>
      </c>
      <c r="AB672" s="157">
        <f t="shared" ca="1" si="341"/>
        <v>0</v>
      </c>
      <c r="AC672" s="158" t="str">
        <f t="shared" ca="1" si="342"/>
        <v/>
      </c>
      <c r="AD672" s="104">
        <f ca="1">IF(C672&lt;=CRONO.NivelExibicao,MAX($AD$15:OFFSET(AD672,-1,0))+IF($C672&lt;&gt;1,1,MAX(1,COUNTIF(QCI!$A$13:$A$24,OFFSET($E672,-1,0)))),"")</f>
        <v>23</v>
      </c>
      <c r="AE672" s="114" t="b">
        <f t="shared" ca="1" si="343"/>
        <v>0</v>
      </c>
      <c r="AF672" s="159" t="str">
        <f t="shared" ca="1" si="344"/>
        <v>(abra o arquivo 'Referência 05-2024.xls)</v>
      </c>
      <c r="AG672" s="579">
        <f t="shared" ca="1" si="345"/>
        <v>0</v>
      </c>
      <c r="AH672" s="580">
        <f t="shared" ca="1" si="346"/>
        <v>0.22470000000000001</v>
      </c>
      <c r="AJ672" s="582"/>
      <c r="AL672" s="612"/>
      <c r="AM672" s="430">
        <f t="shared" ca="1" si="347"/>
        <v>0</v>
      </c>
      <c r="AN672" s="655">
        <f t="shared" ca="1" si="348"/>
        <v>0</v>
      </c>
    </row>
    <row r="673" spans="1:40" ht="13.8" x14ac:dyDescent="0.3">
      <c r="A673" t="str">
        <f t="shared" si="327"/>
        <v>S</v>
      </c>
      <c r="B673">
        <f t="shared" ca="1" si="328"/>
        <v>2</v>
      </c>
      <c r="C673" t="str">
        <f t="shared" ca="1" si="329"/>
        <v>S</v>
      </c>
      <c r="D673">
        <f t="shared" ca="1" si="330"/>
        <v>0</v>
      </c>
      <c r="E673">
        <f ca="1">IF($C673=1,OFFSET(E673,-1,0)+MAX(1,COUNTIF(QCI!$A$13:$A$24,OFFSET(ORÇAMENTO!E673,-1,0))),OFFSET(E673,-1,0))</f>
        <v>1</v>
      </c>
      <c r="F673">
        <f t="shared" ca="1" si="331"/>
        <v>22</v>
      </c>
      <c r="G673">
        <f t="shared" ca="1" si="332"/>
        <v>0</v>
      </c>
      <c r="H673">
        <f t="shared" ca="1" si="333"/>
        <v>0</v>
      </c>
      <c r="I673">
        <f t="shared" ca="1" si="334"/>
        <v>0</v>
      </c>
      <c r="J673">
        <f t="shared" ca="1" si="352"/>
        <v>0</v>
      </c>
      <c r="K673">
        <f ca="1">IF(OR($C673="S",$C673=0),0,MATCH(OFFSET($D673,0,$C673)+IF($C673&lt;&gt;1,1,COUNTIF(QCI!$A$13:$A$24,ORÇAMENTO!E673)),OFFSET($D673,1,$C673,ROW($C$710)-ROW($C673)),0))</f>
        <v>0</v>
      </c>
      <c r="L673" s="143" t="str">
        <f t="shared" ca="1" si="335"/>
        <v/>
      </c>
      <c r="M673" s="144" t="s">
        <v>201</v>
      </c>
      <c r="N673" s="145" t="str">
        <f t="shared" ca="1" si="336"/>
        <v>Serviço</v>
      </c>
      <c r="O673" s="146" t="str">
        <f t="shared" ca="1" si="337"/>
        <v>-</v>
      </c>
      <c r="P673" s="147" t="s">
        <v>249</v>
      </c>
      <c r="Q673" s="148">
        <v>96989</v>
      </c>
      <c r="R673" s="149" t="str">
        <f t="shared" ref="R673:R687" ca="1" si="355">IF($C673="S",REFERENCIA.Descricao,"(digite a descrição aqui)")</f>
        <v>(abra o arquivo 'Referência 05-2024.xls)</v>
      </c>
      <c r="S673" s="150" t="str">
        <f t="shared" ref="S673:S687" ca="1" si="356">REFERENCIA.Unidade</f>
        <v>-</v>
      </c>
      <c r="T673" s="151">
        <f ca="1">OFFSET(CÁLCULO!H$15,ROW($T673)-ROW(T$15),0)</f>
        <v>1</v>
      </c>
      <c r="U673" s="152">
        <f t="shared" ca="1" si="351"/>
        <v>0</v>
      </c>
      <c r="V673" s="153" t="s">
        <v>158</v>
      </c>
      <c r="W673" s="151">
        <f t="shared" ca="1" si="338"/>
        <v>0</v>
      </c>
      <c r="X673" s="154">
        <f t="shared" ca="1" si="339"/>
        <v>0</v>
      </c>
      <c r="Y673" s="155" t="s">
        <v>583</v>
      </c>
      <c r="Z673" t="str">
        <f t="shared" ca="1" si="340"/>
        <v/>
      </c>
      <c r="AA673" s="156">
        <f ca="1">IF($C673="S",IF($Z673="CP",$X673,IF($Z673="RA",(($X673)*QCI!$AA$3),0)),SomaAgrup)</f>
        <v>0</v>
      </c>
      <c r="AB673" s="157">
        <f t="shared" ca="1" si="341"/>
        <v>0</v>
      </c>
      <c r="AC673" s="158" t="str">
        <f t="shared" ca="1" si="342"/>
        <v/>
      </c>
      <c r="AD673" s="104" t="str">
        <f ca="1">IF(C673&lt;=CRONO.NivelExibicao,MAX($AD$15:OFFSET(AD673,-1,0))+IF($C673&lt;&gt;1,1,MAX(1,COUNTIF(QCI!$A$13:$A$24,OFFSET($E673,-1,0)))),"")</f>
        <v/>
      </c>
      <c r="AE673" s="114" t="str">
        <f t="shared" ca="1" si="343"/>
        <v>SINAPI 96989</v>
      </c>
      <c r="AF673" s="159" t="str">
        <f t="shared" ca="1" si="344"/>
        <v>(abra o arquivo 'Referência 05-2024.xls)</v>
      </c>
      <c r="AG673" s="579">
        <f t="shared" ca="1" si="345"/>
        <v>0</v>
      </c>
      <c r="AH673" s="580">
        <f t="shared" ca="1" si="346"/>
        <v>0.22470000000000001</v>
      </c>
      <c r="AJ673" s="582">
        <v>1</v>
      </c>
      <c r="AL673" s="612"/>
      <c r="AM673" s="430">
        <f t="shared" ca="1" si="347"/>
        <v>0</v>
      </c>
      <c r="AN673" s="655">
        <f t="shared" ca="1" si="348"/>
        <v>0</v>
      </c>
    </row>
    <row r="674" spans="1:40" ht="13.8" x14ac:dyDescent="0.3">
      <c r="A674" t="str">
        <f t="shared" si="327"/>
        <v>S</v>
      </c>
      <c r="B674">
        <f t="shared" ca="1" si="328"/>
        <v>2</v>
      </c>
      <c r="C674" t="str">
        <f t="shared" ca="1" si="329"/>
        <v>S</v>
      </c>
      <c r="D674">
        <f t="shared" ca="1" si="330"/>
        <v>0</v>
      </c>
      <c r="E674">
        <f ca="1">IF($C674=1,OFFSET(E674,-1,0)+MAX(1,COUNTIF(QCI!$A$13:$A$24,OFFSET(ORÇAMENTO!E674,-1,0))),OFFSET(E674,-1,0))</f>
        <v>1</v>
      </c>
      <c r="F674">
        <f t="shared" ca="1" si="331"/>
        <v>22</v>
      </c>
      <c r="G674">
        <f t="shared" ca="1" si="332"/>
        <v>0</v>
      </c>
      <c r="H674">
        <f t="shared" ca="1" si="333"/>
        <v>0</v>
      </c>
      <c r="I674">
        <f t="shared" ca="1" si="334"/>
        <v>0</v>
      </c>
      <c r="J674">
        <f t="shared" ca="1" si="352"/>
        <v>0</v>
      </c>
      <c r="K674">
        <f ca="1">IF(OR($C674="S",$C674=0),0,MATCH(OFFSET($D674,0,$C674)+IF($C674&lt;&gt;1,1,COUNTIF(QCI!$A$13:$A$24,ORÇAMENTO!E674)),OFFSET($D674,1,$C674,ROW($C$710)-ROW($C674)),0))</f>
        <v>0</v>
      </c>
      <c r="L674" s="143" t="str">
        <f t="shared" ca="1" si="335"/>
        <v/>
      </c>
      <c r="M674" s="144" t="s">
        <v>201</v>
      </c>
      <c r="N674" s="145" t="str">
        <f t="shared" ca="1" si="336"/>
        <v>Serviço</v>
      </c>
      <c r="O674" s="146" t="str">
        <f t="shared" ca="1" si="337"/>
        <v>-</v>
      </c>
      <c r="P674" s="147" t="s">
        <v>578</v>
      </c>
      <c r="Q674" s="148">
        <v>9011102</v>
      </c>
      <c r="R674" s="149" t="str">
        <f t="shared" ca="1" si="355"/>
        <v>(abra o arquivo 'Referência 05-2024.xls)</v>
      </c>
      <c r="S674" s="150" t="str">
        <f t="shared" ca="1" si="356"/>
        <v>-</v>
      </c>
      <c r="T674" s="151">
        <f ca="1">OFFSET(CÁLCULO!H$15,ROW($T674)-ROW(T$15),0)</f>
        <v>45</v>
      </c>
      <c r="U674" s="152">
        <f t="shared" ca="1" si="351"/>
        <v>0</v>
      </c>
      <c r="V674" s="153" t="s">
        <v>158</v>
      </c>
      <c r="W674" s="151">
        <f t="shared" ca="1" si="338"/>
        <v>0</v>
      </c>
      <c r="X674" s="154">
        <f t="shared" ca="1" si="339"/>
        <v>0</v>
      </c>
      <c r="Y674" s="155" t="s">
        <v>583</v>
      </c>
      <c r="Z674" t="str">
        <f t="shared" ca="1" si="340"/>
        <v/>
      </c>
      <c r="AA674" s="156">
        <f ca="1">IF($C674="S",IF($Z674="CP",$X674,IF($Z674="RA",(($X674)*QCI!$AA$3),0)),SomaAgrup)</f>
        <v>0</v>
      </c>
      <c r="AB674" s="157">
        <f t="shared" ca="1" si="341"/>
        <v>0</v>
      </c>
      <c r="AC674" s="158" t="str">
        <f t="shared" ca="1" si="342"/>
        <v/>
      </c>
      <c r="AD674" s="104" t="str">
        <f ca="1">IF(C674&lt;=CRONO.NivelExibicao,MAX($AD$15:OFFSET(AD674,-1,0))+IF($C674&lt;&gt;1,1,MAX(1,COUNTIF(QCI!$A$13:$A$24,OFFSET($E674,-1,0)))),"")</f>
        <v/>
      </c>
      <c r="AE674" s="114" t="str">
        <f t="shared" ca="1" si="343"/>
        <v>SIURB 9011102</v>
      </c>
      <c r="AF674" s="159" t="str">
        <f t="shared" ca="1" si="344"/>
        <v>(abra o arquivo 'Referência 05-2024.xls)</v>
      </c>
      <c r="AG674" s="579">
        <f t="shared" ca="1" si="345"/>
        <v>0</v>
      </c>
      <c r="AH674" s="580">
        <f t="shared" ca="1" si="346"/>
        <v>0.22470000000000001</v>
      </c>
      <c r="AJ674" s="582">
        <v>45</v>
      </c>
      <c r="AL674" s="612"/>
      <c r="AM674" s="430">
        <f t="shared" ca="1" si="347"/>
        <v>0</v>
      </c>
      <c r="AN674" s="655">
        <f t="shared" ca="1" si="348"/>
        <v>0</v>
      </c>
    </row>
    <row r="675" spans="1:40" ht="13.8" x14ac:dyDescent="0.3">
      <c r="A675" t="str">
        <f t="shared" si="327"/>
        <v>S</v>
      </c>
      <c r="B675">
        <f t="shared" ca="1" si="328"/>
        <v>2</v>
      </c>
      <c r="C675" t="str">
        <f t="shared" ca="1" si="329"/>
        <v>S</v>
      </c>
      <c r="D675">
        <f t="shared" ca="1" si="330"/>
        <v>0</v>
      </c>
      <c r="E675">
        <f ca="1">IF($C675=1,OFFSET(E675,-1,0)+MAX(1,COUNTIF(QCI!$A$13:$A$24,OFFSET(ORÇAMENTO!E675,-1,0))),OFFSET(E675,-1,0))</f>
        <v>1</v>
      </c>
      <c r="F675">
        <f t="shared" ca="1" si="331"/>
        <v>22</v>
      </c>
      <c r="G675">
        <f t="shared" ca="1" si="332"/>
        <v>0</v>
      </c>
      <c r="H675">
        <f t="shared" ca="1" si="333"/>
        <v>0</v>
      </c>
      <c r="I675">
        <f t="shared" ca="1" si="334"/>
        <v>0</v>
      </c>
      <c r="J675">
        <f t="shared" ca="1" si="352"/>
        <v>0</v>
      </c>
      <c r="K675">
        <f ca="1">IF(OR($C675="S",$C675=0),0,MATCH(OFFSET($D675,0,$C675)+IF($C675&lt;&gt;1,1,COUNTIF(QCI!$A$13:$A$24,ORÇAMENTO!E675)),OFFSET($D675,1,$C675,ROW($C$710)-ROW($C675)),0))</f>
        <v>0</v>
      </c>
      <c r="L675" s="143" t="str">
        <f t="shared" ca="1" si="335"/>
        <v/>
      </c>
      <c r="M675" s="144" t="s">
        <v>201</v>
      </c>
      <c r="N675" s="145" t="str">
        <f t="shared" ca="1" si="336"/>
        <v>Serviço</v>
      </c>
      <c r="O675" s="146" t="str">
        <f t="shared" ca="1" si="337"/>
        <v>-</v>
      </c>
      <c r="P675" s="147" t="s">
        <v>249</v>
      </c>
      <c r="Q675" s="148">
        <v>98463</v>
      </c>
      <c r="R675" s="149" t="str">
        <f t="shared" ca="1" si="355"/>
        <v>(abra o arquivo 'Referência 05-2024.xls)</v>
      </c>
      <c r="S675" s="150" t="str">
        <f t="shared" ca="1" si="356"/>
        <v>-</v>
      </c>
      <c r="T675" s="151">
        <f ca="1">OFFSET(CÁLCULO!H$15,ROW($T675)-ROW(T$15),0)</f>
        <v>25</v>
      </c>
      <c r="U675" s="152">
        <f t="shared" ca="1" si="351"/>
        <v>0</v>
      </c>
      <c r="V675" s="153" t="s">
        <v>158</v>
      </c>
      <c r="W675" s="151">
        <f t="shared" ca="1" si="338"/>
        <v>0</v>
      </c>
      <c r="X675" s="154">
        <f t="shared" ca="1" si="339"/>
        <v>0</v>
      </c>
      <c r="Y675" s="155" t="s">
        <v>583</v>
      </c>
      <c r="Z675" t="str">
        <f t="shared" ca="1" si="340"/>
        <v/>
      </c>
      <c r="AA675" s="156">
        <f ca="1">IF($C675="S",IF($Z675="CP",$X675,IF($Z675="RA",(($X675)*QCI!$AA$3),0)),SomaAgrup)</f>
        <v>0</v>
      </c>
      <c r="AB675" s="157">
        <f t="shared" ca="1" si="341"/>
        <v>0</v>
      </c>
      <c r="AC675" s="158" t="str">
        <f t="shared" ca="1" si="342"/>
        <v/>
      </c>
      <c r="AD675" s="104" t="str">
        <f ca="1">IF(C675&lt;=CRONO.NivelExibicao,MAX($AD$15:OFFSET(AD675,-1,0))+IF($C675&lt;&gt;1,1,MAX(1,COUNTIF(QCI!$A$13:$A$24,OFFSET($E675,-1,0)))),"")</f>
        <v/>
      </c>
      <c r="AE675" s="114" t="str">
        <f t="shared" ca="1" si="343"/>
        <v>SINAPI 98463</v>
      </c>
      <c r="AF675" s="159" t="str">
        <f t="shared" ca="1" si="344"/>
        <v>(abra o arquivo 'Referência 05-2024.xls)</v>
      </c>
      <c r="AG675" s="579">
        <f t="shared" ca="1" si="345"/>
        <v>0</v>
      </c>
      <c r="AH675" s="580">
        <f t="shared" ca="1" si="346"/>
        <v>0.22470000000000001</v>
      </c>
      <c r="AJ675" s="582">
        <v>25</v>
      </c>
      <c r="AL675" s="612"/>
      <c r="AM675" s="430">
        <f t="shared" ca="1" si="347"/>
        <v>0</v>
      </c>
      <c r="AN675" s="655">
        <f t="shared" ca="1" si="348"/>
        <v>0</v>
      </c>
    </row>
    <row r="676" spans="1:40" ht="13.8" x14ac:dyDescent="0.3">
      <c r="A676" t="str">
        <f t="shared" si="327"/>
        <v>S</v>
      </c>
      <c r="B676">
        <f t="shared" ca="1" si="328"/>
        <v>2</v>
      </c>
      <c r="C676" t="str">
        <f t="shared" ca="1" si="329"/>
        <v>S</v>
      </c>
      <c r="D676">
        <f t="shared" ca="1" si="330"/>
        <v>0</v>
      </c>
      <c r="E676">
        <f ca="1">IF($C676=1,OFFSET(E676,-1,0)+MAX(1,COUNTIF(QCI!$A$13:$A$24,OFFSET(ORÇAMENTO!E676,-1,0))),OFFSET(E676,-1,0))</f>
        <v>1</v>
      </c>
      <c r="F676">
        <f t="shared" ca="1" si="331"/>
        <v>22</v>
      </c>
      <c r="G676">
        <f t="shared" ca="1" si="332"/>
        <v>0</v>
      </c>
      <c r="H676">
        <f t="shared" ca="1" si="333"/>
        <v>0</v>
      </c>
      <c r="I676">
        <f t="shared" ca="1" si="334"/>
        <v>0</v>
      </c>
      <c r="J676">
        <f t="shared" ca="1" si="352"/>
        <v>0</v>
      </c>
      <c r="K676">
        <f ca="1">IF(OR($C676="S",$C676=0),0,MATCH(OFFSET($D676,0,$C676)+IF($C676&lt;&gt;1,1,COUNTIF(QCI!$A$13:$A$24,ORÇAMENTO!E676)),OFFSET($D676,1,$C676,ROW($C$710)-ROW($C676)),0))</f>
        <v>0</v>
      </c>
      <c r="L676" s="143" t="str">
        <f t="shared" ca="1" si="335"/>
        <v/>
      </c>
      <c r="M676" s="144" t="s">
        <v>201</v>
      </c>
      <c r="N676" s="145" t="str">
        <f t="shared" ca="1" si="336"/>
        <v>Serviço</v>
      </c>
      <c r="O676" s="146" t="str">
        <f t="shared" ca="1" si="337"/>
        <v>-</v>
      </c>
      <c r="P676" s="147" t="s">
        <v>249</v>
      </c>
      <c r="Q676" s="148">
        <v>101663</v>
      </c>
      <c r="R676" s="149" t="str">
        <f t="shared" ca="1" si="355"/>
        <v>(abra o arquivo 'Referência 05-2024.xls)</v>
      </c>
      <c r="S676" s="150" t="str">
        <f t="shared" ca="1" si="356"/>
        <v>-</v>
      </c>
      <c r="T676" s="151">
        <f ca="1">OFFSET(CÁLCULO!H$15,ROW($T676)-ROW(T$15),0)</f>
        <v>6</v>
      </c>
      <c r="U676" s="152">
        <f t="shared" ca="1" si="351"/>
        <v>0</v>
      </c>
      <c r="V676" s="153" t="s">
        <v>158</v>
      </c>
      <c r="W676" s="151">
        <f t="shared" ca="1" si="338"/>
        <v>0</v>
      </c>
      <c r="X676" s="154">
        <f t="shared" ca="1" si="339"/>
        <v>0</v>
      </c>
      <c r="Y676" s="155" t="s">
        <v>583</v>
      </c>
      <c r="Z676" t="str">
        <f t="shared" ca="1" si="340"/>
        <v/>
      </c>
      <c r="AA676" s="156">
        <f ca="1">IF($C676="S",IF($Z676="CP",$X676,IF($Z676="RA",(($X676)*QCI!$AA$3),0)),SomaAgrup)</f>
        <v>0</v>
      </c>
      <c r="AB676" s="157">
        <f t="shared" ca="1" si="341"/>
        <v>0</v>
      </c>
      <c r="AC676" s="158" t="str">
        <f t="shared" ca="1" si="342"/>
        <v/>
      </c>
      <c r="AD676" s="104" t="str">
        <f ca="1">IF(C676&lt;=CRONO.NivelExibicao,MAX($AD$15:OFFSET(AD676,-1,0))+IF($C676&lt;&gt;1,1,MAX(1,COUNTIF(QCI!$A$13:$A$24,OFFSET($E676,-1,0)))),"")</f>
        <v/>
      </c>
      <c r="AE676" s="114" t="str">
        <f t="shared" ca="1" si="343"/>
        <v>SINAPI 101663</v>
      </c>
      <c r="AF676" s="159" t="str">
        <f t="shared" ca="1" si="344"/>
        <v>(abra o arquivo 'Referência 05-2024.xls)</v>
      </c>
      <c r="AG676" s="579">
        <f t="shared" ca="1" si="345"/>
        <v>0</v>
      </c>
      <c r="AH676" s="580">
        <f t="shared" ca="1" si="346"/>
        <v>0.22470000000000001</v>
      </c>
      <c r="AJ676" s="582">
        <v>6</v>
      </c>
      <c r="AL676" s="612"/>
      <c r="AM676" s="430">
        <f t="shared" ca="1" si="347"/>
        <v>0</v>
      </c>
      <c r="AN676" s="655">
        <f t="shared" ca="1" si="348"/>
        <v>0</v>
      </c>
    </row>
    <row r="677" spans="1:40" ht="13.8" x14ac:dyDescent="0.3">
      <c r="A677" t="str">
        <f t="shared" si="327"/>
        <v>S</v>
      </c>
      <c r="B677">
        <f t="shared" ca="1" si="328"/>
        <v>2</v>
      </c>
      <c r="C677" t="str">
        <f t="shared" ca="1" si="329"/>
        <v>S</v>
      </c>
      <c r="D677">
        <f t="shared" ca="1" si="330"/>
        <v>0</v>
      </c>
      <c r="E677">
        <f ca="1">IF($C677=1,OFFSET(E677,-1,0)+MAX(1,COUNTIF(QCI!$A$13:$A$24,OFFSET(ORÇAMENTO!E677,-1,0))),OFFSET(E677,-1,0))</f>
        <v>1</v>
      </c>
      <c r="F677">
        <f t="shared" ca="1" si="331"/>
        <v>22</v>
      </c>
      <c r="G677">
        <f t="shared" ca="1" si="332"/>
        <v>0</v>
      </c>
      <c r="H677">
        <f t="shared" ca="1" si="333"/>
        <v>0</v>
      </c>
      <c r="I677">
        <f t="shared" ca="1" si="334"/>
        <v>0</v>
      </c>
      <c r="J677">
        <f t="shared" ca="1" si="352"/>
        <v>0</v>
      </c>
      <c r="K677">
        <f ca="1">IF(OR($C677="S",$C677=0),0,MATCH(OFFSET($D677,0,$C677)+IF($C677&lt;&gt;1,1,COUNTIF(QCI!$A$13:$A$24,ORÇAMENTO!E677)),OFFSET($D677,1,$C677,ROW($C$710)-ROW($C677)),0))</f>
        <v>0</v>
      </c>
      <c r="L677" s="143" t="str">
        <f t="shared" ca="1" si="335"/>
        <v/>
      </c>
      <c r="M677" s="144" t="s">
        <v>201</v>
      </c>
      <c r="N677" s="145" t="str">
        <f t="shared" ca="1" si="336"/>
        <v>Serviço</v>
      </c>
      <c r="O677" s="146" t="str">
        <f t="shared" ca="1" si="337"/>
        <v>-</v>
      </c>
      <c r="P677" s="147" t="s">
        <v>578</v>
      </c>
      <c r="Q677" s="148">
        <v>9083055</v>
      </c>
      <c r="R677" s="149" t="str">
        <f t="shared" ca="1" si="355"/>
        <v>(abra o arquivo 'Referência 05-2024.xls)</v>
      </c>
      <c r="S677" s="150" t="str">
        <f t="shared" ca="1" si="356"/>
        <v>-</v>
      </c>
      <c r="T677" s="151">
        <f ca="1">OFFSET(CÁLCULO!H$15,ROW($T677)-ROW(T$15),0)</f>
        <v>1</v>
      </c>
      <c r="U677" s="152">
        <f t="shared" ca="1" si="351"/>
        <v>0</v>
      </c>
      <c r="V677" s="153" t="s">
        <v>158</v>
      </c>
      <c r="W677" s="151">
        <f t="shared" ca="1" si="338"/>
        <v>0</v>
      </c>
      <c r="X677" s="154">
        <f t="shared" ca="1" si="339"/>
        <v>0</v>
      </c>
      <c r="Y677" s="155" t="s">
        <v>583</v>
      </c>
      <c r="Z677" t="str">
        <f t="shared" ca="1" si="340"/>
        <v/>
      </c>
      <c r="AA677" s="156">
        <f ca="1">IF($C677="S",IF($Z677="CP",$X677,IF($Z677="RA",(($X677)*QCI!$AA$3),0)),SomaAgrup)</f>
        <v>0</v>
      </c>
      <c r="AB677" s="157">
        <f t="shared" ca="1" si="341"/>
        <v>0</v>
      </c>
      <c r="AC677" s="158" t="str">
        <f t="shared" ca="1" si="342"/>
        <v/>
      </c>
      <c r="AD677" s="104" t="str">
        <f ca="1">IF(C677&lt;=CRONO.NivelExibicao,MAX($AD$15:OFFSET(AD677,-1,0))+IF($C677&lt;&gt;1,1,MAX(1,COUNTIF(QCI!$A$13:$A$24,OFFSET($E677,-1,0)))),"")</f>
        <v/>
      </c>
      <c r="AE677" s="114" t="str">
        <f t="shared" ca="1" si="343"/>
        <v>SIURB 9083055</v>
      </c>
      <c r="AF677" s="159" t="str">
        <f t="shared" ca="1" si="344"/>
        <v>(abra o arquivo 'Referência 05-2024.xls)</v>
      </c>
      <c r="AG677" s="579">
        <f t="shared" ca="1" si="345"/>
        <v>0</v>
      </c>
      <c r="AH677" s="580">
        <f t="shared" ca="1" si="346"/>
        <v>0.22470000000000001</v>
      </c>
      <c r="AJ677" s="582">
        <v>1</v>
      </c>
      <c r="AL677" s="612"/>
      <c r="AM677" s="430">
        <f t="shared" ca="1" si="347"/>
        <v>0</v>
      </c>
      <c r="AN677" s="655">
        <f t="shared" ca="1" si="348"/>
        <v>0</v>
      </c>
    </row>
    <row r="678" spans="1:40" ht="13.8" x14ac:dyDescent="0.3">
      <c r="A678" t="str">
        <f t="shared" si="327"/>
        <v>S</v>
      </c>
      <c r="B678">
        <f t="shared" ca="1" si="328"/>
        <v>2</v>
      </c>
      <c r="C678" t="str">
        <f t="shared" ca="1" si="329"/>
        <v>S</v>
      </c>
      <c r="D678">
        <f t="shared" ca="1" si="330"/>
        <v>0</v>
      </c>
      <c r="E678">
        <f ca="1">IF($C678=1,OFFSET(E678,-1,0)+MAX(1,COUNTIF(QCI!$A$13:$A$24,OFFSET(ORÇAMENTO!E678,-1,0))),OFFSET(E678,-1,0))</f>
        <v>1</v>
      </c>
      <c r="F678">
        <f t="shared" ca="1" si="331"/>
        <v>22</v>
      </c>
      <c r="G678">
        <f t="shared" ca="1" si="332"/>
        <v>0</v>
      </c>
      <c r="H678">
        <f t="shared" ca="1" si="333"/>
        <v>0</v>
      </c>
      <c r="I678">
        <f t="shared" ca="1" si="334"/>
        <v>0</v>
      </c>
      <c r="J678">
        <f t="shared" ca="1" si="352"/>
        <v>0</v>
      </c>
      <c r="K678">
        <f ca="1">IF(OR($C678="S",$C678=0),0,MATCH(OFFSET($D678,0,$C678)+IF($C678&lt;&gt;1,1,COUNTIF(QCI!$A$13:$A$24,ORÇAMENTO!E678)),OFFSET($D678,1,$C678,ROW($C$710)-ROW($C678)),0))</f>
        <v>0</v>
      </c>
      <c r="L678" s="143" t="str">
        <f t="shared" ca="1" si="335"/>
        <v/>
      </c>
      <c r="M678" s="144" t="s">
        <v>201</v>
      </c>
      <c r="N678" s="145" t="str">
        <f t="shared" ca="1" si="336"/>
        <v>Serviço</v>
      </c>
      <c r="O678" s="146" t="str">
        <f t="shared" ca="1" si="337"/>
        <v>-</v>
      </c>
      <c r="P678" s="147" t="s">
        <v>249</v>
      </c>
      <c r="Q678" s="148">
        <v>98463</v>
      </c>
      <c r="R678" s="149" t="str">
        <f t="shared" ca="1" si="355"/>
        <v>(abra o arquivo 'Referência 05-2024.xls)</v>
      </c>
      <c r="S678" s="150" t="str">
        <f t="shared" ca="1" si="356"/>
        <v>-</v>
      </c>
      <c r="T678" s="151">
        <f ca="1">OFFSET(CÁLCULO!H$15,ROW($T678)-ROW(T$15),0)</f>
        <v>150</v>
      </c>
      <c r="U678" s="152">
        <f t="shared" ca="1" si="351"/>
        <v>0</v>
      </c>
      <c r="V678" s="153" t="s">
        <v>158</v>
      </c>
      <c r="W678" s="151">
        <f t="shared" ca="1" si="338"/>
        <v>0</v>
      </c>
      <c r="X678" s="154">
        <f t="shared" ca="1" si="339"/>
        <v>0</v>
      </c>
      <c r="Y678" s="155" t="s">
        <v>583</v>
      </c>
      <c r="Z678" t="str">
        <f t="shared" ca="1" si="340"/>
        <v/>
      </c>
      <c r="AA678" s="156">
        <f ca="1">IF($C678="S",IF($Z678="CP",$X678,IF($Z678="RA",(($X678)*QCI!$AA$3),0)),SomaAgrup)</f>
        <v>0</v>
      </c>
      <c r="AB678" s="157">
        <f t="shared" ca="1" si="341"/>
        <v>0</v>
      </c>
      <c r="AC678" s="158" t="str">
        <f t="shared" ca="1" si="342"/>
        <v/>
      </c>
      <c r="AD678" s="104" t="str">
        <f ca="1">IF(C678&lt;=CRONO.NivelExibicao,MAX($AD$15:OFFSET(AD678,-1,0))+IF($C678&lt;&gt;1,1,MAX(1,COUNTIF(QCI!$A$13:$A$24,OFFSET($E678,-1,0)))),"")</f>
        <v/>
      </c>
      <c r="AE678" s="114" t="str">
        <f t="shared" ca="1" si="343"/>
        <v>SINAPI 98463</v>
      </c>
      <c r="AF678" s="159" t="str">
        <f t="shared" ca="1" si="344"/>
        <v>(abra o arquivo 'Referência 05-2024.xls)</v>
      </c>
      <c r="AG678" s="579">
        <f t="shared" ca="1" si="345"/>
        <v>0</v>
      </c>
      <c r="AH678" s="580">
        <f t="shared" ca="1" si="346"/>
        <v>0.22470000000000001</v>
      </c>
      <c r="AJ678" s="582">
        <v>150</v>
      </c>
      <c r="AL678" s="612"/>
      <c r="AM678" s="430">
        <f t="shared" ca="1" si="347"/>
        <v>0</v>
      </c>
      <c r="AN678" s="655">
        <f t="shared" ca="1" si="348"/>
        <v>0</v>
      </c>
    </row>
    <row r="679" spans="1:40" ht="13.8" x14ac:dyDescent="0.3">
      <c r="A679" t="str">
        <f t="shared" si="327"/>
        <v>S</v>
      </c>
      <c r="B679">
        <f t="shared" ca="1" si="328"/>
        <v>2</v>
      </c>
      <c r="C679" t="str">
        <f t="shared" ca="1" si="329"/>
        <v>S</v>
      </c>
      <c r="D679">
        <f t="shared" ca="1" si="330"/>
        <v>0</v>
      </c>
      <c r="E679">
        <f ca="1">IF($C679=1,OFFSET(E679,-1,0)+MAX(1,COUNTIF(QCI!$A$13:$A$24,OFFSET(ORÇAMENTO!E679,-1,0))),OFFSET(E679,-1,0))</f>
        <v>1</v>
      </c>
      <c r="F679">
        <f t="shared" ca="1" si="331"/>
        <v>22</v>
      </c>
      <c r="G679">
        <f t="shared" ca="1" si="332"/>
        <v>0</v>
      </c>
      <c r="H679">
        <f t="shared" ca="1" si="333"/>
        <v>0</v>
      </c>
      <c r="I679">
        <f t="shared" ca="1" si="334"/>
        <v>0</v>
      </c>
      <c r="J679">
        <f t="shared" ca="1" si="352"/>
        <v>0</v>
      </c>
      <c r="K679">
        <f ca="1">IF(OR($C679="S",$C679=0),0,MATCH(OFFSET($D679,0,$C679)+IF($C679&lt;&gt;1,1,COUNTIF(QCI!$A$13:$A$24,ORÇAMENTO!E679)),OFFSET($D679,1,$C679,ROW($C$710)-ROW($C679)),0))</f>
        <v>0</v>
      </c>
      <c r="L679" s="143" t="str">
        <f t="shared" ca="1" si="335"/>
        <v/>
      </c>
      <c r="M679" s="144" t="s">
        <v>201</v>
      </c>
      <c r="N679" s="145" t="str">
        <f t="shared" ca="1" si="336"/>
        <v>Serviço</v>
      </c>
      <c r="O679" s="146" t="str">
        <f t="shared" ca="1" si="337"/>
        <v>-</v>
      </c>
      <c r="P679" s="147" t="s">
        <v>599</v>
      </c>
      <c r="Q679" s="148" t="s">
        <v>600</v>
      </c>
      <c r="R679" s="149" t="str">
        <f t="shared" ca="1" si="355"/>
        <v>(abra o arquivo 'Referência 05-2024.xls)</v>
      </c>
      <c r="S679" s="150" t="str">
        <f t="shared" ca="1" si="356"/>
        <v>-</v>
      </c>
      <c r="T679" s="151">
        <f ca="1">OFFSET(CÁLCULO!H$15,ROW($T679)-ROW(T$15),0)</f>
        <v>1</v>
      </c>
      <c r="U679" s="152">
        <f t="shared" ca="1" si="351"/>
        <v>0</v>
      </c>
      <c r="V679" s="153" t="s">
        <v>158</v>
      </c>
      <c r="W679" s="151">
        <f t="shared" ca="1" si="338"/>
        <v>0</v>
      </c>
      <c r="X679" s="154">
        <f t="shared" ca="1" si="339"/>
        <v>0</v>
      </c>
      <c r="Y679" s="155" t="s">
        <v>583</v>
      </c>
      <c r="Z679" t="str">
        <f t="shared" ca="1" si="340"/>
        <v/>
      </c>
      <c r="AA679" s="156">
        <f ca="1">IF($C679="S",IF($Z679="CP",$X679,IF($Z679="RA",(($X679)*QCI!$AA$3),0)),SomaAgrup)</f>
        <v>0</v>
      </c>
      <c r="AB679" s="157">
        <f t="shared" ca="1" si="341"/>
        <v>0</v>
      </c>
      <c r="AC679" s="158" t="str">
        <f t="shared" ca="1" si="342"/>
        <v/>
      </c>
      <c r="AD679" s="104" t="str">
        <f ca="1">IF(C679&lt;=CRONO.NivelExibicao,MAX($AD$15:OFFSET(AD679,-1,0))+IF($C679&lt;&gt;1,1,MAX(1,COUNTIF(QCI!$A$13:$A$24,OFFSET($E679,-1,0)))),"")</f>
        <v/>
      </c>
      <c r="AE679" s="114" t="str">
        <f t="shared" ca="1" si="343"/>
        <v>SUDECAP 11.92.17</v>
      </c>
      <c r="AF679" s="159" t="str">
        <f t="shared" ca="1" si="344"/>
        <v>(abra o arquivo 'Referência 05-2024.xls)</v>
      </c>
      <c r="AG679" s="579">
        <f t="shared" ca="1" si="345"/>
        <v>0</v>
      </c>
      <c r="AH679" s="580">
        <f t="shared" ca="1" si="346"/>
        <v>0.22470000000000001</v>
      </c>
      <c r="AJ679" s="582">
        <v>1</v>
      </c>
      <c r="AL679" s="612"/>
      <c r="AM679" s="430">
        <f t="shared" ca="1" si="347"/>
        <v>0</v>
      </c>
      <c r="AN679" s="655">
        <f t="shared" ca="1" si="348"/>
        <v>0</v>
      </c>
    </row>
    <row r="680" spans="1:40" ht="13.8" x14ac:dyDescent="0.3">
      <c r="A680" t="str">
        <f t="shared" si="327"/>
        <v>S</v>
      </c>
      <c r="B680">
        <f t="shared" ca="1" si="328"/>
        <v>2</v>
      </c>
      <c r="C680" t="str">
        <f t="shared" ca="1" si="329"/>
        <v>S</v>
      </c>
      <c r="D680">
        <f t="shared" ca="1" si="330"/>
        <v>0</v>
      </c>
      <c r="E680">
        <f ca="1">IF($C680=1,OFFSET(E680,-1,0)+MAX(1,COUNTIF(QCI!$A$13:$A$24,OFFSET(ORÇAMENTO!E680,-1,0))),OFFSET(E680,-1,0))</f>
        <v>1</v>
      </c>
      <c r="F680">
        <f t="shared" ca="1" si="331"/>
        <v>22</v>
      </c>
      <c r="G680">
        <f t="shared" ca="1" si="332"/>
        <v>0</v>
      </c>
      <c r="H680">
        <f t="shared" ca="1" si="333"/>
        <v>0</v>
      </c>
      <c r="I680">
        <f t="shared" ca="1" si="334"/>
        <v>0</v>
      </c>
      <c r="J680">
        <f t="shared" ca="1" si="352"/>
        <v>0</v>
      </c>
      <c r="K680">
        <f ca="1">IF(OR($C680="S",$C680=0),0,MATCH(OFFSET($D680,0,$C680)+IF($C680&lt;&gt;1,1,COUNTIF(QCI!$A$13:$A$24,ORÇAMENTO!E680)),OFFSET($D680,1,$C680,ROW($C$710)-ROW($C680)),0))</f>
        <v>0</v>
      </c>
      <c r="L680" s="143" t="str">
        <f t="shared" ca="1" si="335"/>
        <v/>
      </c>
      <c r="M680" s="144" t="s">
        <v>201</v>
      </c>
      <c r="N680" s="145" t="str">
        <f t="shared" ca="1" si="336"/>
        <v>Serviço</v>
      </c>
      <c r="O680" s="146" t="str">
        <f t="shared" ca="1" si="337"/>
        <v>-</v>
      </c>
      <c r="P680" s="147" t="s">
        <v>249</v>
      </c>
      <c r="Q680" s="148">
        <v>93358</v>
      </c>
      <c r="R680" s="149" t="str">
        <f t="shared" ca="1" si="355"/>
        <v>(abra o arquivo 'Referência 05-2024.xls)</v>
      </c>
      <c r="S680" s="150" t="str">
        <f t="shared" ca="1" si="356"/>
        <v>-</v>
      </c>
      <c r="T680" s="151">
        <f ca="1">OFFSET(CÁLCULO!H$15,ROW($T680)-ROW(T$15),0)</f>
        <v>43.95</v>
      </c>
      <c r="U680" s="152">
        <f t="shared" ca="1" si="351"/>
        <v>0</v>
      </c>
      <c r="V680" s="153" t="s">
        <v>158</v>
      </c>
      <c r="W680" s="151">
        <f t="shared" ca="1" si="338"/>
        <v>0</v>
      </c>
      <c r="X680" s="154">
        <f t="shared" ca="1" si="339"/>
        <v>0</v>
      </c>
      <c r="Y680" s="155" t="s">
        <v>583</v>
      </c>
      <c r="Z680" t="str">
        <f t="shared" ca="1" si="340"/>
        <v/>
      </c>
      <c r="AA680" s="156">
        <f ca="1">IF($C680="S",IF($Z680="CP",$X680,IF($Z680="RA",(($X680)*QCI!$AA$3),0)),SomaAgrup)</f>
        <v>0</v>
      </c>
      <c r="AB680" s="157">
        <f t="shared" ca="1" si="341"/>
        <v>0</v>
      </c>
      <c r="AC680" s="158" t="str">
        <f t="shared" ca="1" si="342"/>
        <v/>
      </c>
      <c r="AD680" s="104" t="str">
        <f ca="1">IF(C680&lt;=CRONO.NivelExibicao,MAX($AD$15:OFFSET(AD680,-1,0))+IF($C680&lt;&gt;1,1,MAX(1,COUNTIF(QCI!$A$13:$A$24,OFFSET($E680,-1,0)))),"")</f>
        <v/>
      </c>
      <c r="AE680" s="114" t="str">
        <f t="shared" ca="1" si="343"/>
        <v>SINAPI 93358</v>
      </c>
      <c r="AF680" s="159" t="str">
        <f t="shared" ca="1" si="344"/>
        <v>(abra o arquivo 'Referência 05-2024.xls)</v>
      </c>
      <c r="AG680" s="579">
        <f t="shared" ca="1" si="345"/>
        <v>0</v>
      </c>
      <c r="AH680" s="580">
        <f t="shared" ca="1" si="346"/>
        <v>0.22470000000000001</v>
      </c>
      <c r="AJ680" s="582">
        <v>43.95</v>
      </c>
      <c r="AL680" s="612"/>
      <c r="AM680" s="430">
        <f t="shared" ca="1" si="347"/>
        <v>0</v>
      </c>
      <c r="AN680" s="655">
        <f t="shared" ca="1" si="348"/>
        <v>0</v>
      </c>
    </row>
    <row r="681" spans="1:40" ht="13.8" x14ac:dyDescent="0.3">
      <c r="A681" t="str">
        <f t="shared" si="327"/>
        <v>S</v>
      </c>
      <c r="B681">
        <f t="shared" ca="1" si="328"/>
        <v>2</v>
      </c>
      <c r="C681" t="str">
        <f t="shared" ca="1" si="329"/>
        <v>S</v>
      </c>
      <c r="D681">
        <f t="shared" ca="1" si="330"/>
        <v>0</v>
      </c>
      <c r="E681">
        <f ca="1">IF($C681=1,OFFSET(E681,-1,0)+MAX(1,COUNTIF(QCI!$A$13:$A$24,OFFSET(ORÇAMENTO!E681,-1,0))),OFFSET(E681,-1,0))</f>
        <v>1</v>
      </c>
      <c r="F681">
        <f t="shared" ca="1" si="331"/>
        <v>22</v>
      </c>
      <c r="G681">
        <f t="shared" ca="1" si="332"/>
        <v>0</v>
      </c>
      <c r="H681">
        <f t="shared" ca="1" si="333"/>
        <v>0</v>
      </c>
      <c r="I681">
        <f t="shared" ca="1" si="334"/>
        <v>0</v>
      </c>
      <c r="J681">
        <f t="shared" ca="1" si="352"/>
        <v>0</v>
      </c>
      <c r="K681">
        <f ca="1">IF(OR($C681="S",$C681=0),0,MATCH(OFFSET($D681,0,$C681)+IF($C681&lt;&gt;1,1,COUNTIF(QCI!$A$13:$A$24,ORÇAMENTO!E681)),OFFSET($D681,1,$C681,ROW($C$710)-ROW($C681)),0))</f>
        <v>0</v>
      </c>
      <c r="L681" s="143" t="str">
        <f t="shared" ca="1" si="335"/>
        <v/>
      </c>
      <c r="M681" s="144" t="s">
        <v>201</v>
      </c>
      <c r="N681" s="145" t="str">
        <f t="shared" ca="1" si="336"/>
        <v>Serviço</v>
      </c>
      <c r="O681" s="146" t="str">
        <f t="shared" ca="1" si="337"/>
        <v>-</v>
      </c>
      <c r="P681" s="147" t="s">
        <v>249</v>
      </c>
      <c r="Q681" s="148">
        <v>93382</v>
      </c>
      <c r="R681" s="149" t="str">
        <f t="shared" ca="1" si="355"/>
        <v>(abra o arquivo 'Referência 05-2024.xls)</v>
      </c>
      <c r="S681" s="150" t="str">
        <f t="shared" ca="1" si="356"/>
        <v>-</v>
      </c>
      <c r="T681" s="151">
        <f ca="1">OFFSET(CÁLCULO!H$15,ROW($T681)-ROW(T$15),0)</f>
        <v>43.95</v>
      </c>
      <c r="U681" s="152">
        <f t="shared" ca="1" si="351"/>
        <v>0</v>
      </c>
      <c r="V681" s="153" t="s">
        <v>158</v>
      </c>
      <c r="W681" s="151">
        <f t="shared" ca="1" si="338"/>
        <v>0</v>
      </c>
      <c r="X681" s="154">
        <f t="shared" ca="1" si="339"/>
        <v>0</v>
      </c>
      <c r="Y681" s="155" t="s">
        <v>583</v>
      </c>
      <c r="Z681" t="str">
        <f t="shared" ca="1" si="340"/>
        <v/>
      </c>
      <c r="AA681" s="156">
        <f ca="1">IF($C681="S",IF($Z681="CP",$X681,IF($Z681="RA",(($X681)*QCI!$AA$3),0)),SomaAgrup)</f>
        <v>0</v>
      </c>
      <c r="AB681" s="157">
        <f t="shared" ca="1" si="341"/>
        <v>0</v>
      </c>
      <c r="AC681" s="158" t="str">
        <f t="shared" ca="1" si="342"/>
        <v/>
      </c>
      <c r="AD681" s="104" t="str">
        <f ca="1">IF(C681&lt;=CRONO.NivelExibicao,MAX($AD$15:OFFSET(AD681,-1,0))+IF($C681&lt;&gt;1,1,MAX(1,COUNTIF(QCI!$A$13:$A$24,OFFSET($E681,-1,0)))),"")</f>
        <v/>
      </c>
      <c r="AE681" s="114" t="str">
        <f t="shared" ca="1" si="343"/>
        <v>SINAPI 93382</v>
      </c>
      <c r="AF681" s="159" t="str">
        <f t="shared" ca="1" si="344"/>
        <v>(abra o arquivo 'Referência 05-2024.xls)</v>
      </c>
      <c r="AG681" s="579">
        <f t="shared" ca="1" si="345"/>
        <v>0</v>
      </c>
      <c r="AH681" s="580">
        <f t="shared" ca="1" si="346"/>
        <v>0.22470000000000001</v>
      </c>
      <c r="AJ681" s="582">
        <v>43.95</v>
      </c>
      <c r="AL681" s="612"/>
      <c r="AM681" s="430">
        <f t="shared" ca="1" si="347"/>
        <v>0</v>
      </c>
      <c r="AN681" s="655">
        <f t="shared" ca="1" si="348"/>
        <v>0</v>
      </c>
    </row>
    <row r="682" spans="1:40" ht="13.8" x14ac:dyDescent="0.3">
      <c r="A682" t="str">
        <f t="shared" si="327"/>
        <v>S</v>
      </c>
      <c r="B682">
        <f t="shared" ca="1" si="328"/>
        <v>2</v>
      </c>
      <c r="C682" t="str">
        <f t="shared" ca="1" si="329"/>
        <v>S</v>
      </c>
      <c r="D682">
        <f t="shared" ca="1" si="330"/>
        <v>0</v>
      </c>
      <c r="E682">
        <f ca="1">IF($C682=1,OFFSET(E682,-1,0)+MAX(1,COUNTIF(QCI!$A$13:$A$24,OFFSET(ORÇAMENTO!E682,-1,0))),OFFSET(E682,-1,0))</f>
        <v>1</v>
      </c>
      <c r="F682">
        <f t="shared" ca="1" si="331"/>
        <v>22</v>
      </c>
      <c r="G682">
        <f t="shared" ca="1" si="332"/>
        <v>0</v>
      </c>
      <c r="H682">
        <f t="shared" ca="1" si="333"/>
        <v>0</v>
      </c>
      <c r="I682">
        <f t="shared" ca="1" si="334"/>
        <v>0</v>
      </c>
      <c r="J682">
        <f t="shared" ca="1" si="352"/>
        <v>0</v>
      </c>
      <c r="K682">
        <f ca="1">IF(OR($C682="S",$C682=0),0,MATCH(OFFSET($D682,0,$C682)+IF($C682&lt;&gt;1,1,COUNTIF(QCI!$A$13:$A$24,ORÇAMENTO!E682)),OFFSET($D682,1,$C682,ROW($C$710)-ROW($C682)),0))</f>
        <v>0</v>
      </c>
      <c r="L682" s="143" t="str">
        <f t="shared" ca="1" si="335"/>
        <v/>
      </c>
      <c r="M682" s="144" t="s">
        <v>201</v>
      </c>
      <c r="N682" s="145" t="str">
        <f t="shared" ca="1" si="336"/>
        <v>Serviço</v>
      </c>
      <c r="O682" s="146" t="str">
        <f t="shared" ca="1" si="337"/>
        <v>-</v>
      </c>
      <c r="P682" s="147" t="s">
        <v>249</v>
      </c>
      <c r="Q682" s="148">
        <v>96985</v>
      </c>
      <c r="R682" s="149" t="str">
        <f t="shared" ca="1" si="355"/>
        <v>(abra o arquivo 'Referência 05-2024.xls)</v>
      </c>
      <c r="S682" s="150" t="str">
        <f t="shared" ca="1" si="356"/>
        <v>-</v>
      </c>
      <c r="T682" s="151">
        <f ca="1">OFFSET(CÁLCULO!H$15,ROW($T682)-ROW(T$15),0)</f>
        <v>15</v>
      </c>
      <c r="U682" s="152">
        <f t="shared" ca="1" si="351"/>
        <v>0</v>
      </c>
      <c r="V682" s="153" t="s">
        <v>158</v>
      </c>
      <c r="W682" s="151">
        <f t="shared" ca="1" si="338"/>
        <v>0</v>
      </c>
      <c r="X682" s="154">
        <f t="shared" ca="1" si="339"/>
        <v>0</v>
      </c>
      <c r="Y682" s="155" t="s">
        <v>583</v>
      </c>
      <c r="Z682" t="str">
        <f t="shared" ca="1" si="340"/>
        <v/>
      </c>
      <c r="AA682" s="156">
        <f ca="1">IF($C682="S",IF($Z682="CP",$X682,IF($Z682="RA",(($X682)*QCI!$AA$3),0)),SomaAgrup)</f>
        <v>0</v>
      </c>
      <c r="AB682" s="157">
        <f t="shared" ca="1" si="341"/>
        <v>0</v>
      </c>
      <c r="AC682" s="158" t="str">
        <f t="shared" ca="1" si="342"/>
        <v/>
      </c>
      <c r="AD682" s="104" t="str">
        <f ca="1">IF(C682&lt;=CRONO.NivelExibicao,MAX($AD$15:OFFSET(AD682,-1,0))+IF($C682&lt;&gt;1,1,MAX(1,COUNTIF(QCI!$A$13:$A$24,OFFSET($E682,-1,0)))),"")</f>
        <v/>
      </c>
      <c r="AE682" s="114" t="str">
        <f t="shared" ca="1" si="343"/>
        <v>SINAPI 96985</v>
      </c>
      <c r="AF682" s="159" t="str">
        <f t="shared" ca="1" si="344"/>
        <v>(abra o arquivo 'Referência 05-2024.xls)</v>
      </c>
      <c r="AG682" s="579">
        <f t="shared" ca="1" si="345"/>
        <v>0</v>
      </c>
      <c r="AH682" s="580">
        <f t="shared" ca="1" si="346"/>
        <v>0.22470000000000001</v>
      </c>
      <c r="AJ682" s="582">
        <v>15</v>
      </c>
      <c r="AL682" s="612"/>
      <c r="AM682" s="430">
        <f t="shared" ca="1" si="347"/>
        <v>0</v>
      </c>
      <c r="AN682" s="655">
        <f t="shared" ca="1" si="348"/>
        <v>0</v>
      </c>
    </row>
    <row r="683" spans="1:40" ht="13.8" x14ac:dyDescent="0.3">
      <c r="A683" t="str">
        <f t="shared" si="327"/>
        <v>S</v>
      </c>
      <c r="B683">
        <f t="shared" ca="1" si="328"/>
        <v>2</v>
      </c>
      <c r="C683" t="str">
        <f t="shared" ca="1" si="329"/>
        <v>S</v>
      </c>
      <c r="D683">
        <f t="shared" ca="1" si="330"/>
        <v>0</v>
      </c>
      <c r="E683">
        <f ca="1">IF($C683=1,OFFSET(E683,-1,0)+MAX(1,COUNTIF(QCI!$A$13:$A$24,OFFSET(ORÇAMENTO!E683,-1,0))),OFFSET(E683,-1,0))</f>
        <v>1</v>
      </c>
      <c r="F683">
        <f t="shared" ca="1" si="331"/>
        <v>22</v>
      </c>
      <c r="G683">
        <f t="shared" ca="1" si="332"/>
        <v>0</v>
      </c>
      <c r="H683">
        <f t="shared" ca="1" si="333"/>
        <v>0</v>
      </c>
      <c r="I683">
        <f t="shared" ca="1" si="334"/>
        <v>0</v>
      </c>
      <c r="J683">
        <f t="shared" ca="1" si="352"/>
        <v>0</v>
      </c>
      <c r="K683">
        <f ca="1">IF(OR($C683="S",$C683=0),0,MATCH(OFFSET($D683,0,$C683)+IF($C683&lt;&gt;1,1,COUNTIF(QCI!$A$13:$A$24,ORÇAMENTO!E683)),OFFSET($D683,1,$C683,ROW($C$710)-ROW($C683)),0))</f>
        <v>0</v>
      </c>
      <c r="L683" s="143" t="str">
        <f t="shared" ca="1" si="335"/>
        <v/>
      </c>
      <c r="M683" s="144" t="s">
        <v>201</v>
      </c>
      <c r="N683" s="145" t="str">
        <f t="shared" ca="1" si="336"/>
        <v>Serviço</v>
      </c>
      <c r="O683" s="146" t="str">
        <f t="shared" ca="1" si="337"/>
        <v>-</v>
      </c>
      <c r="P683" s="147" t="s">
        <v>249</v>
      </c>
      <c r="Q683" s="148">
        <v>96973</v>
      </c>
      <c r="R683" s="149" t="str">
        <f t="shared" ca="1" si="355"/>
        <v>(abra o arquivo 'Referência 05-2024.xls)</v>
      </c>
      <c r="S683" s="150" t="str">
        <f t="shared" ca="1" si="356"/>
        <v>-</v>
      </c>
      <c r="T683" s="151">
        <f ca="1">OFFSET(CÁLCULO!H$15,ROW($T683)-ROW(T$15),0)</f>
        <v>50</v>
      </c>
      <c r="U683" s="152">
        <f t="shared" ca="1" si="351"/>
        <v>0</v>
      </c>
      <c r="V683" s="153" t="s">
        <v>158</v>
      </c>
      <c r="W683" s="151">
        <f t="shared" ca="1" si="338"/>
        <v>0</v>
      </c>
      <c r="X683" s="154">
        <f t="shared" ca="1" si="339"/>
        <v>0</v>
      </c>
      <c r="Y683" s="155" t="s">
        <v>583</v>
      </c>
      <c r="Z683" t="str">
        <f t="shared" ca="1" si="340"/>
        <v/>
      </c>
      <c r="AA683" s="156">
        <f ca="1">IF($C683="S",IF($Z683="CP",$X683,IF($Z683="RA",(($X683)*QCI!$AA$3),0)),SomaAgrup)</f>
        <v>0</v>
      </c>
      <c r="AB683" s="157">
        <f t="shared" ca="1" si="341"/>
        <v>0</v>
      </c>
      <c r="AC683" s="158" t="str">
        <f t="shared" ca="1" si="342"/>
        <v/>
      </c>
      <c r="AD683" s="104" t="str">
        <f ca="1">IF(C683&lt;=CRONO.NivelExibicao,MAX($AD$15:OFFSET(AD683,-1,0))+IF($C683&lt;&gt;1,1,MAX(1,COUNTIF(QCI!$A$13:$A$24,OFFSET($E683,-1,0)))),"")</f>
        <v/>
      </c>
      <c r="AE683" s="114" t="str">
        <f t="shared" ca="1" si="343"/>
        <v>SINAPI 96973</v>
      </c>
      <c r="AF683" s="159" t="str">
        <f t="shared" ca="1" si="344"/>
        <v>(abra o arquivo 'Referência 05-2024.xls)</v>
      </c>
      <c r="AG683" s="579">
        <f t="shared" ca="1" si="345"/>
        <v>0</v>
      </c>
      <c r="AH683" s="580">
        <f t="shared" ca="1" si="346"/>
        <v>0.22470000000000001</v>
      </c>
      <c r="AJ683" s="582">
        <v>50</v>
      </c>
      <c r="AL683" s="612"/>
      <c r="AM683" s="430">
        <f t="shared" ca="1" si="347"/>
        <v>0</v>
      </c>
      <c r="AN683" s="655">
        <f t="shared" ca="1" si="348"/>
        <v>0</v>
      </c>
    </row>
    <row r="684" spans="1:40" ht="13.8" x14ac:dyDescent="0.3">
      <c r="A684" t="str">
        <f t="shared" si="327"/>
        <v>S</v>
      </c>
      <c r="B684">
        <f t="shared" ca="1" si="328"/>
        <v>2</v>
      </c>
      <c r="C684" t="str">
        <f t="shared" ca="1" si="329"/>
        <v>S</v>
      </c>
      <c r="D684">
        <f t="shared" ca="1" si="330"/>
        <v>0</v>
      </c>
      <c r="E684">
        <f ca="1">IF($C684=1,OFFSET(E684,-1,0)+MAX(1,COUNTIF(QCI!$A$13:$A$24,OFFSET(ORÇAMENTO!E684,-1,0))),OFFSET(E684,-1,0))</f>
        <v>1</v>
      </c>
      <c r="F684">
        <f t="shared" ca="1" si="331"/>
        <v>22</v>
      </c>
      <c r="G684">
        <f t="shared" ca="1" si="332"/>
        <v>0</v>
      </c>
      <c r="H684">
        <f t="shared" ca="1" si="333"/>
        <v>0</v>
      </c>
      <c r="I684">
        <f t="shared" ca="1" si="334"/>
        <v>0</v>
      </c>
      <c r="J684">
        <f t="shared" ca="1" si="352"/>
        <v>0</v>
      </c>
      <c r="K684">
        <f ca="1">IF(OR($C684="S",$C684=0),0,MATCH(OFFSET($D684,0,$C684)+IF($C684&lt;&gt;1,1,COUNTIF(QCI!$A$13:$A$24,ORÇAMENTO!E684)),OFFSET($D684,1,$C684,ROW($C$710)-ROW($C684)),0))</f>
        <v>0</v>
      </c>
      <c r="L684" s="143" t="str">
        <f t="shared" ca="1" si="335"/>
        <v/>
      </c>
      <c r="M684" s="144" t="s">
        <v>201</v>
      </c>
      <c r="N684" s="145" t="str">
        <f t="shared" ca="1" si="336"/>
        <v>Serviço</v>
      </c>
      <c r="O684" s="146" t="str">
        <f t="shared" ca="1" si="337"/>
        <v>-</v>
      </c>
      <c r="P684" s="147" t="s">
        <v>249</v>
      </c>
      <c r="Q684" s="148">
        <v>96974</v>
      </c>
      <c r="R684" s="149" t="str">
        <f t="shared" ca="1" si="355"/>
        <v>(abra o arquivo 'Referência 05-2024.xls)</v>
      </c>
      <c r="S684" s="150" t="str">
        <f t="shared" ca="1" si="356"/>
        <v>-</v>
      </c>
      <c r="T684" s="151">
        <f ca="1">OFFSET(CÁLCULO!H$15,ROW($T684)-ROW(T$15),0)</f>
        <v>470</v>
      </c>
      <c r="U684" s="152">
        <f t="shared" ca="1" si="351"/>
        <v>0</v>
      </c>
      <c r="V684" s="153" t="s">
        <v>158</v>
      </c>
      <c r="W684" s="151">
        <f t="shared" ca="1" si="338"/>
        <v>0</v>
      </c>
      <c r="X684" s="154">
        <f t="shared" ca="1" si="339"/>
        <v>0</v>
      </c>
      <c r="Y684" s="155" t="s">
        <v>583</v>
      </c>
      <c r="Z684" t="str">
        <f t="shared" ca="1" si="340"/>
        <v/>
      </c>
      <c r="AA684" s="156">
        <f ca="1">IF($C684="S",IF($Z684="CP",$X684,IF($Z684="RA",(($X684)*QCI!$AA$3),0)),SomaAgrup)</f>
        <v>0</v>
      </c>
      <c r="AB684" s="157">
        <f t="shared" ca="1" si="341"/>
        <v>0</v>
      </c>
      <c r="AC684" s="158" t="str">
        <f t="shared" ca="1" si="342"/>
        <v/>
      </c>
      <c r="AD684" s="104" t="str">
        <f ca="1">IF(C684&lt;=CRONO.NivelExibicao,MAX($AD$15:OFFSET(AD684,-1,0))+IF($C684&lt;&gt;1,1,MAX(1,COUNTIF(QCI!$A$13:$A$24,OFFSET($E684,-1,0)))),"")</f>
        <v/>
      </c>
      <c r="AE684" s="114" t="str">
        <f t="shared" ca="1" si="343"/>
        <v>SINAPI 96974</v>
      </c>
      <c r="AF684" s="159" t="str">
        <f t="shared" ca="1" si="344"/>
        <v>(abra o arquivo 'Referência 05-2024.xls)</v>
      </c>
      <c r="AG684" s="579">
        <f t="shared" ca="1" si="345"/>
        <v>0</v>
      </c>
      <c r="AH684" s="580">
        <f t="shared" ca="1" si="346"/>
        <v>0.22470000000000001</v>
      </c>
      <c r="AJ684" s="582">
        <v>470</v>
      </c>
      <c r="AL684" s="612"/>
      <c r="AM684" s="430">
        <f t="shared" ca="1" si="347"/>
        <v>0</v>
      </c>
      <c r="AN684" s="655">
        <f t="shared" ca="1" si="348"/>
        <v>0</v>
      </c>
    </row>
    <row r="685" spans="1:40" ht="13.8" x14ac:dyDescent="0.3">
      <c r="A685" t="str">
        <f t="shared" si="327"/>
        <v>S</v>
      </c>
      <c r="B685">
        <f t="shared" ca="1" si="328"/>
        <v>2</v>
      </c>
      <c r="C685" t="str">
        <f t="shared" ca="1" si="329"/>
        <v>S</v>
      </c>
      <c r="D685">
        <f t="shared" ca="1" si="330"/>
        <v>0</v>
      </c>
      <c r="E685">
        <f ca="1">IF($C685=1,OFFSET(E685,-1,0)+MAX(1,COUNTIF(QCI!$A$13:$A$24,OFFSET(ORÇAMENTO!E685,-1,0))),OFFSET(E685,-1,0))</f>
        <v>1</v>
      </c>
      <c r="F685">
        <f t="shared" ca="1" si="331"/>
        <v>22</v>
      </c>
      <c r="G685">
        <f t="shared" ca="1" si="332"/>
        <v>0</v>
      </c>
      <c r="H685">
        <f t="shared" ca="1" si="333"/>
        <v>0</v>
      </c>
      <c r="I685">
        <f t="shared" ca="1" si="334"/>
        <v>0</v>
      </c>
      <c r="J685">
        <f t="shared" ca="1" si="352"/>
        <v>0</v>
      </c>
      <c r="K685">
        <f ca="1">IF(OR($C685="S",$C685=0),0,MATCH(OFFSET($D685,0,$C685)+IF($C685&lt;&gt;1,1,COUNTIF(QCI!$A$13:$A$24,ORÇAMENTO!E685)),OFFSET($D685,1,$C685,ROW($C$710)-ROW($C685)),0))</f>
        <v>0</v>
      </c>
      <c r="L685" s="143" t="str">
        <f t="shared" ca="1" si="335"/>
        <v/>
      </c>
      <c r="M685" s="144" t="s">
        <v>201</v>
      </c>
      <c r="N685" s="145" t="str">
        <f t="shared" ca="1" si="336"/>
        <v>Serviço</v>
      </c>
      <c r="O685" s="146" t="str">
        <f t="shared" ca="1" si="337"/>
        <v>-</v>
      </c>
      <c r="P685" s="147" t="s">
        <v>249</v>
      </c>
      <c r="Q685" s="148">
        <v>98111</v>
      </c>
      <c r="R685" s="149" t="str">
        <f t="shared" ca="1" si="355"/>
        <v>(abra o arquivo 'Referência 05-2024.xls)</v>
      </c>
      <c r="S685" s="150" t="str">
        <f t="shared" ca="1" si="356"/>
        <v>-</v>
      </c>
      <c r="T685" s="151">
        <f ca="1">OFFSET(CÁLCULO!H$15,ROW($T685)-ROW(T$15),0)</f>
        <v>15</v>
      </c>
      <c r="U685" s="152">
        <f t="shared" ca="1" si="351"/>
        <v>0</v>
      </c>
      <c r="V685" s="153" t="s">
        <v>158</v>
      </c>
      <c r="W685" s="151">
        <f t="shared" ca="1" si="338"/>
        <v>0</v>
      </c>
      <c r="X685" s="154">
        <f t="shared" ca="1" si="339"/>
        <v>0</v>
      </c>
      <c r="Y685" s="155" t="s">
        <v>583</v>
      </c>
      <c r="Z685" t="str">
        <f t="shared" ca="1" si="340"/>
        <v/>
      </c>
      <c r="AA685" s="156">
        <f ca="1">IF($C685="S",IF($Z685="CP",$X685,IF($Z685="RA",(($X685)*QCI!$AA$3),0)),SomaAgrup)</f>
        <v>0</v>
      </c>
      <c r="AB685" s="157">
        <f t="shared" ca="1" si="341"/>
        <v>0</v>
      </c>
      <c r="AC685" s="158" t="str">
        <f t="shared" ca="1" si="342"/>
        <v/>
      </c>
      <c r="AD685" s="104" t="str">
        <f ca="1">IF(C685&lt;=CRONO.NivelExibicao,MAX($AD$15:OFFSET(AD685,-1,0))+IF($C685&lt;&gt;1,1,MAX(1,COUNTIF(QCI!$A$13:$A$24,OFFSET($E685,-1,0)))),"")</f>
        <v/>
      </c>
      <c r="AE685" s="114" t="str">
        <f t="shared" ca="1" si="343"/>
        <v>SINAPI 98111</v>
      </c>
      <c r="AF685" s="159" t="str">
        <f t="shared" ca="1" si="344"/>
        <v>(abra o arquivo 'Referência 05-2024.xls)</v>
      </c>
      <c r="AG685" s="579">
        <f t="shared" ca="1" si="345"/>
        <v>0</v>
      </c>
      <c r="AH685" s="580">
        <f t="shared" ca="1" si="346"/>
        <v>0.22470000000000001</v>
      </c>
      <c r="AJ685" s="582">
        <v>15</v>
      </c>
      <c r="AL685" s="612"/>
      <c r="AM685" s="430">
        <f t="shared" ca="1" si="347"/>
        <v>0</v>
      </c>
      <c r="AN685" s="655">
        <f t="shared" ca="1" si="348"/>
        <v>0</v>
      </c>
    </row>
    <row r="686" spans="1:40" ht="13.8" x14ac:dyDescent="0.3">
      <c r="A686" t="str">
        <f t="shared" si="327"/>
        <v>S</v>
      </c>
      <c r="B686">
        <f t="shared" ca="1" si="328"/>
        <v>2</v>
      </c>
      <c r="C686" t="str">
        <f t="shared" ca="1" si="329"/>
        <v>S</v>
      </c>
      <c r="D686">
        <f t="shared" ca="1" si="330"/>
        <v>0</v>
      </c>
      <c r="E686">
        <f ca="1">IF($C686=1,OFFSET(E686,-1,0)+MAX(1,COUNTIF(QCI!$A$13:$A$24,OFFSET(ORÇAMENTO!E686,-1,0))),OFFSET(E686,-1,0))</f>
        <v>1</v>
      </c>
      <c r="F686">
        <f t="shared" ca="1" si="331"/>
        <v>22</v>
      </c>
      <c r="G686">
        <f t="shared" ca="1" si="332"/>
        <v>0</v>
      </c>
      <c r="H686">
        <f t="shared" ca="1" si="333"/>
        <v>0</v>
      </c>
      <c r="I686">
        <f t="shared" ca="1" si="334"/>
        <v>0</v>
      </c>
      <c r="J686">
        <f t="shared" ca="1" si="352"/>
        <v>0</v>
      </c>
      <c r="K686">
        <f ca="1">IF(OR($C686="S",$C686=0),0,MATCH(OFFSET($D686,0,$C686)+IF($C686&lt;&gt;1,1,COUNTIF(QCI!$A$13:$A$24,ORÇAMENTO!E686)),OFFSET($D686,1,$C686,ROW($C$710)-ROW($C686)),0))</f>
        <v>0</v>
      </c>
      <c r="L686" s="143" t="str">
        <f t="shared" ca="1" si="335"/>
        <v/>
      </c>
      <c r="M686" s="144" t="s">
        <v>201</v>
      </c>
      <c r="N686" s="145" t="str">
        <f t="shared" ca="1" si="336"/>
        <v>Serviço</v>
      </c>
      <c r="O686" s="146" t="str">
        <f t="shared" ca="1" si="337"/>
        <v>-</v>
      </c>
      <c r="P686" s="147" t="s">
        <v>441</v>
      </c>
      <c r="Q686" s="148" t="s">
        <v>637</v>
      </c>
      <c r="R686" s="149" t="str">
        <f t="shared" ca="1" si="355"/>
        <v>(abra o arquivo 'Referência 05-2024.xls)</v>
      </c>
      <c r="S686" s="150" t="str">
        <f t="shared" ca="1" si="356"/>
        <v>-</v>
      </c>
      <c r="T686" s="151">
        <f ca="1">OFFSET(CÁLCULO!H$15,ROW($T686)-ROW(T$15),0)</f>
        <v>25</v>
      </c>
      <c r="U686" s="152">
        <f t="shared" ca="1" si="351"/>
        <v>0</v>
      </c>
      <c r="V686" s="153" t="s">
        <v>158</v>
      </c>
      <c r="W686" s="151">
        <f t="shared" ca="1" si="338"/>
        <v>0</v>
      </c>
      <c r="X686" s="154">
        <f t="shared" ca="1" si="339"/>
        <v>0</v>
      </c>
      <c r="Y686" s="155" t="s">
        <v>583</v>
      </c>
      <c r="Z686" t="str">
        <f t="shared" ca="1" si="340"/>
        <v/>
      </c>
      <c r="AA686" s="156">
        <f ca="1">IF($C686="S",IF($Z686="CP",$X686,IF($Z686="RA",(($X686)*QCI!$AA$3),0)),SomaAgrup)</f>
        <v>0</v>
      </c>
      <c r="AB686" s="157">
        <f t="shared" ca="1" si="341"/>
        <v>0</v>
      </c>
      <c r="AC686" s="158" t="str">
        <f t="shared" ca="1" si="342"/>
        <v/>
      </c>
      <c r="AD686" s="104" t="str">
        <f ca="1">IF(C686&lt;=CRONO.NivelExibicao,MAX($AD$15:OFFSET(AD686,-1,0))+IF($C686&lt;&gt;1,1,MAX(1,COUNTIF(QCI!$A$13:$A$24,OFFSET($E686,-1,0)))),"")</f>
        <v/>
      </c>
      <c r="AE686" s="114" t="str">
        <f t="shared" ca="1" si="343"/>
        <v>Composição CP-72</v>
      </c>
      <c r="AF686" s="159" t="str">
        <f t="shared" ca="1" si="344"/>
        <v>(abra o arquivo 'Referência 05-2024.xls)</v>
      </c>
      <c r="AG686" s="579">
        <f t="shared" ca="1" si="345"/>
        <v>0</v>
      </c>
      <c r="AH686" s="580">
        <f t="shared" ca="1" si="346"/>
        <v>0.22470000000000001</v>
      </c>
      <c r="AJ686" s="582">
        <v>25</v>
      </c>
      <c r="AL686" s="612"/>
      <c r="AM686" s="430">
        <f t="shared" ca="1" si="347"/>
        <v>0</v>
      </c>
      <c r="AN686" s="655">
        <f t="shared" ca="1" si="348"/>
        <v>0</v>
      </c>
    </row>
    <row r="687" spans="1:40" ht="13.8" x14ac:dyDescent="0.3">
      <c r="A687" t="str">
        <f t="shared" si="327"/>
        <v>S</v>
      </c>
      <c r="B687">
        <f t="shared" ca="1" si="328"/>
        <v>2</v>
      </c>
      <c r="C687" t="str">
        <f t="shared" ca="1" si="329"/>
        <v>S</v>
      </c>
      <c r="D687">
        <f t="shared" ca="1" si="330"/>
        <v>0</v>
      </c>
      <c r="E687">
        <f ca="1">IF($C687=1,OFFSET(E687,-1,0)+MAX(1,COUNTIF(QCI!$A$13:$A$24,OFFSET(ORÇAMENTO!E687,-1,0))),OFFSET(E687,-1,0))</f>
        <v>1</v>
      </c>
      <c r="F687">
        <f t="shared" ca="1" si="331"/>
        <v>22</v>
      </c>
      <c r="G687">
        <f t="shared" ca="1" si="332"/>
        <v>0</v>
      </c>
      <c r="H687">
        <f t="shared" ca="1" si="333"/>
        <v>0</v>
      </c>
      <c r="I687">
        <f t="shared" ca="1" si="334"/>
        <v>0</v>
      </c>
      <c r="J687">
        <f t="shared" ca="1" si="352"/>
        <v>0</v>
      </c>
      <c r="K687">
        <f ca="1">IF(OR($C687="S",$C687=0),0,MATCH(OFFSET($D687,0,$C687)+IF($C687&lt;&gt;1,1,COUNTIF(QCI!$A$13:$A$24,ORÇAMENTO!E687)),OFFSET($D687,1,$C687,ROW($C$710)-ROW($C687)),0))</f>
        <v>0</v>
      </c>
      <c r="L687" s="143" t="str">
        <f t="shared" ca="1" si="335"/>
        <v/>
      </c>
      <c r="M687" s="144" t="s">
        <v>201</v>
      </c>
      <c r="N687" s="145" t="str">
        <f t="shared" ca="1" si="336"/>
        <v>Serviço</v>
      </c>
      <c r="O687" s="146" t="str">
        <f t="shared" ca="1" si="337"/>
        <v>-</v>
      </c>
      <c r="P687" s="147" t="s">
        <v>578</v>
      </c>
      <c r="Q687" s="148">
        <v>9017106</v>
      </c>
      <c r="R687" s="149" t="str">
        <f t="shared" ca="1" si="355"/>
        <v>(abra o arquivo 'Referência 05-2024.xls)</v>
      </c>
      <c r="S687" s="150" t="str">
        <f t="shared" ca="1" si="356"/>
        <v>-</v>
      </c>
      <c r="T687" s="151">
        <f ca="1">OFFSET(CÁLCULO!H$15,ROW($T687)-ROW(T$15),0)</f>
        <v>30</v>
      </c>
      <c r="U687" s="152">
        <f t="shared" ca="1" si="351"/>
        <v>0</v>
      </c>
      <c r="V687" s="153" t="s">
        <v>158</v>
      </c>
      <c r="W687" s="151">
        <f t="shared" ca="1" si="338"/>
        <v>0</v>
      </c>
      <c r="X687" s="154">
        <f t="shared" ca="1" si="339"/>
        <v>0</v>
      </c>
      <c r="Y687" s="155" t="s">
        <v>583</v>
      </c>
      <c r="Z687" t="str">
        <f t="shared" ca="1" si="340"/>
        <v/>
      </c>
      <c r="AA687" s="156">
        <f ca="1">IF($C687="S",IF($Z687="CP",$X687,IF($Z687="RA",(($X687)*QCI!$AA$3),0)),SomaAgrup)</f>
        <v>0</v>
      </c>
      <c r="AB687" s="157">
        <f t="shared" ca="1" si="341"/>
        <v>0</v>
      </c>
      <c r="AC687" s="158" t="str">
        <f t="shared" ca="1" si="342"/>
        <v/>
      </c>
      <c r="AD687" s="104" t="str">
        <f ca="1">IF(C687&lt;=CRONO.NivelExibicao,MAX($AD$15:OFFSET(AD687,-1,0))+IF($C687&lt;&gt;1,1,MAX(1,COUNTIF(QCI!$A$13:$A$24,OFFSET($E687,-1,0)))),"")</f>
        <v/>
      </c>
      <c r="AE687" s="114" t="str">
        <f t="shared" ca="1" si="343"/>
        <v>SIURB 9017106</v>
      </c>
      <c r="AF687" s="159" t="str">
        <f t="shared" ca="1" si="344"/>
        <v>(abra o arquivo 'Referência 05-2024.xls)</v>
      </c>
      <c r="AG687" s="579">
        <f t="shared" ca="1" si="345"/>
        <v>0</v>
      </c>
      <c r="AH687" s="580">
        <f t="shared" ca="1" si="346"/>
        <v>0.22470000000000001</v>
      </c>
      <c r="AJ687" s="582">
        <v>30</v>
      </c>
      <c r="AL687" s="612"/>
      <c r="AM687" s="430">
        <f t="shared" ca="1" si="347"/>
        <v>0</v>
      </c>
      <c r="AN687" s="655">
        <f t="shared" ca="1" si="348"/>
        <v>0</v>
      </c>
    </row>
    <row r="688" spans="1:40" ht="13.8" x14ac:dyDescent="0.3">
      <c r="A688">
        <f t="shared" si="327"/>
        <v>2</v>
      </c>
      <c r="B688">
        <f t="shared" ca="1" si="328"/>
        <v>2</v>
      </c>
      <c r="C688">
        <f t="shared" ca="1" si="329"/>
        <v>2</v>
      </c>
      <c r="D688">
        <f t="shared" ca="1" si="330"/>
        <v>11</v>
      </c>
      <c r="E688">
        <f ca="1">IF($C688=1,OFFSET(E688,-1,0)+MAX(1,COUNTIF(QCI!$A$13:$A$24,OFFSET(ORÇAMENTO!E688,-1,0))),OFFSET(E688,-1,0))</f>
        <v>1</v>
      </c>
      <c r="F688">
        <f t="shared" ca="1" si="331"/>
        <v>23</v>
      </c>
      <c r="G688">
        <f t="shared" ca="1" si="332"/>
        <v>0</v>
      </c>
      <c r="H688">
        <f t="shared" ca="1" si="333"/>
        <v>0</v>
      </c>
      <c r="I688">
        <f t="shared" ca="1" si="334"/>
        <v>0</v>
      </c>
      <c r="J688">
        <f t="shared" ca="1" si="352"/>
        <v>14</v>
      </c>
      <c r="K688">
        <f ca="1">IF(OR($C688="S",$C688=0),0,MATCH(OFFSET($D688,0,$C688)+IF($C688&lt;&gt;1,1,COUNTIF(QCI!$A$13:$A$24,ORÇAMENTO!E688)),OFFSET($D688,1,$C688,ROW($C$710)-ROW($C688)),0))</f>
        <v>11</v>
      </c>
      <c r="L688" s="143" t="str">
        <f t="shared" ca="1" si="335"/>
        <v>F</v>
      </c>
      <c r="M688" s="144" t="s">
        <v>198</v>
      </c>
      <c r="N688" s="145" t="str">
        <f t="shared" ca="1" si="336"/>
        <v>Nível 2</v>
      </c>
      <c r="O688" s="146" t="str">
        <f t="shared" ca="1" si="337"/>
        <v>1.23.</v>
      </c>
      <c r="P688" s="147" t="s">
        <v>249</v>
      </c>
      <c r="Q688" s="148"/>
      <c r="R688" s="149" t="s">
        <v>563</v>
      </c>
      <c r="S688" s="150" t="s">
        <v>168</v>
      </c>
      <c r="T688" s="151">
        <f ca="1">OFFSET(CÁLCULO!H$15,ROW($T688)-ROW(T$15),0)</f>
        <v>0</v>
      </c>
      <c r="U688" s="152"/>
      <c r="V688" s="153" t="s">
        <v>158</v>
      </c>
      <c r="W688" s="151">
        <f t="shared" ca="1" si="338"/>
        <v>0</v>
      </c>
      <c r="X688" s="154">
        <f t="shared" ca="1" si="339"/>
        <v>0</v>
      </c>
      <c r="Y688" s="155" t="s">
        <v>583</v>
      </c>
      <c r="Z688" t="str">
        <f t="shared" ca="1" si="340"/>
        <v/>
      </c>
      <c r="AA688" s="156">
        <f ca="1">IF($C688="S",IF($Z688="CP",$X688,IF($Z688="RA",(($X688)*QCI!$AA$3),0)),SomaAgrup)</f>
        <v>0</v>
      </c>
      <c r="AB688" s="157">
        <f t="shared" ca="1" si="341"/>
        <v>0</v>
      </c>
      <c r="AC688" s="158" t="str">
        <f t="shared" ca="1" si="342"/>
        <v/>
      </c>
      <c r="AD688" s="104">
        <f ca="1">IF(C688&lt;=CRONO.NivelExibicao,MAX($AD$15:OFFSET(AD688,-1,0))+IF($C688&lt;&gt;1,1,MAX(1,COUNTIF(QCI!$A$13:$A$24,OFFSET($E688,-1,0)))),"")</f>
        <v>24</v>
      </c>
      <c r="AE688" s="114" t="b">
        <f t="shared" ca="1" si="343"/>
        <v>0</v>
      </c>
      <c r="AF688" s="159" t="str">
        <f t="shared" ca="1" si="344"/>
        <v>(abra o arquivo 'Referência 05-2024.xls)</v>
      </c>
      <c r="AG688" s="579">
        <f t="shared" ca="1" si="345"/>
        <v>0</v>
      </c>
      <c r="AH688" s="580">
        <f t="shared" ca="1" si="346"/>
        <v>0.22470000000000001</v>
      </c>
      <c r="AJ688" s="582"/>
      <c r="AL688" s="612"/>
      <c r="AM688" s="430">
        <f t="shared" ca="1" si="347"/>
        <v>0</v>
      </c>
      <c r="AN688" s="655">
        <f t="shared" ca="1" si="348"/>
        <v>0</v>
      </c>
    </row>
    <row r="689" spans="1:40" ht="13.8" x14ac:dyDescent="0.3">
      <c r="A689" t="str">
        <f t="shared" si="327"/>
        <v>S</v>
      </c>
      <c r="B689">
        <f t="shared" ca="1" si="328"/>
        <v>2</v>
      </c>
      <c r="C689" t="str">
        <f t="shared" ca="1" si="329"/>
        <v>S</v>
      </c>
      <c r="D689">
        <f t="shared" ca="1" si="330"/>
        <v>0</v>
      </c>
      <c r="E689">
        <f ca="1">IF($C689=1,OFFSET(E689,-1,0)+MAX(1,COUNTIF(QCI!$A$13:$A$24,OFFSET(ORÇAMENTO!E689,-1,0))),OFFSET(E689,-1,0))</f>
        <v>1</v>
      </c>
      <c r="F689">
        <f t="shared" ca="1" si="331"/>
        <v>23</v>
      </c>
      <c r="G689">
        <f t="shared" ca="1" si="332"/>
        <v>0</v>
      </c>
      <c r="H689">
        <f t="shared" ca="1" si="333"/>
        <v>0</v>
      </c>
      <c r="I689">
        <f t="shared" ca="1" si="334"/>
        <v>0</v>
      </c>
      <c r="J689">
        <f t="shared" ca="1" si="352"/>
        <v>0</v>
      </c>
      <c r="K689">
        <f ca="1">IF(OR($C689="S",$C689=0),0,MATCH(OFFSET($D689,0,$C689)+IF($C689&lt;&gt;1,1,COUNTIF(QCI!$A$13:$A$24,ORÇAMENTO!E689)),OFFSET($D689,1,$C689,ROW($C$710)-ROW($C689)),0))</f>
        <v>0</v>
      </c>
      <c r="L689" s="143" t="str">
        <f t="shared" ca="1" si="335"/>
        <v/>
      </c>
      <c r="M689" s="144" t="s">
        <v>201</v>
      </c>
      <c r="N689" s="145" t="str">
        <f t="shared" ca="1" si="336"/>
        <v>Serviço</v>
      </c>
      <c r="O689" s="146" t="str">
        <f t="shared" ca="1" si="337"/>
        <v>-</v>
      </c>
      <c r="P689" s="147" t="s">
        <v>441</v>
      </c>
      <c r="Q689" s="148" t="s">
        <v>613</v>
      </c>
      <c r="R689" s="149" t="str">
        <f t="shared" ref="R689:R698" ca="1" si="357">IF($C689="S",REFERENCIA.Descricao,"(digite a descrição aqui)")</f>
        <v>(abra o arquivo 'Referência 05-2024.xls)</v>
      </c>
      <c r="S689" s="150" t="str">
        <f t="shared" ref="S689:S698" ca="1" si="358">REFERENCIA.Unidade</f>
        <v>-</v>
      </c>
      <c r="T689" s="151">
        <f ca="1">OFFSET(CÁLCULO!H$15,ROW($T689)-ROW(T$15),0)</f>
        <v>1</v>
      </c>
      <c r="U689" s="152">
        <f t="shared" ca="1" si="351"/>
        <v>0</v>
      </c>
      <c r="V689" s="153" t="s">
        <v>158</v>
      </c>
      <c r="W689" s="151">
        <f t="shared" ca="1" si="338"/>
        <v>0</v>
      </c>
      <c r="X689" s="154">
        <f t="shared" ca="1" si="339"/>
        <v>0</v>
      </c>
      <c r="Y689" s="155" t="s">
        <v>583</v>
      </c>
      <c r="Z689" t="str">
        <f t="shared" ca="1" si="340"/>
        <v/>
      </c>
      <c r="AA689" s="156">
        <f ca="1">IF($C689="S",IF($Z689="CP",$X689,IF($Z689="RA",(($X689)*QCI!$AA$3),0)),SomaAgrup)</f>
        <v>0</v>
      </c>
      <c r="AB689" s="157">
        <f t="shared" ca="1" si="341"/>
        <v>0</v>
      </c>
      <c r="AC689" s="158" t="str">
        <f t="shared" ca="1" si="342"/>
        <v/>
      </c>
      <c r="AD689" s="104" t="str">
        <f ca="1">IF(C689&lt;=CRONO.NivelExibicao,MAX($AD$15:OFFSET(AD689,-1,0))+IF($C689&lt;&gt;1,1,MAX(1,COUNTIF(QCI!$A$13:$A$24,OFFSET($E689,-1,0)))),"")</f>
        <v/>
      </c>
      <c r="AE689" s="114" t="str">
        <f t="shared" ca="1" si="343"/>
        <v>Composição CP-51</v>
      </c>
      <c r="AF689" s="159" t="str">
        <f t="shared" ca="1" si="344"/>
        <v>(abra o arquivo 'Referência 05-2024.xls)</v>
      </c>
      <c r="AG689" s="579">
        <f t="shared" ca="1" si="345"/>
        <v>0</v>
      </c>
      <c r="AH689" s="580">
        <f t="shared" ca="1" si="346"/>
        <v>0.22470000000000001</v>
      </c>
      <c r="AJ689" s="582">
        <v>1</v>
      </c>
      <c r="AL689" s="612"/>
      <c r="AM689" s="430">
        <f t="shared" ca="1" si="347"/>
        <v>0</v>
      </c>
      <c r="AN689" s="655">
        <f t="shared" ca="1" si="348"/>
        <v>0</v>
      </c>
    </row>
    <row r="690" spans="1:40" ht="13.8" x14ac:dyDescent="0.3">
      <c r="A690" t="str">
        <f t="shared" si="327"/>
        <v>S</v>
      </c>
      <c r="B690">
        <f t="shared" ca="1" si="328"/>
        <v>2</v>
      </c>
      <c r="C690" t="str">
        <f t="shared" ca="1" si="329"/>
        <v>S</v>
      </c>
      <c r="D690">
        <f t="shared" ca="1" si="330"/>
        <v>0</v>
      </c>
      <c r="E690">
        <f ca="1">IF($C690=1,OFFSET(E690,-1,0)+MAX(1,COUNTIF(QCI!$A$13:$A$24,OFFSET(ORÇAMENTO!E690,-1,0))),OFFSET(E690,-1,0))</f>
        <v>1</v>
      </c>
      <c r="F690">
        <f t="shared" ca="1" si="331"/>
        <v>23</v>
      </c>
      <c r="G690">
        <f t="shared" ca="1" si="332"/>
        <v>0</v>
      </c>
      <c r="H690">
        <f t="shared" ca="1" si="333"/>
        <v>0</v>
      </c>
      <c r="I690">
        <f t="shared" ca="1" si="334"/>
        <v>0</v>
      </c>
      <c r="J690">
        <f t="shared" ca="1" si="352"/>
        <v>0</v>
      </c>
      <c r="K690">
        <f ca="1">IF(OR($C690="S",$C690=0),0,MATCH(OFFSET($D690,0,$C690)+IF($C690&lt;&gt;1,1,COUNTIF(QCI!$A$13:$A$24,ORÇAMENTO!E690)),OFFSET($D690,1,$C690,ROW($C$710)-ROW($C690)),0))</f>
        <v>0</v>
      </c>
      <c r="L690" s="143" t="str">
        <f t="shared" ca="1" si="335"/>
        <v/>
      </c>
      <c r="M690" s="144" t="s">
        <v>201</v>
      </c>
      <c r="N690" s="145" t="str">
        <f t="shared" ca="1" si="336"/>
        <v>Serviço</v>
      </c>
      <c r="O690" s="146" t="str">
        <f t="shared" ca="1" si="337"/>
        <v>-</v>
      </c>
      <c r="P690" s="147" t="s">
        <v>441</v>
      </c>
      <c r="Q690" s="148" t="s">
        <v>614</v>
      </c>
      <c r="R690" s="149" t="str">
        <f t="shared" ca="1" si="357"/>
        <v>(abra o arquivo 'Referência 05-2024.xls)</v>
      </c>
      <c r="S690" s="150" t="str">
        <f t="shared" ca="1" si="358"/>
        <v>-</v>
      </c>
      <c r="T690" s="151">
        <f ca="1">OFFSET(CÁLCULO!H$15,ROW($T690)-ROW(T$15),0)</f>
        <v>61.78</v>
      </c>
      <c r="U690" s="152">
        <f t="shared" ca="1" si="351"/>
        <v>0</v>
      </c>
      <c r="V690" s="153" t="s">
        <v>158</v>
      </c>
      <c r="W690" s="151">
        <f t="shared" ca="1" si="338"/>
        <v>0</v>
      </c>
      <c r="X690" s="154">
        <f t="shared" ca="1" si="339"/>
        <v>0</v>
      </c>
      <c r="Y690" s="155" t="s">
        <v>583</v>
      </c>
      <c r="Z690" t="str">
        <f t="shared" ca="1" si="340"/>
        <v/>
      </c>
      <c r="AA690" s="156">
        <f ca="1">IF($C690="S",IF($Z690="CP",$X690,IF($Z690="RA",(($X690)*QCI!$AA$3),0)),SomaAgrup)</f>
        <v>0</v>
      </c>
      <c r="AB690" s="157">
        <f t="shared" ca="1" si="341"/>
        <v>0</v>
      </c>
      <c r="AC690" s="158" t="str">
        <f t="shared" ca="1" si="342"/>
        <v/>
      </c>
      <c r="AD690" s="104" t="str">
        <f ca="1">IF(C690&lt;=CRONO.NivelExibicao,MAX($AD$15:OFFSET(AD690,-1,0))+IF($C690&lt;&gt;1,1,MAX(1,COUNTIF(QCI!$A$13:$A$24,OFFSET($E690,-1,0)))),"")</f>
        <v/>
      </c>
      <c r="AE690" s="114" t="str">
        <f t="shared" ca="1" si="343"/>
        <v>Composição CP-52</v>
      </c>
      <c r="AF690" s="159" t="str">
        <f t="shared" ca="1" si="344"/>
        <v>(abra o arquivo 'Referência 05-2024.xls)</v>
      </c>
      <c r="AG690" s="579">
        <f t="shared" ca="1" si="345"/>
        <v>0</v>
      </c>
      <c r="AH690" s="580">
        <f t="shared" ca="1" si="346"/>
        <v>0.22470000000000001</v>
      </c>
      <c r="AJ690" s="582">
        <v>61.78</v>
      </c>
      <c r="AL690" s="612"/>
      <c r="AM690" s="430">
        <f t="shared" ca="1" si="347"/>
        <v>0</v>
      </c>
      <c r="AN690" s="655">
        <f t="shared" ca="1" si="348"/>
        <v>0</v>
      </c>
    </row>
    <row r="691" spans="1:40" ht="13.8" x14ac:dyDescent="0.3">
      <c r="A691" t="str">
        <f t="shared" si="327"/>
        <v>S</v>
      </c>
      <c r="B691">
        <f t="shared" ca="1" si="328"/>
        <v>2</v>
      </c>
      <c r="C691" t="str">
        <f t="shared" ca="1" si="329"/>
        <v>S</v>
      </c>
      <c r="D691">
        <f t="shared" ca="1" si="330"/>
        <v>0</v>
      </c>
      <c r="E691">
        <f ca="1">IF($C691=1,OFFSET(E691,-1,0)+MAX(1,COUNTIF(QCI!$A$13:$A$24,OFFSET(ORÇAMENTO!E691,-1,0))),OFFSET(E691,-1,0))</f>
        <v>1</v>
      </c>
      <c r="F691">
        <f t="shared" ca="1" si="331"/>
        <v>23</v>
      </c>
      <c r="G691">
        <f t="shared" ca="1" si="332"/>
        <v>0</v>
      </c>
      <c r="H691">
        <f t="shared" ca="1" si="333"/>
        <v>0</v>
      </c>
      <c r="I691">
        <f t="shared" ca="1" si="334"/>
        <v>0</v>
      </c>
      <c r="J691">
        <f t="shared" ca="1" si="352"/>
        <v>0</v>
      </c>
      <c r="K691">
        <f ca="1">IF(OR($C691="S",$C691=0),0,MATCH(OFFSET($D691,0,$C691)+IF($C691&lt;&gt;1,1,COUNTIF(QCI!$A$13:$A$24,ORÇAMENTO!E691)),OFFSET($D691,1,$C691,ROW($C$710)-ROW($C691)),0))</f>
        <v>0</v>
      </c>
      <c r="L691" s="143" t="str">
        <f t="shared" ca="1" si="335"/>
        <v/>
      </c>
      <c r="M691" s="144" t="s">
        <v>201</v>
      </c>
      <c r="N691" s="145" t="str">
        <f t="shared" ca="1" si="336"/>
        <v>Serviço</v>
      </c>
      <c r="O691" s="146" t="str">
        <f t="shared" ca="1" si="337"/>
        <v>-</v>
      </c>
      <c r="P691" s="147" t="s">
        <v>441</v>
      </c>
      <c r="Q691" s="148" t="s">
        <v>615</v>
      </c>
      <c r="R691" s="149" t="str">
        <f t="shared" ca="1" si="357"/>
        <v>(abra o arquivo 'Referência 05-2024.xls)</v>
      </c>
      <c r="S691" s="150" t="str">
        <f t="shared" ca="1" si="358"/>
        <v>-</v>
      </c>
      <c r="T691" s="151">
        <f ca="1">OFFSET(CÁLCULO!H$15,ROW($T691)-ROW(T$15),0)</f>
        <v>27.71</v>
      </c>
      <c r="U691" s="152">
        <f t="shared" ca="1" si="351"/>
        <v>0</v>
      </c>
      <c r="V691" s="153" t="s">
        <v>158</v>
      </c>
      <c r="W691" s="151">
        <f t="shared" ca="1" si="338"/>
        <v>0</v>
      </c>
      <c r="X691" s="154">
        <f t="shared" ca="1" si="339"/>
        <v>0</v>
      </c>
      <c r="Y691" s="155" t="s">
        <v>583</v>
      </c>
      <c r="Z691" t="str">
        <f t="shared" ca="1" si="340"/>
        <v/>
      </c>
      <c r="AA691" s="156">
        <f ca="1">IF($C691="S",IF($Z691="CP",$X691,IF($Z691="RA",(($X691)*QCI!$AA$3),0)),SomaAgrup)</f>
        <v>0</v>
      </c>
      <c r="AB691" s="157">
        <f t="shared" ca="1" si="341"/>
        <v>0</v>
      </c>
      <c r="AC691" s="158" t="str">
        <f t="shared" ca="1" si="342"/>
        <v/>
      </c>
      <c r="AD691" s="104" t="str">
        <f ca="1">IF(C691&lt;=CRONO.NivelExibicao,MAX($AD$15:OFFSET(AD691,-1,0))+IF($C691&lt;&gt;1,1,MAX(1,COUNTIF(QCI!$A$13:$A$24,OFFSET($E691,-1,0)))),"")</f>
        <v/>
      </c>
      <c r="AE691" s="114" t="str">
        <f t="shared" ca="1" si="343"/>
        <v>Composição CP-53</v>
      </c>
      <c r="AF691" s="159" t="str">
        <f t="shared" ca="1" si="344"/>
        <v>(abra o arquivo 'Referência 05-2024.xls)</v>
      </c>
      <c r="AG691" s="579">
        <f t="shared" ca="1" si="345"/>
        <v>0</v>
      </c>
      <c r="AH691" s="580">
        <f t="shared" ca="1" si="346"/>
        <v>0.22470000000000001</v>
      </c>
      <c r="AJ691" s="582">
        <v>27.71</v>
      </c>
      <c r="AL691" s="612"/>
      <c r="AM691" s="430">
        <f t="shared" ca="1" si="347"/>
        <v>0</v>
      </c>
      <c r="AN691" s="655">
        <f t="shared" ca="1" si="348"/>
        <v>0</v>
      </c>
    </row>
    <row r="692" spans="1:40" ht="13.8" x14ac:dyDescent="0.3">
      <c r="A692" t="str">
        <f t="shared" si="327"/>
        <v>S</v>
      </c>
      <c r="B692">
        <f t="shared" ca="1" si="328"/>
        <v>2</v>
      </c>
      <c r="C692" t="str">
        <f t="shared" ca="1" si="329"/>
        <v>S</v>
      </c>
      <c r="D692">
        <f t="shared" ca="1" si="330"/>
        <v>0</v>
      </c>
      <c r="E692">
        <f ca="1">IF($C692=1,OFFSET(E692,-1,0)+MAX(1,COUNTIF(QCI!$A$13:$A$24,OFFSET(ORÇAMENTO!E692,-1,0))),OFFSET(E692,-1,0))</f>
        <v>1</v>
      </c>
      <c r="F692">
        <f t="shared" ca="1" si="331"/>
        <v>23</v>
      </c>
      <c r="G692">
        <f t="shared" ca="1" si="332"/>
        <v>0</v>
      </c>
      <c r="H692">
        <f t="shared" ca="1" si="333"/>
        <v>0</v>
      </c>
      <c r="I692">
        <f t="shared" ca="1" si="334"/>
        <v>0</v>
      </c>
      <c r="J692">
        <f t="shared" ca="1" si="352"/>
        <v>0</v>
      </c>
      <c r="K692">
        <f ca="1">IF(OR($C692="S",$C692=0),0,MATCH(OFFSET($D692,0,$C692)+IF($C692&lt;&gt;1,1,COUNTIF(QCI!$A$13:$A$24,ORÇAMENTO!E692)),OFFSET($D692,1,$C692,ROW($C$710)-ROW($C692)),0))</f>
        <v>0</v>
      </c>
      <c r="L692" s="143" t="str">
        <f t="shared" ca="1" si="335"/>
        <v/>
      </c>
      <c r="M692" s="144" t="s">
        <v>201</v>
      </c>
      <c r="N692" s="145" t="str">
        <f t="shared" ca="1" si="336"/>
        <v>Serviço</v>
      </c>
      <c r="O692" s="146" t="str">
        <f t="shared" ca="1" si="337"/>
        <v>-</v>
      </c>
      <c r="P692" s="147" t="s">
        <v>441</v>
      </c>
      <c r="Q692" s="148" t="s">
        <v>616</v>
      </c>
      <c r="R692" s="149" t="str">
        <f t="shared" ca="1" si="357"/>
        <v>(abra o arquivo 'Referência 05-2024.xls)</v>
      </c>
      <c r="S692" s="150" t="str">
        <f t="shared" ca="1" si="358"/>
        <v>-</v>
      </c>
      <c r="T692" s="151">
        <f ca="1">OFFSET(CÁLCULO!H$15,ROW($T692)-ROW(T$15),0)</f>
        <v>0.96</v>
      </c>
      <c r="U692" s="152">
        <f t="shared" ca="1" si="351"/>
        <v>0</v>
      </c>
      <c r="V692" s="153" t="s">
        <v>158</v>
      </c>
      <c r="W692" s="151">
        <f t="shared" ca="1" si="338"/>
        <v>0</v>
      </c>
      <c r="X692" s="154">
        <f t="shared" ca="1" si="339"/>
        <v>0</v>
      </c>
      <c r="Y692" s="155" t="s">
        <v>583</v>
      </c>
      <c r="Z692" t="str">
        <f t="shared" ca="1" si="340"/>
        <v/>
      </c>
      <c r="AA692" s="156">
        <f ca="1">IF($C692="S",IF($Z692="CP",$X692,IF($Z692="RA",(($X692)*QCI!$AA$3),0)),SomaAgrup)</f>
        <v>0</v>
      </c>
      <c r="AB692" s="157">
        <f t="shared" ca="1" si="341"/>
        <v>0</v>
      </c>
      <c r="AC692" s="158" t="str">
        <f t="shared" ca="1" si="342"/>
        <v/>
      </c>
      <c r="AD692" s="104" t="str">
        <f ca="1">IF(C692&lt;=CRONO.NivelExibicao,MAX($AD$15:OFFSET(AD692,-1,0))+IF($C692&lt;&gt;1,1,MAX(1,COUNTIF(QCI!$A$13:$A$24,OFFSET($E692,-1,0)))),"")</f>
        <v/>
      </c>
      <c r="AE692" s="114" t="str">
        <f t="shared" ca="1" si="343"/>
        <v>Composição CP-54</v>
      </c>
      <c r="AF692" s="159" t="str">
        <f t="shared" ca="1" si="344"/>
        <v>(abra o arquivo 'Referência 05-2024.xls)</v>
      </c>
      <c r="AG692" s="579">
        <f t="shared" ca="1" si="345"/>
        <v>0</v>
      </c>
      <c r="AH692" s="580">
        <f t="shared" ca="1" si="346"/>
        <v>0.22470000000000001</v>
      </c>
      <c r="AJ692" s="582">
        <v>0.96</v>
      </c>
      <c r="AL692" s="612"/>
      <c r="AM692" s="430">
        <f t="shared" ca="1" si="347"/>
        <v>0</v>
      </c>
      <c r="AN692" s="655">
        <f t="shared" ca="1" si="348"/>
        <v>0</v>
      </c>
    </row>
    <row r="693" spans="1:40" ht="13.8" x14ac:dyDescent="0.3">
      <c r="A693" t="str">
        <f t="shared" si="327"/>
        <v>S</v>
      </c>
      <c r="B693">
        <f t="shared" ca="1" si="328"/>
        <v>2</v>
      </c>
      <c r="C693" t="str">
        <f t="shared" ca="1" si="329"/>
        <v>S</v>
      </c>
      <c r="D693">
        <f t="shared" ca="1" si="330"/>
        <v>0</v>
      </c>
      <c r="E693">
        <f ca="1">IF($C693=1,OFFSET(E693,-1,0)+MAX(1,COUNTIF(QCI!$A$13:$A$24,OFFSET(ORÇAMENTO!E693,-1,0))),OFFSET(E693,-1,0))</f>
        <v>1</v>
      </c>
      <c r="F693">
        <f t="shared" ca="1" si="331"/>
        <v>23</v>
      </c>
      <c r="G693">
        <f t="shared" ca="1" si="332"/>
        <v>0</v>
      </c>
      <c r="H693">
        <f t="shared" ca="1" si="333"/>
        <v>0</v>
      </c>
      <c r="I693">
        <f t="shared" ca="1" si="334"/>
        <v>0</v>
      </c>
      <c r="J693">
        <f t="shared" ca="1" si="352"/>
        <v>0</v>
      </c>
      <c r="K693">
        <f ca="1">IF(OR($C693="S",$C693=0),0,MATCH(OFFSET($D693,0,$C693)+IF($C693&lt;&gt;1,1,COUNTIF(QCI!$A$13:$A$24,ORÇAMENTO!E693)),OFFSET($D693,1,$C693,ROW($C$710)-ROW($C693)),0))</f>
        <v>0</v>
      </c>
      <c r="L693" s="143" t="str">
        <f t="shared" ca="1" si="335"/>
        <v/>
      </c>
      <c r="M693" s="144" t="s">
        <v>201</v>
      </c>
      <c r="N693" s="145" t="str">
        <f t="shared" ca="1" si="336"/>
        <v>Serviço</v>
      </c>
      <c r="O693" s="146" t="str">
        <f t="shared" ca="1" si="337"/>
        <v>-</v>
      </c>
      <c r="P693" s="147" t="s">
        <v>441</v>
      </c>
      <c r="Q693" s="148" t="s">
        <v>617</v>
      </c>
      <c r="R693" s="149" t="str">
        <f t="shared" ca="1" si="357"/>
        <v>(abra o arquivo 'Referência 05-2024.xls)</v>
      </c>
      <c r="S693" s="150" t="str">
        <f t="shared" ca="1" si="358"/>
        <v>-</v>
      </c>
      <c r="T693" s="151">
        <f ca="1">OFFSET(CÁLCULO!H$15,ROW($T693)-ROW(T$15),0)</f>
        <v>52.5</v>
      </c>
      <c r="U693" s="152">
        <f t="shared" ca="1" si="351"/>
        <v>0</v>
      </c>
      <c r="V693" s="153" t="s">
        <v>158</v>
      </c>
      <c r="W693" s="151">
        <f t="shared" ca="1" si="338"/>
        <v>0</v>
      </c>
      <c r="X693" s="154">
        <f t="shared" ca="1" si="339"/>
        <v>0</v>
      </c>
      <c r="Y693" s="155" t="s">
        <v>583</v>
      </c>
      <c r="Z693" t="str">
        <f t="shared" ca="1" si="340"/>
        <v/>
      </c>
      <c r="AA693" s="156">
        <f ca="1">IF($C693="S",IF($Z693="CP",$X693,IF($Z693="RA",(($X693)*QCI!$AA$3),0)),SomaAgrup)</f>
        <v>0</v>
      </c>
      <c r="AB693" s="157">
        <f t="shared" ca="1" si="341"/>
        <v>0</v>
      </c>
      <c r="AC693" s="158" t="str">
        <f t="shared" ca="1" si="342"/>
        <v/>
      </c>
      <c r="AD693" s="104" t="str">
        <f ca="1">IF(C693&lt;=CRONO.NivelExibicao,MAX($AD$15:OFFSET(AD693,-1,0))+IF($C693&lt;&gt;1,1,MAX(1,COUNTIF(QCI!$A$13:$A$24,OFFSET($E693,-1,0)))),"")</f>
        <v/>
      </c>
      <c r="AE693" s="114" t="str">
        <f t="shared" ca="1" si="343"/>
        <v>Composição CP-55</v>
      </c>
      <c r="AF693" s="159" t="str">
        <f t="shared" ca="1" si="344"/>
        <v>(abra o arquivo 'Referência 05-2024.xls)</v>
      </c>
      <c r="AG693" s="579">
        <f t="shared" ca="1" si="345"/>
        <v>0</v>
      </c>
      <c r="AH693" s="580">
        <f t="shared" ca="1" si="346"/>
        <v>0.22470000000000001</v>
      </c>
      <c r="AJ693" s="582">
        <v>52.5</v>
      </c>
      <c r="AL693" s="612"/>
      <c r="AM693" s="430">
        <f t="shared" ca="1" si="347"/>
        <v>0</v>
      </c>
      <c r="AN693" s="655">
        <f t="shared" ca="1" si="348"/>
        <v>0</v>
      </c>
    </row>
    <row r="694" spans="1:40" ht="13.8" x14ac:dyDescent="0.3">
      <c r="A694" t="str">
        <f t="shared" si="327"/>
        <v>S</v>
      </c>
      <c r="B694">
        <f t="shared" ca="1" si="328"/>
        <v>2</v>
      </c>
      <c r="C694" t="str">
        <f t="shared" ca="1" si="329"/>
        <v>S</v>
      </c>
      <c r="D694">
        <f t="shared" ca="1" si="330"/>
        <v>0</v>
      </c>
      <c r="E694">
        <f ca="1">IF($C694=1,OFFSET(E694,-1,0)+MAX(1,COUNTIF(QCI!$A$13:$A$24,OFFSET(ORÇAMENTO!E694,-1,0))),OFFSET(E694,-1,0))</f>
        <v>1</v>
      </c>
      <c r="F694">
        <f t="shared" ca="1" si="331"/>
        <v>23</v>
      </c>
      <c r="G694">
        <f t="shared" ca="1" si="332"/>
        <v>0</v>
      </c>
      <c r="H694">
        <f t="shared" ca="1" si="333"/>
        <v>0</v>
      </c>
      <c r="I694">
        <f t="shared" ca="1" si="334"/>
        <v>0</v>
      </c>
      <c r="J694">
        <f t="shared" ca="1" si="352"/>
        <v>0</v>
      </c>
      <c r="K694">
        <f ca="1">IF(OR($C694="S",$C694=0),0,MATCH(OFFSET($D694,0,$C694)+IF($C694&lt;&gt;1,1,COUNTIF(QCI!$A$13:$A$24,ORÇAMENTO!E694)),OFFSET($D694,1,$C694,ROW($C$710)-ROW($C694)),0))</f>
        <v>0</v>
      </c>
      <c r="L694" s="143" t="str">
        <f t="shared" ca="1" si="335"/>
        <v/>
      </c>
      <c r="M694" s="144" t="s">
        <v>201</v>
      </c>
      <c r="N694" s="145" t="str">
        <f t="shared" ca="1" si="336"/>
        <v>Serviço</v>
      </c>
      <c r="O694" s="146" t="str">
        <f t="shared" ca="1" si="337"/>
        <v>-</v>
      </c>
      <c r="P694" s="147" t="s">
        <v>578</v>
      </c>
      <c r="Q694" s="148">
        <v>18012004</v>
      </c>
      <c r="R694" s="149" t="str">
        <f t="shared" ca="1" si="357"/>
        <v>(abra o arquivo 'Referência 05-2024.xls)</v>
      </c>
      <c r="S694" s="150" t="str">
        <f t="shared" ca="1" si="358"/>
        <v>-</v>
      </c>
      <c r="T694" s="151">
        <f ca="1">OFFSET(CÁLCULO!H$15,ROW($T694)-ROW(T$15),0)</f>
        <v>53</v>
      </c>
      <c r="U694" s="152">
        <f t="shared" ca="1" si="351"/>
        <v>0</v>
      </c>
      <c r="V694" s="153" t="s">
        <v>158</v>
      </c>
      <c r="W694" s="151">
        <f t="shared" ca="1" si="338"/>
        <v>0</v>
      </c>
      <c r="X694" s="154">
        <f t="shared" ca="1" si="339"/>
        <v>0</v>
      </c>
      <c r="Y694" s="155" t="s">
        <v>583</v>
      </c>
      <c r="Z694" t="str">
        <f t="shared" ca="1" si="340"/>
        <v/>
      </c>
      <c r="AA694" s="156">
        <f ca="1">IF($C694="S",IF($Z694="CP",$X694,IF($Z694="RA",(($X694)*QCI!$AA$3),0)),SomaAgrup)</f>
        <v>0</v>
      </c>
      <c r="AB694" s="157">
        <f t="shared" ca="1" si="341"/>
        <v>0</v>
      </c>
      <c r="AC694" s="158" t="str">
        <f t="shared" ca="1" si="342"/>
        <v/>
      </c>
      <c r="AD694" s="104" t="str">
        <f ca="1">IF(C694&lt;=CRONO.NivelExibicao,MAX($AD$15:OFFSET(AD694,-1,0))+IF($C694&lt;&gt;1,1,MAX(1,COUNTIF(QCI!$A$13:$A$24,OFFSET($E694,-1,0)))),"")</f>
        <v/>
      </c>
      <c r="AE694" s="114" t="str">
        <f t="shared" ca="1" si="343"/>
        <v>SIURB 18012004</v>
      </c>
      <c r="AF694" s="159" t="str">
        <f t="shared" ca="1" si="344"/>
        <v>(abra o arquivo 'Referência 05-2024.xls)</v>
      </c>
      <c r="AG694" s="579">
        <f t="shared" ca="1" si="345"/>
        <v>0</v>
      </c>
      <c r="AH694" s="580">
        <f t="shared" ca="1" si="346"/>
        <v>0.22470000000000001</v>
      </c>
      <c r="AJ694" s="582">
        <v>53</v>
      </c>
      <c r="AL694" s="612"/>
      <c r="AM694" s="430">
        <f t="shared" ca="1" si="347"/>
        <v>0</v>
      </c>
      <c r="AN694" s="655">
        <f t="shared" ca="1" si="348"/>
        <v>0</v>
      </c>
    </row>
    <row r="695" spans="1:40" ht="13.8" x14ac:dyDescent="0.3">
      <c r="A695" t="str">
        <f t="shared" si="327"/>
        <v>S</v>
      </c>
      <c r="B695">
        <f t="shared" ca="1" si="328"/>
        <v>2</v>
      </c>
      <c r="C695" t="str">
        <f t="shared" ca="1" si="329"/>
        <v>S</v>
      </c>
      <c r="D695">
        <f t="shared" ca="1" si="330"/>
        <v>0</v>
      </c>
      <c r="E695">
        <f ca="1">IF($C695=1,OFFSET(E695,-1,0)+MAX(1,COUNTIF(QCI!$A$13:$A$24,OFFSET(ORÇAMENTO!E695,-1,0))),OFFSET(E695,-1,0))</f>
        <v>1</v>
      </c>
      <c r="F695">
        <f t="shared" ca="1" si="331"/>
        <v>23</v>
      </c>
      <c r="G695">
        <f t="shared" ca="1" si="332"/>
        <v>0</v>
      </c>
      <c r="H695">
        <f t="shared" ca="1" si="333"/>
        <v>0</v>
      </c>
      <c r="I695">
        <f t="shared" ca="1" si="334"/>
        <v>0</v>
      </c>
      <c r="J695">
        <f t="shared" ca="1" si="352"/>
        <v>0</v>
      </c>
      <c r="K695">
        <f ca="1">IF(OR($C695="S",$C695=0),0,MATCH(OFFSET($D695,0,$C695)+IF($C695&lt;&gt;1,1,COUNTIF(QCI!$A$13:$A$24,ORÇAMENTO!E695)),OFFSET($D695,1,$C695,ROW($C$710)-ROW($C695)),0))</f>
        <v>0</v>
      </c>
      <c r="L695" s="143" t="str">
        <f t="shared" ca="1" si="335"/>
        <v/>
      </c>
      <c r="M695" s="144" t="s">
        <v>201</v>
      </c>
      <c r="N695" s="145" t="str">
        <f t="shared" ca="1" si="336"/>
        <v>Serviço</v>
      </c>
      <c r="O695" s="146" t="str">
        <f t="shared" ca="1" si="337"/>
        <v>-</v>
      </c>
      <c r="P695" s="147" t="s">
        <v>578</v>
      </c>
      <c r="Q695" s="148">
        <v>18012018</v>
      </c>
      <c r="R695" s="149" t="str">
        <f t="shared" ca="1" si="357"/>
        <v>(abra o arquivo 'Referência 05-2024.xls)</v>
      </c>
      <c r="S695" s="150" t="str">
        <f t="shared" ca="1" si="358"/>
        <v>-</v>
      </c>
      <c r="T695" s="151">
        <f ca="1">OFFSET(CÁLCULO!H$15,ROW($T695)-ROW(T$15),0)</f>
        <v>24</v>
      </c>
      <c r="U695" s="152">
        <f t="shared" ca="1" si="351"/>
        <v>0</v>
      </c>
      <c r="V695" s="153" t="s">
        <v>158</v>
      </c>
      <c r="W695" s="151">
        <f t="shared" ca="1" si="338"/>
        <v>0</v>
      </c>
      <c r="X695" s="154">
        <f t="shared" ca="1" si="339"/>
        <v>0</v>
      </c>
      <c r="Y695" s="155" t="s">
        <v>583</v>
      </c>
      <c r="Z695" t="str">
        <f t="shared" ca="1" si="340"/>
        <v/>
      </c>
      <c r="AA695" s="156">
        <f ca="1">IF($C695="S",IF($Z695="CP",$X695,IF($Z695="RA",(($X695)*QCI!$AA$3),0)),SomaAgrup)</f>
        <v>0</v>
      </c>
      <c r="AB695" s="157">
        <f t="shared" ca="1" si="341"/>
        <v>0</v>
      </c>
      <c r="AC695" s="158" t="str">
        <f t="shared" ca="1" si="342"/>
        <v/>
      </c>
      <c r="AD695" s="104" t="str">
        <f ca="1">IF(C695&lt;=CRONO.NivelExibicao,MAX($AD$15:OFFSET(AD695,-1,0))+IF($C695&lt;&gt;1,1,MAX(1,COUNTIF(QCI!$A$13:$A$24,OFFSET($E695,-1,0)))),"")</f>
        <v/>
      </c>
      <c r="AE695" s="114" t="str">
        <f t="shared" ca="1" si="343"/>
        <v>SIURB 18012018</v>
      </c>
      <c r="AF695" s="159" t="str">
        <f t="shared" ca="1" si="344"/>
        <v>(abra o arquivo 'Referência 05-2024.xls)</v>
      </c>
      <c r="AG695" s="579">
        <f t="shared" ca="1" si="345"/>
        <v>0</v>
      </c>
      <c r="AH695" s="580">
        <f t="shared" ca="1" si="346"/>
        <v>0.22470000000000001</v>
      </c>
      <c r="AJ695" s="582">
        <v>24</v>
      </c>
      <c r="AL695" s="612"/>
      <c r="AM695" s="430">
        <f t="shared" ca="1" si="347"/>
        <v>0</v>
      </c>
      <c r="AN695" s="655">
        <f t="shared" ca="1" si="348"/>
        <v>0</v>
      </c>
    </row>
    <row r="696" spans="1:40" ht="13.8" x14ac:dyDescent="0.3">
      <c r="A696" t="str">
        <f t="shared" si="327"/>
        <v>S</v>
      </c>
      <c r="B696">
        <f t="shared" ca="1" si="328"/>
        <v>2</v>
      </c>
      <c r="C696" t="str">
        <f t="shared" ca="1" si="329"/>
        <v>S</v>
      </c>
      <c r="D696">
        <f t="shared" ca="1" si="330"/>
        <v>0</v>
      </c>
      <c r="E696">
        <f ca="1">IF($C696=1,OFFSET(E696,-1,0)+MAX(1,COUNTIF(QCI!$A$13:$A$24,OFFSET(ORÇAMENTO!E696,-1,0))),OFFSET(E696,-1,0))</f>
        <v>1</v>
      </c>
      <c r="F696">
        <f t="shared" ca="1" si="331"/>
        <v>23</v>
      </c>
      <c r="G696">
        <f t="shared" ca="1" si="332"/>
        <v>0</v>
      </c>
      <c r="H696">
        <f t="shared" ca="1" si="333"/>
        <v>0</v>
      </c>
      <c r="I696">
        <f t="shared" ca="1" si="334"/>
        <v>0</v>
      </c>
      <c r="J696">
        <f t="shared" ca="1" si="352"/>
        <v>0</v>
      </c>
      <c r="K696">
        <f ca="1">IF(OR($C696="S",$C696=0),0,MATCH(OFFSET($D696,0,$C696)+IF($C696&lt;&gt;1,1,COUNTIF(QCI!$A$13:$A$24,ORÇAMENTO!E696)),OFFSET($D696,1,$C696,ROW($C$710)-ROW($C696)),0))</f>
        <v>0</v>
      </c>
      <c r="L696" s="143" t="str">
        <f t="shared" ca="1" si="335"/>
        <v/>
      </c>
      <c r="M696" s="144" t="s">
        <v>201</v>
      </c>
      <c r="N696" s="145" t="str">
        <f t="shared" ca="1" si="336"/>
        <v>Serviço</v>
      </c>
      <c r="O696" s="146" t="str">
        <f t="shared" ca="1" si="337"/>
        <v>-</v>
      </c>
      <c r="P696" s="147" t="s">
        <v>249</v>
      </c>
      <c r="Q696" s="148">
        <v>101965</v>
      </c>
      <c r="R696" s="149" t="str">
        <f t="shared" ca="1" si="357"/>
        <v>(abra o arquivo 'Referência 05-2024.xls)</v>
      </c>
      <c r="S696" s="150" t="str">
        <f t="shared" ca="1" si="358"/>
        <v>-</v>
      </c>
      <c r="T696" s="151">
        <f ca="1">OFFSET(CÁLCULO!H$15,ROW($T696)-ROW(T$15),0)</f>
        <v>85.38</v>
      </c>
      <c r="U696" s="152">
        <f t="shared" ca="1" si="351"/>
        <v>0</v>
      </c>
      <c r="V696" s="153" t="s">
        <v>158</v>
      </c>
      <c r="W696" s="151">
        <f t="shared" ca="1" si="338"/>
        <v>0</v>
      </c>
      <c r="X696" s="154">
        <f t="shared" ca="1" si="339"/>
        <v>0</v>
      </c>
      <c r="Y696" s="155" t="s">
        <v>583</v>
      </c>
      <c r="Z696" t="str">
        <f t="shared" ca="1" si="340"/>
        <v/>
      </c>
      <c r="AA696" s="156">
        <f ca="1">IF($C696="S",IF($Z696="CP",$X696,IF($Z696="RA",(($X696)*QCI!$AA$3),0)),SomaAgrup)</f>
        <v>0</v>
      </c>
      <c r="AB696" s="157">
        <f t="shared" ca="1" si="341"/>
        <v>0</v>
      </c>
      <c r="AC696" s="158" t="str">
        <f t="shared" ca="1" si="342"/>
        <v/>
      </c>
      <c r="AD696" s="104" t="str">
        <f ca="1">IF(C696&lt;=CRONO.NivelExibicao,MAX($AD$15:OFFSET(AD696,-1,0))+IF($C696&lt;&gt;1,1,MAX(1,COUNTIF(QCI!$A$13:$A$24,OFFSET($E696,-1,0)))),"")</f>
        <v/>
      </c>
      <c r="AE696" s="114" t="str">
        <f t="shared" ca="1" si="343"/>
        <v>SINAPI 101965</v>
      </c>
      <c r="AF696" s="159" t="str">
        <f t="shared" ca="1" si="344"/>
        <v>(abra o arquivo 'Referência 05-2024.xls)</v>
      </c>
      <c r="AG696" s="579">
        <f t="shared" ca="1" si="345"/>
        <v>0</v>
      </c>
      <c r="AH696" s="580">
        <f t="shared" ca="1" si="346"/>
        <v>0.22470000000000001</v>
      </c>
      <c r="AJ696" s="582">
        <v>85.38</v>
      </c>
      <c r="AL696" s="612"/>
      <c r="AM696" s="430">
        <f t="shared" ca="1" si="347"/>
        <v>0</v>
      </c>
      <c r="AN696" s="655">
        <f t="shared" ca="1" si="348"/>
        <v>0</v>
      </c>
    </row>
    <row r="697" spans="1:40" ht="13.8" x14ac:dyDescent="0.3">
      <c r="A697" t="str">
        <f t="shared" si="327"/>
        <v>S</v>
      </c>
      <c r="B697">
        <f t="shared" ca="1" si="328"/>
        <v>2</v>
      </c>
      <c r="C697" t="str">
        <f t="shared" ca="1" si="329"/>
        <v>S</v>
      </c>
      <c r="D697">
        <f t="shared" ca="1" si="330"/>
        <v>0</v>
      </c>
      <c r="E697">
        <f ca="1">IF($C697=1,OFFSET(E697,-1,0)+MAX(1,COUNTIF(QCI!$A$13:$A$24,OFFSET(ORÇAMENTO!E697,-1,0))),OFFSET(E697,-1,0))</f>
        <v>1</v>
      </c>
      <c r="F697">
        <f t="shared" ca="1" si="331"/>
        <v>23</v>
      </c>
      <c r="G697">
        <f t="shared" ca="1" si="332"/>
        <v>0</v>
      </c>
      <c r="H697">
        <f t="shared" ca="1" si="333"/>
        <v>0</v>
      </c>
      <c r="I697">
        <f t="shared" ca="1" si="334"/>
        <v>0</v>
      </c>
      <c r="J697">
        <f t="shared" ca="1" si="352"/>
        <v>0</v>
      </c>
      <c r="K697">
        <f ca="1">IF(OR($C697="S",$C697=0),0,MATCH(OFFSET($D697,0,$C697)+IF($C697&lt;&gt;1,1,COUNTIF(QCI!$A$13:$A$24,ORÇAMENTO!E697)),OFFSET($D697,1,$C697,ROW($C$710)-ROW($C697)),0))</f>
        <v>0</v>
      </c>
      <c r="L697" s="143" t="str">
        <f t="shared" ca="1" si="335"/>
        <v/>
      </c>
      <c r="M697" s="144" t="s">
        <v>201</v>
      </c>
      <c r="N697" s="145" t="str">
        <f t="shared" ca="1" si="336"/>
        <v>Serviço</v>
      </c>
      <c r="O697" s="146" t="str">
        <f t="shared" ca="1" si="337"/>
        <v>-</v>
      </c>
      <c r="P697" s="147" t="s">
        <v>249</v>
      </c>
      <c r="Q697" s="148">
        <v>100861</v>
      </c>
      <c r="R697" s="149" t="str">
        <f t="shared" ca="1" si="357"/>
        <v>(abra o arquivo 'Referência 05-2024.xls)</v>
      </c>
      <c r="S697" s="150" t="str">
        <f t="shared" ca="1" si="358"/>
        <v>-</v>
      </c>
      <c r="T697" s="151">
        <f ca="1">OFFSET(CÁLCULO!H$15,ROW($T697)-ROW(T$15),0)</f>
        <v>87</v>
      </c>
      <c r="U697" s="152">
        <f t="shared" ca="1" si="351"/>
        <v>0</v>
      </c>
      <c r="V697" s="153" t="s">
        <v>158</v>
      </c>
      <c r="W697" s="151">
        <f t="shared" ca="1" si="338"/>
        <v>0</v>
      </c>
      <c r="X697" s="154">
        <f t="shared" ca="1" si="339"/>
        <v>0</v>
      </c>
      <c r="Y697" s="155" t="s">
        <v>583</v>
      </c>
      <c r="Z697" t="str">
        <f t="shared" ca="1" si="340"/>
        <v/>
      </c>
      <c r="AA697" s="156">
        <f ca="1">IF($C697="S",IF($Z697="CP",$X697,IF($Z697="RA",(($X697)*QCI!$AA$3),0)),SomaAgrup)</f>
        <v>0</v>
      </c>
      <c r="AB697" s="157">
        <f t="shared" ca="1" si="341"/>
        <v>0</v>
      </c>
      <c r="AC697" s="158" t="str">
        <f t="shared" ca="1" si="342"/>
        <v/>
      </c>
      <c r="AD697" s="104" t="str">
        <f ca="1">IF(C697&lt;=CRONO.NivelExibicao,MAX($AD$15:OFFSET(AD697,-1,0))+IF($C697&lt;&gt;1,1,MAX(1,COUNTIF(QCI!$A$13:$A$24,OFFSET($E697,-1,0)))),"")</f>
        <v/>
      </c>
      <c r="AE697" s="114" t="str">
        <f t="shared" ca="1" si="343"/>
        <v>SINAPI 100861</v>
      </c>
      <c r="AF697" s="159" t="str">
        <f t="shared" ca="1" si="344"/>
        <v>(abra o arquivo 'Referência 05-2024.xls)</v>
      </c>
      <c r="AG697" s="579">
        <f t="shared" ca="1" si="345"/>
        <v>0</v>
      </c>
      <c r="AH697" s="580">
        <f t="shared" ca="1" si="346"/>
        <v>0.22470000000000001</v>
      </c>
      <c r="AJ697" s="582">
        <v>87</v>
      </c>
      <c r="AL697" s="612"/>
      <c r="AM697" s="430">
        <f t="shared" ca="1" si="347"/>
        <v>0</v>
      </c>
      <c r="AN697" s="655">
        <f t="shared" ca="1" si="348"/>
        <v>0</v>
      </c>
    </row>
    <row r="698" spans="1:40" ht="13.8" x14ac:dyDescent="0.3">
      <c r="A698" t="str">
        <f t="shared" si="327"/>
        <v>S</v>
      </c>
      <c r="B698">
        <f t="shared" ca="1" si="328"/>
        <v>2</v>
      </c>
      <c r="C698" t="str">
        <f t="shared" ca="1" si="329"/>
        <v>S</v>
      </c>
      <c r="D698">
        <f t="shared" ca="1" si="330"/>
        <v>0</v>
      </c>
      <c r="E698">
        <f ca="1">IF($C698=1,OFFSET(E698,-1,0)+MAX(1,COUNTIF(QCI!$A$13:$A$24,OFFSET(ORÇAMENTO!E698,-1,0))),OFFSET(E698,-1,0))</f>
        <v>1</v>
      </c>
      <c r="F698">
        <f t="shared" ca="1" si="331"/>
        <v>23</v>
      </c>
      <c r="G698">
        <f t="shared" ca="1" si="332"/>
        <v>0</v>
      </c>
      <c r="H698">
        <f t="shared" ca="1" si="333"/>
        <v>0</v>
      </c>
      <c r="I698">
        <f t="shared" ca="1" si="334"/>
        <v>0</v>
      </c>
      <c r="J698">
        <f t="shared" ca="1" si="352"/>
        <v>0</v>
      </c>
      <c r="K698">
        <f ca="1">IF(OR($C698="S",$C698=0),0,MATCH(OFFSET($D698,0,$C698)+IF($C698&lt;&gt;1,1,COUNTIF(QCI!$A$13:$A$24,ORÇAMENTO!E698)),OFFSET($D698,1,$C698,ROW($C$710)-ROW($C698)),0))</f>
        <v>0</v>
      </c>
      <c r="L698" s="143" t="str">
        <f t="shared" ca="1" si="335"/>
        <v/>
      </c>
      <c r="M698" s="144" t="s">
        <v>201</v>
      </c>
      <c r="N698" s="145" t="str">
        <f t="shared" ca="1" si="336"/>
        <v>Serviço</v>
      </c>
      <c r="O698" s="146" t="str">
        <f t="shared" ca="1" si="337"/>
        <v>-</v>
      </c>
      <c r="P698" s="147" t="s">
        <v>441</v>
      </c>
      <c r="Q698" s="148" t="s">
        <v>620</v>
      </c>
      <c r="R698" s="149" t="str">
        <f t="shared" ca="1" si="357"/>
        <v>(abra o arquivo 'Referência 05-2024.xls)</v>
      </c>
      <c r="S698" s="150" t="str">
        <f t="shared" ca="1" si="358"/>
        <v>-</v>
      </c>
      <c r="T698" s="151">
        <f ca="1">OFFSET(CÁLCULO!H$15,ROW($T698)-ROW(T$15),0)</f>
        <v>16.5</v>
      </c>
      <c r="U698" s="152">
        <f t="shared" ca="1" si="351"/>
        <v>0</v>
      </c>
      <c r="V698" s="153" t="s">
        <v>158</v>
      </c>
      <c r="W698" s="151">
        <f t="shared" ca="1" si="338"/>
        <v>0</v>
      </c>
      <c r="X698" s="154">
        <f t="shared" ca="1" si="339"/>
        <v>0</v>
      </c>
      <c r="Y698" s="155" t="s">
        <v>583</v>
      </c>
      <c r="Z698" t="str">
        <f t="shared" ca="1" si="340"/>
        <v/>
      </c>
      <c r="AA698" s="156">
        <f ca="1">IF($C698="S",IF($Z698="CP",$X698,IF($Z698="RA",(($X698)*QCI!$AA$3),0)),SomaAgrup)</f>
        <v>0</v>
      </c>
      <c r="AB698" s="157">
        <f t="shared" ca="1" si="341"/>
        <v>0</v>
      </c>
      <c r="AC698" s="158" t="str">
        <f t="shared" ca="1" si="342"/>
        <v/>
      </c>
      <c r="AD698" s="104" t="str">
        <f ca="1">IF(C698&lt;=CRONO.NivelExibicao,MAX($AD$15:OFFSET(AD698,-1,0))+IF($C698&lt;&gt;1,1,MAX(1,COUNTIF(QCI!$A$13:$A$24,OFFSET($E698,-1,0)))),"")</f>
        <v/>
      </c>
      <c r="AE698" s="114" t="str">
        <f t="shared" ca="1" si="343"/>
        <v>Composição CP-56</v>
      </c>
      <c r="AF698" s="159" t="str">
        <f t="shared" ca="1" si="344"/>
        <v>(abra o arquivo 'Referência 05-2024.xls)</v>
      </c>
      <c r="AG698" s="579">
        <f t="shared" ca="1" si="345"/>
        <v>0</v>
      </c>
      <c r="AH698" s="580">
        <f t="shared" ca="1" si="346"/>
        <v>0.22470000000000001</v>
      </c>
      <c r="AJ698" s="582">
        <v>16.5</v>
      </c>
      <c r="AL698" s="612"/>
      <c r="AM698" s="430">
        <f t="shared" ca="1" si="347"/>
        <v>0</v>
      </c>
      <c r="AN698" s="655">
        <f t="shared" ca="1" si="348"/>
        <v>0</v>
      </c>
    </row>
    <row r="699" spans="1:40" ht="13.8" x14ac:dyDescent="0.3">
      <c r="A699">
        <f t="shared" si="327"/>
        <v>2</v>
      </c>
      <c r="B699">
        <f t="shared" ca="1" si="328"/>
        <v>2</v>
      </c>
      <c r="C699">
        <f t="shared" ca="1" si="329"/>
        <v>2</v>
      </c>
      <c r="D699">
        <f t="shared" ca="1" si="330"/>
        <v>3</v>
      </c>
      <c r="E699">
        <f ca="1">IF($C699=1,OFFSET(E699,-1,0)+MAX(1,COUNTIF(QCI!$A$13:$A$24,OFFSET(ORÇAMENTO!E699,-1,0))),OFFSET(E699,-1,0))</f>
        <v>1</v>
      </c>
      <c r="F699">
        <f t="shared" ca="1" si="331"/>
        <v>24</v>
      </c>
      <c r="G699">
        <f t="shared" ca="1" si="332"/>
        <v>0</v>
      </c>
      <c r="H699">
        <f t="shared" ca="1" si="333"/>
        <v>0</v>
      </c>
      <c r="I699">
        <f t="shared" ca="1" si="334"/>
        <v>0</v>
      </c>
      <c r="J699">
        <f t="shared" ca="1" si="352"/>
        <v>3</v>
      </c>
      <c r="K699" t="e">
        <f ca="1">IF(OR($C699="S",$C699=0),0,MATCH(OFFSET($D699,0,$C699)+IF($C699&lt;&gt;1,1,COUNTIF(QCI!$A$13:$A$24,ORÇAMENTO!E699)),OFFSET($D699,1,$C699,ROW($C$710)-ROW($C699)),0))</f>
        <v>#N/A</v>
      </c>
      <c r="L699" s="143" t="str">
        <f t="shared" ca="1" si="335"/>
        <v>F</v>
      </c>
      <c r="M699" s="144" t="s">
        <v>198</v>
      </c>
      <c r="N699" s="145" t="str">
        <f t="shared" ca="1" si="336"/>
        <v>Nível 2</v>
      </c>
      <c r="O699" s="146" t="str">
        <f t="shared" ca="1" si="337"/>
        <v>1.24.</v>
      </c>
      <c r="P699" s="147" t="s">
        <v>249</v>
      </c>
      <c r="Q699" s="148"/>
      <c r="R699" s="149" t="s">
        <v>564</v>
      </c>
      <c r="S699" s="150" t="s">
        <v>168</v>
      </c>
      <c r="T699" s="151">
        <f ca="1">OFFSET(CÁLCULO!H$15,ROW($T699)-ROW(T$15),0)</f>
        <v>0</v>
      </c>
      <c r="U699" s="152">
        <f t="shared" ca="1" si="351"/>
        <v>0</v>
      </c>
      <c r="V699" s="153" t="s">
        <v>158</v>
      </c>
      <c r="W699" s="151">
        <f t="shared" ca="1" si="338"/>
        <v>0</v>
      </c>
      <c r="X699" s="154">
        <f t="shared" ca="1" si="339"/>
        <v>0</v>
      </c>
      <c r="Y699" s="155" t="s">
        <v>583</v>
      </c>
      <c r="Z699" t="str">
        <f t="shared" ca="1" si="340"/>
        <v/>
      </c>
      <c r="AA699" s="156">
        <f ca="1">IF($C699="S",IF($Z699="CP",$X699,IF($Z699="RA",(($X699)*QCI!$AA$3),0)),SomaAgrup)</f>
        <v>0</v>
      </c>
      <c r="AB699" s="157">
        <f t="shared" ca="1" si="341"/>
        <v>0</v>
      </c>
      <c r="AC699" s="158" t="str">
        <f t="shared" ca="1" si="342"/>
        <v/>
      </c>
      <c r="AD699" s="104">
        <f ca="1">IF(C699&lt;=CRONO.NivelExibicao,MAX($AD$15:OFFSET(AD699,-1,0))+IF($C699&lt;&gt;1,1,MAX(1,COUNTIF(QCI!$A$13:$A$24,OFFSET($E699,-1,0)))),"")</f>
        <v>25</v>
      </c>
      <c r="AE699" s="114" t="b">
        <f t="shared" ca="1" si="343"/>
        <v>0</v>
      </c>
      <c r="AF699" s="159" t="str">
        <f t="shared" ca="1" si="344"/>
        <v>(abra o arquivo 'Referência 05-2024.xls)</v>
      </c>
      <c r="AG699" s="579">
        <f t="shared" ca="1" si="345"/>
        <v>0</v>
      </c>
      <c r="AH699" s="580">
        <f t="shared" ca="1" si="346"/>
        <v>0.22470000000000001</v>
      </c>
      <c r="AJ699" s="582"/>
      <c r="AL699" s="612"/>
      <c r="AM699" s="430">
        <f t="shared" ca="1" si="347"/>
        <v>0</v>
      </c>
      <c r="AN699" s="655">
        <f t="shared" ca="1" si="348"/>
        <v>0</v>
      </c>
    </row>
    <row r="700" spans="1:40" ht="13.8" x14ac:dyDescent="0.3">
      <c r="A700" t="str">
        <f t="shared" si="327"/>
        <v>S</v>
      </c>
      <c r="B700">
        <f t="shared" ca="1" si="328"/>
        <v>2</v>
      </c>
      <c r="C700" t="str">
        <f t="shared" ca="1" si="329"/>
        <v>S</v>
      </c>
      <c r="D700">
        <f t="shared" ca="1" si="330"/>
        <v>0</v>
      </c>
      <c r="E700">
        <f ca="1">IF($C700=1,OFFSET(E700,-1,0)+MAX(1,COUNTIF(QCI!$A$13:$A$24,OFFSET(ORÇAMENTO!E700,-1,0))),OFFSET(E700,-1,0))</f>
        <v>1</v>
      </c>
      <c r="F700">
        <f t="shared" ca="1" si="331"/>
        <v>24</v>
      </c>
      <c r="G700">
        <f t="shared" ca="1" si="332"/>
        <v>0</v>
      </c>
      <c r="H700">
        <f t="shared" ca="1" si="333"/>
        <v>0</v>
      </c>
      <c r="I700">
        <f t="shared" ca="1" si="334"/>
        <v>0</v>
      </c>
      <c r="J700">
        <f t="shared" ca="1" si="352"/>
        <v>0</v>
      </c>
      <c r="K700">
        <f ca="1">IF(OR($C700="S",$C700=0),0,MATCH(OFFSET($D700,0,$C700)+IF($C700&lt;&gt;1,1,COUNTIF(QCI!$A$13:$A$24,ORÇAMENTO!E700)),OFFSET($D700,1,$C700,ROW($C$710)-ROW($C700)),0))</f>
        <v>0</v>
      </c>
      <c r="L700" s="143" t="str">
        <f t="shared" ca="1" si="335"/>
        <v/>
      </c>
      <c r="M700" s="144" t="s">
        <v>201</v>
      </c>
      <c r="N700" s="145" t="str">
        <f t="shared" ca="1" si="336"/>
        <v>Serviço</v>
      </c>
      <c r="O700" s="146" t="str">
        <f t="shared" ca="1" si="337"/>
        <v>-</v>
      </c>
      <c r="P700" s="147" t="s">
        <v>249</v>
      </c>
      <c r="Q700" s="148">
        <v>99803</v>
      </c>
      <c r="R700" s="149" t="str">
        <f ca="1">IF($C700="S",REFERENCIA.Descricao,"(digite a descrição aqui)")</f>
        <v>(abra o arquivo 'Referência 05-2024.xls)</v>
      </c>
      <c r="S700" s="150" t="str">
        <f ca="1">REFERENCIA.Unidade</f>
        <v>-</v>
      </c>
      <c r="T700" s="151">
        <f ca="1">OFFSET(CÁLCULO!H$15,ROW($T700)-ROW(T$15),0)</f>
        <v>2935.25</v>
      </c>
      <c r="U700" s="152">
        <f t="shared" ca="1" si="351"/>
        <v>0</v>
      </c>
      <c r="V700" s="153" t="s">
        <v>158</v>
      </c>
      <c r="W700" s="151">
        <f t="shared" ca="1" si="338"/>
        <v>0</v>
      </c>
      <c r="X700" s="154">
        <f t="shared" ca="1" si="339"/>
        <v>0</v>
      </c>
      <c r="Y700" s="155" t="s">
        <v>583</v>
      </c>
      <c r="Z700" t="str">
        <f t="shared" ca="1" si="340"/>
        <v/>
      </c>
      <c r="AA700" s="156">
        <f ca="1">IF($C700="S",IF($Z700="CP",$X700,IF($Z700="RA",(($X700)*QCI!$AA$3),0)),SomaAgrup)</f>
        <v>0</v>
      </c>
      <c r="AB700" s="157">
        <f t="shared" ca="1" si="341"/>
        <v>0</v>
      </c>
      <c r="AC700" s="158" t="str">
        <f t="shared" ca="1" si="342"/>
        <v/>
      </c>
      <c r="AD700" s="104" t="str">
        <f ca="1">IF(C700&lt;=CRONO.NivelExibicao,MAX($AD$15:OFFSET(AD700,-1,0))+IF($C700&lt;&gt;1,1,MAX(1,COUNTIF(QCI!$A$13:$A$24,OFFSET($E700,-1,0)))),"")</f>
        <v/>
      </c>
      <c r="AE700" s="114" t="str">
        <f t="shared" ca="1" si="343"/>
        <v>SINAPI 99803</v>
      </c>
      <c r="AF700" s="159" t="str">
        <f t="shared" ca="1" si="344"/>
        <v>(abra o arquivo 'Referência 05-2024.xls)</v>
      </c>
      <c r="AG700" s="579">
        <f t="shared" ca="1" si="345"/>
        <v>0</v>
      </c>
      <c r="AH700" s="580">
        <f t="shared" ca="1" si="346"/>
        <v>0.22470000000000001</v>
      </c>
      <c r="AJ700" s="582">
        <v>2935.25</v>
      </c>
      <c r="AL700" s="612"/>
      <c r="AM700" s="430">
        <f t="shared" ca="1" si="347"/>
        <v>0</v>
      </c>
      <c r="AN700" s="655">
        <f t="shared" ca="1" si="348"/>
        <v>0</v>
      </c>
    </row>
    <row r="701" spans="1:40" ht="13.8" x14ac:dyDescent="0.3">
      <c r="A701" t="str">
        <f t="shared" si="327"/>
        <v>S</v>
      </c>
      <c r="B701">
        <f t="shared" ca="1" si="328"/>
        <v>2</v>
      </c>
      <c r="C701" t="str">
        <f t="shared" ca="1" si="329"/>
        <v>S</v>
      </c>
      <c r="D701">
        <f t="shared" ca="1" si="330"/>
        <v>0</v>
      </c>
      <c r="E701">
        <f ca="1">IF($C701=1,OFFSET(E701,-1,0)+MAX(1,COUNTIF(QCI!$A$13:$A$24,OFFSET(ORÇAMENTO!E701,-1,0))),OFFSET(E701,-1,0))</f>
        <v>1</v>
      </c>
      <c r="F701">
        <f t="shared" ca="1" si="331"/>
        <v>24</v>
      </c>
      <c r="G701">
        <f t="shared" ca="1" si="332"/>
        <v>0</v>
      </c>
      <c r="H701">
        <f t="shared" ca="1" si="333"/>
        <v>0</v>
      </c>
      <c r="I701">
        <f t="shared" ca="1" si="334"/>
        <v>0</v>
      </c>
      <c r="J701">
        <f t="shared" ca="1" si="352"/>
        <v>0</v>
      </c>
      <c r="K701">
        <f ca="1">IF(OR($C701="S",$C701=0),0,MATCH(OFFSET($D701,0,$C701)+IF($C701&lt;&gt;1,1,COUNTIF(QCI!$A$13:$A$24,ORÇAMENTO!E701)),OFFSET($D701,1,$C701,ROW($C$710)-ROW($C701)),0))</f>
        <v>0</v>
      </c>
      <c r="L701" s="143" t="str">
        <f t="shared" ca="1" si="335"/>
        <v/>
      </c>
      <c r="M701" s="144" t="s">
        <v>201</v>
      </c>
      <c r="N701" s="145" t="str">
        <f t="shared" ca="1" si="336"/>
        <v>Serviço</v>
      </c>
      <c r="O701" s="146" t="str">
        <f t="shared" ca="1" si="337"/>
        <v>-</v>
      </c>
      <c r="P701" s="147" t="s">
        <v>441</v>
      </c>
      <c r="Q701" s="148" t="s">
        <v>636</v>
      </c>
      <c r="R701" s="149" t="str">
        <f ca="1">IF($C701="S",REFERENCIA.Descricao,"(digite a descrição aqui)")</f>
        <v>(abra o arquivo 'Referência 05-2024.xls)</v>
      </c>
      <c r="S701" s="150" t="str">
        <f ca="1">REFERENCIA.Unidade</f>
        <v>-</v>
      </c>
      <c r="T701" s="151">
        <f ca="1">OFFSET(CÁLCULO!H$15,ROW($T701)-ROW(T$15),0)</f>
        <v>1</v>
      </c>
      <c r="U701" s="152">
        <f t="shared" ca="1" si="351"/>
        <v>0</v>
      </c>
      <c r="V701" s="153" t="s">
        <v>193</v>
      </c>
      <c r="W701" s="151">
        <f t="shared" ca="1" si="338"/>
        <v>0</v>
      </c>
      <c r="X701" s="154">
        <f t="shared" ca="1" si="339"/>
        <v>0</v>
      </c>
      <c r="Y701" s="155" t="s">
        <v>583</v>
      </c>
      <c r="Z701" t="str">
        <f t="shared" ca="1" si="340"/>
        <v/>
      </c>
      <c r="AA701" s="156">
        <f ca="1">IF($C701="S",IF($Z701="CP",$X701,IF($Z701="RA",(($X701)*QCI!$AA$3),0)),SomaAgrup)</f>
        <v>0</v>
      </c>
      <c r="AB701" s="157">
        <f t="shared" ca="1" si="341"/>
        <v>0</v>
      </c>
      <c r="AC701" s="158" t="str">
        <f t="shared" ca="1" si="342"/>
        <v/>
      </c>
      <c r="AD701" s="104" t="str">
        <f ca="1">IF(C701&lt;=CRONO.NivelExibicao,MAX($AD$15:OFFSET(AD701,-1,0))+IF($C701&lt;&gt;1,1,MAX(1,COUNTIF(QCI!$A$13:$A$24,OFFSET($E701,-1,0)))),"")</f>
        <v/>
      </c>
      <c r="AE701" s="114" t="str">
        <f t="shared" ca="1" si="343"/>
        <v>Composição CP-73</v>
      </c>
      <c r="AF701" s="159" t="str">
        <f t="shared" ca="1" si="344"/>
        <v>(abra o arquivo 'Referência 05-2024.xls)</v>
      </c>
      <c r="AG701" s="579">
        <f t="shared" ca="1" si="345"/>
        <v>0</v>
      </c>
      <c r="AH701" s="580">
        <f t="shared" ca="1" si="346"/>
        <v>0.16800000000000001</v>
      </c>
      <c r="AJ701" s="582">
        <v>1</v>
      </c>
      <c r="AL701" s="612"/>
      <c r="AM701" s="430">
        <f t="shared" ca="1" si="347"/>
        <v>0</v>
      </c>
      <c r="AN701" s="655">
        <f t="shared" ca="1" si="348"/>
        <v>0</v>
      </c>
    </row>
    <row r="702" spans="1:40" ht="13.8" x14ac:dyDescent="0.3">
      <c r="A702">
        <f>CHOOSE(1+LOG(1+2*(ORÇAMENTO.Nivel="Meta")+4*(ORÇAMENTO.Nivel="Nível 2")+8*(ORÇAMENTO.Nivel="Nível 3")+16*(ORÇAMENTO.Nivel="Nível 4")+32*(ORÇAMENTO.Nivel="Serviço"),2),0,1,2,3,4,"S")</f>
        <v>1</v>
      </c>
      <c r="B702">
        <f ca="1">IF(OR(C702="s",C702=0),OFFSET(B702,-1,0),C702)</f>
        <v>1</v>
      </c>
      <c r="C702">
        <f ca="1">IF(OFFSET(C702,-1,0)="L",1,IF(OFFSET(C702,-1,0)=1,2,IF(OR(A702="s",A702=0),"S",IF(AND(OFFSET(C702,-1,0)=2,A702=4),3,IF(AND(OR(OFFSET(C702,-1,0)="s",OFFSET(C702,-1,0)=0),A702&lt;&gt;"s",A702&gt;OFFSET(B702,-1,0)),OFFSET(B702,-1,0),A702)))))</f>
        <v>1</v>
      </c>
      <c r="D702">
        <f ca="1">IF(OR(C702="S",C702=0),0,IF(ISERROR(K702),J702,SMALL(J702:K702,1)))</f>
        <v>8</v>
      </c>
      <c r="E702">
        <f ca="1">IF($C702=1,OFFSET(E702,-1,0)+MAX(1,COUNTIF(QCI!$A$13:$A$24,OFFSET(ORÇAMENTO!E702,-1,0))),OFFSET(E702,-1,0))</f>
        <v>2</v>
      </c>
      <c r="F702">
        <f ca="1">IF($C702=1,0,IF($C702=2,OFFSET(F702,-1,0)+1,OFFSET(F702,-1,0)))</f>
        <v>0</v>
      </c>
      <c r="G702">
        <f ca="1">IF(AND($C702&lt;=2,$C702&lt;&gt;0),0,IF($C702=3,OFFSET(G702,-1,0)+1,OFFSET(G702,-1,0)))</f>
        <v>0</v>
      </c>
      <c r="H702">
        <f ca="1">IF(AND($C702&lt;=3,$C702&lt;&gt;0),0,IF($C702=4,OFFSET(H702,-1,0)+1,OFFSET(H702,-1,0)))</f>
        <v>0</v>
      </c>
      <c r="I702">
        <f ca="1">IF(AND($C702&lt;=4,$C702&lt;&gt;0),0,IF(AND($C702="S",$X702&gt;0),OFFSET(I702,-1,0)+1,OFFSET(I702,-1,0)))</f>
        <v>0</v>
      </c>
      <c r="J702">
        <f t="shared" ca="1" si="352"/>
        <v>8</v>
      </c>
      <c r="K702" t="e">
        <f ca="1">IF(OR($C702="S",$C702=0),0,MATCH(OFFSET($D702,0,$C702)+IF($C702&lt;&gt;1,1,COUNTIF(QCI!$A$13:$A$24,ORÇAMENTO!E702)),OFFSET($D702,1,$C702,ROW($C$710)-ROW($C702)),0))</f>
        <v>#N/A</v>
      </c>
      <c r="L702" s="143" t="str">
        <f ca="1">IF(OR($X702&gt;0,$C702=1,$C702=2,$C702=3,$C702=4),"F","")</f>
        <v>F</v>
      </c>
      <c r="M702" s="144" t="s">
        <v>197</v>
      </c>
      <c r="N702" s="145" t="str">
        <f ca="1">CHOOSE(1+LOG(1+2*(C702=1)+4*(C702=2)+8*(C702=3)+16*(C702=4)+32*(C702="S"),2),"","Meta","Nível 2","Nível 3","Nível 4","Serviço")</f>
        <v>Meta</v>
      </c>
      <c r="O702" s="146" t="str">
        <f ca="1">IF(OR($C702=0,$L702=""),"-",CONCATENATE(E702&amp;".",IF(AND($A$5&gt;=2,$C702&gt;=2),F702&amp;".",""),IF(AND($A$5&gt;=3,$C702&gt;=3),G702&amp;".",""),IF(AND($A$5&gt;=4,$C702&gt;=4),H702&amp;".",""),IF($C702="S",I702&amp;".","")))</f>
        <v>2.</v>
      </c>
      <c r="P702" s="147" t="s">
        <v>249</v>
      </c>
      <c r="Q702" s="148"/>
      <c r="R702" s="149" t="s">
        <v>586</v>
      </c>
      <c r="S702" s="150"/>
      <c r="T702" s="151"/>
      <c r="U702" s="152"/>
      <c r="V702" s="153" t="s">
        <v>158</v>
      </c>
      <c r="W702" s="151">
        <f ca="1">IF($C702="S",ROUND(IF(TIPOORCAMENTO="Proposto",ORÇAMENTO.CustoUnitario*(1+$AH702),ORÇAMENTO.PrecoUnitarioLicitado),15-13*$AF$10),0)</f>
        <v>0</v>
      </c>
      <c r="X702" s="154">
        <f ca="1">IF($C702="S",VTOTAL1,IF($C702=0,0,ROUND(SomaAgrup,15-13*$AF$11)))</f>
        <v>0</v>
      </c>
      <c r="Y702" s="155" t="s">
        <v>247</v>
      </c>
      <c r="Z702" t="str">
        <f ca="1">IF(AND($C702="S",$X702&gt;0),IF(ISBLANK($Y702),"RA",LEFT($Y702,2)),"")</f>
        <v/>
      </c>
      <c r="AA702" s="156">
        <f ca="1">IF($C702="S",IF($Z702="CP",$X702,IF($Z702="RA",(($X702)*QCI!$AA$3),0)),SomaAgrup)</f>
        <v>0</v>
      </c>
      <c r="AB702" s="157">
        <f ca="1">IF($C702="S",IF($Z702="OU",ROUND($X702,2),0),SomaAgrup)</f>
        <v>0</v>
      </c>
      <c r="AC702" s="158" t="str">
        <f ca="1">IF($N702="","",IF(ORÇAMENTO.Descricao="","DESCRIÇÃO",IF(AND($C702="S",ORÇAMENTO.Unidade=""),"UNIDADE",IF($X702&lt;0,"VALOR NEGATIVO",IF(OR(AND(TIPOORCAMENTO="Proposto",$AG702&lt;&gt;"",$AG702&gt;0,ORÇAMENTO.CustoUnitario&gt;$AG702),AND(TIPOORCAMENTO="LICITADO",ORÇAMENTO.PrecoUnitarioLicitado&gt;$AN702)),"ACIMA REF.","")))))</f>
        <v/>
      </c>
      <c r="AD702" s="104">
        <f ca="1">IF(C702&lt;=CRONO.NivelExibicao,MAX($AD$15:OFFSET(AD702,-1,0))+IF($C702&lt;&gt;1,1,MAX(1,COUNTIF(QCI!$A$13:$A$24,OFFSET($E702,-1,0)))),"")</f>
        <v>26</v>
      </c>
      <c r="AE702" s="114" t="b">
        <f ca="1">IF(AND($C702="S",ORÇAMENTO.CodBarra&lt;&gt;""),IF(ORÇAMENTO.Fonte="",ORÇAMENTO.CodBarra,CONCATENATE(ORÇAMENTO.Fonte," ",ORÇAMENTO.CodBarra)))</f>
        <v>0</v>
      </c>
      <c r="AF702" s="159" t="str">
        <f ca="1">IF(ISERROR(INDIRECT(ORÇAMENTO.BancoRef)),"(abra o arquivo 'Referência "&amp;Excel_BuiltIn_Database&amp;".xls)",IF(OR($C702&lt;&gt;"S",ORÇAMENTO.CodBarra=""),"(Sem Código)",IF(ISERROR(MATCH($AE702,INDIRECT(ORÇAMENTO.BancoRef),0)),"(Código não identificado nas referências)",MATCH($AE702,INDIRECT(ORÇAMENTO.BancoRef),0))))</f>
        <v>(abra o arquivo 'Referência 05-2024.xls)</v>
      </c>
      <c r="AG702" s="579">
        <f ca="1">ROUND(IF(DESONERACAO="sim",REFERENCIA.Desonerado,REFERENCIA.NaoDesonerado),2)</f>
        <v>0</v>
      </c>
      <c r="AH702" s="580">
        <f ca="1">ROUND(IF(ISNUMBER(ORÇAMENTO.OpcaoBDI),ORÇAMENTO.OpcaoBDI,IF(LEFT(ORÇAMENTO.OpcaoBDI,3)="BDI",HLOOKUP(ORÇAMENTO.OpcaoBDI,$F$4:$H$5,2,FALSE),0)),15-11*$AF$9)</f>
        <v>0.22470000000000001</v>
      </c>
      <c r="AJ702" s="582"/>
      <c r="AL702" s="612"/>
      <c r="AM702" s="430">
        <f t="shared" ca="1" si="347"/>
        <v>0</v>
      </c>
      <c r="AN702" s="655">
        <f ca="1">ROUND(ORÇAMENTO.CustoUnitario*(1+$AH702),2)</f>
        <v>0</v>
      </c>
    </row>
    <row r="703" spans="1:40" ht="13.8" x14ac:dyDescent="0.3">
      <c r="A703">
        <f t="shared" si="327"/>
        <v>2</v>
      </c>
      <c r="B703">
        <f t="shared" ca="1" si="328"/>
        <v>2</v>
      </c>
      <c r="C703">
        <f t="shared" ca="1" si="329"/>
        <v>2</v>
      </c>
      <c r="D703">
        <f t="shared" ca="1" si="330"/>
        <v>4</v>
      </c>
      <c r="E703">
        <f ca="1">IF($C703=1,OFFSET(E703,-1,0)+MAX(1,COUNTIF(QCI!$A$13:$A$24,OFFSET(ORÇAMENTO!E703,-1,0))),OFFSET(E703,-1,0))</f>
        <v>2</v>
      </c>
      <c r="F703">
        <f t="shared" ca="1" si="331"/>
        <v>1</v>
      </c>
      <c r="G703">
        <f t="shared" ca="1" si="332"/>
        <v>0</v>
      </c>
      <c r="H703">
        <f t="shared" ca="1" si="333"/>
        <v>0</v>
      </c>
      <c r="I703">
        <f t="shared" ca="1" si="334"/>
        <v>0</v>
      </c>
      <c r="J703">
        <f t="shared" ca="1" si="352"/>
        <v>7</v>
      </c>
      <c r="K703">
        <f ca="1">IF(OR($C703="S",$C703=0),0,MATCH(OFFSET($D703,0,$C703)+IF($C703&lt;&gt;1,1,COUNTIF(QCI!$A$13:$A$24,ORÇAMENTO!E703)),OFFSET($D703,1,$C703,ROW($C$710)-ROW($C703)),0))</f>
        <v>4</v>
      </c>
      <c r="L703" s="143" t="str">
        <f t="shared" ca="1" si="335"/>
        <v>F</v>
      </c>
      <c r="M703" s="144" t="s">
        <v>198</v>
      </c>
      <c r="N703" s="145" t="str">
        <f t="shared" ca="1" si="336"/>
        <v>Nível 2</v>
      </c>
      <c r="O703" s="146" t="str">
        <f t="shared" ca="1" si="337"/>
        <v>2.1.</v>
      </c>
      <c r="P703" s="147" t="s">
        <v>249</v>
      </c>
      <c r="Q703" s="148"/>
      <c r="R703" s="149" t="s">
        <v>523</v>
      </c>
      <c r="S703" s="150"/>
      <c r="T703" s="151"/>
      <c r="U703" s="152"/>
      <c r="V703" s="153" t="s">
        <v>158</v>
      </c>
      <c r="W703" s="151">
        <f t="shared" ca="1" si="338"/>
        <v>0</v>
      </c>
      <c r="X703" s="154">
        <f t="shared" ca="1" si="339"/>
        <v>0</v>
      </c>
      <c r="Y703" s="155" t="s">
        <v>247</v>
      </c>
      <c r="Z703" t="str">
        <f t="shared" ca="1" si="340"/>
        <v/>
      </c>
      <c r="AA703" s="156">
        <f ca="1">IF($C703="S",IF($Z703="CP",$X703,IF($Z703="RA",(($X703)*QCI!$AA$3),0)),SomaAgrup)</f>
        <v>0</v>
      </c>
      <c r="AB703" s="157">
        <f t="shared" ca="1" si="341"/>
        <v>0</v>
      </c>
      <c r="AC703" s="158" t="str">
        <f t="shared" ca="1" si="342"/>
        <v/>
      </c>
      <c r="AD703" s="104">
        <f ca="1">IF(C703&lt;=CRONO.NivelExibicao,MAX($AD$15:OFFSET(AD703,-1,0))+IF($C703&lt;&gt;1,1,MAX(1,COUNTIF(QCI!$A$13:$A$24,OFFSET($E703,-1,0)))),"")</f>
        <v>27</v>
      </c>
      <c r="AE703" s="114" t="b">
        <f t="shared" ca="1" si="343"/>
        <v>0</v>
      </c>
      <c r="AF703" s="159" t="str">
        <f t="shared" ca="1" si="344"/>
        <v>(abra o arquivo 'Referência 05-2024.xls)</v>
      </c>
      <c r="AG703" s="579">
        <f t="shared" ca="1" si="345"/>
        <v>0</v>
      </c>
      <c r="AH703" s="580">
        <f t="shared" ca="1" si="346"/>
        <v>0.22470000000000001</v>
      </c>
      <c r="AJ703" s="582"/>
      <c r="AL703" s="612"/>
      <c r="AM703" s="430">
        <f t="shared" ca="1" si="347"/>
        <v>0</v>
      </c>
      <c r="AN703" s="655">
        <f t="shared" ca="1" si="348"/>
        <v>0</v>
      </c>
    </row>
    <row r="704" spans="1:40" ht="13.8" x14ac:dyDescent="0.3">
      <c r="A704" t="str">
        <f t="shared" si="327"/>
        <v>S</v>
      </c>
      <c r="B704">
        <f t="shared" ca="1" si="328"/>
        <v>2</v>
      </c>
      <c r="C704" t="str">
        <f t="shared" ca="1" si="329"/>
        <v>S</v>
      </c>
      <c r="D704">
        <f t="shared" ca="1" si="330"/>
        <v>0</v>
      </c>
      <c r="E704">
        <f ca="1">IF($C704=1,OFFSET(E704,-1,0)+MAX(1,COUNTIF(QCI!$A$13:$A$24,OFFSET(ORÇAMENTO!E704,-1,0))),OFFSET(E704,-1,0))</f>
        <v>2</v>
      </c>
      <c r="F704">
        <f t="shared" ca="1" si="331"/>
        <v>1</v>
      </c>
      <c r="G704">
        <f t="shared" ca="1" si="332"/>
        <v>0</v>
      </c>
      <c r="H704">
        <f t="shared" ca="1" si="333"/>
        <v>0</v>
      </c>
      <c r="I704">
        <f t="shared" ca="1" si="334"/>
        <v>0</v>
      </c>
      <c r="J704">
        <f t="shared" ca="1" si="352"/>
        <v>0</v>
      </c>
      <c r="K704">
        <f ca="1">IF(OR($C704="S",$C704=0),0,MATCH(OFFSET($D704,0,$C704)+IF($C704&lt;&gt;1,1,COUNTIF(QCI!$A$13:$A$24,ORÇAMENTO!E704)),OFFSET($D704,1,$C704,ROW($C$710)-ROW($C704)),0))</f>
        <v>0</v>
      </c>
      <c r="L704" s="143" t="str">
        <f t="shared" ca="1" si="335"/>
        <v/>
      </c>
      <c r="M704" s="144" t="s">
        <v>201</v>
      </c>
      <c r="N704" s="145" t="str">
        <f t="shared" ca="1" si="336"/>
        <v>Serviço</v>
      </c>
      <c r="O704" s="146" t="str">
        <f t="shared" ca="1" si="337"/>
        <v>-</v>
      </c>
      <c r="P704" s="147" t="s">
        <v>249</v>
      </c>
      <c r="Q704" s="148">
        <v>94993</v>
      </c>
      <c r="R704" s="149" t="str">
        <f ca="1">IF($C704="S",REFERENCIA.Descricao,"(digite a descrição aqui)")</f>
        <v>(abra o arquivo 'Referência 05-2024.xls)</v>
      </c>
      <c r="S704" s="150" t="str">
        <f ca="1">REFERENCIA.Unidade</f>
        <v>-</v>
      </c>
      <c r="T704" s="151">
        <f ca="1">OFFSET(CÁLCULO!H$15,ROW($T704)-ROW(T$15),0)</f>
        <v>114</v>
      </c>
      <c r="U704" s="152">
        <f t="shared" ca="1" si="351"/>
        <v>0</v>
      </c>
      <c r="V704" s="153" t="s">
        <v>158</v>
      </c>
      <c r="W704" s="151">
        <f t="shared" ca="1" si="338"/>
        <v>0</v>
      </c>
      <c r="X704" s="154">
        <f t="shared" ca="1" si="339"/>
        <v>0</v>
      </c>
      <c r="Y704" s="155" t="s">
        <v>171</v>
      </c>
      <c r="Z704" t="str">
        <f t="shared" ca="1" si="340"/>
        <v/>
      </c>
      <c r="AA704" s="156">
        <f ca="1">IF($C704="S",IF($Z704="CP",$X704,IF($Z704="RA",(($X704)*QCI!$AA$3),0)),SomaAgrup)</f>
        <v>0</v>
      </c>
      <c r="AB704" s="157">
        <f t="shared" ca="1" si="341"/>
        <v>0</v>
      </c>
      <c r="AC704" s="158" t="str">
        <f t="shared" ca="1" si="342"/>
        <v/>
      </c>
      <c r="AD704" s="104" t="str">
        <f ca="1">IF(C704&lt;=CRONO.NivelExibicao,MAX($AD$15:OFFSET(AD704,-1,0))+IF($C704&lt;&gt;1,1,MAX(1,COUNTIF(QCI!$A$13:$A$24,OFFSET($E704,-1,0)))),"")</f>
        <v/>
      </c>
      <c r="AE704" s="114" t="str">
        <f t="shared" ca="1" si="343"/>
        <v>SINAPI 94993</v>
      </c>
      <c r="AF704" s="159" t="str">
        <f t="shared" ca="1" si="344"/>
        <v>(abra o arquivo 'Referência 05-2024.xls)</v>
      </c>
      <c r="AG704" s="579">
        <f t="shared" ca="1" si="345"/>
        <v>0</v>
      </c>
      <c r="AH704" s="580">
        <f t="shared" ca="1" si="346"/>
        <v>0.22470000000000001</v>
      </c>
      <c r="AJ704" s="582">
        <v>114</v>
      </c>
      <c r="AL704" s="612"/>
      <c r="AM704" s="430">
        <f t="shared" ca="1" si="347"/>
        <v>0</v>
      </c>
      <c r="AN704" s="655">
        <f t="shared" ca="1" si="348"/>
        <v>0</v>
      </c>
    </row>
    <row r="705" spans="1:40" ht="13.8" x14ac:dyDescent="0.3">
      <c r="A705" t="str">
        <f t="shared" si="327"/>
        <v>S</v>
      </c>
      <c r="B705">
        <f t="shared" ca="1" si="328"/>
        <v>2</v>
      </c>
      <c r="C705" t="str">
        <f t="shared" ca="1" si="329"/>
        <v>S</v>
      </c>
      <c r="D705">
        <f t="shared" ca="1" si="330"/>
        <v>0</v>
      </c>
      <c r="E705">
        <f ca="1">IF($C705=1,OFFSET(E705,-1,0)+MAX(1,COUNTIF(QCI!$A$13:$A$24,OFFSET(ORÇAMENTO!E705,-1,0))),OFFSET(E705,-1,0))</f>
        <v>2</v>
      </c>
      <c r="F705">
        <f t="shared" ca="1" si="331"/>
        <v>1</v>
      </c>
      <c r="G705">
        <f t="shared" ca="1" si="332"/>
        <v>0</v>
      </c>
      <c r="H705">
        <f t="shared" ca="1" si="333"/>
        <v>0</v>
      </c>
      <c r="I705">
        <f t="shared" ca="1" si="334"/>
        <v>0</v>
      </c>
      <c r="J705">
        <f t="shared" ca="1" si="352"/>
        <v>0</v>
      </c>
      <c r="K705">
        <f ca="1">IF(OR($C705="S",$C705=0),0,MATCH(OFFSET($D705,0,$C705)+IF($C705&lt;&gt;1,1,COUNTIF(QCI!$A$13:$A$24,ORÇAMENTO!E705)),OFFSET($D705,1,$C705,ROW($C$710)-ROW($C705)),0))</f>
        <v>0</v>
      </c>
      <c r="L705" s="143" t="str">
        <f t="shared" ca="1" si="335"/>
        <v/>
      </c>
      <c r="M705" s="144" t="s">
        <v>201</v>
      </c>
      <c r="N705" s="145" t="str">
        <f t="shared" ca="1" si="336"/>
        <v>Serviço</v>
      </c>
      <c r="O705" s="146" t="str">
        <f t="shared" ca="1" si="337"/>
        <v>-</v>
      </c>
      <c r="P705" s="147" t="s">
        <v>249</v>
      </c>
      <c r="Q705" s="148">
        <v>104658</v>
      </c>
      <c r="R705" s="149" t="str">
        <f ca="1">IF($C705="S",REFERENCIA.Descricao,"(digite a descrição aqui)")</f>
        <v>(abra o arquivo 'Referência 05-2024.xls)</v>
      </c>
      <c r="S705" s="150" t="str">
        <f ca="1">REFERENCIA.Unidade</f>
        <v>-</v>
      </c>
      <c r="T705" s="151">
        <f ca="1">OFFSET(CÁLCULO!H$15,ROW($T705)-ROW(T$15),0)</f>
        <v>24</v>
      </c>
      <c r="U705" s="152">
        <f t="shared" ca="1" si="351"/>
        <v>0</v>
      </c>
      <c r="V705" s="153" t="s">
        <v>158</v>
      </c>
      <c r="W705" s="151">
        <f t="shared" ca="1" si="338"/>
        <v>0</v>
      </c>
      <c r="X705" s="154">
        <f t="shared" ca="1" si="339"/>
        <v>0</v>
      </c>
      <c r="Y705" s="155" t="s">
        <v>171</v>
      </c>
      <c r="Z705" t="str">
        <f t="shared" ca="1" si="340"/>
        <v/>
      </c>
      <c r="AA705" s="156">
        <f ca="1">IF($C705="S",IF($Z705="CP",$X705,IF($Z705="RA",(($X705)*QCI!$AA$3),0)),SomaAgrup)</f>
        <v>0</v>
      </c>
      <c r="AB705" s="157">
        <f t="shared" ca="1" si="341"/>
        <v>0</v>
      </c>
      <c r="AC705" s="158" t="str">
        <f t="shared" ca="1" si="342"/>
        <v/>
      </c>
      <c r="AD705" s="104" t="str">
        <f ca="1">IF(C705&lt;=CRONO.NivelExibicao,MAX($AD$15:OFFSET(AD705,-1,0))+IF($C705&lt;&gt;1,1,MAX(1,COUNTIF(QCI!$A$13:$A$24,OFFSET($E705,-1,0)))),"")</f>
        <v/>
      </c>
      <c r="AE705" s="114" t="str">
        <f t="shared" ca="1" si="343"/>
        <v>SINAPI 104658</v>
      </c>
      <c r="AF705" s="159" t="str">
        <f t="shared" ca="1" si="344"/>
        <v>(abra o arquivo 'Referência 05-2024.xls)</v>
      </c>
      <c r="AG705" s="579">
        <f t="shared" ca="1" si="345"/>
        <v>0</v>
      </c>
      <c r="AH705" s="580">
        <f t="shared" ca="1" si="346"/>
        <v>0.22470000000000001</v>
      </c>
      <c r="AJ705" s="582">
        <v>24</v>
      </c>
      <c r="AL705" s="612"/>
      <c r="AM705" s="430">
        <f t="shared" ca="1" si="347"/>
        <v>0</v>
      </c>
      <c r="AN705" s="655">
        <f t="shared" ca="1" si="348"/>
        <v>0</v>
      </c>
    </row>
    <row r="706" spans="1:40" ht="13.8" x14ac:dyDescent="0.3">
      <c r="A706" t="str">
        <f t="shared" si="327"/>
        <v>S</v>
      </c>
      <c r="B706">
        <f t="shared" ca="1" si="328"/>
        <v>2</v>
      </c>
      <c r="C706" t="str">
        <f t="shared" ca="1" si="329"/>
        <v>S</v>
      </c>
      <c r="D706">
        <f t="shared" ca="1" si="330"/>
        <v>0</v>
      </c>
      <c r="E706">
        <f ca="1">IF($C706=1,OFFSET(E706,-1,0)+MAX(1,COUNTIF(QCI!$A$13:$A$24,OFFSET(ORÇAMENTO!E706,-1,0))),OFFSET(E706,-1,0))</f>
        <v>2</v>
      </c>
      <c r="F706">
        <f t="shared" ca="1" si="331"/>
        <v>1</v>
      </c>
      <c r="G706">
        <f t="shared" ca="1" si="332"/>
        <v>0</v>
      </c>
      <c r="H706">
        <f t="shared" ca="1" si="333"/>
        <v>0</v>
      </c>
      <c r="I706">
        <f t="shared" ca="1" si="334"/>
        <v>0</v>
      </c>
      <c r="J706">
        <f t="shared" ca="1" si="352"/>
        <v>0</v>
      </c>
      <c r="K706">
        <f ca="1">IF(OR($C706="S",$C706=0),0,MATCH(OFFSET($D706,0,$C706)+IF($C706&lt;&gt;1,1,COUNTIF(QCI!$A$13:$A$24,ORÇAMENTO!E706)),OFFSET($D706,1,$C706,ROW($C$710)-ROW($C706)),0))</f>
        <v>0</v>
      </c>
      <c r="L706" s="143" t="str">
        <f t="shared" ca="1" si="335"/>
        <v/>
      </c>
      <c r="M706" s="144" t="s">
        <v>201</v>
      </c>
      <c r="N706" s="145" t="str">
        <f t="shared" ca="1" si="336"/>
        <v>Serviço</v>
      </c>
      <c r="O706" s="146" t="str">
        <f t="shared" ca="1" si="337"/>
        <v>-</v>
      </c>
      <c r="P706" s="147" t="s">
        <v>249</v>
      </c>
      <c r="Q706" s="148">
        <v>94263</v>
      </c>
      <c r="R706" s="149" t="str">
        <f ca="1">IF($C706="S",REFERENCIA.Descricao,"(digite a descrição aqui)")</f>
        <v>(abra o arquivo 'Referência 05-2024.xls)</v>
      </c>
      <c r="S706" s="150" t="str">
        <f ca="1">REFERENCIA.Unidade</f>
        <v>-</v>
      </c>
      <c r="T706" s="151">
        <f ca="1">OFFSET(CÁLCULO!H$15,ROW($T706)-ROW(T$15),0)</f>
        <v>60</v>
      </c>
      <c r="U706" s="152">
        <f t="shared" ca="1" si="351"/>
        <v>0</v>
      </c>
      <c r="V706" s="153" t="s">
        <v>158</v>
      </c>
      <c r="W706" s="151">
        <f t="shared" ca="1" si="338"/>
        <v>0</v>
      </c>
      <c r="X706" s="154">
        <f t="shared" ca="1" si="339"/>
        <v>0</v>
      </c>
      <c r="Y706" s="155" t="s">
        <v>171</v>
      </c>
      <c r="Z706" t="str">
        <f t="shared" ca="1" si="340"/>
        <v/>
      </c>
      <c r="AA706" s="156">
        <f ca="1">IF($C706="S",IF($Z706="CP",$X706,IF($Z706="RA",(($X706)*QCI!$AA$3),0)),SomaAgrup)</f>
        <v>0</v>
      </c>
      <c r="AB706" s="157">
        <f t="shared" ca="1" si="341"/>
        <v>0</v>
      </c>
      <c r="AC706" s="158" t="str">
        <f t="shared" ca="1" si="342"/>
        <v/>
      </c>
      <c r="AD706" s="104" t="str">
        <f ca="1">IF(C706&lt;=CRONO.NivelExibicao,MAX($AD$15:OFFSET(AD706,-1,0))+IF($C706&lt;&gt;1,1,MAX(1,COUNTIF(QCI!$A$13:$A$24,OFFSET($E706,-1,0)))),"")</f>
        <v/>
      </c>
      <c r="AE706" s="114" t="str">
        <f t="shared" ca="1" si="343"/>
        <v>SINAPI 94263</v>
      </c>
      <c r="AF706" s="159" t="str">
        <f t="shared" ca="1" si="344"/>
        <v>(abra o arquivo 'Referência 05-2024.xls)</v>
      </c>
      <c r="AG706" s="579">
        <f t="shared" ca="1" si="345"/>
        <v>0</v>
      </c>
      <c r="AH706" s="580">
        <f t="shared" ca="1" si="346"/>
        <v>0.22470000000000001</v>
      </c>
      <c r="AJ706" s="582">
        <v>60</v>
      </c>
      <c r="AL706" s="612"/>
      <c r="AM706" s="430">
        <f t="shared" ca="1" si="347"/>
        <v>0</v>
      </c>
      <c r="AN706" s="655">
        <f t="shared" ca="1" si="348"/>
        <v>0</v>
      </c>
    </row>
    <row r="707" spans="1:40" ht="13.8" x14ac:dyDescent="0.3">
      <c r="A707">
        <f t="shared" si="327"/>
        <v>2</v>
      </c>
      <c r="B707">
        <f t="shared" ca="1" si="328"/>
        <v>2</v>
      </c>
      <c r="C707">
        <f t="shared" ca="1" si="329"/>
        <v>2</v>
      </c>
      <c r="D707">
        <f t="shared" ca="1" si="330"/>
        <v>3</v>
      </c>
      <c r="E707">
        <f ca="1">IF($C707=1,OFFSET(E707,-1,0)+MAX(1,COUNTIF(QCI!$A$13:$A$24,OFFSET(ORÇAMENTO!E707,-1,0))),OFFSET(E707,-1,0))</f>
        <v>2</v>
      </c>
      <c r="F707">
        <f t="shared" ca="1" si="331"/>
        <v>2</v>
      </c>
      <c r="G707">
        <f t="shared" ca="1" si="332"/>
        <v>0</v>
      </c>
      <c r="H707">
        <f t="shared" ca="1" si="333"/>
        <v>0</v>
      </c>
      <c r="I707">
        <f t="shared" ca="1" si="334"/>
        <v>0</v>
      </c>
      <c r="J707">
        <f t="shared" ca="1" si="352"/>
        <v>3</v>
      </c>
      <c r="K707" t="e">
        <f ca="1">IF(OR($C707="S",$C707=0),0,MATCH(OFFSET($D707,0,$C707)+IF($C707&lt;&gt;1,1,COUNTIF(QCI!$A$13:$A$24,ORÇAMENTO!E707)),OFFSET($D707,1,$C707,ROW($C$710)-ROW($C707)),0))</f>
        <v>#N/A</v>
      </c>
      <c r="L707" s="143" t="str">
        <f t="shared" ca="1" si="335"/>
        <v>F</v>
      </c>
      <c r="M707" s="144" t="s">
        <v>198</v>
      </c>
      <c r="N707" s="145" t="str">
        <f t="shared" ca="1" si="336"/>
        <v>Nível 2</v>
      </c>
      <c r="O707" s="146" t="str">
        <f t="shared" ca="1" si="337"/>
        <v>2.2.</v>
      </c>
      <c r="P707" s="147" t="s">
        <v>249</v>
      </c>
      <c r="Q707" s="148"/>
      <c r="R707" s="149" t="s">
        <v>553</v>
      </c>
      <c r="S707" s="150"/>
      <c r="T707" s="151"/>
      <c r="U707" s="152"/>
      <c r="V707" s="153" t="s">
        <v>158</v>
      </c>
      <c r="W707" s="151">
        <f t="shared" ca="1" si="338"/>
        <v>0</v>
      </c>
      <c r="X707" s="154">
        <f t="shared" ca="1" si="339"/>
        <v>0</v>
      </c>
      <c r="Y707" s="155" t="s">
        <v>171</v>
      </c>
      <c r="Z707" t="str">
        <f t="shared" ca="1" si="340"/>
        <v/>
      </c>
      <c r="AA707" s="156">
        <f ca="1">IF($C707="S",IF($Z707="CP",$X707,IF($Z707="RA",(($X707)*QCI!$AA$3),0)),SomaAgrup)</f>
        <v>0</v>
      </c>
      <c r="AB707" s="157">
        <f t="shared" ca="1" si="341"/>
        <v>0</v>
      </c>
      <c r="AC707" s="158" t="str">
        <f t="shared" ca="1" si="342"/>
        <v/>
      </c>
      <c r="AD707" s="104">
        <f ca="1">IF(C707&lt;=CRONO.NivelExibicao,MAX($AD$15:OFFSET(AD707,-1,0))+IF($C707&lt;&gt;1,1,MAX(1,COUNTIF(QCI!$A$13:$A$24,OFFSET($E707,-1,0)))),"")</f>
        <v>28</v>
      </c>
      <c r="AE707" s="114" t="b">
        <f t="shared" ca="1" si="343"/>
        <v>0</v>
      </c>
      <c r="AF707" s="159" t="str">
        <f t="shared" ca="1" si="344"/>
        <v>(abra o arquivo 'Referência 05-2024.xls)</v>
      </c>
      <c r="AG707" s="579">
        <f t="shared" ca="1" si="345"/>
        <v>0</v>
      </c>
      <c r="AH707" s="580">
        <f t="shared" ca="1" si="346"/>
        <v>0.22470000000000001</v>
      </c>
      <c r="AJ707" s="582"/>
      <c r="AL707" s="612"/>
      <c r="AM707" s="430">
        <f t="shared" ca="1" si="347"/>
        <v>0</v>
      </c>
      <c r="AN707" s="655">
        <f t="shared" ca="1" si="348"/>
        <v>0</v>
      </c>
    </row>
    <row r="708" spans="1:40" ht="13.8" x14ac:dyDescent="0.3">
      <c r="A708" t="str">
        <f>CHOOSE(1+LOG(1+2*(ORÇAMENTO.Nivel="Meta")+4*(ORÇAMENTO.Nivel="Nível 2")+8*(ORÇAMENTO.Nivel="Nível 3")+16*(ORÇAMENTO.Nivel="Nível 4")+32*(ORÇAMENTO.Nivel="Serviço"),2),0,1,2,3,4,"S")</f>
        <v>S</v>
      </c>
      <c r="B708">
        <f ca="1">IF(OR(C708="s",C708=0),OFFSET(B708,-1,0),C708)</f>
        <v>2</v>
      </c>
      <c r="C708" t="str">
        <f ca="1">IF(OFFSET(C708,-1,0)="L",1,IF(OFFSET(C708,-1,0)=1,2,IF(OR(A708="s",A708=0),"S",IF(AND(OFFSET(C708,-1,0)=2,A708=4),3,IF(AND(OR(OFFSET(C708,-1,0)="s",OFFSET(C708,-1,0)=0),A708&lt;&gt;"s",A708&gt;OFFSET(B708,-1,0)),OFFSET(B708,-1,0),A708)))))</f>
        <v>S</v>
      </c>
      <c r="D708">
        <f ca="1">IF(OR(C708="S",C708=0),0,IF(ISERROR(K708),J708,SMALL(J708:K708,1)))</f>
        <v>0</v>
      </c>
      <c r="E708">
        <f ca="1">IF($C708=1,OFFSET(E708,-1,0)+MAX(1,COUNTIF(QCI!$A$13:$A$24,OFFSET(ORÇAMENTO!E708,-1,0))),OFFSET(E708,-1,0))</f>
        <v>2</v>
      </c>
      <c r="F708">
        <f ca="1">IF($C708=1,0,IF($C708=2,OFFSET(F708,-1,0)+1,OFFSET(F708,-1,0)))</f>
        <v>2</v>
      </c>
      <c r="G708">
        <f ca="1">IF(AND($C708&lt;=2,$C708&lt;&gt;0),0,IF($C708=3,OFFSET(G708,-1,0)+1,OFFSET(G708,-1,0)))</f>
        <v>0</v>
      </c>
      <c r="H708">
        <f ca="1">IF(AND($C708&lt;=3,$C708&lt;&gt;0),0,IF($C708=4,OFFSET(H708,-1,0)+1,OFFSET(H708,-1,0)))</f>
        <v>0</v>
      </c>
      <c r="I708">
        <f ca="1">IF(AND($C708&lt;=4,$C708&lt;&gt;0),0,IF(AND($C708="S",$X708&gt;0),OFFSET(I708,-1,0)+1,OFFSET(I708,-1,0)))</f>
        <v>0</v>
      </c>
      <c r="J708">
        <f t="shared" ca="1" si="352"/>
        <v>0</v>
      </c>
      <c r="K708">
        <f ca="1">IF(OR($C708="S",$C708=0),0,MATCH(OFFSET($D708,0,$C708)+IF($C708&lt;&gt;1,1,COUNTIF(QCI!$A$13:$A$24,ORÇAMENTO!E708)),OFFSET($D708,1,$C708,ROW($C$710)-ROW($C708)),0))</f>
        <v>0</v>
      </c>
      <c r="L708" s="143" t="str">
        <f ca="1">IF(OR($X708&gt;0,$C708=1,$C708=2,$C708=3,$C708=4),"F","")</f>
        <v/>
      </c>
      <c r="M708" s="144" t="s">
        <v>201</v>
      </c>
      <c r="N708" s="145" t="str">
        <f ca="1">CHOOSE(1+LOG(1+2*(C708=1)+4*(C708=2)+8*(C708=3)+16*(C708=4)+32*(C708="S"),2),"","Meta","Nível 2","Nível 3","Nível 4","Serviço")</f>
        <v>Serviço</v>
      </c>
      <c r="O708" s="146" t="str">
        <f ca="1">IF(OR($C708=0,$L708=""),"-",CONCATENATE(E708&amp;".",IF(AND($A$5&gt;=2,$C708&gt;=2),F708&amp;".",""),IF(AND($A$5&gt;=3,$C708&gt;=3),G708&amp;".",""),IF(AND($A$5&gt;=4,$C708&gt;=4),H708&amp;".",""),IF($C708="S",I708&amp;".","")))</f>
        <v>-</v>
      </c>
      <c r="P708" s="147" t="s">
        <v>441</v>
      </c>
      <c r="Q708" s="148" t="s">
        <v>638</v>
      </c>
      <c r="R708" s="149" t="str">
        <f ca="1">IF($C708="S",REFERENCIA.Descricao,"(digite a descrição aqui)")</f>
        <v>(abra o arquivo 'Referência 05-2024.xls)</v>
      </c>
      <c r="S708" s="150" t="str">
        <f ca="1">REFERENCIA.Unidade</f>
        <v>-</v>
      </c>
      <c r="T708" s="151">
        <f ca="1">OFFSET(CÁLCULO!H$15,ROW($T708)-ROW(T$15),0)</f>
        <v>1</v>
      </c>
      <c r="U708" s="152">
        <f t="shared" ca="1" si="351"/>
        <v>0</v>
      </c>
      <c r="V708" s="153" t="s">
        <v>158</v>
      </c>
      <c r="W708" s="151">
        <f ca="1">IF($C708="S",ROUND(IF(TIPOORCAMENTO="Proposto",ORÇAMENTO.CustoUnitario*(1+$AH708),ORÇAMENTO.PrecoUnitarioLicitado),15-13*$AF$10),0)</f>
        <v>0</v>
      </c>
      <c r="X708" s="154">
        <f ca="1">IF($C708="S",VTOTAL1,IF($C708=0,0,ROUND(SomaAgrup,15-13*$AF$11)))</f>
        <v>0</v>
      </c>
      <c r="Y708" s="155" t="s">
        <v>171</v>
      </c>
      <c r="Z708" t="str">
        <f ca="1">IF(AND($C708="S",$X708&gt;0),IF(ISBLANK($Y708),"RA",LEFT($Y708,2)),"")</f>
        <v/>
      </c>
      <c r="AA708" s="156">
        <f ca="1">IF($C708="S",IF($Z708="CP",$X708,IF($Z708="RA",(($X708)*QCI!$AA$3),0)),SomaAgrup)</f>
        <v>0</v>
      </c>
      <c r="AB708" s="157">
        <f ca="1">IF($C708="S",IF($Z708="OU",ROUND($X708,2),0),SomaAgrup)</f>
        <v>0</v>
      </c>
      <c r="AC708" s="158" t="str">
        <f ca="1">IF($N708="","",IF(ORÇAMENTO.Descricao="","DESCRIÇÃO",IF(AND($C708="S",ORÇAMENTO.Unidade=""),"UNIDADE",IF($X708&lt;0,"VALOR NEGATIVO",IF(OR(AND(TIPOORCAMENTO="Proposto",$AG708&lt;&gt;"",$AG708&gt;0,ORÇAMENTO.CustoUnitario&gt;$AG708),AND(TIPOORCAMENTO="LICITADO",ORÇAMENTO.PrecoUnitarioLicitado&gt;$AN708)),"ACIMA REF.","")))))</f>
        <v/>
      </c>
      <c r="AD708" s="104" t="str">
        <f ca="1">IF(C708&lt;=CRONO.NivelExibicao,MAX($AD$15:OFFSET(AD708,-1,0))+IF($C708&lt;&gt;1,1,MAX(1,COUNTIF(QCI!$A$13:$A$24,OFFSET($E708,-1,0)))),"")</f>
        <v/>
      </c>
      <c r="AE708" s="114" t="str">
        <f ca="1">IF(AND($C708="S",ORÇAMENTO.CodBarra&lt;&gt;""),IF(ORÇAMENTO.Fonte="",ORÇAMENTO.CodBarra,CONCATENATE(ORÇAMENTO.Fonte," ",ORÇAMENTO.CodBarra)))</f>
        <v>Composição CP-74</v>
      </c>
      <c r="AF708" s="159" t="str">
        <f ca="1">IF(ISERROR(INDIRECT(ORÇAMENTO.BancoRef)),"(abra o arquivo 'Referência "&amp;Excel_BuiltIn_Database&amp;".xls)",IF(OR($C708&lt;&gt;"S",ORÇAMENTO.CodBarra=""),"(Sem Código)",IF(ISERROR(MATCH($AE708,INDIRECT(ORÇAMENTO.BancoRef),0)),"(Código não identificado nas referências)",MATCH($AE708,INDIRECT(ORÇAMENTO.BancoRef),0))))</f>
        <v>(abra o arquivo 'Referência 05-2024.xls)</v>
      </c>
      <c r="AG708" s="579">
        <f ca="1">ROUND(IF(DESONERACAO="sim",REFERENCIA.Desonerado,REFERENCIA.NaoDesonerado),2)</f>
        <v>0</v>
      </c>
      <c r="AH708" s="580">
        <f ca="1">ROUND(IF(ISNUMBER(ORÇAMENTO.OpcaoBDI),ORÇAMENTO.OpcaoBDI,IF(LEFT(ORÇAMENTO.OpcaoBDI,3)="BDI",HLOOKUP(ORÇAMENTO.OpcaoBDI,$F$4:$H$5,2,FALSE),0)),15-11*$AF$9)</f>
        <v>0.22470000000000001</v>
      </c>
      <c r="AJ708" s="582">
        <v>1</v>
      </c>
      <c r="AL708" s="612"/>
      <c r="AM708" s="430">
        <f t="shared" ca="1" si="347"/>
        <v>0</v>
      </c>
      <c r="AN708" s="655">
        <f ca="1">ROUND(ORÇAMENTO.CustoUnitario*(1+$AH708),2)</f>
        <v>0</v>
      </c>
    </row>
    <row r="709" spans="1:40" ht="13.8" x14ac:dyDescent="0.3">
      <c r="A709" t="str">
        <f>CHOOSE(1+LOG(1+2*(ORÇAMENTO.Nivel="Meta")+4*(ORÇAMENTO.Nivel="Nível 2")+8*(ORÇAMENTO.Nivel="Nível 3")+16*(ORÇAMENTO.Nivel="Nível 4")+32*(ORÇAMENTO.Nivel="Serviço"),2),0,1,2,3,4,"S")</f>
        <v>S</v>
      </c>
      <c r="B709">
        <f ca="1">IF(OR(C709="s",C709=0),OFFSET(B709,-1,0),C709)</f>
        <v>2</v>
      </c>
      <c r="C709" t="str">
        <f ca="1">IF(OFFSET(C709,-1,0)="L",1,IF(OFFSET(C709,-1,0)=1,2,IF(OR(A709="s",A709=0),"S",IF(AND(OFFSET(C709,-1,0)=2,A709=4),3,IF(AND(OR(OFFSET(C709,-1,0)="s",OFFSET(C709,-1,0)=0),A709&lt;&gt;"s",A709&gt;OFFSET(B709,-1,0)),OFFSET(B709,-1,0),A709)))))</f>
        <v>S</v>
      </c>
      <c r="D709">
        <f ca="1">IF(OR(C709="S",C709=0),0,IF(ISERROR(K709),J709,SMALL(J709:K709,1)))</f>
        <v>0</v>
      </c>
      <c r="E709">
        <f ca="1">IF($C709=1,OFFSET(E709,-1,0)+MAX(1,COUNTIF(QCI!$A$13:$A$24,OFFSET(ORÇAMENTO!E709,-1,0))),OFFSET(E709,-1,0))</f>
        <v>2</v>
      </c>
      <c r="F709">
        <f ca="1">IF($C709=1,0,IF($C709=2,OFFSET(F709,-1,0)+1,OFFSET(F709,-1,0)))</f>
        <v>2</v>
      </c>
      <c r="G709">
        <f ca="1">IF(AND($C709&lt;=2,$C709&lt;&gt;0),0,IF($C709=3,OFFSET(G709,-1,0)+1,OFFSET(G709,-1,0)))</f>
        <v>0</v>
      </c>
      <c r="H709">
        <f ca="1">IF(AND($C709&lt;=3,$C709&lt;&gt;0),0,IF($C709=4,OFFSET(H709,-1,0)+1,OFFSET(H709,-1,0)))</f>
        <v>0</v>
      </c>
      <c r="I709">
        <f ca="1">IF(AND($C709&lt;=4,$C709&lt;&gt;0),0,IF(AND($C709="S",$X709&gt;0),OFFSET(I709,-1,0)+1,OFFSET(I709,-1,0)))</f>
        <v>0</v>
      </c>
      <c r="J709">
        <f t="shared" ca="1" si="352"/>
        <v>0</v>
      </c>
      <c r="K709">
        <f ca="1">IF(OR($C709="S",$C709=0),0,MATCH(OFFSET($D709,0,$C709)+IF($C709&lt;&gt;1,1,COUNTIF(QCI!$A$13:$A$24,ORÇAMENTO!E709)),OFFSET($D709,1,$C709,ROW($C$710)-ROW($C709)),0))</f>
        <v>0</v>
      </c>
      <c r="L709" s="143" t="str">
        <f ca="1">IF(OR($X709&gt;0,$C709=1,$C709=2,$C709=3,$C709=4),"F","")</f>
        <v/>
      </c>
      <c r="M709" s="144" t="s">
        <v>201</v>
      </c>
      <c r="N709" s="145" t="str">
        <f ca="1">CHOOSE(1+LOG(1+2*(C709=1)+4*(C709=2)+8*(C709=3)+16*(C709=4)+32*(C709="S"),2),"","Meta","Nível 2","Nível 3","Nível 4","Serviço")</f>
        <v>Serviço</v>
      </c>
      <c r="O709" s="146" t="str">
        <f ca="1">IF(OR($C709=0,$L709=""),"-",CONCATENATE(E709&amp;".",IF(AND($A$5&gt;=2,$C709&gt;=2),F709&amp;".",""),IF(AND($A$5&gt;=3,$C709&gt;=3),G709&amp;".",""),IF(AND($A$5&gt;=4,$C709&gt;=4),H709&amp;".",""),IF($C709="S",I709&amp;".","")))</f>
        <v>-</v>
      </c>
      <c r="P709" s="147" t="s">
        <v>441</v>
      </c>
      <c r="Q709" s="148" t="s">
        <v>639</v>
      </c>
      <c r="R709" s="149" t="str">
        <f ca="1">IF($C709="S",REFERENCIA.Descricao,"(digite a descrição aqui)")</f>
        <v>(abra o arquivo 'Referência 05-2024.xls)</v>
      </c>
      <c r="S709" s="150" t="str">
        <f ca="1">REFERENCIA.Unidade</f>
        <v>-</v>
      </c>
      <c r="T709" s="151">
        <f ca="1">OFFSET(CÁLCULO!H$15,ROW($T709)-ROW(T$15),0)</f>
        <v>1</v>
      </c>
      <c r="U709" s="152">
        <f t="shared" ca="1" si="351"/>
        <v>0</v>
      </c>
      <c r="V709" s="153" t="s">
        <v>158</v>
      </c>
      <c r="W709" s="151">
        <f ca="1">IF($C709="S",ROUND(IF(TIPOORCAMENTO="Proposto",ORÇAMENTO.CustoUnitario*(1+$AH709),ORÇAMENTO.PrecoUnitarioLicitado),15-13*$AF$10),0)</f>
        <v>0</v>
      </c>
      <c r="X709" s="154">
        <f ca="1">IF($C709="S",VTOTAL1,IF($C709=0,0,ROUND(SomaAgrup,15-13*$AF$11)))</f>
        <v>0</v>
      </c>
      <c r="Y709" s="155" t="s">
        <v>171</v>
      </c>
      <c r="Z709" t="str">
        <f ca="1">IF(AND($C709="S",$X709&gt;0),IF(ISBLANK($Y709),"RA",LEFT($Y709,2)),"")</f>
        <v/>
      </c>
      <c r="AA709" s="156">
        <f ca="1">IF($C709="S",IF($Z709="CP",$X709,IF($Z709="RA",(($X709)*QCI!$AA$3),0)),SomaAgrup)</f>
        <v>0</v>
      </c>
      <c r="AB709" s="157">
        <f ca="1">IF($C709="S",IF($Z709="OU",ROUND($X709,2),0),SomaAgrup)</f>
        <v>0</v>
      </c>
      <c r="AC709" s="158" t="str">
        <f ca="1">IF($N709="","",IF(ORÇAMENTO.Descricao="","DESCRIÇÃO",IF(AND($C709="S",ORÇAMENTO.Unidade=""),"UNIDADE",IF($X709&lt;0,"VALOR NEGATIVO",IF(OR(AND(TIPOORCAMENTO="Proposto",$AG709&lt;&gt;"",$AG709&gt;0,ORÇAMENTO.CustoUnitario&gt;$AG709),AND(TIPOORCAMENTO="LICITADO",ORÇAMENTO.PrecoUnitarioLicitado&gt;$AN709)),"ACIMA REF.","")))))</f>
        <v/>
      </c>
      <c r="AD709" s="104" t="str">
        <f ca="1">IF(C709&lt;=CRONO.NivelExibicao,MAX($AD$15:OFFSET(AD709,-1,0))+IF($C709&lt;&gt;1,1,MAX(1,COUNTIF(QCI!$A$13:$A$24,OFFSET($E709,-1,0)))),"")</f>
        <v/>
      </c>
      <c r="AE709" s="114" t="str">
        <f ca="1">IF(AND($C709="S",ORÇAMENTO.CodBarra&lt;&gt;""),IF(ORÇAMENTO.Fonte="",ORÇAMENTO.CodBarra,CONCATENATE(ORÇAMENTO.Fonte," ",ORÇAMENTO.CodBarra)))</f>
        <v>Composição CP-75</v>
      </c>
      <c r="AF709" s="159" t="str">
        <f ca="1">IF(ISERROR(INDIRECT(ORÇAMENTO.BancoRef)),"(abra o arquivo 'Referência "&amp;Excel_BuiltIn_Database&amp;".xls)",IF(OR($C709&lt;&gt;"S",ORÇAMENTO.CodBarra=""),"(Sem Código)",IF(ISERROR(MATCH($AE709,INDIRECT(ORÇAMENTO.BancoRef),0)),"(Código não identificado nas referências)",MATCH($AE709,INDIRECT(ORÇAMENTO.BancoRef),0))))</f>
        <v>(abra o arquivo 'Referência 05-2024.xls)</v>
      </c>
      <c r="AG709" s="579">
        <f ca="1">ROUND(IF(DESONERACAO="sim",REFERENCIA.Desonerado,REFERENCIA.NaoDesonerado),2)</f>
        <v>0</v>
      </c>
      <c r="AH709" s="580">
        <f ca="1">ROUND(IF(ISNUMBER(ORÇAMENTO.OpcaoBDI),ORÇAMENTO.OpcaoBDI,IF(LEFT(ORÇAMENTO.OpcaoBDI,3)="BDI",HLOOKUP(ORÇAMENTO.OpcaoBDI,$F$4:$H$5,2,FALSE),0)),15-11*$AF$9)</f>
        <v>0.22470000000000001</v>
      </c>
      <c r="AJ709" s="582">
        <v>1</v>
      </c>
      <c r="AL709" s="612"/>
      <c r="AM709" s="430">
        <f t="shared" ca="1" si="347"/>
        <v>0</v>
      </c>
      <c r="AN709" s="655">
        <f ca="1">ROUND(ORÇAMENTO.CustoUnitario*(1+$AH709),2)</f>
        <v>0</v>
      </c>
    </row>
    <row r="710" spans="1:40" ht="5.0999999999999996" customHeight="1" x14ac:dyDescent="0.3">
      <c r="A710">
        <v>-1</v>
      </c>
      <c r="C710">
        <v>-1</v>
      </c>
      <c r="E710">
        <v>0</v>
      </c>
      <c r="F710">
        <v>0</v>
      </c>
      <c r="G710">
        <v>0</v>
      </c>
      <c r="H710">
        <v>0</v>
      </c>
      <c r="I710">
        <v>0</v>
      </c>
      <c r="L710" s="143" t="s">
        <v>248</v>
      </c>
      <c r="M710" s="572"/>
      <c r="N710" s="573"/>
      <c r="O710" s="572"/>
      <c r="P710" s="574"/>
      <c r="Q710" s="574"/>
      <c r="R710" s="665"/>
      <c r="S710" s="574"/>
      <c r="T710" s="574"/>
      <c r="U710" s="574"/>
      <c r="V710" s="574"/>
      <c r="W710" s="574"/>
      <c r="X710" s="575"/>
      <c r="Y710" s="104"/>
      <c r="AA710" s="104"/>
      <c r="AB710" s="104"/>
      <c r="AC710" s="104"/>
      <c r="AD710" s="104"/>
      <c r="AE710" s="104"/>
      <c r="AF710" s="104"/>
      <c r="AG710" s="567"/>
      <c r="AH710" s="565"/>
      <c r="AJ710" s="576"/>
      <c r="AL710" s="567"/>
      <c r="AM710" s="564"/>
      <c r="AN710" s="565"/>
    </row>
    <row r="711" spans="1:40" x14ac:dyDescent="0.25">
      <c r="M711" s="105"/>
      <c r="N711" s="105"/>
      <c r="O711" s="105"/>
      <c r="P711" s="105"/>
      <c r="Q711" s="105"/>
      <c r="R711" s="666"/>
      <c r="S711" s="105"/>
      <c r="T711" s="105"/>
      <c r="U711" s="105"/>
      <c r="V711" s="105"/>
      <c r="W711" s="105"/>
      <c r="X711" s="105"/>
      <c r="Y711" s="104"/>
      <c r="AA711" s="104"/>
      <c r="AB711" s="104"/>
      <c r="AC711" s="104"/>
      <c r="AD711" s="104"/>
      <c r="AE711" s="104"/>
      <c r="AF711" s="104"/>
      <c r="AG711" s="104"/>
      <c r="AH711" s="104"/>
      <c r="AN711" s="104"/>
    </row>
    <row r="712" spans="1:40" x14ac:dyDescent="0.25">
      <c r="M712" s="105"/>
      <c r="N712" s="105"/>
      <c r="O712" s="105"/>
      <c r="P712" s="105"/>
      <c r="Q712" s="105"/>
      <c r="R712" s="666"/>
      <c r="S712" s="105"/>
      <c r="T712" s="105"/>
      <c r="U712" s="105"/>
      <c r="V712" s="105"/>
      <c r="W712" s="105"/>
      <c r="X712" s="105"/>
      <c r="Y712" s="104"/>
      <c r="AA712" s="104"/>
      <c r="AB712" s="104"/>
      <c r="AC712" s="104"/>
      <c r="AD712" s="104"/>
      <c r="AE712" s="104"/>
      <c r="AF712" s="104"/>
      <c r="AG712" s="104"/>
      <c r="AH712" s="104"/>
      <c r="AN712" s="104"/>
    </row>
    <row r="713" spans="1:40" ht="13.8" x14ac:dyDescent="0.25">
      <c r="A713" s="104"/>
      <c r="B713" s="104"/>
      <c r="C713" s="104"/>
      <c r="D713" s="104"/>
      <c r="E713" s="104"/>
      <c r="F713" s="104"/>
      <c r="G713" s="104"/>
      <c r="H713" s="104"/>
      <c r="I713" s="104"/>
      <c r="J713" s="104"/>
      <c r="K713" s="104"/>
      <c r="L713" s="104"/>
      <c r="M713" s="104"/>
      <c r="N713" s="104"/>
      <c r="O713" s="169" t="s">
        <v>250</v>
      </c>
      <c r="P713" s="104"/>
      <c r="Q713" s="704" t="s">
        <v>251</v>
      </c>
      <c r="R713" s="704"/>
      <c r="S713" s="704"/>
      <c r="T713" s="704"/>
      <c r="U713" s="704"/>
      <c r="V713" s="704"/>
      <c r="W713" s="704"/>
      <c r="X713" s="704"/>
      <c r="Y713" s="104"/>
      <c r="Z713" s="104"/>
      <c r="AA713" s="104"/>
      <c r="AB713" s="104"/>
      <c r="AC713" s="104"/>
      <c r="AD713" s="104"/>
      <c r="AE713" s="104"/>
      <c r="AF713" s="104"/>
      <c r="AG713" s="104"/>
      <c r="AH713" s="104"/>
      <c r="AN713" s="104"/>
    </row>
    <row r="714" spans="1:40" x14ac:dyDescent="0.25">
      <c r="A714" s="104"/>
      <c r="B714" s="104"/>
      <c r="C714" s="104"/>
      <c r="D714" s="104"/>
      <c r="E714" s="104"/>
      <c r="F714" s="104"/>
      <c r="G714" s="104"/>
      <c r="H714" s="104"/>
      <c r="I714" s="104"/>
      <c r="J714" s="104"/>
      <c r="K714" s="104"/>
      <c r="L714" s="104"/>
      <c r="M714" s="104"/>
      <c r="N714" s="104"/>
      <c r="O714" s="104"/>
      <c r="P714" s="104"/>
      <c r="Q714" s="104"/>
      <c r="R714" s="109"/>
      <c r="S714" s="104"/>
      <c r="T714" s="104"/>
      <c r="U714" s="104"/>
      <c r="V714" s="104"/>
      <c r="W714" s="104"/>
      <c r="X714" s="104"/>
      <c r="Y714" s="104"/>
      <c r="Z714" s="104"/>
      <c r="AA714" s="104"/>
      <c r="AB714" s="104"/>
      <c r="AC714" s="104"/>
      <c r="AD714" s="104"/>
      <c r="AE714" s="104"/>
      <c r="AF714" s="104"/>
      <c r="AG714" s="104"/>
      <c r="AH714" s="104"/>
      <c r="AN714" s="104"/>
    </row>
    <row r="715" spans="1:40" ht="13.8" x14ac:dyDescent="0.25">
      <c r="A715" s="104"/>
      <c r="B715" s="104"/>
      <c r="C715" s="104"/>
      <c r="D715" s="104"/>
      <c r="E715" s="104"/>
      <c r="F715" s="104"/>
      <c r="G715" s="104"/>
      <c r="H715" s="104"/>
      <c r="I715" s="104"/>
      <c r="J715" s="104"/>
      <c r="K715" s="104"/>
      <c r="L715" s="104"/>
      <c r="M715" s="104"/>
      <c r="N715" s="104"/>
      <c r="O715" s="170" t="s">
        <v>189</v>
      </c>
      <c r="P715" s="105"/>
      <c r="Q715" s="105"/>
      <c r="R715" s="666"/>
      <c r="S715" s="105"/>
      <c r="T715" s="105"/>
      <c r="U715" s="105"/>
      <c r="V715" s="105"/>
      <c r="W715" s="105"/>
      <c r="X715" s="171"/>
      <c r="Y715" s="104"/>
      <c r="Z715" s="104"/>
      <c r="AA715" s="104"/>
      <c r="AB715" s="104"/>
      <c r="AC715" s="104"/>
      <c r="AD715" s="104"/>
      <c r="AE715" s="104"/>
      <c r="AF715" s="104"/>
      <c r="AG715" s="104"/>
      <c r="AH715" s="104"/>
      <c r="AN715" s="104"/>
    </row>
    <row r="716" spans="1:40" ht="17.25" customHeight="1" x14ac:dyDescent="0.25">
      <c r="A716" s="104"/>
      <c r="B716" s="104"/>
      <c r="C716" s="104"/>
      <c r="D716" s="104"/>
      <c r="E716" s="104"/>
      <c r="F716" s="104"/>
      <c r="G716" s="104"/>
      <c r="H716" s="104"/>
      <c r="I716" s="104"/>
      <c r="J716" s="104"/>
      <c r="K716" s="104"/>
      <c r="L716" s="104"/>
      <c r="M716" s="104"/>
      <c r="N716" s="104"/>
      <c r="O716" s="705" t="s">
        <v>621</v>
      </c>
      <c r="P716" s="706"/>
      <c r="Q716" s="706"/>
      <c r="R716" s="706"/>
      <c r="S716" s="706"/>
      <c r="T716" s="706"/>
      <c r="U716" s="706"/>
      <c r="V716" s="706"/>
      <c r="W716" s="706"/>
      <c r="X716" s="706"/>
      <c r="Y716" s="104"/>
      <c r="Z716" s="104"/>
      <c r="AA716" s="104"/>
      <c r="AB716" s="104"/>
      <c r="AC716" s="104"/>
      <c r="AD716" s="104"/>
      <c r="AE716" s="104"/>
      <c r="AF716" s="104"/>
      <c r="AG716" s="104"/>
      <c r="AH716" s="104"/>
      <c r="AN716" s="104"/>
    </row>
    <row r="717" spans="1:40" ht="20.25" customHeight="1" x14ac:dyDescent="0.25">
      <c r="A717" s="104"/>
      <c r="B717" s="104"/>
      <c r="C717" s="104"/>
      <c r="D717" s="104"/>
      <c r="E717" s="104"/>
      <c r="F717" s="104"/>
      <c r="G717" s="104"/>
      <c r="H717" s="104"/>
      <c r="I717" s="104"/>
      <c r="J717" s="104"/>
      <c r="K717" s="104"/>
      <c r="L717" s="104"/>
      <c r="M717" s="104"/>
      <c r="N717" s="104"/>
      <c r="O717" s="706"/>
      <c r="P717" s="706"/>
      <c r="Q717" s="706"/>
      <c r="R717" s="706"/>
      <c r="S717" s="706"/>
      <c r="T717" s="706"/>
      <c r="U717" s="706"/>
      <c r="V717" s="706"/>
      <c r="W717" s="706"/>
      <c r="X717" s="706"/>
      <c r="Y717" s="104"/>
      <c r="Z717" s="104"/>
      <c r="AA717" s="104"/>
      <c r="AB717" s="104"/>
      <c r="AC717" s="104"/>
      <c r="AD717" s="104"/>
      <c r="AE717" s="104"/>
      <c r="AF717" s="104"/>
      <c r="AG717" s="104"/>
      <c r="AH717" s="104"/>
      <c r="AN717" s="104"/>
    </row>
    <row r="718" spans="1:40" ht="23.25" customHeight="1" x14ac:dyDescent="0.25">
      <c r="A718" s="104"/>
      <c r="B718" s="104"/>
      <c r="C718" s="104"/>
      <c r="D718" s="104"/>
      <c r="E718" s="104"/>
      <c r="F718" s="104"/>
      <c r="G718" s="104"/>
      <c r="H718" s="104"/>
      <c r="I718" s="104"/>
      <c r="J718" s="104"/>
      <c r="K718" s="104"/>
      <c r="L718" s="104"/>
      <c r="M718" s="104"/>
      <c r="N718" s="104"/>
      <c r="O718" s="706"/>
      <c r="P718" s="706"/>
      <c r="Q718" s="706"/>
      <c r="R718" s="706"/>
      <c r="S718" s="706"/>
      <c r="T718" s="706"/>
      <c r="U718" s="706"/>
      <c r="V718" s="706"/>
      <c r="W718" s="706"/>
      <c r="X718" s="706"/>
      <c r="Y718" s="104"/>
      <c r="Z718" s="104"/>
      <c r="AA718" s="104"/>
      <c r="AB718" s="104"/>
      <c r="AC718" s="104"/>
      <c r="AD718" s="104"/>
      <c r="AE718" s="104"/>
      <c r="AF718" s="104"/>
      <c r="AG718" s="104"/>
      <c r="AH718" s="104"/>
      <c r="AN718" s="104"/>
    </row>
    <row r="719" spans="1:40" ht="13.8" x14ac:dyDescent="0.25">
      <c r="A719" s="104"/>
      <c r="B719" s="104"/>
      <c r="C719" s="104"/>
      <c r="D719" s="104"/>
      <c r="E719" s="104"/>
      <c r="F719" s="104"/>
      <c r="G719" s="104"/>
      <c r="H719" s="104"/>
      <c r="I719" s="104"/>
      <c r="J719" s="104"/>
      <c r="K719" s="104"/>
      <c r="L719" s="104"/>
      <c r="M719" s="104"/>
      <c r="N719" s="104"/>
      <c r="O719" s="619"/>
      <c r="P719" s="619"/>
      <c r="Q719" s="619"/>
      <c r="R719" s="619"/>
      <c r="S719" s="619"/>
      <c r="T719" s="619"/>
      <c r="U719" s="619"/>
      <c r="V719" s="619"/>
      <c r="W719" s="619"/>
      <c r="X719" s="619"/>
      <c r="Y719" s="619"/>
      <c r="Z719" s="172"/>
      <c r="AA719" s="172"/>
      <c r="AB719" s="172"/>
      <c r="AC719" s="104"/>
      <c r="AD719" s="104"/>
      <c r="AE719" s="104"/>
      <c r="AF719" s="104"/>
      <c r="AG719" s="104"/>
      <c r="AH719" s="104"/>
      <c r="AN719" s="104"/>
    </row>
    <row r="720" spans="1:40" ht="13.8" x14ac:dyDescent="0.25">
      <c r="A720" s="104"/>
      <c r="B720" s="104"/>
      <c r="C720" s="104"/>
      <c r="D720" s="104"/>
      <c r="E720" s="104"/>
      <c r="F720" s="104"/>
      <c r="G720" s="104"/>
      <c r="H720" s="104"/>
      <c r="I720" s="104"/>
      <c r="J720" s="104"/>
      <c r="K720" s="104"/>
      <c r="L720" s="104"/>
      <c r="M720" s="104"/>
      <c r="N720" s="104"/>
      <c r="O720" s="707" t="str">
        <f>IF(AND($AF$7=FALSE,$AF$8=FALSE,$AF$9=FALSE,$AF$10=FALSE,$AF$11=FALSE),"Não foi considerado arredondamento nos valores da planilha.",CONCATENATE("Foi considerado arredondamento de duas casas decimais para ",IF($AF$7=TRUE,"Quantidade; ",""),IF($AF$8=TRUE,"Custo Unitário; ",""),IF($AF$9=TRUE,"BDI; ",""),IF($AF$10=TRUE,"Preço Unitário; ",""),IF($AF$11=TRUE,"Preço Total.","")))</f>
        <v>Foi considerado arredondamento de duas casas decimais para Quantidade; Custo Unitário; BDI; Preço Unitário; Preço Total.</v>
      </c>
      <c r="P720" s="707"/>
      <c r="Q720" s="707"/>
      <c r="R720" s="707"/>
      <c r="S720" s="707"/>
      <c r="T720" s="707"/>
      <c r="U720" s="707"/>
      <c r="V720" s="707"/>
      <c r="W720" s="707"/>
      <c r="X720" s="707"/>
      <c r="Y720" s="173"/>
      <c r="Z720" s="173"/>
      <c r="AA720" s="173"/>
      <c r="AB720" s="173"/>
      <c r="AC720" s="104"/>
      <c r="AD720" s="104"/>
      <c r="AE720" s="104"/>
      <c r="AF720" s="104"/>
      <c r="AG720" s="104"/>
      <c r="AH720" s="104"/>
      <c r="AN720" s="104"/>
    </row>
    <row r="721" spans="1:40" ht="15" customHeight="1" x14ac:dyDescent="0.25">
      <c r="A721" s="104"/>
      <c r="B721" s="104"/>
      <c r="C721" s="104"/>
      <c r="D721" s="104"/>
      <c r="E721" s="104"/>
      <c r="F721" s="104"/>
      <c r="G721" s="104"/>
      <c r="H721" s="104"/>
      <c r="I721" s="104"/>
      <c r="J721" s="104"/>
      <c r="K721" s="104"/>
      <c r="L721" s="104"/>
      <c r="M721" s="104"/>
      <c r="N721" s="104"/>
      <c r="O721" s="709" t="s">
        <v>252</v>
      </c>
      <c r="P721" s="709"/>
      <c r="Q721" s="709"/>
      <c r="R721" s="709"/>
      <c r="S721" s="709"/>
      <c r="T721" s="709"/>
      <c r="U721" s="709"/>
      <c r="V721" s="709"/>
      <c r="W721" s="709"/>
      <c r="X721" s="709"/>
      <c r="Y721" s="173"/>
      <c r="Z721" s="173"/>
      <c r="AA721" s="173"/>
      <c r="AB721" s="173"/>
      <c r="AC721" s="104"/>
      <c r="AD721" s="104"/>
      <c r="AE721" s="104"/>
      <c r="AF721" s="104"/>
      <c r="AG721" s="104"/>
      <c r="AH721" s="104"/>
      <c r="AN721" s="104"/>
    </row>
    <row r="722" spans="1:40" x14ac:dyDescent="0.25">
      <c r="A722" s="104"/>
      <c r="B722" s="104"/>
      <c r="C722" s="104"/>
      <c r="D722" s="104"/>
      <c r="E722" s="104"/>
      <c r="F722" s="104"/>
      <c r="G722" s="104"/>
      <c r="H722" s="104"/>
      <c r="I722" s="104"/>
      <c r="J722" s="104"/>
      <c r="K722" s="104"/>
      <c r="L722" s="104"/>
      <c r="M722" s="104"/>
      <c r="N722" s="104"/>
      <c r="O722" s="104"/>
      <c r="P722" s="104"/>
      <c r="Q722" s="104"/>
      <c r="R722" s="109"/>
      <c r="S722" s="104"/>
      <c r="T722" s="104"/>
      <c r="U722" s="104"/>
      <c r="V722" s="104"/>
      <c r="W722" s="104"/>
      <c r="X722" s="104"/>
      <c r="Y722" s="104"/>
      <c r="Z722" s="104"/>
      <c r="AA722" s="104"/>
      <c r="AB722" s="104"/>
      <c r="AC722" s="104"/>
      <c r="AD722" s="104"/>
      <c r="AE722" s="104"/>
      <c r="AF722" s="104"/>
      <c r="AG722" s="104"/>
      <c r="AH722" s="104"/>
      <c r="AN722" s="104"/>
    </row>
    <row r="723" spans="1:40" ht="30" customHeight="1" x14ac:dyDescent="0.25">
      <c r="A723" s="104"/>
      <c r="B723" s="104"/>
      <c r="C723" s="104"/>
      <c r="D723" s="104"/>
      <c r="E723" s="104"/>
      <c r="F723" s="104"/>
      <c r="G723" s="104"/>
      <c r="H723" s="104"/>
      <c r="I723" s="104"/>
      <c r="J723" s="104"/>
      <c r="K723" s="104"/>
      <c r="L723" s="104"/>
      <c r="M723" s="104"/>
      <c r="N723" s="104"/>
      <c r="O723" s="708" t="str">
        <f>Import.Município</f>
        <v>LAGUNA/SC</v>
      </c>
      <c r="P723" s="708"/>
      <c r="Q723" s="708"/>
      <c r="R723" s="109"/>
      <c r="S723" s="640"/>
      <c r="T723" s="640"/>
      <c r="U723" s="640"/>
      <c r="V723" s="640"/>
      <c r="W723" s="557"/>
      <c r="X723" s="104"/>
      <c r="Y723" s="104"/>
      <c r="Z723" s="104"/>
      <c r="AA723" s="104"/>
      <c r="AB723" s="104"/>
      <c r="AC723" s="104"/>
      <c r="AD723" s="104"/>
      <c r="AE723" s="104"/>
      <c r="AF723" s="104"/>
      <c r="AG723" s="104"/>
      <c r="AH723" s="104"/>
      <c r="AN723" s="104"/>
    </row>
    <row r="724" spans="1:40" x14ac:dyDescent="0.25">
      <c r="A724" s="104"/>
      <c r="B724" s="104"/>
      <c r="C724" s="104"/>
      <c r="D724" s="104"/>
      <c r="E724" s="104"/>
      <c r="F724" s="104"/>
      <c r="G724" s="104"/>
      <c r="H724" s="104"/>
      <c r="I724" s="104"/>
      <c r="J724" s="104"/>
      <c r="K724" s="104"/>
      <c r="L724" s="104"/>
      <c r="M724" s="104"/>
      <c r="N724" s="104"/>
      <c r="O724" s="12" t="s">
        <v>190</v>
      </c>
      <c r="P724" s="104"/>
      <c r="Q724" s="104"/>
      <c r="R724" s="109"/>
      <c r="S724" s="229" t="s">
        <v>192</v>
      </c>
      <c r="T724" s="229"/>
      <c r="U724" s="229"/>
      <c r="V724" s="229"/>
      <c r="X724" s="104"/>
      <c r="Y724" s="104"/>
      <c r="Z724" s="104"/>
      <c r="AA724" s="104"/>
      <c r="AB724" s="104"/>
      <c r="AC724" s="104"/>
      <c r="AD724" s="104"/>
      <c r="AE724" s="104"/>
      <c r="AF724" s="104"/>
      <c r="AG724" s="104"/>
      <c r="AH724" s="104"/>
      <c r="AN724" s="104"/>
    </row>
    <row r="725" spans="1:40" x14ac:dyDescent="0.25">
      <c r="A725" s="104"/>
      <c r="B725" s="104"/>
      <c r="C725" s="104"/>
      <c r="D725" s="104"/>
      <c r="E725" s="104"/>
      <c r="F725" s="104"/>
      <c r="G725" s="104"/>
      <c r="H725" s="104"/>
      <c r="I725" s="104"/>
      <c r="J725" s="104"/>
      <c r="K725" s="104"/>
      <c r="L725" s="104"/>
      <c r="M725" s="104"/>
      <c r="N725" s="104"/>
      <c r="O725" s="104"/>
      <c r="P725" s="104"/>
      <c r="Q725" s="104"/>
      <c r="R725" s="109"/>
      <c r="S725" s="94" t="s">
        <v>109</v>
      </c>
      <c r="T725" s="95" t="str">
        <f t="array" ref="T725:T727">Import.RespOrçamento</f>
        <v>Norton dos Santos Filho</v>
      </c>
      <c r="U725" s="176"/>
      <c r="V725" s="96"/>
      <c r="X725" s="104"/>
      <c r="Y725" s="104"/>
      <c r="Z725" s="104"/>
      <c r="AA725" s="104"/>
      <c r="AB725" s="104"/>
      <c r="AC725" s="104"/>
      <c r="AD725" s="104"/>
      <c r="AE725" s="104"/>
      <c r="AF725" s="104"/>
      <c r="AG725" s="104"/>
      <c r="AH725" s="104"/>
      <c r="AN725" s="104"/>
    </row>
    <row r="726" spans="1:40" x14ac:dyDescent="0.25">
      <c r="A726" s="104"/>
      <c r="B726" s="104"/>
      <c r="C726" s="104"/>
      <c r="D726" s="104"/>
      <c r="E726" s="104"/>
      <c r="F726" s="104"/>
      <c r="G726" s="104"/>
      <c r="H726" s="104"/>
      <c r="I726" s="104"/>
      <c r="J726" s="104"/>
      <c r="K726" s="104"/>
      <c r="L726" s="104"/>
      <c r="M726" s="104"/>
      <c r="N726" s="104"/>
      <c r="O726" s="702">
        <f ca="1">DADOS!$F$25</f>
        <v>45477</v>
      </c>
      <c r="P726" s="702"/>
      <c r="Q726" s="702"/>
      <c r="R726" s="109"/>
      <c r="S726" s="94" t="s">
        <v>110</v>
      </c>
      <c r="T726" s="95" t="str">
        <v>139329-8</v>
      </c>
      <c r="U726" s="96"/>
      <c r="V726" s="96"/>
      <c r="X726" s="104"/>
      <c r="Y726" s="104"/>
      <c r="Z726" s="104"/>
      <c r="AA726" s="104"/>
      <c r="AB726" s="104"/>
      <c r="AC726" s="104"/>
      <c r="AD726" s="104"/>
      <c r="AE726" s="104"/>
      <c r="AF726" s="104"/>
      <c r="AG726" s="104"/>
      <c r="AH726" s="104"/>
      <c r="AN726" s="104"/>
    </row>
    <row r="727" spans="1:40" x14ac:dyDescent="0.25">
      <c r="A727" s="104"/>
      <c r="B727" s="104"/>
      <c r="C727" s="104"/>
      <c r="D727" s="104"/>
      <c r="E727" s="104"/>
      <c r="F727" s="104"/>
      <c r="G727" s="104"/>
      <c r="H727" s="104"/>
      <c r="I727" s="104"/>
      <c r="J727" s="104"/>
      <c r="K727" s="104"/>
      <c r="L727" s="104"/>
      <c r="M727" s="104"/>
      <c r="N727" s="104"/>
      <c r="O727" s="177" t="s">
        <v>191</v>
      </c>
      <c r="P727" s="178"/>
      <c r="Q727" s="178"/>
      <c r="R727" s="109"/>
      <c r="S727" s="94" t="s">
        <v>111</v>
      </c>
      <c r="T727" s="95" t="str">
        <v>9200819-3</v>
      </c>
      <c r="U727" s="96"/>
      <c r="V727" s="96"/>
      <c r="X727" s="104"/>
      <c r="Y727" s="104"/>
      <c r="Z727" s="104"/>
      <c r="AA727" s="104"/>
      <c r="AB727" s="104"/>
      <c r="AC727" s="104"/>
      <c r="AD727" s="104"/>
      <c r="AE727" s="104"/>
      <c r="AF727" s="104"/>
      <c r="AG727" s="104"/>
      <c r="AH727" s="104"/>
      <c r="AN727" s="104"/>
    </row>
  </sheetData>
  <sheetProtection autoFilter="0"/>
  <autoFilter ref="L15:L710"/>
  <mergeCells count="24">
    <mergeCell ref="AE5:AF5"/>
    <mergeCell ref="O7:P7"/>
    <mergeCell ref="S7:U7"/>
    <mergeCell ref="AL7:AL11"/>
    <mergeCell ref="Y8:Y12"/>
    <mergeCell ref="Z8:Z12"/>
    <mergeCell ref="AA12:AB12"/>
    <mergeCell ref="AJ7:AJ11"/>
    <mergeCell ref="O4:P4"/>
    <mergeCell ref="S4:X4"/>
    <mergeCell ref="O5:P5"/>
    <mergeCell ref="S5:X5"/>
    <mergeCell ref="F8:K8"/>
    <mergeCell ref="L8:L12"/>
    <mergeCell ref="O8:P8"/>
    <mergeCell ref="S8:U8"/>
    <mergeCell ref="F9:K9"/>
    <mergeCell ref="O726:Q726"/>
    <mergeCell ref="O15:R15"/>
    <mergeCell ref="Q713:X713"/>
    <mergeCell ref="O716:X718"/>
    <mergeCell ref="O720:X720"/>
    <mergeCell ref="O723:Q723"/>
    <mergeCell ref="O721:X721"/>
  </mergeCells>
  <phoneticPr fontId="38" type="noConversion"/>
  <conditionalFormatting sqref="M14 M25:M32 M276:M289 M617:M620">
    <cfRule type="cellIs" dxfId="1931" priority="23647" stopIfTrue="1" operator="notEqual">
      <formula>$N14</formula>
    </cfRule>
  </conditionalFormatting>
  <conditionalFormatting sqref="N14:O14 R14 W14:X14 W25:X32 N25:O32 N276:O289 W276:X289 N617:O620 W617:X620">
    <cfRule type="expression" dxfId="1930" priority="23648" stopIfTrue="1">
      <formula>$C14=1</formula>
    </cfRule>
    <cfRule type="expression" dxfId="1929" priority="23649" stopIfTrue="1">
      <formula>OR($C14=0,$C14=2,$C14=3,$C14=4)</formula>
    </cfRule>
  </conditionalFormatting>
  <conditionalFormatting sqref="U14:V14">
    <cfRule type="expression" dxfId="1928" priority="23650" stopIfTrue="1">
      <formula>$C14=1</formula>
    </cfRule>
    <cfRule type="expression" dxfId="1927" priority="23651" stopIfTrue="1">
      <formula>OR($C14=0,$C14=2,$C14=3,$C14=4)</formula>
    </cfRule>
    <cfRule type="expression" dxfId="1926" priority="23652" stopIfTrue="1">
      <formula>AND(TIPOORCAMENTO="Licitado",$C14&lt;&gt;"L",$C14&lt;&gt;-1)</formula>
    </cfRule>
  </conditionalFormatting>
  <conditionalFormatting sqref="P14:Q14 S14:T14 Y14 AG14:AH14 T25:T32 AG25:AH32 AG276:AH289 T276:T289 AG617:AH620 T617:T620 Y704:Y707">
    <cfRule type="expression" dxfId="1925" priority="23653" stopIfTrue="1">
      <formula>$C14=1</formula>
    </cfRule>
    <cfRule type="expression" dxfId="1924" priority="23654" stopIfTrue="1">
      <formula>OR($C14=0,$C14=2,$C14=3,$C14=4)</formula>
    </cfRule>
  </conditionalFormatting>
  <conditionalFormatting sqref="AJ7:AJ15 AJ25:AJ32 AJ276:AJ289 AJ710 AJ617:AJ620">
    <cfRule type="expression" dxfId="1923" priority="23655" stopIfTrue="1">
      <formula>OR(ACOMPANHAMENTO&lt;&gt;"BM",TIPOORCAMENTO="Licitado")</formula>
    </cfRule>
    <cfRule type="expression" dxfId="1922" priority="23656" stopIfTrue="1">
      <formula>$C7=1</formula>
    </cfRule>
    <cfRule type="expression" dxfId="1921" priority="23657" stopIfTrue="1">
      <formula>OR(AND(ISNUMBER($C7),$C7=0),$C7=2,$C7=3,$C7=4)</formula>
    </cfRule>
  </conditionalFormatting>
  <conditionalFormatting sqref="AL7:AL15 AL25:AL32 AL276:AL289 AL617:AL620 AL710">
    <cfRule type="expression" dxfId="1920" priority="23658" stopIfTrue="1">
      <formula>TIPOORCAMENTO="PROPOSTO"</formula>
    </cfRule>
    <cfRule type="expression" dxfId="1919" priority="23659" stopIfTrue="1">
      <formula>$C7=1</formula>
    </cfRule>
    <cfRule type="expression" dxfId="1918" priority="23660" stopIfTrue="1">
      <formula>OR(AND(ISNUMBER($C7),$C7=0),$C7=2,$C7=3,$C7=4)</formula>
    </cfRule>
  </conditionalFormatting>
  <conditionalFormatting sqref="O8:P8">
    <cfRule type="expression" dxfId="1917" priority="23664" stopIfTrue="1">
      <formula>ISERROR(INDIRECT($F$9))</formula>
    </cfRule>
  </conditionalFormatting>
  <conditionalFormatting sqref="AM7:AN15 AM25:AN32 AM276:AN289 AM617:AN620 AM710:AN710">
    <cfRule type="expression" dxfId="1916" priority="23661" stopIfTrue="1">
      <formula>TIPOORCAMENTO="PROPOSTO"</formula>
    </cfRule>
    <cfRule type="expression" dxfId="1915" priority="23662" stopIfTrue="1">
      <formula>$C7=1</formula>
    </cfRule>
    <cfRule type="expression" dxfId="1914" priority="23663" stopIfTrue="1">
      <formula>OR(AND(ISNUMBER($C7),$C7=0),$C7=2,$C7=3,$C7=4)</formula>
    </cfRule>
  </conditionalFormatting>
  <conditionalFormatting sqref="M16:M24">
    <cfRule type="cellIs" dxfId="1913" priority="1970" stopIfTrue="1" operator="notEqual">
      <formula>$N16</formula>
    </cfRule>
  </conditionalFormatting>
  <conditionalFormatting sqref="N16:O24 W16:X24">
    <cfRule type="expression" dxfId="1912" priority="1971" stopIfTrue="1">
      <formula>$C16=1</formula>
    </cfRule>
    <cfRule type="expression" dxfId="1911" priority="1972" stopIfTrue="1">
      <formula>OR($C16=0,$C16=2,$C16=3,$C16=4)</formula>
    </cfRule>
  </conditionalFormatting>
  <conditionalFormatting sqref="Y16:Y17 AG16:AH24 T16:T24">
    <cfRule type="expression" dxfId="1910" priority="1976" stopIfTrue="1">
      <formula>$C16=1</formula>
    </cfRule>
    <cfRule type="expression" dxfId="1909" priority="1977" stopIfTrue="1">
      <formula>OR($C16=0,$C16=2,$C16=3,$C16=4)</formula>
    </cfRule>
  </conditionalFormatting>
  <conditionalFormatting sqref="AJ16:AJ24">
    <cfRule type="expression" dxfId="1908" priority="1978" stopIfTrue="1">
      <formula>OR(ACOMPANHAMENTO&lt;&gt;"BM",TIPOORCAMENTO="Licitado")</formula>
    </cfRule>
    <cfRule type="expression" dxfId="1907" priority="1979" stopIfTrue="1">
      <formula>$C16=1</formula>
    </cfRule>
    <cfRule type="expression" dxfId="1906" priority="1980" stopIfTrue="1">
      <formula>OR(AND(ISNUMBER($C16),$C16=0),$C16=2,$C16=3,$C16=4)</formula>
    </cfRule>
  </conditionalFormatting>
  <conditionalFormatting sqref="AL16:AL24">
    <cfRule type="expression" dxfId="1905" priority="1981" stopIfTrue="1">
      <formula>TIPOORCAMENTO="PROPOSTO"</formula>
    </cfRule>
    <cfRule type="expression" dxfId="1904" priority="1982" stopIfTrue="1">
      <formula>$C16=1</formula>
    </cfRule>
    <cfRule type="expression" dxfId="1903" priority="1983" stopIfTrue="1">
      <formula>OR(AND(ISNUMBER($C16),$C16=0),$C16=2,$C16=3,$C16=4)</formula>
    </cfRule>
  </conditionalFormatting>
  <conditionalFormatting sqref="AM16:AN24">
    <cfRule type="expression" dxfId="1902" priority="1984" stopIfTrue="1">
      <formula>TIPOORCAMENTO="PROPOSTO"</formula>
    </cfRule>
    <cfRule type="expression" dxfId="1901" priority="1985" stopIfTrue="1">
      <formula>$C16=1</formula>
    </cfRule>
    <cfRule type="expression" dxfId="1900" priority="1986" stopIfTrue="1">
      <formula>OR(AND(ISNUMBER($C16),$C16=0),$C16=2,$C16=3,$C16=4)</formula>
    </cfRule>
  </conditionalFormatting>
  <conditionalFormatting sqref="M33:M41">
    <cfRule type="cellIs" dxfId="1899" priority="1936" stopIfTrue="1" operator="notEqual">
      <formula>$N33</formula>
    </cfRule>
  </conditionalFormatting>
  <conditionalFormatting sqref="N33:O41 W33:X41">
    <cfRule type="expression" dxfId="1898" priority="1937" stopIfTrue="1">
      <formula>$C33=1</formula>
    </cfRule>
    <cfRule type="expression" dxfId="1897" priority="1938" stopIfTrue="1">
      <formula>OR($C33=0,$C33=2,$C33=3,$C33=4)</formula>
    </cfRule>
  </conditionalFormatting>
  <conditionalFormatting sqref="AG33:AH41 T33:T41">
    <cfRule type="expression" dxfId="1896" priority="1942" stopIfTrue="1">
      <formula>$C33=1</formula>
    </cfRule>
    <cfRule type="expression" dxfId="1895" priority="1943" stopIfTrue="1">
      <formula>OR($C33=0,$C33=2,$C33=3,$C33=4)</formula>
    </cfRule>
  </conditionalFormatting>
  <conditionalFormatting sqref="AJ33:AJ41">
    <cfRule type="expression" dxfId="1894" priority="1944" stopIfTrue="1">
      <formula>OR(ACOMPANHAMENTO&lt;&gt;"BM",TIPOORCAMENTO="Licitado")</formula>
    </cfRule>
    <cfRule type="expression" dxfId="1893" priority="1945" stopIfTrue="1">
      <formula>$C33=1</formula>
    </cfRule>
    <cfRule type="expression" dxfId="1892" priority="1946" stopIfTrue="1">
      <formula>OR(AND(ISNUMBER($C33),$C33=0),$C33=2,$C33=3,$C33=4)</formula>
    </cfRule>
  </conditionalFormatting>
  <conditionalFormatting sqref="AL33:AL41">
    <cfRule type="expression" dxfId="1891" priority="1947" stopIfTrue="1">
      <formula>TIPOORCAMENTO="PROPOSTO"</formula>
    </cfRule>
    <cfRule type="expression" dxfId="1890" priority="1948" stopIfTrue="1">
      <formula>$C33=1</formula>
    </cfRule>
    <cfRule type="expression" dxfId="1889" priority="1949" stopIfTrue="1">
      <formula>OR(AND(ISNUMBER($C33),$C33=0),$C33=2,$C33=3,$C33=4)</formula>
    </cfRule>
  </conditionalFormatting>
  <conditionalFormatting sqref="AM33:AN41">
    <cfRule type="expression" dxfId="1888" priority="1950" stopIfTrue="1">
      <formula>TIPOORCAMENTO="PROPOSTO"</formula>
    </cfRule>
    <cfRule type="expression" dxfId="1887" priority="1951" stopIfTrue="1">
      <formula>$C33=1</formula>
    </cfRule>
    <cfRule type="expression" dxfId="1886" priority="1952" stopIfTrue="1">
      <formula>OR(AND(ISNUMBER($C33),$C33=0),$C33=2,$C33=3,$C33=4)</formula>
    </cfRule>
  </conditionalFormatting>
  <conditionalFormatting sqref="M42:M50">
    <cfRule type="cellIs" dxfId="1885" priority="1919" stopIfTrue="1" operator="notEqual">
      <formula>$N42</formula>
    </cfRule>
  </conditionalFormatting>
  <conditionalFormatting sqref="N42:O50 W42:X50">
    <cfRule type="expression" dxfId="1884" priority="1920" stopIfTrue="1">
      <formula>$C42=1</formula>
    </cfRule>
    <cfRule type="expression" dxfId="1883" priority="1921" stopIfTrue="1">
      <formula>OR($C42=0,$C42=2,$C42=3,$C42=4)</formula>
    </cfRule>
  </conditionalFormatting>
  <conditionalFormatting sqref="AG42:AH50 T42:T50">
    <cfRule type="expression" dxfId="1882" priority="1925" stopIfTrue="1">
      <formula>$C42=1</formula>
    </cfRule>
    <cfRule type="expression" dxfId="1881" priority="1926" stopIfTrue="1">
      <formula>OR($C42=0,$C42=2,$C42=3,$C42=4)</formula>
    </cfRule>
  </conditionalFormatting>
  <conditionalFormatting sqref="AJ42:AJ50">
    <cfRule type="expression" dxfId="1880" priority="1927" stopIfTrue="1">
      <formula>OR(ACOMPANHAMENTO&lt;&gt;"BM",TIPOORCAMENTO="Licitado")</formula>
    </cfRule>
    <cfRule type="expression" dxfId="1879" priority="1928" stopIfTrue="1">
      <formula>$C42=1</formula>
    </cfRule>
    <cfRule type="expression" dxfId="1878" priority="1929" stopIfTrue="1">
      <formula>OR(AND(ISNUMBER($C42),$C42=0),$C42=2,$C42=3,$C42=4)</formula>
    </cfRule>
  </conditionalFormatting>
  <conditionalFormatting sqref="AL42:AL50">
    <cfRule type="expression" dxfId="1877" priority="1930" stopIfTrue="1">
      <formula>TIPOORCAMENTO="PROPOSTO"</formula>
    </cfRule>
    <cfRule type="expression" dxfId="1876" priority="1931" stopIfTrue="1">
      <formula>$C42=1</formula>
    </cfRule>
    <cfRule type="expression" dxfId="1875" priority="1932" stopIfTrue="1">
      <formula>OR(AND(ISNUMBER($C42),$C42=0),$C42=2,$C42=3,$C42=4)</formula>
    </cfRule>
  </conditionalFormatting>
  <conditionalFormatting sqref="AM42:AN50">
    <cfRule type="expression" dxfId="1874" priority="1933" stopIfTrue="1">
      <formula>TIPOORCAMENTO="PROPOSTO"</formula>
    </cfRule>
    <cfRule type="expression" dxfId="1873" priority="1934" stopIfTrue="1">
      <formula>$C42=1</formula>
    </cfRule>
    <cfRule type="expression" dxfId="1872" priority="1935" stopIfTrue="1">
      <formula>OR(AND(ISNUMBER($C42),$C42=0),$C42=2,$C42=3,$C42=4)</formula>
    </cfRule>
  </conditionalFormatting>
  <conditionalFormatting sqref="M51:M59">
    <cfRule type="cellIs" dxfId="1871" priority="1902" stopIfTrue="1" operator="notEqual">
      <formula>$N51</formula>
    </cfRule>
  </conditionalFormatting>
  <conditionalFormatting sqref="N51:O59 W51:X59">
    <cfRule type="expression" dxfId="1870" priority="1903" stopIfTrue="1">
      <formula>$C51=1</formula>
    </cfRule>
    <cfRule type="expression" dxfId="1869" priority="1904" stopIfTrue="1">
      <formula>OR($C51=0,$C51=2,$C51=3,$C51=4)</formula>
    </cfRule>
  </conditionalFormatting>
  <conditionalFormatting sqref="AG51:AH59 T51:T59">
    <cfRule type="expression" dxfId="1868" priority="1908" stopIfTrue="1">
      <formula>$C51=1</formula>
    </cfRule>
    <cfRule type="expression" dxfId="1867" priority="1909" stopIfTrue="1">
      <formula>OR($C51=0,$C51=2,$C51=3,$C51=4)</formula>
    </cfRule>
  </conditionalFormatting>
  <conditionalFormatting sqref="AJ51:AJ59">
    <cfRule type="expression" dxfId="1866" priority="1910" stopIfTrue="1">
      <formula>OR(ACOMPANHAMENTO&lt;&gt;"BM",TIPOORCAMENTO="Licitado")</formula>
    </cfRule>
    <cfRule type="expression" dxfId="1865" priority="1911" stopIfTrue="1">
      <formula>$C51=1</formula>
    </cfRule>
    <cfRule type="expression" dxfId="1864" priority="1912" stopIfTrue="1">
      <formula>OR(AND(ISNUMBER($C51),$C51=0),$C51=2,$C51=3,$C51=4)</formula>
    </cfRule>
  </conditionalFormatting>
  <conditionalFormatting sqref="AL51:AL59">
    <cfRule type="expression" dxfId="1863" priority="1913" stopIfTrue="1">
      <formula>TIPOORCAMENTO="PROPOSTO"</formula>
    </cfRule>
    <cfRule type="expression" dxfId="1862" priority="1914" stopIfTrue="1">
      <formula>$C51=1</formula>
    </cfRule>
    <cfRule type="expression" dxfId="1861" priority="1915" stopIfTrue="1">
      <formula>OR(AND(ISNUMBER($C51),$C51=0),$C51=2,$C51=3,$C51=4)</formula>
    </cfRule>
  </conditionalFormatting>
  <conditionalFormatting sqref="AM51:AN59">
    <cfRule type="expression" dxfId="1860" priority="1916" stopIfTrue="1">
      <formula>TIPOORCAMENTO="PROPOSTO"</formula>
    </cfRule>
    <cfRule type="expression" dxfId="1859" priority="1917" stopIfTrue="1">
      <formula>$C51=1</formula>
    </cfRule>
    <cfRule type="expression" dxfId="1858" priority="1918" stopIfTrue="1">
      <formula>OR(AND(ISNUMBER($C51),$C51=0),$C51=2,$C51=3,$C51=4)</formula>
    </cfRule>
  </conditionalFormatting>
  <conditionalFormatting sqref="M60:M68">
    <cfRule type="cellIs" dxfId="1857" priority="1885" stopIfTrue="1" operator="notEqual">
      <formula>$N60</formula>
    </cfRule>
  </conditionalFormatting>
  <conditionalFormatting sqref="N60:O68 W60:X68">
    <cfRule type="expression" dxfId="1856" priority="1886" stopIfTrue="1">
      <formula>$C60=1</formula>
    </cfRule>
    <cfRule type="expression" dxfId="1855" priority="1887" stopIfTrue="1">
      <formula>OR($C60=0,$C60=2,$C60=3,$C60=4)</formula>
    </cfRule>
  </conditionalFormatting>
  <conditionalFormatting sqref="AG60:AH68 T60:T68">
    <cfRule type="expression" dxfId="1854" priority="1891" stopIfTrue="1">
      <formula>$C60=1</formula>
    </cfRule>
    <cfRule type="expression" dxfId="1853" priority="1892" stopIfTrue="1">
      <formula>OR($C60=0,$C60=2,$C60=3,$C60=4)</formula>
    </cfRule>
  </conditionalFormatting>
  <conditionalFormatting sqref="AJ60:AJ68">
    <cfRule type="expression" dxfId="1852" priority="1893" stopIfTrue="1">
      <formula>OR(ACOMPANHAMENTO&lt;&gt;"BM",TIPOORCAMENTO="Licitado")</formula>
    </cfRule>
    <cfRule type="expression" dxfId="1851" priority="1894" stopIfTrue="1">
      <formula>$C60=1</formula>
    </cfRule>
    <cfRule type="expression" dxfId="1850" priority="1895" stopIfTrue="1">
      <formula>OR(AND(ISNUMBER($C60),$C60=0),$C60=2,$C60=3,$C60=4)</formula>
    </cfRule>
  </conditionalFormatting>
  <conditionalFormatting sqref="AL60:AL68">
    <cfRule type="expression" dxfId="1849" priority="1896" stopIfTrue="1">
      <formula>TIPOORCAMENTO="PROPOSTO"</formula>
    </cfRule>
    <cfRule type="expression" dxfId="1848" priority="1897" stopIfTrue="1">
      <formula>$C60=1</formula>
    </cfRule>
    <cfRule type="expression" dxfId="1847" priority="1898" stopIfTrue="1">
      <formula>OR(AND(ISNUMBER($C60),$C60=0),$C60=2,$C60=3,$C60=4)</formula>
    </cfRule>
  </conditionalFormatting>
  <conditionalFormatting sqref="AM60:AN68">
    <cfRule type="expression" dxfId="1846" priority="1899" stopIfTrue="1">
      <formula>TIPOORCAMENTO="PROPOSTO"</formula>
    </cfRule>
    <cfRule type="expression" dxfId="1845" priority="1900" stopIfTrue="1">
      <formula>$C60=1</formula>
    </cfRule>
    <cfRule type="expression" dxfId="1844" priority="1901" stopIfTrue="1">
      <formula>OR(AND(ISNUMBER($C60),$C60=0),$C60=2,$C60=3,$C60=4)</formula>
    </cfRule>
  </conditionalFormatting>
  <conditionalFormatting sqref="M69:M77">
    <cfRule type="cellIs" dxfId="1843" priority="1868" stopIfTrue="1" operator="notEqual">
      <formula>$N69</formula>
    </cfRule>
  </conditionalFormatting>
  <conditionalFormatting sqref="N69:O77 W69:X77">
    <cfRule type="expression" dxfId="1842" priority="1869" stopIfTrue="1">
      <formula>$C69=1</formula>
    </cfRule>
    <cfRule type="expression" dxfId="1841" priority="1870" stopIfTrue="1">
      <formula>OR($C69=0,$C69=2,$C69=3,$C69=4)</formula>
    </cfRule>
  </conditionalFormatting>
  <conditionalFormatting sqref="AG69:AH77 T69:T77">
    <cfRule type="expression" dxfId="1840" priority="1874" stopIfTrue="1">
      <formula>$C69=1</formula>
    </cfRule>
    <cfRule type="expression" dxfId="1839" priority="1875" stopIfTrue="1">
      <formula>OR($C69=0,$C69=2,$C69=3,$C69=4)</formula>
    </cfRule>
  </conditionalFormatting>
  <conditionalFormatting sqref="AJ69:AJ77">
    <cfRule type="expression" dxfId="1838" priority="1876" stopIfTrue="1">
      <formula>OR(ACOMPANHAMENTO&lt;&gt;"BM",TIPOORCAMENTO="Licitado")</formula>
    </cfRule>
    <cfRule type="expression" dxfId="1837" priority="1877" stopIfTrue="1">
      <formula>$C69=1</formula>
    </cfRule>
    <cfRule type="expression" dxfId="1836" priority="1878" stopIfTrue="1">
      <formula>OR(AND(ISNUMBER($C69),$C69=0),$C69=2,$C69=3,$C69=4)</formula>
    </cfRule>
  </conditionalFormatting>
  <conditionalFormatting sqref="AL69:AL77">
    <cfRule type="expression" dxfId="1835" priority="1879" stopIfTrue="1">
      <formula>TIPOORCAMENTO="PROPOSTO"</formula>
    </cfRule>
    <cfRule type="expression" dxfId="1834" priority="1880" stopIfTrue="1">
      <formula>$C69=1</formula>
    </cfRule>
    <cfRule type="expression" dxfId="1833" priority="1881" stopIfTrue="1">
      <formula>OR(AND(ISNUMBER($C69),$C69=0),$C69=2,$C69=3,$C69=4)</formula>
    </cfRule>
  </conditionalFormatting>
  <conditionalFormatting sqref="AM69:AN77">
    <cfRule type="expression" dxfId="1832" priority="1882" stopIfTrue="1">
      <formula>TIPOORCAMENTO="PROPOSTO"</formula>
    </cfRule>
    <cfRule type="expression" dxfId="1831" priority="1883" stopIfTrue="1">
      <formula>$C69=1</formula>
    </cfRule>
    <cfRule type="expression" dxfId="1830" priority="1884" stopIfTrue="1">
      <formula>OR(AND(ISNUMBER($C69),$C69=0),$C69=2,$C69=3,$C69=4)</formula>
    </cfRule>
  </conditionalFormatting>
  <conditionalFormatting sqref="M78:M86">
    <cfRule type="cellIs" dxfId="1829" priority="1851" stopIfTrue="1" operator="notEqual">
      <formula>$N78</formula>
    </cfRule>
  </conditionalFormatting>
  <conditionalFormatting sqref="N78:O86 W78:X86">
    <cfRule type="expression" dxfId="1828" priority="1852" stopIfTrue="1">
      <formula>$C78=1</formula>
    </cfRule>
    <cfRule type="expression" dxfId="1827" priority="1853" stopIfTrue="1">
      <formula>OR($C78=0,$C78=2,$C78=3,$C78=4)</formula>
    </cfRule>
  </conditionalFormatting>
  <conditionalFormatting sqref="AG78:AH86 T78:T86">
    <cfRule type="expression" dxfId="1826" priority="1857" stopIfTrue="1">
      <formula>$C78=1</formula>
    </cfRule>
    <cfRule type="expression" dxfId="1825" priority="1858" stopIfTrue="1">
      <formula>OR($C78=0,$C78=2,$C78=3,$C78=4)</formula>
    </cfRule>
  </conditionalFormatting>
  <conditionalFormatting sqref="AJ78:AJ86">
    <cfRule type="expression" dxfId="1824" priority="1859" stopIfTrue="1">
      <formula>OR(ACOMPANHAMENTO&lt;&gt;"BM",TIPOORCAMENTO="Licitado")</formula>
    </cfRule>
    <cfRule type="expression" dxfId="1823" priority="1860" stopIfTrue="1">
      <formula>$C78=1</formula>
    </cfRule>
    <cfRule type="expression" dxfId="1822" priority="1861" stopIfTrue="1">
      <formula>OR(AND(ISNUMBER($C78),$C78=0),$C78=2,$C78=3,$C78=4)</formula>
    </cfRule>
  </conditionalFormatting>
  <conditionalFormatting sqref="AL78:AL86">
    <cfRule type="expression" dxfId="1821" priority="1862" stopIfTrue="1">
      <formula>TIPOORCAMENTO="PROPOSTO"</formula>
    </cfRule>
    <cfRule type="expression" dxfId="1820" priority="1863" stopIfTrue="1">
      <formula>$C78=1</formula>
    </cfRule>
    <cfRule type="expression" dxfId="1819" priority="1864" stopIfTrue="1">
      <formula>OR(AND(ISNUMBER($C78),$C78=0),$C78=2,$C78=3,$C78=4)</formula>
    </cfRule>
  </conditionalFormatting>
  <conditionalFormatting sqref="AM78:AN86">
    <cfRule type="expression" dxfId="1818" priority="1865" stopIfTrue="1">
      <formula>TIPOORCAMENTO="PROPOSTO"</formula>
    </cfRule>
    <cfRule type="expression" dxfId="1817" priority="1866" stopIfTrue="1">
      <formula>$C78=1</formula>
    </cfRule>
    <cfRule type="expression" dxfId="1816" priority="1867" stopIfTrue="1">
      <formula>OR(AND(ISNUMBER($C78),$C78=0),$C78=2,$C78=3,$C78=4)</formula>
    </cfRule>
  </conditionalFormatting>
  <conditionalFormatting sqref="M87:M95">
    <cfRule type="cellIs" dxfId="1815" priority="1834" stopIfTrue="1" operator="notEqual">
      <formula>$N87</formula>
    </cfRule>
  </conditionalFormatting>
  <conditionalFormatting sqref="N87:O95 W87:X95">
    <cfRule type="expression" dxfId="1814" priority="1835" stopIfTrue="1">
      <formula>$C87=1</formula>
    </cfRule>
    <cfRule type="expression" dxfId="1813" priority="1836" stopIfTrue="1">
      <formula>OR($C87=0,$C87=2,$C87=3,$C87=4)</formula>
    </cfRule>
  </conditionalFormatting>
  <conditionalFormatting sqref="AG87:AH95 T87:T95">
    <cfRule type="expression" dxfId="1812" priority="1840" stopIfTrue="1">
      <formula>$C87=1</formula>
    </cfRule>
    <cfRule type="expression" dxfId="1811" priority="1841" stopIfTrue="1">
      <formula>OR($C87=0,$C87=2,$C87=3,$C87=4)</formula>
    </cfRule>
  </conditionalFormatting>
  <conditionalFormatting sqref="AJ87:AJ95">
    <cfRule type="expression" dxfId="1810" priority="1842" stopIfTrue="1">
      <formula>OR(ACOMPANHAMENTO&lt;&gt;"BM",TIPOORCAMENTO="Licitado")</formula>
    </cfRule>
    <cfRule type="expression" dxfId="1809" priority="1843" stopIfTrue="1">
      <formula>$C87=1</formula>
    </cfRule>
    <cfRule type="expression" dxfId="1808" priority="1844" stopIfTrue="1">
      <formula>OR(AND(ISNUMBER($C87),$C87=0),$C87=2,$C87=3,$C87=4)</formula>
    </cfRule>
  </conditionalFormatting>
  <conditionalFormatting sqref="AL87:AL95">
    <cfRule type="expression" dxfId="1807" priority="1845" stopIfTrue="1">
      <formula>TIPOORCAMENTO="PROPOSTO"</formula>
    </cfRule>
    <cfRule type="expression" dxfId="1806" priority="1846" stopIfTrue="1">
      <formula>$C87=1</formula>
    </cfRule>
    <cfRule type="expression" dxfId="1805" priority="1847" stopIfTrue="1">
      <formula>OR(AND(ISNUMBER($C87),$C87=0),$C87=2,$C87=3,$C87=4)</formula>
    </cfRule>
  </conditionalFormatting>
  <conditionalFormatting sqref="AM87:AN95">
    <cfRule type="expression" dxfId="1804" priority="1848" stopIfTrue="1">
      <formula>TIPOORCAMENTO="PROPOSTO"</formula>
    </cfRule>
    <cfRule type="expression" dxfId="1803" priority="1849" stopIfTrue="1">
      <formula>$C87=1</formula>
    </cfRule>
    <cfRule type="expression" dxfId="1802" priority="1850" stopIfTrue="1">
      <formula>OR(AND(ISNUMBER($C87),$C87=0),$C87=2,$C87=3,$C87=4)</formula>
    </cfRule>
  </conditionalFormatting>
  <conditionalFormatting sqref="M96:M104">
    <cfRule type="cellIs" dxfId="1801" priority="1817" stopIfTrue="1" operator="notEqual">
      <formula>$N96</formula>
    </cfRule>
  </conditionalFormatting>
  <conditionalFormatting sqref="N96:O104 W96:X104">
    <cfRule type="expression" dxfId="1800" priority="1818" stopIfTrue="1">
      <formula>$C96=1</formula>
    </cfRule>
    <cfRule type="expression" dxfId="1799" priority="1819" stopIfTrue="1">
      <formula>OR($C96=0,$C96=2,$C96=3,$C96=4)</formula>
    </cfRule>
  </conditionalFormatting>
  <conditionalFormatting sqref="AG96:AH104 T96:T104">
    <cfRule type="expression" dxfId="1798" priority="1823" stopIfTrue="1">
      <formula>$C96=1</formula>
    </cfRule>
    <cfRule type="expression" dxfId="1797" priority="1824" stopIfTrue="1">
      <formula>OR($C96=0,$C96=2,$C96=3,$C96=4)</formula>
    </cfRule>
  </conditionalFormatting>
  <conditionalFormatting sqref="AJ96:AJ104">
    <cfRule type="expression" dxfId="1796" priority="1825" stopIfTrue="1">
      <formula>OR(ACOMPANHAMENTO&lt;&gt;"BM",TIPOORCAMENTO="Licitado")</formula>
    </cfRule>
    <cfRule type="expression" dxfId="1795" priority="1826" stopIfTrue="1">
      <formula>$C96=1</formula>
    </cfRule>
    <cfRule type="expression" dxfId="1794" priority="1827" stopIfTrue="1">
      <formula>OR(AND(ISNUMBER($C96),$C96=0),$C96=2,$C96=3,$C96=4)</formula>
    </cfRule>
  </conditionalFormatting>
  <conditionalFormatting sqref="AL96:AL104">
    <cfRule type="expression" dxfId="1793" priority="1828" stopIfTrue="1">
      <formula>TIPOORCAMENTO="PROPOSTO"</formula>
    </cfRule>
    <cfRule type="expression" dxfId="1792" priority="1829" stopIfTrue="1">
      <formula>$C96=1</formula>
    </cfRule>
    <cfRule type="expression" dxfId="1791" priority="1830" stopIfTrue="1">
      <formula>OR(AND(ISNUMBER($C96),$C96=0),$C96=2,$C96=3,$C96=4)</formula>
    </cfRule>
  </conditionalFormatting>
  <conditionalFormatting sqref="AM96:AN104">
    <cfRule type="expression" dxfId="1790" priority="1831" stopIfTrue="1">
      <formula>TIPOORCAMENTO="PROPOSTO"</formula>
    </cfRule>
    <cfRule type="expression" dxfId="1789" priority="1832" stopIfTrue="1">
      <formula>$C96=1</formula>
    </cfRule>
    <cfRule type="expression" dxfId="1788" priority="1833" stopIfTrue="1">
      <formula>OR(AND(ISNUMBER($C96),$C96=0),$C96=2,$C96=3,$C96=4)</formula>
    </cfRule>
  </conditionalFormatting>
  <conditionalFormatting sqref="M105:M113">
    <cfRule type="cellIs" dxfId="1787" priority="1800" stopIfTrue="1" operator="notEqual">
      <formula>$N105</formula>
    </cfRule>
  </conditionalFormatting>
  <conditionalFormatting sqref="N105:O113 W105:X113">
    <cfRule type="expression" dxfId="1786" priority="1801" stopIfTrue="1">
      <formula>$C105=1</formula>
    </cfRule>
    <cfRule type="expression" dxfId="1785" priority="1802" stopIfTrue="1">
      <formula>OR($C105=0,$C105=2,$C105=3,$C105=4)</formula>
    </cfRule>
  </conditionalFormatting>
  <conditionalFormatting sqref="AG105:AH113 T105:T113">
    <cfRule type="expression" dxfId="1784" priority="1806" stopIfTrue="1">
      <formula>$C105=1</formula>
    </cfRule>
    <cfRule type="expression" dxfId="1783" priority="1807" stopIfTrue="1">
      <formula>OR($C105=0,$C105=2,$C105=3,$C105=4)</formula>
    </cfRule>
  </conditionalFormatting>
  <conditionalFormatting sqref="AJ105:AJ113">
    <cfRule type="expression" dxfId="1782" priority="1808" stopIfTrue="1">
      <formula>OR(ACOMPANHAMENTO&lt;&gt;"BM",TIPOORCAMENTO="Licitado")</formula>
    </cfRule>
    <cfRule type="expression" dxfId="1781" priority="1809" stopIfTrue="1">
      <formula>$C105=1</formula>
    </cfRule>
    <cfRule type="expression" dxfId="1780" priority="1810" stopIfTrue="1">
      <formula>OR(AND(ISNUMBER($C105),$C105=0),$C105=2,$C105=3,$C105=4)</formula>
    </cfRule>
  </conditionalFormatting>
  <conditionalFormatting sqref="AL105:AL113">
    <cfRule type="expression" dxfId="1779" priority="1811" stopIfTrue="1">
      <formula>TIPOORCAMENTO="PROPOSTO"</formula>
    </cfRule>
    <cfRule type="expression" dxfId="1778" priority="1812" stopIfTrue="1">
      <formula>$C105=1</formula>
    </cfRule>
    <cfRule type="expression" dxfId="1777" priority="1813" stopIfTrue="1">
      <formula>OR(AND(ISNUMBER($C105),$C105=0),$C105=2,$C105=3,$C105=4)</formula>
    </cfRule>
  </conditionalFormatting>
  <conditionalFormatting sqref="AM105:AN113">
    <cfRule type="expression" dxfId="1776" priority="1814" stopIfTrue="1">
      <formula>TIPOORCAMENTO="PROPOSTO"</formula>
    </cfRule>
    <cfRule type="expression" dxfId="1775" priority="1815" stopIfTrue="1">
      <formula>$C105=1</formula>
    </cfRule>
    <cfRule type="expression" dxfId="1774" priority="1816" stopIfTrue="1">
      <formula>OR(AND(ISNUMBER($C105),$C105=0),$C105=2,$C105=3,$C105=4)</formula>
    </cfRule>
  </conditionalFormatting>
  <conditionalFormatting sqref="M114:M122">
    <cfRule type="cellIs" dxfId="1773" priority="1783" stopIfTrue="1" operator="notEqual">
      <formula>$N114</formula>
    </cfRule>
  </conditionalFormatting>
  <conditionalFormatting sqref="N114:O122 W114:X122">
    <cfRule type="expression" dxfId="1772" priority="1784" stopIfTrue="1">
      <formula>$C114=1</formula>
    </cfRule>
    <cfRule type="expression" dxfId="1771" priority="1785" stopIfTrue="1">
      <formula>OR($C114=0,$C114=2,$C114=3,$C114=4)</formula>
    </cfRule>
  </conditionalFormatting>
  <conditionalFormatting sqref="AG114:AH122 T114:T122">
    <cfRule type="expression" dxfId="1770" priority="1789" stopIfTrue="1">
      <formula>$C114=1</formula>
    </cfRule>
    <cfRule type="expression" dxfId="1769" priority="1790" stopIfTrue="1">
      <formula>OR($C114=0,$C114=2,$C114=3,$C114=4)</formula>
    </cfRule>
  </conditionalFormatting>
  <conditionalFormatting sqref="AJ114:AJ122">
    <cfRule type="expression" dxfId="1768" priority="1791" stopIfTrue="1">
      <formula>OR(ACOMPANHAMENTO&lt;&gt;"BM",TIPOORCAMENTO="Licitado")</formula>
    </cfRule>
    <cfRule type="expression" dxfId="1767" priority="1792" stopIfTrue="1">
      <formula>$C114=1</formula>
    </cfRule>
    <cfRule type="expression" dxfId="1766" priority="1793" stopIfTrue="1">
      <formula>OR(AND(ISNUMBER($C114),$C114=0),$C114=2,$C114=3,$C114=4)</formula>
    </cfRule>
  </conditionalFormatting>
  <conditionalFormatting sqref="AL114:AL122">
    <cfRule type="expression" dxfId="1765" priority="1794" stopIfTrue="1">
      <formula>TIPOORCAMENTO="PROPOSTO"</formula>
    </cfRule>
    <cfRule type="expression" dxfId="1764" priority="1795" stopIfTrue="1">
      <formula>$C114=1</formula>
    </cfRule>
    <cfRule type="expression" dxfId="1763" priority="1796" stopIfTrue="1">
      <formula>OR(AND(ISNUMBER($C114),$C114=0),$C114=2,$C114=3,$C114=4)</formula>
    </cfRule>
  </conditionalFormatting>
  <conditionalFormatting sqref="AM114:AN122">
    <cfRule type="expression" dxfId="1762" priority="1797" stopIfTrue="1">
      <formula>TIPOORCAMENTO="PROPOSTO"</formula>
    </cfRule>
    <cfRule type="expression" dxfId="1761" priority="1798" stopIfTrue="1">
      <formula>$C114=1</formula>
    </cfRule>
    <cfRule type="expression" dxfId="1760" priority="1799" stopIfTrue="1">
      <formula>OR(AND(ISNUMBER($C114),$C114=0),$C114=2,$C114=3,$C114=4)</formula>
    </cfRule>
  </conditionalFormatting>
  <conditionalFormatting sqref="M123:M131">
    <cfRule type="cellIs" dxfId="1759" priority="1766" stopIfTrue="1" operator="notEqual">
      <formula>$N123</formula>
    </cfRule>
  </conditionalFormatting>
  <conditionalFormatting sqref="N123:O131 W123:X131">
    <cfRule type="expression" dxfId="1758" priority="1767" stopIfTrue="1">
      <formula>$C123=1</formula>
    </cfRule>
    <cfRule type="expression" dxfId="1757" priority="1768" stopIfTrue="1">
      <formula>OR($C123=0,$C123=2,$C123=3,$C123=4)</formula>
    </cfRule>
  </conditionalFormatting>
  <conditionalFormatting sqref="AG123:AH131 T123:T131">
    <cfRule type="expression" dxfId="1756" priority="1772" stopIfTrue="1">
      <formula>$C123=1</formula>
    </cfRule>
    <cfRule type="expression" dxfId="1755" priority="1773" stopIfTrue="1">
      <formula>OR($C123=0,$C123=2,$C123=3,$C123=4)</formula>
    </cfRule>
  </conditionalFormatting>
  <conditionalFormatting sqref="AJ123:AJ131">
    <cfRule type="expression" dxfId="1754" priority="1774" stopIfTrue="1">
      <formula>OR(ACOMPANHAMENTO&lt;&gt;"BM",TIPOORCAMENTO="Licitado")</formula>
    </cfRule>
    <cfRule type="expression" dxfId="1753" priority="1775" stopIfTrue="1">
      <formula>$C123=1</formula>
    </cfRule>
    <cfRule type="expression" dxfId="1752" priority="1776" stopIfTrue="1">
      <formula>OR(AND(ISNUMBER($C123),$C123=0),$C123=2,$C123=3,$C123=4)</formula>
    </cfRule>
  </conditionalFormatting>
  <conditionalFormatting sqref="AL123:AL131">
    <cfRule type="expression" dxfId="1751" priority="1777" stopIfTrue="1">
      <formula>TIPOORCAMENTO="PROPOSTO"</formula>
    </cfRule>
    <cfRule type="expression" dxfId="1750" priority="1778" stopIfTrue="1">
      <formula>$C123=1</formula>
    </cfRule>
    <cfRule type="expression" dxfId="1749" priority="1779" stopIfTrue="1">
      <formula>OR(AND(ISNUMBER($C123),$C123=0),$C123=2,$C123=3,$C123=4)</formula>
    </cfRule>
  </conditionalFormatting>
  <conditionalFormatting sqref="AM123:AN131">
    <cfRule type="expression" dxfId="1748" priority="1780" stopIfTrue="1">
      <formula>TIPOORCAMENTO="PROPOSTO"</formula>
    </cfRule>
    <cfRule type="expression" dxfId="1747" priority="1781" stopIfTrue="1">
      <formula>$C123=1</formula>
    </cfRule>
    <cfRule type="expression" dxfId="1746" priority="1782" stopIfTrue="1">
      <formula>OR(AND(ISNUMBER($C123),$C123=0),$C123=2,$C123=3,$C123=4)</formula>
    </cfRule>
  </conditionalFormatting>
  <conditionalFormatting sqref="M132:M140">
    <cfRule type="cellIs" dxfId="1745" priority="1749" stopIfTrue="1" operator="notEqual">
      <formula>$N132</formula>
    </cfRule>
  </conditionalFormatting>
  <conditionalFormatting sqref="N132:O140 W132:X140">
    <cfRule type="expression" dxfId="1744" priority="1750" stopIfTrue="1">
      <formula>$C132=1</formula>
    </cfRule>
    <cfRule type="expression" dxfId="1743" priority="1751" stopIfTrue="1">
      <formula>OR($C132=0,$C132=2,$C132=3,$C132=4)</formula>
    </cfRule>
  </conditionalFormatting>
  <conditionalFormatting sqref="AG132:AH140 T132:T140">
    <cfRule type="expression" dxfId="1742" priority="1755" stopIfTrue="1">
      <formula>$C132=1</formula>
    </cfRule>
    <cfRule type="expression" dxfId="1741" priority="1756" stopIfTrue="1">
      <formula>OR($C132=0,$C132=2,$C132=3,$C132=4)</formula>
    </cfRule>
  </conditionalFormatting>
  <conditionalFormatting sqref="AJ132:AJ140">
    <cfRule type="expression" dxfId="1740" priority="1757" stopIfTrue="1">
      <formula>OR(ACOMPANHAMENTO&lt;&gt;"BM",TIPOORCAMENTO="Licitado")</formula>
    </cfRule>
    <cfRule type="expression" dxfId="1739" priority="1758" stopIfTrue="1">
      <formula>$C132=1</formula>
    </cfRule>
    <cfRule type="expression" dxfId="1738" priority="1759" stopIfTrue="1">
      <formula>OR(AND(ISNUMBER($C132),$C132=0),$C132=2,$C132=3,$C132=4)</formula>
    </cfRule>
  </conditionalFormatting>
  <conditionalFormatting sqref="AL132:AL140">
    <cfRule type="expression" dxfId="1737" priority="1760" stopIfTrue="1">
      <formula>TIPOORCAMENTO="PROPOSTO"</formula>
    </cfRule>
    <cfRule type="expression" dxfId="1736" priority="1761" stopIfTrue="1">
      <formula>$C132=1</formula>
    </cfRule>
    <cfRule type="expression" dxfId="1735" priority="1762" stopIfTrue="1">
      <formula>OR(AND(ISNUMBER($C132),$C132=0),$C132=2,$C132=3,$C132=4)</formula>
    </cfRule>
  </conditionalFormatting>
  <conditionalFormatting sqref="AM132:AN140">
    <cfRule type="expression" dxfId="1734" priority="1763" stopIfTrue="1">
      <formula>TIPOORCAMENTO="PROPOSTO"</formula>
    </cfRule>
    <cfRule type="expression" dxfId="1733" priority="1764" stopIfTrue="1">
      <formula>$C132=1</formula>
    </cfRule>
    <cfRule type="expression" dxfId="1732" priority="1765" stopIfTrue="1">
      <formula>OR(AND(ISNUMBER($C132),$C132=0),$C132=2,$C132=3,$C132=4)</formula>
    </cfRule>
  </conditionalFormatting>
  <conditionalFormatting sqref="M141:M149">
    <cfRule type="cellIs" dxfId="1731" priority="1732" stopIfTrue="1" operator="notEqual">
      <formula>$N141</formula>
    </cfRule>
  </conditionalFormatting>
  <conditionalFormatting sqref="N141:O149 W141:X149">
    <cfRule type="expression" dxfId="1730" priority="1733" stopIfTrue="1">
      <formula>$C141=1</formula>
    </cfRule>
    <cfRule type="expression" dxfId="1729" priority="1734" stopIfTrue="1">
      <formula>OR($C141=0,$C141=2,$C141=3,$C141=4)</formula>
    </cfRule>
  </conditionalFormatting>
  <conditionalFormatting sqref="AG141:AH149 T141:T149">
    <cfRule type="expression" dxfId="1728" priority="1738" stopIfTrue="1">
      <formula>$C141=1</formula>
    </cfRule>
    <cfRule type="expression" dxfId="1727" priority="1739" stopIfTrue="1">
      <formula>OR($C141=0,$C141=2,$C141=3,$C141=4)</formula>
    </cfRule>
  </conditionalFormatting>
  <conditionalFormatting sqref="AJ141:AJ149">
    <cfRule type="expression" dxfId="1726" priority="1740" stopIfTrue="1">
      <formula>OR(ACOMPANHAMENTO&lt;&gt;"BM",TIPOORCAMENTO="Licitado")</formula>
    </cfRule>
    <cfRule type="expression" dxfId="1725" priority="1741" stopIfTrue="1">
      <formula>$C141=1</formula>
    </cfRule>
    <cfRule type="expression" dxfId="1724" priority="1742" stopIfTrue="1">
      <formula>OR(AND(ISNUMBER($C141),$C141=0),$C141=2,$C141=3,$C141=4)</formula>
    </cfRule>
  </conditionalFormatting>
  <conditionalFormatting sqref="AL141:AL149">
    <cfRule type="expression" dxfId="1723" priority="1743" stopIfTrue="1">
      <formula>TIPOORCAMENTO="PROPOSTO"</formula>
    </cfRule>
    <cfRule type="expression" dxfId="1722" priority="1744" stopIfTrue="1">
      <formula>$C141=1</formula>
    </cfRule>
    <cfRule type="expression" dxfId="1721" priority="1745" stopIfTrue="1">
      <formula>OR(AND(ISNUMBER($C141),$C141=0),$C141=2,$C141=3,$C141=4)</formula>
    </cfRule>
  </conditionalFormatting>
  <conditionalFormatting sqref="AM141:AN149">
    <cfRule type="expression" dxfId="1720" priority="1746" stopIfTrue="1">
      <formula>TIPOORCAMENTO="PROPOSTO"</formula>
    </cfRule>
    <cfRule type="expression" dxfId="1719" priority="1747" stopIfTrue="1">
      <formula>$C141=1</formula>
    </cfRule>
    <cfRule type="expression" dxfId="1718" priority="1748" stopIfTrue="1">
      <formula>OR(AND(ISNUMBER($C141),$C141=0),$C141=2,$C141=3,$C141=4)</formula>
    </cfRule>
  </conditionalFormatting>
  <conditionalFormatting sqref="M150:M158">
    <cfRule type="cellIs" dxfId="1717" priority="1715" stopIfTrue="1" operator="notEqual">
      <formula>$N150</formula>
    </cfRule>
  </conditionalFormatting>
  <conditionalFormatting sqref="N150:O158 W150:X158">
    <cfRule type="expression" dxfId="1716" priority="1716" stopIfTrue="1">
      <formula>$C150=1</formula>
    </cfRule>
    <cfRule type="expression" dxfId="1715" priority="1717" stopIfTrue="1">
      <formula>OR($C150=0,$C150=2,$C150=3,$C150=4)</formula>
    </cfRule>
  </conditionalFormatting>
  <conditionalFormatting sqref="AG150:AH158 T150:T158">
    <cfRule type="expression" dxfId="1714" priority="1721" stopIfTrue="1">
      <formula>$C150=1</formula>
    </cfRule>
    <cfRule type="expression" dxfId="1713" priority="1722" stopIfTrue="1">
      <formula>OR($C150=0,$C150=2,$C150=3,$C150=4)</formula>
    </cfRule>
  </conditionalFormatting>
  <conditionalFormatting sqref="AJ150:AJ158">
    <cfRule type="expression" dxfId="1712" priority="1723" stopIfTrue="1">
      <formula>OR(ACOMPANHAMENTO&lt;&gt;"BM",TIPOORCAMENTO="Licitado")</formula>
    </cfRule>
    <cfRule type="expression" dxfId="1711" priority="1724" stopIfTrue="1">
      <formula>$C150=1</formula>
    </cfRule>
    <cfRule type="expression" dxfId="1710" priority="1725" stopIfTrue="1">
      <formula>OR(AND(ISNUMBER($C150),$C150=0),$C150=2,$C150=3,$C150=4)</formula>
    </cfRule>
  </conditionalFormatting>
  <conditionalFormatting sqref="AL150:AL158">
    <cfRule type="expression" dxfId="1709" priority="1726" stopIfTrue="1">
      <formula>TIPOORCAMENTO="PROPOSTO"</formula>
    </cfRule>
    <cfRule type="expression" dxfId="1708" priority="1727" stopIfTrue="1">
      <formula>$C150=1</formula>
    </cfRule>
    <cfRule type="expression" dxfId="1707" priority="1728" stopIfTrue="1">
      <formula>OR(AND(ISNUMBER($C150),$C150=0),$C150=2,$C150=3,$C150=4)</formula>
    </cfRule>
  </conditionalFormatting>
  <conditionalFormatting sqref="AM150:AN158">
    <cfRule type="expression" dxfId="1706" priority="1729" stopIfTrue="1">
      <formula>TIPOORCAMENTO="PROPOSTO"</formula>
    </cfRule>
    <cfRule type="expression" dxfId="1705" priority="1730" stopIfTrue="1">
      <formula>$C150=1</formula>
    </cfRule>
    <cfRule type="expression" dxfId="1704" priority="1731" stopIfTrue="1">
      <formula>OR(AND(ISNUMBER($C150),$C150=0),$C150=2,$C150=3,$C150=4)</formula>
    </cfRule>
  </conditionalFormatting>
  <conditionalFormatting sqref="M159:M167">
    <cfRule type="cellIs" dxfId="1703" priority="1698" stopIfTrue="1" operator="notEqual">
      <formula>$N159</formula>
    </cfRule>
  </conditionalFormatting>
  <conditionalFormatting sqref="N159:O167 W159:X167">
    <cfRule type="expression" dxfId="1702" priority="1699" stopIfTrue="1">
      <formula>$C159=1</formula>
    </cfRule>
    <cfRule type="expression" dxfId="1701" priority="1700" stopIfTrue="1">
      <formula>OR($C159=0,$C159=2,$C159=3,$C159=4)</formula>
    </cfRule>
  </conditionalFormatting>
  <conditionalFormatting sqref="AG159:AH167 T159:T167">
    <cfRule type="expression" dxfId="1700" priority="1704" stopIfTrue="1">
      <formula>$C159=1</formula>
    </cfRule>
    <cfRule type="expression" dxfId="1699" priority="1705" stopIfTrue="1">
      <formula>OR($C159=0,$C159=2,$C159=3,$C159=4)</formula>
    </cfRule>
  </conditionalFormatting>
  <conditionalFormatting sqref="AJ159:AJ167">
    <cfRule type="expression" dxfId="1698" priority="1706" stopIfTrue="1">
      <formula>OR(ACOMPANHAMENTO&lt;&gt;"BM",TIPOORCAMENTO="Licitado")</formula>
    </cfRule>
    <cfRule type="expression" dxfId="1697" priority="1707" stopIfTrue="1">
      <formula>$C159=1</formula>
    </cfRule>
    <cfRule type="expression" dxfId="1696" priority="1708" stopIfTrue="1">
      <formula>OR(AND(ISNUMBER($C159),$C159=0),$C159=2,$C159=3,$C159=4)</formula>
    </cfRule>
  </conditionalFormatting>
  <conditionalFormatting sqref="AL159:AL167">
    <cfRule type="expression" dxfId="1695" priority="1709" stopIfTrue="1">
      <formula>TIPOORCAMENTO="PROPOSTO"</formula>
    </cfRule>
    <cfRule type="expression" dxfId="1694" priority="1710" stopIfTrue="1">
      <formula>$C159=1</formula>
    </cfRule>
    <cfRule type="expression" dxfId="1693" priority="1711" stopIfTrue="1">
      <formula>OR(AND(ISNUMBER($C159),$C159=0),$C159=2,$C159=3,$C159=4)</formula>
    </cfRule>
  </conditionalFormatting>
  <conditionalFormatting sqref="AM159:AN167">
    <cfRule type="expression" dxfId="1692" priority="1712" stopIfTrue="1">
      <formula>TIPOORCAMENTO="PROPOSTO"</formula>
    </cfRule>
    <cfRule type="expression" dxfId="1691" priority="1713" stopIfTrue="1">
      <formula>$C159=1</formula>
    </cfRule>
    <cfRule type="expression" dxfId="1690" priority="1714" stopIfTrue="1">
      <formula>OR(AND(ISNUMBER($C159),$C159=0),$C159=2,$C159=3,$C159=4)</formula>
    </cfRule>
  </conditionalFormatting>
  <conditionalFormatting sqref="M168:M176">
    <cfRule type="cellIs" dxfId="1689" priority="1681" stopIfTrue="1" operator="notEqual">
      <formula>$N168</formula>
    </cfRule>
  </conditionalFormatting>
  <conditionalFormatting sqref="N168:O176 W168:X176">
    <cfRule type="expression" dxfId="1688" priority="1682" stopIfTrue="1">
      <formula>$C168=1</formula>
    </cfRule>
    <cfRule type="expression" dxfId="1687" priority="1683" stopIfTrue="1">
      <formula>OR($C168=0,$C168=2,$C168=3,$C168=4)</formula>
    </cfRule>
  </conditionalFormatting>
  <conditionalFormatting sqref="AG168:AH176 T168:T176">
    <cfRule type="expression" dxfId="1686" priority="1687" stopIfTrue="1">
      <formula>$C168=1</formula>
    </cfRule>
    <cfRule type="expression" dxfId="1685" priority="1688" stopIfTrue="1">
      <formula>OR($C168=0,$C168=2,$C168=3,$C168=4)</formula>
    </cfRule>
  </conditionalFormatting>
  <conditionalFormatting sqref="AJ168:AJ176">
    <cfRule type="expression" dxfId="1684" priority="1689" stopIfTrue="1">
      <formula>OR(ACOMPANHAMENTO&lt;&gt;"BM",TIPOORCAMENTO="Licitado")</formula>
    </cfRule>
    <cfRule type="expression" dxfId="1683" priority="1690" stopIfTrue="1">
      <formula>$C168=1</formula>
    </cfRule>
    <cfRule type="expression" dxfId="1682" priority="1691" stopIfTrue="1">
      <formula>OR(AND(ISNUMBER($C168),$C168=0),$C168=2,$C168=3,$C168=4)</formula>
    </cfRule>
  </conditionalFormatting>
  <conditionalFormatting sqref="AL168:AL176">
    <cfRule type="expression" dxfId="1681" priority="1692" stopIfTrue="1">
      <formula>TIPOORCAMENTO="PROPOSTO"</formula>
    </cfRule>
    <cfRule type="expression" dxfId="1680" priority="1693" stopIfTrue="1">
      <formula>$C168=1</formula>
    </cfRule>
    <cfRule type="expression" dxfId="1679" priority="1694" stopIfTrue="1">
      <formula>OR(AND(ISNUMBER($C168),$C168=0),$C168=2,$C168=3,$C168=4)</formula>
    </cfRule>
  </conditionalFormatting>
  <conditionalFormatting sqref="AM168:AN176">
    <cfRule type="expression" dxfId="1678" priority="1695" stopIfTrue="1">
      <formula>TIPOORCAMENTO="PROPOSTO"</formula>
    </cfRule>
    <cfRule type="expression" dxfId="1677" priority="1696" stopIfTrue="1">
      <formula>$C168=1</formula>
    </cfRule>
    <cfRule type="expression" dxfId="1676" priority="1697" stopIfTrue="1">
      <formula>OR(AND(ISNUMBER($C168),$C168=0),$C168=2,$C168=3,$C168=4)</formula>
    </cfRule>
  </conditionalFormatting>
  <conditionalFormatting sqref="M177:M185">
    <cfRule type="cellIs" dxfId="1675" priority="1664" stopIfTrue="1" operator="notEqual">
      <formula>$N177</formula>
    </cfRule>
  </conditionalFormatting>
  <conditionalFormatting sqref="N177:O185 W177:X185">
    <cfRule type="expression" dxfId="1674" priority="1665" stopIfTrue="1">
      <formula>$C177=1</formula>
    </cfRule>
    <cfRule type="expression" dxfId="1673" priority="1666" stopIfTrue="1">
      <formula>OR($C177=0,$C177=2,$C177=3,$C177=4)</formula>
    </cfRule>
  </conditionalFormatting>
  <conditionalFormatting sqref="AG177:AH185 T177:T185">
    <cfRule type="expression" dxfId="1672" priority="1670" stopIfTrue="1">
      <formula>$C177=1</formula>
    </cfRule>
    <cfRule type="expression" dxfId="1671" priority="1671" stopIfTrue="1">
      <formula>OR($C177=0,$C177=2,$C177=3,$C177=4)</formula>
    </cfRule>
  </conditionalFormatting>
  <conditionalFormatting sqref="AJ177:AJ185">
    <cfRule type="expression" dxfId="1670" priority="1672" stopIfTrue="1">
      <formula>OR(ACOMPANHAMENTO&lt;&gt;"BM",TIPOORCAMENTO="Licitado")</formula>
    </cfRule>
    <cfRule type="expression" dxfId="1669" priority="1673" stopIfTrue="1">
      <formula>$C177=1</formula>
    </cfRule>
    <cfRule type="expression" dxfId="1668" priority="1674" stopIfTrue="1">
      <formula>OR(AND(ISNUMBER($C177),$C177=0),$C177=2,$C177=3,$C177=4)</formula>
    </cfRule>
  </conditionalFormatting>
  <conditionalFormatting sqref="AL177:AL185">
    <cfRule type="expression" dxfId="1667" priority="1675" stopIfTrue="1">
      <formula>TIPOORCAMENTO="PROPOSTO"</formula>
    </cfRule>
    <cfRule type="expression" dxfId="1666" priority="1676" stopIfTrue="1">
      <formula>$C177=1</formula>
    </cfRule>
    <cfRule type="expression" dxfId="1665" priority="1677" stopIfTrue="1">
      <formula>OR(AND(ISNUMBER($C177),$C177=0),$C177=2,$C177=3,$C177=4)</formula>
    </cfRule>
  </conditionalFormatting>
  <conditionalFormatting sqref="AM177:AN185">
    <cfRule type="expression" dxfId="1664" priority="1678" stopIfTrue="1">
      <formula>TIPOORCAMENTO="PROPOSTO"</formula>
    </cfRule>
    <cfRule type="expression" dxfId="1663" priority="1679" stopIfTrue="1">
      <formula>$C177=1</formula>
    </cfRule>
    <cfRule type="expression" dxfId="1662" priority="1680" stopIfTrue="1">
      <formula>OR(AND(ISNUMBER($C177),$C177=0),$C177=2,$C177=3,$C177=4)</formula>
    </cfRule>
  </conditionalFormatting>
  <conditionalFormatting sqref="M186:M194">
    <cfRule type="cellIs" dxfId="1661" priority="1647" stopIfTrue="1" operator="notEqual">
      <formula>$N186</formula>
    </cfRule>
  </conditionalFormatting>
  <conditionalFormatting sqref="N186:O194 W186:X194">
    <cfRule type="expression" dxfId="1660" priority="1648" stopIfTrue="1">
      <formula>$C186=1</formula>
    </cfRule>
    <cfRule type="expression" dxfId="1659" priority="1649" stopIfTrue="1">
      <formula>OR($C186=0,$C186=2,$C186=3,$C186=4)</formula>
    </cfRule>
  </conditionalFormatting>
  <conditionalFormatting sqref="AG186:AH194 T186:T194">
    <cfRule type="expression" dxfId="1658" priority="1653" stopIfTrue="1">
      <formula>$C186=1</formula>
    </cfRule>
    <cfRule type="expression" dxfId="1657" priority="1654" stopIfTrue="1">
      <formula>OR($C186=0,$C186=2,$C186=3,$C186=4)</formula>
    </cfRule>
  </conditionalFormatting>
  <conditionalFormatting sqref="AJ186:AJ194">
    <cfRule type="expression" dxfId="1656" priority="1655" stopIfTrue="1">
      <formula>OR(ACOMPANHAMENTO&lt;&gt;"BM",TIPOORCAMENTO="Licitado")</formula>
    </cfRule>
    <cfRule type="expression" dxfId="1655" priority="1656" stopIfTrue="1">
      <formula>$C186=1</formula>
    </cfRule>
    <cfRule type="expression" dxfId="1654" priority="1657" stopIfTrue="1">
      <formula>OR(AND(ISNUMBER($C186),$C186=0),$C186=2,$C186=3,$C186=4)</formula>
    </cfRule>
  </conditionalFormatting>
  <conditionalFormatting sqref="AL186:AL194">
    <cfRule type="expression" dxfId="1653" priority="1658" stopIfTrue="1">
      <formula>TIPOORCAMENTO="PROPOSTO"</formula>
    </cfRule>
    <cfRule type="expression" dxfId="1652" priority="1659" stopIfTrue="1">
      <formula>$C186=1</formula>
    </cfRule>
    <cfRule type="expression" dxfId="1651" priority="1660" stopIfTrue="1">
      <formula>OR(AND(ISNUMBER($C186),$C186=0),$C186=2,$C186=3,$C186=4)</formula>
    </cfRule>
  </conditionalFormatting>
  <conditionalFormatting sqref="AM186:AN194">
    <cfRule type="expression" dxfId="1650" priority="1661" stopIfTrue="1">
      <formula>TIPOORCAMENTO="PROPOSTO"</formula>
    </cfRule>
    <cfRule type="expression" dxfId="1649" priority="1662" stopIfTrue="1">
      <formula>$C186=1</formula>
    </cfRule>
    <cfRule type="expression" dxfId="1648" priority="1663" stopIfTrue="1">
      <formula>OR(AND(ISNUMBER($C186),$C186=0),$C186=2,$C186=3,$C186=4)</formula>
    </cfRule>
  </conditionalFormatting>
  <conditionalFormatting sqref="M195:M203">
    <cfRule type="cellIs" dxfId="1647" priority="1630" stopIfTrue="1" operator="notEqual">
      <formula>$N195</formula>
    </cfRule>
  </conditionalFormatting>
  <conditionalFormatting sqref="N195:O203 W195:X203">
    <cfRule type="expression" dxfId="1646" priority="1631" stopIfTrue="1">
      <formula>$C195=1</formula>
    </cfRule>
    <cfRule type="expression" dxfId="1645" priority="1632" stopIfTrue="1">
      <formula>OR($C195=0,$C195=2,$C195=3,$C195=4)</formula>
    </cfRule>
  </conditionalFormatting>
  <conditionalFormatting sqref="T195:T203 AG195:AH203">
    <cfRule type="expression" dxfId="1644" priority="1636" stopIfTrue="1">
      <formula>$C195=1</formula>
    </cfRule>
    <cfRule type="expression" dxfId="1643" priority="1637" stopIfTrue="1">
      <formula>OR($C195=0,$C195=2,$C195=3,$C195=4)</formula>
    </cfRule>
  </conditionalFormatting>
  <conditionalFormatting sqref="AJ195:AJ203">
    <cfRule type="expression" dxfId="1642" priority="1638" stopIfTrue="1">
      <formula>OR(ACOMPANHAMENTO&lt;&gt;"BM",TIPOORCAMENTO="Licitado")</formula>
    </cfRule>
    <cfRule type="expression" dxfId="1641" priority="1639" stopIfTrue="1">
      <formula>$C195=1</formula>
    </cfRule>
    <cfRule type="expression" dxfId="1640" priority="1640" stopIfTrue="1">
      <formula>OR(AND(ISNUMBER($C195),$C195=0),$C195=2,$C195=3,$C195=4)</formula>
    </cfRule>
  </conditionalFormatting>
  <conditionalFormatting sqref="AL195:AL203">
    <cfRule type="expression" dxfId="1639" priority="1641" stopIfTrue="1">
      <formula>TIPOORCAMENTO="PROPOSTO"</formula>
    </cfRule>
    <cfRule type="expression" dxfId="1638" priority="1642" stopIfTrue="1">
      <formula>$C195=1</formula>
    </cfRule>
    <cfRule type="expression" dxfId="1637" priority="1643" stopIfTrue="1">
      <formula>OR(AND(ISNUMBER($C195),$C195=0),$C195=2,$C195=3,$C195=4)</formula>
    </cfRule>
  </conditionalFormatting>
  <conditionalFormatting sqref="AM195:AN203">
    <cfRule type="expression" dxfId="1636" priority="1644" stopIfTrue="1">
      <formula>TIPOORCAMENTO="PROPOSTO"</formula>
    </cfRule>
    <cfRule type="expression" dxfId="1635" priority="1645" stopIfTrue="1">
      <formula>$C195=1</formula>
    </cfRule>
    <cfRule type="expression" dxfId="1634" priority="1646" stopIfTrue="1">
      <formula>OR(AND(ISNUMBER($C195),$C195=0),$C195=2,$C195=3,$C195=4)</formula>
    </cfRule>
  </conditionalFormatting>
  <conditionalFormatting sqref="M204:M212">
    <cfRule type="cellIs" dxfId="1633" priority="1613" stopIfTrue="1" operator="notEqual">
      <formula>$N204</formula>
    </cfRule>
  </conditionalFormatting>
  <conditionalFormatting sqref="N204:O212 W204:X212">
    <cfRule type="expression" dxfId="1632" priority="1614" stopIfTrue="1">
      <formula>$C204=1</formula>
    </cfRule>
    <cfRule type="expression" dxfId="1631" priority="1615" stopIfTrue="1">
      <formula>OR($C204=0,$C204=2,$C204=3,$C204=4)</formula>
    </cfRule>
  </conditionalFormatting>
  <conditionalFormatting sqref="AG204:AH212 T204:T212">
    <cfRule type="expression" dxfId="1630" priority="1619" stopIfTrue="1">
      <formula>$C204=1</formula>
    </cfRule>
    <cfRule type="expression" dxfId="1629" priority="1620" stopIfTrue="1">
      <formula>OR($C204=0,$C204=2,$C204=3,$C204=4)</formula>
    </cfRule>
  </conditionalFormatting>
  <conditionalFormatting sqref="AJ204:AJ212">
    <cfRule type="expression" dxfId="1628" priority="1621" stopIfTrue="1">
      <formula>OR(ACOMPANHAMENTO&lt;&gt;"BM",TIPOORCAMENTO="Licitado")</formula>
    </cfRule>
    <cfRule type="expression" dxfId="1627" priority="1622" stopIfTrue="1">
      <formula>$C204=1</formula>
    </cfRule>
    <cfRule type="expression" dxfId="1626" priority="1623" stopIfTrue="1">
      <formula>OR(AND(ISNUMBER($C204),$C204=0),$C204=2,$C204=3,$C204=4)</formula>
    </cfRule>
  </conditionalFormatting>
  <conditionalFormatting sqref="AL204:AL212">
    <cfRule type="expression" dxfId="1625" priority="1624" stopIfTrue="1">
      <formula>TIPOORCAMENTO="PROPOSTO"</formula>
    </cfRule>
    <cfRule type="expression" dxfId="1624" priority="1625" stopIfTrue="1">
      <formula>$C204=1</formula>
    </cfRule>
    <cfRule type="expression" dxfId="1623" priority="1626" stopIfTrue="1">
      <formula>OR(AND(ISNUMBER($C204),$C204=0),$C204=2,$C204=3,$C204=4)</formula>
    </cfRule>
  </conditionalFormatting>
  <conditionalFormatting sqref="AM204:AN212">
    <cfRule type="expression" dxfId="1622" priority="1627" stopIfTrue="1">
      <formula>TIPOORCAMENTO="PROPOSTO"</formula>
    </cfRule>
    <cfRule type="expression" dxfId="1621" priority="1628" stopIfTrue="1">
      <formula>$C204=1</formula>
    </cfRule>
    <cfRule type="expression" dxfId="1620" priority="1629" stopIfTrue="1">
      <formula>OR(AND(ISNUMBER($C204),$C204=0),$C204=2,$C204=3,$C204=4)</formula>
    </cfRule>
  </conditionalFormatting>
  <conditionalFormatting sqref="M213:M221">
    <cfRule type="cellIs" dxfId="1619" priority="1596" stopIfTrue="1" operator="notEqual">
      <formula>$N213</formula>
    </cfRule>
  </conditionalFormatting>
  <conditionalFormatting sqref="N213:O221 W213:X221">
    <cfRule type="expression" dxfId="1618" priority="1597" stopIfTrue="1">
      <formula>$C213=1</formula>
    </cfRule>
    <cfRule type="expression" dxfId="1617" priority="1598" stopIfTrue="1">
      <formula>OR($C213=0,$C213=2,$C213=3,$C213=4)</formula>
    </cfRule>
  </conditionalFormatting>
  <conditionalFormatting sqref="AG213:AH221 T213:T221">
    <cfRule type="expression" dxfId="1616" priority="1602" stopIfTrue="1">
      <formula>$C213=1</formula>
    </cfRule>
    <cfRule type="expression" dxfId="1615" priority="1603" stopIfTrue="1">
      <formula>OR($C213=0,$C213=2,$C213=3,$C213=4)</formula>
    </cfRule>
  </conditionalFormatting>
  <conditionalFormatting sqref="AJ213:AJ221">
    <cfRule type="expression" dxfId="1614" priority="1604" stopIfTrue="1">
      <formula>OR(ACOMPANHAMENTO&lt;&gt;"BM",TIPOORCAMENTO="Licitado")</formula>
    </cfRule>
    <cfRule type="expression" dxfId="1613" priority="1605" stopIfTrue="1">
      <formula>$C213=1</formula>
    </cfRule>
    <cfRule type="expression" dxfId="1612" priority="1606" stopIfTrue="1">
      <formula>OR(AND(ISNUMBER($C213),$C213=0),$C213=2,$C213=3,$C213=4)</formula>
    </cfRule>
  </conditionalFormatting>
  <conditionalFormatting sqref="AL213:AL221">
    <cfRule type="expression" dxfId="1611" priority="1607" stopIfTrue="1">
      <formula>TIPOORCAMENTO="PROPOSTO"</formula>
    </cfRule>
    <cfRule type="expression" dxfId="1610" priority="1608" stopIfTrue="1">
      <formula>$C213=1</formula>
    </cfRule>
    <cfRule type="expression" dxfId="1609" priority="1609" stopIfTrue="1">
      <formula>OR(AND(ISNUMBER($C213),$C213=0),$C213=2,$C213=3,$C213=4)</formula>
    </cfRule>
  </conditionalFormatting>
  <conditionalFormatting sqref="AM213:AN221">
    <cfRule type="expression" dxfId="1608" priority="1610" stopIfTrue="1">
      <formula>TIPOORCAMENTO="PROPOSTO"</formula>
    </cfRule>
    <cfRule type="expression" dxfId="1607" priority="1611" stopIfTrue="1">
      <formula>$C213=1</formula>
    </cfRule>
    <cfRule type="expression" dxfId="1606" priority="1612" stopIfTrue="1">
      <formula>OR(AND(ISNUMBER($C213),$C213=0),$C213=2,$C213=3,$C213=4)</formula>
    </cfRule>
  </conditionalFormatting>
  <conditionalFormatting sqref="M222:M230">
    <cfRule type="cellIs" dxfId="1605" priority="1579" stopIfTrue="1" operator="notEqual">
      <formula>$N222</formula>
    </cfRule>
  </conditionalFormatting>
  <conditionalFormatting sqref="N222:O230 W222:X230">
    <cfRule type="expression" dxfId="1604" priority="1580" stopIfTrue="1">
      <formula>$C222=1</formula>
    </cfRule>
    <cfRule type="expression" dxfId="1603" priority="1581" stopIfTrue="1">
      <formula>OR($C222=0,$C222=2,$C222=3,$C222=4)</formula>
    </cfRule>
  </conditionalFormatting>
  <conditionalFormatting sqref="T222:T230 AG222:AH230">
    <cfRule type="expression" dxfId="1602" priority="1585" stopIfTrue="1">
      <formula>$C222=1</formula>
    </cfRule>
    <cfRule type="expression" dxfId="1601" priority="1586" stopIfTrue="1">
      <formula>OR($C222=0,$C222=2,$C222=3,$C222=4)</formula>
    </cfRule>
  </conditionalFormatting>
  <conditionalFormatting sqref="AJ222:AJ230">
    <cfRule type="expression" dxfId="1600" priority="1587" stopIfTrue="1">
      <formula>OR(ACOMPANHAMENTO&lt;&gt;"BM",TIPOORCAMENTO="Licitado")</formula>
    </cfRule>
    <cfRule type="expression" dxfId="1599" priority="1588" stopIfTrue="1">
      <formula>$C222=1</formula>
    </cfRule>
    <cfRule type="expression" dxfId="1598" priority="1589" stopIfTrue="1">
      <formula>OR(AND(ISNUMBER($C222),$C222=0),$C222=2,$C222=3,$C222=4)</formula>
    </cfRule>
  </conditionalFormatting>
  <conditionalFormatting sqref="AL222:AL230">
    <cfRule type="expression" dxfId="1597" priority="1590" stopIfTrue="1">
      <formula>TIPOORCAMENTO="PROPOSTO"</formula>
    </cfRule>
    <cfRule type="expression" dxfId="1596" priority="1591" stopIfTrue="1">
      <formula>$C222=1</formula>
    </cfRule>
    <cfRule type="expression" dxfId="1595" priority="1592" stopIfTrue="1">
      <formula>OR(AND(ISNUMBER($C222),$C222=0),$C222=2,$C222=3,$C222=4)</formula>
    </cfRule>
  </conditionalFormatting>
  <conditionalFormatting sqref="AM222:AN230">
    <cfRule type="expression" dxfId="1594" priority="1593" stopIfTrue="1">
      <formula>TIPOORCAMENTO="PROPOSTO"</formula>
    </cfRule>
    <cfRule type="expression" dxfId="1593" priority="1594" stopIfTrue="1">
      <formula>$C222=1</formula>
    </cfRule>
    <cfRule type="expression" dxfId="1592" priority="1595" stopIfTrue="1">
      <formula>OR(AND(ISNUMBER($C222),$C222=0),$C222=2,$C222=3,$C222=4)</formula>
    </cfRule>
  </conditionalFormatting>
  <conditionalFormatting sqref="M231:M239">
    <cfRule type="cellIs" dxfId="1591" priority="1562" stopIfTrue="1" operator="notEqual">
      <formula>$N231</formula>
    </cfRule>
  </conditionalFormatting>
  <conditionalFormatting sqref="N231:O239 W231:X239">
    <cfRule type="expression" dxfId="1590" priority="1563" stopIfTrue="1">
      <formula>$C231=1</formula>
    </cfRule>
    <cfRule type="expression" dxfId="1589" priority="1564" stopIfTrue="1">
      <formula>OR($C231=0,$C231=2,$C231=3,$C231=4)</formula>
    </cfRule>
  </conditionalFormatting>
  <conditionalFormatting sqref="AG231:AH239 T231:T239">
    <cfRule type="expression" dxfId="1588" priority="1568" stopIfTrue="1">
      <formula>$C231=1</formula>
    </cfRule>
    <cfRule type="expression" dxfId="1587" priority="1569" stopIfTrue="1">
      <formula>OR($C231=0,$C231=2,$C231=3,$C231=4)</formula>
    </cfRule>
  </conditionalFormatting>
  <conditionalFormatting sqref="AJ231:AJ239">
    <cfRule type="expression" dxfId="1586" priority="1570" stopIfTrue="1">
      <formula>OR(ACOMPANHAMENTO&lt;&gt;"BM",TIPOORCAMENTO="Licitado")</formula>
    </cfRule>
    <cfRule type="expression" dxfId="1585" priority="1571" stopIfTrue="1">
      <formula>$C231=1</formula>
    </cfRule>
    <cfRule type="expression" dxfId="1584" priority="1572" stopIfTrue="1">
      <formula>OR(AND(ISNUMBER($C231),$C231=0),$C231=2,$C231=3,$C231=4)</formula>
    </cfRule>
  </conditionalFormatting>
  <conditionalFormatting sqref="AL231:AL239">
    <cfRule type="expression" dxfId="1583" priority="1573" stopIfTrue="1">
      <formula>TIPOORCAMENTO="PROPOSTO"</formula>
    </cfRule>
    <cfRule type="expression" dxfId="1582" priority="1574" stopIfTrue="1">
      <formula>$C231=1</formula>
    </cfRule>
    <cfRule type="expression" dxfId="1581" priority="1575" stopIfTrue="1">
      <formula>OR(AND(ISNUMBER($C231),$C231=0),$C231=2,$C231=3,$C231=4)</formula>
    </cfRule>
  </conditionalFormatting>
  <conditionalFormatting sqref="AM231:AN239">
    <cfRule type="expression" dxfId="1580" priority="1576" stopIfTrue="1">
      <formula>TIPOORCAMENTO="PROPOSTO"</formula>
    </cfRule>
    <cfRule type="expression" dxfId="1579" priority="1577" stopIfTrue="1">
      <formula>$C231=1</formula>
    </cfRule>
    <cfRule type="expression" dxfId="1578" priority="1578" stopIfTrue="1">
      <formula>OR(AND(ISNUMBER($C231),$C231=0),$C231=2,$C231=3,$C231=4)</formula>
    </cfRule>
  </conditionalFormatting>
  <conditionalFormatting sqref="M240:M248">
    <cfRule type="cellIs" dxfId="1577" priority="1545" stopIfTrue="1" operator="notEqual">
      <formula>$N240</formula>
    </cfRule>
  </conditionalFormatting>
  <conditionalFormatting sqref="N240:O248 W240:X248">
    <cfRule type="expression" dxfId="1576" priority="1546" stopIfTrue="1">
      <formula>$C240=1</formula>
    </cfRule>
    <cfRule type="expression" dxfId="1575" priority="1547" stopIfTrue="1">
      <formula>OR($C240=0,$C240=2,$C240=3,$C240=4)</formula>
    </cfRule>
  </conditionalFormatting>
  <conditionalFormatting sqref="AG240:AH248 T240:T248">
    <cfRule type="expression" dxfId="1574" priority="1551" stopIfTrue="1">
      <formula>$C240=1</formula>
    </cfRule>
    <cfRule type="expression" dxfId="1573" priority="1552" stopIfTrue="1">
      <formula>OR($C240=0,$C240=2,$C240=3,$C240=4)</formula>
    </cfRule>
  </conditionalFormatting>
  <conditionalFormatting sqref="AJ240:AJ248">
    <cfRule type="expression" dxfId="1572" priority="1553" stopIfTrue="1">
      <formula>OR(ACOMPANHAMENTO&lt;&gt;"BM",TIPOORCAMENTO="Licitado")</formula>
    </cfRule>
    <cfRule type="expression" dxfId="1571" priority="1554" stopIfTrue="1">
      <formula>$C240=1</formula>
    </cfRule>
    <cfRule type="expression" dxfId="1570" priority="1555" stopIfTrue="1">
      <formula>OR(AND(ISNUMBER($C240),$C240=0),$C240=2,$C240=3,$C240=4)</formula>
    </cfRule>
  </conditionalFormatting>
  <conditionalFormatting sqref="AL240:AL248">
    <cfRule type="expression" dxfId="1569" priority="1556" stopIfTrue="1">
      <formula>TIPOORCAMENTO="PROPOSTO"</formula>
    </cfRule>
    <cfRule type="expression" dxfId="1568" priority="1557" stopIfTrue="1">
      <formula>$C240=1</formula>
    </cfRule>
    <cfRule type="expression" dxfId="1567" priority="1558" stopIfTrue="1">
      <formula>OR(AND(ISNUMBER($C240),$C240=0),$C240=2,$C240=3,$C240=4)</formula>
    </cfRule>
  </conditionalFormatting>
  <conditionalFormatting sqref="AM240:AN248">
    <cfRule type="expression" dxfId="1566" priority="1559" stopIfTrue="1">
      <formula>TIPOORCAMENTO="PROPOSTO"</formula>
    </cfRule>
    <cfRule type="expression" dxfId="1565" priority="1560" stopIfTrue="1">
      <formula>$C240=1</formula>
    </cfRule>
    <cfRule type="expression" dxfId="1564" priority="1561" stopIfTrue="1">
      <formula>OR(AND(ISNUMBER($C240),$C240=0),$C240=2,$C240=3,$C240=4)</formula>
    </cfRule>
  </conditionalFormatting>
  <conditionalFormatting sqref="M249:M257">
    <cfRule type="cellIs" dxfId="1563" priority="1528" stopIfTrue="1" operator="notEqual">
      <formula>$N249</formula>
    </cfRule>
  </conditionalFormatting>
  <conditionalFormatting sqref="N249:O257 W249:X257">
    <cfRule type="expression" dxfId="1562" priority="1529" stopIfTrue="1">
      <formula>$C249=1</formula>
    </cfRule>
    <cfRule type="expression" dxfId="1561" priority="1530" stopIfTrue="1">
      <formula>OR($C249=0,$C249=2,$C249=3,$C249=4)</formula>
    </cfRule>
  </conditionalFormatting>
  <conditionalFormatting sqref="AG249:AH257 T249:T257">
    <cfRule type="expression" dxfId="1560" priority="1534" stopIfTrue="1">
      <formula>$C249=1</formula>
    </cfRule>
    <cfRule type="expression" dxfId="1559" priority="1535" stopIfTrue="1">
      <formula>OR($C249=0,$C249=2,$C249=3,$C249=4)</formula>
    </cfRule>
  </conditionalFormatting>
  <conditionalFormatting sqref="AJ249:AJ257">
    <cfRule type="expression" dxfId="1558" priority="1536" stopIfTrue="1">
      <formula>OR(ACOMPANHAMENTO&lt;&gt;"BM",TIPOORCAMENTO="Licitado")</formula>
    </cfRule>
    <cfRule type="expression" dxfId="1557" priority="1537" stopIfTrue="1">
      <formula>$C249=1</formula>
    </cfRule>
    <cfRule type="expression" dxfId="1556" priority="1538" stopIfTrue="1">
      <formula>OR(AND(ISNUMBER($C249),$C249=0),$C249=2,$C249=3,$C249=4)</formula>
    </cfRule>
  </conditionalFormatting>
  <conditionalFormatting sqref="AL249:AL257">
    <cfRule type="expression" dxfId="1555" priority="1539" stopIfTrue="1">
      <formula>TIPOORCAMENTO="PROPOSTO"</formula>
    </cfRule>
    <cfRule type="expression" dxfId="1554" priority="1540" stopIfTrue="1">
      <formula>$C249=1</formula>
    </cfRule>
    <cfRule type="expression" dxfId="1553" priority="1541" stopIfTrue="1">
      <formula>OR(AND(ISNUMBER($C249),$C249=0),$C249=2,$C249=3,$C249=4)</formula>
    </cfRule>
  </conditionalFormatting>
  <conditionalFormatting sqref="AM249:AN257">
    <cfRule type="expression" dxfId="1552" priority="1542" stopIfTrue="1">
      <formula>TIPOORCAMENTO="PROPOSTO"</formula>
    </cfRule>
    <cfRule type="expression" dxfId="1551" priority="1543" stopIfTrue="1">
      <formula>$C249=1</formula>
    </cfRule>
    <cfRule type="expression" dxfId="1550" priority="1544" stopIfTrue="1">
      <formula>OR(AND(ISNUMBER($C249),$C249=0),$C249=2,$C249=3,$C249=4)</formula>
    </cfRule>
  </conditionalFormatting>
  <conditionalFormatting sqref="M258:M266">
    <cfRule type="cellIs" dxfId="1549" priority="1511" stopIfTrue="1" operator="notEqual">
      <formula>$N258</formula>
    </cfRule>
  </conditionalFormatting>
  <conditionalFormatting sqref="N258:O266 W258:X266">
    <cfRule type="expression" dxfId="1548" priority="1512" stopIfTrue="1">
      <formula>$C258=1</formula>
    </cfRule>
    <cfRule type="expression" dxfId="1547" priority="1513" stopIfTrue="1">
      <formula>OR($C258=0,$C258=2,$C258=3,$C258=4)</formula>
    </cfRule>
  </conditionalFormatting>
  <conditionalFormatting sqref="AG258:AH266 T258:T266">
    <cfRule type="expression" dxfId="1546" priority="1517" stopIfTrue="1">
      <formula>$C258=1</formula>
    </cfRule>
    <cfRule type="expression" dxfId="1545" priority="1518" stopIfTrue="1">
      <formula>OR($C258=0,$C258=2,$C258=3,$C258=4)</formula>
    </cfRule>
  </conditionalFormatting>
  <conditionalFormatting sqref="AJ258:AJ266">
    <cfRule type="expression" dxfId="1544" priority="1519" stopIfTrue="1">
      <formula>OR(ACOMPANHAMENTO&lt;&gt;"BM",TIPOORCAMENTO="Licitado")</formula>
    </cfRule>
    <cfRule type="expression" dxfId="1543" priority="1520" stopIfTrue="1">
      <formula>$C258=1</formula>
    </cfRule>
    <cfRule type="expression" dxfId="1542" priority="1521" stopIfTrue="1">
      <formula>OR(AND(ISNUMBER($C258),$C258=0),$C258=2,$C258=3,$C258=4)</formula>
    </cfRule>
  </conditionalFormatting>
  <conditionalFormatting sqref="AL258:AL266">
    <cfRule type="expression" dxfId="1541" priority="1522" stopIfTrue="1">
      <formula>TIPOORCAMENTO="PROPOSTO"</formula>
    </cfRule>
    <cfRule type="expression" dxfId="1540" priority="1523" stopIfTrue="1">
      <formula>$C258=1</formula>
    </cfRule>
    <cfRule type="expression" dxfId="1539" priority="1524" stopIfTrue="1">
      <formula>OR(AND(ISNUMBER($C258),$C258=0),$C258=2,$C258=3,$C258=4)</formula>
    </cfRule>
  </conditionalFormatting>
  <conditionalFormatting sqref="AM258:AN266">
    <cfRule type="expression" dxfId="1538" priority="1525" stopIfTrue="1">
      <formula>TIPOORCAMENTO="PROPOSTO"</formula>
    </cfRule>
    <cfRule type="expression" dxfId="1537" priority="1526" stopIfTrue="1">
      <formula>$C258=1</formula>
    </cfRule>
    <cfRule type="expression" dxfId="1536" priority="1527" stopIfTrue="1">
      <formula>OR(AND(ISNUMBER($C258),$C258=0),$C258=2,$C258=3,$C258=4)</formula>
    </cfRule>
  </conditionalFormatting>
  <conditionalFormatting sqref="M267:M275">
    <cfRule type="cellIs" dxfId="1535" priority="1494" stopIfTrue="1" operator="notEqual">
      <formula>$N267</formula>
    </cfRule>
  </conditionalFormatting>
  <conditionalFormatting sqref="N267:O275 W267:X275">
    <cfRule type="expression" dxfId="1534" priority="1495" stopIfTrue="1">
      <formula>$C267=1</formula>
    </cfRule>
    <cfRule type="expression" dxfId="1533" priority="1496" stopIfTrue="1">
      <formula>OR($C267=0,$C267=2,$C267=3,$C267=4)</formula>
    </cfRule>
  </conditionalFormatting>
  <conditionalFormatting sqref="AG267:AH275 T267:T275">
    <cfRule type="expression" dxfId="1532" priority="1500" stopIfTrue="1">
      <formula>$C267=1</formula>
    </cfRule>
    <cfRule type="expression" dxfId="1531" priority="1501" stopIfTrue="1">
      <formula>OR($C267=0,$C267=2,$C267=3,$C267=4)</formula>
    </cfRule>
  </conditionalFormatting>
  <conditionalFormatting sqref="AJ267:AJ275">
    <cfRule type="expression" dxfId="1530" priority="1502" stopIfTrue="1">
      <formula>OR(ACOMPANHAMENTO&lt;&gt;"BM",TIPOORCAMENTO="Licitado")</formula>
    </cfRule>
    <cfRule type="expression" dxfId="1529" priority="1503" stopIfTrue="1">
      <formula>$C267=1</formula>
    </cfRule>
    <cfRule type="expression" dxfId="1528" priority="1504" stopIfTrue="1">
      <formula>OR(AND(ISNUMBER($C267),$C267=0),$C267=2,$C267=3,$C267=4)</formula>
    </cfRule>
  </conditionalFormatting>
  <conditionalFormatting sqref="AL267:AL275">
    <cfRule type="expression" dxfId="1527" priority="1505" stopIfTrue="1">
      <formula>TIPOORCAMENTO="PROPOSTO"</formula>
    </cfRule>
    <cfRule type="expression" dxfId="1526" priority="1506" stopIfTrue="1">
      <formula>$C267=1</formula>
    </cfRule>
    <cfRule type="expression" dxfId="1525" priority="1507" stopIfTrue="1">
      <formula>OR(AND(ISNUMBER($C267),$C267=0),$C267=2,$C267=3,$C267=4)</formula>
    </cfRule>
  </conditionalFormatting>
  <conditionalFormatting sqref="AM267:AN275">
    <cfRule type="expression" dxfId="1524" priority="1508" stopIfTrue="1">
      <formula>TIPOORCAMENTO="PROPOSTO"</formula>
    </cfRule>
    <cfRule type="expression" dxfId="1523" priority="1509" stopIfTrue="1">
      <formula>$C267=1</formula>
    </cfRule>
    <cfRule type="expression" dxfId="1522" priority="1510" stopIfTrue="1">
      <formula>OR(AND(ISNUMBER($C267),$C267=0),$C267=2,$C267=3,$C267=4)</formula>
    </cfRule>
  </conditionalFormatting>
  <conditionalFormatting sqref="M290:M298">
    <cfRule type="cellIs" dxfId="1521" priority="1443" stopIfTrue="1" operator="notEqual">
      <formula>$N290</formula>
    </cfRule>
  </conditionalFormatting>
  <conditionalFormatting sqref="N290:O298 W290:X298">
    <cfRule type="expression" dxfId="1520" priority="1444" stopIfTrue="1">
      <formula>$C290=1</formula>
    </cfRule>
    <cfRule type="expression" dxfId="1519" priority="1445" stopIfTrue="1">
      <formula>OR($C290=0,$C290=2,$C290=3,$C290=4)</formula>
    </cfRule>
  </conditionalFormatting>
  <conditionalFormatting sqref="AG290:AH298 T290:T298">
    <cfRule type="expression" dxfId="1518" priority="1449" stopIfTrue="1">
      <formula>$C290=1</formula>
    </cfRule>
    <cfRule type="expression" dxfId="1517" priority="1450" stopIfTrue="1">
      <formula>OR($C290=0,$C290=2,$C290=3,$C290=4)</formula>
    </cfRule>
  </conditionalFormatting>
  <conditionalFormatting sqref="AJ290:AJ298">
    <cfRule type="expression" dxfId="1516" priority="1451" stopIfTrue="1">
      <formula>OR(ACOMPANHAMENTO&lt;&gt;"BM",TIPOORCAMENTO="Licitado")</formula>
    </cfRule>
    <cfRule type="expression" dxfId="1515" priority="1452" stopIfTrue="1">
      <formula>$C290=1</formula>
    </cfRule>
    <cfRule type="expression" dxfId="1514" priority="1453" stopIfTrue="1">
      <formula>OR(AND(ISNUMBER($C290),$C290=0),$C290=2,$C290=3,$C290=4)</formula>
    </cfRule>
  </conditionalFormatting>
  <conditionalFormatting sqref="AL290:AL298">
    <cfRule type="expression" dxfId="1513" priority="1454" stopIfTrue="1">
      <formula>TIPOORCAMENTO="PROPOSTO"</formula>
    </cfRule>
    <cfRule type="expression" dxfId="1512" priority="1455" stopIfTrue="1">
      <formula>$C290=1</formula>
    </cfRule>
    <cfRule type="expression" dxfId="1511" priority="1456" stopIfTrue="1">
      <formula>OR(AND(ISNUMBER($C290),$C290=0),$C290=2,$C290=3,$C290=4)</formula>
    </cfRule>
  </conditionalFormatting>
  <conditionalFormatting sqref="AM290:AN298">
    <cfRule type="expression" dxfId="1510" priority="1457" stopIfTrue="1">
      <formula>TIPOORCAMENTO="PROPOSTO"</formula>
    </cfRule>
    <cfRule type="expression" dxfId="1509" priority="1458" stopIfTrue="1">
      <formula>$C290=1</formula>
    </cfRule>
    <cfRule type="expression" dxfId="1508" priority="1459" stopIfTrue="1">
      <formula>OR(AND(ISNUMBER($C290),$C290=0),$C290=2,$C290=3,$C290=4)</formula>
    </cfRule>
  </conditionalFormatting>
  <conditionalFormatting sqref="M299:M307">
    <cfRule type="cellIs" dxfId="1507" priority="1426" stopIfTrue="1" operator="notEqual">
      <formula>$N299</formula>
    </cfRule>
  </conditionalFormatting>
  <conditionalFormatting sqref="N299:O307 W299:X307">
    <cfRule type="expression" dxfId="1506" priority="1427" stopIfTrue="1">
      <formula>$C299=1</formula>
    </cfRule>
    <cfRule type="expression" dxfId="1505" priority="1428" stopIfTrue="1">
      <formula>OR($C299=0,$C299=2,$C299=3,$C299=4)</formula>
    </cfRule>
  </conditionalFormatting>
  <conditionalFormatting sqref="AG299:AH307 T299:T307">
    <cfRule type="expression" dxfId="1504" priority="1432" stopIfTrue="1">
      <formula>$C299=1</formula>
    </cfRule>
    <cfRule type="expression" dxfId="1503" priority="1433" stopIfTrue="1">
      <formula>OR($C299=0,$C299=2,$C299=3,$C299=4)</formula>
    </cfRule>
  </conditionalFormatting>
  <conditionalFormatting sqref="AJ299:AJ307">
    <cfRule type="expression" dxfId="1502" priority="1434" stopIfTrue="1">
      <formula>OR(ACOMPANHAMENTO&lt;&gt;"BM",TIPOORCAMENTO="Licitado")</formula>
    </cfRule>
    <cfRule type="expression" dxfId="1501" priority="1435" stopIfTrue="1">
      <formula>$C299=1</formula>
    </cfRule>
    <cfRule type="expression" dxfId="1500" priority="1436" stopIfTrue="1">
      <formula>OR(AND(ISNUMBER($C299),$C299=0),$C299=2,$C299=3,$C299=4)</formula>
    </cfRule>
  </conditionalFormatting>
  <conditionalFormatting sqref="AL299:AL307">
    <cfRule type="expression" dxfId="1499" priority="1437" stopIfTrue="1">
      <formula>TIPOORCAMENTO="PROPOSTO"</formula>
    </cfRule>
    <cfRule type="expression" dxfId="1498" priority="1438" stopIfTrue="1">
      <formula>$C299=1</formula>
    </cfRule>
    <cfRule type="expression" dxfId="1497" priority="1439" stopIfTrue="1">
      <formula>OR(AND(ISNUMBER($C299),$C299=0),$C299=2,$C299=3,$C299=4)</formula>
    </cfRule>
  </conditionalFormatting>
  <conditionalFormatting sqref="AM299:AN307">
    <cfRule type="expression" dxfId="1496" priority="1440" stopIfTrue="1">
      <formula>TIPOORCAMENTO="PROPOSTO"</formula>
    </cfRule>
    <cfRule type="expression" dxfId="1495" priority="1441" stopIfTrue="1">
      <formula>$C299=1</formula>
    </cfRule>
    <cfRule type="expression" dxfId="1494" priority="1442" stopIfTrue="1">
      <formula>OR(AND(ISNUMBER($C299),$C299=0),$C299=2,$C299=3,$C299=4)</formula>
    </cfRule>
  </conditionalFormatting>
  <conditionalFormatting sqref="M308:M316">
    <cfRule type="cellIs" dxfId="1493" priority="1409" stopIfTrue="1" operator="notEqual">
      <formula>$N308</formula>
    </cfRule>
  </conditionalFormatting>
  <conditionalFormatting sqref="N308:O316 W308:X316">
    <cfRule type="expression" dxfId="1492" priority="1410" stopIfTrue="1">
      <formula>$C308=1</formula>
    </cfRule>
    <cfRule type="expression" dxfId="1491" priority="1411" stopIfTrue="1">
      <formula>OR($C308=0,$C308=2,$C308=3,$C308=4)</formula>
    </cfRule>
  </conditionalFormatting>
  <conditionalFormatting sqref="T308:T316 AG308:AH316">
    <cfRule type="expression" dxfId="1490" priority="1415" stopIfTrue="1">
      <formula>$C308=1</formula>
    </cfRule>
    <cfRule type="expression" dxfId="1489" priority="1416" stopIfTrue="1">
      <formula>OR($C308=0,$C308=2,$C308=3,$C308=4)</formula>
    </cfRule>
  </conditionalFormatting>
  <conditionalFormatting sqref="AJ308:AJ316">
    <cfRule type="expression" dxfId="1488" priority="1417" stopIfTrue="1">
      <formula>OR(ACOMPANHAMENTO&lt;&gt;"BM",TIPOORCAMENTO="Licitado")</formula>
    </cfRule>
    <cfRule type="expression" dxfId="1487" priority="1418" stopIfTrue="1">
      <formula>$C308=1</formula>
    </cfRule>
    <cfRule type="expression" dxfId="1486" priority="1419" stopIfTrue="1">
      <formula>OR(AND(ISNUMBER($C308),$C308=0),$C308=2,$C308=3,$C308=4)</formula>
    </cfRule>
  </conditionalFormatting>
  <conditionalFormatting sqref="AL308:AL316">
    <cfRule type="expression" dxfId="1485" priority="1420" stopIfTrue="1">
      <formula>TIPOORCAMENTO="PROPOSTO"</formula>
    </cfRule>
    <cfRule type="expression" dxfId="1484" priority="1421" stopIfTrue="1">
      <formula>$C308=1</formula>
    </cfRule>
    <cfRule type="expression" dxfId="1483" priority="1422" stopIfTrue="1">
      <formula>OR(AND(ISNUMBER($C308),$C308=0),$C308=2,$C308=3,$C308=4)</formula>
    </cfRule>
  </conditionalFormatting>
  <conditionalFormatting sqref="AM308:AN316">
    <cfRule type="expression" dxfId="1482" priority="1423" stopIfTrue="1">
      <formula>TIPOORCAMENTO="PROPOSTO"</formula>
    </cfRule>
    <cfRule type="expression" dxfId="1481" priority="1424" stopIfTrue="1">
      <formula>$C308=1</formula>
    </cfRule>
    <cfRule type="expression" dxfId="1480" priority="1425" stopIfTrue="1">
      <formula>OR(AND(ISNUMBER($C308),$C308=0),$C308=2,$C308=3,$C308=4)</formula>
    </cfRule>
  </conditionalFormatting>
  <conditionalFormatting sqref="M317:M325">
    <cfRule type="cellIs" dxfId="1479" priority="1392" stopIfTrue="1" operator="notEqual">
      <formula>$N317</formula>
    </cfRule>
  </conditionalFormatting>
  <conditionalFormatting sqref="N317:O325 W317:X325">
    <cfRule type="expression" dxfId="1478" priority="1393" stopIfTrue="1">
      <formula>$C317=1</formula>
    </cfRule>
    <cfRule type="expression" dxfId="1477" priority="1394" stopIfTrue="1">
      <formula>OR($C317=0,$C317=2,$C317=3,$C317=4)</formula>
    </cfRule>
  </conditionalFormatting>
  <conditionalFormatting sqref="T317:T325 AG317:AH325">
    <cfRule type="expression" dxfId="1476" priority="1398" stopIfTrue="1">
      <formula>$C317=1</formula>
    </cfRule>
    <cfRule type="expression" dxfId="1475" priority="1399" stopIfTrue="1">
      <formula>OR($C317=0,$C317=2,$C317=3,$C317=4)</formula>
    </cfRule>
  </conditionalFormatting>
  <conditionalFormatting sqref="AJ317:AJ325">
    <cfRule type="expression" dxfId="1474" priority="1400" stopIfTrue="1">
      <formula>OR(ACOMPANHAMENTO&lt;&gt;"BM",TIPOORCAMENTO="Licitado")</formula>
    </cfRule>
    <cfRule type="expression" dxfId="1473" priority="1401" stopIfTrue="1">
      <formula>$C317=1</formula>
    </cfRule>
    <cfRule type="expression" dxfId="1472" priority="1402" stopIfTrue="1">
      <formula>OR(AND(ISNUMBER($C317),$C317=0),$C317=2,$C317=3,$C317=4)</formula>
    </cfRule>
  </conditionalFormatting>
  <conditionalFormatting sqref="AL317:AL325">
    <cfRule type="expression" dxfId="1471" priority="1403" stopIfTrue="1">
      <formula>TIPOORCAMENTO="PROPOSTO"</formula>
    </cfRule>
    <cfRule type="expression" dxfId="1470" priority="1404" stopIfTrue="1">
      <formula>$C317=1</formula>
    </cfRule>
    <cfRule type="expression" dxfId="1469" priority="1405" stopIfTrue="1">
      <formula>OR(AND(ISNUMBER($C317),$C317=0),$C317=2,$C317=3,$C317=4)</formula>
    </cfRule>
  </conditionalFormatting>
  <conditionalFormatting sqref="AM317:AN325">
    <cfRule type="expression" dxfId="1468" priority="1406" stopIfTrue="1">
      <formula>TIPOORCAMENTO="PROPOSTO"</formula>
    </cfRule>
    <cfRule type="expression" dxfId="1467" priority="1407" stopIfTrue="1">
      <formula>$C317=1</formula>
    </cfRule>
    <cfRule type="expression" dxfId="1466" priority="1408" stopIfTrue="1">
      <formula>OR(AND(ISNUMBER($C317),$C317=0),$C317=2,$C317=3,$C317=4)</formula>
    </cfRule>
  </conditionalFormatting>
  <conditionalFormatting sqref="M326:M334">
    <cfRule type="cellIs" dxfId="1465" priority="1375" stopIfTrue="1" operator="notEqual">
      <formula>$N326</formula>
    </cfRule>
  </conditionalFormatting>
  <conditionalFormatting sqref="N326:O334 W326:X334">
    <cfRule type="expression" dxfId="1464" priority="1376" stopIfTrue="1">
      <formula>$C326=1</formula>
    </cfRule>
    <cfRule type="expression" dxfId="1463" priority="1377" stopIfTrue="1">
      <formula>OR($C326=0,$C326=2,$C326=3,$C326=4)</formula>
    </cfRule>
  </conditionalFormatting>
  <conditionalFormatting sqref="T326:T334 AG326:AH334">
    <cfRule type="expression" dxfId="1462" priority="1381" stopIfTrue="1">
      <formula>$C326=1</formula>
    </cfRule>
    <cfRule type="expression" dxfId="1461" priority="1382" stopIfTrue="1">
      <formula>OR($C326=0,$C326=2,$C326=3,$C326=4)</formula>
    </cfRule>
  </conditionalFormatting>
  <conditionalFormatting sqref="AJ326:AJ334">
    <cfRule type="expression" dxfId="1460" priority="1383" stopIfTrue="1">
      <formula>OR(ACOMPANHAMENTO&lt;&gt;"BM",TIPOORCAMENTO="Licitado")</formula>
    </cfRule>
    <cfRule type="expression" dxfId="1459" priority="1384" stopIfTrue="1">
      <formula>$C326=1</formula>
    </cfRule>
    <cfRule type="expression" dxfId="1458" priority="1385" stopIfTrue="1">
      <formula>OR(AND(ISNUMBER($C326),$C326=0),$C326=2,$C326=3,$C326=4)</formula>
    </cfRule>
  </conditionalFormatting>
  <conditionalFormatting sqref="AL326:AL334">
    <cfRule type="expression" dxfId="1457" priority="1386" stopIfTrue="1">
      <formula>TIPOORCAMENTO="PROPOSTO"</formula>
    </cfRule>
    <cfRule type="expression" dxfId="1456" priority="1387" stopIfTrue="1">
      <formula>$C326=1</formula>
    </cfRule>
    <cfRule type="expression" dxfId="1455" priority="1388" stopIfTrue="1">
      <formula>OR(AND(ISNUMBER($C326),$C326=0),$C326=2,$C326=3,$C326=4)</formula>
    </cfRule>
  </conditionalFormatting>
  <conditionalFormatting sqref="AM326:AN334">
    <cfRule type="expression" dxfId="1454" priority="1389" stopIfTrue="1">
      <formula>TIPOORCAMENTO="PROPOSTO"</formula>
    </cfRule>
    <cfRule type="expression" dxfId="1453" priority="1390" stopIfTrue="1">
      <formula>$C326=1</formula>
    </cfRule>
    <cfRule type="expression" dxfId="1452" priority="1391" stopIfTrue="1">
      <formula>OR(AND(ISNUMBER($C326),$C326=0),$C326=2,$C326=3,$C326=4)</formula>
    </cfRule>
  </conditionalFormatting>
  <conditionalFormatting sqref="M335:M343">
    <cfRule type="cellIs" dxfId="1451" priority="1358" stopIfTrue="1" operator="notEqual">
      <formula>$N335</formula>
    </cfRule>
  </conditionalFormatting>
  <conditionalFormatting sqref="N335:O343 W335:X343">
    <cfRule type="expression" dxfId="1450" priority="1359" stopIfTrue="1">
      <formula>$C335=1</formula>
    </cfRule>
    <cfRule type="expression" dxfId="1449" priority="1360" stopIfTrue="1">
      <formula>OR($C335=0,$C335=2,$C335=3,$C335=4)</formula>
    </cfRule>
  </conditionalFormatting>
  <conditionalFormatting sqref="T335:T343 AG335:AH343">
    <cfRule type="expression" dxfId="1448" priority="1364" stopIfTrue="1">
      <formula>$C335=1</formula>
    </cfRule>
    <cfRule type="expression" dxfId="1447" priority="1365" stopIfTrue="1">
      <formula>OR($C335=0,$C335=2,$C335=3,$C335=4)</formula>
    </cfRule>
  </conditionalFormatting>
  <conditionalFormatting sqref="AJ335:AJ343">
    <cfRule type="expression" dxfId="1446" priority="1366" stopIfTrue="1">
      <formula>OR(ACOMPANHAMENTO&lt;&gt;"BM",TIPOORCAMENTO="Licitado")</formula>
    </cfRule>
    <cfRule type="expression" dxfId="1445" priority="1367" stopIfTrue="1">
      <formula>$C335=1</formula>
    </cfRule>
    <cfRule type="expression" dxfId="1444" priority="1368" stopIfTrue="1">
      <formula>OR(AND(ISNUMBER($C335),$C335=0),$C335=2,$C335=3,$C335=4)</formula>
    </cfRule>
  </conditionalFormatting>
  <conditionalFormatting sqref="AL335:AL343">
    <cfRule type="expression" dxfId="1443" priority="1369" stopIfTrue="1">
      <formula>TIPOORCAMENTO="PROPOSTO"</formula>
    </cfRule>
    <cfRule type="expression" dxfId="1442" priority="1370" stopIfTrue="1">
      <formula>$C335=1</formula>
    </cfRule>
    <cfRule type="expression" dxfId="1441" priority="1371" stopIfTrue="1">
      <formula>OR(AND(ISNUMBER($C335),$C335=0),$C335=2,$C335=3,$C335=4)</formula>
    </cfRule>
  </conditionalFormatting>
  <conditionalFormatting sqref="AM335:AN343">
    <cfRule type="expression" dxfId="1440" priority="1372" stopIfTrue="1">
      <formula>TIPOORCAMENTO="PROPOSTO"</formula>
    </cfRule>
    <cfRule type="expression" dxfId="1439" priority="1373" stopIfTrue="1">
      <formula>$C335=1</formula>
    </cfRule>
    <cfRule type="expression" dxfId="1438" priority="1374" stopIfTrue="1">
      <formula>OR(AND(ISNUMBER($C335),$C335=0),$C335=2,$C335=3,$C335=4)</formula>
    </cfRule>
  </conditionalFormatting>
  <conditionalFormatting sqref="M344:M352">
    <cfRule type="cellIs" dxfId="1437" priority="1341" stopIfTrue="1" operator="notEqual">
      <formula>$N344</formula>
    </cfRule>
  </conditionalFormatting>
  <conditionalFormatting sqref="N344:O352 W344:X352">
    <cfRule type="expression" dxfId="1436" priority="1342" stopIfTrue="1">
      <formula>$C344=1</formula>
    </cfRule>
    <cfRule type="expression" dxfId="1435" priority="1343" stopIfTrue="1">
      <formula>OR($C344=0,$C344=2,$C344=3,$C344=4)</formula>
    </cfRule>
  </conditionalFormatting>
  <conditionalFormatting sqref="AG344:AH352 T344:T352">
    <cfRule type="expression" dxfId="1434" priority="1347" stopIfTrue="1">
      <formula>$C344=1</formula>
    </cfRule>
    <cfRule type="expression" dxfId="1433" priority="1348" stopIfTrue="1">
      <formula>OR($C344=0,$C344=2,$C344=3,$C344=4)</formula>
    </cfRule>
  </conditionalFormatting>
  <conditionalFormatting sqref="AJ344:AJ352">
    <cfRule type="expression" dxfId="1432" priority="1349" stopIfTrue="1">
      <formula>OR(ACOMPANHAMENTO&lt;&gt;"BM",TIPOORCAMENTO="Licitado")</formula>
    </cfRule>
    <cfRule type="expression" dxfId="1431" priority="1350" stopIfTrue="1">
      <formula>$C344=1</formula>
    </cfRule>
    <cfRule type="expression" dxfId="1430" priority="1351" stopIfTrue="1">
      <formula>OR(AND(ISNUMBER($C344),$C344=0),$C344=2,$C344=3,$C344=4)</formula>
    </cfRule>
  </conditionalFormatting>
  <conditionalFormatting sqref="AL344:AL352">
    <cfRule type="expression" dxfId="1429" priority="1352" stopIfTrue="1">
      <formula>TIPOORCAMENTO="PROPOSTO"</formula>
    </cfRule>
    <cfRule type="expression" dxfId="1428" priority="1353" stopIfTrue="1">
      <formula>$C344=1</formula>
    </cfRule>
    <cfRule type="expression" dxfId="1427" priority="1354" stopIfTrue="1">
      <formula>OR(AND(ISNUMBER($C344),$C344=0),$C344=2,$C344=3,$C344=4)</formula>
    </cfRule>
  </conditionalFormatting>
  <conditionalFormatting sqref="AM344:AN352">
    <cfRule type="expression" dxfId="1426" priority="1355" stopIfTrue="1">
      <formula>TIPOORCAMENTO="PROPOSTO"</formula>
    </cfRule>
    <cfRule type="expression" dxfId="1425" priority="1356" stopIfTrue="1">
      <formula>$C344=1</formula>
    </cfRule>
    <cfRule type="expression" dxfId="1424" priority="1357" stopIfTrue="1">
      <formula>OR(AND(ISNUMBER($C344),$C344=0),$C344=2,$C344=3,$C344=4)</formula>
    </cfRule>
  </conditionalFormatting>
  <conditionalFormatting sqref="M353:M361">
    <cfRule type="cellIs" dxfId="1423" priority="1324" stopIfTrue="1" operator="notEqual">
      <formula>$N353</formula>
    </cfRule>
  </conditionalFormatting>
  <conditionalFormatting sqref="N353:O361 W353:X361">
    <cfRule type="expression" dxfId="1422" priority="1325" stopIfTrue="1">
      <formula>$C353=1</formula>
    </cfRule>
    <cfRule type="expression" dxfId="1421" priority="1326" stopIfTrue="1">
      <formula>OR($C353=0,$C353=2,$C353=3,$C353=4)</formula>
    </cfRule>
  </conditionalFormatting>
  <conditionalFormatting sqref="AG353:AH361 T353:T361">
    <cfRule type="expression" dxfId="1420" priority="1330" stopIfTrue="1">
      <formula>$C353=1</formula>
    </cfRule>
    <cfRule type="expression" dxfId="1419" priority="1331" stopIfTrue="1">
      <formula>OR($C353=0,$C353=2,$C353=3,$C353=4)</formula>
    </cfRule>
  </conditionalFormatting>
  <conditionalFormatting sqref="AJ353:AJ361">
    <cfRule type="expression" dxfId="1418" priority="1332" stopIfTrue="1">
      <formula>OR(ACOMPANHAMENTO&lt;&gt;"BM",TIPOORCAMENTO="Licitado")</formula>
    </cfRule>
    <cfRule type="expression" dxfId="1417" priority="1333" stopIfTrue="1">
      <formula>$C353=1</formula>
    </cfRule>
    <cfRule type="expression" dxfId="1416" priority="1334" stopIfTrue="1">
      <formula>OR(AND(ISNUMBER($C353),$C353=0),$C353=2,$C353=3,$C353=4)</formula>
    </cfRule>
  </conditionalFormatting>
  <conditionalFormatting sqref="AL353:AL361">
    <cfRule type="expression" dxfId="1415" priority="1335" stopIfTrue="1">
      <formula>TIPOORCAMENTO="PROPOSTO"</formula>
    </cfRule>
    <cfRule type="expression" dxfId="1414" priority="1336" stopIfTrue="1">
      <formula>$C353=1</formula>
    </cfRule>
    <cfRule type="expression" dxfId="1413" priority="1337" stopIfTrue="1">
      <formula>OR(AND(ISNUMBER($C353),$C353=0),$C353=2,$C353=3,$C353=4)</formula>
    </cfRule>
  </conditionalFormatting>
  <conditionalFormatting sqref="AM353:AN361">
    <cfRule type="expression" dxfId="1412" priority="1338" stopIfTrue="1">
      <formula>TIPOORCAMENTO="PROPOSTO"</formula>
    </cfRule>
    <cfRule type="expression" dxfId="1411" priority="1339" stopIfTrue="1">
      <formula>$C353=1</formula>
    </cfRule>
    <cfRule type="expression" dxfId="1410" priority="1340" stopIfTrue="1">
      <formula>OR(AND(ISNUMBER($C353),$C353=0),$C353=2,$C353=3,$C353=4)</formula>
    </cfRule>
  </conditionalFormatting>
  <conditionalFormatting sqref="M362:M370">
    <cfRule type="cellIs" dxfId="1409" priority="1307" stopIfTrue="1" operator="notEqual">
      <formula>$N362</formula>
    </cfRule>
  </conditionalFormatting>
  <conditionalFormatting sqref="N362:O370 W362:X370">
    <cfRule type="expression" dxfId="1408" priority="1308" stopIfTrue="1">
      <formula>$C362=1</formula>
    </cfRule>
    <cfRule type="expression" dxfId="1407" priority="1309" stopIfTrue="1">
      <formula>OR($C362=0,$C362=2,$C362=3,$C362=4)</formula>
    </cfRule>
  </conditionalFormatting>
  <conditionalFormatting sqref="AG362:AH370 T362:T370">
    <cfRule type="expression" dxfId="1406" priority="1313" stopIfTrue="1">
      <formula>$C362=1</formula>
    </cfRule>
    <cfRule type="expression" dxfId="1405" priority="1314" stopIfTrue="1">
      <formula>OR($C362=0,$C362=2,$C362=3,$C362=4)</formula>
    </cfRule>
  </conditionalFormatting>
  <conditionalFormatting sqref="AJ362:AJ370">
    <cfRule type="expression" dxfId="1404" priority="1315" stopIfTrue="1">
      <formula>OR(ACOMPANHAMENTO&lt;&gt;"BM",TIPOORCAMENTO="Licitado")</formula>
    </cfRule>
    <cfRule type="expression" dxfId="1403" priority="1316" stopIfTrue="1">
      <formula>$C362=1</formula>
    </cfRule>
    <cfRule type="expression" dxfId="1402" priority="1317" stopIfTrue="1">
      <formula>OR(AND(ISNUMBER($C362),$C362=0),$C362=2,$C362=3,$C362=4)</formula>
    </cfRule>
  </conditionalFormatting>
  <conditionalFormatting sqref="AL362:AL370">
    <cfRule type="expression" dxfId="1401" priority="1318" stopIfTrue="1">
      <formula>TIPOORCAMENTO="PROPOSTO"</formula>
    </cfRule>
    <cfRule type="expression" dxfId="1400" priority="1319" stopIfTrue="1">
      <formula>$C362=1</formula>
    </cfRule>
    <cfRule type="expression" dxfId="1399" priority="1320" stopIfTrue="1">
      <formula>OR(AND(ISNUMBER($C362),$C362=0),$C362=2,$C362=3,$C362=4)</formula>
    </cfRule>
  </conditionalFormatting>
  <conditionalFormatting sqref="AM362:AN370">
    <cfRule type="expression" dxfId="1398" priority="1321" stopIfTrue="1">
      <formula>TIPOORCAMENTO="PROPOSTO"</formula>
    </cfRule>
    <cfRule type="expression" dxfId="1397" priority="1322" stopIfTrue="1">
      <formula>$C362=1</formula>
    </cfRule>
    <cfRule type="expression" dxfId="1396" priority="1323" stopIfTrue="1">
      <formula>OR(AND(ISNUMBER($C362),$C362=0),$C362=2,$C362=3,$C362=4)</formula>
    </cfRule>
  </conditionalFormatting>
  <conditionalFormatting sqref="M371:M379">
    <cfRule type="cellIs" dxfId="1395" priority="1290" stopIfTrue="1" operator="notEqual">
      <formula>$N371</formula>
    </cfRule>
  </conditionalFormatting>
  <conditionalFormatting sqref="N371:O379 W371:X379">
    <cfRule type="expression" dxfId="1394" priority="1291" stopIfTrue="1">
      <formula>$C371=1</formula>
    </cfRule>
    <cfRule type="expression" dxfId="1393" priority="1292" stopIfTrue="1">
      <formula>OR($C371=0,$C371=2,$C371=3,$C371=4)</formula>
    </cfRule>
  </conditionalFormatting>
  <conditionalFormatting sqref="AG371:AH379 T371:T379">
    <cfRule type="expression" dxfId="1392" priority="1296" stopIfTrue="1">
      <formula>$C371=1</formula>
    </cfRule>
    <cfRule type="expression" dxfId="1391" priority="1297" stopIfTrue="1">
      <formula>OR($C371=0,$C371=2,$C371=3,$C371=4)</formula>
    </cfRule>
  </conditionalFormatting>
  <conditionalFormatting sqref="AJ371:AJ379">
    <cfRule type="expression" dxfId="1390" priority="1298" stopIfTrue="1">
      <formula>OR(ACOMPANHAMENTO&lt;&gt;"BM",TIPOORCAMENTO="Licitado")</formula>
    </cfRule>
    <cfRule type="expression" dxfId="1389" priority="1299" stopIfTrue="1">
      <formula>$C371=1</formula>
    </cfRule>
    <cfRule type="expression" dxfId="1388" priority="1300" stopIfTrue="1">
      <formula>OR(AND(ISNUMBER($C371),$C371=0),$C371=2,$C371=3,$C371=4)</formula>
    </cfRule>
  </conditionalFormatting>
  <conditionalFormatting sqref="AL371:AL379">
    <cfRule type="expression" dxfId="1387" priority="1301" stopIfTrue="1">
      <formula>TIPOORCAMENTO="PROPOSTO"</formula>
    </cfRule>
    <cfRule type="expression" dxfId="1386" priority="1302" stopIfTrue="1">
      <formula>$C371=1</formula>
    </cfRule>
    <cfRule type="expression" dxfId="1385" priority="1303" stopIfTrue="1">
      <formula>OR(AND(ISNUMBER($C371),$C371=0),$C371=2,$C371=3,$C371=4)</formula>
    </cfRule>
  </conditionalFormatting>
  <conditionalFormatting sqref="AM371:AN379">
    <cfRule type="expression" dxfId="1384" priority="1304" stopIfTrue="1">
      <formula>TIPOORCAMENTO="PROPOSTO"</formula>
    </cfRule>
    <cfRule type="expression" dxfId="1383" priority="1305" stopIfTrue="1">
      <formula>$C371=1</formula>
    </cfRule>
    <cfRule type="expression" dxfId="1382" priority="1306" stopIfTrue="1">
      <formula>OR(AND(ISNUMBER($C371),$C371=0),$C371=2,$C371=3,$C371=4)</formula>
    </cfRule>
  </conditionalFormatting>
  <conditionalFormatting sqref="M380:M388">
    <cfRule type="cellIs" dxfId="1381" priority="1273" stopIfTrue="1" operator="notEqual">
      <formula>$N380</formula>
    </cfRule>
  </conditionalFormatting>
  <conditionalFormatting sqref="N380:O388 W380:X388">
    <cfRule type="expression" dxfId="1380" priority="1274" stopIfTrue="1">
      <formula>$C380=1</formula>
    </cfRule>
    <cfRule type="expression" dxfId="1379" priority="1275" stopIfTrue="1">
      <formula>OR($C380=0,$C380=2,$C380=3,$C380=4)</formula>
    </cfRule>
  </conditionalFormatting>
  <conditionalFormatting sqref="AG380:AH388 T380:T388">
    <cfRule type="expression" dxfId="1378" priority="1279" stopIfTrue="1">
      <formula>$C380=1</formula>
    </cfRule>
    <cfRule type="expression" dxfId="1377" priority="1280" stopIfTrue="1">
      <formula>OR($C380=0,$C380=2,$C380=3,$C380=4)</formula>
    </cfRule>
  </conditionalFormatting>
  <conditionalFormatting sqref="AJ380:AJ388">
    <cfRule type="expression" dxfId="1376" priority="1281" stopIfTrue="1">
      <formula>OR(ACOMPANHAMENTO&lt;&gt;"BM",TIPOORCAMENTO="Licitado")</formula>
    </cfRule>
    <cfRule type="expression" dxfId="1375" priority="1282" stopIfTrue="1">
      <formula>$C380=1</formula>
    </cfRule>
    <cfRule type="expression" dxfId="1374" priority="1283" stopIfTrue="1">
      <formula>OR(AND(ISNUMBER($C380),$C380=0),$C380=2,$C380=3,$C380=4)</formula>
    </cfRule>
  </conditionalFormatting>
  <conditionalFormatting sqref="AL380:AL388">
    <cfRule type="expression" dxfId="1373" priority="1284" stopIfTrue="1">
      <formula>TIPOORCAMENTO="PROPOSTO"</formula>
    </cfRule>
    <cfRule type="expression" dxfId="1372" priority="1285" stopIfTrue="1">
      <formula>$C380=1</formula>
    </cfRule>
    <cfRule type="expression" dxfId="1371" priority="1286" stopIfTrue="1">
      <formula>OR(AND(ISNUMBER($C380),$C380=0),$C380=2,$C380=3,$C380=4)</formula>
    </cfRule>
  </conditionalFormatting>
  <conditionalFormatting sqref="AM380:AN388">
    <cfRule type="expression" dxfId="1370" priority="1287" stopIfTrue="1">
      <formula>TIPOORCAMENTO="PROPOSTO"</formula>
    </cfRule>
    <cfRule type="expression" dxfId="1369" priority="1288" stopIfTrue="1">
      <formula>$C380=1</formula>
    </cfRule>
    <cfRule type="expression" dxfId="1368" priority="1289" stopIfTrue="1">
      <formula>OR(AND(ISNUMBER($C380),$C380=0),$C380=2,$C380=3,$C380=4)</formula>
    </cfRule>
  </conditionalFormatting>
  <conditionalFormatting sqref="M389:M397">
    <cfRule type="cellIs" dxfId="1367" priority="1256" stopIfTrue="1" operator="notEqual">
      <formula>$N389</formula>
    </cfRule>
  </conditionalFormatting>
  <conditionalFormatting sqref="N389:O397 W389:X397">
    <cfRule type="expression" dxfId="1366" priority="1257" stopIfTrue="1">
      <formula>$C389=1</formula>
    </cfRule>
    <cfRule type="expression" dxfId="1365" priority="1258" stopIfTrue="1">
      <formula>OR($C389=0,$C389=2,$C389=3,$C389=4)</formula>
    </cfRule>
  </conditionalFormatting>
  <conditionalFormatting sqref="AG389:AH397 T389:T397">
    <cfRule type="expression" dxfId="1364" priority="1262" stopIfTrue="1">
      <formula>$C389=1</formula>
    </cfRule>
    <cfRule type="expression" dxfId="1363" priority="1263" stopIfTrue="1">
      <formula>OR($C389=0,$C389=2,$C389=3,$C389=4)</formula>
    </cfRule>
  </conditionalFormatting>
  <conditionalFormatting sqref="AJ389:AJ397">
    <cfRule type="expression" dxfId="1362" priority="1264" stopIfTrue="1">
      <formula>OR(ACOMPANHAMENTO&lt;&gt;"BM",TIPOORCAMENTO="Licitado")</formula>
    </cfRule>
    <cfRule type="expression" dxfId="1361" priority="1265" stopIfTrue="1">
      <formula>$C389=1</formula>
    </cfRule>
    <cfRule type="expression" dxfId="1360" priority="1266" stopIfTrue="1">
      <formula>OR(AND(ISNUMBER($C389),$C389=0),$C389=2,$C389=3,$C389=4)</formula>
    </cfRule>
  </conditionalFormatting>
  <conditionalFormatting sqref="AL389:AL397">
    <cfRule type="expression" dxfId="1359" priority="1267" stopIfTrue="1">
      <formula>TIPOORCAMENTO="PROPOSTO"</formula>
    </cfRule>
    <cfRule type="expression" dxfId="1358" priority="1268" stopIfTrue="1">
      <formula>$C389=1</formula>
    </cfRule>
    <cfRule type="expression" dxfId="1357" priority="1269" stopIfTrue="1">
      <formula>OR(AND(ISNUMBER($C389),$C389=0),$C389=2,$C389=3,$C389=4)</formula>
    </cfRule>
  </conditionalFormatting>
  <conditionalFormatting sqref="AM389:AN397">
    <cfRule type="expression" dxfId="1356" priority="1270" stopIfTrue="1">
      <formula>TIPOORCAMENTO="PROPOSTO"</formula>
    </cfRule>
    <cfRule type="expression" dxfId="1355" priority="1271" stopIfTrue="1">
      <formula>$C389=1</formula>
    </cfRule>
    <cfRule type="expression" dxfId="1354" priority="1272" stopIfTrue="1">
      <formula>OR(AND(ISNUMBER($C389),$C389=0),$C389=2,$C389=3,$C389=4)</formula>
    </cfRule>
  </conditionalFormatting>
  <conditionalFormatting sqref="M398:M406">
    <cfRule type="cellIs" dxfId="1353" priority="1239" stopIfTrue="1" operator="notEqual">
      <formula>$N398</formula>
    </cfRule>
  </conditionalFormatting>
  <conditionalFormatting sqref="N398:O406 W398:X406">
    <cfRule type="expression" dxfId="1352" priority="1240" stopIfTrue="1">
      <formula>$C398=1</formula>
    </cfRule>
    <cfRule type="expression" dxfId="1351" priority="1241" stopIfTrue="1">
      <formula>OR($C398=0,$C398=2,$C398=3,$C398=4)</formula>
    </cfRule>
  </conditionalFormatting>
  <conditionalFormatting sqref="T398:T406 AG398:AH406">
    <cfRule type="expression" dxfId="1350" priority="1245" stopIfTrue="1">
      <formula>$C398=1</formula>
    </cfRule>
    <cfRule type="expression" dxfId="1349" priority="1246" stopIfTrue="1">
      <formula>OR($C398=0,$C398=2,$C398=3,$C398=4)</formula>
    </cfRule>
  </conditionalFormatting>
  <conditionalFormatting sqref="AJ398:AJ406">
    <cfRule type="expression" dxfId="1348" priority="1247" stopIfTrue="1">
      <formula>OR(ACOMPANHAMENTO&lt;&gt;"BM",TIPOORCAMENTO="Licitado")</formula>
    </cfRule>
    <cfRule type="expression" dxfId="1347" priority="1248" stopIfTrue="1">
      <formula>$C398=1</formula>
    </cfRule>
    <cfRule type="expression" dxfId="1346" priority="1249" stopIfTrue="1">
      <formula>OR(AND(ISNUMBER($C398),$C398=0),$C398=2,$C398=3,$C398=4)</formula>
    </cfRule>
  </conditionalFormatting>
  <conditionalFormatting sqref="AL398:AL406">
    <cfRule type="expression" dxfId="1345" priority="1250" stopIfTrue="1">
      <formula>TIPOORCAMENTO="PROPOSTO"</formula>
    </cfRule>
    <cfRule type="expression" dxfId="1344" priority="1251" stopIfTrue="1">
      <formula>$C398=1</formula>
    </cfRule>
    <cfRule type="expression" dxfId="1343" priority="1252" stopIfTrue="1">
      <formula>OR(AND(ISNUMBER($C398),$C398=0),$C398=2,$C398=3,$C398=4)</formula>
    </cfRule>
  </conditionalFormatting>
  <conditionalFormatting sqref="AM398:AN406">
    <cfRule type="expression" dxfId="1342" priority="1253" stopIfTrue="1">
      <formula>TIPOORCAMENTO="PROPOSTO"</formula>
    </cfRule>
    <cfRule type="expression" dxfId="1341" priority="1254" stopIfTrue="1">
      <formula>$C398=1</formula>
    </cfRule>
    <cfRule type="expression" dxfId="1340" priority="1255" stopIfTrue="1">
      <formula>OR(AND(ISNUMBER($C398),$C398=0),$C398=2,$C398=3,$C398=4)</formula>
    </cfRule>
  </conditionalFormatting>
  <conditionalFormatting sqref="M407:M415">
    <cfRule type="cellIs" dxfId="1339" priority="1222" stopIfTrue="1" operator="notEqual">
      <formula>$N407</formula>
    </cfRule>
  </conditionalFormatting>
  <conditionalFormatting sqref="N407:O415 W407:X415">
    <cfRule type="expression" dxfId="1338" priority="1223" stopIfTrue="1">
      <formula>$C407=1</formula>
    </cfRule>
    <cfRule type="expression" dxfId="1337" priority="1224" stopIfTrue="1">
      <formula>OR($C407=0,$C407=2,$C407=3,$C407=4)</formula>
    </cfRule>
  </conditionalFormatting>
  <conditionalFormatting sqref="T407:T415 AG407:AH415">
    <cfRule type="expression" dxfId="1336" priority="1228" stopIfTrue="1">
      <formula>$C407=1</formula>
    </cfRule>
    <cfRule type="expression" dxfId="1335" priority="1229" stopIfTrue="1">
      <formula>OR($C407=0,$C407=2,$C407=3,$C407=4)</formula>
    </cfRule>
  </conditionalFormatting>
  <conditionalFormatting sqref="AJ407:AJ415">
    <cfRule type="expression" dxfId="1334" priority="1230" stopIfTrue="1">
      <formula>OR(ACOMPANHAMENTO&lt;&gt;"BM",TIPOORCAMENTO="Licitado")</formula>
    </cfRule>
    <cfRule type="expression" dxfId="1333" priority="1231" stopIfTrue="1">
      <formula>$C407=1</formula>
    </cfRule>
    <cfRule type="expression" dxfId="1332" priority="1232" stopIfTrue="1">
      <formula>OR(AND(ISNUMBER($C407),$C407=0),$C407=2,$C407=3,$C407=4)</formula>
    </cfRule>
  </conditionalFormatting>
  <conditionalFormatting sqref="AL407:AL415">
    <cfRule type="expression" dxfId="1331" priority="1233" stopIfTrue="1">
      <formula>TIPOORCAMENTO="PROPOSTO"</formula>
    </cfRule>
    <cfRule type="expression" dxfId="1330" priority="1234" stopIfTrue="1">
      <formula>$C407=1</formula>
    </cfRule>
    <cfRule type="expression" dxfId="1329" priority="1235" stopIfTrue="1">
      <formula>OR(AND(ISNUMBER($C407),$C407=0),$C407=2,$C407=3,$C407=4)</formula>
    </cfRule>
  </conditionalFormatting>
  <conditionalFormatting sqref="AM407:AN415">
    <cfRule type="expression" dxfId="1328" priority="1236" stopIfTrue="1">
      <formula>TIPOORCAMENTO="PROPOSTO"</formula>
    </cfRule>
    <cfRule type="expression" dxfId="1327" priority="1237" stopIfTrue="1">
      <formula>$C407=1</formula>
    </cfRule>
    <cfRule type="expression" dxfId="1326" priority="1238" stopIfTrue="1">
      <formula>OR(AND(ISNUMBER($C407),$C407=0),$C407=2,$C407=3,$C407=4)</formula>
    </cfRule>
  </conditionalFormatting>
  <conditionalFormatting sqref="M416:M424">
    <cfRule type="cellIs" dxfId="1325" priority="1205" stopIfTrue="1" operator="notEqual">
      <formula>$N416</formula>
    </cfRule>
  </conditionalFormatting>
  <conditionalFormatting sqref="N416:O424 W416:X424">
    <cfRule type="expression" dxfId="1324" priority="1206" stopIfTrue="1">
      <formula>$C416=1</formula>
    </cfRule>
    <cfRule type="expression" dxfId="1323" priority="1207" stopIfTrue="1">
      <formula>OR($C416=0,$C416=2,$C416=3,$C416=4)</formula>
    </cfRule>
  </conditionalFormatting>
  <conditionalFormatting sqref="T416:T424 AG416:AH424">
    <cfRule type="expression" dxfId="1322" priority="1211" stopIfTrue="1">
      <formula>$C416=1</formula>
    </cfRule>
    <cfRule type="expression" dxfId="1321" priority="1212" stopIfTrue="1">
      <formula>OR($C416=0,$C416=2,$C416=3,$C416=4)</formula>
    </cfRule>
  </conditionalFormatting>
  <conditionalFormatting sqref="AJ416:AJ424">
    <cfRule type="expression" dxfId="1320" priority="1213" stopIfTrue="1">
      <formula>OR(ACOMPANHAMENTO&lt;&gt;"BM",TIPOORCAMENTO="Licitado")</formula>
    </cfRule>
    <cfRule type="expression" dxfId="1319" priority="1214" stopIfTrue="1">
      <formula>$C416=1</formula>
    </cfRule>
    <cfRule type="expression" dxfId="1318" priority="1215" stopIfTrue="1">
      <formula>OR(AND(ISNUMBER($C416),$C416=0),$C416=2,$C416=3,$C416=4)</formula>
    </cfRule>
  </conditionalFormatting>
  <conditionalFormatting sqref="AL416:AL424">
    <cfRule type="expression" dxfId="1317" priority="1216" stopIfTrue="1">
      <formula>TIPOORCAMENTO="PROPOSTO"</formula>
    </cfRule>
    <cfRule type="expression" dxfId="1316" priority="1217" stopIfTrue="1">
      <formula>$C416=1</formula>
    </cfRule>
    <cfRule type="expression" dxfId="1315" priority="1218" stopIfTrue="1">
      <formula>OR(AND(ISNUMBER($C416),$C416=0),$C416=2,$C416=3,$C416=4)</formula>
    </cfRule>
  </conditionalFormatting>
  <conditionalFormatting sqref="AM416:AN424">
    <cfRule type="expression" dxfId="1314" priority="1219" stopIfTrue="1">
      <formula>TIPOORCAMENTO="PROPOSTO"</formula>
    </cfRule>
    <cfRule type="expression" dxfId="1313" priority="1220" stopIfTrue="1">
      <formula>$C416=1</formula>
    </cfRule>
    <cfRule type="expression" dxfId="1312" priority="1221" stopIfTrue="1">
      <formula>OR(AND(ISNUMBER($C416),$C416=0),$C416=2,$C416=3,$C416=4)</formula>
    </cfRule>
  </conditionalFormatting>
  <conditionalFormatting sqref="M425 M429:M436">
    <cfRule type="cellIs" dxfId="1311" priority="1188" stopIfTrue="1" operator="notEqual">
      <formula>$N425</formula>
    </cfRule>
  </conditionalFormatting>
  <conditionalFormatting sqref="N425:O425 W425:X425 W429:X436 N429:O436">
    <cfRule type="expression" dxfId="1310" priority="1189" stopIfTrue="1">
      <formula>$C425=1</formula>
    </cfRule>
    <cfRule type="expression" dxfId="1309" priority="1190" stopIfTrue="1">
      <formula>OR($C425=0,$C425=2,$C425=3,$C425=4)</formula>
    </cfRule>
  </conditionalFormatting>
  <conditionalFormatting sqref="AG425:AH425 T425 T429:T436 AG429:AH436">
    <cfRule type="expression" dxfId="1308" priority="1194" stopIfTrue="1">
      <formula>$C425=1</formula>
    </cfRule>
    <cfRule type="expression" dxfId="1307" priority="1195" stopIfTrue="1">
      <formula>OR($C425=0,$C425=2,$C425=3,$C425=4)</formula>
    </cfRule>
  </conditionalFormatting>
  <conditionalFormatting sqref="AJ425 AJ429:AJ436">
    <cfRule type="expression" dxfId="1306" priority="1196" stopIfTrue="1">
      <formula>OR(ACOMPANHAMENTO&lt;&gt;"BM",TIPOORCAMENTO="Licitado")</formula>
    </cfRule>
    <cfRule type="expression" dxfId="1305" priority="1197" stopIfTrue="1">
      <formula>$C425=1</formula>
    </cfRule>
    <cfRule type="expression" dxfId="1304" priority="1198" stopIfTrue="1">
      <formula>OR(AND(ISNUMBER($C425),$C425=0),$C425=2,$C425=3,$C425=4)</formula>
    </cfRule>
  </conditionalFormatting>
  <conditionalFormatting sqref="AL425 AL429:AL436">
    <cfRule type="expression" dxfId="1303" priority="1199" stopIfTrue="1">
      <formula>TIPOORCAMENTO="PROPOSTO"</formula>
    </cfRule>
    <cfRule type="expression" dxfId="1302" priority="1200" stopIfTrue="1">
      <formula>$C425=1</formula>
    </cfRule>
    <cfRule type="expression" dxfId="1301" priority="1201" stopIfTrue="1">
      <formula>OR(AND(ISNUMBER($C425),$C425=0),$C425=2,$C425=3,$C425=4)</formula>
    </cfRule>
  </conditionalFormatting>
  <conditionalFormatting sqref="AM425:AN425 AM429:AN436">
    <cfRule type="expression" dxfId="1300" priority="1202" stopIfTrue="1">
      <formula>TIPOORCAMENTO="PROPOSTO"</formula>
    </cfRule>
    <cfRule type="expression" dxfId="1299" priority="1203" stopIfTrue="1">
      <formula>$C425=1</formula>
    </cfRule>
    <cfRule type="expression" dxfId="1298" priority="1204" stopIfTrue="1">
      <formula>OR(AND(ISNUMBER($C425),$C425=0),$C425=2,$C425=3,$C425=4)</formula>
    </cfRule>
  </conditionalFormatting>
  <conditionalFormatting sqref="M437:M445">
    <cfRule type="cellIs" dxfId="1297" priority="1171" stopIfTrue="1" operator="notEqual">
      <formula>$N437</formula>
    </cfRule>
  </conditionalFormatting>
  <conditionalFormatting sqref="N437:O445 W437:X445">
    <cfRule type="expression" dxfId="1296" priority="1172" stopIfTrue="1">
      <formula>$C437=1</formula>
    </cfRule>
    <cfRule type="expression" dxfId="1295" priority="1173" stopIfTrue="1">
      <formula>OR($C437=0,$C437=2,$C437=3,$C437=4)</formula>
    </cfRule>
  </conditionalFormatting>
  <conditionalFormatting sqref="T437:T445 AG437:AH445">
    <cfRule type="expression" dxfId="1294" priority="1177" stopIfTrue="1">
      <formula>$C437=1</formula>
    </cfRule>
    <cfRule type="expression" dxfId="1293" priority="1178" stopIfTrue="1">
      <formula>OR($C437=0,$C437=2,$C437=3,$C437=4)</formula>
    </cfRule>
  </conditionalFormatting>
  <conditionalFormatting sqref="AJ437:AJ445">
    <cfRule type="expression" dxfId="1292" priority="1179" stopIfTrue="1">
      <formula>OR(ACOMPANHAMENTO&lt;&gt;"BM",TIPOORCAMENTO="Licitado")</formula>
    </cfRule>
    <cfRule type="expression" dxfId="1291" priority="1180" stopIfTrue="1">
      <formula>$C437=1</formula>
    </cfRule>
    <cfRule type="expression" dxfId="1290" priority="1181" stopIfTrue="1">
      <formula>OR(AND(ISNUMBER($C437),$C437=0),$C437=2,$C437=3,$C437=4)</formula>
    </cfRule>
  </conditionalFormatting>
  <conditionalFormatting sqref="AL437:AL445">
    <cfRule type="expression" dxfId="1289" priority="1182" stopIfTrue="1">
      <formula>TIPOORCAMENTO="PROPOSTO"</formula>
    </cfRule>
    <cfRule type="expression" dxfId="1288" priority="1183" stopIfTrue="1">
      <formula>$C437=1</formula>
    </cfRule>
    <cfRule type="expression" dxfId="1287" priority="1184" stopIfTrue="1">
      <formula>OR(AND(ISNUMBER($C437),$C437=0),$C437=2,$C437=3,$C437=4)</formula>
    </cfRule>
  </conditionalFormatting>
  <conditionalFormatting sqref="AM437:AN445">
    <cfRule type="expression" dxfId="1286" priority="1185" stopIfTrue="1">
      <formula>TIPOORCAMENTO="PROPOSTO"</formula>
    </cfRule>
    <cfRule type="expression" dxfId="1285" priority="1186" stopIfTrue="1">
      <formula>$C437=1</formula>
    </cfRule>
    <cfRule type="expression" dxfId="1284" priority="1187" stopIfTrue="1">
      <formula>OR(AND(ISNUMBER($C437),$C437=0),$C437=2,$C437=3,$C437=4)</formula>
    </cfRule>
  </conditionalFormatting>
  <conditionalFormatting sqref="M446:M454">
    <cfRule type="cellIs" dxfId="1283" priority="1154" stopIfTrue="1" operator="notEqual">
      <formula>$N446</formula>
    </cfRule>
  </conditionalFormatting>
  <conditionalFormatting sqref="N446:O454 W446:X454">
    <cfRule type="expression" dxfId="1282" priority="1155" stopIfTrue="1">
      <formula>$C446=1</formula>
    </cfRule>
    <cfRule type="expression" dxfId="1281" priority="1156" stopIfTrue="1">
      <formula>OR($C446=0,$C446=2,$C446=3,$C446=4)</formula>
    </cfRule>
  </conditionalFormatting>
  <conditionalFormatting sqref="AG446:AH454 T446:T454">
    <cfRule type="expression" dxfId="1280" priority="1160" stopIfTrue="1">
      <formula>$C446=1</formula>
    </cfRule>
    <cfRule type="expression" dxfId="1279" priority="1161" stopIfTrue="1">
      <formula>OR($C446=0,$C446=2,$C446=3,$C446=4)</formula>
    </cfRule>
  </conditionalFormatting>
  <conditionalFormatting sqref="AJ446:AJ454">
    <cfRule type="expression" dxfId="1278" priority="1162" stopIfTrue="1">
      <formula>OR(ACOMPANHAMENTO&lt;&gt;"BM",TIPOORCAMENTO="Licitado")</formula>
    </cfRule>
    <cfRule type="expression" dxfId="1277" priority="1163" stopIfTrue="1">
      <formula>$C446=1</formula>
    </cfRule>
    <cfRule type="expression" dxfId="1276" priority="1164" stopIfTrue="1">
      <formula>OR(AND(ISNUMBER($C446),$C446=0),$C446=2,$C446=3,$C446=4)</formula>
    </cfRule>
  </conditionalFormatting>
  <conditionalFormatting sqref="AL446:AL454">
    <cfRule type="expression" dxfId="1275" priority="1165" stopIfTrue="1">
      <formula>TIPOORCAMENTO="PROPOSTO"</formula>
    </cfRule>
    <cfRule type="expression" dxfId="1274" priority="1166" stopIfTrue="1">
      <formula>$C446=1</formula>
    </cfRule>
    <cfRule type="expression" dxfId="1273" priority="1167" stopIfTrue="1">
      <formula>OR(AND(ISNUMBER($C446),$C446=0),$C446=2,$C446=3,$C446=4)</formula>
    </cfRule>
  </conditionalFormatting>
  <conditionalFormatting sqref="AM446:AN454">
    <cfRule type="expression" dxfId="1272" priority="1168" stopIfTrue="1">
      <formula>TIPOORCAMENTO="PROPOSTO"</formula>
    </cfRule>
    <cfRule type="expression" dxfId="1271" priority="1169" stopIfTrue="1">
      <formula>$C446=1</formula>
    </cfRule>
    <cfRule type="expression" dxfId="1270" priority="1170" stopIfTrue="1">
      <formula>OR(AND(ISNUMBER($C446),$C446=0),$C446=2,$C446=3,$C446=4)</formula>
    </cfRule>
  </conditionalFormatting>
  <conditionalFormatting sqref="M455:M463">
    <cfRule type="cellIs" dxfId="1269" priority="1137" stopIfTrue="1" operator="notEqual">
      <formula>$N455</formula>
    </cfRule>
  </conditionalFormatting>
  <conditionalFormatting sqref="N455:O463 W455:X463">
    <cfRule type="expression" dxfId="1268" priority="1138" stopIfTrue="1">
      <formula>$C455=1</formula>
    </cfRule>
    <cfRule type="expression" dxfId="1267" priority="1139" stopIfTrue="1">
      <formula>OR($C455=0,$C455=2,$C455=3,$C455=4)</formula>
    </cfRule>
  </conditionalFormatting>
  <conditionalFormatting sqref="T455:T463 AG455:AH463">
    <cfRule type="expression" dxfId="1266" priority="1143" stopIfTrue="1">
      <formula>$C455=1</formula>
    </cfRule>
    <cfRule type="expression" dxfId="1265" priority="1144" stopIfTrue="1">
      <formula>OR($C455=0,$C455=2,$C455=3,$C455=4)</formula>
    </cfRule>
  </conditionalFormatting>
  <conditionalFormatting sqref="AJ455:AJ463">
    <cfRule type="expression" dxfId="1264" priority="1145" stopIfTrue="1">
      <formula>OR(ACOMPANHAMENTO&lt;&gt;"BM",TIPOORCAMENTO="Licitado")</formula>
    </cfRule>
    <cfRule type="expression" dxfId="1263" priority="1146" stopIfTrue="1">
      <formula>$C455=1</formula>
    </cfRule>
    <cfRule type="expression" dxfId="1262" priority="1147" stopIfTrue="1">
      <formula>OR(AND(ISNUMBER($C455),$C455=0),$C455=2,$C455=3,$C455=4)</formula>
    </cfRule>
  </conditionalFormatting>
  <conditionalFormatting sqref="AL455:AL463">
    <cfRule type="expression" dxfId="1261" priority="1148" stopIfTrue="1">
      <formula>TIPOORCAMENTO="PROPOSTO"</formula>
    </cfRule>
    <cfRule type="expression" dxfId="1260" priority="1149" stopIfTrue="1">
      <formula>$C455=1</formula>
    </cfRule>
    <cfRule type="expression" dxfId="1259" priority="1150" stopIfTrue="1">
      <formula>OR(AND(ISNUMBER($C455),$C455=0),$C455=2,$C455=3,$C455=4)</formula>
    </cfRule>
  </conditionalFormatting>
  <conditionalFormatting sqref="AM455:AN463">
    <cfRule type="expression" dxfId="1258" priority="1151" stopIfTrue="1">
      <formula>TIPOORCAMENTO="PROPOSTO"</formula>
    </cfRule>
    <cfRule type="expression" dxfId="1257" priority="1152" stopIfTrue="1">
      <formula>$C455=1</formula>
    </cfRule>
    <cfRule type="expression" dxfId="1256" priority="1153" stopIfTrue="1">
      <formula>OR(AND(ISNUMBER($C455),$C455=0),$C455=2,$C455=3,$C455=4)</formula>
    </cfRule>
  </conditionalFormatting>
  <conditionalFormatting sqref="M464:M472">
    <cfRule type="cellIs" dxfId="1255" priority="1120" stopIfTrue="1" operator="notEqual">
      <formula>$N464</formula>
    </cfRule>
  </conditionalFormatting>
  <conditionalFormatting sqref="N464:O472 W464:X472">
    <cfRule type="expression" dxfId="1254" priority="1121" stopIfTrue="1">
      <formula>$C464=1</formula>
    </cfRule>
    <cfRule type="expression" dxfId="1253" priority="1122" stopIfTrue="1">
      <formula>OR($C464=0,$C464=2,$C464=3,$C464=4)</formula>
    </cfRule>
  </conditionalFormatting>
  <conditionalFormatting sqref="T464:T472 AG464:AH472">
    <cfRule type="expression" dxfId="1252" priority="1126" stopIfTrue="1">
      <formula>$C464=1</formula>
    </cfRule>
    <cfRule type="expression" dxfId="1251" priority="1127" stopIfTrue="1">
      <formula>OR($C464=0,$C464=2,$C464=3,$C464=4)</formula>
    </cfRule>
  </conditionalFormatting>
  <conditionalFormatting sqref="AJ464:AJ472">
    <cfRule type="expression" dxfId="1250" priority="1128" stopIfTrue="1">
      <formula>OR(ACOMPANHAMENTO&lt;&gt;"BM",TIPOORCAMENTO="Licitado")</formula>
    </cfRule>
    <cfRule type="expression" dxfId="1249" priority="1129" stopIfTrue="1">
      <formula>$C464=1</formula>
    </cfRule>
    <cfRule type="expression" dxfId="1248" priority="1130" stopIfTrue="1">
      <formula>OR(AND(ISNUMBER($C464),$C464=0),$C464=2,$C464=3,$C464=4)</formula>
    </cfRule>
  </conditionalFormatting>
  <conditionalFormatting sqref="AL464:AL472">
    <cfRule type="expression" dxfId="1247" priority="1131" stopIfTrue="1">
      <formula>TIPOORCAMENTO="PROPOSTO"</formula>
    </cfRule>
    <cfRule type="expression" dxfId="1246" priority="1132" stopIfTrue="1">
      <formula>$C464=1</formula>
    </cfRule>
    <cfRule type="expression" dxfId="1245" priority="1133" stopIfTrue="1">
      <formula>OR(AND(ISNUMBER($C464),$C464=0),$C464=2,$C464=3,$C464=4)</formula>
    </cfRule>
  </conditionalFormatting>
  <conditionalFormatting sqref="AM464:AN472">
    <cfRule type="expression" dxfId="1244" priority="1134" stopIfTrue="1">
      <formula>TIPOORCAMENTO="PROPOSTO"</formula>
    </cfRule>
    <cfRule type="expression" dxfId="1243" priority="1135" stopIfTrue="1">
      <formula>$C464=1</formula>
    </cfRule>
    <cfRule type="expression" dxfId="1242" priority="1136" stopIfTrue="1">
      <formula>OR(AND(ISNUMBER($C464),$C464=0),$C464=2,$C464=3,$C464=4)</formula>
    </cfRule>
  </conditionalFormatting>
  <conditionalFormatting sqref="M473:M481">
    <cfRule type="cellIs" dxfId="1241" priority="1103" stopIfTrue="1" operator="notEqual">
      <formula>$N473</formula>
    </cfRule>
  </conditionalFormatting>
  <conditionalFormatting sqref="N473:O481 W473:X481">
    <cfRule type="expression" dxfId="1240" priority="1104" stopIfTrue="1">
      <formula>$C473=1</formula>
    </cfRule>
    <cfRule type="expression" dxfId="1239" priority="1105" stopIfTrue="1">
      <formula>OR($C473=0,$C473=2,$C473=3,$C473=4)</formula>
    </cfRule>
  </conditionalFormatting>
  <conditionalFormatting sqref="T473:T481 AG473:AH481">
    <cfRule type="expression" dxfId="1238" priority="1109" stopIfTrue="1">
      <formula>$C473=1</formula>
    </cfRule>
    <cfRule type="expression" dxfId="1237" priority="1110" stopIfTrue="1">
      <formula>OR($C473=0,$C473=2,$C473=3,$C473=4)</formula>
    </cfRule>
  </conditionalFormatting>
  <conditionalFormatting sqref="AJ473:AJ481">
    <cfRule type="expression" dxfId="1236" priority="1111" stopIfTrue="1">
      <formula>OR(ACOMPANHAMENTO&lt;&gt;"BM",TIPOORCAMENTO="Licitado")</formula>
    </cfRule>
    <cfRule type="expression" dxfId="1235" priority="1112" stopIfTrue="1">
      <formula>$C473=1</formula>
    </cfRule>
    <cfRule type="expression" dxfId="1234" priority="1113" stopIfTrue="1">
      <formula>OR(AND(ISNUMBER($C473),$C473=0),$C473=2,$C473=3,$C473=4)</formula>
    </cfRule>
  </conditionalFormatting>
  <conditionalFormatting sqref="AL473:AL481">
    <cfRule type="expression" dxfId="1233" priority="1114" stopIfTrue="1">
      <formula>TIPOORCAMENTO="PROPOSTO"</formula>
    </cfRule>
    <cfRule type="expression" dxfId="1232" priority="1115" stopIfTrue="1">
      <formula>$C473=1</formula>
    </cfRule>
    <cfRule type="expression" dxfId="1231" priority="1116" stopIfTrue="1">
      <formula>OR(AND(ISNUMBER($C473),$C473=0),$C473=2,$C473=3,$C473=4)</formula>
    </cfRule>
  </conditionalFormatting>
  <conditionalFormatting sqref="AM473:AN481">
    <cfRule type="expression" dxfId="1230" priority="1117" stopIfTrue="1">
      <formula>TIPOORCAMENTO="PROPOSTO"</formula>
    </cfRule>
    <cfRule type="expression" dxfId="1229" priority="1118" stopIfTrue="1">
      <formula>$C473=1</formula>
    </cfRule>
    <cfRule type="expression" dxfId="1228" priority="1119" stopIfTrue="1">
      <formula>OR(AND(ISNUMBER($C473),$C473=0),$C473=2,$C473=3,$C473=4)</formula>
    </cfRule>
  </conditionalFormatting>
  <conditionalFormatting sqref="M482:M490">
    <cfRule type="cellIs" dxfId="1227" priority="1086" stopIfTrue="1" operator="notEqual">
      <formula>$N482</formula>
    </cfRule>
  </conditionalFormatting>
  <conditionalFormatting sqref="N482:O490 W482:X490">
    <cfRule type="expression" dxfId="1226" priority="1087" stopIfTrue="1">
      <formula>$C482=1</formula>
    </cfRule>
    <cfRule type="expression" dxfId="1225" priority="1088" stopIfTrue="1">
      <formula>OR($C482=0,$C482=2,$C482=3,$C482=4)</formula>
    </cfRule>
  </conditionalFormatting>
  <conditionalFormatting sqref="AG482:AH490 T482:T490">
    <cfRule type="expression" dxfId="1224" priority="1092" stopIfTrue="1">
      <formula>$C482=1</formula>
    </cfRule>
    <cfRule type="expression" dxfId="1223" priority="1093" stopIfTrue="1">
      <formula>OR($C482=0,$C482=2,$C482=3,$C482=4)</formula>
    </cfRule>
  </conditionalFormatting>
  <conditionalFormatting sqref="AJ482:AJ490">
    <cfRule type="expression" dxfId="1222" priority="1094" stopIfTrue="1">
      <formula>OR(ACOMPANHAMENTO&lt;&gt;"BM",TIPOORCAMENTO="Licitado")</formula>
    </cfRule>
    <cfRule type="expression" dxfId="1221" priority="1095" stopIfTrue="1">
      <formula>$C482=1</formula>
    </cfRule>
    <cfRule type="expression" dxfId="1220" priority="1096" stopIfTrue="1">
      <formula>OR(AND(ISNUMBER($C482),$C482=0),$C482=2,$C482=3,$C482=4)</formula>
    </cfRule>
  </conditionalFormatting>
  <conditionalFormatting sqref="AL482:AL490">
    <cfRule type="expression" dxfId="1219" priority="1097" stopIfTrue="1">
      <formula>TIPOORCAMENTO="PROPOSTO"</formula>
    </cfRule>
    <cfRule type="expression" dxfId="1218" priority="1098" stopIfTrue="1">
      <formula>$C482=1</formula>
    </cfRule>
    <cfRule type="expression" dxfId="1217" priority="1099" stopIfTrue="1">
      <formula>OR(AND(ISNUMBER($C482),$C482=0),$C482=2,$C482=3,$C482=4)</formula>
    </cfRule>
  </conditionalFormatting>
  <conditionalFormatting sqref="AM482:AN490">
    <cfRule type="expression" dxfId="1216" priority="1100" stopIfTrue="1">
      <formula>TIPOORCAMENTO="PROPOSTO"</formula>
    </cfRule>
    <cfRule type="expression" dxfId="1215" priority="1101" stopIfTrue="1">
      <formula>$C482=1</formula>
    </cfRule>
    <cfRule type="expression" dxfId="1214" priority="1102" stopIfTrue="1">
      <formula>OR(AND(ISNUMBER($C482),$C482=0),$C482=2,$C482=3,$C482=4)</formula>
    </cfRule>
  </conditionalFormatting>
  <conditionalFormatting sqref="M491:M499">
    <cfRule type="cellIs" dxfId="1213" priority="1069" stopIfTrue="1" operator="notEqual">
      <formula>$N491</formula>
    </cfRule>
  </conditionalFormatting>
  <conditionalFormatting sqref="N491:O499 W491:X499">
    <cfRule type="expression" dxfId="1212" priority="1070" stopIfTrue="1">
      <formula>$C491=1</formula>
    </cfRule>
    <cfRule type="expression" dxfId="1211" priority="1071" stopIfTrue="1">
      <formula>OR($C491=0,$C491=2,$C491=3,$C491=4)</formula>
    </cfRule>
  </conditionalFormatting>
  <conditionalFormatting sqref="AG491:AH499 T491:T499">
    <cfRule type="expression" dxfId="1210" priority="1075" stopIfTrue="1">
      <formula>$C491=1</formula>
    </cfRule>
    <cfRule type="expression" dxfId="1209" priority="1076" stopIfTrue="1">
      <formula>OR($C491=0,$C491=2,$C491=3,$C491=4)</formula>
    </cfRule>
  </conditionalFormatting>
  <conditionalFormatting sqref="AJ491:AJ499">
    <cfRule type="expression" dxfId="1208" priority="1077" stopIfTrue="1">
      <formula>OR(ACOMPANHAMENTO&lt;&gt;"BM",TIPOORCAMENTO="Licitado")</formula>
    </cfRule>
    <cfRule type="expression" dxfId="1207" priority="1078" stopIfTrue="1">
      <formula>$C491=1</formula>
    </cfRule>
    <cfRule type="expression" dxfId="1206" priority="1079" stopIfTrue="1">
      <formula>OR(AND(ISNUMBER($C491),$C491=0),$C491=2,$C491=3,$C491=4)</formula>
    </cfRule>
  </conditionalFormatting>
  <conditionalFormatting sqref="AL491:AL499">
    <cfRule type="expression" dxfId="1205" priority="1080" stopIfTrue="1">
      <formula>TIPOORCAMENTO="PROPOSTO"</formula>
    </cfRule>
    <cfRule type="expression" dxfId="1204" priority="1081" stopIfTrue="1">
      <formula>$C491=1</formula>
    </cfRule>
    <cfRule type="expression" dxfId="1203" priority="1082" stopIfTrue="1">
      <formula>OR(AND(ISNUMBER($C491),$C491=0),$C491=2,$C491=3,$C491=4)</formula>
    </cfRule>
  </conditionalFormatting>
  <conditionalFormatting sqref="AM491:AN499">
    <cfRule type="expression" dxfId="1202" priority="1083" stopIfTrue="1">
      <formula>TIPOORCAMENTO="PROPOSTO"</formula>
    </cfRule>
    <cfRule type="expression" dxfId="1201" priority="1084" stopIfTrue="1">
      <formula>$C491=1</formula>
    </cfRule>
    <cfRule type="expression" dxfId="1200" priority="1085" stopIfTrue="1">
      <formula>OR(AND(ISNUMBER($C491),$C491=0),$C491=2,$C491=3,$C491=4)</formula>
    </cfRule>
  </conditionalFormatting>
  <conditionalFormatting sqref="M500:M508">
    <cfRule type="cellIs" dxfId="1199" priority="1052" stopIfTrue="1" operator="notEqual">
      <formula>$N500</formula>
    </cfRule>
  </conditionalFormatting>
  <conditionalFormatting sqref="N500:O508 W500:X508">
    <cfRule type="expression" dxfId="1198" priority="1053" stopIfTrue="1">
      <formula>$C500=1</formula>
    </cfRule>
    <cfRule type="expression" dxfId="1197" priority="1054" stopIfTrue="1">
      <formula>OR($C500=0,$C500=2,$C500=3,$C500=4)</formula>
    </cfRule>
  </conditionalFormatting>
  <conditionalFormatting sqref="AG500:AH508 T500:T508">
    <cfRule type="expression" dxfId="1196" priority="1058" stopIfTrue="1">
      <formula>$C500=1</formula>
    </cfRule>
    <cfRule type="expression" dxfId="1195" priority="1059" stopIfTrue="1">
      <formula>OR($C500=0,$C500=2,$C500=3,$C500=4)</formula>
    </cfRule>
  </conditionalFormatting>
  <conditionalFormatting sqref="AJ500:AJ508">
    <cfRule type="expression" dxfId="1194" priority="1060" stopIfTrue="1">
      <formula>OR(ACOMPANHAMENTO&lt;&gt;"BM",TIPOORCAMENTO="Licitado")</formula>
    </cfRule>
    <cfRule type="expression" dxfId="1193" priority="1061" stopIfTrue="1">
      <formula>$C500=1</formula>
    </cfRule>
    <cfRule type="expression" dxfId="1192" priority="1062" stopIfTrue="1">
      <formula>OR(AND(ISNUMBER($C500),$C500=0),$C500=2,$C500=3,$C500=4)</formula>
    </cfRule>
  </conditionalFormatting>
  <conditionalFormatting sqref="AL500:AL508">
    <cfRule type="expression" dxfId="1191" priority="1063" stopIfTrue="1">
      <formula>TIPOORCAMENTO="PROPOSTO"</formula>
    </cfRule>
    <cfRule type="expression" dxfId="1190" priority="1064" stopIfTrue="1">
      <formula>$C500=1</formula>
    </cfRule>
    <cfRule type="expression" dxfId="1189" priority="1065" stopIfTrue="1">
      <formula>OR(AND(ISNUMBER($C500),$C500=0),$C500=2,$C500=3,$C500=4)</formula>
    </cfRule>
  </conditionalFormatting>
  <conditionalFormatting sqref="AM500:AN508">
    <cfRule type="expression" dxfId="1188" priority="1066" stopIfTrue="1">
      <formula>TIPOORCAMENTO="PROPOSTO"</formula>
    </cfRule>
    <cfRule type="expression" dxfId="1187" priority="1067" stopIfTrue="1">
      <formula>$C500=1</formula>
    </cfRule>
    <cfRule type="expression" dxfId="1186" priority="1068" stopIfTrue="1">
      <formula>OR(AND(ISNUMBER($C500),$C500=0),$C500=2,$C500=3,$C500=4)</formula>
    </cfRule>
  </conditionalFormatting>
  <conditionalFormatting sqref="M509:M517">
    <cfRule type="cellIs" dxfId="1185" priority="1035" stopIfTrue="1" operator="notEqual">
      <formula>$N509</formula>
    </cfRule>
  </conditionalFormatting>
  <conditionalFormatting sqref="N509:O517 W509:X517">
    <cfRule type="expression" dxfId="1184" priority="1036" stopIfTrue="1">
      <formula>$C509=1</formula>
    </cfRule>
    <cfRule type="expression" dxfId="1183" priority="1037" stopIfTrue="1">
      <formula>OR($C509=0,$C509=2,$C509=3,$C509=4)</formula>
    </cfRule>
  </conditionalFormatting>
  <conditionalFormatting sqref="AG509:AH517 T509:T517">
    <cfRule type="expression" dxfId="1182" priority="1041" stopIfTrue="1">
      <formula>$C509=1</formula>
    </cfRule>
    <cfRule type="expression" dxfId="1181" priority="1042" stopIfTrue="1">
      <formula>OR($C509=0,$C509=2,$C509=3,$C509=4)</formula>
    </cfRule>
  </conditionalFormatting>
  <conditionalFormatting sqref="AJ509:AJ517">
    <cfRule type="expression" dxfId="1180" priority="1043" stopIfTrue="1">
      <formula>OR(ACOMPANHAMENTO&lt;&gt;"BM",TIPOORCAMENTO="Licitado")</formula>
    </cfRule>
    <cfRule type="expression" dxfId="1179" priority="1044" stopIfTrue="1">
      <formula>$C509=1</formula>
    </cfRule>
    <cfRule type="expression" dxfId="1178" priority="1045" stopIfTrue="1">
      <formula>OR(AND(ISNUMBER($C509),$C509=0),$C509=2,$C509=3,$C509=4)</formula>
    </cfRule>
  </conditionalFormatting>
  <conditionalFormatting sqref="AL509:AL517">
    <cfRule type="expression" dxfId="1177" priority="1046" stopIfTrue="1">
      <formula>TIPOORCAMENTO="PROPOSTO"</formula>
    </cfRule>
    <cfRule type="expression" dxfId="1176" priority="1047" stopIfTrue="1">
      <formula>$C509=1</formula>
    </cfRule>
    <cfRule type="expression" dxfId="1175" priority="1048" stopIfTrue="1">
      <formula>OR(AND(ISNUMBER($C509),$C509=0),$C509=2,$C509=3,$C509=4)</formula>
    </cfRule>
  </conditionalFormatting>
  <conditionalFormatting sqref="AM509:AN517">
    <cfRule type="expression" dxfId="1174" priority="1049" stopIfTrue="1">
      <formula>TIPOORCAMENTO="PROPOSTO"</formula>
    </cfRule>
    <cfRule type="expression" dxfId="1173" priority="1050" stopIfTrue="1">
      <formula>$C509=1</formula>
    </cfRule>
    <cfRule type="expression" dxfId="1172" priority="1051" stopIfTrue="1">
      <formula>OR(AND(ISNUMBER($C509),$C509=0),$C509=2,$C509=3,$C509=4)</formula>
    </cfRule>
  </conditionalFormatting>
  <conditionalFormatting sqref="M518:M526">
    <cfRule type="cellIs" dxfId="1171" priority="1018" stopIfTrue="1" operator="notEqual">
      <formula>$N518</formula>
    </cfRule>
  </conditionalFormatting>
  <conditionalFormatting sqref="N518:O526 W518:X526">
    <cfRule type="expression" dxfId="1170" priority="1019" stopIfTrue="1">
      <formula>$C518=1</formula>
    </cfRule>
    <cfRule type="expression" dxfId="1169" priority="1020" stopIfTrue="1">
      <formula>OR($C518=0,$C518=2,$C518=3,$C518=4)</formula>
    </cfRule>
  </conditionalFormatting>
  <conditionalFormatting sqref="AG518:AH526 T518:T526">
    <cfRule type="expression" dxfId="1168" priority="1024" stopIfTrue="1">
      <formula>$C518=1</formula>
    </cfRule>
    <cfRule type="expression" dxfId="1167" priority="1025" stopIfTrue="1">
      <formula>OR($C518=0,$C518=2,$C518=3,$C518=4)</formula>
    </cfRule>
  </conditionalFormatting>
  <conditionalFormatting sqref="AJ518:AJ526">
    <cfRule type="expression" dxfId="1166" priority="1026" stopIfTrue="1">
      <formula>OR(ACOMPANHAMENTO&lt;&gt;"BM",TIPOORCAMENTO="Licitado")</formula>
    </cfRule>
    <cfRule type="expression" dxfId="1165" priority="1027" stopIfTrue="1">
      <formula>$C518=1</formula>
    </cfRule>
    <cfRule type="expression" dxfId="1164" priority="1028" stopIfTrue="1">
      <formula>OR(AND(ISNUMBER($C518),$C518=0),$C518=2,$C518=3,$C518=4)</formula>
    </cfRule>
  </conditionalFormatting>
  <conditionalFormatting sqref="AL518:AL526">
    <cfRule type="expression" dxfId="1163" priority="1029" stopIfTrue="1">
      <formula>TIPOORCAMENTO="PROPOSTO"</formula>
    </cfRule>
    <cfRule type="expression" dxfId="1162" priority="1030" stopIfTrue="1">
      <formula>$C518=1</formula>
    </cfRule>
    <cfRule type="expression" dxfId="1161" priority="1031" stopIfTrue="1">
      <formula>OR(AND(ISNUMBER($C518),$C518=0),$C518=2,$C518=3,$C518=4)</formula>
    </cfRule>
  </conditionalFormatting>
  <conditionalFormatting sqref="AM518:AN526">
    <cfRule type="expression" dxfId="1160" priority="1032" stopIfTrue="1">
      <formula>TIPOORCAMENTO="PROPOSTO"</formula>
    </cfRule>
    <cfRule type="expression" dxfId="1159" priority="1033" stopIfTrue="1">
      <formula>$C518=1</formula>
    </cfRule>
    <cfRule type="expression" dxfId="1158" priority="1034" stopIfTrue="1">
      <formula>OR(AND(ISNUMBER($C518),$C518=0),$C518=2,$C518=3,$C518=4)</formula>
    </cfRule>
  </conditionalFormatting>
  <conditionalFormatting sqref="M527:M535">
    <cfRule type="cellIs" dxfId="1157" priority="1001" stopIfTrue="1" operator="notEqual">
      <formula>$N527</formula>
    </cfRule>
  </conditionalFormatting>
  <conditionalFormatting sqref="N527:O535 W527:X535">
    <cfRule type="expression" dxfId="1156" priority="1002" stopIfTrue="1">
      <formula>$C527=1</formula>
    </cfRule>
    <cfRule type="expression" dxfId="1155" priority="1003" stopIfTrue="1">
      <formula>OR($C527=0,$C527=2,$C527=3,$C527=4)</formula>
    </cfRule>
  </conditionalFormatting>
  <conditionalFormatting sqref="AG527:AH535 T527:T535">
    <cfRule type="expression" dxfId="1154" priority="1007" stopIfTrue="1">
      <formula>$C527=1</formula>
    </cfRule>
    <cfRule type="expression" dxfId="1153" priority="1008" stopIfTrue="1">
      <formula>OR($C527=0,$C527=2,$C527=3,$C527=4)</formula>
    </cfRule>
  </conditionalFormatting>
  <conditionalFormatting sqref="AJ527:AJ535">
    <cfRule type="expression" dxfId="1152" priority="1009" stopIfTrue="1">
      <formula>OR(ACOMPANHAMENTO&lt;&gt;"BM",TIPOORCAMENTO="Licitado")</formula>
    </cfRule>
    <cfRule type="expression" dxfId="1151" priority="1010" stopIfTrue="1">
      <formula>$C527=1</formula>
    </cfRule>
    <cfRule type="expression" dxfId="1150" priority="1011" stopIfTrue="1">
      <formula>OR(AND(ISNUMBER($C527),$C527=0),$C527=2,$C527=3,$C527=4)</formula>
    </cfRule>
  </conditionalFormatting>
  <conditionalFormatting sqref="AL527:AL535">
    <cfRule type="expression" dxfId="1149" priority="1012" stopIfTrue="1">
      <formula>TIPOORCAMENTO="PROPOSTO"</formula>
    </cfRule>
    <cfRule type="expression" dxfId="1148" priority="1013" stopIfTrue="1">
      <formula>$C527=1</formula>
    </cfRule>
    <cfRule type="expression" dxfId="1147" priority="1014" stopIfTrue="1">
      <formula>OR(AND(ISNUMBER($C527),$C527=0),$C527=2,$C527=3,$C527=4)</formula>
    </cfRule>
  </conditionalFormatting>
  <conditionalFormatting sqref="AM527:AN535">
    <cfRule type="expression" dxfId="1146" priority="1015" stopIfTrue="1">
      <formula>TIPOORCAMENTO="PROPOSTO"</formula>
    </cfRule>
    <cfRule type="expression" dxfId="1145" priority="1016" stopIfTrue="1">
      <formula>$C527=1</formula>
    </cfRule>
    <cfRule type="expression" dxfId="1144" priority="1017" stopIfTrue="1">
      <formula>OR(AND(ISNUMBER($C527),$C527=0),$C527=2,$C527=3,$C527=4)</formula>
    </cfRule>
  </conditionalFormatting>
  <conditionalFormatting sqref="M536:M544">
    <cfRule type="cellIs" dxfId="1143" priority="984" stopIfTrue="1" operator="notEqual">
      <formula>$N536</formula>
    </cfRule>
  </conditionalFormatting>
  <conditionalFormatting sqref="N536:O544 W536:X544">
    <cfRule type="expression" dxfId="1142" priority="985" stopIfTrue="1">
      <formula>$C536=1</formula>
    </cfRule>
    <cfRule type="expression" dxfId="1141" priority="986" stopIfTrue="1">
      <formula>OR($C536=0,$C536=2,$C536=3,$C536=4)</formula>
    </cfRule>
  </conditionalFormatting>
  <conditionalFormatting sqref="T536:T544 AG536:AH544">
    <cfRule type="expression" dxfId="1140" priority="990" stopIfTrue="1">
      <formula>$C536=1</formula>
    </cfRule>
    <cfRule type="expression" dxfId="1139" priority="991" stopIfTrue="1">
      <formula>OR($C536=0,$C536=2,$C536=3,$C536=4)</formula>
    </cfRule>
  </conditionalFormatting>
  <conditionalFormatting sqref="AJ536:AJ544">
    <cfRule type="expression" dxfId="1138" priority="992" stopIfTrue="1">
      <formula>OR(ACOMPANHAMENTO&lt;&gt;"BM",TIPOORCAMENTO="Licitado")</formula>
    </cfRule>
    <cfRule type="expression" dxfId="1137" priority="993" stopIfTrue="1">
      <formula>$C536=1</formula>
    </cfRule>
    <cfRule type="expression" dxfId="1136" priority="994" stopIfTrue="1">
      <formula>OR(AND(ISNUMBER($C536),$C536=0),$C536=2,$C536=3,$C536=4)</formula>
    </cfRule>
  </conditionalFormatting>
  <conditionalFormatting sqref="AL536:AL544">
    <cfRule type="expression" dxfId="1135" priority="995" stopIfTrue="1">
      <formula>TIPOORCAMENTO="PROPOSTO"</formula>
    </cfRule>
    <cfRule type="expression" dxfId="1134" priority="996" stopIfTrue="1">
      <formula>$C536=1</formula>
    </cfRule>
    <cfRule type="expression" dxfId="1133" priority="997" stopIfTrue="1">
      <formula>OR(AND(ISNUMBER($C536),$C536=0),$C536=2,$C536=3,$C536=4)</formula>
    </cfRule>
  </conditionalFormatting>
  <conditionalFormatting sqref="AM536:AN544">
    <cfRule type="expression" dxfId="1132" priority="998" stopIfTrue="1">
      <formula>TIPOORCAMENTO="PROPOSTO"</formula>
    </cfRule>
    <cfRule type="expression" dxfId="1131" priority="999" stopIfTrue="1">
      <formula>$C536=1</formula>
    </cfRule>
    <cfRule type="expression" dxfId="1130" priority="1000" stopIfTrue="1">
      <formula>OR(AND(ISNUMBER($C536),$C536=0),$C536=2,$C536=3,$C536=4)</formula>
    </cfRule>
  </conditionalFormatting>
  <conditionalFormatting sqref="M545:M553">
    <cfRule type="cellIs" dxfId="1129" priority="967" stopIfTrue="1" operator="notEqual">
      <formula>$N545</formula>
    </cfRule>
  </conditionalFormatting>
  <conditionalFormatting sqref="N545:O553 W545:X553">
    <cfRule type="expression" dxfId="1128" priority="968" stopIfTrue="1">
      <formula>$C545=1</formula>
    </cfRule>
    <cfRule type="expression" dxfId="1127" priority="969" stopIfTrue="1">
      <formula>OR($C545=0,$C545=2,$C545=3,$C545=4)</formula>
    </cfRule>
  </conditionalFormatting>
  <conditionalFormatting sqref="T545:T553 AG545:AH553">
    <cfRule type="expression" dxfId="1126" priority="973" stopIfTrue="1">
      <formula>$C545=1</formula>
    </cfRule>
    <cfRule type="expression" dxfId="1125" priority="974" stopIfTrue="1">
      <formula>OR($C545=0,$C545=2,$C545=3,$C545=4)</formula>
    </cfRule>
  </conditionalFormatting>
  <conditionalFormatting sqref="AJ545:AJ553">
    <cfRule type="expression" dxfId="1124" priority="975" stopIfTrue="1">
      <formula>OR(ACOMPANHAMENTO&lt;&gt;"BM",TIPOORCAMENTO="Licitado")</formula>
    </cfRule>
    <cfRule type="expression" dxfId="1123" priority="976" stopIfTrue="1">
      <formula>$C545=1</formula>
    </cfRule>
    <cfRule type="expression" dxfId="1122" priority="977" stopIfTrue="1">
      <formula>OR(AND(ISNUMBER($C545),$C545=0),$C545=2,$C545=3,$C545=4)</formula>
    </cfRule>
  </conditionalFormatting>
  <conditionalFormatting sqref="AL545:AL553">
    <cfRule type="expression" dxfId="1121" priority="978" stopIfTrue="1">
      <formula>TIPOORCAMENTO="PROPOSTO"</formula>
    </cfRule>
    <cfRule type="expression" dxfId="1120" priority="979" stopIfTrue="1">
      <formula>$C545=1</formula>
    </cfRule>
    <cfRule type="expression" dxfId="1119" priority="980" stopIfTrue="1">
      <formula>OR(AND(ISNUMBER($C545),$C545=0),$C545=2,$C545=3,$C545=4)</formula>
    </cfRule>
  </conditionalFormatting>
  <conditionalFormatting sqref="AM545:AN553">
    <cfRule type="expression" dxfId="1118" priority="981" stopIfTrue="1">
      <formula>TIPOORCAMENTO="PROPOSTO"</formula>
    </cfRule>
    <cfRule type="expression" dxfId="1117" priority="982" stopIfTrue="1">
      <formula>$C545=1</formula>
    </cfRule>
    <cfRule type="expression" dxfId="1116" priority="983" stopIfTrue="1">
      <formula>OR(AND(ISNUMBER($C545),$C545=0),$C545=2,$C545=3,$C545=4)</formula>
    </cfRule>
  </conditionalFormatting>
  <conditionalFormatting sqref="M554:M562">
    <cfRule type="cellIs" dxfId="1115" priority="950" stopIfTrue="1" operator="notEqual">
      <formula>$N554</formula>
    </cfRule>
  </conditionalFormatting>
  <conditionalFormatting sqref="N554:O562 W554:X562">
    <cfRule type="expression" dxfId="1114" priority="951" stopIfTrue="1">
      <formula>$C554=1</formula>
    </cfRule>
    <cfRule type="expression" dxfId="1113" priority="952" stopIfTrue="1">
      <formula>OR($C554=0,$C554=2,$C554=3,$C554=4)</formula>
    </cfRule>
  </conditionalFormatting>
  <conditionalFormatting sqref="AG554:AH562 T554:T562">
    <cfRule type="expression" dxfId="1112" priority="956" stopIfTrue="1">
      <formula>$C554=1</formula>
    </cfRule>
    <cfRule type="expression" dxfId="1111" priority="957" stopIfTrue="1">
      <formula>OR($C554=0,$C554=2,$C554=3,$C554=4)</formula>
    </cfRule>
  </conditionalFormatting>
  <conditionalFormatting sqref="AJ554:AJ562">
    <cfRule type="expression" dxfId="1110" priority="958" stopIfTrue="1">
      <formula>OR(ACOMPANHAMENTO&lt;&gt;"BM",TIPOORCAMENTO="Licitado")</formula>
    </cfRule>
    <cfRule type="expression" dxfId="1109" priority="959" stopIfTrue="1">
      <formula>$C554=1</formula>
    </cfRule>
    <cfRule type="expression" dxfId="1108" priority="960" stopIfTrue="1">
      <formula>OR(AND(ISNUMBER($C554),$C554=0),$C554=2,$C554=3,$C554=4)</formula>
    </cfRule>
  </conditionalFormatting>
  <conditionalFormatting sqref="AL554:AL562">
    <cfRule type="expression" dxfId="1107" priority="961" stopIfTrue="1">
      <formula>TIPOORCAMENTO="PROPOSTO"</formula>
    </cfRule>
    <cfRule type="expression" dxfId="1106" priority="962" stopIfTrue="1">
      <formula>$C554=1</formula>
    </cfRule>
    <cfRule type="expression" dxfId="1105" priority="963" stopIfTrue="1">
      <formula>OR(AND(ISNUMBER($C554),$C554=0),$C554=2,$C554=3,$C554=4)</formula>
    </cfRule>
  </conditionalFormatting>
  <conditionalFormatting sqref="AM554:AN562">
    <cfRule type="expression" dxfId="1104" priority="964" stopIfTrue="1">
      <formula>TIPOORCAMENTO="PROPOSTO"</formula>
    </cfRule>
    <cfRule type="expression" dxfId="1103" priority="965" stopIfTrue="1">
      <formula>$C554=1</formula>
    </cfRule>
    <cfRule type="expression" dxfId="1102" priority="966" stopIfTrue="1">
      <formula>OR(AND(ISNUMBER($C554),$C554=0),$C554=2,$C554=3,$C554=4)</formula>
    </cfRule>
  </conditionalFormatting>
  <conditionalFormatting sqref="M563:M571">
    <cfRule type="cellIs" dxfId="1101" priority="933" stopIfTrue="1" operator="notEqual">
      <formula>$N563</formula>
    </cfRule>
  </conditionalFormatting>
  <conditionalFormatting sqref="N563:O571 W563:X571">
    <cfRule type="expression" dxfId="1100" priority="934" stopIfTrue="1">
      <formula>$C563=1</formula>
    </cfRule>
    <cfRule type="expression" dxfId="1099" priority="935" stopIfTrue="1">
      <formula>OR($C563=0,$C563=2,$C563=3,$C563=4)</formula>
    </cfRule>
  </conditionalFormatting>
  <conditionalFormatting sqref="T563:T571 AG563:AH571">
    <cfRule type="expression" dxfId="1098" priority="939" stopIfTrue="1">
      <formula>$C563=1</formula>
    </cfRule>
    <cfRule type="expression" dxfId="1097" priority="940" stopIfTrue="1">
      <formula>OR($C563=0,$C563=2,$C563=3,$C563=4)</formula>
    </cfRule>
  </conditionalFormatting>
  <conditionalFormatting sqref="AJ563:AJ571">
    <cfRule type="expression" dxfId="1096" priority="941" stopIfTrue="1">
      <formula>OR(ACOMPANHAMENTO&lt;&gt;"BM",TIPOORCAMENTO="Licitado")</formula>
    </cfRule>
    <cfRule type="expression" dxfId="1095" priority="942" stopIfTrue="1">
      <formula>$C563=1</formula>
    </cfRule>
    <cfRule type="expression" dxfId="1094" priority="943" stopIfTrue="1">
      <formula>OR(AND(ISNUMBER($C563),$C563=0),$C563=2,$C563=3,$C563=4)</formula>
    </cfRule>
  </conditionalFormatting>
  <conditionalFormatting sqref="AL563:AL571">
    <cfRule type="expression" dxfId="1093" priority="944" stopIfTrue="1">
      <formula>TIPOORCAMENTO="PROPOSTO"</formula>
    </cfRule>
    <cfRule type="expression" dxfId="1092" priority="945" stopIfTrue="1">
      <formula>$C563=1</formula>
    </cfRule>
    <cfRule type="expression" dxfId="1091" priority="946" stopIfTrue="1">
      <formula>OR(AND(ISNUMBER($C563),$C563=0),$C563=2,$C563=3,$C563=4)</formula>
    </cfRule>
  </conditionalFormatting>
  <conditionalFormatting sqref="AM563:AN571">
    <cfRule type="expression" dxfId="1090" priority="947" stopIfTrue="1">
      <formula>TIPOORCAMENTO="PROPOSTO"</formula>
    </cfRule>
    <cfRule type="expression" dxfId="1089" priority="948" stopIfTrue="1">
      <formula>$C563=1</formula>
    </cfRule>
    <cfRule type="expression" dxfId="1088" priority="949" stopIfTrue="1">
      <formula>OR(AND(ISNUMBER($C563),$C563=0),$C563=2,$C563=3,$C563=4)</formula>
    </cfRule>
  </conditionalFormatting>
  <conditionalFormatting sqref="M572:M580">
    <cfRule type="cellIs" dxfId="1087" priority="916" stopIfTrue="1" operator="notEqual">
      <formula>$N572</formula>
    </cfRule>
  </conditionalFormatting>
  <conditionalFormatting sqref="N572:O580 W572:X580">
    <cfRule type="expression" dxfId="1086" priority="917" stopIfTrue="1">
      <formula>$C572=1</formula>
    </cfRule>
    <cfRule type="expression" dxfId="1085" priority="918" stopIfTrue="1">
      <formula>OR($C572=0,$C572=2,$C572=3,$C572=4)</formula>
    </cfRule>
  </conditionalFormatting>
  <conditionalFormatting sqref="AG572:AH580 T572:T580">
    <cfRule type="expression" dxfId="1084" priority="922" stopIfTrue="1">
      <formula>$C572=1</formula>
    </cfRule>
    <cfRule type="expression" dxfId="1083" priority="923" stopIfTrue="1">
      <formula>OR($C572=0,$C572=2,$C572=3,$C572=4)</formula>
    </cfRule>
  </conditionalFormatting>
  <conditionalFormatting sqref="AJ572:AJ580">
    <cfRule type="expression" dxfId="1082" priority="924" stopIfTrue="1">
      <formula>OR(ACOMPANHAMENTO&lt;&gt;"BM",TIPOORCAMENTO="Licitado")</formula>
    </cfRule>
    <cfRule type="expression" dxfId="1081" priority="925" stopIfTrue="1">
      <formula>$C572=1</formula>
    </cfRule>
    <cfRule type="expression" dxfId="1080" priority="926" stopIfTrue="1">
      <formula>OR(AND(ISNUMBER($C572),$C572=0),$C572=2,$C572=3,$C572=4)</formula>
    </cfRule>
  </conditionalFormatting>
  <conditionalFormatting sqref="AL572:AL580">
    <cfRule type="expression" dxfId="1079" priority="927" stopIfTrue="1">
      <formula>TIPOORCAMENTO="PROPOSTO"</formula>
    </cfRule>
    <cfRule type="expression" dxfId="1078" priority="928" stopIfTrue="1">
      <formula>$C572=1</formula>
    </cfRule>
    <cfRule type="expression" dxfId="1077" priority="929" stopIfTrue="1">
      <formula>OR(AND(ISNUMBER($C572),$C572=0),$C572=2,$C572=3,$C572=4)</formula>
    </cfRule>
  </conditionalFormatting>
  <conditionalFormatting sqref="AM572:AN580">
    <cfRule type="expression" dxfId="1076" priority="930" stopIfTrue="1">
      <formula>TIPOORCAMENTO="PROPOSTO"</formula>
    </cfRule>
    <cfRule type="expression" dxfId="1075" priority="931" stopIfTrue="1">
      <formula>$C572=1</formula>
    </cfRule>
    <cfRule type="expression" dxfId="1074" priority="932" stopIfTrue="1">
      <formula>OR(AND(ISNUMBER($C572),$C572=0),$C572=2,$C572=3,$C572=4)</formula>
    </cfRule>
  </conditionalFormatting>
  <conditionalFormatting sqref="M581:M589">
    <cfRule type="cellIs" dxfId="1073" priority="899" stopIfTrue="1" operator="notEqual">
      <formula>$N581</formula>
    </cfRule>
  </conditionalFormatting>
  <conditionalFormatting sqref="N581:O589 W581:X589">
    <cfRule type="expression" dxfId="1072" priority="900" stopIfTrue="1">
      <formula>$C581=1</formula>
    </cfRule>
    <cfRule type="expression" dxfId="1071" priority="901" stopIfTrue="1">
      <formula>OR($C581=0,$C581=2,$C581=3,$C581=4)</formula>
    </cfRule>
  </conditionalFormatting>
  <conditionalFormatting sqref="T581:T589 AG581:AH589">
    <cfRule type="expression" dxfId="1070" priority="905" stopIfTrue="1">
      <formula>$C581=1</formula>
    </cfRule>
    <cfRule type="expression" dxfId="1069" priority="906" stopIfTrue="1">
      <formula>OR($C581=0,$C581=2,$C581=3,$C581=4)</formula>
    </cfRule>
  </conditionalFormatting>
  <conditionalFormatting sqref="AJ581:AJ589">
    <cfRule type="expression" dxfId="1068" priority="907" stopIfTrue="1">
      <formula>OR(ACOMPANHAMENTO&lt;&gt;"BM",TIPOORCAMENTO="Licitado")</formula>
    </cfRule>
    <cfRule type="expression" dxfId="1067" priority="908" stopIfTrue="1">
      <formula>$C581=1</formula>
    </cfRule>
    <cfRule type="expression" dxfId="1066" priority="909" stopIfTrue="1">
      <formula>OR(AND(ISNUMBER($C581),$C581=0),$C581=2,$C581=3,$C581=4)</formula>
    </cfRule>
  </conditionalFormatting>
  <conditionalFormatting sqref="AL581:AL589">
    <cfRule type="expression" dxfId="1065" priority="910" stopIfTrue="1">
      <formula>TIPOORCAMENTO="PROPOSTO"</formula>
    </cfRule>
    <cfRule type="expression" dxfId="1064" priority="911" stopIfTrue="1">
      <formula>$C581=1</formula>
    </cfRule>
    <cfRule type="expression" dxfId="1063" priority="912" stopIfTrue="1">
      <formula>OR(AND(ISNUMBER($C581),$C581=0),$C581=2,$C581=3,$C581=4)</formula>
    </cfRule>
  </conditionalFormatting>
  <conditionalFormatting sqref="AM581:AN589">
    <cfRule type="expression" dxfId="1062" priority="913" stopIfTrue="1">
      <formula>TIPOORCAMENTO="PROPOSTO"</formula>
    </cfRule>
    <cfRule type="expression" dxfId="1061" priority="914" stopIfTrue="1">
      <formula>$C581=1</formula>
    </cfRule>
    <cfRule type="expression" dxfId="1060" priority="915" stopIfTrue="1">
      <formula>OR(AND(ISNUMBER($C581),$C581=0),$C581=2,$C581=3,$C581=4)</formula>
    </cfRule>
  </conditionalFormatting>
  <conditionalFormatting sqref="M590:M598">
    <cfRule type="cellIs" dxfId="1059" priority="882" stopIfTrue="1" operator="notEqual">
      <formula>$N590</formula>
    </cfRule>
  </conditionalFormatting>
  <conditionalFormatting sqref="N590:O598 W590:X598">
    <cfRule type="expression" dxfId="1058" priority="883" stopIfTrue="1">
      <formula>$C590=1</formula>
    </cfRule>
    <cfRule type="expression" dxfId="1057" priority="884" stopIfTrue="1">
      <formula>OR($C590=0,$C590=2,$C590=3,$C590=4)</formula>
    </cfRule>
  </conditionalFormatting>
  <conditionalFormatting sqref="AG590:AH598 T590:T598">
    <cfRule type="expression" dxfId="1056" priority="888" stopIfTrue="1">
      <formula>$C590=1</formula>
    </cfRule>
    <cfRule type="expression" dxfId="1055" priority="889" stopIfTrue="1">
      <formula>OR($C590=0,$C590=2,$C590=3,$C590=4)</formula>
    </cfRule>
  </conditionalFormatting>
  <conditionalFormatting sqref="AJ590:AJ598">
    <cfRule type="expression" dxfId="1054" priority="890" stopIfTrue="1">
      <formula>OR(ACOMPANHAMENTO&lt;&gt;"BM",TIPOORCAMENTO="Licitado")</formula>
    </cfRule>
    <cfRule type="expression" dxfId="1053" priority="891" stopIfTrue="1">
      <formula>$C590=1</formula>
    </cfRule>
    <cfRule type="expression" dxfId="1052" priority="892" stopIfTrue="1">
      <formula>OR(AND(ISNUMBER($C590),$C590=0),$C590=2,$C590=3,$C590=4)</formula>
    </cfRule>
  </conditionalFormatting>
  <conditionalFormatting sqref="AL590:AL598">
    <cfRule type="expression" dxfId="1051" priority="893" stopIfTrue="1">
      <formula>TIPOORCAMENTO="PROPOSTO"</formula>
    </cfRule>
    <cfRule type="expression" dxfId="1050" priority="894" stopIfTrue="1">
      <formula>$C590=1</formula>
    </cfRule>
    <cfRule type="expression" dxfId="1049" priority="895" stopIfTrue="1">
      <formula>OR(AND(ISNUMBER($C590),$C590=0),$C590=2,$C590=3,$C590=4)</formula>
    </cfRule>
  </conditionalFormatting>
  <conditionalFormatting sqref="AM590:AN598">
    <cfRule type="expression" dxfId="1048" priority="896" stopIfTrue="1">
      <formula>TIPOORCAMENTO="PROPOSTO"</formula>
    </cfRule>
    <cfRule type="expression" dxfId="1047" priority="897" stopIfTrue="1">
      <formula>$C590=1</formula>
    </cfRule>
    <cfRule type="expression" dxfId="1046" priority="898" stopIfTrue="1">
      <formula>OR(AND(ISNUMBER($C590),$C590=0),$C590=2,$C590=3,$C590=4)</formula>
    </cfRule>
  </conditionalFormatting>
  <conditionalFormatting sqref="M599:M607">
    <cfRule type="cellIs" dxfId="1045" priority="865" stopIfTrue="1" operator="notEqual">
      <formula>$N599</formula>
    </cfRule>
  </conditionalFormatting>
  <conditionalFormatting sqref="N599:O607 W599:X607">
    <cfRule type="expression" dxfId="1044" priority="866" stopIfTrue="1">
      <formula>$C599=1</formula>
    </cfRule>
    <cfRule type="expression" dxfId="1043" priority="867" stopIfTrue="1">
      <formula>OR($C599=0,$C599=2,$C599=3,$C599=4)</formula>
    </cfRule>
  </conditionalFormatting>
  <conditionalFormatting sqref="AG599:AH607 T599:T607">
    <cfRule type="expression" dxfId="1042" priority="871" stopIfTrue="1">
      <formula>$C599=1</formula>
    </cfRule>
    <cfRule type="expression" dxfId="1041" priority="872" stopIfTrue="1">
      <formula>OR($C599=0,$C599=2,$C599=3,$C599=4)</formula>
    </cfRule>
  </conditionalFormatting>
  <conditionalFormatting sqref="AJ599:AJ607">
    <cfRule type="expression" dxfId="1040" priority="873" stopIfTrue="1">
      <formula>OR(ACOMPANHAMENTO&lt;&gt;"BM",TIPOORCAMENTO="Licitado")</formula>
    </cfRule>
    <cfRule type="expression" dxfId="1039" priority="874" stopIfTrue="1">
      <formula>$C599=1</formula>
    </cfRule>
    <cfRule type="expression" dxfId="1038" priority="875" stopIfTrue="1">
      <formula>OR(AND(ISNUMBER($C599),$C599=0),$C599=2,$C599=3,$C599=4)</formula>
    </cfRule>
  </conditionalFormatting>
  <conditionalFormatting sqref="AL599:AL607">
    <cfRule type="expression" dxfId="1037" priority="876" stopIfTrue="1">
      <formula>TIPOORCAMENTO="PROPOSTO"</formula>
    </cfRule>
    <cfRule type="expression" dxfId="1036" priority="877" stopIfTrue="1">
      <formula>$C599=1</formula>
    </cfRule>
    <cfRule type="expression" dxfId="1035" priority="878" stopIfTrue="1">
      <formula>OR(AND(ISNUMBER($C599),$C599=0),$C599=2,$C599=3,$C599=4)</formula>
    </cfRule>
  </conditionalFormatting>
  <conditionalFormatting sqref="AM599:AN607">
    <cfRule type="expression" dxfId="1034" priority="879" stopIfTrue="1">
      <formula>TIPOORCAMENTO="PROPOSTO"</formula>
    </cfRule>
    <cfRule type="expression" dxfId="1033" priority="880" stopIfTrue="1">
      <formula>$C599=1</formula>
    </cfRule>
    <cfRule type="expression" dxfId="1032" priority="881" stopIfTrue="1">
      <formula>OR(AND(ISNUMBER($C599),$C599=0),$C599=2,$C599=3,$C599=4)</formula>
    </cfRule>
  </conditionalFormatting>
  <conditionalFormatting sqref="M608:M616">
    <cfRule type="cellIs" dxfId="1031" priority="848" stopIfTrue="1" operator="notEqual">
      <formula>$N608</formula>
    </cfRule>
  </conditionalFormatting>
  <conditionalFormatting sqref="N608:O616 W608:X616">
    <cfRule type="expression" dxfId="1030" priority="849" stopIfTrue="1">
      <formula>$C608=1</formula>
    </cfRule>
    <cfRule type="expression" dxfId="1029" priority="850" stopIfTrue="1">
      <formula>OR($C608=0,$C608=2,$C608=3,$C608=4)</formula>
    </cfRule>
  </conditionalFormatting>
  <conditionalFormatting sqref="T608:T616 AG608:AH616">
    <cfRule type="expression" dxfId="1028" priority="854" stopIfTrue="1">
      <formula>$C608=1</formula>
    </cfRule>
    <cfRule type="expression" dxfId="1027" priority="855" stopIfTrue="1">
      <formula>OR($C608=0,$C608=2,$C608=3,$C608=4)</formula>
    </cfRule>
  </conditionalFormatting>
  <conditionalFormatting sqref="AJ608:AJ616">
    <cfRule type="expression" dxfId="1026" priority="856" stopIfTrue="1">
      <formula>OR(ACOMPANHAMENTO&lt;&gt;"BM",TIPOORCAMENTO="Licitado")</formula>
    </cfRule>
    <cfRule type="expression" dxfId="1025" priority="857" stopIfTrue="1">
      <formula>$C608=1</formula>
    </cfRule>
    <cfRule type="expression" dxfId="1024" priority="858" stopIfTrue="1">
      <formula>OR(AND(ISNUMBER($C608),$C608=0),$C608=2,$C608=3,$C608=4)</formula>
    </cfRule>
  </conditionalFormatting>
  <conditionalFormatting sqref="AL608:AL616">
    <cfRule type="expression" dxfId="1023" priority="859" stopIfTrue="1">
      <formula>TIPOORCAMENTO="PROPOSTO"</formula>
    </cfRule>
    <cfRule type="expression" dxfId="1022" priority="860" stopIfTrue="1">
      <formula>$C608=1</formula>
    </cfRule>
    <cfRule type="expression" dxfId="1021" priority="861" stopIfTrue="1">
      <formula>OR(AND(ISNUMBER($C608),$C608=0),$C608=2,$C608=3,$C608=4)</formula>
    </cfRule>
  </conditionalFormatting>
  <conditionalFormatting sqref="AM608:AN616">
    <cfRule type="expression" dxfId="1020" priority="862" stopIfTrue="1">
      <formula>TIPOORCAMENTO="PROPOSTO"</formula>
    </cfRule>
    <cfRule type="expression" dxfId="1019" priority="863" stopIfTrue="1">
      <formula>$C608=1</formula>
    </cfRule>
    <cfRule type="expression" dxfId="1018" priority="864" stopIfTrue="1">
      <formula>OR(AND(ISNUMBER($C608),$C608=0),$C608=2,$C608=3,$C608=4)</formula>
    </cfRule>
  </conditionalFormatting>
  <conditionalFormatting sqref="M621:M629">
    <cfRule type="cellIs" dxfId="1017" priority="695" stopIfTrue="1" operator="notEqual">
      <formula>$N621</formula>
    </cfRule>
  </conditionalFormatting>
  <conditionalFormatting sqref="N621:O629 W621:X629">
    <cfRule type="expression" dxfId="1016" priority="696" stopIfTrue="1">
      <formula>$C621=1</formula>
    </cfRule>
    <cfRule type="expression" dxfId="1015" priority="697" stopIfTrue="1">
      <formula>OR($C621=0,$C621=2,$C621=3,$C621=4)</formula>
    </cfRule>
  </conditionalFormatting>
  <conditionalFormatting sqref="AG621:AH629 T621:T629">
    <cfRule type="expression" dxfId="1014" priority="701" stopIfTrue="1">
      <formula>$C621=1</formula>
    </cfRule>
    <cfRule type="expression" dxfId="1013" priority="702" stopIfTrue="1">
      <formula>OR($C621=0,$C621=2,$C621=3,$C621=4)</formula>
    </cfRule>
  </conditionalFormatting>
  <conditionalFormatting sqref="AJ621:AJ629">
    <cfRule type="expression" dxfId="1012" priority="703" stopIfTrue="1">
      <formula>OR(ACOMPANHAMENTO&lt;&gt;"BM",TIPOORCAMENTO="Licitado")</formula>
    </cfRule>
    <cfRule type="expression" dxfId="1011" priority="704" stopIfTrue="1">
      <formula>$C621=1</formula>
    </cfRule>
    <cfRule type="expression" dxfId="1010" priority="705" stopIfTrue="1">
      <formula>OR(AND(ISNUMBER($C621),$C621=0),$C621=2,$C621=3,$C621=4)</formula>
    </cfRule>
  </conditionalFormatting>
  <conditionalFormatting sqref="AL621:AL629">
    <cfRule type="expression" dxfId="1009" priority="706" stopIfTrue="1">
      <formula>TIPOORCAMENTO="PROPOSTO"</formula>
    </cfRule>
    <cfRule type="expression" dxfId="1008" priority="707" stopIfTrue="1">
      <formula>$C621=1</formula>
    </cfRule>
    <cfRule type="expression" dxfId="1007" priority="708" stopIfTrue="1">
      <formula>OR(AND(ISNUMBER($C621),$C621=0),$C621=2,$C621=3,$C621=4)</formula>
    </cfRule>
  </conditionalFormatting>
  <conditionalFormatting sqref="AM621:AN629">
    <cfRule type="expression" dxfId="1006" priority="709" stopIfTrue="1">
      <formula>TIPOORCAMENTO="PROPOSTO"</formula>
    </cfRule>
    <cfRule type="expression" dxfId="1005" priority="710" stopIfTrue="1">
      <formula>$C621=1</formula>
    </cfRule>
    <cfRule type="expression" dxfId="1004" priority="711" stopIfTrue="1">
      <formula>OR(AND(ISNUMBER($C621),$C621=0),$C621=2,$C621=3,$C621=4)</formula>
    </cfRule>
  </conditionalFormatting>
  <conditionalFormatting sqref="M630:M638">
    <cfRule type="cellIs" dxfId="1003" priority="678" stopIfTrue="1" operator="notEqual">
      <formula>$N630</formula>
    </cfRule>
  </conditionalFormatting>
  <conditionalFormatting sqref="N630:O638 W630:X638">
    <cfRule type="expression" dxfId="1002" priority="679" stopIfTrue="1">
      <formula>$C630=1</formula>
    </cfRule>
    <cfRule type="expression" dxfId="1001" priority="680" stopIfTrue="1">
      <formula>OR($C630=0,$C630=2,$C630=3,$C630=4)</formula>
    </cfRule>
  </conditionalFormatting>
  <conditionalFormatting sqref="AG630:AH638 T630:T638">
    <cfRule type="expression" dxfId="1000" priority="684" stopIfTrue="1">
      <formula>$C630=1</formula>
    </cfRule>
    <cfRule type="expression" dxfId="999" priority="685" stopIfTrue="1">
      <formula>OR($C630=0,$C630=2,$C630=3,$C630=4)</formula>
    </cfRule>
  </conditionalFormatting>
  <conditionalFormatting sqref="AJ630:AJ638">
    <cfRule type="expression" dxfId="998" priority="686" stopIfTrue="1">
      <formula>OR(ACOMPANHAMENTO&lt;&gt;"BM",TIPOORCAMENTO="Licitado")</formula>
    </cfRule>
    <cfRule type="expression" dxfId="997" priority="687" stopIfTrue="1">
      <formula>$C630=1</formula>
    </cfRule>
    <cfRule type="expression" dxfId="996" priority="688" stopIfTrue="1">
      <formula>OR(AND(ISNUMBER($C630),$C630=0),$C630=2,$C630=3,$C630=4)</formula>
    </cfRule>
  </conditionalFormatting>
  <conditionalFormatting sqref="AL630:AL638">
    <cfRule type="expression" dxfId="995" priority="689" stopIfTrue="1">
      <formula>TIPOORCAMENTO="PROPOSTO"</formula>
    </cfRule>
    <cfRule type="expression" dxfId="994" priority="690" stopIfTrue="1">
      <formula>$C630=1</formula>
    </cfRule>
    <cfRule type="expression" dxfId="993" priority="691" stopIfTrue="1">
      <formula>OR(AND(ISNUMBER($C630),$C630=0),$C630=2,$C630=3,$C630=4)</formula>
    </cfRule>
  </conditionalFormatting>
  <conditionalFormatting sqref="AM630:AN638">
    <cfRule type="expression" dxfId="992" priority="692" stopIfTrue="1">
      <formula>TIPOORCAMENTO="PROPOSTO"</formula>
    </cfRule>
    <cfRule type="expression" dxfId="991" priority="693" stopIfTrue="1">
      <formula>$C630=1</formula>
    </cfRule>
    <cfRule type="expression" dxfId="990" priority="694" stopIfTrue="1">
      <formula>OR(AND(ISNUMBER($C630),$C630=0),$C630=2,$C630=3,$C630=4)</formula>
    </cfRule>
  </conditionalFormatting>
  <conditionalFormatting sqref="M639:M647">
    <cfRule type="cellIs" dxfId="989" priority="661" stopIfTrue="1" operator="notEqual">
      <formula>$N639</formula>
    </cfRule>
  </conditionalFormatting>
  <conditionalFormatting sqref="N639:O647 W639:X647">
    <cfRule type="expression" dxfId="988" priority="662" stopIfTrue="1">
      <formula>$C639=1</formula>
    </cfRule>
    <cfRule type="expression" dxfId="987" priority="663" stopIfTrue="1">
      <formula>OR($C639=0,$C639=2,$C639=3,$C639=4)</formula>
    </cfRule>
  </conditionalFormatting>
  <conditionalFormatting sqref="AG639:AH647 T639:T647">
    <cfRule type="expression" dxfId="986" priority="667" stopIfTrue="1">
      <formula>$C639=1</formula>
    </cfRule>
    <cfRule type="expression" dxfId="985" priority="668" stopIfTrue="1">
      <formula>OR($C639=0,$C639=2,$C639=3,$C639=4)</formula>
    </cfRule>
  </conditionalFormatting>
  <conditionalFormatting sqref="AJ639:AJ647">
    <cfRule type="expression" dxfId="984" priority="669" stopIfTrue="1">
      <formula>OR(ACOMPANHAMENTO&lt;&gt;"BM",TIPOORCAMENTO="Licitado")</formula>
    </cfRule>
    <cfRule type="expression" dxfId="983" priority="670" stopIfTrue="1">
      <formula>$C639=1</formula>
    </cfRule>
    <cfRule type="expression" dxfId="982" priority="671" stopIfTrue="1">
      <formula>OR(AND(ISNUMBER($C639),$C639=0),$C639=2,$C639=3,$C639=4)</formula>
    </cfRule>
  </conditionalFormatting>
  <conditionalFormatting sqref="AL639:AL647">
    <cfRule type="expression" dxfId="981" priority="672" stopIfTrue="1">
      <formula>TIPOORCAMENTO="PROPOSTO"</formula>
    </cfRule>
    <cfRule type="expression" dxfId="980" priority="673" stopIfTrue="1">
      <formula>$C639=1</formula>
    </cfRule>
    <cfRule type="expression" dxfId="979" priority="674" stopIfTrue="1">
      <formula>OR(AND(ISNUMBER($C639),$C639=0),$C639=2,$C639=3,$C639=4)</formula>
    </cfRule>
  </conditionalFormatting>
  <conditionalFormatting sqref="AM639:AN647">
    <cfRule type="expression" dxfId="978" priority="675" stopIfTrue="1">
      <formula>TIPOORCAMENTO="PROPOSTO"</formula>
    </cfRule>
    <cfRule type="expression" dxfId="977" priority="676" stopIfTrue="1">
      <formula>$C639=1</formula>
    </cfRule>
    <cfRule type="expression" dxfId="976" priority="677" stopIfTrue="1">
      <formula>OR(AND(ISNUMBER($C639),$C639=0),$C639=2,$C639=3,$C639=4)</formula>
    </cfRule>
  </conditionalFormatting>
  <conditionalFormatting sqref="M648:M656">
    <cfRule type="cellIs" dxfId="975" priority="644" stopIfTrue="1" operator="notEqual">
      <formula>$N648</formula>
    </cfRule>
  </conditionalFormatting>
  <conditionalFormatting sqref="N648:O656 W648:X656">
    <cfRule type="expression" dxfId="974" priority="645" stopIfTrue="1">
      <formula>$C648=1</formula>
    </cfRule>
    <cfRule type="expression" dxfId="973" priority="646" stopIfTrue="1">
      <formula>OR($C648=0,$C648=2,$C648=3,$C648=4)</formula>
    </cfRule>
  </conditionalFormatting>
  <conditionalFormatting sqref="AG648:AH656 T648:T656">
    <cfRule type="expression" dxfId="972" priority="650" stopIfTrue="1">
      <formula>$C648=1</formula>
    </cfRule>
    <cfRule type="expression" dxfId="971" priority="651" stopIfTrue="1">
      <formula>OR($C648=0,$C648=2,$C648=3,$C648=4)</formula>
    </cfRule>
  </conditionalFormatting>
  <conditionalFormatting sqref="AJ648:AJ656">
    <cfRule type="expression" dxfId="970" priority="652" stopIfTrue="1">
      <formula>OR(ACOMPANHAMENTO&lt;&gt;"BM",TIPOORCAMENTO="Licitado")</formula>
    </cfRule>
    <cfRule type="expression" dxfId="969" priority="653" stopIfTrue="1">
      <formula>$C648=1</formula>
    </cfRule>
    <cfRule type="expression" dxfId="968" priority="654" stopIfTrue="1">
      <formula>OR(AND(ISNUMBER($C648),$C648=0),$C648=2,$C648=3,$C648=4)</formula>
    </cfRule>
  </conditionalFormatting>
  <conditionalFormatting sqref="AL648:AL656">
    <cfRule type="expression" dxfId="967" priority="655" stopIfTrue="1">
      <formula>TIPOORCAMENTO="PROPOSTO"</formula>
    </cfRule>
    <cfRule type="expression" dxfId="966" priority="656" stopIfTrue="1">
      <formula>$C648=1</formula>
    </cfRule>
    <cfRule type="expression" dxfId="965" priority="657" stopIfTrue="1">
      <formula>OR(AND(ISNUMBER($C648),$C648=0),$C648=2,$C648=3,$C648=4)</formula>
    </cfRule>
  </conditionalFormatting>
  <conditionalFormatting sqref="AM648:AN656">
    <cfRule type="expression" dxfId="964" priority="658" stopIfTrue="1">
      <formula>TIPOORCAMENTO="PROPOSTO"</formula>
    </cfRule>
    <cfRule type="expression" dxfId="963" priority="659" stopIfTrue="1">
      <formula>$C648=1</formula>
    </cfRule>
    <cfRule type="expression" dxfId="962" priority="660" stopIfTrue="1">
      <formula>OR(AND(ISNUMBER($C648),$C648=0),$C648=2,$C648=3,$C648=4)</formula>
    </cfRule>
  </conditionalFormatting>
  <conditionalFormatting sqref="M657:M665">
    <cfRule type="cellIs" dxfId="961" priority="627" stopIfTrue="1" operator="notEqual">
      <formula>$N657</formula>
    </cfRule>
  </conditionalFormatting>
  <conditionalFormatting sqref="N657:O665 W657:X665">
    <cfRule type="expression" dxfId="960" priority="628" stopIfTrue="1">
      <formula>$C657=1</formula>
    </cfRule>
    <cfRule type="expression" dxfId="959" priority="629" stopIfTrue="1">
      <formula>OR($C657=0,$C657=2,$C657=3,$C657=4)</formula>
    </cfRule>
  </conditionalFormatting>
  <conditionalFormatting sqref="AG657:AH665 T657:T665">
    <cfRule type="expression" dxfId="958" priority="633" stopIfTrue="1">
      <formula>$C657=1</formula>
    </cfRule>
    <cfRule type="expression" dxfId="957" priority="634" stopIfTrue="1">
      <formula>OR($C657=0,$C657=2,$C657=3,$C657=4)</formula>
    </cfRule>
  </conditionalFormatting>
  <conditionalFormatting sqref="AJ657:AJ665">
    <cfRule type="expression" dxfId="956" priority="635" stopIfTrue="1">
      <formula>OR(ACOMPANHAMENTO&lt;&gt;"BM",TIPOORCAMENTO="Licitado")</formula>
    </cfRule>
    <cfRule type="expression" dxfId="955" priority="636" stopIfTrue="1">
      <formula>$C657=1</formula>
    </cfRule>
    <cfRule type="expression" dxfId="954" priority="637" stopIfTrue="1">
      <formula>OR(AND(ISNUMBER($C657),$C657=0),$C657=2,$C657=3,$C657=4)</formula>
    </cfRule>
  </conditionalFormatting>
  <conditionalFormatting sqref="AL657:AL665">
    <cfRule type="expression" dxfId="953" priority="638" stopIfTrue="1">
      <formula>TIPOORCAMENTO="PROPOSTO"</formula>
    </cfRule>
    <cfRule type="expression" dxfId="952" priority="639" stopIfTrue="1">
      <formula>$C657=1</formula>
    </cfRule>
    <cfRule type="expression" dxfId="951" priority="640" stopIfTrue="1">
      <formula>OR(AND(ISNUMBER($C657),$C657=0),$C657=2,$C657=3,$C657=4)</formula>
    </cfRule>
  </conditionalFormatting>
  <conditionalFormatting sqref="AM657:AN665">
    <cfRule type="expression" dxfId="950" priority="641" stopIfTrue="1">
      <formula>TIPOORCAMENTO="PROPOSTO"</formula>
    </cfRule>
    <cfRule type="expression" dxfId="949" priority="642" stopIfTrue="1">
      <formula>$C657=1</formula>
    </cfRule>
    <cfRule type="expression" dxfId="948" priority="643" stopIfTrue="1">
      <formula>OR(AND(ISNUMBER($C657),$C657=0),$C657=2,$C657=3,$C657=4)</formula>
    </cfRule>
  </conditionalFormatting>
  <conditionalFormatting sqref="M666:M674">
    <cfRule type="cellIs" dxfId="947" priority="610" stopIfTrue="1" operator="notEqual">
      <formula>$N666</formula>
    </cfRule>
  </conditionalFormatting>
  <conditionalFormatting sqref="N666:O674 W666:X674">
    <cfRule type="expression" dxfId="946" priority="611" stopIfTrue="1">
      <formula>$C666=1</formula>
    </cfRule>
    <cfRule type="expression" dxfId="945" priority="612" stopIfTrue="1">
      <formula>OR($C666=0,$C666=2,$C666=3,$C666=4)</formula>
    </cfRule>
  </conditionalFormatting>
  <conditionalFormatting sqref="AG666:AH674 T666:T674">
    <cfRule type="expression" dxfId="944" priority="616" stopIfTrue="1">
      <formula>$C666=1</formula>
    </cfRule>
    <cfRule type="expression" dxfId="943" priority="617" stopIfTrue="1">
      <formula>OR($C666=0,$C666=2,$C666=3,$C666=4)</formula>
    </cfRule>
  </conditionalFormatting>
  <conditionalFormatting sqref="AJ666:AJ674">
    <cfRule type="expression" dxfId="942" priority="618" stopIfTrue="1">
      <formula>OR(ACOMPANHAMENTO&lt;&gt;"BM",TIPOORCAMENTO="Licitado")</formula>
    </cfRule>
    <cfRule type="expression" dxfId="941" priority="619" stopIfTrue="1">
      <formula>$C666=1</formula>
    </cfRule>
    <cfRule type="expression" dxfId="940" priority="620" stopIfTrue="1">
      <formula>OR(AND(ISNUMBER($C666),$C666=0),$C666=2,$C666=3,$C666=4)</formula>
    </cfRule>
  </conditionalFormatting>
  <conditionalFormatting sqref="AL666:AL674">
    <cfRule type="expression" dxfId="939" priority="621" stopIfTrue="1">
      <formula>TIPOORCAMENTO="PROPOSTO"</formula>
    </cfRule>
    <cfRule type="expression" dxfId="938" priority="622" stopIfTrue="1">
      <formula>$C666=1</formula>
    </cfRule>
    <cfRule type="expression" dxfId="937" priority="623" stopIfTrue="1">
      <formula>OR(AND(ISNUMBER($C666),$C666=0),$C666=2,$C666=3,$C666=4)</formula>
    </cfRule>
  </conditionalFormatting>
  <conditionalFormatting sqref="AM666:AN674">
    <cfRule type="expression" dxfId="936" priority="624" stopIfTrue="1">
      <formula>TIPOORCAMENTO="PROPOSTO"</formula>
    </cfRule>
    <cfRule type="expression" dxfId="935" priority="625" stopIfTrue="1">
      <formula>$C666=1</formula>
    </cfRule>
    <cfRule type="expression" dxfId="934" priority="626" stopIfTrue="1">
      <formula>OR(AND(ISNUMBER($C666),$C666=0),$C666=2,$C666=3,$C666=4)</formula>
    </cfRule>
  </conditionalFormatting>
  <conditionalFormatting sqref="M675:M683">
    <cfRule type="cellIs" dxfId="933" priority="593" stopIfTrue="1" operator="notEqual">
      <formula>$N675</formula>
    </cfRule>
  </conditionalFormatting>
  <conditionalFormatting sqref="N675:O683 W675:X683">
    <cfRule type="expression" dxfId="932" priority="594" stopIfTrue="1">
      <formula>$C675=1</formula>
    </cfRule>
    <cfRule type="expression" dxfId="931" priority="595" stopIfTrue="1">
      <formula>OR($C675=0,$C675=2,$C675=3,$C675=4)</formula>
    </cfRule>
  </conditionalFormatting>
  <conditionalFormatting sqref="T675:T683 AG675:AH683">
    <cfRule type="expression" dxfId="930" priority="599" stopIfTrue="1">
      <formula>$C675=1</formula>
    </cfRule>
    <cfRule type="expression" dxfId="929" priority="600" stopIfTrue="1">
      <formula>OR($C675=0,$C675=2,$C675=3,$C675=4)</formula>
    </cfRule>
  </conditionalFormatting>
  <conditionalFormatting sqref="AJ675:AJ683">
    <cfRule type="expression" dxfId="928" priority="601" stopIfTrue="1">
      <formula>OR(ACOMPANHAMENTO&lt;&gt;"BM",TIPOORCAMENTO="Licitado")</formula>
    </cfRule>
    <cfRule type="expression" dxfId="927" priority="602" stopIfTrue="1">
      <formula>$C675=1</formula>
    </cfRule>
    <cfRule type="expression" dxfId="926" priority="603" stopIfTrue="1">
      <formula>OR(AND(ISNUMBER($C675),$C675=0),$C675=2,$C675=3,$C675=4)</formula>
    </cfRule>
  </conditionalFormatting>
  <conditionalFormatting sqref="AL675:AL683">
    <cfRule type="expression" dxfId="925" priority="604" stopIfTrue="1">
      <formula>TIPOORCAMENTO="PROPOSTO"</formula>
    </cfRule>
    <cfRule type="expression" dxfId="924" priority="605" stopIfTrue="1">
      <formula>$C675=1</formula>
    </cfRule>
    <cfRule type="expression" dxfId="923" priority="606" stopIfTrue="1">
      <formula>OR(AND(ISNUMBER($C675),$C675=0),$C675=2,$C675=3,$C675=4)</formula>
    </cfRule>
  </conditionalFormatting>
  <conditionalFormatting sqref="AM675:AN683">
    <cfRule type="expression" dxfId="922" priority="607" stopIfTrue="1">
      <formula>TIPOORCAMENTO="PROPOSTO"</formula>
    </cfRule>
    <cfRule type="expression" dxfId="921" priority="608" stopIfTrue="1">
      <formula>$C675=1</formula>
    </cfRule>
    <cfRule type="expression" dxfId="920" priority="609" stopIfTrue="1">
      <formula>OR(AND(ISNUMBER($C675),$C675=0),$C675=2,$C675=3,$C675=4)</formula>
    </cfRule>
  </conditionalFormatting>
  <conditionalFormatting sqref="M684:M692">
    <cfRule type="cellIs" dxfId="919" priority="576" stopIfTrue="1" operator="notEqual">
      <formula>$N684</formula>
    </cfRule>
  </conditionalFormatting>
  <conditionalFormatting sqref="N684:O692 W684:X692">
    <cfRule type="expression" dxfId="918" priority="577" stopIfTrue="1">
      <formula>$C684=1</formula>
    </cfRule>
    <cfRule type="expression" dxfId="917" priority="578" stopIfTrue="1">
      <formula>OR($C684=0,$C684=2,$C684=3,$C684=4)</formula>
    </cfRule>
  </conditionalFormatting>
  <conditionalFormatting sqref="AG684:AH692 T684:T692">
    <cfRule type="expression" dxfId="916" priority="582" stopIfTrue="1">
      <formula>$C684=1</formula>
    </cfRule>
    <cfRule type="expression" dxfId="915" priority="583" stopIfTrue="1">
      <formula>OR($C684=0,$C684=2,$C684=3,$C684=4)</formula>
    </cfRule>
  </conditionalFormatting>
  <conditionalFormatting sqref="AJ684:AJ692">
    <cfRule type="expression" dxfId="914" priority="584" stopIfTrue="1">
      <formula>OR(ACOMPANHAMENTO&lt;&gt;"BM",TIPOORCAMENTO="Licitado")</formula>
    </cfRule>
    <cfRule type="expression" dxfId="913" priority="585" stopIfTrue="1">
      <formula>$C684=1</formula>
    </cfRule>
    <cfRule type="expression" dxfId="912" priority="586" stopIfTrue="1">
      <formula>OR(AND(ISNUMBER($C684),$C684=0),$C684=2,$C684=3,$C684=4)</formula>
    </cfRule>
  </conditionalFormatting>
  <conditionalFormatting sqref="AL684:AL692">
    <cfRule type="expression" dxfId="911" priority="587" stopIfTrue="1">
      <formula>TIPOORCAMENTO="PROPOSTO"</formula>
    </cfRule>
    <cfRule type="expression" dxfId="910" priority="588" stopIfTrue="1">
      <formula>$C684=1</formula>
    </cfRule>
    <cfRule type="expression" dxfId="909" priority="589" stopIfTrue="1">
      <formula>OR(AND(ISNUMBER($C684),$C684=0),$C684=2,$C684=3,$C684=4)</formula>
    </cfRule>
  </conditionalFormatting>
  <conditionalFormatting sqref="AM684:AN692">
    <cfRule type="expression" dxfId="908" priority="590" stopIfTrue="1">
      <formula>TIPOORCAMENTO="PROPOSTO"</formula>
    </cfRule>
    <cfRule type="expression" dxfId="907" priority="591" stopIfTrue="1">
      <formula>$C684=1</formula>
    </cfRule>
    <cfRule type="expression" dxfId="906" priority="592" stopIfTrue="1">
      <formula>OR(AND(ISNUMBER($C684),$C684=0),$C684=2,$C684=3,$C684=4)</formula>
    </cfRule>
  </conditionalFormatting>
  <conditionalFormatting sqref="M693:M701">
    <cfRule type="cellIs" dxfId="905" priority="559" stopIfTrue="1" operator="notEqual">
      <formula>$N693</formula>
    </cfRule>
  </conditionalFormatting>
  <conditionalFormatting sqref="N693:O701 W693:X701">
    <cfRule type="expression" dxfId="904" priority="560" stopIfTrue="1">
      <formula>$C693=1</formula>
    </cfRule>
    <cfRule type="expression" dxfId="903" priority="561" stopIfTrue="1">
      <formula>OR($C693=0,$C693=2,$C693=3,$C693=4)</formula>
    </cfRule>
  </conditionalFormatting>
  <conditionalFormatting sqref="Y701 AG693:AH701 T693:T701">
    <cfRule type="expression" dxfId="902" priority="565" stopIfTrue="1">
      <formula>$C693=1</formula>
    </cfRule>
    <cfRule type="expression" dxfId="901" priority="566" stopIfTrue="1">
      <formula>OR($C693=0,$C693=2,$C693=3,$C693=4)</formula>
    </cfRule>
  </conditionalFormatting>
  <conditionalFormatting sqref="AJ693:AJ701">
    <cfRule type="expression" dxfId="900" priority="567" stopIfTrue="1">
      <formula>OR(ACOMPANHAMENTO&lt;&gt;"BM",TIPOORCAMENTO="Licitado")</formula>
    </cfRule>
    <cfRule type="expression" dxfId="899" priority="568" stopIfTrue="1">
      <formula>$C693=1</formula>
    </cfRule>
    <cfRule type="expression" dxfId="898" priority="569" stopIfTrue="1">
      <formula>OR(AND(ISNUMBER($C693),$C693=0),$C693=2,$C693=3,$C693=4)</formula>
    </cfRule>
  </conditionalFormatting>
  <conditionalFormatting sqref="AL693:AL701">
    <cfRule type="expression" dxfId="897" priority="570" stopIfTrue="1">
      <formula>TIPOORCAMENTO="PROPOSTO"</formula>
    </cfRule>
    <cfRule type="expression" dxfId="896" priority="571" stopIfTrue="1">
      <formula>$C693=1</formula>
    </cfRule>
    <cfRule type="expression" dxfId="895" priority="572" stopIfTrue="1">
      <formula>OR(AND(ISNUMBER($C693),$C693=0),$C693=2,$C693=3,$C693=4)</formula>
    </cfRule>
  </conditionalFormatting>
  <conditionalFormatting sqref="AM693:AN701">
    <cfRule type="expression" dxfId="894" priority="573" stopIfTrue="1">
      <formula>TIPOORCAMENTO="PROPOSTO"</formula>
    </cfRule>
    <cfRule type="expression" dxfId="893" priority="574" stopIfTrue="1">
      <formula>$C693=1</formula>
    </cfRule>
    <cfRule type="expression" dxfId="892" priority="575" stopIfTrue="1">
      <formula>OR(AND(ISNUMBER($C693),$C693=0),$C693=2,$C693=3,$C693=4)</formula>
    </cfRule>
  </conditionalFormatting>
  <conditionalFormatting sqref="M703:M706">
    <cfRule type="cellIs" dxfId="891" priority="450" stopIfTrue="1" operator="notEqual">
      <formula>$N703</formula>
    </cfRule>
  </conditionalFormatting>
  <conditionalFormatting sqref="N703:O706 W703:X706">
    <cfRule type="expression" dxfId="890" priority="451" stopIfTrue="1">
      <formula>$C703=1</formula>
    </cfRule>
    <cfRule type="expression" dxfId="889" priority="452" stopIfTrue="1">
      <formula>OR($C703=0,$C703=2,$C703=3,$C703=4)</formula>
    </cfRule>
  </conditionalFormatting>
  <conditionalFormatting sqref="Y703 AG703:AH706 T703:T706">
    <cfRule type="expression" dxfId="888" priority="456" stopIfTrue="1">
      <formula>$C703=1</formula>
    </cfRule>
    <cfRule type="expression" dxfId="887" priority="457" stopIfTrue="1">
      <formula>OR($C703=0,$C703=2,$C703=3,$C703=4)</formula>
    </cfRule>
  </conditionalFormatting>
  <conditionalFormatting sqref="AJ703:AJ706">
    <cfRule type="expression" dxfId="886" priority="458" stopIfTrue="1">
      <formula>OR(ACOMPANHAMENTO&lt;&gt;"BM",TIPOORCAMENTO="Licitado")</formula>
    </cfRule>
    <cfRule type="expression" dxfId="885" priority="459" stopIfTrue="1">
      <formula>$C703=1</formula>
    </cfRule>
    <cfRule type="expression" dxfId="884" priority="460" stopIfTrue="1">
      <formula>OR(AND(ISNUMBER($C703),$C703=0),$C703=2,$C703=3,$C703=4)</formula>
    </cfRule>
  </conditionalFormatting>
  <conditionalFormatting sqref="AL703:AL706">
    <cfRule type="expression" dxfId="883" priority="461" stopIfTrue="1">
      <formula>TIPOORCAMENTO="PROPOSTO"</formula>
    </cfRule>
    <cfRule type="expression" dxfId="882" priority="462" stopIfTrue="1">
      <formula>$C703=1</formula>
    </cfRule>
    <cfRule type="expression" dxfId="881" priority="463" stopIfTrue="1">
      <formula>OR(AND(ISNUMBER($C703),$C703=0),$C703=2,$C703=3,$C703=4)</formula>
    </cfRule>
  </conditionalFormatting>
  <conditionalFormatting sqref="AM703:AN706">
    <cfRule type="expression" dxfId="880" priority="464" stopIfTrue="1">
      <formula>TIPOORCAMENTO="PROPOSTO"</formula>
    </cfRule>
    <cfRule type="expression" dxfId="879" priority="465" stopIfTrue="1">
      <formula>$C703=1</formula>
    </cfRule>
    <cfRule type="expression" dxfId="878" priority="466" stopIfTrue="1">
      <formula>OR(AND(ISNUMBER($C703),$C703=0),$C703=2,$C703=3,$C703=4)</formula>
    </cfRule>
  </conditionalFormatting>
  <conditionalFormatting sqref="M707">
    <cfRule type="cellIs" dxfId="877" priority="422" stopIfTrue="1" operator="notEqual">
      <formula>$N707</formula>
    </cfRule>
  </conditionalFormatting>
  <conditionalFormatting sqref="N707:O707 W707:X707">
    <cfRule type="expression" dxfId="876" priority="423" stopIfTrue="1">
      <formula>$C707=1</formula>
    </cfRule>
    <cfRule type="expression" dxfId="875" priority="424" stopIfTrue="1">
      <formula>OR($C707=0,$C707=2,$C707=3,$C707=4)</formula>
    </cfRule>
  </conditionalFormatting>
  <conditionalFormatting sqref="AG707:AH707 T707">
    <cfRule type="expression" dxfId="874" priority="428" stopIfTrue="1">
      <formula>$C707=1</formula>
    </cfRule>
    <cfRule type="expression" dxfId="873" priority="429" stopIfTrue="1">
      <formula>OR($C707=0,$C707=2,$C707=3,$C707=4)</formula>
    </cfRule>
  </conditionalFormatting>
  <conditionalFormatting sqref="AJ707">
    <cfRule type="expression" dxfId="872" priority="430" stopIfTrue="1">
      <formula>OR(ACOMPANHAMENTO&lt;&gt;"BM",TIPOORCAMENTO="Licitado")</formula>
    </cfRule>
    <cfRule type="expression" dxfId="871" priority="431" stopIfTrue="1">
      <formula>$C707=1</formula>
    </cfRule>
    <cfRule type="expression" dxfId="870" priority="432" stopIfTrue="1">
      <formula>OR(AND(ISNUMBER($C707),$C707=0),$C707=2,$C707=3,$C707=4)</formula>
    </cfRule>
  </conditionalFormatting>
  <conditionalFormatting sqref="AL707">
    <cfRule type="expression" dxfId="869" priority="433" stopIfTrue="1">
      <formula>TIPOORCAMENTO="PROPOSTO"</formula>
    </cfRule>
    <cfRule type="expression" dxfId="868" priority="434" stopIfTrue="1">
      <formula>$C707=1</formula>
    </cfRule>
    <cfRule type="expression" dxfId="867" priority="435" stopIfTrue="1">
      <formula>OR(AND(ISNUMBER($C707),$C707=0),$C707=2,$C707=3,$C707=4)</formula>
    </cfRule>
  </conditionalFormatting>
  <conditionalFormatting sqref="AM707:AN707">
    <cfRule type="expression" dxfId="866" priority="436" stopIfTrue="1">
      <formula>TIPOORCAMENTO="PROPOSTO"</formula>
    </cfRule>
    <cfRule type="expression" dxfId="865" priority="437" stopIfTrue="1">
      <formula>$C707=1</formula>
    </cfRule>
    <cfRule type="expression" dxfId="864" priority="438" stopIfTrue="1">
      <formula>OR(AND(ISNUMBER($C707),$C707=0),$C707=2,$C707=3,$C707=4)</formula>
    </cfRule>
  </conditionalFormatting>
  <conditionalFormatting sqref="Y18:Y425 Y429:Y700">
    <cfRule type="expression" dxfId="863" priority="177" stopIfTrue="1">
      <formula>$C18=1</formula>
    </cfRule>
    <cfRule type="expression" dxfId="862" priority="178" stopIfTrue="1">
      <formula>OR($C18=0,$C18=2,$C18=3,$C18=4)</formula>
    </cfRule>
  </conditionalFormatting>
  <conditionalFormatting sqref="M702">
    <cfRule type="cellIs" dxfId="861" priority="160" stopIfTrue="1" operator="notEqual">
      <formula>$N702</formula>
    </cfRule>
  </conditionalFormatting>
  <conditionalFormatting sqref="N702:O702 W702:X702">
    <cfRule type="expression" dxfId="860" priority="161" stopIfTrue="1">
      <formula>$C702=1</formula>
    </cfRule>
    <cfRule type="expression" dxfId="859" priority="162" stopIfTrue="1">
      <formula>OR($C702=0,$C702=2,$C702=3,$C702=4)</formula>
    </cfRule>
  </conditionalFormatting>
  <conditionalFormatting sqref="T702 Y702 AG702:AH702">
    <cfRule type="expression" dxfId="858" priority="166" stopIfTrue="1">
      <formula>$C702=1</formula>
    </cfRule>
    <cfRule type="expression" dxfId="857" priority="167" stopIfTrue="1">
      <formula>OR($C702=0,$C702=2,$C702=3,$C702=4)</formula>
    </cfRule>
  </conditionalFormatting>
  <conditionalFormatting sqref="AJ702">
    <cfRule type="expression" dxfId="856" priority="168" stopIfTrue="1">
      <formula>OR(ACOMPANHAMENTO&lt;&gt;"BM",TIPOORCAMENTO="Licitado")</formula>
    </cfRule>
    <cfRule type="expression" dxfId="855" priority="169" stopIfTrue="1">
      <formula>$C702=1</formula>
    </cfRule>
    <cfRule type="expression" dxfId="854" priority="170" stopIfTrue="1">
      <formula>OR(AND(ISNUMBER($C702),$C702=0),$C702=2,$C702=3,$C702=4)</formula>
    </cfRule>
  </conditionalFormatting>
  <conditionalFormatting sqref="AL702">
    <cfRule type="expression" dxfId="853" priority="171" stopIfTrue="1">
      <formula>TIPOORCAMENTO="PROPOSTO"</formula>
    </cfRule>
    <cfRule type="expression" dxfId="852" priority="172" stopIfTrue="1">
      <formula>$C702=1</formula>
    </cfRule>
    <cfRule type="expression" dxfId="851" priority="173" stopIfTrue="1">
      <formula>OR(AND(ISNUMBER($C702),$C702=0),$C702=2,$C702=3,$C702=4)</formula>
    </cfRule>
  </conditionalFormatting>
  <conditionalFormatting sqref="AM702:AN702">
    <cfRule type="expression" dxfId="850" priority="174" stopIfTrue="1">
      <formula>TIPOORCAMENTO="PROPOSTO"</formula>
    </cfRule>
    <cfRule type="expression" dxfId="849" priority="175" stopIfTrue="1">
      <formula>$C702=1</formula>
    </cfRule>
    <cfRule type="expression" dxfId="848" priority="176" stopIfTrue="1">
      <formula>OR(AND(ISNUMBER($C702),$C702=0),$C702=2,$C702=3,$C702=4)</formula>
    </cfRule>
  </conditionalFormatting>
  <conditionalFormatting sqref="M426:M428">
    <cfRule type="cellIs" dxfId="847" priority="99" stopIfTrue="1" operator="notEqual">
      <formula>$N426</formula>
    </cfRule>
  </conditionalFormatting>
  <conditionalFormatting sqref="N426:O428 W426:X428">
    <cfRule type="expression" dxfId="846" priority="100" stopIfTrue="1">
      <formula>$C426=1</formula>
    </cfRule>
    <cfRule type="expression" dxfId="845" priority="101" stopIfTrue="1">
      <formula>OR($C426=0,$C426=2,$C426=3,$C426=4)</formula>
    </cfRule>
  </conditionalFormatting>
  <conditionalFormatting sqref="Y426:Y428 AG426:AH428 T426:T428">
    <cfRule type="expression" dxfId="844" priority="105" stopIfTrue="1">
      <formula>$C426=1</formula>
    </cfRule>
    <cfRule type="expression" dxfId="843" priority="106" stopIfTrue="1">
      <formula>OR($C426=0,$C426=2,$C426=3,$C426=4)</formula>
    </cfRule>
  </conditionalFormatting>
  <conditionalFormatting sqref="AJ426:AJ428">
    <cfRule type="expression" dxfId="842" priority="107" stopIfTrue="1">
      <formula>OR(ACOMPANHAMENTO&lt;&gt;"BM",TIPOORCAMENTO="Licitado")</formula>
    </cfRule>
    <cfRule type="expression" dxfId="841" priority="108" stopIfTrue="1">
      <formula>$C426=1</formula>
    </cfRule>
    <cfRule type="expression" dxfId="840" priority="109" stopIfTrue="1">
      <formula>OR(AND(ISNUMBER($C426),$C426=0),$C426=2,$C426=3,$C426=4)</formula>
    </cfRule>
  </conditionalFormatting>
  <conditionalFormatting sqref="AL426:AL428">
    <cfRule type="expression" dxfId="839" priority="110" stopIfTrue="1">
      <formula>TIPOORCAMENTO="PROPOSTO"</formula>
    </cfRule>
    <cfRule type="expression" dxfId="838" priority="111" stopIfTrue="1">
      <formula>$C426=1</formula>
    </cfRule>
    <cfRule type="expression" dxfId="837" priority="112" stopIfTrue="1">
      <formula>OR(AND(ISNUMBER($C426),$C426=0),$C426=2,$C426=3,$C426=4)</formula>
    </cfRule>
  </conditionalFormatting>
  <conditionalFormatting sqref="AM426:AN428">
    <cfRule type="expression" dxfId="836" priority="113" stopIfTrue="1">
      <formula>TIPOORCAMENTO="PROPOSTO"</formula>
    </cfRule>
    <cfRule type="expression" dxfId="835" priority="114" stopIfTrue="1">
      <formula>$C426=1</formula>
    </cfRule>
    <cfRule type="expression" dxfId="834" priority="115" stopIfTrue="1">
      <formula>OR(AND(ISNUMBER($C426),$C426=0),$C426=2,$C426=3,$C426=4)</formula>
    </cfRule>
  </conditionalFormatting>
  <conditionalFormatting sqref="M708">
    <cfRule type="cellIs" dxfId="833" priority="45" stopIfTrue="1" operator="notEqual">
      <formula>$N708</formula>
    </cfRule>
  </conditionalFormatting>
  <conditionalFormatting sqref="N708:O708 W708:X708">
    <cfRule type="expression" dxfId="832" priority="46" stopIfTrue="1">
      <formula>$C708=1</formula>
    </cfRule>
    <cfRule type="expression" dxfId="831" priority="47" stopIfTrue="1">
      <formula>OR($C708=0,$C708=2,$C708=3,$C708=4)</formula>
    </cfRule>
  </conditionalFormatting>
  <conditionalFormatting sqref="T708 Y708 AG708:AH708">
    <cfRule type="expression" dxfId="830" priority="51" stopIfTrue="1">
      <formula>$C708=1</formula>
    </cfRule>
    <cfRule type="expression" dxfId="829" priority="52" stopIfTrue="1">
      <formula>OR($C708=0,$C708=2,$C708=3,$C708=4)</formula>
    </cfRule>
  </conditionalFormatting>
  <conditionalFormatting sqref="AJ708">
    <cfRule type="expression" dxfId="828" priority="53" stopIfTrue="1">
      <formula>OR(ACOMPANHAMENTO&lt;&gt;"BM",TIPOORCAMENTO="Licitado")</formula>
    </cfRule>
    <cfRule type="expression" dxfId="827" priority="54" stopIfTrue="1">
      <formula>$C708=1</formula>
    </cfRule>
    <cfRule type="expression" dxfId="826" priority="55" stopIfTrue="1">
      <formula>OR(AND(ISNUMBER($C708),$C708=0),$C708=2,$C708=3,$C708=4)</formula>
    </cfRule>
  </conditionalFormatting>
  <conditionalFormatting sqref="AL708">
    <cfRule type="expression" dxfId="825" priority="56" stopIfTrue="1">
      <formula>TIPOORCAMENTO="PROPOSTO"</formula>
    </cfRule>
    <cfRule type="expression" dxfId="824" priority="57" stopIfTrue="1">
      <formula>$C708=1</formula>
    </cfRule>
    <cfRule type="expression" dxfId="823" priority="58" stopIfTrue="1">
      <formula>OR(AND(ISNUMBER($C708),$C708=0),$C708=2,$C708=3,$C708=4)</formula>
    </cfRule>
  </conditionalFormatting>
  <conditionalFormatting sqref="AM708:AN708">
    <cfRule type="expression" dxfId="822" priority="59" stopIfTrue="1">
      <formula>TIPOORCAMENTO="PROPOSTO"</formula>
    </cfRule>
    <cfRule type="expression" dxfId="821" priority="60" stopIfTrue="1">
      <formula>$C708=1</formula>
    </cfRule>
    <cfRule type="expression" dxfId="820" priority="61" stopIfTrue="1">
      <formula>OR(AND(ISNUMBER($C708),$C708=0),$C708=2,$C708=3,$C708=4)</formula>
    </cfRule>
  </conditionalFormatting>
  <conditionalFormatting sqref="M709">
    <cfRule type="cellIs" dxfId="819" priority="25" stopIfTrue="1" operator="notEqual">
      <formula>$N709</formula>
    </cfRule>
  </conditionalFormatting>
  <conditionalFormatting sqref="N709:O709 W709:X709">
    <cfRule type="expression" dxfId="818" priority="26" stopIfTrue="1">
      <formula>$C709=1</formula>
    </cfRule>
    <cfRule type="expression" dxfId="817" priority="27" stopIfTrue="1">
      <formula>OR($C709=0,$C709=2,$C709=3,$C709=4)</formula>
    </cfRule>
  </conditionalFormatting>
  <conditionalFormatting sqref="T709 Y709 AG709:AH709">
    <cfRule type="expression" dxfId="816" priority="31" stopIfTrue="1">
      <formula>$C709=1</formula>
    </cfRule>
    <cfRule type="expression" dxfId="815" priority="32" stopIfTrue="1">
      <formula>OR($C709=0,$C709=2,$C709=3,$C709=4)</formula>
    </cfRule>
  </conditionalFormatting>
  <conditionalFormatting sqref="AJ709">
    <cfRule type="expression" dxfId="814" priority="33" stopIfTrue="1">
      <formula>OR(ACOMPANHAMENTO&lt;&gt;"BM",TIPOORCAMENTO="Licitado")</formula>
    </cfRule>
    <cfRule type="expression" dxfId="813" priority="34" stopIfTrue="1">
      <formula>$C709=1</formula>
    </cfRule>
    <cfRule type="expression" dxfId="812" priority="35" stopIfTrue="1">
      <formula>OR(AND(ISNUMBER($C709),$C709=0),$C709=2,$C709=3,$C709=4)</formula>
    </cfRule>
  </conditionalFormatting>
  <conditionalFormatting sqref="AL709">
    <cfRule type="expression" dxfId="811" priority="36" stopIfTrue="1">
      <formula>TIPOORCAMENTO="PROPOSTO"</formula>
    </cfRule>
    <cfRule type="expression" dxfId="810" priority="37" stopIfTrue="1">
      <formula>$C709=1</formula>
    </cfRule>
    <cfRule type="expression" dxfId="809" priority="38" stopIfTrue="1">
      <formula>OR(AND(ISNUMBER($C709),$C709=0),$C709=2,$C709=3,$C709=4)</formula>
    </cfRule>
  </conditionalFormatting>
  <conditionalFormatting sqref="AM709:AN709">
    <cfRule type="expression" dxfId="808" priority="39" stopIfTrue="1">
      <formula>TIPOORCAMENTO="PROPOSTO"</formula>
    </cfRule>
    <cfRule type="expression" dxfId="807" priority="40" stopIfTrue="1">
      <formula>$C709=1</formula>
    </cfRule>
    <cfRule type="expression" dxfId="806" priority="41" stopIfTrue="1">
      <formula>OR(AND(ISNUMBER($C709),$C709=0),$C709=2,$C709=3,$C709=4)</formula>
    </cfRule>
  </conditionalFormatting>
  <conditionalFormatting sqref="R16:R709">
    <cfRule type="expression" dxfId="805" priority="4" stopIfTrue="1">
      <formula>$C16=1</formula>
    </cfRule>
    <cfRule type="expression" dxfId="804" priority="5" stopIfTrue="1">
      <formula>OR($C16=0,$C16=2,$C16=3,$C16=4)</formula>
    </cfRule>
  </conditionalFormatting>
  <conditionalFormatting sqref="P16:Q709 S16:S709">
    <cfRule type="expression" dxfId="803" priority="6" stopIfTrue="1">
      <formula>$C16=1</formula>
    </cfRule>
    <cfRule type="expression" dxfId="802" priority="7" stopIfTrue="1">
      <formula>OR($C16=0,$C16=2,$C16=3,$C16=4)</formula>
    </cfRule>
  </conditionalFormatting>
  <conditionalFormatting sqref="U16:V709">
    <cfRule type="expression" dxfId="801" priority="1" stopIfTrue="1">
      <formula>$C16=1</formula>
    </cfRule>
    <cfRule type="expression" dxfId="800" priority="2" stopIfTrue="1">
      <formula>OR($C16=0,$C16=2,$C16=3,$C16=4)</formula>
    </cfRule>
    <cfRule type="expression" dxfId="799" priority="3" stopIfTrue="1">
      <formula>AND(TIPOORCAMENTO="Licitado",$C16&lt;&gt;"L",$C16&lt;&gt;-1)</formula>
    </cfRule>
  </conditionalFormatting>
  <dataValidations xWindow="1082" yWindow="786" count="7">
    <dataValidation type="decimal" operator="greaterThan" allowBlank="1" showErrorMessage="1" error="Apenas números decimais maiores que zero." sqref="U14 AL14 AJ14 AL16:AL709 AJ16:AJ709 U16:U709">
      <formula1>0</formula1>
      <formula2>0</formula2>
    </dataValidation>
    <dataValidation type="list" allowBlank="1" sqref="P14 P16:P709">
      <formula1>"SINAPI,SINAPI-I,SICRO,Composição,Cotação"</formula1>
      <formula2>0</formula2>
    </dataValidation>
    <dataValidation type="list" errorStyle="warning" allowBlank="1" showInputMessage="1" showErrorMessage="1" errorTitle="Aviso BDI" error="Selecione um dos 3 BDI da lista._x000a__x000a_Caso tenha mais de 3 BDI nesta Planilha Orçamentária digite apenas valor percentual." promptTitle="Legenda:" prompt="RA: Rateio proporcional entre Repasse e Contrapartida._x000a_RP: 100% Repasse_x000a_CP: 100% Contrapartida_x000a_OU: 100% Outros." sqref="Y14 Y16:Y709">
      <formula1>"RA,RP,CP,OU"</formula1>
      <formula2>0</formula2>
    </dataValidation>
    <dataValidation type="list" errorStyle="warning" allowBlank="1" showErrorMessage="1" errorTitle="Aviso BDI" error="Selecione um dos 3 BDI da lista._x000a__x000a_Caso tenha mais de 3 BDI nesta Planilha Orçamentária digite apenas valor percentual." sqref="V14 V16:V709">
      <mc:AlternateContent xmlns:x12ac="http://schemas.microsoft.com/office/spreadsheetml/2011/1/ac" xmlns:mc="http://schemas.openxmlformats.org/markup-compatibility/2006">
        <mc:Choice Requires="x12ac">
          <x12ac:list>BDI 1,BDI 2,BDI 3,"0,00%"</x12ac:list>
        </mc:Choice>
        <mc:Fallback>
          <formula1>"BDI 1,BDI 2,BDI 3,0,00%"</formula1>
        </mc:Fallback>
      </mc:AlternateContent>
      <formula2>0</formula2>
    </dataValidation>
    <dataValidation type="list" showErrorMessage="1" errorTitle="Erro de Entrada" error="Selecione somente os itens da lista." promptTitle="Nível:" prompt="Selecione na lista o nível de itemização da Planilha." sqref="M14 M16:M709">
      <formula1>"Meta,Nível 2,Nível 3,Nível 4,Serviço"</formula1>
      <formula2>0</formula2>
    </dataValidation>
    <dataValidation allowBlank="1" showInputMessage="1" showErrorMessage="1" prompt="A entrada de quantidades é feita na coluna AJ se acompanhamento por BM, ou na aba &quot;Memória de Cálculo/PLQ&quot; se acompanhamento por PLE." sqref="T14 T16:T709"/>
    <dataValidation allowBlank="1" showInputMessage="1" showErrorMessage="1" prompt="Para Orçamento Proposto, o Preço Unitário é resultado do produto do Custo Unitário pelo BDI._x000a_Para Orçamento Licitado, deve ser preenchido na Coluna AL." sqref="W14 W16:W709"/>
  </dataValidations>
  <pageMargins left="0.7" right="0.7" top="0.75" bottom="0.75" header="0.3" footer="0.3"/>
  <pageSetup paperSize="9" scale="45" firstPageNumber="0" fitToHeight="0" orientation="portrait" r:id="rId1"/>
  <headerFooter alignWithMargins="0">
    <oddHeader>&amp;C&amp;14I</oddHeader>
    <oddFooter>&amp;LPMv3.0.4&amp;R&amp;P / &amp;N</oddFooter>
  </headerFooter>
  <colBreaks count="1" manualBreakCount="1">
    <brk id="25" max="1048575" man="1"/>
  </colBreaks>
  <ignoredErrors>
    <ignoredError sqref="Q511" numberStoredAsText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8" r:id="rId4" name="CaixaArredQuant">
              <controlPr defaultSize="0" print="0" autoFill="0" autoLine="0" autoPict="0">
                <anchor moveWithCells="1" sizeWithCells="1">
                  <from>
                    <xdr:col>19</xdr:col>
                    <xdr:colOff>457200</xdr:colOff>
                    <xdr:row>9</xdr:row>
                    <xdr:rowOff>121920</xdr:rowOff>
                  </from>
                  <to>
                    <xdr:col>19</xdr:col>
                    <xdr:colOff>891540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9" r:id="rId5" name="CaixaArredCustoUnit">
              <controlPr defaultSize="0" print="0" autoFill="0" autoLine="0" autoPict="0">
                <anchor moveWithCells="1" sizeWithCells="1">
                  <from>
                    <xdr:col>20</xdr:col>
                    <xdr:colOff>449580</xdr:colOff>
                    <xdr:row>9</xdr:row>
                    <xdr:rowOff>121920</xdr:rowOff>
                  </from>
                  <to>
                    <xdr:col>20</xdr:col>
                    <xdr:colOff>876300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0" r:id="rId6" name="CaixaArredBDI">
              <controlPr defaultSize="0" print="0" autoFill="0" autoLine="0" autoPict="0">
                <anchor moveWithCells="1" sizeWithCells="1">
                  <from>
                    <xdr:col>21</xdr:col>
                    <xdr:colOff>281940</xdr:colOff>
                    <xdr:row>9</xdr:row>
                    <xdr:rowOff>121920</xdr:rowOff>
                  </from>
                  <to>
                    <xdr:col>21</xdr:col>
                    <xdr:colOff>708660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1" r:id="rId7" name="CaixaArredPrecoUnit">
              <controlPr defaultSize="0" print="0" autoFill="0" autoLine="0" autoPict="0">
                <anchor moveWithCells="1" sizeWithCells="1">
                  <from>
                    <xdr:col>22</xdr:col>
                    <xdr:colOff>358140</xdr:colOff>
                    <xdr:row>9</xdr:row>
                    <xdr:rowOff>121920</xdr:rowOff>
                  </from>
                  <to>
                    <xdr:col>22</xdr:col>
                    <xdr:colOff>792480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2" r:id="rId8" name="CaixaArredPrecoTotal">
              <controlPr defaultSize="0" print="0" autoFill="0" autoLine="0" autoPict="0">
                <anchor moveWithCells="1" sizeWithCells="1">
                  <from>
                    <xdr:col>23</xdr:col>
                    <xdr:colOff>449580</xdr:colOff>
                    <xdr:row>9</xdr:row>
                    <xdr:rowOff>106680</xdr:rowOff>
                  </from>
                  <to>
                    <xdr:col>23</xdr:col>
                    <xdr:colOff>876300</xdr:colOff>
                    <xdr:row>11</xdr:row>
                    <xdr:rowOff>30480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>
    <pageSetUpPr fitToPage="1"/>
  </sheetPr>
  <dimension ref="A1:CM64852"/>
  <sheetViews>
    <sheetView showGridLines="0" zoomScale="90" zoomScaleNormal="90" zoomScaleSheetLayoutView="90" workbookViewId="0">
      <pane xSplit="8" ySplit="15" topLeftCell="I64" activePane="bottomRight" state="frozen"/>
      <selection activeCell="C1" sqref="C1"/>
      <selection pane="topRight" activeCell="I1" sqref="I1"/>
      <selection pane="bottomLeft" activeCell="C16" sqref="C16"/>
      <selection pane="bottomRight" activeCell="A724" sqref="A724"/>
    </sheetView>
  </sheetViews>
  <sheetFormatPr defaultRowHeight="0" customHeight="1" zeroHeight="1" x14ac:dyDescent="0.25"/>
  <cols>
    <col min="1" max="2" width="0" style="9" hidden="1" customWidth="1"/>
    <col min="3" max="3" width="3.6640625" style="9" customWidth="1"/>
    <col min="4" max="4" width="8.6640625" customWidth="1"/>
    <col min="5" max="5" width="12.6640625" customWidth="1"/>
    <col min="6" max="6" width="65.6640625" customWidth="1"/>
    <col min="7" max="7" width="10.6640625" customWidth="1"/>
    <col min="8" max="8" width="14.6640625" customWidth="1"/>
    <col min="9" max="9" width="29.6640625" customWidth="1"/>
    <col min="10" max="10" width="1.6640625" customWidth="1"/>
    <col min="11" max="11" width="4.6640625" customWidth="1"/>
    <col min="12" max="12" width="0.88671875" customWidth="1"/>
    <col min="13" max="13" width="9.109375" style="9" hidden="1" customWidth="1"/>
    <col min="14" max="14" width="31.6640625" customWidth="1"/>
    <col min="15" max="15" width="0" hidden="1" customWidth="1"/>
    <col min="16" max="16" width="1.6640625" customWidth="1"/>
    <col min="17" max="34" width="11.6640625" customWidth="1"/>
    <col min="35" max="35" width="0.109375" customWidth="1"/>
    <col min="36" max="91" width="0" hidden="1" customWidth="1"/>
    <col min="92" max="92" width="1.6640625" customWidth="1"/>
  </cols>
  <sheetData>
    <row r="1" spans="1:91" ht="15.75" customHeight="1" x14ac:dyDescent="0.25">
      <c r="F1" s="717" t="str">
        <f>IF(ACOMPANHAMENTO="BM","MEMÓRIA DE CÁLCULO","PLQ - PLANILHA DE LEVANTAMENTO DE QUANTIDADES")</f>
        <v>MEMÓRIA DE CÁLCULO</v>
      </c>
      <c r="G1" s="717"/>
      <c r="H1" s="717"/>
      <c r="I1" s="179"/>
      <c r="K1" s="179"/>
      <c r="L1" s="179"/>
      <c r="M1" s="180"/>
      <c r="N1" s="179"/>
      <c r="P1" s="179"/>
      <c r="Q1" s="673" t="s">
        <v>141</v>
      </c>
      <c r="R1" s="673"/>
      <c r="Y1" s="673" t="s">
        <v>141</v>
      </c>
      <c r="Z1" s="673"/>
      <c r="AG1" s="673" t="s">
        <v>141</v>
      </c>
      <c r="AH1" s="673"/>
    </row>
    <row r="2" spans="1:91" ht="15" customHeight="1" x14ac:dyDescent="0.25">
      <c r="F2" s="718" t="str">
        <f>IF(ACOMPANHAMENTO="BM","","Memória de Cálculo")&amp;" - "&amp;import.recurso</f>
        <v xml:space="preserve"> - (SELECIONAR)</v>
      </c>
      <c r="G2" s="718"/>
      <c r="H2" s="718"/>
      <c r="I2" s="181"/>
      <c r="K2" s="181"/>
      <c r="L2" s="181"/>
      <c r="M2" s="182"/>
      <c r="N2" s="181"/>
      <c r="P2" s="181"/>
      <c r="Q2" s="674" t="s">
        <v>144</v>
      </c>
      <c r="R2" s="674"/>
      <c r="Y2" s="674" t="s">
        <v>144</v>
      </c>
      <c r="Z2" s="674"/>
      <c r="AG2" s="674" t="s">
        <v>144</v>
      </c>
      <c r="AH2" s="674"/>
    </row>
    <row r="3" spans="1:91" ht="12.75" customHeight="1" x14ac:dyDescent="0.25"/>
    <row r="4" spans="1:91" ht="12.75" customHeight="1" x14ac:dyDescent="0.25">
      <c r="E4" s="675" t="s">
        <v>204</v>
      </c>
      <c r="F4" s="675"/>
      <c r="G4" s="675" t="s">
        <v>148</v>
      </c>
      <c r="H4" s="675"/>
      <c r="I4" s="111" t="s">
        <v>147</v>
      </c>
      <c r="K4" s="183" t="s">
        <v>149</v>
      </c>
      <c r="L4" s="184"/>
      <c r="M4" s="184"/>
      <c r="N4" s="184"/>
      <c r="O4" s="184"/>
      <c r="P4" s="184"/>
      <c r="Q4" s="184"/>
      <c r="R4" s="185"/>
      <c r="S4" s="675" t="s">
        <v>147</v>
      </c>
      <c r="T4" s="675"/>
      <c r="U4" s="675" t="s">
        <v>149</v>
      </c>
      <c r="V4" s="675"/>
      <c r="W4" s="675"/>
      <c r="X4" s="675"/>
      <c r="Y4" s="675"/>
      <c r="Z4" s="675"/>
      <c r="AA4" s="675" t="s">
        <v>147</v>
      </c>
      <c r="AB4" s="675"/>
      <c r="AC4" s="675" t="s">
        <v>149</v>
      </c>
      <c r="AD4" s="675"/>
      <c r="AE4" s="675"/>
      <c r="AF4" s="675"/>
      <c r="AG4" s="675"/>
      <c r="AH4" s="675"/>
    </row>
    <row r="5" spans="1:91" ht="12.75" customHeight="1" x14ac:dyDescent="0.25">
      <c r="E5" s="672" t="str">
        <f>Import.Apelido</f>
        <v xml:space="preserve">ESCOLA BILÍNGUE (PADRÃO FNDE - 5 SALAS)     </v>
      </c>
      <c r="F5" s="672"/>
      <c r="G5" s="672">
        <f>Import.SICONV</f>
        <v>0</v>
      </c>
      <c r="H5" s="672"/>
      <c r="I5" s="117">
        <f>Import.CR</f>
        <v>0</v>
      </c>
      <c r="K5" s="186" t="str">
        <f>Import.Proponente</f>
        <v>PREFEITURA DO MUNICÍPIO DE LAGUNA</v>
      </c>
      <c r="L5" s="187"/>
      <c r="M5" s="129"/>
      <c r="N5" s="187"/>
      <c r="O5" s="187"/>
      <c r="P5" s="187"/>
      <c r="Q5" s="187"/>
      <c r="R5" s="118"/>
      <c r="S5" s="672">
        <f>Import.CR</f>
        <v>0</v>
      </c>
      <c r="T5" s="672"/>
      <c r="U5" s="672" t="str">
        <f>Import.Proponente</f>
        <v>PREFEITURA DO MUNICÍPIO DE LAGUNA</v>
      </c>
      <c r="V5" s="672"/>
      <c r="W5" s="672"/>
      <c r="X5" s="672"/>
      <c r="Y5" s="672"/>
      <c r="Z5" s="672"/>
      <c r="AA5" s="672">
        <f>Import.CR</f>
        <v>0</v>
      </c>
      <c r="AB5" s="672"/>
      <c r="AC5" s="672" t="str">
        <f>Import.Proponente</f>
        <v>PREFEITURA DO MUNICÍPIO DE LAGUNA</v>
      </c>
      <c r="AD5" s="672"/>
      <c r="AE5" s="672"/>
      <c r="AF5" s="672"/>
      <c r="AG5" s="672"/>
      <c r="AH5" s="672"/>
    </row>
    <row r="6" spans="1:91" ht="12.75" customHeight="1" x14ac:dyDescent="0.25">
      <c r="AJ6" t="s">
        <v>253</v>
      </c>
      <c r="BC6" t="s">
        <v>254</v>
      </c>
      <c r="BV6" t="s">
        <v>255</v>
      </c>
    </row>
    <row r="7" spans="1:91" ht="12.75" hidden="1" customHeight="1" x14ac:dyDescent="0.25"/>
    <row r="8" spans="1:91" ht="12.75" hidden="1" customHeight="1" x14ac:dyDescent="0.25"/>
    <row r="9" spans="1:91" ht="12.75" hidden="1" customHeight="1" x14ac:dyDescent="0.25"/>
    <row r="10" spans="1:91" ht="12.75" hidden="1" customHeight="1" x14ac:dyDescent="0.25"/>
    <row r="11" spans="1:91" ht="12.75" hidden="1" customHeight="1" x14ac:dyDescent="0.25"/>
    <row r="12" spans="1:91" ht="69.900000000000006" customHeight="1" x14ac:dyDescent="0.25">
      <c r="A12" s="188" t="str">
        <f ca="1">IF(OFFSET(EVENTOS!$C$5,1,0)="Automática, conforme os agrupadores Nível 4 do Orçamento",4,IF(OFFSET(EVENTOS!$C$5,1,0)="Automática, conforme os agrupadores Nível 3 do Orçamento",3,IF(OFFSET(EVENTOS!$C$5,1,0)="Definir Manualmente","Manual",2)))</f>
        <v>Manual</v>
      </c>
      <c r="B12" s="9" t="s">
        <v>256</v>
      </c>
      <c r="H12" s="189"/>
      <c r="I12" s="190"/>
      <c r="J12" s="191" t="s">
        <v>257</v>
      </c>
      <c r="K12" s="192" t="s">
        <v>258</v>
      </c>
      <c r="L12" s="191" t="s">
        <v>257</v>
      </c>
      <c r="M12" s="193">
        <f>IF(ACOMPANHAMENTO="BM",0,COUNTIF(M15:M710,0))</f>
        <v>0</v>
      </c>
      <c r="N12" s="190" t="s">
        <v>259</v>
      </c>
      <c r="O12" s="194"/>
      <c r="P12" s="191" t="s">
        <v>257</v>
      </c>
      <c r="Q12" s="630" t="s">
        <v>572</v>
      </c>
      <c r="R12" s="194"/>
      <c r="S12" s="194"/>
      <c r="T12" s="194"/>
      <c r="U12" s="194"/>
      <c r="V12" s="194"/>
      <c r="W12" s="194"/>
      <c r="X12" s="194"/>
      <c r="Y12" s="194"/>
      <c r="Z12" s="195"/>
      <c r="AA12" s="194"/>
      <c r="AB12" s="194"/>
      <c r="AC12" s="194"/>
      <c r="AD12" s="194"/>
      <c r="AE12" s="194"/>
      <c r="AF12" s="194"/>
      <c r="AG12" s="194"/>
      <c r="AH12" s="195"/>
      <c r="AI12" s="191" t="s">
        <v>257</v>
      </c>
      <c r="AJ12" s="196" t="str">
        <f ca="1">OFFSET($P$12,0,AJ$13)</f>
        <v>Única</v>
      </c>
      <c r="AK12" s="197">
        <f t="shared" ref="AK12:BA12" ca="1" si="0">OFFSET($P$12,0,AK$13)</f>
        <v>0</v>
      </c>
      <c r="AL12" s="197">
        <f t="shared" ca="1" si="0"/>
        <v>0</v>
      </c>
      <c r="AM12" s="197">
        <f t="shared" ca="1" si="0"/>
        <v>0</v>
      </c>
      <c r="AN12" s="197">
        <f t="shared" ca="1" si="0"/>
        <v>0</v>
      </c>
      <c r="AO12" s="197">
        <f t="shared" ca="1" si="0"/>
        <v>0</v>
      </c>
      <c r="AP12" s="197">
        <f t="shared" ca="1" si="0"/>
        <v>0</v>
      </c>
      <c r="AQ12" s="197">
        <f t="shared" ca="1" si="0"/>
        <v>0</v>
      </c>
      <c r="AR12" s="197">
        <f t="shared" ca="1" si="0"/>
        <v>0</v>
      </c>
      <c r="AS12" s="198">
        <f t="shared" ca="1" si="0"/>
        <v>0</v>
      </c>
      <c r="AT12" s="197">
        <f t="shared" ca="1" si="0"/>
        <v>0</v>
      </c>
      <c r="AU12" s="197">
        <f t="shared" ca="1" si="0"/>
        <v>0</v>
      </c>
      <c r="AV12" s="197">
        <f t="shared" ca="1" si="0"/>
        <v>0</v>
      </c>
      <c r="AW12" s="197">
        <f t="shared" ca="1" si="0"/>
        <v>0</v>
      </c>
      <c r="AX12" s="197">
        <f t="shared" ca="1" si="0"/>
        <v>0</v>
      </c>
      <c r="AY12" s="197">
        <f t="shared" ca="1" si="0"/>
        <v>0</v>
      </c>
      <c r="AZ12" s="197">
        <f t="shared" ca="1" si="0"/>
        <v>0</v>
      </c>
      <c r="BA12" s="198">
        <f t="shared" ca="1" si="0"/>
        <v>0</v>
      </c>
      <c r="BC12" s="196" t="str">
        <f ca="1">OFFSET($P$12,0,BC$13)</f>
        <v>Única</v>
      </c>
      <c r="BD12" s="197">
        <f t="shared" ref="BD12:BT12" ca="1" si="1">OFFSET($P$12,0,BD$13)</f>
        <v>0</v>
      </c>
      <c r="BE12" s="197">
        <f t="shared" ca="1" si="1"/>
        <v>0</v>
      </c>
      <c r="BF12" s="197">
        <f t="shared" ca="1" si="1"/>
        <v>0</v>
      </c>
      <c r="BG12" s="197">
        <f t="shared" ca="1" si="1"/>
        <v>0</v>
      </c>
      <c r="BH12" s="197">
        <f t="shared" ca="1" si="1"/>
        <v>0</v>
      </c>
      <c r="BI12" s="197">
        <f t="shared" ca="1" si="1"/>
        <v>0</v>
      </c>
      <c r="BJ12" s="197">
        <f t="shared" ca="1" si="1"/>
        <v>0</v>
      </c>
      <c r="BK12" s="197">
        <f t="shared" ca="1" si="1"/>
        <v>0</v>
      </c>
      <c r="BL12" s="198">
        <f t="shared" ca="1" si="1"/>
        <v>0</v>
      </c>
      <c r="BM12" s="197">
        <f t="shared" ca="1" si="1"/>
        <v>0</v>
      </c>
      <c r="BN12" s="197">
        <f t="shared" ca="1" si="1"/>
        <v>0</v>
      </c>
      <c r="BO12" s="197">
        <f t="shared" ca="1" si="1"/>
        <v>0</v>
      </c>
      <c r="BP12" s="197">
        <f t="shared" ca="1" si="1"/>
        <v>0</v>
      </c>
      <c r="BQ12" s="197">
        <f t="shared" ca="1" si="1"/>
        <v>0</v>
      </c>
      <c r="BR12" s="197">
        <f t="shared" ca="1" si="1"/>
        <v>0</v>
      </c>
      <c r="BS12" s="197">
        <f t="shared" ca="1" si="1"/>
        <v>0</v>
      </c>
      <c r="BT12" s="198">
        <f t="shared" ca="1" si="1"/>
        <v>0</v>
      </c>
      <c r="BV12" s="196" t="str">
        <f ca="1">OFFSET($P$12,0,BV$13)</f>
        <v>Única</v>
      </c>
      <c r="BW12" s="197">
        <f t="shared" ref="BW12:CM12" ca="1" si="2">OFFSET($P$12,0,BW$13)</f>
        <v>0</v>
      </c>
      <c r="BX12" s="197">
        <f t="shared" ca="1" si="2"/>
        <v>0</v>
      </c>
      <c r="BY12" s="197">
        <f t="shared" ca="1" si="2"/>
        <v>0</v>
      </c>
      <c r="BZ12" s="197">
        <f t="shared" ca="1" si="2"/>
        <v>0</v>
      </c>
      <c r="CA12" s="197">
        <f t="shared" ca="1" si="2"/>
        <v>0</v>
      </c>
      <c r="CB12" s="197">
        <f t="shared" ca="1" si="2"/>
        <v>0</v>
      </c>
      <c r="CC12" s="197">
        <f t="shared" ca="1" si="2"/>
        <v>0</v>
      </c>
      <c r="CD12" s="197">
        <f t="shared" ca="1" si="2"/>
        <v>0</v>
      </c>
      <c r="CE12" s="198">
        <f t="shared" ca="1" si="2"/>
        <v>0</v>
      </c>
      <c r="CF12" s="197">
        <f t="shared" ca="1" si="2"/>
        <v>0</v>
      </c>
      <c r="CG12" s="197">
        <f t="shared" ca="1" si="2"/>
        <v>0</v>
      </c>
      <c r="CH12" s="197">
        <f t="shared" ca="1" si="2"/>
        <v>0</v>
      </c>
      <c r="CI12" s="197">
        <f t="shared" ca="1" si="2"/>
        <v>0</v>
      </c>
      <c r="CJ12" s="197">
        <f t="shared" ca="1" si="2"/>
        <v>0</v>
      </c>
      <c r="CK12" s="197">
        <f t="shared" ca="1" si="2"/>
        <v>0</v>
      </c>
      <c r="CL12" s="197">
        <f t="shared" ca="1" si="2"/>
        <v>0</v>
      </c>
      <c r="CM12" s="198">
        <f t="shared" ca="1" si="2"/>
        <v>0</v>
      </c>
    </row>
    <row r="13" spans="1:91" ht="12.75" customHeight="1" x14ac:dyDescent="0.25">
      <c r="A13" s="199" t="s">
        <v>260</v>
      </c>
      <c r="B13" s="9" t="s">
        <v>256</v>
      </c>
      <c r="D13" s="136" t="s">
        <v>231</v>
      </c>
      <c r="E13" s="136" t="s">
        <v>233</v>
      </c>
      <c r="F13" s="136" t="s">
        <v>236</v>
      </c>
      <c r="G13" s="138" t="s">
        <v>237</v>
      </c>
      <c r="H13" s="136" t="s">
        <v>205</v>
      </c>
      <c r="I13" s="136" t="s">
        <v>261</v>
      </c>
      <c r="K13" s="136" t="s">
        <v>262</v>
      </c>
      <c r="L13" s="191"/>
      <c r="M13" s="136" t="s">
        <v>263</v>
      </c>
      <c r="N13" s="136" t="s">
        <v>264</v>
      </c>
      <c r="O13" s="200" t="e">
        <f ca="1">OFFSET(O13,0,-1)+1</f>
        <v>#VALUE!</v>
      </c>
      <c r="Q13" s="201">
        <f t="shared" ref="Q13:AH13" ca="1" si="3">OFFSET(Q13,0,-1)+1</f>
        <v>1</v>
      </c>
      <c r="R13" s="200">
        <f t="shared" ca="1" si="3"/>
        <v>2</v>
      </c>
      <c r="S13" s="200">
        <f t="shared" ca="1" si="3"/>
        <v>3</v>
      </c>
      <c r="T13" s="200">
        <f t="shared" ca="1" si="3"/>
        <v>4</v>
      </c>
      <c r="U13" s="200">
        <f t="shared" ca="1" si="3"/>
        <v>5</v>
      </c>
      <c r="V13" s="200">
        <f t="shared" ca="1" si="3"/>
        <v>6</v>
      </c>
      <c r="W13" s="200">
        <f t="shared" ca="1" si="3"/>
        <v>7</v>
      </c>
      <c r="X13" s="200">
        <f t="shared" ca="1" si="3"/>
        <v>8</v>
      </c>
      <c r="Y13" s="200">
        <f t="shared" ca="1" si="3"/>
        <v>9</v>
      </c>
      <c r="Z13" s="202">
        <f t="shared" ca="1" si="3"/>
        <v>10</v>
      </c>
      <c r="AA13" s="200">
        <f t="shared" ca="1" si="3"/>
        <v>11</v>
      </c>
      <c r="AB13" s="200">
        <f t="shared" ca="1" si="3"/>
        <v>12</v>
      </c>
      <c r="AC13" s="200">
        <f t="shared" ca="1" si="3"/>
        <v>13</v>
      </c>
      <c r="AD13" s="200">
        <f t="shared" ca="1" si="3"/>
        <v>14</v>
      </c>
      <c r="AE13" s="200">
        <f t="shared" ca="1" si="3"/>
        <v>15</v>
      </c>
      <c r="AF13" s="200">
        <f t="shared" ca="1" si="3"/>
        <v>16</v>
      </c>
      <c r="AG13" s="200">
        <f t="shared" ca="1" si="3"/>
        <v>17</v>
      </c>
      <c r="AH13" s="202">
        <f t="shared" ca="1" si="3"/>
        <v>18</v>
      </c>
      <c r="AJ13" s="142">
        <f t="shared" ref="AJ13:CM13" ca="1" si="4">OFFSET(AJ13,0,-1)+1</f>
        <v>1</v>
      </c>
      <c r="AK13" s="203">
        <f t="shared" ca="1" si="4"/>
        <v>2</v>
      </c>
      <c r="AL13" s="203">
        <f t="shared" ca="1" si="4"/>
        <v>3</v>
      </c>
      <c r="AM13" s="203">
        <f t="shared" ca="1" si="4"/>
        <v>4</v>
      </c>
      <c r="AN13" s="203">
        <f t="shared" ca="1" si="4"/>
        <v>5</v>
      </c>
      <c r="AO13" s="203">
        <f t="shared" ca="1" si="4"/>
        <v>6</v>
      </c>
      <c r="AP13" s="203">
        <f t="shared" ca="1" si="4"/>
        <v>7</v>
      </c>
      <c r="AQ13" s="203">
        <f t="shared" ca="1" si="4"/>
        <v>8</v>
      </c>
      <c r="AR13" s="203">
        <f t="shared" ca="1" si="4"/>
        <v>9</v>
      </c>
      <c r="AS13" s="204">
        <f t="shared" ca="1" si="4"/>
        <v>10</v>
      </c>
      <c r="AT13" s="203">
        <f t="shared" ca="1" si="4"/>
        <v>11</v>
      </c>
      <c r="AU13" s="203">
        <f t="shared" ca="1" si="4"/>
        <v>12</v>
      </c>
      <c r="AV13" s="203">
        <f t="shared" ca="1" si="4"/>
        <v>13</v>
      </c>
      <c r="AW13" s="203">
        <f t="shared" ca="1" si="4"/>
        <v>14</v>
      </c>
      <c r="AX13" s="203">
        <f t="shared" ca="1" si="4"/>
        <v>15</v>
      </c>
      <c r="AY13" s="203">
        <f t="shared" ca="1" si="4"/>
        <v>16</v>
      </c>
      <c r="AZ13" s="203">
        <f t="shared" ca="1" si="4"/>
        <v>17</v>
      </c>
      <c r="BA13" s="204">
        <f t="shared" ca="1" si="4"/>
        <v>18</v>
      </c>
      <c r="BC13" s="142">
        <f t="shared" ca="1" si="4"/>
        <v>1</v>
      </c>
      <c r="BD13" s="203">
        <f t="shared" ca="1" si="4"/>
        <v>2</v>
      </c>
      <c r="BE13" s="203">
        <f t="shared" ca="1" si="4"/>
        <v>3</v>
      </c>
      <c r="BF13" s="203">
        <f t="shared" ca="1" si="4"/>
        <v>4</v>
      </c>
      <c r="BG13" s="203">
        <f t="shared" ca="1" si="4"/>
        <v>5</v>
      </c>
      <c r="BH13" s="203">
        <f t="shared" ca="1" si="4"/>
        <v>6</v>
      </c>
      <c r="BI13" s="203">
        <f t="shared" ca="1" si="4"/>
        <v>7</v>
      </c>
      <c r="BJ13" s="203">
        <f t="shared" ca="1" si="4"/>
        <v>8</v>
      </c>
      <c r="BK13" s="203">
        <f t="shared" ca="1" si="4"/>
        <v>9</v>
      </c>
      <c r="BL13" s="204">
        <f t="shared" ca="1" si="4"/>
        <v>10</v>
      </c>
      <c r="BM13" s="203">
        <f t="shared" ca="1" si="4"/>
        <v>11</v>
      </c>
      <c r="BN13" s="203">
        <f t="shared" ca="1" si="4"/>
        <v>12</v>
      </c>
      <c r="BO13" s="203">
        <f t="shared" ca="1" si="4"/>
        <v>13</v>
      </c>
      <c r="BP13" s="203">
        <f t="shared" ca="1" si="4"/>
        <v>14</v>
      </c>
      <c r="BQ13" s="203">
        <f t="shared" ca="1" si="4"/>
        <v>15</v>
      </c>
      <c r="BR13" s="203">
        <f t="shared" ca="1" si="4"/>
        <v>16</v>
      </c>
      <c r="BS13" s="203">
        <f t="shared" ca="1" si="4"/>
        <v>17</v>
      </c>
      <c r="BT13" s="204">
        <f t="shared" ca="1" si="4"/>
        <v>18</v>
      </c>
      <c r="BV13" s="142">
        <f t="shared" ca="1" si="4"/>
        <v>1</v>
      </c>
      <c r="BW13" s="203">
        <f t="shared" ca="1" si="4"/>
        <v>2</v>
      </c>
      <c r="BX13" s="203">
        <f t="shared" ca="1" si="4"/>
        <v>3</v>
      </c>
      <c r="BY13" s="203">
        <f t="shared" ca="1" si="4"/>
        <v>4</v>
      </c>
      <c r="BZ13" s="203">
        <f t="shared" ca="1" si="4"/>
        <v>5</v>
      </c>
      <c r="CA13" s="203">
        <f t="shared" ca="1" si="4"/>
        <v>6</v>
      </c>
      <c r="CB13" s="203">
        <f t="shared" ca="1" si="4"/>
        <v>7</v>
      </c>
      <c r="CC13" s="203">
        <f t="shared" ca="1" si="4"/>
        <v>8</v>
      </c>
      <c r="CD13" s="203">
        <f t="shared" ca="1" si="4"/>
        <v>9</v>
      </c>
      <c r="CE13" s="204">
        <f t="shared" ca="1" si="4"/>
        <v>10</v>
      </c>
      <c r="CF13" s="203">
        <f t="shared" ca="1" si="4"/>
        <v>11</v>
      </c>
      <c r="CG13" s="203">
        <f t="shared" ca="1" si="4"/>
        <v>12</v>
      </c>
      <c r="CH13" s="203">
        <f t="shared" ca="1" si="4"/>
        <v>13</v>
      </c>
      <c r="CI13" s="203">
        <f t="shared" ca="1" si="4"/>
        <v>14</v>
      </c>
      <c r="CJ13" s="203">
        <f t="shared" ca="1" si="4"/>
        <v>15</v>
      </c>
      <c r="CK13" s="203">
        <f t="shared" ca="1" si="4"/>
        <v>16</v>
      </c>
      <c r="CL13" s="203">
        <f t="shared" ca="1" si="4"/>
        <v>17</v>
      </c>
      <c r="CM13" s="204">
        <f t="shared" ca="1" si="4"/>
        <v>18</v>
      </c>
    </row>
    <row r="14" spans="1:91" ht="13.2" hidden="1" x14ac:dyDescent="0.25">
      <c r="A14" s="9">
        <f ca="1">IF(AUTOEVENTO="Manual",IF(K14&lt;&gt;"",MIN(VALUE(LEFT(K14,FIND(".",K14)-1)),COUNTA(EVENTOS.Lista)),0),IF(OR($B14&gt;AUTOEVENTO,$B14="S",$B14=0),SUBSTITUTE(OFFSET($A14,-1,0),IF($D14="Serviço",".",""),""),ROW(A14)-ROW($A$15)&amp;"."))</f>
        <v>0</v>
      </c>
      <c r="B14" s="9" t="str">
        <f ca="1">OFFSET(ORÇAMENTO!C$15,ROW(B14)-ROW(B$15),0)</f>
        <v>S</v>
      </c>
      <c r="C14" s="9" t="str">
        <f ca="1">OFFSET(ORÇAMENTO!L$15,ROW(C14)-ROW(C$15),0)</f>
        <v/>
      </c>
      <c r="D14" s="145" t="str">
        <f ca="1">OFFSET(ORÇAMENTO!N$15,ROW(D14)-ROW(D$15),0)</f>
        <v>Serviço</v>
      </c>
      <c r="E14" s="205" t="str">
        <f ca="1">OFFSET(ORÇAMENTO!O$15,ROW(E14)-ROW(E$15),0)</f>
        <v>-</v>
      </c>
      <c r="F14" s="206" t="str">
        <f ca="1">OFFSET(ORÇAMENTO!R$15,ROW(F14)-ROW(F$15),0)</f>
        <v>(abra o arquivo 'Referência 05-2024.xls)</v>
      </c>
      <c r="G14" s="207" t="str">
        <f ca="1">IF($D14&lt;&gt;"Serviço","",OFFSET(ORÇAMENTO!S$15,ROW(G14)-ROW(G$15),0))</f>
        <v>-</v>
      </c>
      <c r="H14" s="151">
        <f ca="1">IF($D14&lt;&gt;"Serviço",0,IF(ACOMPANHAMENTO="BM",ROUND(OFFSET(ORÇAMENTO!AJ$15,ROW(H14)-ROW(H$15),0),15-13*ORÇAMENTO!$AF$7),SUMPRODUCT(($Q$12:$AI$12&lt;&gt;"")*ROUND($Q14:$AI14,15-13*ORÇAMENTO!$AF$7))))</f>
        <v>0</v>
      </c>
      <c r="I14" s="650"/>
      <c r="K14" s="208"/>
      <c r="L14" s="209" t="s">
        <v>257</v>
      </c>
      <c r="M14" s="210">
        <f ca="1">IF($D14&lt;&gt;"Serviço","",IF(AUTOEVENTO="manual",$A14,IF(ISERROR(MATCH($A14,$A$15:OFFSET($A14,-1,0),0)),MAX($M$15:OFFSET(M14,-1,0))+1,INDEX($M$15:OFFSET(M14,-1,0),MATCH($A14,$A$15:OFFSET($A14,-1,0),0)))))</f>
        <v>0</v>
      </c>
      <c r="N14" s="211" t="str">
        <f ca="1">IF($D14&lt;&gt;"Serviço","",IF(AUTOEVENTO="Manual",IF($A14=0,"&lt;-- defina o número do agrupador",OFFSET(EVENTOS!$D$14,$A14,0)),OFFSET($F$15,$A14,0)))</f>
        <v>&lt;-- defina o número do agrupador</v>
      </c>
      <c r="O14" s="212"/>
      <c r="Q14" s="212"/>
      <c r="R14" s="213"/>
      <c r="S14" s="213"/>
      <c r="T14" s="213"/>
      <c r="U14" s="213"/>
      <c r="V14" s="213"/>
      <c r="W14" s="213"/>
      <c r="X14" s="213"/>
      <c r="Y14" s="213"/>
      <c r="Z14" s="214"/>
      <c r="AA14" s="213"/>
      <c r="AB14" s="213"/>
      <c r="AC14" s="213"/>
      <c r="AD14" s="213"/>
      <c r="AE14" s="213"/>
      <c r="AF14" s="213"/>
      <c r="AG14" s="213"/>
      <c r="AH14" s="214"/>
      <c r="AJ14" s="631">
        <f ca="1">IF(AND($D14="Serviço",AJ$12&lt;&gt;0,$H14&gt;0,OR(AUTOEVENTO&lt;&gt;"manual",$M14&lt;&gt;1)),ROUND(OFFSET($P14,0,AJ$13),15-13*ORÇAMENTO!$AF$7)/$H14*OFFSET(ORÇAMENTO!$X$15,ROW(AJ14)-ROW(AJ$15),0),0)</f>
        <v>0</v>
      </c>
      <c r="AK14" s="632">
        <f ca="1">IF(AND($D14="Serviço",AK$12&lt;&gt;0,$H14&gt;0,OR(AUTOEVENTO&lt;&gt;"manual",$M14&lt;&gt;1)),ROUND(OFFSET($P14,0,AK$13),15-13*ORÇAMENTO!$AF$7)/$H14*OFFSET(ORÇAMENTO!$X$15,ROW(AK14)-ROW(AK$15),0),0)</f>
        <v>0</v>
      </c>
      <c r="AL14" s="632">
        <f ca="1">IF(AND($D14="Serviço",AL$12&lt;&gt;0,$H14&gt;0,OR(AUTOEVENTO&lt;&gt;"manual",$M14&lt;&gt;1)),ROUND(OFFSET($P14,0,AL$13),15-13*ORÇAMENTO!$AF$7)/$H14*OFFSET(ORÇAMENTO!$X$15,ROW(AL14)-ROW(AL$15),0),0)</f>
        <v>0</v>
      </c>
      <c r="AM14" s="632">
        <f ca="1">IF(AND($D14="Serviço",AM$12&lt;&gt;0,$H14&gt;0,OR(AUTOEVENTO&lt;&gt;"manual",$M14&lt;&gt;1)),ROUND(OFFSET($P14,0,AM$13),15-13*ORÇAMENTO!$AF$7)/$H14*OFFSET(ORÇAMENTO!$X$15,ROW(AM14)-ROW(AM$15),0),0)</f>
        <v>0</v>
      </c>
      <c r="AN14" s="632">
        <f ca="1">IF(AND($D14="Serviço",AN$12&lt;&gt;0,$H14&gt;0,OR(AUTOEVENTO&lt;&gt;"manual",$M14&lt;&gt;1)),ROUND(OFFSET($P14,0,AN$13),15-13*ORÇAMENTO!$AF$7)/$H14*OFFSET(ORÇAMENTO!$X$15,ROW(AN14)-ROW(AN$15),0),0)</f>
        <v>0</v>
      </c>
      <c r="AO14" s="632">
        <f ca="1">IF(AND($D14="Serviço",AO$12&lt;&gt;0,$H14&gt;0,OR(AUTOEVENTO&lt;&gt;"manual",$M14&lt;&gt;1)),ROUND(OFFSET($P14,0,AO$13),15-13*ORÇAMENTO!$AF$7)/$H14*OFFSET(ORÇAMENTO!$X$15,ROW(AO14)-ROW(AO$15),0),0)</f>
        <v>0</v>
      </c>
      <c r="AP14" s="632">
        <f ca="1">IF(AND($D14="Serviço",AP$12&lt;&gt;0,$H14&gt;0,OR(AUTOEVENTO&lt;&gt;"manual",$M14&lt;&gt;1)),ROUND(OFFSET($P14,0,AP$13),15-13*ORÇAMENTO!$AF$7)/$H14*OFFSET(ORÇAMENTO!$X$15,ROW(AP14)-ROW(AP$15),0),0)</f>
        <v>0</v>
      </c>
      <c r="AQ14" s="632">
        <f ca="1">IF(AND($D14="Serviço",AQ$12&lt;&gt;0,$H14&gt;0,OR(AUTOEVENTO&lt;&gt;"manual",$M14&lt;&gt;1)),ROUND(OFFSET($P14,0,AQ$13),15-13*ORÇAMENTO!$AF$7)/$H14*OFFSET(ORÇAMENTO!$X$15,ROW(AQ14)-ROW(AQ$15),0),0)</f>
        <v>0</v>
      </c>
      <c r="AR14" s="632">
        <f ca="1">IF(AND($D14="Serviço",AR$12&lt;&gt;0,$H14&gt;0,OR(AUTOEVENTO&lt;&gt;"manual",$M14&lt;&gt;1)),ROUND(OFFSET($P14,0,AR$13),15-13*ORÇAMENTO!$AF$7)/$H14*OFFSET(ORÇAMENTO!$X$15,ROW(AR14)-ROW(AR$15),0),0)</f>
        <v>0</v>
      </c>
      <c r="AS14" s="633">
        <f ca="1">IF(AND($D14="Serviço",AS$12&lt;&gt;0,$H14&gt;0,OR(AUTOEVENTO&lt;&gt;"manual",$M14&lt;&gt;1)),ROUND(OFFSET($P14,0,AS$13),15-13*ORÇAMENTO!$AF$7)/$H14*OFFSET(ORÇAMENTO!$X$15,ROW(AS14)-ROW(AS$15),0),0)</f>
        <v>0</v>
      </c>
      <c r="AT14" s="632">
        <f ca="1">IF(AND($D14="Serviço",AT$12&lt;&gt;0,$H14&gt;0,OR(AUTOEVENTO&lt;&gt;"manual",$M14&lt;&gt;1)),ROUND(OFFSET($P14,0,AT$13),15-13*ORÇAMENTO!$AF$7)/$H14*OFFSET(ORÇAMENTO!$X$15,ROW(AT14)-ROW(AT$15),0),0)</f>
        <v>0</v>
      </c>
      <c r="AU14" s="632">
        <f ca="1">IF(AND($D14="Serviço",AU$12&lt;&gt;0,$H14&gt;0,OR(AUTOEVENTO&lt;&gt;"manual",$M14&lt;&gt;1)),ROUND(OFFSET($P14,0,AU$13),15-13*ORÇAMENTO!$AF$7)/$H14*OFFSET(ORÇAMENTO!$X$15,ROW(AU14)-ROW(AU$15),0),0)</f>
        <v>0</v>
      </c>
      <c r="AV14" s="632">
        <f ca="1">IF(AND($D14="Serviço",AV$12&lt;&gt;0,$H14&gt;0,OR(AUTOEVENTO&lt;&gt;"manual",$M14&lt;&gt;1)),ROUND(OFFSET($P14,0,AV$13),15-13*ORÇAMENTO!$AF$7)/$H14*OFFSET(ORÇAMENTO!$X$15,ROW(AV14)-ROW(AV$15),0),0)</f>
        <v>0</v>
      </c>
      <c r="AW14" s="632">
        <f ca="1">IF(AND($D14="Serviço",AW$12&lt;&gt;0,$H14&gt;0,OR(AUTOEVENTO&lt;&gt;"manual",$M14&lt;&gt;1)),ROUND(OFFSET($P14,0,AW$13),15-13*ORÇAMENTO!$AF$7)/$H14*OFFSET(ORÇAMENTO!$X$15,ROW(AW14)-ROW(AW$15),0),0)</f>
        <v>0</v>
      </c>
      <c r="AX14" s="632">
        <f ca="1">IF(AND($D14="Serviço",AX$12&lt;&gt;0,$H14&gt;0,OR(AUTOEVENTO&lt;&gt;"manual",$M14&lt;&gt;1)),ROUND(OFFSET($P14,0,AX$13),15-13*ORÇAMENTO!$AF$7)/$H14*OFFSET(ORÇAMENTO!$X$15,ROW(AX14)-ROW(AX$15),0),0)</f>
        <v>0</v>
      </c>
      <c r="AY14" s="632">
        <f ca="1">IF(AND($D14="Serviço",AY$12&lt;&gt;0,$H14&gt;0,OR(AUTOEVENTO&lt;&gt;"manual",$M14&lt;&gt;1)),ROUND(OFFSET($P14,0,AY$13),15-13*ORÇAMENTO!$AF$7)/$H14*OFFSET(ORÇAMENTO!$X$15,ROW(AY14)-ROW(AY$15),0),0)</f>
        <v>0</v>
      </c>
      <c r="AZ14" s="632">
        <f ca="1">IF(AND($D14="Serviço",AZ$12&lt;&gt;0,$H14&gt;0,OR(AUTOEVENTO&lt;&gt;"manual",$M14&lt;&gt;1)),ROUND(OFFSET($P14,0,AZ$13),15-13*ORÇAMENTO!$AF$7)/$H14*OFFSET(ORÇAMENTO!$X$15,ROW(AZ14)-ROW(AZ$15),0),0)</f>
        <v>0</v>
      </c>
      <c r="BA14" s="633">
        <f ca="1">IF(AND($D14="Serviço",BA$12&lt;&gt;0,$H14&gt;0,OR(AUTOEVENTO&lt;&gt;"manual",$M14&lt;&gt;1)),ROUND(OFFSET($P14,0,BA$13),15-13*ORÇAMENTO!$AF$7)/$H14*OFFSET(ORÇAMENTO!$X$15,ROW(BA14)-ROW(BA$15),0),0)</f>
        <v>0</v>
      </c>
      <c r="BC14" s="215">
        <f ca="1">IF($D14&lt;&gt;"Serviço",0,IF(AND(AUTOEVENTO="Manual",$M14=1),0,IF(OFFSET(CRONOPLE!$F$14,$M14,BC$13)="",10^12,OFFSET(CRONOPLE!$F$14,$M14,BC$13))))</f>
        <v>1000000000000</v>
      </c>
      <c r="BD14" s="215">
        <f ca="1">IF($D14&lt;&gt;"Serviço",0,IF(AND(AUTOEVENTO="Manual",$M14=1),0,IF(OFFSET(CRONOPLE!$F$14,$M14,BD$13)="",10^12,OFFSET(CRONOPLE!$F$14,$M14,BD$13))))</f>
        <v>1000000000000</v>
      </c>
      <c r="BE14" s="215">
        <f ca="1">IF($D14&lt;&gt;"Serviço",0,IF(AND(AUTOEVENTO="Manual",$M14=1),0,IF(OFFSET(CRONOPLE!$F$14,$M14,BE$13)="",10^12,OFFSET(CRONOPLE!$F$14,$M14,BE$13))))</f>
        <v>1000000000000</v>
      </c>
      <c r="BF14" s="215">
        <f ca="1">IF($D14&lt;&gt;"Serviço",0,IF(AND(AUTOEVENTO="Manual",$M14=1),0,IF(OFFSET(CRONOPLE!$F$14,$M14,BF$13)="",10^12,OFFSET(CRONOPLE!$F$14,$M14,BF$13))))</f>
        <v>1000000000000</v>
      </c>
      <c r="BG14" s="215">
        <f ca="1">IF($D14&lt;&gt;"Serviço",0,IF(AND(AUTOEVENTO="Manual",$M14=1),0,IF(OFFSET(CRONOPLE!$F$14,$M14,BG$13)="",10^12,OFFSET(CRONOPLE!$F$14,$M14,BG$13))))</f>
        <v>1000000000000</v>
      </c>
      <c r="BH14" s="215">
        <f ca="1">IF($D14&lt;&gt;"Serviço",0,IF(AND(AUTOEVENTO="Manual",$M14=1),0,IF(OFFSET(CRONOPLE!$F$14,$M14,BH$13)="",10^12,OFFSET(CRONOPLE!$F$14,$M14,BH$13))))</f>
        <v>1000000000000</v>
      </c>
      <c r="BI14" s="215">
        <f ca="1">IF($D14&lt;&gt;"Serviço",0,IF(AND(AUTOEVENTO="Manual",$M14=1),0,IF(OFFSET(CRONOPLE!$F$14,$M14,BI$13)="",10^12,OFFSET(CRONOPLE!$F$14,$M14,BI$13))))</f>
        <v>1000000000000</v>
      </c>
      <c r="BJ14" s="215">
        <f ca="1">IF($D14&lt;&gt;"Serviço",0,IF(AND(AUTOEVENTO="Manual",$M14=1),0,IF(OFFSET(CRONOPLE!$F$14,$M14,BJ$13)="",10^12,OFFSET(CRONOPLE!$F$14,$M14,BJ$13))))</f>
        <v>1000000000000</v>
      </c>
      <c r="BK14" s="215">
        <f ca="1">IF($D14&lt;&gt;"Serviço",0,IF(AND(AUTOEVENTO="Manual",$M14=1),0,IF(OFFSET(CRONOPLE!$F$14,$M14,BK$13)="",10^12,OFFSET(CRONOPLE!$F$14,$M14,BK$13))))</f>
        <v>1000000000000</v>
      </c>
      <c r="BL14" s="215">
        <f ca="1">IF($D14&lt;&gt;"Serviço",0,IF(AND(AUTOEVENTO="Manual",$M14=1),0,IF(OFFSET(CRONOPLE!$F$14,$M14,BL$13)="",10^12,OFFSET(CRONOPLE!$F$14,$M14,BL$13))))</f>
        <v>1000000000000</v>
      </c>
      <c r="BM14" s="215">
        <f ca="1">IF($D14&lt;&gt;"Serviço",0,IF(AND(AUTOEVENTO="Manual",$M14=1),0,IF(OFFSET(CRONOPLE!$F$14,$M14,BM$13)="",10^12,OFFSET(CRONOPLE!$F$14,$M14,BM$13))))</f>
        <v>1000000000000</v>
      </c>
      <c r="BN14" s="215">
        <f ca="1">IF($D14&lt;&gt;"Serviço",0,IF(AND(AUTOEVENTO="Manual",$M14=1),0,IF(OFFSET(CRONOPLE!$F$14,$M14,BN$13)="",10^12,OFFSET(CRONOPLE!$F$14,$M14,BN$13))))</f>
        <v>1000000000000</v>
      </c>
      <c r="BO14" s="215">
        <f ca="1">IF($D14&lt;&gt;"Serviço",0,IF(AND(AUTOEVENTO="Manual",$M14=1),0,IF(OFFSET(CRONOPLE!$F$14,$M14,BO$13)="",10^12,OFFSET(CRONOPLE!$F$14,$M14,BO$13))))</f>
        <v>1000000000000</v>
      </c>
      <c r="BP14" s="215">
        <f ca="1">IF($D14&lt;&gt;"Serviço",0,IF(AND(AUTOEVENTO="Manual",$M14=1),0,IF(OFFSET(CRONOPLE!$F$14,$M14,BP$13)="",10^12,OFFSET(CRONOPLE!$F$14,$M14,BP$13))))</f>
        <v>1000000000000</v>
      </c>
      <c r="BQ14" s="215">
        <f ca="1">IF($D14&lt;&gt;"Serviço",0,IF(AND(AUTOEVENTO="Manual",$M14=1),0,IF(OFFSET(CRONOPLE!$F$14,$M14,BQ$13)="",10^12,OFFSET(CRONOPLE!$F$14,$M14,BQ$13))))</f>
        <v>1000000000000</v>
      </c>
      <c r="BR14" s="215">
        <f ca="1">IF($D14&lt;&gt;"Serviço",0,IF(AND(AUTOEVENTO="Manual",$M14=1),0,IF(OFFSET(CRONOPLE!$F$14,$M14,BR$13)="",10^12,OFFSET(CRONOPLE!$F$14,$M14,BR$13))))</f>
        <v>1000000000000</v>
      </c>
      <c r="BS14" s="215">
        <f ca="1">IF($D14&lt;&gt;"Serviço",0,IF(AND(AUTOEVENTO="Manual",$M14=1),0,IF(OFFSET(CRONOPLE!$F$14,$M14,BS$13)="",10^12,OFFSET(CRONOPLE!$F$14,$M14,BS$13))))</f>
        <v>1000000000000</v>
      </c>
      <c r="BT14" s="215">
        <f ca="1">IF($D14&lt;&gt;"Serviço",0,IF(AND(AUTOEVENTO="Manual",$M14=1),0,IF(OFFSET(CRONOPLE!$F$14,$M14,BT$13)="",10^12,OFFSET(CRONOPLE!$F$14,$M14,BT$13))))</f>
        <v>1000000000000</v>
      </c>
      <c r="BV14" s="216">
        <f ca="1">IF($D14&lt;&gt;"Serviço",0,IF(OR(AND(AUTOEVENTO="Manual",$M14=1),$M14&gt;(ROW(PLE.lastrow)-ROW(PLE.firstrow))),0,IF(OFFSET(PLE!$G$14,$M14,BV$13)="",10^12,OFFSET(PLE!$G$14,$M14,BV$13))))</f>
        <v>1000000000000</v>
      </c>
      <c r="BW14" s="216">
        <f ca="1">IF($D14&lt;&gt;"Serviço",0,IF(OR(AND(AUTOEVENTO="Manual",$M14=1),$M14&gt;(ROW(PLE.lastrow)-ROW(PLE.firstrow))),0,IF(OFFSET(PLE!$G$14,$M14,BW$13)="",10^12,OFFSET(PLE!$G$14,$M14,BW$13))))</f>
        <v>1000000000000</v>
      </c>
      <c r="BX14" s="216">
        <f ca="1">IF($D14&lt;&gt;"Serviço",0,IF(OR(AND(AUTOEVENTO="Manual",$M14=1),$M14&gt;(ROW(PLE.lastrow)-ROW(PLE.firstrow))),0,IF(OFFSET(PLE!$G$14,$M14,BX$13)="",10^12,OFFSET(PLE!$G$14,$M14,BX$13))))</f>
        <v>1000000000000</v>
      </c>
      <c r="BY14" s="216">
        <f ca="1">IF($D14&lt;&gt;"Serviço",0,IF(OR(AND(AUTOEVENTO="Manual",$M14=1),$M14&gt;(ROW(PLE.lastrow)-ROW(PLE.firstrow))),0,IF(OFFSET(PLE!$G$14,$M14,BY$13)="",10^12,OFFSET(PLE!$G$14,$M14,BY$13))))</f>
        <v>1000000000000</v>
      </c>
      <c r="BZ14" s="216">
        <f ca="1">IF($D14&lt;&gt;"Serviço",0,IF(OR(AND(AUTOEVENTO="Manual",$M14=1),$M14&gt;(ROW(PLE.lastrow)-ROW(PLE.firstrow))),0,IF(OFFSET(PLE!$G$14,$M14,BZ$13)="",10^12,OFFSET(PLE!$G$14,$M14,BZ$13))))</f>
        <v>1000000000000</v>
      </c>
      <c r="CA14" s="216">
        <f ca="1">IF($D14&lt;&gt;"Serviço",0,IF(OR(AND(AUTOEVENTO="Manual",$M14=1),$M14&gt;(ROW(PLE.lastrow)-ROW(PLE.firstrow))),0,IF(OFFSET(PLE!$G$14,$M14,CA$13)="",10^12,OFFSET(PLE!$G$14,$M14,CA$13))))</f>
        <v>1000000000000</v>
      </c>
      <c r="CB14" s="216">
        <f ca="1">IF($D14&lt;&gt;"Serviço",0,IF(OR(AND(AUTOEVENTO="Manual",$M14=1),$M14&gt;(ROW(PLE.lastrow)-ROW(PLE.firstrow))),0,IF(OFFSET(PLE!$G$14,$M14,CB$13)="",10^12,OFFSET(PLE!$G$14,$M14,CB$13))))</f>
        <v>1000000000000</v>
      </c>
      <c r="CC14" s="216">
        <f ca="1">IF($D14&lt;&gt;"Serviço",0,IF(OR(AND(AUTOEVENTO="Manual",$M14=1),$M14&gt;(ROW(PLE.lastrow)-ROW(PLE.firstrow))),0,IF(OFFSET(PLE!$G$14,$M14,CC$13)="",10^12,OFFSET(PLE!$G$14,$M14,CC$13))))</f>
        <v>1000000000000</v>
      </c>
      <c r="CD14" s="216">
        <f ca="1">IF($D14&lt;&gt;"Serviço",0,IF(OR(AND(AUTOEVENTO="Manual",$M14=1),$M14&gt;(ROW(PLE.lastrow)-ROW(PLE.firstrow))),0,IF(OFFSET(PLE!$G$14,$M14,CD$13)="",10^12,OFFSET(PLE!$G$14,$M14,CD$13))))</f>
        <v>1000000000000</v>
      </c>
      <c r="CE14" s="216">
        <f ca="1">IF($D14&lt;&gt;"Serviço",0,IF(OR(AND(AUTOEVENTO="Manual",$M14=1),$M14&gt;(ROW(PLE.lastrow)-ROW(PLE.firstrow))),0,IF(OFFSET(PLE!$G$14,$M14,CE$13)="",10^12,OFFSET(PLE!$G$14,$M14,CE$13))))</f>
        <v>1000000000000</v>
      </c>
      <c r="CF14" s="216">
        <f ca="1">IF($D14&lt;&gt;"Serviço",0,IF(OR(AND(AUTOEVENTO="Manual",$M14=1),$M14&gt;(ROW(PLE.lastrow)-ROW(PLE.firstrow))),0,IF(OFFSET(PLE!$G$14,$M14,CF$13)="",10^12,OFFSET(PLE!$G$14,$M14,CF$13))))</f>
        <v>1000000000000</v>
      </c>
      <c r="CG14" s="216">
        <f ca="1">IF($D14&lt;&gt;"Serviço",0,IF(OR(AND(AUTOEVENTO="Manual",$M14=1),$M14&gt;(ROW(PLE.lastrow)-ROW(PLE.firstrow))),0,IF(OFFSET(PLE!$G$14,$M14,CG$13)="",10^12,OFFSET(PLE!$G$14,$M14,CG$13))))</f>
        <v>1000000000000</v>
      </c>
      <c r="CH14" s="216">
        <f ca="1">IF($D14&lt;&gt;"Serviço",0,IF(OR(AND(AUTOEVENTO="Manual",$M14=1),$M14&gt;(ROW(PLE.lastrow)-ROW(PLE.firstrow))),0,IF(OFFSET(PLE!$G$14,$M14,CH$13)="",10^12,OFFSET(PLE!$G$14,$M14,CH$13))))</f>
        <v>1000000000000</v>
      </c>
      <c r="CI14" s="216">
        <f ca="1">IF($D14&lt;&gt;"Serviço",0,IF(OR(AND(AUTOEVENTO="Manual",$M14=1),$M14&gt;(ROW(PLE.lastrow)-ROW(PLE.firstrow))),0,IF(OFFSET(PLE!$G$14,$M14,CI$13)="",10^12,OFFSET(PLE!$G$14,$M14,CI$13))))</f>
        <v>1000000000000</v>
      </c>
      <c r="CJ14" s="216">
        <f ca="1">IF($D14&lt;&gt;"Serviço",0,IF(OR(AND(AUTOEVENTO="Manual",$M14=1),$M14&gt;(ROW(PLE.lastrow)-ROW(PLE.firstrow))),0,IF(OFFSET(PLE!$G$14,$M14,CJ$13)="",10^12,OFFSET(PLE!$G$14,$M14,CJ$13))))</f>
        <v>1000000000000</v>
      </c>
      <c r="CK14" s="216">
        <f ca="1">IF($D14&lt;&gt;"Serviço",0,IF(OR(AND(AUTOEVENTO="Manual",$M14=1),$M14&gt;(ROW(PLE.lastrow)-ROW(PLE.firstrow))),0,IF(OFFSET(PLE!$G$14,$M14,CK$13)="",10^12,OFFSET(PLE!$G$14,$M14,CK$13))))</f>
        <v>1000000000000</v>
      </c>
      <c r="CL14" s="216">
        <f ca="1">IF($D14&lt;&gt;"Serviço",0,IF(OR(AND(AUTOEVENTO="Manual",$M14=1),$M14&gt;(ROW(PLE.lastrow)-ROW(PLE.firstrow))),0,IF(OFFSET(PLE!$G$14,$M14,CL$13)="",10^12,OFFSET(PLE!$G$14,$M14,CL$13))))</f>
        <v>1000000000000</v>
      </c>
      <c r="CM14" s="216">
        <f ca="1">IF($D14&lt;&gt;"Serviço",0,IF(OR(AND(AUTOEVENTO="Manual",$M14=1),$M14&gt;(ROW(PLE.lastrow)-ROW(PLE.firstrow))),0,IF(OFFSET(PLE!$G$14,$M14,CM$13)="",10^12,OFFSET(PLE!$G$14,$M14,CM$13))))</f>
        <v>1000000000000</v>
      </c>
    </row>
    <row r="15" spans="1:91" ht="12.75" customHeight="1" x14ac:dyDescent="0.25">
      <c r="B15" s="9" t="str">
        <f ca="1">OFFSET(ORÇAMENTO!C$15,ROW(B15)-ROW(B$15),0)</f>
        <v>L</v>
      </c>
      <c r="C15" s="9" t="str">
        <f ca="1">OFFSET(ORÇAMENTO!L$15,ROW(C15)-ROW(C$15),0)</f>
        <v>F</v>
      </c>
      <c r="D15" s="160" t="str">
        <f>IF(TIPOORCAMENTO="LICITADO","CTEF","LOTE")</f>
        <v>LOTE</v>
      </c>
      <c r="E15" s="719" t="str">
        <f>Import.DescLote</f>
        <v xml:space="preserve">ESCOLA BILÍNGUE (PADRÃO FNDE - 5 SALAS)     </v>
      </c>
      <c r="F15" s="719"/>
      <c r="G15" s="719"/>
      <c r="H15" s="719"/>
      <c r="I15" s="651"/>
      <c r="K15" s="217"/>
      <c r="L15" s="209" t="s">
        <v>257</v>
      </c>
      <c r="M15" s="218">
        <f ca="1">IF(AUTOEVENTO="MANUAL",0,1)</f>
        <v>0</v>
      </c>
      <c r="N15" s="219" t="s">
        <v>265</v>
      </c>
      <c r="O15" s="220" t="e">
        <f ca="1">OFFSET($AI$15,0,O$13)</f>
        <v>#VALUE!</v>
      </c>
      <c r="Q15" s="221">
        <f t="shared" ref="Q15:Z15" ca="1" si="5">OFFSET($AI$15,0,Q$13)</f>
        <v>0</v>
      </c>
      <c r="R15" s="220">
        <f t="shared" ca="1" si="5"/>
        <v>0</v>
      </c>
      <c r="S15" s="220">
        <f t="shared" ca="1" si="5"/>
        <v>0</v>
      </c>
      <c r="T15" s="220">
        <f t="shared" ca="1" si="5"/>
        <v>0</v>
      </c>
      <c r="U15" s="220">
        <f t="shared" ca="1" si="5"/>
        <v>0</v>
      </c>
      <c r="V15" s="220">
        <f t="shared" ca="1" si="5"/>
        <v>0</v>
      </c>
      <c r="W15" s="220">
        <f t="shared" ca="1" si="5"/>
        <v>0</v>
      </c>
      <c r="X15" s="220">
        <f t="shared" ca="1" si="5"/>
        <v>0</v>
      </c>
      <c r="Y15" s="220">
        <f t="shared" ca="1" si="5"/>
        <v>0</v>
      </c>
      <c r="Z15" s="222">
        <f t="shared" ca="1" si="5"/>
        <v>0</v>
      </c>
      <c r="AA15" s="220">
        <f t="shared" ref="AA15:AH15" ca="1" si="6">OFFSET($AI$15,0,AA$13)</f>
        <v>0</v>
      </c>
      <c r="AB15" s="220">
        <f t="shared" ca="1" si="6"/>
        <v>0</v>
      </c>
      <c r="AC15" s="220">
        <f t="shared" ca="1" si="6"/>
        <v>0</v>
      </c>
      <c r="AD15" s="220">
        <f t="shared" ca="1" si="6"/>
        <v>0</v>
      </c>
      <c r="AE15" s="220">
        <f t="shared" ca="1" si="6"/>
        <v>0</v>
      </c>
      <c r="AF15" s="220">
        <f t="shared" ca="1" si="6"/>
        <v>0</v>
      </c>
      <c r="AG15" s="220">
        <f t="shared" ca="1" si="6"/>
        <v>0</v>
      </c>
      <c r="AH15" s="222">
        <f t="shared" ca="1" si="6"/>
        <v>0</v>
      </c>
      <c r="AJ15" s="223">
        <f ca="1">ROUND(SUM(OFFSET(AJ$15,1,0):AJ$710),2)</f>
        <v>0</v>
      </c>
      <c r="AK15" s="223">
        <f ca="1">SUM(OFFSET(AK$15,1,0):AK$710)</f>
        <v>0</v>
      </c>
      <c r="AL15" s="223">
        <f ca="1">SUM(OFFSET(AL$15,1,0):AL$710)</f>
        <v>0</v>
      </c>
      <c r="AM15" s="223">
        <f ca="1">SUM(OFFSET(AM$15,1,0):AM$710)</f>
        <v>0</v>
      </c>
      <c r="AN15" s="223">
        <f ca="1">SUM(OFFSET(AN$15,1,0):AN$710)</f>
        <v>0</v>
      </c>
      <c r="AO15" s="223">
        <f ca="1">SUM(OFFSET(AO$15,1,0):AO$710)</f>
        <v>0</v>
      </c>
      <c r="AP15" s="223">
        <f ca="1">SUM(OFFSET(AP$15,1,0):AP$710)</f>
        <v>0</v>
      </c>
      <c r="AQ15" s="223">
        <f ca="1">SUM(OFFSET(AQ$15,1,0):AQ$710)</f>
        <v>0</v>
      </c>
      <c r="AR15" s="223">
        <f ca="1">SUM(OFFSET(AR$15,1,0):AR$710)</f>
        <v>0</v>
      </c>
      <c r="AS15" s="223">
        <f ca="1">SUM(OFFSET(AS$15,1,0):AS$710)</f>
        <v>0</v>
      </c>
      <c r="AT15" s="223">
        <f ca="1">SUM(OFFSET(AT$15,1,0):AT$710)</f>
        <v>0</v>
      </c>
      <c r="AU15" s="223">
        <f ca="1">SUM(OFFSET(AU$15,1,0):AU$710)</f>
        <v>0</v>
      </c>
      <c r="AV15" s="223">
        <f ca="1">SUM(OFFSET(AV$15,1,0):AV$710)</f>
        <v>0</v>
      </c>
      <c r="AW15" s="223">
        <f ca="1">SUM(OFFSET(AW$15,1,0):AW$710)</f>
        <v>0</v>
      </c>
      <c r="AX15" s="223">
        <f ca="1">SUM(OFFSET(AX$15,1,0):AX$710)</f>
        <v>0</v>
      </c>
      <c r="AY15" s="223">
        <f ca="1">SUM(OFFSET(AY$15,1,0):AY$710)</f>
        <v>0</v>
      </c>
      <c r="AZ15" s="223">
        <f ca="1">SUM(OFFSET(AZ$15,1,0):AZ$710)</f>
        <v>0</v>
      </c>
      <c r="BA15" s="223">
        <f ca="1">SUM(OFFSET(BA$15,1,0):BA$710)</f>
        <v>0</v>
      </c>
      <c r="BC15" s="224">
        <f>10^12</f>
        <v>1000000000000</v>
      </c>
      <c r="BD15" s="224">
        <f t="shared" ref="BD15:BT15" si="7">10^12</f>
        <v>1000000000000</v>
      </c>
      <c r="BE15" s="224">
        <f t="shared" si="7"/>
        <v>1000000000000</v>
      </c>
      <c r="BF15" s="224">
        <f t="shared" si="7"/>
        <v>1000000000000</v>
      </c>
      <c r="BG15" s="224">
        <f t="shared" si="7"/>
        <v>1000000000000</v>
      </c>
      <c r="BH15" s="224">
        <f t="shared" si="7"/>
        <v>1000000000000</v>
      </c>
      <c r="BI15" s="224">
        <f t="shared" si="7"/>
        <v>1000000000000</v>
      </c>
      <c r="BJ15" s="224">
        <f t="shared" si="7"/>
        <v>1000000000000</v>
      </c>
      <c r="BK15" s="224">
        <f t="shared" si="7"/>
        <v>1000000000000</v>
      </c>
      <c r="BL15" s="224">
        <f t="shared" si="7"/>
        <v>1000000000000</v>
      </c>
      <c r="BM15" s="224">
        <f t="shared" si="7"/>
        <v>1000000000000</v>
      </c>
      <c r="BN15" s="224">
        <f t="shared" si="7"/>
        <v>1000000000000</v>
      </c>
      <c r="BO15" s="224">
        <f t="shared" si="7"/>
        <v>1000000000000</v>
      </c>
      <c r="BP15" s="224">
        <f t="shared" si="7"/>
        <v>1000000000000</v>
      </c>
      <c r="BQ15" s="224">
        <f t="shared" si="7"/>
        <v>1000000000000</v>
      </c>
      <c r="BR15" s="224">
        <f t="shared" si="7"/>
        <v>1000000000000</v>
      </c>
      <c r="BS15" s="224">
        <f t="shared" si="7"/>
        <v>1000000000000</v>
      </c>
      <c r="BT15" s="224">
        <f t="shared" si="7"/>
        <v>1000000000000</v>
      </c>
      <c r="BV15" s="224">
        <f t="shared" ref="BV15:CM15" si="8">10^12</f>
        <v>1000000000000</v>
      </c>
      <c r="BW15" s="224">
        <f t="shared" si="8"/>
        <v>1000000000000</v>
      </c>
      <c r="BX15" s="224">
        <f t="shared" si="8"/>
        <v>1000000000000</v>
      </c>
      <c r="BY15" s="224">
        <f t="shared" si="8"/>
        <v>1000000000000</v>
      </c>
      <c r="BZ15" s="224">
        <f t="shared" si="8"/>
        <v>1000000000000</v>
      </c>
      <c r="CA15" s="224">
        <f t="shared" si="8"/>
        <v>1000000000000</v>
      </c>
      <c r="CB15" s="224">
        <f t="shared" si="8"/>
        <v>1000000000000</v>
      </c>
      <c r="CC15" s="224">
        <f t="shared" si="8"/>
        <v>1000000000000</v>
      </c>
      <c r="CD15" s="224">
        <f t="shared" si="8"/>
        <v>1000000000000</v>
      </c>
      <c r="CE15" s="224">
        <f t="shared" si="8"/>
        <v>1000000000000</v>
      </c>
      <c r="CF15" s="224">
        <f t="shared" si="8"/>
        <v>1000000000000</v>
      </c>
      <c r="CG15" s="224">
        <f t="shared" si="8"/>
        <v>1000000000000</v>
      </c>
      <c r="CH15" s="224">
        <f t="shared" si="8"/>
        <v>1000000000000</v>
      </c>
      <c r="CI15" s="224">
        <f t="shared" si="8"/>
        <v>1000000000000</v>
      </c>
      <c r="CJ15" s="224">
        <f t="shared" si="8"/>
        <v>1000000000000</v>
      </c>
      <c r="CK15" s="224">
        <f t="shared" si="8"/>
        <v>1000000000000</v>
      </c>
      <c r="CL15" s="224">
        <f t="shared" si="8"/>
        <v>1000000000000</v>
      </c>
      <c r="CM15" s="224">
        <f t="shared" si="8"/>
        <v>1000000000000</v>
      </c>
    </row>
    <row r="16" spans="1:91" ht="13.2" x14ac:dyDescent="0.25">
      <c r="A16" s="9">
        <f t="shared" ref="A16:A78" ca="1" si="9">IF(AUTOEVENTO="Manual",IF(K16&lt;&gt;"",MIN(VALUE(LEFT(K16,FIND(".",K16)-1)),COUNTA(EVENTOS.Lista)),0),IF(OR($B16&gt;AUTOEVENTO,$B16="S",$B16=0),SUBSTITUTE(OFFSET($A16,-1,0),IF($D16="Serviço",".",""),""),ROW(A16)-ROW($A$15)&amp;"."))</f>
        <v>0</v>
      </c>
      <c r="B16" s="9">
        <f ca="1">OFFSET(ORÇAMENTO!C$15,ROW(B16)-ROW(B$15),0)</f>
        <v>1</v>
      </c>
      <c r="C16" s="9" t="str">
        <f ca="1">OFFSET(ORÇAMENTO!L$15,ROW(C16)-ROW(C$15),0)</f>
        <v>F</v>
      </c>
      <c r="D16" s="145" t="str">
        <f ca="1">OFFSET(ORÇAMENTO!N$15,ROW(D16)-ROW(D$15),0)</f>
        <v>Meta</v>
      </c>
      <c r="E16" s="205" t="str">
        <f ca="1">OFFSET(ORÇAMENTO!O$15,ROW(E16)-ROW(E$15),0)</f>
        <v>1.</v>
      </c>
      <c r="F16" s="206" t="str">
        <f ca="1">OFFSET(ORÇAMENTO!R$15,ROW(F16)-ROW(F$15),0)</f>
        <v>PLANILHA ORÇAMENTÁRIA - FNDE</v>
      </c>
      <c r="G16" s="207" t="str">
        <f ca="1">IF($D16&lt;&gt;"Serviço","",OFFSET(ORÇAMENTO!S$15,ROW(G16)-ROW(G$15),0))</f>
        <v/>
      </c>
      <c r="H16" s="151">
        <f ca="1">IF($D16&lt;&gt;"Serviço",0,IF(ACOMPANHAMENTO="BM",ROUND(OFFSET(ORÇAMENTO!AJ$15,ROW(H16)-ROW(H$15),0),15-13*ORÇAMENTO!$AF$7),SUMPRODUCT(($Q$12:$AI$12&lt;&gt;"")*ROUND($Q16:$AI16,15-13*ORÇAMENTO!$AF$7))))</f>
        <v>0</v>
      </c>
      <c r="I16" s="650"/>
      <c r="K16" s="208"/>
      <c r="L16" s="209" t="s">
        <v>257</v>
      </c>
      <c r="M16" s="210" t="str">
        <f ca="1">IF($D16&lt;&gt;"Serviço","",IF(AUTOEVENTO="manual",$A16,IF(ISERROR(MATCH($A16,$A$15:OFFSET($A16,-1,0),0)),MAX($M$15:OFFSET(M16,-1,0))+1,INDEX($M$15:OFFSET(M16,-1,0),MATCH($A16,$A$15:OFFSET($A16,-1,0),0)))))</f>
        <v/>
      </c>
      <c r="N16" s="211" t="str">
        <f ca="1">IF($D16&lt;&gt;"Serviço","",IF(AUTOEVENTO="Manual",IF($A16=0,"&lt;-- defina o número do agrupador",OFFSET(EVENTOS!$D$14,$A16,0)),OFFSET($F$15,$A16,0)))</f>
        <v/>
      </c>
      <c r="O16" s="212"/>
      <c r="Q16" s="212"/>
      <c r="R16" s="213"/>
      <c r="S16" s="213"/>
      <c r="T16" s="213"/>
      <c r="U16" s="213"/>
      <c r="V16" s="213"/>
      <c r="W16" s="213"/>
      <c r="X16" s="213"/>
      <c r="Y16" s="213"/>
      <c r="Z16" s="214"/>
      <c r="AA16" s="213"/>
      <c r="AB16" s="213"/>
      <c r="AC16" s="213"/>
      <c r="AD16" s="213"/>
      <c r="AE16" s="213"/>
      <c r="AF16" s="213"/>
      <c r="AG16" s="213"/>
      <c r="AH16" s="214"/>
      <c r="AJ16" s="631">
        <f ca="1">IF(AND($D16="Serviço",AJ$12&lt;&gt;0,$H16&gt;0,OR(AUTOEVENTO&lt;&gt;"manual",$M16&lt;&gt;1)),ROUND(OFFSET($P16,0,AJ$13),15-13*ORÇAMENTO!$AF$7)/$H16*OFFSET(ORÇAMENTO!$X$15,ROW(AJ16)-ROW(AJ$15),0),0)</f>
        <v>0</v>
      </c>
      <c r="AK16" s="632">
        <f ca="1">IF(AND($D16="Serviço",AK$12&lt;&gt;0,$H16&gt;0,OR(AUTOEVENTO&lt;&gt;"manual",$M16&lt;&gt;1)),ROUND(OFFSET($P16,0,AK$13),15-13*ORÇAMENTO!$AF$7)/$H16*OFFSET(ORÇAMENTO!$X$15,ROW(AK16)-ROW(AK$15),0),0)</f>
        <v>0</v>
      </c>
      <c r="AL16" s="632">
        <f ca="1">IF(AND($D16="Serviço",AL$12&lt;&gt;0,$H16&gt;0,OR(AUTOEVENTO&lt;&gt;"manual",$M16&lt;&gt;1)),ROUND(OFFSET($P16,0,AL$13),15-13*ORÇAMENTO!$AF$7)/$H16*OFFSET(ORÇAMENTO!$X$15,ROW(AL16)-ROW(AL$15),0),0)</f>
        <v>0</v>
      </c>
      <c r="AM16" s="632">
        <f ca="1">IF(AND($D16="Serviço",AM$12&lt;&gt;0,$H16&gt;0,OR(AUTOEVENTO&lt;&gt;"manual",$M16&lt;&gt;1)),ROUND(OFFSET($P16,0,AM$13),15-13*ORÇAMENTO!$AF$7)/$H16*OFFSET(ORÇAMENTO!$X$15,ROW(AM16)-ROW(AM$15),0),0)</f>
        <v>0</v>
      </c>
      <c r="AN16" s="632">
        <f ca="1">IF(AND($D16="Serviço",AN$12&lt;&gt;0,$H16&gt;0,OR(AUTOEVENTO&lt;&gt;"manual",$M16&lt;&gt;1)),ROUND(OFFSET($P16,0,AN$13),15-13*ORÇAMENTO!$AF$7)/$H16*OFFSET(ORÇAMENTO!$X$15,ROW(AN16)-ROW(AN$15),0),0)</f>
        <v>0</v>
      </c>
      <c r="AO16" s="632">
        <f ca="1">IF(AND($D16="Serviço",AO$12&lt;&gt;0,$H16&gt;0,OR(AUTOEVENTO&lt;&gt;"manual",$M16&lt;&gt;1)),ROUND(OFFSET($P16,0,AO$13),15-13*ORÇAMENTO!$AF$7)/$H16*OFFSET(ORÇAMENTO!$X$15,ROW(AO16)-ROW(AO$15),0),0)</f>
        <v>0</v>
      </c>
      <c r="AP16" s="632">
        <f ca="1">IF(AND($D16="Serviço",AP$12&lt;&gt;0,$H16&gt;0,OR(AUTOEVENTO&lt;&gt;"manual",$M16&lt;&gt;1)),ROUND(OFFSET($P16,0,AP$13),15-13*ORÇAMENTO!$AF$7)/$H16*OFFSET(ORÇAMENTO!$X$15,ROW(AP16)-ROW(AP$15),0),0)</f>
        <v>0</v>
      </c>
      <c r="AQ16" s="632">
        <f ca="1">IF(AND($D16="Serviço",AQ$12&lt;&gt;0,$H16&gt;0,OR(AUTOEVENTO&lt;&gt;"manual",$M16&lt;&gt;1)),ROUND(OFFSET($P16,0,AQ$13),15-13*ORÇAMENTO!$AF$7)/$H16*OFFSET(ORÇAMENTO!$X$15,ROW(AQ16)-ROW(AQ$15),0),0)</f>
        <v>0</v>
      </c>
      <c r="AR16" s="632">
        <f ca="1">IF(AND($D16="Serviço",AR$12&lt;&gt;0,$H16&gt;0,OR(AUTOEVENTO&lt;&gt;"manual",$M16&lt;&gt;1)),ROUND(OFFSET($P16,0,AR$13),15-13*ORÇAMENTO!$AF$7)/$H16*OFFSET(ORÇAMENTO!$X$15,ROW(AR16)-ROW(AR$15),0),0)</f>
        <v>0</v>
      </c>
      <c r="AS16" s="633">
        <f ca="1">IF(AND($D16="Serviço",AS$12&lt;&gt;0,$H16&gt;0,OR(AUTOEVENTO&lt;&gt;"manual",$M16&lt;&gt;1)),ROUND(OFFSET($P16,0,AS$13),15-13*ORÇAMENTO!$AF$7)/$H16*OFFSET(ORÇAMENTO!$X$15,ROW(AS16)-ROW(AS$15),0),0)</f>
        <v>0</v>
      </c>
      <c r="AT16" s="632">
        <f ca="1">IF(AND($D16="Serviço",AT$12&lt;&gt;0,$H16&gt;0,OR(AUTOEVENTO&lt;&gt;"manual",$M16&lt;&gt;1)),ROUND(OFFSET($P16,0,AT$13),15-13*ORÇAMENTO!$AF$7)/$H16*OFFSET(ORÇAMENTO!$X$15,ROW(AT16)-ROW(AT$15),0),0)</f>
        <v>0</v>
      </c>
      <c r="AU16" s="632">
        <f ca="1">IF(AND($D16="Serviço",AU$12&lt;&gt;0,$H16&gt;0,OR(AUTOEVENTO&lt;&gt;"manual",$M16&lt;&gt;1)),ROUND(OFFSET($P16,0,AU$13),15-13*ORÇAMENTO!$AF$7)/$H16*OFFSET(ORÇAMENTO!$X$15,ROW(AU16)-ROW(AU$15),0),0)</f>
        <v>0</v>
      </c>
      <c r="AV16" s="632">
        <f ca="1">IF(AND($D16="Serviço",AV$12&lt;&gt;0,$H16&gt;0,OR(AUTOEVENTO&lt;&gt;"manual",$M16&lt;&gt;1)),ROUND(OFFSET($P16,0,AV$13),15-13*ORÇAMENTO!$AF$7)/$H16*OFFSET(ORÇAMENTO!$X$15,ROW(AV16)-ROW(AV$15),0),0)</f>
        <v>0</v>
      </c>
      <c r="AW16" s="632">
        <f ca="1">IF(AND($D16="Serviço",AW$12&lt;&gt;0,$H16&gt;0,OR(AUTOEVENTO&lt;&gt;"manual",$M16&lt;&gt;1)),ROUND(OFFSET($P16,0,AW$13),15-13*ORÇAMENTO!$AF$7)/$H16*OFFSET(ORÇAMENTO!$X$15,ROW(AW16)-ROW(AW$15),0),0)</f>
        <v>0</v>
      </c>
      <c r="AX16" s="632">
        <f ca="1">IF(AND($D16="Serviço",AX$12&lt;&gt;0,$H16&gt;0,OR(AUTOEVENTO&lt;&gt;"manual",$M16&lt;&gt;1)),ROUND(OFFSET($P16,0,AX$13),15-13*ORÇAMENTO!$AF$7)/$H16*OFFSET(ORÇAMENTO!$X$15,ROW(AX16)-ROW(AX$15),0),0)</f>
        <v>0</v>
      </c>
      <c r="AY16" s="632">
        <f ca="1">IF(AND($D16="Serviço",AY$12&lt;&gt;0,$H16&gt;0,OR(AUTOEVENTO&lt;&gt;"manual",$M16&lt;&gt;1)),ROUND(OFFSET($P16,0,AY$13),15-13*ORÇAMENTO!$AF$7)/$H16*OFFSET(ORÇAMENTO!$X$15,ROW(AY16)-ROW(AY$15),0),0)</f>
        <v>0</v>
      </c>
      <c r="AZ16" s="632">
        <f ca="1">IF(AND($D16="Serviço",AZ$12&lt;&gt;0,$H16&gt;0,OR(AUTOEVENTO&lt;&gt;"manual",$M16&lt;&gt;1)),ROUND(OFFSET($P16,0,AZ$13),15-13*ORÇAMENTO!$AF$7)/$H16*OFFSET(ORÇAMENTO!$X$15,ROW(AZ16)-ROW(AZ$15),0),0)</f>
        <v>0</v>
      </c>
      <c r="BA16" s="633">
        <f ca="1">IF(AND($D16="Serviço",BA$12&lt;&gt;0,$H16&gt;0,OR(AUTOEVENTO&lt;&gt;"manual",$M16&lt;&gt;1)),ROUND(OFFSET($P16,0,BA$13),15-13*ORÇAMENTO!$AF$7)/$H16*OFFSET(ORÇAMENTO!$X$15,ROW(BA16)-ROW(BA$15),0),0)</f>
        <v>0</v>
      </c>
      <c r="BC16" s="215">
        <f ca="1">IF($D16&lt;&gt;"Serviço",0,IF(AND(AUTOEVENTO="Manual",$M16=1),0,IF(OFFSET(CRONOPLE!$F$14,$M16,BC$13)="",10^12,OFFSET(CRONOPLE!$F$14,$M16,BC$13))))</f>
        <v>0</v>
      </c>
      <c r="BD16" s="215">
        <f ca="1">IF($D16&lt;&gt;"Serviço",0,IF(AND(AUTOEVENTO="Manual",$M16=1),0,IF(OFFSET(CRONOPLE!$F$14,$M16,BD$13)="",10^12,OFFSET(CRONOPLE!$F$14,$M16,BD$13))))</f>
        <v>0</v>
      </c>
      <c r="BE16" s="215">
        <f ca="1">IF($D16&lt;&gt;"Serviço",0,IF(AND(AUTOEVENTO="Manual",$M16=1),0,IF(OFFSET(CRONOPLE!$F$14,$M16,BE$13)="",10^12,OFFSET(CRONOPLE!$F$14,$M16,BE$13))))</f>
        <v>0</v>
      </c>
      <c r="BF16" s="215">
        <f ca="1">IF($D16&lt;&gt;"Serviço",0,IF(AND(AUTOEVENTO="Manual",$M16=1),0,IF(OFFSET(CRONOPLE!$F$14,$M16,BF$13)="",10^12,OFFSET(CRONOPLE!$F$14,$M16,BF$13))))</f>
        <v>0</v>
      </c>
      <c r="BG16" s="215">
        <f ca="1">IF($D16&lt;&gt;"Serviço",0,IF(AND(AUTOEVENTO="Manual",$M16=1),0,IF(OFFSET(CRONOPLE!$F$14,$M16,BG$13)="",10^12,OFFSET(CRONOPLE!$F$14,$M16,BG$13))))</f>
        <v>0</v>
      </c>
      <c r="BH16" s="215">
        <f ca="1">IF($D16&lt;&gt;"Serviço",0,IF(AND(AUTOEVENTO="Manual",$M16=1),0,IF(OFFSET(CRONOPLE!$F$14,$M16,BH$13)="",10^12,OFFSET(CRONOPLE!$F$14,$M16,BH$13))))</f>
        <v>0</v>
      </c>
      <c r="BI16" s="215">
        <f ca="1">IF($D16&lt;&gt;"Serviço",0,IF(AND(AUTOEVENTO="Manual",$M16=1),0,IF(OFFSET(CRONOPLE!$F$14,$M16,BI$13)="",10^12,OFFSET(CRONOPLE!$F$14,$M16,BI$13))))</f>
        <v>0</v>
      </c>
      <c r="BJ16" s="215">
        <f ca="1">IF($D16&lt;&gt;"Serviço",0,IF(AND(AUTOEVENTO="Manual",$M16=1),0,IF(OFFSET(CRONOPLE!$F$14,$M16,BJ$13)="",10^12,OFFSET(CRONOPLE!$F$14,$M16,BJ$13))))</f>
        <v>0</v>
      </c>
      <c r="BK16" s="215">
        <f ca="1">IF($D16&lt;&gt;"Serviço",0,IF(AND(AUTOEVENTO="Manual",$M16=1),0,IF(OFFSET(CRONOPLE!$F$14,$M16,BK$13)="",10^12,OFFSET(CRONOPLE!$F$14,$M16,BK$13))))</f>
        <v>0</v>
      </c>
      <c r="BL16" s="215">
        <f ca="1">IF($D16&lt;&gt;"Serviço",0,IF(AND(AUTOEVENTO="Manual",$M16=1),0,IF(OFFSET(CRONOPLE!$F$14,$M16,BL$13)="",10^12,OFFSET(CRONOPLE!$F$14,$M16,BL$13))))</f>
        <v>0</v>
      </c>
      <c r="BM16" s="215">
        <f ca="1">IF($D16&lt;&gt;"Serviço",0,IF(AND(AUTOEVENTO="Manual",$M16=1),0,IF(OFFSET(CRONOPLE!$F$14,$M16,BM$13)="",10^12,OFFSET(CRONOPLE!$F$14,$M16,BM$13))))</f>
        <v>0</v>
      </c>
      <c r="BN16" s="215">
        <f ca="1">IF($D16&lt;&gt;"Serviço",0,IF(AND(AUTOEVENTO="Manual",$M16=1),0,IF(OFFSET(CRONOPLE!$F$14,$M16,BN$13)="",10^12,OFFSET(CRONOPLE!$F$14,$M16,BN$13))))</f>
        <v>0</v>
      </c>
      <c r="BO16" s="215">
        <f ca="1">IF($D16&lt;&gt;"Serviço",0,IF(AND(AUTOEVENTO="Manual",$M16=1),0,IF(OFFSET(CRONOPLE!$F$14,$M16,BO$13)="",10^12,OFFSET(CRONOPLE!$F$14,$M16,BO$13))))</f>
        <v>0</v>
      </c>
      <c r="BP16" s="215">
        <f ca="1">IF($D16&lt;&gt;"Serviço",0,IF(AND(AUTOEVENTO="Manual",$M16=1),0,IF(OFFSET(CRONOPLE!$F$14,$M16,BP$13)="",10^12,OFFSET(CRONOPLE!$F$14,$M16,BP$13))))</f>
        <v>0</v>
      </c>
      <c r="BQ16" s="215">
        <f ca="1">IF($D16&lt;&gt;"Serviço",0,IF(AND(AUTOEVENTO="Manual",$M16=1),0,IF(OFFSET(CRONOPLE!$F$14,$M16,BQ$13)="",10^12,OFFSET(CRONOPLE!$F$14,$M16,BQ$13))))</f>
        <v>0</v>
      </c>
      <c r="BR16" s="215">
        <f ca="1">IF($D16&lt;&gt;"Serviço",0,IF(AND(AUTOEVENTO="Manual",$M16=1),0,IF(OFFSET(CRONOPLE!$F$14,$M16,BR$13)="",10^12,OFFSET(CRONOPLE!$F$14,$M16,BR$13))))</f>
        <v>0</v>
      </c>
      <c r="BS16" s="215">
        <f ca="1">IF($D16&lt;&gt;"Serviço",0,IF(AND(AUTOEVENTO="Manual",$M16=1),0,IF(OFFSET(CRONOPLE!$F$14,$M16,BS$13)="",10^12,OFFSET(CRONOPLE!$F$14,$M16,BS$13))))</f>
        <v>0</v>
      </c>
      <c r="BT16" s="215">
        <f ca="1">IF($D16&lt;&gt;"Serviço",0,IF(AND(AUTOEVENTO="Manual",$M16=1),0,IF(OFFSET(CRONOPLE!$F$14,$M16,BT$13)="",10^12,OFFSET(CRONOPLE!$F$14,$M16,BT$13))))</f>
        <v>0</v>
      </c>
      <c r="BV16" s="216">
        <f ca="1">IF($D16&lt;&gt;"Serviço",0,IF(OR(AND(AUTOEVENTO="Manual",$M16=1),$M16&gt;(ROW(PLE.lastrow)-ROW(PLE.firstrow))),0,IF(OFFSET(PLE!$G$14,$M16,BV$13)="",10^12,OFFSET(PLE!$G$14,$M16,BV$13))))</f>
        <v>0</v>
      </c>
      <c r="BW16" s="216">
        <f ca="1">IF($D16&lt;&gt;"Serviço",0,IF(OR(AND(AUTOEVENTO="Manual",$M16=1),$M16&gt;(ROW(PLE.lastrow)-ROW(PLE.firstrow))),0,IF(OFFSET(PLE!$G$14,$M16,BW$13)="",10^12,OFFSET(PLE!$G$14,$M16,BW$13))))</f>
        <v>0</v>
      </c>
      <c r="BX16" s="216">
        <f ca="1">IF($D16&lt;&gt;"Serviço",0,IF(OR(AND(AUTOEVENTO="Manual",$M16=1),$M16&gt;(ROW(PLE.lastrow)-ROW(PLE.firstrow))),0,IF(OFFSET(PLE!$G$14,$M16,BX$13)="",10^12,OFFSET(PLE!$G$14,$M16,BX$13))))</f>
        <v>0</v>
      </c>
      <c r="BY16" s="216">
        <f ca="1">IF($D16&lt;&gt;"Serviço",0,IF(OR(AND(AUTOEVENTO="Manual",$M16=1),$M16&gt;(ROW(PLE.lastrow)-ROW(PLE.firstrow))),0,IF(OFFSET(PLE!$G$14,$M16,BY$13)="",10^12,OFFSET(PLE!$G$14,$M16,BY$13))))</f>
        <v>0</v>
      </c>
      <c r="BZ16" s="216">
        <f ca="1">IF($D16&lt;&gt;"Serviço",0,IF(OR(AND(AUTOEVENTO="Manual",$M16=1),$M16&gt;(ROW(PLE.lastrow)-ROW(PLE.firstrow))),0,IF(OFFSET(PLE!$G$14,$M16,BZ$13)="",10^12,OFFSET(PLE!$G$14,$M16,BZ$13))))</f>
        <v>0</v>
      </c>
      <c r="CA16" s="216">
        <f ca="1">IF($D16&lt;&gt;"Serviço",0,IF(OR(AND(AUTOEVENTO="Manual",$M16=1),$M16&gt;(ROW(PLE.lastrow)-ROW(PLE.firstrow))),0,IF(OFFSET(PLE!$G$14,$M16,CA$13)="",10^12,OFFSET(PLE!$G$14,$M16,CA$13))))</f>
        <v>0</v>
      </c>
      <c r="CB16" s="216">
        <f ca="1">IF($D16&lt;&gt;"Serviço",0,IF(OR(AND(AUTOEVENTO="Manual",$M16=1),$M16&gt;(ROW(PLE.lastrow)-ROW(PLE.firstrow))),0,IF(OFFSET(PLE!$G$14,$M16,CB$13)="",10^12,OFFSET(PLE!$G$14,$M16,CB$13))))</f>
        <v>0</v>
      </c>
      <c r="CC16" s="216">
        <f ca="1">IF($D16&lt;&gt;"Serviço",0,IF(OR(AND(AUTOEVENTO="Manual",$M16=1),$M16&gt;(ROW(PLE.lastrow)-ROW(PLE.firstrow))),0,IF(OFFSET(PLE!$G$14,$M16,CC$13)="",10^12,OFFSET(PLE!$G$14,$M16,CC$13))))</f>
        <v>0</v>
      </c>
      <c r="CD16" s="216">
        <f ca="1">IF($D16&lt;&gt;"Serviço",0,IF(OR(AND(AUTOEVENTO="Manual",$M16=1),$M16&gt;(ROW(PLE.lastrow)-ROW(PLE.firstrow))),0,IF(OFFSET(PLE!$G$14,$M16,CD$13)="",10^12,OFFSET(PLE!$G$14,$M16,CD$13))))</f>
        <v>0</v>
      </c>
      <c r="CE16" s="216">
        <f ca="1">IF($D16&lt;&gt;"Serviço",0,IF(OR(AND(AUTOEVENTO="Manual",$M16=1),$M16&gt;(ROW(PLE.lastrow)-ROW(PLE.firstrow))),0,IF(OFFSET(PLE!$G$14,$M16,CE$13)="",10^12,OFFSET(PLE!$G$14,$M16,CE$13))))</f>
        <v>0</v>
      </c>
      <c r="CF16" s="216">
        <f ca="1">IF($D16&lt;&gt;"Serviço",0,IF(OR(AND(AUTOEVENTO="Manual",$M16=1),$M16&gt;(ROW(PLE.lastrow)-ROW(PLE.firstrow))),0,IF(OFFSET(PLE!$G$14,$M16,CF$13)="",10^12,OFFSET(PLE!$G$14,$M16,CF$13))))</f>
        <v>0</v>
      </c>
      <c r="CG16" s="216">
        <f ca="1">IF($D16&lt;&gt;"Serviço",0,IF(OR(AND(AUTOEVENTO="Manual",$M16=1),$M16&gt;(ROW(PLE.lastrow)-ROW(PLE.firstrow))),0,IF(OFFSET(PLE!$G$14,$M16,CG$13)="",10^12,OFFSET(PLE!$G$14,$M16,CG$13))))</f>
        <v>0</v>
      </c>
      <c r="CH16" s="216">
        <f ca="1">IF($D16&lt;&gt;"Serviço",0,IF(OR(AND(AUTOEVENTO="Manual",$M16=1),$M16&gt;(ROW(PLE.lastrow)-ROW(PLE.firstrow))),0,IF(OFFSET(PLE!$G$14,$M16,CH$13)="",10^12,OFFSET(PLE!$G$14,$M16,CH$13))))</f>
        <v>0</v>
      </c>
      <c r="CI16" s="216">
        <f ca="1">IF($D16&lt;&gt;"Serviço",0,IF(OR(AND(AUTOEVENTO="Manual",$M16=1),$M16&gt;(ROW(PLE.lastrow)-ROW(PLE.firstrow))),0,IF(OFFSET(PLE!$G$14,$M16,CI$13)="",10^12,OFFSET(PLE!$G$14,$M16,CI$13))))</f>
        <v>0</v>
      </c>
      <c r="CJ16" s="216">
        <f ca="1">IF($D16&lt;&gt;"Serviço",0,IF(OR(AND(AUTOEVENTO="Manual",$M16=1),$M16&gt;(ROW(PLE.lastrow)-ROW(PLE.firstrow))),0,IF(OFFSET(PLE!$G$14,$M16,CJ$13)="",10^12,OFFSET(PLE!$G$14,$M16,CJ$13))))</f>
        <v>0</v>
      </c>
      <c r="CK16" s="216">
        <f ca="1">IF($D16&lt;&gt;"Serviço",0,IF(OR(AND(AUTOEVENTO="Manual",$M16=1),$M16&gt;(ROW(PLE.lastrow)-ROW(PLE.firstrow))),0,IF(OFFSET(PLE!$G$14,$M16,CK$13)="",10^12,OFFSET(PLE!$G$14,$M16,CK$13))))</f>
        <v>0</v>
      </c>
      <c r="CL16" s="216">
        <f ca="1">IF($D16&lt;&gt;"Serviço",0,IF(OR(AND(AUTOEVENTO="Manual",$M16=1),$M16&gt;(ROW(PLE.lastrow)-ROW(PLE.firstrow))),0,IF(OFFSET(PLE!$G$14,$M16,CL$13)="",10^12,OFFSET(PLE!$G$14,$M16,CL$13))))</f>
        <v>0</v>
      </c>
      <c r="CM16" s="216">
        <f ca="1">IF($D16&lt;&gt;"Serviço",0,IF(OR(AND(AUTOEVENTO="Manual",$M16=1),$M16&gt;(ROW(PLE.lastrow)-ROW(PLE.firstrow))),0,IF(OFFSET(PLE!$G$14,$M16,CM$13)="",10^12,OFFSET(PLE!$G$14,$M16,CM$13))))</f>
        <v>0</v>
      </c>
    </row>
    <row r="17" spans="1:91" ht="13.2" x14ac:dyDescent="0.25">
      <c r="A17" s="9">
        <f t="shared" ca="1" si="9"/>
        <v>0</v>
      </c>
      <c r="B17" s="9">
        <f ca="1">OFFSET(ORÇAMENTO!C$15,ROW(B17)-ROW(B$15),0)</f>
        <v>2</v>
      </c>
      <c r="C17" s="9" t="str">
        <f ca="1">OFFSET(ORÇAMENTO!L$15,ROW(C17)-ROW(C$15),0)</f>
        <v>F</v>
      </c>
      <c r="D17" s="145" t="str">
        <f ca="1">OFFSET(ORÇAMENTO!N$15,ROW(D17)-ROW(D$15),0)</f>
        <v>Nível 2</v>
      </c>
      <c r="E17" s="205" t="str">
        <f ca="1">OFFSET(ORÇAMENTO!O$15,ROW(E17)-ROW(E$15),0)</f>
        <v>1.1.</v>
      </c>
      <c r="F17" s="206" t="str">
        <f ca="1">OFFSET(ORÇAMENTO!R$15,ROW(F17)-ROW(F$15),0)</f>
        <v>SERVIÇOS INICIAIS</v>
      </c>
      <c r="G17" s="207" t="str">
        <f ca="1">IF($D17&lt;&gt;"Serviço","",OFFSET(ORÇAMENTO!S$15,ROW(G17)-ROW(G$15),0))</f>
        <v/>
      </c>
      <c r="H17" s="151">
        <f ca="1">IF($D17&lt;&gt;"Serviço",0,IF(ACOMPANHAMENTO="BM",ROUND(OFFSET(ORÇAMENTO!AJ$15,ROW(H17)-ROW(H$15),0),15-13*ORÇAMENTO!$AF$7),SUMPRODUCT(($Q$12:$AI$12&lt;&gt;"")*ROUND($Q17:$AI17,15-13*ORÇAMENTO!$AF$7))))</f>
        <v>0</v>
      </c>
      <c r="I17" s="650"/>
      <c r="K17" s="208"/>
      <c r="L17" s="209" t="s">
        <v>257</v>
      </c>
      <c r="M17" s="210" t="str">
        <f ca="1">IF($D17&lt;&gt;"Serviço","",IF(AUTOEVENTO="manual",$A17,IF(ISERROR(MATCH($A17,$A$15:OFFSET($A17,-1,0),0)),MAX($M$15:OFFSET(M17,-1,0))+1,INDEX($M$15:OFFSET(M17,-1,0),MATCH($A17,$A$15:OFFSET($A17,-1,0),0)))))</f>
        <v/>
      </c>
      <c r="N17" s="211" t="str">
        <f ca="1">IF($D17&lt;&gt;"Serviço","",IF(AUTOEVENTO="Manual",IF($A17=0,"&lt;-- defina o número do agrupador",OFFSET(EVENTOS!$D$14,$A17,0)),OFFSET($F$15,$A17,0)))</f>
        <v/>
      </c>
      <c r="O17" s="212"/>
      <c r="Q17" s="212"/>
      <c r="R17" s="213"/>
      <c r="S17" s="213"/>
      <c r="T17" s="213"/>
      <c r="U17" s="213"/>
      <c r="V17" s="213"/>
      <c r="W17" s="213"/>
      <c r="X17" s="213"/>
      <c r="Y17" s="213"/>
      <c r="Z17" s="214"/>
      <c r="AA17" s="213"/>
      <c r="AB17" s="213"/>
      <c r="AC17" s="213"/>
      <c r="AD17" s="213"/>
      <c r="AE17" s="213"/>
      <c r="AF17" s="213"/>
      <c r="AG17" s="213"/>
      <c r="AH17" s="214"/>
      <c r="AJ17" s="631">
        <f ca="1">IF(AND($D17="Serviço",AJ$12&lt;&gt;0,$H17&gt;0,OR(AUTOEVENTO&lt;&gt;"manual",$M17&lt;&gt;1)),ROUND(OFFSET($P17,0,AJ$13),15-13*ORÇAMENTO!$AF$7)/$H17*OFFSET(ORÇAMENTO!$X$15,ROW(AJ17)-ROW(AJ$15),0),0)</f>
        <v>0</v>
      </c>
      <c r="AK17" s="632">
        <f ca="1">IF(AND($D17="Serviço",AK$12&lt;&gt;0,$H17&gt;0,OR(AUTOEVENTO&lt;&gt;"manual",$M17&lt;&gt;1)),ROUND(OFFSET($P17,0,AK$13),15-13*ORÇAMENTO!$AF$7)/$H17*OFFSET(ORÇAMENTO!$X$15,ROW(AK17)-ROW(AK$15),0),0)</f>
        <v>0</v>
      </c>
      <c r="AL17" s="632">
        <f ca="1">IF(AND($D17="Serviço",AL$12&lt;&gt;0,$H17&gt;0,OR(AUTOEVENTO&lt;&gt;"manual",$M17&lt;&gt;1)),ROUND(OFFSET($P17,0,AL$13),15-13*ORÇAMENTO!$AF$7)/$H17*OFFSET(ORÇAMENTO!$X$15,ROW(AL17)-ROW(AL$15),0),0)</f>
        <v>0</v>
      </c>
      <c r="AM17" s="632">
        <f ca="1">IF(AND($D17="Serviço",AM$12&lt;&gt;0,$H17&gt;0,OR(AUTOEVENTO&lt;&gt;"manual",$M17&lt;&gt;1)),ROUND(OFFSET($P17,0,AM$13),15-13*ORÇAMENTO!$AF$7)/$H17*OFFSET(ORÇAMENTO!$X$15,ROW(AM17)-ROW(AM$15),0),0)</f>
        <v>0</v>
      </c>
      <c r="AN17" s="632">
        <f ca="1">IF(AND($D17="Serviço",AN$12&lt;&gt;0,$H17&gt;0,OR(AUTOEVENTO&lt;&gt;"manual",$M17&lt;&gt;1)),ROUND(OFFSET($P17,0,AN$13),15-13*ORÇAMENTO!$AF$7)/$H17*OFFSET(ORÇAMENTO!$X$15,ROW(AN17)-ROW(AN$15),0),0)</f>
        <v>0</v>
      </c>
      <c r="AO17" s="632">
        <f ca="1">IF(AND($D17="Serviço",AO$12&lt;&gt;0,$H17&gt;0,OR(AUTOEVENTO&lt;&gt;"manual",$M17&lt;&gt;1)),ROUND(OFFSET($P17,0,AO$13),15-13*ORÇAMENTO!$AF$7)/$H17*OFFSET(ORÇAMENTO!$X$15,ROW(AO17)-ROW(AO$15),0),0)</f>
        <v>0</v>
      </c>
      <c r="AP17" s="632">
        <f ca="1">IF(AND($D17="Serviço",AP$12&lt;&gt;0,$H17&gt;0,OR(AUTOEVENTO&lt;&gt;"manual",$M17&lt;&gt;1)),ROUND(OFFSET($P17,0,AP$13),15-13*ORÇAMENTO!$AF$7)/$H17*OFFSET(ORÇAMENTO!$X$15,ROW(AP17)-ROW(AP$15),0),0)</f>
        <v>0</v>
      </c>
      <c r="AQ17" s="632">
        <f ca="1">IF(AND($D17="Serviço",AQ$12&lt;&gt;0,$H17&gt;0,OR(AUTOEVENTO&lt;&gt;"manual",$M17&lt;&gt;1)),ROUND(OFFSET($P17,0,AQ$13),15-13*ORÇAMENTO!$AF$7)/$H17*OFFSET(ORÇAMENTO!$X$15,ROW(AQ17)-ROW(AQ$15),0),0)</f>
        <v>0</v>
      </c>
      <c r="AR17" s="632">
        <f ca="1">IF(AND($D17="Serviço",AR$12&lt;&gt;0,$H17&gt;0,OR(AUTOEVENTO&lt;&gt;"manual",$M17&lt;&gt;1)),ROUND(OFFSET($P17,0,AR$13),15-13*ORÇAMENTO!$AF$7)/$H17*OFFSET(ORÇAMENTO!$X$15,ROW(AR17)-ROW(AR$15),0),0)</f>
        <v>0</v>
      </c>
      <c r="AS17" s="633">
        <f ca="1">IF(AND($D17="Serviço",AS$12&lt;&gt;0,$H17&gt;0,OR(AUTOEVENTO&lt;&gt;"manual",$M17&lt;&gt;1)),ROUND(OFFSET($P17,0,AS$13),15-13*ORÇAMENTO!$AF$7)/$H17*OFFSET(ORÇAMENTO!$X$15,ROW(AS17)-ROW(AS$15),0),0)</f>
        <v>0</v>
      </c>
      <c r="AT17" s="632">
        <f ca="1">IF(AND($D17="Serviço",AT$12&lt;&gt;0,$H17&gt;0,OR(AUTOEVENTO&lt;&gt;"manual",$M17&lt;&gt;1)),ROUND(OFFSET($P17,0,AT$13),15-13*ORÇAMENTO!$AF$7)/$H17*OFFSET(ORÇAMENTO!$X$15,ROW(AT17)-ROW(AT$15),0),0)</f>
        <v>0</v>
      </c>
      <c r="AU17" s="632">
        <f ca="1">IF(AND($D17="Serviço",AU$12&lt;&gt;0,$H17&gt;0,OR(AUTOEVENTO&lt;&gt;"manual",$M17&lt;&gt;1)),ROUND(OFFSET($P17,0,AU$13),15-13*ORÇAMENTO!$AF$7)/$H17*OFFSET(ORÇAMENTO!$X$15,ROW(AU17)-ROW(AU$15),0),0)</f>
        <v>0</v>
      </c>
      <c r="AV17" s="632">
        <f ca="1">IF(AND($D17="Serviço",AV$12&lt;&gt;0,$H17&gt;0,OR(AUTOEVENTO&lt;&gt;"manual",$M17&lt;&gt;1)),ROUND(OFFSET($P17,0,AV$13),15-13*ORÇAMENTO!$AF$7)/$H17*OFFSET(ORÇAMENTO!$X$15,ROW(AV17)-ROW(AV$15),0),0)</f>
        <v>0</v>
      </c>
      <c r="AW17" s="632">
        <f ca="1">IF(AND($D17="Serviço",AW$12&lt;&gt;0,$H17&gt;0,OR(AUTOEVENTO&lt;&gt;"manual",$M17&lt;&gt;1)),ROUND(OFFSET($P17,0,AW$13),15-13*ORÇAMENTO!$AF$7)/$H17*OFFSET(ORÇAMENTO!$X$15,ROW(AW17)-ROW(AW$15),0),0)</f>
        <v>0</v>
      </c>
      <c r="AX17" s="632">
        <f ca="1">IF(AND($D17="Serviço",AX$12&lt;&gt;0,$H17&gt;0,OR(AUTOEVENTO&lt;&gt;"manual",$M17&lt;&gt;1)),ROUND(OFFSET($P17,0,AX$13),15-13*ORÇAMENTO!$AF$7)/$H17*OFFSET(ORÇAMENTO!$X$15,ROW(AX17)-ROW(AX$15),0),0)</f>
        <v>0</v>
      </c>
      <c r="AY17" s="632">
        <f ca="1">IF(AND($D17="Serviço",AY$12&lt;&gt;0,$H17&gt;0,OR(AUTOEVENTO&lt;&gt;"manual",$M17&lt;&gt;1)),ROUND(OFFSET($P17,0,AY$13),15-13*ORÇAMENTO!$AF$7)/$H17*OFFSET(ORÇAMENTO!$X$15,ROW(AY17)-ROW(AY$15),0),0)</f>
        <v>0</v>
      </c>
      <c r="AZ17" s="632">
        <f ca="1">IF(AND($D17="Serviço",AZ$12&lt;&gt;0,$H17&gt;0,OR(AUTOEVENTO&lt;&gt;"manual",$M17&lt;&gt;1)),ROUND(OFFSET($P17,0,AZ$13),15-13*ORÇAMENTO!$AF$7)/$H17*OFFSET(ORÇAMENTO!$X$15,ROW(AZ17)-ROW(AZ$15),0),0)</f>
        <v>0</v>
      </c>
      <c r="BA17" s="633">
        <f ca="1">IF(AND($D17="Serviço",BA$12&lt;&gt;0,$H17&gt;0,OR(AUTOEVENTO&lt;&gt;"manual",$M17&lt;&gt;1)),ROUND(OFFSET($P17,0,BA$13),15-13*ORÇAMENTO!$AF$7)/$H17*OFFSET(ORÇAMENTO!$X$15,ROW(BA17)-ROW(BA$15),0),0)</f>
        <v>0</v>
      </c>
      <c r="BC17" s="215">
        <f ca="1">IF($D17&lt;&gt;"Serviço",0,IF(AND(AUTOEVENTO="Manual",$M17=1),0,IF(OFFSET(CRONOPLE!$F$14,$M17,BC$13)="",10^12,OFFSET(CRONOPLE!$F$14,$M17,BC$13))))</f>
        <v>0</v>
      </c>
      <c r="BD17" s="215">
        <f ca="1">IF($D17&lt;&gt;"Serviço",0,IF(AND(AUTOEVENTO="Manual",$M17=1),0,IF(OFFSET(CRONOPLE!$F$14,$M17,BD$13)="",10^12,OFFSET(CRONOPLE!$F$14,$M17,BD$13))))</f>
        <v>0</v>
      </c>
      <c r="BE17" s="215">
        <f ca="1">IF($D17&lt;&gt;"Serviço",0,IF(AND(AUTOEVENTO="Manual",$M17=1),0,IF(OFFSET(CRONOPLE!$F$14,$M17,BE$13)="",10^12,OFFSET(CRONOPLE!$F$14,$M17,BE$13))))</f>
        <v>0</v>
      </c>
      <c r="BF17" s="215">
        <f ca="1">IF($D17&lt;&gt;"Serviço",0,IF(AND(AUTOEVENTO="Manual",$M17=1),0,IF(OFFSET(CRONOPLE!$F$14,$M17,BF$13)="",10^12,OFFSET(CRONOPLE!$F$14,$M17,BF$13))))</f>
        <v>0</v>
      </c>
      <c r="BG17" s="215">
        <f ca="1">IF($D17&lt;&gt;"Serviço",0,IF(AND(AUTOEVENTO="Manual",$M17=1),0,IF(OFFSET(CRONOPLE!$F$14,$M17,BG$13)="",10^12,OFFSET(CRONOPLE!$F$14,$M17,BG$13))))</f>
        <v>0</v>
      </c>
      <c r="BH17" s="215">
        <f ca="1">IF($D17&lt;&gt;"Serviço",0,IF(AND(AUTOEVENTO="Manual",$M17=1),0,IF(OFFSET(CRONOPLE!$F$14,$M17,BH$13)="",10^12,OFFSET(CRONOPLE!$F$14,$M17,BH$13))))</f>
        <v>0</v>
      </c>
      <c r="BI17" s="215">
        <f ca="1">IF($D17&lt;&gt;"Serviço",0,IF(AND(AUTOEVENTO="Manual",$M17=1),0,IF(OFFSET(CRONOPLE!$F$14,$M17,BI$13)="",10^12,OFFSET(CRONOPLE!$F$14,$M17,BI$13))))</f>
        <v>0</v>
      </c>
      <c r="BJ17" s="215">
        <f ca="1">IF($D17&lt;&gt;"Serviço",0,IF(AND(AUTOEVENTO="Manual",$M17=1),0,IF(OFFSET(CRONOPLE!$F$14,$M17,BJ$13)="",10^12,OFFSET(CRONOPLE!$F$14,$M17,BJ$13))))</f>
        <v>0</v>
      </c>
      <c r="BK17" s="215">
        <f ca="1">IF($D17&lt;&gt;"Serviço",0,IF(AND(AUTOEVENTO="Manual",$M17=1),0,IF(OFFSET(CRONOPLE!$F$14,$M17,BK$13)="",10^12,OFFSET(CRONOPLE!$F$14,$M17,BK$13))))</f>
        <v>0</v>
      </c>
      <c r="BL17" s="215">
        <f ca="1">IF($D17&lt;&gt;"Serviço",0,IF(AND(AUTOEVENTO="Manual",$M17=1),0,IF(OFFSET(CRONOPLE!$F$14,$M17,BL$13)="",10^12,OFFSET(CRONOPLE!$F$14,$M17,BL$13))))</f>
        <v>0</v>
      </c>
      <c r="BM17" s="215">
        <f ca="1">IF($D17&lt;&gt;"Serviço",0,IF(AND(AUTOEVENTO="Manual",$M17=1),0,IF(OFFSET(CRONOPLE!$F$14,$M17,BM$13)="",10^12,OFFSET(CRONOPLE!$F$14,$M17,BM$13))))</f>
        <v>0</v>
      </c>
      <c r="BN17" s="215">
        <f ca="1">IF($D17&lt;&gt;"Serviço",0,IF(AND(AUTOEVENTO="Manual",$M17=1),0,IF(OFFSET(CRONOPLE!$F$14,$M17,BN$13)="",10^12,OFFSET(CRONOPLE!$F$14,$M17,BN$13))))</f>
        <v>0</v>
      </c>
      <c r="BO17" s="215">
        <f ca="1">IF($D17&lt;&gt;"Serviço",0,IF(AND(AUTOEVENTO="Manual",$M17=1),0,IF(OFFSET(CRONOPLE!$F$14,$M17,BO$13)="",10^12,OFFSET(CRONOPLE!$F$14,$M17,BO$13))))</f>
        <v>0</v>
      </c>
      <c r="BP17" s="215">
        <f ca="1">IF($D17&lt;&gt;"Serviço",0,IF(AND(AUTOEVENTO="Manual",$M17=1),0,IF(OFFSET(CRONOPLE!$F$14,$M17,BP$13)="",10^12,OFFSET(CRONOPLE!$F$14,$M17,BP$13))))</f>
        <v>0</v>
      </c>
      <c r="BQ17" s="215">
        <f ca="1">IF($D17&lt;&gt;"Serviço",0,IF(AND(AUTOEVENTO="Manual",$M17=1),0,IF(OFFSET(CRONOPLE!$F$14,$M17,BQ$13)="",10^12,OFFSET(CRONOPLE!$F$14,$M17,BQ$13))))</f>
        <v>0</v>
      </c>
      <c r="BR17" s="215">
        <f ca="1">IF($D17&lt;&gt;"Serviço",0,IF(AND(AUTOEVENTO="Manual",$M17=1),0,IF(OFFSET(CRONOPLE!$F$14,$M17,BR$13)="",10^12,OFFSET(CRONOPLE!$F$14,$M17,BR$13))))</f>
        <v>0</v>
      </c>
      <c r="BS17" s="215">
        <f ca="1">IF($D17&lt;&gt;"Serviço",0,IF(AND(AUTOEVENTO="Manual",$M17=1),0,IF(OFFSET(CRONOPLE!$F$14,$M17,BS$13)="",10^12,OFFSET(CRONOPLE!$F$14,$M17,BS$13))))</f>
        <v>0</v>
      </c>
      <c r="BT17" s="215">
        <f ca="1">IF($D17&lt;&gt;"Serviço",0,IF(AND(AUTOEVENTO="Manual",$M17=1),0,IF(OFFSET(CRONOPLE!$F$14,$M17,BT$13)="",10^12,OFFSET(CRONOPLE!$F$14,$M17,BT$13))))</f>
        <v>0</v>
      </c>
      <c r="BV17" s="216">
        <f ca="1">IF($D17&lt;&gt;"Serviço",0,IF(OR(AND(AUTOEVENTO="Manual",$M17=1),$M17&gt;(ROW(PLE.lastrow)-ROW(PLE.firstrow))),0,IF(OFFSET(PLE!$G$14,$M17,BV$13)="",10^12,OFFSET(PLE!$G$14,$M17,BV$13))))</f>
        <v>0</v>
      </c>
      <c r="BW17" s="216">
        <f ca="1">IF($D17&lt;&gt;"Serviço",0,IF(OR(AND(AUTOEVENTO="Manual",$M17=1),$M17&gt;(ROW(PLE.lastrow)-ROW(PLE.firstrow))),0,IF(OFFSET(PLE!$G$14,$M17,BW$13)="",10^12,OFFSET(PLE!$G$14,$M17,BW$13))))</f>
        <v>0</v>
      </c>
      <c r="BX17" s="216">
        <f ca="1">IF($D17&lt;&gt;"Serviço",0,IF(OR(AND(AUTOEVENTO="Manual",$M17=1),$M17&gt;(ROW(PLE.lastrow)-ROW(PLE.firstrow))),0,IF(OFFSET(PLE!$G$14,$M17,BX$13)="",10^12,OFFSET(PLE!$G$14,$M17,BX$13))))</f>
        <v>0</v>
      </c>
      <c r="BY17" s="216">
        <f ca="1">IF($D17&lt;&gt;"Serviço",0,IF(OR(AND(AUTOEVENTO="Manual",$M17=1),$M17&gt;(ROW(PLE.lastrow)-ROW(PLE.firstrow))),0,IF(OFFSET(PLE!$G$14,$M17,BY$13)="",10^12,OFFSET(PLE!$G$14,$M17,BY$13))))</f>
        <v>0</v>
      </c>
      <c r="BZ17" s="216">
        <f ca="1">IF($D17&lt;&gt;"Serviço",0,IF(OR(AND(AUTOEVENTO="Manual",$M17=1),$M17&gt;(ROW(PLE.lastrow)-ROW(PLE.firstrow))),0,IF(OFFSET(PLE!$G$14,$M17,BZ$13)="",10^12,OFFSET(PLE!$G$14,$M17,BZ$13))))</f>
        <v>0</v>
      </c>
      <c r="CA17" s="216">
        <f ca="1">IF($D17&lt;&gt;"Serviço",0,IF(OR(AND(AUTOEVENTO="Manual",$M17=1),$M17&gt;(ROW(PLE.lastrow)-ROW(PLE.firstrow))),0,IF(OFFSET(PLE!$G$14,$M17,CA$13)="",10^12,OFFSET(PLE!$G$14,$M17,CA$13))))</f>
        <v>0</v>
      </c>
      <c r="CB17" s="216">
        <f ca="1">IF($D17&lt;&gt;"Serviço",0,IF(OR(AND(AUTOEVENTO="Manual",$M17=1),$M17&gt;(ROW(PLE.lastrow)-ROW(PLE.firstrow))),0,IF(OFFSET(PLE!$G$14,$M17,CB$13)="",10^12,OFFSET(PLE!$G$14,$M17,CB$13))))</f>
        <v>0</v>
      </c>
      <c r="CC17" s="216">
        <f ca="1">IF($D17&lt;&gt;"Serviço",0,IF(OR(AND(AUTOEVENTO="Manual",$M17=1),$M17&gt;(ROW(PLE.lastrow)-ROW(PLE.firstrow))),0,IF(OFFSET(PLE!$G$14,$M17,CC$13)="",10^12,OFFSET(PLE!$G$14,$M17,CC$13))))</f>
        <v>0</v>
      </c>
      <c r="CD17" s="216">
        <f ca="1">IF($D17&lt;&gt;"Serviço",0,IF(OR(AND(AUTOEVENTO="Manual",$M17=1),$M17&gt;(ROW(PLE.lastrow)-ROW(PLE.firstrow))),0,IF(OFFSET(PLE!$G$14,$M17,CD$13)="",10^12,OFFSET(PLE!$G$14,$M17,CD$13))))</f>
        <v>0</v>
      </c>
      <c r="CE17" s="216">
        <f ca="1">IF($D17&lt;&gt;"Serviço",0,IF(OR(AND(AUTOEVENTO="Manual",$M17=1),$M17&gt;(ROW(PLE.lastrow)-ROW(PLE.firstrow))),0,IF(OFFSET(PLE!$G$14,$M17,CE$13)="",10^12,OFFSET(PLE!$G$14,$M17,CE$13))))</f>
        <v>0</v>
      </c>
      <c r="CF17" s="216">
        <f ca="1">IF($D17&lt;&gt;"Serviço",0,IF(OR(AND(AUTOEVENTO="Manual",$M17=1),$M17&gt;(ROW(PLE.lastrow)-ROW(PLE.firstrow))),0,IF(OFFSET(PLE!$G$14,$M17,CF$13)="",10^12,OFFSET(PLE!$G$14,$M17,CF$13))))</f>
        <v>0</v>
      </c>
      <c r="CG17" s="216">
        <f ca="1">IF($D17&lt;&gt;"Serviço",0,IF(OR(AND(AUTOEVENTO="Manual",$M17=1),$M17&gt;(ROW(PLE.lastrow)-ROW(PLE.firstrow))),0,IF(OFFSET(PLE!$G$14,$M17,CG$13)="",10^12,OFFSET(PLE!$G$14,$M17,CG$13))))</f>
        <v>0</v>
      </c>
      <c r="CH17" s="216">
        <f ca="1">IF($D17&lt;&gt;"Serviço",0,IF(OR(AND(AUTOEVENTO="Manual",$M17=1),$M17&gt;(ROW(PLE.lastrow)-ROW(PLE.firstrow))),0,IF(OFFSET(PLE!$G$14,$M17,CH$13)="",10^12,OFFSET(PLE!$G$14,$M17,CH$13))))</f>
        <v>0</v>
      </c>
      <c r="CI17" s="216">
        <f ca="1">IF($D17&lt;&gt;"Serviço",0,IF(OR(AND(AUTOEVENTO="Manual",$M17=1),$M17&gt;(ROW(PLE.lastrow)-ROW(PLE.firstrow))),0,IF(OFFSET(PLE!$G$14,$M17,CI$13)="",10^12,OFFSET(PLE!$G$14,$M17,CI$13))))</f>
        <v>0</v>
      </c>
      <c r="CJ17" s="216">
        <f ca="1">IF($D17&lt;&gt;"Serviço",0,IF(OR(AND(AUTOEVENTO="Manual",$M17=1),$M17&gt;(ROW(PLE.lastrow)-ROW(PLE.firstrow))),0,IF(OFFSET(PLE!$G$14,$M17,CJ$13)="",10^12,OFFSET(PLE!$G$14,$M17,CJ$13))))</f>
        <v>0</v>
      </c>
      <c r="CK17" s="216">
        <f ca="1">IF($D17&lt;&gt;"Serviço",0,IF(OR(AND(AUTOEVENTO="Manual",$M17=1),$M17&gt;(ROW(PLE.lastrow)-ROW(PLE.firstrow))),0,IF(OFFSET(PLE!$G$14,$M17,CK$13)="",10^12,OFFSET(PLE!$G$14,$M17,CK$13))))</f>
        <v>0</v>
      </c>
      <c r="CL17" s="216">
        <f ca="1">IF($D17&lt;&gt;"Serviço",0,IF(OR(AND(AUTOEVENTO="Manual",$M17=1),$M17&gt;(ROW(PLE.lastrow)-ROW(PLE.firstrow))),0,IF(OFFSET(PLE!$G$14,$M17,CL$13)="",10^12,OFFSET(PLE!$G$14,$M17,CL$13))))</f>
        <v>0</v>
      </c>
      <c r="CM17" s="216">
        <f ca="1">IF($D17&lt;&gt;"Serviço",0,IF(OR(AND(AUTOEVENTO="Manual",$M17=1),$M17&gt;(ROW(PLE.lastrow)-ROW(PLE.firstrow))),0,IF(OFFSET(PLE!$G$14,$M17,CM$13)="",10^12,OFFSET(PLE!$G$14,$M17,CM$13))))</f>
        <v>0</v>
      </c>
    </row>
    <row r="18" spans="1:91" ht="13.2" x14ac:dyDescent="0.25">
      <c r="A18" s="9">
        <f t="shared" ca="1" si="9"/>
        <v>0</v>
      </c>
      <c r="B18" s="9" t="str">
        <f ca="1">OFFSET(ORÇAMENTO!C$15,ROW(B18)-ROW(B$15),0)</f>
        <v>S</v>
      </c>
      <c r="C18" s="9" t="str">
        <f ca="1">OFFSET(ORÇAMENTO!L$15,ROW(C18)-ROW(C$15),0)</f>
        <v/>
      </c>
      <c r="D18" s="145" t="str">
        <f ca="1">OFFSET(ORÇAMENTO!N$15,ROW(D18)-ROW(D$15),0)</f>
        <v>Serviço</v>
      </c>
      <c r="E18" s="205" t="str">
        <f ca="1">OFFSET(ORÇAMENTO!O$15,ROW(E18)-ROW(E$15),0)</f>
        <v>-</v>
      </c>
      <c r="F18" s="206" t="str">
        <f ca="1">OFFSET(ORÇAMENTO!R$15,ROW(F18)-ROW(F$15),0)</f>
        <v>(abra o arquivo 'Referência 05-2024.xls)</v>
      </c>
      <c r="G18" s="207" t="str">
        <f ca="1">IF($D18&lt;&gt;"Serviço","",OFFSET(ORÇAMENTO!S$15,ROW(G18)-ROW(G$15),0))</f>
        <v>-</v>
      </c>
      <c r="H18" s="151">
        <f ca="1">IF($D18&lt;&gt;"Serviço",0,IF(ACOMPANHAMENTO="BM",ROUND(OFFSET(ORÇAMENTO!AJ$15,ROW(H18)-ROW(H$15),0),15-13*ORÇAMENTO!$AF$7),SUMPRODUCT(($Q$12:$AI$12&lt;&gt;"")*ROUND($Q18:$AI18,15-13*ORÇAMENTO!$AF$7))))</f>
        <v>10</v>
      </c>
      <c r="I18" s="650"/>
      <c r="K18" s="208"/>
      <c r="L18" s="209" t="s">
        <v>257</v>
      </c>
      <c r="M18" s="210">
        <f ca="1">IF($D18&lt;&gt;"Serviço","",IF(AUTOEVENTO="manual",$A18,IF(ISERROR(MATCH($A18,$A$15:OFFSET($A18,-1,0),0)),MAX($M$15:OFFSET(M18,-1,0))+1,INDEX($M$15:OFFSET(M18,-1,0),MATCH($A18,$A$15:OFFSET($A18,-1,0),0)))))</f>
        <v>0</v>
      </c>
      <c r="N18" s="211" t="str">
        <f ca="1">IF($D18&lt;&gt;"Serviço","",IF(AUTOEVENTO="Manual",IF($A18=0,"&lt;-- defina o número do agrupador",OFFSET(EVENTOS!$D$14,$A18,0)),OFFSET($F$15,$A18,0)))</f>
        <v>&lt;-- defina o número do agrupador</v>
      </c>
      <c r="O18" s="212"/>
      <c r="Q18" s="212"/>
      <c r="R18" s="213"/>
      <c r="S18" s="213"/>
      <c r="T18" s="213"/>
      <c r="U18" s="213"/>
      <c r="V18" s="213"/>
      <c r="W18" s="213"/>
      <c r="X18" s="213"/>
      <c r="Y18" s="213"/>
      <c r="Z18" s="214"/>
      <c r="AA18" s="213"/>
      <c r="AB18" s="213"/>
      <c r="AC18" s="213"/>
      <c r="AD18" s="213"/>
      <c r="AE18" s="213"/>
      <c r="AF18" s="213"/>
      <c r="AG18" s="213"/>
      <c r="AH18" s="214"/>
      <c r="AJ18" s="631">
        <f ca="1">IF(AND($D18="Serviço",AJ$12&lt;&gt;0,$H18&gt;0,OR(AUTOEVENTO&lt;&gt;"manual",$M18&lt;&gt;1)),ROUND(OFFSET($P18,0,AJ$13),15-13*ORÇAMENTO!$AF$7)/$H18*OFFSET(ORÇAMENTO!$X$15,ROW(AJ18)-ROW(AJ$15),0),0)</f>
        <v>0</v>
      </c>
      <c r="AK18" s="632">
        <f ca="1">IF(AND($D18="Serviço",AK$12&lt;&gt;0,$H18&gt;0,OR(AUTOEVENTO&lt;&gt;"manual",$M18&lt;&gt;1)),ROUND(OFFSET($P18,0,AK$13),15-13*ORÇAMENTO!$AF$7)/$H18*OFFSET(ORÇAMENTO!$X$15,ROW(AK18)-ROW(AK$15),0),0)</f>
        <v>0</v>
      </c>
      <c r="AL18" s="632">
        <f ca="1">IF(AND($D18="Serviço",AL$12&lt;&gt;0,$H18&gt;0,OR(AUTOEVENTO&lt;&gt;"manual",$M18&lt;&gt;1)),ROUND(OFFSET($P18,0,AL$13),15-13*ORÇAMENTO!$AF$7)/$H18*OFFSET(ORÇAMENTO!$X$15,ROW(AL18)-ROW(AL$15),0),0)</f>
        <v>0</v>
      </c>
      <c r="AM18" s="632">
        <f ca="1">IF(AND($D18="Serviço",AM$12&lt;&gt;0,$H18&gt;0,OR(AUTOEVENTO&lt;&gt;"manual",$M18&lt;&gt;1)),ROUND(OFFSET($P18,0,AM$13),15-13*ORÇAMENTO!$AF$7)/$H18*OFFSET(ORÇAMENTO!$X$15,ROW(AM18)-ROW(AM$15),0),0)</f>
        <v>0</v>
      </c>
      <c r="AN18" s="632">
        <f ca="1">IF(AND($D18="Serviço",AN$12&lt;&gt;0,$H18&gt;0,OR(AUTOEVENTO&lt;&gt;"manual",$M18&lt;&gt;1)),ROUND(OFFSET($P18,0,AN$13),15-13*ORÇAMENTO!$AF$7)/$H18*OFFSET(ORÇAMENTO!$X$15,ROW(AN18)-ROW(AN$15),0),0)</f>
        <v>0</v>
      </c>
      <c r="AO18" s="632">
        <f ca="1">IF(AND($D18="Serviço",AO$12&lt;&gt;0,$H18&gt;0,OR(AUTOEVENTO&lt;&gt;"manual",$M18&lt;&gt;1)),ROUND(OFFSET($P18,0,AO$13),15-13*ORÇAMENTO!$AF$7)/$H18*OFFSET(ORÇAMENTO!$X$15,ROW(AO18)-ROW(AO$15),0),0)</f>
        <v>0</v>
      </c>
      <c r="AP18" s="632">
        <f ca="1">IF(AND($D18="Serviço",AP$12&lt;&gt;0,$H18&gt;0,OR(AUTOEVENTO&lt;&gt;"manual",$M18&lt;&gt;1)),ROUND(OFFSET($P18,0,AP$13),15-13*ORÇAMENTO!$AF$7)/$H18*OFFSET(ORÇAMENTO!$X$15,ROW(AP18)-ROW(AP$15),0),0)</f>
        <v>0</v>
      </c>
      <c r="AQ18" s="632">
        <f ca="1">IF(AND($D18="Serviço",AQ$12&lt;&gt;0,$H18&gt;0,OR(AUTOEVENTO&lt;&gt;"manual",$M18&lt;&gt;1)),ROUND(OFFSET($P18,0,AQ$13),15-13*ORÇAMENTO!$AF$7)/$H18*OFFSET(ORÇAMENTO!$X$15,ROW(AQ18)-ROW(AQ$15),0),0)</f>
        <v>0</v>
      </c>
      <c r="AR18" s="632">
        <f ca="1">IF(AND($D18="Serviço",AR$12&lt;&gt;0,$H18&gt;0,OR(AUTOEVENTO&lt;&gt;"manual",$M18&lt;&gt;1)),ROUND(OFFSET($P18,0,AR$13),15-13*ORÇAMENTO!$AF$7)/$H18*OFFSET(ORÇAMENTO!$X$15,ROW(AR18)-ROW(AR$15),0),0)</f>
        <v>0</v>
      </c>
      <c r="AS18" s="633">
        <f ca="1">IF(AND($D18="Serviço",AS$12&lt;&gt;0,$H18&gt;0,OR(AUTOEVENTO&lt;&gt;"manual",$M18&lt;&gt;1)),ROUND(OFFSET($P18,0,AS$13),15-13*ORÇAMENTO!$AF$7)/$H18*OFFSET(ORÇAMENTO!$X$15,ROW(AS18)-ROW(AS$15),0),0)</f>
        <v>0</v>
      </c>
      <c r="AT18" s="632">
        <f ca="1">IF(AND($D18="Serviço",AT$12&lt;&gt;0,$H18&gt;0,OR(AUTOEVENTO&lt;&gt;"manual",$M18&lt;&gt;1)),ROUND(OFFSET($P18,0,AT$13),15-13*ORÇAMENTO!$AF$7)/$H18*OFFSET(ORÇAMENTO!$X$15,ROW(AT18)-ROW(AT$15),0),0)</f>
        <v>0</v>
      </c>
      <c r="AU18" s="632">
        <f ca="1">IF(AND($D18="Serviço",AU$12&lt;&gt;0,$H18&gt;0,OR(AUTOEVENTO&lt;&gt;"manual",$M18&lt;&gt;1)),ROUND(OFFSET($P18,0,AU$13),15-13*ORÇAMENTO!$AF$7)/$H18*OFFSET(ORÇAMENTO!$X$15,ROW(AU18)-ROW(AU$15),0),0)</f>
        <v>0</v>
      </c>
      <c r="AV18" s="632">
        <f ca="1">IF(AND($D18="Serviço",AV$12&lt;&gt;0,$H18&gt;0,OR(AUTOEVENTO&lt;&gt;"manual",$M18&lt;&gt;1)),ROUND(OFFSET($P18,0,AV$13),15-13*ORÇAMENTO!$AF$7)/$H18*OFFSET(ORÇAMENTO!$X$15,ROW(AV18)-ROW(AV$15),0),0)</f>
        <v>0</v>
      </c>
      <c r="AW18" s="632">
        <f ca="1">IF(AND($D18="Serviço",AW$12&lt;&gt;0,$H18&gt;0,OR(AUTOEVENTO&lt;&gt;"manual",$M18&lt;&gt;1)),ROUND(OFFSET($P18,0,AW$13),15-13*ORÇAMENTO!$AF$7)/$H18*OFFSET(ORÇAMENTO!$X$15,ROW(AW18)-ROW(AW$15),0),0)</f>
        <v>0</v>
      </c>
      <c r="AX18" s="632">
        <f ca="1">IF(AND($D18="Serviço",AX$12&lt;&gt;0,$H18&gt;0,OR(AUTOEVENTO&lt;&gt;"manual",$M18&lt;&gt;1)),ROUND(OFFSET($P18,0,AX$13),15-13*ORÇAMENTO!$AF$7)/$H18*OFFSET(ORÇAMENTO!$X$15,ROW(AX18)-ROW(AX$15),0),0)</f>
        <v>0</v>
      </c>
      <c r="AY18" s="632">
        <f ca="1">IF(AND($D18="Serviço",AY$12&lt;&gt;0,$H18&gt;0,OR(AUTOEVENTO&lt;&gt;"manual",$M18&lt;&gt;1)),ROUND(OFFSET($P18,0,AY$13),15-13*ORÇAMENTO!$AF$7)/$H18*OFFSET(ORÇAMENTO!$X$15,ROW(AY18)-ROW(AY$15),0),0)</f>
        <v>0</v>
      </c>
      <c r="AZ18" s="632">
        <f ca="1">IF(AND($D18="Serviço",AZ$12&lt;&gt;0,$H18&gt;0,OR(AUTOEVENTO&lt;&gt;"manual",$M18&lt;&gt;1)),ROUND(OFFSET($P18,0,AZ$13),15-13*ORÇAMENTO!$AF$7)/$H18*OFFSET(ORÇAMENTO!$X$15,ROW(AZ18)-ROW(AZ$15),0),0)</f>
        <v>0</v>
      </c>
      <c r="BA18" s="633">
        <f ca="1">IF(AND($D18="Serviço",BA$12&lt;&gt;0,$H18&gt;0,OR(AUTOEVENTO&lt;&gt;"manual",$M18&lt;&gt;1)),ROUND(OFFSET($P18,0,BA$13),15-13*ORÇAMENTO!$AF$7)/$H18*OFFSET(ORÇAMENTO!$X$15,ROW(BA18)-ROW(BA$15),0),0)</f>
        <v>0</v>
      </c>
      <c r="BC18" s="215">
        <f ca="1">IF($D18&lt;&gt;"Serviço",0,IF(AND(AUTOEVENTO="Manual",$M18=1),0,IF(OFFSET(CRONOPLE!$F$14,$M18,BC$13)="",10^12,OFFSET(CRONOPLE!$F$14,$M18,BC$13))))</f>
        <v>1000000000000</v>
      </c>
      <c r="BD18" s="215">
        <f ca="1">IF($D18&lt;&gt;"Serviço",0,IF(AND(AUTOEVENTO="Manual",$M18=1),0,IF(OFFSET(CRONOPLE!$F$14,$M18,BD$13)="",10^12,OFFSET(CRONOPLE!$F$14,$M18,BD$13))))</f>
        <v>1000000000000</v>
      </c>
      <c r="BE18" s="215">
        <f ca="1">IF($D18&lt;&gt;"Serviço",0,IF(AND(AUTOEVENTO="Manual",$M18=1),0,IF(OFFSET(CRONOPLE!$F$14,$M18,BE$13)="",10^12,OFFSET(CRONOPLE!$F$14,$M18,BE$13))))</f>
        <v>1000000000000</v>
      </c>
      <c r="BF18" s="215">
        <f ca="1">IF($D18&lt;&gt;"Serviço",0,IF(AND(AUTOEVENTO="Manual",$M18=1),0,IF(OFFSET(CRONOPLE!$F$14,$M18,BF$13)="",10^12,OFFSET(CRONOPLE!$F$14,$M18,BF$13))))</f>
        <v>1000000000000</v>
      </c>
      <c r="BG18" s="215">
        <f ca="1">IF($D18&lt;&gt;"Serviço",0,IF(AND(AUTOEVENTO="Manual",$M18=1),0,IF(OFFSET(CRONOPLE!$F$14,$M18,BG$13)="",10^12,OFFSET(CRONOPLE!$F$14,$M18,BG$13))))</f>
        <v>1000000000000</v>
      </c>
      <c r="BH18" s="215">
        <f ca="1">IF($D18&lt;&gt;"Serviço",0,IF(AND(AUTOEVENTO="Manual",$M18=1),0,IF(OFFSET(CRONOPLE!$F$14,$M18,BH$13)="",10^12,OFFSET(CRONOPLE!$F$14,$M18,BH$13))))</f>
        <v>1000000000000</v>
      </c>
      <c r="BI18" s="215">
        <f ca="1">IF($D18&lt;&gt;"Serviço",0,IF(AND(AUTOEVENTO="Manual",$M18=1),0,IF(OFFSET(CRONOPLE!$F$14,$M18,BI$13)="",10^12,OFFSET(CRONOPLE!$F$14,$M18,BI$13))))</f>
        <v>1000000000000</v>
      </c>
      <c r="BJ18" s="215">
        <f ca="1">IF($D18&lt;&gt;"Serviço",0,IF(AND(AUTOEVENTO="Manual",$M18=1),0,IF(OFFSET(CRONOPLE!$F$14,$M18,BJ$13)="",10^12,OFFSET(CRONOPLE!$F$14,$M18,BJ$13))))</f>
        <v>1000000000000</v>
      </c>
      <c r="BK18" s="215">
        <f ca="1">IF($D18&lt;&gt;"Serviço",0,IF(AND(AUTOEVENTO="Manual",$M18=1),0,IF(OFFSET(CRONOPLE!$F$14,$M18,BK$13)="",10^12,OFFSET(CRONOPLE!$F$14,$M18,BK$13))))</f>
        <v>1000000000000</v>
      </c>
      <c r="BL18" s="215">
        <f ca="1">IF($D18&lt;&gt;"Serviço",0,IF(AND(AUTOEVENTO="Manual",$M18=1),0,IF(OFFSET(CRONOPLE!$F$14,$M18,BL$13)="",10^12,OFFSET(CRONOPLE!$F$14,$M18,BL$13))))</f>
        <v>1000000000000</v>
      </c>
      <c r="BM18" s="215">
        <f ca="1">IF($D18&lt;&gt;"Serviço",0,IF(AND(AUTOEVENTO="Manual",$M18=1),0,IF(OFFSET(CRONOPLE!$F$14,$M18,BM$13)="",10^12,OFFSET(CRONOPLE!$F$14,$M18,BM$13))))</f>
        <v>1000000000000</v>
      </c>
      <c r="BN18" s="215">
        <f ca="1">IF($D18&lt;&gt;"Serviço",0,IF(AND(AUTOEVENTO="Manual",$M18=1),0,IF(OFFSET(CRONOPLE!$F$14,$M18,BN$13)="",10^12,OFFSET(CRONOPLE!$F$14,$M18,BN$13))))</f>
        <v>1000000000000</v>
      </c>
      <c r="BO18" s="215">
        <f ca="1">IF($D18&lt;&gt;"Serviço",0,IF(AND(AUTOEVENTO="Manual",$M18=1),0,IF(OFFSET(CRONOPLE!$F$14,$M18,BO$13)="",10^12,OFFSET(CRONOPLE!$F$14,$M18,BO$13))))</f>
        <v>1000000000000</v>
      </c>
      <c r="BP18" s="215">
        <f ca="1">IF($D18&lt;&gt;"Serviço",0,IF(AND(AUTOEVENTO="Manual",$M18=1),0,IF(OFFSET(CRONOPLE!$F$14,$M18,BP$13)="",10^12,OFFSET(CRONOPLE!$F$14,$M18,BP$13))))</f>
        <v>1000000000000</v>
      </c>
      <c r="BQ18" s="215">
        <f ca="1">IF($D18&lt;&gt;"Serviço",0,IF(AND(AUTOEVENTO="Manual",$M18=1),0,IF(OFFSET(CRONOPLE!$F$14,$M18,BQ$13)="",10^12,OFFSET(CRONOPLE!$F$14,$M18,BQ$13))))</f>
        <v>1000000000000</v>
      </c>
      <c r="BR18" s="215">
        <f ca="1">IF($D18&lt;&gt;"Serviço",0,IF(AND(AUTOEVENTO="Manual",$M18=1),0,IF(OFFSET(CRONOPLE!$F$14,$M18,BR$13)="",10^12,OFFSET(CRONOPLE!$F$14,$M18,BR$13))))</f>
        <v>1000000000000</v>
      </c>
      <c r="BS18" s="215">
        <f ca="1">IF($D18&lt;&gt;"Serviço",0,IF(AND(AUTOEVENTO="Manual",$M18=1),0,IF(OFFSET(CRONOPLE!$F$14,$M18,BS$13)="",10^12,OFFSET(CRONOPLE!$F$14,$M18,BS$13))))</f>
        <v>1000000000000</v>
      </c>
      <c r="BT18" s="215">
        <f ca="1">IF($D18&lt;&gt;"Serviço",0,IF(AND(AUTOEVENTO="Manual",$M18=1),0,IF(OFFSET(CRONOPLE!$F$14,$M18,BT$13)="",10^12,OFFSET(CRONOPLE!$F$14,$M18,BT$13))))</f>
        <v>1000000000000</v>
      </c>
      <c r="BV18" s="216">
        <f ca="1">IF($D18&lt;&gt;"Serviço",0,IF(OR(AND(AUTOEVENTO="Manual",$M18=1),$M18&gt;(ROW(PLE.lastrow)-ROW(PLE.firstrow))),0,IF(OFFSET(PLE!$G$14,$M18,BV$13)="",10^12,OFFSET(PLE!$G$14,$M18,BV$13))))</f>
        <v>1000000000000</v>
      </c>
      <c r="BW18" s="216">
        <f ca="1">IF($D18&lt;&gt;"Serviço",0,IF(OR(AND(AUTOEVENTO="Manual",$M18=1),$M18&gt;(ROW(PLE.lastrow)-ROW(PLE.firstrow))),0,IF(OFFSET(PLE!$G$14,$M18,BW$13)="",10^12,OFFSET(PLE!$G$14,$M18,BW$13))))</f>
        <v>1000000000000</v>
      </c>
      <c r="BX18" s="216">
        <f ca="1">IF($D18&lt;&gt;"Serviço",0,IF(OR(AND(AUTOEVENTO="Manual",$M18=1),$M18&gt;(ROW(PLE.lastrow)-ROW(PLE.firstrow))),0,IF(OFFSET(PLE!$G$14,$M18,BX$13)="",10^12,OFFSET(PLE!$G$14,$M18,BX$13))))</f>
        <v>1000000000000</v>
      </c>
      <c r="BY18" s="216">
        <f ca="1">IF($D18&lt;&gt;"Serviço",0,IF(OR(AND(AUTOEVENTO="Manual",$M18=1),$M18&gt;(ROW(PLE.lastrow)-ROW(PLE.firstrow))),0,IF(OFFSET(PLE!$G$14,$M18,BY$13)="",10^12,OFFSET(PLE!$G$14,$M18,BY$13))))</f>
        <v>1000000000000</v>
      </c>
      <c r="BZ18" s="216">
        <f ca="1">IF($D18&lt;&gt;"Serviço",0,IF(OR(AND(AUTOEVENTO="Manual",$M18=1),$M18&gt;(ROW(PLE.lastrow)-ROW(PLE.firstrow))),0,IF(OFFSET(PLE!$G$14,$M18,BZ$13)="",10^12,OFFSET(PLE!$G$14,$M18,BZ$13))))</f>
        <v>1000000000000</v>
      </c>
      <c r="CA18" s="216">
        <f ca="1">IF($D18&lt;&gt;"Serviço",0,IF(OR(AND(AUTOEVENTO="Manual",$M18=1),$M18&gt;(ROW(PLE.lastrow)-ROW(PLE.firstrow))),0,IF(OFFSET(PLE!$G$14,$M18,CA$13)="",10^12,OFFSET(PLE!$G$14,$M18,CA$13))))</f>
        <v>1000000000000</v>
      </c>
      <c r="CB18" s="216">
        <f ca="1">IF($D18&lt;&gt;"Serviço",0,IF(OR(AND(AUTOEVENTO="Manual",$M18=1),$M18&gt;(ROW(PLE.lastrow)-ROW(PLE.firstrow))),0,IF(OFFSET(PLE!$G$14,$M18,CB$13)="",10^12,OFFSET(PLE!$G$14,$M18,CB$13))))</f>
        <v>1000000000000</v>
      </c>
      <c r="CC18" s="216">
        <f ca="1">IF($D18&lt;&gt;"Serviço",0,IF(OR(AND(AUTOEVENTO="Manual",$M18=1),$M18&gt;(ROW(PLE.lastrow)-ROW(PLE.firstrow))),0,IF(OFFSET(PLE!$G$14,$M18,CC$13)="",10^12,OFFSET(PLE!$G$14,$M18,CC$13))))</f>
        <v>1000000000000</v>
      </c>
      <c r="CD18" s="216">
        <f ca="1">IF($D18&lt;&gt;"Serviço",0,IF(OR(AND(AUTOEVENTO="Manual",$M18=1),$M18&gt;(ROW(PLE.lastrow)-ROW(PLE.firstrow))),0,IF(OFFSET(PLE!$G$14,$M18,CD$13)="",10^12,OFFSET(PLE!$G$14,$M18,CD$13))))</f>
        <v>1000000000000</v>
      </c>
      <c r="CE18" s="216">
        <f ca="1">IF($D18&lt;&gt;"Serviço",0,IF(OR(AND(AUTOEVENTO="Manual",$M18=1),$M18&gt;(ROW(PLE.lastrow)-ROW(PLE.firstrow))),0,IF(OFFSET(PLE!$G$14,$M18,CE$13)="",10^12,OFFSET(PLE!$G$14,$M18,CE$13))))</f>
        <v>1000000000000</v>
      </c>
      <c r="CF18" s="216">
        <f ca="1">IF($D18&lt;&gt;"Serviço",0,IF(OR(AND(AUTOEVENTO="Manual",$M18=1),$M18&gt;(ROW(PLE.lastrow)-ROW(PLE.firstrow))),0,IF(OFFSET(PLE!$G$14,$M18,CF$13)="",10^12,OFFSET(PLE!$G$14,$M18,CF$13))))</f>
        <v>1000000000000</v>
      </c>
      <c r="CG18" s="216">
        <f ca="1">IF($D18&lt;&gt;"Serviço",0,IF(OR(AND(AUTOEVENTO="Manual",$M18=1),$M18&gt;(ROW(PLE.lastrow)-ROW(PLE.firstrow))),0,IF(OFFSET(PLE!$G$14,$M18,CG$13)="",10^12,OFFSET(PLE!$G$14,$M18,CG$13))))</f>
        <v>1000000000000</v>
      </c>
      <c r="CH18" s="216">
        <f ca="1">IF($D18&lt;&gt;"Serviço",0,IF(OR(AND(AUTOEVENTO="Manual",$M18=1),$M18&gt;(ROW(PLE.lastrow)-ROW(PLE.firstrow))),0,IF(OFFSET(PLE!$G$14,$M18,CH$13)="",10^12,OFFSET(PLE!$G$14,$M18,CH$13))))</f>
        <v>1000000000000</v>
      </c>
      <c r="CI18" s="216">
        <f ca="1">IF($D18&lt;&gt;"Serviço",0,IF(OR(AND(AUTOEVENTO="Manual",$M18=1),$M18&gt;(ROW(PLE.lastrow)-ROW(PLE.firstrow))),0,IF(OFFSET(PLE!$G$14,$M18,CI$13)="",10^12,OFFSET(PLE!$G$14,$M18,CI$13))))</f>
        <v>1000000000000</v>
      </c>
      <c r="CJ18" s="216">
        <f ca="1">IF($D18&lt;&gt;"Serviço",0,IF(OR(AND(AUTOEVENTO="Manual",$M18=1),$M18&gt;(ROW(PLE.lastrow)-ROW(PLE.firstrow))),0,IF(OFFSET(PLE!$G$14,$M18,CJ$13)="",10^12,OFFSET(PLE!$G$14,$M18,CJ$13))))</f>
        <v>1000000000000</v>
      </c>
      <c r="CK18" s="216">
        <f ca="1">IF($D18&lt;&gt;"Serviço",0,IF(OR(AND(AUTOEVENTO="Manual",$M18=1),$M18&gt;(ROW(PLE.lastrow)-ROW(PLE.firstrow))),0,IF(OFFSET(PLE!$G$14,$M18,CK$13)="",10^12,OFFSET(PLE!$G$14,$M18,CK$13))))</f>
        <v>1000000000000</v>
      </c>
      <c r="CL18" s="216">
        <f ca="1">IF($D18&lt;&gt;"Serviço",0,IF(OR(AND(AUTOEVENTO="Manual",$M18=1),$M18&gt;(ROW(PLE.lastrow)-ROW(PLE.firstrow))),0,IF(OFFSET(PLE!$G$14,$M18,CL$13)="",10^12,OFFSET(PLE!$G$14,$M18,CL$13))))</f>
        <v>1000000000000</v>
      </c>
      <c r="CM18" s="216">
        <f ca="1">IF($D18&lt;&gt;"Serviço",0,IF(OR(AND(AUTOEVENTO="Manual",$M18=1),$M18&gt;(ROW(PLE.lastrow)-ROW(PLE.firstrow))),0,IF(OFFSET(PLE!$G$14,$M18,CM$13)="",10^12,OFFSET(PLE!$G$14,$M18,CM$13))))</f>
        <v>1000000000000</v>
      </c>
    </row>
    <row r="19" spans="1:91" ht="13.2" x14ac:dyDescent="0.25">
      <c r="A19" s="9">
        <f t="shared" ca="1" si="9"/>
        <v>0</v>
      </c>
      <c r="B19" s="9" t="str">
        <f ca="1">OFFSET(ORÇAMENTO!C$15,ROW(B19)-ROW(B$15),0)</f>
        <v>S</v>
      </c>
      <c r="C19" s="9" t="str">
        <f ca="1">OFFSET(ORÇAMENTO!L$15,ROW(C19)-ROW(C$15),0)</f>
        <v/>
      </c>
      <c r="D19" s="145" t="str">
        <f ca="1">OFFSET(ORÇAMENTO!N$15,ROW(D19)-ROW(D$15),0)</f>
        <v>Serviço</v>
      </c>
      <c r="E19" s="205" t="str">
        <f ca="1">OFFSET(ORÇAMENTO!O$15,ROW(E19)-ROW(E$15),0)</f>
        <v>-</v>
      </c>
      <c r="F19" s="206" t="str">
        <f ca="1">OFFSET(ORÇAMENTO!R$15,ROW(F19)-ROW(F$15),0)</f>
        <v>(abra o arquivo 'Referência 05-2024.xls)</v>
      </c>
      <c r="G19" s="207" t="str">
        <f ca="1">IF($D19&lt;&gt;"Serviço","",OFFSET(ORÇAMENTO!S$15,ROW(G19)-ROW(G$15),0))</f>
        <v>-</v>
      </c>
      <c r="H19" s="151">
        <f ca="1">IF($D19&lt;&gt;"Serviço",0,IF(ACOMPANHAMENTO="BM",ROUND(OFFSET(ORÇAMENTO!AJ$15,ROW(H19)-ROW(H$15),0),15-13*ORÇAMENTO!$AF$7),SUMPRODUCT(($Q$12:$AI$12&lt;&gt;"")*ROUND($Q19:$AI19,15-13*ORÇAMENTO!$AF$7))))</f>
        <v>616</v>
      </c>
      <c r="I19" s="650"/>
      <c r="K19" s="208"/>
      <c r="L19" s="209" t="s">
        <v>257</v>
      </c>
      <c r="M19" s="210">
        <f ca="1">IF($D19&lt;&gt;"Serviço","",IF(AUTOEVENTO="manual",$A19,IF(ISERROR(MATCH($A19,$A$15:OFFSET($A19,-1,0),0)),MAX($M$15:OFFSET(M19,-1,0))+1,INDEX($M$15:OFFSET(M19,-1,0),MATCH($A19,$A$15:OFFSET($A19,-1,0),0)))))</f>
        <v>0</v>
      </c>
      <c r="N19" s="211" t="str">
        <f ca="1">IF($D19&lt;&gt;"Serviço","",IF(AUTOEVENTO="Manual",IF($A19=0,"&lt;-- defina o número do agrupador",OFFSET(EVENTOS!$D$14,$A19,0)),OFFSET($F$15,$A19,0)))</f>
        <v>&lt;-- defina o número do agrupador</v>
      </c>
      <c r="O19" s="212"/>
      <c r="Q19" s="212"/>
      <c r="R19" s="213"/>
      <c r="S19" s="213"/>
      <c r="T19" s="213"/>
      <c r="U19" s="213"/>
      <c r="V19" s="213"/>
      <c r="W19" s="213"/>
      <c r="X19" s="213"/>
      <c r="Y19" s="213"/>
      <c r="Z19" s="214"/>
      <c r="AA19" s="213"/>
      <c r="AB19" s="213"/>
      <c r="AC19" s="213"/>
      <c r="AD19" s="213"/>
      <c r="AE19" s="213"/>
      <c r="AF19" s="213"/>
      <c r="AG19" s="213"/>
      <c r="AH19" s="214"/>
      <c r="AJ19" s="631">
        <f ca="1">IF(AND($D19="Serviço",AJ$12&lt;&gt;0,$H19&gt;0,OR(AUTOEVENTO&lt;&gt;"manual",$M19&lt;&gt;1)),ROUND(OFFSET($P19,0,AJ$13),15-13*ORÇAMENTO!$AF$7)/$H19*OFFSET(ORÇAMENTO!$X$15,ROW(AJ19)-ROW(AJ$15),0),0)</f>
        <v>0</v>
      </c>
      <c r="AK19" s="632">
        <f ca="1">IF(AND($D19="Serviço",AK$12&lt;&gt;0,$H19&gt;0,OR(AUTOEVENTO&lt;&gt;"manual",$M19&lt;&gt;1)),ROUND(OFFSET($P19,0,AK$13),15-13*ORÇAMENTO!$AF$7)/$H19*OFFSET(ORÇAMENTO!$X$15,ROW(AK19)-ROW(AK$15),0),0)</f>
        <v>0</v>
      </c>
      <c r="AL19" s="632">
        <f ca="1">IF(AND($D19="Serviço",AL$12&lt;&gt;0,$H19&gt;0,OR(AUTOEVENTO&lt;&gt;"manual",$M19&lt;&gt;1)),ROUND(OFFSET($P19,0,AL$13),15-13*ORÇAMENTO!$AF$7)/$H19*OFFSET(ORÇAMENTO!$X$15,ROW(AL19)-ROW(AL$15),0),0)</f>
        <v>0</v>
      </c>
      <c r="AM19" s="632">
        <f ca="1">IF(AND($D19="Serviço",AM$12&lt;&gt;0,$H19&gt;0,OR(AUTOEVENTO&lt;&gt;"manual",$M19&lt;&gt;1)),ROUND(OFFSET($P19,0,AM$13),15-13*ORÇAMENTO!$AF$7)/$H19*OFFSET(ORÇAMENTO!$X$15,ROW(AM19)-ROW(AM$15),0),0)</f>
        <v>0</v>
      </c>
      <c r="AN19" s="632">
        <f ca="1">IF(AND($D19="Serviço",AN$12&lt;&gt;0,$H19&gt;0,OR(AUTOEVENTO&lt;&gt;"manual",$M19&lt;&gt;1)),ROUND(OFFSET($P19,0,AN$13),15-13*ORÇAMENTO!$AF$7)/$H19*OFFSET(ORÇAMENTO!$X$15,ROW(AN19)-ROW(AN$15),0),0)</f>
        <v>0</v>
      </c>
      <c r="AO19" s="632">
        <f ca="1">IF(AND($D19="Serviço",AO$12&lt;&gt;0,$H19&gt;0,OR(AUTOEVENTO&lt;&gt;"manual",$M19&lt;&gt;1)),ROUND(OFFSET($P19,0,AO$13),15-13*ORÇAMENTO!$AF$7)/$H19*OFFSET(ORÇAMENTO!$X$15,ROW(AO19)-ROW(AO$15),0),0)</f>
        <v>0</v>
      </c>
      <c r="AP19" s="632">
        <f ca="1">IF(AND($D19="Serviço",AP$12&lt;&gt;0,$H19&gt;0,OR(AUTOEVENTO&lt;&gt;"manual",$M19&lt;&gt;1)),ROUND(OFFSET($P19,0,AP$13),15-13*ORÇAMENTO!$AF$7)/$H19*OFFSET(ORÇAMENTO!$X$15,ROW(AP19)-ROW(AP$15),0),0)</f>
        <v>0</v>
      </c>
      <c r="AQ19" s="632">
        <f ca="1">IF(AND($D19="Serviço",AQ$12&lt;&gt;0,$H19&gt;0,OR(AUTOEVENTO&lt;&gt;"manual",$M19&lt;&gt;1)),ROUND(OFFSET($P19,0,AQ$13),15-13*ORÇAMENTO!$AF$7)/$H19*OFFSET(ORÇAMENTO!$X$15,ROW(AQ19)-ROW(AQ$15),0),0)</f>
        <v>0</v>
      </c>
      <c r="AR19" s="632">
        <f ca="1">IF(AND($D19="Serviço",AR$12&lt;&gt;0,$H19&gt;0,OR(AUTOEVENTO&lt;&gt;"manual",$M19&lt;&gt;1)),ROUND(OFFSET($P19,0,AR$13),15-13*ORÇAMENTO!$AF$7)/$H19*OFFSET(ORÇAMENTO!$X$15,ROW(AR19)-ROW(AR$15),0),0)</f>
        <v>0</v>
      </c>
      <c r="AS19" s="633">
        <f ca="1">IF(AND($D19="Serviço",AS$12&lt;&gt;0,$H19&gt;0,OR(AUTOEVENTO&lt;&gt;"manual",$M19&lt;&gt;1)),ROUND(OFFSET($P19,0,AS$13),15-13*ORÇAMENTO!$AF$7)/$H19*OFFSET(ORÇAMENTO!$X$15,ROW(AS19)-ROW(AS$15),0),0)</f>
        <v>0</v>
      </c>
      <c r="AT19" s="632">
        <f ca="1">IF(AND($D19="Serviço",AT$12&lt;&gt;0,$H19&gt;0,OR(AUTOEVENTO&lt;&gt;"manual",$M19&lt;&gt;1)),ROUND(OFFSET($P19,0,AT$13),15-13*ORÇAMENTO!$AF$7)/$H19*OFFSET(ORÇAMENTO!$X$15,ROW(AT19)-ROW(AT$15),0),0)</f>
        <v>0</v>
      </c>
      <c r="AU19" s="632">
        <f ca="1">IF(AND($D19="Serviço",AU$12&lt;&gt;0,$H19&gt;0,OR(AUTOEVENTO&lt;&gt;"manual",$M19&lt;&gt;1)),ROUND(OFFSET($P19,0,AU$13),15-13*ORÇAMENTO!$AF$7)/$H19*OFFSET(ORÇAMENTO!$X$15,ROW(AU19)-ROW(AU$15),0),0)</f>
        <v>0</v>
      </c>
      <c r="AV19" s="632">
        <f ca="1">IF(AND($D19="Serviço",AV$12&lt;&gt;0,$H19&gt;0,OR(AUTOEVENTO&lt;&gt;"manual",$M19&lt;&gt;1)),ROUND(OFFSET($P19,0,AV$13),15-13*ORÇAMENTO!$AF$7)/$H19*OFFSET(ORÇAMENTO!$X$15,ROW(AV19)-ROW(AV$15),0),0)</f>
        <v>0</v>
      </c>
      <c r="AW19" s="632">
        <f ca="1">IF(AND($D19="Serviço",AW$12&lt;&gt;0,$H19&gt;0,OR(AUTOEVENTO&lt;&gt;"manual",$M19&lt;&gt;1)),ROUND(OFFSET($P19,0,AW$13),15-13*ORÇAMENTO!$AF$7)/$H19*OFFSET(ORÇAMENTO!$X$15,ROW(AW19)-ROW(AW$15),0),0)</f>
        <v>0</v>
      </c>
      <c r="AX19" s="632">
        <f ca="1">IF(AND($D19="Serviço",AX$12&lt;&gt;0,$H19&gt;0,OR(AUTOEVENTO&lt;&gt;"manual",$M19&lt;&gt;1)),ROUND(OFFSET($P19,0,AX$13),15-13*ORÇAMENTO!$AF$7)/$H19*OFFSET(ORÇAMENTO!$X$15,ROW(AX19)-ROW(AX$15),0),0)</f>
        <v>0</v>
      </c>
      <c r="AY19" s="632">
        <f ca="1">IF(AND($D19="Serviço",AY$12&lt;&gt;0,$H19&gt;0,OR(AUTOEVENTO&lt;&gt;"manual",$M19&lt;&gt;1)),ROUND(OFFSET($P19,0,AY$13),15-13*ORÇAMENTO!$AF$7)/$H19*OFFSET(ORÇAMENTO!$X$15,ROW(AY19)-ROW(AY$15),0),0)</f>
        <v>0</v>
      </c>
      <c r="AZ19" s="632">
        <f ca="1">IF(AND($D19="Serviço",AZ$12&lt;&gt;0,$H19&gt;0,OR(AUTOEVENTO&lt;&gt;"manual",$M19&lt;&gt;1)),ROUND(OFFSET($P19,0,AZ$13),15-13*ORÇAMENTO!$AF$7)/$H19*OFFSET(ORÇAMENTO!$X$15,ROW(AZ19)-ROW(AZ$15),0),0)</f>
        <v>0</v>
      </c>
      <c r="BA19" s="633">
        <f ca="1">IF(AND($D19="Serviço",BA$12&lt;&gt;0,$H19&gt;0,OR(AUTOEVENTO&lt;&gt;"manual",$M19&lt;&gt;1)),ROUND(OFFSET($P19,0,BA$13),15-13*ORÇAMENTO!$AF$7)/$H19*OFFSET(ORÇAMENTO!$X$15,ROW(BA19)-ROW(BA$15),0),0)</f>
        <v>0</v>
      </c>
      <c r="BC19" s="215">
        <f ca="1">IF($D19&lt;&gt;"Serviço",0,IF(AND(AUTOEVENTO="Manual",$M19=1),0,IF(OFFSET(CRONOPLE!$F$14,$M19,BC$13)="",10^12,OFFSET(CRONOPLE!$F$14,$M19,BC$13))))</f>
        <v>1000000000000</v>
      </c>
      <c r="BD19" s="215">
        <f ca="1">IF($D19&lt;&gt;"Serviço",0,IF(AND(AUTOEVENTO="Manual",$M19=1),0,IF(OFFSET(CRONOPLE!$F$14,$M19,BD$13)="",10^12,OFFSET(CRONOPLE!$F$14,$M19,BD$13))))</f>
        <v>1000000000000</v>
      </c>
      <c r="BE19" s="215">
        <f ca="1">IF($D19&lt;&gt;"Serviço",0,IF(AND(AUTOEVENTO="Manual",$M19=1),0,IF(OFFSET(CRONOPLE!$F$14,$M19,BE$13)="",10^12,OFFSET(CRONOPLE!$F$14,$M19,BE$13))))</f>
        <v>1000000000000</v>
      </c>
      <c r="BF19" s="215">
        <f ca="1">IF($D19&lt;&gt;"Serviço",0,IF(AND(AUTOEVENTO="Manual",$M19=1),0,IF(OFFSET(CRONOPLE!$F$14,$M19,BF$13)="",10^12,OFFSET(CRONOPLE!$F$14,$M19,BF$13))))</f>
        <v>1000000000000</v>
      </c>
      <c r="BG19" s="215">
        <f ca="1">IF($D19&lt;&gt;"Serviço",0,IF(AND(AUTOEVENTO="Manual",$M19=1),0,IF(OFFSET(CRONOPLE!$F$14,$M19,BG$13)="",10^12,OFFSET(CRONOPLE!$F$14,$M19,BG$13))))</f>
        <v>1000000000000</v>
      </c>
      <c r="BH19" s="215">
        <f ca="1">IF($D19&lt;&gt;"Serviço",0,IF(AND(AUTOEVENTO="Manual",$M19=1),0,IF(OFFSET(CRONOPLE!$F$14,$M19,BH$13)="",10^12,OFFSET(CRONOPLE!$F$14,$M19,BH$13))))</f>
        <v>1000000000000</v>
      </c>
      <c r="BI19" s="215">
        <f ca="1">IF($D19&lt;&gt;"Serviço",0,IF(AND(AUTOEVENTO="Manual",$M19=1),0,IF(OFFSET(CRONOPLE!$F$14,$M19,BI$13)="",10^12,OFFSET(CRONOPLE!$F$14,$M19,BI$13))))</f>
        <v>1000000000000</v>
      </c>
      <c r="BJ19" s="215">
        <f ca="1">IF($D19&lt;&gt;"Serviço",0,IF(AND(AUTOEVENTO="Manual",$M19=1),0,IF(OFFSET(CRONOPLE!$F$14,$M19,BJ$13)="",10^12,OFFSET(CRONOPLE!$F$14,$M19,BJ$13))))</f>
        <v>1000000000000</v>
      </c>
      <c r="BK19" s="215">
        <f ca="1">IF($D19&lt;&gt;"Serviço",0,IF(AND(AUTOEVENTO="Manual",$M19=1),0,IF(OFFSET(CRONOPLE!$F$14,$M19,BK$13)="",10^12,OFFSET(CRONOPLE!$F$14,$M19,BK$13))))</f>
        <v>1000000000000</v>
      </c>
      <c r="BL19" s="215">
        <f ca="1">IF($D19&lt;&gt;"Serviço",0,IF(AND(AUTOEVENTO="Manual",$M19=1),0,IF(OFFSET(CRONOPLE!$F$14,$M19,BL$13)="",10^12,OFFSET(CRONOPLE!$F$14,$M19,BL$13))))</f>
        <v>1000000000000</v>
      </c>
      <c r="BM19" s="215">
        <f ca="1">IF($D19&lt;&gt;"Serviço",0,IF(AND(AUTOEVENTO="Manual",$M19=1),0,IF(OFFSET(CRONOPLE!$F$14,$M19,BM$13)="",10^12,OFFSET(CRONOPLE!$F$14,$M19,BM$13))))</f>
        <v>1000000000000</v>
      </c>
      <c r="BN19" s="215">
        <f ca="1">IF($D19&lt;&gt;"Serviço",0,IF(AND(AUTOEVENTO="Manual",$M19=1),0,IF(OFFSET(CRONOPLE!$F$14,$M19,BN$13)="",10^12,OFFSET(CRONOPLE!$F$14,$M19,BN$13))))</f>
        <v>1000000000000</v>
      </c>
      <c r="BO19" s="215">
        <f ca="1">IF($D19&lt;&gt;"Serviço",0,IF(AND(AUTOEVENTO="Manual",$M19=1),0,IF(OFFSET(CRONOPLE!$F$14,$M19,BO$13)="",10^12,OFFSET(CRONOPLE!$F$14,$M19,BO$13))))</f>
        <v>1000000000000</v>
      </c>
      <c r="BP19" s="215">
        <f ca="1">IF($D19&lt;&gt;"Serviço",0,IF(AND(AUTOEVENTO="Manual",$M19=1),0,IF(OFFSET(CRONOPLE!$F$14,$M19,BP$13)="",10^12,OFFSET(CRONOPLE!$F$14,$M19,BP$13))))</f>
        <v>1000000000000</v>
      </c>
      <c r="BQ19" s="215">
        <f ca="1">IF($D19&lt;&gt;"Serviço",0,IF(AND(AUTOEVENTO="Manual",$M19=1),0,IF(OFFSET(CRONOPLE!$F$14,$M19,BQ$13)="",10^12,OFFSET(CRONOPLE!$F$14,$M19,BQ$13))))</f>
        <v>1000000000000</v>
      </c>
      <c r="BR19" s="215">
        <f ca="1">IF($D19&lt;&gt;"Serviço",0,IF(AND(AUTOEVENTO="Manual",$M19=1),0,IF(OFFSET(CRONOPLE!$F$14,$M19,BR$13)="",10^12,OFFSET(CRONOPLE!$F$14,$M19,BR$13))))</f>
        <v>1000000000000</v>
      </c>
      <c r="BS19" s="215">
        <f ca="1">IF($D19&lt;&gt;"Serviço",0,IF(AND(AUTOEVENTO="Manual",$M19=1),0,IF(OFFSET(CRONOPLE!$F$14,$M19,BS$13)="",10^12,OFFSET(CRONOPLE!$F$14,$M19,BS$13))))</f>
        <v>1000000000000</v>
      </c>
      <c r="BT19" s="215">
        <f ca="1">IF($D19&lt;&gt;"Serviço",0,IF(AND(AUTOEVENTO="Manual",$M19=1),0,IF(OFFSET(CRONOPLE!$F$14,$M19,BT$13)="",10^12,OFFSET(CRONOPLE!$F$14,$M19,BT$13))))</f>
        <v>1000000000000</v>
      </c>
      <c r="BV19" s="216">
        <f ca="1">IF($D19&lt;&gt;"Serviço",0,IF(OR(AND(AUTOEVENTO="Manual",$M19=1),$M19&gt;(ROW(PLE.lastrow)-ROW(PLE.firstrow))),0,IF(OFFSET(PLE!$G$14,$M19,BV$13)="",10^12,OFFSET(PLE!$G$14,$M19,BV$13))))</f>
        <v>1000000000000</v>
      </c>
      <c r="BW19" s="216">
        <f ca="1">IF($D19&lt;&gt;"Serviço",0,IF(OR(AND(AUTOEVENTO="Manual",$M19=1),$M19&gt;(ROW(PLE.lastrow)-ROW(PLE.firstrow))),0,IF(OFFSET(PLE!$G$14,$M19,BW$13)="",10^12,OFFSET(PLE!$G$14,$M19,BW$13))))</f>
        <v>1000000000000</v>
      </c>
      <c r="BX19" s="216">
        <f ca="1">IF($D19&lt;&gt;"Serviço",0,IF(OR(AND(AUTOEVENTO="Manual",$M19=1),$M19&gt;(ROW(PLE.lastrow)-ROW(PLE.firstrow))),0,IF(OFFSET(PLE!$G$14,$M19,BX$13)="",10^12,OFFSET(PLE!$G$14,$M19,BX$13))))</f>
        <v>1000000000000</v>
      </c>
      <c r="BY19" s="216">
        <f ca="1">IF($D19&lt;&gt;"Serviço",0,IF(OR(AND(AUTOEVENTO="Manual",$M19=1),$M19&gt;(ROW(PLE.lastrow)-ROW(PLE.firstrow))),0,IF(OFFSET(PLE!$G$14,$M19,BY$13)="",10^12,OFFSET(PLE!$G$14,$M19,BY$13))))</f>
        <v>1000000000000</v>
      </c>
      <c r="BZ19" s="216">
        <f ca="1">IF($D19&lt;&gt;"Serviço",0,IF(OR(AND(AUTOEVENTO="Manual",$M19=1),$M19&gt;(ROW(PLE.lastrow)-ROW(PLE.firstrow))),0,IF(OFFSET(PLE!$G$14,$M19,BZ$13)="",10^12,OFFSET(PLE!$G$14,$M19,BZ$13))))</f>
        <v>1000000000000</v>
      </c>
      <c r="CA19" s="216">
        <f ca="1">IF($D19&lt;&gt;"Serviço",0,IF(OR(AND(AUTOEVENTO="Manual",$M19=1),$M19&gt;(ROW(PLE.lastrow)-ROW(PLE.firstrow))),0,IF(OFFSET(PLE!$G$14,$M19,CA$13)="",10^12,OFFSET(PLE!$G$14,$M19,CA$13))))</f>
        <v>1000000000000</v>
      </c>
      <c r="CB19" s="216">
        <f ca="1">IF($D19&lt;&gt;"Serviço",0,IF(OR(AND(AUTOEVENTO="Manual",$M19=1),$M19&gt;(ROW(PLE.lastrow)-ROW(PLE.firstrow))),0,IF(OFFSET(PLE!$G$14,$M19,CB$13)="",10^12,OFFSET(PLE!$G$14,$M19,CB$13))))</f>
        <v>1000000000000</v>
      </c>
      <c r="CC19" s="216">
        <f ca="1">IF($D19&lt;&gt;"Serviço",0,IF(OR(AND(AUTOEVENTO="Manual",$M19=1),$M19&gt;(ROW(PLE.lastrow)-ROW(PLE.firstrow))),0,IF(OFFSET(PLE!$G$14,$M19,CC$13)="",10^12,OFFSET(PLE!$G$14,$M19,CC$13))))</f>
        <v>1000000000000</v>
      </c>
      <c r="CD19" s="216">
        <f ca="1">IF($D19&lt;&gt;"Serviço",0,IF(OR(AND(AUTOEVENTO="Manual",$M19=1),$M19&gt;(ROW(PLE.lastrow)-ROW(PLE.firstrow))),0,IF(OFFSET(PLE!$G$14,$M19,CD$13)="",10^12,OFFSET(PLE!$G$14,$M19,CD$13))))</f>
        <v>1000000000000</v>
      </c>
      <c r="CE19" s="216">
        <f ca="1">IF($D19&lt;&gt;"Serviço",0,IF(OR(AND(AUTOEVENTO="Manual",$M19=1),$M19&gt;(ROW(PLE.lastrow)-ROW(PLE.firstrow))),0,IF(OFFSET(PLE!$G$14,$M19,CE$13)="",10^12,OFFSET(PLE!$G$14,$M19,CE$13))))</f>
        <v>1000000000000</v>
      </c>
      <c r="CF19" s="216">
        <f ca="1">IF($D19&lt;&gt;"Serviço",0,IF(OR(AND(AUTOEVENTO="Manual",$M19=1),$M19&gt;(ROW(PLE.lastrow)-ROW(PLE.firstrow))),0,IF(OFFSET(PLE!$G$14,$M19,CF$13)="",10^12,OFFSET(PLE!$G$14,$M19,CF$13))))</f>
        <v>1000000000000</v>
      </c>
      <c r="CG19" s="216">
        <f ca="1">IF($D19&lt;&gt;"Serviço",0,IF(OR(AND(AUTOEVENTO="Manual",$M19=1),$M19&gt;(ROW(PLE.lastrow)-ROW(PLE.firstrow))),0,IF(OFFSET(PLE!$G$14,$M19,CG$13)="",10^12,OFFSET(PLE!$G$14,$M19,CG$13))))</f>
        <v>1000000000000</v>
      </c>
      <c r="CH19" s="216">
        <f ca="1">IF($D19&lt;&gt;"Serviço",0,IF(OR(AND(AUTOEVENTO="Manual",$M19=1),$M19&gt;(ROW(PLE.lastrow)-ROW(PLE.firstrow))),0,IF(OFFSET(PLE!$G$14,$M19,CH$13)="",10^12,OFFSET(PLE!$G$14,$M19,CH$13))))</f>
        <v>1000000000000</v>
      </c>
      <c r="CI19" s="216">
        <f ca="1">IF($D19&lt;&gt;"Serviço",0,IF(OR(AND(AUTOEVENTO="Manual",$M19=1),$M19&gt;(ROW(PLE.lastrow)-ROW(PLE.firstrow))),0,IF(OFFSET(PLE!$G$14,$M19,CI$13)="",10^12,OFFSET(PLE!$G$14,$M19,CI$13))))</f>
        <v>1000000000000</v>
      </c>
      <c r="CJ19" s="216">
        <f ca="1">IF($D19&lt;&gt;"Serviço",0,IF(OR(AND(AUTOEVENTO="Manual",$M19=1),$M19&gt;(ROW(PLE.lastrow)-ROW(PLE.firstrow))),0,IF(OFFSET(PLE!$G$14,$M19,CJ$13)="",10^12,OFFSET(PLE!$G$14,$M19,CJ$13))))</f>
        <v>1000000000000</v>
      </c>
      <c r="CK19" s="216">
        <f ca="1">IF($D19&lt;&gt;"Serviço",0,IF(OR(AND(AUTOEVENTO="Manual",$M19=1),$M19&gt;(ROW(PLE.lastrow)-ROW(PLE.firstrow))),0,IF(OFFSET(PLE!$G$14,$M19,CK$13)="",10^12,OFFSET(PLE!$G$14,$M19,CK$13))))</f>
        <v>1000000000000</v>
      </c>
      <c r="CL19" s="216">
        <f ca="1">IF($D19&lt;&gt;"Serviço",0,IF(OR(AND(AUTOEVENTO="Manual",$M19=1),$M19&gt;(ROW(PLE.lastrow)-ROW(PLE.firstrow))),0,IF(OFFSET(PLE!$G$14,$M19,CL$13)="",10^12,OFFSET(PLE!$G$14,$M19,CL$13))))</f>
        <v>1000000000000</v>
      </c>
      <c r="CM19" s="216">
        <f ca="1">IF($D19&lt;&gt;"Serviço",0,IF(OR(AND(AUTOEVENTO="Manual",$M19=1),$M19&gt;(ROW(PLE.lastrow)-ROW(PLE.firstrow))),0,IF(OFFSET(PLE!$G$14,$M19,CM$13)="",10^12,OFFSET(PLE!$G$14,$M19,CM$13))))</f>
        <v>1000000000000</v>
      </c>
    </row>
    <row r="20" spans="1:91" ht="13.2" x14ac:dyDescent="0.25">
      <c r="A20" s="9">
        <f t="shared" ca="1" si="9"/>
        <v>0</v>
      </c>
      <c r="B20" s="9" t="str">
        <f ca="1">OFFSET(ORÇAMENTO!C$15,ROW(B20)-ROW(B$15),0)</f>
        <v>S</v>
      </c>
      <c r="C20" s="9" t="str">
        <f ca="1">OFFSET(ORÇAMENTO!L$15,ROW(C20)-ROW(C$15),0)</f>
        <v/>
      </c>
      <c r="D20" s="145" t="str">
        <f ca="1">OFFSET(ORÇAMENTO!N$15,ROW(D20)-ROW(D$15),0)</f>
        <v>Serviço</v>
      </c>
      <c r="E20" s="205" t="str">
        <f ca="1">OFFSET(ORÇAMENTO!O$15,ROW(E20)-ROW(E$15),0)</f>
        <v>-</v>
      </c>
      <c r="F20" s="206" t="str">
        <f ca="1">OFFSET(ORÇAMENTO!R$15,ROW(F20)-ROW(F$15),0)</f>
        <v>(abra o arquivo 'Referência 05-2024.xls)</v>
      </c>
      <c r="G20" s="207" t="str">
        <f ca="1">IF($D20&lt;&gt;"Serviço","",OFFSET(ORÇAMENTO!S$15,ROW(G20)-ROW(G$15),0))</f>
        <v>-</v>
      </c>
      <c r="H20" s="151">
        <f ca="1">IF($D20&lt;&gt;"Serviço",0,IF(ACOMPANHAMENTO="BM",ROUND(OFFSET(ORÇAMENTO!AJ$15,ROW(H20)-ROW(H$15),0),15-13*ORÇAMENTO!$AF$7),SUMPRODUCT(($Q$12:$AI$12&lt;&gt;"")*ROUND($Q20:$AI20,15-13*ORÇAMENTO!$AF$7))))</f>
        <v>1</v>
      </c>
      <c r="I20" s="650"/>
      <c r="K20" s="208"/>
      <c r="L20" s="209" t="s">
        <v>257</v>
      </c>
      <c r="M20" s="210">
        <f ca="1">IF($D20&lt;&gt;"Serviço","",IF(AUTOEVENTO="manual",$A20,IF(ISERROR(MATCH($A20,$A$15:OFFSET($A20,-1,0),0)),MAX($M$15:OFFSET(M20,-1,0))+1,INDEX($M$15:OFFSET(M20,-1,0),MATCH($A20,$A$15:OFFSET($A20,-1,0),0)))))</f>
        <v>0</v>
      </c>
      <c r="N20" s="211" t="str">
        <f ca="1">IF($D20&lt;&gt;"Serviço","",IF(AUTOEVENTO="Manual",IF($A20=0,"&lt;-- defina o número do agrupador",OFFSET(EVENTOS!$D$14,$A20,0)),OFFSET($F$15,$A20,0)))</f>
        <v>&lt;-- defina o número do agrupador</v>
      </c>
      <c r="O20" s="212"/>
      <c r="Q20" s="212"/>
      <c r="R20" s="213"/>
      <c r="S20" s="213"/>
      <c r="T20" s="213"/>
      <c r="U20" s="213"/>
      <c r="V20" s="213"/>
      <c r="W20" s="213"/>
      <c r="X20" s="213"/>
      <c r="Y20" s="213"/>
      <c r="Z20" s="214"/>
      <c r="AA20" s="213"/>
      <c r="AB20" s="213"/>
      <c r="AC20" s="213"/>
      <c r="AD20" s="213"/>
      <c r="AE20" s="213"/>
      <c r="AF20" s="213"/>
      <c r="AG20" s="213"/>
      <c r="AH20" s="214"/>
      <c r="AJ20" s="631">
        <f ca="1">IF(AND($D20="Serviço",AJ$12&lt;&gt;0,$H20&gt;0,OR(AUTOEVENTO&lt;&gt;"manual",$M20&lt;&gt;1)),ROUND(OFFSET($P20,0,AJ$13),15-13*ORÇAMENTO!$AF$7)/$H20*OFFSET(ORÇAMENTO!$X$15,ROW(AJ20)-ROW(AJ$15),0),0)</f>
        <v>0</v>
      </c>
      <c r="AK20" s="632">
        <f ca="1">IF(AND($D20="Serviço",AK$12&lt;&gt;0,$H20&gt;0,OR(AUTOEVENTO&lt;&gt;"manual",$M20&lt;&gt;1)),ROUND(OFFSET($P20,0,AK$13),15-13*ORÇAMENTO!$AF$7)/$H20*OFFSET(ORÇAMENTO!$X$15,ROW(AK20)-ROW(AK$15),0),0)</f>
        <v>0</v>
      </c>
      <c r="AL20" s="632">
        <f ca="1">IF(AND($D20="Serviço",AL$12&lt;&gt;0,$H20&gt;0,OR(AUTOEVENTO&lt;&gt;"manual",$M20&lt;&gt;1)),ROUND(OFFSET($P20,0,AL$13),15-13*ORÇAMENTO!$AF$7)/$H20*OFFSET(ORÇAMENTO!$X$15,ROW(AL20)-ROW(AL$15),0),0)</f>
        <v>0</v>
      </c>
      <c r="AM20" s="632">
        <f ca="1">IF(AND($D20="Serviço",AM$12&lt;&gt;0,$H20&gt;0,OR(AUTOEVENTO&lt;&gt;"manual",$M20&lt;&gt;1)),ROUND(OFFSET($P20,0,AM$13),15-13*ORÇAMENTO!$AF$7)/$H20*OFFSET(ORÇAMENTO!$X$15,ROW(AM20)-ROW(AM$15),0),0)</f>
        <v>0</v>
      </c>
      <c r="AN20" s="632">
        <f ca="1">IF(AND($D20="Serviço",AN$12&lt;&gt;0,$H20&gt;0,OR(AUTOEVENTO&lt;&gt;"manual",$M20&lt;&gt;1)),ROUND(OFFSET($P20,0,AN$13),15-13*ORÇAMENTO!$AF$7)/$H20*OFFSET(ORÇAMENTO!$X$15,ROW(AN20)-ROW(AN$15),0),0)</f>
        <v>0</v>
      </c>
      <c r="AO20" s="632">
        <f ca="1">IF(AND($D20="Serviço",AO$12&lt;&gt;0,$H20&gt;0,OR(AUTOEVENTO&lt;&gt;"manual",$M20&lt;&gt;1)),ROUND(OFFSET($P20,0,AO$13),15-13*ORÇAMENTO!$AF$7)/$H20*OFFSET(ORÇAMENTO!$X$15,ROW(AO20)-ROW(AO$15),0),0)</f>
        <v>0</v>
      </c>
      <c r="AP20" s="632">
        <f ca="1">IF(AND($D20="Serviço",AP$12&lt;&gt;0,$H20&gt;0,OR(AUTOEVENTO&lt;&gt;"manual",$M20&lt;&gt;1)),ROUND(OFFSET($P20,0,AP$13),15-13*ORÇAMENTO!$AF$7)/$H20*OFFSET(ORÇAMENTO!$X$15,ROW(AP20)-ROW(AP$15),0),0)</f>
        <v>0</v>
      </c>
      <c r="AQ20" s="632">
        <f ca="1">IF(AND($D20="Serviço",AQ$12&lt;&gt;0,$H20&gt;0,OR(AUTOEVENTO&lt;&gt;"manual",$M20&lt;&gt;1)),ROUND(OFFSET($P20,0,AQ$13),15-13*ORÇAMENTO!$AF$7)/$H20*OFFSET(ORÇAMENTO!$X$15,ROW(AQ20)-ROW(AQ$15),0),0)</f>
        <v>0</v>
      </c>
      <c r="AR20" s="632">
        <f ca="1">IF(AND($D20="Serviço",AR$12&lt;&gt;0,$H20&gt;0,OR(AUTOEVENTO&lt;&gt;"manual",$M20&lt;&gt;1)),ROUND(OFFSET($P20,0,AR$13),15-13*ORÇAMENTO!$AF$7)/$H20*OFFSET(ORÇAMENTO!$X$15,ROW(AR20)-ROW(AR$15),0),0)</f>
        <v>0</v>
      </c>
      <c r="AS20" s="633">
        <f ca="1">IF(AND($D20="Serviço",AS$12&lt;&gt;0,$H20&gt;0,OR(AUTOEVENTO&lt;&gt;"manual",$M20&lt;&gt;1)),ROUND(OFFSET($P20,0,AS$13),15-13*ORÇAMENTO!$AF$7)/$H20*OFFSET(ORÇAMENTO!$X$15,ROW(AS20)-ROW(AS$15),0),0)</f>
        <v>0</v>
      </c>
      <c r="AT20" s="632">
        <f ca="1">IF(AND($D20="Serviço",AT$12&lt;&gt;0,$H20&gt;0,OR(AUTOEVENTO&lt;&gt;"manual",$M20&lt;&gt;1)),ROUND(OFFSET($P20,0,AT$13),15-13*ORÇAMENTO!$AF$7)/$H20*OFFSET(ORÇAMENTO!$X$15,ROW(AT20)-ROW(AT$15),0),0)</f>
        <v>0</v>
      </c>
      <c r="AU20" s="632">
        <f ca="1">IF(AND($D20="Serviço",AU$12&lt;&gt;0,$H20&gt;0,OR(AUTOEVENTO&lt;&gt;"manual",$M20&lt;&gt;1)),ROUND(OFFSET($P20,0,AU$13),15-13*ORÇAMENTO!$AF$7)/$H20*OFFSET(ORÇAMENTO!$X$15,ROW(AU20)-ROW(AU$15),0),0)</f>
        <v>0</v>
      </c>
      <c r="AV20" s="632">
        <f ca="1">IF(AND($D20="Serviço",AV$12&lt;&gt;0,$H20&gt;0,OR(AUTOEVENTO&lt;&gt;"manual",$M20&lt;&gt;1)),ROUND(OFFSET($P20,0,AV$13),15-13*ORÇAMENTO!$AF$7)/$H20*OFFSET(ORÇAMENTO!$X$15,ROW(AV20)-ROW(AV$15),0),0)</f>
        <v>0</v>
      </c>
      <c r="AW20" s="632">
        <f ca="1">IF(AND($D20="Serviço",AW$12&lt;&gt;0,$H20&gt;0,OR(AUTOEVENTO&lt;&gt;"manual",$M20&lt;&gt;1)),ROUND(OFFSET($P20,0,AW$13),15-13*ORÇAMENTO!$AF$7)/$H20*OFFSET(ORÇAMENTO!$X$15,ROW(AW20)-ROW(AW$15),0),0)</f>
        <v>0</v>
      </c>
      <c r="AX20" s="632">
        <f ca="1">IF(AND($D20="Serviço",AX$12&lt;&gt;0,$H20&gt;0,OR(AUTOEVENTO&lt;&gt;"manual",$M20&lt;&gt;1)),ROUND(OFFSET($P20,0,AX$13),15-13*ORÇAMENTO!$AF$7)/$H20*OFFSET(ORÇAMENTO!$X$15,ROW(AX20)-ROW(AX$15),0),0)</f>
        <v>0</v>
      </c>
      <c r="AY20" s="632">
        <f ca="1">IF(AND($D20="Serviço",AY$12&lt;&gt;0,$H20&gt;0,OR(AUTOEVENTO&lt;&gt;"manual",$M20&lt;&gt;1)),ROUND(OFFSET($P20,0,AY$13),15-13*ORÇAMENTO!$AF$7)/$H20*OFFSET(ORÇAMENTO!$X$15,ROW(AY20)-ROW(AY$15),0),0)</f>
        <v>0</v>
      </c>
      <c r="AZ20" s="632">
        <f ca="1">IF(AND($D20="Serviço",AZ$12&lt;&gt;0,$H20&gt;0,OR(AUTOEVENTO&lt;&gt;"manual",$M20&lt;&gt;1)),ROUND(OFFSET($P20,0,AZ$13),15-13*ORÇAMENTO!$AF$7)/$H20*OFFSET(ORÇAMENTO!$X$15,ROW(AZ20)-ROW(AZ$15),0),0)</f>
        <v>0</v>
      </c>
      <c r="BA20" s="633">
        <f ca="1">IF(AND($D20="Serviço",BA$12&lt;&gt;0,$H20&gt;0,OR(AUTOEVENTO&lt;&gt;"manual",$M20&lt;&gt;1)),ROUND(OFFSET($P20,0,BA$13),15-13*ORÇAMENTO!$AF$7)/$H20*OFFSET(ORÇAMENTO!$X$15,ROW(BA20)-ROW(BA$15),0),0)</f>
        <v>0</v>
      </c>
      <c r="BC20" s="215">
        <f ca="1">IF($D20&lt;&gt;"Serviço",0,IF(AND(AUTOEVENTO="Manual",$M20=1),0,IF(OFFSET(CRONOPLE!$F$14,$M20,BC$13)="",10^12,OFFSET(CRONOPLE!$F$14,$M20,BC$13))))</f>
        <v>1000000000000</v>
      </c>
      <c r="BD20" s="215">
        <f ca="1">IF($D20&lt;&gt;"Serviço",0,IF(AND(AUTOEVENTO="Manual",$M20=1),0,IF(OFFSET(CRONOPLE!$F$14,$M20,BD$13)="",10^12,OFFSET(CRONOPLE!$F$14,$M20,BD$13))))</f>
        <v>1000000000000</v>
      </c>
      <c r="BE20" s="215">
        <f ca="1">IF($D20&lt;&gt;"Serviço",0,IF(AND(AUTOEVENTO="Manual",$M20=1),0,IF(OFFSET(CRONOPLE!$F$14,$M20,BE$13)="",10^12,OFFSET(CRONOPLE!$F$14,$M20,BE$13))))</f>
        <v>1000000000000</v>
      </c>
      <c r="BF20" s="215">
        <f ca="1">IF($D20&lt;&gt;"Serviço",0,IF(AND(AUTOEVENTO="Manual",$M20=1),0,IF(OFFSET(CRONOPLE!$F$14,$M20,BF$13)="",10^12,OFFSET(CRONOPLE!$F$14,$M20,BF$13))))</f>
        <v>1000000000000</v>
      </c>
      <c r="BG20" s="215">
        <f ca="1">IF($D20&lt;&gt;"Serviço",0,IF(AND(AUTOEVENTO="Manual",$M20=1),0,IF(OFFSET(CRONOPLE!$F$14,$M20,BG$13)="",10^12,OFFSET(CRONOPLE!$F$14,$M20,BG$13))))</f>
        <v>1000000000000</v>
      </c>
      <c r="BH20" s="215">
        <f ca="1">IF($D20&lt;&gt;"Serviço",0,IF(AND(AUTOEVENTO="Manual",$M20=1),0,IF(OFFSET(CRONOPLE!$F$14,$M20,BH$13)="",10^12,OFFSET(CRONOPLE!$F$14,$M20,BH$13))))</f>
        <v>1000000000000</v>
      </c>
      <c r="BI20" s="215">
        <f ca="1">IF($D20&lt;&gt;"Serviço",0,IF(AND(AUTOEVENTO="Manual",$M20=1),0,IF(OFFSET(CRONOPLE!$F$14,$M20,BI$13)="",10^12,OFFSET(CRONOPLE!$F$14,$M20,BI$13))))</f>
        <v>1000000000000</v>
      </c>
      <c r="BJ20" s="215">
        <f ca="1">IF($D20&lt;&gt;"Serviço",0,IF(AND(AUTOEVENTO="Manual",$M20=1),0,IF(OFFSET(CRONOPLE!$F$14,$M20,BJ$13)="",10^12,OFFSET(CRONOPLE!$F$14,$M20,BJ$13))))</f>
        <v>1000000000000</v>
      </c>
      <c r="BK20" s="215">
        <f ca="1">IF($D20&lt;&gt;"Serviço",0,IF(AND(AUTOEVENTO="Manual",$M20=1),0,IF(OFFSET(CRONOPLE!$F$14,$M20,BK$13)="",10^12,OFFSET(CRONOPLE!$F$14,$M20,BK$13))))</f>
        <v>1000000000000</v>
      </c>
      <c r="BL20" s="215">
        <f ca="1">IF($D20&lt;&gt;"Serviço",0,IF(AND(AUTOEVENTO="Manual",$M20=1),0,IF(OFFSET(CRONOPLE!$F$14,$M20,BL$13)="",10^12,OFFSET(CRONOPLE!$F$14,$M20,BL$13))))</f>
        <v>1000000000000</v>
      </c>
      <c r="BM20" s="215">
        <f ca="1">IF($D20&lt;&gt;"Serviço",0,IF(AND(AUTOEVENTO="Manual",$M20=1),0,IF(OFFSET(CRONOPLE!$F$14,$M20,BM$13)="",10^12,OFFSET(CRONOPLE!$F$14,$M20,BM$13))))</f>
        <v>1000000000000</v>
      </c>
      <c r="BN20" s="215">
        <f ca="1">IF($D20&lt;&gt;"Serviço",0,IF(AND(AUTOEVENTO="Manual",$M20=1),0,IF(OFFSET(CRONOPLE!$F$14,$M20,BN$13)="",10^12,OFFSET(CRONOPLE!$F$14,$M20,BN$13))))</f>
        <v>1000000000000</v>
      </c>
      <c r="BO20" s="215">
        <f ca="1">IF($D20&lt;&gt;"Serviço",0,IF(AND(AUTOEVENTO="Manual",$M20=1),0,IF(OFFSET(CRONOPLE!$F$14,$M20,BO$13)="",10^12,OFFSET(CRONOPLE!$F$14,$M20,BO$13))))</f>
        <v>1000000000000</v>
      </c>
      <c r="BP20" s="215">
        <f ca="1">IF($D20&lt;&gt;"Serviço",0,IF(AND(AUTOEVENTO="Manual",$M20=1),0,IF(OFFSET(CRONOPLE!$F$14,$M20,BP$13)="",10^12,OFFSET(CRONOPLE!$F$14,$M20,BP$13))))</f>
        <v>1000000000000</v>
      </c>
      <c r="BQ20" s="215">
        <f ca="1">IF($D20&lt;&gt;"Serviço",0,IF(AND(AUTOEVENTO="Manual",$M20=1),0,IF(OFFSET(CRONOPLE!$F$14,$M20,BQ$13)="",10^12,OFFSET(CRONOPLE!$F$14,$M20,BQ$13))))</f>
        <v>1000000000000</v>
      </c>
      <c r="BR20" s="215">
        <f ca="1">IF($D20&lt;&gt;"Serviço",0,IF(AND(AUTOEVENTO="Manual",$M20=1),0,IF(OFFSET(CRONOPLE!$F$14,$M20,BR$13)="",10^12,OFFSET(CRONOPLE!$F$14,$M20,BR$13))))</f>
        <v>1000000000000</v>
      </c>
      <c r="BS20" s="215">
        <f ca="1">IF($D20&lt;&gt;"Serviço",0,IF(AND(AUTOEVENTO="Manual",$M20=1),0,IF(OFFSET(CRONOPLE!$F$14,$M20,BS$13)="",10^12,OFFSET(CRONOPLE!$F$14,$M20,BS$13))))</f>
        <v>1000000000000</v>
      </c>
      <c r="BT20" s="215">
        <f ca="1">IF($D20&lt;&gt;"Serviço",0,IF(AND(AUTOEVENTO="Manual",$M20=1),0,IF(OFFSET(CRONOPLE!$F$14,$M20,BT$13)="",10^12,OFFSET(CRONOPLE!$F$14,$M20,BT$13))))</f>
        <v>1000000000000</v>
      </c>
      <c r="BV20" s="216">
        <f ca="1">IF($D20&lt;&gt;"Serviço",0,IF(OR(AND(AUTOEVENTO="Manual",$M20=1),$M20&gt;(ROW(PLE.lastrow)-ROW(PLE.firstrow))),0,IF(OFFSET(PLE!$G$14,$M20,BV$13)="",10^12,OFFSET(PLE!$G$14,$M20,BV$13))))</f>
        <v>1000000000000</v>
      </c>
      <c r="BW20" s="216">
        <f ca="1">IF($D20&lt;&gt;"Serviço",0,IF(OR(AND(AUTOEVENTO="Manual",$M20=1),$M20&gt;(ROW(PLE.lastrow)-ROW(PLE.firstrow))),0,IF(OFFSET(PLE!$G$14,$M20,BW$13)="",10^12,OFFSET(PLE!$G$14,$M20,BW$13))))</f>
        <v>1000000000000</v>
      </c>
      <c r="BX20" s="216">
        <f ca="1">IF($D20&lt;&gt;"Serviço",0,IF(OR(AND(AUTOEVENTO="Manual",$M20=1),$M20&gt;(ROW(PLE.lastrow)-ROW(PLE.firstrow))),0,IF(OFFSET(PLE!$G$14,$M20,BX$13)="",10^12,OFFSET(PLE!$G$14,$M20,BX$13))))</f>
        <v>1000000000000</v>
      </c>
      <c r="BY20" s="216">
        <f ca="1">IF($D20&lt;&gt;"Serviço",0,IF(OR(AND(AUTOEVENTO="Manual",$M20=1),$M20&gt;(ROW(PLE.lastrow)-ROW(PLE.firstrow))),0,IF(OFFSET(PLE!$G$14,$M20,BY$13)="",10^12,OFFSET(PLE!$G$14,$M20,BY$13))))</f>
        <v>1000000000000</v>
      </c>
      <c r="BZ20" s="216">
        <f ca="1">IF($D20&lt;&gt;"Serviço",0,IF(OR(AND(AUTOEVENTO="Manual",$M20=1),$M20&gt;(ROW(PLE.lastrow)-ROW(PLE.firstrow))),0,IF(OFFSET(PLE!$G$14,$M20,BZ$13)="",10^12,OFFSET(PLE!$G$14,$M20,BZ$13))))</f>
        <v>1000000000000</v>
      </c>
      <c r="CA20" s="216">
        <f ca="1">IF($D20&lt;&gt;"Serviço",0,IF(OR(AND(AUTOEVENTO="Manual",$M20=1),$M20&gt;(ROW(PLE.lastrow)-ROW(PLE.firstrow))),0,IF(OFFSET(PLE!$G$14,$M20,CA$13)="",10^12,OFFSET(PLE!$G$14,$M20,CA$13))))</f>
        <v>1000000000000</v>
      </c>
      <c r="CB20" s="216">
        <f ca="1">IF($D20&lt;&gt;"Serviço",0,IF(OR(AND(AUTOEVENTO="Manual",$M20=1),$M20&gt;(ROW(PLE.lastrow)-ROW(PLE.firstrow))),0,IF(OFFSET(PLE!$G$14,$M20,CB$13)="",10^12,OFFSET(PLE!$G$14,$M20,CB$13))))</f>
        <v>1000000000000</v>
      </c>
      <c r="CC20" s="216">
        <f ca="1">IF($D20&lt;&gt;"Serviço",0,IF(OR(AND(AUTOEVENTO="Manual",$M20=1),$M20&gt;(ROW(PLE.lastrow)-ROW(PLE.firstrow))),0,IF(OFFSET(PLE!$G$14,$M20,CC$13)="",10^12,OFFSET(PLE!$G$14,$M20,CC$13))))</f>
        <v>1000000000000</v>
      </c>
      <c r="CD20" s="216">
        <f ca="1">IF($D20&lt;&gt;"Serviço",0,IF(OR(AND(AUTOEVENTO="Manual",$M20=1),$M20&gt;(ROW(PLE.lastrow)-ROW(PLE.firstrow))),0,IF(OFFSET(PLE!$G$14,$M20,CD$13)="",10^12,OFFSET(PLE!$G$14,$M20,CD$13))))</f>
        <v>1000000000000</v>
      </c>
      <c r="CE20" s="216">
        <f ca="1">IF($D20&lt;&gt;"Serviço",0,IF(OR(AND(AUTOEVENTO="Manual",$M20=1),$M20&gt;(ROW(PLE.lastrow)-ROW(PLE.firstrow))),0,IF(OFFSET(PLE!$G$14,$M20,CE$13)="",10^12,OFFSET(PLE!$G$14,$M20,CE$13))))</f>
        <v>1000000000000</v>
      </c>
      <c r="CF20" s="216">
        <f ca="1">IF($D20&lt;&gt;"Serviço",0,IF(OR(AND(AUTOEVENTO="Manual",$M20=1),$M20&gt;(ROW(PLE.lastrow)-ROW(PLE.firstrow))),0,IF(OFFSET(PLE!$G$14,$M20,CF$13)="",10^12,OFFSET(PLE!$G$14,$M20,CF$13))))</f>
        <v>1000000000000</v>
      </c>
      <c r="CG20" s="216">
        <f ca="1">IF($D20&lt;&gt;"Serviço",0,IF(OR(AND(AUTOEVENTO="Manual",$M20=1),$M20&gt;(ROW(PLE.lastrow)-ROW(PLE.firstrow))),0,IF(OFFSET(PLE!$G$14,$M20,CG$13)="",10^12,OFFSET(PLE!$G$14,$M20,CG$13))))</f>
        <v>1000000000000</v>
      </c>
      <c r="CH20" s="216">
        <f ca="1">IF($D20&lt;&gt;"Serviço",0,IF(OR(AND(AUTOEVENTO="Manual",$M20=1),$M20&gt;(ROW(PLE.lastrow)-ROW(PLE.firstrow))),0,IF(OFFSET(PLE!$G$14,$M20,CH$13)="",10^12,OFFSET(PLE!$G$14,$M20,CH$13))))</f>
        <v>1000000000000</v>
      </c>
      <c r="CI20" s="216">
        <f ca="1">IF($D20&lt;&gt;"Serviço",0,IF(OR(AND(AUTOEVENTO="Manual",$M20=1),$M20&gt;(ROW(PLE.lastrow)-ROW(PLE.firstrow))),0,IF(OFFSET(PLE!$G$14,$M20,CI$13)="",10^12,OFFSET(PLE!$G$14,$M20,CI$13))))</f>
        <v>1000000000000</v>
      </c>
      <c r="CJ20" s="216">
        <f ca="1">IF($D20&lt;&gt;"Serviço",0,IF(OR(AND(AUTOEVENTO="Manual",$M20=1),$M20&gt;(ROW(PLE.lastrow)-ROW(PLE.firstrow))),0,IF(OFFSET(PLE!$G$14,$M20,CJ$13)="",10^12,OFFSET(PLE!$G$14,$M20,CJ$13))))</f>
        <v>1000000000000</v>
      </c>
      <c r="CK20" s="216">
        <f ca="1">IF($D20&lt;&gt;"Serviço",0,IF(OR(AND(AUTOEVENTO="Manual",$M20=1),$M20&gt;(ROW(PLE.lastrow)-ROW(PLE.firstrow))),0,IF(OFFSET(PLE!$G$14,$M20,CK$13)="",10^12,OFFSET(PLE!$G$14,$M20,CK$13))))</f>
        <v>1000000000000</v>
      </c>
      <c r="CL20" s="216">
        <f ca="1">IF($D20&lt;&gt;"Serviço",0,IF(OR(AND(AUTOEVENTO="Manual",$M20=1),$M20&gt;(ROW(PLE.lastrow)-ROW(PLE.firstrow))),0,IF(OFFSET(PLE!$G$14,$M20,CL$13)="",10^12,OFFSET(PLE!$G$14,$M20,CL$13))))</f>
        <v>1000000000000</v>
      </c>
      <c r="CM20" s="216">
        <f ca="1">IF($D20&lt;&gt;"Serviço",0,IF(OR(AND(AUTOEVENTO="Manual",$M20=1),$M20&gt;(ROW(PLE.lastrow)-ROW(PLE.firstrow))),0,IF(OFFSET(PLE!$G$14,$M20,CM$13)="",10^12,OFFSET(PLE!$G$14,$M20,CM$13))))</f>
        <v>1000000000000</v>
      </c>
    </row>
    <row r="21" spans="1:91" ht="13.2" x14ac:dyDescent="0.25">
      <c r="A21" s="9">
        <f t="shared" ca="1" si="9"/>
        <v>0</v>
      </c>
      <c r="B21" s="9" t="str">
        <f ca="1">OFFSET(ORÇAMENTO!C$15,ROW(B21)-ROW(B$15),0)</f>
        <v>S</v>
      </c>
      <c r="C21" s="9" t="str">
        <f ca="1">OFFSET(ORÇAMENTO!L$15,ROW(C21)-ROW(C$15),0)</f>
        <v/>
      </c>
      <c r="D21" s="145" t="str">
        <f ca="1">OFFSET(ORÇAMENTO!N$15,ROW(D21)-ROW(D$15),0)</f>
        <v>Serviço</v>
      </c>
      <c r="E21" s="205" t="str">
        <f ca="1">OFFSET(ORÇAMENTO!O$15,ROW(E21)-ROW(E$15),0)</f>
        <v>-</v>
      </c>
      <c r="F21" s="206" t="str">
        <f ca="1">OFFSET(ORÇAMENTO!R$15,ROW(F21)-ROW(F$15),0)</f>
        <v>(abra o arquivo 'Referência 05-2024.xls)</v>
      </c>
      <c r="G21" s="207" t="str">
        <f ca="1">IF($D21&lt;&gt;"Serviço","",OFFSET(ORÇAMENTO!S$15,ROW(G21)-ROW(G$15),0))</f>
        <v>-</v>
      </c>
      <c r="H21" s="151">
        <f ca="1">IF($D21&lt;&gt;"Serviço",0,IF(ACOMPANHAMENTO="BM",ROUND(OFFSET(ORÇAMENTO!AJ$15,ROW(H21)-ROW(H$15),0),15-13*ORÇAMENTO!$AF$7),SUMPRODUCT(($Q$12:$AI$12&lt;&gt;"")*ROUND($Q21:$AI21,15-13*ORÇAMENTO!$AF$7))))</f>
        <v>1</v>
      </c>
      <c r="I21" s="650"/>
      <c r="K21" s="208"/>
      <c r="L21" s="209" t="s">
        <v>257</v>
      </c>
      <c r="M21" s="210">
        <f ca="1">IF($D21&lt;&gt;"Serviço","",IF(AUTOEVENTO="manual",$A21,IF(ISERROR(MATCH($A21,$A$15:OFFSET($A21,-1,0),0)),MAX($M$15:OFFSET(M21,-1,0))+1,INDEX($M$15:OFFSET(M21,-1,0),MATCH($A21,$A$15:OFFSET($A21,-1,0),0)))))</f>
        <v>0</v>
      </c>
      <c r="N21" s="211" t="str">
        <f ca="1">IF($D21&lt;&gt;"Serviço","",IF(AUTOEVENTO="Manual",IF($A21=0,"&lt;-- defina o número do agrupador",OFFSET(EVENTOS!$D$14,$A21,0)),OFFSET($F$15,$A21,0)))</f>
        <v>&lt;-- defina o número do agrupador</v>
      </c>
      <c r="O21" s="212"/>
      <c r="Q21" s="212"/>
      <c r="R21" s="213"/>
      <c r="S21" s="213"/>
      <c r="T21" s="213"/>
      <c r="U21" s="213"/>
      <c r="V21" s="213"/>
      <c r="W21" s="213"/>
      <c r="X21" s="213"/>
      <c r="Y21" s="213"/>
      <c r="Z21" s="214"/>
      <c r="AA21" s="213"/>
      <c r="AB21" s="213"/>
      <c r="AC21" s="213"/>
      <c r="AD21" s="213"/>
      <c r="AE21" s="213"/>
      <c r="AF21" s="213"/>
      <c r="AG21" s="213"/>
      <c r="AH21" s="214"/>
      <c r="AJ21" s="631">
        <f ca="1">IF(AND($D21="Serviço",AJ$12&lt;&gt;0,$H21&gt;0,OR(AUTOEVENTO&lt;&gt;"manual",$M21&lt;&gt;1)),ROUND(OFFSET($P21,0,AJ$13),15-13*ORÇAMENTO!$AF$7)/$H21*OFFSET(ORÇAMENTO!$X$15,ROW(AJ21)-ROW(AJ$15),0),0)</f>
        <v>0</v>
      </c>
      <c r="AK21" s="632">
        <f ca="1">IF(AND($D21="Serviço",AK$12&lt;&gt;0,$H21&gt;0,OR(AUTOEVENTO&lt;&gt;"manual",$M21&lt;&gt;1)),ROUND(OFFSET($P21,0,AK$13),15-13*ORÇAMENTO!$AF$7)/$H21*OFFSET(ORÇAMENTO!$X$15,ROW(AK21)-ROW(AK$15),0),0)</f>
        <v>0</v>
      </c>
      <c r="AL21" s="632">
        <f ca="1">IF(AND($D21="Serviço",AL$12&lt;&gt;0,$H21&gt;0,OR(AUTOEVENTO&lt;&gt;"manual",$M21&lt;&gt;1)),ROUND(OFFSET($P21,0,AL$13),15-13*ORÇAMENTO!$AF$7)/$H21*OFFSET(ORÇAMENTO!$X$15,ROW(AL21)-ROW(AL$15),0),0)</f>
        <v>0</v>
      </c>
      <c r="AM21" s="632">
        <f ca="1">IF(AND($D21="Serviço",AM$12&lt;&gt;0,$H21&gt;0,OR(AUTOEVENTO&lt;&gt;"manual",$M21&lt;&gt;1)),ROUND(OFFSET($P21,0,AM$13),15-13*ORÇAMENTO!$AF$7)/$H21*OFFSET(ORÇAMENTO!$X$15,ROW(AM21)-ROW(AM$15),0),0)</f>
        <v>0</v>
      </c>
      <c r="AN21" s="632">
        <f ca="1">IF(AND($D21="Serviço",AN$12&lt;&gt;0,$H21&gt;0,OR(AUTOEVENTO&lt;&gt;"manual",$M21&lt;&gt;1)),ROUND(OFFSET($P21,0,AN$13),15-13*ORÇAMENTO!$AF$7)/$H21*OFFSET(ORÇAMENTO!$X$15,ROW(AN21)-ROW(AN$15),0),0)</f>
        <v>0</v>
      </c>
      <c r="AO21" s="632">
        <f ca="1">IF(AND($D21="Serviço",AO$12&lt;&gt;0,$H21&gt;0,OR(AUTOEVENTO&lt;&gt;"manual",$M21&lt;&gt;1)),ROUND(OFFSET($P21,0,AO$13),15-13*ORÇAMENTO!$AF$7)/$H21*OFFSET(ORÇAMENTO!$X$15,ROW(AO21)-ROW(AO$15),0),0)</f>
        <v>0</v>
      </c>
      <c r="AP21" s="632">
        <f ca="1">IF(AND($D21="Serviço",AP$12&lt;&gt;0,$H21&gt;0,OR(AUTOEVENTO&lt;&gt;"manual",$M21&lt;&gt;1)),ROUND(OFFSET($P21,0,AP$13),15-13*ORÇAMENTO!$AF$7)/$H21*OFFSET(ORÇAMENTO!$X$15,ROW(AP21)-ROW(AP$15),0),0)</f>
        <v>0</v>
      </c>
      <c r="AQ21" s="632">
        <f ca="1">IF(AND($D21="Serviço",AQ$12&lt;&gt;0,$H21&gt;0,OR(AUTOEVENTO&lt;&gt;"manual",$M21&lt;&gt;1)),ROUND(OFFSET($P21,0,AQ$13),15-13*ORÇAMENTO!$AF$7)/$H21*OFFSET(ORÇAMENTO!$X$15,ROW(AQ21)-ROW(AQ$15),0),0)</f>
        <v>0</v>
      </c>
      <c r="AR21" s="632">
        <f ca="1">IF(AND($D21="Serviço",AR$12&lt;&gt;0,$H21&gt;0,OR(AUTOEVENTO&lt;&gt;"manual",$M21&lt;&gt;1)),ROUND(OFFSET($P21,0,AR$13),15-13*ORÇAMENTO!$AF$7)/$H21*OFFSET(ORÇAMENTO!$X$15,ROW(AR21)-ROW(AR$15),0),0)</f>
        <v>0</v>
      </c>
      <c r="AS21" s="633">
        <f ca="1">IF(AND($D21="Serviço",AS$12&lt;&gt;0,$H21&gt;0,OR(AUTOEVENTO&lt;&gt;"manual",$M21&lt;&gt;1)),ROUND(OFFSET($P21,0,AS$13),15-13*ORÇAMENTO!$AF$7)/$H21*OFFSET(ORÇAMENTO!$X$15,ROW(AS21)-ROW(AS$15),0),0)</f>
        <v>0</v>
      </c>
      <c r="AT21" s="632">
        <f ca="1">IF(AND($D21="Serviço",AT$12&lt;&gt;0,$H21&gt;0,OR(AUTOEVENTO&lt;&gt;"manual",$M21&lt;&gt;1)),ROUND(OFFSET($P21,0,AT$13),15-13*ORÇAMENTO!$AF$7)/$H21*OFFSET(ORÇAMENTO!$X$15,ROW(AT21)-ROW(AT$15),0),0)</f>
        <v>0</v>
      </c>
      <c r="AU21" s="632">
        <f ca="1">IF(AND($D21="Serviço",AU$12&lt;&gt;0,$H21&gt;0,OR(AUTOEVENTO&lt;&gt;"manual",$M21&lt;&gt;1)),ROUND(OFFSET($P21,0,AU$13),15-13*ORÇAMENTO!$AF$7)/$H21*OFFSET(ORÇAMENTO!$X$15,ROW(AU21)-ROW(AU$15),0),0)</f>
        <v>0</v>
      </c>
      <c r="AV21" s="632">
        <f ca="1">IF(AND($D21="Serviço",AV$12&lt;&gt;0,$H21&gt;0,OR(AUTOEVENTO&lt;&gt;"manual",$M21&lt;&gt;1)),ROUND(OFFSET($P21,0,AV$13),15-13*ORÇAMENTO!$AF$7)/$H21*OFFSET(ORÇAMENTO!$X$15,ROW(AV21)-ROW(AV$15),0),0)</f>
        <v>0</v>
      </c>
      <c r="AW21" s="632">
        <f ca="1">IF(AND($D21="Serviço",AW$12&lt;&gt;0,$H21&gt;0,OR(AUTOEVENTO&lt;&gt;"manual",$M21&lt;&gt;1)),ROUND(OFFSET($P21,0,AW$13),15-13*ORÇAMENTO!$AF$7)/$H21*OFFSET(ORÇAMENTO!$X$15,ROW(AW21)-ROW(AW$15),0),0)</f>
        <v>0</v>
      </c>
      <c r="AX21" s="632">
        <f ca="1">IF(AND($D21="Serviço",AX$12&lt;&gt;0,$H21&gt;0,OR(AUTOEVENTO&lt;&gt;"manual",$M21&lt;&gt;1)),ROUND(OFFSET($P21,0,AX$13),15-13*ORÇAMENTO!$AF$7)/$H21*OFFSET(ORÇAMENTO!$X$15,ROW(AX21)-ROW(AX$15),0),0)</f>
        <v>0</v>
      </c>
      <c r="AY21" s="632">
        <f ca="1">IF(AND($D21="Serviço",AY$12&lt;&gt;0,$H21&gt;0,OR(AUTOEVENTO&lt;&gt;"manual",$M21&lt;&gt;1)),ROUND(OFFSET($P21,0,AY$13),15-13*ORÇAMENTO!$AF$7)/$H21*OFFSET(ORÇAMENTO!$X$15,ROW(AY21)-ROW(AY$15),0),0)</f>
        <v>0</v>
      </c>
      <c r="AZ21" s="632">
        <f ca="1">IF(AND($D21="Serviço",AZ$12&lt;&gt;0,$H21&gt;0,OR(AUTOEVENTO&lt;&gt;"manual",$M21&lt;&gt;1)),ROUND(OFFSET($P21,0,AZ$13),15-13*ORÇAMENTO!$AF$7)/$H21*OFFSET(ORÇAMENTO!$X$15,ROW(AZ21)-ROW(AZ$15),0),0)</f>
        <v>0</v>
      </c>
      <c r="BA21" s="633">
        <f ca="1">IF(AND($D21="Serviço",BA$12&lt;&gt;0,$H21&gt;0,OR(AUTOEVENTO&lt;&gt;"manual",$M21&lt;&gt;1)),ROUND(OFFSET($P21,0,BA$13),15-13*ORÇAMENTO!$AF$7)/$H21*OFFSET(ORÇAMENTO!$X$15,ROW(BA21)-ROW(BA$15),0),0)</f>
        <v>0</v>
      </c>
      <c r="BC21" s="215">
        <f ca="1">IF($D21&lt;&gt;"Serviço",0,IF(AND(AUTOEVENTO="Manual",$M21=1),0,IF(OFFSET(CRONOPLE!$F$14,$M21,BC$13)="",10^12,OFFSET(CRONOPLE!$F$14,$M21,BC$13))))</f>
        <v>1000000000000</v>
      </c>
      <c r="BD21" s="215">
        <f ca="1">IF($D21&lt;&gt;"Serviço",0,IF(AND(AUTOEVENTO="Manual",$M21=1),0,IF(OFFSET(CRONOPLE!$F$14,$M21,BD$13)="",10^12,OFFSET(CRONOPLE!$F$14,$M21,BD$13))))</f>
        <v>1000000000000</v>
      </c>
      <c r="BE21" s="215">
        <f ca="1">IF($D21&lt;&gt;"Serviço",0,IF(AND(AUTOEVENTO="Manual",$M21=1),0,IF(OFFSET(CRONOPLE!$F$14,$M21,BE$13)="",10^12,OFFSET(CRONOPLE!$F$14,$M21,BE$13))))</f>
        <v>1000000000000</v>
      </c>
      <c r="BF21" s="215">
        <f ca="1">IF($D21&lt;&gt;"Serviço",0,IF(AND(AUTOEVENTO="Manual",$M21=1),0,IF(OFFSET(CRONOPLE!$F$14,$M21,BF$13)="",10^12,OFFSET(CRONOPLE!$F$14,$M21,BF$13))))</f>
        <v>1000000000000</v>
      </c>
      <c r="BG21" s="215">
        <f ca="1">IF($D21&lt;&gt;"Serviço",0,IF(AND(AUTOEVENTO="Manual",$M21=1),0,IF(OFFSET(CRONOPLE!$F$14,$M21,BG$13)="",10^12,OFFSET(CRONOPLE!$F$14,$M21,BG$13))))</f>
        <v>1000000000000</v>
      </c>
      <c r="BH21" s="215">
        <f ca="1">IF($D21&lt;&gt;"Serviço",0,IF(AND(AUTOEVENTO="Manual",$M21=1),0,IF(OFFSET(CRONOPLE!$F$14,$M21,BH$13)="",10^12,OFFSET(CRONOPLE!$F$14,$M21,BH$13))))</f>
        <v>1000000000000</v>
      </c>
      <c r="BI21" s="215">
        <f ca="1">IF($D21&lt;&gt;"Serviço",0,IF(AND(AUTOEVENTO="Manual",$M21=1),0,IF(OFFSET(CRONOPLE!$F$14,$M21,BI$13)="",10^12,OFFSET(CRONOPLE!$F$14,$M21,BI$13))))</f>
        <v>1000000000000</v>
      </c>
      <c r="BJ21" s="215">
        <f ca="1">IF($D21&lt;&gt;"Serviço",0,IF(AND(AUTOEVENTO="Manual",$M21=1),0,IF(OFFSET(CRONOPLE!$F$14,$M21,BJ$13)="",10^12,OFFSET(CRONOPLE!$F$14,$M21,BJ$13))))</f>
        <v>1000000000000</v>
      </c>
      <c r="BK21" s="215">
        <f ca="1">IF($D21&lt;&gt;"Serviço",0,IF(AND(AUTOEVENTO="Manual",$M21=1),0,IF(OFFSET(CRONOPLE!$F$14,$M21,BK$13)="",10^12,OFFSET(CRONOPLE!$F$14,$M21,BK$13))))</f>
        <v>1000000000000</v>
      </c>
      <c r="BL21" s="215">
        <f ca="1">IF($D21&lt;&gt;"Serviço",0,IF(AND(AUTOEVENTO="Manual",$M21=1),0,IF(OFFSET(CRONOPLE!$F$14,$M21,BL$13)="",10^12,OFFSET(CRONOPLE!$F$14,$M21,BL$13))))</f>
        <v>1000000000000</v>
      </c>
      <c r="BM21" s="215">
        <f ca="1">IF($D21&lt;&gt;"Serviço",0,IF(AND(AUTOEVENTO="Manual",$M21=1),0,IF(OFFSET(CRONOPLE!$F$14,$M21,BM$13)="",10^12,OFFSET(CRONOPLE!$F$14,$M21,BM$13))))</f>
        <v>1000000000000</v>
      </c>
      <c r="BN21" s="215">
        <f ca="1">IF($D21&lt;&gt;"Serviço",0,IF(AND(AUTOEVENTO="Manual",$M21=1),0,IF(OFFSET(CRONOPLE!$F$14,$M21,BN$13)="",10^12,OFFSET(CRONOPLE!$F$14,$M21,BN$13))))</f>
        <v>1000000000000</v>
      </c>
      <c r="BO21" s="215">
        <f ca="1">IF($D21&lt;&gt;"Serviço",0,IF(AND(AUTOEVENTO="Manual",$M21=1),0,IF(OFFSET(CRONOPLE!$F$14,$M21,BO$13)="",10^12,OFFSET(CRONOPLE!$F$14,$M21,BO$13))))</f>
        <v>1000000000000</v>
      </c>
      <c r="BP21" s="215">
        <f ca="1">IF($D21&lt;&gt;"Serviço",0,IF(AND(AUTOEVENTO="Manual",$M21=1),0,IF(OFFSET(CRONOPLE!$F$14,$M21,BP$13)="",10^12,OFFSET(CRONOPLE!$F$14,$M21,BP$13))))</f>
        <v>1000000000000</v>
      </c>
      <c r="BQ21" s="215">
        <f ca="1">IF($D21&lt;&gt;"Serviço",0,IF(AND(AUTOEVENTO="Manual",$M21=1),0,IF(OFFSET(CRONOPLE!$F$14,$M21,BQ$13)="",10^12,OFFSET(CRONOPLE!$F$14,$M21,BQ$13))))</f>
        <v>1000000000000</v>
      </c>
      <c r="BR21" s="215">
        <f ca="1">IF($D21&lt;&gt;"Serviço",0,IF(AND(AUTOEVENTO="Manual",$M21=1),0,IF(OFFSET(CRONOPLE!$F$14,$M21,BR$13)="",10^12,OFFSET(CRONOPLE!$F$14,$M21,BR$13))))</f>
        <v>1000000000000</v>
      </c>
      <c r="BS21" s="215">
        <f ca="1">IF($D21&lt;&gt;"Serviço",0,IF(AND(AUTOEVENTO="Manual",$M21=1),0,IF(OFFSET(CRONOPLE!$F$14,$M21,BS$13)="",10^12,OFFSET(CRONOPLE!$F$14,$M21,BS$13))))</f>
        <v>1000000000000</v>
      </c>
      <c r="BT21" s="215">
        <f ca="1">IF($D21&lt;&gt;"Serviço",0,IF(AND(AUTOEVENTO="Manual",$M21=1),0,IF(OFFSET(CRONOPLE!$F$14,$M21,BT$13)="",10^12,OFFSET(CRONOPLE!$F$14,$M21,BT$13))))</f>
        <v>1000000000000</v>
      </c>
      <c r="BV21" s="216">
        <f ca="1">IF($D21&lt;&gt;"Serviço",0,IF(OR(AND(AUTOEVENTO="Manual",$M21=1),$M21&gt;(ROW(PLE.lastrow)-ROW(PLE.firstrow))),0,IF(OFFSET(PLE!$G$14,$M21,BV$13)="",10^12,OFFSET(PLE!$G$14,$M21,BV$13))))</f>
        <v>1000000000000</v>
      </c>
      <c r="BW21" s="216">
        <f ca="1">IF($D21&lt;&gt;"Serviço",0,IF(OR(AND(AUTOEVENTO="Manual",$M21=1),$M21&gt;(ROW(PLE.lastrow)-ROW(PLE.firstrow))),0,IF(OFFSET(PLE!$G$14,$M21,BW$13)="",10^12,OFFSET(PLE!$G$14,$M21,BW$13))))</f>
        <v>1000000000000</v>
      </c>
      <c r="BX21" s="216">
        <f ca="1">IF($D21&lt;&gt;"Serviço",0,IF(OR(AND(AUTOEVENTO="Manual",$M21=1),$M21&gt;(ROW(PLE.lastrow)-ROW(PLE.firstrow))),0,IF(OFFSET(PLE!$G$14,$M21,BX$13)="",10^12,OFFSET(PLE!$G$14,$M21,BX$13))))</f>
        <v>1000000000000</v>
      </c>
      <c r="BY21" s="216">
        <f ca="1">IF($D21&lt;&gt;"Serviço",0,IF(OR(AND(AUTOEVENTO="Manual",$M21=1),$M21&gt;(ROW(PLE.lastrow)-ROW(PLE.firstrow))),0,IF(OFFSET(PLE!$G$14,$M21,BY$13)="",10^12,OFFSET(PLE!$G$14,$M21,BY$13))))</f>
        <v>1000000000000</v>
      </c>
      <c r="BZ21" s="216">
        <f ca="1">IF($D21&lt;&gt;"Serviço",0,IF(OR(AND(AUTOEVENTO="Manual",$M21=1),$M21&gt;(ROW(PLE.lastrow)-ROW(PLE.firstrow))),0,IF(OFFSET(PLE!$G$14,$M21,BZ$13)="",10^12,OFFSET(PLE!$G$14,$M21,BZ$13))))</f>
        <v>1000000000000</v>
      </c>
      <c r="CA21" s="216">
        <f ca="1">IF($D21&lt;&gt;"Serviço",0,IF(OR(AND(AUTOEVENTO="Manual",$M21=1),$M21&gt;(ROW(PLE.lastrow)-ROW(PLE.firstrow))),0,IF(OFFSET(PLE!$G$14,$M21,CA$13)="",10^12,OFFSET(PLE!$G$14,$M21,CA$13))))</f>
        <v>1000000000000</v>
      </c>
      <c r="CB21" s="216">
        <f ca="1">IF($D21&lt;&gt;"Serviço",0,IF(OR(AND(AUTOEVENTO="Manual",$M21=1),$M21&gt;(ROW(PLE.lastrow)-ROW(PLE.firstrow))),0,IF(OFFSET(PLE!$G$14,$M21,CB$13)="",10^12,OFFSET(PLE!$G$14,$M21,CB$13))))</f>
        <v>1000000000000</v>
      </c>
      <c r="CC21" s="216">
        <f ca="1">IF($D21&lt;&gt;"Serviço",0,IF(OR(AND(AUTOEVENTO="Manual",$M21=1),$M21&gt;(ROW(PLE.lastrow)-ROW(PLE.firstrow))),0,IF(OFFSET(PLE!$G$14,$M21,CC$13)="",10^12,OFFSET(PLE!$G$14,$M21,CC$13))))</f>
        <v>1000000000000</v>
      </c>
      <c r="CD21" s="216">
        <f ca="1">IF($D21&lt;&gt;"Serviço",0,IF(OR(AND(AUTOEVENTO="Manual",$M21=1),$M21&gt;(ROW(PLE.lastrow)-ROW(PLE.firstrow))),0,IF(OFFSET(PLE!$G$14,$M21,CD$13)="",10^12,OFFSET(PLE!$G$14,$M21,CD$13))))</f>
        <v>1000000000000</v>
      </c>
      <c r="CE21" s="216">
        <f ca="1">IF($D21&lt;&gt;"Serviço",0,IF(OR(AND(AUTOEVENTO="Manual",$M21=1),$M21&gt;(ROW(PLE.lastrow)-ROW(PLE.firstrow))),0,IF(OFFSET(PLE!$G$14,$M21,CE$13)="",10^12,OFFSET(PLE!$G$14,$M21,CE$13))))</f>
        <v>1000000000000</v>
      </c>
      <c r="CF21" s="216">
        <f ca="1">IF($D21&lt;&gt;"Serviço",0,IF(OR(AND(AUTOEVENTO="Manual",$M21=1),$M21&gt;(ROW(PLE.lastrow)-ROW(PLE.firstrow))),0,IF(OFFSET(PLE!$G$14,$M21,CF$13)="",10^12,OFFSET(PLE!$G$14,$M21,CF$13))))</f>
        <v>1000000000000</v>
      </c>
      <c r="CG21" s="216">
        <f ca="1">IF($D21&lt;&gt;"Serviço",0,IF(OR(AND(AUTOEVENTO="Manual",$M21=1),$M21&gt;(ROW(PLE.lastrow)-ROW(PLE.firstrow))),0,IF(OFFSET(PLE!$G$14,$M21,CG$13)="",10^12,OFFSET(PLE!$G$14,$M21,CG$13))))</f>
        <v>1000000000000</v>
      </c>
      <c r="CH21" s="216">
        <f ca="1">IF($D21&lt;&gt;"Serviço",0,IF(OR(AND(AUTOEVENTO="Manual",$M21=1),$M21&gt;(ROW(PLE.lastrow)-ROW(PLE.firstrow))),0,IF(OFFSET(PLE!$G$14,$M21,CH$13)="",10^12,OFFSET(PLE!$G$14,$M21,CH$13))))</f>
        <v>1000000000000</v>
      </c>
      <c r="CI21" s="216">
        <f ca="1">IF($D21&lt;&gt;"Serviço",0,IF(OR(AND(AUTOEVENTO="Manual",$M21=1),$M21&gt;(ROW(PLE.lastrow)-ROW(PLE.firstrow))),0,IF(OFFSET(PLE!$G$14,$M21,CI$13)="",10^12,OFFSET(PLE!$G$14,$M21,CI$13))))</f>
        <v>1000000000000</v>
      </c>
      <c r="CJ21" s="216">
        <f ca="1">IF($D21&lt;&gt;"Serviço",0,IF(OR(AND(AUTOEVENTO="Manual",$M21=1),$M21&gt;(ROW(PLE.lastrow)-ROW(PLE.firstrow))),0,IF(OFFSET(PLE!$G$14,$M21,CJ$13)="",10^12,OFFSET(PLE!$G$14,$M21,CJ$13))))</f>
        <v>1000000000000</v>
      </c>
      <c r="CK21" s="216">
        <f ca="1">IF($D21&lt;&gt;"Serviço",0,IF(OR(AND(AUTOEVENTO="Manual",$M21=1),$M21&gt;(ROW(PLE.lastrow)-ROW(PLE.firstrow))),0,IF(OFFSET(PLE!$G$14,$M21,CK$13)="",10^12,OFFSET(PLE!$G$14,$M21,CK$13))))</f>
        <v>1000000000000</v>
      </c>
      <c r="CL21" s="216">
        <f ca="1">IF($D21&lt;&gt;"Serviço",0,IF(OR(AND(AUTOEVENTO="Manual",$M21=1),$M21&gt;(ROW(PLE.lastrow)-ROW(PLE.firstrow))),0,IF(OFFSET(PLE!$G$14,$M21,CL$13)="",10^12,OFFSET(PLE!$G$14,$M21,CL$13))))</f>
        <v>1000000000000</v>
      </c>
      <c r="CM21" s="216">
        <f ca="1">IF($D21&lt;&gt;"Serviço",0,IF(OR(AND(AUTOEVENTO="Manual",$M21=1),$M21&gt;(ROW(PLE.lastrow)-ROW(PLE.firstrow))),0,IF(OFFSET(PLE!$G$14,$M21,CM$13)="",10^12,OFFSET(PLE!$G$14,$M21,CM$13))))</f>
        <v>1000000000000</v>
      </c>
    </row>
    <row r="22" spans="1:91" ht="38.25" customHeight="1" x14ac:dyDescent="0.25">
      <c r="A22" s="9">
        <f t="shared" ca="1" si="9"/>
        <v>0</v>
      </c>
      <c r="B22" s="9" t="str">
        <f ca="1">OFFSET(ORÇAMENTO!C$15,ROW(B22)-ROW(B$15),0)</f>
        <v>S</v>
      </c>
      <c r="C22" s="9" t="str">
        <f ca="1">OFFSET(ORÇAMENTO!L$15,ROW(C22)-ROW(C$15),0)</f>
        <v/>
      </c>
      <c r="D22" s="145" t="str">
        <f ca="1">OFFSET(ORÇAMENTO!N$15,ROW(D22)-ROW(D$15),0)</f>
        <v>Serviço</v>
      </c>
      <c r="E22" s="205" t="str">
        <f ca="1">OFFSET(ORÇAMENTO!O$15,ROW(E22)-ROW(E$15),0)</f>
        <v>-</v>
      </c>
      <c r="F22" s="206" t="str">
        <f ca="1">OFFSET(ORÇAMENTO!R$15,ROW(F22)-ROW(F$15),0)</f>
        <v>(abra o arquivo 'Referência 05-2024.xls)</v>
      </c>
      <c r="G22" s="207" t="str">
        <f ca="1">IF($D22&lt;&gt;"Serviço","",OFFSET(ORÇAMENTO!S$15,ROW(G22)-ROW(G$15),0))</f>
        <v>-</v>
      </c>
      <c r="H22" s="151">
        <f ca="1">IF($D22&lt;&gt;"Serviço",0,IF(ACOMPANHAMENTO="BM",ROUND(OFFSET(ORÇAMENTO!AJ$15,ROW(H22)-ROW(H$15),0),15-13*ORÇAMENTO!$AF$7),SUMPRODUCT(($Q$12:$AI$12&lt;&gt;"")*ROUND($Q22:$AI22,15-13*ORÇAMENTO!$AF$7))))</f>
        <v>2.52</v>
      </c>
      <c r="I22" s="650"/>
      <c r="K22" s="208"/>
      <c r="L22" s="209" t="s">
        <v>257</v>
      </c>
      <c r="M22" s="210">
        <f ca="1">IF($D22&lt;&gt;"Serviço","",IF(AUTOEVENTO="manual",$A22,IF(ISERROR(MATCH($A22,$A$15:OFFSET($A22,-1,0),0)),MAX($M$15:OFFSET(M22,-1,0))+1,INDEX($M$15:OFFSET(M22,-1,0),MATCH($A22,$A$15:OFFSET($A22,-1,0),0)))))</f>
        <v>0</v>
      </c>
      <c r="N22" s="211" t="str">
        <f ca="1">IF($D22&lt;&gt;"Serviço","",IF(AUTOEVENTO="Manual",IF($A22=0,"&lt;-- defina o número do agrupador",OFFSET(EVENTOS!$D$14,$A22,0)),OFFSET($F$15,$A22,0)))</f>
        <v>&lt;-- defina o número do agrupador</v>
      </c>
      <c r="O22" s="212"/>
      <c r="Q22" s="212"/>
      <c r="R22" s="213"/>
      <c r="S22" s="213"/>
      <c r="T22" s="213"/>
      <c r="U22" s="213"/>
      <c r="V22" s="213"/>
      <c r="W22" s="213"/>
      <c r="X22" s="213"/>
      <c r="Y22" s="213"/>
      <c r="Z22" s="214"/>
      <c r="AA22" s="213"/>
      <c r="AB22" s="213"/>
      <c r="AC22" s="213"/>
      <c r="AD22" s="213"/>
      <c r="AE22" s="213"/>
      <c r="AF22" s="213"/>
      <c r="AG22" s="213"/>
      <c r="AH22" s="214"/>
      <c r="AJ22" s="631">
        <f ca="1">IF(AND($D22="Serviço",AJ$12&lt;&gt;0,$H22&gt;0,OR(AUTOEVENTO&lt;&gt;"manual",$M22&lt;&gt;1)),ROUND(OFFSET($P22,0,AJ$13),15-13*ORÇAMENTO!$AF$7)/$H22*OFFSET(ORÇAMENTO!$X$15,ROW(AJ22)-ROW(AJ$15),0),0)</f>
        <v>0</v>
      </c>
      <c r="AK22" s="632">
        <f ca="1">IF(AND($D22="Serviço",AK$12&lt;&gt;0,$H22&gt;0,OR(AUTOEVENTO&lt;&gt;"manual",$M22&lt;&gt;1)),ROUND(OFFSET($P22,0,AK$13),15-13*ORÇAMENTO!$AF$7)/$H22*OFFSET(ORÇAMENTO!$X$15,ROW(AK22)-ROW(AK$15),0),0)</f>
        <v>0</v>
      </c>
      <c r="AL22" s="632">
        <f ca="1">IF(AND($D22="Serviço",AL$12&lt;&gt;0,$H22&gt;0,OR(AUTOEVENTO&lt;&gt;"manual",$M22&lt;&gt;1)),ROUND(OFFSET($P22,0,AL$13),15-13*ORÇAMENTO!$AF$7)/$H22*OFFSET(ORÇAMENTO!$X$15,ROW(AL22)-ROW(AL$15),0),0)</f>
        <v>0</v>
      </c>
      <c r="AM22" s="632">
        <f ca="1">IF(AND($D22="Serviço",AM$12&lt;&gt;0,$H22&gt;0,OR(AUTOEVENTO&lt;&gt;"manual",$M22&lt;&gt;1)),ROUND(OFFSET($P22,0,AM$13),15-13*ORÇAMENTO!$AF$7)/$H22*OFFSET(ORÇAMENTO!$X$15,ROW(AM22)-ROW(AM$15),0),0)</f>
        <v>0</v>
      </c>
      <c r="AN22" s="632">
        <f ca="1">IF(AND($D22="Serviço",AN$12&lt;&gt;0,$H22&gt;0,OR(AUTOEVENTO&lt;&gt;"manual",$M22&lt;&gt;1)),ROUND(OFFSET($P22,0,AN$13),15-13*ORÇAMENTO!$AF$7)/$H22*OFFSET(ORÇAMENTO!$X$15,ROW(AN22)-ROW(AN$15),0),0)</f>
        <v>0</v>
      </c>
      <c r="AO22" s="632">
        <f ca="1">IF(AND($D22="Serviço",AO$12&lt;&gt;0,$H22&gt;0,OR(AUTOEVENTO&lt;&gt;"manual",$M22&lt;&gt;1)),ROUND(OFFSET($P22,0,AO$13),15-13*ORÇAMENTO!$AF$7)/$H22*OFFSET(ORÇAMENTO!$X$15,ROW(AO22)-ROW(AO$15),0),0)</f>
        <v>0</v>
      </c>
      <c r="AP22" s="632">
        <f ca="1">IF(AND($D22="Serviço",AP$12&lt;&gt;0,$H22&gt;0,OR(AUTOEVENTO&lt;&gt;"manual",$M22&lt;&gt;1)),ROUND(OFFSET($P22,0,AP$13),15-13*ORÇAMENTO!$AF$7)/$H22*OFFSET(ORÇAMENTO!$X$15,ROW(AP22)-ROW(AP$15),0),0)</f>
        <v>0</v>
      </c>
      <c r="AQ22" s="632">
        <f ca="1">IF(AND($D22="Serviço",AQ$12&lt;&gt;0,$H22&gt;0,OR(AUTOEVENTO&lt;&gt;"manual",$M22&lt;&gt;1)),ROUND(OFFSET($P22,0,AQ$13),15-13*ORÇAMENTO!$AF$7)/$H22*OFFSET(ORÇAMENTO!$X$15,ROW(AQ22)-ROW(AQ$15),0),0)</f>
        <v>0</v>
      </c>
      <c r="AR22" s="632">
        <f ca="1">IF(AND($D22="Serviço",AR$12&lt;&gt;0,$H22&gt;0,OR(AUTOEVENTO&lt;&gt;"manual",$M22&lt;&gt;1)),ROUND(OFFSET($P22,0,AR$13),15-13*ORÇAMENTO!$AF$7)/$H22*OFFSET(ORÇAMENTO!$X$15,ROW(AR22)-ROW(AR$15),0),0)</f>
        <v>0</v>
      </c>
      <c r="AS22" s="633">
        <f ca="1">IF(AND($D22="Serviço",AS$12&lt;&gt;0,$H22&gt;0,OR(AUTOEVENTO&lt;&gt;"manual",$M22&lt;&gt;1)),ROUND(OFFSET($P22,0,AS$13),15-13*ORÇAMENTO!$AF$7)/$H22*OFFSET(ORÇAMENTO!$X$15,ROW(AS22)-ROW(AS$15),0),0)</f>
        <v>0</v>
      </c>
      <c r="AT22" s="632">
        <f ca="1">IF(AND($D22="Serviço",AT$12&lt;&gt;0,$H22&gt;0,OR(AUTOEVENTO&lt;&gt;"manual",$M22&lt;&gt;1)),ROUND(OFFSET($P22,0,AT$13),15-13*ORÇAMENTO!$AF$7)/$H22*OFFSET(ORÇAMENTO!$X$15,ROW(AT22)-ROW(AT$15),0),0)</f>
        <v>0</v>
      </c>
      <c r="AU22" s="632">
        <f ca="1">IF(AND($D22="Serviço",AU$12&lt;&gt;0,$H22&gt;0,OR(AUTOEVENTO&lt;&gt;"manual",$M22&lt;&gt;1)),ROUND(OFFSET($P22,0,AU$13),15-13*ORÇAMENTO!$AF$7)/$H22*OFFSET(ORÇAMENTO!$X$15,ROW(AU22)-ROW(AU$15),0),0)</f>
        <v>0</v>
      </c>
      <c r="AV22" s="632">
        <f ca="1">IF(AND($D22="Serviço",AV$12&lt;&gt;0,$H22&gt;0,OR(AUTOEVENTO&lt;&gt;"manual",$M22&lt;&gt;1)),ROUND(OFFSET($P22,0,AV$13),15-13*ORÇAMENTO!$AF$7)/$H22*OFFSET(ORÇAMENTO!$X$15,ROW(AV22)-ROW(AV$15),0),0)</f>
        <v>0</v>
      </c>
      <c r="AW22" s="632">
        <f ca="1">IF(AND($D22="Serviço",AW$12&lt;&gt;0,$H22&gt;0,OR(AUTOEVENTO&lt;&gt;"manual",$M22&lt;&gt;1)),ROUND(OFFSET($P22,0,AW$13),15-13*ORÇAMENTO!$AF$7)/$H22*OFFSET(ORÇAMENTO!$X$15,ROW(AW22)-ROW(AW$15),0),0)</f>
        <v>0</v>
      </c>
      <c r="AX22" s="632">
        <f ca="1">IF(AND($D22="Serviço",AX$12&lt;&gt;0,$H22&gt;0,OR(AUTOEVENTO&lt;&gt;"manual",$M22&lt;&gt;1)),ROUND(OFFSET($P22,0,AX$13),15-13*ORÇAMENTO!$AF$7)/$H22*OFFSET(ORÇAMENTO!$X$15,ROW(AX22)-ROW(AX$15),0),0)</f>
        <v>0</v>
      </c>
      <c r="AY22" s="632">
        <f ca="1">IF(AND($D22="Serviço",AY$12&lt;&gt;0,$H22&gt;0,OR(AUTOEVENTO&lt;&gt;"manual",$M22&lt;&gt;1)),ROUND(OFFSET($P22,0,AY$13),15-13*ORÇAMENTO!$AF$7)/$H22*OFFSET(ORÇAMENTO!$X$15,ROW(AY22)-ROW(AY$15),0),0)</f>
        <v>0</v>
      </c>
      <c r="AZ22" s="632">
        <f ca="1">IF(AND($D22="Serviço",AZ$12&lt;&gt;0,$H22&gt;0,OR(AUTOEVENTO&lt;&gt;"manual",$M22&lt;&gt;1)),ROUND(OFFSET($P22,0,AZ$13),15-13*ORÇAMENTO!$AF$7)/$H22*OFFSET(ORÇAMENTO!$X$15,ROW(AZ22)-ROW(AZ$15),0),0)</f>
        <v>0</v>
      </c>
      <c r="BA22" s="633">
        <f ca="1">IF(AND($D22="Serviço",BA$12&lt;&gt;0,$H22&gt;0,OR(AUTOEVENTO&lt;&gt;"manual",$M22&lt;&gt;1)),ROUND(OFFSET($P22,0,BA$13),15-13*ORÇAMENTO!$AF$7)/$H22*OFFSET(ORÇAMENTO!$X$15,ROW(BA22)-ROW(BA$15),0),0)</f>
        <v>0</v>
      </c>
      <c r="BC22" s="215">
        <f ca="1">IF($D22&lt;&gt;"Serviço",0,IF(AND(AUTOEVENTO="Manual",$M22=1),0,IF(OFFSET(CRONOPLE!$F$14,$M22,BC$13)="",10^12,OFFSET(CRONOPLE!$F$14,$M22,BC$13))))</f>
        <v>1000000000000</v>
      </c>
      <c r="BD22" s="215">
        <f ca="1">IF($D22&lt;&gt;"Serviço",0,IF(AND(AUTOEVENTO="Manual",$M22=1),0,IF(OFFSET(CRONOPLE!$F$14,$M22,BD$13)="",10^12,OFFSET(CRONOPLE!$F$14,$M22,BD$13))))</f>
        <v>1000000000000</v>
      </c>
      <c r="BE22" s="215">
        <f ca="1">IF($D22&lt;&gt;"Serviço",0,IF(AND(AUTOEVENTO="Manual",$M22=1),0,IF(OFFSET(CRONOPLE!$F$14,$M22,BE$13)="",10^12,OFFSET(CRONOPLE!$F$14,$M22,BE$13))))</f>
        <v>1000000000000</v>
      </c>
      <c r="BF22" s="215">
        <f ca="1">IF($D22&lt;&gt;"Serviço",0,IF(AND(AUTOEVENTO="Manual",$M22=1),0,IF(OFFSET(CRONOPLE!$F$14,$M22,BF$13)="",10^12,OFFSET(CRONOPLE!$F$14,$M22,BF$13))))</f>
        <v>1000000000000</v>
      </c>
      <c r="BG22" s="215">
        <f ca="1">IF($D22&lt;&gt;"Serviço",0,IF(AND(AUTOEVENTO="Manual",$M22=1),0,IF(OFFSET(CRONOPLE!$F$14,$M22,BG$13)="",10^12,OFFSET(CRONOPLE!$F$14,$M22,BG$13))))</f>
        <v>1000000000000</v>
      </c>
      <c r="BH22" s="215">
        <f ca="1">IF($D22&lt;&gt;"Serviço",0,IF(AND(AUTOEVENTO="Manual",$M22=1),0,IF(OFFSET(CRONOPLE!$F$14,$M22,BH$13)="",10^12,OFFSET(CRONOPLE!$F$14,$M22,BH$13))))</f>
        <v>1000000000000</v>
      </c>
      <c r="BI22" s="215">
        <f ca="1">IF($D22&lt;&gt;"Serviço",0,IF(AND(AUTOEVENTO="Manual",$M22=1),0,IF(OFFSET(CRONOPLE!$F$14,$M22,BI$13)="",10^12,OFFSET(CRONOPLE!$F$14,$M22,BI$13))))</f>
        <v>1000000000000</v>
      </c>
      <c r="BJ22" s="215">
        <f ca="1">IF($D22&lt;&gt;"Serviço",0,IF(AND(AUTOEVENTO="Manual",$M22=1),0,IF(OFFSET(CRONOPLE!$F$14,$M22,BJ$13)="",10^12,OFFSET(CRONOPLE!$F$14,$M22,BJ$13))))</f>
        <v>1000000000000</v>
      </c>
      <c r="BK22" s="215">
        <f ca="1">IF($D22&lt;&gt;"Serviço",0,IF(AND(AUTOEVENTO="Manual",$M22=1),0,IF(OFFSET(CRONOPLE!$F$14,$M22,BK$13)="",10^12,OFFSET(CRONOPLE!$F$14,$M22,BK$13))))</f>
        <v>1000000000000</v>
      </c>
      <c r="BL22" s="215">
        <f ca="1">IF($D22&lt;&gt;"Serviço",0,IF(AND(AUTOEVENTO="Manual",$M22=1),0,IF(OFFSET(CRONOPLE!$F$14,$M22,BL$13)="",10^12,OFFSET(CRONOPLE!$F$14,$M22,BL$13))))</f>
        <v>1000000000000</v>
      </c>
      <c r="BM22" s="215">
        <f ca="1">IF($D22&lt;&gt;"Serviço",0,IF(AND(AUTOEVENTO="Manual",$M22=1),0,IF(OFFSET(CRONOPLE!$F$14,$M22,BM$13)="",10^12,OFFSET(CRONOPLE!$F$14,$M22,BM$13))))</f>
        <v>1000000000000</v>
      </c>
      <c r="BN22" s="215">
        <f ca="1">IF($D22&lt;&gt;"Serviço",0,IF(AND(AUTOEVENTO="Manual",$M22=1),0,IF(OFFSET(CRONOPLE!$F$14,$M22,BN$13)="",10^12,OFFSET(CRONOPLE!$F$14,$M22,BN$13))))</f>
        <v>1000000000000</v>
      </c>
      <c r="BO22" s="215">
        <f ca="1">IF($D22&lt;&gt;"Serviço",0,IF(AND(AUTOEVENTO="Manual",$M22=1),0,IF(OFFSET(CRONOPLE!$F$14,$M22,BO$13)="",10^12,OFFSET(CRONOPLE!$F$14,$M22,BO$13))))</f>
        <v>1000000000000</v>
      </c>
      <c r="BP22" s="215">
        <f ca="1">IF($D22&lt;&gt;"Serviço",0,IF(AND(AUTOEVENTO="Manual",$M22=1),0,IF(OFFSET(CRONOPLE!$F$14,$M22,BP$13)="",10^12,OFFSET(CRONOPLE!$F$14,$M22,BP$13))))</f>
        <v>1000000000000</v>
      </c>
      <c r="BQ22" s="215">
        <f ca="1">IF($D22&lt;&gt;"Serviço",0,IF(AND(AUTOEVENTO="Manual",$M22=1),0,IF(OFFSET(CRONOPLE!$F$14,$M22,BQ$13)="",10^12,OFFSET(CRONOPLE!$F$14,$M22,BQ$13))))</f>
        <v>1000000000000</v>
      </c>
      <c r="BR22" s="215">
        <f ca="1">IF($D22&lt;&gt;"Serviço",0,IF(AND(AUTOEVENTO="Manual",$M22=1),0,IF(OFFSET(CRONOPLE!$F$14,$M22,BR$13)="",10^12,OFFSET(CRONOPLE!$F$14,$M22,BR$13))))</f>
        <v>1000000000000</v>
      </c>
      <c r="BS22" s="215">
        <f ca="1">IF($D22&lt;&gt;"Serviço",0,IF(AND(AUTOEVENTO="Manual",$M22=1),0,IF(OFFSET(CRONOPLE!$F$14,$M22,BS$13)="",10^12,OFFSET(CRONOPLE!$F$14,$M22,BS$13))))</f>
        <v>1000000000000</v>
      </c>
      <c r="BT22" s="215">
        <f ca="1">IF($D22&lt;&gt;"Serviço",0,IF(AND(AUTOEVENTO="Manual",$M22=1),0,IF(OFFSET(CRONOPLE!$F$14,$M22,BT$13)="",10^12,OFFSET(CRONOPLE!$F$14,$M22,BT$13))))</f>
        <v>1000000000000</v>
      </c>
      <c r="BV22" s="216">
        <f ca="1">IF($D22&lt;&gt;"Serviço",0,IF(OR(AND(AUTOEVENTO="Manual",$M22=1),$M22&gt;(ROW(PLE.lastrow)-ROW(PLE.firstrow))),0,IF(OFFSET(PLE!$G$14,$M22,BV$13)="",10^12,OFFSET(PLE!$G$14,$M22,BV$13))))</f>
        <v>1000000000000</v>
      </c>
      <c r="BW22" s="216">
        <f ca="1">IF($D22&lt;&gt;"Serviço",0,IF(OR(AND(AUTOEVENTO="Manual",$M22=1),$M22&gt;(ROW(PLE.lastrow)-ROW(PLE.firstrow))),0,IF(OFFSET(PLE!$G$14,$M22,BW$13)="",10^12,OFFSET(PLE!$G$14,$M22,BW$13))))</f>
        <v>1000000000000</v>
      </c>
      <c r="BX22" s="216">
        <f ca="1">IF($D22&lt;&gt;"Serviço",0,IF(OR(AND(AUTOEVENTO="Manual",$M22=1),$M22&gt;(ROW(PLE.lastrow)-ROW(PLE.firstrow))),0,IF(OFFSET(PLE!$G$14,$M22,BX$13)="",10^12,OFFSET(PLE!$G$14,$M22,BX$13))))</f>
        <v>1000000000000</v>
      </c>
      <c r="BY22" s="216">
        <f ca="1">IF($D22&lt;&gt;"Serviço",0,IF(OR(AND(AUTOEVENTO="Manual",$M22=1),$M22&gt;(ROW(PLE.lastrow)-ROW(PLE.firstrow))),0,IF(OFFSET(PLE!$G$14,$M22,BY$13)="",10^12,OFFSET(PLE!$G$14,$M22,BY$13))))</f>
        <v>1000000000000</v>
      </c>
      <c r="BZ22" s="216">
        <f ca="1">IF($D22&lt;&gt;"Serviço",0,IF(OR(AND(AUTOEVENTO="Manual",$M22=1),$M22&gt;(ROW(PLE.lastrow)-ROW(PLE.firstrow))),0,IF(OFFSET(PLE!$G$14,$M22,BZ$13)="",10^12,OFFSET(PLE!$G$14,$M22,BZ$13))))</f>
        <v>1000000000000</v>
      </c>
      <c r="CA22" s="216">
        <f ca="1">IF($D22&lt;&gt;"Serviço",0,IF(OR(AND(AUTOEVENTO="Manual",$M22=1),$M22&gt;(ROW(PLE.lastrow)-ROW(PLE.firstrow))),0,IF(OFFSET(PLE!$G$14,$M22,CA$13)="",10^12,OFFSET(PLE!$G$14,$M22,CA$13))))</f>
        <v>1000000000000</v>
      </c>
      <c r="CB22" s="216">
        <f ca="1">IF($D22&lt;&gt;"Serviço",0,IF(OR(AND(AUTOEVENTO="Manual",$M22=1),$M22&gt;(ROW(PLE.lastrow)-ROW(PLE.firstrow))),0,IF(OFFSET(PLE!$G$14,$M22,CB$13)="",10^12,OFFSET(PLE!$G$14,$M22,CB$13))))</f>
        <v>1000000000000</v>
      </c>
      <c r="CC22" s="216">
        <f ca="1">IF($D22&lt;&gt;"Serviço",0,IF(OR(AND(AUTOEVENTO="Manual",$M22=1),$M22&gt;(ROW(PLE.lastrow)-ROW(PLE.firstrow))),0,IF(OFFSET(PLE!$G$14,$M22,CC$13)="",10^12,OFFSET(PLE!$G$14,$M22,CC$13))))</f>
        <v>1000000000000</v>
      </c>
      <c r="CD22" s="216">
        <f ca="1">IF($D22&lt;&gt;"Serviço",0,IF(OR(AND(AUTOEVENTO="Manual",$M22=1),$M22&gt;(ROW(PLE.lastrow)-ROW(PLE.firstrow))),0,IF(OFFSET(PLE!$G$14,$M22,CD$13)="",10^12,OFFSET(PLE!$G$14,$M22,CD$13))))</f>
        <v>1000000000000</v>
      </c>
      <c r="CE22" s="216">
        <f ca="1">IF($D22&lt;&gt;"Serviço",0,IF(OR(AND(AUTOEVENTO="Manual",$M22=1),$M22&gt;(ROW(PLE.lastrow)-ROW(PLE.firstrow))),0,IF(OFFSET(PLE!$G$14,$M22,CE$13)="",10^12,OFFSET(PLE!$G$14,$M22,CE$13))))</f>
        <v>1000000000000</v>
      </c>
      <c r="CF22" s="216">
        <f ca="1">IF($D22&lt;&gt;"Serviço",0,IF(OR(AND(AUTOEVENTO="Manual",$M22=1),$M22&gt;(ROW(PLE.lastrow)-ROW(PLE.firstrow))),0,IF(OFFSET(PLE!$G$14,$M22,CF$13)="",10^12,OFFSET(PLE!$G$14,$M22,CF$13))))</f>
        <v>1000000000000</v>
      </c>
      <c r="CG22" s="216">
        <f ca="1">IF($D22&lt;&gt;"Serviço",0,IF(OR(AND(AUTOEVENTO="Manual",$M22=1),$M22&gt;(ROW(PLE.lastrow)-ROW(PLE.firstrow))),0,IF(OFFSET(PLE!$G$14,$M22,CG$13)="",10^12,OFFSET(PLE!$G$14,$M22,CG$13))))</f>
        <v>1000000000000</v>
      </c>
      <c r="CH22" s="216">
        <f ca="1">IF($D22&lt;&gt;"Serviço",0,IF(OR(AND(AUTOEVENTO="Manual",$M22=1),$M22&gt;(ROW(PLE.lastrow)-ROW(PLE.firstrow))),0,IF(OFFSET(PLE!$G$14,$M22,CH$13)="",10^12,OFFSET(PLE!$G$14,$M22,CH$13))))</f>
        <v>1000000000000</v>
      </c>
      <c r="CI22" s="216">
        <f ca="1">IF($D22&lt;&gt;"Serviço",0,IF(OR(AND(AUTOEVENTO="Manual",$M22=1),$M22&gt;(ROW(PLE.lastrow)-ROW(PLE.firstrow))),0,IF(OFFSET(PLE!$G$14,$M22,CI$13)="",10^12,OFFSET(PLE!$G$14,$M22,CI$13))))</f>
        <v>1000000000000</v>
      </c>
      <c r="CJ22" s="216">
        <f ca="1">IF($D22&lt;&gt;"Serviço",0,IF(OR(AND(AUTOEVENTO="Manual",$M22=1),$M22&gt;(ROW(PLE.lastrow)-ROW(PLE.firstrow))),0,IF(OFFSET(PLE!$G$14,$M22,CJ$13)="",10^12,OFFSET(PLE!$G$14,$M22,CJ$13))))</f>
        <v>1000000000000</v>
      </c>
      <c r="CK22" s="216">
        <f ca="1">IF($D22&lt;&gt;"Serviço",0,IF(OR(AND(AUTOEVENTO="Manual",$M22=1),$M22&gt;(ROW(PLE.lastrow)-ROW(PLE.firstrow))),0,IF(OFFSET(PLE!$G$14,$M22,CK$13)="",10^12,OFFSET(PLE!$G$14,$M22,CK$13))))</f>
        <v>1000000000000</v>
      </c>
      <c r="CL22" s="216">
        <f ca="1">IF($D22&lt;&gt;"Serviço",0,IF(OR(AND(AUTOEVENTO="Manual",$M22=1),$M22&gt;(ROW(PLE.lastrow)-ROW(PLE.firstrow))),0,IF(OFFSET(PLE!$G$14,$M22,CL$13)="",10^12,OFFSET(PLE!$G$14,$M22,CL$13))))</f>
        <v>1000000000000</v>
      </c>
      <c r="CM22" s="216">
        <f ca="1">IF($D22&lt;&gt;"Serviço",0,IF(OR(AND(AUTOEVENTO="Manual",$M22=1),$M22&gt;(ROW(PLE.lastrow)-ROW(PLE.firstrow))),0,IF(OFFSET(PLE!$G$14,$M22,CM$13)="",10^12,OFFSET(PLE!$G$14,$M22,CM$13))))</f>
        <v>1000000000000</v>
      </c>
    </row>
    <row r="23" spans="1:91" ht="38.25" customHeight="1" x14ac:dyDescent="0.25">
      <c r="A23" s="9">
        <f t="shared" ca="1" si="9"/>
        <v>0</v>
      </c>
      <c r="B23" s="9" t="str">
        <f ca="1">OFFSET(ORÇAMENTO!C$15,ROW(B23)-ROW(B$15),0)</f>
        <v>S</v>
      </c>
      <c r="C23" s="9" t="str">
        <f ca="1">OFFSET(ORÇAMENTO!L$15,ROW(C23)-ROW(C$15),0)</f>
        <v/>
      </c>
      <c r="D23" s="145" t="str">
        <f ca="1">OFFSET(ORÇAMENTO!N$15,ROW(D23)-ROW(D$15),0)</f>
        <v>Serviço</v>
      </c>
      <c r="E23" s="205" t="str">
        <f ca="1">OFFSET(ORÇAMENTO!O$15,ROW(E23)-ROW(E$15),0)</f>
        <v>-</v>
      </c>
      <c r="F23" s="206" t="str">
        <f ca="1">OFFSET(ORÇAMENTO!R$15,ROW(F23)-ROW(F$15),0)</f>
        <v>(abra o arquivo 'Referência 05-2024.xls)</v>
      </c>
      <c r="G23" s="207" t="str">
        <f ca="1">IF($D23&lt;&gt;"Serviço","",OFFSET(ORÇAMENTO!S$15,ROW(G23)-ROW(G$15),0))</f>
        <v>-</v>
      </c>
      <c r="H23" s="151">
        <f ca="1">IF($D23&lt;&gt;"Serviço",0,IF(ACOMPANHAMENTO="BM",ROUND(OFFSET(ORÇAMENTO!AJ$15,ROW(H23)-ROW(H$15),0),15-13*ORÇAMENTO!$AF$7),SUMPRODUCT(($Q$12:$AI$12&lt;&gt;"")*ROUND($Q23:$AI23,15-13*ORÇAMENTO!$AF$7))))</f>
        <v>20</v>
      </c>
      <c r="I23" s="650"/>
      <c r="K23" s="208"/>
      <c r="L23" s="209" t="s">
        <v>257</v>
      </c>
      <c r="M23" s="210">
        <f ca="1">IF($D23&lt;&gt;"Serviço","",IF(AUTOEVENTO="manual",$A23,IF(ISERROR(MATCH($A23,$A$15:OFFSET($A23,-1,0),0)),MAX($M$15:OFFSET(M23,-1,0))+1,INDEX($M$15:OFFSET(M23,-1,0),MATCH($A23,$A$15:OFFSET($A23,-1,0),0)))))</f>
        <v>0</v>
      </c>
      <c r="N23" s="211" t="str">
        <f ca="1">IF($D23&lt;&gt;"Serviço","",IF(AUTOEVENTO="Manual",IF($A23=0,"&lt;-- defina o número do agrupador",OFFSET(EVENTOS!$D$14,$A23,0)),OFFSET($F$15,$A23,0)))</f>
        <v>&lt;-- defina o número do agrupador</v>
      </c>
      <c r="O23" s="212"/>
      <c r="Q23" s="212"/>
      <c r="R23" s="213"/>
      <c r="S23" s="213"/>
      <c r="T23" s="213"/>
      <c r="U23" s="213"/>
      <c r="V23" s="213"/>
      <c r="W23" s="213"/>
      <c r="X23" s="213"/>
      <c r="Y23" s="213"/>
      <c r="Z23" s="214"/>
      <c r="AA23" s="213"/>
      <c r="AB23" s="213"/>
      <c r="AC23" s="213"/>
      <c r="AD23" s="213"/>
      <c r="AE23" s="213"/>
      <c r="AF23" s="213"/>
      <c r="AG23" s="213"/>
      <c r="AH23" s="214"/>
      <c r="AJ23" s="631">
        <f ca="1">IF(AND($D23="Serviço",AJ$12&lt;&gt;0,$H23&gt;0,OR(AUTOEVENTO&lt;&gt;"manual",$M23&lt;&gt;1)),ROUND(OFFSET($P23,0,AJ$13),15-13*ORÇAMENTO!$AF$7)/$H23*OFFSET(ORÇAMENTO!$X$15,ROW(AJ23)-ROW(AJ$15),0),0)</f>
        <v>0</v>
      </c>
      <c r="AK23" s="632">
        <f ca="1">IF(AND($D23="Serviço",AK$12&lt;&gt;0,$H23&gt;0,OR(AUTOEVENTO&lt;&gt;"manual",$M23&lt;&gt;1)),ROUND(OFFSET($P23,0,AK$13),15-13*ORÇAMENTO!$AF$7)/$H23*OFFSET(ORÇAMENTO!$X$15,ROW(AK23)-ROW(AK$15),0),0)</f>
        <v>0</v>
      </c>
      <c r="AL23" s="632">
        <f ca="1">IF(AND($D23="Serviço",AL$12&lt;&gt;0,$H23&gt;0,OR(AUTOEVENTO&lt;&gt;"manual",$M23&lt;&gt;1)),ROUND(OFFSET($P23,0,AL$13),15-13*ORÇAMENTO!$AF$7)/$H23*OFFSET(ORÇAMENTO!$X$15,ROW(AL23)-ROW(AL$15),0),0)</f>
        <v>0</v>
      </c>
      <c r="AM23" s="632">
        <f ca="1">IF(AND($D23="Serviço",AM$12&lt;&gt;0,$H23&gt;0,OR(AUTOEVENTO&lt;&gt;"manual",$M23&lt;&gt;1)),ROUND(OFFSET($P23,0,AM$13),15-13*ORÇAMENTO!$AF$7)/$H23*OFFSET(ORÇAMENTO!$X$15,ROW(AM23)-ROW(AM$15),0),0)</f>
        <v>0</v>
      </c>
      <c r="AN23" s="632">
        <f ca="1">IF(AND($D23="Serviço",AN$12&lt;&gt;0,$H23&gt;0,OR(AUTOEVENTO&lt;&gt;"manual",$M23&lt;&gt;1)),ROUND(OFFSET($P23,0,AN$13),15-13*ORÇAMENTO!$AF$7)/$H23*OFFSET(ORÇAMENTO!$X$15,ROW(AN23)-ROW(AN$15),0),0)</f>
        <v>0</v>
      </c>
      <c r="AO23" s="632">
        <f ca="1">IF(AND($D23="Serviço",AO$12&lt;&gt;0,$H23&gt;0,OR(AUTOEVENTO&lt;&gt;"manual",$M23&lt;&gt;1)),ROUND(OFFSET($P23,0,AO$13),15-13*ORÇAMENTO!$AF$7)/$H23*OFFSET(ORÇAMENTO!$X$15,ROW(AO23)-ROW(AO$15),0),0)</f>
        <v>0</v>
      </c>
      <c r="AP23" s="632">
        <f ca="1">IF(AND($D23="Serviço",AP$12&lt;&gt;0,$H23&gt;0,OR(AUTOEVENTO&lt;&gt;"manual",$M23&lt;&gt;1)),ROUND(OFFSET($P23,0,AP$13),15-13*ORÇAMENTO!$AF$7)/$H23*OFFSET(ORÇAMENTO!$X$15,ROW(AP23)-ROW(AP$15),0),0)</f>
        <v>0</v>
      </c>
      <c r="AQ23" s="632">
        <f ca="1">IF(AND($D23="Serviço",AQ$12&lt;&gt;0,$H23&gt;0,OR(AUTOEVENTO&lt;&gt;"manual",$M23&lt;&gt;1)),ROUND(OFFSET($P23,0,AQ$13),15-13*ORÇAMENTO!$AF$7)/$H23*OFFSET(ORÇAMENTO!$X$15,ROW(AQ23)-ROW(AQ$15),0),0)</f>
        <v>0</v>
      </c>
      <c r="AR23" s="632">
        <f ca="1">IF(AND($D23="Serviço",AR$12&lt;&gt;0,$H23&gt;0,OR(AUTOEVENTO&lt;&gt;"manual",$M23&lt;&gt;1)),ROUND(OFFSET($P23,0,AR$13),15-13*ORÇAMENTO!$AF$7)/$H23*OFFSET(ORÇAMENTO!$X$15,ROW(AR23)-ROW(AR$15),0),0)</f>
        <v>0</v>
      </c>
      <c r="AS23" s="633">
        <f ca="1">IF(AND($D23="Serviço",AS$12&lt;&gt;0,$H23&gt;0,OR(AUTOEVENTO&lt;&gt;"manual",$M23&lt;&gt;1)),ROUND(OFFSET($P23,0,AS$13),15-13*ORÇAMENTO!$AF$7)/$H23*OFFSET(ORÇAMENTO!$X$15,ROW(AS23)-ROW(AS$15),0),0)</f>
        <v>0</v>
      </c>
      <c r="AT23" s="632">
        <f ca="1">IF(AND($D23="Serviço",AT$12&lt;&gt;0,$H23&gt;0,OR(AUTOEVENTO&lt;&gt;"manual",$M23&lt;&gt;1)),ROUND(OFFSET($P23,0,AT$13),15-13*ORÇAMENTO!$AF$7)/$H23*OFFSET(ORÇAMENTO!$X$15,ROW(AT23)-ROW(AT$15),0),0)</f>
        <v>0</v>
      </c>
      <c r="AU23" s="632">
        <f ca="1">IF(AND($D23="Serviço",AU$12&lt;&gt;0,$H23&gt;0,OR(AUTOEVENTO&lt;&gt;"manual",$M23&lt;&gt;1)),ROUND(OFFSET($P23,0,AU$13),15-13*ORÇAMENTO!$AF$7)/$H23*OFFSET(ORÇAMENTO!$X$15,ROW(AU23)-ROW(AU$15),0),0)</f>
        <v>0</v>
      </c>
      <c r="AV23" s="632">
        <f ca="1">IF(AND($D23="Serviço",AV$12&lt;&gt;0,$H23&gt;0,OR(AUTOEVENTO&lt;&gt;"manual",$M23&lt;&gt;1)),ROUND(OFFSET($P23,0,AV$13),15-13*ORÇAMENTO!$AF$7)/$H23*OFFSET(ORÇAMENTO!$X$15,ROW(AV23)-ROW(AV$15),0),0)</f>
        <v>0</v>
      </c>
      <c r="AW23" s="632">
        <f ca="1">IF(AND($D23="Serviço",AW$12&lt;&gt;0,$H23&gt;0,OR(AUTOEVENTO&lt;&gt;"manual",$M23&lt;&gt;1)),ROUND(OFFSET($P23,0,AW$13),15-13*ORÇAMENTO!$AF$7)/$H23*OFFSET(ORÇAMENTO!$X$15,ROW(AW23)-ROW(AW$15),0),0)</f>
        <v>0</v>
      </c>
      <c r="AX23" s="632">
        <f ca="1">IF(AND($D23="Serviço",AX$12&lt;&gt;0,$H23&gt;0,OR(AUTOEVENTO&lt;&gt;"manual",$M23&lt;&gt;1)),ROUND(OFFSET($P23,0,AX$13),15-13*ORÇAMENTO!$AF$7)/$H23*OFFSET(ORÇAMENTO!$X$15,ROW(AX23)-ROW(AX$15),0),0)</f>
        <v>0</v>
      </c>
      <c r="AY23" s="632">
        <f ca="1">IF(AND($D23="Serviço",AY$12&lt;&gt;0,$H23&gt;0,OR(AUTOEVENTO&lt;&gt;"manual",$M23&lt;&gt;1)),ROUND(OFFSET($P23,0,AY$13),15-13*ORÇAMENTO!$AF$7)/$H23*OFFSET(ORÇAMENTO!$X$15,ROW(AY23)-ROW(AY$15),0),0)</f>
        <v>0</v>
      </c>
      <c r="AZ23" s="632">
        <f ca="1">IF(AND($D23="Serviço",AZ$12&lt;&gt;0,$H23&gt;0,OR(AUTOEVENTO&lt;&gt;"manual",$M23&lt;&gt;1)),ROUND(OFFSET($P23,0,AZ$13),15-13*ORÇAMENTO!$AF$7)/$H23*OFFSET(ORÇAMENTO!$X$15,ROW(AZ23)-ROW(AZ$15),0),0)</f>
        <v>0</v>
      </c>
      <c r="BA23" s="633">
        <f ca="1">IF(AND($D23="Serviço",BA$12&lt;&gt;0,$H23&gt;0,OR(AUTOEVENTO&lt;&gt;"manual",$M23&lt;&gt;1)),ROUND(OFFSET($P23,0,BA$13),15-13*ORÇAMENTO!$AF$7)/$H23*OFFSET(ORÇAMENTO!$X$15,ROW(BA23)-ROW(BA$15),0),0)</f>
        <v>0</v>
      </c>
      <c r="BC23" s="215">
        <f ca="1">IF($D23&lt;&gt;"Serviço",0,IF(AND(AUTOEVENTO="Manual",$M23=1),0,IF(OFFSET(CRONOPLE!$F$14,$M23,BC$13)="",10^12,OFFSET(CRONOPLE!$F$14,$M23,BC$13))))</f>
        <v>1000000000000</v>
      </c>
      <c r="BD23" s="215">
        <f ca="1">IF($D23&lt;&gt;"Serviço",0,IF(AND(AUTOEVENTO="Manual",$M23=1),0,IF(OFFSET(CRONOPLE!$F$14,$M23,BD$13)="",10^12,OFFSET(CRONOPLE!$F$14,$M23,BD$13))))</f>
        <v>1000000000000</v>
      </c>
      <c r="BE23" s="215">
        <f ca="1">IF($D23&lt;&gt;"Serviço",0,IF(AND(AUTOEVENTO="Manual",$M23=1),0,IF(OFFSET(CRONOPLE!$F$14,$M23,BE$13)="",10^12,OFFSET(CRONOPLE!$F$14,$M23,BE$13))))</f>
        <v>1000000000000</v>
      </c>
      <c r="BF23" s="215">
        <f ca="1">IF($D23&lt;&gt;"Serviço",0,IF(AND(AUTOEVENTO="Manual",$M23=1),0,IF(OFFSET(CRONOPLE!$F$14,$M23,BF$13)="",10^12,OFFSET(CRONOPLE!$F$14,$M23,BF$13))))</f>
        <v>1000000000000</v>
      </c>
      <c r="BG23" s="215">
        <f ca="1">IF($D23&lt;&gt;"Serviço",0,IF(AND(AUTOEVENTO="Manual",$M23=1),0,IF(OFFSET(CRONOPLE!$F$14,$M23,BG$13)="",10^12,OFFSET(CRONOPLE!$F$14,$M23,BG$13))))</f>
        <v>1000000000000</v>
      </c>
      <c r="BH23" s="215">
        <f ca="1">IF($D23&lt;&gt;"Serviço",0,IF(AND(AUTOEVENTO="Manual",$M23=1),0,IF(OFFSET(CRONOPLE!$F$14,$M23,BH$13)="",10^12,OFFSET(CRONOPLE!$F$14,$M23,BH$13))))</f>
        <v>1000000000000</v>
      </c>
      <c r="BI23" s="215">
        <f ca="1">IF($D23&lt;&gt;"Serviço",0,IF(AND(AUTOEVENTO="Manual",$M23=1),0,IF(OFFSET(CRONOPLE!$F$14,$M23,BI$13)="",10^12,OFFSET(CRONOPLE!$F$14,$M23,BI$13))))</f>
        <v>1000000000000</v>
      </c>
      <c r="BJ23" s="215">
        <f ca="1">IF($D23&lt;&gt;"Serviço",0,IF(AND(AUTOEVENTO="Manual",$M23=1),0,IF(OFFSET(CRONOPLE!$F$14,$M23,BJ$13)="",10^12,OFFSET(CRONOPLE!$F$14,$M23,BJ$13))))</f>
        <v>1000000000000</v>
      </c>
      <c r="BK23" s="215">
        <f ca="1">IF($D23&lt;&gt;"Serviço",0,IF(AND(AUTOEVENTO="Manual",$M23=1),0,IF(OFFSET(CRONOPLE!$F$14,$M23,BK$13)="",10^12,OFFSET(CRONOPLE!$F$14,$M23,BK$13))))</f>
        <v>1000000000000</v>
      </c>
      <c r="BL23" s="215">
        <f ca="1">IF($D23&lt;&gt;"Serviço",0,IF(AND(AUTOEVENTO="Manual",$M23=1),0,IF(OFFSET(CRONOPLE!$F$14,$M23,BL$13)="",10^12,OFFSET(CRONOPLE!$F$14,$M23,BL$13))))</f>
        <v>1000000000000</v>
      </c>
      <c r="BM23" s="215">
        <f ca="1">IF($D23&lt;&gt;"Serviço",0,IF(AND(AUTOEVENTO="Manual",$M23=1),0,IF(OFFSET(CRONOPLE!$F$14,$M23,BM$13)="",10^12,OFFSET(CRONOPLE!$F$14,$M23,BM$13))))</f>
        <v>1000000000000</v>
      </c>
      <c r="BN23" s="215">
        <f ca="1">IF($D23&lt;&gt;"Serviço",0,IF(AND(AUTOEVENTO="Manual",$M23=1),0,IF(OFFSET(CRONOPLE!$F$14,$M23,BN$13)="",10^12,OFFSET(CRONOPLE!$F$14,$M23,BN$13))))</f>
        <v>1000000000000</v>
      </c>
      <c r="BO23" s="215">
        <f ca="1">IF($D23&lt;&gt;"Serviço",0,IF(AND(AUTOEVENTO="Manual",$M23=1),0,IF(OFFSET(CRONOPLE!$F$14,$M23,BO$13)="",10^12,OFFSET(CRONOPLE!$F$14,$M23,BO$13))))</f>
        <v>1000000000000</v>
      </c>
      <c r="BP23" s="215">
        <f ca="1">IF($D23&lt;&gt;"Serviço",0,IF(AND(AUTOEVENTO="Manual",$M23=1),0,IF(OFFSET(CRONOPLE!$F$14,$M23,BP$13)="",10^12,OFFSET(CRONOPLE!$F$14,$M23,BP$13))))</f>
        <v>1000000000000</v>
      </c>
      <c r="BQ23" s="215">
        <f ca="1">IF($D23&lt;&gt;"Serviço",0,IF(AND(AUTOEVENTO="Manual",$M23=1),0,IF(OFFSET(CRONOPLE!$F$14,$M23,BQ$13)="",10^12,OFFSET(CRONOPLE!$F$14,$M23,BQ$13))))</f>
        <v>1000000000000</v>
      </c>
      <c r="BR23" s="215">
        <f ca="1">IF($D23&lt;&gt;"Serviço",0,IF(AND(AUTOEVENTO="Manual",$M23=1),0,IF(OFFSET(CRONOPLE!$F$14,$M23,BR$13)="",10^12,OFFSET(CRONOPLE!$F$14,$M23,BR$13))))</f>
        <v>1000000000000</v>
      </c>
      <c r="BS23" s="215">
        <f ca="1">IF($D23&lt;&gt;"Serviço",0,IF(AND(AUTOEVENTO="Manual",$M23=1),0,IF(OFFSET(CRONOPLE!$F$14,$M23,BS$13)="",10^12,OFFSET(CRONOPLE!$F$14,$M23,BS$13))))</f>
        <v>1000000000000</v>
      </c>
      <c r="BT23" s="215">
        <f ca="1">IF($D23&lt;&gt;"Serviço",0,IF(AND(AUTOEVENTO="Manual",$M23=1),0,IF(OFFSET(CRONOPLE!$F$14,$M23,BT$13)="",10^12,OFFSET(CRONOPLE!$F$14,$M23,BT$13))))</f>
        <v>1000000000000</v>
      </c>
      <c r="BV23" s="216">
        <f ca="1">IF($D23&lt;&gt;"Serviço",0,IF(OR(AND(AUTOEVENTO="Manual",$M23=1),$M23&gt;(ROW(PLE.lastrow)-ROW(PLE.firstrow))),0,IF(OFFSET(PLE!$G$14,$M23,BV$13)="",10^12,OFFSET(PLE!$G$14,$M23,BV$13))))</f>
        <v>1000000000000</v>
      </c>
      <c r="BW23" s="216">
        <f ca="1">IF($D23&lt;&gt;"Serviço",0,IF(OR(AND(AUTOEVENTO="Manual",$M23=1),$M23&gt;(ROW(PLE.lastrow)-ROW(PLE.firstrow))),0,IF(OFFSET(PLE!$G$14,$M23,BW$13)="",10^12,OFFSET(PLE!$G$14,$M23,BW$13))))</f>
        <v>1000000000000</v>
      </c>
      <c r="BX23" s="216">
        <f ca="1">IF($D23&lt;&gt;"Serviço",0,IF(OR(AND(AUTOEVENTO="Manual",$M23=1),$M23&gt;(ROW(PLE.lastrow)-ROW(PLE.firstrow))),0,IF(OFFSET(PLE!$G$14,$M23,BX$13)="",10^12,OFFSET(PLE!$G$14,$M23,BX$13))))</f>
        <v>1000000000000</v>
      </c>
      <c r="BY23" s="216">
        <f ca="1">IF($D23&lt;&gt;"Serviço",0,IF(OR(AND(AUTOEVENTO="Manual",$M23=1),$M23&gt;(ROW(PLE.lastrow)-ROW(PLE.firstrow))),0,IF(OFFSET(PLE!$G$14,$M23,BY$13)="",10^12,OFFSET(PLE!$G$14,$M23,BY$13))))</f>
        <v>1000000000000</v>
      </c>
      <c r="BZ23" s="216">
        <f ca="1">IF($D23&lt;&gt;"Serviço",0,IF(OR(AND(AUTOEVENTO="Manual",$M23=1),$M23&gt;(ROW(PLE.lastrow)-ROW(PLE.firstrow))),0,IF(OFFSET(PLE!$G$14,$M23,BZ$13)="",10^12,OFFSET(PLE!$G$14,$M23,BZ$13))))</f>
        <v>1000000000000</v>
      </c>
      <c r="CA23" s="216">
        <f ca="1">IF($D23&lt;&gt;"Serviço",0,IF(OR(AND(AUTOEVENTO="Manual",$M23=1),$M23&gt;(ROW(PLE.lastrow)-ROW(PLE.firstrow))),0,IF(OFFSET(PLE!$G$14,$M23,CA$13)="",10^12,OFFSET(PLE!$G$14,$M23,CA$13))))</f>
        <v>1000000000000</v>
      </c>
      <c r="CB23" s="216">
        <f ca="1">IF($D23&lt;&gt;"Serviço",0,IF(OR(AND(AUTOEVENTO="Manual",$M23=1),$M23&gt;(ROW(PLE.lastrow)-ROW(PLE.firstrow))),0,IF(OFFSET(PLE!$G$14,$M23,CB$13)="",10^12,OFFSET(PLE!$G$14,$M23,CB$13))))</f>
        <v>1000000000000</v>
      </c>
      <c r="CC23" s="216">
        <f ca="1">IF($D23&lt;&gt;"Serviço",0,IF(OR(AND(AUTOEVENTO="Manual",$M23=1),$M23&gt;(ROW(PLE.lastrow)-ROW(PLE.firstrow))),0,IF(OFFSET(PLE!$G$14,$M23,CC$13)="",10^12,OFFSET(PLE!$G$14,$M23,CC$13))))</f>
        <v>1000000000000</v>
      </c>
      <c r="CD23" s="216">
        <f ca="1">IF($D23&lt;&gt;"Serviço",0,IF(OR(AND(AUTOEVENTO="Manual",$M23=1),$M23&gt;(ROW(PLE.lastrow)-ROW(PLE.firstrow))),0,IF(OFFSET(PLE!$G$14,$M23,CD$13)="",10^12,OFFSET(PLE!$G$14,$M23,CD$13))))</f>
        <v>1000000000000</v>
      </c>
      <c r="CE23" s="216">
        <f ca="1">IF($D23&lt;&gt;"Serviço",0,IF(OR(AND(AUTOEVENTO="Manual",$M23=1),$M23&gt;(ROW(PLE.lastrow)-ROW(PLE.firstrow))),0,IF(OFFSET(PLE!$G$14,$M23,CE$13)="",10^12,OFFSET(PLE!$G$14,$M23,CE$13))))</f>
        <v>1000000000000</v>
      </c>
      <c r="CF23" s="216">
        <f ca="1">IF($D23&lt;&gt;"Serviço",0,IF(OR(AND(AUTOEVENTO="Manual",$M23=1),$M23&gt;(ROW(PLE.lastrow)-ROW(PLE.firstrow))),0,IF(OFFSET(PLE!$G$14,$M23,CF$13)="",10^12,OFFSET(PLE!$G$14,$M23,CF$13))))</f>
        <v>1000000000000</v>
      </c>
      <c r="CG23" s="216">
        <f ca="1">IF($D23&lt;&gt;"Serviço",0,IF(OR(AND(AUTOEVENTO="Manual",$M23=1),$M23&gt;(ROW(PLE.lastrow)-ROW(PLE.firstrow))),0,IF(OFFSET(PLE!$G$14,$M23,CG$13)="",10^12,OFFSET(PLE!$G$14,$M23,CG$13))))</f>
        <v>1000000000000</v>
      </c>
      <c r="CH23" s="216">
        <f ca="1">IF($D23&lt;&gt;"Serviço",0,IF(OR(AND(AUTOEVENTO="Manual",$M23=1),$M23&gt;(ROW(PLE.lastrow)-ROW(PLE.firstrow))),0,IF(OFFSET(PLE!$G$14,$M23,CH$13)="",10^12,OFFSET(PLE!$G$14,$M23,CH$13))))</f>
        <v>1000000000000</v>
      </c>
      <c r="CI23" s="216">
        <f ca="1">IF($D23&lt;&gt;"Serviço",0,IF(OR(AND(AUTOEVENTO="Manual",$M23=1),$M23&gt;(ROW(PLE.lastrow)-ROW(PLE.firstrow))),0,IF(OFFSET(PLE!$G$14,$M23,CI$13)="",10^12,OFFSET(PLE!$G$14,$M23,CI$13))))</f>
        <v>1000000000000</v>
      </c>
      <c r="CJ23" s="216">
        <f ca="1">IF($D23&lt;&gt;"Serviço",0,IF(OR(AND(AUTOEVENTO="Manual",$M23=1),$M23&gt;(ROW(PLE.lastrow)-ROW(PLE.firstrow))),0,IF(OFFSET(PLE!$G$14,$M23,CJ$13)="",10^12,OFFSET(PLE!$G$14,$M23,CJ$13))))</f>
        <v>1000000000000</v>
      </c>
      <c r="CK23" s="216">
        <f ca="1">IF($D23&lt;&gt;"Serviço",0,IF(OR(AND(AUTOEVENTO="Manual",$M23=1),$M23&gt;(ROW(PLE.lastrow)-ROW(PLE.firstrow))),0,IF(OFFSET(PLE!$G$14,$M23,CK$13)="",10^12,OFFSET(PLE!$G$14,$M23,CK$13))))</f>
        <v>1000000000000</v>
      </c>
      <c r="CL23" s="216">
        <f ca="1">IF($D23&lt;&gt;"Serviço",0,IF(OR(AND(AUTOEVENTO="Manual",$M23=1),$M23&gt;(ROW(PLE.lastrow)-ROW(PLE.firstrow))),0,IF(OFFSET(PLE!$G$14,$M23,CL$13)="",10^12,OFFSET(PLE!$G$14,$M23,CL$13))))</f>
        <v>1000000000000</v>
      </c>
      <c r="CM23" s="216">
        <f ca="1">IF($D23&lt;&gt;"Serviço",0,IF(OR(AND(AUTOEVENTO="Manual",$M23=1),$M23&gt;(ROW(PLE.lastrow)-ROW(PLE.firstrow))),0,IF(OFFSET(PLE!$G$14,$M23,CM$13)="",10^12,OFFSET(PLE!$G$14,$M23,CM$13))))</f>
        <v>1000000000000</v>
      </c>
    </row>
    <row r="24" spans="1:91" ht="38.25" customHeight="1" x14ac:dyDescent="0.25">
      <c r="A24" s="9">
        <f t="shared" ca="1" si="9"/>
        <v>0</v>
      </c>
      <c r="B24" s="9" t="str">
        <f ca="1">OFFSET(ORÇAMENTO!C$15,ROW(B24)-ROW(B$15),0)</f>
        <v>S</v>
      </c>
      <c r="C24" s="9" t="str">
        <f ca="1">OFFSET(ORÇAMENTO!L$15,ROW(C24)-ROW(C$15),0)</f>
        <v/>
      </c>
      <c r="D24" s="145" t="str">
        <f ca="1">OFFSET(ORÇAMENTO!N$15,ROW(D24)-ROW(D$15),0)</f>
        <v>Serviço</v>
      </c>
      <c r="E24" s="205" t="str">
        <f ca="1">OFFSET(ORÇAMENTO!O$15,ROW(E24)-ROW(E$15),0)</f>
        <v>-</v>
      </c>
      <c r="F24" s="206" t="str">
        <f ca="1">OFFSET(ORÇAMENTO!R$15,ROW(F24)-ROW(F$15),0)</f>
        <v>(abra o arquivo 'Referência 05-2024.xls)</v>
      </c>
      <c r="G24" s="207" t="str">
        <f ca="1">IF($D24&lt;&gt;"Serviço","",OFFSET(ORÇAMENTO!S$15,ROW(G24)-ROW(G$15),0))</f>
        <v>-</v>
      </c>
      <c r="H24" s="151">
        <f ca="1">IF($D24&lt;&gt;"Serviço",0,IF(ACOMPANHAMENTO="BM",ROUND(OFFSET(ORÇAMENTO!AJ$15,ROW(H24)-ROW(H$15),0),15-13*ORÇAMENTO!$AF$7),SUMPRODUCT(($Q$12:$AI$12&lt;&gt;"")*ROUND($Q24:$AI24,15-13*ORÇAMENTO!$AF$7))))</f>
        <v>20</v>
      </c>
      <c r="I24" s="650"/>
      <c r="K24" s="208"/>
      <c r="L24" s="209" t="s">
        <v>257</v>
      </c>
      <c r="M24" s="210">
        <f ca="1">IF($D24&lt;&gt;"Serviço","",IF(AUTOEVENTO="manual",$A24,IF(ISERROR(MATCH($A24,$A$15:OFFSET($A24,-1,0),0)),MAX($M$15:OFFSET(M24,-1,0))+1,INDEX($M$15:OFFSET(M24,-1,0),MATCH($A24,$A$15:OFFSET($A24,-1,0),0)))))</f>
        <v>0</v>
      </c>
      <c r="N24" s="211" t="str">
        <f ca="1">IF($D24&lt;&gt;"Serviço","",IF(AUTOEVENTO="Manual",IF($A24=0,"&lt;-- defina o número do agrupador",OFFSET(EVENTOS!$D$14,$A24,0)),OFFSET($F$15,$A24,0)))</f>
        <v>&lt;-- defina o número do agrupador</v>
      </c>
      <c r="O24" s="212"/>
      <c r="Q24" s="212"/>
      <c r="R24" s="213"/>
      <c r="S24" s="213"/>
      <c r="T24" s="213"/>
      <c r="U24" s="213"/>
      <c r="V24" s="213"/>
      <c r="W24" s="213"/>
      <c r="X24" s="213"/>
      <c r="Y24" s="213"/>
      <c r="Z24" s="214"/>
      <c r="AA24" s="213"/>
      <c r="AB24" s="213"/>
      <c r="AC24" s="213"/>
      <c r="AD24" s="213"/>
      <c r="AE24" s="213"/>
      <c r="AF24" s="213"/>
      <c r="AG24" s="213"/>
      <c r="AH24" s="214"/>
      <c r="AJ24" s="631">
        <f ca="1">IF(AND($D24="Serviço",AJ$12&lt;&gt;0,$H24&gt;0,OR(AUTOEVENTO&lt;&gt;"manual",$M24&lt;&gt;1)),ROUND(OFFSET($P24,0,AJ$13),15-13*ORÇAMENTO!$AF$7)/$H24*OFFSET(ORÇAMENTO!$X$15,ROW(AJ24)-ROW(AJ$15),0),0)</f>
        <v>0</v>
      </c>
      <c r="AK24" s="632">
        <f ca="1">IF(AND($D24="Serviço",AK$12&lt;&gt;0,$H24&gt;0,OR(AUTOEVENTO&lt;&gt;"manual",$M24&lt;&gt;1)),ROUND(OFFSET($P24,0,AK$13),15-13*ORÇAMENTO!$AF$7)/$H24*OFFSET(ORÇAMENTO!$X$15,ROW(AK24)-ROW(AK$15),0),0)</f>
        <v>0</v>
      </c>
      <c r="AL24" s="632">
        <f ca="1">IF(AND($D24="Serviço",AL$12&lt;&gt;0,$H24&gt;0,OR(AUTOEVENTO&lt;&gt;"manual",$M24&lt;&gt;1)),ROUND(OFFSET($P24,0,AL$13),15-13*ORÇAMENTO!$AF$7)/$H24*OFFSET(ORÇAMENTO!$X$15,ROW(AL24)-ROW(AL$15),0),0)</f>
        <v>0</v>
      </c>
      <c r="AM24" s="632">
        <f ca="1">IF(AND($D24="Serviço",AM$12&lt;&gt;0,$H24&gt;0,OR(AUTOEVENTO&lt;&gt;"manual",$M24&lt;&gt;1)),ROUND(OFFSET($P24,0,AM$13),15-13*ORÇAMENTO!$AF$7)/$H24*OFFSET(ORÇAMENTO!$X$15,ROW(AM24)-ROW(AM$15),0),0)</f>
        <v>0</v>
      </c>
      <c r="AN24" s="632">
        <f ca="1">IF(AND($D24="Serviço",AN$12&lt;&gt;0,$H24&gt;0,OR(AUTOEVENTO&lt;&gt;"manual",$M24&lt;&gt;1)),ROUND(OFFSET($P24,0,AN$13),15-13*ORÇAMENTO!$AF$7)/$H24*OFFSET(ORÇAMENTO!$X$15,ROW(AN24)-ROW(AN$15),0),0)</f>
        <v>0</v>
      </c>
      <c r="AO24" s="632">
        <f ca="1">IF(AND($D24="Serviço",AO$12&lt;&gt;0,$H24&gt;0,OR(AUTOEVENTO&lt;&gt;"manual",$M24&lt;&gt;1)),ROUND(OFFSET($P24,0,AO$13),15-13*ORÇAMENTO!$AF$7)/$H24*OFFSET(ORÇAMENTO!$X$15,ROW(AO24)-ROW(AO$15),0),0)</f>
        <v>0</v>
      </c>
      <c r="AP24" s="632">
        <f ca="1">IF(AND($D24="Serviço",AP$12&lt;&gt;0,$H24&gt;0,OR(AUTOEVENTO&lt;&gt;"manual",$M24&lt;&gt;1)),ROUND(OFFSET($P24,0,AP$13),15-13*ORÇAMENTO!$AF$7)/$H24*OFFSET(ORÇAMENTO!$X$15,ROW(AP24)-ROW(AP$15),0),0)</f>
        <v>0</v>
      </c>
      <c r="AQ24" s="632">
        <f ca="1">IF(AND($D24="Serviço",AQ$12&lt;&gt;0,$H24&gt;0,OR(AUTOEVENTO&lt;&gt;"manual",$M24&lt;&gt;1)),ROUND(OFFSET($P24,0,AQ$13),15-13*ORÇAMENTO!$AF$7)/$H24*OFFSET(ORÇAMENTO!$X$15,ROW(AQ24)-ROW(AQ$15),0),0)</f>
        <v>0</v>
      </c>
      <c r="AR24" s="632">
        <f ca="1">IF(AND($D24="Serviço",AR$12&lt;&gt;0,$H24&gt;0,OR(AUTOEVENTO&lt;&gt;"manual",$M24&lt;&gt;1)),ROUND(OFFSET($P24,0,AR$13),15-13*ORÇAMENTO!$AF$7)/$H24*OFFSET(ORÇAMENTO!$X$15,ROW(AR24)-ROW(AR$15),0),0)</f>
        <v>0</v>
      </c>
      <c r="AS24" s="633">
        <f ca="1">IF(AND($D24="Serviço",AS$12&lt;&gt;0,$H24&gt;0,OR(AUTOEVENTO&lt;&gt;"manual",$M24&lt;&gt;1)),ROUND(OFFSET($P24,0,AS$13),15-13*ORÇAMENTO!$AF$7)/$H24*OFFSET(ORÇAMENTO!$X$15,ROW(AS24)-ROW(AS$15),0),0)</f>
        <v>0</v>
      </c>
      <c r="AT24" s="632">
        <f ca="1">IF(AND($D24="Serviço",AT$12&lt;&gt;0,$H24&gt;0,OR(AUTOEVENTO&lt;&gt;"manual",$M24&lt;&gt;1)),ROUND(OFFSET($P24,0,AT$13),15-13*ORÇAMENTO!$AF$7)/$H24*OFFSET(ORÇAMENTO!$X$15,ROW(AT24)-ROW(AT$15),0),0)</f>
        <v>0</v>
      </c>
      <c r="AU24" s="632">
        <f ca="1">IF(AND($D24="Serviço",AU$12&lt;&gt;0,$H24&gt;0,OR(AUTOEVENTO&lt;&gt;"manual",$M24&lt;&gt;1)),ROUND(OFFSET($P24,0,AU$13),15-13*ORÇAMENTO!$AF$7)/$H24*OFFSET(ORÇAMENTO!$X$15,ROW(AU24)-ROW(AU$15),0),0)</f>
        <v>0</v>
      </c>
      <c r="AV24" s="632">
        <f ca="1">IF(AND($D24="Serviço",AV$12&lt;&gt;0,$H24&gt;0,OR(AUTOEVENTO&lt;&gt;"manual",$M24&lt;&gt;1)),ROUND(OFFSET($P24,0,AV$13),15-13*ORÇAMENTO!$AF$7)/$H24*OFFSET(ORÇAMENTO!$X$15,ROW(AV24)-ROW(AV$15),0),0)</f>
        <v>0</v>
      </c>
      <c r="AW24" s="632">
        <f ca="1">IF(AND($D24="Serviço",AW$12&lt;&gt;0,$H24&gt;0,OR(AUTOEVENTO&lt;&gt;"manual",$M24&lt;&gt;1)),ROUND(OFFSET($P24,0,AW$13),15-13*ORÇAMENTO!$AF$7)/$H24*OFFSET(ORÇAMENTO!$X$15,ROW(AW24)-ROW(AW$15),0),0)</f>
        <v>0</v>
      </c>
      <c r="AX24" s="632">
        <f ca="1">IF(AND($D24="Serviço",AX$12&lt;&gt;0,$H24&gt;0,OR(AUTOEVENTO&lt;&gt;"manual",$M24&lt;&gt;1)),ROUND(OFFSET($P24,0,AX$13),15-13*ORÇAMENTO!$AF$7)/$H24*OFFSET(ORÇAMENTO!$X$15,ROW(AX24)-ROW(AX$15),0),0)</f>
        <v>0</v>
      </c>
      <c r="AY24" s="632">
        <f ca="1">IF(AND($D24="Serviço",AY$12&lt;&gt;0,$H24&gt;0,OR(AUTOEVENTO&lt;&gt;"manual",$M24&lt;&gt;1)),ROUND(OFFSET($P24,0,AY$13),15-13*ORÇAMENTO!$AF$7)/$H24*OFFSET(ORÇAMENTO!$X$15,ROW(AY24)-ROW(AY$15),0),0)</f>
        <v>0</v>
      </c>
      <c r="AZ24" s="632">
        <f ca="1">IF(AND($D24="Serviço",AZ$12&lt;&gt;0,$H24&gt;0,OR(AUTOEVENTO&lt;&gt;"manual",$M24&lt;&gt;1)),ROUND(OFFSET($P24,0,AZ$13),15-13*ORÇAMENTO!$AF$7)/$H24*OFFSET(ORÇAMENTO!$X$15,ROW(AZ24)-ROW(AZ$15),0),0)</f>
        <v>0</v>
      </c>
      <c r="BA24" s="633">
        <f ca="1">IF(AND($D24="Serviço",BA$12&lt;&gt;0,$H24&gt;0,OR(AUTOEVENTO&lt;&gt;"manual",$M24&lt;&gt;1)),ROUND(OFFSET($P24,0,BA$13),15-13*ORÇAMENTO!$AF$7)/$H24*OFFSET(ORÇAMENTO!$X$15,ROW(BA24)-ROW(BA$15),0),0)</f>
        <v>0</v>
      </c>
      <c r="BC24" s="215">
        <f ca="1">IF($D24&lt;&gt;"Serviço",0,IF(AND(AUTOEVENTO="Manual",$M24=1),0,IF(OFFSET(CRONOPLE!$F$14,$M24,BC$13)="",10^12,OFFSET(CRONOPLE!$F$14,$M24,BC$13))))</f>
        <v>1000000000000</v>
      </c>
      <c r="BD24" s="215">
        <f ca="1">IF($D24&lt;&gt;"Serviço",0,IF(AND(AUTOEVENTO="Manual",$M24=1),0,IF(OFFSET(CRONOPLE!$F$14,$M24,BD$13)="",10^12,OFFSET(CRONOPLE!$F$14,$M24,BD$13))))</f>
        <v>1000000000000</v>
      </c>
      <c r="BE24" s="215">
        <f ca="1">IF($D24&lt;&gt;"Serviço",0,IF(AND(AUTOEVENTO="Manual",$M24=1),0,IF(OFFSET(CRONOPLE!$F$14,$M24,BE$13)="",10^12,OFFSET(CRONOPLE!$F$14,$M24,BE$13))))</f>
        <v>1000000000000</v>
      </c>
      <c r="BF24" s="215">
        <f ca="1">IF($D24&lt;&gt;"Serviço",0,IF(AND(AUTOEVENTO="Manual",$M24=1),0,IF(OFFSET(CRONOPLE!$F$14,$M24,BF$13)="",10^12,OFFSET(CRONOPLE!$F$14,$M24,BF$13))))</f>
        <v>1000000000000</v>
      </c>
      <c r="BG24" s="215">
        <f ca="1">IF($D24&lt;&gt;"Serviço",0,IF(AND(AUTOEVENTO="Manual",$M24=1),0,IF(OFFSET(CRONOPLE!$F$14,$M24,BG$13)="",10^12,OFFSET(CRONOPLE!$F$14,$M24,BG$13))))</f>
        <v>1000000000000</v>
      </c>
      <c r="BH24" s="215">
        <f ca="1">IF($D24&lt;&gt;"Serviço",0,IF(AND(AUTOEVENTO="Manual",$M24=1),0,IF(OFFSET(CRONOPLE!$F$14,$M24,BH$13)="",10^12,OFFSET(CRONOPLE!$F$14,$M24,BH$13))))</f>
        <v>1000000000000</v>
      </c>
      <c r="BI24" s="215">
        <f ca="1">IF($D24&lt;&gt;"Serviço",0,IF(AND(AUTOEVENTO="Manual",$M24=1),0,IF(OFFSET(CRONOPLE!$F$14,$M24,BI$13)="",10^12,OFFSET(CRONOPLE!$F$14,$M24,BI$13))))</f>
        <v>1000000000000</v>
      </c>
      <c r="BJ24" s="215">
        <f ca="1">IF($D24&lt;&gt;"Serviço",0,IF(AND(AUTOEVENTO="Manual",$M24=1),0,IF(OFFSET(CRONOPLE!$F$14,$M24,BJ$13)="",10^12,OFFSET(CRONOPLE!$F$14,$M24,BJ$13))))</f>
        <v>1000000000000</v>
      </c>
      <c r="BK24" s="215">
        <f ca="1">IF($D24&lt;&gt;"Serviço",0,IF(AND(AUTOEVENTO="Manual",$M24=1),0,IF(OFFSET(CRONOPLE!$F$14,$M24,BK$13)="",10^12,OFFSET(CRONOPLE!$F$14,$M24,BK$13))))</f>
        <v>1000000000000</v>
      </c>
      <c r="BL24" s="215">
        <f ca="1">IF($D24&lt;&gt;"Serviço",0,IF(AND(AUTOEVENTO="Manual",$M24=1),0,IF(OFFSET(CRONOPLE!$F$14,$M24,BL$13)="",10^12,OFFSET(CRONOPLE!$F$14,$M24,BL$13))))</f>
        <v>1000000000000</v>
      </c>
      <c r="BM24" s="215">
        <f ca="1">IF($D24&lt;&gt;"Serviço",0,IF(AND(AUTOEVENTO="Manual",$M24=1),0,IF(OFFSET(CRONOPLE!$F$14,$M24,BM$13)="",10^12,OFFSET(CRONOPLE!$F$14,$M24,BM$13))))</f>
        <v>1000000000000</v>
      </c>
      <c r="BN24" s="215">
        <f ca="1">IF($D24&lt;&gt;"Serviço",0,IF(AND(AUTOEVENTO="Manual",$M24=1),0,IF(OFFSET(CRONOPLE!$F$14,$M24,BN$13)="",10^12,OFFSET(CRONOPLE!$F$14,$M24,BN$13))))</f>
        <v>1000000000000</v>
      </c>
      <c r="BO24" s="215">
        <f ca="1">IF($D24&lt;&gt;"Serviço",0,IF(AND(AUTOEVENTO="Manual",$M24=1),0,IF(OFFSET(CRONOPLE!$F$14,$M24,BO$13)="",10^12,OFFSET(CRONOPLE!$F$14,$M24,BO$13))))</f>
        <v>1000000000000</v>
      </c>
      <c r="BP24" s="215">
        <f ca="1">IF($D24&lt;&gt;"Serviço",0,IF(AND(AUTOEVENTO="Manual",$M24=1),0,IF(OFFSET(CRONOPLE!$F$14,$M24,BP$13)="",10^12,OFFSET(CRONOPLE!$F$14,$M24,BP$13))))</f>
        <v>1000000000000</v>
      </c>
      <c r="BQ24" s="215">
        <f ca="1">IF($D24&lt;&gt;"Serviço",0,IF(AND(AUTOEVENTO="Manual",$M24=1),0,IF(OFFSET(CRONOPLE!$F$14,$M24,BQ$13)="",10^12,OFFSET(CRONOPLE!$F$14,$M24,BQ$13))))</f>
        <v>1000000000000</v>
      </c>
      <c r="BR24" s="215">
        <f ca="1">IF($D24&lt;&gt;"Serviço",0,IF(AND(AUTOEVENTO="Manual",$M24=1),0,IF(OFFSET(CRONOPLE!$F$14,$M24,BR$13)="",10^12,OFFSET(CRONOPLE!$F$14,$M24,BR$13))))</f>
        <v>1000000000000</v>
      </c>
      <c r="BS24" s="215">
        <f ca="1">IF($D24&lt;&gt;"Serviço",0,IF(AND(AUTOEVENTO="Manual",$M24=1),0,IF(OFFSET(CRONOPLE!$F$14,$M24,BS$13)="",10^12,OFFSET(CRONOPLE!$F$14,$M24,BS$13))))</f>
        <v>1000000000000</v>
      </c>
      <c r="BT24" s="215">
        <f ca="1">IF($D24&lt;&gt;"Serviço",0,IF(AND(AUTOEVENTO="Manual",$M24=1),0,IF(OFFSET(CRONOPLE!$F$14,$M24,BT$13)="",10^12,OFFSET(CRONOPLE!$F$14,$M24,BT$13))))</f>
        <v>1000000000000</v>
      </c>
      <c r="BV24" s="216">
        <f ca="1">IF($D24&lt;&gt;"Serviço",0,IF(OR(AND(AUTOEVENTO="Manual",$M24=1),$M24&gt;(ROW(PLE.lastrow)-ROW(PLE.firstrow))),0,IF(OFFSET(PLE!$G$14,$M24,BV$13)="",10^12,OFFSET(PLE!$G$14,$M24,BV$13))))</f>
        <v>1000000000000</v>
      </c>
      <c r="BW24" s="216">
        <f ca="1">IF($D24&lt;&gt;"Serviço",0,IF(OR(AND(AUTOEVENTO="Manual",$M24=1),$M24&gt;(ROW(PLE.lastrow)-ROW(PLE.firstrow))),0,IF(OFFSET(PLE!$G$14,$M24,BW$13)="",10^12,OFFSET(PLE!$G$14,$M24,BW$13))))</f>
        <v>1000000000000</v>
      </c>
      <c r="BX24" s="216">
        <f ca="1">IF($D24&lt;&gt;"Serviço",0,IF(OR(AND(AUTOEVENTO="Manual",$M24=1),$M24&gt;(ROW(PLE.lastrow)-ROW(PLE.firstrow))),0,IF(OFFSET(PLE!$G$14,$M24,BX$13)="",10^12,OFFSET(PLE!$G$14,$M24,BX$13))))</f>
        <v>1000000000000</v>
      </c>
      <c r="BY24" s="216">
        <f ca="1">IF($D24&lt;&gt;"Serviço",0,IF(OR(AND(AUTOEVENTO="Manual",$M24=1),$M24&gt;(ROW(PLE.lastrow)-ROW(PLE.firstrow))),0,IF(OFFSET(PLE!$G$14,$M24,BY$13)="",10^12,OFFSET(PLE!$G$14,$M24,BY$13))))</f>
        <v>1000000000000</v>
      </c>
      <c r="BZ24" s="216">
        <f ca="1">IF($D24&lt;&gt;"Serviço",0,IF(OR(AND(AUTOEVENTO="Manual",$M24=1),$M24&gt;(ROW(PLE.lastrow)-ROW(PLE.firstrow))),0,IF(OFFSET(PLE!$G$14,$M24,BZ$13)="",10^12,OFFSET(PLE!$G$14,$M24,BZ$13))))</f>
        <v>1000000000000</v>
      </c>
      <c r="CA24" s="216">
        <f ca="1">IF($D24&lt;&gt;"Serviço",0,IF(OR(AND(AUTOEVENTO="Manual",$M24=1),$M24&gt;(ROW(PLE.lastrow)-ROW(PLE.firstrow))),0,IF(OFFSET(PLE!$G$14,$M24,CA$13)="",10^12,OFFSET(PLE!$G$14,$M24,CA$13))))</f>
        <v>1000000000000</v>
      </c>
      <c r="CB24" s="216">
        <f ca="1">IF($D24&lt;&gt;"Serviço",0,IF(OR(AND(AUTOEVENTO="Manual",$M24=1),$M24&gt;(ROW(PLE.lastrow)-ROW(PLE.firstrow))),0,IF(OFFSET(PLE!$G$14,$M24,CB$13)="",10^12,OFFSET(PLE!$G$14,$M24,CB$13))))</f>
        <v>1000000000000</v>
      </c>
      <c r="CC24" s="216">
        <f ca="1">IF($D24&lt;&gt;"Serviço",0,IF(OR(AND(AUTOEVENTO="Manual",$M24=1),$M24&gt;(ROW(PLE.lastrow)-ROW(PLE.firstrow))),0,IF(OFFSET(PLE!$G$14,$M24,CC$13)="",10^12,OFFSET(PLE!$G$14,$M24,CC$13))))</f>
        <v>1000000000000</v>
      </c>
      <c r="CD24" s="216">
        <f ca="1">IF($D24&lt;&gt;"Serviço",0,IF(OR(AND(AUTOEVENTO="Manual",$M24=1),$M24&gt;(ROW(PLE.lastrow)-ROW(PLE.firstrow))),0,IF(OFFSET(PLE!$G$14,$M24,CD$13)="",10^12,OFFSET(PLE!$G$14,$M24,CD$13))))</f>
        <v>1000000000000</v>
      </c>
      <c r="CE24" s="216">
        <f ca="1">IF($D24&lt;&gt;"Serviço",0,IF(OR(AND(AUTOEVENTO="Manual",$M24=1),$M24&gt;(ROW(PLE.lastrow)-ROW(PLE.firstrow))),0,IF(OFFSET(PLE!$G$14,$M24,CE$13)="",10^12,OFFSET(PLE!$G$14,$M24,CE$13))))</f>
        <v>1000000000000</v>
      </c>
      <c r="CF24" s="216">
        <f ca="1">IF($D24&lt;&gt;"Serviço",0,IF(OR(AND(AUTOEVENTO="Manual",$M24=1),$M24&gt;(ROW(PLE.lastrow)-ROW(PLE.firstrow))),0,IF(OFFSET(PLE!$G$14,$M24,CF$13)="",10^12,OFFSET(PLE!$G$14,$M24,CF$13))))</f>
        <v>1000000000000</v>
      </c>
      <c r="CG24" s="216">
        <f ca="1">IF($D24&lt;&gt;"Serviço",0,IF(OR(AND(AUTOEVENTO="Manual",$M24=1),$M24&gt;(ROW(PLE.lastrow)-ROW(PLE.firstrow))),0,IF(OFFSET(PLE!$G$14,$M24,CG$13)="",10^12,OFFSET(PLE!$G$14,$M24,CG$13))))</f>
        <v>1000000000000</v>
      </c>
      <c r="CH24" s="216">
        <f ca="1">IF($D24&lt;&gt;"Serviço",0,IF(OR(AND(AUTOEVENTO="Manual",$M24=1),$M24&gt;(ROW(PLE.lastrow)-ROW(PLE.firstrow))),0,IF(OFFSET(PLE!$G$14,$M24,CH$13)="",10^12,OFFSET(PLE!$G$14,$M24,CH$13))))</f>
        <v>1000000000000</v>
      </c>
      <c r="CI24" s="216">
        <f ca="1">IF($D24&lt;&gt;"Serviço",0,IF(OR(AND(AUTOEVENTO="Manual",$M24=1),$M24&gt;(ROW(PLE.lastrow)-ROW(PLE.firstrow))),0,IF(OFFSET(PLE!$G$14,$M24,CI$13)="",10^12,OFFSET(PLE!$G$14,$M24,CI$13))))</f>
        <v>1000000000000</v>
      </c>
      <c r="CJ24" s="216">
        <f ca="1">IF($D24&lt;&gt;"Serviço",0,IF(OR(AND(AUTOEVENTO="Manual",$M24=1),$M24&gt;(ROW(PLE.lastrow)-ROW(PLE.firstrow))),0,IF(OFFSET(PLE!$G$14,$M24,CJ$13)="",10^12,OFFSET(PLE!$G$14,$M24,CJ$13))))</f>
        <v>1000000000000</v>
      </c>
      <c r="CK24" s="216">
        <f ca="1">IF($D24&lt;&gt;"Serviço",0,IF(OR(AND(AUTOEVENTO="Manual",$M24=1),$M24&gt;(ROW(PLE.lastrow)-ROW(PLE.firstrow))),0,IF(OFFSET(PLE!$G$14,$M24,CK$13)="",10^12,OFFSET(PLE!$G$14,$M24,CK$13))))</f>
        <v>1000000000000</v>
      </c>
      <c r="CL24" s="216">
        <f ca="1">IF($D24&lt;&gt;"Serviço",0,IF(OR(AND(AUTOEVENTO="Manual",$M24=1),$M24&gt;(ROW(PLE.lastrow)-ROW(PLE.firstrow))),0,IF(OFFSET(PLE!$G$14,$M24,CL$13)="",10^12,OFFSET(PLE!$G$14,$M24,CL$13))))</f>
        <v>1000000000000</v>
      </c>
      <c r="CM24" s="216">
        <f ca="1">IF($D24&lt;&gt;"Serviço",0,IF(OR(AND(AUTOEVENTO="Manual",$M24=1),$M24&gt;(ROW(PLE.lastrow)-ROW(PLE.firstrow))),0,IF(OFFSET(PLE!$G$14,$M24,CM$13)="",10^12,OFFSET(PLE!$G$14,$M24,CM$13))))</f>
        <v>1000000000000</v>
      </c>
    </row>
    <row r="25" spans="1:91" ht="13.2" x14ac:dyDescent="0.25">
      <c r="A25" s="9">
        <f t="shared" ca="1" si="9"/>
        <v>0</v>
      </c>
      <c r="B25" s="9" t="str">
        <f ca="1">OFFSET(ORÇAMENTO!C$15,ROW(B25)-ROW(B$15),0)</f>
        <v>S</v>
      </c>
      <c r="C25" s="9" t="str">
        <f ca="1">OFFSET(ORÇAMENTO!L$15,ROW(C25)-ROW(C$15),0)</f>
        <v/>
      </c>
      <c r="D25" s="145" t="str">
        <f ca="1">OFFSET(ORÇAMENTO!N$15,ROW(D25)-ROW(D$15),0)</f>
        <v>Serviço</v>
      </c>
      <c r="E25" s="205" t="str">
        <f ca="1">OFFSET(ORÇAMENTO!O$15,ROW(E25)-ROW(E$15),0)</f>
        <v>-</v>
      </c>
      <c r="F25" s="206" t="str">
        <f ca="1">OFFSET(ORÇAMENTO!R$15,ROW(F25)-ROW(F$15),0)</f>
        <v>(abra o arquivo 'Referência 05-2024.xls)</v>
      </c>
      <c r="G25" s="207" t="str">
        <f ca="1">IF($D25&lt;&gt;"Serviço","",OFFSET(ORÇAMENTO!S$15,ROW(G25)-ROW(G$15),0))</f>
        <v>-</v>
      </c>
      <c r="H25" s="151">
        <f ca="1">IF($D25&lt;&gt;"Serviço",0,IF(ACOMPANHAMENTO="BM",ROUND(OFFSET(ORÇAMENTO!AJ$15,ROW(H25)-ROW(H$15),0),15-13*ORÇAMENTO!$AF$7),SUMPRODUCT(($Q$12:$AI$12&lt;&gt;"")*ROUND($Q25:$AI25,15-13*ORÇAMENTO!$AF$7))))</f>
        <v>260</v>
      </c>
      <c r="I25" s="650"/>
      <c r="K25" s="208"/>
      <c r="L25" s="209" t="s">
        <v>257</v>
      </c>
      <c r="M25" s="210">
        <f ca="1">IF($D25&lt;&gt;"Serviço","",IF(AUTOEVENTO="manual",$A25,IF(ISERROR(MATCH($A25,$A$15:OFFSET($A25,-1,0),0)),MAX($M$15:OFFSET(M25,-1,0))+1,INDEX($M$15:OFFSET(M25,-1,0),MATCH($A25,$A$15:OFFSET($A25,-1,0),0)))))</f>
        <v>0</v>
      </c>
      <c r="N25" s="211" t="str">
        <f ca="1">IF($D25&lt;&gt;"Serviço","",IF(AUTOEVENTO="Manual",IF($A25=0,"&lt;-- defina o número do agrupador",OFFSET(EVENTOS!$D$14,$A25,0)),OFFSET($F$15,$A25,0)))</f>
        <v>&lt;-- defina o número do agrupador</v>
      </c>
      <c r="O25" s="212"/>
      <c r="Q25" s="212"/>
      <c r="R25" s="213"/>
      <c r="S25" s="213"/>
      <c r="T25" s="213"/>
      <c r="U25" s="213"/>
      <c r="V25" s="213"/>
      <c r="W25" s="213"/>
      <c r="X25" s="213"/>
      <c r="Y25" s="213"/>
      <c r="Z25" s="214"/>
      <c r="AA25" s="213"/>
      <c r="AB25" s="213"/>
      <c r="AC25" s="213"/>
      <c r="AD25" s="213"/>
      <c r="AE25" s="213"/>
      <c r="AF25" s="213"/>
      <c r="AG25" s="213"/>
      <c r="AH25" s="214"/>
      <c r="AJ25" s="631">
        <f ca="1">IF(AND($D25="Serviço",AJ$12&lt;&gt;0,$H25&gt;0,OR(AUTOEVENTO&lt;&gt;"manual",$M25&lt;&gt;1)),ROUND(OFFSET($P25,0,AJ$13),15-13*ORÇAMENTO!$AF$7)/$H25*OFFSET(ORÇAMENTO!$X$15,ROW(AJ25)-ROW(AJ$15),0),0)</f>
        <v>0</v>
      </c>
      <c r="AK25" s="632">
        <f ca="1">IF(AND($D25="Serviço",AK$12&lt;&gt;0,$H25&gt;0,OR(AUTOEVENTO&lt;&gt;"manual",$M25&lt;&gt;1)),ROUND(OFFSET($P25,0,AK$13),15-13*ORÇAMENTO!$AF$7)/$H25*OFFSET(ORÇAMENTO!$X$15,ROW(AK25)-ROW(AK$15),0),0)</f>
        <v>0</v>
      </c>
      <c r="AL25" s="632">
        <f ca="1">IF(AND($D25="Serviço",AL$12&lt;&gt;0,$H25&gt;0,OR(AUTOEVENTO&lt;&gt;"manual",$M25&lt;&gt;1)),ROUND(OFFSET($P25,0,AL$13),15-13*ORÇAMENTO!$AF$7)/$H25*OFFSET(ORÇAMENTO!$X$15,ROW(AL25)-ROW(AL$15),0),0)</f>
        <v>0</v>
      </c>
      <c r="AM25" s="632">
        <f ca="1">IF(AND($D25="Serviço",AM$12&lt;&gt;0,$H25&gt;0,OR(AUTOEVENTO&lt;&gt;"manual",$M25&lt;&gt;1)),ROUND(OFFSET($P25,0,AM$13),15-13*ORÇAMENTO!$AF$7)/$H25*OFFSET(ORÇAMENTO!$X$15,ROW(AM25)-ROW(AM$15),0),0)</f>
        <v>0</v>
      </c>
      <c r="AN25" s="632">
        <f ca="1">IF(AND($D25="Serviço",AN$12&lt;&gt;0,$H25&gt;0,OR(AUTOEVENTO&lt;&gt;"manual",$M25&lt;&gt;1)),ROUND(OFFSET($P25,0,AN$13),15-13*ORÇAMENTO!$AF$7)/$H25*OFFSET(ORÇAMENTO!$X$15,ROW(AN25)-ROW(AN$15),0),0)</f>
        <v>0</v>
      </c>
      <c r="AO25" s="632">
        <f ca="1">IF(AND($D25="Serviço",AO$12&lt;&gt;0,$H25&gt;0,OR(AUTOEVENTO&lt;&gt;"manual",$M25&lt;&gt;1)),ROUND(OFFSET($P25,0,AO$13),15-13*ORÇAMENTO!$AF$7)/$H25*OFFSET(ORÇAMENTO!$X$15,ROW(AO25)-ROW(AO$15),0),0)</f>
        <v>0</v>
      </c>
      <c r="AP25" s="632">
        <f ca="1">IF(AND($D25="Serviço",AP$12&lt;&gt;0,$H25&gt;0,OR(AUTOEVENTO&lt;&gt;"manual",$M25&lt;&gt;1)),ROUND(OFFSET($P25,0,AP$13),15-13*ORÇAMENTO!$AF$7)/$H25*OFFSET(ORÇAMENTO!$X$15,ROW(AP25)-ROW(AP$15),0),0)</f>
        <v>0</v>
      </c>
      <c r="AQ25" s="632">
        <f ca="1">IF(AND($D25="Serviço",AQ$12&lt;&gt;0,$H25&gt;0,OR(AUTOEVENTO&lt;&gt;"manual",$M25&lt;&gt;1)),ROUND(OFFSET($P25,0,AQ$13),15-13*ORÇAMENTO!$AF$7)/$H25*OFFSET(ORÇAMENTO!$X$15,ROW(AQ25)-ROW(AQ$15),0),0)</f>
        <v>0</v>
      </c>
      <c r="AR25" s="632">
        <f ca="1">IF(AND($D25="Serviço",AR$12&lt;&gt;0,$H25&gt;0,OR(AUTOEVENTO&lt;&gt;"manual",$M25&lt;&gt;1)),ROUND(OFFSET($P25,0,AR$13),15-13*ORÇAMENTO!$AF$7)/$H25*OFFSET(ORÇAMENTO!$X$15,ROW(AR25)-ROW(AR$15),0),0)</f>
        <v>0</v>
      </c>
      <c r="AS25" s="633">
        <f ca="1">IF(AND($D25="Serviço",AS$12&lt;&gt;0,$H25&gt;0,OR(AUTOEVENTO&lt;&gt;"manual",$M25&lt;&gt;1)),ROUND(OFFSET($P25,0,AS$13),15-13*ORÇAMENTO!$AF$7)/$H25*OFFSET(ORÇAMENTO!$X$15,ROW(AS25)-ROW(AS$15),0),0)</f>
        <v>0</v>
      </c>
      <c r="AT25" s="632">
        <f ca="1">IF(AND($D25="Serviço",AT$12&lt;&gt;0,$H25&gt;0,OR(AUTOEVENTO&lt;&gt;"manual",$M25&lt;&gt;1)),ROUND(OFFSET($P25,0,AT$13),15-13*ORÇAMENTO!$AF$7)/$H25*OFFSET(ORÇAMENTO!$X$15,ROW(AT25)-ROW(AT$15),0),0)</f>
        <v>0</v>
      </c>
      <c r="AU25" s="632">
        <f ca="1">IF(AND($D25="Serviço",AU$12&lt;&gt;0,$H25&gt;0,OR(AUTOEVENTO&lt;&gt;"manual",$M25&lt;&gt;1)),ROUND(OFFSET($P25,0,AU$13),15-13*ORÇAMENTO!$AF$7)/$H25*OFFSET(ORÇAMENTO!$X$15,ROW(AU25)-ROW(AU$15),0),0)</f>
        <v>0</v>
      </c>
      <c r="AV25" s="632">
        <f ca="1">IF(AND($D25="Serviço",AV$12&lt;&gt;0,$H25&gt;0,OR(AUTOEVENTO&lt;&gt;"manual",$M25&lt;&gt;1)),ROUND(OFFSET($P25,0,AV$13),15-13*ORÇAMENTO!$AF$7)/$H25*OFFSET(ORÇAMENTO!$X$15,ROW(AV25)-ROW(AV$15),0),0)</f>
        <v>0</v>
      </c>
      <c r="AW25" s="632">
        <f ca="1">IF(AND($D25="Serviço",AW$12&lt;&gt;0,$H25&gt;0,OR(AUTOEVENTO&lt;&gt;"manual",$M25&lt;&gt;1)),ROUND(OFFSET($P25,0,AW$13),15-13*ORÇAMENTO!$AF$7)/$H25*OFFSET(ORÇAMENTO!$X$15,ROW(AW25)-ROW(AW$15),0),0)</f>
        <v>0</v>
      </c>
      <c r="AX25" s="632">
        <f ca="1">IF(AND($D25="Serviço",AX$12&lt;&gt;0,$H25&gt;0,OR(AUTOEVENTO&lt;&gt;"manual",$M25&lt;&gt;1)),ROUND(OFFSET($P25,0,AX$13),15-13*ORÇAMENTO!$AF$7)/$H25*OFFSET(ORÇAMENTO!$X$15,ROW(AX25)-ROW(AX$15),0),0)</f>
        <v>0</v>
      </c>
      <c r="AY25" s="632">
        <f ca="1">IF(AND($D25="Serviço",AY$12&lt;&gt;0,$H25&gt;0,OR(AUTOEVENTO&lt;&gt;"manual",$M25&lt;&gt;1)),ROUND(OFFSET($P25,0,AY$13),15-13*ORÇAMENTO!$AF$7)/$H25*OFFSET(ORÇAMENTO!$X$15,ROW(AY25)-ROW(AY$15),0),0)</f>
        <v>0</v>
      </c>
      <c r="AZ25" s="632">
        <f ca="1">IF(AND($D25="Serviço",AZ$12&lt;&gt;0,$H25&gt;0,OR(AUTOEVENTO&lt;&gt;"manual",$M25&lt;&gt;1)),ROUND(OFFSET($P25,0,AZ$13),15-13*ORÇAMENTO!$AF$7)/$H25*OFFSET(ORÇAMENTO!$X$15,ROW(AZ25)-ROW(AZ$15),0),0)</f>
        <v>0</v>
      </c>
      <c r="BA25" s="633">
        <f ca="1">IF(AND($D25="Serviço",BA$12&lt;&gt;0,$H25&gt;0,OR(AUTOEVENTO&lt;&gt;"manual",$M25&lt;&gt;1)),ROUND(OFFSET($P25,0,BA$13),15-13*ORÇAMENTO!$AF$7)/$H25*OFFSET(ORÇAMENTO!$X$15,ROW(BA25)-ROW(BA$15),0),0)</f>
        <v>0</v>
      </c>
      <c r="BC25" s="215">
        <f ca="1">IF($D25&lt;&gt;"Serviço",0,IF(AND(AUTOEVENTO="Manual",$M25=1),0,IF(OFFSET(CRONOPLE!$F$14,$M25,BC$13)="",10^12,OFFSET(CRONOPLE!$F$14,$M25,BC$13))))</f>
        <v>1000000000000</v>
      </c>
      <c r="BD25" s="215">
        <f ca="1">IF($D25&lt;&gt;"Serviço",0,IF(AND(AUTOEVENTO="Manual",$M25=1),0,IF(OFFSET(CRONOPLE!$F$14,$M25,BD$13)="",10^12,OFFSET(CRONOPLE!$F$14,$M25,BD$13))))</f>
        <v>1000000000000</v>
      </c>
      <c r="BE25" s="215">
        <f ca="1">IF($D25&lt;&gt;"Serviço",0,IF(AND(AUTOEVENTO="Manual",$M25=1),0,IF(OFFSET(CRONOPLE!$F$14,$M25,BE$13)="",10^12,OFFSET(CRONOPLE!$F$14,$M25,BE$13))))</f>
        <v>1000000000000</v>
      </c>
      <c r="BF25" s="215">
        <f ca="1">IF($D25&lt;&gt;"Serviço",0,IF(AND(AUTOEVENTO="Manual",$M25=1),0,IF(OFFSET(CRONOPLE!$F$14,$M25,BF$13)="",10^12,OFFSET(CRONOPLE!$F$14,$M25,BF$13))))</f>
        <v>1000000000000</v>
      </c>
      <c r="BG25" s="215">
        <f ca="1">IF($D25&lt;&gt;"Serviço",0,IF(AND(AUTOEVENTO="Manual",$M25=1),0,IF(OFFSET(CRONOPLE!$F$14,$M25,BG$13)="",10^12,OFFSET(CRONOPLE!$F$14,$M25,BG$13))))</f>
        <v>1000000000000</v>
      </c>
      <c r="BH25" s="215">
        <f ca="1">IF($D25&lt;&gt;"Serviço",0,IF(AND(AUTOEVENTO="Manual",$M25=1),0,IF(OFFSET(CRONOPLE!$F$14,$M25,BH$13)="",10^12,OFFSET(CRONOPLE!$F$14,$M25,BH$13))))</f>
        <v>1000000000000</v>
      </c>
      <c r="BI25" s="215">
        <f ca="1">IF($D25&lt;&gt;"Serviço",0,IF(AND(AUTOEVENTO="Manual",$M25=1),0,IF(OFFSET(CRONOPLE!$F$14,$M25,BI$13)="",10^12,OFFSET(CRONOPLE!$F$14,$M25,BI$13))))</f>
        <v>1000000000000</v>
      </c>
      <c r="BJ25" s="215">
        <f ca="1">IF($D25&lt;&gt;"Serviço",0,IF(AND(AUTOEVENTO="Manual",$M25=1),0,IF(OFFSET(CRONOPLE!$F$14,$M25,BJ$13)="",10^12,OFFSET(CRONOPLE!$F$14,$M25,BJ$13))))</f>
        <v>1000000000000</v>
      </c>
      <c r="BK25" s="215">
        <f ca="1">IF($D25&lt;&gt;"Serviço",0,IF(AND(AUTOEVENTO="Manual",$M25=1),0,IF(OFFSET(CRONOPLE!$F$14,$M25,BK$13)="",10^12,OFFSET(CRONOPLE!$F$14,$M25,BK$13))))</f>
        <v>1000000000000</v>
      </c>
      <c r="BL25" s="215">
        <f ca="1">IF($D25&lt;&gt;"Serviço",0,IF(AND(AUTOEVENTO="Manual",$M25=1),0,IF(OFFSET(CRONOPLE!$F$14,$M25,BL$13)="",10^12,OFFSET(CRONOPLE!$F$14,$M25,BL$13))))</f>
        <v>1000000000000</v>
      </c>
      <c r="BM25" s="215">
        <f ca="1">IF($D25&lt;&gt;"Serviço",0,IF(AND(AUTOEVENTO="Manual",$M25=1),0,IF(OFFSET(CRONOPLE!$F$14,$M25,BM$13)="",10^12,OFFSET(CRONOPLE!$F$14,$M25,BM$13))))</f>
        <v>1000000000000</v>
      </c>
      <c r="BN25" s="215">
        <f ca="1">IF($D25&lt;&gt;"Serviço",0,IF(AND(AUTOEVENTO="Manual",$M25=1),0,IF(OFFSET(CRONOPLE!$F$14,$M25,BN$13)="",10^12,OFFSET(CRONOPLE!$F$14,$M25,BN$13))))</f>
        <v>1000000000000</v>
      </c>
      <c r="BO25" s="215">
        <f ca="1">IF($D25&lt;&gt;"Serviço",0,IF(AND(AUTOEVENTO="Manual",$M25=1),0,IF(OFFSET(CRONOPLE!$F$14,$M25,BO$13)="",10^12,OFFSET(CRONOPLE!$F$14,$M25,BO$13))))</f>
        <v>1000000000000</v>
      </c>
      <c r="BP25" s="215">
        <f ca="1">IF($D25&lt;&gt;"Serviço",0,IF(AND(AUTOEVENTO="Manual",$M25=1),0,IF(OFFSET(CRONOPLE!$F$14,$M25,BP$13)="",10^12,OFFSET(CRONOPLE!$F$14,$M25,BP$13))))</f>
        <v>1000000000000</v>
      </c>
      <c r="BQ25" s="215">
        <f ca="1">IF($D25&lt;&gt;"Serviço",0,IF(AND(AUTOEVENTO="Manual",$M25=1),0,IF(OFFSET(CRONOPLE!$F$14,$M25,BQ$13)="",10^12,OFFSET(CRONOPLE!$F$14,$M25,BQ$13))))</f>
        <v>1000000000000</v>
      </c>
      <c r="BR25" s="215">
        <f ca="1">IF($D25&lt;&gt;"Serviço",0,IF(AND(AUTOEVENTO="Manual",$M25=1),0,IF(OFFSET(CRONOPLE!$F$14,$M25,BR$13)="",10^12,OFFSET(CRONOPLE!$F$14,$M25,BR$13))))</f>
        <v>1000000000000</v>
      </c>
      <c r="BS25" s="215">
        <f ca="1">IF($D25&lt;&gt;"Serviço",0,IF(AND(AUTOEVENTO="Manual",$M25=1),0,IF(OFFSET(CRONOPLE!$F$14,$M25,BS$13)="",10^12,OFFSET(CRONOPLE!$F$14,$M25,BS$13))))</f>
        <v>1000000000000</v>
      </c>
      <c r="BT25" s="215">
        <f ca="1">IF($D25&lt;&gt;"Serviço",0,IF(AND(AUTOEVENTO="Manual",$M25=1),0,IF(OFFSET(CRONOPLE!$F$14,$M25,BT$13)="",10^12,OFFSET(CRONOPLE!$F$14,$M25,BT$13))))</f>
        <v>1000000000000</v>
      </c>
      <c r="BV25" s="216">
        <f ca="1">IF($D25&lt;&gt;"Serviço",0,IF(OR(AND(AUTOEVENTO="Manual",$M25=1),$M25&gt;(ROW(PLE.lastrow)-ROW(PLE.firstrow))),0,IF(OFFSET(PLE!$G$14,$M25,BV$13)="",10^12,OFFSET(PLE!$G$14,$M25,BV$13))))</f>
        <v>1000000000000</v>
      </c>
      <c r="BW25" s="216">
        <f ca="1">IF($D25&lt;&gt;"Serviço",0,IF(OR(AND(AUTOEVENTO="Manual",$M25=1),$M25&gt;(ROW(PLE.lastrow)-ROW(PLE.firstrow))),0,IF(OFFSET(PLE!$G$14,$M25,BW$13)="",10^12,OFFSET(PLE!$G$14,$M25,BW$13))))</f>
        <v>1000000000000</v>
      </c>
      <c r="BX25" s="216">
        <f ca="1">IF($D25&lt;&gt;"Serviço",0,IF(OR(AND(AUTOEVENTO="Manual",$M25=1),$M25&gt;(ROW(PLE.lastrow)-ROW(PLE.firstrow))),0,IF(OFFSET(PLE!$G$14,$M25,BX$13)="",10^12,OFFSET(PLE!$G$14,$M25,BX$13))))</f>
        <v>1000000000000</v>
      </c>
      <c r="BY25" s="216">
        <f ca="1">IF($D25&lt;&gt;"Serviço",0,IF(OR(AND(AUTOEVENTO="Manual",$M25=1),$M25&gt;(ROW(PLE.lastrow)-ROW(PLE.firstrow))),0,IF(OFFSET(PLE!$G$14,$M25,BY$13)="",10^12,OFFSET(PLE!$G$14,$M25,BY$13))))</f>
        <v>1000000000000</v>
      </c>
      <c r="BZ25" s="216">
        <f ca="1">IF($D25&lt;&gt;"Serviço",0,IF(OR(AND(AUTOEVENTO="Manual",$M25=1),$M25&gt;(ROW(PLE.lastrow)-ROW(PLE.firstrow))),0,IF(OFFSET(PLE!$G$14,$M25,BZ$13)="",10^12,OFFSET(PLE!$G$14,$M25,BZ$13))))</f>
        <v>1000000000000</v>
      </c>
      <c r="CA25" s="216">
        <f ca="1">IF($D25&lt;&gt;"Serviço",0,IF(OR(AND(AUTOEVENTO="Manual",$M25=1),$M25&gt;(ROW(PLE.lastrow)-ROW(PLE.firstrow))),0,IF(OFFSET(PLE!$G$14,$M25,CA$13)="",10^12,OFFSET(PLE!$G$14,$M25,CA$13))))</f>
        <v>1000000000000</v>
      </c>
      <c r="CB25" s="216">
        <f ca="1">IF($D25&lt;&gt;"Serviço",0,IF(OR(AND(AUTOEVENTO="Manual",$M25=1),$M25&gt;(ROW(PLE.lastrow)-ROW(PLE.firstrow))),0,IF(OFFSET(PLE!$G$14,$M25,CB$13)="",10^12,OFFSET(PLE!$G$14,$M25,CB$13))))</f>
        <v>1000000000000</v>
      </c>
      <c r="CC25" s="216">
        <f ca="1">IF($D25&lt;&gt;"Serviço",0,IF(OR(AND(AUTOEVENTO="Manual",$M25=1),$M25&gt;(ROW(PLE.lastrow)-ROW(PLE.firstrow))),0,IF(OFFSET(PLE!$G$14,$M25,CC$13)="",10^12,OFFSET(PLE!$G$14,$M25,CC$13))))</f>
        <v>1000000000000</v>
      </c>
      <c r="CD25" s="216">
        <f ca="1">IF($D25&lt;&gt;"Serviço",0,IF(OR(AND(AUTOEVENTO="Manual",$M25=1),$M25&gt;(ROW(PLE.lastrow)-ROW(PLE.firstrow))),0,IF(OFFSET(PLE!$G$14,$M25,CD$13)="",10^12,OFFSET(PLE!$G$14,$M25,CD$13))))</f>
        <v>1000000000000</v>
      </c>
      <c r="CE25" s="216">
        <f ca="1">IF($D25&lt;&gt;"Serviço",0,IF(OR(AND(AUTOEVENTO="Manual",$M25=1),$M25&gt;(ROW(PLE.lastrow)-ROW(PLE.firstrow))),0,IF(OFFSET(PLE!$G$14,$M25,CE$13)="",10^12,OFFSET(PLE!$G$14,$M25,CE$13))))</f>
        <v>1000000000000</v>
      </c>
      <c r="CF25" s="216">
        <f ca="1">IF($D25&lt;&gt;"Serviço",0,IF(OR(AND(AUTOEVENTO="Manual",$M25=1),$M25&gt;(ROW(PLE.lastrow)-ROW(PLE.firstrow))),0,IF(OFFSET(PLE!$G$14,$M25,CF$13)="",10^12,OFFSET(PLE!$G$14,$M25,CF$13))))</f>
        <v>1000000000000</v>
      </c>
      <c r="CG25" s="216">
        <f ca="1">IF($D25&lt;&gt;"Serviço",0,IF(OR(AND(AUTOEVENTO="Manual",$M25=1),$M25&gt;(ROW(PLE.lastrow)-ROW(PLE.firstrow))),0,IF(OFFSET(PLE!$G$14,$M25,CG$13)="",10^12,OFFSET(PLE!$G$14,$M25,CG$13))))</f>
        <v>1000000000000</v>
      </c>
      <c r="CH25" s="216">
        <f ca="1">IF($D25&lt;&gt;"Serviço",0,IF(OR(AND(AUTOEVENTO="Manual",$M25=1),$M25&gt;(ROW(PLE.lastrow)-ROW(PLE.firstrow))),0,IF(OFFSET(PLE!$G$14,$M25,CH$13)="",10^12,OFFSET(PLE!$G$14,$M25,CH$13))))</f>
        <v>1000000000000</v>
      </c>
      <c r="CI25" s="216">
        <f ca="1">IF($D25&lt;&gt;"Serviço",0,IF(OR(AND(AUTOEVENTO="Manual",$M25=1),$M25&gt;(ROW(PLE.lastrow)-ROW(PLE.firstrow))),0,IF(OFFSET(PLE!$G$14,$M25,CI$13)="",10^12,OFFSET(PLE!$G$14,$M25,CI$13))))</f>
        <v>1000000000000</v>
      </c>
      <c r="CJ25" s="216">
        <f ca="1">IF($D25&lt;&gt;"Serviço",0,IF(OR(AND(AUTOEVENTO="Manual",$M25=1),$M25&gt;(ROW(PLE.lastrow)-ROW(PLE.firstrow))),0,IF(OFFSET(PLE!$G$14,$M25,CJ$13)="",10^12,OFFSET(PLE!$G$14,$M25,CJ$13))))</f>
        <v>1000000000000</v>
      </c>
      <c r="CK25" s="216">
        <f ca="1">IF($D25&lt;&gt;"Serviço",0,IF(OR(AND(AUTOEVENTO="Manual",$M25=1),$M25&gt;(ROW(PLE.lastrow)-ROW(PLE.firstrow))),0,IF(OFFSET(PLE!$G$14,$M25,CK$13)="",10^12,OFFSET(PLE!$G$14,$M25,CK$13))))</f>
        <v>1000000000000</v>
      </c>
      <c r="CL25" s="216">
        <f ca="1">IF($D25&lt;&gt;"Serviço",0,IF(OR(AND(AUTOEVENTO="Manual",$M25=1),$M25&gt;(ROW(PLE.lastrow)-ROW(PLE.firstrow))),0,IF(OFFSET(PLE!$G$14,$M25,CL$13)="",10^12,OFFSET(PLE!$G$14,$M25,CL$13))))</f>
        <v>1000000000000</v>
      </c>
      <c r="CM25" s="216">
        <f ca="1">IF($D25&lt;&gt;"Serviço",0,IF(OR(AND(AUTOEVENTO="Manual",$M25=1),$M25&gt;(ROW(PLE.lastrow)-ROW(PLE.firstrow))),0,IF(OFFSET(PLE!$G$14,$M25,CM$13)="",10^12,OFFSET(PLE!$G$14,$M25,CM$13))))</f>
        <v>1000000000000</v>
      </c>
    </row>
    <row r="26" spans="1:91" ht="13.2" x14ac:dyDescent="0.25">
      <c r="A26" s="9">
        <f t="shared" ca="1" si="9"/>
        <v>0</v>
      </c>
      <c r="B26" s="9" t="str">
        <f ca="1">OFFSET(ORÇAMENTO!C$15,ROW(B26)-ROW(B$15),0)</f>
        <v>S</v>
      </c>
      <c r="C26" s="9" t="str">
        <f ca="1">OFFSET(ORÇAMENTO!L$15,ROW(C26)-ROW(C$15),0)</f>
        <v/>
      </c>
      <c r="D26" s="145" t="str">
        <f ca="1">OFFSET(ORÇAMENTO!N$15,ROW(D26)-ROW(D$15),0)</f>
        <v>Serviço</v>
      </c>
      <c r="E26" s="205" t="str">
        <f ca="1">OFFSET(ORÇAMENTO!O$15,ROW(E26)-ROW(E$15),0)</f>
        <v>-</v>
      </c>
      <c r="F26" s="206" t="str">
        <f ca="1">OFFSET(ORÇAMENTO!R$15,ROW(F26)-ROW(F$15),0)</f>
        <v>(abra o arquivo 'Referência 05-2024.xls)</v>
      </c>
      <c r="G26" s="207" t="str">
        <f ca="1">IF($D26&lt;&gt;"Serviço","",OFFSET(ORÇAMENTO!S$15,ROW(G26)-ROW(G$15),0))</f>
        <v>-</v>
      </c>
      <c r="H26" s="151">
        <f ca="1">IF($D26&lt;&gt;"Serviço",0,IF(ACOMPANHAMENTO="BM",ROUND(OFFSET(ORÇAMENTO!AJ$15,ROW(H26)-ROW(H$15),0),15-13*ORÇAMENTO!$AF$7),SUMPRODUCT(($Q$12:$AI$12&lt;&gt;"")*ROUND($Q26:$AI26,15-13*ORÇAMENTO!$AF$7))))</f>
        <v>4800</v>
      </c>
      <c r="I26" s="650"/>
      <c r="K26" s="208"/>
      <c r="L26" s="209" t="s">
        <v>257</v>
      </c>
      <c r="M26" s="210">
        <f ca="1">IF($D26&lt;&gt;"Serviço","",IF(AUTOEVENTO="manual",$A26,IF(ISERROR(MATCH($A26,$A$15:OFFSET($A26,-1,0),0)),MAX($M$15:OFFSET(M26,-1,0))+1,INDEX($M$15:OFFSET(M26,-1,0),MATCH($A26,$A$15:OFFSET($A26,-1,0),0)))))</f>
        <v>0</v>
      </c>
      <c r="N26" s="211" t="str">
        <f ca="1">IF($D26&lt;&gt;"Serviço","",IF(AUTOEVENTO="Manual",IF($A26=0,"&lt;-- defina o número do agrupador",OFFSET(EVENTOS!$D$14,$A26,0)),OFFSET($F$15,$A26,0)))</f>
        <v>&lt;-- defina o número do agrupador</v>
      </c>
      <c r="O26" s="212"/>
      <c r="Q26" s="212"/>
      <c r="R26" s="213"/>
      <c r="S26" s="213"/>
      <c r="T26" s="213"/>
      <c r="U26" s="213"/>
      <c r="V26" s="213"/>
      <c r="W26" s="213"/>
      <c r="X26" s="213"/>
      <c r="Y26" s="213"/>
      <c r="Z26" s="214"/>
      <c r="AA26" s="213"/>
      <c r="AB26" s="213"/>
      <c r="AC26" s="213"/>
      <c r="AD26" s="213"/>
      <c r="AE26" s="213"/>
      <c r="AF26" s="213"/>
      <c r="AG26" s="213"/>
      <c r="AH26" s="214"/>
      <c r="AJ26" s="631">
        <f ca="1">IF(AND($D26="Serviço",AJ$12&lt;&gt;0,$H26&gt;0,OR(AUTOEVENTO&lt;&gt;"manual",$M26&lt;&gt;1)),ROUND(OFFSET($P26,0,AJ$13),15-13*ORÇAMENTO!$AF$7)/$H26*OFFSET(ORÇAMENTO!$X$15,ROW(AJ26)-ROW(AJ$15),0),0)</f>
        <v>0</v>
      </c>
      <c r="AK26" s="632">
        <f ca="1">IF(AND($D26="Serviço",AK$12&lt;&gt;0,$H26&gt;0,OR(AUTOEVENTO&lt;&gt;"manual",$M26&lt;&gt;1)),ROUND(OFFSET($P26,0,AK$13),15-13*ORÇAMENTO!$AF$7)/$H26*OFFSET(ORÇAMENTO!$X$15,ROW(AK26)-ROW(AK$15),0),0)</f>
        <v>0</v>
      </c>
      <c r="AL26" s="632">
        <f ca="1">IF(AND($D26="Serviço",AL$12&lt;&gt;0,$H26&gt;0,OR(AUTOEVENTO&lt;&gt;"manual",$M26&lt;&gt;1)),ROUND(OFFSET($P26,0,AL$13),15-13*ORÇAMENTO!$AF$7)/$H26*OFFSET(ORÇAMENTO!$X$15,ROW(AL26)-ROW(AL$15),0),0)</f>
        <v>0</v>
      </c>
      <c r="AM26" s="632">
        <f ca="1">IF(AND($D26="Serviço",AM$12&lt;&gt;0,$H26&gt;0,OR(AUTOEVENTO&lt;&gt;"manual",$M26&lt;&gt;1)),ROUND(OFFSET($P26,0,AM$13),15-13*ORÇAMENTO!$AF$7)/$H26*OFFSET(ORÇAMENTO!$X$15,ROW(AM26)-ROW(AM$15),0),0)</f>
        <v>0</v>
      </c>
      <c r="AN26" s="632">
        <f ca="1">IF(AND($D26="Serviço",AN$12&lt;&gt;0,$H26&gt;0,OR(AUTOEVENTO&lt;&gt;"manual",$M26&lt;&gt;1)),ROUND(OFFSET($P26,0,AN$13),15-13*ORÇAMENTO!$AF$7)/$H26*OFFSET(ORÇAMENTO!$X$15,ROW(AN26)-ROW(AN$15),0),0)</f>
        <v>0</v>
      </c>
      <c r="AO26" s="632">
        <f ca="1">IF(AND($D26="Serviço",AO$12&lt;&gt;0,$H26&gt;0,OR(AUTOEVENTO&lt;&gt;"manual",$M26&lt;&gt;1)),ROUND(OFFSET($P26,0,AO$13),15-13*ORÇAMENTO!$AF$7)/$H26*OFFSET(ORÇAMENTO!$X$15,ROW(AO26)-ROW(AO$15),0),0)</f>
        <v>0</v>
      </c>
      <c r="AP26" s="632">
        <f ca="1">IF(AND($D26="Serviço",AP$12&lt;&gt;0,$H26&gt;0,OR(AUTOEVENTO&lt;&gt;"manual",$M26&lt;&gt;1)),ROUND(OFFSET($P26,0,AP$13),15-13*ORÇAMENTO!$AF$7)/$H26*OFFSET(ORÇAMENTO!$X$15,ROW(AP26)-ROW(AP$15),0),0)</f>
        <v>0</v>
      </c>
      <c r="AQ26" s="632">
        <f ca="1">IF(AND($D26="Serviço",AQ$12&lt;&gt;0,$H26&gt;0,OR(AUTOEVENTO&lt;&gt;"manual",$M26&lt;&gt;1)),ROUND(OFFSET($P26,0,AQ$13),15-13*ORÇAMENTO!$AF$7)/$H26*OFFSET(ORÇAMENTO!$X$15,ROW(AQ26)-ROW(AQ$15),0),0)</f>
        <v>0</v>
      </c>
      <c r="AR26" s="632">
        <f ca="1">IF(AND($D26="Serviço",AR$12&lt;&gt;0,$H26&gt;0,OR(AUTOEVENTO&lt;&gt;"manual",$M26&lt;&gt;1)),ROUND(OFFSET($P26,0,AR$13),15-13*ORÇAMENTO!$AF$7)/$H26*OFFSET(ORÇAMENTO!$X$15,ROW(AR26)-ROW(AR$15),0),0)</f>
        <v>0</v>
      </c>
      <c r="AS26" s="633">
        <f ca="1">IF(AND($D26="Serviço",AS$12&lt;&gt;0,$H26&gt;0,OR(AUTOEVENTO&lt;&gt;"manual",$M26&lt;&gt;1)),ROUND(OFFSET($P26,0,AS$13),15-13*ORÇAMENTO!$AF$7)/$H26*OFFSET(ORÇAMENTO!$X$15,ROW(AS26)-ROW(AS$15),0),0)</f>
        <v>0</v>
      </c>
      <c r="AT26" s="632">
        <f ca="1">IF(AND($D26="Serviço",AT$12&lt;&gt;0,$H26&gt;0,OR(AUTOEVENTO&lt;&gt;"manual",$M26&lt;&gt;1)),ROUND(OFFSET($P26,0,AT$13),15-13*ORÇAMENTO!$AF$7)/$H26*OFFSET(ORÇAMENTO!$X$15,ROW(AT26)-ROW(AT$15),0),0)</f>
        <v>0</v>
      </c>
      <c r="AU26" s="632">
        <f ca="1">IF(AND($D26="Serviço",AU$12&lt;&gt;0,$H26&gt;0,OR(AUTOEVENTO&lt;&gt;"manual",$M26&lt;&gt;1)),ROUND(OFFSET($P26,0,AU$13),15-13*ORÇAMENTO!$AF$7)/$H26*OFFSET(ORÇAMENTO!$X$15,ROW(AU26)-ROW(AU$15),0),0)</f>
        <v>0</v>
      </c>
      <c r="AV26" s="632">
        <f ca="1">IF(AND($D26="Serviço",AV$12&lt;&gt;0,$H26&gt;0,OR(AUTOEVENTO&lt;&gt;"manual",$M26&lt;&gt;1)),ROUND(OFFSET($P26,0,AV$13),15-13*ORÇAMENTO!$AF$7)/$H26*OFFSET(ORÇAMENTO!$X$15,ROW(AV26)-ROW(AV$15),0),0)</f>
        <v>0</v>
      </c>
      <c r="AW26" s="632">
        <f ca="1">IF(AND($D26="Serviço",AW$12&lt;&gt;0,$H26&gt;0,OR(AUTOEVENTO&lt;&gt;"manual",$M26&lt;&gt;1)),ROUND(OFFSET($P26,0,AW$13),15-13*ORÇAMENTO!$AF$7)/$H26*OFFSET(ORÇAMENTO!$X$15,ROW(AW26)-ROW(AW$15),0),0)</f>
        <v>0</v>
      </c>
      <c r="AX26" s="632">
        <f ca="1">IF(AND($D26="Serviço",AX$12&lt;&gt;0,$H26&gt;0,OR(AUTOEVENTO&lt;&gt;"manual",$M26&lt;&gt;1)),ROUND(OFFSET($P26,0,AX$13),15-13*ORÇAMENTO!$AF$7)/$H26*OFFSET(ORÇAMENTO!$X$15,ROW(AX26)-ROW(AX$15),0),0)</f>
        <v>0</v>
      </c>
      <c r="AY26" s="632">
        <f ca="1">IF(AND($D26="Serviço",AY$12&lt;&gt;0,$H26&gt;0,OR(AUTOEVENTO&lt;&gt;"manual",$M26&lt;&gt;1)),ROUND(OFFSET($P26,0,AY$13),15-13*ORÇAMENTO!$AF$7)/$H26*OFFSET(ORÇAMENTO!$X$15,ROW(AY26)-ROW(AY$15),0),0)</f>
        <v>0</v>
      </c>
      <c r="AZ26" s="632">
        <f ca="1">IF(AND($D26="Serviço",AZ$12&lt;&gt;0,$H26&gt;0,OR(AUTOEVENTO&lt;&gt;"manual",$M26&lt;&gt;1)),ROUND(OFFSET($P26,0,AZ$13),15-13*ORÇAMENTO!$AF$7)/$H26*OFFSET(ORÇAMENTO!$X$15,ROW(AZ26)-ROW(AZ$15),0),0)</f>
        <v>0</v>
      </c>
      <c r="BA26" s="633">
        <f ca="1">IF(AND($D26="Serviço",BA$12&lt;&gt;0,$H26&gt;0,OR(AUTOEVENTO&lt;&gt;"manual",$M26&lt;&gt;1)),ROUND(OFFSET($P26,0,BA$13),15-13*ORÇAMENTO!$AF$7)/$H26*OFFSET(ORÇAMENTO!$X$15,ROW(BA26)-ROW(BA$15),0),0)</f>
        <v>0</v>
      </c>
      <c r="BC26" s="215">
        <f ca="1">IF($D26&lt;&gt;"Serviço",0,IF(AND(AUTOEVENTO="Manual",$M26=1),0,IF(OFFSET(CRONOPLE!$F$14,$M26,BC$13)="",10^12,OFFSET(CRONOPLE!$F$14,$M26,BC$13))))</f>
        <v>1000000000000</v>
      </c>
      <c r="BD26" s="215">
        <f ca="1">IF($D26&lt;&gt;"Serviço",0,IF(AND(AUTOEVENTO="Manual",$M26=1),0,IF(OFFSET(CRONOPLE!$F$14,$M26,BD$13)="",10^12,OFFSET(CRONOPLE!$F$14,$M26,BD$13))))</f>
        <v>1000000000000</v>
      </c>
      <c r="BE26" s="215">
        <f ca="1">IF($D26&lt;&gt;"Serviço",0,IF(AND(AUTOEVENTO="Manual",$M26=1),0,IF(OFFSET(CRONOPLE!$F$14,$M26,BE$13)="",10^12,OFFSET(CRONOPLE!$F$14,$M26,BE$13))))</f>
        <v>1000000000000</v>
      </c>
      <c r="BF26" s="215">
        <f ca="1">IF($D26&lt;&gt;"Serviço",0,IF(AND(AUTOEVENTO="Manual",$M26=1),0,IF(OFFSET(CRONOPLE!$F$14,$M26,BF$13)="",10^12,OFFSET(CRONOPLE!$F$14,$M26,BF$13))))</f>
        <v>1000000000000</v>
      </c>
      <c r="BG26" s="215">
        <f ca="1">IF($D26&lt;&gt;"Serviço",0,IF(AND(AUTOEVENTO="Manual",$M26=1),0,IF(OFFSET(CRONOPLE!$F$14,$M26,BG$13)="",10^12,OFFSET(CRONOPLE!$F$14,$M26,BG$13))))</f>
        <v>1000000000000</v>
      </c>
      <c r="BH26" s="215">
        <f ca="1">IF($D26&lt;&gt;"Serviço",0,IF(AND(AUTOEVENTO="Manual",$M26=1),0,IF(OFFSET(CRONOPLE!$F$14,$M26,BH$13)="",10^12,OFFSET(CRONOPLE!$F$14,$M26,BH$13))))</f>
        <v>1000000000000</v>
      </c>
      <c r="BI26" s="215">
        <f ca="1">IF($D26&lt;&gt;"Serviço",0,IF(AND(AUTOEVENTO="Manual",$M26=1),0,IF(OFFSET(CRONOPLE!$F$14,$M26,BI$13)="",10^12,OFFSET(CRONOPLE!$F$14,$M26,BI$13))))</f>
        <v>1000000000000</v>
      </c>
      <c r="BJ26" s="215">
        <f ca="1">IF($D26&lt;&gt;"Serviço",0,IF(AND(AUTOEVENTO="Manual",$M26=1),0,IF(OFFSET(CRONOPLE!$F$14,$M26,BJ$13)="",10^12,OFFSET(CRONOPLE!$F$14,$M26,BJ$13))))</f>
        <v>1000000000000</v>
      </c>
      <c r="BK26" s="215">
        <f ca="1">IF($D26&lt;&gt;"Serviço",0,IF(AND(AUTOEVENTO="Manual",$M26=1),0,IF(OFFSET(CRONOPLE!$F$14,$M26,BK$13)="",10^12,OFFSET(CRONOPLE!$F$14,$M26,BK$13))))</f>
        <v>1000000000000</v>
      </c>
      <c r="BL26" s="215">
        <f ca="1">IF($D26&lt;&gt;"Serviço",0,IF(AND(AUTOEVENTO="Manual",$M26=1),0,IF(OFFSET(CRONOPLE!$F$14,$M26,BL$13)="",10^12,OFFSET(CRONOPLE!$F$14,$M26,BL$13))))</f>
        <v>1000000000000</v>
      </c>
      <c r="BM26" s="215">
        <f ca="1">IF($D26&lt;&gt;"Serviço",0,IF(AND(AUTOEVENTO="Manual",$M26=1),0,IF(OFFSET(CRONOPLE!$F$14,$M26,BM$13)="",10^12,OFFSET(CRONOPLE!$F$14,$M26,BM$13))))</f>
        <v>1000000000000</v>
      </c>
      <c r="BN26" s="215">
        <f ca="1">IF($D26&lt;&gt;"Serviço",0,IF(AND(AUTOEVENTO="Manual",$M26=1),0,IF(OFFSET(CRONOPLE!$F$14,$M26,BN$13)="",10^12,OFFSET(CRONOPLE!$F$14,$M26,BN$13))))</f>
        <v>1000000000000</v>
      </c>
      <c r="BO26" s="215">
        <f ca="1">IF($D26&lt;&gt;"Serviço",0,IF(AND(AUTOEVENTO="Manual",$M26=1),0,IF(OFFSET(CRONOPLE!$F$14,$M26,BO$13)="",10^12,OFFSET(CRONOPLE!$F$14,$M26,BO$13))))</f>
        <v>1000000000000</v>
      </c>
      <c r="BP26" s="215">
        <f ca="1">IF($D26&lt;&gt;"Serviço",0,IF(AND(AUTOEVENTO="Manual",$M26=1),0,IF(OFFSET(CRONOPLE!$F$14,$M26,BP$13)="",10^12,OFFSET(CRONOPLE!$F$14,$M26,BP$13))))</f>
        <v>1000000000000</v>
      </c>
      <c r="BQ26" s="215">
        <f ca="1">IF($D26&lt;&gt;"Serviço",0,IF(AND(AUTOEVENTO="Manual",$M26=1),0,IF(OFFSET(CRONOPLE!$F$14,$M26,BQ$13)="",10^12,OFFSET(CRONOPLE!$F$14,$M26,BQ$13))))</f>
        <v>1000000000000</v>
      </c>
      <c r="BR26" s="215">
        <f ca="1">IF($D26&lt;&gt;"Serviço",0,IF(AND(AUTOEVENTO="Manual",$M26=1),0,IF(OFFSET(CRONOPLE!$F$14,$M26,BR$13)="",10^12,OFFSET(CRONOPLE!$F$14,$M26,BR$13))))</f>
        <v>1000000000000</v>
      </c>
      <c r="BS26" s="215">
        <f ca="1">IF($D26&lt;&gt;"Serviço",0,IF(AND(AUTOEVENTO="Manual",$M26=1),0,IF(OFFSET(CRONOPLE!$F$14,$M26,BS$13)="",10^12,OFFSET(CRONOPLE!$F$14,$M26,BS$13))))</f>
        <v>1000000000000</v>
      </c>
      <c r="BT26" s="215">
        <f ca="1">IF($D26&lt;&gt;"Serviço",0,IF(AND(AUTOEVENTO="Manual",$M26=1),0,IF(OFFSET(CRONOPLE!$F$14,$M26,BT$13)="",10^12,OFFSET(CRONOPLE!$F$14,$M26,BT$13))))</f>
        <v>1000000000000</v>
      </c>
      <c r="BV26" s="216">
        <f ca="1">IF($D26&lt;&gt;"Serviço",0,IF(OR(AND(AUTOEVENTO="Manual",$M26=1),$M26&gt;(ROW(PLE.lastrow)-ROW(PLE.firstrow))),0,IF(OFFSET(PLE!$G$14,$M26,BV$13)="",10^12,OFFSET(PLE!$G$14,$M26,BV$13))))</f>
        <v>1000000000000</v>
      </c>
      <c r="BW26" s="216">
        <f ca="1">IF($D26&lt;&gt;"Serviço",0,IF(OR(AND(AUTOEVENTO="Manual",$M26=1),$M26&gt;(ROW(PLE.lastrow)-ROW(PLE.firstrow))),0,IF(OFFSET(PLE!$G$14,$M26,BW$13)="",10^12,OFFSET(PLE!$G$14,$M26,BW$13))))</f>
        <v>1000000000000</v>
      </c>
      <c r="BX26" s="216">
        <f ca="1">IF($D26&lt;&gt;"Serviço",0,IF(OR(AND(AUTOEVENTO="Manual",$M26=1),$M26&gt;(ROW(PLE.lastrow)-ROW(PLE.firstrow))),0,IF(OFFSET(PLE!$G$14,$M26,BX$13)="",10^12,OFFSET(PLE!$G$14,$M26,BX$13))))</f>
        <v>1000000000000</v>
      </c>
      <c r="BY26" s="216">
        <f ca="1">IF($D26&lt;&gt;"Serviço",0,IF(OR(AND(AUTOEVENTO="Manual",$M26=1),$M26&gt;(ROW(PLE.lastrow)-ROW(PLE.firstrow))),0,IF(OFFSET(PLE!$G$14,$M26,BY$13)="",10^12,OFFSET(PLE!$G$14,$M26,BY$13))))</f>
        <v>1000000000000</v>
      </c>
      <c r="BZ26" s="216">
        <f ca="1">IF($D26&lt;&gt;"Serviço",0,IF(OR(AND(AUTOEVENTO="Manual",$M26=1),$M26&gt;(ROW(PLE.lastrow)-ROW(PLE.firstrow))),0,IF(OFFSET(PLE!$G$14,$M26,BZ$13)="",10^12,OFFSET(PLE!$G$14,$M26,BZ$13))))</f>
        <v>1000000000000</v>
      </c>
      <c r="CA26" s="216">
        <f ca="1">IF($D26&lt;&gt;"Serviço",0,IF(OR(AND(AUTOEVENTO="Manual",$M26=1),$M26&gt;(ROW(PLE.lastrow)-ROW(PLE.firstrow))),0,IF(OFFSET(PLE!$G$14,$M26,CA$13)="",10^12,OFFSET(PLE!$G$14,$M26,CA$13))))</f>
        <v>1000000000000</v>
      </c>
      <c r="CB26" s="216">
        <f ca="1">IF($D26&lt;&gt;"Serviço",0,IF(OR(AND(AUTOEVENTO="Manual",$M26=1),$M26&gt;(ROW(PLE.lastrow)-ROW(PLE.firstrow))),0,IF(OFFSET(PLE!$G$14,$M26,CB$13)="",10^12,OFFSET(PLE!$G$14,$M26,CB$13))))</f>
        <v>1000000000000</v>
      </c>
      <c r="CC26" s="216">
        <f ca="1">IF($D26&lt;&gt;"Serviço",0,IF(OR(AND(AUTOEVENTO="Manual",$M26=1),$M26&gt;(ROW(PLE.lastrow)-ROW(PLE.firstrow))),0,IF(OFFSET(PLE!$G$14,$M26,CC$13)="",10^12,OFFSET(PLE!$G$14,$M26,CC$13))))</f>
        <v>1000000000000</v>
      </c>
      <c r="CD26" s="216">
        <f ca="1">IF($D26&lt;&gt;"Serviço",0,IF(OR(AND(AUTOEVENTO="Manual",$M26=1),$M26&gt;(ROW(PLE.lastrow)-ROW(PLE.firstrow))),0,IF(OFFSET(PLE!$G$14,$M26,CD$13)="",10^12,OFFSET(PLE!$G$14,$M26,CD$13))))</f>
        <v>1000000000000</v>
      </c>
      <c r="CE26" s="216">
        <f ca="1">IF($D26&lt;&gt;"Serviço",0,IF(OR(AND(AUTOEVENTO="Manual",$M26=1),$M26&gt;(ROW(PLE.lastrow)-ROW(PLE.firstrow))),0,IF(OFFSET(PLE!$G$14,$M26,CE$13)="",10^12,OFFSET(PLE!$G$14,$M26,CE$13))))</f>
        <v>1000000000000</v>
      </c>
      <c r="CF26" s="216">
        <f ca="1">IF($D26&lt;&gt;"Serviço",0,IF(OR(AND(AUTOEVENTO="Manual",$M26=1),$M26&gt;(ROW(PLE.lastrow)-ROW(PLE.firstrow))),0,IF(OFFSET(PLE!$G$14,$M26,CF$13)="",10^12,OFFSET(PLE!$G$14,$M26,CF$13))))</f>
        <v>1000000000000</v>
      </c>
      <c r="CG26" s="216">
        <f ca="1">IF($D26&lt;&gt;"Serviço",0,IF(OR(AND(AUTOEVENTO="Manual",$M26=1),$M26&gt;(ROW(PLE.lastrow)-ROW(PLE.firstrow))),0,IF(OFFSET(PLE!$G$14,$M26,CG$13)="",10^12,OFFSET(PLE!$G$14,$M26,CG$13))))</f>
        <v>1000000000000</v>
      </c>
      <c r="CH26" s="216">
        <f ca="1">IF($D26&lt;&gt;"Serviço",0,IF(OR(AND(AUTOEVENTO="Manual",$M26=1),$M26&gt;(ROW(PLE.lastrow)-ROW(PLE.firstrow))),0,IF(OFFSET(PLE!$G$14,$M26,CH$13)="",10^12,OFFSET(PLE!$G$14,$M26,CH$13))))</f>
        <v>1000000000000</v>
      </c>
      <c r="CI26" s="216">
        <f ca="1">IF($D26&lt;&gt;"Serviço",0,IF(OR(AND(AUTOEVENTO="Manual",$M26=1),$M26&gt;(ROW(PLE.lastrow)-ROW(PLE.firstrow))),0,IF(OFFSET(PLE!$G$14,$M26,CI$13)="",10^12,OFFSET(PLE!$G$14,$M26,CI$13))))</f>
        <v>1000000000000</v>
      </c>
      <c r="CJ26" s="216">
        <f ca="1">IF($D26&lt;&gt;"Serviço",0,IF(OR(AND(AUTOEVENTO="Manual",$M26=1),$M26&gt;(ROW(PLE.lastrow)-ROW(PLE.firstrow))),0,IF(OFFSET(PLE!$G$14,$M26,CJ$13)="",10^12,OFFSET(PLE!$G$14,$M26,CJ$13))))</f>
        <v>1000000000000</v>
      </c>
      <c r="CK26" s="216">
        <f ca="1">IF($D26&lt;&gt;"Serviço",0,IF(OR(AND(AUTOEVENTO="Manual",$M26=1),$M26&gt;(ROW(PLE.lastrow)-ROW(PLE.firstrow))),0,IF(OFFSET(PLE!$G$14,$M26,CK$13)="",10^12,OFFSET(PLE!$G$14,$M26,CK$13))))</f>
        <v>1000000000000</v>
      </c>
      <c r="CL26" s="216">
        <f ca="1">IF($D26&lt;&gt;"Serviço",0,IF(OR(AND(AUTOEVENTO="Manual",$M26=1),$M26&gt;(ROW(PLE.lastrow)-ROW(PLE.firstrow))),0,IF(OFFSET(PLE!$G$14,$M26,CL$13)="",10^12,OFFSET(PLE!$G$14,$M26,CL$13))))</f>
        <v>1000000000000</v>
      </c>
      <c r="CM26" s="216">
        <f ca="1">IF($D26&lt;&gt;"Serviço",0,IF(OR(AND(AUTOEVENTO="Manual",$M26=1),$M26&gt;(ROW(PLE.lastrow)-ROW(PLE.firstrow))),0,IF(OFFSET(PLE!$G$14,$M26,CM$13)="",10^12,OFFSET(PLE!$G$14,$M26,CM$13))))</f>
        <v>1000000000000</v>
      </c>
    </row>
    <row r="27" spans="1:91" ht="13.2" x14ac:dyDescent="0.25">
      <c r="A27" s="9">
        <f t="shared" ca="1" si="9"/>
        <v>0</v>
      </c>
      <c r="B27" s="9" t="str">
        <f ca="1">OFFSET(ORÇAMENTO!C$15,ROW(B27)-ROW(B$15),0)</f>
        <v>S</v>
      </c>
      <c r="C27" s="9" t="str">
        <f ca="1">OFFSET(ORÇAMENTO!L$15,ROW(C27)-ROW(C$15),0)</f>
        <v/>
      </c>
      <c r="D27" s="145" t="str">
        <f ca="1">OFFSET(ORÇAMENTO!N$15,ROW(D27)-ROW(D$15),0)</f>
        <v>Serviço</v>
      </c>
      <c r="E27" s="205" t="str">
        <f ca="1">OFFSET(ORÇAMENTO!O$15,ROW(E27)-ROW(E$15),0)</f>
        <v>-</v>
      </c>
      <c r="F27" s="206" t="str">
        <f ca="1">OFFSET(ORÇAMENTO!R$15,ROW(F27)-ROW(F$15),0)</f>
        <v>(abra o arquivo 'Referência 05-2024.xls)</v>
      </c>
      <c r="G27" s="207" t="str">
        <f ca="1">IF($D27&lt;&gt;"Serviço","",OFFSET(ORÇAMENTO!S$15,ROW(G27)-ROW(G$15),0))</f>
        <v>-</v>
      </c>
      <c r="H27" s="151">
        <f ca="1">IF($D27&lt;&gt;"Serviço",0,IF(ACOMPANHAMENTO="BM",ROUND(OFFSET(ORÇAMENTO!AJ$15,ROW(H27)-ROW(H$15),0),15-13*ORÇAMENTO!$AF$7),SUMPRODUCT(($Q$12:$AI$12&lt;&gt;"")*ROUND($Q27:$AI27,15-13*ORÇAMENTO!$AF$7))))</f>
        <v>1</v>
      </c>
      <c r="I27" s="650"/>
      <c r="K27" s="208"/>
      <c r="L27" s="209" t="s">
        <v>257</v>
      </c>
      <c r="M27" s="210">
        <f ca="1">IF($D27&lt;&gt;"Serviço","",IF(AUTOEVENTO="manual",$A27,IF(ISERROR(MATCH($A27,$A$15:OFFSET($A27,-1,0),0)),MAX($M$15:OFFSET(M27,-1,0))+1,INDEX($M$15:OFFSET(M27,-1,0),MATCH($A27,$A$15:OFFSET($A27,-1,0),0)))))</f>
        <v>0</v>
      </c>
      <c r="N27" s="211" t="str">
        <f ca="1">IF($D27&lt;&gt;"Serviço","",IF(AUTOEVENTO="Manual",IF($A27=0,"&lt;-- defina o número do agrupador",OFFSET(EVENTOS!$D$14,$A27,0)),OFFSET($F$15,$A27,0)))</f>
        <v>&lt;-- defina o número do agrupador</v>
      </c>
      <c r="O27" s="212"/>
      <c r="Q27" s="212"/>
      <c r="R27" s="213"/>
      <c r="S27" s="213"/>
      <c r="T27" s="213"/>
      <c r="U27" s="213"/>
      <c r="V27" s="213"/>
      <c r="W27" s="213"/>
      <c r="X27" s="213"/>
      <c r="Y27" s="213"/>
      <c r="Z27" s="214"/>
      <c r="AA27" s="213"/>
      <c r="AB27" s="213"/>
      <c r="AC27" s="213"/>
      <c r="AD27" s="213"/>
      <c r="AE27" s="213"/>
      <c r="AF27" s="213"/>
      <c r="AG27" s="213"/>
      <c r="AH27" s="214"/>
      <c r="AJ27" s="631">
        <f ca="1">IF(AND($D27="Serviço",AJ$12&lt;&gt;0,$H27&gt;0,OR(AUTOEVENTO&lt;&gt;"manual",$M27&lt;&gt;1)),ROUND(OFFSET($P27,0,AJ$13),15-13*ORÇAMENTO!$AF$7)/$H27*OFFSET(ORÇAMENTO!$X$15,ROW(AJ27)-ROW(AJ$15),0),0)</f>
        <v>0</v>
      </c>
      <c r="AK27" s="632">
        <f ca="1">IF(AND($D27="Serviço",AK$12&lt;&gt;0,$H27&gt;0,OR(AUTOEVENTO&lt;&gt;"manual",$M27&lt;&gt;1)),ROUND(OFFSET($P27,0,AK$13),15-13*ORÇAMENTO!$AF$7)/$H27*OFFSET(ORÇAMENTO!$X$15,ROW(AK27)-ROW(AK$15),0),0)</f>
        <v>0</v>
      </c>
      <c r="AL27" s="632">
        <f ca="1">IF(AND($D27="Serviço",AL$12&lt;&gt;0,$H27&gt;0,OR(AUTOEVENTO&lt;&gt;"manual",$M27&lt;&gt;1)),ROUND(OFFSET($P27,0,AL$13),15-13*ORÇAMENTO!$AF$7)/$H27*OFFSET(ORÇAMENTO!$X$15,ROW(AL27)-ROW(AL$15),0),0)</f>
        <v>0</v>
      </c>
      <c r="AM27" s="632">
        <f ca="1">IF(AND($D27="Serviço",AM$12&lt;&gt;0,$H27&gt;0,OR(AUTOEVENTO&lt;&gt;"manual",$M27&lt;&gt;1)),ROUND(OFFSET($P27,0,AM$13),15-13*ORÇAMENTO!$AF$7)/$H27*OFFSET(ORÇAMENTO!$X$15,ROW(AM27)-ROW(AM$15),0),0)</f>
        <v>0</v>
      </c>
      <c r="AN27" s="632">
        <f ca="1">IF(AND($D27="Serviço",AN$12&lt;&gt;0,$H27&gt;0,OR(AUTOEVENTO&lt;&gt;"manual",$M27&lt;&gt;1)),ROUND(OFFSET($P27,0,AN$13),15-13*ORÇAMENTO!$AF$7)/$H27*OFFSET(ORÇAMENTO!$X$15,ROW(AN27)-ROW(AN$15),0),0)</f>
        <v>0</v>
      </c>
      <c r="AO27" s="632">
        <f ca="1">IF(AND($D27="Serviço",AO$12&lt;&gt;0,$H27&gt;0,OR(AUTOEVENTO&lt;&gt;"manual",$M27&lt;&gt;1)),ROUND(OFFSET($P27,0,AO$13),15-13*ORÇAMENTO!$AF$7)/$H27*OFFSET(ORÇAMENTO!$X$15,ROW(AO27)-ROW(AO$15),0),0)</f>
        <v>0</v>
      </c>
      <c r="AP27" s="632">
        <f ca="1">IF(AND($D27="Serviço",AP$12&lt;&gt;0,$H27&gt;0,OR(AUTOEVENTO&lt;&gt;"manual",$M27&lt;&gt;1)),ROUND(OFFSET($P27,0,AP$13),15-13*ORÇAMENTO!$AF$7)/$H27*OFFSET(ORÇAMENTO!$X$15,ROW(AP27)-ROW(AP$15),0),0)</f>
        <v>0</v>
      </c>
      <c r="AQ27" s="632">
        <f ca="1">IF(AND($D27="Serviço",AQ$12&lt;&gt;0,$H27&gt;0,OR(AUTOEVENTO&lt;&gt;"manual",$M27&lt;&gt;1)),ROUND(OFFSET($P27,0,AQ$13),15-13*ORÇAMENTO!$AF$7)/$H27*OFFSET(ORÇAMENTO!$X$15,ROW(AQ27)-ROW(AQ$15),0),0)</f>
        <v>0</v>
      </c>
      <c r="AR27" s="632">
        <f ca="1">IF(AND($D27="Serviço",AR$12&lt;&gt;0,$H27&gt;0,OR(AUTOEVENTO&lt;&gt;"manual",$M27&lt;&gt;1)),ROUND(OFFSET($P27,0,AR$13),15-13*ORÇAMENTO!$AF$7)/$H27*OFFSET(ORÇAMENTO!$X$15,ROW(AR27)-ROW(AR$15),0),0)</f>
        <v>0</v>
      </c>
      <c r="AS27" s="633">
        <f ca="1">IF(AND($D27="Serviço",AS$12&lt;&gt;0,$H27&gt;0,OR(AUTOEVENTO&lt;&gt;"manual",$M27&lt;&gt;1)),ROUND(OFFSET($P27,0,AS$13),15-13*ORÇAMENTO!$AF$7)/$H27*OFFSET(ORÇAMENTO!$X$15,ROW(AS27)-ROW(AS$15),0),0)</f>
        <v>0</v>
      </c>
      <c r="AT27" s="632">
        <f ca="1">IF(AND($D27="Serviço",AT$12&lt;&gt;0,$H27&gt;0,OR(AUTOEVENTO&lt;&gt;"manual",$M27&lt;&gt;1)),ROUND(OFFSET($P27,0,AT$13),15-13*ORÇAMENTO!$AF$7)/$H27*OFFSET(ORÇAMENTO!$X$15,ROW(AT27)-ROW(AT$15),0),0)</f>
        <v>0</v>
      </c>
      <c r="AU27" s="632">
        <f ca="1">IF(AND($D27="Serviço",AU$12&lt;&gt;0,$H27&gt;0,OR(AUTOEVENTO&lt;&gt;"manual",$M27&lt;&gt;1)),ROUND(OFFSET($P27,0,AU$13),15-13*ORÇAMENTO!$AF$7)/$H27*OFFSET(ORÇAMENTO!$X$15,ROW(AU27)-ROW(AU$15),0),0)</f>
        <v>0</v>
      </c>
      <c r="AV27" s="632">
        <f ca="1">IF(AND($D27="Serviço",AV$12&lt;&gt;0,$H27&gt;0,OR(AUTOEVENTO&lt;&gt;"manual",$M27&lt;&gt;1)),ROUND(OFFSET($P27,0,AV$13),15-13*ORÇAMENTO!$AF$7)/$H27*OFFSET(ORÇAMENTO!$X$15,ROW(AV27)-ROW(AV$15),0),0)</f>
        <v>0</v>
      </c>
      <c r="AW27" s="632">
        <f ca="1">IF(AND($D27="Serviço",AW$12&lt;&gt;0,$H27&gt;0,OR(AUTOEVENTO&lt;&gt;"manual",$M27&lt;&gt;1)),ROUND(OFFSET($P27,0,AW$13),15-13*ORÇAMENTO!$AF$7)/$H27*OFFSET(ORÇAMENTO!$X$15,ROW(AW27)-ROW(AW$15),0),0)</f>
        <v>0</v>
      </c>
      <c r="AX27" s="632">
        <f ca="1">IF(AND($D27="Serviço",AX$12&lt;&gt;0,$H27&gt;0,OR(AUTOEVENTO&lt;&gt;"manual",$M27&lt;&gt;1)),ROUND(OFFSET($P27,0,AX$13),15-13*ORÇAMENTO!$AF$7)/$H27*OFFSET(ORÇAMENTO!$X$15,ROW(AX27)-ROW(AX$15),0),0)</f>
        <v>0</v>
      </c>
      <c r="AY27" s="632">
        <f ca="1">IF(AND($D27="Serviço",AY$12&lt;&gt;0,$H27&gt;0,OR(AUTOEVENTO&lt;&gt;"manual",$M27&lt;&gt;1)),ROUND(OFFSET($P27,0,AY$13),15-13*ORÇAMENTO!$AF$7)/$H27*OFFSET(ORÇAMENTO!$X$15,ROW(AY27)-ROW(AY$15),0),0)</f>
        <v>0</v>
      </c>
      <c r="AZ27" s="632">
        <f ca="1">IF(AND($D27="Serviço",AZ$12&lt;&gt;0,$H27&gt;0,OR(AUTOEVENTO&lt;&gt;"manual",$M27&lt;&gt;1)),ROUND(OFFSET($P27,0,AZ$13),15-13*ORÇAMENTO!$AF$7)/$H27*OFFSET(ORÇAMENTO!$X$15,ROW(AZ27)-ROW(AZ$15),0),0)</f>
        <v>0</v>
      </c>
      <c r="BA27" s="633">
        <f ca="1">IF(AND($D27="Serviço",BA$12&lt;&gt;0,$H27&gt;0,OR(AUTOEVENTO&lt;&gt;"manual",$M27&lt;&gt;1)),ROUND(OFFSET($P27,0,BA$13),15-13*ORÇAMENTO!$AF$7)/$H27*OFFSET(ORÇAMENTO!$X$15,ROW(BA27)-ROW(BA$15),0),0)</f>
        <v>0</v>
      </c>
      <c r="BC27" s="215">
        <f ca="1">IF($D27&lt;&gt;"Serviço",0,IF(AND(AUTOEVENTO="Manual",$M27=1),0,IF(OFFSET(CRONOPLE!$F$14,$M27,BC$13)="",10^12,OFFSET(CRONOPLE!$F$14,$M27,BC$13))))</f>
        <v>1000000000000</v>
      </c>
      <c r="BD27" s="215">
        <f ca="1">IF($D27&lt;&gt;"Serviço",0,IF(AND(AUTOEVENTO="Manual",$M27=1),0,IF(OFFSET(CRONOPLE!$F$14,$M27,BD$13)="",10^12,OFFSET(CRONOPLE!$F$14,$M27,BD$13))))</f>
        <v>1000000000000</v>
      </c>
      <c r="BE27" s="215">
        <f ca="1">IF($D27&lt;&gt;"Serviço",0,IF(AND(AUTOEVENTO="Manual",$M27=1),0,IF(OFFSET(CRONOPLE!$F$14,$M27,BE$13)="",10^12,OFFSET(CRONOPLE!$F$14,$M27,BE$13))))</f>
        <v>1000000000000</v>
      </c>
      <c r="BF27" s="215">
        <f ca="1">IF($D27&lt;&gt;"Serviço",0,IF(AND(AUTOEVENTO="Manual",$M27=1),0,IF(OFFSET(CRONOPLE!$F$14,$M27,BF$13)="",10^12,OFFSET(CRONOPLE!$F$14,$M27,BF$13))))</f>
        <v>1000000000000</v>
      </c>
      <c r="BG27" s="215">
        <f ca="1">IF($D27&lt;&gt;"Serviço",0,IF(AND(AUTOEVENTO="Manual",$M27=1),0,IF(OFFSET(CRONOPLE!$F$14,$M27,BG$13)="",10^12,OFFSET(CRONOPLE!$F$14,$M27,BG$13))))</f>
        <v>1000000000000</v>
      </c>
      <c r="BH27" s="215">
        <f ca="1">IF($D27&lt;&gt;"Serviço",0,IF(AND(AUTOEVENTO="Manual",$M27=1),0,IF(OFFSET(CRONOPLE!$F$14,$M27,BH$13)="",10^12,OFFSET(CRONOPLE!$F$14,$M27,BH$13))))</f>
        <v>1000000000000</v>
      </c>
      <c r="BI27" s="215">
        <f ca="1">IF($D27&lt;&gt;"Serviço",0,IF(AND(AUTOEVENTO="Manual",$M27=1),0,IF(OFFSET(CRONOPLE!$F$14,$M27,BI$13)="",10^12,OFFSET(CRONOPLE!$F$14,$M27,BI$13))))</f>
        <v>1000000000000</v>
      </c>
      <c r="BJ27" s="215">
        <f ca="1">IF($D27&lt;&gt;"Serviço",0,IF(AND(AUTOEVENTO="Manual",$M27=1),0,IF(OFFSET(CRONOPLE!$F$14,$M27,BJ$13)="",10^12,OFFSET(CRONOPLE!$F$14,$M27,BJ$13))))</f>
        <v>1000000000000</v>
      </c>
      <c r="BK27" s="215">
        <f ca="1">IF($D27&lt;&gt;"Serviço",0,IF(AND(AUTOEVENTO="Manual",$M27=1),0,IF(OFFSET(CRONOPLE!$F$14,$M27,BK$13)="",10^12,OFFSET(CRONOPLE!$F$14,$M27,BK$13))))</f>
        <v>1000000000000</v>
      </c>
      <c r="BL27" s="215">
        <f ca="1">IF($D27&lt;&gt;"Serviço",0,IF(AND(AUTOEVENTO="Manual",$M27=1),0,IF(OFFSET(CRONOPLE!$F$14,$M27,BL$13)="",10^12,OFFSET(CRONOPLE!$F$14,$M27,BL$13))))</f>
        <v>1000000000000</v>
      </c>
      <c r="BM27" s="215">
        <f ca="1">IF($D27&lt;&gt;"Serviço",0,IF(AND(AUTOEVENTO="Manual",$M27=1),0,IF(OFFSET(CRONOPLE!$F$14,$M27,BM$13)="",10^12,OFFSET(CRONOPLE!$F$14,$M27,BM$13))))</f>
        <v>1000000000000</v>
      </c>
      <c r="BN27" s="215">
        <f ca="1">IF($D27&lt;&gt;"Serviço",0,IF(AND(AUTOEVENTO="Manual",$M27=1),0,IF(OFFSET(CRONOPLE!$F$14,$M27,BN$13)="",10^12,OFFSET(CRONOPLE!$F$14,$M27,BN$13))))</f>
        <v>1000000000000</v>
      </c>
      <c r="BO27" s="215">
        <f ca="1">IF($D27&lt;&gt;"Serviço",0,IF(AND(AUTOEVENTO="Manual",$M27=1),0,IF(OFFSET(CRONOPLE!$F$14,$M27,BO$13)="",10^12,OFFSET(CRONOPLE!$F$14,$M27,BO$13))))</f>
        <v>1000000000000</v>
      </c>
      <c r="BP27" s="215">
        <f ca="1">IF($D27&lt;&gt;"Serviço",0,IF(AND(AUTOEVENTO="Manual",$M27=1),0,IF(OFFSET(CRONOPLE!$F$14,$M27,BP$13)="",10^12,OFFSET(CRONOPLE!$F$14,$M27,BP$13))))</f>
        <v>1000000000000</v>
      </c>
      <c r="BQ27" s="215">
        <f ca="1">IF($D27&lt;&gt;"Serviço",0,IF(AND(AUTOEVENTO="Manual",$M27=1),0,IF(OFFSET(CRONOPLE!$F$14,$M27,BQ$13)="",10^12,OFFSET(CRONOPLE!$F$14,$M27,BQ$13))))</f>
        <v>1000000000000</v>
      </c>
      <c r="BR27" s="215">
        <f ca="1">IF($D27&lt;&gt;"Serviço",0,IF(AND(AUTOEVENTO="Manual",$M27=1),0,IF(OFFSET(CRONOPLE!$F$14,$M27,BR$13)="",10^12,OFFSET(CRONOPLE!$F$14,$M27,BR$13))))</f>
        <v>1000000000000</v>
      </c>
      <c r="BS27" s="215">
        <f ca="1">IF($D27&lt;&gt;"Serviço",0,IF(AND(AUTOEVENTO="Manual",$M27=1),0,IF(OFFSET(CRONOPLE!$F$14,$M27,BS$13)="",10^12,OFFSET(CRONOPLE!$F$14,$M27,BS$13))))</f>
        <v>1000000000000</v>
      </c>
      <c r="BT27" s="215">
        <f ca="1">IF($D27&lt;&gt;"Serviço",0,IF(AND(AUTOEVENTO="Manual",$M27=1),0,IF(OFFSET(CRONOPLE!$F$14,$M27,BT$13)="",10^12,OFFSET(CRONOPLE!$F$14,$M27,BT$13))))</f>
        <v>1000000000000</v>
      </c>
      <c r="BV27" s="216">
        <f ca="1">IF($D27&lt;&gt;"Serviço",0,IF(OR(AND(AUTOEVENTO="Manual",$M27=1),$M27&gt;(ROW(PLE.lastrow)-ROW(PLE.firstrow))),0,IF(OFFSET(PLE!$G$14,$M27,BV$13)="",10^12,OFFSET(PLE!$G$14,$M27,BV$13))))</f>
        <v>1000000000000</v>
      </c>
      <c r="BW27" s="216">
        <f ca="1">IF($D27&lt;&gt;"Serviço",0,IF(OR(AND(AUTOEVENTO="Manual",$M27=1),$M27&gt;(ROW(PLE.lastrow)-ROW(PLE.firstrow))),0,IF(OFFSET(PLE!$G$14,$M27,BW$13)="",10^12,OFFSET(PLE!$G$14,$M27,BW$13))))</f>
        <v>1000000000000</v>
      </c>
      <c r="BX27" s="216">
        <f ca="1">IF($D27&lt;&gt;"Serviço",0,IF(OR(AND(AUTOEVENTO="Manual",$M27=1),$M27&gt;(ROW(PLE.lastrow)-ROW(PLE.firstrow))),0,IF(OFFSET(PLE!$G$14,$M27,BX$13)="",10^12,OFFSET(PLE!$G$14,$M27,BX$13))))</f>
        <v>1000000000000</v>
      </c>
      <c r="BY27" s="216">
        <f ca="1">IF($D27&lt;&gt;"Serviço",0,IF(OR(AND(AUTOEVENTO="Manual",$M27=1),$M27&gt;(ROW(PLE.lastrow)-ROW(PLE.firstrow))),0,IF(OFFSET(PLE!$G$14,$M27,BY$13)="",10^12,OFFSET(PLE!$G$14,$M27,BY$13))))</f>
        <v>1000000000000</v>
      </c>
      <c r="BZ27" s="216">
        <f ca="1">IF($D27&lt;&gt;"Serviço",0,IF(OR(AND(AUTOEVENTO="Manual",$M27=1),$M27&gt;(ROW(PLE.lastrow)-ROW(PLE.firstrow))),0,IF(OFFSET(PLE!$G$14,$M27,BZ$13)="",10^12,OFFSET(PLE!$G$14,$M27,BZ$13))))</f>
        <v>1000000000000</v>
      </c>
      <c r="CA27" s="216">
        <f ca="1">IF($D27&lt;&gt;"Serviço",0,IF(OR(AND(AUTOEVENTO="Manual",$M27=1),$M27&gt;(ROW(PLE.lastrow)-ROW(PLE.firstrow))),0,IF(OFFSET(PLE!$G$14,$M27,CA$13)="",10^12,OFFSET(PLE!$G$14,$M27,CA$13))))</f>
        <v>1000000000000</v>
      </c>
      <c r="CB27" s="216">
        <f ca="1">IF($D27&lt;&gt;"Serviço",0,IF(OR(AND(AUTOEVENTO="Manual",$M27=1),$M27&gt;(ROW(PLE.lastrow)-ROW(PLE.firstrow))),0,IF(OFFSET(PLE!$G$14,$M27,CB$13)="",10^12,OFFSET(PLE!$G$14,$M27,CB$13))))</f>
        <v>1000000000000</v>
      </c>
      <c r="CC27" s="216">
        <f ca="1">IF($D27&lt;&gt;"Serviço",0,IF(OR(AND(AUTOEVENTO="Manual",$M27=1),$M27&gt;(ROW(PLE.lastrow)-ROW(PLE.firstrow))),0,IF(OFFSET(PLE!$G$14,$M27,CC$13)="",10^12,OFFSET(PLE!$G$14,$M27,CC$13))))</f>
        <v>1000000000000</v>
      </c>
      <c r="CD27" s="216">
        <f ca="1">IF($D27&lt;&gt;"Serviço",0,IF(OR(AND(AUTOEVENTO="Manual",$M27=1),$M27&gt;(ROW(PLE.lastrow)-ROW(PLE.firstrow))),0,IF(OFFSET(PLE!$G$14,$M27,CD$13)="",10^12,OFFSET(PLE!$G$14,$M27,CD$13))))</f>
        <v>1000000000000</v>
      </c>
      <c r="CE27" s="216">
        <f ca="1">IF($D27&lt;&gt;"Serviço",0,IF(OR(AND(AUTOEVENTO="Manual",$M27=1),$M27&gt;(ROW(PLE.lastrow)-ROW(PLE.firstrow))),0,IF(OFFSET(PLE!$G$14,$M27,CE$13)="",10^12,OFFSET(PLE!$G$14,$M27,CE$13))))</f>
        <v>1000000000000</v>
      </c>
      <c r="CF27" s="216">
        <f ca="1">IF($D27&lt;&gt;"Serviço",0,IF(OR(AND(AUTOEVENTO="Manual",$M27=1),$M27&gt;(ROW(PLE.lastrow)-ROW(PLE.firstrow))),0,IF(OFFSET(PLE!$G$14,$M27,CF$13)="",10^12,OFFSET(PLE!$G$14,$M27,CF$13))))</f>
        <v>1000000000000</v>
      </c>
      <c r="CG27" s="216">
        <f ca="1">IF($D27&lt;&gt;"Serviço",0,IF(OR(AND(AUTOEVENTO="Manual",$M27=1),$M27&gt;(ROW(PLE.lastrow)-ROW(PLE.firstrow))),0,IF(OFFSET(PLE!$G$14,$M27,CG$13)="",10^12,OFFSET(PLE!$G$14,$M27,CG$13))))</f>
        <v>1000000000000</v>
      </c>
      <c r="CH27" s="216">
        <f ca="1">IF($D27&lt;&gt;"Serviço",0,IF(OR(AND(AUTOEVENTO="Manual",$M27=1),$M27&gt;(ROW(PLE.lastrow)-ROW(PLE.firstrow))),0,IF(OFFSET(PLE!$G$14,$M27,CH$13)="",10^12,OFFSET(PLE!$G$14,$M27,CH$13))))</f>
        <v>1000000000000</v>
      </c>
      <c r="CI27" s="216">
        <f ca="1">IF($D27&lt;&gt;"Serviço",0,IF(OR(AND(AUTOEVENTO="Manual",$M27=1),$M27&gt;(ROW(PLE.lastrow)-ROW(PLE.firstrow))),0,IF(OFFSET(PLE!$G$14,$M27,CI$13)="",10^12,OFFSET(PLE!$G$14,$M27,CI$13))))</f>
        <v>1000000000000</v>
      </c>
      <c r="CJ27" s="216">
        <f ca="1">IF($D27&lt;&gt;"Serviço",0,IF(OR(AND(AUTOEVENTO="Manual",$M27=1),$M27&gt;(ROW(PLE.lastrow)-ROW(PLE.firstrow))),0,IF(OFFSET(PLE!$G$14,$M27,CJ$13)="",10^12,OFFSET(PLE!$G$14,$M27,CJ$13))))</f>
        <v>1000000000000</v>
      </c>
      <c r="CK27" s="216">
        <f ca="1">IF($D27&lt;&gt;"Serviço",0,IF(OR(AND(AUTOEVENTO="Manual",$M27=1),$M27&gt;(ROW(PLE.lastrow)-ROW(PLE.firstrow))),0,IF(OFFSET(PLE!$G$14,$M27,CK$13)="",10^12,OFFSET(PLE!$G$14,$M27,CK$13))))</f>
        <v>1000000000000</v>
      </c>
      <c r="CL27" s="216">
        <f ca="1">IF($D27&lt;&gt;"Serviço",0,IF(OR(AND(AUTOEVENTO="Manual",$M27=1),$M27&gt;(ROW(PLE.lastrow)-ROW(PLE.firstrow))),0,IF(OFFSET(PLE!$G$14,$M27,CL$13)="",10^12,OFFSET(PLE!$G$14,$M27,CL$13))))</f>
        <v>1000000000000</v>
      </c>
      <c r="CM27" s="216">
        <f ca="1">IF($D27&lt;&gt;"Serviço",0,IF(OR(AND(AUTOEVENTO="Manual",$M27=1),$M27&gt;(ROW(PLE.lastrow)-ROW(PLE.firstrow))),0,IF(OFFSET(PLE!$G$14,$M27,CM$13)="",10^12,OFFSET(PLE!$G$14,$M27,CM$13))))</f>
        <v>1000000000000</v>
      </c>
    </row>
    <row r="28" spans="1:91" ht="13.2" x14ac:dyDescent="0.25">
      <c r="A28" s="9">
        <f t="shared" ca="1" si="9"/>
        <v>0</v>
      </c>
      <c r="B28" s="9">
        <f ca="1">OFFSET(ORÇAMENTO!C$15,ROW(B28)-ROW(B$15),0)</f>
        <v>2</v>
      </c>
      <c r="C28" s="9" t="str">
        <f ca="1">OFFSET(ORÇAMENTO!L$15,ROW(C28)-ROW(C$15),0)</f>
        <v>F</v>
      </c>
      <c r="D28" s="145" t="str">
        <f ca="1">OFFSET(ORÇAMENTO!N$15,ROW(D28)-ROW(D$15),0)</f>
        <v>Nível 2</v>
      </c>
      <c r="E28" s="205" t="str">
        <f ca="1">OFFSET(ORÇAMENTO!O$15,ROW(E28)-ROW(E$15),0)</f>
        <v>1.2.</v>
      </c>
      <c r="F28" s="206" t="str">
        <f ca="1">OFFSET(ORÇAMENTO!R$15,ROW(F28)-ROW(F$15),0)</f>
        <v>MOVIMENTO DE TERRA PARA FUNDAÇÕES</v>
      </c>
      <c r="G28" s="207" t="str">
        <f ca="1">IF($D28&lt;&gt;"Serviço","",OFFSET(ORÇAMENTO!S$15,ROW(G28)-ROW(G$15),0))</f>
        <v/>
      </c>
      <c r="H28" s="151">
        <f ca="1">IF($D28&lt;&gt;"Serviço",0,IF(ACOMPANHAMENTO="BM",ROUND(OFFSET(ORÇAMENTO!AJ$15,ROW(H28)-ROW(H$15),0),15-13*ORÇAMENTO!$AF$7),SUMPRODUCT(($Q$12:$AI$12&lt;&gt;"")*ROUND($Q28:$AI28,15-13*ORÇAMENTO!$AF$7))))</f>
        <v>0</v>
      </c>
      <c r="I28" s="650"/>
      <c r="K28" s="208"/>
      <c r="L28" s="209" t="s">
        <v>257</v>
      </c>
      <c r="M28" s="210" t="str">
        <f ca="1">IF($D28&lt;&gt;"Serviço","",IF(AUTOEVENTO="manual",$A28,IF(ISERROR(MATCH($A28,$A$15:OFFSET($A28,-1,0),0)),MAX($M$15:OFFSET(M28,-1,0))+1,INDEX($M$15:OFFSET(M28,-1,0),MATCH($A28,$A$15:OFFSET($A28,-1,0),0)))))</f>
        <v/>
      </c>
      <c r="N28" s="211" t="str">
        <f ca="1">IF($D28&lt;&gt;"Serviço","",IF(AUTOEVENTO="Manual",IF($A28=0,"&lt;-- defina o número do agrupador",OFFSET(EVENTOS!$D$14,$A28,0)),OFFSET($F$15,$A28,0)))</f>
        <v/>
      </c>
      <c r="O28" s="212"/>
      <c r="Q28" s="212"/>
      <c r="R28" s="213"/>
      <c r="S28" s="213"/>
      <c r="T28" s="213"/>
      <c r="U28" s="213"/>
      <c r="V28" s="213"/>
      <c r="W28" s="213"/>
      <c r="X28" s="213"/>
      <c r="Y28" s="213"/>
      <c r="Z28" s="214"/>
      <c r="AA28" s="213"/>
      <c r="AB28" s="213"/>
      <c r="AC28" s="213"/>
      <c r="AD28" s="213"/>
      <c r="AE28" s="213"/>
      <c r="AF28" s="213"/>
      <c r="AG28" s="213"/>
      <c r="AH28" s="214"/>
      <c r="AJ28" s="631">
        <f ca="1">IF(AND($D28="Serviço",AJ$12&lt;&gt;0,$H28&gt;0,OR(AUTOEVENTO&lt;&gt;"manual",$M28&lt;&gt;1)),ROUND(OFFSET($P28,0,AJ$13),15-13*ORÇAMENTO!$AF$7)/$H28*OFFSET(ORÇAMENTO!$X$15,ROW(AJ28)-ROW(AJ$15),0),0)</f>
        <v>0</v>
      </c>
      <c r="AK28" s="632">
        <f ca="1">IF(AND($D28="Serviço",AK$12&lt;&gt;0,$H28&gt;0,OR(AUTOEVENTO&lt;&gt;"manual",$M28&lt;&gt;1)),ROUND(OFFSET($P28,0,AK$13),15-13*ORÇAMENTO!$AF$7)/$H28*OFFSET(ORÇAMENTO!$X$15,ROW(AK28)-ROW(AK$15),0),0)</f>
        <v>0</v>
      </c>
      <c r="AL28" s="632">
        <f ca="1">IF(AND($D28="Serviço",AL$12&lt;&gt;0,$H28&gt;0,OR(AUTOEVENTO&lt;&gt;"manual",$M28&lt;&gt;1)),ROUND(OFFSET($P28,0,AL$13),15-13*ORÇAMENTO!$AF$7)/$H28*OFFSET(ORÇAMENTO!$X$15,ROW(AL28)-ROW(AL$15),0),0)</f>
        <v>0</v>
      </c>
      <c r="AM28" s="632">
        <f ca="1">IF(AND($D28="Serviço",AM$12&lt;&gt;0,$H28&gt;0,OR(AUTOEVENTO&lt;&gt;"manual",$M28&lt;&gt;1)),ROUND(OFFSET($P28,0,AM$13),15-13*ORÇAMENTO!$AF$7)/$H28*OFFSET(ORÇAMENTO!$X$15,ROW(AM28)-ROW(AM$15),0),0)</f>
        <v>0</v>
      </c>
      <c r="AN28" s="632">
        <f ca="1">IF(AND($D28="Serviço",AN$12&lt;&gt;0,$H28&gt;0,OR(AUTOEVENTO&lt;&gt;"manual",$M28&lt;&gt;1)),ROUND(OFFSET($P28,0,AN$13),15-13*ORÇAMENTO!$AF$7)/$H28*OFFSET(ORÇAMENTO!$X$15,ROW(AN28)-ROW(AN$15),0),0)</f>
        <v>0</v>
      </c>
      <c r="AO28" s="632">
        <f ca="1">IF(AND($D28="Serviço",AO$12&lt;&gt;0,$H28&gt;0,OR(AUTOEVENTO&lt;&gt;"manual",$M28&lt;&gt;1)),ROUND(OFFSET($P28,0,AO$13),15-13*ORÇAMENTO!$AF$7)/$H28*OFFSET(ORÇAMENTO!$X$15,ROW(AO28)-ROW(AO$15),0),0)</f>
        <v>0</v>
      </c>
      <c r="AP28" s="632">
        <f ca="1">IF(AND($D28="Serviço",AP$12&lt;&gt;0,$H28&gt;0,OR(AUTOEVENTO&lt;&gt;"manual",$M28&lt;&gt;1)),ROUND(OFFSET($P28,0,AP$13),15-13*ORÇAMENTO!$AF$7)/$H28*OFFSET(ORÇAMENTO!$X$15,ROW(AP28)-ROW(AP$15),0),0)</f>
        <v>0</v>
      </c>
      <c r="AQ28" s="632">
        <f ca="1">IF(AND($D28="Serviço",AQ$12&lt;&gt;0,$H28&gt;0,OR(AUTOEVENTO&lt;&gt;"manual",$M28&lt;&gt;1)),ROUND(OFFSET($P28,0,AQ$13),15-13*ORÇAMENTO!$AF$7)/$H28*OFFSET(ORÇAMENTO!$X$15,ROW(AQ28)-ROW(AQ$15),0),0)</f>
        <v>0</v>
      </c>
      <c r="AR28" s="632">
        <f ca="1">IF(AND($D28="Serviço",AR$12&lt;&gt;0,$H28&gt;0,OR(AUTOEVENTO&lt;&gt;"manual",$M28&lt;&gt;1)),ROUND(OFFSET($P28,0,AR$13),15-13*ORÇAMENTO!$AF$7)/$H28*OFFSET(ORÇAMENTO!$X$15,ROW(AR28)-ROW(AR$15),0),0)</f>
        <v>0</v>
      </c>
      <c r="AS28" s="633">
        <f ca="1">IF(AND($D28="Serviço",AS$12&lt;&gt;0,$H28&gt;0,OR(AUTOEVENTO&lt;&gt;"manual",$M28&lt;&gt;1)),ROUND(OFFSET($P28,0,AS$13),15-13*ORÇAMENTO!$AF$7)/$H28*OFFSET(ORÇAMENTO!$X$15,ROW(AS28)-ROW(AS$15),0),0)</f>
        <v>0</v>
      </c>
      <c r="AT28" s="632">
        <f ca="1">IF(AND($D28="Serviço",AT$12&lt;&gt;0,$H28&gt;0,OR(AUTOEVENTO&lt;&gt;"manual",$M28&lt;&gt;1)),ROUND(OFFSET($P28,0,AT$13),15-13*ORÇAMENTO!$AF$7)/$H28*OFFSET(ORÇAMENTO!$X$15,ROW(AT28)-ROW(AT$15),0),0)</f>
        <v>0</v>
      </c>
      <c r="AU28" s="632">
        <f ca="1">IF(AND($D28="Serviço",AU$12&lt;&gt;0,$H28&gt;0,OR(AUTOEVENTO&lt;&gt;"manual",$M28&lt;&gt;1)),ROUND(OFFSET($P28,0,AU$13),15-13*ORÇAMENTO!$AF$7)/$H28*OFFSET(ORÇAMENTO!$X$15,ROW(AU28)-ROW(AU$15),0),0)</f>
        <v>0</v>
      </c>
      <c r="AV28" s="632">
        <f ca="1">IF(AND($D28="Serviço",AV$12&lt;&gt;0,$H28&gt;0,OR(AUTOEVENTO&lt;&gt;"manual",$M28&lt;&gt;1)),ROUND(OFFSET($P28,0,AV$13),15-13*ORÇAMENTO!$AF$7)/$H28*OFFSET(ORÇAMENTO!$X$15,ROW(AV28)-ROW(AV$15),0),0)</f>
        <v>0</v>
      </c>
      <c r="AW28" s="632">
        <f ca="1">IF(AND($D28="Serviço",AW$12&lt;&gt;0,$H28&gt;0,OR(AUTOEVENTO&lt;&gt;"manual",$M28&lt;&gt;1)),ROUND(OFFSET($P28,0,AW$13),15-13*ORÇAMENTO!$AF$7)/$H28*OFFSET(ORÇAMENTO!$X$15,ROW(AW28)-ROW(AW$15),0),0)</f>
        <v>0</v>
      </c>
      <c r="AX28" s="632">
        <f ca="1">IF(AND($D28="Serviço",AX$12&lt;&gt;0,$H28&gt;0,OR(AUTOEVENTO&lt;&gt;"manual",$M28&lt;&gt;1)),ROUND(OFFSET($P28,0,AX$13),15-13*ORÇAMENTO!$AF$7)/$H28*OFFSET(ORÇAMENTO!$X$15,ROW(AX28)-ROW(AX$15),0),0)</f>
        <v>0</v>
      </c>
      <c r="AY28" s="632">
        <f ca="1">IF(AND($D28="Serviço",AY$12&lt;&gt;0,$H28&gt;0,OR(AUTOEVENTO&lt;&gt;"manual",$M28&lt;&gt;1)),ROUND(OFFSET($P28,0,AY$13),15-13*ORÇAMENTO!$AF$7)/$H28*OFFSET(ORÇAMENTO!$X$15,ROW(AY28)-ROW(AY$15),0),0)</f>
        <v>0</v>
      </c>
      <c r="AZ28" s="632">
        <f ca="1">IF(AND($D28="Serviço",AZ$12&lt;&gt;0,$H28&gt;0,OR(AUTOEVENTO&lt;&gt;"manual",$M28&lt;&gt;1)),ROUND(OFFSET($P28,0,AZ$13),15-13*ORÇAMENTO!$AF$7)/$H28*OFFSET(ORÇAMENTO!$X$15,ROW(AZ28)-ROW(AZ$15),0),0)</f>
        <v>0</v>
      </c>
      <c r="BA28" s="633">
        <f ca="1">IF(AND($D28="Serviço",BA$12&lt;&gt;0,$H28&gt;0,OR(AUTOEVENTO&lt;&gt;"manual",$M28&lt;&gt;1)),ROUND(OFFSET($P28,0,BA$13),15-13*ORÇAMENTO!$AF$7)/$H28*OFFSET(ORÇAMENTO!$X$15,ROW(BA28)-ROW(BA$15),0),0)</f>
        <v>0</v>
      </c>
      <c r="BC28" s="215">
        <f ca="1">IF($D28&lt;&gt;"Serviço",0,IF(AND(AUTOEVENTO="Manual",$M28=1),0,IF(OFFSET(CRONOPLE!$F$14,$M28,BC$13)="",10^12,OFFSET(CRONOPLE!$F$14,$M28,BC$13))))</f>
        <v>0</v>
      </c>
      <c r="BD28" s="215">
        <f ca="1">IF($D28&lt;&gt;"Serviço",0,IF(AND(AUTOEVENTO="Manual",$M28=1),0,IF(OFFSET(CRONOPLE!$F$14,$M28,BD$13)="",10^12,OFFSET(CRONOPLE!$F$14,$M28,BD$13))))</f>
        <v>0</v>
      </c>
      <c r="BE28" s="215">
        <f ca="1">IF($D28&lt;&gt;"Serviço",0,IF(AND(AUTOEVENTO="Manual",$M28=1),0,IF(OFFSET(CRONOPLE!$F$14,$M28,BE$13)="",10^12,OFFSET(CRONOPLE!$F$14,$M28,BE$13))))</f>
        <v>0</v>
      </c>
      <c r="BF28" s="215">
        <f ca="1">IF($D28&lt;&gt;"Serviço",0,IF(AND(AUTOEVENTO="Manual",$M28=1),0,IF(OFFSET(CRONOPLE!$F$14,$M28,BF$13)="",10^12,OFFSET(CRONOPLE!$F$14,$M28,BF$13))))</f>
        <v>0</v>
      </c>
      <c r="BG28" s="215">
        <f ca="1">IF($D28&lt;&gt;"Serviço",0,IF(AND(AUTOEVENTO="Manual",$M28=1),0,IF(OFFSET(CRONOPLE!$F$14,$M28,BG$13)="",10^12,OFFSET(CRONOPLE!$F$14,$M28,BG$13))))</f>
        <v>0</v>
      </c>
      <c r="BH28" s="215">
        <f ca="1">IF($D28&lt;&gt;"Serviço",0,IF(AND(AUTOEVENTO="Manual",$M28=1),0,IF(OFFSET(CRONOPLE!$F$14,$M28,BH$13)="",10^12,OFFSET(CRONOPLE!$F$14,$M28,BH$13))))</f>
        <v>0</v>
      </c>
      <c r="BI28" s="215">
        <f ca="1">IF($D28&lt;&gt;"Serviço",0,IF(AND(AUTOEVENTO="Manual",$M28=1),0,IF(OFFSET(CRONOPLE!$F$14,$M28,BI$13)="",10^12,OFFSET(CRONOPLE!$F$14,$M28,BI$13))))</f>
        <v>0</v>
      </c>
      <c r="BJ28" s="215">
        <f ca="1">IF($D28&lt;&gt;"Serviço",0,IF(AND(AUTOEVENTO="Manual",$M28=1),0,IF(OFFSET(CRONOPLE!$F$14,$M28,BJ$13)="",10^12,OFFSET(CRONOPLE!$F$14,$M28,BJ$13))))</f>
        <v>0</v>
      </c>
      <c r="BK28" s="215">
        <f ca="1">IF($D28&lt;&gt;"Serviço",0,IF(AND(AUTOEVENTO="Manual",$M28=1),0,IF(OFFSET(CRONOPLE!$F$14,$M28,BK$13)="",10^12,OFFSET(CRONOPLE!$F$14,$M28,BK$13))))</f>
        <v>0</v>
      </c>
      <c r="BL28" s="215">
        <f ca="1">IF($D28&lt;&gt;"Serviço",0,IF(AND(AUTOEVENTO="Manual",$M28=1),0,IF(OFFSET(CRONOPLE!$F$14,$M28,BL$13)="",10^12,OFFSET(CRONOPLE!$F$14,$M28,BL$13))))</f>
        <v>0</v>
      </c>
      <c r="BM28" s="215">
        <f ca="1">IF($D28&lt;&gt;"Serviço",0,IF(AND(AUTOEVENTO="Manual",$M28=1),0,IF(OFFSET(CRONOPLE!$F$14,$M28,BM$13)="",10^12,OFFSET(CRONOPLE!$F$14,$M28,BM$13))))</f>
        <v>0</v>
      </c>
      <c r="BN28" s="215">
        <f ca="1">IF($D28&lt;&gt;"Serviço",0,IF(AND(AUTOEVENTO="Manual",$M28=1),0,IF(OFFSET(CRONOPLE!$F$14,$M28,BN$13)="",10^12,OFFSET(CRONOPLE!$F$14,$M28,BN$13))))</f>
        <v>0</v>
      </c>
      <c r="BO28" s="215">
        <f ca="1">IF($D28&lt;&gt;"Serviço",0,IF(AND(AUTOEVENTO="Manual",$M28=1),0,IF(OFFSET(CRONOPLE!$F$14,$M28,BO$13)="",10^12,OFFSET(CRONOPLE!$F$14,$M28,BO$13))))</f>
        <v>0</v>
      </c>
      <c r="BP28" s="215">
        <f ca="1">IF($D28&lt;&gt;"Serviço",0,IF(AND(AUTOEVENTO="Manual",$M28=1),0,IF(OFFSET(CRONOPLE!$F$14,$M28,BP$13)="",10^12,OFFSET(CRONOPLE!$F$14,$M28,BP$13))))</f>
        <v>0</v>
      </c>
      <c r="BQ28" s="215">
        <f ca="1">IF($D28&lt;&gt;"Serviço",0,IF(AND(AUTOEVENTO="Manual",$M28=1),0,IF(OFFSET(CRONOPLE!$F$14,$M28,BQ$13)="",10^12,OFFSET(CRONOPLE!$F$14,$M28,BQ$13))))</f>
        <v>0</v>
      </c>
      <c r="BR28" s="215">
        <f ca="1">IF($D28&lt;&gt;"Serviço",0,IF(AND(AUTOEVENTO="Manual",$M28=1),0,IF(OFFSET(CRONOPLE!$F$14,$M28,BR$13)="",10^12,OFFSET(CRONOPLE!$F$14,$M28,BR$13))))</f>
        <v>0</v>
      </c>
      <c r="BS28" s="215">
        <f ca="1">IF($D28&lt;&gt;"Serviço",0,IF(AND(AUTOEVENTO="Manual",$M28=1),0,IF(OFFSET(CRONOPLE!$F$14,$M28,BS$13)="",10^12,OFFSET(CRONOPLE!$F$14,$M28,BS$13))))</f>
        <v>0</v>
      </c>
      <c r="BT28" s="215">
        <f ca="1">IF($D28&lt;&gt;"Serviço",0,IF(AND(AUTOEVENTO="Manual",$M28=1),0,IF(OFFSET(CRONOPLE!$F$14,$M28,BT$13)="",10^12,OFFSET(CRONOPLE!$F$14,$M28,BT$13))))</f>
        <v>0</v>
      </c>
      <c r="BV28" s="216">
        <f ca="1">IF($D28&lt;&gt;"Serviço",0,IF(OR(AND(AUTOEVENTO="Manual",$M28=1),$M28&gt;(ROW(PLE.lastrow)-ROW(PLE.firstrow))),0,IF(OFFSET(PLE!$G$14,$M28,BV$13)="",10^12,OFFSET(PLE!$G$14,$M28,BV$13))))</f>
        <v>0</v>
      </c>
      <c r="BW28" s="216">
        <f ca="1">IF($D28&lt;&gt;"Serviço",0,IF(OR(AND(AUTOEVENTO="Manual",$M28=1),$M28&gt;(ROW(PLE.lastrow)-ROW(PLE.firstrow))),0,IF(OFFSET(PLE!$G$14,$M28,BW$13)="",10^12,OFFSET(PLE!$G$14,$M28,BW$13))))</f>
        <v>0</v>
      </c>
      <c r="BX28" s="216">
        <f ca="1">IF($D28&lt;&gt;"Serviço",0,IF(OR(AND(AUTOEVENTO="Manual",$M28=1),$M28&gt;(ROW(PLE.lastrow)-ROW(PLE.firstrow))),0,IF(OFFSET(PLE!$G$14,$M28,BX$13)="",10^12,OFFSET(PLE!$G$14,$M28,BX$13))))</f>
        <v>0</v>
      </c>
      <c r="BY28" s="216">
        <f ca="1">IF($D28&lt;&gt;"Serviço",0,IF(OR(AND(AUTOEVENTO="Manual",$M28=1),$M28&gt;(ROW(PLE.lastrow)-ROW(PLE.firstrow))),0,IF(OFFSET(PLE!$G$14,$M28,BY$13)="",10^12,OFFSET(PLE!$G$14,$M28,BY$13))))</f>
        <v>0</v>
      </c>
      <c r="BZ28" s="216">
        <f ca="1">IF($D28&lt;&gt;"Serviço",0,IF(OR(AND(AUTOEVENTO="Manual",$M28=1),$M28&gt;(ROW(PLE.lastrow)-ROW(PLE.firstrow))),0,IF(OFFSET(PLE!$G$14,$M28,BZ$13)="",10^12,OFFSET(PLE!$G$14,$M28,BZ$13))))</f>
        <v>0</v>
      </c>
      <c r="CA28" s="216">
        <f ca="1">IF($D28&lt;&gt;"Serviço",0,IF(OR(AND(AUTOEVENTO="Manual",$M28=1),$M28&gt;(ROW(PLE.lastrow)-ROW(PLE.firstrow))),0,IF(OFFSET(PLE!$G$14,$M28,CA$13)="",10^12,OFFSET(PLE!$G$14,$M28,CA$13))))</f>
        <v>0</v>
      </c>
      <c r="CB28" s="216">
        <f ca="1">IF($D28&lt;&gt;"Serviço",0,IF(OR(AND(AUTOEVENTO="Manual",$M28=1),$M28&gt;(ROW(PLE.lastrow)-ROW(PLE.firstrow))),0,IF(OFFSET(PLE!$G$14,$M28,CB$13)="",10^12,OFFSET(PLE!$G$14,$M28,CB$13))))</f>
        <v>0</v>
      </c>
      <c r="CC28" s="216">
        <f ca="1">IF($D28&lt;&gt;"Serviço",0,IF(OR(AND(AUTOEVENTO="Manual",$M28=1),$M28&gt;(ROW(PLE.lastrow)-ROW(PLE.firstrow))),0,IF(OFFSET(PLE!$G$14,$M28,CC$13)="",10^12,OFFSET(PLE!$G$14,$M28,CC$13))))</f>
        <v>0</v>
      </c>
      <c r="CD28" s="216">
        <f ca="1">IF($D28&lt;&gt;"Serviço",0,IF(OR(AND(AUTOEVENTO="Manual",$M28=1),$M28&gt;(ROW(PLE.lastrow)-ROW(PLE.firstrow))),0,IF(OFFSET(PLE!$G$14,$M28,CD$13)="",10^12,OFFSET(PLE!$G$14,$M28,CD$13))))</f>
        <v>0</v>
      </c>
      <c r="CE28" s="216">
        <f ca="1">IF($D28&lt;&gt;"Serviço",0,IF(OR(AND(AUTOEVENTO="Manual",$M28=1),$M28&gt;(ROW(PLE.lastrow)-ROW(PLE.firstrow))),0,IF(OFFSET(PLE!$G$14,$M28,CE$13)="",10^12,OFFSET(PLE!$G$14,$M28,CE$13))))</f>
        <v>0</v>
      </c>
      <c r="CF28" s="216">
        <f ca="1">IF($D28&lt;&gt;"Serviço",0,IF(OR(AND(AUTOEVENTO="Manual",$M28=1),$M28&gt;(ROW(PLE.lastrow)-ROW(PLE.firstrow))),0,IF(OFFSET(PLE!$G$14,$M28,CF$13)="",10^12,OFFSET(PLE!$G$14,$M28,CF$13))))</f>
        <v>0</v>
      </c>
      <c r="CG28" s="216">
        <f ca="1">IF($D28&lt;&gt;"Serviço",0,IF(OR(AND(AUTOEVENTO="Manual",$M28=1),$M28&gt;(ROW(PLE.lastrow)-ROW(PLE.firstrow))),0,IF(OFFSET(PLE!$G$14,$M28,CG$13)="",10^12,OFFSET(PLE!$G$14,$M28,CG$13))))</f>
        <v>0</v>
      </c>
      <c r="CH28" s="216">
        <f ca="1">IF($D28&lt;&gt;"Serviço",0,IF(OR(AND(AUTOEVENTO="Manual",$M28=1),$M28&gt;(ROW(PLE.lastrow)-ROW(PLE.firstrow))),0,IF(OFFSET(PLE!$G$14,$M28,CH$13)="",10^12,OFFSET(PLE!$G$14,$M28,CH$13))))</f>
        <v>0</v>
      </c>
      <c r="CI28" s="216">
        <f ca="1">IF($D28&lt;&gt;"Serviço",0,IF(OR(AND(AUTOEVENTO="Manual",$M28=1),$M28&gt;(ROW(PLE.lastrow)-ROW(PLE.firstrow))),0,IF(OFFSET(PLE!$G$14,$M28,CI$13)="",10^12,OFFSET(PLE!$G$14,$M28,CI$13))))</f>
        <v>0</v>
      </c>
      <c r="CJ28" s="216">
        <f ca="1">IF($D28&lt;&gt;"Serviço",0,IF(OR(AND(AUTOEVENTO="Manual",$M28=1),$M28&gt;(ROW(PLE.lastrow)-ROW(PLE.firstrow))),0,IF(OFFSET(PLE!$G$14,$M28,CJ$13)="",10^12,OFFSET(PLE!$G$14,$M28,CJ$13))))</f>
        <v>0</v>
      </c>
      <c r="CK28" s="216">
        <f ca="1">IF($D28&lt;&gt;"Serviço",0,IF(OR(AND(AUTOEVENTO="Manual",$M28=1),$M28&gt;(ROW(PLE.lastrow)-ROW(PLE.firstrow))),0,IF(OFFSET(PLE!$G$14,$M28,CK$13)="",10^12,OFFSET(PLE!$G$14,$M28,CK$13))))</f>
        <v>0</v>
      </c>
      <c r="CL28" s="216">
        <f ca="1">IF($D28&lt;&gt;"Serviço",0,IF(OR(AND(AUTOEVENTO="Manual",$M28=1),$M28&gt;(ROW(PLE.lastrow)-ROW(PLE.firstrow))),0,IF(OFFSET(PLE!$G$14,$M28,CL$13)="",10^12,OFFSET(PLE!$G$14,$M28,CL$13))))</f>
        <v>0</v>
      </c>
      <c r="CM28" s="216">
        <f ca="1">IF($D28&lt;&gt;"Serviço",0,IF(OR(AND(AUTOEVENTO="Manual",$M28=1),$M28&gt;(ROW(PLE.lastrow)-ROW(PLE.firstrow))),0,IF(OFFSET(PLE!$G$14,$M28,CM$13)="",10^12,OFFSET(PLE!$G$14,$M28,CM$13))))</f>
        <v>0</v>
      </c>
    </row>
    <row r="29" spans="1:91" ht="13.2" x14ac:dyDescent="0.25">
      <c r="A29" s="9">
        <f t="shared" ca="1" si="9"/>
        <v>0</v>
      </c>
      <c r="B29" s="9">
        <f ca="1">OFFSET(ORÇAMENTO!C$15,ROW(B29)-ROW(B$15),0)</f>
        <v>3</v>
      </c>
      <c r="C29" s="9" t="str">
        <f ca="1">OFFSET(ORÇAMENTO!L$15,ROW(C29)-ROW(C$15),0)</f>
        <v>F</v>
      </c>
      <c r="D29" s="145" t="str">
        <f ca="1">OFFSET(ORÇAMENTO!N$15,ROW(D29)-ROW(D$15),0)</f>
        <v>Nível 3</v>
      </c>
      <c r="E29" s="205" t="str">
        <f ca="1">OFFSET(ORÇAMENTO!O$15,ROW(E29)-ROW(E$15),0)</f>
        <v>1.2.1.</v>
      </c>
      <c r="F29" s="206" t="str">
        <f ca="1">OFFSET(ORÇAMENTO!R$15,ROW(F29)-ROW(F$15),0)</f>
        <v>SAPATAS</v>
      </c>
      <c r="G29" s="207" t="str">
        <f ca="1">IF($D29&lt;&gt;"Serviço","",OFFSET(ORÇAMENTO!S$15,ROW(G29)-ROW(G$15),0))</f>
        <v/>
      </c>
      <c r="H29" s="151">
        <f ca="1">IF($D29&lt;&gt;"Serviço",0,IF(ACOMPANHAMENTO="BM",ROUND(OFFSET(ORÇAMENTO!AJ$15,ROW(H29)-ROW(H$15),0),15-13*ORÇAMENTO!$AF$7),SUMPRODUCT(($Q$12:$AI$12&lt;&gt;"")*ROUND($Q29:$AI29,15-13*ORÇAMENTO!$AF$7))))</f>
        <v>0</v>
      </c>
      <c r="I29" s="650"/>
      <c r="K29" s="208"/>
      <c r="L29" s="209" t="s">
        <v>257</v>
      </c>
      <c r="M29" s="210" t="str">
        <f ca="1">IF($D29&lt;&gt;"Serviço","",IF(AUTOEVENTO="manual",$A29,IF(ISERROR(MATCH($A29,$A$15:OFFSET($A29,-1,0),0)),MAX($M$15:OFFSET(M29,-1,0))+1,INDEX($M$15:OFFSET(M29,-1,0),MATCH($A29,$A$15:OFFSET($A29,-1,0),0)))))</f>
        <v/>
      </c>
      <c r="N29" s="211" t="str">
        <f ca="1">IF($D29&lt;&gt;"Serviço","",IF(AUTOEVENTO="Manual",IF($A29=0,"&lt;-- defina o número do agrupador",OFFSET(EVENTOS!$D$14,$A29,0)),OFFSET($F$15,$A29,0)))</f>
        <v/>
      </c>
      <c r="O29" s="212"/>
      <c r="Q29" s="212"/>
      <c r="R29" s="213"/>
      <c r="S29" s="213"/>
      <c r="T29" s="213"/>
      <c r="U29" s="213"/>
      <c r="V29" s="213"/>
      <c r="W29" s="213"/>
      <c r="X29" s="213"/>
      <c r="Y29" s="213"/>
      <c r="Z29" s="214"/>
      <c r="AA29" s="213"/>
      <c r="AB29" s="213"/>
      <c r="AC29" s="213"/>
      <c r="AD29" s="213"/>
      <c r="AE29" s="213"/>
      <c r="AF29" s="213"/>
      <c r="AG29" s="213"/>
      <c r="AH29" s="214"/>
      <c r="AJ29" s="631">
        <f ca="1">IF(AND($D29="Serviço",AJ$12&lt;&gt;0,$H29&gt;0,OR(AUTOEVENTO&lt;&gt;"manual",$M29&lt;&gt;1)),ROUND(OFFSET($P29,0,AJ$13),15-13*ORÇAMENTO!$AF$7)/$H29*OFFSET(ORÇAMENTO!$X$15,ROW(AJ29)-ROW(AJ$15),0),0)</f>
        <v>0</v>
      </c>
      <c r="AK29" s="632">
        <f ca="1">IF(AND($D29="Serviço",AK$12&lt;&gt;0,$H29&gt;0,OR(AUTOEVENTO&lt;&gt;"manual",$M29&lt;&gt;1)),ROUND(OFFSET($P29,0,AK$13),15-13*ORÇAMENTO!$AF$7)/$H29*OFFSET(ORÇAMENTO!$X$15,ROW(AK29)-ROW(AK$15),0),0)</f>
        <v>0</v>
      </c>
      <c r="AL29" s="632">
        <f ca="1">IF(AND($D29="Serviço",AL$12&lt;&gt;0,$H29&gt;0,OR(AUTOEVENTO&lt;&gt;"manual",$M29&lt;&gt;1)),ROUND(OFFSET($P29,0,AL$13),15-13*ORÇAMENTO!$AF$7)/$H29*OFFSET(ORÇAMENTO!$X$15,ROW(AL29)-ROW(AL$15),0),0)</f>
        <v>0</v>
      </c>
      <c r="AM29" s="632">
        <f ca="1">IF(AND($D29="Serviço",AM$12&lt;&gt;0,$H29&gt;0,OR(AUTOEVENTO&lt;&gt;"manual",$M29&lt;&gt;1)),ROUND(OFFSET($P29,0,AM$13),15-13*ORÇAMENTO!$AF$7)/$H29*OFFSET(ORÇAMENTO!$X$15,ROW(AM29)-ROW(AM$15),0),0)</f>
        <v>0</v>
      </c>
      <c r="AN29" s="632">
        <f ca="1">IF(AND($D29="Serviço",AN$12&lt;&gt;0,$H29&gt;0,OR(AUTOEVENTO&lt;&gt;"manual",$M29&lt;&gt;1)),ROUND(OFFSET($P29,0,AN$13),15-13*ORÇAMENTO!$AF$7)/$H29*OFFSET(ORÇAMENTO!$X$15,ROW(AN29)-ROW(AN$15),0),0)</f>
        <v>0</v>
      </c>
      <c r="AO29" s="632">
        <f ca="1">IF(AND($D29="Serviço",AO$12&lt;&gt;0,$H29&gt;0,OR(AUTOEVENTO&lt;&gt;"manual",$M29&lt;&gt;1)),ROUND(OFFSET($P29,0,AO$13),15-13*ORÇAMENTO!$AF$7)/$H29*OFFSET(ORÇAMENTO!$X$15,ROW(AO29)-ROW(AO$15),0),0)</f>
        <v>0</v>
      </c>
      <c r="AP29" s="632">
        <f ca="1">IF(AND($D29="Serviço",AP$12&lt;&gt;0,$H29&gt;0,OR(AUTOEVENTO&lt;&gt;"manual",$M29&lt;&gt;1)),ROUND(OFFSET($P29,0,AP$13),15-13*ORÇAMENTO!$AF$7)/$H29*OFFSET(ORÇAMENTO!$X$15,ROW(AP29)-ROW(AP$15),0),0)</f>
        <v>0</v>
      </c>
      <c r="AQ29" s="632">
        <f ca="1">IF(AND($D29="Serviço",AQ$12&lt;&gt;0,$H29&gt;0,OR(AUTOEVENTO&lt;&gt;"manual",$M29&lt;&gt;1)),ROUND(OFFSET($P29,0,AQ$13),15-13*ORÇAMENTO!$AF$7)/$H29*OFFSET(ORÇAMENTO!$X$15,ROW(AQ29)-ROW(AQ$15),0),0)</f>
        <v>0</v>
      </c>
      <c r="AR29" s="632">
        <f ca="1">IF(AND($D29="Serviço",AR$12&lt;&gt;0,$H29&gt;0,OR(AUTOEVENTO&lt;&gt;"manual",$M29&lt;&gt;1)),ROUND(OFFSET($P29,0,AR$13),15-13*ORÇAMENTO!$AF$7)/$H29*OFFSET(ORÇAMENTO!$X$15,ROW(AR29)-ROW(AR$15),0),0)</f>
        <v>0</v>
      </c>
      <c r="AS29" s="633">
        <f ca="1">IF(AND($D29="Serviço",AS$12&lt;&gt;0,$H29&gt;0,OR(AUTOEVENTO&lt;&gt;"manual",$M29&lt;&gt;1)),ROUND(OFFSET($P29,0,AS$13),15-13*ORÇAMENTO!$AF$7)/$H29*OFFSET(ORÇAMENTO!$X$15,ROW(AS29)-ROW(AS$15),0),0)</f>
        <v>0</v>
      </c>
      <c r="AT29" s="632">
        <f ca="1">IF(AND($D29="Serviço",AT$12&lt;&gt;0,$H29&gt;0,OR(AUTOEVENTO&lt;&gt;"manual",$M29&lt;&gt;1)),ROUND(OFFSET($P29,0,AT$13),15-13*ORÇAMENTO!$AF$7)/$H29*OFFSET(ORÇAMENTO!$X$15,ROW(AT29)-ROW(AT$15),0),0)</f>
        <v>0</v>
      </c>
      <c r="AU29" s="632">
        <f ca="1">IF(AND($D29="Serviço",AU$12&lt;&gt;0,$H29&gt;0,OR(AUTOEVENTO&lt;&gt;"manual",$M29&lt;&gt;1)),ROUND(OFFSET($P29,0,AU$13),15-13*ORÇAMENTO!$AF$7)/$H29*OFFSET(ORÇAMENTO!$X$15,ROW(AU29)-ROW(AU$15),0),0)</f>
        <v>0</v>
      </c>
      <c r="AV29" s="632">
        <f ca="1">IF(AND($D29="Serviço",AV$12&lt;&gt;0,$H29&gt;0,OR(AUTOEVENTO&lt;&gt;"manual",$M29&lt;&gt;1)),ROUND(OFFSET($P29,0,AV$13),15-13*ORÇAMENTO!$AF$7)/$H29*OFFSET(ORÇAMENTO!$X$15,ROW(AV29)-ROW(AV$15),0),0)</f>
        <v>0</v>
      </c>
      <c r="AW29" s="632">
        <f ca="1">IF(AND($D29="Serviço",AW$12&lt;&gt;0,$H29&gt;0,OR(AUTOEVENTO&lt;&gt;"manual",$M29&lt;&gt;1)),ROUND(OFFSET($P29,0,AW$13),15-13*ORÇAMENTO!$AF$7)/$H29*OFFSET(ORÇAMENTO!$X$15,ROW(AW29)-ROW(AW$15),0),0)</f>
        <v>0</v>
      </c>
      <c r="AX29" s="632">
        <f ca="1">IF(AND($D29="Serviço",AX$12&lt;&gt;0,$H29&gt;0,OR(AUTOEVENTO&lt;&gt;"manual",$M29&lt;&gt;1)),ROUND(OFFSET($P29,0,AX$13),15-13*ORÇAMENTO!$AF$7)/$H29*OFFSET(ORÇAMENTO!$X$15,ROW(AX29)-ROW(AX$15),0),0)</f>
        <v>0</v>
      </c>
      <c r="AY29" s="632">
        <f ca="1">IF(AND($D29="Serviço",AY$12&lt;&gt;0,$H29&gt;0,OR(AUTOEVENTO&lt;&gt;"manual",$M29&lt;&gt;1)),ROUND(OFFSET($P29,0,AY$13),15-13*ORÇAMENTO!$AF$7)/$H29*OFFSET(ORÇAMENTO!$X$15,ROW(AY29)-ROW(AY$15),0),0)</f>
        <v>0</v>
      </c>
      <c r="AZ29" s="632">
        <f ca="1">IF(AND($D29="Serviço",AZ$12&lt;&gt;0,$H29&gt;0,OR(AUTOEVENTO&lt;&gt;"manual",$M29&lt;&gt;1)),ROUND(OFFSET($P29,0,AZ$13),15-13*ORÇAMENTO!$AF$7)/$H29*OFFSET(ORÇAMENTO!$X$15,ROW(AZ29)-ROW(AZ$15),0),0)</f>
        <v>0</v>
      </c>
      <c r="BA29" s="633">
        <f ca="1">IF(AND($D29="Serviço",BA$12&lt;&gt;0,$H29&gt;0,OR(AUTOEVENTO&lt;&gt;"manual",$M29&lt;&gt;1)),ROUND(OFFSET($P29,0,BA$13),15-13*ORÇAMENTO!$AF$7)/$H29*OFFSET(ORÇAMENTO!$X$15,ROW(BA29)-ROW(BA$15),0),0)</f>
        <v>0</v>
      </c>
      <c r="BC29" s="215">
        <f ca="1">IF($D29&lt;&gt;"Serviço",0,IF(AND(AUTOEVENTO="Manual",$M29=1),0,IF(OFFSET(CRONOPLE!$F$14,$M29,BC$13)="",10^12,OFFSET(CRONOPLE!$F$14,$M29,BC$13))))</f>
        <v>0</v>
      </c>
      <c r="BD29" s="215">
        <f ca="1">IF($D29&lt;&gt;"Serviço",0,IF(AND(AUTOEVENTO="Manual",$M29=1),0,IF(OFFSET(CRONOPLE!$F$14,$M29,BD$13)="",10^12,OFFSET(CRONOPLE!$F$14,$M29,BD$13))))</f>
        <v>0</v>
      </c>
      <c r="BE29" s="215">
        <f ca="1">IF($D29&lt;&gt;"Serviço",0,IF(AND(AUTOEVENTO="Manual",$M29=1),0,IF(OFFSET(CRONOPLE!$F$14,$M29,BE$13)="",10^12,OFFSET(CRONOPLE!$F$14,$M29,BE$13))))</f>
        <v>0</v>
      </c>
      <c r="BF29" s="215">
        <f ca="1">IF($D29&lt;&gt;"Serviço",0,IF(AND(AUTOEVENTO="Manual",$M29=1),0,IF(OFFSET(CRONOPLE!$F$14,$M29,BF$13)="",10^12,OFFSET(CRONOPLE!$F$14,$M29,BF$13))))</f>
        <v>0</v>
      </c>
      <c r="BG29" s="215">
        <f ca="1">IF($D29&lt;&gt;"Serviço",0,IF(AND(AUTOEVENTO="Manual",$M29=1),0,IF(OFFSET(CRONOPLE!$F$14,$M29,BG$13)="",10^12,OFFSET(CRONOPLE!$F$14,$M29,BG$13))))</f>
        <v>0</v>
      </c>
      <c r="BH29" s="215">
        <f ca="1">IF($D29&lt;&gt;"Serviço",0,IF(AND(AUTOEVENTO="Manual",$M29=1),0,IF(OFFSET(CRONOPLE!$F$14,$M29,BH$13)="",10^12,OFFSET(CRONOPLE!$F$14,$M29,BH$13))))</f>
        <v>0</v>
      </c>
      <c r="BI29" s="215">
        <f ca="1">IF($D29&lt;&gt;"Serviço",0,IF(AND(AUTOEVENTO="Manual",$M29=1),0,IF(OFFSET(CRONOPLE!$F$14,$M29,BI$13)="",10^12,OFFSET(CRONOPLE!$F$14,$M29,BI$13))))</f>
        <v>0</v>
      </c>
      <c r="BJ29" s="215">
        <f ca="1">IF($D29&lt;&gt;"Serviço",0,IF(AND(AUTOEVENTO="Manual",$M29=1),0,IF(OFFSET(CRONOPLE!$F$14,$M29,BJ$13)="",10^12,OFFSET(CRONOPLE!$F$14,$M29,BJ$13))))</f>
        <v>0</v>
      </c>
      <c r="BK29" s="215">
        <f ca="1">IF($D29&lt;&gt;"Serviço",0,IF(AND(AUTOEVENTO="Manual",$M29=1),0,IF(OFFSET(CRONOPLE!$F$14,$M29,BK$13)="",10^12,OFFSET(CRONOPLE!$F$14,$M29,BK$13))))</f>
        <v>0</v>
      </c>
      <c r="BL29" s="215">
        <f ca="1">IF($D29&lt;&gt;"Serviço",0,IF(AND(AUTOEVENTO="Manual",$M29=1),0,IF(OFFSET(CRONOPLE!$F$14,$M29,BL$13)="",10^12,OFFSET(CRONOPLE!$F$14,$M29,BL$13))))</f>
        <v>0</v>
      </c>
      <c r="BM29" s="215">
        <f ca="1">IF($D29&lt;&gt;"Serviço",0,IF(AND(AUTOEVENTO="Manual",$M29=1),0,IF(OFFSET(CRONOPLE!$F$14,$M29,BM$13)="",10^12,OFFSET(CRONOPLE!$F$14,$M29,BM$13))))</f>
        <v>0</v>
      </c>
      <c r="BN29" s="215">
        <f ca="1">IF($D29&lt;&gt;"Serviço",0,IF(AND(AUTOEVENTO="Manual",$M29=1),0,IF(OFFSET(CRONOPLE!$F$14,$M29,BN$13)="",10^12,OFFSET(CRONOPLE!$F$14,$M29,BN$13))))</f>
        <v>0</v>
      </c>
      <c r="BO29" s="215">
        <f ca="1">IF($D29&lt;&gt;"Serviço",0,IF(AND(AUTOEVENTO="Manual",$M29=1),0,IF(OFFSET(CRONOPLE!$F$14,$M29,BO$13)="",10^12,OFFSET(CRONOPLE!$F$14,$M29,BO$13))))</f>
        <v>0</v>
      </c>
      <c r="BP29" s="215">
        <f ca="1">IF($D29&lt;&gt;"Serviço",0,IF(AND(AUTOEVENTO="Manual",$M29=1),0,IF(OFFSET(CRONOPLE!$F$14,$M29,BP$13)="",10^12,OFFSET(CRONOPLE!$F$14,$M29,BP$13))))</f>
        <v>0</v>
      </c>
      <c r="BQ29" s="215">
        <f ca="1">IF($D29&lt;&gt;"Serviço",0,IF(AND(AUTOEVENTO="Manual",$M29=1),0,IF(OFFSET(CRONOPLE!$F$14,$M29,BQ$13)="",10^12,OFFSET(CRONOPLE!$F$14,$M29,BQ$13))))</f>
        <v>0</v>
      </c>
      <c r="BR29" s="215">
        <f ca="1">IF($D29&lt;&gt;"Serviço",0,IF(AND(AUTOEVENTO="Manual",$M29=1),0,IF(OFFSET(CRONOPLE!$F$14,$M29,BR$13)="",10^12,OFFSET(CRONOPLE!$F$14,$M29,BR$13))))</f>
        <v>0</v>
      </c>
      <c r="BS29" s="215">
        <f ca="1">IF($D29&lt;&gt;"Serviço",0,IF(AND(AUTOEVENTO="Manual",$M29=1),0,IF(OFFSET(CRONOPLE!$F$14,$M29,BS$13)="",10^12,OFFSET(CRONOPLE!$F$14,$M29,BS$13))))</f>
        <v>0</v>
      </c>
      <c r="BT29" s="215">
        <f ca="1">IF($D29&lt;&gt;"Serviço",0,IF(AND(AUTOEVENTO="Manual",$M29=1),0,IF(OFFSET(CRONOPLE!$F$14,$M29,BT$13)="",10^12,OFFSET(CRONOPLE!$F$14,$M29,BT$13))))</f>
        <v>0</v>
      </c>
      <c r="BV29" s="216">
        <f ca="1">IF($D29&lt;&gt;"Serviço",0,IF(OR(AND(AUTOEVENTO="Manual",$M29=1),$M29&gt;(ROW(PLE.lastrow)-ROW(PLE.firstrow))),0,IF(OFFSET(PLE!$G$14,$M29,BV$13)="",10^12,OFFSET(PLE!$G$14,$M29,BV$13))))</f>
        <v>0</v>
      </c>
      <c r="BW29" s="216">
        <f ca="1">IF($D29&lt;&gt;"Serviço",0,IF(OR(AND(AUTOEVENTO="Manual",$M29=1),$M29&gt;(ROW(PLE.lastrow)-ROW(PLE.firstrow))),0,IF(OFFSET(PLE!$G$14,$M29,BW$13)="",10^12,OFFSET(PLE!$G$14,$M29,BW$13))))</f>
        <v>0</v>
      </c>
      <c r="BX29" s="216">
        <f ca="1">IF($D29&lt;&gt;"Serviço",0,IF(OR(AND(AUTOEVENTO="Manual",$M29=1),$M29&gt;(ROW(PLE.lastrow)-ROW(PLE.firstrow))),0,IF(OFFSET(PLE!$G$14,$M29,BX$13)="",10^12,OFFSET(PLE!$G$14,$M29,BX$13))))</f>
        <v>0</v>
      </c>
      <c r="BY29" s="216">
        <f ca="1">IF($D29&lt;&gt;"Serviço",0,IF(OR(AND(AUTOEVENTO="Manual",$M29=1),$M29&gt;(ROW(PLE.lastrow)-ROW(PLE.firstrow))),0,IF(OFFSET(PLE!$G$14,$M29,BY$13)="",10^12,OFFSET(PLE!$G$14,$M29,BY$13))))</f>
        <v>0</v>
      </c>
      <c r="BZ29" s="216">
        <f ca="1">IF($D29&lt;&gt;"Serviço",0,IF(OR(AND(AUTOEVENTO="Manual",$M29=1),$M29&gt;(ROW(PLE.lastrow)-ROW(PLE.firstrow))),0,IF(OFFSET(PLE!$G$14,$M29,BZ$13)="",10^12,OFFSET(PLE!$G$14,$M29,BZ$13))))</f>
        <v>0</v>
      </c>
      <c r="CA29" s="216">
        <f ca="1">IF($D29&lt;&gt;"Serviço",0,IF(OR(AND(AUTOEVENTO="Manual",$M29=1),$M29&gt;(ROW(PLE.lastrow)-ROW(PLE.firstrow))),0,IF(OFFSET(PLE!$G$14,$M29,CA$13)="",10^12,OFFSET(PLE!$G$14,$M29,CA$13))))</f>
        <v>0</v>
      </c>
      <c r="CB29" s="216">
        <f ca="1">IF($D29&lt;&gt;"Serviço",0,IF(OR(AND(AUTOEVENTO="Manual",$M29=1),$M29&gt;(ROW(PLE.lastrow)-ROW(PLE.firstrow))),0,IF(OFFSET(PLE!$G$14,$M29,CB$13)="",10^12,OFFSET(PLE!$G$14,$M29,CB$13))))</f>
        <v>0</v>
      </c>
      <c r="CC29" s="216">
        <f ca="1">IF($D29&lt;&gt;"Serviço",0,IF(OR(AND(AUTOEVENTO="Manual",$M29=1),$M29&gt;(ROW(PLE.lastrow)-ROW(PLE.firstrow))),0,IF(OFFSET(PLE!$G$14,$M29,CC$13)="",10^12,OFFSET(PLE!$G$14,$M29,CC$13))))</f>
        <v>0</v>
      </c>
      <c r="CD29" s="216">
        <f ca="1">IF($D29&lt;&gt;"Serviço",0,IF(OR(AND(AUTOEVENTO="Manual",$M29=1),$M29&gt;(ROW(PLE.lastrow)-ROW(PLE.firstrow))),0,IF(OFFSET(PLE!$G$14,$M29,CD$13)="",10^12,OFFSET(PLE!$G$14,$M29,CD$13))))</f>
        <v>0</v>
      </c>
      <c r="CE29" s="216">
        <f ca="1">IF($D29&lt;&gt;"Serviço",0,IF(OR(AND(AUTOEVENTO="Manual",$M29=1),$M29&gt;(ROW(PLE.lastrow)-ROW(PLE.firstrow))),0,IF(OFFSET(PLE!$G$14,$M29,CE$13)="",10^12,OFFSET(PLE!$G$14,$M29,CE$13))))</f>
        <v>0</v>
      </c>
      <c r="CF29" s="216">
        <f ca="1">IF($D29&lt;&gt;"Serviço",0,IF(OR(AND(AUTOEVENTO="Manual",$M29=1),$M29&gt;(ROW(PLE.lastrow)-ROW(PLE.firstrow))),0,IF(OFFSET(PLE!$G$14,$M29,CF$13)="",10^12,OFFSET(PLE!$G$14,$M29,CF$13))))</f>
        <v>0</v>
      </c>
      <c r="CG29" s="216">
        <f ca="1">IF($D29&lt;&gt;"Serviço",0,IF(OR(AND(AUTOEVENTO="Manual",$M29=1),$M29&gt;(ROW(PLE.lastrow)-ROW(PLE.firstrow))),0,IF(OFFSET(PLE!$G$14,$M29,CG$13)="",10^12,OFFSET(PLE!$G$14,$M29,CG$13))))</f>
        <v>0</v>
      </c>
      <c r="CH29" s="216">
        <f ca="1">IF($D29&lt;&gt;"Serviço",0,IF(OR(AND(AUTOEVENTO="Manual",$M29=1),$M29&gt;(ROW(PLE.lastrow)-ROW(PLE.firstrow))),0,IF(OFFSET(PLE!$G$14,$M29,CH$13)="",10^12,OFFSET(PLE!$G$14,$M29,CH$13))))</f>
        <v>0</v>
      </c>
      <c r="CI29" s="216">
        <f ca="1">IF($D29&lt;&gt;"Serviço",0,IF(OR(AND(AUTOEVENTO="Manual",$M29=1),$M29&gt;(ROW(PLE.lastrow)-ROW(PLE.firstrow))),0,IF(OFFSET(PLE!$G$14,$M29,CI$13)="",10^12,OFFSET(PLE!$G$14,$M29,CI$13))))</f>
        <v>0</v>
      </c>
      <c r="CJ29" s="216">
        <f ca="1">IF($D29&lt;&gt;"Serviço",0,IF(OR(AND(AUTOEVENTO="Manual",$M29=1),$M29&gt;(ROW(PLE.lastrow)-ROW(PLE.firstrow))),0,IF(OFFSET(PLE!$G$14,$M29,CJ$13)="",10^12,OFFSET(PLE!$G$14,$M29,CJ$13))))</f>
        <v>0</v>
      </c>
      <c r="CK29" s="216">
        <f ca="1">IF($D29&lt;&gt;"Serviço",0,IF(OR(AND(AUTOEVENTO="Manual",$M29=1),$M29&gt;(ROW(PLE.lastrow)-ROW(PLE.firstrow))),0,IF(OFFSET(PLE!$G$14,$M29,CK$13)="",10^12,OFFSET(PLE!$G$14,$M29,CK$13))))</f>
        <v>0</v>
      </c>
      <c r="CL29" s="216">
        <f ca="1">IF($D29&lt;&gt;"Serviço",0,IF(OR(AND(AUTOEVENTO="Manual",$M29=1),$M29&gt;(ROW(PLE.lastrow)-ROW(PLE.firstrow))),0,IF(OFFSET(PLE!$G$14,$M29,CL$13)="",10^12,OFFSET(PLE!$G$14,$M29,CL$13))))</f>
        <v>0</v>
      </c>
      <c r="CM29" s="216">
        <f ca="1">IF($D29&lt;&gt;"Serviço",0,IF(OR(AND(AUTOEVENTO="Manual",$M29=1),$M29&gt;(ROW(PLE.lastrow)-ROW(PLE.firstrow))),0,IF(OFFSET(PLE!$G$14,$M29,CM$13)="",10^12,OFFSET(PLE!$G$14,$M29,CM$13))))</f>
        <v>0</v>
      </c>
    </row>
    <row r="30" spans="1:91" ht="13.2" x14ac:dyDescent="0.25">
      <c r="A30" s="9">
        <f t="shared" ca="1" si="9"/>
        <v>0</v>
      </c>
      <c r="B30" s="9" t="str">
        <f ca="1">OFFSET(ORÇAMENTO!C$15,ROW(B30)-ROW(B$15),0)</f>
        <v>S</v>
      </c>
      <c r="C30" s="9" t="str">
        <f ca="1">OFFSET(ORÇAMENTO!L$15,ROW(C30)-ROW(C$15),0)</f>
        <v/>
      </c>
      <c r="D30" s="145" t="str">
        <f ca="1">OFFSET(ORÇAMENTO!N$15,ROW(D30)-ROW(D$15),0)</f>
        <v>Serviço</v>
      </c>
      <c r="E30" s="205" t="str">
        <f ca="1">OFFSET(ORÇAMENTO!O$15,ROW(E30)-ROW(E$15),0)</f>
        <v>-</v>
      </c>
      <c r="F30" s="206" t="str">
        <f ca="1">OFFSET(ORÇAMENTO!R$15,ROW(F30)-ROW(F$15),0)</f>
        <v>(abra o arquivo 'Referência 05-2024.xls)</v>
      </c>
      <c r="G30" s="207" t="str">
        <f ca="1">IF($D30&lt;&gt;"Serviço","",OFFSET(ORÇAMENTO!S$15,ROW(G30)-ROW(G$15),0))</f>
        <v>-</v>
      </c>
      <c r="H30" s="151">
        <f ca="1">IF($D30&lt;&gt;"Serviço",0,IF(ACOMPANHAMENTO="BM",ROUND(OFFSET(ORÇAMENTO!AJ$15,ROW(H30)-ROW(H$15),0),15-13*ORÇAMENTO!$AF$7),SUMPRODUCT(($Q$12:$AI$12&lt;&gt;"")*ROUND($Q30:$AI30,15-13*ORÇAMENTO!$AF$7))))</f>
        <v>577.65</v>
      </c>
      <c r="I30" s="650"/>
      <c r="K30" s="208"/>
      <c r="L30" s="209" t="s">
        <v>257</v>
      </c>
      <c r="M30" s="210">
        <f ca="1">IF($D30&lt;&gt;"Serviço","",IF(AUTOEVENTO="manual",$A30,IF(ISERROR(MATCH($A30,$A$15:OFFSET($A30,-1,0),0)),MAX($M$15:OFFSET(M30,-1,0))+1,INDEX($M$15:OFFSET(M30,-1,0),MATCH($A30,$A$15:OFFSET($A30,-1,0),0)))))</f>
        <v>0</v>
      </c>
      <c r="N30" s="211" t="str">
        <f ca="1">IF($D30&lt;&gt;"Serviço","",IF(AUTOEVENTO="Manual",IF($A30=0,"&lt;-- defina o número do agrupador",OFFSET(EVENTOS!$D$14,$A30,0)),OFFSET($F$15,$A30,0)))</f>
        <v>&lt;-- defina o número do agrupador</v>
      </c>
      <c r="O30" s="212"/>
      <c r="Q30" s="212"/>
      <c r="R30" s="213"/>
      <c r="S30" s="213"/>
      <c r="T30" s="213"/>
      <c r="U30" s="213"/>
      <c r="V30" s="213"/>
      <c r="W30" s="213"/>
      <c r="X30" s="213"/>
      <c r="Y30" s="213"/>
      <c r="Z30" s="214"/>
      <c r="AA30" s="213"/>
      <c r="AB30" s="213"/>
      <c r="AC30" s="213"/>
      <c r="AD30" s="213"/>
      <c r="AE30" s="213"/>
      <c r="AF30" s="213"/>
      <c r="AG30" s="213"/>
      <c r="AH30" s="214"/>
      <c r="AJ30" s="631">
        <f ca="1">IF(AND($D30="Serviço",AJ$12&lt;&gt;0,$H30&gt;0,OR(AUTOEVENTO&lt;&gt;"manual",$M30&lt;&gt;1)),ROUND(OFFSET($P30,0,AJ$13),15-13*ORÇAMENTO!$AF$7)/$H30*OFFSET(ORÇAMENTO!$X$15,ROW(AJ30)-ROW(AJ$15),0),0)</f>
        <v>0</v>
      </c>
      <c r="AK30" s="632">
        <f ca="1">IF(AND($D30="Serviço",AK$12&lt;&gt;0,$H30&gt;0,OR(AUTOEVENTO&lt;&gt;"manual",$M30&lt;&gt;1)),ROUND(OFFSET($P30,0,AK$13),15-13*ORÇAMENTO!$AF$7)/$H30*OFFSET(ORÇAMENTO!$X$15,ROW(AK30)-ROW(AK$15),0),0)</f>
        <v>0</v>
      </c>
      <c r="AL30" s="632">
        <f ca="1">IF(AND($D30="Serviço",AL$12&lt;&gt;0,$H30&gt;0,OR(AUTOEVENTO&lt;&gt;"manual",$M30&lt;&gt;1)),ROUND(OFFSET($P30,0,AL$13),15-13*ORÇAMENTO!$AF$7)/$H30*OFFSET(ORÇAMENTO!$X$15,ROW(AL30)-ROW(AL$15),0),0)</f>
        <v>0</v>
      </c>
      <c r="AM30" s="632">
        <f ca="1">IF(AND($D30="Serviço",AM$12&lt;&gt;0,$H30&gt;0,OR(AUTOEVENTO&lt;&gt;"manual",$M30&lt;&gt;1)),ROUND(OFFSET($P30,0,AM$13),15-13*ORÇAMENTO!$AF$7)/$H30*OFFSET(ORÇAMENTO!$X$15,ROW(AM30)-ROW(AM$15),0),0)</f>
        <v>0</v>
      </c>
      <c r="AN30" s="632">
        <f ca="1">IF(AND($D30="Serviço",AN$12&lt;&gt;0,$H30&gt;0,OR(AUTOEVENTO&lt;&gt;"manual",$M30&lt;&gt;1)),ROUND(OFFSET($P30,0,AN$13),15-13*ORÇAMENTO!$AF$7)/$H30*OFFSET(ORÇAMENTO!$X$15,ROW(AN30)-ROW(AN$15),0),0)</f>
        <v>0</v>
      </c>
      <c r="AO30" s="632">
        <f ca="1">IF(AND($D30="Serviço",AO$12&lt;&gt;0,$H30&gt;0,OR(AUTOEVENTO&lt;&gt;"manual",$M30&lt;&gt;1)),ROUND(OFFSET($P30,0,AO$13),15-13*ORÇAMENTO!$AF$7)/$H30*OFFSET(ORÇAMENTO!$X$15,ROW(AO30)-ROW(AO$15),0),0)</f>
        <v>0</v>
      </c>
      <c r="AP30" s="632">
        <f ca="1">IF(AND($D30="Serviço",AP$12&lt;&gt;0,$H30&gt;0,OR(AUTOEVENTO&lt;&gt;"manual",$M30&lt;&gt;1)),ROUND(OFFSET($P30,0,AP$13),15-13*ORÇAMENTO!$AF$7)/$H30*OFFSET(ORÇAMENTO!$X$15,ROW(AP30)-ROW(AP$15),0),0)</f>
        <v>0</v>
      </c>
      <c r="AQ30" s="632">
        <f ca="1">IF(AND($D30="Serviço",AQ$12&lt;&gt;0,$H30&gt;0,OR(AUTOEVENTO&lt;&gt;"manual",$M30&lt;&gt;1)),ROUND(OFFSET($P30,0,AQ$13),15-13*ORÇAMENTO!$AF$7)/$H30*OFFSET(ORÇAMENTO!$X$15,ROW(AQ30)-ROW(AQ$15),0),0)</f>
        <v>0</v>
      </c>
      <c r="AR30" s="632">
        <f ca="1">IF(AND($D30="Serviço",AR$12&lt;&gt;0,$H30&gt;0,OR(AUTOEVENTO&lt;&gt;"manual",$M30&lt;&gt;1)),ROUND(OFFSET($P30,0,AR$13),15-13*ORÇAMENTO!$AF$7)/$H30*OFFSET(ORÇAMENTO!$X$15,ROW(AR30)-ROW(AR$15),0),0)</f>
        <v>0</v>
      </c>
      <c r="AS30" s="633">
        <f ca="1">IF(AND($D30="Serviço",AS$12&lt;&gt;0,$H30&gt;0,OR(AUTOEVENTO&lt;&gt;"manual",$M30&lt;&gt;1)),ROUND(OFFSET($P30,0,AS$13),15-13*ORÇAMENTO!$AF$7)/$H30*OFFSET(ORÇAMENTO!$X$15,ROW(AS30)-ROW(AS$15),0),0)</f>
        <v>0</v>
      </c>
      <c r="AT30" s="632">
        <f ca="1">IF(AND($D30="Serviço",AT$12&lt;&gt;0,$H30&gt;0,OR(AUTOEVENTO&lt;&gt;"manual",$M30&lt;&gt;1)),ROUND(OFFSET($P30,0,AT$13),15-13*ORÇAMENTO!$AF$7)/$H30*OFFSET(ORÇAMENTO!$X$15,ROW(AT30)-ROW(AT$15),0),0)</f>
        <v>0</v>
      </c>
      <c r="AU30" s="632">
        <f ca="1">IF(AND($D30="Serviço",AU$12&lt;&gt;0,$H30&gt;0,OR(AUTOEVENTO&lt;&gt;"manual",$M30&lt;&gt;1)),ROUND(OFFSET($P30,0,AU$13),15-13*ORÇAMENTO!$AF$7)/$H30*OFFSET(ORÇAMENTO!$X$15,ROW(AU30)-ROW(AU$15),0),0)</f>
        <v>0</v>
      </c>
      <c r="AV30" s="632">
        <f ca="1">IF(AND($D30="Serviço",AV$12&lt;&gt;0,$H30&gt;0,OR(AUTOEVENTO&lt;&gt;"manual",$M30&lt;&gt;1)),ROUND(OFFSET($P30,0,AV$13),15-13*ORÇAMENTO!$AF$7)/$H30*OFFSET(ORÇAMENTO!$X$15,ROW(AV30)-ROW(AV$15),0),0)</f>
        <v>0</v>
      </c>
      <c r="AW30" s="632">
        <f ca="1">IF(AND($D30="Serviço",AW$12&lt;&gt;0,$H30&gt;0,OR(AUTOEVENTO&lt;&gt;"manual",$M30&lt;&gt;1)),ROUND(OFFSET($P30,0,AW$13),15-13*ORÇAMENTO!$AF$7)/$H30*OFFSET(ORÇAMENTO!$X$15,ROW(AW30)-ROW(AW$15),0),0)</f>
        <v>0</v>
      </c>
      <c r="AX30" s="632">
        <f ca="1">IF(AND($D30="Serviço",AX$12&lt;&gt;0,$H30&gt;0,OR(AUTOEVENTO&lt;&gt;"manual",$M30&lt;&gt;1)),ROUND(OFFSET($P30,0,AX$13),15-13*ORÇAMENTO!$AF$7)/$H30*OFFSET(ORÇAMENTO!$X$15,ROW(AX30)-ROW(AX$15),0),0)</f>
        <v>0</v>
      </c>
      <c r="AY30" s="632">
        <f ca="1">IF(AND($D30="Serviço",AY$12&lt;&gt;0,$H30&gt;0,OR(AUTOEVENTO&lt;&gt;"manual",$M30&lt;&gt;1)),ROUND(OFFSET($P30,0,AY$13),15-13*ORÇAMENTO!$AF$7)/$H30*OFFSET(ORÇAMENTO!$X$15,ROW(AY30)-ROW(AY$15),0),0)</f>
        <v>0</v>
      </c>
      <c r="AZ30" s="632">
        <f ca="1">IF(AND($D30="Serviço",AZ$12&lt;&gt;0,$H30&gt;0,OR(AUTOEVENTO&lt;&gt;"manual",$M30&lt;&gt;1)),ROUND(OFFSET($P30,0,AZ$13),15-13*ORÇAMENTO!$AF$7)/$H30*OFFSET(ORÇAMENTO!$X$15,ROW(AZ30)-ROW(AZ$15),0),0)</f>
        <v>0</v>
      </c>
      <c r="BA30" s="633">
        <f ca="1">IF(AND($D30="Serviço",BA$12&lt;&gt;0,$H30&gt;0,OR(AUTOEVENTO&lt;&gt;"manual",$M30&lt;&gt;1)),ROUND(OFFSET($P30,0,BA$13),15-13*ORÇAMENTO!$AF$7)/$H30*OFFSET(ORÇAMENTO!$X$15,ROW(BA30)-ROW(BA$15),0),0)</f>
        <v>0</v>
      </c>
      <c r="BC30" s="215">
        <f ca="1">IF($D30&lt;&gt;"Serviço",0,IF(AND(AUTOEVENTO="Manual",$M30=1),0,IF(OFFSET(CRONOPLE!$F$14,$M30,BC$13)="",10^12,OFFSET(CRONOPLE!$F$14,$M30,BC$13))))</f>
        <v>1000000000000</v>
      </c>
      <c r="BD30" s="215">
        <f ca="1">IF($D30&lt;&gt;"Serviço",0,IF(AND(AUTOEVENTO="Manual",$M30=1),0,IF(OFFSET(CRONOPLE!$F$14,$M30,BD$13)="",10^12,OFFSET(CRONOPLE!$F$14,$M30,BD$13))))</f>
        <v>1000000000000</v>
      </c>
      <c r="BE30" s="215">
        <f ca="1">IF($D30&lt;&gt;"Serviço",0,IF(AND(AUTOEVENTO="Manual",$M30=1),0,IF(OFFSET(CRONOPLE!$F$14,$M30,BE$13)="",10^12,OFFSET(CRONOPLE!$F$14,$M30,BE$13))))</f>
        <v>1000000000000</v>
      </c>
      <c r="BF30" s="215">
        <f ca="1">IF($D30&lt;&gt;"Serviço",0,IF(AND(AUTOEVENTO="Manual",$M30=1),0,IF(OFFSET(CRONOPLE!$F$14,$M30,BF$13)="",10^12,OFFSET(CRONOPLE!$F$14,$M30,BF$13))))</f>
        <v>1000000000000</v>
      </c>
      <c r="BG30" s="215">
        <f ca="1">IF($D30&lt;&gt;"Serviço",0,IF(AND(AUTOEVENTO="Manual",$M30=1),0,IF(OFFSET(CRONOPLE!$F$14,$M30,BG$13)="",10^12,OFFSET(CRONOPLE!$F$14,$M30,BG$13))))</f>
        <v>1000000000000</v>
      </c>
      <c r="BH30" s="215">
        <f ca="1">IF($D30&lt;&gt;"Serviço",0,IF(AND(AUTOEVENTO="Manual",$M30=1),0,IF(OFFSET(CRONOPLE!$F$14,$M30,BH$13)="",10^12,OFFSET(CRONOPLE!$F$14,$M30,BH$13))))</f>
        <v>1000000000000</v>
      </c>
      <c r="BI30" s="215">
        <f ca="1">IF($D30&lt;&gt;"Serviço",0,IF(AND(AUTOEVENTO="Manual",$M30=1),0,IF(OFFSET(CRONOPLE!$F$14,$M30,BI$13)="",10^12,OFFSET(CRONOPLE!$F$14,$M30,BI$13))))</f>
        <v>1000000000000</v>
      </c>
      <c r="BJ30" s="215">
        <f ca="1">IF($D30&lt;&gt;"Serviço",0,IF(AND(AUTOEVENTO="Manual",$M30=1),0,IF(OFFSET(CRONOPLE!$F$14,$M30,BJ$13)="",10^12,OFFSET(CRONOPLE!$F$14,$M30,BJ$13))))</f>
        <v>1000000000000</v>
      </c>
      <c r="BK30" s="215">
        <f ca="1">IF($D30&lt;&gt;"Serviço",0,IF(AND(AUTOEVENTO="Manual",$M30=1),0,IF(OFFSET(CRONOPLE!$F$14,$M30,BK$13)="",10^12,OFFSET(CRONOPLE!$F$14,$M30,BK$13))))</f>
        <v>1000000000000</v>
      </c>
      <c r="BL30" s="215">
        <f ca="1">IF($D30&lt;&gt;"Serviço",0,IF(AND(AUTOEVENTO="Manual",$M30=1),0,IF(OFFSET(CRONOPLE!$F$14,$M30,BL$13)="",10^12,OFFSET(CRONOPLE!$F$14,$M30,BL$13))))</f>
        <v>1000000000000</v>
      </c>
      <c r="BM30" s="215">
        <f ca="1">IF($D30&lt;&gt;"Serviço",0,IF(AND(AUTOEVENTO="Manual",$M30=1),0,IF(OFFSET(CRONOPLE!$F$14,$M30,BM$13)="",10^12,OFFSET(CRONOPLE!$F$14,$M30,BM$13))))</f>
        <v>1000000000000</v>
      </c>
      <c r="BN30" s="215">
        <f ca="1">IF($D30&lt;&gt;"Serviço",0,IF(AND(AUTOEVENTO="Manual",$M30=1),0,IF(OFFSET(CRONOPLE!$F$14,$M30,BN$13)="",10^12,OFFSET(CRONOPLE!$F$14,$M30,BN$13))))</f>
        <v>1000000000000</v>
      </c>
      <c r="BO30" s="215">
        <f ca="1">IF($D30&lt;&gt;"Serviço",0,IF(AND(AUTOEVENTO="Manual",$M30=1),0,IF(OFFSET(CRONOPLE!$F$14,$M30,BO$13)="",10^12,OFFSET(CRONOPLE!$F$14,$M30,BO$13))))</f>
        <v>1000000000000</v>
      </c>
      <c r="BP30" s="215">
        <f ca="1">IF($D30&lt;&gt;"Serviço",0,IF(AND(AUTOEVENTO="Manual",$M30=1),0,IF(OFFSET(CRONOPLE!$F$14,$M30,BP$13)="",10^12,OFFSET(CRONOPLE!$F$14,$M30,BP$13))))</f>
        <v>1000000000000</v>
      </c>
      <c r="BQ30" s="215">
        <f ca="1">IF($D30&lt;&gt;"Serviço",0,IF(AND(AUTOEVENTO="Manual",$M30=1),0,IF(OFFSET(CRONOPLE!$F$14,$M30,BQ$13)="",10^12,OFFSET(CRONOPLE!$F$14,$M30,BQ$13))))</f>
        <v>1000000000000</v>
      </c>
      <c r="BR30" s="215">
        <f ca="1">IF($D30&lt;&gt;"Serviço",0,IF(AND(AUTOEVENTO="Manual",$M30=1),0,IF(OFFSET(CRONOPLE!$F$14,$M30,BR$13)="",10^12,OFFSET(CRONOPLE!$F$14,$M30,BR$13))))</f>
        <v>1000000000000</v>
      </c>
      <c r="BS30" s="215">
        <f ca="1">IF($D30&lt;&gt;"Serviço",0,IF(AND(AUTOEVENTO="Manual",$M30=1),0,IF(OFFSET(CRONOPLE!$F$14,$M30,BS$13)="",10^12,OFFSET(CRONOPLE!$F$14,$M30,BS$13))))</f>
        <v>1000000000000</v>
      </c>
      <c r="BT30" s="215">
        <f ca="1">IF($D30&lt;&gt;"Serviço",0,IF(AND(AUTOEVENTO="Manual",$M30=1),0,IF(OFFSET(CRONOPLE!$F$14,$M30,BT$13)="",10^12,OFFSET(CRONOPLE!$F$14,$M30,BT$13))))</f>
        <v>1000000000000</v>
      </c>
      <c r="BV30" s="216">
        <f ca="1">IF($D30&lt;&gt;"Serviço",0,IF(OR(AND(AUTOEVENTO="Manual",$M30=1),$M30&gt;(ROW(PLE.lastrow)-ROW(PLE.firstrow))),0,IF(OFFSET(PLE!$G$14,$M30,BV$13)="",10^12,OFFSET(PLE!$G$14,$M30,BV$13))))</f>
        <v>1000000000000</v>
      </c>
      <c r="BW30" s="216">
        <f ca="1">IF($D30&lt;&gt;"Serviço",0,IF(OR(AND(AUTOEVENTO="Manual",$M30=1),$M30&gt;(ROW(PLE.lastrow)-ROW(PLE.firstrow))),0,IF(OFFSET(PLE!$G$14,$M30,BW$13)="",10^12,OFFSET(PLE!$G$14,$M30,BW$13))))</f>
        <v>1000000000000</v>
      </c>
      <c r="BX30" s="216">
        <f ca="1">IF($D30&lt;&gt;"Serviço",0,IF(OR(AND(AUTOEVENTO="Manual",$M30=1),$M30&gt;(ROW(PLE.lastrow)-ROW(PLE.firstrow))),0,IF(OFFSET(PLE!$G$14,$M30,BX$13)="",10^12,OFFSET(PLE!$G$14,$M30,BX$13))))</f>
        <v>1000000000000</v>
      </c>
      <c r="BY30" s="216">
        <f ca="1">IF($D30&lt;&gt;"Serviço",0,IF(OR(AND(AUTOEVENTO="Manual",$M30=1),$M30&gt;(ROW(PLE.lastrow)-ROW(PLE.firstrow))),0,IF(OFFSET(PLE!$G$14,$M30,BY$13)="",10^12,OFFSET(PLE!$G$14,$M30,BY$13))))</f>
        <v>1000000000000</v>
      </c>
      <c r="BZ30" s="216">
        <f ca="1">IF($D30&lt;&gt;"Serviço",0,IF(OR(AND(AUTOEVENTO="Manual",$M30=1),$M30&gt;(ROW(PLE.lastrow)-ROW(PLE.firstrow))),0,IF(OFFSET(PLE!$G$14,$M30,BZ$13)="",10^12,OFFSET(PLE!$G$14,$M30,BZ$13))))</f>
        <v>1000000000000</v>
      </c>
      <c r="CA30" s="216">
        <f ca="1">IF($D30&lt;&gt;"Serviço",0,IF(OR(AND(AUTOEVENTO="Manual",$M30=1),$M30&gt;(ROW(PLE.lastrow)-ROW(PLE.firstrow))),0,IF(OFFSET(PLE!$G$14,$M30,CA$13)="",10^12,OFFSET(PLE!$G$14,$M30,CA$13))))</f>
        <v>1000000000000</v>
      </c>
      <c r="CB30" s="216">
        <f ca="1">IF($D30&lt;&gt;"Serviço",0,IF(OR(AND(AUTOEVENTO="Manual",$M30=1),$M30&gt;(ROW(PLE.lastrow)-ROW(PLE.firstrow))),0,IF(OFFSET(PLE!$G$14,$M30,CB$13)="",10^12,OFFSET(PLE!$G$14,$M30,CB$13))))</f>
        <v>1000000000000</v>
      </c>
      <c r="CC30" s="216">
        <f ca="1">IF($D30&lt;&gt;"Serviço",0,IF(OR(AND(AUTOEVENTO="Manual",$M30=1),$M30&gt;(ROW(PLE.lastrow)-ROW(PLE.firstrow))),0,IF(OFFSET(PLE!$G$14,$M30,CC$13)="",10^12,OFFSET(PLE!$G$14,$M30,CC$13))))</f>
        <v>1000000000000</v>
      </c>
      <c r="CD30" s="216">
        <f ca="1">IF($D30&lt;&gt;"Serviço",0,IF(OR(AND(AUTOEVENTO="Manual",$M30=1),$M30&gt;(ROW(PLE.lastrow)-ROW(PLE.firstrow))),0,IF(OFFSET(PLE!$G$14,$M30,CD$13)="",10^12,OFFSET(PLE!$G$14,$M30,CD$13))))</f>
        <v>1000000000000</v>
      </c>
      <c r="CE30" s="216">
        <f ca="1">IF($D30&lt;&gt;"Serviço",0,IF(OR(AND(AUTOEVENTO="Manual",$M30=1),$M30&gt;(ROW(PLE.lastrow)-ROW(PLE.firstrow))),0,IF(OFFSET(PLE!$G$14,$M30,CE$13)="",10^12,OFFSET(PLE!$G$14,$M30,CE$13))))</f>
        <v>1000000000000</v>
      </c>
      <c r="CF30" s="216">
        <f ca="1">IF($D30&lt;&gt;"Serviço",0,IF(OR(AND(AUTOEVENTO="Manual",$M30=1),$M30&gt;(ROW(PLE.lastrow)-ROW(PLE.firstrow))),0,IF(OFFSET(PLE!$G$14,$M30,CF$13)="",10^12,OFFSET(PLE!$G$14,$M30,CF$13))))</f>
        <v>1000000000000</v>
      </c>
      <c r="CG30" s="216">
        <f ca="1">IF($D30&lt;&gt;"Serviço",0,IF(OR(AND(AUTOEVENTO="Manual",$M30=1),$M30&gt;(ROW(PLE.lastrow)-ROW(PLE.firstrow))),0,IF(OFFSET(PLE!$G$14,$M30,CG$13)="",10^12,OFFSET(PLE!$G$14,$M30,CG$13))))</f>
        <v>1000000000000</v>
      </c>
      <c r="CH30" s="216">
        <f ca="1">IF($D30&lt;&gt;"Serviço",0,IF(OR(AND(AUTOEVENTO="Manual",$M30=1),$M30&gt;(ROW(PLE.lastrow)-ROW(PLE.firstrow))),0,IF(OFFSET(PLE!$G$14,$M30,CH$13)="",10^12,OFFSET(PLE!$G$14,$M30,CH$13))))</f>
        <v>1000000000000</v>
      </c>
      <c r="CI30" s="216">
        <f ca="1">IF($D30&lt;&gt;"Serviço",0,IF(OR(AND(AUTOEVENTO="Manual",$M30=1),$M30&gt;(ROW(PLE.lastrow)-ROW(PLE.firstrow))),0,IF(OFFSET(PLE!$G$14,$M30,CI$13)="",10^12,OFFSET(PLE!$G$14,$M30,CI$13))))</f>
        <v>1000000000000</v>
      </c>
      <c r="CJ30" s="216">
        <f ca="1">IF($D30&lt;&gt;"Serviço",0,IF(OR(AND(AUTOEVENTO="Manual",$M30=1),$M30&gt;(ROW(PLE.lastrow)-ROW(PLE.firstrow))),0,IF(OFFSET(PLE!$G$14,$M30,CJ$13)="",10^12,OFFSET(PLE!$G$14,$M30,CJ$13))))</f>
        <v>1000000000000</v>
      </c>
      <c r="CK30" s="216">
        <f ca="1">IF($D30&lt;&gt;"Serviço",0,IF(OR(AND(AUTOEVENTO="Manual",$M30=1),$M30&gt;(ROW(PLE.lastrow)-ROW(PLE.firstrow))),0,IF(OFFSET(PLE!$G$14,$M30,CK$13)="",10^12,OFFSET(PLE!$G$14,$M30,CK$13))))</f>
        <v>1000000000000</v>
      </c>
      <c r="CL30" s="216">
        <f ca="1">IF($D30&lt;&gt;"Serviço",0,IF(OR(AND(AUTOEVENTO="Manual",$M30=1),$M30&gt;(ROW(PLE.lastrow)-ROW(PLE.firstrow))),0,IF(OFFSET(PLE!$G$14,$M30,CL$13)="",10^12,OFFSET(PLE!$G$14,$M30,CL$13))))</f>
        <v>1000000000000</v>
      </c>
      <c r="CM30" s="216">
        <f ca="1">IF($D30&lt;&gt;"Serviço",0,IF(OR(AND(AUTOEVENTO="Manual",$M30=1),$M30&gt;(ROW(PLE.lastrow)-ROW(PLE.firstrow))),0,IF(OFFSET(PLE!$G$14,$M30,CM$13)="",10^12,OFFSET(PLE!$G$14,$M30,CM$13))))</f>
        <v>1000000000000</v>
      </c>
    </row>
    <row r="31" spans="1:91" ht="13.2" x14ac:dyDescent="0.25">
      <c r="A31" s="9">
        <f t="shared" ca="1" si="9"/>
        <v>0</v>
      </c>
      <c r="B31" s="9">
        <f ca="1">OFFSET(ORÇAMENTO!C$15,ROW(B31)-ROW(B$15),0)</f>
        <v>3</v>
      </c>
      <c r="C31" s="9" t="str">
        <f ca="1">OFFSET(ORÇAMENTO!L$15,ROW(C31)-ROW(C$15),0)</f>
        <v>F</v>
      </c>
      <c r="D31" s="145" t="str">
        <f ca="1">OFFSET(ORÇAMENTO!N$15,ROW(D31)-ROW(D$15),0)</f>
        <v>Nível 3</v>
      </c>
      <c r="E31" s="205" t="str">
        <f ca="1">OFFSET(ORÇAMENTO!O$15,ROW(E31)-ROW(E$15),0)</f>
        <v>1.2.2.</v>
      </c>
      <c r="F31" s="206" t="str">
        <f ca="1">OFFSET(ORÇAMENTO!R$15,ROW(F31)-ROW(F$15),0)</f>
        <v>EDIFICAÇÃO</v>
      </c>
      <c r="G31" s="207" t="str">
        <f ca="1">IF($D31&lt;&gt;"Serviço","",OFFSET(ORÇAMENTO!S$15,ROW(G31)-ROW(G$15),0))</f>
        <v/>
      </c>
      <c r="H31" s="151">
        <f ca="1">IF($D31&lt;&gt;"Serviço",0,IF(ACOMPANHAMENTO="BM",ROUND(OFFSET(ORÇAMENTO!AJ$15,ROW(H31)-ROW(H$15),0),15-13*ORÇAMENTO!$AF$7),SUMPRODUCT(($Q$12:$AI$12&lt;&gt;"")*ROUND($Q31:$AI31,15-13*ORÇAMENTO!$AF$7))))</f>
        <v>0</v>
      </c>
      <c r="I31" s="650"/>
      <c r="K31" s="208"/>
      <c r="L31" s="209" t="s">
        <v>257</v>
      </c>
      <c r="M31" s="210" t="str">
        <f ca="1">IF($D31&lt;&gt;"Serviço","",IF(AUTOEVENTO="manual",$A31,IF(ISERROR(MATCH($A31,$A$15:OFFSET($A31,-1,0),0)),MAX($M$15:OFFSET(M31,-1,0))+1,INDEX($M$15:OFFSET(M31,-1,0),MATCH($A31,$A$15:OFFSET($A31,-1,0),0)))))</f>
        <v/>
      </c>
      <c r="N31" s="211" t="str">
        <f ca="1">IF($D31&lt;&gt;"Serviço","",IF(AUTOEVENTO="Manual",IF($A31=0,"&lt;-- defina o número do agrupador",OFFSET(EVENTOS!$D$14,$A31,0)),OFFSET($F$15,$A31,0)))</f>
        <v/>
      </c>
      <c r="O31" s="212"/>
      <c r="Q31" s="212"/>
      <c r="R31" s="213"/>
      <c r="S31" s="213"/>
      <c r="T31" s="213"/>
      <c r="U31" s="213"/>
      <c r="V31" s="213"/>
      <c r="W31" s="213"/>
      <c r="X31" s="213"/>
      <c r="Y31" s="213"/>
      <c r="Z31" s="214"/>
      <c r="AA31" s="213"/>
      <c r="AB31" s="213"/>
      <c r="AC31" s="213"/>
      <c r="AD31" s="213"/>
      <c r="AE31" s="213"/>
      <c r="AF31" s="213"/>
      <c r="AG31" s="213"/>
      <c r="AH31" s="214"/>
      <c r="AJ31" s="631">
        <f ca="1">IF(AND($D31="Serviço",AJ$12&lt;&gt;0,$H31&gt;0,OR(AUTOEVENTO&lt;&gt;"manual",$M31&lt;&gt;1)),ROUND(OFFSET($P31,0,AJ$13),15-13*ORÇAMENTO!$AF$7)/$H31*OFFSET(ORÇAMENTO!$X$15,ROW(AJ31)-ROW(AJ$15),0),0)</f>
        <v>0</v>
      </c>
      <c r="AK31" s="632">
        <f ca="1">IF(AND($D31="Serviço",AK$12&lt;&gt;0,$H31&gt;0,OR(AUTOEVENTO&lt;&gt;"manual",$M31&lt;&gt;1)),ROUND(OFFSET($P31,0,AK$13),15-13*ORÇAMENTO!$AF$7)/$H31*OFFSET(ORÇAMENTO!$X$15,ROW(AK31)-ROW(AK$15),0),0)</f>
        <v>0</v>
      </c>
      <c r="AL31" s="632">
        <f ca="1">IF(AND($D31="Serviço",AL$12&lt;&gt;0,$H31&gt;0,OR(AUTOEVENTO&lt;&gt;"manual",$M31&lt;&gt;1)),ROUND(OFFSET($P31,0,AL$13),15-13*ORÇAMENTO!$AF$7)/$H31*OFFSET(ORÇAMENTO!$X$15,ROW(AL31)-ROW(AL$15),0),0)</f>
        <v>0</v>
      </c>
      <c r="AM31" s="632">
        <f ca="1">IF(AND($D31="Serviço",AM$12&lt;&gt;0,$H31&gt;0,OR(AUTOEVENTO&lt;&gt;"manual",$M31&lt;&gt;1)),ROUND(OFFSET($P31,0,AM$13),15-13*ORÇAMENTO!$AF$7)/$H31*OFFSET(ORÇAMENTO!$X$15,ROW(AM31)-ROW(AM$15),0),0)</f>
        <v>0</v>
      </c>
      <c r="AN31" s="632">
        <f ca="1">IF(AND($D31="Serviço",AN$12&lt;&gt;0,$H31&gt;0,OR(AUTOEVENTO&lt;&gt;"manual",$M31&lt;&gt;1)),ROUND(OFFSET($P31,0,AN$13),15-13*ORÇAMENTO!$AF$7)/$H31*OFFSET(ORÇAMENTO!$X$15,ROW(AN31)-ROW(AN$15),0),0)</f>
        <v>0</v>
      </c>
      <c r="AO31" s="632">
        <f ca="1">IF(AND($D31="Serviço",AO$12&lt;&gt;0,$H31&gt;0,OR(AUTOEVENTO&lt;&gt;"manual",$M31&lt;&gt;1)),ROUND(OFFSET($P31,0,AO$13),15-13*ORÇAMENTO!$AF$7)/$H31*OFFSET(ORÇAMENTO!$X$15,ROW(AO31)-ROW(AO$15),0),0)</f>
        <v>0</v>
      </c>
      <c r="AP31" s="632">
        <f ca="1">IF(AND($D31="Serviço",AP$12&lt;&gt;0,$H31&gt;0,OR(AUTOEVENTO&lt;&gt;"manual",$M31&lt;&gt;1)),ROUND(OFFSET($P31,0,AP$13),15-13*ORÇAMENTO!$AF$7)/$H31*OFFSET(ORÇAMENTO!$X$15,ROW(AP31)-ROW(AP$15),0),0)</f>
        <v>0</v>
      </c>
      <c r="AQ31" s="632">
        <f ca="1">IF(AND($D31="Serviço",AQ$12&lt;&gt;0,$H31&gt;0,OR(AUTOEVENTO&lt;&gt;"manual",$M31&lt;&gt;1)),ROUND(OFFSET($P31,0,AQ$13),15-13*ORÇAMENTO!$AF$7)/$H31*OFFSET(ORÇAMENTO!$X$15,ROW(AQ31)-ROW(AQ$15),0),0)</f>
        <v>0</v>
      </c>
      <c r="AR31" s="632">
        <f ca="1">IF(AND($D31="Serviço",AR$12&lt;&gt;0,$H31&gt;0,OR(AUTOEVENTO&lt;&gt;"manual",$M31&lt;&gt;1)),ROUND(OFFSET($P31,0,AR$13),15-13*ORÇAMENTO!$AF$7)/$H31*OFFSET(ORÇAMENTO!$X$15,ROW(AR31)-ROW(AR$15),0),0)</f>
        <v>0</v>
      </c>
      <c r="AS31" s="633">
        <f ca="1">IF(AND($D31="Serviço",AS$12&lt;&gt;0,$H31&gt;0,OR(AUTOEVENTO&lt;&gt;"manual",$M31&lt;&gt;1)),ROUND(OFFSET($P31,0,AS$13),15-13*ORÇAMENTO!$AF$7)/$H31*OFFSET(ORÇAMENTO!$X$15,ROW(AS31)-ROW(AS$15),0),0)</f>
        <v>0</v>
      </c>
      <c r="AT31" s="632">
        <f ca="1">IF(AND($D31="Serviço",AT$12&lt;&gt;0,$H31&gt;0,OR(AUTOEVENTO&lt;&gt;"manual",$M31&lt;&gt;1)),ROUND(OFFSET($P31,0,AT$13),15-13*ORÇAMENTO!$AF$7)/$H31*OFFSET(ORÇAMENTO!$X$15,ROW(AT31)-ROW(AT$15),0),0)</f>
        <v>0</v>
      </c>
      <c r="AU31" s="632">
        <f ca="1">IF(AND($D31="Serviço",AU$12&lt;&gt;0,$H31&gt;0,OR(AUTOEVENTO&lt;&gt;"manual",$M31&lt;&gt;1)),ROUND(OFFSET($P31,0,AU$13),15-13*ORÇAMENTO!$AF$7)/$H31*OFFSET(ORÇAMENTO!$X$15,ROW(AU31)-ROW(AU$15),0),0)</f>
        <v>0</v>
      </c>
      <c r="AV31" s="632">
        <f ca="1">IF(AND($D31="Serviço",AV$12&lt;&gt;0,$H31&gt;0,OR(AUTOEVENTO&lt;&gt;"manual",$M31&lt;&gt;1)),ROUND(OFFSET($P31,0,AV$13),15-13*ORÇAMENTO!$AF$7)/$H31*OFFSET(ORÇAMENTO!$X$15,ROW(AV31)-ROW(AV$15),0),0)</f>
        <v>0</v>
      </c>
      <c r="AW31" s="632">
        <f ca="1">IF(AND($D31="Serviço",AW$12&lt;&gt;0,$H31&gt;0,OR(AUTOEVENTO&lt;&gt;"manual",$M31&lt;&gt;1)),ROUND(OFFSET($P31,0,AW$13),15-13*ORÇAMENTO!$AF$7)/$H31*OFFSET(ORÇAMENTO!$X$15,ROW(AW31)-ROW(AW$15),0),0)</f>
        <v>0</v>
      </c>
      <c r="AX31" s="632">
        <f ca="1">IF(AND($D31="Serviço",AX$12&lt;&gt;0,$H31&gt;0,OR(AUTOEVENTO&lt;&gt;"manual",$M31&lt;&gt;1)),ROUND(OFFSET($P31,0,AX$13),15-13*ORÇAMENTO!$AF$7)/$H31*OFFSET(ORÇAMENTO!$X$15,ROW(AX31)-ROW(AX$15),0),0)</f>
        <v>0</v>
      </c>
      <c r="AY31" s="632">
        <f ca="1">IF(AND($D31="Serviço",AY$12&lt;&gt;0,$H31&gt;0,OR(AUTOEVENTO&lt;&gt;"manual",$M31&lt;&gt;1)),ROUND(OFFSET($P31,0,AY$13),15-13*ORÇAMENTO!$AF$7)/$H31*OFFSET(ORÇAMENTO!$X$15,ROW(AY31)-ROW(AY$15),0),0)</f>
        <v>0</v>
      </c>
      <c r="AZ31" s="632">
        <f ca="1">IF(AND($D31="Serviço",AZ$12&lt;&gt;0,$H31&gt;0,OR(AUTOEVENTO&lt;&gt;"manual",$M31&lt;&gt;1)),ROUND(OFFSET($P31,0,AZ$13),15-13*ORÇAMENTO!$AF$7)/$H31*OFFSET(ORÇAMENTO!$X$15,ROW(AZ31)-ROW(AZ$15),0),0)</f>
        <v>0</v>
      </c>
      <c r="BA31" s="633">
        <f ca="1">IF(AND($D31="Serviço",BA$12&lt;&gt;0,$H31&gt;0,OR(AUTOEVENTO&lt;&gt;"manual",$M31&lt;&gt;1)),ROUND(OFFSET($P31,0,BA$13),15-13*ORÇAMENTO!$AF$7)/$H31*OFFSET(ORÇAMENTO!$X$15,ROW(BA31)-ROW(BA$15),0),0)</f>
        <v>0</v>
      </c>
      <c r="BC31" s="215">
        <f ca="1">IF($D31&lt;&gt;"Serviço",0,IF(AND(AUTOEVENTO="Manual",$M31=1),0,IF(OFFSET(CRONOPLE!$F$14,$M31,BC$13)="",10^12,OFFSET(CRONOPLE!$F$14,$M31,BC$13))))</f>
        <v>0</v>
      </c>
      <c r="BD31" s="215">
        <f ca="1">IF($D31&lt;&gt;"Serviço",0,IF(AND(AUTOEVENTO="Manual",$M31=1),0,IF(OFFSET(CRONOPLE!$F$14,$M31,BD$13)="",10^12,OFFSET(CRONOPLE!$F$14,$M31,BD$13))))</f>
        <v>0</v>
      </c>
      <c r="BE31" s="215">
        <f ca="1">IF($D31&lt;&gt;"Serviço",0,IF(AND(AUTOEVENTO="Manual",$M31=1),0,IF(OFFSET(CRONOPLE!$F$14,$M31,BE$13)="",10^12,OFFSET(CRONOPLE!$F$14,$M31,BE$13))))</f>
        <v>0</v>
      </c>
      <c r="BF31" s="215">
        <f ca="1">IF($D31&lt;&gt;"Serviço",0,IF(AND(AUTOEVENTO="Manual",$M31=1),0,IF(OFFSET(CRONOPLE!$F$14,$M31,BF$13)="",10^12,OFFSET(CRONOPLE!$F$14,$M31,BF$13))))</f>
        <v>0</v>
      </c>
      <c r="BG31" s="215">
        <f ca="1">IF($D31&lt;&gt;"Serviço",0,IF(AND(AUTOEVENTO="Manual",$M31=1),0,IF(OFFSET(CRONOPLE!$F$14,$M31,BG$13)="",10^12,OFFSET(CRONOPLE!$F$14,$M31,BG$13))))</f>
        <v>0</v>
      </c>
      <c r="BH31" s="215">
        <f ca="1">IF($D31&lt;&gt;"Serviço",0,IF(AND(AUTOEVENTO="Manual",$M31=1),0,IF(OFFSET(CRONOPLE!$F$14,$M31,BH$13)="",10^12,OFFSET(CRONOPLE!$F$14,$M31,BH$13))))</f>
        <v>0</v>
      </c>
      <c r="BI31" s="215">
        <f ca="1">IF($D31&lt;&gt;"Serviço",0,IF(AND(AUTOEVENTO="Manual",$M31=1),0,IF(OFFSET(CRONOPLE!$F$14,$M31,BI$13)="",10^12,OFFSET(CRONOPLE!$F$14,$M31,BI$13))))</f>
        <v>0</v>
      </c>
      <c r="BJ31" s="215">
        <f ca="1">IF($D31&lt;&gt;"Serviço",0,IF(AND(AUTOEVENTO="Manual",$M31=1),0,IF(OFFSET(CRONOPLE!$F$14,$M31,BJ$13)="",10^12,OFFSET(CRONOPLE!$F$14,$M31,BJ$13))))</f>
        <v>0</v>
      </c>
      <c r="BK31" s="215">
        <f ca="1">IF($D31&lt;&gt;"Serviço",0,IF(AND(AUTOEVENTO="Manual",$M31=1),0,IF(OFFSET(CRONOPLE!$F$14,$M31,BK$13)="",10^12,OFFSET(CRONOPLE!$F$14,$M31,BK$13))))</f>
        <v>0</v>
      </c>
      <c r="BL31" s="215">
        <f ca="1">IF($D31&lt;&gt;"Serviço",0,IF(AND(AUTOEVENTO="Manual",$M31=1),0,IF(OFFSET(CRONOPLE!$F$14,$M31,BL$13)="",10^12,OFFSET(CRONOPLE!$F$14,$M31,BL$13))))</f>
        <v>0</v>
      </c>
      <c r="BM31" s="215">
        <f ca="1">IF($D31&lt;&gt;"Serviço",0,IF(AND(AUTOEVENTO="Manual",$M31=1),0,IF(OFFSET(CRONOPLE!$F$14,$M31,BM$13)="",10^12,OFFSET(CRONOPLE!$F$14,$M31,BM$13))))</f>
        <v>0</v>
      </c>
      <c r="BN31" s="215">
        <f ca="1">IF($D31&lt;&gt;"Serviço",0,IF(AND(AUTOEVENTO="Manual",$M31=1),0,IF(OFFSET(CRONOPLE!$F$14,$M31,BN$13)="",10^12,OFFSET(CRONOPLE!$F$14,$M31,BN$13))))</f>
        <v>0</v>
      </c>
      <c r="BO31" s="215">
        <f ca="1">IF($D31&lt;&gt;"Serviço",0,IF(AND(AUTOEVENTO="Manual",$M31=1),0,IF(OFFSET(CRONOPLE!$F$14,$M31,BO$13)="",10^12,OFFSET(CRONOPLE!$F$14,$M31,BO$13))))</f>
        <v>0</v>
      </c>
      <c r="BP31" s="215">
        <f ca="1">IF($D31&lt;&gt;"Serviço",0,IF(AND(AUTOEVENTO="Manual",$M31=1),0,IF(OFFSET(CRONOPLE!$F$14,$M31,BP$13)="",10^12,OFFSET(CRONOPLE!$F$14,$M31,BP$13))))</f>
        <v>0</v>
      </c>
      <c r="BQ31" s="215">
        <f ca="1">IF($D31&lt;&gt;"Serviço",0,IF(AND(AUTOEVENTO="Manual",$M31=1),0,IF(OFFSET(CRONOPLE!$F$14,$M31,BQ$13)="",10^12,OFFSET(CRONOPLE!$F$14,$M31,BQ$13))))</f>
        <v>0</v>
      </c>
      <c r="BR31" s="215">
        <f ca="1">IF($D31&lt;&gt;"Serviço",0,IF(AND(AUTOEVENTO="Manual",$M31=1),0,IF(OFFSET(CRONOPLE!$F$14,$M31,BR$13)="",10^12,OFFSET(CRONOPLE!$F$14,$M31,BR$13))))</f>
        <v>0</v>
      </c>
      <c r="BS31" s="215">
        <f ca="1">IF($D31&lt;&gt;"Serviço",0,IF(AND(AUTOEVENTO="Manual",$M31=1),0,IF(OFFSET(CRONOPLE!$F$14,$M31,BS$13)="",10^12,OFFSET(CRONOPLE!$F$14,$M31,BS$13))))</f>
        <v>0</v>
      </c>
      <c r="BT31" s="215">
        <f ca="1">IF($D31&lt;&gt;"Serviço",0,IF(AND(AUTOEVENTO="Manual",$M31=1),0,IF(OFFSET(CRONOPLE!$F$14,$M31,BT$13)="",10^12,OFFSET(CRONOPLE!$F$14,$M31,BT$13))))</f>
        <v>0</v>
      </c>
      <c r="BV31" s="216">
        <f ca="1">IF($D31&lt;&gt;"Serviço",0,IF(OR(AND(AUTOEVENTO="Manual",$M31=1),$M31&gt;(ROW(PLE.lastrow)-ROW(PLE.firstrow))),0,IF(OFFSET(PLE!$G$14,$M31,BV$13)="",10^12,OFFSET(PLE!$G$14,$M31,BV$13))))</f>
        <v>0</v>
      </c>
      <c r="BW31" s="216">
        <f ca="1">IF($D31&lt;&gt;"Serviço",0,IF(OR(AND(AUTOEVENTO="Manual",$M31=1),$M31&gt;(ROW(PLE.lastrow)-ROW(PLE.firstrow))),0,IF(OFFSET(PLE!$G$14,$M31,BW$13)="",10^12,OFFSET(PLE!$G$14,$M31,BW$13))))</f>
        <v>0</v>
      </c>
      <c r="BX31" s="216">
        <f ca="1">IF($D31&lt;&gt;"Serviço",0,IF(OR(AND(AUTOEVENTO="Manual",$M31=1),$M31&gt;(ROW(PLE.lastrow)-ROW(PLE.firstrow))),0,IF(OFFSET(PLE!$G$14,$M31,BX$13)="",10^12,OFFSET(PLE!$G$14,$M31,BX$13))))</f>
        <v>0</v>
      </c>
      <c r="BY31" s="216">
        <f ca="1">IF($D31&lt;&gt;"Serviço",0,IF(OR(AND(AUTOEVENTO="Manual",$M31=1),$M31&gt;(ROW(PLE.lastrow)-ROW(PLE.firstrow))),0,IF(OFFSET(PLE!$G$14,$M31,BY$13)="",10^12,OFFSET(PLE!$G$14,$M31,BY$13))))</f>
        <v>0</v>
      </c>
      <c r="BZ31" s="216">
        <f ca="1">IF($D31&lt;&gt;"Serviço",0,IF(OR(AND(AUTOEVENTO="Manual",$M31=1),$M31&gt;(ROW(PLE.lastrow)-ROW(PLE.firstrow))),0,IF(OFFSET(PLE!$G$14,$M31,BZ$13)="",10^12,OFFSET(PLE!$G$14,$M31,BZ$13))))</f>
        <v>0</v>
      </c>
      <c r="CA31" s="216">
        <f ca="1">IF($D31&lt;&gt;"Serviço",0,IF(OR(AND(AUTOEVENTO="Manual",$M31=1),$M31&gt;(ROW(PLE.lastrow)-ROW(PLE.firstrow))),0,IF(OFFSET(PLE!$G$14,$M31,CA$13)="",10^12,OFFSET(PLE!$G$14,$M31,CA$13))))</f>
        <v>0</v>
      </c>
      <c r="CB31" s="216">
        <f ca="1">IF($D31&lt;&gt;"Serviço",0,IF(OR(AND(AUTOEVENTO="Manual",$M31=1),$M31&gt;(ROW(PLE.lastrow)-ROW(PLE.firstrow))),0,IF(OFFSET(PLE!$G$14,$M31,CB$13)="",10^12,OFFSET(PLE!$G$14,$M31,CB$13))))</f>
        <v>0</v>
      </c>
      <c r="CC31" s="216">
        <f ca="1">IF($D31&lt;&gt;"Serviço",0,IF(OR(AND(AUTOEVENTO="Manual",$M31=1),$M31&gt;(ROW(PLE.lastrow)-ROW(PLE.firstrow))),0,IF(OFFSET(PLE!$G$14,$M31,CC$13)="",10^12,OFFSET(PLE!$G$14,$M31,CC$13))))</f>
        <v>0</v>
      </c>
      <c r="CD31" s="216">
        <f ca="1">IF($D31&lt;&gt;"Serviço",0,IF(OR(AND(AUTOEVENTO="Manual",$M31=1),$M31&gt;(ROW(PLE.lastrow)-ROW(PLE.firstrow))),0,IF(OFFSET(PLE!$G$14,$M31,CD$13)="",10^12,OFFSET(PLE!$G$14,$M31,CD$13))))</f>
        <v>0</v>
      </c>
      <c r="CE31" s="216">
        <f ca="1">IF($D31&lt;&gt;"Serviço",0,IF(OR(AND(AUTOEVENTO="Manual",$M31=1),$M31&gt;(ROW(PLE.lastrow)-ROW(PLE.firstrow))),0,IF(OFFSET(PLE!$G$14,$M31,CE$13)="",10^12,OFFSET(PLE!$G$14,$M31,CE$13))))</f>
        <v>0</v>
      </c>
      <c r="CF31" s="216">
        <f ca="1">IF($D31&lt;&gt;"Serviço",0,IF(OR(AND(AUTOEVENTO="Manual",$M31=1),$M31&gt;(ROW(PLE.lastrow)-ROW(PLE.firstrow))),0,IF(OFFSET(PLE!$G$14,$M31,CF$13)="",10^12,OFFSET(PLE!$G$14,$M31,CF$13))))</f>
        <v>0</v>
      </c>
      <c r="CG31" s="216">
        <f ca="1">IF($D31&lt;&gt;"Serviço",0,IF(OR(AND(AUTOEVENTO="Manual",$M31=1),$M31&gt;(ROW(PLE.lastrow)-ROW(PLE.firstrow))),0,IF(OFFSET(PLE!$G$14,$M31,CG$13)="",10^12,OFFSET(PLE!$G$14,$M31,CG$13))))</f>
        <v>0</v>
      </c>
      <c r="CH31" s="216">
        <f ca="1">IF($D31&lt;&gt;"Serviço",0,IF(OR(AND(AUTOEVENTO="Manual",$M31=1),$M31&gt;(ROW(PLE.lastrow)-ROW(PLE.firstrow))),0,IF(OFFSET(PLE!$G$14,$M31,CH$13)="",10^12,OFFSET(PLE!$G$14,$M31,CH$13))))</f>
        <v>0</v>
      </c>
      <c r="CI31" s="216">
        <f ca="1">IF($D31&lt;&gt;"Serviço",0,IF(OR(AND(AUTOEVENTO="Manual",$M31=1),$M31&gt;(ROW(PLE.lastrow)-ROW(PLE.firstrow))),0,IF(OFFSET(PLE!$G$14,$M31,CI$13)="",10^12,OFFSET(PLE!$G$14,$M31,CI$13))))</f>
        <v>0</v>
      </c>
      <c r="CJ31" s="216">
        <f ca="1">IF($D31&lt;&gt;"Serviço",0,IF(OR(AND(AUTOEVENTO="Manual",$M31=1),$M31&gt;(ROW(PLE.lastrow)-ROW(PLE.firstrow))),0,IF(OFFSET(PLE!$G$14,$M31,CJ$13)="",10^12,OFFSET(PLE!$G$14,$M31,CJ$13))))</f>
        <v>0</v>
      </c>
      <c r="CK31" s="216">
        <f ca="1">IF($D31&lt;&gt;"Serviço",0,IF(OR(AND(AUTOEVENTO="Manual",$M31=1),$M31&gt;(ROW(PLE.lastrow)-ROW(PLE.firstrow))),0,IF(OFFSET(PLE!$G$14,$M31,CK$13)="",10^12,OFFSET(PLE!$G$14,$M31,CK$13))))</f>
        <v>0</v>
      </c>
      <c r="CL31" s="216">
        <f ca="1">IF($D31&lt;&gt;"Serviço",0,IF(OR(AND(AUTOEVENTO="Manual",$M31=1),$M31&gt;(ROW(PLE.lastrow)-ROW(PLE.firstrow))),0,IF(OFFSET(PLE!$G$14,$M31,CL$13)="",10^12,OFFSET(PLE!$G$14,$M31,CL$13))))</f>
        <v>0</v>
      </c>
      <c r="CM31" s="216">
        <f ca="1">IF($D31&lt;&gt;"Serviço",0,IF(OR(AND(AUTOEVENTO="Manual",$M31=1),$M31&gt;(ROW(PLE.lastrow)-ROW(PLE.firstrow))),0,IF(OFFSET(PLE!$G$14,$M31,CM$13)="",10^12,OFFSET(PLE!$G$14,$M31,CM$13))))</f>
        <v>0</v>
      </c>
    </row>
    <row r="32" spans="1:91" ht="13.2" x14ac:dyDescent="0.25">
      <c r="A32" s="9">
        <f t="shared" ca="1" si="9"/>
        <v>0</v>
      </c>
      <c r="B32" s="9" t="str">
        <f ca="1">OFFSET(ORÇAMENTO!C$15,ROW(B32)-ROW(B$15),0)</f>
        <v>S</v>
      </c>
      <c r="C32" s="9" t="str">
        <f ca="1">OFFSET(ORÇAMENTO!L$15,ROW(C32)-ROW(C$15),0)</f>
        <v/>
      </c>
      <c r="D32" s="145" t="str">
        <f ca="1">OFFSET(ORÇAMENTO!N$15,ROW(D32)-ROW(D$15),0)</f>
        <v>Serviço</v>
      </c>
      <c r="E32" s="205" t="str">
        <f ca="1">OFFSET(ORÇAMENTO!O$15,ROW(E32)-ROW(E$15),0)</f>
        <v>-</v>
      </c>
      <c r="F32" s="206" t="str">
        <f ca="1">OFFSET(ORÇAMENTO!R$15,ROW(F32)-ROW(F$15),0)</f>
        <v>(abra o arquivo 'Referência 05-2024.xls)</v>
      </c>
      <c r="G32" s="207" t="str">
        <f ca="1">IF($D32&lt;&gt;"Serviço","",OFFSET(ORÇAMENTO!S$15,ROW(G32)-ROW(G$15),0))</f>
        <v>-</v>
      </c>
      <c r="H32" s="151">
        <f ca="1">IF($D32&lt;&gt;"Serviço",0,IF(ACOMPANHAMENTO="BM",ROUND(OFFSET(ORÇAMENTO!AJ$15,ROW(H32)-ROW(H$15),0),15-13*ORÇAMENTO!$AF$7),SUMPRODUCT(($Q$12:$AI$12&lt;&gt;"")*ROUND($Q32:$AI32,15-13*ORÇAMENTO!$AF$7))))</f>
        <v>229.63</v>
      </c>
      <c r="I32" s="650"/>
      <c r="K32" s="208"/>
      <c r="L32" s="209" t="s">
        <v>257</v>
      </c>
      <c r="M32" s="210">
        <f ca="1">IF($D32&lt;&gt;"Serviço","",IF(AUTOEVENTO="manual",$A32,IF(ISERROR(MATCH($A32,$A$15:OFFSET($A32,-1,0),0)),MAX($M$15:OFFSET(M32,-1,0))+1,INDEX($M$15:OFFSET(M32,-1,0),MATCH($A32,$A$15:OFFSET($A32,-1,0),0)))))</f>
        <v>0</v>
      </c>
      <c r="N32" s="211" t="str">
        <f ca="1">IF($D32&lt;&gt;"Serviço","",IF(AUTOEVENTO="Manual",IF($A32=0,"&lt;-- defina o número do agrupador",OFFSET(EVENTOS!$D$14,$A32,0)),OFFSET($F$15,$A32,0)))</f>
        <v>&lt;-- defina o número do agrupador</v>
      </c>
      <c r="O32" s="212"/>
      <c r="Q32" s="212"/>
      <c r="R32" s="213"/>
      <c r="S32" s="213"/>
      <c r="T32" s="213"/>
      <c r="U32" s="213"/>
      <c r="V32" s="213"/>
      <c r="W32" s="213"/>
      <c r="X32" s="213"/>
      <c r="Y32" s="213"/>
      <c r="Z32" s="214"/>
      <c r="AA32" s="213"/>
      <c r="AB32" s="213"/>
      <c r="AC32" s="213"/>
      <c r="AD32" s="213"/>
      <c r="AE32" s="213"/>
      <c r="AF32" s="213"/>
      <c r="AG32" s="213"/>
      <c r="AH32" s="214"/>
      <c r="AJ32" s="631">
        <f ca="1">IF(AND($D32="Serviço",AJ$12&lt;&gt;0,$H32&gt;0,OR(AUTOEVENTO&lt;&gt;"manual",$M32&lt;&gt;1)),ROUND(OFFSET($P32,0,AJ$13),15-13*ORÇAMENTO!$AF$7)/$H32*OFFSET(ORÇAMENTO!$X$15,ROW(AJ32)-ROW(AJ$15),0),0)</f>
        <v>0</v>
      </c>
      <c r="AK32" s="632">
        <f ca="1">IF(AND($D32="Serviço",AK$12&lt;&gt;0,$H32&gt;0,OR(AUTOEVENTO&lt;&gt;"manual",$M32&lt;&gt;1)),ROUND(OFFSET($P32,0,AK$13),15-13*ORÇAMENTO!$AF$7)/$H32*OFFSET(ORÇAMENTO!$X$15,ROW(AK32)-ROW(AK$15),0),0)</f>
        <v>0</v>
      </c>
      <c r="AL32" s="632">
        <f ca="1">IF(AND($D32="Serviço",AL$12&lt;&gt;0,$H32&gt;0,OR(AUTOEVENTO&lt;&gt;"manual",$M32&lt;&gt;1)),ROUND(OFFSET($P32,0,AL$13),15-13*ORÇAMENTO!$AF$7)/$H32*OFFSET(ORÇAMENTO!$X$15,ROW(AL32)-ROW(AL$15),0),0)</f>
        <v>0</v>
      </c>
      <c r="AM32" s="632">
        <f ca="1">IF(AND($D32="Serviço",AM$12&lt;&gt;0,$H32&gt;0,OR(AUTOEVENTO&lt;&gt;"manual",$M32&lt;&gt;1)),ROUND(OFFSET($P32,0,AM$13),15-13*ORÇAMENTO!$AF$7)/$H32*OFFSET(ORÇAMENTO!$X$15,ROW(AM32)-ROW(AM$15),0),0)</f>
        <v>0</v>
      </c>
      <c r="AN32" s="632">
        <f ca="1">IF(AND($D32="Serviço",AN$12&lt;&gt;0,$H32&gt;0,OR(AUTOEVENTO&lt;&gt;"manual",$M32&lt;&gt;1)),ROUND(OFFSET($P32,0,AN$13),15-13*ORÇAMENTO!$AF$7)/$H32*OFFSET(ORÇAMENTO!$X$15,ROW(AN32)-ROW(AN$15),0),0)</f>
        <v>0</v>
      </c>
      <c r="AO32" s="632">
        <f ca="1">IF(AND($D32="Serviço",AO$12&lt;&gt;0,$H32&gt;0,OR(AUTOEVENTO&lt;&gt;"manual",$M32&lt;&gt;1)),ROUND(OFFSET($P32,0,AO$13),15-13*ORÇAMENTO!$AF$7)/$H32*OFFSET(ORÇAMENTO!$X$15,ROW(AO32)-ROW(AO$15),0),0)</f>
        <v>0</v>
      </c>
      <c r="AP32" s="632">
        <f ca="1">IF(AND($D32="Serviço",AP$12&lt;&gt;0,$H32&gt;0,OR(AUTOEVENTO&lt;&gt;"manual",$M32&lt;&gt;1)),ROUND(OFFSET($P32,0,AP$13),15-13*ORÇAMENTO!$AF$7)/$H32*OFFSET(ORÇAMENTO!$X$15,ROW(AP32)-ROW(AP$15),0),0)</f>
        <v>0</v>
      </c>
      <c r="AQ32" s="632">
        <f ca="1">IF(AND($D32="Serviço",AQ$12&lt;&gt;0,$H32&gt;0,OR(AUTOEVENTO&lt;&gt;"manual",$M32&lt;&gt;1)),ROUND(OFFSET($P32,0,AQ$13),15-13*ORÇAMENTO!$AF$7)/$H32*OFFSET(ORÇAMENTO!$X$15,ROW(AQ32)-ROW(AQ$15),0),0)</f>
        <v>0</v>
      </c>
      <c r="AR32" s="632">
        <f ca="1">IF(AND($D32="Serviço",AR$12&lt;&gt;0,$H32&gt;0,OR(AUTOEVENTO&lt;&gt;"manual",$M32&lt;&gt;1)),ROUND(OFFSET($P32,0,AR$13),15-13*ORÇAMENTO!$AF$7)/$H32*OFFSET(ORÇAMENTO!$X$15,ROW(AR32)-ROW(AR$15),0),0)</f>
        <v>0</v>
      </c>
      <c r="AS32" s="633">
        <f ca="1">IF(AND($D32="Serviço",AS$12&lt;&gt;0,$H32&gt;0,OR(AUTOEVENTO&lt;&gt;"manual",$M32&lt;&gt;1)),ROUND(OFFSET($P32,0,AS$13),15-13*ORÇAMENTO!$AF$7)/$H32*OFFSET(ORÇAMENTO!$X$15,ROW(AS32)-ROW(AS$15),0),0)</f>
        <v>0</v>
      </c>
      <c r="AT32" s="632">
        <f ca="1">IF(AND($D32="Serviço",AT$12&lt;&gt;0,$H32&gt;0,OR(AUTOEVENTO&lt;&gt;"manual",$M32&lt;&gt;1)),ROUND(OFFSET($P32,0,AT$13),15-13*ORÇAMENTO!$AF$7)/$H32*OFFSET(ORÇAMENTO!$X$15,ROW(AT32)-ROW(AT$15),0),0)</f>
        <v>0</v>
      </c>
      <c r="AU32" s="632">
        <f ca="1">IF(AND($D32="Serviço",AU$12&lt;&gt;0,$H32&gt;0,OR(AUTOEVENTO&lt;&gt;"manual",$M32&lt;&gt;1)),ROUND(OFFSET($P32,0,AU$13),15-13*ORÇAMENTO!$AF$7)/$H32*OFFSET(ORÇAMENTO!$X$15,ROW(AU32)-ROW(AU$15),0),0)</f>
        <v>0</v>
      </c>
      <c r="AV32" s="632">
        <f ca="1">IF(AND($D32="Serviço",AV$12&lt;&gt;0,$H32&gt;0,OR(AUTOEVENTO&lt;&gt;"manual",$M32&lt;&gt;1)),ROUND(OFFSET($P32,0,AV$13),15-13*ORÇAMENTO!$AF$7)/$H32*OFFSET(ORÇAMENTO!$X$15,ROW(AV32)-ROW(AV$15),0),0)</f>
        <v>0</v>
      </c>
      <c r="AW32" s="632">
        <f ca="1">IF(AND($D32="Serviço",AW$12&lt;&gt;0,$H32&gt;0,OR(AUTOEVENTO&lt;&gt;"manual",$M32&lt;&gt;1)),ROUND(OFFSET($P32,0,AW$13),15-13*ORÇAMENTO!$AF$7)/$H32*OFFSET(ORÇAMENTO!$X$15,ROW(AW32)-ROW(AW$15),0),0)</f>
        <v>0</v>
      </c>
      <c r="AX32" s="632">
        <f ca="1">IF(AND($D32="Serviço",AX$12&lt;&gt;0,$H32&gt;0,OR(AUTOEVENTO&lt;&gt;"manual",$M32&lt;&gt;1)),ROUND(OFFSET($P32,0,AX$13),15-13*ORÇAMENTO!$AF$7)/$H32*OFFSET(ORÇAMENTO!$X$15,ROW(AX32)-ROW(AX$15),0),0)</f>
        <v>0</v>
      </c>
      <c r="AY32" s="632">
        <f ca="1">IF(AND($D32="Serviço",AY$12&lt;&gt;0,$H32&gt;0,OR(AUTOEVENTO&lt;&gt;"manual",$M32&lt;&gt;1)),ROUND(OFFSET($P32,0,AY$13),15-13*ORÇAMENTO!$AF$7)/$H32*OFFSET(ORÇAMENTO!$X$15,ROW(AY32)-ROW(AY$15),0),0)</f>
        <v>0</v>
      </c>
      <c r="AZ32" s="632">
        <f ca="1">IF(AND($D32="Serviço",AZ$12&lt;&gt;0,$H32&gt;0,OR(AUTOEVENTO&lt;&gt;"manual",$M32&lt;&gt;1)),ROUND(OFFSET($P32,0,AZ$13),15-13*ORÇAMENTO!$AF$7)/$H32*OFFSET(ORÇAMENTO!$X$15,ROW(AZ32)-ROW(AZ$15),0),0)</f>
        <v>0</v>
      </c>
      <c r="BA32" s="633">
        <f ca="1">IF(AND($D32="Serviço",BA$12&lt;&gt;0,$H32&gt;0,OR(AUTOEVENTO&lt;&gt;"manual",$M32&lt;&gt;1)),ROUND(OFFSET($P32,0,BA$13),15-13*ORÇAMENTO!$AF$7)/$H32*OFFSET(ORÇAMENTO!$X$15,ROW(BA32)-ROW(BA$15),0),0)</f>
        <v>0</v>
      </c>
      <c r="BC32" s="215">
        <f ca="1">IF($D32&lt;&gt;"Serviço",0,IF(AND(AUTOEVENTO="Manual",$M32=1),0,IF(OFFSET(CRONOPLE!$F$14,$M32,BC$13)="",10^12,OFFSET(CRONOPLE!$F$14,$M32,BC$13))))</f>
        <v>1000000000000</v>
      </c>
      <c r="BD32" s="215">
        <f ca="1">IF($D32&lt;&gt;"Serviço",0,IF(AND(AUTOEVENTO="Manual",$M32=1),0,IF(OFFSET(CRONOPLE!$F$14,$M32,BD$13)="",10^12,OFFSET(CRONOPLE!$F$14,$M32,BD$13))))</f>
        <v>1000000000000</v>
      </c>
      <c r="BE32" s="215">
        <f ca="1">IF($D32&lt;&gt;"Serviço",0,IF(AND(AUTOEVENTO="Manual",$M32=1),0,IF(OFFSET(CRONOPLE!$F$14,$M32,BE$13)="",10^12,OFFSET(CRONOPLE!$F$14,$M32,BE$13))))</f>
        <v>1000000000000</v>
      </c>
      <c r="BF32" s="215">
        <f ca="1">IF($D32&lt;&gt;"Serviço",0,IF(AND(AUTOEVENTO="Manual",$M32=1),0,IF(OFFSET(CRONOPLE!$F$14,$M32,BF$13)="",10^12,OFFSET(CRONOPLE!$F$14,$M32,BF$13))))</f>
        <v>1000000000000</v>
      </c>
      <c r="BG32" s="215">
        <f ca="1">IF($D32&lt;&gt;"Serviço",0,IF(AND(AUTOEVENTO="Manual",$M32=1),0,IF(OFFSET(CRONOPLE!$F$14,$M32,BG$13)="",10^12,OFFSET(CRONOPLE!$F$14,$M32,BG$13))))</f>
        <v>1000000000000</v>
      </c>
      <c r="BH32" s="215">
        <f ca="1">IF($D32&lt;&gt;"Serviço",0,IF(AND(AUTOEVENTO="Manual",$M32=1),0,IF(OFFSET(CRONOPLE!$F$14,$M32,BH$13)="",10^12,OFFSET(CRONOPLE!$F$14,$M32,BH$13))))</f>
        <v>1000000000000</v>
      </c>
      <c r="BI32" s="215">
        <f ca="1">IF($D32&lt;&gt;"Serviço",0,IF(AND(AUTOEVENTO="Manual",$M32=1),0,IF(OFFSET(CRONOPLE!$F$14,$M32,BI$13)="",10^12,OFFSET(CRONOPLE!$F$14,$M32,BI$13))))</f>
        <v>1000000000000</v>
      </c>
      <c r="BJ32" s="215">
        <f ca="1">IF($D32&lt;&gt;"Serviço",0,IF(AND(AUTOEVENTO="Manual",$M32=1),0,IF(OFFSET(CRONOPLE!$F$14,$M32,BJ$13)="",10^12,OFFSET(CRONOPLE!$F$14,$M32,BJ$13))))</f>
        <v>1000000000000</v>
      </c>
      <c r="BK32" s="215">
        <f ca="1">IF($D32&lt;&gt;"Serviço",0,IF(AND(AUTOEVENTO="Manual",$M32=1),0,IF(OFFSET(CRONOPLE!$F$14,$M32,BK$13)="",10^12,OFFSET(CRONOPLE!$F$14,$M32,BK$13))))</f>
        <v>1000000000000</v>
      </c>
      <c r="BL32" s="215">
        <f ca="1">IF($D32&lt;&gt;"Serviço",0,IF(AND(AUTOEVENTO="Manual",$M32=1),0,IF(OFFSET(CRONOPLE!$F$14,$M32,BL$13)="",10^12,OFFSET(CRONOPLE!$F$14,$M32,BL$13))))</f>
        <v>1000000000000</v>
      </c>
      <c r="BM32" s="215">
        <f ca="1">IF($D32&lt;&gt;"Serviço",0,IF(AND(AUTOEVENTO="Manual",$M32=1),0,IF(OFFSET(CRONOPLE!$F$14,$M32,BM$13)="",10^12,OFFSET(CRONOPLE!$F$14,$M32,BM$13))))</f>
        <v>1000000000000</v>
      </c>
      <c r="BN32" s="215">
        <f ca="1">IF($D32&lt;&gt;"Serviço",0,IF(AND(AUTOEVENTO="Manual",$M32=1),0,IF(OFFSET(CRONOPLE!$F$14,$M32,BN$13)="",10^12,OFFSET(CRONOPLE!$F$14,$M32,BN$13))))</f>
        <v>1000000000000</v>
      </c>
      <c r="BO32" s="215">
        <f ca="1">IF($D32&lt;&gt;"Serviço",0,IF(AND(AUTOEVENTO="Manual",$M32=1),0,IF(OFFSET(CRONOPLE!$F$14,$M32,BO$13)="",10^12,OFFSET(CRONOPLE!$F$14,$M32,BO$13))))</f>
        <v>1000000000000</v>
      </c>
      <c r="BP32" s="215">
        <f ca="1">IF($D32&lt;&gt;"Serviço",0,IF(AND(AUTOEVENTO="Manual",$M32=1),0,IF(OFFSET(CRONOPLE!$F$14,$M32,BP$13)="",10^12,OFFSET(CRONOPLE!$F$14,$M32,BP$13))))</f>
        <v>1000000000000</v>
      </c>
      <c r="BQ32" s="215">
        <f ca="1">IF($D32&lt;&gt;"Serviço",0,IF(AND(AUTOEVENTO="Manual",$M32=1),0,IF(OFFSET(CRONOPLE!$F$14,$M32,BQ$13)="",10^12,OFFSET(CRONOPLE!$F$14,$M32,BQ$13))))</f>
        <v>1000000000000</v>
      </c>
      <c r="BR32" s="215">
        <f ca="1">IF($D32&lt;&gt;"Serviço",0,IF(AND(AUTOEVENTO="Manual",$M32=1),0,IF(OFFSET(CRONOPLE!$F$14,$M32,BR$13)="",10^12,OFFSET(CRONOPLE!$F$14,$M32,BR$13))))</f>
        <v>1000000000000</v>
      </c>
      <c r="BS32" s="215">
        <f ca="1">IF($D32&lt;&gt;"Serviço",0,IF(AND(AUTOEVENTO="Manual",$M32=1),0,IF(OFFSET(CRONOPLE!$F$14,$M32,BS$13)="",10^12,OFFSET(CRONOPLE!$F$14,$M32,BS$13))))</f>
        <v>1000000000000</v>
      </c>
      <c r="BT32" s="215">
        <f ca="1">IF($D32&lt;&gt;"Serviço",0,IF(AND(AUTOEVENTO="Manual",$M32=1),0,IF(OFFSET(CRONOPLE!$F$14,$M32,BT$13)="",10^12,OFFSET(CRONOPLE!$F$14,$M32,BT$13))))</f>
        <v>1000000000000</v>
      </c>
      <c r="BV32" s="216">
        <f ca="1">IF($D32&lt;&gt;"Serviço",0,IF(OR(AND(AUTOEVENTO="Manual",$M32=1),$M32&gt;(ROW(PLE.lastrow)-ROW(PLE.firstrow))),0,IF(OFFSET(PLE!$G$14,$M32,BV$13)="",10^12,OFFSET(PLE!$G$14,$M32,BV$13))))</f>
        <v>1000000000000</v>
      </c>
      <c r="BW32" s="216">
        <f ca="1">IF($D32&lt;&gt;"Serviço",0,IF(OR(AND(AUTOEVENTO="Manual",$M32=1),$M32&gt;(ROW(PLE.lastrow)-ROW(PLE.firstrow))),0,IF(OFFSET(PLE!$G$14,$M32,BW$13)="",10^12,OFFSET(PLE!$G$14,$M32,BW$13))))</f>
        <v>1000000000000</v>
      </c>
      <c r="BX32" s="216">
        <f ca="1">IF($D32&lt;&gt;"Serviço",0,IF(OR(AND(AUTOEVENTO="Manual",$M32=1),$M32&gt;(ROW(PLE.lastrow)-ROW(PLE.firstrow))),0,IF(OFFSET(PLE!$G$14,$M32,BX$13)="",10^12,OFFSET(PLE!$G$14,$M32,BX$13))))</f>
        <v>1000000000000</v>
      </c>
      <c r="BY32" s="216">
        <f ca="1">IF($D32&lt;&gt;"Serviço",0,IF(OR(AND(AUTOEVENTO="Manual",$M32=1),$M32&gt;(ROW(PLE.lastrow)-ROW(PLE.firstrow))),0,IF(OFFSET(PLE!$G$14,$M32,BY$13)="",10^12,OFFSET(PLE!$G$14,$M32,BY$13))))</f>
        <v>1000000000000</v>
      </c>
      <c r="BZ32" s="216">
        <f ca="1">IF($D32&lt;&gt;"Serviço",0,IF(OR(AND(AUTOEVENTO="Manual",$M32=1),$M32&gt;(ROW(PLE.lastrow)-ROW(PLE.firstrow))),0,IF(OFFSET(PLE!$G$14,$M32,BZ$13)="",10^12,OFFSET(PLE!$G$14,$M32,BZ$13))))</f>
        <v>1000000000000</v>
      </c>
      <c r="CA32" s="216">
        <f ca="1">IF($D32&lt;&gt;"Serviço",0,IF(OR(AND(AUTOEVENTO="Manual",$M32=1),$M32&gt;(ROW(PLE.lastrow)-ROW(PLE.firstrow))),0,IF(OFFSET(PLE!$G$14,$M32,CA$13)="",10^12,OFFSET(PLE!$G$14,$M32,CA$13))))</f>
        <v>1000000000000</v>
      </c>
      <c r="CB32" s="216">
        <f ca="1">IF($D32&lt;&gt;"Serviço",0,IF(OR(AND(AUTOEVENTO="Manual",$M32=1),$M32&gt;(ROW(PLE.lastrow)-ROW(PLE.firstrow))),0,IF(OFFSET(PLE!$G$14,$M32,CB$13)="",10^12,OFFSET(PLE!$G$14,$M32,CB$13))))</f>
        <v>1000000000000</v>
      </c>
      <c r="CC32" s="216">
        <f ca="1">IF($D32&lt;&gt;"Serviço",0,IF(OR(AND(AUTOEVENTO="Manual",$M32=1),$M32&gt;(ROW(PLE.lastrow)-ROW(PLE.firstrow))),0,IF(OFFSET(PLE!$G$14,$M32,CC$13)="",10^12,OFFSET(PLE!$G$14,$M32,CC$13))))</f>
        <v>1000000000000</v>
      </c>
      <c r="CD32" s="216">
        <f ca="1">IF($D32&lt;&gt;"Serviço",0,IF(OR(AND(AUTOEVENTO="Manual",$M32=1),$M32&gt;(ROW(PLE.lastrow)-ROW(PLE.firstrow))),0,IF(OFFSET(PLE!$G$14,$M32,CD$13)="",10^12,OFFSET(PLE!$G$14,$M32,CD$13))))</f>
        <v>1000000000000</v>
      </c>
      <c r="CE32" s="216">
        <f ca="1">IF($D32&lt;&gt;"Serviço",0,IF(OR(AND(AUTOEVENTO="Manual",$M32=1),$M32&gt;(ROW(PLE.lastrow)-ROW(PLE.firstrow))),0,IF(OFFSET(PLE!$G$14,$M32,CE$13)="",10^12,OFFSET(PLE!$G$14,$M32,CE$13))))</f>
        <v>1000000000000</v>
      </c>
      <c r="CF32" s="216">
        <f ca="1">IF($D32&lt;&gt;"Serviço",0,IF(OR(AND(AUTOEVENTO="Manual",$M32=1),$M32&gt;(ROW(PLE.lastrow)-ROW(PLE.firstrow))),0,IF(OFFSET(PLE!$G$14,$M32,CF$13)="",10^12,OFFSET(PLE!$G$14,$M32,CF$13))))</f>
        <v>1000000000000</v>
      </c>
      <c r="CG32" s="216">
        <f ca="1">IF($D32&lt;&gt;"Serviço",0,IF(OR(AND(AUTOEVENTO="Manual",$M32=1),$M32&gt;(ROW(PLE.lastrow)-ROW(PLE.firstrow))),0,IF(OFFSET(PLE!$G$14,$M32,CG$13)="",10^12,OFFSET(PLE!$G$14,$M32,CG$13))))</f>
        <v>1000000000000</v>
      </c>
      <c r="CH32" s="216">
        <f ca="1">IF($D32&lt;&gt;"Serviço",0,IF(OR(AND(AUTOEVENTO="Manual",$M32=1),$M32&gt;(ROW(PLE.lastrow)-ROW(PLE.firstrow))),0,IF(OFFSET(PLE!$G$14,$M32,CH$13)="",10^12,OFFSET(PLE!$G$14,$M32,CH$13))))</f>
        <v>1000000000000</v>
      </c>
      <c r="CI32" s="216">
        <f ca="1">IF($D32&lt;&gt;"Serviço",0,IF(OR(AND(AUTOEVENTO="Manual",$M32=1),$M32&gt;(ROW(PLE.lastrow)-ROW(PLE.firstrow))),0,IF(OFFSET(PLE!$G$14,$M32,CI$13)="",10^12,OFFSET(PLE!$G$14,$M32,CI$13))))</f>
        <v>1000000000000</v>
      </c>
      <c r="CJ32" s="216">
        <f ca="1">IF($D32&lt;&gt;"Serviço",0,IF(OR(AND(AUTOEVENTO="Manual",$M32=1),$M32&gt;(ROW(PLE.lastrow)-ROW(PLE.firstrow))),0,IF(OFFSET(PLE!$G$14,$M32,CJ$13)="",10^12,OFFSET(PLE!$G$14,$M32,CJ$13))))</f>
        <v>1000000000000</v>
      </c>
      <c r="CK32" s="216">
        <f ca="1">IF($D32&lt;&gt;"Serviço",0,IF(OR(AND(AUTOEVENTO="Manual",$M32=1),$M32&gt;(ROW(PLE.lastrow)-ROW(PLE.firstrow))),0,IF(OFFSET(PLE!$G$14,$M32,CK$13)="",10^12,OFFSET(PLE!$G$14,$M32,CK$13))))</f>
        <v>1000000000000</v>
      </c>
      <c r="CL32" s="216">
        <f ca="1">IF($D32&lt;&gt;"Serviço",0,IF(OR(AND(AUTOEVENTO="Manual",$M32=1),$M32&gt;(ROW(PLE.lastrow)-ROW(PLE.firstrow))),0,IF(OFFSET(PLE!$G$14,$M32,CL$13)="",10^12,OFFSET(PLE!$G$14,$M32,CL$13))))</f>
        <v>1000000000000</v>
      </c>
      <c r="CM32" s="216">
        <f ca="1">IF($D32&lt;&gt;"Serviço",0,IF(OR(AND(AUTOEVENTO="Manual",$M32=1),$M32&gt;(ROW(PLE.lastrow)-ROW(PLE.firstrow))),0,IF(OFFSET(PLE!$G$14,$M32,CM$13)="",10^12,OFFSET(PLE!$G$14,$M32,CM$13))))</f>
        <v>1000000000000</v>
      </c>
    </row>
    <row r="33" spans="1:91" ht="13.2" x14ac:dyDescent="0.25">
      <c r="A33" s="9">
        <f t="shared" ca="1" si="9"/>
        <v>0</v>
      </c>
      <c r="B33" s="9" t="str">
        <f ca="1">OFFSET(ORÇAMENTO!C$15,ROW(B33)-ROW(B$15),0)</f>
        <v>S</v>
      </c>
      <c r="C33" s="9" t="str">
        <f ca="1">OFFSET(ORÇAMENTO!L$15,ROW(C33)-ROW(C$15),0)</f>
        <v/>
      </c>
      <c r="D33" s="145" t="str">
        <f ca="1">OFFSET(ORÇAMENTO!N$15,ROW(D33)-ROW(D$15),0)</f>
        <v>Serviço</v>
      </c>
      <c r="E33" s="205" t="str">
        <f ca="1">OFFSET(ORÇAMENTO!O$15,ROW(E33)-ROW(E$15),0)</f>
        <v>-</v>
      </c>
      <c r="F33" s="206" t="str">
        <f ca="1">OFFSET(ORÇAMENTO!R$15,ROW(F33)-ROW(F$15),0)</f>
        <v>(abra o arquivo 'Referência 05-2024.xls)</v>
      </c>
      <c r="G33" s="207" t="str">
        <f ca="1">IF($D33&lt;&gt;"Serviço","",OFFSET(ORÇAMENTO!S$15,ROW(G33)-ROW(G$15),0))</f>
        <v>-</v>
      </c>
      <c r="H33" s="151">
        <f ca="1">IF($D33&lt;&gt;"Serviço",0,IF(ACOMPANHAMENTO="BM",ROUND(OFFSET(ORÇAMENTO!AJ$15,ROW(H33)-ROW(H$15),0),15-13*ORÇAMENTO!$AF$7),SUMPRODUCT(($Q$12:$AI$12&lt;&gt;"")*ROUND($Q33:$AI33,15-13*ORÇAMENTO!$AF$7))))</f>
        <v>276.35000000000002</v>
      </c>
      <c r="I33" s="650"/>
      <c r="K33" s="208"/>
      <c r="L33" s="209" t="s">
        <v>257</v>
      </c>
      <c r="M33" s="210">
        <f ca="1">IF($D33&lt;&gt;"Serviço","",IF(AUTOEVENTO="manual",$A33,IF(ISERROR(MATCH($A33,$A$15:OFFSET($A33,-1,0),0)),MAX($M$15:OFFSET(M33,-1,0))+1,INDEX($M$15:OFFSET(M33,-1,0),MATCH($A33,$A$15:OFFSET($A33,-1,0),0)))))</f>
        <v>0</v>
      </c>
      <c r="N33" s="211" t="str">
        <f ca="1">IF($D33&lt;&gt;"Serviço","",IF(AUTOEVENTO="Manual",IF($A33=0,"&lt;-- defina o número do agrupador",OFFSET(EVENTOS!$D$14,$A33,0)),OFFSET($F$15,$A33,0)))</f>
        <v>&lt;-- defina o número do agrupador</v>
      </c>
      <c r="O33" s="212"/>
      <c r="Q33" s="212"/>
      <c r="R33" s="213"/>
      <c r="S33" s="213"/>
      <c r="T33" s="213"/>
      <c r="U33" s="213"/>
      <c r="V33" s="213"/>
      <c r="W33" s="213"/>
      <c r="X33" s="213"/>
      <c r="Y33" s="213"/>
      <c r="Z33" s="214"/>
      <c r="AA33" s="213"/>
      <c r="AB33" s="213"/>
      <c r="AC33" s="213"/>
      <c r="AD33" s="213"/>
      <c r="AE33" s="213"/>
      <c r="AF33" s="213"/>
      <c r="AG33" s="213"/>
      <c r="AH33" s="214"/>
      <c r="AJ33" s="631">
        <f ca="1">IF(AND($D33="Serviço",AJ$12&lt;&gt;0,$H33&gt;0,OR(AUTOEVENTO&lt;&gt;"manual",$M33&lt;&gt;1)),ROUND(OFFSET($P33,0,AJ$13),15-13*ORÇAMENTO!$AF$7)/$H33*OFFSET(ORÇAMENTO!$X$15,ROW(AJ33)-ROW(AJ$15),0),0)</f>
        <v>0</v>
      </c>
      <c r="AK33" s="632">
        <f ca="1">IF(AND($D33="Serviço",AK$12&lt;&gt;0,$H33&gt;0,OR(AUTOEVENTO&lt;&gt;"manual",$M33&lt;&gt;1)),ROUND(OFFSET($P33,0,AK$13),15-13*ORÇAMENTO!$AF$7)/$H33*OFFSET(ORÇAMENTO!$X$15,ROW(AK33)-ROW(AK$15),0),0)</f>
        <v>0</v>
      </c>
      <c r="AL33" s="632">
        <f ca="1">IF(AND($D33="Serviço",AL$12&lt;&gt;0,$H33&gt;0,OR(AUTOEVENTO&lt;&gt;"manual",$M33&lt;&gt;1)),ROUND(OFFSET($P33,0,AL$13),15-13*ORÇAMENTO!$AF$7)/$H33*OFFSET(ORÇAMENTO!$X$15,ROW(AL33)-ROW(AL$15),0),0)</f>
        <v>0</v>
      </c>
      <c r="AM33" s="632">
        <f ca="1">IF(AND($D33="Serviço",AM$12&lt;&gt;0,$H33&gt;0,OR(AUTOEVENTO&lt;&gt;"manual",$M33&lt;&gt;1)),ROUND(OFFSET($P33,0,AM$13),15-13*ORÇAMENTO!$AF$7)/$H33*OFFSET(ORÇAMENTO!$X$15,ROW(AM33)-ROW(AM$15),0),0)</f>
        <v>0</v>
      </c>
      <c r="AN33" s="632">
        <f ca="1">IF(AND($D33="Serviço",AN$12&lt;&gt;0,$H33&gt;0,OR(AUTOEVENTO&lt;&gt;"manual",$M33&lt;&gt;1)),ROUND(OFFSET($P33,0,AN$13),15-13*ORÇAMENTO!$AF$7)/$H33*OFFSET(ORÇAMENTO!$X$15,ROW(AN33)-ROW(AN$15),0),0)</f>
        <v>0</v>
      </c>
      <c r="AO33" s="632">
        <f ca="1">IF(AND($D33="Serviço",AO$12&lt;&gt;0,$H33&gt;0,OR(AUTOEVENTO&lt;&gt;"manual",$M33&lt;&gt;1)),ROUND(OFFSET($P33,0,AO$13),15-13*ORÇAMENTO!$AF$7)/$H33*OFFSET(ORÇAMENTO!$X$15,ROW(AO33)-ROW(AO$15),0),0)</f>
        <v>0</v>
      </c>
      <c r="AP33" s="632">
        <f ca="1">IF(AND($D33="Serviço",AP$12&lt;&gt;0,$H33&gt;0,OR(AUTOEVENTO&lt;&gt;"manual",$M33&lt;&gt;1)),ROUND(OFFSET($P33,0,AP$13),15-13*ORÇAMENTO!$AF$7)/$H33*OFFSET(ORÇAMENTO!$X$15,ROW(AP33)-ROW(AP$15),0),0)</f>
        <v>0</v>
      </c>
      <c r="AQ33" s="632">
        <f ca="1">IF(AND($D33="Serviço",AQ$12&lt;&gt;0,$H33&gt;0,OR(AUTOEVENTO&lt;&gt;"manual",$M33&lt;&gt;1)),ROUND(OFFSET($P33,0,AQ$13),15-13*ORÇAMENTO!$AF$7)/$H33*OFFSET(ORÇAMENTO!$X$15,ROW(AQ33)-ROW(AQ$15),0),0)</f>
        <v>0</v>
      </c>
      <c r="AR33" s="632">
        <f ca="1">IF(AND($D33="Serviço",AR$12&lt;&gt;0,$H33&gt;0,OR(AUTOEVENTO&lt;&gt;"manual",$M33&lt;&gt;1)),ROUND(OFFSET($P33,0,AR$13),15-13*ORÇAMENTO!$AF$7)/$H33*OFFSET(ORÇAMENTO!$X$15,ROW(AR33)-ROW(AR$15),0),0)</f>
        <v>0</v>
      </c>
      <c r="AS33" s="633">
        <f ca="1">IF(AND($D33="Serviço",AS$12&lt;&gt;0,$H33&gt;0,OR(AUTOEVENTO&lt;&gt;"manual",$M33&lt;&gt;1)),ROUND(OFFSET($P33,0,AS$13),15-13*ORÇAMENTO!$AF$7)/$H33*OFFSET(ORÇAMENTO!$X$15,ROW(AS33)-ROW(AS$15),0),0)</f>
        <v>0</v>
      </c>
      <c r="AT33" s="632">
        <f ca="1">IF(AND($D33="Serviço",AT$12&lt;&gt;0,$H33&gt;0,OR(AUTOEVENTO&lt;&gt;"manual",$M33&lt;&gt;1)),ROUND(OFFSET($P33,0,AT$13),15-13*ORÇAMENTO!$AF$7)/$H33*OFFSET(ORÇAMENTO!$X$15,ROW(AT33)-ROW(AT$15),0),0)</f>
        <v>0</v>
      </c>
      <c r="AU33" s="632">
        <f ca="1">IF(AND($D33="Serviço",AU$12&lt;&gt;0,$H33&gt;0,OR(AUTOEVENTO&lt;&gt;"manual",$M33&lt;&gt;1)),ROUND(OFFSET($P33,0,AU$13),15-13*ORÇAMENTO!$AF$7)/$H33*OFFSET(ORÇAMENTO!$X$15,ROW(AU33)-ROW(AU$15),0),0)</f>
        <v>0</v>
      </c>
      <c r="AV33" s="632">
        <f ca="1">IF(AND($D33="Serviço",AV$12&lt;&gt;0,$H33&gt;0,OR(AUTOEVENTO&lt;&gt;"manual",$M33&lt;&gt;1)),ROUND(OFFSET($P33,0,AV$13),15-13*ORÇAMENTO!$AF$7)/$H33*OFFSET(ORÇAMENTO!$X$15,ROW(AV33)-ROW(AV$15),0),0)</f>
        <v>0</v>
      </c>
      <c r="AW33" s="632">
        <f ca="1">IF(AND($D33="Serviço",AW$12&lt;&gt;0,$H33&gt;0,OR(AUTOEVENTO&lt;&gt;"manual",$M33&lt;&gt;1)),ROUND(OFFSET($P33,0,AW$13),15-13*ORÇAMENTO!$AF$7)/$H33*OFFSET(ORÇAMENTO!$X$15,ROW(AW33)-ROW(AW$15),0),0)</f>
        <v>0</v>
      </c>
      <c r="AX33" s="632">
        <f ca="1">IF(AND($D33="Serviço",AX$12&lt;&gt;0,$H33&gt;0,OR(AUTOEVENTO&lt;&gt;"manual",$M33&lt;&gt;1)),ROUND(OFFSET($P33,0,AX$13),15-13*ORÇAMENTO!$AF$7)/$H33*OFFSET(ORÇAMENTO!$X$15,ROW(AX33)-ROW(AX$15),0),0)</f>
        <v>0</v>
      </c>
      <c r="AY33" s="632">
        <f ca="1">IF(AND($D33="Serviço",AY$12&lt;&gt;0,$H33&gt;0,OR(AUTOEVENTO&lt;&gt;"manual",$M33&lt;&gt;1)),ROUND(OFFSET($P33,0,AY$13),15-13*ORÇAMENTO!$AF$7)/$H33*OFFSET(ORÇAMENTO!$X$15,ROW(AY33)-ROW(AY$15),0),0)</f>
        <v>0</v>
      </c>
      <c r="AZ33" s="632">
        <f ca="1">IF(AND($D33="Serviço",AZ$12&lt;&gt;0,$H33&gt;0,OR(AUTOEVENTO&lt;&gt;"manual",$M33&lt;&gt;1)),ROUND(OFFSET($P33,0,AZ$13),15-13*ORÇAMENTO!$AF$7)/$H33*OFFSET(ORÇAMENTO!$X$15,ROW(AZ33)-ROW(AZ$15),0),0)</f>
        <v>0</v>
      </c>
      <c r="BA33" s="633">
        <f ca="1">IF(AND($D33="Serviço",BA$12&lt;&gt;0,$H33&gt;0,OR(AUTOEVENTO&lt;&gt;"manual",$M33&lt;&gt;1)),ROUND(OFFSET($P33,0,BA$13),15-13*ORÇAMENTO!$AF$7)/$H33*OFFSET(ORÇAMENTO!$X$15,ROW(BA33)-ROW(BA$15),0),0)</f>
        <v>0</v>
      </c>
      <c r="BC33" s="215">
        <f ca="1">IF($D33&lt;&gt;"Serviço",0,IF(AND(AUTOEVENTO="Manual",$M33=1),0,IF(OFFSET(CRONOPLE!$F$14,$M33,BC$13)="",10^12,OFFSET(CRONOPLE!$F$14,$M33,BC$13))))</f>
        <v>1000000000000</v>
      </c>
      <c r="BD33" s="215">
        <f ca="1">IF($D33&lt;&gt;"Serviço",0,IF(AND(AUTOEVENTO="Manual",$M33=1),0,IF(OFFSET(CRONOPLE!$F$14,$M33,BD$13)="",10^12,OFFSET(CRONOPLE!$F$14,$M33,BD$13))))</f>
        <v>1000000000000</v>
      </c>
      <c r="BE33" s="215">
        <f ca="1">IF($D33&lt;&gt;"Serviço",0,IF(AND(AUTOEVENTO="Manual",$M33=1),0,IF(OFFSET(CRONOPLE!$F$14,$M33,BE$13)="",10^12,OFFSET(CRONOPLE!$F$14,$M33,BE$13))))</f>
        <v>1000000000000</v>
      </c>
      <c r="BF33" s="215">
        <f ca="1">IF($D33&lt;&gt;"Serviço",0,IF(AND(AUTOEVENTO="Manual",$M33=1),0,IF(OFFSET(CRONOPLE!$F$14,$M33,BF$13)="",10^12,OFFSET(CRONOPLE!$F$14,$M33,BF$13))))</f>
        <v>1000000000000</v>
      </c>
      <c r="BG33" s="215">
        <f ca="1">IF($D33&lt;&gt;"Serviço",0,IF(AND(AUTOEVENTO="Manual",$M33=1),0,IF(OFFSET(CRONOPLE!$F$14,$M33,BG$13)="",10^12,OFFSET(CRONOPLE!$F$14,$M33,BG$13))))</f>
        <v>1000000000000</v>
      </c>
      <c r="BH33" s="215">
        <f ca="1">IF($D33&lt;&gt;"Serviço",0,IF(AND(AUTOEVENTO="Manual",$M33=1),0,IF(OFFSET(CRONOPLE!$F$14,$M33,BH$13)="",10^12,OFFSET(CRONOPLE!$F$14,$M33,BH$13))))</f>
        <v>1000000000000</v>
      </c>
      <c r="BI33" s="215">
        <f ca="1">IF($D33&lt;&gt;"Serviço",0,IF(AND(AUTOEVENTO="Manual",$M33=1),0,IF(OFFSET(CRONOPLE!$F$14,$M33,BI$13)="",10^12,OFFSET(CRONOPLE!$F$14,$M33,BI$13))))</f>
        <v>1000000000000</v>
      </c>
      <c r="BJ33" s="215">
        <f ca="1">IF($D33&lt;&gt;"Serviço",0,IF(AND(AUTOEVENTO="Manual",$M33=1),0,IF(OFFSET(CRONOPLE!$F$14,$M33,BJ$13)="",10^12,OFFSET(CRONOPLE!$F$14,$M33,BJ$13))))</f>
        <v>1000000000000</v>
      </c>
      <c r="BK33" s="215">
        <f ca="1">IF($D33&lt;&gt;"Serviço",0,IF(AND(AUTOEVENTO="Manual",$M33=1),0,IF(OFFSET(CRONOPLE!$F$14,$M33,BK$13)="",10^12,OFFSET(CRONOPLE!$F$14,$M33,BK$13))))</f>
        <v>1000000000000</v>
      </c>
      <c r="BL33" s="215">
        <f ca="1">IF($D33&lt;&gt;"Serviço",0,IF(AND(AUTOEVENTO="Manual",$M33=1),0,IF(OFFSET(CRONOPLE!$F$14,$M33,BL$13)="",10^12,OFFSET(CRONOPLE!$F$14,$M33,BL$13))))</f>
        <v>1000000000000</v>
      </c>
      <c r="BM33" s="215">
        <f ca="1">IF($D33&lt;&gt;"Serviço",0,IF(AND(AUTOEVENTO="Manual",$M33=1),0,IF(OFFSET(CRONOPLE!$F$14,$M33,BM$13)="",10^12,OFFSET(CRONOPLE!$F$14,$M33,BM$13))))</f>
        <v>1000000000000</v>
      </c>
      <c r="BN33" s="215">
        <f ca="1">IF($D33&lt;&gt;"Serviço",0,IF(AND(AUTOEVENTO="Manual",$M33=1),0,IF(OFFSET(CRONOPLE!$F$14,$M33,BN$13)="",10^12,OFFSET(CRONOPLE!$F$14,$M33,BN$13))))</f>
        <v>1000000000000</v>
      </c>
      <c r="BO33" s="215">
        <f ca="1">IF($D33&lt;&gt;"Serviço",0,IF(AND(AUTOEVENTO="Manual",$M33=1),0,IF(OFFSET(CRONOPLE!$F$14,$M33,BO$13)="",10^12,OFFSET(CRONOPLE!$F$14,$M33,BO$13))))</f>
        <v>1000000000000</v>
      </c>
      <c r="BP33" s="215">
        <f ca="1">IF($D33&lt;&gt;"Serviço",0,IF(AND(AUTOEVENTO="Manual",$M33=1),0,IF(OFFSET(CRONOPLE!$F$14,$M33,BP$13)="",10^12,OFFSET(CRONOPLE!$F$14,$M33,BP$13))))</f>
        <v>1000000000000</v>
      </c>
      <c r="BQ33" s="215">
        <f ca="1">IF($D33&lt;&gt;"Serviço",0,IF(AND(AUTOEVENTO="Manual",$M33=1),0,IF(OFFSET(CRONOPLE!$F$14,$M33,BQ$13)="",10^12,OFFSET(CRONOPLE!$F$14,$M33,BQ$13))))</f>
        <v>1000000000000</v>
      </c>
      <c r="BR33" s="215">
        <f ca="1">IF($D33&lt;&gt;"Serviço",0,IF(AND(AUTOEVENTO="Manual",$M33=1),0,IF(OFFSET(CRONOPLE!$F$14,$M33,BR$13)="",10^12,OFFSET(CRONOPLE!$F$14,$M33,BR$13))))</f>
        <v>1000000000000</v>
      </c>
      <c r="BS33" s="215">
        <f ca="1">IF($D33&lt;&gt;"Serviço",0,IF(AND(AUTOEVENTO="Manual",$M33=1),0,IF(OFFSET(CRONOPLE!$F$14,$M33,BS$13)="",10^12,OFFSET(CRONOPLE!$F$14,$M33,BS$13))))</f>
        <v>1000000000000</v>
      </c>
      <c r="BT33" s="215">
        <f ca="1">IF($D33&lt;&gt;"Serviço",0,IF(AND(AUTOEVENTO="Manual",$M33=1),0,IF(OFFSET(CRONOPLE!$F$14,$M33,BT$13)="",10^12,OFFSET(CRONOPLE!$F$14,$M33,BT$13))))</f>
        <v>1000000000000</v>
      </c>
      <c r="BV33" s="216">
        <f ca="1">IF($D33&lt;&gt;"Serviço",0,IF(OR(AND(AUTOEVENTO="Manual",$M33=1),$M33&gt;(ROW(PLE.lastrow)-ROW(PLE.firstrow))),0,IF(OFFSET(PLE!$G$14,$M33,BV$13)="",10^12,OFFSET(PLE!$G$14,$M33,BV$13))))</f>
        <v>1000000000000</v>
      </c>
      <c r="BW33" s="216">
        <f ca="1">IF($D33&lt;&gt;"Serviço",0,IF(OR(AND(AUTOEVENTO="Manual",$M33=1),$M33&gt;(ROW(PLE.lastrow)-ROW(PLE.firstrow))),0,IF(OFFSET(PLE!$G$14,$M33,BW$13)="",10^12,OFFSET(PLE!$G$14,$M33,BW$13))))</f>
        <v>1000000000000</v>
      </c>
      <c r="BX33" s="216">
        <f ca="1">IF($D33&lt;&gt;"Serviço",0,IF(OR(AND(AUTOEVENTO="Manual",$M33=1),$M33&gt;(ROW(PLE.lastrow)-ROW(PLE.firstrow))),0,IF(OFFSET(PLE!$G$14,$M33,BX$13)="",10^12,OFFSET(PLE!$G$14,$M33,BX$13))))</f>
        <v>1000000000000</v>
      </c>
      <c r="BY33" s="216">
        <f ca="1">IF($D33&lt;&gt;"Serviço",0,IF(OR(AND(AUTOEVENTO="Manual",$M33=1),$M33&gt;(ROW(PLE.lastrow)-ROW(PLE.firstrow))),0,IF(OFFSET(PLE!$G$14,$M33,BY$13)="",10^12,OFFSET(PLE!$G$14,$M33,BY$13))))</f>
        <v>1000000000000</v>
      </c>
      <c r="BZ33" s="216">
        <f ca="1">IF($D33&lt;&gt;"Serviço",0,IF(OR(AND(AUTOEVENTO="Manual",$M33=1),$M33&gt;(ROW(PLE.lastrow)-ROW(PLE.firstrow))),0,IF(OFFSET(PLE!$G$14,$M33,BZ$13)="",10^12,OFFSET(PLE!$G$14,$M33,BZ$13))))</f>
        <v>1000000000000</v>
      </c>
      <c r="CA33" s="216">
        <f ca="1">IF($D33&lt;&gt;"Serviço",0,IF(OR(AND(AUTOEVENTO="Manual",$M33=1),$M33&gt;(ROW(PLE.lastrow)-ROW(PLE.firstrow))),0,IF(OFFSET(PLE!$G$14,$M33,CA$13)="",10^12,OFFSET(PLE!$G$14,$M33,CA$13))))</f>
        <v>1000000000000</v>
      </c>
      <c r="CB33" s="216">
        <f ca="1">IF($D33&lt;&gt;"Serviço",0,IF(OR(AND(AUTOEVENTO="Manual",$M33=1),$M33&gt;(ROW(PLE.lastrow)-ROW(PLE.firstrow))),0,IF(OFFSET(PLE!$G$14,$M33,CB$13)="",10^12,OFFSET(PLE!$G$14,$M33,CB$13))))</f>
        <v>1000000000000</v>
      </c>
      <c r="CC33" s="216">
        <f ca="1">IF($D33&lt;&gt;"Serviço",0,IF(OR(AND(AUTOEVENTO="Manual",$M33=1),$M33&gt;(ROW(PLE.lastrow)-ROW(PLE.firstrow))),0,IF(OFFSET(PLE!$G$14,$M33,CC$13)="",10^12,OFFSET(PLE!$G$14,$M33,CC$13))))</f>
        <v>1000000000000</v>
      </c>
      <c r="CD33" s="216">
        <f ca="1">IF($D33&lt;&gt;"Serviço",0,IF(OR(AND(AUTOEVENTO="Manual",$M33=1),$M33&gt;(ROW(PLE.lastrow)-ROW(PLE.firstrow))),0,IF(OFFSET(PLE!$G$14,$M33,CD$13)="",10^12,OFFSET(PLE!$G$14,$M33,CD$13))))</f>
        <v>1000000000000</v>
      </c>
      <c r="CE33" s="216">
        <f ca="1">IF($D33&lt;&gt;"Serviço",0,IF(OR(AND(AUTOEVENTO="Manual",$M33=1),$M33&gt;(ROW(PLE.lastrow)-ROW(PLE.firstrow))),0,IF(OFFSET(PLE!$G$14,$M33,CE$13)="",10^12,OFFSET(PLE!$G$14,$M33,CE$13))))</f>
        <v>1000000000000</v>
      </c>
      <c r="CF33" s="216">
        <f ca="1">IF($D33&lt;&gt;"Serviço",0,IF(OR(AND(AUTOEVENTO="Manual",$M33=1),$M33&gt;(ROW(PLE.lastrow)-ROW(PLE.firstrow))),0,IF(OFFSET(PLE!$G$14,$M33,CF$13)="",10^12,OFFSET(PLE!$G$14,$M33,CF$13))))</f>
        <v>1000000000000</v>
      </c>
      <c r="CG33" s="216">
        <f ca="1">IF($D33&lt;&gt;"Serviço",0,IF(OR(AND(AUTOEVENTO="Manual",$M33=1),$M33&gt;(ROW(PLE.lastrow)-ROW(PLE.firstrow))),0,IF(OFFSET(PLE!$G$14,$M33,CG$13)="",10^12,OFFSET(PLE!$G$14,$M33,CG$13))))</f>
        <v>1000000000000</v>
      </c>
      <c r="CH33" s="216">
        <f ca="1">IF($D33&lt;&gt;"Serviço",0,IF(OR(AND(AUTOEVENTO="Manual",$M33=1),$M33&gt;(ROW(PLE.lastrow)-ROW(PLE.firstrow))),0,IF(OFFSET(PLE!$G$14,$M33,CH$13)="",10^12,OFFSET(PLE!$G$14,$M33,CH$13))))</f>
        <v>1000000000000</v>
      </c>
      <c r="CI33" s="216">
        <f ca="1">IF($D33&lt;&gt;"Serviço",0,IF(OR(AND(AUTOEVENTO="Manual",$M33=1),$M33&gt;(ROW(PLE.lastrow)-ROW(PLE.firstrow))),0,IF(OFFSET(PLE!$G$14,$M33,CI$13)="",10^12,OFFSET(PLE!$G$14,$M33,CI$13))))</f>
        <v>1000000000000</v>
      </c>
      <c r="CJ33" s="216">
        <f ca="1">IF($D33&lt;&gt;"Serviço",0,IF(OR(AND(AUTOEVENTO="Manual",$M33=1),$M33&gt;(ROW(PLE.lastrow)-ROW(PLE.firstrow))),0,IF(OFFSET(PLE!$G$14,$M33,CJ$13)="",10^12,OFFSET(PLE!$G$14,$M33,CJ$13))))</f>
        <v>1000000000000</v>
      </c>
      <c r="CK33" s="216">
        <f ca="1">IF($D33&lt;&gt;"Serviço",0,IF(OR(AND(AUTOEVENTO="Manual",$M33=1),$M33&gt;(ROW(PLE.lastrow)-ROW(PLE.firstrow))),0,IF(OFFSET(PLE!$G$14,$M33,CK$13)="",10^12,OFFSET(PLE!$G$14,$M33,CK$13))))</f>
        <v>1000000000000</v>
      </c>
      <c r="CL33" s="216">
        <f ca="1">IF($D33&lt;&gt;"Serviço",0,IF(OR(AND(AUTOEVENTO="Manual",$M33=1),$M33&gt;(ROW(PLE.lastrow)-ROW(PLE.firstrow))),0,IF(OFFSET(PLE!$G$14,$M33,CL$13)="",10^12,OFFSET(PLE!$G$14,$M33,CL$13))))</f>
        <v>1000000000000</v>
      </c>
      <c r="CM33" s="216">
        <f ca="1">IF($D33&lt;&gt;"Serviço",0,IF(OR(AND(AUTOEVENTO="Manual",$M33=1),$M33&gt;(ROW(PLE.lastrow)-ROW(PLE.firstrow))),0,IF(OFFSET(PLE!$G$14,$M33,CM$13)="",10^12,OFFSET(PLE!$G$14,$M33,CM$13))))</f>
        <v>1000000000000</v>
      </c>
    </row>
    <row r="34" spans="1:91" ht="13.2" x14ac:dyDescent="0.25">
      <c r="A34" s="9">
        <f t="shared" ca="1" si="9"/>
        <v>0</v>
      </c>
      <c r="B34" s="9" t="str">
        <f ca="1">OFFSET(ORÇAMENTO!C$15,ROW(B34)-ROW(B$15),0)</f>
        <v>S</v>
      </c>
      <c r="C34" s="9" t="str">
        <f ca="1">OFFSET(ORÇAMENTO!L$15,ROW(C34)-ROW(C$15),0)</f>
        <v/>
      </c>
      <c r="D34" s="145" t="str">
        <f ca="1">OFFSET(ORÇAMENTO!N$15,ROW(D34)-ROW(D$15),0)</f>
        <v>Serviço</v>
      </c>
      <c r="E34" s="205" t="str">
        <f ca="1">OFFSET(ORÇAMENTO!O$15,ROW(E34)-ROW(E$15),0)</f>
        <v>-</v>
      </c>
      <c r="F34" s="206" t="str">
        <f ca="1">OFFSET(ORÇAMENTO!R$15,ROW(F34)-ROW(F$15),0)</f>
        <v>(abra o arquivo 'Referência 05-2024.xls)</v>
      </c>
      <c r="G34" s="207" t="str">
        <f ca="1">IF($D34&lt;&gt;"Serviço","",OFFSET(ORÇAMENTO!S$15,ROW(G34)-ROW(G$15),0))</f>
        <v>-</v>
      </c>
      <c r="H34" s="151">
        <f ca="1">IF($D34&lt;&gt;"Serviço",0,IF(ACOMPANHAMENTO="BM",ROUND(OFFSET(ORÇAMENTO!AJ$15,ROW(H34)-ROW(H$15),0),15-13*ORÇAMENTO!$AF$7),SUMPRODUCT(($Q$12:$AI$12&lt;&gt;"")*ROUND($Q34:$AI34,15-13*ORÇAMENTO!$AF$7))))</f>
        <v>279.12</v>
      </c>
      <c r="I34" s="650"/>
      <c r="K34" s="208"/>
      <c r="L34" s="209" t="s">
        <v>257</v>
      </c>
      <c r="M34" s="210">
        <f ca="1">IF($D34&lt;&gt;"Serviço","",IF(AUTOEVENTO="manual",$A34,IF(ISERROR(MATCH($A34,$A$15:OFFSET($A34,-1,0),0)),MAX($M$15:OFFSET(M34,-1,0))+1,INDEX($M$15:OFFSET(M34,-1,0),MATCH($A34,$A$15:OFFSET($A34,-1,0),0)))))</f>
        <v>0</v>
      </c>
      <c r="N34" s="211" t="str">
        <f ca="1">IF($D34&lt;&gt;"Serviço","",IF(AUTOEVENTO="Manual",IF($A34=0,"&lt;-- defina o número do agrupador",OFFSET(EVENTOS!$D$14,$A34,0)),OFFSET($F$15,$A34,0)))</f>
        <v>&lt;-- defina o número do agrupador</v>
      </c>
      <c r="O34" s="212"/>
      <c r="Q34" s="212"/>
      <c r="R34" s="213"/>
      <c r="S34" s="213"/>
      <c r="T34" s="213"/>
      <c r="U34" s="213"/>
      <c r="V34" s="213"/>
      <c r="W34" s="213"/>
      <c r="X34" s="213"/>
      <c r="Y34" s="213"/>
      <c r="Z34" s="214"/>
      <c r="AA34" s="213"/>
      <c r="AB34" s="213"/>
      <c r="AC34" s="213"/>
      <c r="AD34" s="213"/>
      <c r="AE34" s="213"/>
      <c r="AF34" s="213"/>
      <c r="AG34" s="213"/>
      <c r="AH34" s="214"/>
      <c r="AJ34" s="631">
        <f ca="1">IF(AND($D34="Serviço",AJ$12&lt;&gt;0,$H34&gt;0,OR(AUTOEVENTO&lt;&gt;"manual",$M34&lt;&gt;1)),ROUND(OFFSET($P34,0,AJ$13),15-13*ORÇAMENTO!$AF$7)/$H34*OFFSET(ORÇAMENTO!$X$15,ROW(AJ34)-ROW(AJ$15),0),0)</f>
        <v>0</v>
      </c>
      <c r="AK34" s="632">
        <f ca="1">IF(AND($D34="Serviço",AK$12&lt;&gt;0,$H34&gt;0,OR(AUTOEVENTO&lt;&gt;"manual",$M34&lt;&gt;1)),ROUND(OFFSET($P34,0,AK$13),15-13*ORÇAMENTO!$AF$7)/$H34*OFFSET(ORÇAMENTO!$X$15,ROW(AK34)-ROW(AK$15),0),0)</f>
        <v>0</v>
      </c>
      <c r="AL34" s="632">
        <f ca="1">IF(AND($D34="Serviço",AL$12&lt;&gt;0,$H34&gt;0,OR(AUTOEVENTO&lt;&gt;"manual",$M34&lt;&gt;1)),ROUND(OFFSET($P34,0,AL$13),15-13*ORÇAMENTO!$AF$7)/$H34*OFFSET(ORÇAMENTO!$X$15,ROW(AL34)-ROW(AL$15),0),0)</f>
        <v>0</v>
      </c>
      <c r="AM34" s="632">
        <f ca="1">IF(AND($D34="Serviço",AM$12&lt;&gt;0,$H34&gt;0,OR(AUTOEVENTO&lt;&gt;"manual",$M34&lt;&gt;1)),ROUND(OFFSET($P34,0,AM$13),15-13*ORÇAMENTO!$AF$7)/$H34*OFFSET(ORÇAMENTO!$X$15,ROW(AM34)-ROW(AM$15),0),0)</f>
        <v>0</v>
      </c>
      <c r="AN34" s="632">
        <f ca="1">IF(AND($D34="Serviço",AN$12&lt;&gt;0,$H34&gt;0,OR(AUTOEVENTO&lt;&gt;"manual",$M34&lt;&gt;1)),ROUND(OFFSET($P34,0,AN$13),15-13*ORÇAMENTO!$AF$7)/$H34*OFFSET(ORÇAMENTO!$X$15,ROW(AN34)-ROW(AN$15),0),0)</f>
        <v>0</v>
      </c>
      <c r="AO34" s="632">
        <f ca="1">IF(AND($D34="Serviço",AO$12&lt;&gt;0,$H34&gt;0,OR(AUTOEVENTO&lt;&gt;"manual",$M34&lt;&gt;1)),ROUND(OFFSET($P34,0,AO$13),15-13*ORÇAMENTO!$AF$7)/$H34*OFFSET(ORÇAMENTO!$X$15,ROW(AO34)-ROW(AO$15),0),0)</f>
        <v>0</v>
      </c>
      <c r="AP34" s="632">
        <f ca="1">IF(AND($D34="Serviço",AP$12&lt;&gt;0,$H34&gt;0,OR(AUTOEVENTO&lt;&gt;"manual",$M34&lt;&gt;1)),ROUND(OFFSET($P34,0,AP$13),15-13*ORÇAMENTO!$AF$7)/$H34*OFFSET(ORÇAMENTO!$X$15,ROW(AP34)-ROW(AP$15),0),0)</f>
        <v>0</v>
      </c>
      <c r="AQ34" s="632">
        <f ca="1">IF(AND($D34="Serviço",AQ$12&lt;&gt;0,$H34&gt;0,OR(AUTOEVENTO&lt;&gt;"manual",$M34&lt;&gt;1)),ROUND(OFFSET($P34,0,AQ$13),15-13*ORÇAMENTO!$AF$7)/$H34*OFFSET(ORÇAMENTO!$X$15,ROW(AQ34)-ROW(AQ$15),0),0)</f>
        <v>0</v>
      </c>
      <c r="AR34" s="632">
        <f ca="1">IF(AND($D34="Serviço",AR$12&lt;&gt;0,$H34&gt;0,OR(AUTOEVENTO&lt;&gt;"manual",$M34&lt;&gt;1)),ROUND(OFFSET($P34,0,AR$13),15-13*ORÇAMENTO!$AF$7)/$H34*OFFSET(ORÇAMENTO!$X$15,ROW(AR34)-ROW(AR$15),0),0)</f>
        <v>0</v>
      </c>
      <c r="AS34" s="633">
        <f ca="1">IF(AND($D34="Serviço",AS$12&lt;&gt;0,$H34&gt;0,OR(AUTOEVENTO&lt;&gt;"manual",$M34&lt;&gt;1)),ROUND(OFFSET($P34,0,AS$13),15-13*ORÇAMENTO!$AF$7)/$H34*OFFSET(ORÇAMENTO!$X$15,ROW(AS34)-ROW(AS$15),0),0)</f>
        <v>0</v>
      </c>
      <c r="AT34" s="632">
        <f ca="1">IF(AND($D34="Serviço",AT$12&lt;&gt;0,$H34&gt;0,OR(AUTOEVENTO&lt;&gt;"manual",$M34&lt;&gt;1)),ROUND(OFFSET($P34,0,AT$13),15-13*ORÇAMENTO!$AF$7)/$H34*OFFSET(ORÇAMENTO!$X$15,ROW(AT34)-ROW(AT$15),0),0)</f>
        <v>0</v>
      </c>
      <c r="AU34" s="632">
        <f ca="1">IF(AND($D34="Serviço",AU$12&lt;&gt;0,$H34&gt;0,OR(AUTOEVENTO&lt;&gt;"manual",$M34&lt;&gt;1)),ROUND(OFFSET($P34,0,AU$13),15-13*ORÇAMENTO!$AF$7)/$H34*OFFSET(ORÇAMENTO!$X$15,ROW(AU34)-ROW(AU$15),0),0)</f>
        <v>0</v>
      </c>
      <c r="AV34" s="632">
        <f ca="1">IF(AND($D34="Serviço",AV$12&lt;&gt;0,$H34&gt;0,OR(AUTOEVENTO&lt;&gt;"manual",$M34&lt;&gt;1)),ROUND(OFFSET($P34,0,AV$13),15-13*ORÇAMENTO!$AF$7)/$H34*OFFSET(ORÇAMENTO!$X$15,ROW(AV34)-ROW(AV$15),0),0)</f>
        <v>0</v>
      </c>
      <c r="AW34" s="632">
        <f ca="1">IF(AND($D34="Serviço",AW$12&lt;&gt;0,$H34&gt;0,OR(AUTOEVENTO&lt;&gt;"manual",$M34&lt;&gt;1)),ROUND(OFFSET($P34,0,AW$13),15-13*ORÇAMENTO!$AF$7)/$H34*OFFSET(ORÇAMENTO!$X$15,ROW(AW34)-ROW(AW$15),0),0)</f>
        <v>0</v>
      </c>
      <c r="AX34" s="632">
        <f ca="1">IF(AND($D34="Serviço",AX$12&lt;&gt;0,$H34&gt;0,OR(AUTOEVENTO&lt;&gt;"manual",$M34&lt;&gt;1)),ROUND(OFFSET($P34,0,AX$13),15-13*ORÇAMENTO!$AF$7)/$H34*OFFSET(ORÇAMENTO!$X$15,ROW(AX34)-ROW(AX$15),0),0)</f>
        <v>0</v>
      </c>
      <c r="AY34" s="632">
        <f ca="1">IF(AND($D34="Serviço",AY$12&lt;&gt;0,$H34&gt;0,OR(AUTOEVENTO&lt;&gt;"manual",$M34&lt;&gt;1)),ROUND(OFFSET($P34,0,AY$13),15-13*ORÇAMENTO!$AF$7)/$H34*OFFSET(ORÇAMENTO!$X$15,ROW(AY34)-ROW(AY$15),0),0)</f>
        <v>0</v>
      </c>
      <c r="AZ34" s="632">
        <f ca="1">IF(AND($D34="Serviço",AZ$12&lt;&gt;0,$H34&gt;0,OR(AUTOEVENTO&lt;&gt;"manual",$M34&lt;&gt;1)),ROUND(OFFSET($P34,0,AZ$13),15-13*ORÇAMENTO!$AF$7)/$H34*OFFSET(ORÇAMENTO!$X$15,ROW(AZ34)-ROW(AZ$15),0),0)</f>
        <v>0</v>
      </c>
      <c r="BA34" s="633">
        <f ca="1">IF(AND($D34="Serviço",BA$12&lt;&gt;0,$H34&gt;0,OR(AUTOEVENTO&lt;&gt;"manual",$M34&lt;&gt;1)),ROUND(OFFSET($P34,0,BA$13),15-13*ORÇAMENTO!$AF$7)/$H34*OFFSET(ORÇAMENTO!$X$15,ROW(BA34)-ROW(BA$15),0),0)</f>
        <v>0</v>
      </c>
      <c r="BC34" s="215">
        <f ca="1">IF($D34&lt;&gt;"Serviço",0,IF(AND(AUTOEVENTO="Manual",$M34=1),0,IF(OFFSET(CRONOPLE!$F$14,$M34,BC$13)="",10^12,OFFSET(CRONOPLE!$F$14,$M34,BC$13))))</f>
        <v>1000000000000</v>
      </c>
      <c r="BD34" s="215">
        <f ca="1">IF($D34&lt;&gt;"Serviço",0,IF(AND(AUTOEVENTO="Manual",$M34=1),0,IF(OFFSET(CRONOPLE!$F$14,$M34,BD$13)="",10^12,OFFSET(CRONOPLE!$F$14,$M34,BD$13))))</f>
        <v>1000000000000</v>
      </c>
      <c r="BE34" s="215">
        <f ca="1">IF($D34&lt;&gt;"Serviço",0,IF(AND(AUTOEVENTO="Manual",$M34=1),0,IF(OFFSET(CRONOPLE!$F$14,$M34,BE$13)="",10^12,OFFSET(CRONOPLE!$F$14,$M34,BE$13))))</f>
        <v>1000000000000</v>
      </c>
      <c r="BF34" s="215">
        <f ca="1">IF($D34&lt;&gt;"Serviço",0,IF(AND(AUTOEVENTO="Manual",$M34=1),0,IF(OFFSET(CRONOPLE!$F$14,$M34,BF$13)="",10^12,OFFSET(CRONOPLE!$F$14,$M34,BF$13))))</f>
        <v>1000000000000</v>
      </c>
      <c r="BG34" s="215">
        <f ca="1">IF($D34&lt;&gt;"Serviço",0,IF(AND(AUTOEVENTO="Manual",$M34=1),0,IF(OFFSET(CRONOPLE!$F$14,$M34,BG$13)="",10^12,OFFSET(CRONOPLE!$F$14,$M34,BG$13))))</f>
        <v>1000000000000</v>
      </c>
      <c r="BH34" s="215">
        <f ca="1">IF($D34&lt;&gt;"Serviço",0,IF(AND(AUTOEVENTO="Manual",$M34=1),0,IF(OFFSET(CRONOPLE!$F$14,$M34,BH$13)="",10^12,OFFSET(CRONOPLE!$F$14,$M34,BH$13))))</f>
        <v>1000000000000</v>
      </c>
      <c r="BI34" s="215">
        <f ca="1">IF($D34&lt;&gt;"Serviço",0,IF(AND(AUTOEVENTO="Manual",$M34=1),0,IF(OFFSET(CRONOPLE!$F$14,$M34,BI$13)="",10^12,OFFSET(CRONOPLE!$F$14,$M34,BI$13))))</f>
        <v>1000000000000</v>
      </c>
      <c r="BJ34" s="215">
        <f ca="1">IF($D34&lt;&gt;"Serviço",0,IF(AND(AUTOEVENTO="Manual",$M34=1),0,IF(OFFSET(CRONOPLE!$F$14,$M34,BJ$13)="",10^12,OFFSET(CRONOPLE!$F$14,$M34,BJ$13))))</f>
        <v>1000000000000</v>
      </c>
      <c r="BK34" s="215">
        <f ca="1">IF($D34&lt;&gt;"Serviço",0,IF(AND(AUTOEVENTO="Manual",$M34=1),0,IF(OFFSET(CRONOPLE!$F$14,$M34,BK$13)="",10^12,OFFSET(CRONOPLE!$F$14,$M34,BK$13))))</f>
        <v>1000000000000</v>
      </c>
      <c r="BL34" s="215">
        <f ca="1">IF($D34&lt;&gt;"Serviço",0,IF(AND(AUTOEVENTO="Manual",$M34=1),0,IF(OFFSET(CRONOPLE!$F$14,$M34,BL$13)="",10^12,OFFSET(CRONOPLE!$F$14,$M34,BL$13))))</f>
        <v>1000000000000</v>
      </c>
      <c r="BM34" s="215">
        <f ca="1">IF($D34&lt;&gt;"Serviço",0,IF(AND(AUTOEVENTO="Manual",$M34=1),0,IF(OFFSET(CRONOPLE!$F$14,$M34,BM$13)="",10^12,OFFSET(CRONOPLE!$F$14,$M34,BM$13))))</f>
        <v>1000000000000</v>
      </c>
      <c r="BN34" s="215">
        <f ca="1">IF($D34&lt;&gt;"Serviço",0,IF(AND(AUTOEVENTO="Manual",$M34=1),0,IF(OFFSET(CRONOPLE!$F$14,$M34,BN$13)="",10^12,OFFSET(CRONOPLE!$F$14,$M34,BN$13))))</f>
        <v>1000000000000</v>
      </c>
      <c r="BO34" s="215">
        <f ca="1">IF($D34&lt;&gt;"Serviço",0,IF(AND(AUTOEVENTO="Manual",$M34=1),0,IF(OFFSET(CRONOPLE!$F$14,$M34,BO$13)="",10^12,OFFSET(CRONOPLE!$F$14,$M34,BO$13))))</f>
        <v>1000000000000</v>
      </c>
      <c r="BP34" s="215">
        <f ca="1">IF($D34&lt;&gt;"Serviço",0,IF(AND(AUTOEVENTO="Manual",$M34=1),0,IF(OFFSET(CRONOPLE!$F$14,$M34,BP$13)="",10^12,OFFSET(CRONOPLE!$F$14,$M34,BP$13))))</f>
        <v>1000000000000</v>
      </c>
      <c r="BQ34" s="215">
        <f ca="1">IF($D34&lt;&gt;"Serviço",0,IF(AND(AUTOEVENTO="Manual",$M34=1),0,IF(OFFSET(CRONOPLE!$F$14,$M34,BQ$13)="",10^12,OFFSET(CRONOPLE!$F$14,$M34,BQ$13))))</f>
        <v>1000000000000</v>
      </c>
      <c r="BR34" s="215">
        <f ca="1">IF($D34&lt;&gt;"Serviço",0,IF(AND(AUTOEVENTO="Manual",$M34=1),0,IF(OFFSET(CRONOPLE!$F$14,$M34,BR$13)="",10^12,OFFSET(CRONOPLE!$F$14,$M34,BR$13))))</f>
        <v>1000000000000</v>
      </c>
      <c r="BS34" s="215">
        <f ca="1">IF($D34&lt;&gt;"Serviço",0,IF(AND(AUTOEVENTO="Manual",$M34=1),0,IF(OFFSET(CRONOPLE!$F$14,$M34,BS$13)="",10^12,OFFSET(CRONOPLE!$F$14,$M34,BS$13))))</f>
        <v>1000000000000</v>
      </c>
      <c r="BT34" s="215">
        <f ca="1">IF($D34&lt;&gt;"Serviço",0,IF(AND(AUTOEVENTO="Manual",$M34=1),0,IF(OFFSET(CRONOPLE!$F$14,$M34,BT$13)="",10^12,OFFSET(CRONOPLE!$F$14,$M34,BT$13))))</f>
        <v>1000000000000</v>
      </c>
      <c r="BV34" s="216">
        <f ca="1">IF($D34&lt;&gt;"Serviço",0,IF(OR(AND(AUTOEVENTO="Manual",$M34=1),$M34&gt;(ROW(PLE.lastrow)-ROW(PLE.firstrow))),0,IF(OFFSET(PLE!$G$14,$M34,BV$13)="",10^12,OFFSET(PLE!$G$14,$M34,BV$13))))</f>
        <v>1000000000000</v>
      </c>
      <c r="BW34" s="216">
        <f ca="1">IF($D34&lt;&gt;"Serviço",0,IF(OR(AND(AUTOEVENTO="Manual",$M34=1),$M34&gt;(ROW(PLE.lastrow)-ROW(PLE.firstrow))),0,IF(OFFSET(PLE!$G$14,$M34,BW$13)="",10^12,OFFSET(PLE!$G$14,$M34,BW$13))))</f>
        <v>1000000000000</v>
      </c>
      <c r="BX34" s="216">
        <f ca="1">IF($D34&lt;&gt;"Serviço",0,IF(OR(AND(AUTOEVENTO="Manual",$M34=1),$M34&gt;(ROW(PLE.lastrow)-ROW(PLE.firstrow))),0,IF(OFFSET(PLE!$G$14,$M34,BX$13)="",10^12,OFFSET(PLE!$G$14,$M34,BX$13))))</f>
        <v>1000000000000</v>
      </c>
      <c r="BY34" s="216">
        <f ca="1">IF($D34&lt;&gt;"Serviço",0,IF(OR(AND(AUTOEVENTO="Manual",$M34=1),$M34&gt;(ROW(PLE.lastrow)-ROW(PLE.firstrow))),0,IF(OFFSET(PLE!$G$14,$M34,BY$13)="",10^12,OFFSET(PLE!$G$14,$M34,BY$13))))</f>
        <v>1000000000000</v>
      </c>
      <c r="BZ34" s="216">
        <f ca="1">IF($D34&lt;&gt;"Serviço",0,IF(OR(AND(AUTOEVENTO="Manual",$M34=1),$M34&gt;(ROW(PLE.lastrow)-ROW(PLE.firstrow))),0,IF(OFFSET(PLE!$G$14,$M34,BZ$13)="",10^12,OFFSET(PLE!$G$14,$M34,BZ$13))))</f>
        <v>1000000000000</v>
      </c>
      <c r="CA34" s="216">
        <f ca="1">IF($D34&lt;&gt;"Serviço",0,IF(OR(AND(AUTOEVENTO="Manual",$M34=1),$M34&gt;(ROW(PLE.lastrow)-ROW(PLE.firstrow))),0,IF(OFFSET(PLE!$G$14,$M34,CA$13)="",10^12,OFFSET(PLE!$G$14,$M34,CA$13))))</f>
        <v>1000000000000</v>
      </c>
      <c r="CB34" s="216">
        <f ca="1">IF($D34&lt;&gt;"Serviço",0,IF(OR(AND(AUTOEVENTO="Manual",$M34=1),$M34&gt;(ROW(PLE.lastrow)-ROW(PLE.firstrow))),0,IF(OFFSET(PLE!$G$14,$M34,CB$13)="",10^12,OFFSET(PLE!$G$14,$M34,CB$13))))</f>
        <v>1000000000000</v>
      </c>
      <c r="CC34" s="216">
        <f ca="1">IF($D34&lt;&gt;"Serviço",0,IF(OR(AND(AUTOEVENTO="Manual",$M34=1),$M34&gt;(ROW(PLE.lastrow)-ROW(PLE.firstrow))),0,IF(OFFSET(PLE!$G$14,$M34,CC$13)="",10^12,OFFSET(PLE!$G$14,$M34,CC$13))))</f>
        <v>1000000000000</v>
      </c>
      <c r="CD34" s="216">
        <f ca="1">IF($D34&lt;&gt;"Serviço",0,IF(OR(AND(AUTOEVENTO="Manual",$M34=1),$M34&gt;(ROW(PLE.lastrow)-ROW(PLE.firstrow))),0,IF(OFFSET(PLE!$G$14,$M34,CD$13)="",10^12,OFFSET(PLE!$G$14,$M34,CD$13))))</f>
        <v>1000000000000</v>
      </c>
      <c r="CE34" s="216">
        <f ca="1">IF($D34&lt;&gt;"Serviço",0,IF(OR(AND(AUTOEVENTO="Manual",$M34=1),$M34&gt;(ROW(PLE.lastrow)-ROW(PLE.firstrow))),0,IF(OFFSET(PLE!$G$14,$M34,CE$13)="",10^12,OFFSET(PLE!$G$14,$M34,CE$13))))</f>
        <v>1000000000000</v>
      </c>
      <c r="CF34" s="216">
        <f ca="1">IF($D34&lt;&gt;"Serviço",0,IF(OR(AND(AUTOEVENTO="Manual",$M34=1),$M34&gt;(ROW(PLE.lastrow)-ROW(PLE.firstrow))),0,IF(OFFSET(PLE!$G$14,$M34,CF$13)="",10^12,OFFSET(PLE!$G$14,$M34,CF$13))))</f>
        <v>1000000000000</v>
      </c>
      <c r="CG34" s="216">
        <f ca="1">IF($D34&lt;&gt;"Serviço",0,IF(OR(AND(AUTOEVENTO="Manual",$M34=1),$M34&gt;(ROW(PLE.lastrow)-ROW(PLE.firstrow))),0,IF(OFFSET(PLE!$G$14,$M34,CG$13)="",10^12,OFFSET(PLE!$G$14,$M34,CG$13))))</f>
        <v>1000000000000</v>
      </c>
      <c r="CH34" s="216">
        <f ca="1">IF($D34&lt;&gt;"Serviço",0,IF(OR(AND(AUTOEVENTO="Manual",$M34=1),$M34&gt;(ROW(PLE.lastrow)-ROW(PLE.firstrow))),0,IF(OFFSET(PLE!$G$14,$M34,CH$13)="",10^12,OFFSET(PLE!$G$14,$M34,CH$13))))</f>
        <v>1000000000000</v>
      </c>
      <c r="CI34" s="216">
        <f ca="1">IF($D34&lt;&gt;"Serviço",0,IF(OR(AND(AUTOEVENTO="Manual",$M34=1),$M34&gt;(ROW(PLE.lastrow)-ROW(PLE.firstrow))),0,IF(OFFSET(PLE!$G$14,$M34,CI$13)="",10^12,OFFSET(PLE!$G$14,$M34,CI$13))))</f>
        <v>1000000000000</v>
      </c>
      <c r="CJ34" s="216">
        <f ca="1">IF($D34&lt;&gt;"Serviço",0,IF(OR(AND(AUTOEVENTO="Manual",$M34=1),$M34&gt;(ROW(PLE.lastrow)-ROW(PLE.firstrow))),0,IF(OFFSET(PLE!$G$14,$M34,CJ$13)="",10^12,OFFSET(PLE!$G$14,$M34,CJ$13))))</f>
        <v>1000000000000</v>
      </c>
      <c r="CK34" s="216">
        <f ca="1">IF($D34&lt;&gt;"Serviço",0,IF(OR(AND(AUTOEVENTO="Manual",$M34=1),$M34&gt;(ROW(PLE.lastrow)-ROW(PLE.firstrow))),0,IF(OFFSET(PLE!$G$14,$M34,CK$13)="",10^12,OFFSET(PLE!$G$14,$M34,CK$13))))</f>
        <v>1000000000000</v>
      </c>
      <c r="CL34" s="216">
        <f ca="1">IF($D34&lt;&gt;"Serviço",0,IF(OR(AND(AUTOEVENTO="Manual",$M34=1),$M34&gt;(ROW(PLE.lastrow)-ROW(PLE.firstrow))),0,IF(OFFSET(PLE!$G$14,$M34,CL$13)="",10^12,OFFSET(PLE!$G$14,$M34,CL$13))))</f>
        <v>1000000000000</v>
      </c>
      <c r="CM34" s="216">
        <f ca="1">IF($D34&lt;&gt;"Serviço",0,IF(OR(AND(AUTOEVENTO="Manual",$M34=1),$M34&gt;(ROW(PLE.lastrow)-ROW(PLE.firstrow))),0,IF(OFFSET(PLE!$G$14,$M34,CM$13)="",10^12,OFFSET(PLE!$G$14,$M34,CM$13))))</f>
        <v>1000000000000</v>
      </c>
    </row>
    <row r="35" spans="1:91" ht="13.2" x14ac:dyDescent="0.25">
      <c r="A35" s="9">
        <f t="shared" ca="1" si="9"/>
        <v>0</v>
      </c>
      <c r="B35" s="9" t="str">
        <f ca="1">OFFSET(ORÇAMENTO!C$15,ROW(B35)-ROW(B$15),0)</f>
        <v>S</v>
      </c>
      <c r="C35" s="9" t="str">
        <f ca="1">OFFSET(ORÇAMENTO!L$15,ROW(C35)-ROW(C$15),0)</f>
        <v/>
      </c>
      <c r="D35" s="145" t="str">
        <f ca="1">OFFSET(ORÇAMENTO!N$15,ROW(D35)-ROW(D$15),0)</f>
        <v>Serviço</v>
      </c>
      <c r="E35" s="205" t="str">
        <f ca="1">OFFSET(ORÇAMENTO!O$15,ROW(E35)-ROW(E$15),0)</f>
        <v>-</v>
      </c>
      <c r="F35" s="206" t="str">
        <f ca="1">OFFSET(ORÇAMENTO!R$15,ROW(F35)-ROW(F$15),0)</f>
        <v>(abra o arquivo 'Referência 05-2024.xls)</v>
      </c>
      <c r="G35" s="207" t="str">
        <f ca="1">IF($D35&lt;&gt;"Serviço","",OFFSET(ORÇAMENTO!S$15,ROW(G35)-ROW(G$15),0))</f>
        <v>-</v>
      </c>
      <c r="H35" s="151">
        <f ca="1">IF($D35&lt;&gt;"Serviço",0,IF(ACOMPANHAMENTO="BM",ROUND(OFFSET(ORÇAMENTO!AJ$15,ROW(H35)-ROW(H$15),0),15-13*ORÇAMENTO!$AF$7),SUMPRODUCT(($Q$12:$AI$12&lt;&gt;"")*ROUND($Q35:$AI35,15-13*ORÇAMENTO!$AF$7))))</f>
        <v>326.24</v>
      </c>
      <c r="I35" s="650"/>
      <c r="K35" s="208"/>
      <c r="L35" s="209" t="s">
        <v>257</v>
      </c>
      <c r="M35" s="210">
        <f ca="1">IF($D35&lt;&gt;"Serviço","",IF(AUTOEVENTO="manual",$A35,IF(ISERROR(MATCH($A35,$A$15:OFFSET($A35,-1,0),0)),MAX($M$15:OFFSET(M35,-1,0))+1,INDEX($M$15:OFFSET(M35,-1,0),MATCH($A35,$A$15:OFFSET($A35,-1,0),0)))))</f>
        <v>0</v>
      </c>
      <c r="N35" s="211" t="str">
        <f ca="1">IF($D35&lt;&gt;"Serviço","",IF(AUTOEVENTO="Manual",IF($A35=0,"&lt;-- defina o número do agrupador",OFFSET(EVENTOS!$D$14,$A35,0)),OFFSET($F$15,$A35,0)))</f>
        <v>&lt;-- defina o número do agrupador</v>
      </c>
      <c r="O35" s="212"/>
      <c r="Q35" s="212"/>
      <c r="R35" s="213"/>
      <c r="S35" s="213"/>
      <c r="T35" s="213"/>
      <c r="U35" s="213"/>
      <c r="V35" s="213"/>
      <c r="W35" s="213"/>
      <c r="X35" s="213"/>
      <c r="Y35" s="213"/>
      <c r="Z35" s="214"/>
      <c r="AA35" s="213"/>
      <c r="AB35" s="213"/>
      <c r="AC35" s="213"/>
      <c r="AD35" s="213"/>
      <c r="AE35" s="213"/>
      <c r="AF35" s="213"/>
      <c r="AG35" s="213"/>
      <c r="AH35" s="214"/>
      <c r="AJ35" s="631">
        <f ca="1">IF(AND($D35="Serviço",AJ$12&lt;&gt;0,$H35&gt;0,OR(AUTOEVENTO&lt;&gt;"manual",$M35&lt;&gt;1)),ROUND(OFFSET($P35,0,AJ$13),15-13*ORÇAMENTO!$AF$7)/$H35*OFFSET(ORÇAMENTO!$X$15,ROW(AJ35)-ROW(AJ$15),0),0)</f>
        <v>0</v>
      </c>
      <c r="AK35" s="632">
        <f ca="1">IF(AND($D35="Serviço",AK$12&lt;&gt;0,$H35&gt;0,OR(AUTOEVENTO&lt;&gt;"manual",$M35&lt;&gt;1)),ROUND(OFFSET($P35,0,AK$13),15-13*ORÇAMENTO!$AF$7)/$H35*OFFSET(ORÇAMENTO!$X$15,ROW(AK35)-ROW(AK$15),0),0)</f>
        <v>0</v>
      </c>
      <c r="AL35" s="632">
        <f ca="1">IF(AND($D35="Serviço",AL$12&lt;&gt;0,$H35&gt;0,OR(AUTOEVENTO&lt;&gt;"manual",$M35&lt;&gt;1)),ROUND(OFFSET($P35,0,AL$13),15-13*ORÇAMENTO!$AF$7)/$H35*OFFSET(ORÇAMENTO!$X$15,ROW(AL35)-ROW(AL$15),0),0)</f>
        <v>0</v>
      </c>
      <c r="AM35" s="632">
        <f ca="1">IF(AND($D35="Serviço",AM$12&lt;&gt;0,$H35&gt;0,OR(AUTOEVENTO&lt;&gt;"manual",$M35&lt;&gt;1)),ROUND(OFFSET($P35,0,AM$13),15-13*ORÇAMENTO!$AF$7)/$H35*OFFSET(ORÇAMENTO!$X$15,ROW(AM35)-ROW(AM$15),0),0)</f>
        <v>0</v>
      </c>
      <c r="AN35" s="632">
        <f ca="1">IF(AND($D35="Serviço",AN$12&lt;&gt;0,$H35&gt;0,OR(AUTOEVENTO&lt;&gt;"manual",$M35&lt;&gt;1)),ROUND(OFFSET($P35,0,AN$13),15-13*ORÇAMENTO!$AF$7)/$H35*OFFSET(ORÇAMENTO!$X$15,ROW(AN35)-ROW(AN$15),0),0)</f>
        <v>0</v>
      </c>
      <c r="AO35" s="632">
        <f ca="1">IF(AND($D35="Serviço",AO$12&lt;&gt;0,$H35&gt;0,OR(AUTOEVENTO&lt;&gt;"manual",$M35&lt;&gt;1)),ROUND(OFFSET($P35,0,AO$13),15-13*ORÇAMENTO!$AF$7)/$H35*OFFSET(ORÇAMENTO!$X$15,ROW(AO35)-ROW(AO$15),0),0)</f>
        <v>0</v>
      </c>
      <c r="AP35" s="632">
        <f ca="1">IF(AND($D35="Serviço",AP$12&lt;&gt;0,$H35&gt;0,OR(AUTOEVENTO&lt;&gt;"manual",$M35&lt;&gt;1)),ROUND(OFFSET($P35,0,AP$13),15-13*ORÇAMENTO!$AF$7)/$H35*OFFSET(ORÇAMENTO!$X$15,ROW(AP35)-ROW(AP$15),0),0)</f>
        <v>0</v>
      </c>
      <c r="AQ35" s="632">
        <f ca="1">IF(AND($D35="Serviço",AQ$12&lt;&gt;0,$H35&gt;0,OR(AUTOEVENTO&lt;&gt;"manual",$M35&lt;&gt;1)),ROUND(OFFSET($P35,0,AQ$13),15-13*ORÇAMENTO!$AF$7)/$H35*OFFSET(ORÇAMENTO!$X$15,ROW(AQ35)-ROW(AQ$15),0),0)</f>
        <v>0</v>
      </c>
      <c r="AR35" s="632">
        <f ca="1">IF(AND($D35="Serviço",AR$12&lt;&gt;0,$H35&gt;0,OR(AUTOEVENTO&lt;&gt;"manual",$M35&lt;&gt;1)),ROUND(OFFSET($P35,0,AR$13),15-13*ORÇAMENTO!$AF$7)/$H35*OFFSET(ORÇAMENTO!$X$15,ROW(AR35)-ROW(AR$15),0),0)</f>
        <v>0</v>
      </c>
      <c r="AS35" s="633">
        <f ca="1">IF(AND($D35="Serviço",AS$12&lt;&gt;0,$H35&gt;0,OR(AUTOEVENTO&lt;&gt;"manual",$M35&lt;&gt;1)),ROUND(OFFSET($P35,0,AS$13),15-13*ORÇAMENTO!$AF$7)/$H35*OFFSET(ORÇAMENTO!$X$15,ROW(AS35)-ROW(AS$15),0),0)</f>
        <v>0</v>
      </c>
      <c r="AT35" s="632">
        <f ca="1">IF(AND($D35="Serviço",AT$12&lt;&gt;0,$H35&gt;0,OR(AUTOEVENTO&lt;&gt;"manual",$M35&lt;&gt;1)),ROUND(OFFSET($P35,0,AT$13),15-13*ORÇAMENTO!$AF$7)/$H35*OFFSET(ORÇAMENTO!$X$15,ROW(AT35)-ROW(AT$15),0),0)</f>
        <v>0</v>
      </c>
      <c r="AU35" s="632">
        <f ca="1">IF(AND($D35="Serviço",AU$12&lt;&gt;0,$H35&gt;0,OR(AUTOEVENTO&lt;&gt;"manual",$M35&lt;&gt;1)),ROUND(OFFSET($P35,0,AU$13),15-13*ORÇAMENTO!$AF$7)/$H35*OFFSET(ORÇAMENTO!$X$15,ROW(AU35)-ROW(AU$15),0),0)</f>
        <v>0</v>
      </c>
      <c r="AV35" s="632">
        <f ca="1">IF(AND($D35="Serviço",AV$12&lt;&gt;0,$H35&gt;0,OR(AUTOEVENTO&lt;&gt;"manual",$M35&lt;&gt;1)),ROUND(OFFSET($P35,0,AV$13),15-13*ORÇAMENTO!$AF$7)/$H35*OFFSET(ORÇAMENTO!$X$15,ROW(AV35)-ROW(AV$15),0),0)</f>
        <v>0</v>
      </c>
      <c r="AW35" s="632">
        <f ca="1">IF(AND($D35="Serviço",AW$12&lt;&gt;0,$H35&gt;0,OR(AUTOEVENTO&lt;&gt;"manual",$M35&lt;&gt;1)),ROUND(OFFSET($P35,0,AW$13),15-13*ORÇAMENTO!$AF$7)/$H35*OFFSET(ORÇAMENTO!$X$15,ROW(AW35)-ROW(AW$15),0),0)</f>
        <v>0</v>
      </c>
      <c r="AX35" s="632">
        <f ca="1">IF(AND($D35="Serviço",AX$12&lt;&gt;0,$H35&gt;0,OR(AUTOEVENTO&lt;&gt;"manual",$M35&lt;&gt;1)),ROUND(OFFSET($P35,0,AX$13),15-13*ORÇAMENTO!$AF$7)/$H35*OFFSET(ORÇAMENTO!$X$15,ROW(AX35)-ROW(AX$15),0),0)</f>
        <v>0</v>
      </c>
      <c r="AY35" s="632">
        <f ca="1">IF(AND($D35="Serviço",AY$12&lt;&gt;0,$H35&gt;0,OR(AUTOEVENTO&lt;&gt;"manual",$M35&lt;&gt;1)),ROUND(OFFSET($P35,0,AY$13),15-13*ORÇAMENTO!$AF$7)/$H35*OFFSET(ORÇAMENTO!$X$15,ROW(AY35)-ROW(AY$15),0),0)</f>
        <v>0</v>
      </c>
      <c r="AZ35" s="632">
        <f ca="1">IF(AND($D35="Serviço",AZ$12&lt;&gt;0,$H35&gt;0,OR(AUTOEVENTO&lt;&gt;"manual",$M35&lt;&gt;1)),ROUND(OFFSET($P35,0,AZ$13),15-13*ORÇAMENTO!$AF$7)/$H35*OFFSET(ORÇAMENTO!$X$15,ROW(AZ35)-ROW(AZ$15),0),0)</f>
        <v>0</v>
      </c>
      <c r="BA35" s="633">
        <f ca="1">IF(AND($D35="Serviço",BA$12&lt;&gt;0,$H35&gt;0,OR(AUTOEVENTO&lt;&gt;"manual",$M35&lt;&gt;1)),ROUND(OFFSET($P35,0,BA$13),15-13*ORÇAMENTO!$AF$7)/$H35*OFFSET(ORÇAMENTO!$X$15,ROW(BA35)-ROW(BA$15),0),0)</f>
        <v>0</v>
      </c>
      <c r="BC35" s="215">
        <f ca="1">IF($D35&lt;&gt;"Serviço",0,IF(AND(AUTOEVENTO="Manual",$M35=1),0,IF(OFFSET(CRONOPLE!$F$14,$M35,BC$13)="",10^12,OFFSET(CRONOPLE!$F$14,$M35,BC$13))))</f>
        <v>1000000000000</v>
      </c>
      <c r="BD35" s="215">
        <f ca="1">IF($D35&lt;&gt;"Serviço",0,IF(AND(AUTOEVENTO="Manual",$M35=1),0,IF(OFFSET(CRONOPLE!$F$14,$M35,BD$13)="",10^12,OFFSET(CRONOPLE!$F$14,$M35,BD$13))))</f>
        <v>1000000000000</v>
      </c>
      <c r="BE35" s="215">
        <f ca="1">IF($D35&lt;&gt;"Serviço",0,IF(AND(AUTOEVENTO="Manual",$M35=1),0,IF(OFFSET(CRONOPLE!$F$14,$M35,BE$13)="",10^12,OFFSET(CRONOPLE!$F$14,$M35,BE$13))))</f>
        <v>1000000000000</v>
      </c>
      <c r="BF35" s="215">
        <f ca="1">IF($D35&lt;&gt;"Serviço",0,IF(AND(AUTOEVENTO="Manual",$M35=1),0,IF(OFFSET(CRONOPLE!$F$14,$M35,BF$13)="",10^12,OFFSET(CRONOPLE!$F$14,$M35,BF$13))))</f>
        <v>1000000000000</v>
      </c>
      <c r="BG35" s="215">
        <f ca="1">IF($D35&lt;&gt;"Serviço",0,IF(AND(AUTOEVENTO="Manual",$M35=1),0,IF(OFFSET(CRONOPLE!$F$14,$M35,BG$13)="",10^12,OFFSET(CRONOPLE!$F$14,$M35,BG$13))))</f>
        <v>1000000000000</v>
      </c>
      <c r="BH35" s="215">
        <f ca="1">IF($D35&lt;&gt;"Serviço",0,IF(AND(AUTOEVENTO="Manual",$M35=1),0,IF(OFFSET(CRONOPLE!$F$14,$M35,BH$13)="",10^12,OFFSET(CRONOPLE!$F$14,$M35,BH$13))))</f>
        <v>1000000000000</v>
      </c>
      <c r="BI35" s="215">
        <f ca="1">IF($D35&lt;&gt;"Serviço",0,IF(AND(AUTOEVENTO="Manual",$M35=1),0,IF(OFFSET(CRONOPLE!$F$14,$M35,BI$13)="",10^12,OFFSET(CRONOPLE!$F$14,$M35,BI$13))))</f>
        <v>1000000000000</v>
      </c>
      <c r="BJ35" s="215">
        <f ca="1">IF($D35&lt;&gt;"Serviço",0,IF(AND(AUTOEVENTO="Manual",$M35=1),0,IF(OFFSET(CRONOPLE!$F$14,$M35,BJ$13)="",10^12,OFFSET(CRONOPLE!$F$14,$M35,BJ$13))))</f>
        <v>1000000000000</v>
      </c>
      <c r="BK35" s="215">
        <f ca="1">IF($D35&lt;&gt;"Serviço",0,IF(AND(AUTOEVENTO="Manual",$M35=1),0,IF(OFFSET(CRONOPLE!$F$14,$M35,BK$13)="",10^12,OFFSET(CRONOPLE!$F$14,$M35,BK$13))))</f>
        <v>1000000000000</v>
      </c>
      <c r="BL35" s="215">
        <f ca="1">IF($D35&lt;&gt;"Serviço",0,IF(AND(AUTOEVENTO="Manual",$M35=1),0,IF(OFFSET(CRONOPLE!$F$14,$M35,BL$13)="",10^12,OFFSET(CRONOPLE!$F$14,$M35,BL$13))))</f>
        <v>1000000000000</v>
      </c>
      <c r="BM35" s="215">
        <f ca="1">IF($D35&lt;&gt;"Serviço",0,IF(AND(AUTOEVENTO="Manual",$M35=1),0,IF(OFFSET(CRONOPLE!$F$14,$M35,BM$13)="",10^12,OFFSET(CRONOPLE!$F$14,$M35,BM$13))))</f>
        <v>1000000000000</v>
      </c>
      <c r="BN35" s="215">
        <f ca="1">IF($D35&lt;&gt;"Serviço",0,IF(AND(AUTOEVENTO="Manual",$M35=1),0,IF(OFFSET(CRONOPLE!$F$14,$M35,BN$13)="",10^12,OFFSET(CRONOPLE!$F$14,$M35,BN$13))))</f>
        <v>1000000000000</v>
      </c>
      <c r="BO35" s="215">
        <f ca="1">IF($D35&lt;&gt;"Serviço",0,IF(AND(AUTOEVENTO="Manual",$M35=1),0,IF(OFFSET(CRONOPLE!$F$14,$M35,BO$13)="",10^12,OFFSET(CRONOPLE!$F$14,$M35,BO$13))))</f>
        <v>1000000000000</v>
      </c>
      <c r="BP35" s="215">
        <f ca="1">IF($D35&lt;&gt;"Serviço",0,IF(AND(AUTOEVENTO="Manual",$M35=1),0,IF(OFFSET(CRONOPLE!$F$14,$M35,BP$13)="",10^12,OFFSET(CRONOPLE!$F$14,$M35,BP$13))))</f>
        <v>1000000000000</v>
      </c>
      <c r="BQ35" s="215">
        <f ca="1">IF($D35&lt;&gt;"Serviço",0,IF(AND(AUTOEVENTO="Manual",$M35=1),0,IF(OFFSET(CRONOPLE!$F$14,$M35,BQ$13)="",10^12,OFFSET(CRONOPLE!$F$14,$M35,BQ$13))))</f>
        <v>1000000000000</v>
      </c>
      <c r="BR35" s="215">
        <f ca="1">IF($D35&lt;&gt;"Serviço",0,IF(AND(AUTOEVENTO="Manual",$M35=1),0,IF(OFFSET(CRONOPLE!$F$14,$M35,BR$13)="",10^12,OFFSET(CRONOPLE!$F$14,$M35,BR$13))))</f>
        <v>1000000000000</v>
      </c>
      <c r="BS35" s="215">
        <f ca="1">IF($D35&lt;&gt;"Serviço",0,IF(AND(AUTOEVENTO="Manual",$M35=1),0,IF(OFFSET(CRONOPLE!$F$14,$M35,BS$13)="",10^12,OFFSET(CRONOPLE!$F$14,$M35,BS$13))))</f>
        <v>1000000000000</v>
      </c>
      <c r="BT35" s="215">
        <f ca="1">IF($D35&lt;&gt;"Serviço",0,IF(AND(AUTOEVENTO="Manual",$M35=1),0,IF(OFFSET(CRONOPLE!$F$14,$M35,BT$13)="",10^12,OFFSET(CRONOPLE!$F$14,$M35,BT$13))))</f>
        <v>1000000000000</v>
      </c>
      <c r="BV35" s="216">
        <f ca="1">IF($D35&lt;&gt;"Serviço",0,IF(OR(AND(AUTOEVENTO="Manual",$M35=1),$M35&gt;(ROW(PLE.lastrow)-ROW(PLE.firstrow))),0,IF(OFFSET(PLE!$G$14,$M35,BV$13)="",10^12,OFFSET(PLE!$G$14,$M35,BV$13))))</f>
        <v>1000000000000</v>
      </c>
      <c r="BW35" s="216">
        <f ca="1">IF($D35&lt;&gt;"Serviço",0,IF(OR(AND(AUTOEVENTO="Manual",$M35=1),$M35&gt;(ROW(PLE.lastrow)-ROW(PLE.firstrow))),0,IF(OFFSET(PLE!$G$14,$M35,BW$13)="",10^12,OFFSET(PLE!$G$14,$M35,BW$13))))</f>
        <v>1000000000000</v>
      </c>
      <c r="BX35" s="216">
        <f ca="1">IF($D35&lt;&gt;"Serviço",0,IF(OR(AND(AUTOEVENTO="Manual",$M35=1),$M35&gt;(ROW(PLE.lastrow)-ROW(PLE.firstrow))),0,IF(OFFSET(PLE!$G$14,$M35,BX$13)="",10^12,OFFSET(PLE!$G$14,$M35,BX$13))))</f>
        <v>1000000000000</v>
      </c>
      <c r="BY35" s="216">
        <f ca="1">IF($D35&lt;&gt;"Serviço",0,IF(OR(AND(AUTOEVENTO="Manual",$M35=1),$M35&gt;(ROW(PLE.lastrow)-ROW(PLE.firstrow))),0,IF(OFFSET(PLE!$G$14,$M35,BY$13)="",10^12,OFFSET(PLE!$G$14,$M35,BY$13))))</f>
        <v>1000000000000</v>
      </c>
      <c r="BZ35" s="216">
        <f ca="1">IF($D35&lt;&gt;"Serviço",0,IF(OR(AND(AUTOEVENTO="Manual",$M35=1),$M35&gt;(ROW(PLE.lastrow)-ROW(PLE.firstrow))),0,IF(OFFSET(PLE!$G$14,$M35,BZ$13)="",10^12,OFFSET(PLE!$G$14,$M35,BZ$13))))</f>
        <v>1000000000000</v>
      </c>
      <c r="CA35" s="216">
        <f ca="1">IF($D35&lt;&gt;"Serviço",0,IF(OR(AND(AUTOEVENTO="Manual",$M35=1),$M35&gt;(ROW(PLE.lastrow)-ROW(PLE.firstrow))),0,IF(OFFSET(PLE!$G$14,$M35,CA$13)="",10^12,OFFSET(PLE!$G$14,$M35,CA$13))))</f>
        <v>1000000000000</v>
      </c>
      <c r="CB35" s="216">
        <f ca="1">IF($D35&lt;&gt;"Serviço",0,IF(OR(AND(AUTOEVENTO="Manual",$M35=1),$M35&gt;(ROW(PLE.lastrow)-ROW(PLE.firstrow))),0,IF(OFFSET(PLE!$G$14,$M35,CB$13)="",10^12,OFFSET(PLE!$G$14,$M35,CB$13))))</f>
        <v>1000000000000</v>
      </c>
      <c r="CC35" s="216">
        <f ca="1">IF($D35&lt;&gt;"Serviço",0,IF(OR(AND(AUTOEVENTO="Manual",$M35=1),$M35&gt;(ROW(PLE.lastrow)-ROW(PLE.firstrow))),0,IF(OFFSET(PLE!$G$14,$M35,CC$13)="",10^12,OFFSET(PLE!$G$14,$M35,CC$13))))</f>
        <v>1000000000000</v>
      </c>
      <c r="CD35" s="216">
        <f ca="1">IF($D35&lt;&gt;"Serviço",0,IF(OR(AND(AUTOEVENTO="Manual",$M35=1),$M35&gt;(ROW(PLE.lastrow)-ROW(PLE.firstrow))),0,IF(OFFSET(PLE!$G$14,$M35,CD$13)="",10^12,OFFSET(PLE!$G$14,$M35,CD$13))))</f>
        <v>1000000000000</v>
      </c>
      <c r="CE35" s="216">
        <f ca="1">IF($D35&lt;&gt;"Serviço",0,IF(OR(AND(AUTOEVENTO="Manual",$M35=1),$M35&gt;(ROW(PLE.lastrow)-ROW(PLE.firstrow))),0,IF(OFFSET(PLE!$G$14,$M35,CE$13)="",10^12,OFFSET(PLE!$G$14,$M35,CE$13))))</f>
        <v>1000000000000</v>
      </c>
      <c r="CF35" s="216">
        <f ca="1">IF($D35&lt;&gt;"Serviço",0,IF(OR(AND(AUTOEVENTO="Manual",$M35=1),$M35&gt;(ROW(PLE.lastrow)-ROW(PLE.firstrow))),0,IF(OFFSET(PLE!$G$14,$M35,CF$13)="",10^12,OFFSET(PLE!$G$14,$M35,CF$13))))</f>
        <v>1000000000000</v>
      </c>
      <c r="CG35" s="216">
        <f ca="1">IF($D35&lt;&gt;"Serviço",0,IF(OR(AND(AUTOEVENTO="Manual",$M35=1),$M35&gt;(ROW(PLE.lastrow)-ROW(PLE.firstrow))),0,IF(OFFSET(PLE!$G$14,$M35,CG$13)="",10^12,OFFSET(PLE!$G$14,$M35,CG$13))))</f>
        <v>1000000000000</v>
      </c>
      <c r="CH35" s="216">
        <f ca="1">IF($D35&lt;&gt;"Serviço",0,IF(OR(AND(AUTOEVENTO="Manual",$M35=1),$M35&gt;(ROW(PLE.lastrow)-ROW(PLE.firstrow))),0,IF(OFFSET(PLE!$G$14,$M35,CH$13)="",10^12,OFFSET(PLE!$G$14,$M35,CH$13))))</f>
        <v>1000000000000</v>
      </c>
      <c r="CI35" s="216">
        <f ca="1">IF($D35&lt;&gt;"Serviço",0,IF(OR(AND(AUTOEVENTO="Manual",$M35=1),$M35&gt;(ROW(PLE.lastrow)-ROW(PLE.firstrow))),0,IF(OFFSET(PLE!$G$14,$M35,CI$13)="",10^12,OFFSET(PLE!$G$14,$M35,CI$13))))</f>
        <v>1000000000000</v>
      </c>
      <c r="CJ35" s="216">
        <f ca="1">IF($D35&lt;&gt;"Serviço",0,IF(OR(AND(AUTOEVENTO="Manual",$M35=1),$M35&gt;(ROW(PLE.lastrow)-ROW(PLE.firstrow))),0,IF(OFFSET(PLE!$G$14,$M35,CJ$13)="",10^12,OFFSET(PLE!$G$14,$M35,CJ$13))))</f>
        <v>1000000000000</v>
      </c>
      <c r="CK35" s="216">
        <f ca="1">IF($D35&lt;&gt;"Serviço",0,IF(OR(AND(AUTOEVENTO="Manual",$M35=1),$M35&gt;(ROW(PLE.lastrow)-ROW(PLE.firstrow))),0,IF(OFFSET(PLE!$G$14,$M35,CK$13)="",10^12,OFFSET(PLE!$G$14,$M35,CK$13))))</f>
        <v>1000000000000</v>
      </c>
      <c r="CL35" s="216">
        <f ca="1">IF($D35&lt;&gt;"Serviço",0,IF(OR(AND(AUTOEVENTO="Manual",$M35=1),$M35&gt;(ROW(PLE.lastrow)-ROW(PLE.firstrow))),0,IF(OFFSET(PLE!$G$14,$M35,CL$13)="",10^12,OFFSET(PLE!$G$14,$M35,CL$13))))</f>
        <v>1000000000000</v>
      </c>
      <c r="CM35" s="216">
        <f ca="1">IF($D35&lt;&gt;"Serviço",0,IF(OR(AND(AUTOEVENTO="Manual",$M35=1),$M35&gt;(ROW(PLE.lastrow)-ROW(PLE.firstrow))),0,IF(OFFSET(PLE!$G$14,$M35,CM$13)="",10^12,OFFSET(PLE!$G$14,$M35,CM$13))))</f>
        <v>1000000000000</v>
      </c>
    </row>
    <row r="36" spans="1:91" ht="13.2" x14ac:dyDescent="0.25">
      <c r="A36" s="9">
        <f t="shared" ca="1" si="9"/>
        <v>0</v>
      </c>
      <c r="B36" s="9">
        <f ca="1">OFFSET(ORÇAMENTO!C$15,ROW(B36)-ROW(B$15),0)</f>
        <v>3</v>
      </c>
      <c r="C36" s="9" t="str">
        <f ca="1">OFFSET(ORÇAMENTO!L$15,ROW(C36)-ROW(C$15),0)</f>
        <v>F</v>
      </c>
      <c r="D36" s="145" t="str">
        <f ca="1">OFFSET(ORÇAMENTO!N$15,ROW(D36)-ROW(D$15),0)</f>
        <v>Nível 3</v>
      </c>
      <c r="E36" s="205" t="str">
        <f ca="1">OFFSET(ORÇAMENTO!O$15,ROW(E36)-ROW(E$15),0)</f>
        <v>1.2.3.</v>
      </c>
      <c r="F36" s="206" t="str">
        <f ca="1">OFFSET(ORÇAMENTO!R$15,ROW(F36)-ROW(F$15),0)</f>
        <v>RESERVATÓRIO</v>
      </c>
      <c r="G36" s="207" t="str">
        <f ca="1">IF($D36&lt;&gt;"Serviço","",OFFSET(ORÇAMENTO!S$15,ROW(G36)-ROW(G$15),0))</f>
        <v/>
      </c>
      <c r="H36" s="151">
        <f ca="1">IF($D36&lt;&gt;"Serviço",0,IF(ACOMPANHAMENTO="BM",ROUND(OFFSET(ORÇAMENTO!AJ$15,ROW(H36)-ROW(H$15),0),15-13*ORÇAMENTO!$AF$7),SUMPRODUCT(($Q$12:$AI$12&lt;&gt;"")*ROUND($Q36:$AI36,15-13*ORÇAMENTO!$AF$7))))</f>
        <v>0</v>
      </c>
      <c r="I36" s="650"/>
      <c r="K36" s="208"/>
      <c r="L36" s="209" t="s">
        <v>257</v>
      </c>
      <c r="M36" s="210" t="str">
        <f ca="1">IF($D36&lt;&gt;"Serviço","",IF(AUTOEVENTO="manual",$A36,IF(ISERROR(MATCH($A36,$A$15:OFFSET($A36,-1,0),0)),MAX($M$15:OFFSET(M36,-1,0))+1,INDEX($M$15:OFFSET(M36,-1,0),MATCH($A36,$A$15:OFFSET($A36,-1,0),0)))))</f>
        <v/>
      </c>
      <c r="N36" s="211" t="str">
        <f ca="1">IF($D36&lt;&gt;"Serviço","",IF(AUTOEVENTO="Manual",IF($A36=0,"&lt;-- defina o número do agrupador",OFFSET(EVENTOS!$D$14,$A36,0)),OFFSET($F$15,$A36,0)))</f>
        <v/>
      </c>
      <c r="O36" s="212"/>
      <c r="Q36" s="212"/>
      <c r="R36" s="213"/>
      <c r="S36" s="213"/>
      <c r="T36" s="213"/>
      <c r="U36" s="213"/>
      <c r="V36" s="213"/>
      <c r="W36" s="213"/>
      <c r="X36" s="213"/>
      <c r="Y36" s="213"/>
      <c r="Z36" s="214"/>
      <c r="AA36" s="213"/>
      <c r="AB36" s="213"/>
      <c r="AC36" s="213"/>
      <c r="AD36" s="213"/>
      <c r="AE36" s="213"/>
      <c r="AF36" s="213"/>
      <c r="AG36" s="213"/>
      <c r="AH36" s="214"/>
      <c r="AJ36" s="631">
        <f ca="1">IF(AND($D36="Serviço",AJ$12&lt;&gt;0,$H36&gt;0,OR(AUTOEVENTO&lt;&gt;"manual",$M36&lt;&gt;1)),ROUND(OFFSET($P36,0,AJ$13),15-13*ORÇAMENTO!$AF$7)/$H36*OFFSET(ORÇAMENTO!$X$15,ROW(AJ36)-ROW(AJ$15),0),0)</f>
        <v>0</v>
      </c>
      <c r="AK36" s="632">
        <f ca="1">IF(AND($D36="Serviço",AK$12&lt;&gt;0,$H36&gt;0,OR(AUTOEVENTO&lt;&gt;"manual",$M36&lt;&gt;1)),ROUND(OFFSET($P36,0,AK$13),15-13*ORÇAMENTO!$AF$7)/$H36*OFFSET(ORÇAMENTO!$X$15,ROW(AK36)-ROW(AK$15),0),0)</f>
        <v>0</v>
      </c>
      <c r="AL36" s="632">
        <f ca="1">IF(AND($D36="Serviço",AL$12&lt;&gt;0,$H36&gt;0,OR(AUTOEVENTO&lt;&gt;"manual",$M36&lt;&gt;1)),ROUND(OFFSET($P36,0,AL$13),15-13*ORÇAMENTO!$AF$7)/$H36*OFFSET(ORÇAMENTO!$X$15,ROW(AL36)-ROW(AL$15),0),0)</f>
        <v>0</v>
      </c>
      <c r="AM36" s="632">
        <f ca="1">IF(AND($D36="Serviço",AM$12&lt;&gt;0,$H36&gt;0,OR(AUTOEVENTO&lt;&gt;"manual",$M36&lt;&gt;1)),ROUND(OFFSET($P36,0,AM$13),15-13*ORÇAMENTO!$AF$7)/$H36*OFFSET(ORÇAMENTO!$X$15,ROW(AM36)-ROW(AM$15),0),0)</f>
        <v>0</v>
      </c>
      <c r="AN36" s="632">
        <f ca="1">IF(AND($D36="Serviço",AN$12&lt;&gt;0,$H36&gt;0,OR(AUTOEVENTO&lt;&gt;"manual",$M36&lt;&gt;1)),ROUND(OFFSET($P36,0,AN$13),15-13*ORÇAMENTO!$AF$7)/$H36*OFFSET(ORÇAMENTO!$X$15,ROW(AN36)-ROW(AN$15),0),0)</f>
        <v>0</v>
      </c>
      <c r="AO36" s="632">
        <f ca="1">IF(AND($D36="Serviço",AO$12&lt;&gt;0,$H36&gt;0,OR(AUTOEVENTO&lt;&gt;"manual",$M36&lt;&gt;1)),ROUND(OFFSET($P36,0,AO$13),15-13*ORÇAMENTO!$AF$7)/$H36*OFFSET(ORÇAMENTO!$X$15,ROW(AO36)-ROW(AO$15),0),0)</f>
        <v>0</v>
      </c>
      <c r="AP36" s="632">
        <f ca="1">IF(AND($D36="Serviço",AP$12&lt;&gt;0,$H36&gt;0,OR(AUTOEVENTO&lt;&gt;"manual",$M36&lt;&gt;1)),ROUND(OFFSET($P36,0,AP$13),15-13*ORÇAMENTO!$AF$7)/$H36*OFFSET(ORÇAMENTO!$X$15,ROW(AP36)-ROW(AP$15),0),0)</f>
        <v>0</v>
      </c>
      <c r="AQ36" s="632">
        <f ca="1">IF(AND($D36="Serviço",AQ$12&lt;&gt;0,$H36&gt;0,OR(AUTOEVENTO&lt;&gt;"manual",$M36&lt;&gt;1)),ROUND(OFFSET($P36,0,AQ$13),15-13*ORÇAMENTO!$AF$7)/$H36*OFFSET(ORÇAMENTO!$X$15,ROW(AQ36)-ROW(AQ$15),0),0)</f>
        <v>0</v>
      </c>
      <c r="AR36" s="632">
        <f ca="1">IF(AND($D36="Serviço",AR$12&lt;&gt;0,$H36&gt;0,OR(AUTOEVENTO&lt;&gt;"manual",$M36&lt;&gt;1)),ROUND(OFFSET($P36,0,AR$13),15-13*ORÇAMENTO!$AF$7)/$H36*OFFSET(ORÇAMENTO!$X$15,ROW(AR36)-ROW(AR$15),0),0)</f>
        <v>0</v>
      </c>
      <c r="AS36" s="633">
        <f ca="1">IF(AND($D36="Serviço",AS$12&lt;&gt;0,$H36&gt;0,OR(AUTOEVENTO&lt;&gt;"manual",$M36&lt;&gt;1)),ROUND(OFFSET($P36,0,AS$13),15-13*ORÇAMENTO!$AF$7)/$H36*OFFSET(ORÇAMENTO!$X$15,ROW(AS36)-ROW(AS$15),0),0)</f>
        <v>0</v>
      </c>
      <c r="AT36" s="632">
        <f ca="1">IF(AND($D36="Serviço",AT$12&lt;&gt;0,$H36&gt;0,OR(AUTOEVENTO&lt;&gt;"manual",$M36&lt;&gt;1)),ROUND(OFFSET($P36,0,AT$13),15-13*ORÇAMENTO!$AF$7)/$H36*OFFSET(ORÇAMENTO!$X$15,ROW(AT36)-ROW(AT$15),0),0)</f>
        <v>0</v>
      </c>
      <c r="AU36" s="632">
        <f ca="1">IF(AND($D36="Serviço",AU$12&lt;&gt;0,$H36&gt;0,OR(AUTOEVENTO&lt;&gt;"manual",$M36&lt;&gt;1)),ROUND(OFFSET($P36,0,AU$13),15-13*ORÇAMENTO!$AF$7)/$H36*OFFSET(ORÇAMENTO!$X$15,ROW(AU36)-ROW(AU$15),0),0)</f>
        <v>0</v>
      </c>
      <c r="AV36" s="632">
        <f ca="1">IF(AND($D36="Serviço",AV$12&lt;&gt;0,$H36&gt;0,OR(AUTOEVENTO&lt;&gt;"manual",$M36&lt;&gt;1)),ROUND(OFFSET($P36,0,AV$13),15-13*ORÇAMENTO!$AF$7)/$H36*OFFSET(ORÇAMENTO!$X$15,ROW(AV36)-ROW(AV$15),0),0)</f>
        <v>0</v>
      </c>
      <c r="AW36" s="632">
        <f ca="1">IF(AND($D36="Serviço",AW$12&lt;&gt;0,$H36&gt;0,OR(AUTOEVENTO&lt;&gt;"manual",$M36&lt;&gt;1)),ROUND(OFFSET($P36,0,AW$13),15-13*ORÇAMENTO!$AF$7)/$H36*OFFSET(ORÇAMENTO!$X$15,ROW(AW36)-ROW(AW$15),0),0)</f>
        <v>0</v>
      </c>
      <c r="AX36" s="632">
        <f ca="1">IF(AND($D36="Serviço",AX$12&lt;&gt;0,$H36&gt;0,OR(AUTOEVENTO&lt;&gt;"manual",$M36&lt;&gt;1)),ROUND(OFFSET($P36,0,AX$13),15-13*ORÇAMENTO!$AF$7)/$H36*OFFSET(ORÇAMENTO!$X$15,ROW(AX36)-ROW(AX$15),0),0)</f>
        <v>0</v>
      </c>
      <c r="AY36" s="632">
        <f ca="1">IF(AND($D36="Serviço",AY$12&lt;&gt;0,$H36&gt;0,OR(AUTOEVENTO&lt;&gt;"manual",$M36&lt;&gt;1)),ROUND(OFFSET($P36,0,AY$13),15-13*ORÇAMENTO!$AF$7)/$H36*OFFSET(ORÇAMENTO!$X$15,ROW(AY36)-ROW(AY$15),0),0)</f>
        <v>0</v>
      </c>
      <c r="AZ36" s="632">
        <f ca="1">IF(AND($D36="Serviço",AZ$12&lt;&gt;0,$H36&gt;0,OR(AUTOEVENTO&lt;&gt;"manual",$M36&lt;&gt;1)),ROUND(OFFSET($P36,0,AZ$13),15-13*ORÇAMENTO!$AF$7)/$H36*OFFSET(ORÇAMENTO!$X$15,ROW(AZ36)-ROW(AZ$15),0),0)</f>
        <v>0</v>
      </c>
      <c r="BA36" s="633">
        <f ca="1">IF(AND($D36="Serviço",BA$12&lt;&gt;0,$H36&gt;0,OR(AUTOEVENTO&lt;&gt;"manual",$M36&lt;&gt;1)),ROUND(OFFSET($P36,0,BA$13),15-13*ORÇAMENTO!$AF$7)/$H36*OFFSET(ORÇAMENTO!$X$15,ROW(BA36)-ROW(BA$15),0),0)</f>
        <v>0</v>
      </c>
      <c r="BC36" s="215">
        <f ca="1">IF($D36&lt;&gt;"Serviço",0,IF(AND(AUTOEVENTO="Manual",$M36=1),0,IF(OFFSET(CRONOPLE!$F$14,$M36,BC$13)="",10^12,OFFSET(CRONOPLE!$F$14,$M36,BC$13))))</f>
        <v>0</v>
      </c>
      <c r="BD36" s="215">
        <f ca="1">IF($D36&lt;&gt;"Serviço",0,IF(AND(AUTOEVENTO="Manual",$M36=1),0,IF(OFFSET(CRONOPLE!$F$14,$M36,BD$13)="",10^12,OFFSET(CRONOPLE!$F$14,$M36,BD$13))))</f>
        <v>0</v>
      </c>
      <c r="BE36" s="215">
        <f ca="1">IF($D36&lt;&gt;"Serviço",0,IF(AND(AUTOEVENTO="Manual",$M36=1),0,IF(OFFSET(CRONOPLE!$F$14,$M36,BE$13)="",10^12,OFFSET(CRONOPLE!$F$14,$M36,BE$13))))</f>
        <v>0</v>
      </c>
      <c r="BF36" s="215">
        <f ca="1">IF($D36&lt;&gt;"Serviço",0,IF(AND(AUTOEVENTO="Manual",$M36=1),0,IF(OFFSET(CRONOPLE!$F$14,$M36,BF$13)="",10^12,OFFSET(CRONOPLE!$F$14,$M36,BF$13))))</f>
        <v>0</v>
      </c>
      <c r="BG36" s="215">
        <f ca="1">IF($D36&lt;&gt;"Serviço",0,IF(AND(AUTOEVENTO="Manual",$M36=1),0,IF(OFFSET(CRONOPLE!$F$14,$M36,BG$13)="",10^12,OFFSET(CRONOPLE!$F$14,$M36,BG$13))))</f>
        <v>0</v>
      </c>
      <c r="BH36" s="215">
        <f ca="1">IF($D36&lt;&gt;"Serviço",0,IF(AND(AUTOEVENTO="Manual",$M36=1),0,IF(OFFSET(CRONOPLE!$F$14,$M36,BH$13)="",10^12,OFFSET(CRONOPLE!$F$14,$M36,BH$13))))</f>
        <v>0</v>
      </c>
      <c r="BI36" s="215">
        <f ca="1">IF($D36&lt;&gt;"Serviço",0,IF(AND(AUTOEVENTO="Manual",$M36=1),0,IF(OFFSET(CRONOPLE!$F$14,$M36,BI$13)="",10^12,OFFSET(CRONOPLE!$F$14,$M36,BI$13))))</f>
        <v>0</v>
      </c>
      <c r="BJ36" s="215">
        <f ca="1">IF($D36&lt;&gt;"Serviço",0,IF(AND(AUTOEVENTO="Manual",$M36=1),0,IF(OFFSET(CRONOPLE!$F$14,$M36,BJ$13)="",10^12,OFFSET(CRONOPLE!$F$14,$M36,BJ$13))))</f>
        <v>0</v>
      </c>
      <c r="BK36" s="215">
        <f ca="1">IF($D36&lt;&gt;"Serviço",0,IF(AND(AUTOEVENTO="Manual",$M36=1),0,IF(OFFSET(CRONOPLE!$F$14,$M36,BK$13)="",10^12,OFFSET(CRONOPLE!$F$14,$M36,BK$13))))</f>
        <v>0</v>
      </c>
      <c r="BL36" s="215">
        <f ca="1">IF($D36&lt;&gt;"Serviço",0,IF(AND(AUTOEVENTO="Manual",$M36=1),0,IF(OFFSET(CRONOPLE!$F$14,$M36,BL$13)="",10^12,OFFSET(CRONOPLE!$F$14,$M36,BL$13))))</f>
        <v>0</v>
      </c>
      <c r="BM36" s="215">
        <f ca="1">IF($D36&lt;&gt;"Serviço",0,IF(AND(AUTOEVENTO="Manual",$M36=1),0,IF(OFFSET(CRONOPLE!$F$14,$M36,BM$13)="",10^12,OFFSET(CRONOPLE!$F$14,$M36,BM$13))))</f>
        <v>0</v>
      </c>
      <c r="BN36" s="215">
        <f ca="1">IF($D36&lt;&gt;"Serviço",0,IF(AND(AUTOEVENTO="Manual",$M36=1),0,IF(OFFSET(CRONOPLE!$F$14,$M36,BN$13)="",10^12,OFFSET(CRONOPLE!$F$14,$M36,BN$13))))</f>
        <v>0</v>
      </c>
      <c r="BO36" s="215">
        <f ca="1">IF($D36&lt;&gt;"Serviço",0,IF(AND(AUTOEVENTO="Manual",$M36=1),0,IF(OFFSET(CRONOPLE!$F$14,$M36,BO$13)="",10^12,OFFSET(CRONOPLE!$F$14,$M36,BO$13))))</f>
        <v>0</v>
      </c>
      <c r="BP36" s="215">
        <f ca="1">IF($D36&lt;&gt;"Serviço",0,IF(AND(AUTOEVENTO="Manual",$M36=1),0,IF(OFFSET(CRONOPLE!$F$14,$M36,BP$13)="",10^12,OFFSET(CRONOPLE!$F$14,$M36,BP$13))))</f>
        <v>0</v>
      </c>
      <c r="BQ36" s="215">
        <f ca="1">IF($D36&lt;&gt;"Serviço",0,IF(AND(AUTOEVENTO="Manual",$M36=1),0,IF(OFFSET(CRONOPLE!$F$14,$M36,BQ$13)="",10^12,OFFSET(CRONOPLE!$F$14,$M36,BQ$13))))</f>
        <v>0</v>
      </c>
      <c r="BR36" s="215">
        <f ca="1">IF($D36&lt;&gt;"Serviço",0,IF(AND(AUTOEVENTO="Manual",$M36=1),0,IF(OFFSET(CRONOPLE!$F$14,$M36,BR$13)="",10^12,OFFSET(CRONOPLE!$F$14,$M36,BR$13))))</f>
        <v>0</v>
      </c>
      <c r="BS36" s="215">
        <f ca="1">IF($D36&lt;&gt;"Serviço",0,IF(AND(AUTOEVENTO="Manual",$M36=1),0,IF(OFFSET(CRONOPLE!$F$14,$M36,BS$13)="",10^12,OFFSET(CRONOPLE!$F$14,$M36,BS$13))))</f>
        <v>0</v>
      </c>
      <c r="BT36" s="215">
        <f ca="1">IF($D36&lt;&gt;"Serviço",0,IF(AND(AUTOEVENTO="Manual",$M36=1),0,IF(OFFSET(CRONOPLE!$F$14,$M36,BT$13)="",10^12,OFFSET(CRONOPLE!$F$14,$M36,BT$13))))</f>
        <v>0</v>
      </c>
      <c r="BV36" s="216">
        <f ca="1">IF($D36&lt;&gt;"Serviço",0,IF(OR(AND(AUTOEVENTO="Manual",$M36=1),$M36&gt;(ROW(PLE.lastrow)-ROW(PLE.firstrow))),0,IF(OFFSET(PLE!$G$14,$M36,BV$13)="",10^12,OFFSET(PLE!$G$14,$M36,BV$13))))</f>
        <v>0</v>
      </c>
      <c r="BW36" s="216">
        <f ca="1">IF($D36&lt;&gt;"Serviço",0,IF(OR(AND(AUTOEVENTO="Manual",$M36=1),$M36&gt;(ROW(PLE.lastrow)-ROW(PLE.firstrow))),0,IF(OFFSET(PLE!$G$14,$M36,BW$13)="",10^12,OFFSET(PLE!$G$14,$M36,BW$13))))</f>
        <v>0</v>
      </c>
      <c r="BX36" s="216">
        <f ca="1">IF($D36&lt;&gt;"Serviço",0,IF(OR(AND(AUTOEVENTO="Manual",$M36=1),$M36&gt;(ROW(PLE.lastrow)-ROW(PLE.firstrow))),0,IF(OFFSET(PLE!$G$14,$M36,BX$13)="",10^12,OFFSET(PLE!$G$14,$M36,BX$13))))</f>
        <v>0</v>
      </c>
      <c r="BY36" s="216">
        <f ca="1">IF($D36&lt;&gt;"Serviço",0,IF(OR(AND(AUTOEVENTO="Manual",$M36=1),$M36&gt;(ROW(PLE.lastrow)-ROW(PLE.firstrow))),0,IF(OFFSET(PLE!$G$14,$M36,BY$13)="",10^12,OFFSET(PLE!$G$14,$M36,BY$13))))</f>
        <v>0</v>
      </c>
      <c r="BZ36" s="216">
        <f ca="1">IF($D36&lt;&gt;"Serviço",0,IF(OR(AND(AUTOEVENTO="Manual",$M36=1),$M36&gt;(ROW(PLE.lastrow)-ROW(PLE.firstrow))),0,IF(OFFSET(PLE!$G$14,$M36,BZ$13)="",10^12,OFFSET(PLE!$G$14,$M36,BZ$13))))</f>
        <v>0</v>
      </c>
      <c r="CA36" s="216">
        <f ca="1">IF($D36&lt;&gt;"Serviço",0,IF(OR(AND(AUTOEVENTO="Manual",$M36=1),$M36&gt;(ROW(PLE.lastrow)-ROW(PLE.firstrow))),0,IF(OFFSET(PLE!$G$14,$M36,CA$13)="",10^12,OFFSET(PLE!$G$14,$M36,CA$13))))</f>
        <v>0</v>
      </c>
      <c r="CB36" s="216">
        <f ca="1">IF($D36&lt;&gt;"Serviço",0,IF(OR(AND(AUTOEVENTO="Manual",$M36=1),$M36&gt;(ROW(PLE.lastrow)-ROW(PLE.firstrow))),0,IF(OFFSET(PLE!$G$14,$M36,CB$13)="",10^12,OFFSET(PLE!$G$14,$M36,CB$13))))</f>
        <v>0</v>
      </c>
      <c r="CC36" s="216">
        <f ca="1">IF($D36&lt;&gt;"Serviço",0,IF(OR(AND(AUTOEVENTO="Manual",$M36=1),$M36&gt;(ROW(PLE.lastrow)-ROW(PLE.firstrow))),0,IF(OFFSET(PLE!$G$14,$M36,CC$13)="",10^12,OFFSET(PLE!$G$14,$M36,CC$13))))</f>
        <v>0</v>
      </c>
      <c r="CD36" s="216">
        <f ca="1">IF($D36&lt;&gt;"Serviço",0,IF(OR(AND(AUTOEVENTO="Manual",$M36=1),$M36&gt;(ROW(PLE.lastrow)-ROW(PLE.firstrow))),0,IF(OFFSET(PLE!$G$14,$M36,CD$13)="",10^12,OFFSET(PLE!$G$14,$M36,CD$13))))</f>
        <v>0</v>
      </c>
      <c r="CE36" s="216">
        <f ca="1">IF($D36&lt;&gt;"Serviço",0,IF(OR(AND(AUTOEVENTO="Manual",$M36=1),$M36&gt;(ROW(PLE.lastrow)-ROW(PLE.firstrow))),0,IF(OFFSET(PLE!$G$14,$M36,CE$13)="",10^12,OFFSET(PLE!$G$14,$M36,CE$13))))</f>
        <v>0</v>
      </c>
      <c r="CF36" s="216">
        <f ca="1">IF($D36&lt;&gt;"Serviço",0,IF(OR(AND(AUTOEVENTO="Manual",$M36=1),$M36&gt;(ROW(PLE.lastrow)-ROW(PLE.firstrow))),0,IF(OFFSET(PLE!$G$14,$M36,CF$13)="",10^12,OFFSET(PLE!$G$14,$M36,CF$13))))</f>
        <v>0</v>
      </c>
      <c r="CG36" s="216">
        <f ca="1">IF($D36&lt;&gt;"Serviço",0,IF(OR(AND(AUTOEVENTO="Manual",$M36=1),$M36&gt;(ROW(PLE.lastrow)-ROW(PLE.firstrow))),0,IF(OFFSET(PLE!$G$14,$M36,CG$13)="",10^12,OFFSET(PLE!$G$14,$M36,CG$13))))</f>
        <v>0</v>
      </c>
      <c r="CH36" s="216">
        <f ca="1">IF($D36&lt;&gt;"Serviço",0,IF(OR(AND(AUTOEVENTO="Manual",$M36=1),$M36&gt;(ROW(PLE.lastrow)-ROW(PLE.firstrow))),0,IF(OFFSET(PLE!$G$14,$M36,CH$13)="",10^12,OFFSET(PLE!$G$14,$M36,CH$13))))</f>
        <v>0</v>
      </c>
      <c r="CI36" s="216">
        <f ca="1">IF($D36&lt;&gt;"Serviço",0,IF(OR(AND(AUTOEVENTO="Manual",$M36=1),$M36&gt;(ROW(PLE.lastrow)-ROW(PLE.firstrow))),0,IF(OFFSET(PLE!$G$14,$M36,CI$13)="",10^12,OFFSET(PLE!$G$14,$M36,CI$13))))</f>
        <v>0</v>
      </c>
      <c r="CJ36" s="216">
        <f ca="1">IF($D36&lt;&gt;"Serviço",0,IF(OR(AND(AUTOEVENTO="Manual",$M36=1),$M36&gt;(ROW(PLE.lastrow)-ROW(PLE.firstrow))),0,IF(OFFSET(PLE!$G$14,$M36,CJ$13)="",10^12,OFFSET(PLE!$G$14,$M36,CJ$13))))</f>
        <v>0</v>
      </c>
      <c r="CK36" s="216">
        <f ca="1">IF($D36&lt;&gt;"Serviço",0,IF(OR(AND(AUTOEVENTO="Manual",$M36=1),$M36&gt;(ROW(PLE.lastrow)-ROW(PLE.firstrow))),0,IF(OFFSET(PLE!$G$14,$M36,CK$13)="",10^12,OFFSET(PLE!$G$14,$M36,CK$13))))</f>
        <v>0</v>
      </c>
      <c r="CL36" s="216">
        <f ca="1">IF($D36&lt;&gt;"Serviço",0,IF(OR(AND(AUTOEVENTO="Manual",$M36=1),$M36&gt;(ROW(PLE.lastrow)-ROW(PLE.firstrow))),0,IF(OFFSET(PLE!$G$14,$M36,CL$13)="",10^12,OFFSET(PLE!$G$14,$M36,CL$13))))</f>
        <v>0</v>
      </c>
      <c r="CM36" s="216">
        <f ca="1">IF($D36&lt;&gt;"Serviço",0,IF(OR(AND(AUTOEVENTO="Manual",$M36=1),$M36&gt;(ROW(PLE.lastrow)-ROW(PLE.firstrow))),0,IF(OFFSET(PLE!$G$14,$M36,CM$13)="",10^12,OFFSET(PLE!$G$14,$M36,CM$13))))</f>
        <v>0</v>
      </c>
    </row>
    <row r="37" spans="1:91" ht="13.2" x14ac:dyDescent="0.25">
      <c r="A37" s="9">
        <f t="shared" ca="1" si="9"/>
        <v>0</v>
      </c>
      <c r="B37" s="9" t="str">
        <f ca="1">OFFSET(ORÇAMENTO!C$15,ROW(B37)-ROW(B$15),0)</f>
        <v>S</v>
      </c>
      <c r="C37" s="9" t="str">
        <f ca="1">OFFSET(ORÇAMENTO!L$15,ROW(C37)-ROW(C$15),0)</f>
        <v/>
      </c>
      <c r="D37" s="145" t="str">
        <f ca="1">OFFSET(ORÇAMENTO!N$15,ROW(D37)-ROW(D$15),0)</f>
        <v>Serviço</v>
      </c>
      <c r="E37" s="205" t="str">
        <f ca="1">OFFSET(ORÇAMENTO!O$15,ROW(E37)-ROW(E$15),0)</f>
        <v>-</v>
      </c>
      <c r="F37" s="206" t="str">
        <f ca="1">OFFSET(ORÇAMENTO!R$15,ROW(F37)-ROW(F$15),0)</f>
        <v>(abra o arquivo 'Referência 05-2024.xls)</v>
      </c>
      <c r="G37" s="207" t="str">
        <f ca="1">IF($D37&lt;&gt;"Serviço","",OFFSET(ORÇAMENTO!S$15,ROW(G37)-ROW(G$15),0))</f>
        <v>-</v>
      </c>
      <c r="H37" s="151">
        <f ca="1">IF($D37&lt;&gt;"Serviço",0,IF(ACOMPANHAMENTO="BM",ROUND(OFFSET(ORÇAMENTO!AJ$15,ROW(H37)-ROW(H$15),0),15-13*ORÇAMENTO!$AF$7),SUMPRODUCT(($Q$12:$AI$12&lt;&gt;"")*ROUND($Q37:$AI37,15-13*ORÇAMENTO!$AF$7))))</f>
        <v>11.47</v>
      </c>
      <c r="I37" s="650"/>
      <c r="K37" s="208"/>
      <c r="L37" s="209" t="s">
        <v>257</v>
      </c>
      <c r="M37" s="210">
        <f ca="1">IF($D37&lt;&gt;"Serviço","",IF(AUTOEVENTO="manual",$A37,IF(ISERROR(MATCH($A37,$A$15:OFFSET($A37,-1,0),0)),MAX($M$15:OFFSET(M37,-1,0))+1,INDEX($M$15:OFFSET(M37,-1,0),MATCH($A37,$A$15:OFFSET($A37,-1,0),0)))))</f>
        <v>0</v>
      </c>
      <c r="N37" s="211" t="str">
        <f ca="1">IF($D37&lt;&gt;"Serviço","",IF(AUTOEVENTO="Manual",IF($A37=0,"&lt;-- defina o número do agrupador",OFFSET(EVENTOS!$D$14,$A37,0)),OFFSET($F$15,$A37,0)))</f>
        <v>&lt;-- defina o número do agrupador</v>
      </c>
      <c r="O37" s="212"/>
      <c r="Q37" s="212"/>
      <c r="R37" s="213"/>
      <c r="S37" s="213"/>
      <c r="T37" s="213"/>
      <c r="U37" s="213"/>
      <c r="V37" s="213"/>
      <c r="W37" s="213"/>
      <c r="X37" s="213"/>
      <c r="Y37" s="213"/>
      <c r="Z37" s="214"/>
      <c r="AA37" s="213"/>
      <c r="AB37" s="213"/>
      <c r="AC37" s="213"/>
      <c r="AD37" s="213"/>
      <c r="AE37" s="213"/>
      <c r="AF37" s="213"/>
      <c r="AG37" s="213"/>
      <c r="AH37" s="214"/>
      <c r="AJ37" s="631">
        <f ca="1">IF(AND($D37="Serviço",AJ$12&lt;&gt;0,$H37&gt;0,OR(AUTOEVENTO&lt;&gt;"manual",$M37&lt;&gt;1)),ROUND(OFFSET($P37,0,AJ$13),15-13*ORÇAMENTO!$AF$7)/$H37*OFFSET(ORÇAMENTO!$X$15,ROW(AJ37)-ROW(AJ$15),0),0)</f>
        <v>0</v>
      </c>
      <c r="AK37" s="632">
        <f ca="1">IF(AND($D37="Serviço",AK$12&lt;&gt;0,$H37&gt;0,OR(AUTOEVENTO&lt;&gt;"manual",$M37&lt;&gt;1)),ROUND(OFFSET($P37,0,AK$13),15-13*ORÇAMENTO!$AF$7)/$H37*OFFSET(ORÇAMENTO!$X$15,ROW(AK37)-ROW(AK$15),0),0)</f>
        <v>0</v>
      </c>
      <c r="AL37" s="632">
        <f ca="1">IF(AND($D37="Serviço",AL$12&lt;&gt;0,$H37&gt;0,OR(AUTOEVENTO&lt;&gt;"manual",$M37&lt;&gt;1)),ROUND(OFFSET($P37,0,AL$13),15-13*ORÇAMENTO!$AF$7)/$H37*OFFSET(ORÇAMENTO!$X$15,ROW(AL37)-ROW(AL$15),0),0)</f>
        <v>0</v>
      </c>
      <c r="AM37" s="632">
        <f ca="1">IF(AND($D37="Serviço",AM$12&lt;&gt;0,$H37&gt;0,OR(AUTOEVENTO&lt;&gt;"manual",$M37&lt;&gt;1)),ROUND(OFFSET($P37,0,AM$13),15-13*ORÇAMENTO!$AF$7)/$H37*OFFSET(ORÇAMENTO!$X$15,ROW(AM37)-ROW(AM$15),0),0)</f>
        <v>0</v>
      </c>
      <c r="AN37" s="632">
        <f ca="1">IF(AND($D37="Serviço",AN$12&lt;&gt;0,$H37&gt;0,OR(AUTOEVENTO&lt;&gt;"manual",$M37&lt;&gt;1)),ROUND(OFFSET($P37,0,AN$13),15-13*ORÇAMENTO!$AF$7)/$H37*OFFSET(ORÇAMENTO!$X$15,ROW(AN37)-ROW(AN$15),0),0)</f>
        <v>0</v>
      </c>
      <c r="AO37" s="632">
        <f ca="1">IF(AND($D37="Serviço",AO$12&lt;&gt;0,$H37&gt;0,OR(AUTOEVENTO&lt;&gt;"manual",$M37&lt;&gt;1)),ROUND(OFFSET($P37,0,AO$13),15-13*ORÇAMENTO!$AF$7)/$H37*OFFSET(ORÇAMENTO!$X$15,ROW(AO37)-ROW(AO$15),0),0)</f>
        <v>0</v>
      </c>
      <c r="AP37" s="632">
        <f ca="1">IF(AND($D37="Serviço",AP$12&lt;&gt;0,$H37&gt;0,OR(AUTOEVENTO&lt;&gt;"manual",$M37&lt;&gt;1)),ROUND(OFFSET($P37,0,AP$13),15-13*ORÇAMENTO!$AF$7)/$H37*OFFSET(ORÇAMENTO!$X$15,ROW(AP37)-ROW(AP$15),0),0)</f>
        <v>0</v>
      </c>
      <c r="AQ37" s="632">
        <f ca="1">IF(AND($D37="Serviço",AQ$12&lt;&gt;0,$H37&gt;0,OR(AUTOEVENTO&lt;&gt;"manual",$M37&lt;&gt;1)),ROUND(OFFSET($P37,0,AQ$13),15-13*ORÇAMENTO!$AF$7)/$H37*OFFSET(ORÇAMENTO!$X$15,ROW(AQ37)-ROW(AQ$15),0),0)</f>
        <v>0</v>
      </c>
      <c r="AR37" s="632">
        <f ca="1">IF(AND($D37="Serviço",AR$12&lt;&gt;0,$H37&gt;0,OR(AUTOEVENTO&lt;&gt;"manual",$M37&lt;&gt;1)),ROUND(OFFSET($P37,0,AR$13),15-13*ORÇAMENTO!$AF$7)/$H37*OFFSET(ORÇAMENTO!$X$15,ROW(AR37)-ROW(AR$15),0),0)</f>
        <v>0</v>
      </c>
      <c r="AS37" s="633">
        <f ca="1">IF(AND($D37="Serviço",AS$12&lt;&gt;0,$H37&gt;0,OR(AUTOEVENTO&lt;&gt;"manual",$M37&lt;&gt;1)),ROUND(OFFSET($P37,0,AS$13),15-13*ORÇAMENTO!$AF$7)/$H37*OFFSET(ORÇAMENTO!$X$15,ROW(AS37)-ROW(AS$15),0),0)</f>
        <v>0</v>
      </c>
      <c r="AT37" s="632">
        <f ca="1">IF(AND($D37="Serviço",AT$12&lt;&gt;0,$H37&gt;0,OR(AUTOEVENTO&lt;&gt;"manual",$M37&lt;&gt;1)),ROUND(OFFSET($P37,0,AT$13),15-13*ORÇAMENTO!$AF$7)/$H37*OFFSET(ORÇAMENTO!$X$15,ROW(AT37)-ROW(AT$15),0),0)</f>
        <v>0</v>
      </c>
      <c r="AU37" s="632">
        <f ca="1">IF(AND($D37="Serviço",AU$12&lt;&gt;0,$H37&gt;0,OR(AUTOEVENTO&lt;&gt;"manual",$M37&lt;&gt;1)),ROUND(OFFSET($P37,0,AU$13),15-13*ORÇAMENTO!$AF$7)/$H37*OFFSET(ORÇAMENTO!$X$15,ROW(AU37)-ROW(AU$15),0),0)</f>
        <v>0</v>
      </c>
      <c r="AV37" s="632">
        <f ca="1">IF(AND($D37="Serviço",AV$12&lt;&gt;0,$H37&gt;0,OR(AUTOEVENTO&lt;&gt;"manual",$M37&lt;&gt;1)),ROUND(OFFSET($P37,0,AV$13),15-13*ORÇAMENTO!$AF$7)/$H37*OFFSET(ORÇAMENTO!$X$15,ROW(AV37)-ROW(AV$15),0),0)</f>
        <v>0</v>
      </c>
      <c r="AW37" s="632">
        <f ca="1">IF(AND($D37="Serviço",AW$12&lt;&gt;0,$H37&gt;0,OR(AUTOEVENTO&lt;&gt;"manual",$M37&lt;&gt;1)),ROUND(OFFSET($P37,0,AW$13),15-13*ORÇAMENTO!$AF$7)/$H37*OFFSET(ORÇAMENTO!$X$15,ROW(AW37)-ROW(AW$15),0),0)</f>
        <v>0</v>
      </c>
      <c r="AX37" s="632">
        <f ca="1">IF(AND($D37="Serviço",AX$12&lt;&gt;0,$H37&gt;0,OR(AUTOEVENTO&lt;&gt;"manual",$M37&lt;&gt;1)),ROUND(OFFSET($P37,0,AX$13),15-13*ORÇAMENTO!$AF$7)/$H37*OFFSET(ORÇAMENTO!$X$15,ROW(AX37)-ROW(AX$15),0),0)</f>
        <v>0</v>
      </c>
      <c r="AY37" s="632">
        <f ca="1">IF(AND($D37="Serviço",AY$12&lt;&gt;0,$H37&gt;0,OR(AUTOEVENTO&lt;&gt;"manual",$M37&lt;&gt;1)),ROUND(OFFSET($P37,0,AY$13),15-13*ORÇAMENTO!$AF$7)/$H37*OFFSET(ORÇAMENTO!$X$15,ROW(AY37)-ROW(AY$15),0),0)</f>
        <v>0</v>
      </c>
      <c r="AZ37" s="632">
        <f ca="1">IF(AND($D37="Serviço",AZ$12&lt;&gt;0,$H37&gt;0,OR(AUTOEVENTO&lt;&gt;"manual",$M37&lt;&gt;1)),ROUND(OFFSET($P37,0,AZ$13),15-13*ORÇAMENTO!$AF$7)/$H37*OFFSET(ORÇAMENTO!$X$15,ROW(AZ37)-ROW(AZ$15),0),0)</f>
        <v>0</v>
      </c>
      <c r="BA37" s="633">
        <f ca="1">IF(AND($D37="Serviço",BA$12&lt;&gt;0,$H37&gt;0,OR(AUTOEVENTO&lt;&gt;"manual",$M37&lt;&gt;1)),ROUND(OFFSET($P37,0,BA$13),15-13*ORÇAMENTO!$AF$7)/$H37*OFFSET(ORÇAMENTO!$X$15,ROW(BA37)-ROW(BA$15),0),0)</f>
        <v>0</v>
      </c>
      <c r="BC37" s="215">
        <f ca="1">IF($D37&lt;&gt;"Serviço",0,IF(AND(AUTOEVENTO="Manual",$M37=1),0,IF(OFFSET(CRONOPLE!$F$14,$M37,BC$13)="",10^12,OFFSET(CRONOPLE!$F$14,$M37,BC$13))))</f>
        <v>1000000000000</v>
      </c>
      <c r="BD37" s="215">
        <f ca="1">IF($D37&lt;&gt;"Serviço",0,IF(AND(AUTOEVENTO="Manual",$M37=1),0,IF(OFFSET(CRONOPLE!$F$14,$M37,BD$13)="",10^12,OFFSET(CRONOPLE!$F$14,$M37,BD$13))))</f>
        <v>1000000000000</v>
      </c>
      <c r="BE37" s="215">
        <f ca="1">IF($D37&lt;&gt;"Serviço",0,IF(AND(AUTOEVENTO="Manual",$M37=1),0,IF(OFFSET(CRONOPLE!$F$14,$M37,BE$13)="",10^12,OFFSET(CRONOPLE!$F$14,$M37,BE$13))))</f>
        <v>1000000000000</v>
      </c>
      <c r="BF37" s="215">
        <f ca="1">IF($D37&lt;&gt;"Serviço",0,IF(AND(AUTOEVENTO="Manual",$M37=1),0,IF(OFFSET(CRONOPLE!$F$14,$M37,BF$13)="",10^12,OFFSET(CRONOPLE!$F$14,$M37,BF$13))))</f>
        <v>1000000000000</v>
      </c>
      <c r="BG37" s="215">
        <f ca="1">IF($D37&lt;&gt;"Serviço",0,IF(AND(AUTOEVENTO="Manual",$M37=1),0,IF(OFFSET(CRONOPLE!$F$14,$M37,BG$13)="",10^12,OFFSET(CRONOPLE!$F$14,$M37,BG$13))))</f>
        <v>1000000000000</v>
      </c>
      <c r="BH37" s="215">
        <f ca="1">IF($D37&lt;&gt;"Serviço",0,IF(AND(AUTOEVENTO="Manual",$M37=1),0,IF(OFFSET(CRONOPLE!$F$14,$M37,BH$13)="",10^12,OFFSET(CRONOPLE!$F$14,$M37,BH$13))))</f>
        <v>1000000000000</v>
      </c>
      <c r="BI37" s="215">
        <f ca="1">IF($D37&lt;&gt;"Serviço",0,IF(AND(AUTOEVENTO="Manual",$M37=1),0,IF(OFFSET(CRONOPLE!$F$14,$M37,BI$13)="",10^12,OFFSET(CRONOPLE!$F$14,$M37,BI$13))))</f>
        <v>1000000000000</v>
      </c>
      <c r="BJ37" s="215">
        <f ca="1">IF($D37&lt;&gt;"Serviço",0,IF(AND(AUTOEVENTO="Manual",$M37=1),0,IF(OFFSET(CRONOPLE!$F$14,$M37,BJ$13)="",10^12,OFFSET(CRONOPLE!$F$14,$M37,BJ$13))))</f>
        <v>1000000000000</v>
      </c>
      <c r="BK37" s="215">
        <f ca="1">IF($D37&lt;&gt;"Serviço",0,IF(AND(AUTOEVENTO="Manual",$M37=1),0,IF(OFFSET(CRONOPLE!$F$14,$M37,BK$13)="",10^12,OFFSET(CRONOPLE!$F$14,$M37,BK$13))))</f>
        <v>1000000000000</v>
      </c>
      <c r="BL37" s="215">
        <f ca="1">IF($D37&lt;&gt;"Serviço",0,IF(AND(AUTOEVENTO="Manual",$M37=1),0,IF(OFFSET(CRONOPLE!$F$14,$M37,BL$13)="",10^12,OFFSET(CRONOPLE!$F$14,$M37,BL$13))))</f>
        <v>1000000000000</v>
      </c>
      <c r="BM37" s="215">
        <f ca="1">IF($D37&lt;&gt;"Serviço",0,IF(AND(AUTOEVENTO="Manual",$M37=1),0,IF(OFFSET(CRONOPLE!$F$14,$M37,BM$13)="",10^12,OFFSET(CRONOPLE!$F$14,$M37,BM$13))))</f>
        <v>1000000000000</v>
      </c>
      <c r="BN37" s="215">
        <f ca="1">IF($D37&lt;&gt;"Serviço",0,IF(AND(AUTOEVENTO="Manual",$M37=1),0,IF(OFFSET(CRONOPLE!$F$14,$M37,BN$13)="",10^12,OFFSET(CRONOPLE!$F$14,$M37,BN$13))))</f>
        <v>1000000000000</v>
      </c>
      <c r="BO37" s="215">
        <f ca="1">IF($D37&lt;&gt;"Serviço",0,IF(AND(AUTOEVENTO="Manual",$M37=1),0,IF(OFFSET(CRONOPLE!$F$14,$M37,BO$13)="",10^12,OFFSET(CRONOPLE!$F$14,$M37,BO$13))))</f>
        <v>1000000000000</v>
      </c>
      <c r="BP37" s="215">
        <f ca="1">IF($D37&lt;&gt;"Serviço",0,IF(AND(AUTOEVENTO="Manual",$M37=1),0,IF(OFFSET(CRONOPLE!$F$14,$M37,BP$13)="",10^12,OFFSET(CRONOPLE!$F$14,$M37,BP$13))))</f>
        <v>1000000000000</v>
      </c>
      <c r="BQ37" s="215">
        <f ca="1">IF($D37&lt;&gt;"Serviço",0,IF(AND(AUTOEVENTO="Manual",$M37=1),0,IF(OFFSET(CRONOPLE!$F$14,$M37,BQ$13)="",10^12,OFFSET(CRONOPLE!$F$14,$M37,BQ$13))))</f>
        <v>1000000000000</v>
      </c>
      <c r="BR37" s="215">
        <f ca="1">IF($D37&lt;&gt;"Serviço",0,IF(AND(AUTOEVENTO="Manual",$M37=1),0,IF(OFFSET(CRONOPLE!$F$14,$M37,BR$13)="",10^12,OFFSET(CRONOPLE!$F$14,$M37,BR$13))))</f>
        <v>1000000000000</v>
      </c>
      <c r="BS37" s="215">
        <f ca="1">IF($D37&lt;&gt;"Serviço",0,IF(AND(AUTOEVENTO="Manual",$M37=1),0,IF(OFFSET(CRONOPLE!$F$14,$M37,BS$13)="",10^12,OFFSET(CRONOPLE!$F$14,$M37,BS$13))))</f>
        <v>1000000000000</v>
      </c>
      <c r="BT37" s="215">
        <f ca="1">IF($D37&lt;&gt;"Serviço",0,IF(AND(AUTOEVENTO="Manual",$M37=1),0,IF(OFFSET(CRONOPLE!$F$14,$M37,BT$13)="",10^12,OFFSET(CRONOPLE!$F$14,$M37,BT$13))))</f>
        <v>1000000000000</v>
      </c>
      <c r="BV37" s="216">
        <f ca="1">IF($D37&lt;&gt;"Serviço",0,IF(OR(AND(AUTOEVENTO="Manual",$M37=1),$M37&gt;(ROW(PLE.lastrow)-ROW(PLE.firstrow))),0,IF(OFFSET(PLE!$G$14,$M37,BV$13)="",10^12,OFFSET(PLE!$G$14,$M37,BV$13))))</f>
        <v>1000000000000</v>
      </c>
      <c r="BW37" s="216">
        <f ca="1">IF($D37&lt;&gt;"Serviço",0,IF(OR(AND(AUTOEVENTO="Manual",$M37=1),$M37&gt;(ROW(PLE.lastrow)-ROW(PLE.firstrow))),0,IF(OFFSET(PLE!$G$14,$M37,BW$13)="",10^12,OFFSET(PLE!$G$14,$M37,BW$13))))</f>
        <v>1000000000000</v>
      </c>
      <c r="BX37" s="216">
        <f ca="1">IF($D37&lt;&gt;"Serviço",0,IF(OR(AND(AUTOEVENTO="Manual",$M37=1),$M37&gt;(ROW(PLE.lastrow)-ROW(PLE.firstrow))),0,IF(OFFSET(PLE!$G$14,$M37,BX$13)="",10^12,OFFSET(PLE!$G$14,$M37,BX$13))))</f>
        <v>1000000000000</v>
      </c>
      <c r="BY37" s="216">
        <f ca="1">IF($D37&lt;&gt;"Serviço",0,IF(OR(AND(AUTOEVENTO="Manual",$M37=1),$M37&gt;(ROW(PLE.lastrow)-ROW(PLE.firstrow))),0,IF(OFFSET(PLE!$G$14,$M37,BY$13)="",10^12,OFFSET(PLE!$G$14,$M37,BY$13))))</f>
        <v>1000000000000</v>
      </c>
      <c r="BZ37" s="216">
        <f ca="1">IF($D37&lt;&gt;"Serviço",0,IF(OR(AND(AUTOEVENTO="Manual",$M37=1),$M37&gt;(ROW(PLE.lastrow)-ROW(PLE.firstrow))),0,IF(OFFSET(PLE!$G$14,$M37,BZ$13)="",10^12,OFFSET(PLE!$G$14,$M37,BZ$13))))</f>
        <v>1000000000000</v>
      </c>
      <c r="CA37" s="216">
        <f ca="1">IF($D37&lt;&gt;"Serviço",0,IF(OR(AND(AUTOEVENTO="Manual",$M37=1),$M37&gt;(ROW(PLE.lastrow)-ROW(PLE.firstrow))),0,IF(OFFSET(PLE!$G$14,$M37,CA$13)="",10^12,OFFSET(PLE!$G$14,$M37,CA$13))))</f>
        <v>1000000000000</v>
      </c>
      <c r="CB37" s="216">
        <f ca="1">IF($D37&lt;&gt;"Serviço",0,IF(OR(AND(AUTOEVENTO="Manual",$M37=1),$M37&gt;(ROW(PLE.lastrow)-ROW(PLE.firstrow))),0,IF(OFFSET(PLE!$G$14,$M37,CB$13)="",10^12,OFFSET(PLE!$G$14,$M37,CB$13))))</f>
        <v>1000000000000</v>
      </c>
      <c r="CC37" s="216">
        <f ca="1">IF($D37&lt;&gt;"Serviço",0,IF(OR(AND(AUTOEVENTO="Manual",$M37=1),$M37&gt;(ROW(PLE.lastrow)-ROW(PLE.firstrow))),0,IF(OFFSET(PLE!$G$14,$M37,CC$13)="",10^12,OFFSET(PLE!$G$14,$M37,CC$13))))</f>
        <v>1000000000000</v>
      </c>
      <c r="CD37" s="216">
        <f ca="1">IF($D37&lt;&gt;"Serviço",0,IF(OR(AND(AUTOEVENTO="Manual",$M37=1),$M37&gt;(ROW(PLE.lastrow)-ROW(PLE.firstrow))),0,IF(OFFSET(PLE!$G$14,$M37,CD$13)="",10^12,OFFSET(PLE!$G$14,$M37,CD$13))))</f>
        <v>1000000000000</v>
      </c>
      <c r="CE37" s="216">
        <f ca="1">IF($D37&lt;&gt;"Serviço",0,IF(OR(AND(AUTOEVENTO="Manual",$M37=1),$M37&gt;(ROW(PLE.lastrow)-ROW(PLE.firstrow))),0,IF(OFFSET(PLE!$G$14,$M37,CE$13)="",10^12,OFFSET(PLE!$G$14,$M37,CE$13))))</f>
        <v>1000000000000</v>
      </c>
      <c r="CF37" s="216">
        <f ca="1">IF($D37&lt;&gt;"Serviço",0,IF(OR(AND(AUTOEVENTO="Manual",$M37=1),$M37&gt;(ROW(PLE.lastrow)-ROW(PLE.firstrow))),0,IF(OFFSET(PLE!$G$14,$M37,CF$13)="",10^12,OFFSET(PLE!$G$14,$M37,CF$13))))</f>
        <v>1000000000000</v>
      </c>
      <c r="CG37" s="216">
        <f ca="1">IF($D37&lt;&gt;"Serviço",0,IF(OR(AND(AUTOEVENTO="Manual",$M37=1),$M37&gt;(ROW(PLE.lastrow)-ROW(PLE.firstrow))),0,IF(OFFSET(PLE!$G$14,$M37,CG$13)="",10^12,OFFSET(PLE!$G$14,$M37,CG$13))))</f>
        <v>1000000000000</v>
      </c>
      <c r="CH37" s="216">
        <f ca="1">IF($D37&lt;&gt;"Serviço",0,IF(OR(AND(AUTOEVENTO="Manual",$M37=1),$M37&gt;(ROW(PLE.lastrow)-ROW(PLE.firstrow))),0,IF(OFFSET(PLE!$G$14,$M37,CH$13)="",10^12,OFFSET(PLE!$G$14,$M37,CH$13))))</f>
        <v>1000000000000</v>
      </c>
      <c r="CI37" s="216">
        <f ca="1">IF($D37&lt;&gt;"Serviço",0,IF(OR(AND(AUTOEVENTO="Manual",$M37=1),$M37&gt;(ROW(PLE.lastrow)-ROW(PLE.firstrow))),0,IF(OFFSET(PLE!$G$14,$M37,CI$13)="",10^12,OFFSET(PLE!$G$14,$M37,CI$13))))</f>
        <v>1000000000000</v>
      </c>
      <c r="CJ37" s="216">
        <f ca="1">IF($D37&lt;&gt;"Serviço",0,IF(OR(AND(AUTOEVENTO="Manual",$M37=1),$M37&gt;(ROW(PLE.lastrow)-ROW(PLE.firstrow))),0,IF(OFFSET(PLE!$G$14,$M37,CJ$13)="",10^12,OFFSET(PLE!$G$14,$M37,CJ$13))))</f>
        <v>1000000000000</v>
      </c>
      <c r="CK37" s="216">
        <f ca="1">IF($D37&lt;&gt;"Serviço",0,IF(OR(AND(AUTOEVENTO="Manual",$M37=1),$M37&gt;(ROW(PLE.lastrow)-ROW(PLE.firstrow))),0,IF(OFFSET(PLE!$G$14,$M37,CK$13)="",10^12,OFFSET(PLE!$G$14,$M37,CK$13))))</f>
        <v>1000000000000</v>
      </c>
      <c r="CL37" s="216">
        <f ca="1">IF($D37&lt;&gt;"Serviço",0,IF(OR(AND(AUTOEVENTO="Manual",$M37=1),$M37&gt;(ROW(PLE.lastrow)-ROW(PLE.firstrow))),0,IF(OFFSET(PLE!$G$14,$M37,CL$13)="",10^12,OFFSET(PLE!$G$14,$M37,CL$13))))</f>
        <v>1000000000000</v>
      </c>
      <c r="CM37" s="216">
        <f ca="1">IF($D37&lt;&gt;"Serviço",0,IF(OR(AND(AUTOEVENTO="Manual",$M37=1),$M37&gt;(ROW(PLE.lastrow)-ROW(PLE.firstrow))),0,IF(OFFSET(PLE!$G$14,$M37,CM$13)="",10^12,OFFSET(PLE!$G$14,$M37,CM$13))))</f>
        <v>1000000000000</v>
      </c>
    </row>
    <row r="38" spans="1:91" ht="13.2" x14ac:dyDescent="0.25">
      <c r="A38" s="9">
        <f t="shared" ca="1" si="9"/>
        <v>0</v>
      </c>
      <c r="B38" s="9" t="str">
        <f ca="1">OFFSET(ORÇAMENTO!C$15,ROW(B38)-ROW(B$15),0)</f>
        <v>S</v>
      </c>
      <c r="C38" s="9" t="str">
        <f ca="1">OFFSET(ORÇAMENTO!L$15,ROW(C38)-ROW(C$15),0)</f>
        <v/>
      </c>
      <c r="D38" s="145" t="str">
        <f ca="1">OFFSET(ORÇAMENTO!N$15,ROW(D38)-ROW(D$15),0)</f>
        <v>Serviço</v>
      </c>
      <c r="E38" s="205" t="str">
        <f ca="1">OFFSET(ORÇAMENTO!O$15,ROW(E38)-ROW(E$15),0)</f>
        <v>-</v>
      </c>
      <c r="F38" s="206" t="str">
        <f ca="1">OFFSET(ORÇAMENTO!R$15,ROW(F38)-ROW(F$15),0)</f>
        <v>(abra o arquivo 'Referência 05-2024.xls)</v>
      </c>
      <c r="G38" s="207" t="str">
        <f ca="1">IF($D38&lt;&gt;"Serviço","",OFFSET(ORÇAMENTO!S$15,ROW(G38)-ROW(G$15),0))</f>
        <v>-</v>
      </c>
      <c r="H38" s="151">
        <f ca="1">IF($D38&lt;&gt;"Serviço",0,IF(ACOMPANHAMENTO="BM",ROUND(OFFSET(ORÇAMENTO!AJ$15,ROW(H38)-ROW(H$15),0),15-13*ORÇAMENTO!$AF$7),SUMPRODUCT(($Q$12:$AI$12&lt;&gt;"")*ROUND($Q38:$AI38,15-13*ORÇAMENTO!$AF$7))))</f>
        <v>20.38</v>
      </c>
      <c r="I38" s="650"/>
      <c r="K38" s="208"/>
      <c r="L38" s="209" t="s">
        <v>257</v>
      </c>
      <c r="M38" s="210">
        <f ca="1">IF($D38&lt;&gt;"Serviço","",IF(AUTOEVENTO="manual",$A38,IF(ISERROR(MATCH($A38,$A$15:OFFSET($A38,-1,0),0)),MAX($M$15:OFFSET(M38,-1,0))+1,INDEX($M$15:OFFSET(M38,-1,0),MATCH($A38,$A$15:OFFSET($A38,-1,0),0)))))</f>
        <v>0</v>
      </c>
      <c r="N38" s="211" t="str">
        <f ca="1">IF($D38&lt;&gt;"Serviço","",IF(AUTOEVENTO="Manual",IF($A38=0,"&lt;-- defina o número do agrupador",OFFSET(EVENTOS!$D$14,$A38,0)),OFFSET($F$15,$A38,0)))</f>
        <v>&lt;-- defina o número do agrupador</v>
      </c>
      <c r="O38" s="212"/>
      <c r="Q38" s="212"/>
      <c r="R38" s="213"/>
      <c r="S38" s="213"/>
      <c r="T38" s="213"/>
      <c r="U38" s="213"/>
      <c r="V38" s="213"/>
      <c r="W38" s="213"/>
      <c r="X38" s="213"/>
      <c r="Y38" s="213"/>
      <c r="Z38" s="214"/>
      <c r="AA38" s="213"/>
      <c r="AB38" s="213"/>
      <c r="AC38" s="213"/>
      <c r="AD38" s="213"/>
      <c r="AE38" s="213"/>
      <c r="AF38" s="213"/>
      <c r="AG38" s="213"/>
      <c r="AH38" s="214"/>
      <c r="AJ38" s="631">
        <f ca="1">IF(AND($D38="Serviço",AJ$12&lt;&gt;0,$H38&gt;0,OR(AUTOEVENTO&lt;&gt;"manual",$M38&lt;&gt;1)),ROUND(OFFSET($P38,0,AJ$13),15-13*ORÇAMENTO!$AF$7)/$H38*OFFSET(ORÇAMENTO!$X$15,ROW(AJ38)-ROW(AJ$15),0),0)</f>
        <v>0</v>
      </c>
      <c r="AK38" s="632">
        <f ca="1">IF(AND($D38="Serviço",AK$12&lt;&gt;0,$H38&gt;0,OR(AUTOEVENTO&lt;&gt;"manual",$M38&lt;&gt;1)),ROUND(OFFSET($P38,0,AK$13),15-13*ORÇAMENTO!$AF$7)/$H38*OFFSET(ORÇAMENTO!$X$15,ROW(AK38)-ROW(AK$15),0),0)</f>
        <v>0</v>
      </c>
      <c r="AL38" s="632">
        <f ca="1">IF(AND($D38="Serviço",AL$12&lt;&gt;0,$H38&gt;0,OR(AUTOEVENTO&lt;&gt;"manual",$M38&lt;&gt;1)),ROUND(OFFSET($P38,0,AL$13),15-13*ORÇAMENTO!$AF$7)/$H38*OFFSET(ORÇAMENTO!$X$15,ROW(AL38)-ROW(AL$15),0),0)</f>
        <v>0</v>
      </c>
      <c r="AM38" s="632">
        <f ca="1">IF(AND($D38="Serviço",AM$12&lt;&gt;0,$H38&gt;0,OR(AUTOEVENTO&lt;&gt;"manual",$M38&lt;&gt;1)),ROUND(OFFSET($P38,0,AM$13),15-13*ORÇAMENTO!$AF$7)/$H38*OFFSET(ORÇAMENTO!$X$15,ROW(AM38)-ROW(AM$15),0),0)</f>
        <v>0</v>
      </c>
      <c r="AN38" s="632">
        <f ca="1">IF(AND($D38="Serviço",AN$12&lt;&gt;0,$H38&gt;0,OR(AUTOEVENTO&lt;&gt;"manual",$M38&lt;&gt;1)),ROUND(OFFSET($P38,0,AN$13),15-13*ORÇAMENTO!$AF$7)/$H38*OFFSET(ORÇAMENTO!$X$15,ROW(AN38)-ROW(AN$15),0),0)</f>
        <v>0</v>
      </c>
      <c r="AO38" s="632">
        <f ca="1">IF(AND($D38="Serviço",AO$12&lt;&gt;0,$H38&gt;0,OR(AUTOEVENTO&lt;&gt;"manual",$M38&lt;&gt;1)),ROUND(OFFSET($P38,0,AO$13),15-13*ORÇAMENTO!$AF$7)/$H38*OFFSET(ORÇAMENTO!$X$15,ROW(AO38)-ROW(AO$15),0),0)</f>
        <v>0</v>
      </c>
      <c r="AP38" s="632">
        <f ca="1">IF(AND($D38="Serviço",AP$12&lt;&gt;0,$H38&gt;0,OR(AUTOEVENTO&lt;&gt;"manual",$M38&lt;&gt;1)),ROUND(OFFSET($P38,0,AP$13),15-13*ORÇAMENTO!$AF$7)/$H38*OFFSET(ORÇAMENTO!$X$15,ROW(AP38)-ROW(AP$15),0),0)</f>
        <v>0</v>
      </c>
      <c r="AQ38" s="632">
        <f ca="1">IF(AND($D38="Serviço",AQ$12&lt;&gt;0,$H38&gt;0,OR(AUTOEVENTO&lt;&gt;"manual",$M38&lt;&gt;1)),ROUND(OFFSET($P38,0,AQ$13),15-13*ORÇAMENTO!$AF$7)/$H38*OFFSET(ORÇAMENTO!$X$15,ROW(AQ38)-ROW(AQ$15),0),0)</f>
        <v>0</v>
      </c>
      <c r="AR38" s="632">
        <f ca="1">IF(AND($D38="Serviço",AR$12&lt;&gt;0,$H38&gt;0,OR(AUTOEVENTO&lt;&gt;"manual",$M38&lt;&gt;1)),ROUND(OFFSET($P38,0,AR$13),15-13*ORÇAMENTO!$AF$7)/$H38*OFFSET(ORÇAMENTO!$X$15,ROW(AR38)-ROW(AR$15),0),0)</f>
        <v>0</v>
      </c>
      <c r="AS38" s="633">
        <f ca="1">IF(AND($D38="Serviço",AS$12&lt;&gt;0,$H38&gt;0,OR(AUTOEVENTO&lt;&gt;"manual",$M38&lt;&gt;1)),ROUND(OFFSET($P38,0,AS$13),15-13*ORÇAMENTO!$AF$7)/$H38*OFFSET(ORÇAMENTO!$X$15,ROW(AS38)-ROW(AS$15),0),0)</f>
        <v>0</v>
      </c>
      <c r="AT38" s="632">
        <f ca="1">IF(AND($D38="Serviço",AT$12&lt;&gt;0,$H38&gt;0,OR(AUTOEVENTO&lt;&gt;"manual",$M38&lt;&gt;1)),ROUND(OFFSET($P38,0,AT$13),15-13*ORÇAMENTO!$AF$7)/$H38*OFFSET(ORÇAMENTO!$X$15,ROW(AT38)-ROW(AT$15),0),0)</f>
        <v>0</v>
      </c>
      <c r="AU38" s="632">
        <f ca="1">IF(AND($D38="Serviço",AU$12&lt;&gt;0,$H38&gt;0,OR(AUTOEVENTO&lt;&gt;"manual",$M38&lt;&gt;1)),ROUND(OFFSET($P38,0,AU$13),15-13*ORÇAMENTO!$AF$7)/$H38*OFFSET(ORÇAMENTO!$X$15,ROW(AU38)-ROW(AU$15),0),0)</f>
        <v>0</v>
      </c>
      <c r="AV38" s="632">
        <f ca="1">IF(AND($D38="Serviço",AV$12&lt;&gt;0,$H38&gt;0,OR(AUTOEVENTO&lt;&gt;"manual",$M38&lt;&gt;1)),ROUND(OFFSET($P38,0,AV$13),15-13*ORÇAMENTO!$AF$7)/$H38*OFFSET(ORÇAMENTO!$X$15,ROW(AV38)-ROW(AV$15),0),0)</f>
        <v>0</v>
      </c>
      <c r="AW38" s="632">
        <f ca="1">IF(AND($D38="Serviço",AW$12&lt;&gt;0,$H38&gt;0,OR(AUTOEVENTO&lt;&gt;"manual",$M38&lt;&gt;1)),ROUND(OFFSET($P38,0,AW$13),15-13*ORÇAMENTO!$AF$7)/$H38*OFFSET(ORÇAMENTO!$X$15,ROW(AW38)-ROW(AW$15),0),0)</f>
        <v>0</v>
      </c>
      <c r="AX38" s="632">
        <f ca="1">IF(AND($D38="Serviço",AX$12&lt;&gt;0,$H38&gt;0,OR(AUTOEVENTO&lt;&gt;"manual",$M38&lt;&gt;1)),ROUND(OFFSET($P38,0,AX$13),15-13*ORÇAMENTO!$AF$7)/$H38*OFFSET(ORÇAMENTO!$X$15,ROW(AX38)-ROW(AX$15),0),0)</f>
        <v>0</v>
      </c>
      <c r="AY38" s="632">
        <f ca="1">IF(AND($D38="Serviço",AY$12&lt;&gt;0,$H38&gt;0,OR(AUTOEVENTO&lt;&gt;"manual",$M38&lt;&gt;1)),ROUND(OFFSET($P38,0,AY$13),15-13*ORÇAMENTO!$AF$7)/$H38*OFFSET(ORÇAMENTO!$X$15,ROW(AY38)-ROW(AY$15),0),0)</f>
        <v>0</v>
      </c>
      <c r="AZ38" s="632">
        <f ca="1">IF(AND($D38="Serviço",AZ$12&lt;&gt;0,$H38&gt;0,OR(AUTOEVENTO&lt;&gt;"manual",$M38&lt;&gt;1)),ROUND(OFFSET($P38,0,AZ$13),15-13*ORÇAMENTO!$AF$7)/$H38*OFFSET(ORÇAMENTO!$X$15,ROW(AZ38)-ROW(AZ$15),0),0)</f>
        <v>0</v>
      </c>
      <c r="BA38" s="633">
        <f ca="1">IF(AND($D38="Serviço",BA$12&lt;&gt;0,$H38&gt;0,OR(AUTOEVENTO&lt;&gt;"manual",$M38&lt;&gt;1)),ROUND(OFFSET($P38,0,BA$13),15-13*ORÇAMENTO!$AF$7)/$H38*OFFSET(ORÇAMENTO!$X$15,ROW(BA38)-ROW(BA$15),0),0)</f>
        <v>0</v>
      </c>
      <c r="BC38" s="215">
        <f ca="1">IF($D38&lt;&gt;"Serviço",0,IF(AND(AUTOEVENTO="Manual",$M38=1),0,IF(OFFSET(CRONOPLE!$F$14,$M38,BC$13)="",10^12,OFFSET(CRONOPLE!$F$14,$M38,BC$13))))</f>
        <v>1000000000000</v>
      </c>
      <c r="BD38" s="215">
        <f ca="1">IF($D38&lt;&gt;"Serviço",0,IF(AND(AUTOEVENTO="Manual",$M38=1),0,IF(OFFSET(CRONOPLE!$F$14,$M38,BD$13)="",10^12,OFFSET(CRONOPLE!$F$14,$M38,BD$13))))</f>
        <v>1000000000000</v>
      </c>
      <c r="BE38" s="215">
        <f ca="1">IF($D38&lt;&gt;"Serviço",0,IF(AND(AUTOEVENTO="Manual",$M38=1),0,IF(OFFSET(CRONOPLE!$F$14,$M38,BE$13)="",10^12,OFFSET(CRONOPLE!$F$14,$M38,BE$13))))</f>
        <v>1000000000000</v>
      </c>
      <c r="BF38" s="215">
        <f ca="1">IF($D38&lt;&gt;"Serviço",0,IF(AND(AUTOEVENTO="Manual",$M38=1),0,IF(OFFSET(CRONOPLE!$F$14,$M38,BF$13)="",10^12,OFFSET(CRONOPLE!$F$14,$M38,BF$13))))</f>
        <v>1000000000000</v>
      </c>
      <c r="BG38" s="215">
        <f ca="1">IF($D38&lt;&gt;"Serviço",0,IF(AND(AUTOEVENTO="Manual",$M38=1),0,IF(OFFSET(CRONOPLE!$F$14,$M38,BG$13)="",10^12,OFFSET(CRONOPLE!$F$14,$M38,BG$13))))</f>
        <v>1000000000000</v>
      </c>
      <c r="BH38" s="215">
        <f ca="1">IF($D38&lt;&gt;"Serviço",0,IF(AND(AUTOEVENTO="Manual",$M38=1),0,IF(OFFSET(CRONOPLE!$F$14,$M38,BH$13)="",10^12,OFFSET(CRONOPLE!$F$14,$M38,BH$13))))</f>
        <v>1000000000000</v>
      </c>
      <c r="BI38" s="215">
        <f ca="1">IF($D38&lt;&gt;"Serviço",0,IF(AND(AUTOEVENTO="Manual",$M38=1),0,IF(OFFSET(CRONOPLE!$F$14,$M38,BI$13)="",10^12,OFFSET(CRONOPLE!$F$14,$M38,BI$13))))</f>
        <v>1000000000000</v>
      </c>
      <c r="BJ38" s="215">
        <f ca="1">IF($D38&lt;&gt;"Serviço",0,IF(AND(AUTOEVENTO="Manual",$M38=1),0,IF(OFFSET(CRONOPLE!$F$14,$M38,BJ$13)="",10^12,OFFSET(CRONOPLE!$F$14,$M38,BJ$13))))</f>
        <v>1000000000000</v>
      </c>
      <c r="BK38" s="215">
        <f ca="1">IF($D38&lt;&gt;"Serviço",0,IF(AND(AUTOEVENTO="Manual",$M38=1),0,IF(OFFSET(CRONOPLE!$F$14,$M38,BK$13)="",10^12,OFFSET(CRONOPLE!$F$14,$M38,BK$13))))</f>
        <v>1000000000000</v>
      </c>
      <c r="BL38" s="215">
        <f ca="1">IF($D38&lt;&gt;"Serviço",0,IF(AND(AUTOEVENTO="Manual",$M38=1),0,IF(OFFSET(CRONOPLE!$F$14,$M38,BL$13)="",10^12,OFFSET(CRONOPLE!$F$14,$M38,BL$13))))</f>
        <v>1000000000000</v>
      </c>
      <c r="BM38" s="215">
        <f ca="1">IF($D38&lt;&gt;"Serviço",0,IF(AND(AUTOEVENTO="Manual",$M38=1),0,IF(OFFSET(CRONOPLE!$F$14,$M38,BM$13)="",10^12,OFFSET(CRONOPLE!$F$14,$M38,BM$13))))</f>
        <v>1000000000000</v>
      </c>
      <c r="BN38" s="215">
        <f ca="1">IF($D38&lt;&gt;"Serviço",0,IF(AND(AUTOEVENTO="Manual",$M38=1),0,IF(OFFSET(CRONOPLE!$F$14,$M38,BN$13)="",10^12,OFFSET(CRONOPLE!$F$14,$M38,BN$13))))</f>
        <v>1000000000000</v>
      </c>
      <c r="BO38" s="215">
        <f ca="1">IF($D38&lt;&gt;"Serviço",0,IF(AND(AUTOEVENTO="Manual",$M38=1),0,IF(OFFSET(CRONOPLE!$F$14,$M38,BO$13)="",10^12,OFFSET(CRONOPLE!$F$14,$M38,BO$13))))</f>
        <v>1000000000000</v>
      </c>
      <c r="BP38" s="215">
        <f ca="1">IF($D38&lt;&gt;"Serviço",0,IF(AND(AUTOEVENTO="Manual",$M38=1),0,IF(OFFSET(CRONOPLE!$F$14,$M38,BP$13)="",10^12,OFFSET(CRONOPLE!$F$14,$M38,BP$13))))</f>
        <v>1000000000000</v>
      </c>
      <c r="BQ38" s="215">
        <f ca="1">IF($D38&lt;&gt;"Serviço",0,IF(AND(AUTOEVENTO="Manual",$M38=1),0,IF(OFFSET(CRONOPLE!$F$14,$M38,BQ$13)="",10^12,OFFSET(CRONOPLE!$F$14,$M38,BQ$13))))</f>
        <v>1000000000000</v>
      </c>
      <c r="BR38" s="215">
        <f ca="1">IF($D38&lt;&gt;"Serviço",0,IF(AND(AUTOEVENTO="Manual",$M38=1),0,IF(OFFSET(CRONOPLE!$F$14,$M38,BR$13)="",10^12,OFFSET(CRONOPLE!$F$14,$M38,BR$13))))</f>
        <v>1000000000000</v>
      </c>
      <c r="BS38" s="215">
        <f ca="1">IF($D38&lt;&gt;"Serviço",0,IF(AND(AUTOEVENTO="Manual",$M38=1),0,IF(OFFSET(CRONOPLE!$F$14,$M38,BS$13)="",10^12,OFFSET(CRONOPLE!$F$14,$M38,BS$13))))</f>
        <v>1000000000000</v>
      </c>
      <c r="BT38" s="215">
        <f ca="1">IF($D38&lt;&gt;"Serviço",0,IF(AND(AUTOEVENTO="Manual",$M38=1),0,IF(OFFSET(CRONOPLE!$F$14,$M38,BT$13)="",10^12,OFFSET(CRONOPLE!$F$14,$M38,BT$13))))</f>
        <v>1000000000000</v>
      </c>
      <c r="BV38" s="216">
        <f ca="1">IF($D38&lt;&gt;"Serviço",0,IF(OR(AND(AUTOEVENTO="Manual",$M38=1),$M38&gt;(ROW(PLE.lastrow)-ROW(PLE.firstrow))),0,IF(OFFSET(PLE!$G$14,$M38,BV$13)="",10^12,OFFSET(PLE!$G$14,$M38,BV$13))))</f>
        <v>1000000000000</v>
      </c>
      <c r="BW38" s="216">
        <f ca="1">IF($D38&lt;&gt;"Serviço",0,IF(OR(AND(AUTOEVENTO="Manual",$M38=1),$M38&gt;(ROW(PLE.lastrow)-ROW(PLE.firstrow))),0,IF(OFFSET(PLE!$G$14,$M38,BW$13)="",10^12,OFFSET(PLE!$G$14,$M38,BW$13))))</f>
        <v>1000000000000</v>
      </c>
      <c r="BX38" s="216">
        <f ca="1">IF($D38&lt;&gt;"Serviço",0,IF(OR(AND(AUTOEVENTO="Manual",$M38=1),$M38&gt;(ROW(PLE.lastrow)-ROW(PLE.firstrow))),0,IF(OFFSET(PLE!$G$14,$M38,BX$13)="",10^12,OFFSET(PLE!$G$14,$M38,BX$13))))</f>
        <v>1000000000000</v>
      </c>
      <c r="BY38" s="216">
        <f ca="1">IF($D38&lt;&gt;"Serviço",0,IF(OR(AND(AUTOEVENTO="Manual",$M38=1),$M38&gt;(ROW(PLE.lastrow)-ROW(PLE.firstrow))),0,IF(OFFSET(PLE!$G$14,$M38,BY$13)="",10^12,OFFSET(PLE!$G$14,$M38,BY$13))))</f>
        <v>1000000000000</v>
      </c>
      <c r="BZ38" s="216">
        <f ca="1">IF($D38&lt;&gt;"Serviço",0,IF(OR(AND(AUTOEVENTO="Manual",$M38=1),$M38&gt;(ROW(PLE.lastrow)-ROW(PLE.firstrow))),0,IF(OFFSET(PLE!$G$14,$M38,BZ$13)="",10^12,OFFSET(PLE!$G$14,$M38,BZ$13))))</f>
        <v>1000000000000</v>
      </c>
      <c r="CA38" s="216">
        <f ca="1">IF($D38&lt;&gt;"Serviço",0,IF(OR(AND(AUTOEVENTO="Manual",$M38=1),$M38&gt;(ROW(PLE.lastrow)-ROW(PLE.firstrow))),0,IF(OFFSET(PLE!$G$14,$M38,CA$13)="",10^12,OFFSET(PLE!$G$14,$M38,CA$13))))</f>
        <v>1000000000000</v>
      </c>
      <c r="CB38" s="216">
        <f ca="1">IF($D38&lt;&gt;"Serviço",0,IF(OR(AND(AUTOEVENTO="Manual",$M38=1),$M38&gt;(ROW(PLE.lastrow)-ROW(PLE.firstrow))),0,IF(OFFSET(PLE!$G$14,$M38,CB$13)="",10^12,OFFSET(PLE!$G$14,$M38,CB$13))))</f>
        <v>1000000000000</v>
      </c>
      <c r="CC38" s="216">
        <f ca="1">IF($D38&lt;&gt;"Serviço",0,IF(OR(AND(AUTOEVENTO="Manual",$M38=1),$M38&gt;(ROW(PLE.lastrow)-ROW(PLE.firstrow))),0,IF(OFFSET(PLE!$G$14,$M38,CC$13)="",10^12,OFFSET(PLE!$G$14,$M38,CC$13))))</f>
        <v>1000000000000</v>
      </c>
      <c r="CD38" s="216">
        <f ca="1">IF($D38&lt;&gt;"Serviço",0,IF(OR(AND(AUTOEVENTO="Manual",$M38=1),$M38&gt;(ROW(PLE.lastrow)-ROW(PLE.firstrow))),0,IF(OFFSET(PLE!$G$14,$M38,CD$13)="",10^12,OFFSET(PLE!$G$14,$M38,CD$13))))</f>
        <v>1000000000000</v>
      </c>
      <c r="CE38" s="216">
        <f ca="1">IF($D38&lt;&gt;"Serviço",0,IF(OR(AND(AUTOEVENTO="Manual",$M38=1),$M38&gt;(ROW(PLE.lastrow)-ROW(PLE.firstrow))),0,IF(OFFSET(PLE!$G$14,$M38,CE$13)="",10^12,OFFSET(PLE!$G$14,$M38,CE$13))))</f>
        <v>1000000000000</v>
      </c>
      <c r="CF38" s="216">
        <f ca="1">IF($D38&lt;&gt;"Serviço",0,IF(OR(AND(AUTOEVENTO="Manual",$M38=1),$M38&gt;(ROW(PLE.lastrow)-ROW(PLE.firstrow))),0,IF(OFFSET(PLE!$G$14,$M38,CF$13)="",10^12,OFFSET(PLE!$G$14,$M38,CF$13))))</f>
        <v>1000000000000</v>
      </c>
      <c r="CG38" s="216">
        <f ca="1">IF($D38&lt;&gt;"Serviço",0,IF(OR(AND(AUTOEVENTO="Manual",$M38=1),$M38&gt;(ROW(PLE.lastrow)-ROW(PLE.firstrow))),0,IF(OFFSET(PLE!$G$14,$M38,CG$13)="",10^12,OFFSET(PLE!$G$14,$M38,CG$13))))</f>
        <v>1000000000000</v>
      </c>
      <c r="CH38" s="216">
        <f ca="1">IF($D38&lt;&gt;"Serviço",0,IF(OR(AND(AUTOEVENTO="Manual",$M38=1),$M38&gt;(ROW(PLE.lastrow)-ROW(PLE.firstrow))),0,IF(OFFSET(PLE!$G$14,$M38,CH$13)="",10^12,OFFSET(PLE!$G$14,$M38,CH$13))))</f>
        <v>1000000000000</v>
      </c>
      <c r="CI38" s="216">
        <f ca="1">IF($D38&lt;&gt;"Serviço",0,IF(OR(AND(AUTOEVENTO="Manual",$M38=1),$M38&gt;(ROW(PLE.lastrow)-ROW(PLE.firstrow))),0,IF(OFFSET(PLE!$G$14,$M38,CI$13)="",10^12,OFFSET(PLE!$G$14,$M38,CI$13))))</f>
        <v>1000000000000</v>
      </c>
      <c r="CJ38" s="216">
        <f ca="1">IF($D38&lt;&gt;"Serviço",0,IF(OR(AND(AUTOEVENTO="Manual",$M38=1),$M38&gt;(ROW(PLE.lastrow)-ROW(PLE.firstrow))),0,IF(OFFSET(PLE!$G$14,$M38,CJ$13)="",10^12,OFFSET(PLE!$G$14,$M38,CJ$13))))</f>
        <v>1000000000000</v>
      </c>
      <c r="CK38" s="216">
        <f ca="1">IF($D38&lt;&gt;"Serviço",0,IF(OR(AND(AUTOEVENTO="Manual",$M38=1),$M38&gt;(ROW(PLE.lastrow)-ROW(PLE.firstrow))),0,IF(OFFSET(PLE!$G$14,$M38,CK$13)="",10^12,OFFSET(PLE!$G$14,$M38,CK$13))))</f>
        <v>1000000000000</v>
      </c>
      <c r="CL38" s="216">
        <f ca="1">IF($D38&lt;&gt;"Serviço",0,IF(OR(AND(AUTOEVENTO="Manual",$M38=1),$M38&gt;(ROW(PLE.lastrow)-ROW(PLE.firstrow))),0,IF(OFFSET(PLE!$G$14,$M38,CL$13)="",10^12,OFFSET(PLE!$G$14,$M38,CL$13))))</f>
        <v>1000000000000</v>
      </c>
      <c r="CM38" s="216">
        <f ca="1">IF($D38&lt;&gt;"Serviço",0,IF(OR(AND(AUTOEVENTO="Manual",$M38=1),$M38&gt;(ROW(PLE.lastrow)-ROW(PLE.firstrow))),0,IF(OFFSET(PLE!$G$14,$M38,CM$13)="",10^12,OFFSET(PLE!$G$14,$M38,CM$13))))</f>
        <v>1000000000000</v>
      </c>
    </row>
    <row r="39" spans="1:91" ht="13.2" x14ac:dyDescent="0.25">
      <c r="A39" s="9">
        <f t="shared" ca="1" si="9"/>
        <v>0</v>
      </c>
      <c r="B39" s="9" t="str">
        <f ca="1">OFFSET(ORÇAMENTO!C$15,ROW(B39)-ROW(B$15),0)</f>
        <v>S</v>
      </c>
      <c r="C39" s="9" t="str">
        <f ca="1">OFFSET(ORÇAMENTO!L$15,ROW(C39)-ROW(C$15),0)</f>
        <v/>
      </c>
      <c r="D39" s="145" t="str">
        <f ca="1">OFFSET(ORÇAMENTO!N$15,ROW(D39)-ROW(D$15),0)</f>
        <v>Serviço</v>
      </c>
      <c r="E39" s="205" t="str">
        <f ca="1">OFFSET(ORÇAMENTO!O$15,ROW(E39)-ROW(E$15),0)</f>
        <v>-</v>
      </c>
      <c r="F39" s="206" t="str">
        <f ca="1">OFFSET(ORÇAMENTO!R$15,ROW(F39)-ROW(F$15),0)</f>
        <v>(abra o arquivo 'Referência 05-2024.xls)</v>
      </c>
      <c r="G39" s="207" t="str">
        <f ca="1">IF($D39&lt;&gt;"Serviço","",OFFSET(ORÇAMENTO!S$15,ROW(G39)-ROW(G$15),0))</f>
        <v>-</v>
      </c>
      <c r="H39" s="151">
        <f ca="1">IF($D39&lt;&gt;"Serviço",0,IF(ACOMPANHAMENTO="BM",ROUND(OFFSET(ORÇAMENTO!AJ$15,ROW(H39)-ROW(H$15),0),15-13*ORÇAMENTO!$AF$7),SUMPRODUCT(($Q$12:$AI$12&lt;&gt;"")*ROUND($Q39:$AI39,15-13*ORÇAMENTO!$AF$7))))</f>
        <v>10.71</v>
      </c>
      <c r="I39" s="650"/>
      <c r="K39" s="208"/>
      <c r="L39" s="209" t="s">
        <v>257</v>
      </c>
      <c r="M39" s="210">
        <f ca="1">IF($D39&lt;&gt;"Serviço","",IF(AUTOEVENTO="manual",$A39,IF(ISERROR(MATCH($A39,$A$15:OFFSET($A39,-1,0),0)),MAX($M$15:OFFSET(M39,-1,0))+1,INDEX($M$15:OFFSET(M39,-1,0),MATCH($A39,$A$15:OFFSET($A39,-1,0),0)))))</f>
        <v>0</v>
      </c>
      <c r="N39" s="211" t="str">
        <f ca="1">IF($D39&lt;&gt;"Serviço","",IF(AUTOEVENTO="Manual",IF($A39=0,"&lt;-- defina o número do agrupador",OFFSET(EVENTOS!$D$14,$A39,0)),OFFSET($F$15,$A39,0)))</f>
        <v>&lt;-- defina o número do agrupador</v>
      </c>
      <c r="O39" s="212"/>
      <c r="Q39" s="212"/>
      <c r="R39" s="213"/>
      <c r="S39" s="213"/>
      <c r="T39" s="213"/>
      <c r="U39" s="213"/>
      <c r="V39" s="213"/>
      <c r="W39" s="213"/>
      <c r="X39" s="213"/>
      <c r="Y39" s="213"/>
      <c r="Z39" s="214"/>
      <c r="AA39" s="213"/>
      <c r="AB39" s="213"/>
      <c r="AC39" s="213"/>
      <c r="AD39" s="213"/>
      <c r="AE39" s="213"/>
      <c r="AF39" s="213"/>
      <c r="AG39" s="213"/>
      <c r="AH39" s="214"/>
      <c r="AJ39" s="631">
        <f ca="1">IF(AND($D39="Serviço",AJ$12&lt;&gt;0,$H39&gt;0,OR(AUTOEVENTO&lt;&gt;"manual",$M39&lt;&gt;1)),ROUND(OFFSET($P39,0,AJ$13),15-13*ORÇAMENTO!$AF$7)/$H39*OFFSET(ORÇAMENTO!$X$15,ROW(AJ39)-ROW(AJ$15),0),0)</f>
        <v>0</v>
      </c>
      <c r="AK39" s="632">
        <f ca="1">IF(AND($D39="Serviço",AK$12&lt;&gt;0,$H39&gt;0,OR(AUTOEVENTO&lt;&gt;"manual",$M39&lt;&gt;1)),ROUND(OFFSET($P39,0,AK$13),15-13*ORÇAMENTO!$AF$7)/$H39*OFFSET(ORÇAMENTO!$X$15,ROW(AK39)-ROW(AK$15),0),0)</f>
        <v>0</v>
      </c>
      <c r="AL39" s="632">
        <f ca="1">IF(AND($D39="Serviço",AL$12&lt;&gt;0,$H39&gt;0,OR(AUTOEVENTO&lt;&gt;"manual",$M39&lt;&gt;1)),ROUND(OFFSET($P39,0,AL$13),15-13*ORÇAMENTO!$AF$7)/$H39*OFFSET(ORÇAMENTO!$X$15,ROW(AL39)-ROW(AL$15),0),0)</f>
        <v>0</v>
      </c>
      <c r="AM39" s="632">
        <f ca="1">IF(AND($D39="Serviço",AM$12&lt;&gt;0,$H39&gt;0,OR(AUTOEVENTO&lt;&gt;"manual",$M39&lt;&gt;1)),ROUND(OFFSET($P39,0,AM$13),15-13*ORÇAMENTO!$AF$7)/$H39*OFFSET(ORÇAMENTO!$X$15,ROW(AM39)-ROW(AM$15),0),0)</f>
        <v>0</v>
      </c>
      <c r="AN39" s="632">
        <f ca="1">IF(AND($D39="Serviço",AN$12&lt;&gt;0,$H39&gt;0,OR(AUTOEVENTO&lt;&gt;"manual",$M39&lt;&gt;1)),ROUND(OFFSET($P39,0,AN$13),15-13*ORÇAMENTO!$AF$7)/$H39*OFFSET(ORÇAMENTO!$X$15,ROW(AN39)-ROW(AN$15),0),0)</f>
        <v>0</v>
      </c>
      <c r="AO39" s="632">
        <f ca="1">IF(AND($D39="Serviço",AO$12&lt;&gt;0,$H39&gt;0,OR(AUTOEVENTO&lt;&gt;"manual",$M39&lt;&gt;1)),ROUND(OFFSET($P39,0,AO$13),15-13*ORÇAMENTO!$AF$7)/$H39*OFFSET(ORÇAMENTO!$X$15,ROW(AO39)-ROW(AO$15),0),0)</f>
        <v>0</v>
      </c>
      <c r="AP39" s="632">
        <f ca="1">IF(AND($D39="Serviço",AP$12&lt;&gt;0,$H39&gt;0,OR(AUTOEVENTO&lt;&gt;"manual",$M39&lt;&gt;1)),ROUND(OFFSET($P39,0,AP$13),15-13*ORÇAMENTO!$AF$7)/$H39*OFFSET(ORÇAMENTO!$X$15,ROW(AP39)-ROW(AP$15),0),0)</f>
        <v>0</v>
      </c>
      <c r="AQ39" s="632">
        <f ca="1">IF(AND($D39="Serviço",AQ$12&lt;&gt;0,$H39&gt;0,OR(AUTOEVENTO&lt;&gt;"manual",$M39&lt;&gt;1)),ROUND(OFFSET($P39,0,AQ$13),15-13*ORÇAMENTO!$AF$7)/$H39*OFFSET(ORÇAMENTO!$X$15,ROW(AQ39)-ROW(AQ$15),0),0)</f>
        <v>0</v>
      </c>
      <c r="AR39" s="632">
        <f ca="1">IF(AND($D39="Serviço",AR$12&lt;&gt;0,$H39&gt;0,OR(AUTOEVENTO&lt;&gt;"manual",$M39&lt;&gt;1)),ROUND(OFFSET($P39,0,AR$13),15-13*ORÇAMENTO!$AF$7)/$H39*OFFSET(ORÇAMENTO!$X$15,ROW(AR39)-ROW(AR$15),0),0)</f>
        <v>0</v>
      </c>
      <c r="AS39" s="633">
        <f ca="1">IF(AND($D39="Serviço",AS$12&lt;&gt;0,$H39&gt;0,OR(AUTOEVENTO&lt;&gt;"manual",$M39&lt;&gt;1)),ROUND(OFFSET($P39,0,AS$13),15-13*ORÇAMENTO!$AF$7)/$H39*OFFSET(ORÇAMENTO!$X$15,ROW(AS39)-ROW(AS$15),0),0)</f>
        <v>0</v>
      </c>
      <c r="AT39" s="632">
        <f ca="1">IF(AND($D39="Serviço",AT$12&lt;&gt;0,$H39&gt;0,OR(AUTOEVENTO&lt;&gt;"manual",$M39&lt;&gt;1)),ROUND(OFFSET($P39,0,AT$13),15-13*ORÇAMENTO!$AF$7)/$H39*OFFSET(ORÇAMENTO!$X$15,ROW(AT39)-ROW(AT$15),0),0)</f>
        <v>0</v>
      </c>
      <c r="AU39" s="632">
        <f ca="1">IF(AND($D39="Serviço",AU$12&lt;&gt;0,$H39&gt;0,OR(AUTOEVENTO&lt;&gt;"manual",$M39&lt;&gt;1)),ROUND(OFFSET($P39,0,AU$13),15-13*ORÇAMENTO!$AF$7)/$H39*OFFSET(ORÇAMENTO!$X$15,ROW(AU39)-ROW(AU$15),0),0)</f>
        <v>0</v>
      </c>
      <c r="AV39" s="632">
        <f ca="1">IF(AND($D39="Serviço",AV$12&lt;&gt;0,$H39&gt;0,OR(AUTOEVENTO&lt;&gt;"manual",$M39&lt;&gt;1)),ROUND(OFFSET($P39,0,AV$13),15-13*ORÇAMENTO!$AF$7)/$H39*OFFSET(ORÇAMENTO!$X$15,ROW(AV39)-ROW(AV$15),0),0)</f>
        <v>0</v>
      </c>
      <c r="AW39" s="632">
        <f ca="1">IF(AND($D39="Serviço",AW$12&lt;&gt;0,$H39&gt;0,OR(AUTOEVENTO&lt;&gt;"manual",$M39&lt;&gt;1)),ROUND(OFFSET($P39,0,AW$13),15-13*ORÇAMENTO!$AF$7)/$H39*OFFSET(ORÇAMENTO!$X$15,ROW(AW39)-ROW(AW$15),0),0)</f>
        <v>0</v>
      </c>
      <c r="AX39" s="632">
        <f ca="1">IF(AND($D39="Serviço",AX$12&lt;&gt;0,$H39&gt;0,OR(AUTOEVENTO&lt;&gt;"manual",$M39&lt;&gt;1)),ROUND(OFFSET($P39,0,AX$13),15-13*ORÇAMENTO!$AF$7)/$H39*OFFSET(ORÇAMENTO!$X$15,ROW(AX39)-ROW(AX$15),0),0)</f>
        <v>0</v>
      </c>
      <c r="AY39" s="632">
        <f ca="1">IF(AND($D39="Serviço",AY$12&lt;&gt;0,$H39&gt;0,OR(AUTOEVENTO&lt;&gt;"manual",$M39&lt;&gt;1)),ROUND(OFFSET($P39,0,AY$13),15-13*ORÇAMENTO!$AF$7)/$H39*OFFSET(ORÇAMENTO!$X$15,ROW(AY39)-ROW(AY$15),0),0)</f>
        <v>0</v>
      </c>
      <c r="AZ39" s="632">
        <f ca="1">IF(AND($D39="Serviço",AZ$12&lt;&gt;0,$H39&gt;0,OR(AUTOEVENTO&lt;&gt;"manual",$M39&lt;&gt;1)),ROUND(OFFSET($P39,0,AZ$13),15-13*ORÇAMENTO!$AF$7)/$H39*OFFSET(ORÇAMENTO!$X$15,ROW(AZ39)-ROW(AZ$15),0),0)</f>
        <v>0</v>
      </c>
      <c r="BA39" s="633">
        <f ca="1">IF(AND($D39="Serviço",BA$12&lt;&gt;0,$H39&gt;0,OR(AUTOEVENTO&lt;&gt;"manual",$M39&lt;&gt;1)),ROUND(OFFSET($P39,0,BA$13),15-13*ORÇAMENTO!$AF$7)/$H39*OFFSET(ORÇAMENTO!$X$15,ROW(BA39)-ROW(BA$15),0),0)</f>
        <v>0</v>
      </c>
      <c r="BC39" s="215">
        <f ca="1">IF($D39&lt;&gt;"Serviço",0,IF(AND(AUTOEVENTO="Manual",$M39=1),0,IF(OFFSET(CRONOPLE!$F$14,$M39,BC$13)="",10^12,OFFSET(CRONOPLE!$F$14,$M39,BC$13))))</f>
        <v>1000000000000</v>
      </c>
      <c r="BD39" s="215">
        <f ca="1">IF($D39&lt;&gt;"Serviço",0,IF(AND(AUTOEVENTO="Manual",$M39=1),0,IF(OFFSET(CRONOPLE!$F$14,$M39,BD$13)="",10^12,OFFSET(CRONOPLE!$F$14,$M39,BD$13))))</f>
        <v>1000000000000</v>
      </c>
      <c r="BE39" s="215">
        <f ca="1">IF($D39&lt;&gt;"Serviço",0,IF(AND(AUTOEVENTO="Manual",$M39=1),0,IF(OFFSET(CRONOPLE!$F$14,$M39,BE$13)="",10^12,OFFSET(CRONOPLE!$F$14,$M39,BE$13))))</f>
        <v>1000000000000</v>
      </c>
      <c r="BF39" s="215">
        <f ca="1">IF($D39&lt;&gt;"Serviço",0,IF(AND(AUTOEVENTO="Manual",$M39=1),0,IF(OFFSET(CRONOPLE!$F$14,$M39,BF$13)="",10^12,OFFSET(CRONOPLE!$F$14,$M39,BF$13))))</f>
        <v>1000000000000</v>
      </c>
      <c r="BG39" s="215">
        <f ca="1">IF($D39&lt;&gt;"Serviço",0,IF(AND(AUTOEVENTO="Manual",$M39=1),0,IF(OFFSET(CRONOPLE!$F$14,$M39,BG$13)="",10^12,OFFSET(CRONOPLE!$F$14,$M39,BG$13))))</f>
        <v>1000000000000</v>
      </c>
      <c r="BH39" s="215">
        <f ca="1">IF($D39&lt;&gt;"Serviço",0,IF(AND(AUTOEVENTO="Manual",$M39=1),0,IF(OFFSET(CRONOPLE!$F$14,$M39,BH$13)="",10^12,OFFSET(CRONOPLE!$F$14,$M39,BH$13))))</f>
        <v>1000000000000</v>
      </c>
      <c r="BI39" s="215">
        <f ca="1">IF($D39&lt;&gt;"Serviço",0,IF(AND(AUTOEVENTO="Manual",$M39=1),0,IF(OFFSET(CRONOPLE!$F$14,$M39,BI$13)="",10^12,OFFSET(CRONOPLE!$F$14,$M39,BI$13))))</f>
        <v>1000000000000</v>
      </c>
      <c r="BJ39" s="215">
        <f ca="1">IF($D39&lt;&gt;"Serviço",0,IF(AND(AUTOEVENTO="Manual",$M39=1),0,IF(OFFSET(CRONOPLE!$F$14,$M39,BJ$13)="",10^12,OFFSET(CRONOPLE!$F$14,$M39,BJ$13))))</f>
        <v>1000000000000</v>
      </c>
      <c r="BK39" s="215">
        <f ca="1">IF($D39&lt;&gt;"Serviço",0,IF(AND(AUTOEVENTO="Manual",$M39=1),0,IF(OFFSET(CRONOPLE!$F$14,$M39,BK$13)="",10^12,OFFSET(CRONOPLE!$F$14,$M39,BK$13))))</f>
        <v>1000000000000</v>
      </c>
      <c r="BL39" s="215">
        <f ca="1">IF($D39&lt;&gt;"Serviço",0,IF(AND(AUTOEVENTO="Manual",$M39=1),0,IF(OFFSET(CRONOPLE!$F$14,$M39,BL$13)="",10^12,OFFSET(CRONOPLE!$F$14,$M39,BL$13))))</f>
        <v>1000000000000</v>
      </c>
      <c r="BM39" s="215">
        <f ca="1">IF($D39&lt;&gt;"Serviço",0,IF(AND(AUTOEVENTO="Manual",$M39=1),0,IF(OFFSET(CRONOPLE!$F$14,$M39,BM$13)="",10^12,OFFSET(CRONOPLE!$F$14,$M39,BM$13))))</f>
        <v>1000000000000</v>
      </c>
      <c r="BN39" s="215">
        <f ca="1">IF($D39&lt;&gt;"Serviço",0,IF(AND(AUTOEVENTO="Manual",$M39=1),0,IF(OFFSET(CRONOPLE!$F$14,$M39,BN$13)="",10^12,OFFSET(CRONOPLE!$F$14,$M39,BN$13))))</f>
        <v>1000000000000</v>
      </c>
      <c r="BO39" s="215">
        <f ca="1">IF($D39&lt;&gt;"Serviço",0,IF(AND(AUTOEVENTO="Manual",$M39=1),0,IF(OFFSET(CRONOPLE!$F$14,$M39,BO$13)="",10^12,OFFSET(CRONOPLE!$F$14,$M39,BO$13))))</f>
        <v>1000000000000</v>
      </c>
      <c r="BP39" s="215">
        <f ca="1">IF($D39&lt;&gt;"Serviço",0,IF(AND(AUTOEVENTO="Manual",$M39=1),0,IF(OFFSET(CRONOPLE!$F$14,$M39,BP$13)="",10^12,OFFSET(CRONOPLE!$F$14,$M39,BP$13))))</f>
        <v>1000000000000</v>
      </c>
      <c r="BQ39" s="215">
        <f ca="1">IF($D39&lt;&gt;"Serviço",0,IF(AND(AUTOEVENTO="Manual",$M39=1),0,IF(OFFSET(CRONOPLE!$F$14,$M39,BQ$13)="",10^12,OFFSET(CRONOPLE!$F$14,$M39,BQ$13))))</f>
        <v>1000000000000</v>
      </c>
      <c r="BR39" s="215">
        <f ca="1">IF($D39&lt;&gt;"Serviço",0,IF(AND(AUTOEVENTO="Manual",$M39=1),0,IF(OFFSET(CRONOPLE!$F$14,$M39,BR$13)="",10^12,OFFSET(CRONOPLE!$F$14,$M39,BR$13))))</f>
        <v>1000000000000</v>
      </c>
      <c r="BS39" s="215">
        <f ca="1">IF($D39&lt;&gt;"Serviço",0,IF(AND(AUTOEVENTO="Manual",$M39=1),0,IF(OFFSET(CRONOPLE!$F$14,$M39,BS$13)="",10^12,OFFSET(CRONOPLE!$F$14,$M39,BS$13))))</f>
        <v>1000000000000</v>
      </c>
      <c r="BT39" s="215">
        <f ca="1">IF($D39&lt;&gt;"Serviço",0,IF(AND(AUTOEVENTO="Manual",$M39=1),0,IF(OFFSET(CRONOPLE!$F$14,$M39,BT$13)="",10^12,OFFSET(CRONOPLE!$F$14,$M39,BT$13))))</f>
        <v>1000000000000</v>
      </c>
      <c r="BV39" s="216">
        <f ca="1">IF($D39&lt;&gt;"Serviço",0,IF(OR(AND(AUTOEVENTO="Manual",$M39=1),$M39&gt;(ROW(PLE.lastrow)-ROW(PLE.firstrow))),0,IF(OFFSET(PLE!$G$14,$M39,BV$13)="",10^12,OFFSET(PLE!$G$14,$M39,BV$13))))</f>
        <v>1000000000000</v>
      </c>
      <c r="BW39" s="216">
        <f ca="1">IF($D39&lt;&gt;"Serviço",0,IF(OR(AND(AUTOEVENTO="Manual",$M39=1),$M39&gt;(ROW(PLE.lastrow)-ROW(PLE.firstrow))),0,IF(OFFSET(PLE!$G$14,$M39,BW$13)="",10^12,OFFSET(PLE!$G$14,$M39,BW$13))))</f>
        <v>1000000000000</v>
      </c>
      <c r="BX39" s="216">
        <f ca="1">IF($D39&lt;&gt;"Serviço",0,IF(OR(AND(AUTOEVENTO="Manual",$M39=1),$M39&gt;(ROW(PLE.lastrow)-ROW(PLE.firstrow))),0,IF(OFFSET(PLE!$G$14,$M39,BX$13)="",10^12,OFFSET(PLE!$G$14,$M39,BX$13))))</f>
        <v>1000000000000</v>
      </c>
      <c r="BY39" s="216">
        <f ca="1">IF($D39&lt;&gt;"Serviço",0,IF(OR(AND(AUTOEVENTO="Manual",$M39=1),$M39&gt;(ROW(PLE.lastrow)-ROW(PLE.firstrow))),0,IF(OFFSET(PLE!$G$14,$M39,BY$13)="",10^12,OFFSET(PLE!$G$14,$M39,BY$13))))</f>
        <v>1000000000000</v>
      </c>
      <c r="BZ39" s="216">
        <f ca="1">IF($D39&lt;&gt;"Serviço",0,IF(OR(AND(AUTOEVENTO="Manual",$M39=1),$M39&gt;(ROW(PLE.lastrow)-ROW(PLE.firstrow))),0,IF(OFFSET(PLE!$G$14,$M39,BZ$13)="",10^12,OFFSET(PLE!$G$14,$M39,BZ$13))))</f>
        <v>1000000000000</v>
      </c>
      <c r="CA39" s="216">
        <f ca="1">IF($D39&lt;&gt;"Serviço",0,IF(OR(AND(AUTOEVENTO="Manual",$M39=1),$M39&gt;(ROW(PLE.lastrow)-ROW(PLE.firstrow))),0,IF(OFFSET(PLE!$G$14,$M39,CA$13)="",10^12,OFFSET(PLE!$G$14,$M39,CA$13))))</f>
        <v>1000000000000</v>
      </c>
      <c r="CB39" s="216">
        <f ca="1">IF($D39&lt;&gt;"Serviço",0,IF(OR(AND(AUTOEVENTO="Manual",$M39=1),$M39&gt;(ROW(PLE.lastrow)-ROW(PLE.firstrow))),0,IF(OFFSET(PLE!$G$14,$M39,CB$13)="",10^12,OFFSET(PLE!$G$14,$M39,CB$13))))</f>
        <v>1000000000000</v>
      </c>
      <c r="CC39" s="216">
        <f ca="1">IF($D39&lt;&gt;"Serviço",0,IF(OR(AND(AUTOEVENTO="Manual",$M39=1),$M39&gt;(ROW(PLE.lastrow)-ROW(PLE.firstrow))),0,IF(OFFSET(PLE!$G$14,$M39,CC$13)="",10^12,OFFSET(PLE!$G$14,$M39,CC$13))))</f>
        <v>1000000000000</v>
      </c>
      <c r="CD39" s="216">
        <f ca="1">IF($D39&lt;&gt;"Serviço",0,IF(OR(AND(AUTOEVENTO="Manual",$M39=1),$M39&gt;(ROW(PLE.lastrow)-ROW(PLE.firstrow))),0,IF(OFFSET(PLE!$G$14,$M39,CD$13)="",10^12,OFFSET(PLE!$G$14,$M39,CD$13))))</f>
        <v>1000000000000</v>
      </c>
      <c r="CE39" s="216">
        <f ca="1">IF($D39&lt;&gt;"Serviço",0,IF(OR(AND(AUTOEVENTO="Manual",$M39=1),$M39&gt;(ROW(PLE.lastrow)-ROW(PLE.firstrow))),0,IF(OFFSET(PLE!$G$14,$M39,CE$13)="",10^12,OFFSET(PLE!$G$14,$M39,CE$13))))</f>
        <v>1000000000000</v>
      </c>
      <c r="CF39" s="216">
        <f ca="1">IF($D39&lt;&gt;"Serviço",0,IF(OR(AND(AUTOEVENTO="Manual",$M39=1),$M39&gt;(ROW(PLE.lastrow)-ROW(PLE.firstrow))),0,IF(OFFSET(PLE!$G$14,$M39,CF$13)="",10^12,OFFSET(PLE!$G$14,$M39,CF$13))))</f>
        <v>1000000000000</v>
      </c>
      <c r="CG39" s="216">
        <f ca="1">IF($D39&lt;&gt;"Serviço",0,IF(OR(AND(AUTOEVENTO="Manual",$M39=1),$M39&gt;(ROW(PLE.lastrow)-ROW(PLE.firstrow))),0,IF(OFFSET(PLE!$G$14,$M39,CG$13)="",10^12,OFFSET(PLE!$G$14,$M39,CG$13))))</f>
        <v>1000000000000</v>
      </c>
      <c r="CH39" s="216">
        <f ca="1">IF($D39&lt;&gt;"Serviço",0,IF(OR(AND(AUTOEVENTO="Manual",$M39=1),$M39&gt;(ROW(PLE.lastrow)-ROW(PLE.firstrow))),0,IF(OFFSET(PLE!$G$14,$M39,CH$13)="",10^12,OFFSET(PLE!$G$14,$M39,CH$13))))</f>
        <v>1000000000000</v>
      </c>
      <c r="CI39" s="216">
        <f ca="1">IF($D39&lt;&gt;"Serviço",0,IF(OR(AND(AUTOEVENTO="Manual",$M39=1),$M39&gt;(ROW(PLE.lastrow)-ROW(PLE.firstrow))),0,IF(OFFSET(PLE!$G$14,$M39,CI$13)="",10^12,OFFSET(PLE!$G$14,$M39,CI$13))))</f>
        <v>1000000000000</v>
      </c>
      <c r="CJ39" s="216">
        <f ca="1">IF($D39&lt;&gt;"Serviço",0,IF(OR(AND(AUTOEVENTO="Manual",$M39=1),$M39&gt;(ROW(PLE.lastrow)-ROW(PLE.firstrow))),0,IF(OFFSET(PLE!$G$14,$M39,CJ$13)="",10^12,OFFSET(PLE!$G$14,$M39,CJ$13))))</f>
        <v>1000000000000</v>
      </c>
      <c r="CK39" s="216">
        <f ca="1">IF($D39&lt;&gt;"Serviço",0,IF(OR(AND(AUTOEVENTO="Manual",$M39=1),$M39&gt;(ROW(PLE.lastrow)-ROW(PLE.firstrow))),0,IF(OFFSET(PLE!$G$14,$M39,CK$13)="",10^12,OFFSET(PLE!$G$14,$M39,CK$13))))</f>
        <v>1000000000000</v>
      </c>
      <c r="CL39" s="216">
        <f ca="1">IF($D39&lt;&gt;"Serviço",0,IF(OR(AND(AUTOEVENTO="Manual",$M39=1),$M39&gt;(ROW(PLE.lastrow)-ROW(PLE.firstrow))),0,IF(OFFSET(PLE!$G$14,$M39,CL$13)="",10^12,OFFSET(PLE!$G$14,$M39,CL$13))))</f>
        <v>1000000000000</v>
      </c>
      <c r="CM39" s="216">
        <f ca="1">IF($D39&lt;&gt;"Serviço",0,IF(OR(AND(AUTOEVENTO="Manual",$M39=1),$M39&gt;(ROW(PLE.lastrow)-ROW(PLE.firstrow))),0,IF(OFFSET(PLE!$G$14,$M39,CM$13)="",10^12,OFFSET(PLE!$G$14,$M39,CM$13))))</f>
        <v>1000000000000</v>
      </c>
    </row>
    <row r="40" spans="1:91" ht="13.2" x14ac:dyDescent="0.25">
      <c r="A40" s="9">
        <f t="shared" ca="1" si="9"/>
        <v>0</v>
      </c>
      <c r="B40" s="9">
        <f ca="1">OFFSET(ORÇAMENTO!C$15,ROW(B40)-ROW(B$15),0)</f>
        <v>3</v>
      </c>
      <c r="C40" s="9" t="str">
        <f ca="1">OFFSET(ORÇAMENTO!L$15,ROW(C40)-ROW(C$15),0)</f>
        <v>F</v>
      </c>
      <c r="D40" s="145" t="str">
        <f ca="1">OFFSET(ORÇAMENTO!N$15,ROW(D40)-ROW(D$15),0)</f>
        <v>Nível 3</v>
      </c>
      <c r="E40" s="205" t="str">
        <f ca="1">OFFSET(ORÇAMENTO!O$15,ROW(E40)-ROW(E$15),0)</f>
        <v>1.2.4.</v>
      </c>
      <c r="F40" s="206" t="str">
        <f ca="1">OFFSET(ORÇAMENTO!R$15,ROW(F40)-ROW(F$15),0)</f>
        <v>ESTRUTURA METÁLICA</v>
      </c>
      <c r="G40" s="207" t="str">
        <f ca="1">IF($D40&lt;&gt;"Serviço","",OFFSET(ORÇAMENTO!S$15,ROW(G40)-ROW(G$15),0))</f>
        <v/>
      </c>
      <c r="H40" s="151">
        <f ca="1">IF($D40&lt;&gt;"Serviço",0,IF(ACOMPANHAMENTO="BM",ROUND(OFFSET(ORÇAMENTO!AJ$15,ROW(H40)-ROW(H$15),0),15-13*ORÇAMENTO!$AF$7),SUMPRODUCT(($Q$12:$AI$12&lt;&gt;"")*ROUND($Q40:$AI40,15-13*ORÇAMENTO!$AF$7))))</f>
        <v>0</v>
      </c>
      <c r="I40" s="650"/>
      <c r="K40" s="208"/>
      <c r="L40" s="209" t="s">
        <v>257</v>
      </c>
      <c r="M40" s="210" t="str">
        <f ca="1">IF($D40&lt;&gt;"Serviço","",IF(AUTOEVENTO="manual",$A40,IF(ISERROR(MATCH($A40,$A$15:OFFSET($A40,-1,0),0)),MAX($M$15:OFFSET(M40,-1,0))+1,INDEX($M$15:OFFSET(M40,-1,0),MATCH($A40,$A$15:OFFSET($A40,-1,0),0)))))</f>
        <v/>
      </c>
      <c r="N40" s="211" t="str">
        <f ca="1">IF($D40&lt;&gt;"Serviço","",IF(AUTOEVENTO="Manual",IF($A40=0,"&lt;-- defina o número do agrupador",OFFSET(EVENTOS!$D$14,$A40,0)),OFFSET($F$15,$A40,0)))</f>
        <v/>
      </c>
      <c r="O40" s="212"/>
      <c r="Q40" s="212"/>
      <c r="R40" s="213"/>
      <c r="S40" s="213"/>
      <c r="T40" s="213"/>
      <c r="U40" s="213"/>
      <c r="V40" s="213"/>
      <c r="W40" s="213"/>
      <c r="X40" s="213"/>
      <c r="Y40" s="213"/>
      <c r="Z40" s="214"/>
      <c r="AA40" s="213"/>
      <c r="AB40" s="213"/>
      <c r="AC40" s="213"/>
      <c r="AD40" s="213"/>
      <c r="AE40" s="213"/>
      <c r="AF40" s="213"/>
      <c r="AG40" s="213"/>
      <c r="AH40" s="214"/>
      <c r="AJ40" s="631">
        <f ca="1">IF(AND($D40="Serviço",AJ$12&lt;&gt;0,$H40&gt;0,OR(AUTOEVENTO&lt;&gt;"manual",$M40&lt;&gt;1)),ROUND(OFFSET($P40,0,AJ$13),15-13*ORÇAMENTO!$AF$7)/$H40*OFFSET(ORÇAMENTO!$X$15,ROW(AJ40)-ROW(AJ$15),0),0)</f>
        <v>0</v>
      </c>
      <c r="AK40" s="632">
        <f ca="1">IF(AND($D40="Serviço",AK$12&lt;&gt;0,$H40&gt;0,OR(AUTOEVENTO&lt;&gt;"manual",$M40&lt;&gt;1)),ROUND(OFFSET($P40,0,AK$13),15-13*ORÇAMENTO!$AF$7)/$H40*OFFSET(ORÇAMENTO!$X$15,ROW(AK40)-ROW(AK$15),0),0)</f>
        <v>0</v>
      </c>
      <c r="AL40" s="632">
        <f ca="1">IF(AND($D40="Serviço",AL$12&lt;&gt;0,$H40&gt;0,OR(AUTOEVENTO&lt;&gt;"manual",$M40&lt;&gt;1)),ROUND(OFFSET($P40,0,AL$13),15-13*ORÇAMENTO!$AF$7)/$H40*OFFSET(ORÇAMENTO!$X$15,ROW(AL40)-ROW(AL$15),0),0)</f>
        <v>0</v>
      </c>
      <c r="AM40" s="632">
        <f ca="1">IF(AND($D40="Serviço",AM$12&lt;&gt;0,$H40&gt;0,OR(AUTOEVENTO&lt;&gt;"manual",$M40&lt;&gt;1)),ROUND(OFFSET($P40,0,AM$13),15-13*ORÇAMENTO!$AF$7)/$H40*OFFSET(ORÇAMENTO!$X$15,ROW(AM40)-ROW(AM$15),0),0)</f>
        <v>0</v>
      </c>
      <c r="AN40" s="632">
        <f ca="1">IF(AND($D40="Serviço",AN$12&lt;&gt;0,$H40&gt;0,OR(AUTOEVENTO&lt;&gt;"manual",$M40&lt;&gt;1)),ROUND(OFFSET($P40,0,AN$13),15-13*ORÇAMENTO!$AF$7)/$H40*OFFSET(ORÇAMENTO!$X$15,ROW(AN40)-ROW(AN$15),0),0)</f>
        <v>0</v>
      </c>
      <c r="AO40" s="632">
        <f ca="1">IF(AND($D40="Serviço",AO$12&lt;&gt;0,$H40&gt;0,OR(AUTOEVENTO&lt;&gt;"manual",$M40&lt;&gt;1)),ROUND(OFFSET($P40,0,AO$13),15-13*ORÇAMENTO!$AF$7)/$H40*OFFSET(ORÇAMENTO!$X$15,ROW(AO40)-ROW(AO$15),0),0)</f>
        <v>0</v>
      </c>
      <c r="AP40" s="632">
        <f ca="1">IF(AND($D40="Serviço",AP$12&lt;&gt;0,$H40&gt;0,OR(AUTOEVENTO&lt;&gt;"manual",$M40&lt;&gt;1)),ROUND(OFFSET($P40,0,AP$13),15-13*ORÇAMENTO!$AF$7)/$H40*OFFSET(ORÇAMENTO!$X$15,ROW(AP40)-ROW(AP$15),0),0)</f>
        <v>0</v>
      </c>
      <c r="AQ40" s="632">
        <f ca="1">IF(AND($D40="Serviço",AQ$12&lt;&gt;0,$H40&gt;0,OR(AUTOEVENTO&lt;&gt;"manual",$M40&lt;&gt;1)),ROUND(OFFSET($P40,0,AQ$13),15-13*ORÇAMENTO!$AF$7)/$H40*OFFSET(ORÇAMENTO!$X$15,ROW(AQ40)-ROW(AQ$15),0),0)</f>
        <v>0</v>
      </c>
      <c r="AR40" s="632">
        <f ca="1">IF(AND($D40="Serviço",AR$12&lt;&gt;0,$H40&gt;0,OR(AUTOEVENTO&lt;&gt;"manual",$M40&lt;&gt;1)),ROUND(OFFSET($P40,0,AR$13),15-13*ORÇAMENTO!$AF$7)/$H40*OFFSET(ORÇAMENTO!$X$15,ROW(AR40)-ROW(AR$15),0),0)</f>
        <v>0</v>
      </c>
      <c r="AS40" s="633">
        <f ca="1">IF(AND($D40="Serviço",AS$12&lt;&gt;0,$H40&gt;0,OR(AUTOEVENTO&lt;&gt;"manual",$M40&lt;&gt;1)),ROUND(OFFSET($P40,0,AS$13),15-13*ORÇAMENTO!$AF$7)/$H40*OFFSET(ORÇAMENTO!$X$15,ROW(AS40)-ROW(AS$15),0),0)</f>
        <v>0</v>
      </c>
      <c r="AT40" s="632">
        <f ca="1">IF(AND($D40="Serviço",AT$12&lt;&gt;0,$H40&gt;0,OR(AUTOEVENTO&lt;&gt;"manual",$M40&lt;&gt;1)),ROUND(OFFSET($P40,0,AT$13),15-13*ORÇAMENTO!$AF$7)/$H40*OFFSET(ORÇAMENTO!$X$15,ROW(AT40)-ROW(AT$15),0),0)</f>
        <v>0</v>
      </c>
      <c r="AU40" s="632">
        <f ca="1">IF(AND($D40="Serviço",AU$12&lt;&gt;0,$H40&gt;0,OR(AUTOEVENTO&lt;&gt;"manual",$M40&lt;&gt;1)),ROUND(OFFSET($P40,0,AU$13),15-13*ORÇAMENTO!$AF$7)/$H40*OFFSET(ORÇAMENTO!$X$15,ROW(AU40)-ROW(AU$15),0),0)</f>
        <v>0</v>
      </c>
      <c r="AV40" s="632">
        <f ca="1">IF(AND($D40="Serviço",AV$12&lt;&gt;0,$H40&gt;0,OR(AUTOEVENTO&lt;&gt;"manual",$M40&lt;&gt;1)),ROUND(OFFSET($P40,0,AV$13),15-13*ORÇAMENTO!$AF$7)/$H40*OFFSET(ORÇAMENTO!$X$15,ROW(AV40)-ROW(AV$15),0),0)</f>
        <v>0</v>
      </c>
      <c r="AW40" s="632">
        <f ca="1">IF(AND($D40="Serviço",AW$12&lt;&gt;0,$H40&gt;0,OR(AUTOEVENTO&lt;&gt;"manual",$M40&lt;&gt;1)),ROUND(OFFSET($P40,0,AW$13),15-13*ORÇAMENTO!$AF$7)/$H40*OFFSET(ORÇAMENTO!$X$15,ROW(AW40)-ROW(AW$15),0),0)</f>
        <v>0</v>
      </c>
      <c r="AX40" s="632">
        <f ca="1">IF(AND($D40="Serviço",AX$12&lt;&gt;0,$H40&gt;0,OR(AUTOEVENTO&lt;&gt;"manual",$M40&lt;&gt;1)),ROUND(OFFSET($P40,0,AX$13),15-13*ORÇAMENTO!$AF$7)/$H40*OFFSET(ORÇAMENTO!$X$15,ROW(AX40)-ROW(AX$15),0),0)</f>
        <v>0</v>
      </c>
      <c r="AY40" s="632">
        <f ca="1">IF(AND($D40="Serviço",AY$12&lt;&gt;0,$H40&gt;0,OR(AUTOEVENTO&lt;&gt;"manual",$M40&lt;&gt;1)),ROUND(OFFSET($P40,0,AY$13),15-13*ORÇAMENTO!$AF$7)/$H40*OFFSET(ORÇAMENTO!$X$15,ROW(AY40)-ROW(AY$15),0),0)</f>
        <v>0</v>
      </c>
      <c r="AZ40" s="632">
        <f ca="1">IF(AND($D40="Serviço",AZ$12&lt;&gt;0,$H40&gt;0,OR(AUTOEVENTO&lt;&gt;"manual",$M40&lt;&gt;1)),ROUND(OFFSET($P40,0,AZ$13),15-13*ORÇAMENTO!$AF$7)/$H40*OFFSET(ORÇAMENTO!$X$15,ROW(AZ40)-ROW(AZ$15),0),0)</f>
        <v>0</v>
      </c>
      <c r="BA40" s="633">
        <f ca="1">IF(AND($D40="Serviço",BA$12&lt;&gt;0,$H40&gt;0,OR(AUTOEVENTO&lt;&gt;"manual",$M40&lt;&gt;1)),ROUND(OFFSET($P40,0,BA$13),15-13*ORÇAMENTO!$AF$7)/$H40*OFFSET(ORÇAMENTO!$X$15,ROW(BA40)-ROW(BA$15),0),0)</f>
        <v>0</v>
      </c>
      <c r="BC40" s="215">
        <f ca="1">IF($D40&lt;&gt;"Serviço",0,IF(AND(AUTOEVENTO="Manual",$M40=1),0,IF(OFFSET(CRONOPLE!$F$14,$M40,BC$13)="",10^12,OFFSET(CRONOPLE!$F$14,$M40,BC$13))))</f>
        <v>0</v>
      </c>
      <c r="BD40" s="215">
        <f ca="1">IF($D40&lt;&gt;"Serviço",0,IF(AND(AUTOEVENTO="Manual",$M40=1),0,IF(OFFSET(CRONOPLE!$F$14,$M40,BD$13)="",10^12,OFFSET(CRONOPLE!$F$14,$M40,BD$13))))</f>
        <v>0</v>
      </c>
      <c r="BE40" s="215">
        <f ca="1">IF($D40&lt;&gt;"Serviço",0,IF(AND(AUTOEVENTO="Manual",$M40=1),0,IF(OFFSET(CRONOPLE!$F$14,$M40,BE$13)="",10^12,OFFSET(CRONOPLE!$F$14,$M40,BE$13))))</f>
        <v>0</v>
      </c>
      <c r="BF40" s="215">
        <f ca="1">IF($D40&lt;&gt;"Serviço",0,IF(AND(AUTOEVENTO="Manual",$M40=1),0,IF(OFFSET(CRONOPLE!$F$14,$M40,BF$13)="",10^12,OFFSET(CRONOPLE!$F$14,$M40,BF$13))))</f>
        <v>0</v>
      </c>
      <c r="BG40" s="215">
        <f ca="1">IF($D40&lt;&gt;"Serviço",0,IF(AND(AUTOEVENTO="Manual",$M40=1),0,IF(OFFSET(CRONOPLE!$F$14,$M40,BG$13)="",10^12,OFFSET(CRONOPLE!$F$14,$M40,BG$13))))</f>
        <v>0</v>
      </c>
      <c r="BH40" s="215">
        <f ca="1">IF($D40&lt;&gt;"Serviço",0,IF(AND(AUTOEVENTO="Manual",$M40=1),0,IF(OFFSET(CRONOPLE!$F$14,$M40,BH$13)="",10^12,OFFSET(CRONOPLE!$F$14,$M40,BH$13))))</f>
        <v>0</v>
      </c>
      <c r="BI40" s="215">
        <f ca="1">IF($D40&lt;&gt;"Serviço",0,IF(AND(AUTOEVENTO="Manual",$M40=1),0,IF(OFFSET(CRONOPLE!$F$14,$M40,BI$13)="",10^12,OFFSET(CRONOPLE!$F$14,$M40,BI$13))))</f>
        <v>0</v>
      </c>
      <c r="BJ40" s="215">
        <f ca="1">IF($D40&lt;&gt;"Serviço",0,IF(AND(AUTOEVENTO="Manual",$M40=1),0,IF(OFFSET(CRONOPLE!$F$14,$M40,BJ$13)="",10^12,OFFSET(CRONOPLE!$F$14,$M40,BJ$13))))</f>
        <v>0</v>
      </c>
      <c r="BK40" s="215">
        <f ca="1">IF($D40&lt;&gt;"Serviço",0,IF(AND(AUTOEVENTO="Manual",$M40=1),0,IF(OFFSET(CRONOPLE!$F$14,$M40,BK$13)="",10^12,OFFSET(CRONOPLE!$F$14,$M40,BK$13))))</f>
        <v>0</v>
      </c>
      <c r="BL40" s="215">
        <f ca="1">IF($D40&lt;&gt;"Serviço",0,IF(AND(AUTOEVENTO="Manual",$M40=1),0,IF(OFFSET(CRONOPLE!$F$14,$M40,BL$13)="",10^12,OFFSET(CRONOPLE!$F$14,$M40,BL$13))))</f>
        <v>0</v>
      </c>
      <c r="BM40" s="215">
        <f ca="1">IF($D40&lt;&gt;"Serviço",0,IF(AND(AUTOEVENTO="Manual",$M40=1),0,IF(OFFSET(CRONOPLE!$F$14,$M40,BM$13)="",10^12,OFFSET(CRONOPLE!$F$14,$M40,BM$13))))</f>
        <v>0</v>
      </c>
      <c r="BN40" s="215">
        <f ca="1">IF($D40&lt;&gt;"Serviço",0,IF(AND(AUTOEVENTO="Manual",$M40=1),0,IF(OFFSET(CRONOPLE!$F$14,$M40,BN$13)="",10^12,OFFSET(CRONOPLE!$F$14,$M40,BN$13))))</f>
        <v>0</v>
      </c>
      <c r="BO40" s="215">
        <f ca="1">IF($D40&lt;&gt;"Serviço",0,IF(AND(AUTOEVENTO="Manual",$M40=1),0,IF(OFFSET(CRONOPLE!$F$14,$M40,BO$13)="",10^12,OFFSET(CRONOPLE!$F$14,$M40,BO$13))))</f>
        <v>0</v>
      </c>
      <c r="BP40" s="215">
        <f ca="1">IF($D40&lt;&gt;"Serviço",0,IF(AND(AUTOEVENTO="Manual",$M40=1),0,IF(OFFSET(CRONOPLE!$F$14,$M40,BP$13)="",10^12,OFFSET(CRONOPLE!$F$14,$M40,BP$13))))</f>
        <v>0</v>
      </c>
      <c r="BQ40" s="215">
        <f ca="1">IF($D40&lt;&gt;"Serviço",0,IF(AND(AUTOEVENTO="Manual",$M40=1),0,IF(OFFSET(CRONOPLE!$F$14,$M40,BQ$13)="",10^12,OFFSET(CRONOPLE!$F$14,$M40,BQ$13))))</f>
        <v>0</v>
      </c>
      <c r="BR40" s="215">
        <f ca="1">IF($D40&lt;&gt;"Serviço",0,IF(AND(AUTOEVENTO="Manual",$M40=1),0,IF(OFFSET(CRONOPLE!$F$14,$M40,BR$13)="",10^12,OFFSET(CRONOPLE!$F$14,$M40,BR$13))))</f>
        <v>0</v>
      </c>
      <c r="BS40" s="215">
        <f ca="1">IF($D40&lt;&gt;"Serviço",0,IF(AND(AUTOEVENTO="Manual",$M40=1),0,IF(OFFSET(CRONOPLE!$F$14,$M40,BS$13)="",10^12,OFFSET(CRONOPLE!$F$14,$M40,BS$13))))</f>
        <v>0</v>
      </c>
      <c r="BT40" s="215">
        <f ca="1">IF($D40&lt;&gt;"Serviço",0,IF(AND(AUTOEVENTO="Manual",$M40=1),0,IF(OFFSET(CRONOPLE!$F$14,$M40,BT$13)="",10^12,OFFSET(CRONOPLE!$F$14,$M40,BT$13))))</f>
        <v>0</v>
      </c>
      <c r="BV40" s="216">
        <f ca="1">IF($D40&lt;&gt;"Serviço",0,IF(OR(AND(AUTOEVENTO="Manual",$M40=1),$M40&gt;(ROW(PLE.lastrow)-ROW(PLE.firstrow))),0,IF(OFFSET(PLE!$G$14,$M40,BV$13)="",10^12,OFFSET(PLE!$G$14,$M40,BV$13))))</f>
        <v>0</v>
      </c>
      <c r="BW40" s="216">
        <f ca="1">IF($D40&lt;&gt;"Serviço",0,IF(OR(AND(AUTOEVENTO="Manual",$M40=1),$M40&gt;(ROW(PLE.lastrow)-ROW(PLE.firstrow))),0,IF(OFFSET(PLE!$G$14,$M40,BW$13)="",10^12,OFFSET(PLE!$G$14,$M40,BW$13))))</f>
        <v>0</v>
      </c>
      <c r="BX40" s="216">
        <f ca="1">IF($D40&lt;&gt;"Serviço",0,IF(OR(AND(AUTOEVENTO="Manual",$M40=1),$M40&gt;(ROW(PLE.lastrow)-ROW(PLE.firstrow))),0,IF(OFFSET(PLE!$G$14,$M40,BX$13)="",10^12,OFFSET(PLE!$G$14,$M40,BX$13))))</f>
        <v>0</v>
      </c>
      <c r="BY40" s="216">
        <f ca="1">IF($D40&lt;&gt;"Serviço",0,IF(OR(AND(AUTOEVENTO="Manual",$M40=1),$M40&gt;(ROW(PLE.lastrow)-ROW(PLE.firstrow))),0,IF(OFFSET(PLE!$G$14,$M40,BY$13)="",10^12,OFFSET(PLE!$G$14,$M40,BY$13))))</f>
        <v>0</v>
      </c>
      <c r="BZ40" s="216">
        <f ca="1">IF($D40&lt;&gt;"Serviço",0,IF(OR(AND(AUTOEVENTO="Manual",$M40=1),$M40&gt;(ROW(PLE.lastrow)-ROW(PLE.firstrow))),0,IF(OFFSET(PLE!$G$14,$M40,BZ$13)="",10^12,OFFSET(PLE!$G$14,$M40,BZ$13))))</f>
        <v>0</v>
      </c>
      <c r="CA40" s="216">
        <f ca="1">IF($D40&lt;&gt;"Serviço",0,IF(OR(AND(AUTOEVENTO="Manual",$M40=1),$M40&gt;(ROW(PLE.lastrow)-ROW(PLE.firstrow))),0,IF(OFFSET(PLE!$G$14,$M40,CA$13)="",10^12,OFFSET(PLE!$G$14,$M40,CA$13))))</f>
        <v>0</v>
      </c>
      <c r="CB40" s="216">
        <f ca="1">IF($D40&lt;&gt;"Serviço",0,IF(OR(AND(AUTOEVENTO="Manual",$M40=1),$M40&gt;(ROW(PLE.lastrow)-ROW(PLE.firstrow))),0,IF(OFFSET(PLE!$G$14,$M40,CB$13)="",10^12,OFFSET(PLE!$G$14,$M40,CB$13))))</f>
        <v>0</v>
      </c>
      <c r="CC40" s="216">
        <f ca="1">IF($D40&lt;&gt;"Serviço",0,IF(OR(AND(AUTOEVENTO="Manual",$M40=1),$M40&gt;(ROW(PLE.lastrow)-ROW(PLE.firstrow))),0,IF(OFFSET(PLE!$G$14,$M40,CC$13)="",10^12,OFFSET(PLE!$G$14,$M40,CC$13))))</f>
        <v>0</v>
      </c>
      <c r="CD40" s="216">
        <f ca="1">IF($D40&lt;&gt;"Serviço",0,IF(OR(AND(AUTOEVENTO="Manual",$M40=1),$M40&gt;(ROW(PLE.lastrow)-ROW(PLE.firstrow))),0,IF(OFFSET(PLE!$G$14,$M40,CD$13)="",10^12,OFFSET(PLE!$G$14,$M40,CD$13))))</f>
        <v>0</v>
      </c>
      <c r="CE40" s="216">
        <f ca="1">IF($D40&lt;&gt;"Serviço",0,IF(OR(AND(AUTOEVENTO="Manual",$M40=1),$M40&gt;(ROW(PLE.lastrow)-ROW(PLE.firstrow))),0,IF(OFFSET(PLE!$G$14,$M40,CE$13)="",10^12,OFFSET(PLE!$G$14,$M40,CE$13))))</f>
        <v>0</v>
      </c>
      <c r="CF40" s="216">
        <f ca="1">IF($D40&lt;&gt;"Serviço",0,IF(OR(AND(AUTOEVENTO="Manual",$M40=1),$M40&gt;(ROW(PLE.lastrow)-ROW(PLE.firstrow))),0,IF(OFFSET(PLE!$G$14,$M40,CF$13)="",10^12,OFFSET(PLE!$G$14,$M40,CF$13))))</f>
        <v>0</v>
      </c>
      <c r="CG40" s="216">
        <f ca="1">IF($D40&lt;&gt;"Serviço",0,IF(OR(AND(AUTOEVENTO="Manual",$M40=1),$M40&gt;(ROW(PLE.lastrow)-ROW(PLE.firstrow))),0,IF(OFFSET(PLE!$G$14,$M40,CG$13)="",10^12,OFFSET(PLE!$G$14,$M40,CG$13))))</f>
        <v>0</v>
      </c>
      <c r="CH40" s="216">
        <f ca="1">IF($D40&lt;&gt;"Serviço",0,IF(OR(AND(AUTOEVENTO="Manual",$M40=1),$M40&gt;(ROW(PLE.lastrow)-ROW(PLE.firstrow))),0,IF(OFFSET(PLE!$G$14,$M40,CH$13)="",10^12,OFFSET(PLE!$G$14,$M40,CH$13))))</f>
        <v>0</v>
      </c>
      <c r="CI40" s="216">
        <f ca="1">IF($D40&lt;&gt;"Serviço",0,IF(OR(AND(AUTOEVENTO="Manual",$M40=1),$M40&gt;(ROW(PLE.lastrow)-ROW(PLE.firstrow))),0,IF(OFFSET(PLE!$G$14,$M40,CI$13)="",10^12,OFFSET(PLE!$G$14,$M40,CI$13))))</f>
        <v>0</v>
      </c>
      <c r="CJ40" s="216">
        <f ca="1">IF($D40&lt;&gt;"Serviço",0,IF(OR(AND(AUTOEVENTO="Manual",$M40=1),$M40&gt;(ROW(PLE.lastrow)-ROW(PLE.firstrow))),0,IF(OFFSET(PLE!$G$14,$M40,CJ$13)="",10^12,OFFSET(PLE!$G$14,$M40,CJ$13))))</f>
        <v>0</v>
      </c>
      <c r="CK40" s="216">
        <f ca="1">IF($D40&lt;&gt;"Serviço",0,IF(OR(AND(AUTOEVENTO="Manual",$M40=1),$M40&gt;(ROW(PLE.lastrow)-ROW(PLE.firstrow))),0,IF(OFFSET(PLE!$G$14,$M40,CK$13)="",10^12,OFFSET(PLE!$G$14,$M40,CK$13))))</f>
        <v>0</v>
      </c>
      <c r="CL40" s="216">
        <f ca="1">IF($D40&lt;&gt;"Serviço",0,IF(OR(AND(AUTOEVENTO="Manual",$M40=1),$M40&gt;(ROW(PLE.lastrow)-ROW(PLE.firstrow))),0,IF(OFFSET(PLE!$G$14,$M40,CL$13)="",10^12,OFFSET(PLE!$G$14,$M40,CL$13))))</f>
        <v>0</v>
      </c>
      <c r="CM40" s="216">
        <f ca="1">IF($D40&lt;&gt;"Serviço",0,IF(OR(AND(AUTOEVENTO="Manual",$M40=1),$M40&gt;(ROW(PLE.lastrow)-ROW(PLE.firstrow))),0,IF(OFFSET(PLE!$G$14,$M40,CM$13)="",10^12,OFFSET(PLE!$G$14,$M40,CM$13))))</f>
        <v>0</v>
      </c>
    </row>
    <row r="41" spans="1:91" ht="13.2" x14ac:dyDescent="0.25">
      <c r="A41" s="9">
        <f t="shared" ca="1" si="9"/>
        <v>0</v>
      </c>
      <c r="B41" s="9" t="str">
        <f ca="1">OFFSET(ORÇAMENTO!C$15,ROW(B41)-ROW(B$15),0)</f>
        <v>S</v>
      </c>
      <c r="C41" s="9" t="str">
        <f ca="1">OFFSET(ORÇAMENTO!L$15,ROW(C41)-ROW(C$15),0)</f>
        <v/>
      </c>
      <c r="D41" s="145" t="str">
        <f ca="1">OFFSET(ORÇAMENTO!N$15,ROW(D41)-ROW(D$15),0)</f>
        <v>Serviço</v>
      </c>
      <c r="E41" s="205" t="str">
        <f ca="1">OFFSET(ORÇAMENTO!O$15,ROW(E41)-ROW(E$15),0)</f>
        <v>-</v>
      </c>
      <c r="F41" s="206" t="str">
        <f ca="1">OFFSET(ORÇAMENTO!R$15,ROW(F41)-ROW(F$15),0)</f>
        <v>(abra o arquivo 'Referência 05-2024.xls)</v>
      </c>
      <c r="G41" s="207" t="str">
        <f ca="1">IF($D41&lt;&gt;"Serviço","",OFFSET(ORÇAMENTO!S$15,ROW(G41)-ROW(G$15),0))</f>
        <v>-</v>
      </c>
      <c r="H41" s="151">
        <f ca="1">IF($D41&lt;&gt;"Serviço",0,IF(ACOMPANHAMENTO="BM",ROUND(OFFSET(ORÇAMENTO!AJ$15,ROW(H41)-ROW(H$15),0),15-13*ORÇAMENTO!$AF$7),SUMPRODUCT(($Q$12:$AI$12&lt;&gt;"")*ROUND($Q41:$AI41,15-13*ORÇAMENTO!$AF$7))))</f>
        <v>56.03</v>
      </c>
      <c r="I41" s="650"/>
      <c r="K41" s="208"/>
      <c r="L41" s="209" t="s">
        <v>257</v>
      </c>
      <c r="M41" s="210">
        <f ca="1">IF($D41&lt;&gt;"Serviço","",IF(AUTOEVENTO="manual",$A41,IF(ISERROR(MATCH($A41,$A$15:OFFSET($A41,-1,0),0)),MAX($M$15:OFFSET(M41,-1,0))+1,INDEX($M$15:OFFSET(M41,-1,0),MATCH($A41,$A$15:OFFSET($A41,-1,0),0)))))</f>
        <v>0</v>
      </c>
      <c r="N41" s="211" t="str">
        <f ca="1">IF($D41&lt;&gt;"Serviço","",IF(AUTOEVENTO="Manual",IF($A41=0,"&lt;-- defina o número do agrupador",OFFSET(EVENTOS!$D$14,$A41,0)),OFFSET($F$15,$A41,0)))</f>
        <v>&lt;-- defina o número do agrupador</v>
      </c>
      <c r="O41" s="212"/>
      <c r="Q41" s="212"/>
      <c r="R41" s="213"/>
      <c r="S41" s="213"/>
      <c r="T41" s="213"/>
      <c r="U41" s="213"/>
      <c r="V41" s="213"/>
      <c r="W41" s="213"/>
      <c r="X41" s="213"/>
      <c r="Y41" s="213"/>
      <c r="Z41" s="214"/>
      <c r="AA41" s="213"/>
      <c r="AB41" s="213"/>
      <c r="AC41" s="213"/>
      <c r="AD41" s="213"/>
      <c r="AE41" s="213"/>
      <c r="AF41" s="213"/>
      <c r="AG41" s="213"/>
      <c r="AH41" s="214"/>
      <c r="AJ41" s="631">
        <f ca="1">IF(AND($D41="Serviço",AJ$12&lt;&gt;0,$H41&gt;0,OR(AUTOEVENTO&lt;&gt;"manual",$M41&lt;&gt;1)),ROUND(OFFSET($P41,0,AJ$13),15-13*ORÇAMENTO!$AF$7)/$H41*OFFSET(ORÇAMENTO!$X$15,ROW(AJ41)-ROW(AJ$15),0),0)</f>
        <v>0</v>
      </c>
      <c r="AK41" s="632">
        <f ca="1">IF(AND($D41="Serviço",AK$12&lt;&gt;0,$H41&gt;0,OR(AUTOEVENTO&lt;&gt;"manual",$M41&lt;&gt;1)),ROUND(OFFSET($P41,0,AK$13),15-13*ORÇAMENTO!$AF$7)/$H41*OFFSET(ORÇAMENTO!$X$15,ROW(AK41)-ROW(AK$15),0),0)</f>
        <v>0</v>
      </c>
      <c r="AL41" s="632">
        <f ca="1">IF(AND($D41="Serviço",AL$12&lt;&gt;0,$H41&gt;0,OR(AUTOEVENTO&lt;&gt;"manual",$M41&lt;&gt;1)),ROUND(OFFSET($P41,0,AL$13),15-13*ORÇAMENTO!$AF$7)/$H41*OFFSET(ORÇAMENTO!$X$15,ROW(AL41)-ROW(AL$15),0),0)</f>
        <v>0</v>
      </c>
      <c r="AM41" s="632">
        <f ca="1">IF(AND($D41="Serviço",AM$12&lt;&gt;0,$H41&gt;0,OR(AUTOEVENTO&lt;&gt;"manual",$M41&lt;&gt;1)),ROUND(OFFSET($P41,0,AM$13),15-13*ORÇAMENTO!$AF$7)/$H41*OFFSET(ORÇAMENTO!$X$15,ROW(AM41)-ROW(AM$15),0),0)</f>
        <v>0</v>
      </c>
      <c r="AN41" s="632">
        <f ca="1">IF(AND($D41="Serviço",AN$12&lt;&gt;0,$H41&gt;0,OR(AUTOEVENTO&lt;&gt;"manual",$M41&lt;&gt;1)),ROUND(OFFSET($P41,0,AN$13),15-13*ORÇAMENTO!$AF$7)/$H41*OFFSET(ORÇAMENTO!$X$15,ROW(AN41)-ROW(AN$15),0),0)</f>
        <v>0</v>
      </c>
      <c r="AO41" s="632">
        <f ca="1">IF(AND($D41="Serviço",AO$12&lt;&gt;0,$H41&gt;0,OR(AUTOEVENTO&lt;&gt;"manual",$M41&lt;&gt;1)),ROUND(OFFSET($P41,0,AO$13),15-13*ORÇAMENTO!$AF$7)/$H41*OFFSET(ORÇAMENTO!$X$15,ROW(AO41)-ROW(AO$15),0),0)</f>
        <v>0</v>
      </c>
      <c r="AP41" s="632">
        <f ca="1">IF(AND($D41="Serviço",AP$12&lt;&gt;0,$H41&gt;0,OR(AUTOEVENTO&lt;&gt;"manual",$M41&lt;&gt;1)),ROUND(OFFSET($P41,0,AP$13),15-13*ORÇAMENTO!$AF$7)/$H41*OFFSET(ORÇAMENTO!$X$15,ROW(AP41)-ROW(AP$15),0),0)</f>
        <v>0</v>
      </c>
      <c r="AQ41" s="632">
        <f ca="1">IF(AND($D41="Serviço",AQ$12&lt;&gt;0,$H41&gt;0,OR(AUTOEVENTO&lt;&gt;"manual",$M41&lt;&gt;1)),ROUND(OFFSET($P41,0,AQ$13),15-13*ORÇAMENTO!$AF$7)/$H41*OFFSET(ORÇAMENTO!$X$15,ROW(AQ41)-ROW(AQ$15),0),0)</f>
        <v>0</v>
      </c>
      <c r="AR41" s="632">
        <f ca="1">IF(AND($D41="Serviço",AR$12&lt;&gt;0,$H41&gt;0,OR(AUTOEVENTO&lt;&gt;"manual",$M41&lt;&gt;1)),ROUND(OFFSET($P41,0,AR$13),15-13*ORÇAMENTO!$AF$7)/$H41*OFFSET(ORÇAMENTO!$X$15,ROW(AR41)-ROW(AR$15),0),0)</f>
        <v>0</v>
      </c>
      <c r="AS41" s="633">
        <f ca="1">IF(AND($D41="Serviço",AS$12&lt;&gt;0,$H41&gt;0,OR(AUTOEVENTO&lt;&gt;"manual",$M41&lt;&gt;1)),ROUND(OFFSET($P41,0,AS$13),15-13*ORÇAMENTO!$AF$7)/$H41*OFFSET(ORÇAMENTO!$X$15,ROW(AS41)-ROW(AS$15),0),0)</f>
        <v>0</v>
      </c>
      <c r="AT41" s="632">
        <f ca="1">IF(AND($D41="Serviço",AT$12&lt;&gt;0,$H41&gt;0,OR(AUTOEVENTO&lt;&gt;"manual",$M41&lt;&gt;1)),ROUND(OFFSET($P41,0,AT$13),15-13*ORÇAMENTO!$AF$7)/$H41*OFFSET(ORÇAMENTO!$X$15,ROW(AT41)-ROW(AT$15),0),0)</f>
        <v>0</v>
      </c>
      <c r="AU41" s="632">
        <f ca="1">IF(AND($D41="Serviço",AU$12&lt;&gt;0,$H41&gt;0,OR(AUTOEVENTO&lt;&gt;"manual",$M41&lt;&gt;1)),ROUND(OFFSET($P41,0,AU$13),15-13*ORÇAMENTO!$AF$7)/$H41*OFFSET(ORÇAMENTO!$X$15,ROW(AU41)-ROW(AU$15),0),0)</f>
        <v>0</v>
      </c>
      <c r="AV41" s="632">
        <f ca="1">IF(AND($D41="Serviço",AV$12&lt;&gt;0,$H41&gt;0,OR(AUTOEVENTO&lt;&gt;"manual",$M41&lt;&gt;1)),ROUND(OFFSET($P41,0,AV$13),15-13*ORÇAMENTO!$AF$7)/$H41*OFFSET(ORÇAMENTO!$X$15,ROW(AV41)-ROW(AV$15),0),0)</f>
        <v>0</v>
      </c>
      <c r="AW41" s="632">
        <f ca="1">IF(AND($D41="Serviço",AW$12&lt;&gt;0,$H41&gt;0,OR(AUTOEVENTO&lt;&gt;"manual",$M41&lt;&gt;1)),ROUND(OFFSET($P41,0,AW$13),15-13*ORÇAMENTO!$AF$7)/$H41*OFFSET(ORÇAMENTO!$X$15,ROW(AW41)-ROW(AW$15),0),0)</f>
        <v>0</v>
      </c>
      <c r="AX41" s="632">
        <f ca="1">IF(AND($D41="Serviço",AX$12&lt;&gt;0,$H41&gt;0,OR(AUTOEVENTO&lt;&gt;"manual",$M41&lt;&gt;1)),ROUND(OFFSET($P41,0,AX$13),15-13*ORÇAMENTO!$AF$7)/$H41*OFFSET(ORÇAMENTO!$X$15,ROW(AX41)-ROW(AX$15),0),0)</f>
        <v>0</v>
      </c>
      <c r="AY41" s="632">
        <f ca="1">IF(AND($D41="Serviço",AY$12&lt;&gt;0,$H41&gt;0,OR(AUTOEVENTO&lt;&gt;"manual",$M41&lt;&gt;1)),ROUND(OFFSET($P41,0,AY$13),15-13*ORÇAMENTO!$AF$7)/$H41*OFFSET(ORÇAMENTO!$X$15,ROW(AY41)-ROW(AY$15),0),0)</f>
        <v>0</v>
      </c>
      <c r="AZ41" s="632">
        <f ca="1">IF(AND($D41="Serviço",AZ$12&lt;&gt;0,$H41&gt;0,OR(AUTOEVENTO&lt;&gt;"manual",$M41&lt;&gt;1)),ROUND(OFFSET($P41,0,AZ$13),15-13*ORÇAMENTO!$AF$7)/$H41*OFFSET(ORÇAMENTO!$X$15,ROW(AZ41)-ROW(AZ$15),0),0)</f>
        <v>0</v>
      </c>
      <c r="BA41" s="633">
        <f ca="1">IF(AND($D41="Serviço",BA$12&lt;&gt;0,$H41&gt;0,OR(AUTOEVENTO&lt;&gt;"manual",$M41&lt;&gt;1)),ROUND(OFFSET($P41,0,BA$13),15-13*ORÇAMENTO!$AF$7)/$H41*OFFSET(ORÇAMENTO!$X$15,ROW(BA41)-ROW(BA$15),0),0)</f>
        <v>0</v>
      </c>
      <c r="BC41" s="215">
        <f ca="1">IF($D41&lt;&gt;"Serviço",0,IF(AND(AUTOEVENTO="Manual",$M41=1),0,IF(OFFSET(CRONOPLE!$F$14,$M41,BC$13)="",10^12,OFFSET(CRONOPLE!$F$14,$M41,BC$13))))</f>
        <v>1000000000000</v>
      </c>
      <c r="BD41" s="215">
        <f ca="1">IF($D41&lt;&gt;"Serviço",0,IF(AND(AUTOEVENTO="Manual",$M41=1),0,IF(OFFSET(CRONOPLE!$F$14,$M41,BD$13)="",10^12,OFFSET(CRONOPLE!$F$14,$M41,BD$13))))</f>
        <v>1000000000000</v>
      </c>
      <c r="BE41" s="215">
        <f ca="1">IF($D41&lt;&gt;"Serviço",0,IF(AND(AUTOEVENTO="Manual",$M41=1),0,IF(OFFSET(CRONOPLE!$F$14,$M41,BE$13)="",10^12,OFFSET(CRONOPLE!$F$14,$M41,BE$13))))</f>
        <v>1000000000000</v>
      </c>
      <c r="BF41" s="215">
        <f ca="1">IF($D41&lt;&gt;"Serviço",0,IF(AND(AUTOEVENTO="Manual",$M41=1),0,IF(OFFSET(CRONOPLE!$F$14,$M41,BF$13)="",10^12,OFFSET(CRONOPLE!$F$14,$M41,BF$13))))</f>
        <v>1000000000000</v>
      </c>
      <c r="BG41" s="215">
        <f ca="1">IF($D41&lt;&gt;"Serviço",0,IF(AND(AUTOEVENTO="Manual",$M41=1),0,IF(OFFSET(CRONOPLE!$F$14,$M41,BG$13)="",10^12,OFFSET(CRONOPLE!$F$14,$M41,BG$13))))</f>
        <v>1000000000000</v>
      </c>
      <c r="BH41" s="215">
        <f ca="1">IF($D41&lt;&gt;"Serviço",0,IF(AND(AUTOEVENTO="Manual",$M41=1),0,IF(OFFSET(CRONOPLE!$F$14,$M41,BH$13)="",10^12,OFFSET(CRONOPLE!$F$14,$M41,BH$13))))</f>
        <v>1000000000000</v>
      </c>
      <c r="BI41" s="215">
        <f ca="1">IF($D41&lt;&gt;"Serviço",0,IF(AND(AUTOEVENTO="Manual",$M41=1),0,IF(OFFSET(CRONOPLE!$F$14,$M41,BI$13)="",10^12,OFFSET(CRONOPLE!$F$14,$M41,BI$13))))</f>
        <v>1000000000000</v>
      </c>
      <c r="BJ41" s="215">
        <f ca="1">IF($D41&lt;&gt;"Serviço",0,IF(AND(AUTOEVENTO="Manual",$M41=1),0,IF(OFFSET(CRONOPLE!$F$14,$M41,BJ$13)="",10^12,OFFSET(CRONOPLE!$F$14,$M41,BJ$13))))</f>
        <v>1000000000000</v>
      </c>
      <c r="BK41" s="215">
        <f ca="1">IF($D41&lt;&gt;"Serviço",0,IF(AND(AUTOEVENTO="Manual",$M41=1),0,IF(OFFSET(CRONOPLE!$F$14,$M41,BK$13)="",10^12,OFFSET(CRONOPLE!$F$14,$M41,BK$13))))</f>
        <v>1000000000000</v>
      </c>
      <c r="BL41" s="215">
        <f ca="1">IF($D41&lt;&gt;"Serviço",0,IF(AND(AUTOEVENTO="Manual",$M41=1),0,IF(OFFSET(CRONOPLE!$F$14,$M41,BL$13)="",10^12,OFFSET(CRONOPLE!$F$14,$M41,BL$13))))</f>
        <v>1000000000000</v>
      </c>
      <c r="BM41" s="215">
        <f ca="1">IF($D41&lt;&gt;"Serviço",0,IF(AND(AUTOEVENTO="Manual",$M41=1),0,IF(OFFSET(CRONOPLE!$F$14,$M41,BM$13)="",10^12,OFFSET(CRONOPLE!$F$14,$M41,BM$13))))</f>
        <v>1000000000000</v>
      </c>
      <c r="BN41" s="215">
        <f ca="1">IF($D41&lt;&gt;"Serviço",0,IF(AND(AUTOEVENTO="Manual",$M41=1),0,IF(OFFSET(CRONOPLE!$F$14,$M41,BN$13)="",10^12,OFFSET(CRONOPLE!$F$14,$M41,BN$13))))</f>
        <v>1000000000000</v>
      </c>
      <c r="BO41" s="215">
        <f ca="1">IF($D41&lt;&gt;"Serviço",0,IF(AND(AUTOEVENTO="Manual",$M41=1),0,IF(OFFSET(CRONOPLE!$F$14,$M41,BO$13)="",10^12,OFFSET(CRONOPLE!$F$14,$M41,BO$13))))</f>
        <v>1000000000000</v>
      </c>
      <c r="BP41" s="215">
        <f ca="1">IF($D41&lt;&gt;"Serviço",0,IF(AND(AUTOEVENTO="Manual",$M41=1),0,IF(OFFSET(CRONOPLE!$F$14,$M41,BP$13)="",10^12,OFFSET(CRONOPLE!$F$14,$M41,BP$13))))</f>
        <v>1000000000000</v>
      </c>
      <c r="BQ41" s="215">
        <f ca="1">IF($D41&lt;&gt;"Serviço",0,IF(AND(AUTOEVENTO="Manual",$M41=1),0,IF(OFFSET(CRONOPLE!$F$14,$M41,BQ$13)="",10^12,OFFSET(CRONOPLE!$F$14,$M41,BQ$13))))</f>
        <v>1000000000000</v>
      </c>
      <c r="BR41" s="215">
        <f ca="1">IF($D41&lt;&gt;"Serviço",0,IF(AND(AUTOEVENTO="Manual",$M41=1),0,IF(OFFSET(CRONOPLE!$F$14,$M41,BR$13)="",10^12,OFFSET(CRONOPLE!$F$14,$M41,BR$13))))</f>
        <v>1000000000000</v>
      </c>
      <c r="BS41" s="215">
        <f ca="1">IF($D41&lt;&gt;"Serviço",0,IF(AND(AUTOEVENTO="Manual",$M41=1),0,IF(OFFSET(CRONOPLE!$F$14,$M41,BS$13)="",10^12,OFFSET(CRONOPLE!$F$14,$M41,BS$13))))</f>
        <v>1000000000000</v>
      </c>
      <c r="BT41" s="215">
        <f ca="1">IF($D41&lt;&gt;"Serviço",0,IF(AND(AUTOEVENTO="Manual",$M41=1),0,IF(OFFSET(CRONOPLE!$F$14,$M41,BT$13)="",10^12,OFFSET(CRONOPLE!$F$14,$M41,BT$13))))</f>
        <v>1000000000000</v>
      </c>
      <c r="BV41" s="216">
        <f ca="1">IF($D41&lt;&gt;"Serviço",0,IF(OR(AND(AUTOEVENTO="Manual",$M41=1),$M41&gt;(ROW(PLE.lastrow)-ROW(PLE.firstrow))),0,IF(OFFSET(PLE!$G$14,$M41,BV$13)="",10^12,OFFSET(PLE!$G$14,$M41,BV$13))))</f>
        <v>1000000000000</v>
      </c>
      <c r="BW41" s="216">
        <f ca="1">IF($D41&lt;&gt;"Serviço",0,IF(OR(AND(AUTOEVENTO="Manual",$M41=1),$M41&gt;(ROW(PLE.lastrow)-ROW(PLE.firstrow))),0,IF(OFFSET(PLE!$G$14,$M41,BW$13)="",10^12,OFFSET(PLE!$G$14,$M41,BW$13))))</f>
        <v>1000000000000</v>
      </c>
      <c r="BX41" s="216">
        <f ca="1">IF($D41&lt;&gt;"Serviço",0,IF(OR(AND(AUTOEVENTO="Manual",$M41=1),$M41&gt;(ROW(PLE.lastrow)-ROW(PLE.firstrow))),0,IF(OFFSET(PLE!$G$14,$M41,BX$13)="",10^12,OFFSET(PLE!$G$14,$M41,BX$13))))</f>
        <v>1000000000000</v>
      </c>
      <c r="BY41" s="216">
        <f ca="1">IF($D41&lt;&gt;"Serviço",0,IF(OR(AND(AUTOEVENTO="Manual",$M41=1),$M41&gt;(ROW(PLE.lastrow)-ROW(PLE.firstrow))),0,IF(OFFSET(PLE!$G$14,$M41,BY$13)="",10^12,OFFSET(PLE!$G$14,$M41,BY$13))))</f>
        <v>1000000000000</v>
      </c>
      <c r="BZ41" s="216">
        <f ca="1">IF($D41&lt;&gt;"Serviço",0,IF(OR(AND(AUTOEVENTO="Manual",$M41=1),$M41&gt;(ROW(PLE.lastrow)-ROW(PLE.firstrow))),0,IF(OFFSET(PLE!$G$14,$M41,BZ$13)="",10^12,OFFSET(PLE!$G$14,$M41,BZ$13))))</f>
        <v>1000000000000</v>
      </c>
      <c r="CA41" s="216">
        <f ca="1">IF($D41&lt;&gt;"Serviço",0,IF(OR(AND(AUTOEVENTO="Manual",$M41=1),$M41&gt;(ROW(PLE.lastrow)-ROW(PLE.firstrow))),0,IF(OFFSET(PLE!$G$14,$M41,CA$13)="",10^12,OFFSET(PLE!$G$14,$M41,CA$13))))</f>
        <v>1000000000000</v>
      </c>
      <c r="CB41" s="216">
        <f ca="1">IF($D41&lt;&gt;"Serviço",0,IF(OR(AND(AUTOEVENTO="Manual",$M41=1),$M41&gt;(ROW(PLE.lastrow)-ROW(PLE.firstrow))),0,IF(OFFSET(PLE!$G$14,$M41,CB$13)="",10^12,OFFSET(PLE!$G$14,$M41,CB$13))))</f>
        <v>1000000000000</v>
      </c>
      <c r="CC41" s="216">
        <f ca="1">IF($D41&lt;&gt;"Serviço",0,IF(OR(AND(AUTOEVENTO="Manual",$M41=1),$M41&gt;(ROW(PLE.lastrow)-ROW(PLE.firstrow))),0,IF(OFFSET(PLE!$G$14,$M41,CC$13)="",10^12,OFFSET(PLE!$G$14,$M41,CC$13))))</f>
        <v>1000000000000</v>
      </c>
      <c r="CD41" s="216">
        <f ca="1">IF($D41&lt;&gt;"Serviço",0,IF(OR(AND(AUTOEVENTO="Manual",$M41=1),$M41&gt;(ROW(PLE.lastrow)-ROW(PLE.firstrow))),0,IF(OFFSET(PLE!$G$14,$M41,CD$13)="",10^12,OFFSET(PLE!$G$14,$M41,CD$13))))</f>
        <v>1000000000000</v>
      </c>
      <c r="CE41" s="216">
        <f ca="1">IF($D41&lt;&gt;"Serviço",0,IF(OR(AND(AUTOEVENTO="Manual",$M41=1),$M41&gt;(ROW(PLE.lastrow)-ROW(PLE.firstrow))),0,IF(OFFSET(PLE!$G$14,$M41,CE$13)="",10^12,OFFSET(PLE!$G$14,$M41,CE$13))))</f>
        <v>1000000000000</v>
      </c>
      <c r="CF41" s="216">
        <f ca="1">IF($D41&lt;&gt;"Serviço",0,IF(OR(AND(AUTOEVENTO="Manual",$M41=1),$M41&gt;(ROW(PLE.lastrow)-ROW(PLE.firstrow))),0,IF(OFFSET(PLE!$G$14,$M41,CF$13)="",10^12,OFFSET(PLE!$G$14,$M41,CF$13))))</f>
        <v>1000000000000</v>
      </c>
      <c r="CG41" s="216">
        <f ca="1">IF($D41&lt;&gt;"Serviço",0,IF(OR(AND(AUTOEVENTO="Manual",$M41=1),$M41&gt;(ROW(PLE.lastrow)-ROW(PLE.firstrow))),0,IF(OFFSET(PLE!$G$14,$M41,CG$13)="",10^12,OFFSET(PLE!$G$14,$M41,CG$13))))</f>
        <v>1000000000000</v>
      </c>
      <c r="CH41" s="216">
        <f ca="1">IF($D41&lt;&gt;"Serviço",0,IF(OR(AND(AUTOEVENTO="Manual",$M41=1),$M41&gt;(ROW(PLE.lastrow)-ROW(PLE.firstrow))),0,IF(OFFSET(PLE!$G$14,$M41,CH$13)="",10^12,OFFSET(PLE!$G$14,$M41,CH$13))))</f>
        <v>1000000000000</v>
      </c>
      <c r="CI41" s="216">
        <f ca="1">IF($D41&lt;&gt;"Serviço",0,IF(OR(AND(AUTOEVENTO="Manual",$M41=1),$M41&gt;(ROW(PLE.lastrow)-ROW(PLE.firstrow))),0,IF(OFFSET(PLE!$G$14,$M41,CI$13)="",10^12,OFFSET(PLE!$G$14,$M41,CI$13))))</f>
        <v>1000000000000</v>
      </c>
      <c r="CJ41" s="216">
        <f ca="1">IF($D41&lt;&gt;"Serviço",0,IF(OR(AND(AUTOEVENTO="Manual",$M41=1),$M41&gt;(ROW(PLE.lastrow)-ROW(PLE.firstrow))),0,IF(OFFSET(PLE!$G$14,$M41,CJ$13)="",10^12,OFFSET(PLE!$G$14,$M41,CJ$13))))</f>
        <v>1000000000000</v>
      </c>
      <c r="CK41" s="216">
        <f ca="1">IF($D41&lt;&gt;"Serviço",0,IF(OR(AND(AUTOEVENTO="Manual",$M41=1),$M41&gt;(ROW(PLE.lastrow)-ROW(PLE.firstrow))),0,IF(OFFSET(PLE!$G$14,$M41,CK$13)="",10^12,OFFSET(PLE!$G$14,$M41,CK$13))))</f>
        <v>1000000000000</v>
      </c>
      <c r="CL41" s="216">
        <f ca="1">IF($D41&lt;&gt;"Serviço",0,IF(OR(AND(AUTOEVENTO="Manual",$M41=1),$M41&gt;(ROW(PLE.lastrow)-ROW(PLE.firstrow))),0,IF(OFFSET(PLE!$G$14,$M41,CL$13)="",10^12,OFFSET(PLE!$G$14,$M41,CL$13))))</f>
        <v>1000000000000</v>
      </c>
      <c r="CM41" s="216">
        <f ca="1">IF($D41&lt;&gt;"Serviço",0,IF(OR(AND(AUTOEVENTO="Manual",$M41=1),$M41&gt;(ROW(PLE.lastrow)-ROW(PLE.firstrow))),0,IF(OFFSET(PLE!$G$14,$M41,CM$13)="",10^12,OFFSET(PLE!$G$14,$M41,CM$13))))</f>
        <v>1000000000000</v>
      </c>
    </row>
    <row r="42" spans="1:91" ht="13.2" x14ac:dyDescent="0.25">
      <c r="A42" s="9">
        <f t="shared" ca="1" si="9"/>
        <v>0</v>
      </c>
      <c r="B42" s="9" t="str">
        <f ca="1">OFFSET(ORÇAMENTO!C$15,ROW(B42)-ROW(B$15),0)</f>
        <v>S</v>
      </c>
      <c r="C42" s="9" t="str">
        <f ca="1">OFFSET(ORÇAMENTO!L$15,ROW(C42)-ROW(C$15),0)</f>
        <v/>
      </c>
      <c r="D42" s="145" t="str">
        <f ca="1">OFFSET(ORÇAMENTO!N$15,ROW(D42)-ROW(D$15),0)</f>
        <v>Serviço</v>
      </c>
      <c r="E42" s="205" t="str">
        <f ca="1">OFFSET(ORÇAMENTO!O$15,ROW(E42)-ROW(E$15),0)</f>
        <v>-</v>
      </c>
      <c r="F42" s="206" t="str">
        <f ca="1">OFFSET(ORÇAMENTO!R$15,ROW(F42)-ROW(F$15),0)</f>
        <v>(abra o arquivo 'Referência 05-2024.xls)</v>
      </c>
      <c r="G42" s="207" t="str">
        <f ca="1">IF($D42&lt;&gt;"Serviço","",OFFSET(ORÇAMENTO!S$15,ROW(G42)-ROW(G$15),0))</f>
        <v>-</v>
      </c>
      <c r="H42" s="151">
        <f ca="1">IF($D42&lt;&gt;"Serviço",0,IF(ACOMPANHAMENTO="BM",ROUND(OFFSET(ORÇAMENTO!AJ$15,ROW(H42)-ROW(H$15),0),15-13*ORÇAMENTO!$AF$7),SUMPRODUCT(($Q$12:$AI$12&lt;&gt;"")*ROUND($Q42:$AI42,15-13*ORÇAMENTO!$AF$7))))</f>
        <v>39.799999999999997</v>
      </c>
      <c r="I42" s="650"/>
      <c r="K42" s="208"/>
      <c r="L42" s="209" t="s">
        <v>257</v>
      </c>
      <c r="M42" s="210">
        <f ca="1">IF($D42&lt;&gt;"Serviço","",IF(AUTOEVENTO="manual",$A42,IF(ISERROR(MATCH($A42,$A$15:OFFSET($A42,-1,0),0)),MAX($M$15:OFFSET(M42,-1,0))+1,INDEX($M$15:OFFSET(M42,-1,0),MATCH($A42,$A$15:OFFSET($A42,-1,0),0)))))</f>
        <v>0</v>
      </c>
      <c r="N42" s="211" t="str">
        <f ca="1">IF($D42&lt;&gt;"Serviço","",IF(AUTOEVENTO="Manual",IF($A42=0,"&lt;-- defina o número do agrupador",OFFSET(EVENTOS!$D$14,$A42,0)),OFFSET($F$15,$A42,0)))</f>
        <v>&lt;-- defina o número do agrupador</v>
      </c>
      <c r="O42" s="212"/>
      <c r="Q42" s="212"/>
      <c r="R42" s="213"/>
      <c r="S42" s="213"/>
      <c r="T42" s="213"/>
      <c r="U42" s="213"/>
      <c r="V42" s="213"/>
      <c r="W42" s="213"/>
      <c r="X42" s="213"/>
      <c r="Y42" s="213"/>
      <c r="Z42" s="214"/>
      <c r="AA42" s="213"/>
      <c r="AB42" s="213"/>
      <c r="AC42" s="213"/>
      <c r="AD42" s="213"/>
      <c r="AE42" s="213"/>
      <c r="AF42" s="213"/>
      <c r="AG42" s="213"/>
      <c r="AH42" s="214"/>
      <c r="AJ42" s="631">
        <f ca="1">IF(AND($D42="Serviço",AJ$12&lt;&gt;0,$H42&gt;0,OR(AUTOEVENTO&lt;&gt;"manual",$M42&lt;&gt;1)),ROUND(OFFSET($P42,0,AJ$13),15-13*ORÇAMENTO!$AF$7)/$H42*OFFSET(ORÇAMENTO!$X$15,ROW(AJ42)-ROW(AJ$15),0),0)</f>
        <v>0</v>
      </c>
      <c r="AK42" s="632">
        <f ca="1">IF(AND($D42="Serviço",AK$12&lt;&gt;0,$H42&gt;0,OR(AUTOEVENTO&lt;&gt;"manual",$M42&lt;&gt;1)),ROUND(OFFSET($P42,0,AK$13),15-13*ORÇAMENTO!$AF$7)/$H42*OFFSET(ORÇAMENTO!$X$15,ROW(AK42)-ROW(AK$15),0),0)</f>
        <v>0</v>
      </c>
      <c r="AL42" s="632">
        <f ca="1">IF(AND($D42="Serviço",AL$12&lt;&gt;0,$H42&gt;0,OR(AUTOEVENTO&lt;&gt;"manual",$M42&lt;&gt;1)),ROUND(OFFSET($P42,0,AL$13),15-13*ORÇAMENTO!$AF$7)/$H42*OFFSET(ORÇAMENTO!$X$15,ROW(AL42)-ROW(AL$15),0),0)</f>
        <v>0</v>
      </c>
      <c r="AM42" s="632">
        <f ca="1">IF(AND($D42="Serviço",AM$12&lt;&gt;0,$H42&gt;0,OR(AUTOEVENTO&lt;&gt;"manual",$M42&lt;&gt;1)),ROUND(OFFSET($P42,0,AM$13),15-13*ORÇAMENTO!$AF$7)/$H42*OFFSET(ORÇAMENTO!$X$15,ROW(AM42)-ROW(AM$15),0),0)</f>
        <v>0</v>
      </c>
      <c r="AN42" s="632">
        <f ca="1">IF(AND($D42="Serviço",AN$12&lt;&gt;0,$H42&gt;0,OR(AUTOEVENTO&lt;&gt;"manual",$M42&lt;&gt;1)),ROUND(OFFSET($P42,0,AN$13),15-13*ORÇAMENTO!$AF$7)/$H42*OFFSET(ORÇAMENTO!$X$15,ROW(AN42)-ROW(AN$15),0),0)</f>
        <v>0</v>
      </c>
      <c r="AO42" s="632">
        <f ca="1">IF(AND($D42="Serviço",AO$12&lt;&gt;0,$H42&gt;0,OR(AUTOEVENTO&lt;&gt;"manual",$M42&lt;&gt;1)),ROUND(OFFSET($P42,0,AO$13),15-13*ORÇAMENTO!$AF$7)/$H42*OFFSET(ORÇAMENTO!$X$15,ROW(AO42)-ROW(AO$15),0),0)</f>
        <v>0</v>
      </c>
      <c r="AP42" s="632">
        <f ca="1">IF(AND($D42="Serviço",AP$12&lt;&gt;0,$H42&gt;0,OR(AUTOEVENTO&lt;&gt;"manual",$M42&lt;&gt;1)),ROUND(OFFSET($P42,0,AP$13),15-13*ORÇAMENTO!$AF$7)/$H42*OFFSET(ORÇAMENTO!$X$15,ROW(AP42)-ROW(AP$15),0),0)</f>
        <v>0</v>
      </c>
      <c r="AQ42" s="632">
        <f ca="1">IF(AND($D42="Serviço",AQ$12&lt;&gt;0,$H42&gt;0,OR(AUTOEVENTO&lt;&gt;"manual",$M42&lt;&gt;1)),ROUND(OFFSET($P42,0,AQ$13),15-13*ORÇAMENTO!$AF$7)/$H42*OFFSET(ORÇAMENTO!$X$15,ROW(AQ42)-ROW(AQ$15),0),0)</f>
        <v>0</v>
      </c>
      <c r="AR42" s="632">
        <f ca="1">IF(AND($D42="Serviço",AR$12&lt;&gt;0,$H42&gt;0,OR(AUTOEVENTO&lt;&gt;"manual",$M42&lt;&gt;1)),ROUND(OFFSET($P42,0,AR$13),15-13*ORÇAMENTO!$AF$7)/$H42*OFFSET(ORÇAMENTO!$X$15,ROW(AR42)-ROW(AR$15),0),0)</f>
        <v>0</v>
      </c>
      <c r="AS42" s="633">
        <f ca="1">IF(AND($D42="Serviço",AS$12&lt;&gt;0,$H42&gt;0,OR(AUTOEVENTO&lt;&gt;"manual",$M42&lt;&gt;1)),ROUND(OFFSET($P42,0,AS$13),15-13*ORÇAMENTO!$AF$7)/$H42*OFFSET(ORÇAMENTO!$X$15,ROW(AS42)-ROW(AS$15),0),0)</f>
        <v>0</v>
      </c>
      <c r="AT42" s="632">
        <f ca="1">IF(AND($D42="Serviço",AT$12&lt;&gt;0,$H42&gt;0,OR(AUTOEVENTO&lt;&gt;"manual",$M42&lt;&gt;1)),ROUND(OFFSET($P42,0,AT$13),15-13*ORÇAMENTO!$AF$7)/$H42*OFFSET(ORÇAMENTO!$X$15,ROW(AT42)-ROW(AT$15),0),0)</f>
        <v>0</v>
      </c>
      <c r="AU42" s="632">
        <f ca="1">IF(AND($D42="Serviço",AU$12&lt;&gt;0,$H42&gt;0,OR(AUTOEVENTO&lt;&gt;"manual",$M42&lt;&gt;1)),ROUND(OFFSET($P42,0,AU$13),15-13*ORÇAMENTO!$AF$7)/$H42*OFFSET(ORÇAMENTO!$X$15,ROW(AU42)-ROW(AU$15),0),0)</f>
        <v>0</v>
      </c>
      <c r="AV42" s="632">
        <f ca="1">IF(AND($D42="Serviço",AV$12&lt;&gt;0,$H42&gt;0,OR(AUTOEVENTO&lt;&gt;"manual",$M42&lt;&gt;1)),ROUND(OFFSET($P42,0,AV$13),15-13*ORÇAMENTO!$AF$7)/$H42*OFFSET(ORÇAMENTO!$X$15,ROW(AV42)-ROW(AV$15),0),0)</f>
        <v>0</v>
      </c>
      <c r="AW42" s="632">
        <f ca="1">IF(AND($D42="Serviço",AW$12&lt;&gt;0,$H42&gt;0,OR(AUTOEVENTO&lt;&gt;"manual",$M42&lt;&gt;1)),ROUND(OFFSET($P42,0,AW$13),15-13*ORÇAMENTO!$AF$7)/$H42*OFFSET(ORÇAMENTO!$X$15,ROW(AW42)-ROW(AW$15),0),0)</f>
        <v>0</v>
      </c>
      <c r="AX42" s="632">
        <f ca="1">IF(AND($D42="Serviço",AX$12&lt;&gt;0,$H42&gt;0,OR(AUTOEVENTO&lt;&gt;"manual",$M42&lt;&gt;1)),ROUND(OFFSET($P42,0,AX$13),15-13*ORÇAMENTO!$AF$7)/$H42*OFFSET(ORÇAMENTO!$X$15,ROW(AX42)-ROW(AX$15),0),0)</f>
        <v>0</v>
      </c>
      <c r="AY42" s="632">
        <f ca="1">IF(AND($D42="Serviço",AY$12&lt;&gt;0,$H42&gt;0,OR(AUTOEVENTO&lt;&gt;"manual",$M42&lt;&gt;1)),ROUND(OFFSET($P42,0,AY$13),15-13*ORÇAMENTO!$AF$7)/$H42*OFFSET(ORÇAMENTO!$X$15,ROW(AY42)-ROW(AY$15),0),0)</f>
        <v>0</v>
      </c>
      <c r="AZ42" s="632">
        <f ca="1">IF(AND($D42="Serviço",AZ$12&lt;&gt;0,$H42&gt;0,OR(AUTOEVENTO&lt;&gt;"manual",$M42&lt;&gt;1)),ROUND(OFFSET($P42,0,AZ$13),15-13*ORÇAMENTO!$AF$7)/$H42*OFFSET(ORÇAMENTO!$X$15,ROW(AZ42)-ROW(AZ$15),0),0)</f>
        <v>0</v>
      </c>
      <c r="BA42" s="633">
        <f ca="1">IF(AND($D42="Serviço",BA$12&lt;&gt;0,$H42&gt;0,OR(AUTOEVENTO&lt;&gt;"manual",$M42&lt;&gt;1)),ROUND(OFFSET($P42,0,BA$13),15-13*ORÇAMENTO!$AF$7)/$H42*OFFSET(ORÇAMENTO!$X$15,ROW(BA42)-ROW(BA$15),0),0)</f>
        <v>0</v>
      </c>
      <c r="BC42" s="215">
        <f ca="1">IF($D42&lt;&gt;"Serviço",0,IF(AND(AUTOEVENTO="Manual",$M42=1),0,IF(OFFSET(CRONOPLE!$F$14,$M42,BC$13)="",10^12,OFFSET(CRONOPLE!$F$14,$M42,BC$13))))</f>
        <v>1000000000000</v>
      </c>
      <c r="BD42" s="215">
        <f ca="1">IF($D42&lt;&gt;"Serviço",0,IF(AND(AUTOEVENTO="Manual",$M42=1),0,IF(OFFSET(CRONOPLE!$F$14,$M42,BD$13)="",10^12,OFFSET(CRONOPLE!$F$14,$M42,BD$13))))</f>
        <v>1000000000000</v>
      </c>
      <c r="BE42" s="215">
        <f ca="1">IF($D42&lt;&gt;"Serviço",0,IF(AND(AUTOEVENTO="Manual",$M42=1),0,IF(OFFSET(CRONOPLE!$F$14,$M42,BE$13)="",10^12,OFFSET(CRONOPLE!$F$14,$M42,BE$13))))</f>
        <v>1000000000000</v>
      </c>
      <c r="BF42" s="215">
        <f ca="1">IF($D42&lt;&gt;"Serviço",0,IF(AND(AUTOEVENTO="Manual",$M42=1),0,IF(OFFSET(CRONOPLE!$F$14,$M42,BF$13)="",10^12,OFFSET(CRONOPLE!$F$14,$M42,BF$13))))</f>
        <v>1000000000000</v>
      </c>
      <c r="BG42" s="215">
        <f ca="1">IF($D42&lt;&gt;"Serviço",0,IF(AND(AUTOEVENTO="Manual",$M42=1),0,IF(OFFSET(CRONOPLE!$F$14,$M42,BG$13)="",10^12,OFFSET(CRONOPLE!$F$14,$M42,BG$13))))</f>
        <v>1000000000000</v>
      </c>
      <c r="BH42" s="215">
        <f ca="1">IF($D42&lt;&gt;"Serviço",0,IF(AND(AUTOEVENTO="Manual",$M42=1),0,IF(OFFSET(CRONOPLE!$F$14,$M42,BH$13)="",10^12,OFFSET(CRONOPLE!$F$14,$M42,BH$13))))</f>
        <v>1000000000000</v>
      </c>
      <c r="BI42" s="215">
        <f ca="1">IF($D42&lt;&gt;"Serviço",0,IF(AND(AUTOEVENTO="Manual",$M42=1),0,IF(OFFSET(CRONOPLE!$F$14,$M42,BI$13)="",10^12,OFFSET(CRONOPLE!$F$14,$M42,BI$13))))</f>
        <v>1000000000000</v>
      </c>
      <c r="BJ42" s="215">
        <f ca="1">IF($D42&lt;&gt;"Serviço",0,IF(AND(AUTOEVENTO="Manual",$M42=1),0,IF(OFFSET(CRONOPLE!$F$14,$M42,BJ$13)="",10^12,OFFSET(CRONOPLE!$F$14,$M42,BJ$13))))</f>
        <v>1000000000000</v>
      </c>
      <c r="BK42" s="215">
        <f ca="1">IF($D42&lt;&gt;"Serviço",0,IF(AND(AUTOEVENTO="Manual",$M42=1),0,IF(OFFSET(CRONOPLE!$F$14,$M42,BK$13)="",10^12,OFFSET(CRONOPLE!$F$14,$M42,BK$13))))</f>
        <v>1000000000000</v>
      </c>
      <c r="BL42" s="215">
        <f ca="1">IF($D42&lt;&gt;"Serviço",0,IF(AND(AUTOEVENTO="Manual",$M42=1),0,IF(OFFSET(CRONOPLE!$F$14,$M42,BL$13)="",10^12,OFFSET(CRONOPLE!$F$14,$M42,BL$13))))</f>
        <v>1000000000000</v>
      </c>
      <c r="BM42" s="215">
        <f ca="1">IF($D42&lt;&gt;"Serviço",0,IF(AND(AUTOEVENTO="Manual",$M42=1),0,IF(OFFSET(CRONOPLE!$F$14,$M42,BM$13)="",10^12,OFFSET(CRONOPLE!$F$14,$M42,BM$13))))</f>
        <v>1000000000000</v>
      </c>
      <c r="BN42" s="215">
        <f ca="1">IF($D42&lt;&gt;"Serviço",0,IF(AND(AUTOEVENTO="Manual",$M42=1),0,IF(OFFSET(CRONOPLE!$F$14,$M42,BN$13)="",10^12,OFFSET(CRONOPLE!$F$14,$M42,BN$13))))</f>
        <v>1000000000000</v>
      </c>
      <c r="BO42" s="215">
        <f ca="1">IF($D42&lt;&gt;"Serviço",0,IF(AND(AUTOEVENTO="Manual",$M42=1),0,IF(OFFSET(CRONOPLE!$F$14,$M42,BO$13)="",10^12,OFFSET(CRONOPLE!$F$14,$M42,BO$13))))</f>
        <v>1000000000000</v>
      </c>
      <c r="BP42" s="215">
        <f ca="1">IF($D42&lt;&gt;"Serviço",0,IF(AND(AUTOEVENTO="Manual",$M42=1),0,IF(OFFSET(CRONOPLE!$F$14,$M42,BP$13)="",10^12,OFFSET(CRONOPLE!$F$14,$M42,BP$13))))</f>
        <v>1000000000000</v>
      </c>
      <c r="BQ42" s="215">
        <f ca="1">IF($D42&lt;&gt;"Serviço",0,IF(AND(AUTOEVENTO="Manual",$M42=1),0,IF(OFFSET(CRONOPLE!$F$14,$M42,BQ$13)="",10^12,OFFSET(CRONOPLE!$F$14,$M42,BQ$13))))</f>
        <v>1000000000000</v>
      </c>
      <c r="BR42" s="215">
        <f ca="1">IF($D42&lt;&gt;"Serviço",0,IF(AND(AUTOEVENTO="Manual",$M42=1),0,IF(OFFSET(CRONOPLE!$F$14,$M42,BR$13)="",10^12,OFFSET(CRONOPLE!$F$14,$M42,BR$13))))</f>
        <v>1000000000000</v>
      </c>
      <c r="BS42" s="215">
        <f ca="1">IF($D42&lt;&gt;"Serviço",0,IF(AND(AUTOEVENTO="Manual",$M42=1),0,IF(OFFSET(CRONOPLE!$F$14,$M42,BS$13)="",10^12,OFFSET(CRONOPLE!$F$14,$M42,BS$13))))</f>
        <v>1000000000000</v>
      </c>
      <c r="BT42" s="215">
        <f ca="1">IF($D42&lt;&gt;"Serviço",0,IF(AND(AUTOEVENTO="Manual",$M42=1),0,IF(OFFSET(CRONOPLE!$F$14,$M42,BT$13)="",10^12,OFFSET(CRONOPLE!$F$14,$M42,BT$13))))</f>
        <v>1000000000000</v>
      </c>
      <c r="BV42" s="216">
        <f ca="1">IF($D42&lt;&gt;"Serviço",0,IF(OR(AND(AUTOEVENTO="Manual",$M42=1),$M42&gt;(ROW(PLE.lastrow)-ROW(PLE.firstrow))),0,IF(OFFSET(PLE!$G$14,$M42,BV$13)="",10^12,OFFSET(PLE!$G$14,$M42,BV$13))))</f>
        <v>1000000000000</v>
      </c>
      <c r="BW42" s="216">
        <f ca="1">IF($D42&lt;&gt;"Serviço",0,IF(OR(AND(AUTOEVENTO="Manual",$M42=1),$M42&gt;(ROW(PLE.lastrow)-ROW(PLE.firstrow))),0,IF(OFFSET(PLE!$G$14,$M42,BW$13)="",10^12,OFFSET(PLE!$G$14,$M42,BW$13))))</f>
        <v>1000000000000</v>
      </c>
      <c r="BX42" s="216">
        <f ca="1">IF($D42&lt;&gt;"Serviço",0,IF(OR(AND(AUTOEVENTO="Manual",$M42=1),$M42&gt;(ROW(PLE.lastrow)-ROW(PLE.firstrow))),0,IF(OFFSET(PLE!$G$14,$M42,BX$13)="",10^12,OFFSET(PLE!$G$14,$M42,BX$13))))</f>
        <v>1000000000000</v>
      </c>
      <c r="BY42" s="216">
        <f ca="1">IF($D42&lt;&gt;"Serviço",0,IF(OR(AND(AUTOEVENTO="Manual",$M42=1),$M42&gt;(ROW(PLE.lastrow)-ROW(PLE.firstrow))),0,IF(OFFSET(PLE!$G$14,$M42,BY$13)="",10^12,OFFSET(PLE!$G$14,$M42,BY$13))))</f>
        <v>1000000000000</v>
      </c>
      <c r="BZ42" s="216">
        <f ca="1">IF($D42&lt;&gt;"Serviço",0,IF(OR(AND(AUTOEVENTO="Manual",$M42=1),$M42&gt;(ROW(PLE.lastrow)-ROW(PLE.firstrow))),0,IF(OFFSET(PLE!$G$14,$M42,BZ$13)="",10^12,OFFSET(PLE!$G$14,$M42,BZ$13))))</f>
        <v>1000000000000</v>
      </c>
      <c r="CA42" s="216">
        <f ca="1">IF($D42&lt;&gt;"Serviço",0,IF(OR(AND(AUTOEVENTO="Manual",$M42=1),$M42&gt;(ROW(PLE.lastrow)-ROW(PLE.firstrow))),0,IF(OFFSET(PLE!$G$14,$M42,CA$13)="",10^12,OFFSET(PLE!$G$14,$M42,CA$13))))</f>
        <v>1000000000000</v>
      </c>
      <c r="CB42" s="216">
        <f ca="1">IF($D42&lt;&gt;"Serviço",0,IF(OR(AND(AUTOEVENTO="Manual",$M42=1),$M42&gt;(ROW(PLE.lastrow)-ROW(PLE.firstrow))),0,IF(OFFSET(PLE!$G$14,$M42,CB$13)="",10^12,OFFSET(PLE!$G$14,$M42,CB$13))))</f>
        <v>1000000000000</v>
      </c>
      <c r="CC42" s="216">
        <f ca="1">IF($D42&lt;&gt;"Serviço",0,IF(OR(AND(AUTOEVENTO="Manual",$M42=1),$M42&gt;(ROW(PLE.lastrow)-ROW(PLE.firstrow))),0,IF(OFFSET(PLE!$G$14,$M42,CC$13)="",10^12,OFFSET(PLE!$G$14,$M42,CC$13))))</f>
        <v>1000000000000</v>
      </c>
      <c r="CD42" s="216">
        <f ca="1">IF($D42&lt;&gt;"Serviço",0,IF(OR(AND(AUTOEVENTO="Manual",$M42=1),$M42&gt;(ROW(PLE.lastrow)-ROW(PLE.firstrow))),0,IF(OFFSET(PLE!$G$14,$M42,CD$13)="",10^12,OFFSET(PLE!$G$14,$M42,CD$13))))</f>
        <v>1000000000000</v>
      </c>
      <c r="CE42" s="216">
        <f ca="1">IF($D42&lt;&gt;"Serviço",0,IF(OR(AND(AUTOEVENTO="Manual",$M42=1),$M42&gt;(ROW(PLE.lastrow)-ROW(PLE.firstrow))),0,IF(OFFSET(PLE!$G$14,$M42,CE$13)="",10^12,OFFSET(PLE!$G$14,$M42,CE$13))))</f>
        <v>1000000000000</v>
      </c>
      <c r="CF42" s="216">
        <f ca="1">IF($D42&lt;&gt;"Serviço",0,IF(OR(AND(AUTOEVENTO="Manual",$M42=1),$M42&gt;(ROW(PLE.lastrow)-ROW(PLE.firstrow))),0,IF(OFFSET(PLE!$G$14,$M42,CF$13)="",10^12,OFFSET(PLE!$G$14,$M42,CF$13))))</f>
        <v>1000000000000</v>
      </c>
      <c r="CG42" s="216">
        <f ca="1">IF($D42&lt;&gt;"Serviço",0,IF(OR(AND(AUTOEVENTO="Manual",$M42=1),$M42&gt;(ROW(PLE.lastrow)-ROW(PLE.firstrow))),0,IF(OFFSET(PLE!$G$14,$M42,CG$13)="",10^12,OFFSET(PLE!$G$14,$M42,CG$13))))</f>
        <v>1000000000000</v>
      </c>
      <c r="CH42" s="216">
        <f ca="1">IF($D42&lt;&gt;"Serviço",0,IF(OR(AND(AUTOEVENTO="Manual",$M42=1),$M42&gt;(ROW(PLE.lastrow)-ROW(PLE.firstrow))),0,IF(OFFSET(PLE!$G$14,$M42,CH$13)="",10^12,OFFSET(PLE!$G$14,$M42,CH$13))))</f>
        <v>1000000000000</v>
      </c>
      <c r="CI42" s="216">
        <f ca="1">IF($D42&lt;&gt;"Serviço",0,IF(OR(AND(AUTOEVENTO="Manual",$M42=1),$M42&gt;(ROW(PLE.lastrow)-ROW(PLE.firstrow))),0,IF(OFFSET(PLE!$G$14,$M42,CI$13)="",10^12,OFFSET(PLE!$G$14,$M42,CI$13))))</f>
        <v>1000000000000</v>
      </c>
      <c r="CJ42" s="216">
        <f ca="1">IF($D42&lt;&gt;"Serviço",0,IF(OR(AND(AUTOEVENTO="Manual",$M42=1),$M42&gt;(ROW(PLE.lastrow)-ROW(PLE.firstrow))),0,IF(OFFSET(PLE!$G$14,$M42,CJ$13)="",10^12,OFFSET(PLE!$G$14,$M42,CJ$13))))</f>
        <v>1000000000000</v>
      </c>
      <c r="CK42" s="216">
        <f ca="1">IF($D42&lt;&gt;"Serviço",0,IF(OR(AND(AUTOEVENTO="Manual",$M42=1),$M42&gt;(ROW(PLE.lastrow)-ROW(PLE.firstrow))),0,IF(OFFSET(PLE!$G$14,$M42,CK$13)="",10^12,OFFSET(PLE!$G$14,$M42,CK$13))))</f>
        <v>1000000000000</v>
      </c>
      <c r="CL42" s="216">
        <f ca="1">IF($D42&lt;&gt;"Serviço",0,IF(OR(AND(AUTOEVENTO="Manual",$M42=1),$M42&gt;(ROW(PLE.lastrow)-ROW(PLE.firstrow))),0,IF(OFFSET(PLE!$G$14,$M42,CL$13)="",10^12,OFFSET(PLE!$G$14,$M42,CL$13))))</f>
        <v>1000000000000</v>
      </c>
      <c r="CM42" s="216">
        <f ca="1">IF($D42&lt;&gt;"Serviço",0,IF(OR(AND(AUTOEVENTO="Manual",$M42=1),$M42&gt;(ROW(PLE.lastrow)-ROW(PLE.firstrow))),0,IF(OFFSET(PLE!$G$14,$M42,CM$13)="",10^12,OFFSET(PLE!$G$14,$M42,CM$13))))</f>
        <v>1000000000000</v>
      </c>
    </row>
    <row r="43" spans="1:91" ht="13.2" x14ac:dyDescent="0.25">
      <c r="A43" s="9">
        <f t="shared" ca="1" si="9"/>
        <v>0</v>
      </c>
      <c r="B43" s="9">
        <f ca="1">OFFSET(ORÇAMENTO!C$15,ROW(B43)-ROW(B$15),0)</f>
        <v>3</v>
      </c>
      <c r="C43" s="9" t="str">
        <f ca="1">OFFSET(ORÇAMENTO!L$15,ROW(C43)-ROW(C$15),0)</f>
        <v>F</v>
      </c>
      <c r="D43" s="145" t="str">
        <f ca="1">OFFSET(ORÇAMENTO!N$15,ROW(D43)-ROW(D$15),0)</f>
        <v>Nível 3</v>
      </c>
      <c r="E43" s="205" t="str">
        <f ca="1">OFFSET(ORÇAMENTO!O$15,ROW(E43)-ROW(E$15),0)</f>
        <v>1.2.5.</v>
      </c>
      <c r="F43" s="206" t="str">
        <f ca="1">OFFSET(ORÇAMENTO!R$15,ROW(F43)-ROW(F$15),0)</f>
        <v>MURO</v>
      </c>
      <c r="G43" s="207" t="str">
        <f ca="1">IF($D43&lt;&gt;"Serviço","",OFFSET(ORÇAMENTO!S$15,ROW(G43)-ROW(G$15),0))</f>
        <v/>
      </c>
      <c r="H43" s="151">
        <f ca="1">IF($D43&lt;&gt;"Serviço",0,IF(ACOMPANHAMENTO="BM",ROUND(OFFSET(ORÇAMENTO!AJ$15,ROW(H43)-ROW(H$15),0),15-13*ORÇAMENTO!$AF$7),SUMPRODUCT(($Q$12:$AI$12&lt;&gt;"")*ROUND($Q43:$AI43,15-13*ORÇAMENTO!$AF$7))))</f>
        <v>0</v>
      </c>
      <c r="I43" s="650"/>
      <c r="K43" s="208"/>
      <c r="L43" s="209" t="s">
        <v>257</v>
      </c>
      <c r="M43" s="210" t="str">
        <f ca="1">IF($D43&lt;&gt;"Serviço","",IF(AUTOEVENTO="manual",$A43,IF(ISERROR(MATCH($A43,$A$15:OFFSET($A43,-1,0),0)),MAX($M$15:OFFSET(M43,-1,0))+1,INDEX($M$15:OFFSET(M43,-1,0),MATCH($A43,$A$15:OFFSET($A43,-1,0),0)))))</f>
        <v/>
      </c>
      <c r="N43" s="211" t="str">
        <f ca="1">IF($D43&lt;&gt;"Serviço","",IF(AUTOEVENTO="Manual",IF($A43=0,"&lt;-- defina o número do agrupador",OFFSET(EVENTOS!$D$14,$A43,0)),OFFSET($F$15,$A43,0)))</f>
        <v/>
      </c>
      <c r="O43" s="212"/>
      <c r="Q43" s="212"/>
      <c r="R43" s="213"/>
      <c r="S43" s="213"/>
      <c r="T43" s="213"/>
      <c r="U43" s="213"/>
      <c r="V43" s="213"/>
      <c r="W43" s="213"/>
      <c r="X43" s="213"/>
      <c r="Y43" s="213"/>
      <c r="Z43" s="214"/>
      <c r="AA43" s="213"/>
      <c r="AB43" s="213"/>
      <c r="AC43" s="213"/>
      <c r="AD43" s="213"/>
      <c r="AE43" s="213"/>
      <c r="AF43" s="213"/>
      <c r="AG43" s="213"/>
      <c r="AH43" s="214"/>
      <c r="AJ43" s="631">
        <f ca="1">IF(AND($D43="Serviço",AJ$12&lt;&gt;0,$H43&gt;0,OR(AUTOEVENTO&lt;&gt;"manual",$M43&lt;&gt;1)),ROUND(OFFSET($P43,0,AJ$13),15-13*ORÇAMENTO!$AF$7)/$H43*OFFSET(ORÇAMENTO!$X$15,ROW(AJ43)-ROW(AJ$15),0),0)</f>
        <v>0</v>
      </c>
      <c r="AK43" s="632">
        <f ca="1">IF(AND($D43="Serviço",AK$12&lt;&gt;0,$H43&gt;0,OR(AUTOEVENTO&lt;&gt;"manual",$M43&lt;&gt;1)),ROUND(OFFSET($P43,0,AK$13),15-13*ORÇAMENTO!$AF$7)/$H43*OFFSET(ORÇAMENTO!$X$15,ROW(AK43)-ROW(AK$15),0),0)</f>
        <v>0</v>
      </c>
      <c r="AL43" s="632">
        <f ca="1">IF(AND($D43="Serviço",AL$12&lt;&gt;0,$H43&gt;0,OR(AUTOEVENTO&lt;&gt;"manual",$M43&lt;&gt;1)),ROUND(OFFSET($P43,0,AL$13),15-13*ORÇAMENTO!$AF$7)/$H43*OFFSET(ORÇAMENTO!$X$15,ROW(AL43)-ROW(AL$15),0),0)</f>
        <v>0</v>
      </c>
      <c r="AM43" s="632">
        <f ca="1">IF(AND($D43="Serviço",AM$12&lt;&gt;0,$H43&gt;0,OR(AUTOEVENTO&lt;&gt;"manual",$M43&lt;&gt;1)),ROUND(OFFSET($P43,0,AM$13),15-13*ORÇAMENTO!$AF$7)/$H43*OFFSET(ORÇAMENTO!$X$15,ROW(AM43)-ROW(AM$15),0),0)</f>
        <v>0</v>
      </c>
      <c r="AN43" s="632">
        <f ca="1">IF(AND($D43="Serviço",AN$12&lt;&gt;0,$H43&gt;0,OR(AUTOEVENTO&lt;&gt;"manual",$M43&lt;&gt;1)),ROUND(OFFSET($P43,0,AN$13),15-13*ORÇAMENTO!$AF$7)/$H43*OFFSET(ORÇAMENTO!$X$15,ROW(AN43)-ROW(AN$15),0),0)</f>
        <v>0</v>
      </c>
      <c r="AO43" s="632">
        <f ca="1">IF(AND($D43="Serviço",AO$12&lt;&gt;0,$H43&gt;0,OR(AUTOEVENTO&lt;&gt;"manual",$M43&lt;&gt;1)),ROUND(OFFSET($P43,0,AO$13),15-13*ORÇAMENTO!$AF$7)/$H43*OFFSET(ORÇAMENTO!$X$15,ROW(AO43)-ROW(AO$15),0),0)</f>
        <v>0</v>
      </c>
      <c r="AP43" s="632">
        <f ca="1">IF(AND($D43="Serviço",AP$12&lt;&gt;0,$H43&gt;0,OR(AUTOEVENTO&lt;&gt;"manual",$M43&lt;&gt;1)),ROUND(OFFSET($P43,0,AP$13),15-13*ORÇAMENTO!$AF$7)/$H43*OFFSET(ORÇAMENTO!$X$15,ROW(AP43)-ROW(AP$15),0),0)</f>
        <v>0</v>
      </c>
      <c r="AQ43" s="632">
        <f ca="1">IF(AND($D43="Serviço",AQ$12&lt;&gt;0,$H43&gt;0,OR(AUTOEVENTO&lt;&gt;"manual",$M43&lt;&gt;1)),ROUND(OFFSET($P43,0,AQ$13),15-13*ORÇAMENTO!$AF$7)/$H43*OFFSET(ORÇAMENTO!$X$15,ROW(AQ43)-ROW(AQ$15),0),0)</f>
        <v>0</v>
      </c>
      <c r="AR43" s="632">
        <f ca="1">IF(AND($D43="Serviço",AR$12&lt;&gt;0,$H43&gt;0,OR(AUTOEVENTO&lt;&gt;"manual",$M43&lt;&gt;1)),ROUND(OFFSET($P43,0,AR$13),15-13*ORÇAMENTO!$AF$7)/$H43*OFFSET(ORÇAMENTO!$X$15,ROW(AR43)-ROW(AR$15),0),0)</f>
        <v>0</v>
      </c>
      <c r="AS43" s="633">
        <f ca="1">IF(AND($D43="Serviço",AS$12&lt;&gt;0,$H43&gt;0,OR(AUTOEVENTO&lt;&gt;"manual",$M43&lt;&gt;1)),ROUND(OFFSET($P43,0,AS$13),15-13*ORÇAMENTO!$AF$7)/$H43*OFFSET(ORÇAMENTO!$X$15,ROW(AS43)-ROW(AS$15),0),0)</f>
        <v>0</v>
      </c>
      <c r="AT43" s="632">
        <f ca="1">IF(AND($D43="Serviço",AT$12&lt;&gt;0,$H43&gt;0,OR(AUTOEVENTO&lt;&gt;"manual",$M43&lt;&gt;1)),ROUND(OFFSET($P43,0,AT$13),15-13*ORÇAMENTO!$AF$7)/$H43*OFFSET(ORÇAMENTO!$X$15,ROW(AT43)-ROW(AT$15),0),0)</f>
        <v>0</v>
      </c>
      <c r="AU43" s="632">
        <f ca="1">IF(AND($D43="Serviço",AU$12&lt;&gt;0,$H43&gt;0,OR(AUTOEVENTO&lt;&gt;"manual",$M43&lt;&gt;1)),ROUND(OFFSET($P43,0,AU$13),15-13*ORÇAMENTO!$AF$7)/$H43*OFFSET(ORÇAMENTO!$X$15,ROW(AU43)-ROW(AU$15),0),0)</f>
        <v>0</v>
      </c>
      <c r="AV43" s="632">
        <f ca="1">IF(AND($D43="Serviço",AV$12&lt;&gt;0,$H43&gt;0,OR(AUTOEVENTO&lt;&gt;"manual",$M43&lt;&gt;1)),ROUND(OFFSET($P43,0,AV$13),15-13*ORÇAMENTO!$AF$7)/$H43*OFFSET(ORÇAMENTO!$X$15,ROW(AV43)-ROW(AV$15),0),0)</f>
        <v>0</v>
      </c>
      <c r="AW43" s="632">
        <f ca="1">IF(AND($D43="Serviço",AW$12&lt;&gt;0,$H43&gt;0,OR(AUTOEVENTO&lt;&gt;"manual",$M43&lt;&gt;1)),ROUND(OFFSET($P43,0,AW$13),15-13*ORÇAMENTO!$AF$7)/$H43*OFFSET(ORÇAMENTO!$X$15,ROW(AW43)-ROW(AW$15),0),0)</f>
        <v>0</v>
      </c>
      <c r="AX43" s="632">
        <f ca="1">IF(AND($D43="Serviço",AX$12&lt;&gt;0,$H43&gt;0,OR(AUTOEVENTO&lt;&gt;"manual",$M43&lt;&gt;1)),ROUND(OFFSET($P43,0,AX$13),15-13*ORÇAMENTO!$AF$7)/$H43*OFFSET(ORÇAMENTO!$X$15,ROW(AX43)-ROW(AX$15),0),0)</f>
        <v>0</v>
      </c>
      <c r="AY43" s="632">
        <f ca="1">IF(AND($D43="Serviço",AY$12&lt;&gt;0,$H43&gt;0,OR(AUTOEVENTO&lt;&gt;"manual",$M43&lt;&gt;1)),ROUND(OFFSET($P43,0,AY$13),15-13*ORÇAMENTO!$AF$7)/$H43*OFFSET(ORÇAMENTO!$X$15,ROW(AY43)-ROW(AY$15),0),0)</f>
        <v>0</v>
      </c>
      <c r="AZ43" s="632">
        <f ca="1">IF(AND($D43="Serviço",AZ$12&lt;&gt;0,$H43&gt;0,OR(AUTOEVENTO&lt;&gt;"manual",$M43&lt;&gt;1)),ROUND(OFFSET($P43,0,AZ$13),15-13*ORÇAMENTO!$AF$7)/$H43*OFFSET(ORÇAMENTO!$X$15,ROW(AZ43)-ROW(AZ$15),0),0)</f>
        <v>0</v>
      </c>
      <c r="BA43" s="633">
        <f ca="1">IF(AND($D43="Serviço",BA$12&lt;&gt;0,$H43&gt;0,OR(AUTOEVENTO&lt;&gt;"manual",$M43&lt;&gt;1)),ROUND(OFFSET($P43,0,BA$13),15-13*ORÇAMENTO!$AF$7)/$H43*OFFSET(ORÇAMENTO!$X$15,ROW(BA43)-ROW(BA$15),0),0)</f>
        <v>0</v>
      </c>
      <c r="BC43" s="215">
        <f ca="1">IF($D43&lt;&gt;"Serviço",0,IF(AND(AUTOEVENTO="Manual",$M43=1),0,IF(OFFSET(CRONOPLE!$F$14,$M43,BC$13)="",10^12,OFFSET(CRONOPLE!$F$14,$M43,BC$13))))</f>
        <v>0</v>
      </c>
      <c r="BD43" s="215">
        <f ca="1">IF($D43&lt;&gt;"Serviço",0,IF(AND(AUTOEVENTO="Manual",$M43=1),0,IF(OFFSET(CRONOPLE!$F$14,$M43,BD$13)="",10^12,OFFSET(CRONOPLE!$F$14,$M43,BD$13))))</f>
        <v>0</v>
      </c>
      <c r="BE43" s="215">
        <f ca="1">IF($D43&lt;&gt;"Serviço",0,IF(AND(AUTOEVENTO="Manual",$M43=1),0,IF(OFFSET(CRONOPLE!$F$14,$M43,BE$13)="",10^12,OFFSET(CRONOPLE!$F$14,$M43,BE$13))))</f>
        <v>0</v>
      </c>
      <c r="BF43" s="215">
        <f ca="1">IF($D43&lt;&gt;"Serviço",0,IF(AND(AUTOEVENTO="Manual",$M43=1),0,IF(OFFSET(CRONOPLE!$F$14,$M43,BF$13)="",10^12,OFFSET(CRONOPLE!$F$14,$M43,BF$13))))</f>
        <v>0</v>
      </c>
      <c r="BG43" s="215">
        <f ca="1">IF($D43&lt;&gt;"Serviço",0,IF(AND(AUTOEVENTO="Manual",$M43=1),0,IF(OFFSET(CRONOPLE!$F$14,$M43,BG$13)="",10^12,OFFSET(CRONOPLE!$F$14,$M43,BG$13))))</f>
        <v>0</v>
      </c>
      <c r="BH43" s="215">
        <f ca="1">IF($D43&lt;&gt;"Serviço",0,IF(AND(AUTOEVENTO="Manual",$M43=1),0,IF(OFFSET(CRONOPLE!$F$14,$M43,BH$13)="",10^12,OFFSET(CRONOPLE!$F$14,$M43,BH$13))))</f>
        <v>0</v>
      </c>
      <c r="BI43" s="215">
        <f ca="1">IF($D43&lt;&gt;"Serviço",0,IF(AND(AUTOEVENTO="Manual",$M43=1),0,IF(OFFSET(CRONOPLE!$F$14,$M43,BI$13)="",10^12,OFFSET(CRONOPLE!$F$14,$M43,BI$13))))</f>
        <v>0</v>
      </c>
      <c r="BJ43" s="215">
        <f ca="1">IF($D43&lt;&gt;"Serviço",0,IF(AND(AUTOEVENTO="Manual",$M43=1),0,IF(OFFSET(CRONOPLE!$F$14,$M43,BJ$13)="",10^12,OFFSET(CRONOPLE!$F$14,$M43,BJ$13))))</f>
        <v>0</v>
      </c>
      <c r="BK43" s="215">
        <f ca="1">IF($D43&lt;&gt;"Serviço",0,IF(AND(AUTOEVENTO="Manual",$M43=1),0,IF(OFFSET(CRONOPLE!$F$14,$M43,BK$13)="",10^12,OFFSET(CRONOPLE!$F$14,$M43,BK$13))))</f>
        <v>0</v>
      </c>
      <c r="BL43" s="215">
        <f ca="1">IF($D43&lt;&gt;"Serviço",0,IF(AND(AUTOEVENTO="Manual",$M43=1),0,IF(OFFSET(CRONOPLE!$F$14,$M43,BL$13)="",10^12,OFFSET(CRONOPLE!$F$14,$M43,BL$13))))</f>
        <v>0</v>
      </c>
      <c r="BM43" s="215">
        <f ca="1">IF($D43&lt;&gt;"Serviço",0,IF(AND(AUTOEVENTO="Manual",$M43=1),0,IF(OFFSET(CRONOPLE!$F$14,$M43,BM$13)="",10^12,OFFSET(CRONOPLE!$F$14,$M43,BM$13))))</f>
        <v>0</v>
      </c>
      <c r="BN43" s="215">
        <f ca="1">IF($D43&lt;&gt;"Serviço",0,IF(AND(AUTOEVENTO="Manual",$M43=1),0,IF(OFFSET(CRONOPLE!$F$14,$M43,BN$13)="",10^12,OFFSET(CRONOPLE!$F$14,$M43,BN$13))))</f>
        <v>0</v>
      </c>
      <c r="BO43" s="215">
        <f ca="1">IF($D43&lt;&gt;"Serviço",0,IF(AND(AUTOEVENTO="Manual",$M43=1),0,IF(OFFSET(CRONOPLE!$F$14,$M43,BO$13)="",10^12,OFFSET(CRONOPLE!$F$14,$M43,BO$13))))</f>
        <v>0</v>
      </c>
      <c r="BP43" s="215">
        <f ca="1">IF($D43&lt;&gt;"Serviço",0,IF(AND(AUTOEVENTO="Manual",$M43=1),0,IF(OFFSET(CRONOPLE!$F$14,$M43,BP$13)="",10^12,OFFSET(CRONOPLE!$F$14,$M43,BP$13))))</f>
        <v>0</v>
      </c>
      <c r="BQ43" s="215">
        <f ca="1">IF($D43&lt;&gt;"Serviço",0,IF(AND(AUTOEVENTO="Manual",$M43=1),0,IF(OFFSET(CRONOPLE!$F$14,$M43,BQ$13)="",10^12,OFFSET(CRONOPLE!$F$14,$M43,BQ$13))))</f>
        <v>0</v>
      </c>
      <c r="BR43" s="215">
        <f ca="1">IF($D43&lt;&gt;"Serviço",0,IF(AND(AUTOEVENTO="Manual",$M43=1),0,IF(OFFSET(CRONOPLE!$F$14,$M43,BR$13)="",10^12,OFFSET(CRONOPLE!$F$14,$M43,BR$13))))</f>
        <v>0</v>
      </c>
      <c r="BS43" s="215">
        <f ca="1">IF($D43&lt;&gt;"Serviço",0,IF(AND(AUTOEVENTO="Manual",$M43=1),0,IF(OFFSET(CRONOPLE!$F$14,$M43,BS$13)="",10^12,OFFSET(CRONOPLE!$F$14,$M43,BS$13))))</f>
        <v>0</v>
      </c>
      <c r="BT43" s="215">
        <f ca="1">IF($D43&lt;&gt;"Serviço",0,IF(AND(AUTOEVENTO="Manual",$M43=1),0,IF(OFFSET(CRONOPLE!$F$14,$M43,BT$13)="",10^12,OFFSET(CRONOPLE!$F$14,$M43,BT$13))))</f>
        <v>0</v>
      </c>
      <c r="BV43" s="216">
        <f ca="1">IF($D43&lt;&gt;"Serviço",0,IF(OR(AND(AUTOEVENTO="Manual",$M43=1),$M43&gt;(ROW(PLE.lastrow)-ROW(PLE.firstrow))),0,IF(OFFSET(PLE!$G$14,$M43,BV$13)="",10^12,OFFSET(PLE!$G$14,$M43,BV$13))))</f>
        <v>0</v>
      </c>
      <c r="BW43" s="216">
        <f ca="1">IF($D43&lt;&gt;"Serviço",0,IF(OR(AND(AUTOEVENTO="Manual",$M43=1),$M43&gt;(ROW(PLE.lastrow)-ROW(PLE.firstrow))),0,IF(OFFSET(PLE!$G$14,$M43,BW$13)="",10^12,OFFSET(PLE!$G$14,$M43,BW$13))))</f>
        <v>0</v>
      </c>
      <c r="BX43" s="216">
        <f ca="1">IF($D43&lt;&gt;"Serviço",0,IF(OR(AND(AUTOEVENTO="Manual",$M43=1),$M43&gt;(ROW(PLE.lastrow)-ROW(PLE.firstrow))),0,IF(OFFSET(PLE!$G$14,$M43,BX$13)="",10^12,OFFSET(PLE!$G$14,$M43,BX$13))))</f>
        <v>0</v>
      </c>
      <c r="BY43" s="216">
        <f ca="1">IF($D43&lt;&gt;"Serviço",0,IF(OR(AND(AUTOEVENTO="Manual",$M43=1),$M43&gt;(ROW(PLE.lastrow)-ROW(PLE.firstrow))),0,IF(OFFSET(PLE!$G$14,$M43,BY$13)="",10^12,OFFSET(PLE!$G$14,$M43,BY$13))))</f>
        <v>0</v>
      </c>
      <c r="BZ43" s="216">
        <f ca="1">IF($D43&lt;&gt;"Serviço",0,IF(OR(AND(AUTOEVENTO="Manual",$M43=1),$M43&gt;(ROW(PLE.lastrow)-ROW(PLE.firstrow))),0,IF(OFFSET(PLE!$G$14,$M43,BZ$13)="",10^12,OFFSET(PLE!$G$14,$M43,BZ$13))))</f>
        <v>0</v>
      </c>
      <c r="CA43" s="216">
        <f ca="1">IF($D43&lt;&gt;"Serviço",0,IF(OR(AND(AUTOEVENTO="Manual",$M43=1),$M43&gt;(ROW(PLE.lastrow)-ROW(PLE.firstrow))),0,IF(OFFSET(PLE!$G$14,$M43,CA$13)="",10^12,OFFSET(PLE!$G$14,$M43,CA$13))))</f>
        <v>0</v>
      </c>
      <c r="CB43" s="216">
        <f ca="1">IF($D43&lt;&gt;"Serviço",0,IF(OR(AND(AUTOEVENTO="Manual",$M43=1),$M43&gt;(ROW(PLE.lastrow)-ROW(PLE.firstrow))),0,IF(OFFSET(PLE!$G$14,$M43,CB$13)="",10^12,OFFSET(PLE!$G$14,$M43,CB$13))))</f>
        <v>0</v>
      </c>
      <c r="CC43" s="216">
        <f ca="1">IF($D43&lt;&gt;"Serviço",0,IF(OR(AND(AUTOEVENTO="Manual",$M43=1),$M43&gt;(ROW(PLE.lastrow)-ROW(PLE.firstrow))),0,IF(OFFSET(PLE!$G$14,$M43,CC$13)="",10^12,OFFSET(PLE!$G$14,$M43,CC$13))))</f>
        <v>0</v>
      </c>
      <c r="CD43" s="216">
        <f ca="1">IF($D43&lt;&gt;"Serviço",0,IF(OR(AND(AUTOEVENTO="Manual",$M43=1),$M43&gt;(ROW(PLE.lastrow)-ROW(PLE.firstrow))),0,IF(OFFSET(PLE!$G$14,$M43,CD$13)="",10^12,OFFSET(PLE!$G$14,$M43,CD$13))))</f>
        <v>0</v>
      </c>
      <c r="CE43" s="216">
        <f ca="1">IF($D43&lt;&gt;"Serviço",0,IF(OR(AND(AUTOEVENTO="Manual",$M43=1),$M43&gt;(ROW(PLE.lastrow)-ROW(PLE.firstrow))),0,IF(OFFSET(PLE!$G$14,$M43,CE$13)="",10^12,OFFSET(PLE!$G$14,$M43,CE$13))))</f>
        <v>0</v>
      </c>
      <c r="CF43" s="216">
        <f ca="1">IF($D43&lt;&gt;"Serviço",0,IF(OR(AND(AUTOEVENTO="Manual",$M43=1),$M43&gt;(ROW(PLE.lastrow)-ROW(PLE.firstrow))),0,IF(OFFSET(PLE!$G$14,$M43,CF$13)="",10^12,OFFSET(PLE!$G$14,$M43,CF$13))))</f>
        <v>0</v>
      </c>
      <c r="CG43" s="216">
        <f ca="1">IF($D43&lt;&gt;"Serviço",0,IF(OR(AND(AUTOEVENTO="Manual",$M43=1),$M43&gt;(ROW(PLE.lastrow)-ROW(PLE.firstrow))),0,IF(OFFSET(PLE!$G$14,$M43,CG$13)="",10^12,OFFSET(PLE!$G$14,$M43,CG$13))))</f>
        <v>0</v>
      </c>
      <c r="CH43" s="216">
        <f ca="1">IF($D43&lt;&gt;"Serviço",0,IF(OR(AND(AUTOEVENTO="Manual",$M43=1),$M43&gt;(ROW(PLE.lastrow)-ROW(PLE.firstrow))),0,IF(OFFSET(PLE!$G$14,$M43,CH$13)="",10^12,OFFSET(PLE!$G$14,$M43,CH$13))))</f>
        <v>0</v>
      </c>
      <c r="CI43" s="216">
        <f ca="1">IF($D43&lt;&gt;"Serviço",0,IF(OR(AND(AUTOEVENTO="Manual",$M43=1),$M43&gt;(ROW(PLE.lastrow)-ROW(PLE.firstrow))),0,IF(OFFSET(PLE!$G$14,$M43,CI$13)="",10^12,OFFSET(PLE!$G$14,$M43,CI$13))))</f>
        <v>0</v>
      </c>
      <c r="CJ43" s="216">
        <f ca="1">IF($D43&lt;&gt;"Serviço",0,IF(OR(AND(AUTOEVENTO="Manual",$M43=1),$M43&gt;(ROW(PLE.lastrow)-ROW(PLE.firstrow))),0,IF(OFFSET(PLE!$G$14,$M43,CJ$13)="",10^12,OFFSET(PLE!$G$14,$M43,CJ$13))))</f>
        <v>0</v>
      </c>
      <c r="CK43" s="216">
        <f ca="1">IF($D43&lt;&gt;"Serviço",0,IF(OR(AND(AUTOEVENTO="Manual",$M43=1),$M43&gt;(ROW(PLE.lastrow)-ROW(PLE.firstrow))),0,IF(OFFSET(PLE!$G$14,$M43,CK$13)="",10^12,OFFSET(PLE!$G$14,$M43,CK$13))))</f>
        <v>0</v>
      </c>
      <c r="CL43" s="216">
        <f ca="1">IF($D43&lt;&gt;"Serviço",0,IF(OR(AND(AUTOEVENTO="Manual",$M43=1),$M43&gt;(ROW(PLE.lastrow)-ROW(PLE.firstrow))),0,IF(OFFSET(PLE!$G$14,$M43,CL$13)="",10^12,OFFSET(PLE!$G$14,$M43,CL$13))))</f>
        <v>0</v>
      </c>
      <c r="CM43" s="216">
        <f ca="1">IF($D43&lt;&gt;"Serviço",0,IF(OR(AND(AUTOEVENTO="Manual",$M43=1),$M43&gt;(ROW(PLE.lastrow)-ROW(PLE.firstrow))),0,IF(OFFSET(PLE!$G$14,$M43,CM$13)="",10^12,OFFSET(PLE!$G$14,$M43,CM$13))))</f>
        <v>0</v>
      </c>
    </row>
    <row r="44" spans="1:91" ht="13.2" x14ac:dyDescent="0.25">
      <c r="A44" s="9">
        <f t="shared" ca="1" si="9"/>
        <v>0</v>
      </c>
      <c r="B44" s="9" t="str">
        <f ca="1">OFFSET(ORÇAMENTO!C$15,ROW(B44)-ROW(B$15),0)</f>
        <v>S</v>
      </c>
      <c r="C44" s="9" t="str">
        <f ca="1">OFFSET(ORÇAMENTO!L$15,ROW(C44)-ROW(C$15),0)</f>
        <v/>
      </c>
      <c r="D44" s="145" t="str">
        <f ca="1">OFFSET(ORÇAMENTO!N$15,ROW(D44)-ROW(D$15),0)</f>
        <v>Serviço</v>
      </c>
      <c r="E44" s="205" t="str">
        <f ca="1">OFFSET(ORÇAMENTO!O$15,ROW(E44)-ROW(E$15),0)</f>
        <v>-</v>
      </c>
      <c r="F44" s="206" t="str">
        <f ca="1">OFFSET(ORÇAMENTO!R$15,ROW(F44)-ROW(F$15),0)</f>
        <v>(abra o arquivo 'Referência 05-2024.xls)</v>
      </c>
      <c r="G44" s="207" t="str">
        <f ca="1">IF($D44&lt;&gt;"Serviço","",OFFSET(ORÇAMENTO!S$15,ROW(G44)-ROW(G$15),0))</f>
        <v>-</v>
      </c>
      <c r="H44" s="151">
        <f ca="1">IF($D44&lt;&gt;"Serviço",0,IF(ACOMPANHAMENTO="BM",ROUND(OFFSET(ORÇAMENTO!AJ$15,ROW(H44)-ROW(H$15),0),15-13*ORÇAMENTO!$AF$7),SUMPRODUCT(($Q$12:$AI$12&lt;&gt;"")*ROUND($Q44:$AI44,15-13*ORÇAMENTO!$AF$7))))</f>
        <v>1.63</v>
      </c>
      <c r="I44" s="650"/>
      <c r="K44" s="208"/>
      <c r="L44" s="209" t="s">
        <v>257</v>
      </c>
      <c r="M44" s="210">
        <f ca="1">IF($D44&lt;&gt;"Serviço","",IF(AUTOEVENTO="manual",$A44,IF(ISERROR(MATCH($A44,$A$15:OFFSET($A44,-1,0),0)),MAX($M$15:OFFSET(M44,-1,0))+1,INDEX($M$15:OFFSET(M44,-1,0),MATCH($A44,$A$15:OFFSET($A44,-1,0),0)))))</f>
        <v>0</v>
      </c>
      <c r="N44" s="211" t="str">
        <f ca="1">IF($D44&lt;&gt;"Serviço","",IF(AUTOEVENTO="Manual",IF($A44=0,"&lt;-- defina o número do agrupador",OFFSET(EVENTOS!$D$14,$A44,0)),OFFSET($F$15,$A44,0)))</f>
        <v>&lt;-- defina o número do agrupador</v>
      </c>
      <c r="O44" s="212"/>
      <c r="Q44" s="212"/>
      <c r="R44" s="213"/>
      <c r="S44" s="213"/>
      <c r="T44" s="213"/>
      <c r="U44" s="213"/>
      <c r="V44" s="213"/>
      <c r="W44" s="213"/>
      <c r="X44" s="213"/>
      <c r="Y44" s="213"/>
      <c r="Z44" s="214"/>
      <c r="AA44" s="213"/>
      <c r="AB44" s="213"/>
      <c r="AC44" s="213"/>
      <c r="AD44" s="213"/>
      <c r="AE44" s="213"/>
      <c r="AF44" s="213"/>
      <c r="AG44" s="213"/>
      <c r="AH44" s="214"/>
      <c r="AJ44" s="631">
        <f ca="1">IF(AND($D44="Serviço",AJ$12&lt;&gt;0,$H44&gt;0,OR(AUTOEVENTO&lt;&gt;"manual",$M44&lt;&gt;1)),ROUND(OFFSET($P44,0,AJ$13),15-13*ORÇAMENTO!$AF$7)/$H44*OFFSET(ORÇAMENTO!$X$15,ROW(AJ44)-ROW(AJ$15),0),0)</f>
        <v>0</v>
      </c>
      <c r="AK44" s="632">
        <f ca="1">IF(AND($D44="Serviço",AK$12&lt;&gt;0,$H44&gt;0,OR(AUTOEVENTO&lt;&gt;"manual",$M44&lt;&gt;1)),ROUND(OFFSET($P44,0,AK$13),15-13*ORÇAMENTO!$AF$7)/$H44*OFFSET(ORÇAMENTO!$X$15,ROW(AK44)-ROW(AK$15),0),0)</f>
        <v>0</v>
      </c>
      <c r="AL44" s="632">
        <f ca="1">IF(AND($D44="Serviço",AL$12&lt;&gt;0,$H44&gt;0,OR(AUTOEVENTO&lt;&gt;"manual",$M44&lt;&gt;1)),ROUND(OFFSET($P44,0,AL$13),15-13*ORÇAMENTO!$AF$7)/$H44*OFFSET(ORÇAMENTO!$X$15,ROW(AL44)-ROW(AL$15),0),0)</f>
        <v>0</v>
      </c>
      <c r="AM44" s="632">
        <f ca="1">IF(AND($D44="Serviço",AM$12&lt;&gt;0,$H44&gt;0,OR(AUTOEVENTO&lt;&gt;"manual",$M44&lt;&gt;1)),ROUND(OFFSET($P44,0,AM$13),15-13*ORÇAMENTO!$AF$7)/$H44*OFFSET(ORÇAMENTO!$X$15,ROW(AM44)-ROW(AM$15),0),0)</f>
        <v>0</v>
      </c>
      <c r="AN44" s="632">
        <f ca="1">IF(AND($D44="Serviço",AN$12&lt;&gt;0,$H44&gt;0,OR(AUTOEVENTO&lt;&gt;"manual",$M44&lt;&gt;1)),ROUND(OFFSET($P44,0,AN$13),15-13*ORÇAMENTO!$AF$7)/$H44*OFFSET(ORÇAMENTO!$X$15,ROW(AN44)-ROW(AN$15),0),0)</f>
        <v>0</v>
      </c>
      <c r="AO44" s="632">
        <f ca="1">IF(AND($D44="Serviço",AO$12&lt;&gt;0,$H44&gt;0,OR(AUTOEVENTO&lt;&gt;"manual",$M44&lt;&gt;1)),ROUND(OFFSET($P44,0,AO$13),15-13*ORÇAMENTO!$AF$7)/$H44*OFFSET(ORÇAMENTO!$X$15,ROW(AO44)-ROW(AO$15),0),0)</f>
        <v>0</v>
      </c>
      <c r="AP44" s="632">
        <f ca="1">IF(AND($D44="Serviço",AP$12&lt;&gt;0,$H44&gt;0,OR(AUTOEVENTO&lt;&gt;"manual",$M44&lt;&gt;1)),ROUND(OFFSET($P44,0,AP$13),15-13*ORÇAMENTO!$AF$7)/$H44*OFFSET(ORÇAMENTO!$X$15,ROW(AP44)-ROW(AP$15),0),0)</f>
        <v>0</v>
      </c>
      <c r="AQ44" s="632">
        <f ca="1">IF(AND($D44="Serviço",AQ$12&lt;&gt;0,$H44&gt;0,OR(AUTOEVENTO&lt;&gt;"manual",$M44&lt;&gt;1)),ROUND(OFFSET($P44,0,AQ$13),15-13*ORÇAMENTO!$AF$7)/$H44*OFFSET(ORÇAMENTO!$X$15,ROW(AQ44)-ROW(AQ$15),0),0)</f>
        <v>0</v>
      </c>
      <c r="AR44" s="632">
        <f ca="1">IF(AND($D44="Serviço",AR$12&lt;&gt;0,$H44&gt;0,OR(AUTOEVENTO&lt;&gt;"manual",$M44&lt;&gt;1)),ROUND(OFFSET($P44,0,AR$13),15-13*ORÇAMENTO!$AF$7)/$H44*OFFSET(ORÇAMENTO!$X$15,ROW(AR44)-ROW(AR$15),0),0)</f>
        <v>0</v>
      </c>
      <c r="AS44" s="633">
        <f ca="1">IF(AND($D44="Serviço",AS$12&lt;&gt;0,$H44&gt;0,OR(AUTOEVENTO&lt;&gt;"manual",$M44&lt;&gt;1)),ROUND(OFFSET($P44,0,AS$13),15-13*ORÇAMENTO!$AF$7)/$H44*OFFSET(ORÇAMENTO!$X$15,ROW(AS44)-ROW(AS$15),0),0)</f>
        <v>0</v>
      </c>
      <c r="AT44" s="632">
        <f ca="1">IF(AND($D44="Serviço",AT$12&lt;&gt;0,$H44&gt;0,OR(AUTOEVENTO&lt;&gt;"manual",$M44&lt;&gt;1)),ROUND(OFFSET($P44,0,AT$13),15-13*ORÇAMENTO!$AF$7)/$H44*OFFSET(ORÇAMENTO!$X$15,ROW(AT44)-ROW(AT$15),0),0)</f>
        <v>0</v>
      </c>
      <c r="AU44" s="632">
        <f ca="1">IF(AND($D44="Serviço",AU$12&lt;&gt;0,$H44&gt;0,OR(AUTOEVENTO&lt;&gt;"manual",$M44&lt;&gt;1)),ROUND(OFFSET($P44,0,AU$13),15-13*ORÇAMENTO!$AF$7)/$H44*OFFSET(ORÇAMENTO!$X$15,ROW(AU44)-ROW(AU$15),0),0)</f>
        <v>0</v>
      </c>
      <c r="AV44" s="632">
        <f ca="1">IF(AND($D44="Serviço",AV$12&lt;&gt;0,$H44&gt;0,OR(AUTOEVENTO&lt;&gt;"manual",$M44&lt;&gt;1)),ROUND(OFFSET($P44,0,AV$13),15-13*ORÇAMENTO!$AF$7)/$H44*OFFSET(ORÇAMENTO!$X$15,ROW(AV44)-ROW(AV$15),0),0)</f>
        <v>0</v>
      </c>
      <c r="AW44" s="632">
        <f ca="1">IF(AND($D44="Serviço",AW$12&lt;&gt;0,$H44&gt;0,OR(AUTOEVENTO&lt;&gt;"manual",$M44&lt;&gt;1)),ROUND(OFFSET($P44,0,AW$13),15-13*ORÇAMENTO!$AF$7)/$H44*OFFSET(ORÇAMENTO!$X$15,ROW(AW44)-ROW(AW$15),0),0)</f>
        <v>0</v>
      </c>
      <c r="AX44" s="632">
        <f ca="1">IF(AND($D44="Serviço",AX$12&lt;&gt;0,$H44&gt;0,OR(AUTOEVENTO&lt;&gt;"manual",$M44&lt;&gt;1)),ROUND(OFFSET($P44,0,AX$13),15-13*ORÇAMENTO!$AF$7)/$H44*OFFSET(ORÇAMENTO!$X$15,ROW(AX44)-ROW(AX$15),0),0)</f>
        <v>0</v>
      </c>
      <c r="AY44" s="632">
        <f ca="1">IF(AND($D44="Serviço",AY$12&lt;&gt;0,$H44&gt;0,OR(AUTOEVENTO&lt;&gt;"manual",$M44&lt;&gt;1)),ROUND(OFFSET($P44,0,AY$13),15-13*ORÇAMENTO!$AF$7)/$H44*OFFSET(ORÇAMENTO!$X$15,ROW(AY44)-ROW(AY$15),0),0)</f>
        <v>0</v>
      </c>
      <c r="AZ44" s="632">
        <f ca="1">IF(AND($D44="Serviço",AZ$12&lt;&gt;0,$H44&gt;0,OR(AUTOEVENTO&lt;&gt;"manual",$M44&lt;&gt;1)),ROUND(OFFSET($P44,0,AZ$13),15-13*ORÇAMENTO!$AF$7)/$H44*OFFSET(ORÇAMENTO!$X$15,ROW(AZ44)-ROW(AZ$15),0),0)</f>
        <v>0</v>
      </c>
      <c r="BA44" s="633">
        <f ca="1">IF(AND($D44="Serviço",BA$12&lt;&gt;0,$H44&gt;0,OR(AUTOEVENTO&lt;&gt;"manual",$M44&lt;&gt;1)),ROUND(OFFSET($P44,0,BA$13),15-13*ORÇAMENTO!$AF$7)/$H44*OFFSET(ORÇAMENTO!$X$15,ROW(BA44)-ROW(BA$15),0),0)</f>
        <v>0</v>
      </c>
      <c r="BC44" s="215">
        <f ca="1">IF($D44&lt;&gt;"Serviço",0,IF(AND(AUTOEVENTO="Manual",$M44=1),0,IF(OFFSET(CRONOPLE!$F$14,$M44,BC$13)="",10^12,OFFSET(CRONOPLE!$F$14,$M44,BC$13))))</f>
        <v>1000000000000</v>
      </c>
      <c r="BD44" s="215">
        <f ca="1">IF($D44&lt;&gt;"Serviço",0,IF(AND(AUTOEVENTO="Manual",$M44=1),0,IF(OFFSET(CRONOPLE!$F$14,$M44,BD$13)="",10^12,OFFSET(CRONOPLE!$F$14,$M44,BD$13))))</f>
        <v>1000000000000</v>
      </c>
      <c r="BE44" s="215">
        <f ca="1">IF($D44&lt;&gt;"Serviço",0,IF(AND(AUTOEVENTO="Manual",$M44=1),0,IF(OFFSET(CRONOPLE!$F$14,$M44,BE$13)="",10^12,OFFSET(CRONOPLE!$F$14,$M44,BE$13))))</f>
        <v>1000000000000</v>
      </c>
      <c r="BF44" s="215">
        <f ca="1">IF($D44&lt;&gt;"Serviço",0,IF(AND(AUTOEVENTO="Manual",$M44=1),0,IF(OFFSET(CRONOPLE!$F$14,$M44,BF$13)="",10^12,OFFSET(CRONOPLE!$F$14,$M44,BF$13))))</f>
        <v>1000000000000</v>
      </c>
      <c r="BG44" s="215">
        <f ca="1">IF($D44&lt;&gt;"Serviço",0,IF(AND(AUTOEVENTO="Manual",$M44=1),0,IF(OFFSET(CRONOPLE!$F$14,$M44,BG$13)="",10^12,OFFSET(CRONOPLE!$F$14,$M44,BG$13))))</f>
        <v>1000000000000</v>
      </c>
      <c r="BH44" s="215">
        <f ca="1">IF($D44&lt;&gt;"Serviço",0,IF(AND(AUTOEVENTO="Manual",$M44=1),0,IF(OFFSET(CRONOPLE!$F$14,$M44,BH$13)="",10^12,OFFSET(CRONOPLE!$F$14,$M44,BH$13))))</f>
        <v>1000000000000</v>
      </c>
      <c r="BI44" s="215">
        <f ca="1">IF($D44&lt;&gt;"Serviço",0,IF(AND(AUTOEVENTO="Manual",$M44=1),0,IF(OFFSET(CRONOPLE!$F$14,$M44,BI$13)="",10^12,OFFSET(CRONOPLE!$F$14,$M44,BI$13))))</f>
        <v>1000000000000</v>
      </c>
      <c r="BJ44" s="215">
        <f ca="1">IF($D44&lt;&gt;"Serviço",0,IF(AND(AUTOEVENTO="Manual",$M44=1),0,IF(OFFSET(CRONOPLE!$F$14,$M44,BJ$13)="",10^12,OFFSET(CRONOPLE!$F$14,$M44,BJ$13))))</f>
        <v>1000000000000</v>
      </c>
      <c r="BK44" s="215">
        <f ca="1">IF($D44&lt;&gt;"Serviço",0,IF(AND(AUTOEVENTO="Manual",$M44=1),0,IF(OFFSET(CRONOPLE!$F$14,$M44,BK$13)="",10^12,OFFSET(CRONOPLE!$F$14,$M44,BK$13))))</f>
        <v>1000000000000</v>
      </c>
      <c r="BL44" s="215">
        <f ca="1">IF($D44&lt;&gt;"Serviço",0,IF(AND(AUTOEVENTO="Manual",$M44=1),0,IF(OFFSET(CRONOPLE!$F$14,$M44,BL$13)="",10^12,OFFSET(CRONOPLE!$F$14,$M44,BL$13))))</f>
        <v>1000000000000</v>
      </c>
      <c r="BM44" s="215">
        <f ca="1">IF($D44&lt;&gt;"Serviço",0,IF(AND(AUTOEVENTO="Manual",$M44=1),0,IF(OFFSET(CRONOPLE!$F$14,$M44,BM$13)="",10^12,OFFSET(CRONOPLE!$F$14,$M44,BM$13))))</f>
        <v>1000000000000</v>
      </c>
      <c r="BN44" s="215">
        <f ca="1">IF($D44&lt;&gt;"Serviço",0,IF(AND(AUTOEVENTO="Manual",$M44=1),0,IF(OFFSET(CRONOPLE!$F$14,$M44,BN$13)="",10^12,OFFSET(CRONOPLE!$F$14,$M44,BN$13))))</f>
        <v>1000000000000</v>
      </c>
      <c r="BO44" s="215">
        <f ca="1">IF($D44&lt;&gt;"Serviço",0,IF(AND(AUTOEVENTO="Manual",$M44=1),0,IF(OFFSET(CRONOPLE!$F$14,$M44,BO$13)="",10^12,OFFSET(CRONOPLE!$F$14,$M44,BO$13))))</f>
        <v>1000000000000</v>
      </c>
      <c r="BP44" s="215">
        <f ca="1">IF($D44&lt;&gt;"Serviço",0,IF(AND(AUTOEVENTO="Manual",$M44=1),0,IF(OFFSET(CRONOPLE!$F$14,$M44,BP$13)="",10^12,OFFSET(CRONOPLE!$F$14,$M44,BP$13))))</f>
        <v>1000000000000</v>
      </c>
      <c r="BQ44" s="215">
        <f ca="1">IF($D44&lt;&gt;"Serviço",0,IF(AND(AUTOEVENTO="Manual",$M44=1),0,IF(OFFSET(CRONOPLE!$F$14,$M44,BQ$13)="",10^12,OFFSET(CRONOPLE!$F$14,$M44,BQ$13))))</f>
        <v>1000000000000</v>
      </c>
      <c r="BR44" s="215">
        <f ca="1">IF($D44&lt;&gt;"Serviço",0,IF(AND(AUTOEVENTO="Manual",$M44=1),0,IF(OFFSET(CRONOPLE!$F$14,$M44,BR$13)="",10^12,OFFSET(CRONOPLE!$F$14,$M44,BR$13))))</f>
        <v>1000000000000</v>
      </c>
      <c r="BS44" s="215">
        <f ca="1">IF($D44&lt;&gt;"Serviço",0,IF(AND(AUTOEVENTO="Manual",$M44=1),0,IF(OFFSET(CRONOPLE!$F$14,$M44,BS$13)="",10^12,OFFSET(CRONOPLE!$F$14,$M44,BS$13))))</f>
        <v>1000000000000</v>
      </c>
      <c r="BT44" s="215">
        <f ca="1">IF($D44&lt;&gt;"Serviço",0,IF(AND(AUTOEVENTO="Manual",$M44=1),0,IF(OFFSET(CRONOPLE!$F$14,$M44,BT$13)="",10^12,OFFSET(CRONOPLE!$F$14,$M44,BT$13))))</f>
        <v>1000000000000</v>
      </c>
      <c r="BV44" s="216">
        <f ca="1">IF($D44&lt;&gt;"Serviço",0,IF(OR(AND(AUTOEVENTO="Manual",$M44=1),$M44&gt;(ROW(PLE.lastrow)-ROW(PLE.firstrow))),0,IF(OFFSET(PLE!$G$14,$M44,BV$13)="",10^12,OFFSET(PLE!$G$14,$M44,BV$13))))</f>
        <v>1000000000000</v>
      </c>
      <c r="BW44" s="216">
        <f ca="1">IF($D44&lt;&gt;"Serviço",0,IF(OR(AND(AUTOEVENTO="Manual",$M44=1),$M44&gt;(ROW(PLE.lastrow)-ROW(PLE.firstrow))),0,IF(OFFSET(PLE!$G$14,$M44,BW$13)="",10^12,OFFSET(PLE!$G$14,$M44,BW$13))))</f>
        <v>1000000000000</v>
      </c>
      <c r="BX44" s="216">
        <f ca="1">IF($D44&lt;&gt;"Serviço",0,IF(OR(AND(AUTOEVENTO="Manual",$M44=1),$M44&gt;(ROW(PLE.lastrow)-ROW(PLE.firstrow))),0,IF(OFFSET(PLE!$G$14,$M44,BX$13)="",10^12,OFFSET(PLE!$G$14,$M44,BX$13))))</f>
        <v>1000000000000</v>
      </c>
      <c r="BY44" s="216">
        <f ca="1">IF($D44&lt;&gt;"Serviço",0,IF(OR(AND(AUTOEVENTO="Manual",$M44=1),$M44&gt;(ROW(PLE.lastrow)-ROW(PLE.firstrow))),0,IF(OFFSET(PLE!$G$14,$M44,BY$13)="",10^12,OFFSET(PLE!$G$14,$M44,BY$13))))</f>
        <v>1000000000000</v>
      </c>
      <c r="BZ44" s="216">
        <f ca="1">IF($D44&lt;&gt;"Serviço",0,IF(OR(AND(AUTOEVENTO="Manual",$M44=1),$M44&gt;(ROW(PLE.lastrow)-ROW(PLE.firstrow))),0,IF(OFFSET(PLE!$G$14,$M44,BZ$13)="",10^12,OFFSET(PLE!$G$14,$M44,BZ$13))))</f>
        <v>1000000000000</v>
      </c>
      <c r="CA44" s="216">
        <f ca="1">IF($D44&lt;&gt;"Serviço",0,IF(OR(AND(AUTOEVENTO="Manual",$M44=1),$M44&gt;(ROW(PLE.lastrow)-ROW(PLE.firstrow))),0,IF(OFFSET(PLE!$G$14,$M44,CA$13)="",10^12,OFFSET(PLE!$G$14,$M44,CA$13))))</f>
        <v>1000000000000</v>
      </c>
      <c r="CB44" s="216">
        <f ca="1">IF($D44&lt;&gt;"Serviço",0,IF(OR(AND(AUTOEVENTO="Manual",$M44=1),$M44&gt;(ROW(PLE.lastrow)-ROW(PLE.firstrow))),0,IF(OFFSET(PLE!$G$14,$M44,CB$13)="",10^12,OFFSET(PLE!$G$14,$M44,CB$13))))</f>
        <v>1000000000000</v>
      </c>
      <c r="CC44" s="216">
        <f ca="1">IF($D44&lt;&gt;"Serviço",0,IF(OR(AND(AUTOEVENTO="Manual",$M44=1),$M44&gt;(ROW(PLE.lastrow)-ROW(PLE.firstrow))),0,IF(OFFSET(PLE!$G$14,$M44,CC$13)="",10^12,OFFSET(PLE!$G$14,$M44,CC$13))))</f>
        <v>1000000000000</v>
      </c>
      <c r="CD44" s="216">
        <f ca="1">IF($D44&lt;&gt;"Serviço",0,IF(OR(AND(AUTOEVENTO="Manual",$M44=1),$M44&gt;(ROW(PLE.lastrow)-ROW(PLE.firstrow))),0,IF(OFFSET(PLE!$G$14,$M44,CD$13)="",10^12,OFFSET(PLE!$G$14,$M44,CD$13))))</f>
        <v>1000000000000</v>
      </c>
      <c r="CE44" s="216">
        <f ca="1">IF($D44&lt;&gt;"Serviço",0,IF(OR(AND(AUTOEVENTO="Manual",$M44=1),$M44&gt;(ROW(PLE.lastrow)-ROW(PLE.firstrow))),0,IF(OFFSET(PLE!$G$14,$M44,CE$13)="",10^12,OFFSET(PLE!$G$14,$M44,CE$13))))</f>
        <v>1000000000000</v>
      </c>
      <c r="CF44" s="216">
        <f ca="1">IF($D44&lt;&gt;"Serviço",0,IF(OR(AND(AUTOEVENTO="Manual",$M44=1),$M44&gt;(ROW(PLE.lastrow)-ROW(PLE.firstrow))),0,IF(OFFSET(PLE!$G$14,$M44,CF$13)="",10^12,OFFSET(PLE!$G$14,$M44,CF$13))))</f>
        <v>1000000000000</v>
      </c>
      <c r="CG44" s="216">
        <f ca="1">IF($D44&lt;&gt;"Serviço",0,IF(OR(AND(AUTOEVENTO="Manual",$M44=1),$M44&gt;(ROW(PLE.lastrow)-ROW(PLE.firstrow))),0,IF(OFFSET(PLE!$G$14,$M44,CG$13)="",10^12,OFFSET(PLE!$G$14,$M44,CG$13))))</f>
        <v>1000000000000</v>
      </c>
      <c r="CH44" s="216">
        <f ca="1">IF($D44&lt;&gt;"Serviço",0,IF(OR(AND(AUTOEVENTO="Manual",$M44=1),$M44&gt;(ROW(PLE.lastrow)-ROW(PLE.firstrow))),0,IF(OFFSET(PLE!$G$14,$M44,CH$13)="",10^12,OFFSET(PLE!$G$14,$M44,CH$13))))</f>
        <v>1000000000000</v>
      </c>
      <c r="CI44" s="216">
        <f ca="1">IF($D44&lt;&gt;"Serviço",0,IF(OR(AND(AUTOEVENTO="Manual",$M44=1),$M44&gt;(ROW(PLE.lastrow)-ROW(PLE.firstrow))),0,IF(OFFSET(PLE!$G$14,$M44,CI$13)="",10^12,OFFSET(PLE!$G$14,$M44,CI$13))))</f>
        <v>1000000000000</v>
      </c>
      <c r="CJ44" s="216">
        <f ca="1">IF($D44&lt;&gt;"Serviço",0,IF(OR(AND(AUTOEVENTO="Manual",$M44=1),$M44&gt;(ROW(PLE.lastrow)-ROW(PLE.firstrow))),0,IF(OFFSET(PLE!$G$14,$M44,CJ$13)="",10^12,OFFSET(PLE!$G$14,$M44,CJ$13))))</f>
        <v>1000000000000</v>
      </c>
      <c r="CK44" s="216">
        <f ca="1">IF($D44&lt;&gt;"Serviço",0,IF(OR(AND(AUTOEVENTO="Manual",$M44=1),$M44&gt;(ROW(PLE.lastrow)-ROW(PLE.firstrow))),0,IF(OFFSET(PLE!$G$14,$M44,CK$13)="",10^12,OFFSET(PLE!$G$14,$M44,CK$13))))</f>
        <v>1000000000000</v>
      </c>
      <c r="CL44" s="216">
        <f ca="1">IF($D44&lt;&gt;"Serviço",0,IF(OR(AND(AUTOEVENTO="Manual",$M44=1),$M44&gt;(ROW(PLE.lastrow)-ROW(PLE.firstrow))),0,IF(OFFSET(PLE!$G$14,$M44,CL$13)="",10^12,OFFSET(PLE!$G$14,$M44,CL$13))))</f>
        <v>1000000000000</v>
      </c>
      <c r="CM44" s="216">
        <f ca="1">IF($D44&lt;&gt;"Serviço",0,IF(OR(AND(AUTOEVENTO="Manual",$M44=1),$M44&gt;(ROW(PLE.lastrow)-ROW(PLE.firstrow))),0,IF(OFFSET(PLE!$G$14,$M44,CM$13)="",10^12,OFFSET(PLE!$G$14,$M44,CM$13))))</f>
        <v>1000000000000</v>
      </c>
    </row>
    <row r="45" spans="1:91" ht="13.2" x14ac:dyDescent="0.25">
      <c r="A45" s="9">
        <f t="shared" ca="1" si="9"/>
        <v>0</v>
      </c>
      <c r="B45" s="9" t="str">
        <f ca="1">OFFSET(ORÇAMENTO!C$15,ROW(B45)-ROW(B$15),0)</f>
        <v>S</v>
      </c>
      <c r="C45" s="9" t="str">
        <f ca="1">OFFSET(ORÇAMENTO!L$15,ROW(C45)-ROW(C$15),0)</f>
        <v/>
      </c>
      <c r="D45" s="145" t="str">
        <f ca="1">OFFSET(ORÇAMENTO!N$15,ROW(D45)-ROW(D$15),0)</f>
        <v>Serviço</v>
      </c>
      <c r="E45" s="205" t="str">
        <f ca="1">OFFSET(ORÇAMENTO!O$15,ROW(E45)-ROW(E$15),0)</f>
        <v>-</v>
      </c>
      <c r="F45" s="206" t="str">
        <f ca="1">OFFSET(ORÇAMENTO!R$15,ROW(F45)-ROW(F$15),0)</f>
        <v>(abra o arquivo 'Referência 05-2024.xls)</v>
      </c>
      <c r="G45" s="207" t="str">
        <f ca="1">IF($D45&lt;&gt;"Serviço","",OFFSET(ORÇAMENTO!S$15,ROW(G45)-ROW(G$15),0))</f>
        <v>-</v>
      </c>
      <c r="H45" s="151">
        <f ca="1">IF($D45&lt;&gt;"Serviço",0,IF(ACOMPANHAMENTO="BM",ROUND(OFFSET(ORÇAMENTO!AJ$15,ROW(H45)-ROW(H$15),0),15-13*ORÇAMENTO!$AF$7),SUMPRODUCT(($Q$12:$AI$12&lt;&gt;"")*ROUND($Q45:$AI45,15-13*ORÇAMENTO!$AF$7))))</f>
        <v>44.46</v>
      </c>
      <c r="I45" s="650"/>
      <c r="K45" s="208"/>
      <c r="L45" s="209" t="s">
        <v>257</v>
      </c>
      <c r="M45" s="210">
        <f ca="1">IF($D45&lt;&gt;"Serviço","",IF(AUTOEVENTO="manual",$A45,IF(ISERROR(MATCH($A45,$A$15:OFFSET($A45,-1,0),0)),MAX($M$15:OFFSET(M45,-1,0))+1,INDEX($M$15:OFFSET(M45,-1,0),MATCH($A45,$A$15:OFFSET($A45,-1,0),0)))))</f>
        <v>0</v>
      </c>
      <c r="N45" s="211" t="str">
        <f ca="1">IF($D45&lt;&gt;"Serviço","",IF(AUTOEVENTO="Manual",IF($A45=0,"&lt;-- defina o número do agrupador",OFFSET(EVENTOS!$D$14,$A45,0)),OFFSET($F$15,$A45,0)))</f>
        <v>&lt;-- defina o número do agrupador</v>
      </c>
      <c r="O45" s="212"/>
      <c r="Q45" s="212"/>
      <c r="R45" s="213"/>
      <c r="S45" s="213"/>
      <c r="T45" s="213"/>
      <c r="U45" s="213"/>
      <c r="V45" s="213"/>
      <c r="W45" s="213"/>
      <c r="X45" s="213"/>
      <c r="Y45" s="213"/>
      <c r="Z45" s="214"/>
      <c r="AA45" s="213"/>
      <c r="AB45" s="213"/>
      <c r="AC45" s="213"/>
      <c r="AD45" s="213"/>
      <c r="AE45" s="213"/>
      <c r="AF45" s="213"/>
      <c r="AG45" s="213"/>
      <c r="AH45" s="214"/>
      <c r="AJ45" s="631">
        <f ca="1">IF(AND($D45="Serviço",AJ$12&lt;&gt;0,$H45&gt;0,OR(AUTOEVENTO&lt;&gt;"manual",$M45&lt;&gt;1)),ROUND(OFFSET($P45,0,AJ$13),15-13*ORÇAMENTO!$AF$7)/$H45*OFFSET(ORÇAMENTO!$X$15,ROW(AJ45)-ROW(AJ$15),0),0)</f>
        <v>0</v>
      </c>
      <c r="AK45" s="632">
        <f ca="1">IF(AND($D45="Serviço",AK$12&lt;&gt;0,$H45&gt;0,OR(AUTOEVENTO&lt;&gt;"manual",$M45&lt;&gt;1)),ROUND(OFFSET($P45,0,AK$13),15-13*ORÇAMENTO!$AF$7)/$H45*OFFSET(ORÇAMENTO!$X$15,ROW(AK45)-ROW(AK$15),0),0)</f>
        <v>0</v>
      </c>
      <c r="AL45" s="632">
        <f ca="1">IF(AND($D45="Serviço",AL$12&lt;&gt;0,$H45&gt;0,OR(AUTOEVENTO&lt;&gt;"manual",$M45&lt;&gt;1)),ROUND(OFFSET($P45,0,AL$13),15-13*ORÇAMENTO!$AF$7)/$H45*OFFSET(ORÇAMENTO!$X$15,ROW(AL45)-ROW(AL$15),0),0)</f>
        <v>0</v>
      </c>
      <c r="AM45" s="632">
        <f ca="1">IF(AND($D45="Serviço",AM$12&lt;&gt;0,$H45&gt;0,OR(AUTOEVENTO&lt;&gt;"manual",$M45&lt;&gt;1)),ROUND(OFFSET($P45,0,AM$13),15-13*ORÇAMENTO!$AF$7)/$H45*OFFSET(ORÇAMENTO!$X$15,ROW(AM45)-ROW(AM$15),0),0)</f>
        <v>0</v>
      </c>
      <c r="AN45" s="632">
        <f ca="1">IF(AND($D45="Serviço",AN$12&lt;&gt;0,$H45&gt;0,OR(AUTOEVENTO&lt;&gt;"manual",$M45&lt;&gt;1)),ROUND(OFFSET($P45,0,AN$13),15-13*ORÇAMENTO!$AF$7)/$H45*OFFSET(ORÇAMENTO!$X$15,ROW(AN45)-ROW(AN$15),0),0)</f>
        <v>0</v>
      </c>
      <c r="AO45" s="632">
        <f ca="1">IF(AND($D45="Serviço",AO$12&lt;&gt;0,$H45&gt;0,OR(AUTOEVENTO&lt;&gt;"manual",$M45&lt;&gt;1)),ROUND(OFFSET($P45,0,AO$13),15-13*ORÇAMENTO!$AF$7)/$H45*OFFSET(ORÇAMENTO!$X$15,ROW(AO45)-ROW(AO$15),0),0)</f>
        <v>0</v>
      </c>
      <c r="AP45" s="632">
        <f ca="1">IF(AND($D45="Serviço",AP$12&lt;&gt;0,$H45&gt;0,OR(AUTOEVENTO&lt;&gt;"manual",$M45&lt;&gt;1)),ROUND(OFFSET($P45,0,AP$13),15-13*ORÇAMENTO!$AF$7)/$H45*OFFSET(ORÇAMENTO!$X$15,ROW(AP45)-ROW(AP$15),0),0)</f>
        <v>0</v>
      </c>
      <c r="AQ45" s="632">
        <f ca="1">IF(AND($D45="Serviço",AQ$12&lt;&gt;0,$H45&gt;0,OR(AUTOEVENTO&lt;&gt;"manual",$M45&lt;&gt;1)),ROUND(OFFSET($P45,0,AQ$13),15-13*ORÇAMENTO!$AF$7)/$H45*OFFSET(ORÇAMENTO!$X$15,ROW(AQ45)-ROW(AQ$15),0),0)</f>
        <v>0</v>
      </c>
      <c r="AR45" s="632">
        <f ca="1">IF(AND($D45="Serviço",AR$12&lt;&gt;0,$H45&gt;0,OR(AUTOEVENTO&lt;&gt;"manual",$M45&lt;&gt;1)),ROUND(OFFSET($P45,0,AR$13),15-13*ORÇAMENTO!$AF$7)/$H45*OFFSET(ORÇAMENTO!$X$15,ROW(AR45)-ROW(AR$15),0),0)</f>
        <v>0</v>
      </c>
      <c r="AS45" s="633">
        <f ca="1">IF(AND($D45="Serviço",AS$12&lt;&gt;0,$H45&gt;0,OR(AUTOEVENTO&lt;&gt;"manual",$M45&lt;&gt;1)),ROUND(OFFSET($P45,0,AS$13),15-13*ORÇAMENTO!$AF$7)/$H45*OFFSET(ORÇAMENTO!$X$15,ROW(AS45)-ROW(AS$15),0),0)</f>
        <v>0</v>
      </c>
      <c r="AT45" s="632">
        <f ca="1">IF(AND($D45="Serviço",AT$12&lt;&gt;0,$H45&gt;0,OR(AUTOEVENTO&lt;&gt;"manual",$M45&lt;&gt;1)),ROUND(OFFSET($P45,0,AT$13),15-13*ORÇAMENTO!$AF$7)/$H45*OFFSET(ORÇAMENTO!$X$15,ROW(AT45)-ROW(AT$15),0),0)</f>
        <v>0</v>
      </c>
      <c r="AU45" s="632">
        <f ca="1">IF(AND($D45="Serviço",AU$12&lt;&gt;0,$H45&gt;0,OR(AUTOEVENTO&lt;&gt;"manual",$M45&lt;&gt;1)),ROUND(OFFSET($P45,0,AU$13),15-13*ORÇAMENTO!$AF$7)/$H45*OFFSET(ORÇAMENTO!$X$15,ROW(AU45)-ROW(AU$15),0),0)</f>
        <v>0</v>
      </c>
      <c r="AV45" s="632">
        <f ca="1">IF(AND($D45="Serviço",AV$12&lt;&gt;0,$H45&gt;0,OR(AUTOEVENTO&lt;&gt;"manual",$M45&lt;&gt;1)),ROUND(OFFSET($P45,0,AV$13),15-13*ORÇAMENTO!$AF$7)/$H45*OFFSET(ORÇAMENTO!$X$15,ROW(AV45)-ROW(AV$15),0),0)</f>
        <v>0</v>
      </c>
      <c r="AW45" s="632">
        <f ca="1">IF(AND($D45="Serviço",AW$12&lt;&gt;0,$H45&gt;0,OR(AUTOEVENTO&lt;&gt;"manual",$M45&lt;&gt;1)),ROUND(OFFSET($P45,0,AW$13),15-13*ORÇAMENTO!$AF$7)/$H45*OFFSET(ORÇAMENTO!$X$15,ROW(AW45)-ROW(AW$15),0),0)</f>
        <v>0</v>
      </c>
      <c r="AX45" s="632">
        <f ca="1">IF(AND($D45="Serviço",AX$12&lt;&gt;0,$H45&gt;0,OR(AUTOEVENTO&lt;&gt;"manual",$M45&lt;&gt;1)),ROUND(OFFSET($P45,0,AX$13),15-13*ORÇAMENTO!$AF$7)/$H45*OFFSET(ORÇAMENTO!$X$15,ROW(AX45)-ROW(AX$15),0),0)</f>
        <v>0</v>
      </c>
      <c r="AY45" s="632">
        <f ca="1">IF(AND($D45="Serviço",AY$12&lt;&gt;0,$H45&gt;0,OR(AUTOEVENTO&lt;&gt;"manual",$M45&lt;&gt;1)),ROUND(OFFSET($P45,0,AY$13),15-13*ORÇAMENTO!$AF$7)/$H45*OFFSET(ORÇAMENTO!$X$15,ROW(AY45)-ROW(AY$15),0),0)</f>
        <v>0</v>
      </c>
      <c r="AZ45" s="632">
        <f ca="1">IF(AND($D45="Serviço",AZ$12&lt;&gt;0,$H45&gt;0,OR(AUTOEVENTO&lt;&gt;"manual",$M45&lt;&gt;1)),ROUND(OFFSET($P45,0,AZ$13),15-13*ORÇAMENTO!$AF$7)/$H45*OFFSET(ORÇAMENTO!$X$15,ROW(AZ45)-ROW(AZ$15),0),0)</f>
        <v>0</v>
      </c>
      <c r="BA45" s="633">
        <f ca="1">IF(AND($D45="Serviço",BA$12&lt;&gt;0,$H45&gt;0,OR(AUTOEVENTO&lt;&gt;"manual",$M45&lt;&gt;1)),ROUND(OFFSET($P45,0,BA$13),15-13*ORÇAMENTO!$AF$7)/$H45*OFFSET(ORÇAMENTO!$X$15,ROW(BA45)-ROW(BA$15),0),0)</f>
        <v>0</v>
      </c>
      <c r="BC45" s="215">
        <f ca="1">IF($D45&lt;&gt;"Serviço",0,IF(AND(AUTOEVENTO="Manual",$M45=1),0,IF(OFFSET(CRONOPLE!$F$14,$M45,BC$13)="",10^12,OFFSET(CRONOPLE!$F$14,$M45,BC$13))))</f>
        <v>1000000000000</v>
      </c>
      <c r="BD45" s="215">
        <f ca="1">IF($D45&lt;&gt;"Serviço",0,IF(AND(AUTOEVENTO="Manual",$M45=1),0,IF(OFFSET(CRONOPLE!$F$14,$M45,BD$13)="",10^12,OFFSET(CRONOPLE!$F$14,$M45,BD$13))))</f>
        <v>1000000000000</v>
      </c>
      <c r="BE45" s="215">
        <f ca="1">IF($D45&lt;&gt;"Serviço",0,IF(AND(AUTOEVENTO="Manual",$M45=1),0,IF(OFFSET(CRONOPLE!$F$14,$M45,BE$13)="",10^12,OFFSET(CRONOPLE!$F$14,$M45,BE$13))))</f>
        <v>1000000000000</v>
      </c>
      <c r="BF45" s="215">
        <f ca="1">IF($D45&lt;&gt;"Serviço",0,IF(AND(AUTOEVENTO="Manual",$M45=1),0,IF(OFFSET(CRONOPLE!$F$14,$M45,BF$13)="",10^12,OFFSET(CRONOPLE!$F$14,$M45,BF$13))))</f>
        <v>1000000000000</v>
      </c>
      <c r="BG45" s="215">
        <f ca="1">IF($D45&lt;&gt;"Serviço",0,IF(AND(AUTOEVENTO="Manual",$M45=1),0,IF(OFFSET(CRONOPLE!$F$14,$M45,BG$13)="",10^12,OFFSET(CRONOPLE!$F$14,$M45,BG$13))))</f>
        <v>1000000000000</v>
      </c>
      <c r="BH45" s="215">
        <f ca="1">IF($D45&lt;&gt;"Serviço",0,IF(AND(AUTOEVENTO="Manual",$M45=1),0,IF(OFFSET(CRONOPLE!$F$14,$M45,BH$13)="",10^12,OFFSET(CRONOPLE!$F$14,$M45,BH$13))))</f>
        <v>1000000000000</v>
      </c>
      <c r="BI45" s="215">
        <f ca="1">IF($D45&lt;&gt;"Serviço",0,IF(AND(AUTOEVENTO="Manual",$M45=1),0,IF(OFFSET(CRONOPLE!$F$14,$M45,BI$13)="",10^12,OFFSET(CRONOPLE!$F$14,$M45,BI$13))))</f>
        <v>1000000000000</v>
      </c>
      <c r="BJ45" s="215">
        <f ca="1">IF($D45&lt;&gt;"Serviço",0,IF(AND(AUTOEVENTO="Manual",$M45=1),0,IF(OFFSET(CRONOPLE!$F$14,$M45,BJ$13)="",10^12,OFFSET(CRONOPLE!$F$14,$M45,BJ$13))))</f>
        <v>1000000000000</v>
      </c>
      <c r="BK45" s="215">
        <f ca="1">IF($D45&lt;&gt;"Serviço",0,IF(AND(AUTOEVENTO="Manual",$M45=1),0,IF(OFFSET(CRONOPLE!$F$14,$M45,BK$13)="",10^12,OFFSET(CRONOPLE!$F$14,$M45,BK$13))))</f>
        <v>1000000000000</v>
      </c>
      <c r="BL45" s="215">
        <f ca="1">IF($D45&lt;&gt;"Serviço",0,IF(AND(AUTOEVENTO="Manual",$M45=1),0,IF(OFFSET(CRONOPLE!$F$14,$M45,BL$13)="",10^12,OFFSET(CRONOPLE!$F$14,$M45,BL$13))))</f>
        <v>1000000000000</v>
      </c>
      <c r="BM45" s="215">
        <f ca="1">IF($D45&lt;&gt;"Serviço",0,IF(AND(AUTOEVENTO="Manual",$M45=1),0,IF(OFFSET(CRONOPLE!$F$14,$M45,BM$13)="",10^12,OFFSET(CRONOPLE!$F$14,$M45,BM$13))))</f>
        <v>1000000000000</v>
      </c>
      <c r="BN45" s="215">
        <f ca="1">IF($D45&lt;&gt;"Serviço",0,IF(AND(AUTOEVENTO="Manual",$M45=1),0,IF(OFFSET(CRONOPLE!$F$14,$M45,BN$13)="",10^12,OFFSET(CRONOPLE!$F$14,$M45,BN$13))))</f>
        <v>1000000000000</v>
      </c>
      <c r="BO45" s="215">
        <f ca="1">IF($D45&lt;&gt;"Serviço",0,IF(AND(AUTOEVENTO="Manual",$M45=1),0,IF(OFFSET(CRONOPLE!$F$14,$M45,BO$13)="",10^12,OFFSET(CRONOPLE!$F$14,$M45,BO$13))))</f>
        <v>1000000000000</v>
      </c>
      <c r="BP45" s="215">
        <f ca="1">IF($D45&lt;&gt;"Serviço",0,IF(AND(AUTOEVENTO="Manual",$M45=1),0,IF(OFFSET(CRONOPLE!$F$14,$M45,BP$13)="",10^12,OFFSET(CRONOPLE!$F$14,$M45,BP$13))))</f>
        <v>1000000000000</v>
      </c>
      <c r="BQ45" s="215">
        <f ca="1">IF($D45&lt;&gt;"Serviço",0,IF(AND(AUTOEVENTO="Manual",$M45=1),0,IF(OFFSET(CRONOPLE!$F$14,$M45,BQ$13)="",10^12,OFFSET(CRONOPLE!$F$14,$M45,BQ$13))))</f>
        <v>1000000000000</v>
      </c>
      <c r="BR45" s="215">
        <f ca="1">IF($D45&lt;&gt;"Serviço",0,IF(AND(AUTOEVENTO="Manual",$M45=1),0,IF(OFFSET(CRONOPLE!$F$14,$M45,BR$13)="",10^12,OFFSET(CRONOPLE!$F$14,$M45,BR$13))))</f>
        <v>1000000000000</v>
      </c>
      <c r="BS45" s="215">
        <f ca="1">IF($D45&lt;&gt;"Serviço",0,IF(AND(AUTOEVENTO="Manual",$M45=1),0,IF(OFFSET(CRONOPLE!$F$14,$M45,BS$13)="",10^12,OFFSET(CRONOPLE!$F$14,$M45,BS$13))))</f>
        <v>1000000000000</v>
      </c>
      <c r="BT45" s="215">
        <f ca="1">IF($D45&lt;&gt;"Serviço",0,IF(AND(AUTOEVENTO="Manual",$M45=1),0,IF(OFFSET(CRONOPLE!$F$14,$M45,BT$13)="",10^12,OFFSET(CRONOPLE!$F$14,$M45,BT$13))))</f>
        <v>1000000000000</v>
      </c>
      <c r="BV45" s="216">
        <f ca="1">IF($D45&lt;&gt;"Serviço",0,IF(OR(AND(AUTOEVENTO="Manual",$M45=1),$M45&gt;(ROW(PLE.lastrow)-ROW(PLE.firstrow))),0,IF(OFFSET(PLE!$G$14,$M45,BV$13)="",10^12,OFFSET(PLE!$G$14,$M45,BV$13))))</f>
        <v>1000000000000</v>
      </c>
      <c r="BW45" s="216">
        <f ca="1">IF($D45&lt;&gt;"Serviço",0,IF(OR(AND(AUTOEVENTO="Manual",$M45=1),$M45&gt;(ROW(PLE.lastrow)-ROW(PLE.firstrow))),0,IF(OFFSET(PLE!$G$14,$M45,BW$13)="",10^12,OFFSET(PLE!$G$14,$M45,BW$13))))</f>
        <v>1000000000000</v>
      </c>
      <c r="BX45" s="216">
        <f ca="1">IF($D45&lt;&gt;"Serviço",0,IF(OR(AND(AUTOEVENTO="Manual",$M45=1),$M45&gt;(ROW(PLE.lastrow)-ROW(PLE.firstrow))),0,IF(OFFSET(PLE!$G$14,$M45,BX$13)="",10^12,OFFSET(PLE!$G$14,$M45,BX$13))))</f>
        <v>1000000000000</v>
      </c>
      <c r="BY45" s="216">
        <f ca="1">IF($D45&lt;&gt;"Serviço",0,IF(OR(AND(AUTOEVENTO="Manual",$M45=1),$M45&gt;(ROW(PLE.lastrow)-ROW(PLE.firstrow))),0,IF(OFFSET(PLE!$G$14,$M45,BY$13)="",10^12,OFFSET(PLE!$G$14,$M45,BY$13))))</f>
        <v>1000000000000</v>
      </c>
      <c r="BZ45" s="216">
        <f ca="1">IF($D45&lt;&gt;"Serviço",0,IF(OR(AND(AUTOEVENTO="Manual",$M45=1),$M45&gt;(ROW(PLE.lastrow)-ROW(PLE.firstrow))),0,IF(OFFSET(PLE!$G$14,$M45,BZ$13)="",10^12,OFFSET(PLE!$G$14,$M45,BZ$13))))</f>
        <v>1000000000000</v>
      </c>
      <c r="CA45" s="216">
        <f ca="1">IF($D45&lt;&gt;"Serviço",0,IF(OR(AND(AUTOEVENTO="Manual",$M45=1),$M45&gt;(ROW(PLE.lastrow)-ROW(PLE.firstrow))),0,IF(OFFSET(PLE!$G$14,$M45,CA$13)="",10^12,OFFSET(PLE!$G$14,$M45,CA$13))))</f>
        <v>1000000000000</v>
      </c>
      <c r="CB45" s="216">
        <f ca="1">IF($D45&lt;&gt;"Serviço",0,IF(OR(AND(AUTOEVENTO="Manual",$M45=1),$M45&gt;(ROW(PLE.lastrow)-ROW(PLE.firstrow))),0,IF(OFFSET(PLE!$G$14,$M45,CB$13)="",10^12,OFFSET(PLE!$G$14,$M45,CB$13))))</f>
        <v>1000000000000</v>
      </c>
      <c r="CC45" s="216">
        <f ca="1">IF($D45&lt;&gt;"Serviço",0,IF(OR(AND(AUTOEVENTO="Manual",$M45=1),$M45&gt;(ROW(PLE.lastrow)-ROW(PLE.firstrow))),0,IF(OFFSET(PLE!$G$14,$M45,CC$13)="",10^12,OFFSET(PLE!$G$14,$M45,CC$13))))</f>
        <v>1000000000000</v>
      </c>
      <c r="CD45" s="216">
        <f ca="1">IF($D45&lt;&gt;"Serviço",0,IF(OR(AND(AUTOEVENTO="Manual",$M45=1),$M45&gt;(ROW(PLE.lastrow)-ROW(PLE.firstrow))),0,IF(OFFSET(PLE!$G$14,$M45,CD$13)="",10^12,OFFSET(PLE!$G$14,$M45,CD$13))))</f>
        <v>1000000000000</v>
      </c>
      <c r="CE45" s="216">
        <f ca="1">IF($D45&lt;&gt;"Serviço",0,IF(OR(AND(AUTOEVENTO="Manual",$M45=1),$M45&gt;(ROW(PLE.lastrow)-ROW(PLE.firstrow))),0,IF(OFFSET(PLE!$G$14,$M45,CE$13)="",10^12,OFFSET(PLE!$G$14,$M45,CE$13))))</f>
        <v>1000000000000</v>
      </c>
      <c r="CF45" s="216">
        <f ca="1">IF($D45&lt;&gt;"Serviço",0,IF(OR(AND(AUTOEVENTO="Manual",$M45=1),$M45&gt;(ROW(PLE.lastrow)-ROW(PLE.firstrow))),0,IF(OFFSET(PLE!$G$14,$M45,CF$13)="",10^12,OFFSET(PLE!$G$14,$M45,CF$13))))</f>
        <v>1000000000000</v>
      </c>
      <c r="CG45" s="216">
        <f ca="1">IF($D45&lt;&gt;"Serviço",0,IF(OR(AND(AUTOEVENTO="Manual",$M45=1),$M45&gt;(ROW(PLE.lastrow)-ROW(PLE.firstrow))),0,IF(OFFSET(PLE!$G$14,$M45,CG$13)="",10^12,OFFSET(PLE!$G$14,$M45,CG$13))))</f>
        <v>1000000000000</v>
      </c>
      <c r="CH45" s="216">
        <f ca="1">IF($D45&lt;&gt;"Serviço",0,IF(OR(AND(AUTOEVENTO="Manual",$M45=1),$M45&gt;(ROW(PLE.lastrow)-ROW(PLE.firstrow))),0,IF(OFFSET(PLE!$G$14,$M45,CH$13)="",10^12,OFFSET(PLE!$G$14,$M45,CH$13))))</f>
        <v>1000000000000</v>
      </c>
      <c r="CI45" s="216">
        <f ca="1">IF($D45&lt;&gt;"Serviço",0,IF(OR(AND(AUTOEVENTO="Manual",$M45=1),$M45&gt;(ROW(PLE.lastrow)-ROW(PLE.firstrow))),0,IF(OFFSET(PLE!$G$14,$M45,CI$13)="",10^12,OFFSET(PLE!$G$14,$M45,CI$13))))</f>
        <v>1000000000000</v>
      </c>
      <c r="CJ45" s="216">
        <f ca="1">IF($D45&lt;&gt;"Serviço",0,IF(OR(AND(AUTOEVENTO="Manual",$M45=1),$M45&gt;(ROW(PLE.lastrow)-ROW(PLE.firstrow))),0,IF(OFFSET(PLE!$G$14,$M45,CJ$13)="",10^12,OFFSET(PLE!$G$14,$M45,CJ$13))))</f>
        <v>1000000000000</v>
      </c>
      <c r="CK45" s="216">
        <f ca="1">IF($D45&lt;&gt;"Serviço",0,IF(OR(AND(AUTOEVENTO="Manual",$M45=1),$M45&gt;(ROW(PLE.lastrow)-ROW(PLE.firstrow))),0,IF(OFFSET(PLE!$G$14,$M45,CK$13)="",10^12,OFFSET(PLE!$G$14,$M45,CK$13))))</f>
        <v>1000000000000</v>
      </c>
      <c r="CL45" s="216">
        <f ca="1">IF($D45&lt;&gt;"Serviço",0,IF(OR(AND(AUTOEVENTO="Manual",$M45=1),$M45&gt;(ROW(PLE.lastrow)-ROW(PLE.firstrow))),0,IF(OFFSET(PLE!$G$14,$M45,CL$13)="",10^12,OFFSET(PLE!$G$14,$M45,CL$13))))</f>
        <v>1000000000000</v>
      </c>
      <c r="CM45" s="216">
        <f ca="1">IF($D45&lt;&gt;"Serviço",0,IF(OR(AND(AUTOEVENTO="Manual",$M45=1),$M45&gt;(ROW(PLE.lastrow)-ROW(PLE.firstrow))),0,IF(OFFSET(PLE!$G$14,$M45,CM$13)="",10^12,OFFSET(PLE!$G$14,$M45,CM$13))))</f>
        <v>1000000000000</v>
      </c>
    </row>
    <row r="46" spans="1:91" ht="13.2" x14ac:dyDescent="0.25">
      <c r="A46" s="9">
        <f t="shared" ca="1" si="9"/>
        <v>0</v>
      </c>
      <c r="B46" s="9" t="str">
        <f ca="1">OFFSET(ORÇAMENTO!C$15,ROW(B46)-ROW(B$15),0)</f>
        <v>S</v>
      </c>
      <c r="C46" s="9" t="str">
        <f ca="1">OFFSET(ORÇAMENTO!L$15,ROW(C46)-ROW(C$15),0)</f>
        <v/>
      </c>
      <c r="D46" s="145" t="str">
        <f ca="1">OFFSET(ORÇAMENTO!N$15,ROW(D46)-ROW(D$15),0)</f>
        <v>Serviço</v>
      </c>
      <c r="E46" s="205" t="str">
        <f ca="1">OFFSET(ORÇAMENTO!O$15,ROW(E46)-ROW(E$15),0)</f>
        <v>-</v>
      </c>
      <c r="F46" s="206" t="str">
        <f ca="1">OFFSET(ORÇAMENTO!R$15,ROW(F46)-ROW(F$15),0)</f>
        <v>(abra o arquivo 'Referência 05-2024.xls)</v>
      </c>
      <c r="G46" s="207" t="str">
        <f ca="1">IF($D46&lt;&gt;"Serviço","",OFFSET(ORÇAMENTO!S$15,ROW(G46)-ROW(G$15),0))</f>
        <v>-</v>
      </c>
      <c r="H46" s="151">
        <f ca="1">IF($D46&lt;&gt;"Serviço",0,IF(ACOMPANHAMENTO="BM",ROUND(OFFSET(ORÇAMENTO!AJ$15,ROW(H46)-ROW(H$15),0),15-13*ORÇAMENTO!$AF$7),SUMPRODUCT(($Q$12:$AI$12&lt;&gt;"")*ROUND($Q46:$AI46,15-13*ORÇAMENTO!$AF$7))))</f>
        <v>84.6</v>
      </c>
      <c r="I46" s="650"/>
      <c r="K46" s="208"/>
      <c r="L46" s="209" t="s">
        <v>257</v>
      </c>
      <c r="M46" s="210">
        <f ca="1">IF($D46&lt;&gt;"Serviço","",IF(AUTOEVENTO="manual",$A46,IF(ISERROR(MATCH($A46,$A$15:OFFSET($A46,-1,0),0)),MAX($M$15:OFFSET(M46,-1,0))+1,INDEX($M$15:OFFSET(M46,-1,0),MATCH($A46,$A$15:OFFSET($A46,-1,0),0)))))</f>
        <v>0</v>
      </c>
      <c r="N46" s="211" t="str">
        <f ca="1">IF($D46&lt;&gt;"Serviço","",IF(AUTOEVENTO="Manual",IF($A46=0,"&lt;-- defina o número do agrupador",OFFSET(EVENTOS!$D$14,$A46,0)),OFFSET($F$15,$A46,0)))</f>
        <v>&lt;-- defina o número do agrupador</v>
      </c>
      <c r="O46" s="212"/>
      <c r="Q46" s="212"/>
      <c r="R46" s="213"/>
      <c r="S46" s="213"/>
      <c r="T46" s="213"/>
      <c r="U46" s="213"/>
      <c r="V46" s="213"/>
      <c r="W46" s="213"/>
      <c r="X46" s="213"/>
      <c r="Y46" s="213"/>
      <c r="Z46" s="214"/>
      <c r="AA46" s="213"/>
      <c r="AB46" s="213"/>
      <c r="AC46" s="213"/>
      <c r="AD46" s="213"/>
      <c r="AE46" s="213"/>
      <c r="AF46" s="213"/>
      <c r="AG46" s="213"/>
      <c r="AH46" s="214"/>
      <c r="AJ46" s="631">
        <f ca="1">IF(AND($D46="Serviço",AJ$12&lt;&gt;0,$H46&gt;0,OR(AUTOEVENTO&lt;&gt;"manual",$M46&lt;&gt;1)),ROUND(OFFSET($P46,0,AJ$13),15-13*ORÇAMENTO!$AF$7)/$H46*OFFSET(ORÇAMENTO!$X$15,ROW(AJ46)-ROW(AJ$15),0),0)</f>
        <v>0</v>
      </c>
      <c r="AK46" s="632">
        <f ca="1">IF(AND($D46="Serviço",AK$12&lt;&gt;0,$H46&gt;0,OR(AUTOEVENTO&lt;&gt;"manual",$M46&lt;&gt;1)),ROUND(OFFSET($P46,0,AK$13),15-13*ORÇAMENTO!$AF$7)/$H46*OFFSET(ORÇAMENTO!$X$15,ROW(AK46)-ROW(AK$15),0),0)</f>
        <v>0</v>
      </c>
      <c r="AL46" s="632">
        <f ca="1">IF(AND($D46="Serviço",AL$12&lt;&gt;0,$H46&gt;0,OR(AUTOEVENTO&lt;&gt;"manual",$M46&lt;&gt;1)),ROUND(OFFSET($P46,0,AL$13),15-13*ORÇAMENTO!$AF$7)/$H46*OFFSET(ORÇAMENTO!$X$15,ROW(AL46)-ROW(AL$15),0),0)</f>
        <v>0</v>
      </c>
      <c r="AM46" s="632">
        <f ca="1">IF(AND($D46="Serviço",AM$12&lt;&gt;0,$H46&gt;0,OR(AUTOEVENTO&lt;&gt;"manual",$M46&lt;&gt;1)),ROUND(OFFSET($P46,0,AM$13),15-13*ORÇAMENTO!$AF$7)/$H46*OFFSET(ORÇAMENTO!$X$15,ROW(AM46)-ROW(AM$15),0),0)</f>
        <v>0</v>
      </c>
      <c r="AN46" s="632">
        <f ca="1">IF(AND($D46="Serviço",AN$12&lt;&gt;0,$H46&gt;0,OR(AUTOEVENTO&lt;&gt;"manual",$M46&lt;&gt;1)),ROUND(OFFSET($P46,0,AN$13),15-13*ORÇAMENTO!$AF$7)/$H46*OFFSET(ORÇAMENTO!$X$15,ROW(AN46)-ROW(AN$15),0),0)</f>
        <v>0</v>
      </c>
      <c r="AO46" s="632">
        <f ca="1">IF(AND($D46="Serviço",AO$12&lt;&gt;0,$H46&gt;0,OR(AUTOEVENTO&lt;&gt;"manual",$M46&lt;&gt;1)),ROUND(OFFSET($P46,0,AO$13),15-13*ORÇAMENTO!$AF$7)/$H46*OFFSET(ORÇAMENTO!$X$15,ROW(AO46)-ROW(AO$15),0),0)</f>
        <v>0</v>
      </c>
      <c r="AP46" s="632">
        <f ca="1">IF(AND($D46="Serviço",AP$12&lt;&gt;0,$H46&gt;0,OR(AUTOEVENTO&lt;&gt;"manual",$M46&lt;&gt;1)),ROUND(OFFSET($P46,0,AP$13),15-13*ORÇAMENTO!$AF$7)/$H46*OFFSET(ORÇAMENTO!$X$15,ROW(AP46)-ROW(AP$15),0),0)</f>
        <v>0</v>
      </c>
      <c r="AQ46" s="632">
        <f ca="1">IF(AND($D46="Serviço",AQ$12&lt;&gt;0,$H46&gt;0,OR(AUTOEVENTO&lt;&gt;"manual",$M46&lt;&gt;1)),ROUND(OFFSET($P46,0,AQ$13),15-13*ORÇAMENTO!$AF$7)/$H46*OFFSET(ORÇAMENTO!$X$15,ROW(AQ46)-ROW(AQ$15),0),0)</f>
        <v>0</v>
      </c>
      <c r="AR46" s="632">
        <f ca="1">IF(AND($D46="Serviço",AR$12&lt;&gt;0,$H46&gt;0,OR(AUTOEVENTO&lt;&gt;"manual",$M46&lt;&gt;1)),ROUND(OFFSET($P46,0,AR$13),15-13*ORÇAMENTO!$AF$7)/$H46*OFFSET(ORÇAMENTO!$X$15,ROW(AR46)-ROW(AR$15),0),0)</f>
        <v>0</v>
      </c>
      <c r="AS46" s="633">
        <f ca="1">IF(AND($D46="Serviço",AS$12&lt;&gt;0,$H46&gt;0,OR(AUTOEVENTO&lt;&gt;"manual",$M46&lt;&gt;1)),ROUND(OFFSET($P46,0,AS$13),15-13*ORÇAMENTO!$AF$7)/$H46*OFFSET(ORÇAMENTO!$X$15,ROW(AS46)-ROW(AS$15),0),0)</f>
        <v>0</v>
      </c>
      <c r="AT46" s="632">
        <f ca="1">IF(AND($D46="Serviço",AT$12&lt;&gt;0,$H46&gt;0,OR(AUTOEVENTO&lt;&gt;"manual",$M46&lt;&gt;1)),ROUND(OFFSET($P46,0,AT$13),15-13*ORÇAMENTO!$AF$7)/$H46*OFFSET(ORÇAMENTO!$X$15,ROW(AT46)-ROW(AT$15),0),0)</f>
        <v>0</v>
      </c>
      <c r="AU46" s="632">
        <f ca="1">IF(AND($D46="Serviço",AU$12&lt;&gt;0,$H46&gt;0,OR(AUTOEVENTO&lt;&gt;"manual",$M46&lt;&gt;1)),ROUND(OFFSET($P46,0,AU$13),15-13*ORÇAMENTO!$AF$7)/$H46*OFFSET(ORÇAMENTO!$X$15,ROW(AU46)-ROW(AU$15),0),0)</f>
        <v>0</v>
      </c>
      <c r="AV46" s="632">
        <f ca="1">IF(AND($D46="Serviço",AV$12&lt;&gt;0,$H46&gt;0,OR(AUTOEVENTO&lt;&gt;"manual",$M46&lt;&gt;1)),ROUND(OFFSET($P46,0,AV$13),15-13*ORÇAMENTO!$AF$7)/$H46*OFFSET(ORÇAMENTO!$X$15,ROW(AV46)-ROW(AV$15),0),0)</f>
        <v>0</v>
      </c>
      <c r="AW46" s="632">
        <f ca="1">IF(AND($D46="Serviço",AW$12&lt;&gt;0,$H46&gt;0,OR(AUTOEVENTO&lt;&gt;"manual",$M46&lt;&gt;1)),ROUND(OFFSET($P46,0,AW$13),15-13*ORÇAMENTO!$AF$7)/$H46*OFFSET(ORÇAMENTO!$X$15,ROW(AW46)-ROW(AW$15),0),0)</f>
        <v>0</v>
      </c>
      <c r="AX46" s="632">
        <f ca="1">IF(AND($D46="Serviço",AX$12&lt;&gt;0,$H46&gt;0,OR(AUTOEVENTO&lt;&gt;"manual",$M46&lt;&gt;1)),ROUND(OFFSET($P46,0,AX$13),15-13*ORÇAMENTO!$AF$7)/$H46*OFFSET(ORÇAMENTO!$X$15,ROW(AX46)-ROW(AX$15),0),0)</f>
        <v>0</v>
      </c>
      <c r="AY46" s="632">
        <f ca="1">IF(AND($D46="Serviço",AY$12&lt;&gt;0,$H46&gt;0,OR(AUTOEVENTO&lt;&gt;"manual",$M46&lt;&gt;1)),ROUND(OFFSET($P46,0,AY$13),15-13*ORÇAMENTO!$AF$7)/$H46*OFFSET(ORÇAMENTO!$X$15,ROW(AY46)-ROW(AY$15),0),0)</f>
        <v>0</v>
      </c>
      <c r="AZ46" s="632">
        <f ca="1">IF(AND($D46="Serviço",AZ$12&lt;&gt;0,$H46&gt;0,OR(AUTOEVENTO&lt;&gt;"manual",$M46&lt;&gt;1)),ROUND(OFFSET($P46,0,AZ$13),15-13*ORÇAMENTO!$AF$7)/$H46*OFFSET(ORÇAMENTO!$X$15,ROW(AZ46)-ROW(AZ$15),0),0)</f>
        <v>0</v>
      </c>
      <c r="BA46" s="633">
        <f ca="1">IF(AND($D46="Serviço",BA$12&lt;&gt;0,$H46&gt;0,OR(AUTOEVENTO&lt;&gt;"manual",$M46&lt;&gt;1)),ROUND(OFFSET($P46,0,BA$13),15-13*ORÇAMENTO!$AF$7)/$H46*OFFSET(ORÇAMENTO!$X$15,ROW(BA46)-ROW(BA$15),0),0)</f>
        <v>0</v>
      </c>
      <c r="BC46" s="215">
        <f ca="1">IF($D46&lt;&gt;"Serviço",0,IF(AND(AUTOEVENTO="Manual",$M46=1),0,IF(OFFSET(CRONOPLE!$F$14,$M46,BC$13)="",10^12,OFFSET(CRONOPLE!$F$14,$M46,BC$13))))</f>
        <v>1000000000000</v>
      </c>
      <c r="BD46" s="215">
        <f ca="1">IF($D46&lt;&gt;"Serviço",0,IF(AND(AUTOEVENTO="Manual",$M46=1),0,IF(OFFSET(CRONOPLE!$F$14,$M46,BD$13)="",10^12,OFFSET(CRONOPLE!$F$14,$M46,BD$13))))</f>
        <v>1000000000000</v>
      </c>
      <c r="BE46" s="215">
        <f ca="1">IF($D46&lt;&gt;"Serviço",0,IF(AND(AUTOEVENTO="Manual",$M46=1),0,IF(OFFSET(CRONOPLE!$F$14,$M46,BE$13)="",10^12,OFFSET(CRONOPLE!$F$14,$M46,BE$13))))</f>
        <v>1000000000000</v>
      </c>
      <c r="BF46" s="215">
        <f ca="1">IF($D46&lt;&gt;"Serviço",0,IF(AND(AUTOEVENTO="Manual",$M46=1),0,IF(OFFSET(CRONOPLE!$F$14,$M46,BF$13)="",10^12,OFFSET(CRONOPLE!$F$14,$M46,BF$13))))</f>
        <v>1000000000000</v>
      </c>
      <c r="BG46" s="215">
        <f ca="1">IF($D46&lt;&gt;"Serviço",0,IF(AND(AUTOEVENTO="Manual",$M46=1),0,IF(OFFSET(CRONOPLE!$F$14,$M46,BG$13)="",10^12,OFFSET(CRONOPLE!$F$14,$M46,BG$13))))</f>
        <v>1000000000000</v>
      </c>
      <c r="BH46" s="215">
        <f ca="1">IF($D46&lt;&gt;"Serviço",0,IF(AND(AUTOEVENTO="Manual",$M46=1),0,IF(OFFSET(CRONOPLE!$F$14,$M46,BH$13)="",10^12,OFFSET(CRONOPLE!$F$14,$M46,BH$13))))</f>
        <v>1000000000000</v>
      </c>
      <c r="BI46" s="215">
        <f ca="1">IF($D46&lt;&gt;"Serviço",0,IF(AND(AUTOEVENTO="Manual",$M46=1),0,IF(OFFSET(CRONOPLE!$F$14,$M46,BI$13)="",10^12,OFFSET(CRONOPLE!$F$14,$M46,BI$13))))</f>
        <v>1000000000000</v>
      </c>
      <c r="BJ46" s="215">
        <f ca="1">IF($D46&lt;&gt;"Serviço",0,IF(AND(AUTOEVENTO="Manual",$M46=1),0,IF(OFFSET(CRONOPLE!$F$14,$M46,BJ$13)="",10^12,OFFSET(CRONOPLE!$F$14,$M46,BJ$13))))</f>
        <v>1000000000000</v>
      </c>
      <c r="BK46" s="215">
        <f ca="1">IF($D46&lt;&gt;"Serviço",0,IF(AND(AUTOEVENTO="Manual",$M46=1),0,IF(OFFSET(CRONOPLE!$F$14,$M46,BK$13)="",10^12,OFFSET(CRONOPLE!$F$14,$M46,BK$13))))</f>
        <v>1000000000000</v>
      </c>
      <c r="BL46" s="215">
        <f ca="1">IF($D46&lt;&gt;"Serviço",0,IF(AND(AUTOEVENTO="Manual",$M46=1),0,IF(OFFSET(CRONOPLE!$F$14,$M46,BL$13)="",10^12,OFFSET(CRONOPLE!$F$14,$M46,BL$13))))</f>
        <v>1000000000000</v>
      </c>
      <c r="BM46" s="215">
        <f ca="1">IF($D46&lt;&gt;"Serviço",0,IF(AND(AUTOEVENTO="Manual",$M46=1),0,IF(OFFSET(CRONOPLE!$F$14,$M46,BM$13)="",10^12,OFFSET(CRONOPLE!$F$14,$M46,BM$13))))</f>
        <v>1000000000000</v>
      </c>
      <c r="BN46" s="215">
        <f ca="1">IF($D46&lt;&gt;"Serviço",0,IF(AND(AUTOEVENTO="Manual",$M46=1),0,IF(OFFSET(CRONOPLE!$F$14,$M46,BN$13)="",10^12,OFFSET(CRONOPLE!$F$14,$M46,BN$13))))</f>
        <v>1000000000000</v>
      </c>
      <c r="BO46" s="215">
        <f ca="1">IF($D46&lt;&gt;"Serviço",0,IF(AND(AUTOEVENTO="Manual",$M46=1),0,IF(OFFSET(CRONOPLE!$F$14,$M46,BO$13)="",10^12,OFFSET(CRONOPLE!$F$14,$M46,BO$13))))</f>
        <v>1000000000000</v>
      </c>
      <c r="BP46" s="215">
        <f ca="1">IF($D46&lt;&gt;"Serviço",0,IF(AND(AUTOEVENTO="Manual",$M46=1),0,IF(OFFSET(CRONOPLE!$F$14,$M46,BP$13)="",10^12,OFFSET(CRONOPLE!$F$14,$M46,BP$13))))</f>
        <v>1000000000000</v>
      </c>
      <c r="BQ46" s="215">
        <f ca="1">IF($D46&lt;&gt;"Serviço",0,IF(AND(AUTOEVENTO="Manual",$M46=1),0,IF(OFFSET(CRONOPLE!$F$14,$M46,BQ$13)="",10^12,OFFSET(CRONOPLE!$F$14,$M46,BQ$13))))</f>
        <v>1000000000000</v>
      </c>
      <c r="BR46" s="215">
        <f ca="1">IF($D46&lt;&gt;"Serviço",0,IF(AND(AUTOEVENTO="Manual",$M46=1),0,IF(OFFSET(CRONOPLE!$F$14,$M46,BR$13)="",10^12,OFFSET(CRONOPLE!$F$14,$M46,BR$13))))</f>
        <v>1000000000000</v>
      </c>
      <c r="BS46" s="215">
        <f ca="1">IF($D46&lt;&gt;"Serviço",0,IF(AND(AUTOEVENTO="Manual",$M46=1),0,IF(OFFSET(CRONOPLE!$F$14,$M46,BS$13)="",10^12,OFFSET(CRONOPLE!$F$14,$M46,BS$13))))</f>
        <v>1000000000000</v>
      </c>
      <c r="BT46" s="215">
        <f ca="1">IF($D46&lt;&gt;"Serviço",0,IF(AND(AUTOEVENTO="Manual",$M46=1),0,IF(OFFSET(CRONOPLE!$F$14,$M46,BT$13)="",10^12,OFFSET(CRONOPLE!$F$14,$M46,BT$13))))</f>
        <v>1000000000000</v>
      </c>
      <c r="BV46" s="216">
        <f ca="1">IF($D46&lt;&gt;"Serviço",0,IF(OR(AND(AUTOEVENTO="Manual",$M46=1),$M46&gt;(ROW(PLE.lastrow)-ROW(PLE.firstrow))),0,IF(OFFSET(PLE!$G$14,$M46,BV$13)="",10^12,OFFSET(PLE!$G$14,$M46,BV$13))))</f>
        <v>1000000000000</v>
      </c>
      <c r="BW46" s="216">
        <f ca="1">IF($D46&lt;&gt;"Serviço",0,IF(OR(AND(AUTOEVENTO="Manual",$M46=1),$M46&gt;(ROW(PLE.lastrow)-ROW(PLE.firstrow))),0,IF(OFFSET(PLE!$G$14,$M46,BW$13)="",10^12,OFFSET(PLE!$G$14,$M46,BW$13))))</f>
        <v>1000000000000</v>
      </c>
      <c r="BX46" s="216">
        <f ca="1">IF($D46&lt;&gt;"Serviço",0,IF(OR(AND(AUTOEVENTO="Manual",$M46=1),$M46&gt;(ROW(PLE.lastrow)-ROW(PLE.firstrow))),0,IF(OFFSET(PLE!$G$14,$M46,BX$13)="",10^12,OFFSET(PLE!$G$14,$M46,BX$13))))</f>
        <v>1000000000000</v>
      </c>
      <c r="BY46" s="216">
        <f ca="1">IF($D46&lt;&gt;"Serviço",0,IF(OR(AND(AUTOEVENTO="Manual",$M46=1),$M46&gt;(ROW(PLE.lastrow)-ROW(PLE.firstrow))),0,IF(OFFSET(PLE!$G$14,$M46,BY$13)="",10^12,OFFSET(PLE!$G$14,$M46,BY$13))))</f>
        <v>1000000000000</v>
      </c>
      <c r="BZ46" s="216">
        <f ca="1">IF($D46&lt;&gt;"Serviço",0,IF(OR(AND(AUTOEVENTO="Manual",$M46=1),$M46&gt;(ROW(PLE.lastrow)-ROW(PLE.firstrow))),0,IF(OFFSET(PLE!$G$14,$M46,BZ$13)="",10^12,OFFSET(PLE!$G$14,$M46,BZ$13))))</f>
        <v>1000000000000</v>
      </c>
      <c r="CA46" s="216">
        <f ca="1">IF($D46&lt;&gt;"Serviço",0,IF(OR(AND(AUTOEVENTO="Manual",$M46=1),$M46&gt;(ROW(PLE.lastrow)-ROW(PLE.firstrow))),0,IF(OFFSET(PLE!$G$14,$M46,CA$13)="",10^12,OFFSET(PLE!$G$14,$M46,CA$13))))</f>
        <v>1000000000000</v>
      </c>
      <c r="CB46" s="216">
        <f ca="1">IF($D46&lt;&gt;"Serviço",0,IF(OR(AND(AUTOEVENTO="Manual",$M46=1),$M46&gt;(ROW(PLE.lastrow)-ROW(PLE.firstrow))),0,IF(OFFSET(PLE!$G$14,$M46,CB$13)="",10^12,OFFSET(PLE!$G$14,$M46,CB$13))))</f>
        <v>1000000000000</v>
      </c>
      <c r="CC46" s="216">
        <f ca="1">IF($D46&lt;&gt;"Serviço",0,IF(OR(AND(AUTOEVENTO="Manual",$M46=1),$M46&gt;(ROW(PLE.lastrow)-ROW(PLE.firstrow))),0,IF(OFFSET(PLE!$G$14,$M46,CC$13)="",10^12,OFFSET(PLE!$G$14,$M46,CC$13))))</f>
        <v>1000000000000</v>
      </c>
      <c r="CD46" s="216">
        <f ca="1">IF($D46&lt;&gt;"Serviço",0,IF(OR(AND(AUTOEVENTO="Manual",$M46=1),$M46&gt;(ROW(PLE.lastrow)-ROW(PLE.firstrow))),0,IF(OFFSET(PLE!$G$14,$M46,CD$13)="",10^12,OFFSET(PLE!$G$14,$M46,CD$13))))</f>
        <v>1000000000000</v>
      </c>
      <c r="CE46" s="216">
        <f ca="1">IF($D46&lt;&gt;"Serviço",0,IF(OR(AND(AUTOEVENTO="Manual",$M46=1),$M46&gt;(ROW(PLE.lastrow)-ROW(PLE.firstrow))),0,IF(OFFSET(PLE!$G$14,$M46,CE$13)="",10^12,OFFSET(PLE!$G$14,$M46,CE$13))))</f>
        <v>1000000000000</v>
      </c>
      <c r="CF46" s="216">
        <f ca="1">IF($D46&lt;&gt;"Serviço",0,IF(OR(AND(AUTOEVENTO="Manual",$M46=1),$M46&gt;(ROW(PLE.lastrow)-ROW(PLE.firstrow))),0,IF(OFFSET(PLE!$G$14,$M46,CF$13)="",10^12,OFFSET(PLE!$G$14,$M46,CF$13))))</f>
        <v>1000000000000</v>
      </c>
      <c r="CG46" s="216">
        <f ca="1">IF($D46&lt;&gt;"Serviço",0,IF(OR(AND(AUTOEVENTO="Manual",$M46=1),$M46&gt;(ROW(PLE.lastrow)-ROW(PLE.firstrow))),0,IF(OFFSET(PLE!$G$14,$M46,CG$13)="",10^12,OFFSET(PLE!$G$14,$M46,CG$13))))</f>
        <v>1000000000000</v>
      </c>
      <c r="CH46" s="216">
        <f ca="1">IF($D46&lt;&gt;"Serviço",0,IF(OR(AND(AUTOEVENTO="Manual",$M46=1),$M46&gt;(ROW(PLE.lastrow)-ROW(PLE.firstrow))),0,IF(OFFSET(PLE!$G$14,$M46,CH$13)="",10^12,OFFSET(PLE!$G$14,$M46,CH$13))))</f>
        <v>1000000000000</v>
      </c>
      <c r="CI46" s="216">
        <f ca="1">IF($D46&lt;&gt;"Serviço",0,IF(OR(AND(AUTOEVENTO="Manual",$M46=1),$M46&gt;(ROW(PLE.lastrow)-ROW(PLE.firstrow))),0,IF(OFFSET(PLE!$G$14,$M46,CI$13)="",10^12,OFFSET(PLE!$G$14,$M46,CI$13))))</f>
        <v>1000000000000</v>
      </c>
      <c r="CJ46" s="216">
        <f ca="1">IF($D46&lt;&gt;"Serviço",0,IF(OR(AND(AUTOEVENTO="Manual",$M46=1),$M46&gt;(ROW(PLE.lastrow)-ROW(PLE.firstrow))),0,IF(OFFSET(PLE!$G$14,$M46,CJ$13)="",10^12,OFFSET(PLE!$G$14,$M46,CJ$13))))</f>
        <v>1000000000000</v>
      </c>
      <c r="CK46" s="216">
        <f ca="1">IF($D46&lt;&gt;"Serviço",0,IF(OR(AND(AUTOEVENTO="Manual",$M46=1),$M46&gt;(ROW(PLE.lastrow)-ROW(PLE.firstrow))),0,IF(OFFSET(PLE!$G$14,$M46,CK$13)="",10^12,OFFSET(PLE!$G$14,$M46,CK$13))))</f>
        <v>1000000000000</v>
      </c>
      <c r="CL46" s="216">
        <f ca="1">IF($D46&lt;&gt;"Serviço",0,IF(OR(AND(AUTOEVENTO="Manual",$M46=1),$M46&gt;(ROW(PLE.lastrow)-ROW(PLE.firstrow))),0,IF(OFFSET(PLE!$G$14,$M46,CL$13)="",10^12,OFFSET(PLE!$G$14,$M46,CL$13))))</f>
        <v>1000000000000</v>
      </c>
      <c r="CM46" s="216">
        <f ca="1">IF($D46&lt;&gt;"Serviço",0,IF(OR(AND(AUTOEVENTO="Manual",$M46=1),$M46&gt;(ROW(PLE.lastrow)-ROW(PLE.firstrow))),0,IF(OFFSET(PLE!$G$14,$M46,CM$13)="",10^12,OFFSET(PLE!$G$14,$M46,CM$13))))</f>
        <v>1000000000000</v>
      </c>
    </row>
    <row r="47" spans="1:91" ht="13.2" x14ac:dyDescent="0.25">
      <c r="A47" s="9">
        <f t="shared" ca="1" si="9"/>
        <v>0</v>
      </c>
      <c r="B47" s="9" t="str">
        <f ca="1">OFFSET(ORÇAMENTO!C$15,ROW(B47)-ROW(B$15),0)</f>
        <v>S</v>
      </c>
      <c r="C47" s="9" t="str">
        <f ca="1">OFFSET(ORÇAMENTO!L$15,ROW(C47)-ROW(C$15),0)</f>
        <v/>
      </c>
      <c r="D47" s="145" t="str">
        <f ca="1">OFFSET(ORÇAMENTO!N$15,ROW(D47)-ROW(D$15),0)</f>
        <v>Serviço</v>
      </c>
      <c r="E47" s="205" t="str">
        <f ca="1">OFFSET(ORÇAMENTO!O$15,ROW(E47)-ROW(E$15),0)</f>
        <v>-</v>
      </c>
      <c r="F47" s="206" t="str">
        <f ca="1">OFFSET(ORÇAMENTO!R$15,ROW(F47)-ROW(F$15),0)</f>
        <v>(abra o arquivo 'Referência 05-2024.xls)</v>
      </c>
      <c r="G47" s="207" t="str">
        <f ca="1">IF($D47&lt;&gt;"Serviço","",OFFSET(ORÇAMENTO!S$15,ROW(G47)-ROW(G$15),0))</f>
        <v>-</v>
      </c>
      <c r="H47" s="151">
        <f ca="1">IF($D47&lt;&gt;"Serviço",0,IF(ACOMPANHAMENTO="BM",ROUND(OFFSET(ORÇAMENTO!AJ$15,ROW(H47)-ROW(H$15),0),15-13*ORÇAMENTO!$AF$7),SUMPRODUCT(($Q$12:$AI$12&lt;&gt;"")*ROUND($Q47:$AI47,15-13*ORÇAMENTO!$AF$7))))</f>
        <v>47.61</v>
      </c>
      <c r="I47" s="650"/>
      <c r="K47" s="208"/>
      <c r="L47" s="209" t="s">
        <v>257</v>
      </c>
      <c r="M47" s="210">
        <f ca="1">IF($D47&lt;&gt;"Serviço","",IF(AUTOEVENTO="manual",$A47,IF(ISERROR(MATCH($A47,$A$15:OFFSET($A47,-1,0),0)),MAX($M$15:OFFSET(M47,-1,0))+1,INDEX($M$15:OFFSET(M47,-1,0),MATCH($A47,$A$15:OFFSET($A47,-1,0),0)))))</f>
        <v>0</v>
      </c>
      <c r="N47" s="211" t="str">
        <f ca="1">IF($D47&lt;&gt;"Serviço","",IF(AUTOEVENTO="Manual",IF($A47=0,"&lt;-- defina o número do agrupador",OFFSET(EVENTOS!$D$14,$A47,0)),OFFSET($F$15,$A47,0)))</f>
        <v>&lt;-- defina o número do agrupador</v>
      </c>
      <c r="O47" s="212"/>
      <c r="Q47" s="212"/>
      <c r="R47" s="213"/>
      <c r="S47" s="213"/>
      <c r="T47" s="213"/>
      <c r="U47" s="213"/>
      <c r="V47" s="213"/>
      <c r="W47" s="213"/>
      <c r="X47" s="213"/>
      <c r="Y47" s="213"/>
      <c r="Z47" s="214"/>
      <c r="AA47" s="213"/>
      <c r="AB47" s="213"/>
      <c r="AC47" s="213"/>
      <c r="AD47" s="213"/>
      <c r="AE47" s="213"/>
      <c r="AF47" s="213"/>
      <c r="AG47" s="213"/>
      <c r="AH47" s="214"/>
      <c r="AJ47" s="631">
        <f ca="1">IF(AND($D47="Serviço",AJ$12&lt;&gt;0,$H47&gt;0,OR(AUTOEVENTO&lt;&gt;"manual",$M47&lt;&gt;1)),ROUND(OFFSET($P47,0,AJ$13),15-13*ORÇAMENTO!$AF$7)/$H47*OFFSET(ORÇAMENTO!$X$15,ROW(AJ47)-ROW(AJ$15),0),0)</f>
        <v>0</v>
      </c>
      <c r="AK47" s="632">
        <f ca="1">IF(AND($D47="Serviço",AK$12&lt;&gt;0,$H47&gt;0,OR(AUTOEVENTO&lt;&gt;"manual",$M47&lt;&gt;1)),ROUND(OFFSET($P47,0,AK$13),15-13*ORÇAMENTO!$AF$7)/$H47*OFFSET(ORÇAMENTO!$X$15,ROW(AK47)-ROW(AK$15),0),0)</f>
        <v>0</v>
      </c>
      <c r="AL47" s="632">
        <f ca="1">IF(AND($D47="Serviço",AL$12&lt;&gt;0,$H47&gt;0,OR(AUTOEVENTO&lt;&gt;"manual",$M47&lt;&gt;1)),ROUND(OFFSET($P47,0,AL$13),15-13*ORÇAMENTO!$AF$7)/$H47*OFFSET(ORÇAMENTO!$X$15,ROW(AL47)-ROW(AL$15),0),0)</f>
        <v>0</v>
      </c>
      <c r="AM47" s="632">
        <f ca="1">IF(AND($D47="Serviço",AM$12&lt;&gt;0,$H47&gt;0,OR(AUTOEVENTO&lt;&gt;"manual",$M47&lt;&gt;1)),ROUND(OFFSET($P47,0,AM$13),15-13*ORÇAMENTO!$AF$7)/$H47*OFFSET(ORÇAMENTO!$X$15,ROW(AM47)-ROW(AM$15),0),0)</f>
        <v>0</v>
      </c>
      <c r="AN47" s="632">
        <f ca="1">IF(AND($D47="Serviço",AN$12&lt;&gt;0,$H47&gt;0,OR(AUTOEVENTO&lt;&gt;"manual",$M47&lt;&gt;1)),ROUND(OFFSET($P47,0,AN$13),15-13*ORÇAMENTO!$AF$7)/$H47*OFFSET(ORÇAMENTO!$X$15,ROW(AN47)-ROW(AN$15),0),0)</f>
        <v>0</v>
      </c>
      <c r="AO47" s="632">
        <f ca="1">IF(AND($D47="Serviço",AO$12&lt;&gt;0,$H47&gt;0,OR(AUTOEVENTO&lt;&gt;"manual",$M47&lt;&gt;1)),ROUND(OFFSET($P47,0,AO$13),15-13*ORÇAMENTO!$AF$7)/$H47*OFFSET(ORÇAMENTO!$X$15,ROW(AO47)-ROW(AO$15),0),0)</f>
        <v>0</v>
      </c>
      <c r="AP47" s="632">
        <f ca="1">IF(AND($D47="Serviço",AP$12&lt;&gt;0,$H47&gt;0,OR(AUTOEVENTO&lt;&gt;"manual",$M47&lt;&gt;1)),ROUND(OFFSET($P47,0,AP$13),15-13*ORÇAMENTO!$AF$7)/$H47*OFFSET(ORÇAMENTO!$X$15,ROW(AP47)-ROW(AP$15),0),0)</f>
        <v>0</v>
      </c>
      <c r="AQ47" s="632">
        <f ca="1">IF(AND($D47="Serviço",AQ$12&lt;&gt;0,$H47&gt;0,OR(AUTOEVENTO&lt;&gt;"manual",$M47&lt;&gt;1)),ROUND(OFFSET($P47,0,AQ$13),15-13*ORÇAMENTO!$AF$7)/$H47*OFFSET(ORÇAMENTO!$X$15,ROW(AQ47)-ROW(AQ$15),0),0)</f>
        <v>0</v>
      </c>
      <c r="AR47" s="632">
        <f ca="1">IF(AND($D47="Serviço",AR$12&lt;&gt;0,$H47&gt;0,OR(AUTOEVENTO&lt;&gt;"manual",$M47&lt;&gt;1)),ROUND(OFFSET($P47,0,AR$13),15-13*ORÇAMENTO!$AF$7)/$H47*OFFSET(ORÇAMENTO!$X$15,ROW(AR47)-ROW(AR$15),0),0)</f>
        <v>0</v>
      </c>
      <c r="AS47" s="633">
        <f ca="1">IF(AND($D47="Serviço",AS$12&lt;&gt;0,$H47&gt;0,OR(AUTOEVENTO&lt;&gt;"manual",$M47&lt;&gt;1)),ROUND(OFFSET($P47,0,AS$13),15-13*ORÇAMENTO!$AF$7)/$H47*OFFSET(ORÇAMENTO!$X$15,ROW(AS47)-ROW(AS$15),0),0)</f>
        <v>0</v>
      </c>
      <c r="AT47" s="632">
        <f ca="1">IF(AND($D47="Serviço",AT$12&lt;&gt;0,$H47&gt;0,OR(AUTOEVENTO&lt;&gt;"manual",$M47&lt;&gt;1)),ROUND(OFFSET($P47,0,AT$13),15-13*ORÇAMENTO!$AF$7)/$H47*OFFSET(ORÇAMENTO!$X$15,ROW(AT47)-ROW(AT$15),0),0)</f>
        <v>0</v>
      </c>
      <c r="AU47" s="632">
        <f ca="1">IF(AND($D47="Serviço",AU$12&lt;&gt;0,$H47&gt;0,OR(AUTOEVENTO&lt;&gt;"manual",$M47&lt;&gt;1)),ROUND(OFFSET($P47,0,AU$13),15-13*ORÇAMENTO!$AF$7)/$H47*OFFSET(ORÇAMENTO!$X$15,ROW(AU47)-ROW(AU$15),0),0)</f>
        <v>0</v>
      </c>
      <c r="AV47" s="632">
        <f ca="1">IF(AND($D47="Serviço",AV$12&lt;&gt;0,$H47&gt;0,OR(AUTOEVENTO&lt;&gt;"manual",$M47&lt;&gt;1)),ROUND(OFFSET($P47,0,AV$13),15-13*ORÇAMENTO!$AF$7)/$H47*OFFSET(ORÇAMENTO!$X$15,ROW(AV47)-ROW(AV$15),0),0)</f>
        <v>0</v>
      </c>
      <c r="AW47" s="632">
        <f ca="1">IF(AND($D47="Serviço",AW$12&lt;&gt;0,$H47&gt;0,OR(AUTOEVENTO&lt;&gt;"manual",$M47&lt;&gt;1)),ROUND(OFFSET($P47,0,AW$13),15-13*ORÇAMENTO!$AF$7)/$H47*OFFSET(ORÇAMENTO!$X$15,ROW(AW47)-ROW(AW$15),0),0)</f>
        <v>0</v>
      </c>
      <c r="AX47" s="632">
        <f ca="1">IF(AND($D47="Serviço",AX$12&lt;&gt;0,$H47&gt;0,OR(AUTOEVENTO&lt;&gt;"manual",$M47&lt;&gt;1)),ROUND(OFFSET($P47,0,AX$13),15-13*ORÇAMENTO!$AF$7)/$H47*OFFSET(ORÇAMENTO!$X$15,ROW(AX47)-ROW(AX$15),0),0)</f>
        <v>0</v>
      </c>
      <c r="AY47" s="632">
        <f ca="1">IF(AND($D47="Serviço",AY$12&lt;&gt;0,$H47&gt;0,OR(AUTOEVENTO&lt;&gt;"manual",$M47&lt;&gt;1)),ROUND(OFFSET($P47,0,AY$13),15-13*ORÇAMENTO!$AF$7)/$H47*OFFSET(ORÇAMENTO!$X$15,ROW(AY47)-ROW(AY$15),0),0)</f>
        <v>0</v>
      </c>
      <c r="AZ47" s="632">
        <f ca="1">IF(AND($D47="Serviço",AZ$12&lt;&gt;0,$H47&gt;0,OR(AUTOEVENTO&lt;&gt;"manual",$M47&lt;&gt;1)),ROUND(OFFSET($P47,0,AZ$13),15-13*ORÇAMENTO!$AF$7)/$H47*OFFSET(ORÇAMENTO!$X$15,ROW(AZ47)-ROW(AZ$15),0),0)</f>
        <v>0</v>
      </c>
      <c r="BA47" s="633">
        <f ca="1">IF(AND($D47="Serviço",BA$12&lt;&gt;0,$H47&gt;0,OR(AUTOEVENTO&lt;&gt;"manual",$M47&lt;&gt;1)),ROUND(OFFSET($P47,0,BA$13),15-13*ORÇAMENTO!$AF$7)/$H47*OFFSET(ORÇAMENTO!$X$15,ROW(BA47)-ROW(BA$15),0),0)</f>
        <v>0</v>
      </c>
      <c r="BC47" s="215">
        <f ca="1">IF($D47&lt;&gt;"Serviço",0,IF(AND(AUTOEVENTO="Manual",$M47=1),0,IF(OFFSET(CRONOPLE!$F$14,$M47,BC$13)="",10^12,OFFSET(CRONOPLE!$F$14,$M47,BC$13))))</f>
        <v>1000000000000</v>
      </c>
      <c r="BD47" s="215">
        <f ca="1">IF($D47&lt;&gt;"Serviço",0,IF(AND(AUTOEVENTO="Manual",$M47=1),0,IF(OFFSET(CRONOPLE!$F$14,$M47,BD$13)="",10^12,OFFSET(CRONOPLE!$F$14,$M47,BD$13))))</f>
        <v>1000000000000</v>
      </c>
      <c r="BE47" s="215">
        <f ca="1">IF($D47&lt;&gt;"Serviço",0,IF(AND(AUTOEVENTO="Manual",$M47=1),0,IF(OFFSET(CRONOPLE!$F$14,$M47,BE$13)="",10^12,OFFSET(CRONOPLE!$F$14,$M47,BE$13))))</f>
        <v>1000000000000</v>
      </c>
      <c r="BF47" s="215">
        <f ca="1">IF($D47&lt;&gt;"Serviço",0,IF(AND(AUTOEVENTO="Manual",$M47=1),0,IF(OFFSET(CRONOPLE!$F$14,$M47,BF$13)="",10^12,OFFSET(CRONOPLE!$F$14,$M47,BF$13))))</f>
        <v>1000000000000</v>
      </c>
      <c r="BG47" s="215">
        <f ca="1">IF($D47&lt;&gt;"Serviço",0,IF(AND(AUTOEVENTO="Manual",$M47=1),0,IF(OFFSET(CRONOPLE!$F$14,$M47,BG$13)="",10^12,OFFSET(CRONOPLE!$F$14,$M47,BG$13))))</f>
        <v>1000000000000</v>
      </c>
      <c r="BH47" s="215">
        <f ca="1">IF($D47&lt;&gt;"Serviço",0,IF(AND(AUTOEVENTO="Manual",$M47=1),0,IF(OFFSET(CRONOPLE!$F$14,$M47,BH$13)="",10^12,OFFSET(CRONOPLE!$F$14,$M47,BH$13))))</f>
        <v>1000000000000</v>
      </c>
      <c r="BI47" s="215">
        <f ca="1">IF($D47&lt;&gt;"Serviço",0,IF(AND(AUTOEVENTO="Manual",$M47=1),0,IF(OFFSET(CRONOPLE!$F$14,$M47,BI$13)="",10^12,OFFSET(CRONOPLE!$F$14,$M47,BI$13))))</f>
        <v>1000000000000</v>
      </c>
      <c r="BJ47" s="215">
        <f ca="1">IF($D47&lt;&gt;"Serviço",0,IF(AND(AUTOEVENTO="Manual",$M47=1),0,IF(OFFSET(CRONOPLE!$F$14,$M47,BJ$13)="",10^12,OFFSET(CRONOPLE!$F$14,$M47,BJ$13))))</f>
        <v>1000000000000</v>
      </c>
      <c r="BK47" s="215">
        <f ca="1">IF($D47&lt;&gt;"Serviço",0,IF(AND(AUTOEVENTO="Manual",$M47=1),0,IF(OFFSET(CRONOPLE!$F$14,$M47,BK$13)="",10^12,OFFSET(CRONOPLE!$F$14,$M47,BK$13))))</f>
        <v>1000000000000</v>
      </c>
      <c r="BL47" s="215">
        <f ca="1">IF($D47&lt;&gt;"Serviço",0,IF(AND(AUTOEVENTO="Manual",$M47=1),0,IF(OFFSET(CRONOPLE!$F$14,$M47,BL$13)="",10^12,OFFSET(CRONOPLE!$F$14,$M47,BL$13))))</f>
        <v>1000000000000</v>
      </c>
      <c r="BM47" s="215">
        <f ca="1">IF($D47&lt;&gt;"Serviço",0,IF(AND(AUTOEVENTO="Manual",$M47=1),0,IF(OFFSET(CRONOPLE!$F$14,$M47,BM$13)="",10^12,OFFSET(CRONOPLE!$F$14,$M47,BM$13))))</f>
        <v>1000000000000</v>
      </c>
      <c r="BN47" s="215">
        <f ca="1">IF($D47&lt;&gt;"Serviço",0,IF(AND(AUTOEVENTO="Manual",$M47=1),0,IF(OFFSET(CRONOPLE!$F$14,$M47,BN$13)="",10^12,OFFSET(CRONOPLE!$F$14,$M47,BN$13))))</f>
        <v>1000000000000</v>
      </c>
      <c r="BO47" s="215">
        <f ca="1">IF($D47&lt;&gt;"Serviço",0,IF(AND(AUTOEVENTO="Manual",$M47=1),0,IF(OFFSET(CRONOPLE!$F$14,$M47,BO$13)="",10^12,OFFSET(CRONOPLE!$F$14,$M47,BO$13))))</f>
        <v>1000000000000</v>
      </c>
      <c r="BP47" s="215">
        <f ca="1">IF($D47&lt;&gt;"Serviço",0,IF(AND(AUTOEVENTO="Manual",$M47=1),0,IF(OFFSET(CRONOPLE!$F$14,$M47,BP$13)="",10^12,OFFSET(CRONOPLE!$F$14,$M47,BP$13))))</f>
        <v>1000000000000</v>
      </c>
      <c r="BQ47" s="215">
        <f ca="1">IF($D47&lt;&gt;"Serviço",0,IF(AND(AUTOEVENTO="Manual",$M47=1),0,IF(OFFSET(CRONOPLE!$F$14,$M47,BQ$13)="",10^12,OFFSET(CRONOPLE!$F$14,$M47,BQ$13))))</f>
        <v>1000000000000</v>
      </c>
      <c r="BR47" s="215">
        <f ca="1">IF($D47&lt;&gt;"Serviço",0,IF(AND(AUTOEVENTO="Manual",$M47=1),0,IF(OFFSET(CRONOPLE!$F$14,$M47,BR$13)="",10^12,OFFSET(CRONOPLE!$F$14,$M47,BR$13))))</f>
        <v>1000000000000</v>
      </c>
      <c r="BS47" s="215">
        <f ca="1">IF($D47&lt;&gt;"Serviço",0,IF(AND(AUTOEVENTO="Manual",$M47=1),0,IF(OFFSET(CRONOPLE!$F$14,$M47,BS$13)="",10^12,OFFSET(CRONOPLE!$F$14,$M47,BS$13))))</f>
        <v>1000000000000</v>
      </c>
      <c r="BT47" s="215">
        <f ca="1">IF($D47&lt;&gt;"Serviço",0,IF(AND(AUTOEVENTO="Manual",$M47=1),0,IF(OFFSET(CRONOPLE!$F$14,$M47,BT$13)="",10^12,OFFSET(CRONOPLE!$F$14,$M47,BT$13))))</f>
        <v>1000000000000</v>
      </c>
      <c r="BV47" s="216">
        <f ca="1">IF($D47&lt;&gt;"Serviço",0,IF(OR(AND(AUTOEVENTO="Manual",$M47=1),$M47&gt;(ROW(PLE.lastrow)-ROW(PLE.firstrow))),0,IF(OFFSET(PLE!$G$14,$M47,BV$13)="",10^12,OFFSET(PLE!$G$14,$M47,BV$13))))</f>
        <v>1000000000000</v>
      </c>
      <c r="BW47" s="216">
        <f ca="1">IF($D47&lt;&gt;"Serviço",0,IF(OR(AND(AUTOEVENTO="Manual",$M47=1),$M47&gt;(ROW(PLE.lastrow)-ROW(PLE.firstrow))),0,IF(OFFSET(PLE!$G$14,$M47,BW$13)="",10^12,OFFSET(PLE!$G$14,$M47,BW$13))))</f>
        <v>1000000000000</v>
      </c>
      <c r="BX47" s="216">
        <f ca="1">IF($D47&lt;&gt;"Serviço",0,IF(OR(AND(AUTOEVENTO="Manual",$M47=1),$M47&gt;(ROW(PLE.lastrow)-ROW(PLE.firstrow))),0,IF(OFFSET(PLE!$G$14,$M47,BX$13)="",10^12,OFFSET(PLE!$G$14,$M47,BX$13))))</f>
        <v>1000000000000</v>
      </c>
      <c r="BY47" s="216">
        <f ca="1">IF($D47&lt;&gt;"Serviço",0,IF(OR(AND(AUTOEVENTO="Manual",$M47=1),$M47&gt;(ROW(PLE.lastrow)-ROW(PLE.firstrow))),0,IF(OFFSET(PLE!$G$14,$M47,BY$13)="",10^12,OFFSET(PLE!$G$14,$M47,BY$13))))</f>
        <v>1000000000000</v>
      </c>
      <c r="BZ47" s="216">
        <f ca="1">IF($D47&lt;&gt;"Serviço",0,IF(OR(AND(AUTOEVENTO="Manual",$M47=1),$M47&gt;(ROW(PLE.lastrow)-ROW(PLE.firstrow))),0,IF(OFFSET(PLE!$G$14,$M47,BZ$13)="",10^12,OFFSET(PLE!$G$14,$M47,BZ$13))))</f>
        <v>1000000000000</v>
      </c>
      <c r="CA47" s="216">
        <f ca="1">IF($D47&lt;&gt;"Serviço",0,IF(OR(AND(AUTOEVENTO="Manual",$M47=1),$M47&gt;(ROW(PLE.lastrow)-ROW(PLE.firstrow))),0,IF(OFFSET(PLE!$G$14,$M47,CA$13)="",10^12,OFFSET(PLE!$G$14,$M47,CA$13))))</f>
        <v>1000000000000</v>
      </c>
      <c r="CB47" s="216">
        <f ca="1">IF($D47&lt;&gt;"Serviço",0,IF(OR(AND(AUTOEVENTO="Manual",$M47=1),$M47&gt;(ROW(PLE.lastrow)-ROW(PLE.firstrow))),0,IF(OFFSET(PLE!$G$14,$M47,CB$13)="",10^12,OFFSET(PLE!$G$14,$M47,CB$13))))</f>
        <v>1000000000000</v>
      </c>
      <c r="CC47" s="216">
        <f ca="1">IF($D47&lt;&gt;"Serviço",0,IF(OR(AND(AUTOEVENTO="Manual",$M47=1),$M47&gt;(ROW(PLE.lastrow)-ROW(PLE.firstrow))),0,IF(OFFSET(PLE!$G$14,$M47,CC$13)="",10^12,OFFSET(PLE!$G$14,$M47,CC$13))))</f>
        <v>1000000000000</v>
      </c>
      <c r="CD47" s="216">
        <f ca="1">IF($D47&lt;&gt;"Serviço",0,IF(OR(AND(AUTOEVENTO="Manual",$M47=1),$M47&gt;(ROW(PLE.lastrow)-ROW(PLE.firstrow))),0,IF(OFFSET(PLE!$G$14,$M47,CD$13)="",10^12,OFFSET(PLE!$G$14,$M47,CD$13))))</f>
        <v>1000000000000</v>
      </c>
      <c r="CE47" s="216">
        <f ca="1">IF($D47&lt;&gt;"Serviço",0,IF(OR(AND(AUTOEVENTO="Manual",$M47=1),$M47&gt;(ROW(PLE.lastrow)-ROW(PLE.firstrow))),0,IF(OFFSET(PLE!$G$14,$M47,CE$13)="",10^12,OFFSET(PLE!$G$14,$M47,CE$13))))</f>
        <v>1000000000000</v>
      </c>
      <c r="CF47" s="216">
        <f ca="1">IF($D47&lt;&gt;"Serviço",0,IF(OR(AND(AUTOEVENTO="Manual",$M47=1),$M47&gt;(ROW(PLE.lastrow)-ROW(PLE.firstrow))),0,IF(OFFSET(PLE!$G$14,$M47,CF$13)="",10^12,OFFSET(PLE!$G$14,$M47,CF$13))))</f>
        <v>1000000000000</v>
      </c>
      <c r="CG47" s="216">
        <f ca="1">IF($D47&lt;&gt;"Serviço",0,IF(OR(AND(AUTOEVENTO="Manual",$M47=1),$M47&gt;(ROW(PLE.lastrow)-ROW(PLE.firstrow))),0,IF(OFFSET(PLE!$G$14,$M47,CG$13)="",10^12,OFFSET(PLE!$G$14,$M47,CG$13))))</f>
        <v>1000000000000</v>
      </c>
      <c r="CH47" s="216">
        <f ca="1">IF($D47&lt;&gt;"Serviço",0,IF(OR(AND(AUTOEVENTO="Manual",$M47=1),$M47&gt;(ROW(PLE.lastrow)-ROW(PLE.firstrow))),0,IF(OFFSET(PLE!$G$14,$M47,CH$13)="",10^12,OFFSET(PLE!$G$14,$M47,CH$13))))</f>
        <v>1000000000000</v>
      </c>
      <c r="CI47" s="216">
        <f ca="1">IF($D47&lt;&gt;"Serviço",0,IF(OR(AND(AUTOEVENTO="Manual",$M47=1),$M47&gt;(ROW(PLE.lastrow)-ROW(PLE.firstrow))),0,IF(OFFSET(PLE!$G$14,$M47,CI$13)="",10^12,OFFSET(PLE!$G$14,$M47,CI$13))))</f>
        <v>1000000000000</v>
      </c>
      <c r="CJ47" s="216">
        <f ca="1">IF($D47&lt;&gt;"Serviço",0,IF(OR(AND(AUTOEVENTO="Manual",$M47=1),$M47&gt;(ROW(PLE.lastrow)-ROW(PLE.firstrow))),0,IF(OFFSET(PLE!$G$14,$M47,CJ$13)="",10^12,OFFSET(PLE!$G$14,$M47,CJ$13))))</f>
        <v>1000000000000</v>
      </c>
      <c r="CK47" s="216">
        <f ca="1">IF($D47&lt;&gt;"Serviço",0,IF(OR(AND(AUTOEVENTO="Manual",$M47=1),$M47&gt;(ROW(PLE.lastrow)-ROW(PLE.firstrow))),0,IF(OFFSET(PLE!$G$14,$M47,CK$13)="",10^12,OFFSET(PLE!$G$14,$M47,CK$13))))</f>
        <v>1000000000000</v>
      </c>
      <c r="CL47" s="216">
        <f ca="1">IF($D47&lt;&gt;"Serviço",0,IF(OR(AND(AUTOEVENTO="Manual",$M47=1),$M47&gt;(ROW(PLE.lastrow)-ROW(PLE.firstrow))),0,IF(OFFSET(PLE!$G$14,$M47,CL$13)="",10^12,OFFSET(PLE!$G$14,$M47,CL$13))))</f>
        <v>1000000000000</v>
      </c>
      <c r="CM47" s="216">
        <f ca="1">IF($D47&lt;&gt;"Serviço",0,IF(OR(AND(AUTOEVENTO="Manual",$M47=1),$M47&gt;(ROW(PLE.lastrow)-ROW(PLE.firstrow))),0,IF(OFFSET(PLE!$G$14,$M47,CM$13)="",10^12,OFFSET(PLE!$G$14,$M47,CM$13))))</f>
        <v>1000000000000</v>
      </c>
    </row>
    <row r="48" spans="1:91" ht="13.2" x14ac:dyDescent="0.25">
      <c r="A48" s="9">
        <f t="shared" ca="1" si="9"/>
        <v>0</v>
      </c>
      <c r="B48" s="9">
        <f ca="1">OFFSET(ORÇAMENTO!C$15,ROW(B48)-ROW(B$15),0)</f>
        <v>2</v>
      </c>
      <c r="C48" s="9" t="str">
        <f ca="1">OFFSET(ORÇAMENTO!L$15,ROW(C48)-ROW(C$15),0)</f>
        <v>F</v>
      </c>
      <c r="D48" s="145" t="str">
        <f ca="1">OFFSET(ORÇAMENTO!N$15,ROW(D48)-ROW(D$15),0)</f>
        <v>Nível 2</v>
      </c>
      <c r="E48" s="205" t="str">
        <f ca="1">OFFSET(ORÇAMENTO!O$15,ROW(E48)-ROW(E$15),0)</f>
        <v>1.3.</v>
      </c>
      <c r="F48" s="206" t="str">
        <f ca="1">OFFSET(ORÇAMENTO!R$15,ROW(F48)-ROW(F$15),0)</f>
        <v>FUNDAÇÕES</v>
      </c>
      <c r="G48" s="207" t="str">
        <f ca="1">IF($D48&lt;&gt;"Serviço","",OFFSET(ORÇAMENTO!S$15,ROW(G48)-ROW(G$15),0))</f>
        <v/>
      </c>
      <c r="H48" s="151">
        <f ca="1">IF($D48&lt;&gt;"Serviço",0,IF(ACOMPANHAMENTO="BM",ROUND(OFFSET(ORÇAMENTO!AJ$15,ROW(H48)-ROW(H$15),0),15-13*ORÇAMENTO!$AF$7),SUMPRODUCT(($Q$12:$AI$12&lt;&gt;"")*ROUND($Q48:$AI48,15-13*ORÇAMENTO!$AF$7))))</f>
        <v>0</v>
      </c>
      <c r="I48" s="650"/>
      <c r="K48" s="208"/>
      <c r="L48" s="209" t="s">
        <v>257</v>
      </c>
      <c r="M48" s="210" t="str">
        <f ca="1">IF($D48&lt;&gt;"Serviço","",IF(AUTOEVENTO="manual",$A48,IF(ISERROR(MATCH($A48,$A$15:OFFSET($A48,-1,0),0)),MAX($M$15:OFFSET(M48,-1,0))+1,INDEX($M$15:OFFSET(M48,-1,0),MATCH($A48,$A$15:OFFSET($A48,-1,0),0)))))</f>
        <v/>
      </c>
      <c r="N48" s="211" t="str">
        <f ca="1">IF($D48&lt;&gt;"Serviço","",IF(AUTOEVENTO="Manual",IF($A48=0,"&lt;-- defina o número do agrupador",OFFSET(EVENTOS!$D$14,$A48,0)),OFFSET($F$15,$A48,0)))</f>
        <v/>
      </c>
      <c r="O48" s="212"/>
      <c r="Q48" s="212"/>
      <c r="R48" s="213"/>
      <c r="S48" s="213"/>
      <c r="T48" s="213"/>
      <c r="U48" s="213"/>
      <c r="V48" s="213"/>
      <c r="W48" s="213"/>
      <c r="X48" s="213"/>
      <c r="Y48" s="213"/>
      <c r="Z48" s="214"/>
      <c r="AA48" s="213"/>
      <c r="AB48" s="213"/>
      <c r="AC48" s="213"/>
      <c r="AD48" s="213"/>
      <c r="AE48" s="213"/>
      <c r="AF48" s="213"/>
      <c r="AG48" s="213"/>
      <c r="AH48" s="214"/>
      <c r="AJ48" s="631">
        <f ca="1">IF(AND($D48="Serviço",AJ$12&lt;&gt;0,$H48&gt;0,OR(AUTOEVENTO&lt;&gt;"manual",$M48&lt;&gt;1)),ROUND(OFFSET($P48,0,AJ$13),15-13*ORÇAMENTO!$AF$7)/$H48*OFFSET(ORÇAMENTO!$X$15,ROW(AJ48)-ROW(AJ$15),0),0)</f>
        <v>0</v>
      </c>
      <c r="AK48" s="632">
        <f ca="1">IF(AND($D48="Serviço",AK$12&lt;&gt;0,$H48&gt;0,OR(AUTOEVENTO&lt;&gt;"manual",$M48&lt;&gt;1)),ROUND(OFFSET($P48,0,AK$13),15-13*ORÇAMENTO!$AF$7)/$H48*OFFSET(ORÇAMENTO!$X$15,ROW(AK48)-ROW(AK$15),0),0)</f>
        <v>0</v>
      </c>
      <c r="AL48" s="632">
        <f ca="1">IF(AND($D48="Serviço",AL$12&lt;&gt;0,$H48&gt;0,OR(AUTOEVENTO&lt;&gt;"manual",$M48&lt;&gt;1)),ROUND(OFFSET($P48,0,AL$13),15-13*ORÇAMENTO!$AF$7)/$H48*OFFSET(ORÇAMENTO!$X$15,ROW(AL48)-ROW(AL$15),0),0)</f>
        <v>0</v>
      </c>
      <c r="AM48" s="632">
        <f ca="1">IF(AND($D48="Serviço",AM$12&lt;&gt;0,$H48&gt;0,OR(AUTOEVENTO&lt;&gt;"manual",$M48&lt;&gt;1)),ROUND(OFFSET($P48,0,AM$13),15-13*ORÇAMENTO!$AF$7)/$H48*OFFSET(ORÇAMENTO!$X$15,ROW(AM48)-ROW(AM$15),0),0)</f>
        <v>0</v>
      </c>
      <c r="AN48" s="632">
        <f ca="1">IF(AND($D48="Serviço",AN$12&lt;&gt;0,$H48&gt;0,OR(AUTOEVENTO&lt;&gt;"manual",$M48&lt;&gt;1)),ROUND(OFFSET($P48,0,AN$13),15-13*ORÇAMENTO!$AF$7)/$H48*OFFSET(ORÇAMENTO!$X$15,ROW(AN48)-ROW(AN$15),0),0)</f>
        <v>0</v>
      </c>
      <c r="AO48" s="632">
        <f ca="1">IF(AND($D48="Serviço",AO$12&lt;&gt;0,$H48&gt;0,OR(AUTOEVENTO&lt;&gt;"manual",$M48&lt;&gt;1)),ROUND(OFFSET($P48,0,AO$13),15-13*ORÇAMENTO!$AF$7)/$H48*OFFSET(ORÇAMENTO!$X$15,ROW(AO48)-ROW(AO$15),0),0)</f>
        <v>0</v>
      </c>
      <c r="AP48" s="632">
        <f ca="1">IF(AND($D48="Serviço",AP$12&lt;&gt;0,$H48&gt;0,OR(AUTOEVENTO&lt;&gt;"manual",$M48&lt;&gt;1)),ROUND(OFFSET($P48,0,AP$13),15-13*ORÇAMENTO!$AF$7)/$H48*OFFSET(ORÇAMENTO!$X$15,ROW(AP48)-ROW(AP$15),0),0)</f>
        <v>0</v>
      </c>
      <c r="AQ48" s="632">
        <f ca="1">IF(AND($D48="Serviço",AQ$12&lt;&gt;0,$H48&gt;0,OR(AUTOEVENTO&lt;&gt;"manual",$M48&lt;&gt;1)),ROUND(OFFSET($P48,0,AQ$13),15-13*ORÇAMENTO!$AF$7)/$H48*OFFSET(ORÇAMENTO!$X$15,ROW(AQ48)-ROW(AQ$15),0),0)</f>
        <v>0</v>
      </c>
      <c r="AR48" s="632">
        <f ca="1">IF(AND($D48="Serviço",AR$12&lt;&gt;0,$H48&gt;0,OR(AUTOEVENTO&lt;&gt;"manual",$M48&lt;&gt;1)),ROUND(OFFSET($P48,0,AR$13),15-13*ORÇAMENTO!$AF$7)/$H48*OFFSET(ORÇAMENTO!$X$15,ROW(AR48)-ROW(AR$15),0),0)</f>
        <v>0</v>
      </c>
      <c r="AS48" s="633">
        <f ca="1">IF(AND($D48="Serviço",AS$12&lt;&gt;0,$H48&gt;0,OR(AUTOEVENTO&lt;&gt;"manual",$M48&lt;&gt;1)),ROUND(OFFSET($P48,0,AS$13),15-13*ORÇAMENTO!$AF$7)/$H48*OFFSET(ORÇAMENTO!$X$15,ROW(AS48)-ROW(AS$15),0),0)</f>
        <v>0</v>
      </c>
      <c r="AT48" s="632">
        <f ca="1">IF(AND($D48="Serviço",AT$12&lt;&gt;0,$H48&gt;0,OR(AUTOEVENTO&lt;&gt;"manual",$M48&lt;&gt;1)),ROUND(OFFSET($P48,0,AT$13),15-13*ORÇAMENTO!$AF$7)/$H48*OFFSET(ORÇAMENTO!$X$15,ROW(AT48)-ROW(AT$15),0),0)</f>
        <v>0</v>
      </c>
      <c r="AU48" s="632">
        <f ca="1">IF(AND($D48="Serviço",AU$12&lt;&gt;0,$H48&gt;0,OR(AUTOEVENTO&lt;&gt;"manual",$M48&lt;&gt;1)),ROUND(OFFSET($P48,0,AU$13),15-13*ORÇAMENTO!$AF$7)/$H48*OFFSET(ORÇAMENTO!$X$15,ROW(AU48)-ROW(AU$15),0),0)</f>
        <v>0</v>
      </c>
      <c r="AV48" s="632">
        <f ca="1">IF(AND($D48="Serviço",AV$12&lt;&gt;0,$H48&gt;0,OR(AUTOEVENTO&lt;&gt;"manual",$M48&lt;&gt;1)),ROUND(OFFSET($P48,0,AV$13),15-13*ORÇAMENTO!$AF$7)/$H48*OFFSET(ORÇAMENTO!$X$15,ROW(AV48)-ROW(AV$15),0),0)</f>
        <v>0</v>
      </c>
      <c r="AW48" s="632">
        <f ca="1">IF(AND($D48="Serviço",AW$12&lt;&gt;0,$H48&gt;0,OR(AUTOEVENTO&lt;&gt;"manual",$M48&lt;&gt;1)),ROUND(OFFSET($P48,0,AW$13),15-13*ORÇAMENTO!$AF$7)/$H48*OFFSET(ORÇAMENTO!$X$15,ROW(AW48)-ROW(AW$15),0),0)</f>
        <v>0</v>
      </c>
      <c r="AX48" s="632">
        <f ca="1">IF(AND($D48="Serviço",AX$12&lt;&gt;0,$H48&gt;0,OR(AUTOEVENTO&lt;&gt;"manual",$M48&lt;&gt;1)),ROUND(OFFSET($P48,0,AX$13),15-13*ORÇAMENTO!$AF$7)/$H48*OFFSET(ORÇAMENTO!$X$15,ROW(AX48)-ROW(AX$15),0),0)</f>
        <v>0</v>
      </c>
      <c r="AY48" s="632">
        <f ca="1">IF(AND($D48="Serviço",AY$12&lt;&gt;0,$H48&gt;0,OR(AUTOEVENTO&lt;&gt;"manual",$M48&lt;&gt;1)),ROUND(OFFSET($P48,0,AY$13),15-13*ORÇAMENTO!$AF$7)/$H48*OFFSET(ORÇAMENTO!$X$15,ROW(AY48)-ROW(AY$15),0),0)</f>
        <v>0</v>
      </c>
      <c r="AZ48" s="632">
        <f ca="1">IF(AND($D48="Serviço",AZ$12&lt;&gt;0,$H48&gt;0,OR(AUTOEVENTO&lt;&gt;"manual",$M48&lt;&gt;1)),ROUND(OFFSET($P48,0,AZ$13),15-13*ORÇAMENTO!$AF$7)/$H48*OFFSET(ORÇAMENTO!$X$15,ROW(AZ48)-ROW(AZ$15),0),0)</f>
        <v>0</v>
      </c>
      <c r="BA48" s="633">
        <f ca="1">IF(AND($D48="Serviço",BA$12&lt;&gt;0,$H48&gt;0,OR(AUTOEVENTO&lt;&gt;"manual",$M48&lt;&gt;1)),ROUND(OFFSET($P48,0,BA$13),15-13*ORÇAMENTO!$AF$7)/$H48*OFFSET(ORÇAMENTO!$X$15,ROW(BA48)-ROW(BA$15),0),0)</f>
        <v>0</v>
      </c>
      <c r="BC48" s="215">
        <f ca="1">IF($D48&lt;&gt;"Serviço",0,IF(AND(AUTOEVENTO="Manual",$M48=1),0,IF(OFFSET(CRONOPLE!$F$14,$M48,BC$13)="",10^12,OFFSET(CRONOPLE!$F$14,$M48,BC$13))))</f>
        <v>0</v>
      </c>
      <c r="BD48" s="215">
        <f ca="1">IF($D48&lt;&gt;"Serviço",0,IF(AND(AUTOEVENTO="Manual",$M48=1),0,IF(OFFSET(CRONOPLE!$F$14,$M48,BD$13)="",10^12,OFFSET(CRONOPLE!$F$14,$M48,BD$13))))</f>
        <v>0</v>
      </c>
      <c r="BE48" s="215">
        <f ca="1">IF($D48&lt;&gt;"Serviço",0,IF(AND(AUTOEVENTO="Manual",$M48=1),0,IF(OFFSET(CRONOPLE!$F$14,$M48,BE$13)="",10^12,OFFSET(CRONOPLE!$F$14,$M48,BE$13))))</f>
        <v>0</v>
      </c>
      <c r="BF48" s="215">
        <f ca="1">IF($D48&lt;&gt;"Serviço",0,IF(AND(AUTOEVENTO="Manual",$M48=1),0,IF(OFFSET(CRONOPLE!$F$14,$M48,BF$13)="",10^12,OFFSET(CRONOPLE!$F$14,$M48,BF$13))))</f>
        <v>0</v>
      </c>
      <c r="BG48" s="215">
        <f ca="1">IF($D48&lt;&gt;"Serviço",0,IF(AND(AUTOEVENTO="Manual",$M48=1),0,IF(OFFSET(CRONOPLE!$F$14,$M48,BG$13)="",10^12,OFFSET(CRONOPLE!$F$14,$M48,BG$13))))</f>
        <v>0</v>
      </c>
      <c r="BH48" s="215">
        <f ca="1">IF($D48&lt;&gt;"Serviço",0,IF(AND(AUTOEVENTO="Manual",$M48=1),0,IF(OFFSET(CRONOPLE!$F$14,$M48,BH$13)="",10^12,OFFSET(CRONOPLE!$F$14,$M48,BH$13))))</f>
        <v>0</v>
      </c>
      <c r="BI48" s="215">
        <f ca="1">IF($D48&lt;&gt;"Serviço",0,IF(AND(AUTOEVENTO="Manual",$M48=1),0,IF(OFFSET(CRONOPLE!$F$14,$M48,BI$13)="",10^12,OFFSET(CRONOPLE!$F$14,$M48,BI$13))))</f>
        <v>0</v>
      </c>
      <c r="BJ48" s="215">
        <f ca="1">IF($D48&lt;&gt;"Serviço",0,IF(AND(AUTOEVENTO="Manual",$M48=1),0,IF(OFFSET(CRONOPLE!$F$14,$M48,BJ$13)="",10^12,OFFSET(CRONOPLE!$F$14,$M48,BJ$13))))</f>
        <v>0</v>
      </c>
      <c r="BK48" s="215">
        <f ca="1">IF($D48&lt;&gt;"Serviço",0,IF(AND(AUTOEVENTO="Manual",$M48=1),0,IF(OFFSET(CRONOPLE!$F$14,$M48,BK$13)="",10^12,OFFSET(CRONOPLE!$F$14,$M48,BK$13))))</f>
        <v>0</v>
      </c>
      <c r="BL48" s="215">
        <f ca="1">IF($D48&lt;&gt;"Serviço",0,IF(AND(AUTOEVENTO="Manual",$M48=1),0,IF(OFFSET(CRONOPLE!$F$14,$M48,BL$13)="",10^12,OFFSET(CRONOPLE!$F$14,$M48,BL$13))))</f>
        <v>0</v>
      </c>
      <c r="BM48" s="215">
        <f ca="1">IF($D48&lt;&gt;"Serviço",0,IF(AND(AUTOEVENTO="Manual",$M48=1),0,IF(OFFSET(CRONOPLE!$F$14,$M48,BM$13)="",10^12,OFFSET(CRONOPLE!$F$14,$M48,BM$13))))</f>
        <v>0</v>
      </c>
      <c r="BN48" s="215">
        <f ca="1">IF($D48&lt;&gt;"Serviço",0,IF(AND(AUTOEVENTO="Manual",$M48=1),0,IF(OFFSET(CRONOPLE!$F$14,$M48,BN$13)="",10^12,OFFSET(CRONOPLE!$F$14,$M48,BN$13))))</f>
        <v>0</v>
      </c>
      <c r="BO48" s="215">
        <f ca="1">IF($D48&lt;&gt;"Serviço",0,IF(AND(AUTOEVENTO="Manual",$M48=1),0,IF(OFFSET(CRONOPLE!$F$14,$M48,BO$13)="",10^12,OFFSET(CRONOPLE!$F$14,$M48,BO$13))))</f>
        <v>0</v>
      </c>
      <c r="BP48" s="215">
        <f ca="1">IF($D48&lt;&gt;"Serviço",0,IF(AND(AUTOEVENTO="Manual",$M48=1),0,IF(OFFSET(CRONOPLE!$F$14,$M48,BP$13)="",10^12,OFFSET(CRONOPLE!$F$14,$M48,BP$13))))</f>
        <v>0</v>
      </c>
      <c r="BQ48" s="215">
        <f ca="1">IF($D48&lt;&gt;"Serviço",0,IF(AND(AUTOEVENTO="Manual",$M48=1),0,IF(OFFSET(CRONOPLE!$F$14,$M48,BQ$13)="",10^12,OFFSET(CRONOPLE!$F$14,$M48,BQ$13))))</f>
        <v>0</v>
      </c>
      <c r="BR48" s="215">
        <f ca="1">IF($D48&lt;&gt;"Serviço",0,IF(AND(AUTOEVENTO="Manual",$M48=1),0,IF(OFFSET(CRONOPLE!$F$14,$M48,BR$13)="",10^12,OFFSET(CRONOPLE!$F$14,$M48,BR$13))))</f>
        <v>0</v>
      </c>
      <c r="BS48" s="215">
        <f ca="1">IF($D48&lt;&gt;"Serviço",0,IF(AND(AUTOEVENTO="Manual",$M48=1),0,IF(OFFSET(CRONOPLE!$F$14,$M48,BS$13)="",10^12,OFFSET(CRONOPLE!$F$14,$M48,BS$13))))</f>
        <v>0</v>
      </c>
      <c r="BT48" s="215">
        <f ca="1">IF($D48&lt;&gt;"Serviço",0,IF(AND(AUTOEVENTO="Manual",$M48=1),0,IF(OFFSET(CRONOPLE!$F$14,$M48,BT$13)="",10^12,OFFSET(CRONOPLE!$F$14,$M48,BT$13))))</f>
        <v>0</v>
      </c>
      <c r="BV48" s="216">
        <f ca="1">IF($D48&lt;&gt;"Serviço",0,IF(OR(AND(AUTOEVENTO="Manual",$M48=1),$M48&gt;(ROW(PLE.lastrow)-ROW(PLE.firstrow))),0,IF(OFFSET(PLE!$G$14,$M48,BV$13)="",10^12,OFFSET(PLE!$G$14,$M48,BV$13))))</f>
        <v>0</v>
      </c>
      <c r="BW48" s="216">
        <f ca="1">IF($D48&lt;&gt;"Serviço",0,IF(OR(AND(AUTOEVENTO="Manual",$M48=1),$M48&gt;(ROW(PLE.lastrow)-ROW(PLE.firstrow))),0,IF(OFFSET(PLE!$G$14,$M48,BW$13)="",10^12,OFFSET(PLE!$G$14,$M48,BW$13))))</f>
        <v>0</v>
      </c>
      <c r="BX48" s="216">
        <f ca="1">IF($D48&lt;&gt;"Serviço",0,IF(OR(AND(AUTOEVENTO="Manual",$M48=1),$M48&gt;(ROW(PLE.lastrow)-ROW(PLE.firstrow))),0,IF(OFFSET(PLE!$G$14,$M48,BX$13)="",10^12,OFFSET(PLE!$G$14,$M48,BX$13))))</f>
        <v>0</v>
      </c>
      <c r="BY48" s="216">
        <f ca="1">IF($D48&lt;&gt;"Serviço",0,IF(OR(AND(AUTOEVENTO="Manual",$M48=1),$M48&gt;(ROW(PLE.lastrow)-ROW(PLE.firstrow))),0,IF(OFFSET(PLE!$G$14,$M48,BY$13)="",10^12,OFFSET(PLE!$G$14,$M48,BY$13))))</f>
        <v>0</v>
      </c>
      <c r="BZ48" s="216">
        <f ca="1">IF($D48&lt;&gt;"Serviço",0,IF(OR(AND(AUTOEVENTO="Manual",$M48=1),$M48&gt;(ROW(PLE.lastrow)-ROW(PLE.firstrow))),0,IF(OFFSET(PLE!$G$14,$M48,BZ$13)="",10^12,OFFSET(PLE!$G$14,$M48,BZ$13))))</f>
        <v>0</v>
      </c>
      <c r="CA48" s="216">
        <f ca="1">IF($D48&lt;&gt;"Serviço",0,IF(OR(AND(AUTOEVENTO="Manual",$M48=1),$M48&gt;(ROW(PLE.lastrow)-ROW(PLE.firstrow))),0,IF(OFFSET(PLE!$G$14,$M48,CA$13)="",10^12,OFFSET(PLE!$G$14,$M48,CA$13))))</f>
        <v>0</v>
      </c>
      <c r="CB48" s="216">
        <f ca="1">IF($D48&lt;&gt;"Serviço",0,IF(OR(AND(AUTOEVENTO="Manual",$M48=1),$M48&gt;(ROW(PLE.lastrow)-ROW(PLE.firstrow))),0,IF(OFFSET(PLE!$G$14,$M48,CB$13)="",10^12,OFFSET(PLE!$G$14,$M48,CB$13))))</f>
        <v>0</v>
      </c>
      <c r="CC48" s="216">
        <f ca="1">IF($D48&lt;&gt;"Serviço",0,IF(OR(AND(AUTOEVENTO="Manual",$M48=1),$M48&gt;(ROW(PLE.lastrow)-ROW(PLE.firstrow))),0,IF(OFFSET(PLE!$G$14,$M48,CC$13)="",10^12,OFFSET(PLE!$G$14,$M48,CC$13))))</f>
        <v>0</v>
      </c>
      <c r="CD48" s="216">
        <f ca="1">IF($D48&lt;&gt;"Serviço",0,IF(OR(AND(AUTOEVENTO="Manual",$M48=1),$M48&gt;(ROW(PLE.lastrow)-ROW(PLE.firstrow))),0,IF(OFFSET(PLE!$G$14,$M48,CD$13)="",10^12,OFFSET(PLE!$G$14,$M48,CD$13))))</f>
        <v>0</v>
      </c>
      <c r="CE48" s="216">
        <f ca="1">IF($D48&lt;&gt;"Serviço",0,IF(OR(AND(AUTOEVENTO="Manual",$M48=1),$M48&gt;(ROW(PLE.lastrow)-ROW(PLE.firstrow))),0,IF(OFFSET(PLE!$G$14,$M48,CE$13)="",10^12,OFFSET(PLE!$G$14,$M48,CE$13))))</f>
        <v>0</v>
      </c>
      <c r="CF48" s="216">
        <f ca="1">IF($D48&lt;&gt;"Serviço",0,IF(OR(AND(AUTOEVENTO="Manual",$M48=1),$M48&gt;(ROW(PLE.lastrow)-ROW(PLE.firstrow))),0,IF(OFFSET(PLE!$G$14,$M48,CF$13)="",10^12,OFFSET(PLE!$G$14,$M48,CF$13))))</f>
        <v>0</v>
      </c>
      <c r="CG48" s="216">
        <f ca="1">IF($D48&lt;&gt;"Serviço",0,IF(OR(AND(AUTOEVENTO="Manual",$M48=1),$M48&gt;(ROW(PLE.lastrow)-ROW(PLE.firstrow))),0,IF(OFFSET(PLE!$G$14,$M48,CG$13)="",10^12,OFFSET(PLE!$G$14,$M48,CG$13))))</f>
        <v>0</v>
      </c>
      <c r="CH48" s="216">
        <f ca="1">IF($D48&lt;&gt;"Serviço",0,IF(OR(AND(AUTOEVENTO="Manual",$M48=1),$M48&gt;(ROW(PLE.lastrow)-ROW(PLE.firstrow))),0,IF(OFFSET(PLE!$G$14,$M48,CH$13)="",10^12,OFFSET(PLE!$G$14,$M48,CH$13))))</f>
        <v>0</v>
      </c>
      <c r="CI48" s="216">
        <f ca="1">IF($D48&lt;&gt;"Serviço",0,IF(OR(AND(AUTOEVENTO="Manual",$M48=1),$M48&gt;(ROW(PLE.lastrow)-ROW(PLE.firstrow))),0,IF(OFFSET(PLE!$G$14,$M48,CI$13)="",10^12,OFFSET(PLE!$G$14,$M48,CI$13))))</f>
        <v>0</v>
      </c>
      <c r="CJ48" s="216">
        <f ca="1">IF($D48&lt;&gt;"Serviço",0,IF(OR(AND(AUTOEVENTO="Manual",$M48=1),$M48&gt;(ROW(PLE.lastrow)-ROW(PLE.firstrow))),0,IF(OFFSET(PLE!$G$14,$M48,CJ$13)="",10^12,OFFSET(PLE!$G$14,$M48,CJ$13))))</f>
        <v>0</v>
      </c>
      <c r="CK48" s="216">
        <f ca="1">IF($D48&lt;&gt;"Serviço",0,IF(OR(AND(AUTOEVENTO="Manual",$M48=1),$M48&gt;(ROW(PLE.lastrow)-ROW(PLE.firstrow))),0,IF(OFFSET(PLE!$G$14,$M48,CK$13)="",10^12,OFFSET(PLE!$G$14,$M48,CK$13))))</f>
        <v>0</v>
      </c>
      <c r="CL48" s="216">
        <f ca="1">IF($D48&lt;&gt;"Serviço",0,IF(OR(AND(AUTOEVENTO="Manual",$M48=1),$M48&gt;(ROW(PLE.lastrow)-ROW(PLE.firstrow))),0,IF(OFFSET(PLE!$G$14,$M48,CL$13)="",10^12,OFFSET(PLE!$G$14,$M48,CL$13))))</f>
        <v>0</v>
      </c>
      <c r="CM48" s="216">
        <f ca="1">IF($D48&lt;&gt;"Serviço",0,IF(OR(AND(AUTOEVENTO="Manual",$M48=1),$M48&gt;(ROW(PLE.lastrow)-ROW(PLE.firstrow))),0,IF(OFFSET(PLE!$G$14,$M48,CM$13)="",10^12,OFFSET(PLE!$G$14,$M48,CM$13))))</f>
        <v>0</v>
      </c>
    </row>
    <row r="49" spans="1:91" ht="13.2" x14ac:dyDescent="0.25">
      <c r="A49" s="9">
        <f t="shared" ca="1" si="9"/>
        <v>0</v>
      </c>
      <c r="B49" s="9">
        <f ca="1">OFFSET(ORÇAMENTO!C$15,ROW(B49)-ROW(B$15),0)</f>
        <v>3</v>
      </c>
      <c r="C49" s="9" t="str">
        <f ca="1">OFFSET(ORÇAMENTO!L$15,ROW(C49)-ROW(C$15),0)</f>
        <v>F</v>
      </c>
      <c r="D49" s="145" t="str">
        <f ca="1">OFFSET(ORÇAMENTO!N$15,ROW(D49)-ROW(D$15),0)</f>
        <v>Nível 3</v>
      </c>
      <c r="E49" s="205" t="str">
        <f ca="1">OFFSET(ORÇAMENTO!O$15,ROW(E49)-ROW(E$15),0)</f>
        <v>1.3.1.</v>
      </c>
      <c r="F49" s="206" t="str">
        <f ca="1">OFFSET(ORÇAMENTO!R$15,ROW(F49)-ROW(F$15),0)</f>
        <v>CONCRETO ARMADO PARA FUNDAÇÕES - SAPATAS</v>
      </c>
      <c r="G49" s="207" t="str">
        <f ca="1">IF($D49&lt;&gt;"Serviço","",OFFSET(ORÇAMENTO!S$15,ROW(G49)-ROW(G$15),0))</f>
        <v/>
      </c>
      <c r="H49" s="151">
        <f ca="1">IF($D49&lt;&gt;"Serviço",0,IF(ACOMPANHAMENTO="BM",ROUND(OFFSET(ORÇAMENTO!AJ$15,ROW(H49)-ROW(H$15),0),15-13*ORÇAMENTO!$AF$7),SUMPRODUCT(($Q$12:$AI$12&lt;&gt;"")*ROUND($Q49:$AI49,15-13*ORÇAMENTO!$AF$7))))</f>
        <v>0</v>
      </c>
      <c r="I49" s="650"/>
      <c r="K49" s="208"/>
      <c r="L49" s="209" t="s">
        <v>257</v>
      </c>
      <c r="M49" s="210" t="str">
        <f ca="1">IF($D49&lt;&gt;"Serviço","",IF(AUTOEVENTO="manual",$A49,IF(ISERROR(MATCH($A49,$A$15:OFFSET($A49,-1,0),0)),MAX($M$15:OFFSET(M49,-1,0))+1,INDEX($M$15:OFFSET(M49,-1,0),MATCH($A49,$A$15:OFFSET($A49,-1,0),0)))))</f>
        <v/>
      </c>
      <c r="N49" s="211" t="str">
        <f ca="1">IF($D49&lt;&gt;"Serviço","",IF(AUTOEVENTO="Manual",IF($A49=0,"&lt;-- defina o número do agrupador",OFFSET(EVENTOS!$D$14,$A49,0)),OFFSET($F$15,$A49,0)))</f>
        <v/>
      </c>
      <c r="O49" s="212"/>
      <c r="Q49" s="212"/>
      <c r="R49" s="213"/>
      <c r="S49" s="213"/>
      <c r="T49" s="213"/>
      <c r="U49" s="213"/>
      <c r="V49" s="213"/>
      <c r="W49" s="213"/>
      <c r="X49" s="213"/>
      <c r="Y49" s="213"/>
      <c r="Z49" s="214"/>
      <c r="AA49" s="213"/>
      <c r="AB49" s="213"/>
      <c r="AC49" s="213"/>
      <c r="AD49" s="213"/>
      <c r="AE49" s="213"/>
      <c r="AF49" s="213"/>
      <c r="AG49" s="213"/>
      <c r="AH49" s="214"/>
      <c r="AJ49" s="631">
        <f ca="1">IF(AND($D49="Serviço",AJ$12&lt;&gt;0,$H49&gt;0,OR(AUTOEVENTO&lt;&gt;"manual",$M49&lt;&gt;1)),ROUND(OFFSET($P49,0,AJ$13),15-13*ORÇAMENTO!$AF$7)/$H49*OFFSET(ORÇAMENTO!$X$15,ROW(AJ49)-ROW(AJ$15),0),0)</f>
        <v>0</v>
      </c>
      <c r="AK49" s="632">
        <f ca="1">IF(AND($D49="Serviço",AK$12&lt;&gt;0,$H49&gt;0,OR(AUTOEVENTO&lt;&gt;"manual",$M49&lt;&gt;1)),ROUND(OFFSET($P49,0,AK$13),15-13*ORÇAMENTO!$AF$7)/$H49*OFFSET(ORÇAMENTO!$X$15,ROW(AK49)-ROW(AK$15),0),0)</f>
        <v>0</v>
      </c>
      <c r="AL49" s="632">
        <f ca="1">IF(AND($D49="Serviço",AL$12&lt;&gt;0,$H49&gt;0,OR(AUTOEVENTO&lt;&gt;"manual",$M49&lt;&gt;1)),ROUND(OFFSET($P49,0,AL$13),15-13*ORÇAMENTO!$AF$7)/$H49*OFFSET(ORÇAMENTO!$X$15,ROW(AL49)-ROW(AL$15),0),0)</f>
        <v>0</v>
      </c>
      <c r="AM49" s="632">
        <f ca="1">IF(AND($D49="Serviço",AM$12&lt;&gt;0,$H49&gt;0,OR(AUTOEVENTO&lt;&gt;"manual",$M49&lt;&gt;1)),ROUND(OFFSET($P49,0,AM$13),15-13*ORÇAMENTO!$AF$7)/$H49*OFFSET(ORÇAMENTO!$X$15,ROW(AM49)-ROW(AM$15),0),0)</f>
        <v>0</v>
      </c>
      <c r="AN49" s="632">
        <f ca="1">IF(AND($D49="Serviço",AN$12&lt;&gt;0,$H49&gt;0,OR(AUTOEVENTO&lt;&gt;"manual",$M49&lt;&gt;1)),ROUND(OFFSET($P49,0,AN$13),15-13*ORÇAMENTO!$AF$7)/$H49*OFFSET(ORÇAMENTO!$X$15,ROW(AN49)-ROW(AN$15),0),0)</f>
        <v>0</v>
      </c>
      <c r="AO49" s="632">
        <f ca="1">IF(AND($D49="Serviço",AO$12&lt;&gt;0,$H49&gt;0,OR(AUTOEVENTO&lt;&gt;"manual",$M49&lt;&gt;1)),ROUND(OFFSET($P49,0,AO$13),15-13*ORÇAMENTO!$AF$7)/$H49*OFFSET(ORÇAMENTO!$X$15,ROW(AO49)-ROW(AO$15),0),0)</f>
        <v>0</v>
      </c>
      <c r="AP49" s="632">
        <f ca="1">IF(AND($D49="Serviço",AP$12&lt;&gt;0,$H49&gt;0,OR(AUTOEVENTO&lt;&gt;"manual",$M49&lt;&gt;1)),ROUND(OFFSET($P49,0,AP$13),15-13*ORÇAMENTO!$AF$7)/$H49*OFFSET(ORÇAMENTO!$X$15,ROW(AP49)-ROW(AP$15),0),0)</f>
        <v>0</v>
      </c>
      <c r="AQ49" s="632">
        <f ca="1">IF(AND($D49="Serviço",AQ$12&lt;&gt;0,$H49&gt;0,OR(AUTOEVENTO&lt;&gt;"manual",$M49&lt;&gt;1)),ROUND(OFFSET($P49,0,AQ$13),15-13*ORÇAMENTO!$AF$7)/$H49*OFFSET(ORÇAMENTO!$X$15,ROW(AQ49)-ROW(AQ$15),0),0)</f>
        <v>0</v>
      </c>
      <c r="AR49" s="632">
        <f ca="1">IF(AND($D49="Serviço",AR$12&lt;&gt;0,$H49&gt;0,OR(AUTOEVENTO&lt;&gt;"manual",$M49&lt;&gt;1)),ROUND(OFFSET($P49,0,AR$13),15-13*ORÇAMENTO!$AF$7)/$H49*OFFSET(ORÇAMENTO!$X$15,ROW(AR49)-ROW(AR$15),0),0)</f>
        <v>0</v>
      </c>
      <c r="AS49" s="633">
        <f ca="1">IF(AND($D49="Serviço",AS$12&lt;&gt;0,$H49&gt;0,OR(AUTOEVENTO&lt;&gt;"manual",$M49&lt;&gt;1)),ROUND(OFFSET($P49,0,AS$13),15-13*ORÇAMENTO!$AF$7)/$H49*OFFSET(ORÇAMENTO!$X$15,ROW(AS49)-ROW(AS$15),0),0)</f>
        <v>0</v>
      </c>
      <c r="AT49" s="632">
        <f ca="1">IF(AND($D49="Serviço",AT$12&lt;&gt;0,$H49&gt;0,OR(AUTOEVENTO&lt;&gt;"manual",$M49&lt;&gt;1)),ROUND(OFFSET($P49,0,AT$13),15-13*ORÇAMENTO!$AF$7)/$H49*OFFSET(ORÇAMENTO!$X$15,ROW(AT49)-ROW(AT$15),0),0)</f>
        <v>0</v>
      </c>
      <c r="AU49" s="632">
        <f ca="1">IF(AND($D49="Serviço",AU$12&lt;&gt;0,$H49&gt;0,OR(AUTOEVENTO&lt;&gt;"manual",$M49&lt;&gt;1)),ROUND(OFFSET($P49,0,AU$13),15-13*ORÇAMENTO!$AF$7)/$H49*OFFSET(ORÇAMENTO!$X$15,ROW(AU49)-ROW(AU$15),0),0)</f>
        <v>0</v>
      </c>
      <c r="AV49" s="632">
        <f ca="1">IF(AND($D49="Serviço",AV$12&lt;&gt;0,$H49&gt;0,OR(AUTOEVENTO&lt;&gt;"manual",$M49&lt;&gt;1)),ROUND(OFFSET($P49,0,AV$13),15-13*ORÇAMENTO!$AF$7)/$H49*OFFSET(ORÇAMENTO!$X$15,ROW(AV49)-ROW(AV$15),0),0)</f>
        <v>0</v>
      </c>
      <c r="AW49" s="632">
        <f ca="1">IF(AND($D49="Serviço",AW$12&lt;&gt;0,$H49&gt;0,OR(AUTOEVENTO&lt;&gt;"manual",$M49&lt;&gt;1)),ROUND(OFFSET($P49,0,AW$13),15-13*ORÇAMENTO!$AF$7)/$H49*OFFSET(ORÇAMENTO!$X$15,ROW(AW49)-ROW(AW$15),0),0)</f>
        <v>0</v>
      </c>
      <c r="AX49" s="632">
        <f ca="1">IF(AND($D49="Serviço",AX$12&lt;&gt;0,$H49&gt;0,OR(AUTOEVENTO&lt;&gt;"manual",$M49&lt;&gt;1)),ROUND(OFFSET($P49,0,AX$13),15-13*ORÇAMENTO!$AF$7)/$H49*OFFSET(ORÇAMENTO!$X$15,ROW(AX49)-ROW(AX$15),0),0)</f>
        <v>0</v>
      </c>
      <c r="AY49" s="632">
        <f ca="1">IF(AND($D49="Serviço",AY$12&lt;&gt;0,$H49&gt;0,OR(AUTOEVENTO&lt;&gt;"manual",$M49&lt;&gt;1)),ROUND(OFFSET($P49,0,AY$13),15-13*ORÇAMENTO!$AF$7)/$H49*OFFSET(ORÇAMENTO!$X$15,ROW(AY49)-ROW(AY$15),0),0)</f>
        <v>0</v>
      </c>
      <c r="AZ49" s="632">
        <f ca="1">IF(AND($D49="Serviço",AZ$12&lt;&gt;0,$H49&gt;0,OR(AUTOEVENTO&lt;&gt;"manual",$M49&lt;&gt;1)),ROUND(OFFSET($P49,0,AZ$13),15-13*ORÇAMENTO!$AF$7)/$H49*OFFSET(ORÇAMENTO!$X$15,ROW(AZ49)-ROW(AZ$15),0),0)</f>
        <v>0</v>
      </c>
      <c r="BA49" s="633">
        <f ca="1">IF(AND($D49="Serviço",BA$12&lt;&gt;0,$H49&gt;0,OR(AUTOEVENTO&lt;&gt;"manual",$M49&lt;&gt;1)),ROUND(OFFSET($P49,0,BA$13),15-13*ORÇAMENTO!$AF$7)/$H49*OFFSET(ORÇAMENTO!$X$15,ROW(BA49)-ROW(BA$15),0),0)</f>
        <v>0</v>
      </c>
      <c r="BC49" s="215">
        <f ca="1">IF($D49&lt;&gt;"Serviço",0,IF(AND(AUTOEVENTO="Manual",$M49=1),0,IF(OFFSET(CRONOPLE!$F$14,$M49,BC$13)="",10^12,OFFSET(CRONOPLE!$F$14,$M49,BC$13))))</f>
        <v>0</v>
      </c>
      <c r="BD49" s="215">
        <f ca="1">IF($D49&lt;&gt;"Serviço",0,IF(AND(AUTOEVENTO="Manual",$M49=1),0,IF(OFFSET(CRONOPLE!$F$14,$M49,BD$13)="",10^12,OFFSET(CRONOPLE!$F$14,$M49,BD$13))))</f>
        <v>0</v>
      </c>
      <c r="BE49" s="215">
        <f ca="1">IF($D49&lt;&gt;"Serviço",0,IF(AND(AUTOEVENTO="Manual",$M49=1),0,IF(OFFSET(CRONOPLE!$F$14,$M49,BE$13)="",10^12,OFFSET(CRONOPLE!$F$14,$M49,BE$13))))</f>
        <v>0</v>
      </c>
      <c r="BF49" s="215">
        <f ca="1">IF($D49&lt;&gt;"Serviço",0,IF(AND(AUTOEVENTO="Manual",$M49=1),0,IF(OFFSET(CRONOPLE!$F$14,$M49,BF$13)="",10^12,OFFSET(CRONOPLE!$F$14,$M49,BF$13))))</f>
        <v>0</v>
      </c>
      <c r="BG49" s="215">
        <f ca="1">IF($D49&lt;&gt;"Serviço",0,IF(AND(AUTOEVENTO="Manual",$M49=1),0,IF(OFFSET(CRONOPLE!$F$14,$M49,BG$13)="",10^12,OFFSET(CRONOPLE!$F$14,$M49,BG$13))))</f>
        <v>0</v>
      </c>
      <c r="BH49" s="215">
        <f ca="1">IF($D49&lt;&gt;"Serviço",0,IF(AND(AUTOEVENTO="Manual",$M49=1),0,IF(OFFSET(CRONOPLE!$F$14,$M49,BH$13)="",10^12,OFFSET(CRONOPLE!$F$14,$M49,BH$13))))</f>
        <v>0</v>
      </c>
      <c r="BI49" s="215">
        <f ca="1">IF($D49&lt;&gt;"Serviço",0,IF(AND(AUTOEVENTO="Manual",$M49=1),0,IF(OFFSET(CRONOPLE!$F$14,$M49,BI$13)="",10^12,OFFSET(CRONOPLE!$F$14,$M49,BI$13))))</f>
        <v>0</v>
      </c>
      <c r="BJ49" s="215">
        <f ca="1">IF($D49&lt;&gt;"Serviço",0,IF(AND(AUTOEVENTO="Manual",$M49=1),0,IF(OFFSET(CRONOPLE!$F$14,$M49,BJ$13)="",10^12,OFFSET(CRONOPLE!$F$14,$M49,BJ$13))))</f>
        <v>0</v>
      </c>
      <c r="BK49" s="215">
        <f ca="1">IF($D49&lt;&gt;"Serviço",0,IF(AND(AUTOEVENTO="Manual",$M49=1),0,IF(OFFSET(CRONOPLE!$F$14,$M49,BK$13)="",10^12,OFFSET(CRONOPLE!$F$14,$M49,BK$13))))</f>
        <v>0</v>
      </c>
      <c r="BL49" s="215">
        <f ca="1">IF($D49&lt;&gt;"Serviço",0,IF(AND(AUTOEVENTO="Manual",$M49=1),0,IF(OFFSET(CRONOPLE!$F$14,$M49,BL$13)="",10^12,OFFSET(CRONOPLE!$F$14,$M49,BL$13))))</f>
        <v>0</v>
      </c>
      <c r="BM49" s="215">
        <f ca="1">IF($D49&lt;&gt;"Serviço",0,IF(AND(AUTOEVENTO="Manual",$M49=1),0,IF(OFFSET(CRONOPLE!$F$14,$M49,BM$13)="",10^12,OFFSET(CRONOPLE!$F$14,$M49,BM$13))))</f>
        <v>0</v>
      </c>
      <c r="BN49" s="215">
        <f ca="1">IF($D49&lt;&gt;"Serviço",0,IF(AND(AUTOEVENTO="Manual",$M49=1),0,IF(OFFSET(CRONOPLE!$F$14,$M49,BN$13)="",10^12,OFFSET(CRONOPLE!$F$14,$M49,BN$13))))</f>
        <v>0</v>
      </c>
      <c r="BO49" s="215">
        <f ca="1">IF($D49&lt;&gt;"Serviço",0,IF(AND(AUTOEVENTO="Manual",$M49=1),0,IF(OFFSET(CRONOPLE!$F$14,$M49,BO$13)="",10^12,OFFSET(CRONOPLE!$F$14,$M49,BO$13))))</f>
        <v>0</v>
      </c>
      <c r="BP49" s="215">
        <f ca="1">IF($D49&lt;&gt;"Serviço",0,IF(AND(AUTOEVENTO="Manual",$M49=1),0,IF(OFFSET(CRONOPLE!$F$14,$M49,BP$13)="",10^12,OFFSET(CRONOPLE!$F$14,$M49,BP$13))))</f>
        <v>0</v>
      </c>
      <c r="BQ49" s="215">
        <f ca="1">IF($D49&lt;&gt;"Serviço",0,IF(AND(AUTOEVENTO="Manual",$M49=1),0,IF(OFFSET(CRONOPLE!$F$14,$M49,BQ$13)="",10^12,OFFSET(CRONOPLE!$F$14,$M49,BQ$13))))</f>
        <v>0</v>
      </c>
      <c r="BR49" s="215">
        <f ca="1">IF($D49&lt;&gt;"Serviço",0,IF(AND(AUTOEVENTO="Manual",$M49=1),0,IF(OFFSET(CRONOPLE!$F$14,$M49,BR$13)="",10^12,OFFSET(CRONOPLE!$F$14,$M49,BR$13))))</f>
        <v>0</v>
      </c>
      <c r="BS49" s="215">
        <f ca="1">IF($D49&lt;&gt;"Serviço",0,IF(AND(AUTOEVENTO="Manual",$M49=1),0,IF(OFFSET(CRONOPLE!$F$14,$M49,BS$13)="",10^12,OFFSET(CRONOPLE!$F$14,$M49,BS$13))))</f>
        <v>0</v>
      </c>
      <c r="BT49" s="215">
        <f ca="1">IF($D49&lt;&gt;"Serviço",0,IF(AND(AUTOEVENTO="Manual",$M49=1),0,IF(OFFSET(CRONOPLE!$F$14,$M49,BT$13)="",10^12,OFFSET(CRONOPLE!$F$14,$M49,BT$13))))</f>
        <v>0</v>
      </c>
      <c r="BV49" s="216">
        <f ca="1">IF($D49&lt;&gt;"Serviço",0,IF(OR(AND(AUTOEVENTO="Manual",$M49=1),$M49&gt;(ROW(PLE.lastrow)-ROW(PLE.firstrow))),0,IF(OFFSET(PLE!$G$14,$M49,BV$13)="",10^12,OFFSET(PLE!$G$14,$M49,BV$13))))</f>
        <v>0</v>
      </c>
      <c r="BW49" s="216">
        <f ca="1">IF($D49&lt;&gt;"Serviço",0,IF(OR(AND(AUTOEVENTO="Manual",$M49=1),$M49&gt;(ROW(PLE.lastrow)-ROW(PLE.firstrow))),0,IF(OFFSET(PLE!$G$14,$M49,BW$13)="",10^12,OFFSET(PLE!$G$14,$M49,BW$13))))</f>
        <v>0</v>
      </c>
      <c r="BX49" s="216">
        <f ca="1">IF($D49&lt;&gt;"Serviço",0,IF(OR(AND(AUTOEVENTO="Manual",$M49=1),$M49&gt;(ROW(PLE.lastrow)-ROW(PLE.firstrow))),0,IF(OFFSET(PLE!$G$14,$M49,BX$13)="",10^12,OFFSET(PLE!$G$14,$M49,BX$13))))</f>
        <v>0</v>
      </c>
      <c r="BY49" s="216">
        <f ca="1">IF($D49&lt;&gt;"Serviço",0,IF(OR(AND(AUTOEVENTO="Manual",$M49=1),$M49&gt;(ROW(PLE.lastrow)-ROW(PLE.firstrow))),0,IF(OFFSET(PLE!$G$14,$M49,BY$13)="",10^12,OFFSET(PLE!$G$14,$M49,BY$13))))</f>
        <v>0</v>
      </c>
      <c r="BZ49" s="216">
        <f ca="1">IF($D49&lt;&gt;"Serviço",0,IF(OR(AND(AUTOEVENTO="Manual",$M49=1),$M49&gt;(ROW(PLE.lastrow)-ROW(PLE.firstrow))),0,IF(OFFSET(PLE!$G$14,$M49,BZ$13)="",10^12,OFFSET(PLE!$G$14,$M49,BZ$13))))</f>
        <v>0</v>
      </c>
      <c r="CA49" s="216">
        <f ca="1">IF($D49&lt;&gt;"Serviço",0,IF(OR(AND(AUTOEVENTO="Manual",$M49=1),$M49&gt;(ROW(PLE.lastrow)-ROW(PLE.firstrow))),0,IF(OFFSET(PLE!$G$14,$M49,CA$13)="",10^12,OFFSET(PLE!$G$14,$M49,CA$13))))</f>
        <v>0</v>
      </c>
      <c r="CB49" s="216">
        <f ca="1">IF($D49&lt;&gt;"Serviço",0,IF(OR(AND(AUTOEVENTO="Manual",$M49=1),$M49&gt;(ROW(PLE.lastrow)-ROW(PLE.firstrow))),0,IF(OFFSET(PLE!$G$14,$M49,CB$13)="",10^12,OFFSET(PLE!$G$14,$M49,CB$13))))</f>
        <v>0</v>
      </c>
      <c r="CC49" s="216">
        <f ca="1">IF($D49&lt;&gt;"Serviço",0,IF(OR(AND(AUTOEVENTO="Manual",$M49=1),$M49&gt;(ROW(PLE.lastrow)-ROW(PLE.firstrow))),0,IF(OFFSET(PLE!$G$14,$M49,CC$13)="",10^12,OFFSET(PLE!$G$14,$M49,CC$13))))</f>
        <v>0</v>
      </c>
      <c r="CD49" s="216">
        <f ca="1">IF($D49&lt;&gt;"Serviço",0,IF(OR(AND(AUTOEVENTO="Manual",$M49=1),$M49&gt;(ROW(PLE.lastrow)-ROW(PLE.firstrow))),0,IF(OFFSET(PLE!$G$14,$M49,CD$13)="",10^12,OFFSET(PLE!$G$14,$M49,CD$13))))</f>
        <v>0</v>
      </c>
      <c r="CE49" s="216">
        <f ca="1">IF($D49&lt;&gt;"Serviço",0,IF(OR(AND(AUTOEVENTO="Manual",$M49=1),$M49&gt;(ROW(PLE.lastrow)-ROW(PLE.firstrow))),0,IF(OFFSET(PLE!$G$14,$M49,CE$13)="",10^12,OFFSET(PLE!$G$14,$M49,CE$13))))</f>
        <v>0</v>
      </c>
      <c r="CF49" s="216">
        <f ca="1">IF($D49&lt;&gt;"Serviço",0,IF(OR(AND(AUTOEVENTO="Manual",$M49=1),$M49&gt;(ROW(PLE.lastrow)-ROW(PLE.firstrow))),0,IF(OFFSET(PLE!$G$14,$M49,CF$13)="",10^12,OFFSET(PLE!$G$14,$M49,CF$13))))</f>
        <v>0</v>
      </c>
      <c r="CG49" s="216">
        <f ca="1">IF($D49&lt;&gt;"Serviço",0,IF(OR(AND(AUTOEVENTO="Manual",$M49=1),$M49&gt;(ROW(PLE.lastrow)-ROW(PLE.firstrow))),0,IF(OFFSET(PLE!$G$14,$M49,CG$13)="",10^12,OFFSET(PLE!$G$14,$M49,CG$13))))</f>
        <v>0</v>
      </c>
      <c r="CH49" s="216">
        <f ca="1">IF($D49&lt;&gt;"Serviço",0,IF(OR(AND(AUTOEVENTO="Manual",$M49=1),$M49&gt;(ROW(PLE.lastrow)-ROW(PLE.firstrow))),0,IF(OFFSET(PLE!$G$14,$M49,CH$13)="",10^12,OFFSET(PLE!$G$14,$M49,CH$13))))</f>
        <v>0</v>
      </c>
      <c r="CI49" s="216">
        <f ca="1">IF($D49&lt;&gt;"Serviço",0,IF(OR(AND(AUTOEVENTO="Manual",$M49=1),$M49&gt;(ROW(PLE.lastrow)-ROW(PLE.firstrow))),0,IF(OFFSET(PLE!$G$14,$M49,CI$13)="",10^12,OFFSET(PLE!$G$14,$M49,CI$13))))</f>
        <v>0</v>
      </c>
      <c r="CJ49" s="216">
        <f ca="1">IF($D49&lt;&gt;"Serviço",0,IF(OR(AND(AUTOEVENTO="Manual",$M49=1),$M49&gt;(ROW(PLE.lastrow)-ROW(PLE.firstrow))),0,IF(OFFSET(PLE!$G$14,$M49,CJ$13)="",10^12,OFFSET(PLE!$G$14,$M49,CJ$13))))</f>
        <v>0</v>
      </c>
      <c r="CK49" s="216">
        <f ca="1">IF($D49&lt;&gt;"Serviço",0,IF(OR(AND(AUTOEVENTO="Manual",$M49=1),$M49&gt;(ROW(PLE.lastrow)-ROW(PLE.firstrow))),0,IF(OFFSET(PLE!$G$14,$M49,CK$13)="",10^12,OFFSET(PLE!$G$14,$M49,CK$13))))</f>
        <v>0</v>
      </c>
      <c r="CL49" s="216">
        <f ca="1">IF($D49&lt;&gt;"Serviço",0,IF(OR(AND(AUTOEVENTO="Manual",$M49=1),$M49&gt;(ROW(PLE.lastrow)-ROW(PLE.firstrow))),0,IF(OFFSET(PLE!$G$14,$M49,CL$13)="",10^12,OFFSET(PLE!$G$14,$M49,CL$13))))</f>
        <v>0</v>
      </c>
      <c r="CM49" s="216">
        <f ca="1">IF($D49&lt;&gt;"Serviço",0,IF(OR(AND(AUTOEVENTO="Manual",$M49=1),$M49&gt;(ROW(PLE.lastrow)-ROW(PLE.firstrow))),0,IF(OFFSET(PLE!$G$14,$M49,CM$13)="",10^12,OFFSET(PLE!$G$14,$M49,CM$13))))</f>
        <v>0</v>
      </c>
    </row>
    <row r="50" spans="1:91" ht="13.2" x14ac:dyDescent="0.25">
      <c r="A50" s="9">
        <f t="shared" ca="1" si="9"/>
        <v>0</v>
      </c>
      <c r="B50" s="9" t="str">
        <f ca="1">OFFSET(ORÇAMENTO!C$15,ROW(B50)-ROW(B$15),0)</f>
        <v>S</v>
      </c>
      <c r="C50" s="9" t="str">
        <f ca="1">OFFSET(ORÇAMENTO!L$15,ROW(C50)-ROW(C$15),0)</f>
        <v/>
      </c>
      <c r="D50" s="145" t="str">
        <f ca="1">OFFSET(ORÇAMENTO!N$15,ROW(D50)-ROW(D$15),0)</f>
        <v>Serviço</v>
      </c>
      <c r="E50" s="205" t="str">
        <f ca="1">OFFSET(ORÇAMENTO!O$15,ROW(E50)-ROW(E$15),0)</f>
        <v>-</v>
      </c>
      <c r="F50" s="206" t="str">
        <f ca="1">OFFSET(ORÇAMENTO!R$15,ROW(F50)-ROW(F$15),0)</f>
        <v>(abra o arquivo 'Referência 05-2024.xls)</v>
      </c>
      <c r="G50" s="207" t="str">
        <f ca="1">IF($D50&lt;&gt;"Serviço","",OFFSET(ORÇAMENTO!S$15,ROW(G50)-ROW(G$15),0))</f>
        <v>-</v>
      </c>
      <c r="H50" s="151">
        <f ca="1">IF($D50&lt;&gt;"Serviço",0,IF(ACOMPANHAMENTO="BM",ROUND(OFFSET(ORÇAMENTO!AJ$15,ROW(H50)-ROW(H$15),0),15-13*ORÇAMENTO!$AF$7),SUMPRODUCT(($Q$12:$AI$12&lt;&gt;"")*ROUND($Q50:$AI50,15-13*ORÇAMENTO!$AF$7))))</f>
        <v>3148.22</v>
      </c>
      <c r="I50" s="650"/>
      <c r="K50" s="208"/>
      <c r="L50" s="209" t="s">
        <v>257</v>
      </c>
      <c r="M50" s="210">
        <f ca="1">IF($D50&lt;&gt;"Serviço","",IF(AUTOEVENTO="manual",$A50,IF(ISERROR(MATCH($A50,$A$15:OFFSET($A50,-1,0),0)),MAX($M$15:OFFSET(M50,-1,0))+1,INDEX($M$15:OFFSET(M50,-1,0),MATCH($A50,$A$15:OFFSET($A50,-1,0),0)))))</f>
        <v>0</v>
      </c>
      <c r="N50" s="211" t="str">
        <f ca="1">IF($D50&lt;&gt;"Serviço","",IF(AUTOEVENTO="Manual",IF($A50=0,"&lt;-- defina o número do agrupador",OFFSET(EVENTOS!$D$14,$A50,0)),OFFSET($F$15,$A50,0)))</f>
        <v>&lt;-- defina o número do agrupador</v>
      </c>
      <c r="O50" s="212"/>
      <c r="Q50" s="212"/>
      <c r="R50" s="213"/>
      <c r="S50" s="213"/>
      <c r="T50" s="213"/>
      <c r="U50" s="213"/>
      <c r="V50" s="213"/>
      <c r="W50" s="213"/>
      <c r="X50" s="213"/>
      <c r="Y50" s="213"/>
      <c r="Z50" s="214"/>
      <c r="AA50" s="213"/>
      <c r="AB50" s="213"/>
      <c r="AC50" s="213"/>
      <c r="AD50" s="213"/>
      <c r="AE50" s="213"/>
      <c r="AF50" s="213"/>
      <c r="AG50" s="213"/>
      <c r="AH50" s="214"/>
      <c r="AJ50" s="631">
        <f ca="1">IF(AND($D50="Serviço",AJ$12&lt;&gt;0,$H50&gt;0,OR(AUTOEVENTO&lt;&gt;"manual",$M50&lt;&gt;1)),ROUND(OFFSET($P50,0,AJ$13),15-13*ORÇAMENTO!$AF$7)/$H50*OFFSET(ORÇAMENTO!$X$15,ROW(AJ50)-ROW(AJ$15),0),0)</f>
        <v>0</v>
      </c>
      <c r="AK50" s="632">
        <f ca="1">IF(AND($D50="Serviço",AK$12&lt;&gt;0,$H50&gt;0,OR(AUTOEVENTO&lt;&gt;"manual",$M50&lt;&gt;1)),ROUND(OFFSET($P50,0,AK$13),15-13*ORÇAMENTO!$AF$7)/$H50*OFFSET(ORÇAMENTO!$X$15,ROW(AK50)-ROW(AK$15),0),0)</f>
        <v>0</v>
      </c>
      <c r="AL50" s="632">
        <f ca="1">IF(AND($D50="Serviço",AL$12&lt;&gt;0,$H50&gt;0,OR(AUTOEVENTO&lt;&gt;"manual",$M50&lt;&gt;1)),ROUND(OFFSET($P50,0,AL$13),15-13*ORÇAMENTO!$AF$7)/$H50*OFFSET(ORÇAMENTO!$X$15,ROW(AL50)-ROW(AL$15),0),0)</f>
        <v>0</v>
      </c>
      <c r="AM50" s="632">
        <f ca="1">IF(AND($D50="Serviço",AM$12&lt;&gt;0,$H50&gt;0,OR(AUTOEVENTO&lt;&gt;"manual",$M50&lt;&gt;1)),ROUND(OFFSET($P50,0,AM$13),15-13*ORÇAMENTO!$AF$7)/$H50*OFFSET(ORÇAMENTO!$X$15,ROW(AM50)-ROW(AM$15),0),0)</f>
        <v>0</v>
      </c>
      <c r="AN50" s="632">
        <f ca="1">IF(AND($D50="Serviço",AN$12&lt;&gt;0,$H50&gt;0,OR(AUTOEVENTO&lt;&gt;"manual",$M50&lt;&gt;1)),ROUND(OFFSET($P50,0,AN$13),15-13*ORÇAMENTO!$AF$7)/$H50*OFFSET(ORÇAMENTO!$X$15,ROW(AN50)-ROW(AN$15),0),0)</f>
        <v>0</v>
      </c>
      <c r="AO50" s="632">
        <f ca="1">IF(AND($D50="Serviço",AO$12&lt;&gt;0,$H50&gt;0,OR(AUTOEVENTO&lt;&gt;"manual",$M50&lt;&gt;1)),ROUND(OFFSET($P50,0,AO$13),15-13*ORÇAMENTO!$AF$7)/$H50*OFFSET(ORÇAMENTO!$X$15,ROW(AO50)-ROW(AO$15),0),0)</f>
        <v>0</v>
      </c>
      <c r="AP50" s="632">
        <f ca="1">IF(AND($D50="Serviço",AP$12&lt;&gt;0,$H50&gt;0,OR(AUTOEVENTO&lt;&gt;"manual",$M50&lt;&gt;1)),ROUND(OFFSET($P50,0,AP$13),15-13*ORÇAMENTO!$AF$7)/$H50*OFFSET(ORÇAMENTO!$X$15,ROW(AP50)-ROW(AP$15),0),0)</f>
        <v>0</v>
      </c>
      <c r="AQ50" s="632">
        <f ca="1">IF(AND($D50="Serviço",AQ$12&lt;&gt;0,$H50&gt;0,OR(AUTOEVENTO&lt;&gt;"manual",$M50&lt;&gt;1)),ROUND(OFFSET($P50,0,AQ$13),15-13*ORÇAMENTO!$AF$7)/$H50*OFFSET(ORÇAMENTO!$X$15,ROW(AQ50)-ROW(AQ$15),0),0)</f>
        <v>0</v>
      </c>
      <c r="AR50" s="632">
        <f ca="1">IF(AND($D50="Serviço",AR$12&lt;&gt;0,$H50&gt;0,OR(AUTOEVENTO&lt;&gt;"manual",$M50&lt;&gt;1)),ROUND(OFFSET($P50,0,AR$13),15-13*ORÇAMENTO!$AF$7)/$H50*OFFSET(ORÇAMENTO!$X$15,ROW(AR50)-ROW(AR$15),0),0)</f>
        <v>0</v>
      </c>
      <c r="AS50" s="633">
        <f ca="1">IF(AND($D50="Serviço",AS$12&lt;&gt;0,$H50&gt;0,OR(AUTOEVENTO&lt;&gt;"manual",$M50&lt;&gt;1)),ROUND(OFFSET($P50,0,AS$13),15-13*ORÇAMENTO!$AF$7)/$H50*OFFSET(ORÇAMENTO!$X$15,ROW(AS50)-ROW(AS$15),0),0)</f>
        <v>0</v>
      </c>
      <c r="AT50" s="632">
        <f ca="1">IF(AND($D50="Serviço",AT$12&lt;&gt;0,$H50&gt;0,OR(AUTOEVENTO&lt;&gt;"manual",$M50&lt;&gt;1)),ROUND(OFFSET($P50,0,AT$13),15-13*ORÇAMENTO!$AF$7)/$H50*OFFSET(ORÇAMENTO!$X$15,ROW(AT50)-ROW(AT$15),0),0)</f>
        <v>0</v>
      </c>
      <c r="AU50" s="632">
        <f ca="1">IF(AND($D50="Serviço",AU$12&lt;&gt;0,$H50&gt;0,OR(AUTOEVENTO&lt;&gt;"manual",$M50&lt;&gt;1)),ROUND(OFFSET($P50,0,AU$13),15-13*ORÇAMENTO!$AF$7)/$H50*OFFSET(ORÇAMENTO!$X$15,ROW(AU50)-ROW(AU$15),0),0)</f>
        <v>0</v>
      </c>
      <c r="AV50" s="632">
        <f ca="1">IF(AND($D50="Serviço",AV$12&lt;&gt;0,$H50&gt;0,OR(AUTOEVENTO&lt;&gt;"manual",$M50&lt;&gt;1)),ROUND(OFFSET($P50,0,AV$13),15-13*ORÇAMENTO!$AF$7)/$H50*OFFSET(ORÇAMENTO!$X$15,ROW(AV50)-ROW(AV$15),0),0)</f>
        <v>0</v>
      </c>
      <c r="AW50" s="632">
        <f ca="1">IF(AND($D50="Serviço",AW$12&lt;&gt;0,$H50&gt;0,OR(AUTOEVENTO&lt;&gt;"manual",$M50&lt;&gt;1)),ROUND(OFFSET($P50,0,AW$13),15-13*ORÇAMENTO!$AF$7)/$H50*OFFSET(ORÇAMENTO!$X$15,ROW(AW50)-ROW(AW$15),0),0)</f>
        <v>0</v>
      </c>
      <c r="AX50" s="632">
        <f ca="1">IF(AND($D50="Serviço",AX$12&lt;&gt;0,$H50&gt;0,OR(AUTOEVENTO&lt;&gt;"manual",$M50&lt;&gt;1)),ROUND(OFFSET($P50,0,AX$13),15-13*ORÇAMENTO!$AF$7)/$H50*OFFSET(ORÇAMENTO!$X$15,ROW(AX50)-ROW(AX$15),0),0)</f>
        <v>0</v>
      </c>
      <c r="AY50" s="632">
        <f ca="1">IF(AND($D50="Serviço",AY$12&lt;&gt;0,$H50&gt;0,OR(AUTOEVENTO&lt;&gt;"manual",$M50&lt;&gt;1)),ROUND(OFFSET($P50,0,AY$13),15-13*ORÇAMENTO!$AF$7)/$H50*OFFSET(ORÇAMENTO!$X$15,ROW(AY50)-ROW(AY$15),0),0)</f>
        <v>0</v>
      </c>
      <c r="AZ50" s="632">
        <f ca="1">IF(AND($D50="Serviço",AZ$12&lt;&gt;0,$H50&gt;0,OR(AUTOEVENTO&lt;&gt;"manual",$M50&lt;&gt;1)),ROUND(OFFSET($P50,0,AZ$13),15-13*ORÇAMENTO!$AF$7)/$H50*OFFSET(ORÇAMENTO!$X$15,ROW(AZ50)-ROW(AZ$15),0),0)</f>
        <v>0</v>
      </c>
      <c r="BA50" s="633">
        <f ca="1">IF(AND($D50="Serviço",BA$12&lt;&gt;0,$H50&gt;0,OR(AUTOEVENTO&lt;&gt;"manual",$M50&lt;&gt;1)),ROUND(OFFSET($P50,0,BA$13),15-13*ORÇAMENTO!$AF$7)/$H50*OFFSET(ORÇAMENTO!$X$15,ROW(BA50)-ROW(BA$15),0),0)</f>
        <v>0</v>
      </c>
      <c r="BC50" s="215">
        <f ca="1">IF($D50&lt;&gt;"Serviço",0,IF(AND(AUTOEVENTO="Manual",$M50=1),0,IF(OFFSET(CRONOPLE!$F$14,$M50,BC$13)="",10^12,OFFSET(CRONOPLE!$F$14,$M50,BC$13))))</f>
        <v>1000000000000</v>
      </c>
      <c r="BD50" s="215">
        <f ca="1">IF($D50&lt;&gt;"Serviço",0,IF(AND(AUTOEVENTO="Manual",$M50=1),0,IF(OFFSET(CRONOPLE!$F$14,$M50,BD$13)="",10^12,OFFSET(CRONOPLE!$F$14,$M50,BD$13))))</f>
        <v>1000000000000</v>
      </c>
      <c r="BE50" s="215">
        <f ca="1">IF($D50&lt;&gt;"Serviço",0,IF(AND(AUTOEVENTO="Manual",$M50=1),0,IF(OFFSET(CRONOPLE!$F$14,$M50,BE$13)="",10^12,OFFSET(CRONOPLE!$F$14,$M50,BE$13))))</f>
        <v>1000000000000</v>
      </c>
      <c r="BF50" s="215">
        <f ca="1">IF($D50&lt;&gt;"Serviço",0,IF(AND(AUTOEVENTO="Manual",$M50=1),0,IF(OFFSET(CRONOPLE!$F$14,$M50,BF$13)="",10^12,OFFSET(CRONOPLE!$F$14,$M50,BF$13))))</f>
        <v>1000000000000</v>
      </c>
      <c r="BG50" s="215">
        <f ca="1">IF($D50&lt;&gt;"Serviço",0,IF(AND(AUTOEVENTO="Manual",$M50=1),0,IF(OFFSET(CRONOPLE!$F$14,$M50,BG$13)="",10^12,OFFSET(CRONOPLE!$F$14,$M50,BG$13))))</f>
        <v>1000000000000</v>
      </c>
      <c r="BH50" s="215">
        <f ca="1">IF($D50&lt;&gt;"Serviço",0,IF(AND(AUTOEVENTO="Manual",$M50=1),0,IF(OFFSET(CRONOPLE!$F$14,$M50,BH$13)="",10^12,OFFSET(CRONOPLE!$F$14,$M50,BH$13))))</f>
        <v>1000000000000</v>
      </c>
      <c r="BI50" s="215">
        <f ca="1">IF($D50&lt;&gt;"Serviço",0,IF(AND(AUTOEVENTO="Manual",$M50=1),0,IF(OFFSET(CRONOPLE!$F$14,$M50,BI$13)="",10^12,OFFSET(CRONOPLE!$F$14,$M50,BI$13))))</f>
        <v>1000000000000</v>
      </c>
      <c r="BJ50" s="215">
        <f ca="1">IF($D50&lt;&gt;"Serviço",0,IF(AND(AUTOEVENTO="Manual",$M50=1),0,IF(OFFSET(CRONOPLE!$F$14,$M50,BJ$13)="",10^12,OFFSET(CRONOPLE!$F$14,$M50,BJ$13))))</f>
        <v>1000000000000</v>
      </c>
      <c r="BK50" s="215">
        <f ca="1">IF($D50&lt;&gt;"Serviço",0,IF(AND(AUTOEVENTO="Manual",$M50=1),0,IF(OFFSET(CRONOPLE!$F$14,$M50,BK$13)="",10^12,OFFSET(CRONOPLE!$F$14,$M50,BK$13))))</f>
        <v>1000000000000</v>
      </c>
      <c r="BL50" s="215">
        <f ca="1">IF($D50&lt;&gt;"Serviço",0,IF(AND(AUTOEVENTO="Manual",$M50=1),0,IF(OFFSET(CRONOPLE!$F$14,$M50,BL$13)="",10^12,OFFSET(CRONOPLE!$F$14,$M50,BL$13))))</f>
        <v>1000000000000</v>
      </c>
      <c r="BM50" s="215">
        <f ca="1">IF($D50&lt;&gt;"Serviço",0,IF(AND(AUTOEVENTO="Manual",$M50=1),0,IF(OFFSET(CRONOPLE!$F$14,$M50,BM$13)="",10^12,OFFSET(CRONOPLE!$F$14,$M50,BM$13))))</f>
        <v>1000000000000</v>
      </c>
      <c r="BN50" s="215">
        <f ca="1">IF($D50&lt;&gt;"Serviço",0,IF(AND(AUTOEVENTO="Manual",$M50=1),0,IF(OFFSET(CRONOPLE!$F$14,$M50,BN$13)="",10^12,OFFSET(CRONOPLE!$F$14,$M50,BN$13))))</f>
        <v>1000000000000</v>
      </c>
      <c r="BO50" s="215">
        <f ca="1">IF($D50&lt;&gt;"Serviço",0,IF(AND(AUTOEVENTO="Manual",$M50=1),0,IF(OFFSET(CRONOPLE!$F$14,$M50,BO$13)="",10^12,OFFSET(CRONOPLE!$F$14,$M50,BO$13))))</f>
        <v>1000000000000</v>
      </c>
      <c r="BP50" s="215">
        <f ca="1">IF($D50&lt;&gt;"Serviço",0,IF(AND(AUTOEVENTO="Manual",$M50=1),0,IF(OFFSET(CRONOPLE!$F$14,$M50,BP$13)="",10^12,OFFSET(CRONOPLE!$F$14,$M50,BP$13))))</f>
        <v>1000000000000</v>
      </c>
      <c r="BQ50" s="215">
        <f ca="1">IF($D50&lt;&gt;"Serviço",0,IF(AND(AUTOEVENTO="Manual",$M50=1),0,IF(OFFSET(CRONOPLE!$F$14,$M50,BQ$13)="",10^12,OFFSET(CRONOPLE!$F$14,$M50,BQ$13))))</f>
        <v>1000000000000</v>
      </c>
      <c r="BR50" s="215">
        <f ca="1">IF($D50&lt;&gt;"Serviço",0,IF(AND(AUTOEVENTO="Manual",$M50=1),0,IF(OFFSET(CRONOPLE!$F$14,$M50,BR$13)="",10^12,OFFSET(CRONOPLE!$F$14,$M50,BR$13))))</f>
        <v>1000000000000</v>
      </c>
      <c r="BS50" s="215">
        <f ca="1">IF($D50&lt;&gt;"Serviço",0,IF(AND(AUTOEVENTO="Manual",$M50=1),0,IF(OFFSET(CRONOPLE!$F$14,$M50,BS$13)="",10^12,OFFSET(CRONOPLE!$F$14,$M50,BS$13))))</f>
        <v>1000000000000</v>
      </c>
      <c r="BT50" s="215">
        <f ca="1">IF($D50&lt;&gt;"Serviço",0,IF(AND(AUTOEVENTO="Manual",$M50=1),0,IF(OFFSET(CRONOPLE!$F$14,$M50,BT$13)="",10^12,OFFSET(CRONOPLE!$F$14,$M50,BT$13))))</f>
        <v>1000000000000</v>
      </c>
      <c r="BV50" s="216">
        <f ca="1">IF($D50&lt;&gt;"Serviço",0,IF(OR(AND(AUTOEVENTO="Manual",$M50=1),$M50&gt;(ROW(PLE.lastrow)-ROW(PLE.firstrow))),0,IF(OFFSET(PLE!$G$14,$M50,BV$13)="",10^12,OFFSET(PLE!$G$14,$M50,BV$13))))</f>
        <v>1000000000000</v>
      </c>
      <c r="BW50" s="216">
        <f ca="1">IF($D50&lt;&gt;"Serviço",0,IF(OR(AND(AUTOEVENTO="Manual",$M50=1),$M50&gt;(ROW(PLE.lastrow)-ROW(PLE.firstrow))),0,IF(OFFSET(PLE!$G$14,$M50,BW$13)="",10^12,OFFSET(PLE!$G$14,$M50,BW$13))))</f>
        <v>1000000000000</v>
      </c>
      <c r="BX50" s="216">
        <f ca="1">IF($D50&lt;&gt;"Serviço",0,IF(OR(AND(AUTOEVENTO="Manual",$M50=1),$M50&gt;(ROW(PLE.lastrow)-ROW(PLE.firstrow))),0,IF(OFFSET(PLE!$G$14,$M50,BX$13)="",10^12,OFFSET(PLE!$G$14,$M50,BX$13))))</f>
        <v>1000000000000</v>
      </c>
      <c r="BY50" s="216">
        <f ca="1">IF($D50&lt;&gt;"Serviço",0,IF(OR(AND(AUTOEVENTO="Manual",$M50=1),$M50&gt;(ROW(PLE.lastrow)-ROW(PLE.firstrow))),0,IF(OFFSET(PLE!$G$14,$M50,BY$13)="",10^12,OFFSET(PLE!$G$14,$M50,BY$13))))</f>
        <v>1000000000000</v>
      </c>
      <c r="BZ50" s="216">
        <f ca="1">IF($D50&lt;&gt;"Serviço",0,IF(OR(AND(AUTOEVENTO="Manual",$M50=1),$M50&gt;(ROW(PLE.lastrow)-ROW(PLE.firstrow))),0,IF(OFFSET(PLE!$G$14,$M50,BZ$13)="",10^12,OFFSET(PLE!$G$14,$M50,BZ$13))))</f>
        <v>1000000000000</v>
      </c>
      <c r="CA50" s="216">
        <f ca="1">IF($D50&lt;&gt;"Serviço",0,IF(OR(AND(AUTOEVENTO="Manual",$M50=1),$M50&gt;(ROW(PLE.lastrow)-ROW(PLE.firstrow))),0,IF(OFFSET(PLE!$G$14,$M50,CA$13)="",10^12,OFFSET(PLE!$G$14,$M50,CA$13))))</f>
        <v>1000000000000</v>
      </c>
      <c r="CB50" s="216">
        <f ca="1">IF($D50&lt;&gt;"Serviço",0,IF(OR(AND(AUTOEVENTO="Manual",$M50=1),$M50&gt;(ROW(PLE.lastrow)-ROW(PLE.firstrow))),0,IF(OFFSET(PLE!$G$14,$M50,CB$13)="",10^12,OFFSET(PLE!$G$14,$M50,CB$13))))</f>
        <v>1000000000000</v>
      </c>
      <c r="CC50" s="216">
        <f ca="1">IF($D50&lt;&gt;"Serviço",0,IF(OR(AND(AUTOEVENTO="Manual",$M50=1),$M50&gt;(ROW(PLE.lastrow)-ROW(PLE.firstrow))),0,IF(OFFSET(PLE!$G$14,$M50,CC$13)="",10^12,OFFSET(PLE!$G$14,$M50,CC$13))))</f>
        <v>1000000000000</v>
      </c>
      <c r="CD50" s="216">
        <f ca="1">IF($D50&lt;&gt;"Serviço",0,IF(OR(AND(AUTOEVENTO="Manual",$M50=1),$M50&gt;(ROW(PLE.lastrow)-ROW(PLE.firstrow))),0,IF(OFFSET(PLE!$G$14,$M50,CD$13)="",10^12,OFFSET(PLE!$G$14,$M50,CD$13))))</f>
        <v>1000000000000</v>
      </c>
      <c r="CE50" s="216">
        <f ca="1">IF($D50&lt;&gt;"Serviço",0,IF(OR(AND(AUTOEVENTO="Manual",$M50=1),$M50&gt;(ROW(PLE.lastrow)-ROW(PLE.firstrow))),0,IF(OFFSET(PLE!$G$14,$M50,CE$13)="",10^12,OFFSET(PLE!$G$14,$M50,CE$13))))</f>
        <v>1000000000000</v>
      </c>
      <c r="CF50" s="216">
        <f ca="1">IF($D50&lt;&gt;"Serviço",0,IF(OR(AND(AUTOEVENTO="Manual",$M50=1),$M50&gt;(ROW(PLE.lastrow)-ROW(PLE.firstrow))),0,IF(OFFSET(PLE!$G$14,$M50,CF$13)="",10^12,OFFSET(PLE!$G$14,$M50,CF$13))))</f>
        <v>1000000000000</v>
      </c>
      <c r="CG50" s="216">
        <f ca="1">IF($D50&lt;&gt;"Serviço",0,IF(OR(AND(AUTOEVENTO="Manual",$M50=1),$M50&gt;(ROW(PLE.lastrow)-ROW(PLE.firstrow))),0,IF(OFFSET(PLE!$G$14,$M50,CG$13)="",10^12,OFFSET(PLE!$G$14,$M50,CG$13))))</f>
        <v>1000000000000</v>
      </c>
      <c r="CH50" s="216">
        <f ca="1">IF($D50&lt;&gt;"Serviço",0,IF(OR(AND(AUTOEVENTO="Manual",$M50=1),$M50&gt;(ROW(PLE.lastrow)-ROW(PLE.firstrow))),0,IF(OFFSET(PLE!$G$14,$M50,CH$13)="",10^12,OFFSET(PLE!$G$14,$M50,CH$13))))</f>
        <v>1000000000000</v>
      </c>
      <c r="CI50" s="216">
        <f ca="1">IF($D50&lt;&gt;"Serviço",0,IF(OR(AND(AUTOEVENTO="Manual",$M50=1),$M50&gt;(ROW(PLE.lastrow)-ROW(PLE.firstrow))),0,IF(OFFSET(PLE!$G$14,$M50,CI$13)="",10^12,OFFSET(PLE!$G$14,$M50,CI$13))))</f>
        <v>1000000000000</v>
      </c>
      <c r="CJ50" s="216">
        <f ca="1">IF($D50&lt;&gt;"Serviço",0,IF(OR(AND(AUTOEVENTO="Manual",$M50=1),$M50&gt;(ROW(PLE.lastrow)-ROW(PLE.firstrow))),0,IF(OFFSET(PLE!$G$14,$M50,CJ$13)="",10^12,OFFSET(PLE!$G$14,$M50,CJ$13))))</f>
        <v>1000000000000</v>
      </c>
      <c r="CK50" s="216">
        <f ca="1">IF($D50&lt;&gt;"Serviço",0,IF(OR(AND(AUTOEVENTO="Manual",$M50=1),$M50&gt;(ROW(PLE.lastrow)-ROW(PLE.firstrow))),0,IF(OFFSET(PLE!$G$14,$M50,CK$13)="",10^12,OFFSET(PLE!$G$14,$M50,CK$13))))</f>
        <v>1000000000000</v>
      </c>
      <c r="CL50" s="216">
        <f ca="1">IF($D50&lt;&gt;"Serviço",0,IF(OR(AND(AUTOEVENTO="Manual",$M50=1),$M50&gt;(ROW(PLE.lastrow)-ROW(PLE.firstrow))),0,IF(OFFSET(PLE!$G$14,$M50,CL$13)="",10^12,OFFSET(PLE!$G$14,$M50,CL$13))))</f>
        <v>1000000000000</v>
      </c>
      <c r="CM50" s="216">
        <f ca="1">IF($D50&lt;&gt;"Serviço",0,IF(OR(AND(AUTOEVENTO="Manual",$M50=1),$M50&gt;(ROW(PLE.lastrow)-ROW(PLE.firstrow))),0,IF(OFFSET(PLE!$G$14,$M50,CM$13)="",10^12,OFFSET(PLE!$G$14,$M50,CM$13))))</f>
        <v>1000000000000</v>
      </c>
    </row>
    <row r="51" spans="1:91" ht="13.2" x14ac:dyDescent="0.25">
      <c r="A51" s="9">
        <f t="shared" ca="1" si="9"/>
        <v>0</v>
      </c>
      <c r="B51" s="9" t="str">
        <f ca="1">OFFSET(ORÇAMENTO!C$15,ROW(B51)-ROW(B$15),0)</f>
        <v>S</v>
      </c>
      <c r="C51" s="9" t="str">
        <f ca="1">OFFSET(ORÇAMENTO!L$15,ROW(C51)-ROW(C$15),0)</f>
        <v/>
      </c>
      <c r="D51" s="145" t="str">
        <f ca="1">OFFSET(ORÇAMENTO!N$15,ROW(D51)-ROW(D$15),0)</f>
        <v>Serviço</v>
      </c>
      <c r="E51" s="205" t="str">
        <f ca="1">OFFSET(ORÇAMENTO!O$15,ROW(E51)-ROW(E$15),0)</f>
        <v>-</v>
      </c>
      <c r="F51" s="206" t="str">
        <f ca="1">OFFSET(ORÇAMENTO!R$15,ROW(F51)-ROW(F$15),0)</f>
        <v>(abra o arquivo 'Referência 05-2024.xls)</v>
      </c>
      <c r="G51" s="207" t="str">
        <f ca="1">IF($D51&lt;&gt;"Serviço","",OFFSET(ORÇAMENTO!S$15,ROW(G51)-ROW(G$15),0))</f>
        <v>-</v>
      </c>
      <c r="H51" s="151">
        <f ca="1">IF($D51&lt;&gt;"Serviço",0,IF(ACOMPANHAMENTO="BM",ROUND(OFFSET(ORÇAMENTO!AJ$15,ROW(H51)-ROW(H$15),0),15-13*ORÇAMENTO!$AF$7),SUMPRODUCT(($Q$12:$AI$12&lt;&gt;"")*ROUND($Q51:$AI51,15-13*ORÇAMENTO!$AF$7))))</f>
        <v>1409.17</v>
      </c>
      <c r="I51" s="650"/>
      <c r="K51" s="208"/>
      <c r="L51" s="209" t="s">
        <v>257</v>
      </c>
      <c r="M51" s="210">
        <f ca="1">IF($D51&lt;&gt;"Serviço","",IF(AUTOEVENTO="manual",$A51,IF(ISERROR(MATCH($A51,$A$15:OFFSET($A51,-1,0),0)),MAX($M$15:OFFSET(M51,-1,0))+1,INDEX($M$15:OFFSET(M51,-1,0),MATCH($A51,$A$15:OFFSET($A51,-1,0),0)))))</f>
        <v>0</v>
      </c>
      <c r="N51" s="211" t="str">
        <f ca="1">IF($D51&lt;&gt;"Serviço","",IF(AUTOEVENTO="Manual",IF($A51=0,"&lt;-- defina o número do agrupador",OFFSET(EVENTOS!$D$14,$A51,0)),OFFSET($F$15,$A51,0)))</f>
        <v>&lt;-- defina o número do agrupador</v>
      </c>
      <c r="O51" s="212"/>
      <c r="Q51" s="212"/>
      <c r="R51" s="213"/>
      <c r="S51" s="213"/>
      <c r="T51" s="213"/>
      <c r="U51" s="213"/>
      <c r="V51" s="213"/>
      <c r="W51" s="213"/>
      <c r="X51" s="213"/>
      <c r="Y51" s="213"/>
      <c r="Z51" s="214"/>
      <c r="AA51" s="213"/>
      <c r="AB51" s="213"/>
      <c r="AC51" s="213"/>
      <c r="AD51" s="213"/>
      <c r="AE51" s="213"/>
      <c r="AF51" s="213"/>
      <c r="AG51" s="213"/>
      <c r="AH51" s="214"/>
      <c r="AJ51" s="631">
        <f ca="1">IF(AND($D51="Serviço",AJ$12&lt;&gt;0,$H51&gt;0,OR(AUTOEVENTO&lt;&gt;"manual",$M51&lt;&gt;1)),ROUND(OFFSET($P51,0,AJ$13),15-13*ORÇAMENTO!$AF$7)/$H51*OFFSET(ORÇAMENTO!$X$15,ROW(AJ51)-ROW(AJ$15),0),0)</f>
        <v>0</v>
      </c>
      <c r="AK51" s="632">
        <f ca="1">IF(AND($D51="Serviço",AK$12&lt;&gt;0,$H51&gt;0,OR(AUTOEVENTO&lt;&gt;"manual",$M51&lt;&gt;1)),ROUND(OFFSET($P51,0,AK$13),15-13*ORÇAMENTO!$AF$7)/$H51*OFFSET(ORÇAMENTO!$X$15,ROW(AK51)-ROW(AK$15),0),0)</f>
        <v>0</v>
      </c>
      <c r="AL51" s="632">
        <f ca="1">IF(AND($D51="Serviço",AL$12&lt;&gt;0,$H51&gt;0,OR(AUTOEVENTO&lt;&gt;"manual",$M51&lt;&gt;1)),ROUND(OFFSET($P51,0,AL$13),15-13*ORÇAMENTO!$AF$7)/$H51*OFFSET(ORÇAMENTO!$X$15,ROW(AL51)-ROW(AL$15),0),0)</f>
        <v>0</v>
      </c>
      <c r="AM51" s="632">
        <f ca="1">IF(AND($D51="Serviço",AM$12&lt;&gt;0,$H51&gt;0,OR(AUTOEVENTO&lt;&gt;"manual",$M51&lt;&gt;1)),ROUND(OFFSET($P51,0,AM$13),15-13*ORÇAMENTO!$AF$7)/$H51*OFFSET(ORÇAMENTO!$X$15,ROW(AM51)-ROW(AM$15),0),0)</f>
        <v>0</v>
      </c>
      <c r="AN51" s="632">
        <f ca="1">IF(AND($D51="Serviço",AN$12&lt;&gt;0,$H51&gt;0,OR(AUTOEVENTO&lt;&gt;"manual",$M51&lt;&gt;1)),ROUND(OFFSET($P51,0,AN$13),15-13*ORÇAMENTO!$AF$7)/$H51*OFFSET(ORÇAMENTO!$X$15,ROW(AN51)-ROW(AN$15),0),0)</f>
        <v>0</v>
      </c>
      <c r="AO51" s="632">
        <f ca="1">IF(AND($D51="Serviço",AO$12&lt;&gt;0,$H51&gt;0,OR(AUTOEVENTO&lt;&gt;"manual",$M51&lt;&gt;1)),ROUND(OFFSET($P51,0,AO$13),15-13*ORÇAMENTO!$AF$7)/$H51*OFFSET(ORÇAMENTO!$X$15,ROW(AO51)-ROW(AO$15),0),0)</f>
        <v>0</v>
      </c>
      <c r="AP51" s="632">
        <f ca="1">IF(AND($D51="Serviço",AP$12&lt;&gt;0,$H51&gt;0,OR(AUTOEVENTO&lt;&gt;"manual",$M51&lt;&gt;1)),ROUND(OFFSET($P51,0,AP$13),15-13*ORÇAMENTO!$AF$7)/$H51*OFFSET(ORÇAMENTO!$X$15,ROW(AP51)-ROW(AP$15),0),0)</f>
        <v>0</v>
      </c>
      <c r="AQ51" s="632">
        <f ca="1">IF(AND($D51="Serviço",AQ$12&lt;&gt;0,$H51&gt;0,OR(AUTOEVENTO&lt;&gt;"manual",$M51&lt;&gt;1)),ROUND(OFFSET($P51,0,AQ$13),15-13*ORÇAMENTO!$AF$7)/$H51*OFFSET(ORÇAMENTO!$X$15,ROW(AQ51)-ROW(AQ$15),0),0)</f>
        <v>0</v>
      </c>
      <c r="AR51" s="632">
        <f ca="1">IF(AND($D51="Serviço",AR$12&lt;&gt;0,$H51&gt;0,OR(AUTOEVENTO&lt;&gt;"manual",$M51&lt;&gt;1)),ROUND(OFFSET($P51,0,AR$13),15-13*ORÇAMENTO!$AF$7)/$H51*OFFSET(ORÇAMENTO!$X$15,ROW(AR51)-ROW(AR$15),0),0)</f>
        <v>0</v>
      </c>
      <c r="AS51" s="633">
        <f ca="1">IF(AND($D51="Serviço",AS$12&lt;&gt;0,$H51&gt;0,OR(AUTOEVENTO&lt;&gt;"manual",$M51&lt;&gt;1)),ROUND(OFFSET($P51,0,AS$13),15-13*ORÇAMENTO!$AF$7)/$H51*OFFSET(ORÇAMENTO!$X$15,ROW(AS51)-ROW(AS$15),0),0)</f>
        <v>0</v>
      </c>
      <c r="AT51" s="632">
        <f ca="1">IF(AND($D51="Serviço",AT$12&lt;&gt;0,$H51&gt;0,OR(AUTOEVENTO&lt;&gt;"manual",$M51&lt;&gt;1)),ROUND(OFFSET($P51,0,AT$13),15-13*ORÇAMENTO!$AF$7)/$H51*OFFSET(ORÇAMENTO!$X$15,ROW(AT51)-ROW(AT$15),0),0)</f>
        <v>0</v>
      </c>
      <c r="AU51" s="632">
        <f ca="1">IF(AND($D51="Serviço",AU$12&lt;&gt;0,$H51&gt;0,OR(AUTOEVENTO&lt;&gt;"manual",$M51&lt;&gt;1)),ROUND(OFFSET($P51,0,AU$13),15-13*ORÇAMENTO!$AF$7)/$H51*OFFSET(ORÇAMENTO!$X$15,ROW(AU51)-ROW(AU$15),0),0)</f>
        <v>0</v>
      </c>
      <c r="AV51" s="632">
        <f ca="1">IF(AND($D51="Serviço",AV$12&lt;&gt;0,$H51&gt;0,OR(AUTOEVENTO&lt;&gt;"manual",$M51&lt;&gt;1)),ROUND(OFFSET($P51,0,AV$13),15-13*ORÇAMENTO!$AF$7)/$H51*OFFSET(ORÇAMENTO!$X$15,ROW(AV51)-ROW(AV$15),0),0)</f>
        <v>0</v>
      </c>
      <c r="AW51" s="632">
        <f ca="1">IF(AND($D51="Serviço",AW$12&lt;&gt;0,$H51&gt;0,OR(AUTOEVENTO&lt;&gt;"manual",$M51&lt;&gt;1)),ROUND(OFFSET($P51,0,AW$13),15-13*ORÇAMENTO!$AF$7)/$H51*OFFSET(ORÇAMENTO!$X$15,ROW(AW51)-ROW(AW$15),0),0)</f>
        <v>0</v>
      </c>
      <c r="AX51" s="632">
        <f ca="1">IF(AND($D51="Serviço",AX$12&lt;&gt;0,$H51&gt;0,OR(AUTOEVENTO&lt;&gt;"manual",$M51&lt;&gt;1)),ROUND(OFFSET($P51,0,AX$13),15-13*ORÇAMENTO!$AF$7)/$H51*OFFSET(ORÇAMENTO!$X$15,ROW(AX51)-ROW(AX$15),0),0)</f>
        <v>0</v>
      </c>
      <c r="AY51" s="632">
        <f ca="1">IF(AND($D51="Serviço",AY$12&lt;&gt;0,$H51&gt;0,OR(AUTOEVENTO&lt;&gt;"manual",$M51&lt;&gt;1)),ROUND(OFFSET($P51,0,AY$13),15-13*ORÇAMENTO!$AF$7)/$H51*OFFSET(ORÇAMENTO!$X$15,ROW(AY51)-ROW(AY$15),0),0)</f>
        <v>0</v>
      </c>
      <c r="AZ51" s="632">
        <f ca="1">IF(AND($D51="Serviço",AZ$12&lt;&gt;0,$H51&gt;0,OR(AUTOEVENTO&lt;&gt;"manual",$M51&lt;&gt;1)),ROUND(OFFSET($P51,0,AZ$13),15-13*ORÇAMENTO!$AF$7)/$H51*OFFSET(ORÇAMENTO!$X$15,ROW(AZ51)-ROW(AZ$15),0),0)</f>
        <v>0</v>
      </c>
      <c r="BA51" s="633">
        <f ca="1">IF(AND($D51="Serviço",BA$12&lt;&gt;0,$H51&gt;0,OR(AUTOEVENTO&lt;&gt;"manual",$M51&lt;&gt;1)),ROUND(OFFSET($P51,0,BA$13),15-13*ORÇAMENTO!$AF$7)/$H51*OFFSET(ORÇAMENTO!$X$15,ROW(BA51)-ROW(BA$15),0),0)</f>
        <v>0</v>
      </c>
      <c r="BC51" s="215">
        <f ca="1">IF($D51&lt;&gt;"Serviço",0,IF(AND(AUTOEVENTO="Manual",$M51=1),0,IF(OFFSET(CRONOPLE!$F$14,$M51,BC$13)="",10^12,OFFSET(CRONOPLE!$F$14,$M51,BC$13))))</f>
        <v>1000000000000</v>
      </c>
      <c r="BD51" s="215">
        <f ca="1">IF($D51&lt;&gt;"Serviço",0,IF(AND(AUTOEVENTO="Manual",$M51=1),0,IF(OFFSET(CRONOPLE!$F$14,$M51,BD$13)="",10^12,OFFSET(CRONOPLE!$F$14,$M51,BD$13))))</f>
        <v>1000000000000</v>
      </c>
      <c r="BE51" s="215">
        <f ca="1">IF($D51&lt;&gt;"Serviço",0,IF(AND(AUTOEVENTO="Manual",$M51=1),0,IF(OFFSET(CRONOPLE!$F$14,$M51,BE$13)="",10^12,OFFSET(CRONOPLE!$F$14,$M51,BE$13))))</f>
        <v>1000000000000</v>
      </c>
      <c r="BF51" s="215">
        <f ca="1">IF($D51&lt;&gt;"Serviço",0,IF(AND(AUTOEVENTO="Manual",$M51=1),0,IF(OFFSET(CRONOPLE!$F$14,$M51,BF$13)="",10^12,OFFSET(CRONOPLE!$F$14,$M51,BF$13))))</f>
        <v>1000000000000</v>
      </c>
      <c r="BG51" s="215">
        <f ca="1">IF($D51&lt;&gt;"Serviço",0,IF(AND(AUTOEVENTO="Manual",$M51=1),0,IF(OFFSET(CRONOPLE!$F$14,$M51,BG$13)="",10^12,OFFSET(CRONOPLE!$F$14,$M51,BG$13))))</f>
        <v>1000000000000</v>
      </c>
      <c r="BH51" s="215">
        <f ca="1">IF($D51&lt;&gt;"Serviço",0,IF(AND(AUTOEVENTO="Manual",$M51=1),0,IF(OFFSET(CRONOPLE!$F$14,$M51,BH$13)="",10^12,OFFSET(CRONOPLE!$F$14,$M51,BH$13))))</f>
        <v>1000000000000</v>
      </c>
      <c r="BI51" s="215">
        <f ca="1">IF($D51&lt;&gt;"Serviço",0,IF(AND(AUTOEVENTO="Manual",$M51=1),0,IF(OFFSET(CRONOPLE!$F$14,$M51,BI$13)="",10^12,OFFSET(CRONOPLE!$F$14,$M51,BI$13))))</f>
        <v>1000000000000</v>
      </c>
      <c r="BJ51" s="215">
        <f ca="1">IF($D51&lt;&gt;"Serviço",0,IF(AND(AUTOEVENTO="Manual",$M51=1),0,IF(OFFSET(CRONOPLE!$F$14,$M51,BJ$13)="",10^12,OFFSET(CRONOPLE!$F$14,$M51,BJ$13))))</f>
        <v>1000000000000</v>
      </c>
      <c r="BK51" s="215">
        <f ca="1">IF($D51&lt;&gt;"Serviço",0,IF(AND(AUTOEVENTO="Manual",$M51=1),0,IF(OFFSET(CRONOPLE!$F$14,$M51,BK$13)="",10^12,OFFSET(CRONOPLE!$F$14,$M51,BK$13))))</f>
        <v>1000000000000</v>
      </c>
      <c r="BL51" s="215">
        <f ca="1">IF($D51&lt;&gt;"Serviço",0,IF(AND(AUTOEVENTO="Manual",$M51=1),0,IF(OFFSET(CRONOPLE!$F$14,$M51,BL$13)="",10^12,OFFSET(CRONOPLE!$F$14,$M51,BL$13))))</f>
        <v>1000000000000</v>
      </c>
      <c r="BM51" s="215">
        <f ca="1">IF($D51&lt;&gt;"Serviço",0,IF(AND(AUTOEVENTO="Manual",$M51=1),0,IF(OFFSET(CRONOPLE!$F$14,$M51,BM$13)="",10^12,OFFSET(CRONOPLE!$F$14,$M51,BM$13))))</f>
        <v>1000000000000</v>
      </c>
      <c r="BN51" s="215">
        <f ca="1">IF($D51&lt;&gt;"Serviço",0,IF(AND(AUTOEVENTO="Manual",$M51=1),0,IF(OFFSET(CRONOPLE!$F$14,$M51,BN$13)="",10^12,OFFSET(CRONOPLE!$F$14,$M51,BN$13))))</f>
        <v>1000000000000</v>
      </c>
      <c r="BO51" s="215">
        <f ca="1">IF($D51&lt;&gt;"Serviço",0,IF(AND(AUTOEVENTO="Manual",$M51=1),0,IF(OFFSET(CRONOPLE!$F$14,$M51,BO$13)="",10^12,OFFSET(CRONOPLE!$F$14,$M51,BO$13))))</f>
        <v>1000000000000</v>
      </c>
      <c r="BP51" s="215">
        <f ca="1">IF($D51&lt;&gt;"Serviço",0,IF(AND(AUTOEVENTO="Manual",$M51=1),0,IF(OFFSET(CRONOPLE!$F$14,$M51,BP$13)="",10^12,OFFSET(CRONOPLE!$F$14,$M51,BP$13))))</f>
        <v>1000000000000</v>
      </c>
      <c r="BQ51" s="215">
        <f ca="1">IF($D51&lt;&gt;"Serviço",0,IF(AND(AUTOEVENTO="Manual",$M51=1),0,IF(OFFSET(CRONOPLE!$F$14,$M51,BQ$13)="",10^12,OFFSET(CRONOPLE!$F$14,$M51,BQ$13))))</f>
        <v>1000000000000</v>
      </c>
      <c r="BR51" s="215">
        <f ca="1">IF($D51&lt;&gt;"Serviço",0,IF(AND(AUTOEVENTO="Manual",$M51=1),0,IF(OFFSET(CRONOPLE!$F$14,$M51,BR$13)="",10^12,OFFSET(CRONOPLE!$F$14,$M51,BR$13))))</f>
        <v>1000000000000</v>
      </c>
      <c r="BS51" s="215">
        <f ca="1">IF($D51&lt;&gt;"Serviço",0,IF(AND(AUTOEVENTO="Manual",$M51=1),0,IF(OFFSET(CRONOPLE!$F$14,$M51,BS$13)="",10^12,OFFSET(CRONOPLE!$F$14,$M51,BS$13))))</f>
        <v>1000000000000</v>
      </c>
      <c r="BT51" s="215">
        <f ca="1">IF($D51&lt;&gt;"Serviço",0,IF(AND(AUTOEVENTO="Manual",$M51=1),0,IF(OFFSET(CRONOPLE!$F$14,$M51,BT$13)="",10^12,OFFSET(CRONOPLE!$F$14,$M51,BT$13))))</f>
        <v>1000000000000</v>
      </c>
      <c r="BV51" s="216">
        <f ca="1">IF($D51&lt;&gt;"Serviço",0,IF(OR(AND(AUTOEVENTO="Manual",$M51=1),$M51&gt;(ROW(PLE.lastrow)-ROW(PLE.firstrow))),0,IF(OFFSET(PLE!$G$14,$M51,BV$13)="",10^12,OFFSET(PLE!$G$14,$M51,BV$13))))</f>
        <v>1000000000000</v>
      </c>
      <c r="BW51" s="216">
        <f ca="1">IF($D51&lt;&gt;"Serviço",0,IF(OR(AND(AUTOEVENTO="Manual",$M51=1),$M51&gt;(ROW(PLE.lastrow)-ROW(PLE.firstrow))),0,IF(OFFSET(PLE!$G$14,$M51,BW$13)="",10^12,OFFSET(PLE!$G$14,$M51,BW$13))))</f>
        <v>1000000000000</v>
      </c>
      <c r="BX51" s="216">
        <f ca="1">IF($D51&lt;&gt;"Serviço",0,IF(OR(AND(AUTOEVENTO="Manual",$M51=1),$M51&gt;(ROW(PLE.lastrow)-ROW(PLE.firstrow))),0,IF(OFFSET(PLE!$G$14,$M51,BX$13)="",10^12,OFFSET(PLE!$G$14,$M51,BX$13))))</f>
        <v>1000000000000</v>
      </c>
      <c r="BY51" s="216">
        <f ca="1">IF($D51&lt;&gt;"Serviço",0,IF(OR(AND(AUTOEVENTO="Manual",$M51=1),$M51&gt;(ROW(PLE.lastrow)-ROW(PLE.firstrow))),0,IF(OFFSET(PLE!$G$14,$M51,BY$13)="",10^12,OFFSET(PLE!$G$14,$M51,BY$13))))</f>
        <v>1000000000000</v>
      </c>
      <c r="BZ51" s="216">
        <f ca="1">IF($D51&lt;&gt;"Serviço",0,IF(OR(AND(AUTOEVENTO="Manual",$M51=1),$M51&gt;(ROW(PLE.lastrow)-ROW(PLE.firstrow))),0,IF(OFFSET(PLE!$G$14,$M51,BZ$13)="",10^12,OFFSET(PLE!$G$14,$M51,BZ$13))))</f>
        <v>1000000000000</v>
      </c>
      <c r="CA51" s="216">
        <f ca="1">IF($D51&lt;&gt;"Serviço",0,IF(OR(AND(AUTOEVENTO="Manual",$M51=1),$M51&gt;(ROW(PLE.lastrow)-ROW(PLE.firstrow))),0,IF(OFFSET(PLE!$G$14,$M51,CA$13)="",10^12,OFFSET(PLE!$G$14,$M51,CA$13))))</f>
        <v>1000000000000</v>
      </c>
      <c r="CB51" s="216">
        <f ca="1">IF($D51&lt;&gt;"Serviço",0,IF(OR(AND(AUTOEVENTO="Manual",$M51=1),$M51&gt;(ROW(PLE.lastrow)-ROW(PLE.firstrow))),0,IF(OFFSET(PLE!$G$14,$M51,CB$13)="",10^12,OFFSET(PLE!$G$14,$M51,CB$13))))</f>
        <v>1000000000000</v>
      </c>
      <c r="CC51" s="216">
        <f ca="1">IF($D51&lt;&gt;"Serviço",0,IF(OR(AND(AUTOEVENTO="Manual",$M51=1),$M51&gt;(ROW(PLE.lastrow)-ROW(PLE.firstrow))),0,IF(OFFSET(PLE!$G$14,$M51,CC$13)="",10^12,OFFSET(PLE!$G$14,$M51,CC$13))))</f>
        <v>1000000000000</v>
      </c>
      <c r="CD51" s="216">
        <f ca="1">IF($D51&lt;&gt;"Serviço",0,IF(OR(AND(AUTOEVENTO="Manual",$M51=1),$M51&gt;(ROW(PLE.lastrow)-ROW(PLE.firstrow))),0,IF(OFFSET(PLE!$G$14,$M51,CD$13)="",10^12,OFFSET(PLE!$G$14,$M51,CD$13))))</f>
        <v>1000000000000</v>
      </c>
      <c r="CE51" s="216">
        <f ca="1">IF($D51&lt;&gt;"Serviço",0,IF(OR(AND(AUTOEVENTO="Manual",$M51=1),$M51&gt;(ROW(PLE.lastrow)-ROW(PLE.firstrow))),0,IF(OFFSET(PLE!$G$14,$M51,CE$13)="",10^12,OFFSET(PLE!$G$14,$M51,CE$13))))</f>
        <v>1000000000000</v>
      </c>
      <c r="CF51" s="216">
        <f ca="1">IF($D51&lt;&gt;"Serviço",0,IF(OR(AND(AUTOEVENTO="Manual",$M51=1),$M51&gt;(ROW(PLE.lastrow)-ROW(PLE.firstrow))),0,IF(OFFSET(PLE!$G$14,$M51,CF$13)="",10^12,OFFSET(PLE!$G$14,$M51,CF$13))))</f>
        <v>1000000000000</v>
      </c>
      <c r="CG51" s="216">
        <f ca="1">IF($D51&lt;&gt;"Serviço",0,IF(OR(AND(AUTOEVENTO="Manual",$M51=1),$M51&gt;(ROW(PLE.lastrow)-ROW(PLE.firstrow))),0,IF(OFFSET(PLE!$G$14,$M51,CG$13)="",10^12,OFFSET(PLE!$G$14,$M51,CG$13))))</f>
        <v>1000000000000</v>
      </c>
      <c r="CH51" s="216">
        <f ca="1">IF($D51&lt;&gt;"Serviço",0,IF(OR(AND(AUTOEVENTO="Manual",$M51=1),$M51&gt;(ROW(PLE.lastrow)-ROW(PLE.firstrow))),0,IF(OFFSET(PLE!$G$14,$M51,CH$13)="",10^12,OFFSET(PLE!$G$14,$M51,CH$13))))</f>
        <v>1000000000000</v>
      </c>
      <c r="CI51" s="216">
        <f ca="1">IF($D51&lt;&gt;"Serviço",0,IF(OR(AND(AUTOEVENTO="Manual",$M51=1),$M51&gt;(ROW(PLE.lastrow)-ROW(PLE.firstrow))),0,IF(OFFSET(PLE!$G$14,$M51,CI$13)="",10^12,OFFSET(PLE!$G$14,$M51,CI$13))))</f>
        <v>1000000000000</v>
      </c>
      <c r="CJ51" s="216">
        <f ca="1">IF($D51&lt;&gt;"Serviço",0,IF(OR(AND(AUTOEVENTO="Manual",$M51=1),$M51&gt;(ROW(PLE.lastrow)-ROW(PLE.firstrow))),0,IF(OFFSET(PLE!$G$14,$M51,CJ$13)="",10^12,OFFSET(PLE!$G$14,$M51,CJ$13))))</f>
        <v>1000000000000</v>
      </c>
      <c r="CK51" s="216">
        <f ca="1">IF($D51&lt;&gt;"Serviço",0,IF(OR(AND(AUTOEVENTO="Manual",$M51=1),$M51&gt;(ROW(PLE.lastrow)-ROW(PLE.firstrow))),0,IF(OFFSET(PLE!$G$14,$M51,CK$13)="",10^12,OFFSET(PLE!$G$14,$M51,CK$13))))</f>
        <v>1000000000000</v>
      </c>
      <c r="CL51" s="216">
        <f ca="1">IF($D51&lt;&gt;"Serviço",0,IF(OR(AND(AUTOEVENTO="Manual",$M51=1),$M51&gt;(ROW(PLE.lastrow)-ROW(PLE.firstrow))),0,IF(OFFSET(PLE!$G$14,$M51,CL$13)="",10^12,OFFSET(PLE!$G$14,$M51,CL$13))))</f>
        <v>1000000000000</v>
      </c>
      <c r="CM51" s="216">
        <f ca="1">IF($D51&lt;&gt;"Serviço",0,IF(OR(AND(AUTOEVENTO="Manual",$M51=1),$M51&gt;(ROW(PLE.lastrow)-ROW(PLE.firstrow))),0,IF(OFFSET(PLE!$G$14,$M51,CM$13)="",10^12,OFFSET(PLE!$G$14,$M51,CM$13))))</f>
        <v>1000000000000</v>
      </c>
    </row>
    <row r="52" spans="1:91" ht="13.2" x14ac:dyDescent="0.25">
      <c r="A52" s="9">
        <f t="shared" ca="1" si="9"/>
        <v>0</v>
      </c>
      <c r="B52" s="9" t="str">
        <f ca="1">OFFSET(ORÇAMENTO!C$15,ROW(B52)-ROW(B$15),0)</f>
        <v>S</v>
      </c>
      <c r="C52" s="9" t="str">
        <f ca="1">OFFSET(ORÇAMENTO!L$15,ROW(C52)-ROW(C$15),0)</f>
        <v/>
      </c>
      <c r="D52" s="145" t="str">
        <f ca="1">OFFSET(ORÇAMENTO!N$15,ROW(D52)-ROW(D$15),0)</f>
        <v>Serviço</v>
      </c>
      <c r="E52" s="205" t="str">
        <f ca="1">OFFSET(ORÇAMENTO!O$15,ROW(E52)-ROW(E$15),0)</f>
        <v>-</v>
      </c>
      <c r="F52" s="206" t="str">
        <f ca="1">OFFSET(ORÇAMENTO!R$15,ROW(F52)-ROW(F$15),0)</f>
        <v>(abra o arquivo 'Referência 05-2024.xls)</v>
      </c>
      <c r="G52" s="207" t="str">
        <f ca="1">IF($D52&lt;&gt;"Serviço","",OFFSET(ORÇAMENTO!S$15,ROW(G52)-ROW(G$15),0))</f>
        <v>-</v>
      </c>
      <c r="H52" s="151">
        <f ca="1">IF($D52&lt;&gt;"Serviço",0,IF(ACOMPANHAMENTO="BM",ROUND(OFFSET(ORÇAMENTO!AJ$15,ROW(H52)-ROW(H$15),0),15-13*ORÇAMENTO!$AF$7),SUMPRODUCT(($Q$12:$AI$12&lt;&gt;"")*ROUND($Q52:$AI52,15-13*ORÇAMENTO!$AF$7))))</f>
        <v>2036.46</v>
      </c>
      <c r="I52" s="650"/>
      <c r="K52" s="208"/>
      <c r="L52" s="209" t="s">
        <v>257</v>
      </c>
      <c r="M52" s="210">
        <f ca="1">IF($D52&lt;&gt;"Serviço","",IF(AUTOEVENTO="manual",$A52,IF(ISERROR(MATCH($A52,$A$15:OFFSET($A52,-1,0),0)),MAX($M$15:OFFSET(M52,-1,0))+1,INDEX($M$15:OFFSET(M52,-1,0),MATCH($A52,$A$15:OFFSET($A52,-1,0),0)))))</f>
        <v>0</v>
      </c>
      <c r="N52" s="211" t="str">
        <f ca="1">IF($D52&lt;&gt;"Serviço","",IF(AUTOEVENTO="Manual",IF($A52=0,"&lt;-- defina o número do agrupador",OFFSET(EVENTOS!$D$14,$A52,0)),OFFSET($F$15,$A52,0)))</f>
        <v>&lt;-- defina o número do agrupador</v>
      </c>
      <c r="O52" s="212"/>
      <c r="Q52" s="212"/>
      <c r="R52" s="213"/>
      <c r="S52" s="213"/>
      <c r="T52" s="213"/>
      <c r="U52" s="213"/>
      <c r="V52" s="213"/>
      <c r="W52" s="213"/>
      <c r="X52" s="213"/>
      <c r="Y52" s="213"/>
      <c r="Z52" s="214"/>
      <c r="AA52" s="213"/>
      <c r="AB52" s="213"/>
      <c r="AC52" s="213"/>
      <c r="AD52" s="213"/>
      <c r="AE52" s="213"/>
      <c r="AF52" s="213"/>
      <c r="AG52" s="213"/>
      <c r="AH52" s="214"/>
      <c r="AJ52" s="631">
        <f ca="1">IF(AND($D52="Serviço",AJ$12&lt;&gt;0,$H52&gt;0,OR(AUTOEVENTO&lt;&gt;"manual",$M52&lt;&gt;1)),ROUND(OFFSET($P52,0,AJ$13),15-13*ORÇAMENTO!$AF$7)/$H52*OFFSET(ORÇAMENTO!$X$15,ROW(AJ52)-ROW(AJ$15),0),0)</f>
        <v>0</v>
      </c>
      <c r="AK52" s="632">
        <f ca="1">IF(AND($D52="Serviço",AK$12&lt;&gt;0,$H52&gt;0,OR(AUTOEVENTO&lt;&gt;"manual",$M52&lt;&gt;1)),ROUND(OFFSET($P52,0,AK$13),15-13*ORÇAMENTO!$AF$7)/$H52*OFFSET(ORÇAMENTO!$X$15,ROW(AK52)-ROW(AK$15),0),0)</f>
        <v>0</v>
      </c>
      <c r="AL52" s="632">
        <f ca="1">IF(AND($D52="Serviço",AL$12&lt;&gt;0,$H52&gt;0,OR(AUTOEVENTO&lt;&gt;"manual",$M52&lt;&gt;1)),ROUND(OFFSET($P52,0,AL$13),15-13*ORÇAMENTO!$AF$7)/$H52*OFFSET(ORÇAMENTO!$X$15,ROW(AL52)-ROW(AL$15),0),0)</f>
        <v>0</v>
      </c>
      <c r="AM52" s="632">
        <f ca="1">IF(AND($D52="Serviço",AM$12&lt;&gt;0,$H52&gt;0,OR(AUTOEVENTO&lt;&gt;"manual",$M52&lt;&gt;1)),ROUND(OFFSET($P52,0,AM$13),15-13*ORÇAMENTO!$AF$7)/$H52*OFFSET(ORÇAMENTO!$X$15,ROW(AM52)-ROW(AM$15),0),0)</f>
        <v>0</v>
      </c>
      <c r="AN52" s="632">
        <f ca="1">IF(AND($D52="Serviço",AN$12&lt;&gt;0,$H52&gt;0,OR(AUTOEVENTO&lt;&gt;"manual",$M52&lt;&gt;1)),ROUND(OFFSET($P52,0,AN$13),15-13*ORÇAMENTO!$AF$7)/$H52*OFFSET(ORÇAMENTO!$X$15,ROW(AN52)-ROW(AN$15),0),0)</f>
        <v>0</v>
      </c>
      <c r="AO52" s="632">
        <f ca="1">IF(AND($D52="Serviço",AO$12&lt;&gt;0,$H52&gt;0,OR(AUTOEVENTO&lt;&gt;"manual",$M52&lt;&gt;1)),ROUND(OFFSET($P52,0,AO$13),15-13*ORÇAMENTO!$AF$7)/$H52*OFFSET(ORÇAMENTO!$X$15,ROW(AO52)-ROW(AO$15),0),0)</f>
        <v>0</v>
      </c>
      <c r="AP52" s="632">
        <f ca="1">IF(AND($D52="Serviço",AP$12&lt;&gt;0,$H52&gt;0,OR(AUTOEVENTO&lt;&gt;"manual",$M52&lt;&gt;1)),ROUND(OFFSET($P52,0,AP$13),15-13*ORÇAMENTO!$AF$7)/$H52*OFFSET(ORÇAMENTO!$X$15,ROW(AP52)-ROW(AP$15),0),0)</f>
        <v>0</v>
      </c>
      <c r="AQ52" s="632">
        <f ca="1">IF(AND($D52="Serviço",AQ$12&lt;&gt;0,$H52&gt;0,OR(AUTOEVENTO&lt;&gt;"manual",$M52&lt;&gt;1)),ROUND(OFFSET($P52,0,AQ$13),15-13*ORÇAMENTO!$AF$7)/$H52*OFFSET(ORÇAMENTO!$X$15,ROW(AQ52)-ROW(AQ$15),0),0)</f>
        <v>0</v>
      </c>
      <c r="AR52" s="632">
        <f ca="1">IF(AND($D52="Serviço",AR$12&lt;&gt;0,$H52&gt;0,OR(AUTOEVENTO&lt;&gt;"manual",$M52&lt;&gt;1)),ROUND(OFFSET($P52,0,AR$13),15-13*ORÇAMENTO!$AF$7)/$H52*OFFSET(ORÇAMENTO!$X$15,ROW(AR52)-ROW(AR$15),0),0)</f>
        <v>0</v>
      </c>
      <c r="AS52" s="633">
        <f ca="1">IF(AND($D52="Serviço",AS$12&lt;&gt;0,$H52&gt;0,OR(AUTOEVENTO&lt;&gt;"manual",$M52&lt;&gt;1)),ROUND(OFFSET($P52,0,AS$13),15-13*ORÇAMENTO!$AF$7)/$H52*OFFSET(ORÇAMENTO!$X$15,ROW(AS52)-ROW(AS$15),0),0)</f>
        <v>0</v>
      </c>
      <c r="AT52" s="632">
        <f ca="1">IF(AND($D52="Serviço",AT$12&lt;&gt;0,$H52&gt;0,OR(AUTOEVENTO&lt;&gt;"manual",$M52&lt;&gt;1)),ROUND(OFFSET($P52,0,AT$13),15-13*ORÇAMENTO!$AF$7)/$H52*OFFSET(ORÇAMENTO!$X$15,ROW(AT52)-ROW(AT$15),0),0)</f>
        <v>0</v>
      </c>
      <c r="AU52" s="632">
        <f ca="1">IF(AND($D52="Serviço",AU$12&lt;&gt;0,$H52&gt;0,OR(AUTOEVENTO&lt;&gt;"manual",$M52&lt;&gt;1)),ROUND(OFFSET($P52,0,AU$13),15-13*ORÇAMENTO!$AF$7)/$H52*OFFSET(ORÇAMENTO!$X$15,ROW(AU52)-ROW(AU$15),0),0)</f>
        <v>0</v>
      </c>
      <c r="AV52" s="632">
        <f ca="1">IF(AND($D52="Serviço",AV$12&lt;&gt;0,$H52&gt;0,OR(AUTOEVENTO&lt;&gt;"manual",$M52&lt;&gt;1)),ROUND(OFFSET($P52,0,AV$13),15-13*ORÇAMENTO!$AF$7)/$H52*OFFSET(ORÇAMENTO!$X$15,ROW(AV52)-ROW(AV$15),0),0)</f>
        <v>0</v>
      </c>
      <c r="AW52" s="632">
        <f ca="1">IF(AND($D52="Serviço",AW$12&lt;&gt;0,$H52&gt;0,OR(AUTOEVENTO&lt;&gt;"manual",$M52&lt;&gt;1)),ROUND(OFFSET($P52,0,AW$13),15-13*ORÇAMENTO!$AF$7)/$H52*OFFSET(ORÇAMENTO!$X$15,ROW(AW52)-ROW(AW$15),0),0)</f>
        <v>0</v>
      </c>
      <c r="AX52" s="632">
        <f ca="1">IF(AND($D52="Serviço",AX$12&lt;&gt;0,$H52&gt;0,OR(AUTOEVENTO&lt;&gt;"manual",$M52&lt;&gt;1)),ROUND(OFFSET($P52,0,AX$13),15-13*ORÇAMENTO!$AF$7)/$H52*OFFSET(ORÇAMENTO!$X$15,ROW(AX52)-ROW(AX$15),0),0)</f>
        <v>0</v>
      </c>
      <c r="AY52" s="632">
        <f ca="1">IF(AND($D52="Serviço",AY$12&lt;&gt;0,$H52&gt;0,OR(AUTOEVENTO&lt;&gt;"manual",$M52&lt;&gt;1)),ROUND(OFFSET($P52,0,AY$13),15-13*ORÇAMENTO!$AF$7)/$H52*OFFSET(ORÇAMENTO!$X$15,ROW(AY52)-ROW(AY$15),0),0)</f>
        <v>0</v>
      </c>
      <c r="AZ52" s="632">
        <f ca="1">IF(AND($D52="Serviço",AZ$12&lt;&gt;0,$H52&gt;0,OR(AUTOEVENTO&lt;&gt;"manual",$M52&lt;&gt;1)),ROUND(OFFSET($P52,0,AZ$13),15-13*ORÇAMENTO!$AF$7)/$H52*OFFSET(ORÇAMENTO!$X$15,ROW(AZ52)-ROW(AZ$15),0),0)</f>
        <v>0</v>
      </c>
      <c r="BA52" s="633">
        <f ca="1">IF(AND($D52="Serviço",BA$12&lt;&gt;0,$H52&gt;0,OR(AUTOEVENTO&lt;&gt;"manual",$M52&lt;&gt;1)),ROUND(OFFSET($P52,0,BA$13),15-13*ORÇAMENTO!$AF$7)/$H52*OFFSET(ORÇAMENTO!$X$15,ROW(BA52)-ROW(BA$15),0),0)</f>
        <v>0</v>
      </c>
      <c r="BC52" s="215">
        <f ca="1">IF($D52&lt;&gt;"Serviço",0,IF(AND(AUTOEVENTO="Manual",$M52=1),0,IF(OFFSET(CRONOPLE!$F$14,$M52,BC$13)="",10^12,OFFSET(CRONOPLE!$F$14,$M52,BC$13))))</f>
        <v>1000000000000</v>
      </c>
      <c r="BD52" s="215">
        <f ca="1">IF($D52&lt;&gt;"Serviço",0,IF(AND(AUTOEVENTO="Manual",$M52=1),0,IF(OFFSET(CRONOPLE!$F$14,$M52,BD$13)="",10^12,OFFSET(CRONOPLE!$F$14,$M52,BD$13))))</f>
        <v>1000000000000</v>
      </c>
      <c r="BE52" s="215">
        <f ca="1">IF($D52&lt;&gt;"Serviço",0,IF(AND(AUTOEVENTO="Manual",$M52=1),0,IF(OFFSET(CRONOPLE!$F$14,$M52,BE$13)="",10^12,OFFSET(CRONOPLE!$F$14,$M52,BE$13))))</f>
        <v>1000000000000</v>
      </c>
      <c r="BF52" s="215">
        <f ca="1">IF($D52&lt;&gt;"Serviço",0,IF(AND(AUTOEVENTO="Manual",$M52=1),0,IF(OFFSET(CRONOPLE!$F$14,$M52,BF$13)="",10^12,OFFSET(CRONOPLE!$F$14,$M52,BF$13))))</f>
        <v>1000000000000</v>
      </c>
      <c r="BG52" s="215">
        <f ca="1">IF($D52&lt;&gt;"Serviço",0,IF(AND(AUTOEVENTO="Manual",$M52=1),0,IF(OFFSET(CRONOPLE!$F$14,$M52,BG$13)="",10^12,OFFSET(CRONOPLE!$F$14,$M52,BG$13))))</f>
        <v>1000000000000</v>
      </c>
      <c r="BH52" s="215">
        <f ca="1">IF($D52&lt;&gt;"Serviço",0,IF(AND(AUTOEVENTO="Manual",$M52=1),0,IF(OFFSET(CRONOPLE!$F$14,$M52,BH$13)="",10^12,OFFSET(CRONOPLE!$F$14,$M52,BH$13))))</f>
        <v>1000000000000</v>
      </c>
      <c r="BI52" s="215">
        <f ca="1">IF($D52&lt;&gt;"Serviço",0,IF(AND(AUTOEVENTO="Manual",$M52=1),0,IF(OFFSET(CRONOPLE!$F$14,$M52,BI$13)="",10^12,OFFSET(CRONOPLE!$F$14,$M52,BI$13))))</f>
        <v>1000000000000</v>
      </c>
      <c r="BJ52" s="215">
        <f ca="1">IF($D52&lt;&gt;"Serviço",0,IF(AND(AUTOEVENTO="Manual",$M52=1),0,IF(OFFSET(CRONOPLE!$F$14,$M52,BJ$13)="",10^12,OFFSET(CRONOPLE!$F$14,$M52,BJ$13))))</f>
        <v>1000000000000</v>
      </c>
      <c r="BK52" s="215">
        <f ca="1">IF($D52&lt;&gt;"Serviço",0,IF(AND(AUTOEVENTO="Manual",$M52=1),0,IF(OFFSET(CRONOPLE!$F$14,$M52,BK$13)="",10^12,OFFSET(CRONOPLE!$F$14,$M52,BK$13))))</f>
        <v>1000000000000</v>
      </c>
      <c r="BL52" s="215">
        <f ca="1">IF($D52&lt;&gt;"Serviço",0,IF(AND(AUTOEVENTO="Manual",$M52=1),0,IF(OFFSET(CRONOPLE!$F$14,$M52,BL$13)="",10^12,OFFSET(CRONOPLE!$F$14,$M52,BL$13))))</f>
        <v>1000000000000</v>
      </c>
      <c r="BM52" s="215">
        <f ca="1">IF($D52&lt;&gt;"Serviço",0,IF(AND(AUTOEVENTO="Manual",$M52=1),0,IF(OFFSET(CRONOPLE!$F$14,$M52,BM$13)="",10^12,OFFSET(CRONOPLE!$F$14,$M52,BM$13))))</f>
        <v>1000000000000</v>
      </c>
      <c r="BN52" s="215">
        <f ca="1">IF($D52&lt;&gt;"Serviço",0,IF(AND(AUTOEVENTO="Manual",$M52=1),0,IF(OFFSET(CRONOPLE!$F$14,$M52,BN$13)="",10^12,OFFSET(CRONOPLE!$F$14,$M52,BN$13))))</f>
        <v>1000000000000</v>
      </c>
      <c r="BO52" s="215">
        <f ca="1">IF($D52&lt;&gt;"Serviço",0,IF(AND(AUTOEVENTO="Manual",$M52=1),0,IF(OFFSET(CRONOPLE!$F$14,$M52,BO$13)="",10^12,OFFSET(CRONOPLE!$F$14,$M52,BO$13))))</f>
        <v>1000000000000</v>
      </c>
      <c r="BP52" s="215">
        <f ca="1">IF($D52&lt;&gt;"Serviço",0,IF(AND(AUTOEVENTO="Manual",$M52=1),0,IF(OFFSET(CRONOPLE!$F$14,$M52,BP$13)="",10^12,OFFSET(CRONOPLE!$F$14,$M52,BP$13))))</f>
        <v>1000000000000</v>
      </c>
      <c r="BQ52" s="215">
        <f ca="1">IF($D52&lt;&gt;"Serviço",0,IF(AND(AUTOEVENTO="Manual",$M52=1),0,IF(OFFSET(CRONOPLE!$F$14,$M52,BQ$13)="",10^12,OFFSET(CRONOPLE!$F$14,$M52,BQ$13))))</f>
        <v>1000000000000</v>
      </c>
      <c r="BR52" s="215">
        <f ca="1">IF($D52&lt;&gt;"Serviço",0,IF(AND(AUTOEVENTO="Manual",$M52=1),0,IF(OFFSET(CRONOPLE!$F$14,$M52,BR$13)="",10^12,OFFSET(CRONOPLE!$F$14,$M52,BR$13))))</f>
        <v>1000000000000</v>
      </c>
      <c r="BS52" s="215">
        <f ca="1">IF($D52&lt;&gt;"Serviço",0,IF(AND(AUTOEVENTO="Manual",$M52=1),0,IF(OFFSET(CRONOPLE!$F$14,$M52,BS$13)="",10^12,OFFSET(CRONOPLE!$F$14,$M52,BS$13))))</f>
        <v>1000000000000</v>
      </c>
      <c r="BT52" s="215">
        <f ca="1">IF($D52&lt;&gt;"Serviço",0,IF(AND(AUTOEVENTO="Manual",$M52=1),0,IF(OFFSET(CRONOPLE!$F$14,$M52,BT$13)="",10^12,OFFSET(CRONOPLE!$F$14,$M52,BT$13))))</f>
        <v>1000000000000</v>
      </c>
      <c r="BV52" s="216">
        <f ca="1">IF($D52&lt;&gt;"Serviço",0,IF(OR(AND(AUTOEVENTO="Manual",$M52=1),$M52&gt;(ROW(PLE.lastrow)-ROW(PLE.firstrow))),0,IF(OFFSET(PLE!$G$14,$M52,BV$13)="",10^12,OFFSET(PLE!$G$14,$M52,BV$13))))</f>
        <v>1000000000000</v>
      </c>
      <c r="BW52" s="216">
        <f ca="1">IF($D52&lt;&gt;"Serviço",0,IF(OR(AND(AUTOEVENTO="Manual",$M52=1),$M52&gt;(ROW(PLE.lastrow)-ROW(PLE.firstrow))),0,IF(OFFSET(PLE!$G$14,$M52,BW$13)="",10^12,OFFSET(PLE!$G$14,$M52,BW$13))))</f>
        <v>1000000000000</v>
      </c>
      <c r="BX52" s="216">
        <f ca="1">IF($D52&lt;&gt;"Serviço",0,IF(OR(AND(AUTOEVENTO="Manual",$M52=1),$M52&gt;(ROW(PLE.lastrow)-ROW(PLE.firstrow))),0,IF(OFFSET(PLE!$G$14,$M52,BX$13)="",10^12,OFFSET(PLE!$G$14,$M52,BX$13))))</f>
        <v>1000000000000</v>
      </c>
      <c r="BY52" s="216">
        <f ca="1">IF($D52&lt;&gt;"Serviço",0,IF(OR(AND(AUTOEVENTO="Manual",$M52=1),$M52&gt;(ROW(PLE.lastrow)-ROW(PLE.firstrow))),0,IF(OFFSET(PLE!$G$14,$M52,BY$13)="",10^12,OFFSET(PLE!$G$14,$M52,BY$13))))</f>
        <v>1000000000000</v>
      </c>
      <c r="BZ52" s="216">
        <f ca="1">IF($D52&lt;&gt;"Serviço",0,IF(OR(AND(AUTOEVENTO="Manual",$M52=1),$M52&gt;(ROW(PLE.lastrow)-ROW(PLE.firstrow))),0,IF(OFFSET(PLE!$G$14,$M52,BZ$13)="",10^12,OFFSET(PLE!$G$14,$M52,BZ$13))))</f>
        <v>1000000000000</v>
      </c>
      <c r="CA52" s="216">
        <f ca="1">IF($D52&lt;&gt;"Serviço",0,IF(OR(AND(AUTOEVENTO="Manual",$M52=1),$M52&gt;(ROW(PLE.lastrow)-ROW(PLE.firstrow))),0,IF(OFFSET(PLE!$G$14,$M52,CA$13)="",10^12,OFFSET(PLE!$G$14,$M52,CA$13))))</f>
        <v>1000000000000</v>
      </c>
      <c r="CB52" s="216">
        <f ca="1">IF($D52&lt;&gt;"Serviço",0,IF(OR(AND(AUTOEVENTO="Manual",$M52=1),$M52&gt;(ROW(PLE.lastrow)-ROW(PLE.firstrow))),0,IF(OFFSET(PLE!$G$14,$M52,CB$13)="",10^12,OFFSET(PLE!$G$14,$M52,CB$13))))</f>
        <v>1000000000000</v>
      </c>
      <c r="CC52" s="216">
        <f ca="1">IF($D52&lt;&gt;"Serviço",0,IF(OR(AND(AUTOEVENTO="Manual",$M52=1),$M52&gt;(ROW(PLE.lastrow)-ROW(PLE.firstrow))),0,IF(OFFSET(PLE!$G$14,$M52,CC$13)="",10^12,OFFSET(PLE!$G$14,$M52,CC$13))))</f>
        <v>1000000000000</v>
      </c>
      <c r="CD52" s="216">
        <f ca="1">IF($D52&lt;&gt;"Serviço",0,IF(OR(AND(AUTOEVENTO="Manual",$M52=1),$M52&gt;(ROW(PLE.lastrow)-ROW(PLE.firstrow))),0,IF(OFFSET(PLE!$G$14,$M52,CD$13)="",10^12,OFFSET(PLE!$G$14,$M52,CD$13))))</f>
        <v>1000000000000</v>
      </c>
      <c r="CE52" s="216">
        <f ca="1">IF($D52&lt;&gt;"Serviço",0,IF(OR(AND(AUTOEVENTO="Manual",$M52=1),$M52&gt;(ROW(PLE.lastrow)-ROW(PLE.firstrow))),0,IF(OFFSET(PLE!$G$14,$M52,CE$13)="",10^12,OFFSET(PLE!$G$14,$M52,CE$13))))</f>
        <v>1000000000000</v>
      </c>
      <c r="CF52" s="216">
        <f ca="1">IF($D52&lt;&gt;"Serviço",0,IF(OR(AND(AUTOEVENTO="Manual",$M52=1),$M52&gt;(ROW(PLE.lastrow)-ROW(PLE.firstrow))),0,IF(OFFSET(PLE!$G$14,$M52,CF$13)="",10^12,OFFSET(PLE!$G$14,$M52,CF$13))))</f>
        <v>1000000000000</v>
      </c>
      <c r="CG52" s="216">
        <f ca="1">IF($D52&lt;&gt;"Serviço",0,IF(OR(AND(AUTOEVENTO="Manual",$M52=1),$M52&gt;(ROW(PLE.lastrow)-ROW(PLE.firstrow))),0,IF(OFFSET(PLE!$G$14,$M52,CG$13)="",10^12,OFFSET(PLE!$G$14,$M52,CG$13))))</f>
        <v>1000000000000</v>
      </c>
      <c r="CH52" s="216">
        <f ca="1">IF($D52&lt;&gt;"Serviço",0,IF(OR(AND(AUTOEVENTO="Manual",$M52=1),$M52&gt;(ROW(PLE.lastrow)-ROW(PLE.firstrow))),0,IF(OFFSET(PLE!$G$14,$M52,CH$13)="",10^12,OFFSET(PLE!$G$14,$M52,CH$13))))</f>
        <v>1000000000000</v>
      </c>
      <c r="CI52" s="216">
        <f ca="1">IF($D52&lt;&gt;"Serviço",0,IF(OR(AND(AUTOEVENTO="Manual",$M52=1),$M52&gt;(ROW(PLE.lastrow)-ROW(PLE.firstrow))),0,IF(OFFSET(PLE!$G$14,$M52,CI$13)="",10^12,OFFSET(PLE!$G$14,$M52,CI$13))))</f>
        <v>1000000000000</v>
      </c>
      <c r="CJ52" s="216">
        <f ca="1">IF($D52&lt;&gt;"Serviço",0,IF(OR(AND(AUTOEVENTO="Manual",$M52=1),$M52&gt;(ROW(PLE.lastrow)-ROW(PLE.firstrow))),0,IF(OFFSET(PLE!$G$14,$M52,CJ$13)="",10^12,OFFSET(PLE!$G$14,$M52,CJ$13))))</f>
        <v>1000000000000</v>
      </c>
      <c r="CK52" s="216">
        <f ca="1">IF($D52&lt;&gt;"Serviço",0,IF(OR(AND(AUTOEVENTO="Manual",$M52=1),$M52&gt;(ROW(PLE.lastrow)-ROW(PLE.firstrow))),0,IF(OFFSET(PLE!$G$14,$M52,CK$13)="",10^12,OFFSET(PLE!$G$14,$M52,CK$13))))</f>
        <v>1000000000000</v>
      </c>
      <c r="CL52" s="216">
        <f ca="1">IF($D52&lt;&gt;"Serviço",0,IF(OR(AND(AUTOEVENTO="Manual",$M52=1),$M52&gt;(ROW(PLE.lastrow)-ROW(PLE.firstrow))),0,IF(OFFSET(PLE!$G$14,$M52,CL$13)="",10^12,OFFSET(PLE!$G$14,$M52,CL$13))))</f>
        <v>1000000000000</v>
      </c>
      <c r="CM52" s="216">
        <f ca="1">IF($D52&lt;&gt;"Serviço",0,IF(OR(AND(AUTOEVENTO="Manual",$M52=1),$M52&gt;(ROW(PLE.lastrow)-ROW(PLE.firstrow))),0,IF(OFFSET(PLE!$G$14,$M52,CM$13)="",10^12,OFFSET(PLE!$G$14,$M52,CM$13))))</f>
        <v>1000000000000</v>
      </c>
    </row>
    <row r="53" spans="1:91" ht="13.2" x14ac:dyDescent="0.25">
      <c r="A53" s="9">
        <f t="shared" ca="1" si="9"/>
        <v>0</v>
      </c>
      <c r="B53" s="9" t="str">
        <f ca="1">OFFSET(ORÇAMENTO!C$15,ROW(B53)-ROW(B$15),0)</f>
        <v>S</v>
      </c>
      <c r="C53" s="9" t="str">
        <f ca="1">OFFSET(ORÇAMENTO!L$15,ROW(C53)-ROW(C$15),0)</f>
        <v/>
      </c>
      <c r="D53" s="145" t="str">
        <f ca="1">OFFSET(ORÇAMENTO!N$15,ROW(D53)-ROW(D$15),0)</f>
        <v>Serviço</v>
      </c>
      <c r="E53" s="205" t="str">
        <f ca="1">OFFSET(ORÇAMENTO!O$15,ROW(E53)-ROW(E$15),0)</f>
        <v>-</v>
      </c>
      <c r="F53" s="206" t="str">
        <f ca="1">OFFSET(ORÇAMENTO!R$15,ROW(F53)-ROW(F$15),0)</f>
        <v>(abra o arquivo 'Referência 05-2024.xls)</v>
      </c>
      <c r="G53" s="207" t="str">
        <f ca="1">IF($D53&lt;&gt;"Serviço","",OFFSET(ORÇAMENTO!S$15,ROW(G53)-ROW(G$15),0))</f>
        <v>-</v>
      </c>
      <c r="H53" s="151">
        <f ca="1">IF($D53&lt;&gt;"Serviço",0,IF(ACOMPANHAMENTO="BM",ROUND(OFFSET(ORÇAMENTO!AJ$15,ROW(H53)-ROW(H$15),0),15-13*ORÇAMENTO!$AF$7),SUMPRODUCT(($Q$12:$AI$12&lt;&gt;"")*ROUND($Q53:$AI53,15-13*ORÇAMENTO!$AF$7))))</f>
        <v>78.790000000000006</v>
      </c>
      <c r="I53" s="650"/>
      <c r="K53" s="208"/>
      <c r="L53" s="209" t="s">
        <v>257</v>
      </c>
      <c r="M53" s="210">
        <f ca="1">IF($D53&lt;&gt;"Serviço","",IF(AUTOEVENTO="manual",$A53,IF(ISERROR(MATCH($A53,$A$15:OFFSET($A53,-1,0),0)),MAX($M$15:OFFSET(M53,-1,0))+1,INDEX($M$15:OFFSET(M53,-1,0),MATCH($A53,$A$15:OFFSET($A53,-1,0),0)))))</f>
        <v>0</v>
      </c>
      <c r="N53" s="211" t="str">
        <f ca="1">IF($D53&lt;&gt;"Serviço","",IF(AUTOEVENTO="Manual",IF($A53=0,"&lt;-- defina o número do agrupador",OFFSET(EVENTOS!$D$14,$A53,0)),OFFSET($F$15,$A53,0)))</f>
        <v>&lt;-- defina o número do agrupador</v>
      </c>
      <c r="O53" s="212"/>
      <c r="Q53" s="212"/>
      <c r="R53" s="213"/>
      <c r="S53" s="213"/>
      <c r="T53" s="213"/>
      <c r="U53" s="213"/>
      <c r="V53" s="213"/>
      <c r="W53" s="213"/>
      <c r="X53" s="213"/>
      <c r="Y53" s="213"/>
      <c r="Z53" s="214"/>
      <c r="AA53" s="213"/>
      <c r="AB53" s="213"/>
      <c r="AC53" s="213"/>
      <c r="AD53" s="213"/>
      <c r="AE53" s="213"/>
      <c r="AF53" s="213"/>
      <c r="AG53" s="213"/>
      <c r="AH53" s="214"/>
      <c r="AJ53" s="631">
        <f ca="1">IF(AND($D53="Serviço",AJ$12&lt;&gt;0,$H53&gt;0,OR(AUTOEVENTO&lt;&gt;"manual",$M53&lt;&gt;1)),ROUND(OFFSET($P53,0,AJ$13),15-13*ORÇAMENTO!$AF$7)/$H53*OFFSET(ORÇAMENTO!$X$15,ROW(AJ53)-ROW(AJ$15),0),0)</f>
        <v>0</v>
      </c>
      <c r="AK53" s="632">
        <f ca="1">IF(AND($D53="Serviço",AK$12&lt;&gt;0,$H53&gt;0,OR(AUTOEVENTO&lt;&gt;"manual",$M53&lt;&gt;1)),ROUND(OFFSET($P53,0,AK$13),15-13*ORÇAMENTO!$AF$7)/$H53*OFFSET(ORÇAMENTO!$X$15,ROW(AK53)-ROW(AK$15),0),0)</f>
        <v>0</v>
      </c>
      <c r="AL53" s="632">
        <f ca="1">IF(AND($D53="Serviço",AL$12&lt;&gt;0,$H53&gt;0,OR(AUTOEVENTO&lt;&gt;"manual",$M53&lt;&gt;1)),ROUND(OFFSET($P53,0,AL$13),15-13*ORÇAMENTO!$AF$7)/$H53*OFFSET(ORÇAMENTO!$X$15,ROW(AL53)-ROW(AL$15),0),0)</f>
        <v>0</v>
      </c>
      <c r="AM53" s="632">
        <f ca="1">IF(AND($D53="Serviço",AM$12&lt;&gt;0,$H53&gt;0,OR(AUTOEVENTO&lt;&gt;"manual",$M53&lt;&gt;1)),ROUND(OFFSET($P53,0,AM$13),15-13*ORÇAMENTO!$AF$7)/$H53*OFFSET(ORÇAMENTO!$X$15,ROW(AM53)-ROW(AM$15),0),0)</f>
        <v>0</v>
      </c>
      <c r="AN53" s="632">
        <f ca="1">IF(AND($D53="Serviço",AN$12&lt;&gt;0,$H53&gt;0,OR(AUTOEVENTO&lt;&gt;"manual",$M53&lt;&gt;1)),ROUND(OFFSET($P53,0,AN$13),15-13*ORÇAMENTO!$AF$7)/$H53*OFFSET(ORÇAMENTO!$X$15,ROW(AN53)-ROW(AN$15),0),0)</f>
        <v>0</v>
      </c>
      <c r="AO53" s="632">
        <f ca="1">IF(AND($D53="Serviço",AO$12&lt;&gt;0,$H53&gt;0,OR(AUTOEVENTO&lt;&gt;"manual",$M53&lt;&gt;1)),ROUND(OFFSET($P53,0,AO$13),15-13*ORÇAMENTO!$AF$7)/$H53*OFFSET(ORÇAMENTO!$X$15,ROW(AO53)-ROW(AO$15),0),0)</f>
        <v>0</v>
      </c>
      <c r="AP53" s="632">
        <f ca="1">IF(AND($D53="Serviço",AP$12&lt;&gt;0,$H53&gt;0,OR(AUTOEVENTO&lt;&gt;"manual",$M53&lt;&gt;1)),ROUND(OFFSET($P53,0,AP$13),15-13*ORÇAMENTO!$AF$7)/$H53*OFFSET(ORÇAMENTO!$X$15,ROW(AP53)-ROW(AP$15),0),0)</f>
        <v>0</v>
      </c>
      <c r="AQ53" s="632">
        <f ca="1">IF(AND($D53="Serviço",AQ$12&lt;&gt;0,$H53&gt;0,OR(AUTOEVENTO&lt;&gt;"manual",$M53&lt;&gt;1)),ROUND(OFFSET($P53,0,AQ$13),15-13*ORÇAMENTO!$AF$7)/$H53*OFFSET(ORÇAMENTO!$X$15,ROW(AQ53)-ROW(AQ$15),0),0)</f>
        <v>0</v>
      </c>
      <c r="AR53" s="632">
        <f ca="1">IF(AND($D53="Serviço",AR$12&lt;&gt;0,$H53&gt;0,OR(AUTOEVENTO&lt;&gt;"manual",$M53&lt;&gt;1)),ROUND(OFFSET($P53,0,AR$13),15-13*ORÇAMENTO!$AF$7)/$H53*OFFSET(ORÇAMENTO!$X$15,ROW(AR53)-ROW(AR$15),0),0)</f>
        <v>0</v>
      </c>
      <c r="AS53" s="633">
        <f ca="1">IF(AND($D53="Serviço",AS$12&lt;&gt;0,$H53&gt;0,OR(AUTOEVENTO&lt;&gt;"manual",$M53&lt;&gt;1)),ROUND(OFFSET($P53,0,AS$13),15-13*ORÇAMENTO!$AF$7)/$H53*OFFSET(ORÇAMENTO!$X$15,ROW(AS53)-ROW(AS$15),0),0)</f>
        <v>0</v>
      </c>
      <c r="AT53" s="632">
        <f ca="1">IF(AND($D53="Serviço",AT$12&lt;&gt;0,$H53&gt;0,OR(AUTOEVENTO&lt;&gt;"manual",$M53&lt;&gt;1)),ROUND(OFFSET($P53,0,AT$13),15-13*ORÇAMENTO!$AF$7)/$H53*OFFSET(ORÇAMENTO!$X$15,ROW(AT53)-ROW(AT$15),0),0)</f>
        <v>0</v>
      </c>
      <c r="AU53" s="632">
        <f ca="1">IF(AND($D53="Serviço",AU$12&lt;&gt;0,$H53&gt;0,OR(AUTOEVENTO&lt;&gt;"manual",$M53&lt;&gt;1)),ROUND(OFFSET($P53,0,AU$13),15-13*ORÇAMENTO!$AF$7)/$H53*OFFSET(ORÇAMENTO!$X$15,ROW(AU53)-ROW(AU$15),0),0)</f>
        <v>0</v>
      </c>
      <c r="AV53" s="632">
        <f ca="1">IF(AND($D53="Serviço",AV$12&lt;&gt;0,$H53&gt;0,OR(AUTOEVENTO&lt;&gt;"manual",$M53&lt;&gt;1)),ROUND(OFFSET($P53,0,AV$13),15-13*ORÇAMENTO!$AF$7)/$H53*OFFSET(ORÇAMENTO!$X$15,ROW(AV53)-ROW(AV$15),0),0)</f>
        <v>0</v>
      </c>
      <c r="AW53" s="632">
        <f ca="1">IF(AND($D53="Serviço",AW$12&lt;&gt;0,$H53&gt;0,OR(AUTOEVENTO&lt;&gt;"manual",$M53&lt;&gt;1)),ROUND(OFFSET($P53,0,AW$13),15-13*ORÇAMENTO!$AF$7)/$H53*OFFSET(ORÇAMENTO!$X$15,ROW(AW53)-ROW(AW$15),0),0)</f>
        <v>0</v>
      </c>
      <c r="AX53" s="632">
        <f ca="1">IF(AND($D53="Serviço",AX$12&lt;&gt;0,$H53&gt;0,OR(AUTOEVENTO&lt;&gt;"manual",$M53&lt;&gt;1)),ROUND(OFFSET($P53,0,AX$13),15-13*ORÇAMENTO!$AF$7)/$H53*OFFSET(ORÇAMENTO!$X$15,ROW(AX53)-ROW(AX$15),0),0)</f>
        <v>0</v>
      </c>
      <c r="AY53" s="632">
        <f ca="1">IF(AND($D53="Serviço",AY$12&lt;&gt;0,$H53&gt;0,OR(AUTOEVENTO&lt;&gt;"manual",$M53&lt;&gt;1)),ROUND(OFFSET($P53,0,AY$13),15-13*ORÇAMENTO!$AF$7)/$H53*OFFSET(ORÇAMENTO!$X$15,ROW(AY53)-ROW(AY$15),0),0)</f>
        <v>0</v>
      </c>
      <c r="AZ53" s="632">
        <f ca="1">IF(AND($D53="Serviço",AZ$12&lt;&gt;0,$H53&gt;0,OR(AUTOEVENTO&lt;&gt;"manual",$M53&lt;&gt;1)),ROUND(OFFSET($P53,0,AZ$13),15-13*ORÇAMENTO!$AF$7)/$H53*OFFSET(ORÇAMENTO!$X$15,ROW(AZ53)-ROW(AZ$15),0),0)</f>
        <v>0</v>
      </c>
      <c r="BA53" s="633">
        <f ca="1">IF(AND($D53="Serviço",BA$12&lt;&gt;0,$H53&gt;0,OR(AUTOEVENTO&lt;&gt;"manual",$M53&lt;&gt;1)),ROUND(OFFSET($P53,0,BA$13),15-13*ORÇAMENTO!$AF$7)/$H53*OFFSET(ORÇAMENTO!$X$15,ROW(BA53)-ROW(BA$15),0),0)</f>
        <v>0</v>
      </c>
      <c r="BC53" s="215">
        <f ca="1">IF($D53&lt;&gt;"Serviço",0,IF(AND(AUTOEVENTO="Manual",$M53=1),0,IF(OFFSET(CRONOPLE!$F$14,$M53,BC$13)="",10^12,OFFSET(CRONOPLE!$F$14,$M53,BC$13))))</f>
        <v>1000000000000</v>
      </c>
      <c r="BD53" s="215">
        <f ca="1">IF($D53&lt;&gt;"Serviço",0,IF(AND(AUTOEVENTO="Manual",$M53=1),0,IF(OFFSET(CRONOPLE!$F$14,$M53,BD$13)="",10^12,OFFSET(CRONOPLE!$F$14,$M53,BD$13))))</f>
        <v>1000000000000</v>
      </c>
      <c r="BE53" s="215">
        <f ca="1">IF($D53&lt;&gt;"Serviço",0,IF(AND(AUTOEVENTO="Manual",$M53=1),0,IF(OFFSET(CRONOPLE!$F$14,$M53,BE$13)="",10^12,OFFSET(CRONOPLE!$F$14,$M53,BE$13))))</f>
        <v>1000000000000</v>
      </c>
      <c r="BF53" s="215">
        <f ca="1">IF($D53&lt;&gt;"Serviço",0,IF(AND(AUTOEVENTO="Manual",$M53=1),0,IF(OFFSET(CRONOPLE!$F$14,$M53,BF$13)="",10^12,OFFSET(CRONOPLE!$F$14,$M53,BF$13))))</f>
        <v>1000000000000</v>
      </c>
      <c r="BG53" s="215">
        <f ca="1">IF($D53&lt;&gt;"Serviço",0,IF(AND(AUTOEVENTO="Manual",$M53=1),0,IF(OFFSET(CRONOPLE!$F$14,$M53,BG$13)="",10^12,OFFSET(CRONOPLE!$F$14,$M53,BG$13))))</f>
        <v>1000000000000</v>
      </c>
      <c r="BH53" s="215">
        <f ca="1">IF($D53&lt;&gt;"Serviço",0,IF(AND(AUTOEVENTO="Manual",$M53=1),0,IF(OFFSET(CRONOPLE!$F$14,$M53,BH$13)="",10^12,OFFSET(CRONOPLE!$F$14,$M53,BH$13))))</f>
        <v>1000000000000</v>
      </c>
      <c r="BI53" s="215">
        <f ca="1">IF($D53&lt;&gt;"Serviço",0,IF(AND(AUTOEVENTO="Manual",$M53=1),0,IF(OFFSET(CRONOPLE!$F$14,$M53,BI$13)="",10^12,OFFSET(CRONOPLE!$F$14,$M53,BI$13))))</f>
        <v>1000000000000</v>
      </c>
      <c r="BJ53" s="215">
        <f ca="1">IF($D53&lt;&gt;"Serviço",0,IF(AND(AUTOEVENTO="Manual",$M53=1),0,IF(OFFSET(CRONOPLE!$F$14,$M53,BJ$13)="",10^12,OFFSET(CRONOPLE!$F$14,$M53,BJ$13))))</f>
        <v>1000000000000</v>
      </c>
      <c r="BK53" s="215">
        <f ca="1">IF($D53&lt;&gt;"Serviço",0,IF(AND(AUTOEVENTO="Manual",$M53=1),0,IF(OFFSET(CRONOPLE!$F$14,$M53,BK$13)="",10^12,OFFSET(CRONOPLE!$F$14,$M53,BK$13))))</f>
        <v>1000000000000</v>
      </c>
      <c r="BL53" s="215">
        <f ca="1">IF($D53&lt;&gt;"Serviço",0,IF(AND(AUTOEVENTO="Manual",$M53=1),0,IF(OFFSET(CRONOPLE!$F$14,$M53,BL$13)="",10^12,OFFSET(CRONOPLE!$F$14,$M53,BL$13))))</f>
        <v>1000000000000</v>
      </c>
      <c r="BM53" s="215">
        <f ca="1">IF($D53&lt;&gt;"Serviço",0,IF(AND(AUTOEVENTO="Manual",$M53=1),0,IF(OFFSET(CRONOPLE!$F$14,$M53,BM$13)="",10^12,OFFSET(CRONOPLE!$F$14,$M53,BM$13))))</f>
        <v>1000000000000</v>
      </c>
      <c r="BN53" s="215">
        <f ca="1">IF($D53&lt;&gt;"Serviço",0,IF(AND(AUTOEVENTO="Manual",$M53=1),0,IF(OFFSET(CRONOPLE!$F$14,$M53,BN$13)="",10^12,OFFSET(CRONOPLE!$F$14,$M53,BN$13))))</f>
        <v>1000000000000</v>
      </c>
      <c r="BO53" s="215">
        <f ca="1">IF($D53&lt;&gt;"Serviço",0,IF(AND(AUTOEVENTO="Manual",$M53=1),0,IF(OFFSET(CRONOPLE!$F$14,$M53,BO$13)="",10^12,OFFSET(CRONOPLE!$F$14,$M53,BO$13))))</f>
        <v>1000000000000</v>
      </c>
      <c r="BP53" s="215">
        <f ca="1">IF($D53&lt;&gt;"Serviço",0,IF(AND(AUTOEVENTO="Manual",$M53=1),0,IF(OFFSET(CRONOPLE!$F$14,$M53,BP$13)="",10^12,OFFSET(CRONOPLE!$F$14,$M53,BP$13))))</f>
        <v>1000000000000</v>
      </c>
      <c r="BQ53" s="215">
        <f ca="1">IF($D53&lt;&gt;"Serviço",0,IF(AND(AUTOEVENTO="Manual",$M53=1),0,IF(OFFSET(CRONOPLE!$F$14,$M53,BQ$13)="",10^12,OFFSET(CRONOPLE!$F$14,$M53,BQ$13))))</f>
        <v>1000000000000</v>
      </c>
      <c r="BR53" s="215">
        <f ca="1">IF($D53&lt;&gt;"Serviço",0,IF(AND(AUTOEVENTO="Manual",$M53=1),0,IF(OFFSET(CRONOPLE!$F$14,$M53,BR$13)="",10^12,OFFSET(CRONOPLE!$F$14,$M53,BR$13))))</f>
        <v>1000000000000</v>
      </c>
      <c r="BS53" s="215">
        <f ca="1">IF($D53&lt;&gt;"Serviço",0,IF(AND(AUTOEVENTO="Manual",$M53=1),0,IF(OFFSET(CRONOPLE!$F$14,$M53,BS$13)="",10^12,OFFSET(CRONOPLE!$F$14,$M53,BS$13))))</f>
        <v>1000000000000</v>
      </c>
      <c r="BT53" s="215">
        <f ca="1">IF($D53&lt;&gt;"Serviço",0,IF(AND(AUTOEVENTO="Manual",$M53=1),0,IF(OFFSET(CRONOPLE!$F$14,$M53,BT$13)="",10^12,OFFSET(CRONOPLE!$F$14,$M53,BT$13))))</f>
        <v>1000000000000</v>
      </c>
      <c r="BV53" s="216">
        <f ca="1">IF($D53&lt;&gt;"Serviço",0,IF(OR(AND(AUTOEVENTO="Manual",$M53=1),$M53&gt;(ROW(PLE.lastrow)-ROW(PLE.firstrow))),0,IF(OFFSET(PLE!$G$14,$M53,BV$13)="",10^12,OFFSET(PLE!$G$14,$M53,BV$13))))</f>
        <v>1000000000000</v>
      </c>
      <c r="BW53" s="216">
        <f ca="1">IF($D53&lt;&gt;"Serviço",0,IF(OR(AND(AUTOEVENTO="Manual",$M53=1),$M53&gt;(ROW(PLE.lastrow)-ROW(PLE.firstrow))),0,IF(OFFSET(PLE!$G$14,$M53,BW$13)="",10^12,OFFSET(PLE!$G$14,$M53,BW$13))))</f>
        <v>1000000000000</v>
      </c>
      <c r="BX53" s="216">
        <f ca="1">IF($D53&lt;&gt;"Serviço",0,IF(OR(AND(AUTOEVENTO="Manual",$M53=1),$M53&gt;(ROW(PLE.lastrow)-ROW(PLE.firstrow))),0,IF(OFFSET(PLE!$G$14,$M53,BX$13)="",10^12,OFFSET(PLE!$G$14,$M53,BX$13))))</f>
        <v>1000000000000</v>
      </c>
      <c r="BY53" s="216">
        <f ca="1">IF($D53&lt;&gt;"Serviço",0,IF(OR(AND(AUTOEVENTO="Manual",$M53=1),$M53&gt;(ROW(PLE.lastrow)-ROW(PLE.firstrow))),0,IF(OFFSET(PLE!$G$14,$M53,BY$13)="",10^12,OFFSET(PLE!$G$14,$M53,BY$13))))</f>
        <v>1000000000000</v>
      </c>
      <c r="BZ53" s="216">
        <f ca="1">IF($D53&lt;&gt;"Serviço",0,IF(OR(AND(AUTOEVENTO="Manual",$M53=1),$M53&gt;(ROW(PLE.lastrow)-ROW(PLE.firstrow))),0,IF(OFFSET(PLE!$G$14,$M53,BZ$13)="",10^12,OFFSET(PLE!$G$14,$M53,BZ$13))))</f>
        <v>1000000000000</v>
      </c>
      <c r="CA53" s="216">
        <f ca="1">IF($D53&lt;&gt;"Serviço",0,IF(OR(AND(AUTOEVENTO="Manual",$M53=1),$M53&gt;(ROW(PLE.lastrow)-ROW(PLE.firstrow))),0,IF(OFFSET(PLE!$G$14,$M53,CA$13)="",10^12,OFFSET(PLE!$G$14,$M53,CA$13))))</f>
        <v>1000000000000</v>
      </c>
      <c r="CB53" s="216">
        <f ca="1">IF($D53&lt;&gt;"Serviço",0,IF(OR(AND(AUTOEVENTO="Manual",$M53=1),$M53&gt;(ROW(PLE.lastrow)-ROW(PLE.firstrow))),0,IF(OFFSET(PLE!$G$14,$M53,CB$13)="",10^12,OFFSET(PLE!$G$14,$M53,CB$13))))</f>
        <v>1000000000000</v>
      </c>
      <c r="CC53" s="216">
        <f ca="1">IF($D53&lt;&gt;"Serviço",0,IF(OR(AND(AUTOEVENTO="Manual",$M53=1),$M53&gt;(ROW(PLE.lastrow)-ROW(PLE.firstrow))),0,IF(OFFSET(PLE!$G$14,$M53,CC$13)="",10^12,OFFSET(PLE!$G$14,$M53,CC$13))))</f>
        <v>1000000000000</v>
      </c>
      <c r="CD53" s="216">
        <f ca="1">IF($D53&lt;&gt;"Serviço",0,IF(OR(AND(AUTOEVENTO="Manual",$M53=1),$M53&gt;(ROW(PLE.lastrow)-ROW(PLE.firstrow))),0,IF(OFFSET(PLE!$G$14,$M53,CD$13)="",10^12,OFFSET(PLE!$G$14,$M53,CD$13))))</f>
        <v>1000000000000</v>
      </c>
      <c r="CE53" s="216">
        <f ca="1">IF($D53&lt;&gt;"Serviço",0,IF(OR(AND(AUTOEVENTO="Manual",$M53=1),$M53&gt;(ROW(PLE.lastrow)-ROW(PLE.firstrow))),0,IF(OFFSET(PLE!$G$14,$M53,CE$13)="",10^12,OFFSET(PLE!$G$14,$M53,CE$13))))</f>
        <v>1000000000000</v>
      </c>
      <c r="CF53" s="216">
        <f ca="1">IF($D53&lt;&gt;"Serviço",0,IF(OR(AND(AUTOEVENTO="Manual",$M53=1),$M53&gt;(ROW(PLE.lastrow)-ROW(PLE.firstrow))),0,IF(OFFSET(PLE!$G$14,$M53,CF$13)="",10^12,OFFSET(PLE!$G$14,$M53,CF$13))))</f>
        <v>1000000000000</v>
      </c>
      <c r="CG53" s="216">
        <f ca="1">IF($D53&lt;&gt;"Serviço",0,IF(OR(AND(AUTOEVENTO="Manual",$M53=1),$M53&gt;(ROW(PLE.lastrow)-ROW(PLE.firstrow))),0,IF(OFFSET(PLE!$G$14,$M53,CG$13)="",10^12,OFFSET(PLE!$G$14,$M53,CG$13))))</f>
        <v>1000000000000</v>
      </c>
      <c r="CH53" s="216">
        <f ca="1">IF($D53&lt;&gt;"Serviço",0,IF(OR(AND(AUTOEVENTO="Manual",$M53=1),$M53&gt;(ROW(PLE.lastrow)-ROW(PLE.firstrow))),0,IF(OFFSET(PLE!$G$14,$M53,CH$13)="",10^12,OFFSET(PLE!$G$14,$M53,CH$13))))</f>
        <v>1000000000000</v>
      </c>
      <c r="CI53" s="216">
        <f ca="1">IF($D53&lt;&gt;"Serviço",0,IF(OR(AND(AUTOEVENTO="Manual",$M53=1),$M53&gt;(ROW(PLE.lastrow)-ROW(PLE.firstrow))),0,IF(OFFSET(PLE!$G$14,$M53,CI$13)="",10^12,OFFSET(PLE!$G$14,$M53,CI$13))))</f>
        <v>1000000000000</v>
      </c>
      <c r="CJ53" s="216">
        <f ca="1">IF($D53&lt;&gt;"Serviço",0,IF(OR(AND(AUTOEVENTO="Manual",$M53=1),$M53&gt;(ROW(PLE.lastrow)-ROW(PLE.firstrow))),0,IF(OFFSET(PLE!$G$14,$M53,CJ$13)="",10^12,OFFSET(PLE!$G$14,$M53,CJ$13))))</f>
        <v>1000000000000</v>
      </c>
      <c r="CK53" s="216">
        <f ca="1">IF($D53&lt;&gt;"Serviço",0,IF(OR(AND(AUTOEVENTO="Manual",$M53=1),$M53&gt;(ROW(PLE.lastrow)-ROW(PLE.firstrow))),0,IF(OFFSET(PLE!$G$14,$M53,CK$13)="",10^12,OFFSET(PLE!$G$14,$M53,CK$13))))</f>
        <v>1000000000000</v>
      </c>
      <c r="CL53" s="216">
        <f ca="1">IF($D53&lt;&gt;"Serviço",0,IF(OR(AND(AUTOEVENTO="Manual",$M53=1),$M53&gt;(ROW(PLE.lastrow)-ROW(PLE.firstrow))),0,IF(OFFSET(PLE!$G$14,$M53,CL$13)="",10^12,OFFSET(PLE!$G$14,$M53,CL$13))))</f>
        <v>1000000000000</v>
      </c>
      <c r="CM53" s="216">
        <f ca="1">IF($D53&lt;&gt;"Serviço",0,IF(OR(AND(AUTOEVENTO="Manual",$M53=1),$M53&gt;(ROW(PLE.lastrow)-ROW(PLE.firstrow))),0,IF(OFFSET(PLE!$G$14,$M53,CM$13)="",10^12,OFFSET(PLE!$G$14,$M53,CM$13))))</f>
        <v>1000000000000</v>
      </c>
    </row>
    <row r="54" spans="1:91" ht="13.2" x14ac:dyDescent="0.25">
      <c r="A54" s="9">
        <f t="shared" ca="1" si="9"/>
        <v>0</v>
      </c>
      <c r="B54" s="9" t="str">
        <f ca="1">OFFSET(ORÇAMENTO!C$15,ROW(B54)-ROW(B$15),0)</f>
        <v>S</v>
      </c>
      <c r="C54" s="9" t="str">
        <f ca="1">OFFSET(ORÇAMENTO!L$15,ROW(C54)-ROW(C$15),0)</f>
        <v/>
      </c>
      <c r="D54" s="145" t="str">
        <f ca="1">OFFSET(ORÇAMENTO!N$15,ROW(D54)-ROW(D$15),0)</f>
        <v>Serviço</v>
      </c>
      <c r="E54" s="205" t="str">
        <f ca="1">OFFSET(ORÇAMENTO!O$15,ROW(E54)-ROW(E$15),0)</f>
        <v>-</v>
      </c>
      <c r="F54" s="206" t="str">
        <f ca="1">OFFSET(ORÇAMENTO!R$15,ROW(F54)-ROW(F$15),0)</f>
        <v>(abra o arquivo 'Referência 05-2024.xls)</v>
      </c>
      <c r="G54" s="207" t="str">
        <f ca="1">IF($D54&lt;&gt;"Serviço","",OFFSET(ORÇAMENTO!S$15,ROW(G54)-ROW(G$15),0))</f>
        <v>-</v>
      </c>
      <c r="H54" s="151">
        <f ca="1">IF($D54&lt;&gt;"Serviço",0,IF(ACOMPANHAMENTO="BM",ROUND(OFFSET(ORÇAMENTO!AJ$15,ROW(H54)-ROW(H$15),0),15-13*ORÇAMENTO!$AF$7),SUMPRODUCT(($Q$12:$AI$12&lt;&gt;"")*ROUND($Q54:$AI54,15-13*ORÇAMENTO!$AF$7))))</f>
        <v>441.8</v>
      </c>
      <c r="I54" s="650"/>
      <c r="K54" s="208"/>
      <c r="L54" s="209" t="s">
        <v>257</v>
      </c>
      <c r="M54" s="210">
        <f ca="1">IF($D54&lt;&gt;"Serviço","",IF(AUTOEVENTO="manual",$A54,IF(ISERROR(MATCH($A54,$A$15:OFFSET($A54,-1,0),0)),MAX($M$15:OFFSET(M54,-1,0))+1,INDEX($M$15:OFFSET(M54,-1,0),MATCH($A54,$A$15:OFFSET($A54,-1,0),0)))))</f>
        <v>0</v>
      </c>
      <c r="N54" s="211" t="str">
        <f ca="1">IF($D54&lt;&gt;"Serviço","",IF(AUTOEVENTO="Manual",IF($A54=0,"&lt;-- defina o número do agrupador",OFFSET(EVENTOS!$D$14,$A54,0)),OFFSET($F$15,$A54,0)))</f>
        <v>&lt;-- defina o número do agrupador</v>
      </c>
      <c r="O54" s="212"/>
      <c r="Q54" s="212"/>
      <c r="R54" s="213"/>
      <c r="S54" s="213"/>
      <c r="T54" s="213"/>
      <c r="U54" s="213"/>
      <c r="V54" s="213"/>
      <c r="W54" s="213"/>
      <c r="X54" s="213"/>
      <c r="Y54" s="213"/>
      <c r="Z54" s="214"/>
      <c r="AA54" s="213"/>
      <c r="AB54" s="213"/>
      <c r="AC54" s="213"/>
      <c r="AD54" s="213"/>
      <c r="AE54" s="213"/>
      <c r="AF54" s="213"/>
      <c r="AG54" s="213"/>
      <c r="AH54" s="214"/>
      <c r="AJ54" s="631">
        <f ca="1">IF(AND($D54="Serviço",AJ$12&lt;&gt;0,$H54&gt;0,OR(AUTOEVENTO&lt;&gt;"manual",$M54&lt;&gt;1)),ROUND(OFFSET($P54,0,AJ$13),15-13*ORÇAMENTO!$AF$7)/$H54*OFFSET(ORÇAMENTO!$X$15,ROW(AJ54)-ROW(AJ$15),0),0)</f>
        <v>0</v>
      </c>
      <c r="AK54" s="632">
        <f ca="1">IF(AND($D54="Serviço",AK$12&lt;&gt;0,$H54&gt;0,OR(AUTOEVENTO&lt;&gt;"manual",$M54&lt;&gt;1)),ROUND(OFFSET($P54,0,AK$13),15-13*ORÇAMENTO!$AF$7)/$H54*OFFSET(ORÇAMENTO!$X$15,ROW(AK54)-ROW(AK$15),0),0)</f>
        <v>0</v>
      </c>
      <c r="AL54" s="632">
        <f ca="1">IF(AND($D54="Serviço",AL$12&lt;&gt;0,$H54&gt;0,OR(AUTOEVENTO&lt;&gt;"manual",$M54&lt;&gt;1)),ROUND(OFFSET($P54,0,AL$13),15-13*ORÇAMENTO!$AF$7)/$H54*OFFSET(ORÇAMENTO!$X$15,ROW(AL54)-ROW(AL$15),0),0)</f>
        <v>0</v>
      </c>
      <c r="AM54" s="632">
        <f ca="1">IF(AND($D54="Serviço",AM$12&lt;&gt;0,$H54&gt;0,OR(AUTOEVENTO&lt;&gt;"manual",$M54&lt;&gt;1)),ROUND(OFFSET($P54,0,AM$13),15-13*ORÇAMENTO!$AF$7)/$H54*OFFSET(ORÇAMENTO!$X$15,ROW(AM54)-ROW(AM$15),0),0)</f>
        <v>0</v>
      </c>
      <c r="AN54" s="632">
        <f ca="1">IF(AND($D54="Serviço",AN$12&lt;&gt;0,$H54&gt;0,OR(AUTOEVENTO&lt;&gt;"manual",$M54&lt;&gt;1)),ROUND(OFFSET($P54,0,AN$13),15-13*ORÇAMENTO!$AF$7)/$H54*OFFSET(ORÇAMENTO!$X$15,ROW(AN54)-ROW(AN$15),0),0)</f>
        <v>0</v>
      </c>
      <c r="AO54" s="632">
        <f ca="1">IF(AND($D54="Serviço",AO$12&lt;&gt;0,$H54&gt;0,OR(AUTOEVENTO&lt;&gt;"manual",$M54&lt;&gt;1)),ROUND(OFFSET($P54,0,AO$13),15-13*ORÇAMENTO!$AF$7)/$H54*OFFSET(ORÇAMENTO!$X$15,ROW(AO54)-ROW(AO$15),0),0)</f>
        <v>0</v>
      </c>
      <c r="AP54" s="632">
        <f ca="1">IF(AND($D54="Serviço",AP$12&lt;&gt;0,$H54&gt;0,OR(AUTOEVENTO&lt;&gt;"manual",$M54&lt;&gt;1)),ROUND(OFFSET($P54,0,AP$13),15-13*ORÇAMENTO!$AF$7)/$H54*OFFSET(ORÇAMENTO!$X$15,ROW(AP54)-ROW(AP$15),0),0)</f>
        <v>0</v>
      </c>
      <c r="AQ54" s="632">
        <f ca="1">IF(AND($D54="Serviço",AQ$12&lt;&gt;0,$H54&gt;0,OR(AUTOEVENTO&lt;&gt;"manual",$M54&lt;&gt;1)),ROUND(OFFSET($P54,0,AQ$13),15-13*ORÇAMENTO!$AF$7)/$H54*OFFSET(ORÇAMENTO!$X$15,ROW(AQ54)-ROW(AQ$15),0),0)</f>
        <v>0</v>
      </c>
      <c r="AR54" s="632">
        <f ca="1">IF(AND($D54="Serviço",AR$12&lt;&gt;0,$H54&gt;0,OR(AUTOEVENTO&lt;&gt;"manual",$M54&lt;&gt;1)),ROUND(OFFSET($P54,0,AR$13),15-13*ORÇAMENTO!$AF$7)/$H54*OFFSET(ORÇAMENTO!$X$15,ROW(AR54)-ROW(AR$15),0),0)</f>
        <v>0</v>
      </c>
      <c r="AS54" s="633">
        <f ca="1">IF(AND($D54="Serviço",AS$12&lt;&gt;0,$H54&gt;0,OR(AUTOEVENTO&lt;&gt;"manual",$M54&lt;&gt;1)),ROUND(OFFSET($P54,0,AS$13),15-13*ORÇAMENTO!$AF$7)/$H54*OFFSET(ORÇAMENTO!$X$15,ROW(AS54)-ROW(AS$15),0),0)</f>
        <v>0</v>
      </c>
      <c r="AT54" s="632">
        <f ca="1">IF(AND($D54="Serviço",AT$12&lt;&gt;0,$H54&gt;0,OR(AUTOEVENTO&lt;&gt;"manual",$M54&lt;&gt;1)),ROUND(OFFSET($P54,0,AT$13),15-13*ORÇAMENTO!$AF$7)/$H54*OFFSET(ORÇAMENTO!$X$15,ROW(AT54)-ROW(AT$15),0),0)</f>
        <v>0</v>
      </c>
      <c r="AU54" s="632">
        <f ca="1">IF(AND($D54="Serviço",AU$12&lt;&gt;0,$H54&gt;0,OR(AUTOEVENTO&lt;&gt;"manual",$M54&lt;&gt;1)),ROUND(OFFSET($P54,0,AU$13),15-13*ORÇAMENTO!$AF$7)/$H54*OFFSET(ORÇAMENTO!$X$15,ROW(AU54)-ROW(AU$15),0),0)</f>
        <v>0</v>
      </c>
      <c r="AV54" s="632">
        <f ca="1">IF(AND($D54="Serviço",AV$12&lt;&gt;0,$H54&gt;0,OR(AUTOEVENTO&lt;&gt;"manual",$M54&lt;&gt;1)),ROUND(OFFSET($P54,0,AV$13),15-13*ORÇAMENTO!$AF$7)/$H54*OFFSET(ORÇAMENTO!$X$15,ROW(AV54)-ROW(AV$15),0),0)</f>
        <v>0</v>
      </c>
      <c r="AW54" s="632">
        <f ca="1">IF(AND($D54="Serviço",AW$12&lt;&gt;0,$H54&gt;0,OR(AUTOEVENTO&lt;&gt;"manual",$M54&lt;&gt;1)),ROUND(OFFSET($P54,0,AW$13),15-13*ORÇAMENTO!$AF$7)/$H54*OFFSET(ORÇAMENTO!$X$15,ROW(AW54)-ROW(AW$15),0),0)</f>
        <v>0</v>
      </c>
      <c r="AX54" s="632">
        <f ca="1">IF(AND($D54="Serviço",AX$12&lt;&gt;0,$H54&gt;0,OR(AUTOEVENTO&lt;&gt;"manual",$M54&lt;&gt;1)),ROUND(OFFSET($P54,0,AX$13),15-13*ORÇAMENTO!$AF$7)/$H54*OFFSET(ORÇAMENTO!$X$15,ROW(AX54)-ROW(AX$15),0),0)</f>
        <v>0</v>
      </c>
      <c r="AY54" s="632">
        <f ca="1">IF(AND($D54="Serviço",AY$12&lt;&gt;0,$H54&gt;0,OR(AUTOEVENTO&lt;&gt;"manual",$M54&lt;&gt;1)),ROUND(OFFSET($P54,0,AY$13),15-13*ORÇAMENTO!$AF$7)/$H54*OFFSET(ORÇAMENTO!$X$15,ROW(AY54)-ROW(AY$15),0),0)</f>
        <v>0</v>
      </c>
      <c r="AZ54" s="632">
        <f ca="1">IF(AND($D54="Serviço",AZ$12&lt;&gt;0,$H54&gt;0,OR(AUTOEVENTO&lt;&gt;"manual",$M54&lt;&gt;1)),ROUND(OFFSET($P54,0,AZ$13),15-13*ORÇAMENTO!$AF$7)/$H54*OFFSET(ORÇAMENTO!$X$15,ROW(AZ54)-ROW(AZ$15),0),0)</f>
        <v>0</v>
      </c>
      <c r="BA54" s="633">
        <f ca="1">IF(AND($D54="Serviço",BA$12&lt;&gt;0,$H54&gt;0,OR(AUTOEVENTO&lt;&gt;"manual",$M54&lt;&gt;1)),ROUND(OFFSET($P54,0,BA$13),15-13*ORÇAMENTO!$AF$7)/$H54*OFFSET(ORÇAMENTO!$X$15,ROW(BA54)-ROW(BA$15),0),0)</f>
        <v>0</v>
      </c>
      <c r="BC54" s="215">
        <f ca="1">IF($D54&lt;&gt;"Serviço",0,IF(AND(AUTOEVENTO="Manual",$M54=1),0,IF(OFFSET(CRONOPLE!$F$14,$M54,BC$13)="",10^12,OFFSET(CRONOPLE!$F$14,$M54,BC$13))))</f>
        <v>1000000000000</v>
      </c>
      <c r="BD54" s="215">
        <f ca="1">IF($D54&lt;&gt;"Serviço",0,IF(AND(AUTOEVENTO="Manual",$M54=1),0,IF(OFFSET(CRONOPLE!$F$14,$M54,BD$13)="",10^12,OFFSET(CRONOPLE!$F$14,$M54,BD$13))))</f>
        <v>1000000000000</v>
      </c>
      <c r="BE54" s="215">
        <f ca="1">IF($D54&lt;&gt;"Serviço",0,IF(AND(AUTOEVENTO="Manual",$M54=1),0,IF(OFFSET(CRONOPLE!$F$14,$M54,BE$13)="",10^12,OFFSET(CRONOPLE!$F$14,$M54,BE$13))))</f>
        <v>1000000000000</v>
      </c>
      <c r="BF54" s="215">
        <f ca="1">IF($D54&lt;&gt;"Serviço",0,IF(AND(AUTOEVENTO="Manual",$M54=1),0,IF(OFFSET(CRONOPLE!$F$14,$M54,BF$13)="",10^12,OFFSET(CRONOPLE!$F$14,$M54,BF$13))))</f>
        <v>1000000000000</v>
      </c>
      <c r="BG54" s="215">
        <f ca="1">IF($D54&lt;&gt;"Serviço",0,IF(AND(AUTOEVENTO="Manual",$M54=1),0,IF(OFFSET(CRONOPLE!$F$14,$M54,BG$13)="",10^12,OFFSET(CRONOPLE!$F$14,$M54,BG$13))))</f>
        <v>1000000000000</v>
      </c>
      <c r="BH54" s="215">
        <f ca="1">IF($D54&lt;&gt;"Serviço",0,IF(AND(AUTOEVENTO="Manual",$M54=1),0,IF(OFFSET(CRONOPLE!$F$14,$M54,BH$13)="",10^12,OFFSET(CRONOPLE!$F$14,$M54,BH$13))))</f>
        <v>1000000000000</v>
      </c>
      <c r="BI54" s="215">
        <f ca="1">IF($D54&lt;&gt;"Serviço",0,IF(AND(AUTOEVENTO="Manual",$M54=1),0,IF(OFFSET(CRONOPLE!$F$14,$M54,BI$13)="",10^12,OFFSET(CRONOPLE!$F$14,$M54,BI$13))))</f>
        <v>1000000000000</v>
      </c>
      <c r="BJ54" s="215">
        <f ca="1">IF($D54&lt;&gt;"Serviço",0,IF(AND(AUTOEVENTO="Manual",$M54=1),0,IF(OFFSET(CRONOPLE!$F$14,$M54,BJ$13)="",10^12,OFFSET(CRONOPLE!$F$14,$M54,BJ$13))))</f>
        <v>1000000000000</v>
      </c>
      <c r="BK54" s="215">
        <f ca="1">IF($D54&lt;&gt;"Serviço",0,IF(AND(AUTOEVENTO="Manual",$M54=1),0,IF(OFFSET(CRONOPLE!$F$14,$M54,BK$13)="",10^12,OFFSET(CRONOPLE!$F$14,$M54,BK$13))))</f>
        <v>1000000000000</v>
      </c>
      <c r="BL54" s="215">
        <f ca="1">IF($D54&lt;&gt;"Serviço",0,IF(AND(AUTOEVENTO="Manual",$M54=1),0,IF(OFFSET(CRONOPLE!$F$14,$M54,BL$13)="",10^12,OFFSET(CRONOPLE!$F$14,$M54,BL$13))))</f>
        <v>1000000000000</v>
      </c>
      <c r="BM54" s="215">
        <f ca="1">IF($D54&lt;&gt;"Serviço",0,IF(AND(AUTOEVENTO="Manual",$M54=1),0,IF(OFFSET(CRONOPLE!$F$14,$M54,BM$13)="",10^12,OFFSET(CRONOPLE!$F$14,$M54,BM$13))))</f>
        <v>1000000000000</v>
      </c>
      <c r="BN54" s="215">
        <f ca="1">IF($D54&lt;&gt;"Serviço",0,IF(AND(AUTOEVENTO="Manual",$M54=1),0,IF(OFFSET(CRONOPLE!$F$14,$M54,BN$13)="",10^12,OFFSET(CRONOPLE!$F$14,$M54,BN$13))))</f>
        <v>1000000000000</v>
      </c>
      <c r="BO54" s="215">
        <f ca="1">IF($D54&lt;&gt;"Serviço",0,IF(AND(AUTOEVENTO="Manual",$M54=1),0,IF(OFFSET(CRONOPLE!$F$14,$M54,BO$13)="",10^12,OFFSET(CRONOPLE!$F$14,$M54,BO$13))))</f>
        <v>1000000000000</v>
      </c>
      <c r="BP54" s="215">
        <f ca="1">IF($D54&lt;&gt;"Serviço",0,IF(AND(AUTOEVENTO="Manual",$M54=1),0,IF(OFFSET(CRONOPLE!$F$14,$M54,BP$13)="",10^12,OFFSET(CRONOPLE!$F$14,$M54,BP$13))))</f>
        <v>1000000000000</v>
      </c>
      <c r="BQ54" s="215">
        <f ca="1">IF($D54&lt;&gt;"Serviço",0,IF(AND(AUTOEVENTO="Manual",$M54=1),0,IF(OFFSET(CRONOPLE!$F$14,$M54,BQ$13)="",10^12,OFFSET(CRONOPLE!$F$14,$M54,BQ$13))))</f>
        <v>1000000000000</v>
      </c>
      <c r="BR54" s="215">
        <f ca="1">IF($D54&lt;&gt;"Serviço",0,IF(AND(AUTOEVENTO="Manual",$M54=1),0,IF(OFFSET(CRONOPLE!$F$14,$M54,BR$13)="",10^12,OFFSET(CRONOPLE!$F$14,$M54,BR$13))))</f>
        <v>1000000000000</v>
      </c>
      <c r="BS54" s="215">
        <f ca="1">IF($D54&lt;&gt;"Serviço",0,IF(AND(AUTOEVENTO="Manual",$M54=1),0,IF(OFFSET(CRONOPLE!$F$14,$M54,BS$13)="",10^12,OFFSET(CRONOPLE!$F$14,$M54,BS$13))))</f>
        <v>1000000000000</v>
      </c>
      <c r="BT54" s="215">
        <f ca="1">IF($D54&lt;&gt;"Serviço",0,IF(AND(AUTOEVENTO="Manual",$M54=1),0,IF(OFFSET(CRONOPLE!$F$14,$M54,BT$13)="",10^12,OFFSET(CRONOPLE!$F$14,$M54,BT$13))))</f>
        <v>1000000000000</v>
      </c>
      <c r="BV54" s="216">
        <f ca="1">IF($D54&lt;&gt;"Serviço",0,IF(OR(AND(AUTOEVENTO="Manual",$M54=1),$M54&gt;(ROW(PLE.lastrow)-ROW(PLE.firstrow))),0,IF(OFFSET(PLE!$G$14,$M54,BV$13)="",10^12,OFFSET(PLE!$G$14,$M54,BV$13))))</f>
        <v>1000000000000</v>
      </c>
      <c r="BW54" s="216">
        <f ca="1">IF($D54&lt;&gt;"Serviço",0,IF(OR(AND(AUTOEVENTO="Manual",$M54=1),$M54&gt;(ROW(PLE.lastrow)-ROW(PLE.firstrow))),0,IF(OFFSET(PLE!$G$14,$M54,BW$13)="",10^12,OFFSET(PLE!$G$14,$M54,BW$13))))</f>
        <v>1000000000000</v>
      </c>
      <c r="BX54" s="216">
        <f ca="1">IF($D54&lt;&gt;"Serviço",0,IF(OR(AND(AUTOEVENTO="Manual",$M54=1),$M54&gt;(ROW(PLE.lastrow)-ROW(PLE.firstrow))),0,IF(OFFSET(PLE!$G$14,$M54,BX$13)="",10^12,OFFSET(PLE!$G$14,$M54,BX$13))))</f>
        <v>1000000000000</v>
      </c>
      <c r="BY54" s="216">
        <f ca="1">IF($D54&lt;&gt;"Serviço",0,IF(OR(AND(AUTOEVENTO="Manual",$M54=1),$M54&gt;(ROW(PLE.lastrow)-ROW(PLE.firstrow))),0,IF(OFFSET(PLE!$G$14,$M54,BY$13)="",10^12,OFFSET(PLE!$G$14,$M54,BY$13))))</f>
        <v>1000000000000</v>
      </c>
      <c r="BZ54" s="216">
        <f ca="1">IF($D54&lt;&gt;"Serviço",0,IF(OR(AND(AUTOEVENTO="Manual",$M54=1),$M54&gt;(ROW(PLE.lastrow)-ROW(PLE.firstrow))),0,IF(OFFSET(PLE!$G$14,$M54,BZ$13)="",10^12,OFFSET(PLE!$G$14,$M54,BZ$13))))</f>
        <v>1000000000000</v>
      </c>
      <c r="CA54" s="216">
        <f ca="1">IF($D54&lt;&gt;"Serviço",0,IF(OR(AND(AUTOEVENTO="Manual",$M54=1),$M54&gt;(ROW(PLE.lastrow)-ROW(PLE.firstrow))),0,IF(OFFSET(PLE!$G$14,$M54,CA$13)="",10^12,OFFSET(PLE!$G$14,$M54,CA$13))))</f>
        <v>1000000000000</v>
      </c>
      <c r="CB54" s="216">
        <f ca="1">IF($D54&lt;&gt;"Serviço",0,IF(OR(AND(AUTOEVENTO="Manual",$M54=1),$M54&gt;(ROW(PLE.lastrow)-ROW(PLE.firstrow))),0,IF(OFFSET(PLE!$G$14,$M54,CB$13)="",10^12,OFFSET(PLE!$G$14,$M54,CB$13))))</f>
        <v>1000000000000</v>
      </c>
      <c r="CC54" s="216">
        <f ca="1">IF($D54&lt;&gt;"Serviço",0,IF(OR(AND(AUTOEVENTO="Manual",$M54=1),$M54&gt;(ROW(PLE.lastrow)-ROW(PLE.firstrow))),0,IF(OFFSET(PLE!$G$14,$M54,CC$13)="",10^12,OFFSET(PLE!$G$14,$M54,CC$13))))</f>
        <v>1000000000000</v>
      </c>
      <c r="CD54" s="216">
        <f ca="1">IF($D54&lt;&gt;"Serviço",0,IF(OR(AND(AUTOEVENTO="Manual",$M54=1),$M54&gt;(ROW(PLE.lastrow)-ROW(PLE.firstrow))),0,IF(OFFSET(PLE!$G$14,$M54,CD$13)="",10^12,OFFSET(PLE!$G$14,$M54,CD$13))))</f>
        <v>1000000000000</v>
      </c>
      <c r="CE54" s="216">
        <f ca="1">IF($D54&lt;&gt;"Serviço",0,IF(OR(AND(AUTOEVENTO="Manual",$M54=1),$M54&gt;(ROW(PLE.lastrow)-ROW(PLE.firstrow))),0,IF(OFFSET(PLE!$G$14,$M54,CE$13)="",10^12,OFFSET(PLE!$G$14,$M54,CE$13))))</f>
        <v>1000000000000</v>
      </c>
      <c r="CF54" s="216">
        <f ca="1">IF($D54&lt;&gt;"Serviço",0,IF(OR(AND(AUTOEVENTO="Manual",$M54=1),$M54&gt;(ROW(PLE.lastrow)-ROW(PLE.firstrow))),0,IF(OFFSET(PLE!$G$14,$M54,CF$13)="",10^12,OFFSET(PLE!$G$14,$M54,CF$13))))</f>
        <v>1000000000000</v>
      </c>
      <c r="CG54" s="216">
        <f ca="1">IF($D54&lt;&gt;"Serviço",0,IF(OR(AND(AUTOEVENTO="Manual",$M54=1),$M54&gt;(ROW(PLE.lastrow)-ROW(PLE.firstrow))),0,IF(OFFSET(PLE!$G$14,$M54,CG$13)="",10^12,OFFSET(PLE!$G$14,$M54,CG$13))))</f>
        <v>1000000000000</v>
      </c>
      <c r="CH54" s="216">
        <f ca="1">IF($D54&lt;&gt;"Serviço",0,IF(OR(AND(AUTOEVENTO="Manual",$M54=1),$M54&gt;(ROW(PLE.lastrow)-ROW(PLE.firstrow))),0,IF(OFFSET(PLE!$G$14,$M54,CH$13)="",10^12,OFFSET(PLE!$G$14,$M54,CH$13))))</f>
        <v>1000000000000</v>
      </c>
      <c r="CI54" s="216">
        <f ca="1">IF($D54&lt;&gt;"Serviço",0,IF(OR(AND(AUTOEVENTO="Manual",$M54=1),$M54&gt;(ROW(PLE.lastrow)-ROW(PLE.firstrow))),0,IF(OFFSET(PLE!$G$14,$M54,CI$13)="",10^12,OFFSET(PLE!$G$14,$M54,CI$13))))</f>
        <v>1000000000000</v>
      </c>
      <c r="CJ54" s="216">
        <f ca="1">IF($D54&lt;&gt;"Serviço",0,IF(OR(AND(AUTOEVENTO="Manual",$M54=1),$M54&gt;(ROW(PLE.lastrow)-ROW(PLE.firstrow))),0,IF(OFFSET(PLE!$G$14,$M54,CJ$13)="",10^12,OFFSET(PLE!$G$14,$M54,CJ$13))))</f>
        <v>1000000000000</v>
      </c>
      <c r="CK54" s="216">
        <f ca="1">IF($D54&lt;&gt;"Serviço",0,IF(OR(AND(AUTOEVENTO="Manual",$M54=1),$M54&gt;(ROW(PLE.lastrow)-ROW(PLE.firstrow))),0,IF(OFFSET(PLE!$G$14,$M54,CK$13)="",10^12,OFFSET(PLE!$G$14,$M54,CK$13))))</f>
        <v>1000000000000</v>
      </c>
      <c r="CL54" s="216">
        <f ca="1">IF($D54&lt;&gt;"Serviço",0,IF(OR(AND(AUTOEVENTO="Manual",$M54=1),$M54&gt;(ROW(PLE.lastrow)-ROW(PLE.firstrow))),0,IF(OFFSET(PLE!$G$14,$M54,CL$13)="",10^12,OFFSET(PLE!$G$14,$M54,CL$13))))</f>
        <v>1000000000000</v>
      </c>
      <c r="CM54" s="216">
        <f ca="1">IF($D54&lt;&gt;"Serviço",0,IF(OR(AND(AUTOEVENTO="Manual",$M54=1),$M54&gt;(ROW(PLE.lastrow)-ROW(PLE.firstrow))),0,IF(OFFSET(PLE!$G$14,$M54,CM$13)="",10^12,OFFSET(PLE!$G$14,$M54,CM$13))))</f>
        <v>1000000000000</v>
      </c>
    </row>
    <row r="55" spans="1:91" ht="13.2" x14ac:dyDescent="0.25">
      <c r="A55" s="9">
        <f t="shared" ca="1" si="9"/>
        <v>0</v>
      </c>
      <c r="B55" s="9" t="str">
        <f ca="1">OFFSET(ORÇAMENTO!C$15,ROW(B55)-ROW(B$15),0)</f>
        <v>S</v>
      </c>
      <c r="C55" s="9" t="str">
        <f ca="1">OFFSET(ORÇAMENTO!L$15,ROW(C55)-ROW(C$15),0)</f>
        <v/>
      </c>
      <c r="D55" s="145" t="str">
        <f ca="1">OFFSET(ORÇAMENTO!N$15,ROW(D55)-ROW(D$15),0)</f>
        <v>Serviço</v>
      </c>
      <c r="E55" s="205" t="str">
        <f ca="1">OFFSET(ORÇAMENTO!O$15,ROW(E55)-ROW(E$15),0)</f>
        <v>-</v>
      </c>
      <c r="F55" s="206" t="str">
        <f ca="1">OFFSET(ORÇAMENTO!R$15,ROW(F55)-ROW(F$15),0)</f>
        <v>(abra o arquivo 'Referência 05-2024.xls)</v>
      </c>
      <c r="G55" s="207" t="str">
        <f ca="1">IF($D55&lt;&gt;"Serviço","",OFFSET(ORÇAMENTO!S$15,ROW(G55)-ROW(G$15),0))</f>
        <v>-</v>
      </c>
      <c r="H55" s="151">
        <f ca="1">IF($D55&lt;&gt;"Serviço",0,IF(ACOMPANHAMENTO="BM",ROUND(OFFSET(ORÇAMENTO!AJ$15,ROW(H55)-ROW(H$15),0),15-13*ORÇAMENTO!$AF$7),SUMPRODUCT(($Q$12:$AI$12&lt;&gt;"")*ROUND($Q55:$AI55,15-13*ORÇAMENTO!$AF$7))))</f>
        <v>192.55</v>
      </c>
      <c r="I55" s="650"/>
      <c r="K55" s="208"/>
      <c r="L55" s="209" t="s">
        <v>257</v>
      </c>
      <c r="M55" s="210">
        <f ca="1">IF($D55&lt;&gt;"Serviço","",IF(AUTOEVENTO="manual",$A55,IF(ISERROR(MATCH($A55,$A$15:OFFSET($A55,-1,0),0)),MAX($M$15:OFFSET(M55,-1,0))+1,INDEX($M$15:OFFSET(M55,-1,0),MATCH($A55,$A$15:OFFSET($A55,-1,0),0)))))</f>
        <v>0</v>
      </c>
      <c r="N55" s="211" t="str">
        <f ca="1">IF($D55&lt;&gt;"Serviço","",IF(AUTOEVENTO="Manual",IF($A55=0,"&lt;-- defina o número do agrupador",OFFSET(EVENTOS!$D$14,$A55,0)),OFFSET($F$15,$A55,0)))</f>
        <v>&lt;-- defina o número do agrupador</v>
      </c>
      <c r="O55" s="212"/>
      <c r="Q55" s="212"/>
      <c r="R55" s="213"/>
      <c r="S55" s="213"/>
      <c r="T55" s="213"/>
      <c r="U55" s="213"/>
      <c r="V55" s="213"/>
      <c r="W55" s="213"/>
      <c r="X55" s="213"/>
      <c r="Y55" s="213"/>
      <c r="Z55" s="214"/>
      <c r="AA55" s="213"/>
      <c r="AB55" s="213"/>
      <c r="AC55" s="213"/>
      <c r="AD55" s="213"/>
      <c r="AE55" s="213"/>
      <c r="AF55" s="213"/>
      <c r="AG55" s="213"/>
      <c r="AH55" s="214"/>
      <c r="AJ55" s="631">
        <f ca="1">IF(AND($D55="Serviço",AJ$12&lt;&gt;0,$H55&gt;0,OR(AUTOEVENTO&lt;&gt;"manual",$M55&lt;&gt;1)),ROUND(OFFSET($P55,0,AJ$13),15-13*ORÇAMENTO!$AF$7)/$H55*OFFSET(ORÇAMENTO!$X$15,ROW(AJ55)-ROW(AJ$15),0),0)</f>
        <v>0</v>
      </c>
      <c r="AK55" s="632">
        <f ca="1">IF(AND($D55="Serviço",AK$12&lt;&gt;0,$H55&gt;0,OR(AUTOEVENTO&lt;&gt;"manual",$M55&lt;&gt;1)),ROUND(OFFSET($P55,0,AK$13),15-13*ORÇAMENTO!$AF$7)/$H55*OFFSET(ORÇAMENTO!$X$15,ROW(AK55)-ROW(AK$15),0),0)</f>
        <v>0</v>
      </c>
      <c r="AL55" s="632">
        <f ca="1">IF(AND($D55="Serviço",AL$12&lt;&gt;0,$H55&gt;0,OR(AUTOEVENTO&lt;&gt;"manual",$M55&lt;&gt;1)),ROUND(OFFSET($P55,0,AL$13),15-13*ORÇAMENTO!$AF$7)/$H55*OFFSET(ORÇAMENTO!$X$15,ROW(AL55)-ROW(AL$15),0),0)</f>
        <v>0</v>
      </c>
      <c r="AM55" s="632">
        <f ca="1">IF(AND($D55="Serviço",AM$12&lt;&gt;0,$H55&gt;0,OR(AUTOEVENTO&lt;&gt;"manual",$M55&lt;&gt;1)),ROUND(OFFSET($P55,0,AM$13),15-13*ORÇAMENTO!$AF$7)/$H55*OFFSET(ORÇAMENTO!$X$15,ROW(AM55)-ROW(AM$15),0),0)</f>
        <v>0</v>
      </c>
      <c r="AN55" s="632">
        <f ca="1">IF(AND($D55="Serviço",AN$12&lt;&gt;0,$H55&gt;0,OR(AUTOEVENTO&lt;&gt;"manual",$M55&lt;&gt;1)),ROUND(OFFSET($P55,0,AN$13),15-13*ORÇAMENTO!$AF$7)/$H55*OFFSET(ORÇAMENTO!$X$15,ROW(AN55)-ROW(AN$15),0),0)</f>
        <v>0</v>
      </c>
      <c r="AO55" s="632">
        <f ca="1">IF(AND($D55="Serviço",AO$12&lt;&gt;0,$H55&gt;0,OR(AUTOEVENTO&lt;&gt;"manual",$M55&lt;&gt;1)),ROUND(OFFSET($P55,0,AO$13),15-13*ORÇAMENTO!$AF$7)/$H55*OFFSET(ORÇAMENTO!$X$15,ROW(AO55)-ROW(AO$15),0),0)</f>
        <v>0</v>
      </c>
      <c r="AP55" s="632">
        <f ca="1">IF(AND($D55="Serviço",AP$12&lt;&gt;0,$H55&gt;0,OR(AUTOEVENTO&lt;&gt;"manual",$M55&lt;&gt;1)),ROUND(OFFSET($P55,0,AP$13),15-13*ORÇAMENTO!$AF$7)/$H55*OFFSET(ORÇAMENTO!$X$15,ROW(AP55)-ROW(AP$15),0),0)</f>
        <v>0</v>
      </c>
      <c r="AQ55" s="632">
        <f ca="1">IF(AND($D55="Serviço",AQ$12&lt;&gt;0,$H55&gt;0,OR(AUTOEVENTO&lt;&gt;"manual",$M55&lt;&gt;1)),ROUND(OFFSET($P55,0,AQ$13),15-13*ORÇAMENTO!$AF$7)/$H55*OFFSET(ORÇAMENTO!$X$15,ROW(AQ55)-ROW(AQ$15),0),0)</f>
        <v>0</v>
      </c>
      <c r="AR55" s="632">
        <f ca="1">IF(AND($D55="Serviço",AR$12&lt;&gt;0,$H55&gt;0,OR(AUTOEVENTO&lt;&gt;"manual",$M55&lt;&gt;1)),ROUND(OFFSET($P55,0,AR$13),15-13*ORÇAMENTO!$AF$7)/$H55*OFFSET(ORÇAMENTO!$X$15,ROW(AR55)-ROW(AR$15),0),0)</f>
        <v>0</v>
      </c>
      <c r="AS55" s="633">
        <f ca="1">IF(AND($D55="Serviço",AS$12&lt;&gt;0,$H55&gt;0,OR(AUTOEVENTO&lt;&gt;"manual",$M55&lt;&gt;1)),ROUND(OFFSET($P55,0,AS$13),15-13*ORÇAMENTO!$AF$7)/$H55*OFFSET(ORÇAMENTO!$X$15,ROW(AS55)-ROW(AS$15),0),0)</f>
        <v>0</v>
      </c>
      <c r="AT55" s="632">
        <f ca="1">IF(AND($D55="Serviço",AT$12&lt;&gt;0,$H55&gt;0,OR(AUTOEVENTO&lt;&gt;"manual",$M55&lt;&gt;1)),ROUND(OFFSET($P55,0,AT$13),15-13*ORÇAMENTO!$AF$7)/$H55*OFFSET(ORÇAMENTO!$X$15,ROW(AT55)-ROW(AT$15),0),0)</f>
        <v>0</v>
      </c>
      <c r="AU55" s="632">
        <f ca="1">IF(AND($D55="Serviço",AU$12&lt;&gt;0,$H55&gt;0,OR(AUTOEVENTO&lt;&gt;"manual",$M55&lt;&gt;1)),ROUND(OFFSET($P55,0,AU$13),15-13*ORÇAMENTO!$AF$7)/$H55*OFFSET(ORÇAMENTO!$X$15,ROW(AU55)-ROW(AU$15),0),0)</f>
        <v>0</v>
      </c>
      <c r="AV55" s="632">
        <f ca="1">IF(AND($D55="Serviço",AV$12&lt;&gt;0,$H55&gt;0,OR(AUTOEVENTO&lt;&gt;"manual",$M55&lt;&gt;1)),ROUND(OFFSET($P55,0,AV$13),15-13*ORÇAMENTO!$AF$7)/$H55*OFFSET(ORÇAMENTO!$X$15,ROW(AV55)-ROW(AV$15),0),0)</f>
        <v>0</v>
      </c>
      <c r="AW55" s="632">
        <f ca="1">IF(AND($D55="Serviço",AW$12&lt;&gt;0,$H55&gt;0,OR(AUTOEVENTO&lt;&gt;"manual",$M55&lt;&gt;1)),ROUND(OFFSET($P55,0,AW$13),15-13*ORÇAMENTO!$AF$7)/$H55*OFFSET(ORÇAMENTO!$X$15,ROW(AW55)-ROW(AW$15),0),0)</f>
        <v>0</v>
      </c>
      <c r="AX55" s="632">
        <f ca="1">IF(AND($D55="Serviço",AX$12&lt;&gt;0,$H55&gt;0,OR(AUTOEVENTO&lt;&gt;"manual",$M55&lt;&gt;1)),ROUND(OFFSET($P55,0,AX$13),15-13*ORÇAMENTO!$AF$7)/$H55*OFFSET(ORÇAMENTO!$X$15,ROW(AX55)-ROW(AX$15),0),0)</f>
        <v>0</v>
      </c>
      <c r="AY55" s="632">
        <f ca="1">IF(AND($D55="Serviço",AY$12&lt;&gt;0,$H55&gt;0,OR(AUTOEVENTO&lt;&gt;"manual",$M55&lt;&gt;1)),ROUND(OFFSET($P55,0,AY$13),15-13*ORÇAMENTO!$AF$7)/$H55*OFFSET(ORÇAMENTO!$X$15,ROW(AY55)-ROW(AY$15),0),0)</f>
        <v>0</v>
      </c>
      <c r="AZ55" s="632">
        <f ca="1">IF(AND($D55="Serviço",AZ$12&lt;&gt;0,$H55&gt;0,OR(AUTOEVENTO&lt;&gt;"manual",$M55&lt;&gt;1)),ROUND(OFFSET($P55,0,AZ$13),15-13*ORÇAMENTO!$AF$7)/$H55*OFFSET(ORÇAMENTO!$X$15,ROW(AZ55)-ROW(AZ$15),0),0)</f>
        <v>0</v>
      </c>
      <c r="BA55" s="633">
        <f ca="1">IF(AND($D55="Serviço",BA$12&lt;&gt;0,$H55&gt;0,OR(AUTOEVENTO&lt;&gt;"manual",$M55&lt;&gt;1)),ROUND(OFFSET($P55,0,BA$13),15-13*ORÇAMENTO!$AF$7)/$H55*OFFSET(ORÇAMENTO!$X$15,ROW(BA55)-ROW(BA$15),0),0)</f>
        <v>0</v>
      </c>
      <c r="BC55" s="215">
        <f ca="1">IF($D55&lt;&gt;"Serviço",0,IF(AND(AUTOEVENTO="Manual",$M55=1),0,IF(OFFSET(CRONOPLE!$F$14,$M55,BC$13)="",10^12,OFFSET(CRONOPLE!$F$14,$M55,BC$13))))</f>
        <v>1000000000000</v>
      </c>
      <c r="BD55" s="215">
        <f ca="1">IF($D55&lt;&gt;"Serviço",0,IF(AND(AUTOEVENTO="Manual",$M55=1),0,IF(OFFSET(CRONOPLE!$F$14,$M55,BD$13)="",10^12,OFFSET(CRONOPLE!$F$14,$M55,BD$13))))</f>
        <v>1000000000000</v>
      </c>
      <c r="BE55" s="215">
        <f ca="1">IF($D55&lt;&gt;"Serviço",0,IF(AND(AUTOEVENTO="Manual",$M55=1),0,IF(OFFSET(CRONOPLE!$F$14,$M55,BE$13)="",10^12,OFFSET(CRONOPLE!$F$14,$M55,BE$13))))</f>
        <v>1000000000000</v>
      </c>
      <c r="BF55" s="215">
        <f ca="1">IF($D55&lt;&gt;"Serviço",0,IF(AND(AUTOEVENTO="Manual",$M55=1),0,IF(OFFSET(CRONOPLE!$F$14,$M55,BF$13)="",10^12,OFFSET(CRONOPLE!$F$14,$M55,BF$13))))</f>
        <v>1000000000000</v>
      </c>
      <c r="BG55" s="215">
        <f ca="1">IF($D55&lt;&gt;"Serviço",0,IF(AND(AUTOEVENTO="Manual",$M55=1),0,IF(OFFSET(CRONOPLE!$F$14,$M55,BG$13)="",10^12,OFFSET(CRONOPLE!$F$14,$M55,BG$13))))</f>
        <v>1000000000000</v>
      </c>
      <c r="BH55" s="215">
        <f ca="1">IF($D55&lt;&gt;"Serviço",0,IF(AND(AUTOEVENTO="Manual",$M55=1),0,IF(OFFSET(CRONOPLE!$F$14,$M55,BH$13)="",10^12,OFFSET(CRONOPLE!$F$14,$M55,BH$13))))</f>
        <v>1000000000000</v>
      </c>
      <c r="BI55" s="215">
        <f ca="1">IF($D55&lt;&gt;"Serviço",0,IF(AND(AUTOEVENTO="Manual",$M55=1),0,IF(OFFSET(CRONOPLE!$F$14,$M55,BI$13)="",10^12,OFFSET(CRONOPLE!$F$14,$M55,BI$13))))</f>
        <v>1000000000000</v>
      </c>
      <c r="BJ55" s="215">
        <f ca="1">IF($D55&lt;&gt;"Serviço",0,IF(AND(AUTOEVENTO="Manual",$M55=1),0,IF(OFFSET(CRONOPLE!$F$14,$M55,BJ$13)="",10^12,OFFSET(CRONOPLE!$F$14,$M55,BJ$13))))</f>
        <v>1000000000000</v>
      </c>
      <c r="BK55" s="215">
        <f ca="1">IF($D55&lt;&gt;"Serviço",0,IF(AND(AUTOEVENTO="Manual",$M55=1),0,IF(OFFSET(CRONOPLE!$F$14,$M55,BK$13)="",10^12,OFFSET(CRONOPLE!$F$14,$M55,BK$13))))</f>
        <v>1000000000000</v>
      </c>
      <c r="BL55" s="215">
        <f ca="1">IF($D55&lt;&gt;"Serviço",0,IF(AND(AUTOEVENTO="Manual",$M55=1),0,IF(OFFSET(CRONOPLE!$F$14,$M55,BL$13)="",10^12,OFFSET(CRONOPLE!$F$14,$M55,BL$13))))</f>
        <v>1000000000000</v>
      </c>
      <c r="BM55" s="215">
        <f ca="1">IF($D55&lt;&gt;"Serviço",0,IF(AND(AUTOEVENTO="Manual",$M55=1),0,IF(OFFSET(CRONOPLE!$F$14,$M55,BM$13)="",10^12,OFFSET(CRONOPLE!$F$14,$M55,BM$13))))</f>
        <v>1000000000000</v>
      </c>
      <c r="BN55" s="215">
        <f ca="1">IF($D55&lt;&gt;"Serviço",0,IF(AND(AUTOEVENTO="Manual",$M55=1),0,IF(OFFSET(CRONOPLE!$F$14,$M55,BN$13)="",10^12,OFFSET(CRONOPLE!$F$14,$M55,BN$13))))</f>
        <v>1000000000000</v>
      </c>
      <c r="BO55" s="215">
        <f ca="1">IF($D55&lt;&gt;"Serviço",0,IF(AND(AUTOEVENTO="Manual",$M55=1),0,IF(OFFSET(CRONOPLE!$F$14,$M55,BO$13)="",10^12,OFFSET(CRONOPLE!$F$14,$M55,BO$13))))</f>
        <v>1000000000000</v>
      </c>
      <c r="BP55" s="215">
        <f ca="1">IF($D55&lt;&gt;"Serviço",0,IF(AND(AUTOEVENTO="Manual",$M55=1),0,IF(OFFSET(CRONOPLE!$F$14,$M55,BP$13)="",10^12,OFFSET(CRONOPLE!$F$14,$M55,BP$13))))</f>
        <v>1000000000000</v>
      </c>
      <c r="BQ55" s="215">
        <f ca="1">IF($D55&lt;&gt;"Serviço",0,IF(AND(AUTOEVENTO="Manual",$M55=1),0,IF(OFFSET(CRONOPLE!$F$14,$M55,BQ$13)="",10^12,OFFSET(CRONOPLE!$F$14,$M55,BQ$13))))</f>
        <v>1000000000000</v>
      </c>
      <c r="BR55" s="215">
        <f ca="1">IF($D55&lt;&gt;"Serviço",0,IF(AND(AUTOEVENTO="Manual",$M55=1),0,IF(OFFSET(CRONOPLE!$F$14,$M55,BR$13)="",10^12,OFFSET(CRONOPLE!$F$14,$M55,BR$13))))</f>
        <v>1000000000000</v>
      </c>
      <c r="BS55" s="215">
        <f ca="1">IF($D55&lt;&gt;"Serviço",0,IF(AND(AUTOEVENTO="Manual",$M55=1),0,IF(OFFSET(CRONOPLE!$F$14,$M55,BS$13)="",10^12,OFFSET(CRONOPLE!$F$14,$M55,BS$13))))</f>
        <v>1000000000000</v>
      </c>
      <c r="BT55" s="215">
        <f ca="1">IF($D55&lt;&gt;"Serviço",0,IF(AND(AUTOEVENTO="Manual",$M55=1),0,IF(OFFSET(CRONOPLE!$F$14,$M55,BT$13)="",10^12,OFFSET(CRONOPLE!$F$14,$M55,BT$13))))</f>
        <v>1000000000000</v>
      </c>
      <c r="BV55" s="216">
        <f ca="1">IF($D55&lt;&gt;"Serviço",0,IF(OR(AND(AUTOEVENTO="Manual",$M55=1),$M55&gt;(ROW(PLE.lastrow)-ROW(PLE.firstrow))),0,IF(OFFSET(PLE!$G$14,$M55,BV$13)="",10^12,OFFSET(PLE!$G$14,$M55,BV$13))))</f>
        <v>1000000000000</v>
      </c>
      <c r="BW55" s="216">
        <f ca="1">IF($D55&lt;&gt;"Serviço",0,IF(OR(AND(AUTOEVENTO="Manual",$M55=1),$M55&gt;(ROW(PLE.lastrow)-ROW(PLE.firstrow))),0,IF(OFFSET(PLE!$G$14,$M55,BW$13)="",10^12,OFFSET(PLE!$G$14,$M55,BW$13))))</f>
        <v>1000000000000</v>
      </c>
      <c r="BX55" s="216">
        <f ca="1">IF($D55&lt;&gt;"Serviço",0,IF(OR(AND(AUTOEVENTO="Manual",$M55=1),$M55&gt;(ROW(PLE.lastrow)-ROW(PLE.firstrow))),0,IF(OFFSET(PLE!$G$14,$M55,BX$13)="",10^12,OFFSET(PLE!$G$14,$M55,BX$13))))</f>
        <v>1000000000000</v>
      </c>
      <c r="BY55" s="216">
        <f ca="1">IF($D55&lt;&gt;"Serviço",0,IF(OR(AND(AUTOEVENTO="Manual",$M55=1),$M55&gt;(ROW(PLE.lastrow)-ROW(PLE.firstrow))),0,IF(OFFSET(PLE!$G$14,$M55,BY$13)="",10^12,OFFSET(PLE!$G$14,$M55,BY$13))))</f>
        <v>1000000000000</v>
      </c>
      <c r="BZ55" s="216">
        <f ca="1">IF($D55&lt;&gt;"Serviço",0,IF(OR(AND(AUTOEVENTO="Manual",$M55=1),$M55&gt;(ROW(PLE.lastrow)-ROW(PLE.firstrow))),0,IF(OFFSET(PLE!$G$14,$M55,BZ$13)="",10^12,OFFSET(PLE!$G$14,$M55,BZ$13))))</f>
        <v>1000000000000</v>
      </c>
      <c r="CA55" s="216">
        <f ca="1">IF($D55&lt;&gt;"Serviço",0,IF(OR(AND(AUTOEVENTO="Manual",$M55=1),$M55&gt;(ROW(PLE.lastrow)-ROW(PLE.firstrow))),0,IF(OFFSET(PLE!$G$14,$M55,CA$13)="",10^12,OFFSET(PLE!$G$14,$M55,CA$13))))</f>
        <v>1000000000000</v>
      </c>
      <c r="CB55" s="216">
        <f ca="1">IF($D55&lt;&gt;"Serviço",0,IF(OR(AND(AUTOEVENTO="Manual",$M55=1),$M55&gt;(ROW(PLE.lastrow)-ROW(PLE.firstrow))),0,IF(OFFSET(PLE!$G$14,$M55,CB$13)="",10^12,OFFSET(PLE!$G$14,$M55,CB$13))))</f>
        <v>1000000000000</v>
      </c>
      <c r="CC55" s="216">
        <f ca="1">IF($D55&lt;&gt;"Serviço",0,IF(OR(AND(AUTOEVENTO="Manual",$M55=1),$M55&gt;(ROW(PLE.lastrow)-ROW(PLE.firstrow))),0,IF(OFFSET(PLE!$G$14,$M55,CC$13)="",10^12,OFFSET(PLE!$G$14,$M55,CC$13))))</f>
        <v>1000000000000</v>
      </c>
      <c r="CD55" s="216">
        <f ca="1">IF($D55&lt;&gt;"Serviço",0,IF(OR(AND(AUTOEVENTO="Manual",$M55=1),$M55&gt;(ROW(PLE.lastrow)-ROW(PLE.firstrow))),0,IF(OFFSET(PLE!$G$14,$M55,CD$13)="",10^12,OFFSET(PLE!$G$14,$M55,CD$13))))</f>
        <v>1000000000000</v>
      </c>
      <c r="CE55" s="216">
        <f ca="1">IF($D55&lt;&gt;"Serviço",0,IF(OR(AND(AUTOEVENTO="Manual",$M55=1),$M55&gt;(ROW(PLE.lastrow)-ROW(PLE.firstrow))),0,IF(OFFSET(PLE!$G$14,$M55,CE$13)="",10^12,OFFSET(PLE!$G$14,$M55,CE$13))))</f>
        <v>1000000000000</v>
      </c>
      <c r="CF55" s="216">
        <f ca="1">IF($D55&lt;&gt;"Serviço",0,IF(OR(AND(AUTOEVENTO="Manual",$M55=1),$M55&gt;(ROW(PLE.lastrow)-ROW(PLE.firstrow))),0,IF(OFFSET(PLE!$G$14,$M55,CF$13)="",10^12,OFFSET(PLE!$G$14,$M55,CF$13))))</f>
        <v>1000000000000</v>
      </c>
      <c r="CG55" s="216">
        <f ca="1">IF($D55&lt;&gt;"Serviço",0,IF(OR(AND(AUTOEVENTO="Manual",$M55=1),$M55&gt;(ROW(PLE.lastrow)-ROW(PLE.firstrow))),0,IF(OFFSET(PLE!$G$14,$M55,CG$13)="",10^12,OFFSET(PLE!$G$14,$M55,CG$13))))</f>
        <v>1000000000000</v>
      </c>
      <c r="CH55" s="216">
        <f ca="1">IF($D55&lt;&gt;"Serviço",0,IF(OR(AND(AUTOEVENTO="Manual",$M55=1),$M55&gt;(ROW(PLE.lastrow)-ROW(PLE.firstrow))),0,IF(OFFSET(PLE!$G$14,$M55,CH$13)="",10^12,OFFSET(PLE!$G$14,$M55,CH$13))))</f>
        <v>1000000000000</v>
      </c>
      <c r="CI55" s="216">
        <f ca="1">IF($D55&lt;&gt;"Serviço",0,IF(OR(AND(AUTOEVENTO="Manual",$M55=1),$M55&gt;(ROW(PLE.lastrow)-ROW(PLE.firstrow))),0,IF(OFFSET(PLE!$G$14,$M55,CI$13)="",10^12,OFFSET(PLE!$G$14,$M55,CI$13))))</f>
        <v>1000000000000</v>
      </c>
      <c r="CJ55" s="216">
        <f ca="1">IF($D55&lt;&gt;"Serviço",0,IF(OR(AND(AUTOEVENTO="Manual",$M55=1),$M55&gt;(ROW(PLE.lastrow)-ROW(PLE.firstrow))),0,IF(OFFSET(PLE!$G$14,$M55,CJ$13)="",10^12,OFFSET(PLE!$G$14,$M55,CJ$13))))</f>
        <v>1000000000000</v>
      </c>
      <c r="CK55" s="216">
        <f ca="1">IF($D55&lt;&gt;"Serviço",0,IF(OR(AND(AUTOEVENTO="Manual",$M55=1),$M55&gt;(ROW(PLE.lastrow)-ROW(PLE.firstrow))),0,IF(OFFSET(PLE!$G$14,$M55,CK$13)="",10^12,OFFSET(PLE!$G$14,$M55,CK$13))))</f>
        <v>1000000000000</v>
      </c>
      <c r="CL55" s="216">
        <f ca="1">IF($D55&lt;&gt;"Serviço",0,IF(OR(AND(AUTOEVENTO="Manual",$M55=1),$M55&gt;(ROW(PLE.lastrow)-ROW(PLE.firstrow))),0,IF(OFFSET(PLE!$G$14,$M55,CL$13)="",10^12,OFFSET(PLE!$G$14,$M55,CL$13))))</f>
        <v>1000000000000</v>
      </c>
      <c r="CM55" s="216">
        <f ca="1">IF($D55&lt;&gt;"Serviço",0,IF(OR(AND(AUTOEVENTO="Manual",$M55=1),$M55&gt;(ROW(PLE.lastrow)-ROW(PLE.firstrow))),0,IF(OFFSET(PLE!$G$14,$M55,CM$13)="",10^12,OFFSET(PLE!$G$14,$M55,CM$13))))</f>
        <v>1000000000000</v>
      </c>
    </row>
    <row r="56" spans="1:91" ht="13.2" x14ac:dyDescent="0.25">
      <c r="A56" s="9">
        <f t="shared" ca="1" si="9"/>
        <v>0</v>
      </c>
      <c r="B56" s="9">
        <f ca="1">OFFSET(ORÇAMENTO!C$15,ROW(B56)-ROW(B$15),0)</f>
        <v>3</v>
      </c>
      <c r="C56" s="9" t="str">
        <f ca="1">OFFSET(ORÇAMENTO!L$15,ROW(C56)-ROW(C$15),0)</f>
        <v>F</v>
      </c>
      <c r="D56" s="145" t="str">
        <f ca="1">OFFSET(ORÇAMENTO!N$15,ROW(D56)-ROW(D$15),0)</f>
        <v>Nível 3</v>
      </c>
      <c r="E56" s="205" t="str">
        <f ca="1">OFFSET(ORÇAMENTO!O$15,ROW(E56)-ROW(E$15),0)</f>
        <v>1.3.2.</v>
      </c>
      <c r="F56" s="206" t="str">
        <f ca="1">OFFSET(ORÇAMENTO!R$15,ROW(F56)-ROW(F$15),0)</f>
        <v>CONCRETO ARMADO PARA FUNDAÇÕES - VIGAS BALDRAMES</v>
      </c>
      <c r="G56" s="207" t="str">
        <f ca="1">IF($D56&lt;&gt;"Serviço","",OFFSET(ORÇAMENTO!S$15,ROW(G56)-ROW(G$15),0))</f>
        <v/>
      </c>
      <c r="H56" s="151">
        <f ca="1">IF($D56&lt;&gt;"Serviço",0,IF(ACOMPANHAMENTO="BM",ROUND(OFFSET(ORÇAMENTO!AJ$15,ROW(H56)-ROW(H$15),0),15-13*ORÇAMENTO!$AF$7),SUMPRODUCT(($Q$12:$AI$12&lt;&gt;"")*ROUND($Q56:$AI56,15-13*ORÇAMENTO!$AF$7))))</f>
        <v>0</v>
      </c>
      <c r="I56" s="650"/>
      <c r="K56" s="208"/>
      <c r="L56" s="209" t="s">
        <v>257</v>
      </c>
      <c r="M56" s="210" t="str">
        <f ca="1">IF($D56&lt;&gt;"Serviço","",IF(AUTOEVENTO="manual",$A56,IF(ISERROR(MATCH($A56,$A$15:OFFSET($A56,-1,0),0)),MAX($M$15:OFFSET(M56,-1,0))+1,INDEX($M$15:OFFSET(M56,-1,0),MATCH($A56,$A$15:OFFSET($A56,-1,0),0)))))</f>
        <v/>
      </c>
      <c r="N56" s="211" t="str">
        <f ca="1">IF($D56&lt;&gt;"Serviço","",IF(AUTOEVENTO="Manual",IF($A56=0,"&lt;-- defina o número do agrupador",OFFSET(EVENTOS!$D$14,$A56,0)),OFFSET($F$15,$A56,0)))</f>
        <v/>
      </c>
      <c r="O56" s="212"/>
      <c r="Q56" s="212"/>
      <c r="R56" s="213"/>
      <c r="S56" s="213"/>
      <c r="T56" s="213"/>
      <c r="U56" s="213"/>
      <c r="V56" s="213"/>
      <c r="W56" s="213"/>
      <c r="X56" s="213"/>
      <c r="Y56" s="213"/>
      <c r="Z56" s="214"/>
      <c r="AA56" s="213"/>
      <c r="AB56" s="213"/>
      <c r="AC56" s="213"/>
      <c r="AD56" s="213"/>
      <c r="AE56" s="213"/>
      <c r="AF56" s="213"/>
      <c r="AG56" s="213"/>
      <c r="AH56" s="214"/>
      <c r="AJ56" s="631">
        <f ca="1">IF(AND($D56="Serviço",AJ$12&lt;&gt;0,$H56&gt;0,OR(AUTOEVENTO&lt;&gt;"manual",$M56&lt;&gt;1)),ROUND(OFFSET($P56,0,AJ$13),15-13*ORÇAMENTO!$AF$7)/$H56*OFFSET(ORÇAMENTO!$X$15,ROW(AJ56)-ROW(AJ$15),0),0)</f>
        <v>0</v>
      </c>
      <c r="AK56" s="632">
        <f ca="1">IF(AND($D56="Serviço",AK$12&lt;&gt;0,$H56&gt;0,OR(AUTOEVENTO&lt;&gt;"manual",$M56&lt;&gt;1)),ROUND(OFFSET($P56,0,AK$13),15-13*ORÇAMENTO!$AF$7)/$H56*OFFSET(ORÇAMENTO!$X$15,ROW(AK56)-ROW(AK$15),0),0)</f>
        <v>0</v>
      </c>
      <c r="AL56" s="632">
        <f ca="1">IF(AND($D56="Serviço",AL$12&lt;&gt;0,$H56&gt;0,OR(AUTOEVENTO&lt;&gt;"manual",$M56&lt;&gt;1)),ROUND(OFFSET($P56,0,AL$13),15-13*ORÇAMENTO!$AF$7)/$H56*OFFSET(ORÇAMENTO!$X$15,ROW(AL56)-ROW(AL$15),0),0)</f>
        <v>0</v>
      </c>
      <c r="AM56" s="632">
        <f ca="1">IF(AND($D56="Serviço",AM$12&lt;&gt;0,$H56&gt;0,OR(AUTOEVENTO&lt;&gt;"manual",$M56&lt;&gt;1)),ROUND(OFFSET($P56,0,AM$13),15-13*ORÇAMENTO!$AF$7)/$H56*OFFSET(ORÇAMENTO!$X$15,ROW(AM56)-ROW(AM$15),0),0)</f>
        <v>0</v>
      </c>
      <c r="AN56" s="632">
        <f ca="1">IF(AND($D56="Serviço",AN$12&lt;&gt;0,$H56&gt;0,OR(AUTOEVENTO&lt;&gt;"manual",$M56&lt;&gt;1)),ROUND(OFFSET($P56,0,AN$13),15-13*ORÇAMENTO!$AF$7)/$H56*OFFSET(ORÇAMENTO!$X$15,ROW(AN56)-ROW(AN$15),0),0)</f>
        <v>0</v>
      </c>
      <c r="AO56" s="632">
        <f ca="1">IF(AND($D56="Serviço",AO$12&lt;&gt;0,$H56&gt;0,OR(AUTOEVENTO&lt;&gt;"manual",$M56&lt;&gt;1)),ROUND(OFFSET($P56,0,AO$13),15-13*ORÇAMENTO!$AF$7)/$H56*OFFSET(ORÇAMENTO!$X$15,ROW(AO56)-ROW(AO$15),0),0)</f>
        <v>0</v>
      </c>
      <c r="AP56" s="632">
        <f ca="1">IF(AND($D56="Serviço",AP$12&lt;&gt;0,$H56&gt;0,OR(AUTOEVENTO&lt;&gt;"manual",$M56&lt;&gt;1)),ROUND(OFFSET($P56,0,AP$13),15-13*ORÇAMENTO!$AF$7)/$H56*OFFSET(ORÇAMENTO!$X$15,ROW(AP56)-ROW(AP$15),0),0)</f>
        <v>0</v>
      </c>
      <c r="AQ56" s="632">
        <f ca="1">IF(AND($D56="Serviço",AQ$12&lt;&gt;0,$H56&gt;0,OR(AUTOEVENTO&lt;&gt;"manual",$M56&lt;&gt;1)),ROUND(OFFSET($P56,0,AQ$13),15-13*ORÇAMENTO!$AF$7)/$H56*OFFSET(ORÇAMENTO!$X$15,ROW(AQ56)-ROW(AQ$15),0),0)</f>
        <v>0</v>
      </c>
      <c r="AR56" s="632">
        <f ca="1">IF(AND($D56="Serviço",AR$12&lt;&gt;0,$H56&gt;0,OR(AUTOEVENTO&lt;&gt;"manual",$M56&lt;&gt;1)),ROUND(OFFSET($P56,0,AR$13),15-13*ORÇAMENTO!$AF$7)/$H56*OFFSET(ORÇAMENTO!$X$15,ROW(AR56)-ROW(AR$15),0),0)</f>
        <v>0</v>
      </c>
      <c r="AS56" s="633">
        <f ca="1">IF(AND($D56="Serviço",AS$12&lt;&gt;0,$H56&gt;0,OR(AUTOEVENTO&lt;&gt;"manual",$M56&lt;&gt;1)),ROUND(OFFSET($P56,0,AS$13),15-13*ORÇAMENTO!$AF$7)/$H56*OFFSET(ORÇAMENTO!$X$15,ROW(AS56)-ROW(AS$15),0),0)</f>
        <v>0</v>
      </c>
      <c r="AT56" s="632">
        <f ca="1">IF(AND($D56="Serviço",AT$12&lt;&gt;0,$H56&gt;0,OR(AUTOEVENTO&lt;&gt;"manual",$M56&lt;&gt;1)),ROUND(OFFSET($P56,0,AT$13),15-13*ORÇAMENTO!$AF$7)/$H56*OFFSET(ORÇAMENTO!$X$15,ROW(AT56)-ROW(AT$15),0),0)</f>
        <v>0</v>
      </c>
      <c r="AU56" s="632">
        <f ca="1">IF(AND($D56="Serviço",AU$12&lt;&gt;0,$H56&gt;0,OR(AUTOEVENTO&lt;&gt;"manual",$M56&lt;&gt;1)),ROUND(OFFSET($P56,0,AU$13),15-13*ORÇAMENTO!$AF$7)/$H56*OFFSET(ORÇAMENTO!$X$15,ROW(AU56)-ROW(AU$15),0),0)</f>
        <v>0</v>
      </c>
      <c r="AV56" s="632">
        <f ca="1">IF(AND($D56="Serviço",AV$12&lt;&gt;0,$H56&gt;0,OR(AUTOEVENTO&lt;&gt;"manual",$M56&lt;&gt;1)),ROUND(OFFSET($P56,0,AV$13),15-13*ORÇAMENTO!$AF$7)/$H56*OFFSET(ORÇAMENTO!$X$15,ROW(AV56)-ROW(AV$15),0),0)</f>
        <v>0</v>
      </c>
      <c r="AW56" s="632">
        <f ca="1">IF(AND($D56="Serviço",AW$12&lt;&gt;0,$H56&gt;0,OR(AUTOEVENTO&lt;&gt;"manual",$M56&lt;&gt;1)),ROUND(OFFSET($P56,0,AW$13),15-13*ORÇAMENTO!$AF$7)/$H56*OFFSET(ORÇAMENTO!$X$15,ROW(AW56)-ROW(AW$15),0),0)</f>
        <v>0</v>
      </c>
      <c r="AX56" s="632">
        <f ca="1">IF(AND($D56="Serviço",AX$12&lt;&gt;0,$H56&gt;0,OR(AUTOEVENTO&lt;&gt;"manual",$M56&lt;&gt;1)),ROUND(OFFSET($P56,0,AX$13),15-13*ORÇAMENTO!$AF$7)/$H56*OFFSET(ORÇAMENTO!$X$15,ROW(AX56)-ROW(AX$15),0),0)</f>
        <v>0</v>
      </c>
      <c r="AY56" s="632">
        <f ca="1">IF(AND($D56="Serviço",AY$12&lt;&gt;0,$H56&gt;0,OR(AUTOEVENTO&lt;&gt;"manual",$M56&lt;&gt;1)),ROUND(OFFSET($P56,0,AY$13),15-13*ORÇAMENTO!$AF$7)/$H56*OFFSET(ORÇAMENTO!$X$15,ROW(AY56)-ROW(AY$15),0),0)</f>
        <v>0</v>
      </c>
      <c r="AZ56" s="632">
        <f ca="1">IF(AND($D56="Serviço",AZ$12&lt;&gt;0,$H56&gt;0,OR(AUTOEVENTO&lt;&gt;"manual",$M56&lt;&gt;1)),ROUND(OFFSET($P56,0,AZ$13),15-13*ORÇAMENTO!$AF$7)/$H56*OFFSET(ORÇAMENTO!$X$15,ROW(AZ56)-ROW(AZ$15),0),0)</f>
        <v>0</v>
      </c>
      <c r="BA56" s="633">
        <f ca="1">IF(AND($D56="Serviço",BA$12&lt;&gt;0,$H56&gt;0,OR(AUTOEVENTO&lt;&gt;"manual",$M56&lt;&gt;1)),ROUND(OFFSET($P56,0,BA$13),15-13*ORÇAMENTO!$AF$7)/$H56*OFFSET(ORÇAMENTO!$X$15,ROW(BA56)-ROW(BA$15),0),0)</f>
        <v>0</v>
      </c>
      <c r="BC56" s="215">
        <f ca="1">IF($D56&lt;&gt;"Serviço",0,IF(AND(AUTOEVENTO="Manual",$M56=1),0,IF(OFFSET(CRONOPLE!$F$14,$M56,BC$13)="",10^12,OFFSET(CRONOPLE!$F$14,$M56,BC$13))))</f>
        <v>0</v>
      </c>
      <c r="BD56" s="215">
        <f ca="1">IF($D56&lt;&gt;"Serviço",0,IF(AND(AUTOEVENTO="Manual",$M56=1),0,IF(OFFSET(CRONOPLE!$F$14,$M56,BD$13)="",10^12,OFFSET(CRONOPLE!$F$14,$M56,BD$13))))</f>
        <v>0</v>
      </c>
      <c r="BE56" s="215">
        <f ca="1">IF($D56&lt;&gt;"Serviço",0,IF(AND(AUTOEVENTO="Manual",$M56=1),0,IF(OFFSET(CRONOPLE!$F$14,$M56,BE$13)="",10^12,OFFSET(CRONOPLE!$F$14,$M56,BE$13))))</f>
        <v>0</v>
      </c>
      <c r="BF56" s="215">
        <f ca="1">IF($D56&lt;&gt;"Serviço",0,IF(AND(AUTOEVENTO="Manual",$M56=1),0,IF(OFFSET(CRONOPLE!$F$14,$M56,BF$13)="",10^12,OFFSET(CRONOPLE!$F$14,$M56,BF$13))))</f>
        <v>0</v>
      </c>
      <c r="BG56" s="215">
        <f ca="1">IF($D56&lt;&gt;"Serviço",0,IF(AND(AUTOEVENTO="Manual",$M56=1),0,IF(OFFSET(CRONOPLE!$F$14,$M56,BG$13)="",10^12,OFFSET(CRONOPLE!$F$14,$M56,BG$13))))</f>
        <v>0</v>
      </c>
      <c r="BH56" s="215">
        <f ca="1">IF($D56&lt;&gt;"Serviço",0,IF(AND(AUTOEVENTO="Manual",$M56=1),0,IF(OFFSET(CRONOPLE!$F$14,$M56,BH$13)="",10^12,OFFSET(CRONOPLE!$F$14,$M56,BH$13))))</f>
        <v>0</v>
      </c>
      <c r="BI56" s="215">
        <f ca="1">IF($D56&lt;&gt;"Serviço",0,IF(AND(AUTOEVENTO="Manual",$M56=1),0,IF(OFFSET(CRONOPLE!$F$14,$M56,BI$13)="",10^12,OFFSET(CRONOPLE!$F$14,$M56,BI$13))))</f>
        <v>0</v>
      </c>
      <c r="BJ56" s="215">
        <f ca="1">IF($D56&lt;&gt;"Serviço",0,IF(AND(AUTOEVENTO="Manual",$M56=1),0,IF(OFFSET(CRONOPLE!$F$14,$M56,BJ$13)="",10^12,OFFSET(CRONOPLE!$F$14,$M56,BJ$13))))</f>
        <v>0</v>
      </c>
      <c r="BK56" s="215">
        <f ca="1">IF($D56&lt;&gt;"Serviço",0,IF(AND(AUTOEVENTO="Manual",$M56=1),0,IF(OFFSET(CRONOPLE!$F$14,$M56,BK$13)="",10^12,OFFSET(CRONOPLE!$F$14,$M56,BK$13))))</f>
        <v>0</v>
      </c>
      <c r="BL56" s="215">
        <f ca="1">IF($D56&lt;&gt;"Serviço",0,IF(AND(AUTOEVENTO="Manual",$M56=1),0,IF(OFFSET(CRONOPLE!$F$14,$M56,BL$13)="",10^12,OFFSET(CRONOPLE!$F$14,$M56,BL$13))))</f>
        <v>0</v>
      </c>
      <c r="BM56" s="215">
        <f ca="1">IF($D56&lt;&gt;"Serviço",0,IF(AND(AUTOEVENTO="Manual",$M56=1),0,IF(OFFSET(CRONOPLE!$F$14,$M56,BM$13)="",10^12,OFFSET(CRONOPLE!$F$14,$M56,BM$13))))</f>
        <v>0</v>
      </c>
      <c r="BN56" s="215">
        <f ca="1">IF($D56&lt;&gt;"Serviço",0,IF(AND(AUTOEVENTO="Manual",$M56=1),0,IF(OFFSET(CRONOPLE!$F$14,$M56,BN$13)="",10^12,OFFSET(CRONOPLE!$F$14,$M56,BN$13))))</f>
        <v>0</v>
      </c>
      <c r="BO56" s="215">
        <f ca="1">IF($D56&lt;&gt;"Serviço",0,IF(AND(AUTOEVENTO="Manual",$M56=1),0,IF(OFFSET(CRONOPLE!$F$14,$M56,BO$13)="",10^12,OFFSET(CRONOPLE!$F$14,$M56,BO$13))))</f>
        <v>0</v>
      </c>
      <c r="BP56" s="215">
        <f ca="1">IF($D56&lt;&gt;"Serviço",0,IF(AND(AUTOEVENTO="Manual",$M56=1),0,IF(OFFSET(CRONOPLE!$F$14,$M56,BP$13)="",10^12,OFFSET(CRONOPLE!$F$14,$M56,BP$13))))</f>
        <v>0</v>
      </c>
      <c r="BQ56" s="215">
        <f ca="1">IF($D56&lt;&gt;"Serviço",0,IF(AND(AUTOEVENTO="Manual",$M56=1),0,IF(OFFSET(CRONOPLE!$F$14,$M56,BQ$13)="",10^12,OFFSET(CRONOPLE!$F$14,$M56,BQ$13))))</f>
        <v>0</v>
      </c>
      <c r="BR56" s="215">
        <f ca="1">IF($D56&lt;&gt;"Serviço",0,IF(AND(AUTOEVENTO="Manual",$M56=1),0,IF(OFFSET(CRONOPLE!$F$14,$M56,BR$13)="",10^12,OFFSET(CRONOPLE!$F$14,$M56,BR$13))))</f>
        <v>0</v>
      </c>
      <c r="BS56" s="215">
        <f ca="1">IF($D56&lt;&gt;"Serviço",0,IF(AND(AUTOEVENTO="Manual",$M56=1),0,IF(OFFSET(CRONOPLE!$F$14,$M56,BS$13)="",10^12,OFFSET(CRONOPLE!$F$14,$M56,BS$13))))</f>
        <v>0</v>
      </c>
      <c r="BT56" s="215">
        <f ca="1">IF($D56&lt;&gt;"Serviço",0,IF(AND(AUTOEVENTO="Manual",$M56=1),0,IF(OFFSET(CRONOPLE!$F$14,$M56,BT$13)="",10^12,OFFSET(CRONOPLE!$F$14,$M56,BT$13))))</f>
        <v>0</v>
      </c>
      <c r="BV56" s="216">
        <f ca="1">IF($D56&lt;&gt;"Serviço",0,IF(OR(AND(AUTOEVENTO="Manual",$M56=1),$M56&gt;(ROW(PLE.lastrow)-ROW(PLE.firstrow))),0,IF(OFFSET(PLE!$G$14,$M56,BV$13)="",10^12,OFFSET(PLE!$G$14,$M56,BV$13))))</f>
        <v>0</v>
      </c>
      <c r="BW56" s="216">
        <f ca="1">IF($D56&lt;&gt;"Serviço",0,IF(OR(AND(AUTOEVENTO="Manual",$M56=1),$M56&gt;(ROW(PLE.lastrow)-ROW(PLE.firstrow))),0,IF(OFFSET(PLE!$G$14,$M56,BW$13)="",10^12,OFFSET(PLE!$G$14,$M56,BW$13))))</f>
        <v>0</v>
      </c>
      <c r="BX56" s="216">
        <f ca="1">IF($D56&lt;&gt;"Serviço",0,IF(OR(AND(AUTOEVENTO="Manual",$M56=1),$M56&gt;(ROW(PLE.lastrow)-ROW(PLE.firstrow))),0,IF(OFFSET(PLE!$G$14,$M56,BX$13)="",10^12,OFFSET(PLE!$G$14,$M56,BX$13))))</f>
        <v>0</v>
      </c>
      <c r="BY56" s="216">
        <f ca="1">IF($D56&lt;&gt;"Serviço",0,IF(OR(AND(AUTOEVENTO="Manual",$M56=1),$M56&gt;(ROW(PLE.lastrow)-ROW(PLE.firstrow))),0,IF(OFFSET(PLE!$G$14,$M56,BY$13)="",10^12,OFFSET(PLE!$G$14,$M56,BY$13))))</f>
        <v>0</v>
      </c>
      <c r="BZ56" s="216">
        <f ca="1">IF($D56&lt;&gt;"Serviço",0,IF(OR(AND(AUTOEVENTO="Manual",$M56=1),$M56&gt;(ROW(PLE.lastrow)-ROW(PLE.firstrow))),0,IF(OFFSET(PLE!$G$14,$M56,BZ$13)="",10^12,OFFSET(PLE!$G$14,$M56,BZ$13))))</f>
        <v>0</v>
      </c>
      <c r="CA56" s="216">
        <f ca="1">IF($D56&lt;&gt;"Serviço",0,IF(OR(AND(AUTOEVENTO="Manual",$M56=1),$M56&gt;(ROW(PLE.lastrow)-ROW(PLE.firstrow))),0,IF(OFFSET(PLE!$G$14,$M56,CA$13)="",10^12,OFFSET(PLE!$G$14,$M56,CA$13))))</f>
        <v>0</v>
      </c>
      <c r="CB56" s="216">
        <f ca="1">IF($D56&lt;&gt;"Serviço",0,IF(OR(AND(AUTOEVENTO="Manual",$M56=1),$M56&gt;(ROW(PLE.lastrow)-ROW(PLE.firstrow))),0,IF(OFFSET(PLE!$G$14,$M56,CB$13)="",10^12,OFFSET(PLE!$G$14,$M56,CB$13))))</f>
        <v>0</v>
      </c>
      <c r="CC56" s="216">
        <f ca="1">IF($D56&lt;&gt;"Serviço",0,IF(OR(AND(AUTOEVENTO="Manual",$M56=1),$M56&gt;(ROW(PLE.lastrow)-ROW(PLE.firstrow))),0,IF(OFFSET(PLE!$G$14,$M56,CC$13)="",10^12,OFFSET(PLE!$G$14,$M56,CC$13))))</f>
        <v>0</v>
      </c>
      <c r="CD56" s="216">
        <f ca="1">IF($D56&lt;&gt;"Serviço",0,IF(OR(AND(AUTOEVENTO="Manual",$M56=1),$M56&gt;(ROW(PLE.lastrow)-ROW(PLE.firstrow))),0,IF(OFFSET(PLE!$G$14,$M56,CD$13)="",10^12,OFFSET(PLE!$G$14,$M56,CD$13))))</f>
        <v>0</v>
      </c>
      <c r="CE56" s="216">
        <f ca="1">IF($D56&lt;&gt;"Serviço",0,IF(OR(AND(AUTOEVENTO="Manual",$M56=1),$M56&gt;(ROW(PLE.lastrow)-ROW(PLE.firstrow))),0,IF(OFFSET(PLE!$G$14,$M56,CE$13)="",10^12,OFFSET(PLE!$G$14,$M56,CE$13))))</f>
        <v>0</v>
      </c>
      <c r="CF56" s="216">
        <f ca="1">IF($D56&lt;&gt;"Serviço",0,IF(OR(AND(AUTOEVENTO="Manual",$M56=1),$M56&gt;(ROW(PLE.lastrow)-ROW(PLE.firstrow))),0,IF(OFFSET(PLE!$G$14,$M56,CF$13)="",10^12,OFFSET(PLE!$G$14,$M56,CF$13))))</f>
        <v>0</v>
      </c>
      <c r="CG56" s="216">
        <f ca="1">IF($D56&lt;&gt;"Serviço",0,IF(OR(AND(AUTOEVENTO="Manual",$M56=1),$M56&gt;(ROW(PLE.lastrow)-ROW(PLE.firstrow))),0,IF(OFFSET(PLE!$G$14,$M56,CG$13)="",10^12,OFFSET(PLE!$G$14,$M56,CG$13))))</f>
        <v>0</v>
      </c>
      <c r="CH56" s="216">
        <f ca="1">IF($D56&lt;&gt;"Serviço",0,IF(OR(AND(AUTOEVENTO="Manual",$M56=1),$M56&gt;(ROW(PLE.lastrow)-ROW(PLE.firstrow))),0,IF(OFFSET(PLE!$G$14,$M56,CH$13)="",10^12,OFFSET(PLE!$G$14,$M56,CH$13))))</f>
        <v>0</v>
      </c>
      <c r="CI56" s="216">
        <f ca="1">IF($D56&lt;&gt;"Serviço",0,IF(OR(AND(AUTOEVENTO="Manual",$M56=1),$M56&gt;(ROW(PLE.lastrow)-ROW(PLE.firstrow))),0,IF(OFFSET(PLE!$G$14,$M56,CI$13)="",10^12,OFFSET(PLE!$G$14,$M56,CI$13))))</f>
        <v>0</v>
      </c>
      <c r="CJ56" s="216">
        <f ca="1">IF($D56&lt;&gt;"Serviço",0,IF(OR(AND(AUTOEVENTO="Manual",$M56=1),$M56&gt;(ROW(PLE.lastrow)-ROW(PLE.firstrow))),0,IF(OFFSET(PLE!$G$14,$M56,CJ$13)="",10^12,OFFSET(PLE!$G$14,$M56,CJ$13))))</f>
        <v>0</v>
      </c>
      <c r="CK56" s="216">
        <f ca="1">IF($D56&lt;&gt;"Serviço",0,IF(OR(AND(AUTOEVENTO="Manual",$M56=1),$M56&gt;(ROW(PLE.lastrow)-ROW(PLE.firstrow))),0,IF(OFFSET(PLE!$G$14,$M56,CK$13)="",10^12,OFFSET(PLE!$G$14,$M56,CK$13))))</f>
        <v>0</v>
      </c>
      <c r="CL56" s="216">
        <f ca="1">IF($D56&lt;&gt;"Serviço",0,IF(OR(AND(AUTOEVENTO="Manual",$M56=1),$M56&gt;(ROW(PLE.lastrow)-ROW(PLE.firstrow))),0,IF(OFFSET(PLE!$G$14,$M56,CL$13)="",10^12,OFFSET(PLE!$G$14,$M56,CL$13))))</f>
        <v>0</v>
      </c>
      <c r="CM56" s="216">
        <f ca="1">IF($D56&lt;&gt;"Serviço",0,IF(OR(AND(AUTOEVENTO="Manual",$M56=1),$M56&gt;(ROW(PLE.lastrow)-ROW(PLE.firstrow))),0,IF(OFFSET(PLE!$G$14,$M56,CM$13)="",10^12,OFFSET(PLE!$G$14,$M56,CM$13))))</f>
        <v>0</v>
      </c>
    </row>
    <row r="57" spans="1:91" ht="13.2" x14ac:dyDescent="0.25">
      <c r="A57" s="9">
        <f t="shared" ca="1" si="9"/>
        <v>0</v>
      </c>
      <c r="B57" s="9" t="str">
        <f ca="1">OFFSET(ORÇAMENTO!C$15,ROW(B57)-ROW(B$15),0)</f>
        <v>S</v>
      </c>
      <c r="C57" s="9" t="str">
        <f ca="1">OFFSET(ORÇAMENTO!L$15,ROW(C57)-ROW(C$15),0)</f>
        <v/>
      </c>
      <c r="D57" s="145" t="str">
        <f ca="1">OFFSET(ORÇAMENTO!N$15,ROW(D57)-ROW(D$15),0)</f>
        <v>Serviço</v>
      </c>
      <c r="E57" s="205" t="str">
        <f ca="1">OFFSET(ORÇAMENTO!O$15,ROW(E57)-ROW(E$15),0)</f>
        <v>-</v>
      </c>
      <c r="F57" s="206" t="str">
        <f ca="1">OFFSET(ORÇAMENTO!R$15,ROW(F57)-ROW(F$15),0)</f>
        <v>(abra o arquivo 'Referência 05-2024.xls)</v>
      </c>
      <c r="G57" s="207" t="str">
        <f ca="1">IF($D57&lt;&gt;"Serviço","",OFFSET(ORÇAMENTO!S$15,ROW(G57)-ROW(G$15),0))</f>
        <v>-</v>
      </c>
      <c r="H57" s="151">
        <f ca="1">IF($D57&lt;&gt;"Serviço",0,IF(ACOMPANHAMENTO="BM",ROUND(OFFSET(ORÇAMENTO!AJ$15,ROW(H57)-ROW(H$15),0),15-13*ORÇAMENTO!$AF$7),SUMPRODUCT(($Q$12:$AI$12&lt;&gt;"")*ROUND($Q57:$AI57,15-13*ORÇAMENTO!$AF$7))))</f>
        <v>161.96</v>
      </c>
      <c r="I57" s="650"/>
      <c r="K57" s="208"/>
      <c r="L57" s="209" t="s">
        <v>257</v>
      </c>
      <c r="M57" s="210">
        <f ca="1">IF($D57&lt;&gt;"Serviço","",IF(AUTOEVENTO="manual",$A57,IF(ISERROR(MATCH($A57,$A$15:OFFSET($A57,-1,0),0)),MAX($M$15:OFFSET(M57,-1,0))+1,INDEX($M$15:OFFSET(M57,-1,0),MATCH($A57,$A$15:OFFSET($A57,-1,0),0)))))</f>
        <v>0</v>
      </c>
      <c r="N57" s="211" t="str">
        <f ca="1">IF($D57&lt;&gt;"Serviço","",IF(AUTOEVENTO="Manual",IF($A57=0,"&lt;-- defina o número do agrupador",OFFSET(EVENTOS!$D$14,$A57,0)),OFFSET($F$15,$A57,0)))</f>
        <v>&lt;-- defina o número do agrupador</v>
      </c>
      <c r="O57" s="212"/>
      <c r="Q57" s="212"/>
      <c r="R57" s="213"/>
      <c r="S57" s="213"/>
      <c r="T57" s="213"/>
      <c r="U57" s="213"/>
      <c r="V57" s="213"/>
      <c r="W57" s="213"/>
      <c r="X57" s="213"/>
      <c r="Y57" s="213"/>
      <c r="Z57" s="214"/>
      <c r="AA57" s="213"/>
      <c r="AB57" s="213"/>
      <c r="AC57" s="213"/>
      <c r="AD57" s="213"/>
      <c r="AE57" s="213"/>
      <c r="AF57" s="213"/>
      <c r="AG57" s="213"/>
      <c r="AH57" s="214"/>
      <c r="AJ57" s="631">
        <f ca="1">IF(AND($D57="Serviço",AJ$12&lt;&gt;0,$H57&gt;0,OR(AUTOEVENTO&lt;&gt;"manual",$M57&lt;&gt;1)),ROUND(OFFSET($P57,0,AJ$13),15-13*ORÇAMENTO!$AF$7)/$H57*OFFSET(ORÇAMENTO!$X$15,ROW(AJ57)-ROW(AJ$15),0),0)</f>
        <v>0</v>
      </c>
      <c r="AK57" s="632">
        <f ca="1">IF(AND($D57="Serviço",AK$12&lt;&gt;0,$H57&gt;0,OR(AUTOEVENTO&lt;&gt;"manual",$M57&lt;&gt;1)),ROUND(OFFSET($P57,0,AK$13),15-13*ORÇAMENTO!$AF$7)/$H57*OFFSET(ORÇAMENTO!$X$15,ROW(AK57)-ROW(AK$15),0),0)</f>
        <v>0</v>
      </c>
      <c r="AL57" s="632">
        <f ca="1">IF(AND($D57="Serviço",AL$12&lt;&gt;0,$H57&gt;0,OR(AUTOEVENTO&lt;&gt;"manual",$M57&lt;&gt;1)),ROUND(OFFSET($P57,0,AL$13),15-13*ORÇAMENTO!$AF$7)/$H57*OFFSET(ORÇAMENTO!$X$15,ROW(AL57)-ROW(AL$15),0),0)</f>
        <v>0</v>
      </c>
      <c r="AM57" s="632">
        <f ca="1">IF(AND($D57="Serviço",AM$12&lt;&gt;0,$H57&gt;0,OR(AUTOEVENTO&lt;&gt;"manual",$M57&lt;&gt;1)),ROUND(OFFSET($P57,0,AM$13),15-13*ORÇAMENTO!$AF$7)/$H57*OFFSET(ORÇAMENTO!$X$15,ROW(AM57)-ROW(AM$15),0),0)</f>
        <v>0</v>
      </c>
      <c r="AN57" s="632">
        <f ca="1">IF(AND($D57="Serviço",AN$12&lt;&gt;0,$H57&gt;0,OR(AUTOEVENTO&lt;&gt;"manual",$M57&lt;&gt;1)),ROUND(OFFSET($P57,0,AN$13),15-13*ORÇAMENTO!$AF$7)/$H57*OFFSET(ORÇAMENTO!$X$15,ROW(AN57)-ROW(AN$15),0),0)</f>
        <v>0</v>
      </c>
      <c r="AO57" s="632">
        <f ca="1">IF(AND($D57="Serviço",AO$12&lt;&gt;0,$H57&gt;0,OR(AUTOEVENTO&lt;&gt;"manual",$M57&lt;&gt;1)),ROUND(OFFSET($P57,0,AO$13),15-13*ORÇAMENTO!$AF$7)/$H57*OFFSET(ORÇAMENTO!$X$15,ROW(AO57)-ROW(AO$15),0),0)</f>
        <v>0</v>
      </c>
      <c r="AP57" s="632">
        <f ca="1">IF(AND($D57="Serviço",AP$12&lt;&gt;0,$H57&gt;0,OR(AUTOEVENTO&lt;&gt;"manual",$M57&lt;&gt;1)),ROUND(OFFSET($P57,0,AP$13),15-13*ORÇAMENTO!$AF$7)/$H57*OFFSET(ORÇAMENTO!$X$15,ROW(AP57)-ROW(AP$15),0),0)</f>
        <v>0</v>
      </c>
      <c r="AQ57" s="632">
        <f ca="1">IF(AND($D57="Serviço",AQ$12&lt;&gt;0,$H57&gt;0,OR(AUTOEVENTO&lt;&gt;"manual",$M57&lt;&gt;1)),ROUND(OFFSET($P57,0,AQ$13),15-13*ORÇAMENTO!$AF$7)/$H57*OFFSET(ORÇAMENTO!$X$15,ROW(AQ57)-ROW(AQ$15),0),0)</f>
        <v>0</v>
      </c>
      <c r="AR57" s="632">
        <f ca="1">IF(AND($D57="Serviço",AR$12&lt;&gt;0,$H57&gt;0,OR(AUTOEVENTO&lt;&gt;"manual",$M57&lt;&gt;1)),ROUND(OFFSET($P57,0,AR$13),15-13*ORÇAMENTO!$AF$7)/$H57*OFFSET(ORÇAMENTO!$X$15,ROW(AR57)-ROW(AR$15),0),0)</f>
        <v>0</v>
      </c>
      <c r="AS57" s="633">
        <f ca="1">IF(AND($D57="Serviço",AS$12&lt;&gt;0,$H57&gt;0,OR(AUTOEVENTO&lt;&gt;"manual",$M57&lt;&gt;1)),ROUND(OFFSET($P57,0,AS$13),15-13*ORÇAMENTO!$AF$7)/$H57*OFFSET(ORÇAMENTO!$X$15,ROW(AS57)-ROW(AS$15),0),0)</f>
        <v>0</v>
      </c>
      <c r="AT57" s="632">
        <f ca="1">IF(AND($D57="Serviço",AT$12&lt;&gt;0,$H57&gt;0,OR(AUTOEVENTO&lt;&gt;"manual",$M57&lt;&gt;1)),ROUND(OFFSET($P57,0,AT$13),15-13*ORÇAMENTO!$AF$7)/$H57*OFFSET(ORÇAMENTO!$X$15,ROW(AT57)-ROW(AT$15),0),0)</f>
        <v>0</v>
      </c>
      <c r="AU57" s="632">
        <f ca="1">IF(AND($D57="Serviço",AU$12&lt;&gt;0,$H57&gt;0,OR(AUTOEVENTO&lt;&gt;"manual",$M57&lt;&gt;1)),ROUND(OFFSET($P57,0,AU$13),15-13*ORÇAMENTO!$AF$7)/$H57*OFFSET(ORÇAMENTO!$X$15,ROW(AU57)-ROW(AU$15),0),0)</f>
        <v>0</v>
      </c>
      <c r="AV57" s="632">
        <f ca="1">IF(AND($D57="Serviço",AV$12&lt;&gt;0,$H57&gt;0,OR(AUTOEVENTO&lt;&gt;"manual",$M57&lt;&gt;1)),ROUND(OFFSET($P57,0,AV$13),15-13*ORÇAMENTO!$AF$7)/$H57*OFFSET(ORÇAMENTO!$X$15,ROW(AV57)-ROW(AV$15),0),0)</f>
        <v>0</v>
      </c>
      <c r="AW57" s="632">
        <f ca="1">IF(AND($D57="Serviço",AW$12&lt;&gt;0,$H57&gt;0,OR(AUTOEVENTO&lt;&gt;"manual",$M57&lt;&gt;1)),ROUND(OFFSET($P57,0,AW$13),15-13*ORÇAMENTO!$AF$7)/$H57*OFFSET(ORÇAMENTO!$X$15,ROW(AW57)-ROW(AW$15),0),0)</f>
        <v>0</v>
      </c>
      <c r="AX57" s="632">
        <f ca="1">IF(AND($D57="Serviço",AX$12&lt;&gt;0,$H57&gt;0,OR(AUTOEVENTO&lt;&gt;"manual",$M57&lt;&gt;1)),ROUND(OFFSET($P57,0,AX$13),15-13*ORÇAMENTO!$AF$7)/$H57*OFFSET(ORÇAMENTO!$X$15,ROW(AX57)-ROW(AX$15),0),0)</f>
        <v>0</v>
      </c>
      <c r="AY57" s="632">
        <f ca="1">IF(AND($D57="Serviço",AY$12&lt;&gt;0,$H57&gt;0,OR(AUTOEVENTO&lt;&gt;"manual",$M57&lt;&gt;1)),ROUND(OFFSET($P57,0,AY$13),15-13*ORÇAMENTO!$AF$7)/$H57*OFFSET(ORÇAMENTO!$X$15,ROW(AY57)-ROW(AY$15),0),0)</f>
        <v>0</v>
      </c>
      <c r="AZ57" s="632">
        <f ca="1">IF(AND($D57="Serviço",AZ$12&lt;&gt;0,$H57&gt;0,OR(AUTOEVENTO&lt;&gt;"manual",$M57&lt;&gt;1)),ROUND(OFFSET($P57,0,AZ$13),15-13*ORÇAMENTO!$AF$7)/$H57*OFFSET(ORÇAMENTO!$X$15,ROW(AZ57)-ROW(AZ$15),0),0)</f>
        <v>0</v>
      </c>
      <c r="BA57" s="633">
        <f ca="1">IF(AND($D57="Serviço",BA$12&lt;&gt;0,$H57&gt;0,OR(AUTOEVENTO&lt;&gt;"manual",$M57&lt;&gt;1)),ROUND(OFFSET($P57,0,BA$13),15-13*ORÇAMENTO!$AF$7)/$H57*OFFSET(ORÇAMENTO!$X$15,ROW(BA57)-ROW(BA$15),0),0)</f>
        <v>0</v>
      </c>
      <c r="BC57" s="215">
        <f ca="1">IF($D57&lt;&gt;"Serviço",0,IF(AND(AUTOEVENTO="Manual",$M57=1),0,IF(OFFSET(CRONOPLE!$F$14,$M57,BC$13)="",10^12,OFFSET(CRONOPLE!$F$14,$M57,BC$13))))</f>
        <v>1000000000000</v>
      </c>
      <c r="BD57" s="215">
        <f ca="1">IF($D57&lt;&gt;"Serviço",0,IF(AND(AUTOEVENTO="Manual",$M57=1),0,IF(OFFSET(CRONOPLE!$F$14,$M57,BD$13)="",10^12,OFFSET(CRONOPLE!$F$14,$M57,BD$13))))</f>
        <v>1000000000000</v>
      </c>
      <c r="BE57" s="215">
        <f ca="1">IF($D57&lt;&gt;"Serviço",0,IF(AND(AUTOEVENTO="Manual",$M57=1),0,IF(OFFSET(CRONOPLE!$F$14,$M57,BE$13)="",10^12,OFFSET(CRONOPLE!$F$14,$M57,BE$13))))</f>
        <v>1000000000000</v>
      </c>
      <c r="BF57" s="215">
        <f ca="1">IF($D57&lt;&gt;"Serviço",0,IF(AND(AUTOEVENTO="Manual",$M57=1),0,IF(OFFSET(CRONOPLE!$F$14,$M57,BF$13)="",10^12,OFFSET(CRONOPLE!$F$14,$M57,BF$13))))</f>
        <v>1000000000000</v>
      </c>
      <c r="BG57" s="215">
        <f ca="1">IF($D57&lt;&gt;"Serviço",0,IF(AND(AUTOEVENTO="Manual",$M57=1),0,IF(OFFSET(CRONOPLE!$F$14,$M57,BG$13)="",10^12,OFFSET(CRONOPLE!$F$14,$M57,BG$13))))</f>
        <v>1000000000000</v>
      </c>
      <c r="BH57" s="215">
        <f ca="1">IF($D57&lt;&gt;"Serviço",0,IF(AND(AUTOEVENTO="Manual",$M57=1),0,IF(OFFSET(CRONOPLE!$F$14,$M57,BH$13)="",10^12,OFFSET(CRONOPLE!$F$14,$M57,BH$13))))</f>
        <v>1000000000000</v>
      </c>
      <c r="BI57" s="215">
        <f ca="1">IF($D57&lt;&gt;"Serviço",0,IF(AND(AUTOEVENTO="Manual",$M57=1),0,IF(OFFSET(CRONOPLE!$F$14,$M57,BI$13)="",10^12,OFFSET(CRONOPLE!$F$14,$M57,BI$13))))</f>
        <v>1000000000000</v>
      </c>
      <c r="BJ57" s="215">
        <f ca="1">IF($D57&lt;&gt;"Serviço",0,IF(AND(AUTOEVENTO="Manual",$M57=1),0,IF(OFFSET(CRONOPLE!$F$14,$M57,BJ$13)="",10^12,OFFSET(CRONOPLE!$F$14,$M57,BJ$13))))</f>
        <v>1000000000000</v>
      </c>
      <c r="BK57" s="215">
        <f ca="1">IF($D57&lt;&gt;"Serviço",0,IF(AND(AUTOEVENTO="Manual",$M57=1),0,IF(OFFSET(CRONOPLE!$F$14,$M57,BK$13)="",10^12,OFFSET(CRONOPLE!$F$14,$M57,BK$13))))</f>
        <v>1000000000000</v>
      </c>
      <c r="BL57" s="215">
        <f ca="1">IF($D57&lt;&gt;"Serviço",0,IF(AND(AUTOEVENTO="Manual",$M57=1),0,IF(OFFSET(CRONOPLE!$F$14,$M57,BL$13)="",10^12,OFFSET(CRONOPLE!$F$14,$M57,BL$13))))</f>
        <v>1000000000000</v>
      </c>
      <c r="BM57" s="215">
        <f ca="1">IF($D57&lt;&gt;"Serviço",0,IF(AND(AUTOEVENTO="Manual",$M57=1),0,IF(OFFSET(CRONOPLE!$F$14,$M57,BM$13)="",10^12,OFFSET(CRONOPLE!$F$14,$M57,BM$13))))</f>
        <v>1000000000000</v>
      </c>
      <c r="BN57" s="215">
        <f ca="1">IF($D57&lt;&gt;"Serviço",0,IF(AND(AUTOEVENTO="Manual",$M57=1),0,IF(OFFSET(CRONOPLE!$F$14,$M57,BN$13)="",10^12,OFFSET(CRONOPLE!$F$14,$M57,BN$13))))</f>
        <v>1000000000000</v>
      </c>
      <c r="BO57" s="215">
        <f ca="1">IF($D57&lt;&gt;"Serviço",0,IF(AND(AUTOEVENTO="Manual",$M57=1),0,IF(OFFSET(CRONOPLE!$F$14,$M57,BO$13)="",10^12,OFFSET(CRONOPLE!$F$14,$M57,BO$13))))</f>
        <v>1000000000000</v>
      </c>
      <c r="BP57" s="215">
        <f ca="1">IF($D57&lt;&gt;"Serviço",0,IF(AND(AUTOEVENTO="Manual",$M57=1),0,IF(OFFSET(CRONOPLE!$F$14,$M57,BP$13)="",10^12,OFFSET(CRONOPLE!$F$14,$M57,BP$13))))</f>
        <v>1000000000000</v>
      </c>
      <c r="BQ57" s="215">
        <f ca="1">IF($D57&lt;&gt;"Serviço",0,IF(AND(AUTOEVENTO="Manual",$M57=1),0,IF(OFFSET(CRONOPLE!$F$14,$M57,BQ$13)="",10^12,OFFSET(CRONOPLE!$F$14,$M57,BQ$13))))</f>
        <v>1000000000000</v>
      </c>
      <c r="BR57" s="215">
        <f ca="1">IF($D57&lt;&gt;"Serviço",0,IF(AND(AUTOEVENTO="Manual",$M57=1),0,IF(OFFSET(CRONOPLE!$F$14,$M57,BR$13)="",10^12,OFFSET(CRONOPLE!$F$14,$M57,BR$13))))</f>
        <v>1000000000000</v>
      </c>
      <c r="BS57" s="215">
        <f ca="1">IF($D57&lt;&gt;"Serviço",0,IF(AND(AUTOEVENTO="Manual",$M57=1),0,IF(OFFSET(CRONOPLE!$F$14,$M57,BS$13)="",10^12,OFFSET(CRONOPLE!$F$14,$M57,BS$13))))</f>
        <v>1000000000000</v>
      </c>
      <c r="BT57" s="215">
        <f ca="1">IF($D57&lt;&gt;"Serviço",0,IF(AND(AUTOEVENTO="Manual",$M57=1),0,IF(OFFSET(CRONOPLE!$F$14,$M57,BT$13)="",10^12,OFFSET(CRONOPLE!$F$14,$M57,BT$13))))</f>
        <v>1000000000000</v>
      </c>
      <c r="BV57" s="216">
        <f ca="1">IF($D57&lt;&gt;"Serviço",0,IF(OR(AND(AUTOEVENTO="Manual",$M57=1),$M57&gt;(ROW(PLE.lastrow)-ROW(PLE.firstrow))),0,IF(OFFSET(PLE!$G$14,$M57,BV$13)="",10^12,OFFSET(PLE!$G$14,$M57,BV$13))))</f>
        <v>1000000000000</v>
      </c>
      <c r="BW57" s="216">
        <f ca="1">IF($D57&lt;&gt;"Serviço",0,IF(OR(AND(AUTOEVENTO="Manual",$M57=1),$M57&gt;(ROW(PLE.lastrow)-ROW(PLE.firstrow))),0,IF(OFFSET(PLE!$G$14,$M57,BW$13)="",10^12,OFFSET(PLE!$G$14,$M57,BW$13))))</f>
        <v>1000000000000</v>
      </c>
      <c r="BX57" s="216">
        <f ca="1">IF($D57&lt;&gt;"Serviço",0,IF(OR(AND(AUTOEVENTO="Manual",$M57=1),$M57&gt;(ROW(PLE.lastrow)-ROW(PLE.firstrow))),0,IF(OFFSET(PLE!$G$14,$M57,BX$13)="",10^12,OFFSET(PLE!$G$14,$M57,BX$13))))</f>
        <v>1000000000000</v>
      </c>
      <c r="BY57" s="216">
        <f ca="1">IF($D57&lt;&gt;"Serviço",0,IF(OR(AND(AUTOEVENTO="Manual",$M57=1),$M57&gt;(ROW(PLE.lastrow)-ROW(PLE.firstrow))),0,IF(OFFSET(PLE!$G$14,$M57,BY$13)="",10^12,OFFSET(PLE!$G$14,$M57,BY$13))))</f>
        <v>1000000000000</v>
      </c>
      <c r="BZ57" s="216">
        <f ca="1">IF($D57&lt;&gt;"Serviço",0,IF(OR(AND(AUTOEVENTO="Manual",$M57=1),$M57&gt;(ROW(PLE.lastrow)-ROW(PLE.firstrow))),0,IF(OFFSET(PLE!$G$14,$M57,BZ$13)="",10^12,OFFSET(PLE!$G$14,$M57,BZ$13))))</f>
        <v>1000000000000</v>
      </c>
      <c r="CA57" s="216">
        <f ca="1">IF($D57&lt;&gt;"Serviço",0,IF(OR(AND(AUTOEVENTO="Manual",$M57=1),$M57&gt;(ROW(PLE.lastrow)-ROW(PLE.firstrow))),0,IF(OFFSET(PLE!$G$14,$M57,CA$13)="",10^12,OFFSET(PLE!$G$14,$M57,CA$13))))</f>
        <v>1000000000000</v>
      </c>
      <c r="CB57" s="216">
        <f ca="1">IF($D57&lt;&gt;"Serviço",0,IF(OR(AND(AUTOEVENTO="Manual",$M57=1),$M57&gt;(ROW(PLE.lastrow)-ROW(PLE.firstrow))),0,IF(OFFSET(PLE!$G$14,$M57,CB$13)="",10^12,OFFSET(PLE!$G$14,$M57,CB$13))))</f>
        <v>1000000000000</v>
      </c>
      <c r="CC57" s="216">
        <f ca="1">IF($D57&lt;&gt;"Serviço",0,IF(OR(AND(AUTOEVENTO="Manual",$M57=1),$M57&gt;(ROW(PLE.lastrow)-ROW(PLE.firstrow))),0,IF(OFFSET(PLE!$G$14,$M57,CC$13)="",10^12,OFFSET(PLE!$G$14,$M57,CC$13))))</f>
        <v>1000000000000</v>
      </c>
      <c r="CD57" s="216">
        <f ca="1">IF($D57&lt;&gt;"Serviço",0,IF(OR(AND(AUTOEVENTO="Manual",$M57=1),$M57&gt;(ROW(PLE.lastrow)-ROW(PLE.firstrow))),0,IF(OFFSET(PLE!$G$14,$M57,CD$13)="",10^12,OFFSET(PLE!$G$14,$M57,CD$13))))</f>
        <v>1000000000000</v>
      </c>
      <c r="CE57" s="216">
        <f ca="1">IF($D57&lt;&gt;"Serviço",0,IF(OR(AND(AUTOEVENTO="Manual",$M57=1),$M57&gt;(ROW(PLE.lastrow)-ROW(PLE.firstrow))),0,IF(OFFSET(PLE!$G$14,$M57,CE$13)="",10^12,OFFSET(PLE!$G$14,$M57,CE$13))))</f>
        <v>1000000000000</v>
      </c>
      <c r="CF57" s="216">
        <f ca="1">IF($D57&lt;&gt;"Serviço",0,IF(OR(AND(AUTOEVENTO="Manual",$M57=1),$M57&gt;(ROW(PLE.lastrow)-ROW(PLE.firstrow))),0,IF(OFFSET(PLE!$G$14,$M57,CF$13)="",10^12,OFFSET(PLE!$G$14,$M57,CF$13))))</f>
        <v>1000000000000</v>
      </c>
      <c r="CG57" s="216">
        <f ca="1">IF($D57&lt;&gt;"Serviço",0,IF(OR(AND(AUTOEVENTO="Manual",$M57=1),$M57&gt;(ROW(PLE.lastrow)-ROW(PLE.firstrow))),0,IF(OFFSET(PLE!$G$14,$M57,CG$13)="",10^12,OFFSET(PLE!$G$14,$M57,CG$13))))</f>
        <v>1000000000000</v>
      </c>
      <c r="CH57" s="216">
        <f ca="1">IF($D57&lt;&gt;"Serviço",0,IF(OR(AND(AUTOEVENTO="Manual",$M57=1),$M57&gt;(ROW(PLE.lastrow)-ROW(PLE.firstrow))),0,IF(OFFSET(PLE!$G$14,$M57,CH$13)="",10^12,OFFSET(PLE!$G$14,$M57,CH$13))))</f>
        <v>1000000000000</v>
      </c>
      <c r="CI57" s="216">
        <f ca="1">IF($D57&lt;&gt;"Serviço",0,IF(OR(AND(AUTOEVENTO="Manual",$M57=1),$M57&gt;(ROW(PLE.lastrow)-ROW(PLE.firstrow))),0,IF(OFFSET(PLE!$G$14,$M57,CI$13)="",10^12,OFFSET(PLE!$G$14,$M57,CI$13))))</f>
        <v>1000000000000</v>
      </c>
      <c r="CJ57" s="216">
        <f ca="1">IF($D57&lt;&gt;"Serviço",0,IF(OR(AND(AUTOEVENTO="Manual",$M57=1),$M57&gt;(ROW(PLE.lastrow)-ROW(PLE.firstrow))),0,IF(OFFSET(PLE!$G$14,$M57,CJ$13)="",10^12,OFFSET(PLE!$G$14,$M57,CJ$13))))</f>
        <v>1000000000000</v>
      </c>
      <c r="CK57" s="216">
        <f ca="1">IF($D57&lt;&gt;"Serviço",0,IF(OR(AND(AUTOEVENTO="Manual",$M57=1),$M57&gt;(ROW(PLE.lastrow)-ROW(PLE.firstrow))),0,IF(OFFSET(PLE!$G$14,$M57,CK$13)="",10^12,OFFSET(PLE!$G$14,$M57,CK$13))))</f>
        <v>1000000000000</v>
      </c>
      <c r="CL57" s="216">
        <f ca="1">IF($D57&lt;&gt;"Serviço",0,IF(OR(AND(AUTOEVENTO="Manual",$M57=1),$M57&gt;(ROW(PLE.lastrow)-ROW(PLE.firstrow))),0,IF(OFFSET(PLE!$G$14,$M57,CL$13)="",10^12,OFFSET(PLE!$G$14,$M57,CL$13))))</f>
        <v>1000000000000</v>
      </c>
      <c r="CM57" s="216">
        <f ca="1">IF($D57&lt;&gt;"Serviço",0,IF(OR(AND(AUTOEVENTO="Manual",$M57=1),$M57&gt;(ROW(PLE.lastrow)-ROW(PLE.firstrow))),0,IF(OFFSET(PLE!$G$14,$M57,CM$13)="",10^12,OFFSET(PLE!$G$14,$M57,CM$13))))</f>
        <v>1000000000000</v>
      </c>
    </row>
    <row r="58" spans="1:91" ht="13.2" x14ac:dyDescent="0.25">
      <c r="A58" s="9">
        <f t="shared" ca="1" si="9"/>
        <v>0</v>
      </c>
      <c r="B58" s="9" t="str">
        <f ca="1">OFFSET(ORÇAMENTO!C$15,ROW(B58)-ROW(B$15),0)</f>
        <v>S</v>
      </c>
      <c r="C58" s="9" t="str">
        <f ca="1">OFFSET(ORÇAMENTO!L$15,ROW(C58)-ROW(C$15),0)</f>
        <v/>
      </c>
      <c r="D58" s="145" t="str">
        <f ca="1">OFFSET(ORÇAMENTO!N$15,ROW(D58)-ROW(D$15),0)</f>
        <v>Serviço</v>
      </c>
      <c r="E58" s="205" t="str">
        <f ca="1">OFFSET(ORÇAMENTO!O$15,ROW(E58)-ROW(E$15),0)</f>
        <v>-</v>
      </c>
      <c r="F58" s="206" t="str">
        <f ca="1">OFFSET(ORÇAMENTO!R$15,ROW(F58)-ROW(F$15),0)</f>
        <v>(abra o arquivo 'Referência 05-2024.xls)</v>
      </c>
      <c r="G58" s="207" t="str">
        <f ca="1">IF($D58&lt;&gt;"Serviço","",OFFSET(ORÇAMENTO!S$15,ROW(G58)-ROW(G$15),0))</f>
        <v>-</v>
      </c>
      <c r="H58" s="151">
        <f ca="1">IF($D58&lt;&gt;"Serviço",0,IF(ACOMPANHAMENTO="BM",ROUND(OFFSET(ORÇAMENTO!AJ$15,ROW(H58)-ROW(H$15),0),15-13*ORÇAMENTO!$AF$7),SUMPRODUCT(($Q$12:$AI$12&lt;&gt;"")*ROUND($Q58:$AI58,15-13*ORÇAMENTO!$AF$7))))</f>
        <v>80.209999999999994</v>
      </c>
      <c r="I58" s="650"/>
      <c r="K58" s="208"/>
      <c r="L58" s="209" t="s">
        <v>257</v>
      </c>
      <c r="M58" s="210">
        <f ca="1">IF($D58&lt;&gt;"Serviço","",IF(AUTOEVENTO="manual",$A58,IF(ISERROR(MATCH($A58,$A$15:OFFSET($A58,-1,0),0)),MAX($M$15:OFFSET(M58,-1,0))+1,INDEX($M$15:OFFSET(M58,-1,0),MATCH($A58,$A$15:OFFSET($A58,-1,0),0)))))</f>
        <v>0</v>
      </c>
      <c r="N58" s="211" t="str">
        <f ca="1">IF($D58&lt;&gt;"Serviço","",IF(AUTOEVENTO="Manual",IF($A58=0,"&lt;-- defina o número do agrupador",OFFSET(EVENTOS!$D$14,$A58,0)),OFFSET($F$15,$A58,0)))</f>
        <v>&lt;-- defina o número do agrupador</v>
      </c>
      <c r="O58" s="212"/>
      <c r="Q58" s="212"/>
      <c r="R58" s="213"/>
      <c r="S58" s="213"/>
      <c r="T58" s="213"/>
      <c r="U58" s="213"/>
      <c r="V58" s="213"/>
      <c r="W58" s="213"/>
      <c r="X58" s="213"/>
      <c r="Y58" s="213"/>
      <c r="Z58" s="214"/>
      <c r="AA58" s="213"/>
      <c r="AB58" s="213"/>
      <c r="AC58" s="213"/>
      <c r="AD58" s="213"/>
      <c r="AE58" s="213"/>
      <c r="AF58" s="213"/>
      <c r="AG58" s="213"/>
      <c r="AH58" s="214"/>
      <c r="AJ58" s="631">
        <f ca="1">IF(AND($D58="Serviço",AJ$12&lt;&gt;0,$H58&gt;0,OR(AUTOEVENTO&lt;&gt;"manual",$M58&lt;&gt;1)),ROUND(OFFSET($P58,0,AJ$13),15-13*ORÇAMENTO!$AF$7)/$H58*OFFSET(ORÇAMENTO!$X$15,ROW(AJ58)-ROW(AJ$15),0),0)</f>
        <v>0</v>
      </c>
      <c r="AK58" s="632">
        <f ca="1">IF(AND($D58="Serviço",AK$12&lt;&gt;0,$H58&gt;0,OR(AUTOEVENTO&lt;&gt;"manual",$M58&lt;&gt;1)),ROUND(OFFSET($P58,0,AK$13),15-13*ORÇAMENTO!$AF$7)/$H58*OFFSET(ORÇAMENTO!$X$15,ROW(AK58)-ROW(AK$15),0),0)</f>
        <v>0</v>
      </c>
      <c r="AL58" s="632">
        <f ca="1">IF(AND($D58="Serviço",AL$12&lt;&gt;0,$H58&gt;0,OR(AUTOEVENTO&lt;&gt;"manual",$M58&lt;&gt;1)),ROUND(OFFSET($P58,0,AL$13),15-13*ORÇAMENTO!$AF$7)/$H58*OFFSET(ORÇAMENTO!$X$15,ROW(AL58)-ROW(AL$15),0),0)</f>
        <v>0</v>
      </c>
      <c r="AM58" s="632">
        <f ca="1">IF(AND($D58="Serviço",AM$12&lt;&gt;0,$H58&gt;0,OR(AUTOEVENTO&lt;&gt;"manual",$M58&lt;&gt;1)),ROUND(OFFSET($P58,0,AM$13),15-13*ORÇAMENTO!$AF$7)/$H58*OFFSET(ORÇAMENTO!$X$15,ROW(AM58)-ROW(AM$15),0),0)</f>
        <v>0</v>
      </c>
      <c r="AN58" s="632">
        <f ca="1">IF(AND($D58="Serviço",AN$12&lt;&gt;0,$H58&gt;0,OR(AUTOEVENTO&lt;&gt;"manual",$M58&lt;&gt;1)),ROUND(OFFSET($P58,0,AN$13),15-13*ORÇAMENTO!$AF$7)/$H58*OFFSET(ORÇAMENTO!$X$15,ROW(AN58)-ROW(AN$15),0),0)</f>
        <v>0</v>
      </c>
      <c r="AO58" s="632">
        <f ca="1">IF(AND($D58="Serviço",AO$12&lt;&gt;0,$H58&gt;0,OR(AUTOEVENTO&lt;&gt;"manual",$M58&lt;&gt;1)),ROUND(OFFSET($P58,0,AO$13),15-13*ORÇAMENTO!$AF$7)/$H58*OFFSET(ORÇAMENTO!$X$15,ROW(AO58)-ROW(AO$15),0),0)</f>
        <v>0</v>
      </c>
      <c r="AP58" s="632">
        <f ca="1">IF(AND($D58="Serviço",AP$12&lt;&gt;0,$H58&gt;0,OR(AUTOEVENTO&lt;&gt;"manual",$M58&lt;&gt;1)),ROUND(OFFSET($P58,0,AP$13),15-13*ORÇAMENTO!$AF$7)/$H58*OFFSET(ORÇAMENTO!$X$15,ROW(AP58)-ROW(AP$15),0),0)</f>
        <v>0</v>
      </c>
      <c r="AQ58" s="632">
        <f ca="1">IF(AND($D58="Serviço",AQ$12&lt;&gt;0,$H58&gt;0,OR(AUTOEVENTO&lt;&gt;"manual",$M58&lt;&gt;1)),ROUND(OFFSET($P58,0,AQ$13),15-13*ORÇAMENTO!$AF$7)/$H58*OFFSET(ORÇAMENTO!$X$15,ROW(AQ58)-ROW(AQ$15),0),0)</f>
        <v>0</v>
      </c>
      <c r="AR58" s="632">
        <f ca="1">IF(AND($D58="Serviço",AR$12&lt;&gt;0,$H58&gt;0,OR(AUTOEVENTO&lt;&gt;"manual",$M58&lt;&gt;1)),ROUND(OFFSET($P58,0,AR$13),15-13*ORÇAMENTO!$AF$7)/$H58*OFFSET(ORÇAMENTO!$X$15,ROW(AR58)-ROW(AR$15),0),0)</f>
        <v>0</v>
      </c>
      <c r="AS58" s="633">
        <f ca="1">IF(AND($D58="Serviço",AS$12&lt;&gt;0,$H58&gt;0,OR(AUTOEVENTO&lt;&gt;"manual",$M58&lt;&gt;1)),ROUND(OFFSET($P58,0,AS$13),15-13*ORÇAMENTO!$AF$7)/$H58*OFFSET(ORÇAMENTO!$X$15,ROW(AS58)-ROW(AS$15),0),0)</f>
        <v>0</v>
      </c>
      <c r="AT58" s="632">
        <f ca="1">IF(AND($D58="Serviço",AT$12&lt;&gt;0,$H58&gt;0,OR(AUTOEVENTO&lt;&gt;"manual",$M58&lt;&gt;1)),ROUND(OFFSET($P58,0,AT$13),15-13*ORÇAMENTO!$AF$7)/$H58*OFFSET(ORÇAMENTO!$X$15,ROW(AT58)-ROW(AT$15),0),0)</f>
        <v>0</v>
      </c>
      <c r="AU58" s="632">
        <f ca="1">IF(AND($D58="Serviço",AU$12&lt;&gt;0,$H58&gt;0,OR(AUTOEVENTO&lt;&gt;"manual",$M58&lt;&gt;1)),ROUND(OFFSET($P58,0,AU$13),15-13*ORÇAMENTO!$AF$7)/$H58*OFFSET(ORÇAMENTO!$X$15,ROW(AU58)-ROW(AU$15),0),0)</f>
        <v>0</v>
      </c>
      <c r="AV58" s="632">
        <f ca="1">IF(AND($D58="Serviço",AV$12&lt;&gt;0,$H58&gt;0,OR(AUTOEVENTO&lt;&gt;"manual",$M58&lt;&gt;1)),ROUND(OFFSET($P58,0,AV$13),15-13*ORÇAMENTO!$AF$7)/$H58*OFFSET(ORÇAMENTO!$X$15,ROW(AV58)-ROW(AV$15),0),0)</f>
        <v>0</v>
      </c>
      <c r="AW58" s="632">
        <f ca="1">IF(AND($D58="Serviço",AW$12&lt;&gt;0,$H58&gt;0,OR(AUTOEVENTO&lt;&gt;"manual",$M58&lt;&gt;1)),ROUND(OFFSET($P58,0,AW$13),15-13*ORÇAMENTO!$AF$7)/$H58*OFFSET(ORÇAMENTO!$X$15,ROW(AW58)-ROW(AW$15),0),0)</f>
        <v>0</v>
      </c>
      <c r="AX58" s="632">
        <f ca="1">IF(AND($D58="Serviço",AX$12&lt;&gt;0,$H58&gt;0,OR(AUTOEVENTO&lt;&gt;"manual",$M58&lt;&gt;1)),ROUND(OFFSET($P58,0,AX$13),15-13*ORÇAMENTO!$AF$7)/$H58*OFFSET(ORÇAMENTO!$X$15,ROW(AX58)-ROW(AX$15),0),0)</f>
        <v>0</v>
      </c>
      <c r="AY58" s="632">
        <f ca="1">IF(AND($D58="Serviço",AY$12&lt;&gt;0,$H58&gt;0,OR(AUTOEVENTO&lt;&gt;"manual",$M58&lt;&gt;1)),ROUND(OFFSET($P58,0,AY$13),15-13*ORÇAMENTO!$AF$7)/$H58*OFFSET(ORÇAMENTO!$X$15,ROW(AY58)-ROW(AY$15),0),0)</f>
        <v>0</v>
      </c>
      <c r="AZ58" s="632">
        <f ca="1">IF(AND($D58="Serviço",AZ$12&lt;&gt;0,$H58&gt;0,OR(AUTOEVENTO&lt;&gt;"manual",$M58&lt;&gt;1)),ROUND(OFFSET($P58,0,AZ$13),15-13*ORÇAMENTO!$AF$7)/$H58*OFFSET(ORÇAMENTO!$X$15,ROW(AZ58)-ROW(AZ$15),0),0)</f>
        <v>0</v>
      </c>
      <c r="BA58" s="633">
        <f ca="1">IF(AND($D58="Serviço",BA$12&lt;&gt;0,$H58&gt;0,OR(AUTOEVENTO&lt;&gt;"manual",$M58&lt;&gt;1)),ROUND(OFFSET($P58,0,BA$13),15-13*ORÇAMENTO!$AF$7)/$H58*OFFSET(ORÇAMENTO!$X$15,ROW(BA58)-ROW(BA$15),0),0)</f>
        <v>0</v>
      </c>
      <c r="BC58" s="215">
        <f ca="1">IF($D58&lt;&gt;"Serviço",0,IF(AND(AUTOEVENTO="Manual",$M58=1),0,IF(OFFSET(CRONOPLE!$F$14,$M58,BC$13)="",10^12,OFFSET(CRONOPLE!$F$14,$M58,BC$13))))</f>
        <v>1000000000000</v>
      </c>
      <c r="BD58" s="215">
        <f ca="1">IF($D58&lt;&gt;"Serviço",0,IF(AND(AUTOEVENTO="Manual",$M58=1),0,IF(OFFSET(CRONOPLE!$F$14,$M58,BD$13)="",10^12,OFFSET(CRONOPLE!$F$14,$M58,BD$13))))</f>
        <v>1000000000000</v>
      </c>
      <c r="BE58" s="215">
        <f ca="1">IF($D58&lt;&gt;"Serviço",0,IF(AND(AUTOEVENTO="Manual",$M58=1),0,IF(OFFSET(CRONOPLE!$F$14,$M58,BE$13)="",10^12,OFFSET(CRONOPLE!$F$14,$M58,BE$13))))</f>
        <v>1000000000000</v>
      </c>
      <c r="BF58" s="215">
        <f ca="1">IF($D58&lt;&gt;"Serviço",0,IF(AND(AUTOEVENTO="Manual",$M58=1),0,IF(OFFSET(CRONOPLE!$F$14,$M58,BF$13)="",10^12,OFFSET(CRONOPLE!$F$14,$M58,BF$13))))</f>
        <v>1000000000000</v>
      </c>
      <c r="BG58" s="215">
        <f ca="1">IF($D58&lt;&gt;"Serviço",0,IF(AND(AUTOEVENTO="Manual",$M58=1),0,IF(OFFSET(CRONOPLE!$F$14,$M58,BG$13)="",10^12,OFFSET(CRONOPLE!$F$14,$M58,BG$13))))</f>
        <v>1000000000000</v>
      </c>
      <c r="BH58" s="215">
        <f ca="1">IF($D58&lt;&gt;"Serviço",0,IF(AND(AUTOEVENTO="Manual",$M58=1),0,IF(OFFSET(CRONOPLE!$F$14,$M58,BH$13)="",10^12,OFFSET(CRONOPLE!$F$14,$M58,BH$13))))</f>
        <v>1000000000000</v>
      </c>
      <c r="BI58" s="215">
        <f ca="1">IF($D58&lt;&gt;"Serviço",0,IF(AND(AUTOEVENTO="Manual",$M58=1),0,IF(OFFSET(CRONOPLE!$F$14,$M58,BI$13)="",10^12,OFFSET(CRONOPLE!$F$14,$M58,BI$13))))</f>
        <v>1000000000000</v>
      </c>
      <c r="BJ58" s="215">
        <f ca="1">IF($D58&lt;&gt;"Serviço",0,IF(AND(AUTOEVENTO="Manual",$M58=1),0,IF(OFFSET(CRONOPLE!$F$14,$M58,BJ$13)="",10^12,OFFSET(CRONOPLE!$F$14,$M58,BJ$13))))</f>
        <v>1000000000000</v>
      </c>
      <c r="BK58" s="215">
        <f ca="1">IF($D58&lt;&gt;"Serviço",0,IF(AND(AUTOEVENTO="Manual",$M58=1),0,IF(OFFSET(CRONOPLE!$F$14,$M58,BK$13)="",10^12,OFFSET(CRONOPLE!$F$14,$M58,BK$13))))</f>
        <v>1000000000000</v>
      </c>
      <c r="BL58" s="215">
        <f ca="1">IF($D58&lt;&gt;"Serviço",0,IF(AND(AUTOEVENTO="Manual",$M58=1),0,IF(OFFSET(CRONOPLE!$F$14,$M58,BL$13)="",10^12,OFFSET(CRONOPLE!$F$14,$M58,BL$13))))</f>
        <v>1000000000000</v>
      </c>
      <c r="BM58" s="215">
        <f ca="1">IF($D58&lt;&gt;"Serviço",0,IF(AND(AUTOEVENTO="Manual",$M58=1),0,IF(OFFSET(CRONOPLE!$F$14,$M58,BM$13)="",10^12,OFFSET(CRONOPLE!$F$14,$M58,BM$13))))</f>
        <v>1000000000000</v>
      </c>
      <c r="BN58" s="215">
        <f ca="1">IF($D58&lt;&gt;"Serviço",0,IF(AND(AUTOEVENTO="Manual",$M58=1),0,IF(OFFSET(CRONOPLE!$F$14,$M58,BN$13)="",10^12,OFFSET(CRONOPLE!$F$14,$M58,BN$13))))</f>
        <v>1000000000000</v>
      </c>
      <c r="BO58" s="215">
        <f ca="1">IF($D58&lt;&gt;"Serviço",0,IF(AND(AUTOEVENTO="Manual",$M58=1),0,IF(OFFSET(CRONOPLE!$F$14,$M58,BO$13)="",10^12,OFFSET(CRONOPLE!$F$14,$M58,BO$13))))</f>
        <v>1000000000000</v>
      </c>
      <c r="BP58" s="215">
        <f ca="1">IF($D58&lt;&gt;"Serviço",0,IF(AND(AUTOEVENTO="Manual",$M58=1),0,IF(OFFSET(CRONOPLE!$F$14,$M58,BP$13)="",10^12,OFFSET(CRONOPLE!$F$14,$M58,BP$13))))</f>
        <v>1000000000000</v>
      </c>
      <c r="BQ58" s="215">
        <f ca="1">IF($D58&lt;&gt;"Serviço",0,IF(AND(AUTOEVENTO="Manual",$M58=1),0,IF(OFFSET(CRONOPLE!$F$14,$M58,BQ$13)="",10^12,OFFSET(CRONOPLE!$F$14,$M58,BQ$13))))</f>
        <v>1000000000000</v>
      </c>
      <c r="BR58" s="215">
        <f ca="1">IF($D58&lt;&gt;"Serviço",0,IF(AND(AUTOEVENTO="Manual",$M58=1),0,IF(OFFSET(CRONOPLE!$F$14,$M58,BR$13)="",10^12,OFFSET(CRONOPLE!$F$14,$M58,BR$13))))</f>
        <v>1000000000000</v>
      </c>
      <c r="BS58" s="215">
        <f ca="1">IF($D58&lt;&gt;"Serviço",0,IF(AND(AUTOEVENTO="Manual",$M58=1),0,IF(OFFSET(CRONOPLE!$F$14,$M58,BS$13)="",10^12,OFFSET(CRONOPLE!$F$14,$M58,BS$13))))</f>
        <v>1000000000000</v>
      </c>
      <c r="BT58" s="215">
        <f ca="1">IF($D58&lt;&gt;"Serviço",0,IF(AND(AUTOEVENTO="Manual",$M58=1),0,IF(OFFSET(CRONOPLE!$F$14,$M58,BT$13)="",10^12,OFFSET(CRONOPLE!$F$14,$M58,BT$13))))</f>
        <v>1000000000000</v>
      </c>
      <c r="BV58" s="216">
        <f ca="1">IF($D58&lt;&gt;"Serviço",0,IF(OR(AND(AUTOEVENTO="Manual",$M58=1),$M58&gt;(ROW(PLE.lastrow)-ROW(PLE.firstrow))),0,IF(OFFSET(PLE!$G$14,$M58,BV$13)="",10^12,OFFSET(PLE!$G$14,$M58,BV$13))))</f>
        <v>1000000000000</v>
      </c>
      <c r="BW58" s="216">
        <f ca="1">IF($D58&lt;&gt;"Serviço",0,IF(OR(AND(AUTOEVENTO="Manual",$M58=1),$M58&gt;(ROW(PLE.lastrow)-ROW(PLE.firstrow))),0,IF(OFFSET(PLE!$G$14,$M58,BW$13)="",10^12,OFFSET(PLE!$G$14,$M58,BW$13))))</f>
        <v>1000000000000</v>
      </c>
      <c r="BX58" s="216">
        <f ca="1">IF($D58&lt;&gt;"Serviço",0,IF(OR(AND(AUTOEVENTO="Manual",$M58=1),$M58&gt;(ROW(PLE.lastrow)-ROW(PLE.firstrow))),0,IF(OFFSET(PLE!$G$14,$M58,BX$13)="",10^12,OFFSET(PLE!$G$14,$M58,BX$13))))</f>
        <v>1000000000000</v>
      </c>
      <c r="BY58" s="216">
        <f ca="1">IF($D58&lt;&gt;"Serviço",0,IF(OR(AND(AUTOEVENTO="Manual",$M58=1),$M58&gt;(ROW(PLE.lastrow)-ROW(PLE.firstrow))),0,IF(OFFSET(PLE!$G$14,$M58,BY$13)="",10^12,OFFSET(PLE!$G$14,$M58,BY$13))))</f>
        <v>1000000000000</v>
      </c>
      <c r="BZ58" s="216">
        <f ca="1">IF($D58&lt;&gt;"Serviço",0,IF(OR(AND(AUTOEVENTO="Manual",$M58=1),$M58&gt;(ROW(PLE.lastrow)-ROW(PLE.firstrow))),0,IF(OFFSET(PLE!$G$14,$M58,BZ$13)="",10^12,OFFSET(PLE!$G$14,$M58,BZ$13))))</f>
        <v>1000000000000</v>
      </c>
      <c r="CA58" s="216">
        <f ca="1">IF($D58&lt;&gt;"Serviço",0,IF(OR(AND(AUTOEVENTO="Manual",$M58=1),$M58&gt;(ROW(PLE.lastrow)-ROW(PLE.firstrow))),0,IF(OFFSET(PLE!$G$14,$M58,CA$13)="",10^12,OFFSET(PLE!$G$14,$M58,CA$13))))</f>
        <v>1000000000000</v>
      </c>
      <c r="CB58" s="216">
        <f ca="1">IF($D58&lt;&gt;"Serviço",0,IF(OR(AND(AUTOEVENTO="Manual",$M58=1),$M58&gt;(ROW(PLE.lastrow)-ROW(PLE.firstrow))),0,IF(OFFSET(PLE!$G$14,$M58,CB$13)="",10^12,OFFSET(PLE!$G$14,$M58,CB$13))))</f>
        <v>1000000000000</v>
      </c>
      <c r="CC58" s="216">
        <f ca="1">IF($D58&lt;&gt;"Serviço",0,IF(OR(AND(AUTOEVENTO="Manual",$M58=1),$M58&gt;(ROW(PLE.lastrow)-ROW(PLE.firstrow))),0,IF(OFFSET(PLE!$G$14,$M58,CC$13)="",10^12,OFFSET(PLE!$G$14,$M58,CC$13))))</f>
        <v>1000000000000</v>
      </c>
      <c r="CD58" s="216">
        <f ca="1">IF($D58&lt;&gt;"Serviço",0,IF(OR(AND(AUTOEVENTO="Manual",$M58=1),$M58&gt;(ROW(PLE.lastrow)-ROW(PLE.firstrow))),0,IF(OFFSET(PLE!$G$14,$M58,CD$13)="",10^12,OFFSET(PLE!$G$14,$M58,CD$13))))</f>
        <v>1000000000000</v>
      </c>
      <c r="CE58" s="216">
        <f ca="1">IF($D58&lt;&gt;"Serviço",0,IF(OR(AND(AUTOEVENTO="Manual",$M58=1),$M58&gt;(ROW(PLE.lastrow)-ROW(PLE.firstrow))),0,IF(OFFSET(PLE!$G$14,$M58,CE$13)="",10^12,OFFSET(PLE!$G$14,$M58,CE$13))))</f>
        <v>1000000000000</v>
      </c>
      <c r="CF58" s="216">
        <f ca="1">IF($D58&lt;&gt;"Serviço",0,IF(OR(AND(AUTOEVENTO="Manual",$M58=1),$M58&gt;(ROW(PLE.lastrow)-ROW(PLE.firstrow))),0,IF(OFFSET(PLE!$G$14,$M58,CF$13)="",10^12,OFFSET(PLE!$G$14,$M58,CF$13))))</f>
        <v>1000000000000</v>
      </c>
      <c r="CG58" s="216">
        <f ca="1">IF($D58&lt;&gt;"Serviço",0,IF(OR(AND(AUTOEVENTO="Manual",$M58=1),$M58&gt;(ROW(PLE.lastrow)-ROW(PLE.firstrow))),0,IF(OFFSET(PLE!$G$14,$M58,CG$13)="",10^12,OFFSET(PLE!$G$14,$M58,CG$13))))</f>
        <v>1000000000000</v>
      </c>
      <c r="CH58" s="216">
        <f ca="1">IF($D58&lt;&gt;"Serviço",0,IF(OR(AND(AUTOEVENTO="Manual",$M58=1),$M58&gt;(ROW(PLE.lastrow)-ROW(PLE.firstrow))),0,IF(OFFSET(PLE!$G$14,$M58,CH$13)="",10^12,OFFSET(PLE!$G$14,$M58,CH$13))))</f>
        <v>1000000000000</v>
      </c>
      <c r="CI58" s="216">
        <f ca="1">IF($D58&lt;&gt;"Serviço",0,IF(OR(AND(AUTOEVENTO="Manual",$M58=1),$M58&gt;(ROW(PLE.lastrow)-ROW(PLE.firstrow))),0,IF(OFFSET(PLE!$G$14,$M58,CI$13)="",10^12,OFFSET(PLE!$G$14,$M58,CI$13))))</f>
        <v>1000000000000</v>
      </c>
      <c r="CJ58" s="216">
        <f ca="1">IF($D58&lt;&gt;"Serviço",0,IF(OR(AND(AUTOEVENTO="Manual",$M58=1),$M58&gt;(ROW(PLE.lastrow)-ROW(PLE.firstrow))),0,IF(OFFSET(PLE!$G$14,$M58,CJ$13)="",10^12,OFFSET(PLE!$G$14,$M58,CJ$13))))</f>
        <v>1000000000000</v>
      </c>
      <c r="CK58" s="216">
        <f ca="1">IF($D58&lt;&gt;"Serviço",0,IF(OR(AND(AUTOEVENTO="Manual",$M58=1),$M58&gt;(ROW(PLE.lastrow)-ROW(PLE.firstrow))),0,IF(OFFSET(PLE!$G$14,$M58,CK$13)="",10^12,OFFSET(PLE!$G$14,$M58,CK$13))))</f>
        <v>1000000000000</v>
      </c>
      <c r="CL58" s="216">
        <f ca="1">IF($D58&lt;&gt;"Serviço",0,IF(OR(AND(AUTOEVENTO="Manual",$M58=1),$M58&gt;(ROW(PLE.lastrow)-ROW(PLE.firstrow))),0,IF(OFFSET(PLE!$G$14,$M58,CL$13)="",10^12,OFFSET(PLE!$G$14,$M58,CL$13))))</f>
        <v>1000000000000</v>
      </c>
      <c r="CM58" s="216">
        <f ca="1">IF($D58&lt;&gt;"Serviço",0,IF(OR(AND(AUTOEVENTO="Manual",$M58=1),$M58&gt;(ROW(PLE.lastrow)-ROW(PLE.firstrow))),0,IF(OFFSET(PLE!$G$14,$M58,CM$13)="",10^12,OFFSET(PLE!$G$14,$M58,CM$13))))</f>
        <v>1000000000000</v>
      </c>
    </row>
    <row r="59" spans="1:91" ht="13.2" x14ac:dyDescent="0.25">
      <c r="A59" s="9">
        <f t="shared" ca="1" si="9"/>
        <v>0</v>
      </c>
      <c r="B59" s="9" t="str">
        <f ca="1">OFFSET(ORÇAMENTO!C$15,ROW(B59)-ROW(B$15),0)</f>
        <v>S</v>
      </c>
      <c r="C59" s="9" t="str">
        <f ca="1">OFFSET(ORÇAMENTO!L$15,ROW(C59)-ROW(C$15),0)</f>
        <v/>
      </c>
      <c r="D59" s="145" t="str">
        <f ca="1">OFFSET(ORÇAMENTO!N$15,ROW(D59)-ROW(D$15),0)</f>
        <v>Serviço</v>
      </c>
      <c r="E59" s="205" t="str">
        <f ca="1">OFFSET(ORÇAMENTO!O$15,ROW(E59)-ROW(E$15),0)</f>
        <v>-</v>
      </c>
      <c r="F59" s="206" t="str">
        <f ca="1">OFFSET(ORÇAMENTO!R$15,ROW(F59)-ROW(F$15),0)</f>
        <v>(abra o arquivo 'Referência 05-2024.xls)</v>
      </c>
      <c r="G59" s="207" t="str">
        <f ca="1">IF($D59&lt;&gt;"Serviço","",OFFSET(ORÇAMENTO!S$15,ROW(G59)-ROW(G$15),0))</f>
        <v>-</v>
      </c>
      <c r="H59" s="151">
        <f ca="1">IF($D59&lt;&gt;"Serviço",0,IF(ACOMPANHAMENTO="BM",ROUND(OFFSET(ORÇAMENTO!AJ$15,ROW(H59)-ROW(H$15),0),15-13*ORÇAMENTO!$AF$7),SUMPRODUCT(($Q$12:$AI$12&lt;&gt;"")*ROUND($Q59:$AI59,15-13*ORÇAMENTO!$AF$7))))</f>
        <v>844.75</v>
      </c>
      <c r="I59" s="650"/>
      <c r="K59" s="208"/>
      <c r="L59" s="209" t="s">
        <v>257</v>
      </c>
      <c r="M59" s="210">
        <f ca="1">IF($D59&lt;&gt;"Serviço","",IF(AUTOEVENTO="manual",$A59,IF(ISERROR(MATCH($A59,$A$15:OFFSET($A59,-1,0),0)),MAX($M$15:OFFSET(M59,-1,0))+1,INDEX($M$15:OFFSET(M59,-1,0),MATCH($A59,$A$15:OFFSET($A59,-1,0),0)))))</f>
        <v>0</v>
      </c>
      <c r="N59" s="211" t="str">
        <f ca="1">IF($D59&lt;&gt;"Serviço","",IF(AUTOEVENTO="Manual",IF($A59=0,"&lt;-- defina o número do agrupador",OFFSET(EVENTOS!$D$14,$A59,0)),OFFSET($F$15,$A59,0)))</f>
        <v>&lt;-- defina o número do agrupador</v>
      </c>
      <c r="O59" s="212"/>
      <c r="Q59" s="212"/>
      <c r="R59" s="213"/>
      <c r="S59" s="213"/>
      <c r="T59" s="213"/>
      <c r="U59" s="213"/>
      <c r="V59" s="213"/>
      <c r="W59" s="213"/>
      <c r="X59" s="213"/>
      <c r="Y59" s="213"/>
      <c r="Z59" s="214"/>
      <c r="AA59" s="213"/>
      <c r="AB59" s="213"/>
      <c r="AC59" s="213"/>
      <c r="AD59" s="213"/>
      <c r="AE59" s="213"/>
      <c r="AF59" s="213"/>
      <c r="AG59" s="213"/>
      <c r="AH59" s="214"/>
      <c r="AJ59" s="631">
        <f ca="1">IF(AND($D59="Serviço",AJ$12&lt;&gt;0,$H59&gt;0,OR(AUTOEVENTO&lt;&gt;"manual",$M59&lt;&gt;1)),ROUND(OFFSET($P59,0,AJ$13),15-13*ORÇAMENTO!$AF$7)/$H59*OFFSET(ORÇAMENTO!$X$15,ROW(AJ59)-ROW(AJ$15),0),0)</f>
        <v>0</v>
      </c>
      <c r="AK59" s="632">
        <f ca="1">IF(AND($D59="Serviço",AK$12&lt;&gt;0,$H59&gt;0,OR(AUTOEVENTO&lt;&gt;"manual",$M59&lt;&gt;1)),ROUND(OFFSET($P59,0,AK$13),15-13*ORÇAMENTO!$AF$7)/$H59*OFFSET(ORÇAMENTO!$X$15,ROW(AK59)-ROW(AK$15),0),0)</f>
        <v>0</v>
      </c>
      <c r="AL59" s="632">
        <f ca="1">IF(AND($D59="Serviço",AL$12&lt;&gt;0,$H59&gt;0,OR(AUTOEVENTO&lt;&gt;"manual",$M59&lt;&gt;1)),ROUND(OFFSET($P59,0,AL$13),15-13*ORÇAMENTO!$AF$7)/$H59*OFFSET(ORÇAMENTO!$X$15,ROW(AL59)-ROW(AL$15),0),0)</f>
        <v>0</v>
      </c>
      <c r="AM59" s="632">
        <f ca="1">IF(AND($D59="Serviço",AM$12&lt;&gt;0,$H59&gt;0,OR(AUTOEVENTO&lt;&gt;"manual",$M59&lt;&gt;1)),ROUND(OFFSET($P59,0,AM$13),15-13*ORÇAMENTO!$AF$7)/$H59*OFFSET(ORÇAMENTO!$X$15,ROW(AM59)-ROW(AM$15),0),0)</f>
        <v>0</v>
      </c>
      <c r="AN59" s="632">
        <f ca="1">IF(AND($D59="Serviço",AN$12&lt;&gt;0,$H59&gt;0,OR(AUTOEVENTO&lt;&gt;"manual",$M59&lt;&gt;1)),ROUND(OFFSET($P59,0,AN$13),15-13*ORÇAMENTO!$AF$7)/$H59*OFFSET(ORÇAMENTO!$X$15,ROW(AN59)-ROW(AN$15),0),0)</f>
        <v>0</v>
      </c>
      <c r="AO59" s="632">
        <f ca="1">IF(AND($D59="Serviço",AO$12&lt;&gt;0,$H59&gt;0,OR(AUTOEVENTO&lt;&gt;"manual",$M59&lt;&gt;1)),ROUND(OFFSET($P59,0,AO$13),15-13*ORÇAMENTO!$AF$7)/$H59*OFFSET(ORÇAMENTO!$X$15,ROW(AO59)-ROW(AO$15),0),0)</f>
        <v>0</v>
      </c>
      <c r="AP59" s="632">
        <f ca="1">IF(AND($D59="Serviço",AP$12&lt;&gt;0,$H59&gt;0,OR(AUTOEVENTO&lt;&gt;"manual",$M59&lt;&gt;1)),ROUND(OFFSET($P59,0,AP$13),15-13*ORÇAMENTO!$AF$7)/$H59*OFFSET(ORÇAMENTO!$X$15,ROW(AP59)-ROW(AP$15),0),0)</f>
        <v>0</v>
      </c>
      <c r="AQ59" s="632">
        <f ca="1">IF(AND($D59="Serviço",AQ$12&lt;&gt;0,$H59&gt;0,OR(AUTOEVENTO&lt;&gt;"manual",$M59&lt;&gt;1)),ROUND(OFFSET($P59,0,AQ$13),15-13*ORÇAMENTO!$AF$7)/$H59*OFFSET(ORÇAMENTO!$X$15,ROW(AQ59)-ROW(AQ$15),0),0)</f>
        <v>0</v>
      </c>
      <c r="AR59" s="632">
        <f ca="1">IF(AND($D59="Serviço",AR$12&lt;&gt;0,$H59&gt;0,OR(AUTOEVENTO&lt;&gt;"manual",$M59&lt;&gt;1)),ROUND(OFFSET($P59,0,AR$13),15-13*ORÇAMENTO!$AF$7)/$H59*OFFSET(ORÇAMENTO!$X$15,ROW(AR59)-ROW(AR$15),0),0)</f>
        <v>0</v>
      </c>
      <c r="AS59" s="633">
        <f ca="1">IF(AND($D59="Serviço",AS$12&lt;&gt;0,$H59&gt;0,OR(AUTOEVENTO&lt;&gt;"manual",$M59&lt;&gt;1)),ROUND(OFFSET($P59,0,AS$13),15-13*ORÇAMENTO!$AF$7)/$H59*OFFSET(ORÇAMENTO!$X$15,ROW(AS59)-ROW(AS$15),0),0)</f>
        <v>0</v>
      </c>
      <c r="AT59" s="632">
        <f ca="1">IF(AND($D59="Serviço",AT$12&lt;&gt;0,$H59&gt;0,OR(AUTOEVENTO&lt;&gt;"manual",$M59&lt;&gt;1)),ROUND(OFFSET($P59,0,AT$13),15-13*ORÇAMENTO!$AF$7)/$H59*OFFSET(ORÇAMENTO!$X$15,ROW(AT59)-ROW(AT$15),0),0)</f>
        <v>0</v>
      </c>
      <c r="AU59" s="632">
        <f ca="1">IF(AND($D59="Serviço",AU$12&lt;&gt;0,$H59&gt;0,OR(AUTOEVENTO&lt;&gt;"manual",$M59&lt;&gt;1)),ROUND(OFFSET($P59,0,AU$13),15-13*ORÇAMENTO!$AF$7)/$H59*OFFSET(ORÇAMENTO!$X$15,ROW(AU59)-ROW(AU$15),0),0)</f>
        <v>0</v>
      </c>
      <c r="AV59" s="632">
        <f ca="1">IF(AND($D59="Serviço",AV$12&lt;&gt;0,$H59&gt;0,OR(AUTOEVENTO&lt;&gt;"manual",$M59&lt;&gt;1)),ROUND(OFFSET($P59,0,AV$13),15-13*ORÇAMENTO!$AF$7)/$H59*OFFSET(ORÇAMENTO!$X$15,ROW(AV59)-ROW(AV$15),0),0)</f>
        <v>0</v>
      </c>
      <c r="AW59" s="632">
        <f ca="1">IF(AND($D59="Serviço",AW$12&lt;&gt;0,$H59&gt;0,OR(AUTOEVENTO&lt;&gt;"manual",$M59&lt;&gt;1)),ROUND(OFFSET($P59,0,AW$13),15-13*ORÇAMENTO!$AF$7)/$H59*OFFSET(ORÇAMENTO!$X$15,ROW(AW59)-ROW(AW$15),0),0)</f>
        <v>0</v>
      </c>
      <c r="AX59" s="632">
        <f ca="1">IF(AND($D59="Serviço",AX$12&lt;&gt;0,$H59&gt;0,OR(AUTOEVENTO&lt;&gt;"manual",$M59&lt;&gt;1)),ROUND(OFFSET($P59,0,AX$13),15-13*ORÇAMENTO!$AF$7)/$H59*OFFSET(ORÇAMENTO!$X$15,ROW(AX59)-ROW(AX$15),0),0)</f>
        <v>0</v>
      </c>
      <c r="AY59" s="632">
        <f ca="1">IF(AND($D59="Serviço",AY$12&lt;&gt;0,$H59&gt;0,OR(AUTOEVENTO&lt;&gt;"manual",$M59&lt;&gt;1)),ROUND(OFFSET($P59,0,AY$13),15-13*ORÇAMENTO!$AF$7)/$H59*OFFSET(ORÇAMENTO!$X$15,ROW(AY59)-ROW(AY$15),0),0)</f>
        <v>0</v>
      </c>
      <c r="AZ59" s="632">
        <f ca="1">IF(AND($D59="Serviço",AZ$12&lt;&gt;0,$H59&gt;0,OR(AUTOEVENTO&lt;&gt;"manual",$M59&lt;&gt;1)),ROUND(OFFSET($P59,0,AZ$13),15-13*ORÇAMENTO!$AF$7)/$H59*OFFSET(ORÇAMENTO!$X$15,ROW(AZ59)-ROW(AZ$15),0),0)</f>
        <v>0</v>
      </c>
      <c r="BA59" s="633">
        <f ca="1">IF(AND($D59="Serviço",BA$12&lt;&gt;0,$H59&gt;0,OR(AUTOEVENTO&lt;&gt;"manual",$M59&lt;&gt;1)),ROUND(OFFSET($P59,0,BA$13),15-13*ORÇAMENTO!$AF$7)/$H59*OFFSET(ORÇAMENTO!$X$15,ROW(BA59)-ROW(BA$15),0),0)</f>
        <v>0</v>
      </c>
      <c r="BC59" s="215">
        <f ca="1">IF($D59&lt;&gt;"Serviço",0,IF(AND(AUTOEVENTO="Manual",$M59=1),0,IF(OFFSET(CRONOPLE!$F$14,$M59,BC$13)="",10^12,OFFSET(CRONOPLE!$F$14,$M59,BC$13))))</f>
        <v>1000000000000</v>
      </c>
      <c r="BD59" s="215">
        <f ca="1">IF($D59&lt;&gt;"Serviço",0,IF(AND(AUTOEVENTO="Manual",$M59=1),0,IF(OFFSET(CRONOPLE!$F$14,$M59,BD$13)="",10^12,OFFSET(CRONOPLE!$F$14,$M59,BD$13))))</f>
        <v>1000000000000</v>
      </c>
      <c r="BE59" s="215">
        <f ca="1">IF($D59&lt;&gt;"Serviço",0,IF(AND(AUTOEVENTO="Manual",$M59=1),0,IF(OFFSET(CRONOPLE!$F$14,$M59,BE$13)="",10^12,OFFSET(CRONOPLE!$F$14,$M59,BE$13))))</f>
        <v>1000000000000</v>
      </c>
      <c r="BF59" s="215">
        <f ca="1">IF($D59&lt;&gt;"Serviço",0,IF(AND(AUTOEVENTO="Manual",$M59=1),0,IF(OFFSET(CRONOPLE!$F$14,$M59,BF$13)="",10^12,OFFSET(CRONOPLE!$F$14,$M59,BF$13))))</f>
        <v>1000000000000</v>
      </c>
      <c r="BG59" s="215">
        <f ca="1">IF($D59&lt;&gt;"Serviço",0,IF(AND(AUTOEVENTO="Manual",$M59=1),0,IF(OFFSET(CRONOPLE!$F$14,$M59,BG$13)="",10^12,OFFSET(CRONOPLE!$F$14,$M59,BG$13))))</f>
        <v>1000000000000</v>
      </c>
      <c r="BH59" s="215">
        <f ca="1">IF($D59&lt;&gt;"Serviço",0,IF(AND(AUTOEVENTO="Manual",$M59=1),0,IF(OFFSET(CRONOPLE!$F$14,$M59,BH$13)="",10^12,OFFSET(CRONOPLE!$F$14,$M59,BH$13))))</f>
        <v>1000000000000</v>
      </c>
      <c r="BI59" s="215">
        <f ca="1">IF($D59&lt;&gt;"Serviço",0,IF(AND(AUTOEVENTO="Manual",$M59=1),0,IF(OFFSET(CRONOPLE!$F$14,$M59,BI$13)="",10^12,OFFSET(CRONOPLE!$F$14,$M59,BI$13))))</f>
        <v>1000000000000</v>
      </c>
      <c r="BJ59" s="215">
        <f ca="1">IF($D59&lt;&gt;"Serviço",0,IF(AND(AUTOEVENTO="Manual",$M59=1),0,IF(OFFSET(CRONOPLE!$F$14,$M59,BJ$13)="",10^12,OFFSET(CRONOPLE!$F$14,$M59,BJ$13))))</f>
        <v>1000000000000</v>
      </c>
      <c r="BK59" s="215">
        <f ca="1">IF($D59&lt;&gt;"Serviço",0,IF(AND(AUTOEVENTO="Manual",$M59=1),0,IF(OFFSET(CRONOPLE!$F$14,$M59,BK$13)="",10^12,OFFSET(CRONOPLE!$F$14,$M59,BK$13))))</f>
        <v>1000000000000</v>
      </c>
      <c r="BL59" s="215">
        <f ca="1">IF($D59&lt;&gt;"Serviço",0,IF(AND(AUTOEVENTO="Manual",$M59=1),0,IF(OFFSET(CRONOPLE!$F$14,$M59,BL$13)="",10^12,OFFSET(CRONOPLE!$F$14,$M59,BL$13))))</f>
        <v>1000000000000</v>
      </c>
      <c r="BM59" s="215">
        <f ca="1">IF($D59&lt;&gt;"Serviço",0,IF(AND(AUTOEVENTO="Manual",$M59=1),0,IF(OFFSET(CRONOPLE!$F$14,$M59,BM$13)="",10^12,OFFSET(CRONOPLE!$F$14,$M59,BM$13))))</f>
        <v>1000000000000</v>
      </c>
      <c r="BN59" s="215">
        <f ca="1">IF($D59&lt;&gt;"Serviço",0,IF(AND(AUTOEVENTO="Manual",$M59=1),0,IF(OFFSET(CRONOPLE!$F$14,$M59,BN$13)="",10^12,OFFSET(CRONOPLE!$F$14,$M59,BN$13))))</f>
        <v>1000000000000</v>
      </c>
      <c r="BO59" s="215">
        <f ca="1">IF($D59&lt;&gt;"Serviço",0,IF(AND(AUTOEVENTO="Manual",$M59=1),0,IF(OFFSET(CRONOPLE!$F$14,$M59,BO$13)="",10^12,OFFSET(CRONOPLE!$F$14,$M59,BO$13))))</f>
        <v>1000000000000</v>
      </c>
      <c r="BP59" s="215">
        <f ca="1">IF($D59&lt;&gt;"Serviço",0,IF(AND(AUTOEVENTO="Manual",$M59=1),0,IF(OFFSET(CRONOPLE!$F$14,$M59,BP$13)="",10^12,OFFSET(CRONOPLE!$F$14,$M59,BP$13))))</f>
        <v>1000000000000</v>
      </c>
      <c r="BQ59" s="215">
        <f ca="1">IF($D59&lt;&gt;"Serviço",0,IF(AND(AUTOEVENTO="Manual",$M59=1),0,IF(OFFSET(CRONOPLE!$F$14,$M59,BQ$13)="",10^12,OFFSET(CRONOPLE!$F$14,$M59,BQ$13))))</f>
        <v>1000000000000</v>
      </c>
      <c r="BR59" s="215">
        <f ca="1">IF($D59&lt;&gt;"Serviço",0,IF(AND(AUTOEVENTO="Manual",$M59=1),0,IF(OFFSET(CRONOPLE!$F$14,$M59,BR$13)="",10^12,OFFSET(CRONOPLE!$F$14,$M59,BR$13))))</f>
        <v>1000000000000</v>
      </c>
      <c r="BS59" s="215">
        <f ca="1">IF($D59&lt;&gt;"Serviço",0,IF(AND(AUTOEVENTO="Manual",$M59=1),0,IF(OFFSET(CRONOPLE!$F$14,$M59,BS$13)="",10^12,OFFSET(CRONOPLE!$F$14,$M59,BS$13))))</f>
        <v>1000000000000</v>
      </c>
      <c r="BT59" s="215">
        <f ca="1">IF($D59&lt;&gt;"Serviço",0,IF(AND(AUTOEVENTO="Manual",$M59=1),0,IF(OFFSET(CRONOPLE!$F$14,$M59,BT$13)="",10^12,OFFSET(CRONOPLE!$F$14,$M59,BT$13))))</f>
        <v>1000000000000</v>
      </c>
      <c r="BV59" s="216">
        <f ca="1">IF($D59&lt;&gt;"Serviço",0,IF(OR(AND(AUTOEVENTO="Manual",$M59=1),$M59&gt;(ROW(PLE.lastrow)-ROW(PLE.firstrow))),0,IF(OFFSET(PLE!$G$14,$M59,BV$13)="",10^12,OFFSET(PLE!$G$14,$M59,BV$13))))</f>
        <v>1000000000000</v>
      </c>
      <c r="BW59" s="216">
        <f ca="1">IF($D59&lt;&gt;"Serviço",0,IF(OR(AND(AUTOEVENTO="Manual",$M59=1),$M59&gt;(ROW(PLE.lastrow)-ROW(PLE.firstrow))),0,IF(OFFSET(PLE!$G$14,$M59,BW$13)="",10^12,OFFSET(PLE!$G$14,$M59,BW$13))))</f>
        <v>1000000000000</v>
      </c>
      <c r="BX59" s="216">
        <f ca="1">IF($D59&lt;&gt;"Serviço",0,IF(OR(AND(AUTOEVENTO="Manual",$M59=1),$M59&gt;(ROW(PLE.lastrow)-ROW(PLE.firstrow))),0,IF(OFFSET(PLE!$G$14,$M59,BX$13)="",10^12,OFFSET(PLE!$G$14,$M59,BX$13))))</f>
        <v>1000000000000</v>
      </c>
      <c r="BY59" s="216">
        <f ca="1">IF($D59&lt;&gt;"Serviço",0,IF(OR(AND(AUTOEVENTO="Manual",$M59=1),$M59&gt;(ROW(PLE.lastrow)-ROW(PLE.firstrow))),0,IF(OFFSET(PLE!$G$14,$M59,BY$13)="",10^12,OFFSET(PLE!$G$14,$M59,BY$13))))</f>
        <v>1000000000000</v>
      </c>
      <c r="BZ59" s="216">
        <f ca="1">IF($D59&lt;&gt;"Serviço",0,IF(OR(AND(AUTOEVENTO="Manual",$M59=1),$M59&gt;(ROW(PLE.lastrow)-ROW(PLE.firstrow))),0,IF(OFFSET(PLE!$G$14,$M59,BZ$13)="",10^12,OFFSET(PLE!$G$14,$M59,BZ$13))))</f>
        <v>1000000000000</v>
      </c>
      <c r="CA59" s="216">
        <f ca="1">IF($D59&lt;&gt;"Serviço",0,IF(OR(AND(AUTOEVENTO="Manual",$M59=1),$M59&gt;(ROW(PLE.lastrow)-ROW(PLE.firstrow))),0,IF(OFFSET(PLE!$G$14,$M59,CA$13)="",10^12,OFFSET(PLE!$G$14,$M59,CA$13))))</f>
        <v>1000000000000</v>
      </c>
      <c r="CB59" s="216">
        <f ca="1">IF($D59&lt;&gt;"Serviço",0,IF(OR(AND(AUTOEVENTO="Manual",$M59=1),$M59&gt;(ROW(PLE.lastrow)-ROW(PLE.firstrow))),0,IF(OFFSET(PLE!$G$14,$M59,CB$13)="",10^12,OFFSET(PLE!$G$14,$M59,CB$13))))</f>
        <v>1000000000000</v>
      </c>
      <c r="CC59" s="216">
        <f ca="1">IF($D59&lt;&gt;"Serviço",0,IF(OR(AND(AUTOEVENTO="Manual",$M59=1),$M59&gt;(ROW(PLE.lastrow)-ROW(PLE.firstrow))),0,IF(OFFSET(PLE!$G$14,$M59,CC$13)="",10^12,OFFSET(PLE!$G$14,$M59,CC$13))))</f>
        <v>1000000000000</v>
      </c>
      <c r="CD59" s="216">
        <f ca="1">IF($D59&lt;&gt;"Serviço",0,IF(OR(AND(AUTOEVENTO="Manual",$M59=1),$M59&gt;(ROW(PLE.lastrow)-ROW(PLE.firstrow))),0,IF(OFFSET(PLE!$G$14,$M59,CD$13)="",10^12,OFFSET(PLE!$G$14,$M59,CD$13))))</f>
        <v>1000000000000</v>
      </c>
      <c r="CE59" s="216">
        <f ca="1">IF($D59&lt;&gt;"Serviço",0,IF(OR(AND(AUTOEVENTO="Manual",$M59=1),$M59&gt;(ROW(PLE.lastrow)-ROW(PLE.firstrow))),0,IF(OFFSET(PLE!$G$14,$M59,CE$13)="",10^12,OFFSET(PLE!$G$14,$M59,CE$13))))</f>
        <v>1000000000000</v>
      </c>
      <c r="CF59" s="216">
        <f ca="1">IF($D59&lt;&gt;"Serviço",0,IF(OR(AND(AUTOEVENTO="Manual",$M59=1),$M59&gt;(ROW(PLE.lastrow)-ROW(PLE.firstrow))),0,IF(OFFSET(PLE!$G$14,$M59,CF$13)="",10^12,OFFSET(PLE!$G$14,$M59,CF$13))))</f>
        <v>1000000000000</v>
      </c>
      <c r="CG59" s="216">
        <f ca="1">IF($D59&lt;&gt;"Serviço",0,IF(OR(AND(AUTOEVENTO="Manual",$M59=1),$M59&gt;(ROW(PLE.lastrow)-ROW(PLE.firstrow))),0,IF(OFFSET(PLE!$G$14,$M59,CG$13)="",10^12,OFFSET(PLE!$G$14,$M59,CG$13))))</f>
        <v>1000000000000</v>
      </c>
      <c r="CH59" s="216">
        <f ca="1">IF($D59&lt;&gt;"Serviço",0,IF(OR(AND(AUTOEVENTO="Manual",$M59=1),$M59&gt;(ROW(PLE.lastrow)-ROW(PLE.firstrow))),0,IF(OFFSET(PLE!$G$14,$M59,CH$13)="",10^12,OFFSET(PLE!$G$14,$M59,CH$13))))</f>
        <v>1000000000000</v>
      </c>
      <c r="CI59" s="216">
        <f ca="1">IF($D59&lt;&gt;"Serviço",0,IF(OR(AND(AUTOEVENTO="Manual",$M59=1),$M59&gt;(ROW(PLE.lastrow)-ROW(PLE.firstrow))),0,IF(OFFSET(PLE!$G$14,$M59,CI$13)="",10^12,OFFSET(PLE!$G$14,$M59,CI$13))))</f>
        <v>1000000000000</v>
      </c>
      <c r="CJ59" s="216">
        <f ca="1">IF($D59&lt;&gt;"Serviço",0,IF(OR(AND(AUTOEVENTO="Manual",$M59=1),$M59&gt;(ROW(PLE.lastrow)-ROW(PLE.firstrow))),0,IF(OFFSET(PLE!$G$14,$M59,CJ$13)="",10^12,OFFSET(PLE!$G$14,$M59,CJ$13))))</f>
        <v>1000000000000</v>
      </c>
      <c r="CK59" s="216">
        <f ca="1">IF($D59&lt;&gt;"Serviço",0,IF(OR(AND(AUTOEVENTO="Manual",$M59=1),$M59&gt;(ROW(PLE.lastrow)-ROW(PLE.firstrow))),0,IF(OFFSET(PLE!$G$14,$M59,CK$13)="",10^12,OFFSET(PLE!$G$14,$M59,CK$13))))</f>
        <v>1000000000000</v>
      </c>
      <c r="CL59" s="216">
        <f ca="1">IF($D59&lt;&gt;"Serviço",0,IF(OR(AND(AUTOEVENTO="Manual",$M59=1),$M59&gt;(ROW(PLE.lastrow)-ROW(PLE.firstrow))),0,IF(OFFSET(PLE!$G$14,$M59,CL$13)="",10^12,OFFSET(PLE!$G$14,$M59,CL$13))))</f>
        <v>1000000000000</v>
      </c>
      <c r="CM59" s="216">
        <f ca="1">IF($D59&lt;&gt;"Serviço",0,IF(OR(AND(AUTOEVENTO="Manual",$M59=1),$M59&gt;(ROW(PLE.lastrow)-ROW(PLE.firstrow))),0,IF(OFFSET(PLE!$G$14,$M59,CM$13)="",10^12,OFFSET(PLE!$G$14,$M59,CM$13))))</f>
        <v>1000000000000</v>
      </c>
    </row>
    <row r="60" spans="1:91" ht="13.2" x14ac:dyDescent="0.25">
      <c r="A60" s="9">
        <f t="shared" ca="1" si="9"/>
        <v>0</v>
      </c>
      <c r="B60" s="9" t="str">
        <f ca="1">OFFSET(ORÇAMENTO!C$15,ROW(B60)-ROW(B$15),0)</f>
        <v>S</v>
      </c>
      <c r="C60" s="9" t="str">
        <f ca="1">OFFSET(ORÇAMENTO!L$15,ROW(C60)-ROW(C$15),0)</f>
        <v/>
      </c>
      <c r="D60" s="145" t="str">
        <f ca="1">OFFSET(ORÇAMENTO!N$15,ROW(D60)-ROW(D$15),0)</f>
        <v>Serviço</v>
      </c>
      <c r="E60" s="205" t="str">
        <f ca="1">OFFSET(ORÇAMENTO!O$15,ROW(E60)-ROW(E$15),0)</f>
        <v>-</v>
      </c>
      <c r="F60" s="206" t="str">
        <f ca="1">OFFSET(ORÇAMENTO!R$15,ROW(F60)-ROW(F$15),0)</f>
        <v>(abra o arquivo 'Referência 05-2024.xls)</v>
      </c>
      <c r="G60" s="207" t="str">
        <f ca="1">IF($D60&lt;&gt;"Serviço","",OFFSET(ORÇAMENTO!S$15,ROW(G60)-ROW(G$15),0))</f>
        <v>-</v>
      </c>
      <c r="H60" s="151">
        <f ca="1">IF($D60&lt;&gt;"Serviço",0,IF(ACOMPANHAMENTO="BM",ROUND(OFFSET(ORÇAMENTO!AJ$15,ROW(H60)-ROW(H$15),0),15-13*ORÇAMENTO!$AF$7),SUMPRODUCT(($Q$12:$AI$12&lt;&gt;"")*ROUND($Q60:$AI60,15-13*ORÇAMENTO!$AF$7))))</f>
        <v>33.840000000000003</v>
      </c>
      <c r="I60" s="650"/>
      <c r="K60" s="208"/>
      <c r="L60" s="209" t="s">
        <v>257</v>
      </c>
      <c r="M60" s="210">
        <f ca="1">IF($D60&lt;&gt;"Serviço","",IF(AUTOEVENTO="manual",$A60,IF(ISERROR(MATCH($A60,$A$15:OFFSET($A60,-1,0),0)),MAX($M$15:OFFSET(M60,-1,0))+1,INDEX($M$15:OFFSET(M60,-1,0),MATCH($A60,$A$15:OFFSET($A60,-1,0),0)))))</f>
        <v>0</v>
      </c>
      <c r="N60" s="211" t="str">
        <f ca="1">IF($D60&lt;&gt;"Serviço","",IF(AUTOEVENTO="Manual",IF($A60=0,"&lt;-- defina o número do agrupador",OFFSET(EVENTOS!$D$14,$A60,0)),OFFSET($F$15,$A60,0)))</f>
        <v>&lt;-- defina o número do agrupador</v>
      </c>
      <c r="O60" s="212"/>
      <c r="Q60" s="212"/>
      <c r="R60" s="213"/>
      <c r="S60" s="213"/>
      <c r="T60" s="213"/>
      <c r="U60" s="213"/>
      <c r="V60" s="213"/>
      <c r="W60" s="213"/>
      <c r="X60" s="213"/>
      <c r="Y60" s="213"/>
      <c r="Z60" s="214"/>
      <c r="AA60" s="213"/>
      <c r="AB60" s="213"/>
      <c r="AC60" s="213"/>
      <c r="AD60" s="213"/>
      <c r="AE60" s="213"/>
      <c r="AF60" s="213"/>
      <c r="AG60" s="213"/>
      <c r="AH60" s="214"/>
      <c r="AJ60" s="631">
        <f ca="1">IF(AND($D60="Serviço",AJ$12&lt;&gt;0,$H60&gt;0,OR(AUTOEVENTO&lt;&gt;"manual",$M60&lt;&gt;1)),ROUND(OFFSET($P60,0,AJ$13),15-13*ORÇAMENTO!$AF$7)/$H60*OFFSET(ORÇAMENTO!$X$15,ROW(AJ60)-ROW(AJ$15),0),0)</f>
        <v>0</v>
      </c>
      <c r="AK60" s="632">
        <f ca="1">IF(AND($D60="Serviço",AK$12&lt;&gt;0,$H60&gt;0,OR(AUTOEVENTO&lt;&gt;"manual",$M60&lt;&gt;1)),ROUND(OFFSET($P60,0,AK$13),15-13*ORÇAMENTO!$AF$7)/$H60*OFFSET(ORÇAMENTO!$X$15,ROW(AK60)-ROW(AK$15),0),0)</f>
        <v>0</v>
      </c>
      <c r="AL60" s="632">
        <f ca="1">IF(AND($D60="Serviço",AL$12&lt;&gt;0,$H60&gt;0,OR(AUTOEVENTO&lt;&gt;"manual",$M60&lt;&gt;1)),ROUND(OFFSET($P60,0,AL$13),15-13*ORÇAMENTO!$AF$7)/$H60*OFFSET(ORÇAMENTO!$X$15,ROW(AL60)-ROW(AL$15),0),0)</f>
        <v>0</v>
      </c>
      <c r="AM60" s="632">
        <f ca="1">IF(AND($D60="Serviço",AM$12&lt;&gt;0,$H60&gt;0,OR(AUTOEVENTO&lt;&gt;"manual",$M60&lt;&gt;1)),ROUND(OFFSET($P60,0,AM$13),15-13*ORÇAMENTO!$AF$7)/$H60*OFFSET(ORÇAMENTO!$X$15,ROW(AM60)-ROW(AM$15),0),0)</f>
        <v>0</v>
      </c>
      <c r="AN60" s="632">
        <f ca="1">IF(AND($D60="Serviço",AN$12&lt;&gt;0,$H60&gt;0,OR(AUTOEVENTO&lt;&gt;"manual",$M60&lt;&gt;1)),ROUND(OFFSET($P60,0,AN$13),15-13*ORÇAMENTO!$AF$7)/$H60*OFFSET(ORÇAMENTO!$X$15,ROW(AN60)-ROW(AN$15),0),0)</f>
        <v>0</v>
      </c>
      <c r="AO60" s="632">
        <f ca="1">IF(AND($D60="Serviço",AO$12&lt;&gt;0,$H60&gt;0,OR(AUTOEVENTO&lt;&gt;"manual",$M60&lt;&gt;1)),ROUND(OFFSET($P60,0,AO$13),15-13*ORÇAMENTO!$AF$7)/$H60*OFFSET(ORÇAMENTO!$X$15,ROW(AO60)-ROW(AO$15),0),0)</f>
        <v>0</v>
      </c>
      <c r="AP60" s="632">
        <f ca="1">IF(AND($D60="Serviço",AP$12&lt;&gt;0,$H60&gt;0,OR(AUTOEVENTO&lt;&gt;"manual",$M60&lt;&gt;1)),ROUND(OFFSET($P60,0,AP$13),15-13*ORÇAMENTO!$AF$7)/$H60*OFFSET(ORÇAMENTO!$X$15,ROW(AP60)-ROW(AP$15),0),0)</f>
        <v>0</v>
      </c>
      <c r="AQ60" s="632">
        <f ca="1">IF(AND($D60="Serviço",AQ$12&lt;&gt;0,$H60&gt;0,OR(AUTOEVENTO&lt;&gt;"manual",$M60&lt;&gt;1)),ROUND(OFFSET($P60,0,AQ$13),15-13*ORÇAMENTO!$AF$7)/$H60*OFFSET(ORÇAMENTO!$X$15,ROW(AQ60)-ROW(AQ$15),0),0)</f>
        <v>0</v>
      </c>
      <c r="AR60" s="632">
        <f ca="1">IF(AND($D60="Serviço",AR$12&lt;&gt;0,$H60&gt;0,OR(AUTOEVENTO&lt;&gt;"manual",$M60&lt;&gt;1)),ROUND(OFFSET($P60,0,AR$13),15-13*ORÇAMENTO!$AF$7)/$H60*OFFSET(ORÇAMENTO!$X$15,ROW(AR60)-ROW(AR$15),0),0)</f>
        <v>0</v>
      </c>
      <c r="AS60" s="633">
        <f ca="1">IF(AND($D60="Serviço",AS$12&lt;&gt;0,$H60&gt;0,OR(AUTOEVENTO&lt;&gt;"manual",$M60&lt;&gt;1)),ROUND(OFFSET($P60,0,AS$13),15-13*ORÇAMENTO!$AF$7)/$H60*OFFSET(ORÇAMENTO!$X$15,ROW(AS60)-ROW(AS$15),0),0)</f>
        <v>0</v>
      </c>
      <c r="AT60" s="632">
        <f ca="1">IF(AND($D60="Serviço",AT$12&lt;&gt;0,$H60&gt;0,OR(AUTOEVENTO&lt;&gt;"manual",$M60&lt;&gt;1)),ROUND(OFFSET($P60,0,AT$13),15-13*ORÇAMENTO!$AF$7)/$H60*OFFSET(ORÇAMENTO!$X$15,ROW(AT60)-ROW(AT$15),0),0)</f>
        <v>0</v>
      </c>
      <c r="AU60" s="632">
        <f ca="1">IF(AND($D60="Serviço",AU$12&lt;&gt;0,$H60&gt;0,OR(AUTOEVENTO&lt;&gt;"manual",$M60&lt;&gt;1)),ROUND(OFFSET($P60,0,AU$13),15-13*ORÇAMENTO!$AF$7)/$H60*OFFSET(ORÇAMENTO!$X$15,ROW(AU60)-ROW(AU$15),0),0)</f>
        <v>0</v>
      </c>
      <c r="AV60" s="632">
        <f ca="1">IF(AND($D60="Serviço",AV$12&lt;&gt;0,$H60&gt;0,OR(AUTOEVENTO&lt;&gt;"manual",$M60&lt;&gt;1)),ROUND(OFFSET($P60,0,AV$13),15-13*ORÇAMENTO!$AF$7)/$H60*OFFSET(ORÇAMENTO!$X$15,ROW(AV60)-ROW(AV$15),0),0)</f>
        <v>0</v>
      </c>
      <c r="AW60" s="632">
        <f ca="1">IF(AND($D60="Serviço",AW$12&lt;&gt;0,$H60&gt;0,OR(AUTOEVENTO&lt;&gt;"manual",$M60&lt;&gt;1)),ROUND(OFFSET($P60,0,AW$13),15-13*ORÇAMENTO!$AF$7)/$H60*OFFSET(ORÇAMENTO!$X$15,ROW(AW60)-ROW(AW$15),0),0)</f>
        <v>0</v>
      </c>
      <c r="AX60" s="632">
        <f ca="1">IF(AND($D60="Serviço",AX$12&lt;&gt;0,$H60&gt;0,OR(AUTOEVENTO&lt;&gt;"manual",$M60&lt;&gt;1)),ROUND(OFFSET($P60,0,AX$13),15-13*ORÇAMENTO!$AF$7)/$H60*OFFSET(ORÇAMENTO!$X$15,ROW(AX60)-ROW(AX$15),0),0)</f>
        <v>0</v>
      </c>
      <c r="AY60" s="632">
        <f ca="1">IF(AND($D60="Serviço",AY$12&lt;&gt;0,$H60&gt;0,OR(AUTOEVENTO&lt;&gt;"manual",$M60&lt;&gt;1)),ROUND(OFFSET($P60,0,AY$13),15-13*ORÇAMENTO!$AF$7)/$H60*OFFSET(ORÇAMENTO!$X$15,ROW(AY60)-ROW(AY$15),0),0)</f>
        <v>0</v>
      </c>
      <c r="AZ60" s="632">
        <f ca="1">IF(AND($D60="Serviço",AZ$12&lt;&gt;0,$H60&gt;0,OR(AUTOEVENTO&lt;&gt;"manual",$M60&lt;&gt;1)),ROUND(OFFSET($P60,0,AZ$13),15-13*ORÇAMENTO!$AF$7)/$H60*OFFSET(ORÇAMENTO!$X$15,ROW(AZ60)-ROW(AZ$15),0),0)</f>
        <v>0</v>
      </c>
      <c r="BA60" s="633">
        <f ca="1">IF(AND($D60="Serviço",BA$12&lt;&gt;0,$H60&gt;0,OR(AUTOEVENTO&lt;&gt;"manual",$M60&lt;&gt;1)),ROUND(OFFSET($P60,0,BA$13),15-13*ORÇAMENTO!$AF$7)/$H60*OFFSET(ORÇAMENTO!$X$15,ROW(BA60)-ROW(BA$15),0),0)</f>
        <v>0</v>
      </c>
      <c r="BC60" s="215">
        <f ca="1">IF($D60&lt;&gt;"Serviço",0,IF(AND(AUTOEVENTO="Manual",$M60=1),0,IF(OFFSET(CRONOPLE!$F$14,$M60,BC$13)="",10^12,OFFSET(CRONOPLE!$F$14,$M60,BC$13))))</f>
        <v>1000000000000</v>
      </c>
      <c r="BD60" s="215">
        <f ca="1">IF($D60&lt;&gt;"Serviço",0,IF(AND(AUTOEVENTO="Manual",$M60=1),0,IF(OFFSET(CRONOPLE!$F$14,$M60,BD$13)="",10^12,OFFSET(CRONOPLE!$F$14,$M60,BD$13))))</f>
        <v>1000000000000</v>
      </c>
      <c r="BE60" s="215">
        <f ca="1">IF($D60&lt;&gt;"Serviço",0,IF(AND(AUTOEVENTO="Manual",$M60=1),0,IF(OFFSET(CRONOPLE!$F$14,$M60,BE$13)="",10^12,OFFSET(CRONOPLE!$F$14,$M60,BE$13))))</f>
        <v>1000000000000</v>
      </c>
      <c r="BF60" s="215">
        <f ca="1">IF($D60&lt;&gt;"Serviço",0,IF(AND(AUTOEVENTO="Manual",$M60=1),0,IF(OFFSET(CRONOPLE!$F$14,$M60,BF$13)="",10^12,OFFSET(CRONOPLE!$F$14,$M60,BF$13))))</f>
        <v>1000000000000</v>
      </c>
      <c r="BG60" s="215">
        <f ca="1">IF($D60&lt;&gt;"Serviço",0,IF(AND(AUTOEVENTO="Manual",$M60=1),0,IF(OFFSET(CRONOPLE!$F$14,$M60,BG$13)="",10^12,OFFSET(CRONOPLE!$F$14,$M60,BG$13))))</f>
        <v>1000000000000</v>
      </c>
      <c r="BH60" s="215">
        <f ca="1">IF($D60&lt;&gt;"Serviço",0,IF(AND(AUTOEVENTO="Manual",$M60=1),0,IF(OFFSET(CRONOPLE!$F$14,$M60,BH$13)="",10^12,OFFSET(CRONOPLE!$F$14,$M60,BH$13))))</f>
        <v>1000000000000</v>
      </c>
      <c r="BI60" s="215">
        <f ca="1">IF($D60&lt;&gt;"Serviço",0,IF(AND(AUTOEVENTO="Manual",$M60=1),0,IF(OFFSET(CRONOPLE!$F$14,$M60,BI$13)="",10^12,OFFSET(CRONOPLE!$F$14,$M60,BI$13))))</f>
        <v>1000000000000</v>
      </c>
      <c r="BJ60" s="215">
        <f ca="1">IF($D60&lt;&gt;"Serviço",0,IF(AND(AUTOEVENTO="Manual",$M60=1),0,IF(OFFSET(CRONOPLE!$F$14,$M60,BJ$13)="",10^12,OFFSET(CRONOPLE!$F$14,$M60,BJ$13))))</f>
        <v>1000000000000</v>
      </c>
      <c r="BK60" s="215">
        <f ca="1">IF($D60&lt;&gt;"Serviço",0,IF(AND(AUTOEVENTO="Manual",$M60=1),0,IF(OFFSET(CRONOPLE!$F$14,$M60,BK$13)="",10^12,OFFSET(CRONOPLE!$F$14,$M60,BK$13))))</f>
        <v>1000000000000</v>
      </c>
      <c r="BL60" s="215">
        <f ca="1">IF($D60&lt;&gt;"Serviço",0,IF(AND(AUTOEVENTO="Manual",$M60=1),0,IF(OFFSET(CRONOPLE!$F$14,$M60,BL$13)="",10^12,OFFSET(CRONOPLE!$F$14,$M60,BL$13))))</f>
        <v>1000000000000</v>
      </c>
      <c r="BM60" s="215">
        <f ca="1">IF($D60&lt;&gt;"Serviço",0,IF(AND(AUTOEVENTO="Manual",$M60=1),0,IF(OFFSET(CRONOPLE!$F$14,$M60,BM$13)="",10^12,OFFSET(CRONOPLE!$F$14,$M60,BM$13))))</f>
        <v>1000000000000</v>
      </c>
      <c r="BN60" s="215">
        <f ca="1">IF($D60&lt;&gt;"Serviço",0,IF(AND(AUTOEVENTO="Manual",$M60=1),0,IF(OFFSET(CRONOPLE!$F$14,$M60,BN$13)="",10^12,OFFSET(CRONOPLE!$F$14,$M60,BN$13))))</f>
        <v>1000000000000</v>
      </c>
      <c r="BO60" s="215">
        <f ca="1">IF($D60&lt;&gt;"Serviço",0,IF(AND(AUTOEVENTO="Manual",$M60=1),0,IF(OFFSET(CRONOPLE!$F$14,$M60,BO$13)="",10^12,OFFSET(CRONOPLE!$F$14,$M60,BO$13))))</f>
        <v>1000000000000</v>
      </c>
      <c r="BP60" s="215">
        <f ca="1">IF($D60&lt;&gt;"Serviço",0,IF(AND(AUTOEVENTO="Manual",$M60=1),0,IF(OFFSET(CRONOPLE!$F$14,$M60,BP$13)="",10^12,OFFSET(CRONOPLE!$F$14,$M60,BP$13))))</f>
        <v>1000000000000</v>
      </c>
      <c r="BQ60" s="215">
        <f ca="1">IF($D60&lt;&gt;"Serviço",0,IF(AND(AUTOEVENTO="Manual",$M60=1),0,IF(OFFSET(CRONOPLE!$F$14,$M60,BQ$13)="",10^12,OFFSET(CRONOPLE!$F$14,$M60,BQ$13))))</f>
        <v>1000000000000</v>
      </c>
      <c r="BR60" s="215">
        <f ca="1">IF($D60&lt;&gt;"Serviço",0,IF(AND(AUTOEVENTO="Manual",$M60=1),0,IF(OFFSET(CRONOPLE!$F$14,$M60,BR$13)="",10^12,OFFSET(CRONOPLE!$F$14,$M60,BR$13))))</f>
        <v>1000000000000</v>
      </c>
      <c r="BS60" s="215">
        <f ca="1">IF($D60&lt;&gt;"Serviço",0,IF(AND(AUTOEVENTO="Manual",$M60=1),0,IF(OFFSET(CRONOPLE!$F$14,$M60,BS$13)="",10^12,OFFSET(CRONOPLE!$F$14,$M60,BS$13))))</f>
        <v>1000000000000</v>
      </c>
      <c r="BT60" s="215">
        <f ca="1">IF($D60&lt;&gt;"Serviço",0,IF(AND(AUTOEVENTO="Manual",$M60=1),0,IF(OFFSET(CRONOPLE!$F$14,$M60,BT$13)="",10^12,OFFSET(CRONOPLE!$F$14,$M60,BT$13))))</f>
        <v>1000000000000</v>
      </c>
      <c r="BV60" s="216">
        <f ca="1">IF($D60&lt;&gt;"Serviço",0,IF(OR(AND(AUTOEVENTO="Manual",$M60=1),$M60&gt;(ROW(PLE.lastrow)-ROW(PLE.firstrow))),0,IF(OFFSET(PLE!$G$14,$M60,BV$13)="",10^12,OFFSET(PLE!$G$14,$M60,BV$13))))</f>
        <v>1000000000000</v>
      </c>
      <c r="BW60" s="216">
        <f ca="1">IF($D60&lt;&gt;"Serviço",0,IF(OR(AND(AUTOEVENTO="Manual",$M60=1),$M60&gt;(ROW(PLE.lastrow)-ROW(PLE.firstrow))),0,IF(OFFSET(PLE!$G$14,$M60,BW$13)="",10^12,OFFSET(PLE!$G$14,$M60,BW$13))))</f>
        <v>1000000000000</v>
      </c>
      <c r="BX60" s="216">
        <f ca="1">IF($D60&lt;&gt;"Serviço",0,IF(OR(AND(AUTOEVENTO="Manual",$M60=1),$M60&gt;(ROW(PLE.lastrow)-ROW(PLE.firstrow))),0,IF(OFFSET(PLE!$G$14,$M60,BX$13)="",10^12,OFFSET(PLE!$G$14,$M60,BX$13))))</f>
        <v>1000000000000</v>
      </c>
      <c r="BY60" s="216">
        <f ca="1">IF($D60&lt;&gt;"Serviço",0,IF(OR(AND(AUTOEVENTO="Manual",$M60=1),$M60&gt;(ROW(PLE.lastrow)-ROW(PLE.firstrow))),0,IF(OFFSET(PLE!$G$14,$M60,BY$13)="",10^12,OFFSET(PLE!$G$14,$M60,BY$13))))</f>
        <v>1000000000000</v>
      </c>
      <c r="BZ60" s="216">
        <f ca="1">IF($D60&lt;&gt;"Serviço",0,IF(OR(AND(AUTOEVENTO="Manual",$M60=1),$M60&gt;(ROW(PLE.lastrow)-ROW(PLE.firstrow))),0,IF(OFFSET(PLE!$G$14,$M60,BZ$13)="",10^12,OFFSET(PLE!$G$14,$M60,BZ$13))))</f>
        <v>1000000000000</v>
      </c>
      <c r="CA60" s="216">
        <f ca="1">IF($D60&lt;&gt;"Serviço",0,IF(OR(AND(AUTOEVENTO="Manual",$M60=1),$M60&gt;(ROW(PLE.lastrow)-ROW(PLE.firstrow))),0,IF(OFFSET(PLE!$G$14,$M60,CA$13)="",10^12,OFFSET(PLE!$G$14,$M60,CA$13))))</f>
        <v>1000000000000</v>
      </c>
      <c r="CB60" s="216">
        <f ca="1">IF($D60&lt;&gt;"Serviço",0,IF(OR(AND(AUTOEVENTO="Manual",$M60=1),$M60&gt;(ROW(PLE.lastrow)-ROW(PLE.firstrow))),0,IF(OFFSET(PLE!$G$14,$M60,CB$13)="",10^12,OFFSET(PLE!$G$14,$M60,CB$13))))</f>
        <v>1000000000000</v>
      </c>
      <c r="CC60" s="216">
        <f ca="1">IF($D60&lt;&gt;"Serviço",0,IF(OR(AND(AUTOEVENTO="Manual",$M60=1),$M60&gt;(ROW(PLE.lastrow)-ROW(PLE.firstrow))),0,IF(OFFSET(PLE!$G$14,$M60,CC$13)="",10^12,OFFSET(PLE!$G$14,$M60,CC$13))))</f>
        <v>1000000000000</v>
      </c>
      <c r="CD60" s="216">
        <f ca="1">IF($D60&lt;&gt;"Serviço",0,IF(OR(AND(AUTOEVENTO="Manual",$M60=1),$M60&gt;(ROW(PLE.lastrow)-ROW(PLE.firstrow))),0,IF(OFFSET(PLE!$G$14,$M60,CD$13)="",10^12,OFFSET(PLE!$G$14,$M60,CD$13))))</f>
        <v>1000000000000</v>
      </c>
      <c r="CE60" s="216">
        <f ca="1">IF($D60&lt;&gt;"Serviço",0,IF(OR(AND(AUTOEVENTO="Manual",$M60=1),$M60&gt;(ROW(PLE.lastrow)-ROW(PLE.firstrow))),0,IF(OFFSET(PLE!$G$14,$M60,CE$13)="",10^12,OFFSET(PLE!$G$14,$M60,CE$13))))</f>
        <v>1000000000000</v>
      </c>
      <c r="CF60" s="216">
        <f ca="1">IF($D60&lt;&gt;"Serviço",0,IF(OR(AND(AUTOEVENTO="Manual",$M60=1),$M60&gt;(ROW(PLE.lastrow)-ROW(PLE.firstrow))),0,IF(OFFSET(PLE!$G$14,$M60,CF$13)="",10^12,OFFSET(PLE!$G$14,$M60,CF$13))))</f>
        <v>1000000000000</v>
      </c>
      <c r="CG60" s="216">
        <f ca="1">IF($D60&lt;&gt;"Serviço",0,IF(OR(AND(AUTOEVENTO="Manual",$M60=1),$M60&gt;(ROW(PLE.lastrow)-ROW(PLE.firstrow))),0,IF(OFFSET(PLE!$G$14,$M60,CG$13)="",10^12,OFFSET(PLE!$G$14,$M60,CG$13))))</f>
        <v>1000000000000</v>
      </c>
      <c r="CH60" s="216">
        <f ca="1">IF($D60&lt;&gt;"Serviço",0,IF(OR(AND(AUTOEVENTO="Manual",$M60=1),$M60&gt;(ROW(PLE.lastrow)-ROW(PLE.firstrow))),0,IF(OFFSET(PLE!$G$14,$M60,CH$13)="",10^12,OFFSET(PLE!$G$14,$M60,CH$13))))</f>
        <v>1000000000000</v>
      </c>
      <c r="CI60" s="216">
        <f ca="1">IF($D60&lt;&gt;"Serviço",0,IF(OR(AND(AUTOEVENTO="Manual",$M60=1),$M60&gt;(ROW(PLE.lastrow)-ROW(PLE.firstrow))),0,IF(OFFSET(PLE!$G$14,$M60,CI$13)="",10^12,OFFSET(PLE!$G$14,$M60,CI$13))))</f>
        <v>1000000000000</v>
      </c>
      <c r="CJ60" s="216">
        <f ca="1">IF($D60&lt;&gt;"Serviço",0,IF(OR(AND(AUTOEVENTO="Manual",$M60=1),$M60&gt;(ROW(PLE.lastrow)-ROW(PLE.firstrow))),0,IF(OFFSET(PLE!$G$14,$M60,CJ$13)="",10^12,OFFSET(PLE!$G$14,$M60,CJ$13))))</f>
        <v>1000000000000</v>
      </c>
      <c r="CK60" s="216">
        <f ca="1">IF($D60&lt;&gt;"Serviço",0,IF(OR(AND(AUTOEVENTO="Manual",$M60=1),$M60&gt;(ROW(PLE.lastrow)-ROW(PLE.firstrow))),0,IF(OFFSET(PLE!$G$14,$M60,CK$13)="",10^12,OFFSET(PLE!$G$14,$M60,CK$13))))</f>
        <v>1000000000000</v>
      </c>
      <c r="CL60" s="216">
        <f ca="1">IF($D60&lt;&gt;"Serviço",0,IF(OR(AND(AUTOEVENTO="Manual",$M60=1),$M60&gt;(ROW(PLE.lastrow)-ROW(PLE.firstrow))),0,IF(OFFSET(PLE!$G$14,$M60,CL$13)="",10^12,OFFSET(PLE!$G$14,$M60,CL$13))))</f>
        <v>1000000000000</v>
      </c>
      <c r="CM60" s="216">
        <f ca="1">IF($D60&lt;&gt;"Serviço",0,IF(OR(AND(AUTOEVENTO="Manual",$M60=1),$M60&gt;(ROW(PLE.lastrow)-ROW(PLE.firstrow))),0,IF(OFFSET(PLE!$G$14,$M60,CM$13)="",10^12,OFFSET(PLE!$G$14,$M60,CM$13))))</f>
        <v>1000000000000</v>
      </c>
    </row>
    <row r="61" spans="1:91" ht="13.2" x14ac:dyDescent="0.25">
      <c r="A61" s="9">
        <f t="shared" ca="1" si="9"/>
        <v>0</v>
      </c>
      <c r="B61" s="9" t="str">
        <f ca="1">OFFSET(ORÇAMENTO!C$15,ROW(B61)-ROW(B$15),0)</f>
        <v>S</v>
      </c>
      <c r="C61" s="9" t="str">
        <f ca="1">OFFSET(ORÇAMENTO!L$15,ROW(C61)-ROW(C$15),0)</f>
        <v/>
      </c>
      <c r="D61" s="145" t="str">
        <f ca="1">OFFSET(ORÇAMENTO!N$15,ROW(D61)-ROW(D$15),0)</f>
        <v>Serviço</v>
      </c>
      <c r="E61" s="205" t="str">
        <f ca="1">OFFSET(ORÇAMENTO!O$15,ROW(E61)-ROW(E$15),0)</f>
        <v>-</v>
      </c>
      <c r="F61" s="206" t="str">
        <f ca="1">OFFSET(ORÇAMENTO!R$15,ROW(F61)-ROW(F$15),0)</f>
        <v>(abra o arquivo 'Referência 05-2024.xls)</v>
      </c>
      <c r="G61" s="207" t="str">
        <f ca="1">IF($D61&lt;&gt;"Serviço","",OFFSET(ORÇAMENTO!S$15,ROW(G61)-ROW(G$15),0))</f>
        <v>-</v>
      </c>
      <c r="H61" s="151">
        <f ca="1">IF($D61&lt;&gt;"Serviço",0,IF(ACOMPANHAMENTO="BM",ROUND(OFFSET(ORÇAMENTO!AJ$15,ROW(H61)-ROW(H$15),0),15-13*ORÇAMENTO!$AF$7),SUMPRODUCT(($Q$12:$AI$12&lt;&gt;"")*ROUND($Q61:$AI61,15-13*ORÇAMENTO!$AF$7))))</f>
        <v>1381.41</v>
      </c>
      <c r="I61" s="650"/>
      <c r="K61" s="208"/>
      <c r="L61" s="209" t="s">
        <v>257</v>
      </c>
      <c r="M61" s="210">
        <f ca="1">IF($D61&lt;&gt;"Serviço","",IF(AUTOEVENTO="manual",$A61,IF(ISERROR(MATCH($A61,$A$15:OFFSET($A61,-1,0),0)),MAX($M$15:OFFSET(M61,-1,0))+1,INDEX($M$15:OFFSET(M61,-1,0),MATCH($A61,$A$15:OFFSET($A61,-1,0),0)))))</f>
        <v>0</v>
      </c>
      <c r="N61" s="211" t="str">
        <f ca="1">IF($D61&lt;&gt;"Serviço","",IF(AUTOEVENTO="Manual",IF($A61=0,"&lt;-- defina o número do agrupador",OFFSET(EVENTOS!$D$14,$A61,0)),OFFSET($F$15,$A61,0)))</f>
        <v>&lt;-- defina o número do agrupador</v>
      </c>
      <c r="O61" s="212"/>
      <c r="Q61" s="212"/>
      <c r="R61" s="213"/>
      <c r="S61" s="213"/>
      <c r="T61" s="213"/>
      <c r="U61" s="213"/>
      <c r="V61" s="213"/>
      <c r="W61" s="213"/>
      <c r="X61" s="213"/>
      <c r="Y61" s="213"/>
      <c r="Z61" s="214"/>
      <c r="AA61" s="213"/>
      <c r="AB61" s="213"/>
      <c r="AC61" s="213"/>
      <c r="AD61" s="213"/>
      <c r="AE61" s="213"/>
      <c r="AF61" s="213"/>
      <c r="AG61" s="213"/>
      <c r="AH61" s="214"/>
      <c r="AJ61" s="631">
        <f ca="1">IF(AND($D61="Serviço",AJ$12&lt;&gt;0,$H61&gt;0,OR(AUTOEVENTO&lt;&gt;"manual",$M61&lt;&gt;1)),ROUND(OFFSET($P61,0,AJ$13),15-13*ORÇAMENTO!$AF$7)/$H61*OFFSET(ORÇAMENTO!$X$15,ROW(AJ61)-ROW(AJ$15),0),0)</f>
        <v>0</v>
      </c>
      <c r="AK61" s="632">
        <f ca="1">IF(AND($D61="Serviço",AK$12&lt;&gt;0,$H61&gt;0,OR(AUTOEVENTO&lt;&gt;"manual",$M61&lt;&gt;1)),ROUND(OFFSET($P61,0,AK$13),15-13*ORÇAMENTO!$AF$7)/$H61*OFFSET(ORÇAMENTO!$X$15,ROW(AK61)-ROW(AK$15),0),0)</f>
        <v>0</v>
      </c>
      <c r="AL61" s="632">
        <f ca="1">IF(AND($D61="Serviço",AL$12&lt;&gt;0,$H61&gt;0,OR(AUTOEVENTO&lt;&gt;"manual",$M61&lt;&gt;1)),ROUND(OFFSET($P61,0,AL$13),15-13*ORÇAMENTO!$AF$7)/$H61*OFFSET(ORÇAMENTO!$X$15,ROW(AL61)-ROW(AL$15),0),0)</f>
        <v>0</v>
      </c>
      <c r="AM61" s="632">
        <f ca="1">IF(AND($D61="Serviço",AM$12&lt;&gt;0,$H61&gt;0,OR(AUTOEVENTO&lt;&gt;"manual",$M61&lt;&gt;1)),ROUND(OFFSET($P61,0,AM$13),15-13*ORÇAMENTO!$AF$7)/$H61*OFFSET(ORÇAMENTO!$X$15,ROW(AM61)-ROW(AM$15),0),0)</f>
        <v>0</v>
      </c>
      <c r="AN61" s="632">
        <f ca="1">IF(AND($D61="Serviço",AN$12&lt;&gt;0,$H61&gt;0,OR(AUTOEVENTO&lt;&gt;"manual",$M61&lt;&gt;1)),ROUND(OFFSET($P61,0,AN$13),15-13*ORÇAMENTO!$AF$7)/$H61*OFFSET(ORÇAMENTO!$X$15,ROW(AN61)-ROW(AN$15),0),0)</f>
        <v>0</v>
      </c>
      <c r="AO61" s="632">
        <f ca="1">IF(AND($D61="Serviço",AO$12&lt;&gt;0,$H61&gt;0,OR(AUTOEVENTO&lt;&gt;"manual",$M61&lt;&gt;1)),ROUND(OFFSET($P61,0,AO$13),15-13*ORÇAMENTO!$AF$7)/$H61*OFFSET(ORÇAMENTO!$X$15,ROW(AO61)-ROW(AO$15),0),0)</f>
        <v>0</v>
      </c>
      <c r="AP61" s="632">
        <f ca="1">IF(AND($D61="Serviço",AP$12&lt;&gt;0,$H61&gt;0,OR(AUTOEVENTO&lt;&gt;"manual",$M61&lt;&gt;1)),ROUND(OFFSET($P61,0,AP$13),15-13*ORÇAMENTO!$AF$7)/$H61*OFFSET(ORÇAMENTO!$X$15,ROW(AP61)-ROW(AP$15),0),0)</f>
        <v>0</v>
      </c>
      <c r="AQ61" s="632">
        <f ca="1">IF(AND($D61="Serviço",AQ$12&lt;&gt;0,$H61&gt;0,OR(AUTOEVENTO&lt;&gt;"manual",$M61&lt;&gt;1)),ROUND(OFFSET($P61,0,AQ$13),15-13*ORÇAMENTO!$AF$7)/$H61*OFFSET(ORÇAMENTO!$X$15,ROW(AQ61)-ROW(AQ$15),0),0)</f>
        <v>0</v>
      </c>
      <c r="AR61" s="632">
        <f ca="1">IF(AND($D61="Serviço",AR$12&lt;&gt;0,$H61&gt;0,OR(AUTOEVENTO&lt;&gt;"manual",$M61&lt;&gt;1)),ROUND(OFFSET($P61,0,AR$13),15-13*ORÇAMENTO!$AF$7)/$H61*OFFSET(ORÇAMENTO!$X$15,ROW(AR61)-ROW(AR$15),0),0)</f>
        <v>0</v>
      </c>
      <c r="AS61" s="633">
        <f ca="1">IF(AND($D61="Serviço",AS$12&lt;&gt;0,$H61&gt;0,OR(AUTOEVENTO&lt;&gt;"manual",$M61&lt;&gt;1)),ROUND(OFFSET($P61,0,AS$13),15-13*ORÇAMENTO!$AF$7)/$H61*OFFSET(ORÇAMENTO!$X$15,ROW(AS61)-ROW(AS$15),0),0)</f>
        <v>0</v>
      </c>
      <c r="AT61" s="632">
        <f ca="1">IF(AND($D61="Serviço",AT$12&lt;&gt;0,$H61&gt;0,OR(AUTOEVENTO&lt;&gt;"manual",$M61&lt;&gt;1)),ROUND(OFFSET($P61,0,AT$13),15-13*ORÇAMENTO!$AF$7)/$H61*OFFSET(ORÇAMENTO!$X$15,ROW(AT61)-ROW(AT$15),0),0)</f>
        <v>0</v>
      </c>
      <c r="AU61" s="632">
        <f ca="1">IF(AND($D61="Serviço",AU$12&lt;&gt;0,$H61&gt;0,OR(AUTOEVENTO&lt;&gt;"manual",$M61&lt;&gt;1)),ROUND(OFFSET($P61,0,AU$13),15-13*ORÇAMENTO!$AF$7)/$H61*OFFSET(ORÇAMENTO!$X$15,ROW(AU61)-ROW(AU$15),0),0)</f>
        <v>0</v>
      </c>
      <c r="AV61" s="632">
        <f ca="1">IF(AND($D61="Serviço",AV$12&lt;&gt;0,$H61&gt;0,OR(AUTOEVENTO&lt;&gt;"manual",$M61&lt;&gt;1)),ROUND(OFFSET($P61,0,AV$13),15-13*ORÇAMENTO!$AF$7)/$H61*OFFSET(ORÇAMENTO!$X$15,ROW(AV61)-ROW(AV$15),0),0)</f>
        <v>0</v>
      </c>
      <c r="AW61" s="632">
        <f ca="1">IF(AND($D61="Serviço",AW$12&lt;&gt;0,$H61&gt;0,OR(AUTOEVENTO&lt;&gt;"manual",$M61&lt;&gt;1)),ROUND(OFFSET($P61,0,AW$13),15-13*ORÇAMENTO!$AF$7)/$H61*OFFSET(ORÇAMENTO!$X$15,ROW(AW61)-ROW(AW$15),0),0)</f>
        <v>0</v>
      </c>
      <c r="AX61" s="632">
        <f ca="1">IF(AND($D61="Serviço",AX$12&lt;&gt;0,$H61&gt;0,OR(AUTOEVENTO&lt;&gt;"manual",$M61&lt;&gt;1)),ROUND(OFFSET($P61,0,AX$13),15-13*ORÇAMENTO!$AF$7)/$H61*OFFSET(ORÇAMENTO!$X$15,ROW(AX61)-ROW(AX$15),0),0)</f>
        <v>0</v>
      </c>
      <c r="AY61" s="632">
        <f ca="1">IF(AND($D61="Serviço",AY$12&lt;&gt;0,$H61&gt;0,OR(AUTOEVENTO&lt;&gt;"manual",$M61&lt;&gt;1)),ROUND(OFFSET($P61,0,AY$13),15-13*ORÇAMENTO!$AF$7)/$H61*OFFSET(ORÇAMENTO!$X$15,ROW(AY61)-ROW(AY$15),0),0)</f>
        <v>0</v>
      </c>
      <c r="AZ61" s="632">
        <f ca="1">IF(AND($D61="Serviço",AZ$12&lt;&gt;0,$H61&gt;0,OR(AUTOEVENTO&lt;&gt;"manual",$M61&lt;&gt;1)),ROUND(OFFSET($P61,0,AZ$13),15-13*ORÇAMENTO!$AF$7)/$H61*OFFSET(ORÇAMENTO!$X$15,ROW(AZ61)-ROW(AZ$15),0),0)</f>
        <v>0</v>
      </c>
      <c r="BA61" s="633">
        <f ca="1">IF(AND($D61="Serviço",BA$12&lt;&gt;0,$H61&gt;0,OR(AUTOEVENTO&lt;&gt;"manual",$M61&lt;&gt;1)),ROUND(OFFSET($P61,0,BA$13),15-13*ORÇAMENTO!$AF$7)/$H61*OFFSET(ORÇAMENTO!$X$15,ROW(BA61)-ROW(BA$15),0),0)</f>
        <v>0</v>
      </c>
      <c r="BC61" s="215">
        <f ca="1">IF($D61&lt;&gt;"Serviço",0,IF(AND(AUTOEVENTO="Manual",$M61=1),0,IF(OFFSET(CRONOPLE!$F$14,$M61,BC$13)="",10^12,OFFSET(CRONOPLE!$F$14,$M61,BC$13))))</f>
        <v>1000000000000</v>
      </c>
      <c r="BD61" s="215">
        <f ca="1">IF($D61&lt;&gt;"Serviço",0,IF(AND(AUTOEVENTO="Manual",$M61=1),0,IF(OFFSET(CRONOPLE!$F$14,$M61,BD$13)="",10^12,OFFSET(CRONOPLE!$F$14,$M61,BD$13))))</f>
        <v>1000000000000</v>
      </c>
      <c r="BE61" s="215">
        <f ca="1">IF($D61&lt;&gt;"Serviço",0,IF(AND(AUTOEVENTO="Manual",$M61=1),0,IF(OFFSET(CRONOPLE!$F$14,$M61,BE$13)="",10^12,OFFSET(CRONOPLE!$F$14,$M61,BE$13))))</f>
        <v>1000000000000</v>
      </c>
      <c r="BF61" s="215">
        <f ca="1">IF($D61&lt;&gt;"Serviço",0,IF(AND(AUTOEVENTO="Manual",$M61=1),0,IF(OFFSET(CRONOPLE!$F$14,$M61,BF$13)="",10^12,OFFSET(CRONOPLE!$F$14,$M61,BF$13))))</f>
        <v>1000000000000</v>
      </c>
      <c r="BG61" s="215">
        <f ca="1">IF($D61&lt;&gt;"Serviço",0,IF(AND(AUTOEVENTO="Manual",$M61=1),0,IF(OFFSET(CRONOPLE!$F$14,$M61,BG$13)="",10^12,OFFSET(CRONOPLE!$F$14,$M61,BG$13))))</f>
        <v>1000000000000</v>
      </c>
      <c r="BH61" s="215">
        <f ca="1">IF($D61&lt;&gt;"Serviço",0,IF(AND(AUTOEVENTO="Manual",$M61=1),0,IF(OFFSET(CRONOPLE!$F$14,$M61,BH$13)="",10^12,OFFSET(CRONOPLE!$F$14,$M61,BH$13))))</f>
        <v>1000000000000</v>
      </c>
      <c r="BI61" s="215">
        <f ca="1">IF($D61&lt;&gt;"Serviço",0,IF(AND(AUTOEVENTO="Manual",$M61=1),0,IF(OFFSET(CRONOPLE!$F$14,$M61,BI$13)="",10^12,OFFSET(CRONOPLE!$F$14,$M61,BI$13))))</f>
        <v>1000000000000</v>
      </c>
      <c r="BJ61" s="215">
        <f ca="1">IF($D61&lt;&gt;"Serviço",0,IF(AND(AUTOEVENTO="Manual",$M61=1),0,IF(OFFSET(CRONOPLE!$F$14,$M61,BJ$13)="",10^12,OFFSET(CRONOPLE!$F$14,$M61,BJ$13))))</f>
        <v>1000000000000</v>
      </c>
      <c r="BK61" s="215">
        <f ca="1">IF($D61&lt;&gt;"Serviço",0,IF(AND(AUTOEVENTO="Manual",$M61=1),0,IF(OFFSET(CRONOPLE!$F$14,$M61,BK$13)="",10^12,OFFSET(CRONOPLE!$F$14,$M61,BK$13))))</f>
        <v>1000000000000</v>
      </c>
      <c r="BL61" s="215">
        <f ca="1">IF($D61&lt;&gt;"Serviço",0,IF(AND(AUTOEVENTO="Manual",$M61=1),0,IF(OFFSET(CRONOPLE!$F$14,$M61,BL$13)="",10^12,OFFSET(CRONOPLE!$F$14,$M61,BL$13))))</f>
        <v>1000000000000</v>
      </c>
      <c r="BM61" s="215">
        <f ca="1">IF($D61&lt;&gt;"Serviço",0,IF(AND(AUTOEVENTO="Manual",$M61=1),0,IF(OFFSET(CRONOPLE!$F$14,$M61,BM$13)="",10^12,OFFSET(CRONOPLE!$F$14,$M61,BM$13))))</f>
        <v>1000000000000</v>
      </c>
      <c r="BN61" s="215">
        <f ca="1">IF($D61&lt;&gt;"Serviço",0,IF(AND(AUTOEVENTO="Manual",$M61=1),0,IF(OFFSET(CRONOPLE!$F$14,$M61,BN$13)="",10^12,OFFSET(CRONOPLE!$F$14,$M61,BN$13))))</f>
        <v>1000000000000</v>
      </c>
      <c r="BO61" s="215">
        <f ca="1">IF($D61&lt;&gt;"Serviço",0,IF(AND(AUTOEVENTO="Manual",$M61=1),0,IF(OFFSET(CRONOPLE!$F$14,$M61,BO$13)="",10^12,OFFSET(CRONOPLE!$F$14,$M61,BO$13))))</f>
        <v>1000000000000</v>
      </c>
      <c r="BP61" s="215">
        <f ca="1">IF($D61&lt;&gt;"Serviço",0,IF(AND(AUTOEVENTO="Manual",$M61=1),0,IF(OFFSET(CRONOPLE!$F$14,$M61,BP$13)="",10^12,OFFSET(CRONOPLE!$F$14,$M61,BP$13))))</f>
        <v>1000000000000</v>
      </c>
      <c r="BQ61" s="215">
        <f ca="1">IF($D61&lt;&gt;"Serviço",0,IF(AND(AUTOEVENTO="Manual",$M61=1),0,IF(OFFSET(CRONOPLE!$F$14,$M61,BQ$13)="",10^12,OFFSET(CRONOPLE!$F$14,$M61,BQ$13))))</f>
        <v>1000000000000</v>
      </c>
      <c r="BR61" s="215">
        <f ca="1">IF($D61&lt;&gt;"Serviço",0,IF(AND(AUTOEVENTO="Manual",$M61=1),0,IF(OFFSET(CRONOPLE!$F$14,$M61,BR$13)="",10^12,OFFSET(CRONOPLE!$F$14,$M61,BR$13))))</f>
        <v>1000000000000</v>
      </c>
      <c r="BS61" s="215">
        <f ca="1">IF($D61&lt;&gt;"Serviço",0,IF(AND(AUTOEVENTO="Manual",$M61=1),0,IF(OFFSET(CRONOPLE!$F$14,$M61,BS$13)="",10^12,OFFSET(CRONOPLE!$F$14,$M61,BS$13))))</f>
        <v>1000000000000</v>
      </c>
      <c r="BT61" s="215">
        <f ca="1">IF($D61&lt;&gt;"Serviço",0,IF(AND(AUTOEVENTO="Manual",$M61=1),0,IF(OFFSET(CRONOPLE!$F$14,$M61,BT$13)="",10^12,OFFSET(CRONOPLE!$F$14,$M61,BT$13))))</f>
        <v>1000000000000</v>
      </c>
      <c r="BV61" s="216">
        <f ca="1">IF($D61&lt;&gt;"Serviço",0,IF(OR(AND(AUTOEVENTO="Manual",$M61=1),$M61&gt;(ROW(PLE.lastrow)-ROW(PLE.firstrow))),0,IF(OFFSET(PLE!$G$14,$M61,BV$13)="",10^12,OFFSET(PLE!$G$14,$M61,BV$13))))</f>
        <v>1000000000000</v>
      </c>
      <c r="BW61" s="216">
        <f ca="1">IF($D61&lt;&gt;"Serviço",0,IF(OR(AND(AUTOEVENTO="Manual",$M61=1),$M61&gt;(ROW(PLE.lastrow)-ROW(PLE.firstrow))),0,IF(OFFSET(PLE!$G$14,$M61,BW$13)="",10^12,OFFSET(PLE!$G$14,$M61,BW$13))))</f>
        <v>1000000000000</v>
      </c>
      <c r="BX61" s="216">
        <f ca="1">IF($D61&lt;&gt;"Serviço",0,IF(OR(AND(AUTOEVENTO="Manual",$M61=1),$M61&gt;(ROW(PLE.lastrow)-ROW(PLE.firstrow))),0,IF(OFFSET(PLE!$G$14,$M61,BX$13)="",10^12,OFFSET(PLE!$G$14,$M61,BX$13))))</f>
        <v>1000000000000</v>
      </c>
      <c r="BY61" s="216">
        <f ca="1">IF($D61&lt;&gt;"Serviço",0,IF(OR(AND(AUTOEVENTO="Manual",$M61=1),$M61&gt;(ROW(PLE.lastrow)-ROW(PLE.firstrow))),0,IF(OFFSET(PLE!$G$14,$M61,BY$13)="",10^12,OFFSET(PLE!$G$14,$M61,BY$13))))</f>
        <v>1000000000000</v>
      </c>
      <c r="BZ61" s="216">
        <f ca="1">IF($D61&lt;&gt;"Serviço",0,IF(OR(AND(AUTOEVENTO="Manual",$M61=1),$M61&gt;(ROW(PLE.lastrow)-ROW(PLE.firstrow))),0,IF(OFFSET(PLE!$G$14,$M61,BZ$13)="",10^12,OFFSET(PLE!$G$14,$M61,BZ$13))))</f>
        <v>1000000000000</v>
      </c>
      <c r="CA61" s="216">
        <f ca="1">IF($D61&lt;&gt;"Serviço",0,IF(OR(AND(AUTOEVENTO="Manual",$M61=1),$M61&gt;(ROW(PLE.lastrow)-ROW(PLE.firstrow))),0,IF(OFFSET(PLE!$G$14,$M61,CA$13)="",10^12,OFFSET(PLE!$G$14,$M61,CA$13))))</f>
        <v>1000000000000</v>
      </c>
      <c r="CB61" s="216">
        <f ca="1">IF($D61&lt;&gt;"Serviço",0,IF(OR(AND(AUTOEVENTO="Manual",$M61=1),$M61&gt;(ROW(PLE.lastrow)-ROW(PLE.firstrow))),0,IF(OFFSET(PLE!$G$14,$M61,CB$13)="",10^12,OFFSET(PLE!$G$14,$M61,CB$13))))</f>
        <v>1000000000000</v>
      </c>
      <c r="CC61" s="216">
        <f ca="1">IF($D61&lt;&gt;"Serviço",0,IF(OR(AND(AUTOEVENTO="Manual",$M61=1),$M61&gt;(ROW(PLE.lastrow)-ROW(PLE.firstrow))),0,IF(OFFSET(PLE!$G$14,$M61,CC$13)="",10^12,OFFSET(PLE!$G$14,$M61,CC$13))))</f>
        <v>1000000000000</v>
      </c>
      <c r="CD61" s="216">
        <f ca="1">IF($D61&lt;&gt;"Serviço",0,IF(OR(AND(AUTOEVENTO="Manual",$M61=1),$M61&gt;(ROW(PLE.lastrow)-ROW(PLE.firstrow))),0,IF(OFFSET(PLE!$G$14,$M61,CD$13)="",10^12,OFFSET(PLE!$G$14,$M61,CD$13))))</f>
        <v>1000000000000</v>
      </c>
      <c r="CE61" s="216">
        <f ca="1">IF($D61&lt;&gt;"Serviço",0,IF(OR(AND(AUTOEVENTO="Manual",$M61=1),$M61&gt;(ROW(PLE.lastrow)-ROW(PLE.firstrow))),0,IF(OFFSET(PLE!$G$14,$M61,CE$13)="",10^12,OFFSET(PLE!$G$14,$M61,CE$13))))</f>
        <v>1000000000000</v>
      </c>
      <c r="CF61" s="216">
        <f ca="1">IF($D61&lt;&gt;"Serviço",0,IF(OR(AND(AUTOEVENTO="Manual",$M61=1),$M61&gt;(ROW(PLE.lastrow)-ROW(PLE.firstrow))),0,IF(OFFSET(PLE!$G$14,$M61,CF$13)="",10^12,OFFSET(PLE!$G$14,$M61,CF$13))))</f>
        <v>1000000000000</v>
      </c>
      <c r="CG61" s="216">
        <f ca="1">IF($D61&lt;&gt;"Serviço",0,IF(OR(AND(AUTOEVENTO="Manual",$M61=1),$M61&gt;(ROW(PLE.lastrow)-ROW(PLE.firstrow))),0,IF(OFFSET(PLE!$G$14,$M61,CG$13)="",10^12,OFFSET(PLE!$G$14,$M61,CG$13))))</f>
        <v>1000000000000</v>
      </c>
      <c r="CH61" s="216">
        <f ca="1">IF($D61&lt;&gt;"Serviço",0,IF(OR(AND(AUTOEVENTO="Manual",$M61=1),$M61&gt;(ROW(PLE.lastrow)-ROW(PLE.firstrow))),0,IF(OFFSET(PLE!$G$14,$M61,CH$13)="",10^12,OFFSET(PLE!$G$14,$M61,CH$13))))</f>
        <v>1000000000000</v>
      </c>
      <c r="CI61" s="216">
        <f ca="1">IF($D61&lt;&gt;"Serviço",0,IF(OR(AND(AUTOEVENTO="Manual",$M61=1),$M61&gt;(ROW(PLE.lastrow)-ROW(PLE.firstrow))),0,IF(OFFSET(PLE!$G$14,$M61,CI$13)="",10^12,OFFSET(PLE!$G$14,$M61,CI$13))))</f>
        <v>1000000000000</v>
      </c>
      <c r="CJ61" s="216">
        <f ca="1">IF($D61&lt;&gt;"Serviço",0,IF(OR(AND(AUTOEVENTO="Manual",$M61=1),$M61&gt;(ROW(PLE.lastrow)-ROW(PLE.firstrow))),0,IF(OFFSET(PLE!$G$14,$M61,CJ$13)="",10^12,OFFSET(PLE!$G$14,$M61,CJ$13))))</f>
        <v>1000000000000</v>
      </c>
      <c r="CK61" s="216">
        <f ca="1">IF($D61&lt;&gt;"Serviço",0,IF(OR(AND(AUTOEVENTO="Manual",$M61=1),$M61&gt;(ROW(PLE.lastrow)-ROW(PLE.firstrow))),0,IF(OFFSET(PLE!$G$14,$M61,CK$13)="",10^12,OFFSET(PLE!$G$14,$M61,CK$13))))</f>
        <v>1000000000000</v>
      </c>
      <c r="CL61" s="216">
        <f ca="1">IF($D61&lt;&gt;"Serviço",0,IF(OR(AND(AUTOEVENTO="Manual",$M61=1),$M61&gt;(ROW(PLE.lastrow)-ROW(PLE.firstrow))),0,IF(OFFSET(PLE!$G$14,$M61,CL$13)="",10^12,OFFSET(PLE!$G$14,$M61,CL$13))))</f>
        <v>1000000000000</v>
      </c>
      <c r="CM61" s="216">
        <f ca="1">IF($D61&lt;&gt;"Serviço",0,IF(OR(AND(AUTOEVENTO="Manual",$M61=1),$M61&gt;(ROW(PLE.lastrow)-ROW(PLE.firstrow))),0,IF(OFFSET(PLE!$G$14,$M61,CM$13)="",10^12,OFFSET(PLE!$G$14,$M61,CM$13))))</f>
        <v>1000000000000</v>
      </c>
    </row>
    <row r="62" spans="1:91" ht="13.2" x14ac:dyDescent="0.25">
      <c r="A62" s="9">
        <f t="shared" ca="1" si="9"/>
        <v>0</v>
      </c>
      <c r="B62" s="9" t="str">
        <f ca="1">OFFSET(ORÇAMENTO!C$15,ROW(B62)-ROW(B$15),0)</f>
        <v>S</v>
      </c>
      <c r="C62" s="9" t="str">
        <f ca="1">OFFSET(ORÇAMENTO!L$15,ROW(C62)-ROW(C$15),0)</f>
        <v/>
      </c>
      <c r="D62" s="145" t="str">
        <f ca="1">OFFSET(ORÇAMENTO!N$15,ROW(D62)-ROW(D$15),0)</f>
        <v>Serviço</v>
      </c>
      <c r="E62" s="205" t="str">
        <f ca="1">OFFSET(ORÇAMENTO!O$15,ROW(E62)-ROW(E$15),0)</f>
        <v>-</v>
      </c>
      <c r="F62" s="206" t="str">
        <f ca="1">OFFSET(ORÇAMENTO!R$15,ROW(F62)-ROW(F$15),0)</f>
        <v>(abra o arquivo 'Referência 05-2024.xls)</v>
      </c>
      <c r="G62" s="207" t="str">
        <f ca="1">IF($D62&lt;&gt;"Serviço","",OFFSET(ORÇAMENTO!S$15,ROW(G62)-ROW(G$15),0))</f>
        <v>-</v>
      </c>
      <c r="H62" s="151">
        <f ca="1">IF($D62&lt;&gt;"Serviço",0,IF(ACOMPANHAMENTO="BM",ROUND(OFFSET(ORÇAMENTO!AJ$15,ROW(H62)-ROW(H$15),0),15-13*ORÇAMENTO!$AF$7),SUMPRODUCT(($Q$12:$AI$12&lt;&gt;"")*ROUND($Q62:$AI62,15-13*ORÇAMENTO!$AF$7))))</f>
        <v>577.22</v>
      </c>
      <c r="I62" s="650"/>
      <c r="K62" s="208"/>
      <c r="L62" s="209" t="s">
        <v>257</v>
      </c>
      <c r="M62" s="210">
        <f ca="1">IF($D62&lt;&gt;"Serviço","",IF(AUTOEVENTO="manual",$A62,IF(ISERROR(MATCH($A62,$A$15:OFFSET($A62,-1,0),0)),MAX($M$15:OFFSET(M62,-1,0))+1,INDEX($M$15:OFFSET(M62,-1,0),MATCH($A62,$A$15:OFFSET($A62,-1,0),0)))))</f>
        <v>0</v>
      </c>
      <c r="N62" s="211" t="str">
        <f ca="1">IF($D62&lt;&gt;"Serviço","",IF(AUTOEVENTO="Manual",IF($A62=0,"&lt;-- defina o número do agrupador",OFFSET(EVENTOS!$D$14,$A62,0)),OFFSET($F$15,$A62,0)))</f>
        <v>&lt;-- defina o número do agrupador</v>
      </c>
      <c r="O62" s="212"/>
      <c r="Q62" s="212"/>
      <c r="R62" s="213"/>
      <c r="S62" s="213"/>
      <c r="T62" s="213"/>
      <c r="U62" s="213"/>
      <c r="V62" s="213"/>
      <c r="W62" s="213"/>
      <c r="X62" s="213"/>
      <c r="Y62" s="213"/>
      <c r="Z62" s="214"/>
      <c r="AA62" s="213"/>
      <c r="AB62" s="213"/>
      <c r="AC62" s="213"/>
      <c r="AD62" s="213"/>
      <c r="AE62" s="213"/>
      <c r="AF62" s="213"/>
      <c r="AG62" s="213"/>
      <c r="AH62" s="214"/>
      <c r="AJ62" s="631">
        <f ca="1">IF(AND($D62="Serviço",AJ$12&lt;&gt;0,$H62&gt;0,OR(AUTOEVENTO&lt;&gt;"manual",$M62&lt;&gt;1)),ROUND(OFFSET($P62,0,AJ$13),15-13*ORÇAMENTO!$AF$7)/$H62*OFFSET(ORÇAMENTO!$X$15,ROW(AJ62)-ROW(AJ$15),0),0)</f>
        <v>0</v>
      </c>
      <c r="AK62" s="632">
        <f ca="1">IF(AND($D62="Serviço",AK$12&lt;&gt;0,$H62&gt;0,OR(AUTOEVENTO&lt;&gt;"manual",$M62&lt;&gt;1)),ROUND(OFFSET($P62,0,AK$13),15-13*ORÇAMENTO!$AF$7)/$H62*OFFSET(ORÇAMENTO!$X$15,ROW(AK62)-ROW(AK$15),0),0)</f>
        <v>0</v>
      </c>
      <c r="AL62" s="632">
        <f ca="1">IF(AND($D62="Serviço",AL$12&lt;&gt;0,$H62&gt;0,OR(AUTOEVENTO&lt;&gt;"manual",$M62&lt;&gt;1)),ROUND(OFFSET($P62,0,AL$13),15-13*ORÇAMENTO!$AF$7)/$H62*OFFSET(ORÇAMENTO!$X$15,ROW(AL62)-ROW(AL$15),0),0)</f>
        <v>0</v>
      </c>
      <c r="AM62" s="632">
        <f ca="1">IF(AND($D62="Serviço",AM$12&lt;&gt;0,$H62&gt;0,OR(AUTOEVENTO&lt;&gt;"manual",$M62&lt;&gt;1)),ROUND(OFFSET($P62,0,AM$13),15-13*ORÇAMENTO!$AF$7)/$H62*OFFSET(ORÇAMENTO!$X$15,ROW(AM62)-ROW(AM$15),0),0)</f>
        <v>0</v>
      </c>
      <c r="AN62" s="632">
        <f ca="1">IF(AND($D62="Serviço",AN$12&lt;&gt;0,$H62&gt;0,OR(AUTOEVENTO&lt;&gt;"manual",$M62&lt;&gt;1)),ROUND(OFFSET($P62,0,AN$13),15-13*ORÇAMENTO!$AF$7)/$H62*OFFSET(ORÇAMENTO!$X$15,ROW(AN62)-ROW(AN$15),0),0)</f>
        <v>0</v>
      </c>
      <c r="AO62" s="632">
        <f ca="1">IF(AND($D62="Serviço",AO$12&lt;&gt;0,$H62&gt;0,OR(AUTOEVENTO&lt;&gt;"manual",$M62&lt;&gt;1)),ROUND(OFFSET($P62,0,AO$13),15-13*ORÇAMENTO!$AF$7)/$H62*OFFSET(ORÇAMENTO!$X$15,ROW(AO62)-ROW(AO$15),0),0)</f>
        <v>0</v>
      </c>
      <c r="AP62" s="632">
        <f ca="1">IF(AND($D62="Serviço",AP$12&lt;&gt;0,$H62&gt;0,OR(AUTOEVENTO&lt;&gt;"manual",$M62&lt;&gt;1)),ROUND(OFFSET($P62,0,AP$13),15-13*ORÇAMENTO!$AF$7)/$H62*OFFSET(ORÇAMENTO!$X$15,ROW(AP62)-ROW(AP$15),0),0)</f>
        <v>0</v>
      </c>
      <c r="AQ62" s="632">
        <f ca="1">IF(AND($D62="Serviço",AQ$12&lt;&gt;0,$H62&gt;0,OR(AUTOEVENTO&lt;&gt;"manual",$M62&lt;&gt;1)),ROUND(OFFSET($P62,0,AQ$13),15-13*ORÇAMENTO!$AF$7)/$H62*OFFSET(ORÇAMENTO!$X$15,ROW(AQ62)-ROW(AQ$15),0),0)</f>
        <v>0</v>
      </c>
      <c r="AR62" s="632">
        <f ca="1">IF(AND($D62="Serviço",AR$12&lt;&gt;0,$H62&gt;0,OR(AUTOEVENTO&lt;&gt;"manual",$M62&lt;&gt;1)),ROUND(OFFSET($P62,0,AR$13),15-13*ORÇAMENTO!$AF$7)/$H62*OFFSET(ORÇAMENTO!$X$15,ROW(AR62)-ROW(AR$15),0),0)</f>
        <v>0</v>
      </c>
      <c r="AS62" s="633">
        <f ca="1">IF(AND($D62="Serviço",AS$12&lt;&gt;0,$H62&gt;0,OR(AUTOEVENTO&lt;&gt;"manual",$M62&lt;&gt;1)),ROUND(OFFSET($P62,0,AS$13),15-13*ORÇAMENTO!$AF$7)/$H62*OFFSET(ORÇAMENTO!$X$15,ROW(AS62)-ROW(AS$15),0),0)</f>
        <v>0</v>
      </c>
      <c r="AT62" s="632">
        <f ca="1">IF(AND($D62="Serviço",AT$12&lt;&gt;0,$H62&gt;0,OR(AUTOEVENTO&lt;&gt;"manual",$M62&lt;&gt;1)),ROUND(OFFSET($P62,0,AT$13),15-13*ORÇAMENTO!$AF$7)/$H62*OFFSET(ORÇAMENTO!$X$15,ROW(AT62)-ROW(AT$15),0),0)</f>
        <v>0</v>
      </c>
      <c r="AU62" s="632">
        <f ca="1">IF(AND($D62="Serviço",AU$12&lt;&gt;0,$H62&gt;0,OR(AUTOEVENTO&lt;&gt;"manual",$M62&lt;&gt;1)),ROUND(OFFSET($P62,0,AU$13),15-13*ORÇAMENTO!$AF$7)/$H62*OFFSET(ORÇAMENTO!$X$15,ROW(AU62)-ROW(AU$15),0),0)</f>
        <v>0</v>
      </c>
      <c r="AV62" s="632">
        <f ca="1">IF(AND($D62="Serviço",AV$12&lt;&gt;0,$H62&gt;0,OR(AUTOEVENTO&lt;&gt;"manual",$M62&lt;&gt;1)),ROUND(OFFSET($P62,0,AV$13),15-13*ORÇAMENTO!$AF$7)/$H62*OFFSET(ORÇAMENTO!$X$15,ROW(AV62)-ROW(AV$15),0),0)</f>
        <v>0</v>
      </c>
      <c r="AW62" s="632">
        <f ca="1">IF(AND($D62="Serviço",AW$12&lt;&gt;0,$H62&gt;0,OR(AUTOEVENTO&lt;&gt;"manual",$M62&lt;&gt;1)),ROUND(OFFSET($P62,0,AW$13),15-13*ORÇAMENTO!$AF$7)/$H62*OFFSET(ORÇAMENTO!$X$15,ROW(AW62)-ROW(AW$15),0),0)</f>
        <v>0</v>
      </c>
      <c r="AX62" s="632">
        <f ca="1">IF(AND($D62="Serviço",AX$12&lt;&gt;0,$H62&gt;0,OR(AUTOEVENTO&lt;&gt;"manual",$M62&lt;&gt;1)),ROUND(OFFSET($P62,0,AX$13),15-13*ORÇAMENTO!$AF$7)/$H62*OFFSET(ORÇAMENTO!$X$15,ROW(AX62)-ROW(AX$15),0),0)</f>
        <v>0</v>
      </c>
      <c r="AY62" s="632">
        <f ca="1">IF(AND($D62="Serviço",AY$12&lt;&gt;0,$H62&gt;0,OR(AUTOEVENTO&lt;&gt;"manual",$M62&lt;&gt;1)),ROUND(OFFSET($P62,0,AY$13),15-13*ORÇAMENTO!$AF$7)/$H62*OFFSET(ORÇAMENTO!$X$15,ROW(AY62)-ROW(AY$15),0),0)</f>
        <v>0</v>
      </c>
      <c r="AZ62" s="632">
        <f ca="1">IF(AND($D62="Serviço",AZ$12&lt;&gt;0,$H62&gt;0,OR(AUTOEVENTO&lt;&gt;"manual",$M62&lt;&gt;1)),ROUND(OFFSET($P62,0,AZ$13),15-13*ORÇAMENTO!$AF$7)/$H62*OFFSET(ORÇAMENTO!$X$15,ROW(AZ62)-ROW(AZ$15),0),0)</f>
        <v>0</v>
      </c>
      <c r="BA62" s="633">
        <f ca="1">IF(AND($D62="Serviço",BA$12&lt;&gt;0,$H62&gt;0,OR(AUTOEVENTO&lt;&gt;"manual",$M62&lt;&gt;1)),ROUND(OFFSET($P62,0,BA$13),15-13*ORÇAMENTO!$AF$7)/$H62*OFFSET(ORÇAMENTO!$X$15,ROW(BA62)-ROW(BA$15),0),0)</f>
        <v>0</v>
      </c>
      <c r="BC62" s="215">
        <f ca="1">IF($D62&lt;&gt;"Serviço",0,IF(AND(AUTOEVENTO="Manual",$M62=1),0,IF(OFFSET(CRONOPLE!$F$14,$M62,BC$13)="",10^12,OFFSET(CRONOPLE!$F$14,$M62,BC$13))))</f>
        <v>1000000000000</v>
      </c>
      <c r="BD62" s="215">
        <f ca="1">IF($D62&lt;&gt;"Serviço",0,IF(AND(AUTOEVENTO="Manual",$M62=1),0,IF(OFFSET(CRONOPLE!$F$14,$M62,BD$13)="",10^12,OFFSET(CRONOPLE!$F$14,$M62,BD$13))))</f>
        <v>1000000000000</v>
      </c>
      <c r="BE62" s="215">
        <f ca="1">IF($D62&lt;&gt;"Serviço",0,IF(AND(AUTOEVENTO="Manual",$M62=1),0,IF(OFFSET(CRONOPLE!$F$14,$M62,BE$13)="",10^12,OFFSET(CRONOPLE!$F$14,$M62,BE$13))))</f>
        <v>1000000000000</v>
      </c>
      <c r="BF62" s="215">
        <f ca="1">IF($D62&lt;&gt;"Serviço",0,IF(AND(AUTOEVENTO="Manual",$M62=1),0,IF(OFFSET(CRONOPLE!$F$14,$M62,BF$13)="",10^12,OFFSET(CRONOPLE!$F$14,$M62,BF$13))))</f>
        <v>1000000000000</v>
      </c>
      <c r="BG62" s="215">
        <f ca="1">IF($D62&lt;&gt;"Serviço",0,IF(AND(AUTOEVENTO="Manual",$M62=1),0,IF(OFFSET(CRONOPLE!$F$14,$M62,BG$13)="",10^12,OFFSET(CRONOPLE!$F$14,$M62,BG$13))))</f>
        <v>1000000000000</v>
      </c>
      <c r="BH62" s="215">
        <f ca="1">IF($D62&lt;&gt;"Serviço",0,IF(AND(AUTOEVENTO="Manual",$M62=1),0,IF(OFFSET(CRONOPLE!$F$14,$M62,BH$13)="",10^12,OFFSET(CRONOPLE!$F$14,$M62,BH$13))))</f>
        <v>1000000000000</v>
      </c>
      <c r="BI62" s="215">
        <f ca="1">IF($D62&lt;&gt;"Serviço",0,IF(AND(AUTOEVENTO="Manual",$M62=1),0,IF(OFFSET(CRONOPLE!$F$14,$M62,BI$13)="",10^12,OFFSET(CRONOPLE!$F$14,$M62,BI$13))))</f>
        <v>1000000000000</v>
      </c>
      <c r="BJ62" s="215">
        <f ca="1">IF($D62&lt;&gt;"Serviço",0,IF(AND(AUTOEVENTO="Manual",$M62=1),0,IF(OFFSET(CRONOPLE!$F$14,$M62,BJ$13)="",10^12,OFFSET(CRONOPLE!$F$14,$M62,BJ$13))))</f>
        <v>1000000000000</v>
      </c>
      <c r="BK62" s="215">
        <f ca="1">IF($D62&lt;&gt;"Serviço",0,IF(AND(AUTOEVENTO="Manual",$M62=1),0,IF(OFFSET(CRONOPLE!$F$14,$M62,BK$13)="",10^12,OFFSET(CRONOPLE!$F$14,$M62,BK$13))))</f>
        <v>1000000000000</v>
      </c>
      <c r="BL62" s="215">
        <f ca="1">IF($D62&lt;&gt;"Serviço",0,IF(AND(AUTOEVENTO="Manual",$M62=1),0,IF(OFFSET(CRONOPLE!$F$14,$M62,BL$13)="",10^12,OFFSET(CRONOPLE!$F$14,$M62,BL$13))))</f>
        <v>1000000000000</v>
      </c>
      <c r="BM62" s="215">
        <f ca="1">IF($D62&lt;&gt;"Serviço",0,IF(AND(AUTOEVENTO="Manual",$M62=1),0,IF(OFFSET(CRONOPLE!$F$14,$M62,BM$13)="",10^12,OFFSET(CRONOPLE!$F$14,$M62,BM$13))))</f>
        <v>1000000000000</v>
      </c>
      <c r="BN62" s="215">
        <f ca="1">IF($D62&lt;&gt;"Serviço",0,IF(AND(AUTOEVENTO="Manual",$M62=1),0,IF(OFFSET(CRONOPLE!$F$14,$M62,BN$13)="",10^12,OFFSET(CRONOPLE!$F$14,$M62,BN$13))))</f>
        <v>1000000000000</v>
      </c>
      <c r="BO62" s="215">
        <f ca="1">IF($D62&lt;&gt;"Serviço",0,IF(AND(AUTOEVENTO="Manual",$M62=1),0,IF(OFFSET(CRONOPLE!$F$14,$M62,BO$13)="",10^12,OFFSET(CRONOPLE!$F$14,$M62,BO$13))))</f>
        <v>1000000000000</v>
      </c>
      <c r="BP62" s="215">
        <f ca="1">IF($D62&lt;&gt;"Serviço",0,IF(AND(AUTOEVENTO="Manual",$M62=1),0,IF(OFFSET(CRONOPLE!$F$14,$M62,BP$13)="",10^12,OFFSET(CRONOPLE!$F$14,$M62,BP$13))))</f>
        <v>1000000000000</v>
      </c>
      <c r="BQ62" s="215">
        <f ca="1">IF($D62&lt;&gt;"Serviço",0,IF(AND(AUTOEVENTO="Manual",$M62=1),0,IF(OFFSET(CRONOPLE!$F$14,$M62,BQ$13)="",10^12,OFFSET(CRONOPLE!$F$14,$M62,BQ$13))))</f>
        <v>1000000000000</v>
      </c>
      <c r="BR62" s="215">
        <f ca="1">IF($D62&lt;&gt;"Serviço",0,IF(AND(AUTOEVENTO="Manual",$M62=1),0,IF(OFFSET(CRONOPLE!$F$14,$M62,BR$13)="",10^12,OFFSET(CRONOPLE!$F$14,$M62,BR$13))))</f>
        <v>1000000000000</v>
      </c>
      <c r="BS62" s="215">
        <f ca="1">IF($D62&lt;&gt;"Serviço",0,IF(AND(AUTOEVENTO="Manual",$M62=1),0,IF(OFFSET(CRONOPLE!$F$14,$M62,BS$13)="",10^12,OFFSET(CRONOPLE!$F$14,$M62,BS$13))))</f>
        <v>1000000000000</v>
      </c>
      <c r="BT62" s="215">
        <f ca="1">IF($D62&lt;&gt;"Serviço",0,IF(AND(AUTOEVENTO="Manual",$M62=1),0,IF(OFFSET(CRONOPLE!$F$14,$M62,BT$13)="",10^12,OFFSET(CRONOPLE!$F$14,$M62,BT$13))))</f>
        <v>1000000000000</v>
      </c>
      <c r="BV62" s="216">
        <f ca="1">IF($D62&lt;&gt;"Serviço",0,IF(OR(AND(AUTOEVENTO="Manual",$M62=1),$M62&gt;(ROW(PLE.lastrow)-ROW(PLE.firstrow))),0,IF(OFFSET(PLE!$G$14,$M62,BV$13)="",10^12,OFFSET(PLE!$G$14,$M62,BV$13))))</f>
        <v>1000000000000</v>
      </c>
      <c r="BW62" s="216">
        <f ca="1">IF($D62&lt;&gt;"Serviço",0,IF(OR(AND(AUTOEVENTO="Manual",$M62=1),$M62&gt;(ROW(PLE.lastrow)-ROW(PLE.firstrow))),0,IF(OFFSET(PLE!$G$14,$M62,BW$13)="",10^12,OFFSET(PLE!$G$14,$M62,BW$13))))</f>
        <v>1000000000000</v>
      </c>
      <c r="BX62" s="216">
        <f ca="1">IF($D62&lt;&gt;"Serviço",0,IF(OR(AND(AUTOEVENTO="Manual",$M62=1),$M62&gt;(ROW(PLE.lastrow)-ROW(PLE.firstrow))),0,IF(OFFSET(PLE!$G$14,$M62,BX$13)="",10^12,OFFSET(PLE!$G$14,$M62,BX$13))))</f>
        <v>1000000000000</v>
      </c>
      <c r="BY62" s="216">
        <f ca="1">IF($D62&lt;&gt;"Serviço",0,IF(OR(AND(AUTOEVENTO="Manual",$M62=1),$M62&gt;(ROW(PLE.lastrow)-ROW(PLE.firstrow))),0,IF(OFFSET(PLE!$G$14,$M62,BY$13)="",10^12,OFFSET(PLE!$G$14,$M62,BY$13))))</f>
        <v>1000000000000</v>
      </c>
      <c r="BZ62" s="216">
        <f ca="1">IF($D62&lt;&gt;"Serviço",0,IF(OR(AND(AUTOEVENTO="Manual",$M62=1),$M62&gt;(ROW(PLE.lastrow)-ROW(PLE.firstrow))),0,IF(OFFSET(PLE!$G$14,$M62,BZ$13)="",10^12,OFFSET(PLE!$G$14,$M62,BZ$13))))</f>
        <v>1000000000000</v>
      </c>
      <c r="CA62" s="216">
        <f ca="1">IF($D62&lt;&gt;"Serviço",0,IF(OR(AND(AUTOEVENTO="Manual",$M62=1),$M62&gt;(ROW(PLE.lastrow)-ROW(PLE.firstrow))),0,IF(OFFSET(PLE!$G$14,$M62,CA$13)="",10^12,OFFSET(PLE!$G$14,$M62,CA$13))))</f>
        <v>1000000000000</v>
      </c>
      <c r="CB62" s="216">
        <f ca="1">IF($D62&lt;&gt;"Serviço",0,IF(OR(AND(AUTOEVENTO="Manual",$M62=1),$M62&gt;(ROW(PLE.lastrow)-ROW(PLE.firstrow))),0,IF(OFFSET(PLE!$G$14,$M62,CB$13)="",10^12,OFFSET(PLE!$G$14,$M62,CB$13))))</f>
        <v>1000000000000</v>
      </c>
      <c r="CC62" s="216">
        <f ca="1">IF($D62&lt;&gt;"Serviço",0,IF(OR(AND(AUTOEVENTO="Manual",$M62=1),$M62&gt;(ROW(PLE.lastrow)-ROW(PLE.firstrow))),0,IF(OFFSET(PLE!$G$14,$M62,CC$13)="",10^12,OFFSET(PLE!$G$14,$M62,CC$13))))</f>
        <v>1000000000000</v>
      </c>
      <c r="CD62" s="216">
        <f ca="1">IF($D62&lt;&gt;"Serviço",0,IF(OR(AND(AUTOEVENTO="Manual",$M62=1),$M62&gt;(ROW(PLE.lastrow)-ROW(PLE.firstrow))),0,IF(OFFSET(PLE!$G$14,$M62,CD$13)="",10^12,OFFSET(PLE!$G$14,$M62,CD$13))))</f>
        <v>1000000000000</v>
      </c>
      <c r="CE62" s="216">
        <f ca="1">IF($D62&lt;&gt;"Serviço",0,IF(OR(AND(AUTOEVENTO="Manual",$M62=1),$M62&gt;(ROW(PLE.lastrow)-ROW(PLE.firstrow))),0,IF(OFFSET(PLE!$G$14,$M62,CE$13)="",10^12,OFFSET(PLE!$G$14,$M62,CE$13))))</f>
        <v>1000000000000</v>
      </c>
      <c r="CF62" s="216">
        <f ca="1">IF($D62&lt;&gt;"Serviço",0,IF(OR(AND(AUTOEVENTO="Manual",$M62=1),$M62&gt;(ROW(PLE.lastrow)-ROW(PLE.firstrow))),0,IF(OFFSET(PLE!$G$14,$M62,CF$13)="",10^12,OFFSET(PLE!$G$14,$M62,CF$13))))</f>
        <v>1000000000000</v>
      </c>
      <c r="CG62" s="216">
        <f ca="1">IF($D62&lt;&gt;"Serviço",0,IF(OR(AND(AUTOEVENTO="Manual",$M62=1),$M62&gt;(ROW(PLE.lastrow)-ROW(PLE.firstrow))),0,IF(OFFSET(PLE!$G$14,$M62,CG$13)="",10^12,OFFSET(PLE!$G$14,$M62,CG$13))))</f>
        <v>1000000000000</v>
      </c>
      <c r="CH62" s="216">
        <f ca="1">IF($D62&lt;&gt;"Serviço",0,IF(OR(AND(AUTOEVENTO="Manual",$M62=1),$M62&gt;(ROW(PLE.lastrow)-ROW(PLE.firstrow))),0,IF(OFFSET(PLE!$G$14,$M62,CH$13)="",10^12,OFFSET(PLE!$G$14,$M62,CH$13))))</f>
        <v>1000000000000</v>
      </c>
      <c r="CI62" s="216">
        <f ca="1">IF($D62&lt;&gt;"Serviço",0,IF(OR(AND(AUTOEVENTO="Manual",$M62=1),$M62&gt;(ROW(PLE.lastrow)-ROW(PLE.firstrow))),0,IF(OFFSET(PLE!$G$14,$M62,CI$13)="",10^12,OFFSET(PLE!$G$14,$M62,CI$13))))</f>
        <v>1000000000000</v>
      </c>
      <c r="CJ62" s="216">
        <f ca="1">IF($D62&lt;&gt;"Serviço",0,IF(OR(AND(AUTOEVENTO="Manual",$M62=1),$M62&gt;(ROW(PLE.lastrow)-ROW(PLE.firstrow))),0,IF(OFFSET(PLE!$G$14,$M62,CJ$13)="",10^12,OFFSET(PLE!$G$14,$M62,CJ$13))))</f>
        <v>1000000000000</v>
      </c>
      <c r="CK62" s="216">
        <f ca="1">IF($D62&lt;&gt;"Serviço",0,IF(OR(AND(AUTOEVENTO="Manual",$M62=1),$M62&gt;(ROW(PLE.lastrow)-ROW(PLE.firstrow))),0,IF(OFFSET(PLE!$G$14,$M62,CK$13)="",10^12,OFFSET(PLE!$G$14,$M62,CK$13))))</f>
        <v>1000000000000</v>
      </c>
      <c r="CL62" s="216">
        <f ca="1">IF($D62&lt;&gt;"Serviço",0,IF(OR(AND(AUTOEVENTO="Manual",$M62=1),$M62&gt;(ROW(PLE.lastrow)-ROW(PLE.firstrow))),0,IF(OFFSET(PLE!$G$14,$M62,CL$13)="",10^12,OFFSET(PLE!$G$14,$M62,CL$13))))</f>
        <v>1000000000000</v>
      </c>
      <c r="CM62" s="216">
        <f ca="1">IF($D62&lt;&gt;"Serviço",0,IF(OR(AND(AUTOEVENTO="Manual",$M62=1),$M62&gt;(ROW(PLE.lastrow)-ROW(PLE.firstrow))),0,IF(OFFSET(PLE!$G$14,$M62,CM$13)="",10^12,OFFSET(PLE!$G$14,$M62,CM$13))))</f>
        <v>1000000000000</v>
      </c>
    </row>
    <row r="63" spans="1:91" ht="13.2" x14ac:dyDescent="0.25">
      <c r="A63" s="9">
        <f t="shared" ca="1" si="9"/>
        <v>0</v>
      </c>
      <c r="B63" s="9" t="str">
        <f ca="1">OFFSET(ORÇAMENTO!C$15,ROW(B63)-ROW(B$15),0)</f>
        <v>S</v>
      </c>
      <c r="C63" s="9" t="str">
        <f ca="1">OFFSET(ORÇAMENTO!L$15,ROW(C63)-ROW(C$15),0)</f>
        <v/>
      </c>
      <c r="D63" s="145" t="str">
        <f ca="1">OFFSET(ORÇAMENTO!N$15,ROW(D63)-ROW(D$15),0)</f>
        <v>Serviço</v>
      </c>
      <c r="E63" s="205" t="str">
        <f ca="1">OFFSET(ORÇAMENTO!O$15,ROW(E63)-ROW(E$15),0)</f>
        <v>-</v>
      </c>
      <c r="F63" s="206" t="str">
        <f ca="1">OFFSET(ORÇAMENTO!R$15,ROW(F63)-ROW(F$15),0)</f>
        <v>(abra o arquivo 'Referência 05-2024.xls)</v>
      </c>
      <c r="G63" s="207" t="str">
        <f ca="1">IF($D63&lt;&gt;"Serviço","",OFFSET(ORÇAMENTO!S$15,ROW(G63)-ROW(G$15),0))</f>
        <v>-</v>
      </c>
      <c r="H63" s="151">
        <f ca="1">IF($D63&lt;&gt;"Serviço",0,IF(ACOMPANHAMENTO="BM",ROUND(OFFSET(ORÇAMENTO!AJ$15,ROW(H63)-ROW(H$15),0),15-13*ORÇAMENTO!$AF$7),SUMPRODUCT(($Q$12:$AI$12&lt;&gt;"")*ROUND($Q63:$AI63,15-13*ORÇAMENTO!$AF$7))))</f>
        <v>52.39</v>
      </c>
      <c r="I63" s="650"/>
      <c r="K63" s="208"/>
      <c r="L63" s="209" t="s">
        <v>257</v>
      </c>
      <c r="M63" s="210">
        <f ca="1">IF($D63&lt;&gt;"Serviço","",IF(AUTOEVENTO="manual",$A63,IF(ISERROR(MATCH($A63,$A$15:OFFSET($A63,-1,0),0)),MAX($M$15:OFFSET(M63,-1,0))+1,INDEX($M$15:OFFSET(M63,-1,0),MATCH($A63,$A$15:OFFSET($A63,-1,0),0)))))</f>
        <v>0</v>
      </c>
      <c r="N63" s="211" t="str">
        <f ca="1">IF($D63&lt;&gt;"Serviço","",IF(AUTOEVENTO="Manual",IF($A63=0,"&lt;-- defina o número do agrupador",OFFSET(EVENTOS!$D$14,$A63,0)),OFFSET($F$15,$A63,0)))</f>
        <v>&lt;-- defina o número do agrupador</v>
      </c>
      <c r="O63" s="212"/>
      <c r="Q63" s="212"/>
      <c r="R63" s="213"/>
      <c r="S63" s="213"/>
      <c r="T63" s="213"/>
      <c r="U63" s="213"/>
      <c r="V63" s="213"/>
      <c r="W63" s="213"/>
      <c r="X63" s="213"/>
      <c r="Y63" s="213"/>
      <c r="Z63" s="214"/>
      <c r="AA63" s="213"/>
      <c r="AB63" s="213"/>
      <c r="AC63" s="213"/>
      <c r="AD63" s="213"/>
      <c r="AE63" s="213"/>
      <c r="AF63" s="213"/>
      <c r="AG63" s="213"/>
      <c r="AH63" s="214"/>
      <c r="AJ63" s="631">
        <f ca="1">IF(AND($D63="Serviço",AJ$12&lt;&gt;0,$H63&gt;0,OR(AUTOEVENTO&lt;&gt;"manual",$M63&lt;&gt;1)),ROUND(OFFSET($P63,0,AJ$13),15-13*ORÇAMENTO!$AF$7)/$H63*OFFSET(ORÇAMENTO!$X$15,ROW(AJ63)-ROW(AJ$15),0),0)</f>
        <v>0</v>
      </c>
      <c r="AK63" s="632">
        <f ca="1">IF(AND($D63="Serviço",AK$12&lt;&gt;0,$H63&gt;0,OR(AUTOEVENTO&lt;&gt;"manual",$M63&lt;&gt;1)),ROUND(OFFSET($P63,0,AK$13),15-13*ORÇAMENTO!$AF$7)/$H63*OFFSET(ORÇAMENTO!$X$15,ROW(AK63)-ROW(AK$15),0),0)</f>
        <v>0</v>
      </c>
      <c r="AL63" s="632">
        <f ca="1">IF(AND($D63="Serviço",AL$12&lt;&gt;0,$H63&gt;0,OR(AUTOEVENTO&lt;&gt;"manual",$M63&lt;&gt;1)),ROUND(OFFSET($P63,0,AL$13),15-13*ORÇAMENTO!$AF$7)/$H63*OFFSET(ORÇAMENTO!$X$15,ROW(AL63)-ROW(AL$15),0),0)</f>
        <v>0</v>
      </c>
      <c r="AM63" s="632">
        <f ca="1">IF(AND($D63="Serviço",AM$12&lt;&gt;0,$H63&gt;0,OR(AUTOEVENTO&lt;&gt;"manual",$M63&lt;&gt;1)),ROUND(OFFSET($P63,0,AM$13),15-13*ORÇAMENTO!$AF$7)/$H63*OFFSET(ORÇAMENTO!$X$15,ROW(AM63)-ROW(AM$15),0),0)</f>
        <v>0</v>
      </c>
      <c r="AN63" s="632">
        <f ca="1">IF(AND($D63="Serviço",AN$12&lt;&gt;0,$H63&gt;0,OR(AUTOEVENTO&lt;&gt;"manual",$M63&lt;&gt;1)),ROUND(OFFSET($P63,0,AN$13),15-13*ORÇAMENTO!$AF$7)/$H63*OFFSET(ORÇAMENTO!$X$15,ROW(AN63)-ROW(AN$15),0),0)</f>
        <v>0</v>
      </c>
      <c r="AO63" s="632">
        <f ca="1">IF(AND($D63="Serviço",AO$12&lt;&gt;0,$H63&gt;0,OR(AUTOEVENTO&lt;&gt;"manual",$M63&lt;&gt;1)),ROUND(OFFSET($P63,0,AO$13),15-13*ORÇAMENTO!$AF$7)/$H63*OFFSET(ORÇAMENTO!$X$15,ROW(AO63)-ROW(AO$15),0),0)</f>
        <v>0</v>
      </c>
      <c r="AP63" s="632">
        <f ca="1">IF(AND($D63="Serviço",AP$12&lt;&gt;0,$H63&gt;0,OR(AUTOEVENTO&lt;&gt;"manual",$M63&lt;&gt;1)),ROUND(OFFSET($P63,0,AP$13),15-13*ORÇAMENTO!$AF$7)/$H63*OFFSET(ORÇAMENTO!$X$15,ROW(AP63)-ROW(AP$15),0),0)</f>
        <v>0</v>
      </c>
      <c r="AQ63" s="632">
        <f ca="1">IF(AND($D63="Serviço",AQ$12&lt;&gt;0,$H63&gt;0,OR(AUTOEVENTO&lt;&gt;"manual",$M63&lt;&gt;1)),ROUND(OFFSET($P63,0,AQ$13),15-13*ORÇAMENTO!$AF$7)/$H63*OFFSET(ORÇAMENTO!$X$15,ROW(AQ63)-ROW(AQ$15),0),0)</f>
        <v>0</v>
      </c>
      <c r="AR63" s="632">
        <f ca="1">IF(AND($D63="Serviço",AR$12&lt;&gt;0,$H63&gt;0,OR(AUTOEVENTO&lt;&gt;"manual",$M63&lt;&gt;1)),ROUND(OFFSET($P63,0,AR$13),15-13*ORÇAMENTO!$AF$7)/$H63*OFFSET(ORÇAMENTO!$X$15,ROW(AR63)-ROW(AR$15),0),0)</f>
        <v>0</v>
      </c>
      <c r="AS63" s="633">
        <f ca="1">IF(AND($D63="Serviço",AS$12&lt;&gt;0,$H63&gt;0,OR(AUTOEVENTO&lt;&gt;"manual",$M63&lt;&gt;1)),ROUND(OFFSET($P63,0,AS$13),15-13*ORÇAMENTO!$AF$7)/$H63*OFFSET(ORÇAMENTO!$X$15,ROW(AS63)-ROW(AS$15),0),0)</f>
        <v>0</v>
      </c>
      <c r="AT63" s="632">
        <f ca="1">IF(AND($D63="Serviço",AT$12&lt;&gt;0,$H63&gt;0,OR(AUTOEVENTO&lt;&gt;"manual",$M63&lt;&gt;1)),ROUND(OFFSET($P63,0,AT$13),15-13*ORÇAMENTO!$AF$7)/$H63*OFFSET(ORÇAMENTO!$X$15,ROW(AT63)-ROW(AT$15),0),0)</f>
        <v>0</v>
      </c>
      <c r="AU63" s="632">
        <f ca="1">IF(AND($D63="Serviço",AU$12&lt;&gt;0,$H63&gt;0,OR(AUTOEVENTO&lt;&gt;"manual",$M63&lt;&gt;1)),ROUND(OFFSET($P63,0,AU$13),15-13*ORÇAMENTO!$AF$7)/$H63*OFFSET(ORÇAMENTO!$X$15,ROW(AU63)-ROW(AU$15),0),0)</f>
        <v>0</v>
      </c>
      <c r="AV63" s="632">
        <f ca="1">IF(AND($D63="Serviço",AV$12&lt;&gt;0,$H63&gt;0,OR(AUTOEVENTO&lt;&gt;"manual",$M63&lt;&gt;1)),ROUND(OFFSET($P63,0,AV$13),15-13*ORÇAMENTO!$AF$7)/$H63*OFFSET(ORÇAMENTO!$X$15,ROW(AV63)-ROW(AV$15),0),0)</f>
        <v>0</v>
      </c>
      <c r="AW63" s="632">
        <f ca="1">IF(AND($D63="Serviço",AW$12&lt;&gt;0,$H63&gt;0,OR(AUTOEVENTO&lt;&gt;"manual",$M63&lt;&gt;1)),ROUND(OFFSET($P63,0,AW$13),15-13*ORÇAMENTO!$AF$7)/$H63*OFFSET(ORÇAMENTO!$X$15,ROW(AW63)-ROW(AW$15),0),0)</f>
        <v>0</v>
      </c>
      <c r="AX63" s="632">
        <f ca="1">IF(AND($D63="Serviço",AX$12&lt;&gt;0,$H63&gt;0,OR(AUTOEVENTO&lt;&gt;"manual",$M63&lt;&gt;1)),ROUND(OFFSET($P63,0,AX$13),15-13*ORÇAMENTO!$AF$7)/$H63*OFFSET(ORÇAMENTO!$X$15,ROW(AX63)-ROW(AX$15),0),0)</f>
        <v>0</v>
      </c>
      <c r="AY63" s="632">
        <f ca="1">IF(AND($D63="Serviço",AY$12&lt;&gt;0,$H63&gt;0,OR(AUTOEVENTO&lt;&gt;"manual",$M63&lt;&gt;1)),ROUND(OFFSET($P63,0,AY$13),15-13*ORÇAMENTO!$AF$7)/$H63*OFFSET(ORÇAMENTO!$X$15,ROW(AY63)-ROW(AY$15),0),0)</f>
        <v>0</v>
      </c>
      <c r="AZ63" s="632">
        <f ca="1">IF(AND($D63="Serviço",AZ$12&lt;&gt;0,$H63&gt;0,OR(AUTOEVENTO&lt;&gt;"manual",$M63&lt;&gt;1)),ROUND(OFFSET($P63,0,AZ$13),15-13*ORÇAMENTO!$AF$7)/$H63*OFFSET(ORÇAMENTO!$X$15,ROW(AZ63)-ROW(AZ$15),0),0)</f>
        <v>0</v>
      </c>
      <c r="BA63" s="633">
        <f ca="1">IF(AND($D63="Serviço",BA$12&lt;&gt;0,$H63&gt;0,OR(AUTOEVENTO&lt;&gt;"manual",$M63&lt;&gt;1)),ROUND(OFFSET($P63,0,BA$13),15-13*ORÇAMENTO!$AF$7)/$H63*OFFSET(ORÇAMENTO!$X$15,ROW(BA63)-ROW(BA$15),0),0)</f>
        <v>0</v>
      </c>
      <c r="BC63" s="215">
        <f ca="1">IF($D63&lt;&gt;"Serviço",0,IF(AND(AUTOEVENTO="Manual",$M63=1),0,IF(OFFSET(CRONOPLE!$F$14,$M63,BC$13)="",10^12,OFFSET(CRONOPLE!$F$14,$M63,BC$13))))</f>
        <v>1000000000000</v>
      </c>
      <c r="BD63" s="215">
        <f ca="1">IF($D63&lt;&gt;"Serviço",0,IF(AND(AUTOEVENTO="Manual",$M63=1),0,IF(OFFSET(CRONOPLE!$F$14,$M63,BD$13)="",10^12,OFFSET(CRONOPLE!$F$14,$M63,BD$13))))</f>
        <v>1000000000000</v>
      </c>
      <c r="BE63" s="215">
        <f ca="1">IF($D63&lt;&gt;"Serviço",0,IF(AND(AUTOEVENTO="Manual",$M63=1),0,IF(OFFSET(CRONOPLE!$F$14,$M63,BE$13)="",10^12,OFFSET(CRONOPLE!$F$14,$M63,BE$13))))</f>
        <v>1000000000000</v>
      </c>
      <c r="BF63" s="215">
        <f ca="1">IF($D63&lt;&gt;"Serviço",0,IF(AND(AUTOEVENTO="Manual",$M63=1),0,IF(OFFSET(CRONOPLE!$F$14,$M63,BF$13)="",10^12,OFFSET(CRONOPLE!$F$14,$M63,BF$13))))</f>
        <v>1000000000000</v>
      </c>
      <c r="BG63" s="215">
        <f ca="1">IF($D63&lt;&gt;"Serviço",0,IF(AND(AUTOEVENTO="Manual",$M63=1),0,IF(OFFSET(CRONOPLE!$F$14,$M63,BG$13)="",10^12,OFFSET(CRONOPLE!$F$14,$M63,BG$13))))</f>
        <v>1000000000000</v>
      </c>
      <c r="BH63" s="215">
        <f ca="1">IF($D63&lt;&gt;"Serviço",0,IF(AND(AUTOEVENTO="Manual",$M63=1),0,IF(OFFSET(CRONOPLE!$F$14,$M63,BH$13)="",10^12,OFFSET(CRONOPLE!$F$14,$M63,BH$13))))</f>
        <v>1000000000000</v>
      </c>
      <c r="BI63" s="215">
        <f ca="1">IF($D63&lt;&gt;"Serviço",0,IF(AND(AUTOEVENTO="Manual",$M63=1),0,IF(OFFSET(CRONOPLE!$F$14,$M63,BI$13)="",10^12,OFFSET(CRONOPLE!$F$14,$M63,BI$13))))</f>
        <v>1000000000000</v>
      </c>
      <c r="BJ63" s="215">
        <f ca="1">IF($D63&lt;&gt;"Serviço",0,IF(AND(AUTOEVENTO="Manual",$M63=1),0,IF(OFFSET(CRONOPLE!$F$14,$M63,BJ$13)="",10^12,OFFSET(CRONOPLE!$F$14,$M63,BJ$13))))</f>
        <v>1000000000000</v>
      </c>
      <c r="BK63" s="215">
        <f ca="1">IF($D63&lt;&gt;"Serviço",0,IF(AND(AUTOEVENTO="Manual",$M63=1),0,IF(OFFSET(CRONOPLE!$F$14,$M63,BK$13)="",10^12,OFFSET(CRONOPLE!$F$14,$M63,BK$13))))</f>
        <v>1000000000000</v>
      </c>
      <c r="BL63" s="215">
        <f ca="1">IF($D63&lt;&gt;"Serviço",0,IF(AND(AUTOEVENTO="Manual",$M63=1),0,IF(OFFSET(CRONOPLE!$F$14,$M63,BL$13)="",10^12,OFFSET(CRONOPLE!$F$14,$M63,BL$13))))</f>
        <v>1000000000000</v>
      </c>
      <c r="BM63" s="215">
        <f ca="1">IF($D63&lt;&gt;"Serviço",0,IF(AND(AUTOEVENTO="Manual",$M63=1),0,IF(OFFSET(CRONOPLE!$F$14,$M63,BM$13)="",10^12,OFFSET(CRONOPLE!$F$14,$M63,BM$13))))</f>
        <v>1000000000000</v>
      </c>
      <c r="BN63" s="215">
        <f ca="1">IF($D63&lt;&gt;"Serviço",0,IF(AND(AUTOEVENTO="Manual",$M63=1),0,IF(OFFSET(CRONOPLE!$F$14,$M63,BN$13)="",10^12,OFFSET(CRONOPLE!$F$14,$M63,BN$13))))</f>
        <v>1000000000000</v>
      </c>
      <c r="BO63" s="215">
        <f ca="1">IF($D63&lt;&gt;"Serviço",0,IF(AND(AUTOEVENTO="Manual",$M63=1),0,IF(OFFSET(CRONOPLE!$F$14,$M63,BO$13)="",10^12,OFFSET(CRONOPLE!$F$14,$M63,BO$13))))</f>
        <v>1000000000000</v>
      </c>
      <c r="BP63" s="215">
        <f ca="1">IF($D63&lt;&gt;"Serviço",0,IF(AND(AUTOEVENTO="Manual",$M63=1),0,IF(OFFSET(CRONOPLE!$F$14,$M63,BP$13)="",10^12,OFFSET(CRONOPLE!$F$14,$M63,BP$13))))</f>
        <v>1000000000000</v>
      </c>
      <c r="BQ63" s="215">
        <f ca="1">IF($D63&lt;&gt;"Serviço",0,IF(AND(AUTOEVENTO="Manual",$M63=1),0,IF(OFFSET(CRONOPLE!$F$14,$M63,BQ$13)="",10^12,OFFSET(CRONOPLE!$F$14,$M63,BQ$13))))</f>
        <v>1000000000000</v>
      </c>
      <c r="BR63" s="215">
        <f ca="1">IF($D63&lt;&gt;"Serviço",0,IF(AND(AUTOEVENTO="Manual",$M63=1),0,IF(OFFSET(CRONOPLE!$F$14,$M63,BR$13)="",10^12,OFFSET(CRONOPLE!$F$14,$M63,BR$13))))</f>
        <v>1000000000000</v>
      </c>
      <c r="BS63" s="215">
        <f ca="1">IF($D63&lt;&gt;"Serviço",0,IF(AND(AUTOEVENTO="Manual",$M63=1),0,IF(OFFSET(CRONOPLE!$F$14,$M63,BS$13)="",10^12,OFFSET(CRONOPLE!$F$14,$M63,BS$13))))</f>
        <v>1000000000000</v>
      </c>
      <c r="BT63" s="215">
        <f ca="1">IF($D63&lt;&gt;"Serviço",0,IF(AND(AUTOEVENTO="Manual",$M63=1),0,IF(OFFSET(CRONOPLE!$F$14,$M63,BT$13)="",10^12,OFFSET(CRONOPLE!$F$14,$M63,BT$13))))</f>
        <v>1000000000000</v>
      </c>
      <c r="BV63" s="216">
        <f ca="1">IF($D63&lt;&gt;"Serviço",0,IF(OR(AND(AUTOEVENTO="Manual",$M63=1),$M63&gt;(ROW(PLE.lastrow)-ROW(PLE.firstrow))),0,IF(OFFSET(PLE!$G$14,$M63,BV$13)="",10^12,OFFSET(PLE!$G$14,$M63,BV$13))))</f>
        <v>1000000000000</v>
      </c>
      <c r="BW63" s="216">
        <f ca="1">IF($D63&lt;&gt;"Serviço",0,IF(OR(AND(AUTOEVENTO="Manual",$M63=1),$M63&gt;(ROW(PLE.lastrow)-ROW(PLE.firstrow))),0,IF(OFFSET(PLE!$G$14,$M63,BW$13)="",10^12,OFFSET(PLE!$G$14,$M63,BW$13))))</f>
        <v>1000000000000</v>
      </c>
      <c r="BX63" s="216">
        <f ca="1">IF($D63&lt;&gt;"Serviço",0,IF(OR(AND(AUTOEVENTO="Manual",$M63=1),$M63&gt;(ROW(PLE.lastrow)-ROW(PLE.firstrow))),0,IF(OFFSET(PLE!$G$14,$M63,BX$13)="",10^12,OFFSET(PLE!$G$14,$M63,BX$13))))</f>
        <v>1000000000000</v>
      </c>
      <c r="BY63" s="216">
        <f ca="1">IF($D63&lt;&gt;"Serviço",0,IF(OR(AND(AUTOEVENTO="Manual",$M63=1),$M63&gt;(ROW(PLE.lastrow)-ROW(PLE.firstrow))),0,IF(OFFSET(PLE!$G$14,$M63,BY$13)="",10^12,OFFSET(PLE!$G$14,$M63,BY$13))))</f>
        <v>1000000000000</v>
      </c>
      <c r="BZ63" s="216">
        <f ca="1">IF($D63&lt;&gt;"Serviço",0,IF(OR(AND(AUTOEVENTO="Manual",$M63=1),$M63&gt;(ROW(PLE.lastrow)-ROW(PLE.firstrow))),0,IF(OFFSET(PLE!$G$14,$M63,BZ$13)="",10^12,OFFSET(PLE!$G$14,$M63,BZ$13))))</f>
        <v>1000000000000</v>
      </c>
      <c r="CA63" s="216">
        <f ca="1">IF($D63&lt;&gt;"Serviço",0,IF(OR(AND(AUTOEVENTO="Manual",$M63=1),$M63&gt;(ROW(PLE.lastrow)-ROW(PLE.firstrow))),0,IF(OFFSET(PLE!$G$14,$M63,CA$13)="",10^12,OFFSET(PLE!$G$14,$M63,CA$13))))</f>
        <v>1000000000000</v>
      </c>
      <c r="CB63" s="216">
        <f ca="1">IF($D63&lt;&gt;"Serviço",0,IF(OR(AND(AUTOEVENTO="Manual",$M63=1),$M63&gt;(ROW(PLE.lastrow)-ROW(PLE.firstrow))),0,IF(OFFSET(PLE!$G$14,$M63,CB$13)="",10^12,OFFSET(PLE!$G$14,$M63,CB$13))))</f>
        <v>1000000000000</v>
      </c>
      <c r="CC63" s="216">
        <f ca="1">IF($D63&lt;&gt;"Serviço",0,IF(OR(AND(AUTOEVENTO="Manual",$M63=1),$M63&gt;(ROW(PLE.lastrow)-ROW(PLE.firstrow))),0,IF(OFFSET(PLE!$G$14,$M63,CC$13)="",10^12,OFFSET(PLE!$G$14,$M63,CC$13))))</f>
        <v>1000000000000</v>
      </c>
      <c r="CD63" s="216">
        <f ca="1">IF($D63&lt;&gt;"Serviço",0,IF(OR(AND(AUTOEVENTO="Manual",$M63=1),$M63&gt;(ROW(PLE.lastrow)-ROW(PLE.firstrow))),0,IF(OFFSET(PLE!$G$14,$M63,CD$13)="",10^12,OFFSET(PLE!$G$14,$M63,CD$13))))</f>
        <v>1000000000000</v>
      </c>
      <c r="CE63" s="216">
        <f ca="1">IF($D63&lt;&gt;"Serviço",0,IF(OR(AND(AUTOEVENTO="Manual",$M63=1),$M63&gt;(ROW(PLE.lastrow)-ROW(PLE.firstrow))),0,IF(OFFSET(PLE!$G$14,$M63,CE$13)="",10^12,OFFSET(PLE!$G$14,$M63,CE$13))))</f>
        <v>1000000000000</v>
      </c>
      <c r="CF63" s="216">
        <f ca="1">IF($D63&lt;&gt;"Serviço",0,IF(OR(AND(AUTOEVENTO="Manual",$M63=1),$M63&gt;(ROW(PLE.lastrow)-ROW(PLE.firstrow))),0,IF(OFFSET(PLE!$G$14,$M63,CF$13)="",10^12,OFFSET(PLE!$G$14,$M63,CF$13))))</f>
        <v>1000000000000</v>
      </c>
      <c r="CG63" s="216">
        <f ca="1">IF($D63&lt;&gt;"Serviço",0,IF(OR(AND(AUTOEVENTO="Manual",$M63=1),$M63&gt;(ROW(PLE.lastrow)-ROW(PLE.firstrow))),0,IF(OFFSET(PLE!$G$14,$M63,CG$13)="",10^12,OFFSET(PLE!$G$14,$M63,CG$13))))</f>
        <v>1000000000000</v>
      </c>
      <c r="CH63" s="216">
        <f ca="1">IF($D63&lt;&gt;"Serviço",0,IF(OR(AND(AUTOEVENTO="Manual",$M63=1),$M63&gt;(ROW(PLE.lastrow)-ROW(PLE.firstrow))),0,IF(OFFSET(PLE!$G$14,$M63,CH$13)="",10^12,OFFSET(PLE!$G$14,$M63,CH$13))))</f>
        <v>1000000000000</v>
      </c>
      <c r="CI63" s="216">
        <f ca="1">IF($D63&lt;&gt;"Serviço",0,IF(OR(AND(AUTOEVENTO="Manual",$M63=1),$M63&gt;(ROW(PLE.lastrow)-ROW(PLE.firstrow))),0,IF(OFFSET(PLE!$G$14,$M63,CI$13)="",10^12,OFFSET(PLE!$G$14,$M63,CI$13))))</f>
        <v>1000000000000</v>
      </c>
      <c r="CJ63" s="216">
        <f ca="1">IF($D63&lt;&gt;"Serviço",0,IF(OR(AND(AUTOEVENTO="Manual",$M63=1),$M63&gt;(ROW(PLE.lastrow)-ROW(PLE.firstrow))),0,IF(OFFSET(PLE!$G$14,$M63,CJ$13)="",10^12,OFFSET(PLE!$G$14,$M63,CJ$13))))</f>
        <v>1000000000000</v>
      </c>
      <c r="CK63" s="216">
        <f ca="1">IF($D63&lt;&gt;"Serviço",0,IF(OR(AND(AUTOEVENTO="Manual",$M63=1),$M63&gt;(ROW(PLE.lastrow)-ROW(PLE.firstrow))),0,IF(OFFSET(PLE!$G$14,$M63,CK$13)="",10^12,OFFSET(PLE!$G$14,$M63,CK$13))))</f>
        <v>1000000000000</v>
      </c>
      <c r="CL63" s="216">
        <f ca="1">IF($D63&lt;&gt;"Serviço",0,IF(OR(AND(AUTOEVENTO="Manual",$M63=1),$M63&gt;(ROW(PLE.lastrow)-ROW(PLE.firstrow))),0,IF(OFFSET(PLE!$G$14,$M63,CL$13)="",10^12,OFFSET(PLE!$G$14,$M63,CL$13))))</f>
        <v>1000000000000</v>
      </c>
      <c r="CM63" s="216">
        <f ca="1">IF($D63&lt;&gt;"Serviço",0,IF(OR(AND(AUTOEVENTO="Manual",$M63=1),$M63&gt;(ROW(PLE.lastrow)-ROW(PLE.firstrow))),0,IF(OFFSET(PLE!$G$14,$M63,CM$13)="",10^12,OFFSET(PLE!$G$14,$M63,CM$13))))</f>
        <v>1000000000000</v>
      </c>
    </row>
    <row r="64" spans="1:91" ht="13.2" x14ac:dyDescent="0.25">
      <c r="A64" s="9">
        <f t="shared" ca="1" si="9"/>
        <v>0</v>
      </c>
      <c r="B64" s="9" t="str">
        <f ca="1">OFFSET(ORÇAMENTO!C$15,ROW(B64)-ROW(B$15),0)</f>
        <v>S</v>
      </c>
      <c r="C64" s="9" t="str">
        <f ca="1">OFFSET(ORÇAMENTO!L$15,ROW(C64)-ROW(C$15),0)</f>
        <v/>
      </c>
      <c r="D64" s="145" t="str">
        <f ca="1">OFFSET(ORÇAMENTO!N$15,ROW(D64)-ROW(D$15),0)</f>
        <v>Serviço</v>
      </c>
      <c r="E64" s="205" t="str">
        <f ca="1">OFFSET(ORÇAMENTO!O$15,ROW(E64)-ROW(E$15),0)</f>
        <v>-</v>
      </c>
      <c r="F64" s="206" t="str">
        <f ca="1">OFFSET(ORÇAMENTO!R$15,ROW(F64)-ROW(F$15),0)</f>
        <v>(abra o arquivo 'Referência 05-2024.xls)</v>
      </c>
      <c r="G64" s="207" t="str">
        <f ca="1">IF($D64&lt;&gt;"Serviço","",OFFSET(ORÇAMENTO!S$15,ROW(G64)-ROW(G$15),0))</f>
        <v>-</v>
      </c>
      <c r="H64" s="151">
        <f ca="1">IF($D64&lt;&gt;"Serviço",0,IF(ACOMPANHAMENTO="BM",ROUND(OFFSET(ORÇAMENTO!AJ$15,ROW(H64)-ROW(H$15),0),15-13*ORÇAMENTO!$AF$7),SUMPRODUCT(($Q$12:$AI$12&lt;&gt;"")*ROUND($Q64:$AI64,15-13*ORÇAMENTO!$AF$7))))</f>
        <v>699.26</v>
      </c>
      <c r="I64" s="650"/>
      <c r="K64" s="208"/>
      <c r="L64" s="209" t="s">
        <v>257</v>
      </c>
      <c r="M64" s="210">
        <f ca="1">IF($D64&lt;&gt;"Serviço","",IF(AUTOEVENTO="manual",$A64,IF(ISERROR(MATCH($A64,$A$15:OFFSET($A64,-1,0),0)),MAX($M$15:OFFSET(M64,-1,0))+1,INDEX($M$15:OFFSET(M64,-1,0),MATCH($A64,$A$15:OFFSET($A64,-1,0),0)))))</f>
        <v>0</v>
      </c>
      <c r="N64" s="211" t="str">
        <f ca="1">IF($D64&lt;&gt;"Serviço","",IF(AUTOEVENTO="Manual",IF($A64=0,"&lt;-- defina o número do agrupador",OFFSET(EVENTOS!$D$14,$A64,0)),OFFSET($F$15,$A64,0)))</f>
        <v>&lt;-- defina o número do agrupador</v>
      </c>
      <c r="O64" s="212"/>
      <c r="Q64" s="212"/>
      <c r="R64" s="213"/>
      <c r="S64" s="213"/>
      <c r="T64" s="213"/>
      <c r="U64" s="213"/>
      <c r="V64" s="213"/>
      <c r="W64" s="213"/>
      <c r="X64" s="213"/>
      <c r="Y64" s="213"/>
      <c r="Z64" s="214"/>
      <c r="AA64" s="213"/>
      <c r="AB64" s="213"/>
      <c r="AC64" s="213"/>
      <c r="AD64" s="213"/>
      <c r="AE64" s="213"/>
      <c r="AF64" s="213"/>
      <c r="AG64" s="213"/>
      <c r="AH64" s="214"/>
      <c r="AJ64" s="631">
        <f ca="1">IF(AND($D64="Serviço",AJ$12&lt;&gt;0,$H64&gt;0,OR(AUTOEVENTO&lt;&gt;"manual",$M64&lt;&gt;1)),ROUND(OFFSET($P64,0,AJ$13),15-13*ORÇAMENTO!$AF$7)/$H64*OFFSET(ORÇAMENTO!$X$15,ROW(AJ64)-ROW(AJ$15),0),0)</f>
        <v>0</v>
      </c>
      <c r="AK64" s="632">
        <f ca="1">IF(AND($D64="Serviço",AK$12&lt;&gt;0,$H64&gt;0,OR(AUTOEVENTO&lt;&gt;"manual",$M64&lt;&gt;1)),ROUND(OFFSET($P64,0,AK$13),15-13*ORÇAMENTO!$AF$7)/$H64*OFFSET(ORÇAMENTO!$X$15,ROW(AK64)-ROW(AK$15),0),0)</f>
        <v>0</v>
      </c>
      <c r="AL64" s="632">
        <f ca="1">IF(AND($D64="Serviço",AL$12&lt;&gt;0,$H64&gt;0,OR(AUTOEVENTO&lt;&gt;"manual",$M64&lt;&gt;1)),ROUND(OFFSET($P64,0,AL$13),15-13*ORÇAMENTO!$AF$7)/$H64*OFFSET(ORÇAMENTO!$X$15,ROW(AL64)-ROW(AL$15),0),0)</f>
        <v>0</v>
      </c>
      <c r="AM64" s="632">
        <f ca="1">IF(AND($D64="Serviço",AM$12&lt;&gt;0,$H64&gt;0,OR(AUTOEVENTO&lt;&gt;"manual",$M64&lt;&gt;1)),ROUND(OFFSET($P64,0,AM$13),15-13*ORÇAMENTO!$AF$7)/$H64*OFFSET(ORÇAMENTO!$X$15,ROW(AM64)-ROW(AM$15),0),0)</f>
        <v>0</v>
      </c>
      <c r="AN64" s="632">
        <f ca="1">IF(AND($D64="Serviço",AN$12&lt;&gt;0,$H64&gt;0,OR(AUTOEVENTO&lt;&gt;"manual",$M64&lt;&gt;1)),ROUND(OFFSET($P64,0,AN$13),15-13*ORÇAMENTO!$AF$7)/$H64*OFFSET(ORÇAMENTO!$X$15,ROW(AN64)-ROW(AN$15),0),0)</f>
        <v>0</v>
      </c>
      <c r="AO64" s="632">
        <f ca="1">IF(AND($D64="Serviço",AO$12&lt;&gt;0,$H64&gt;0,OR(AUTOEVENTO&lt;&gt;"manual",$M64&lt;&gt;1)),ROUND(OFFSET($P64,0,AO$13),15-13*ORÇAMENTO!$AF$7)/$H64*OFFSET(ORÇAMENTO!$X$15,ROW(AO64)-ROW(AO$15),0),0)</f>
        <v>0</v>
      </c>
      <c r="AP64" s="632">
        <f ca="1">IF(AND($D64="Serviço",AP$12&lt;&gt;0,$H64&gt;0,OR(AUTOEVENTO&lt;&gt;"manual",$M64&lt;&gt;1)),ROUND(OFFSET($P64,0,AP$13),15-13*ORÇAMENTO!$AF$7)/$H64*OFFSET(ORÇAMENTO!$X$15,ROW(AP64)-ROW(AP$15),0),0)</f>
        <v>0</v>
      </c>
      <c r="AQ64" s="632">
        <f ca="1">IF(AND($D64="Serviço",AQ$12&lt;&gt;0,$H64&gt;0,OR(AUTOEVENTO&lt;&gt;"manual",$M64&lt;&gt;1)),ROUND(OFFSET($P64,0,AQ$13),15-13*ORÇAMENTO!$AF$7)/$H64*OFFSET(ORÇAMENTO!$X$15,ROW(AQ64)-ROW(AQ$15),0),0)</f>
        <v>0</v>
      </c>
      <c r="AR64" s="632">
        <f ca="1">IF(AND($D64="Serviço",AR$12&lt;&gt;0,$H64&gt;0,OR(AUTOEVENTO&lt;&gt;"manual",$M64&lt;&gt;1)),ROUND(OFFSET($P64,0,AR$13),15-13*ORÇAMENTO!$AF$7)/$H64*OFFSET(ORÇAMENTO!$X$15,ROW(AR64)-ROW(AR$15),0),0)</f>
        <v>0</v>
      </c>
      <c r="AS64" s="633">
        <f ca="1">IF(AND($D64="Serviço",AS$12&lt;&gt;0,$H64&gt;0,OR(AUTOEVENTO&lt;&gt;"manual",$M64&lt;&gt;1)),ROUND(OFFSET($P64,0,AS$13),15-13*ORÇAMENTO!$AF$7)/$H64*OFFSET(ORÇAMENTO!$X$15,ROW(AS64)-ROW(AS$15),0),0)</f>
        <v>0</v>
      </c>
      <c r="AT64" s="632">
        <f ca="1">IF(AND($D64="Serviço",AT$12&lt;&gt;0,$H64&gt;0,OR(AUTOEVENTO&lt;&gt;"manual",$M64&lt;&gt;1)),ROUND(OFFSET($P64,0,AT$13),15-13*ORÇAMENTO!$AF$7)/$H64*OFFSET(ORÇAMENTO!$X$15,ROW(AT64)-ROW(AT$15),0),0)</f>
        <v>0</v>
      </c>
      <c r="AU64" s="632">
        <f ca="1">IF(AND($D64="Serviço",AU$12&lt;&gt;0,$H64&gt;0,OR(AUTOEVENTO&lt;&gt;"manual",$M64&lt;&gt;1)),ROUND(OFFSET($P64,0,AU$13),15-13*ORÇAMENTO!$AF$7)/$H64*OFFSET(ORÇAMENTO!$X$15,ROW(AU64)-ROW(AU$15),0),0)</f>
        <v>0</v>
      </c>
      <c r="AV64" s="632">
        <f ca="1">IF(AND($D64="Serviço",AV$12&lt;&gt;0,$H64&gt;0,OR(AUTOEVENTO&lt;&gt;"manual",$M64&lt;&gt;1)),ROUND(OFFSET($P64,0,AV$13),15-13*ORÇAMENTO!$AF$7)/$H64*OFFSET(ORÇAMENTO!$X$15,ROW(AV64)-ROW(AV$15),0),0)</f>
        <v>0</v>
      </c>
      <c r="AW64" s="632">
        <f ca="1">IF(AND($D64="Serviço",AW$12&lt;&gt;0,$H64&gt;0,OR(AUTOEVENTO&lt;&gt;"manual",$M64&lt;&gt;1)),ROUND(OFFSET($P64,0,AW$13),15-13*ORÇAMENTO!$AF$7)/$H64*OFFSET(ORÇAMENTO!$X$15,ROW(AW64)-ROW(AW$15),0),0)</f>
        <v>0</v>
      </c>
      <c r="AX64" s="632">
        <f ca="1">IF(AND($D64="Serviço",AX$12&lt;&gt;0,$H64&gt;0,OR(AUTOEVENTO&lt;&gt;"manual",$M64&lt;&gt;1)),ROUND(OFFSET($P64,0,AX$13),15-13*ORÇAMENTO!$AF$7)/$H64*OFFSET(ORÇAMENTO!$X$15,ROW(AX64)-ROW(AX$15),0),0)</f>
        <v>0</v>
      </c>
      <c r="AY64" s="632">
        <f ca="1">IF(AND($D64="Serviço",AY$12&lt;&gt;0,$H64&gt;0,OR(AUTOEVENTO&lt;&gt;"manual",$M64&lt;&gt;1)),ROUND(OFFSET($P64,0,AY$13),15-13*ORÇAMENTO!$AF$7)/$H64*OFFSET(ORÇAMENTO!$X$15,ROW(AY64)-ROW(AY$15),0),0)</f>
        <v>0</v>
      </c>
      <c r="AZ64" s="632">
        <f ca="1">IF(AND($D64="Serviço",AZ$12&lt;&gt;0,$H64&gt;0,OR(AUTOEVENTO&lt;&gt;"manual",$M64&lt;&gt;1)),ROUND(OFFSET($P64,0,AZ$13),15-13*ORÇAMENTO!$AF$7)/$H64*OFFSET(ORÇAMENTO!$X$15,ROW(AZ64)-ROW(AZ$15),0),0)</f>
        <v>0</v>
      </c>
      <c r="BA64" s="633">
        <f ca="1">IF(AND($D64="Serviço",BA$12&lt;&gt;0,$H64&gt;0,OR(AUTOEVENTO&lt;&gt;"manual",$M64&lt;&gt;1)),ROUND(OFFSET($P64,0,BA$13),15-13*ORÇAMENTO!$AF$7)/$H64*OFFSET(ORÇAMENTO!$X$15,ROW(BA64)-ROW(BA$15),0),0)</f>
        <v>0</v>
      </c>
      <c r="BC64" s="215">
        <f ca="1">IF($D64&lt;&gt;"Serviço",0,IF(AND(AUTOEVENTO="Manual",$M64=1),0,IF(OFFSET(CRONOPLE!$F$14,$M64,BC$13)="",10^12,OFFSET(CRONOPLE!$F$14,$M64,BC$13))))</f>
        <v>1000000000000</v>
      </c>
      <c r="BD64" s="215">
        <f ca="1">IF($D64&lt;&gt;"Serviço",0,IF(AND(AUTOEVENTO="Manual",$M64=1),0,IF(OFFSET(CRONOPLE!$F$14,$M64,BD$13)="",10^12,OFFSET(CRONOPLE!$F$14,$M64,BD$13))))</f>
        <v>1000000000000</v>
      </c>
      <c r="BE64" s="215">
        <f ca="1">IF($D64&lt;&gt;"Serviço",0,IF(AND(AUTOEVENTO="Manual",$M64=1),0,IF(OFFSET(CRONOPLE!$F$14,$M64,BE$13)="",10^12,OFFSET(CRONOPLE!$F$14,$M64,BE$13))))</f>
        <v>1000000000000</v>
      </c>
      <c r="BF64" s="215">
        <f ca="1">IF($D64&lt;&gt;"Serviço",0,IF(AND(AUTOEVENTO="Manual",$M64=1),0,IF(OFFSET(CRONOPLE!$F$14,$M64,BF$13)="",10^12,OFFSET(CRONOPLE!$F$14,$M64,BF$13))))</f>
        <v>1000000000000</v>
      </c>
      <c r="BG64" s="215">
        <f ca="1">IF($D64&lt;&gt;"Serviço",0,IF(AND(AUTOEVENTO="Manual",$M64=1),0,IF(OFFSET(CRONOPLE!$F$14,$M64,BG$13)="",10^12,OFFSET(CRONOPLE!$F$14,$M64,BG$13))))</f>
        <v>1000000000000</v>
      </c>
      <c r="BH64" s="215">
        <f ca="1">IF($D64&lt;&gt;"Serviço",0,IF(AND(AUTOEVENTO="Manual",$M64=1),0,IF(OFFSET(CRONOPLE!$F$14,$M64,BH$13)="",10^12,OFFSET(CRONOPLE!$F$14,$M64,BH$13))))</f>
        <v>1000000000000</v>
      </c>
      <c r="BI64" s="215">
        <f ca="1">IF($D64&lt;&gt;"Serviço",0,IF(AND(AUTOEVENTO="Manual",$M64=1),0,IF(OFFSET(CRONOPLE!$F$14,$M64,BI$13)="",10^12,OFFSET(CRONOPLE!$F$14,$M64,BI$13))))</f>
        <v>1000000000000</v>
      </c>
      <c r="BJ64" s="215">
        <f ca="1">IF($D64&lt;&gt;"Serviço",0,IF(AND(AUTOEVENTO="Manual",$M64=1),0,IF(OFFSET(CRONOPLE!$F$14,$M64,BJ$13)="",10^12,OFFSET(CRONOPLE!$F$14,$M64,BJ$13))))</f>
        <v>1000000000000</v>
      </c>
      <c r="BK64" s="215">
        <f ca="1">IF($D64&lt;&gt;"Serviço",0,IF(AND(AUTOEVENTO="Manual",$M64=1),0,IF(OFFSET(CRONOPLE!$F$14,$M64,BK$13)="",10^12,OFFSET(CRONOPLE!$F$14,$M64,BK$13))))</f>
        <v>1000000000000</v>
      </c>
      <c r="BL64" s="215">
        <f ca="1">IF($D64&lt;&gt;"Serviço",0,IF(AND(AUTOEVENTO="Manual",$M64=1),0,IF(OFFSET(CRONOPLE!$F$14,$M64,BL$13)="",10^12,OFFSET(CRONOPLE!$F$14,$M64,BL$13))))</f>
        <v>1000000000000</v>
      </c>
      <c r="BM64" s="215">
        <f ca="1">IF($D64&lt;&gt;"Serviço",0,IF(AND(AUTOEVENTO="Manual",$M64=1),0,IF(OFFSET(CRONOPLE!$F$14,$M64,BM$13)="",10^12,OFFSET(CRONOPLE!$F$14,$M64,BM$13))))</f>
        <v>1000000000000</v>
      </c>
      <c r="BN64" s="215">
        <f ca="1">IF($D64&lt;&gt;"Serviço",0,IF(AND(AUTOEVENTO="Manual",$M64=1),0,IF(OFFSET(CRONOPLE!$F$14,$M64,BN$13)="",10^12,OFFSET(CRONOPLE!$F$14,$M64,BN$13))))</f>
        <v>1000000000000</v>
      </c>
      <c r="BO64" s="215">
        <f ca="1">IF($D64&lt;&gt;"Serviço",0,IF(AND(AUTOEVENTO="Manual",$M64=1),0,IF(OFFSET(CRONOPLE!$F$14,$M64,BO$13)="",10^12,OFFSET(CRONOPLE!$F$14,$M64,BO$13))))</f>
        <v>1000000000000</v>
      </c>
      <c r="BP64" s="215">
        <f ca="1">IF($D64&lt;&gt;"Serviço",0,IF(AND(AUTOEVENTO="Manual",$M64=1),0,IF(OFFSET(CRONOPLE!$F$14,$M64,BP$13)="",10^12,OFFSET(CRONOPLE!$F$14,$M64,BP$13))))</f>
        <v>1000000000000</v>
      </c>
      <c r="BQ64" s="215">
        <f ca="1">IF($D64&lt;&gt;"Serviço",0,IF(AND(AUTOEVENTO="Manual",$M64=1),0,IF(OFFSET(CRONOPLE!$F$14,$M64,BQ$13)="",10^12,OFFSET(CRONOPLE!$F$14,$M64,BQ$13))))</f>
        <v>1000000000000</v>
      </c>
      <c r="BR64" s="215">
        <f ca="1">IF($D64&lt;&gt;"Serviço",0,IF(AND(AUTOEVENTO="Manual",$M64=1),0,IF(OFFSET(CRONOPLE!$F$14,$M64,BR$13)="",10^12,OFFSET(CRONOPLE!$F$14,$M64,BR$13))))</f>
        <v>1000000000000</v>
      </c>
      <c r="BS64" s="215">
        <f ca="1">IF($D64&lt;&gt;"Serviço",0,IF(AND(AUTOEVENTO="Manual",$M64=1),0,IF(OFFSET(CRONOPLE!$F$14,$M64,BS$13)="",10^12,OFFSET(CRONOPLE!$F$14,$M64,BS$13))))</f>
        <v>1000000000000</v>
      </c>
      <c r="BT64" s="215">
        <f ca="1">IF($D64&lt;&gt;"Serviço",0,IF(AND(AUTOEVENTO="Manual",$M64=1),0,IF(OFFSET(CRONOPLE!$F$14,$M64,BT$13)="",10^12,OFFSET(CRONOPLE!$F$14,$M64,BT$13))))</f>
        <v>1000000000000</v>
      </c>
      <c r="BV64" s="216">
        <f ca="1">IF($D64&lt;&gt;"Serviço",0,IF(OR(AND(AUTOEVENTO="Manual",$M64=1),$M64&gt;(ROW(PLE.lastrow)-ROW(PLE.firstrow))),0,IF(OFFSET(PLE!$G$14,$M64,BV$13)="",10^12,OFFSET(PLE!$G$14,$M64,BV$13))))</f>
        <v>1000000000000</v>
      </c>
      <c r="BW64" s="216">
        <f ca="1">IF($D64&lt;&gt;"Serviço",0,IF(OR(AND(AUTOEVENTO="Manual",$M64=1),$M64&gt;(ROW(PLE.lastrow)-ROW(PLE.firstrow))),0,IF(OFFSET(PLE!$G$14,$M64,BW$13)="",10^12,OFFSET(PLE!$G$14,$M64,BW$13))))</f>
        <v>1000000000000</v>
      </c>
      <c r="BX64" s="216">
        <f ca="1">IF($D64&lt;&gt;"Serviço",0,IF(OR(AND(AUTOEVENTO="Manual",$M64=1),$M64&gt;(ROW(PLE.lastrow)-ROW(PLE.firstrow))),0,IF(OFFSET(PLE!$G$14,$M64,BX$13)="",10^12,OFFSET(PLE!$G$14,$M64,BX$13))))</f>
        <v>1000000000000</v>
      </c>
      <c r="BY64" s="216">
        <f ca="1">IF($D64&lt;&gt;"Serviço",0,IF(OR(AND(AUTOEVENTO="Manual",$M64=1),$M64&gt;(ROW(PLE.lastrow)-ROW(PLE.firstrow))),0,IF(OFFSET(PLE!$G$14,$M64,BY$13)="",10^12,OFFSET(PLE!$G$14,$M64,BY$13))))</f>
        <v>1000000000000</v>
      </c>
      <c r="BZ64" s="216">
        <f ca="1">IF($D64&lt;&gt;"Serviço",0,IF(OR(AND(AUTOEVENTO="Manual",$M64=1),$M64&gt;(ROW(PLE.lastrow)-ROW(PLE.firstrow))),0,IF(OFFSET(PLE!$G$14,$M64,BZ$13)="",10^12,OFFSET(PLE!$G$14,$M64,BZ$13))))</f>
        <v>1000000000000</v>
      </c>
      <c r="CA64" s="216">
        <f ca="1">IF($D64&lt;&gt;"Serviço",0,IF(OR(AND(AUTOEVENTO="Manual",$M64=1),$M64&gt;(ROW(PLE.lastrow)-ROW(PLE.firstrow))),0,IF(OFFSET(PLE!$G$14,$M64,CA$13)="",10^12,OFFSET(PLE!$G$14,$M64,CA$13))))</f>
        <v>1000000000000</v>
      </c>
      <c r="CB64" s="216">
        <f ca="1">IF($D64&lt;&gt;"Serviço",0,IF(OR(AND(AUTOEVENTO="Manual",$M64=1),$M64&gt;(ROW(PLE.lastrow)-ROW(PLE.firstrow))),0,IF(OFFSET(PLE!$G$14,$M64,CB$13)="",10^12,OFFSET(PLE!$G$14,$M64,CB$13))))</f>
        <v>1000000000000</v>
      </c>
      <c r="CC64" s="216">
        <f ca="1">IF($D64&lt;&gt;"Serviço",0,IF(OR(AND(AUTOEVENTO="Manual",$M64=1),$M64&gt;(ROW(PLE.lastrow)-ROW(PLE.firstrow))),0,IF(OFFSET(PLE!$G$14,$M64,CC$13)="",10^12,OFFSET(PLE!$G$14,$M64,CC$13))))</f>
        <v>1000000000000</v>
      </c>
      <c r="CD64" s="216">
        <f ca="1">IF($D64&lt;&gt;"Serviço",0,IF(OR(AND(AUTOEVENTO="Manual",$M64=1),$M64&gt;(ROW(PLE.lastrow)-ROW(PLE.firstrow))),0,IF(OFFSET(PLE!$G$14,$M64,CD$13)="",10^12,OFFSET(PLE!$G$14,$M64,CD$13))))</f>
        <v>1000000000000</v>
      </c>
      <c r="CE64" s="216">
        <f ca="1">IF($D64&lt;&gt;"Serviço",0,IF(OR(AND(AUTOEVENTO="Manual",$M64=1),$M64&gt;(ROW(PLE.lastrow)-ROW(PLE.firstrow))),0,IF(OFFSET(PLE!$G$14,$M64,CE$13)="",10^12,OFFSET(PLE!$G$14,$M64,CE$13))))</f>
        <v>1000000000000</v>
      </c>
      <c r="CF64" s="216">
        <f ca="1">IF($D64&lt;&gt;"Serviço",0,IF(OR(AND(AUTOEVENTO="Manual",$M64=1),$M64&gt;(ROW(PLE.lastrow)-ROW(PLE.firstrow))),0,IF(OFFSET(PLE!$G$14,$M64,CF$13)="",10^12,OFFSET(PLE!$G$14,$M64,CF$13))))</f>
        <v>1000000000000</v>
      </c>
      <c r="CG64" s="216">
        <f ca="1">IF($D64&lt;&gt;"Serviço",0,IF(OR(AND(AUTOEVENTO="Manual",$M64=1),$M64&gt;(ROW(PLE.lastrow)-ROW(PLE.firstrow))),0,IF(OFFSET(PLE!$G$14,$M64,CG$13)="",10^12,OFFSET(PLE!$G$14,$M64,CG$13))))</f>
        <v>1000000000000</v>
      </c>
      <c r="CH64" s="216">
        <f ca="1">IF($D64&lt;&gt;"Serviço",0,IF(OR(AND(AUTOEVENTO="Manual",$M64=1),$M64&gt;(ROW(PLE.lastrow)-ROW(PLE.firstrow))),0,IF(OFFSET(PLE!$G$14,$M64,CH$13)="",10^12,OFFSET(PLE!$G$14,$M64,CH$13))))</f>
        <v>1000000000000</v>
      </c>
      <c r="CI64" s="216">
        <f ca="1">IF($D64&lt;&gt;"Serviço",0,IF(OR(AND(AUTOEVENTO="Manual",$M64=1),$M64&gt;(ROW(PLE.lastrow)-ROW(PLE.firstrow))),0,IF(OFFSET(PLE!$G$14,$M64,CI$13)="",10^12,OFFSET(PLE!$G$14,$M64,CI$13))))</f>
        <v>1000000000000</v>
      </c>
      <c r="CJ64" s="216">
        <f ca="1">IF($D64&lt;&gt;"Serviço",0,IF(OR(AND(AUTOEVENTO="Manual",$M64=1),$M64&gt;(ROW(PLE.lastrow)-ROW(PLE.firstrow))),0,IF(OFFSET(PLE!$G$14,$M64,CJ$13)="",10^12,OFFSET(PLE!$G$14,$M64,CJ$13))))</f>
        <v>1000000000000</v>
      </c>
      <c r="CK64" s="216">
        <f ca="1">IF($D64&lt;&gt;"Serviço",0,IF(OR(AND(AUTOEVENTO="Manual",$M64=1),$M64&gt;(ROW(PLE.lastrow)-ROW(PLE.firstrow))),0,IF(OFFSET(PLE!$G$14,$M64,CK$13)="",10^12,OFFSET(PLE!$G$14,$M64,CK$13))))</f>
        <v>1000000000000</v>
      </c>
      <c r="CL64" s="216">
        <f ca="1">IF($D64&lt;&gt;"Serviço",0,IF(OR(AND(AUTOEVENTO="Manual",$M64=1),$M64&gt;(ROW(PLE.lastrow)-ROW(PLE.firstrow))),0,IF(OFFSET(PLE!$G$14,$M64,CL$13)="",10^12,OFFSET(PLE!$G$14,$M64,CL$13))))</f>
        <v>1000000000000</v>
      </c>
      <c r="CM64" s="216">
        <f ca="1">IF($D64&lt;&gt;"Serviço",0,IF(OR(AND(AUTOEVENTO="Manual",$M64=1),$M64&gt;(ROW(PLE.lastrow)-ROW(PLE.firstrow))),0,IF(OFFSET(PLE!$G$14,$M64,CM$13)="",10^12,OFFSET(PLE!$G$14,$M64,CM$13))))</f>
        <v>1000000000000</v>
      </c>
    </row>
    <row r="65" spans="1:91" ht="13.2" x14ac:dyDescent="0.25">
      <c r="A65" s="9">
        <f t="shared" ca="1" si="9"/>
        <v>0</v>
      </c>
      <c r="B65" s="9" t="str">
        <f ca="1">OFFSET(ORÇAMENTO!C$15,ROW(B65)-ROW(B$15),0)</f>
        <v>S</v>
      </c>
      <c r="C65" s="9" t="str">
        <f ca="1">OFFSET(ORÇAMENTO!L$15,ROW(C65)-ROW(C$15),0)</f>
        <v/>
      </c>
      <c r="D65" s="145" t="str">
        <f ca="1">OFFSET(ORÇAMENTO!N$15,ROW(D65)-ROW(D$15),0)</f>
        <v>Serviço</v>
      </c>
      <c r="E65" s="205" t="str">
        <f ca="1">OFFSET(ORÇAMENTO!O$15,ROW(E65)-ROW(E$15),0)</f>
        <v>-</v>
      </c>
      <c r="F65" s="206" t="str">
        <f ca="1">OFFSET(ORÇAMENTO!R$15,ROW(F65)-ROW(F$15),0)</f>
        <v>(abra o arquivo 'Referência 05-2024.xls)</v>
      </c>
      <c r="G65" s="207" t="str">
        <f ca="1">IF($D65&lt;&gt;"Serviço","",OFFSET(ORÇAMENTO!S$15,ROW(G65)-ROW(G$15),0))</f>
        <v>-</v>
      </c>
      <c r="H65" s="151">
        <f ca="1">IF($D65&lt;&gt;"Serviço",0,IF(ACOMPANHAMENTO="BM",ROUND(OFFSET(ORÇAMENTO!AJ$15,ROW(H65)-ROW(H$15),0),15-13*ORÇAMENTO!$AF$7),SUMPRODUCT(($Q$12:$AI$12&lt;&gt;"")*ROUND($Q65:$AI65,15-13*ORÇAMENTO!$AF$7))))</f>
        <v>65.16</v>
      </c>
      <c r="I65" s="650"/>
      <c r="K65" s="208"/>
      <c r="L65" s="209" t="s">
        <v>257</v>
      </c>
      <c r="M65" s="210">
        <f ca="1">IF($D65&lt;&gt;"Serviço","",IF(AUTOEVENTO="manual",$A65,IF(ISERROR(MATCH($A65,$A$15:OFFSET($A65,-1,0),0)),MAX($M$15:OFFSET(M65,-1,0))+1,INDEX($M$15:OFFSET(M65,-1,0),MATCH($A65,$A$15:OFFSET($A65,-1,0),0)))))</f>
        <v>0</v>
      </c>
      <c r="N65" s="211" t="str">
        <f ca="1">IF($D65&lt;&gt;"Serviço","",IF(AUTOEVENTO="Manual",IF($A65=0,"&lt;-- defina o número do agrupador",OFFSET(EVENTOS!$D$14,$A65,0)),OFFSET($F$15,$A65,0)))</f>
        <v>&lt;-- defina o número do agrupador</v>
      </c>
      <c r="O65" s="212"/>
      <c r="Q65" s="212"/>
      <c r="R65" s="213"/>
      <c r="S65" s="213"/>
      <c r="T65" s="213"/>
      <c r="U65" s="213"/>
      <c r="V65" s="213"/>
      <c r="W65" s="213"/>
      <c r="X65" s="213"/>
      <c r="Y65" s="213"/>
      <c r="Z65" s="214"/>
      <c r="AA65" s="213"/>
      <c r="AB65" s="213"/>
      <c r="AC65" s="213"/>
      <c r="AD65" s="213"/>
      <c r="AE65" s="213"/>
      <c r="AF65" s="213"/>
      <c r="AG65" s="213"/>
      <c r="AH65" s="214"/>
      <c r="AJ65" s="631">
        <f ca="1">IF(AND($D65="Serviço",AJ$12&lt;&gt;0,$H65&gt;0,OR(AUTOEVENTO&lt;&gt;"manual",$M65&lt;&gt;1)),ROUND(OFFSET($P65,0,AJ$13),15-13*ORÇAMENTO!$AF$7)/$H65*OFFSET(ORÇAMENTO!$X$15,ROW(AJ65)-ROW(AJ$15),0),0)</f>
        <v>0</v>
      </c>
      <c r="AK65" s="632">
        <f ca="1">IF(AND($D65="Serviço",AK$12&lt;&gt;0,$H65&gt;0,OR(AUTOEVENTO&lt;&gt;"manual",$M65&lt;&gt;1)),ROUND(OFFSET($P65,0,AK$13),15-13*ORÇAMENTO!$AF$7)/$H65*OFFSET(ORÇAMENTO!$X$15,ROW(AK65)-ROW(AK$15),0),0)</f>
        <v>0</v>
      </c>
      <c r="AL65" s="632">
        <f ca="1">IF(AND($D65="Serviço",AL$12&lt;&gt;0,$H65&gt;0,OR(AUTOEVENTO&lt;&gt;"manual",$M65&lt;&gt;1)),ROUND(OFFSET($P65,0,AL$13),15-13*ORÇAMENTO!$AF$7)/$H65*OFFSET(ORÇAMENTO!$X$15,ROW(AL65)-ROW(AL$15),0),0)</f>
        <v>0</v>
      </c>
      <c r="AM65" s="632">
        <f ca="1">IF(AND($D65="Serviço",AM$12&lt;&gt;0,$H65&gt;0,OR(AUTOEVENTO&lt;&gt;"manual",$M65&lt;&gt;1)),ROUND(OFFSET($P65,0,AM$13),15-13*ORÇAMENTO!$AF$7)/$H65*OFFSET(ORÇAMENTO!$X$15,ROW(AM65)-ROW(AM$15),0),0)</f>
        <v>0</v>
      </c>
      <c r="AN65" s="632">
        <f ca="1">IF(AND($D65="Serviço",AN$12&lt;&gt;0,$H65&gt;0,OR(AUTOEVENTO&lt;&gt;"manual",$M65&lt;&gt;1)),ROUND(OFFSET($P65,0,AN$13),15-13*ORÇAMENTO!$AF$7)/$H65*OFFSET(ORÇAMENTO!$X$15,ROW(AN65)-ROW(AN$15),0),0)</f>
        <v>0</v>
      </c>
      <c r="AO65" s="632">
        <f ca="1">IF(AND($D65="Serviço",AO$12&lt;&gt;0,$H65&gt;0,OR(AUTOEVENTO&lt;&gt;"manual",$M65&lt;&gt;1)),ROUND(OFFSET($P65,0,AO$13),15-13*ORÇAMENTO!$AF$7)/$H65*OFFSET(ORÇAMENTO!$X$15,ROW(AO65)-ROW(AO$15),0),0)</f>
        <v>0</v>
      </c>
      <c r="AP65" s="632">
        <f ca="1">IF(AND($D65="Serviço",AP$12&lt;&gt;0,$H65&gt;0,OR(AUTOEVENTO&lt;&gt;"manual",$M65&lt;&gt;1)),ROUND(OFFSET($P65,0,AP$13),15-13*ORÇAMENTO!$AF$7)/$H65*OFFSET(ORÇAMENTO!$X$15,ROW(AP65)-ROW(AP$15),0),0)</f>
        <v>0</v>
      </c>
      <c r="AQ65" s="632">
        <f ca="1">IF(AND($D65="Serviço",AQ$12&lt;&gt;0,$H65&gt;0,OR(AUTOEVENTO&lt;&gt;"manual",$M65&lt;&gt;1)),ROUND(OFFSET($P65,0,AQ$13),15-13*ORÇAMENTO!$AF$7)/$H65*OFFSET(ORÇAMENTO!$X$15,ROW(AQ65)-ROW(AQ$15),0),0)</f>
        <v>0</v>
      </c>
      <c r="AR65" s="632">
        <f ca="1">IF(AND($D65="Serviço",AR$12&lt;&gt;0,$H65&gt;0,OR(AUTOEVENTO&lt;&gt;"manual",$M65&lt;&gt;1)),ROUND(OFFSET($P65,0,AR$13),15-13*ORÇAMENTO!$AF$7)/$H65*OFFSET(ORÇAMENTO!$X$15,ROW(AR65)-ROW(AR$15),0),0)</f>
        <v>0</v>
      </c>
      <c r="AS65" s="633">
        <f ca="1">IF(AND($D65="Serviço",AS$12&lt;&gt;0,$H65&gt;0,OR(AUTOEVENTO&lt;&gt;"manual",$M65&lt;&gt;1)),ROUND(OFFSET($P65,0,AS$13),15-13*ORÇAMENTO!$AF$7)/$H65*OFFSET(ORÇAMENTO!$X$15,ROW(AS65)-ROW(AS$15),0),0)</f>
        <v>0</v>
      </c>
      <c r="AT65" s="632">
        <f ca="1">IF(AND($D65="Serviço",AT$12&lt;&gt;0,$H65&gt;0,OR(AUTOEVENTO&lt;&gt;"manual",$M65&lt;&gt;1)),ROUND(OFFSET($P65,0,AT$13),15-13*ORÇAMENTO!$AF$7)/$H65*OFFSET(ORÇAMENTO!$X$15,ROW(AT65)-ROW(AT$15),0),0)</f>
        <v>0</v>
      </c>
      <c r="AU65" s="632">
        <f ca="1">IF(AND($D65="Serviço",AU$12&lt;&gt;0,$H65&gt;0,OR(AUTOEVENTO&lt;&gt;"manual",$M65&lt;&gt;1)),ROUND(OFFSET($P65,0,AU$13),15-13*ORÇAMENTO!$AF$7)/$H65*OFFSET(ORÇAMENTO!$X$15,ROW(AU65)-ROW(AU$15),0),0)</f>
        <v>0</v>
      </c>
      <c r="AV65" s="632">
        <f ca="1">IF(AND($D65="Serviço",AV$12&lt;&gt;0,$H65&gt;0,OR(AUTOEVENTO&lt;&gt;"manual",$M65&lt;&gt;1)),ROUND(OFFSET($P65,0,AV$13),15-13*ORÇAMENTO!$AF$7)/$H65*OFFSET(ORÇAMENTO!$X$15,ROW(AV65)-ROW(AV$15),0),0)</f>
        <v>0</v>
      </c>
      <c r="AW65" s="632">
        <f ca="1">IF(AND($D65="Serviço",AW$12&lt;&gt;0,$H65&gt;0,OR(AUTOEVENTO&lt;&gt;"manual",$M65&lt;&gt;1)),ROUND(OFFSET($P65,0,AW$13),15-13*ORÇAMENTO!$AF$7)/$H65*OFFSET(ORÇAMENTO!$X$15,ROW(AW65)-ROW(AW$15),0),0)</f>
        <v>0</v>
      </c>
      <c r="AX65" s="632">
        <f ca="1">IF(AND($D65="Serviço",AX$12&lt;&gt;0,$H65&gt;0,OR(AUTOEVENTO&lt;&gt;"manual",$M65&lt;&gt;1)),ROUND(OFFSET($P65,0,AX$13),15-13*ORÇAMENTO!$AF$7)/$H65*OFFSET(ORÇAMENTO!$X$15,ROW(AX65)-ROW(AX$15),0),0)</f>
        <v>0</v>
      </c>
      <c r="AY65" s="632">
        <f ca="1">IF(AND($D65="Serviço",AY$12&lt;&gt;0,$H65&gt;0,OR(AUTOEVENTO&lt;&gt;"manual",$M65&lt;&gt;1)),ROUND(OFFSET($P65,0,AY$13),15-13*ORÇAMENTO!$AF$7)/$H65*OFFSET(ORÇAMENTO!$X$15,ROW(AY65)-ROW(AY$15),0),0)</f>
        <v>0</v>
      </c>
      <c r="AZ65" s="632">
        <f ca="1">IF(AND($D65="Serviço",AZ$12&lt;&gt;0,$H65&gt;0,OR(AUTOEVENTO&lt;&gt;"manual",$M65&lt;&gt;1)),ROUND(OFFSET($P65,0,AZ$13),15-13*ORÇAMENTO!$AF$7)/$H65*OFFSET(ORÇAMENTO!$X$15,ROW(AZ65)-ROW(AZ$15),0),0)</f>
        <v>0</v>
      </c>
      <c r="BA65" s="633">
        <f ca="1">IF(AND($D65="Serviço",BA$12&lt;&gt;0,$H65&gt;0,OR(AUTOEVENTO&lt;&gt;"manual",$M65&lt;&gt;1)),ROUND(OFFSET($P65,0,BA$13),15-13*ORÇAMENTO!$AF$7)/$H65*OFFSET(ORÇAMENTO!$X$15,ROW(BA65)-ROW(BA$15),0),0)</f>
        <v>0</v>
      </c>
      <c r="BC65" s="215">
        <f ca="1">IF($D65&lt;&gt;"Serviço",0,IF(AND(AUTOEVENTO="Manual",$M65=1),0,IF(OFFSET(CRONOPLE!$F$14,$M65,BC$13)="",10^12,OFFSET(CRONOPLE!$F$14,$M65,BC$13))))</f>
        <v>1000000000000</v>
      </c>
      <c r="BD65" s="215">
        <f ca="1">IF($D65&lt;&gt;"Serviço",0,IF(AND(AUTOEVENTO="Manual",$M65=1),0,IF(OFFSET(CRONOPLE!$F$14,$M65,BD$13)="",10^12,OFFSET(CRONOPLE!$F$14,$M65,BD$13))))</f>
        <v>1000000000000</v>
      </c>
      <c r="BE65" s="215">
        <f ca="1">IF($D65&lt;&gt;"Serviço",0,IF(AND(AUTOEVENTO="Manual",$M65=1),0,IF(OFFSET(CRONOPLE!$F$14,$M65,BE$13)="",10^12,OFFSET(CRONOPLE!$F$14,$M65,BE$13))))</f>
        <v>1000000000000</v>
      </c>
      <c r="BF65" s="215">
        <f ca="1">IF($D65&lt;&gt;"Serviço",0,IF(AND(AUTOEVENTO="Manual",$M65=1),0,IF(OFFSET(CRONOPLE!$F$14,$M65,BF$13)="",10^12,OFFSET(CRONOPLE!$F$14,$M65,BF$13))))</f>
        <v>1000000000000</v>
      </c>
      <c r="BG65" s="215">
        <f ca="1">IF($D65&lt;&gt;"Serviço",0,IF(AND(AUTOEVENTO="Manual",$M65=1),0,IF(OFFSET(CRONOPLE!$F$14,$M65,BG$13)="",10^12,OFFSET(CRONOPLE!$F$14,$M65,BG$13))))</f>
        <v>1000000000000</v>
      </c>
      <c r="BH65" s="215">
        <f ca="1">IF($D65&lt;&gt;"Serviço",0,IF(AND(AUTOEVENTO="Manual",$M65=1),0,IF(OFFSET(CRONOPLE!$F$14,$M65,BH$13)="",10^12,OFFSET(CRONOPLE!$F$14,$M65,BH$13))))</f>
        <v>1000000000000</v>
      </c>
      <c r="BI65" s="215">
        <f ca="1">IF($D65&lt;&gt;"Serviço",0,IF(AND(AUTOEVENTO="Manual",$M65=1),0,IF(OFFSET(CRONOPLE!$F$14,$M65,BI$13)="",10^12,OFFSET(CRONOPLE!$F$14,$M65,BI$13))))</f>
        <v>1000000000000</v>
      </c>
      <c r="BJ65" s="215">
        <f ca="1">IF($D65&lt;&gt;"Serviço",0,IF(AND(AUTOEVENTO="Manual",$M65=1),0,IF(OFFSET(CRONOPLE!$F$14,$M65,BJ$13)="",10^12,OFFSET(CRONOPLE!$F$14,$M65,BJ$13))))</f>
        <v>1000000000000</v>
      </c>
      <c r="BK65" s="215">
        <f ca="1">IF($D65&lt;&gt;"Serviço",0,IF(AND(AUTOEVENTO="Manual",$M65=1),0,IF(OFFSET(CRONOPLE!$F$14,$M65,BK$13)="",10^12,OFFSET(CRONOPLE!$F$14,$M65,BK$13))))</f>
        <v>1000000000000</v>
      </c>
      <c r="BL65" s="215">
        <f ca="1">IF($D65&lt;&gt;"Serviço",0,IF(AND(AUTOEVENTO="Manual",$M65=1),0,IF(OFFSET(CRONOPLE!$F$14,$M65,BL$13)="",10^12,OFFSET(CRONOPLE!$F$14,$M65,BL$13))))</f>
        <v>1000000000000</v>
      </c>
      <c r="BM65" s="215">
        <f ca="1">IF($D65&lt;&gt;"Serviço",0,IF(AND(AUTOEVENTO="Manual",$M65=1),0,IF(OFFSET(CRONOPLE!$F$14,$M65,BM$13)="",10^12,OFFSET(CRONOPLE!$F$14,$M65,BM$13))))</f>
        <v>1000000000000</v>
      </c>
      <c r="BN65" s="215">
        <f ca="1">IF($D65&lt;&gt;"Serviço",0,IF(AND(AUTOEVENTO="Manual",$M65=1),0,IF(OFFSET(CRONOPLE!$F$14,$M65,BN$13)="",10^12,OFFSET(CRONOPLE!$F$14,$M65,BN$13))))</f>
        <v>1000000000000</v>
      </c>
      <c r="BO65" s="215">
        <f ca="1">IF($D65&lt;&gt;"Serviço",0,IF(AND(AUTOEVENTO="Manual",$M65=1),0,IF(OFFSET(CRONOPLE!$F$14,$M65,BO$13)="",10^12,OFFSET(CRONOPLE!$F$14,$M65,BO$13))))</f>
        <v>1000000000000</v>
      </c>
      <c r="BP65" s="215">
        <f ca="1">IF($D65&lt;&gt;"Serviço",0,IF(AND(AUTOEVENTO="Manual",$M65=1),0,IF(OFFSET(CRONOPLE!$F$14,$M65,BP$13)="",10^12,OFFSET(CRONOPLE!$F$14,$M65,BP$13))))</f>
        <v>1000000000000</v>
      </c>
      <c r="BQ65" s="215">
        <f ca="1">IF($D65&lt;&gt;"Serviço",0,IF(AND(AUTOEVENTO="Manual",$M65=1),0,IF(OFFSET(CRONOPLE!$F$14,$M65,BQ$13)="",10^12,OFFSET(CRONOPLE!$F$14,$M65,BQ$13))))</f>
        <v>1000000000000</v>
      </c>
      <c r="BR65" s="215">
        <f ca="1">IF($D65&lt;&gt;"Serviço",0,IF(AND(AUTOEVENTO="Manual",$M65=1),0,IF(OFFSET(CRONOPLE!$F$14,$M65,BR$13)="",10^12,OFFSET(CRONOPLE!$F$14,$M65,BR$13))))</f>
        <v>1000000000000</v>
      </c>
      <c r="BS65" s="215">
        <f ca="1">IF($D65&lt;&gt;"Serviço",0,IF(AND(AUTOEVENTO="Manual",$M65=1),0,IF(OFFSET(CRONOPLE!$F$14,$M65,BS$13)="",10^12,OFFSET(CRONOPLE!$F$14,$M65,BS$13))))</f>
        <v>1000000000000</v>
      </c>
      <c r="BT65" s="215">
        <f ca="1">IF($D65&lt;&gt;"Serviço",0,IF(AND(AUTOEVENTO="Manual",$M65=1),0,IF(OFFSET(CRONOPLE!$F$14,$M65,BT$13)="",10^12,OFFSET(CRONOPLE!$F$14,$M65,BT$13))))</f>
        <v>1000000000000</v>
      </c>
      <c r="BV65" s="216">
        <f ca="1">IF($D65&lt;&gt;"Serviço",0,IF(OR(AND(AUTOEVENTO="Manual",$M65=1),$M65&gt;(ROW(PLE.lastrow)-ROW(PLE.firstrow))),0,IF(OFFSET(PLE!$G$14,$M65,BV$13)="",10^12,OFFSET(PLE!$G$14,$M65,BV$13))))</f>
        <v>1000000000000</v>
      </c>
      <c r="BW65" s="216">
        <f ca="1">IF($D65&lt;&gt;"Serviço",0,IF(OR(AND(AUTOEVENTO="Manual",$M65=1),$M65&gt;(ROW(PLE.lastrow)-ROW(PLE.firstrow))),0,IF(OFFSET(PLE!$G$14,$M65,BW$13)="",10^12,OFFSET(PLE!$G$14,$M65,BW$13))))</f>
        <v>1000000000000</v>
      </c>
      <c r="BX65" s="216">
        <f ca="1">IF($D65&lt;&gt;"Serviço",0,IF(OR(AND(AUTOEVENTO="Manual",$M65=1),$M65&gt;(ROW(PLE.lastrow)-ROW(PLE.firstrow))),0,IF(OFFSET(PLE!$G$14,$M65,BX$13)="",10^12,OFFSET(PLE!$G$14,$M65,BX$13))))</f>
        <v>1000000000000</v>
      </c>
      <c r="BY65" s="216">
        <f ca="1">IF($D65&lt;&gt;"Serviço",0,IF(OR(AND(AUTOEVENTO="Manual",$M65=1),$M65&gt;(ROW(PLE.lastrow)-ROW(PLE.firstrow))),0,IF(OFFSET(PLE!$G$14,$M65,BY$13)="",10^12,OFFSET(PLE!$G$14,$M65,BY$13))))</f>
        <v>1000000000000</v>
      </c>
      <c r="BZ65" s="216">
        <f ca="1">IF($D65&lt;&gt;"Serviço",0,IF(OR(AND(AUTOEVENTO="Manual",$M65=1),$M65&gt;(ROW(PLE.lastrow)-ROW(PLE.firstrow))),0,IF(OFFSET(PLE!$G$14,$M65,BZ$13)="",10^12,OFFSET(PLE!$G$14,$M65,BZ$13))))</f>
        <v>1000000000000</v>
      </c>
      <c r="CA65" s="216">
        <f ca="1">IF($D65&lt;&gt;"Serviço",0,IF(OR(AND(AUTOEVENTO="Manual",$M65=1),$M65&gt;(ROW(PLE.lastrow)-ROW(PLE.firstrow))),0,IF(OFFSET(PLE!$G$14,$M65,CA$13)="",10^12,OFFSET(PLE!$G$14,$M65,CA$13))))</f>
        <v>1000000000000</v>
      </c>
      <c r="CB65" s="216">
        <f ca="1">IF($D65&lt;&gt;"Serviço",0,IF(OR(AND(AUTOEVENTO="Manual",$M65=1),$M65&gt;(ROW(PLE.lastrow)-ROW(PLE.firstrow))),0,IF(OFFSET(PLE!$G$14,$M65,CB$13)="",10^12,OFFSET(PLE!$G$14,$M65,CB$13))))</f>
        <v>1000000000000</v>
      </c>
      <c r="CC65" s="216">
        <f ca="1">IF($D65&lt;&gt;"Serviço",0,IF(OR(AND(AUTOEVENTO="Manual",$M65=1),$M65&gt;(ROW(PLE.lastrow)-ROW(PLE.firstrow))),0,IF(OFFSET(PLE!$G$14,$M65,CC$13)="",10^12,OFFSET(PLE!$G$14,$M65,CC$13))))</f>
        <v>1000000000000</v>
      </c>
      <c r="CD65" s="216">
        <f ca="1">IF($D65&lt;&gt;"Serviço",0,IF(OR(AND(AUTOEVENTO="Manual",$M65=1),$M65&gt;(ROW(PLE.lastrow)-ROW(PLE.firstrow))),0,IF(OFFSET(PLE!$G$14,$M65,CD$13)="",10^12,OFFSET(PLE!$G$14,$M65,CD$13))))</f>
        <v>1000000000000</v>
      </c>
      <c r="CE65" s="216">
        <f ca="1">IF($D65&lt;&gt;"Serviço",0,IF(OR(AND(AUTOEVENTO="Manual",$M65=1),$M65&gt;(ROW(PLE.lastrow)-ROW(PLE.firstrow))),0,IF(OFFSET(PLE!$G$14,$M65,CE$13)="",10^12,OFFSET(PLE!$G$14,$M65,CE$13))))</f>
        <v>1000000000000</v>
      </c>
      <c r="CF65" s="216">
        <f ca="1">IF($D65&lt;&gt;"Serviço",0,IF(OR(AND(AUTOEVENTO="Manual",$M65=1),$M65&gt;(ROW(PLE.lastrow)-ROW(PLE.firstrow))),0,IF(OFFSET(PLE!$G$14,$M65,CF$13)="",10^12,OFFSET(PLE!$G$14,$M65,CF$13))))</f>
        <v>1000000000000</v>
      </c>
      <c r="CG65" s="216">
        <f ca="1">IF($D65&lt;&gt;"Serviço",0,IF(OR(AND(AUTOEVENTO="Manual",$M65=1),$M65&gt;(ROW(PLE.lastrow)-ROW(PLE.firstrow))),0,IF(OFFSET(PLE!$G$14,$M65,CG$13)="",10^12,OFFSET(PLE!$G$14,$M65,CG$13))))</f>
        <v>1000000000000</v>
      </c>
      <c r="CH65" s="216">
        <f ca="1">IF($D65&lt;&gt;"Serviço",0,IF(OR(AND(AUTOEVENTO="Manual",$M65=1),$M65&gt;(ROW(PLE.lastrow)-ROW(PLE.firstrow))),0,IF(OFFSET(PLE!$G$14,$M65,CH$13)="",10^12,OFFSET(PLE!$G$14,$M65,CH$13))))</f>
        <v>1000000000000</v>
      </c>
      <c r="CI65" s="216">
        <f ca="1">IF($D65&lt;&gt;"Serviço",0,IF(OR(AND(AUTOEVENTO="Manual",$M65=1),$M65&gt;(ROW(PLE.lastrow)-ROW(PLE.firstrow))),0,IF(OFFSET(PLE!$G$14,$M65,CI$13)="",10^12,OFFSET(PLE!$G$14,$M65,CI$13))))</f>
        <v>1000000000000</v>
      </c>
      <c r="CJ65" s="216">
        <f ca="1">IF($D65&lt;&gt;"Serviço",0,IF(OR(AND(AUTOEVENTO="Manual",$M65=1),$M65&gt;(ROW(PLE.lastrow)-ROW(PLE.firstrow))),0,IF(OFFSET(PLE!$G$14,$M65,CJ$13)="",10^12,OFFSET(PLE!$G$14,$M65,CJ$13))))</f>
        <v>1000000000000</v>
      </c>
      <c r="CK65" s="216">
        <f ca="1">IF($D65&lt;&gt;"Serviço",0,IF(OR(AND(AUTOEVENTO="Manual",$M65=1),$M65&gt;(ROW(PLE.lastrow)-ROW(PLE.firstrow))),0,IF(OFFSET(PLE!$G$14,$M65,CK$13)="",10^12,OFFSET(PLE!$G$14,$M65,CK$13))))</f>
        <v>1000000000000</v>
      </c>
      <c r="CL65" s="216">
        <f ca="1">IF($D65&lt;&gt;"Serviço",0,IF(OR(AND(AUTOEVENTO="Manual",$M65=1),$M65&gt;(ROW(PLE.lastrow)-ROW(PLE.firstrow))),0,IF(OFFSET(PLE!$G$14,$M65,CL$13)="",10^12,OFFSET(PLE!$G$14,$M65,CL$13))))</f>
        <v>1000000000000</v>
      </c>
      <c r="CM65" s="216">
        <f ca="1">IF($D65&lt;&gt;"Serviço",0,IF(OR(AND(AUTOEVENTO="Manual",$M65=1),$M65&gt;(ROW(PLE.lastrow)-ROW(PLE.firstrow))),0,IF(OFFSET(PLE!$G$14,$M65,CM$13)="",10^12,OFFSET(PLE!$G$14,$M65,CM$13))))</f>
        <v>1000000000000</v>
      </c>
    </row>
    <row r="66" spans="1:91" ht="13.2" x14ac:dyDescent="0.25">
      <c r="A66" s="9">
        <f t="shared" ca="1" si="9"/>
        <v>0</v>
      </c>
      <c r="B66" s="9">
        <f ca="1">OFFSET(ORÇAMENTO!C$15,ROW(B66)-ROW(B$15),0)</f>
        <v>3</v>
      </c>
      <c r="C66" s="9" t="str">
        <f ca="1">OFFSET(ORÇAMENTO!L$15,ROW(C66)-ROW(C$15),0)</f>
        <v>F</v>
      </c>
      <c r="D66" s="145" t="str">
        <f ca="1">OFFSET(ORÇAMENTO!N$15,ROW(D66)-ROW(D$15),0)</f>
        <v>Nível 3</v>
      </c>
      <c r="E66" s="205" t="str">
        <f ca="1">OFFSET(ORÇAMENTO!O$15,ROW(E66)-ROW(E$15),0)</f>
        <v>1.3.3.</v>
      </c>
      <c r="F66" s="206" t="str">
        <f ca="1">OFFSET(ORÇAMENTO!R$15,ROW(F66)-ROW(F$15),0)</f>
        <v>CONCRETO ARMADO PARA FUNDAÇÕES - VIGAS BALDRAMES - MURO</v>
      </c>
      <c r="G66" s="207" t="str">
        <f ca="1">IF($D66&lt;&gt;"Serviço","",OFFSET(ORÇAMENTO!S$15,ROW(G66)-ROW(G$15),0))</f>
        <v/>
      </c>
      <c r="H66" s="151">
        <f ca="1">IF($D66&lt;&gt;"Serviço",0,IF(ACOMPANHAMENTO="BM",ROUND(OFFSET(ORÇAMENTO!AJ$15,ROW(H66)-ROW(H$15),0),15-13*ORÇAMENTO!$AF$7),SUMPRODUCT(($Q$12:$AI$12&lt;&gt;"")*ROUND($Q66:$AI66,15-13*ORÇAMENTO!$AF$7))))</f>
        <v>0</v>
      </c>
      <c r="I66" s="650"/>
      <c r="K66" s="208"/>
      <c r="L66" s="209" t="s">
        <v>257</v>
      </c>
      <c r="M66" s="210" t="str">
        <f ca="1">IF($D66&lt;&gt;"Serviço","",IF(AUTOEVENTO="manual",$A66,IF(ISERROR(MATCH($A66,$A$15:OFFSET($A66,-1,0),0)),MAX($M$15:OFFSET(M66,-1,0))+1,INDEX($M$15:OFFSET(M66,-1,0),MATCH($A66,$A$15:OFFSET($A66,-1,0),0)))))</f>
        <v/>
      </c>
      <c r="N66" s="211" t="str">
        <f ca="1">IF($D66&lt;&gt;"Serviço","",IF(AUTOEVENTO="Manual",IF($A66=0,"&lt;-- defina o número do agrupador",OFFSET(EVENTOS!$D$14,$A66,0)),OFFSET($F$15,$A66,0)))</f>
        <v/>
      </c>
      <c r="O66" s="212"/>
      <c r="Q66" s="212"/>
      <c r="R66" s="213"/>
      <c r="S66" s="213"/>
      <c r="T66" s="213"/>
      <c r="U66" s="213"/>
      <c r="V66" s="213"/>
      <c r="W66" s="213"/>
      <c r="X66" s="213"/>
      <c r="Y66" s="213"/>
      <c r="Z66" s="214"/>
      <c r="AA66" s="213"/>
      <c r="AB66" s="213"/>
      <c r="AC66" s="213"/>
      <c r="AD66" s="213"/>
      <c r="AE66" s="213"/>
      <c r="AF66" s="213"/>
      <c r="AG66" s="213"/>
      <c r="AH66" s="214"/>
      <c r="AJ66" s="631">
        <f ca="1">IF(AND($D66="Serviço",AJ$12&lt;&gt;0,$H66&gt;0,OR(AUTOEVENTO&lt;&gt;"manual",$M66&lt;&gt;1)),ROUND(OFFSET($P66,0,AJ$13),15-13*ORÇAMENTO!$AF$7)/$H66*OFFSET(ORÇAMENTO!$X$15,ROW(AJ66)-ROW(AJ$15),0),0)</f>
        <v>0</v>
      </c>
      <c r="AK66" s="632">
        <f ca="1">IF(AND($D66="Serviço",AK$12&lt;&gt;0,$H66&gt;0,OR(AUTOEVENTO&lt;&gt;"manual",$M66&lt;&gt;1)),ROUND(OFFSET($P66,0,AK$13),15-13*ORÇAMENTO!$AF$7)/$H66*OFFSET(ORÇAMENTO!$X$15,ROW(AK66)-ROW(AK$15),0),0)</f>
        <v>0</v>
      </c>
      <c r="AL66" s="632">
        <f ca="1">IF(AND($D66="Serviço",AL$12&lt;&gt;0,$H66&gt;0,OR(AUTOEVENTO&lt;&gt;"manual",$M66&lt;&gt;1)),ROUND(OFFSET($P66,0,AL$13),15-13*ORÇAMENTO!$AF$7)/$H66*OFFSET(ORÇAMENTO!$X$15,ROW(AL66)-ROW(AL$15),0),0)</f>
        <v>0</v>
      </c>
      <c r="AM66" s="632">
        <f ca="1">IF(AND($D66="Serviço",AM$12&lt;&gt;0,$H66&gt;0,OR(AUTOEVENTO&lt;&gt;"manual",$M66&lt;&gt;1)),ROUND(OFFSET($P66,0,AM$13),15-13*ORÇAMENTO!$AF$7)/$H66*OFFSET(ORÇAMENTO!$X$15,ROW(AM66)-ROW(AM$15),0),0)</f>
        <v>0</v>
      </c>
      <c r="AN66" s="632">
        <f ca="1">IF(AND($D66="Serviço",AN$12&lt;&gt;0,$H66&gt;0,OR(AUTOEVENTO&lt;&gt;"manual",$M66&lt;&gt;1)),ROUND(OFFSET($P66,0,AN$13),15-13*ORÇAMENTO!$AF$7)/$H66*OFFSET(ORÇAMENTO!$X$15,ROW(AN66)-ROW(AN$15),0),0)</f>
        <v>0</v>
      </c>
      <c r="AO66" s="632">
        <f ca="1">IF(AND($D66="Serviço",AO$12&lt;&gt;0,$H66&gt;0,OR(AUTOEVENTO&lt;&gt;"manual",$M66&lt;&gt;1)),ROUND(OFFSET($P66,0,AO$13),15-13*ORÇAMENTO!$AF$7)/$H66*OFFSET(ORÇAMENTO!$X$15,ROW(AO66)-ROW(AO$15),0),0)</f>
        <v>0</v>
      </c>
      <c r="AP66" s="632">
        <f ca="1">IF(AND($D66="Serviço",AP$12&lt;&gt;0,$H66&gt;0,OR(AUTOEVENTO&lt;&gt;"manual",$M66&lt;&gt;1)),ROUND(OFFSET($P66,0,AP$13),15-13*ORÇAMENTO!$AF$7)/$H66*OFFSET(ORÇAMENTO!$X$15,ROW(AP66)-ROW(AP$15),0),0)</f>
        <v>0</v>
      </c>
      <c r="AQ66" s="632">
        <f ca="1">IF(AND($D66="Serviço",AQ$12&lt;&gt;0,$H66&gt;0,OR(AUTOEVENTO&lt;&gt;"manual",$M66&lt;&gt;1)),ROUND(OFFSET($P66,0,AQ$13),15-13*ORÇAMENTO!$AF$7)/$H66*OFFSET(ORÇAMENTO!$X$15,ROW(AQ66)-ROW(AQ$15),0),0)</f>
        <v>0</v>
      </c>
      <c r="AR66" s="632">
        <f ca="1">IF(AND($D66="Serviço",AR$12&lt;&gt;0,$H66&gt;0,OR(AUTOEVENTO&lt;&gt;"manual",$M66&lt;&gt;1)),ROUND(OFFSET($P66,0,AR$13),15-13*ORÇAMENTO!$AF$7)/$H66*OFFSET(ORÇAMENTO!$X$15,ROW(AR66)-ROW(AR$15),0),0)</f>
        <v>0</v>
      </c>
      <c r="AS66" s="633">
        <f ca="1">IF(AND($D66="Serviço",AS$12&lt;&gt;0,$H66&gt;0,OR(AUTOEVENTO&lt;&gt;"manual",$M66&lt;&gt;1)),ROUND(OFFSET($P66,0,AS$13),15-13*ORÇAMENTO!$AF$7)/$H66*OFFSET(ORÇAMENTO!$X$15,ROW(AS66)-ROW(AS$15),0),0)</f>
        <v>0</v>
      </c>
      <c r="AT66" s="632">
        <f ca="1">IF(AND($D66="Serviço",AT$12&lt;&gt;0,$H66&gt;0,OR(AUTOEVENTO&lt;&gt;"manual",$M66&lt;&gt;1)),ROUND(OFFSET($P66,0,AT$13),15-13*ORÇAMENTO!$AF$7)/$H66*OFFSET(ORÇAMENTO!$X$15,ROW(AT66)-ROW(AT$15),0),0)</f>
        <v>0</v>
      </c>
      <c r="AU66" s="632">
        <f ca="1">IF(AND($D66="Serviço",AU$12&lt;&gt;0,$H66&gt;0,OR(AUTOEVENTO&lt;&gt;"manual",$M66&lt;&gt;1)),ROUND(OFFSET($P66,0,AU$13),15-13*ORÇAMENTO!$AF$7)/$H66*OFFSET(ORÇAMENTO!$X$15,ROW(AU66)-ROW(AU$15),0),0)</f>
        <v>0</v>
      </c>
      <c r="AV66" s="632">
        <f ca="1">IF(AND($D66="Serviço",AV$12&lt;&gt;0,$H66&gt;0,OR(AUTOEVENTO&lt;&gt;"manual",$M66&lt;&gt;1)),ROUND(OFFSET($P66,0,AV$13),15-13*ORÇAMENTO!$AF$7)/$H66*OFFSET(ORÇAMENTO!$X$15,ROW(AV66)-ROW(AV$15),0),0)</f>
        <v>0</v>
      </c>
      <c r="AW66" s="632">
        <f ca="1">IF(AND($D66="Serviço",AW$12&lt;&gt;0,$H66&gt;0,OR(AUTOEVENTO&lt;&gt;"manual",$M66&lt;&gt;1)),ROUND(OFFSET($P66,0,AW$13),15-13*ORÇAMENTO!$AF$7)/$H66*OFFSET(ORÇAMENTO!$X$15,ROW(AW66)-ROW(AW$15),0),0)</f>
        <v>0</v>
      </c>
      <c r="AX66" s="632">
        <f ca="1">IF(AND($D66="Serviço",AX$12&lt;&gt;0,$H66&gt;0,OR(AUTOEVENTO&lt;&gt;"manual",$M66&lt;&gt;1)),ROUND(OFFSET($P66,0,AX$13),15-13*ORÇAMENTO!$AF$7)/$H66*OFFSET(ORÇAMENTO!$X$15,ROW(AX66)-ROW(AX$15),0),0)</f>
        <v>0</v>
      </c>
      <c r="AY66" s="632">
        <f ca="1">IF(AND($D66="Serviço",AY$12&lt;&gt;0,$H66&gt;0,OR(AUTOEVENTO&lt;&gt;"manual",$M66&lt;&gt;1)),ROUND(OFFSET($P66,0,AY$13),15-13*ORÇAMENTO!$AF$7)/$H66*OFFSET(ORÇAMENTO!$X$15,ROW(AY66)-ROW(AY$15),0),0)</f>
        <v>0</v>
      </c>
      <c r="AZ66" s="632">
        <f ca="1">IF(AND($D66="Serviço",AZ$12&lt;&gt;0,$H66&gt;0,OR(AUTOEVENTO&lt;&gt;"manual",$M66&lt;&gt;1)),ROUND(OFFSET($P66,0,AZ$13),15-13*ORÇAMENTO!$AF$7)/$H66*OFFSET(ORÇAMENTO!$X$15,ROW(AZ66)-ROW(AZ$15),0),0)</f>
        <v>0</v>
      </c>
      <c r="BA66" s="633">
        <f ca="1">IF(AND($D66="Serviço",BA$12&lt;&gt;0,$H66&gt;0,OR(AUTOEVENTO&lt;&gt;"manual",$M66&lt;&gt;1)),ROUND(OFFSET($P66,0,BA$13),15-13*ORÇAMENTO!$AF$7)/$H66*OFFSET(ORÇAMENTO!$X$15,ROW(BA66)-ROW(BA$15),0),0)</f>
        <v>0</v>
      </c>
      <c r="BC66" s="215">
        <f ca="1">IF($D66&lt;&gt;"Serviço",0,IF(AND(AUTOEVENTO="Manual",$M66=1),0,IF(OFFSET(CRONOPLE!$F$14,$M66,BC$13)="",10^12,OFFSET(CRONOPLE!$F$14,$M66,BC$13))))</f>
        <v>0</v>
      </c>
      <c r="BD66" s="215">
        <f ca="1">IF($D66&lt;&gt;"Serviço",0,IF(AND(AUTOEVENTO="Manual",$M66=1),0,IF(OFFSET(CRONOPLE!$F$14,$M66,BD$13)="",10^12,OFFSET(CRONOPLE!$F$14,$M66,BD$13))))</f>
        <v>0</v>
      </c>
      <c r="BE66" s="215">
        <f ca="1">IF($D66&lt;&gt;"Serviço",0,IF(AND(AUTOEVENTO="Manual",$M66=1),0,IF(OFFSET(CRONOPLE!$F$14,$M66,BE$13)="",10^12,OFFSET(CRONOPLE!$F$14,$M66,BE$13))))</f>
        <v>0</v>
      </c>
      <c r="BF66" s="215">
        <f ca="1">IF($D66&lt;&gt;"Serviço",0,IF(AND(AUTOEVENTO="Manual",$M66=1),0,IF(OFFSET(CRONOPLE!$F$14,$M66,BF$13)="",10^12,OFFSET(CRONOPLE!$F$14,$M66,BF$13))))</f>
        <v>0</v>
      </c>
      <c r="BG66" s="215">
        <f ca="1">IF($D66&lt;&gt;"Serviço",0,IF(AND(AUTOEVENTO="Manual",$M66=1),0,IF(OFFSET(CRONOPLE!$F$14,$M66,BG$13)="",10^12,OFFSET(CRONOPLE!$F$14,$M66,BG$13))))</f>
        <v>0</v>
      </c>
      <c r="BH66" s="215">
        <f ca="1">IF($D66&lt;&gt;"Serviço",0,IF(AND(AUTOEVENTO="Manual",$M66=1),0,IF(OFFSET(CRONOPLE!$F$14,$M66,BH$13)="",10^12,OFFSET(CRONOPLE!$F$14,$M66,BH$13))))</f>
        <v>0</v>
      </c>
      <c r="BI66" s="215">
        <f ca="1">IF($D66&lt;&gt;"Serviço",0,IF(AND(AUTOEVENTO="Manual",$M66=1),0,IF(OFFSET(CRONOPLE!$F$14,$M66,BI$13)="",10^12,OFFSET(CRONOPLE!$F$14,$M66,BI$13))))</f>
        <v>0</v>
      </c>
      <c r="BJ66" s="215">
        <f ca="1">IF($D66&lt;&gt;"Serviço",0,IF(AND(AUTOEVENTO="Manual",$M66=1),0,IF(OFFSET(CRONOPLE!$F$14,$M66,BJ$13)="",10^12,OFFSET(CRONOPLE!$F$14,$M66,BJ$13))))</f>
        <v>0</v>
      </c>
      <c r="BK66" s="215">
        <f ca="1">IF($D66&lt;&gt;"Serviço",0,IF(AND(AUTOEVENTO="Manual",$M66=1),0,IF(OFFSET(CRONOPLE!$F$14,$M66,BK$13)="",10^12,OFFSET(CRONOPLE!$F$14,$M66,BK$13))))</f>
        <v>0</v>
      </c>
      <c r="BL66" s="215">
        <f ca="1">IF($D66&lt;&gt;"Serviço",0,IF(AND(AUTOEVENTO="Manual",$M66=1),0,IF(OFFSET(CRONOPLE!$F$14,$M66,BL$13)="",10^12,OFFSET(CRONOPLE!$F$14,$M66,BL$13))))</f>
        <v>0</v>
      </c>
      <c r="BM66" s="215">
        <f ca="1">IF($D66&lt;&gt;"Serviço",0,IF(AND(AUTOEVENTO="Manual",$M66=1),0,IF(OFFSET(CRONOPLE!$F$14,$M66,BM$13)="",10^12,OFFSET(CRONOPLE!$F$14,$M66,BM$13))))</f>
        <v>0</v>
      </c>
      <c r="BN66" s="215">
        <f ca="1">IF($D66&lt;&gt;"Serviço",0,IF(AND(AUTOEVENTO="Manual",$M66=1),0,IF(OFFSET(CRONOPLE!$F$14,$M66,BN$13)="",10^12,OFFSET(CRONOPLE!$F$14,$M66,BN$13))))</f>
        <v>0</v>
      </c>
      <c r="BO66" s="215">
        <f ca="1">IF($D66&lt;&gt;"Serviço",0,IF(AND(AUTOEVENTO="Manual",$M66=1),0,IF(OFFSET(CRONOPLE!$F$14,$M66,BO$13)="",10^12,OFFSET(CRONOPLE!$F$14,$M66,BO$13))))</f>
        <v>0</v>
      </c>
      <c r="BP66" s="215">
        <f ca="1">IF($D66&lt;&gt;"Serviço",0,IF(AND(AUTOEVENTO="Manual",$M66=1),0,IF(OFFSET(CRONOPLE!$F$14,$M66,BP$13)="",10^12,OFFSET(CRONOPLE!$F$14,$M66,BP$13))))</f>
        <v>0</v>
      </c>
      <c r="BQ66" s="215">
        <f ca="1">IF($D66&lt;&gt;"Serviço",0,IF(AND(AUTOEVENTO="Manual",$M66=1),0,IF(OFFSET(CRONOPLE!$F$14,$M66,BQ$13)="",10^12,OFFSET(CRONOPLE!$F$14,$M66,BQ$13))))</f>
        <v>0</v>
      </c>
      <c r="BR66" s="215">
        <f ca="1">IF($D66&lt;&gt;"Serviço",0,IF(AND(AUTOEVENTO="Manual",$M66=1),0,IF(OFFSET(CRONOPLE!$F$14,$M66,BR$13)="",10^12,OFFSET(CRONOPLE!$F$14,$M66,BR$13))))</f>
        <v>0</v>
      </c>
      <c r="BS66" s="215">
        <f ca="1">IF($D66&lt;&gt;"Serviço",0,IF(AND(AUTOEVENTO="Manual",$M66=1),0,IF(OFFSET(CRONOPLE!$F$14,$M66,BS$13)="",10^12,OFFSET(CRONOPLE!$F$14,$M66,BS$13))))</f>
        <v>0</v>
      </c>
      <c r="BT66" s="215">
        <f ca="1">IF($D66&lt;&gt;"Serviço",0,IF(AND(AUTOEVENTO="Manual",$M66=1),0,IF(OFFSET(CRONOPLE!$F$14,$M66,BT$13)="",10^12,OFFSET(CRONOPLE!$F$14,$M66,BT$13))))</f>
        <v>0</v>
      </c>
      <c r="BV66" s="216">
        <f ca="1">IF($D66&lt;&gt;"Serviço",0,IF(OR(AND(AUTOEVENTO="Manual",$M66=1),$M66&gt;(ROW(PLE.lastrow)-ROW(PLE.firstrow))),0,IF(OFFSET(PLE!$G$14,$M66,BV$13)="",10^12,OFFSET(PLE!$G$14,$M66,BV$13))))</f>
        <v>0</v>
      </c>
      <c r="BW66" s="216">
        <f ca="1">IF($D66&lt;&gt;"Serviço",0,IF(OR(AND(AUTOEVENTO="Manual",$M66=1),$M66&gt;(ROW(PLE.lastrow)-ROW(PLE.firstrow))),0,IF(OFFSET(PLE!$G$14,$M66,BW$13)="",10^12,OFFSET(PLE!$G$14,$M66,BW$13))))</f>
        <v>0</v>
      </c>
      <c r="BX66" s="216">
        <f ca="1">IF($D66&lt;&gt;"Serviço",0,IF(OR(AND(AUTOEVENTO="Manual",$M66=1),$M66&gt;(ROW(PLE.lastrow)-ROW(PLE.firstrow))),0,IF(OFFSET(PLE!$G$14,$M66,BX$13)="",10^12,OFFSET(PLE!$G$14,$M66,BX$13))))</f>
        <v>0</v>
      </c>
      <c r="BY66" s="216">
        <f ca="1">IF($D66&lt;&gt;"Serviço",0,IF(OR(AND(AUTOEVENTO="Manual",$M66=1),$M66&gt;(ROW(PLE.lastrow)-ROW(PLE.firstrow))),0,IF(OFFSET(PLE!$G$14,$M66,BY$13)="",10^12,OFFSET(PLE!$G$14,$M66,BY$13))))</f>
        <v>0</v>
      </c>
      <c r="BZ66" s="216">
        <f ca="1">IF($D66&lt;&gt;"Serviço",0,IF(OR(AND(AUTOEVENTO="Manual",$M66=1),$M66&gt;(ROW(PLE.lastrow)-ROW(PLE.firstrow))),0,IF(OFFSET(PLE!$G$14,$M66,BZ$13)="",10^12,OFFSET(PLE!$G$14,$M66,BZ$13))))</f>
        <v>0</v>
      </c>
      <c r="CA66" s="216">
        <f ca="1">IF($D66&lt;&gt;"Serviço",0,IF(OR(AND(AUTOEVENTO="Manual",$M66=1),$M66&gt;(ROW(PLE.lastrow)-ROW(PLE.firstrow))),0,IF(OFFSET(PLE!$G$14,$M66,CA$13)="",10^12,OFFSET(PLE!$G$14,$M66,CA$13))))</f>
        <v>0</v>
      </c>
      <c r="CB66" s="216">
        <f ca="1">IF($D66&lt;&gt;"Serviço",0,IF(OR(AND(AUTOEVENTO="Manual",$M66=1),$M66&gt;(ROW(PLE.lastrow)-ROW(PLE.firstrow))),0,IF(OFFSET(PLE!$G$14,$M66,CB$13)="",10^12,OFFSET(PLE!$G$14,$M66,CB$13))))</f>
        <v>0</v>
      </c>
      <c r="CC66" s="216">
        <f ca="1">IF($D66&lt;&gt;"Serviço",0,IF(OR(AND(AUTOEVENTO="Manual",$M66=1),$M66&gt;(ROW(PLE.lastrow)-ROW(PLE.firstrow))),0,IF(OFFSET(PLE!$G$14,$M66,CC$13)="",10^12,OFFSET(PLE!$G$14,$M66,CC$13))))</f>
        <v>0</v>
      </c>
      <c r="CD66" s="216">
        <f ca="1">IF($D66&lt;&gt;"Serviço",0,IF(OR(AND(AUTOEVENTO="Manual",$M66=1),$M66&gt;(ROW(PLE.lastrow)-ROW(PLE.firstrow))),0,IF(OFFSET(PLE!$G$14,$M66,CD$13)="",10^12,OFFSET(PLE!$G$14,$M66,CD$13))))</f>
        <v>0</v>
      </c>
      <c r="CE66" s="216">
        <f ca="1">IF($D66&lt;&gt;"Serviço",0,IF(OR(AND(AUTOEVENTO="Manual",$M66=1),$M66&gt;(ROW(PLE.lastrow)-ROW(PLE.firstrow))),0,IF(OFFSET(PLE!$G$14,$M66,CE$13)="",10^12,OFFSET(PLE!$G$14,$M66,CE$13))))</f>
        <v>0</v>
      </c>
      <c r="CF66" s="216">
        <f ca="1">IF($D66&lt;&gt;"Serviço",0,IF(OR(AND(AUTOEVENTO="Manual",$M66=1),$M66&gt;(ROW(PLE.lastrow)-ROW(PLE.firstrow))),0,IF(OFFSET(PLE!$G$14,$M66,CF$13)="",10^12,OFFSET(PLE!$G$14,$M66,CF$13))))</f>
        <v>0</v>
      </c>
      <c r="CG66" s="216">
        <f ca="1">IF($D66&lt;&gt;"Serviço",0,IF(OR(AND(AUTOEVENTO="Manual",$M66=1),$M66&gt;(ROW(PLE.lastrow)-ROW(PLE.firstrow))),0,IF(OFFSET(PLE!$G$14,$M66,CG$13)="",10^12,OFFSET(PLE!$G$14,$M66,CG$13))))</f>
        <v>0</v>
      </c>
      <c r="CH66" s="216">
        <f ca="1">IF($D66&lt;&gt;"Serviço",0,IF(OR(AND(AUTOEVENTO="Manual",$M66=1),$M66&gt;(ROW(PLE.lastrow)-ROW(PLE.firstrow))),0,IF(OFFSET(PLE!$G$14,$M66,CH$13)="",10^12,OFFSET(PLE!$G$14,$M66,CH$13))))</f>
        <v>0</v>
      </c>
      <c r="CI66" s="216">
        <f ca="1">IF($D66&lt;&gt;"Serviço",0,IF(OR(AND(AUTOEVENTO="Manual",$M66=1),$M66&gt;(ROW(PLE.lastrow)-ROW(PLE.firstrow))),0,IF(OFFSET(PLE!$G$14,$M66,CI$13)="",10^12,OFFSET(PLE!$G$14,$M66,CI$13))))</f>
        <v>0</v>
      </c>
      <c r="CJ66" s="216">
        <f ca="1">IF($D66&lt;&gt;"Serviço",0,IF(OR(AND(AUTOEVENTO="Manual",$M66=1),$M66&gt;(ROW(PLE.lastrow)-ROW(PLE.firstrow))),0,IF(OFFSET(PLE!$G$14,$M66,CJ$13)="",10^12,OFFSET(PLE!$G$14,$M66,CJ$13))))</f>
        <v>0</v>
      </c>
      <c r="CK66" s="216">
        <f ca="1">IF($D66&lt;&gt;"Serviço",0,IF(OR(AND(AUTOEVENTO="Manual",$M66=1),$M66&gt;(ROW(PLE.lastrow)-ROW(PLE.firstrow))),0,IF(OFFSET(PLE!$G$14,$M66,CK$13)="",10^12,OFFSET(PLE!$G$14,$M66,CK$13))))</f>
        <v>0</v>
      </c>
      <c r="CL66" s="216">
        <f ca="1">IF($D66&lt;&gt;"Serviço",0,IF(OR(AND(AUTOEVENTO="Manual",$M66=1),$M66&gt;(ROW(PLE.lastrow)-ROW(PLE.firstrow))),0,IF(OFFSET(PLE!$G$14,$M66,CL$13)="",10^12,OFFSET(PLE!$G$14,$M66,CL$13))))</f>
        <v>0</v>
      </c>
      <c r="CM66" s="216">
        <f ca="1">IF($D66&lt;&gt;"Serviço",0,IF(OR(AND(AUTOEVENTO="Manual",$M66=1),$M66&gt;(ROW(PLE.lastrow)-ROW(PLE.firstrow))),0,IF(OFFSET(PLE!$G$14,$M66,CM$13)="",10^12,OFFSET(PLE!$G$14,$M66,CM$13))))</f>
        <v>0</v>
      </c>
    </row>
    <row r="67" spans="1:91" ht="13.2" x14ac:dyDescent="0.25">
      <c r="A67" s="9">
        <f t="shared" ca="1" si="9"/>
        <v>0</v>
      </c>
      <c r="B67" s="9" t="str">
        <f ca="1">OFFSET(ORÇAMENTO!C$15,ROW(B67)-ROW(B$15),0)</f>
        <v>S</v>
      </c>
      <c r="C67" s="9" t="str">
        <f ca="1">OFFSET(ORÇAMENTO!L$15,ROW(C67)-ROW(C$15),0)</f>
        <v/>
      </c>
      <c r="D67" s="145" t="str">
        <f ca="1">OFFSET(ORÇAMENTO!N$15,ROW(D67)-ROW(D$15),0)</f>
        <v>Serviço</v>
      </c>
      <c r="E67" s="205" t="str">
        <f ca="1">OFFSET(ORÇAMENTO!O$15,ROW(E67)-ROW(E$15),0)</f>
        <v>-</v>
      </c>
      <c r="F67" s="206" t="str">
        <f ca="1">OFFSET(ORÇAMENTO!R$15,ROW(F67)-ROW(F$15),0)</f>
        <v>(abra o arquivo 'Referência 05-2024.xls)</v>
      </c>
      <c r="G67" s="207" t="str">
        <f ca="1">IF($D67&lt;&gt;"Serviço","",OFFSET(ORÇAMENTO!S$15,ROW(G67)-ROW(G$15),0))</f>
        <v>-</v>
      </c>
      <c r="H67" s="151">
        <f ca="1">IF($D67&lt;&gt;"Serviço",0,IF(ACOMPANHAMENTO="BM",ROUND(OFFSET(ORÇAMENTO!AJ$15,ROW(H67)-ROW(H$15),0),15-13*ORÇAMENTO!$AF$7),SUMPRODUCT(($Q$12:$AI$12&lt;&gt;"")*ROUND($Q67:$AI67,15-13*ORÇAMENTO!$AF$7))))</f>
        <v>44.46</v>
      </c>
      <c r="I67" s="650"/>
      <c r="K67" s="208"/>
      <c r="L67" s="209" t="s">
        <v>257</v>
      </c>
      <c r="M67" s="210">
        <f ca="1">IF($D67&lt;&gt;"Serviço","",IF(AUTOEVENTO="manual",$A67,IF(ISERROR(MATCH($A67,$A$15:OFFSET($A67,-1,0),0)),MAX($M$15:OFFSET(M67,-1,0))+1,INDEX($M$15:OFFSET(M67,-1,0),MATCH($A67,$A$15:OFFSET($A67,-1,0),0)))))</f>
        <v>0</v>
      </c>
      <c r="N67" s="211" t="str">
        <f ca="1">IF($D67&lt;&gt;"Serviço","",IF(AUTOEVENTO="Manual",IF($A67=0,"&lt;-- defina o número do agrupador",OFFSET(EVENTOS!$D$14,$A67,0)),OFFSET($F$15,$A67,0)))</f>
        <v>&lt;-- defina o número do agrupador</v>
      </c>
      <c r="O67" s="212"/>
      <c r="Q67" s="212"/>
      <c r="R67" s="213"/>
      <c r="S67" s="213"/>
      <c r="T67" s="213"/>
      <c r="U67" s="213"/>
      <c r="V67" s="213"/>
      <c r="W67" s="213"/>
      <c r="X67" s="213"/>
      <c r="Y67" s="213"/>
      <c r="Z67" s="214"/>
      <c r="AA67" s="213"/>
      <c r="AB67" s="213"/>
      <c r="AC67" s="213"/>
      <c r="AD67" s="213"/>
      <c r="AE67" s="213"/>
      <c r="AF67" s="213"/>
      <c r="AG67" s="213"/>
      <c r="AH67" s="214"/>
      <c r="AJ67" s="631">
        <f ca="1">IF(AND($D67="Serviço",AJ$12&lt;&gt;0,$H67&gt;0,OR(AUTOEVENTO&lt;&gt;"manual",$M67&lt;&gt;1)),ROUND(OFFSET($P67,0,AJ$13),15-13*ORÇAMENTO!$AF$7)/$H67*OFFSET(ORÇAMENTO!$X$15,ROW(AJ67)-ROW(AJ$15),0),0)</f>
        <v>0</v>
      </c>
      <c r="AK67" s="632">
        <f ca="1">IF(AND($D67="Serviço",AK$12&lt;&gt;0,$H67&gt;0,OR(AUTOEVENTO&lt;&gt;"manual",$M67&lt;&gt;1)),ROUND(OFFSET($P67,0,AK$13),15-13*ORÇAMENTO!$AF$7)/$H67*OFFSET(ORÇAMENTO!$X$15,ROW(AK67)-ROW(AK$15),0),0)</f>
        <v>0</v>
      </c>
      <c r="AL67" s="632">
        <f ca="1">IF(AND($D67="Serviço",AL$12&lt;&gt;0,$H67&gt;0,OR(AUTOEVENTO&lt;&gt;"manual",$M67&lt;&gt;1)),ROUND(OFFSET($P67,0,AL$13),15-13*ORÇAMENTO!$AF$7)/$H67*OFFSET(ORÇAMENTO!$X$15,ROW(AL67)-ROW(AL$15),0),0)</f>
        <v>0</v>
      </c>
      <c r="AM67" s="632">
        <f ca="1">IF(AND($D67="Serviço",AM$12&lt;&gt;0,$H67&gt;0,OR(AUTOEVENTO&lt;&gt;"manual",$M67&lt;&gt;1)),ROUND(OFFSET($P67,0,AM$13),15-13*ORÇAMENTO!$AF$7)/$H67*OFFSET(ORÇAMENTO!$X$15,ROW(AM67)-ROW(AM$15),0),0)</f>
        <v>0</v>
      </c>
      <c r="AN67" s="632">
        <f ca="1">IF(AND($D67="Serviço",AN$12&lt;&gt;0,$H67&gt;0,OR(AUTOEVENTO&lt;&gt;"manual",$M67&lt;&gt;1)),ROUND(OFFSET($P67,0,AN$13),15-13*ORÇAMENTO!$AF$7)/$H67*OFFSET(ORÇAMENTO!$X$15,ROW(AN67)-ROW(AN$15),0),0)</f>
        <v>0</v>
      </c>
      <c r="AO67" s="632">
        <f ca="1">IF(AND($D67="Serviço",AO$12&lt;&gt;0,$H67&gt;0,OR(AUTOEVENTO&lt;&gt;"manual",$M67&lt;&gt;1)),ROUND(OFFSET($P67,0,AO$13),15-13*ORÇAMENTO!$AF$7)/$H67*OFFSET(ORÇAMENTO!$X$15,ROW(AO67)-ROW(AO$15),0),0)</f>
        <v>0</v>
      </c>
      <c r="AP67" s="632">
        <f ca="1">IF(AND($D67="Serviço",AP$12&lt;&gt;0,$H67&gt;0,OR(AUTOEVENTO&lt;&gt;"manual",$M67&lt;&gt;1)),ROUND(OFFSET($P67,0,AP$13),15-13*ORÇAMENTO!$AF$7)/$H67*OFFSET(ORÇAMENTO!$X$15,ROW(AP67)-ROW(AP$15),0),0)</f>
        <v>0</v>
      </c>
      <c r="AQ67" s="632">
        <f ca="1">IF(AND($D67="Serviço",AQ$12&lt;&gt;0,$H67&gt;0,OR(AUTOEVENTO&lt;&gt;"manual",$M67&lt;&gt;1)),ROUND(OFFSET($P67,0,AQ$13),15-13*ORÇAMENTO!$AF$7)/$H67*OFFSET(ORÇAMENTO!$X$15,ROW(AQ67)-ROW(AQ$15),0),0)</f>
        <v>0</v>
      </c>
      <c r="AR67" s="632">
        <f ca="1">IF(AND($D67="Serviço",AR$12&lt;&gt;0,$H67&gt;0,OR(AUTOEVENTO&lt;&gt;"manual",$M67&lt;&gt;1)),ROUND(OFFSET($P67,0,AR$13),15-13*ORÇAMENTO!$AF$7)/$H67*OFFSET(ORÇAMENTO!$X$15,ROW(AR67)-ROW(AR$15),0),0)</f>
        <v>0</v>
      </c>
      <c r="AS67" s="633">
        <f ca="1">IF(AND($D67="Serviço",AS$12&lt;&gt;0,$H67&gt;0,OR(AUTOEVENTO&lt;&gt;"manual",$M67&lt;&gt;1)),ROUND(OFFSET($P67,0,AS$13),15-13*ORÇAMENTO!$AF$7)/$H67*OFFSET(ORÇAMENTO!$X$15,ROW(AS67)-ROW(AS$15),0),0)</f>
        <v>0</v>
      </c>
      <c r="AT67" s="632">
        <f ca="1">IF(AND($D67="Serviço",AT$12&lt;&gt;0,$H67&gt;0,OR(AUTOEVENTO&lt;&gt;"manual",$M67&lt;&gt;1)),ROUND(OFFSET($P67,0,AT$13),15-13*ORÇAMENTO!$AF$7)/$H67*OFFSET(ORÇAMENTO!$X$15,ROW(AT67)-ROW(AT$15),0),0)</f>
        <v>0</v>
      </c>
      <c r="AU67" s="632">
        <f ca="1">IF(AND($D67="Serviço",AU$12&lt;&gt;0,$H67&gt;0,OR(AUTOEVENTO&lt;&gt;"manual",$M67&lt;&gt;1)),ROUND(OFFSET($P67,0,AU$13),15-13*ORÇAMENTO!$AF$7)/$H67*OFFSET(ORÇAMENTO!$X$15,ROW(AU67)-ROW(AU$15),0),0)</f>
        <v>0</v>
      </c>
      <c r="AV67" s="632">
        <f ca="1">IF(AND($D67="Serviço",AV$12&lt;&gt;0,$H67&gt;0,OR(AUTOEVENTO&lt;&gt;"manual",$M67&lt;&gt;1)),ROUND(OFFSET($P67,0,AV$13),15-13*ORÇAMENTO!$AF$7)/$H67*OFFSET(ORÇAMENTO!$X$15,ROW(AV67)-ROW(AV$15),0),0)</f>
        <v>0</v>
      </c>
      <c r="AW67" s="632">
        <f ca="1">IF(AND($D67="Serviço",AW$12&lt;&gt;0,$H67&gt;0,OR(AUTOEVENTO&lt;&gt;"manual",$M67&lt;&gt;1)),ROUND(OFFSET($P67,0,AW$13),15-13*ORÇAMENTO!$AF$7)/$H67*OFFSET(ORÇAMENTO!$X$15,ROW(AW67)-ROW(AW$15),0),0)</f>
        <v>0</v>
      </c>
      <c r="AX67" s="632">
        <f ca="1">IF(AND($D67="Serviço",AX$12&lt;&gt;0,$H67&gt;0,OR(AUTOEVENTO&lt;&gt;"manual",$M67&lt;&gt;1)),ROUND(OFFSET($P67,0,AX$13),15-13*ORÇAMENTO!$AF$7)/$H67*OFFSET(ORÇAMENTO!$X$15,ROW(AX67)-ROW(AX$15),0),0)</f>
        <v>0</v>
      </c>
      <c r="AY67" s="632">
        <f ca="1">IF(AND($D67="Serviço",AY$12&lt;&gt;0,$H67&gt;0,OR(AUTOEVENTO&lt;&gt;"manual",$M67&lt;&gt;1)),ROUND(OFFSET($P67,0,AY$13),15-13*ORÇAMENTO!$AF$7)/$H67*OFFSET(ORÇAMENTO!$X$15,ROW(AY67)-ROW(AY$15),0),0)</f>
        <v>0</v>
      </c>
      <c r="AZ67" s="632">
        <f ca="1">IF(AND($D67="Serviço",AZ$12&lt;&gt;0,$H67&gt;0,OR(AUTOEVENTO&lt;&gt;"manual",$M67&lt;&gt;1)),ROUND(OFFSET($P67,0,AZ$13),15-13*ORÇAMENTO!$AF$7)/$H67*OFFSET(ORÇAMENTO!$X$15,ROW(AZ67)-ROW(AZ$15),0),0)</f>
        <v>0</v>
      </c>
      <c r="BA67" s="633">
        <f ca="1">IF(AND($D67="Serviço",BA$12&lt;&gt;0,$H67&gt;0,OR(AUTOEVENTO&lt;&gt;"manual",$M67&lt;&gt;1)),ROUND(OFFSET($P67,0,BA$13),15-13*ORÇAMENTO!$AF$7)/$H67*OFFSET(ORÇAMENTO!$X$15,ROW(BA67)-ROW(BA$15),0),0)</f>
        <v>0</v>
      </c>
      <c r="BC67" s="215">
        <f ca="1">IF($D67&lt;&gt;"Serviço",0,IF(AND(AUTOEVENTO="Manual",$M67=1),0,IF(OFFSET(CRONOPLE!$F$14,$M67,BC$13)="",10^12,OFFSET(CRONOPLE!$F$14,$M67,BC$13))))</f>
        <v>1000000000000</v>
      </c>
      <c r="BD67" s="215">
        <f ca="1">IF($D67&lt;&gt;"Serviço",0,IF(AND(AUTOEVENTO="Manual",$M67=1),0,IF(OFFSET(CRONOPLE!$F$14,$M67,BD$13)="",10^12,OFFSET(CRONOPLE!$F$14,$M67,BD$13))))</f>
        <v>1000000000000</v>
      </c>
      <c r="BE67" s="215">
        <f ca="1">IF($D67&lt;&gt;"Serviço",0,IF(AND(AUTOEVENTO="Manual",$M67=1),0,IF(OFFSET(CRONOPLE!$F$14,$M67,BE$13)="",10^12,OFFSET(CRONOPLE!$F$14,$M67,BE$13))))</f>
        <v>1000000000000</v>
      </c>
      <c r="BF67" s="215">
        <f ca="1">IF($D67&lt;&gt;"Serviço",0,IF(AND(AUTOEVENTO="Manual",$M67=1),0,IF(OFFSET(CRONOPLE!$F$14,$M67,BF$13)="",10^12,OFFSET(CRONOPLE!$F$14,$M67,BF$13))))</f>
        <v>1000000000000</v>
      </c>
      <c r="BG67" s="215">
        <f ca="1">IF($D67&lt;&gt;"Serviço",0,IF(AND(AUTOEVENTO="Manual",$M67=1),0,IF(OFFSET(CRONOPLE!$F$14,$M67,BG$13)="",10^12,OFFSET(CRONOPLE!$F$14,$M67,BG$13))))</f>
        <v>1000000000000</v>
      </c>
      <c r="BH67" s="215">
        <f ca="1">IF($D67&lt;&gt;"Serviço",0,IF(AND(AUTOEVENTO="Manual",$M67=1),0,IF(OFFSET(CRONOPLE!$F$14,$M67,BH$13)="",10^12,OFFSET(CRONOPLE!$F$14,$M67,BH$13))))</f>
        <v>1000000000000</v>
      </c>
      <c r="BI67" s="215">
        <f ca="1">IF($D67&lt;&gt;"Serviço",0,IF(AND(AUTOEVENTO="Manual",$M67=1),0,IF(OFFSET(CRONOPLE!$F$14,$M67,BI$13)="",10^12,OFFSET(CRONOPLE!$F$14,$M67,BI$13))))</f>
        <v>1000000000000</v>
      </c>
      <c r="BJ67" s="215">
        <f ca="1">IF($D67&lt;&gt;"Serviço",0,IF(AND(AUTOEVENTO="Manual",$M67=1),0,IF(OFFSET(CRONOPLE!$F$14,$M67,BJ$13)="",10^12,OFFSET(CRONOPLE!$F$14,$M67,BJ$13))))</f>
        <v>1000000000000</v>
      </c>
      <c r="BK67" s="215">
        <f ca="1">IF($D67&lt;&gt;"Serviço",0,IF(AND(AUTOEVENTO="Manual",$M67=1),0,IF(OFFSET(CRONOPLE!$F$14,$M67,BK$13)="",10^12,OFFSET(CRONOPLE!$F$14,$M67,BK$13))))</f>
        <v>1000000000000</v>
      </c>
      <c r="BL67" s="215">
        <f ca="1">IF($D67&lt;&gt;"Serviço",0,IF(AND(AUTOEVENTO="Manual",$M67=1),0,IF(OFFSET(CRONOPLE!$F$14,$M67,BL$13)="",10^12,OFFSET(CRONOPLE!$F$14,$M67,BL$13))))</f>
        <v>1000000000000</v>
      </c>
      <c r="BM67" s="215">
        <f ca="1">IF($D67&lt;&gt;"Serviço",0,IF(AND(AUTOEVENTO="Manual",$M67=1),0,IF(OFFSET(CRONOPLE!$F$14,$M67,BM$13)="",10^12,OFFSET(CRONOPLE!$F$14,$M67,BM$13))))</f>
        <v>1000000000000</v>
      </c>
      <c r="BN67" s="215">
        <f ca="1">IF($D67&lt;&gt;"Serviço",0,IF(AND(AUTOEVENTO="Manual",$M67=1),0,IF(OFFSET(CRONOPLE!$F$14,$M67,BN$13)="",10^12,OFFSET(CRONOPLE!$F$14,$M67,BN$13))))</f>
        <v>1000000000000</v>
      </c>
      <c r="BO67" s="215">
        <f ca="1">IF($D67&lt;&gt;"Serviço",0,IF(AND(AUTOEVENTO="Manual",$M67=1),0,IF(OFFSET(CRONOPLE!$F$14,$M67,BO$13)="",10^12,OFFSET(CRONOPLE!$F$14,$M67,BO$13))))</f>
        <v>1000000000000</v>
      </c>
      <c r="BP67" s="215">
        <f ca="1">IF($D67&lt;&gt;"Serviço",0,IF(AND(AUTOEVENTO="Manual",$M67=1),0,IF(OFFSET(CRONOPLE!$F$14,$M67,BP$13)="",10^12,OFFSET(CRONOPLE!$F$14,$M67,BP$13))))</f>
        <v>1000000000000</v>
      </c>
      <c r="BQ67" s="215">
        <f ca="1">IF($D67&lt;&gt;"Serviço",0,IF(AND(AUTOEVENTO="Manual",$M67=1),0,IF(OFFSET(CRONOPLE!$F$14,$M67,BQ$13)="",10^12,OFFSET(CRONOPLE!$F$14,$M67,BQ$13))))</f>
        <v>1000000000000</v>
      </c>
      <c r="BR67" s="215">
        <f ca="1">IF($D67&lt;&gt;"Serviço",0,IF(AND(AUTOEVENTO="Manual",$M67=1),0,IF(OFFSET(CRONOPLE!$F$14,$M67,BR$13)="",10^12,OFFSET(CRONOPLE!$F$14,$M67,BR$13))))</f>
        <v>1000000000000</v>
      </c>
      <c r="BS67" s="215">
        <f ca="1">IF($D67&lt;&gt;"Serviço",0,IF(AND(AUTOEVENTO="Manual",$M67=1),0,IF(OFFSET(CRONOPLE!$F$14,$M67,BS$13)="",10^12,OFFSET(CRONOPLE!$F$14,$M67,BS$13))))</f>
        <v>1000000000000</v>
      </c>
      <c r="BT67" s="215">
        <f ca="1">IF($D67&lt;&gt;"Serviço",0,IF(AND(AUTOEVENTO="Manual",$M67=1),0,IF(OFFSET(CRONOPLE!$F$14,$M67,BT$13)="",10^12,OFFSET(CRONOPLE!$F$14,$M67,BT$13))))</f>
        <v>1000000000000</v>
      </c>
      <c r="BV67" s="216">
        <f ca="1">IF($D67&lt;&gt;"Serviço",0,IF(OR(AND(AUTOEVENTO="Manual",$M67=1),$M67&gt;(ROW(PLE.lastrow)-ROW(PLE.firstrow))),0,IF(OFFSET(PLE!$G$14,$M67,BV$13)="",10^12,OFFSET(PLE!$G$14,$M67,BV$13))))</f>
        <v>1000000000000</v>
      </c>
      <c r="BW67" s="216">
        <f ca="1">IF($D67&lt;&gt;"Serviço",0,IF(OR(AND(AUTOEVENTO="Manual",$M67=1),$M67&gt;(ROW(PLE.lastrow)-ROW(PLE.firstrow))),0,IF(OFFSET(PLE!$G$14,$M67,BW$13)="",10^12,OFFSET(PLE!$G$14,$M67,BW$13))))</f>
        <v>1000000000000</v>
      </c>
      <c r="BX67" s="216">
        <f ca="1">IF($D67&lt;&gt;"Serviço",0,IF(OR(AND(AUTOEVENTO="Manual",$M67=1),$M67&gt;(ROW(PLE.lastrow)-ROW(PLE.firstrow))),0,IF(OFFSET(PLE!$G$14,$M67,BX$13)="",10^12,OFFSET(PLE!$G$14,$M67,BX$13))))</f>
        <v>1000000000000</v>
      </c>
      <c r="BY67" s="216">
        <f ca="1">IF($D67&lt;&gt;"Serviço",0,IF(OR(AND(AUTOEVENTO="Manual",$M67=1),$M67&gt;(ROW(PLE.lastrow)-ROW(PLE.firstrow))),0,IF(OFFSET(PLE!$G$14,$M67,BY$13)="",10^12,OFFSET(PLE!$G$14,$M67,BY$13))))</f>
        <v>1000000000000</v>
      </c>
      <c r="BZ67" s="216">
        <f ca="1">IF($D67&lt;&gt;"Serviço",0,IF(OR(AND(AUTOEVENTO="Manual",$M67=1),$M67&gt;(ROW(PLE.lastrow)-ROW(PLE.firstrow))),0,IF(OFFSET(PLE!$G$14,$M67,BZ$13)="",10^12,OFFSET(PLE!$G$14,$M67,BZ$13))))</f>
        <v>1000000000000</v>
      </c>
      <c r="CA67" s="216">
        <f ca="1">IF($D67&lt;&gt;"Serviço",0,IF(OR(AND(AUTOEVENTO="Manual",$M67=1),$M67&gt;(ROW(PLE.lastrow)-ROW(PLE.firstrow))),0,IF(OFFSET(PLE!$G$14,$M67,CA$13)="",10^12,OFFSET(PLE!$G$14,$M67,CA$13))))</f>
        <v>1000000000000</v>
      </c>
      <c r="CB67" s="216">
        <f ca="1">IF($D67&lt;&gt;"Serviço",0,IF(OR(AND(AUTOEVENTO="Manual",$M67=1),$M67&gt;(ROW(PLE.lastrow)-ROW(PLE.firstrow))),0,IF(OFFSET(PLE!$G$14,$M67,CB$13)="",10^12,OFFSET(PLE!$G$14,$M67,CB$13))))</f>
        <v>1000000000000</v>
      </c>
      <c r="CC67" s="216">
        <f ca="1">IF($D67&lt;&gt;"Serviço",0,IF(OR(AND(AUTOEVENTO="Manual",$M67=1),$M67&gt;(ROW(PLE.lastrow)-ROW(PLE.firstrow))),0,IF(OFFSET(PLE!$G$14,$M67,CC$13)="",10^12,OFFSET(PLE!$G$14,$M67,CC$13))))</f>
        <v>1000000000000</v>
      </c>
      <c r="CD67" s="216">
        <f ca="1">IF($D67&lt;&gt;"Serviço",0,IF(OR(AND(AUTOEVENTO="Manual",$M67=1),$M67&gt;(ROW(PLE.lastrow)-ROW(PLE.firstrow))),0,IF(OFFSET(PLE!$G$14,$M67,CD$13)="",10^12,OFFSET(PLE!$G$14,$M67,CD$13))))</f>
        <v>1000000000000</v>
      </c>
      <c r="CE67" s="216">
        <f ca="1">IF($D67&lt;&gt;"Serviço",0,IF(OR(AND(AUTOEVENTO="Manual",$M67=1),$M67&gt;(ROW(PLE.lastrow)-ROW(PLE.firstrow))),0,IF(OFFSET(PLE!$G$14,$M67,CE$13)="",10^12,OFFSET(PLE!$G$14,$M67,CE$13))))</f>
        <v>1000000000000</v>
      </c>
      <c r="CF67" s="216">
        <f ca="1">IF($D67&lt;&gt;"Serviço",0,IF(OR(AND(AUTOEVENTO="Manual",$M67=1),$M67&gt;(ROW(PLE.lastrow)-ROW(PLE.firstrow))),0,IF(OFFSET(PLE!$G$14,$M67,CF$13)="",10^12,OFFSET(PLE!$G$14,$M67,CF$13))))</f>
        <v>1000000000000</v>
      </c>
      <c r="CG67" s="216">
        <f ca="1">IF($D67&lt;&gt;"Serviço",0,IF(OR(AND(AUTOEVENTO="Manual",$M67=1),$M67&gt;(ROW(PLE.lastrow)-ROW(PLE.firstrow))),0,IF(OFFSET(PLE!$G$14,$M67,CG$13)="",10^12,OFFSET(PLE!$G$14,$M67,CG$13))))</f>
        <v>1000000000000</v>
      </c>
      <c r="CH67" s="216">
        <f ca="1">IF($D67&lt;&gt;"Serviço",0,IF(OR(AND(AUTOEVENTO="Manual",$M67=1),$M67&gt;(ROW(PLE.lastrow)-ROW(PLE.firstrow))),0,IF(OFFSET(PLE!$G$14,$M67,CH$13)="",10^12,OFFSET(PLE!$G$14,$M67,CH$13))))</f>
        <v>1000000000000</v>
      </c>
      <c r="CI67" s="216">
        <f ca="1">IF($D67&lt;&gt;"Serviço",0,IF(OR(AND(AUTOEVENTO="Manual",$M67=1),$M67&gt;(ROW(PLE.lastrow)-ROW(PLE.firstrow))),0,IF(OFFSET(PLE!$G$14,$M67,CI$13)="",10^12,OFFSET(PLE!$G$14,$M67,CI$13))))</f>
        <v>1000000000000</v>
      </c>
      <c r="CJ67" s="216">
        <f ca="1">IF($D67&lt;&gt;"Serviço",0,IF(OR(AND(AUTOEVENTO="Manual",$M67=1),$M67&gt;(ROW(PLE.lastrow)-ROW(PLE.firstrow))),0,IF(OFFSET(PLE!$G$14,$M67,CJ$13)="",10^12,OFFSET(PLE!$G$14,$M67,CJ$13))))</f>
        <v>1000000000000</v>
      </c>
      <c r="CK67" s="216">
        <f ca="1">IF($D67&lt;&gt;"Serviço",0,IF(OR(AND(AUTOEVENTO="Manual",$M67=1),$M67&gt;(ROW(PLE.lastrow)-ROW(PLE.firstrow))),0,IF(OFFSET(PLE!$G$14,$M67,CK$13)="",10^12,OFFSET(PLE!$G$14,$M67,CK$13))))</f>
        <v>1000000000000</v>
      </c>
      <c r="CL67" s="216">
        <f ca="1">IF($D67&lt;&gt;"Serviço",0,IF(OR(AND(AUTOEVENTO="Manual",$M67=1),$M67&gt;(ROW(PLE.lastrow)-ROW(PLE.firstrow))),0,IF(OFFSET(PLE!$G$14,$M67,CL$13)="",10^12,OFFSET(PLE!$G$14,$M67,CL$13))))</f>
        <v>1000000000000</v>
      </c>
      <c r="CM67" s="216">
        <f ca="1">IF($D67&lt;&gt;"Serviço",0,IF(OR(AND(AUTOEVENTO="Manual",$M67=1),$M67&gt;(ROW(PLE.lastrow)-ROW(PLE.firstrow))),0,IF(OFFSET(PLE!$G$14,$M67,CM$13)="",10^12,OFFSET(PLE!$G$14,$M67,CM$13))))</f>
        <v>1000000000000</v>
      </c>
    </row>
    <row r="68" spans="1:91" ht="13.2" x14ac:dyDescent="0.25">
      <c r="A68" s="9">
        <f t="shared" ca="1" si="9"/>
        <v>0</v>
      </c>
      <c r="B68" s="9" t="str">
        <f ca="1">OFFSET(ORÇAMENTO!C$15,ROW(B68)-ROW(B$15),0)</f>
        <v>S</v>
      </c>
      <c r="C68" s="9" t="str">
        <f ca="1">OFFSET(ORÇAMENTO!L$15,ROW(C68)-ROW(C$15),0)</f>
        <v/>
      </c>
      <c r="D68" s="145" t="str">
        <f ca="1">OFFSET(ORÇAMENTO!N$15,ROW(D68)-ROW(D$15),0)</f>
        <v>Serviço</v>
      </c>
      <c r="E68" s="205" t="str">
        <f ca="1">OFFSET(ORÇAMENTO!O$15,ROW(E68)-ROW(E$15),0)</f>
        <v>-</v>
      </c>
      <c r="F68" s="206" t="str">
        <f ca="1">OFFSET(ORÇAMENTO!R$15,ROW(F68)-ROW(F$15),0)</f>
        <v>(abra o arquivo 'Referência 05-2024.xls)</v>
      </c>
      <c r="G68" s="207" t="str">
        <f ca="1">IF($D68&lt;&gt;"Serviço","",OFFSET(ORÇAMENTO!S$15,ROW(G68)-ROW(G$15),0))</f>
        <v>-</v>
      </c>
      <c r="H68" s="151">
        <f ca="1">IF($D68&lt;&gt;"Serviço",0,IF(ACOMPANHAMENTO="BM",ROUND(OFFSET(ORÇAMENTO!AJ$15,ROW(H68)-ROW(H$15),0),15-13*ORÇAMENTO!$AF$7),SUMPRODUCT(($Q$12:$AI$12&lt;&gt;"")*ROUND($Q68:$AI68,15-13*ORÇAMENTO!$AF$7))))</f>
        <v>0.56999999999999995</v>
      </c>
      <c r="I68" s="650"/>
      <c r="K68" s="208"/>
      <c r="L68" s="209" t="s">
        <v>257</v>
      </c>
      <c r="M68" s="210">
        <f ca="1">IF($D68&lt;&gt;"Serviço","",IF(AUTOEVENTO="manual",$A68,IF(ISERROR(MATCH($A68,$A$15:OFFSET($A68,-1,0),0)),MAX($M$15:OFFSET(M68,-1,0))+1,INDEX($M$15:OFFSET(M68,-1,0),MATCH($A68,$A$15:OFFSET($A68,-1,0),0)))))</f>
        <v>0</v>
      </c>
      <c r="N68" s="211" t="str">
        <f ca="1">IF($D68&lt;&gt;"Serviço","",IF(AUTOEVENTO="Manual",IF($A68=0,"&lt;-- defina o número do agrupador",OFFSET(EVENTOS!$D$14,$A68,0)),OFFSET($F$15,$A68,0)))</f>
        <v>&lt;-- defina o número do agrupador</v>
      </c>
      <c r="O68" s="212"/>
      <c r="Q68" s="212"/>
      <c r="R68" s="213"/>
      <c r="S68" s="213"/>
      <c r="T68" s="213"/>
      <c r="U68" s="213"/>
      <c r="V68" s="213"/>
      <c r="W68" s="213"/>
      <c r="X68" s="213"/>
      <c r="Y68" s="213"/>
      <c r="Z68" s="214"/>
      <c r="AA68" s="213"/>
      <c r="AB68" s="213"/>
      <c r="AC68" s="213"/>
      <c r="AD68" s="213"/>
      <c r="AE68" s="213"/>
      <c r="AF68" s="213"/>
      <c r="AG68" s="213"/>
      <c r="AH68" s="214"/>
      <c r="AJ68" s="631">
        <f ca="1">IF(AND($D68="Serviço",AJ$12&lt;&gt;0,$H68&gt;0,OR(AUTOEVENTO&lt;&gt;"manual",$M68&lt;&gt;1)),ROUND(OFFSET($P68,0,AJ$13),15-13*ORÇAMENTO!$AF$7)/$H68*OFFSET(ORÇAMENTO!$X$15,ROW(AJ68)-ROW(AJ$15),0),0)</f>
        <v>0</v>
      </c>
      <c r="AK68" s="632">
        <f ca="1">IF(AND($D68="Serviço",AK$12&lt;&gt;0,$H68&gt;0,OR(AUTOEVENTO&lt;&gt;"manual",$M68&lt;&gt;1)),ROUND(OFFSET($P68,0,AK$13),15-13*ORÇAMENTO!$AF$7)/$H68*OFFSET(ORÇAMENTO!$X$15,ROW(AK68)-ROW(AK$15),0),0)</f>
        <v>0</v>
      </c>
      <c r="AL68" s="632">
        <f ca="1">IF(AND($D68="Serviço",AL$12&lt;&gt;0,$H68&gt;0,OR(AUTOEVENTO&lt;&gt;"manual",$M68&lt;&gt;1)),ROUND(OFFSET($P68,0,AL$13),15-13*ORÇAMENTO!$AF$7)/$H68*OFFSET(ORÇAMENTO!$X$15,ROW(AL68)-ROW(AL$15),0),0)</f>
        <v>0</v>
      </c>
      <c r="AM68" s="632">
        <f ca="1">IF(AND($D68="Serviço",AM$12&lt;&gt;0,$H68&gt;0,OR(AUTOEVENTO&lt;&gt;"manual",$M68&lt;&gt;1)),ROUND(OFFSET($P68,0,AM$13),15-13*ORÇAMENTO!$AF$7)/$H68*OFFSET(ORÇAMENTO!$X$15,ROW(AM68)-ROW(AM$15),0),0)</f>
        <v>0</v>
      </c>
      <c r="AN68" s="632">
        <f ca="1">IF(AND($D68="Serviço",AN$12&lt;&gt;0,$H68&gt;0,OR(AUTOEVENTO&lt;&gt;"manual",$M68&lt;&gt;1)),ROUND(OFFSET($P68,0,AN$13),15-13*ORÇAMENTO!$AF$7)/$H68*OFFSET(ORÇAMENTO!$X$15,ROW(AN68)-ROW(AN$15),0),0)</f>
        <v>0</v>
      </c>
      <c r="AO68" s="632">
        <f ca="1">IF(AND($D68="Serviço",AO$12&lt;&gt;0,$H68&gt;0,OR(AUTOEVENTO&lt;&gt;"manual",$M68&lt;&gt;1)),ROUND(OFFSET($P68,0,AO$13),15-13*ORÇAMENTO!$AF$7)/$H68*OFFSET(ORÇAMENTO!$X$15,ROW(AO68)-ROW(AO$15),0),0)</f>
        <v>0</v>
      </c>
      <c r="AP68" s="632">
        <f ca="1">IF(AND($D68="Serviço",AP$12&lt;&gt;0,$H68&gt;0,OR(AUTOEVENTO&lt;&gt;"manual",$M68&lt;&gt;1)),ROUND(OFFSET($P68,0,AP$13),15-13*ORÇAMENTO!$AF$7)/$H68*OFFSET(ORÇAMENTO!$X$15,ROW(AP68)-ROW(AP$15),0),0)</f>
        <v>0</v>
      </c>
      <c r="AQ68" s="632">
        <f ca="1">IF(AND($D68="Serviço",AQ$12&lt;&gt;0,$H68&gt;0,OR(AUTOEVENTO&lt;&gt;"manual",$M68&lt;&gt;1)),ROUND(OFFSET($P68,0,AQ$13),15-13*ORÇAMENTO!$AF$7)/$H68*OFFSET(ORÇAMENTO!$X$15,ROW(AQ68)-ROW(AQ$15),0),0)</f>
        <v>0</v>
      </c>
      <c r="AR68" s="632">
        <f ca="1">IF(AND($D68="Serviço",AR$12&lt;&gt;0,$H68&gt;0,OR(AUTOEVENTO&lt;&gt;"manual",$M68&lt;&gt;1)),ROUND(OFFSET($P68,0,AR$13),15-13*ORÇAMENTO!$AF$7)/$H68*OFFSET(ORÇAMENTO!$X$15,ROW(AR68)-ROW(AR$15),0),0)</f>
        <v>0</v>
      </c>
      <c r="AS68" s="633">
        <f ca="1">IF(AND($D68="Serviço",AS$12&lt;&gt;0,$H68&gt;0,OR(AUTOEVENTO&lt;&gt;"manual",$M68&lt;&gt;1)),ROUND(OFFSET($P68,0,AS$13),15-13*ORÇAMENTO!$AF$7)/$H68*OFFSET(ORÇAMENTO!$X$15,ROW(AS68)-ROW(AS$15),0),0)</f>
        <v>0</v>
      </c>
      <c r="AT68" s="632">
        <f ca="1">IF(AND($D68="Serviço",AT$12&lt;&gt;0,$H68&gt;0,OR(AUTOEVENTO&lt;&gt;"manual",$M68&lt;&gt;1)),ROUND(OFFSET($P68,0,AT$13),15-13*ORÇAMENTO!$AF$7)/$H68*OFFSET(ORÇAMENTO!$X$15,ROW(AT68)-ROW(AT$15),0),0)</f>
        <v>0</v>
      </c>
      <c r="AU68" s="632">
        <f ca="1">IF(AND($D68="Serviço",AU$12&lt;&gt;0,$H68&gt;0,OR(AUTOEVENTO&lt;&gt;"manual",$M68&lt;&gt;1)),ROUND(OFFSET($P68,0,AU$13),15-13*ORÇAMENTO!$AF$7)/$H68*OFFSET(ORÇAMENTO!$X$15,ROW(AU68)-ROW(AU$15),0),0)</f>
        <v>0</v>
      </c>
      <c r="AV68" s="632">
        <f ca="1">IF(AND($D68="Serviço",AV$12&lt;&gt;0,$H68&gt;0,OR(AUTOEVENTO&lt;&gt;"manual",$M68&lt;&gt;1)),ROUND(OFFSET($P68,0,AV$13),15-13*ORÇAMENTO!$AF$7)/$H68*OFFSET(ORÇAMENTO!$X$15,ROW(AV68)-ROW(AV$15),0),0)</f>
        <v>0</v>
      </c>
      <c r="AW68" s="632">
        <f ca="1">IF(AND($D68="Serviço",AW$12&lt;&gt;0,$H68&gt;0,OR(AUTOEVENTO&lt;&gt;"manual",$M68&lt;&gt;1)),ROUND(OFFSET($P68,0,AW$13),15-13*ORÇAMENTO!$AF$7)/$H68*OFFSET(ORÇAMENTO!$X$15,ROW(AW68)-ROW(AW$15),0),0)</f>
        <v>0</v>
      </c>
      <c r="AX68" s="632">
        <f ca="1">IF(AND($D68="Serviço",AX$12&lt;&gt;0,$H68&gt;0,OR(AUTOEVENTO&lt;&gt;"manual",$M68&lt;&gt;1)),ROUND(OFFSET($P68,0,AX$13),15-13*ORÇAMENTO!$AF$7)/$H68*OFFSET(ORÇAMENTO!$X$15,ROW(AX68)-ROW(AX$15),0),0)</f>
        <v>0</v>
      </c>
      <c r="AY68" s="632">
        <f ca="1">IF(AND($D68="Serviço",AY$12&lt;&gt;0,$H68&gt;0,OR(AUTOEVENTO&lt;&gt;"manual",$M68&lt;&gt;1)),ROUND(OFFSET($P68,0,AY$13),15-13*ORÇAMENTO!$AF$7)/$H68*OFFSET(ORÇAMENTO!$X$15,ROW(AY68)-ROW(AY$15),0),0)</f>
        <v>0</v>
      </c>
      <c r="AZ68" s="632">
        <f ca="1">IF(AND($D68="Serviço",AZ$12&lt;&gt;0,$H68&gt;0,OR(AUTOEVENTO&lt;&gt;"manual",$M68&lt;&gt;1)),ROUND(OFFSET($P68,0,AZ$13),15-13*ORÇAMENTO!$AF$7)/$H68*OFFSET(ORÇAMENTO!$X$15,ROW(AZ68)-ROW(AZ$15),0),0)</f>
        <v>0</v>
      </c>
      <c r="BA68" s="633">
        <f ca="1">IF(AND($D68="Serviço",BA$12&lt;&gt;0,$H68&gt;0,OR(AUTOEVENTO&lt;&gt;"manual",$M68&lt;&gt;1)),ROUND(OFFSET($P68,0,BA$13),15-13*ORÇAMENTO!$AF$7)/$H68*OFFSET(ORÇAMENTO!$X$15,ROW(BA68)-ROW(BA$15),0),0)</f>
        <v>0</v>
      </c>
      <c r="BC68" s="215">
        <f ca="1">IF($D68&lt;&gt;"Serviço",0,IF(AND(AUTOEVENTO="Manual",$M68=1),0,IF(OFFSET(CRONOPLE!$F$14,$M68,BC$13)="",10^12,OFFSET(CRONOPLE!$F$14,$M68,BC$13))))</f>
        <v>1000000000000</v>
      </c>
      <c r="BD68" s="215">
        <f ca="1">IF($D68&lt;&gt;"Serviço",0,IF(AND(AUTOEVENTO="Manual",$M68=1),0,IF(OFFSET(CRONOPLE!$F$14,$M68,BD$13)="",10^12,OFFSET(CRONOPLE!$F$14,$M68,BD$13))))</f>
        <v>1000000000000</v>
      </c>
      <c r="BE68" s="215">
        <f ca="1">IF($D68&lt;&gt;"Serviço",0,IF(AND(AUTOEVENTO="Manual",$M68=1),0,IF(OFFSET(CRONOPLE!$F$14,$M68,BE$13)="",10^12,OFFSET(CRONOPLE!$F$14,$M68,BE$13))))</f>
        <v>1000000000000</v>
      </c>
      <c r="BF68" s="215">
        <f ca="1">IF($D68&lt;&gt;"Serviço",0,IF(AND(AUTOEVENTO="Manual",$M68=1),0,IF(OFFSET(CRONOPLE!$F$14,$M68,BF$13)="",10^12,OFFSET(CRONOPLE!$F$14,$M68,BF$13))))</f>
        <v>1000000000000</v>
      </c>
      <c r="BG68" s="215">
        <f ca="1">IF($D68&lt;&gt;"Serviço",0,IF(AND(AUTOEVENTO="Manual",$M68=1),0,IF(OFFSET(CRONOPLE!$F$14,$M68,BG$13)="",10^12,OFFSET(CRONOPLE!$F$14,$M68,BG$13))))</f>
        <v>1000000000000</v>
      </c>
      <c r="BH68" s="215">
        <f ca="1">IF($D68&lt;&gt;"Serviço",0,IF(AND(AUTOEVENTO="Manual",$M68=1),0,IF(OFFSET(CRONOPLE!$F$14,$M68,BH$13)="",10^12,OFFSET(CRONOPLE!$F$14,$M68,BH$13))))</f>
        <v>1000000000000</v>
      </c>
      <c r="BI68" s="215">
        <f ca="1">IF($D68&lt;&gt;"Serviço",0,IF(AND(AUTOEVENTO="Manual",$M68=1),0,IF(OFFSET(CRONOPLE!$F$14,$M68,BI$13)="",10^12,OFFSET(CRONOPLE!$F$14,$M68,BI$13))))</f>
        <v>1000000000000</v>
      </c>
      <c r="BJ68" s="215">
        <f ca="1">IF($D68&lt;&gt;"Serviço",0,IF(AND(AUTOEVENTO="Manual",$M68=1),0,IF(OFFSET(CRONOPLE!$F$14,$M68,BJ$13)="",10^12,OFFSET(CRONOPLE!$F$14,$M68,BJ$13))))</f>
        <v>1000000000000</v>
      </c>
      <c r="BK68" s="215">
        <f ca="1">IF($D68&lt;&gt;"Serviço",0,IF(AND(AUTOEVENTO="Manual",$M68=1),0,IF(OFFSET(CRONOPLE!$F$14,$M68,BK$13)="",10^12,OFFSET(CRONOPLE!$F$14,$M68,BK$13))))</f>
        <v>1000000000000</v>
      </c>
      <c r="BL68" s="215">
        <f ca="1">IF($D68&lt;&gt;"Serviço",0,IF(AND(AUTOEVENTO="Manual",$M68=1),0,IF(OFFSET(CRONOPLE!$F$14,$M68,BL$13)="",10^12,OFFSET(CRONOPLE!$F$14,$M68,BL$13))))</f>
        <v>1000000000000</v>
      </c>
      <c r="BM68" s="215">
        <f ca="1">IF($D68&lt;&gt;"Serviço",0,IF(AND(AUTOEVENTO="Manual",$M68=1),0,IF(OFFSET(CRONOPLE!$F$14,$M68,BM$13)="",10^12,OFFSET(CRONOPLE!$F$14,$M68,BM$13))))</f>
        <v>1000000000000</v>
      </c>
      <c r="BN68" s="215">
        <f ca="1">IF($D68&lt;&gt;"Serviço",0,IF(AND(AUTOEVENTO="Manual",$M68=1),0,IF(OFFSET(CRONOPLE!$F$14,$M68,BN$13)="",10^12,OFFSET(CRONOPLE!$F$14,$M68,BN$13))))</f>
        <v>1000000000000</v>
      </c>
      <c r="BO68" s="215">
        <f ca="1">IF($D68&lt;&gt;"Serviço",0,IF(AND(AUTOEVENTO="Manual",$M68=1),0,IF(OFFSET(CRONOPLE!$F$14,$M68,BO$13)="",10^12,OFFSET(CRONOPLE!$F$14,$M68,BO$13))))</f>
        <v>1000000000000</v>
      </c>
      <c r="BP68" s="215">
        <f ca="1">IF($D68&lt;&gt;"Serviço",0,IF(AND(AUTOEVENTO="Manual",$M68=1),0,IF(OFFSET(CRONOPLE!$F$14,$M68,BP$13)="",10^12,OFFSET(CRONOPLE!$F$14,$M68,BP$13))))</f>
        <v>1000000000000</v>
      </c>
      <c r="BQ68" s="215">
        <f ca="1">IF($D68&lt;&gt;"Serviço",0,IF(AND(AUTOEVENTO="Manual",$M68=1),0,IF(OFFSET(CRONOPLE!$F$14,$M68,BQ$13)="",10^12,OFFSET(CRONOPLE!$F$14,$M68,BQ$13))))</f>
        <v>1000000000000</v>
      </c>
      <c r="BR68" s="215">
        <f ca="1">IF($D68&lt;&gt;"Serviço",0,IF(AND(AUTOEVENTO="Manual",$M68=1),0,IF(OFFSET(CRONOPLE!$F$14,$M68,BR$13)="",10^12,OFFSET(CRONOPLE!$F$14,$M68,BR$13))))</f>
        <v>1000000000000</v>
      </c>
      <c r="BS68" s="215">
        <f ca="1">IF($D68&lt;&gt;"Serviço",0,IF(AND(AUTOEVENTO="Manual",$M68=1),0,IF(OFFSET(CRONOPLE!$F$14,$M68,BS$13)="",10^12,OFFSET(CRONOPLE!$F$14,$M68,BS$13))))</f>
        <v>1000000000000</v>
      </c>
      <c r="BT68" s="215">
        <f ca="1">IF($D68&lt;&gt;"Serviço",0,IF(AND(AUTOEVENTO="Manual",$M68=1),0,IF(OFFSET(CRONOPLE!$F$14,$M68,BT$13)="",10^12,OFFSET(CRONOPLE!$F$14,$M68,BT$13))))</f>
        <v>1000000000000</v>
      </c>
      <c r="BV68" s="216">
        <f ca="1">IF($D68&lt;&gt;"Serviço",0,IF(OR(AND(AUTOEVENTO="Manual",$M68=1),$M68&gt;(ROW(PLE.lastrow)-ROW(PLE.firstrow))),0,IF(OFFSET(PLE!$G$14,$M68,BV$13)="",10^12,OFFSET(PLE!$G$14,$M68,BV$13))))</f>
        <v>1000000000000</v>
      </c>
      <c r="BW68" s="216">
        <f ca="1">IF($D68&lt;&gt;"Serviço",0,IF(OR(AND(AUTOEVENTO="Manual",$M68=1),$M68&gt;(ROW(PLE.lastrow)-ROW(PLE.firstrow))),0,IF(OFFSET(PLE!$G$14,$M68,BW$13)="",10^12,OFFSET(PLE!$G$14,$M68,BW$13))))</f>
        <v>1000000000000</v>
      </c>
      <c r="BX68" s="216">
        <f ca="1">IF($D68&lt;&gt;"Serviço",0,IF(OR(AND(AUTOEVENTO="Manual",$M68=1),$M68&gt;(ROW(PLE.lastrow)-ROW(PLE.firstrow))),0,IF(OFFSET(PLE!$G$14,$M68,BX$13)="",10^12,OFFSET(PLE!$G$14,$M68,BX$13))))</f>
        <v>1000000000000</v>
      </c>
      <c r="BY68" s="216">
        <f ca="1">IF($D68&lt;&gt;"Serviço",0,IF(OR(AND(AUTOEVENTO="Manual",$M68=1),$M68&gt;(ROW(PLE.lastrow)-ROW(PLE.firstrow))),0,IF(OFFSET(PLE!$G$14,$M68,BY$13)="",10^12,OFFSET(PLE!$G$14,$M68,BY$13))))</f>
        <v>1000000000000</v>
      </c>
      <c r="BZ68" s="216">
        <f ca="1">IF($D68&lt;&gt;"Serviço",0,IF(OR(AND(AUTOEVENTO="Manual",$M68=1),$M68&gt;(ROW(PLE.lastrow)-ROW(PLE.firstrow))),0,IF(OFFSET(PLE!$G$14,$M68,BZ$13)="",10^12,OFFSET(PLE!$G$14,$M68,BZ$13))))</f>
        <v>1000000000000</v>
      </c>
      <c r="CA68" s="216">
        <f ca="1">IF($D68&lt;&gt;"Serviço",0,IF(OR(AND(AUTOEVENTO="Manual",$M68=1),$M68&gt;(ROW(PLE.lastrow)-ROW(PLE.firstrow))),0,IF(OFFSET(PLE!$G$14,$M68,CA$13)="",10^12,OFFSET(PLE!$G$14,$M68,CA$13))))</f>
        <v>1000000000000</v>
      </c>
      <c r="CB68" s="216">
        <f ca="1">IF($D68&lt;&gt;"Serviço",0,IF(OR(AND(AUTOEVENTO="Manual",$M68=1),$M68&gt;(ROW(PLE.lastrow)-ROW(PLE.firstrow))),0,IF(OFFSET(PLE!$G$14,$M68,CB$13)="",10^12,OFFSET(PLE!$G$14,$M68,CB$13))))</f>
        <v>1000000000000</v>
      </c>
      <c r="CC68" s="216">
        <f ca="1">IF($D68&lt;&gt;"Serviço",0,IF(OR(AND(AUTOEVENTO="Manual",$M68=1),$M68&gt;(ROW(PLE.lastrow)-ROW(PLE.firstrow))),0,IF(OFFSET(PLE!$G$14,$M68,CC$13)="",10^12,OFFSET(PLE!$G$14,$M68,CC$13))))</f>
        <v>1000000000000</v>
      </c>
      <c r="CD68" s="216">
        <f ca="1">IF($D68&lt;&gt;"Serviço",0,IF(OR(AND(AUTOEVENTO="Manual",$M68=1),$M68&gt;(ROW(PLE.lastrow)-ROW(PLE.firstrow))),0,IF(OFFSET(PLE!$G$14,$M68,CD$13)="",10^12,OFFSET(PLE!$G$14,$M68,CD$13))))</f>
        <v>1000000000000</v>
      </c>
      <c r="CE68" s="216">
        <f ca="1">IF($D68&lt;&gt;"Serviço",0,IF(OR(AND(AUTOEVENTO="Manual",$M68=1),$M68&gt;(ROW(PLE.lastrow)-ROW(PLE.firstrow))),0,IF(OFFSET(PLE!$G$14,$M68,CE$13)="",10^12,OFFSET(PLE!$G$14,$M68,CE$13))))</f>
        <v>1000000000000</v>
      </c>
      <c r="CF68" s="216">
        <f ca="1">IF($D68&lt;&gt;"Serviço",0,IF(OR(AND(AUTOEVENTO="Manual",$M68=1),$M68&gt;(ROW(PLE.lastrow)-ROW(PLE.firstrow))),0,IF(OFFSET(PLE!$G$14,$M68,CF$13)="",10^12,OFFSET(PLE!$G$14,$M68,CF$13))))</f>
        <v>1000000000000</v>
      </c>
      <c r="CG68" s="216">
        <f ca="1">IF($D68&lt;&gt;"Serviço",0,IF(OR(AND(AUTOEVENTO="Manual",$M68=1),$M68&gt;(ROW(PLE.lastrow)-ROW(PLE.firstrow))),0,IF(OFFSET(PLE!$G$14,$M68,CG$13)="",10^12,OFFSET(PLE!$G$14,$M68,CG$13))))</f>
        <v>1000000000000</v>
      </c>
      <c r="CH68" s="216">
        <f ca="1">IF($D68&lt;&gt;"Serviço",0,IF(OR(AND(AUTOEVENTO="Manual",$M68=1),$M68&gt;(ROW(PLE.lastrow)-ROW(PLE.firstrow))),0,IF(OFFSET(PLE!$G$14,$M68,CH$13)="",10^12,OFFSET(PLE!$G$14,$M68,CH$13))))</f>
        <v>1000000000000</v>
      </c>
      <c r="CI68" s="216">
        <f ca="1">IF($D68&lt;&gt;"Serviço",0,IF(OR(AND(AUTOEVENTO="Manual",$M68=1),$M68&gt;(ROW(PLE.lastrow)-ROW(PLE.firstrow))),0,IF(OFFSET(PLE!$G$14,$M68,CI$13)="",10^12,OFFSET(PLE!$G$14,$M68,CI$13))))</f>
        <v>1000000000000</v>
      </c>
      <c r="CJ68" s="216">
        <f ca="1">IF($D68&lt;&gt;"Serviço",0,IF(OR(AND(AUTOEVENTO="Manual",$M68=1),$M68&gt;(ROW(PLE.lastrow)-ROW(PLE.firstrow))),0,IF(OFFSET(PLE!$G$14,$M68,CJ$13)="",10^12,OFFSET(PLE!$G$14,$M68,CJ$13))))</f>
        <v>1000000000000</v>
      </c>
      <c r="CK68" s="216">
        <f ca="1">IF($D68&lt;&gt;"Serviço",0,IF(OR(AND(AUTOEVENTO="Manual",$M68=1),$M68&gt;(ROW(PLE.lastrow)-ROW(PLE.firstrow))),0,IF(OFFSET(PLE!$G$14,$M68,CK$13)="",10^12,OFFSET(PLE!$G$14,$M68,CK$13))))</f>
        <v>1000000000000</v>
      </c>
      <c r="CL68" s="216">
        <f ca="1">IF($D68&lt;&gt;"Serviço",0,IF(OR(AND(AUTOEVENTO="Manual",$M68=1),$M68&gt;(ROW(PLE.lastrow)-ROW(PLE.firstrow))),0,IF(OFFSET(PLE!$G$14,$M68,CL$13)="",10^12,OFFSET(PLE!$G$14,$M68,CL$13))))</f>
        <v>1000000000000</v>
      </c>
      <c r="CM68" s="216">
        <f ca="1">IF($D68&lt;&gt;"Serviço",0,IF(OR(AND(AUTOEVENTO="Manual",$M68=1),$M68&gt;(ROW(PLE.lastrow)-ROW(PLE.firstrow))),0,IF(OFFSET(PLE!$G$14,$M68,CM$13)="",10^12,OFFSET(PLE!$G$14,$M68,CM$13))))</f>
        <v>1000000000000</v>
      </c>
    </row>
    <row r="69" spans="1:91" ht="13.2" x14ac:dyDescent="0.25">
      <c r="A69" s="9">
        <f t="shared" ca="1" si="9"/>
        <v>0</v>
      </c>
      <c r="B69" s="9" t="str">
        <f ca="1">OFFSET(ORÇAMENTO!C$15,ROW(B69)-ROW(B$15),0)</f>
        <v>S</v>
      </c>
      <c r="C69" s="9" t="str">
        <f ca="1">OFFSET(ORÇAMENTO!L$15,ROW(C69)-ROW(C$15),0)</f>
        <v/>
      </c>
      <c r="D69" s="145" t="str">
        <f ca="1">OFFSET(ORÇAMENTO!N$15,ROW(D69)-ROW(D$15),0)</f>
        <v>Serviço</v>
      </c>
      <c r="E69" s="205" t="str">
        <f ca="1">OFFSET(ORÇAMENTO!O$15,ROW(E69)-ROW(E$15),0)</f>
        <v>-</v>
      </c>
      <c r="F69" s="206" t="str">
        <f ca="1">OFFSET(ORÇAMENTO!R$15,ROW(F69)-ROW(F$15),0)</f>
        <v>(abra o arquivo 'Referência 05-2024.xls)</v>
      </c>
      <c r="G69" s="207" t="str">
        <f ca="1">IF($D69&lt;&gt;"Serviço","",OFFSET(ORÇAMENTO!S$15,ROW(G69)-ROW(G$15),0))</f>
        <v>-</v>
      </c>
      <c r="H69" s="151">
        <f ca="1">IF($D69&lt;&gt;"Serviço",0,IF(ACOMPANHAMENTO="BM",ROUND(OFFSET(ORÇAMENTO!AJ$15,ROW(H69)-ROW(H$15),0),15-13*ORÇAMENTO!$AF$7),SUMPRODUCT(($Q$12:$AI$12&lt;&gt;"")*ROUND($Q69:$AI69,15-13*ORÇAMENTO!$AF$7))))</f>
        <v>177.83</v>
      </c>
      <c r="I69" s="650"/>
      <c r="K69" s="208"/>
      <c r="L69" s="209" t="s">
        <v>257</v>
      </c>
      <c r="M69" s="210">
        <f ca="1">IF($D69&lt;&gt;"Serviço","",IF(AUTOEVENTO="manual",$A69,IF(ISERROR(MATCH($A69,$A$15:OFFSET($A69,-1,0),0)),MAX($M$15:OFFSET(M69,-1,0))+1,INDEX($M$15:OFFSET(M69,-1,0),MATCH($A69,$A$15:OFFSET($A69,-1,0),0)))))</f>
        <v>0</v>
      </c>
      <c r="N69" s="211" t="str">
        <f ca="1">IF($D69&lt;&gt;"Serviço","",IF(AUTOEVENTO="Manual",IF($A69=0,"&lt;-- defina o número do agrupador",OFFSET(EVENTOS!$D$14,$A69,0)),OFFSET($F$15,$A69,0)))</f>
        <v>&lt;-- defina o número do agrupador</v>
      </c>
      <c r="O69" s="212"/>
      <c r="Q69" s="212"/>
      <c r="R69" s="213"/>
      <c r="S69" s="213"/>
      <c r="T69" s="213"/>
      <c r="U69" s="213"/>
      <c r="V69" s="213"/>
      <c r="W69" s="213"/>
      <c r="X69" s="213"/>
      <c r="Y69" s="213"/>
      <c r="Z69" s="214"/>
      <c r="AA69" s="213"/>
      <c r="AB69" s="213"/>
      <c r="AC69" s="213"/>
      <c r="AD69" s="213"/>
      <c r="AE69" s="213"/>
      <c r="AF69" s="213"/>
      <c r="AG69" s="213"/>
      <c r="AH69" s="214"/>
      <c r="AJ69" s="631">
        <f ca="1">IF(AND($D69="Serviço",AJ$12&lt;&gt;0,$H69&gt;0,OR(AUTOEVENTO&lt;&gt;"manual",$M69&lt;&gt;1)),ROUND(OFFSET($P69,0,AJ$13),15-13*ORÇAMENTO!$AF$7)/$H69*OFFSET(ORÇAMENTO!$X$15,ROW(AJ69)-ROW(AJ$15),0),0)</f>
        <v>0</v>
      </c>
      <c r="AK69" s="632">
        <f ca="1">IF(AND($D69="Serviço",AK$12&lt;&gt;0,$H69&gt;0,OR(AUTOEVENTO&lt;&gt;"manual",$M69&lt;&gt;1)),ROUND(OFFSET($P69,0,AK$13),15-13*ORÇAMENTO!$AF$7)/$H69*OFFSET(ORÇAMENTO!$X$15,ROW(AK69)-ROW(AK$15),0),0)</f>
        <v>0</v>
      </c>
      <c r="AL69" s="632">
        <f ca="1">IF(AND($D69="Serviço",AL$12&lt;&gt;0,$H69&gt;0,OR(AUTOEVENTO&lt;&gt;"manual",$M69&lt;&gt;1)),ROUND(OFFSET($P69,0,AL$13),15-13*ORÇAMENTO!$AF$7)/$H69*OFFSET(ORÇAMENTO!$X$15,ROW(AL69)-ROW(AL$15),0),0)</f>
        <v>0</v>
      </c>
      <c r="AM69" s="632">
        <f ca="1">IF(AND($D69="Serviço",AM$12&lt;&gt;0,$H69&gt;0,OR(AUTOEVENTO&lt;&gt;"manual",$M69&lt;&gt;1)),ROUND(OFFSET($P69,0,AM$13),15-13*ORÇAMENTO!$AF$7)/$H69*OFFSET(ORÇAMENTO!$X$15,ROW(AM69)-ROW(AM$15),0),0)</f>
        <v>0</v>
      </c>
      <c r="AN69" s="632">
        <f ca="1">IF(AND($D69="Serviço",AN$12&lt;&gt;0,$H69&gt;0,OR(AUTOEVENTO&lt;&gt;"manual",$M69&lt;&gt;1)),ROUND(OFFSET($P69,0,AN$13),15-13*ORÇAMENTO!$AF$7)/$H69*OFFSET(ORÇAMENTO!$X$15,ROW(AN69)-ROW(AN$15),0),0)</f>
        <v>0</v>
      </c>
      <c r="AO69" s="632">
        <f ca="1">IF(AND($D69="Serviço",AO$12&lt;&gt;0,$H69&gt;0,OR(AUTOEVENTO&lt;&gt;"manual",$M69&lt;&gt;1)),ROUND(OFFSET($P69,0,AO$13),15-13*ORÇAMENTO!$AF$7)/$H69*OFFSET(ORÇAMENTO!$X$15,ROW(AO69)-ROW(AO$15),0),0)</f>
        <v>0</v>
      </c>
      <c r="AP69" s="632">
        <f ca="1">IF(AND($D69="Serviço",AP$12&lt;&gt;0,$H69&gt;0,OR(AUTOEVENTO&lt;&gt;"manual",$M69&lt;&gt;1)),ROUND(OFFSET($P69,0,AP$13),15-13*ORÇAMENTO!$AF$7)/$H69*OFFSET(ORÇAMENTO!$X$15,ROW(AP69)-ROW(AP$15),0),0)</f>
        <v>0</v>
      </c>
      <c r="AQ69" s="632">
        <f ca="1">IF(AND($D69="Serviço",AQ$12&lt;&gt;0,$H69&gt;0,OR(AUTOEVENTO&lt;&gt;"manual",$M69&lt;&gt;1)),ROUND(OFFSET($P69,0,AQ$13),15-13*ORÇAMENTO!$AF$7)/$H69*OFFSET(ORÇAMENTO!$X$15,ROW(AQ69)-ROW(AQ$15),0),0)</f>
        <v>0</v>
      </c>
      <c r="AR69" s="632">
        <f ca="1">IF(AND($D69="Serviço",AR$12&lt;&gt;0,$H69&gt;0,OR(AUTOEVENTO&lt;&gt;"manual",$M69&lt;&gt;1)),ROUND(OFFSET($P69,0,AR$13),15-13*ORÇAMENTO!$AF$7)/$H69*OFFSET(ORÇAMENTO!$X$15,ROW(AR69)-ROW(AR$15),0),0)</f>
        <v>0</v>
      </c>
      <c r="AS69" s="633">
        <f ca="1">IF(AND($D69="Serviço",AS$12&lt;&gt;0,$H69&gt;0,OR(AUTOEVENTO&lt;&gt;"manual",$M69&lt;&gt;1)),ROUND(OFFSET($P69,0,AS$13),15-13*ORÇAMENTO!$AF$7)/$H69*OFFSET(ORÇAMENTO!$X$15,ROW(AS69)-ROW(AS$15),0),0)</f>
        <v>0</v>
      </c>
      <c r="AT69" s="632">
        <f ca="1">IF(AND($D69="Serviço",AT$12&lt;&gt;0,$H69&gt;0,OR(AUTOEVENTO&lt;&gt;"manual",$M69&lt;&gt;1)),ROUND(OFFSET($P69,0,AT$13),15-13*ORÇAMENTO!$AF$7)/$H69*OFFSET(ORÇAMENTO!$X$15,ROW(AT69)-ROW(AT$15),0),0)</f>
        <v>0</v>
      </c>
      <c r="AU69" s="632">
        <f ca="1">IF(AND($D69="Serviço",AU$12&lt;&gt;0,$H69&gt;0,OR(AUTOEVENTO&lt;&gt;"manual",$M69&lt;&gt;1)),ROUND(OFFSET($P69,0,AU$13),15-13*ORÇAMENTO!$AF$7)/$H69*OFFSET(ORÇAMENTO!$X$15,ROW(AU69)-ROW(AU$15),0),0)</f>
        <v>0</v>
      </c>
      <c r="AV69" s="632">
        <f ca="1">IF(AND($D69="Serviço",AV$12&lt;&gt;0,$H69&gt;0,OR(AUTOEVENTO&lt;&gt;"manual",$M69&lt;&gt;1)),ROUND(OFFSET($P69,0,AV$13),15-13*ORÇAMENTO!$AF$7)/$H69*OFFSET(ORÇAMENTO!$X$15,ROW(AV69)-ROW(AV$15),0),0)</f>
        <v>0</v>
      </c>
      <c r="AW69" s="632">
        <f ca="1">IF(AND($D69="Serviço",AW$12&lt;&gt;0,$H69&gt;0,OR(AUTOEVENTO&lt;&gt;"manual",$M69&lt;&gt;1)),ROUND(OFFSET($P69,0,AW$13),15-13*ORÇAMENTO!$AF$7)/$H69*OFFSET(ORÇAMENTO!$X$15,ROW(AW69)-ROW(AW$15),0),0)</f>
        <v>0</v>
      </c>
      <c r="AX69" s="632">
        <f ca="1">IF(AND($D69="Serviço",AX$12&lt;&gt;0,$H69&gt;0,OR(AUTOEVENTO&lt;&gt;"manual",$M69&lt;&gt;1)),ROUND(OFFSET($P69,0,AX$13),15-13*ORÇAMENTO!$AF$7)/$H69*OFFSET(ORÇAMENTO!$X$15,ROW(AX69)-ROW(AX$15),0),0)</f>
        <v>0</v>
      </c>
      <c r="AY69" s="632">
        <f ca="1">IF(AND($D69="Serviço",AY$12&lt;&gt;0,$H69&gt;0,OR(AUTOEVENTO&lt;&gt;"manual",$M69&lt;&gt;1)),ROUND(OFFSET($P69,0,AY$13),15-13*ORÇAMENTO!$AF$7)/$H69*OFFSET(ORÇAMENTO!$X$15,ROW(AY69)-ROW(AY$15),0),0)</f>
        <v>0</v>
      </c>
      <c r="AZ69" s="632">
        <f ca="1">IF(AND($D69="Serviço",AZ$12&lt;&gt;0,$H69&gt;0,OR(AUTOEVENTO&lt;&gt;"manual",$M69&lt;&gt;1)),ROUND(OFFSET($P69,0,AZ$13),15-13*ORÇAMENTO!$AF$7)/$H69*OFFSET(ORÇAMENTO!$X$15,ROW(AZ69)-ROW(AZ$15),0),0)</f>
        <v>0</v>
      </c>
      <c r="BA69" s="633">
        <f ca="1">IF(AND($D69="Serviço",BA$12&lt;&gt;0,$H69&gt;0,OR(AUTOEVENTO&lt;&gt;"manual",$M69&lt;&gt;1)),ROUND(OFFSET($P69,0,BA$13),15-13*ORÇAMENTO!$AF$7)/$H69*OFFSET(ORÇAMENTO!$X$15,ROW(BA69)-ROW(BA$15),0),0)</f>
        <v>0</v>
      </c>
      <c r="BC69" s="215">
        <f ca="1">IF($D69&lt;&gt;"Serviço",0,IF(AND(AUTOEVENTO="Manual",$M69=1),0,IF(OFFSET(CRONOPLE!$F$14,$M69,BC$13)="",10^12,OFFSET(CRONOPLE!$F$14,$M69,BC$13))))</f>
        <v>1000000000000</v>
      </c>
      <c r="BD69" s="215">
        <f ca="1">IF($D69&lt;&gt;"Serviço",0,IF(AND(AUTOEVENTO="Manual",$M69=1),0,IF(OFFSET(CRONOPLE!$F$14,$M69,BD$13)="",10^12,OFFSET(CRONOPLE!$F$14,$M69,BD$13))))</f>
        <v>1000000000000</v>
      </c>
      <c r="BE69" s="215">
        <f ca="1">IF($D69&lt;&gt;"Serviço",0,IF(AND(AUTOEVENTO="Manual",$M69=1),0,IF(OFFSET(CRONOPLE!$F$14,$M69,BE$13)="",10^12,OFFSET(CRONOPLE!$F$14,$M69,BE$13))))</f>
        <v>1000000000000</v>
      </c>
      <c r="BF69" s="215">
        <f ca="1">IF($D69&lt;&gt;"Serviço",0,IF(AND(AUTOEVENTO="Manual",$M69=1),0,IF(OFFSET(CRONOPLE!$F$14,$M69,BF$13)="",10^12,OFFSET(CRONOPLE!$F$14,$M69,BF$13))))</f>
        <v>1000000000000</v>
      </c>
      <c r="BG69" s="215">
        <f ca="1">IF($D69&lt;&gt;"Serviço",0,IF(AND(AUTOEVENTO="Manual",$M69=1),0,IF(OFFSET(CRONOPLE!$F$14,$M69,BG$13)="",10^12,OFFSET(CRONOPLE!$F$14,$M69,BG$13))))</f>
        <v>1000000000000</v>
      </c>
      <c r="BH69" s="215">
        <f ca="1">IF($D69&lt;&gt;"Serviço",0,IF(AND(AUTOEVENTO="Manual",$M69=1),0,IF(OFFSET(CRONOPLE!$F$14,$M69,BH$13)="",10^12,OFFSET(CRONOPLE!$F$14,$M69,BH$13))))</f>
        <v>1000000000000</v>
      </c>
      <c r="BI69" s="215">
        <f ca="1">IF($D69&lt;&gt;"Serviço",0,IF(AND(AUTOEVENTO="Manual",$M69=1),0,IF(OFFSET(CRONOPLE!$F$14,$M69,BI$13)="",10^12,OFFSET(CRONOPLE!$F$14,$M69,BI$13))))</f>
        <v>1000000000000</v>
      </c>
      <c r="BJ69" s="215">
        <f ca="1">IF($D69&lt;&gt;"Serviço",0,IF(AND(AUTOEVENTO="Manual",$M69=1),0,IF(OFFSET(CRONOPLE!$F$14,$M69,BJ$13)="",10^12,OFFSET(CRONOPLE!$F$14,$M69,BJ$13))))</f>
        <v>1000000000000</v>
      </c>
      <c r="BK69" s="215">
        <f ca="1">IF($D69&lt;&gt;"Serviço",0,IF(AND(AUTOEVENTO="Manual",$M69=1),0,IF(OFFSET(CRONOPLE!$F$14,$M69,BK$13)="",10^12,OFFSET(CRONOPLE!$F$14,$M69,BK$13))))</f>
        <v>1000000000000</v>
      </c>
      <c r="BL69" s="215">
        <f ca="1">IF($D69&lt;&gt;"Serviço",0,IF(AND(AUTOEVENTO="Manual",$M69=1),0,IF(OFFSET(CRONOPLE!$F$14,$M69,BL$13)="",10^12,OFFSET(CRONOPLE!$F$14,$M69,BL$13))))</f>
        <v>1000000000000</v>
      </c>
      <c r="BM69" s="215">
        <f ca="1">IF($D69&lt;&gt;"Serviço",0,IF(AND(AUTOEVENTO="Manual",$M69=1),0,IF(OFFSET(CRONOPLE!$F$14,$M69,BM$13)="",10^12,OFFSET(CRONOPLE!$F$14,$M69,BM$13))))</f>
        <v>1000000000000</v>
      </c>
      <c r="BN69" s="215">
        <f ca="1">IF($D69&lt;&gt;"Serviço",0,IF(AND(AUTOEVENTO="Manual",$M69=1),0,IF(OFFSET(CRONOPLE!$F$14,$M69,BN$13)="",10^12,OFFSET(CRONOPLE!$F$14,$M69,BN$13))))</f>
        <v>1000000000000</v>
      </c>
      <c r="BO69" s="215">
        <f ca="1">IF($D69&lt;&gt;"Serviço",0,IF(AND(AUTOEVENTO="Manual",$M69=1),0,IF(OFFSET(CRONOPLE!$F$14,$M69,BO$13)="",10^12,OFFSET(CRONOPLE!$F$14,$M69,BO$13))))</f>
        <v>1000000000000</v>
      </c>
      <c r="BP69" s="215">
        <f ca="1">IF($D69&lt;&gt;"Serviço",0,IF(AND(AUTOEVENTO="Manual",$M69=1),0,IF(OFFSET(CRONOPLE!$F$14,$M69,BP$13)="",10^12,OFFSET(CRONOPLE!$F$14,$M69,BP$13))))</f>
        <v>1000000000000</v>
      </c>
      <c r="BQ69" s="215">
        <f ca="1">IF($D69&lt;&gt;"Serviço",0,IF(AND(AUTOEVENTO="Manual",$M69=1),0,IF(OFFSET(CRONOPLE!$F$14,$M69,BQ$13)="",10^12,OFFSET(CRONOPLE!$F$14,$M69,BQ$13))))</f>
        <v>1000000000000</v>
      </c>
      <c r="BR69" s="215">
        <f ca="1">IF($D69&lt;&gt;"Serviço",0,IF(AND(AUTOEVENTO="Manual",$M69=1),0,IF(OFFSET(CRONOPLE!$F$14,$M69,BR$13)="",10^12,OFFSET(CRONOPLE!$F$14,$M69,BR$13))))</f>
        <v>1000000000000</v>
      </c>
      <c r="BS69" s="215">
        <f ca="1">IF($D69&lt;&gt;"Serviço",0,IF(AND(AUTOEVENTO="Manual",$M69=1),0,IF(OFFSET(CRONOPLE!$F$14,$M69,BS$13)="",10^12,OFFSET(CRONOPLE!$F$14,$M69,BS$13))))</f>
        <v>1000000000000</v>
      </c>
      <c r="BT69" s="215">
        <f ca="1">IF($D69&lt;&gt;"Serviço",0,IF(AND(AUTOEVENTO="Manual",$M69=1),0,IF(OFFSET(CRONOPLE!$F$14,$M69,BT$13)="",10^12,OFFSET(CRONOPLE!$F$14,$M69,BT$13))))</f>
        <v>1000000000000</v>
      </c>
      <c r="BV69" s="216">
        <f ca="1">IF($D69&lt;&gt;"Serviço",0,IF(OR(AND(AUTOEVENTO="Manual",$M69=1),$M69&gt;(ROW(PLE.lastrow)-ROW(PLE.firstrow))),0,IF(OFFSET(PLE!$G$14,$M69,BV$13)="",10^12,OFFSET(PLE!$G$14,$M69,BV$13))))</f>
        <v>1000000000000</v>
      </c>
      <c r="BW69" s="216">
        <f ca="1">IF($D69&lt;&gt;"Serviço",0,IF(OR(AND(AUTOEVENTO="Manual",$M69=1),$M69&gt;(ROW(PLE.lastrow)-ROW(PLE.firstrow))),0,IF(OFFSET(PLE!$G$14,$M69,BW$13)="",10^12,OFFSET(PLE!$G$14,$M69,BW$13))))</f>
        <v>1000000000000</v>
      </c>
      <c r="BX69" s="216">
        <f ca="1">IF($D69&lt;&gt;"Serviço",0,IF(OR(AND(AUTOEVENTO="Manual",$M69=1),$M69&gt;(ROW(PLE.lastrow)-ROW(PLE.firstrow))),0,IF(OFFSET(PLE!$G$14,$M69,BX$13)="",10^12,OFFSET(PLE!$G$14,$M69,BX$13))))</f>
        <v>1000000000000</v>
      </c>
      <c r="BY69" s="216">
        <f ca="1">IF($D69&lt;&gt;"Serviço",0,IF(OR(AND(AUTOEVENTO="Manual",$M69=1),$M69&gt;(ROW(PLE.lastrow)-ROW(PLE.firstrow))),0,IF(OFFSET(PLE!$G$14,$M69,BY$13)="",10^12,OFFSET(PLE!$G$14,$M69,BY$13))))</f>
        <v>1000000000000</v>
      </c>
      <c r="BZ69" s="216">
        <f ca="1">IF($D69&lt;&gt;"Serviço",0,IF(OR(AND(AUTOEVENTO="Manual",$M69=1),$M69&gt;(ROW(PLE.lastrow)-ROW(PLE.firstrow))),0,IF(OFFSET(PLE!$G$14,$M69,BZ$13)="",10^12,OFFSET(PLE!$G$14,$M69,BZ$13))))</f>
        <v>1000000000000</v>
      </c>
      <c r="CA69" s="216">
        <f ca="1">IF($D69&lt;&gt;"Serviço",0,IF(OR(AND(AUTOEVENTO="Manual",$M69=1),$M69&gt;(ROW(PLE.lastrow)-ROW(PLE.firstrow))),0,IF(OFFSET(PLE!$G$14,$M69,CA$13)="",10^12,OFFSET(PLE!$G$14,$M69,CA$13))))</f>
        <v>1000000000000</v>
      </c>
      <c r="CB69" s="216">
        <f ca="1">IF($D69&lt;&gt;"Serviço",0,IF(OR(AND(AUTOEVENTO="Manual",$M69=1),$M69&gt;(ROW(PLE.lastrow)-ROW(PLE.firstrow))),0,IF(OFFSET(PLE!$G$14,$M69,CB$13)="",10^12,OFFSET(PLE!$G$14,$M69,CB$13))))</f>
        <v>1000000000000</v>
      </c>
      <c r="CC69" s="216">
        <f ca="1">IF($D69&lt;&gt;"Serviço",0,IF(OR(AND(AUTOEVENTO="Manual",$M69=1),$M69&gt;(ROW(PLE.lastrow)-ROW(PLE.firstrow))),0,IF(OFFSET(PLE!$G$14,$M69,CC$13)="",10^12,OFFSET(PLE!$G$14,$M69,CC$13))))</f>
        <v>1000000000000</v>
      </c>
      <c r="CD69" s="216">
        <f ca="1">IF($D69&lt;&gt;"Serviço",0,IF(OR(AND(AUTOEVENTO="Manual",$M69=1),$M69&gt;(ROW(PLE.lastrow)-ROW(PLE.firstrow))),0,IF(OFFSET(PLE!$G$14,$M69,CD$13)="",10^12,OFFSET(PLE!$G$14,$M69,CD$13))))</f>
        <v>1000000000000</v>
      </c>
      <c r="CE69" s="216">
        <f ca="1">IF($D69&lt;&gt;"Serviço",0,IF(OR(AND(AUTOEVENTO="Manual",$M69=1),$M69&gt;(ROW(PLE.lastrow)-ROW(PLE.firstrow))),0,IF(OFFSET(PLE!$G$14,$M69,CE$13)="",10^12,OFFSET(PLE!$G$14,$M69,CE$13))))</f>
        <v>1000000000000</v>
      </c>
      <c r="CF69" s="216">
        <f ca="1">IF($D69&lt;&gt;"Serviço",0,IF(OR(AND(AUTOEVENTO="Manual",$M69=1),$M69&gt;(ROW(PLE.lastrow)-ROW(PLE.firstrow))),0,IF(OFFSET(PLE!$G$14,$M69,CF$13)="",10^12,OFFSET(PLE!$G$14,$M69,CF$13))))</f>
        <v>1000000000000</v>
      </c>
      <c r="CG69" s="216">
        <f ca="1">IF($D69&lt;&gt;"Serviço",0,IF(OR(AND(AUTOEVENTO="Manual",$M69=1),$M69&gt;(ROW(PLE.lastrow)-ROW(PLE.firstrow))),0,IF(OFFSET(PLE!$G$14,$M69,CG$13)="",10^12,OFFSET(PLE!$G$14,$M69,CG$13))))</f>
        <v>1000000000000</v>
      </c>
      <c r="CH69" s="216">
        <f ca="1">IF($D69&lt;&gt;"Serviço",0,IF(OR(AND(AUTOEVENTO="Manual",$M69=1),$M69&gt;(ROW(PLE.lastrow)-ROW(PLE.firstrow))),0,IF(OFFSET(PLE!$G$14,$M69,CH$13)="",10^12,OFFSET(PLE!$G$14,$M69,CH$13))))</f>
        <v>1000000000000</v>
      </c>
      <c r="CI69" s="216">
        <f ca="1">IF($D69&lt;&gt;"Serviço",0,IF(OR(AND(AUTOEVENTO="Manual",$M69=1),$M69&gt;(ROW(PLE.lastrow)-ROW(PLE.firstrow))),0,IF(OFFSET(PLE!$G$14,$M69,CI$13)="",10^12,OFFSET(PLE!$G$14,$M69,CI$13))))</f>
        <v>1000000000000</v>
      </c>
      <c r="CJ69" s="216">
        <f ca="1">IF($D69&lt;&gt;"Serviço",0,IF(OR(AND(AUTOEVENTO="Manual",$M69=1),$M69&gt;(ROW(PLE.lastrow)-ROW(PLE.firstrow))),0,IF(OFFSET(PLE!$G$14,$M69,CJ$13)="",10^12,OFFSET(PLE!$G$14,$M69,CJ$13))))</f>
        <v>1000000000000</v>
      </c>
      <c r="CK69" s="216">
        <f ca="1">IF($D69&lt;&gt;"Serviço",0,IF(OR(AND(AUTOEVENTO="Manual",$M69=1),$M69&gt;(ROW(PLE.lastrow)-ROW(PLE.firstrow))),0,IF(OFFSET(PLE!$G$14,$M69,CK$13)="",10^12,OFFSET(PLE!$G$14,$M69,CK$13))))</f>
        <v>1000000000000</v>
      </c>
      <c r="CL69" s="216">
        <f ca="1">IF($D69&lt;&gt;"Serviço",0,IF(OR(AND(AUTOEVENTO="Manual",$M69=1),$M69&gt;(ROW(PLE.lastrow)-ROW(PLE.firstrow))),0,IF(OFFSET(PLE!$G$14,$M69,CL$13)="",10^12,OFFSET(PLE!$G$14,$M69,CL$13))))</f>
        <v>1000000000000</v>
      </c>
      <c r="CM69" s="216">
        <f ca="1">IF($D69&lt;&gt;"Serviço",0,IF(OR(AND(AUTOEVENTO="Manual",$M69=1),$M69&gt;(ROW(PLE.lastrow)-ROW(PLE.firstrow))),0,IF(OFFSET(PLE!$G$14,$M69,CM$13)="",10^12,OFFSET(PLE!$G$14,$M69,CM$13))))</f>
        <v>1000000000000</v>
      </c>
    </row>
    <row r="70" spans="1:91" ht="13.2" x14ac:dyDescent="0.25">
      <c r="A70" s="9">
        <f t="shared" ca="1" si="9"/>
        <v>0</v>
      </c>
      <c r="B70" s="9" t="str">
        <f ca="1">OFFSET(ORÇAMENTO!C$15,ROW(B70)-ROW(B$15),0)</f>
        <v>S</v>
      </c>
      <c r="C70" s="9" t="str">
        <f ca="1">OFFSET(ORÇAMENTO!L$15,ROW(C70)-ROW(C$15),0)</f>
        <v/>
      </c>
      <c r="D70" s="145" t="str">
        <f ca="1">OFFSET(ORÇAMENTO!N$15,ROW(D70)-ROW(D$15),0)</f>
        <v>Serviço</v>
      </c>
      <c r="E70" s="205" t="str">
        <f ca="1">OFFSET(ORÇAMENTO!O$15,ROW(E70)-ROW(E$15),0)</f>
        <v>-</v>
      </c>
      <c r="F70" s="206" t="str">
        <f ca="1">OFFSET(ORÇAMENTO!R$15,ROW(F70)-ROW(F$15),0)</f>
        <v>(abra o arquivo 'Referência 05-2024.xls)</v>
      </c>
      <c r="G70" s="207" t="str">
        <f ca="1">IF($D70&lt;&gt;"Serviço","",OFFSET(ORÇAMENTO!S$15,ROW(G70)-ROW(G$15),0))</f>
        <v>-</v>
      </c>
      <c r="H70" s="151">
        <f ca="1">IF($D70&lt;&gt;"Serviço",0,IF(ACOMPANHAMENTO="BM",ROUND(OFFSET(ORÇAMENTO!AJ$15,ROW(H70)-ROW(H$15),0),15-13*ORÇAMENTO!$AF$7),SUMPRODUCT(($Q$12:$AI$12&lt;&gt;"")*ROUND($Q70:$AI70,15-13*ORÇAMENTO!$AF$7))))</f>
        <v>474.53</v>
      </c>
      <c r="I70" s="650"/>
      <c r="K70" s="208"/>
      <c r="L70" s="209" t="s">
        <v>257</v>
      </c>
      <c r="M70" s="210">
        <f ca="1">IF($D70&lt;&gt;"Serviço","",IF(AUTOEVENTO="manual",$A70,IF(ISERROR(MATCH($A70,$A$15:OFFSET($A70,-1,0),0)),MAX($M$15:OFFSET(M70,-1,0))+1,INDEX($M$15:OFFSET(M70,-1,0),MATCH($A70,$A$15:OFFSET($A70,-1,0),0)))))</f>
        <v>0</v>
      </c>
      <c r="N70" s="211" t="str">
        <f ca="1">IF($D70&lt;&gt;"Serviço","",IF(AUTOEVENTO="Manual",IF($A70=0,"&lt;-- defina o número do agrupador",OFFSET(EVENTOS!$D$14,$A70,0)),OFFSET($F$15,$A70,0)))</f>
        <v>&lt;-- defina o número do agrupador</v>
      </c>
      <c r="O70" s="212"/>
      <c r="Q70" s="212"/>
      <c r="R70" s="213"/>
      <c r="S70" s="213"/>
      <c r="T70" s="213"/>
      <c r="U70" s="213"/>
      <c r="V70" s="213"/>
      <c r="W70" s="213"/>
      <c r="X70" s="213"/>
      <c r="Y70" s="213"/>
      <c r="Z70" s="214"/>
      <c r="AA70" s="213"/>
      <c r="AB70" s="213"/>
      <c r="AC70" s="213"/>
      <c r="AD70" s="213"/>
      <c r="AE70" s="213"/>
      <c r="AF70" s="213"/>
      <c r="AG70" s="213"/>
      <c r="AH70" s="214"/>
      <c r="AJ70" s="631">
        <f ca="1">IF(AND($D70="Serviço",AJ$12&lt;&gt;0,$H70&gt;0,OR(AUTOEVENTO&lt;&gt;"manual",$M70&lt;&gt;1)),ROUND(OFFSET($P70,0,AJ$13),15-13*ORÇAMENTO!$AF$7)/$H70*OFFSET(ORÇAMENTO!$X$15,ROW(AJ70)-ROW(AJ$15),0),0)</f>
        <v>0</v>
      </c>
      <c r="AK70" s="632">
        <f ca="1">IF(AND($D70="Serviço",AK$12&lt;&gt;0,$H70&gt;0,OR(AUTOEVENTO&lt;&gt;"manual",$M70&lt;&gt;1)),ROUND(OFFSET($P70,0,AK$13),15-13*ORÇAMENTO!$AF$7)/$H70*OFFSET(ORÇAMENTO!$X$15,ROW(AK70)-ROW(AK$15),0),0)</f>
        <v>0</v>
      </c>
      <c r="AL70" s="632">
        <f ca="1">IF(AND($D70="Serviço",AL$12&lt;&gt;0,$H70&gt;0,OR(AUTOEVENTO&lt;&gt;"manual",$M70&lt;&gt;1)),ROUND(OFFSET($P70,0,AL$13),15-13*ORÇAMENTO!$AF$7)/$H70*OFFSET(ORÇAMENTO!$X$15,ROW(AL70)-ROW(AL$15),0),0)</f>
        <v>0</v>
      </c>
      <c r="AM70" s="632">
        <f ca="1">IF(AND($D70="Serviço",AM$12&lt;&gt;0,$H70&gt;0,OR(AUTOEVENTO&lt;&gt;"manual",$M70&lt;&gt;1)),ROUND(OFFSET($P70,0,AM$13),15-13*ORÇAMENTO!$AF$7)/$H70*OFFSET(ORÇAMENTO!$X$15,ROW(AM70)-ROW(AM$15),0),0)</f>
        <v>0</v>
      </c>
      <c r="AN70" s="632">
        <f ca="1">IF(AND($D70="Serviço",AN$12&lt;&gt;0,$H70&gt;0,OR(AUTOEVENTO&lt;&gt;"manual",$M70&lt;&gt;1)),ROUND(OFFSET($P70,0,AN$13),15-13*ORÇAMENTO!$AF$7)/$H70*OFFSET(ORÇAMENTO!$X$15,ROW(AN70)-ROW(AN$15),0),0)</f>
        <v>0</v>
      </c>
      <c r="AO70" s="632">
        <f ca="1">IF(AND($D70="Serviço",AO$12&lt;&gt;0,$H70&gt;0,OR(AUTOEVENTO&lt;&gt;"manual",$M70&lt;&gt;1)),ROUND(OFFSET($P70,0,AO$13),15-13*ORÇAMENTO!$AF$7)/$H70*OFFSET(ORÇAMENTO!$X$15,ROW(AO70)-ROW(AO$15),0),0)</f>
        <v>0</v>
      </c>
      <c r="AP70" s="632">
        <f ca="1">IF(AND($D70="Serviço",AP$12&lt;&gt;0,$H70&gt;0,OR(AUTOEVENTO&lt;&gt;"manual",$M70&lt;&gt;1)),ROUND(OFFSET($P70,0,AP$13),15-13*ORÇAMENTO!$AF$7)/$H70*OFFSET(ORÇAMENTO!$X$15,ROW(AP70)-ROW(AP$15),0),0)</f>
        <v>0</v>
      </c>
      <c r="AQ70" s="632">
        <f ca="1">IF(AND($D70="Serviço",AQ$12&lt;&gt;0,$H70&gt;0,OR(AUTOEVENTO&lt;&gt;"manual",$M70&lt;&gt;1)),ROUND(OFFSET($P70,0,AQ$13),15-13*ORÇAMENTO!$AF$7)/$H70*OFFSET(ORÇAMENTO!$X$15,ROW(AQ70)-ROW(AQ$15),0),0)</f>
        <v>0</v>
      </c>
      <c r="AR70" s="632">
        <f ca="1">IF(AND($D70="Serviço",AR$12&lt;&gt;0,$H70&gt;0,OR(AUTOEVENTO&lt;&gt;"manual",$M70&lt;&gt;1)),ROUND(OFFSET($P70,0,AR$13),15-13*ORÇAMENTO!$AF$7)/$H70*OFFSET(ORÇAMENTO!$X$15,ROW(AR70)-ROW(AR$15),0),0)</f>
        <v>0</v>
      </c>
      <c r="AS70" s="633">
        <f ca="1">IF(AND($D70="Serviço",AS$12&lt;&gt;0,$H70&gt;0,OR(AUTOEVENTO&lt;&gt;"manual",$M70&lt;&gt;1)),ROUND(OFFSET($P70,0,AS$13),15-13*ORÇAMENTO!$AF$7)/$H70*OFFSET(ORÇAMENTO!$X$15,ROW(AS70)-ROW(AS$15),0),0)</f>
        <v>0</v>
      </c>
      <c r="AT70" s="632">
        <f ca="1">IF(AND($D70="Serviço",AT$12&lt;&gt;0,$H70&gt;0,OR(AUTOEVENTO&lt;&gt;"manual",$M70&lt;&gt;1)),ROUND(OFFSET($P70,0,AT$13),15-13*ORÇAMENTO!$AF$7)/$H70*OFFSET(ORÇAMENTO!$X$15,ROW(AT70)-ROW(AT$15),0),0)</f>
        <v>0</v>
      </c>
      <c r="AU70" s="632">
        <f ca="1">IF(AND($D70="Serviço",AU$12&lt;&gt;0,$H70&gt;0,OR(AUTOEVENTO&lt;&gt;"manual",$M70&lt;&gt;1)),ROUND(OFFSET($P70,0,AU$13),15-13*ORÇAMENTO!$AF$7)/$H70*OFFSET(ORÇAMENTO!$X$15,ROW(AU70)-ROW(AU$15),0),0)</f>
        <v>0</v>
      </c>
      <c r="AV70" s="632">
        <f ca="1">IF(AND($D70="Serviço",AV$12&lt;&gt;0,$H70&gt;0,OR(AUTOEVENTO&lt;&gt;"manual",$M70&lt;&gt;1)),ROUND(OFFSET($P70,0,AV$13),15-13*ORÇAMENTO!$AF$7)/$H70*OFFSET(ORÇAMENTO!$X$15,ROW(AV70)-ROW(AV$15),0),0)</f>
        <v>0</v>
      </c>
      <c r="AW70" s="632">
        <f ca="1">IF(AND($D70="Serviço",AW$12&lt;&gt;0,$H70&gt;0,OR(AUTOEVENTO&lt;&gt;"manual",$M70&lt;&gt;1)),ROUND(OFFSET($P70,0,AW$13),15-13*ORÇAMENTO!$AF$7)/$H70*OFFSET(ORÇAMENTO!$X$15,ROW(AW70)-ROW(AW$15),0),0)</f>
        <v>0</v>
      </c>
      <c r="AX70" s="632">
        <f ca="1">IF(AND($D70="Serviço",AX$12&lt;&gt;0,$H70&gt;0,OR(AUTOEVENTO&lt;&gt;"manual",$M70&lt;&gt;1)),ROUND(OFFSET($P70,0,AX$13),15-13*ORÇAMENTO!$AF$7)/$H70*OFFSET(ORÇAMENTO!$X$15,ROW(AX70)-ROW(AX$15),0),0)</f>
        <v>0</v>
      </c>
      <c r="AY70" s="632">
        <f ca="1">IF(AND($D70="Serviço",AY$12&lt;&gt;0,$H70&gt;0,OR(AUTOEVENTO&lt;&gt;"manual",$M70&lt;&gt;1)),ROUND(OFFSET($P70,0,AY$13),15-13*ORÇAMENTO!$AF$7)/$H70*OFFSET(ORÇAMENTO!$X$15,ROW(AY70)-ROW(AY$15),0),0)</f>
        <v>0</v>
      </c>
      <c r="AZ70" s="632">
        <f ca="1">IF(AND($D70="Serviço",AZ$12&lt;&gt;0,$H70&gt;0,OR(AUTOEVENTO&lt;&gt;"manual",$M70&lt;&gt;1)),ROUND(OFFSET($P70,0,AZ$13),15-13*ORÇAMENTO!$AF$7)/$H70*OFFSET(ORÇAMENTO!$X$15,ROW(AZ70)-ROW(AZ$15),0),0)</f>
        <v>0</v>
      </c>
      <c r="BA70" s="633">
        <f ca="1">IF(AND($D70="Serviço",BA$12&lt;&gt;0,$H70&gt;0,OR(AUTOEVENTO&lt;&gt;"manual",$M70&lt;&gt;1)),ROUND(OFFSET($P70,0,BA$13),15-13*ORÇAMENTO!$AF$7)/$H70*OFFSET(ORÇAMENTO!$X$15,ROW(BA70)-ROW(BA$15),0),0)</f>
        <v>0</v>
      </c>
      <c r="BC70" s="215">
        <f ca="1">IF($D70&lt;&gt;"Serviço",0,IF(AND(AUTOEVENTO="Manual",$M70=1),0,IF(OFFSET(CRONOPLE!$F$14,$M70,BC$13)="",10^12,OFFSET(CRONOPLE!$F$14,$M70,BC$13))))</f>
        <v>1000000000000</v>
      </c>
      <c r="BD70" s="215">
        <f ca="1">IF($D70&lt;&gt;"Serviço",0,IF(AND(AUTOEVENTO="Manual",$M70=1),0,IF(OFFSET(CRONOPLE!$F$14,$M70,BD$13)="",10^12,OFFSET(CRONOPLE!$F$14,$M70,BD$13))))</f>
        <v>1000000000000</v>
      </c>
      <c r="BE70" s="215">
        <f ca="1">IF($D70&lt;&gt;"Serviço",0,IF(AND(AUTOEVENTO="Manual",$M70=1),0,IF(OFFSET(CRONOPLE!$F$14,$M70,BE$13)="",10^12,OFFSET(CRONOPLE!$F$14,$M70,BE$13))))</f>
        <v>1000000000000</v>
      </c>
      <c r="BF70" s="215">
        <f ca="1">IF($D70&lt;&gt;"Serviço",0,IF(AND(AUTOEVENTO="Manual",$M70=1),0,IF(OFFSET(CRONOPLE!$F$14,$M70,BF$13)="",10^12,OFFSET(CRONOPLE!$F$14,$M70,BF$13))))</f>
        <v>1000000000000</v>
      </c>
      <c r="BG70" s="215">
        <f ca="1">IF($D70&lt;&gt;"Serviço",0,IF(AND(AUTOEVENTO="Manual",$M70=1),0,IF(OFFSET(CRONOPLE!$F$14,$M70,BG$13)="",10^12,OFFSET(CRONOPLE!$F$14,$M70,BG$13))))</f>
        <v>1000000000000</v>
      </c>
      <c r="BH70" s="215">
        <f ca="1">IF($D70&lt;&gt;"Serviço",0,IF(AND(AUTOEVENTO="Manual",$M70=1),0,IF(OFFSET(CRONOPLE!$F$14,$M70,BH$13)="",10^12,OFFSET(CRONOPLE!$F$14,$M70,BH$13))))</f>
        <v>1000000000000</v>
      </c>
      <c r="BI70" s="215">
        <f ca="1">IF($D70&lt;&gt;"Serviço",0,IF(AND(AUTOEVENTO="Manual",$M70=1),0,IF(OFFSET(CRONOPLE!$F$14,$M70,BI$13)="",10^12,OFFSET(CRONOPLE!$F$14,$M70,BI$13))))</f>
        <v>1000000000000</v>
      </c>
      <c r="BJ70" s="215">
        <f ca="1">IF($D70&lt;&gt;"Serviço",0,IF(AND(AUTOEVENTO="Manual",$M70=1),0,IF(OFFSET(CRONOPLE!$F$14,$M70,BJ$13)="",10^12,OFFSET(CRONOPLE!$F$14,$M70,BJ$13))))</f>
        <v>1000000000000</v>
      </c>
      <c r="BK70" s="215">
        <f ca="1">IF($D70&lt;&gt;"Serviço",0,IF(AND(AUTOEVENTO="Manual",$M70=1),0,IF(OFFSET(CRONOPLE!$F$14,$M70,BK$13)="",10^12,OFFSET(CRONOPLE!$F$14,$M70,BK$13))))</f>
        <v>1000000000000</v>
      </c>
      <c r="BL70" s="215">
        <f ca="1">IF($D70&lt;&gt;"Serviço",0,IF(AND(AUTOEVENTO="Manual",$M70=1),0,IF(OFFSET(CRONOPLE!$F$14,$M70,BL$13)="",10^12,OFFSET(CRONOPLE!$F$14,$M70,BL$13))))</f>
        <v>1000000000000</v>
      </c>
      <c r="BM70" s="215">
        <f ca="1">IF($D70&lt;&gt;"Serviço",0,IF(AND(AUTOEVENTO="Manual",$M70=1),0,IF(OFFSET(CRONOPLE!$F$14,$M70,BM$13)="",10^12,OFFSET(CRONOPLE!$F$14,$M70,BM$13))))</f>
        <v>1000000000000</v>
      </c>
      <c r="BN70" s="215">
        <f ca="1">IF($D70&lt;&gt;"Serviço",0,IF(AND(AUTOEVENTO="Manual",$M70=1),0,IF(OFFSET(CRONOPLE!$F$14,$M70,BN$13)="",10^12,OFFSET(CRONOPLE!$F$14,$M70,BN$13))))</f>
        <v>1000000000000</v>
      </c>
      <c r="BO70" s="215">
        <f ca="1">IF($D70&lt;&gt;"Serviço",0,IF(AND(AUTOEVENTO="Manual",$M70=1),0,IF(OFFSET(CRONOPLE!$F$14,$M70,BO$13)="",10^12,OFFSET(CRONOPLE!$F$14,$M70,BO$13))))</f>
        <v>1000000000000</v>
      </c>
      <c r="BP70" s="215">
        <f ca="1">IF($D70&lt;&gt;"Serviço",0,IF(AND(AUTOEVENTO="Manual",$M70=1),0,IF(OFFSET(CRONOPLE!$F$14,$M70,BP$13)="",10^12,OFFSET(CRONOPLE!$F$14,$M70,BP$13))))</f>
        <v>1000000000000</v>
      </c>
      <c r="BQ70" s="215">
        <f ca="1">IF($D70&lt;&gt;"Serviço",0,IF(AND(AUTOEVENTO="Manual",$M70=1),0,IF(OFFSET(CRONOPLE!$F$14,$M70,BQ$13)="",10^12,OFFSET(CRONOPLE!$F$14,$M70,BQ$13))))</f>
        <v>1000000000000</v>
      </c>
      <c r="BR70" s="215">
        <f ca="1">IF($D70&lt;&gt;"Serviço",0,IF(AND(AUTOEVENTO="Manual",$M70=1),0,IF(OFFSET(CRONOPLE!$F$14,$M70,BR$13)="",10^12,OFFSET(CRONOPLE!$F$14,$M70,BR$13))))</f>
        <v>1000000000000</v>
      </c>
      <c r="BS70" s="215">
        <f ca="1">IF($D70&lt;&gt;"Serviço",0,IF(AND(AUTOEVENTO="Manual",$M70=1),0,IF(OFFSET(CRONOPLE!$F$14,$M70,BS$13)="",10^12,OFFSET(CRONOPLE!$F$14,$M70,BS$13))))</f>
        <v>1000000000000</v>
      </c>
      <c r="BT70" s="215">
        <f ca="1">IF($D70&lt;&gt;"Serviço",0,IF(AND(AUTOEVENTO="Manual",$M70=1),0,IF(OFFSET(CRONOPLE!$F$14,$M70,BT$13)="",10^12,OFFSET(CRONOPLE!$F$14,$M70,BT$13))))</f>
        <v>1000000000000</v>
      </c>
      <c r="BV70" s="216">
        <f ca="1">IF($D70&lt;&gt;"Serviço",0,IF(OR(AND(AUTOEVENTO="Manual",$M70=1),$M70&gt;(ROW(PLE.lastrow)-ROW(PLE.firstrow))),0,IF(OFFSET(PLE!$G$14,$M70,BV$13)="",10^12,OFFSET(PLE!$G$14,$M70,BV$13))))</f>
        <v>1000000000000</v>
      </c>
      <c r="BW70" s="216">
        <f ca="1">IF($D70&lt;&gt;"Serviço",0,IF(OR(AND(AUTOEVENTO="Manual",$M70=1),$M70&gt;(ROW(PLE.lastrow)-ROW(PLE.firstrow))),0,IF(OFFSET(PLE!$G$14,$M70,BW$13)="",10^12,OFFSET(PLE!$G$14,$M70,BW$13))))</f>
        <v>1000000000000</v>
      </c>
      <c r="BX70" s="216">
        <f ca="1">IF($D70&lt;&gt;"Serviço",0,IF(OR(AND(AUTOEVENTO="Manual",$M70=1),$M70&gt;(ROW(PLE.lastrow)-ROW(PLE.firstrow))),0,IF(OFFSET(PLE!$G$14,$M70,BX$13)="",10^12,OFFSET(PLE!$G$14,$M70,BX$13))))</f>
        <v>1000000000000</v>
      </c>
      <c r="BY70" s="216">
        <f ca="1">IF($D70&lt;&gt;"Serviço",0,IF(OR(AND(AUTOEVENTO="Manual",$M70=1),$M70&gt;(ROW(PLE.lastrow)-ROW(PLE.firstrow))),0,IF(OFFSET(PLE!$G$14,$M70,BY$13)="",10^12,OFFSET(PLE!$G$14,$M70,BY$13))))</f>
        <v>1000000000000</v>
      </c>
      <c r="BZ70" s="216">
        <f ca="1">IF($D70&lt;&gt;"Serviço",0,IF(OR(AND(AUTOEVENTO="Manual",$M70=1),$M70&gt;(ROW(PLE.lastrow)-ROW(PLE.firstrow))),0,IF(OFFSET(PLE!$G$14,$M70,BZ$13)="",10^12,OFFSET(PLE!$G$14,$M70,BZ$13))))</f>
        <v>1000000000000</v>
      </c>
      <c r="CA70" s="216">
        <f ca="1">IF($D70&lt;&gt;"Serviço",0,IF(OR(AND(AUTOEVENTO="Manual",$M70=1),$M70&gt;(ROW(PLE.lastrow)-ROW(PLE.firstrow))),0,IF(OFFSET(PLE!$G$14,$M70,CA$13)="",10^12,OFFSET(PLE!$G$14,$M70,CA$13))))</f>
        <v>1000000000000</v>
      </c>
      <c r="CB70" s="216">
        <f ca="1">IF($D70&lt;&gt;"Serviço",0,IF(OR(AND(AUTOEVENTO="Manual",$M70=1),$M70&gt;(ROW(PLE.lastrow)-ROW(PLE.firstrow))),0,IF(OFFSET(PLE!$G$14,$M70,CB$13)="",10^12,OFFSET(PLE!$G$14,$M70,CB$13))))</f>
        <v>1000000000000</v>
      </c>
      <c r="CC70" s="216">
        <f ca="1">IF($D70&lt;&gt;"Serviço",0,IF(OR(AND(AUTOEVENTO="Manual",$M70=1),$M70&gt;(ROW(PLE.lastrow)-ROW(PLE.firstrow))),0,IF(OFFSET(PLE!$G$14,$M70,CC$13)="",10^12,OFFSET(PLE!$G$14,$M70,CC$13))))</f>
        <v>1000000000000</v>
      </c>
      <c r="CD70" s="216">
        <f ca="1">IF($D70&lt;&gt;"Serviço",0,IF(OR(AND(AUTOEVENTO="Manual",$M70=1),$M70&gt;(ROW(PLE.lastrow)-ROW(PLE.firstrow))),0,IF(OFFSET(PLE!$G$14,$M70,CD$13)="",10^12,OFFSET(PLE!$G$14,$M70,CD$13))))</f>
        <v>1000000000000</v>
      </c>
      <c r="CE70" s="216">
        <f ca="1">IF($D70&lt;&gt;"Serviço",0,IF(OR(AND(AUTOEVENTO="Manual",$M70=1),$M70&gt;(ROW(PLE.lastrow)-ROW(PLE.firstrow))),0,IF(OFFSET(PLE!$G$14,$M70,CE$13)="",10^12,OFFSET(PLE!$G$14,$M70,CE$13))))</f>
        <v>1000000000000</v>
      </c>
      <c r="CF70" s="216">
        <f ca="1">IF($D70&lt;&gt;"Serviço",0,IF(OR(AND(AUTOEVENTO="Manual",$M70=1),$M70&gt;(ROW(PLE.lastrow)-ROW(PLE.firstrow))),0,IF(OFFSET(PLE!$G$14,$M70,CF$13)="",10^12,OFFSET(PLE!$G$14,$M70,CF$13))))</f>
        <v>1000000000000</v>
      </c>
      <c r="CG70" s="216">
        <f ca="1">IF($D70&lt;&gt;"Serviço",0,IF(OR(AND(AUTOEVENTO="Manual",$M70=1),$M70&gt;(ROW(PLE.lastrow)-ROW(PLE.firstrow))),0,IF(OFFSET(PLE!$G$14,$M70,CG$13)="",10^12,OFFSET(PLE!$G$14,$M70,CG$13))))</f>
        <v>1000000000000</v>
      </c>
      <c r="CH70" s="216">
        <f ca="1">IF($D70&lt;&gt;"Serviço",0,IF(OR(AND(AUTOEVENTO="Manual",$M70=1),$M70&gt;(ROW(PLE.lastrow)-ROW(PLE.firstrow))),0,IF(OFFSET(PLE!$G$14,$M70,CH$13)="",10^12,OFFSET(PLE!$G$14,$M70,CH$13))))</f>
        <v>1000000000000</v>
      </c>
      <c r="CI70" s="216">
        <f ca="1">IF($D70&lt;&gt;"Serviço",0,IF(OR(AND(AUTOEVENTO="Manual",$M70=1),$M70&gt;(ROW(PLE.lastrow)-ROW(PLE.firstrow))),0,IF(OFFSET(PLE!$G$14,$M70,CI$13)="",10^12,OFFSET(PLE!$G$14,$M70,CI$13))))</f>
        <v>1000000000000</v>
      </c>
      <c r="CJ70" s="216">
        <f ca="1">IF($D70&lt;&gt;"Serviço",0,IF(OR(AND(AUTOEVENTO="Manual",$M70=1),$M70&gt;(ROW(PLE.lastrow)-ROW(PLE.firstrow))),0,IF(OFFSET(PLE!$G$14,$M70,CJ$13)="",10^12,OFFSET(PLE!$G$14,$M70,CJ$13))))</f>
        <v>1000000000000</v>
      </c>
      <c r="CK70" s="216">
        <f ca="1">IF($D70&lt;&gt;"Serviço",0,IF(OR(AND(AUTOEVENTO="Manual",$M70=1),$M70&gt;(ROW(PLE.lastrow)-ROW(PLE.firstrow))),0,IF(OFFSET(PLE!$G$14,$M70,CK$13)="",10^12,OFFSET(PLE!$G$14,$M70,CK$13))))</f>
        <v>1000000000000</v>
      </c>
      <c r="CL70" s="216">
        <f ca="1">IF($D70&lt;&gt;"Serviço",0,IF(OR(AND(AUTOEVENTO="Manual",$M70=1),$M70&gt;(ROW(PLE.lastrow)-ROW(PLE.firstrow))),0,IF(OFFSET(PLE!$G$14,$M70,CL$13)="",10^12,OFFSET(PLE!$G$14,$M70,CL$13))))</f>
        <v>1000000000000</v>
      </c>
      <c r="CM70" s="216">
        <f ca="1">IF($D70&lt;&gt;"Serviço",0,IF(OR(AND(AUTOEVENTO="Manual",$M70=1),$M70&gt;(ROW(PLE.lastrow)-ROW(PLE.firstrow))),0,IF(OFFSET(PLE!$G$14,$M70,CM$13)="",10^12,OFFSET(PLE!$G$14,$M70,CM$13))))</f>
        <v>1000000000000</v>
      </c>
    </row>
    <row r="71" spans="1:91" ht="13.2" x14ac:dyDescent="0.25">
      <c r="A71" s="9">
        <f t="shared" ca="1" si="9"/>
        <v>0</v>
      </c>
      <c r="B71" s="9" t="str">
        <f ca="1">OFFSET(ORÇAMENTO!C$15,ROW(B71)-ROW(B$15),0)</f>
        <v>S</v>
      </c>
      <c r="C71" s="9" t="str">
        <f ca="1">OFFSET(ORÇAMENTO!L$15,ROW(C71)-ROW(C$15),0)</f>
        <v/>
      </c>
      <c r="D71" s="145" t="str">
        <f ca="1">OFFSET(ORÇAMENTO!N$15,ROW(D71)-ROW(D$15),0)</f>
        <v>Serviço</v>
      </c>
      <c r="E71" s="205" t="str">
        <f ca="1">OFFSET(ORÇAMENTO!O$15,ROW(E71)-ROW(E$15),0)</f>
        <v>-</v>
      </c>
      <c r="F71" s="206" t="str">
        <f ca="1">OFFSET(ORÇAMENTO!R$15,ROW(F71)-ROW(F$15),0)</f>
        <v>(abra o arquivo 'Referência 05-2024.xls)</v>
      </c>
      <c r="G71" s="207" t="str">
        <f ca="1">IF($D71&lt;&gt;"Serviço","",OFFSET(ORÇAMENTO!S$15,ROW(G71)-ROW(G$15),0))</f>
        <v>-</v>
      </c>
      <c r="H71" s="151">
        <f ca="1">IF($D71&lt;&gt;"Serviço",0,IF(ACOMPANHAMENTO="BM",ROUND(OFFSET(ORÇAMENTO!AJ$15,ROW(H71)-ROW(H$15),0),15-13*ORÇAMENTO!$AF$7),SUMPRODUCT(($Q$12:$AI$12&lt;&gt;"")*ROUND($Q71:$AI71,15-13*ORÇAMENTO!$AF$7))))</f>
        <v>226.77</v>
      </c>
      <c r="I71" s="650"/>
      <c r="K71" s="208"/>
      <c r="L71" s="209" t="s">
        <v>257</v>
      </c>
      <c r="M71" s="210">
        <f ca="1">IF($D71&lt;&gt;"Serviço","",IF(AUTOEVENTO="manual",$A71,IF(ISERROR(MATCH($A71,$A$15:OFFSET($A71,-1,0),0)),MAX($M$15:OFFSET(M71,-1,0))+1,INDEX($M$15:OFFSET(M71,-1,0),MATCH($A71,$A$15:OFFSET($A71,-1,0),0)))))</f>
        <v>0</v>
      </c>
      <c r="N71" s="211" t="str">
        <f ca="1">IF($D71&lt;&gt;"Serviço","",IF(AUTOEVENTO="Manual",IF($A71=0,"&lt;-- defina o número do agrupador",OFFSET(EVENTOS!$D$14,$A71,0)),OFFSET($F$15,$A71,0)))</f>
        <v>&lt;-- defina o número do agrupador</v>
      </c>
      <c r="O71" s="212"/>
      <c r="Q71" s="212"/>
      <c r="R71" s="213"/>
      <c r="S71" s="213"/>
      <c r="T71" s="213"/>
      <c r="U71" s="213"/>
      <c r="V71" s="213"/>
      <c r="W71" s="213"/>
      <c r="X71" s="213"/>
      <c r="Y71" s="213"/>
      <c r="Z71" s="214"/>
      <c r="AA71" s="213"/>
      <c r="AB71" s="213"/>
      <c r="AC71" s="213"/>
      <c r="AD71" s="213"/>
      <c r="AE71" s="213"/>
      <c r="AF71" s="213"/>
      <c r="AG71" s="213"/>
      <c r="AH71" s="214"/>
      <c r="AJ71" s="631">
        <f ca="1">IF(AND($D71="Serviço",AJ$12&lt;&gt;0,$H71&gt;0,OR(AUTOEVENTO&lt;&gt;"manual",$M71&lt;&gt;1)),ROUND(OFFSET($P71,0,AJ$13),15-13*ORÇAMENTO!$AF$7)/$H71*OFFSET(ORÇAMENTO!$X$15,ROW(AJ71)-ROW(AJ$15),0),0)</f>
        <v>0</v>
      </c>
      <c r="AK71" s="632">
        <f ca="1">IF(AND($D71="Serviço",AK$12&lt;&gt;0,$H71&gt;0,OR(AUTOEVENTO&lt;&gt;"manual",$M71&lt;&gt;1)),ROUND(OFFSET($P71,0,AK$13),15-13*ORÇAMENTO!$AF$7)/$H71*OFFSET(ORÇAMENTO!$X$15,ROW(AK71)-ROW(AK$15),0),0)</f>
        <v>0</v>
      </c>
      <c r="AL71" s="632">
        <f ca="1">IF(AND($D71="Serviço",AL$12&lt;&gt;0,$H71&gt;0,OR(AUTOEVENTO&lt;&gt;"manual",$M71&lt;&gt;1)),ROUND(OFFSET($P71,0,AL$13),15-13*ORÇAMENTO!$AF$7)/$H71*OFFSET(ORÇAMENTO!$X$15,ROW(AL71)-ROW(AL$15),0),0)</f>
        <v>0</v>
      </c>
      <c r="AM71" s="632">
        <f ca="1">IF(AND($D71="Serviço",AM$12&lt;&gt;0,$H71&gt;0,OR(AUTOEVENTO&lt;&gt;"manual",$M71&lt;&gt;1)),ROUND(OFFSET($P71,0,AM$13),15-13*ORÇAMENTO!$AF$7)/$H71*OFFSET(ORÇAMENTO!$X$15,ROW(AM71)-ROW(AM$15),0),0)</f>
        <v>0</v>
      </c>
      <c r="AN71" s="632">
        <f ca="1">IF(AND($D71="Serviço",AN$12&lt;&gt;0,$H71&gt;0,OR(AUTOEVENTO&lt;&gt;"manual",$M71&lt;&gt;1)),ROUND(OFFSET($P71,0,AN$13),15-13*ORÇAMENTO!$AF$7)/$H71*OFFSET(ORÇAMENTO!$X$15,ROW(AN71)-ROW(AN$15),0),0)</f>
        <v>0</v>
      </c>
      <c r="AO71" s="632">
        <f ca="1">IF(AND($D71="Serviço",AO$12&lt;&gt;0,$H71&gt;0,OR(AUTOEVENTO&lt;&gt;"manual",$M71&lt;&gt;1)),ROUND(OFFSET($P71,0,AO$13),15-13*ORÇAMENTO!$AF$7)/$H71*OFFSET(ORÇAMENTO!$X$15,ROW(AO71)-ROW(AO$15),0),0)</f>
        <v>0</v>
      </c>
      <c r="AP71" s="632">
        <f ca="1">IF(AND($D71="Serviço",AP$12&lt;&gt;0,$H71&gt;0,OR(AUTOEVENTO&lt;&gt;"manual",$M71&lt;&gt;1)),ROUND(OFFSET($P71,0,AP$13),15-13*ORÇAMENTO!$AF$7)/$H71*OFFSET(ORÇAMENTO!$X$15,ROW(AP71)-ROW(AP$15),0),0)</f>
        <v>0</v>
      </c>
      <c r="AQ71" s="632">
        <f ca="1">IF(AND($D71="Serviço",AQ$12&lt;&gt;0,$H71&gt;0,OR(AUTOEVENTO&lt;&gt;"manual",$M71&lt;&gt;1)),ROUND(OFFSET($P71,0,AQ$13),15-13*ORÇAMENTO!$AF$7)/$H71*OFFSET(ORÇAMENTO!$X$15,ROW(AQ71)-ROW(AQ$15),0),0)</f>
        <v>0</v>
      </c>
      <c r="AR71" s="632">
        <f ca="1">IF(AND($D71="Serviço",AR$12&lt;&gt;0,$H71&gt;0,OR(AUTOEVENTO&lt;&gt;"manual",$M71&lt;&gt;1)),ROUND(OFFSET($P71,0,AR$13),15-13*ORÇAMENTO!$AF$7)/$H71*OFFSET(ORÇAMENTO!$X$15,ROW(AR71)-ROW(AR$15),0),0)</f>
        <v>0</v>
      </c>
      <c r="AS71" s="633">
        <f ca="1">IF(AND($D71="Serviço",AS$12&lt;&gt;0,$H71&gt;0,OR(AUTOEVENTO&lt;&gt;"manual",$M71&lt;&gt;1)),ROUND(OFFSET($P71,0,AS$13),15-13*ORÇAMENTO!$AF$7)/$H71*OFFSET(ORÇAMENTO!$X$15,ROW(AS71)-ROW(AS$15),0),0)</f>
        <v>0</v>
      </c>
      <c r="AT71" s="632">
        <f ca="1">IF(AND($D71="Serviço",AT$12&lt;&gt;0,$H71&gt;0,OR(AUTOEVENTO&lt;&gt;"manual",$M71&lt;&gt;1)),ROUND(OFFSET($P71,0,AT$13),15-13*ORÇAMENTO!$AF$7)/$H71*OFFSET(ORÇAMENTO!$X$15,ROW(AT71)-ROW(AT$15),0),0)</f>
        <v>0</v>
      </c>
      <c r="AU71" s="632">
        <f ca="1">IF(AND($D71="Serviço",AU$12&lt;&gt;0,$H71&gt;0,OR(AUTOEVENTO&lt;&gt;"manual",$M71&lt;&gt;1)),ROUND(OFFSET($P71,0,AU$13),15-13*ORÇAMENTO!$AF$7)/$H71*OFFSET(ORÇAMENTO!$X$15,ROW(AU71)-ROW(AU$15),0),0)</f>
        <v>0</v>
      </c>
      <c r="AV71" s="632">
        <f ca="1">IF(AND($D71="Serviço",AV$12&lt;&gt;0,$H71&gt;0,OR(AUTOEVENTO&lt;&gt;"manual",$M71&lt;&gt;1)),ROUND(OFFSET($P71,0,AV$13),15-13*ORÇAMENTO!$AF$7)/$H71*OFFSET(ORÇAMENTO!$X$15,ROW(AV71)-ROW(AV$15),0),0)</f>
        <v>0</v>
      </c>
      <c r="AW71" s="632">
        <f ca="1">IF(AND($D71="Serviço",AW$12&lt;&gt;0,$H71&gt;0,OR(AUTOEVENTO&lt;&gt;"manual",$M71&lt;&gt;1)),ROUND(OFFSET($P71,0,AW$13),15-13*ORÇAMENTO!$AF$7)/$H71*OFFSET(ORÇAMENTO!$X$15,ROW(AW71)-ROW(AW$15),0),0)</f>
        <v>0</v>
      </c>
      <c r="AX71" s="632">
        <f ca="1">IF(AND($D71="Serviço",AX$12&lt;&gt;0,$H71&gt;0,OR(AUTOEVENTO&lt;&gt;"manual",$M71&lt;&gt;1)),ROUND(OFFSET($P71,0,AX$13),15-13*ORÇAMENTO!$AF$7)/$H71*OFFSET(ORÇAMENTO!$X$15,ROW(AX71)-ROW(AX$15),0),0)</f>
        <v>0</v>
      </c>
      <c r="AY71" s="632">
        <f ca="1">IF(AND($D71="Serviço",AY$12&lt;&gt;0,$H71&gt;0,OR(AUTOEVENTO&lt;&gt;"manual",$M71&lt;&gt;1)),ROUND(OFFSET($P71,0,AY$13),15-13*ORÇAMENTO!$AF$7)/$H71*OFFSET(ORÇAMENTO!$X$15,ROW(AY71)-ROW(AY$15),0),0)</f>
        <v>0</v>
      </c>
      <c r="AZ71" s="632">
        <f ca="1">IF(AND($D71="Serviço",AZ$12&lt;&gt;0,$H71&gt;0,OR(AUTOEVENTO&lt;&gt;"manual",$M71&lt;&gt;1)),ROUND(OFFSET($P71,0,AZ$13),15-13*ORÇAMENTO!$AF$7)/$H71*OFFSET(ORÇAMENTO!$X$15,ROW(AZ71)-ROW(AZ$15),0),0)</f>
        <v>0</v>
      </c>
      <c r="BA71" s="633">
        <f ca="1">IF(AND($D71="Serviço",BA$12&lt;&gt;0,$H71&gt;0,OR(AUTOEVENTO&lt;&gt;"manual",$M71&lt;&gt;1)),ROUND(OFFSET($P71,0,BA$13),15-13*ORÇAMENTO!$AF$7)/$H71*OFFSET(ORÇAMENTO!$X$15,ROW(BA71)-ROW(BA$15),0),0)</f>
        <v>0</v>
      </c>
      <c r="BC71" s="215">
        <f ca="1">IF($D71&lt;&gt;"Serviço",0,IF(AND(AUTOEVENTO="Manual",$M71=1),0,IF(OFFSET(CRONOPLE!$F$14,$M71,BC$13)="",10^12,OFFSET(CRONOPLE!$F$14,$M71,BC$13))))</f>
        <v>1000000000000</v>
      </c>
      <c r="BD71" s="215">
        <f ca="1">IF($D71&lt;&gt;"Serviço",0,IF(AND(AUTOEVENTO="Manual",$M71=1),0,IF(OFFSET(CRONOPLE!$F$14,$M71,BD$13)="",10^12,OFFSET(CRONOPLE!$F$14,$M71,BD$13))))</f>
        <v>1000000000000</v>
      </c>
      <c r="BE71" s="215">
        <f ca="1">IF($D71&lt;&gt;"Serviço",0,IF(AND(AUTOEVENTO="Manual",$M71=1),0,IF(OFFSET(CRONOPLE!$F$14,$M71,BE$13)="",10^12,OFFSET(CRONOPLE!$F$14,$M71,BE$13))))</f>
        <v>1000000000000</v>
      </c>
      <c r="BF71" s="215">
        <f ca="1">IF($D71&lt;&gt;"Serviço",0,IF(AND(AUTOEVENTO="Manual",$M71=1),0,IF(OFFSET(CRONOPLE!$F$14,$M71,BF$13)="",10^12,OFFSET(CRONOPLE!$F$14,$M71,BF$13))))</f>
        <v>1000000000000</v>
      </c>
      <c r="BG71" s="215">
        <f ca="1">IF($D71&lt;&gt;"Serviço",0,IF(AND(AUTOEVENTO="Manual",$M71=1),0,IF(OFFSET(CRONOPLE!$F$14,$M71,BG$13)="",10^12,OFFSET(CRONOPLE!$F$14,$M71,BG$13))))</f>
        <v>1000000000000</v>
      </c>
      <c r="BH71" s="215">
        <f ca="1">IF($D71&lt;&gt;"Serviço",0,IF(AND(AUTOEVENTO="Manual",$M71=1),0,IF(OFFSET(CRONOPLE!$F$14,$M71,BH$13)="",10^12,OFFSET(CRONOPLE!$F$14,$M71,BH$13))))</f>
        <v>1000000000000</v>
      </c>
      <c r="BI71" s="215">
        <f ca="1">IF($D71&lt;&gt;"Serviço",0,IF(AND(AUTOEVENTO="Manual",$M71=1),0,IF(OFFSET(CRONOPLE!$F$14,$M71,BI$13)="",10^12,OFFSET(CRONOPLE!$F$14,$M71,BI$13))))</f>
        <v>1000000000000</v>
      </c>
      <c r="BJ71" s="215">
        <f ca="1">IF($D71&lt;&gt;"Serviço",0,IF(AND(AUTOEVENTO="Manual",$M71=1),0,IF(OFFSET(CRONOPLE!$F$14,$M71,BJ$13)="",10^12,OFFSET(CRONOPLE!$F$14,$M71,BJ$13))))</f>
        <v>1000000000000</v>
      </c>
      <c r="BK71" s="215">
        <f ca="1">IF($D71&lt;&gt;"Serviço",0,IF(AND(AUTOEVENTO="Manual",$M71=1),0,IF(OFFSET(CRONOPLE!$F$14,$M71,BK$13)="",10^12,OFFSET(CRONOPLE!$F$14,$M71,BK$13))))</f>
        <v>1000000000000</v>
      </c>
      <c r="BL71" s="215">
        <f ca="1">IF($D71&lt;&gt;"Serviço",0,IF(AND(AUTOEVENTO="Manual",$M71=1),0,IF(OFFSET(CRONOPLE!$F$14,$M71,BL$13)="",10^12,OFFSET(CRONOPLE!$F$14,$M71,BL$13))))</f>
        <v>1000000000000</v>
      </c>
      <c r="BM71" s="215">
        <f ca="1">IF($D71&lt;&gt;"Serviço",0,IF(AND(AUTOEVENTO="Manual",$M71=1),0,IF(OFFSET(CRONOPLE!$F$14,$M71,BM$13)="",10^12,OFFSET(CRONOPLE!$F$14,$M71,BM$13))))</f>
        <v>1000000000000</v>
      </c>
      <c r="BN71" s="215">
        <f ca="1">IF($D71&lt;&gt;"Serviço",0,IF(AND(AUTOEVENTO="Manual",$M71=1),0,IF(OFFSET(CRONOPLE!$F$14,$M71,BN$13)="",10^12,OFFSET(CRONOPLE!$F$14,$M71,BN$13))))</f>
        <v>1000000000000</v>
      </c>
      <c r="BO71" s="215">
        <f ca="1">IF($D71&lt;&gt;"Serviço",0,IF(AND(AUTOEVENTO="Manual",$M71=1),0,IF(OFFSET(CRONOPLE!$F$14,$M71,BO$13)="",10^12,OFFSET(CRONOPLE!$F$14,$M71,BO$13))))</f>
        <v>1000000000000</v>
      </c>
      <c r="BP71" s="215">
        <f ca="1">IF($D71&lt;&gt;"Serviço",0,IF(AND(AUTOEVENTO="Manual",$M71=1),0,IF(OFFSET(CRONOPLE!$F$14,$M71,BP$13)="",10^12,OFFSET(CRONOPLE!$F$14,$M71,BP$13))))</f>
        <v>1000000000000</v>
      </c>
      <c r="BQ71" s="215">
        <f ca="1">IF($D71&lt;&gt;"Serviço",0,IF(AND(AUTOEVENTO="Manual",$M71=1),0,IF(OFFSET(CRONOPLE!$F$14,$M71,BQ$13)="",10^12,OFFSET(CRONOPLE!$F$14,$M71,BQ$13))))</f>
        <v>1000000000000</v>
      </c>
      <c r="BR71" s="215">
        <f ca="1">IF($D71&lt;&gt;"Serviço",0,IF(AND(AUTOEVENTO="Manual",$M71=1),0,IF(OFFSET(CRONOPLE!$F$14,$M71,BR$13)="",10^12,OFFSET(CRONOPLE!$F$14,$M71,BR$13))))</f>
        <v>1000000000000</v>
      </c>
      <c r="BS71" s="215">
        <f ca="1">IF($D71&lt;&gt;"Serviço",0,IF(AND(AUTOEVENTO="Manual",$M71=1),0,IF(OFFSET(CRONOPLE!$F$14,$M71,BS$13)="",10^12,OFFSET(CRONOPLE!$F$14,$M71,BS$13))))</f>
        <v>1000000000000</v>
      </c>
      <c r="BT71" s="215">
        <f ca="1">IF($D71&lt;&gt;"Serviço",0,IF(AND(AUTOEVENTO="Manual",$M71=1),0,IF(OFFSET(CRONOPLE!$F$14,$M71,BT$13)="",10^12,OFFSET(CRONOPLE!$F$14,$M71,BT$13))))</f>
        <v>1000000000000</v>
      </c>
      <c r="BV71" s="216">
        <f ca="1">IF($D71&lt;&gt;"Serviço",0,IF(OR(AND(AUTOEVENTO="Manual",$M71=1),$M71&gt;(ROW(PLE.lastrow)-ROW(PLE.firstrow))),0,IF(OFFSET(PLE!$G$14,$M71,BV$13)="",10^12,OFFSET(PLE!$G$14,$M71,BV$13))))</f>
        <v>1000000000000</v>
      </c>
      <c r="BW71" s="216">
        <f ca="1">IF($D71&lt;&gt;"Serviço",0,IF(OR(AND(AUTOEVENTO="Manual",$M71=1),$M71&gt;(ROW(PLE.lastrow)-ROW(PLE.firstrow))),0,IF(OFFSET(PLE!$G$14,$M71,BW$13)="",10^12,OFFSET(PLE!$G$14,$M71,BW$13))))</f>
        <v>1000000000000</v>
      </c>
      <c r="BX71" s="216">
        <f ca="1">IF($D71&lt;&gt;"Serviço",0,IF(OR(AND(AUTOEVENTO="Manual",$M71=1),$M71&gt;(ROW(PLE.lastrow)-ROW(PLE.firstrow))),0,IF(OFFSET(PLE!$G$14,$M71,BX$13)="",10^12,OFFSET(PLE!$G$14,$M71,BX$13))))</f>
        <v>1000000000000</v>
      </c>
      <c r="BY71" s="216">
        <f ca="1">IF($D71&lt;&gt;"Serviço",0,IF(OR(AND(AUTOEVENTO="Manual",$M71=1),$M71&gt;(ROW(PLE.lastrow)-ROW(PLE.firstrow))),0,IF(OFFSET(PLE!$G$14,$M71,BY$13)="",10^12,OFFSET(PLE!$G$14,$M71,BY$13))))</f>
        <v>1000000000000</v>
      </c>
      <c r="BZ71" s="216">
        <f ca="1">IF($D71&lt;&gt;"Serviço",0,IF(OR(AND(AUTOEVENTO="Manual",$M71=1),$M71&gt;(ROW(PLE.lastrow)-ROW(PLE.firstrow))),0,IF(OFFSET(PLE!$G$14,$M71,BZ$13)="",10^12,OFFSET(PLE!$G$14,$M71,BZ$13))))</f>
        <v>1000000000000</v>
      </c>
      <c r="CA71" s="216">
        <f ca="1">IF($D71&lt;&gt;"Serviço",0,IF(OR(AND(AUTOEVENTO="Manual",$M71=1),$M71&gt;(ROW(PLE.lastrow)-ROW(PLE.firstrow))),0,IF(OFFSET(PLE!$G$14,$M71,CA$13)="",10^12,OFFSET(PLE!$G$14,$M71,CA$13))))</f>
        <v>1000000000000</v>
      </c>
      <c r="CB71" s="216">
        <f ca="1">IF($D71&lt;&gt;"Serviço",0,IF(OR(AND(AUTOEVENTO="Manual",$M71=1),$M71&gt;(ROW(PLE.lastrow)-ROW(PLE.firstrow))),0,IF(OFFSET(PLE!$G$14,$M71,CB$13)="",10^12,OFFSET(PLE!$G$14,$M71,CB$13))))</f>
        <v>1000000000000</v>
      </c>
      <c r="CC71" s="216">
        <f ca="1">IF($D71&lt;&gt;"Serviço",0,IF(OR(AND(AUTOEVENTO="Manual",$M71=1),$M71&gt;(ROW(PLE.lastrow)-ROW(PLE.firstrow))),0,IF(OFFSET(PLE!$G$14,$M71,CC$13)="",10^12,OFFSET(PLE!$G$14,$M71,CC$13))))</f>
        <v>1000000000000</v>
      </c>
      <c r="CD71" s="216">
        <f ca="1">IF($D71&lt;&gt;"Serviço",0,IF(OR(AND(AUTOEVENTO="Manual",$M71=1),$M71&gt;(ROW(PLE.lastrow)-ROW(PLE.firstrow))),0,IF(OFFSET(PLE!$G$14,$M71,CD$13)="",10^12,OFFSET(PLE!$G$14,$M71,CD$13))))</f>
        <v>1000000000000</v>
      </c>
      <c r="CE71" s="216">
        <f ca="1">IF($D71&lt;&gt;"Serviço",0,IF(OR(AND(AUTOEVENTO="Manual",$M71=1),$M71&gt;(ROW(PLE.lastrow)-ROW(PLE.firstrow))),0,IF(OFFSET(PLE!$G$14,$M71,CE$13)="",10^12,OFFSET(PLE!$G$14,$M71,CE$13))))</f>
        <v>1000000000000</v>
      </c>
      <c r="CF71" s="216">
        <f ca="1">IF($D71&lt;&gt;"Serviço",0,IF(OR(AND(AUTOEVENTO="Manual",$M71=1),$M71&gt;(ROW(PLE.lastrow)-ROW(PLE.firstrow))),0,IF(OFFSET(PLE!$G$14,$M71,CF$13)="",10^12,OFFSET(PLE!$G$14,$M71,CF$13))))</f>
        <v>1000000000000</v>
      </c>
      <c r="CG71" s="216">
        <f ca="1">IF($D71&lt;&gt;"Serviço",0,IF(OR(AND(AUTOEVENTO="Manual",$M71=1),$M71&gt;(ROW(PLE.lastrow)-ROW(PLE.firstrow))),0,IF(OFFSET(PLE!$G$14,$M71,CG$13)="",10^12,OFFSET(PLE!$G$14,$M71,CG$13))))</f>
        <v>1000000000000</v>
      </c>
      <c r="CH71" s="216">
        <f ca="1">IF($D71&lt;&gt;"Serviço",0,IF(OR(AND(AUTOEVENTO="Manual",$M71=1),$M71&gt;(ROW(PLE.lastrow)-ROW(PLE.firstrow))),0,IF(OFFSET(PLE!$G$14,$M71,CH$13)="",10^12,OFFSET(PLE!$G$14,$M71,CH$13))))</f>
        <v>1000000000000</v>
      </c>
      <c r="CI71" s="216">
        <f ca="1">IF($D71&lt;&gt;"Serviço",0,IF(OR(AND(AUTOEVENTO="Manual",$M71=1),$M71&gt;(ROW(PLE.lastrow)-ROW(PLE.firstrow))),0,IF(OFFSET(PLE!$G$14,$M71,CI$13)="",10^12,OFFSET(PLE!$G$14,$M71,CI$13))))</f>
        <v>1000000000000</v>
      </c>
      <c r="CJ71" s="216">
        <f ca="1">IF($D71&lt;&gt;"Serviço",0,IF(OR(AND(AUTOEVENTO="Manual",$M71=1),$M71&gt;(ROW(PLE.lastrow)-ROW(PLE.firstrow))),0,IF(OFFSET(PLE!$G$14,$M71,CJ$13)="",10^12,OFFSET(PLE!$G$14,$M71,CJ$13))))</f>
        <v>1000000000000</v>
      </c>
      <c r="CK71" s="216">
        <f ca="1">IF($D71&lt;&gt;"Serviço",0,IF(OR(AND(AUTOEVENTO="Manual",$M71=1),$M71&gt;(ROW(PLE.lastrow)-ROW(PLE.firstrow))),0,IF(OFFSET(PLE!$G$14,$M71,CK$13)="",10^12,OFFSET(PLE!$G$14,$M71,CK$13))))</f>
        <v>1000000000000</v>
      </c>
      <c r="CL71" s="216">
        <f ca="1">IF($D71&lt;&gt;"Serviço",0,IF(OR(AND(AUTOEVENTO="Manual",$M71=1),$M71&gt;(ROW(PLE.lastrow)-ROW(PLE.firstrow))),0,IF(OFFSET(PLE!$G$14,$M71,CL$13)="",10^12,OFFSET(PLE!$G$14,$M71,CL$13))))</f>
        <v>1000000000000</v>
      </c>
      <c r="CM71" s="216">
        <f ca="1">IF($D71&lt;&gt;"Serviço",0,IF(OR(AND(AUTOEVENTO="Manual",$M71=1),$M71&gt;(ROW(PLE.lastrow)-ROW(PLE.firstrow))),0,IF(OFFSET(PLE!$G$14,$M71,CM$13)="",10^12,OFFSET(PLE!$G$14,$M71,CM$13))))</f>
        <v>1000000000000</v>
      </c>
    </row>
    <row r="72" spans="1:91" ht="13.2" x14ac:dyDescent="0.25">
      <c r="A72" s="9">
        <f t="shared" ca="1" si="9"/>
        <v>0</v>
      </c>
      <c r="B72" s="9" t="str">
        <f ca="1">OFFSET(ORÇAMENTO!C$15,ROW(B72)-ROW(B$15),0)</f>
        <v>S</v>
      </c>
      <c r="C72" s="9" t="str">
        <f ca="1">OFFSET(ORÇAMENTO!L$15,ROW(C72)-ROW(C$15),0)</f>
        <v/>
      </c>
      <c r="D72" s="145" t="str">
        <f ca="1">OFFSET(ORÇAMENTO!N$15,ROW(D72)-ROW(D$15),0)</f>
        <v>Serviço</v>
      </c>
      <c r="E72" s="205" t="str">
        <f ca="1">OFFSET(ORÇAMENTO!O$15,ROW(E72)-ROW(E$15),0)</f>
        <v>-</v>
      </c>
      <c r="F72" s="206" t="str">
        <f ca="1">OFFSET(ORÇAMENTO!R$15,ROW(F72)-ROW(F$15),0)</f>
        <v>(abra o arquivo 'Referência 05-2024.xls)</v>
      </c>
      <c r="G72" s="207" t="str">
        <f ca="1">IF($D72&lt;&gt;"Serviço","",OFFSET(ORÇAMENTO!S$15,ROW(G72)-ROW(G$15),0))</f>
        <v>-</v>
      </c>
      <c r="H72" s="151">
        <f ca="1">IF($D72&lt;&gt;"Serviço",0,IF(ACOMPANHAMENTO="BM",ROUND(OFFSET(ORÇAMENTO!AJ$15,ROW(H72)-ROW(H$15),0),15-13*ORÇAMENTO!$AF$7),SUMPRODUCT(($Q$12:$AI$12&lt;&gt;"")*ROUND($Q72:$AI72,15-13*ORÇAMENTO!$AF$7))))</f>
        <v>13.34</v>
      </c>
      <c r="I72" s="650"/>
      <c r="K72" s="208"/>
      <c r="L72" s="209" t="s">
        <v>257</v>
      </c>
      <c r="M72" s="210">
        <f ca="1">IF($D72&lt;&gt;"Serviço","",IF(AUTOEVENTO="manual",$A72,IF(ISERROR(MATCH($A72,$A$15:OFFSET($A72,-1,0),0)),MAX($M$15:OFFSET(M72,-1,0))+1,INDEX($M$15:OFFSET(M72,-1,0),MATCH($A72,$A$15:OFFSET($A72,-1,0),0)))))</f>
        <v>0</v>
      </c>
      <c r="N72" s="211" t="str">
        <f ca="1">IF($D72&lt;&gt;"Serviço","",IF(AUTOEVENTO="Manual",IF($A72=0,"&lt;-- defina o número do agrupador",OFFSET(EVENTOS!$D$14,$A72,0)),OFFSET($F$15,$A72,0)))</f>
        <v>&lt;-- defina o número do agrupador</v>
      </c>
      <c r="O72" s="212"/>
      <c r="Q72" s="212"/>
      <c r="R72" s="213"/>
      <c r="S72" s="213"/>
      <c r="T72" s="213"/>
      <c r="U72" s="213"/>
      <c r="V72" s="213"/>
      <c r="W72" s="213"/>
      <c r="X72" s="213"/>
      <c r="Y72" s="213"/>
      <c r="Z72" s="214"/>
      <c r="AA72" s="213"/>
      <c r="AB72" s="213"/>
      <c r="AC72" s="213"/>
      <c r="AD72" s="213"/>
      <c r="AE72" s="213"/>
      <c r="AF72" s="213"/>
      <c r="AG72" s="213"/>
      <c r="AH72" s="214"/>
      <c r="AJ72" s="631">
        <f ca="1">IF(AND($D72="Serviço",AJ$12&lt;&gt;0,$H72&gt;0,OR(AUTOEVENTO&lt;&gt;"manual",$M72&lt;&gt;1)),ROUND(OFFSET($P72,0,AJ$13),15-13*ORÇAMENTO!$AF$7)/$H72*OFFSET(ORÇAMENTO!$X$15,ROW(AJ72)-ROW(AJ$15),0),0)</f>
        <v>0</v>
      </c>
      <c r="AK72" s="632">
        <f ca="1">IF(AND($D72="Serviço",AK$12&lt;&gt;0,$H72&gt;0,OR(AUTOEVENTO&lt;&gt;"manual",$M72&lt;&gt;1)),ROUND(OFFSET($P72,0,AK$13),15-13*ORÇAMENTO!$AF$7)/$H72*OFFSET(ORÇAMENTO!$X$15,ROW(AK72)-ROW(AK$15),0),0)</f>
        <v>0</v>
      </c>
      <c r="AL72" s="632">
        <f ca="1">IF(AND($D72="Serviço",AL$12&lt;&gt;0,$H72&gt;0,OR(AUTOEVENTO&lt;&gt;"manual",$M72&lt;&gt;1)),ROUND(OFFSET($P72,0,AL$13),15-13*ORÇAMENTO!$AF$7)/$H72*OFFSET(ORÇAMENTO!$X$15,ROW(AL72)-ROW(AL$15),0),0)</f>
        <v>0</v>
      </c>
      <c r="AM72" s="632">
        <f ca="1">IF(AND($D72="Serviço",AM$12&lt;&gt;0,$H72&gt;0,OR(AUTOEVENTO&lt;&gt;"manual",$M72&lt;&gt;1)),ROUND(OFFSET($P72,0,AM$13),15-13*ORÇAMENTO!$AF$7)/$H72*OFFSET(ORÇAMENTO!$X$15,ROW(AM72)-ROW(AM$15),0),0)</f>
        <v>0</v>
      </c>
      <c r="AN72" s="632">
        <f ca="1">IF(AND($D72="Serviço",AN$12&lt;&gt;0,$H72&gt;0,OR(AUTOEVENTO&lt;&gt;"manual",$M72&lt;&gt;1)),ROUND(OFFSET($P72,0,AN$13),15-13*ORÇAMENTO!$AF$7)/$H72*OFFSET(ORÇAMENTO!$X$15,ROW(AN72)-ROW(AN$15),0),0)</f>
        <v>0</v>
      </c>
      <c r="AO72" s="632">
        <f ca="1">IF(AND($D72="Serviço",AO$12&lt;&gt;0,$H72&gt;0,OR(AUTOEVENTO&lt;&gt;"manual",$M72&lt;&gt;1)),ROUND(OFFSET($P72,0,AO$13),15-13*ORÇAMENTO!$AF$7)/$H72*OFFSET(ORÇAMENTO!$X$15,ROW(AO72)-ROW(AO$15),0),0)</f>
        <v>0</v>
      </c>
      <c r="AP72" s="632">
        <f ca="1">IF(AND($D72="Serviço",AP$12&lt;&gt;0,$H72&gt;0,OR(AUTOEVENTO&lt;&gt;"manual",$M72&lt;&gt;1)),ROUND(OFFSET($P72,0,AP$13),15-13*ORÇAMENTO!$AF$7)/$H72*OFFSET(ORÇAMENTO!$X$15,ROW(AP72)-ROW(AP$15),0),0)</f>
        <v>0</v>
      </c>
      <c r="AQ72" s="632">
        <f ca="1">IF(AND($D72="Serviço",AQ$12&lt;&gt;0,$H72&gt;0,OR(AUTOEVENTO&lt;&gt;"manual",$M72&lt;&gt;1)),ROUND(OFFSET($P72,0,AQ$13),15-13*ORÇAMENTO!$AF$7)/$H72*OFFSET(ORÇAMENTO!$X$15,ROW(AQ72)-ROW(AQ$15),0),0)</f>
        <v>0</v>
      </c>
      <c r="AR72" s="632">
        <f ca="1">IF(AND($D72="Serviço",AR$12&lt;&gt;0,$H72&gt;0,OR(AUTOEVENTO&lt;&gt;"manual",$M72&lt;&gt;1)),ROUND(OFFSET($P72,0,AR$13),15-13*ORÇAMENTO!$AF$7)/$H72*OFFSET(ORÇAMENTO!$X$15,ROW(AR72)-ROW(AR$15),0),0)</f>
        <v>0</v>
      </c>
      <c r="AS72" s="633">
        <f ca="1">IF(AND($D72="Serviço",AS$12&lt;&gt;0,$H72&gt;0,OR(AUTOEVENTO&lt;&gt;"manual",$M72&lt;&gt;1)),ROUND(OFFSET($P72,0,AS$13),15-13*ORÇAMENTO!$AF$7)/$H72*OFFSET(ORÇAMENTO!$X$15,ROW(AS72)-ROW(AS$15),0),0)</f>
        <v>0</v>
      </c>
      <c r="AT72" s="632">
        <f ca="1">IF(AND($D72="Serviço",AT$12&lt;&gt;0,$H72&gt;0,OR(AUTOEVENTO&lt;&gt;"manual",$M72&lt;&gt;1)),ROUND(OFFSET($P72,0,AT$13),15-13*ORÇAMENTO!$AF$7)/$H72*OFFSET(ORÇAMENTO!$X$15,ROW(AT72)-ROW(AT$15),0),0)</f>
        <v>0</v>
      </c>
      <c r="AU72" s="632">
        <f ca="1">IF(AND($D72="Serviço",AU$12&lt;&gt;0,$H72&gt;0,OR(AUTOEVENTO&lt;&gt;"manual",$M72&lt;&gt;1)),ROUND(OFFSET($P72,0,AU$13),15-13*ORÇAMENTO!$AF$7)/$H72*OFFSET(ORÇAMENTO!$X$15,ROW(AU72)-ROW(AU$15),0),0)</f>
        <v>0</v>
      </c>
      <c r="AV72" s="632">
        <f ca="1">IF(AND($D72="Serviço",AV$12&lt;&gt;0,$H72&gt;0,OR(AUTOEVENTO&lt;&gt;"manual",$M72&lt;&gt;1)),ROUND(OFFSET($P72,0,AV$13),15-13*ORÇAMENTO!$AF$7)/$H72*OFFSET(ORÇAMENTO!$X$15,ROW(AV72)-ROW(AV$15),0),0)</f>
        <v>0</v>
      </c>
      <c r="AW72" s="632">
        <f ca="1">IF(AND($D72="Serviço",AW$12&lt;&gt;0,$H72&gt;0,OR(AUTOEVENTO&lt;&gt;"manual",$M72&lt;&gt;1)),ROUND(OFFSET($P72,0,AW$13),15-13*ORÇAMENTO!$AF$7)/$H72*OFFSET(ORÇAMENTO!$X$15,ROW(AW72)-ROW(AW$15),0),0)</f>
        <v>0</v>
      </c>
      <c r="AX72" s="632">
        <f ca="1">IF(AND($D72="Serviço",AX$12&lt;&gt;0,$H72&gt;0,OR(AUTOEVENTO&lt;&gt;"manual",$M72&lt;&gt;1)),ROUND(OFFSET($P72,0,AX$13),15-13*ORÇAMENTO!$AF$7)/$H72*OFFSET(ORÇAMENTO!$X$15,ROW(AX72)-ROW(AX$15),0),0)</f>
        <v>0</v>
      </c>
      <c r="AY72" s="632">
        <f ca="1">IF(AND($D72="Serviço",AY$12&lt;&gt;0,$H72&gt;0,OR(AUTOEVENTO&lt;&gt;"manual",$M72&lt;&gt;1)),ROUND(OFFSET($P72,0,AY$13),15-13*ORÇAMENTO!$AF$7)/$H72*OFFSET(ORÇAMENTO!$X$15,ROW(AY72)-ROW(AY$15),0),0)</f>
        <v>0</v>
      </c>
      <c r="AZ72" s="632">
        <f ca="1">IF(AND($D72="Serviço",AZ$12&lt;&gt;0,$H72&gt;0,OR(AUTOEVENTO&lt;&gt;"manual",$M72&lt;&gt;1)),ROUND(OFFSET($P72,0,AZ$13),15-13*ORÇAMENTO!$AF$7)/$H72*OFFSET(ORÇAMENTO!$X$15,ROW(AZ72)-ROW(AZ$15),0),0)</f>
        <v>0</v>
      </c>
      <c r="BA72" s="633">
        <f ca="1">IF(AND($D72="Serviço",BA$12&lt;&gt;0,$H72&gt;0,OR(AUTOEVENTO&lt;&gt;"manual",$M72&lt;&gt;1)),ROUND(OFFSET($P72,0,BA$13),15-13*ORÇAMENTO!$AF$7)/$H72*OFFSET(ORÇAMENTO!$X$15,ROW(BA72)-ROW(BA$15),0),0)</f>
        <v>0</v>
      </c>
      <c r="BC72" s="215">
        <f ca="1">IF($D72&lt;&gt;"Serviço",0,IF(AND(AUTOEVENTO="Manual",$M72=1),0,IF(OFFSET(CRONOPLE!$F$14,$M72,BC$13)="",10^12,OFFSET(CRONOPLE!$F$14,$M72,BC$13))))</f>
        <v>1000000000000</v>
      </c>
      <c r="BD72" s="215">
        <f ca="1">IF($D72&lt;&gt;"Serviço",0,IF(AND(AUTOEVENTO="Manual",$M72=1),0,IF(OFFSET(CRONOPLE!$F$14,$M72,BD$13)="",10^12,OFFSET(CRONOPLE!$F$14,$M72,BD$13))))</f>
        <v>1000000000000</v>
      </c>
      <c r="BE72" s="215">
        <f ca="1">IF($D72&lt;&gt;"Serviço",0,IF(AND(AUTOEVENTO="Manual",$M72=1),0,IF(OFFSET(CRONOPLE!$F$14,$M72,BE$13)="",10^12,OFFSET(CRONOPLE!$F$14,$M72,BE$13))))</f>
        <v>1000000000000</v>
      </c>
      <c r="BF72" s="215">
        <f ca="1">IF($D72&lt;&gt;"Serviço",0,IF(AND(AUTOEVENTO="Manual",$M72=1),0,IF(OFFSET(CRONOPLE!$F$14,$M72,BF$13)="",10^12,OFFSET(CRONOPLE!$F$14,$M72,BF$13))))</f>
        <v>1000000000000</v>
      </c>
      <c r="BG72" s="215">
        <f ca="1">IF($D72&lt;&gt;"Serviço",0,IF(AND(AUTOEVENTO="Manual",$M72=1),0,IF(OFFSET(CRONOPLE!$F$14,$M72,BG$13)="",10^12,OFFSET(CRONOPLE!$F$14,$M72,BG$13))))</f>
        <v>1000000000000</v>
      </c>
      <c r="BH72" s="215">
        <f ca="1">IF($D72&lt;&gt;"Serviço",0,IF(AND(AUTOEVENTO="Manual",$M72=1),0,IF(OFFSET(CRONOPLE!$F$14,$M72,BH$13)="",10^12,OFFSET(CRONOPLE!$F$14,$M72,BH$13))))</f>
        <v>1000000000000</v>
      </c>
      <c r="BI72" s="215">
        <f ca="1">IF($D72&lt;&gt;"Serviço",0,IF(AND(AUTOEVENTO="Manual",$M72=1),0,IF(OFFSET(CRONOPLE!$F$14,$M72,BI$13)="",10^12,OFFSET(CRONOPLE!$F$14,$M72,BI$13))))</f>
        <v>1000000000000</v>
      </c>
      <c r="BJ72" s="215">
        <f ca="1">IF($D72&lt;&gt;"Serviço",0,IF(AND(AUTOEVENTO="Manual",$M72=1),0,IF(OFFSET(CRONOPLE!$F$14,$M72,BJ$13)="",10^12,OFFSET(CRONOPLE!$F$14,$M72,BJ$13))))</f>
        <v>1000000000000</v>
      </c>
      <c r="BK72" s="215">
        <f ca="1">IF($D72&lt;&gt;"Serviço",0,IF(AND(AUTOEVENTO="Manual",$M72=1),0,IF(OFFSET(CRONOPLE!$F$14,$M72,BK$13)="",10^12,OFFSET(CRONOPLE!$F$14,$M72,BK$13))))</f>
        <v>1000000000000</v>
      </c>
      <c r="BL72" s="215">
        <f ca="1">IF($D72&lt;&gt;"Serviço",0,IF(AND(AUTOEVENTO="Manual",$M72=1),0,IF(OFFSET(CRONOPLE!$F$14,$M72,BL$13)="",10^12,OFFSET(CRONOPLE!$F$14,$M72,BL$13))))</f>
        <v>1000000000000</v>
      </c>
      <c r="BM72" s="215">
        <f ca="1">IF($D72&lt;&gt;"Serviço",0,IF(AND(AUTOEVENTO="Manual",$M72=1),0,IF(OFFSET(CRONOPLE!$F$14,$M72,BM$13)="",10^12,OFFSET(CRONOPLE!$F$14,$M72,BM$13))))</f>
        <v>1000000000000</v>
      </c>
      <c r="BN72" s="215">
        <f ca="1">IF($D72&lt;&gt;"Serviço",0,IF(AND(AUTOEVENTO="Manual",$M72=1),0,IF(OFFSET(CRONOPLE!$F$14,$M72,BN$13)="",10^12,OFFSET(CRONOPLE!$F$14,$M72,BN$13))))</f>
        <v>1000000000000</v>
      </c>
      <c r="BO72" s="215">
        <f ca="1">IF($D72&lt;&gt;"Serviço",0,IF(AND(AUTOEVENTO="Manual",$M72=1),0,IF(OFFSET(CRONOPLE!$F$14,$M72,BO$13)="",10^12,OFFSET(CRONOPLE!$F$14,$M72,BO$13))))</f>
        <v>1000000000000</v>
      </c>
      <c r="BP72" s="215">
        <f ca="1">IF($D72&lt;&gt;"Serviço",0,IF(AND(AUTOEVENTO="Manual",$M72=1),0,IF(OFFSET(CRONOPLE!$F$14,$M72,BP$13)="",10^12,OFFSET(CRONOPLE!$F$14,$M72,BP$13))))</f>
        <v>1000000000000</v>
      </c>
      <c r="BQ72" s="215">
        <f ca="1">IF($D72&lt;&gt;"Serviço",0,IF(AND(AUTOEVENTO="Manual",$M72=1),0,IF(OFFSET(CRONOPLE!$F$14,$M72,BQ$13)="",10^12,OFFSET(CRONOPLE!$F$14,$M72,BQ$13))))</f>
        <v>1000000000000</v>
      </c>
      <c r="BR72" s="215">
        <f ca="1">IF($D72&lt;&gt;"Serviço",0,IF(AND(AUTOEVENTO="Manual",$M72=1),0,IF(OFFSET(CRONOPLE!$F$14,$M72,BR$13)="",10^12,OFFSET(CRONOPLE!$F$14,$M72,BR$13))))</f>
        <v>1000000000000</v>
      </c>
      <c r="BS72" s="215">
        <f ca="1">IF($D72&lt;&gt;"Serviço",0,IF(AND(AUTOEVENTO="Manual",$M72=1),0,IF(OFFSET(CRONOPLE!$F$14,$M72,BS$13)="",10^12,OFFSET(CRONOPLE!$F$14,$M72,BS$13))))</f>
        <v>1000000000000</v>
      </c>
      <c r="BT72" s="215">
        <f ca="1">IF($D72&lt;&gt;"Serviço",0,IF(AND(AUTOEVENTO="Manual",$M72=1),0,IF(OFFSET(CRONOPLE!$F$14,$M72,BT$13)="",10^12,OFFSET(CRONOPLE!$F$14,$M72,BT$13))))</f>
        <v>1000000000000</v>
      </c>
      <c r="BV72" s="216">
        <f ca="1">IF($D72&lt;&gt;"Serviço",0,IF(OR(AND(AUTOEVENTO="Manual",$M72=1),$M72&gt;(ROW(PLE.lastrow)-ROW(PLE.firstrow))),0,IF(OFFSET(PLE!$G$14,$M72,BV$13)="",10^12,OFFSET(PLE!$G$14,$M72,BV$13))))</f>
        <v>1000000000000</v>
      </c>
      <c r="BW72" s="216">
        <f ca="1">IF($D72&lt;&gt;"Serviço",0,IF(OR(AND(AUTOEVENTO="Manual",$M72=1),$M72&gt;(ROW(PLE.lastrow)-ROW(PLE.firstrow))),0,IF(OFFSET(PLE!$G$14,$M72,BW$13)="",10^12,OFFSET(PLE!$G$14,$M72,BW$13))))</f>
        <v>1000000000000</v>
      </c>
      <c r="BX72" s="216">
        <f ca="1">IF($D72&lt;&gt;"Serviço",0,IF(OR(AND(AUTOEVENTO="Manual",$M72=1),$M72&gt;(ROW(PLE.lastrow)-ROW(PLE.firstrow))),0,IF(OFFSET(PLE!$G$14,$M72,BX$13)="",10^12,OFFSET(PLE!$G$14,$M72,BX$13))))</f>
        <v>1000000000000</v>
      </c>
      <c r="BY72" s="216">
        <f ca="1">IF($D72&lt;&gt;"Serviço",0,IF(OR(AND(AUTOEVENTO="Manual",$M72=1),$M72&gt;(ROW(PLE.lastrow)-ROW(PLE.firstrow))),0,IF(OFFSET(PLE!$G$14,$M72,BY$13)="",10^12,OFFSET(PLE!$G$14,$M72,BY$13))))</f>
        <v>1000000000000</v>
      </c>
      <c r="BZ72" s="216">
        <f ca="1">IF($D72&lt;&gt;"Serviço",0,IF(OR(AND(AUTOEVENTO="Manual",$M72=1),$M72&gt;(ROW(PLE.lastrow)-ROW(PLE.firstrow))),0,IF(OFFSET(PLE!$G$14,$M72,BZ$13)="",10^12,OFFSET(PLE!$G$14,$M72,BZ$13))))</f>
        <v>1000000000000</v>
      </c>
      <c r="CA72" s="216">
        <f ca="1">IF($D72&lt;&gt;"Serviço",0,IF(OR(AND(AUTOEVENTO="Manual",$M72=1),$M72&gt;(ROW(PLE.lastrow)-ROW(PLE.firstrow))),0,IF(OFFSET(PLE!$G$14,$M72,CA$13)="",10^12,OFFSET(PLE!$G$14,$M72,CA$13))))</f>
        <v>1000000000000</v>
      </c>
      <c r="CB72" s="216">
        <f ca="1">IF($D72&lt;&gt;"Serviço",0,IF(OR(AND(AUTOEVENTO="Manual",$M72=1),$M72&gt;(ROW(PLE.lastrow)-ROW(PLE.firstrow))),0,IF(OFFSET(PLE!$G$14,$M72,CB$13)="",10^12,OFFSET(PLE!$G$14,$M72,CB$13))))</f>
        <v>1000000000000</v>
      </c>
      <c r="CC72" s="216">
        <f ca="1">IF($D72&lt;&gt;"Serviço",0,IF(OR(AND(AUTOEVENTO="Manual",$M72=1),$M72&gt;(ROW(PLE.lastrow)-ROW(PLE.firstrow))),0,IF(OFFSET(PLE!$G$14,$M72,CC$13)="",10^12,OFFSET(PLE!$G$14,$M72,CC$13))))</f>
        <v>1000000000000</v>
      </c>
      <c r="CD72" s="216">
        <f ca="1">IF($D72&lt;&gt;"Serviço",0,IF(OR(AND(AUTOEVENTO="Manual",$M72=1),$M72&gt;(ROW(PLE.lastrow)-ROW(PLE.firstrow))),0,IF(OFFSET(PLE!$G$14,$M72,CD$13)="",10^12,OFFSET(PLE!$G$14,$M72,CD$13))))</f>
        <v>1000000000000</v>
      </c>
      <c r="CE72" s="216">
        <f ca="1">IF($D72&lt;&gt;"Serviço",0,IF(OR(AND(AUTOEVENTO="Manual",$M72=1),$M72&gt;(ROW(PLE.lastrow)-ROW(PLE.firstrow))),0,IF(OFFSET(PLE!$G$14,$M72,CE$13)="",10^12,OFFSET(PLE!$G$14,$M72,CE$13))))</f>
        <v>1000000000000</v>
      </c>
      <c r="CF72" s="216">
        <f ca="1">IF($D72&lt;&gt;"Serviço",0,IF(OR(AND(AUTOEVENTO="Manual",$M72=1),$M72&gt;(ROW(PLE.lastrow)-ROW(PLE.firstrow))),0,IF(OFFSET(PLE!$G$14,$M72,CF$13)="",10^12,OFFSET(PLE!$G$14,$M72,CF$13))))</f>
        <v>1000000000000</v>
      </c>
      <c r="CG72" s="216">
        <f ca="1">IF($D72&lt;&gt;"Serviço",0,IF(OR(AND(AUTOEVENTO="Manual",$M72=1),$M72&gt;(ROW(PLE.lastrow)-ROW(PLE.firstrow))),0,IF(OFFSET(PLE!$G$14,$M72,CG$13)="",10^12,OFFSET(PLE!$G$14,$M72,CG$13))))</f>
        <v>1000000000000</v>
      </c>
      <c r="CH72" s="216">
        <f ca="1">IF($D72&lt;&gt;"Serviço",0,IF(OR(AND(AUTOEVENTO="Manual",$M72=1),$M72&gt;(ROW(PLE.lastrow)-ROW(PLE.firstrow))),0,IF(OFFSET(PLE!$G$14,$M72,CH$13)="",10^12,OFFSET(PLE!$G$14,$M72,CH$13))))</f>
        <v>1000000000000</v>
      </c>
      <c r="CI72" s="216">
        <f ca="1">IF($D72&lt;&gt;"Serviço",0,IF(OR(AND(AUTOEVENTO="Manual",$M72=1),$M72&gt;(ROW(PLE.lastrow)-ROW(PLE.firstrow))),0,IF(OFFSET(PLE!$G$14,$M72,CI$13)="",10^12,OFFSET(PLE!$G$14,$M72,CI$13))))</f>
        <v>1000000000000</v>
      </c>
      <c r="CJ72" s="216">
        <f ca="1">IF($D72&lt;&gt;"Serviço",0,IF(OR(AND(AUTOEVENTO="Manual",$M72=1),$M72&gt;(ROW(PLE.lastrow)-ROW(PLE.firstrow))),0,IF(OFFSET(PLE!$G$14,$M72,CJ$13)="",10^12,OFFSET(PLE!$G$14,$M72,CJ$13))))</f>
        <v>1000000000000</v>
      </c>
      <c r="CK72" s="216">
        <f ca="1">IF($D72&lt;&gt;"Serviço",0,IF(OR(AND(AUTOEVENTO="Manual",$M72=1),$M72&gt;(ROW(PLE.lastrow)-ROW(PLE.firstrow))),0,IF(OFFSET(PLE!$G$14,$M72,CK$13)="",10^12,OFFSET(PLE!$G$14,$M72,CK$13))))</f>
        <v>1000000000000</v>
      </c>
      <c r="CL72" s="216">
        <f ca="1">IF($D72&lt;&gt;"Serviço",0,IF(OR(AND(AUTOEVENTO="Manual",$M72=1),$M72&gt;(ROW(PLE.lastrow)-ROW(PLE.firstrow))),0,IF(OFFSET(PLE!$G$14,$M72,CL$13)="",10^12,OFFSET(PLE!$G$14,$M72,CL$13))))</f>
        <v>1000000000000</v>
      </c>
      <c r="CM72" s="216">
        <f ca="1">IF($D72&lt;&gt;"Serviço",0,IF(OR(AND(AUTOEVENTO="Manual",$M72=1),$M72&gt;(ROW(PLE.lastrow)-ROW(PLE.firstrow))),0,IF(OFFSET(PLE!$G$14,$M72,CM$13)="",10^12,OFFSET(PLE!$G$14,$M72,CM$13))))</f>
        <v>1000000000000</v>
      </c>
    </row>
    <row r="73" spans="1:91" ht="26.4" x14ac:dyDescent="0.25">
      <c r="A73" s="9">
        <f t="shared" ca="1" si="9"/>
        <v>0</v>
      </c>
      <c r="B73" s="9">
        <f ca="1">OFFSET(ORÇAMENTO!C$15,ROW(B73)-ROW(B$15),0)</f>
        <v>3</v>
      </c>
      <c r="C73" s="9" t="str">
        <f ca="1">OFFSET(ORÇAMENTO!L$15,ROW(C73)-ROW(C$15),0)</f>
        <v>F</v>
      </c>
      <c r="D73" s="145" t="str">
        <f ca="1">OFFSET(ORÇAMENTO!N$15,ROW(D73)-ROW(D$15),0)</f>
        <v>Nível 3</v>
      </c>
      <c r="E73" s="205" t="str">
        <f ca="1">OFFSET(ORÇAMENTO!O$15,ROW(E73)-ROW(E$15),0)</f>
        <v>1.3.4.</v>
      </c>
      <c r="F73" s="206" t="str">
        <f ca="1">OFFSET(ORÇAMENTO!R$15,ROW(F73)-ROW(F$15),0)</f>
        <v>CONCRETO ARMADO PARA FUNDAÇÕES - VIGAS BALDRAMES - RESERVATÓRIO</v>
      </c>
      <c r="G73" s="207" t="str">
        <f ca="1">IF($D73&lt;&gt;"Serviço","",OFFSET(ORÇAMENTO!S$15,ROW(G73)-ROW(G$15),0))</f>
        <v/>
      </c>
      <c r="H73" s="151">
        <f ca="1">IF($D73&lt;&gt;"Serviço",0,IF(ACOMPANHAMENTO="BM",ROUND(OFFSET(ORÇAMENTO!AJ$15,ROW(H73)-ROW(H$15),0),15-13*ORÇAMENTO!$AF$7),SUMPRODUCT(($Q$12:$AI$12&lt;&gt;"")*ROUND($Q73:$AI73,15-13*ORÇAMENTO!$AF$7))))</f>
        <v>0</v>
      </c>
      <c r="I73" s="650"/>
      <c r="K73" s="208"/>
      <c r="L73" s="209" t="s">
        <v>257</v>
      </c>
      <c r="M73" s="210" t="str">
        <f ca="1">IF($D73&lt;&gt;"Serviço","",IF(AUTOEVENTO="manual",$A73,IF(ISERROR(MATCH($A73,$A$15:OFFSET($A73,-1,0),0)),MAX($M$15:OFFSET(M73,-1,0))+1,INDEX($M$15:OFFSET(M73,-1,0),MATCH($A73,$A$15:OFFSET($A73,-1,0),0)))))</f>
        <v/>
      </c>
      <c r="N73" s="211" t="str">
        <f ca="1">IF($D73&lt;&gt;"Serviço","",IF(AUTOEVENTO="Manual",IF($A73=0,"&lt;-- defina o número do agrupador",OFFSET(EVENTOS!$D$14,$A73,0)),OFFSET($F$15,$A73,0)))</f>
        <v/>
      </c>
      <c r="O73" s="212"/>
      <c r="Q73" s="212"/>
      <c r="R73" s="213"/>
      <c r="S73" s="213"/>
      <c r="T73" s="213"/>
      <c r="U73" s="213"/>
      <c r="V73" s="213"/>
      <c r="W73" s="213"/>
      <c r="X73" s="213"/>
      <c r="Y73" s="213"/>
      <c r="Z73" s="214"/>
      <c r="AA73" s="213"/>
      <c r="AB73" s="213"/>
      <c r="AC73" s="213"/>
      <c r="AD73" s="213"/>
      <c r="AE73" s="213"/>
      <c r="AF73" s="213"/>
      <c r="AG73" s="213"/>
      <c r="AH73" s="214"/>
      <c r="AJ73" s="631">
        <f ca="1">IF(AND($D73="Serviço",AJ$12&lt;&gt;0,$H73&gt;0,OR(AUTOEVENTO&lt;&gt;"manual",$M73&lt;&gt;1)),ROUND(OFFSET($P73,0,AJ$13),15-13*ORÇAMENTO!$AF$7)/$H73*OFFSET(ORÇAMENTO!$X$15,ROW(AJ73)-ROW(AJ$15),0),0)</f>
        <v>0</v>
      </c>
      <c r="AK73" s="632">
        <f ca="1">IF(AND($D73="Serviço",AK$12&lt;&gt;0,$H73&gt;0,OR(AUTOEVENTO&lt;&gt;"manual",$M73&lt;&gt;1)),ROUND(OFFSET($P73,0,AK$13),15-13*ORÇAMENTO!$AF$7)/$H73*OFFSET(ORÇAMENTO!$X$15,ROW(AK73)-ROW(AK$15),0),0)</f>
        <v>0</v>
      </c>
      <c r="AL73" s="632">
        <f ca="1">IF(AND($D73="Serviço",AL$12&lt;&gt;0,$H73&gt;0,OR(AUTOEVENTO&lt;&gt;"manual",$M73&lt;&gt;1)),ROUND(OFFSET($P73,0,AL$13),15-13*ORÇAMENTO!$AF$7)/$H73*OFFSET(ORÇAMENTO!$X$15,ROW(AL73)-ROW(AL$15),0),0)</f>
        <v>0</v>
      </c>
      <c r="AM73" s="632">
        <f ca="1">IF(AND($D73="Serviço",AM$12&lt;&gt;0,$H73&gt;0,OR(AUTOEVENTO&lt;&gt;"manual",$M73&lt;&gt;1)),ROUND(OFFSET($P73,0,AM$13),15-13*ORÇAMENTO!$AF$7)/$H73*OFFSET(ORÇAMENTO!$X$15,ROW(AM73)-ROW(AM$15),0),0)</f>
        <v>0</v>
      </c>
      <c r="AN73" s="632">
        <f ca="1">IF(AND($D73="Serviço",AN$12&lt;&gt;0,$H73&gt;0,OR(AUTOEVENTO&lt;&gt;"manual",$M73&lt;&gt;1)),ROUND(OFFSET($P73,0,AN$13),15-13*ORÇAMENTO!$AF$7)/$H73*OFFSET(ORÇAMENTO!$X$15,ROW(AN73)-ROW(AN$15),0),0)</f>
        <v>0</v>
      </c>
      <c r="AO73" s="632">
        <f ca="1">IF(AND($D73="Serviço",AO$12&lt;&gt;0,$H73&gt;0,OR(AUTOEVENTO&lt;&gt;"manual",$M73&lt;&gt;1)),ROUND(OFFSET($P73,0,AO$13),15-13*ORÇAMENTO!$AF$7)/$H73*OFFSET(ORÇAMENTO!$X$15,ROW(AO73)-ROW(AO$15),0),0)</f>
        <v>0</v>
      </c>
      <c r="AP73" s="632">
        <f ca="1">IF(AND($D73="Serviço",AP$12&lt;&gt;0,$H73&gt;0,OR(AUTOEVENTO&lt;&gt;"manual",$M73&lt;&gt;1)),ROUND(OFFSET($P73,0,AP$13),15-13*ORÇAMENTO!$AF$7)/$H73*OFFSET(ORÇAMENTO!$X$15,ROW(AP73)-ROW(AP$15),0),0)</f>
        <v>0</v>
      </c>
      <c r="AQ73" s="632">
        <f ca="1">IF(AND($D73="Serviço",AQ$12&lt;&gt;0,$H73&gt;0,OR(AUTOEVENTO&lt;&gt;"manual",$M73&lt;&gt;1)),ROUND(OFFSET($P73,0,AQ$13),15-13*ORÇAMENTO!$AF$7)/$H73*OFFSET(ORÇAMENTO!$X$15,ROW(AQ73)-ROW(AQ$15),0),0)</f>
        <v>0</v>
      </c>
      <c r="AR73" s="632">
        <f ca="1">IF(AND($D73="Serviço",AR$12&lt;&gt;0,$H73&gt;0,OR(AUTOEVENTO&lt;&gt;"manual",$M73&lt;&gt;1)),ROUND(OFFSET($P73,0,AR$13),15-13*ORÇAMENTO!$AF$7)/$H73*OFFSET(ORÇAMENTO!$X$15,ROW(AR73)-ROW(AR$15),0),0)</f>
        <v>0</v>
      </c>
      <c r="AS73" s="633">
        <f ca="1">IF(AND($D73="Serviço",AS$12&lt;&gt;0,$H73&gt;0,OR(AUTOEVENTO&lt;&gt;"manual",$M73&lt;&gt;1)),ROUND(OFFSET($P73,0,AS$13),15-13*ORÇAMENTO!$AF$7)/$H73*OFFSET(ORÇAMENTO!$X$15,ROW(AS73)-ROW(AS$15),0),0)</f>
        <v>0</v>
      </c>
      <c r="AT73" s="632">
        <f ca="1">IF(AND($D73="Serviço",AT$12&lt;&gt;0,$H73&gt;0,OR(AUTOEVENTO&lt;&gt;"manual",$M73&lt;&gt;1)),ROUND(OFFSET($P73,0,AT$13),15-13*ORÇAMENTO!$AF$7)/$H73*OFFSET(ORÇAMENTO!$X$15,ROW(AT73)-ROW(AT$15),0),0)</f>
        <v>0</v>
      </c>
      <c r="AU73" s="632">
        <f ca="1">IF(AND($D73="Serviço",AU$12&lt;&gt;0,$H73&gt;0,OR(AUTOEVENTO&lt;&gt;"manual",$M73&lt;&gt;1)),ROUND(OFFSET($P73,0,AU$13),15-13*ORÇAMENTO!$AF$7)/$H73*OFFSET(ORÇAMENTO!$X$15,ROW(AU73)-ROW(AU$15),0),0)</f>
        <v>0</v>
      </c>
      <c r="AV73" s="632">
        <f ca="1">IF(AND($D73="Serviço",AV$12&lt;&gt;0,$H73&gt;0,OR(AUTOEVENTO&lt;&gt;"manual",$M73&lt;&gt;1)),ROUND(OFFSET($P73,0,AV$13),15-13*ORÇAMENTO!$AF$7)/$H73*OFFSET(ORÇAMENTO!$X$15,ROW(AV73)-ROW(AV$15),0),0)</f>
        <v>0</v>
      </c>
      <c r="AW73" s="632">
        <f ca="1">IF(AND($D73="Serviço",AW$12&lt;&gt;0,$H73&gt;0,OR(AUTOEVENTO&lt;&gt;"manual",$M73&lt;&gt;1)),ROUND(OFFSET($P73,0,AW$13),15-13*ORÇAMENTO!$AF$7)/$H73*OFFSET(ORÇAMENTO!$X$15,ROW(AW73)-ROW(AW$15),0),0)</f>
        <v>0</v>
      </c>
      <c r="AX73" s="632">
        <f ca="1">IF(AND($D73="Serviço",AX$12&lt;&gt;0,$H73&gt;0,OR(AUTOEVENTO&lt;&gt;"manual",$M73&lt;&gt;1)),ROUND(OFFSET($P73,0,AX$13),15-13*ORÇAMENTO!$AF$7)/$H73*OFFSET(ORÇAMENTO!$X$15,ROW(AX73)-ROW(AX$15),0),0)</f>
        <v>0</v>
      </c>
      <c r="AY73" s="632">
        <f ca="1">IF(AND($D73="Serviço",AY$12&lt;&gt;0,$H73&gt;0,OR(AUTOEVENTO&lt;&gt;"manual",$M73&lt;&gt;1)),ROUND(OFFSET($P73,0,AY$13),15-13*ORÇAMENTO!$AF$7)/$H73*OFFSET(ORÇAMENTO!$X$15,ROW(AY73)-ROW(AY$15),0),0)</f>
        <v>0</v>
      </c>
      <c r="AZ73" s="632">
        <f ca="1">IF(AND($D73="Serviço",AZ$12&lt;&gt;0,$H73&gt;0,OR(AUTOEVENTO&lt;&gt;"manual",$M73&lt;&gt;1)),ROUND(OFFSET($P73,0,AZ$13),15-13*ORÇAMENTO!$AF$7)/$H73*OFFSET(ORÇAMENTO!$X$15,ROW(AZ73)-ROW(AZ$15),0),0)</f>
        <v>0</v>
      </c>
      <c r="BA73" s="633">
        <f ca="1">IF(AND($D73="Serviço",BA$12&lt;&gt;0,$H73&gt;0,OR(AUTOEVENTO&lt;&gt;"manual",$M73&lt;&gt;1)),ROUND(OFFSET($P73,0,BA$13),15-13*ORÇAMENTO!$AF$7)/$H73*OFFSET(ORÇAMENTO!$X$15,ROW(BA73)-ROW(BA$15),0),0)</f>
        <v>0</v>
      </c>
      <c r="BC73" s="215">
        <f ca="1">IF($D73&lt;&gt;"Serviço",0,IF(AND(AUTOEVENTO="Manual",$M73=1),0,IF(OFFSET(CRONOPLE!$F$14,$M73,BC$13)="",10^12,OFFSET(CRONOPLE!$F$14,$M73,BC$13))))</f>
        <v>0</v>
      </c>
      <c r="BD73" s="215">
        <f ca="1">IF($D73&lt;&gt;"Serviço",0,IF(AND(AUTOEVENTO="Manual",$M73=1),0,IF(OFFSET(CRONOPLE!$F$14,$M73,BD$13)="",10^12,OFFSET(CRONOPLE!$F$14,$M73,BD$13))))</f>
        <v>0</v>
      </c>
      <c r="BE73" s="215">
        <f ca="1">IF($D73&lt;&gt;"Serviço",0,IF(AND(AUTOEVENTO="Manual",$M73=1),0,IF(OFFSET(CRONOPLE!$F$14,$M73,BE$13)="",10^12,OFFSET(CRONOPLE!$F$14,$M73,BE$13))))</f>
        <v>0</v>
      </c>
      <c r="BF73" s="215">
        <f ca="1">IF($D73&lt;&gt;"Serviço",0,IF(AND(AUTOEVENTO="Manual",$M73=1),0,IF(OFFSET(CRONOPLE!$F$14,$M73,BF$13)="",10^12,OFFSET(CRONOPLE!$F$14,$M73,BF$13))))</f>
        <v>0</v>
      </c>
      <c r="BG73" s="215">
        <f ca="1">IF($D73&lt;&gt;"Serviço",0,IF(AND(AUTOEVENTO="Manual",$M73=1),0,IF(OFFSET(CRONOPLE!$F$14,$M73,BG$13)="",10^12,OFFSET(CRONOPLE!$F$14,$M73,BG$13))))</f>
        <v>0</v>
      </c>
      <c r="BH73" s="215">
        <f ca="1">IF($D73&lt;&gt;"Serviço",0,IF(AND(AUTOEVENTO="Manual",$M73=1),0,IF(OFFSET(CRONOPLE!$F$14,$M73,BH$13)="",10^12,OFFSET(CRONOPLE!$F$14,$M73,BH$13))))</f>
        <v>0</v>
      </c>
      <c r="BI73" s="215">
        <f ca="1">IF($D73&lt;&gt;"Serviço",0,IF(AND(AUTOEVENTO="Manual",$M73=1),0,IF(OFFSET(CRONOPLE!$F$14,$M73,BI$13)="",10^12,OFFSET(CRONOPLE!$F$14,$M73,BI$13))))</f>
        <v>0</v>
      </c>
      <c r="BJ73" s="215">
        <f ca="1">IF($D73&lt;&gt;"Serviço",0,IF(AND(AUTOEVENTO="Manual",$M73=1),0,IF(OFFSET(CRONOPLE!$F$14,$M73,BJ$13)="",10^12,OFFSET(CRONOPLE!$F$14,$M73,BJ$13))))</f>
        <v>0</v>
      </c>
      <c r="BK73" s="215">
        <f ca="1">IF($D73&lt;&gt;"Serviço",0,IF(AND(AUTOEVENTO="Manual",$M73=1),0,IF(OFFSET(CRONOPLE!$F$14,$M73,BK$13)="",10^12,OFFSET(CRONOPLE!$F$14,$M73,BK$13))))</f>
        <v>0</v>
      </c>
      <c r="BL73" s="215">
        <f ca="1">IF($D73&lt;&gt;"Serviço",0,IF(AND(AUTOEVENTO="Manual",$M73=1),0,IF(OFFSET(CRONOPLE!$F$14,$M73,BL$13)="",10^12,OFFSET(CRONOPLE!$F$14,$M73,BL$13))))</f>
        <v>0</v>
      </c>
      <c r="BM73" s="215">
        <f ca="1">IF($D73&lt;&gt;"Serviço",0,IF(AND(AUTOEVENTO="Manual",$M73=1),0,IF(OFFSET(CRONOPLE!$F$14,$M73,BM$13)="",10^12,OFFSET(CRONOPLE!$F$14,$M73,BM$13))))</f>
        <v>0</v>
      </c>
      <c r="BN73" s="215">
        <f ca="1">IF($D73&lt;&gt;"Serviço",0,IF(AND(AUTOEVENTO="Manual",$M73=1),0,IF(OFFSET(CRONOPLE!$F$14,$M73,BN$13)="",10^12,OFFSET(CRONOPLE!$F$14,$M73,BN$13))))</f>
        <v>0</v>
      </c>
      <c r="BO73" s="215">
        <f ca="1">IF($D73&lt;&gt;"Serviço",0,IF(AND(AUTOEVENTO="Manual",$M73=1),0,IF(OFFSET(CRONOPLE!$F$14,$M73,BO$13)="",10^12,OFFSET(CRONOPLE!$F$14,$M73,BO$13))))</f>
        <v>0</v>
      </c>
      <c r="BP73" s="215">
        <f ca="1">IF($D73&lt;&gt;"Serviço",0,IF(AND(AUTOEVENTO="Manual",$M73=1),0,IF(OFFSET(CRONOPLE!$F$14,$M73,BP$13)="",10^12,OFFSET(CRONOPLE!$F$14,$M73,BP$13))))</f>
        <v>0</v>
      </c>
      <c r="BQ73" s="215">
        <f ca="1">IF($D73&lt;&gt;"Serviço",0,IF(AND(AUTOEVENTO="Manual",$M73=1),0,IF(OFFSET(CRONOPLE!$F$14,$M73,BQ$13)="",10^12,OFFSET(CRONOPLE!$F$14,$M73,BQ$13))))</f>
        <v>0</v>
      </c>
      <c r="BR73" s="215">
        <f ca="1">IF($D73&lt;&gt;"Serviço",0,IF(AND(AUTOEVENTO="Manual",$M73=1),0,IF(OFFSET(CRONOPLE!$F$14,$M73,BR$13)="",10^12,OFFSET(CRONOPLE!$F$14,$M73,BR$13))))</f>
        <v>0</v>
      </c>
      <c r="BS73" s="215">
        <f ca="1">IF($D73&lt;&gt;"Serviço",0,IF(AND(AUTOEVENTO="Manual",$M73=1),0,IF(OFFSET(CRONOPLE!$F$14,$M73,BS$13)="",10^12,OFFSET(CRONOPLE!$F$14,$M73,BS$13))))</f>
        <v>0</v>
      </c>
      <c r="BT73" s="215">
        <f ca="1">IF($D73&lt;&gt;"Serviço",0,IF(AND(AUTOEVENTO="Manual",$M73=1),0,IF(OFFSET(CRONOPLE!$F$14,$M73,BT$13)="",10^12,OFFSET(CRONOPLE!$F$14,$M73,BT$13))))</f>
        <v>0</v>
      </c>
      <c r="BV73" s="216">
        <f ca="1">IF($D73&lt;&gt;"Serviço",0,IF(OR(AND(AUTOEVENTO="Manual",$M73=1),$M73&gt;(ROW(PLE.lastrow)-ROW(PLE.firstrow))),0,IF(OFFSET(PLE!$G$14,$M73,BV$13)="",10^12,OFFSET(PLE!$G$14,$M73,BV$13))))</f>
        <v>0</v>
      </c>
      <c r="BW73" s="216">
        <f ca="1">IF($D73&lt;&gt;"Serviço",0,IF(OR(AND(AUTOEVENTO="Manual",$M73=1),$M73&gt;(ROW(PLE.lastrow)-ROW(PLE.firstrow))),0,IF(OFFSET(PLE!$G$14,$M73,BW$13)="",10^12,OFFSET(PLE!$G$14,$M73,BW$13))))</f>
        <v>0</v>
      </c>
      <c r="BX73" s="216">
        <f ca="1">IF($D73&lt;&gt;"Serviço",0,IF(OR(AND(AUTOEVENTO="Manual",$M73=1),$M73&gt;(ROW(PLE.lastrow)-ROW(PLE.firstrow))),0,IF(OFFSET(PLE!$G$14,$M73,BX$13)="",10^12,OFFSET(PLE!$G$14,$M73,BX$13))))</f>
        <v>0</v>
      </c>
      <c r="BY73" s="216">
        <f ca="1">IF($D73&lt;&gt;"Serviço",0,IF(OR(AND(AUTOEVENTO="Manual",$M73=1),$M73&gt;(ROW(PLE.lastrow)-ROW(PLE.firstrow))),0,IF(OFFSET(PLE!$G$14,$M73,BY$13)="",10^12,OFFSET(PLE!$G$14,$M73,BY$13))))</f>
        <v>0</v>
      </c>
      <c r="BZ73" s="216">
        <f ca="1">IF($D73&lt;&gt;"Serviço",0,IF(OR(AND(AUTOEVENTO="Manual",$M73=1),$M73&gt;(ROW(PLE.lastrow)-ROW(PLE.firstrow))),0,IF(OFFSET(PLE!$G$14,$M73,BZ$13)="",10^12,OFFSET(PLE!$G$14,$M73,BZ$13))))</f>
        <v>0</v>
      </c>
      <c r="CA73" s="216">
        <f ca="1">IF($D73&lt;&gt;"Serviço",0,IF(OR(AND(AUTOEVENTO="Manual",$M73=1),$M73&gt;(ROW(PLE.lastrow)-ROW(PLE.firstrow))),0,IF(OFFSET(PLE!$G$14,$M73,CA$13)="",10^12,OFFSET(PLE!$G$14,$M73,CA$13))))</f>
        <v>0</v>
      </c>
      <c r="CB73" s="216">
        <f ca="1">IF($D73&lt;&gt;"Serviço",0,IF(OR(AND(AUTOEVENTO="Manual",$M73=1),$M73&gt;(ROW(PLE.lastrow)-ROW(PLE.firstrow))),0,IF(OFFSET(PLE!$G$14,$M73,CB$13)="",10^12,OFFSET(PLE!$G$14,$M73,CB$13))))</f>
        <v>0</v>
      </c>
      <c r="CC73" s="216">
        <f ca="1">IF($D73&lt;&gt;"Serviço",0,IF(OR(AND(AUTOEVENTO="Manual",$M73=1),$M73&gt;(ROW(PLE.lastrow)-ROW(PLE.firstrow))),0,IF(OFFSET(PLE!$G$14,$M73,CC$13)="",10^12,OFFSET(PLE!$G$14,$M73,CC$13))))</f>
        <v>0</v>
      </c>
      <c r="CD73" s="216">
        <f ca="1">IF($D73&lt;&gt;"Serviço",0,IF(OR(AND(AUTOEVENTO="Manual",$M73=1),$M73&gt;(ROW(PLE.lastrow)-ROW(PLE.firstrow))),0,IF(OFFSET(PLE!$G$14,$M73,CD$13)="",10^12,OFFSET(PLE!$G$14,$M73,CD$13))))</f>
        <v>0</v>
      </c>
      <c r="CE73" s="216">
        <f ca="1">IF($D73&lt;&gt;"Serviço",0,IF(OR(AND(AUTOEVENTO="Manual",$M73=1),$M73&gt;(ROW(PLE.lastrow)-ROW(PLE.firstrow))),0,IF(OFFSET(PLE!$G$14,$M73,CE$13)="",10^12,OFFSET(PLE!$G$14,$M73,CE$13))))</f>
        <v>0</v>
      </c>
      <c r="CF73" s="216">
        <f ca="1">IF($D73&lt;&gt;"Serviço",0,IF(OR(AND(AUTOEVENTO="Manual",$M73=1),$M73&gt;(ROW(PLE.lastrow)-ROW(PLE.firstrow))),0,IF(OFFSET(PLE!$G$14,$M73,CF$13)="",10^12,OFFSET(PLE!$G$14,$M73,CF$13))))</f>
        <v>0</v>
      </c>
      <c r="CG73" s="216">
        <f ca="1">IF($D73&lt;&gt;"Serviço",0,IF(OR(AND(AUTOEVENTO="Manual",$M73=1),$M73&gt;(ROW(PLE.lastrow)-ROW(PLE.firstrow))),0,IF(OFFSET(PLE!$G$14,$M73,CG$13)="",10^12,OFFSET(PLE!$G$14,$M73,CG$13))))</f>
        <v>0</v>
      </c>
      <c r="CH73" s="216">
        <f ca="1">IF($D73&lt;&gt;"Serviço",0,IF(OR(AND(AUTOEVENTO="Manual",$M73=1),$M73&gt;(ROW(PLE.lastrow)-ROW(PLE.firstrow))),0,IF(OFFSET(PLE!$G$14,$M73,CH$13)="",10^12,OFFSET(PLE!$G$14,$M73,CH$13))))</f>
        <v>0</v>
      </c>
      <c r="CI73" s="216">
        <f ca="1">IF($D73&lt;&gt;"Serviço",0,IF(OR(AND(AUTOEVENTO="Manual",$M73=1),$M73&gt;(ROW(PLE.lastrow)-ROW(PLE.firstrow))),0,IF(OFFSET(PLE!$G$14,$M73,CI$13)="",10^12,OFFSET(PLE!$G$14,$M73,CI$13))))</f>
        <v>0</v>
      </c>
      <c r="CJ73" s="216">
        <f ca="1">IF($D73&lt;&gt;"Serviço",0,IF(OR(AND(AUTOEVENTO="Manual",$M73=1),$M73&gt;(ROW(PLE.lastrow)-ROW(PLE.firstrow))),0,IF(OFFSET(PLE!$G$14,$M73,CJ$13)="",10^12,OFFSET(PLE!$G$14,$M73,CJ$13))))</f>
        <v>0</v>
      </c>
      <c r="CK73" s="216">
        <f ca="1">IF($D73&lt;&gt;"Serviço",0,IF(OR(AND(AUTOEVENTO="Manual",$M73=1),$M73&gt;(ROW(PLE.lastrow)-ROW(PLE.firstrow))),0,IF(OFFSET(PLE!$G$14,$M73,CK$13)="",10^12,OFFSET(PLE!$G$14,$M73,CK$13))))</f>
        <v>0</v>
      </c>
      <c r="CL73" s="216">
        <f ca="1">IF($D73&lt;&gt;"Serviço",0,IF(OR(AND(AUTOEVENTO="Manual",$M73=1),$M73&gt;(ROW(PLE.lastrow)-ROW(PLE.firstrow))),0,IF(OFFSET(PLE!$G$14,$M73,CL$13)="",10^12,OFFSET(PLE!$G$14,$M73,CL$13))))</f>
        <v>0</v>
      </c>
      <c r="CM73" s="216">
        <f ca="1">IF($D73&lt;&gt;"Serviço",0,IF(OR(AND(AUTOEVENTO="Manual",$M73=1),$M73&gt;(ROW(PLE.lastrow)-ROW(PLE.firstrow))),0,IF(OFFSET(PLE!$G$14,$M73,CM$13)="",10^12,OFFSET(PLE!$G$14,$M73,CM$13))))</f>
        <v>0</v>
      </c>
    </row>
    <row r="74" spans="1:91" ht="13.2" x14ac:dyDescent="0.25">
      <c r="A74" s="9">
        <f t="shared" ca="1" si="9"/>
        <v>0</v>
      </c>
      <c r="B74" s="9" t="str">
        <f ca="1">OFFSET(ORÇAMENTO!C$15,ROW(B74)-ROW(B$15),0)</f>
        <v>S</v>
      </c>
      <c r="C74" s="9" t="str">
        <f ca="1">OFFSET(ORÇAMENTO!L$15,ROW(C74)-ROW(C$15),0)</f>
        <v/>
      </c>
      <c r="D74" s="145" t="str">
        <f ca="1">OFFSET(ORÇAMENTO!N$15,ROW(D74)-ROW(D$15),0)</f>
        <v>Serviço</v>
      </c>
      <c r="E74" s="205" t="str">
        <f ca="1">OFFSET(ORÇAMENTO!O$15,ROW(E74)-ROW(E$15),0)</f>
        <v>-</v>
      </c>
      <c r="F74" s="206" t="str">
        <f ca="1">OFFSET(ORÇAMENTO!R$15,ROW(F74)-ROW(F$15),0)</f>
        <v>(abra o arquivo 'Referência 05-2024.xls)</v>
      </c>
      <c r="G74" s="207" t="str">
        <f ca="1">IF($D74&lt;&gt;"Serviço","",OFFSET(ORÇAMENTO!S$15,ROW(G74)-ROW(G$15),0))</f>
        <v>-</v>
      </c>
      <c r="H74" s="151">
        <f ca="1">IF($D74&lt;&gt;"Serviço",0,IF(ACOMPANHAMENTO="BM",ROUND(OFFSET(ORÇAMENTO!AJ$15,ROW(H74)-ROW(H$15),0),15-13*ORÇAMENTO!$AF$7),SUMPRODUCT(($Q$12:$AI$12&lt;&gt;"")*ROUND($Q74:$AI74,15-13*ORÇAMENTO!$AF$7))))</f>
        <v>7.65</v>
      </c>
      <c r="I74" s="650"/>
      <c r="K74" s="208"/>
      <c r="L74" s="209" t="s">
        <v>257</v>
      </c>
      <c r="M74" s="210">
        <f ca="1">IF($D74&lt;&gt;"Serviço","",IF(AUTOEVENTO="manual",$A74,IF(ISERROR(MATCH($A74,$A$15:OFFSET($A74,-1,0),0)),MAX($M$15:OFFSET(M74,-1,0))+1,INDEX($M$15:OFFSET(M74,-1,0),MATCH($A74,$A$15:OFFSET($A74,-1,0),0)))))</f>
        <v>0</v>
      </c>
      <c r="N74" s="211" t="str">
        <f ca="1">IF($D74&lt;&gt;"Serviço","",IF(AUTOEVENTO="Manual",IF($A74=0,"&lt;-- defina o número do agrupador",OFFSET(EVENTOS!$D$14,$A74,0)),OFFSET($F$15,$A74,0)))</f>
        <v>&lt;-- defina o número do agrupador</v>
      </c>
      <c r="O74" s="212"/>
      <c r="Q74" s="212"/>
      <c r="R74" s="213"/>
      <c r="S74" s="213"/>
      <c r="T74" s="213"/>
      <c r="U74" s="213"/>
      <c r="V74" s="213"/>
      <c r="W74" s="213"/>
      <c r="X74" s="213"/>
      <c r="Y74" s="213"/>
      <c r="Z74" s="214"/>
      <c r="AA74" s="213"/>
      <c r="AB74" s="213"/>
      <c r="AC74" s="213"/>
      <c r="AD74" s="213"/>
      <c r="AE74" s="213"/>
      <c r="AF74" s="213"/>
      <c r="AG74" s="213"/>
      <c r="AH74" s="214"/>
      <c r="AJ74" s="631">
        <f ca="1">IF(AND($D74="Serviço",AJ$12&lt;&gt;0,$H74&gt;0,OR(AUTOEVENTO&lt;&gt;"manual",$M74&lt;&gt;1)),ROUND(OFFSET($P74,0,AJ$13),15-13*ORÇAMENTO!$AF$7)/$H74*OFFSET(ORÇAMENTO!$X$15,ROW(AJ74)-ROW(AJ$15),0),0)</f>
        <v>0</v>
      </c>
      <c r="AK74" s="632">
        <f ca="1">IF(AND($D74="Serviço",AK$12&lt;&gt;0,$H74&gt;0,OR(AUTOEVENTO&lt;&gt;"manual",$M74&lt;&gt;1)),ROUND(OFFSET($P74,0,AK$13),15-13*ORÇAMENTO!$AF$7)/$H74*OFFSET(ORÇAMENTO!$X$15,ROW(AK74)-ROW(AK$15),0),0)</f>
        <v>0</v>
      </c>
      <c r="AL74" s="632">
        <f ca="1">IF(AND($D74="Serviço",AL$12&lt;&gt;0,$H74&gt;0,OR(AUTOEVENTO&lt;&gt;"manual",$M74&lt;&gt;1)),ROUND(OFFSET($P74,0,AL$13),15-13*ORÇAMENTO!$AF$7)/$H74*OFFSET(ORÇAMENTO!$X$15,ROW(AL74)-ROW(AL$15),0),0)</f>
        <v>0</v>
      </c>
      <c r="AM74" s="632">
        <f ca="1">IF(AND($D74="Serviço",AM$12&lt;&gt;0,$H74&gt;0,OR(AUTOEVENTO&lt;&gt;"manual",$M74&lt;&gt;1)),ROUND(OFFSET($P74,0,AM$13),15-13*ORÇAMENTO!$AF$7)/$H74*OFFSET(ORÇAMENTO!$X$15,ROW(AM74)-ROW(AM$15),0),0)</f>
        <v>0</v>
      </c>
      <c r="AN74" s="632">
        <f ca="1">IF(AND($D74="Serviço",AN$12&lt;&gt;0,$H74&gt;0,OR(AUTOEVENTO&lt;&gt;"manual",$M74&lt;&gt;1)),ROUND(OFFSET($P74,0,AN$13),15-13*ORÇAMENTO!$AF$7)/$H74*OFFSET(ORÇAMENTO!$X$15,ROW(AN74)-ROW(AN$15),0),0)</f>
        <v>0</v>
      </c>
      <c r="AO74" s="632">
        <f ca="1">IF(AND($D74="Serviço",AO$12&lt;&gt;0,$H74&gt;0,OR(AUTOEVENTO&lt;&gt;"manual",$M74&lt;&gt;1)),ROUND(OFFSET($P74,0,AO$13),15-13*ORÇAMENTO!$AF$7)/$H74*OFFSET(ORÇAMENTO!$X$15,ROW(AO74)-ROW(AO$15),0),0)</f>
        <v>0</v>
      </c>
      <c r="AP74" s="632">
        <f ca="1">IF(AND($D74="Serviço",AP$12&lt;&gt;0,$H74&gt;0,OR(AUTOEVENTO&lt;&gt;"manual",$M74&lt;&gt;1)),ROUND(OFFSET($P74,0,AP$13),15-13*ORÇAMENTO!$AF$7)/$H74*OFFSET(ORÇAMENTO!$X$15,ROW(AP74)-ROW(AP$15),0),0)</f>
        <v>0</v>
      </c>
      <c r="AQ74" s="632">
        <f ca="1">IF(AND($D74="Serviço",AQ$12&lt;&gt;0,$H74&gt;0,OR(AUTOEVENTO&lt;&gt;"manual",$M74&lt;&gt;1)),ROUND(OFFSET($P74,0,AQ$13),15-13*ORÇAMENTO!$AF$7)/$H74*OFFSET(ORÇAMENTO!$X$15,ROW(AQ74)-ROW(AQ$15),0),0)</f>
        <v>0</v>
      </c>
      <c r="AR74" s="632">
        <f ca="1">IF(AND($D74="Serviço",AR$12&lt;&gt;0,$H74&gt;0,OR(AUTOEVENTO&lt;&gt;"manual",$M74&lt;&gt;1)),ROUND(OFFSET($P74,0,AR$13),15-13*ORÇAMENTO!$AF$7)/$H74*OFFSET(ORÇAMENTO!$X$15,ROW(AR74)-ROW(AR$15),0),0)</f>
        <v>0</v>
      </c>
      <c r="AS74" s="633">
        <f ca="1">IF(AND($D74="Serviço",AS$12&lt;&gt;0,$H74&gt;0,OR(AUTOEVENTO&lt;&gt;"manual",$M74&lt;&gt;1)),ROUND(OFFSET($P74,0,AS$13),15-13*ORÇAMENTO!$AF$7)/$H74*OFFSET(ORÇAMENTO!$X$15,ROW(AS74)-ROW(AS$15),0),0)</f>
        <v>0</v>
      </c>
      <c r="AT74" s="632">
        <f ca="1">IF(AND($D74="Serviço",AT$12&lt;&gt;0,$H74&gt;0,OR(AUTOEVENTO&lt;&gt;"manual",$M74&lt;&gt;1)),ROUND(OFFSET($P74,0,AT$13),15-13*ORÇAMENTO!$AF$7)/$H74*OFFSET(ORÇAMENTO!$X$15,ROW(AT74)-ROW(AT$15),0),0)</f>
        <v>0</v>
      </c>
      <c r="AU74" s="632">
        <f ca="1">IF(AND($D74="Serviço",AU$12&lt;&gt;0,$H74&gt;0,OR(AUTOEVENTO&lt;&gt;"manual",$M74&lt;&gt;1)),ROUND(OFFSET($P74,0,AU$13),15-13*ORÇAMENTO!$AF$7)/$H74*OFFSET(ORÇAMENTO!$X$15,ROW(AU74)-ROW(AU$15),0),0)</f>
        <v>0</v>
      </c>
      <c r="AV74" s="632">
        <f ca="1">IF(AND($D74="Serviço",AV$12&lt;&gt;0,$H74&gt;0,OR(AUTOEVENTO&lt;&gt;"manual",$M74&lt;&gt;1)),ROUND(OFFSET($P74,0,AV$13),15-13*ORÇAMENTO!$AF$7)/$H74*OFFSET(ORÇAMENTO!$X$15,ROW(AV74)-ROW(AV$15),0),0)</f>
        <v>0</v>
      </c>
      <c r="AW74" s="632">
        <f ca="1">IF(AND($D74="Serviço",AW$12&lt;&gt;0,$H74&gt;0,OR(AUTOEVENTO&lt;&gt;"manual",$M74&lt;&gt;1)),ROUND(OFFSET($P74,0,AW$13),15-13*ORÇAMENTO!$AF$7)/$H74*OFFSET(ORÇAMENTO!$X$15,ROW(AW74)-ROW(AW$15),0),0)</f>
        <v>0</v>
      </c>
      <c r="AX74" s="632">
        <f ca="1">IF(AND($D74="Serviço",AX$12&lt;&gt;0,$H74&gt;0,OR(AUTOEVENTO&lt;&gt;"manual",$M74&lt;&gt;1)),ROUND(OFFSET($P74,0,AX$13),15-13*ORÇAMENTO!$AF$7)/$H74*OFFSET(ORÇAMENTO!$X$15,ROW(AX74)-ROW(AX$15),0),0)</f>
        <v>0</v>
      </c>
      <c r="AY74" s="632">
        <f ca="1">IF(AND($D74="Serviço",AY$12&lt;&gt;0,$H74&gt;0,OR(AUTOEVENTO&lt;&gt;"manual",$M74&lt;&gt;1)),ROUND(OFFSET($P74,0,AY$13),15-13*ORÇAMENTO!$AF$7)/$H74*OFFSET(ORÇAMENTO!$X$15,ROW(AY74)-ROW(AY$15),0),0)</f>
        <v>0</v>
      </c>
      <c r="AZ74" s="632">
        <f ca="1">IF(AND($D74="Serviço",AZ$12&lt;&gt;0,$H74&gt;0,OR(AUTOEVENTO&lt;&gt;"manual",$M74&lt;&gt;1)),ROUND(OFFSET($P74,0,AZ$13),15-13*ORÇAMENTO!$AF$7)/$H74*OFFSET(ORÇAMENTO!$X$15,ROW(AZ74)-ROW(AZ$15),0),0)</f>
        <v>0</v>
      </c>
      <c r="BA74" s="633">
        <f ca="1">IF(AND($D74="Serviço",BA$12&lt;&gt;0,$H74&gt;0,OR(AUTOEVENTO&lt;&gt;"manual",$M74&lt;&gt;1)),ROUND(OFFSET($P74,0,BA$13),15-13*ORÇAMENTO!$AF$7)/$H74*OFFSET(ORÇAMENTO!$X$15,ROW(BA74)-ROW(BA$15),0),0)</f>
        <v>0</v>
      </c>
      <c r="BC74" s="215">
        <f ca="1">IF($D74&lt;&gt;"Serviço",0,IF(AND(AUTOEVENTO="Manual",$M74=1),0,IF(OFFSET(CRONOPLE!$F$14,$M74,BC$13)="",10^12,OFFSET(CRONOPLE!$F$14,$M74,BC$13))))</f>
        <v>1000000000000</v>
      </c>
      <c r="BD74" s="215">
        <f ca="1">IF($D74&lt;&gt;"Serviço",0,IF(AND(AUTOEVENTO="Manual",$M74=1),0,IF(OFFSET(CRONOPLE!$F$14,$M74,BD$13)="",10^12,OFFSET(CRONOPLE!$F$14,$M74,BD$13))))</f>
        <v>1000000000000</v>
      </c>
      <c r="BE74" s="215">
        <f ca="1">IF($D74&lt;&gt;"Serviço",0,IF(AND(AUTOEVENTO="Manual",$M74=1),0,IF(OFFSET(CRONOPLE!$F$14,$M74,BE$13)="",10^12,OFFSET(CRONOPLE!$F$14,$M74,BE$13))))</f>
        <v>1000000000000</v>
      </c>
      <c r="BF74" s="215">
        <f ca="1">IF($D74&lt;&gt;"Serviço",0,IF(AND(AUTOEVENTO="Manual",$M74=1),0,IF(OFFSET(CRONOPLE!$F$14,$M74,BF$13)="",10^12,OFFSET(CRONOPLE!$F$14,$M74,BF$13))))</f>
        <v>1000000000000</v>
      </c>
      <c r="BG74" s="215">
        <f ca="1">IF($D74&lt;&gt;"Serviço",0,IF(AND(AUTOEVENTO="Manual",$M74=1),0,IF(OFFSET(CRONOPLE!$F$14,$M74,BG$13)="",10^12,OFFSET(CRONOPLE!$F$14,$M74,BG$13))))</f>
        <v>1000000000000</v>
      </c>
      <c r="BH74" s="215">
        <f ca="1">IF($D74&lt;&gt;"Serviço",0,IF(AND(AUTOEVENTO="Manual",$M74=1),0,IF(OFFSET(CRONOPLE!$F$14,$M74,BH$13)="",10^12,OFFSET(CRONOPLE!$F$14,$M74,BH$13))))</f>
        <v>1000000000000</v>
      </c>
      <c r="BI74" s="215">
        <f ca="1">IF($D74&lt;&gt;"Serviço",0,IF(AND(AUTOEVENTO="Manual",$M74=1),0,IF(OFFSET(CRONOPLE!$F$14,$M74,BI$13)="",10^12,OFFSET(CRONOPLE!$F$14,$M74,BI$13))))</f>
        <v>1000000000000</v>
      </c>
      <c r="BJ74" s="215">
        <f ca="1">IF($D74&lt;&gt;"Serviço",0,IF(AND(AUTOEVENTO="Manual",$M74=1),0,IF(OFFSET(CRONOPLE!$F$14,$M74,BJ$13)="",10^12,OFFSET(CRONOPLE!$F$14,$M74,BJ$13))))</f>
        <v>1000000000000</v>
      </c>
      <c r="BK74" s="215">
        <f ca="1">IF($D74&lt;&gt;"Serviço",0,IF(AND(AUTOEVENTO="Manual",$M74=1),0,IF(OFFSET(CRONOPLE!$F$14,$M74,BK$13)="",10^12,OFFSET(CRONOPLE!$F$14,$M74,BK$13))))</f>
        <v>1000000000000</v>
      </c>
      <c r="BL74" s="215">
        <f ca="1">IF($D74&lt;&gt;"Serviço",0,IF(AND(AUTOEVENTO="Manual",$M74=1),0,IF(OFFSET(CRONOPLE!$F$14,$M74,BL$13)="",10^12,OFFSET(CRONOPLE!$F$14,$M74,BL$13))))</f>
        <v>1000000000000</v>
      </c>
      <c r="BM74" s="215">
        <f ca="1">IF($D74&lt;&gt;"Serviço",0,IF(AND(AUTOEVENTO="Manual",$M74=1),0,IF(OFFSET(CRONOPLE!$F$14,$M74,BM$13)="",10^12,OFFSET(CRONOPLE!$F$14,$M74,BM$13))))</f>
        <v>1000000000000</v>
      </c>
      <c r="BN74" s="215">
        <f ca="1">IF($D74&lt;&gt;"Serviço",0,IF(AND(AUTOEVENTO="Manual",$M74=1),0,IF(OFFSET(CRONOPLE!$F$14,$M74,BN$13)="",10^12,OFFSET(CRONOPLE!$F$14,$M74,BN$13))))</f>
        <v>1000000000000</v>
      </c>
      <c r="BO74" s="215">
        <f ca="1">IF($D74&lt;&gt;"Serviço",0,IF(AND(AUTOEVENTO="Manual",$M74=1),0,IF(OFFSET(CRONOPLE!$F$14,$M74,BO$13)="",10^12,OFFSET(CRONOPLE!$F$14,$M74,BO$13))))</f>
        <v>1000000000000</v>
      </c>
      <c r="BP74" s="215">
        <f ca="1">IF($D74&lt;&gt;"Serviço",0,IF(AND(AUTOEVENTO="Manual",$M74=1),0,IF(OFFSET(CRONOPLE!$F$14,$M74,BP$13)="",10^12,OFFSET(CRONOPLE!$F$14,$M74,BP$13))))</f>
        <v>1000000000000</v>
      </c>
      <c r="BQ74" s="215">
        <f ca="1">IF($D74&lt;&gt;"Serviço",0,IF(AND(AUTOEVENTO="Manual",$M74=1),0,IF(OFFSET(CRONOPLE!$F$14,$M74,BQ$13)="",10^12,OFFSET(CRONOPLE!$F$14,$M74,BQ$13))))</f>
        <v>1000000000000</v>
      </c>
      <c r="BR74" s="215">
        <f ca="1">IF($D74&lt;&gt;"Serviço",0,IF(AND(AUTOEVENTO="Manual",$M74=1),0,IF(OFFSET(CRONOPLE!$F$14,$M74,BR$13)="",10^12,OFFSET(CRONOPLE!$F$14,$M74,BR$13))))</f>
        <v>1000000000000</v>
      </c>
      <c r="BS74" s="215">
        <f ca="1">IF($D74&lt;&gt;"Serviço",0,IF(AND(AUTOEVENTO="Manual",$M74=1),0,IF(OFFSET(CRONOPLE!$F$14,$M74,BS$13)="",10^12,OFFSET(CRONOPLE!$F$14,$M74,BS$13))))</f>
        <v>1000000000000</v>
      </c>
      <c r="BT74" s="215">
        <f ca="1">IF($D74&lt;&gt;"Serviço",0,IF(AND(AUTOEVENTO="Manual",$M74=1),0,IF(OFFSET(CRONOPLE!$F$14,$M74,BT$13)="",10^12,OFFSET(CRONOPLE!$F$14,$M74,BT$13))))</f>
        <v>1000000000000</v>
      </c>
      <c r="BV74" s="216">
        <f ca="1">IF($D74&lt;&gt;"Serviço",0,IF(OR(AND(AUTOEVENTO="Manual",$M74=1),$M74&gt;(ROW(PLE.lastrow)-ROW(PLE.firstrow))),0,IF(OFFSET(PLE!$G$14,$M74,BV$13)="",10^12,OFFSET(PLE!$G$14,$M74,BV$13))))</f>
        <v>1000000000000</v>
      </c>
      <c r="BW74" s="216">
        <f ca="1">IF($D74&lt;&gt;"Serviço",0,IF(OR(AND(AUTOEVENTO="Manual",$M74=1),$M74&gt;(ROW(PLE.lastrow)-ROW(PLE.firstrow))),0,IF(OFFSET(PLE!$G$14,$M74,BW$13)="",10^12,OFFSET(PLE!$G$14,$M74,BW$13))))</f>
        <v>1000000000000</v>
      </c>
      <c r="BX74" s="216">
        <f ca="1">IF($D74&lt;&gt;"Serviço",0,IF(OR(AND(AUTOEVENTO="Manual",$M74=1),$M74&gt;(ROW(PLE.lastrow)-ROW(PLE.firstrow))),0,IF(OFFSET(PLE!$G$14,$M74,BX$13)="",10^12,OFFSET(PLE!$G$14,$M74,BX$13))))</f>
        <v>1000000000000</v>
      </c>
      <c r="BY74" s="216">
        <f ca="1">IF($D74&lt;&gt;"Serviço",0,IF(OR(AND(AUTOEVENTO="Manual",$M74=1),$M74&gt;(ROW(PLE.lastrow)-ROW(PLE.firstrow))),0,IF(OFFSET(PLE!$G$14,$M74,BY$13)="",10^12,OFFSET(PLE!$G$14,$M74,BY$13))))</f>
        <v>1000000000000</v>
      </c>
      <c r="BZ74" s="216">
        <f ca="1">IF($D74&lt;&gt;"Serviço",0,IF(OR(AND(AUTOEVENTO="Manual",$M74=1),$M74&gt;(ROW(PLE.lastrow)-ROW(PLE.firstrow))),0,IF(OFFSET(PLE!$G$14,$M74,BZ$13)="",10^12,OFFSET(PLE!$G$14,$M74,BZ$13))))</f>
        <v>1000000000000</v>
      </c>
      <c r="CA74" s="216">
        <f ca="1">IF($D74&lt;&gt;"Serviço",0,IF(OR(AND(AUTOEVENTO="Manual",$M74=1),$M74&gt;(ROW(PLE.lastrow)-ROW(PLE.firstrow))),0,IF(OFFSET(PLE!$G$14,$M74,CA$13)="",10^12,OFFSET(PLE!$G$14,$M74,CA$13))))</f>
        <v>1000000000000</v>
      </c>
      <c r="CB74" s="216">
        <f ca="1">IF($D74&lt;&gt;"Serviço",0,IF(OR(AND(AUTOEVENTO="Manual",$M74=1),$M74&gt;(ROW(PLE.lastrow)-ROW(PLE.firstrow))),0,IF(OFFSET(PLE!$G$14,$M74,CB$13)="",10^12,OFFSET(PLE!$G$14,$M74,CB$13))))</f>
        <v>1000000000000</v>
      </c>
      <c r="CC74" s="216">
        <f ca="1">IF($D74&lt;&gt;"Serviço",0,IF(OR(AND(AUTOEVENTO="Manual",$M74=1),$M74&gt;(ROW(PLE.lastrow)-ROW(PLE.firstrow))),0,IF(OFFSET(PLE!$G$14,$M74,CC$13)="",10^12,OFFSET(PLE!$G$14,$M74,CC$13))))</f>
        <v>1000000000000</v>
      </c>
      <c r="CD74" s="216">
        <f ca="1">IF($D74&lt;&gt;"Serviço",0,IF(OR(AND(AUTOEVENTO="Manual",$M74=1),$M74&gt;(ROW(PLE.lastrow)-ROW(PLE.firstrow))),0,IF(OFFSET(PLE!$G$14,$M74,CD$13)="",10^12,OFFSET(PLE!$G$14,$M74,CD$13))))</f>
        <v>1000000000000</v>
      </c>
      <c r="CE74" s="216">
        <f ca="1">IF($D74&lt;&gt;"Serviço",0,IF(OR(AND(AUTOEVENTO="Manual",$M74=1),$M74&gt;(ROW(PLE.lastrow)-ROW(PLE.firstrow))),0,IF(OFFSET(PLE!$G$14,$M74,CE$13)="",10^12,OFFSET(PLE!$G$14,$M74,CE$13))))</f>
        <v>1000000000000</v>
      </c>
      <c r="CF74" s="216">
        <f ca="1">IF($D74&lt;&gt;"Serviço",0,IF(OR(AND(AUTOEVENTO="Manual",$M74=1),$M74&gt;(ROW(PLE.lastrow)-ROW(PLE.firstrow))),0,IF(OFFSET(PLE!$G$14,$M74,CF$13)="",10^12,OFFSET(PLE!$G$14,$M74,CF$13))))</f>
        <v>1000000000000</v>
      </c>
      <c r="CG74" s="216">
        <f ca="1">IF($D74&lt;&gt;"Serviço",0,IF(OR(AND(AUTOEVENTO="Manual",$M74=1),$M74&gt;(ROW(PLE.lastrow)-ROW(PLE.firstrow))),0,IF(OFFSET(PLE!$G$14,$M74,CG$13)="",10^12,OFFSET(PLE!$G$14,$M74,CG$13))))</f>
        <v>1000000000000</v>
      </c>
      <c r="CH74" s="216">
        <f ca="1">IF($D74&lt;&gt;"Serviço",0,IF(OR(AND(AUTOEVENTO="Manual",$M74=1),$M74&gt;(ROW(PLE.lastrow)-ROW(PLE.firstrow))),0,IF(OFFSET(PLE!$G$14,$M74,CH$13)="",10^12,OFFSET(PLE!$G$14,$M74,CH$13))))</f>
        <v>1000000000000</v>
      </c>
      <c r="CI74" s="216">
        <f ca="1">IF($D74&lt;&gt;"Serviço",0,IF(OR(AND(AUTOEVENTO="Manual",$M74=1),$M74&gt;(ROW(PLE.lastrow)-ROW(PLE.firstrow))),0,IF(OFFSET(PLE!$G$14,$M74,CI$13)="",10^12,OFFSET(PLE!$G$14,$M74,CI$13))))</f>
        <v>1000000000000</v>
      </c>
      <c r="CJ74" s="216">
        <f ca="1">IF($D74&lt;&gt;"Serviço",0,IF(OR(AND(AUTOEVENTO="Manual",$M74=1),$M74&gt;(ROW(PLE.lastrow)-ROW(PLE.firstrow))),0,IF(OFFSET(PLE!$G$14,$M74,CJ$13)="",10^12,OFFSET(PLE!$G$14,$M74,CJ$13))))</f>
        <v>1000000000000</v>
      </c>
      <c r="CK74" s="216">
        <f ca="1">IF($D74&lt;&gt;"Serviço",0,IF(OR(AND(AUTOEVENTO="Manual",$M74=1),$M74&gt;(ROW(PLE.lastrow)-ROW(PLE.firstrow))),0,IF(OFFSET(PLE!$G$14,$M74,CK$13)="",10^12,OFFSET(PLE!$G$14,$M74,CK$13))))</f>
        <v>1000000000000</v>
      </c>
      <c r="CL74" s="216">
        <f ca="1">IF($D74&lt;&gt;"Serviço",0,IF(OR(AND(AUTOEVENTO="Manual",$M74=1),$M74&gt;(ROW(PLE.lastrow)-ROW(PLE.firstrow))),0,IF(OFFSET(PLE!$G$14,$M74,CL$13)="",10^12,OFFSET(PLE!$G$14,$M74,CL$13))))</f>
        <v>1000000000000</v>
      </c>
      <c r="CM74" s="216">
        <f ca="1">IF($D74&lt;&gt;"Serviço",0,IF(OR(AND(AUTOEVENTO="Manual",$M74=1),$M74&gt;(ROW(PLE.lastrow)-ROW(PLE.firstrow))),0,IF(OFFSET(PLE!$G$14,$M74,CM$13)="",10^12,OFFSET(PLE!$G$14,$M74,CM$13))))</f>
        <v>1000000000000</v>
      </c>
    </row>
    <row r="75" spans="1:91" ht="13.2" x14ac:dyDescent="0.25">
      <c r="A75" s="9">
        <f t="shared" ca="1" si="9"/>
        <v>0</v>
      </c>
      <c r="B75" s="9" t="str">
        <f ca="1">OFFSET(ORÇAMENTO!C$15,ROW(B75)-ROW(B$15),0)</f>
        <v>S</v>
      </c>
      <c r="C75" s="9" t="str">
        <f ca="1">OFFSET(ORÇAMENTO!L$15,ROW(C75)-ROW(C$15),0)</f>
        <v/>
      </c>
      <c r="D75" s="145" t="str">
        <f ca="1">OFFSET(ORÇAMENTO!N$15,ROW(D75)-ROW(D$15),0)</f>
        <v>Serviço</v>
      </c>
      <c r="E75" s="205" t="str">
        <f ca="1">OFFSET(ORÇAMENTO!O$15,ROW(E75)-ROW(E$15),0)</f>
        <v>-</v>
      </c>
      <c r="F75" s="206" t="str">
        <f ca="1">OFFSET(ORÇAMENTO!R$15,ROW(F75)-ROW(F$15),0)</f>
        <v>(abra o arquivo 'Referência 05-2024.xls)</v>
      </c>
      <c r="G75" s="207" t="str">
        <f ca="1">IF($D75&lt;&gt;"Serviço","",OFFSET(ORÇAMENTO!S$15,ROW(G75)-ROW(G$15),0))</f>
        <v>-</v>
      </c>
      <c r="H75" s="151">
        <f ca="1">IF($D75&lt;&gt;"Serviço",0,IF(ACOMPANHAMENTO="BM",ROUND(OFFSET(ORÇAMENTO!AJ$15,ROW(H75)-ROW(H$15),0),15-13*ORÇAMENTO!$AF$7),SUMPRODUCT(($Q$12:$AI$12&lt;&gt;"")*ROUND($Q75:$AI75,15-13*ORÇAMENTO!$AF$7))))</f>
        <v>45.89</v>
      </c>
      <c r="I75" s="650"/>
      <c r="K75" s="208"/>
      <c r="L75" s="209" t="s">
        <v>257</v>
      </c>
      <c r="M75" s="210">
        <f ca="1">IF($D75&lt;&gt;"Serviço","",IF(AUTOEVENTO="manual",$A75,IF(ISERROR(MATCH($A75,$A$15:OFFSET($A75,-1,0),0)),MAX($M$15:OFFSET(M75,-1,0))+1,INDEX($M$15:OFFSET(M75,-1,0),MATCH($A75,$A$15:OFFSET($A75,-1,0),0)))))</f>
        <v>0</v>
      </c>
      <c r="N75" s="211" t="str">
        <f ca="1">IF($D75&lt;&gt;"Serviço","",IF(AUTOEVENTO="Manual",IF($A75=0,"&lt;-- defina o número do agrupador",OFFSET(EVENTOS!$D$14,$A75,0)),OFFSET($F$15,$A75,0)))</f>
        <v>&lt;-- defina o número do agrupador</v>
      </c>
      <c r="O75" s="212"/>
      <c r="Q75" s="212"/>
      <c r="R75" s="213"/>
      <c r="S75" s="213"/>
      <c r="T75" s="213"/>
      <c r="U75" s="213"/>
      <c r="V75" s="213"/>
      <c r="W75" s="213"/>
      <c r="X75" s="213"/>
      <c r="Y75" s="213"/>
      <c r="Z75" s="214"/>
      <c r="AA75" s="213"/>
      <c r="AB75" s="213"/>
      <c r="AC75" s="213"/>
      <c r="AD75" s="213"/>
      <c r="AE75" s="213"/>
      <c r="AF75" s="213"/>
      <c r="AG75" s="213"/>
      <c r="AH75" s="214"/>
      <c r="AJ75" s="631">
        <f ca="1">IF(AND($D75="Serviço",AJ$12&lt;&gt;0,$H75&gt;0,OR(AUTOEVENTO&lt;&gt;"manual",$M75&lt;&gt;1)),ROUND(OFFSET($P75,0,AJ$13),15-13*ORÇAMENTO!$AF$7)/$H75*OFFSET(ORÇAMENTO!$X$15,ROW(AJ75)-ROW(AJ$15),0),0)</f>
        <v>0</v>
      </c>
      <c r="AK75" s="632">
        <f ca="1">IF(AND($D75="Serviço",AK$12&lt;&gt;0,$H75&gt;0,OR(AUTOEVENTO&lt;&gt;"manual",$M75&lt;&gt;1)),ROUND(OFFSET($P75,0,AK$13),15-13*ORÇAMENTO!$AF$7)/$H75*OFFSET(ORÇAMENTO!$X$15,ROW(AK75)-ROW(AK$15),0),0)</f>
        <v>0</v>
      </c>
      <c r="AL75" s="632">
        <f ca="1">IF(AND($D75="Serviço",AL$12&lt;&gt;0,$H75&gt;0,OR(AUTOEVENTO&lt;&gt;"manual",$M75&lt;&gt;1)),ROUND(OFFSET($P75,0,AL$13),15-13*ORÇAMENTO!$AF$7)/$H75*OFFSET(ORÇAMENTO!$X$15,ROW(AL75)-ROW(AL$15),0),0)</f>
        <v>0</v>
      </c>
      <c r="AM75" s="632">
        <f ca="1">IF(AND($D75="Serviço",AM$12&lt;&gt;0,$H75&gt;0,OR(AUTOEVENTO&lt;&gt;"manual",$M75&lt;&gt;1)),ROUND(OFFSET($P75,0,AM$13),15-13*ORÇAMENTO!$AF$7)/$H75*OFFSET(ORÇAMENTO!$X$15,ROW(AM75)-ROW(AM$15),0),0)</f>
        <v>0</v>
      </c>
      <c r="AN75" s="632">
        <f ca="1">IF(AND($D75="Serviço",AN$12&lt;&gt;0,$H75&gt;0,OR(AUTOEVENTO&lt;&gt;"manual",$M75&lt;&gt;1)),ROUND(OFFSET($P75,0,AN$13),15-13*ORÇAMENTO!$AF$7)/$H75*OFFSET(ORÇAMENTO!$X$15,ROW(AN75)-ROW(AN$15),0),0)</f>
        <v>0</v>
      </c>
      <c r="AO75" s="632">
        <f ca="1">IF(AND($D75="Serviço",AO$12&lt;&gt;0,$H75&gt;0,OR(AUTOEVENTO&lt;&gt;"manual",$M75&lt;&gt;1)),ROUND(OFFSET($P75,0,AO$13),15-13*ORÇAMENTO!$AF$7)/$H75*OFFSET(ORÇAMENTO!$X$15,ROW(AO75)-ROW(AO$15),0),0)</f>
        <v>0</v>
      </c>
      <c r="AP75" s="632">
        <f ca="1">IF(AND($D75="Serviço",AP$12&lt;&gt;0,$H75&gt;0,OR(AUTOEVENTO&lt;&gt;"manual",$M75&lt;&gt;1)),ROUND(OFFSET($P75,0,AP$13),15-13*ORÇAMENTO!$AF$7)/$H75*OFFSET(ORÇAMENTO!$X$15,ROW(AP75)-ROW(AP$15),0),0)</f>
        <v>0</v>
      </c>
      <c r="AQ75" s="632">
        <f ca="1">IF(AND($D75="Serviço",AQ$12&lt;&gt;0,$H75&gt;0,OR(AUTOEVENTO&lt;&gt;"manual",$M75&lt;&gt;1)),ROUND(OFFSET($P75,0,AQ$13),15-13*ORÇAMENTO!$AF$7)/$H75*OFFSET(ORÇAMENTO!$X$15,ROW(AQ75)-ROW(AQ$15),0),0)</f>
        <v>0</v>
      </c>
      <c r="AR75" s="632">
        <f ca="1">IF(AND($D75="Serviço",AR$12&lt;&gt;0,$H75&gt;0,OR(AUTOEVENTO&lt;&gt;"manual",$M75&lt;&gt;1)),ROUND(OFFSET($P75,0,AR$13),15-13*ORÇAMENTO!$AF$7)/$H75*OFFSET(ORÇAMENTO!$X$15,ROW(AR75)-ROW(AR$15),0),0)</f>
        <v>0</v>
      </c>
      <c r="AS75" s="633">
        <f ca="1">IF(AND($D75="Serviço",AS$12&lt;&gt;0,$H75&gt;0,OR(AUTOEVENTO&lt;&gt;"manual",$M75&lt;&gt;1)),ROUND(OFFSET($P75,0,AS$13),15-13*ORÇAMENTO!$AF$7)/$H75*OFFSET(ORÇAMENTO!$X$15,ROW(AS75)-ROW(AS$15),0),0)</f>
        <v>0</v>
      </c>
      <c r="AT75" s="632">
        <f ca="1">IF(AND($D75="Serviço",AT$12&lt;&gt;0,$H75&gt;0,OR(AUTOEVENTO&lt;&gt;"manual",$M75&lt;&gt;1)),ROUND(OFFSET($P75,0,AT$13),15-13*ORÇAMENTO!$AF$7)/$H75*OFFSET(ORÇAMENTO!$X$15,ROW(AT75)-ROW(AT$15),0),0)</f>
        <v>0</v>
      </c>
      <c r="AU75" s="632">
        <f ca="1">IF(AND($D75="Serviço",AU$12&lt;&gt;0,$H75&gt;0,OR(AUTOEVENTO&lt;&gt;"manual",$M75&lt;&gt;1)),ROUND(OFFSET($P75,0,AU$13),15-13*ORÇAMENTO!$AF$7)/$H75*OFFSET(ORÇAMENTO!$X$15,ROW(AU75)-ROW(AU$15),0),0)</f>
        <v>0</v>
      </c>
      <c r="AV75" s="632">
        <f ca="1">IF(AND($D75="Serviço",AV$12&lt;&gt;0,$H75&gt;0,OR(AUTOEVENTO&lt;&gt;"manual",$M75&lt;&gt;1)),ROUND(OFFSET($P75,0,AV$13),15-13*ORÇAMENTO!$AF$7)/$H75*OFFSET(ORÇAMENTO!$X$15,ROW(AV75)-ROW(AV$15),0),0)</f>
        <v>0</v>
      </c>
      <c r="AW75" s="632">
        <f ca="1">IF(AND($D75="Serviço",AW$12&lt;&gt;0,$H75&gt;0,OR(AUTOEVENTO&lt;&gt;"manual",$M75&lt;&gt;1)),ROUND(OFFSET($P75,0,AW$13),15-13*ORÇAMENTO!$AF$7)/$H75*OFFSET(ORÇAMENTO!$X$15,ROW(AW75)-ROW(AW$15),0),0)</f>
        <v>0</v>
      </c>
      <c r="AX75" s="632">
        <f ca="1">IF(AND($D75="Serviço",AX$12&lt;&gt;0,$H75&gt;0,OR(AUTOEVENTO&lt;&gt;"manual",$M75&lt;&gt;1)),ROUND(OFFSET($P75,0,AX$13),15-13*ORÇAMENTO!$AF$7)/$H75*OFFSET(ORÇAMENTO!$X$15,ROW(AX75)-ROW(AX$15),0),0)</f>
        <v>0</v>
      </c>
      <c r="AY75" s="632">
        <f ca="1">IF(AND($D75="Serviço",AY$12&lt;&gt;0,$H75&gt;0,OR(AUTOEVENTO&lt;&gt;"manual",$M75&lt;&gt;1)),ROUND(OFFSET($P75,0,AY$13),15-13*ORÇAMENTO!$AF$7)/$H75*OFFSET(ORÇAMENTO!$X$15,ROW(AY75)-ROW(AY$15),0),0)</f>
        <v>0</v>
      </c>
      <c r="AZ75" s="632">
        <f ca="1">IF(AND($D75="Serviço",AZ$12&lt;&gt;0,$H75&gt;0,OR(AUTOEVENTO&lt;&gt;"manual",$M75&lt;&gt;1)),ROUND(OFFSET($P75,0,AZ$13),15-13*ORÇAMENTO!$AF$7)/$H75*OFFSET(ORÇAMENTO!$X$15,ROW(AZ75)-ROW(AZ$15),0),0)</f>
        <v>0</v>
      </c>
      <c r="BA75" s="633">
        <f ca="1">IF(AND($D75="Serviço",BA$12&lt;&gt;0,$H75&gt;0,OR(AUTOEVENTO&lt;&gt;"manual",$M75&lt;&gt;1)),ROUND(OFFSET($P75,0,BA$13),15-13*ORÇAMENTO!$AF$7)/$H75*OFFSET(ORÇAMENTO!$X$15,ROW(BA75)-ROW(BA$15),0),0)</f>
        <v>0</v>
      </c>
      <c r="BC75" s="215">
        <f ca="1">IF($D75&lt;&gt;"Serviço",0,IF(AND(AUTOEVENTO="Manual",$M75=1),0,IF(OFFSET(CRONOPLE!$F$14,$M75,BC$13)="",10^12,OFFSET(CRONOPLE!$F$14,$M75,BC$13))))</f>
        <v>1000000000000</v>
      </c>
      <c r="BD75" s="215">
        <f ca="1">IF($D75&lt;&gt;"Serviço",0,IF(AND(AUTOEVENTO="Manual",$M75=1),0,IF(OFFSET(CRONOPLE!$F$14,$M75,BD$13)="",10^12,OFFSET(CRONOPLE!$F$14,$M75,BD$13))))</f>
        <v>1000000000000</v>
      </c>
      <c r="BE75" s="215">
        <f ca="1">IF($D75&lt;&gt;"Serviço",0,IF(AND(AUTOEVENTO="Manual",$M75=1),0,IF(OFFSET(CRONOPLE!$F$14,$M75,BE$13)="",10^12,OFFSET(CRONOPLE!$F$14,$M75,BE$13))))</f>
        <v>1000000000000</v>
      </c>
      <c r="BF75" s="215">
        <f ca="1">IF($D75&lt;&gt;"Serviço",0,IF(AND(AUTOEVENTO="Manual",$M75=1),0,IF(OFFSET(CRONOPLE!$F$14,$M75,BF$13)="",10^12,OFFSET(CRONOPLE!$F$14,$M75,BF$13))))</f>
        <v>1000000000000</v>
      </c>
      <c r="BG75" s="215">
        <f ca="1">IF($D75&lt;&gt;"Serviço",0,IF(AND(AUTOEVENTO="Manual",$M75=1),0,IF(OFFSET(CRONOPLE!$F$14,$M75,BG$13)="",10^12,OFFSET(CRONOPLE!$F$14,$M75,BG$13))))</f>
        <v>1000000000000</v>
      </c>
      <c r="BH75" s="215">
        <f ca="1">IF($D75&lt;&gt;"Serviço",0,IF(AND(AUTOEVENTO="Manual",$M75=1),0,IF(OFFSET(CRONOPLE!$F$14,$M75,BH$13)="",10^12,OFFSET(CRONOPLE!$F$14,$M75,BH$13))))</f>
        <v>1000000000000</v>
      </c>
      <c r="BI75" s="215">
        <f ca="1">IF($D75&lt;&gt;"Serviço",0,IF(AND(AUTOEVENTO="Manual",$M75=1),0,IF(OFFSET(CRONOPLE!$F$14,$M75,BI$13)="",10^12,OFFSET(CRONOPLE!$F$14,$M75,BI$13))))</f>
        <v>1000000000000</v>
      </c>
      <c r="BJ75" s="215">
        <f ca="1">IF($D75&lt;&gt;"Serviço",0,IF(AND(AUTOEVENTO="Manual",$M75=1),0,IF(OFFSET(CRONOPLE!$F$14,$M75,BJ$13)="",10^12,OFFSET(CRONOPLE!$F$14,$M75,BJ$13))))</f>
        <v>1000000000000</v>
      </c>
      <c r="BK75" s="215">
        <f ca="1">IF($D75&lt;&gt;"Serviço",0,IF(AND(AUTOEVENTO="Manual",$M75=1),0,IF(OFFSET(CRONOPLE!$F$14,$M75,BK$13)="",10^12,OFFSET(CRONOPLE!$F$14,$M75,BK$13))))</f>
        <v>1000000000000</v>
      </c>
      <c r="BL75" s="215">
        <f ca="1">IF($D75&lt;&gt;"Serviço",0,IF(AND(AUTOEVENTO="Manual",$M75=1),0,IF(OFFSET(CRONOPLE!$F$14,$M75,BL$13)="",10^12,OFFSET(CRONOPLE!$F$14,$M75,BL$13))))</f>
        <v>1000000000000</v>
      </c>
      <c r="BM75" s="215">
        <f ca="1">IF($D75&lt;&gt;"Serviço",0,IF(AND(AUTOEVENTO="Manual",$M75=1),0,IF(OFFSET(CRONOPLE!$F$14,$M75,BM$13)="",10^12,OFFSET(CRONOPLE!$F$14,$M75,BM$13))))</f>
        <v>1000000000000</v>
      </c>
      <c r="BN75" s="215">
        <f ca="1">IF($D75&lt;&gt;"Serviço",0,IF(AND(AUTOEVENTO="Manual",$M75=1),0,IF(OFFSET(CRONOPLE!$F$14,$M75,BN$13)="",10^12,OFFSET(CRONOPLE!$F$14,$M75,BN$13))))</f>
        <v>1000000000000</v>
      </c>
      <c r="BO75" s="215">
        <f ca="1">IF($D75&lt;&gt;"Serviço",0,IF(AND(AUTOEVENTO="Manual",$M75=1),0,IF(OFFSET(CRONOPLE!$F$14,$M75,BO$13)="",10^12,OFFSET(CRONOPLE!$F$14,$M75,BO$13))))</f>
        <v>1000000000000</v>
      </c>
      <c r="BP75" s="215">
        <f ca="1">IF($D75&lt;&gt;"Serviço",0,IF(AND(AUTOEVENTO="Manual",$M75=1),0,IF(OFFSET(CRONOPLE!$F$14,$M75,BP$13)="",10^12,OFFSET(CRONOPLE!$F$14,$M75,BP$13))))</f>
        <v>1000000000000</v>
      </c>
      <c r="BQ75" s="215">
        <f ca="1">IF($D75&lt;&gt;"Serviço",0,IF(AND(AUTOEVENTO="Manual",$M75=1),0,IF(OFFSET(CRONOPLE!$F$14,$M75,BQ$13)="",10^12,OFFSET(CRONOPLE!$F$14,$M75,BQ$13))))</f>
        <v>1000000000000</v>
      </c>
      <c r="BR75" s="215">
        <f ca="1">IF($D75&lt;&gt;"Serviço",0,IF(AND(AUTOEVENTO="Manual",$M75=1),0,IF(OFFSET(CRONOPLE!$F$14,$M75,BR$13)="",10^12,OFFSET(CRONOPLE!$F$14,$M75,BR$13))))</f>
        <v>1000000000000</v>
      </c>
      <c r="BS75" s="215">
        <f ca="1">IF($D75&lt;&gt;"Serviço",0,IF(AND(AUTOEVENTO="Manual",$M75=1),0,IF(OFFSET(CRONOPLE!$F$14,$M75,BS$13)="",10^12,OFFSET(CRONOPLE!$F$14,$M75,BS$13))))</f>
        <v>1000000000000</v>
      </c>
      <c r="BT75" s="215">
        <f ca="1">IF($D75&lt;&gt;"Serviço",0,IF(AND(AUTOEVENTO="Manual",$M75=1),0,IF(OFFSET(CRONOPLE!$F$14,$M75,BT$13)="",10^12,OFFSET(CRONOPLE!$F$14,$M75,BT$13))))</f>
        <v>1000000000000</v>
      </c>
      <c r="BV75" s="216">
        <f ca="1">IF($D75&lt;&gt;"Serviço",0,IF(OR(AND(AUTOEVENTO="Manual",$M75=1),$M75&gt;(ROW(PLE.lastrow)-ROW(PLE.firstrow))),0,IF(OFFSET(PLE!$G$14,$M75,BV$13)="",10^12,OFFSET(PLE!$G$14,$M75,BV$13))))</f>
        <v>1000000000000</v>
      </c>
      <c r="BW75" s="216">
        <f ca="1">IF($D75&lt;&gt;"Serviço",0,IF(OR(AND(AUTOEVENTO="Manual",$M75=1),$M75&gt;(ROW(PLE.lastrow)-ROW(PLE.firstrow))),0,IF(OFFSET(PLE!$G$14,$M75,BW$13)="",10^12,OFFSET(PLE!$G$14,$M75,BW$13))))</f>
        <v>1000000000000</v>
      </c>
      <c r="BX75" s="216">
        <f ca="1">IF($D75&lt;&gt;"Serviço",0,IF(OR(AND(AUTOEVENTO="Manual",$M75=1),$M75&gt;(ROW(PLE.lastrow)-ROW(PLE.firstrow))),0,IF(OFFSET(PLE!$G$14,$M75,BX$13)="",10^12,OFFSET(PLE!$G$14,$M75,BX$13))))</f>
        <v>1000000000000</v>
      </c>
      <c r="BY75" s="216">
        <f ca="1">IF($D75&lt;&gt;"Serviço",0,IF(OR(AND(AUTOEVENTO="Manual",$M75=1),$M75&gt;(ROW(PLE.lastrow)-ROW(PLE.firstrow))),0,IF(OFFSET(PLE!$G$14,$M75,BY$13)="",10^12,OFFSET(PLE!$G$14,$M75,BY$13))))</f>
        <v>1000000000000</v>
      </c>
      <c r="BZ75" s="216">
        <f ca="1">IF($D75&lt;&gt;"Serviço",0,IF(OR(AND(AUTOEVENTO="Manual",$M75=1),$M75&gt;(ROW(PLE.lastrow)-ROW(PLE.firstrow))),0,IF(OFFSET(PLE!$G$14,$M75,BZ$13)="",10^12,OFFSET(PLE!$G$14,$M75,BZ$13))))</f>
        <v>1000000000000</v>
      </c>
      <c r="CA75" s="216">
        <f ca="1">IF($D75&lt;&gt;"Serviço",0,IF(OR(AND(AUTOEVENTO="Manual",$M75=1),$M75&gt;(ROW(PLE.lastrow)-ROW(PLE.firstrow))),0,IF(OFFSET(PLE!$G$14,$M75,CA$13)="",10^12,OFFSET(PLE!$G$14,$M75,CA$13))))</f>
        <v>1000000000000</v>
      </c>
      <c r="CB75" s="216">
        <f ca="1">IF($D75&lt;&gt;"Serviço",0,IF(OR(AND(AUTOEVENTO="Manual",$M75=1),$M75&gt;(ROW(PLE.lastrow)-ROW(PLE.firstrow))),0,IF(OFFSET(PLE!$G$14,$M75,CB$13)="",10^12,OFFSET(PLE!$G$14,$M75,CB$13))))</f>
        <v>1000000000000</v>
      </c>
      <c r="CC75" s="216">
        <f ca="1">IF($D75&lt;&gt;"Serviço",0,IF(OR(AND(AUTOEVENTO="Manual",$M75=1),$M75&gt;(ROW(PLE.lastrow)-ROW(PLE.firstrow))),0,IF(OFFSET(PLE!$G$14,$M75,CC$13)="",10^12,OFFSET(PLE!$G$14,$M75,CC$13))))</f>
        <v>1000000000000</v>
      </c>
      <c r="CD75" s="216">
        <f ca="1">IF($D75&lt;&gt;"Serviço",0,IF(OR(AND(AUTOEVENTO="Manual",$M75=1),$M75&gt;(ROW(PLE.lastrow)-ROW(PLE.firstrow))),0,IF(OFFSET(PLE!$G$14,$M75,CD$13)="",10^12,OFFSET(PLE!$G$14,$M75,CD$13))))</f>
        <v>1000000000000</v>
      </c>
      <c r="CE75" s="216">
        <f ca="1">IF($D75&lt;&gt;"Serviço",0,IF(OR(AND(AUTOEVENTO="Manual",$M75=1),$M75&gt;(ROW(PLE.lastrow)-ROW(PLE.firstrow))),0,IF(OFFSET(PLE!$G$14,$M75,CE$13)="",10^12,OFFSET(PLE!$G$14,$M75,CE$13))))</f>
        <v>1000000000000</v>
      </c>
      <c r="CF75" s="216">
        <f ca="1">IF($D75&lt;&gt;"Serviço",0,IF(OR(AND(AUTOEVENTO="Manual",$M75=1),$M75&gt;(ROW(PLE.lastrow)-ROW(PLE.firstrow))),0,IF(OFFSET(PLE!$G$14,$M75,CF$13)="",10^12,OFFSET(PLE!$G$14,$M75,CF$13))))</f>
        <v>1000000000000</v>
      </c>
      <c r="CG75" s="216">
        <f ca="1">IF($D75&lt;&gt;"Serviço",0,IF(OR(AND(AUTOEVENTO="Manual",$M75=1),$M75&gt;(ROW(PLE.lastrow)-ROW(PLE.firstrow))),0,IF(OFFSET(PLE!$G$14,$M75,CG$13)="",10^12,OFFSET(PLE!$G$14,$M75,CG$13))))</f>
        <v>1000000000000</v>
      </c>
      <c r="CH75" s="216">
        <f ca="1">IF($D75&lt;&gt;"Serviço",0,IF(OR(AND(AUTOEVENTO="Manual",$M75=1),$M75&gt;(ROW(PLE.lastrow)-ROW(PLE.firstrow))),0,IF(OFFSET(PLE!$G$14,$M75,CH$13)="",10^12,OFFSET(PLE!$G$14,$M75,CH$13))))</f>
        <v>1000000000000</v>
      </c>
      <c r="CI75" s="216">
        <f ca="1">IF($D75&lt;&gt;"Serviço",0,IF(OR(AND(AUTOEVENTO="Manual",$M75=1),$M75&gt;(ROW(PLE.lastrow)-ROW(PLE.firstrow))),0,IF(OFFSET(PLE!$G$14,$M75,CI$13)="",10^12,OFFSET(PLE!$G$14,$M75,CI$13))))</f>
        <v>1000000000000</v>
      </c>
      <c r="CJ75" s="216">
        <f ca="1">IF($D75&lt;&gt;"Serviço",0,IF(OR(AND(AUTOEVENTO="Manual",$M75=1),$M75&gt;(ROW(PLE.lastrow)-ROW(PLE.firstrow))),0,IF(OFFSET(PLE!$G$14,$M75,CJ$13)="",10^12,OFFSET(PLE!$G$14,$M75,CJ$13))))</f>
        <v>1000000000000</v>
      </c>
      <c r="CK75" s="216">
        <f ca="1">IF($D75&lt;&gt;"Serviço",0,IF(OR(AND(AUTOEVENTO="Manual",$M75=1),$M75&gt;(ROW(PLE.lastrow)-ROW(PLE.firstrow))),0,IF(OFFSET(PLE!$G$14,$M75,CK$13)="",10^12,OFFSET(PLE!$G$14,$M75,CK$13))))</f>
        <v>1000000000000</v>
      </c>
      <c r="CL75" s="216">
        <f ca="1">IF($D75&lt;&gt;"Serviço",0,IF(OR(AND(AUTOEVENTO="Manual",$M75=1),$M75&gt;(ROW(PLE.lastrow)-ROW(PLE.firstrow))),0,IF(OFFSET(PLE!$G$14,$M75,CL$13)="",10^12,OFFSET(PLE!$G$14,$M75,CL$13))))</f>
        <v>1000000000000</v>
      </c>
      <c r="CM75" s="216">
        <f ca="1">IF($D75&lt;&gt;"Serviço",0,IF(OR(AND(AUTOEVENTO="Manual",$M75=1),$M75&gt;(ROW(PLE.lastrow)-ROW(PLE.firstrow))),0,IF(OFFSET(PLE!$G$14,$M75,CM$13)="",10^12,OFFSET(PLE!$G$14,$M75,CM$13))))</f>
        <v>1000000000000</v>
      </c>
    </row>
    <row r="76" spans="1:91" ht="13.2" x14ac:dyDescent="0.25">
      <c r="A76" s="9">
        <f t="shared" ca="1" si="9"/>
        <v>0</v>
      </c>
      <c r="B76" s="9" t="str">
        <f ca="1">OFFSET(ORÇAMENTO!C$15,ROW(B76)-ROW(B$15),0)</f>
        <v>S</v>
      </c>
      <c r="C76" s="9" t="str">
        <f ca="1">OFFSET(ORÇAMENTO!L$15,ROW(C76)-ROW(C$15),0)</f>
        <v/>
      </c>
      <c r="D76" s="145" t="str">
        <f ca="1">OFFSET(ORÇAMENTO!N$15,ROW(D76)-ROW(D$15),0)</f>
        <v>Serviço</v>
      </c>
      <c r="E76" s="205" t="str">
        <f ca="1">OFFSET(ORÇAMENTO!O$15,ROW(E76)-ROW(E$15),0)</f>
        <v>-</v>
      </c>
      <c r="F76" s="206" t="str">
        <f ca="1">OFFSET(ORÇAMENTO!R$15,ROW(F76)-ROW(F$15),0)</f>
        <v>(abra o arquivo 'Referência 05-2024.xls)</v>
      </c>
      <c r="G76" s="207" t="str">
        <f ca="1">IF($D76&lt;&gt;"Serviço","",OFFSET(ORÇAMENTO!S$15,ROW(G76)-ROW(G$15),0))</f>
        <v>-</v>
      </c>
      <c r="H76" s="151">
        <f ca="1">IF($D76&lt;&gt;"Serviço",0,IF(ACOMPANHAMENTO="BM",ROUND(OFFSET(ORÇAMENTO!AJ$15,ROW(H76)-ROW(H$15),0),15-13*ORÇAMENTO!$AF$7),SUMPRODUCT(($Q$12:$AI$12&lt;&gt;"")*ROUND($Q76:$AI76,15-13*ORÇAMENTO!$AF$7))))</f>
        <v>2.92</v>
      </c>
      <c r="I76" s="650"/>
      <c r="K76" s="208"/>
      <c r="L76" s="209" t="s">
        <v>257</v>
      </c>
      <c r="M76" s="210">
        <f ca="1">IF($D76&lt;&gt;"Serviço","",IF(AUTOEVENTO="manual",$A76,IF(ISERROR(MATCH($A76,$A$15:OFFSET($A76,-1,0),0)),MAX($M$15:OFFSET(M76,-1,0))+1,INDEX($M$15:OFFSET(M76,-1,0),MATCH($A76,$A$15:OFFSET($A76,-1,0),0)))))</f>
        <v>0</v>
      </c>
      <c r="N76" s="211" t="str">
        <f ca="1">IF($D76&lt;&gt;"Serviço","",IF(AUTOEVENTO="Manual",IF($A76=0,"&lt;-- defina o número do agrupador",OFFSET(EVENTOS!$D$14,$A76,0)),OFFSET($F$15,$A76,0)))</f>
        <v>&lt;-- defina o número do agrupador</v>
      </c>
      <c r="O76" s="212"/>
      <c r="Q76" s="212"/>
      <c r="R76" s="213"/>
      <c r="S76" s="213"/>
      <c r="T76" s="213"/>
      <c r="U76" s="213"/>
      <c r="V76" s="213"/>
      <c r="W76" s="213"/>
      <c r="X76" s="213"/>
      <c r="Y76" s="213"/>
      <c r="Z76" s="214"/>
      <c r="AA76" s="213"/>
      <c r="AB76" s="213"/>
      <c r="AC76" s="213"/>
      <c r="AD76" s="213"/>
      <c r="AE76" s="213"/>
      <c r="AF76" s="213"/>
      <c r="AG76" s="213"/>
      <c r="AH76" s="214"/>
      <c r="AJ76" s="631">
        <f ca="1">IF(AND($D76="Serviço",AJ$12&lt;&gt;0,$H76&gt;0,OR(AUTOEVENTO&lt;&gt;"manual",$M76&lt;&gt;1)),ROUND(OFFSET($P76,0,AJ$13),15-13*ORÇAMENTO!$AF$7)/$H76*OFFSET(ORÇAMENTO!$X$15,ROW(AJ76)-ROW(AJ$15),0),0)</f>
        <v>0</v>
      </c>
      <c r="AK76" s="632">
        <f ca="1">IF(AND($D76="Serviço",AK$12&lt;&gt;0,$H76&gt;0,OR(AUTOEVENTO&lt;&gt;"manual",$M76&lt;&gt;1)),ROUND(OFFSET($P76,0,AK$13),15-13*ORÇAMENTO!$AF$7)/$H76*OFFSET(ORÇAMENTO!$X$15,ROW(AK76)-ROW(AK$15),0),0)</f>
        <v>0</v>
      </c>
      <c r="AL76" s="632">
        <f ca="1">IF(AND($D76="Serviço",AL$12&lt;&gt;0,$H76&gt;0,OR(AUTOEVENTO&lt;&gt;"manual",$M76&lt;&gt;1)),ROUND(OFFSET($P76,0,AL$13),15-13*ORÇAMENTO!$AF$7)/$H76*OFFSET(ORÇAMENTO!$X$15,ROW(AL76)-ROW(AL$15),0),0)</f>
        <v>0</v>
      </c>
      <c r="AM76" s="632">
        <f ca="1">IF(AND($D76="Serviço",AM$12&lt;&gt;0,$H76&gt;0,OR(AUTOEVENTO&lt;&gt;"manual",$M76&lt;&gt;1)),ROUND(OFFSET($P76,0,AM$13),15-13*ORÇAMENTO!$AF$7)/$H76*OFFSET(ORÇAMENTO!$X$15,ROW(AM76)-ROW(AM$15),0),0)</f>
        <v>0</v>
      </c>
      <c r="AN76" s="632">
        <f ca="1">IF(AND($D76="Serviço",AN$12&lt;&gt;0,$H76&gt;0,OR(AUTOEVENTO&lt;&gt;"manual",$M76&lt;&gt;1)),ROUND(OFFSET($P76,0,AN$13),15-13*ORÇAMENTO!$AF$7)/$H76*OFFSET(ORÇAMENTO!$X$15,ROW(AN76)-ROW(AN$15),0),0)</f>
        <v>0</v>
      </c>
      <c r="AO76" s="632">
        <f ca="1">IF(AND($D76="Serviço",AO$12&lt;&gt;0,$H76&gt;0,OR(AUTOEVENTO&lt;&gt;"manual",$M76&lt;&gt;1)),ROUND(OFFSET($P76,0,AO$13),15-13*ORÇAMENTO!$AF$7)/$H76*OFFSET(ORÇAMENTO!$X$15,ROW(AO76)-ROW(AO$15),0),0)</f>
        <v>0</v>
      </c>
      <c r="AP76" s="632">
        <f ca="1">IF(AND($D76="Serviço",AP$12&lt;&gt;0,$H76&gt;0,OR(AUTOEVENTO&lt;&gt;"manual",$M76&lt;&gt;1)),ROUND(OFFSET($P76,0,AP$13),15-13*ORÇAMENTO!$AF$7)/$H76*OFFSET(ORÇAMENTO!$X$15,ROW(AP76)-ROW(AP$15),0),0)</f>
        <v>0</v>
      </c>
      <c r="AQ76" s="632">
        <f ca="1">IF(AND($D76="Serviço",AQ$12&lt;&gt;0,$H76&gt;0,OR(AUTOEVENTO&lt;&gt;"manual",$M76&lt;&gt;1)),ROUND(OFFSET($P76,0,AQ$13),15-13*ORÇAMENTO!$AF$7)/$H76*OFFSET(ORÇAMENTO!$X$15,ROW(AQ76)-ROW(AQ$15),0),0)</f>
        <v>0</v>
      </c>
      <c r="AR76" s="632">
        <f ca="1">IF(AND($D76="Serviço",AR$12&lt;&gt;0,$H76&gt;0,OR(AUTOEVENTO&lt;&gt;"manual",$M76&lt;&gt;1)),ROUND(OFFSET($P76,0,AR$13),15-13*ORÇAMENTO!$AF$7)/$H76*OFFSET(ORÇAMENTO!$X$15,ROW(AR76)-ROW(AR$15),0),0)</f>
        <v>0</v>
      </c>
      <c r="AS76" s="633">
        <f ca="1">IF(AND($D76="Serviço",AS$12&lt;&gt;0,$H76&gt;0,OR(AUTOEVENTO&lt;&gt;"manual",$M76&lt;&gt;1)),ROUND(OFFSET($P76,0,AS$13),15-13*ORÇAMENTO!$AF$7)/$H76*OFFSET(ORÇAMENTO!$X$15,ROW(AS76)-ROW(AS$15),0),0)</f>
        <v>0</v>
      </c>
      <c r="AT76" s="632">
        <f ca="1">IF(AND($D76="Serviço",AT$12&lt;&gt;0,$H76&gt;0,OR(AUTOEVENTO&lt;&gt;"manual",$M76&lt;&gt;1)),ROUND(OFFSET($P76,0,AT$13),15-13*ORÇAMENTO!$AF$7)/$H76*OFFSET(ORÇAMENTO!$X$15,ROW(AT76)-ROW(AT$15),0),0)</f>
        <v>0</v>
      </c>
      <c r="AU76" s="632">
        <f ca="1">IF(AND($D76="Serviço",AU$12&lt;&gt;0,$H76&gt;0,OR(AUTOEVENTO&lt;&gt;"manual",$M76&lt;&gt;1)),ROUND(OFFSET($P76,0,AU$13),15-13*ORÇAMENTO!$AF$7)/$H76*OFFSET(ORÇAMENTO!$X$15,ROW(AU76)-ROW(AU$15),0),0)</f>
        <v>0</v>
      </c>
      <c r="AV76" s="632">
        <f ca="1">IF(AND($D76="Serviço",AV$12&lt;&gt;0,$H76&gt;0,OR(AUTOEVENTO&lt;&gt;"manual",$M76&lt;&gt;1)),ROUND(OFFSET($P76,0,AV$13),15-13*ORÇAMENTO!$AF$7)/$H76*OFFSET(ORÇAMENTO!$X$15,ROW(AV76)-ROW(AV$15),0),0)</f>
        <v>0</v>
      </c>
      <c r="AW76" s="632">
        <f ca="1">IF(AND($D76="Serviço",AW$12&lt;&gt;0,$H76&gt;0,OR(AUTOEVENTO&lt;&gt;"manual",$M76&lt;&gt;1)),ROUND(OFFSET($P76,0,AW$13),15-13*ORÇAMENTO!$AF$7)/$H76*OFFSET(ORÇAMENTO!$X$15,ROW(AW76)-ROW(AW$15),0),0)</f>
        <v>0</v>
      </c>
      <c r="AX76" s="632">
        <f ca="1">IF(AND($D76="Serviço",AX$12&lt;&gt;0,$H76&gt;0,OR(AUTOEVENTO&lt;&gt;"manual",$M76&lt;&gt;1)),ROUND(OFFSET($P76,0,AX$13),15-13*ORÇAMENTO!$AF$7)/$H76*OFFSET(ORÇAMENTO!$X$15,ROW(AX76)-ROW(AX$15),0),0)</f>
        <v>0</v>
      </c>
      <c r="AY76" s="632">
        <f ca="1">IF(AND($D76="Serviço",AY$12&lt;&gt;0,$H76&gt;0,OR(AUTOEVENTO&lt;&gt;"manual",$M76&lt;&gt;1)),ROUND(OFFSET($P76,0,AY$13),15-13*ORÇAMENTO!$AF$7)/$H76*OFFSET(ORÇAMENTO!$X$15,ROW(AY76)-ROW(AY$15),0),0)</f>
        <v>0</v>
      </c>
      <c r="AZ76" s="632">
        <f ca="1">IF(AND($D76="Serviço",AZ$12&lt;&gt;0,$H76&gt;0,OR(AUTOEVENTO&lt;&gt;"manual",$M76&lt;&gt;1)),ROUND(OFFSET($P76,0,AZ$13),15-13*ORÇAMENTO!$AF$7)/$H76*OFFSET(ORÇAMENTO!$X$15,ROW(AZ76)-ROW(AZ$15),0),0)</f>
        <v>0</v>
      </c>
      <c r="BA76" s="633">
        <f ca="1">IF(AND($D76="Serviço",BA$12&lt;&gt;0,$H76&gt;0,OR(AUTOEVENTO&lt;&gt;"manual",$M76&lt;&gt;1)),ROUND(OFFSET($P76,0,BA$13),15-13*ORÇAMENTO!$AF$7)/$H76*OFFSET(ORÇAMENTO!$X$15,ROW(BA76)-ROW(BA$15),0),0)</f>
        <v>0</v>
      </c>
      <c r="BC76" s="215">
        <f ca="1">IF($D76&lt;&gt;"Serviço",0,IF(AND(AUTOEVENTO="Manual",$M76=1),0,IF(OFFSET(CRONOPLE!$F$14,$M76,BC$13)="",10^12,OFFSET(CRONOPLE!$F$14,$M76,BC$13))))</f>
        <v>1000000000000</v>
      </c>
      <c r="BD76" s="215">
        <f ca="1">IF($D76&lt;&gt;"Serviço",0,IF(AND(AUTOEVENTO="Manual",$M76=1),0,IF(OFFSET(CRONOPLE!$F$14,$M76,BD$13)="",10^12,OFFSET(CRONOPLE!$F$14,$M76,BD$13))))</f>
        <v>1000000000000</v>
      </c>
      <c r="BE76" s="215">
        <f ca="1">IF($D76&lt;&gt;"Serviço",0,IF(AND(AUTOEVENTO="Manual",$M76=1),0,IF(OFFSET(CRONOPLE!$F$14,$M76,BE$13)="",10^12,OFFSET(CRONOPLE!$F$14,$M76,BE$13))))</f>
        <v>1000000000000</v>
      </c>
      <c r="BF76" s="215">
        <f ca="1">IF($D76&lt;&gt;"Serviço",0,IF(AND(AUTOEVENTO="Manual",$M76=1),0,IF(OFFSET(CRONOPLE!$F$14,$M76,BF$13)="",10^12,OFFSET(CRONOPLE!$F$14,$M76,BF$13))))</f>
        <v>1000000000000</v>
      </c>
      <c r="BG76" s="215">
        <f ca="1">IF($D76&lt;&gt;"Serviço",0,IF(AND(AUTOEVENTO="Manual",$M76=1),0,IF(OFFSET(CRONOPLE!$F$14,$M76,BG$13)="",10^12,OFFSET(CRONOPLE!$F$14,$M76,BG$13))))</f>
        <v>1000000000000</v>
      </c>
      <c r="BH76" s="215">
        <f ca="1">IF($D76&lt;&gt;"Serviço",0,IF(AND(AUTOEVENTO="Manual",$M76=1),0,IF(OFFSET(CRONOPLE!$F$14,$M76,BH$13)="",10^12,OFFSET(CRONOPLE!$F$14,$M76,BH$13))))</f>
        <v>1000000000000</v>
      </c>
      <c r="BI76" s="215">
        <f ca="1">IF($D76&lt;&gt;"Serviço",0,IF(AND(AUTOEVENTO="Manual",$M76=1),0,IF(OFFSET(CRONOPLE!$F$14,$M76,BI$13)="",10^12,OFFSET(CRONOPLE!$F$14,$M76,BI$13))))</f>
        <v>1000000000000</v>
      </c>
      <c r="BJ76" s="215">
        <f ca="1">IF($D76&lt;&gt;"Serviço",0,IF(AND(AUTOEVENTO="Manual",$M76=1),0,IF(OFFSET(CRONOPLE!$F$14,$M76,BJ$13)="",10^12,OFFSET(CRONOPLE!$F$14,$M76,BJ$13))))</f>
        <v>1000000000000</v>
      </c>
      <c r="BK76" s="215">
        <f ca="1">IF($D76&lt;&gt;"Serviço",0,IF(AND(AUTOEVENTO="Manual",$M76=1),0,IF(OFFSET(CRONOPLE!$F$14,$M76,BK$13)="",10^12,OFFSET(CRONOPLE!$F$14,$M76,BK$13))))</f>
        <v>1000000000000</v>
      </c>
      <c r="BL76" s="215">
        <f ca="1">IF($D76&lt;&gt;"Serviço",0,IF(AND(AUTOEVENTO="Manual",$M76=1),0,IF(OFFSET(CRONOPLE!$F$14,$M76,BL$13)="",10^12,OFFSET(CRONOPLE!$F$14,$M76,BL$13))))</f>
        <v>1000000000000</v>
      </c>
      <c r="BM76" s="215">
        <f ca="1">IF($D76&lt;&gt;"Serviço",0,IF(AND(AUTOEVENTO="Manual",$M76=1),0,IF(OFFSET(CRONOPLE!$F$14,$M76,BM$13)="",10^12,OFFSET(CRONOPLE!$F$14,$M76,BM$13))))</f>
        <v>1000000000000</v>
      </c>
      <c r="BN76" s="215">
        <f ca="1">IF($D76&lt;&gt;"Serviço",0,IF(AND(AUTOEVENTO="Manual",$M76=1),0,IF(OFFSET(CRONOPLE!$F$14,$M76,BN$13)="",10^12,OFFSET(CRONOPLE!$F$14,$M76,BN$13))))</f>
        <v>1000000000000</v>
      </c>
      <c r="BO76" s="215">
        <f ca="1">IF($D76&lt;&gt;"Serviço",0,IF(AND(AUTOEVENTO="Manual",$M76=1),0,IF(OFFSET(CRONOPLE!$F$14,$M76,BO$13)="",10^12,OFFSET(CRONOPLE!$F$14,$M76,BO$13))))</f>
        <v>1000000000000</v>
      </c>
      <c r="BP76" s="215">
        <f ca="1">IF($D76&lt;&gt;"Serviço",0,IF(AND(AUTOEVENTO="Manual",$M76=1),0,IF(OFFSET(CRONOPLE!$F$14,$M76,BP$13)="",10^12,OFFSET(CRONOPLE!$F$14,$M76,BP$13))))</f>
        <v>1000000000000</v>
      </c>
      <c r="BQ76" s="215">
        <f ca="1">IF($D76&lt;&gt;"Serviço",0,IF(AND(AUTOEVENTO="Manual",$M76=1),0,IF(OFFSET(CRONOPLE!$F$14,$M76,BQ$13)="",10^12,OFFSET(CRONOPLE!$F$14,$M76,BQ$13))))</f>
        <v>1000000000000</v>
      </c>
      <c r="BR76" s="215">
        <f ca="1">IF($D76&lt;&gt;"Serviço",0,IF(AND(AUTOEVENTO="Manual",$M76=1),0,IF(OFFSET(CRONOPLE!$F$14,$M76,BR$13)="",10^12,OFFSET(CRONOPLE!$F$14,$M76,BR$13))))</f>
        <v>1000000000000</v>
      </c>
      <c r="BS76" s="215">
        <f ca="1">IF($D76&lt;&gt;"Serviço",0,IF(AND(AUTOEVENTO="Manual",$M76=1),0,IF(OFFSET(CRONOPLE!$F$14,$M76,BS$13)="",10^12,OFFSET(CRONOPLE!$F$14,$M76,BS$13))))</f>
        <v>1000000000000</v>
      </c>
      <c r="BT76" s="215">
        <f ca="1">IF($D76&lt;&gt;"Serviço",0,IF(AND(AUTOEVENTO="Manual",$M76=1),0,IF(OFFSET(CRONOPLE!$F$14,$M76,BT$13)="",10^12,OFFSET(CRONOPLE!$F$14,$M76,BT$13))))</f>
        <v>1000000000000</v>
      </c>
      <c r="BV76" s="216">
        <f ca="1">IF($D76&lt;&gt;"Serviço",0,IF(OR(AND(AUTOEVENTO="Manual",$M76=1),$M76&gt;(ROW(PLE.lastrow)-ROW(PLE.firstrow))),0,IF(OFFSET(PLE!$G$14,$M76,BV$13)="",10^12,OFFSET(PLE!$G$14,$M76,BV$13))))</f>
        <v>1000000000000</v>
      </c>
      <c r="BW76" s="216">
        <f ca="1">IF($D76&lt;&gt;"Serviço",0,IF(OR(AND(AUTOEVENTO="Manual",$M76=1),$M76&gt;(ROW(PLE.lastrow)-ROW(PLE.firstrow))),0,IF(OFFSET(PLE!$G$14,$M76,BW$13)="",10^12,OFFSET(PLE!$G$14,$M76,BW$13))))</f>
        <v>1000000000000</v>
      </c>
      <c r="BX76" s="216">
        <f ca="1">IF($D76&lt;&gt;"Serviço",0,IF(OR(AND(AUTOEVENTO="Manual",$M76=1),$M76&gt;(ROW(PLE.lastrow)-ROW(PLE.firstrow))),0,IF(OFFSET(PLE!$G$14,$M76,BX$13)="",10^12,OFFSET(PLE!$G$14,$M76,BX$13))))</f>
        <v>1000000000000</v>
      </c>
      <c r="BY76" s="216">
        <f ca="1">IF($D76&lt;&gt;"Serviço",0,IF(OR(AND(AUTOEVENTO="Manual",$M76=1),$M76&gt;(ROW(PLE.lastrow)-ROW(PLE.firstrow))),0,IF(OFFSET(PLE!$G$14,$M76,BY$13)="",10^12,OFFSET(PLE!$G$14,$M76,BY$13))))</f>
        <v>1000000000000</v>
      </c>
      <c r="BZ76" s="216">
        <f ca="1">IF($D76&lt;&gt;"Serviço",0,IF(OR(AND(AUTOEVENTO="Manual",$M76=1),$M76&gt;(ROW(PLE.lastrow)-ROW(PLE.firstrow))),0,IF(OFFSET(PLE!$G$14,$M76,BZ$13)="",10^12,OFFSET(PLE!$G$14,$M76,BZ$13))))</f>
        <v>1000000000000</v>
      </c>
      <c r="CA76" s="216">
        <f ca="1">IF($D76&lt;&gt;"Serviço",0,IF(OR(AND(AUTOEVENTO="Manual",$M76=1),$M76&gt;(ROW(PLE.lastrow)-ROW(PLE.firstrow))),0,IF(OFFSET(PLE!$G$14,$M76,CA$13)="",10^12,OFFSET(PLE!$G$14,$M76,CA$13))))</f>
        <v>1000000000000</v>
      </c>
      <c r="CB76" s="216">
        <f ca="1">IF($D76&lt;&gt;"Serviço",0,IF(OR(AND(AUTOEVENTO="Manual",$M76=1),$M76&gt;(ROW(PLE.lastrow)-ROW(PLE.firstrow))),0,IF(OFFSET(PLE!$G$14,$M76,CB$13)="",10^12,OFFSET(PLE!$G$14,$M76,CB$13))))</f>
        <v>1000000000000</v>
      </c>
      <c r="CC76" s="216">
        <f ca="1">IF($D76&lt;&gt;"Serviço",0,IF(OR(AND(AUTOEVENTO="Manual",$M76=1),$M76&gt;(ROW(PLE.lastrow)-ROW(PLE.firstrow))),0,IF(OFFSET(PLE!$G$14,$M76,CC$13)="",10^12,OFFSET(PLE!$G$14,$M76,CC$13))))</f>
        <v>1000000000000</v>
      </c>
      <c r="CD76" s="216">
        <f ca="1">IF($D76&lt;&gt;"Serviço",0,IF(OR(AND(AUTOEVENTO="Manual",$M76=1),$M76&gt;(ROW(PLE.lastrow)-ROW(PLE.firstrow))),0,IF(OFFSET(PLE!$G$14,$M76,CD$13)="",10^12,OFFSET(PLE!$G$14,$M76,CD$13))))</f>
        <v>1000000000000</v>
      </c>
      <c r="CE76" s="216">
        <f ca="1">IF($D76&lt;&gt;"Serviço",0,IF(OR(AND(AUTOEVENTO="Manual",$M76=1),$M76&gt;(ROW(PLE.lastrow)-ROW(PLE.firstrow))),0,IF(OFFSET(PLE!$G$14,$M76,CE$13)="",10^12,OFFSET(PLE!$G$14,$M76,CE$13))))</f>
        <v>1000000000000</v>
      </c>
      <c r="CF76" s="216">
        <f ca="1">IF($D76&lt;&gt;"Serviço",0,IF(OR(AND(AUTOEVENTO="Manual",$M76=1),$M76&gt;(ROW(PLE.lastrow)-ROW(PLE.firstrow))),0,IF(OFFSET(PLE!$G$14,$M76,CF$13)="",10^12,OFFSET(PLE!$G$14,$M76,CF$13))))</f>
        <v>1000000000000</v>
      </c>
      <c r="CG76" s="216">
        <f ca="1">IF($D76&lt;&gt;"Serviço",0,IF(OR(AND(AUTOEVENTO="Manual",$M76=1),$M76&gt;(ROW(PLE.lastrow)-ROW(PLE.firstrow))),0,IF(OFFSET(PLE!$G$14,$M76,CG$13)="",10^12,OFFSET(PLE!$G$14,$M76,CG$13))))</f>
        <v>1000000000000</v>
      </c>
      <c r="CH76" s="216">
        <f ca="1">IF($D76&lt;&gt;"Serviço",0,IF(OR(AND(AUTOEVENTO="Manual",$M76=1),$M76&gt;(ROW(PLE.lastrow)-ROW(PLE.firstrow))),0,IF(OFFSET(PLE!$G$14,$M76,CH$13)="",10^12,OFFSET(PLE!$G$14,$M76,CH$13))))</f>
        <v>1000000000000</v>
      </c>
      <c r="CI76" s="216">
        <f ca="1">IF($D76&lt;&gt;"Serviço",0,IF(OR(AND(AUTOEVENTO="Manual",$M76=1),$M76&gt;(ROW(PLE.lastrow)-ROW(PLE.firstrow))),0,IF(OFFSET(PLE!$G$14,$M76,CI$13)="",10^12,OFFSET(PLE!$G$14,$M76,CI$13))))</f>
        <v>1000000000000</v>
      </c>
      <c r="CJ76" s="216">
        <f ca="1">IF($D76&lt;&gt;"Serviço",0,IF(OR(AND(AUTOEVENTO="Manual",$M76=1),$M76&gt;(ROW(PLE.lastrow)-ROW(PLE.firstrow))),0,IF(OFFSET(PLE!$G$14,$M76,CJ$13)="",10^12,OFFSET(PLE!$G$14,$M76,CJ$13))))</f>
        <v>1000000000000</v>
      </c>
      <c r="CK76" s="216">
        <f ca="1">IF($D76&lt;&gt;"Serviço",0,IF(OR(AND(AUTOEVENTO="Manual",$M76=1),$M76&gt;(ROW(PLE.lastrow)-ROW(PLE.firstrow))),0,IF(OFFSET(PLE!$G$14,$M76,CK$13)="",10^12,OFFSET(PLE!$G$14,$M76,CK$13))))</f>
        <v>1000000000000</v>
      </c>
      <c r="CL76" s="216">
        <f ca="1">IF($D76&lt;&gt;"Serviço",0,IF(OR(AND(AUTOEVENTO="Manual",$M76=1),$M76&gt;(ROW(PLE.lastrow)-ROW(PLE.firstrow))),0,IF(OFFSET(PLE!$G$14,$M76,CL$13)="",10^12,OFFSET(PLE!$G$14,$M76,CL$13))))</f>
        <v>1000000000000</v>
      </c>
      <c r="CM76" s="216">
        <f ca="1">IF($D76&lt;&gt;"Serviço",0,IF(OR(AND(AUTOEVENTO="Manual",$M76=1),$M76&gt;(ROW(PLE.lastrow)-ROW(PLE.firstrow))),0,IF(OFFSET(PLE!$G$14,$M76,CM$13)="",10^12,OFFSET(PLE!$G$14,$M76,CM$13))))</f>
        <v>1000000000000</v>
      </c>
    </row>
    <row r="77" spans="1:91" ht="13.2" x14ac:dyDescent="0.25">
      <c r="A77" s="9">
        <f t="shared" ca="1" si="9"/>
        <v>0</v>
      </c>
      <c r="B77" s="9" t="str">
        <f ca="1">OFFSET(ORÇAMENTO!C$15,ROW(B77)-ROW(B$15),0)</f>
        <v>S</v>
      </c>
      <c r="C77" s="9" t="str">
        <f ca="1">OFFSET(ORÇAMENTO!L$15,ROW(C77)-ROW(C$15),0)</f>
        <v/>
      </c>
      <c r="D77" s="145" t="str">
        <f ca="1">OFFSET(ORÇAMENTO!N$15,ROW(D77)-ROW(D$15),0)</f>
        <v>Serviço</v>
      </c>
      <c r="E77" s="205" t="str">
        <f ca="1">OFFSET(ORÇAMENTO!O$15,ROW(E77)-ROW(E$15),0)</f>
        <v>-</v>
      </c>
      <c r="F77" s="206" t="str">
        <f ca="1">OFFSET(ORÇAMENTO!R$15,ROW(F77)-ROW(F$15),0)</f>
        <v>(abra o arquivo 'Referência 05-2024.xls)</v>
      </c>
      <c r="G77" s="207" t="str">
        <f ca="1">IF($D77&lt;&gt;"Serviço","",OFFSET(ORÇAMENTO!S$15,ROW(G77)-ROW(G$15),0))</f>
        <v>-</v>
      </c>
      <c r="H77" s="151">
        <f ca="1">IF($D77&lt;&gt;"Serviço",0,IF(ACOMPANHAMENTO="BM",ROUND(OFFSET(ORÇAMENTO!AJ$15,ROW(H77)-ROW(H$15),0),15-13*ORÇAMENTO!$AF$7),SUMPRODUCT(($Q$12:$AI$12&lt;&gt;"")*ROUND($Q77:$AI77,15-13*ORÇAMENTO!$AF$7))))</f>
        <v>5.49</v>
      </c>
      <c r="I77" s="650"/>
      <c r="K77" s="208"/>
      <c r="L77" s="209" t="s">
        <v>257</v>
      </c>
      <c r="M77" s="210">
        <f ca="1">IF($D77&lt;&gt;"Serviço","",IF(AUTOEVENTO="manual",$A77,IF(ISERROR(MATCH($A77,$A$15:OFFSET($A77,-1,0),0)),MAX($M$15:OFFSET(M77,-1,0))+1,INDEX($M$15:OFFSET(M77,-1,0),MATCH($A77,$A$15:OFFSET($A77,-1,0),0)))))</f>
        <v>0</v>
      </c>
      <c r="N77" s="211" t="str">
        <f ca="1">IF($D77&lt;&gt;"Serviço","",IF(AUTOEVENTO="Manual",IF($A77=0,"&lt;-- defina o número do agrupador",OFFSET(EVENTOS!$D$14,$A77,0)),OFFSET($F$15,$A77,0)))</f>
        <v>&lt;-- defina o número do agrupador</v>
      </c>
      <c r="O77" s="212"/>
      <c r="Q77" s="212"/>
      <c r="R77" s="213"/>
      <c r="S77" s="213"/>
      <c r="T77" s="213"/>
      <c r="U77" s="213"/>
      <c r="V77" s="213"/>
      <c r="W77" s="213"/>
      <c r="X77" s="213"/>
      <c r="Y77" s="213"/>
      <c r="Z77" s="214"/>
      <c r="AA77" s="213"/>
      <c r="AB77" s="213"/>
      <c r="AC77" s="213"/>
      <c r="AD77" s="213"/>
      <c r="AE77" s="213"/>
      <c r="AF77" s="213"/>
      <c r="AG77" s="213"/>
      <c r="AH77" s="214"/>
      <c r="AJ77" s="631">
        <f ca="1">IF(AND($D77="Serviço",AJ$12&lt;&gt;0,$H77&gt;0,OR(AUTOEVENTO&lt;&gt;"manual",$M77&lt;&gt;1)),ROUND(OFFSET($P77,0,AJ$13),15-13*ORÇAMENTO!$AF$7)/$H77*OFFSET(ORÇAMENTO!$X$15,ROW(AJ77)-ROW(AJ$15),0),0)</f>
        <v>0</v>
      </c>
      <c r="AK77" s="632">
        <f ca="1">IF(AND($D77="Serviço",AK$12&lt;&gt;0,$H77&gt;0,OR(AUTOEVENTO&lt;&gt;"manual",$M77&lt;&gt;1)),ROUND(OFFSET($P77,0,AK$13),15-13*ORÇAMENTO!$AF$7)/$H77*OFFSET(ORÇAMENTO!$X$15,ROW(AK77)-ROW(AK$15),0),0)</f>
        <v>0</v>
      </c>
      <c r="AL77" s="632">
        <f ca="1">IF(AND($D77="Serviço",AL$12&lt;&gt;0,$H77&gt;0,OR(AUTOEVENTO&lt;&gt;"manual",$M77&lt;&gt;1)),ROUND(OFFSET($P77,0,AL$13),15-13*ORÇAMENTO!$AF$7)/$H77*OFFSET(ORÇAMENTO!$X$15,ROW(AL77)-ROW(AL$15),0),0)</f>
        <v>0</v>
      </c>
      <c r="AM77" s="632">
        <f ca="1">IF(AND($D77="Serviço",AM$12&lt;&gt;0,$H77&gt;0,OR(AUTOEVENTO&lt;&gt;"manual",$M77&lt;&gt;1)),ROUND(OFFSET($P77,0,AM$13),15-13*ORÇAMENTO!$AF$7)/$H77*OFFSET(ORÇAMENTO!$X$15,ROW(AM77)-ROW(AM$15),0),0)</f>
        <v>0</v>
      </c>
      <c r="AN77" s="632">
        <f ca="1">IF(AND($D77="Serviço",AN$12&lt;&gt;0,$H77&gt;0,OR(AUTOEVENTO&lt;&gt;"manual",$M77&lt;&gt;1)),ROUND(OFFSET($P77,0,AN$13),15-13*ORÇAMENTO!$AF$7)/$H77*OFFSET(ORÇAMENTO!$X$15,ROW(AN77)-ROW(AN$15),0),0)</f>
        <v>0</v>
      </c>
      <c r="AO77" s="632">
        <f ca="1">IF(AND($D77="Serviço",AO$12&lt;&gt;0,$H77&gt;0,OR(AUTOEVENTO&lt;&gt;"manual",$M77&lt;&gt;1)),ROUND(OFFSET($P77,0,AO$13),15-13*ORÇAMENTO!$AF$7)/$H77*OFFSET(ORÇAMENTO!$X$15,ROW(AO77)-ROW(AO$15),0),0)</f>
        <v>0</v>
      </c>
      <c r="AP77" s="632">
        <f ca="1">IF(AND($D77="Serviço",AP$12&lt;&gt;0,$H77&gt;0,OR(AUTOEVENTO&lt;&gt;"manual",$M77&lt;&gt;1)),ROUND(OFFSET($P77,0,AP$13),15-13*ORÇAMENTO!$AF$7)/$H77*OFFSET(ORÇAMENTO!$X$15,ROW(AP77)-ROW(AP$15),0),0)</f>
        <v>0</v>
      </c>
      <c r="AQ77" s="632">
        <f ca="1">IF(AND($D77="Serviço",AQ$12&lt;&gt;0,$H77&gt;0,OR(AUTOEVENTO&lt;&gt;"manual",$M77&lt;&gt;1)),ROUND(OFFSET($P77,0,AQ$13),15-13*ORÇAMENTO!$AF$7)/$H77*OFFSET(ORÇAMENTO!$X$15,ROW(AQ77)-ROW(AQ$15),0),0)</f>
        <v>0</v>
      </c>
      <c r="AR77" s="632">
        <f ca="1">IF(AND($D77="Serviço",AR$12&lt;&gt;0,$H77&gt;0,OR(AUTOEVENTO&lt;&gt;"manual",$M77&lt;&gt;1)),ROUND(OFFSET($P77,0,AR$13),15-13*ORÇAMENTO!$AF$7)/$H77*OFFSET(ORÇAMENTO!$X$15,ROW(AR77)-ROW(AR$15),0),0)</f>
        <v>0</v>
      </c>
      <c r="AS77" s="633">
        <f ca="1">IF(AND($D77="Serviço",AS$12&lt;&gt;0,$H77&gt;0,OR(AUTOEVENTO&lt;&gt;"manual",$M77&lt;&gt;1)),ROUND(OFFSET($P77,0,AS$13),15-13*ORÇAMENTO!$AF$7)/$H77*OFFSET(ORÇAMENTO!$X$15,ROW(AS77)-ROW(AS$15),0),0)</f>
        <v>0</v>
      </c>
      <c r="AT77" s="632">
        <f ca="1">IF(AND($D77="Serviço",AT$12&lt;&gt;0,$H77&gt;0,OR(AUTOEVENTO&lt;&gt;"manual",$M77&lt;&gt;1)),ROUND(OFFSET($P77,0,AT$13),15-13*ORÇAMENTO!$AF$7)/$H77*OFFSET(ORÇAMENTO!$X$15,ROW(AT77)-ROW(AT$15),0),0)</f>
        <v>0</v>
      </c>
      <c r="AU77" s="632">
        <f ca="1">IF(AND($D77="Serviço",AU$12&lt;&gt;0,$H77&gt;0,OR(AUTOEVENTO&lt;&gt;"manual",$M77&lt;&gt;1)),ROUND(OFFSET($P77,0,AU$13),15-13*ORÇAMENTO!$AF$7)/$H77*OFFSET(ORÇAMENTO!$X$15,ROW(AU77)-ROW(AU$15),0),0)</f>
        <v>0</v>
      </c>
      <c r="AV77" s="632">
        <f ca="1">IF(AND($D77="Serviço",AV$12&lt;&gt;0,$H77&gt;0,OR(AUTOEVENTO&lt;&gt;"manual",$M77&lt;&gt;1)),ROUND(OFFSET($P77,0,AV$13),15-13*ORÇAMENTO!$AF$7)/$H77*OFFSET(ORÇAMENTO!$X$15,ROW(AV77)-ROW(AV$15),0),0)</f>
        <v>0</v>
      </c>
      <c r="AW77" s="632">
        <f ca="1">IF(AND($D77="Serviço",AW$12&lt;&gt;0,$H77&gt;0,OR(AUTOEVENTO&lt;&gt;"manual",$M77&lt;&gt;1)),ROUND(OFFSET($P77,0,AW$13),15-13*ORÇAMENTO!$AF$7)/$H77*OFFSET(ORÇAMENTO!$X$15,ROW(AW77)-ROW(AW$15),0),0)</f>
        <v>0</v>
      </c>
      <c r="AX77" s="632">
        <f ca="1">IF(AND($D77="Serviço",AX$12&lt;&gt;0,$H77&gt;0,OR(AUTOEVENTO&lt;&gt;"manual",$M77&lt;&gt;1)),ROUND(OFFSET($P77,0,AX$13),15-13*ORÇAMENTO!$AF$7)/$H77*OFFSET(ORÇAMENTO!$X$15,ROW(AX77)-ROW(AX$15),0),0)</f>
        <v>0</v>
      </c>
      <c r="AY77" s="632">
        <f ca="1">IF(AND($D77="Serviço",AY$12&lt;&gt;0,$H77&gt;0,OR(AUTOEVENTO&lt;&gt;"manual",$M77&lt;&gt;1)),ROUND(OFFSET($P77,0,AY$13),15-13*ORÇAMENTO!$AF$7)/$H77*OFFSET(ORÇAMENTO!$X$15,ROW(AY77)-ROW(AY$15),0),0)</f>
        <v>0</v>
      </c>
      <c r="AZ77" s="632">
        <f ca="1">IF(AND($D77="Serviço",AZ$12&lt;&gt;0,$H77&gt;0,OR(AUTOEVENTO&lt;&gt;"manual",$M77&lt;&gt;1)),ROUND(OFFSET($P77,0,AZ$13),15-13*ORÇAMENTO!$AF$7)/$H77*OFFSET(ORÇAMENTO!$X$15,ROW(AZ77)-ROW(AZ$15),0),0)</f>
        <v>0</v>
      </c>
      <c r="BA77" s="633">
        <f ca="1">IF(AND($D77="Serviço",BA$12&lt;&gt;0,$H77&gt;0,OR(AUTOEVENTO&lt;&gt;"manual",$M77&lt;&gt;1)),ROUND(OFFSET($P77,0,BA$13),15-13*ORÇAMENTO!$AF$7)/$H77*OFFSET(ORÇAMENTO!$X$15,ROW(BA77)-ROW(BA$15),0),0)</f>
        <v>0</v>
      </c>
      <c r="BC77" s="215">
        <f ca="1">IF($D77&lt;&gt;"Serviço",0,IF(AND(AUTOEVENTO="Manual",$M77=1),0,IF(OFFSET(CRONOPLE!$F$14,$M77,BC$13)="",10^12,OFFSET(CRONOPLE!$F$14,$M77,BC$13))))</f>
        <v>1000000000000</v>
      </c>
      <c r="BD77" s="215">
        <f ca="1">IF($D77&lt;&gt;"Serviço",0,IF(AND(AUTOEVENTO="Manual",$M77=1),0,IF(OFFSET(CRONOPLE!$F$14,$M77,BD$13)="",10^12,OFFSET(CRONOPLE!$F$14,$M77,BD$13))))</f>
        <v>1000000000000</v>
      </c>
      <c r="BE77" s="215">
        <f ca="1">IF($D77&lt;&gt;"Serviço",0,IF(AND(AUTOEVENTO="Manual",$M77=1),0,IF(OFFSET(CRONOPLE!$F$14,$M77,BE$13)="",10^12,OFFSET(CRONOPLE!$F$14,$M77,BE$13))))</f>
        <v>1000000000000</v>
      </c>
      <c r="BF77" s="215">
        <f ca="1">IF($D77&lt;&gt;"Serviço",0,IF(AND(AUTOEVENTO="Manual",$M77=1),0,IF(OFFSET(CRONOPLE!$F$14,$M77,BF$13)="",10^12,OFFSET(CRONOPLE!$F$14,$M77,BF$13))))</f>
        <v>1000000000000</v>
      </c>
      <c r="BG77" s="215">
        <f ca="1">IF($D77&lt;&gt;"Serviço",0,IF(AND(AUTOEVENTO="Manual",$M77=1),0,IF(OFFSET(CRONOPLE!$F$14,$M77,BG$13)="",10^12,OFFSET(CRONOPLE!$F$14,$M77,BG$13))))</f>
        <v>1000000000000</v>
      </c>
      <c r="BH77" s="215">
        <f ca="1">IF($D77&lt;&gt;"Serviço",0,IF(AND(AUTOEVENTO="Manual",$M77=1),0,IF(OFFSET(CRONOPLE!$F$14,$M77,BH$13)="",10^12,OFFSET(CRONOPLE!$F$14,$M77,BH$13))))</f>
        <v>1000000000000</v>
      </c>
      <c r="BI77" s="215">
        <f ca="1">IF($D77&lt;&gt;"Serviço",0,IF(AND(AUTOEVENTO="Manual",$M77=1),0,IF(OFFSET(CRONOPLE!$F$14,$M77,BI$13)="",10^12,OFFSET(CRONOPLE!$F$14,$M77,BI$13))))</f>
        <v>1000000000000</v>
      </c>
      <c r="BJ77" s="215">
        <f ca="1">IF($D77&lt;&gt;"Serviço",0,IF(AND(AUTOEVENTO="Manual",$M77=1),0,IF(OFFSET(CRONOPLE!$F$14,$M77,BJ$13)="",10^12,OFFSET(CRONOPLE!$F$14,$M77,BJ$13))))</f>
        <v>1000000000000</v>
      </c>
      <c r="BK77" s="215">
        <f ca="1">IF($D77&lt;&gt;"Serviço",0,IF(AND(AUTOEVENTO="Manual",$M77=1),0,IF(OFFSET(CRONOPLE!$F$14,$M77,BK$13)="",10^12,OFFSET(CRONOPLE!$F$14,$M77,BK$13))))</f>
        <v>1000000000000</v>
      </c>
      <c r="BL77" s="215">
        <f ca="1">IF($D77&lt;&gt;"Serviço",0,IF(AND(AUTOEVENTO="Manual",$M77=1),0,IF(OFFSET(CRONOPLE!$F$14,$M77,BL$13)="",10^12,OFFSET(CRONOPLE!$F$14,$M77,BL$13))))</f>
        <v>1000000000000</v>
      </c>
      <c r="BM77" s="215">
        <f ca="1">IF($D77&lt;&gt;"Serviço",0,IF(AND(AUTOEVENTO="Manual",$M77=1),0,IF(OFFSET(CRONOPLE!$F$14,$M77,BM$13)="",10^12,OFFSET(CRONOPLE!$F$14,$M77,BM$13))))</f>
        <v>1000000000000</v>
      </c>
      <c r="BN77" s="215">
        <f ca="1">IF($D77&lt;&gt;"Serviço",0,IF(AND(AUTOEVENTO="Manual",$M77=1),0,IF(OFFSET(CRONOPLE!$F$14,$M77,BN$13)="",10^12,OFFSET(CRONOPLE!$F$14,$M77,BN$13))))</f>
        <v>1000000000000</v>
      </c>
      <c r="BO77" s="215">
        <f ca="1">IF($D77&lt;&gt;"Serviço",0,IF(AND(AUTOEVENTO="Manual",$M77=1),0,IF(OFFSET(CRONOPLE!$F$14,$M77,BO$13)="",10^12,OFFSET(CRONOPLE!$F$14,$M77,BO$13))))</f>
        <v>1000000000000</v>
      </c>
      <c r="BP77" s="215">
        <f ca="1">IF($D77&lt;&gt;"Serviço",0,IF(AND(AUTOEVENTO="Manual",$M77=1),0,IF(OFFSET(CRONOPLE!$F$14,$M77,BP$13)="",10^12,OFFSET(CRONOPLE!$F$14,$M77,BP$13))))</f>
        <v>1000000000000</v>
      </c>
      <c r="BQ77" s="215">
        <f ca="1">IF($D77&lt;&gt;"Serviço",0,IF(AND(AUTOEVENTO="Manual",$M77=1),0,IF(OFFSET(CRONOPLE!$F$14,$M77,BQ$13)="",10^12,OFFSET(CRONOPLE!$F$14,$M77,BQ$13))))</f>
        <v>1000000000000</v>
      </c>
      <c r="BR77" s="215">
        <f ca="1">IF($D77&lt;&gt;"Serviço",0,IF(AND(AUTOEVENTO="Manual",$M77=1),0,IF(OFFSET(CRONOPLE!$F$14,$M77,BR$13)="",10^12,OFFSET(CRONOPLE!$F$14,$M77,BR$13))))</f>
        <v>1000000000000</v>
      </c>
      <c r="BS77" s="215">
        <f ca="1">IF($D77&lt;&gt;"Serviço",0,IF(AND(AUTOEVENTO="Manual",$M77=1),0,IF(OFFSET(CRONOPLE!$F$14,$M77,BS$13)="",10^12,OFFSET(CRONOPLE!$F$14,$M77,BS$13))))</f>
        <v>1000000000000</v>
      </c>
      <c r="BT77" s="215">
        <f ca="1">IF($D77&lt;&gt;"Serviço",0,IF(AND(AUTOEVENTO="Manual",$M77=1),0,IF(OFFSET(CRONOPLE!$F$14,$M77,BT$13)="",10^12,OFFSET(CRONOPLE!$F$14,$M77,BT$13))))</f>
        <v>1000000000000</v>
      </c>
      <c r="BV77" s="216">
        <f ca="1">IF($D77&lt;&gt;"Serviço",0,IF(OR(AND(AUTOEVENTO="Manual",$M77=1),$M77&gt;(ROW(PLE.lastrow)-ROW(PLE.firstrow))),0,IF(OFFSET(PLE!$G$14,$M77,BV$13)="",10^12,OFFSET(PLE!$G$14,$M77,BV$13))))</f>
        <v>1000000000000</v>
      </c>
      <c r="BW77" s="216">
        <f ca="1">IF($D77&lt;&gt;"Serviço",0,IF(OR(AND(AUTOEVENTO="Manual",$M77=1),$M77&gt;(ROW(PLE.lastrow)-ROW(PLE.firstrow))),0,IF(OFFSET(PLE!$G$14,$M77,BW$13)="",10^12,OFFSET(PLE!$G$14,$M77,BW$13))))</f>
        <v>1000000000000</v>
      </c>
      <c r="BX77" s="216">
        <f ca="1">IF($D77&lt;&gt;"Serviço",0,IF(OR(AND(AUTOEVENTO="Manual",$M77=1),$M77&gt;(ROW(PLE.lastrow)-ROW(PLE.firstrow))),0,IF(OFFSET(PLE!$G$14,$M77,BX$13)="",10^12,OFFSET(PLE!$G$14,$M77,BX$13))))</f>
        <v>1000000000000</v>
      </c>
      <c r="BY77" s="216">
        <f ca="1">IF($D77&lt;&gt;"Serviço",0,IF(OR(AND(AUTOEVENTO="Manual",$M77=1),$M77&gt;(ROW(PLE.lastrow)-ROW(PLE.firstrow))),0,IF(OFFSET(PLE!$G$14,$M77,BY$13)="",10^12,OFFSET(PLE!$G$14,$M77,BY$13))))</f>
        <v>1000000000000</v>
      </c>
      <c r="BZ77" s="216">
        <f ca="1">IF($D77&lt;&gt;"Serviço",0,IF(OR(AND(AUTOEVENTO="Manual",$M77=1),$M77&gt;(ROW(PLE.lastrow)-ROW(PLE.firstrow))),0,IF(OFFSET(PLE!$G$14,$M77,BZ$13)="",10^12,OFFSET(PLE!$G$14,$M77,BZ$13))))</f>
        <v>1000000000000</v>
      </c>
      <c r="CA77" s="216">
        <f ca="1">IF($D77&lt;&gt;"Serviço",0,IF(OR(AND(AUTOEVENTO="Manual",$M77=1),$M77&gt;(ROW(PLE.lastrow)-ROW(PLE.firstrow))),0,IF(OFFSET(PLE!$G$14,$M77,CA$13)="",10^12,OFFSET(PLE!$G$14,$M77,CA$13))))</f>
        <v>1000000000000</v>
      </c>
      <c r="CB77" s="216">
        <f ca="1">IF($D77&lt;&gt;"Serviço",0,IF(OR(AND(AUTOEVENTO="Manual",$M77=1),$M77&gt;(ROW(PLE.lastrow)-ROW(PLE.firstrow))),0,IF(OFFSET(PLE!$G$14,$M77,CB$13)="",10^12,OFFSET(PLE!$G$14,$M77,CB$13))))</f>
        <v>1000000000000</v>
      </c>
      <c r="CC77" s="216">
        <f ca="1">IF($D77&lt;&gt;"Serviço",0,IF(OR(AND(AUTOEVENTO="Manual",$M77=1),$M77&gt;(ROW(PLE.lastrow)-ROW(PLE.firstrow))),0,IF(OFFSET(PLE!$G$14,$M77,CC$13)="",10^12,OFFSET(PLE!$G$14,$M77,CC$13))))</f>
        <v>1000000000000</v>
      </c>
      <c r="CD77" s="216">
        <f ca="1">IF($D77&lt;&gt;"Serviço",0,IF(OR(AND(AUTOEVENTO="Manual",$M77=1),$M77&gt;(ROW(PLE.lastrow)-ROW(PLE.firstrow))),0,IF(OFFSET(PLE!$G$14,$M77,CD$13)="",10^12,OFFSET(PLE!$G$14,$M77,CD$13))))</f>
        <v>1000000000000</v>
      </c>
      <c r="CE77" s="216">
        <f ca="1">IF($D77&lt;&gt;"Serviço",0,IF(OR(AND(AUTOEVENTO="Manual",$M77=1),$M77&gt;(ROW(PLE.lastrow)-ROW(PLE.firstrow))),0,IF(OFFSET(PLE!$G$14,$M77,CE$13)="",10^12,OFFSET(PLE!$G$14,$M77,CE$13))))</f>
        <v>1000000000000</v>
      </c>
      <c r="CF77" s="216">
        <f ca="1">IF($D77&lt;&gt;"Serviço",0,IF(OR(AND(AUTOEVENTO="Manual",$M77=1),$M77&gt;(ROW(PLE.lastrow)-ROW(PLE.firstrow))),0,IF(OFFSET(PLE!$G$14,$M77,CF$13)="",10^12,OFFSET(PLE!$G$14,$M77,CF$13))))</f>
        <v>1000000000000</v>
      </c>
      <c r="CG77" s="216">
        <f ca="1">IF($D77&lt;&gt;"Serviço",0,IF(OR(AND(AUTOEVENTO="Manual",$M77=1),$M77&gt;(ROW(PLE.lastrow)-ROW(PLE.firstrow))),0,IF(OFFSET(PLE!$G$14,$M77,CG$13)="",10^12,OFFSET(PLE!$G$14,$M77,CG$13))))</f>
        <v>1000000000000</v>
      </c>
      <c r="CH77" s="216">
        <f ca="1">IF($D77&lt;&gt;"Serviço",0,IF(OR(AND(AUTOEVENTO="Manual",$M77=1),$M77&gt;(ROW(PLE.lastrow)-ROW(PLE.firstrow))),0,IF(OFFSET(PLE!$G$14,$M77,CH$13)="",10^12,OFFSET(PLE!$G$14,$M77,CH$13))))</f>
        <v>1000000000000</v>
      </c>
      <c r="CI77" s="216">
        <f ca="1">IF($D77&lt;&gt;"Serviço",0,IF(OR(AND(AUTOEVENTO="Manual",$M77=1),$M77&gt;(ROW(PLE.lastrow)-ROW(PLE.firstrow))),0,IF(OFFSET(PLE!$G$14,$M77,CI$13)="",10^12,OFFSET(PLE!$G$14,$M77,CI$13))))</f>
        <v>1000000000000</v>
      </c>
      <c r="CJ77" s="216">
        <f ca="1">IF($D77&lt;&gt;"Serviço",0,IF(OR(AND(AUTOEVENTO="Manual",$M77=1),$M77&gt;(ROW(PLE.lastrow)-ROW(PLE.firstrow))),0,IF(OFFSET(PLE!$G$14,$M77,CJ$13)="",10^12,OFFSET(PLE!$G$14,$M77,CJ$13))))</f>
        <v>1000000000000</v>
      </c>
      <c r="CK77" s="216">
        <f ca="1">IF($D77&lt;&gt;"Serviço",0,IF(OR(AND(AUTOEVENTO="Manual",$M77=1),$M77&gt;(ROW(PLE.lastrow)-ROW(PLE.firstrow))),0,IF(OFFSET(PLE!$G$14,$M77,CK$13)="",10^12,OFFSET(PLE!$G$14,$M77,CK$13))))</f>
        <v>1000000000000</v>
      </c>
      <c r="CL77" s="216">
        <f ca="1">IF($D77&lt;&gt;"Serviço",0,IF(OR(AND(AUTOEVENTO="Manual",$M77=1),$M77&gt;(ROW(PLE.lastrow)-ROW(PLE.firstrow))),0,IF(OFFSET(PLE!$G$14,$M77,CL$13)="",10^12,OFFSET(PLE!$G$14,$M77,CL$13))))</f>
        <v>1000000000000</v>
      </c>
      <c r="CM77" s="216">
        <f ca="1">IF($D77&lt;&gt;"Serviço",0,IF(OR(AND(AUTOEVENTO="Manual",$M77=1),$M77&gt;(ROW(PLE.lastrow)-ROW(PLE.firstrow))),0,IF(OFFSET(PLE!$G$14,$M77,CM$13)="",10^12,OFFSET(PLE!$G$14,$M77,CM$13))))</f>
        <v>1000000000000</v>
      </c>
    </row>
    <row r="78" spans="1:91" ht="13.2" x14ac:dyDescent="0.25">
      <c r="A78" s="9">
        <f t="shared" ca="1" si="9"/>
        <v>0</v>
      </c>
      <c r="B78" s="9" t="str">
        <f ca="1">OFFSET(ORÇAMENTO!C$15,ROW(B78)-ROW(B$15),0)</f>
        <v>S</v>
      </c>
      <c r="C78" s="9" t="str">
        <f ca="1">OFFSET(ORÇAMENTO!L$15,ROW(C78)-ROW(C$15),0)</f>
        <v/>
      </c>
      <c r="D78" s="145" t="str">
        <f ca="1">OFFSET(ORÇAMENTO!N$15,ROW(D78)-ROW(D$15),0)</f>
        <v>Serviço</v>
      </c>
      <c r="E78" s="205" t="str">
        <f ca="1">OFFSET(ORÇAMENTO!O$15,ROW(E78)-ROW(E$15),0)</f>
        <v>-</v>
      </c>
      <c r="F78" s="206" t="str">
        <f ca="1">OFFSET(ORÇAMENTO!R$15,ROW(F78)-ROW(F$15),0)</f>
        <v>(abra o arquivo 'Referência 05-2024.xls)</v>
      </c>
      <c r="G78" s="207" t="str">
        <f ca="1">IF($D78&lt;&gt;"Serviço","",OFFSET(ORÇAMENTO!S$15,ROW(G78)-ROW(G$15),0))</f>
        <v>-</v>
      </c>
      <c r="H78" s="151">
        <f ca="1">IF($D78&lt;&gt;"Serviço",0,IF(ACOMPANHAMENTO="BM",ROUND(OFFSET(ORÇAMENTO!AJ$15,ROW(H78)-ROW(H$15),0),15-13*ORÇAMENTO!$AF$7),SUMPRODUCT(($Q$12:$AI$12&lt;&gt;"")*ROUND($Q78:$AI78,15-13*ORÇAMENTO!$AF$7))))</f>
        <v>132.28</v>
      </c>
      <c r="I78" s="650"/>
      <c r="K78" s="208"/>
      <c r="L78" s="209" t="s">
        <v>257</v>
      </c>
      <c r="M78" s="210">
        <f ca="1">IF($D78&lt;&gt;"Serviço","",IF(AUTOEVENTO="manual",$A78,IF(ISERROR(MATCH($A78,$A$15:OFFSET($A78,-1,0),0)),MAX($M$15:OFFSET(M78,-1,0))+1,INDEX($M$15:OFFSET(M78,-1,0),MATCH($A78,$A$15:OFFSET($A78,-1,0),0)))))</f>
        <v>0</v>
      </c>
      <c r="N78" s="211" t="str">
        <f ca="1">IF($D78&lt;&gt;"Serviço","",IF(AUTOEVENTO="Manual",IF($A78=0,"&lt;-- defina o número do agrupador",OFFSET(EVENTOS!$D$14,$A78,0)),OFFSET($F$15,$A78,0)))</f>
        <v>&lt;-- defina o número do agrupador</v>
      </c>
      <c r="O78" s="212"/>
      <c r="Q78" s="212"/>
      <c r="R78" s="213"/>
      <c r="S78" s="213"/>
      <c r="T78" s="213"/>
      <c r="U78" s="213"/>
      <c r="V78" s="213"/>
      <c r="W78" s="213"/>
      <c r="X78" s="213"/>
      <c r="Y78" s="213"/>
      <c r="Z78" s="214"/>
      <c r="AA78" s="213"/>
      <c r="AB78" s="213"/>
      <c r="AC78" s="213"/>
      <c r="AD78" s="213"/>
      <c r="AE78" s="213"/>
      <c r="AF78" s="213"/>
      <c r="AG78" s="213"/>
      <c r="AH78" s="214"/>
      <c r="AJ78" s="631">
        <f ca="1">IF(AND($D78="Serviço",AJ$12&lt;&gt;0,$H78&gt;0,OR(AUTOEVENTO&lt;&gt;"manual",$M78&lt;&gt;1)),ROUND(OFFSET($P78,0,AJ$13),15-13*ORÇAMENTO!$AF$7)/$H78*OFFSET(ORÇAMENTO!$X$15,ROW(AJ78)-ROW(AJ$15),0),0)</f>
        <v>0</v>
      </c>
      <c r="AK78" s="632">
        <f ca="1">IF(AND($D78="Serviço",AK$12&lt;&gt;0,$H78&gt;0,OR(AUTOEVENTO&lt;&gt;"manual",$M78&lt;&gt;1)),ROUND(OFFSET($P78,0,AK$13),15-13*ORÇAMENTO!$AF$7)/$H78*OFFSET(ORÇAMENTO!$X$15,ROW(AK78)-ROW(AK$15),0),0)</f>
        <v>0</v>
      </c>
      <c r="AL78" s="632">
        <f ca="1">IF(AND($D78="Serviço",AL$12&lt;&gt;0,$H78&gt;0,OR(AUTOEVENTO&lt;&gt;"manual",$M78&lt;&gt;1)),ROUND(OFFSET($P78,0,AL$13),15-13*ORÇAMENTO!$AF$7)/$H78*OFFSET(ORÇAMENTO!$X$15,ROW(AL78)-ROW(AL$15),0),0)</f>
        <v>0</v>
      </c>
      <c r="AM78" s="632">
        <f ca="1">IF(AND($D78="Serviço",AM$12&lt;&gt;0,$H78&gt;0,OR(AUTOEVENTO&lt;&gt;"manual",$M78&lt;&gt;1)),ROUND(OFFSET($P78,0,AM$13),15-13*ORÇAMENTO!$AF$7)/$H78*OFFSET(ORÇAMENTO!$X$15,ROW(AM78)-ROW(AM$15),0),0)</f>
        <v>0</v>
      </c>
      <c r="AN78" s="632">
        <f ca="1">IF(AND($D78="Serviço",AN$12&lt;&gt;0,$H78&gt;0,OR(AUTOEVENTO&lt;&gt;"manual",$M78&lt;&gt;1)),ROUND(OFFSET($P78,0,AN$13),15-13*ORÇAMENTO!$AF$7)/$H78*OFFSET(ORÇAMENTO!$X$15,ROW(AN78)-ROW(AN$15),0),0)</f>
        <v>0</v>
      </c>
      <c r="AO78" s="632">
        <f ca="1">IF(AND($D78="Serviço",AO$12&lt;&gt;0,$H78&gt;0,OR(AUTOEVENTO&lt;&gt;"manual",$M78&lt;&gt;1)),ROUND(OFFSET($P78,0,AO$13),15-13*ORÇAMENTO!$AF$7)/$H78*OFFSET(ORÇAMENTO!$X$15,ROW(AO78)-ROW(AO$15),0),0)</f>
        <v>0</v>
      </c>
      <c r="AP78" s="632">
        <f ca="1">IF(AND($D78="Serviço",AP$12&lt;&gt;0,$H78&gt;0,OR(AUTOEVENTO&lt;&gt;"manual",$M78&lt;&gt;1)),ROUND(OFFSET($P78,0,AP$13),15-13*ORÇAMENTO!$AF$7)/$H78*OFFSET(ORÇAMENTO!$X$15,ROW(AP78)-ROW(AP$15),0),0)</f>
        <v>0</v>
      </c>
      <c r="AQ78" s="632">
        <f ca="1">IF(AND($D78="Serviço",AQ$12&lt;&gt;0,$H78&gt;0,OR(AUTOEVENTO&lt;&gt;"manual",$M78&lt;&gt;1)),ROUND(OFFSET($P78,0,AQ$13),15-13*ORÇAMENTO!$AF$7)/$H78*OFFSET(ORÇAMENTO!$X$15,ROW(AQ78)-ROW(AQ$15),0),0)</f>
        <v>0</v>
      </c>
      <c r="AR78" s="632">
        <f ca="1">IF(AND($D78="Serviço",AR$12&lt;&gt;0,$H78&gt;0,OR(AUTOEVENTO&lt;&gt;"manual",$M78&lt;&gt;1)),ROUND(OFFSET($P78,0,AR$13),15-13*ORÇAMENTO!$AF$7)/$H78*OFFSET(ORÇAMENTO!$X$15,ROW(AR78)-ROW(AR$15),0),0)</f>
        <v>0</v>
      </c>
      <c r="AS78" s="633">
        <f ca="1">IF(AND($D78="Serviço",AS$12&lt;&gt;0,$H78&gt;0,OR(AUTOEVENTO&lt;&gt;"manual",$M78&lt;&gt;1)),ROUND(OFFSET($P78,0,AS$13),15-13*ORÇAMENTO!$AF$7)/$H78*OFFSET(ORÇAMENTO!$X$15,ROW(AS78)-ROW(AS$15),0),0)</f>
        <v>0</v>
      </c>
      <c r="AT78" s="632">
        <f ca="1">IF(AND($D78="Serviço",AT$12&lt;&gt;0,$H78&gt;0,OR(AUTOEVENTO&lt;&gt;"manual",$M78&lt;&gt;1)),ROUND(OFFSET($P78,0,AT$13),15-13*ORÇAMENTO!$AF$7)/$H78*OFFSET(ORÇAMENTO!$X$15,ROW(AT78)-ROW(AT$15),0),0)</f>
        <v>0</v>
      </c>
      <c r="AU78" s="632">
        <f ca="1">IF(AND($D78="Serviço",AU$12&lt;&gt;0,$H78&gt;0,OR(AUTOEVENTO&lt;&gt;"manual",$M78&lt;&gt;1)),ROUND(OFFSET($P78,0,AU$13),15-13*ORÇAMENTO!$AF$7)/$H78*OFFSET(ORÇAMENTO!$X$15,ROW(AU78)-ROW(AU$15),0),0)</f>
        <v>0</v>
      </c>
      <c r="AV78" s="632">
        <f ca="1">IF(AND($D78="Serviço",AV$12&lt;&gt;0,$H78&gt;0,OR(AUTOEVENTO&lt;&gt;"manual",$M78&lt;&gt;1)),ROUND(OFFSET($P78,0,AV$13),15-13*ORÇAMENTO!$AF$7)/$H78*OFFSET(ORÇAMENTO!$X$15,ROW(AV78)-ROW(AV$15),0),0)</f>
        <v>0</v>
      </c>
      <c r="AW78" s="632">
        <f ca="1">IF(AND($D78="Serviço",AW$12&lt;&gt;0,$H78&gt;0,OR(AUTOEVENTO&lt;&gt;"manual",$M78&lt;&gt;1)),ROUND(OFFSET($P78,0,AW$13),15-13*ORÇAMENTO!$AF$7)/$H78*OFFSET(ORÇAMENTO!$X$15,ROW(AW78)-ROW(AW$15),0),0)</f>
        <v>0</v>
      </c>
      <c r="AX78" s="632">
        <f ca="1">IF(AND($D78="Serviço",AX$12&lt;&gt;0,$H78&gt;0,OR(AUTOEVENTO&lt;&gt;"manual",$M78&lt;&gt;1)),ROUND(OFFSET($P78,0,AX$13),15-13*ORÇAMENTO!$AF$7)/$H78*OFFSET(ORÇAMENTO!$X$15,ROW(AX78)-ROW(AX$15),0),0)</f>
        <v>0</v>
      </c>
      <c r="AY78" s="632">
        <f ca="1">IF(AND($D78="Serviço",AY$12&lt;&gt;0,$H78&gt;0,OR(AUTOEVENTO&lt;&gt;"manual",$M78&lt;&gt;1)),ROUND(OFFSET($P78,0,AY$13),15-13*ORÇAMENTO!$AF$7)/$H78*OFFSET(ORÇAMENTO!$X$15,ROW(AY78)-ROW(AY$15),0),0)</f>
        <v>0</v>
      </c>
      <c r="AZ78" s="632">
        <f ca="1">IF(AND($D78="Serviço",AZ$12&lt;&gt;0,$H78&gt;0,OR(AUTOEVENTO&lt;&gt;"manual",$M78&lt;&gt;1)),ROUND(OFFSET($P78,0,AZ$13),15-13*ORÇAMENTO!$AF$7)/$H78*OFFSET(ORÇAMENTO!$X$15,ROW(AZ78)-ROW(AZ$15),0),0)</f>
        <v>0</v>
      </c>
      <c r="BA78" s="633">
        <f ca="1">IF(AND($D78="Serviço",BA$12&lt;&gt;0,$H78&gt;0,OR(AUTOEVENTO&lt;&gt;"manual",$M78&lt;&gt;1)),ROUND(OFFSET($P78,0,BA$13),15-13*ORÇAMENTO!$AF$7)/$H78*OFFSET(ORÇAMENTO!$X$15,ROW(BA78)-ROW(BA$15),0),0)</f>
        <v>0</v>
      </c>
      <c r="BC78" s="215">
        <f ca="1">IF($D78&lt;&gt;"Serviço",0,IF(AND(AUTOEVENTO="Manual",$M78=1),0,IF(OFFSET(CRONOPLE!$F$14,$M78,BC$13)="",10^12,OFFSET(CRONOPLE!$F$14,$M78,BC$13))))</f>
        <v>1000000000000</v>
      </c>
      <c r="BD78" s="215">
        <f ca="1">IF($D78&lt;&gt;"Serviço",0,IF(AND(AUTOEVENTO="Manual",$M78=1),0,IF(OFFSET(CRONOPLE!$F$14,$M78,BD$13)="",10^12,OFFSET(CRONOPLE!$F$14,$M78,BD$13))))</f>
        <v>1000000000000</v>
      </c>
      <c r="BE78" s="215">
        <f ca="1">IF($D78&lt;&gt;"Serviço",0,IF(AND(AUTOEVENTO="Manual",$M78=1),0,IF(OFFSET(CRONOPLE!$F$14,$M78,BE$13)="",10^12,OFFSET(CRONOPLE!$F$14,$M78,BE$13))))</f>
        <v>1000000000000</v>
      </c>
      <c r="BF78" s="215">
        <f ca="1">IF($D78&lt;&gt;"Serviço",0,IF(AND(AUTOEVENTO="Manual",$M78=1),0,IF(OFFSET(CRONOPLE!$F$14,$M78,BF$13)="",10^12,OFFSET(CRONOPLE!$F$14,$M78,BF$13))))</f>
        <v>1000000000000</v>
      </c>
      <c r="BG78" s="215">
        <f ca="1">IF($D78&lt;&gt;"Serviço",0,IF(AND(AUTOEVENTO="Manual",$M78=1),0,IF(OFFSET(CRONOPLE!$F$14,$M78,BG$13)="",10^12,OFFSET(CRONOPLE!$F$14,$M78,BG$13))))</f>
        <v>1000000000000</v>
      </c>
      <c r="BH78" s="215">
        <f ca="1">IF($D78&lt;&gt;"Serviço",0,IF(AND(AUTOEVENTO="Manual",$M78=1),0,IF(OFFSET(CRONOPLE!$F$14,$M78,BH$13)="",10^12,OFFSET(CRONOPLE!$F$14,$M78,BH$13))))</f>
        <v>1000000000000</v>
      </c>
      <c r="BI78" s="215">
        <f ca="1">IF($D78&lt;&gt;"Serviço",0,IF(AND(AUTOEVENTO="Manual",$M78=1),0,IF(OFFSET(CRONOPLE!$F$14,$M78,BI$13)="",10^12,OFFSET(CRONOPLE!$F$14,$M78,BI$13))))</f>
        <v>1000000000000</v>
      </c>
      <c r="BJ78" s="215">
        <f ca="1">IF($D78&lt;&gt;"Serviço",0,IF(AND(AUTOEVENTO="Manual",$M78=1),0,IF(OFFSET(CRONOPLE!$F$14,$M78,BJ$13)="",10^12,OFFSET(CRONOPLE!$F$14,$M78,BJ$13))))</f>
        <v>1000000000000</v>
      </c>
      <c r="BK78" s="215">
        <f ca="1">IF($D78&lt;&gt;"Serviço",0,IF(AND(AUTOEVENTO="Manual",$M78=1),0,IF(OFFSET(CRONOPLE!$F$14,$M78,BK$13)="",10^12,OFFSET(CRONOPLE!$F$14,$M78,BK$13))))</f>
        <v>1000000000000</v>
      </c>
      <c r="BL78" s="215">
        <f ca="1">IF($D78&lt;&gt;"Serviço",0,IF(AND(AUTOEVENTO="Manual",$M78=1),0,IF(OFFSET(CRONOPLE!$F$14,$M78,BL$13)="",10^12,OFFSET(CRONOPLE!$F$14,$M78,BL$13))))</f>
        <v>1000000000000</v>
      </c>
      <c r="BM78" s="215">
        <f ca="1">IF($D78&lt;&gt;"Serviço",0,IF(AND(AUTOEVENTO="Manual",$M78=1),0,IF(OFFSET(CRONOPLE!$F$14,$M78,BM$13)="",10^12,OFFSET(CRONOPLE!$F$14,$M78,BM$13))))</f>
        <v>1000000000000</v>
      </c>
      <c r="BN78" s="215">
        <f ca="1">IF($D78&lt;&gt;"Serviço",0,IF(AND(AUTOEVENTO="Manual",$M78=1),0,IF(OFFSET(CRONOPLE!$F$14,$M78,BN$13)="",10^12,OFFSET(CRONOPLE!$F$14,$M78,BN$13))))</f>
        <v>1000000000000</v>
      </c>
      <c r="BO78" s="215">
        <f ca="1">IF($D78&lt;&gt;"Serviço",0,IF(AND(AUTOEVENTO="Manual",$M78=1),0,IF(OFFSET(CRONOPLE!$F$14,$M78,BO$13)="",10^12,OFFSET(CRONOPLE!$F$14,$M78,BO$13))))</f>
        <v>1000000000000</v>
      </c>
      <c r="BP78" s="215">
        <f ca="1">IF($D78&lt;&gt;"Serviço",0,IF(AND(AUTOEVENTO="Manual",$M78=1),0,IF(OFFSET(CRONOPLE!$F$14,$M78,BP$13)="",10^12,OFFSET(CRONOPLE!$F$14,$M78,BP$13))))</f>
        <v>1000000000000</v>
      </c>
      <c r="BQ78" s="215">
        <f ca="1">IF($D78&lt;&gt;"Serviço",0,IF(AND(AUTOEVENTO="Manual",$M78=1),0,IF(OFFSET(CRONOPLE!$F$14,$M78,BQ$13)="",10^12,OFFSET(CRONOPLE!$F$14,$M78,BQ$13))))</f>
        <v>1000000000000</v>
      </c>
      <c r="BR78" s="215">
        <f ca="1">IF($D78&lt;&gt;"Serviço",0,IF(AND(AUTOEVENTO="Manual",$M78=1),0,IF(OFFSET(CRONOPLE!$F$14,$M78,BR$13)="",10^12,OFFSET(CRONOPLE!$F$14,$M78,BR$13))))</f>
        <v>1000000000000</v>
      </c>
      <c r="BS78" s="215">
        <f ca="1">IF($D78&lt;&gt;"Serviço",0,IF(AND(AUTOEVENTO="Manual",$M78=1),0,IF(OFFSET(CRONOPLE!$F$14,$M78,BS$13)="",10^12,OFFSET(CRONOPLE!$F$14,$M78,BS$13))))</f>
        <v>1000000000000</v>
      </c>
      <c r="BT78" s="215">
        <f ca="1">IF($D78&lt;&gt;"Serviço",0,IF(AND(AUTOEVENTO="Manual",$M78=1),0,IF(OFFSET(CRONOPLE!$F$14,$M78,BT$13)="",10^12,OFFSET(CRONOPLE!$F$14,$M78,BT$13))))</f>
        <v>1000000000000</v>
      </c>
      <c r="BV78" s="216">
        <f ca="1">IF($D78&lt;&gt;"Serviço",0,IF(OR(AND(AUTOEVENTO="Manual",$M78=1),$M78&gt;(ROW(PLE.lastrow)-ROW(PLE.firstrow))),0,IF(OFFSET(PLE!$G$14,$M78,BV$13)="",10^12,OFFSET(PLE!$G$14,$M78,BV$13))))</f>
        <v>1000000000000</v>
      </c>
      <c r="BW78" s="216">
        <f ca="1">IF($D78&lt;&gt;"Serviço",0,IF(OR(AND(AUTOEVENTO="Manual",$M78=1),$M78&gt;(ROW(PLE.lastrow)-ROW(PLE.firstrow))),0,IF(OFFSET(PLE!$G$14,$M78,BW$13)="",10^12,OFFSET(PLE!$G$14,$M78,BW$13))))</f>
        <v>1000000000000</v>
      </c>
      <c r="BX78" s="216">
        <f ca="1">IF($D78&lt;&gt;"Serviço",0,IF(OR(AND(AUTOEVENTO="Manual",$M78=1),$M78&gt;(ROW(PLE.lastrow)-ROW(PLE.firstrow))),0,IF(OFFSET(PLE!$G$14,$M78,BX$13)="",10^12,OFFSET(PLE!$G$14,$M78,BX$13))))</f>
        <v>1000000000000</v>
      </c>
      <c r="BY78" s="216">
        <f ca="1">IF($D78&lt;&gt;"Serviço",0,IF(OR(AND(AUTOEVENTO="Manual",$M78=1),$M78&gt;(ROW(PLE.lastrow)-ROW(PLE.firstrow))),0,IF(OFFSET(PLE!$G$14,$M78,BY$13)="",10^12,OFFSET(PLE!$G$14,$M78,BY$13))))</f>
        <v>1000000000000</v>
      </c>
      <c r="BZ78" s="216">
        <f ca="1">IF($D78&lt;&gt;"Serviço",0,IF(OR(AND(AUTOEVENTO="Manual",$M78=1),$M78&gt;(ROW(PLE.lastrow)-ROW(PLE.firstrow))),0,IF(OFFSET(PLE!$G$14,$M78,BZ$13)="",10^12,OFFSET(PLE!$G$14,$M78,BZ$13))))</f>
        <v>1000000000000</v>
      </c>
      <c r="CA78" s="216">
        <f ca="1">IF($D78&lt;&gt;"Serviço",0,IF(OR(AND(AUTOEVENTO="Manual",$M78=1),$M78&gt;(ROW(PLE.lastrow)-ROW(PLE.firstrow))),0,IF(OFFSET(PLE!$G$14,$M78,CA$13)="",10^12,OFFSET(PLE!$G$14,$M78,CA$13))))</f>
        <v>1000000000000</v>
      </c>
      <c r="CB78" s="216">
        <f ca="1">IF($D78&lt;&gt;"Serviço",0,IF(OR(AND(AUTOEVENTO="Manual",$M78=1),$M78&gt;(ROW(PLE.lastrow)-ROW(PLE.firstrow))),0,IF(OFFSET(PLE!$G$14,$M78,CB$13)="",10^12,OFFSET(PLE!$G$14,$M78,CB$13))))</f>
        <v>1000000000000</v>
      </c>
      <c r="CC78" s="216">
        <f ca="1">IF($D78&lt;&gt;"Serviço",0,IF(OR(AND(AUTOEVENTO="Manual",$M78=1),$M78&gt;(ROW(PLE.lastrow)-ROW(PLE.firstrow))),0,IF(OFFSET(PLE!$G$14,$M78,CC$13)="",10^12,OFFSET(PLE!$G$14,$M78,CC$13))))</f>
        <v>1000000000000</v>
      </c>
      <c r="CD78" s="216">
        <f ca="1">IF($D78&lt;&gt;"Serviço",0,IF(OR(AND(AUTOEVENTO="Manual",$M78=1),$M78&gt;(ROW(PLE.lastrow)-ROW(PLE.firstrow))),0,IF(OFFSET(PLE!$G$14,$M78,CD$13)="",10^12,OFFSET(PLE!$G$14,$M78,CD$13))))</f>
        <v>1000000000000</v>
      </c>
      <c r="CE78" s="216">
        <f ca="1">IF($D78&lt;&gt;"Serviço",0,IF(OR(AND(AUTOEVENTO="Manual",$M78=1),$M78&gt;(ROW(PLE.lastrow)-ROW(PLE.firstrow))),0,IF(OFFSET(PLE!$G$14,$M78,CE$13)="",10^12,OFFSET(PLE!$G$14,$M78,CE$13))))</f>
        <v>1000000000000</v>
      </c>
      <c r="CF78" s="216">
        <f ca="1">IF($D78&lt;&gt;"Serviço",0,IF(OR(AND(AUTOEVENTO="Manual",$M78=1),$M78&gt;(ROW(PLE.lastrow)-ROW(PLE.firstrow))),0,IF(OFFSET(PLE!$G$14,$M78,CF$13)="",10^12,OFFSET(PLE!$G$14,$M78,CF$13))))</f>
        <v>1000000000000</v>
      </c>
      <c r="CG78" s="216">
        <f ca="1">IF($D78&lt;&gt;"Serviço",0,IF(OR(AND(AUTOEVENTO="Manual",$M78=1),$M78&gt;(ROW(PLE.lastrow)-ROW(PLE.firstrow))),0,IF(OFFSET(PLE!$G$14,$M78,CG$13)="",10^12,OFFSET(PLE!$G$14,$M78,CG$13))))</f>
        <v>1000000000000</v>
      </c>
      <c r="CH78" s="216">
        <f ca="1">IF($D78&lt;&gt;"Serviço",0,IF(OR(AND(AUTOEVENTO="Manual",$M78=1),$M78&gt;(ROW(PLE.lastrow)-ROW(PLE.firstrow))),0,IF(OFFSET(PLE!$G$14,$M78,CH$13)="",10^12,OFFSET(PLE!$G$14,$M78,CH$13))))</f>
        <v>1000000000000</v>
      </c>
      <c r="CI78" s="216">
        <f ca="1">IF($D78&lt;&gt;"Serviço",0,IF(OR(AND(AUTOEVENTO="Manual",$M78=1),$M78&gt;(ROW(PLE.lastrow)-ROW(PLE.firstrow))),0,IF(OFFSET(PLE!$G$14,$M78,CI$13)="",10^12,OFFSET(PLE!$G$14,$M78,CI$13))))</f>
        <v>1000000000000</v>
      </c>
      <c r="CJ78" s="216">
        <f ca="1">IF($D78&lt;&gt;"Serviço",0,IF(OR(AND(AUTOEVENTO="Manual",$M78=1),$M78&gt;(ROW(PLE.lastrow)-ROW(PLE.firstrow))),0,IF(OFFSET(PLE!$G$14,$M78,CJ$13)="",10^12,OFFSET(PLE!$G$14,$M78,CJ$13))))</f>
        <v>1000000000000</v>
      </c>
      <c r="CK78" s="216">
        <f ca="1">IF($D78&lt;&gt;"Serviço",0,IF(OR(AND(AUTOEVENTO="Manual",$M78=1),$M78&gt;(ROW(PLE.lastrow)-ROW(PLE.firstrow))),0,IF(OFFSET(PLE!$G$14,$M78,CK$13)="",10^12,OFFSET(PLE!$G$14,$M78,CK$13))))</f>
        <v>1000000000000</v>
      </c>
      <c r="CL78" s="216">
        <f ca="1">IF($D78&lt;&gt;"Serviço",0,IF(OR(AND(AUTOEVENTO="Manual",$M78=1),$M78&gt;(ROW(PLE.lastrow)-ROW(PLE.firstrow))),0,IF(OFFSET(PLE!$G$14,$M78,CL$13)="",10^12,OFFSET(PLE!$G$14,$M78,CL$13))))</f>
        <v>1000000000000</v>
      </c>
      <c r="CM78" s="216">
        <f ca="1">IF($D78&lt;&gt;"Serviço",0,IF(OR(AND(AUTOEVENTO="Manual",$M78=1),$M78&gt;(ROW(PLE.lastrow)-ROW(PLE.firstrow))),0,IF(OFFSET(PLE!$G$14,$M78,CM$13)="",10^12,OFFSET(PLE!$G$14,$M78,CM$13))))</f>
        <v>1000000000000</v>
      </c>
    </row>
    <row r="79" spans="1:91" ht="13.2" x14ac:dyDescent="0.25">
      <c r="A79" s="9">
        <f t="shared" ref="A79:A142" ca="1" si="10">IF(AUTOEVENTO="Manual",IF(K79&lt;&gt;"",MIN(VALUE(LEFT(K79,FIND(".",K79)-1)),COUNTA(EVENTOS.Lista)),0),IF(OR($B79&gt;AUTOEVENTO,$B79="S",$B79=0),SUBSTITUTE(OFFSET($A79,-1,0),IF($D79="Serviço",".",""),""),ROW(A79)-ROW($A$15)&amp;"."))</f>
        <v>0</v>
      </c>
      <c r="B79" s="9" t="str">
        <f ca="1">OFFSET(ORÇAMENTO!C$15,ROW(B79)-ROW(B$15),0)</f>
        <v>S</v>
      </c>
      <c r="C79" s="9" t="str">
        <f ca="1">OFFSET(ORÇAMENTO!L$15,ROW(C79)-ROW(C$15),0)</f>
        <v/>
      </c>
      <c r="D79" s="145" t="str">
        <f ca="1">OFFSET(ORÇAMENTO!N$15,ROW(D79)-ROW(D$15),0)</f>
        <v>Serviço</v>
      </c>
      <c r="E79" s="205" t="str">
        <f ca="1">OFFSET(ORÇAMENTO!O$15,ROW(E79)-ROW(E$15),0)</f>
        <v>-</v>
      </c>
      <c r="F79" s="206" t="str">
        <f ca="1">OFFSET(ORÇAMENTO!R$15,ROW(F79)-ROW(F$15),0)</f>
        <v>(abra o arquivo 'Referência 05-2024.xls)</v>
      </c>
      <c r="G79" s="207" t="str">
        <f ca="1">IF($D79&lt;&gt;"Serviço","",OFFSET(ORÇAMENTO!S$15,ROW(G79)-ROW(G$15),0))</f>
        <v>-</v>
      </c>
      <c r="H79" s="151">
        <f ca="1">IF($D79&lt;&gt;"Serviço",0,IF(ACOMPANHAMENTO="BM",ROUND(OFFSET(ORÇAMENTO!AJ$15,ROW(H79)-ROW(H$15),0),15-13*ORÇAMENTO!$AF$7),SUMPRODUCT(($Q$12:$AI$12&lt;&gt;"")*ROUND($Q79:$AI79,15-13*ORÇAMENTO!$AF$7))))</f>
        <v>22.53</v>
      </c>
      <c r="I79" s="650"/>
      <c r="K79" s="208"/>
      <c r="L79" s="209" t="s">
        <v>257</v>
      </c>
      <c r="M79" s="210">
        <f ca="1">IF($D79&lt;&gt;"Serviço","",IF(AUTOEVENTO="manual",$A79,IF(ISERROR(MATCH($A79,$A$15:OFFSET($A79,-1,0),0)),MAX($M$15:OFFSET(M79,-1,0))+1,INDEX($M$15:OFFSET(M79,-1,0),MATCH($A79,$A$15:OFFSET($A79,-1,0),0)))))</f>
        <v>0</v>
      </c>
      <c r="N79" s="211" t="str">
        <f ca="1">IF($D79&lt;&gt;"Serviço","",IF(AUTOEVENTO="Manual",IF($A79=0,"&lt;-- defina o número do agrupador",OFFSET(EVENTOS!$D$14,$A79,0)),OFFSET($F$15,$A79,0)))</f>
        <v>&lt;-- defina o número do agrupador</v>
      </c>
      <c r="O79" s="212"/>
      <c r="Q79" s="212"/>
      <c r="R79" s="213"/>
      <c r="S79" s="213"/>
      <c r="T79" s="213"/>
      <c r="U79" s="213"/>
      <c r="V79" s="213"/>
      <c r="W79" s="213"/>
      <c r="X79" s="213"/>
      <c r="Y79" s="213"/>
      <c r="Z79" s="214"/>
      <c r="AA79" s="213"/>
      <c r="AB79" s="213"/>
      <c r="AC79" s="213"/>
      <c r="AD79" s="213"/>
      <c r="AE79" s="213"/>
      <c r="AF79" s="213"/>
      <c r="AG79" s="213"/>
      <c r="AH79" s="214"/>
      <c r="AJ79" s="631">
        <f ca="1">IF(AND($D79="Serviço",AJ$12&lt;&gt;0,$H79&gt;0,OR(AUTOEVENTO&lt;&gt;"manual",$M79&lt;&gt;1)),ROUND(OFFSET($P79,0,AJ$13),15-13*ORÇAMENTO!$AF$7)/$H79*OFFSET(ORÇAMENTO!$X$15,ROW(AJ79)-ROW(AJ$15),0),0)</f>
        <v>0</v>
      </c>
      <c r="AK79" s="632">
        <f ca="1">IF(AND($D79="Serviço",AK$12&lt;&gt;0,$H79&gt;0,OR(AUTOEVENTO&lt;&gt;"manual",$M79&lt;&gt;1)),ROUND(OFFSET($P79,0,AK$13),15-13*ORÇAMENTO!$AF$7)/$H79*OFFSET(ORÇAMENTO!$X$15,ROW(AK79)-ROW(AK$15),0),0)</f>
        <v>0</v>
      </c>
      <c r="AL79" s="632">
        <f ca="1">IF(AND($D79="Serviço",AL$12&lt;&gt;0,$H79&gt;0,OR(AUTOEVENTO&lt;&gt;"manual",$M79&lt;&gt;1)),ROUND(OFFSET($P79,0,AL$13),15-13*ORÇAMENTO!$AF$7)/$H79*OFFSET(ORÇAMENTO!$X$15,ROW(AL79)-ROW(AL$15),0),0)</f>
        <v>0</v>
      </c>
      <c r="AM79" s="632">
        <f ca="1">IF(AND($D79="Serviço",AM$12&lt;&gt;0,$H79&gt;0,OR(AUTOEVENTO&lt;&gt;"manual",$M79&lt;&gt;1)),ROUND(OFFSET($P79,0,AM$13),15-13*ORÇAMENTO!$AF$7)/$H79*OFFSET(ORÇAMENTO!$X$15,ROW(AM79)-ROW(AM$15),0),0)</f>
        <v>0</v>
      </c>
      <c r="AN79" s="632">
        <f ca="1">IF(AND($D79="Serviço",AN$12&lt;&gt;0,$H79&gt;0,OR(AUTOEVENTO&lt;&gt;"manual",$M79&lt;&gt;1)),ROUND(OFFSET($P79,0,AN$13),15-13*ORÇAMENTO!$AF$7)/$H79*OFFSET(ORÇAMENTO!$X$15,ROW(AN79)-ROW(AN$15),0),0)</f>
        <v>0</v>
      </c>
      <c r="AO79" s="632">
        <f ca="1">IF(AND($D79="Serviço",AO$12&lt;&gt;0,$H79&gt;0,OR(AUTOEVENTO&lt;&gt;"manual",$M79&lt;&gt;1)),ROUND(OFFSET($P79,0,AO$13),15-13*ORÇAMENTO!$AF$7)/$H79*OFFSET(ORÇAMENTO!$X$15,ROW(AO79)-ROW(AO$15),0),0)</f>
        <v>0</v>
      </c>
      <c r="AP79" s="632">
        <f ca="1">IF(AND($D79="Serviço",AP$12&lt;&gt;0,$H79&gt;0,OR(AUTOEVENTO&lt;&gt;"manual",$M79&lt;&gt;1)),ROUND(OFFSET($P79,0,AP$13),15-13*ORÇAMENTO!$AF$7)/$H79*OFFSET(ORÇAMENTO!$X$15,ROW(AP79)-ROW(AP$15),0),0)</f>
        <v>0</v>
      </c>
      <c r="AQ79" s="632">
        <f ca="1">IF(AND($D79="Serviço",AQ$12&lt;&gt;0,$H79&gt;0,OR(AUTOEVENTO&lt;&gt;"manual",$M79&lt;&gt;1)),ROUND(OFFSET($P79,0,AQ$13),15-13*ORÇAMENTO!$AF$7)/$H79*OFFSET(ORÇAMENTO!$X$15,ROW(AQ79)-ROW(AQ$15),0),0)</f>
        <v>0</v>
      </c>
      <c r="AR79" s="632">
        <f ca="1">IF(AND($D79="Serviço",AR$12&lt;&gt;0,$H79&gt;0,OR(AUTOEVENTO&lt;&gt;"manual",$M79&lt;&gt;1)),ROUND(OFFSET($P79,0,AR$13),15-13*ORÇAMENTO!$AF$7)/$H79*OFFSET(ORÇAMENTO!$X$15,ROW(AR79)-ROW(AR$15),0),0)</f>
        <v>0</v>
      </c>
      <c r="AS79" s="633">
        <f ca="1">IF(AND($D79="Serviço",AS$12&lt;&gt;0,$H79&gt;0,OR(AUTOEVENTO&lt;&gt;"manual",$M79&lt;&gt;1)),ROUND(OFFSET($P79,0,AS$13),15-13*ORÇAMENTO!$AF$7)/$H79*OFFSET(ORÇAMENTO!$X$15,ROW(AS79)-ROW(AS$15),0),0)</f>
        <v>0</v>
      </c>
      <c r="AT79" s="632">
        <f ca="1">IF(AND($D79="Serviço",AT$12&lt;&gt;0,$H79&gt;0,OR(AUTOEVENTO&lt;&gt;"manual",$M79&lt;&gt;1)),ROUND(OFFSET($P79,0,AT$13),15-13*ORÇAMENTO!$AF$7)/$H79*OFFSET(ORÇAMENTO!$X$15,ROW(AT79)-ROW(AT$15),0),0)</f>
        <v>0</v>
      </c>
      <c r="AU79" s="632">
        <f ca="1">IF(AND($D79="Serviço",AU$12&lt;&gt;0,$H79&gt;0,OR(AUTOEVENTO&lt;&gt;"manual",$M79&lt;&gt;1)),ROUND(OFFSET($P79,0,AU$13),15-13*ORÇAMENTO!$AF$7)/$H79*OFFSET(ORÇAMENTO!$X$15,ROW(AU79)-ROW(AU$15),0),0)</f>
        <v>0</v>
      </c>
      <c r="AV79" s="632">
        <f ca="1">IF(AND($D79="Serviço",AV$12&lt;&gt;0,$H79&gt;0,OR(AUTOEVENTO&lt;&gt;"manual",$M79&lt;&gt;1)),ROUND(OFFSET($P79,0,AV$13),15-13*ORÇAMENTO!$AF$7)/$H79*OFFSET(ORÇAMENTO!$X$15,ROW(AV79)-ROW(AV$15),0),0)</f>
        <v>0</v>
      </c>
      <c r="AW79" s="632">
        <f ca="1">IF(AND($D79="Serviço",AW$12&lt;&gt;0,$H79&gt;0,OR(AUTOEVENTO&lt;&gt;"manual",$M79&lt;&gt;1)),ROUND(OFFSET($P79,0,AW$13),15-13*ORÇAMENTO!$AF$7)/$H79*OFFSET(ORÇAMENTO!$X$15,ROW(AW79)-ROW(AW$15),0),0)</f>
        <v>0</v>
      </c>
      <c r="AX79" s="632">
        <f ca="1">IF(AND($D79="Serviço",AX$12&lt;&gt;0,$H79&gt;0,OR(AUTOEVENTO&lt;&gt;"manual",$M79&lt;&gt;1)),ROUND(OFFSET($P79,0,AX$13),15-13*ORÇAMENTO!$AF$7)/$H79*OFFSET(ORÇAMENTO!$X$15,ROW(AX79)-ROW(AX$15),0),0)</f>
        <v>0</v>
      </c>
      <c r="AY79" s="632">
        <f ca="1">IF(AND($D79="Serviço",AY$12&lt;&gt;0,$H79&gt;0,OR(AUTOEVENTO&lt;&gt;"manual",$M79&lt;&gt;1)),ROUND(OFFSET($P79,0,AY$13),15-13*ORÇAMENTO!$AF$7)/$H79*OFFSET(ORÇAMENTO!$X$15,ROW(AY79)-ROW(AY$15),0),0)</f>
        <v>0</v>
      </c>
      <c r="AZ79" s="632">
        <f ca="1">IF(AND($D79="Serviço",AZ$12&lt;&gt;0,$H79&gt;0,OR(AUTOEVENTO&lt;&gt;"manual",$M79&lt;&gt;1)),ROUND(OFFSET($P79,0,AZ$13),15-13*ORÇAMENTO!$AF$7)/$H79*OFFSET(ORÇAMENTO!$X$15,ROW(AZ79)-ROW(AZ$15),0),0)</f>
        <v>0</v>
      </c>
      <c r="BA79" s="633">
        <f ca="1">IF(AND($D79="Serviço",BA$12&lt;&gt;0,$H79&gt;0,OR(AUTOEVENTO&lt;&gt;"manual",$M79&lt;&gt;1)),ROUND(OFFSET($P79,0,BA$13),15-13*ORÇAMENTO!$AF$7)/$H79*OFFSET(ORÇAMENTO!$X$15,ROW(BA79)-ROW(BA$15),0),0)</f>
        <v>0</v>
      </c>
      <c r="BC79" s="215">
        <f ca="1">IF($D79&lt;&gt;"Serviço",0,IF(AND(AUTOEVENTO="Manual",$M79=1),0,IF(OFFSET(CRONOPLE!$F$14,$M79,BC$13)="",10^12,OFFSET(CRONOPLE!$F$14,$M79,BC$13))))</f>
        <v>1000000000000</v>
      </c>
      <c r="BD79" s="215">
        <f ca="1">IF($D79&lt;&gt;"Serviço",0,IF(AND(AUTOEVENTO="Manual",$M79=1),0,IF(OFFSET(CRONOPLE!$F$14,$M79,BD$13)="",10^12,OFFSET(CRONOPLE!$F$14,$M79,BD$13))))</f>
        <v>1000000000000</v>
      </c>
      <c r="BE79" s="215">
        <f ca="1">IF($D79&lt;&gt;"Serviço",0,IF(AND(AUTOEVENTO="Manual",$M79=1),0,IF(OFFSET(CRONOPLE!$F$14,$M79,BE$13)="",10^12,OFFSET(CRONOPLE!$F$14,$M79,BE$13))))</f>
        <v>1000000000000</v>
      </c>
      <c r="BF79" s="215">
        <f ca="1">IF($D79&lt;&gt;"Serviço",0,IF(AND(AUTOEVENTO="Manual",$M79=1),0,IF(OFFSET(CRONOPLE!$F$14,$M79,BF$13)="",10^12,OFFSET(CRONOPLE!$F$14,$M79,BF$13))))</f>
        <v>1000000000000</v>
      </c>
      <c r="BG79" s="215">
        <f ca="1">IF($D79&lt;&gt;"Serviço",0,IF(AND(AUTOEVENTO="Manual",$M79=1),0,IF(OFFSET(CRONOPLE!$F$14,$M79,BG$13)="",10^12,OFFSET(CRONOPLE!$F$14,$M79,BG$13))))</f>
        <v>1000000000000</v>
      </c>
      <c r="BH79" s="215">
        <f ca="1">IF($D79&lt;&gt;"Serviço",0,IF(AND(AUTOEVENTO="Manual",$M79=1),0,IF(OFFSET(CRONOPLE!$F$14,$M79,BH$13)="",10^12,OFFSET(CRONOPLE!$F$14,$M79,BH$13))))</f>
        <v>1000000000000</v>
      </c>
      <c r="BI79" s="215">
        <f ca="1">IF($D79&lt;&gt;"Serviço",0,IF(AND(AUTOEVENTO="Manual",$M79=1),0,IF(OFFSET(CRONOPLE!$F$14,$M79,BI$13)="",10^12,OFFSET(CRONOPLE!$F$14,$M79,BI$13))))</f>
        <v>1000000000000</v>
      </c>
      <c r="BJ79" s="215">
        <f ca="1">IF($D79&lt;&gt;"Serviço",0,IF(AND(AUTOEVENTO="Manual",$M79=1),0,IF(OFFSET(CRONOPLE!$F$14,$M79,BJ$13)="",10^12,OFFSET(CRONOPLE!$F$14,$M79,BJ$13))))</f>
        <v>1000000000000</v>
      </c>
      <c r="BK79" s="215">
        <f ca="1">IF($D79&lt;&gt;"Serviço",0,IF(AND(AUTOEVENTO="Manual",$M79=1),0,IF(OFFSET(CRONOPLE!$F$14,$M79,BK$13)="",10^12,OFFSET(CRONOPLE!$F$14,$M79,BK$13))))</f>
        <v>1000000000000</v>
      </c>
      <c r="BL79" s="215">
        <f ca="1">IF($D79&lt;&gt;"Serviço",0,IF(AND(AUTOEVENTO="Manual",$M79=1),0,IF(OFFSET(CRONOPLE!$F$14,$M79,BL$13)="",10^12,OFFSET(CRONOPLE!$F$14,$M79,BL$13))))</f>
        <v>1000000000000</v>
      </c>
      <c r="BM79" s="215">
        <f ca="1">IF($D79&lt;&gt;"Serviço",0,IF(AND(AUTOEVENTO="Manual",$M79=1),0,IF(OFFSET(CRONOPLE!$F$14,$M79,BM$13)="",10^12,OFFSET(CRONOPLE!$F$14,$M79,BM$13))))</f>
        <v>1000000000000</v>
      </c>
      <c r="BN79" s="215">
        <f ca="1">IF($D79&lt;&gt;"Serviço",0,IF(AND(AUTOEVENTO="Manual",$M79=1),0,IF(OFFSET(CRONOPLE!$F$14,$M79,BN$13)="",10^12,OFFSET(CRONOPLE!$F$14,$M79,BN$13))))</f>
        <v>1000000000000</v>
      </c>
      <c r="BO79" s="215">
        <f ca="1">IF($D79&lt;&gt;"Serviço",0,IF(AND(AUTOEVENTO="Manual",$M79=1),0,IF(OFFSET(CRONOPLE!$F$14,$M79,BO$13)="",10^12,OFFSET(CRONOPLE!$F$14,$M79,BO$13))))</f>
        <v>1000000000000</v>
      </c>
      <c r="BP79" s="215">
        <f ca="1">IF($D79&lt;&gt;"Serviço",0,IF(AND(AUTOEVENTO="Manual",$M79=1),0,IF(OFFSET(CRONOPLE!$F$14,$M79,BP$13)="",10^12,OFFSET(CRONOPLE!$F$14,$M79,BP$13))))</f>
        <v>1000000000000</v>
      </c>
      <c r="BQ79" s="215">
        <f ca="1">IF($D79&lt;&gt;"Serviço",0,IF(AND(AUTOEVENTO="Manual",$M79=1),0,IF(OFFSET(CRONOPLE!$F$14,$M79,BQ$13)="",10^12,OFFSET(CRONOPLE!$F$14,$M79,BQ$13))))</f>
        <v>1000000000000</v>
      </c>
      <c r="BR79" s="215">
        <f ca="1">IF($D79&lt;&gt;"Serviço",0,IF(AND(AUTOEVENTO="Manual",$M79=1),0,IF(OFFSET(CRONOPLE!$F$14,$M79,BR$13)="",10^12,OFFSET(CRONOPLE!$F$14,$M79,BR$13))))</f>
        <v>1000000000000</v>
      </c>
      <c r="BS79" s="215">
        <f ca="1">IF($D79&lt;&gt;"Serviço",0,IF(AND(AUTOEVENTO="Manual",$M79=1),0,IF(OFFSET(CRONOPLE!$F$14,$M79,BS$13)="",10^12,OFFSET(CRONOPLE!$F$14,$M79,BS$13))))</f>
        <v>1000000000000</v>
      </c>
      <c r="BT79" s="215">
        <f ca="1">IF($D79&lt;&gt;"Serviço",0,IF(AND(AUTOEVENTO="Manual",$M79=1),0,IF(OFFSET(CRONOPLE!$F$14,$M79,BT$13)="",10^12,OFFSET(CRONOPLE!$F$14,$M79,BT$13))))</f>
        <v>1000000000000</v>
      </c>
      <c r="BV79" s="216">
        <f ca="1">IF($D79&lt;&gt;"Serviço",0,IF(OR(AND(AUTOEVENTO="Manual",$M79=1),$M79&gt;(ROW(PLE.lastrow)-ROW(PLE.firstrow))),0,IF(OFFSET(PLE!$G$14,$M79,BV$13)="",10^12,OFFSET(PLE!$G$14,$M79,BV$13))))</f>
        <v>1000000000000</v>
      </c>
      <c r="BW79" s="216">
        <f ca="1">IF($D79&lt;&gt;"Serviço",0,IF(OR(AND(AUTOEVENTO="Manual",$M79=1),$M79&gt;(ROW(PLE.lastrow)-ROW(PLE.firstrow))),0,IF(OFFSET(PLE!$G$14,$M79,BW$13)="",10^12,OFFSET(PLE!$G$14,$M79,BW$13))))</f>
        <v>1000000000000</v>
      </c>
      <c r="BX79" s="216">
        <f ca="1">IF($D79&lt;&gt;"Serviço",0,IF(OR(AND(AUTOEVENTO="Manual",$M79=1),$M79&gt;(ROW(PLE.lastrow)-ROW(PLE.firstrow))),0,IF(OFFSET(PLE!$G$14,$M79,BX$13)="",10^12,OFFSET(PLE!$G$14,$M79,BX$13))))</f>
        <v>1000000000000</v>
      </c>
      <c r="BY79" s="216">
        <f ca="1">IF($D79&lt;&gt;"Serviço",0,IF(OR(AND(AUTOEVENTO="Manual",$M79=1),$M79&gt;(ROW(PLE.lastrow)-ROW(PLE.firstrow))),0,IF(OFFSET(PLE!$G$14,$M79,BY$13)="",10^12,OFFSET(PLE!$G$14,$M79,BY$13))))</f>
        <v>1000000000000</v>
      </c>
      <c r="BZ79" s="216">
        <f ca="1">IF($D79&lt;&gt;"Serviço",0,IF(OR(AND(AUTOEVENTO="Manual",$M79=1),$M79&gt;(ROW(PLE.lastrow)-ROW(PLE.firstrow))),0,IF(OFFSET(PLE!$G$14,$M79,BZ$13)="",10^12,OFFSET(PLE!$G$14,$M79,BZ$13))))</f>
        <v>1000000000000</v>
      </c>
      <c r="CA79" s="216">
        <f ca="1">IF($D79&lt;&gt;"Serviço",0,IF(OR(AND(AUTOEVENTO="Manual",$M79=1),$M79&gt;(ROW(PLE.lastrow)-ROW(PLE.firstrow))),0,IF(OFFSET(PLE!$G$14,$M79,CA$13)="",10^12,OFFSET(PLE!$G$14,$M79,CA$13))))</f>
        <v>1000000000000</v>
      </c>
      <c r="CB79" s="216">
        <f ca="1">IF($D79&lt;&gt;"Serviço",0,IF(OR(AND(AUTOEVENTO="Manual",$M79=1),$M79&gt;(ROW(PLE.lastrow)-ROW(PLE.firstrow))),0,IF(OFFSET(PLE!$G$14,$M79,CB$13)="",10^12,OFFSET(PLE!$G$14,$M79,CB$13))))</f>
        <v>1000000000000</v>
      </c>
      <c r="CC79" s="216">
        <f ca="1">IF($D79&lt;&gt;"Serviço",0,IF(OR(AND(AUTOEVENTO="Manual",$M79=1),$M79&gt;(ROW(PLE.lastrow)-ROW(PLE.firstrow))),0,IF(OFFSET(PLE!$G$14,$M79,CC$13)="",10^12,OFFSET(PLE!$G$14,$M79,CC$13))))</f>
        <v>1000000000000</v>
      </c>
      <c r="CD79" s="216">
        <f ca="1">IF($D79&lt;&gt;"Serviço",0,IF(OR(AND(AUTOEVENTO="Manual",$M79=1),$M79&gt;(ROW(PLE.lastrow)-ROW(PLE.firstrow))),0,IF(OFFSET(PLE!$G$14,$M79,CD$13)="",10^12,OFFSET(PLE!$G$14,$M79,CD$13))))</f>
        <v>1000000000000</v>
      </c>
      <c r="CE79" s="216">
        <f ca="1">IF($D79&lt;&gt;"Serviço",0,IF(OR(AND(AUTOEVENTO="Manual",$M79=1),$M79&gt;(ROW(PLE.lastrow)-ROW(PLE.firstrow))),0,IF(OFFSET(PLE!$G$14,$M79,CE$13)="",10^12,OFFSET(PLE!$G$14,$M79,CE$13))))</f>
        <v>1000000000000</v>
      </c>
      <c r="CF79" s="216">
        <f ca="1">IF($D79&lt;&gt;"Serviço",0,IF(OR(AND(AUTOEVENTO="Manual",$M79=1),$M79&gt;(ROW(PLE.lastrow)-ROW(PLE.firstrow))),0,IF(OFFSET(PLE!$G$14,$M79,CF$13)="",10^12,OFFSET(PLE!$G$14,$M79,CF$13))))</f>
        <v>1000000000000</v>
      </c>
      <c r="CG79" s="216">
        <f ca="1">IF($D79&lt;&gt;"Serviço",0,IF(OR(AND(AUTOEVENTO="Manual",$M79=1),$M79&gt;(ROW(PLE.lastrow)-ROW(PLE.firstrow))),0,IF(OFFSET(PLE!$G$14,$M79,CG$13)="",10^12,OFFSET(PLE!$G$14,$M79,CG$13))))</f>
        <v>1000000000000</v>
      </c>
      <c r="CH79" s="216">
        <f ca="1">IF($D79&lt;&gt;"Serviço",0,IF(OR(AND(AUTOEVENTO="Manual",$M79=1),$M79&gt;(ROW(PLE.lastrow)-ROW(PLE.firstrow))),0,IF(OFFSET(PLE!$G$14,$M79,CH$13)="",10^12,OFFSET(PLE!$G$14,$M79,CH$13))))</f>
        <v>1000000000000</v>
      </c>
      <c r="CI79" s="216">
        <f ca="1">IF($D79&lt;&gt;"Serviço",0,IF(OR(AND(AUTOEVENTO="Manual",$M79=1),$M79&gt;(ROW(PLE.lastrow)-ROW(PLE.firstrow))),0,IF(OFFSET(PLE!$G$14,$M79,CI$13)="",10^12,OFFSET(PLE!$G$14,$M79,CI$13))))</f>
        <v>1000000000000</v>
      </c>
      <c r="CJ79" s="216">
        <f ca="1">IF($D79&lt;&gt;"Serviço",0,IF(OR(AND(AUTOEVENTO="Manual",$M79=1),$M79&gt;(ROW(PLE.lastrow)-ROW(PLE.firstrow))),0,IF(OFFSET(PLE!$G$14,$M79,CJ$13)="",10^12,OFFSET(PLE!$G$14,$M79,CJ$13))))</f>
        <v>1000000000000</v>
      </c>
      <c r="CK79" s="216">
        <f ca="1">IF($D79&lt;&gt;"Serviço",0,IF(OR(AND(AUTOEVENTO="Manual",$M79=1),$M79&gt;(ROW(PLE.lastrow)-ROW(PLE.firstrow))),0,IF(OFFSET(PLE!$G$14,$M79,CK$13)="",10^12,OFFSET(PLE!$G$14,$M79,CK$13))))</f>
        <v>1000000000000</v>
      </c>
      <c r="CL79" s="216">
        <f ca="1">IF($D79&lt;&gt;"Serviço",0,IF(OR(AND(AUTOEVENTO="Manual",$M79=1),$M79&gt;(ROW(PLE.lastrow)-ROW(PLE.firstrow))),0,IF(OFFSET(PLE!$G$14,$M79,CL$13)="",10^12,OFFSET(PLE!$G$14,$M79,CL$13))))</f>
        <v>1000000000000</v>
      </c>
      <c r="CM79" s="216">
        <f ca="1">IF($D79&lt;&gt;"Serviço",0,IF(OR(AND(AUTOEVENTO="Manual",$M79=1),$M79&gt;(ROW(PLE.lastrow)-ROW(PLE.firstrow))),0,IF(OFFSET(PLE!$G$14,$M79,CM$13)="",10^12,OFFSET(PLE!$G$14,$M79,CM$13))))</f>
        <v>1000000000000</v>
      </c>
    </row>
    <row r="80" spans="1:91" ht="13.2" x14ac:dyDescent="0.25">
      <c r="A80" s="9">
        <f t="shared" ca="1" si="10"/>
        <v>0</v>
      </c>
      <c r="B80" s="9" t="str">
        <f ca="1">OFFSET(ORÇAMENTO!C$15,ROW(B80)-ROW(B$15),0)</f>
        <v>S</v>
      </c>
      <c r="C80" s="9" t="str">
        <f ca="1">OFFSET(ORÇAMENTO!L$15,ROW(C80)-ROW(C$15),0)</f>
        <v/>
      </c>
      <c r="D80" s="145" t="str">
        <f ca="1">OFFSET(ORÇAMENTO!N$15,ROW(D80)-ROW(D$15),0)</f>
        <v>Serviço</v>
      </c>
      <c r="E80" s="205" t="str">
        <f ca="1">OFFSET(ORÇAMENTO!O$15,ROW(E80)-ROW(E$15),0)</f>
        <v>-</v>
      </c>
      <c r="F80" s="206" t="str">
        <f ca="1">OFFSET(ORÇAMENTO!R$15,ROW(F80)-ROW(F$15),0)</f>
        <v>(abra o arquivo 'Referência 05-2024.xls)</v>
      </c>
      <c r="G80" s="207" t="str">
        <f ca="1">IF($D80&lt;&gt;"Serviço","",OFFSET(ORÇAMENTO!S$15,ROW(G80)-ROW(G$15),0))</f>
        <v>-</v>
      </c>
      <c r="H80" s="151">
        <f ca="1">IF($D80&lt;&gt;"Serviço",0,IF(ACOMPANHAMENTO="BM",ROUND(OFFSET(ORÇAMENTO!AJ$15,ROW(H80)-ROW(H$15),0),15-13*ORÇAMENTO!$AF$7),SUMPRODUCT(($Q$12:$AI$12&lt;&gt;"")*ROUND($Q80:$AI80,15-13*ORÇAMENTO!$AF$7))))</f>
        <v>40.340000000000003</v>
      </c>
      <c r="I80" s="650"/>
      <c r="K80" s="208"/>
      <c r="L80" s="209" t="s">
        <v>257</v>
      </c>
      <c r="M80" s="210">
        <f ca="1">IF($D80&lt;&gt;"Serviço","",IF(AUTOEVENTO="manual",$A80,IF(ISERROR(MATCH($A80,$A$15:OFFSET($A80,-1,0),0)),MAX($M$15:OFFSET(M80,-1,0))+1,INDEX($M$15:OFFSET(M80,-1,0),MATCH($A80,$A$15:OFFSET($A80,-1,0),0)))))</f>
        <v>0</v>
      </c>
      <c r="N80" s="211" t="str">
        <f ca="1">IF($D80&lt;&gt;"Serviço","",IF(AUTOEVENTO="Manual",IF($A80=0,"&lt;-- defina o número do agrupador",OFFSET(EVENTOS!$D$14,$A80,0)),OFFSET($F$15,$A80,0)))</f>
        <v>&lt;-- defina o número do agrupador</v>
      </c>
      <c r="O80" s="212"/>
      <c r="Q80" s="212"/>
      <c r="R80" s="213"/>
      <c r="S80" s="213"/>
      <c r="T80" s="213"/>
      <c r="U80" s="213"/>
      <c r="V80" s="213"/>
      <c r="W80" s="213"/>
      <c r="X80" s="213"/>
      <c r="Y80" s="213"/>
      <c r="Z80" s="214"/>
      <c r="AA80" s="213"/>
      <c r="AB80" s="213"/>
      <c r="AC80" s="213"/>
      <c r="AD80" s="213"/>
      <c r="AE80" s="213"/>
      <c r="AF80" s="213"/>
      <c r="AG80" s="213"/>
      <c r="AH80" s="214"/>
      <c r="AJ80" s="631">
        <f ca="1">IF(AND($D80="Serviço",AJ$12&lt;&gt;0,$H80&gt;0,OR(AUTOEVENTO&lt;&gt;"manual",$M80&lt;&gt;1)),ROUND(OFFSET($P80,0,AJ$13),15-13*ORÇAMENTO!$AF$7)/$H80*OFFSET(ORÇAMENTO!$X$15,ROW(AJ80)-ROW(AJ$15),0),0)</f>
        <v>0</v>
      </c>
      <c r="AK80" s="632">
        <f ca="1">IF(AND($D80="Serviço",AK$12&lt;&gt;0,$H80&gt;0,OR(AUTOEVENTO&lt;&gt;"manual",$M80&lt;&gt;1)),ROUND(OFFSET($P80,0,AK$13),15-13*ORÇAMENTO!$AF$7)/$H80*OFFSET(ORÇAMENTO!$X$15,ROW(AK80)-ROW(AK$15),0),0)</f>
        <v>0</v>
      </c>
      <c r="AL80" s="632">
        <f ca="1">IF(AND($D80="Serviço",AL$12&lt;&gt;0,$H80&gt;0,OR(AUTOEVENTO&lt;&gt;"manual",$M80&lt;&gt;1)),ROUND(OFFSET($P80,0,AL$13),15-13*ORÇAMENTO!$AF$7)/$H80*OFFSET(ORÇAMENTO!$X$15,ROW(AL80)-ROW(AL$15),0),0)</f>
        <v>0</v>
      </c>
      <c r="AM80" s="632">
        <f ca="1">IF(AND($D80="Serviço",AM$12&lt;&gt;0,$H80&gt;0,OR(AUTOEVENTO&lt;&gt;"manual",$M80&lt;&gt;1)),ROUND(OFFSET($P80,0,AM$13),15-13*ORÇAMENTO!$AF$7)/$H80*OFFSET(ORÇAMENTO!$X$15,ROW(AM80)-ROW(AM$15),0),0)</f>
        <v>0</v>
      </c>
      <c r="AN80" s="632">
        <f ca="1">IF(AND($D80="Serviço",AN$12&lt;&gt;0,$H80&gt;0,OR(AUTOEVENTO&lt;&gt;"manual",$M80&lt;&gt;1)),ROUND(OFFSET($P80,0,AN$13),15-13*ORÇAMENTO!$AF$7)/$H80*OFFSET(ORÇAMENTO!$X$15,ROW(AN80)-ROW(AN$15),0),0)</f>
        <v>0</v>
      </c>
      <c r="AO80" s="632">
        <f ca="1">IF(AND($D80="Serviço",AO$12&lt;&gt;0,$H80&gt;0,OR(AUTOEVENTO&lt;&gt;"manual",$M80&lt;&gt;1)),ROUND(OFFSET($P80,0,AO$13),15-13*ORÇAMENTO!$AF$7)/$H80*OFFSET(ORÇAMENTO!$X$15,ROW(AO80)-ROW(AO$15),0),0)</f>
        <v>0</v>
      </c>
      <c r="AP80" s="632">
        <f ca="1">IF(AND($D80="Serviço",AP$12&lt;&gt;0,$H80&gt;0,OR(AUTOEVENTO&lt;&gt;"manual",$M80&lt;&gt;1)),ROUND(OFFSET($P80,0,AP$13),15-13*ORÇAMENTO!$AF$7)/$H80*OFFSET(ORÇAMENTO!$X$15,ROW(AP80)-ROW(AP$15),0),0)</f>
        <v>0</v>
      </c>
      <c r="AQ80" s="632">
        <f ca="1">IF(AND($D80="Serviço",AQ$12&lt;&gt;0,$H80&gt;0,OR(AUTOEVENTO&lt;&gt;"manual",$M80&lt;&gt;1)),ROUND(OFFSET($P80,0,AQ$13),15-13*ORÇAMENTO!$AF$7)/$H80*OFFSET(ORÇAMENTO!$X$15,ROW(AQ80)-ROW(AQ$15),0),0)</f>
        <v>0</v>
      </c>
      <c r="AR80" s="632">
        <f ca="1">IF(AND($D80="Serviço",AR$12&lt;&gt;0,$H80&gt;0,OR(AUTOEVENTO&lt;&gt;"manual",$M80&lt;&gt;1)),ROUND(OFFSET($P80,0,AR$13),15-13*ORÇAMENTO!$AF$7)/$H80*OFFSET(ORÇAMENTO!$X$15,ROW(AR80)-ROW(AR$15),0),0)</f>
        <v>0</v>
      </c>
      <c r="AS80" s="633">
        <f ca="1">IF(AND($D80="Serviço",AS$12&lt;&gt;0,$H80&gt;0,OR(AUTOEVENTO&lt;&gt;"manual",$M80&lt;&gt;1)),ROUND(OFFSET($P80,0,AS$13),15-13*ORÇAMENTO!$AF$7)/$H80*OFFSET(ORÇAMENTO!$X$15,ROW(AS80)-ROW(AS$15),0),0)</f>
        <v>0</v>
      </c>
      <c r="AT80" s="632">
        <f ca="1">IF(AND($D80="Serviço",AT$12&lt;&gt;0,$H80&gt;0,OR(AUTOEVENTO&lt;&gt;"manual",$M80&lt;&gt;1)),ROUND(OFFSET($P80,0,AT$13),15-13*ORÇAMENTO!$AF$7)/$H80*OFFSET(ORÇAMENTO!$X$15,ROW(AT80)-ROW(AT$15),0),0)</f>
        <v>0</v>
      </c>
      <c r="AU80" s="632">
        <f ca="1">IF(AND($D80="Serviço",AU$12&lt;&gt;0,$H80&gt;0,OR(AUTOEVENTO&lt;&gt;"manual",$M80&lt;&gt;1)),ROUND(OFFSET($P80,0,AU$13),15-13*ORÇAMENTO!$AF$7)/$H80*OFFSET(ORÇAMENTO!$X$15,ROW(AU80)-ROW(AU$15),0),0)</f>
        <v>0</v>
      </c>
      <c r="AV80" s="632">
        <f ca="1">IF(AND($D80="Serviço",AV$12&lt;&gt;0,$H80&gt;0,OR(AUTOEVENTO&lt;&gt;"manual",$M80&lt;&gt;1)),ROUND(OFFSET($P80,0,AV$13),15-13*ORÇAMENTO!$AF$7)/$H80*OFFSET(ORÇAMENTO!$X$15,ROW(AV80)-ROW(AV$15),0),0)</f>
        <v>0</v>
      </c>
      <c r="AW80" s="632">
        <f ca="1">IF(AND($D80="Serviço",AW$12&lt;&gt;0,$H80&gt;0,OR(AUTOEVENTO&lt;&gt;"manual",$M80&lt;&gt;1)),ROUND(OFFSET($P80,0,AW$13),15-13*ORÇAMENTO!$AF$7)/$H80*OFFSET(ORÇAMENTO!$X$15,ROW(AW80)-ROW(AW$15),0),0)</f>
        <v>0</v>
      </c>
      <c r="AX80" s="632">
        <f ca="1">IF(AND($D80="Serviço",AX$12&lt;&gt;0,$H80&gt;0,OR(AUTOEVENTO&lt;&gt;"manual",$M80&lt;&gt;1)),ROUND(OFFSET($P80,0,AX$13),15-13*ORÇAMENTO!$AF$7)/$H80*OFFSET(ORÇAMENTO!$X$15,ROW(AX80)-ROW(AX$15),0),0)</f>
        <v>0</v>
      </c>
      <c r="AY80" s="632">
        <f ca="1">IF(AND($D80="Serviço",AY$12&lt;&gt;0,$H80&gt;0,OR(AUTOEVENTO&lt;&gt;"manual",$M80&lt;&gt;1)),ROUND(OFFSET($P80,0,AY$13),15-13*ORÇAMENTO!$AF$7)/$H80*OFFSET(ORÇAMENTO!$X$15,ROW(AY80)-ROW(AY$15),0),0)</f>
        <v>0</v>
      </c>
      <c r="AZ80" s="632">
        <f ca="1">IF(AND($D80="Serviço",AZ$12&lt;&gt;0,$H80&gt;0,OR(AUTOEVENTO&lt;&gt;"manual",$M80&lt;&gt;1)),ROUND(OFFSET($P80,0,AZ$13),15-13*ORÇAMENTO!$AF$7)/$H80*OFFSET(ORÇAMENTO!$X$15,ROW(AZ80)-ROW(AZ$15),0),0)</f>
        <v>0</v>
      </c>
      <c r="BA80" s="633">
        <f ca="1">IF(AND($D80="Serviço",BA$12&lt;&gt;0,$H80&gt;0,OR(AUTOEVENTO&lt;&gt;"manual",$M80&lt;&gt;1)),ROUND(OFFSET($P80,0,BA$13),15-13*ORÇAMENTO!$AF$7)/$H80*OFFSET(ORÇAMENTO!$X$15,ROW(BA80)-ROW(BA$15),0),0)</f>
        <v>0</v>
      </c>
      <c r="BC80" s="215">
        <f ca="1">IF($D80&lt;&gt;"Serviço",0,IF(AND(AUTOEVENTO="Manual",$M80=1),0,IF(OFFSET(CRONOPLE!$F$14,$M80,BC$13)="",10^12,OFFSET(CRONOPLE!$F$14,$M80,BC$13))))</f>
        <v>1000000000000</v>
      </c>
      <c r="BD80" s="215">
        <f ca="1">IF($D80&lt;&gt;"Serviço",0,IF(AND(AUTOEVENTO="Manual",$M80=1),0,IF(OFFSET(CRONOPLE!$F$14,$M80,BD$13)="",10^12,OFFSET(CRONOPLE!$F$14,$M80,BD$13))))</f>
        <v>1000000000000</v>
      </c>
      <c r="BE80" s="215">
        <f ca="1">IF($D80&lt;&gt;"Serviço",0,IF(AND(AUTOEVENTO="Manual",$M80=1),0,IF(OFFSET(CRONOPLE!$F$14,$M80,BE$13)="",10^12,OFFSET(CRONOPLE!$F$14,$M80,BE$13))))</f>
        <v>1000000000000</v>
      </c>
      <c r="BF80" s="215">
        <f ca="1">IF($D80&lt;&gt;"Serviço",0,IF(AND(AUTOEVENTO="Manual",$M80=1),0,IF(OFFSET(CRONOPLE!$F$14,$M80,BF$13)="",10^12,OFFSET(CRONOPLE!$F$14,$M80,BF$13))))</f>
        <v>1000000000000</v>
      </c>
      <c r="BG80" s="215">
        <f ca="1">IF($D80&lt;&gt;"Serviço",0,IF(AND(AUTOEVENTO="Manual",$M80=1),0,IF(OFFSET(CRONOPLE!$F$14,$M80,BG$13)="",10^12,OFFSET(CRONOPLE!$F$14,$M80,BG$13))))</f>
        <v>1000000000000</v>
      </c>
      <c r="BH80" s="215">
        <f ca="1">IF($D80&lt;&gt;"Serviço",0,IF(AND(AUTOEVENTO="Manual",$M80=1),0,IF(OFFSET(CRONOPLE!$F$14,$M80,BH$13)="",10^12,OFFSET(CRONOPLE!$F$14,$M80,BH$13))))</f>
        <v>1000000000000</v>
      </c>
      <c r="BI80" s="215">
        <f ca="1">IF($D80&lt;&gt;"Serviço",0,IF(AND(AUTOEVENTO="Manual",$M80=1),0,IF(OFFSET(CRONOPLE!$F$14,$M80,BI$13)="",10^12,OFFSET(CRONOPLE!$F$14,$M80,BI$13))))</f>
        <v>1000000000000</v>
      </c>
      <c r="BJ80" s="215">
        <f ca="1">IF($D80&lt;&gt;"Serviço",0,IF(AND(AUTOEVENTO="Manual",$M80=1),0,IF(OFFSET(CRONOPLE!$F$14,$M80,BJ$13)="",10^12,OFFSET(CRONOPLE!$F$14,$M80,BJ$13))))</f>
        <v>1000000000000</v>
      </c>
      <c r="BK80" s="215">
        <f ca="1">IF($D80&lt;&gt;"Serviço",0,IF(AND(AUTOEVENTO="Manual",$M80=1),0,IF(OFFSET(CRONOPLE!$F$14,$M80,BK$13)="",10^12,OFFSET(CRONOPLE!$F$14,$M80,BK$13))))</f>
        <v>1000000000000</v>
      </c>
      <c r="BL80" s="215">
        <f ca="1">IF($D80&lt;&gt;"Serviço",0,IF(AND(AUTOEVENTO="Manual",$M80=1),0,IF(OFFSET(CRONOPLE!$F$14,$M80,BL$13)="",10^12,OFFSET(CRONOPLE!$F$14,$M80,BL$13))))</f>
        <v>1000000000000</v>
      </c>
      <c r="BM80" s="215">
        <f ca="1">IF($D80&lt;&gt;"Serviço",0,IF(AND(AUTOEVENTO="Manual",$M80=1),0,IF(OFFSET(CRONOPLE!$F$14,$M80,BM$13)="",10^12,OFFSET(CRONOPLE!$F$14,$M80,BM$13))))</f>
        <v>1000000000000</v>
      </c>
      <c r="BN80" s="215">
        <f ca="1">IF($D80&lt;&gt;"Serviço",0,IF(AND(AUTOEVENTO="Manual",$M80=1),0,IF(OFFSET(CRONOPLE!$F$14,$M80,BN$13)="",10^12,OFFSET(CRONOPLE!$F$14,$M80,BN$13))))</f>
        <v>1000000000000</v>
      </c>
      <c r="BO80" s="215">
        <f ca="1">IF($D80&lt;&gt;"Serviço",0,IF(AND(AUTOEVENTO="Manual",$M80=1),0,IF(OFFSET(CRONOPLE!$F$14,$M80,BO$13)="",10^12,OFFSET(CRONOPLE!$F$14,$M80,BO$13))))</f>
        <v>1000000000000</v>
      </c>
      <c r="BP80" s="215">
        <f ca="1">IF($D80&lt;&gt;"Serviço",0,IF(AND(AUTOEVENTO="Manual",$M80=1),0,IF(OFFSET(CRONOPLE!$F$14,$M80,BP$13)="",10^12,OFFSET(CRONOPLE!$F$14,$M80,BP$13))))</f>
        <v>1000000000000</v>
      </c>
      <c r="BQ80" s="215">
        <f ca="1">IF($D80&lt;&gt;"Serviço",0,IF(AND(AUTOEVENTO="Manual",$M80=1),0,IF(OFFSET(CRONOPLE!$F$14,$M80,BQ$13)="",10^12,OFFSET(CRONOPLE!$F$14,$M80,BQ$13))))</f>
        <v>1000000000000</v>
      </c>
      <c r="BR80" s="215">
        <f ca="1">IF($D80&lt;&gt;"Serviço",0,IF(AND(AUTOEVENTO="Manual",$M80=1),0,IF(OFFSET(CRONOPLE!$F$14,$M80,BR$13)="",10^12,OFFSET(CRONOPLE!$F$14,$M80,BR$13))))</f>
        <v>1000000000000</v>
      </c>
      <c r="BS80" s="215">
        <f ca="1">IF($D80&lt;&gt;"Serviço",0,IF(AND(AUTOEVENTO="Manual",$M80=1),0,IF(OFFSET(CRONOPLE!$F$14,$M80,BS$13)="",10^12,OFFSET(CRONOPLE!$F$14,$M80,BS$13))))</f>
        <v>1000000000000</v>
      </c>
      <c r="BT80" s="215">
        <f ca="1">IF($D80&lt;&gt;"Serviço",0,IF(AND(AUTOEVENTO="Manual",$M80=1),0,IF(OFFSET(CRONOPLE!$F$14,$M80,BT$13)="",10^12,OFFSET(CRONOPLE!$F$14,$M80,BT$13))))</f>
        <v>1000000000000</v>
      </c>
      <c r="BV80" s="216">
        <f ca="1">IF($D80&lt;&gt;"Serviço",0,IF(OR(AND(AUTOEVENTO="Manual",$M80=1),$M80&gt;(ROW(PLE.lastrow)-ROW(PLE.firstrow))),0,IF(OFFSET(PLE!$G$14,$M80,BV$13)="",10^12,OFFSET(PLE!$G$14,$M80,BV$13))))</f>
        <v>1000000000000</v>
      </c>
      <c r="BW80" s="216">
        <f ca="1">IF($D80&lt;&gt;"Serviço",0,IF(OR(AND(AUTOEVENTO="Manual",$M80=1),$M80&gt;(ROW(PLE.lastrow)-ROW(PLE.firstrow))),0,IF(OFFSET(PLE!$G$14,$M80,BW$13)="",10^12,OFFSET(PLE!$G$14,$M80,BW$13))))</f>
        <v>1000000000000</v>
      </c>
      <c r="BX80" s="216">
        <f ca="1">IF($D80&lt;&gt;"Serviço",0,IF(OR(AND(AUTOEVENTO="Manual",$M80=1),$M80&gt;(ROW(PLE.lastrow)-ROW(PLE.firstrow))),0,IF(OFFSET(PLE!$G$14,$M80,BX$13)="",10^12,OFFSET(PLE!$G$14,$M80,BX$13))))</f>
        <v>1000000000000</v>
      </c>
      <c r="BY80" s="216">
        <f ca="1">IF($D80&lt;&gt;"Serviço",0,IF(OR(AND(AUTOEVENTO="Manual",$M80=1),$M80&gt;(ROW(PLE.lastrow)-ROW(PLE.firstrow))),0,IF(OFFSET(PLE!$G$14,$M80,BY$13)="",10^12,OFFSET(PLE!$G$14,$M80,BY$13))))</f>
        <v>1000000000000</v>
      </c>
      <c r="BZ80" s="216">
        <f ca="1">IF($D80&lt;&gt;"Serviço",0,IF(OR(AND(AUTOEVENTO="Manual",$M80=1),$M80&gt;(ROW(PLE.lastrow)-ROW(PLE.firstrow))),0,IF(OFFSET(PLE!$G$14,$M80,BZ$13)="",10^12,OFFSET(PLE!$G$14,$M80,BZ$13))))</f>
        <v>1000000000000</v>
      </c>
      <c r="CA80" s="216">
        <f ca="1">IF($D80&lt;&gt;"Serviço",0,IF(OR(AND(AUTOEVENTO="Manual",$M80=1),$M80&gt;(ROW(PLE.lastrow)-ROW(PLE.firstrow))),0,IF(OFFSET(PLE!$G$14,$M80,CA$13)="",10^12,OFFSET(PLE!$G$14,$M80,CA$13))))</f>
        <v>1000000000000</v>
      </c>
      <c r="CB80" s="216">
        <f ca="1">IF($D80&lt;&gt;"Serviço",0,IF(OR(AND(AUTOEVENTO="Manual",$M80=1),$M80&gt;(ROW(PLE.lastrow)-ROW(PLE.firstrow))),0,IF(OFFSET(PLE!$G$14,$M80,CB$13)="",10^12,OFFSET(PLE!$G$14,$M80,CB$13))))</f>
        <v>1000000000000</v>
      </c>
      <c r="CC80" s="216">
        <f ca="1">IF($D80&lt;&gt;"Serviço",0,IF(OR(AND(AUTOEVENTO="Manual",$M80=1),$M80&gt;(ROW(PLE.lastrow)-ROW(PLE.firstrow))),0,IF(OFFSET(PLE!$G$14,$M80,CC$13)="",10^12,OFFSET(PLE!$G$14,$M80,CC$13))))</f>
        <v>1000000000000</v>
      </c>
      <c r="CD80" s="216">
        <f ca="1">IF($D80&lt;&gt;"Serviço",0,IF(OR(AND(AUTOEVENTO="Manual",$M80=1),$M80&gt;(ROW(PLE.lastrow)-ROW(PLE.firstrow))),0,IF(OFFSET(PLE!$G$14,$M80,CD$13)="",10^12,OFFSET(PLE!$G$14,$M80,CD$13))))</f>
        <v>1000000000000</v>
      </c>
      <c r="CE80" s="216">
        <f ca="1">IF($D80&lt;&gt;"Serviço",0,IF(OR(AND(AUTOEVENTO="Manual",$M80=1),$M80&gt;(ROW(PLE.lastrow)-ROW(PLE.firstrow))),0,IF(OFFSET(PLE!$G$14,$M80,CE$13)="",10^12,OFFSET(PLE!$G$14,$M80,CE$13))))</f>
        <v>1000000000000</v>
      </c>
      <c r="CF80" s="216">
        <f ca="1">IF($D80&lt;&gt;"Serviço",0,IF(OR(AND(AUTOEVENTO="Manual",$M80=1),$M80&gt;(ROW(PLE.lastrow)-ROW(PLE.firstrow))),0,IF(OFFSET(PLE!$G$14,$M80,CF$13)="",10^12,OFFSET(PLE!$G$14,$M80,CF$13))))</f>
        <v>1000000000000</v>
      </c>
      <c r="CG80" s="216">
        <f ca="1">IF($D80&lt;&gt;"Serviço",0,IF(OR(AND(AUTOEVENTO="Manual",$M80=1),$M80&gt;(ROW(PLE.lastrow)-ROW(PLE.firstrow))),0,IF(OFFSET(PLE!$G$14,$M80,CG$13)="",10^12,OFFSET(PLE!$G$14,$M80,CG$13))))</f>
        <v>1000000000000</v>
      </c>
      <c r="CH80" s="216">
        <f ca="1">IF($D80&lt;&gt;"Serviço",0,IF(OR(AND(AUTOEVENTO="Manual",$M80=1),$M80&gt;(ROW(PLE.lastrow)-ROW(PLE.firstrow))),0,IF(OFFSET(PLE!$G$14,$M80,CH$13)="",10^12,OFFSET(PLE!$G$14,$M80,CH$13))))</f>
        <v>1000000000000</v>
      </c>
      <c r="CI80" s="216">
        <f ca="1">IF($D80&lt;&gt;"Serviço",0,IF(OR(AND(AUTOEVENTO="Manual",$M80=1),$M80&gt;(ROW(PLE.lastrow)-ROW(PLE.firstrow))),0,IF(OFFSET(PLE!$G$14,$M80,CI$13)="",10^12,OFFSET(PLE!$G$14,$M80,CI$13))))</f>
        <v>1000000000000</v>
      </c>
      <c r="CJ80" s="216">
        <f ca="1">IF($D80&lt;&gt;"Serviço",0,IF(OR(AND(AUTOEVENTO="Manual",$M80=1),$M80&gt;(ROW(PLE.lastrow)-ROW(PLE.firstrow))),0,IF(OFFSET(PLE!$G$14,$M80,CJ$13)="",10^12,OFFSET(PLE!$G$14,$M80,CJ$13))))</f>
        <v>1000000000000</v>
      </c>
      <c r="CK80" s="216">
        <f ca="1">IF($D80&lt;&gt;"Serviço",0,IF(OR(AND(AUTOEVENTO="Manual",$M80=1),$M80&gt;(ROW(PLE.lastrow)-ROW(PLE.firstrow))),0,IF(OFFSET(PLE!$G$14,$M80,CK$13)="",10^12,OFFSET(PLE!$G$14,$M80,CK$13))))</f>
        <v>1000000000000</v>
      </c>
      <c r="CL80" s="216">
        <f ca="1">IF($D80&lt;&gt;"Serviço",0,IF(OR(AND(AUTOEVENTO="Manual",$M80=1),$M80&gt;(ROW(PLE.lastrow)-ROW(PLE.firstrow))),0,IF(OFFSET(PLE!$G$14,$M80,CL$13)="",10^12,OFFSET(PLE!$G$14,$M80,CL$13))))</f>
        <v>1000000000000</v>
      </c>
      <c r="CM80" s="216">
        <f ca="1">IF($D80&lt;&gt;"Serviço",0,IF(OR(AND(AUTOEVENTO="Manual",$M80=1),$M80&gt;(ROW(PLE.lastrow)-ROW(PLE.firstrow))),0,IF(OFFSET(PLE!$G$14,$M80,CM$13)="",10^12,OFFSET(PLE!$G$14,$M80,CM$13))))</f>
        <v>1000000000000</v>
      </c>
    </row>
    <row r="81" spans="1:91" ht="13.2" x14ac:dyDescent="0.25">
      <c r="A81" s="9">
        <f t="shared" ca="1" si="10"/>
        <v>0</v>
      </c>
      <c r="B81" s="9" t="str">
        <f ca="1">OFFSET(ORÇAMENTO!C$15,ROW(B81)-ROW(B$15),0)</f>
        <v>S</v>
      </c>
      <c r="C81" s="9" t="str">
        <f ca="1">OFFSET(ORÇAMENTO!L$15,ROW(C81)-ROW(C$15),0)</f>
        <v/>
      </c>
      <c r="D81" s="145" t="str">
        <f ca="1">OFFSET(ORÇAMENTO!N$15,ROW(D81)-ROW(D$15),0)</f>
        <v>Serviço</v>
      </c>
      <c r="E81" s="205" t="str">
        <f ca="1">OFFSET(ORÇAMENTO!O$15,ROW(E81)-ROW(E$15),0)</f>
        <v>-</v>
      </c>
      <c r="F81" s="206" t="str">
        <f ca="1">OFFSET(ORÇAMENTO!R$15,ROW(F81)-ROW(F$15),0)</f>
        <v>(abra o arquivo 'Referência 05-2024.xls)</v>
      </c>
      <c r="G81" s="207" t="str">
        <f ca="1">IF($D81&lt;&gt;"Serviço","",OFFSET(ORÇAMENTO!S$15,ROW(G81)-ROW(G$15),0))</f>
        <v>-</v>
      </c>
      <c r="H81" s="151">
        <f ca="1">IF($D81&lt;&gt;"Serviço",0,IF(ACOMPANHAMENTO="BM",ROUND(OFFSET(ORÇAMENTO!AJ$15,ROW(H81)-ROW(H$15),0),15-13*ORÇAMENTO!$AF$7),SUMPRODUCT(($Q$12:$AI$12&lt;&gt;"")*ROUND($Q81:$AI81,15-13*ORÇAMENTO!$AF$7))))</f>
        <v>4.59</v>
      </c>
      <c r="I81" s="650"/>
      <c r="K81" s="208"/>
      <c r="L81" s="209" t="s">
        <v>257</v>
      </c>
      <c r="M81" s="210">
        <f ca="1">IF($D81&lt;&gt;"Serviço","",IF(AUTOEVENTO="manual",$A81,IF(ISERROR(MATCH($A81,$A$15:OFFSET($A81,-1,0),0)),MAX($M$15:OFFSET(M81,-1,0))+1,INDEX($M$15:OFFSET(M81,-1,0),MATCH($A81,$A$15:OFFSET($A81,-1,0),0)))))</f>
        <v>0</v>
      </c>
      <c r="N81" s="211" t="str">
        <f ca="1">IF($D81&lt;&gt;"Serviço","",IF(AUTOEVENTO="Manual",IF($A81=0,"&lt;-- defina o número do agrupador",OFFSET(EVENTOS!$D$14,$A81,0)),OFFSET($F$15,$A81,0)))</f>
        <v>&lt;-- defina o número do agrupador</v>
      </c>
      <c r="O81" s="212"/>
      <c r="Q81" s="212"/>
      <c r="R81" s="213"/>
      <c r="S81" s="213"/>
      <c r="T81" s="213"/>
      <c r="U81" s="213"/>
      <c r="V81" s="213"/>
      <c r="W81" s="213"/>
      <c r="X81" s="213"/>
      <c r="Y81" s="213"/>
      <c r="Z81" s="214"/>
      <c r="AA81" s="213"/>
      <c r="AB81" s="213"/>
      <c r="AC81" s="213"/>
      <c r="AD81" s="213"/>
      <c r="AE81" s="213"/>
      <c r="AF81" s="213"/>
      <c r="AG81" s="213"/>
      <c r="AH81" s="214"/>
      <c r="AJ81" s="631">
        <f ca="1">IF(AND($D81="Serviço",AJ$12&lt;&gt;0,$H81&gt;0,OR(AUTOEVENTO&lt;&gt;"manual",$M81&lt;&gt;1)),ROUND(OFFSET($P81,0,AJ$13),15-13*ORÇAMENTO!$AF$7)/$H81*OFFSET(ORÇAMENTO!$X$15,ROW(AJ81)-ROW(AJ$15),0),0)</f>
        <v>0</v>
      </c>
      <c r="AK81" s="632">
        <f ca="1">IF(AND($D81="Serviço",AK$12&lt;&gt;0,$H81&gt;0,OR(AUTOEVENTO&lt;&gt;"manual",$M81&lt;&gt;1)),ROUND(OFFSET($P81,0,AK$13),15-13*ORÇAMENTO!$AF$7)/$H81*OFFSET(ORÇAMENTO!$X$15,ROW(AK81)-ROW(AK$15),0),0)</f>
        <v>0</v>
      </c>
      <c r="AL81" s="632">
        <f ca="1">IF(AND($D81="Serviço",AL$12&lt;&gt;0,$H81&gt;0,OR(AUTOEVENTO&lt;&gt;"manual",$M81&lt;&gt;1)),ROUND(OFFSET($P81,0,AL$13),15-13*ORÇAMENTO!$AF$7)/$H81*OFFSET(ORÇAMENTO!$X$15,ROW(AL81)-ROW(AL$15),0),0)</f>
        <v>0</v>
      </c>
      <c r="AM81" s="632">
        <f ca="1">IF(AND($D81="Serviço",AM$12&lt;&gt;0,$H81&gt;0,OR(AUTOEVENTO&lt;&gt;"manual",$M81&lt;&gt;1)),ROUND(OFFSET($P81,0,AM$13),15-13*ORÇAMENTO!$AF$7)/$H81*OFFSET(ORÇAMENTO!$X$15,ROW(AM81)-ROW(AM$15),0),0)</f>
        <v>0</v>
      </c>
      <c r="AN81" s="632">
        <f ca="1">IF(AND($D81="Serviço",AN$12&lt;&gt;0,$H81&gt;0,OR(AUTOEVENTO&lt;&gt;"manual",$M81&lt;&gt;1)),ROUND(OFFSET($P81,0,AN$13),15-13*ORÇAMENTO!$AF$7)/$H81*OFFSET(ORÇAMENTO!$X$15,ROW(AN81)-ROW(AN$15),0),0)</f>
        <v>0</v>
      </c>
      <c r="AO81" s="632">
        <f ca="1">IF(AND($D81="Serviço",AO$12&lt;&gt;0,$H81&gt;0,OR(AUTOEVENTO&lt;&gt;"manual",$M81&lt;&gt;1)),ROUND(OFFSET($P81,0,AO$13),15-13*ORÇAMENTO!$AF$7)/$H81*OFFSET(ORÇAMENTO!$X$15,ROW(AO81)-ROW(AO$15),0),0)</f>
        <v>0</v>
      </c>
      <c r="AP81" s="632">
        <f ca="1">IF(AND($D81="Serviço",AP$12&lt;&gt;0,$H81&gt;0,OR(AUTOEVENTO&lt;&gt;"manual",$M81&lt;&gt;1)),ROUND(OFFSET($P81,0,AP$13),15-13*ORÇAMENTO!$AF$7)/$H81*OFFSET(ORÇAMENTO!$X$15,ROW(AP81)-ROW(AP$15),0),0)</f>
        <v>0</v>
      </c>
      <c r="AQ81" s="632">
        <f ca="1">IF(AND($D81="Serviço",AQ$12&lt;&gt;0,$H81&gt;0,OR(AUTOEVENTO&lt;&gt;"manual",$M81&lt;&gt;1)),ROUND(OFFSET($P81,0,AQ$13),15-13*ORÇAMENTO!$AF$7)/$H81*OFFSET(ORÇAMENTO!$X$15,ROW(AQ81)-ROW(AQ$15),0),0)</f>
        <v>0</v>
      </c>
      <c r="AR81" s="632">
        <f ca="1">IF(AND($D81="Serviço",AR$12&lt;&gt;0,$H81&gt;0,OR(AUTOEVENTO&lt;&gt;"manual",$M81&lt;&gt;1)),ROUND(OFFSET($P81,0,AR$13),15-13*ORÇAMENTO!$AF$7)/$H81*OFFSET(ORÇAMENTO!$X$15,ROW(AR81)-ROW(AR$15),0),0)</f>
        <v>0</v>
      </c>
      <c r="AS81" s="633">
        <f ca="1">IF(AND($D81="Serviço",AS$12&lt;&gt;0,$H81&gt;0,OR(AUTOEVENTO&lt;&gt;"manual",$M81&lt;&gt;1)),ROUND(OFFSET($P81,0,AS$13),15-13*ORÇAMENTO!$AF$7)/$H81*OFFSET(ORÇAMENTO!$X$15,ROW(AS81)-ROW(AS$15),0),0)</f>
        <v>0</v>
      </c>
      <c r="AT81" s="632">
        <f ca="1">IF(AND($D81="Serviço",AT$12&lt;&gt;0,$H81&gt;0,OR(AUTOEVENTO&lt;&gt;"manual",$M81&lt;&gt;1)),ROUND(OFFSET($P81,0,AT$13),15-13*ORÇAMENTO!$AF$7)/$H81*OFFSET(ORÇAMENTO!$X$15,ROW(AT81)-ROW(AT$15),0),0)</f>
        <v>0</v>
      </c>
      <c r="AU81" s="632">
        <f ca="1">IF(AND($D81="Serviço",AU$12&lt;&gt;0,$H81&gt;0,OR(AUTOEVENTO&lt;&gt;"manual",$M81&lt;&gt;1)),ROUND(OFFSET($P81,0,AU$13),15-13*ORÇAMENTO!$AF$7)/$H81*OFFSET(ORÇAMENTO!$X$15,ROW(AU81)-ROW(AU$15),0),0)</f>
        <v>0</v>
      </c>
      <c r="AV81" s="632">
        <f ca="1">IF(AND($D81="Serviço",AV$12&lt;&gt;0,$H81&gt;0,OR(AUTOEVENTO&lt;&gt;"manual",$M81&lt;&gt;1)),ROUND(OFFSET($P81,0,AV$13),15-13*ORÇAMENTO!$AF$7)/$H81*OFFSET(ORÇAMENTO!$X$15,ROW(AV81)-ROW(AV$15),0),0)</f>
        <v>0</v>
      </c>
      <c r="AW81" s="632">
        <f ca="1">IF(AND($D81="Serviço",AW$12&lt;&gt;0,$H81&gt;0,OR(AUTOEVENTO&lt;&gt;"manual",$M81&lt;&gt;1)),ROUND(OFFSET($P81,0,AW$13),15-13*ORÇAMENTO!$AF$7)/$H81*OFFSET(ORÇAMENTO!$X$15,ROW(AW81)-ROW(AW$15),0),0)</f>
        <v>0</v>
      </c>
      <c r="AX81" s="632">
        <f ca="1">IF(AND($D81="Serviço",AX$12&lt;&gt;0,$H81&gt;0,OR(AUTOEVENTO&lt;&gt;"manual",$M81&lt;&gt;1)),ROUND(OFFSET($P81,0,AX$13),15-13*ORÇAMENTO!$AF$7)/$H81*OFFSET(ORÇAMENTO!$X$15,ROW(AX81)-ROW(AX$15),0),0)</f>
        <v>0</v>
      </c>
      <c r="AY81" s="632">
        <f ca="1">IF(AND($D81="Serviço",AY$12&lt;&gt;0,$H81&gt;0,OR(AUTOEVENTO&lt;&gt;"manual",$M81&lt;&gt;1)),ROUND(OFFSET($P81,0,AY$13),15-13*ORÇAMENTO!$AF$7)/$H81*OFFSET(ORÇAMENTO!$X$15,ROW(AY81)-ROW(AY$15),0),0)</f>
        <v>0</v>
      </c>
      <c r="AZ81" s="632">
        <f ca="1">IF(AND($D81="Serviço",AZ$12&lt;&gt;0,$H81&gt;0,OR(AUTOEVENTO&lt;&gt;"manual",$M81&lt;&gt;1)),ROUND(OFFSET($P81,0,AZ$13),15-13*ORÇAMENTO!$AF$7)/$H81*OFFSET(ORÇAMENTO!$X$15,ROW(AZ81)-ROW(AZ$15),0),0)</f>
        <v>0</v>
      </c>
      <c r="BA81" s="633">
        <f ca="1">IF(AND($D81="Serviço",BA$12&lt;&gt;0,$H81&gt;0,OR(AUTOEVENTO&lt;&gt;"manual",$M81&lt;&gt;1)),ROUND(OFFSET($P81,0,BA$13),15-13*ORÇAMENTO!$AF$7)/$H81*OFFSET(ORÇAMENTO!$X$15,ROW(BA81)-ROW(BA$15),0),0)</f>
        <v>0</v>
      </c>
      <c r="BC81" s="215">
        <f ca="1">IF($D81&lt;&gt;"Serviço",0,IF(AND(AUTOEVENTO="Manual",$M81=1),0,IF(OFFSET(CRONOPLE!$F$14,$M81,BC$13)="",10^12,OFFSET(CRONOPLE!$F$14,$M81,BC$13))))</f>
        <v>1000000000000</v>
      </c>
      <c r="BD81" s="215">
        <f ca="1">IF($D81&lt;&gt;"Serviço",0,IF(AND(AUTOEVENTO="Manual",$M81=1),0,IF(OFFSET(CRONOPLE!$F$14,$M81,BD$13)="",10^12,OFFSET(CRONOPLE!$F$14,$M81,BD$13))))</f>
        <v>1000000000000</v>
      </c>
      <c r="BE81" s="215">
        <f ca="1">IF($D81&lt;&gt;"Serviço",0,IF(AND(AUTOEVENTO="Manual",$M81=1),0,IF(OFFSET(CRONOPLE!$F$14,$M81,BE$13)="",10^12,OFFSET(CRONOPLE!$F$14,$M81,BE$13))))</f>
        <v>1000000000000</v>
      </c>
      <c r="BF81" s="215">
        <f ca="1">IF($D81&lt;&gt;"Serviço",0,IF(AND(AUTOEVENTO="Manual",$M81=1),0,IF(OFFSET(CRONOPLE!$F$14,$M81,BF$13)="",10^12,OFFSET(CRONOPLE!$F$14,$M81,BF$13))))</f>
        <v>1000000000000</v>
      </c>
      <c r="BG81" s="215">
        <f ca="1">IF($D81&lt;&gt;"Serviço",0,IF(AND(AUTOEVENTO="Manual",$M81=1),0,IF(OFFSET(CRONOPLE!$F$14,$M81,BG$13)="",10^12,OFFSET(CRONOPLE!$F$14,$M81,BG$13))))</f>
        <v>1000000000000</v>
      </c>
      <c r="BH81" s="215">
        <f ca="1">IF($D81&lt;&gt;"Serviço",0,IF(AND(AUTOEVENTO="Manual",$M81=1),0,IF(OFFSET(CRONOPLE!$F$14,$M81,BH$13)="",10^12,OFFSET(CRONOPLE!$F$14,$M81,BH$13))))</f>
        <v>1000000000000</v>
      </c>
      <c r="BI81" s="215">
        <f ca="1">IF($D81&lt;&gt;"Serviço",0,IF(AND(AUTOEVENTO="Manual",$M81=1),0,IF(OFFSET(CRONOPLE!$F$14,$M81,BI$13)="",10^12,OFFSET(CRONOPLE!$F$14,$M81,BI$13))))</f>
        <v>1000000000000</v>
      </c>
      <c r="BJ81" s="215">
        <f ca="1">IF($D81&lt;&gt;"Serviço",0,IF(AND(AUTOEVENTO="Manual",$M81=1),0,IF(OFFSET(CRONOPLE!$F$14,$M81,BJ$13)="",10^12,OFFSET(CRONOPLE!$F$14,$M81,BJ$13))))</f>
        <v>1000000000000</v>
      </c>
      <c r="BK81" s="215">
        <f ca="1">IF($D81&lt;&gt;"Serviço",0,IF(AND(AUTOEVENTO="Manual",$M81=1),0,IF(OFFSET(CRONOPLE!$F$14,$M81,BK$13)="",10^12,OFFSET(CRONOPLE!$F$14,$M81,BK$13))))</f>
        <v>1000000000000</v>
      </c>
      <c r="BL81" s="215">
        <f ca="1">IF($D81&lt;&gt;"Serviço",0,IF(AND(AUTOEVENTO="Manual",$M81=1),0,IF(OFFSET(CRONOPLE!$F$14,$M81,BL$13)="",10^12,OFFSET(CRONOPLE!$F$14,$M81,BL$13))))</f>
        <v>1000000000000</v>
      </c>
      <c r="BM81" s="215">
        <f ca="1">IF($D81&lt;&gt;"Serviço",0,IF(AND(AUTOEVENTO="Manual",$M81=1),0,IF(OFFSET(CRONOPLE!$F$14,$M81,BM$13)="",10^12,OFFSET(CRONOPLE!$F$14,$M81,BM$13))))</f>
        <v>1000000000000</v>
      </c>
      <c r="BN81" s="215">
        <f ca="1">IF($D81&lt;&gt;"Serviço",0,IF(AND(AUTOEVENTO="Manual",$M81=1),0,IF(OFFSET(CRONOPLE!$F$14,$M81,BN$13)="",10^12,OFFSET(CRONOPLE!$F$14,$M81,BN$13))))</f>
        <v>1000000000000</v>
      </c>
      <c r="BO81" s="215">
        <f ca="1">IF($D81&lt;&gt;"Serviço",0,IF(AND(AUTOEVENTO="Manual",$M81=1),0,IF(OFFSET(CRONOPLE!$F$14,$M81,BO$13)="",10^12,OFFSET(CRONOPLE!$F$14,$M81,BO$13))))</f>
        <v>1000000000000</v>
      </c>
      <c r="BP81" s="215">
        <f ca="1">IF($D81&lt;&gt;"Serviço",0,IF(AND(AUTOEVENTO="Manual",$M81=1),0,IF(OFFSET(CRONOPLE!$F$14,$M81,BP$13)="",10^12,OFFSET(CRONOPLE!$F$14,$M81,BP$13))))</f>
        <v>1000000000000</v>
      </c>
      <c r="BQ81" s="215">
        <f ca="1">IF($D81&lt;&gt;"Serviço",0,IF(AND(AUTOEVENTO="Manual",$M81=1),0,IF(OFFSET(CRONOPLE!$F$14,$M81,BQ$13)="",10^12,OFFSET(CRONOPLE!$F$14,$M81,BQ$13))))</f>
        <v>1000000000000</v>
      </c>
      <c r="BR81" s="215">
        <f ca="1">IF($D81&lt;&gt;"Serviço",0,IF(AND(AUTOEVENTO="Manual",$M81=1),0,IF(OFFSET(CRONOPLE!$F$14,$M81,BR$13)="",10^12,OFFSET(CRONOPLE!$F$14,$M81,BR$13))))</f>
        <v>1000000000000</v>
      </c>
      <c r="BS81" s="215">
        <f ca="1">IF($D81&lt;&gt;"Serviço",0,IF(AND(AUTOEVENTO="Manual",$M81=1),0,IF(OFFSET(CRONOPLE!$F$14,$M81,BS$13)="",10^12,OFFSET(CRONOPLE!$F$14,$M81,BS$13))))</f>
        <v>1000000000000</v>
      </c>
      <c r="BT81" s="215">
        <f ca="1">IF($D81&lt;&gt;"Serviço",0,IF(AND(AUTOEVENTO="Manual",$M81=1),0,IF(OFFSET(CRONOPLE!$F$14,$M81,BT$13)="",10^12,OFFSET(CRONOPLE!$F$14,$M81,BT$13))))</f>
        <v>1000000000000</v>
      </c>
      <c r="BV81" s="216">
        <f ca="1">IF($D81&lt;&gt;"Serviço",0,IF(OR(AND(AUTOEVENTO="Manual",$M81=1),$M81&gt;(ROW(PLE.lastrow)-ROW(PLE.firstrow))),0,IF(OFFSET(PLE!$G$14,$M81,BV$13)="",10^12,OFFSET(PLE!$G$14,$M81,BV$13))))</f>
        <v>1000000000000</v>
      </c>
      <c r="BW81" s="216">
        <f ca="1">IF($D81&lt;&gt;"Serviço",0,IF(OR(AND(AUTOEVENTO="Manual",$M81=1),$M81&gt;(ROW(PLE.lastrow)-ROW(PLE.firstrow))),0,IF(OFFSET(PLE!$G$14,$M81,BW$13)="",10^12,OFFSET(PLE!$G$14,$M81,BW$13))))</f>
        <v>1000000000000</v>
      </c>
      <c r="BX81" s="216">
        <f ca="1">IF($D81&lt;&gt;"Serviço",0,IF(OR(AND(AUTOEVENTO="Manual",$M81=1),$M81&gt;(ROW(PLE.lastrow)-ROW(PLE.firstrow))),0,IF(OFFSET(PLE!$G$14,$M81,BX$13)="",10^12,OFFSET(PLE!$G$14,$M81,BX$13))))</f>
        <v>1000000000000</v>
      </c>
      <c r="BY81" s="216">
        <f ca="1">IF($D81&lt;&gt;"Serviço",0,IF(OR(AND(AUTOEVENTO="Manual",$M81=1),$M81&gt;(ROW(PLE.lastrow)-ROW(PLE.firstrow))),0,IF(OFFSET(PLE!$G$14,$M81,BY$13)="",10^12,OFFSET(PLE!$G$14,$M81,BY$13))))</f>
        <v>1000000000000</v>
      </c>
      <c r="BZ81" s="216">
        <f ca="1">IF($D81&lt;&gt;"Serviço",0,IF(OR(AND(AUTOEVENTO="Manual",$M81=1),$M81&gt;(ROW(PLE.lastrow)-ROW(PLE.firstrow))),0,IF(OFFSET(PLE!$G$14,$M81,BZ$13)="",10^12,OFFSET(PLE!$G$14,$M81,BZ$13))))</f>
        <v>1000000000000</v>
      </c>
      <c r="CA81" s="216">
        <f ca="1">IF($D81&lt;&gt;"Serviço",0,IF(OR(AND(AUTOEVENTO="Manual",$M81=1),$M81&gt;(ROW(PLE.lastrow)-ROW(PLE.firstrow))),0,IF(OFFSET(PLE!$G$14,$M81,CA$13)="",10^12,OFFSET(PLE!$G$14,$M81,CA$13))))</f>
        <v>1000000000000</v>
      </c>
      <c r="CB81" s="216">
        <f ca="1">IF($D81&lt;&gt;"Serviço",0,IF(OR(AND(AUTOEVENTO="Manual",$M81=1),$M81&gt;(ROW(PLE.lastrow)-ROW(PLE.firstrow))),0,IF(OFFSET(PLE!$G$14,$M81,CB$13)="",10^12,OFFSET(PLE!$G$14,$M81,CB$13))))</f>
        <v>1000000000000</v>
      </c>
      <c r="CC81" s="216">
        <f ca="1">IF($D81&lt;&gt;"Serviço",0,IF(OR(AND(AUTOEVENTO="Manual",$M81=1),$M81&gt;(ROW(PLE.lastrow)-ROW(PLE.firstrow))),0,IF(OFFSET(PLE!$G$14,$M81,CC$13)="",10^12,OFFSET(PLE!$G$14,$M81,CC$13))))</f>
        <v>1000000000000</v>
      </c>
      <c r="CD81" s="216">
        <f ca="1">IF($D81&lt;&gt;"Serviço",0,IF(OR(AND(AUTOEVENTO="Manual",$M81=1),$M81&gt;(ROW(PLE.lastrow)-ROW(PLE.firstrow))),0,IF(OFFSET(PLE!$G$14,$M81,CD$13)="",10^12,OFFSET(PLE!$G$14,$M81,CD$13))))</f>
        <v>1000000000000</v>
      </c>
      <c r="CE81" s="216">
        <f ca="1">IF($D81&lt;&gt;"Serviço",0,IF(OR(AND(AUTOEVENTO="Manual",$M81=1),$M81&gt;(ROW(PLE.lastrow)-ROW(PLE.firstrow))),0,IF(OFFSET(PLE!$G$14,$M81,CE$13)="",10^12,OFFSET(PLE!$G$14,$M81,CE$13))))</f>
        <v>1000000000000</v>
      </c>
      <c r="CF81" s="216">
        <f ca="1">IF($D81&lt;&gt;"Serviço",0,IF(OR(AND(AUTOEVENTO="Manual",$M81=1),$M81&gt;(ROW(PLE.lastrow)-ROW(PLE.firstrow))),0,IF(OFFSET(PLE!$G$14,$M81,CF$13)="",10^12,OFFSET(PLE!$G$14,$M81,CF$13))))</f>
        <v>1000000000000</v>
      </c>
      <c r="CG81" s="216">
        <f ca="1">IF($D81&lt;&gt;"Serviço",0,IF(OR(AND(AUTOEVENTO="Manual",$M81=1),$M81&gt;(ROW(PLE.lastrow)-ROW(PLE.firstrow))),0,IF(OFFSET(PLE!$G$14,$M81,CG$13)="",10^12,OFFSET(PLE!$G$14,$M81,CG$13))))</f>
        <v>1000000000000</v>
      </c>
      <c r="CH81" s="216">
        <f ca="1">IF($D81&lt;&gt;"Serviço",0,IF(OR(AND(AUTOEVENTO="Manual",$M81=1),$M81&gt;(ROW(PLE.lastrow)-ROW(PLE.firstrow))),0,IF(OFFSET(PLE!$G$14,$M81,CH$13)="",10^12,OFFSET(PLE!$G$14,$M81,CH$13))))</f>
        <v>1000000000000</v>
      </c>
      <c r="CI81" s="216">
        <f ca="1">IF($D81&lt;&gt;"Serviço",0,IF(OR(AND(AUTOEVENTO="Manual",$M81=1),$M81&gt;(ROW(PLE.lastrow)-ROW(PLE.firstrow))),0,IF(OFFSET(PLE!$G$14,$M81,CI$13)="",10^12,OFFSET(PLE!$G$14,$M81,CI$13))))</f>
        <v>1000000000000</v>
      </c>
      <c r="CJ81" s="216">
        <f ca="1">IF($D81&lt;&gt;"Serviço",0,IF(OR(AND(AUTOEVENTO="Manual",$M81=1),$M81&gt;(ROW(PLE.lastrow)-ROW(PLE.firstrow))),0,IF(OFFSET(PLE!$G$14,$M81,CJ$13)="",10^12,OFFSET(PLE!$G$14,$M81,CJ$13))))</f>
        <v>1000000000000</v>
      </c>
      <c r="CK81" s="216">
        <f ca="1">IF($D81&lt;&gt;"Serviço",0,IF(OR(AND(AUTOEVENTO="Manual",$M81=1),$M81&gt;(ROW(PLE.lastrow)-ROW(PLE.firstrow))),0,IF(OFFSET(PLE!$G$14,$M81,CK$13)="",10^12,OFFSET(PLE!$G$14,$M81,CK$13))))</f>
        <v>1000000000000</v>
      </c>
      <c r="CL81" s="216">
        <f ca="1">IF($D81&lt;&gt;"Serviço",0,IF(OR(AND(AUTOEVENTO="Manual",$M81=1),$M81&gt;(ROW(PLE.lastrow)-ROW(PLE.firstrow))),0,IF(OFFSET(PLE!$G$14,$M81,CL$13)="",10^12,OFFSET(PLE!$G$14,$M81,CL$13))))</f>
        <v>1000000000000</v>
      </c>
      <c r="CM81" s="216">
        <f ca="1">IF($D81&lt;&gt;"Serviço",0,IF(OR(AND(AUTOEVENTO="Manual",$M81=1),$M81&gt;(ROW(PLE.lastrow)-ROW(PLE.firstrow))),0,IF(OFFSET(PLE!$G$14,$M81,CM$13)="",10^12,OFFSET(PLE!$G$14,$M81,CM$13))))</f>
        <v>1000000000000</v>
      </c>
    </row>
    <row r="82" spans="1:91" ht="13.2" x14ac:dyDescent="0.25">
      <c r="A82" s="9">
        <f t="shared" ca="1" si="10"/>
        <v>0</v>
      </c>
      <c r="B82" s="9">
        <f ca="1">OFFSET(ORÇAMENTO!C$15,ROW(B82)-ROW(B$15),0)</f>
        <v>3</v>
      </c>
      <c r="C82" s="9" t="str">
        <f ca="1">OFFSET(ORÇAMENTO!L$15,ROW(C82)-ROW(C$15),0)</f>
        <v>F</v>
      </c>
      <c r="D82" s="145" t="str">
        <f ca="1">OFFSET(ORÇAMENTO!N$15,ROW(D82)-ROW(D$15),0)</f>
        <v>Nível 3</v>
      </c>
      <c r="E82" s="205" t="str">
        <f ca="1">OFFSET(ORÇAMENTO!O$15,ROW(E82)-ROW(E$15),0)</f>
        <v>1.3.5.</v>
      </c>
      <c r="F82" s="206" t="str">
        <f ca="1">OFFSET(ORÇAMENTO!R$15,ROW(F82)-ROW(F$15),0)</f>
        <v>CONCRETO ARMADO - RADIER - RESERVATÓRIO</v>
      </c>
      <c r="G82" s="207" t="str">
        <f ca="1">IF($D82&lt;&gt;"Serviço","",OFFSET(ORÇAMENTO!S$15,ROW(G82)-ROW(G$15),0))</f>
        <v/>
      </c>
      <c r="H82" s="151">
        <f ca="1">IF($D82&lt;&gt;"Serviço",0,IF(ACOMPANHAMENTO="BM",ROUND(OFFSET(ORÇAMENTO!AJ$15,ROW(H82)-ROW(H$15),0),15-13*ORÇAMENTO!$AF$7),SUMPRODUCT(($Q$12:$AI$12&lt;&gt;"")*ROUND($Q82:$AI82,15-13*ORÇAMENTO!$AF$7))))</f>
        <v>0</v>
      </c>
      <c r="I82" s="650"/>
      <c r="K82" s="208"/>
      <c r="L82" s="209" t="s">
        <v>257</v>
      </c>
      <c r="M82" s="210" t="str">
        <f ca="1">IF($D82&lt;&gt;"Serviço","",IF(AUTOEVENTO="manual",$A82,IF(ISERROR(MATCH($A82,$A$15:OFFSET($A82,-1,0),0)),MAX($M$15:OFFSET(M82,-1,0))+1,INDEX($M$15:OFFSET(M82,-1,0),MATCH($A82,$A$15:OFFSET($A82,-1,0),0)))))</f>
        <v/>
      </c>
      <c r="N82" s="211" t="str">
        <f ca="1">IF($D82&lt;&gt;"Serviço","",IF(AUTOEVENTO="Manual",IF($A82=0,"&lt;-- defina o número do agrupador",OFFSET(EVENTOS!$D$14,$A82,0)),OFFSET($F$15,$A82,0)))</f>
        <v/>
      </c>
      <c r="O82" s="212"/>
      <c r="Q82" s="212"/>
      <c r="R82" s="213"/>
      <c r="S82" s="213"/>
      <c r="T82" s="213"/>
      <c r="U82" s="213"/>
      <c r="V82" s="213"/>
      <c r="W82" s="213"/>
      <c r="X82" s="213"/>
      <c r="Y82" s="213"/>
      <c r="Z82" s="214"/>
      <c r="AA82" s="213"/>
      <c r="AB82" s="213"/>
      <c r="AC82" s="213"/>
      <c r="AD82" s="213"/>
      <c r="AE82" s="213"/>
      <c r="AF82" s="213"/>
      <c r="AG82" s="213"/>
      <c r="AH82" s="214"/>
      <c r="AJ82" s="631">
        <f ca="1">IF(AND($D82="Serviço",AJ$12&lt;&gt;0,$H82&gt;0,OR(AUTOEVENTO&lt;&gt;"manual",$M82&lt;&gt;1)),ROUND(OFFSET($P82,0,AJ$13),15-13*ORÇAMENTO!$AF$7)/$H82*OFFSET(ORÇAMENTO!$X$15,ROW(AJ82)-ROW(AJ$15),0),0)</f>
        <v>0</v>
      </c>
      <c r="AK82" s="632">
        <f ca="1">IF(AND($D82="Serviço",AK$12&lt;&gt;0,$H82&gt;0,OR(AUTOEVENTO&lt;&gt;"manual",$M82&lt;&gt;1)),ROUND(OFFSET($P82,0,AK$13),15-13*ORÇAMENTO!$AF$7)/$H82*OFFSET(ORÇAMENTO!$X$15,ROW(AK82)-ROW(AK$15),0),0)</f>
        <v>0</v>
      </c>
      <c r="AL82" s="632">
        <f ca="1">IF(AND($D82="Serviço",AL$12&lt;&gt;0,$H82&gt;0,OR(AUTOEVENTO&lt;&gt;"manual",$M82&lt;&gt;1)),ROUND(OFFSET($P82,0,AL$13),15-13*ORÇAMENTO!$AF$7)/$H82*OFFSET(ORÇAMENTO!$X$15,ROW(AL82)-ROW(AL$15),0),0)</f>
        <v>0</v>
      </c>
      <c r="AM82" s="632">
        <f ca="1">IF(AND($D82="Serviço",AM$12&lt;&gt;0,$H82&gt;0,OR(AUTOEVENTO&lt;&gt;"manual",$M82&lt;&gt;1)),ROUND(OFFSET($P82,0,AM$13),15-13*ORÇAMENTO!$AF$7)/$H82*OFFSET(ORÇAMENTO!$X$15,ROW(AM82)-ROW(AM$15),0),0)</f>
        <v>0</v>
      </c>
      <c r="AN82" s="632">
        <f ca="1">IF(AND($D82="Serviço",AN$12&lt;&gt;0,$H82&gt;0,OR(AUTOEVENTO&lt;&gt;"manual",$M82&lt;&gt;1)),ROUND(OFFSET($P82,0,AN$13),15-13*ORÇAMENTO!$AF$7)/$H82*OFFSET(ORÇAMENTO!$X$15,ROW(AN82)-ROW(AN$15),0),0)</f>
        <v>0</v>
      </c>
      <c r="AO82" s="632">
        <f ca="1">IF(AND($D82="Serviço",AO$12&lt;&gt;0,$H82&gt;0,OR(AUTOEVENTO&lt;&gt;"manual",$M82&lt;&gt;1)),ROUND(OFFSET($P82,0,AO$13),15-13*ORÇAMENTO!$AF$7)/$H82*OFFSET(ORÇAMENTO!$X$15,ROW(AO82)-ROW(AO$15),0),0)</f>
        <v>0</v>
      </c>
      <c r="AP82" s="632">
        <f ca="1">IF(AND($D82="Serviço",AP$12&lt;&gt;0,$H82&gt;0,OR(AUTOEVENTO&lt;&gt;"manual",$M82&lt;&gt;1)),ROUND(OFFSET($P82,0,AP$13),15-13*ORÇAMENTO!$AF$7)/$H82*OFFSET(ORÇAMENTO!$X$15,ROW(AP82)-ROW(AP$15),0),0)</f>
        <v>0</v>
      </c>
      <c r="AQ82" s="632">
        <f ca="1">IF(AND($D82="Serviço",AQ$12&lt;&gt;0,$H82&gt;0,OR(AUTOEVENTO&lt;&gt;"manual",$M82&lt;&gt;1)),ROUND(OFFSET($P82,0,AQ$13),15-13*ORÇAMENTO!$AF$7)/$H82*OFFSET(ORÇAMENTO!$X$15,ROW(AQ82)-ROW(AQ$15),0),0)</f>
        <v>0</v>
      </c>
      <c r="AR82" s="632">
        <f ca="1">IF(AND($D82="Serviço",AR$12&lt;&gt;0,$H82&gt;0,OR(AUTOEVENTO&lt;&gt;"manual",$M82&lt;&gt;1)),ROUND(OFFSET($P82,0,AR$13),15-13*ORÇAMENTO!$AF$7)/$H82*OFFSET(ORÇAMENTO!$X$15,ROW(AR82)-ROW(AR$15),0),0)</f>
        <v>0</v>
      </c>
      <c r="AS82" s="633">
        <f ca="1">IF(AND($D82="Serviço",AS$12&lt;&gt;0,$H82&gt;0,OR(AUTOEVENTO&lt;&gt;"manual",$M82&lt;&gt;1)),ROUND(OFFSET($P82,0,AS$13),15-13*ORÇAMENTO!$AF$7)/$H82*OFFSET(ORÇAMENTO!$X$15,ROW(AS82)-ROW(AS$15),0),0)</f>
        <v>0</v>
      </c>
      <c r="AT82" s="632">
        <f ca="1">IF(AND($D82="Serviço",AT$12&lt;&gt;0,$H82&gt;0,OR(AUTOEVENTO&lt;&gt;"manual",$M82&lt;&gt;1)),ROUND(OFFSET($P82,0,AT$13),15-13*ORÇAMENTO!$AF$7)/$H82*OFFSET(ORÇAMENTO!$X$15,ROW(AT82)-ROW(AT$15),0),0)</f>
        <v>0</v>
      </c>
      <c r="AU82" s="632">
        <f ca="1">IF(AND($D82="Serviço",AU$12&lt;&gt;0,$H82&gt;0,OR(AUTOEVENTO&lt;&gt;"manual",$M82&lt;&gt;1)),ROUND(OFFSET($P82,0,AU$13),15-13*ORÇAMENTO!$AF$7)/$H82*OFFSET(ORÇAMENTO!$X$15,ROW(AU82)-ROW(AU$15),0),0)</f>
        <v>0</v>
      </c>
      <c r="AV82" s="632">
        <f ca="1">IF(AND($D82="Serviço",AV$12&lt;&gt;0,$H82&gt;0,OR(AUTOEVENTO&lt;&gt;"manual",$M82&lt;&gt;1)),ROUND(OFFSET($P82,0,AV$13),15-13*ORÇAMENTO!$AF$7)/$H82*OFFSET(ORÇAMENTO!$X$15,ROW(AV82)-ROW(AV$15),0),0)</f>
        <v>0</v>
      </c>
      <c r="AW82" s="632">
        <f ca="1">IF(AND($D82="Serviço",AW$12&lt;&gt;0,$H82&gt;0,OR(AUTOEVENTO&lt;&gt;"manual",$M82&lt;&gt;1)),ROUND(OFFSET($P82,0,AW$13),15-13*ORÇAMENTO!$AF$7)/$H82*OFFSET(ORÇAMENTO!$X$15,ROW(AW82)-ROW(AW$15),0),0)</f>
        <v>0</v>
      </c>
      <c r="AX82" s="632">
        <f ca="1">IF(AND($D82="Serviço",AX$12&lt;&gt;0,$H82&gt;0,OR(AUTOEVENTO&lt;&gt;"manual",$M82&lt;&gt;1)),ROUND(OFFSET($P82,0,AX$13),15-13*ORÇAMENTO!$AF$7)/$H82*OFFSET(ORÇAMENTO!$X$15,ROW(AX82)-ROW(AX$15),0),0)</f>
        <v>0</v>
      </c>
      <c r="AY82" s="632">
        <f ca="1">IF(AND($D82="Serviço",AY$12&lt;&gt;0,$H82&gt;0,OR(AUTOEVENTO&lt;&gt;"manual",$M82&lt;&gt;1)),ROUND(OFFSET($P82,0,AY$13),15-13*ORÇAMENTO!$AF$7)/$H82*OFFSET(ORÇAMENTO!$X$15,ROW(AY82)-ROW(AY$15),0),0)</f>
        <v>0</v>
      </c>
      <c r="AZ82" s="632">
        <f ca="1">IF(AND($D82="Serviço",AZ$12&lt;&gt;0,$H82&gt;0,OR(AUTOEVENTO&lt;&gt;"manual",$M82&lt;&gt;1)),ROUND(OFFSET($P82,0,AZ$13),15-13*ORÇAMENTO!$AF$7)/$H82*OFFSET(ORÇAMENTO!$X$15,ROW(AZ82)-ROW(AZ$15),0),0)</f>
        <v>0</v>
      </c>
      <c r="BA82" s="633">
        <f ca="1">IF(AND($D82="Serviço",BA$12&lt;&gt;0,$H82&gt;0,OR(AUTOEVENTO&lt;&gt;"manual",$M82&lt;&gt;1)),ROUND(OFFSET($P82,0,BA$13),15-13*ORÇAMENTO!$AF$7)/$H82*OFFSET(ORÇAMENTO!$X$15,ROW(BA82)-ROW(BA$15),0),0)</f>
        <v>0</v>
      </c>
      <c r="BC82" s="215">
        <f ca="1">IF($D82&lt;&gt;"Serviço",0,IF(AND(AUTOEVENTO="Manual",$M82=1),0,IF(OFFSET(CRONOPLE!$F$14,$M82,BC$13)="",10^12,OFFSET(CRONOPLE!$F$14,$M82,BC$13))))</f>
        <v>0</v>
      </c>
      <c r="BD82" s="215">
        <f ca="1">IF($D82&lt;&gt;"Serviço",0,IF(AND(AUTOEVENTO="Manual",$M82=1),0,IF(OFFSET(CRONOPLE!$F$14,$M82,BD$13)="",10^12,OFFSET(CRONOPLE!$F$14,$M82,BD$13))))</f>
        <v>0</v>
      </c>
      <c r="BE82" s="215">
        <f ca="1">IF($D82&lt;&gt;"Serviço",0,IF(AND(AUTOEVENTO="Manual",$M82=1),0,IF(OFFSET(CRONOPLE!$F$14,$M82,BE$13)="",10^12,OFFSET(CRONOPLE!$F$14,$M82,BE$13))))</f>
        <v>0</v>
      </c>
      <c r="BF82" s="215">
        <f ca="1">IF($D82&lt;&gt;"Serviço",0,IF(AND(AUTOEVENTO="Manual",$M82=1),0,IF(OFFSET(CRONOPLE!$F$14,$M82,BF$13)="",10^12,OFFSET(CRONOPLE!$F$14,$M82,BF$13))))</f>
        <v>0</v>
      </c>
      <c r="BG82" s="215">
        <f ca="1">IF($D82&lt;&gt;"Serviço",0,IF(AND(AUTOEVENTO="Manual",$M82=1),0,IF(OFFSET(CRONOPLE!$F$14,$M82,BG$13)="",10^12,OFFSET(CRONOPLE!$F$14,$M82,BG$13))))</f>
        <v>0</v>
      </c>
      <c r="BH82" s="215">
        <f ca="1">IF($D82&lt;&gt;"Serviço",0,IF(AND(AUTOEVENTO="Manual",$M82=1),0,IF(OFFSET(CRONOPLE!$F$14,$M82,BH$13)="",10^12,OFFSET(CRONOPLE!$F$14,$M82,BH$13))))</f>
        <v>0</v>
      </c>
      <c r="BI82" s="215">
        <f ca="1">IF($D82&lt;&gt;"Serviço",0,IF(AND(AUTOEVENTO="Manual",$M82=1),0,IF(OFFSET(CRONOPLE!$F$14,$M82,BI$13)="",10^12,OFFSET(CRONOPLE!$F$14,$M82,BI$13))))</f>
        <v>0</v>
      </c>
      <c r="BJ82" s="215">
        <f ca="1">IF($D82&lt;&gt;"Serviço",0,IF(AND(AUTOEVENTO="Manual",$M82=1),0,IF(OFFSET(CRONOPLE!$F$14,$M82,BJ$13)="",10^12,OFFSET(CRONOPLE!$F$14,$M82,BJ$13))))</f>
        <v>0</v>
      </c>
      <c r="BK82" s="215">
        <f ca="1">IF($D82&lt;&gt;"Serviço",0,IF(AND(AUTOEVENTO="Manual",$M82=1),0,IF(OFFSET(CRONOPLE!$F$14,$M82,BK$13)="",10^12,OFFSET(CRONOPLE!$F$14,$M82,BK$13))))</f>
        <v>0</v>
      </c>
      <c r="BL82" s="215">
        <f ca="1">IF($D82&lt;&gt;"Serviço",0,IF(AND(AUTOEVENTO="Manual",$M82=1),0,IF(OFFSET(CRONOPLE!$F$14,$M82,BL$13)="",10^12,OFFSET(CRONOPLE!$F$14,$M82,BL$13))))</f>
        <v>0</v>
      </c>
      <c r="BM82" s="215">
        <f ca="1">IF($D82&lt;&gt;"Serviço",0,IF(AND(AUTOEVENTO="Manual",$M82=1),0,IF(OFFSET(CRONOPLE!$F$14,$M82,BM$13)="",10^12,OFFSET(CRONOPLE!$F$14,$M82,BM$13))))</f>
        <v>0</v>
      </c>
      <c r="BN82" s="215">
        <f ca="1">IF($D82&lt;&gt;"Serviço",0,IF(AND(AUTOEVENTO="Manual",$M82=1),0,IF(OFFSET(CRONOPLE!$F$14,$M82,BN$13)="",10^12,OFFSET(CRONOPLE!$F$14,$M82,BN$13))))</f>
        <v>0</v>
      </c>
      <c r="BO82" s="215">
        <f ca="1">IF($D82&lt;&gt;"Serviço",0,IF(AND(AUTOEVENTO="Manual",$M82=1),0,IF(OFFSET(CRONOPLE!$F$14,$M82,BO$13)="",10^12,OFFSET(CRONOPLE!$F$14,$M82,BO$13))))</f>
        <v>0</v>
      </c>
      <c r="BP82" s="215">
        <f ca="1">IF($D82&lt;&gt;"Serviço",0,IF(AND(AUTOEVENTO="Manual",$M82=1),0,IF(OFFSET(CRONOPLE!$F$14,$M82,BP$13)="",10^12,OFFSET(CRONOPLE!$F$14,$M82,BP$13))))</f>
        <v>0</v>
      </c>
      <c r="BQ82" s="215">
        <f ca="1">IF($D82&lt;&gt;"Serviço",0,IF(AND(AUTOEVENTO="Manual",$M82=1),0,IF(OFFSET(CRONOPLE!$F$14,$M82,BQ$13)="",10^12,OFFSET(CRONOPLE!$F$14,$M82,BQ$13))))</f>
        <v>0</v>
      </c>
      <c r="BR82" s="215">
        <f ca="1">IF($D82&lt;&gt;"Serviço",0,IF(AND(AUTOEVENTO="Manual",$M82=1),0,IF(OFFSET(CRONOPLE!$F$14,$M82,BR$13)="",10^12,OFFSET(CRONOPLE!$F$14,$M82,BR$13))))</f>
        <v>0</v>
      </c>
      <c r="BS82" s="215">
        <f ca="1">IF($D82&lt;&gt;"Serviço",0,IF(AND(AUTOEVENTO="Manual",$M82=1),0,IF(OFFSET(CRONOPLE!$F$14,$M82,BS$13)="",10^12,OFFSET(CRONOPLE!$F$14,$M82,BS$13))))</f>
        <v>0</v>
      </c>
      <c r="BT82" s="215">
        <f ca="1">IF($D82&lt;&gt;"Serviço",0,IF(AND(AUTOEVENTO="Manual",$M82=1),0,IF(OFFSET(CRONOPLE!$F$14,$M82,BT$13)="",10^12,OFFSET(CRONOPLE!$F$14,$M82,BT$13))))</f>
        <v>0</v>
      </c>
      <c r="BV82" s="216">
        <f ca="1">IF($D82&lt;&gt;"Serviço",0,IF(OR(AND(AUTOEVENTO="Manual",$M82=1),$M82&gt;(ROW(PLE.lastrow)-ROW(PLE.firstrow))),0,IF(OFFSET(PLE!$G$14,$M82,BV$13)="",10^12,OFFSET(PLE!$G$14,$M82,BV$13))))</f>
        <v>0</v>
      </c>
      <c r="BW82" s="216">
        <f ca="1">IF($D82&lt;&gt;"Serviço",0,IF(OR(AND(AUTOEVENTO="Manual",$M82=1),$M82&gt;(ROW(PLE.lastrow)-ROW(PLE.firstrow))),0,IF(OFFSET(PLE!$G$14,$M82,BW$13)="",10^12,OFFSET(PLE!$G$14,$M82,BW$13))))</f>
        <v>0</v>
      </c>
      <c r="BX82" s="216">
        <f ca="1">IF($D82&lt;&gt;"Serviço",0,IF(OR(AND(AUTOEVENTO="Manual",$M82=1),$M82&gt;(ROW(PLE.lastrow)-ROW(PLE.firstrow))),0,IF(OFFSET(PLE!$G$14,$M82,BX$13)="",10^12,OFFSET(PLE!$G$14,$M82,BX$13))))</f>
        <v>0</v>
      </c>
      <c r="BY82" s="216">
        <f ca="1">IF($D82&lt;&gt;"Serviço",0,IF(OR(AND(AUTOEVENTO="Manual",$M82=1),$M82&gt;(ROW(PLE.lastrow)-ROW(PLE.firstrow))),0,IF(OFFSET(PLE!$G$14,$M82,BY$13)="",10^12,OFFSET(PLE!$G$14,$M82,BY$13))))</f>
        <v>0</v>
      </c>
      <c r="BZ82" s="216">
        <f ca="1">IF($D82&lt;&gt;"Serviço",0,IF(OR(AND(AUTOEVENTO="Manual",$M82=1),$M82&gt;(ROW(PLE.lastrow)-ROW(PLE.firstrow))),0,IF(OFFSET(PLE!$G$14,$M82,BZ$13)="",10^12,OFFSET(PLE!$G$14,$M82,BZ$13))))</f>
        <v>0</v>
      </c>
      <c r="CA82" s="216">
        <f ca="1">IF($D82&lt;&gt;"Serviço",0,IF(OR(AND(AUTOEVENTO="Manual",$M82=1),$M82&gt;(ROW(PLE.lastrow)-ROW(PLE.firstrow))),0,IF(OFFSET(PLE!$G$14,$M82,CA$13)="",10^12,OFFSET(PLE!$G$14,$M82,CA$13))))</f>
        <v>0</v>
      </c>
      <c r="CB82" s="216">
        <f ca="1">IF($D82&lt;&gt;"Serviço",0,IF(OR(AND(AUTOEVENTO="Manual",$M82=1),$M82&gt;(ROW(PLE.lastrow)-ROW(PLE.firstrow))),0,IF(OFFSET(PLE!$G$14,$M82,CB$13)="",10^12,OFFSET(PLE!$G$14,$M82,CB$13))))</f>
        <v>0</v>
      </c>
      <c r="CC82" s="216">
        <f ca="1">IF($D82&lt;&gt;"Serviço",0,IF(OR(AND(AUTOEVENTO="Manual",$M82=1),$M82&gt;(ROW(PLE.lastrow)-ROW(PLE.firstrow))),0,IF(OFFSET(PLE!$G$14,$M82,CC$13)="",10^12,OFFSET(PLE!$G$14,$M82,CC$13))))</f>
        <v>0</v>
      </c>
      <c r="CD82" s="216">
        <f ca="1">IF($D82&lt;&gt;"Serviço",0,IF(OR(AND(AUTOEVENTO="Manual",$M82=1),$M82&gt;(ROW(PLE.lastrow)-ROW(PLE.firstrow))),0,IF(OFFSET(PLE!$G$14,$M82,CD$13)="",10^12,OFFSET(PLE!$G$14,$M82,CD$13))))</f>
        <v>0</v>
      </c>
      <c r="CE82" s="216">
        <f ca="1">IF($D82&lt;&gt;"Serviço",0,IF(OR(AND(AUTOEVENTO="Manual",$M82=1),$M82&gt;(ROW(PLE.lastrow)-ROW(PLE.firstrow))),0,IF(OFFSET(PLE!$G$14,$M82,CE$13)="",10^12,OFFSET(PLE!$G$14,$M82,CE$13))))</f>
        <v>0</v>
      </c>
      <c r="CF82" s="216">
        <f ca="1">IF($D82&lt;&gt;"Serviço",0,IF(OR(AND(AUTOEVENTO="Manual",$M82=1),$M82&gt;(ROW(PLE.lastrow)-ROW(PLE.firstrow))),0,IF(OFFSET(PLE!$G$14,$M82,CF$13)="",10^12,OFFSET(PLE!$G$14,$M82,CF$13))))</f>
        <v>0</v>
      </c>
      <c r="CG82" s="216">
        <f ca="1">IF($D82&lt;&gt;"Serviço",0,IF(OR(AND(AUTOEVENTO="Manual",$M82=1),$M82&gt;(ROW(PLE.lastrow)-ROW(PLE.firstrow))),0,IF(OFFSET(PLE!$G$14,$M82,CG$13)="",10^12,OFFSET(PLE!$G$14,$M82,CG$13))))</f>
        <v>0</v>
      </c>
      <c r="CH82" s="216">
        <f ca="1">IF($D82&lt;&gt;"Serviço",0,IF(OR(AND(AUTOEVENTO="Manual",$M82=1),$M82&gt;(ROW(PLE.lastrow)-ROW(PLE.firstrow))),0,IF(OFFSET(PLE!$G$14,$M82,CH$13)="",10^12,OFFSET(PLE!$G$14,$M82,CH$13))))</f>
        <v>0</v>
      </c>
      <c r="CI82" s="216">
        <f ca="1">IF($D82&lt;&gt;"Serviço",0,IF(OR(AND(AUTOEVENTO="Manual",$M82=1),$M82&gt;(ROW(PLE.lastrow)-ROW(PLE.firstrow))),0,IF(OFFSET(PLE!$G$14,$M82,CI$13)="",10^12,OFFSET(PLE!$G$14,$M82,CI$13))))</f>
        <v>0</v>
      </c>
      <c r="CJ82" s="216">
        <f ca="1">IF($D82&lt;&gt;"Serviço",0,IF(OR(AND(AUTOEVENTO="Manual",$M82=1),$M82&gt;(ROW(PLE.lastrow)-ROW(PLE.firstrow))),0,IF(OFFSET(PLE!$G$14,$M82,CJ$13)="",10^12,OFFSET(PLE!$G$14,$M82,CJ$13))))</f>
        <v>0</v>
      </c>
      <c r="CK82" s="216">
        <f ca="1">IF($D82&lt;&gt;"Serviço",0,IF(OR(AND(AUTOEVENTO="Manual",$M82=1),$M82&gt;(ROW(PLE.lastrow)-ROW(PLE.firstrow))),0,IF(OFFSET(PLE!$G$14,$M82,CK$13)="",10^12,OFFSET(PLE!$G$14,$M82,CK$13))))</f>
        <v>0</v>
      </c>
      <c r="CL82" s="216">
        <f ca="1">IF($D82&lt;&gt;"Serviço",0,IF(OR(AND(AUTOEVENTO="Manual",$M82=1),$M82&gt;(ROW(PLE.lastrow)-ROW(PLE.firstrow))),0,IF(OFFSET(PLE!$G$14,$M82,CL$13)="",10^12,OFFSET(PLE!$G$14,$M82,CL$13))))</f>
        <v>0</v>
      </c>
      <c r="CM82" s="216">
        <f ca="1">IF($D82&lt;&gt;"Serviço",0,IF(OR(AND(AUTOEVENTO="Manual",$M82=1),$M82&gt;(ROW(PLE.lastrow)-ROW(PLE.firstrow))),0,IF(OFFSET(PLE!$G$14,$M82,CM$13)="",10^12,OFFSET(PLE!$G$14,$M82,CM$13))))</f>
        <v>0</v>
      </c>
    </row>
    <row r="83" spans="1:91" ht="13.2" x14ac:dyDescent="0.25">
      <c r="A83" s="9">
        <f t="shared" ca="1" si="10"/>
        <v>0</v>
      </c>
      <c r="B83" s="9" t="str">
        <f ca="1">OFFSET(ORÇAMENTO!C$15,ROW(B83)-ROW(B$15),0)</f>
        <v>S</v>
      </c>
      <c r="C83" s="9" t="str">
        <f ca="1">OFFSET(ORÇAMENTO!L$15,ROW(C83)-ROW(C$15),0)</f>
        <v/>
      </c>
      <c r="D83" s="145" t="str">
        <f ca="1">OFFSET(ORÇAMENTO!N$15,ROW(D83)-ROW(D$15),0)</f>
        <v>Serviço</v>
      </c>
      <c r="E83" s="205" t="str">
        <f ca="1">OFFSET(ORÇAMENTO!O$15,ROW(E83)-ROW(E$15),0)</f>
        <v>-</v>
      </c>
      <c r="F83" s="206" t="str">
        <f ca="1">OFFSET(ORÇAMENTO!R$15,ROW(F83)-ROW(F$15),0)</f>
        <v>(abra o arquivo 'Referência 05-2024.xls)</v>
      </c>
      <c r="G83" s="207" t="str">
        <f ca="1">IF($D83&lt;&gt;"Serviço","",OFFSET(ORÇAMENTO!S$15,ROW(G83)-ROW(G$15),0))</f>
        <v>-</v>
      </c>
      <c r="H83" s="151">
        <f ca="1">IF($D83&lt;&gt;"Serviço",0,IF(ACOMPANHAMENTO="BM",ROUND(OFFSET(ORÇAMENTO!AJ$15,ROW(H83)-ROW(H$15),0),15-13*ORÇAMENTO!$AF$7),SUMPRODUCT(($Q$12:$AI$12&lt;&gt;"")*ROUND($Q83:$AI83,15-13*ORÇAMENTO!$AF$7))))</f>
        <v>25.01</v>
      </c>
      <c r="I83" s="650"/>
      <c r="K83" s="208"/>
      <c r="L83" s="209" t="s">
        <v>257</v>
      </c>
      <c r="M83" s="210">
        <f ca="1">IF($D83&lt;&gt;"Serviço","",IF(AUTOEVENTO="manual",$A83,IF(ISERROR(MATCH($A83,$A$15:OFFSET($A83,-1,0),0)),MAX($M$15:OFFSET(M83,-1,0))+1,INDEX($M$15:OFFSET(M83,-1,0),MATCH($A83,$A$15:OFFSET($A83,-1,0),0)))))</f>
        <v>0</v>
      </c>
      <c r="N83" s="211" t="str">
        <f ca="1">IF($D83&lt;&gt;"Serviço","",IF(AUTOEVENTO="Manual",IF($A83=0,"&lt;-- defina o número do agrupador",OFFSET(EVENTOS!$D$14,$A83,0)),OFFSET($F$15,$A83,0)))</f>
        <v>&lt;-- defina o número do agrupador</v>
      </c>
      <c r="O83" s="212"/>
      <c r="Q83" s="212"/>
      <c r="R83" s="213"/>
      <c r="S83" s="213"/>
      <c r="T83" s="213"/>
      <c r="U83" s="213"/>
      <c r="V83" s="213"/>
      <c r="W83" s="213"/>
      <c r="X83" s="213"/>
      <c r="Y83" s="213"/>
      <c r="Z83" s="214"/>
      <c r="AA83" s="213"/>
      <c r="AB83" s="213"/>
      <c r="AC83" s="213"/>
      <c r="AD83" s="213"/>
      <c r="AE83" s="213"/>
      <c r="AF83" s="213"/>
      <c r="AG83" s="213"/>
      <c r="AH83" s="214"/>
      <c r="AJ83" s="631">
        <f ca="1">IF(AND($D83="Serviço",AJ$12&lt;&gt;0,$H83&gt;0,OR(AUTOEVENTO&lt;&gt;"manual",$M83&lt;&gt;1)),ROUND(OFFSET($P83,0,AJ$13),15-13*ORÇAMENTO!$AF$7)/$H83*OFFSET(ORÇAMENTO!$X$15,ROW(AJ83)-ROW(AJ$15),0),0)</f>
        <v>0</v>
      </c>
      <c r="AK83" s="632">
        <f ca="1">IF(AND($D83="Serviço",AK$12&lt;&gt;0,$H83&gt;0,OR(AUTOEVENTO&lt;&gt;"manual",$M83&lt;&gt;1)),ROUND(OFFSET($P83,0,AK$13),15-13*ORÇAMENTO!$AF$7)/$H83*OFFSET(ORÇAMENTO!$X$15,ROW(AK83)-ROW(AK$15),0),0)</f>
        <v>0</v>
      </c>
      <c r="AL83" s="632">
        <f ca="1">IF(AND($D83="Serviço",AL$12&lt;&gt;0,$H83&gt;0,OR(AUTOEVENTO&lt;&gt;"manual",$M83&lt;&gt;1)),ROUND(OFFSET($P83,0,AL$13),15-13*ORÇAMENTO!$AF$7)/$H83*OFFSET(ORÇAMENTO!$X$15,ROW(AL83)-ROW(AL$15),0),0)</f>
        <v>0</v>
      </c>
      <c r="AM83" s="632">
        <f ca="1">IF(AND($D83="Serviço",AM$12&lt;&gt;0,$H83&gt;0,OR(AUTOEVENTO&lt;&gt;"manual",$M83&lt;&gt;1)),ROUND(OFFSET($P83,0,AM$13),15-13*ORÇAMENTO!$AF$7)/$H83*OFFSET(ORÇAMENTO!$X$15,ROW(AM83)-ROW(AM$15),0),0)</f>
        <v>0</v>
      </c>
      <c r="AN83" s="632">
        <f ca="1">IF(AND($D83="Serviço",AN$12&lt;&gt;0,$H83&gt;0,OR(AUTOEVENTO&lt;&gt;"manual",$M83&lt;&gt;1)),ROUND(OFFSET($P83,0,AN$13),15-13*ORÇAMENTO!$AF$7)/$H83*OFFSET(ORÇAMENTO!$X$15,ROW(AN83)-ROW(AN$15),0),0)</f>
        <v>0</v>
      </c>
      <c r="AO83" s="632">
        <f ca="1">IF(AND($D83="Serviço",AO$12&lt;&gt;0,$H83&gt;0,OR(AUTOEVENTO&lt;&gt;"manual",$M83&lt;&gt;1)),ROUND(OFFSET($P83,0,AO$13),15-13*ORÇAMENTO!$AF$7)/$H83*OFFSET(ORÇAMENTO!$X$15,ROW(AO83)-ROW(AO$15),0),0)</f>
        <v>0</v>
      </c>
      <c r="AP83" s="632">
        <f ca="1">IF(AND($D83="Serviço",AP$12&lt;&gt;0,$H83&gt;0,OR(AUTOEVENTO&lt;&gt;"manual",$M83&lt;&gt;1)),ROUND(OFFSET($P83,0,AP$13),15-13*ORÇAMENTO!$AF$7)/$H83*OFFSET(ORÇAMENTO!$X$15,ROW(AP83)-ROW(AP$15),0),0)</f>
        <v>0</v>
      </c>
      <c r="AQ83" s="632">
        <f ca="1">IF(AND($D83="Serviço",AQ$12&lt;&gt;0,$H83&gt;0,OR(AUTOEVENTO&lt;&gt;"manual",$M83&lt;&gt;1)),ROUND(OFFSET($P83,0,AQ$13),15-13*ORÇAMENTO!$AF$7)/$H83*OFFSET(ORÇAMENTO!$X$15,ROW(AQ83)-ROW(AQ$15),0),0)</f>
        <v>0</v>
      </c>
      <c r="AR83" s="632">
        <f ca="1">IF(AND($D83="Serviço",AR$12&lt;&gt;0,$H83&gt;0,OR(AUTOEVENTO&lt;&gt;"manual",$M83&lt;&gt;1)),ROUND(OFFSET($P83,0,AR$13),15-13*ORÇAMENTO!$AF$7)/$H83*OFFSET(ORÇAMENTO!$X$15,ROW(AR83)-ROW(AR$15),0),0)</f>
        <v>0</v>
      </c>
      <c r="AS83" s="633">
        <f ca="1">IF(AND($D83="Serviço",AS$12&lt;&gt;0,$H83&gt;0,OR(AUTOEVENTO&lt;&gt;"manual",$M83&lt;&gt;1)),ROUND(OFFSET($P83,0,AS$13),15-13*ORÇAMENTO!$AF$7)/$H83*OFFSET(ORÇAMENTO!$X$15,ROW(AS83)-ROW(AS$15),0),0)</f>
        <v>0</v>
      </c>
      <c r="AT83" s="632">
        <f ca="1">IF(AND($D83="Serviço",AT$12&lt;&gt;0,$H83&gt;0,OR(AUTOEVENTO&lt;&gt;"manual",$M83&lt;&gt;1)),ROUND(OFFSET($P83,0,AT$13),15-13*ORÇAMENTO!$AF$7)/$H83*OFFSET(ORÇAMENTO!$X$15,ROW(AT83)-ROW(AT$15),0),0)</f>
        <v>0</v>
      </c>
      <c r="AU83" s="632">
        <f ca="1">IF(AND($D83="Serviço",AU$12&lt;&gt;0,$H83&gt;0,OR(AUTOEVENTO&lt;&gt;"manual",$M83&lt;&gt;1)),ROUND(OFFSET($P83,0,AU$13),15-13*ORÇAMENTO!$AF$7)/$H83*OFFSET(ORÇAMENTO!$X$15,ROW(AU83)-ROW(AU$15),0),0)</f>
        <v>0</v>
      </c>
      <c r="AV83" s="632">
        <f ca="1">IF(AND($D83="Serviço",AV$12&lt;&gt;0,$H83&gt;0,OR(AUTOEVENTO&lt;&gt;"manual",$M83&lt;&gt;1)),ROUND(OFFSET($P83,0,AV$13),15-13*ORÇAMENTO!$AF$7)/$H83*OFFSET(ORÇAMENTO!$X$15,ROW(AV83)-ROW(AV$15),0),0)</f>
        <v>0</v>
      </c>
      <c r="AW83" s="632">
        <f ca="1">IF(AND($D83="Serviço",AW$12&lt;&gt;0,$H83&gt;0,OR(AUTOEVENTO&lt;&gt;"manual",$M83&lt;&gt;1)),ROUND(OFFSET($P83,0,AW$13),15-13*ORÇAMENTO!$AF$7)/$H83*OFFSET(ORÇAMENTO!$X$15,ROW(AW83)-ROW(AW$15),0),0)</f>
        <v>0</v>
      </c>
      <c r="AX83" s="632">
        <f ca="1">IF(AND($D83="Serviço",AX$12&lt;&gt;0,$H83&gt;0,OR(AUTOEVENTO&lt;&gt;"manual",$M83&lt;&gt;1)),ROUND(OFFSET($P83,0,AX$13),15-13*ORÇAMENTO!$AF$7)/$H83*OFFSET(ORÇAMENTO!$X$15,ROW(AX83)-ROW(AX$15),0),0)</f>
        <v>0</v>
      </c>
      <c r="AY83" s="632">
        <f ca="1">IF(AND($D83="Serviço",AY$12&lt;&gt;0,$H83&gt;0,OR(AUTOEVENTO&lt;&gt;"manual",$M83&lt;&gt;1)),ROUND(OFFSET($P83,0,AY$13),15-13*ORÇAMENTO!$AF$7)/$H83*OFFSET(ORÇAMENTO!$X$15,ROW(AY83)-ROW(AY$15),0),0)</f>
        <v>0</v>
      </c>
      <c r="AZ83" s="632">
        <f ca="1">IF(AND($D83="Serviço",AZ$12&lt;&gt;0,$H83&gt;0,OR(AUTOEVENTO&lt;&gt;"manual",$M83&lt;&gt;1)),ROUND(OFFSET($P83,0,AZ$13),15-13*ORÇAMENTO!$AF$7)/$H83*OFFSET(ORÇAMENTO!$X$15,ROW(AZ83)-ROW(AZ$15),0),0)</f>
        <v>0</v>
      </c>
      <c r="BA83" s="633">
        <f ca="1">IF(AND($D83="Serviço",BA$12&lt;&gt;0,$H83&gt;0,OR(AUTOEVENTO&lt;&gt;"manual",$M83&lt;&gt;1)),ROUND(OFFSET($P83,0,BA$13),15-13*ORÇAMENTO!$AF$7)/$H83*OFFSET(ORÇAMENTO!$X$15,ROW(BA83)-ROW(BA$15),0),0)</f>
        <v>0</v>
      </c>
      <c r="BC83" s="215">
        <f ca="1">IF($D83&lt;&gt;"Serviço",0,IF(AND(AUTOEVENTO="Manual",$M83=1),0,IF(OFFSET(CRONOPLE!$F$14,$M83,BC$13)="",10^12,OFFSET(CRONOPLE!$F$14,$M83,BC$13))))</f>
        <v>1000000000000</v>
      </c>
      <c r="BD83" s="215">
        <f ca="1">IF($D83&lt;&gt;"Serviço",0,IF(AND(AUTOEVENTO="Manual",$M83=1),0,IF(OFFSET(CRONOPLE!$F$14,$M83,BD$13)="",10^12,OFFSET(CRONOPLE!$F$14,$M83,BD$13))))</f>
        <v>1000000000000</v>
      </c>
      <c r="BE83" s="215">
        <f ca="1">IF($D83&lt;&gt;"Serviço",0,IF(AND(AUTOEVENTO="Manual",$M83=1),0,IF(OFFSET(CRONOPLE!$F$14,$M83,BE$13)="",10^12,OFFSET(CRONOPLE!$F$14,$M83,BE$13))))</f>
        <v>1000000000000</v>
      </c>
      <c r="BF83" s="215">
        <f ca="1">IF($D83&lt;&gt;"Serviço",0,IF(AND(AUTOEVENTO="Manual",$M83=1),0,IF(OFFSET(CRONOPLE!$F$14,$M83,BF$13)="",10^12,OFFSET(CRONOPLE!$F$14,$M83,BF$13))))</f>
        <v>1000000000000</v>
      </c>
      <c r="BG83" s="215">
        <f ca="1">IF($D83&lt;&gt;"Serviço",0,IF(AND(AUTOEVENTO="Manual",$M83=1),0,IF(OFFSET(CRONOPLE!$F$14,$M83,BG$13)="",10^12,OFFSET(CRONOPLE!$F$14,$M83,BG$13))))</f>
        <v>1000000000000</v>
      </c>
      <c r="BH83" s="215">
        <f ca="1">IF($D83&lt;&gt;"Serviço",0,IF(AND(AUTOEVENTO="Manual",$M83=1),0,IF(OFFSET(CRONOPLE!$F$14,$M83,BH$13)="",10^12,OFFSET(CRONOPLE!$F$14,$M83,BH$13))))</f>
        <v>1000000000000</v>
      </c>
      <c r="BI83" s="215">
        <f ca="1">IF($D83&lt;&gt;"Serviço",0,IF(AND(AUTOEVENTO="Manual",$M83=1),0,IF(OFFSET(CRONOPLE!$F$14,$M83,BI$13)="",10^12,OFFSET(CRONOPLE!$F$14,$M83,BI$13))))</f>
        <v>1000000000000</v>
      </c>
      <c r="BJ83" s="215">
        <f ca="1">IF($D83&lt;&gt;"Serviço",0,IF(AND(AUTOEVENTO="Manual",$M83=1),0,IF(OFFSET(CRONOPLE!$F$14,$M83,BJ$13)="",10^12,OFFSET(CRONOPLE!$F$14,$M83,BJ$13))))</f>
        <v>1000000000000</v>
      </c>
      <c r="BK83" s="215">
        <f ca="1">IF($D83&lt;&gt;"Serviço",0,IF(AND(AUTOEVENTO="Manual",$M83=1),0,IF(OFFSET(CRONOPLE!$F$14,$M83,BK$13)="",10^12,OFFSET(CRONOPLE!$F$14,$M83,BK$13))))</f>
        <v>1000000000000</v>
      </c>
      <c r="BL83" s="215">
        <f ca="1">IF($D83&lt;&gt;"Serviço",0,IF(AND(AUTOEVENTO="Manual",$M83=1),0,IF(OFFSET(CRONOPLE!$F$14,$M83,BL$13)="",10^12,OFFSET(CRONOPLE!$F$14,$M83,BL$13))))</f>
        <v>1000000000000</v>
      </c>
      <c r="BM83" s="215">
        <f ca="1">IF($D83&lt;&gt;"Serviço",0,IF(AND(AUTOEVENTO="Manual",$M83=1),0,IF(OFFSET(CRONOPLE!$F$14,$M83,BM$13)="",10^12,OFFSET(CRONOPLE!$F$14,$M83,BM$13))))</f>
        <v>1000000000000</v>
      </c>
      <c r="BN83" s="215">
        <f ca="1">IF($D83&lt;&gt;"Serviço",0,IF(AND(AUTOEVENTO="Manual",$M83=1),0,IF(OFFSET(CRONOPLE!$F$14,$M83,BN$13)="",10^12,OFFSET(CRONOPLE!$F$14,$M83,BN$13))))</f>
        <v>1000000000000</v>
      </c>
      <c r="BO83" s="215">
        <f ca="1">IF($D83&lt;&gt;"Serviço",0,IF(AND(AUTOEVENTO="Manual",$M83=1),0,IF(OFFSET(CRONOPLE!$F$14,$M83,BO$13)="",10^12,OFFSET(CRONOPLE!$F$14,$M83,BO$13))))</f>
        <v>1000000000000</v>
      </c>
      <c r="BP83" s="215">
        <f ca="1">IF($D83&lt;&gt;"Serviço",0,IF(AND(AUTOEVENTO="Manual",$M83=1),0,IF(OFFSET(CRONOPLE!$F$14,$M83,BP$13)="",10^12,OFFSET(CRONOPLE!$F$14,$M83,BP$13))))</f>
        <v>1000000000000</v>
      </c>
      <c r="BQ83" s="215">
        <f ca="1">IF($D83&lt;&gt;"Serviço",0,IF(AND(AUTOEVENTO="Manual",$M83=1),0,IF(OFFSET(CRONOPLE!$F$14,$M83,BQ$13)="",10^12,OFFSET(CRONOPLE!$F$14,$M83,BQ$13))))</f>
        <v>1000000000000</v>
      </c>
      <c r="BR83" s="215">
        <f ca="1">IF($D83&lt;&gt;"Serviço",0,IF(AND(AUTOEVENTO="Manual",$M83=1),0,IF(OFFSET(CRONOPLE!$F$14,$M83,BR$13)="",10^12,OFFSET(CRONOPLE!$F$14,$M83,BR$13))))</f>
        <v>1000000000000</v>
      </c>
      <c r="BS83" s="215">
        <f ca="1">IF($D83&lt;&gt;"Serviço",0,IF(AND(AUTOEVENTO="Manual",$M83=1),0,IF(OFFSET(CRONOPLE!$F$14,$M83,BS$13)="",10^12,OFFSET(CRONOPLE!$F$14,$M83,BS$13))))</f>
        <v>1000000000000</v>
      </c>
      <c r="BT83" s="215">
        <f ca="1">IF($D83&lt;&gt;"Serviço",0,IF(AND(AUTOEVENTO="Manual",$M83=1),0,IF(OFFSET(CRONOPLE!$F$14,$M83,BT$13)="",10^12,OFFSET(CRONOPLE!$F$14,$M83,BT$13))))</f>
        <v>1000000000000</v>
      </c>
      <c r="BV83" s="216">
        <f ca="1">IF($D83&lt;&gt;"Serviço",0,IF(OR(AND(AUTOEVENTO="Manual",$M83=1),$M83&gt;(ROW(PLE.lastrow)-ROW(PLE.firstrow))),0,IF(OFFSET(PLE!$G$14,$M83,BV$13)="",10^12,OFFSET(PLE!$G$14,$M83,BV$13))))</f>
        <v>1000000000000</v>
      </c>
      <c r="BW83" s="216">
        <f ca="1">IF($D83&lt;&gt;"Serviço",0,IF(OR(AND(AUTOEVENTO="Manual",$M83=1),$M83&gt;(ROW(PLE.lastrow)-ROW(PLE.firstrow))),0,IF(OFFSET(PLE!$G$14,$M83,BW$13)="",10^12,OFFSET(PLE!$G$14,$M83,BW$13))))</f>
        <v>1000000000000</v>
      </c>
      <c r="BX83" s="216">
        <f ca="1">IF($D83&lt;&gt;"Serviço",0,IF(OR(AND(AUTOEVENTO="Manual",$M83=1),$M83&gt;(ROW(PLE.lastrow)-ROW(PLE.firstrow))),0,IF(OFFSET(PLE!$G$14,$M83,BX$13)="",10^12,OFFSET(PLE!$G$14,$M83,BX$13))))</f>
        <v>1000000000000</v>
      </c>
      <c r="BY83" s="216">
        <f ca="1">IF($D83&lt;&gt;"Serviço",0,IF(OR(AND(AUTOEVENTO="Manual",$M83=1),$M83&gt;(ROW(PLE.lastrow)-ROW(PLE.firstrow))),0,IF(OFFSET(PLE!$G$14,$M83,BY$13)="",10^12,OFFSET(PLE!$G$14,$M83,BY$13))))</f>
        <v>1000000000000</v>
      </c>
      <c r="BZ83" s="216">
        <f ca="1">IF($D83&lt;&gt;"Serviço",0,IF(OR(AND(AUTOEVENTO="Manual",$M83=1),$M83&gt;(ROW(PLE.lastrow)-ROW(PLE.firstrow))),0,IF(OFFSET(PLE!$G$14,$M83,BZ$13)="",10^12,OFFSET(PLE!$G$14,$M83,BZ$13))))</f>
        <v>1000000000000</v>
      </c>
      <c r="CA83" s="216">
        <f ca="1">IF($D83&lt;&gt;"Serviço",0,IF(OR(AND(AUTOEVENTO="Manual",$M83=1),$M83&gt;(ROW(PLE.lastrow)-ROW(PLE.firstrow))),0,IF(OFFSET(PLE!$G$14,$M83,CA$13)="",10^12,OFFSET(PLE!$G$14,$M83,CA$13))))</f>
        <v>1000000000000</v>
      </c>
      <c r="CB83" s="216">
        <f ca="1">IF($D83&lt;&gt;"Serviço",0,IF(OR(AND(AUTOEVENTO="Manual",$M83=1),$M83&gt;(ROW(PLE.lastrow)-ROW(PLE.firstrow))),0,IF(OFFSET(PLE!$G$14,$M83,CB$13)="",10^12,OFFSET(PLE!$G$14,$M83,CB$13))))</f>
        <v>1000000000000</v>
      </c>
      <c r="CC83" s="216">
        <f ca="1">IF($D83&lt;&gt;"Serviço",0,IF(OR(AND(AUTOEVENTO="Manual",$M83=1),$M83&gt;(ROW(PLE.lastrow)-ROW(PLE.firstrow))),0,IF(OFFSET(PLE!$G$14,$M83,CC$13)="",10^12,OFFSET(PLE!$G$14,$M83,CC$13))))</f>
        <v>1000000000000</v>
      </c>
      <c r="CD83" s="216">
        <f ca="1">IF($D83&lt;&gt;"Serviço",0,IF(OR(AND(AUTOEVENTO="Manual",$M83=1),$M83&gt;(ROW(PLE.lastrow)-ROW(PLE.firstrow))),0,IF(OFFSET(PLE!$G$14,$M83,CD$13)="",10^12,OFFSET(PLE!$G$14,$M83,CD$13))))</f>
        <v>1000000000000</v>
      </c>
      <c r="CE83" s="216">
        <f ca="1">IF($D83&lt;&gt;"Serviço",0,IF(OR(AND(AUTOEVENTO="Manual",$M83=1),$M83&gt;(ROW(PLE.lastrow)-ROW(PLE.firstrow))),0,IF(OFFSET(PLE!$G$14,$M83,CE$13)="",10^12,OFFSET(PLE!$G$14,$M83,CE$13))))</f>
        <v>1000000000000</v>
      </c>
      <c r="CF83" s="216">
        <f ca="1">IF($D83&lt;&gt;"Serviço",0,IF(OR(AND(AUTOEVENTO="Manual",$M83=1),$M83&gt;(ROW(PLE.lastrow)-ROW(PLE.firstrow))),0,IF(OFFSET(PLE!$G$14,$M83,CF$13)="",10^12,OFFSET(PLE!$G$14,$M83,CF$13))))</f>
        <v>1000000000000</v>
      </c>
      <c r="CG83" s="216">
        <f ca="1">IF($D83&lt;&gt;"Serviço",0,IF(OR(AND(AUTOEVENTO="Manual",$M83=1),$M83&gt;(ROW(PLE.lastrow)-ROW(PLE.firstrow))),0,IF(OFFSET(PLE!$G$14,$M83,CG$13)="",10^12,OFFSET(PLE!$G$14,$M83,CG$13))))</f>
        <v>1000000000000</v>
      </c>
      <c r="CH83" s="216">
        <f ca="1">IF($D83&lt;&gt;"Serviço",0,IF(OR(AND(AUTOEVENTO="Manual",$M83=1),$M83&gt;(ROW(PLE.lastrow)-ROW(PLE.firstrow))),0,IF(OFFSET(PLE!$G$14,$M83,CH$13)="",10^12,OFFSET(PLE!$G$14,$M83,CH$13))))</f>
        <v>1000000000000</v>
      </c>
      <c r="CI83" s="216">
        <f ca="1">IF($D83&lt;&gt;"Serviço",0,IF(OR(AND(AUTOEVENTO="Manual",$M83=1),$M83&gt;(ROW(PLE.lastrow)-ROW(PLE.firstrow))),0,IF(OFFSET(PLE!$G$14,$M83,CI$13)="",10^12,OFFSET(PLE!$G$14,$M83,CI$13))))</f>
        <v>1000000000000</v>
      </c>
      <c r="CJ83" s="216">
        <f ca="1">IF($D83&lt;&gt;"Serviço",0,IF(OR(AND(AUTOEVENTO="Manual",$M83=1),$M83&gt;(ROW(PLE.lastrow)-ROW(PLE.firstrow))),0,IF(OFFSET(PLE!$G$14,$M83,CJ$13)="",10^12,OFFSET(PLE!$G$14,$M83,CJ$13))))</f>
        <v>1000000000000</v>
      </c>
      <c r="CK83" s="216">
        <f ca="1">IF($D83&lt;&gt;"Serviço",0,IF(OR(AND(AUTOEVENTO="Manual",$M83=1),$M83&gt;(ROW(PLE.lastrow)-ROW(PLE.firstrow))),0,IF(OFFSET(PLE!$G$14,$M83,CK$13)="",10^12,OFFSET(PLE!$G$14,$M83,CK$13))))</f>
        <v>1000000000000</v>
      </c>
      <c r="CL83" s="216">
        <f ca="1">IF($D83&lt;&gt;"Serviço",0,IF(OR(AND(AUTOEVENTO="Manual",$M83=1),$M83&gt;(ROW(PLE.lastrow)-ROW(PLE.firstrow))),0,IF(OFFSET(PLE!$G$14,$M83,CL$13)="",10^12,OFFSET(PLE!$G$14,$M83,CL$13))))</f>
        <v>1000000000000</v>
      </c>
      <c r="CM83" s="216">
        <f ca="1">IF($D83&lt;&gt;"Serviço",0,IF(OR(AND(AUTOEVENTO="Manual",$M83=1),$M83&gt;(ROW(PLE.lastrow)-ROW(PLE.firstrow))),0,IF(OFFSET(PLE!$G$14,$M83,CM$13)="",10^12,OFFSET(PLE!$G$14,$M83,CM$13))))</f>
        <v>1000000000000</v>
      </c>
    </row>
    <row r="84" spans="1:91" ht="13.2" x14ac:dyDescent="0.25">
      <c r="A84" s="9">
        <f t="shared" ca="1" si="10"/>
        <v>0</v>
      </c>
      <c r="B84" s="9" t="str">
        <f ca="1">OFFSET(ORÇAMENTO!C$15,ROW(B84)-ROW(B$15),0)</f>
        <v>S</v>
      </c>
      <c r="C84" s="9" t="str">
        <f ca="1">OFFSET(ORÇAMENTO!L$15,ROW(C84)-ROW(C$15),0)</f>
        <v/>
      </c>
      <c r="D84" s="145" t="str">
        <f ca="1">OFFSET(ORÇAMENTO!N$15,ROW(D84)-ROW(D$15),0)</f>
        <v>Serviço</v>
      </c>
      <c r="E84" s="205" t="str">
        <f ca="1">OFFSET(ORÇAMENTO!O$15,ROW(E84)-ROW(E$15),0)</f>
        <v>-</v>
      </c>
      <c r="F84" s="206" t="str">
        <f ca="1">OFFSET(ORÇAMENTO!R$15,ROW(F84)-ROW(F$15),0)</f>
        <v>(abra o arquivo 'Referência 05-2024.xls)</v>
      </c>
      <c r="G84" s="207" t="str">
        <f ca="1">IF($D84&lt;&gt;"Serviço","",OFFSET(ORÇAMENTO!S$15,ROW(G84)-ROW(G$15),0))</f>
        <v>-</v>
      </c>
      <c r="H84" s="151">
        <f ca="1">IF($D84&lt;&gt;"Serviço",0,IF(ACOMPANHAMENTO="BM",ROUND(OFFSET(ORÇAMENTO!AJ$15,ROW(H84)-ROW(H$15),0),15-13*ORÇAMENTO!$AF$7),SUMPRODUCT(($Q$12:$AI$12&lt;&gt;"")*ROUND($Q84:$AI84,15-13*ORÇAMENTO!$AF$7))))</f>
        <v>266.49</v>
      </c>
      <c r="I84" s="650"/>
      <c r="K84" s="208"/>
      <c r="L84" s="209" t="s">
        <v>257</v>
      </c>
      <c r="M84" s="210">
        <f ca="1">IF($D84&lt;&gt;"Serviço","",IF(AUTOEVENTO="manual",$A84,IF(ISERROR(MATCH($A84,$A$15:OFFSET($A84,-1,0),0)),MAX($M$15:OFFSET(M84,-1,0))+1,INDEX($M$15:OFFSET(M84,-1,0),MATCH($A84,$A$15:OFFSET($A84,-1,0),0)))))</f>
        <v>0</v>
      </c>
      <c r="N84" s="211" t="str">
        <f ca="1">IF($D84&lt;&gt;"Serviço","",IF(AUTOEVENTO="Manual",IF($A84=0,"&lt;-- defina o número do agrupador",OFFSET(EVENTOS!$D$14,$A84,0)),OFFSET($F$15,$A84,0)))</f>
        <v>&lt;-- defina o número do agrupador</v>
      </c>
      <c r="O84" s="212"/>
      <c r="Q84" s="212"/>
      <c r="R84" s="213"/>
      <c r="S84" s="213"/>
      <c r="T84" s="213"/>
      <c r="U84" s="213"/>
      <c r="V84" s="213"/>
      <c r="W84" s="213"/>
      <c r="X84" s="213"/>
      <c r="Y84" s="213"/>
      <c r="Z84" s="214"/>
      <c r="AA84" s="213"/>
      <c r="AB84" s="213"/>
      <c r="AC84" s="213"/>
      <c r="AD84" s="213"/>
      <c r="AE84" s="213"/>
      <c r="AF84" s="213"/>
      <c r="AG84" s="213"/>
      <c r="AH84" s="214"/>
      <c r="AJ84" s="631">
        <f ca="1">IF(AND($D84="Serviço",AJ$12&lt;&gt;0,$H84&gt;0,OR(AUTOEVENTO&lt;&gt;"manual",$M84&lt;&gt;1)),ROUND(OFFSET($P84,0,AJ$13),15-13*ORÇAMENTO!$AF$7)/$H84*OFFSET(ORÇAMENTO!$X$15,ROW(AJ84)-ROW(AJ$15),0),0)</f>
        <v>0</v>
      </c>
      <c r="AK84" s="632">
        <f ca="1">IF(AND($D84="Serviço",AK$12&lt;&gt;0,$H84&gt;0,OR(AUTOEVENTO&lt;&gt;"manual",$M84&lt;&gt;1)),ROUND(OFFSET($P84,0,AK$13),15-13*ORÇAMENTO!$AF$7)/$H84*OFFSET(ORÇAMENTO!$X$15,ROW(AK84)-ROW(AK$15),0),0)</f>
        <v>0</v>
      </c>
      <c r="AL84" s="632">
        <f ca="1">IF(AND($D84="Serviço",AL$12&lt;&gt;0,$H84&gt;0,OR(AUTOEVENTO&lt;&gt;"manual",$M84&lt;&gt;1)),ROUND(OFFSET($P84,0,AL$13),15-13*ORÇAMENTO!$AF$7)/$H84*OFFSET(ORÇAMENTO!$X$15,ROW(AL84)-ROW(AL$15),0),0)</f>
        <v>0</v>
      </c>
      <c r="AM84" s="632">
        <f ca="1">IF(AND($D84="Serviço",AM$12&lt;&gt;0,$H84&gt;0,OR(AUTOEVENTO&lt;&gt;"manual",$M84&lt;&gt;1)),ROUND(OFFSET($P84,0,AM$13),15-13*ORÇAMENTO!$AF$7)/$H84*OFFSET(ORÇAMENTO!$X$15,ROW(AM84)-ROW(AM$15),0),0)</f>
        <v>0</v>
      </c>
      <c r="AN84" s="632">
        <f ca="1">IF(AND($D84="Serviço",AN$12&lt;&gt;0,$H84&gt;0,OR(AUTOEVENTO&lt;&gt;"manual",$M84&lt;&gt;1)),ROUND(OFFSET($P84,0,AN$13),15-13*ORÇAMENTO!$AF$7)/$H84*OFFSET(ORÇAMENTO!$X$15,ROW(AN84)-ROW(AN$15),0),0)</f>
        <v>0</v>
      </c>
      <c r="AO84" s="632">
        <f ca="1">IF(AND($D84="Serviço",AO$12&lt;&gt;0,$H84&gt;0,OR(AUTOEVENTO&lt;&gt;"manual",$M84&lt;&gt;1)),ROUND(OFFSET($P84,0,AO$13),15-13*ORÇAMENTO!$AF$7)/$H84*OFFSET(ORÇAMENTO!$X$15,ROW(AO84)-ROW(AO$15),0),0)</f>
        <v>0</v>
      </c>
      <c r="AP84" s="632">
        <f ca="1">IF(AND($D84="Serviço",AP$12&lt;&gt;0,$H84&gt;0,OR(AUTOEVENTO&lt;&gt;"manual",$M84&lt;&gt;1)),ROUND(OFFSET($P84,0,AP$13),15-13*ORÇAMENTO!$AF$7)/$H84*OFFSET(ORÇAMENTO!$X$15,ROW(AP84)-ROW(AP$15),0),0)</f>
        <v>0</v>
      </c>
      <c r="AQ84" s="632">
        <f ca="1">IF(AND($D84="Serviço",AQ$12&lt;&gt;0,$H84&gt;0,OR(AUTOEVENTO&lt;&gt;"manual",$M84&lt;&gt;1)),ROUND(OFFSET($P84,0,AQ$13),15-13*ORÇAMENTO!$AF$7)/$H84*OFFSET(ORÇAMENTO!$X$15,ROW(AQ84)-ROW(AQ$15),0),0)</f>
        <v>0</v>
      </c>
      <c r="AR84" s="632">
        <f ca="1">IF(AND($D84="Serviço",AR$12&lt;&gt;0,$H84&gt;0,OR(AUTOEVENTO&lt;&gt;"manual",$M84&lt;&gt;1)),ROUND(OFFSET($P84,0,AR$13),15-13*ORÇAMENTO!$AF$7)/$H84*OFFSET(ORÇAMENTO!$X$15,ROW(AR84)-ROW(AR$15),0),0)</f>
        <v>0</v>
      </c>
      <c r="AS84" s="633">
        <f ca="1">IF(AND($D84="Serviço",AS$12&lt;&gt;0,$H84&gt;0,OR(AUTOEVENTO&lt;&gt;"manual",$M84&lt;&gt;1)),ROUND(OFFSET($P84,0,AS$13),15-13*ORÇAMENTO!$AF$7)/$H84*OFFSET(ORÇAMENTO!$X$15,ROW(AS84)-ROW(AS$15),0),0)</f>
        <v>0</v>
      </c>
      <c r="AT84" s="632">
        <f ca="1">IF(AND($D84="Serviço",AT$12&lt;&gt;0,$H84&gt;0,OR(AUTOEVENTO&lt;&gt;"manual",$M84&lt;&gt;1)),ROUND(OFFSET($P84,0,AT$13),15-13*ORÇAMENTO!$AF$7)/$H84*OFFSET(ORÇAMENTO!$X$15,ROW(AT84)-ROW(AT$15),0),0)</f>
        <v>0</v>
      </c>
      <c r="AU84" s="632">
        <f ca="1">IF(AND($D84="Serviço",AU$12&lt;&gt;0,$H84&gt;0,OR(AUTOEVENTO&lt;&gt;"manual",$M84&lt;&gt;1)),ROUND(OFFSET($P84,0,AU$13),15-13*ORÇAMENTO!$AF$7)/$H84*OFFSET(ORÇAMENTO!$X$15,ROW(AU84)-ROW(AU$15),0),0)</f>
        <v>0</v>
      </c>
      <c r="AV84" s="632">
        <f ca="1">IF(AND($D84="Serviço",AV$12&lt;&gt;0,$H84&gt;0,OR(AUTOEVENTO&lt;&gt;"manual",$M84&lt;&gt;1)),ROUND(OFFSET($P84,0,AV$13),15-13*ORÇAMENTO!$AF$7)/$H84*OFFSET(ORÇAMENTO!$X$15,ROW(AV84)-ROW(AV$15),0),0)</f>
        <v>0</v>
      </c>
      <c r="AW84" s="632">
        <f ca="1">IF(AND($D84="Serviço",AW$12&lt;&gt;0,$H84&gt;0,OR(AUTOEVENTO&lt;&gt;"manual",$M84&lt;&gt;1)),ROUND(OFFSET($P84,0,AW$13),15-13*ORÇAMENTO!$AF$7)/$H84*OFFSET(ORÇAMENTO!$X$15,ROW(AW84)-ROW(AW$15),0),0)</f>
        <v>0</v>
      </c>
      <c r="AX84" s="632">
        <f ca="1">IF(AND($D84="Serviço",AX$12&lt;&gt;0,$H84&gt;0,OR(AUTOEVENTO&lt;&gt;"manual",$M84&lt;&gt;1)),ROUND(OFFSET($P84,0,AX$13),15-13*ORÇAMENTO!$AF$7)/$H84*OFFSET(ORÇAMENTO!$X$15,ROW(AX84)-ROW(AX$15),0),0)</f>
        <v>0</v>
      </c>
      <c r="AY84" s="632">
        <f ca="1">IF(AND($D84="Serviço",AY$12&lt;&gt;0,$H84&gt;0,OR(AUTOEVENTO&lt;&gt;"manual",$M84&lt;&gt;1)),ROUND(OFFSET($P84,0,AY$13),15-13*ORÇAMENTO!$AF$7)/$H84*OFFSET(ORÇAMENTO!$X$15,ROW(AY84)-ROW(AY$15),0),0)</f>
        <v>0</v>
      </c>
      <c r="AZ84" s="632">
        <f ca="1">IF(AND($D84="Serviço",AZ$12&lt;&gt;0,$H84&gt;0,OR(AUTOEVENTO&lt;&gt;"manual",$M84&lt;&gt;1)),ROUND(OFFSET($P84,0,AZ$13),15-13*ORÇAMENTO!$AF$7)/$H84*OFFSET(ORÇAMENTO!$X$15,ROW(AZ84)-ROW(AZ$15),0),0)</f>
        <v>0</v>
      </c>
      <c r="BA84" s="633">
        <f ca="1">IF(AND($D84="Serviço",BA$12&lt;&gt;0,$H84&gt;0,OR(AUTOEVENTO&lt;&gt;"manual",$M84&lt;&gt;1)),ROUND(OFFSET($P84,0,BA$13),15-13*ORÇAMENTO!$AF$7)/$H84*OFFSET(ORÇAMENTO!$X$15,ROW(BA84)-ROW(BA$15),0),0)</f>
        <v>0</v>
      </c>
      <c r="BC84" s="215">
        <f ca="1">IF($D84&lt;&gt;"Serviço",0,IF(AND(AUTOEVENTO="Manual",$M84=1),0,IF(OFFSET(CRONOPLE!$F$14,$M84,BC$13)="",10^12,OFFSET(CRONOPLE!$F$14,$M84,BC$13))))</f>
        <v>1000000000000</v>
      </c>
      <c r="BD84" s="215">
        <f ca="1">IF($D84&lt;&gt;"Serviço",0,IF(AND(AUTOEVENTO="Manual",$M84=1),0,IF(OFFSET(CRONOPLE!$F$14,$M84,BD$13)="",10^12,OFFSET(CRONOPLE!$F$14,$M84,BD$13))))</f>
        <v>1000000000000</v>
      </c>
      <c r="BE84" s="215">
        <f ca="1">IF($D84&lt;&gt;"Serviço",0,IF(AND(AUTOEVENTO="Manual",$M84=1),0,IF(OFFSET(CRONOPLE!$F$14,$M84,BE$13)="",10^12,OFFSET(CRONOPLE!$F$14,$M84,BE$13))))</f>
        <v>1000000000000</v>
      </c>
      <c r="BF84" s="215">
        <f ca="1">IF($D84&lt;&gt;"Serviço",0,IF(AND(AUTOEVENTO="Manual",$M84=1),0,IF(OFFSET(CRONOPLE!$F$14,$M84,BF$13)="",10^12,OFFSET(CRONOPLE!$F$14,$M84,BF$13))))</f>
        <v>1000000000000</v>
      </c>
      <c r="BG84" s="215">
        <f ca="1">IF($D84&lt;&gt;"Serviço",0,IF(AND(AUTOEVENTO="Manual",$M84=1),0,IF(OFFSET(CRONOPLE!$F$14,$M84,BG$13)="",10^12,OFFSET(CRONOPLE!$F$14,$M84,BG$13))))</f>
        <v>1000000000000</v>
      </c>
      <c r="BH84" s="215">
        <f ca="1">IF($D84&lt;&gt;"Serviço",0,IF(AND(AUTOEVENTO="Manual",$M84=1),0,IF(OFFSET(CRONOPLE!$F$14,$M84,BH$13)="",10^12,OFFSET(CRONOPLE!$F$14,$M84,BH$13))))</f>
        <v>1000000000000</v>
      </c>
      <c r="BI84" s="215">
        <f ca="1">IF($D84&lt;&gt;"Serviço",0,IF(AND(AUTOEVENTO="Manual",$M84=1),0,IF(OFFSET(CRONOPLE!$F$14,$M84,BI$13)="",10^12,OFFSET(CRONOPLE!$F$14,$M84,BI$13))))</f>
        <v>1000000000000</v>
      </c>
      <c r="BJ84" s="215">
        <f ca="1">IF($D84&lt;&gt;"Serviço",0,IF(AND(AUTOEVENTO="Manual",$M84=1),0,IF(OFFSET(CRONOPLE!$F$14,$M84,BJ$13)="",10^12,OFFSET(CRONOPLE!$F$14,$M84,BJ$13))))</f>
        <v>1000000000000</v>
      </c>
      <c r="BK84" s="215">
        <f ca="1">IF($D84&lt;&gt;"Serviço",0,IF(AND(AUTOEVENTO="Manual",$M84=1),0,IF(OFFSET(CRONOPLE!$F$14,$M84,BK$13)="",10^12,OFFSET(CRONOPLE!$F$14,$M84,BK$13))))</f>
        <v>1000000000000</v>
      </c>
      <c r="BL84" s="215">
        <f ca="1">IF($D84&lt;&gt;"Serviço",0,IF(AND(AUTOEVENTO="Manual",$M84=1),0,IF(OFFSET(CRONOPLE!$F$14,$M84,BL$13)="",10^12,OFFSET(CRONOPLE!$F$14,$M84,BL$13))))</f>
        <v>1000000000000</v>
      </c>
      <c r="BM84" s="215">
        <f ca="1">IF($D84&lt;&gt;"Serviço",0,IF(AND(AUTOEVENTO="Manual",$M84=1),0,IF(OFFSET(CRONOPLE!$F$14,$M84,BM$13)="",10^12,OFFSET(CRONOPLE!$F$14,$M84,BM$13))))</f>
        <v>1000000000000</v>
      </c>
      <c r="BN84" s="215">
        <f ca="1">IF($D84&lt;&gt;"Serviço",0,IF(AND(AUTOEVENTO="Manual",$M84=1),0,IF(OFFSET(CRONOPLE!$F$14,$M84,BN$13)="",10^12,OFFSET(CRONOPLE!$F$14,$M84,BN$13))))</f>
        <v>1000000000000</v>
      </c>
      <c r="BO84" s="215">
        <f ca="1">IF($D84&lt;&gt;"Serviço",0,IF(AND(AUTOEVENTO="Manual",$M84=1),0,IF(OFFSET(CRONOPLE!$F$14,$M84,BO$13)="",10^12,OFFSET(CRONOPLE!$F$14,$M84,BO$13))))</f>
        <v>1000000000000</v>
      </c>
      <c r="BP84" s="215">
        <f ca="1">IF($D84&lt;&gt;"Serviço",0,IF(AND(AUTOEVENTO="Manual",$M84=1),0,IF(OFFSET(CRONOPLE!$F$14,$M84,BP$13)="",10^12,OFFSET(CRONOPLE!$F$14,$M84,BP$13))))</f>
        <v>1000000000000</v>
      </c>
      <c r="BQ84" s="215">
        <f ca="1">IF($D84&lt;&gt;"Serviço",0,IF(AND(AUTOEVENTO="Manual",$M84=1),0,IF(OFFSET(CRONOPLE!$F$14,$M84,BQ$13)="",10^12,OFFSET(CRONOPLE!$F$14,$M84,BQ$13))))</f>
        <v>1000000000000</v>
      </c>
      <c r="BR84" s="215">
        <f ca="1">IF($D84&lt;&gt;"Serviço",0,IF(AND(AUTOEVENTO="Manual",$M84=1),0,IF(OFFSET(CRONOPLE!$F$14,$M84,BR$13)="",10^12,OFFSET(CRONOPLE!$F$14,$M84,BR$13))))</f>
        <v>1000000000000</v>
      </c>
      <c r="BS84" s="215">
        <f ca="1">IF($D84&lt;&gt;"Serviço",0,IF(AND(AUTOEVENTO="Manual",$M84=1),0,IF(OFFSET(CRONOPLE!$F$14,$M84,BS$13)="",10^12,OFFSET(CRONOPLE!$F$14,$M84,BS$13))))</f>
        <v>1000000000000</v>
      </c>
      <c r="BT84" s="215">
        <f ca="1">IF($D84&lt;&gt;"Serviço",0,IF(AND(AUTOEVENTO="Manual",$M84=1),0,IF(OFFSET(CRONOPLE!$F$14,$M84,BT$13)="",10^12,OFFSET(CRONOPLE!$F$14,$M84,BT$13))))</f>
        <v>1000000000000</v>
      </c>
      <c r="BV84" s="216">
        <f ca="1">IF($D84&lt;&gt;"Serviço",0,IF(OR(AND(AUTOEVENTO="Manual",$M84=1),$M84&gt;(ROW(PLE.lastrow)-ROW(PLE.firstrow))),0,IF(OFFSET(PLE!$G$14,$M84,BV$13)="",10^12,OFFSET(PLE!$G$14,$M84,BV$13))))</f>
        <v>1000000000000</v>
      </c>
      <c r="BW84" s="216">
        <f ca="1">IF($D84&lt;&gt;"Serviço",0,IF(OR(AND(AUTOEVENTO="Manual",$M84=1),$M84&gt;(ROW(PLE.lastrow)-ROW(PLE.firstrow))),0,IF(OFFSET(PLE!$G$14,$M84,BW$13)="",10^12,OFFSET(PLE!$G$14,$M84,BW$13))))</f>
        <v>1000000000000</v>
      </c>
      <c r="BX84" s="216">
        <f ca="1">IF($D84&lt;&gt;"Serviço",0,IF(OR(AND(AUTOEVENTO="Manual",$M84=1),$M84&gt;(ROW(PLE.lastrow)-ROW(PLE.firstrow))),0,IF(OFFSET(PLE!$G$14,$M84,BX$13)="",10^12,OFFSET(PLE!$G$14,$M84,BX$13))))</f>
        <v>1000000000000</v>
      </c>
      <c r="BY84" s="216">
        <f ca="1">IF($D84&lt;&gt;"Serviço",0,IF(OR(AND(AUTOEVENTO="Manual",$M84=1),$M84&gt;(ROW(PLE.lastrow)-ROW(PLE.firstrow))),0,IF(OFFSET(PLE!$G$14,$M84,BY$13)="",10^12,OFFSET(PLE!$G$14,$M84,BY$13))))</f>
        <v>1000000000000</v>
      </c>
      <c r="BZ84" s="216">
        <f ca="1">IF($D84&lt;&gt;"Serviço",0,IF(OR(AND(AUTOEVENTO="Manual",$M84=1),$M84&gt;(ROW(PLE.lastrow)-ROW(PLE.firstrow))),0,IF(OFFSET(PLE!$G$14,$M84,BZ$13)="",10^12,OFFSET(PLE!$G$14,$M84,BZ$13))))</f>
        <v>1000000000000</v>
      </c>
      <c r="CA84" s="216">
        <f ca="1">IF($D84&lt;&gt;"Serviço",0,IF(OR(AND(AUTOEVENTO="Manual",$M84=1),$M84&gt;(ROW(PLE.lastrow)-ROW(PLE.firstrow))),0,IF(OFFSET(PLE!$G$14,$M84,CA$13)="",10^12,OFFSET(PLE!$G$14,$M84,CA$13))))</f>
        <v>1000000000000</v>
      </c>
      <c r="CB84" s="216">
        <f ca="1">IF($D84&lt;&gt;"Serviço",0,IF(OR(AND(AUTOEVENTO="Manual",$M84=1),$M84&gt;(ROW(PLE.lastrow)-ROW(PLE.firstrow))),0,IF(OFFSET(PLE!$G$14,$M84,CB$13)="",10^12,OFFSET(PLE!$G$14,$M84,CB$13))))</f>
        <v>1000000000000</v>
      </c>
      <c r="CC84" s="216">
        <f ca="1">IF($D84&lt;&gt;"Serviço",0,IF(OR(AND(AUTOEVENTO="Manual",$M84=1),$M84&gt;(ROW(PLE.lastrow)-ROW(PLE.firstrow))),0,IF(OFFSET(PLE!$G$14,$M84,CC$13)="",10^12,OFFSET(PLE!$G$14,$M84,CC$13))))</f>
        <v>1000000000000</v>
      </c>
      <c r="CD84" s="216">
        <f ca="1">IF($D84&lt;&gt;"Serviço",0,IF(OR(AND(AUTOEVENTO="Manual",$M84=1),$M84&gt;(ROW(PLE.lastrow)-ROW(PLE.firstrow))),0,IF(OFFSET(PLE!$G$14,$M84,CD$13)="",10^12,OFFSET(PLE!$G$14,$M84,CD$13))))</f>
        <v>1000000000000</v>
      </c>
      <c r="CE84" s="216">
        <f ca="1">IF($D84&lt;&gt;"Serviço",0,IF(OR(AND(AUTOEVENTO="Manual",$M84=1),$M84&gt;(ROW(PLE.lastrow)-ROW(PLE.firstrow))),0,IF(OFFSET(PLE!$G$14,$M84,CE$13)="",10^12,OFFSET(PLE!$G$14,$M84,CE$13))))</f>
        <v>1000000000000</v>
      </c>
      <c r="CF84" s="216">
        <f ca="1">IF($D84&lt;&gt;"Serviço",0,IF(OR(AND(AUTOEVENTO="Manual",$M84=1),$M84&gt;(ROW(PLE.lastrow)-ROW(PLE.firstrow))),0,IF(OFFSET(PLE!$G$14,$M84,CF$13)="",10^12,OFFSET(PLE!$G$14,$M84,CF$13))))</f>
        <v>1000000000000</v>
      </c>
      <c r="CG84" s="216">
        <f ca="1">IF($D84&lt;&gt;"Serviço",0,IF(OR(AND(AUTOEVENTO="Manual",$M84=1),$M84&gt;(ROW(PLE.lastrow)-ROW(PLE.firstrow))),0,IF(OFFSET(PLE!$G$14,$M84,CG$13)="",10^12,OFFSET(PLE!$G$14,$M84,CG$13))))</f>
        <v>1000000000000</v>
      </c>
      <c r="CH84" s="216">
        <f ca="1">IF($D84&lt;&gt;"Serviço",0,IF(OR(AND(AUTOEVENTO="Manual",$M84=1),$M84&gt;(ROW(PLE.lastrow)-ROW(PLE.firstrow))),0,IF(OFFSET(PLE!$G$14,$M84,CH$13)="",10^12,OFFSET(PLE!$G$14,$M84,CH$13))))</f>
        <v>1000000000000</v>
      </c>
      <c r="CI84" s="216">
        <f ca="1">IF($D84&lt;&gt;"Serviço",0,IF(OR(AND(AUTOEVENTO="Manual",$M84=1),$M84&gt;(ROW(PLE.lastrow)-ROW(PLE.firstrow))),0,IF(OFFSET(PLE!$G$14,$M84,CI$13)="",10^12,OFFSET(PLE!$G$14,$M84,CI$13))))</f>
        <v>1000000000000</v>
      </c>
      <c r="CJ84" s="216">
        <f ca="1">IF($D84&lt;&gt;"Serviço",0,IF(OR(AND(AUTOEVENTO="Manual",$M84=1),$M84&gt;(ROW(PLE.lastrow)-ROW(PLE.firstrow))),0,IF(OFFSET(PLE!$G$14,$M84,CJ$13)="",10^12,OFFSET(PLE!$G$14,$M84,CJ$13))))</f>
        <v>1000000000000</v>
      </c>
      <c r="CK84" s="216">
        <f ca="1">IF($D84&lt;&gt;"Serviço",0,IF(OR(AND(AUTOEVENTO="Manual",$M84=1),$M84&gt;(ROW(PLE.lastrow)-ROW(PLE.firstrow))),0,IF(OFFSET(PLE!$G$14,$M84,CK$13)="",10^12,OFFSET(PLE!$G$14,$M84,CK$13))))</f>
        <v>1000000000000</v>
      </c>
      <c r="CL84" s="216">
        <f ca="1">IF($D84&lt;&gt;"Serviço",0,IF(OR(AND(AUTOEVENTO="Manual",$M84=1),$M84&gt;(ROW(PLE.lastrow)-ROW(PLE.firstrow))),0,IF(OFFSET(PLE!$G$14,$M84,CL$13)="",10^12,OFFSET(PLE!$G$14,$M84,CL$13))))</f>
        <v>1000000000000</v>
      </c>
      <c r="CM84" s="216">
        <f ca="1">IF($D84&lt;&gt;"Serviço",0,IF(OR(AND(AUTOEVENTO="Manual",$M84=1),$M84&gt;(ROW(PLE.lastrow)-ROW(PLE.firstrow))),0,IF(OFFSET(PLE!$G$14,$M84,CM$13)="",10^12,OFFSET(PLE!$G$14,$M84,CM$13))))</f>
        <v>1000000000000</v>
      </c>
    </row>
    <row r="85" spans="1:91" ht="13.2" x14ac:dyDescent="0.25">
      <c r="A85" s="9">
        <f t="shared" ca="1" si="10"/>
        <v>0</v>
      </c>
      <c r="B85" s="9" t="str">
        <f ca="1">OFFSET(ORÇAMENTO!C$15,ROW(B85)-ROW(B$15),0)</f>
        <v>S</v>
      </c>
      <c r="C85" s="9" t="str">
        <f ca="1">OFFSET(ORÇAMENTO!L$15,ROW(C85)-ROW(C$15),0)</f>
        <v/>
      </c>
      <c r="D85" s="145" t="str">
        <f ca="1">OFFSET(ORÇAMENTO!N$15,ROW(D85)-ROW(D$15),0)</f>
        <v>Serviço</v>
      </c>
      <c r="E85" s="205" t="str">
        <f ca="1">OFFSET(ORÇAMENTO!O$15,ROW(E85)-ROW(E$15),0)</f>
        <v>-</v>
      </c>
      <c r="F85" s="206" t="str">
        <f ca="1">OFFSET(ORÇAMENTO!R$15,ROW(F85)-ROW(F$15),0)</f>
        <v>(abra o arquivo 'Referência 05-2024.xls)</v>
      </c>
      <c r="G85" s="207" t="str">
        <f ca="1">IF($D85&lt;&gt;"Serviço","",OFFSET(ORÇAMENTO!S$15,ROW(G85)-ROW(G$15),0))</f>
        <v>-</v>
      </c>
      <c r="H85" s="151">
        <f ca="1">IF($D85&lt;&gt;"Serviço",0,IF(ACOMPANHAMENTO="BM",ROUND(OFFSET(ORÇAMENTO!AJ$15,ROW(H85)-ROW(H$15),0),15-13*ORÇAMENTO!$AF$7),SUMPRODUCT(($Q$12:$AI$12&lt;&gt;"")*ROUND($Q85:$AI85,15-13*ORÇAMENTO!$AF$7))))</f>
        <v>2.87</v>
      </c>
      <c r="I85" s="650"/>
      <c r="K85" s="208"/>
      <c r="L85" s="209" t="s">
        <v>257</v>
      </c>
      <c r="M85" s="210">
        <f ca="1">IF($D85&lt;&gt;"Serviço","",IF(AUTOEVENTO="manual",$A85,IF(ISERROR(MATCH($A85,$A$15:OFFSET($A85,-1,0),0)),MAX($M$15:OFFSET(M85,-1,0))+1,INDEX($M$15:OFFSET(M85,-1,0),MATCH($A85,$A$15:OFFSET($A85,-1,0),0)))))</f>
        <v>0</v>
      </c>
      <c r="N85" s="211" t="str">
        <f ca="1">IF($D85&lt;&gt;"Serviço","",IF(AUTOEVENTO="Manual",IF($A85=0,"&lt;-- defina o número do agrupador",OFFSET(EVENTOS!$D$14,$A85,0)),OFFSET($F$15,$A85,0)))</f>
        <v>&lt;-- defina o número do agrupador</v>
      </c>
      <c r="O85" s="212"/>
      <c r="Q85" s="212"/>
      <c r="R85" s="213"/>
      <c r="S85" s="213"/>
      <c r="T85" s="213"/>
      <c r="U85" s="213"/>
      <c r="V85" s="213"/>
      <c r="W85" s="213"/>
      <c r="X85" s="213"/>
      <c r="Y85" s="213"/>
      <c r="Z85" s="214"/>
      <c r="AA85" s="213"/>
      <c r="AB85" s="213"/>
      <c r="AC85" s="213"/>
      <c r="AD85" s="213"/>
      <c r="AE85" s="213"/>
      <c r="AF85" s="213"/>
      <c r="AG85" s="213"/>
      <c r="AH85" s="214"/>
      <c r="AJ85" s="631">
        <f ca="1">IF(AND($D85="Serviço",AJ$12&lt;&gt;0,$H85&gt;0,OR(AUTOEVENTO&lt;&gt;"manual",$M85&lt;&gt;1)),ROUND(OFFSET($P85,0,AJ$13),15-13*ORÇAMENTO!$AF$7)/$H85*OFFSET(ORÇAMENTO!$X$15,ROW(AJ85)-ROW(AJ$15),0),0)</f>
        <v>0</v>
      </c>
      <c r="AK85" s="632">
        <f ca="1">IF(AND($D85="Serviço",AK$12&lt;&gt;0,$H85&gt;0,OR(AUTOEVENTO&lt;&gt;"manual",$M85&lt;&gt;1)),ROUND(OFFSET($P85,0,AK$13),15-13*ORÇAMENTO!$AF$7)/$H85*OFFSET(ORÇAMENTO!$X$15,ROW(AK85)-ROW(AK$15),0),0)</f>
        <v>0</v>
      </c>
      <c r="AL85" s="632">
        <f ca="1">IF(AND($D85="Serviço",AL$12&lt;&gt;0,$H85&gt;0,OR(AUTOEVENTO&lt;&gt;"manual",$M85&lt;&gt;1)),ROUND(OFFSET($P85,0,AL$13),15-13*ORÇAMENTO!$AF$7)/$H85*OFFSET(ORÇAMENTO!$X$15,ROW(AL85)-ROW(AL$15),0),0)</f>
        <v>0</v>
      </c>
      <c r="AM85" s="632">
        <f ca="1">IF(AND($D85="Serviço",AM$12&lt;&gt;0,$H85&gt;0,OR(AUTOEVENTO&lt;&gt;"manual",$M85&lt;&gt;1)),ROUND(OFFSET($P85,0,AM$13),15-13*ORÇAMENTO!$AF$7)/$H85*OFFSET(ORÇAMENTO!$X$15,ROW(AM85)-ROW(AM$15),0),0)</f>
        <v>0</v>
      </c>
      <c r="AN85" s="632">
        <f ca="1">IF(AND($D85="Serviço",AN$12&lt;&gt;0,$H85&gt;0,OR(AUTOEVENTO&lt;&gt;"manual",$M85&lt;&gt;1)),ROUND(OFFSET($P85,0,AN$13),15-13*ORÇAMENTO!$AF$7)/$H85*OFFSET(ORÇAMENTO!$X$15,ROW(AN85)-ROW(AN$15),0),0)</f>
        <v>0</v>
      </c>
      <c r="AO85" s="632">
        <f ca="1">IF(AND($D85="Serviço",AO$12&lt;&gt;0,$H85&gt;0,OR(AUTOEVENTO&lt;&gt;"manual",$M85&lt;&gt;1)),ROUND(OFFSET($P85,0,AO$13),15-13*ORÇAMENTO!$AF$7)/$H85*OFFSET(ORÇAMENTO!$X$15,ROW(AO85)-ROW(AO$15),0),0)</f>
        <v>0</v>
      </c>
      <c r="AP85" s="632">
        <f ca="1">IF(AND($D85="Serviço",AP$12&lt;&gt;0,$H85&gt;0,OR(AUTOEVENTO&lt;&gt;"manual",$M85&lt;&gt;1)),ROUND(OFFSET($P85,0,AP$13),15-13*ORÇAMENTO!$AF$7)/$H85*OFFSET(ORÇAMENTO!$X$15,ROW(AP85)-ROW(AP$15),0),0)</f>
        <v>0</v>
      </c>
      <c r="AQ85" s="632">
        <f ca="1">IF(AND($D85="Serviço",AQ$12&lt;&gt;0,$H85&gt;0,OR(AUTOEVENTO&lt;&gt;"manual",$M85&lt;&gt;1)),ROUND(OFFSET($P85,0,AQ$13),15-13*ORÇAMENTO!$AF$7)/$H85*OFFSET(ORÇAMENTO!$X$15,ROW(AQ85)-ROW(AQ$15),0),0)</f>
        <v>0</v>
      </c>
      <c r="AR85" s="632">
        <f ca="1">IF(AND($D85="Serviço",AR$12&lt;&gt;0,$H85&gt;0,OR(AUTOEVENTO&lt;&gt;"manual",$M85&lt;&gt;1)),ROUND(OFFSET($P85,0,AR$13),15-13*ORÇAMENTO!$AF$7)/$H85*OFFSET(ORÇAMENTO!$X$15,ROW(AR85)-ROW(AR$15),0),0)</f>
        <v>0</v>
      </c>
      <c r="AS85" s="633">
        <f ca="1">IF(AND($D85="Serviço",AS$12&lt;&gt;0,$H85&gt;0,OR(AUTOEVENTO&lt;&gt;"manual",$M85&lt;&gt;1)),ROUND(OFFSET($P85,0,AS$13),15-13*ORÇAMENTO!$AF$7)/$H85*OFFSET(ORÇAMENTO!$X$15,ROW(AS85)-ROW(AS$15),0),0)</f>
        <v>0</v>
      </c>
      <c r="AT85" s="632">
        <f ca="1">IF(AND($D85="Serviço",AT$12&lt;&gt;0,$H85&gt;0,OR(AUTOEVENTO&lt;&gt;"manual",$M85&lt;&gt;1)),ROUND(OFFSET($P85,0,AT$13),15-13*ORÇAMENTO!$AF$7)/$H85*OFFSET(ORÇAMENTO!$X$15,ROW(AT85)-ROW(AT$15),0),0)</f>
        <v>0</v>
      </c>
      <c r="AU85" s="632">
        <f ca="1">IF(AND($D85="Serviço",AU$12&lt;&gt;0,$H85&gt;0,OR(AUTOEVENTO&lt;&gt;"manual",$M85&lt;&gt;1)),ROUND(OFFSET($P85,0,AU$13),15-13*ORÇAMENTO!$AF$7)/$H85*OFFSET(ORÇAMENTO!$X$15,ROW(AU85)-ROW(AU$15),0),0)</f>
        <v>0</v>
      </c>
      <c r="AV85" s="632">
        <f ca="1">IF(AND($D85="Serviço",AV$12&lt;&gt;0,$H85&gt;0,OR(AUTOEVENTO&lt;&gt;"manual",$M85&lt;&gt;1)),ROUND(OFFSET($P85,0,AV$13),15-13*ORÇAMENTO!$AF$7)/$H85*OFFSET(ORÇAMENTO!$X$15,ROW(AV85)-ROW(AV$15),0),0)</f>
        <v>0</v>
      </c>
      <c r="AW85" s="632">
        <f ca="1">IF(AND($D85="Serviço",AW$12&lt;&gt;0,$H85&gt;0,OR(AUTOEVENTO&lt;&gt;"manual",$M85&lt;&gt;1)),ROUND(OFFSET($P85,0,AW$13),15-13*ORÇAMENTO!$AF$7)/$H85*OFFSET(ORÇAMENTO!$X$15,ROW(AW85)-ROW(AW$15),0),0)</f>
        <v>0</v>
      </c>
      <c r="AX85" s="632">
        <f ca="1">IF(AND($D85="Serviço",AX$12&lt;&gt;0,$H85&gt;0,OR(AUTOEVENTO&lt;&gt;"manual",$M85&lt;&gt;1)),ROUND(OFFSET($P85,0,AX$13),15-13*ORÇAMENTO!$AF$7)/$H85*OFFSET(ORÇAMENTO!$X$15,ROW(AX85)-ROW(AX$15),0),0)</f>
        <v>0</v>
      </c>
      <c r="AY85" s="632">
        <f ca="1">IF(AND($D85="Serviço",AY$12&lt;&gt;0,$H85&gt;0,OR(AUTOEVENTO&lt;&gt;"manual",$M85&lt;&gt;1)),ROUND(OFFSET($P85,0,AY$13),15-13*ORÇAMENTO!$AF$7)/$H85*OFFSET(ORÇAMENTO!$X$15,ROW(AY85)-ROW(AY$15),0),0)</f>
        <v>0</v>
      </c>
      <c r="AZ85" s="632">
        <f ca="1">IF(AND($D85="Serviço",AZ$12&lt;&gt;0,$H85&gt;0,OR(AUTOEVENTO&lt;&gt;"manual",$M85&lt;&gt;1)),ROUND(OFFSET($P85,0,AZ$13),15-13*ORÇAMENTO!$AF$7)/$H85*OFFSET(ORÇAMENTO!$X$15,ROW(AZ85)-ROW(AZ$15),0),0)</f>
        <v>0</v>
      </c>
      <c r="BA85" s="633">
        <f ca="1">IF(AND($D85="Serviço",BA$12&lt;&gt;0,$H85&gt;0,OR(AUTOEVENTO&lt;&gt;"manual",$M85&lt;&gt;1)),ROUND(OFFSET($P85,0,BA$13),15-13*ORÇAMENTO!$AF$7)/$H85*OFFSET(ORÇAMENTO!$X$15,ROW(BA85)-ROW(BA$15),0),0)</f>
        <v>0</v>
      </c>
      <c r="BC85" s="215">
        <f ca="1">IF($D85&lt;&gt;"Serviço",0,IF(AND(AUTOEVENTO="Manual",$M85=1),0,IF(OFFSET(CRONOPLE!$F$14,$M85,BC$13)="",10^12,OFFSET(CRONOPLE!$F$14,$M85,BC$13))))</f>
        <v>1000000000000</v>
      </c>
      <c r="BD85" s="215">
        <f ca="1">IF($D85&lt;&gt;"Serviço",0,IF(AND(AUTOEVENTO="Manual",$M85=1),0,IF(OFFSET(CRONOPLE!$F$14,$M85,BD$13)="",10^12,OFFSET(CRONOPLE!$F$14,$M85,BD$13))))</f>
        <v>1000000000000</v>
      </c>
      <c r="BE85" s="215">
        <f ca="1">IF($D85&lt;&gt;"Serviço",0,IF(AND(AUTOEVENTO="Manual",$M85=1),0,IF(OFFSET(CRONOPLE!$F$14,$M85,BE$13)="",10^12,OFFSET(CRONOPLE!$F$14,$M85,BE$13))))</f>
        <v>1000000000000</v>
      </c>
      <c r="BF85" s="215">
        <f ca="1">IF($D85&lt;&gt;"Serviço",0,IF(AND(AUTOEVENTO="Manual",$M85=1),0,IF(OFFSET(CRONOPLE!$F$14,$M85,BF$13)="",10^12,OFFSET(CRONOPLE!$F$14,$M85,BF$13))))</f>
        <v>1000000000000</v>
      </c>
      <c r="BG85" s="215">
        <f ca="1">IF($D85&lt;&gt;"Serviço",0,IF(AND(AUTOEVENTO="Manual",$M85=1),0,IF(OFFSET(CRONOPLE!$F$14,$M85,BG$13)="",10^12,OFFSET(CRONOPLE!$F$14,$M85,BG$13))))</f>
        <v>1000000000000</v>
      </c>
      <c r="BH85" s="215">
        <f ca="1">IF($D85&lt;&gt;"Serviço",0,IF(AND(AUTOEVENTO="Manual",$M85=1),0,IF(OFFSET(CRONOPLE!$F$14,$M85,BH$13)="",10^12,OFFSET(CRONOPLE!$F$14,$M85,BH$13))))</f>
        <v>1000000000000</v>
      </c>
      <c r="BI85" s="215">
        <f ca="1">IF($D85&lt;&gt;"Serviço",0,IF(AND(AUTOEVENTO="Manual",$M85=1),0,IF(OFFSET(CRONOPLE!$F$14,$M85,BI$13)="",10^12,OFFSET(CRONOPLE!$F$14,$M85,BI$13))))</f>
        <v>1000000000000</v>
      </c>
      <c r="BJ85" s="215">
        <f ca="1">IF($D85&lt;&gt;"Serviço",0,IF(AND(AUTOEVENTO="Manual",$M85=1),0,IF(OFFSET(CRONOPLE!$F$14,$M85,BJ$13)="",10^12,OFFSET(CRONOPLE!$F$14,$M85,BJ$13))))</f>
        <v>1000000000000</v>
      </c>
      <c r="BK85" s="215">
        <f ca="1">IF($D85&lt;&gt;"Serviço",0,IF(AND(AUTOEVENTO="Manual",$M85=1),0,IF(OFFSET(CRONOPLE!$F$14,$M85,BK$13)="",10^12,OFFSET(CRONOPLE!$F$14,$M85,BK$13))))</f>
        <v>1000000000000</v>
      </c>
      <c r="BL85" s="215">
        <f ca="1">IF($D85&lt;&gt;"Serviço",0,IF(AND(AUTOEVENTO="Manual",$M85=1),0,IF(OFFSET(CRONOPLE!$F$14,$M85,BL$13)="",10^12,OFFSET(CRONOPLE!$F$14,$M85,BL$13))))</f>
        <v>1000000000000</v>
      </c>
      <c r="BM85" s="215">
        <f ca="1">IF($D85&lt;&gt;"Serviço",0,IF(AND(AUTOEVENTO="Manual",$M85=1),0,IF(OFFSET(CRONOPLE!$F$14,$M85,BM$13)="",10^12,OFFSET(CRONOPLE!$F$14,$M85,BM$13))))</f>
        <v>1000000000000</v>
      </c>
      <c r="BN85" s="215">
        <f ca="1">IF($D85&lt;&gt;"Serviço",0,IF(AND(AUTOEVENTO="Manual",$M85=1),0,IF(OFFSET(CRONOPLE!$F$14,$M85,BN$13)="",10^12,OFFSET(CRONOPLE!$F$14,$M85,BN$13))))</f>
        <v>1000000000000</v>
      </c>
      <c r="BO85" s="215">
        <f ca="1">IF($D85&lt;&gt;"Serviço",0,IF(AND(AUTOEVENTO="Manual",$M85=1),0,IF(OFFSET(CRONOPLE!$F$14,$M85,BO$13)="",10^12,OFFSET(CRONOPLE!$F$14,$M85,BO$13))))</f>
        <v>1000000000000</v>
      </c>
      <c r="BP85" s="215">
        <f ca="1">IF($D85&lt;&gt;"Serviço",0,IF(AND(AUTOEVENTO="Manual",$M85=1),0,IF(OFFSET(CRONOPLE!$F$14,$M85,BP$13)="",10^12,OFFSET(CRONOPLE!$F$14,$M85,BP$13))))</f>
        <v>1000000000000</v>
      </c>
      <c r="BQ85" s="215">
        <f ca="1">IF($D85&lt;&gt;"Serviço",0,IF(AND(AUTOEVENTO="Manual",$M85=1),0,IF(OFFSET(CRONOPLE!$F$14,$M85,BQ$13)="",10^12,OFFSET(CRONOPLE!$F$14,$M85,BQ$13))))</f>
        <v>1000000000000</v>
      </c>
      <c r="BR85" s="215">
        <f ca="1">IF($D85&lt;&gt;"Serviço",0,IF(AND(AUTOEVENTO="Manual",$M85=1),0,IF(OFFSET(CRONOPLE!$F$14,$M85,BR$13)="",10^12,OFFSET(CRONOPLE!$F$14,$M85,BR$13))))</f>
        <v>1000000000000</v>
      </c>
      <c r="BS85" s="215">
        <f ca="1">IF($D85&lt;&gt;"Serviço",0,IF(AND(AUTOEVENTO="Manual",$M85=1),0,IF(OFFSET(CRONOPLE!$F$14,$M85,BS$13)="",10^12,OFFSET(CRONOPLE!$F$14,$M85,BS$13))))</f>
        <v>1000000000000</v>
      </c>
      <c r="BT85" s="215">
        <f ca="1">IF($D85&lt;&gt;"Serviço",0,IF(AND(AUTOEVENTO="Manual",$M85=1),0,IF(OFFSET(CRONOPLE!$F$14,$M85,BT$13)="",10^12,OFFSET(CRONOPLE!$F$14,$M85,BT$13))))</f>
        <v>1000000000000</v>
      </c>
      <c r="BV85" s="216">
        <f ca="1">IF($D85&lt;&gt;"Serviço",0,IF(OR(AND(AUTOEVENTO="Manual",$M85=1),$M85&gt;(ROW(PLE.lastrow)-ROW(PLE.firstrow))),0,IF(OFFSET(PLE!$G$14,$M85,BV$13)="",10^12,OFFSET(PLE!$G$14,$M85,BV$13))))</f>
        <v>1000000000000</v>
      </c>
      <c r="BW85" s="216">
        <f ca="1">IF($D85&lt;&gt;"Serviço",0,IF(OR(AND(AUTOEVENTO="Manual",$M85=1),$M85&gt;(ROW(PLE.lastrow)-ROW(PLE.firstrow))),0,IF(OFFSET(PLE!$G$14,$M85,BW$13)="",10^12,OFFSET(PLE!$G$14,$M85,BW$13))))</f>
        <v>1000000000000</v>
      </c>
      <c r="BX85" s="216">
        <f ca="1">IF($D85&lt;&gt;"Serviço",0,IF(OR(AND(AUTOEVENTO="Manual",$M85=1),$M85&gt;(ROW(PLE.lastrow)-ROW(PLE.firstrow))),0,IF(OFFSET(PLE!$G$14,$M85,BX$13)="",10^12,OFFSET(PLE!$G$14,$M85,BX$13))))</f>
        <v>1000000000000</v>
      </c>
      <c r="BY85" s="216">
        <f ca="1">IF($D85&lt;&gt;"Serviço",0,IF(OR(AND(AUTOEVENTO="Manual",$M85=1),$M85&gt;(ROW(PLE.lastrow)-ROW(PLE.firstrow))),0,IF(OFFSET(PLE!$G$14,$M85,BY$13)="",10^12,OFFSET(PLE!$G$14,$M85,BY$13))))</f>
        <v>1000000000000</v>
      </c>
      <c r="BZ85" s="216">
        <f ca="1">IF($D85&lt;&gt;"Serviço",0,IF(OR(AND(AUTOEVENTO="Manual",$M85=1),$M85&gt;(ROW(PLE.lastrow)-ROW(PLE.firstrow))),0,IF(OFFSET(PLE!$G$14,$M85,BZ$13)="",10^12,OFFSET(PLE!$G$14,$M85,BZ$13))))</f>
        <v>1000000000000</v>
      </c>
      <c r="CA85" s="216">
        <f ca="1">IF($D85&lt;&gt;"Serviço",0,IF(OR(AND(AUTOEVENTO="Manual",$M85=1),$M85&gt;(ROW(PLE.lastrow)-ROW(PLE.firstrow))),0,IF(OFFSET(PLE!$G$14,$M85,CA$13)="",10^12,OFFSET(PLE!$G$14,$M85,CA$13))))</f>
        <v>1000000000000</v>
      </c>
      <c r="CB85" s="216">
        <f ca="1">IF($D85&lt;&gt;"Serviço",0,IF(OR(AND(AUTOEVENTO="Manual",$M85=1),$M85&gt;(ROW(PLE.lastrow)-ROW(PLE.firstrow))),0,IF(OFFSET(PLE!$G$14,$M85,CB$13)="",10^12,OFFSET(PLE!$G$14,$M85,CB$13))))</f>
        <v>1000000000000</v>
      </c>
      <c r="CC85" s="216">
        <f ca="1">IF($D85&lt;&gt;"Serviço",0,IF(OR(AND(AUTOEVENTO="Manual",$M85=1),$M85&gt;(ROW(PLE.lastrow)-ROW(PLE.firstrow))),0,IF(OFFSET(PLE!$G$14,$M85,CC$13)="",10^12,OFFSET(PLE!$G$14,$M85,CC$13))))</f>
        <v>1000000000000</v>
      </c>
      <c r="CD85" s="216">
        <f ca="1">IF($D85&lt;&gt;"Serviço",0,IF(OR(AND(AUTOEVENTO="Manual",$M85=1),$M85&gt;(ROW(PLE.lastrow)-ROW(PLE.firstrow))),0,IF(OFFSET(PLE!$G$14,$M85,CD$13)="",10^12,OFFSET(PLE!$G$14,$M85,CD$13))))</f>
        <v>1000000000000</v>
      </c>
      <c r="CE85" s="216">
        <f ca="1">IF($D85&lt;&gt;"Serviço",0,IF(OR(AND(AUTOEVENTO="Manual",$M85=1),$M85&gt;(ROW(PLE.lastrow)-ROW(PLE.firstrow))),0,IF(OFFSET(PLE!$G$14,$M85,CE$13)="",10^12,OFFSET(PLE!$G$14,$M85,CE$13))))</f>
        <v>1000000000000</v>
      </c>
      <c r="CF85" s="216">
        <f ca="1">IF($D85&lt;&gt;"Serviço",0,IF(OR(AND(AUTOEVENTO="Manual",$M85=1),$M85&gt;(ROW(PLE.lastrow)-ROW(PLE.firstrow))),0,IF(OFFSET(PLE!$G$14,$M85,CF$13)="",10^12,OFFSET(PLE!$G$14,$M85,CF$13))))</f>
        <v>1000000000000</v>
      </c>
      <c r="CG85" s="216">
        <f ca="1">IF($D85&lt;&gt;"Serviço",0,IF(OR(AND(AUTOEVENTO="Manual",$M85=1),$M85&gt;(ROW(PLE.lastrow)-ROW(PLE.firstrow))),0,IF(OFFSET(PLE!$G$14,$M85,CG$13)="",10^12,OFFSET(PLE!$G$14,$M85,CG$13))))</f>
        <v>1000000000000</v>
      </c>
      <c r="CH85" s="216">
        <f ca="1">IF($D85&lt;&gt;"Serviço",0,IF(OR(AND(AUTOEVENTO="Manual",$M85=1),$M85&gt;(ROW(PLE.lastrow)-ROW(PLE.firstrow))),0,IF(OFFSET(PLE!$G$14,$M85,CH$13)="",10^12,OFFSET(PLE!$G$14,$M85,CH$13))))</f>
        <v>1000000000000</v>
      </c>
      <c r="CI85" s="216">
        <f ca="1">IF($D85&lt;&gt;"Serviço",0,IF(OR(AND(AUTOEVENTO="Manual",$M85=1),$M85&gt;(ROW(PLE.lastrow)-ROW(PLE.firstrow))),0,IF(OFFSET(PLE!$G$14,$M85,CI$13)="",10^12,OFFSET(PLE!$G$14,$M85,CI$13))))</f>
        <v>1000000000000</v>
      </c>
      <c r="CJ85" s="216">
        <f ca="1">IF($D85&lt;&gt;"Serviço",0,IF(OR(AND(AUTOEVENTO="Manual",$M85=1),$M85&gt;(ROW(PLE.lastrow)-ROW(PLE.firstrow))),0,IF(OFFSET(PLE!$G$14,$M85,CJ$13)="",10^12,OFFSET(PLE!$G$14,$M85,CJ$13))))</f>
        <v>1000000000000</v>
      </c>
      <c r="CK85" s="216">
        <f ca="1">IF($D85&lt;&gt;"Serviço",0,IF(OR(AND(AUTOEVENTO="Manual",$M85=1),$M85&gt;(ROW(PLE.lastrow)-ROW(PLE.firstrow))),0,IF(OFFSET(PLE!$G$14,$M85,CK$13)="",10^12,OFFSET(PLE!$G$14,$M85,CK$13))))</f>
        <v>1000000000000</v>
      </c>
      <c r="CL85" s="216">
        <f ca="1">IF($D85&lt;&gt;"Serviço",0,IF(OR(AND(AUTOEVENTO="Manual",$M85=1),$M85&gt;(ROW(PLE.lastrow)-ROW(PLE.firstrow))),0,IF(OFFSET(PLE!$G$14,$M85,CL$13)="",10^12,OFFSET(PLE!$G$14,$M85,CL$13))))</f>
        <v>1000000000000</v>
      </c>
      <c r="CM85" s="216">
        <f ca="1">IF($D85&lt;&gt;"Serviço",0,IF(OR(AND(AUTOEVENTO="Manual",$M85=1),$M85&gt;(ROW(PLE.lastrow)-ROW(PLE.firstrow))),0,IF(OFFSET(PLE!$G$14,$M85,CM$13)="",10^12,OFFSET(PLE!$G$14,$M85,CM$13))))</f>
        <v>1000000000000</v>
      </c>
    </row>
    <row r="86" spans="1:91" ht="26.4" x14ac:dyDescent="0.25">
      <c r="A86" s="9">
        <f t="shared" ca="1" si="10"/>
        <v>0</v>
      </c>
      <c r="B86" s="9">
        <f ca="1">OFFSET(ORÇAMENTO!C$15,ROW(B86)-ROW(B$15),0)</f>
        <v>3</v>
      </c>
      <c r="C86" s="9" t="str">
        <f ca="1">OFFSET(ORÇAMENTO!L$15,ROW(C86)-ROW(C$15),0)</f>
        <v>F</v>
      </c>
      <c r="D86" s="145" t="str">
        <f ca="1">OFFSET(ORÇAMENTO!N$15,ROW(D86)-ROW(D$15),0)</f>
        <v>Nível 3</v>
      </c>
      <c r="E86" s="205" t="str">
        <f ca="1">OFFSET(ORÇAMENTO!O$15,ROW(E86)-ROW(E$15),0)</f>
        <v>1.3.6.</v>
      </c>
      <c r="F86" s="206" t="str">
        <f ca="1">OFFSET(ORÇAMENTO!R$15,ROW(F86)-ROW(F$15),0)</f>
        <v>CONCRETO ARMADO PARA FUNDAÇÕES - VIGAS BALDRAMES - METÁLICA</v>
      </c>
      <c r="G86" s="207" t="str">
        <f ca="1">IF($D86&lt;&gt;"Serviço","",OFFSET(ORÇAMENTO!S$15,ROW(G86)-ROW(G$15),0))</f>
        <v/>
      </c>
      <c r="H86" s="151">
        <f ca="1">IF($D86&lt;&gt;"Serviço",0,IF(ACOMPANHAMENTO="BM",ROUND(OFFSET(ORÇAMENTO!AJ$15,ROW(H86)-ROW(H$15),0),15-13*ORÇAMENTO!$AF$7),SUMPRODUCT(($Q$12:$AI$12&lt;&gt;"")*ROUND($Q86:$AI86,15-13*ORÇAMENTO!$AF$7))))</f>
        <v>0</v>
      </c>
      <c r="I86" s="650"/>
      <c r="K86" s="208"/>
      <c r="L86" s="209" t="s">
        <v>257</v>
      </c>
      <c r="M86" s="210" t="str">
        <f ca="1">IF($D86&lt;&gt;"Serviço","",IF(AUTOEVENTO="manual",$A86,IF(ISERROR(MATCH($A86,$A$15:OFFSET($A86,-1,0),0)),MAX($M$15:OFFSET(M86,-1,0))+1,INDEX($M$15:OFFSET(M86,-1,0),MATCH($A86,$A$15:OFFSET($A86,-1,0),0)))))</f>
        <v/>
      </c>
      <c r="N86" s="211" t="str">
        <f ca="1">IF($D86&lt;&gt;"Serviço","",IF(AUTOEVENTO="Manual",IF($A86=0,"&lt;-- defina o número do agrupador",OFFSET(EVENTOS!$D$14,$A86,0)),OFFSET($F$15,$A86,0)))</f>
        <v/>
      </c>
      <c r="O86" s="212"/>
      <c r="Q86" s="212"/>
      <c r="R86" s="213"/>
      <c r="S86" s="213"/>
      <c r="T86" s="213"/>
      <c r="U86" s="213"/>
      <c r="V86" s="213"/>
      <c r="W86" s="213"/>
      <c r="X86" s="213"/>
      <c r="Y86" s="213"/>
      <c r="Z86" s="214"/>
      <c r="AA86" s="213"/>
      <c r="AB86" s="213"/>
      <c r="AC86" s="213"/>
      <c r="AD86" s="213"/>
      <c r="AE86" s="213"/>
      <c r="AF86" s="213"/>
      <c r="AG86" s="213"/>
      <c r="AH86" s="214"/>
      <c r="AJ86" s="631">
        <f ca="1">IF(AND($D86="Serviço",AJ$12&lt;&gt;0,$H86&gt;0,OR(AUTOEVENTO&lt;&gt;"manual",$M86&lt;&gt;1)),ROUND(OFFSET($P86,0,AJ$13),15-13*ORÇAMENTO!$AF$7)/$H86*OFFSET(ORÇAMENTO!$X$15,ROW(AJ86)-ROW(AJ$15),0),0)</f>
        <v>0</v>
      </c>
      <c r="AK86" s="632">
        <f ca="1">IF(AND($D86="Serviço",AK$12&lt;&gt;0,$H86&gt;0,OR(AUTOEVENTO&lt;&gt;"manual",$M86&lt;&gt;1)),ROUND(OFFSET($P86,0,AK$13),15-13*ORÇAMENTO!$AF$7)/$H86*OFFSET(ORÇAMENTO!$X$15,ROW(AK86)-ROW(AK$15),0),0)</f>
        <v>0</v>
      </c>
      <c r="AL86" s="632">
        <f ca="1">IF(AND($D86="Serviço",AL$12&lt;&gt;0,$H86&gt;0,OR(AUTOEVENTO&lt;&gt;"manual",$M86&lt;&gt;1)),ROUND(OFFSET($P86,0,AL$13),15-13*ORÇAMENTO!$AF$7)/$H86*OFFSET(ORÇAMENTO!$X$15,ROW(AL86)-ROW(AL$15),0),0)</f>
        <v>0</v>
      </c>
      <c r="AM86" s="632">
        <f ca="1">IF(AND($D86="Serviço",AM$12&lt;&gt;0,$H86&gt;0,OR(AUTOEVENTO&lt;&gt;"manual",$M86&lt;&gt;1)),ROUND(OFFSET($P86,0,AM$13),15-13*ORÇAMENTO!$AF$7)/$H86*OFFSET(ORÇAMENTO!$X$15,ROW(AM86)-ROW(AM$15),0),0)</f>
        <v>0</v>
      </c>
      <c r="AN86" s="632">
        <f ca="1">IF(AND($D86="Serviço",AN$12&lt;&gt;0,$H86&gt;0,OR(AUTOEVENTO&lt;&gt;"manual",$M86&lt;&gt;1)),ROUND(OFFSET($P86,0,AN$13),15-13*ORÇAMENTO!$AF$7)/$H86*OFFSET(ORÇAMENTO!$X$15,ROW(AN86)-ROW(AN$15),0),0)</f>
        <v>0</v>
      </c>
      <c r="AO86" s="632">
        <f ca="1">IF(AND($D86="Serviço",AO$12&lt;&gt;0,$H86&gt;0,OR(AUTOEVENTO&lt;&gt;"manual",$M86&lt;&gt;1)),ROUND(OFFSET($P86,0,AO$13),15-13*ORÇAMENTO!$AF$7)/$H86*OFFSET(ORÇAMENTO!$X$15,ROW(AO86)-ROW(AO$15),0),0)</f>
        <v>0</v>
      </c>
      <c r="AP86" s="632">
        <f ca="1">IF(AND($D86="Serviço",AP$12&lt;&gt;0,$H86&gt;0,OR(AUTOEVENTO&lt;&gt;"manual",$M86&lt;&gt;1)),ROUND(OFFSET($P86,0,AP$13),15-13*ORÇAMENTO!$AF$7)/$H86*OFFSET(ORÇAMENTO!$X$15,ROW(AP86)-ROW(AP$15),0),0)</f>
        <v>0</v>
      </c>
      <c r="AQ86" s="632">
        <f ca="1">IF(AND($D86="Serviço",AQ$12&lt;&gt;0,$H86&gt;0,OR(AUTOEVENTO&lt;&gt;"manual",$M86&lt;&gt;1)),ROUND(OFFSET($P86,0,AQ$13),15-13*ORÇAMENTO!$AF$7)/$H86*OFFSET(ORÇAMENTO!$X$15,ROW(AQ86)-ROW(AQ$15),0),0)</f>
        <v>0</v>
      </c>
      <c r="AR86" s="632">
        <f ca="1">IF(AND($D86="Serviço",AR$12&lt;&gt;0,$H86&gt;0,OR(AUTOEVENTO&lt;&gt;"manual",$M86&lt;&gt;1)),ROUND(OFFSET($P86,0,AR$13),15-13*ORÇAMENTO!$AF$7)/$H86*OFFSET(ORÇAMENTO!$X$15,ROW(AR86)-ROW(AR$15),0),0)</f>
        <v>0</v>
      </c>
      <c r="AS86" s="633">
        <f ca="1">IF(AND($D86="Serviço",AS$12&lt;&gt;0,$H86&gt;0,OR(AUTOEVENTO&lt;&gt;"manual",$M86&lt;&gt;1)),ROUND(OFFSET($P86,0,AS$13),15-13*ORÇAMENTO!$AF$7)/$H86*OFFSET(ORÇAMENTO!$X$15,ROW(AS86)-ROW(AS$15),0),0)</f>
        <v>0</v>
      </c>
      <c r="AT86" s="632">
        <f ca="1">IF(AND($D86="Serviço",AT$12&lt;&gt;0,$H86&gt;0,OR(AUTOEVENTO&lt;&gt;"manual",$M86&lt;&gt;1)),ROUND(OFFSET($P86,0,AT$13),15-13*ORÇAMENTO!$AF$7)/$H86*OFFSET(ORÇAMENTO!$X$15,ROW(AT86)-ROW(AT$15),0),0)</f>
        <v>0</v>
      </c>
      <c r="AU86" s="632">
        <f ca="1">IF(AND($D86="Serviço",AU$12&lt;&gt;0,$H86&gt;0,OR(AUTOEVENTO&lt;&gt;"manual",$M86&lt;&gt;1)),ROUND(OFFSET($P86,0,AU$13),15-13*ORÇAMENTO!$AF$7)/$H86*OFFSET(ORÇAMENTO!$X$15,ROW(AU86)-ROW(AU$15),0),0)</f>
        <v>0</v>
      </c>
      <c r="AV86" s="632">
        <f ca="1">IF(AND($D86="Serviço",AV$12&lt;&gt;0,$H86&gt;0,OR(AUTOEVENTO&lt;&gt;"manual",$M86&lt;&gt;1)),ROUND(OFFSET($P86,0,AV$13),15-13*ORÇAMENTO!$AF$7)/$H86*OFFSET(ORÇAMENTO!$X$15,ROW(AV86)-ROW(AV$15),0),0)</f>
        <v>0</v>
      </c>
      <c r="AW86" s="632">
        <f ca="1">IF(AND($D86="Serviço",AW$12&lt;&gt;0,$H86&gt;0,OR(AUTOEVENTO&lt;&gt;"manual",$M86&lt;&gt;1)),ROUND(OFFSET($P86,0,AW$13),15-13*ORÇAMENTO!$AF$7)/$H86*OFFSET(ORÇAMENTO!$X$15,ROW(AW86)-ROW(AW$15),0),0)</f>
        <v>0</v>
      </c>
      <c r="AX86" s="632">
        <f ca="1">IF(AND($D86="Serviço",AX$12&lt;&gt;0,$H86&gt;0,OR(AUTOEVENTO&lt;&gt;"manual",$M86&lt;&gt;1)),ROUND(OFFSET($P86,0,AX$13),15-13*ORÇAMENTO!$AF$7)/$H86*OFFSET(ORÇAMENTO!$X$15,ROW(AX86)-ROW(AX$15),0),0)</f>
        <v>0</v>
      </c>
      <c r="AY86" s="632">
        <f ca="1">IF(AND($D86="Serviço",AY$12&lt;&gt;0,$H86&gt;0,OR(AUTOEVENTO&lt;&gt;"manual",$M86&lt;&gt;1)),ROUND(OFFSET($P86,0,AY$13),15-13*ORÇAMENTO!$AF$7)/$H86*OFFSET(ORÇAMENTO!$X$15,ROW(AY86)-ROW(AY$15),0),0)</f>
        <v>0</v>
      </c>
      <c r="AZ86" s="632">
        <f ca="1">IF(AND($D86="Serviço",AZ$12&lt;&gt;0,$H86&gt;0,OR(AUTOEVENTO&lt;&gt;"manual",$M86&lt;&gt;1)),ROUND(OFFSET($P86,0,AZ$13),15-13*ORÇAMENTO!$AF$7)/$H86*OFFSET(ORÇAMENTO!$X$15,ROW(AZ86)-ROW(AZ$15),0),0)</f>
        <v>0</v>
      </c>
      <c r="BA86" s="633">
        <f ca="1">IF(AND($D86="Serviço",BA$12&lt;&gt;0,$H86&gt;0,OR(AUTOEVENTO&lt;&gt;"manual",$M86&lt;&gt;1)),ROUND(OFFSET($P86,0,BA$13),15-13*ORÇAMENTO!$AF$7)/$H86*OFFSET(ORÇAMENTO!$X$15,ROW(BA86)-ROW(BA$15),0),0)</f>
        <v>0</v>
      </c>
      <c r="BC86" s="215">
        <f ca="1">IF($D86&lt;&gt;"Serviço",0,IF(AND(AUTOEVENTO="Manual",$M86=1),0,IF(OFFSET(CRONOPLE!$F$14,$M86,BC$13)="",10^12,OFFSET(CRONOPLE!$F$14,$M86,BC$13))))</f>
        <v>0</v>
      </c>
      <c r="BD86" s="215">
        <f ca="1">IF($D86&lt;&gt;"Serviço",0,IF(AND(AUTOEVENTO="Manual",$M86=1),0,IF(OFFSET(CRONOPLE!$F$14,$M86,BD$13)="",10^12,OFFSET(CRONOPLE!$F$14,$M86,BD$13))))</f>
        <v>0</v>
      </c>
      <c r="BE86" s="215">
        <f ca="1">IF($D86&lt;&gt;"Serviço",0,IF(AND(AUTOEVENTO="Manual",$M86=1),0,IF(OFFSET(CRONOPLE!$F$14,$M86,BE$13)="",10^12,OFFSET(CRONOPLE!$F$14,$M86,BE$13))))</f>
        <v>0</v>
      </c>
      <c r="BF86" s="215">
        <f ca="1">IF($D86&lt;&gt;"Serviço",0,IF(AND(AUTOEVENTO="Manual",$M86=1),0,IF(OFFSET(CRONOPLE!$F$14,$M86,BF$13)="",10^12,OFFSET(CRONOPLE!$F$14,$M86,BF$13))))</f>
        <v>0</v>
      </c>
      <c r="BG86" s="215">
        <f ca="1">IF($D86&lt;&gt;"Serviço",0,IF(AND(AUTOEVENTO="Manual",$M86=1),0,IF(OFFSET(CRONOPLE!$F$14,$M86,BG$13)="",10^12,OFFSET(CRONOPLE!$F$14,$M86,BG$13))))</f>
        <v>0</v>
      </c>
      <c r="BH86" s="215">
        <f ca="1">IF($D86&lt;&gt;"Serviço",0,IF(AND(AUTOEVENTO="Manual",$M86=1),0,IF(OFFSET(CRONOPLE!$F$14,$M86,BH$13)="",10^12,OFFSET(CRONOPLE!$F$14,$M86,BH$13))))</f>
        <v>0</v>
      </c>
      <c r="BI86" s="215">
        <f ca="1">IF($D86&lt;&gt;"Serviço",0,IF(AND(AUTOEVENTO="Manual",$M86=1),0,IF(OFFSET(CRONOPLE!$F$14,$M86,BI$13)="",10^12,OFFSET(CRONOPLE!$F$14,$M86,BI$13))))</f>
        <v>0</v>
      </c>
      <c r="BJ86" s="215">
        <f ca="1">IF($D86&lt;&gt;"Serviço",0,IF(AND(AUTOEVENTO="Manual",$M86=1),0,IF(OFFSET(CRONOPLE!$F$14,$M86,BJ$13)="",10^12,OFFSET(CRONOPLE!$F$14,$M86,BJ$13))))</f>
        <v>0</v>
      </c>
      <c r="BK86" s="215">
        <f ca="1">IF($D86&lt;&gt;"Serviço",0,IF(AND(AUTOEVENTO="Manual",$M86=1),0,IF(OFFSET(CRONOPLE!$F$14,$M86,BK$13)="",10^12,OFFSET(CRONOPLE!$F$14,$M86,BK$13))))</f>
        <v>0</v>
      </c>
      <c r="BL86" s="215">
        <f ca="1">IF($D86&lt;&gt;"Serviço",0,IF(AND(AUTOEVENTO="Manual",$M86=1),0,IF(OFFSET(CRONOPLE!$F$14,$M86,BL$13)="",10^12,OFFSET(CRONOPLE!$F$14,$M86,BL$13))))</f>
        <v>0</v>
      </c>
      <c r="BM86" s="215">
        <f ca="1">IF($D86&lt;&gt;"Serviço",0,IF(AND(AUTOEVENTO="Manual",$M86=1),0,IF(OFFSET(CRONOPLE!$F$14,$M86,BM$13)="",10^12,OFFSET(CRONOPLE!$F$14,$M86,BM$13))))</f>
        <v>0</v>
      </c>
      <c r="BN86" s="215">
        <f ca="1">IF($D86&lt;&gt;"Serviço",0,IF(AND(AUTOEVENTO="Manual",$M86=1),0,IF(OFFSET(CRONOPLE!$F$14,$M86,BN$13)="",10^12,OFFSET(CRONOPLE!$F$14,$M86,BN$13))))</f>
        <v>0</v>
      </c>
      <c r="BO86" s="215">
        <f ca="1">IF($D86&lt;&gt;"Serviço",0,IF(AND(AUTOEVENTO="Manual",$M86=1),0,IF(OFFSET(CRONOPLE!$F$14,$M86,BO$13)="",10^12,OFFSET(CRONOPLE!$F$14,$M86,BO$13))))</f>
        <v>0</v>
      </c>
      <c r="BP86" s="215">
        <f ca="1">IF($D86&lt;&gt;"Serviço",0,IF(AND(AUTOEVENTO="Manual",$M86=1),0,IF(OFFSET(CRONOPLE!$F$14,$M86,BP$13)="",10^12,OFFSET(CRONOPLE!$F$14,$M86,BP$13))))</f>
        <v>0</v>
      </c>
      <c r="BQ86" s="215">
        <f ca="1">IF($D86&lt;&gt;"Serviço",0,IF(AND(AUTOEVENTO="Manual",$M86=1),0,IF(OFFSET(CRONOPLE!$F$14,$M86,BQ$13)="",10^12,OFFSET(CRONOPLE!$F$14,$M86,BQ$13))))</f>
        <v>0</v>
      </c>
      <c r="BR86" s="215">
        <f ca="1">IF($D86&lt;&gt;"Serviço",0,IF(AND(AUTOEVENTO="Manual",$M86=1),0,IF(OFFSET(CRONOPLE!$F$14,$M86,BR$13)="",10^12,OFFSET(CRONOPLE!$F$14,$M86,BR$13))))</f>
        <v>0</v>
      </c>
      <c r="BS86" s="215">
        <f ca="1">IF($D86&lt;&gt;"Serviço",0,IF(AND(AUTOEVENTO="Manual",$M86=1),0,IF(OFFSET(CRONOPLE!$F$14,$M86,BS$13)="",10^12,OFFSET(CRONOPLE!$F$14,$M86,BS$13))))</f>
        <v>0</v>
      </c>
      <c r="BT86" s="215">
        <f ca="1">IF($D86&lt;&gt;"Serviço",0,IF(AND(AUTOEVENTO="Manual",$M86=1),0,IF(OFFSET(CRONOPLE!$F$14,$M86,BT$13)="",10^12,OFFSET(CRONOPLE!$F$14,$M86,BT$13))))</f>
        <v>0</v>
      </c>
      <c r="BV86" s="216">
        <f ca="1">IF($D86&lt;&gt;"Serviço",0,IF(OR(AND(AUTOEVENTO="Manual",$M86=1),$M86&gt;(ROW(PLE.lastrow)-ROW(PLE.firstrow))),0,IF(OFFSET(PLE!$G$14,$M86,BV$13)="",10^12,OFFSET(PLE!$G$14,$M86,BV$13))))</f>
        <v>0</v>
      </c>
      <c r="BW86" s="216">
        <f ca="1">IF($D86&lt;&gt;"Serviço",0,IF(OR(AND(AUTOEVENTO="Manual",$M86=1),$M86&gt;(ROW(PLE.lastrow)-ROW(PLE.firstrow))),0,IF(OFFSET(PLE!$G$14,$M86,BW$13)="",10^12,OFFSET(PLE!$G$14,$M86,BW$13))))</f>
        <v>0</v>
      </c>
      <c r="BX86" s="216">
        <f ca="1">IF($D86&lt;&gt;"Serviço",0,IF(OR(AND(AUTOEVENTO="Manual",$M86=1),$M86&gt;(ROW(PLE.lastrow)-ROW(PLE.firstrow))),0,IF(OFFSET(PLE!$G$14,$M86,BX$13)="",10^12,OFFSET(PLE!$G$14,$M86,BX$13))))</f>
        <v>0</v>
      </c>
      <c r="BY86" s="216">
        <f ca="1">IF($D86&lt;&gt;"Serviço",0,IF(OR(AND(AUTOEVENTO="Manual",$M86=1),$M86&gt;(ROW(PLE.lastrow)-ROW(PLE.firstrow))),0,IF(OFFSET(PLE!$G$14,$M86,BY$13)="",10^12,OFFSET(PLE!$G$14,$M86,BY$13))))</f>
        <v>0</v>
      </c>
      <c r="BZ86" s="216">
        <f ca="1">IF($D86&lt;&gt;"Serviço",0,IF(OR(AND(AUTOEVENTO="Manual",$M86=1),$M86&gt;(ROW(PLE.lastrow)-ROW(PLE.firstrow))),0,IF(OFFSET(PLE!$G$14,$M86,BZ$13)="",10^12,OFFSET(PLE!$G$14,$M86,BZ$13))))</f>
        <v>0</v>
      </c>
      <c r="CA86" s="216">
        <f ca="1">IF($D86&lt;&gt;"Serviço",0,IF(OR(AND(AUTOEVENTO="Manual",$M86=1),$M86&gt;(ROW(PLE.lastrow)-ROW(PLE.firstrow))),0,IF(OFFSET(PLE!$G$14,$M86,CA$13)="",10^12,OFFSET(PLE!$G$14,$M86,CA$13))))</f>
        <v>0</v>
      </c>
      <c r="CB86" s="216">
        <f ca="1">IF($D86&lt;&gt;"Serviço",0,IF(OR(AND(AUTOEVENTO="Manual",$M86=1),$M86&gt;(ROW(PLE.lastrow)-ROW(PLE.firstrow))),0,IF(OFFSET(PLE!$G$14,$M86,CB$13)="",10^12,OFFSET(PLE!$G$14,$M86,CB$13))))</f>
        <v>0</v>
      </c>
      <c r="CC86" s="216">
        <f ca="1">IF($D86&lt;&gt;"Serviço",0,IF(OR(AND(AUTOEVENTO="Manual",$M86=1),$M86&gt;(ROW(PLE.lastrow)-ROW(PLE.firstrow))),0,IF(OFFSET(PLE!$G$14,$M86,CC$13)="",10^12,OFFSET(PLE!$G$14,$M86,CC$13))))</f>
        <v>0</v>
      </c>
      <c r="CD86" s="216">
        <f ca="1">IF($D86&lt;&gt;"Serviço",0,IF(OR(AND(AUTOEVENTO="Manual",$M86=1),$M86&gt;(ROW(PLE.lastrow)-ROW(PLE.firstrow))),0,IF(OFFSET(PLE!$G$14,$M86,CD$13)="",10^12,OFFSET(PLE!$G$14,$M86,CD$13))))</f>
        <v>0</v>
      </c>
      <c r="CE86" s="216">
        <f ca="1">IF($D86&lt;&gt;"Serviço",0,IF(OR(AND(AUTOEVENTO="Manual",$M86=1),$M86&gt;(ROW(PLE.lastrow)-ROW(PLE.firstrow))),0,IF(OFFSET(PLE!$G$14,$M86,CE$13)="",10^12,OFFSET(PLE!$G$14,$M86,CE$13))))</f>
        <v>0</v>
      </c>
      <c r="CF86" s="216">
        <f ca="1">IF($D86&lt;&gt;"Serviço",0,IF(OR(AND(AUTOEVENTO="Manual",$M86=1),$M86&gt;(ROW(PLE.lastrow)-ROW(PLE.firstrow))),0,IF(OFFSET(PLE!$G$14,$M86,CF$13)="",10^12,OFFSET(PLE!$G$14,$M86,CF$13))))</f>
        <v>0</v>
      </c>
      <c r="CG86" s="216">
        <f ca="1">IF($D86&lt;&gt;"Serviço",0,IF(OR(AND(AUTOEVENTO="Manual",$M86=1),$M86&gt;(ROW(PLE.lastrow)-ROW(PLE.firstrow))),0,IF(OFFSET(PLE!$G$14,$M86,CG$13)="",10^12,OFFSET(PLE!$G$14,$M86,CG$13))))</f>
        <v>0</v>
      </c>
      <c r="CH86" s="216">
        <f ca="1">IF($D86&lt;&gt;"Serviço",0,IF(OR(AND(AUTOEVENTO="Manual",$M86=1),$M86&gt;(ROW(PLE.lastrow)-ROW(PLE.firstrow))),0,IF(OFFSET(PLE!$G$14,$M86,CH$13)="",10^12,OFFSET(PLE!$G$14,$M86,CH$13))))</f>
        <v>0</v>
      </c>
      <c r="CI86" s="216">
        <f ca="1">IF($D86&lt;&gt;"Serviço",0,IF(OR(AND(AUTOEVENTO="Manual",$M86=1),$M86&gt;(ROW(PLE.lastrow)-ROW(PLE.firstrow))),0,IF(OFFSET(PLE!$G$14,$M86,CI$13)="",10^12,OFFSET(PLE!$G$14,$M86,CI$13))))</f>
        <v>0</v>
      </c>
      <c r="CJ86" s="216">
        <f ca="1">IF($D86&lt;&gt;"Serviço",0,IF(OR(AND(AUTOEVENTO="Manual",$M86=1),$M86&gt;(ROW(PLE.lastrow)-ROW(PLE.firstrow))),0,IF(OFFSET(PLE!$G$14,$M86,CJ$13)="",10^12,OFFSET(PLE!$G$14,$M86,CJ$13))))</f>
        <v>0</v>
      </c>
      <c r="CK86" s="216">
        <f ca="1">IF($D86&lt;&gt;"Serviço",0,IF(OR(AND(AUTOEVENTO="Manual",$M86=1),$M86&gt;(ROW(PLE.lastrow)-ROW(PLE.firstrow))),0,IF(OFFSET(PLE!$G$14,$M86,CK$13)="",10^12,OFFSET(PLE!$G$14,$M86,CK$13))))</f>
        <v>0</v>
      </c>
      <c r="CL86" s="216">
        <f ca="1">IF($D86&lt;&gt;"Serviço",0,IF(OR(AND(AUTOEVENTO="Manual",$M86=1),$M86&gt;(ROW(PLE.lastrow)-ROW(PLE.firstrow))),0,IF(OFFSET(PLE!$G$14,$M86,CL$13)="",10^12,OFFSET(PLE!$G$14,$M86,CL$13))))</f>
        <v>0</v>
      </c>
      <c r="CM86" s="216">
        <f ca="1">IF($D86&lt;&gt;"Serviço",0,IF(OR(AND(AUTOEVENTO="Manual",$M86=1),$M86&gt;(ROW(PLE.lastrow)-ROW(PLE.firstrow))),0,IF(OFFSET(PLE!$G$14,$M86,CM$13)="",10^12,OFFSET(PLE!$G$14,$M86,CM$13))))</f>
        <v>0</v>
      </c>
    </row>
    <row r="87" spans="1:91" ht="13.2" x14ac:dyDescent="0.25">
      <c r="A87" s="9">
        <f t="shared" ca="1" si="10"/>
        <v>0</v>
      </c>
      <c r="B87" s="9" t="str">
        <f ca="1">OFFSET(ORÇAMENTO!C$15,ROW(B87)-ROW(B$15),0)</f>
        <v>S</v>
      </c>
      <c r="C87" s="9" t="str">
        <f ca="1">OFFSET(ORÇAMENTO!L$15,ROW(C87)-ROW(C$15),0)</f>
        <v/>
      </c>
      <c r="D87" s="145" t="str">
        <f ca="1">OFFSET(ORÇAMENTO!N$15,ROW(D87)-ROW(D$15),0)</f>
        <v>Serviço</v>
      </c>
      <c r="E87" s="205" t="str">
        <f ca="1">OFFSET(ORÇAMENTO!O$15,ROW(E87)-ROW(E$15),0)</f>
        <v>-</v>
      </c>
      <c r="F87" s="206" t="str">
        <f ca="1">OFFSET(ORÇAMENTO!R$15,ROW(F87)-ROW(F$15),0)</f>
        <v>(abra o arquivo 'Referência 05-2024.xls)</v>
      </c>
      <c r="G87" s="207" t="str">
        <f ca="1">IF($D87&lt;&gt;"Serviço","",OFFSET(ORÇAMENTO!S$15,ROW(G87)-ROW(G$15),0))</f>
        <v>-</v>
      </c>
      <c r="H87" s="151">
        <f ca="1">IF($D87&lt;&gt;"Serviço",0,IF(ACOMPANHAMENTO="BM",ROUND(OFFSET(ORÇAMENTO!AJ$15,ROW(H87)-ROW(H$15),0),15-13*ORÇAMENTO!$AF$7),SUMPRODUCT(($Q$12:$AI$12&lt;&gt;"")*ROUND($Q87:$AI87,15-13*ORÇAMENTO!$AF$7))))</f>
        <v>1.6</v>
      </c>
      <c r="I87" s="650"/>
      <c r="K87" s="208"/>
      <c r="L87" s="209" t="s">
        <v>257</v>
      </c>
      <c r="M87" s="210">
        <f ca="1">IF($D87&lt;&gt;"Serviço","",IF(AUTOEVENTO="manual",$A87,IF(ISERROR(MATCH($A87,$A$15:OFFSET($A87,-1,0),0)),MAX($M$15:OFFSET(M87,-1,0))+1,INDEX($M$15:OFFSET(M87,-1,0),MATCH($A87,$A$15:OFFSET($A87,-1,0),0)))))</f>
        <v>0</v>
      </c>
      <c r="N87" s="211" t="str">
        <f ca="1">IF($D87&lt;&gt;"Serviço","",IF(AUTOEVENTO="Manual",IF($A87=0,"&lt;-- defina o número do agrupador",OFFSET(EVENTOS!$D$14,$A87,0)),OFFSET($F$15,$A87,0)))</f>
        <v>&lt;-- defina o número do agrupador</v>
      </c>
      <c r="O87" s="212"/>
      <c r="Q87" s="212"/>
      <c r="R87" s="213"/>
      <c r="S87" s="213"/>
      <c r="T87" s="213"/>
      <c r="U87" s="213"/>
      <c r="V87" s="213"/>
      <c r="W87" s="213"/>
      <c r="X87" s="213"/>
      <c r="Y87" s="213"/>
      <c r="Z87" s="214"/>
      <c r="AA87" s="213"/>
      <c r="AB87" s="213"/>
      <c r="AC87" s="213"/>
      <c r="AD87" s="213"/>
      <c r="AE87" s="213"/>
      <c r="AF87" s="213"/>
      <c r="AG87" s="213"/>
      <c r="AH87" s="214"/>
      <c r="AJ87" s="631">
        <f ca="1">IF(AND($D87="Serviço",AJ$12&lt;&gt;0,$H87&gt;0,OR(AUTOEVENTO&lt;&gt;"manual",$M87&lt;&gt;1)),ROUND(OFFSET($P87,0,AJ$13),15-13*ORÇAMENTO!$AF$7)/$H87*OFFSET(ORÇAMENTO!$X$15,ROW(AJ87)-ROW(AJ$15),0),0)</f>
        <v>0</v>
      </c>
      <c r="AK87" s="632">
        <f ca="1">IF(AND($D87="Serviço",AK$12&lt;&gt;0,$H87&gt;0,OR(AUTOEVENTO&lt;&gt;"manual",$M87&lt;&gt;1)),ROUND(OFFSET($P87,0,AK$13),15-13*ORÇAMENTO!$AF$7)/$H87*OFFSET(ORÇAMENTO!$X$15,ROW(AK87)-ROW(AK$15),0),0)</f>
        <v>0</v>
      </c>
      <c r="AL87" s="632">
        <f ca="1">IF(AND($D87="Serviço",AL$12&lt;&gt;0,$H87&gt;0,OR(AUTOEVENTO&lt;&gt;"manual",$M87&lt;&gt;1)),ROUND(OFFSET($P87,0,AL$13),15-13*ORÇAMENTO!$AF$7)/$H87*OFFSET(ORÇAMENTO!$X$15,ROW(AL87)-ROW(AL$15),0),0)</f>
        <v>0</v>
      </c>
      <c r="AM87" s="632">
        <f ca="1">IF(AND($D87="Serviço",AM$12&lt;&gt;0,$H87&gt;0,OR(AUTOEVENTO&lt;&gt;"manual",$M87&lt;&gt;1)),ROUND(OFFSET($P87,0,AM$13),15-13*ORÇAMENTO!$AF$7)/$H87*OFFSET(ORÇAMENTO!$X$15,ROW(AM87)-ROW(AM$15),0),0)</f>
        <v>0</v>
      </c>
      <c r="AN87" s="632">
        <f ca="1">IF(AND($D87="Serviço",AN$12&lt;&gt;0,$H87&gt;0,OR(AUTOEVENTO&lt;&gt;"manual",$M87&lt;&gt;1)),ROUND(OFFSET($P87,0,AN$13),15-13*ORÇAMENTO!$AF$7)/$H87*OFFSET(ORÇAMENTO!$X$15,ROW(AN87)-ROW(AN$15),0),0)</f>
        <v>0</v>
      </c>
      <c r="AO87" s="632">
        <f ca="1">IF(AND($D87="Serviço",AO$12&lt;&gt;0,$H87&gt;0,OR(AUTOEVENTO&lt;&gt;"manual",$M87&lt;&gt;1)),ROUND(OFFSET($P87,0,AO$13),15-13*ORÇAMENTO!$AF$7)/$H87*OFFSET(ORÇAMENTO!$X$15,ROW(AO87)-ROW(AO$15),0),0)</f>
        <v>0</v>
      </c>
      <c r="AP87" s="632">
        <f ca="1">IF(AND($D87="Serviço",AP$12&lt;&gt;0,$H87&gt;0,OR(AUTOEVENTO&lt;&gt;"manual",$M87&lt;&gt;1)),ROUND(OFFSET($P87,0,AP$13),15-13*ORÇAMENTO!$AF$7)/$H87*OFFSET(ORÇAMENTO!$X$15,ROW(AP87)-ROW(AP$15),0),0)</f>
        <v>0</v>
      </c>
      <c r="AQ87" s="632">
        <f ca="1">IF(AND($D87="Serviço",AQ$12&lt;&gt;0,$H87&gt;0,OR(AUTOEVENTO&lt;&gt;"manual",$M87&lt;&gt;1)),ROUND(OFFSET($P87,0,AQ$13),15-13*ORÇAMENTO!$AF$7)/$H87*OFFSET(ORÇAMENTO!$X$15,ROW(AQ87)-ROW(AQ$15),0),0)</f>
        <v>0</v>
      </c>
      <c r="AR87" s="632">
        <f ca="1">IF(AND($D87="Serviço",AR$12&lt;&gt;0,$H87&gt;0,OR(AUTOEVENTO&lt;&gt;"manual",$M87&lt;&gt;1)),ROUND(OFFSET($P87,0,AR$13),15-13*ORÇAMENTO!$AF$7)/$H87*OFFSET(ORÇAMENTO!$X$15,ROW(AR87)-ROW(AR$15),0),0)</f>
        <v>0</v>
      </c>
      <c r="AS87" s="633">
        <f ca="1">IF(AND($D87="Serviço",AS$12&lt;&gt;0,$H87&gt;0,OR(AUTOEVENTO&lt;&gt;"manual",$M87&lt;&gt;1)),ROUND(OFFSET($P87,0,AS$13),15-13*ORÇAMENTO!$AF$7)/$H87*OFFSET(ORÇAMENTO!$X$15,ROW(AS87)-ROW(AS$15),0),0)</f>
        <v>0</v>
      </c>
      <c r="AT87" s="632">
        <f ca="1">IF(AND($D87="Serviço",AT$12&lt;&gt;0,$H87&gt;0,OR(AUTOEVENTO&lt;&gt;"manual",$M87&lt;&gt;1)),ROUND(OFFSET($P87,0,AT$13),15-13*ORÇAMENTO!$AF$7)/$H87*OFFSET(ORÇAMENTO!$X$15,ROW(AT87)-ROW(AT$15),0),0)</f>
        <v>0</v>
      </c>
      <c r="AU87" s="632">
        <f ca="1">IF(AND($D87="Serviço",AU$12&lt;&gt;0,$H87&gt;0,OR(AUTOEVENTO&lt;&gt;"manual",$M87&lt;&gt;1)),ROUND(OFFSET($P87,0,AU$13),15-13*ORÇAMENTO!$AF$7)/$H87*OFFSET(ORÇAMENTO!$X$15,ROW(AU87)-ROW(AU$15),0),0)</f>
        <v>0</v>
      </c>
      <c r="AV87" s="632">
        <f ca="1">IF(AND($D87="Serviço",AV$12&lt;&gt;0,$H87&gt;0,OR(AUTOEVENTO&lt;&gt;"manual",$M87&lt;&gt;1)),ROUND(OFFSET($P87,0,AV$13),15-13*ORÇAMENTO!$AF$7)/$H87*OFFSET(ORÇAMENTO!$X$15,ROW(AV87)-ROW(AV$15),0),0)</f>
        <v>0</v>
      </c>
      <c r="AW87" s="632">
        <f ca="1">IF(AND($D87="Serviço",AW$12&lt;&gt;0,$H87&gt;0,OR(AUTOEVENTO&lt;&gt;"manual",$M87&lt;&gt;1)),ROUND(OFFSET($P87,0,AW$13),15-13*ORÇAMENTO!$AF$7)/$H87*OFFSET(ORÇAMENTO!$X$15,ROW(AW87)-ROW(AW$15),0),0)</f>
        <v>0</v>
      </c>
      <c r="AX87" s="632">
        <f ca="1">IF(AND($D87="Serviço",AX$12&lt;&gt;0,$H87&gt;0,OR(AUTOEVENTO&lt;&gt;"manual",$M87&lt;&gt;1)),ROUND(OFFSET($P87,0,AX$13),15-13*ORÇAMENTO!$AF$7)/$H87*OFFSET(ORÇAMENTO!$X$15,ROW(AX87)-ROW(AX$15),0),0)</f>
        <v>0</v>
      </c>
      <c r="AY87" s="632">
        <f ca="1">IF(AND($D87="Serviço",AY$12&lt;&gt;0,$H87&gt;0,OR(AUTOEVENTO&lt;&gt;"manual",$M87&lt;&gt;1)),ROUND(OFFSET($P87,0,AY$13),15-13*ORÇAMENTO!$AF$7)/$H87*OFFSET(ORÇAMENTO!$X$15,ROW(AY87)-ROW(AY$15),0),0)</f>
        <v>0</v>
      </c>
      <c r="AZ87" s="632">
        <f ca="1">IF(AND($D87="Serviço",AZ$12&lt;&gt;0,$H87&gt;0,OR(AUTOEVENTO&lt;&gt;"manual",$M87&lt;&gt;1)),ROUND(OFFSET($P87,0,AZ$13),15-13*ORÇAMENTO!$AF$7)/$H87*OFFSET(ORÇAMENTO!$X$15,ROW(AZ87)-ROW(AZ$15),0),0)</f>
        <v>0</v>
      </c>
      <c r="BA87" s="633">
        <f ca="1">IF(AND($D87="Serviço",BA$12&lt;&gt;0,$H87&gt;0,OR(AUTOEVENTO&lt;&gt;"manual",$M87&lt;&gt;1)),ROUND(OFFSET($P87,0,BA$13),15-13*ORÇAMENTO!$AF$7)/$H87*OFFSET(ORÇAMENTO!$X$15,ROW(BA87)-ROW(BA$15),0),0)</f>
        <v>0</v>
      </c>
      <c r="BC87" s="215">
        <f ca="1">IF($D87&lt;&gt;"Serviço",0,IF(AND(AUTOEVENTO="Manual",$M87=1),0,IF(OFFSET(CRONOPLE!$F$14,$M87,BC$13)="",10^12,OFFSET(CRONOPLE!$F$14,$M87,BC$13))))</f>
        <v>1000000000000</v>
      </c>
      <c r="BD87" s="215">
        <f ca="1">IF($D87&lt;&gt;"Serviço",0,IF(AND(AUTOEVENTO="Manual",$M87=1),0,IF(OFFSET(CRONOPLE!$F$14,$M87,BD$13)="",10^12,OFFSET(CRONOPLE!$F$14,$M87,BD$13))))</f>
        <v>1000000000000</v>
      </c>
      <c r="BE87" s="215">
        <f ca="1">IF($D87&lt;&gt;"Serviço",0,IF(AND(AUTOEVENTO="Manual",$M87=1),0,IF(OFFSET(CRONOPLE!$F$14,$M87,BE$13)="",10^12,OFFSET(CRONOPLE!$F$14,$M87,BE$13))))</f>
        <v>1000000000000</v>
      </c>
      <c r="BF87" s="215">
        <f ca="1">IF($D87&lt;&gt;"Serviço",0,IF(AND(AUTOEVENTO="Manual",$M87=1),0,IF(OFFSET(CRONOPLE!$F$14,$M87,BF$13)="",10^12,OFFSET(CRONOPLE!$F$14,$M87,BF$13))))</f>
        <v>1000000000000</v>
      </c>
      <c r="BG87" s="215">
        <f ca="1">IF($D87&lt;&gt;"Serviço",0,IF(AND(AUTOEVENTO="Manual",$M87=1),0,IF(OFFSET(CRONOPLE!$F$14,$M87,BG$13)="",10^12,OFFSET(CRONOPLE!$F$14,$M87,BG$13))))</f>
        <v>1000000000000</v>
      </c>
      <c r="BH87" s="215">
        <f ca="1">IF($D87&lt;&gt;"Serviço",0,IF(AND(AUTOEVENTO="Manual",$M87=1),0,IF(OFFSET(CRONOPLE!$F$14,$M87,BH$13)="",10^12,OFFSET(CRONOPLE!$F$14,$M87,BH$13))))</f>
        <v>1000000000000</v>
      </c>
      <c r="BI87" s="215">
        <f ca="1">IF($D87&lt;&gt;"Serviço",0,IF(AND(AUTOEVENTO="Manual",$M87=1),0,IF(OFFSET(CRONOPLE!$F$14,$M87,BI$13)="",10^12,OFFSET(CRONOPLE!$F$14,$M87,BI$13))))</f>
        <v>1000000000000</v>
      </c>
      <c r="BJ87" s="215">
        <f ca="1">IF($D87&lt;&gt;"Serviço",0,IF(AND(AUTOEVENTO="Manual",$M87=1),0,IF(OFFSET(CRONOPLE!$F$14,$M87,BJ$13)="",10^12,OFFSET(CRONOPLE!$F$14,$M87,BJ$13))))</f>
        <v>1000000000000</v>
      </c>
      <c r="BK87" s="215">
        <f ca="1">IF($D87&lt;&gt;"Serviço",0,IF(AND(AUTOEVENTO="Manual",$M87=1),0,IF(OFFSET(CRONOPLE!$F$14,$M87,BK$13)="",10^12,OFFSET(CRONOPLE!$F$14,$M87,BK$13))))</f>
        <v>1000000000000</v>
      </c>
      <c r="BL87" s="215">
        <f ca="1">IF($D87&lt;&gt;"Serviço",0,IF(AND(AUTOEVENTO="Manual",$M87=1),0,IF(OFFSET(CRONOPLE!$F$14,$M87,BL$13)="",10^12,OFFSET(CRONOPLE!$F$14,$M87,BL$13))))</f>
        <v>1000000000000</v>
      </c>
      <c r="BM87" s="215">
        <f ca="1">IF($D87&lt;&gt;"Serviço",0,IF(AND(AUTOEVENTO="Manual",$M87=1),0,IF(OFFSET(CRONOPLE!$F$14,$M87,BM$13)="",10^12,OFFSET(CRONOPLE!$F$14,$M87,BM$13))))</f>
        <v>1000000000000</v>
      </c>
      <c r="BN87" s="215">
        <f ca="1">IF($D87&lt;&gt;"Serviço",0,IF(AND(AUTOEVENTO="Manual",$M87=1),0,IF(OFFSET(CRONOPLE!$F$14,$M87,BN$13)="",10^12,OFFSET(CRONOPLE!$F$14,$M87,BN$13))))</f>
        <v>1000000000000</v>
      </c>
      <c r="BO87" s="215">
        <f ca="1">IF($D87&lt;&gt;"Serviço",0,IF(AND(AUTOEVENTO="Manual",$M87=1),0,IF(OFFSET(CRONOPLE!$F$14,$M87,BO$13)="",10^12,OFFSET(CRONOPLE!$F$14,$M87,BO$13))))</f>
        <v>1000000000000</v>
      </c>
      <c r="BP87" s="215">
        <f ca="1">IF($D87&lt;&gt;"Serviço",0,IF(AND(AUTOEVENTO="Manual",$M87=1),0,IF(OFFSET(CRONOPLE!$F$14,$M87,BP$13)="",10^12,OFFSET(CRONOPLE!$F$14,$M87,BP$13))))</f>
        <v>1000000000000</v>
      </c>
      <c r="BQ87" s="215">
        <f ca="1">IF($D87&lt;&gt;"Serviço",0,IF(AND(AUTOEVENTO="Manual",$M87=1),0,IF(OFFSET(CRONOPLE!$F$14,$M87,BQ$13)="",10^12,OFFSET(CRONOPLE!$F$14,$M87,BQ$13))))</f>
        <v>1000000000000</v>
      </c>
      <c r="BR87" s="215">
        <f ca="1">IF($D87&lt;&gt;"Serviço",0,IF(AND(AUTOEVENTO="Manual",$M87=1),0,IF(OFFSET(CRONOPLE!$F$14,$M87,BR$13)="",10^12,OFFSET(CRONOPLE!$F$14,$M87,BR$13))))</f>
        <v>1000000000000</v>
      </c>
      <c r="BS87" s="215">
        <f ca="1">IF($D87&lt;&gt;"Serviço",0,IF(AND(AUTOEVENTO="Manual",$M87=1),0,IF(OFFSET(CRONOPLE!$F$14,$M87,BS$13)="",10^12,OFFSET(CRONOPLE!$F$14,$M87,BS$13))))</f>
        <v>1000000000000</v>
      </c>
      <c r="BT87" s="215">
        <f ca="1">IF($D87&lt;&gt;"Serviço",0,IF(AND(AUTOEVENTO="Manual",$M87=1),0,IF(OFFSET(CRONOPLE!$F$14,$M87,BT$13)="",10^12,OFFSET(CRONOPLE!$F$14,$M87,BT$13))))</f>
        <v>1000000000000</v>
      </c>
      <c r="BV87" s="216">
        <f ca="1">IF($D87&lt;&gt;"Serviço",0,IF(OR(AND(AUTOEVENTO="Manual",$M87=1),$M87&gt;(ROW(PLE.lastrow)-ROW(PLE.firstrow))),0,IF(OFFSET(PLE!$G$14,$M87,BV$13)="",10^12,OFFSET(PLE!$G$14,$M87,BV$13))))</f>
        <v>1000000000000</v>
      </c>
      <c r="BW87" s="216">
        <f ca="1">IF($D87&lt;&gt;"Serviço",0,IF(OR(AND(AUTOEVENTO="Manual",$M87=1),$M87&gt;(ROW(PLE.lastrow)-ROW(PLE.firstrow))),0,IF(OFFSET(PLE!$G$14,$M87,BW$13)="",10^12,OFFSET(PLE!$G$14,$M87,BW$13))))</f>
        <v>1000000000000</v>
      </c>
      <c r="BX87" s="216">
        <f ca="1">IF($D87&lt;&gt;"Serviço",0,IF(OR(AND(AUTOEVENTO="Manual",$M87=1),$M87&gt;(ROW(PLE.lastrow)-ROW(PLE.firstrow))),0,IF(OFFSET(PLE!$G$14,$M87,BX$13)="",10^12,OFFSET(PLE!$G$14,$M87,BX$13))))</f>
        <v>1000000000000</v>
      </c>
      <c r="BY87" s="216">
        <f ca="1">IF($D87&lt;&gt;"Serviço",0,IF(OR(AND(AUTOEVENTO="Manual",$M87=1),$M87&gt;(ROW(PLE.lastrow)-ROW(PLE.firstrow))),0,IF(OFFSET(PLE!$G$14,$M87,BY$13)="",10^12,OFFSET(PLE!$G$14,$M87,BY$13))))</f>
        <v>1000000000000</v>
      </c>
      <c r="BZ87" s="216">
        <f ca="1">IF($D87&lt;&gt;"Serviço",0,IF(OR(AND(AUTOEVENTO="Manual",$M87=1),$M87&gt;(ROW(PLE.lastrow)-ROW(PLE.firstrow))),0,IF(OFFSET(PLE!$G$14,$M87,BZ$13)="",10^12,OFFSET(PLE!$G$14,$M87,BZ$13))))</f>
        <v>1000000000000</v>
      </c>
      <c r="CA87" s="216">
        <f ca="1">IF($D87&lt;&gt;"Serviço",0,IF(OR(AND(AUTOEVENTO="Manual",$M87=1),$M87&gt;(ROW(PLE.lastrow)-ROW(PLE.firstrow))),0,IF(OFFSET(PLE!$G$14,$M87,CA$13)="",10^12,OFFSET(PLE!$G$14,$M87,CA$13))))</f>
        <v>1000000000000</v>
      </c>
      <c r="CB87" s="216">
        <f ca="1">IF($D87&lt;&gt;"Serviço",0,IF(OR(AND(AUTOEVENTO="Manual",$M87=1),$M87&gt;(ROW(PLE.lastrow)-ROW(PLE.firstrow))),0,IF(OFFSET(PLE!$G$14,$M87,CB$13)="",10^12,OFFSET(PLE!$G$14,$M87,CB$13))))</f>
        <v>1000000000000</v>
      </c>
      <c r="CC87" s="216">
        <f ca="1">IF($D87&lt;&gt;"Serviço",0,IF(OR(AND(AUTOEVENTO="Manual",$M87=1),$M87&gt;(ROW(PLE.lastrow)-ROW(PLE.firstrow))),0,IF(OFFSET(PLE!$G$14,$M87,CC$13)="",10^12,OFFSET(PLE!$G$14,$M87,CC$13))))</f>
        <v>1000000000000</v>
      </c>
      <c r="CD87" s="216">
        <f ca="1">IF($D87&lt;&gt;"Serviço",0,IF(OR(AND(AUTOEVENTO="Manual",$M87=1),$M87&gt;(ROW(PLE.lastrow)-ROW(PLE.firstrow))),0,IF(OFFSET(PLE!$G$14,$M87,CD$13)="",10^12,OFFSET(PLE!$G$14,$M87,CD$13))))</f>
        <v>1000000000000</v>
      </c>
      <c r="CE87" s="216">
        <f ca="1">IF($D87&lt;&gt;"Serviço",0,IF(OR(AND(AUTOEVENTO="Manual",$M87=1),$M87&gt;(ROW(PLE.lastrow)-ROW(PLE.firstrow))),0,IF(OFFSET(PLE!$G$14,$M87,CE$13)="",10^12,OFFSET(PLE!$G$14,$M87,CE$13))))</f>
        <v>1000000000000</v>
      </c>
      <c r="CF87" s="216">
        <f ca="1">IF($D87&lt;&gt;"Serviço",0,IF(OR(AND(AUTOEVENTO="Manual",$M87=1),$M87&gt;(ROW(PLE.lastrow)-ROW(PLE.firstrow))),0,IF(OFFSET(PLE!$G$14,$M87,CF$13)="",10^12,OFFSET(PLE!$G$14,$M87,CF$13))))</f>
        <v>1000000000000</v>
      </c>
      <c r="CG87" s="216">
        <f ca="1">IF($D87&lt;&gt;"Serviço",0,IF(OR(AND(AUTOEVENTO="Manual",$M87=1),$M87&gt;(ROW(PLE.lastrow)-ROW(PLE.firstrow))),0,IF(OFFSET(PLE!$G$14,$M87,CG$13)="",10^12,OFFSET(PLE!$G$14,$M87,CG$13))))</f>
        <v>1000000000000</v>
      </c>
      <c r="CH87" s="216">
        <f ca="1">IF($D87&lt;&gt;"Serviço",0,IF(OR(AND(AUTOEVENTO="Manual",$M87=1),$M87&gt;(ROW(PLE.lastrow)-ROW(PLE.firstrow))),0,IF(OFFSET(PLE!$G$14,$M87,CH$13)="",10^12,OFFSET(PLE!$G$14,$M87,CH$13))))</f>
        <v>1000000000000</v>
      </c>
      <c r="CI87" s="216">
        <f ca="1">IF($D87&lt;&gt;"Serviço",0,IF(OR(AND(AUTOEVENTO="Manual",$M87=1),$M87&gt;(ROW(PLE.lastrow)-ROW(PLE.firstrow))),0,IF(OFFSET(PLE!$G$14,$M87,CI$13)="",10^12,OFFSET(PLE!$G$14,$M87,CI$13))))</f>
        <v>1000000000000</v>
      </c>
      <c r="CJ87" s="216">
        <f ca="1">IF($D87&lt;&gt;"Serviço",0,IF(OR(AND(AUTOEVENTO="Manual",$M87=1),$M87&gt;(ROW(PLE.lastrow)-ROW(PLE.firstrow))),0,IF(OFFSET(PLE!$G$14,$M87,CJ$13)="",10^12,OFFSET(PLE!$G$14,$M87,CJ$13))))</f>
        <v>1000000000000</v>
      </c>
      <c r="CK87" s="216">
        <f ca="1">IF($D87&lt;&gt;"Serviço",0,IF(OR(AND(AUTOEVENTO="Manual",$M87=1),$M87&gt;(ROW(PLE.lastrow)-ROW(PLE.firstrow))),0,IF(OFFSET(PLE!$G$14,$M87,CK$13)="",10^12,OFFSET(PLE!$G$14,$M87,CK$13))))</f>
        <v>1000000000000</v>
      </c>
      <c r="CL87" s="216">
        <f ca="1">IF($D87&lt;&gt;"Serviço",0,IF(OR(AND(AUTOEVENTO="Manual",$M87=1),$M87&gt;(ROW(PLE.lastrow)-ROW(PLE.firstrow))),0,IF(OFFSET(PLE!$G$14,$M87,CL$13)="",10^12,OFFSET(PLE!$G$14,$M87,CL$13))))</f>
        <v>1000000000000</v>
      </c>
      <c r="CM87" s="216">
        <f ca="1">IF($D87&lt;&gt;"Serviço",0,IF(OR(AND(AUTOEVENTO="Manual",$M87=1),$M87&gt;(ROW(PLE.lastrow)-ROW(PLE.firstrow))),0,IF(OFFSET(PLE!$G$14,$M87,CM$13)="",10^12,OFFSET(PLE!$G$14,$M87,CM$13))))</f>
        <v>1000000000000</v>
      </c>
    </row>
    <row r="88" spans="1:91" ht="13.2" x14ac:dyDescent="0.25">
      <c r="A88" s="9">
        <f t="shared" ca="1" si="10"/>
        <v>0</v>
      </c>
      <c r="B88" s="9" t="str">
        <f ca="1">OFFSET(ORÇAMENTO!C$15,ROW(B88)-ROW(B$15),0)</f>
        <v>S</v>
      </c>
      <c r="C88" s="9" t="str">
        <f ca="1">OFFSET(ORÇAMENTO!L$15,ROW(C88)-ROW(C$15),0)</f>
        <v/>
      </c>
      <c r="D88" s="145" t="str">
        <f ca="1">OFFSET(ORÇAMENTO!N$15,ROW(D88)-ROW(D$15),0)</f>
        <v>Serviço</v>
      </c>
      <c r="E88" s="205" t="str">
        <f ca="1">OFFSET(ORÇAMENTO!O$15,ROW(E88)-ROW(E$15),0)</f>
        <v>-</v>
      </c>
      <c r="F88" s="206" t="str">
        <f ca="1">OFFSET(ORÇAMENTO!R$15,ROW(F88)-ROW(F$15),0)</f>
        <v>(abra o arquivo 'Referência 05-2024.xls)</v>
      </c>
      <c r="G88" s="207" t="str">
        <f ca="1">IF($D88&lt;&gt;"Serviço","",OFFSET(ORÇAMENTO!S$15,ROW(G88)-ROW(G$15),0))</f>
        <v>-</v>
      </c>
      <c r="H88" s="151">
        <f ca="1">IF($D88&lt;&gt;"Serviço",0,IF(ACOMPANHAMENTO="BM",ROUND(OFFSET(ORÇAMENTO!AJ$15,ROW(H88)-ROW(H$15),0),15-13*ORÇAMENTO!$AF$7),SUMPRODUCT(($Q$12:$AI$12&lt;&gt;"")*ROUND($Q88:$AI88,15-13*ORÇAMENTO!$AF$7))))</f>
        <v>9.6</v>
      </c>
      <c r="I88" s="650"/>
      <c r="K88" s="208"/>
      <c r="L88" s="209" t="s">
        <v>257</v>
      </c>
      <c r="M88" s="210">
        <f ca="1">IF($D88&lt;&gt;"Serviço","",IF(AUTOEVENTO="manual",$A88,IF(ISERROR(MATCH($A88,$A$15:OFFSET($A88,-1,0),0)),MAX($M$15:OFFSET(M88,-1,0))+1,INDEX($M$15:OFFSET(M88,-1,0),MATCH($A88,$A$15:OFFSET($A88,-1,0),0)))))</f>
        <v>0</v>
      </c>
      <c r="N88" s="211" t="str">
        <f ca="1">IF($D88&lt;&gt;"Serviço","",IF(AUTOEVENTO="Manual",IF($A88=0,"&lt;-- defina o número do agrupador",OFFSET(EVENTOS!$D$14,$A88,0)),OFFSET($F$15,$A88,0)))</f>
        <v>&lt;-- defina o número do agrupador</v>
      </c>
      <c r="O88" s="212"/>
      <c r="Q88" s="212"/>
      <c r="R88" s="213"/>
      <c r="S88" s="213"/>
      <c r="T88" s="213"/>
      <c r="U88" s="213"/>
      <c r="V88" s="213"/>
      <c r="W88" s="213"/>
      <c r="X88" s="213"/>
      <c r="Y88" s="213"/>
      <c r="Z88" s="214"/>
      <c r="AA88" s="213"/>
      <c r="AB88" s="213"/>
      <c r="AC88" s="213"/>
      <c r="AD88" s="213"/>
      <c r="AE88" s="213"/>
      <c r="AF88" s="213"/>
      <c r="AG88" s="213"/>
      <c r="AH88" s="214"/>
      <c r="AJ88" s="631">
        <f ca="1">IF(AND($D88="Serviço",AJ$12&lt;&gt;0,$H88&gt;0,OR(AUTOEVENTO&lt;&gt;"manual",$M88&lt;&gt;1)),ROUND(OFFSET($P88,0,AJ$13),15-13*ORÇAMENTO!$AF$7)/$H88*OFFSET(ORÇAMENTO!$X$15,ROW(AJ88)-ROW(AJ$15),0),0)</f>
        <v>0</v>
      </c>
      <c r="AK88" s="632">
        <f ca="1">IF(AND($D88="Serviço",AK$12&lt;&gt;0,$H88&gt;0,OR(AUTOEVENTO&lt;&gt;"manual",$M88&lt;&gt;1)),ROUND(OFFSET($P88,0,AK$13),15-13*ORÇAMENTO!$AF$7)/$H88*OFFSET(ORÇAMENTO!$X$15,ROW(AK88)-ROW(AK$15),0),0)</f>
        <v>0</v>
      </c>
      <c r="AL88" s="632">
        <f ca="1">IF(AND($D88="Serviço",AL$12&lt;&gt;0,$H88&gt;0,OR(AUTOEVENTO&lt;&gt;"manual",$M88&lt;&gt;1)),ROUND(OFFSET($P88,0,AL$13),15-13*ORÇAMENTO!$AF$7)/$H88*OFFSET(ORÇAMENTO!$X$15,ROW(AL88)-ROW(AL$15),0),0)</f>
        <v>0</v>
      </c>
      <c r="AM88" s="632">
        <f ca="1">IF(AND($D88="Serviço",AM$12&lt;&gt;0,$H88&gt;0,OR(AUTOEVENTO&lt;&gt;"manual",$M88&lt;&gt;1)),ROUND(OFFSET($P88,0,AM$13),15-13*ORÇAMENTO!$AF$7)/$H88*OFFSET(ORÇAMENTO!$X$15,ROW(AM88)-ROW(AM$15),0),0)</f>
        <v>0</v>
      </c>
      <c r="AN88" s="632">
        <f ca="1">IF(AND($D88="Serviço",AN$12&lt;&gt;0,$H88&gt;0,OR(AUTOEVENTO&lt;&gt;"manual",$M88&lt;&gt;1)),ROUND(OFFSET($P88,0,AN$13),15-13*ORÇAMENTO!$AF$7)/$H88*OFFSET(ORÇAMENTO!$X$15,ROW(AN88)-ROW(AN$15),0),0)</f>
        <v>0</v>
      </c>
      <c r="AO88" s="632">
        <f ca="1">IF(AND($D88="Serviço",AO$12&lt;&gt;0,$H88&gt;0,OR(AUTOEVENTO&lt;&gt;"manual",$M88&lt;&gt;1)),ROUND(OFFSET($P88,0,AO$13),15-13*ORÇAMENTO!$AF$7)/$H88*OFFSET(ORÇAMENTO!$X$15,ROW(AO88)-ROW(AO$15),0),0)</f>
        <v>0</v>
      </c>
      <c r="AP88" s="632">
        <f ca="1">IF(AND($D88="Serviço",AP$12&lt;&gt;0,$H88&gt;0,OR(AUTOEVENTO&lt;&gt;"manual",$M88&lt;&gt;1)),ROUND(OFFSET($P88,0,AP$13),15-13*ORÇAMENTO!$AF$7)/$H88*OFFSET(ORÇAMENTO!$X$15,ROW(AP88)-ROW(AP$15),0),0)</f>
        <v>0</v>
      </c>
      <c r="AQ88" s="632">
        <f ca="1">IF(AND($D88="Serviço",AQ$12&lt;&gt;0,$H88&gt;0,OR(AUTOEVENTO&lt;&gt;"manual",$M88&lt;&gt;1)),ROUND(OFFSET($P88,0,AQ$13),15-13*ORÇAMENTO!$AF$7)/$H88*OFFSET(ORÇAMENTO!$X$15,ROW(AQ88)-ROW(AQ$15),0),0)</f>
        <v>0</v>
      </c>
      <c r="AR88" s="632">
        <f ca="1">IF(AND($D88="Serviço",AR$12&lt;&gt;0,$H88&gt;0,OR(AUTOEVENTO&lt;&gt;"manual",$M88&lt;&gt;1)),ROUND(OFFSET($P88,0,AR$13),15-13*ORÇAMENTO!$AF$7)/$H88*OFFSET(ORÇAMENTO!$X$15,ROW(AR88)-ROW(AR$15),0),0)</f>
        <v>0</v>
      </c>
      <c r="AS88" s="633">
        <f ca="1">IF(AND($D88="Serviço",AS$12&lt;&gt;0,$H88&gt;0,OR(AUTOEVENTO&lt;&gt;"manual",$M88&lt;&gt;1)),ROUND(OFFSET($P88,0,AS$13),15-13*ORÇAMENTO!$AF$7)/$H88*OFFSET(ORÇAMENTO!$X$15,ROW(AS88)-ROW(AS$15),0),0)</f>
        <v>0</v>
      </c>
      <c r="AT88" s="632">
        <f ca="1">IF(AND($D88="Serviço",AT$12&lt;&gt;0,$H88&gt;0,OR(AUTOEVENTO&lt;&gt;"manual",$M88&lt;&gt;1)),ROUND(OFFSET($P88,0,AT$13),15-13*ORÇAMENTO!$AF$7)/$H88*OFFSET(ORÇAMENTO!$X$15,ROW(AT88)-ROW(AT$15),0),0)</f>
        <v>0</v>
      </c>
      <c r="AU88" s="632">
        <f ca="1">IF(AND($D88="Serviço",AU$12&lt;&gt;0,$H88&gt;0,OR(AUTOEVENTO&lt;&gt;"manual",$M88&lt;&gt;1)),ROUND(OFFSET($P88,0,AU$13),15-13*ORÇAMENTO!$AF$7)/$H88*OFFSET(ORÇAMENTO!$X$15,ROW(AU88)-ROW(AU$15),0),0)</f>
        <v>0</v>
      </c>
      <c r="AV88" s="632">
        <f ca="1">IF(AND($D88="Serviço",AV$12&lt;&gt;0,$H88&gt;0,OR(AUTOEVENTO&lt;&gt;"manual",$M88&lt;&gt;1)),ROUND(OFFSET($P88,0,AV$13),15-13*ORÇAMENTO!$AF$7)/$H88*OFFSET(ORÇAMENTO!$X$15,ROW(AV88)-ROW(AV$15),0),0)</f>
        <v>0</v>
      </c>
      <c r="AW88" s="632">
        <f ca="1">IF(AND($D88="Serviço",AW$12&lt;&gt;0,$H88&gt;0,OR(AUTOEVENTO&lt;&gt;"manual",$M88&lt;&gt;1)),ROUND(OFFSET($P88,0,AW$13),15-13*ORÇAMENTO!$AF$7)/$H88*OFFSET(ORÇAMENTO!$X$15,ROW(AW88)-ROW(AW$15),0),0)</f>
        <v>0</v>
      </c>
      <c r="AX88" s="632">
        <f ca="1">IF(AND($D88="Serviço",AX$12&lt;&gt;0,$H88&gt;0,OR(AUTOEVENTO&lt;&gt;"manual",$M88&lt;&gt;1)),ROUND(OFFSET($P88,0,AX$13),15-13*ORÇAMENTO!$AF$7)/$H88*OFFSET(ORÇAMENTO!$X$15,ROW(AX88)-ROW(AX$15),0),0)</f>
        <v>0</v>
      </c>
      <c r="AY88" s="632">
        <f ca="1">IF(AND($D88="Serviço",AY$12&lt;&gt;0,$H88&gt;0,OR(AUTOEVENTO&lt;&gt;"manual",$M88&lt;&gt;1)),ROUND(OFFSET($P88,0,AY$13),15-13*ORÇAMENTO!$AF$7)/$H88*OFFSET(ORÇAMENTO!$X$15,ROW(AY88)-ROW(AY$15),0),0)</f>
        <v>0</v>
      </c>
      <c r="AZ88" s="632">
        <f ca="1">IF(AND($D88="Serviço",AZ$12&lt;&gt;0,$H88&gt;0,OR(AUTOEVENTO&lt;&gt;"manual",$M88&lt;&gt;1)),ROUND(OFFSET($P88,0,AZ$13),15-13*ORÇAMENTO!$AF$7)/$H88*OFFSET(ORÇAMENTO!$X$15,ROW(AZ88)-ROW(AZ$15),0),0)</f>
        <v>0</v>
      </c>
      <c r="BA88" s="633">
        <f ca="1">IF(AND($D88="Serviço",BA$12&lt;&gt;0,$H88&gt;0,OR(AUTOEVENTO&lt;&gt;"manual",$M88&lt;&gt;1)),ROUND(OFFSET($P88,0,BA$13),15-13*ORÇAMENTO!$AF$7)/$H88*OFFSET(ORÇAMENTO!$X$15,ROW(BA88)-ROW(BA$15),0),0)</f>
        <v>0</v>
      </c>
      <c r="BC88" s="215">
        <f ca="1">IF($D88&lt;&gt;"Serviço",0,IF(AND(AUTOEVENTO="Manual",$M88=1),0,IF(OFFSET(CRONOPLE!$F$14,$M88,BC$13)="",10^12,OFFSET(CRONOPLE!$F$14,$M88,BC$13))))</f>
        <v>1000000000000</v>
      </c>
      <c r="BD88" s="215">
        <f ca="1">IF($D88&lt;&gt;"Serviço",0,IF(AND(AUTOEVENTO="Manual",$M88=1),0,IF(OFFSET(CRONOPLE!$F$14,$M88,BD$13)="",10^12,OFFSET(CRONOPLE!$F$14,$M88,BD$13))))</f>
        <v>1000000000000</v>
      </c>
      <c r="BE88" s="215">
        <f ca="1">IF($D88&lt;&gt;"Serviço",0,IF(AND(AUTOEVENTO="Manual",$M88=1),0,IF(OFFSET(CRONOPLE!$F$14,$M88,BE$13)="",10^12,OFFSET(CRONOPLE!$F$14,$M88,BE$13))))</f>
        <v>1000000000000</v>
      </c>
      <c r="BF88" s="215">
        <f ca="1">IF($D88&lt;&gt;"Serviço",0,IF(AND(AUTOEVENTO="Manual",$M88=1),0,IF(OFFSET(CRONOPLE!$F$14,$M88,BF$13)="",10^12,OFFSET(CRONOPLE!$F$14,$M88,BF$13))))</f>
        <v>1000000000000</v>
      </c>
      <c r="BG88" s="215">
        <f ca="1">IF($D88&lt;&gt;"Serviço",0,IF(AND(AUTOEVENTO="Manual",$M88=1),0,IF(OFFSET(CRONOPLE!$F$14,$M88,BG$13)="",10^12,OFFSET(CRONOPLE!$F$14,$M88,BG$13))))</f>
        <v>1000000000000</v>
      </c>
      <c r="BH88" s="215">
        <f ca="1">IF($D88&lt;&gt;"Serviço",0,IF(AND(AUTOEVENTO="Manual",$M88=1),0,IF(OFFSET(CRONOPLE!$F$14,$M88,BH$13)="",10^12,OFFSET(CRONOPLE!$F$14,$M88,BH$13))))</f>
        <v>1000000000000</v>
      </c>
      <c r="BI88" s="215">
        <f ca="1">IF($D88&lt;&gt;"Serviço",0,IF(AND(AUTOEVENTO="Manual",$M88=1),0,IF(OFFSET(CRONOPLE!$F$14,$M88,BI$13)="",10^12,OFFSET(CRONOPLE!$F$14,$M88,BI$13))))</f>
        <v>1000000000000</v>
      </c>
      <c r="BJ88" s="215">
        <f ca="1">IF($D88&lt;&gt;"Serviço",0,IF(AND(AUTOEVENTO="Manual",$M88=1),0,IF(OFFSET(CRONOPLE!$F$14,$M88,BJ$13)="",10^12,OFFSET(CRONOPLE!$F$14,$M88,BJ$13))))</f>
        <v>1000000000000</v>
      </c>
      <c r="BK88" s="215">
        <f ca="1">IF($D88&lt;&gt;"Serviço",0,IF(AND(AUTOEVENTO="Manual",$M88=1),0,IF(OFFSET(CRONOPLE!$F$14,$M88,BK$13)="",10^12,OFFSET(CRONOPLE!$F$14,$M88,BK$13))))</f>
        <v>1000000000000</v>
      </c>
      <c r="BL88" s="215">
        <f ca="1">IF($D88&lt;&gt;"Serviço",0,IF(AND(AUTOEVENTO="Manual",$M88=1),0,IF(OFFSET(CRONOPLE!$F$14,$M88,BL$13)="",10^12,OFFSET(CRONOPLE!$F$14,$M88,BL$13))))</f>
        <v>1000000000000</v>
      </c>
      <c r="BM88" s="215">
        <f ca="1">IF($D88&lt;&gt;"Serviço",0,IF(AND(AUTOEVENTO="Manual",$M88=1),0,IF(OFFSET(CRONOPLE!$F$14,$M88,BM$13)="",10^12,OFFSET(CRONOPLE!$F$14,$M88,BM$13))))</f>
        <v>1000000000000</v>
      </c>
      <c r="BN88" s="215">
        <f ca="1">IF($D88&lt;&gt;"Serviço",0,IF(AND(AUTOEVENTO="Manual",$M88=1),0,IF(OFFSET(CRONOPLE!$F$14,$M88,BN$13)="",10^12,OFFSET(CRONOPLE!$F$14,$M88,BN$13))))</f>
        <v>1000000000000</v>
      </c>
      <c r="BO88" s="215">
        <f ca="1">IF($D88&lt;&gt;"Serviço",0,IF(AND(AUTOEVENTO="Manual",$M88=1),0,IF(OFFSET(CRONOPLE!$F$14,$M88,BO$13)="",10^12,OFFSET(CRONOPLE!$F$14,$M88,BO$13))))</f>
        <v>1000000000000</v>
      </c>
      <c r="BP88" s="215">
        <f ca="1">IF($D88&lt;&gt;"Serviço",0,IF(AND(AUTOEVENTO="Manual",$M88=1),0,IF(OFFSET(CRONOPLE!$F$14,$M88,BP$13)="",10^12,OFFSET(CRONOPLE!$F$14,$M88,BP$13))))</f>
        <v>1000000000000</v>
      </c>
      <c r="BQ88" s="215">
        <f ca="1">IF($D88&lt;&gt;"Serviço",0,IF(AND(AUTOEVENTO="Manual",$M88=1),0,IF(OFFSET(CRONOPLE!$F$14,$M88,BQ$13)="",10^12,OFFSET(CRONOPLE!$F$14,$M88,BQ$13))))</f>
        <v>1000000000000</v>
      </c>
      <c r="BR88" s="215">
        <f ca="1">IF($D88&lt;&gt;"Serviço",0,IF(AND(AUTOEVENTO="Manual",$M88=1),0,IF(OFFSET(CRONOPLE!$F$14,$M88,BR$13)="",10^12,OFFSET(CRONOPLE!$F$14,$M88,BR$13))))</f>
        <v>1000000000000</v>
      </c>
      <c r="BS88" s="215">
        <f ca="1">IF($D88&lt;&gt;"Serviço",0,IF(AND(AUTOEVENTO="Manual",$M88=1),0,IF(OFFSET(CRONOPLE!$F$14,$M88,BS$13)="",10^12,OFFSET(CRONOPLE!$F$14,$M88,BS$13))))</f>
        <v>1000000000000</v>
      </c>
      <c r="BT88" s="215">
        <f ca="1">IF($D88&lt;&gt;"Serviço",0,IF(AND(AUTOEVENTO="Manual",$M88=1),0,IF(OFFSET(CRONOPLE!$F$14,$M88,BT$13)="",10^12,OFFSET(CRONOPLE!$F$14,$M88,BT$13))))</f>
        <v>1000000000000</v>
      </c>
      <c r="BV88" s="216">
        <f ca="1">IF($D88&lt;&gt;"Serviço",0,IF(OR(AND(AUTOEVENTO="Manual",$M88=1),$M88&gt;(ROW(PLE.lastrow)-ROW(PLE.firstrow))),0,IF(OFFSET(PLE!$G$14,$M88,BV$13)="",10^12,OFFSET(PLE!$G$14,$M88,BV$13))))</f>
        <v>1000000000000</v>
      </c>
      <c r="BW88" s="216">
        <f ca="1">IF($D88&lt;&gt;"Serviço",0,IF(OR(AND(AUTOEVENTO="Manual",$M88=1),$M88&gt;(ROW(PLE.lastrow)-ROW(PLE.firstrow))),0,IF(OFFSET(PLE!$G$14,$M88,BW$13)="",10^12,OFFSET(PLE!$G$14,$M88,BW$13))))</f>
        <v>1000000000000</v>
      </c>
      <c r="BX88" s="216">
        <f ca="1">IF($D88&lt;&gt;"Serviço",0,IF(OR(AND(AUTOEVENTO="Manual",$M88=1),$M88&gt;(ROW(PLE.lastrow)-ROW(PLE.firstrow))),0,IF(OFFSET(PLE!$G$14,$M88,BX$13)="",10^12,OFFSET(PLE!$G$14,$M88,BX$13))))</f>
        <v>1000000000000</v>
      </c>
      <c r="BY88" s="216">
        <f ca="1">IF($D88&lt;&gt;"Serviço",0,IF(OR(AND(AUTOEVENTO="Manual",$M88=1),$M88&gt;(ROW(PLE.lastrow)-ROW(PLE.firstrow))),0,IF(OFFSET(PLE!$G$14,$M88,BY$13)="",10^12,OFFSET(PLE!$G$14,$M88,BY$13))))</f>
        <v>1000000000000</v>
      </c>
      <c r="BZ88" s="216">
        <f ca="1">IF($D88&lt;&gt;"Serviço",0,IF(OR(AND(AUTOEVENTO="Manual",$M88=1),$M88&gt;(ROW(PLE.lastrow)-ROW(PLE.firstrow))),0,IF(OFFSET(PLE!$G$14,$M88,BZ$13)="",10^12,OFFSET(PLE!$G$14,$M88,BZ$13))))</f>
        <v>1000000000000</v>
      </c>
      <c r="CA88" s="216">
        <f ca="1">IF($D88&lt;&gt;"Serviço",0,IF(OR(AND(AUTOEVENTO="Manual",$M88=1),$M88&gt;(ROW(PLE.lastrow)-ROW(PLE.firstrow))),0,IF(OFFSET(PLE!$G$14,$M88,CA$13)="",10^12,OFFSET(PLE!$G$14,$M88,CA$13))))</f>
        <v>1000000000000</v>
      </c>
      <c r="CB88" s="216">
        <f ca="1">IF($D88&lt;&gt;"Serviço",0,IF(OR(AND(AUTOEVENTO="Manual",$M88=1),$M88&gt;(ROW(PLE.lastrow)-ROW(PLE.firstrow))),0,IF(OFFSET(PLE!$G$14,$M88,CB$13)="",10^12,OFFSET(PLE!$G$14,$M88,CB$13))))</f>
        <v>1000000000000</v>
      </c>
      <c r="CC88" s="216">
        <f ca="1">IF($D88&lt;&gt;"Serviço",0,IF(OR(AND(AUTOEVENTO="Manual",$M88=1),$M88&gt;(ROW(PLE.lastrow)-ROW(PLE.firstrow))),0,IF(OFFSET(PLE!$G$14,$M88,CC$13)="",10^12,OFFSET(PLE!$G$14,$M88,CC$13))))</f>
        <v>1000000000000</v>
      </c>
      <c r="CD88" s="216">
        <f ca="1">IF($D88&lt;&gt;"Serviço",0,IF(OR(AND(AUTOEVENTO="Manual",$M88=1),$M88&gt;(ROW(PLE.lastrow)-ROW(PLE.firstrow))),0,IF(OFFSET(PLE!$G$14,$M88,CD$13)="",10^12,OFFSET(PLE!$G$14,$M88,CD$13))))</f>
        <v>1000000000000</v>
      </c>
      <c r="CE88" s="216">
        <f ca="1">IF($D88&lt;&gt;"Serviço",0,IF(OR(AND(AUTOEVENTO="Manual",$M88=1),$M88&gt;(ROW(PLE.lastrow)-ROW(PLE.firstrow))),0,IF(OFFSET(PLE!$G$14,$M88,CE$13)="",10^12,OFFSET(PLE!$G$14,$M88,CE$13))))</f>
        <v>1000000000000</v>
      </c>
      <c r="CF88" s="216">
        <f ca="1">IF($D88&lt;&gt;"Serviço",0,IF(OR(AND(AUTOEVENTO="Manual",$M88=1),$M88&gt;(ROW(PLE.lastrow)-ROW(PLE.firstrow))),0,IF(OFFSET(PLE!$G$14,$M88,CF$13)="",10^12,OFFSET(PLE!$G$14,$M88,CF$13))))</f>
        <v>1000000000000</v>
      </c>
      <c r="CG88" s="216">
        <f ca="1">IF($D88&lt;&gt;"Serviço",0,IF(OR(AND(AUTOEVENTO="Manual",$M88=1),$M88&gt;(ROW(PLE.lastrow)-ROW(PLE.firstrow))),0,IF(OFFSET(PLE!$G$14,$M88,CG$13)="",10^12,OFFSET(PLE!$G$14,$M88,CG$13))))</f>
        <v>1000000000000</v>
      </c>
      <c r="CH88" s="216">
        <f ca="1">IF($D88&lt;&gt;"Serviço",0,IF(OR(AND(AUTOEVENTO="Manual",$M88=1),$M88&gt;(ROW(PLE.lastrow)-ROW(PLE.firstrow))),0,IF(OFFSET(PLE!$G$14,$M88,CH$13)="",10^12,OFFSET(PLE!$G$14,$M88,CH$13))))</f>
        <v>1000000000000</v>
      </c>
      <c r="CI88" s="216">
        <f ca="1">IF($D88&lt;&gt;"Serviço",0,IF(OR(AND(AUTOEVENTO="Manual",$M88=1),$M88&gt;(ROW(PLE.lastrow)-ROW(PLE.firstrow))),0,IF(OFFSET(PLE!$G$14,$M88,CI$13)="",10^12,OFFSET(PLE!$G$14,$M88,CI$13))))</f>
        <v>1000000000000</v>
      </c>
      <c r="CJ88" s="216">
        <f ca="1">IF($D88&lt;&gt;"Serviço",0,IF(OR(AND(AUTOEVENTO="Manual",$M88=1),$M88&gt;(ROW(PLE.lastrow)-ROW(PLE.firstrow))),0,IF(OFFSET(PLE!$G$14,$M88,CJ$13)="",10^12,OFFSET(PLE!$G$14,$M88,CJ$13))))</f>
        <v>1000000000000</v>
      </c>
      <c r="CK88" s="216">
        <f ca="1">IF($D88&lt;&gt;"Serviço",0,IF(OR(AND(AUTOEVENTO="Manual",$M88=1),$M88&gt;(ROW(PLE.lastrow)-ROW(PLE.firstrow))),0,IF(OFFSET(PLE!$G$14,$M88,CK$13)="",10^12,OFFSET(PLE!$G$14,$M88,CK$13))))</f>
        <v>1000000000000</v>
      </c>
      <c r="CL88" s="216">
        <f ca="1">IF($D88&lt;&gt;"Serviço",0,IF(OR(AND(AUTOEVENTO="Manual",$M88=1),$M88&gt;(ROW(PLE.lastrow)-ROW(PLE.firstrow))),0,IF(OFFSET(PLE!$G$14,$M88,CL$13)="",10^12,OFFSET(PLE!$G$14,$M88,CL$13))))</f>
        <v>1000000000000</v>
      </c>
      <c r="CM88" s="216">
        <f ca="1">IF($D88&lt;&gt;"Serviço",0,IF(OR(AND(AUTOEVENTO="Manual",$M88=1),$M88&gt;(ROW(PLE.lastrow)-ROW(PLE.firstrow))),0,IF(OFFSET(PLE!$G$14,$M88,CM$13)="",10^12,OFFSET(PLE!$G$14,$M88,CM$13))))</f>
        <v>1000000000000</v>
      </c>
    </row>
    <row r="89" spans="1:91" ht="13.2" x14ac:dyDescent="0.25">
      <c r="A89" s="9">
        <f t="shared" ca="1" si="10"/>
        <v>0</v>
      </c>
      <c r="B89" s="9" t="str">
        <f ca="1">OFFSET(ORÇAMENTO!C$15,ROW(B89)-ROW(B$15),0)</f>
        <v>S</v>
      </c>
      <c r="C89" s="9" t="str">
        <f ca="1">OFFSET(ORÇAMENTO!L$15,ROW(C89)-ROW(C$15),0)</f>
        <v/>
      </c>
      <c r="D89" s="145" t="str">
        <f ca="1">OFFSET(ORÇAMENTO!N$15,ROW(D89)-ROW(D$15),0)</f>
        <v>Serviço</v>
      </c>
      <c r="E89" s="205" t="str">
        <f ca="1">OFFSET(ORÇAMENTO!O$15,ROW(E89)-ROW(E$15),0)</f>
        <v>-</v>
      </c>
      <c r="F89" s="206" t="str">
        <f ca="1">OFFSET(ORÇAMENTO!R$15,ROW(F89)-ROW(F$15),0)</f>
        <v>(abra o arquivo 'Referência 05-2024.xls)</v>
      </c>
      <c r="G89" s="207" t="str">
        <f ca="1">IF($D89&lt;&gt;"Serviço","",OFFSET(ORÇAMENTO!S$15,ROW(G89)-ROW(G$15),0))</f>
        <v>-</v>
      </c>
      <c r="H89" s="151">
        <f ca="1">IF($D89&lt;&gt;"Serviço",0,IF(ACOMPANHAMENTO="BM",ROUND(OFFSET(ORÇAMENTO!AJ$15,ROW(H89)-ROW(H$15),0),15-13*ORÇAMENTO!$AF$7),SUMPRODUCT(($Q$12:$AI$12&lt;&gt;"")*ROUND($Q89:$AI89,15-13*ORÇAMENTO!$AF$7))))</f>
        <v>22.46</v>
      </c>
      <c r="I89" s="650"/>
      <c r="K89" s="208"/>
      <c r="L89" s="209" t="s">
        <v>257</v>
      </c>
      <c r="M89" s="210">
        <f ca="1">IF($D89&lt;&gt;"Serviço","",IF(AUTOEVENTO="manual",$A89,IF(ISERROR(MATCH($A89,$A$15:OFFSET($A89,-1,0),0)),MAX($M$15:OFFSET(M89,-1,0))+1,INDEX($M$15:OFFSET(M89,-1,0),MATCH($A89,$A$15:OFFSET($A89,-1,0),0)))))</f>
        <v>0</v>
      </c>
      <c r="N89" s="211" t="str">
        <f ca="1">IF($D89&lt;&gt;"Serviço","",IF(AUTOEVENTO="Manual",IF($A89=0,"&lt;-- defina o número do agrupador",OFFSET(EVENTOS!$D$14,$A89,0)),OFFSET($F$15,$A89,0)))</f>
        <v>&lt;-- defina o número do agrupador</v>
      </c>
      <c r="O89" s="212"/>
      <c r="Q89" s="212"/>
      <c r="R89" s="213"/>
      <c r="S89" s="213"/>
      <c r="T89" s="213"/>
      <c r="U89" s="213"/>
      <c r="V89" s="213"/>
      <c r="W89" s="213"/>
      <c r="X89" s="213"/>
      <c r="Y89" s="213"/>
      <c r="Z89" s="214"/>
      <c r="AA89" s="213"/>
      <c r="AB89" s="213"/>
      <c r="AC89" s="213"/>
      <c r="AD89" s="213"/>
      <c r="AE89" s="213"/>
      <c r="AF89" s="213"/>
      <c r="AG89" s="213"/>
      <c r="AH89" s="214"/>
      <c r="AJ89" s="631">
        <f ca="1">IF(AND($D89="Serviço",AJ$12&lt;&gt;0,$H89&gt;0,OR(AUTOEVENTO&lt;&gt;"manual",$M89&lt;&gt;1)),ROUND(OFFSET($P89,0,AJ$13),15-13*ORÇAMENTO!$AF$7)/$H89*OFFSET(ORÇAMENTO!$X$15,ROW(AJ89)-ROW(AJ$15),0),0)</f>
        <v>0</v>
      </c>
      <c r="AK89" s="632">
        <f ca="1">IF(AND($D89="Serviço",AK$12&lt;&gt;0,$H89&gt;0,OR(AUTOEVENTO&lt;&gt;"manual",$M89&lt;&gt;1)),ROUND(OFFSET($P89,0,AK$13),15-13*ORÇAMENTO!$AF$7)/$H89*OFFSET(ORÇAMENTO!$X$15,ROW(AK89)-ROW(AK$15),0),0)</f>
        <v>0</v>
      </c>
      <c r="AL89" s="632">
        <f ca="1">IF(AND($D89="Serviço",AL$12&lt;&gt;0,$H89&gt;0,OR(AUTOEVENTO&lt;&gt;"manual",$M89&lt;&gt;1)),ROUND(OFFSET($P89,0,AL$13),15-13*ORÇAMENTO!$AF$7)/$H89*OFFSET(ORÇAMENTO!$X$15,ROW(AL89)-ROW(AL$15),0),0)</f>
        <v>0</v>
      </c>
      <c r="AM89" s="632">
        <f ca="1">IF(AND($D89="Serviço",AM$12&lt;&gt;0,$H89&gt;0,OR(AUTOEVENTO&lt;&gt;"manual",$M89&lt;&gt;1)),ROUND(OFFSET($P89,0,AM$13),15-13*ORÇAMENTO!$AF$7)/$H89*OFFSET(ORÇAMENTO!$X$15,ROW(AM89)-ROW(AM$15),0),0)</f>
        <v>0</v>
      </c>
      <c r="AN89" s="632">
        <f ca="1">IF(AND($D89="Serviço",AN$12&lt;&gt;0,$H89&gt;0,OR(AUTOEVENTO&lt;&gt;"manual",$M89&lt;&gt;1)),ROUND(OFFSET($P89,0,AN$13),15-13*ORÇAMENTO!$AF$7)/$H89*OFFSET(ORÇAMENTO!$X$15,ROW(AN89)-ROW(AN$15),0),0)</f>
        <v>0</v>
      </c>
      <c r="AO89" s="632">
        <f ca="1">IF(AND($D89="Serviço",AO$12&lt;&gt;0,$H89&gt;0,OR(AUTOEVENTO&lt;&gt;"manual",$M89&lt;&gt;1)),ROUND(OFFSET($P89,0,AO$13),15-13*ORÇAMENTO!$AF$7)/$H89*OFFSET(ORÇAMENTO!$X$15,ROW(AO89)-ROW(AO$15),0),0)</f>
        <v>0</v>
      </c>
      <c r="AP89" s="632">
        <f ca="1">IF(AND($D89="Serviço",AP$12&lt;&gt;0,$H89&gt;0,OR(AUTOEVENTO&lt;&gt;"manual",$M89&lt;&gt;1)),ROUND(OFFSET($P89,0,AP$13),15-13*ORÇAMENTO!$AF$7)/$H89*OFFSET(ORÇAMENTO!$X$15,ROW(AP89)-ROW(AP$15),0),0)</f>
        <v>0</v>
      </c>
      <c r="AQ89" s="632">
        <f ca="1">IF(AND($D89="Serviço",AQ$12&lt;&gt;0,$H89&gt;0,OR(AUTOEVENTO&lt;&gt;"manual",$M89&lt;&gt;1)),ROUND(OFFSET($P89,0,AQ$13),15-13*ORÇAMENTO!$AF$7)/$H89*OFFSET(ORÇAMENTO!$X$15,ROW(AQ89)-ROW(AQ$15),0),0)</f>
        <v>0</v>
      </c>
      <c r="AR89" s="632">
        <f ca="1">IF(AND($D89="Serviço",AR$12&lt;&gt;0,$H89&gt;0,OR(AUTOEVENTO&lt;&gt;"manual",$M89&lt;&gt;1)),ROUND(OFFSET($P89,0,AR$13),15-13*ORÇAMENTO!$AF$7)/$H89*OFFSET(ORÇAMENTO!$X$15,ROW(AR89)-ROW(AR$15),0),0)</f>
        <v>0</v>
      </c>
      <c r="AS89" s="633">
        <f ca="1">IF(AND($D89="Serviço",AS$12&lt;&gt;0,$H89&gt;0,OR(AUTOEVENTO&lt;&gt;"manual",$M89&lt;&gt;1)),ROUND(OFFSET($P89,0,AS$13),15-13*ORÇAMENTO!$AF$7)/$H89*OFFSET(ORÇAMENTO!$X$15,ROW(AS89)-ROW(AS$15),0),0)</f>
        <v>0</v>
      </c>
      <c r="AT89" s="632">
        <f ca="1">IF(AND($D89="Serviço",AT$12&lt;&gt;0,$H89&gt;0,OR(AUTOEVENTO&lt;&gt;"manual",$M89&lt;&gt;1)),ROUND(OFFSET($P89,0,AT$13),15-13*ORÇAMENTO!$AF$7)/$H89*OFFSET(ORÇAMENTO!$X$15,ROW(AT89)-ROW(AT$15),0),0)</f>
        <v>0</v>
      </c>
      <c r="AU89" s="632">
        <f ca="1">IF(AND($D89="Serviço",AU$12&lt;&gt;0,$H89&gt;0,OR(AUTOEVENTO&lt;&gt;"manual",$M89&lt;&gt;1)),ROUND(OFFSET($P89,0,AU$13),15-13*ORÇAMENTO!$AF$7)/$H89*OFFSET(ORÇAMENTO!$X$15,ROW(AU89)-ROW(AU$15),0),0)</f>
        <v>0</v>
      </c>
      <c r="AV89" s="632">
        <f ca="1">IF(AND($D89="Serviço",AV$12&lt;&gt;0,$H89&gt;0,OR(AUTOEVENTO&lt;&gt;"manual",$M89&lt;&gt;1)),ROUND(OFFSET($P89,0,AV$13),15-13*ORÇAMENTO!$AF$7)/$H89*OFFSET(ORÇAMENTO!$X$15,ROW(AV89)-ROW(AV$15),0),0)</f>
        <v>0</v>
      </c>
      <c r="AW89" s="632">
        <f ca="1">IF(AND($D89="Serviço",AW$12&lt;&gt;0,$H89&gt;0,OR(AUTOEVENTO&lt;&gt;"manual",$M89&lt;&gt;1)),ROUND(OFFSET($P89,0,AW$13),15-13*ORÇAMENTO!$AF$7)/$H89*OFFSET(ORÇAMENTO!$X$15,ROW(AW89)-ROW(AW$15),0),0)</f>
        <v>0</v>
      </c>
      <c r="AX89" s="632">
        <f ca="1">IF(AND($D89="Serviço",AX$12&lt;&gt;0,$H89&gt;0,OR(AUTOEVENTO&lt;&gt;"manual",$M89&lt;&gt;1)),ROUND(OFFSET($P89,0,AX$13),15-13*ORÇAMENTO!$AF$7)/$H89*OFFSET(ORÇAMENTO!$X$15,ROW(AX89)-ROW(AX$15),0),0)</f>
        <v>0</v>
      </c>
      <c r="AY89" s="632">
        <f ca="1">IF(AND($D89="Serviço",AY$12&lt;&gt;0,$H89&gt;0,OR(AUTOEVENTO&lt;&gt;"manual",$M89&lt;&gt;1)),ROUND(OFFSET($P89,0,AY$13),15-13*ORÇAMENTO!$AF$7)/$H89*OFFSET(ORÇAMENTO!$X$15,ROW(AY89)-ROW(AY$15),0),0)</f>
        <v>0</v>
      </c>
      <c r="AZ89" s="632">
        <f ca="1">IF(AND($D89="Serviço",AZ$12&lt;&gt;0,$H89&gt;0,OR(AUTOEVENTO&lt;&gt;"manual",$M89&lt;&gt;1)),ROUND(OFFSET($P89,0,AZ$13),15-13*ORÇAMENTO!$AF$7)/$H89*OFFSET(ORÇAMENTO!$X$15,ROW(AZ89)-ROW(AZ$15),0),0)</f>
        <v>0</v>
      </c>
      <c r="BA89" s="633">
        <f ca="1">IF(AND($D89="Serviço",BA$12&lt;&gt;0,$H89&gt;0,OR(AUTOEVENTO&lt;&gt;"manual",$M89&lt;&gt;1)),ROUND(OFFSET($P89,0,BA$13),15-13*ORÇAMENTO!$AF$7)/$H89*OFFSET(ORÇAMENTO!$X$15,ROW(BA89)-ROW(BA$15),0),0)</f>
        <v>0</v>
      </c>
      <c r="BC89" s="215">
        <f ca="1">IF($D89&lt;&gt;"Serviço",0,IF(AND(AUTOEVENTO="Manual",$M89=1),0,IF(OFFSET(CRONOPLE!$F$14,$M89,BC$13)="",10^12,OFFSET(CRONOPLE!$F$14,$M89,BC$13))))</f>
        <v>1000000000000</v>
      </c>
      <c r="BD89" s="215">
        <f ca="1">IF($D89&lt;&gt;"Serviço",0,IF(AND(AUTOEVENTO="Manual",$M89=1),0,IF(OFFSET(CRONOPLE!$F$14,$M89,BD$13)="",10^12,OFFSET(CRONOPLE!$F$14,$M89,BD$13))))</f>
        <v>1000000000000</v>
      </c>
      <c r="BE89" s="215">
        <f ca="1">IF($D89&lt;&gt;"Serviço",0,IF(AND(AUTOEVENTO="Manual",$M89=1),0,IF(OFFSET(CRONOPLE!$F$14,$M89,BE$13)="",10^12,OFFSET(CRONOPLE!$F$14,$M89,BE$13))))</f>
        <v>1000000000000</v>
      </c>
      <c r="BF89" s="215">
        <f ca="1">IF($D89&lt;&gt;"Serviço",0,IF(AND(AUTOEVENTO="Manual",$M89=1),0,IF(OFFSET(CRONOPLE!$F$14,$M89,BF$13)="",10^12,OFFSET(CRONOPLE!$F$14,$M89,BF$13))))</f>
        <v>1000000000000</v>
      </c>
      <c r="BG89" s="215">
        <f ca="1">IF($D89&lt;&gt;"Serviço",0,IF(AND(AUTOEVENTO="Manual",$M89=1),0,IF(OFFSET(CRONOPLE!$F$14,$M89,BG$13)="",10^12,OFFSET(CRONOPLE!$F$14,$M89,BG$13))))</f>
        <v>1000000000000</v>
      </c>
      <c r="BH89" s="215">
        <f ca="1">IF($D89&lt;&gt;"Serviço",0,IF(AND(AUTOEVENTO="Manual",$M89=1),0,IF(OFFSET(CRONOPLE!$F$14,$M89,BH$13)="",10^12,OFFSET(CRONOPLE!$F$14,$M89,BH$13))))</f>
        <v>1000000000000</v>
      </c>
      <c r="BI89" s="215">
        <f ca="1">IF($D89&lt;&gt;"Serviço",0,IF(AND(AUTOEVENTO="Manual",$M89=1),0,IF(OFFSET(CRONOPLE!$F$14,$M89,BI$13)="",10^12,OFFSET(CRONOPLE!$F$14,$M89,BI$13))))</f>
        <v>1000000000000</v>
      </c>
      <c r="BJ89" s="215">
        <f ca="1">IF($D89&lt;&gt;"Serviço",0,IF(AND(AUTOEVENTO="Manual",$M89=1),0,IF(OFFSET(CRONOPLE!$F$14,$M89,BJ$13)="",10^12,OFFSET(CRONOPLE!$F$14,$M89,BJ$13))))</f>
        <v>1000000000000</v>
      </c>
      <c r="BK89" s="215">
        <f ca="1">IF($D89&lt;&gt;"Serviço",0,IF(AND(AUTOEVENTO="Manual",$M89=1),0,IF(OFFSET(CRONOPLE!$F$14,$M89,BK$13)="",10^12,OFFSET(CRONOPLE!$F$14,$M89,BK$13))))</f>
        <v>1000000000000</v>
      </c>
      <c r="BL89" s="215">
        <f ca="1">IF($D89&lt;&gt;"Serviço",0,IF(AND(AUTOEVENTO="Manual",$M89=1),0,IF(OFFSET(CRONOPLE!$F$14,$M89,BL$13)="",10^12,OFFSET(CRONOPLE!$F$14,$M89,BL$13))))</f>
        <v>1000000000000</v>
      </c>
      <c r="BM89" s="215">
        <f ca="1">IF($D89&lt;&gt;"Serviço",0,IF(AND(AUTOEVENTO="Manual",$M89=1),0,IF(OFFSET(CRONOPLE!$F$14,$M89,BM$13)="",10^12,OFFSET(CRONOPLE!$F$14,$M89,BM$13))))</f>
        <v>1000000000000</v>
      </c>
      <c r="BN89" s="215">
        <f ca="1">IF($D89&lt;&gt;"Serviço",0,IF(AND(AUTOEVENTO="Manual",$M89=1),0,IF(OFFSET(CRONOPLE!$F$14,$M89,BN$13)="",10^12,OFFSET(CRONOPLE!$F$14,$M89,BN$13))))</f>
        <v>1000000000000</v>
      </c>
      <c r="BO89" s="215">
        <f ca="1">IF($D89&lt;&gt;"Serviço",0,IF(AND(AUTOEVENTO="Manual",$M89=1),0,IF(OFFSET(CRONOPLE!$F$14,$M89,BO$13)="",10^12,OFFSET(CRONOPLE!$F$14,$M89,BO$13))))</f>
        <v>1000000000000</v>
      </c>
      <c r="BP89" s="215">
        <f ca="1">IF($D89&lt;&gt;"Serviço",0,IF(AND(AUTOEVENTO="Manual",$M89=1),0,IF(OFFSET(CRONOPLE!$F$14,$M89,BP$13)="",10^12,OFFSET(CRONOPLE!$F$14,$M89,BP$13))))</f>
        <v>1000000000000</v>
      </c>
      <c r="BQ89" s="215">
        <f ca="1">IF($D89&lt;&gt;"Serviço",0,IF(AND(AUTOEVENTO="Manual",$M89=1),0,IF(OFFSET(CRONOPLE!$F$14,$M89,BQ$13)="",10^12,OFFSET(CRONOPLE!$F$14,$M89,BQ$13))))</f>
        <v>1000000000000</v>
      </c>
      <c r="BR89" s="215">
        <f ca="1">IF($D89&lt;&gt;"Serviço",0,IF(AND(AUTOEVENTO="Manual",$M89=1),0,IF(OFFSET(CRONOPLE!$F$14,$M89,BR$13)="",10^12,OFFSET(CRONOPLE!$F$14,$M89,BR$13))))</f>
        <v>1000000000000</v>
      </c>
      <c r="BS89" s="215">
        <f ca="1">IF($D89&lt;&gt;"Serviço",0,IF(AND(AUTOEVENTO="Manual",$M89=1),0,IF(OFFSET(CRONOPLE!$F$14,$M89,BS$13)="",10^12,OFFSET(CRONOPLE!$F$14,$M89,BS$13))))</f>
        <v>1000000000000</v>
      </c>
      <c r="BT89" s="215">
        <f ca="1">IF($D89&lt;&gt;"Serviço",0,IF(AND(AUTOEVENTO="Manual",$M89=1),0,IF(OFFSET(CRONOPLE!$F$14,$M89,BT$13)="",10^12,OFFSET(CRONOPLE!$F$14,$M89,BT$13))))</f>
        <v>1000000000000</v>
      </c>
      <c r="BV89" s="216">
        <f ca="1">IF($D89&lt;&gt;"Serviço",0,IF(OR(AND(AUTOEVENTO="Manual",$M89=1),$M89&gt;(ROW(PLE.lastrow)-ROW(PLE.firstrow))),0,IF(OFFSET(PLE!$G$14,$M89,BV$13)="",10^12,OFFSET(PLE!$G$14,$M89,BV$13))))</f>
        <v>1000000000000</v>
      </c>
      <c r="BW89" s="216">
        <f ca="1">IF($D89&lt;&gt;"Serviço",0,IF(OR(AND(AUTOEVENTO="Manual",$M89=1),$M89&gt;(ROW(PLE.lastrow)-ROW(PLE.firstrow))),0,IF(OFFSET(PLE!$G$14,$M89,BW$13)="",10^12,OFFSET(PLE!$G$14,$M89,BW$13))))</f>
        <v>1000000000000</v>
      </c>
      <c r="BX89" s="216">
        <f ca="1">IF($D89&lt;&gt;"Serviço",0,IF(OR(AND(AUTOEVENTO="Manual",$M89=1),$M89&gt;(ROW(PLE.lastrow)-ROW(PLE.firstrow))),0,IF(OFFSET(PLE!$G$14,$M89,BX$13)="",10^12,OFFSET(PLE!$G$14,$M89,BX$13))))</f>
        <v>1000000000000</v>
      </c>
      <c r="BY89" s="216">
        <f ca="1">IF($D89&lt;&gt;"Serviço",0,IF(OR(AND(AUTOEVENTO="Manual",$M89=1),$M89&gt;(ROW(PLE.lastrow)-ROW(PLE.firstrow))),0,IF(OFFSET(PLE!$G$14,$M89,BY$13)="",10^12,OFFSET(PLE!$G$14,$M89,BY$13))))</f>
        <v>1000000000000</v>
      </c>
      <c r="BZ89" s="216">
        <f ca="1">IF($D89&lt;&gt;"Serviço",0,IF(OR(AND(AUTOEVENTO="Manual",$M89=1),$M89&gt;(ROW(PLE.lastrow)-ROW(PLE.firstrow))),0,IF(OFFSET(PLE!$G$14,$M89,BZ$13)="",10^12,OFFSET(PLE!$G$14,$M89,BZ$13))))</f>
        <v>1000000000000</v>
      </c>
      <c r="CA89" s="216">
        <f ca="1">IF($D89&lt;&gt;"Serviço",0,IF(OR(AND(AUTOEVENTO="Manual",$M89=1),$M89&gt;(ROW(PLE.lastrow)-ROW(PLE.firstrow))),0,IF(OFFSET(PLE!$G$14,$M89,CA$13)="",10^12,OFFSET(PLE!$G$14,$M89,CA$13))))</f>
        <v>1000000000000</v>
      </c>
      <c r="CB89" s="216">
        <f ca="1">IF($D89&lt;&gt;"Serviço",0,IF(OR(AND(AUTOEVENTO="Manual",$M89=1),$M89&gt;(ROW(PLE.lastrow)-ROW(PLE.firstrow))),0,IF(OFFSET(PLE!$G$14,$M89,CB$13)="",10^12,OFFSET(PLE!$G$14,$M89,CB$13))))</f>
        <v>1000000000000</v>
      </c>
      <c r="CC89" s="216">
        <f ca="1">IF($D89&lt;&gt;"Serviço",0,IF(OR(AND(AUTOEVENTO="Manual",$M89=1),$M89&gt;(ROW(PLE.lastrow)-ROW(PLE.firstrow))),0,IF(OFFSET(PLE!$G$14,$M89,CC$13)="",10^12,OFFSET(PLE!$G$14,$M89,CC$13))))</f>
        <v>1000000000000</v>
      </c>
      <c r="CD89" s="216">
        <f ca="1">IF($D89&lt;&gt;"Serviço",0,IF(OR(AND(AUTOEVENTO="Manual",$M89=1),$M89&gt;(ROW(PLE.lastrow)-ROW(PLE.firstrow))),0,IF(OFFSET(PLE!$G$14,$M89,CD$13)="",10^12,OFFSET(PLE!$G$14,$M89,CD$13))))</f>
        <v>1000000000000</v>
      </c>
      <c r="CE89" s="216">
        <f ca="1">IF($D89&lt;&gt;"Serviço",0,IF(OR(AND(AUTOEVENTO="Manual",$M89=1),$M89&gt;(ROW(PLE.lastrow)-ROW(PLE.firstrow))),0,IF(OFFSET(PLE!$G$14,$M89,CE$13)="",10^12,OFFSET(PLE!$G$14,$M89,CE$13))))</f>
        <v>1000000000000</v>
      </c>
      <c r="CF89" s="216">
        <f ca="1">IF($D89&lt;&gt;"Serviço",0,IF(OR(AND(AUTOEVENTO="Manual",$M89=1),$M89&gt;(ROW(PLE.lastrow)-ROW(PLE.firstrow))),0,IF(OFFSET(PLE!$G$14,$M89,CF$13)="",10^12,OFFSET(PLE!$G$14,$M89,CF$13))))</f>
        <v>1000000000000</v>
      </c>
      <c r="CG89" s="216">
        <f ca="1">IF($D89&lt;&gt;"Serviço",0,IF(OR(AND(AUTOEVENTO="Manual",$M89=1),$M89&gt;(ROW(PLE.lastrow)-ROW(PLE.firstrow))),0,IF(OFFSET(PLE!$G$14,$M89,CG$13)="",10^12,OFFSET(PLE!$G$14,$M89,CG$13))))</f>
        <v>1000000000000</v>
      </c>
      <c r="CH89" s="216">
        <f ca="1">IF($D89&lt;&gt;"Serviço",0,IF(OR(AND(AUTOEVENTO="Manual",$M89=1),$M89&gt;(ROW(PLE.lastrow)-ROW(PLE.firstrow))),0,IF(OFFSET(PLE!$G$14,$M89,CH$13)="",10^12,OFFSET(PLE!$G$14,$M89,CH$13))))</f>
        <v>1000000000000</v>
      </c>
      <c r="CI89" s="216">
        <f ca="1">IF($D89&lt;&gt;"Serviço",0,IF(OR(AND(AUTOEVENTO="Manual",$M89=1),$M89&gt;(ROW(PLE.lastrow)-ROW(PLE.firstrow))),0,IF(OFFSET(PLE!$G$14,$M89,CI$13)="",10^12,OFFSET(PLE!$G$14,$M89,CI$13))))</f>
        <v>1000000000000</v>
      </c>
      <c r="CJ89" s="216">
        <f ca="1">IF($D89&lt;&gt;"Serviço",0,IF(OR(AND(AUTOEVENTO="Manual",$M89=1),$M89&gt;(ROW(PLE.lastrow)-ROW(PLE.firstrow))),0,IF(OFFSET(PLE!$G$14,$M89,CJ$13)="",10^12,OFFSET(PLE!$G$14,$M89,CJ$13))))</f>
        <v>1000000000000</v>
      </c>
      <c r="CK89" s="216">
        <f ca="1">IF($D89&lt;&gt;"Serviço",0,IF(OR(AND(AUTOEVENTO="Manual",$M89=1),$M89&gt;(ROW(PLE.lastrow)-ROW(PLE.firstrow))),0,IF(OFFSET(PLE!$G$14,$M89,CK$13)="",10^12,OFFSET(PLE!$G$14,$M89,CK$13))))</f>
        <v>1000000000000</v>
      </c>
      <c r="CL89" s="216">
        <f ca="1">IF($D89&lt;&gt;"Serviço",0,IF(OR(AND(AUTOEVENTO="Manual",$M89=1),$M89&gt;(ROW(PLE.lastrow)-ROW(PLE.firstrow))),0,IF(OFFSET(PLE!$G$14,$M89,CL$13)="",10^12,OFFSET(PLE!$G$14,$M89,CL$13))))</f>
        <v>1000000000000</v>
      </c>
      <c r="CM89" s="216">
        <f ca="1">IF($D89&lt;&gt;"Serviço",0,IF(OR(AND(AUTOEVENTO="Manual",$M89=1),$M89&gt;(ROW(PLE.lastrow)-ROW(PLE.firstrow))),0,IF(OFFSET(PLE!$G$14,$M89,CM$13)="",10^12,OFFSET(PLE!$G$14,$M89,CM$13))))</f>
        <v>1000000000000</v>
      </c>
    </row>
    <row r="90" spans="1:91" ht="13.2" x14ac:dyDescent="0.25">
      <c r="A90" s="9">
        <f t="shared" ca="1" si="10"/>
        <v>0</v>
      </c>
      <c r="B90" s="9" t="str">
        <f ca="1">OFFSET(ORÇAMENTO!C$15,ROW(B90)-ROW(B$15),0)</f>
        <v>S</v>
      </c>
      <c r="C90" s="9" t="str">
        <f ca="1">OFFSET(ORÇAMENTO!L$15,ROW(C90)-ROW(C$15),0)</f>
        <v/>
      </c>
      <c r="D90" s="145" t="str">
        <f ca="1">OFFSET(ORÇAMENTO!N$15,ROW(D90)-ROW(D$15),0)</f>
        <v>Serviço</v>
      </c>
      <c r="E90" s="205" t="str">
        <f ca="1">OFFSET(ORÇAMENTO!O$15,ROW(E90)-ROW(E$15),0)</f>
        <v>-</v>
      </c>
      <c r="F90" s="206" t="str">
        <f ca="1">OFFSET(ORÇAMENTO!R$15,ROW(F90)-ROW(F$15),0)</f>
        <v>(abra o arquivo 'Referência 05-2024.xls)</v>
      </c>
      <c r="G90" s="207" t="str">
        <f ca="1">IF($D90&lt;&gt;"Serviço","",OFFSET(ORÇAMENTO!S$15,ROW(G90)-ROW(G$15),0))</f>
        <v>-</v>
      </c>
      <c r="H90" s="151">
        <f ca="1">IF($D90&lt;&gt;"Serviço",0,IF(ACOMPANHAMENTO="BM",ROUND(OFFSET(ORÇAMENTO!AJ$15,ROW(H90)-ROW(H$15),0),15-13*ORÇAMENTO!$AF$7),SUMPRODUCT(($Q$12:$AI$12&lt;&gt;"")*ROUND($Q90:$AI90,15-13*ORÇAMENTO!$AF$7))))</f>
        <v>10.58</v>
      </c>
      <c r="I90" s="650"/>
      <c r="K90" s="208"/>
      <c r="L90" s="209" t="s">
        <v>257</v>
      </c>
      <c r="M90" s="210">
        <f ca="1">IF($D90&lt;&gt;"Serviço","",IF(AUTOEVENTO="manual",$A90,IF(ISERROR(MATCH($A90,$A$15:OFFSET($A90,-1,0),0)),MAX($M$15:OFFSET(M90,-1,0))+1,INDEX($M$15:OFFSET(M90,-1,0),MATCH($A90,$A$15:OFFSET($A90,-1,0),0)))))</f>
        <v>0</v>
      </c>
      <c r="N90" s="211" t="str">
        <f ca="1">IF($D90&lt;&gt;"Serviço","",IF(AUTOEVENTO="Manual",IF($A90=0,"&lt;-- defina o número do agrupador",OFFSET(EVENTOS!$D$14,$A90,0)),OFFSET($F$15,$A90,0)))</f>
        <v>&lt;-- defina o número do agrupador</v>
      </c>
      <c r="O90" s="212"/>
      <c r="Q90" s="212"/>
      <c r="R90" s="213"/>
      <c r="S90" s="213"/>
      <c r="T90" s="213"/>
      <c r="U90" s="213"/>
      <c r="V90" s="213"/>
      <c r="W90" s="213"/>
      <c r="X90" s="213"/>
      <c r="Y90" s="213"/>
      <c r="Z90" s="214"/>
      <c r="AA90" s="213"/>
      <c r="AB90" s="213"/>
      <c r="AC90" s="213"/>
      <c r="AD90" s="213"/>
      <c r="AE90" s="213"/>
      <c r="AF90" s="213"/>
      <c r="AG90" s="213"/>
      <c r="AH90" s="214"/>
      <c r="AJ90" s="631">
        <f ca="1">IF(AND($D90="Serviço",AJ$12&lt;&gt;0,$H90&gt;0,OR(AUTOEVENTO&lt;&gt;"manual",$M90&lt;&gt;1)),ROUND(OFFSET($P90,0,AJ$13),15-13*ORÇAMENTO!$AF$7)/$H90*OFFSET(ORÇAMENTO!$X$15,ROW(AJ90)-ROW(AJ$15),0),0)</f>
        <v>0</v>
      </c>
      <c r="AK90" s="632">
        <f ca="1">IF(AND($D90="Serviço",AK$12&lt;&gt;0,$H90&gt;0,OR(AUTOEVENTO&lt;&gt;"manual",$M90&lt;&gt;1)),ROUND(OFFSET($P90,0,AK$13),15-13*ORÇAMENTO!$AF$7)/$H90*OFFSET(ORÇAMENTO!$X$15,ROW(AK90)-ROW(AK$15),0),0)</f>
        <v>0</v>
      </c>
      <c r="AL90" s="632">
        <f ca="1">IF(AND($D90="Serviço",AL$12&lt;&gt;0,$H90&gt;0,OR(AUTOEVENTO&lt;&gt;"manual",$M90&lt;&gt;1)),ROUND(OFFSET($P90,0,AL$13),15-13*ORÇAMENTO!$AF$7)/$H90*OFFSET(ORÇAMENTO!$X$15,ROW(AL90)-ROW(AL$15),0),0)</f>
        <v>0</v>
      </c>
      <c r="AM90" s="632">
        <f ca="1">IF(AND($D90="Serviço",AM$12&lt;&gt;0,$H90&gt;0,OR(AUTOEVENTO&lt;&gt;"manual",$M90&lt;&gt;1)),ROUND(OFFSET($P90,0,AM$13),15-13*ORÇAMENTO!$AF$7)/$H90*OFFSET(ORÇAMENTO!$X$15,ROW(AM90)-ROW(AM$15),0),0)</f>
        <v>0</v>
      </c>
      <c r="AN90" s="632">
        <f ca="1">IF(AND($D90="Serviço",AN$12&lt;&gt;0,$H90&gt;0,OR(AUTOEVENTO&lt;&gt;"manual",$M90&lt;&gt;1)),ROUND(OFFSET($P90,0,AN$13),15-13*ORÇAMENTO!$AF$7)/$H90*OFFSET(ORÇAMENTO!$X$15,ROW(AN90)-ROW(AN$15),0),0)</f>
        <v>0</v>
      </c>
      <c r="AO90" s="632">
        <f ca="1">IF(AND($D90="Serviço",AO$12&lt;&gt;0,$H90&gt;0,OR(AUTOEVENTO&lt;&gt;"manual",$M90&lt;&gt;1)),ROUND(OFFSET($P90,0,AO$13),15-13*ORÇAMENTO!$AF$7)/$H90*OFFSET(ORÇAMENTO!$X$15,ROW(AO90)-ROW(AO$15),0),0)</f>
        <v>0</v>
      </c>
      <c r="AP90" s="632">
        <f ca="1">IF(AND($D90="Serviço",AP$12&lt;&gt;0,$H90&gt;0,OR(AUTOEVENTO&lt;&gt;"manual",$M90&lt;&gt;1)),ROUND(OFFSET($P90,0,AP$13),15-13*ORÇAMENTO!$AF$7)/$H90*OFFSET(ORÇAMENTO!$X$15,ROW(AP90)-ROW(AP$15),0),0)</f>
        <v>0</v>
      </c>
      <c r="AQ90" s="632">
        <f ca="1">IF(AND($D90="Serviço",AQ$12&lt;&gt;0,$H90&gt;0,OR(AUTOEVENTO&lt;&gt;"manual",$M90&lt;&gt;1)),ROUND(OFFSET($P90,0,AQ$13),15-13*ORÇAMENTO!$AF$7)/$H90*OFFSET(ORÇAMENTO!$X$15,ROW(AQ90)-ROW(AQ$15),0),0)</f>
        <v>0</v>
      </c>
      <c r="AR90" s="632">
        <f ca="1">IF(AND($D90="Serviço",AR$12&lt;&gt;0,$H90&gt;0,OR(AUTOEVENTO&lt;&gt;"manual",$M90&lt;&gt;1)),ROUND(OFFSET($P90,0,AR$13),15-13*ORÇAMENTO!$AF$7)/$H90*OFFSET(ORÇAMENTO!$X$15,ROW(AR90)-ROW(AR$15),0),0)</f>
        <v>0</v>
      </c>
      <c r="AS90" s="633">
        <f ca="1">IF(AND($D90="Serviço",AS$12&lt;&gt;0,$H90&gt;0,OR(AUTOEVENTO&lt;&gt;"manual",$M90&lt;&gt;1)),ROUND(OFFSET($P90,0,AS$13),15-13*ORÇAMENTO!$AF$7)/$H90*OFFSET(ORÇAMENTO!$X$15,ROW(AS90)-ROW(AS$15),0),0)</f>
        <v>0</v>
      </c>
      <c r="AT90" s="632">
        <f ca="1">IF(AND($D90="Serviço",AT$12&lt;&gt;0,$H90&gt;0,OR(AUTOEVENTO&lt;&gt;"manual",$M90&lt;&gt;1)),ROUND(OFFSET($P90,0,AT$13),15-13*ORÇAMENTO!$AF$7)/$H90*OFFSET(ORÇAMENTO!$X$15,ROW(AT90)-ROW(AT$15),0),0)</f>
        <v>0</v>
      </c>
      <c r="AU90" s="632">
        <f ca="1">IF(AND($D90="Serviço",AU$12&lt;&gt;0,$H90&gt;0,OR(AUTOEVENTO&lt;&gt;"manual",$M90&lt;&gt;1)),ROUND(OFFSET($P90,0,AU$13),15-13*ORÇAMENTO!$AF$7)/$H90*OFFSET(ORÇAMENTO!$X$15,ROW(AU90)-ROW(AU$15),0),0)</f>
        <v>0</v>
      </c>
      <c r="AV90" s="632">
        <f ca="1">IF(AND($D90="Serviço",AV$12&lt;&gt;0,$H90&gt;0,OR(AUTOEVENTO&lt;&gt;"manual",$M90&lt;&gt;1)),ROUND(OFFSET($P90,0,AV$13),15-13*ORÇAMENTO!$AF$7)/$H90*OFFSET(ORÇAMENTO!$X$15,ROW(AV90)-ROW(AV$15),0),0)</f>
        <v>0</v>
      </c>
      <c r="AW90" s="632">
        <f ca="1">IF(AND($D90="Serviço",AW$12&lt;&gt;0,$H90&gt;0,OR(AUTOEVENTO&lt;&gt;"manual",$M90&lt;&gt;1)),ROUND(OFFSET($P90,0,AW$13),15-13*ORÇAMENTO!$AF$7)/$H90*OFFSET(ORÇAMENTO!$X$15,ROW(AW90)-ROW(AW$15),0),0)</f>
        <v>0</v>
      </c>
      <c r="AX90" s="632">
        <f ca="1">IF(AND($D90="Serviço",AX$12&lt;&gt;0,$H90&gt;0,OR(AUTOEVENTO&lt;&gt;"manual",$M90&lt;&gt;1)),ROUND(OFFSET($P90,0,AX$13),15-13*ORÇAMENTO!$AF$7)/$H90*OFFSET(ORÇAMENTO!$X$15,ROW(AX90)-ROW(AX$15),0),0)</f>
        <v>0</v>
      </c>
      <c r="AY90" s="632">
        <f ca="1">IF(AND($D90="Serviço",AY$12&lt;&gt;0,$H90&gt;0,OR(AUTOEVENTO&lt;&gt;"manual",$M90&lt;&gt;1)),ROUND(OFFSET($P90,0,AY$13),15-13*ORÇAMENTO!$AF$7)/$H90*OFFSET(ORÇAMENTO!$X$15,ROW(AY90)-ROW(AY$15),0),0)</f>
        <v>0</v>
      </c>
      <c r="AZ90" s="632">
        <f ca="1">IF(AND($D90="Serviço",AZ$12&lt;&gt;0,$H90&gt;0,OR(AUTOEVENTO&lt;&gt;"manual",$M90&lt;&gt;1)),ROUND(OFFSET($P90,0,AZ$13),15-13*ORÇAMENTO!$AF$7)/$H90*OFFSET(ORÇAMENTO!$X$15,ROW(AZ90)-ROW(AZ$15),0),0)</f>
        <v>0</v>
      </c>
      <c r="BA90" s="633">
        <f ca="1">IF(AND($D90="Serviço",BA$12&lt;&gt;0,$H90&gt;0,OR(AUTOEVENTO&lt;&gt;"manual",$M90&lt;&gt;1)),ROUND(OFFSET($P90,0,BA$13),15-13*ORÇAMENTO!$AF$7)/$H90*OFFSET(ORÇAMENTO!$X$15,ROW(BA90)-ROW(BA$15),0),0)</f>
        <v>0</v>
      </c>
      <c r="BC90" s="215">
        <f ca="1">IF($D90&lt;&gt;"Serviço",0,IF(AND(AUTOEVENTO="Manual",$M90=1),0,IF(OFFSET(CRONOPLE!$F$14,$M90,BC$13)="",10^12,OFFSET(CRONOPLE!$F$14,$M90,BC$13))))</f>
        <v>1000000000000</v>
      </c>
      <c r="BD90" s="215">
        <f ca="1">IF($D90&lt;&gt;"Serviço",0,IF(AND(AUTOEVENTO="Manual",$M90=1),0,IF(OFFSET(CRONOPLE!$F$14,$M90,BD$13)="",10^12,OFFSET(CRONOPLE!$F$14,$M90,BD$13))))</f>
        <v>1000000000000</v>
      </c>
      <c r="BE90" s="215">
        <f ca="1">IF($D90&lt;&gt;"Serviço",0,IF(AND(AUTOEVENTO="Manual",$M90=1),0,IF(OFFSET(CRONOPLE!$F$14,$M90,BE$13)="",10^12,OFFSET(CRONOPLE!$F$14,$M90,BE$13))))</f>
        <v>1000000000000</v>
      </c>
      <c r="BF90" s="215">
        <f ca="1">IF($D90&lt;&gt;"Serviço",0,IF(AND(AUTOEVENTO="Manual",$M90=1),0,IF(OFFSET(CRONOPLE!$F$14,$M90,BF$13)="",10^12,OFFSET(CRONOPLE!$F$14,$M90,BF$13))))</f>
        <v>1000000000000</v>
      </c>
      <c r="BG90" s="215">
        <f ca="1">IF($D90&lt;&gt;"Serviço",0,IF(AND(AUTOEVENTO="Manual",$M90=1),0,IF(OFFSET(CRONOPLE!$F$14,$M90,BG$13)="",10^12,OFFSET(CRONOPLE!$F$14,$M90,BG$13))))</f>
        <v>1000000000000</v>
      </c>
      <c r="BH90" s="215">
        <f ca="1">IF($D90&lt;&gt;"Serviço",0,IF(AND(AUTOEVENTO="Manual",$M90=1),0,IF(OFFSET(CRONOPLE!$F$14,$M90,BH$13)="",10^12,OFFSET(CRONOPLE!$F$14,$M90,BH$13))))</f>
        <v>1000000000000</v>
      </c>
      <c r="BI90" s="215">
        <f ca="1">IF($D90&lt;&gt;"Serviço",0,IF(AND(AUTOEVENTO="Manual",$M90=1),0,IF(OFFSET(CRONOPLE!$F$14,$M90,BI$13)="",10^12,OFFSET(CRONOPLE!$F$14,$M90,BI$13))))</f>
        <v>1000000000000</v>
      </c>
      <c r="BJ90" s="215">
        <f ca="1">IF($D90&lt;&gt;"Serviço",0,IF(AND(AUTOEVENTO="Manual",$M90=1),0,IF(OFFSET(CRONOPLE!$F$14,$M90,BJ$13)="",10^12,OFFSET(CRONOPLE!$F$14,$M90,BJ$13))))</f>
        <v>1000000000000</v>
      </c>
      <c r="BK90" s="215">
        <f ca="1">IF($D90&lt;&gt;"Serviço",0,IF(AND(AUTOEVENTO="Manual",$M90=1),0,IF(OFFSET(CRONOPLE!$F$14,$M90,BK$13)="",10^12,OFFSET(CRONOPLE!$F$14,$M90,BK$13))))</f>
        <v>1000000000000</v>
      </c>
      <c r="BL90" s="215">
        <f ca="1">IF($D90&lt;&gt;"Serviço",0,IF(AND(AUTOEVENTO="Manual",$M90=1),0,IF(OFFSET(CRONOPLE!$F$14,$M90,BL$13)="",10^12,OFFSET(CRONOPLE!$F$14,$M90,BL$13))))</f>
        <v>1000000000000</v>
      </c>
      <c r="BM90" s="215">
        <f ca="1">IF($D90&lt;&gt;"Serviço",0,IF(AND(AUTOEVENTO="Manual",$M90=1),0,IF(OFFSET(CRONOPLE!$F$14,$M90,BM$13)="",10^12,OFFSET(CRONOPLE!$F$14,$M90,BM$13))))</f>
        <v>1000000000000</v>
      </c>
      <c r="BN90" s="215">
        <f ca="1">IF($D90&lt;&gt;"Serviço",0,IF(AND(AUTOEVENTO="Manual",$M90=1),0,IF(OFFSET(CRONOPLE!$F$14,$M90,BN$13)="",10^12,OFFSET(CRONOPLE!$F$14,$M90,BN$13))))</f>
        <v>1000000000000</v>
      </c>
      <c r="BO90" s="215">
        <f ca="1">IF($D90&lt;&gt;"Serviço",0,IF(AND(AUTOEVENTO="Manual",$M90=1),0,IF(OFFSET(CRONOPLE!$F$14,$M90,BO$13)="",10^12,OFFSET(CRONOPLE!$F$14,$M90,BO$13))))</f>
        <v>1000000000000</v>
      </c>
      <c r="BP90" s="215">
        <f ca="1">IF($D90&lt;&gt;"Serviço",0,IF(AND(AUTOEVENTO="Manual",$M90=1),0,IF(OFFSET(CRONOPLE!$F$14,$M90,BP$13)="",10^12,OFFSET(CRONOPLE!$F$14,$M90,BP$13))))</f>
        <v>1000000000000</v>
      </c>
      <c r="BQ90" s="215">
        <f ca="1">IF($D90&lt;&gt;"Serviço",0,IF(AND(AUTOEVENTO="Manual",$M90=1),0,IF(OFFSET(CRONOPLE!$F$14,$M90,BQ$13)="",10^12,OFFSET(CRONOPLE!$F$14,$M90,BQ$13))))</f>
        <v>1000000000000</v>
      </c>
      <c r="BR90" s="215">
        <f ca="1">IF($D90&lt;&gt;"Serviço",0,IF(AND(AUTOEVENTO="Manual",$M90=1),0,IF(OFFSET(CRONOPLE!$F$14,$M90,BR$13)="",10^12,OFFSET(CRONOPLE!$F$14,$M90,BR$13))))</f>
        <v>1000000000000</v>
      </c>
      <c r="BS90" s="215">
        <f ca="1">IF($D90&lt;&gt;"Serviço",0,IF(AND(AUTOEVENTO="Manual",$M90=1),0,IF(OFFSET(CRONOPLE!$F$14,$M90,BS$13)="",10^12,OFFSET(CRONOPLE!$F$14,$M90,BS$13))))</f>
        <v>1000000000000</v>
      </c>
      <c r="BT90" s="215">
        <f ca="1">IF($D90&lt;&gt;"Serviço",0,IF(AND(AUTOEVENTO="Manual",$M90=1),0,IF(OFFSET(CRONOPLE!$F$14,$M90,BT$13)="",10^12,OFFSET(CRONOPLE!$F$14,$M90,BT$13))))</f>
        <v>1000000000000</v>
      </c>
      <c r="BV90" s="216">
        <f ca="1">IF($D90&lt;&gt;"Serviço",0,IF(OR(AND(AUTOEVENTO="Manual",$M90=1),$M90&gt;(ROW(PLE.lastrow)-ROW(PLE.firstrow))),0,IF(OFFSET(PLE!$G$14,$M90,BV$13)="",10^12,OFFSET(PLE!$G$14,$M90,BV$13))))</f>
        <v>1000000000000</v>
      </c>
      <c r="BW90" s="216">
        <f ca="1">IF($D90&lt;&gt;"Serviço",0,IF(OR(AND(AUTOEVENTO="Manual",$M90=1),$M90&gt;(ROW(PLE.lastrow)-ROW(PLE.firstrow))),0,IF(OFFSET(PLE!$G$14,$M90,BW$13)="",10^12,OFFSET(PLE!$G$14,$M90,BW$13))))</f>
        <v>1000000000000</v>
      </c>
      <c r="BX90" s="216">
        <f ca="1">IF($D90&lt;&gt;"Serviço",0,IF(OR(AND(AUTOEVENTO="Manual",$M90=1),$M90&gt;(ROW(PLE.lastrow)-ROW(PLE.firstrow))),0,IF(OFFSET(PLE!$G$14,$M90,BX$13)="",10^12,OFFSET(PLE!$G$14,$M90,BX$13))))</f>
        <v>1000000000000</v>
      </c>
      <c r="BY90" s="216">
        <f ca="1">IF($D90&lt;&gt;"Serviço",0,IF(OR(AND(AUTOEVENTO="Manual",$M90=1),$M90&gt;(ROW(PLE.lastrow)-ROW(PLE.firstrow))),0,IF(OFFSET(PLE!$G$14,$M90,BY$13)="",10^12,OFFSET(PLE!$G$14,$M90,BY$13))))</f>
        <v>1000000000000</v>
      </c>
      <c r="BZ90" s="216">
        <f ca="1">IF($D90&lt;&gt;"Serviço",0,IF(OR(AND(AUTOEVENTO="Manual",$M90=1),$M90&gt;(ROW(PLE.lastrow)-ROW(PLE.firstrow))),0,IF(OFFSET(PLE!$G$14,$M90,BZ$13)="",10^12,OFFSET(PLE!$G$14,$M90,BZ$13))))</f>
        <v>1000000000000</v>
      </c>
      <c r="CA90" s="216">
        <f ca="1">IF($D90&lt;&gt;"Serviço",0,IF(OR(AND(AUTOEVENTO="Manual",$M90=1),$M90&gt;(ROW(PLE.lastrow)-ROW(PLE.firstrow))),0,IF(OFFSET(PLE!$G$14,$M90,CA$13)="",10^12,OFFSET(PLE!$G$14,$M90,CA$13))))</f>
        <v>1000000000000</v>
      </c>
      <c r="CB90" s="216">
        <f ca="1">IF($D90&lt;&gt;"Serviço",0,IF(OR(AND(AUTOEVENTO="Manual",$M90=1),$M90&gt;(ROW(PLE.lastrow)-ROW(PLE.firstrow))),0,IF(OFFSET(PLE!$G$14,$M90,CB$13)="",10^12,OFFSET(PLE!$G$14,$M90,CB$13))))</f>
        <v>1000000000000</v>
      </c>
      <c r="CC90" s="216">
        <f ca="1">IF($D90&lt;&gt;"Serviço",0,IF(OR(AND(AUTOEVENTO="Manual",$M90=1),$M90&gt;(ROW(PLE.lastrow)-ROW(PLE.firstrow))),0,IF(OFFSET(PLE!$G$14,$M90,CC$13)="",10^12,OFFSET(PLE!$G$14,$M90,CC$13))))</f>
        <v>1000000000000</v>
      </c>
      <c r="CD90" s="216">
        <f ca="1">IF($D90&lt;&gt;"Serviço",0,IF(OR(AND(AUTOEVENTO="Manual",$M90=1),$M90&gt;(ROW(PLE.lastrow)-ROW(PLE.firstrow))),0,IF(OFFSET(PLE!$G$14,$M90,CD$13)="",10^12,OFFSET(PLE!$G$14,$M90,CD$13))))</f>
        <v>1000000000000</v>
      </c>
      <c r="CE90" s="216">
        <f ca="1">IF($D90&lt;&gt;"Serviço",0,IF(OR(AND(AUTOEVENTO="Manual",$M90=1),$M90&gt;(ROW(PLE.lastrow)-ROW(PLE.firstrow))),0,IF(OFFSET(PLE!$G$14,$M90,CE$13)="",10^12,OFFSET(PLE!$G$14,$M90,CE$13))))</f>
        <v>1000000000000</v>
      </c>
      <c r="CF90" s="216">
        <f ca="1">IF($D90&lt;&gt;"Serviço",0,IF(OR(AND(AUTOEVENTO="Manual",$M90=1),$M90&gt;(ROW(PLE.lastrow)-ROW(PLE.firstrow))),0,IF(OFFSET(PLE!$G$14,$M90,CF$13)="",10^12,OFFSET(PLE!$G$14,$M90,CF$13))))</f>
        <v>1000000000000</v>
      </c>
      <c r="CG90" s="216">
        <f ca="1">IF($D90&lt;&gt;"Serviço",0,IF(OR(AND(AUTOEVENTO="Manual",$M90=1),$M90&gt;(ROW(PLE.lastrow)-ROW(PLE.firstrow))),0,IF(OFFSET(PLE!$G$14,$M90,CG$13)="",10^12,OFFSET(PLE!$G$14,$M90,CG$13))))</f>
        <v>1000000000000</v>
      </c>
      <c r="CH90" s="216">
        <f ca="1">IF($D90&lt;&gt;"Serviço",0,IF(OR(AND(AUTOEVENTO="Manual",$M90=1),$M90&gt;(ROW(PLE.lastrow)-ROW(PLE.firstrow))),0,IF(OFFSET(PLE!$G$14,$M90,CH$13)="",10^12,OFFSET(PLE!$G$14,$M90,CH$13))))</f>
        <v>1000000000000</v>
      </c>
      <c r="CI90" s="216">
        <f ca="1">IF($D90&lt;&gt;"Serviço",0,IF(OR(AND(AUTOEVENTO="Manual",$M90=1),$M90&gt;(ROW(PLE.lastrow)-ROW(PLE.firstrow))),0,IF(OFFSET(PLE!$G$14,$M90,CI$13)="",10^12,OFFSET(PLE!$G$14,$M90,CI$13))))</f>
        <v>1000000000000</v>
      </c>
      <c r="CJ90" s="216">
        <f ca="1">IF($D90&lt;&gt;"Serviço",0,IF(OR(AND(AUTOEVENTO="Manual",$M90=1),$M90&gt;(ROW(PLE.lastrow)-ROW(PLE.firstrow))),0,IF(OFFSET(PLE!$G$14,$M90,CJ$13)="",10^12,OFFSET(PLE!$G$14,$M90,CJ$13))))</f>
        <v>1000000000000</v>
      </c>
      <c r="CK90" s="216">
        <f ca="1">IF($D90&lt;&gt;"Serviço",0,IF(OR(AND(AUTOEVENTO="Manual",$M90=1),$M90&gt;(ROW(PLE.lastrow)-ROW(PLE.firstrow))),0,IF(OFFSET(PLE!$G$14,$M90,CK$13)="",10^12,OFFSET(PLE!$G$14,$M90,CK$13))))</f>
        <v>1000000000000</v>
      </c>
      <c r="CL90" s="216">
        <f ca="1">IF($D90&lt;&gt;"Serviço",0,IF(OR(AND(AUTOEVENTO="Manual",$M90=1),$M90&gt;(ROW(PLE.lastrow)-ROW(PLE.firstrow))),0,IF(OFFSET(PLE!$G$14,$M90,CL$13)="",10^12,OFFSET(PLE!$G$14,$M90,CL$13))))</f>
        <v>1000000000000</v>
      </c>
      <c r="CM90" s="216">
        <f ca="1">IF($D90&lt;&gt;"Serviço",0,IF(OR(AND(AUTOEVENTO="Manual",$M90=1),$M90&gt;(ROW(PLE.lastrow)-ROW(PLE.firstrow))),0,IF(OFFSET(PLE!$G$14,$M90,CM$13)="",10^12,OFFSET(PLE!$G$14,$M90,CM$13))))</f>
        <v>1000000000000</v>
      </c>
    </row>
    <row r="91" spans="1:91" ht="13.2" x14ac:dyDescent="0.25">
      <c r="A91" s="9">
        <f t="shared" ca="1" si="10"/>
        <v>0</v>
      </c>
      <c r="B91" s="9" t="str">
        <f ca="1">OFFSET(ORÇAMENTO!C$15,ROW(B91)-ROW(B$15),0)</f>
        <v>S</v>
      </c>
      <c r="C91" s="9" t="str">
        <f ca="1">OFFSET(ORÇAMENTO!L$15,ROW(C91)-ROW(C$15),0)</f>
        <v/>
      </c>
      <c r="D91" s="145" t="str">
        <f ca="1">OFFSET(ORÇAMENTO!N$15,ROW(D91)-ROW(D$15),0)</f>
        <v>Serviço</v>
      </c>
      <c r="E91" s="205" t="str">
        <f ca="1">OFFSET(ORÇAMENTO!O$15,ROW(E91)-ROW(E$15),0)</f>
        <v>-</v>
      </c>
      <c r="F91" s="206" t="str">
        <f ca="1">OFFSET(ORÇAMENTO!R$15,ROW(F91)-ROW(F$15),0)</f>
        <v>(abra o arquivo 'Referência 05-2024.xls)</v>
      </c>
      <c r="G91" s="207" t="str">
        <f ca="1">IF($D91&lt;&gt;"Serviço","",OFFSET(ORÇAMENTO!S$15,ROW(G91)-ROW(G$15),0))</f>
        <v>-</v>
      </c>
      <c r="H91" s="151">
        <f ca="1">IF($D91&lt;&gt;"Serviço",0,IF(ACOMPANHAMENTO="BM",ROUND(OFFSET(ORÇAMENTO!AJ$15,ROW(H91)-ROW(H$15),0),15-13*ORÇAMENTO!$AF$7),SUMPRODUCT(($Q$12:$AI$12&lt;&gt;"")*ROUND($Q91:$AI91,15-13*ORÇAMENTO!$AF$7))))</f>
        <v>0.96</v>
      </c>
      <c r="I91" s="650"/>
      <c r="K91" s="208"/>
      <c r="L91" s="209" t="s">
        <v>257</v>
      </c>
      <c r="M91" s="210">
        <f ca="1">IF($D91&lt;&gt;"Serviço","",IF(AUTOEVENTO="manual",$A91,IF(ISERROR(MATCH($A91,$A$15:OFFSET($A91,-1,0),0)),MAX($M$15:OFFSET(M91,-1,0))+1,INDEX($M$15:OFFSET(M91,-1,0),MATCH($A91,$A$15:OFFSET($A91,-1,0),0)))))</f>
        <v>0</v>
      </c>
      <c r="N91" s="211" t="str">
        <f ca="1">IF($D91&lt;&gt;"Serviço","",IF(AUTOEVENTO="Manual",IF($A91=0,"&lt;-- defina o número do agrupador",OFFSET(EVENTOS!$D$14,$A91,0)),OFFSET($F$15,$A91,0)))</f>
        <v>&lt;-- defina o número do agrupador</v>
      </c>
      <c r="O91" s="212"/>
      <c r="Q91" s="212"/>
      <c r="R91" s="213"/>
      <c r="S91" s="213"/>
      <c r="T91" s="213"/>
      <c r="U91" s="213"/>
      <c r="V91" s="213"/>
      <c r="W91" s="213"/>
      <c r="X91" s="213"/>
      <c r="Y91" s="213"/>
      <c r="Z91" s="214"/>
      <c r="AA91" s="213"/>
      <c r="AB91" s="213"/>
      <c r="AC91" s="213"/>
      <c r="AD91" s="213"/>
      <c r="AE91" s="213"/>
      <c r="AF91" s="213"/>
      <c r="AG91" s="213"/>
      <c r="AH91" s="214"/>
      <c r="AJ91" s="631">
        <f ca="1">IF(AND($D91="Serviço",AJ$12&lt;&gt;0,$H91&gt;0,OR(AUTOEVENTO&lt;&gt;"manual",$M91&lt;&gt;1)),ROUND(OFFSET($P91,0,AJ$13),15-13*ORÇAMENTO!$AF$7)/$H91*OFFSET(ORÇAMENTO!$X$15,ROW(AJ91)-ROW(AJ$15),0),0)</f>
        <v>0</v>
      </c>
      <c r="AK91" s="632">
        <f ca="1">IF(AND($D91="Serviço",AK$12&lt;&gt;0,$H91&gt;0,OR(AUTOEVENTO&lt;&gt;"manual",$M91&lt;&gt;1)),ROUND(OFFSET($P91,0,AK$13),15-13*ORÇAMENTO!$AF$7)/$H91*OFFSET(ORÇAMENTO!$X$15,ROW(AK91)-ROW(AK$15),0),0)</f>
        <v>0</v>
      </c>
      <c r="AL91" s="632">
        <f ca="1">IF(AND($D91="Serviço",AL$12&lt;&gt;0,$H91&gt;0,OR(AUTOEVENTO&lt;&gt;"manual",$M91&lt;&gt;1)),ROUND(OFFSET($P91,0,AL$13),15-13*ORÇAMENTO!$AF$7)/$H91*OFFSET(ORÇAMENTO!$X$15,ROW(AL91)-ROW(AL$15),0),0)</f>
        <v>0</v>
      </c>
      <c r="AM91" s="632">
        <f ca="1">IF(AND($D91="Serviço",AM$12&lt;&gt;0,$H91&gt;0,OR(AUTOEVENTO&lt;&gt;"manual",$M91&lt;&gt;1)),ROUND(OFFSET($P91,0,AM$13),15-13*ORÇAMENTO!$AF$7)/$H91*OFFSET(ORÇAMENTO!$X$15,ROW(AM91)-ROW(AM$15),0),0)</f>
        <v>0</v>
      </c>
      <c r="AN91" s="632">
        <f ca="1">IF(AND($D91="Serviço",AN$12&lt;&gt;0,$H91&gt;0,OR(AUTOEVENTO&lt;&gt;"manual",$M91&lt;&gt;1)),ROUND(OFFSET($P91,0,AN$13),15-13*ORÇAMENTO!$AF$7)/$H91*OFFSET(ORÇAMENTO!$X$15,ROW(AN91)-ROW(AN$15),0),0)</f>
        <v>0</v>
      </c>
      <c r="AO91" s="632">
        <f ca="1">IF(AND($D91="Serviço",AO$12&lt;&gt;0,$H91&gt;0,OR(AUTOEVENTO&lt;&gt;"manual",$M91&lt;&gt;1)),ROUND(OFFSET($P91,0,AO$13),15-13*ORÇAMENTO!$AF$7)/$H91*OFFSET(ORÇAMENTO!$X$15,ROW(AO91)-ROW(AO$15),0),0)</f>
        <v>0</v>
      </c>
      <c r="AP91" s="632">
        <f ca="1">IF(AND($D91="Serviço",AP$12&lt;&gt;0,$H91&gt;0,OR(AUTOEVENTO&lt;&gt;"manual",$M91&lt;&gt;1)),ROUND(OFFSET($P91,0,AP$13),15-13*ORÇAMENTO!$AF$7)/$H91*OFFSET(ORÇAMENTO!$X$15,ROW(AP91)-ROW(AP$15),0),0)</f>
        <v>0</v>
      </c>
      <c r="AQ91" s="632">
        <f ca="1">IF(AND($D91="Serviço",AQ$12&lt;&gt;0,$H91&gt;0,OR(AUTOEVENTO&lt;&gt;"manual",$M91&lt;&gt;1)),ROUND(OFFSET($P91,0,AQ$13),15-13*ORÇAMENTO!$AF$7)/$H91*OFFSET(ORÇAMENTO!$X$15,ROW(AQ91)-ROW(AQ$15),0),0)</f>
        <v>0</v>
      </c>
      <c r="AR91" s="632">
        <f ca="1">IF(AND($D91="Serviço",AR$12&lt;&gt;0,$H91&gt;0,OR(AUTOEVENTO&lt;&gt;"manual",$M91&lt;&gt;1)),ROUND(OFFSET($P91,0,AR$13),15-13*ORÇAMENTO!$AF$7)/$H91*OFFSET(ORÇAMENTO!$X$15,ROW(AR91)-ROW(AR$15),0),0)</f>
        <v>0</v>
      </c>
      <c r="AS91" s="633">
        <f ca="1">IF(AND($D91="Serviço",AS$12&lt;&gt;0,$H91&gt;0,OR(AUTOEVENTO&lt;&gt;"manual",$M91&lt;&gt;1)),ROUND(OFFSET($P91,0,AS$13),15-13*ORÇAMENTO!$AF$7)/$H91*OFFSET(ORÇAMENTO!$X$15,ROW(AS91)-ROW(AS$15),0),0)</f>
        <v>0</v>
      </c>
      <c r="AT91" s="632">
        <f ca="1">IF(AND($D91="Serviço",AT$12&lt;&gt;0,$H91&gt;0,OR(AUTOEVENTO&lt;&gt;"manual",$M91&lt;&gt;1)),ROUND(OFFSET($P91,0,AT$13),15-13*ORÇAMENTO!$AF$7)/$H91*OFFSET(ORÇAMENTO!$X$15,ROW(AT91)-ROW(AT$15),0),0)</f>
        <v>0</v>
      </c>
      <c r="AU91" s="632">
        <f ca="1">IF(AND($D91="Serviço",AU$12&lt;&gt;0,$H91&gt;0,OR(AUTOEVENTO&lt;&gt;"manual",$M91&lt;&gt;1)),ROUND(OFFSET($P91,0,AU$13),15-13*ORÇAMENTO!$AF$7)/$H91*OFFSET(ORÇAMENTO!$X$15,ROW(AU91)-ROW(AU$15),0),0)</f>
        <v>0</v>
      </c>
      <c r="AV91" s="632">
        <f ca="1">IF(AND($D91="Serviço",AV$12&lt;&gt;0,$H91&gt;0,OR(AUTOEVENTO&lt;&gt;"manual",$M91&lt;&gt;1)),ROUND(OFFSET($P91,0,AV$13),15-13*ORÇAMENTO!$AF$7)/$H91*OFFSET(ORÇAMENTO!$X$15,ROW(AV91)-ROW(AV$15),0),0)</f>
        <v>0</v>
      </c>
      <c r="AW91" s="632">
        <f ca="1">IF(AND($D91="Serviço",AW$12&lt;&gt;0,$H91&gt;0,OR(AUTOEVENTO&lt;&gt;"manual",$M91&lt;&gt;1)),ROUND(OFFSET($P91,0,AW$13),15-13*ORÇAMENTO!$AF$7)/$H91*OFFSET(ORÇAMENTO!$X$15,ROW(AW91)-ROW(AW$15),0),0)</f>
        <v>0</v>
      </c>
      <c r="AX91" s="632">
        <f ca="1">IF(AND($D91="Serviço",AX$12&lt;&gt;0,$H91&gt;0,OR(AUTOEVENTO&lt;&gt;"manual",$M91&lt;&gt;1)),ROUND(OFFSET($P91,0,AX$13),15-13*ORÇAMENTO!$AF$7)/$H91*OFFSET(ORÇAMENTO!$X$15,ROW(AX91)-ROW(AX$15),0),0)</f>
        <v>0</v>
      </c>
      <c r="AY91" s="632">
        <f ca="1">IF(AND($D91="Serviço",AY$12&lt;&gt;0,$H91&gt;0,OR(AUTOEVENTO&lt;&gt;"manual",$M91&lt;&gt;1)),ROUND(OFFSET($P91,0,AY$13),15-13*ORÇAMENTO!$AF$7)/$H91*OFFSET(ORÇAMENTO!$X$15,ROW(AY91)-ROW(AY$15),0),0)</f>
        <v>0</v>
      </c>
      <c r="AZ91" s="632">
        <f ca="1">IF(AND($D91="Serviço",AZ$12&lt;&gt;0,$H91&gt;0,OR(AUTOEVENTO&lt;&gt;"manual",$M91&lt;&gt;1)),ROUND(OFFSET($P91,0,AZ$13),15-13*ORÇAMENTO!$AF$7)/$H91*OFFSET(ORÇAMENTO!$X$15,ROW(AZ91)-ROW(AZ$15),0),0)</f>
        <v>0</v>
      </c>
      <c r="BA91" s="633">
        <f ca="1">IF(AND($D91="Serviço",BA$12&lt;&gt;0,$H91&gt;0,OR(AUTOEVENTO&lt;&gt;"manual",$M91&lt;&gt;1)),ROUND(OFFSET($P91,0,BA$13),15-13*ORÇAMENTO!$AF$7)/$H91*OFFSET(ORÇAMENTO!$X$15,ROW(BA91)-ROW(BA$15),0),0)</f>
        <v>0</v>
      </c>
      <c r="BC91" s="215">
        <f ca="1">IF($D91&lt;&gt;"Serviço",0,IF(AND(AUTOEVENTO="Manual",$M91=1),0,IF(OFFSET(CRONOPLE!$F$14,$M91,BC$13)="",10^12,OFFSET(CRONOPLE!$F$14,$M91,BC$13))))</f>
        <v>1000000000000</v>
      </c>
      <c r="BD91" s="215">
        <f ca="1">IF($D91&lt;&gt;"Serviço",0,IF(AND(AUTOEVENTO="Manual",$M91=1),0,IF(OFFSET(CRONOPLE!$F$14,$M91,BD$13)="",10^12,OFFSET(CRONOPLE!$F$14,$M91,BD$13))))</f>
        <v>1000000000000</v>
      </c>
      <c r="BE91" s="215">
        <f ca="1">IF($D91&lt;&gt;"Serviço",0,IF(AND(AUTOEVENTO="Manual",$M91=1),0,IF(OFFSET(CRONOPLE!$F$14,$M91,BE$13)="",10^12,OFFSET(CRONOPLE!$F$14,$M91,BE$13))))</f>
        <v>1000000000000</v>
      </c>
      <c r="BF91" s="215">
        <f ca="1">IF($D91&lt;&gt;"Serviço",0,IF(AND(AUTOEVENTO="Manual",$M91=1),0,IF(OFFSET(CRONOPLE!$F$14,$M91,BF$13)="",10^12,OFFSET(CRONOPLE!$F$14,$M91,BF$13))))</f>
        <v>1000000000000</v>
      </c>
      <c r="BG91" s="215">
        <f ca="1">IF($D91&lt;&gt;"Serviço",0,IF(AND(AUTOEVENTO="Manual",$M91=1),0,IF(OFFSET(CRONOPLE!$F$14,$M91,BG$13)="",10^12,OFFSET(CRONOPLE!$F$14,$M91,BG$13))))</f>
        <v>1000000000000</v>
      </c>
      <c r="BH91" s="215">
        <f ca="1">IF($D91&lt;&gt;"Serviço",0,IF(AND(AUTOEVENTO="Manual",$M91=1),0,IF(OFFSET(CRONOPLE!$F$14,$M91,BH$13)="",10^12,OFFSET(CRONOPLE!$F$14,$M91,BH$13))))</f>
        <v>1000000000000</v>
      </c>
      <c r="BI91" s="215">
        <f ca="1">IF($D91&lt;&gt;"Serviço",0,IF(AND(AUTOEVENTO="Manual",$M91=1),0,IF(OFFSET(CRONOPLE!$F$14,$M91,BI$13)="",10^12,OFFSET(CRONOPLE!$F$14,$M91,BI$13))))</f>
        <v>1000000000000</v>
      </c>
      <c r="BJ91" s="215">
        <f ca="1">IF($D91&lt;&gt;"Serviço",0,IF(AND(AUTOEVENTO="Manual",$M91=1),0,IF(OFFSET(CRONOPLE!$F$14,$M91,BJ$13)="",10^12,OFFSET(CRONOPLE!$F$14,$M91,BJ$13))))</f>
        <v>1000000000000</v>
      </c>
      <c r="BK91" s="215">
        <f ca="1">IF($D91&lt;&gt;"Serviço",0,IF(AND(AUTOEVENTO="Manual",$M91=1),0,IF(OFFSET(CRONOPLE!$F$14,$M91,BK$13)="",10^12,OFFSET(CRONOPLE!$F$14,$M91,BK$13))))</f>
        <v>1000000000000</v>
      </c>
      <c r="BL91" s="215">
        <f ca="1">IF($D91&lt;&gt;"Serviço",0,IF(AND(AUTOEVENTO="Manual",$M91=1),0,IF(OFFSET(CRONOPLE!$F$14,$M91,BL$13)="",10^12,OFFSET(CRONOPLE!$F$14,$M91,BL$13))))</f>
        <v>1000000000000</v>
      </c>
      <c r="BM91" s="215">
        <f ca="1">IF($D91&lt;&gt;"Serviço",0,IF(AND(AUTOEVENTO="Manual",$M91=1),0,IF(OFFSET(CRONOPLE!$F$14,$M91,BM$13)="",10^12,OFFSET(CRONOPLE!$F$14,$M91,BM$13))))</f>
        <v>1000000000000</v>
      </c>
      <c r="BN91" s="215">
        <f ca="1">IF($D91&lt;&gt;"Serviço",0,IF(AND(AUTOEVENTO="Manual",$M91=1),0,IF(OFFSET(CRONOPLE!$F$14,$M91,BN$13)="",10^12,OFFSET(CRONOPLE!$F$14,$M91,BN$13))))</f>
        <v>1000000000000</v>
      </c>
      <c r="BO91" s="215">
        <f ca="1">IF($D91&lt;&gt;"Serviço",0,IF(AND(AUTOEVENTO="Manual",$M91=1),0,IF(OFFSET(CRONOPLE!$F$14,$M91,BO$13)="",10^12,OFFSET(CRONOPLE!$F$14,$M91,BO$13))))</f>
        <v>1000000000000</v>
      </c>
      <c r="BP91" s="215">
        <f ca="1">IF($D91&lt;&gt;"Serviço",0,IF(AND(AUTOEVENTO="Manual",$M91=1),0,IF(OFFSET(CRONOPLE!$F$14,$M91,BP$13)="",10^12,OFFSET(CRONOPLE!$F$14,$M91,BP$13))))</f>
        <v>1000000000000</v>
      </c>
      <c r="BQ91" s="215">
        <f ca="1">IF($D91&lt;&gt;"Serviço",0,IF(AND(AUTOEVENTO="Manual",$M91=1),0,IF(OFFSET(CRONOPLE!$F$14,$M91,BQ$13)="",10^12,OFFSET(CRONOPLE!$F$14,$M91,BQ$13))))</f>
        <v>1000000000000</v>
      </c>
      <c r="BR91" s="215">
        <f ca="1">IF($D91&lt;&gt;"Serviço",0,IF(AND(AUTOEVENTO="Manual",$M91=1),0,IF(OFFSET(CRONOPLE!$F$14,$M91,BR$13)="",10^12,OFFSET(CRONOPLE!$F$14,$M91,BR$13))))</f>
        <v>1000000000000</v>
      </c>
      <c r="BS91" s="215">
        <f ca="1">IF($D91&lt;&gt;"Serviço",0,IF(AND(AUTOEVENTO="Manual",$M91=1),0,IF(OFFSET(CRONOPLE!$F$14,$M91,BS$13)="",10^12,OFFSET(CRONOPLE!$F$14,$M91,BS$13))))</f>
        <v>1000000000000</v>
      </c>
      <c r="BT91" s="215">
        <f ca="1">IF($D91&lt;&gt;"Serviço",0,IF(AND(AUTOEVENTO="Manual",$M91=1),0,IF(OFFSET(CRONOPLE!$F$14,$M91,BT$13)="",10^12,OFFSET(CRONOPLE!$F$14,$M91,BT$13))))</f>
        <v>1000000000000</v>
      </c>
      <c r="BV91" s="216">
        <f ca="1">IF($D91&lt;&gt;"Serviço",0,IF(OR(AND(AUTOEVENTO="Manual",$M91=1),$M91&gt;(ROW(PLE.lastrow)-ROW(PLE.firstrow))),0,IF(OFFSET(PLE!$G$14,$M91,BV$13)="",10^12,OFFSET(PLE!$G$14,$M91,BV$13))))</f>
        <v>1000000000000</v>
      </c>
      <c r="BW91" s="216">
        <f ca="1">IF($D91&lt;&gt;"Serviço",0,IF(OR(AND(AUTOEVENTO="Manual",$M91=1),$M91&gt;(ROW(PLE.lastrow)-ROW(PLE.firstrow))),0,IF(OFFSET(PLE!$G$14,$M91,BW$13)="",10^12,OFFSET(PLE!$G$14,$M91,BW$13))))</f>
        <v>1000000000000</v>
      </c>
      <c r="BX91" s="216">
        <f ca="1">IF($D91&lt;&gt;"Serviço",0,IF(OR(AND(AUTOEVENTO="Manual",$M91=1),$M91&gt;(ROW(PLE.lastrow)-ROW(PLE.firstrow))),0,IF(OFFSET(PLE!$G$14,$M91,BX$13)="",10^12,OFFSET(PLE!$G$14,$M91,BX$13))))</f>
        <v>1000000000000</v>
      </c>
      <c r="BY91" s="216">
        <f ca="1">IF($D91&lt;&gt;"Serviço",0,IF(OR(AND(AUTOEVENTO="Manual",$M91=1),$M91&gt;(ROW(PLE.lastrow)-ROW(PLE.firstrow))),0,IF(OFFSET(PLE!$G$14,$M91,BY$13)="",10^12,OFFSET(PLE!$G$14,$M91,BY$13))))</f>
        <v>1000000000000</v>
      </c>
      <c r="BZ91" s="216">
        <f ca="1">IF($D91&lt;&gt;"Serviço",0,IF(OR(AND(AUTOEVENTO="Manual",$M91=1),$M91&gt;(ROW(PLE.lastrow)-ROW(PLE.firstrow))),0,IF(OFFSET(PLE!$G$14,$M91,BZ$13)="",10^12,OFFSET(PLE!$G$14,$M91,BZ$13))))</f>
        <v>1000000000000</v>
      </c>
      <c r="CA91" s="216">
        <f ca="1">IF($D91&lt;&gt;"Serviço",0,IF(OR(AND(AUTOEVENTO="Manual",$M91=1),$M91&gt;(ROW(PLE.lastrow)-ROW(PLE.firstrow))),0,IF(OFFSET(PLE!$G$14,$M91,CA$13)="",10^12,OFFSET(PLE!$G$14,$M91,CA$13))))</f>
        <v>1000000000000</v>
      </c>
      <c r="CB91" s="216">
        <f ca="1">IF($D91&lt;&gt;"Serviço",0,IF(OR(AND(AUTOEVENTO="Manual",$M91=1),$M91&gt;(ROW(PLE.lastrow)-ROW(PLE.firstrow))),0,IF(OFFSET(PLE!$G$14,$M91,CB$13)="",10^12,OFFSET(PLE!$G$14,$M91,CB$13))))</f>
        <v>1000000000000</v>
      </c>
      <c r="CC91" s="216">
        <f ca="1">IF($D91&lt;&gt;"Serviço",0,IF(OR(AND(AUTOEVENTO="Manual",$M91=1),$M91&gt;(ROW(PLE.lastrow)-ROW(PLE.firstrow))),0,IF(OFFSET(PLE!$G$14,$M91,CC$13)="",10^12,OFFSET(PLE!$G$14,$M91,CC$13))))</f>
        <v>1000000000000</v>
      </c>
      <c r="CD91" s="216">
        <f ca="1">IF($D91&lt;&gt;"Serviço",0,IF(OR(AND(AUTOEVENTO="Manual",$M91=1),$M91&gt;(ROW(PLE.lastrow)-ROW(PLE.firstrow))),0,IF(OFFSET(PLE!$G$14,$M91,CD$13)="",10^12,OFFSET(PLE!$G$14,$M91,CD$13))))</f>
        <v>1000000000000</v>
      </c>
      <c r="CE91" s="216">
        <f ca="1">IF($D91&lt;&gt;"Serviço",0,IF(OR(AND(AUTOEVENTO="Manual",$M91=1),$M91&gt;(ROW(PLE.lastrow)-ROW(PLE.firstrow))),0,IF(OFFSET(PLE!$G$14,$M91,CE$13)="",10^12,OFFSET(PLE!$G$14,$M91,CE$13))))</f>
        <v>1000000000000</v>
      </c>
      <c r="CF91" s="216">
        <f ca="1">IF($D91&lt;&gt;"Serviço",0,IF(OR(AND(AUTOEVENTO="Manual",$M91=1),$M91&gt;(ROW(PLE.lastrow)-ROW(PLE.firstrow))),0,IF(OFFSET(PLE!$G$14,$M91,CF$13)="",10^12,OFFSET(PLE!$G$14,$M91,CF$13))))</f>
        <v>1000000000000</v>
      </c>
      <c r="CG91" s="216">
        <f ca="1">IF($D91&lt;&gt;"Serviço",0,IF(OR(AND(AUTOEVENTO="Manual",$M91=1),$M91&gt;(ROW(PLE.lastrow)-ROW(PLE.firstrow))),0,IF(OFFSET(PLE!$G$14,$M91,CG$13)="",10^12,OFFSET(PLE!$G$14,$M91,CG$13))))</f>
        <v>1000000000000</v>
      </c>
      <c r="CH91" s="216">
        <f ca="1">IF($D91&lt;&gt;"Serviço",0,IF(OR(AND(AUTOEVENTO="Manual",$M91=1),$M91&gt;(ROW(PLE.lastrow)-ROW(PLE.firstrow))),0,IF(OFFSET(PLE!$G$14,$M91,CH$13)="",10^12,OFFSET(PLE!$G$14,$M91,CH$13))))</f>
        <v>1000000000000</v>
      </c>
      <c r="CI91" s="216">
        <f ca="1">IF($D91&lt;&gt;"Serviço",0,IF(OR(AND(AUTOEVENTO="Manual",$M91=1),$M91&gt;(ROW(PLE.lastrow)-ROW(PLE.firstrow))),0,IF(OFFSET(PLE!$G$14,$M91,CI$13)="",10^12,OFFSET(PLE!$G$14,$M91,CI$13))))</f>
        <v>1000000000000</v>
      </c>
      <c r="CJ91" s="216">
        <f ca="1">IF($D91&lt;&gt;"Serviço",0,IF(OR(AND(AUTOEVENTO="Manual",$M91=1),$M91&gt;(ROW(PLE.lastrow)-ROW(PLE.firstrow))),0,IF(OFFSET(PLE!$G$14,$M91,CJ$13)="",10^12,OFFSET(PLE!$G$14,$M91,CJ$13))))</f>
        <v>1000000000000</v>
      </c>
      <c r="CK91" s="216">
        <f ca="1">IF($D91&lt;&gt;"Serviço",0,IF(OR(AND(AUTOEVENTO="Manual",$M91=1),$M91&gt;(ROW(PLE.lastrow)-ROW(PLE.firstrow))),0,IF(OFFSET(PLE!$G$14,$M91,CK$13)="",10^12,OFFSET(PLE!$G$14,$M91,CK$13))))</f>
        <v>1000000000000</v>
      </c>
      <c r="CL91" s="216">
        <f ca="1">IF($D91&lt;&gt;"Serviço",0,IF(OR(AND(AUTOEVENTO="Manual",$M91=1),$M91&gt;(ROW(PLE.lastrow)-ROW(PLE.firstrow))),0,IF(OFFSET(PLE!$G$14,$M91,CL$13)="",10^12,OFFSET(PLE!$G$14,$M91,CL$13))))</f>
        <v>1000000000000</v>
      </c>
      <c r="CM91" s="216">
        <f ca="1">IF($D91&lt;&gt;"Serviço",0,IF(OR(AND(AUTOEVENTO="Manual",$M91=1),$M91&gt;(ROW(PLE.lastrow)-ROW(PLE.firstrow))),0,IF(OFFSET(PLE!$G$14,$M91,CM$13)="",10^12,OFFSET(PLE!$G$14,$M91,CM$13))))</f>
        <v>1000000000000</v>
      </c>
    </row>
    <row r="92" spans="1:91" ht="13.2" x14ac:dyDescent="0.25">
      <c r="A92" s="9">
        <f t="shared" ca="1" si="10"/>
        <v>0</v>
      </c>
      <c r="B92" s="9">
        <f ca="1">OFFSET(ORÇAMENTO!C$15,ROW(B92)-ROW(B$15),0)</f>
        <v>2</v>
      </c>
      <c r="C92" s="9" t="str">
        <f ca="1">OFFSET(ORÇAMENTO!L$15,ROW(C92)-ROW(C$15),0)</f>
        <v>F</v>
      </c>
      <c r="D92" s="145" t="str">
        <f ca="1">OFFSET(ORÇAMENTO!N$15,ROW(D92)-ROW(D$15),0)</f>
        <v>Nível 2</v>
      </c>
      <c r="E92" s="205" t="str">
        <f ca="1">OFFSET(ORÇAMENTO!O$15,ROW(E92)-ROW(E$15),0)</f>
        <v>1.4.</v>
      </c>
      <c r="F92" s="206" t="str">
        <f ca="1">OFFSET(ORÇAMENTO!R$15,ROW(F92)-ROW(F$15),0)</f>
        <v xml:space="preserve">SUPERESTRUTURA </v>
      </c>
      <c r="G92" s="207" t="str">
        <f ca="1">IF($D92&lt;&gt;"Serviço","",OFFSET(ORÇAMENTO!S$15,ROW(G92)-ROW(G$15),0))</f>
        <v/>
      </c>
      <c r="H92" s="151">
        <f ca="1">IF($D92&lt;&gt;"Serviço",0,IF(ACOMPANHAMENTO="BM",ROUND(OFFSET(ORÇAMENTO!AJ$15,ROW(H92)-ROW(H$15),0),15-13*ORÇAMENTO!$AF$7),SUMPRODUCT(($Q$12:$AI$12&lt;&gt;"")*ROUND($Q92:$AI92,15-13*ORÇAMENTO!$AF$7))))</f>
        <v>0</v>
      </c>
      <c r="I92" s="650"/>
      <c r="K92" s="208"/>
      <c r="L92" s="209" t="s">
        <v>257</v>
      </c>
      <c r="M92" s="210" t="str">
        <f ca="1">IF($D92&lt;&gt;"Serviço","",IF(AUTOEVENTO="manual",$A92,IF(ISERROR(MATCH($A92,$A$15:OFFSET($A92,-1,0),0)),MAX($M$15:OFFSET(M92,-1,0))+1,INDEX($M$15:OFFSET(M92,-1,0),MATCH($A92,$A$15:OFFSET($A92,-1,0),0)))))</f>
        <v/>
      </c>
      <c r="N92" s="211" t="str">
        <f ca="1">IF($D92&lt;&gt;"Serviço","",IF(AUTOEVENTO="Manual",IF($A92=0,"&lt;-- defina o número do agrupador",OFFSET(EVENTOS!$D$14,$A92,0)),OFFSET($F$15,$A92,0)))</f>
        <v/>
      </c>
      <c r="O92" s="212"/>
      <c r="Q92" s="212"/>
      <c r="R92" s="213"/>
      <c r="S92" s="213"/>
      <c r="T92" s="213"/>
      <c r="U92" s="213"/>
      <c r="V92" s="213"/>
      <c r="W92" s="213"/>
      <c r="X92" s="213"/>
      <c r="Y92" s="213"/>
      <c r="Z92" s="214"/>
      <c r="AA92" s="213"/>
      <c r="AB92" s="213"/>
      <c r="AC92" s="213"/>
      <c r="AD92" s="213"/>
      <c r="AE92" s="213"/>
      <c r="AF92" s="213"/>
      <c r="AG92" s="213"/>
      <c r="AH92" s="214"/>
      <c r="AJ92" s="631">
        <f ca="1">IF(AND($D92="Serviço",AJ$12&lt;&gt;0,$H92&gt;0,OR(AUTOEVENTO&lt;&gt;"manual",$M92&lt;&gt;1)),ROUND(OFFSET($P92,0,AJ$13),15-13*ORÇAMENTO!$AF$7)/$H92*OFFSET(ORÇAMENTO!$X$15,ROW(AJ92)-ROW(AJ$15),0),0)</f>
        <v>0</v>
      </c>
      <c r="AK92" s="632">
        <f ca="1">IF(AND($D92="Serviço",AK$12&lt;&gt;0,$H92&gt;0,OR(AUTOEVENTO&lt;&gt;"manual",$M92&lt;&gt;1)),ROUND(OFFSET($P92,0,AK$13),15-13*ORÇAMENTO!$AF$7)/$H92*OFFSET(ORÇAMENTO!$X$15,ROW(AK92)-ROW(AK$15),0),0)</f>
        <v>0</v>
      </c>
      <c r="AL92" s="632">
        <f ca="1">IF(AND($D92="Serviço",AL$12&lt;&gt;0,$H92&gt;0,OR(AUTOEVENTO&lt;&gt;"manual",$M92&lt;&gt;1)),ROUND(OFFSET($P92,0,AL$13),15-13*ORÇAMENTO!$AF$7)/$H92*OFFSET(ORÇAMENTO!$X$15,ROW(AL92)-ROW(AL$15),0),0)</f>
        <v>0</v>
      </c>
      <c r="AM92" s="632">
        <f ca="1">IF(AND($D92="Serviço",AM$12&lt;&gt;0,$H92&gt;0,OR(AUTOEVENTO&lt;&gt;"manual",$M92&lt;&gt;1)),ROUND(OFFSET($P92,0,AM$13),15-13*ORÇAMENTO!$AF$7)/$H92*OFFSET(ORÇAMENTO!$X$15,ROW(AM92)-ROW(AM$15),0),0)</f>
        <v>0</v>
      </c>
      <c r="AN92" s="632">
        <f ca="1">IF(AND($D92="Serviço",AN$12&lt;&gt;0,$H92&gt;0,OR(AUTOEVENTO&lt;&gt;"manual",$M92&lt;&gt;1)),ROUND(OFFSET($P92,0,AN$13),15-13*ORÇAMENTO!$AF$7)/$H92*OFFSET(ORÇAMENTO!$X$15,ROW(AN92)-ROW(AN$15),0),0)</f>
        <v>0</v>
      </c>
      <c r="AO92" s="632">
        <f ca="1">IF(AND($D92="Serviço",AO$12&lt;&gt;0,$H92&gt;0,OR(AUTOEVENTO&lt;&gt;"manual",$M92&lt;&gt;1)),ROUND(OFFSET($P92,0,AO$13),15-13*ORÇAMENTO!$AF$7)/$H92*OFFSET(ORÇAMENTO!$X$15,ROW(AO92)-ROW(AO$15),0),0)</f>
        <v>0</v>
      </c>
      <c r="AP92" s="632">
        <f ca="1">IF(AND($D92="Serviço",AP$12&lt;&gt;0,$H92&gt;0,OR(AUTOEVENTO&lt;&gt;"manual",$M92&lt;&gt;1)),ROUND(OFFSET($P92,0,AP$13),15-13*ORÇAMENTO!$AF$7)/$H92*OFFSET(ORÇAMENTO!$X$15,ROW(AP92)-ROW(AP$15),0),0)</f>
        <v>0</v>
      </c>
      <c r="AQ92" s="632">
        <f ca="1">IF(AND($D92="Serviço",AQ$12&lt;&gt;0,$H92&gt;0,OR(AUTOEVENTO&lt;&gt;"manual",$M92&lt;&gt;1)),ROUND(OFFSET($P92,0,AQ$13),15-13*ORÇAMENTO!$AF$7)/$H92*OFFSET(ORÇAMENTO!$X$15,ROW(AQ92)-ROW(AQ$15),0),0)</f>
        <v>0</v>
      </c>
      <c r="AR92" s="632">
        <f ca="1">IF(AND($D92="Serviço",AR$12&lt;&gt;0,$H92&gt;0,OR(AUTOEVENTO&lt;&gt;"manual",$M92&lt;&gt;1)),ROUND(OFFSET($P92,0,AR$13),15-13*ORÇAMENTO!$AF$7)/$H92*OFFSET(ORÇAMENTO!$X$15,ROW(AR92)-ROW(AR$15),0),0)</f>
        <v>0</v>
      </c>
      <c r="AS92" s="633">
        <f ca="1">IF(AND($D92="Serviço",AS$12&lt;&gt;0,$H92&gt;0,OR(AUTOEVENTO&lt;&gt;"manual",$M92&lt;&gt;1)),ROUND(OFFSET($P92,0,AS$13),15-13*ORÇAMENTO!$AF$7)/$H92*OFFSET(ORÇAMENTO!$X$15,ROW(AS92)-ROW(AS$15),0),0)</f>
        <v>0</v>
      </c>
      <c r="AT92" s="632">
        <f ca="1">IF(AND($D92="Serviço",AT$12&lt;&gt;0,$H92&gt;0,OR(AUTOEVENTO&lt;&gt;"manual",$M92&lt;&gt;1)),ROUND(OFFSET($P92,0,AT$13),15-13*ORÇAMENTO!$AF$7)/$H92*OFFSET(ORÇAMENTO!$X$15,ROW(AT92)-ROW(AT$15),0),0)</f>
        <v>0</v>
      </c>
      <c r="AU92" s="632">
        <f ca="1">IF(AND($D92="Serviço",AU$12&lt;&gt;0,$H92&gt;0,OR(AUTOEVENTO&lt;&gt;"manual",$M92&lt;&gt;1)),ROUND(OFFSET($P92,0,AU$13),15-13*ORÇAMENTO!$AF$7)/$H92*OFFSET(ORÇAMENTO!$X$15,ROW(AU92)-ROW(AU$15),0),0)</f>
        <v>0</v>
      </c>
      <c r="AV92" s="632">
        <f ca="1">IF(AND($D92="Serviço",AV$12&lt;&gt;0,$H92&gt;0,OR(AUTOEVENTO&lt;&gt;"manual",$M92&lt;&gt;1)),ROUND(OFFSET($P92,0,AV$13),15-13*ORÇAMENTO!$AF$7)/$H92*OFFSET(ORÇAMENTO!$X$15,ROW(AV92)-ROW(AV$15),0),0)</f>
        <v>0</v>
      </c>
      <c r="AW92" s="632">
        <f ca="1">IF(AND($D92="Serviço",AW$12&lt;&gt;0,$H92&gt;0,OR(AUTOEVENTO&lt;&gt;"manual",$M92&lt;&gt;1)),ROUND(OFFSET($P92,0,AW$13),15-13*ORÇAMENTO!$AF$7)/$H92*OFFSET(ORÇAMENTO!$X$15,ROW(AW92)-ROW(AW$15),0),0)</f>
        <v>0</v>
      </c>
      <c r="AX92" s="632">
        <f ca="1">IF(AND($D92="Serviço",AX$12&lt;&gt;0,$H92&gt;0,OR(AUTOEVENTO&lt;&gt;"manual",$M92&lt;&gt;1)),ROUND(OFFSET($P92,0,AX$13),15-13*ORÇAMENTO!$AF$7)/$H92*OFFSET(ORÇAMENTO!$X$15,ROW(AX92)-ROW(AX$15),0),0)</f>
        <v>0</v>
      </c>
      <c r="AY92" s="632">
        <f ca="1">IF(AND($D92="Serviço",AY$12&lt;&gt;0,$H92&gt;0,OR(AUTOEVENTO&lt;&gt;"manual",$M92&lt;&gt;1)),ROUND(OFFSET($P92,0,AY$13),15-13*ORÇAMENTO!$AF$7)/$H92*OFFSET(ORÇAMENTO!$X$15,ROW(AY92)-ROW(AY$15),0),0)</f>
        <v>0</v>
      </c>
      <c r="AZ92" s="632">
        <f ca="1">IF(AND($D92="Serviço",AZ$12&lt;&gt;0,$H92&gt;0,OR(AUTOEVENTO&lt;&gt;"manual",$M92&lt;&gt;1)),ROUND(OFFSET($P92,0,AZ$13),15-13*ORÇAMENTO!$AF$7)/$H92*OFFSET(ORÇAMENTO!$X$15,ROW(AZ92)-ROW(AZ$15),0),0)</f>
        <v>0</v>
      </c>
      <c r="BA92" s="633">
        <f ca="1">IF(AND($D92="Serviço",BA$12&lt;&gt;0,$H92&gt;0,OR(AUTOEVENTO&lt;&gt;"manual",$M92&lt;&gt;1)),ROUND(OFFSET($P92,0,BA$13),15-13*ORÇAMENTO!$AF$7)/$H92*OFFSET(ORÇAMENTO!$X$15,ROW(BA92)-ROW(BA$15),0),0)</f>
        <v>0</v>
      </c>
      <c r="BC92" s="215">
        <f ca="1">IF($D92&lt;&gt;"Serviço",0,IF(AND(AUTOEVENTO="Manual",$M92=1),0,IF(OFFSET(CRONOPLE!$F$14,$M92,BC$13)="",10^12,OFFSET(CRONOPLE!$F$14,$M92,BC$13))))</f>
        <v>0</v>
      </c>
      <c r="BD92" s="215">
        <f ca="1">IF($D92&lt;&gt;"Serviço",0,IF(AND(AUTOEVENTO="Manual",$M92=1),0,IF(OFFSET(CRONOPLE!$F$14,$M92,BD$13)="",10^12,OFFSET(CRONOPLE!$F$14,$M92,BD$13))))</f>
        <v>0</v>
      </c>
      <c r="BE92" s="215">
        <f ca="1">IF($D92&lt;&gt;"Serviço",0,IF(AND(AUTOEVENTO="Manual",$M92=1),0,IF(OFFSET(CRONOPLE!$F$14,$M92,BE$13)="",10^12,OFFSET(CRONOPLE!$F$14,$M92,BE$13))))</f>
        <v>0</v>
      </c>
      <c r="BF92" s="215">
        <f ca="1">IF($D92&lt;&gt;"Serviço",0,IF(AND(AUTOEVENTO="Manual",$M92=1),0,IF(OFFSET(CRONOPLE!$F$14,$M92,BF$13)="",10^12,OFFSET(CRONOPLE!$F$14,$M92,BF$13))))</f>
        <v>0</v>
      </c>
      <c r="BG92" s="215">
        <f ca="1">IF($D92&lt;&gt;"Serviço",0,IF(AND(AUTOEVENTO="Manual",$M92=1),0,IF(OFFSET(CRONOPLE!$F$14,$M92,BG$13)="",10^12,OFFSET(CRONOPLE!$F$14,$M92,BG$13))))</f>
        <v>0</v>
      </c>
      <c r="BH92" s="215">
        <f ca="1">IF($D92&lt;&gt;"Serviço",0,IF(AND(AUTOEVENTO="Manual",$M92=1),0,IF(OFFSET(CRONOPLE!$F$14,$M92,BH$13)="",10^12,OFFSET(CRONOPLE!$F$14,$M92,BH$13))))</f>
        <v>0</v>
      </c>
      <c r="BI92" s="215">
        <f ca="1">IF($D92&lt;&gt;"Serviço",0,IF(AND(AUTOEVENTO="Manual",$M92=1),0,IF(OFFSET(CRONOPLE!$F$14,$M92,BI$13)="",10^12,OFFSET(CRONOPLE!$F$14,$M92,BI$13))))</f>
        <v>0</v>
      </c>
      <c r="BJ92" s="215">
        <f ca="1">IF($D92&lt;&gt;"Serviço",0,IF(AND(AUTOEVENTO="Manual",$M92=1),0,IF(OFFSET(CRONOPLE!$F$14,$M92,BJ$13)="",10^12,OFFSET(CRONOPLE!$F$14,$M92,BJ$13))))</f>
        <v>0</v>
      </c>
      <c r="BK92" s="215">
        <f ca="1">IF($D92&lt;&gt;"Serviço",0,IF(AND(AUTOEVENTO="Manual",$M92=1),0,IF(OFFSET(CRONOPLE!$F$14,$M92,BK$13)="",10^12,OFFSET(CRONOPLE!$F$14,$M92,BK$13))))</f>
        <v>0</v>
      </c>
      <c r="BL92" s="215">
        <f ca="1">IF($D92&lt;&gt;"Serviço",0,IF(AND(AUTOEVENTO="Manual",$M92=1),0,IF(OFFSET(CRONOPLE!$F$14,$M92,BL$13)="",10^12,OFFSET(CRONOPLE!$F$14,$M92,BL$13))))</f>
        <v>0</v>
      </c>
      <c r="BM92" s="215">
        <f ca="1">IF($D92&lt;&gt;"Serviço",0,IF(AND(AUTOEVENTO="Manual",$M92=1),0,IF(OFFSET(CRONOPLE!$F$14,$M92,BM$13)="",10^12,OFFSET(CRONOPLE!$F$14,$M92,BM$13))))</f>
        <v>0</v>
      </c>
      <c r="BN92" s="215">
        <f ca="1">IF($D92&lt;&gt;"Serviço",0,IF(AND(AUTOEVENTO="Manual",$M92=1),0,IF(OFFSET(CRONOPLE!$F$14,$M92,BN$13)="",10^12,OFFSET(CRONOPLE!$F$14,$M92,BN$13))))</f>
        <v>0</v>
      </c>
      <c r="BO92" s="215">
        <f ca="1">IF($D92&lt;&gt;"Serviço",0,IF(AND(AUTOEVENTO="Manual",$M92=1),0,IF(OFFSET(CRONOPLE!$F$14,$M92,BO$13)="",10^12,OFFSET(CRONOPLE!$F$14,$M92,BO$13))))</f>
        <v>0</v>
      </c>
      <c r="BP92" s="215">
        <f ca="1">IF($D92&lt;&gt;"Serviço",0,IF(AND(AUTOEVENTO="Manual",$M92=1),0,IF(OFFSET(CRONOPLE!$F$14,$M92,BP$13)="",10^12,OFFSET(CRONOPLE!$F$14,$M92,BP$13))))</f>
        <v>0</v>
      </c>
      <c r="BQ92" s="215">
        <f ca="1">IF($D92&lt;&gt;"Serviço",0,IF(AND(AUTOEVENTO="Manual",$M92=1),0,IF(OFFSET(CRONOPLE!$F$14,$M92,BQ$13)="",10^12,OFFSET(CRONOPLE!$F$14,$M92,BQ$13))))</f>
        <v>0</v>
      </c>
      <c r="BR92" s="215">
        <f ca="1">IF($D92&lt;&gt;"Serviço",0,IF(AND(AUTOEVENTO="Manual",$M92=1),0,IF(OFFSET(CRONOPLE!$F$14,$M92,BR$13)="",10^12,OFFSET(CRONOPLE!$F$14,$M92,BR$13))))</f>
        <v>0</v>
      </c>
      <c r="BS92" s="215">
        <f ca="1">IF($D92&lt;&gt;"Serviço",0,IF(AND(AUTOEVENTO="Manual",$M92=1),0,IF(OFFSET(CRONOPLE!$F$14,$M92,BS$13)="",10^12,OFFSET(CRONOPLE!$F$14,$M92,BS$13))))</f>
        <v>0</v>
      </c>
      <c r="BT92" s="215">
        <f ca="1">IF($D92&lt;&gt;"Serviço",0,IF(AND(AUTOEVENTO="Manual",$M92=1),0,IF(OFFSET(CRONOPLE!$F$14,$M92,BT$13)="",10^12,OFFSET(CRONOPLE!$F$14,$M92,BT$13))))</f>
        <v>0</v>
      </c>
      <c r="BV92" s="216">
        <f ca="1">IF($D92&lt;&gt;"Serviço",0,IF(OR(AND(AUTOEVENTO="Manual",$M92=1),$M92&gt;(ROW(PLE.lastrow)-ROW(PLE.firstrow))),0,IF(OFFSET(PLE!$G$14,$M92,BV$13)="",10^12,OFFSET(PLE!$G$14,$M92,BV$13))))</f>
        <v>0</v>
      </c>
      <c r="BW92" s="216">
        <f ca="1">IF($D92&lt;&gt;"Serviço",0,IF(OR(AND(AUTOEVENTO="Manual",$M92=1),$M92&gt;(ROW(PLE.lastrow)-ROW(PLE.firstrow))),0,IF(OFFSET(PLE!$G$14,$M92,BW$13)="",10^12,OFFSET(PLE!$G$14,$M92,BW$13))))</f>
        <v>0</v>
      </c>
      <c r="BX92" s="216">
        <f ca="1">IF($D92&lt;&gt;"Serviço",0,IF(OR(AND(AUTOEVENTO="Manual",$M92=1),$M92&gt;(ROW(PLE.lastrow)-ROW(PLE.firstrow))),0,IF(OFFSET(PLE!$G$14,$M92,BX$13)="",10^12,OFFSET(PLE!$G$14,$M92,BX$13))))</f>
        <v>0</v>
      </c>
      <c r="BY92" s="216">
        <f ca="1">IF($D92&lt;&gt;"Serviço",0,IF(OR(AND(AUTOEVENTO="Manual",$M92=1),$M92&gt;(ROW(PLE.lastrow)-ROW(PLE.firstrow))),0,IF(OFFSET(PLE!$G$14,$M92,BY$13)="",10^12,OFFSET(PLE!$G$14,$M92,BY$13))))</f>
        <v>0</v>
      </c>
      <c r="BZ92" s="216">
        <f ca="1">IF($D92&lt;&gt;"Serviço",0,IF(OR(AND(AUTOEVENTO="Manual",$M92=1),$M92&gt;(ROW(PLE.lastrow)-ROW(PLE.firstrow))),0,IF(OFFSET(PLE!$G$14,$M92,BZ$13)="",10^12,OFFSET(PLE!$G$14,$M92,BZ$13))))</f>
        <v>0</v>
      </c>
      <c r="CA92" s="216">
        <f ca="1">IF($D92&lt;&gt;"Serviço",0,IF(OR(AND(AUTOEVENTO="Manual",$M92=1),$M92&gt;(ROW(PLE.lastrow)-ROW(PLE.firstrow))),0,IF(OFFSET(PLE!$G$14,$M92,CA$13)="",10^12,OFFSET(PLE!$G$14,$M92,CA$13))))</f>
        <v>0</v>
      </c>
      <c r="CB92" s="216">
        <f ca="1">IF($D92&lt;&gt;"Serviço",0,IF(OR(AND(AUTOEVENTO="Manual",$M92=1),$M92&gt;(ROW(PLE.lastrow)-ROW(PLE.firstrow))),0,IF(OFFSET(PLE!$G$14,$M92,CB$13)="",10^12,OFFSET(PLE!$G$14,$M92,CB$13))))</f>
        <v>0</v>
      </c>
      <c r="CC92" s="216">
        <f ca="1">IF($D92&lt;&gt;"Serviço",0,IF(OR(AND(AUTOEVENTO="Manual",$M92=1),$M92&gt;(ROW(PLE.lastrow)-ROW(PLE.firstrow))),0,IF(OFFSET(PLE!$G$14,$M92,CC$13)="",10^12,OFFSET(PLE!$G$14,$M92,CC$13))))</f>
        <v>0</v>
      </c>
      <c r="CD92" s="216">
        <f ca="1">IF($D92&lt;&gt;"Serviço",0,IF(OR(AND(AUTOEVENTO="Manual",$M92=1),$M92&gt;(ROW(PLE.lastrow)-ROW(PLE.firstrow))),0,IF(OFFSET(PLE!$G$14,$M92,CD$13)="",10^12,OFFSET(PLE!$G$14,$M92,CD$13))))</f>
        <v>0</v>
      </c>
      <c r="CE92" s="216">
        <f ca="1">IF($D92&lt;&gt;"Serviço",0,IF(OR(AND(AUTOEVENTO="Manual",$M92=1),$M92&gt;(ROW(PLE.lastrow)-ROW(PLE.firstrow))),0,IF(OFFSET(PLE!$G$14,$M92,CE$13)="",10^12,OFFSET(PLE!$G$14,$M92,CE$13))))</f>
        <v>0</v>
      </c>
      <c r="CF92" s="216">
        <f ca="1">IF($D92&lt;&gt;"Serviço",0,IF(OR(AND(AUTOEVENTO="Manual",$M92=1),$M92&gt;(ROW(PLE.lastrow)-ROW(PLE.firstrow))),0,IF(OFFSET(PLE!$G$14,$M92,CF$13)="",10^12,OFFSET(PLE!$G$14,$M92,CF$13))))</f>
        <v>0</v>
      </c>
      <c r="CG92" s="216">
        <f ca="1">IF($D92&lt;&gt;"Serviço",0,IF(OR(AND(AUTOEVENTO="Manual",$M92=1),$M92&gt;(ROW(PLE.lastrow)-ROW(PLE.firstrow))),0,IF(OFFSET(PLE!$G$14,$M92,CG$13)="",10^12,OFFSET(PLE!$G$14,$M92,CG$13))))</f>
        <v>0</v>
      </c>
      <c r="CH92" s="216">
        <f ca="1">IF($D92&lt;&gt;"Serviço",0,IF(OR(AND(AUTOEVENTO="Manual",$M92=1),$M92&gt;(ROW(PLE.lastrow)-ROW(PLE.firstrow))),0,IF(OFFSET(PLE!$G$14,$M92,CH$13)="",10^12,OFFSET(PLE!$G$14,$M92,CH$13))))</f>
        <v>0</v>
      </c>
      <c r="CI92" s="216">
        <f ca="1">IF($D92&lt;&gt;"Serviço",0,IF(OR(AND(AUTOEVENTO="Manual",$M92=1),$M92&gt;(ROW(PLE.lastrow)-ROW(PLE.firstrow))),0,IF(OFFSET(PLE!$G$14,$M92,CI$13)="",10^12,OFFSET(PLE!$G$14,$M92,CI$13))))</f>
        <v>0</v>
      </c>
      <c r="CJ92" s="216">
        <f ca="1">IF($D92&lt;&gt;"Serviço",0,IF(OR(AND(AUTOEVENTO="Manual",$M92=1),$M92&gt;(ROW(PLE.lastrow)-ROW(PLE.firstrow))),0,IF(OFFSET(PLE!$G$14,$M92,CJ$13)="",10^12,OFFSET(PLE!$G$14,$M92,CJ$13))))</f>
        <v>0</v>
      </c>
      <c r="CK92" s="216">
        <f ca="1">IF($D92&lt;&gt;"Serviço",0,IF(OR(AND(AUTOEVENTO="Manual",$M92=1),$M92&gt;(ROW(PLE.lastrow)-ROW(PLE.firstrow))),0,IF(OFFSET(PLE!$G$14,$M92,CK$13)="",10^12,OFFSET(PLE!$G$14,$M92,CK$13))))</f>
        <v>0</v>
      </c>
      <c r="CL92" s="216">
        <f ca="1">IF($D92&lt;&gt;"Serviço",0,IF(OR(AND(AUTOEVENTO="Manual",$M92=1),$M92&gt;(ROW(PLE.lastrow)-ROW(PLE.firstrow))),0,IF(OFFSET(PLE!$G$14,$M92,CL$13)="",10^12,OFFSET(PLE!$G$14,$M92,CL$13))))</f>
        <v>0</v>
      </c>
      <c r="CM92" s="216">
        <f ca="1">IF($D92&lt;&gt;"Serviço",0,IF(OR(AND(AUTOEVENTO="Manual",$M92=1),$M92&gt;(ROW(PLE.lastrow)-ROW(PLE.firstrow))),0,IF(OFFSET(PLE!$G$14,$M92,CM$13)="",10^12,OFFSET(PLE!$G$14,$M92,CM$13))))</f>
        <v>0</v>
      </c>
    </row>
    <row r="93" spans="1:91" ht="13.2" x14ac:dyDescent="0.25">
      <c r="A93" s="9">
        <f t="shared" ca="1" si="10"/>
        <v>0</v>
      </c>
      <c r="B93" s="9">
        <f ca="1">OFFSET(ORÇAMENTO!C$15,ROW(B93)-ROW(B$15),0)</f>
        <v>3</v>
      </c>
      <c r="C93" s="9" t="str">
        <f ca="1">OFFSET(ORÇAMENTO!L$15,ROW(C93)-ROW(C$15),0)</f>
        <v>F</v>
      </c>
      <c r="D93" s="145" t="str">
        <f ca="1">OFFSET(ORÇAMENTO!N$15,ROW(D93)-ROW(D$15),0)</f>
        <v>Nível 3</v>
      </c>
      <c r="E93" s="205" t="str">
        <f ca="1">OFFSET(ORÇAMENTO!O$15,ROW(E93)-ROW(E$15),0)</f>
        <v>1.4.1.</v>
      </c>
      <c r="F93" s="206" t="str">
        <f ca="1">OFFSET(ORÇAMENTO!R$15,ROW(F93)-ROW(F$15),0)</f>
        <v>CONCRETO ARMADO - PILARES</v>
      </c>
      <c r="G93" s="207" t="str">
        <f ca="1">IF($D93&lt;&gt;"Serviço","",OFFSET(ORÇAMENTO!S$15,ROW(G93)-ROW(G$15),0))</f>
        <v/>
      </c>
      <c r="H93" s="151">
        <f ca="1">IF($D93&lt;&gt;"Serviço",0,IF(ACOMPANHAMENTO="BM",ROUND(OFFSET(ORÇAMENTO!AJ$15,ROW(H93)-ROW(H$15),0),15-13*ORÇAMENTO!$AF$7),SUMPRODUCT(($Q$12:$AI$12&lt;&gt;"")*ROUND($Q93:$AI93,15-13*ORÇAMENTO!$AF$7))))</f>
        <v>0</v>
      </c>
      <c r="I93" s="650"/>
      <c r="K93" s="208"/>
      <c r="L93" s="209" t="s">
        <v>257</v>
      </c>
      <c r="M93" s="210" t="str">
        <f ca="1">IF($D93&lt;&gt;"Serviço","",IF(AUTOEVENTO="manual",$A93,IF(ISERROR(MATCH($A93,$A$15:OFFSET($A93,-1,0),0)),MAX($M$15:OFFSET(M93,-1,0))+1,INDEX($M$15:OFFSET(M93,-1,0),MATCH($A93,$A$15:OFFSET($A93,-1,0),0)))))</f>
        <v/>
      </c>
      <c r="N93" s="211" t="str">
        <f ca="1">IF($D93&lt;&gt;"Serviço","",IF(AUTOEVENTO="Manual",IF($A93=0,"&lt;-- defina o número do agrupador",OFFSET(EVENTOS!$D$14,$A93,0)),OFFSET($F$15,$A93,0)))</f>
        <v/>
      </c>
      <c r="O93" s="212"/>
      <c r="Q93" s="212"/>
      <c r="R93" s="213"/>
      <c r="S93" s="213"/>
      <c r="T93" s="213"/>
      <c r="U93" s="213"/>
      <c r="V93" s="213"/>
      <c r="W93" s="213"/>
      <c r="X93" s="213"/>
      <c r="Y93" s="213"/>
      <c r="Z93" s="214"/>
      <c r="AA93" s="213"/>
      <c r="AB93" s="213"/>
      <c r="AC93" s="213"/>
      <c r="AD93" s="213"/>
      <c r="AE93" s="213"/>
      <c r="AF93" s="213"/>
      <c r="AG93" s="213"/>
      <c r="AH93" s="214"/>
      <c r="AJ93" s="631">
        <f ca="1">IF(AND($D93="Serviço",AJ$12&lt;&gt;0,$H93&gt;0,OR(AUTOEVENTO&lt;&gt;"manual",$M93&lt;&gt;1)),ROUND(OFFSET($P93,0,AJ$13),15-13*ORÇAMENTO!$AF$7)/$H93*OFFSET(ORÇAMENTO!$X$15,ROW(AJ93)-ROW(AJ$15),0),0)</f>
        <v>0</v>
      </c>
      <c r="AK93" s="632">
        <f ca="1">IF(AND($D93="Serviço",AK$12&lt;&gt;0,$H93&gt;0,OR(AUTOEVENTO&lt;&gt;"manual",$M93&lt;&gt;1)),ROUND(OFFSET($P93,0,AK$13),15-13*ORÇAMENTO!$AF$7)/$H93*OFFSET(ORÇAMENTO!$X$15,ROW(AK93)-ROW(AK$15),0),0)</f>
        <v>0</v>
      </c>
      <c r="AL93" s="632">
        <f ca="1">IF(AND($D93="Serviço",AL$12&lt;&gt;0,$H93&gt;0,OR(AUTOEVENTO&lt;&gt;"manual",$M93&lt;&gt;1)),ROUND(OFFSET($P93,0,AL$13),15-13*ORÇAMENTO!$AF$7)/$H93*OFFSET(ORÇAMENTO!$X$15,ROW(AL93)-ROW(AL$15),0),0)</f>
        <v>0</v>
      </c>
      <c r="AM93" s="632">
        <f ca="1">IF(AND($D93="Serviço",AM$12&lt;&gt;0,$H93&gt;0,OR(AUTOEVENTO&lt;&gt;"manual",$M93&lt;&gt;1)),ROUND(OFFSET($P93,0,AM$13),15-13*ORÇAMENTO!$AF$7)/$H93*OFFSET(ORÇAMENTO!$X$15,ROW(AM93)-ROW(AM$15),0),0)</f>
        <v>0</v>
      </c>
      <c r="AN93" s="632">
        <f ca="1">IF(AND($D93="Serviço",AN$12&lt;&gt;0,$H93&gt;0,OR(AUTOEVENTO&lt;&gt;"manual",$M93&lt;&gt;1)),ROUND(OFFSET($P93,0,AN$13),15-13*ORÇAMENTO!$AF$7)/$H93*OFFSET(ORÇAMENTO!$X$15,ROW(AN93)-ROW(AN$15),0),0)</f>
        <v>0</v>
      </c>
      <c r="AO93" s="632">
        <f ca="1">IF(AND($D93="Serviço",AO$12&lt;&gt;0,$H93&gt;0,OR(AUTOEVENTO&lt;&gt;"manual",$M93&lt;&gt;1)),ROUND(OFFSET($P93,0,AO$13),15-13*ORÇAMENTO!$AF$7)/$H93*OFFSET(ORÇAMENTO!$X$15,ROW(AO93)-ROW(AO$15),0),0)</f>
        <v>0</v>
      </c>
      <c r="AP93" s="632">
        <f ca="1">IF(AND($D93="Serviço",AP$12&lt;&gt;0,$H93&gt;0,OR(AUTOEVENTO&lt;&gt;"manual",$M93&lt;&gt;1)),ROUND(OFFSET($P93,0,AP$13),15-13*ORÇAMENTO!$AF$7)/$H93*OFFSET(ORÇAMENTO!$X$15,ROW(AP93)-ROW(AP$15),0),0)</f>
        <v>0</v>
      </c>
      <c r="AQ93" s="632">
        <f ca="1">IF(AND($D93="Serviço",AQ$12&lt;&gt;0,$H93&gt;0,OR(AUTOEVENTO&lt;&gt;"manual",$M93&lt;&gt;1)),ROUND(OFFSET($P93,0,AQ$13),15-13*ORÇAMENTO!$AF$7)/$H93*OFFSET(ORÇAMENTO!$X$15,ROW(AQ93)-ROW(AQ$15),0),0)</f>
        <v>0</v>
      </c>
      <c r="AR93" s="632">
        <f ca="1">IF(AND($D93="Serviço",AR$12&lt;&gt;0,$H93&gt;0,OR(AUTOEVENTO&lt;&gt;"manual",$M93&lt;&gt;1)),ROUND(OFFSET($P93,0,AR$13),15-13*ORÇAMENTO!$AF$7)/$H93*OFFSET(ORÇAMENTO!$X$15,ROW(AR93)-ROW(AR$15),0),0)</f>
        <v>0</v>
      </c>
      <c r="AS93" s="633">
        <f ca="1">IF(AND($D93="Serviço",AS$12&lt;&gt;0,$H93&gt;0,OR(AUTOEVENTO&lt;&gt;"manual",$M93&lt;&gt;1)),ROUND(OFFSET($P93,0,AS$13),15-13*ORÇAMENTO!$AF$7)/$H93*OFFSET(ORÇAMENTO!$X$15,ROW(AS93)-ROW(AS$15),0),0)</f>
        <v>0</v>
      </c>
      <c r="AT93" s="632">
        <f ca="1">IF(AND($D93="Serviço",AT$12&lt;&gt;0,$H93&gt;0,OR(AUTOEVENTO&lt;&gt;"manual",$M93&lt;&gt;1)),ROUND(OFFSET($P93,0,AT$13),15-13*ORÇAMENTO!$AF$7)/$H93*OFFSET(ORÇAMENTO!$X$15,ROW(AT93)-ROW(AT$15),0),0)</f>
        <v>0</v>
      </c>
      <c r="AU93" s="632">
        <f ca="1">IF(AND($D93="Serviço",AU$12&lt;&gt;0,$H93&gt;0,OR(AUTOEVENTO&lt;&gt;"manual",$M93&lt;&gt;1)),ROUND(OFFSET($P93,0,AU$13),15-13*ORÇAMENTO!$AF$7)/$H93*OFFSET(ORÇAMENTO!$X$15,ROW(AU93)-ROW(AU$15),0),0)</f>
        <v>0</v>
      </c>
      <c r="AV93" s="632">
        <f ca="1">IF(AND($D93="Serviço",AV$12&lt;&gt;0,$H93&gt;0,OR(AUTOEVENTO&lt;&gt;"manual",$M93&lt;&gt;1)),ROUND(OFFSET($P93,0,AV$13),15-13*ORÇAMENTO!$AF$7)/$H93*OFFSET(ORÇAMENTO!$X$15,ROW(AV93)-ROW(AV$15),0),0)</f>
        <v>0</v>
      </c>
      <c r="AW93" s="632">
        <f ca="1">IF(AND($D93="Serviço",AW$12&lt;&gt;0,$H93&gt;0,OR(AUTOEVENTO&lt;&gt;"manual",$M93&lt;&gt;1)),ROUND(OFFSET($P93,0,AW$13),15-13*ORÇAMENTO!$AF$7)/$H93*OFFSET(ORÇAMENTO!$X$15,ROW(AW93)-ROW(AW$15),0),0)</f>
        <v>0</v>
      </c>
      <c r="AX93" s="632">
        <f ca="1">IF(AND($D93="Serviço",AX$12&lt;&gt;0,$H93&gt;0,OR(AUTOEVENTO&lt;&gt;"manual",$M93&lt;&gt;1)),ROUND(OFFSET($P93,0,AX$13),15-13*ORÇAMENTO!$AF$7)/$H93*OFFSET(ORÇAMENTO!$X$15,ROW(AX93)-ROW(AX$15),0),0)</f>
        <v>0</v>
      </c>
      <c r="AY93" s="632">
        <f ca="1">IF(AND($D93="Serviço",AY$12&lt;&gt;0,$H93&gt;0,OR(AUTOEVENTO&lt;&gt;"manual",$M93&lt;&gt;1)),ROUND(OFFSET($P93,0,AY$13),15-13*ORÇAMENTO!$AF$7)/$H93*OFFSET(ORÇAMENTO!$X$15,ROW(AY93)-ROW(AY$15),0),0)</f>
        <v>0</v>
      </c>
      <c r="AZ93" s="632">
        <f ca="1">IF(AND($D93="Serviço",AZ$12&lt;&gt;0,$H93&gt;0,OR(AUTOEVENTO&lt;&gt;"manual",$M93&lt;&gt;1)),ROUND(OFFSET($P93,0,AZ$13),15-13*ORÇAMENTO!$AF$7)/$H93*OFFSET(ORÇAMENTO!$X$15,ROW(AZ93)-ROW(AZ$15),0),0)</f>
        <v>0</v>
      </c>
      <c r="BA93" s="633">
        <f ca="1">IF(AND($D93="Serviço",BA$12&lt;&gt;0,$H93&gt;0,OR(AUTOEVENTO&lt;&gt;"manual",$M93&lt;&gt;1)),ROUND(OFFSET($P93,0,BA$13),15-13*ORÇAMENTO!$AF$7)/$H93*OFFSET(ORÇAMENTO!$X$15,ROW(BA93)-ROW(BA$15),0),0)</f>
        <v>0</v>
      </c>
      <c r="BC93" s="215">
        <f ca="1">IF($D93&lt;&gt;"Serviço",0,IF(AND(AUTOEVENTO="Manual",$M93=1),0,IF(OFFSET(CRONOPLE!$F$14,$M93,BC$13)="",10^12,OFFSET(CRONOPLE!$F$14,$M93,BC$13))))</f>
        <v>0</v>
      </c>
      <c r="BD93" s="215">
        <f ca="1">IF($D93&lt;&gt;"Serviço",0,IF(AND(AUTOEVENTO="Manual",$M93=1),0,IF(OFFSET(CRONOPLE!$F$14,$M93,BD$13)="",10^12,OFFSET(CRONOPLE!$F$14,$M93,BD$13))))</f>
        <v>0</v>
      </c>
      <c r="BE93" s="215">
        <f ca="1">IF($D93&lt;&gt;"Serviço",0,IF(AND(AUTOEVENTO="Manual",$M93=1),0,IF(OFFSET(CRONOPLE!$F$14,$M93,BE$13)="",10^12,OFFSET(CRONOPLE!$F$14,$M93,BE$13))))</f>
        <v>0</v>
      </c>
      <c r="BF93" s="215">
        <f ca="1">IF($D93&lt;&gt;"Serviço",0,IF(AND(AUTOEVENTO="Manual",$M93=1),0,IF(OFFSET(CRONOPLE!$F$14,$M93,BF$13)="",10^12,OFFSET(CRONOPLE!$F$14,$M93,BF$13))))</f>
        <v>0</v>
      </c>
      <c r="BG93" s="215">
        <f ca="1">IF($D93&lt;&gt;"Serviço",0,IF(AND(AUTOEVENTO="Manual",$M93=1),0,IF(OFFSET(CRONOPLE!$F$14,$M93,BG$13)="",10^12,OFFSET(CRONOPLE!$F$14,$M93,BG$13))))</f>
        <v>0</v>
      </c>
      <c r="BH93" s="215">
        <f ca="1">IF($D93&lt;&gt;"Serviço",0,IF(AND(AUTOEVENTO="Manual",$M93=1),0,IF(OFFSET(CRONOPLE!$F$14,$M93,BH$13)="",10^12,OFFSET(CRONOPLE!$F$14,$M93,BH$13))))</f>
        <v>0</v>
      </c>
      <c r="BI93" s="215">
        <f ca="1">IF($D93&lt;&gt;"Serviço",0,IF(AND(AUTOEVENTO="Manual",$M93=1),0,IF(OFFSET(CRONOPLE!$F$14,$M93,BI$13)="",10^12,OFFSET(CRONOPLE!$F$14,$M93,BI$13))))</f>
        <v>0</v>
      </c>
      <c r="BJ93" s="215">
        <f ca="1">IF($D93&lt;&gt;"Serviço",0,IF(AND(AUTOEVENTO="Manual",$M93=1),0,IF(OFFSET(CRONOPLE!$F$14,$M93,BJ$13)="",10^12,OFFSET(CRONOPLE!$F$14,$M93,BJ$13))))</f>
        <v>0</v>
      </c>
      <c r="BK93" s="215">
        <f ca="1">IF($D93&lt;&gt;"Serviço",0,IF(AND(AUTOEVENTO="Manual",$M93=1),0,IF(OFFSET(CRONOPLE!$F$14,$M93,BK$13)="",10^12,OFFSET(CRONOPLE!$F$14,$M93,BK$13))))</f>
        <v>0</v>
      </c>
      <c r="BL93" s="215">
        <f ca="1">IF($D93&lt;&gt;"Serviço",0,IF(AND(AUTOEVENTO="Manual",$M93=1),0,IF(OFFSET(CRONOPLE!$F$14,$M93,BL$13)="",10^12,OFFSET(CRONOPLE!$F$14,$M93,BL$13))))</f>
        <v>0</v>
      </c>
      <c r="BM93" s="215">
        <f ca="1">IF($D93&lt;&gt;"Serviço",0,IF(AND(AUTOEVENTO="Manual",$M93=1),0,IF(OFFSET(CRONOPLE!$F$14,$M93,BM$13)="",10^12,OFFSET(CRONOPLE!$F$14,$M93,BM$13))))</f>
        <v>0</v>
      </c>
      <c r="BN93" s="215">
        <f ca="1">IF($D93&lt;&gt;"Serviço",0,IF(AND(AUTOEVENTO="Manual",$M93=1),0,IF(OFFSET(CRONOPLE!$F$14,$M93,BN$13)="",10^12,OFFSET(CRONOPLE!$F$14,$M93,BN$13))))</f>
        <v>0</v>
      </c>
      <c r="BO93" s="215">
        <f ca="1">IF($D93&lt;&gt;"Serviço",0,IF(AND(AUTOEVENTO="Manual",$M93=1),0,IF(OFFSET(CRONOPLE!$F$14,$M93,BO$13)="",10^12,OFFSET(CRONOPLE!$F$14,$M93,BO$13))))</f>
        <v>0</v>
      </c>
      <c r="BP93" s="215">
        <f ca="1">IF($D93&lt;&gt;"Serviço",0,IF(AND(AUTOEVENTO="Manual",$M93=1),0,IF(OFFSET(CRONOPLE!$F$14,$M93,BP$13)="",10^12,OFFSET(CRONOPLE!$F$14,$M93,BP$13))))</f>
        <v>0</v>
      </c>
      <c r="BQ93" s="215">
        <f ca="1">IF($D93&lt;&gt;"Serviço",0,IF(AND(AUTOEVENTO="Manual",$M93=1),0,IF(OFFSET(CRONOPLE!$F$14,$M93,BQ$13)="",10^12,OFFSET(CRONOPLE!$F$14,$M93,BQ$13))))</f>
        <v>0</v>
      </c>
      <c r="BR93" s="215">
        <f ca="1">IF($D93&lt;&gt;"Serviço",0,IF(AND(AUTOEVENTO="Manual",$M93=1),0,IF(OFFSET(CRONOPLE!$F$14,$M93,BR$13)="",10^12,OFFSET(CRONOPLE!$F$14,$M93,BR$13))))</f>
        <v>0</v>
      </c>
      <c r="BS93" s="215">
        <f ca="1">IF($D93&lt;&gt;"Serviço",0,IF(AND(AUTOEVENTO="Manual",$M93=1),0,IF(OFFSET(CRONOPLE!$F$14,$M93,BS$13)="",10^12,OFFSET(CRONOPLE!$F$14,$M93,BS$13))))</f>
        <v>0</v>
      </c>
      <c r="BT93" s="215">
        <f ca="1">IF($D93&lt;&gt;"Serviço",0,IF(AND(AUTOEVENTO="Manual",$M93=1),0,IF(OFFSET(CRONOPLE!$F$14,$M93,BT$13)="",10^12,OFFSET(CRONOPLE!$F$14,$M93,BT$13))))</f>
        <v>0</v>
      </c>
      <c r="BV93" s="216">
        <f ca="1">IF($D93&lt;&gt;"Serviço",0,IF(OR(AND(AUTOEVENTO="Manual",$M93=1),$M93&gt;(ROW(PLE.lastrow)-ROW(PLE.firstrow))),0,IF(OFFSET(PLE!$G$14,$M93,BV$13)="",10^12,OFFSET(PLE!$G$14,$M93,BV$13))))</f>
        <v>0</v>
      </c>
      <c r="BW93" s="216">
        <f ca="1">IF($D93&lt;&gt;"Serviço",0,IF(OR(AND(AUTOEVENTO="Manual",$M93=1),$M93&gt;(ROW(PLE.lastrow)-ROW(PLE.firstrow))),0,IF(OFFSET(PLE!$G$14,$M93,BW$13)="",10^12,OFFSET(PLE!$G$14,$M93,BW$13))))</f>
        <v>0</v>
      </c>
      <c r="BX93" s="216">
        <f ca="1">IF($D93&lt;&gt;"Serviço",0,IF(OR(AND(AUTOEVENTO="Manual",$M93=1),$M93&gt;(ROW(PLE.lastrow)-ROW(PLE.firstrow))),0,IF(OFFSET(PLE!$G$14,$M93,BX$13)="",10^12,OFFSET(PLE!$G$14,$M93,BX$13))))</f>
        <v>0</v>
      </c>
      <c r="BY93" s="216">
        <f ca="1">IF($D93&lt;&gt;"Serviço",0,IF(OR(AND(AUTOEVENTO="Manual",$M93=1),$M93&gt;(ROW(PLE.lastrow)-ROW(PLE.firstrow))),0,IF(OFFSET(PLE!$G$14,$M93,BY$13)="",10^12,OFFSET(PLE!$G$14,$M93,BY$13))))</f>
        <v>0</v>
      </c>
      <c r="BZ93" s="216">
        <f ca="1">IF($D93&lt;&gt;"Serviço",0,IF(OR(AND(AUTOEVENTO="Manual",$M93=1),$M93&gt;(ROW(PLE.lastrow)-ROW(PLE.firstrow))),0,IF(OFFSET(PLE!$G$14,$M93,BZ$13)="",10^12,OFFSET(PLE!$G$14,$M93,BZ$13))))</f>
        <v>0</v>
      </c>
      <c r="CA93" s="216">
        <f ca="1">IF($D93&lt;&gt;"Serviço",0,IF(OR(AND(AUTOEVENTO="Manual",$M93=1),$M93&gt;(ROW(PLE.lastrow)-ROW(PLE.firstrow))),0,IF(OFFSET(PLE!$G$14,$M93,CA$13)="",10^12,OFFSET(PLE!$G$14,$M93,CA$13))))</f>
        <v>0</v>
      </c>
      <c r="CB93" s="216">
        <f ca="1">IF($D93&lt;&gt;"Serviço",0,IF(OR(AND(AUTOEVENTO="Manual",$M93=1),$M93&gt;(ROW(PLE.lastrow)-ROW(PLE.firstrow))),0,IF(OFFSET(PLE!$G$14,$M93,CB$13)="",10^12,OFFSET(PLE!$G$14,$M93,CB$13))))</f>
        <v>0</v>
      </c>
      <c r="CC93" s="216">
        <f ca="1">IF($D93&lt;&gt;"Serviço",0,IF(OR(AND(AUTOEVENTO="Manual",$M93=1),$M93&gt;(ROW(PLE.lastrow)-ROW(PLE.firstrow))),0,IF(OFFSET(PLE!$G$14,$M93,CC$13)="",10^12,OFFSET(PLE!$G$14,$M93,CC$13))))</f>
        <v>0</v>
      </c>
      <c r="CD93" s="216">
        <f ca="1">IF($D93&lt;&gt;"Serviço",0,IF(OR(AND(AUTOEVENTO="Manual",$M93=1),$M93&gt;(ROW(PLE.lastrow)-ROW(PLE.firstrow))),0,IF(OFFSET(PLE!$G$14,$M93,CD$13)="",10^12,OFFSET(PLE!$G$14,$M93,CD$13))))</f>
        <v>0</v>
      </c>
      <c r="CE93" s="216">
        <f ca="1">IF($D93&lt;&gt;"Serviço",0,IF(OR(AND(AUTOEVENTO="Manual",$M93=1),$M93&gt;(ROW(PLE.lastrow)-ROW(PLE.firstrow))),0,IF(OFFSET(PLE!$G$14,$M93,CE$13)="",10^12,OFFSET(PLE!$G$14,$M93,CE$13))))</f>
        <v>0</v>
      </c>
      <c r="CF93" s="216">
        <f ca="1">IF($D93&lt;&gt;"Serviço",0,IF(OR(AND(AUTOEVENTO="Manual",$M93=1),$M93&gt;(ROW(PLE.lastrow)-ROW(PLE.firstrow))),0,IF(OFFSET(PLE!$G$14,$M93,CF$13)="",10^12,OFFSET(PLE!$G$14,$M93,CF$13))))</f>
        <v>0</v>
      </c>
      <c r="CG93" s="216">
        <f ca="1">IF($D93&lt;&gt;"Serviço",0,IF(OR(AND(AUTOEVENTO="Manual",$M93=1),$M93&gt;(ROW(PLE.lastrow)-ROW(PLE.firstrow))),0,IF(OFFSET(PLE!$G$14,$M93,CG$13)="",10^12,OFFSET(PLE!$G$14,$M93,CG$13))))</f>
        <v>0</v>
      </c>
      <c r="CH93" s="216">
        <f ca="1">IF($D93&lt;&gt;"Serviço",0,IF(OR(AND(AUTOEVENTO="Manual",$M93=1),$M93&gt;(ROW(PLE.lastrow)-ROW(PLE.firstrow))),0,IF(OFFSET(PLE!$G$14,$M93,CH$13)="",10^12,OFFSET(PLE!$G$14,$M93,CH$13))))</f>
        <v>0</v>
      </c>
      <c r="CI93" s="216">
        <f ca="1">IF($D93&lt;&gt;"Serviço",0,IF(OR(AND(AUTOEVENTO="Manual",$M93=1),$M93&gt;(ROW(PLE.lastrow)-ROW(PLE.firstrow))),0,IF(OFFSET(PLE!$G$14,$M93,CI$13)="",10^12,OFFSET(PLE!$G$14,$M93,CI$13))))</f>
        <v>0</v>
      </c>
      <c r="CJ93" s="216">
        <f ca="1">IF($D93&lt;&gt;"Serviço",0,IF(OR(AND(AUTOEVENTO="Manual",$M93=1),$M93&gt;(ROW(PLE.lastrow)-ROW(PLE.firstrow))),0,IF(OFFSET(PLE!$G$14,$M93,CJ$13)="",10^12,OFFSET(PLE!$G$14,$M93,CJ$13))))</f>
        <v>0</v>
      </c>
      <c r="CK93" s="216">
        <f ca="1">IF($D93&lt;&gt;"Serviço",0,IF(OR(AND(AUTOEVENTO="Manual",$M93=1),$M93&gt;(ROW(PLE.lastrow)-ROW(PLE.firstrow))),0,IF(OFFSET(PLE!$G$14,$M93,CK$13)="",10^12,OFFSET(PLE!$G$14,$M93,CK$13))))</f>
        <v>0</v>
      </c>
      <c r="CL93" s="216">
        <f ca="1">IF($D93&lt;&gt;"Serviço",0,IF(OR(AND(AUTOEVENTO="Manual",$M93=1),$M93&gt;(ROW(PLE.lastrow)-ROW(PLE.firstrow))),0,IF(OFFSET(PLE!$G$14,$M93,CL$13)="",10^12,OFFSET(PLE!$G$14,$M93,CL$13))))</f>
        <v>0</v>
      </c>
      <c r="CM93" s="216">
        <f ca="1">IF($D93&lt;&gt;"Serviço",0,IF(OR(AND(AUTOEVENTO="Manual",$M93=1),$M93&gt;(ROW(PLE.lastrow)-ROW(PLE.firstrow))),0,IF(OFFSET(PLE!$G$14,$M93,CM$13)="",10^12,OFFSET(PLE!$G$14,$M93,CM$13))))</f>
        <v>0</v>
      </c>
    </row>
    <row r="94" spans="1:91" ht="13.2" x14ac:dyDescent="0.25">
      <c r="A94" s="9">
        <f t="shared" ca="1" si="10"/>
        <v>0</v>
      </c>
      <c r="B94" s="9" t="str">
        <f ca="1">OFFSET(ORÇAMENTO!C$15,ROW(B94)-ROW(B$15),0)</f>
        <v>S</v>
      </c>
      <c r="C94" s="9" t="str">
        <f ca="1">OFFSET(ORÇAMENTO!L$15,ROW(C94)-ROW(C$15),0)</f>
        <v/>
      </c>
      <c r="D94" s="145" t="str">
        <f ca="1">OFFSET(ORÇAMENTO!N$15,ROW(D94)-ROW(D$15),0)</f>
        <v>Serviço</v>
      </c>
      <c r="E94" s="205" t="str">
        <f ca="1">OFFSET(ORÇAMENTO!O$15,ROW(E94)-ROW(E$15),0)</f>
        <v>-</v>
      </c>
      <c r="F94" s="206" t="str">
        <f ca="1">OFFSET(ORÇAMENTO!R$15,ROW(F94)-ROW(F$15),0)</f>
        <v>(abra o arquivo 'Referência 05-2024.xls)</v>
      </c>
      <c r="G94" s="207" t="str">
        <f ca="1">IF($D94&lt;&gt;"Serviço","",OFFSET(ORÇAMENTO!S$15,ROW(G94)-ROW(G$15),0))</f>
        <v>-</v>
      </c>
      <c r="H94" s="151">
        <f ca="1">IF($D94&lt;&gt;"Serviço",0,IF(ACOMPANHAMENTO="BM",ROUND(OFFSET(ORÇAMENTO!AJ$15,ROW(H94)-ROW(H$15),0),15-13*ORÇAMENTO!$AF$7),SUMPRODUCT(($Q$12:$AI$12&lt;&gt;"")*ROUND($Q94:$AI94,15-13*ORÇAMENTO!$AF$7))))</f>
        <v>886.58</v>
      </c>
      <c r="I94" s="650"/>
      <c r="K94" s="208"/>
      <c r="L94" s="209" t="s">
        <v>257</v>
      </c>
      <c r="M94" s="210">
        <f ca="1">IF($D94&lt;&gt;"Serviço","",IF(AUTOEVENTO="manual",$A94,IF(ISERROR(MATCH($A94,$A$15:OFFSET($A94,-1,0),0)),MAX($M$15:OFFSET(M94,-1,0))+1,INDEX($M$15:OFFSET(M94,-1,0),MATCH($A94,$A$15:OFFSET($A94,-1,0),0)))))</f>
        <v>0</v>
      </c>
      <c r="N94" s="211" t="str">
        <f ca="1">IF($D94&lt;&gt;"Serviço","",IF(AUTOEVENTO="Manual",IF($A94=0,"&lt;-- defina o número do agrupador",OFFSET(EVENTOS!$D$14,$A94,0)),OFFSET($F$15,$A94,0)))</f>
        <v>&lt;-- defina o número do agrupador</v>
      </c>
      <c r="O94" s="212"/>
      <c r="Q94" s="212"/>
      <c r="R94" s="213"/>
      <c r="S94" s="213"/>
      <c r="T94" s="213"/>
      <c r="U94" s="213"/>
      <c r="V94" s="213"/>
      <c r="W94" s="213"/>
      <c r="X94" s="213"/>
      <c r="Y94" s="213"/>
      <c r="Z94" s="214"/>
      <c r="AA94" s="213"/>
      <c r="AB94" s="213"/>
      <c r="AC94" s="213"/>
      <c r="AD94" s="213"/>
      <c r="AE94" s="213"/>
      <c r="AF94" s="213"/>
      <c r="AG94" s="213"/>
      <c r="AH94" s="214"/>
      <c r="AJ94" s="631">
        <f ca="1">IF(AND($D94="Serviço",AJ$12&lt;&gt;0,$H94&gt;0,OR(AUTOEVENTO&lt;&gt;"manual",$M94&lt;&gt;1)),ROUND(OFFSET($P94,0,AJ$13),15-13*ORÇAMENTO!$AF$7)/$H94*OFFSET(ORÇAMENTO!$X$15,ROW(AJ94)-ROW(AJ$15),0),0)</f>
        <v>0</v>
      </c>
      <c r="AK94" s="632">
        <f ca="1">IF(AND($D94="Serviço",AK$12&lt;&gt;0,$H94&gt;0,OR(AUTOEVENTO&lt;&gt;"manual",$M94&lt;&gt;1)),ROUND(OFFSET($P94,0,AK$13),15-13*ORÇAMENTO!$AF$7)/$H94*OFFSET(ORÇAMENTO!$X$15,ROW(AK94)-ROW(AK$15),0),0)</f>
        <v>0</v>
      </c>
      <c r="AL94" s="632">
        <f ca="1">IF(AND($D94="Serviço",AL$12&lt;&gt;0,$H94&gt;0,OR(AUTOEVENTO&lt;&gt;"manual",$M94&lt;&gt;1)),ROUND(OFFSET($P94,0,AL$13),15-13*ORÇAMENTO!$AF$7)/$H94*OFFSET(ORÇAMENTO!$X$15,ROW(AL94)-ROW(AL$15),0),0)</f>
        <v>0</v>
      </c>
      <c r="AM94" s="632">
        <f ca="1">IF(AND($D94="Serviço",AM$12&lt;&gt;0,$H94&gt;0,OR(AUTOEVENTO&lt;&gt;"manual",$M94&lt;&gt;1)),ROUND(OFFSET($P94,0,AM$13),15-13*ORÇAMENTO!$AF$7)/$H94*OFFSET(ORÇAMENTO!$X$15,ROW(AM94)-ROW(AM$15),0),0)</f>
        <v>0</v>
      </c>
      <c r="AN94" s="632">
        <f ca="1">IF(AND($D94="Serviço",AN$12&lt;&gt;0,$H94&gt;0,OR(AUTOEVENTO&lt;&gt;"manual",$M94&lt;&gt;1)),ROUND(OFFSET($P94,0,AN$13),15-13*ORÇAMENTO!$AF$7)/$H94*OFFSET(ORÇAMENTO!$X$15,ROW(AN94)-ROW(AN$15),0),0)</f>
        <v>0</v>
      </c>
      <c r="AO94" s="632">
        <f ca="1">IF(AND($D94="Serviço",AO$12&lt;&gt;0,$H94&gt;0,OR(AUTOEVENTO&lt;&gt;"manual",$M94&lt;&gt;1)),ROUND(OFFSET($P94,0,AO$13),15-13*ORÇAMENTO!$AF$7)/$H94*OFFSET(ORÇAMENTO!$X$15,ROW(AO94)-ROW(AO$15),0),0)</f>
        <v>0</v>
      </c>
      <c r="AP94" s="632">
        <f ca="1">IF(AND($D94="Serviço",AP$12&lt;&gt;0,$H94&gt;0,OR(AUTOEVENTO&lt;&gt;"manual",$M94&lt;&gt;1)),ROUND(OFFSET($P94,0,AP$13),15-13*ORÇAMENTO!$AF$7)/$H94*OFFSET(ORÇAMENTO!$X$15,ROW(AP94)-ROW(AP$15),0),0)</f>
        <v>0</v>
      </c>
      <c r="AQ94" s="632">
        <f ca="1">IF(AND($D94="Serviço",AQ$12&lt;&gt;0,$H94&gt;0,OR(AUTOEVENTO&lt;&gt;"manual",$M94&lt;&gt;1)),ROUND(OFFSET($P94,0,AQ$13),15-13*ORÇAMENTO!$AF$7)/$H94*OFFSET(ORÇAMENTO!$X$15,ROW(AQ94)-ROW(AQ$15),0),0)</f>
        <v>0</v>
      </c>
      <c r="AR94" s="632">
        <f ca="1">IF(AND($D94="Serviço",AR$12&lt;&gt;0,$H94&gt;0,OR(AUTOEVENTO&lt;&gt;"manual",$M94&lt;&gt;1)),ROUND(OFFSET($P94,0,AR$13),15-13*ORÇAMENTO!$AF$7)/$H94*OFFSET(ORÇAMENTO!$X$15,ROW(AR94)-ROW(AR$15),0),0)</f>
        <v>0</v>
      </c>
      <c r="AS94" s="633">
        <f ca="1">IF(AND($D94="Serviço",AS$12&lt;&gt;0,$H94&gt;0,OR(AUTOEVENTO&lt;&gt;"manual",$M94&lt;&gt;1)),ROUND(OFFSET($P94,0,AS$13),15-13*ORÇAMENTO!$AF$7)/$H94*OFFSET(ORÇAMENTO!$X$15,ROW(AS94)-ROW(AS$15),0),0)</f>
        <v>0</v>
      </c>
      <c r="AT94" s="632">
        <f ca="1">IF(AND($D94="Serviço",AT$12&lt;&gt;0,$H94&gt;0,OR(AUTOEVENTO&lt;&gt;"manual",$M94&lt;&gt;1)),ROUND(OFFSET($P94,0,AT$13),15-13*ORÇAMENTO!$AF$7)/$H94*OFFSET(ORÇAMENTO!$X$15,ROW(AT94)-ROW(AT$15),0),0)</f>
        <v>0</v>
      </c>
      <c r="AU94" s="632">
        <f ca="1">IF(AND($D94="Serviço",AU$12&lt;&gt;0,$H94&gt;0,OR(AUTOEVENTO&lt;&gt;"manual",$M94&lt;&gt;1)),ROUND(OFFSET($P94,0,AU$13),15-13*ORÇAMENTO!$AF$7)/$H94*OFFSET(ORÇAMENTO!$X$15,ROW(AU94)-ROW(AU$15),0),0)</f>
        <v>0</v>
      </c>
      <c r="AV94" s="632">
        <f ca="1">IF(AND($D94="Serviço",AV$12&lt;&gt;0,$H94&gt;0,OR(AUTOEVENTO&lt;&gt;"manual",$M94&lt;&gt;1)),ROUND(OFFSET($P94,0,AV$13),15-13*ORÇAMENTO!$AF$7)/$H94*OFFSET(ORÇAMENTO!$X$15,ROW(AV94)-ROW(AV$15),0),0)</f>
        <v>0</v>
      </c>
      <c r="AW94" s="632">
        <f ca="1">IF(AND($D94="Serviço",AW$12&lt;&gt;0,$H94&gt;0,OR(AUTOEVENTO&lt;&gt;"manual",$M94&lt;&gt;1)),ROUND(OFFSET($P94,0,AW$13),15-13*ORÇAMENTO!$AF$7)/$H94*OFFSET(ORÇAMENTO!$X$15,ROW(AW94)-ROW(AW$15),0),0)</f>
        <v>0</v>
      </c>
      <c r="AX94" s="632">
        <f ca="1">IF(AND($D94="Serviço",AX$12&lt;&gt;0,$H94&gt;0,OR(AUTOEVENTO&lt;&gt;"manual",$M94&lt;&gt;1)),ROUND(OFFSET($P94,0,AX$13),15-13*ORÇAMENTO!$AF$7)/$H94*OFFSET(ORÇAMENTO!$X$15,ROW(AX94)-ROW(AX$15),0),0)</f>
        <v>0</v>
      </c>
      <c r="AY94" s="632">
        <f ca="1">IF(AND($D94="Serviço",AY$12&lt;&gt;0,$H94&gt;0,OR(AUTOEVENTO&lt;&gt;"manual",$M94&lt;&gt;1)),ROUND(OFFSET($P94,0,AY$13),15-13*ORÇAMENTO!$AF$7)/$H94*OFFSET(ORÇAMENTO!$X$15,ROW(AY94)-ROW(AY$15),0),0)</f>
        <v>0</v>
      </c>
      <c r="AZ94" s="632">
        <f ca="1">IF(AND($D94="Serviço",AZ$12&lt;&gt;0,$H94&gt;0,OR(AUTOEVENTO&lt;&gt;"manual",$M94&lt;&gt;1)),ROUND(OFFSET($P94,0,AZ$13),15-13*ORÇAMENTO!$AF$7)/$H94*OFFSET(ORÇAMENTO!$X$15,ROW(AZ94)-ROW(AZ$15),0),0)</f>
        <v>0</v>
      </c>
      <c r="BA94" s="633">
        <f ca="1">IF(AND($D94="Serviço",BA$12&lt;&gt;0,$H94&gt;0,OR(AUTOEVENTO&lt;&gt;"manual",$M94&lt;&gt;1)),ROUND(OFFSET($P94,0,BA$13),15-13*ORÇAMENTO!$AF$7)/$H94*OFFSET(ORÇAMENTO!$X$15,ROW(BA94)-ROW(BA$15),0),0)</f>
        <v>0</v>
      </c>
      <c r="BC94" s="215">
        <f ca="1">IF($D94&lt;&gt;"Serviço",0,IF(AND(AUTOEVENTO="Manual",$M94=1),0,IF(OFFSET(CRONOPLE!$F$14,$M94,BC$13)="",10^12,OFFSET(CRONOPLE!$F$14,$M94,BC$13))))</f>
        <v>1000000000000</v>
      </c>
      <c r="BD94" s="215">
        <f ca="1">IF($D94&lt;&gt;"Serviço",0,IF(AND(AUTOEVENTO="Manual",$M94=1),0,IF(OFFSET(CRONOPLE!$F$14,$M94,BD$13)="",10^12,OFFSET(CRONOPLE!$F$14,$M94,BD$13))))</f>
        <v>1000000000000</v>
      </c>
      <c r="BE94" s="215">
        <f ca="1">IF($D94&lt;&gt;"Serviço",0,IF(AND(AUTOEVENTO="Manual",$M94=1),0,IF(OFFSET(CRONOPLE!$F$14,$M94,BE$13)="",10^12,OFFSET(CRONOPLE!$F$14,$M94,BE$13))))</f>
        <v>1000000000000</v>
      </c>
      <c r="BF94" s="215">
        <f ca="1">IF($D94&lt;&gt;"Serviço",0,IF(AND(AUTOEVENTO="Manual",$M94=1),0,IF(OFFSET(CRONOPLE!$F$14,$M94,BF$13)="",10^12,OFFSET(CRONOPLE!$F$14,$M94,BF$13))))</f>
        <v>1000000000000</v>
      </c>
      <c r="BG94" s="215">
        <f ca="1">IF($D94&lt;&gt;"Serviço",0,IF(AND(AUTOEVENTO="Manual",$M94=1),0,IF(OFFSET(CRONOPLE!$F$14,$M94,BG$13)="",10^12,OFFSET(CRONOPLE!$F$14,$M94,BG$13))))</f>
        <v>1000000000000</v>
      </c>
      <c r="BH94" s="215">
        <f ca="1">IF($D94&lt;&gt;"Serviço",0,IF(AND(AUTOEVENTO="Manual",$M94=1),0,IF(OFFSET(CRONOPLE!$F$14,$M94,BH$13)="",10^12,OFFSET(CRONOPLE!$F$14,$M94,BH$13))))</f>
        <v>1000000000000</v>
      </c>
      <c r="BI94" s="215">
        <f ca="1">IF($D94&lt;&gt;"Serviço",0,IF(AND(AUTOEVENTO="Manual",$M94=1),0,IF(OFFSET(CRONOPLE!$F$14,$M94,BI$13)="",10^12,OFFSET(CRONOPLE!$F$14,$M94,BI$13))))</f>
        <v>1000000000000</v>
      </c>
      <c r="BJ94" s="215">
        <f ca="1">IF($D94&lt;&gt;"Serviço",0,IF(AND(AUTOEVENTO="Manual",$M94=1),0,IF(OFFSET(CRONOPLE!$F$14,$M94,BJ$13)="",10^12,OFFSET(CRONOPLE!$F$14,$M94,BJ$13))))</f>
        <v>1000000000000</v>
      </c>
      <c r="BK94" s="215">
        <f ca="1">IF($D94&lt;&gt;"Serviço",0,IF(AND(AUTOEVENTO="Manual",$M94=1),0,IF(OFFSET(CRONOPLE!$F$14,$M94,BK$13)="",10^12,OFFSET(CRONOPLE!$F$14,$M94,BK$13))))</f>
        <v>1000000000000</v>
      </c>
      <c r="BL94" s="215">
        <f ca="1">IF($D94&lt;&gt;"Serviço",0,IF(AND(AUTOEVENTO="Manual",$M94=1),0,IF(OFFSET(CRONOPLE!$F$14,$M94,BL$13)="",10^12,OFFSET(CRONOPLE!$F$14,$M94,BL$13))))</f>
        <v>1000000000000</v>
      </c>
      <c r="BM94" s="215">
        <f ca="1">IF($D94&lt;&gt;"Serviço",0,IF(AND(AUTOEVENTO="Manual",$M94=1),0,IF(OFFSET(CRONOPLE!$F$14,$M94,BM$13)="",10^12,OFFSET(CRONOPLE!$F$14,$M94,BM$13))))</f>
        <v>1000000000000</v>
      </c>
      <c r="BN94" s="215">
        <f ca="1">IF($D94&lt;&gt;"Serviço",0,IF(AND(AUTOEVENTO="Manual",$M94=1),0,IF(OFFSET(CRONOPLE!$F$14,$M94,BN$13)="",10^12,OFFSET(CRONOPLE!$F$14,$M94,BN$13))))</f>
        <v>1000000000000</v>
      </c>
      <c r="BO94" s="215">
        <f ca="1">IF($D94&lt;&gt;"Serviço",0,IF(AND(AUTOEVENTO="Manual",$M94=1),0,IF(OFFSET(CRONOPLE!$F$14,$M94,BO$13)="",10^12,OFFSET(CRONOPLE!$F$14,$M94,BO$13))))</f>
        <v>1000000000000</v>
      </c>
      <c r="BP94" s="215">
        <f ca="1">IF($D94&lt;&gt;"Serviço",0,IF(AND(AUTOEVENTO="Manual",$M94=1),0,IF(OFFSET(CRONOPLE!$F$14,$M94,BP$13)="",10^12,OFFSET(CRONOPLE!$F$14,$M94,BP$13))))</f>
        <v>1000000000000</v>
      </c>
      <c r="BQ94" s="215">
        <f ca="1">IF($D94&lt;&gt;"Serviço",0,IF(AND(AUTOEVENTO="Manual",$M94=1),0,IF(OFFSET(CRONOPLE!$F$14,$M94,BQ$13)="",10^12,OFFSET(CRONOPLE!$F$14,$M94,BQ$13))))</f>
        <v>1000000000000</v>
      </c>
      <c r="BR94" s="215">
        <f ca="1">IF($D94&lt;&gt;"Serviço",0,IF(AND(AUTOEVENTO="Manual",$M94=1),0,IF(OFFSET(CRONOPLE!$F$14,$M94,BR$13)="",10^12,OFFSET(CRONOPLE!$F$14,$M94,BR$13))))</f>
        <v>1000000000000</v>
      </c>
      <c r="BS94" s="215">
        <f ca="1">IF($D94&lt;&gt;"Serviço",0,IF(AND(AUTOEVENTO="Manual",$M94=1),0,IF(OFFSET(CRONOPLE!$F$14,$M94,BS$13)="",10^12,OFFSET(CRONOPLE!$F$14,$M94,BS$13))))</f>
        <v>1000000000000</v>
      </c>
      <c r="BT94" s="215">
        <f ca="1">IF($D94&lt;&gt;"Serviço",0,IF(AND(AUTOEVENTO="Manual",$M94=1),0,IF(OFFSET(CRONOPLE!$F$14,$M94,BT$13)="",10^12,OFFSET(CRONOPLE!$F$14,$M94,BT$13))))</f>
        <v>1000000000000</v>
      </c>
      <c r="BV94" s="216">
        <f ca="1">IF($D94&lt;&gt;"Serviço",0,IF(OR(AND(AUTOEVENTO="Manual",$M94=1),$M94&gt;(ROW(PLE.lastrow)-ROW(PLE.firstrow))),0,IF(OFFSET(PLE!$G$14,$M94,BV$13)="",10^12,OFFSET(PLE!$G$14,$M94,BV$13))))</f>
        <v>1000000000000</v>
      </c>
      <c r="BW94" s="216">
        <f ca="1">IF($D94&lt;&gt;"Serviço",0,IF(OR(AND(AUTOEVENTO="Manual",$M94=1),$M94&gt;(ROW(PLE.lastrow)-ROW(PLE.firstrow))),0,IF(OFFSET(PLE!$G$14,$M94,BW$13)="",10^12,OFFSET(PLE!$G$14,$M94,BW$13))))</f>
        <v>1000000000000</v>
      </c>
      <c r="BX94" s="216">
        <f ca="1">IF($D94&lt;&gt;"Serviço",0,IF(OR(AND(AUTOEVENTO="Manual",$M94=1),$M94&gt;(ROW(PLE.lastrow)-ROW(PLE.firstrow))),0,IF(OFFSET(PLE!$G$14,$M94,BX$13)="",10^12,OFFSET(PLE!$G$14,$M94,BX$13))))</f>
        <v>1000000000000</v>
      </c>
      <c r="BY94" s="216">
        <f ca="1">IF($D94&lt;&gt;"Serviço",0,IF(OR(AND(AUTOEVENTO="Manual",$M94=1),$M94&gt;(ROW(PLE.lastrow)-ROW(PLE.firstrow))),0,IF(OFFSET(PLE!$G$14,$M94,BY$13)="",10^12,OFFSET(PLE!$G$14,$M94,BY$13))))</f>
        <v>1000000000000</v>
      </c>
      <c r="BZ94" s="216">
        <f ca="1">IF($D94&lt;&gt;"Serviço",0,IF(OR(AND(AUTOEVENTO="Manual",$M94=1),$M94&gt;(ROW(PLE.lastrow)-ROW(PLE.firstrow))),0,IF(OFFSET(PLE!$G$14,$M94,BZ$13)="",10^12,OFFSET(PLE!$G$14,$M94,BZ$13))))</f>
        <v>1000000000000</v>
      </c>
      <c r="CA94" s="216">
        <f ca="1">IF($D94&lt;&gt;"Serviço",0,IF(OR(AND(AUTOEVENTO="Manual",$M94=1),$M94&gt;(ROW(PLE.lastrow)-ROW(PLE.firstrow))),0,IF(OFFSET(PLE!$G$14,$M94,CA$13)="",10^12,OFFSET(PLE!$G$14,$M94,CA$13))))</f>
        <v>1000000000000</v>
      </c>
      <c r="CB94" s="216">
        <f ca="1">IF($D94&lt;&gt;"Serviço",0,IF(OR(AND(AUTOEVENTO="Manual",$M94=1),$M94&gt;(ROW(PLE.lastrow)-ROW(PLE.firstrow))),0,IF(OFFSET(PLE!$G$14,$M94,CB$13)="",10^12,OFFSET(PLE!$G$14,$M94,CB$13))))</f>
        <v>1000000000000</v>
      </c>
      <c r="CC94" s="216">
        <f ca="1">IF($D94&lt;&gt;"Serviço",0,IF(OR(AND(AUTOEVENTO="Manual",$M94=1),$M94&gt;(ROW(PLE.lastrow)-ROW(PLE.firstrow))),0,IF(OFFSET(PLE!$G$14,$M94,CC$13)="",10^12,OFFSET(PLE!$G$14,$M94,CC$13))))</f>
        <v>1000000000000</v>
      </c>
      <c r="CD94" s="216">
        <f ca="1">IF($D94&lt;&gt;"Serviço",0,IF(OR(AND(AUTOEVENTO="Manual",$M94=1),$M94&gt;(ROW(PLE.lastrow)-ROW(PLE.firstrow))),0,IF(OFFSET(PLE!$G$14,$M94,CD$13)="",10^12,OFFSET(PLE!$G$14,$M94,CD$13))))</f>
        <v>1000000000000</v>
      </c>
      <c r="CE94" s="216">
        <f ca="1">IF($D94&lt;&gt;"Serviço",0,IF(OR(AND(AUTOEVENTO="Manual",$M94=1),$M94&gt;(ROW(PLE.lastrow)-ROW(PLE.firstrow))),0,IF(OFFSET(PLE!$G$14,$M94,CE$13)="",10^12,OFFSET(PLE!$G$14,$M94,CE$13))))</f>
        <v>1000000000000</v>
      </c>
      <c r="CF94" s="216">
        <f ca="1">IF($D94&lt;&gt;"Serviço",0,IF(OR(AND(AUTOEVENTO="Manual",$M94=1),$M94&gt;(ROW(PLE.lastrow)-ROW(PLE.firstrow))),0,IF(OFFSET(PLE!$G$14,$M94,CF$13)="",10^12,OFFSET(PLE!$G$14,$M94,CF$13))))</f>
        <v>1000000000000</v>
      </c>
      <c r="CG94" s="216">
        <f ca="1">IF($D94&lt;&gt;"Serviço",0,IF(OR(AND(AUTOEVENTO="Manual",$M94=1),$M94&gt;(ROW(PLE.lastrow)-ROW(PLE.firstrow))),0,IF(OFFSET(PLE!$G$14,$M94,CG$13)="",10^12,OFFSET(PLE!$G$14,$M94,CG$13))))</f>
        <v>1000000000000</v>
      </c>
      <c r="CH94" s="216">
        <f ca="1">IF($D94&lt;&gt;"Serviço",0,IF(OR(AND(AUTOEVENTO="Manual",$M94=1),$M94&gt;(ROW(PLE.lastrow)-ROW(PLE.firstrow))),0,IF(OFFSET(PLE!$G$14,$M94,CH$13)="",10^12,OFFSET(PLE!$G$14,$M94,CH$13))))</f>
        <v>1000000000000</v>
      </c>
      <c r="CI94" s="216">
        <f ca="1">IF($D94&lt;&gt;"Serviço",0,IF(OR(AND(AUTOEVENTO="Manual",$M94=1),$M94&gt;(ROW(PLE.lastrow)-ROW(PLE.firstrow))),0,IF(OFFSET(PLE!$G$14,$M94,CI$13)="",10^12,OFFSET(PLE!$G$14,$M94,CI$13))))</f>
        <v>1000000000000</v>
      </c>
      <c r="CJ94" s="216">
        <f ca="1">IF($D94&lt;&gt;"Serviço",0,IF(OR(AND(AUTOEVENTO="Manual",$M94=1),$M94&gt;(ROW(PLE.lastrow)-ROW(PLE.firstrow))),0,IF(OFFSET(PLE!$G$14,$M94,CJ$13)="",10^12,OFFSET(PLE!$G$14,$M94,CJ$13))))</f>
        <v>1000000000000</v>
      </c>
      <c r="CK94" s="216">
        <f ca="1">IF($D94&lt;&gt;"Serviço",0,IF(OR(AND(AUTOEVENTO="Manual",$M94=1),$M94&gt;(ROW(PLE.lastrow)-ROW(PLE.firstrow))),0,IF(OFFSET(PLE!$G$14,$M94,CK$13)="",10^12,OFFSET(PLE!$G$14,$M94,CK$13))))</f>
        <v>1000000000000</v>
      </c>
      <c r="CL94" s="216">
        <f ca="1">IF($D94&lt;&gt;"Serviço",0,IF(OR(AND(AUTOEVENTO="Manual",$M94=1),$M94&gt;(ROW(PLE.lastrow)-ROW(PLE.firstrow))),0,IF(OFFSET(PLE!$G$14,$M94,CL$13)="",10^12,OFFSET(PLE!$G$14,$M94,CL$13))))</f>
        <v>1000000000000</v>
      </c>
      <c r="CM94" s="216">
        <f ca="1">IF($D94&lt;&gt;"Serviço",0,IF(OR(AND(AUTOEVENTO="Manual",$M94=1),$M94&gt;(ROW(PLE.lastrow)-ROW(PLE.firstrow))),0,IF(OFFSET(PLE!$G$14,$M94,CM$13)="",10^12,OFFSET(PLE!$G$14,$M94,CM$13))))</f>
        <v>1000000000000</v>
      </c>
    </row>
    <row r="95" spans="1:91" ht="13.2" x14ac:dyDescent="0.25">
      <c r="A95" s="9">
        <f t="shared" ca="1" si="10"/>
        <v>0</v>
      </c>
      <c r="B95" s="9" t="str">
        <f ca="1">OFFSET(ORÇAMENTO!C$15,ROW(B95)-ROW(B$15),0)</f>
        <v>S</v>
      </c>
      <c r="C95" s="9" t="str">
        <f ca="1">OFFSET(ORÇAMENTO!L$15,ROW(C95)-ROW(C$15),0)</f>
        <v/>
      </c>
      <c r="D95" s="145" t="str">
        <f ca="1">OFFSET(ORÇAMENTO!N$15,ROW(D95)-ROW(D$15),0)</f>
        <v>Serviço</v>
      </c>
      <c r="E95" s="205" t="str">
        <f ca="1">OFFSET(ORÇAMENTO!O$15,ROW(E95)-ROW(E$15),0)</f>
        <v>-</v>
      </c>
      <c r="F95" s="206" t="str">
        <f ca="1">OFFSET(ORÇAMENTO!R$15,ROW(F95)-ROW(F$15),0)</f>
        <v>(abra o arquivo 'Referência 05-2024.xls)</v>
      </c>
      <c r="G95" s="207" t="str">
        <f ca="1">IF($D95&lt;&gt;"Serviço","",OFFSET(ORÇAMENTO!S$15,ROW(G95)-ROW(G$15),0))</f>
        <v>-</v>
      </c>
      <c r="H95" s="151">
        <f ca="1">IF($D95&lt;&gt;"Serviço",0,IF(ACOMPANHAMENTO="BM",ROUND(OFFSET(ORÇAMENTO!AJ$15,ROW(H95)-ROW(H$15),0),15-13*ORÇAMENTO!$AF$7),SUMPRODUCT(($Q$12:$AI$12&lt;&gt;"")*ROUND($Q95:$AI95,15-13*ORÇAMENTO!$AF$7))))</f>
        <v>3.98</v>
      </c>
      <c r="I95" s="650"/>
      <c r="K95" s="208"/>
      <c r="L95" s="209" t="s">
        <v>257</v>
      </c>
      <c r="M95" s="210">
        <f ca="1">IF($D95&lt;&gt;"Serviço","",IF(AUTOEVENTO="manual",$A95,IF(ISERROR(MATCH($A95,$A$15:OFFSET($A95,-1,0),0)),MAX($M$15:OFFSET(M95,-1,0))+1,INDEX($M$15:OFFSET(M95,-1,0),MATCH($A95,$A$15:OFFSET($A95,-1,0),0)))))</f>
        <v>0</v>
      </c>
      <c r="N95" s="211" t="str">
        <f ca="1">IF($D95&lt;&gt;"Serviço","",IF(AUTOEVENTO="Manual",IF($A95=0,"&lt;-- defina o número do agrupador",OFFSET(EVENTOS!$D$14,$A95,0)),OFFSET($F$15,$A95,0)))</f>
        <v>&lt;-- defina o número do agrupador</v>
      </c>
      <c r="O95" s="212"/>
      <c r="Q95" s="212"/>
      <c r="R95" s="213"/>
      <c r="S95" s="213"/>
      <c r="T95" s="213"/>
      <c r="U95" s="213"/>
      <c r="V95" s="213"/>
      <c r="W95" s="213"/>
      <c r="X95" s="213"/>
      <c r="Y95" s="213"/>
      <c r="Z95" s="214"/>
      <c r="AA95" s="213"/>
      <c r="AB95" s="213"/>
      <c r="AC95" s="213"/>
      <c r="AD95" s="213"/>
      <c r="AE95" s="213"/>
      <c r="AF95" s="213"/>
      <c r="AG95" s="213"/>
      <c r="AH95" s="214"/>
      <c r="AJ95" s="631">
        <f ca="1">IF(AND($D95="Serviço",AJ$12&lt;&gt;0,$H95&gt;0,OR(AUTOEVENTO&lt;&gt;"manual",$M95&lt;&gt;1)),ROUND(OFFSET($P95,0,AJ$13),15-13*ORÇAMENTO!$AF$7)/$H95*OFFSET(ORÇAMENTO!$X$15,ROW(AJ95)-ROW(AJ$15),0),0)</f>
        <v>0</v>
      </c>
      <c r="AK95" s="632">
        <f ca="1">IF(AND($D95="Serviço",AK$12&lt;&gt;0,$H95&gt;0,OR(AUTOEVENTO&lt;&gt;"manual",$M95&lt;&gt;1)),ROUND(OFFSET($P95,0,AK$13),15-13*ORÇAMENTO!$AF$7)/$H95*OFFSET(ORÇAMENTO!$X$15,ROW(AK95)-ROW(AK$15),0),0)</f>
        <v>0</v>
      </c>
      <c r="AL95" s="632">
        <f ca="1">IF(AND($D95="Serviço",AL$12&lt;&gt;0,$H95&gt;0,OR(AUTOEVENTO&lt;&gt;"manual",$M95&lt;&gt;1)),ROUND(OFFSET($P95,0,AL$13),15-13*ORÇAMENTO!$AF$7)/$H95*OFFSET(ORÇAMENTO!$X$15,ROW(AL95)-ROW(AL$15),0),0)</f>
        <v>0</v>
      </c>
      <c r="AM95" s="632">
        <f ca="1">IF(AND($D95="Serviço",AM$12&lt;&gt;0,$H95&gt;0,OR(AUTOEVENTO&lt;&gt;"manual",$M95&lt;&gt;1)),ROUND(OFFSET($P95,0,AM$13),15-13*ORÇAMENTO!$AF$7)/$H95*OFFSET(ORÇAMENTO!$X$15,ROW(AM95)-ROW(AM$15),0),0)</f>
        <v>0</v>
      </c>
      <c r="AN95" s="632">
        <f ca="1">IF(AND($D95="Serviço",AN$12&lt;&gt;0,$H95&gt;0,OR(AUTOEVENTO&lt;&gt;"manual",$M95&lt;&gt;1)),ROUND(OFFSET($P95,0,AN$13),15-13*ORÇAMENTO!$AF$7)/$H95*OFFSET(ORÇAMENTO!$X$15,ROW(AN95)-ROW(AN$15),0),0)</f>
        <v>0</v>
      </c>
      <c r="AO95" s="632">
        <f ca="1">IF(AND($D95="Serviço",AO$12&lt;&gt;0,$H95&gt;0,OR(AUTOEVENTO&lt;&gt;"manual",$M95&lt;&gt;1)),ROUND(OFFSET($P95,0,AO$13),15-13*ORÇAMENTO!$AF$7)/$H95*OFFSET(ORÇAMENTO!$X$15,ROW(AO95)-ROW(AO$15),0),0)</f>
        <v>0</v>
      </c>
      <c r="AP95" s="632">
        <f ca="1">IF(AND($D95="Serviço",AP$12&lt;&gt;0,$H95&gt;0,OR(AUTOEVENTO&lt;&gt;"manual",$M95&lt;&gt;1)),ROUND(OFFSET($P95,0,AP$13),15-13*ORÇAMENTO!$AF$7)/$H95*OFFSET(ORÇAMENTO!$X$15,ROW(AP95)-ROW(AP$15),0),0)</f>
        <v>0</v>
      </c>
      <c r="AQ95" s="632">
        <f ca="1">IF(AND($D95="Serviço",AQ$12&lt;&gt;0,$H95&gt;0,OR(AUTOEVENTO&lt;&gt;"manual",$M95&lt;&gt;1)),ROUND(OFFSET($P95,0,AQ$13),15-13*ORÇAMENTO!$AF$7)/$H95*OFFSET(ORÇAMENTO!$X$15,ROW(AQ95)-ROW(AQ$15),0),0)</f>
        <v>0</v>
      </c>
      <c r="AR95" s="632">
        <f ca="1">IF(AND($D95="Serviço",AR$12&lt;&gt;0,$H95&gt;0,OR(AUTOEVENTO&lt;&gt;"manual",$M95&lt;&gt;1)),ROUND(OFFSET($P95,0,AR$13),15-13*ORÇAMENTO!$AF$7)/$H95*OFFSET(ORÇAMENTO!$X$15,ROW(AR95)-ROW(AR$15),0),0)</f>
        <v>0</v>
      </c>
      <c r="AS95" s="633">
        <f ca="1">IF(AND($D95="Serviço",AS$12&lt;&gt;0,$H95&gt;0,OR(AUTOEVENTO&lt;&gt;"manual",$M95&lt;&gt;1)),ROUND(OFFSET($P95,0,AS$13),15-13*ORÇAMENTO!$AF$7)/$H95*OFFSET(ORÇAMENTO!$X$15,ROW(AS95)-ROW(AS$15),0),0)</f>
        <v>0</v>
      </c>
      <c r="AT95" s="632">
        <f ca="1">IF(AND($D95="Serviço",AT$12&lt;&gt;0,$H95&gt;0,OR(AUTOEVENTO&lt;&gt;"manual",$M95&lt;&gt;1)),ROUND(OFFSET($P95,0,AT$13),15-13*ORÇAMENTO!$AF$7)/$H95*OFFSET(ORÇAMENTO!$X$15,ROW(AT95)-ROW(AT$15),0),0)</f>
        <v>0</v>
      </c>
      <c r="AU95" s="632">
        <f ca="1">IF(AND($D95="Serviço",AU$12&lt;&gt;0,$H95&gt;0,OR(AUTOEVENTO&lt;&gt;"manual",$M95&lt;&gt;1)),ROUND(OFFSET($P95,0,AU$13),15-13*ORÇAMENTO!$AF$7)/$H95*OFFSET(ORÇAMENTO!$X$15,ROW(AU95)-ROW(AU$15),0),0)</f>
        <v>0</v>
      </c>
      <c r="AV95" s="632">
        <f ca="1">IF(AND($D95="Serviço",AV$12&lt;&gt;0,$H95&gt;0,OR(AUTOEVENTO&lt;&gt;"manual",$M95&lt;&gt;1)),ROUND(OFFSET($P95,0,AV$13),15-13*ORÇAMENTO!$AF$7)/$H95*OFFSET(ORÇAMENTO!$X$15,ROW(AV95)-ROW(AV$15),0),0)</f>
        <v>0</v>
      </c>
      <c r="AW95" s="632">
        <f ca="1">IF(AND($D95="Serviço",AW$12&lt;&gt;0,$H95&gt;0,OR(AUTOEVENTO&lt;&gt;"manual",$M95&lt;&gt;1)),ROUND(OFFSET($P95,0,AW$13),15-13*ORÇAMENTO!$AF$7)/$H95*OFFSET(ORÇAMENTO!$X$15,ROW(AW95)-ROW(AW$15),0),0)</f>
        <v>0</v>
      </c>
      <c r="AX95" s="632">
        <f ca="1">IF(AND($D95="Serviço",AX$12&lt;&gt;0,$H95&gt;0,OR(AUTOEVENTO&lt;&gt;"manual",$M95&lt;&gt;1)),ROUND(OFFSET($P95,0,AX$13),15-13*ORÇAMENTO!$AF$7)/$H95*OFFSET(ORÇAMENTO!$X$15,ROW(AX95)-ROW(AX$15),0),0)</f>
        <v>0</v>
      </c>
      <c r="AY95" s="632">
        <f ca="1">IF(AND($D95="Serviço",AY$12&lt;&gt;0,$H95&gt;0,OR(AUTOEVENTO&lt;&gt;"manual",$M95&lt;&gt;1)),ROUND(OFFSET($P95,0,AY$13),15-13*ORÇAMENTO!$AF$7)/$H95*OFFSET(ORÇAMENTO!$X$15,ROW(AY95)-ROW(AY$15),0),0)</f>
        <v>0</v>
      </c>
      <c r="AZ95" s="632">
        <f ca="1">IF(AND($D95="Serviço",AZ$12&lt;&gt;0,$H95&gt;0,OR(AUTOEVENTO&lt;&gt;"manual",$M95&lt;&gt;1)),ROUND(OFFSET($P95,0,AZ$13),15-13*ORÇAMENTO!$AF$7)/$H95*OFFSET(ORÇAMENTO!$X$15,ROW(AZ95)-ROW(AZ$15),0),0)</f>
        <v>0</v>
      </c>
      <c r="BA95" s="633">
        <f ca="1">IF(AND($D95="Serviço",BA$12&lt;&gt;0,$H95&gt;0,OR(AUTOEVENTO&lt;&gt;"manual",$M95&lt;&gt;1)),ROUND(OFFSET($P95,0,BA$13),15-13*ORÇAMENTO!$AF$7)/$H95*OFFSET(ORÇAMENTO!$X$15,ROW(BA95)-ROW(BA$15),0),0)</f>
        <v>0</v>
      </c>
      <c r="BC95" s="215">
        <f ca="1">IF($D95&lt;&gt;"Serviço",0,IF(AND(AUTOEVENTO="Manual",$M95=1),0,IF(OFFSET(CRONOPLE!$F$14,$M95,BC$13)="",10^12,OFFSET(CRONOPLE!$F$14,$M95,BC$13))))</f>
        <v>1000000000000</v>
      </c>
      <c r="BD95" s="215">
        <f ca="1">IF($D95&lt;&gt;"Serviço",0,IF(AND(AUTOEVENTO="Manual",$M95=1),0,IF(OFFSET(CRONOPLE!$F$14,$M95,BD$13)="",10^12,OFFSET(CRONOPLE!$F$14,$M95,BD$13))))</f>
        <v>1000000000000</v>
      </c>
      <c r="BE95" s="215">
        <f ca="1">IF($D95&lt;&gt;"Serviço",0,IF(AND(AUTOEVENTO="Manual",$M95=1),0,IF(OFFSET(CRONOPLE!$F$14,$M95,BE$13)="",10^12,OFFSET(CRONOPLE!$F$14,$M95,BE$13))))</f>
        <v>1000000000000</v>
      </c>
      <c r="BF95" s="215">
        <f ca="1">IF($D95&lt;&gt;"Serviço",0,IF(AND(AUTOEVENTO="Manual",$M95=1),0,IF(OFFSET(CRONOPLE!$F$14,$M95,BF$13)="",10^12,OFFSET(CRONOPLE!$F$14,$M95,BF$13))))</f>
        <v>1000000000000</v>
      </c>
      <c r="BG95" s="215">
        <f ca="1">IF($D95&lt;&gt;"Serviço",0,IF(AND(AUTOEVENTO="Manual",$M95=1),0,IF(OFFSET(CRONOPLE!$F$14,$M95,BG$13)="",10^12,OFFSET(CRONOPLE!$F$14,$M95,BG$13))))</f>
        <v>1000000000000</v>
      </c>
      <c r="BH95" s="215">
        <f ca="1">IF($D95&lt;&gt;"Serviço",0,IF(AND(AUTOEVENTO="Manual",$M95=1),0,IF(OFFSET(CRONOPLE!$F$14,$M95,BH$13)="",10^12,OFFSET(CRONOPLE!$F$14,$M95,BH$13))))</f>
        <v>1000000000000</v>
      </c>
      <c r="BI95" s="215">
        <f ca="1">IF($D95&lt;&gt;"Serviço",0,IF(AND(AUTOEVENTO="Manual",$M95=1),0,IF(OFFSET(CRONOPLE!$F$14,$M95,BI$13)="",10^12,OFFSET(CRONOPLE!$F$14,$M95,BI$13))))</f>
        <v>1000000000000</v>
      </c>
      <c r="BJ95" s="215">
        <f ca="1">IF($D95&lt;&gt;"Serviço",0,IF(AND(AUTOEVENTO="Manual",$M95=1),0,IF(OFFSET(CRONOPLE!$F$14,$M95,BJ$13)="",10^12,OFFSET(CRONOPLE!$F$14,$M95,BJ$13))))</f>
        <v>1000000000000</v>
      </c>
      <c r="BK95" s="215">
        <f ca="1">IF($D95&lt;&gt;"Serviço",0,IF(AND(AUTOEVENTO="Manual",$M95=1),0,IF(OFFSET(CRONOPLE!$F$14,$M95,BK$13)="",10^12,OFFSET(CRONOPLE!$F$14,$M95,BK$13))))</f>
        <v>1000000000000</v>
      </c>
      <c r="BL95" s="215">
        <f ca="1">IF($D95&lt;&gt;"Serviço",0,IF(AND(AUTOEVENTO="Manual",$M95=1),0,IF(OFFSET(CRONOPLE!$F$14,$M95,BL$13)="",10^12,OFFSET(CRONOPLE!$F$14,$M95,BL$13))))</f>
        <v>1000000000000</v>
      </c>
      <c r="BM95" s="215">
        <f ca="1">IF($D95&lt;&gt;"Serviço",0,IF(AND(AUTOEVENTO="Manual",$M95=1),0,IF(OFFSET(CRONOPLE!$F$14,$M95,BM$13)="",10^12,OFFSET(CRONOPLE!$F$14,$M95,BM$13))))</f>
        <v>1000000000000</v>
      </c>
      <c r="BN95" s="215">
        <f ca="1">IF($D95&lt;&gt;"Serviço",0,IF(AND(AUTOEVENTO="Manual",$M95=1),0,IF(OFFSET(CRONOPLE!$F$14,$M95,BN$13)="",10^12,OFFSET(CRONOPLE!$F$14,$M95,BN$13))))</f>
        <v>1000000000000</v>
      </c>
      <c r="BO95" s="215">
        <f ca="1">IF($D95&lt;&gt;"Serviço",0,IF(AND(AUTOEVENTO="Manual",$M95=1),0,IF(OFFSET(CRONOPLE!$F$14,$M95,BO$13)="",10^12,OFFSET(CRONOPLE!$F$14,$M95,BO$13))))</f>
        <v>1000000000000</v>
      </c>
      <c r="BP95" s="215">
        <f ca="1">IF($D95&lt;&gt;"Serviço",0,IF(AND(AUTOEVENTO="Manual",$M95=1),0,IF(OFFSET(CRONOPLE!$F$14,$M95,BP$13)="",10^12,OFFSET(CRONOPLE!$F$14,$M95,BP$13))))</f>
        <v>1000000000000</v>
      </c>
      <c r="BQ95" s="215">
        <f ca="1">IF($D95&lt;&gt;"Serviço",0,IF(AND(AUTOEVENTO="Manual",$M95=1),0,IF(OFFSET(CRONOPLE!$F$14,$M95,BQ$13)="",10^12,OFFSET(CRONOPLE!$F$14,$M95,BQ$13))))</f>
        <v>1000000000000</v>
      </c>
      <c r="BR95" s="215">
        <f ca="1">IF($D95&lt;&gt;"Serviço",0,IF(AND(AUTOEVENTO="Manual",$M95=1),0,IF(OFFSET(CRONOPLE!$F$14,$M95,BR$13)="",10^12,OFFSET(CRONOPLE!$F$14,$M95,BR$13))))</f>
        <v>1000000000000</v>
      </c>
      <c r="BS95" s="215">
        <f ca="1">IF($D95&lt;&gt;"Serviço",0,IF(AND(AUTOEVENTO="Manual",$M95=1),0,IF(OFFSET(CRONOPLE!$F$14,$M95,BS$13)="",10^12,OFFSET(CRONOPLE!$F$14,$M95,BS$13))))</f>
        <v>1000000000000</v>
      </c>
      <c r="BT95" s="215">
        <f ca="1">IF($D95&lt;&gt;"Serviço",0,IF(AND(AUTOEVENTO="Manual",$M95=1),0,IF(OFFSET(CRONOPLE!$F$14,$M95,BT$13)="",10^12,OFFSET(CRONOPLE!$F$14,$M95,BT$13))))</f>
        <v>1000000000000</v>
      </c>
      <c r="BV95" s="216">
        <f ca="1">IF($D95&lt;&gt;"Serviço",0,IF(OR(AND(AUTOEVENTO="Manual",$M95=1),$M95&gt;(ROW(PLE.lastrow)-ROW(PLE.firstrow))),0,IF(OFFSET(PLE!$G$14,$M95,BV$13)="",10^12,OFFSET(PLE!$G$14,$M95,BV$13))))</f>
        <v>1000000000000</v>
      </c>
      <c r="BW95" s="216">
        <f ca="1">IF($D95&lt;&gt;"Serviço",0,IF(OR(AND(AUTOEVENTO="Manual",$M95=1),$M95&gt;(ROW(PLE.lastrow)-ROW(PLE.firstrow))),0,IF(OFFSET(PLE!$G$14,$M95,BW$13)="",10^12,OFFSET(PLE!$G$14,$M95,BW$13))))</f>
        <v>1000000000000</v>
      </c>
      <c r="BX95" s="216">
        <f ca="1">IF($D95&lt;&gt;"Serviço",0,IF(OR(AND(AUTOEVENTO="Manual",$M95=1),$M95&gt;(ROW(PLE.lastrow)-ROW(PLE.firstrow))),0,IF(OFFSET(PLE!$G$14,$M95,BX$13)="",10^12,OFFSET(PLE!$G$14,$M95,BX$13))))</f>
        <v>1000000000000</v>
      </c>
      <c r="BY95" s="216">
        <f ca="1">IF($D95&lt;&gt;"Serviço",0,IF(OR(AND(AUTOEVENTO="Manual",$M95=1),$M95&gt;(ROW(PLE.lastrow)-ROW(PLE.firstrow))),0,IF(OFFSET(PLE!$G$14,$M95,BY$13)="",10^12,OFFSET(PLE!$G$14,$M95,BY$13))))</f>
        <v>1000000000000</v>
      </c>
      <c r="BZ95" s="216">
        <f ca="1">IF($D95&lt;&gt;"Serviço",0,IF(OR(AND(AUTOEVENTO="Manual",$M95=1),$M95&gt;(ROW(PLE.lastrow)-ROW(PLE.firstrow))),0,IF(OFFSET(PLE!$G$14,$M95,BZ$13)="",10^12,OFFSET(PLE!$G$14,$M95,BZ$13))))</f>
        <v>1000000000000</v>
      </c>
      <c r="CA95" s="216">
        <f ca="1">IF($D95&lt;&gt;"Serviço",0,IF(OR(AND(AUTOEVENTO="Manual",$M95=1),$M95&gt;(ROW(PLE.lastrow)-ROW(PLE.firstrow))),0,IF(OFFSET(PLE!$G$14,$M95,CA$13)="",10^12,OFFSET(PLE!$G$14,$M95,CA$13))))</f>
        <v>1000000000000</v>
      </c>
      <c r="CB95" s="216">
        <f ca="1">IF($D95&lt;&gt;"Serviço",0,IF(OR(AND(AUTOEVENTO="Manual",$M95=1),$M95&gt;(ROW(PLE.lastrow)-ROW(PLE.firstrow))),0,IF(OFFSET(PLE!$G$14,$M95,CB$13)="",10^12,OFFSET(PLE!$G$14,$M95,CB$13))))</f>
        <v>1000000000000</v>
      </c>
      <c r="CC95" s="216">
        <f ca="1">IF($D95&lt;&gt;"Serviço",0,IF(OR(AND(AUTOEVENTO="Manual",$M95=1),$M95&gt;(ROW(PLE.lastrow)-ROW(PLE.firstrow))),0,IF(OFFSET(PLE!$G$14,$M95,CC$13)="",10^12,OFFSET(PLE!$G$14,$M95,CC$13))))</f>
        <v>1000000000000</v>
      </c>
      <c r="CD95" s="216">
        <f ca="1">IF($D95&lt;&gt;"Serviço",0,IF(OR(AND(AUTOEVENTO="Manual",$M95=1),$M95&gt;(ROW(PLE.lastrow)-ROW(PLE.firstrow))),0,IF(OFFSET(PLE!$G$14,$M95,CD$13)="",10^12,OFFSET(PLE!$G$14,$M95,CD$13))))</f>
        <v>1000000000000</v>
      </c>
      <c r="CE95" s="216">
        <f ca="1">IF($D95&lt;&gt;"Serviço",0,IF(OR(AND(AUTOEVENTO="Manual",$M95=1),$M95&gt;(ROW(PLE.lastrow)-ROW(PLE.firstrow))),0,IF(OFFSET(PLE!$G$14,$M95,CE$13)="",10^12,OFFSET(PLE!$G$14,$M95,CE$13))))</f>
        <v>1000000000000</v>
      </c>
      <c r="CF95" s="216">
        <f ca="1">IF($D95&lt;&gt;"Serviço",0,IF(OR(AND(AUTOEVENTO="Manual",$M95=1),$M95&gt;(ROW(PLE.lastrow)-ROW(PLE.firstrow))),0,IF(OFFSET(PLE!$G$14,$M95,CF$13)="",10^12,OFFSET(PLE!$G$14,$M95,CF$13))))</f>
        <v>1000000000000</v>
      </c>
      <c r="CG95" s="216">
        <f ca="1">IF($D95&lt;&gt;"Serviço",0,IF(OR(AND(AUTOEVENTO="Manual",$M95=1),$M95&gt;(ROW(PLE.lastrow)-ROW(PLE.firstrow))),0,IF(OFFSET(PLE!$G$14,$M95,CG$13)="",10^12,OFFSET(PLE!$G$14,$M95,CG$13))))</f>
        <v>1000000000000</v>
      </c>
      <c r="CH95" s="216">
        <f ca="1">IF($D95&lt;&gt;"Serviço",0,IF(OR(AND(AUTOEVENTO="Manual",$M95=1),$M95&gt;(ROW(PLE.lastrow)-ROW(PLE.firstrow))),0,IF(OFFSET(PLE!$G$14,$M95,CH$13)="",10^12,OFFSET(PLE!$G$14,$M95,CH$13))))</f>
        <v>1000000000000</v>
      </c>
      <c r="CI95" s="216">
        <f ca="1">IF($D95&lt;&gt;"Serviço",0,IF(OR(AND(AUTOEVENTO="Manual",$M95=1),$M95&gt;(ROW(PLE.lastrow)-ROW(PLE.firstrow))),0,IF(OFFSET(PLE!$G$14,$M95,CI$13)="",10^12,OFFSET(PLE!$G$14,$M95,CI$13))))</f>
        <v>1000000000000</v>
      </c>
      <c r="CJ95" s="216">
        <f ca="1">IF($D95&lt;&gt;"Serviço",0,IF(OR(AND(AUTOEVENTO="Manual",$M95=1),$M95&gt;(ROW(PLE.lastrow)-ROW(PLE.firstrow))),0,IF(OFFSET(PLE!$G$14,$M95,CJ$13)="",10^12,OFFSET(PLE!$G$14,$M95,CJ$13))))</f>
        <v>1000000000000</v>
      </c>
      <c r="CK95" s="216">
        <f ca="1">IF($D95&lt;&gt;"Serviço",0,IF(OR(AND(AUTOEVENTO="Manual",$M95=1),$M95&gt;(ROW(PLE.lastrow)-ROW(PLE.firstrow))),0,IF(OFFSET(PLE!$G$14,$M95,CK$13)="",10^12,OFFSET(PLE!$G$14,$M95,CK$13))))</f>
        <v>1000000000000</v>
      </c>
      <c r="CL95" s="216">
        <f ca="1">IF($D95&lt;&gt;"Serviço",0,IF(OR(AND(AUTOEVENTO="Manual",$M95=1),$M95&gt;(ROW(PLE.lastrow)-ROW(PLE.firstrow))),0,IF(OFFSET(PLE!$G$14,$M95,CL$13)="",10^12,OFFSET(PLE!$G$14,$M95,CL$13))))</f>
        <v>1000000000000</v>
      </c>
      <c r="CM95" s="216">
        <f ca="1">IF($D95&lt;&gt;"Serviço",0,IF(OR(AND(AUTOEVENTO="Manual",$M95=1),$M95&gt;(ROW(PLE.lastrow)-ROW(PLE.firstrow))),0,IF(OFFSET(PLE!$G$14,$M95,CM$13)="",10^12,OFFSET(PLE!$G$14,$M95,CM$13))))</f>
        <v>1000000000000</v>
      </c>
    </row>
    <row r="96" spans="1:91" ht="13.2" x14ac:dyDescent="0.25">
      <c r="A96" s="9">
        <f t="shared" ca="1" si="10"/>
        <v>0</v>
      </c>
      <c r="B96" s="9" t="str">
        <f ca="1">OFFSET(ORÇAMENTO!C$15,ROW(B96)-ROW(B$15),0)</f>
        <v>S</v>
      </c>
      <c r="C96" s="9" t="str">
        <f ca="1">OFFSET(ORÇAMENTO!L$15,ROW(C96)-ROW(C$15),0)</f>
        <v/>
      </c>
      <c r="D96" s="145" t="str">
        <f ca="1">OFFSET(ORÇAMENTO!N$15,ROW(D96)-ROW(D$15),0)</f>
        <v>Serviço</v>
      </c>
      <c r="E96" s="205" t="str">
        <f ca="1">OFFSET(ORÇAMENTO!O$15,ROW(E96)-ROW(E$15),0)</f>
        <v>-</v>
      </c>
      <c r="F96" s="206" t="str">
        <f ca="1">OFFSET(ORÇAMENTO!R$15,ROW(F96)-ROW(F$15),0)</f>
        <v>(abra o arquivo 'Referência 05-2024.xls)</v>
      </c>
      <c r="G96" s="207" t="str">
        <f ca="1">IF($D96&lt;&gt;"Serviço","",OFFSET(ORÇAMENTO!S$15,ROW(G96)-ROW(G$15),0))</f>
        <v>-</v>
      </c>
      <c r="H96" s="151">
        <f ca="1">IF($D96&lt;&gt;"Serviço",0,IF(ACOMPANHAMENTO="BM",ROUND(OFFSET(ORÇAMENTO!AJ$15,ROW(H96)-ROW(H$15),0),15-13*ORÇAMENTO!$AF$7),SUMPRODUCT(($Q$12:$AI$12&lt;&gt;"")*ROUND($Q96:$AI96,15-13*ORÇAMENTO!$AF$7))))</f>
        <v>1855.71</v>
      </c>
      <c r="I96" s="650"/>
      <c r="K96" s="208"/>
      <c r="L96" s="209" t="s">
        <v>257</v>
      </c>
      <c r="M96" s="210">
        <f ca="1">IF($D96&lt;&gt;"Serviço","",IF(AUTOEVENTO="manual",$A96,IF(ISERROR(MATCH($A96,$A$15:OFFSET($A96,-1,0),0)),MAX($M$15:OFFSET(M96,-1,0))+1,INDEX($M$15:OFFSET(M96,-1,0),MATCH($A96,$A$15:OFFSET($A96,-1,0),0)))))</f>
        <v>0</v>
      </c>
      <c r="N96" s="211" t="str">
        <f ca="1">IF($D96&lt;&gt;"Serviço","",IF(AUTOEVENTO="Manual",IF($A96=0,"&lt;-- defina o número do agrupador",OFFSET(EVENTOS!$D$14,$A96,0)),OFFSET($F$15,$A96,0)))</f>
        <v>&lt;-- defina o número do agrupador</v>
      </c>
      <c r="O96" s="212"/>
      <c r="Q96" s="212"/>
      <c r="R96" s="213"/>
      <c r="S96" s="213"/>
      <c r="T96" s="213"/>
      <c r="U96" s="213"/>
      <c r="V96" s="213"/>
      <c r="W96" s="213"/>
      <c r="X96" s="213"/>
      <c r="Y96" s="213"/>
      <c r="Z96" s="214"/>
      <c r="AA96" s="213"/>
      <c r="AB96" s="213"/>
      <c r="AC96" s="213"/>
      <c r="AD96" s="213"/>
      <c r="AE96" s="213"/>
      <c r="AF96" s="213"/>
      <c r="AG96" s="213"/>
      <c r="AH96" s="214"/>
      <c r="AJ96" s="631">
        <f ca="1">IF(AND($D96="Serviço",AJ$12&lt;&gt;0,$H96&gt;0,OR(AUTOEVENTO&lt;&gt;"manual",$M96&lt;&gt;1)),ROUND(OFFSET($P96,0,AJ$13),15-13*ORÇAMENTO!$AF$7)/$H96*OFFSET(ORÇAMENTO!$X$15,ROW(AJ96)-ROW(AJ$15),0),0)</f>
        <v>0</v>
      </c>
      <c r="AK96" s="632">
        <f ca="1">IF(AND($D96="Serviço",AK$12&lt;&gt;0,$H96&gt;0,OR(AUTOEVENTO&lt;&gt;"manual",$M96&lt;&gt;1)),ROUND(OFFSET($P96,0,AK$13),15-13*ORÇAMENTO!$AF$7)/$H96*OFFSET(ORÇAMENTO!$X$15,ROW(AK96)-ROW(AK$15),0),0)</f>
        <v>0</v>
      </c>
      <c r="AL96" s="632">
        <f ca="1">IF(AND($D96="Serviço",AL$12&lt;&gt;0,$H96&gt;0,OR(AUTOEVENTO&lt;&gt;"manual",$M96&lt;&gt;1)),ROUND(OFFSET($P96,0,AL$13),15-13*ORÇAMENTO!$AF$7)/$H96*OFFSET(ORÇAMENTO!$X$15,ROW(AL96)-ROW(AL$15),0),0)</f>
        <v>0</v>
      </c>
      <c r="AM96" s="632">
        <f ca="1">IF(AND($D96="Serviço",AM$12&lt;&gt;0,$H96&gt;0,OR(AUTOEVENTO&lt;&gt;"manual",$M96&lt;&gt;1)),ROUND(OFFSET($P96,0,AM$13),15-13*ORÇAMENTO!$AF$7)/$H96*OFFSET(ORÇAMENTO!$X$15,ROW(AM96)-ROW(AM$15),0),0)</f>
        <v>0</v>
      </c>
      <c r="AN96" s="632">
        <f ca="1">IF(AND($D96="Serviço",AN$12&lt;&gt;0,$H96&gt;0,OR(AUTOEVENTO&lt;&gt;"manual",$M96&lt;&gt;1)),ROUND(OFFSET($P96,0,AN$13),15-13*ORÇAMENTO!$AF$7)/$H96*OFFSET(ORÇAMENTO!$X$15,ROW(AN96)-ROW(AN$15),0),0)</f>
        <v>0</v>
      </c>
      <c r="AO96" s="632">
        <f ca="1">IF(AND($D96="Serviço",AO$12&lt;&gt;0,$H96&gt;0,OR(AUTOEVENTO&lt;&gt;"manual",$M96&lt;&gt;1)),ROUND(OFFSET($P96,0,AO$13),15-13*ORÇAMENTO!$AF$7)/$H96*OFFSET(ORÇAMENTO!$X$15,ROW(AO96)-ROW(AO$15),0),0)</f>
        <v>0</v>
      </c>
      <c r="AP96" s="632">
        <f ca="1">IF(AND($D96="Serviço",AP$12&lt;&gt;0,$H96&gt;0,OR(AUTOEVENTO&lt;&gt;"manual",$M96&lt;&gt;1)),ROUND(OFFSET($P96,0,AP$13),15-13*ORÇAMENTO!$AF$7)/$H96*OFFSET(ORÇAMENTO!$X$15,ROW(AP96)-ROW(AP$15),0),0)</f>
        <v>0</v>
      </c>
      <c r="AQ96" s="632">
        <f ca="1">IF(AND($D96="Serviço",AQ$12&lt;&gt;0,$H96&gt;0,OR(AUTOEVENTO&lt;&gt;"manual",$M96&lt;&gt;1)),ROUND(OFFSET($P96,0,AQ$13),15-13*ORÇAMENTO!$AF$7)/$H96*OFFSET(ORÇAMENTO!$X$15,ROW(AQ96)-ROW(AQ$15),0),0)</f>
        <v>0</v>
      </c>
      <c r="AR96" s="632">
        <f ca="1">IF(AND($D96="Serviço",AR$12&lt;&gt;0,$H96&gt;0,OR(AUTOEVENTO&lt;&gt;"manual",$M96&lt;&gt;1)),ROUND(OFFSET($P96,0,AR$13),15-13*ORÇAMENTO!$AF$7)/$H96*OFFSET(ORÇAMENTO!$X$15,ROW(AR96)-ROW(AR$15),0),0)</f>
        <v>0</v>
      </c>
      <c r="AS96" s="633">
        <f ca="1">IF(AND($D96="Serviço",AS$12&lt;&gt;0,$H96&gt;0,OR(AUTOEVENTO&lt;&gt;"manual",$M96&lt;&gt;1)),ROUND(OFFSET($P96,0,AS$13),15-13*ORÇAMENTO!$AF$7)/$H96*OFFSET(ORÇAMENTO!$X$15,ROW(AS96)-ROW(AS$15),0),0)</f>
        <v>0</v>
      </c>
      <c r="AT96" s="632">
        <f ca="1">IF(AND($D96="Serviço",AT$12&lt;&gt;0,$H96&gt;0,OR(AUTOEVENTO&lt;&gt;"manual",$M96&lt;&gt;1)),ROUND(OFFSET($P96,0,AT$13),15-13*ORÇAMENTO!$AF$7)/$H96*OFFSET(ORÇAMENTO!$X$15,ROW(AT96)-ROW(AT$15),0),0)</f>
        <v>0</v>
      </c>
      <c r="AU96" s="632">
        <f ca="1">IF(AND($D96="Serviço",AU$12&lt;&gt;0,$H96&gt;0,OR(AUTOEVENTO&lt;&gt;"manual",$M96&lt;&gt;1)),ROUND(OFFSET($P96,0,AU$13),15-13*ORÇAMENTO!$AF$7)/$H96*OFFSET(ORÇAMENTO!$X$15,ROW(AU96)-ROW(AU$15),0),0)</f>
        <v>0</v>
      </c>
      <c r="AV96" s="632">
        <f ca="1">IF(AND($D96="Serviço",AV$12&lt;&gt;0,$H96&gt;0,OR(AUTOEVENTO&lt;&gt;"manual",$M96&lt;&gt;1)),ROUND(OFFSET($P96,0,AV$13),15-13*ORÇAMENTO!$AF$7)/$H96*OFFSET(ORÇAMENTO!$X$15,ROW(AV96)-ROW(AV$15),0),0)</f>
        <v>0</v>
      </c>
      <c r="AW96" s="632">
        <f ca="1">IF(AND($D96="Serviço",AW$12&lt;&gt;0,$H96&gt;0,OR(AUTOEVENTO&lt;&gt;"manual",$M96&lt;&gt;1)),ROUND(OFFSET($P96,0,AW$13),15-13*ORÇAMENTO!$AF$7)/$H96*OFFSET(ORÇAMENTO!$X$15,ROW(AW96)-ROW(AW$15),0),0)</f>
        <v>0</v>
      </c>
      <c r="AX96" s="632">
        <f ca="1">IF(AND($D96="Serviço",AX$12&lt;&gt;0,$H96&gt;0,OR(AUTOEVENTO&lt;&gt;"manual",$M96&lt;&gt;1)),ROUND(OFFSET($P96,0,AX$13),15-13*ORÇAMENTO!$AF$7)/$H96*OFFSET(ORÇAMENTO!$X$15,ROW(AX96)-ROW(AX$15),0),0)</f>
        <v>0</v>
      </c>
      <c r="AY96" s="632">
        <f ca="1">IF(AND($D96="Serviço",AY$12&lt;&gt;0,$H96&gt;0,OR(AUTOEVENTO&lt;&gt;"manual",$M96&lt;&gt;1)),ROUND(OFFSET($P96,0,AY$13),15-13*ORÇAMENTO!$AF$7)/$H96*OFFSET(ORÇAMENTO!$X$15,ROW(AY96)-ROW(AY$15),0),0)</f>
        <v>0</v>
      </c>
      <c r="AZ96" s="632">
        <f ca="1">IF(AND($D96="Serviço",AZ$12&lt;&gt;0,$H96&gt;0,OR(AUTOEVENTO&lt;&gt;"manual",$M96&lt;&gt;1)),ROUND(OFFSET($P96,0,AZ$13),15-13*ORÇAMENTO!$AF$7)/$H96*OFFSET(ORÇAMENTO!$X$15,ROW(AZ96)-ROW(AZ$15),0),0)</f>
        <v>0</v>
      </c>
      <c r="BA96" s="633">
        <f ca="1">IF(AND($D96="Serviço",BA$12&lt;&gt;0,$H96&gt;0,OR(AUTOEVENTO&lt;&gt;"manual",$M96&lt;&gt;1)),ROUND(OFFSET($P96,0,BA$13),15-13*ORÇAMENTO!$AF$7)/$H96*OFFSET(ORÇAMENTO!$X$15,ROW(BA96)-ROW(BA$15),0),0)</f>
        <v>0</v>
      </c>
      <c r="BC96" s="215">
        <f ca="1">IF($D96&lt;&gt;"Serviço",0,IF(AND(AUTOEVENTO="Manual",$M96=1),0,IF(OFFSET(CRONOPLE!$F$14,$M96,BC$13)="",10^12,OFFSET(CRONOPLE!$F$14,$M96,BC$13))))</f>
        <v>1000000000000</v>
      </c>
      <c r="BD96" s="215">
        <f ca="1">IF($D96&lt;&gt;"Serviço",0,IF(AND(AUTOEVENTO="Manual",$M96=1),0,IF(OFFSET(CRONOPLE!$F$14,$M96,BD$13)="",10^12,OFFSET(CRONOPLE!$F$14,$M96,BD$13))))</f>
        <v>1000000000000</v>
      </c>
      <c r="BE96" s="215">
        <f ca="1">IF($D96&lt;&gt;"Serviço",0,IF(AND(AUTOEVENTO="Manual",$M96=1),0,IF(OFFSET(CRONOPLE!$F$14,$M96,BE$13)="",10^12,OFFSET(CRONOPLE!$F$14,$M96,BE$13))))</f>
        <v>1000000000000</v>
      </c>
      <c r="BF96" s="215">
        <f ca="1">IF($D96&lt;&gt;"Serviço",0,IF(AND(AUTOEVENTO="Manual",$M96=1),0,IF(OFFSET(CRONOPLE!$F$14,$M96,BF$13)="",10^12,OFFSET(CRONOPLE!$F$14,$M96,BF$13))))</f>
        <v>1000000000000</v>
      </c>
      <c r="BG96" s="215">
        <f ca="1">IF($D96&lt;&gt;"Serviço",0,IF(AND(AUTOEVENTO="Manual",$M96=1),0,IF(OFFSET(CRONOPLE!$F$14,$M96,BG$13)="",10^12,OFFSET(CRONOPLE!$F$14,$M96,BG$13))))</f>
        <v>1000000000000</v>
      </c>
      <c r="BH96" s="215">
        <f ca="1">IF($D96&lt;&gt;"Serviço",0,IF(AND(AUTOEVENTO="Manual",$M96=1),0,IF(OFFSET(CRONOPLE!$F$14,$M96,BH$13)="",10^12,OFFSET(CRONOPLE!$F$14,$M96,BH$13))))</f>
        <v>1000000000000</v>
      </c>
      <c r="BI96" s="215">
        <f ca="1">IF($D96&lt;&gt;"Serviço",0,IF(AND(AUTOEVENTO="Manual",$M96=1),0,IF(OFFSET(CRONOPLE!$F$14,$M96,BI$13)="",10^12,OFFSET(CRONOPLE!$F$14,$M96,BI$13))))</f>
        <v>1000000000000</v>
      </c>
      <c r="BJ96" s="215">
        <f ca="1">IF($D96&lt;&gt;"Serviço",0,IF(AND(AUTOEVENTO="Manual",$M96=1),0,IF(OFFSET(CRONOPLE!$F$14,$M96,BJ$13)="",10^12,OFFSET(CRONOPLE!$F$14,$M96,BJ$13))))</f>
        <v>1000000000000</v>
      </c>
      <c r="BK96" s="215">
        <f ca="1">IF($D96&lt;&gt;"Serviço",0,IF(AND(AUTOEVENTO="Manual",$M96=1),0,IF(OFFSET(CRONOPLE!$F$14,$M96,BK$13)="",10^12,OFFSET(CRONOPLE!$F$14,$M96,BK$13))))</f>
        <v>1000000000000</v>
      </c>
      <c r="BL96" s="215">
        <f ca="1">IF($D96&lt;&gt;"Serviço",0,IF(AND(AUTOEVENTO="Manual",$M96=1),0,IF(OFFSET(CRONOPLE!$F$14,$M96,BL$13)="",10^12,OFFSET(CRONOPLE!$F$14,$M96,BL$13))))</f>
        <v>1000000000000</v>
      </c>
      <c r="BM96" s="215">
        <f ca="1">IF($D96&lt;&gt;"Serviço",0,IF(AND(AUTOEVENTO="Manual",$M96=1),0,IF(OFFSET(CRONOPLE!$F$14,$M96,BM$13)="",10^12,OFFSET(CRONOPLE!$F$14,$M96,BM$13))))</f>
        <v>1000000000000</v>
      </c>
      <c r="BN96" s="215">
        <f ca="1">IF($D96&lt;&gt;"Serviço",0,IF(AND(AUTOEVENTO="Manual",$M96=1),0,IF(OFFSET(CRONOPLE!$F$14,$M96,BN$13)="",10^12,OFFSET(CRONOPLE!$F$14,$M96,BN$13))))</f>
        <v>1000000000000</v>
      </c>
      <c r="BO96" s="215">
        <f ca="1">IF($D96&lt;&gt;"Serviço",0,IF(AND(AUTOEVENTO="Manual",$M96=1),0,IF(OFFSET(CRONOPLE!$F$14,$M96,BO$13)="",10^12,OFFSET(CRONOPLE!$F$14,$M96,BO$13))))</f>
        <v>1000000000000</v>
      </c>
      <c r="BP96" s="215">
        <f ca="1">IF($D96&lt;&gt;"Serviço",0,IF(AND(AUTOEVENTO="Manual",$M96=1),0,IF(OFFSET(CRONOPLE!$F$14,$M96,BP$13)="",10^12,OFFSET(CRONOPLE!$F$14,$M96,BP$13))))</f>
        <v>1000000000000</v>
      </c>
      <c r="BQ96" s="215">
        <f ca="1">IF($D96&lt;&gt;"Serviço",0,IF(AND(AUTOEVENTO="Manual",$M96=1),0,IF(OFFSET(CRONOPLE!$F$14,$M96,BQ$13)="",10^12,OFFSET(CRONOPLE!$F$14,$M96,BQ$13))))</f>
        <v>1000000000000</v>
      </c>
      <c r="BR96" s="215">
        <f ca="1">IF($D96&lt;&gt;"Serviço",0,IF(AND(AUTOEVENTO="Manual",$M96=1),0,IF(OFFSET(CRONOPLE!$F$14,$M96,BR$13)="",10^12,OFFSET(CRONOPLE!$F$14,$M96,BR$13))))</f>
        <v>1000000000000</v>
      </c>
      <c r="BS96" s="215">
        <f ca="1">IF($D96&lt;&gt;"Serviço",0,IF(AND(AUTOEVENTO="Manual",$M96=1),0,IF(OFFSET(CRONOPLE!$F$14,$M96,BS$13)="",10^12,OFFSET(CRONOPLE!$F$14,$M96,BS$13))))</f>
        <v>1000000000000</v>
      </c>
      <c r="BT96" s="215">
        <f ca="1">IF($D96&lt;&gt;"Serviço",0,IF(AND(AUTOEVENTO="Manual",$M96=1),0,IF(OFFSET(CRONOPLE!$F$14,$M96,BT$13)="",10^12,OFFSET(CRONOPLE!$F$14,$M96,BT$13))))</f>
        <v>1000000000000</v>
      </c>
      <c r="BV96" s="216">
        <f ca="1">IF($D96&lt;&gt;"Serviço",0,IF(OR(AND(AUTOEVENTO="Manual",$M96=1),$M96&gt;(ROW(PLE.lastrow)-ROW(PLE.firstrow))),0,IF(OFFSET(PLE!$G$14,$M96,BV$13)="",10^12,OFFSET(PLE!$G$14,$M96,BV$13))))</f>
        <v>1000000000000</v>
      </c>
      <c r="BW96" s="216">
        <f ca="1">IF($D96&lt;&gt;"Serviço",0,IF(OR(AND(AUTOEVENTO="Manual",$M96=1),$M96&gt;(ROW(PLE.lastrow)-ROW(PLE.firstrow))),0,IF(OFFSET(PLE!$G$14,$M96,BW$13)="",10^12,OFFSET(PLE!$G$14,$M96,BW$13))))</f>
        <v>1000000000000</v>
      </c>
      <c r="BX96" s="216">
        <f ca="1">IF($D96&lt;&gt;"Serviço",0,IF(OR(AND(AUTOEVENTO="Manual",$M96=1),$M96&gt;(ROW(PLE.lastrow)-ROW(PLE.firstrow))),0,IF(OFFSET(PLE!$G$14,$M96,BX$13)="",10^12,OFFSET(PLE!$G$14,$M96,BX$13))))</f>
        <v>1000000000000</v>
      </c>
      <c r="BY96" s="216">
        <f ca="1">IF($D96&lt;&gt;"Serviço",0,IF(OR(AND(AUTOEVENTO="Manual",$M96=1),$M96&gt;(ROW(PLE.lastrow)-ROW(PLE.firstrow))),0,IF(OFFSET(PLE!$G$14,$M96,BY$13)="",10^12,OFFSET(PLE!$G$14,$M96,BY$13))))</f>
        <v>1000000000000</v>
      </c>
      <c r="BZ96" s="216">
        <f ca="1">IF($D96&lt;&gt;"Serviço",0,IF(OR(AND(AUTOEVENTO="Manual",$M96=1),$M96&gt;(ROW(PLE.lastrow)-ROW(PLE.firstrow))),0,IF(OFFSET(PLE!$G$14,$M96,BZ$13)="",10^12,OFFSET(PLE!$G$14,$M96,BZ$13))))</f>
        <v>1000000000000</v>
      </c>
      <c r="CA96" s="216">
        <f ca="1">IF($D96&lt;&gt;"Serviço",0,IF(OR(AND(AUTOEVENTO="Manual",$M96=1),$M96&gt;(ROW(PLE.lastrow)-ROW(PLE.firstrow))),0,IF(OFFSET(PLE!$G$14,$M96,CA$13)="",10^12,OFFSET(PLE!$G$14,$M96,CA$13))))</f>
        <v>1000000000000</v>
      </c>
      <c r="CB96" s="216">
        <f ca="1">IF($D96&lt;&gt;"Serviço",0,IF(OR(AND(AUTOEVENTO="Manual",$M96=1),$M96&gt;(ROW(PLE.lastrow)-ROW(PLE.firstrow))),0,IF(OFFSET(PLE!$G$14,$M96,CB$13)="",10^12,OFFSET(PLE!$G$14,$M96,CB$13))))</f>
        <v>1000000000000</v>
      </c>
      <c r="CC96" s="216">
        <f ca="1">IF($D96&lt;&gt;"Serviço",0,IF(OR(AND(AUTOEVENTO="Manual",$M96=1),$M96&gt;(ROW(PLE.lastrow)-ROW(PLE.firstrow))),0,IF(OFFSET(PLE!$G$14,$M96,CC$13)="",10^12,OFFSET(PLE!$G$14,$M96,CC$13))))</f>
        <v>1000000000000</v>
      </c>
      <c r="CD96" s="216">
        <f ca="1">IF($D96&lt;&gt;"Serviço",0,IF(OR(AND(AUTOEVENTO="Manual",$M96=1),$M96&gt;(ROW(PLE.lastrow)-ROW(PLE.firstrow))),0,IF(OFFSET(PLE!$G$14,$M96,CD$13)="",10^12,OFFSET(PLE!$G$14,$M96,CD$13))))</f>
        <v>1000000000000</v>
      </c>
      <c r="CE96" s="216">
        <f ca="1">IF($D96&lt;&gt;"Serviço",0,IF(OR(AND(AUTOEVENTO="Manual",$M96=1),$M96&gt;(ROW(PLE.lastrow)-ROW(PLE.firstrow))),0,IF(OFFSET(PLE!$G$14,$M96,CE$13)="",10^12,OFFSET(PLE!$G$14,$M96,CE$13))))</f>
        <v>1000000000000</v>
      </c>
      <c r="CF96" s="216">
        <f ca="1">IF($D96&lt;&gt;"Serviço",0,IF(OR(AND(AUTOEVENTO="Manual",$M96=1),$M96&gt;(ROW(PLE.lastrow)-ROW(PLE.firstrow))),0,IF(OFFSET(PLE!$G$14,$M96,CF$13)="",10^12,OFFSET(PLE!$G$14,$M96,CF$13))))</f>
        <v>1000000000000</v>
      </c>
      <c r="CG96" s="216">
        <f ca="1">IF($D96&lt;&gt;"Serviço",0,IF(OR(AND(AUTOEVENTO="Manual",$M96=1),$M96&gt;(ROW(PLE.lastrow)-ROW(PLE.firstrow))),0,IF(OFFSET(PLE!$G$14,$M96,CG$13)="",10^12,OFFSET(PLE!$G$14,$M96,CG$13))))</f>
        <v>1000000000000</v>
      </c>
      <c r="CH96" s="216">
        <f ca="1">IF($D96&lt;&gt;"Serviço",0,IF(OR(AND(AUTOEVENTO="Manual",$M96=1),$M96&gt;(ROW(PLE.lastrow)-ROW(PLE.firstrow))),0,IF(OFFSET(PLE!$G$14,$M96,CH$13)="",10^12,OFFSET(PLE!$G$14,$M96,CH$13))))</f>
        <v>1000000000000</v>
      </c>
      <c r="CI96" s="216">
        <f ca="1">IF($D96&lt;&gt;"Serviço",0,IF(OR(AND(AUTOEVENTO="Manual",$M96=1),$M96&gt;(ROW(PLE.lastrow)-ROW(PLE.firstrow))),0,IF(OFFSET(PLE!$G$14,$M96,CI$13)="",10^12,OFFSET(PLE!$G$14,$M96,CI$13))))</f>
        <v>1000000000000</v>
      </c>
      <c r="CJ96" s="216">
        <f ca="1">IF($D96&lt;&gt;"Serviço",0,IF(OR(AND(AUTOEVENTO="Manual",$M96=1),$M96&gt;(ROW(PLE.lastrow)-ROW(PLE.firstrow))),0,IF(OFFSET(PLE!$G$14,$M96,CJ$13)="",10^12,OFFSET(PLE!$G$14,$M96,CJ$13))))</f>
        <v>1000000000000</v>
      </c>
      <c r="CK96" s="216">
        <f ca="1">IF($D96&lt;&gt;"Serviço",0,IF(OR(AND(AUTOEVENTO="Manual",$M96=1),$M96&gt;(ROW(PLE.lastrow)-ROW(PLE.firstrow))),0,IF(OFFSET(PLE!$G$14,$M96,CK$13)="",10^12,OFFSET(PLE!$G$14,$M96,CK$13))))</f>
        <v>1000000000000</v>
      </c>
      <c r="CL96" s="216">
        <f ca="1">IF($D96&lt;&gt;"Serviço",0,IF(OR(AND(AUTOEVENTO="Manual",$M96=1),$M96&gt;(ROW(PLE.lastrow)-ROW(PLE.firstrow))),0,IF(OFFSET(PLE!$G$14,$M96,CL$13)="",10^12,OFFSET(PLE!$G$14,$M96,CL$13))))</f>
        <v>1000000000000</v>
      </c>
      <c r="CM96" s="216">
        <f ca="1">IF($D96&lt;&gt;"Serviço",0,IF(OR(AND(AUTOEVENTO="Manual",$M96=1),$M96&gt;(ROW(PLE.lastrow)-ROW(PLE.firstrow))),0,IF(OFFSET(PLE!$G$14,$M96,CM$13)="",10^12,OFFSET(PLE!$G$14,$M96,CM$13))))</f>
        <v>1000000000000</v>
      </c>
    </row>
    <row r="97" spans="1:91" ht="13.2" x14ac:dyDescent="0.25">
      <c r="A97" s="9">
        <f t="shared" ca="1" si="10"/>
        <v>0</v>
      </c>
      <c r="B97" s="9" t="str">
        <f ca="1">OFFSET(ORÇAMENTO!C$15,ROW(B97)-ROW(B$15),0)</f>
        <v>S</v>
      </c>
      <c r="C97" s="9" t="str">
        <f ca="1">OFFSET(ORÇAMENTO!L$15,ROW(C97)-ROW(C$15),0)</f>
        <v/>
      </c>
      <c r="D97" s="145" t="str">
        <f ca="1">OFFSET(ORÇAMENTO!N$15,ROW(D97)-ROW(D$15),0)</f>
        <v>Serviço</v>
      </c>
      <c r="E97" s="205" t="str">
        <f ca="1">OFFSET(ORÇAMENTO!O$15,ROW(E97)-ROW(E$15),0)</f>
        <v>-</v>
      </c>
      <c r="F97" s="206" t="str">
        <f ca="1">OFFSET(ORÇAMENTO!R$15,ROW(F97)-ROW(F$15),0)</f>
        <v>(abra o arquivo 'Referência 05-2024.xls)</v>
      </c>
      <c r="G97" s="207" t="str">
        <f ca="1">IF($D97&lt;&gt;"Serviço","",OFFSET(ORÇAMENTO!S$15,ROW(G97)-ROW(G$15),0))</f>
        <v>-</v>
      </c>
      <c r="H97" s="151">
        <f ca="1">IF($D97&lt;&gt;"Serviço",0,IF(ACOMPANHAMENTO="BM",ROUND(OFFSET(ORÇAMENTO!AJ$15,ROW(H97)-ROW(H$15),0),15-13*ORÇAMENTO!$AF$7),SUMPRODUCT(($Q$12:$AI$12&lt;&gt;"")*ROUND($Q97:$AI97,15-13*ORÇAMENTO!$AF$7))))</f>
        <v>1436.7</v>
      </c>
      <c r="I97" s="650"/>
      <c r="K97" s="208"/>
      <c r="L97" s="209" t="s">
        <v>257</v>
      </c>
      <c r="M97" s="210">
        <f ca="1">IF($D97&lt;&gt;"Serviço","",IF(AUTOEVENTO="manual",$A97,IF(ISERROR(MATCH($A97,$A$15:OFFSET($A97,-1,0),0)),MAX($M$15:OFFSET(M97,-1,0))+1,INDEX($M$15:OFFSET(M97,-1,0),MATCH($A97,$A$15:OFFSET($A97,-1,0),0)))))</f>
        <v>0</v>
      </c>
      <c r="N97" s="211" t="str">
        <f ca="1">IF($D97&lt;&gt;"Serviço","",IF(AUTOEVENTO="Manual",IF($A97=0,"&lt;-- defina o número do agrupador",OFFSET(EVENTOS!$D$14,$A97,0)),OFFSET($F$15,$A97,0)))</f>
        <v>&lt;-- defina o número do agrupador</v>
      </c>
      <c r="O97" s="212"/>
      <c r="Q97" s="212"/>
      <c r="R97" s="213"/>
      <c r="S97" s="213"/>
      <c r="T97" s="213"/>
      <c r="U97" s="213"/>
      <c r="V97" s="213"/>
      <c r="W97" s="213"/>
      <c r="X97" s="213"/>
      <c r="Y97" s="213"/>
      <c r="Z97" s="214"/>
      <c r="AA97" s="213"/>
      <c r="AB97" s="213"/>
      <c r="AC97" s="213"/>
      <c r="AD97" s="213"/>
      <c r="AE97" s="213"/>
      <c r="AF97" s="213"/>
      <c r="AG97" s="213"/>
      <c r="AH97" s="214"/>
      <c r="AJ97" s="631">
        <f ca="1">IF(AND($D97="Serviço",AJ$12&lt;&gt;0,$H97&gt;0,OR(AUTOEVENTO&lt;&gt;"manual",$M97&lt;&gt;1)),ROUND(OFFSET($P97,0,AJ$13),15-13*ORÇAMENTO!$AF$7)/$H97*OFFSET(ORÇAMENTO!$X$15,ROW(AJ97)-ROW(AJ$15),0),0)</f>
        <v>0</v>
      </c>
      <c r="AK97" s="632">
        <f ca="1">IF(AND($D97="Serviço",AK$12&lt;&gt;0,$H97&gt;0,OR(AUTOEVENTO&lt;&gt;"manual",$M97&lt;&gt;1)),ROUND(OFFSET($P97,0,AK$13),15-13*ORÇAMENTO!$AF$7)/$H97*OFFSET(ORÇAMENTO!$X$15,ROW(AK97)-ROW(AK$15),0),0)</f>
        <v>0</v>
      </c>
      <c r="AL97" s="632">
        <f ca="1">IF(AND($D97="Serviço",AL$12&lt;&gt;0,$H97&gt;0,OR(AUTOEVENTO&lt;&gt;"manual",$M97&lt;&gt;1)),ROUND(OFFSET($P97,0,AL$13),15-13*ORÇAMENTO!$AF$7)/$H97*OFFSET(ORÇAMENTO!$X$15,ROW(AL97)-ROW(AL$15),0),0)</f>
        <v>0</v>
      </c>
      <c r="AM97" s="632">
        <f ca="1">IF(AND($D97="Serviço",AM$12&lt;&gt;0,$H97&gt;0,OR(AUTOEVENTO&lt;&gt;"manual",$M97&lt;&gt;1)),ROUND(OFFSET($P97,0,AM$13),15-13*ORÇAMENTO!$AF$7)/$H97*OFFSET(ORÇAMENTO!$X$15,ROW(AM97)-ROW(AM$15),0),0)</f>
        <v>0</v>
      </c>
      <c r="AN97" s="632">
        <f ca="1">IF(AND($D97="Serviço",AN$12&lt;&gt;0,$H97&gt;0,OR(AUTOEVENTO&lt;&gt;"manual",$M97&lt;&gt;1)),ROUND(OFFSET($P97,0,AN$13),15-13*ORÇAMENTO!$AF$7)/$H97*OFFSET(ORÇAMENTO!$X$15,ROW(AN97)-ROW(AN$15),0),0)</f>
        <v>0</v>
      </c>
      <c r="AO97" s="632">
        <f ca="1">IF(AND($D97="Serviço",AO$12&lt;&gt;0,$H97&gt;0,OR(AUTOEVENTO&lt;&gt;"manual",$M97&lt;&gt;1)),ROUND(OFFSET($P97,0,AO$13),15-13*ORÇAMENTO!$AF$7)/$H97*OFFSET(ORÇAMENTO!$X$15,ROW(AO97)-ROW(AO$15),0),0)</f>
        <v>0</v>
      </c>
      <c r="AP97" s="632">
        <f ca="1">IF(AND($D97="Serviço",AP$12&lt;&gt;0,$H97&gt;0,OR(AUTOEVENTO&lt;&gt;"manual",$M97&lt;&gt;1)),ROUND(OFFSET($P97,0,AP$13),15-13*ORÇAMENTO!$AF$7)/$H97*OFFSET(ORÇAMENTO!$X$15,ROW(AP97)-ROW(AP$15),0),0)</f>
        <v>0</v>
      </c>
      <c r="AQ97" s="632">
        <f ca="1">IF(AND($D97="Serviço",AQ$12&lt;&gt;0,$H97&gt;0,OR(AUTOEVENTO&lt;&gt;"manual",$M97&lt;&gt;1)),ROUND(OFFSET($P97,0,AQ$13),15-13*ORÇAMENTO!$AF$7)/$H97*OFFSET(ORÇAMENTO!$X$15,ROW(AQ97)-ROW(AQ$15),0),0)</f>
        <v>0</v>
      </c>
      <c r="AR97" s="632">
        <f ca="1">IF(AND($D97="Serviço",AR$12&lt;&gt;0,$H97&gt;0,OR(AUTOEVENTO&lt;&gt;"manual",$M97&lt;&gt;1)),ROUND(OFFSET($P97,0,AR$13),15-13*ORÇAMENTO!$AF$7)/$H97*OFFSET(ORÇAMENTO!$X$15,ROW(AR97)-ROW(AR$15),0),0)</f>
        <v>0</v>
      </c>
      <c r="AS97" s="633">
        <f ca="1">IF(AND($D97="Serviço",AS$12&lt;&gt;0,$H97&gt;0,OR(AUTOEVENTO&lt;&gt;"manual",$M97&lt;&gt;1)),ROUND(OFFSET($P97,0,AS$13),15-13*ORÇAMENTO!$AF$7)/$H97*OFFSET(ORÇAMENTO!$X$15,ROW(AS97)-ROW(AS$15),0),0)</f>
        <v>0</v>
      </c>
      <c r="AT97" s="632">
        <f ca="1">IF(AND($D97="Serviço",AT$12&lt;&gt;0,$H97&gt;0,OR(AUTOEVENTO&lt;&gt;"manual",$M97&lt;&gt;1)),ROUND(OFFSET($P97,0,AT$13),15-13*ORÇAMENTO!$AF$7)/$H97*OFFSET(ORÇAMENTO!$X$15,ROW(AT97)-ROW(AT$15),0),0)</f>
        <v>0</v>
      </c>
      <c r="AU97" s="632">
        <f ca="1">IF(AND($D97="Serviço",AU$12&lt;&gt;0,$H97&gt;0,OR(AUTOEVENTO&lt;&gt;"manual",$M97&lt;&gt;1)),ROUND(OFFSET($P97,0,AU$13),15-13*ORÇAMENTO!$AF$7)/$H97*OFFSET(ORÇAMENTO!$X$15,ROW(AU97)-ROW(AU$15),0),0)</f>
        <v>0</v>
      </c>
      <c r="AV97" s="632">
        <f ca="1">IF(AND($D97="Serviço",AV$12&lt;&gt;0,$H97&gt;0,OR(AUTOEVENTO&lt;&gt;"manual",$M97&lt;&gt;1)),ROUND(OFFSET($P97,0,AV$13),15-13*ORÇAMENTO!$AF$7)/$H97*OFFSET(ORÇAMENTO!$X$15,ROW(AV97)-ROW(AV$15),0),0)</f>
        <v>0</v>
      </c>
      <c r="AW97" s="632">
        <f ca="1">IF(AND($D97="Serviço",AW$12&lt;&gt;0,$H97&gt;0,OR(AUTOEVENTO&lt;&gt;"manual",$M97&lt;&gt;1)),ROUND(OFFSET($P97,0,AW$13),15-13*ORÇAMENTO!$AF$7)/$H97*OFFSET(ORÇAMENTO!$X$15,ROW(AW97)-ROW(AW$15),0),0)</f>
        <v>0</v>
      </c>
      <c r="AX97" s="632">
        <f ca="1">IF(AND($D97="Serviço",AX$12&lt;&gt;0,$H97&gt;0,OR(AUTOEVENTO&lt;&gt;"manual",$M97&lt;&gt;1)),ROUND(OFFSET($P97,0,AX$13),15-13*ORÇAMENTO!$AF$7)/$H97*OFFSET(ORÇAMENTO!$X$15,ROW(AX97)-ROW(AX$15),0),0)</f>
        <v>0</v>
      </c>
      <c r="AY97" s="632">
        <f ca="1">IF(AND($D97="Serviço",AY$12&lt;&gt;0,$H97&gt;0,OR(AUTOEVENTO&lt;&gt;"manual",$M97&lt;&gt;1)),ROUND(OFFSET($P97,0,AY$13),15-13*ORÇAMENTO!$AF$7)/$H97*OFFSET(ORÇAMENTO!$X$15,ROW(AY97)-ROW(AY$15),0),0)</f>
        <v>0</v>
      </c>
      <c r="AZ97" s="632">
        <f ca="1">IF(AND($D97="Serviço",AZ$12&lt;&gt;0,$H97&gt;0,OR(AUTOEVENTO&lt;&gt;"manual",$M97&lt;&gt;1)),ROUND(OFFSET($P97,0,AZ$13),15-13*ORÇAMENTO!$AF$7)/$H97*OFFSET(ORÇAMENTO!$X$15,ROW(AZ97)-ROW(AZ$15),0),0)</f>
        <v>0</v>
      </c>
      <c r="BA97" s="633">
        <f ca="1">IF(AND($D97="Serviço",BA$12&lt;&gt;0,$H97&gt;0,OR(AUTOEVENTO&lt;&gt;"manual",$M97&lt;&gt;1)),ROUND(OFFSET($P97,0,BA$13),15-13*ORÇAMENTO!$AF$7)/$H97*OFFSET(ORÇAMENTO!$X$15,ROW(BA97)-ROW(BA$15),0),0)</f>
        <v>0</v>
      </c>
      <c r="BC97" s="215">
        <f ca="1">IF($D97&lt;&gt;"Serviço",0,IF(AND(AUTOEVENTO="Manual",$M97=1),0,IF(OFFSET(CRONOPLE!$F$14,$M97,BC$13)="",10^12,OFFSET(CRONOPLE!$F$14,$M97,BC$13))))</f>
        <v>1000000000000</v>
      </c>
      <c r="BD97" s="215">
        <f ca="1">IF($D97&lt;&gt;"Serviço",0,IF(AND(AUTOEVENTO="Manual",$M97=1),0,IF(OFFSET(CRONOPLE!$F$14,$M97,BD$13)="",10^12,OFFSET(CRONOPLE!$F$14,$M97,BD$13))))</f>
        <v>1000000000000</v>
      </c>
      <c r="BE97" s="215">
        <f ca="1">IF($D97&lt;&gt;"Serviço",0,IF(AND(AUTOEVENTO="Manual",$M97=1),0,IF(OFFSET(CRONOPLE!$F$14,$M97,BE$13)="",10^12,OFFSET(CRONOPLE!$F$14,$M97,BE$13))))</f>
        <v>1000000000000</v>
      </c>
      <c r="BF97" s="215">
        <f ca="1">IF($D97&lt;&gt;"Serviço",0,IF(AND(AUTOEVENTO="Manual",$M97=1),0,IF(OFFSET(CRONOPLE!$F$14,$M97,BF$13)="",10^12,OFFSET(CRONOPLE!$F$14,$M97,BF$13))))</f>
        <v>1000000000000</v>
      </c>
      <c r="BG97" s="215">
        <f ca="1">IF($D97&lt;&gt;"Serviço",0,IF(AND(AUTOEVENTO="Manual",$M97=1),0,IF(OFFSET(CRONOPLE!$F$14,$M97,BG$13)="",10^12,OFFSET(CRONOPLE!$F$14,$M97,BG$13))))</f>
        <v>1000000000000</v>
      </c>
      <c r="BH97" s="215">
        <f ca="1">IF($D97&lt;&gt;"Serviço",0,IF(AND(AUTOEVENTO="Manual",$M97=1),0,IF(OFFSET(CRONOPLE!$F$14,$M97,BH$13)="",10^12,OFFSET(CRONOPLE!$F$14,$M97,BH$13))))</f>
        <v>1000000000000</v>
      </c>
      <c r="BI97" s="215">
        <f ca="1">IF($D97&lt;&gt;"Serviço",0,IF(AND(AUTOEVENTO="Manual",$M97=1),0,IF(OFFSET(CRONOPLE!$F$14,$M97,BI$13)="",10^12,OFFSET(CRONOPLE!$F$14,$M97,BI$13))))</f>
        <v>1000000000000</v>
      </c>
      <c r="BJ97" s="215">
        <f ca="1">IF($D97&lt;&gt;"Serviço",0,IF(AND(AUTOEVENTO="Manual",$M97=1),0,IF(OFFSET(CRONOPLE!$F$14,$M97,BJ$13)="",10^12,OFFSET(CRONOPLE!$F$14,$M97,BJ$13))))</f>
        <v>1000000000000</v>
      </c>
      <c r="BK97" s="215">
        <f ca="1">IF($D97&lt;&gt;"Serviço",0,IF(AND(AUTOEVENTO="Manual",$M97=1),0,IF(OFFSET(CRONOPLE!$F$14,$M97,BK$13)="",10^12,OFFSET(CRONOPLE!$F$14,$M97,BK$13))))</f>
        <v>1000000000000</v>
      </c>
      <c r="BL97" s="215">
        <f ca="1">IF($D97&lt;&gt;"Serviço",0,IF(AND(AUTOEVENTO="Manual",$M97=1),0,IF(OFFSET(CRONOPLE!$F$14,$M97,BL$13)="",10^12,OFFSET(CRONOPLE!$F$14,$M97,BL$13))))</f>
        <v>1000000000000</v>
      </c>
      <c r="BM97" s="215">
        <f ca="1">IF($D97&lt;&gt;"Serviço",0,IF(AND(AUTOEVENTO="Manual",$M97=1),0,IF(OFFSET(CRONOPLE!$F$14,$M97,BM$13)="",10^12,OFFSET(CRONOPLE!$F$14,$M97,BM$13))))</f>
        <v>1000000000000</v>
      </c>
      <c r="BN97" s="215">
        <f ca="1">IF($D97&lt;&gt;"Serviço",0,IF(AND(AUTOEVENTO="Manual",$M97=1),0,IF(OFFSET(CRONOPLE!$F$14,$M97,BN$13)="",10^12,OFFSET(CRONOPLE!$F$14,$M97,BN$13))))</f>
        <v>1000000000000</v>
      </c>
      <c r="BO97" s="215">
        <f ca="1">IF($D97&lt;&gt;"Serviço",0,IF(AND(AUTOEVENTO="Manual",$M97=1),0,IF(OFFSET(CRONOPLE!$F$14,$M97,BO$13)="",10^12,OFFSET(CRONOPLE!$F$14,$M97,BO$13))))</f>
        <v>1000000000000</v>
      </c>
      <c r="BP97" s="215">
        <f ca="1">IF($D97&lt;&gt;"Serviço",0,IF(AND(AUTOEVENTO="Manual",$M97=1),0,IF(OFFSET(CRONOPLE!$F$14,$M97,BP$13)="",10^12,OFFSET(CRONOPLE!$F$14,$M97,BP$13))))</f>
        <v>1000000000000</v>
      </c>
      <c r="BQ97" s="215">
        <f ca="1">IF($D97&lt;&gt;"Serviço",0,IF(AND(AUTOEVENTO="Manual",$M97=1),0,IF(OFFSET(CRONOPLE!$F$14,$M97,BQ$13)="",10^12,OFFSET(CRONOPLE!$F$14,$M97,BQ$13))))</f>
        <v>1000000000000</v>
      </c>
      <c r="BR97" s="215">
        <f ca="1">IF($D97&lt;&gt;"Serviço",0,IF(AND(AUTOEVENTO="Manual",$M97=1),0,IF(OFFSET(CRONOPLE!$F$14,$M97,BR$13)="",10^12,OFFSET(CRONOPLE!$F$14,$M97,BR$13))))</f>
        <v>1000000000000</v>
      </c>
      <c r="BS97" s="215">
        <f ca="1">IF($D97&lt;&gt;"Serviço",0,IF(AND(AUTOEVENTO="Manual",$M97=1),0,IF(OFFSET(CRONOPLE!$F$14,$M97,BS$13)="",10^12,OFFSET(CRONOPLE!$F$14,$M97,BS$13))))</f>
        <v>1000000000000</v>
      </c>
      <c r="BT97" s="215">
        <f ca="1">IF($D97&lt;&gt;"Serviço",0,IF(AND(AUTOEVENTO="Manual",$M97=1),0,IF(OFFSET(CRONOPLE!$F$14,$M97,BT$13)="",10^12,OFFSET(CRONOPLE!$F$14,$M97,BT$13))))</f>
        <v>1000000000000</v>
      </c>
      <c r="BV97" s="216">
        <f ca="1">IF($D97&lt;&gt;"Serviço",0,IF(OR(AND(AUTOEVENTO="Manual",$M97=1),$M97&gt;(ROW(PLE.lastrow)-ROW(PLE.firstrow))),0,IF(OFFSET(PLE!$G$14,$M97,BV$13)="",10^12,OFFSET(PLE!$G$14,$M97,BV$13))))</f>
        <v>1000000000000</v>
      </c>
      <c r="BW97" s="216">
        <f ca="1">IF($D97&lt;&gt;"Serviço",0,IF(OR(AND(AUTOEVENTO="Manual",$M97=1),$M97&gt;(ROW(PLE.lastrow)-ROW(PLE.firstrow))),0,IF(OFFSET(PLE!$G$14,$M97,BW$13)="",10^12,OFFSET(PLE!$G$14,$M97,BW$13))))</f>
        <v>1000000000000</v>
      </c>
      <c r="BX97" s="216">
        <f ca="1">IF($D97&lt;&gt;"Serviço",0,IF(OR(AND(AUTOEVENTO="Manual",$M97=1),$M97&gt;(ROW(PLE.lastrow)-ROW(PLE.firstrow))),0,IF(OFFSET(PLE!$G$14,$M97,BX$13)="",10^12,OFFSET(PLE!$G$14,$M97,BX$13))))</f>
        <v>1000000000000</v>
      </c>
      <c r="BY97" s="216">
        <f ca="1">IF($D97&lt;&gt;"Serviço",0,IF(OR(AND(AUTOEVENTO="Manual",$M97=1),$M97&gt;(ROW(PLE.lastrow)-ROW(PLE.firstrow))),0,IF(OFFSET(PLE!$G$14,$M97,BY$13)="",10^12,OFFSET(PLE!$G$14,$M97,BY$13))))</f>
        <v>1000000000000</v>
      </c>
      <c r="BZ97" s="216">
        <f ca="1">IF($D97&lt;&gt;"Serviço",0,IF(OR(AND(AUTOEVENTO="Manual",$M97=1),$M97&gt;(ROW(PLE.lastrow)-ROW(PLE.firstrow))),0,IF(OFFSET(PLE!$G$14,$M97,BZ$13)="",10^12,OFFSET(PLE!$G$14,$M97,BZ$13))))</f>
        <v>1000000000000</v>
      </c>
      <c r="CA97" s="216">
        <f ca="1">IF($D97&lt;&gt;"Serviço",0,IF(OR(AND(AUTOEVENTO="Manual",$M97=1),$M97&gt;(ROW(PLE.lastrow)-ROW(PLE.firstrow))),0,IF(OFFSET(PLE!$G$14,$M97,CA$13)="",10^12,OFFSET(PLE!$G$14,$M97,CA$13))))</f>
        <v>1000000000000</v>
      </c>
      <c r="CB97" s="216">
        <f ca="1">IF($D97&lt;&gt;"Serviço",0,IF(OR(AND(AUTOEVENTO="Manual",$M97=1),$M97&gt;(ROW(PLE.lastrow)-ROW(PLE.firstrow))),0,IF(OFFSET(PLE!$G$14,$M97,CB$13)="",10^12,OFFSET(PLE!$G$14,$M97,CB$13))))</f>
        <v>1000000000000</v>
      </c>
      <c r="CC97" s="216">
        <f ca="1">IF($D97&lt;&gt;"Serviço",0,IF(OR(AND(AUTOEVENTO="Manual",$M97=1),$M97&gt;(ROW(PLE.lastrow)-ROW(PLE.firstrow))),0,IF(OFFSET(PLE!$G$14,$M97,CC$13)="",10^12,OFFSET(PLE!$G$14,$M97,CC$13))))</f>
        <v>1000000000000</v>
      </c>
      <c r="CD97" s="216">
        <f ca="1">IF($D97&lt;&gt;"Serviço",0,IF(OR(AND(AUTOEVENTO="Manual",$M97=1),$M97&gt;(ROW(PLE.lastrow)-ROW(PLE.firstrow))),0,IF(OFFSET(PLE!$G$14,$M97,CD$13)="",10^12,OFFSET(PLE!$G$14,$M97,CD$13))))</f>
        <v>1000000000000</v>
      </c>
      <c r="CE97" s="216">
        <f ca="1">IF($D97&lt;&gt;"Serviço",0,IF(OR(AND(AUTOEVENTO="Manual",$M97=1),$M97&gt;(ROW(PLE.lastrow)-ROW(PLE.firstrow))),0,IF(OFFSET(PLE!$G$14,$M97,CE$13)="",10^12,OFFSET(PLE!$G$14,$M97,CE$13))))</f>
        <v>1000000000000</v>
      </c>
      <c r="CF97" s="216">
        <f ca="1">IF($D97&lt;&gt;"Serviço",0,IF(OR(AND(AUTOEVENTO="Manual",$M97=1),$M97&gt;(ROW(PLE.lastrow)-ROW(PLE.firstrow))),0,IF(OFFSET(PLE!$G$14,$M97,CF$13)="",10^12,OFFSET(PLE!$G$14,$M97,CF$13))))</f>
        <v>1000000000000</v>
      </c>
      <c r="CG97" s="216">
        <f ca="1">IF($D97&lt;&gt;"Serviço",0,IF(OR(AND(AUTOEVENTO="Manual",$M97=1),$M97&gt;(ROW(PLE.lastrow)-ROW(PLE.firstrow))),0,IF(OFFSET(PLE!$G$14,$M97,CG$13)="",10^12,OFFSET(PLE!$G$14,$M97,CG$13))))</f>
        <v>1000000000000</v>
      </c>
      <c r="CH97" s="216">
        <f ca="1">IF($D97&lt;&gt;"Serviço",0,IF(OR(AND(AUTOEVENTO="Manual",$M97=1),$M97&gt;(ROW(PLE.lastrow)-ROW(PLE.firstrow))),0,IF(OFFSET(PLE!$G$14,$M97,CH$13)="",10^12,OFFSET(PLE!$G$14,$M97,CH$13))))</f>
        <v>1000000000000</v>
      </c>
      <c r="CI97" s="216">
        <f ca="1">IF($D97&lt;&gt;"Serviço",0,IF(OR(AND(AUTOEVENTO="Manual",$M97=1),$M97&gt;(ROW(PLE.lastrow)-ROW(PLE.firstrow))),0,IF(OFFSET(PLE!$G$14,$M97,CI$13)="",10^12,OFFSET(PLE!$G$14,$M97,CI$13))))</f>
        <v>1000000000000</v>
      </c>
      <c r="CJ97" s="216">
        <f ca="1">IF($D97&lt;&gt;"Serviço",0,IF(OR(AND(AUTOEVENTO="Manual",$M97=1),$M97&gt;(ROW(PLE.lastrow)-ROW(PLE.firstrow))),0,IF(OFFSET(PLE!$G$14,$M97,CJ$13)="",10^12,OFFSET(PLE!$G$14,$M97,CJ$13))))</f>
        <v>1000000000000</v>
      </c>
      <c r="CK97" s="216">
        <f ca="1">IF($D97&lt;&gt;"Serviço",0,IF(OR(AND(AUTOEVENTO="Manual",$M97=1),$M97&gt;(ROW(PLE.lastrow)-ROW(PLE.firstrow))),0,IF(OFFSET(PLE!$G$14,$M97,CK$13)="",10^12,OFFSET(PLE!$G$14,$M97,CK$13))))</f>
        <v>1000000000000</v>
      </c>
      <c r="CL97" s="216">
        <f ca="1">IF($D97&lt;&gt;"Serviço",0,IF(OR(AND(AUTOEVENTO="Manual",$M97=1),$M97&gt;(ROW(PLE.lastrow)-ROW(PLE.firstrow))),0,IF(OFFSET(PLE!$G$14,$M97,CL$13)="",10^12,OFFSET(PLE!$G$14,$M97,CL$13))))</f>
        <v>1000000000000</v>
      </c>
      <c r="CM97" s="216">
        <f ca="1">IF($D97&lt;&gt;"Serviço",0,IF(OR(AND(AUTOEVENTO="Manual",$M97=1),$M97&gt;(ROW(PLE.lastrow)-ROW(PLE.firstrow))),0,IF(OFFSET(PLE!$G$14,$M97,CM$13)="",10^12,OFFSET(PLE!$G$14,$M97,CM$13))))</f>
        <v>1000000000000</v>
      </c>
    </row>
    <row r="98" spans="1:91" ht="13.2" x14ac:dyDescent="0.25">
      <c r="A98" s="9">
        <f t="shared" ca="1" si="10"/>
        <v>0</v>
      </c>
      <c r="B98" s="9" t="str">
        <f ca="1">OFFSET(ORÇAMENTO!C$15,ROW(B98)-ROW(B$15),0)</f>
        <v>S</v>
      </c>
      <c r="C98" s="9" t="str">
        <f ca="1">OFFSET(ORÇAMENTO!L$15,ROW(C98)-ROW(C$15),0)</f>
        <v/>
      </c>
      <c r="D98" s="145" t="str">
        <f ca="1">OFFSET(ORÇAMENTO!N$15,ROW(D98)-ROW(D$15),0)</f>
        <v>Serviço</v>
      </c>
      <c r="E98" s="205" t="str">
        <f ca="1">OFFSET(ORÇAMENTO!O$15,ROW(E98)-ROW(E$15),0)</f>
        <v>-</v>
      </c>
      <c r="F98" s="206" t="str">
        <f ca="1">OFFSET(ORÇAMENTO!R$15,ROW(F98)-ROW(F$15),0)</f>
        <v>(abra o arquivo 'Referência 05-2024.xls)</v>
      </c>
      <c r="G98" s="207" t="str">
        <f ca="1">IF($D98&lt;&gt;"Serviço","",OFFSET(ORÇAMENTO!S$15,ROW(G98)-ROW(G$15),0))</f>
        <v>-</v>
      </c>
      <c r="H98" s="151">
        <f ca="1">IF($D98&lt;&gt;"Serviço",0,IF(ACOMPANHAMENTO="BM",ROUND(OFFSET(ORÇAMENTO!AJ$15,ROW(H98)-ROW(H$15),0),15-13*ORÇAMENTO!$AF$7),SUMPRODUCT(($Q$12:$AI$12&lt;&gt;"")*ROUND($Q98:$AI98,15-13*ORÇAMENTO!$AF$7))))</f>
        <v>1561.27</v>
      </c>
      <c r="I98" s="650"/>
      <c r="K98" s="208"/>
      <c r="L98" s="209" t="s">
        <v>257</v>
      </c>
      <c r="M98" s="210">
        <f ca="1">IF($D98&lt;&gt;"Serviço","",IF(AUTOEVENTO="manual",$A98,IF(ISERROR(MATCH($A98,$A$15:OFFSET($A98,-1,0),0)),MAX($M$15:OFFSET(M98,-1,0))+1,INDEX($M$15:OFFSET(M98,-1,0),MATCH($A98,$A$15:OFFSET($A98,-1,0),0)))))</f>
        <v>0</v>
      </c>
      <c r="N98" s="211" t="str">
        <f ca="1">IF($D98&lt;&gt;"Serviço","",IF(AUTOEVENTO="Manual",IF($A98=0,"&lt;-- defina o número do agrupador",OFFSET(EVENTOS!$D$14,$A98,0)),OFFSET($F$15,$A98,0)))</f>
        <v>&lt;-- defina o número do agrupador</v>
      </c>
      <c r="O98" s="212"/>
      <c r="Q98" s="212"/>
      <c r="R98" s="213"/>
      <c r="S98" s="213"/>
      <c r="T98" s="213"/>
      <c r="U98" s="213"/>
      <c r="V98" s="213"/>
      <c r="W98" s="213"/>
      <c r="X98" s="213"/>
      <c r="Y98" s="213"/>
      <c r="Z98" s="214"/>
      <c r="AA98" s="213"/>
      <c r="AB98" s="213"/>
      <c r="AC98" s="213"/>
      <c r="AD98" s="213"/>
      <c r="AE98" s="213"/>
      <c r="AF98" s="213"/>
      <c r="AG98" s="213"/>
      <c r="AH98" s="214"/>
      <c r="AJ98" s="631">
        <f ca="1">IF(AND($D98="Serviço",AJ$12&lt;&gt;0,$H98&gt;0,OR(AUTOEVENTO&lt;&gt;"manual",$M98&lt;&gt;1)),ROUND(OFFSET($P98,0,AJ$13),15-13*ORÇAMENTO!$AF$7)/$H98*OFFSET(ORÇAMENTO!$X$15,ROW(AJ98)-ROW(AJ$15),0),0)</f>
        <v>0</v>
      </c>
      <c r="AK98" s="632">
        <f ca="1">IF(AND($D98="Serviço",AK$12&lt;&gt;0,$H98&gt;0,OR(AUTOEVENTO&lt;&gt;"manual",$M98&lt;&gt;1)),ROUND(OFFSET($P98,0,AK$13),15-13*ORÇAMENTO!$AF$7)/$H98*OFFSET(ORÇAMENTO!$X$15,ROW(AK98)-ROW(AK$15),0),0)</f>
        <v>0</v>
      </c>
      <c r="AL98" s="632">
        <f ca="1">IF(AND($D98="Serviço",AL$12&lt;&gt;0,$H98&gt;0,OR(AUTOEVENTO&lt;&gt;"manual",$M98&lt;&gt;1)),ROUND(OFFSET($P98,0,AL$13),15-13*ORÇAMENTO!$AF$7)/$H98*OFFSET(ORÇAMENTO!$X$15,ROW(AL98)-ROW(AL$15),0),0)</f>
        <v>0</v>
      </c>
      <c r="AM98" s="632">
        <f ca="1">IF(AND($D98="Serviço",AM$12&lt;&gt;0,$H98&gt;0,OR(AUTOEVENTO&lt;&gt;"manual",$M98&lt;&gt;1)),ROUND(OFFSET($P98,0,AM$13),15-13*ORÇAMENTO!$AF$7)/$H98*OFFSET(ORÇAMENTO!$X$15,ROW(AM98)-ROW(AM$15),0),0)</f>
        <v>0</v>
      </c>
      <c r="AN98" s="632">
        <f ca="1">IF(AND($D98="Serviço",AN$12&lt;&gt;0,$H98&gt;0,OR(AUTOEVENTO&lt;&gt;"manual",$M98&lt;&gt;1)),ROUND(OFFSET($P98,0,AN$13),15-13*ORÇAMENTO!$AF$7)/$H98*OFFSET(ORÇAMENTO!$X$15,ROW(AN98)-ROW(AN$15),0),0)</f>
        <v>0</v>
      </c>
      <c r="AO98" s="632">
        <f ca="1">IF(AND($D98="Serviço",AO$12&lt;&gt;0,$H98&gt;0,OR(AUTOEVENTO&lt;&gt;"manual",$M98&lt;&gt;1)),ROUND(OFFSET($P98,0,AO$13),15-13*ORÇAMENTO!$AF$7)/$H98*OFFSET(ORÇAMENTO!$X$15,ROW(AO98)-ROW(AO$15),0),0)</f>
        <v>0</v>
      </c>
      <c r="AP98" s="632">
        <f ca="1">IF(AND($D98="Serviço",AP$12&lt;&gt;0,$H98&gt;0,OR(AUTOEVENTO&lt;&gt;"manual",$M98&lt;&gt;1)),ROUND(OFFSET($P98,0,AP$13),15-13*ORÇAMENTO!$AF$7)/$H98*OFFSET(ORÇAMENTO!$X$15,ROW(AP98)-ROW(AP$15),0),0)</f>
        <v>0</v>
      </c>
      <c r="AQ98" s="632">
        <f ca="1">IF(AND($D98="Serviço",AQ$12&lt;&gt;0,$H98&gt;0,OR(AUTOEVENTO&lt;&gt;"manual",$M98&lt;&gt;1)),ROUND(OFFSET($P98,0,AQ$13),15-13*ORÇAMENTO!$AF$7)/$H98*OFFSET(ORÇAMENTO!$X$15,ROW(AQ98)-ROW(AQ$15),0),0)</f>
        <v>0</v>
      </c>
      <c r="AR98" s="632">
        <f ca="1">IF(AND($D98="Serviço",AR$12&lt;&gt;0,$H98&gt;0,OR(AUTOEVENTO&lt;&gt;"manual",$M98&lt;&gt;1)),ROUND(OFFSET($P98,0,AR$13),15-13*ORÇAMENTO!$AF$7)/$H98*OFFSET(ORÇAMENTO!$X$15,ROW(AR98)-ROW(AR$15),0),0)</f>
        <v>0</v>
      </c>
      <c r="AS98" s="633">
        <f ca="1">IF(AND($D98="Serviço",AS$12&lt;&gt;0,$H98&gt;0,OR(AUTOEVENTO&lt;&gt;"manual",$M98&lt;&gt;1)),ROUND(OFFSET($P98,0,AS$13),15-13*ORÇAMENTO!$AF$7)/$H98*OFFSET(ORÇAMENTO!$X$15,ROW(AS98)-ROW(AS$15),0),0)</f>
        <v>0</v>
      </c>
      <c r="AT98" s="632">
        <f ca="1">IF(AND($D98="Serviço",AT$12&lt;&gt;0,$H98&gt;0,OR(AUTOEVENTO&lt;&gt;"manual",$M98&lt;&gt;1)),ROUND(OFFSET($P98,0,AT$13),15-13*ORÇAMENTO!$AF$7)/$H98*OFFSET(ORÇAMENTO!$X$15,ROW(AT98)-ROW(AT$15),0),0)</f>
        <v>0</v>
      </c>
      <c r="AU98" s="632">
        <f ca="1">IF(AND($D98="Serviço",AU$12&lt;&gt;0,$H98&gt;0,OR(AUTOEVENTO&lt;&gt;"manual",$M98&lt;&gt;1)),ROUND(OFFSET($P98,0,AU$13),15-13*ORÇAMENTO!$AF$7)/$H98*OFFSET(ORÇAMENTO!$X$15,ROW(AU98)-ROW(AU$15),0),0)</f>
        <v>0</v>
      </c>
      <c r="AV98" s="632">
        <f ca="1">IF(AND($D98="Serviço",AV$12&lt;&gt;0,$H98&gt;0,OR(AUTOEVENTO&lt;&gt;"manual",$M98&lt;&gt;1)),ROUND(OFFSET($P98,0,AV$13),15-13*ORÇAMENTO!$AF$7)/$H98*OFFSET(ORÇAMENTO!$X$15,ROW(AV98)-ROW(AV$15),0),0)</f>
        <v>0</v>
      </c>
      <c r="AW98" s="632">
        <f ca="1">IF(AND($D98="Serviço",AW$12&lt;&gt;0,$H98&gt;0,OR(AUTOEVENTO&lt;&gt;"manual",$M98&lt;&gt;1)),ROUND(OFFSET($P98,0,AW$13),15-13*ORÇAMENTO!$AF$7)/$H98*OFFSET(ORÇAMENTO!$X$15,ROW(AW98)-ROW(AW$15),0),0)</f>
        <v>0</v>
      </c>
      <c r="AX98" s="632">
        <f ca="1">IF(AND($D98="Serviço",AX$12&lt;&gt;0,$H98&gt;0,OR(AUTOEVENTO&lt;&gt;"manual",$M98&lt;&gt;1)),ROUND(OFFSET($P98,0,AX$13),15-13*ORÇAMENTO!$AF$7)/$H98*OFFSET(ORÇAMENTO!$X$15,ROW(AX98)-ROW(AX$15),0),0)</f>
        <v>0</v>
      </c>
      <c r="AY98" s="632">
        <f ca="1">IF(AND($D98="Serviço",AY$12&lt;&gt;0,$H98&gt;0,OR(AUTOEVENTO&lt;&gt;"manual",$M98&lt;&gt;1)),ROUND(OFFSET($P98,0,AY$13),15-13*ORÇAMENTO!$AF$7)/$H98*OFFSET(ORÇAMENTO!$X$15,ROW(AY98)-ROW(AY$15),0),0)</f>
        <v>0</v>
      </c>
      <c r="AZ98" s="632">
        <f ca="1">IF(AND($D98="Serviço",AZ$12&lt;&gt;0,$H98&gt;0,OR(AUTOEVENTO&lt;&gt;"manual",$M98&lt;&gt;1)),ROUND(OFFSET($P98,0,AZ$13),15-13*ORÇAMENTO!$AF$7)/$H98*OFFSET(ORÇAMENTO!$X$15,ROW(AZ98)-ROW(AZ$15),0),0)</f>
        <v>0</v>
      </c>
      <c r="BA98" s="633">
        <f ca="1">IF(AND($D98="Serviço",BA$12&lt;&gt;0,$H98&gt;0,OR(AUTOEVENTO&lt;&gt;"manual",$M98&lt;&gt;1)),ROUND(OFFSET($P98,0,BA$13),15-13*ORÇAMENTO!$AF$7)/$H98*OFFSET(ORÇAMENTO!$X$15,ROW(BA98)-ROW(BA$15),0),0)</f>
        <v>0</v>
      </c>
      <c r="BC98" s="215">
        <f ca="1">IF($D98&lt;&gt;"Serviço",0,IF(AND(AUTOEVENTO="Manual",$M98=1),0,IF(OFFSET(CRONOPLE!$F$14,$M98,BC$13)="",10^12,OFFSET(CRONOPLE!$F$14,$M98,BC$13))))</f>
        <v>1000000000000</v>
      </c>
      <c r="BD98" s="215">
        <f ca="1">IF($D98&lt;&gt;"Serviço",0,IF(AND(AUTOEVENTO="Manual",$M98=1),0,IF(OFFSET(CRONOPLE!$F$14,$M98,BD$13)="",10^12,OFFSET(CRONOPLE!$F$14,$M98,BD$13))))</f>
        <v>1000000000000</v>
      </c>
      <c r="BE98" s="215">
        <f ca="1">IF($D98&lt;&gt;"Serviço",0,IF(AND(AUTOEVENTO="Manual",$M98=1),0,IF(OFFSET(CRONOPLE!$F$14,$M98,BE$13)="",10^12,OFFSET(CRONOPLE!$F$14,$M98,BE$13))))</f>
        <v>1000000000000</v>
      </c>
      <c r="BF98" s="215">
        <f ca="1">IF($D98&lt;&gt;"Serviço",0,IF(AND(AUTOEVENTO="Manual",$M98=1),0,IF(OFFSET(CRONOPLE!$F$14,$M98,BF$13)="",10^12,OFFSET(CRONOPLE!$F$14,$M98,BF$13))))</f>
        <v>1000000000000</v>
      </c>
      <c r="BG98" s="215">
        <f ca="1">IF($D98&lt;&gt;"Serviço",0,IF(AND(AUTOEVENTO="Manual",$M98=1),0,IF(OFFSET(CRONOPLE!$F$14,$M98,BG$13)="",10^12,OFFSET(CRONOPLE!$F$14,$M98,BG$13))))</f>
        <v>1000000000000</v>
      </c>
      <c r="BH98" s="215">
        <f ca="1">IF($D98&lt;&gt;"Serviço",0,IF(AND(AUTOEVENTO="Manual",$M98=1),0,IF(OFFSET(CRONOPLE!$F$14,$M98,BH$13)="",10^12,OFFSET(CRONOPLE!$F$14,$M98,BH$13))))</f>
        <v>1000000000000</v>
      </c>
      <c r="BI98" s="215">
        <f ca="1">IF($D98&lt;&gt;"Serviço",0,IF(AND(AUTOEVENTO="Manual",$M98=1),0,IF(OFFSET(CRONOPLE!$F$14,$M98,BI$13)="",10^12,OFFSET(CRONOPLE!$F$14,$M98,BI$13))))</f>
        <v>1000000000000</v>
      </c>
      <c r="BJ98" s="215">
        <f ca="1">IF($D98&lt;&gt;"Serviço",0,IF(AND(AUTOEVENTO="Manual",$M98=1),0,IF(OFFSET(CRONOPLE!$F$14,$M98,BJ$13)="",10^12,OFFSET(CRONOPLE!$F$14,$M98,BJ$13))))</f>
        <v>1000000000000</v>
      </c>
      <c r="BK98" s="215">
        <f ca="1">IF($D98&lt;&gt;"Serviço",0,IF(AND(AUTOEVENTO="Manual",$M98=1),0,IF(OFFSET(CRONOPLE!$F$14,$M98,BK$13)="",10^12,OFFSET(CRONOPLE!$F$14,$M98,BK$13))))</f>
        <v>1000000000000</v>
      </c>
      <c r="BL98" s="215">
        <f ca="1">IF($D98&lt;&gt;"Serviço",0,IF(AND(AUTOEVENTO="Manual",$M98=1),0,IF(OFFSET(CRONOPLE!$F$14,$M98,BL$13)="",10^12,OFFSET(CRONOPLE!$F$14,$M98,BL$13))))</f>
        <v>1000000000000</v>
      </c>
      <c r="BM98" s="215">
        <f ca="1">IF($D98&lt;&gt;"Serviço",0,IF(AND(AUTOEVENTO="Manual",$M98=1),0,IF(OFFSET(CRONOPLE!$F$14,$M98,BM$13)="",10^12,OFFSET(CRONOPLE!$F$14,$M98,BM$13))))</f>
        <v>1000000000000</v>
      </c>
      <c r="BN98" s="215">
        <f ca="1">IF($D98&lt;&gt;"Serviço",0,IF(AND(AUTOEVENTO="Manual",$M98=1),0,IF(OFFSET(CRONOPLE!$F$14,$M98,BN$13)="",10^12,OFFSET(CRONOPLE!$F$14,$M98,BN$13))))</f>
        <v>1000000000000</v>
      </c>
      <c r="BO98" s="215">
        <f ca="1">IF($D98&lt;&gt;"Serviço",0,IF(AND(AUTOEVENTO="Manual",$M98=1),0,IF(OFFSET(CRONOPLE!$F$14,$M98,BO$13)="",10^12,OFFSET(CRONOPLE!$F$14,$M98,BO$13))))</f>
        <v>1000000000000</v>
      </c>
      <c r="BP98" s="215">
        <f ca="1">IF($D98&lt;&gt;"Serviço",0,IF(AND(AUTOEVENTO="Manual",$M98=1),0,IF(OFFSET(CRONOPLE!$F$14,$M98,BP$13)="",10^12,OFFSET(CRONOPLE!$F$14,$M98,BP$13))))</f>
        <v>1000000000000</v>
      </c>
      <c r="BQ98" s="215">
        <f ca="1">IF($D98&lt;&gt;"Serviço",0,IF(AND(AUTOEVENTO="Manual",$M98=1),0,IF(OFFSET(CRONOPLE!$F$14,$M98,BQ$13)="",10^12,OFFSET(CRONOPLE!$F$14,$M98,BQ$13))))</f>
        <v>1000000000000</v>
      </c>
      <c r="BR98" s="215">
        <f ca="1">IF($D98&lt;&gt;"Serviço",0,IF(AND(AUTOEVENTO="Manual",$M98=1),0,IF(OFFSET(CRONOPLE!$F$14,$M98,BR$13)="",10^12,OFFSET(CRONOPLE!$F$14,$M98,BR$13))))</f>
        <v>1000000000000</v>
      </c>
      <c r="BS98" s="215">
        <f ca="1">IF($D98&lt;&gt;"Serviço",0,IF(AND(AUTOEVENTO="Manual",$M98=1),0,IF(OFFSET(CRONOPLE!$F$14,$M98,BS$13)="",10^12,OFFSET(CRONOPLE!$F$14,$M98,BS$13))))</f>
        <v>1000000000000</v>
      </c>
      <c r="BT98" s="215">
        <f ca="1">IF($D98&lt;&gt;"Serviço",0,IF(AND(AUTOEVENTO="Manual",$M98=1),0,IF(OFFSET(CRONOPLE!$F$14,$M98,BT$13)="",10^12,OFFSET(CRONOPLE!$F$14,$M98,BT$13))))</f>
        <v>1000000000000</v>
      </c>
      <c r="BV98" s="216">
        <f ca="1">IF($D98&lt;&gt;"Serviço",0,IF(OR(AND(AUTOEVENTO="Manual",$M98=1),$M98&gt;(ROW(PLE.lastrow)-ROW(PLE.firstrow))),0,IF(OFFSET(PLE!$G$14,$M98,BV$13)="",10^12,OFFSET(PLE!$G$14,$M98,BV$13))))</f>
        <v>1000000000000</v>
      </c>
      <c r="BW98" s="216">
        <f ca="1">IF($D98&lt;&gt;"Serviço",0,IF(OR(AND(AUTOEVENTO="Manual",$M98=1),$M98&gt;(ROW(PLE.lastrow)-ROW(PLE.firstrow))),0,IF(OFFSET(PLE!$G$14,$M98,BW$13)="",10^12,OFFSET(PLE!$G$14,$M98,BW$13))))</f>
        <v>1000000000000</v>
      </c>
      <c r="BX98" s="216">
        <f ca="1">IF($D98&lt;&gt;"Serviço",0,IF(OR(AND(AUTOEVENTO="Manual",$M98=1),$M98&gt;(ROW(PLE.lastrow)-ROW(PLE.firstrow))),0,IF(OFFSET(PLE!$G$14,$M98,BX$13)="",10^12,OFFSET(PLE!$G$14,$M98,BX$13))))</f>
        <v>1000000000000</v>
      </c>
      <c r="BY98" s="216">
        <f ca="1">IF($D98&lt;&gt;"Serviço",0,IF(OR(AND(AUTOEVENTO="Manual",$M98=1),$M98&gt;(ROW(PLE.lastrow)-ROW(PLE.firstrow))),0,IF(OFFSET(PLE!$G$14,$M98,BY$13)="",10^12,OFFSET(PLE!$G$14,$M98,BY$13))))</f>
        <v>1000000000000</v>
      </c>
      <c r="BZ98" s="216">
        <f ca="1">IF($D98&lt;&gt;"Serviço",0,IF(OR(AND(AUTOEVENTO="Manual",$M98=1),$M98&gt;(ROW(PLE.lastrow)-ROW(PLE.firstrow))),0,IF(OFFSET(PLE!$G$14,$M98,BZ$13)="",10^12,OFFSET(PLE!$G$14,$M98,BZ$13))))</f>
        <v>1000000000000</v>
      </c>
      <c r="CA98" s="216">
        <f ca="1">IF($D98&lt;&gt;"Serviço",0,IF(OR(AND(AUTOEVENTO="Manual",$M98=1),$M98&gt;(ROW(PLE.lastrow)-ROW(PLE.firstrow))),0,IF(OFFSET(PLE!$G$14,$M98,CA$13)="",10^12,OFFSET(PLE!$G$14,$M98,CA$13))))</f>
        <v>1000000000000</v>
      </c>
      <c r="CB98" s="216">
        <f ca="1">IF($D98&lt;&gt;"Serviço",0,IF(OR(AND(AUTOEVENTO="Manual",$M98=1),$M98&gt;(ROW(PLE.lastrow)-ROW(PLE.firstrow))),0,IF(OFFSET(PLE!$G$14,$M98,CB$13)="",10^12,OFFSET(PLE!$G$14,$M98,CB$13))))</f>
        <v>1000000000000</v>
      </c>
      <c r="CC98" s="216">
        <f ca="1">IF($D98&lt;&gt;"Serviço",0,IF(OR(AND(AUTOEVENTO="Manual",$M98=1),$M98&gt;(ROW(PLE.lastrow)-ROW(PLE.firstrow))),0,IF(OFFSET(PLE!$G$14,$M98,CC$13)="",10^12,OFFSET(PLE!$G$14,$M98,CC$13))))</f>
        <v>1000000000000</v>
      </c>
      <c r="CD98" s="216">
        <f ca="1">IF($D98&lt;&gt;"Serviço",0,IF(OR(AND(AUTOEVENTO="Manual",$M98=1),$M98&gt;(ROW(PLE.lastrow)-ROW(PLE.firstrow))),0,IF(OFFSET(PLE!$G$14,$M98,CD$13)="",10^12,OFFSET(PLE!$G$14,$M98,CD$13))))</f>
        <v>1000000000000</v>
      </c>
      <c r="CE98" s="216">
        <f ca="1">IF($D98&lt;&gt;"Serviço",0,IF(OR(AND(AUTOEVENTO="Manual",$M98=1),$M98&gt;(ROW(PLE.lastrow)-ROW(PLE.firstrow))),0,IF(OFFSET(PLE!$G$14,$M98,CE$13)="",10^12,OFFSET(PLE!$G$14,$M98,CE$13))))</f>
        <v>1000000000000</v>
      </c>
      <c r="CF98" s="216">
        <f ca="1">IF($D98&lt;&gt;"Serviço",0,IF(OR(AND(AUTOEVENTO="Manual",$M98=1),$M98&gt;(ROW(PLE.lastrow)-ROW(PLE.firstrow))),0,IF(OFFSET(PLE!$G$14,$M98,CF$13)="",10^12,OFFSET(PLE!$G$14,$M98,CF$13))))</f>
        <v>1000000000000</v>
      </c>
      <c r="CG98" s="216">
        <f ca="1">IF($D98&lt;&gt;"Serviço",0,IF(OR(AND(AUTOEVENTO="Manual",$M98=1),$M98&gt;(ROW(PLE.lastrow)-ROW(PLE.firstrow))),0,IF(OFFSET(PLE!$G$14,$M98,CG$13)="",10^12,OFFSET(PLE!$G$14,$M98,CG$13))))</f>
        <v>1000000000000</v>
      </c>
      <c r="CH98" s="216">
        <f ca="1">IF($D98&lt;&gt;"Serviço",0,IF(OR(AND(AUTOEVENTO="Manual",$M98=1),$M98&gt;(ROW(PLE.lastrow)-ROW(PLE.firstrow))),0,IF(OFFSET(PLE!$G$14,$M98,CH$13)="",10^12,OFFSET(PLE!$G$14,$M98,CH$13))))</f>
        <v>1000000000000</v>
      </c>
      <c r="CI98" s="216">
        <f ca="1">IF($D98&lt;&gt;"Serviço",0,IF(OR(AND(AUTOEVENTO="Manual",$M98=1),$M98&gt;(ROW(PLE.lastrow)-ROW(PLE.firstrow))),0,IF(OFFSET(PLE!$G$14,$M98,CI$13)="",10^12,OFFSET(PLE!$G$14,$M98,CI$13))))</f>
        <v>1000000000000</v>
      </c>
      <c r="CJ98" s="216">
        <f ca="1">IF($D98&lt;&gt;"Serviço",0,IF(OR(AND(AUTOEVENTO="Manual",$M98=1),$M98&gt;(ROW(PLE.lastrow)-ROW(PLE.firstrow))),0,IF(OFFSET(PLE!$G$14,$M98,CJ$13)="",10^12,OFFSET(PLE!$G$14,$M98,CJ$13))))</f>
        <v>1000000000000</v>
      </c>
      <c r="CK98" s="216">
        <f ca="1">IF($D98&lt;&gt;"Serviço",0,IF(OR(AND(AUTOEVENTO="Manual",$M98=1),$M98&gt;(ROW(PLE.lastrow)-ROW(PLE.firstrow))),0,IF(OFFSET(PLE!$G$14,$M98,CK$13)="",10^12,OFFSET(PLE!$G$14,$M98,CK$13))))</f>
        <v>1000000000000</v>
      </c>
      <c r="CL98" s="216">
        <f ca="1">IF($D98&lt;&gt;"Serviço",0,IF(OR(AND(AUTOEVENTO="Manual",$M98=1),$M98&gt;(ROW(PLE.lastrow)-ROW(PLE.firstrow))),0,IF(OFFSET(PLE!$G$14,$M98,CL$13)="",10^12,OFFSET(PLE!$G$14,$M98,CL$13))))</f>
        <v>1000000000000</v>
      </c>
      <c r="CM98" s="216">
        <f ca="1">IF($D98&lt;&gt;"Serviço",0,IF(OR(AND(AUTOEVENTO="Manual",$M98=1),$M98&gt;(ROW(PLE.lastrow)-ROW(PLE.firstrow))),0,IF(OFFSET(PLE!$G$14,$M98,CM$13)="",10^12,OFFSET(PLE!$G$14,$M98,CM$13))))</f>
        <v>1000000000000</v>
      </c>
    </row>
    <row r="99" spans="1:91" ht="13.2" x14ac:dyDescent="0.25">
      <c r="A99" s="9">
        <f t="shared" ca="1" si="10"/>
        <v>0</v>
      </c>
      <c r="B99" s="9" t="str">
        <f ca="1">OFFSET(ORÇAMENTO!C$15,ROW(B99)-ROW(B$15),0)</f>
        <v>S</v>
      </c>
      <c r="C99" s="9" t="str">
        <f ca="1">OFFSET(ORÇAMENTO!L$15,ROW(C99)-ROW(C$15),0)</f>
        <v/>
      </c>
      <c r="D99" s="145" t="str">
        <f ca="1">OFFSET(ORÇAMENTO!N$15,ROW(D99)-ROW(D$15),0)</f>
        <v>Serviço</v>
      </c>
      <c r="E99" s="205" t="str">
        <f ca="1">OFFSET(ORÇAMENTO!O$15,ROW(E99)-ROW(E$15),0)</f>
        <v>-</v>
      </c>
      <c r="F99" s="206" t="str">
        <f ca="1">OFFSET(ORÇAMENTO!R$15,ROW(F99)-ROW(F$15),0)</f>
        <v>(abra o arquivo 'Referência 05-2024.xls)</v>
      </c>
      <c r="G99" s="207" t="str">
        <f ca="1">IF($D99&lt;&gt;"Serviço","",OFFSET(ORÇAMENTO!S$15,ROW(G99)-ROW(G$15),0))</f>
        <v>-</v>
      </c>
      <c r="H99" s="151">
        <f ca="1">IF($D99&lt;&gt;"Serviço",0,IF(ACOMPANHAMENTO="BM",ROUND(OFFSET(ORÇAMENTO!AJ$15,ROW(H99)-ROW(H$15),0),15-13*ORÇAMENTO!$AF$7),SUMPRODUCT(($Q$12:$AI$12&lt;&gt;"")*ROUND($Q99:$AI99,15-13*ORÇAMENTO!$AF$7))))</f>
        <v>126.75</v>
      </c>
      <c r="I99" s="650"/>
      <c r="K99" s="208"/>
      <c r="L99" s="209" t="s">
        <v>257</v>
      </c>
      <c r="M99" s="210">
        <f ca="1">IF($D99&lt;&gt;"Serviço","",IF(AUTOEVENTO="manual",$A99,IF(ISERROR(MATCH($A99,$A$15:OFFSET($A99,-1,0),0)),MAX($M$15:OFFSET(M99,-1,0))+1,INDEX($M$15:OFFSET(M99,-1,0),MATCH($A99,$A$15:OFFSET($A99,-1,0),0)))))</f>
        <v>0</v>
      </c>
      <c r="N99" s="211" t="str">
        <f ca="1">IF($D99&lt;&gt;"Serviço","",IF(AUTOEVENTO="Manual",IF($A99=0,"&lt;-- defina o número do agrupador",OFFSET(EVENTOS!$D$14,$A99,0)),OFFSET($F$15,$A99,0)))</f>
        <v>&lt;-- defina o número do agrupador</v>
      </c>
      <c r="O99" s="212"/>
      <c r="Q99" s="212"/>
      <c r="R99" s="213"/>
      <c r="S99" s="213"/>
      <c r="T99" s="213"/>
      <c r="U99" s="213"/>
      <c r="V99" s="213"/>
      <c r="W99" s="213"/>
      <c r="X99" s="213"/>
      <c r="Y99" s="213"/>
      <c r="Z99" s="214"/>
      <c r="AA99" s="213"/>
      <c r="AB99" s="213"/>
      <c r="AC99" s="213"/>
      <c r="AD99" s="213"/>
      <c r="AE99" s="213"/>
      <c r="AF99" s="213"/>
      <c r="AG99" s="213"/>
      <c r="AH99" s="214"/>
      <c r="AJ99" s="631">
        <f ca="1">IF(AND($D99="Serviço",AJ$12&lt;&gt;0,$H99&gt;0,OR(AUTOEVENTO&lt;&gt;"manual",$M99&lt;&gt;1)),ROUND(OFFSET($P99,0,AJ$13),15-13*ORÇAMENTO!$AF$7)/$H99*OFFSET(ORÇAMENTO!$X$15,ROW(AJ99)-ROW(AJ$15),0),0)</f>
        <v>0</v>
      </c>
      <c r="AK99" s="632">
        <f ca="1">IF(AND($D99="Serviço",AK$12&lt;&gt;0,$H99&gt;0,OR(AUTOEVENTO&lt;&gt;"manual",$M99&lt;&gt;1)),ROUND(OFFSET($P99,0,AK$13),15-13*ORÇAMENTO!$AF$7)/$H99*OFFSET(ORÇAMENTO!$X$15,ROW(AK99)-ROW(AK$15),0),0)</f>
        <v>0</v>
      </c>
      <c r="AL99" s="632">
        <f ca="1">IF(AND($D99="Serviço",AL$12&lt;&gt;0,$H99&gt;0,OR(AUTOEVENTO&lt;&gt;"manual",$M99&lt;&gt;1)),ROUND(OFFSET($P99,0,AL$13),15-13*ORÇAMENTO!$AF$7)/$H99*OFFSET(ORÇAMENTO!$X$15,ROW(AL99)-ROW(AL$15),0),0)</f>
        <v>0</v>
      </c>
      <c r="AM99" s="632">
        <f ca="1">IF(AND($D99="Serviço",AM$12&lt;&gt;0,$H99&gt;0,OR(AUTOEVENTO&lt;&gt;"manual",$M99&lt;&gt;1)),ROUND(OFFSET($P99,0,AM$13),15-13*ORÇAMENTO!$AF$7)/$H99*OFFSET(ORÇAMENTO!$X$15,ROW(AM99)-ROW(AM$15),0),0)</f>
        <v>0</v>
      </c>
      <c r="AN99" s="632">
        <f ca="1">IF(AND($D99="Serviço",AN$12&lt;&gt;0,$H99&gt;0,OR(AUTOEVENTO&lt;&gt;"manual",$M99&lt;&gt;1)),ROUND(OFFSET($P99,0,AN$13),15-13*ORÇAMENTO!$AF$7)/$H99*OFFSET(ORÇAMENTO!$X$15,ROW(AN99)-ROW(AN$15),0),0)</f>
        <v>0</v>
      </c>
      <c r="AO99" s="632">
        <f ca="1">IF(AND($D99="Serviço",AO$12&lt;&gt;0,$H99&gt;0,OR(AUTOEVENTO&lt;&gt;"manual",$M99&lt;&gt;1)),ROUND(OFFSET($P99,0,AO$13),15-13*ORÇAMENTO!$AF$7)/$H99*OFFSET(ORÇAMENTO!$X$15,ROW(AO99)-ROW(AO$15),0),0)</f>
        <v>0</v>
      </c>
      <c r="AP99" s="632">
        <f ca="1">IF(AND($D99="Serviço",AP$12&lt;&gt;0,$H99&gt;0,OR(AUTOEVENTO&lt;&gt;"manual",$M99&lt;&gt;1)),ROUND(OFFSET($P99,0,AP$13),15-13*ORÇAMENTO!$AF$7)/$H99*OFFSET(ORÇAMENTO!$X$15,ROW(AP99)-ROW(AP$15),0),0)</f>
        <v>0</v>
      </c>
      <c r="AQ99" s="632">
        <f ca="1">IF(AND($D99="Serviço",AQ$12&lt;&gt;0,$H99&gt;0,OR(AUTOEVENTO&lt;&gt;"manual",$M99&lt;&gt;1)),ROUND(OFFSET($P99,0,AQ$13),15-13*ORÇAMENTO!$AF$7)/$H99*OFFSET(ORÇAMENTO!$X$15,ROW(AQ99)-ROW(AQ$15),0),0)</f>
        <v>0</v>
      </c>
      <c r="AR99" s="632">
        <f ca="1">IF(AND($D99="Serviço",AR$12&lt;&gt;0,$H99&gt;0,OR(AUTOEVENTO&lt;&gt;"manual",$M99&lt;&gt;1)),ROUND(OFFSET($P99,0,AR$13),15-13*ORÇAMENTO!$AF$7)/$H99*OFFSET(ORÇAMENTO!$X$15,ROW(AR99)-ROW(AR$15),0),0)</f>
        <v>0</v>
      </c>
      <c r="AS99" s="633">
        <f ca="1">IF(AND($D99="Serviço",AS$12&lt;&gt;0,$H99&gt;0,OR(AUTOEVENTO&lt;&gt;"manual",$M99&lt;&gt;1)),ROUND(OFFSET($P99,0,AS$13),15-13*ORÇAMENTO!$AF$7)/$H99*OFFSET(ORÇAMENTO!$X$15,ROW(AS99)-ROW(AS$15),0),0)</f>
        <v>0</v>
      </c>
      <c r="AT99" s="632">
        <f ca="1">IF(AND($D99="Serviço",AT$12&lt;&gt;0,$H99&gt;0,OR(AUTOEVENTO&lt;&gt;"manual",$M99&lt;&gt;1)),ROUND(OFFSET($P99,0,AT$13),15-13*ORÇAMENTO!$AF$7)/$H99*OFFSET(ORÇAMENTO!$X$15,ROW(AT99)-ROW(AT$15),0),0)</f>
        <v>0</v>
      </c>
      <c r="AU99" s="632">
        <f ca="1">IF(AND($D99="Serviço",AU$12&lt;&gt;0,$H99&gt;0,OR(AUTOEVENTO&lt;&gt;"manual",$M99&lt;&gt;1)),ROUND(OFFSET($P99,0,AU$13),15-13*ORÇAMENTO!$AF$7)/$H99*OFFSET(ORÇAMENTO!$X$15,ROW(AU99)-ROW(AU$15),0),0)</f>
        <v>0</v>
      </c>
      <c r="AV99" s="632">
        <f ca="1">IF(AND($D99="Serviço",AV$12&lt;&gt;0,$H99&gt;0,OR(AUTOEVENTO&lt;&gt;"manual",$M99&lt;&gt;1)),ROUND(OFFSET($P99,0,AV$13),15-13*ORÇAMENTO!$AF$7)/$H99*OFFSET(ORÇAMENTO!$X$15,ROW(AV99)-ROW(AV$15),0),0)</f>
        <v>0</v>
      </c>
      <c r="AW99" s="632">
        <f ca="1">IF(AND($D99="Serviço",AW$12&lt;&gt;0,$H99&gt;0,OR(AUTOEVENTO&lt;&gt;"manual",$M99&lt;&gt;1)),ROUND(OFFSET($P99,0,AW$13),15-13*ORÇAMENTO!$AF$7)/$H99*OFFSET(ORÇAMENTO!$X$15,ROW(AW99)-ROW(AW$15),0),0)</f>
        <v>0</v>
      </c>
      <c r="AX99" s="632">
        <f ca="1">IF(AND($D99="Serviço",AX$12&lt;&gt;0,$H99&gt;0,OR(AUTOEVENTO&lt;&gt;"manual",$M99&lt;&gt;1)),ROUND(OFFSET($P99,0,AX$13),15-13*ORÇAMENTO!$AF$7)/$H99*OFFSET(ORÇAMENTO!$X$15,ROW(AX99)-ROW(AX$15),0),0)</f>
        <v>0</v>
      </c>
      <c r="AY99" s="632">
        <f ca="1">IF(AND($D99="Serviço",AY$12&lt;&gt;0,$H99&gt;0,OR(AUTOEVENTO&lt;&gt;"manual",$M99&lt;&gt;1)),ROUND(OFFSET($P99,0,AY$13),15-13*ORÇAMENTO!$AF$7)/$H99*OFFSET(ORÇAMENTO!$X$15,ROW(AY99)-ROW(AY$15),0),0)</f>
        <v>0</v>
      </c>
      <c r="AZ99" s="632">
        <f ca="1">IF(AND($D99="Serviço",AZ$12&lt;&gt;0,$H99&gt;0,OR(AUTOEVENTO&lt;&gt;"manual",$M99&lt;&gt;1)),ROUND(OFFSET($P99,0,AZ$13),15-13*ORÇAMENTO!$AF$7)/$H99*OFFSET(ORÇAMENTO!$X$15,ROW(AZ99)-ROW(AZ$15),0),0)</f>
        <v>0</v>
      </c>
      <c r="BA99" s="633">
        <f ca="1">IF(AND($D99="Serviço",BA$12&lt;&gt;0,$H99&gt;0,OR(AUTOEVENTO&lt;&gt;"manual",$M99&lt;&gt;1)),ROUND(OFFSET($P99,0,BA$13),15-13*ORÇAMENTO!$AF$7)/$H99*OFFSET(ORÇAMENTO!$X$15,ROW(BA99)-ROW(BA$15),0),0)</f>
        <v>0</v>
      </c>
      <c r="BC99" s="215">
        <f ca="1">IF($D99&lt;&gt;"Serviço",0,IF(AND(AUTOEVENTO="Manual",$M99=1),0,IF(OFFSET(CRONOPLE!$F$14,$M99,BC$13)="",10^12,OFFSET(CRONOPLE!$F$14,$M99,BC$13))))</f>
        <v>1000000000000</v>
      </c>
      <c r="BD99" s="215">
        <f ca="1">IF($D99&lt;&gt;"Serviço",0,IF(AND(AUTOEVENTO="Manual",$M99=1),0,IF(OFFSET(CRONOPLE!$F$14,$M99,BD$13)="",10^12,OFFSET(CRONOPLE!$F$14,$M99,BD$13))))</f>
        <v>1000000000000</v>
      </c>
      <c r="BE99" s="215">
        <f ca="1">IF($D99&lt;&gt;"Serviço",0,IF(AND(AUTOEVENTO="Manual",$M99=1),0,IF(OFFSET(CRONOPLE!$F$14,$M99,BE$13)="",10^12,OFFSET(CRONOPLE!$F$14,$M99,BE$13))))</f>
        <v>1000000000000</v>
      </c>
      <c r="BF99" s="215">
        <f ca="1">IF($D99&lt;&gt;"Serviço",0,IF(AND(AUTOEVENTO="Manual",$M99=1),0,IF(OFFSET(CRONOPLE!$F$14,$M99,BF$13)="",10^12,OFFSET(CRONOPLE!$F$14,$M99,BF$13))))</f>
        <v>1000000000000</v>
      </c>
      <c r="BG99" s="215">
        <f ca="1">IF($D99&lt;&gt;"Serviço",0,IF(AND(AUTOEVENTO="Manual",$M99=1),0,IF(OFFSET(CRONOPLE!$F$14,$M99,BG$13)="",10^12,OFFSET(CRONOPLE!$F$14,$M99,BG$13))))</f>
        <v>1000000000000</v>
      </c>
      <c r="BH99" s="215">
        <f ca="1">IF($D99&lt;&gt;"Serviço",0,IF(AND(AUTOEVENTO="Manual",$M99=1),0,IF(OFFSET(CRONOPLE!$F$14,$M99,BH$13)="",10^12,OFFSET(CRONOPLE!$F$14,$M99,BH$13))))</f>
        <v>1000000000000</v>
      </c>
      <c r="BI99" s="215">
        <f ca="1">IF($D99&lt;&gt;"Serviço",0,IF(AND(AUTOEVENTO="Manual",$M99=1),0,IF(OFFSET(CRONOPLE!$F$14,$M99,BI$13)="",10^12,OFFSET(CRONOPLE!$F$14,$M99,BI$13))))</f>
        <v>1000000000000</v>
      </c>
      <c r="BJ99" s="215">
        <f ca="1">IF($D99&lt;&gt;"Serviço",0,IF(AND(AUTOEVENTO="Manual",$M99=1),0,IF(OFFSET(CRONOPLE!$F$14,$M99,BJ$13)="",10^12,OFFSET(CRONOPLE!$F$14,$M99,BJ$13))))</f>
        <v>1000000000000</v>
      </c>
      <c r="BK99" s="215">
        <f ca="1">IF($D99&lt;&gt;"Serviço",0,IF(AND(AUTOEVENTO="Manual",$M99=1),0,IF(OFFSET(CRONOPLE!$F$14,$M99,BK$13)="",10^12,OFFSET(CRONOPLE!$F$14,$M99,BK$13))))</f>
        <v>1000000000000</v>
      </c>
      <c r="BL99" s="215">
        <f ca="1">IF($D99&lt;&gt;"Serviço",0,IF(AND(AUTOEVENTO="Manual",$M99=1),0,IF(OFFSET(CRONOPLE!$F$14,$M99,BL$13)="",10^12,OFFSET(CRONOPLE!$F$14,$M99,BL$13))))</f>
        <v>1000000000000</v>
      </c>
      <c r="BM99" s="215">
        <f ca="1">IF($D99&lt;&gt;"Serviço",0,IF(AND(AUTOEVENTO="Manual",$M99=1),0,IF(OFFSET(CRONOPLE!$F$14,$M99,BM$13)="",10^12,OFFSET(CRONOPLE!$F$14,$M99,BM$13))))</f>
        <v>1000000000000</v>
      </c>
      <c r="BN99" s="215">
        <f ca="1">IF($D99&lt;&gt;"Serviço",0,IF(AND(AUTOEVENTO="Manual",$M99=1),0,IF(OFFSET(CRONOPLE!$F$14,$M99,BN$13)="",10^12,OFFSET(CRONOPLE!$F$14,$M99,BN$13))))</f>
        <v>1000000000000</v>
      </c>
      <c r="BO99" s="215">
        <f ca="1">IF($D99&lt;&gt;"Serviço",0,IF(AND(AUTOEVENTO="Manual",$M99=1),0,IF(OFFSET(CRONOPLE!$F$14,$M99,BO$13)="",10^12,OFFSET(CRONOPLE!$F$14,$M99,BO$13))))</f>
        <v>1000000000000</v>
      </c>
      <c r="BP99" s="215">
        <f ca="1">IF($D99&lt;&gt;"Serviço",0,IF(AND(AUTOEVENTO="Manual",$M99=1),0,IF(OFFSET(CRONOPLE!$F$14,$M99,BP$13)="",10^12,OFFSET(CRONOPLE!$F$14,$M99,BP$13))))</f>
        <v>1000000000000</v>
      </c>
      <c r="BQ99" s="215">
        <f ca="1">IF($D99&lt;&gt;"Serviço",0,IF(AND(AUTOEVENTO="Manual",$M99=1),0,IF(OFFSET(CRONOPLE!$F$14,$M99,BQ$13)="",10^12,OFFSET(CRONOPLE!$F$14,$M99,BQ$13))))</f>
        <v>1000000000000</v>
      </c>
      <c r="BR99" s="215">
        <f ca="1">IF($D99&lt;&gt;"Serviço",0,IF(AND(AUTOEVENTO="Manual",$M99=1),0,IF(OFFSET(CRONOPLE!$F$14,$M99,BR$13)="",10^12,OFFSET(CRONOPLE!$F$14,$M99,BR$13))))</f>
        <v>1000000000000</v>
      </c>
      <c r="BS99" s="215">
        <f ca="1">IF($D99&lt;&gt;"Serviço",0,IF(AND(AUTOEVENTO="Manual",$M99=1),0,IF(OFFSET(CRONOPLE!$F$14,$M99,BS$13)="",10^12,OFFSET(CRONOPLE!$F$14,$M99,BS$13))))</f>
        <v>1000000000000</v>
      </c>
      <c r="BT99" s="215">
        <f ca="1">IF($D99&lt;&gt;"Serviço",0,IF(AND(AUTOEVENTO="Manual",$M99=1),0,IF(OFFSET(CRONOPLE!$F$14,$M99,BT$13)="",10^12,OFFSET(CRONOPLE!$F$14,$M99,BT$13))))</f>
        <v>1000000000000</v>
      </c>
      <c r="BV99" s="216">
        <f ca="1">IF($D99&lt;&gt;"Serviço",0,IF(OR(AND(AUTOEVENTO="Manual",$M99=1),$M99&gt;(ROW(PLE.lastrow)-ROW(PLE.firstrow))),0,IF(OFFSET(PLE!$G$14,$M99,BV$13)="",10^12,OFFSET(PLE!$G$14,$M99,BV$13))))</f>
        <v>1000000000000</v>
      </c>
      <c r="BW99" s="216">
        <f ca="1">IF($D99&lt;&gt;"Serviço",0,IF(OR(AND(AUTOEVENTO="Manual",$M99=1),$M99&gt;(ROW(PLE.lastrow)-ROW(PLE.firstrow))),0,IF(OFFSET(PLE!$G$14,$M99,BW$13)="",10^12,OFFSET(PLE!$G$14,$M99,BW$13))))</f>
        <v>1000000000000</v>
      </c>
      <c r="BX99" s="216">
        <f ca="1">IF($D99&lt;&gt;"Serviço",0,IF(OR(AND(AUTOEVENTO="Manual",$M99=1),$M99&gt;(ROW(PLE.lastrow)-ROW(PLE.firstrow))),0,IF(OFFSET(PLE!$G$14,$M99,BX$13)="",10^12,OFFSET(PLE!$G$14,$M99,BX$13))))</f>
        <v>1000000000000</v>
      </c>
      <c r="BY99" s="216">
        <f ca="1">IF($D99&lt;&gt;"Serviço",0,IF(OR(AND(AUTOEVENTO="Manual",$M99=1),$M99&gt;(ROW(PLE.lastrow)-ROW(PLE.firstrow))),0,IF(OFFSET(PLE!$G$14,$M99,BY$13)="",10^12,OFFSET(PLE!$G$14,$M99,BY$13))))</f>
        <v>1000000000000</v>
      </c>
      <c r="BZ99" s="216">
        <f ca="1">IF($D99&lt;&gt;"Serviço",0,IF(OR(AND(AUTOEVENTO="Manual",$M99=1),$M99&gt;(ROW(PLE.lastrow)-ROW(PLE.firstrow))),0,IF(OFFSET(PLE!$G$14,$M99,BZ$13)="",10^12,OFFSET(PLE!$G$14,$M99,BZ$13))))</f>
        <v>1000000000000</v>
      </c>
      <c r="CA99" s="216">
        <f ca="1">IF($D99&lt;&gt;"Serviço",0,IF(OR(AND(AUTOEVENTO="Manual",$M99=1),$M99&gt;(ROW(PLE.lastrow)-ROW(PLE.firstrow))),0,IF(OFFSET(PLE!$G$14,$M99,CA$13)="",10^12,OFFSET(PLE!$G$14,$M99,CA$13))))</f>
        <v>1000000000000</v>
      </c>
      <c r="CB99" s="216">
        <f ca="1">IF($D99&lt;&gt;"Serviço",0,IF(OR(AND(AUTOEVENTO="Manual",$M99=1),$M99&gt;(ROW(PLE.lastrow)-ROW(PLE.firstrow))),0,IF(OFFSET(PLE!$G$14,$M99,CB$13)="",10^12,OFFSET(PLE!$G$14,$M99,CB$13))))</f>
        <v>1000000000000</v>
      </c>
      <c r="CC99" s="216">
        <f ca="1">IF($D99&lt;&gt;"Serviço",0,IF(OR(AND(AUTOEVENTO="Manual",$M99=1),$M99&gt;(ROW(PLE.lastrow)-ROW(PLE.firstrow))),0,IF(OFFSET(PLE!$G$14,$M99,CC$13)="",10^12,OFFSET(PLE!$G$14,$M99,CC$13))))</f>
        <v>1000000000000</v>
      </c>
      <c r="CD99" s="216">
        <f ca="1">IF($D99&lt;&gt;"Serviço",0,IF(OR(AND(AUTOEVENTO="Manual",$M99=1),$M99&gt;(ROW(PLE.lastrow)-ROW(PLE.firstrow))),0,IF(OFFSET(PLE!$G$14,$M99,CD$13)="",10^12,OFFSET(PLE!$G$14,$M99,CD$13))))</f>
        <v>1000000000000</v>
      </c>
      <c r="CE99" s="216">
        <f ca="1">IF($D99&lt;&gt;"Serviço",0,IF(OR(AND(AUTOEVENTO="Manual",$M99=1),$M99&gt;(ROW(PLE.lastrow)-ROW(PLE.firstrow))),0,IF(OFFSET(PLE!$G$14,$M99,CE$13)="",10^12,OFFSET(PLE!$G$14,$M99,CE$13))))</f>
        <v>1000000000000</v>
      </c>
      <c r="CF99" s="216">
        <f ca="1">IF($D99&lt;&gt;"Serviço",0,IF(OR(AND(AUTOEVENTO="Manual",$M99=1),$M99&gt;(ROW(PLE.lastrow)-ROW(PLE.firstrow))),0,IF(OFFSET(PLE!$G$14,$M99,CF$13)="",10^12,OFFSET(PLE!$G$14,$M99,CF$13))))</f>
        <v>1000000000000</v>
      </c>
      <c r="CG99" s="216">
        <f ca="1">IF($D99&lt;&gt;"Serviço",0,IF(OR(AND(AUTOEVENTO="Manual",$M99=1),$M99&gt;(ROW(PLE.lastrow)-ROW(PLE.firstrow))),0,IF(OFFSET(PLE!$G$14,$M99,CG$13)="",10^12,OFFSET(PLE!$G$14,$M99,CG$13))))</f>
        <v>1000000000000</v>
      </c>
      <c r="CH99" s="216">
        <f ca="1">IF($D99&lt;&gt;"Serviço",0,IF(OR(AND(AUTOEVENTO="Manual",$M99=1),$M99&gt;(ROW(PLE.lastrow)-ROW(PLE.firstrow))),0,IF(OFFSET(PLE!$G$14,$M99,CH$13)="",10^12,OFFSET(PLE!$G$14,$M99,CH$13))))</f>
        <v>1000000000000</v>
      </c>
      <c r="CI99" s="216">
        <f ca="1">IF($D99&lt;&gt;"Serviço",0,IF(OR(AND(AUTOEVENTO="Manual",$M99=1),$M99&gt;(ROW(PLE.lastrow)-ROW(PLE.firstrow))),0,IF(OFFSET(PLE!$G$14,$M99,CI$13)="",10^12,OFFSET(PLE!$G$14,$M99,CI$13))))</f>
        <v>1000000000000</v>
      </c>
      <c r="CJ99" s="216">
        <f ca="1">IF($D99&lt;&gt;"Serviço",0,IF(OR(AND(AUTOEVENTO="Manual",$M99=1),$M99&gt;(ROW(PLE.lastrow)-ROW(PLE.firstrow))),0,IF(OFFSET(PLE!$G$14,$M99,CJ$13)="",10^12,OFFSET(PLE!$G$14,$M99,CJ$13))))</f>
        <v>1000000000000</v>
      </c>
      <c r="CK99" s="216">
        <f ca="1">IF($D99&lt;&gt;"Serviço",0,IF(OR(AND(AUTOEVENTO="Manual",$M99=1),$M99&gt;(ROW(PLE.lastrow)-ROW(PLE.firstrow))),0,IF(OFFSET(PLE!$G$14,$M99,CK$13)="",10^12,OFFSET(PLE!$G$14,$M99,CK$13))))</f>
        <v>1000000000000</v>
      </c>
      <c r="CL99" s="216">
        <f ca="1">IF($D99&lt;&gt;"Serviço",0,IF(OR(AND(AUTOEVENTO="Manual",$M99=1),$M99&gt;(ROW(PLE.lastrow)-ROW(PLE.firstrow))),0,IF(OFFSET(PLE!$G$14,$M99,CL$13)="",10^12,OFFSET(PLE!$G$14,$M99,CL$13))))</f>
        <v>1000000000000</v>
      </c>
      <c r="CM99" s="216">
        <f ca="1">IF($D99&lt;&gt;"Serviço",0,IF(OR(AND(AUTOEVENTO="Manual",$M99=1),$M99&gt;(ROW(PLE.lastrow)-ROW(PLE.firstrow))),0,IF(OFFSET(PLE!$G$14,$M99,CM$13)="",10^12,OFFSET(PLE!$G$14,$M99,CM$13))))</f>
        <v>1000000000000</v>
      </c>
    </row>
    <row r="100" spans="1:91" ht="13.2" x14ac:dyDescent="0.25">
      <c r="A100" s="9">
        <f t="shared" ca="1" si="10"/>
        <v>0</v>
      </c>
      <c r="B100" s="9" t="str">
        <f ca="1">OFFSET(ORÇAMENTO!C$15,ROW(B100)-ROW(B$15),0)</f>
        <v>S</v>
      </c>
      <c r="C100" s="9" t="str">
        <f ca="1">OFFSET(ORÇAMENTO!L$15,ROW(C100)-ROW(C$15),0)</f>
        <v/>
      </c>
      <c r="D100" s="145" t="str">
        <f ca="1">OFFSET(ORÇAMENTO!N$15,ROW(D100)-ROW(D$15),0)</f>
        <v>Serviço</v>
      </c>
      <c r="E100" s="205" t="str">
        <f ca="1">OFFSET(ORÇAMENTO!O$15,ROW(E100)-ROW(E$15),0)</f>
        <v>-</v>
      </c>
      <c r="F100" s="206" t="str">
        <f ca="1">OFFSET(ORÇAMENTO!R$15,ROW(F100)-ROW(F$15),0)</f>
        <v>(abra o arquivo 'Referência 05-2024.xls)</v>
      </c>
      <c r="G100" s="207" t="str">
        <f ca="1">IF($D100&lt;&gt;"Serviço","",OFFSET(ORÇAMENTO!S$15,ROW(G100)-ROW(G$15),0))</f>
        <v>-</v>
      </c>
      <c r="H100" s="151">
        <f ca="1">IF($D100&lt;&gt;"Serviço",0,IF(ACOMPANHAMENTO="BM",ROUND(OFFSET(ORÇAMENTO!AJ$15,ROW(H100)-ROW(H$15),0),15-13*ORÇAMENTO!$AF$7),SUMPRODUCT(($Q$12:$AI$12&lt;&gt;"")*ROUND($Q100:$AI100,15-13*ORÇAMENTO!$AF$7))))</f>
        <v>1550.78</v>
      </c>
      <c r="I100" s="650"/>
      <c r="K100" s="208"/>
      <c r="L100" s="209" t="s">
        <v>257</v>
      </c>
      <c r="M100" s="210">
        <f ca="1">IF($D100&lt;&gt;"Serviço","",IF(AUTOEVENTO="manual",$A100,IF(ISERROR(MATCH($A100,$A$15:OFFSET($A100,-1,0),0)),MAX($M$15:OFFSET(M100,-1,0))+1,INDEX($M$15:OFFSET(M100,-1,0),MATCH($A100,$A$15:OFFSET($A100,-1,0),0)))))</f>
        <v>0</v>
      </c>
      <c r="N100" s="211" t="str">
        <f ca="1">IF($D100&lt;&gt;"Serviço","",IF(AUTOEVENTO="Manual",IF($A100=0,"&lt;-- defina o número do agrupador",OFFSET(EVENTOS!$D$14,$A100,0)),OFFSET($F$15,$A100,0)))</f>
        <v>&lt;-- defina o número do agrupador</v>
      </c>
      <c r="O100" s="212"/>
      <c r="Q100" s="212"/>
      <c r="R100" s="213"/>
      <c r="S100" s="213"/>
      <c r="T100" s="213"/>
      <c r="U100" s="213"/>
      <c r="V100" s="213"/>
      <c r="W100" s="213"/>
      <c r="X100" s="213"/>
      <c r="Y100" s="213"/>
      <c r="Z100" s="214"/>
      <c r="AA100" s="213"/>
      <c r="AB100" s="213"/>
      <c r="AC100" s="213"/>
      <c r="AD100" s="213"/>
      <c r="AE100" s="213"/>
      <c r="AF100" s="213"/>
      <c r="AG100" s="213"/>
      <c r="AH100" s="214"/>
      <c r="AJ100" s="631">
        <f ca="1">IF(AND($D100="Serviço",AJ$12&lt;&gt;0,$H100&gt;0,OR(AUTOEVENTO&lt;&gt;"manual",$M100&lt;&gt;1)),ROUND(OFFSET($P100,0,AJ$13),15-13*ORÇAMENTO!$AF$7)/$H100*OFFSET(ORÇAMENTO!$X$15,ROW(AJ100)-ROW(AJ$15),0),0)</f>
        <v>0</v>
      </c>
      <c r="AK100" s="632">
        <f ca="1">IF(AND($D100="Serviço",AK$12&lt;&gt;0,$H100&gt;0,OR(AUTOEVENTO&lt;&gt;"manual",$M100&lt;&gt;1)),ROUND(OFFSET($P100,0,AK$13),15-13*ORÇAMENTO!$AF$7)/$H100*OFFSET(ORÇAMENTO!$X$15,ROW(AK100)-ROW(AK$15),0),0)</f>
        <v>0</v>
      </c>
      <c r="AL100" s="632">
        <f ca="1">IF(AND($D100="Serviço",AL$12&lt;&gt;0,$H100&gt;0,OR(AUTOEVENTO&lt;&gt;"manual",$M100&lt;&gt;1)),ROUND(OFFSET($P100,0,AL$13),15-13*ORÇAMENTO!$AF$7)/$H100*OFFSET(ORÇAMENTO!$X$15,ROW(AL100)-ROW(AL$15),0),0)</f>
        <v>0</v>
      </c>
      <c r="AM100" s="632">
        <f ca="1">IF(AND($D100="Serviço",AM$12&lt;&gt;0,$H100&gt;0,OR(AUTOEVENTO&lt;&gt;"manual",$M100&lt;&gt;1)),ROUND(OFFSET($P100,0,AM$13),15-13*ORÇAMENTO!$AF$7)/$H100*OFFSET(ORÇAMENTO!$X$15,ROW(AM100)-ROW(AM$15),0),0)</f>
        <v>0</v>
      </c>
      <c r="AN100" s="632">
        <f ca="1">IF(AND($D100="Serviço",AN$12&lt;&gt;0,$H100&gt;0,OR(AUTOEVENTO&lt;&gt;"manual",$M100&lt;&gt;1)),ROUND(OFFSET($P100,0,AN$13),15-13*ORÇAMENTO!$AF$7)/$H100*OFFSET(ORÇAMENTO!$X$15,ROW(AN100)-ROW(AN$15),0),0)</f>
        <v>0</v>
      </c>
      <c r="AO100" s="632">
        <f ca="1">IF(AND($D100="Serviço",AO$12&lt;&gt;0,$H100&gt;0,OR(AUTOEVENTO&lt;&gt;"manual",$M100&lt;&gt;1)),ROUND(OFFSET($P100,0,AO$13),15-13*ORÇAMENTO!$AF$7)/$H100*OFFSET(ORÇAMENTO!$X$15,ROW(AO100)-ROW(AO$15),0),0)</f>
        <v>0</v>
      </c>
      <c r="AP100" s="632">
        <f ca="1">IF(AND($D100="Serviço",AP$12&lt;&gt;0,$H100&gt;0,OR(AUTOEVENTO&lt;&gt;"manual",$M100&lt;&gt;1)),ROUND(OFFSET($P100,0,AP$13),15-13*ORÇAMENTO!$AF$7)/$H100*OFFSET(ORÇAMENTO!$X$15,ROW(AP100)-ROW(AP$15),0),0)</f>
        <v>0</v>
      </c>
      <c r="AQ100" s="632">
        <f ca="1">IF(AND($D100="Serviço",AQ$12&lt;&gt;0,$H100&gt;0,OR(AUTOEVENTO&lt;&gt;"manual",$M100&lt;&gt;1)),ROUND(OFFSET($P100,0,AQ$13),15-13*ORÇAMENTO!$AF$7)/$H100*OFFSET(ORÇAMENTO!$X$15,ROW(AQ100)-ROW(AQ$15),0),0)</f>
        <v>0</v>
      </c>
      <c r="AR100" s="632">
        <f ca="1">IF(AND($D100="Serviço",AR$12&lt;&gt;0,$H100&gt;0,OR(AUTOEVENTO&lt;&gt;"manual",$M100&lt;&gt;1)),ROUND(OFFSET($P100,0,AR$13),15-13*ORÇAMENTO!$AF$7)/$H100*OFFSET(ORÇAMENTO!$X$15,ROW(AR100)-ROW(AR$15),0),0)</f>
        <v>0</v>
      </c>
      <c r="AS100" s="633">
        <f ca="1">IF(AND($D100="Serviço",AS$12&lt;&gt;0,$H100&gt;0,OR(AUTOEVENTO&lt;&gt;"manual",$M100&lt;&gt;1)),ROUND(OFFSET($P100,0,AS$13),15-13*ORÇAMENTO!$AF$7)/$H100*OFFSET(ORÇAMENTO!$X$15,ROW(AS100)-ROW(AS$15),0),0)</f>
        <v>0</v>
      </c>
      <c r="AT100" s="632">
        <f ca="1">IF(AND($D100="Serviço",AT$12&lt;&gt;0,$H100&gt;0,OR(AUTOEVENTO&lt;&gt;"manual",$M100&lt;&gt;1)),ROUND(OFFSET($P100,0,AT$13),15-13*ORÇAMENTO!$AF$7)/$H100*OFFSET(ORÇAMENTO!$X$15,ROW(AT100)-ROW(AT$15),0),0)</f>
        <v>0</v>
      </c>
      <c r="AU100" s="632">
        <f ca="1">IF(AND($D100="Serviço",AU$12&lt;&gt;0,$H100&gt;0,OR(AUTOEVENTO&lt;&gt;"manual",$M100&lt;&gt;1)),ROUND(OFFSET($P100,0,AU$13),15-13*ORÇAMENTO!$AF$7)/$H100*OFFSET(ORÇAMENTO!$X$15,ROW(AU100)-ROW(AU$15),0),0)</f>
        <v>0</v>
      </c>
      <c r="AV100" s="632">
        <f ca="1">IF(AND($D100="Serviço",AV$12&lt;&gt;0,$H100&gt;0,OR(AUTOEVENTO&lt;&gt;"manual",$M100&lt;&gt;1)),ROUND(OFFSET($P100,0,AV$13),15-13*ORÇAMENTO!$AF$7)/$H100*OFFSET(ORÇAMENTO!$X$15,ROW(AV100)-ROW(AV$15),0),0)</f>
        <v>0</v>
      </c>
      <c r="AW100" s="632">
        <f ca="1">IF(AND($D100="Serviço",AW$12&lt;&gt;0,$H100&gt;0,OR(AUTOEVENTO&lt;&gt;"manual",$M100&lt;&gt;1)),ROUND(OFFSET($P100,0,AW$13),15-13*ORÇAMENTO!$AF$7)/$H100*OFFSET(ORÇAMENTO!$X$15,ROW(AW100)-ROW(AW$15),0),0)</f>
        <v>0</v>
      </c>
      <c r="AX100" s="632">
        <f ca="1">IF(AND($D100="Serviço",AX$12&lt;&gt;0,$H100&gt;0,OR(AUTOEVENTO&lt;&gt;"manual",$M100&lt;&gt;1)),ROUND(OFFSET($P100,0,AX$13),15-13*ORÇAMENTO!$AF$7)/$H100*OFFSET(ORÇAMENTO!$X$15,ROW(AX100)-ROW(AX$15),0),0)</f>
        <v>0</v>
      </c>
      <c r="AY100" s="632">
        <f ca="1">IF(AND($D100="Serviço",AY$12&lt;&gt;0,$H100&gt;0,OR(AUTOEVENTO&lt;&gt;"manual",$M100&lt;&gt;1)),ROUND(OFFSET($P100,0,AY$13),15-13*ORÇAMENTO!$AF$7)/$H100*OFFSET(ORÇAMENTO!$X$15,ROW(AY100)-ROW(AY$15),0),0)</f>
        <v>0</v>
      </c>
      <c r="AZ100" s="632">
        <f ca="1">IF(AND($D100="Serviço",AZ$12&lt;&gt;0,$H100&gt;0,OR(AUTOEVENTO&lt;&gt;"manual",$M100&lt;&gt;1)),ROUND(OFFSET($P100,0,AZ$13),15-13*ORÇAMENTO!$AF$7)/$H100*OFFSET(ORÇAMENTO!$X$15,ROW(AZ100)-ROW(AZ$15),0),0)</f>
        <v>0</v>
      </c>
      <c r="BA100" s="633">
        <f ca="1">IF(AND($D100="Serviço",BA$12&lt;&gt;0,$H100&gt;0,OR(AUTOEVENTO&lt;&gt;"manual",$M100&lt;&gt;1)),ROUND(OFFSET($P100,0,BA$13),15-13*ORÇAMENTO!$AF$7)/$H100*OFFSET(ORÇAMENTO!$X$15,ROW(BA100)-ROW(BA$15),0),0)</f>
        <v>0</v>
      </c>
      <c r="BC100" s="215">
        <f ca="1">IF($D100&lt;&gt;"Serviço",0,IF(AND(AUTOEVENTO="Manual",$M100=1),0,IF(OFFSET(CRONOPLE!$F$14,$M100,BC$13)="",10^12,OFFSET(CRONOPLE!$F$14,$M100,BC$13))))</f>
        <v>1000000000000</v>
      </c>
      <c r="BD100" s="215">
        <f ca="1">IF($D100&lt;&gt;"Serviço",0,IF(AND(AUTOEVENTO="Manual",$M100=1),0,IF(OFFSET(CRONOPLE!$F$14,$M100,BD$13)="",10^12,OFFSET(CRONOPLE!$F$14,$M100,BD$13))))</f>
        <v>1000000000000</v>
      </c>
      <c r="BE100" s="215">
        <f ca="1">IF($D100&lt;&gt;"Serviço",0,IF(AND(AUTOEVENTO="Manual",$M100=1),0,IF(OFFSET(CRONOPLE!$F$14,$M100,BE$13)="",10^12,OFFSET(CRONOPLE!$F$14,$M100,BE$13))))</f>
        <v>1000000000000</v>
      </c>
      <c r="BF100" s="215">
        <f ca="1">IF($D100&lt;&gt;"Serviço",0,IF(AND(AUTOEVENTO="Manual",$M100=1),0,IF(OFFSET(CRONOPLE!$F$14,$M100,BF$13)="",10^12,OFFSET(CRONOPLE!$F$14,$M100,BF$13))))</f>
        <v>1000000000000</v>
      </c>
      <c r="BG100" s="215">
        <f ca="1">IF($D100&lt;&gt;"Serviço",0,IF(AND(AUTOEVENTO="Manual",$M100=1),0,IF(OFFSET(CRONOPLE!$F$14,$M100,BG$13)="",10^12,OFFSET(CRONOPLE!$F$14,$M100,BG$13))))</f>
        <v>1000000000000</v>
      </c>
      <c r="BH100" s="215">
        <f ca="1">IF($D100&lt;&gt;"Serviço",0,IF(AND(AUTOEVENTO="Manual",$M100=1),0,IF(OFFSET(CRONOPLE!$F$14,$M100,BH$13)="",10^12,OFFSET(CRONOPLE!$F$14,$M100,BH$13))))</f>
        <v>1000000000000</v>
      </c>
      <c r="BI100" s="215">
        <f ca="1">IF($D100&lt;&gt;"Serviço",0,IF(AND(AUTOEVENTO="Manual",$M100=1),0,IF(OFFSET(CRONOPLE!$F$14,$M100,BI$13)="",10^12,OFFSET(CRONOPLE!$F$14,$M100,BI$13))))</f>
        <v>1000000000000</v>
      </c>
      <c r="BJ100" s="215">
        <f ca="1">IF($D100&lt;&gt;"Serviço",0,IF(AND(AUTOEVENTO="Manual",$M100=1),0,IF(OFFSET(CRONOPLE!$F$14,$M100,BJ$13)="",10^12,OFFSET(CRONOPLE!$F$14,$M100,BJ$13))))</f>
        <v>1000000000000</v>
      </c>
      <c r="BK100" s="215">
        <f ca="1">IF($D100&lt;&gt;"Serviço",0,IF(AND(AUTOEVENTO="Manual",$M100=1),0,IF(OFFSET(CRONOPLE!$F$14,$M100,BK$13)="",10^12,OFFSET(CRONOPLE!$F$14,$M100,BK$13))))</f>
        <v>1000000000000</v>
      </c>
      <c r="BL100" s="215">
        <f ca="1">IF($D100&lt;&gt;"Serviço",0,IF(AND(AUTOEVENTO="Manual",$M100=1),0,IF(OFFSET(CRONOPLE!$F$14,$M100,BL$13)="",10^12,OFFSET(CRONOPLE!$F$14,$M100,BL$13))))</f>
        <v>1000000000000</v>
      </c>
      <c r="BM100" s="215">
        <f ca="1">IF($D100&lt;&gt;"Serviço",0,IF(AND(AUTOEVENTO="Manual",$M100=1),0,IF(OFFSET(CRONOPLE!$F$14,$M100,BM$13)="",10^12,OFFSET(CRONOPLE!$F$14,$M100,BM$13))))</f>
        <v>1000000000000</v>
      </c>
      <c r="BN100" s="215">
        <f ca="1">IF($D100&lt;&gt;"Serviço",0,IF(AND(AUTOEVENTO="Manual",$M100=1),0,IF(OFFSET(CRONOPLE!$F$14,$M100,BN$13)="",10^12,OFFSET(CRONOPLE!$F$14,$M100,BN$13))))</f>
        <v>1000000000000</v>
      </c>
      <c r="BO100" s="215">
        <f ca="1">IF($D100&lt;&gt;"Serviço",0,IF(AND(AUTOEVENTO="Manual",$M100=1),0,IF(OFFSET(CRONOPLE!$F$14,$M100,BO$13)="",10^12,OFFSET(CRONOPLE!$F$14,$M100,BO$13))))</f>
        <v>1000000000000</v>
      </c>
      <c r="BP100" s="215">
        <f ca="1">IF($D100&lt;&gt;"Serviço",0,IF(AND(AUTOEVENTO="Manual",$M100=1),0,IF(OFFSET(CRONOPLE!$F$14,$M100,BP$13)="",10^12,OFFSET(CRONOPLE!$F$14,$M100,BP$13))))</f>
        <v>1000000000000</v>
      </c>
      <c r="BQ100" s="215">
        <f ca="1">IF($D100&lt;&gt;"Serviço",0,IF(AND(AUTOEVENTO="Manual",$M100=1),0,IF(OFFSET(CRONOPLE!$F$14,$M100,BQ$13)="",10^12,OFFSET(CRONOPLE!$F$14,$M100,BQ$13))))</f>
        <v>1000000000000</v>
      </c>
      <c r="BR100" s="215">
        <f ca="1">IF($D100&lt;&gt;"Serviço",0,IF(AND(AUTOEVENTO="Manual",$M100=1),0,IF(OFFSET(CRONOPLE!$F$14,$M100,BR$13)="",10^12,OFFSET(CRONOPLE!$F$14,$M100,BR$13))))</f>
        <v>1000000000000</v>
      </c>
      <c r="BS100" s="215">
        <f ca="1">IF($D100&lt;&gt;"Serviço",0,IF(AND(AUTOEVENTO="Manual",$M100=1),0,IF(OFFSET(CRONOPLE!$F$14,$M100,BS$13)="",10^12,OFFSET(CRONOPLE!$F$14,$M100,BS$13))))</f>
        <v>1000000000000</v>
      </c>
      <c r="BT100" s="215">
        <f ca="1">IF($D100&lt;&gt;"Serviço",0,IF(AND(AUTOEVENTO="Manual",$M100=1),0,IF(OFFSET(CRONOPLE!$F$14,$M100,BT$13)="",10^12,OFFSET(CRONOPLE!$F$14,$M100,BT$13))))</f>
        <v>1000000000000</v>
      </c>
      <c r="BV100" s="216">
        <f ca="1">IF($D100&lt;&gt;"Serviço",0,IF(OR(AND(AUTOEVENTO="Manual",$M100=1),$M100&gt;(ROW(PLE.lastrow)-ROW(PLE.firstrow))),0,IF(OFFSET(PLE!$G$14,$M100,BV$13)="",10^12,OFFSET(PLE!$G$14,$M100,BV$13))))</f>
        <v>1000000000000</v>
      </c>
      <c r="BW100" s="216">
        <f ca="1">IF($D100&lt;&gt;"Serviço",0,IF(OR(AND(AUTOEVENTO="Manual",$M100=1),$M100&gt;(ROW(PLE.lastrow)-ROW(PLE.firstrow))),0,IF(OFFSET(PLE!$G$14,$M100,BW$13)="",10^12,OFFSET(PLE!$G$14,$M100,BW$13))))</f>
        <v>1000000000000</v>
      </c>
      <c r="BX100" s="216">
        <f ca="1">IF($D100&lt;&gt;"Serviço",0,IF(OR(AND(AUTOEVENTO="Manual",$M100=1),$M100&gt;(ROW(PLE.lastrow)-ROW(PLE.firstrow))),0,IF(OFFSET(PLE!$G$14,$M100,BX$13)="",10^12,OFFSET(PLE!$G$14,$M100,BX$13))))</f>
        <v>1000000000000</v>
      </c>
      <c r="BY100" s="216">
        <f ca="1">IF($D100&lt;&gt;"Serviço",0,IF(OR(AND(AUTOEVENTO="Manual",$M100=1),$M100&gt;(ROW(PLE.lastrow)-ROW(PLE.firstrow))),0,IF(OFFSET(PLE!$G$14,$M100,BY$13)="",10^12,OFFSET(PLE!$G$14,$M100,BY$13))))</f>
        <v>1000000000000</v>
      </c>
      <c r="BZ100" s="216">
        <f ca="1">IF($D100&lt;&gt;"Serviço",0,IF(OR(AND(AUTOEVENTO="Manual",$M100=1),$M100&gt;(ROW(PLE.lastrow)-ROW(PLE.firstrow))),0,IF(OFFSET(PLE!$G$14,$M100,BZ$13)="",10^12,OFFSET(PLE!$G$14,$M100,BZ$13))))</f>
        <v>1000000000000</v>
      </c>
      <c r="CA100" s="216">
        <f ca="1">IF($D100&lt;&gt;"Serviço",0,IF(OR(AND(AUTOEVENTO="Manual",$M100=1),$M100&gt;(ROW(PLE.lastrow)-ROW(PLE.firstrow))),0,IF(OFFSET(PLE!$G$14,$M100,CA$13)="",10^12,OFFSET(PLE!$G$14,$M100,CA$13))))</f>
        <v>1000000000000</v>
      </c>
      <c r="CB100" s="216">
        <f ca="1">IF($D100&lt;&gt;"Serviço",0,IF(OR(AND(AUTOEVENTO="Manual",$M100=1),$M100&gt;(ROW(PLE.lastrow)-ROW(PLE.firstrow))),0,IF(OFFSET(PLE!$G$14,$M100,CB$13)="",10^12,OFFSET(PLE!$G$14,$M100,CB$13))))</f>
        <v>1000000000000</v>
      </c>
      <c r="CC100" s="216">
        <f ca="1">IF($D100&lt;&gt;"Serviço",0,IF(OR(AND(AUTOEVENTO="Manual",$M100=1),$M100&gt;(ROW(PLE.lastrow)-ROW(PLE.firstrow))),0,IF(OFFSET(PLE!$G$14,$M100,CC$13)="",10^12,OFFSET(PLE!$G$14,$M100,CC$13))))</f>
        <v>1000000000000</v>
      </c>
      <c r="CD100" s="216">
        <f ca="1">IF($D100&lt;&gt;"Serviço",0,IF(OR(AND(AUTOEVENTO="Manual",$M100=1),$M100&gt;(ROW(PLE.lastrow)-ROW(PLE.firstrow))),0,IF(OFFSET(PLE!$G$14,$M100,CD$13)="",10^12,OFFSET(PLE!$G$14,$M100,CD$13))))</f>
        <v>1000000000000</v>
      </c>
      <c r="CE100" s="216">
        <f ca="1">IF($D100&lt;&gt;"Serviço",0,IF(OR(AND(AUTOEVENTO="Manual",$M100=1),$M100&gt;(ROW(PLE.lastrow)-ROW(PLE.firstrow))),0,IF(OFFSET(PLE!$G$14,$M100,CE$13)="",10^12,OFFSET(PLE!$G$14,$M100,CE$13))))</f>
        <v>1000000000000</v>
      </c>
      <c r="CF100" s="216">
        <f ca="1">IF($D100&lt;&gt;"Serviço",0,IF(OR(AND(AUTOEVENTO="Manual",$M100=1),$M100&gt;(ROW(PLE.lastrow)-ROW(PLE.firstrow))),0,IF(OFFSET(PLE!$G$14,$M100,CF$13)="",10^12,OFFSET(PLE!$G$14,$M100,CF$13))))</f>
        <v>1000000000000</v>
      </c>
      <c r="CG100" s="216">
        <f ca="1">IF($D100&lt;&gt;"Serviço",0,IF(OR(AND(AUTOEVENTO="Manual",$M100=1),$M100&gt;(ROW(PLE.lastrow)-ROW(PLE.firstrow))),0,IF(OFFSET(PLE!$G$14,$M100,CG$13)="",10^12,OFFSET(PLE!$G$14,$M100,CG$13))))</f>
        <v>1000000000000</v>
      </c>
      <c r="CH100" s="216">
        <f ca="1">IF($D100&lt;&gt;"Serviço",0,IF(OR(AND(AUTOEVENTO="Manual",$M100=1),$M100&gt;(ROW(PLE.lastrow)-ROW(PLE.firstrow))),0,IF(OFFSET(PLE!$G$14,$M100,CH$13)="",10^12,OFFSET(PLE!$G$14,$M100,CH$13))))</f>
        <v>1000000000000</v>
      </c>
      <c r="CI100" s="216">
        <f ca="1">IF($D100&lt;&gt;"Serviço",0,IF(OR(AND(AUTOEVENTO="Manual",$M100=1),$M100&gt;(ROW(PLE.lastrow)-ROW(PLE.firstrow))),0,IF(OFFSET(PLE!$G$14,$M100,CI$13)="",10^12,OFFSET(PLE!$G$14,$M100,CI$13))))</f>
        <v>1000000000000</v>
      </c>
      <c r="CJ100" s="216">
        <f ca="1">IF($D100&lt;&gt;"Serviço",0,IF(OR(AND(AUTOEVENTO="Manual",$M100=1),$M100&gt;(ROW(PLE.lastrow)-ROW(PLE.firstrow))),0,IF(OFFSET(PLE!$G$14,$M100,CJ$13)="",10^12,OFFSET(PLE!$G$14,$M100,CJ$13))))</f>
        <v>1000000000000</v>
      </c>
      <c r="CK100" s="216">
        <f ca="1">IF($D100&lt;&gt;"Serviço",0,IF(OR(AND(AUTOEVENTO="Manual",$M100=1),$M100&gt;(ROW(PLE.lastrow)-ROW(PLE.firstrow))),0,IF(OFFSET(PLE!$G$14,$M100,CK$13)="",10^12,OFFSET(PLE!$G$14,$M100,CK$13))))</f>
        <v>1000000000000</v>
      </c>
      <c r="CL100" s="216">
        <f ca="1">IF($D100&lt;&gt;"Serviço",0,IF(OR(AND(AUTOEVENTO="Manual",$M100=1),$M100&gt;(ROW(PLE.lastrow)-ROW(PLE.firstrow))),0,IF(OFFSET(PLE!$G$14,$M100,CL$13)="",10^12,OFFSET(PLE!$G$14,$M100,CL$13))))</f>
        <v>1000000000000</v>
      </c>
      <c r="CM100" s="216">
        <f ca="1">IF($D100&lt;&gt;"Serviço",0,IF(OR(AND(AUTOEVENTO="Manual",$M100=1),$M100&gt;(ROW(PLE.lastrow)-ROW(PLE.firstrow))),0,IF(OFFSET(PLE!$G$14,$M100,CM$13)="",10^12,OFFSET(PLE!$G$14,$M100,CM$13))))</f>
        <v>1000000000000</v>
      </c>
    </row>
    <row r="101" spans="1:91" ht="13.2" x14ac:dyDescent="0.25">
      <c r="A101" s="9">
        <f t="shared" ca="1" si="10"/>
        <v>0</v>
      </c>
      <c r="B101" s="9" t="str">
        <f ca="1">OFFSET(ORÇAMENTO!C$15,ROW(B101)-ROW(B$15),0)</f>
        <v>S</v>
      </c>
      <c r="C101" s="9" t="str">
        <f ca="1">OFFSET(ORÇAMENTO!L$15,ROW(C101)-ROW(C$15),0)</f>
        <v/>
      </c>
      <c r="D101" s="145" t="str">
        <f ca="1">OFFSET(ORÇAMENTO!N$15,ROW(D101)-ROW(D$15),0)</f>
        <v>Serviço</v>
      </c>
      <c r="E101" s="205" t="str">
        <f ca="1">OFFSET(ORÇAMENTO!O$15,ROW(E101)-ROW(E$15),0)</f>
        <v>-</v>
      </c>
      <c r="F101" s="206" t="str">
        <f ca="1">OFFSET(ORÇAMENTO!R$15,ROW(F101)-ROW(F$15),0)</f>
        <v>(abra o arquivo 'Referência 05-2024.xls)</v>
      </c>
      <c r="G101" s="207" t="str">
        <f ca="1">IF($D101&lt;&gt;"Serviço","",OFFSET(ORÇAMENTO!S$15,ROW(G101)-ROW(G$15),0))</f>
        <v>-</v>
      </c>
      <c r="H101" s="151">
        <f ca="1">IF($D101&lt;&gt;"Serviço",0,IF(ACOMPANHAMENTO="BM",ROUND(OFFSET(ORÇAMENTO!AJ$15,ROW(H101)-ROW(H$15),0),15-13*ORÇAMENTO!$AF$7),SUMPRODUCT(($Q$12:$AI$12&lt;&gt;"")*ROUND($Q101:$AI101,15-13*ORÇAMENTO!$AF$7))))</f>
        <v>61.77</v>
      </c>
      <c r="I101" s="650"/>
      <c r="K101" s="208"/>
      <c r="L101" s="209" t="s">
        <v>257</v>
      </c>
      <c r="M101" s="210">
        <f ca="1">IF($D101&lt;&gt;"Serviço","",IF(AUTOEVENTO="manual",$A101,IF(ISERROR(MATCH($A101,$A$15:OFFSET($A101,-1,0),0)),MAX($M$15:OFFSET(M101,-1,0))+1,INDEX($M$15:OFFSET(M101,-1,0),MATCH($A101,$A$15:OFFSET($A101,-1,0),0)))))</f>
        <v>0</v>
      </c>
      <c r="N101" s="211" t="str">
        <f ca="1">IF($D101&lt;&gt;"Serviço","",IF(AUTOEVENTO="Manual",IF($A101=0,"&lt;-- defina o número do agrupador",OFFSET(EVENTOS!$D$14,$A101,0)),OFFSET($F$15,$A101,0)))</f>
        <v>&lt;-- defina o número do agrupador</v>
      </c>
      <c r="O101" s="212"/>
      <c r="Q101" s="212"/>
      <c r="R101" s="213"/>
      <c r="S101" s="213"/>
      <c r="T101" s="213"/>
      <c r="U101" s="213"/>
      <c r="V101" s="213"/>
      <c r="W101" s="213"/>
      <c r="X101" s="213"/>
      <c r="Y101" s="213"/>
      <c r="Z101" s="214"/>
      <c r="AA101" s="213"/>
      <c r="AB101" s="213"/>
      <c r="AC101" s="213"/>
      <c r="AD101" s="213"/>
      <c r="AE101" s="213"/>
      <c r="AF101" s="213"/>
      <c r="AG101" s="213"/>
      <c r="AH101" s="214"/>
      <c r="AJ101" s="631">
        <f ca="1">IF(AND($D101="Serviço",AJ$12&lt;&gt;0,$H101&gt;0,OR(AUTOEVENTO&lt;&gt;"manual",$M101&lt;&gt;1)),ROUND(OFFSET($P101,0,AJ$13),15-13*ORÇAMENTO!$AF$7)/$H101*OFFSET(ORÇAMENTO!$X$15,ROW(AJ101)-ROW(AJ$15),0),0)</f>
        <v>0</v>
      </c>
      <c r="AK101" s="632">
        <f ca="1">IF(AND($D101="Serviço",AK$12&lt;&gt;0,$H101&gt;0,OR(AUTOEVENTO&lt;&gt;"manual",$M101&lt;&gt;1)),ROUND(OFFSET($P101,0,AK$13),15-13*ORÇAMENTO!$AF$7)/$H101*OFFSET(ORÇAMENTO!$X$15,ROW(AK101)-ROW(AK$15),0),0)</f>
        <v>0</v>
      </c>
      <c r="AL101" s="632">
        <f ca="1">IF(AND($D101="Serviço",AL$12&lt;&gt;0,$H101&gt;0,OR(AUTOEVENTO&lt;&gt;"manual",$M101&lt;&gt;1)),ROUND(OFFSET($P101,0,AL$13),15-13*ORÇAMENTO!$AF$7)/$H101*OFFSET(ORÇAMENTO!$X$15,ROW(AL101)-ROW(AL$15),0),0)</f>
        <v>0</v>
      </c>
      <c r="AM101" s="632">
        <f ca="1">IF(AND($D101="Serviço",AM$12&lt;&gt;0,$H101&gt;0,OR(AUTOEVENTO&lt;&gt;"manual",$M101&lt;&gt;1)),ROUND(OFFSET($P101,0,AM$13),15-13*ORÇAMENTO!$AF$7)/$H101*OFFSET(ORÇAMENTO!$X$15,ROW(AM101)-ROW(AM$15),0),0)</f>
        <v>0</v>
      </c>
      <c r="AN101" s="632">
        <f ca="1">IF(AND($D101="Serviço",AN$12&lt;&gt;0,$H101&gt;0,OR(AUTOEVENTO&lt;&gt;"manual",$M101&lt;&gt;1)),ROUND(OFFSET($P101,0,AN$13),15-13*ORÇAMENTO!$AF$7)/$H101*OFFSET(ORÇAMENTO!$X$15,ROW(AN101)-ROW(AN$15),0),0)</f>
        <v>0</v>
      </c>
      <c r="AO101" s="632">
        <f ca="1">IF(AND($D101="Serviço",AO$12&lt;&gt;0,$H101&gt;0,OR(AUTOEVENTO&lt;&gt;"manual",$M101&lt;&gt;1)),ROUND(OFFSET($P101,0,AO$13),15-13*ORÇAMENTO!$AF$7)/$H101*OFFSET(ORÇAMENTO!$X$15,ROW(AO101)-ROW(AO$15),0),0)</f>
        <v>0</v>
      </c>
      <c r="AP101" s="632">
        <f ca="1">IF(AND($D101="Serviço",AP$12&lt;&gt;0,$H101&gt;0,OR(AUTOEVENTO&lt;&gt;"manual",$M101&lt;&gt;1)),ROUND(OFFSET($P101,0,AP$13),15-13*ORÇAMENTO!$AF$7)/$H101*OFFSET(ORÇAMENTO!$X$15,ROW(AP101)-ROW(AP$15),0),0)</f>
        <v>0</v>
      </c>
      <c r="AQ101" s="632">
        <f ca="1">IF(AND($D101="Serviço",AQ$12&lt;&gt;0,$H101&gt;0,OR(AUTOEVENTO&lt;&gt;"manual",$M101&lt;&gt;1)),ROUND(OFFSET($P101,0,AQ$13),15-13*ORÇAMENTO!$AF$7)/$H101*OFFSET(ORÇAMENTO!$X$15,ROW(AQ101)-ROW(AQ$15),0),0)</f>
        <v>0</v>
      </c>
      <c r="AR101" s="632">
        <f ca="1">IF(AND($D101="Serviço",AR$12&lt;&gt;0,$H101&gt;0,OR(AUTOEVENTO&lt;&gt;"manual",$M101&lt;&gt;1)),ROUND(OFFSET($P101,0,AR$13),15-13*ORÇAMENTO!$AF$7)/$H101*OFFSET(ORÇAMENTO!$X$15,ROW(AR101)-ROW(AR$15),0),0)</f>
        <v>0</v>
      </c>
      <c r="AS101" s="633">
        <f ca="1">IF(AND($D101="Serviço",AS$12&lt;&gt;0,$H101&gt;0,OR(AUTOEVENTO&lt;&gt;"manual",$M101&lt;&gt;1)),ROUND(OFFSET($P101,0,AS$13),15-13*ORÇAMENTO!$AF$7)/$H101*OFFSET(ORÇAMENTO!$X$15,ROW(AS101)-ROW(AS$15),0),0)</f>
        <v>0</v>
      </c>
      <c r="AT101" s="632">
        <f ca="1">IF(AND($D101="Serviço",AT$12&lt;&gt;0,$H101&gt;0,OR(AUTOEVENTO&lt;&gt;"manual",$M101&lt;&gt;1)),ROUND(OFFSET($P101,0,AT$13),15-13*ORÇAMENTO!$AF$7)/$H101*OFFSET(ORÇAMENTO!$X$15,ROW(AT101)-ROW(AT$15),0),0)</f>
        <v>0</v>
      </c>
      <c r="AU101" s="632">
        <f ca="1">IF(AND($D101="Serviço",AU$12&lt;&gt;0,$H101&gt;0,OR(AUTOEVENTO&lt;&gt;"manual",$M101&lt;&gt;1)),ROUND(OFFSET($P101,0,AU$13),15-13*ORÇAMENTO!$AF$7)/$H101*OFFSET(ORÇAMENTO!$X$15,ROW(AU101)-ROW(AU$15),0),0)</f>
        <v>0</v>
      </c>
      <c r="AV101" s="632">
        <f ca="1">IF(AND($D101="Serviço",AV$12&lt;&gt;0,$H101&gt;0,OR(AUTOEVENTO&lt;&gt;"manual",$M101&lt;&gt;1)),ROUND(OFFSET($P101,0,AV$13),15-13*ORÇAMENTO!$AF$7)/$H101*OFFSET(ORÇAMENTO!$X$15,ROW(AV101)-ROW(AV$15),0),0)</f>
        <v>0</v>
      </c>
      <c r="AW101" s="632">
        <f ca="1">IF(AND($D101="Serviço",AW$12&lt;&gt;0,$H101&gt;0,OR(AUTOEVENTO&lt;&gt;"manual",$M101&lt;&gt;1)),ROUND(OFFSET($P101,0,AW$13),15-13*ORÇAMENTO!$AF$7)/$H101*OFFSET(ORÇAMENTO!$X$15,ROW(AW101)-ROW(AW$15),0),0)</f>
        <v>0</v>
      </c>
      <c r="AX101" s="632">
        <f ca="1">IF(AND($D101="Serviço",AX$12&lt;&gt;0,$H101&gt;0,OR(AUTOEVENTO&lt;&gt;"manual",$M101&lt;&gt;1)),ROUND(OFFSET($P101,0,AX$13),15-13*ORÇAMENTO!$AF$7)/$H101*OFFSET(ORÇAMENTO!$X$15,ROW(AX101)-ROW(AX$15),0),0)</f>
        <v>0</v>
      </c>
      <c r="AY101" s="632">
        <f ca="1">IF(AND($D101="Serviço",AY$12&lt;&gt;0,$H101&gt;0,OR(AUTOEVENTO&lt;&gt;"manual",$M101&lt;&gt;1)),ROUND(OFFSET($P101,0,AY$13),15-13*ORÇAMENTO!$AF$7)/$H101*OFFSET(ORÇAMENTO!$X$15,ROW(AY101)-ROW(AY$15),0),0)</f>
        <v>0</v>
      </c>
      <c r="AZ101" s="632">
        <f ca="1">IF(AND($D101="Serviço",AZ$12&lt;&gt;0,$H101&gt;0,OR(AUTOEVENTO&lt;&gt;"manual",$M101&lt;&gt;1)),ROUND(OFFSET($P101,0,AZ$13),15-13*ORÇAMENTO!$AF$7)/$H101*OFFSET(ORÇAMENTO!$X$15,ROW(AZ101)-ROW(AZ$15),0),0)</f>
        <v>0</v>
      </c>
      <c r="BA101" s="633">
        <f ca="1">IF(AND($D101="Serviço",BA$12&lt;&gt;0,$H101&gt;0,OR(AUTOEVENTO&lt;&gt;"manual",$M101&lt;&gt;1)),ROUND(OFFSET($P101,0,BA$13),15-13*ORÇAMENTO!$AF$7)/$H101*OFFSET(ORÇAMENTO!$X$15,ROW(BA101)-ROW(BA$15),0),0)</f>
        <v>0</v>
      </c>
      <c r="BC101" s="215">
        <f ca="1">IF($D101&lt;&gt;"Serviço",0,IF(AND(AUTOEVENTO="Manual",$M101=1),0,IF(OFFSET(CRONOPLE!$F$14,$M101,BC$13)="",10^12,OFFSET(CRONOPLE!$F$14,$M101,BC$13))))</f>
        <v>1000000000000</v>
      </c>
      <c r="BD101" s="215">
        <f ca="1">IF($D101&lt;&gt;"Serviço",0,IF(AND(AUTOEVENTO="Manual",$M101=1),0,IF(OFFSET(CRONOPLE!$F$14,$M101,BD$13)="",10^12,OFFSET(CRONOPLE!$F$14,$M101,BD$13))))</f>
        <v>1000000000000</v>
      </c>
      <c r="BE101" s="215">
        <f ca="1">IF($D101&lt;&gt;"Serviço",0,IF(AND(AUTOEVENTO="Manual",$M101=1),0,IF(OFFSET(CRONOPLE!$F$14,$M101,BE$13)="",10^12,OFFSET(CRONOPLE!$F$14,$M101,BE$13))))</f>
        <v>1000000000000</v>
      </c>
      <c r="BF101" s="215">
        <f ca="1">IF($D101&lt;&gt;"Serviço",0,IF(AND(AUTOEVENTO="Manual",$M101=1),0,IF(OFFSET(CRONOPLE!$F$14,$M101,BF$13)="",10^12,OFFSET(CRONOPLE!$F$14,$M101,BF$13))))</f>
        <v>1000000000000</v>
      </c>
      <c r="BG101" s="215">
        <f ca="1">IF($D101&lt;&gt;"Serviço",0,IF(AND(AUTOEVENTO="Manual",$M101=1),0,IF(OFFSET(CRONOPLE!$F$14,$M101,BG$13)="",10^12,OFFSET(CRONOPLE!$F$14,$M101,BG$13))))</f>
        <v>1000000000000</v>
      </c>
      <c r="BH101" s="215">
        <f ca="1">IF($D101&lt;&gt;"Serviço",0,IF(AND(AUTOEVENTO="Manual",$M101=1),0,IF(OFFSET(CRONOPLE!$F$14,$M101,BH$13)="",10^12,OFFSET(CRONOPLE!$F$14,$M101,BH$13))))</f>
        <v>1000000000000</v>
      </c>
      <c r="BI101" s="215">
        <f ca="1">IF($D101&lt;&gt;"Serviço",0,IF(AND(AUTOEVENTO="Manual",$M101=1),0,IF(OFFSET(CRONOPLE!$F$14,$M101,BI$13)="",10^12,OFFSET(CRONOPLE!$F$14,$M101,BI$13))))</f>
        <v>1000000000000</v>
      </c>
      <c r="BJ101" s="215">
        <f ca="1">IF($D101&lt;&gt;"Serviço",0,IF(AND(AUTOEVENTO="Manual",$M101=1),0,IF(OFFSET(CRONOPLE!$F$14,$M101,BJ$13)="",10^12,OFFSET(CRONOPLE!$F$14,$M101,BJ$13))))</f>
        <v>1000000000000</v>
      </c>
      <c r="BK101" s="215">
        <f ca="1">IF($D101&lt;&gt;"Serviço",0,IF(AND(AUTOEVENTO="Manual",$M101=1),0,IF(OFFSET(CRONOPLE!$F$14,$M101,BK$13)="",10^12,OFFSET(CRONOPLE!$F$14,$M101,BK$13))))</f>
        <v>1000000000000</v>
      </c>
      <c r="BL101" s="215">
        <f ca="1">IF($D101&lt;&gt;"Serviço",0,IF(AND(AUTOEVENTO="Manual",$M101=1),0,IF(OFFSET(CRONOPLE!$F$14,$M101,BL$13)="",10^12,OFFSET(CRONOPLE!$F$14,$M101,BL$13))))</f>
        <v>1000000000000</v>
      </c>
      <c r="BM101" s="215">
        <f ca="1">IF($D101&lt;&gt;"Serviço",0,IF(AND(AUTOEVENTO="Manual",$M101=1),0,IF(OFFSET(CRONOPLE!$F$14,$M101,BM$13)="",10^12,OFFSET(CRONOPLE!$F$14,$M101,BM$13))))</f>
        <v>1000000000000</v>
      </c>
      <c r="BN101" s="215">
        <f ca="1">IF($D101&lt;&gt;"Serviço",0,IF(AND(AUTOEVENTO="Manual",$M101=1),0,IF(OFFSET(CRONOPLE!$F$14,$M101,BN$13)="",10^12,OFFSET(CRONOPLE!$F$14,$M101,BN$13))))</f>
        <v>1000000000000</v>
      </c>
      <c r="BO101" s="215">
        <f ca="1">IF($D101&lt;&gt;"Serviço",0,IF(AND(AUTOEVENTO="Manual",$M101=1),0,IF(OFFSET(CRONOPLE!$F$14,$M101,BO$13)="",10^12,OFFSET(CRONOPLE!$F$14,$M101,BO$13))))</f>
        <v>1000000000000</v>
      </c>
      <c r="BP101" s="215">
        <f ca="1">IF($D101&lt;&gt;"Serviço",0,IF(AND(AUTOEVENTO="Manual",$M101=1),0,IF(OFFSET(CRONOPLE!$F$14,$M101,BP$13)="",10^12,OFFSET(CRONOPLE!$F$14,$M101,BP$13))))</f>
        <v>1000000000000</v>
      </c>
      <c r="BQ101" s="215">
        <f ca="1">IF($D101&lt;&gt;"Serviço",0,IF(AND(AUTOEVENTO="Manual",$M101=1),0,IF(OFFSET(CRONOPLE!$F$14,$M101,BQ$13)="",10^12,OFFSET(CRONOPLE!$F$14,$M101,BQ$13))))</f>
        <v>1000000000000</v>
      </c>
      <c r="BR101" s="215">
        <f ca="1">IF($D101&lt;&gt;"Serviço",0,IF(AND(AUTOEVENTO="Manual",$M101=1),0,IF(OFFSET(CRONOPLE!$F$14,$M101,BR$13)="",10^12,OFFSET(CRONOPLE!$F$14,$M101,BR$13))))</f>
        <v>1000000000000</v>
      </c>
      <c r="BS101" s="215">
        <f ca="1">IF($D101&lt;&gt;"Serviço",0,IF(AND(AUTOEVENTO="Manual",$M101=1),0,IF(OFFSET(CRONOPLE!$F$14,$M101,BS$13)="",10^12,OFFSET(CRONOPLE!$F$14,$M101,BS$13))))</f>
        <v>1000000000000</v>
      </c>
      <c r="BT101" s="215">
        <f ca="1">IF($D101&lt;&gt;"Serviço",0,IF(AND(AUTOEVENTO="Manual",$M101=1),0,IF(OFFSET(CRONOPLE!$F$14,$M101,BT$13)="",10^12,OFFSET(CRONOPLE!$F$14,$M101,BT$13))))</f>
        <v>1000000000000</v>
      </c>
      <c r="BV101" s="216">
        <f ca="1">IF($D101&lt;&gt;"Serviço",0,IF(OR(AND(AUTOEVENTO="Manual",$M101=1),$M101&gt;(ROW(PLE.lastrow)-ROW(PLE.firstrow))),0,IF(OFFSET(PLE!$G$14,$M101,BV$13)="",10^12,OFFSET(PLE!$G$14,$M101,BV$13))))</f>
        <v>1000000000000</v>
      </c>
      <c r="BW101" s="216">
        <f ca="1">IF($D101&lt;&gt;"Serviço",0,IF(OR(AND(AUTOEVENTO="Manual",$M101=1),$M101&gt;(ROW(PLE.lastrow)-ROW(PLE.firstrow))),0,IF(OFFSET(PLE!$G$14,$M101,BW$13)="",10^12,OFFSET(PLE!$G$14,$M101,BW$13))))</f>
        <v>1000000000000</v>
      </c>
      <c r="BX101" s="216">
        <f ca="1">IF($D101&lt;&gt;"Serviço",0,IF(OR(AND(AUTOEVENTO="Manual",$M101=1),$M101&gt;(ROW(PLE.lastrow)-ROW(PLE.firstrow))),0,IF(OFFSET(PLE!$G$14,$M101,BX$13)="",10^12,OFFSET(PLE!$G$14,$M101,BX$13))))</f>
        <v>1000000000000</v>
      </c>
      <c r="BY101" s="216">
        <f ca="1">IF($D101&lt;&gt;"Serviço",0,IF(OR(AND(AUTOEVENTO="Manual",$M101=1),$M101&gt;(ROW(PLE.lastrow)-ROW(PLE.firstrow))),0,IF(OFFSET(PLE!$G$14,$M101,BY$13)="",10^12,OFFSET(PLE!$G$14,$M101,BY$13))))</f>
        <v>1000000000000</v>
      </c>
      <c r="BZ101" s="216">
        <f ca="1">IF($D101&lt;&gt;"Serviço",0,IF(OR(AND(AUTOEVENTO="Manual",$M101=1),$M101&gt;(ROW(PLE.lastrow)-ROW(PLE.firstrow))),0,IF(OFFSET(PLE!$G$14,$M101,BZ$13)="",10^12,OFFSET(PLE!$G$14,$M101,BZ$13))))</f>
        <v>1000000000000</v>
      </c>
      <c r="CA101" s="216">
        <f ca="1">IF($D101&lt;&gt;"Serviço",0,IF(OR(AND(AUTOEVENTO="Manual",$M101=1),$M101&gt;(ROW(PLE.lastrow)-ROW(PLE.firstrow))),0,IF(OFFSET(PLE!$G$14,$M101,CA$13)="",10^12,OFFSET(PLE!$G$14,$M101,CA$13))))</f>
        <v>1000000000000</v>
      </c>
      <c r="CB101" s="216">
        <f ca="1">IF($D101&lt;&gt;"Serviço",0,IF(OR(AND(AUTOEVENTO="Manual",$M101=1),$M101&gt;(ROW(PLE.lastrow)-ROW(PLE.firstrow))),0,IF(OFFSET(PLE!$G$14,$M101,CB$13)="",10^12,OFFSET(PLE!$G$14,$M101,CB$13))))</f>
        <v>1000000000000</v>
      </c>
      <c r="CC101" s="216">
        <f ca="1">IF($D101&lt;&gt;"Serviço",0,IF(OR(AND(AUTOEVENTO="Manual",$M101=1),$M101&gt;(ROW(PLE.lastrow)-ROW(PLE.firstrow))),0,IF(OFFSET(PLE!$G$14,$M101,CC$13)="",10^12,OFFSET(PLE!$G$14,$M101,CC$13))))</f>
        <v>1000000000000</v>
      </c>
      <c r="CD101" s="216">
        <f ca="1">IF($D101&lt;&gt;"Serviço",0,IF(OR(AND(AUTOEVENTO="Manual",$M101=1),$M101&gt;(ROW(PLE.lastrow)-ROW(PLE.firstrow))),0,IF(OFFSET(PLE!$G$14,$M101,CD$13)="",10^12,OFFSET(PLE!$G$14,$M101,CD$13))))</f>
        <v>1000000000000</v>
      </c>
      <c r="CE101" s="216">
        <f ca="1">IF($D101&lt;&gt;"Serviço",0,IF(OR(AND(AUTOEVENTO="Manual",$M101=1),$M101&gt;(ROW(PLE.lastrow)-ROW(PLE.firstrow))),0,IF(OFFSET(PLE!$G$14,$M101,CE$13)="",10^12,OFFSET(PLE!$G$14,$M101,CE$13))))</f>
        <v>1000000000000</v>
      </c>
      <c r="CF101" s="216">
        <f ca="1">IF($D101&lt;&gt;"Serviço",0,IF(OR(AND(AUTOEVENTO="Manual",$M101=1),$M101&gt;(ROW(PLE.lastrow)-ROW(PLE.firstrow))),0,IF(OFFSET(PLE!$G$14,$M101,CF$13)="",10^12,OFFSET(PLE!$G$14,$M101,CF$13))))</f>
        <v>1000000000000</v>
      </c>
      <c r="CG101" s="216">
        <f ca="1">IF($D101&lt;&gt;"Serviço",0,IF(OR(AND(AUTOEVENTO="Manual",$M101=1),$M101&gt;(ROW(PLE.lastrow)-ROW(PLE.firstrow))),0,IF(OFFSET(PLE!$G$14,$M101,CG$13)="",10^12,OFFSET(PLE!$G$14,$M101,CG$13))))</f>
        <v>1000000000000</v>
      </c>
      <c r="CH101" s="216">
        <f ca="1">IF($D101&lt;&gt;"Serviço",0,IF(OR(AND(AUTOEVENTO="Manual",$M101=1),$M101&gt;(ROW(PLE.lastrow)-ROW(PLE.firstrow))),0,IF(OFFSET(PLE!$G$14,$M101,CH$13)="",10^12,OFFSET(PLE!$G$14,$M101,CH$13))))</f>
        <v>1000000000000</v>
      </c>
      <c r="CI101" s="216">
        <f ca="1">IF($D101&lt;&gt;"Serviço",0,IF(OR(AND(AUTOEVENTO="Manual",$M101=1),$M101&gt;(ROW(PLE.lastrow)-ROW(PLE.firstrow))),0,IF(OFFSET(PLE!$G$14,$M101,CI$13)="",10^12,OFFSET(PLE!$G$14,$M101,CI$13))))</f>
        <v>1000000000000</v>
      </c>
      <c r="CJ101" s="216">
        <f ca="1">IF($D101&lt;&gt;"Serviço",0,IF(OR(AND(AUTOEVENTO="Manual",$M101=1),$M101&gt;(ROW(PLE.lastrow)-ROW(PLE.firstrow))),0,IF(OFFSET(PLE!$G$14,$M101,CJ$13)="",10^12,OFFSET(PLE!$G$14,$M101,CJ$13))))</f>
        <v>1000000000000</v>
      </c>
      <c r="CK101" s="216">
        <f ca="1">IF($D101&lt;&gt;"Serviço",0,IF(OR(AND(AUTOEVENTO="Manual",$M101=1),$M101&gt;(ROW(PLE.lastrow)-ROW(PLE.firstrow))),0,IF(OFFSET(PLE!$G$14,$M101,CK$13)="",10^12,OFFSET(PLE!$G$14,$M101,CK$13))))</f>
        <v>1000000000000</v>
      </c>
      <c r="CL101" s="216">
        <f ca="1">IF($D101&lt;&gt;"Serviço",0,IF(OR(AND(AUTOEVENTO="Manual",$M101=1),$M101&gt;(ROW(PLE.lastrow)-ROW(PLE.firstrow))),0,IF(OFFSET(PLE!$G$14,$M101,CL$13)="",10^12,OFFSET(PLE!$G$14,$M101,CL$13))))</f>
        <v>1000000000000</v>
      </c>
      <c r="CM101" s="216">
        <f ca="1">IF($D101&lt;&gt;"Serviço",0,IF(OR(AND(AUTOEVENTO="Manual",$M101=1),$M101&gt;(ROW(PLE.lastrow)-ROW(PLE.firstrow))),0,IF(OFFSET(PLE!$G$14,$M101,CM$13)="",10^12,OFFSET(PLE!$G$14,$M101,CM$13))))</f>
        <v>1000000000000</v>
      </c>
    </row>
    <row r="102" spans="1:91" ht="13.2" x14ac:dyDescent="0.25">
      <c r="A102" s="9">
        <f t="shared" ca="1" si="10"/>
        <v>0</v>
      </c>
      <c r="B102" s="9">
        <f ca="1">OFFSET(ORÇAMENTO!C$15,ROW(B102)-ROW(B$15),0)</f>
        <v>3</v>
      </c>
      <c r="C102" s="9" t="str">
        <f ca="1">OFFSET(ORÇAMENTO!L$15,ROW(C102)-ROW(C$15),0)</f>
        <v>F</v>
      </c>
      <c r="D102" s="145" t="str">
        <f ca="1">OFFSET(ORÇAMENTO!N$15,ROW(D102)-ROW(D$15),0)</f>
        <v>Nível 3</v>
      </c>
      <c r="E102" s="205" t="str">
        <f ca="1">OFFSET(ORÇAMENTO!O$15,ROW(E102)-ROW(E$15),0)</f>
        <v>1.4.2.</v>
      </c>
      <c r="F102" s="206" t="str">
        <f ca="1">OFFSET(ORÇAMENTO!R$15,ROW(F102)-ROW(F$15),0)</f>
        <v>CONCRETO ARMADO - PILARES - MURO</v>
      </c>
      <c r="G102" s="207" t="str">
        <f ca="1">IF($D102&lt;&gt;"Serviço","",OFFSET(ORÇAMENTO!S$15,ROW(G102)-ROW(G$15),0))</f>
        <v/>
      </c>
      <c r="H102" s="151">
        <f ca="1">IF($D102&lt;&gt;"Serviço",0,IF(ACOMPANHAMENTO="BM",ROUND(OFFSET(ORÇAMENTO!AJ$15,ROW(H102)-ROW(H$15),0),15-13*ORÇAMENTO!$AF$7),SUMPRODUCT(($Q$12:$AI$12&lt;&gt;"")*ROUND($Q102:$AI102,15-13*ORÇAMENTO!$AF$7))))</f>
        <v>0</v>
      </c>
      <c r="I102" s="650"/>
      <c r="K102" s="208"/>
      <c r="L102" s="209" t="s">
        <v>257</v>
      </c>
      <c r="M102" s="210" t="str">
        <f ca="1">IF($D102&lt;&gt;"Serviço","",IF(AUTOEVENTO="manual",$A102,IF(ISERROR(MATCH($A102,$A$15:OFFSET($A102,-1,0),0)),MAX($M$15:OFFSET(M102,-1,0))+1,INDEX($M$15:OFFSET(M102,-1,0),MATCH($A102,$A$15:OFFSET($A102,-1,0),0)))))</f>
        <v/>
      </c>
      <c r="N102" s="211" t="str">
        <f ca="1">IF($D102&lt;&gt;"Serviço","",IF(AUTOEVENTO="Manual",IF($A102=0,"&lt;-- defina o número do agrupador",OFFSET(EVENTOS!$D$14,$A102,0)),OFFSET($F$15,$A102,0)))</f>
        <v/>
      </c>
      <c r="O102" s="212"/>
      <c r="Q102" s="212"/>
      <c r="R102" s="213"/>
      <c r="S102" s="213"/>
      <c r="T102" s="213"/>
      <c r="U102" s="213"/>
      <c r="V102" s="213"/>
      <c r="W102" s="213"/>
      <c r="X102" s="213"/>
      <c r="Y102" s="213"/>
      <c r="Z102" s="214"/>
      <c r="AA102" s="213"/>
      <c r="AB102" s="213"/>
      <c r="AC102" s="213"/>
      <c r="AD102" s="213"/>
      <c r="AE102" s="213"/>
      <c r="AF102" s="213"/>
      <c r="AG102" s="213"/>
      <c r="AH102" s="214"/>
      <c r="AJ102" s="631">
        <f ca="1">IF(AND($D102="Serviço",AJ$12&lt;&gt;0,$H102&gt;0,OR(AUTOEVENTO&lt;&gt;"manual",$M102&lt;&gt;1)),ROUND(OFFSET($P102,0,AJ$13),15-13*ORÇAMENTO!$AF$7)/$H102*OFFSET(ORÇAMENTO!$X$15,ROW(AJ102)-ROW(AJ$15),0),0)</f>
        <v>0</v>
      </c>
      <c r="AK102" s="632">
        <f ca="1">IF(AND($D102="Serviço",AK$12&lt;&gt;0,$H102&gt;0,OR(AUTOEVENTO&lt;&gt;"manual",$M102&lt;&gt;1)),ROUND(OFFSET($P102,0,AK$13),15-13*ORÇAMENTO!$AF$7)/$H102*OFFSET(ORÇAMENTO!$X$15,ROW(AK102)-ROW(AK$15),0),0)</f>
        <v>0</v>
      </c>
      <c r="AL102" s="632">
        <f ca="1">IF(AND($D102="Serviço",AL$12&lt;&gt;0,$H102&gt;0,OR(AUTOEVENTO&lt;&gt;"manual",$M102&lt;&gt;1)),ROUND(OFFSET($P102,0,AL$13),15-13*ORÇAMENTO!$AF$7)/$H102*OFFSET(ORÇAMENTO!$X$15,ROW(AL102)-ROW(AL$15),0),0)</f>
        <v>0</v>
      </c>
      <c r="AM102" s="632">
        <f ca="1">IF(AND($D102="Serviço",AM$12&lt;&gt;0,$H102&gt;0,OR(AUTOEVENTO&lt;&gt;"manual",$M102&lt;&gt;1)),ROUND(OFFSET($P102,0,AM$13),15-13*ORÇAMENTO!$AF$7)/$H102*OFFSET(ORÇAMENTO!$X$15,ROW(AM102)-ROW(AM$15),0),0)</f>
        <v>0</v>
      </c>
      <c r="AN102" s="632">
        <f ca="1">IF(AND($D102="Serviço",AN$12&lt;&gt;0,$H102&gt;0,OR(AUTOEVENTO&lt;&gt;"manual",$M102&lt;&gt;1)),ROUND(OFFSET($P102,0,AN$13),15-13*ORÇAMENTO!$AF$7)/$H102*OFFSET(ORÇAMENTO!$X$15,ROW(AN102)-ROW(AN$15),0),0)</f>
        <v>0</v>
      </c>
      <c r="AO102" s="632">
        <f ca="1">IF(AND($D102="Serviço",AO$12&lt;&gt;0,$H102&gt;0,OR(AUTOEVENTO&lt;&gt;"manual",$M102&lt;&gt;1)),ROUND(OFFSET($P102,0,AO$13),15-13*ORÇAMENTO!$AF$7)/$H102*OFFSET(ORÇAMENTO!$X$15,ROW(AO102)-ROW(AO$15),0),0)</f>
        <v>0</v>
      </c>
      <c r="AP102" s="632">
        <f ca="1">IF(AND($D102="Serviço",AP$12&lt;&gt;0,$H102&gt;0,OR(AUTOEVENTO&lt;&gt;"manual",$M102&lt;&gt;1)),ROUND(OFFSET($P102,0,AP$13),15-13*ORÇAMENTO!$AF$7)/$H102*OFFSET(ORÇAMENTO!$X$15,ROW(AP102)-ROW(AP$15),0),0)</f>
        <v>0</v>
      </c>
      <c r="AQ102" s="632">
        <f ca="1">IF(AND($D102="Serviço",AQ$12&lt;&gt;0,$H102&gt;0,OR(AUTOEVENTO&lt;&gt;"manual",$M102&lt;&gt;1)),ROUND(OFFSET($P102,0,AQ$13),15-13*ORÇAMENTO!$AF$7)/$H102*OFFSET(ORÇAMENTO!$X$15,ROW(AQ102)-ROW(AQ$15),0),0)</f>
        <v>0</v>
      </c>
      <c r="AR102" s="632">
        <f ca="1">IF(AND($D102="Serviço",AR$12&lt;&gt;0,$H102&gt;0,OR(AUTOEVENTO&lt;&gt;"manual",$M102&lt;&gt;1)),ROUND(OFFSET($P102,0,AR$13),15-13*ORÇAMENTO!$AF$7)/$H102*OFFSET(ORÇAMENTO!$X$15,ROW(AR102)-ROW(AR$15),0),0)</f>
        <v>0</v>
      </c>
      <c r="AS102" s="633">
        <f ca="1">IF(AND($D102="Serviço",AS$12&lt;&gt;0,$H102&gt;0,OR(AUTOEVENTO&lt;&gt;"manual",$M102&lt;&gt;1)),ROUND(OFFSET($P102,0,AS$13),15-13*ORÇAMENTO!$AF$7)/$H102*OFFSET(ORÇAMENTO!$X$15,ROW(AS102)-ROW(AS$15),0),0)</f>
        <v>0</v>
      </c>
      <c r="AT102" s="632">
        <f ca="1">IF(AND($D102="Serviço",AT$12&lt;&gt;0,$H102&gt;0,OR(AUTOEVENTO&lt;&gt;"manual",$M102&lt;&gt;1)),ROUND(OFFSET($P102,0,AT$13),15-13*ORÇAMENTO!$AF$7)/$H102*OFFSET(ORÇAMENTO!$X$15,ROW(AT102)-ROW(AT$15),0),0)</f>
        <v>0</v>
      </c>
      <c r="AU102" s="632">
        <f ca="1">IF(AND($D102="Serviço",AU$12&lt;&gt;0,$H102&gt;0,OR(AUTOEVENTO&lt;&gt;"manual",$M102&lt;&gt;1)),ROUND(OFFSET($P102,0,AU$13),15-13*ORÇAMENTO!$AF$7)/$H102*OFFSET(ORÇAMENTO!$X$15,ROW(AU102)-ROW(AU$15),0),0)</f>
        <v>0</v>
      </c>
      <c r="AV102" s="632">
        <f ca="1">IF(AND($D102="Serviço",AV$12&lt;&gt;0,$H102&gt;0,OR(AUTOEVENTO&lt;&gt;"manual",$M102&lt;&gt;1)),ROUND(OFFSET($P102,0,AV$13),15-13*ORÇAMENTO!$AF$7)/$H102*OFFSET(ORÇAMENTO!$X$15,ROW(AV102)-ROW(AV$15),0),0)</f>
        <v>0</v>
      </c>
      <c r="AW102" s="632">
        <f ca="1">IF(AND($D102="Serviço",AW$12&lt;&gt;0,$H102&gt;0,OR(AUTOEVENTO&lt;&gt;"manual",$M102&lt;&gt;1)),ROUND(OFFSET($P102,0,AW$13),15-13*ORÇAMENTO!$AF$7)/$H102*OFFSET(ORÇAMENTO!$X$15,ROW(AW102)-ROW(AW$15),0),0)</f>
        <v>0</v>
      </c>
      <c r="AX102" s="632">
        <f ca="1">IF(AND($D102="Serviço",AX$12&lt;&gt;0,$H102&gt;0,OR(AUTOEVENTO&lt;&gt;"manual",$M102&lt;&gt;1)),ROUND(OFFSET($P102,0,AX$13),15-13*ORÇAMENTO!$AF$7)/$H102*OFFSET(ORÇAMENTO!$X$15,ROW(AX102)-ROW(AX$15),0),0)</f>
        <v>0</v>
      </c>
      <c r="AY102" s="632">
        <f ca="1">IF(AND($D102="Serviço",AY$12&lt;&gt;0,$H102&gt;0,OR(AUTOEVENTO&lt;&gt;"manual",$M102&lt;&gt;1)),ROUND(OFFSET($P102,0,AY$13),15-13*ORÇAMENTO!$AF$7)/$H102*OFFSET(ORÇAMENTO!$X$15,ROW(AY102)-ROW(AY$15),0),0)</f>
        <v>0</v>
      </c>
      <c r="AZ102" s="632">
        <f ca="1">IF(AND($D102="Serviço",AZ$12&lt;&gt;0,$H102&gt;0,OR(AUTOEVENTO&lt;&gt;"manual",$M102&lt;&gt;1)),ROUND(OFFSET($P102,0,AZ$13),15-13*ORÇAMENTO!$AF$7)/$H102*OFFSET(ORÇAMENTO!$X$15,ROW(AZ102)-ROW(AZ$15),0),0)</f>
        <v>0</v>
      </c>
      <c r="BA102" s="633">
        <f ca="1">IF(AND($D102="Serviço",BA$12&lt;&gt;0,$H102&gt;0,OR(AUTOEVENTO&lt;&gt;"manual",$M102&lt;&gt;1)),ROUND(OFFSET($P102,0,BA$13),15-13*ORÇAMENTO!$AF$7)/$H102*OFFSET(ORÇAMENTO!$X$15,ROW(BA102)-ROW(BA$15),0),0)</f>
        <v>0</v>
      </c>
      <c r="BC102" s="215">
        <f ca="1">IF($D102&lt;&gt;"Serviço",0,IF(AND(AUTOEVENTO="Manual",$M102=1),0,IF(OFFSET(CRONOPLE!$F$14,$M102,BC$13)="",10^12,OFFSET(CRONOPLE!$F$14,$M102,BC$13))))</f>
        <v>0</v>
      </c>
      <c r="BD102" s="215">
        <f ca="1">IF($D102&lt;&gt;"Serviço",0,IF(AND(AUTOEVENTO="Manual",$M102=1),0,IF(OFFSET(CRONOPLE!$F$14,$M102,BD$13)="",10^12,OFFSET(CRONOPLE!$F$14,$M102,BD$13))))</f>
        <v>0</v>
      </c>
      <c r="BE102" s="215">
        <f ca="1">IF($D102&lt;&gt;"Serviço",0,IF(AND(AUTOEVENTO="Manual",$M102=1),0,IF(OFFSET(CRONOPLE!$F$14,$M102,BE$13)="",10^12,OFFSET(CRONOPLE!$F$14,$M102,BE$13))))</f>
        <v>0</v>
      </c>
      <c r="BF102" s="215">
        <f ca="1">IF($D102&lt;&gt;"Serviço",0,IF(AND(AUTOEVENTO="Manual",$M102=1),0,IF(OFFSET(CRONOPLE!$F$14,$M102,BF$13)="",10^12,OFFSET(CRONOPLE!$F$14,$M102,BF$13))))</f>
        <v>0</v>
      </c>
      <c r="BG102" s="215">
        <f ca="1">IF($D102&lt;&gt;"Serviço",0,IF(AND(AUTOEVENTO="Manual",$M102=1),0,IF(OFFSET(CRONOPLE!$F$14,$M102,BG$13)="",10^12,OFFSET(CRONOPLE!$F$14,$M102,BG$13))))</f>
        <v>0</v>
      </c>
      <c r="BH102" s="215">
        <f ca="1">IF($D102&lt;&gt;"Serviço",0,IF(AND(AUTOEVENTO="Manual",$M102=1),0,IF(OFFSET(CRONOPLE!$F$14,$M102,BH$13)="",10^12,OFFSET(CRONOPLE!$F$14,$M102,BH$13))))</f>
        <v>0</v>
      </c>
      <c r="BI102" s="215">
        <f ca="1">IF($D102&lt;&gt;"Serviço",0,IF(AND(AUTOEVENTO="Manual",$M102=1),0,IF(OFFSET(CRONOPLE!$F$14,$M102,BI$13)="",10^12,OFFSET(CRONOPLE!$F$14,$M102,BI$13))))</f>
        <v>0</v>
      </c>
      <c r="BJ102" s="215">
        <f ca="1">IF($D102&lt;&gt;"Serviço",0,IF(AND(AUTOEVENTO="Manual",$M102=1),0,IF(OFFSET(CRONOPLE!$F$14,$M102,BJ$13)="",10^12,OFFSET(CRONOPLE!$F$14,$M102,BJ$13))))</f>
        <v>0</v>
      </c>
      <c r="BK102" s="215">
        <f ca="1">IF($D102&lt;&gt;"Serviço",0,IF(AND(AUTOEVENTO="Manual",$M102=1),0,IF(OFFSET(CRONOPLE!$F$14,$M102,BK$13)="",10^12,OFFSET(CRONOPLE!$F$14,$M102,BK$13))))</f>
        <v>0</v>
      </c>
      <c r="BL102" s="215">
        <f ca="1">IF($D102&lt;&gt;"Serviço",0,IF(AND(AUTOEVENTO="Manual",$M102=1),0,IF(OFFSET(CRONOPLE!$F$14,$M102,BL$13)="",10^12,OFFSET(CRONOPLE!$F$14,$M102,BL$13))))</f>
        <v>0</v>
      </c>
      <c r="BM102" s="215">
        <f ca="1">IF($D102&lt;&gt;"Serviço",0,IF(AND(AUTOEVENTO="Manual",$M102=1),0,IF(OFFSET(CRONOPLE!$F$14,$M102,BM$13)="",10^12,OFFSET(CRONOPLE!$F$14,$M102,BM$13))))</f>
        <v>0</v>
      </c>
      <c r="BN102" s="215">
        <f ca="1">IF($D102&lt;&gt;"Serviço",0,IF(AND(AUTOEVENTO="Manual",$M102=1),0,IF(OFFSET(CRONOPLE!$F$14,$M102,BN$13)="",10^12,OFFSET(CRONOPLE!$F$14,$M102,BN$13))))</f>
        <v>0</v>
      </c>
      <c r="BO102" s="215">
        <f ca="1">IF($D102&lt;&gt;"Serviço",0,IF(AND(AUTOEVENTO="Manual",$M102=1),0,IF(OFFSET(CRONOPLE!$F$14,$M102,BO$13)="",10^12,OFFSET(CRONOPLE!$F$14,$M102,BO$13))))</f>
        <v>0</v>
      </c>
      <c r="BP102" s="215">
        <f ca="1">IF($D102&lt;&gt;"Serviço",0,IF(AND(AUTOEVENTO="Manual",$M102=1),0,IF(OFFSET(CRONOPLE!$F$14,$M102,BP$13)="",10^12,OFFSET(CRONOPLE!$F$14,$M102,BP$13))))</f>
        <v>0</v>
      </c>
      <c r="BQ102" s="215">
        <f ca="1">IF($D102&lt;&gt;"Serviço",0,IF(AND(AUTOEVENTO="Manual",$M102=1),0,IF(OFFSET(CRONOPLE!$F$14,$M102,BQ$13)="",10^12,OFFSET(CRONOPLE!$F$14,$M102,BQ$13))))</f>
        <v>0</v>
      </c>
      <c r="BR102" s="215">
        <f ca="1">IF($D102&lt;&gt;"Serviço",0,IF(AND(AUTOEVENTO="Manual",$M102=1),0,IF(OFFSET(CRONOPLE!$F$14,$M102,BR$13)="",10^12,OFFSET(CRONOPLE!$F$14,$M102,BR$13))))</f>
        <v>0</v>
      </c>
      <c r="BS102" s="215">
        <f ca="1">IF($D102&lt;&gt;"Serviço",0,IF(AND(AUTOEVENTO="Manual",$M102=1),0,IF(OFFSET(CRONOPLE!$F$14,$M102,BS$13)="",10^12,OFFSET(CRONOPLE!$F$14,$M102,BS$13))))</f>
        <v>0</v>
      </c>
      <c r="BT102" s="215">
        <f ca="1">IF($D102&lt;&gt;"Serviço",0,IF(AND(AUTOEVENTO="Manual",$M102=1),0,IF(OFFSET(CRONOPLE!$F$14,$M102,BT$13)="",10^12,OFFSET(CRONOPLE!$F$14,$M102,BT$13))))</f>
        <v>0</v>
      </c>
      <c r="BV102" s="216">
        <f ca="1">IF($D102&lt;&gt;"Serviço",0,IF(OR(AND(AUTOEVENTO="Manual",$M102=1),$M102&gt;(ROW(PLE.lastrow)-ROW(PLE.firstrow))),0,IF(OFFSET(PLE!$G$14,$M102,BV$13)="",10^12,OFFSET(PLE!$G$14,$M102,BV$13))))</f>
        <v>0</v>
      </c>
      <c r="BW102" s="216">
        <f ca="1">IF($D102&lt;&gt;"Serviço",0,IF(OR(AND(AUTOEVENTO="Manual",$M102=1),$M102&gt;(ROW(PLE.lastrow)-ROW(PLE.firstrow))),0,IF(OFFSET(PLE!$G$14,$M102,BW$13)="",10^12,OFFSET(PLE!$G$14,$M102,BW$13))))</f>
        <v>0</v>
      </c>
      <c r="BX102" s="216">
        <f ca="1">IF($D102&lt;&gt;"Serviço",0,IF(OR(AND(AUTOEVENTO="Manual",$M102=1),$M102&gt;(ROW(PLE.lastrow)-ROW(PLE.firstrow))),0,IF(OFFSET(PLE!$G$14,$M102,BX$13)="",10^12,OFFSET(PLE!$G$14,$M102,BX$13))))</f>
        <v>0</v>
      </c>
      <c r="BY102" s="216">
        <f ca="1">IF($D102&lt;&gt;"Serviço",0,IF(OR(AND(AUTOEVENTO="Manual",$M102=1),$M102&gt;(ROW(PLE.lastrow)-ROW(PLE.firstrow))),0,IF(OFFSET(PLE!$G$14,$M102,BY$13)="",10^12,OFFSET(PLE!$G$14,$M102,BY$13))))</f>
        <v>0</v>
      </c>
      <c r="BZ102" s="216">
        <f ca="1">IF($D102&lt;&gt;"Serviço",0,IF(OR(AND(AUTOEVENTO="Manual",$M102=1),$M102&gt;(ROW(PLE.lastrow)-ROW(PLE.firstrow))),0,IF(OFFSET(PLE!$G$14,$M102,BZ$13)="",10^12,OFFSET(PLE!$G$14,$M102,BZ$13))))</f>
        <v>0</v>
      </c>
      <c r="CA102" s="216">
        <f ca="1">IF($D102&lt;&gt;"Serviço",0,IF(OR(AND(AUTOEVENTO="Manual",$M102=1),$M102&gt;(ROW(PLE.lastrow)-ROW(PLE.firstrow))),0,IF(OFFSET(PLE!$G$14,$M102,CA$13)="",10^12,OFFSET(PLE!$G$14,$M102,CA$13))))</f>
        <v>0</v>
      </c>
      <c r="CB102" s="216">
        <f ca="1">IF($D102&lt;&gt;"Serviço",0,IF(OR(AND(AUTOEVENTO="Manual",$M102=1),$M102&gt;(ROW(PLE.lastrow)-ROW(PLE.firstrow))),0,IF(OFFSET(PLE!$G$14,$M102,CB$13)="",10^12,OFFSET(PLE!$G$14,$M102,CB$13))))</f>
        <v>0</v>
      </c>
      <c r="CC102" s="216">
        <f ca="1">IF($D102&lt;&gt;"Serviço",0,IF(OR(AND(AUTOEVENTO="Manual",$M102=1),$M102&gt;(ROW(PLE.lastrow)-ROW(PLE.firstrow))),0,IF(OFFSET(PLE!$G$14,$M102,CC$13)="",10^12,OFFSET(PLE!$G$14,$M102,CC$13))))</f>
        <v>0</v>
      </c>
      <c r="CD102" s="216">
        <f ca="1">IF($D102&lt;&gt;"Serviço",0,IF(OR(AND(AUTOEVENTO="Manual",$M102=1),$M102&gt;(ROW(PLE.lastrow)-ROW(PLE.firstrow))),0,IF(OFFSET(PLE!$G$14,$M102,CD$13)="",10^12,OFFSET(PLE!$G$14,$M102,CD$13))))</f>
        <v>0</v>
      </c>
      <c r="CE102" s="216">
        <f ca="1">IF($D102&lt;&gt;"Serviço",0,IF(OR(AND(AUTOEVENTO="Manual",$M102=1),$M102&gt;(ROW(PLE.lastrow)-ROW(PLE.firstrow))),0,IF(OFFSET(PLE!$G$14,$M102,CE$13)="",10^12,OFFSET(PLE!$G$14,$M102,CE$13))))</f>
        <v>0</v>
      </c>
      <c r="CF102" s="216">
        <f ca="1">IF($D102&lt;&gt;"Serviço",0,IF(OR(AND(AUTOEVENTO="Manual",$M102=1),$M102&gt;(ROW(PLE.lastrow)-ROW(PLE.firstrow))),0,IF(OFFSET(PLE!$G$14,$M102,CF$13)="",10^12,OFFSET(PLE!$G$14,$M102,CF$13))))</f>
        <v>0</v>
      </c>
      <c r="CG102" s="216">
        <f ca="1">IF($D102&lt;&gt;"Serviço",0,IF(OR(AND(AUTOEVENTO="Manual",$M102=1),$M102&gt;(ROW(PLE.lastrow)-ROW(PLE.firstrow))),0,IF(OFFSET(PLE!$G$14,$M102,CG$13)="",10^12,OFFSET(PLE!$G$14,$M102,CG$13))))</f>
        <v>0</v>
      </c>
      <c r="CH102" s="216">
        <f ca="1">IF($D102&lt;&gt;"Serviço",0,IF(OR(AND(AUTOEVENTO="Manual",$M102=1),$M102&gt;(ROW(PLE.lastrow)-ROW(PLE.firstrow))),0,IF(OFFSET(PLE!$G$14,$M102,CH$13)="",10^12,OFFSET(PLE!$G$14,$M102,CH$13))))</f>
        <v>0</v>
      </c>
      <c r="CI102" s="216">
        <f ca="1">IF($D102&lt;&gt;"Serviço",0,IF(OR(AND(AUTOEVENTO="Manual",$M102=1),$M102&gt;(ROW(PLE.lastrow)-ROW(PLE.firstrow))),0,IF(OFFSET(PLE!$G$14,$M102,CI$13)="",10^12,OFFSET(PLE!$G$14,$M102,CI$13))))</f>
        <v>0</v>
      </c>
      <c r="CJ102" s="216">
        <f ca="1">IF($D102&lt;&gt;"Serviço",0,IF(OR(AND(AUTOEVENTO="Manual",$M102=1),$M102&gt;(ROW(PLE.lastrow)-ROW(PLE.firstrow))),0,IF(OFFSET(PLE!$G$14,$M102,CJ$13)="",10^12,OFFSET(PLE!$G$14,$M102,CJ$13))))</f>
        <v>0</v>
      </c>
      <c r="CK102" s="216">
        <f ca="1">IF($D102&lt;&gt;"Serviço",0,IF(OR(AND(AUTOEVENTO="Manual",$M102=1),$M102&gt;(ROW(PLE.lastrow)-ROW(PLE.firstrow))),0,IF(OFFSET(PLE!$G$14,$M102,CK$13)="",10^12,OFFSET(PLE!$G$14,$M102,CK$13))))</f>
        <v>0</v>
      </c>
      <c r="CL102" s="216">
        <f ca="1">IF($D102&lt;&gt;"Serviço",0,IF(OR(AND(AUTOEVENTO="Manual",$M102=1),$M102&gt;(ROW(PLE.lastrow)-ROW(PLE.firstrow))),0,IF(OFFSET(PLE!$G$14,$M102,CL$13)="",10^12,OFFSET(PLE!$G$14,$M102,CL$13))))</f>
        <v>0</v>
      </c>
      <c r="CM102" s="216">
        <f ca="1">IF($D102&lt;&gt;"Serviço",0,IF(OR(AND(AUTOEVENTO="Manual",$M102=1),$M102&gt;(ROW(PLE.lastrow)-ROW(PLE.firstrow))),0,IF(OFFSET(PLE!$G$14,$M102,CM$13)="",10^12,OFFSET(PLE!$G$14,$M102,CM$13))))</f>
        <v>0</v>
      </c>
    </row>
    <row r="103" spans="1:91" ht="13.2" x14ac:dyDescent="0.25">
      <c r="A103" s="9">
        <f t="shared" ca="1" si="10"/>
        <v>0</v>
      </c>
      <c r="B103" s="9" t="str">
        <f ca="1">OFFSET(ORÇAMENTO!C$15,ROW(B103)-ROW(B$15),0)</f>
        <v>S</v>
      </c>
      <c r="C103" s="9" t="str">
        <f ca="1">OFFSET(ORÇAMENTO!L$15,ROW(C103)-ROW(C$15),0)</f>
        <v/>
      </c>
      <c r="D103" s="145" t="str">
        <f ca="1">OFFSET(ORÇAMENTO!N$15,ROW(D103)-ROW(D$15),0)</f>
        <v>Serviço</v>
      </c>
      <c r="E103" s="205" t="str">
        <f ca="1">OFFSET(ORÇAMENTO!O$15,ROW(E103)-ROW(E$15),0)</f>
        <v>-</v>
      </c>
      <c r="F103" s="206" t="str">
        <f ca="1">OFFSET(ORÇAMENTO!R$15,ROW(F103)-ROW(F$15),0)</f>
        <v>(abra o arquivo 'Referência 05-2024.xls)</v>
      </c>
      <c r="G103" s="207" t="str">
        <f ca="1">IF($D103&lt;&gt;"Serviço","",OFFSET(ORÇAMENTO!S$15,ROW(G103)-ROW(G$15),0))</f>
        <v>-</v>
      </c>
      <c r="H103" s="151">
        <f ca="1">IF($D103&lt;&gt;"Serviço",0,IF(ACOMPANHAMENTO="BM",ROUND(OFFSET(ORÇAMENTO!AJ$15,ROW(H103)-ROW(H$15),0),15-13*ORÇAMENTO!$AF$7),SUMPRODUCT(($Q$12:$AI$12&lt;&gt;"")*ROUND($Q103:$AI103,15-13*ORÇAMENTO!$AF$7))))</f>
        <v>96.16</v>
      </c>
      <c r="I103" s="650"/>
      <c r="K103" s="208"/>
      <c r="L103" s="209" t="s">
        <v>257</v>
      </c>
      <c r="M103" s="210">
        <f ca="1">IF($D103&lt;&gt;"Serviço","",IF(AUTOEVENTO="manual",$A103,IF(ISERROR(MATCH($A103,$A$15:OFFSET($A103,-1,0),0)),MAX($M$15:OFFSET(M103,-1,0))+1,INDEX($M$15:OFFSET(M103,-1,0),MATCH($A103,$A$15:OFFSET($A103,-1,0),0)))))</f>
        <v>0</v>
      </c>
      <c r="N103" s="211" t="str">
        <f ca="1">IF($D103&lt;&gt;"Serviço","",IF(AUTOEVENTO="Manual",IF($A103=0,"&lt;-- defina o número do agrupador",OFFSET(EVENTOS!$D$14,$A103,0)),OFFSET($F$15,$A103,0)))</f>
        <v>&lt;-- defina o número do agrupador</v>
      </c>
      <c r="O103" s="212"/>
      <c r="Q103" s="212"/>
      <c r="R103" s="213"/>
      <c r="S103" s="213"/>
      <c r="T103" s="213"/>
      <c r="U103" s="213"/>
      <c r="V103" s="213"/>
      <c r="W103" s="213"/>
      <c r="X103" s="213"/>
      <c r="Y103" s="213"/>
      <c r="Z103" s="214"/>
      <c r="AA103" s="213"/>
      <c r="AB103" s="213"/>
      <c r="AC103" s="213"/>
      <c r="AD103" s="213"/>
      <c r="AE103" s="213"/>
      <c r="AF103" s="213"/>
      <c r="AG103" s="213"/>
      <c r="AH103" s="214"/>
      <c r="AJ103" s="631">
        <f ca="1">IF(AND($D103="Serviço",AJ$12&lt;&gt;0,$H103&gt;0,OR(AUTOEVENTO&lt;&gt;"manual",$M103&lt;&gt;1)),ROUND(OFFSET($P103,0,AJ$13),15-13*ORÇAMENTO!$AF$7)/$H103*OFFSET(ORÇAMENTO!$X$15,ROW(AJ103)-ROW(AJ$15),0),0)</f>
        <v>0</v>
      </c>
      <c r="AK103" s="632">
        <f ca="1">IF(AND($D103="Serviço",AK$12&lt;&gt;0,$H103&gt;0,OR(AUTOEVENTO&lt;&gt;"manual",$M103&lt;&gt;1)),ROUND(OFFSET($P103,0,AK$13),15-13*ORÇAMENTO!$AF$7)/$H103*OFFSET(ORÇAMENTO!$X$15,ROW(AK103)-ROW(AK$15),0),0)</f>
        <v>0</v>
      </c>
      <c r="AL103" s="632">
        <f ca="1">IF(AND($D103="Serviço",AL$12&lt;&gt;0,$H103&gt;0,OR(AUTOEVENTO&lt;&gt;"manual",$M103&lt;&gt;1)),ROUND(OFFSET($P103,0,AL$13),15-13*ORÇAMENTO!$AF$7)/$H103*OFFSET(ORÇAMENTO!$X$15,ROW(AL103)-ROW(AL$15),0),0)</f>
        <v>0</v>
      </c>
      <c r="AM103" s="632">
        <f ca="1">IF(AND($D103="Serviço",AM$12&lt;&gt;0,$H103&gt;0,OR(AUTOEVENTO&lt;&gt;"manual",$M103&lt;&gt;1)),ROUND(OFFSET($P103,0,AM$13),15-13*ORÇAMENTO!$AF$7)/$H103*OFFSET(ORÇAMENTO!$X$15,ROW(AM103)-ROW(AM$15),0),0)</f>
        <v>0</v>
      </c>
      <c r="AN103" s="632">
        <f ca="1">IF(AND($D103="Serviço",AN$12&lt;&gt;0,$H103&gt;0,OR(AUTOEVENTO&lt;&gt;"manual",$M103&lt;&gt;1)),ROUND(OFFSET($P103,0,AN$13),15-13*ORÇAMENTO!$AF$7)/$H103*OFFSET(ORÇAMENTO!$X$15,ROW(AN103)-ROW(AN$15),0),0)</f>
        <v>0</v>
      </c>
      <c r="AO103" s="632">
        <f ca="1">IF(AND($D103="Serviço",AO$12&lt;&gt;0,$H103&gt;0,OR(AUTOEVENTO&lt;&gt;"manual",$M103&lt;&gt;1)),ROUND(OFFSET($P103,0,AO$13),15-13*ORÇAMENTO!$AF$7)/$H103*OFFSET(ORÇAMENTO!$X$15,ROW(AO103)-ROW(AO$15),0),0)</f>
        <v>0</v>
      </c>
      <c r="AP103" s="632">
        <f ca="1">IF(AND($D103="Serviço",AP$12&lt;&gt;0,$H103&gt;0,OR(AUTOEVENTO&lt;&gt;"manual",$M103&lt;&gt;1)),ROUND(OFFSET($P103,0,AP$13),15-13*ORÇAMENTO!$AF$7)/$H103*OFFSET(ORÇAMENTO!$X$15,ROW(AP103)-ROW(AP$15),0),0)</f>
        <v>0</v>
      </c>
      <c r="AQ103" s="632">
        <f ca="1">IF(AND($D103="Serviço",AQ$12&lt;&gt;0,$H103&gt;0,OR(AUTOEVENTO&lt;&gt;"manual",$M103&lt;&gt;1)),ROUND(OFFSET($P103,0,AQ$13),15-13*ORÇAMENTO!$AF$7)/$H103*OFFSET(ORÇAMENTO!$X$15,ROW(AQ103)-ROW(AQ$15),0),0)</f>
        <v>0</v>
      </c>
      <c r="AR103" s="632">
        <f ca="1">IF(AND($D103="Serviço",AR$12&lt;&gt;0,$H103&gt;0,OR(AUTOEVENTO&lt;&gt;"manual",$M103&lt;&gt;1)),ROUND(OFFSET($P103,0,AR$13),15-13*ORÇAMENTO!$AF$7)/$H103*OFFSET(ORÇAMENTO!$X$15,ROW(AR103)-ROW(AR$15),0),0)</f>
        <v>0</v>
      </c>
      <c r="AS103" s="633">
        <f ca="1">IF(AND($D103="Serviço",AS$12&lt;&gt;0,$H103&gt;0,OR(AUTOEVENTO&lt;&gt;"manual",$M103&lt;&gt;1)),ROUND(OFFSET($P103,0,AS$13),15-13*ORÇAMENTO!$AF$7)/$H103*OFFSET(ORÇAMENTO!$X$15,ROW(AS103)-ROW(AS$15),0),0)</f>
        <v>0</v>
      </c>
      <c r="AT103" s="632">
        <f ca="1">IF(AND($D103="Serviço",AT$12&lt;&gt;0,$H103&gt;0,OR(AUTOEVENTO&lt;&gt;"manual",$M103&lt;&gt;1)),ROUND(OFFSET($P103,0,AT$13),15-13*ORÇAMENTO!$AF$7)/$H103*OFFSET(ORÇAMENTO!$X$15,ROW(AT103)-ROW(AT$15),0),0)</f>
        <v>0</v>
      </c>
      <c r="AU103" s="632">
        <f ca="1">IF(AND($D103="Serviço",AU$12&lt;&gt;0,$H103&gt;0,OR(AUTOEVENTO&lt;&gt;"manual",$M103&lt;&gt;1)),ROUND(OFFSET($P103,0,AU$13),15-13*ORÇAMENTO!$AF$7)/$H103*OFFSET(ORÇAMENTO!$X$15,ROW(AU103)-ROW(AU$15),0),0)</f>
        <v>0</v>
      </c>
      <c r="AV103" s="632">
        <f ca="1">IF(AND($D103="Serviço",AV$12&lt;&gt;0,$H103&gt;0,OR(AUTOEVENTO&lt;&gt;"manual",$M103&lt;&gt;1)),ROUND(OFFSET($P103,0,AV$13),15-13*ORÇAMENTO!$AF$7)/$H103*OFFSET(ORÇAMENTO!$X$15,ROW(AV103)-ROW(AV$15),0),0)</f>
        <v>0</v>
      </c>
      <c r="AW103" s="632">
        <f ca="1">IF(AND($D103="Serviço",AW$12&lt;&gt;0,$H103&gt;0,OR(AUTOEVENTO&lt;&gt;"manual",$M103&lt;&gt;1)),ROUND(OFFSET($P103,0,AW$13),15-13*ORÇAMENTO!$AF$7)/$H103*OFFSET(ORÇAMENTO!$X$15,ROW(AW103)-ROW(AW$15),0),0)</f>
        <v>0</v>
      </c>
      <c r="AX103" s="632">
        <f ca="1">IF(AND($D103="Serviço",AX$12&lt;&gt;0,$H103&gt;0,OR(AUTOEVENTO&lt;&gt;"manual",$M103&lt;&gt;1)),ROUND(OFFSET($P103,0,AX$13),15-13*ORÇAMENTO!$AF$7)/$H103*OFFSET(ORÇAMENTO!$X$15,ROW(AX103)-ROW(AX$15),0),0)</f>
        <v>0</v>
      </c>
      <c r="AY103" s="632">
        <f ca="1">IF(AND($D103="Serviço",AY$12&lt;&gt;0,$H103&gt;0,OR(AUTOEVENTO&lt;&gt;"manual",$M103&lt;&gt;1)),ROUND(OFFSET($P103,0,AY$13),15-13*ORÇAMENTO!$AF$7)/$H103*OFFSET(ORÇAMENTO!$X$15,ROW(AY103)-ROW(AY$15),0),0)</f>
        <v>0</v>
      </c>
      <c r="AZ103" s="632">
        <f ca="1">IF(AND($D103="Serviço",AZ$12&lt;&gt;0,$H103&gt;0,OR(AUTOEVENTO&lt;&gt;"manual",$M103&lt;&gt;1)),ROUND(OFFSET($P103,0,AZ$13),15-13*ORÇAMENTO!$AF$7)/$H103*OFFSET(ORÇAMENTO!$X$15,ROW(AZ103)-ROW(AZ$15),0),0)</f>
        <v>0</v>
      </c>
      <c r="BA103" s="633">
        <f ca="1">IF(AND($D103="Serviço",BA$12&lt;&gt;0,$H103&gt;0,OR(AUTOEVENTO&lt;&gt;"manual",$M103&lt;&gt;1)),ROUND(OFFSET($P103,0,BA$13),15-13*ORÇAMENTO!$AF$7)/$H103*OFFSET(ORÇAMENTO!$X$15,ROW(BA103)-ROW(BA$15),0),0)</f>
        <v>0</v>
      </c>
      <c r="BC103" s="215">
        <f ca="1">IF($D103&lt;&gt;"Serviço",0,IF(AND(AUTOEVENTO="Manual",$M103=1),0,IF(OFFSET(CRONOPLE!$F$14,$M103,BC$13)="",10^12,OFFSET(CRONOPLE!$F$14,$M103,BC$13))))</f>
        <v>1000000000000</v>
      </c>
      <c r="BD103" s="215">
        <f ca="1">IF($D103&lt;&gt;"Serviço",0,IF(AND(AUTOEVENTO="Manual",$M103=1),0,IF(OFFSET(CRONOPLE!$F$14,$M103,BD$13)="",10^12,OFFSET(CRONOPLE!$F$14,$M103,BD$13))))</f>
        <v>1000000000000</v>
      </c>
      <c r="BE103" s="215">
        <f ca="1">IF($D103&lt;&gt;"Serviço",0,IF(AND(AUTOEVENTO="Manual",$M103=1),0,IF(OFFSET(CRONOPLE!$F$14,$M103,BE$13)="",10^12,OFFSET(CRONOPLE!$F$14,$M103,BE$13))))</f>
        <v>1000000000000</v>
      </c>
      <c r="BF103" s="215">
        <f ca="1">IF($D103&lt;&gt;"Serviço",0,IF(AND(AUTOEVENTO="Manual",$M103=1),0,IF(OFFSET(CRONOPLE!$F$14,$M103,BF$13)="",10^12,OFFSET(CRONOPLE!$F$14,$M103,BF$13))))</f>
        <v>1000000000000</v>
      </c>
      <c r="BG103" s="215">
        <f ca="1">IF($D103&lt;&gt;"Serviço",0,IF(AND(AUTOEVENTO="Manual",$M103=1),0,IF(OFFSET(CRONOPLE!$F$14,$M103,BG$13)="",10^12,OFFSET(CRONOPLE!$F$14,$M103,BG$13))))</f>
        <v>1000000000000</v>
      </c>
      <c r="BH103" s="215">
        <f ca="1">IF($D103&lt;&gt;"Serviço",0,IF(AND(AUTOEVENTO="Manual",$M103=1),0,IF(OFFSET(CRONOPLE!$F$14,$M103,BH$13)="",10^12,OFFSET(CRONOPLE!$F$14,$M103,BH$13))))</f>
        <v>1000000000000</v>
      </c>
      <c r="BI103" s="215">
        <f ca="1">IF($D103&lt;&gt;"Serviço",0,IF(AND(AUTOEVENTO="Manual",$M103=1),0,IF(OFFSET(CRONOPLE!$F$14,$M103,BI$13)="",10^12,OFFSET(CRONOPLE!$F$14,$M103,BI$13))))</f>
        <v>1000000000000</v>
      </c>
      <c r="BJ103" s="215">
        <f ca="1">IF($D103&lt;&gt;"Serviço",0,IF(AND(AUTOEVENTO="Manual",$M103=1),0,IF(OFFSET(CRONOPLE!$F$14,$M103,BJ$13)="",10^12,OFFSET(CRONOPLE!$F$14,$M103,BJ$13))))</f>
        <v>1000000000000</v>
      </c>
      <c r="BK103" s="215">
        <f ca="1">IF($D103&lt;&gt;"Serviço",0,IF(AND(AUTOEVENTO="Manual",$M103=1),0,IF(OFFSET(CRONOPLE!$F$14,$M103,BK$13)="",10^12,OFFSET(CRONOPLE!$F$14,$M103,BK$13))))</f>
        <v>1000000000000</v>
      </c>
      <c r="BL103" s="215">
        <f ca="1">IF($D103&lt;&gt;"Serviço",0,IF(AND(AUTOEVENTO="Manual",$M103=1),0,IF(OFFSET(CRONOPLE!$F$14,$M103,BL$13)="",10^12,OFFSET(CRONOPLE!$F$14,$M103,BL$13))))</f>
        <v>1000000000000</v>
      </c>
      <c r="BM103" s="215">
        <f ca="1">IF($D103&lt;&gt;"Serviço",0,IF(AND(AUTOEVENTO="Manual",$M103=1),0,IF(OFFSET(CRONOPLE!$F$14,$M103,BM$13)="",10^12,OFFSET(CRONOPLE!$F$14,$M103,BM$13))))</f>
        <v>1000000000000</v>
      </c>
      <c r="BN103" s="215">
        <f ca="1">IF($D103&lt;&gt;"Serviço",0,IF(AND(AUTOEVENTO="Manual",$M103=1),0,IF(OFFSET(CRONOPLE!$F$14,$M103,BN$13)="",10^12,OFFSET(CRONOPLE!$F$14,$M103,BN$13))))</f>
        <v>1000000000000</v>
      </c>
      <c r="BO103" s="215">
        <f ca="1">IF($D103&lt;&gt;"Serviço",0,IF(AND(AUTOEVENTO="Manual",$M103=1),0,IF(OFFSET(CRONOPLE!$F$14,$M103,BO$13)="",10^12,OFFSET(CRONOPLE!$F$14,$M103,BO$13))))</f>
        <v>1000000000000</v>
      </c>
      <c r="BP103" s="215">
        <f ca="1">IF($D103&lt;&gt;"Serviço",0,IF(AND(AUTOEVENTO="Manual",$M103=1),0,IF(OFFSET(CRONOPLE!$F$14,$M103,BP$13)="",10^12,OFFSET(CRONOPLE!$F$14,$M103,BP$13))))</f>
        <v>1000000000000</v>
      </c>
      <c r="BQ103" s="215">
        <f ca="1">IF($D103&lt;&gt;"Serviço",0,IF(AND(AUTOEVENTO="Manual",$M103=1),0,IF(OFFSET(CRONOPLE!$F$14,$M103,BQ$13)="",10^12,OFFSET(CRONOPLE!$F$14,$M103,BQ$13))))</f>
        <v>1000000000000</v>
      </c>
      <c r="BR103" s="215">
        <f ca="1">IF($D103&lt;&gt;"Serviço",0,IF(AND(AUTOEVENTO="Manual",$M103=1),0,IF(OFFSET(CRONOPLE!$F$14,$M103,BR$13)="",10^12,OFFSET(CRONOPLE!$F$14,$M103,BR$13))))</f>
        <v>1000000000000</v>
      </c>
      <c r="BS103" s="215">
        <f ca="1">IF($D103&lt;&gt;"Serviço",0,IF(AND(AUTOEVENTO="Manual",$M103=1),0,IF(OFFSET(CRONOPLE!$F$14,$M103,BS$13)="",10^12,OFFSET(CRONOPLE!$F$14,$M103,BS$13))))</f>
        <v>1000000000000</v>
      </c>
      <c r="BT103" s="215">
        <f ca="1">IF($D103&lt;&gt;"Serviço",0,IF(AND(AUTOEVENTO="Manual",$M103=1),0,IF(OFFSET(CRONOPLE!$F$14,$M103,BT$13)="",10^12,OFFSET(CRONOPLE!$F$14,$M103,BT$13))))</f>
        <v>1000000000000</v>
      </c>
      <c r="BV103" s="216">
        <f ca="1">IF($D103&lt;&gt;"Serviço",0,IF(OR(AND(AUTOEVENTO="Manual",$M103=1),$M103&gt;(ROW(PLE.lastrow)-ROW(PLE.firstrow))),0,IF(OFFSET(PLE!$G$14,$M103,BV$13)="",10^12,OFFSET(PLE!$G$14,$M103,BV$13))))</f>
        <v>1000000000000</v>
      </c>
      <c r="BW103" s="216">
        <f ca="1">IF($D103&lt;&gt;"Serviço",0,IF(OR(AND(AUTOEVENTO="Manual",$M103=1),$M103&gt;(ROW(PLE.lastrow)-ROW(PLE.firstrow))),0,IF(OFFSET(PLE!$G$14,$M103,BW$13)="",10^12,OFFSET(PLE!$G$14,$M103,BW$13))))</f>
        <v>1000000000000</v>
      </c>
      <c r="BX103" s="216">
        <f ca="1">IF($D103&lt;&gt;"Serviço",0,IF(OR(AND(AUTOEVENTO="Manual",$M103=1),$M103&gt;(ROW(PLE.lastrow)-ROW(PLE.firstrow))),0,IF(OFFSET(PLE!$G$14,$M103,BX$13)="",10^12,OFFSET(PLE!$G$14,$M103,BX$13))))</f>
        <v>1000000000000</v>
      </c>
      <c r="BY103" s="216">
        <f ca="1">IF($D103&lt;&gt;"Serviço",0,IF(OR(AND(AUTOEVENTO="Manual",$M103=1),$M103&gt;(ROW(PLE.lastrow)-ROW(PLE.firstrow))),0,IF(OFFSET(PLE!$G$14,$M103,BY$13)="",10^12,OFFSET(PLE!$G$14,$M103,BY$13))))</f>
        <v>1000000000000</v>
      </c>
      <c r="BZ103" s="216">
        <f ca="1">IF($D103&lt;&gt;"Serviço",0,IF(OR(AND(AUTOEVENTO="Manual",$M103=1),$M103&gt;(ROW(PLE.lastrow)-ROW(PLE.firstrow))),0,IF(OFFSET(PLE!$G$14,$M103,BZ$13)="",10^12,OFFSET(PLE!$G$14,$M103,BZ$13))))</f>
        <v>1000000000000</v>
      </c>
      <c r="CA103" s="216">
        <f ca="1">IF($D103&lt;&gt;"Serviço",0,IF(OR(AND(AUTOEVENTO="Manual",$M103=1),$M103&gt;(ROW(PLE.lastrow)-ROW(PLE.firstrow))),0,IF(OFFSET(PLE!$G$14,$M103,CA$13)="",10^12,OFFSET(PLE!$G$14,$M103,CA$13))))</f>
        <v>1000000000000</v>
      </c>
      <c r="CB103" s="216">
        <f ca="1">IF($D103&lt;&gt;"Serviço",0,IF(OR(AND(AUTOEVENTO="Manual",$M103=1),$M103&gt;(ROW(PLE.lastrow)-ROW(PLE.firstrow))),0,IF(OFFSET(PLE!$G$14,$M103,CB$13)="",10^12,OFFSET(PLE!$G$14,$M103,CB$13))))</f>
        <v>1000000000000</v>
      </c>
      <c r="CC103" s="216">
        <f ca="1">IF($D103&lt;&gt;"Serviço",0,IF(OR(AND(AUTOEVENTO="Manual",$M103=1),$M103&gt;(ROW(PLE.lastrow)-ROW(PLE.firstrow))),0,IF(OFFSET(PLE!$G$14,$M103,CC$13)="",10^12,OFFSET(PLE!$G$14,$M103,CC$13))))</f>
        <v>1000000000000</v>
      </c>
      <c r="CD103" s="216">
        <f ca="1">IF($D103&lt;&gt;"Serviço",0,IF(OR(AND(AUTOEVENTO="Manual",$M103=1),$M103&gt;(ROW(PLE.lastrow)-ROW(PLE.firstrow))),0,IF(OFFSET(PLE!$G$14,$M103,CD$13)="",10^12,OFFSET(PLE!$G$14,$M103,CD$13))))</f>
        <v>1000000000000</v>
      </c>
      <c r="CE103" s="216">
        <f ca="1">IF($D103&lt;&gt;"Serviço",0,IF(OR(AND(AUTOEVENTO="Manual",$M103=1),$M103&gt;(ROW(PLE.lastrow)-ROW(PLE.firstrow))),0,IF(OFFSET(PLE!$G$14,$M103,CE$13)="",10^12,OFFSET(PLE!$G$14,$M103,CE$13))))</f>
        <v>1000000000000</v>
      </c>
      <c r="CF103" s="216">
        <f ca="1">IF($D103&lt;&gt;"Serviço",0,IF(OR(AND(AUTOEVENTO="Manual",$M103=1),$M103&gt;(ROW(PLE.lastrow)-ROW(PLE.firstrow))),0,IF(OFFSET(PLE!$G$14,$M103,CF$13)="",10^12,OFFSET(PLE!$G$14,$M103,CF$13))))</f>
        <v>1000000000000</v>
      </c>
      <c r="CG103" s="216">
        <f ca="1">IF($D103&lt;&gt;"Serviço",0,IF(OR(AND(AUTOEVENTO="Manual",$M103=1),$M103&gt;(ROW(PLE.lastrow)-ROW(PLE.firstrow))),0,IF(OFFSET(PLE!$G$14,$M103,CG$13)="",10^12,OFFSET(PLE!$G$14,$M103,CG$13))))</f>
        <v>1000000000000</v>
      </c>
      <c r="CH103" s="216">
        <f ca="1">IF($D103&lt;&gt;"Serviço",0,IF(OR(AND(AUTOEVENTO="Manual",$M103=1),$M103&gt;(ROW(PLE.lastrow)-ROW(PLE.firstrow))),0,IF(OFFSET(PLE!$G$14,$M103,CH$13)="",10^12,OFFSET(PLE!$G$14,$M103,CH$13))))</f>
        <v>1000000000000</v>
      </c>
      <c r="CI103" s="216">
        <f ca="1">IF($D103&lt;&gt;"Serviço",0,IF(OR(AND(AUTOEVENTO="Manual",$M103=1),$M103&gt;(ROW(PLE.lastrow)-ROW(PLE.firstrow))),0,IF(OFFSET(PLE!$G$14,$M103,CI$13)="",10^12,OFFSET(PLE!$G$14,$M103,CI$13))))</f>
        <v>1000000000000</v>
      </c>
      <c r="CJ103" s="216">
        <f ca="1">IF($D103&lt;&gt;"Serviço",0,IF(OR(AND(AUTOEVENTO="Manual",$M103=1),$M103&gt;(ROW(PLE.lastrow)-ROW(PLE.firstrow))),0,IF(OFFSET(PLE!$G$14,$M103,CJ$13)="",10^12,OFFSET(PLE!$G$14,$M103,CJ$13))))</f>
        <v>1000000000000</v>
      </c>
      <c r="CK103" s="216">
        <f ca="1">IF($D103&lt;&gt;"Serviço",0,IF(OR(AND(AUTOEVENTO="Manual",$M103=1),$M103&gt;(ROW(PLE.lastrow)-ROW(PLE.firstrow))),0,IF(OFFSET(PLE!$G$14,$M103,CK$13)="",10^12,OFFSET(PLE!$G$14,$M103,CK$13))))</f>
        <v>1000000000000</v>
      </c>
      <c r="CL103" s="216">
        <f ca="1">IF($D103&lt;&gt;"Serviço",0,IF(OR(AND(AUTOEVENTO="Manual",$M103=1),$M103&gt;(ROW(PLE.lastrow)-ROW(PLE.firstrow))),0,IF(OFFSET(PLE!$G$14,$M103,CL$13)="",10^12,OFFSET(PLE!$G$14,$M103,CL$13))))</f>
        <v>1000000000000</v>
      </c>
      <c r="CM103" s="216">
        <f ca="1">IF($D103&lt;&gt;"Serviço",0,IF(OR(AND(AUTOEVENTO="Manual",$M103=1),$M103&gt;(ROW(PLE.lastrow)-ROW(PLE.firstrow))),0,IF(OFFSET(PLE!$G$14,$M103,CM$13)="",10^12,OFFSET(PLE!$G$14,$M103,CM$13))))</f>
        <v>1000000000000</v>
      </c>
    </row>
    <row r="104" spans="1:91" ht="13.2" x14ac:dyDescent="0.25">
      <c r="A104" s="9">
        <f t="shared" ca="1" si="10"/>
        <v>0</v>
      </c>
      <c r="B104" s="9" t="str">
        <f ca="1">OFFSET(ORÇAMENTO!C$15,ROW(B104)-ROW(B$15),0)</f>
        <v>S</v>
      </c>
      <c r="C104" s="9" t="str">
        <f ca="1">OFFSET(ORÇAMENTO!L$15,ROW(C104)-ROW(C$15),0)</f>
        <v/>
      </c>
      <c r="D104" s="145" t="str">
        <f ca="1">OFFSET(ORÇAMENTO!N$15,ROW(D104)-ROW(D$15),0)</f>
        <v>Serviço</v>
      </c>
      <c r="E104" s="205" t="str">
        <f ca="1">OFFSET(ORÇAMENTO!O$15,ROW(E104)-ROW(E$15),0)</f>
        <v>-</v>
      </c>
      <c r="F104" s="206" t="str">
        <f ca="1">OFFSET(ORÇAMENTO!R$15,ROW(F104)-ROW(F$15),0)</f>
        <v>(abra o arquivo 'Referência 05-2024.xls)</v>
      </c>
      <c r="G104" s="207" t="str">
        <f ca="1">IF($D104&lt;&gt;"Serviço","",OFFSET(ORÇAMENTO!S$15,ROW(G104)-ROW(G$15),0))</f>
        <v>-</v>
      </c>
      <c r="H104" s="151">
        <f ca="1">IF($D104&lt;&gt;"Serviço",0,IF(ACOMPANHAMENTO="BM",ROUND(OFFSET(ORÇAMENTO!AJ$15,ROW(H104)-ROW(H$15),0),15-13*ORÇAMENTO!$AF$7),SUMPRODUCT(($Q$12:$AI$12&lt;&gt;"")*ROUND($Q104:$AI104,15-13*ORÇAMENTO!$AF$7))))</f>
        <v>536.77</v>
      </c>
      <c r="I104" s="650"/>
      <c r="K104" s="208"/>
      <c r="L104" s="209" t="s">
        <v>257</v>
      </c>
      <c r="M104" s="210">
        <f ca="1">IF($D104&lt;&gt;"Serviço","",IF(AUTOEVENTO="manual",$A104,IF(ISERROR(MATCH($A104,$A$15:OFFSET($A104,-1,0),0)),MAX($M$15:OFFSET(M104,-1,0))+1,INDEX($M$15:OFFSET(M104,-1,0),MATCH($A104,$A$15:OFFSET($A104,-1,0),0)))))</f>
        <v>0</v>
      </c>
      <c r="N104" s="211" t="str">
        <f ca="1">IF($D104&lt;&gt;"Serviço","",IF(AUTOEVENTO="Manual",IF($A104=0,"&lt;-- defina o número do agrupador",OFFSET(EVENTOS!$D$14,$A104,0)),OFFSET($F$15,$A104,0)))</f>
        <v>&lt;-- defina o número do agrupador</v>
      </c>
      <c r="O104" s="212"/>
      <c r="Q104" s="212"/>
      <c r="R104" s="213"/>
      <c r="S104" s="213"/>
      <c r="T104" s="213"/>
      <c r="U104" s="213"/>
      <c r="V104" s="213"/>
      <c r="W104" s="213"/>
      <c r="X104" s="213"/>
      <c r="Y104" s="213"/>
      <c r="Z104" s="214"/>
      <c r="AA104" s="213"/>
      <c r="AB104" s="213"/>
      <c r="AC104" s="213"/>
      <c r="AD104" s="213"/>
      <c r="AE104" s="213"/>
      <c r="AF104" s="213"/>
      <c r="AG104" s="213"/>
      <c r="AH104" s="214"/>
      <c r="AJ104" s="631">
        <f ca="1">IF(AND($D104="Serviço",AJ$12&lt;&gt;0,$H104&gt;0,OR(AUTOEVENTO&lt;&gt;"manual",$M104&lt;&gt;1)),ROUND(OFFSET($P104,0,AJ$13),15-13*ORÇAMENTO!$AF$7)/$H104*OFFSET(ORÇAMENTO!$X$15,ROW(AJ104)-ROW(AJ$15),0),0)</f>
        <v>0</v>
      </c>
      <c r="AK104" s="632">
        <f ca="1">IF(AND($D104="Serviço",AK$12&lt;&gt;0,$H104&gt;0,OR(AUTOEVENTO&lt;&gt;"manual",$M104&lt;&gt;1)),ROUND(OFFSET($P104,0,AK$13),15-13*ORÇAMENTO!$AF$7)/$H104*OFFSET(ORÇAMENTO!$X$15,ROW(AK104)-ROW(AK$15),0),0)</f>
        <v>0</v>
      </c>
      <c r="AL104" s="632">
        <f ca="1">IF(AND($D104="Serviço",AL$12&lt;&gt;0,$H104&gt;0,OR(AUTOEVENTO&lt;&gt;"manual",$M104&lt;&gt;1)),ROUND(OFFSET($P104,0,AL$13),15-13*ORÇAMENTO!$AF$7)/$H104*OFFSET(ORÇAMENTO!$X$15,ROW(AL104)-ROW(AL$15),0),0)</f>
        <v>0</v>
      </c>
      <c r="AM104" s="632">
        <f ca="1">IF(AND($D104="Serviço",AM$12&lt;&gt;0,$H104&gt;0,OR(AUTOEVENTO&lt;&gt;"manual",$M104&lt;&gt;1)),ROUND(OFFSET($P104,0,AM$13),15-13*ORÇAMENTO!$AF$7)/$H104*OFFSET(ORÇAMENTO!$X$15,ROW(AM104)-ROW(AM$15),0),0)</f>
        <v>0</v>
      </c>
      <c r="AN104" s="632">
        <f ca="1">IF(AND($D104="Serviço",AN$12&lt;&gt;0,$H104&gt;0,OR(AUTOEVENTO&lt;&gt;"manual",$M104&lt;&gt;1)),ROUND(OFFSET($P104,0,AN$13),15-13*ORÇAMENTO!$AF$7)/$H104*OFFSET(ORÇAMENTO!$X$15,ROW(AN104)-ROW(AN$15),0),0)</f>
        <v>0</v>
      </c>
      <c r="AO104" s="632">
        <f ca="1">IF(AND($D104="Serviço",AO$12&lt;&gt;0,$H104&gt;0,OR(AUTOEVENTO&lt;&gt;"manual",$M104&lt;&gt;1)),ROUND(OFFSET($P104,0,AO$13),15-13*ORÇAMENTO!$AF$7)/$H104*OFFSET(ORÇAMENTO!$X$15,ROW(AO104)-ROW(AO$15),0),0)</f>
        <v>0</v>
      </c>
      <c r="AP104" s="632">
        <f ca="1">IF(AND($D104="Serviço",AP$12&lt;&gt;0,$H104&gt;0,OR(AUTOEVENTO&lt;&gt;"manual",$M104&lt;&gt;1)),ROUND(OFFSET($P104,0,AP$13),15-13*ORÇAMENTO!$AF$7)/$H104*OFFSET(ORÇAMENTO!$X$15,ROW(AP104)-ROW(AP$15),0),0)</f>
        <v>0</v>
      </c>
      <c r="AQ104" s="632">
        <f ca="1">IF(AND($D104="Serviço",AQ$12&lt;&gt;0,$H104&gt;0,OR(AUTOEVENTO&lt;&gt;"manual",$M104&lt;&gt;1)),ROUND(OFFSET($P104,0,AQ$13),15-13*ORÇAMENTO!$AF$7)/$H104*OFFSET(ORÇAMENTO!$X$15,ROW(AQ104)-ROW(AQ$15),0),0)</f>
        <v>0</v>
      </c>
      <c r="AR104" s="632">
        <f ca="1">IF(AND($D104="Serviço",AR$12&lt;&gt;0,$H104&gt;0,OR(AUTOEVENTO&lt;&gt;"manual",$M104&lt;&gt;1)),ROUND(OFFSET($P104,0,AR$13),15-13*ORÇAMENTO!$AF$7)/$H104*OFFSET(ORÇAMENTO!$X$15,ROW(AR104)-ROW(AR$15),0),0)</f>
        <v>0</v>
      </c>
      <c r="AS104" s="633">
        <f ca="1">IF(AND($D104="Serviço",AS$12&lt;&gt;0,$H104&gt;0,OR(AUTOEVENTO&lt;&gt;"manual",$M104&lt;&gt;1)),ROUND(OFFSET($P104,0,AS$13),15-13*ORÇAMENTO!$AF$7)/$H104*OFFSET(ORÇAMENTO!$X$15,ROW(AS104)-ROW(AS$15),0),0)</f>
        <v>0</v>
      </c>
      <c r="AT104" s="632">
        <f ca="1">IF(AND($D104="Serviço",AT$12&lt;&gt;0,$H104&gt;0,OR(AUTOEVENTO&lt;&gt;"manual",$M104&lt;&gt;1)),ROUND(OFFSET($P104,0,AT$13),15-13*ORÇAMENTO!$AF$7)/$H104*OFFSET(ORÇAMENTO!$X$15,ROW(AT104)-ROW(AT$15),0),0)</f>
        <v>0</v>
      </c>
      <c r="AU104" s="632">
        <f ca="1">IF(AND($D104="Serviço",AU$12&lt;&gt;0,$H104&gt;0,OR(AUTOEVENTO&lt;&gt;"manual",$M104&lt;&gt;1)),ROUND(OFFSET($P104,0,AU$13),15-13*ORÇAMENTO!$AF$7)/$H104*OFFSET(ORÇAMENTO!$X$15,ROW(AU104)-ROW(AU$15),0),0)</f>
        <v>0</v>
      </c>
      <c r="AV104" s="632">
        <f ca="1">IF(AND($D104="Serviço",AV$12&lt;&gt;0,$H104&gt;0,OR(AUTOEVENTO&lt;&gt;"manual",$M104&lt;&gt;1)),ROUND(OFFSET($P104,0,AV$13),15-13*ORÇAMENTO!$AF$7)/$H104*OFFSET(ORÇAMENTO!$X$15,ROW(AV104)-ROW(AV$15),0),0)</f>
        <v>0</v>
      </c>
      <c r="AW104" s="632">
        <f ca="1">IF(AND($D104="Serviço",AW$12&lt;&gt;0,$H104&gt;0,OR(AUTOEVENTO&lt;&gt;"manual",$M104&lt;&gt;1)),ROUND(OFFSET($P104,0,AW$13),15-13*ORÇAMENTO!$AF$7)/$H104*OFFSET(ORÇAMENTO!$X$15,ROW(AW104)-ROW(AW$15),0),0)</f>
        <v>0</v>
      </c>
      <c r="AX104" s="632">
        <f ca="1">IF(AND($D104="Serviço",AX$12&lt;&gt;0,$H104&gt;0,OR(AUTOEVENTO&lt;&gt;"manual",$M104&lt;&gt;1)),ROUND(OFFSET($P104,0,AX$13),15-13*ORÇAMENTO!$AF$7)/$H104*OFFSET(ORÇAMENTO!$X$15,ROW(AX104)-ROW(AX$15),0),0)</f>
        <v>0</v>
      </c>
      <c r="AY104" s="632">
        <f ca="1">IF(AND($D104="Serviço",AY$12&lt;&gt;0,$H104&gt;0,OR(AUTOEVENTO&lt;&gt;"manual",$M104&lt;&gt;1)),ROUND(OFFSET($P104,0,AY$13),15-13*ORÇAMENTO!$AF$7)/$H104*OFFSET(ORÇAMENTO!$X$15,ROW(AY104)-ROW(AY$15),0),0)</f>
        <v>0</v>
      </c>
      <c r="AZ104" s="632">
        <f ca="1">IF(AND($D104="Serviço",AZ$12&lt;&gt;0,$H104&gt;0,OR(AUTOEVENTO&lt;&gt;"manual",$M104&lt;&gt;1)),ROUND(OFFSET($P104,0,AZ$13),15-13*ORÇAMENTO!$AF$7)/$H104*OFFSET(ORÇAMENTO!$X$15,ROW(AZ104)-ROW(AZ$15),0),0)</f>
        <v>0</v>
      </c>
      <c r="BA104" s="633">
        <f ca="1">IF(AND($D104="Serviço",BA$12&lt;&gt;0,$H104&gt;0,OR(AUTOEVENTO&lt;&gt;"manual",$M104&lt;&gt;1)),ROUND(OFFSET($P104,0,BA$13),15-13*ORÇAMENTO!$AF$7)/$H104*OFFSET(ORÇAMENTO!$X$15,ROW(BA104)-ROW(BA$15),0),0)</f>
        <v>0</v>
      </c>
      <c r="BC104" s="215">
        <f ca="1">IF($D104&lt;&gt;"Serviço",0,IF(AND(AUTOEVENTO="Manual",$M104=1),0,IF(OFFSET(CRONOPLE!$F$14,$M104,BC$13)="",10^12,OFFSET(CRONOPLE!$F$14,$M104,BC$13))))</f>
        <v>1000000000000</v>
      </c>
      <c r="BD104" s="215">
        <f ca="1">IF($D104&lt;&gt;"Serviço",0,IF(AND(AUTOEVENTO="Manual",$M104=1),0,IF(OFFSET(CRONOPLE!$F$14,$M104,BD$13)="",10^12,OFFSET(CRONOPLE!$F$14,$M104,BD$13))))</f>
        <v>1000000000000</v>
      </c>
      <c r="BE104" s="215">
        <f ca="1">IF($D104&lt;&gt;"Serviço",0,IF(AND(AUTOEVENTO="Manual",$M104=1),0,IF(OFFSET(CRONOPLE!$F$14,$M104,BE$13)="",10^12,OFFSET(CRONOPLE!$F$14,$M104,BE$13))))</f>
        <v>1000000000000</v>
      </c>
      <c r="BF104" s="215">
        <f ca="1">IF($D104&lt;&gt;"Serviço",0,IF(AND(AUTOEVENTO="Manual",$M104=1),0,IF(OFFSET(CRONOPLE!$F$14,$M104,BF$13)="",10^12,OFFSET(CRONOPLE!$F$14,$M104,BF$13))))</f>
        <v>1000000000000</v>
      </c>
      <c r="BG104" s="215">
        <f ca="1">IF($D104&lt;&gt;"Serviço",0,IF(AND(AUTOEVENTO="Manual",$M104=1),0,IF(OFFSET(CRONOPLE!$F$14,$M104,BG$13)="",10^12,OFFSET(CRONOPLE!$F$14,$M104,BG$13))))</f>
        <v>1000000000000</v>
      </c>
      <c r="BH104" s="215">
        <f ca="1">IF($D104&lt;&gt;"Serviço",0,IF(AND(AUTOEVENTO="Manual",$M104=1),0,IF(OFFSET(CRONOPLE!$F$14,$M104,BH$13)="",10^12,OFFSET(CRONOPLE!$F$14,$M104,BH$13))))</f>
        <v>1000000000000</v>
      </c>
      <c r="BI104" s="215">
        <f ca="1">IF($D104&lt;&gt;"Serviço",0,IF(AND(AUTOEVENTO="Manual",$M104=1),0,IF(OFFSET(CRONOPLE!$F$14,$M104,BI$13)="",10^12,OFFSET(CRONOPLE!$F$14,$M104,BI$13))))</f>
        <v>1000000000000</v>
      </c>
      <c r="BJ104" s="215">
        <f ca="1">IF($D104&lt;&gt;"Serviço",0,IF(AND(AUTOEVENTO="Manual",$M104=1),0,IF(OFFSET(CRONOPLE!$F$14,$M104,BJ$13)="",10^12,OFFSET(CRONOPLE!$F$14,$M104,BJ$13))))</f>
        <v>1000000000000</v>
      </c>
      <c r="BK104" s="215">
        <f ca="1">IF($D104&lt;&gt;"Serviço",0,IF(AND(AUTOEVENTO="Manual",$M104=1),0,IF(OFFSET(CRONOPLE!$F$14,$M104,BK$13)="",10^12,OFFSET(CRONOPLE!$F$14,$M104,BK$13))))</f>
        <v>1000000000000</v>
      </c>
      <c r="BL104" s="215">
        <f ca="1">IF($D104&lt;&gt;"Serviço",0,IF(AND(AUTOEVENTO="Manual",$M104=1),0,IF(OFFSET(CRONOPLE!$F$14,$M104,BL$13)="",10^12,OFFSET(CRONOPLE!$F$14,$M104,BL$13))))</f>
        <v>1000000000000</v>
      </c>
      <c r="BM104" s="215">
        <f ca="1">IF($D104&lt;&gt;"Serviço",0,IF(AND(AUTOEVENTO="Manual",$M104=1),0,IF(OFFSET(CRONOPLE!$F$14,$M104,BM$13)="",10^12,OFFSET(CRONOPLE!$F$14,$M104,BM$13))))</f>
        <v>1000000000000</v>
      </c>
      <c r="BN104" s="215">
        <f ca="1">IF($D104&lt;&gt;"Serviço",0,IF(AND(AUTOEVENTO="Manual",$M104=1),0,IF(OFFSET(CRONOPLE!$F$14,$M104,BN$13)="",10^12,OFFSET(CRONOPLE!$F$14,$M104,BN$13))))</f>
        <v>1000000000000</v>
      </c>
      <c r="BO104" s="215">
        <f ca="1">IF($D104&lt;&gt;"Serviço",0,IF(AND(AUTOEVENTO="Manual",$M104=1),0,IF(OFFSET(CRONOPLE!$F$14,$M104,BO$13)="",10^12,OFFSET(CRONOPLE!$F$14,$M104,BO$13))))</f>
        <v>1000000000000</v>
      </c>
      <c r="BP104" s="215">
        <f ca="1">IF($D104&lt;&gt;"Serviço",0,IF(AND(AUTOEVENTO="Manual",$M104=1),0,IF(OFFSET(CRONOPLE!$F$14,$M104,BP$13)="",10^12,OFFSET(CRONOPLE!$F$14,$M104,BP$13))))</f>
        <v>1000000000000</v>
      </c>
      <c r="BQ104" s="215">
        <f ca="1">IF($D104&lt;&gt;"Serviço",0,IF(AND(AUTOEVENTO="Manual",$M104=1),0,IF(OFFSET(CRONOPLE!$F$14,$M104,BQ$13)="",10^12,OFFSET(CRONOPLE!$F$14,$M104,BQ$13))))</f>
        <v>1000000000000</v>
      </c>
      <c r="BR104" s="215">
        <f ca="1">IF($D104&lt;&gt;"Serviço",0,IF(AND(AUTOEVENTO="Manual",$M104=1),0,IF(OFFSET(CRONOPLE!$F$14,$M104,BR$13)="",10^12,OFFSET(CRONOPLE!$F$14,$M104,BR$13))))</f>
        <v>1000000000000</v>
      </c>
      <c r="BS104" s="215">
        <f ca="1">IF($D104&lt;&gt;"Serviço",0,IF(AND(AUTOEVENTO="Manual",$M104=1),0,IF(OFFSET(CRONOPLE!$F$14,$M104,BS$13)="",10^12,OFFSET(CRONOPLE!$F$14,$M104,BS$13))))</f>
        <v>1000000000000</v>
      </c>
      <c r="BT104" s="215">
        <f ca="1">IF($D104&lt;&gt;"Serviço",0,IF(AND(AUTOEVENTO="Manual",$M104=1),0,IF(OFFSET(CRONOPLE!$F$14,$M104,BT$13)="",10^12,OFFSET(CRONOPLE!$F$14,$M104,BT$13))))</f>
        <v>1000000000000</v>
      </c>
      <c r="BV104" s="216">
        <f ca="1">IF($D104&lt;&gt;"Serviço",0,IF(OR(AND(AUTOEVENTO="Manual",$M104=1),$M104&gt;(ROW(PLE.lastrow)-ROW(PLE.firstrow))),0,IF(OFFSET(PLE!$G$14,$M104,BV$13)="",10^12,OFFSET(PLE!$G$14,$M104,BV$13))))</f>
        <v>1000000000000</v>
      </c>
      <c r="BW104" s="216">
        <f ca="1">IF($D104&lt;&gt;"Serviço",0,IF(OR(AND(AUTOEVENTO="Manual",$M104=1),$M104&gt;(ROW(PLE.lastrow)-ROW(PLE.firstrow))),0,IF(OFFSET(PLE!$G$14,$M104,BW$13)="",10^12,OFFSET(PLE!$G$14,$M104,BW$13))))</f>
        <v>1000000000000</v>
      </c>
      <c r="BX104" s="216">
        <f ca="1">IF($D104&lt;&gt;"Serviço",0,IF(OR(AND(AUTOEVENTO="Manual",$M104=1),$M104&gt;(ROW(PLE.lastrow)-ROW(PLE.firstrow))),0,IF(OFFSET(PLE!$G$14,$M104,BX$13)="",10^12,OFFSET(PLE!$G$14,$M104,BX$13))))</f>
        <v>1000000000000</v>
      </c>
      <c r="BY104" s="216">
        <f ca="1">IF($D104&lt;&gt;"Serviço",0,IF(OR(AND(AUTOEVENTO="Manual",$M104=1),$M104&gt;(ROW(PLE.lastrow)-ROW(PLE.firstrow))),0,IF(OFFSET(PLE!$G$14,$M104,BY$13)="",10^12,OFFSET(PLE!$G$14,$M104,BY$13))))</f>
        <v>1000000000000</v>
      </c>
      <c r="BZ104" s="216">
        <f ca="1">IF($D104&lt;&gt;"Serviço",0,IF(OR(AND(AUTOEVENTO="Manual",$M104=1),$M104&gt;(ROW(PLE.lastrow)-ROW(PLE.firstrow))),0,IF(OFFSET(PLE!$G$14,$M104,BZ$13)="",10^12,OFFSET(PLE!$G$14,$M104,BZ$13))))</f>
        <v>1000000000000</v>
      </c>
      <c r="CA104" s="216">
        <f ca="1">IF($D104&lt;&gt;"Serviço",0,IF(OR(AND(AUTOEVENTO="Manual",$M104=1),$M104&gt;(ROW(PLE.lastrow)-ROW(PLE.firstrow))),0,IF(OFFSET(PLE!$G$14,$M104,CA$13)="",10^12,OFFSET(PLE!$G$14,$M104,CA$13))))</f>
        <v>1000000000000</v>
      </c>
      <c r="CB104" s="216">
        <f ca="1">IF($D104&lt;&gt;"Serviço",0,IF(OR(AND(AUTOEVENTO="Manual",$M104=1),$M104&gt;(ROW(PLE.lastrow)-ROW(PLE.firstrow))),0,IF(OFFSET(PLE!$G$14,$M104,CB$13)="",10^12,OFFSET(PLE!$G$14,$M104,CB$13))))</f>
        <v>1000000000000</v>
      </c>
      <c r="CC104" s="216">
        <f ca="1">IF($D104&lt;&gt;"Serviço",0,IF(OR(AND(AUTOEVENTO="Manual",$M104=1),$M104&gt;(ROW(PLE.lastrow)-ROW(PLE.firstrow))),0,IF(OFFSET(PLE!$G$14,$M104,CC$13)="",10^12,OFFSET(PLE!$G$14,$M104,CC$13))))</f>
        <v>1000000000000</v>
      </c>
      <c r="CD104" s="216">
        <f ca="1">IF($D104&lt;&gt;"Serviço",0,IF(OR(AND(AUTOEVENTO="Manual",$M104=1),$M104&gt;(ROW(PLE.lastrow)-ROW(PLE.firstrow))),0,IF(OFFSET(PLE!$G$14,$M104,CD$13)="",10^12,OFFSET(PLE!$G$14,$M104,CD$13))))</f>
        <v>1000000000000</v>
      </c>
      <c r="CE104" s="216">
        <f ca="1">IF($D104&lt;&gt;"Serviço",0,IF(OR(AND(AUTOEVENTO="Manual",$M104=1),$M104&gt;(ROW(PLE.lastrow)-ROW(PLE.firstrow))),0,IF(OFFSET(PLE!$G$14,$M104,CE$13)="",10^12,OFFSET(PLE!$G$14,$M104,CE$13))))</f>
        <v>1000000000000</v>
      </c>
      <c r="CF104" s="216">
        <f ca="1">IF($D104&lt;&gt;"Serviço",0,IF(OR(AND(AUTOEVENTO="Manual",$M104=1),$M104&gt;(ROW(PLE.lastrow)-ROW(PLE.firstrow))),0,IF(OFFSET(PLE!$G$14,$M104,CF$13)="",10^12,OFFSET(PLE!$G$14,$M104,CF$13))))</f>
        <v>1000000000000</v>
      </c>
      <c r="CG104" s="216">
        <f ca="1">IF($D104&lt;&gt;"Serviço",0,IF(OR(AND(AUTOEVENTO="Manual",$M104=1),$M104&gt;(ROW(PLE.lastrow)-ROW(PLE.firstrow))),0,IF(OFFSET(PLE!$G$14,$M104,CG$13)="",10^12,OFFSET(PLE!$G$14,$M104,CG$13))))</f>
        <v>1000000000000</v>
      </c>
      <c r="CH104" s="216">
        <f ca="1">IF($D104&lt;&gt;"Serviço",0,IF(OR(AND(AUTOEVENTO="Manual",$M104=1),$M104&gt;(ROW(PLE.lastrow)-ROW(PLE.firstrow))),0,IF(OFFSET(PLE!$G$14,$M104,CH$13)="",10^12,OFFSET(PLE!$G$14,$M104,CH$13))))</f>
        <v>1000000000000</v>
      </c>
      <c r="CI104" s="216">
        <f ca="1">IF($D104&lt;&gt;"Serviço",0,IF(OR(AND(AUTOEVENTO="Manual",$M104=1),$M104&gt;(ROW(PLE.lastrow)-ROW(PLE.firstrow))),0,IF(OFFSET(PLE!$G$14,$M104,CI$13)="",10^12,OFFSET(PLE!$G$14,$M104,CI$13))))</f>
        <v>1000000000000</v>
      </c>
      <c r="CJ104" s="216">
        <f ca="1">IF($D104&lt;&gt;"Serviço",0,IF(OR(AND(AUTOEVENTO="Manual",$M104=1),$M104&gt;(ROW(PLE.lastrow)-ROW(PLE.firstrow))),0,IF(OFFSET(PLE!$G$14,$M104,CJ$13)="",10^12,OFFSET(PLE!$G$14,$M104,CJ$13))))</f>
        <v>1000000000000</v>
      </c>
      <c r="CK104" s="216">
        <f ca="1">IF($D104&lt;&gt;"Serviço",0,IF(OR(AND(AUTOEVENTO="Manual",$M104=1),$M104&gt;(ROW(PLE.lastrow)-ROW(PLE.firstrow))),0,IF(OFFSET(PLE!$G$14,$M104,CK$13)="",10^12,OFFSET(PLE!$G$14,$M104,CK$13))))</f>
        <v>1000000000000</v>
      </c>
      <c r="CL104" s="216">
        <f ca="1">IF($D104&lt;&gt;"Serviço",0,IF(OR(AND(AUTOEVENTO="Manual",$M104=1),$M104&gt;(ROW(PLE.lastrow)-ROW(PLE.firstrow))),0,IF(OFFSET(PLE!$G$14,$M104,CL$13)="",10^12,OFFSET(PLE!$G$14,$M104,CL$13))))</f>
        <v>1000000000000</v>
      </c>
      <c r="CM104" s="216">
        <f ca="1">IF($D104&lt;&gt;"Serviço",0,IF(OR(AND(AUTOEVENTO="Manual",$M104=1),$M104&gt;(ROW(PLE.lastrow)-ROW(PLE.firstrow))),0,IF(OFFSET(PLE!$G$14,$M104,CM$13)="",10^12,OFFSET(PLE!$G$14,$M104,CM$13))))</f>
        <v>1000000000000</v>
      </c>
    </row>
    <row r="105" spans="1:91" ht="13.2" x14ac:dyDescent="0.25">
      <c r="A105" s="9">
        <f t="shared" ca="1" si="10"/>
        <v>0</v>
      </c>
      <c r="B105" s="9" t="str">
        <f ca="1">OFFSET(ORÇAMENTO!C$15,ROW(B105)-ROW(B$15),0)</f>
        <v>S</v>
      </c>
      <c r="C105" s="9" t="str">
        <f ca="1">OFFSET(ORÇAMENTO!L$15,ROW(C105)-ROW(C$15),0)</f>
        <v/>
      </c>
      <c r="D105" s="145" t="str">
        <f ca="1">OFFSET(ORÇAMENTO!N$15,ROW(D105)-ROW(D$15),0)</f>
        <v>Serviço</v>
      </c>
      <c r="E105" s="205" t="str">
        <f ca="1">OFFSET(ORÇAMENTO!O$15,ROW(E105)-ROW(E$15),0)</f>
        <v>-</v>
      </c>
      <c r="F105" s="206" t="str">
        <f ca="1">OFFSET(ORÇAMENTO!R$15,ROW(F105)-ROW(F$15),0)</f>
        <v>(abra o arquivo 'Referência 05-2024.xls)</v>
      </c>
      <c r="G105" s="207" t="str">
        <f ca="1">IF($D105&lt;&gt;"Serviço","",OFFSET(ORÇAMENTO!S$15,ROW(G105)-ROW(G$15),0))</f>
        <v>-</v>
      </c>
      <c r="H105" s="151">
        <f ca="1">IF($D105&lt;&gt;"Serviço",0,IF(ACOMPANHAMENTO="BM",ROUND(OFFSET(ORÇAMENTO!AJ$15,ROW(H105)-ROW(H$15),0),15-13*ORÇAMENTO!$AF$7),SUMPRODUCT(($Q$12:$AI$12&lt;&gt;"")*ROUND($Q105:$AI105,15-13*ORÇAMENTO!$AF$7))))</f>
        <v>133.16</v>
      </c>
      <c r="I105" s="650"/>
      <c r="K105" s="208"/>
      <c r="L105" s="209" t="s">
        <v>257</v>
      </c>
      <c r="M105" s="210">
        <f ca="1">IF($D105&lt;&gt;"Serviço","",IF(AUTOEVENTO="manual",$A105,IF(ISERROR(MATCH($A105,$A$15:OFFSET($A105,-1,0),0)),MAX($M$15:OFFSET(M105,-1,0))+1,INDEX($M$15:OFFSET(M105,-1,0),MATCH($A105,$A$15:OFFSET($A105,-1,0),0)))))</f>
        <v>0</v>
      </c>
      <c r="N105" s="211" t="str">
        <f ca="1">IF($D105&lt;&gt;"Serviço","",IF(AUTOEVENTO="Manual",IF($A105=0,"&lt;-- defina o número do agrupador",OFFSET(EVENTOS!$D$14,$A105,0)),OFFSET($F$15,$A105,0)))</f>
        <v>&lt;-- defina o número do agrupador</v>
      </c>
      <c r="O105" s="212"/>
      <c r="Q105" s="212"/>
      <c r="R105" s="213"/>
      <c r="S105" s="213"/>
      <c r="T105" s="213"/>
      <c r="U105" s="213"/>
      <c r="V105" s="213"/>
      <c r="W105" s="213"/>
      <c r="X105" s="213"/>
      <c r="Y105" s="213"/>
      <c r="Z105" s="214"/>
      <c r="AA105" s="213"/>
      <c r="AB105" s="213"/>
      <c r="AC105" s="213"/>
      <c r="AD105" s="213"/>
      <c r="AE105" s="213"/>
      <c r="AF105" s="213"/>
      <c r="AG105" s="213"/>
      <c r="AH105" s="214"/>
      <c r="AJ105" s="631">
        <f ca="1">IF(AND($D105="Serviço",AJ$12&lt;&gt;0,$H105&gt;0,OR(AUTOEVENTO&lt;&gt;"manual",$M105&lt;&gt;1)),ROUND(OFFSET($P105,0,AJ$13),15-13*ORÇAMENTO!$AF$7)/$H105*OFFSET(ORÇAMENTO!$X$15,ROW(AJ105)-ROW(AJ$15),0),0)</f>
        <v>0</v>
      </c>
      <c r="AK105" s="632">
        <f ca="1">IF(AND($D105="Serviço",AK$12&lt;&gt;0,$H105&gt;0,OR(AUTOEVENTO&lt;&gt;"manual",$M105&lt;&gt;1)),ROUND(OFFSET($P105,0,AK$13),15-13*ORÇAMENTO!$AF$7)/$H105*OFFSET(ORÇAMENTO!$X$15,ROW(AK105)-ROW(AK$15),0),0)</f>
        <v>0</v>
      </c>
      <c r="AL105" s="632">
        <f ca="1">IF(AND($D105="Serviço",AL$12&lt;&gt;0,$H105&gt;0,OR(AUTOEVENTO&lt;&gt;"manual",$M105&lt;&gt;1)),ROUND(OFFSET($P105,0,AL$13),15-13*ORÇAMENTO!$AF$7)/$H105*OFFSET(ORÇAMENTO!$X$15,ROW(AL105)-ROW(AL$15),0),0)</f>
        <v>0</v>
      </c>
      <c r="AM105" s="632">
        <f ca="1">IF(AND($D105="Serviço",AM$12&lt;&gt;0,$H105&gt;0,OR(AUTOEVENTO&lt;&gt;"manual",$M105&lt;&gt;1)),ROUND(OFFSET($P105,0,AM$13),15-13*ORÇAMENTO!$AF$7)/$H105*OFFSET(ORÇAMENTO!$X$15,ROW(AM105)-ROW(AM$15),0),0)</f>
        <v>0</v>
      </c>
      <c r="AN105" s="632">
        <f ca="1">IF(AND($D105="Serviço",AN$12&lt;&gt;0,$H105&gt;0,OR(AUTOEVENTO&lt;&gt;"manual",$M105&lt;&gt;1)),ROUND(OFFSET($P105,0,AN$13),15-13*ORÇAMENTO!$AF$7)/$H105*OFFSET(ORÇAMENTO!$X$15,ROW(AN105)-ROW(AN$15),0),0)</f>
        <v>0</v>
      </c>
      <c r="AO105" s="632">
        <f ca="1">IF(AND($D105="Serviço",AO$12&lt;&gt;0,$H105&gt;0,OR(AUTOEVENTO&lt;&gt;"manual",$M105&lt;&gt;1)),ROUND(OFFSET($P105,0,AO$13),15-13*ORÇAMENTO!$AF$7)/$H105*OFFSET(ORÇAMENTO!$X$15,ROW(AO105)-ROW(AO$15),0),0)</f>
        <v>0</v>
      </c>
      <c r="AP105" s="632">
        <f ca="1">IF(AND($D105="Serviço",AP$12&lt;&gt;0,$H105&gt;0,OR(AUTOEVENTO&lt;&gt;"manual",$M105&lt;&gt;1)),ROUND(OFFSET($P105,0,AP$13),15-13*ORÇAMENTO!$AF$7)/$H105*OFFSET(ORÇAMENTO!$X$15,ROW(AP105)-ROW(AP$15),0),0)</f>
        <v>0</v>
      </c>
      <c r="AQ105" s="632">
        <f ca="1">IF(AND($D105="Serviço",AQ$12&lt;&gt;0,$H105&gt;0,OR(AUTOEVENTO&lt;&gt;"manual",$M105&lt;&gt;1)),ROUND(OFFSET($P105,0,AQ$13),15-13*ORÇAMENTO!$AF$7)/$H105*OFFSET(ORÇAMENTO!$X$15,ROW(AQ105)-ROW(AQ$15),0),0)</f>
        <v>0</v>
      </c>
      <c r="AR105" s="632">
        <f ca="1">IF(AND($D105="Serviço",AR$12&lt;&gt;0,$H105&gt;0,OR(AUTOEVENTO&lt;&gt;"manual",$M105&lt;&gt;1)),ROUND(OFFSET($P105,0,AR$13),15-13*ORÇAMENTO!$AF$7)/$H105*OFFSET(ORÇAMENTO!$X$15,ROW(AR105)-ROW(AR$15),0),0)</f>
        <v>0</v>
      </c>
      <c r="AS105" s="633">
        <f ca="1">IF(AND($D105="Serviço",AS$12&lt;&gt;0,$H105&gt;0,OR(AUTOEVENTO&lt;&gt;"manual",$M105&lt;&gt;1)),ROUND(OFFSET($P105,0,AS$13),15-13*ORÇAMENTO!$AF$7)/$H105*OFFSET(ORÇAMENTO!$X$15,ROW(AS105)-ROW(AS$15),0),0)</f>
        <v>0</v>
      </c>
      <c r="AT105" s="632">
        <f ca="1">IF(AND($D105="Serviço",AT$12&lt;&gt;0,$H105&gt;0,OR(AUTOEVENTO&lt;&gt;"manual",$M105&lt;&gt;1)),ROUND(OFFSET($P105,0,AT$13),15-13*ORÇAMENTO!$AF$7)/$H105*OFFSET(ORÇAMENTO!$X$15,ROW(AT105)-ROW(AT$15),0),0)</f>
        <v>0</v>
      </c>
      <c r="AU105" s="632">
        <f ca="1">IF(AND($D105="Serviço",AU$12&lt;&gt;0,$H105&gt;0,OR(AUTOEVENTO&lt;&gt;"manual",$M105&lt;&gt;1)),ROUND(OFFSET($P105,0,AU$13),15-13*ORÇAMENTO!$AF$7)/$H105*OFFSET(ORÇAMENTO!$X$15,ROW(AU105)-ROW(AU$15),0),0)</f>
        <v>0</v>
      </c>
      <c r="AV105" s="632">
        <f ca="1">IF(AND($D105="Serviço",AV$12&lt;&gt;0,$H105&gt;0,OR(AUTOEVENTO&lt;&gt;"manual",$M105&lt;&gt;1)),ROUND(OFFSET($P105,0,AV$13),15-13*ORÇAMENTO!$AF$7)/$H105*OFFSET(ORÇAMENTO!$X$15,ROW(AV105)-ROW(AV$15),0),0)</f>
        <v>0</v>
      </c>
      <c r="AW105" s="632">
        <f ca="1">IF(AND($D105="Serviço",AW$12&lt;&gt;0,$H105&gt;0,OR(AUTOEVENTO&lt;&gt;"manual",$M105&lt;&gt;1)),ROUND(OFFSET($P105,0,AW$13),15-13*ORÇAMENTO!$AF$7)/$H105*OFFSET(ORÇAMENTO!$X$15,ROW(AW105)-ROW(AW$15),0),0)</f>
        <v>0</v>
      </c>
      <c r="AX105" s="632">
        <f ca="1">IF(AND($D105="Serviço",AX$12&lt;&gt;0,$H105&gt;0,OR(AUTOEVENTO&lt;&gt;"manual",$M105&lt;&gt;1)),ROUND(OFFSET($P105,0,AX$13),15-13*ORÇAMENTO!$AF$7)/$H105*OFFSET(ORÇAMENTO!$X$15,ROW(AX105)-ROW(AX$15),0),0)</f>
        <v>0</v>
      </c>
      <c r="AY105" s="632">
        <f ca="1">IF(AND($D105="Serviço",AY$12&lt;&gt;0,$H105&gt;0,OR(AUTOEVENTO&lt;&gt;"manual",$M105&lt;&gt;1)),ROUND(OFFSET($P105,0,AY$13),15-13*ORÇAMENTO!$AF$7)/$H105*OFFSET(ORÇAMENTO!$X$15,ROW(AY105)-ROW(AY$15),0),0)</f>
        <v>0</v>
      </c>
      <c r="AZ105" s="632">
        <f ca="1">IF(AND($D105="Serviço",AZ$12&lt;&gt;0,$H105&gt;0,OR(AUTOEVENTO&lt;&gt;"manual",$M105&lt;&gt;1)),ROUND(OFFSET($P105,0,AZ$13),15-13*ORÇAMENTO!$AF$7)/$H105*OFFSET(ORÇAMENTO!$X$15,ROW(AZ105)-ROW(AZ$15),0),0)</f>
        <v>0</v>
      </c>
      <c r="BA105" s="633">
        <f ca="1">IF(AND($D105="Serviço",BA$12&lt;&gt;0,$H105&gt;0,OR(AUTOEVENTO&lt;&gt;"manual",$M105&lt;&gt;1)),ROUND(OFFSET($P105,0,BA$13),15-13*ORÇAMENTO!$AF$7)/$H105*OFFSET(ORÇAMENTO!$X$15,ROW(BA105)-ROW(BA$15),0),0)</f>
        <v>0</v>
      </c>
      <c r="BC105" s="215">
        <f ca="1">IF($D105&lt;&gt;"Serviço",0,IF(AND(AUTOEVENTO="Manual",$M105=1),0,IF(OFFSET(CRONOPLE!$F$14,$M105,BC$13)="",10^12,OFFSET(CRONOPLE!$F$14,$M105,BC$13))))</f>
        <v>1000000000000</v>
      </c>
      <c r="BD105" s="215">
        <f ca="1">IF($D105&lt;&gt;"Serviço",0,IF(AND(AUTOEVENTO="Manual",$M105=1),0,IF(OFFSET(CRONOPLE!$F$14,$M105,BD$13)="",10^12,OFFSET(CRONOPLE!$F$14,$M105,BD$13))))</f>
        <v>1000000000000</v>
      </c>
      <c r="BE105" s="215">
        <f ca="1">IF($D105&lt;&gt;"Serviço",0,IF(AND(AUTOEVENTO="Manual",$M105=1),0,IF(OFFSET(CRONOPLE!$F$14,$M105,BE$13)="",10^12,OFFSET(CRONOPLE!$F$14,$M105,BE$13))))</f>
        <v>1000000000000</v>
      </c>
      <c r="BF105" s="215">
        <f ca="1">IF($D105&lt;&gt;"Serviço",0,IF(AND(AUTOEVENTO="Manual",$M105=1),0,IF(OFFSET(CRONOPLE!$F$14,$M105,BF$13)="",10^12,OFFSET(CRONOPLE!$F$14,$M105,BF$13))))</f>
        <v>1000000000000</v>
      </c>
      <c r="BG105" s="215">
        <f ca="1">IF($D105&lt;&gt;"Serviço",0,IF(AND(AUTOEVENTO="Manual",$M105=1),0,IF(OFFSET(CRONOPLE!$F$14,$M105,BG$13)="",10^12,OFFSET(CRONOPLE!$F$14,$M105,BG$13))))</f>
        <v>1000000000000</v>
      </c>
      <c r="BH105" s="215">
        <f ca="1">IF($D105&lt;&gt;"Serviço",0,IF(AND(AUTOEVENTO="Manual",$M105=1),0,IF(OFFSET(CRONOPLE!$F$14,$M105,BH$13)="",10^12,OFFSET(CRONOPLE!$F$14,$M105,BH$13))))</f>
        <v>1000000000000</v>
      </c>
      <c r="BI105" s="215">
        <f ca="1">IF($D105&lt;&gt;"Serviço",0,IF(AND(AUTOEVENTO="Manual",$M105=1),0,IF(OFFSET(CRONOPLE!$F$14,$M105,BI$13)="",10^12,OFFSET(CRONOPLE!$F$14,$M105,BI$13))))</f>
        <v>1000000000000</v>
      </c>
      <c r="BJ105" s="215">
        <f ca="1">IF($D105&lt;&gt;"Serviço",0,IF(AND(AUTOEVENTO="Manual",$M105=1),0,IF(OFFSET(CRONOPLE!$F$14,$M105,BJ$13)="",10^12,OFFSET(CRONOPLE!$F$14,$M105,BJ$13))))</f>
        <v>1000000000000</v>
      </c>
      <c r="BK105" s="215">
        <f ca="1">IF($D105&lt;&gt;"Serviço",0,IF(AND(AUTOEVENTO="Manual",$M105=1),0,IF(OFFSET(CRONOPLE!$F$14,$M105,BK$13)="",10^12,OFFSET(CRONOPLE!$F$14,$M105,BK$13))))</f>
        <v>1000000000000</v>
      </c>
      <c r="BL105" s="215">
        <f ca="1">IF($D105&lt;&gt;"Serviço",0,IF(AND(AUTOEVENTO="Manual",$M105=1),0,IF(OFFSET(CRONOPLE!$F$14,$M105,BL$13)="",10^12,OFFSET(CRONOPLE!$F$14,$M105,BL$13))))</f>
        <v>1000000000000</v>
      </c>
      <c r="BM105" s="215">
        <f ca="1">IF($D105&lt;&gt;"Serviço",0,IF(AND(AUTOEVENTO="Manual",$M105=1),0,IF(OFFSET(CRONOPLE!$F$14,$M105,BM$13)="",10^12,OFFSET(CRONOPLE!$F$14,$M105,BM$13))))</f>
        <v>1000000000000</v>
      </c>
      <c r="BN105" s="215">
        <f ca="1">IF($D105&lt;&gt;"Serviço",0,IF(AND(AUTOEVENTO="Manual",$M105=1),0,IF(OFFSET(CRONOPLE!$F$14,$M105,BN$13)="",10^12,OFFSET(CRONOPLE!$F$14,$M105,BN$13))))</f>
        <v>1000000000000</v>
      </c>
      <c r="BO105" s="215">
        <f ca="1">IF($D105&lt;&gt;"Serviço",0,IF(AND(AUTOEVENTO="Manual",$M105=1),0,IF(OFFSET(CRONOPLE!$F$14,$M105,BO$13)="",10^12,OFFSET(CRONOPLE!$F$14,$M105,BO$13))))</f>
        <v>1000000000000</v>
      </c>
      <c r="BP105" s="215">
        <f ca="1">IF($D105&lt;&gt;"Serviço",0,IF(AND(AUTOEVENTO="Manual",$M105=1),0,IF(OFFSET(CRONOPLE!$F$14,$M105,BP$13)="",10^12,OFFSET(CRONOPLE!$F$14,$M105,BP$13))))</f>
        <v>1000000000000</v>
      </c>
      <c r="BQ105" s="215">
        <f ca="1">IF($D105&lt;&gt;"Serviço",0,IF(AND(AUTOEVENTO="Manual",$M105=1),0,IF(OFFSET(CRONOPLE!$F$14,$M105,BQ$13)="",10^12,OFFSET(CRONOPLE!$F$14,$M105,BQ$13))))</f>
        <v>1000000000000</v>
      </c>
      <c r="BR105" s="215">
        <f ca="1">IF($D105&lt;&gt;"Serviço",0,IF(AND(AUTOEVENTO="Manual",$M105=1),0,IF(OFFSET(CRONOPLE!$F$14,$M105,BR$13)="",10^12,OFFSET(CRONOPLE!$F$14,$M105,BR$13))))</f>
        <v>1000000000000</v>
      </c>
      <c r="BS105" s="215">
        <f ca="1">IF($D105&lt;&gt;"Serviço",0,IF(AND(AUTOEVENTO="Manual",$M105=1),0,IF(OFFSET(CRONOPLE!$F$14,$M105,BS$13)="",10^12,OFFSET(CRONOPLE!$F$14,$M105,BS$13))))</f>
        <v>1000000000000</v>
      </c>
      <c r="BT105" s="215">
        <f ca="1">IF($D105&lt;&gt;"Serviço",0,IF(AND(AUTOEVENTO="Manual",$M105=1),0,IF(OFFSET(CRONOPLE!$F$14,$M105,BT$13)="",10^12,OFFSET(CRONOPLE!$F$14,$M105,BT$13))))</f>
        <v>1000000000000</v>
      </c>
      <c r="BV105" s="216">
        <f ca="1">IF($D105&lt;&gt;"Serviço",0,IF(OR(AND(AUTOEVENTO="Manual",$M105=1),$M105&gt;(ROW(PLE.lastrow)-ROW(PLE.firstrow))),0,IF(OFFSET(PLE!$G$14,$M105,BV$13)="",10^12,OFFSET(PLE!$G$14,$M105,BV$13))))</f>
        <v>1000000000000</v>
      </c>
      <c r="BW105" s="216">
        <f ca="1">IF($D105&lt;&gt;"Serviço",0,IF(OR(AND(AUTOEVENTO="Manual",$M105=1),$M105&gt;(ROW(PLE.lastrow)-ROW(PLE.firstrow))),0,IF(OFFSET(PLE!$G$14,$M105,BW$13)="",10^12,OFFSET(PLE!$G$14,$M105,BW$13))))</f>
        <v>1000000000000</v>
      </c>
      <c r="BX105" s="216">
        <f ca="1">IF($D105&lt;&gt;"Serviço",0,IF(OR(AND(AUTOEVENTO="Manual",$M105=1),$M105&gt;(ROW(PLE.lastrow)-ROW(PLE.firstrow))),0,IF(OFFSET(PLE!$G$14,$M105,BX$13)="",10^12,OFFSET(PLE!$G$14,$M105,BX$13))))</f>
        <v>1000000000000</v>
      </c>
      <c r="BY105" s="216">
        <f ca="1">IF($D105&lt;&gt;"Serviço",0,IF(OR(AND(AUTOEVENTO="Manual",$M105=1),$M105&gt;(ROW(PLE.lastrow)-ROW(PLE.firstrow))),0,IF(OFFSET(PLE!$G$14,$M105,BY$13)="",10^12,OFFSET(PLE!$G$14,$M105,BY$13))))</f>
        <v>1000000000000</v>
      </c>
      <c r="BZ105" s="216">
        <f ca="1">IF($D105&lt;&gt;"Serviço",0,IF(OR(AND(AUTOEVENTO="Manual",$M105=1),$M105&gt;(ROW(PLE.lastrow)-ROW(PLE.firstrow))),0,IF(OFFSET(PLE!$G$14,$M105,BZ$13)="",10^12,OFFSET(PLE!$G$14,$M105,BZ$13))))</f>
        <v>1000000000000</v>
      </c>
      <c r="CA105" s="216">
        <f ca="1">IF($D105&lt;&gt;"Serviço",0,IF(OR(AND(AUTOEVENTO="Manual",$M105=1),$M105&gt;(ROW(PLE.lastrow)-ROW(PLE.firstrow))),0,IF(OFFSET(PLE!$G$14,$M105,CA$13)="",10^12,OFFSET(PLE!$G$14,$M105,CA$13))))</f>
        <v>1000000000000</v>
      </c>
      <c r="CB105" s="216">
        <f ca="1">IF($D105&lt;&gt;"Serviço",0,IF(OR(AND(AUTOEVENTO="Manual",$M105=1),$M105&gt;(ROW(PLE.lastrow)-ROW(PLE.firstrow))),0,IF(OFFSET(PLE!$G$14,$M105,CB$13)="",10^12,OFFSET(PLE!$G$14,$M105,CB$13))))</f>
        <v>1000000000000</v>
      </c>
      <c r="CC105" s="216">
        <f ca="1">IF($D105&lt;&gt;"Serviço",0,IF(OR(AND(AUTOEVENTO="Manual",$M105=1),$M105&gt;(ROW(PLE.lastrow)-ROW(PLE.firstrow))),0,IF(OFFSET(PLE!$G$14,$M105,CC$13)="",10^12,OFFSET(PLE!$G$14,$M105,CC$13))))</f>
        <v>1000000000000</v>
      </c>
      <c r="CD105" s="216">
        <f ca="1">IF($D105&lt;&gt;"Serviço",0,IF(OR(AND(AUTOEVENTO="Manual",$M105=1),$M105&gt;(ROW(PLE.lastrow)-ROW(PLE.firstrow))),0,IF(OFFSET(PLE!$G$14,$M105,CD$13)="",10^12,OFFSET(PLE!$G$14,$M105,CD$13))))</f>
        <v>1000000000000</v>
      </c>
      <c r="CE105" s="216">
        <f ca="1">IF($D105&lt;&gt;"Serviço",0,IF(OR(AND(AUTOEVENTO="Manual",$M105=1),$M105&gt;(ROW(PLE.lastrow)-ROW(PLE.firstrow))),0,IF(OFFSET(PLE!$G$14,$M105,CE$13)="",10^12,OFFSET(PLE!$G$14,$M105,CE$13))))</f>
        <v>1000000000000</v>
      </c>
      <c r="CF105" s="216">
        <f ca="1">IF($D105&lt;&gt;"Serviço",0,IF(OR(AND(AUTOEVENTO="Manual",$M105=1),$M105&gt;(ROW(PLE.lastrow)-ROW(PLE.firstrow))),0,IF(OFFSET(PLE!$G$14,$M105,CF$13)="",10^12,OFFSET(PLE!$G$14,$M105,CF$13))))</f>
        <v>1000000000000</v>
      </c>
      <c r="CG105" s="216">
        <f ca="1">IF($D105&lt;&gt;"Serviço",0,IF(OR(AND(AUTOEVENTO="Manual",$M105=1),$M105&gt;(ROW(PLE.lastrow)-ROW(PLE.firstrow))),0,IF(OFFSET(PLE!$G$14,$M105,CG$13)="",10^12,OFFSET(PLE!$G$14,$M105,CG$13))))</f>
        <v>1000000000000</v>
      </c>
      <c r="CH105" s="216">
        <f ca="1">IF($D105&lt;&gt;"Serviço",0,IF(OR(AND(AUTOEVENTO="Manual",$M105=1),$M105&gt;(ROW(PLE.lastrow)-ROW(PLE.firstrow))),0,IF(OFFSET(PLE!$G$14,$M105,CH$13)="",10^12,OFFSET(PLE!$G$14,$M105,CH$13))))</f>
        <v>1000000000000</v>
      </c>
      <c r="CI105" s="216">
        <f ca="1">IF($D105&lt;&gt;"Serviço",0,IF(OR(AND(AUTOEVENTO="Manual",$M105=1),$M105&gt;(ROW(PLE.lastrow)-ROW(PLE.firstrow))),0,IF(OFFSET(PLE!$G$14,$M105,CI$13)="",10^12,OFFSET(PLE!$G$14,$M105,CI$13))))</f>
        <v>1000000000000</v>
      </c>
      <c r="CJ105" s="216">
        <f ca="1">IF($D105&lt;&gt;"Serviço",0,IF(OR(AND(AUTOEVENTO="Manual",$M105=1),$M105&gt;(ROW(PLE.lastrow)-ROW(PLE.firstrow))),0,IF(OFFSET(PLE!$G$14,$M105,CJ$13)="",10^12,OFFSET(PLE!$G$14,$M105,CJ$13))))</f>
        <v>1000000000000</v>
      </c>
      <c r="CK105" s="216">
        <f ca="1">IF($D105&lt;&gt;"Serviço",0,IF(OR(AND(AUTOEVENTO="Manual",$M105=1),$M105&gt;(ROW(PLE.lastrow)-ROW(PLE.firstrow))),0,IF(OFFSET(PLE!$G$14,$M105,CK$13)="",10^12,OFFSET(PLE!$G$14,$M105,CK$13))))</f>
        <v>1000000000000</v>
      </c>
      <c r="CL105" s="216">
        <f ca="1">IF($D105&lt;&gt;"Serviço",0,IF(OR(AND(AUTOEVENTO="Manual",$M105=1),$M105&gt;(ROW(PLE.lastrow)-ROW(PLE.firstrow))),0,IF(OFFSET(PLE!$G$14,$M105,CL$13)="",10^12,OFFSET(PLE!$G$14,$M105,CL$13))))</f>
        <v>1000000000000</v>
      </c>
      <c r="CM105" s="216">
        <f ca="1">IF($D105&lt;&gt;"Serviço",0,IF(OR(AND(AUTOEVENTO="Manual",$M105=1),$M105&gt;(ROW(PLE.lastrow)-ROW(PLE.firstrow))),0,IF(OFFSET(PLE!$G$14,$M105,CM$13)="",10^12,OFFSET(PLE!$G$14,$M105,CM$13))))</f>
        <v>1000000000000</v>
      </c>
    </row>
    <row r="106" spans="1:91" ht="13.2" x14ac:dyDescent="0.25">
      <c r="A106" s="9">
        <f t="shared" ca="1" si="10"/>
        <v>0</v>
      </c>
      <c r="B106" s="9" t="str">
        <f ca="1">OFFSET(ORÇAMENTO!C$15,ROW(B106)-ROW(B$15),0)</f>
        <v>S</v>
      </c>
      <c r="C106" s="9" t="str">
        <f ca="1">OFFSET(ORÇAMENTO!L$15,ROW(C106)-ROW(C$15),0)</f>
        <v/>
      </c>
      <c r="D106" s="145" t="str">
        <f ca="1">OFFSET(ORÇAMENTO!N$15,ROW(D106)-ROW(D$15),0)</f>
        <v>Serviço</v>
      </c>
      <c r="E106" s="205" t="str">
        <f ca="1">OFFSET(ORÇAMENTO!O$15,ROW(E106)-ROW(E$15),0)</f>
        <v>-</v>
      </c>
      <c r="F106" s="206" t="str">
        <f ca="1">OFFSET(ORÇAMENTO!R$15,ROW(F106)-ROW(F$15),0)</f>
        <v>(abra o arquivo 'Referência 05-2024.xls)</v>
      </c>
      <c r="G106" s="207" t="str">
        <f ca="1">IF($D106&lt;&gt;"Serviço","",OFFSET(ORÇAMENTO!S$15,ROW(G106)-ROW(G$15),0))</f>
        <v>-</v>
      </c>
      <c r="H106" s="151">
        <f ca="1">IF($D106&lt;&gt;"Serviço",0,IF(ACOMPANHAMENTO="BM",ROUND(OFFSET(ORÇAMENTO!AJ$15,ROW(H106)-ROW(H$15),0),15-13*ORÇAMENTO!$AF$7),SUMPRODUCT(($Q$12:$AI$12&lt;&gt;"")*ROUND($Q106:$AI106,15-13*ORÇAMENTO!$AF$7))))</f>
        <v>4.7</v>
      </c>
      <c r="I106" s="650"/>
      <c r="K106" s="208"/>
      <c r="L106" s="209" t="s">
        <v>257</v>
      </c>
      <c r="M106" s="210">
        <f ca="1">IF($D106&lt;&gt;"Serviço","",IF(AUTOEVENTO="manual",$A106,IF(ISERROR(MATCH($A106,$A$15:OFFSET($A106,-1,0),0)),MAX($M$15:OFFSET(M106,-1,0))+1,INDEX($M$15:OFFSET(M106,-1,0),MATCH($A106,$A$15:OFFSET($A106,-1,0),0)))))</f>
        <v>0</v>
      </c>
      <c r="N106" s="211" t="str">
        <f ca="1">IF($D106&lt;&gt;"Serviço","",IF(AUTOEVENTO="Manual",IF($A106=0,"&lt;-- defina o número do agrupador",OFFSET(EVENTOS!$D$14,$A106,0)),OFFSET($F$15,$A106,0)))</f>
        <v>&lt;-- defina o número do agrupador</v>
      </c>
      <c r="O106" s="212"/>
      <c r="Q106" s="212"/>
      <c r="R106" s="213"/>
      <c r="S106" s="213"/>
      <c r="T106" s="213"/>
      <c r="U106" s="213"/>
      <c r="V106" s="213"/>
      <c r="W106" s="213"/>
      <c r="X106" s="213"/>
      <c r="Y106" s="213"/>
      <c r="Z106" s="214"/>
      <c r="AA106" s="213"/>
      <c r="AB106" s="213"/>
      <c r="AC106" s="213"/>
      <c r="AD106" s="213"/>
      <c r="AE106" s="213"/>
      <c r="AF106" s="213"/>
      <c r="AG106" s="213"/>
      <c r="AH106" s="214"/>
      <c r="AJ106" s="631">
        <f ca="1">IF(AND($D106="Serviço",AJ$12&lt;&gt;0,$H106&gt;0,OR(AUTOEVENTO&lt;&gt;"manual",$M106&lt;&gt;1)),ROUND(OFFSET($P106,0,AJ$13),15-13*ORÇAMENTO!$AF$7)/$H106*OFFSET(ORÇAMENTO!$X$15,ROW(AJ106)-ROW(AJ$15),0),0)</f>
        <v>0</v>
      </c>
      <c r="AK106" s="632">
        <f ca="1">IF(AND($D106="Serviço",AK$12&lt;&gt;0,$H106&gt;0,OR(AUTOEVENTO&lt;&gt;"manual",$M106&lt;&gt;1)),ROUND(OFFSET($P106,0,AK$13),15-13*ORÇAMENTO!$AF$7)/$H106*OFFSET(ORÇAMENTO!$X$15,ROW(AK106)-ROW(AK$15),0),0)</f>
        <v>0</v>
      </c>
      <c r="AL106" s="632">
        <f ca="1">IF(AND($D106="Serviço",AL$12&lt;&gt;0,$H106&gt;0,OR(AUTOEVENTO&lt;&gt;"manual",$M106&lt;&gt;1)),ROUND(OFFSET($P106,0,AL$13),15-13*ORÇAMENTO!$AF$7)/$H106*OFFSET(ORÇAMENTO!$X$15,ROW(AL106)-ROW(AL$15),0),0)</f>
        <v>0</v>
      </c>
      <c r="AM106" s="632">
        <f ca="1">IF(AND($D106="Serviço",AM$12&lt;&gt;0,$H106&gt;0,OR(AUTOEVENTO&lt;&gt;"manual",$M106&lt;&gt;1)),ROUND(OFFSET($P106,0,AM$13),15-13*ORÇAMENTO!$AF$7)/$H106*OFFSET(ORÇAMENTO!$X$15,ROW(AM106)-ROW(AM$15),0),0)</f>
        <v>0</v>
      </c>
      <c r="AN106" s="632">
        <f ca="1">IF(AND($D106="Serviço",AN$12&lt;&gt;0,$H106&gt;0,OR(AUTOEVENTO&lt;&gt;"manual",$M106&lt;&gt;1)),ROUND(OFFSET($P106,0,AN$13),15-13*ORÇAMENTO!$AF$7)/$H106*OFFSET(ORÇAMENTO!$X$15,ROW(AN106)-ROW(AN$15),0),0)</f>
        <v>0</v>
      </c>
      <c r="AO106" s="632">
        <f ca="1">IF(AND($D106="Serviço",AO$12&lt;&gt;0,$H106&gt;0,OR(AUTOEVENTO&lt;&gt;"manual",$M106&lt;&gt;1)),ROUND(OFFSET($P106,0,AO$13),15-13*ORÇAMENTO!$AF$7)/$H106*OFFSET(ORÇAMENTO!$X$15,ROW(AO106)-ROW(AO$15),0),0)</f>
        <v>0</v>
      </c>
      <c r="AP106" s="632">
        <f ca="1">IF(AND($D106="Serviço",AP$12&lt;&gt;0,$H106&gt;0,OR(AUTOEVENTO&lt;&gt;"manual",$M106&lt;&gt;1)),ROUND(OFFSET($P106,0,AP$13),15-13*ORÇAMENTO!$AF$7)/$H106*OFFSET(ORÇAMENTO!$X$15,ROW(AP106)-ROW(AP$15),0),0)</f>
        <v>0</v>
      </c>
      <c r="AQ106" s="632">
        <f ca="1">IF(AND($D106="Serviço",AQ$12&lt;&gt;0,$H106&gt;0,OR(AUTOEVENTO&lt;&gt;"manual",$M106&lt;&gt;1)),ROUND(OFFSET($P106,0,AQ$13),15-13*ORÇAMENTO!$AF$7)/$H106*OFFSET(ORÇAMENTO!$X$15,ROW(AQ106)-ROW(AQ$15),0),0)</f>
        <v>0</v>
      </c>
      <c r="AR106" s="632">
        <f ca="1">IF(AND($D106="Serviço",AR$12&lt;&gt;0,$H106&gt;0,OR(AUTOEVENTO&lt;&gt;"manual",$M106&lt;&gt;1)),ROUND(OFFSET($P106,0,AR$13),15-13*ORÇAMENTO!$AF$7)/$H106*OFFSET(ORÇAMENTO!$X$15,ROW(AR106)-ROW(AR$15),0),0)</f>
        <v>0</v>
      </c>
      <c r="AS106" s="633">
        <f ca="1">IF(AND($D106="Serviço",AS$12&lt;&gt;0,$H106&gt;0,OR(AUTOEVENTO&lt;&gt;"manual",$M106&lt;&gt;1)),ROUND(OFFSET($P106,0,AS$13),15-13*ORÇAMENTO!$AF$7)/$H106*OFFSET(ORÇAMENTO!$X$15,ROW(AS106)-ROW(AS$15),0),0)</f>
        <v>0</v>
      </c>
      <c r="AT106" s="632">
        <f ca="1">IF(AND($D106="Serviço",AT$12&lt;&gt;0,$H106&gt;0,OR(AUTOEVENTO&lt;&gt;"manual",$M106&lt;&gt;1)),ROUND(OFFSET($P106,0,AT$13),15-13*ORÇAMENTO!$AF$7)/$H106*OFFSET(ORÇAMENTO!$X$15,ROW(AT106)-ROW(AT$15),0),0)</f>
        <v>0</v>
      </c>
      <c r="AU106" s="632">
        <f ca="1">IF(AND($D106="Serviço",AU$12&lt;&gt;0,$H106&gt;0,OR(AUTOEVENTO&lt;&gt;"manual",$M106&lt;&gt;1)),ROUND(OFFSET($P106,0,AU$13),15-13*ORÇAMENTO!$AF$7)/$H106*OFFSET(ORÇAMENTO!$X$15,ROW(AU106)-ROW(AU$15),0),0)</f>
        <v>0</v>
      </c>
      <c r="AV106" s="632">
        <f ca="1">IF(AND($D106="Serviço",AV$12&lt;&gt;0,$H106&gt;0,OR(AUTOEVENTO&lt;&gt;"manual",$M106&lt;&gt;1)),ROUND(OFFSET($P106,0,AV$13),15-13*ORÇAMENTO!$AF$7)/$H106*OFFSET(ORÇAMENTO!$X$15,ROW(AV106)-ROW(AV$15),0),0)</f>
        <v>0</v>
      </c>
      <c r="AW106" s="632">
        <f ca="1">IF(AND($D106="Serviço",AW$12&lt;&gt;0,$H106&gt;0,OR(AUTOEVENTO&lt;&gt;"manual",$M106&lt;&gt;1)),ROUND(OFFSET($P106,0,AW$13),15-13*ORÇAMENTO!$AF$7)/$H106*OFFSET(ORÇAMENTO!$X$15,ROW(AW106)-ROW(AW$15),0),0)</f>
        <v>0</v>
      </c>
      <c r="AX106" s="632">
        <f ca="1">IF(AND($D106="Serviço",AX$12&lt;&gt;0,$H106&gt;0,OR(AUTOEVENTO&lt;&gt;"manual",$M106&lt;&gt;1)),ROUND(OFFSET($P106,0,AX$13),15-13*ORÇAMENTO!$AF$7)/$H106*OFFSET(ORÇAMENTO!$X$15,ROW(AX106)-ROW(AX$15),0),0)</f>
        <v>0</v>
      </c>
      <c r="AY106" s="632">
        <f ca="1">IF(AND($D106="Serviço",AY$12&lt;&gt;0,$H106&gt;0,OR(AUTOEVENTO&lt;&gt;"manual",$M106&lt;&gt;1)),ROUND(OFFSET($P106,0,AY$13),15-13*ORÇAMENTO!$AF$7)/$H106*OFFSET(ORÇAMENTO!$X$15,ROW(AY106)-ROW(AY$15),0),0)</f>
        <v>0</v>
      </c>
      <c r="AZ106" s="632">
        <f ca="1">IF(AND($D106="Serviço",AZ$12&lt;&gt;0,$H106&gt;0,OR(AUTOEVENTO&lt;&gt;"manual",$M106&lt;&gt;1)),ROUND(OFFSET($P106,0,AZ$13),15-13*ORÇAMENTO!$AF$7)/$H106*OFFSET(ORÇAMENTO!$X$15,ROW(AZ106)-ROW(AZ$15),0),0)</f>
        <v>0</v>
      </c>
      <c r="BA106" s="633">
        <f ca="1">IF(AND($D106="Serviço",BA$12&lt;&gt;0,$H106&gt;0,OR(AUTOEVENTO&lt;&gt;"manual",$M106&lt;&gt;1)),ROUND(OFFSET($P106,0,BA$13),15-13*ORÇAMENTO!$AF$7)/$H106*OFFSET(ORÇAMENTO!$X$15,ROW(BA106)-ROW(BA$15),0),0)</f>
        <v>0</v>
      </c>
      <c r="BC106" s="215">
        <f ca="1">IF($D106&lt;&gt;"Serviço",0,IF(AND(AUTOEVENTO="Manual",$M106=1),0,IF(OFFSET(CRONOPLE!$F$14,$M106,BC$13)="",10^12,OFFSET(CRONOPLE!$F$14,$M106,BC$13))))</f>
        <v>1000000000000</v>
      </c>
      <c r="BD106" s="215">
        <f ca="1">IF($D106&lt;&gt;"Serviço",0,IF(AND(AUTOEVENTO="Manual",$M106=1),0,IF(OFFSET(CRONOPLE!$F$14,$M106,BD$13)="",10^12,OFFSET(CRONOPLE!$F$14,$M106,BD$13))))</f>
        <v>1000000000000</v>
      </c>
      <c r="BE106" s="215">
        <f ca="1">IF($D106&lt;&gt;"Serviço",0,IF(AND(AUTOEVENTO="Manual",$M106=1),0,IF(OFFSET(CRONOPLE!$F$14,$M106,BE$13)="",10^12,OFFSET(CRONOPLE!$F$14,$M106,BE$13))))</f>
        <v>1000000000000</v>
      </c>
      <c r="BF106" s="215">
        <f ca="1">IF($D106&lt;&gt;"Serviço",0,IF(AND(AUTOEVENTO="Manual",$M106=1),0,IF(OFFSET(CRONOPLE!$F$14,$M106,BF$13)="",10^12,OFFSET(CRONOPLE!$F$14,$M106,BF$13))))</f>
        <v>1000000000000</v>
      </c>
      <c r="BG106" s="215">
        <f ca="1">IF($D106&lt;&gt;"Serviço",0,IF(AND(AUTOEVENTO="Manual",$M106=1),0,IF(OFFSET(CRONOPLE!$F$14,$M106,BG$13)="",10^12,OFFSET(CRONOPLE!$F$14,$M106,BG$13))))</f>
        <v>1000000000000</v>
      </c>
      <c r="BH106" s="215">
        <f ca="1">IF($D106&lt;&gt;"Serviço",0,IF(AND(AUTOEVENTO="Manual",$M106=1),0,IF(OFFSET(CRONOPLE!$F$14,$M106,BH$13)="",10^12,OFFSET(CRONOPLE!$F$14,$M106,BH$13))))</f>
        <v>1000000000000</v>
      </c>
      <c r="BI106" s="215">
        <f ca="1">IF($D106&lt;&gt;"Serviço",0,IF(AND(AUTOEVENTO="Manual",$M106=1),0,IF(OFFSET(CRONOPLE!$F$14,$M106,BI$13)="",10^12,OFFSET(CRONOPLE!$F$14,$M106,BI$13))))</f>
        <v>1000000000000</v>
      </c>
      <c r="BJ106" s="215">
        <f ca="1">IF($D106&lt;&gt;"Serviço",0,IF(AND(AUTOEVENTO="Manual",$M106=1),0,IF(OFFSET(CRONOPLE!$F$14,$M106,BJ$13)="",10^12,OFFSET(CRONOPLE!$F$14,$M106,BJ$13))))</f>
        <v>1000000000000</v>
      </c>
      <c r="BK106" s="215">
        <f ca="1">IF($D106&lt;&gt;"Serviço",0,IF(AND(AUTOEVENTO="Manual",$M106=1),0,IF(OFFSET(CRONOPLE!$F$14,$M106,BK$13)="",10^12,OFFSET(CRONOPLE!$F$14,$M106,BK$13))))</f>
        <v>1000000000000</v>
      </c>
      <c r="BL106" s="215">
        <f ca="1">IF($D106&lt;&gt;"Serviço",0,IF(AND(AUTOEVENTO="Manual",$M106=1),0,IF(OFFSET(CRONOPLE!$F$14,$M106,BL$13)="",10^12,OFFSET(CRONOPLE!$F$14,$M106,BL$13))))</f>
        <v>1000000000000</v>
      </c>
      <c r="BM106" s="215">
        <f ca="1">IF($D106&lt;&gt;"Serviço",0,IF(AND(AUTOEVENTO="Manual",$M106=1),0,IF(OFFSET(CRONOPLE!$F$14,$M106,BM$13)="",10^12,OFFSET(CRONOPLE!$F$14,$M106,BM$13))))</f>
        <v>1000000000000</v>
      </c>
      <c r="BN106" s="215">
        <f ca="1">IF($D106&lt;&gt;"Serviço",0,IF(AND(AUTOEVENTO="Manual",$M106=1),0,IF(OFFSET(CRONOPLE!$F$14,$M106,BN$13)="",10^12,OFFSET(CRONOPLE!$F$14,$M106,BN$13))))</f>
        <v>1000000000000</v>
      </c>
      <c r="BO106" s="215">
        <f ca="1">IF($D106&lt;&gt;"Serviço",0,IF(AND(AUTOEVENTO="Manual",$M106=1),0,IF(OFFSET(CRONOPLE!$F$14,$M106,BO$13)="",10^12,OFFSET(CRONOPLE!$F$14,$M106,BO$13))))</f>
        <v>1000000000000</v>
      </c>
      <c r="BP106" s="215">
        <f ca="1">IF($D106&lt;&gt;"Serviço",0,IF(AND(AUTOEVENTO="Manual",$M106=1),0,IF(OFFSET(CRONOPLE!$F$14,$M106,BP$13)="",10^12,OFFSET(CRONOPLE!$F$14,$M106,BP$13))))</f>
        <v>1000000000000</v>
      </c>
      <c r="BQ106" s="215">
        <f ca="1">IF($D106&lt;&gt;"Serviço",0,IF(AND(AUTOEVENTO="Manual",$M106=1),0,IF(OFFSET(CRONOPLE!$F$14,$M106,BQ$13)="",10^12,OFFSET(CRONOPLE!$F$14,$M106,BQ$13))))</f>
        <v>1000000000000</v>
      </c>
      <c r="BR106" s="215">
        <f ca="1">IF($D106&lt;&gt;"Serviço",0,IF(AND(AUTOEVENTO="Manual",$M106=1),0,IF(OFFSET(CRONOPLE!$F$14,$M106,BR$13)="",10^12,OFFSET(CRONOPLE!$F$14,$M106,BR$13))))</f>
        <v>1000000000000</v>
      </c>
      <c r="BS106" s="215">
        <f ca="1">IF($D106&lt;&gt;"Serviço",0,IF(AND(AUTOEVENTO="Manual",$M106=1),0,IF(OFFSET(CRONOPLE!$F$14,$M106,BS$13)="",10^12,OFFSET(CRONOPLE!$F$14,$M106,BS$13))))</f>
        <v>1000000000000</v>
      </c>
      <c r="BT106" s="215">
        <f ca="1">IF($D106&lt;&gt;"Serviço",0,IF(AND(AUTOEVENTO="Manual",$M106=1),0,IF(OFFSET(CRONOPLE!$F$14,$M106,BT$13)="",10^12,OFFSET(CRONOPLE!$F$14,$M106,BT$13))))</f>
        <v>1000000000000</v>
      </c>
      <c r="BV106" s="216">
        <f ca="1">IF($D106&lt;&gt;"Serviço",0,IF(OR(AND(AUTOEVENTO="Manual",$M106=1),$M106&gt;(ROW(PLE.lastrow)-ROW(PLE.firstrow))),0,IF(OFFSET(PLE!$G$14,$M106,BV$13)="",10^12,OFFSET(PLE!$G$14,$M106,BV$13))))</f>
        <v>1000000000000</v>
      </c>
      <c r="BW106" s="216">
        <f ca="1">IF($D106&lt;&gt;"Serviço",0,IF(OR(AND(AUTOEVENTO="Manual",$M106=1),$M106&gt;(ROW(PLE.lastrow)-ROW(PLE.firstrow))),0,IF(OFFSET(PLE!$G$14,$M106,BW$13)="",10^12,OFFSET(PLE!$G$14,$M106,BW$13))))</f>
        <v>1000000000000</v>
      </c>
      <c r="BX106" s="216">
        <f ca="1">IF($D106&lt;&gt;"Serviço",0,IF(OR(AND(AUTOEVENTO="Manual",$M106=1),$M106&gt;(ROW(PLE.lastrow)-ROW(PLE.firstrow))),0,IF(OFFSET(PLE!$G$14,$M106,BX$13)="",10^12,OFFSET(PLE!$G$14,$M106,BX$13))))</f>
        <v>1000000000000</v>
      </c>
      <c r="BY106" s="216">
        <f ca="1">IF($D106&lt;&gt;"Serviço",0,IF(OR(AND(AUTOEVENTO="Manual",$M106=1),$M106&gt;(ROW(PLE.lastrow)-ROW(PLE.firstrow))),0,IF(OFFSET(PLE!$G$14,$M106,BY$13)="",10^12,OFFSET(PLE!$G$14,$M106,BY$13))))</f>
        <v>1000000000000</v>
      </c>
      <c r="BZ106" s="216">
        <f ca="1">IF($D106&lt;&gt;"Serviço",0,IF(OR(AND(AUTOEVENTO="Manual",$M106=1),$M106&gt;(ROW(PLE.lastrow)-ROW(PLE.firstrow))),0,IF(OFFSET(PLE!$G$14,$M106,BZ$13)="",10^12,OFFSET(PLE!$G$14,$M106,BZ$13))))</f>
        <v>1000000000000</v>
      </c>
      <c r="CA106" s="216">
        <f ca="1">IF($D106&lt;&gt;"Serviço",0,IF(OR(AND(AUTOEVENTO="Manual",$M106=1),$M106&gt;(ROW(PLE.lastrow)-ROW(PLE.firstrow))),0,IF(OFFSET(PLE!$G$14,$M106,CA$13)="",10^12,OFFSET(PLE!$G$14,$M106,CA$13))))</f>
        <v>1000000000000</v>
      </c>
      <c r="CB106" s="216">
        <f ca="1">IF($D106&lt;&gt;"Serviço",0,IF(OR(AND(AUTOEVENTO="Manual",$M106=1),$M106&gt;(ROW(PLE.lastrow)-ROW(PLE.firstrow))),0,IF(OFFSET(PLE!$G$14,$M106,CB$13)="",10^12,OFFSET(PLE!$G$14,$M106,CB$13))))</f>
        <v>1000000000000</v>
      </c>
      <c r="CC106" s="216">
        <f ca="1">IF($D106&lt;&gt;"Serviço",0,IF(OR(AND(AUTOEVENTO="Manual",$M106=1),$M106&gt;(ROW(PLE.lastrow)-ROW(PLE.firstrow))),0,IF(OFFSET(PLE!$G$14,$M106,CC$13)="",10^12,OFFSET(PLE!$G$14,$M106,CC$13))))</f>
        <v>1000000000000</v>
      </c>
      <c r="CD106" s="216">
        <f ca="1">IF($D106&lt;&gt;"Serviço",0,IF(OR(AND(AUTOEVENTO="Manual",$M106=1),$M106&gt;(ROW(PLE.lastrow)-ROW(PLE.firstrow))),0,IF(OFFSET(PLE!$G$14,$M106,CD$13)="",10^12,OFFSET(PLE!$G$14,$M106,CD$13))))</f>
        <v>1000000000000</v>
      </c>
      <c r="CE106" s="216">
        <f ca="1">IF($D106&lt;&gt;"Serviço",0,IF(OR(AND(AUTOEVENTO="Manual",$M106=1),$M106&gt;(ROW(PLE.lastrow)-ROW(PLE.firstrow))),0,IF(OFFSET(PLE!$G$14,$M106,CE$13)="",10^12,OFFSET(PLE!$G$14,$M106,CE$13))))</f>
        <v>1000000000000</v>
      </c>
      <c r="CF106" s="216">
        <f ca="1">IF($D106&lt;&gt;"Serviço",0,IF(OR(AND(AUTOEVENTO="Manual",$M106=1),$M106&gt;(ROW(PLE.lastrow)-ROW(PLE.firstrow))),0,IF(OFFSET(PLE!$G$14,$M106,CF$13)="",10^12,OFFSET(PLE!$G$14,$M106,CF$13))))</f>
        <v>1000000000000</v>
      </c>
      <c r="CG106" s="216">
        <f ca="1">IF($D106&lt;&gt;"Serviço",0,IF(OR(AND(AUTOEVENTO="Manual",$M106=1),$M106&gt;(ROW(PLE.lastrow)-ROW(PLE.firstrow))),0,IF(OFFSET(PLE!$G$14,$M106,CG$13)="",10^12,OFFSET(PLE!$G$14,$M106,CG$13))))</f>
        <v>1000000000000</v>
      </c>
      <c r="CH106" s="216">
        <f ca="1">IF($D106&lt;&gt;"Serviço",0,IF(OR(AND(AUTOEVENTO="Manual",$M106=1),$M106&gt;(ROW(PLE.lastrow)-ROW(PLE.firstrow))),0,IF(OFFSET(PLE!$G$14,$M106,CH$13)="",10^12,OFFSET(PLE!$G$14,$M106,CH$13))))</f>
        <v>1000000000000</v>
      </c>
      <c r="CI106" s="216">
        <f ca="1">IF($D106&lt;&gt;"Serviço",0,IF(OR(AND(AUTOEVENTO="Manual",$M106=1),$M106&gt;(ROW(PLE.lastrow)-ROW(PLE.firstrow))),0,IF(OFFSET(PLE!$G$14,$M106,CI$13)="",10^12,OFFSET(PLE!$G$14,$M106,CI$13))))</f>
        <v>1000000000000</v>
      </c>
      <c r="CJ106" s="216">
        <f ca="1">IF($D106&lt;&gt;"Serviço",0,IF(OR(AND(AUTOEVENTO="Manual",$M106=1),$M106&gt;(ROW(PLE.lastrow)-ROW(PLE.firstrow))),0,IF(OFFSET(PLE!$G$14,$M106,CJ$13)="",10^12,OFFSET(PLE!$G$14,$M106,CJ$13))))</f>
        <v>1000000000000</v>
      </c>
      <c r="CK106" s="216">
        <f ca="1">IF($D106&lt;&gt;"Serviço",0,IF(OR(AND(AUTOEVENTO="Manual",$M106=1),$M106&gt;(ROW(PLE.lastrow)-ROW(PLE.firstrow))),0,IF(OFFSET(PLE!$G$14,$M106,CK$13)="",10^12,OFFSET(PLE!$G$14,$M106,CK$13))))</f>
        <v>1000000000000</v>
      </c>
      <c r="CL106" s="216">
        <f ca="1">IF($D106&lt;&gt;"Serviço",0,IF(OR(AND(AUTOEVENTO="Manual",$M106=1),$M106&gt;(ROW(PLE.lastrow)-ROW(PLE.firstrow))),0,IF(OFFSET(PLE!$G$14,$M106,CL$13)="",10^12,OFFSET(PLE!$G$14,$M106,CL$13))))</f>
        <v>1000000000000</v>
      </c>
      <c r="CM106" s="216">
        <f ca="1">IF($D106&lt;&gt;"Serviço",0,IF(OR(AND(AUTOEVENTO="Manual",$M106=1),$M106&gt;(ROW(PLE.lastrow)-ROW(PLE.firstrow))),0,IF(OFFSET(PLE!$G$14,$M106,CM$13)="",10^12,OFFSET(PLE!$G$14,$M106,CM$13))))</f>
        <v>1000000000000</v>
      </c>
    </row>
    <row r="107" spans="1:91" ht="13.2" x14ac:dyDescent="0.25">
      <c r="A107" s="9">
        <f t="shared" ca="1" si="10"/>
        <v>0</v>
      </c>
      <c r="B107" s="9">
        <f ca="1">OFFSET(ORÇAMENTO!C$15,ROW(B107)-ROW(B$15),0)</f>
        <v>3</v>
      </c>
      <c r="C107" s="9" t="str">
        <f ca="1">OFFSET(ORÇAMENTO!L$15,ROW(C107)-ROW(C$15),0)</f>
        <v>F</v>
      </c>
      <c r="D107" s="145" t="str">
        <f ca="1">OFFSET(ORÇAMENTO!N$15,ROW(D107)-ROW(D$15),0)</f>
        <v>Nível 3</v>
      </c>
      <c r="E107" s="205" t="str">
        <f ca="1">OFFSET(ORÇAMENTO!O$15,ROW(E107)-ROW(E$15),0)</f>
        <v>1.4.3.</v>
      </c>
      <c r="F107" s="206" t="str">
        <f ca="1">OFFSET(ORÇAMENTO!R$15,ROW(F107)-ROW(F$15),0)</f>
        <v>CONCRETO ARMADO - PILARES E VIGAS- RESERVATÓRIO</v>
      </c>
      <c r="G107" s="207" t="str">
        <f ca="1">IF($D107&lt;&gt;"Serviço","",OFFSET(ORÇAMENTO!S$15,ROW(G107)-ROW(G$15),0))</f>
        <v/>
      </c>
      <c r="H107" s="151">
        <f ca="1">IF($D107&lt;&gt;"Serviço",0,IF(ACOMPANHAMENTO="BM",ROUND(OFFSET(ORÇAMENTO!AJ$15,ROW(H107)-ROW(H$15),0),15-13*ORÇAMENTO!$AF$7),SUMPRODUCT(($Q$12:$AI$12&lt;&gt;"")*ROUND($Q107:$AI107,15-13*ORÇAMENTO!$AF$7))))</f>
        <v>0</v>
      </c>
      <c r="I107" s="650"/>
      <c r="K107" s="208"/>
      <c r="L107" s="209" t="s">
        <v>257</v>
      </c>
      <c r="M107" s="210" t="str">
        <f ca="1">IF($D107&lt;&gt;"Serviço","",IF(AUTOEVENTO="manual",$A107,IF(ISERROR(MATCH($A107,$A$15:OFFSET($A107,-1,0),0)),MAX($M$15:OFFSET(M107,-1,0))+1,INDEX($M$15:OFFSET(M107,-1,0),MATCH($A107,$A$15:OFFSET($A107,-1,0),0)))))</f>
        <v/>
      </c>
      <c r="N107" s="211" t="str">
        <f ca="1">IF($D107&lt;&gt;"Serviço","",IF(AUTOEVENTO="Manual",IF($A107=0,"&lt;-- defina o número do agrupador",OFFSET(EVENTOS!$D$14,$A107,0)),OFFSET($F$15,$A107,0)))</f>
        <v/>
      </c>
      <c r="O107" s="212"/>
      <c r="Q107" s="212"/>
      <c r="R107" s="213"/>
      <c r="S107" s="213"/>
      <c r="T107" s="213"/>
      <c r="U107" s="213"/>
      <c r="V107" s="213"/>
      <c r="W107" s="213"/>
      <c r="X107" s="213"/>
      <c r="Y107" s="213"/>
      <c r="Z107" s="214"/>
      <c r="AA107" s="213"/>
      <c r="AB107" s="213"/>
      <c r="AC107" s="213"/>
      <c r="AD107" s="213"/>
      <c r="AE107" s="213"/>
      <c r="AF107" s="213"/>
      <c r="AG107" s="213"/>
      <c r="AH107" s="214"/>
      <c r="AJ107" s="631">
        <f ca="1">IF(AND($D107="Serviço",AJ$12&lt;&gt;0,$H107&gt;0,OR(AUTOEVENTO&lt;&gt;"manual",$M107&lt;&gt;1)),ROUND(OFFSET($P107,0,AJ$13),15-13*ORÇAMENTO!$AF$7)/$H107*OFFSET(ORÇAMENTO!$X$15,ROW(AJ107)-ROW(AJ$15),0),0)</f>
        <v>0</v>
      </c>
      <c r="AK107" s="632">
        <f ca="1">IF(AND($D107="Serviço",AK$12&lt;&gt;0,$H107&gt;0,OR(AUTOEVENTO&lt;&gt;"manual",$M107&lt;&gt;1)),ROUND(OFFSET($P107,0,AK$13),15-13*ORÇAMENTO!$AF$7)/$H107*OFFSET(ORÇAMENTO!$X$15,ROW(AK107)-ROW(AK$15),0),0)</f>
        <v>0</v>
      </c>
      <c r="AL107" s="632">
        <f ca="1">IF(AND($D107="Serviço",AL$12&lt;&gt;0,$H107&gt;0,OR(AUTOEVENTO&lt;&gt;"manual",$M107&lt;&gt;1)),ROUND(OFFSET($P107,0,AL$13),15-13*ORÇAMENTO!$AF$7)/$H107*OFFSET(ORÇAMENTO!$X$15,ROW(AL107)-ROW(AL$15),0),0)</f>
        <v>0</v>
      </c>
      <c r="AM107" s="632">
        <f ca="1">IF(AND($D107="Serviço",AM$12&lt;&gt;0,$H107&gt;0,OR(AUTOEVENTO&lt;&gt;"manual",$M107&lt;&gt;1)),ROUND(OFFSET($P107,0,AM$13),15-13*ORÇAMENTO!$AF$7)/$H107*OFFSET(ORÇAMENTO!$X$15,ROW(AM107)-ROW(AM$15),0),0)</f>
        <v>0</v>
      </c>
      <c r="AN107" s="632">
        <f ca="1">IF(AND($D107="Serviço",AN$12&lt;&gt;0,$H107&gt;0,OR(AUTOEVENTO&lt;&gt;"manual",$M107&lt;&gt;1)),ROUND(OFFSET($P107,0,AN$13),15-13*ORÇAMENTO!$AF$7)/$H107*OFFSET(ORÇAMENTO!$X$15,ROW(AN107)-ROW(AN$15),0),0)</f>
        <v>0</v>
      </c>
      <c r="AO107" s="632">
        <f ca="1">IF(AND($D107="Serviço",AO$12&lt;&gt;0,$H107&gt;0,OR(AUTOEVENTO&lt;&gt;"manual",$M107&lt;&gt;1)),ROUND(OFFSET($P107,0,AO$13),15-13*ORÇAMENTO!$AF$7)/$H107*OFFSET(ORÇAMENTO!$X$15,ROW(AO107)-ROW(AO$15),0),0)</f>
        <v>0</v>
      </c>
      <c r="AP107" s="632">
        <f ca="1">IF(AND($D107="Serviço",AP$12&lt;&gt;0,$H107&gt;0,OR(AUTOEVENTO&lt;&gt;"manual",$M107&lt;&gt;1)),ROUND(OFFSET($P107,0,AP$13),15-13*ORÇAMENTO!$AF$7)/$H107*OFFSET(ORÇAMENTO!$X$15,ROW(AP107)-ROW(AP$15),0),0)</f>
        <v>0</v>
      </c>
      <c r="AQ107" s="632">
        <f ca="1">IF(AND($D107="Serviço",AQ$12&lt;&gt;0,$H107&gt;0,OR(AUTOEVENTO&lt;&gt;"manual",$M107&lt;&gt;1)),ROUND(OFFSET($P107,0,AQ$13),15-13*ORÇAMENTO!$AF$7)/$H107*OFFSET(ORÇAMENTO!$X$15,ROW(AQ107)-ROW(AQ$15),0),0)</f>
        <v>0</v>
      </c>
      <c r="AR107" s="632">
        <f ca="1">IF(AND($D107="Serviço",AR$12&lt;&gt;0,$H107&gt;0,OR(AUTOEVENTO&lt;&gt;"manual",$M107&lt;&gt;1)),ROUND(OFFSET($P107,0,AR$13),15-13*ORÇAMENTO!$AF$7)/$H107*OFFSET(ORÇAMENTO!$X$15,ROW(AR107)-ROW(AR$15),0),0)</f>
        <v>0</v>
      </c>
      <c r="AS107" s="633">
        <f ca="1">IF(AND($D107="Serviço",AS$12&lt;&gt;0,$H107&gt;0,OR(AUTOEVENTO&lt;&gt;"manual",$M107&lt;&gt;1)),ROUND(OFFSET($P107,0,AS$13),15-13*ORÇAMENTO!$AF$7)/$H107*OFFSET(ORÇAMENTO!$X$15,ROW(AS107)-ROW(AS$15),0),0)</f>
        <v>0</v>
      </c>
      <c r="AT107" s="632">
        <f ca="1">IF(AND($D107="Serviço",AT$12&lt;&gt;0,$H107&gt;0,OR(AUTOEVENTO&lt;&gt;"manual",$M107&lt;&gt;1)),ROUND(OFFSET($P107,0,AT$13),15-13*ORÇAMENTO!$AF$7)/$H107*OFFSET(ORÇAMENTO!$X$15,ROW(AT107)-ROW(AT$15),0),0)</f>
        <v>0</v>
      </c>
      <c r="AU107" s="632">
        <f ca="1">IF(AND($D107="Serviço",AU$12&lt;&gt;0,$H107&gt;0,OR(AUTOEVENTO&lt;&gt;"manual",$M107&lt;&gt;1)),ROUND(OFFSET($P107,0,AU$13),15-13*ORÇAMENTO!$AF$7)/$H107*OFFSET(ORÇAMENTO!$X$15,ROW(AU107)-ROW(AU$15),0),0)</f>
        <v>0</v>
      </c>
      <c r="AV107" s="632">
        <f ca="1">IF(AND($D107="Serviço",AV$12&lt;&gt;0,$H107&gt;0,OR(AUTOEVENTO&lt;&gt;"manual",$M107&lt;&gt;1)),ROUND(OFFSET($P107,0,AV$13),15-13*ORÇAMENTO!$AF$7)/$H107*OFFSET(ORÇAMENTO!$X$15,ROW(AV107)-ROW(AV$15),0),0)</f>
        <v>0</v>
      </c>
      <c r="AW107" s="632">
        <f ca="1">IF(AND($D107="Serviço",AW$12&lt;&gt;0,$H107&gt;0,OR(AUTOEVENTO&lt;&gt;"manual",$M107&lt;&gt;1)),ROUND(OFFSET($P107,0,AW$13),15-13*ORÇAMENTO!$AF$7)/$H107*OFFSET(ORÇAMENTO!$X$15,ROW(AW107)-ROW(AW$15),0),0)</f>
        <v>0</v>
      </c>
      <c r="AX107" s="632">
        <f ca="1">IF(AND($D107="Serviço",AX$12&lt;&gt;0,$H107&gt;0,OR(AUTOEVENTO&lt;&gt;"manual",$M107&lt;&gt;1)),ROUND(OFFSET($P107,0,AX$13),15-13*ORÇAMENTO!$AF$7)/$H107*OFFSET(ORÇAMENTO!$X$15,ROW(AX107)-ROW(AX$15),0),0)</f>
        <v>0</v>
      </c>
      <c r="AY107" s="632">
        <f ca="1">IF(AND($D107="Serviço",AY$12&lt;&gt;0,$H107&gt;0,OR(AUTOEVENTO&lt;&gt;"manual",$M107&lt;&gt;1)),ROUND(OFFSET($P107,0,AY$13),15-13*ORÇAMENTO!$AF$7)/$H107*OFFSET(ORÇAMENTO!$X$15,ROW(AY107)-ROW(AY$15),0),0)</f>
        <v>0</v>
      </c>
      <c r="AZ107" s="632">
        <f ca="1">IF(AND($D107="Serviço",AZ$12&lt;&gt;0,$H107&gt;0,OR(AUTOEVENTO&lt;&gt;"manual",$M107&lt;&gt;1)),ROUND(OFFSET($P107,0,AZ$13),15-13*ORÇAMENTO!$AF$7)/$H107*OFFSET(ORÇAMENTO!$X$15,ROW(AZ107)-ROW(AZ$15),0),0)</f>
        <v>0</v>
      </c>
      <c r="BA107" s="633">
        <f ca="1">IF(AND($D107="Serviço",BA$12&lt;&gt;0,$H107&gt;0,OR(AUTOEVENTO&lt;&gt;"manual",$M107&lt;&gt;1)),ROUND(OFFSET($P107,0,BA$13),15-13*ORÇAMENTO!$AF$7)/$H107*OFFSET(ORÇAMENTO!$X$15,ROW(BA107)-ROW(BA$15),0),0)</f>
        <v>0</v>
      </c>
      <c r="BC107" s="215">
        <f ca="1">IF($D107&lt;&gt;"Serviço",0,IF(AND(AUTOEVENTO="Manual",$M107=1),0,IF(OFFSET(CRONOPLE!$F$14,$M107,BC$13)="",10^12,OFFSET(CRONOPLE!$F$14,$M107,BC$13))))</f>
        <v>0</v>
      </c>
      <c r="BD107" s="215">
        <f ca="1">IF($D107&lt;&gt;"Serviço",0,IF(AND(AUTOEVENTO="Manual",$M107=1),0,IF(OFFSET(CRONOPLE!$F$14,$M107,BD$13)="",10^12,OFFSET(CRONOPLE!$F$14,$M107,BD$13))))</f>
        <v>0</v>
      </c>
      <c r="BE107" s="215">
        <f ca="1">IF($D107&lt;&gt;"Serviço",0,IF(AND(AUTOEVENTO="Manual",$M107=1),0,IF(OFFSET(CRONOPLE!$F$14,$M107,BE$13)="",10^12,OFFSET(CRONOPLE!$F$14,$M107,BE$13))))</f>
        <v>0</v>
      </c>
      <c r="BF107" s="215">
        <f ca="1">IF($D107&lt;&gt;"Serviço",0,IF(AND(AUTOEVENTO="Manual",$M107=1),0,IF(OFFSET(CRONOPLE!$F$14,$M107,BF$13)="",10^12,OFFSET(CRONOPLE!$F$14,$M107,BF$13))))</f>
        <v>0</v>
      </c>
      <c r="BG107" s="215">
        <f ca="1">IF($D107&lt;&gt;"Serviço",0,IF(AND(AUTOEVENTO="Manual",$M107=1),0,IF(OFFSET(CRONOPLE!$F$14,$M107,BG$13)="",10^12,OFFSET(CRONOPLE!$F$14,$M107,BG$13))))</f>
        <v>0</v>
      </c>
      <c r="BH107" s="215">
        <f ca="1">IF($D107&lt;&gt;"Serviço",0,IF(AND(AUTOEVENTO="Manual",$M107=1),0,IF(OFFSET(CRONOPLE!$F$14,$M107,BH$13)="",10^12,OFFSET(CRONOPLE!$F$14,$M107,BH$13))))</f>
        <v>0</v>
      </c>
      <c r="BI107" s="215">
        <f ca="1">IF($D107&lt;&gt;"Serviço",0,IF(AND(AUTOEVENTO="Manual",$M107=1),0,IF(OFFSET(CRONOPLE!$F$14,$M107,BI$13)="",10^12,OFFSET(CRONOPLE!$F$14,$M107,BI$13))))</f>
        <v>0</v>
      </c>
      <c r="BJ107" s="215">
        <f ca="1">IF($D107&lt;&gt;"Serviço",0,IF(AND(AUTOEVENTO="Manual",$M107=1),0,IF(OFFSET(CRONOPLE!$F$14,$M107,BJ$13)="",10^12,OFFSET(CRONOPLE!$F$14,$M107,BJ$13))))</f>
        <v>0</v>
      </c>
      <c r="BK107" s="215">
        <f ca="1">IF($D107&lt;&gt;"Serviço",0,IF(AND(AUTOEVENTO="Manual",$M107=1),0,IF(OFFSET(CRONOPLE!$F$14,$M107,BK$13)="",10^12,OFFSET(CRONOPLE!$F$14,$M107,BK$13))))</f>
        <v>0</v>
      </c>
      <c r="BL107" s="215">
        <f ca="1">IF($D107&lt;&gt;"Serviço",0,IF(AND(AUTOEVENTO="Manual",$M107=1),0,IF(OFFSET(CRONOPLE!$F$14,$M107,BL$13)="",10^12,OFFSET(CRONOPLE!$F$14,$M107,BL$13))))</f>
        <v>0</v>
      </c>
      <c r="BM107" s="215">
        <f ca="1">IF($D107&lt;&gt;"Serviço",0,IF(AND(AUTOEVENTO="Manual",$M107=1),0,IF(OFFSET(CRONOPLE!$F$14,$M107,BM$13)="",10^12,OFFSET(CRONOPLE!$F$14,$M107,BM$13))))</f>
        <v>0</v>
      </c>
      <c r="BN107" s="215">
        <f ca="1">IF($D107&lt;&gt;"Serviço",0,IF(AND(AUTOEVENTO="Manual",$M107=1),0,IF(OFFSET(CRONOPLE!$F$14,$M107,BN$13)="",10^12,OFFSET(CRONOPLE!$F$14,$M107,BN$13))))</f>
        <v>0</v>
      </c>
      <c r="BO107" s="215">
        <f ca="1">IF($D107&lt;&gt;"Serviço",0,IF(AND(AUTOEVENTO="Manual",$M107=1),0,IF(OFFSET(CRONOPLE!$F$14,$M107,BO$13)="",10^12,OFFSET(CRONOPLE!$F$14,$M107,BO$13))))</f>
        <v>0</v>
      </c>
      <c r="BP107" s="215">
        <f ca="1">IF($D107&lt;&gt;"Serviço",0,IF(AND(AUTOEVENTO="Manual",$M107=1),0,IF(OFFSET(CRONOPLE!$F$14,$M107,BP$13)="",10^12,OFFSET(CRONOPLE!$F$14,$M107,BP$13))))</f>
        <v>0</v>
      </c>
      <c r="BQ107" s="215">
        <f ca="1">IF($D107&lt;&gt;"Serviço",0,IF(AND(AUTOEVENTO="Manual",$M107=1),0,IF(OFFSET(CRONOPLE!$F$14,$M107,BQ$13)="",10^12,OFFSET(CRONOPLE!$F$14,$M107,BQ$13))))</f>
        <v>0</v>
      </c>
      <c r="BR107" s="215">
        <f ca="1">IF($D107&lt;&gt;"Serviço",0,IF(AND(AUTOEVENTO="Manual",$M107=1),0,IF(OFFSET(CRONOPLE!$F$14,$M107,BR$13)="",10^12,OFFSET(CRONOPLE!$F$14,$M107,BR$13))))</f>
        <v>0</v>
      </c>
      <c r="BS107" s="215">
        <f ca="1">IF($D107&lt;&gt;"Serviço",0,IF(AND(AUTOEVENTO="Manual",$M107=1),0,IF(OFFSET(CRONOPLE!$F$14,$M107,BS$13)="",10^12,OFFSET(CRONOPLE!$F$14,$M107,BS$13))))</f>
        <v>0</v>
      </c>
      <c r="BT107" s="215">
        <f ca="1">IF($D107&lt;&gt;"Serviço",0,IF(AND(AUTOEVENTO="Manual",$M107=1),0,IF(OFFSET(CRONOPLE!$F$14,$M107,BT$13)="",10^12,OFFSET(CRONOPLE!$F$14,$M107,BT$13))))</f>
        <v>0</v>
      </c>
      <c r="BV107" s="216">
        <f ca="1">IF($D107&lt;&gt;"Serviço",0,IF(OR(AND(AUTOEVENTO="Manual",$M107=1),$M107&gt;(ROW(PLE.lastrow)-ROW(PLE.firstrow))),0,IF(OFFSET(PLE!$G$14,$M107,BV$13)="",10^12,OFFSET(PLE!$G$14,$M107,BV$13))))</f>
        <v>0</v>
      </c>
      <c r="BW107" s="216">
        <f ca="1">IF($D107&lt;&gt;"Serviço",0,IF(OR(AND(AUTOEVENTO="Manual",$M107=1),$M107&gt;(ROW(PLE.lastrow)-ROW(PLE.firstrow))),0,IF(OFFSET(PLE!$G$14,$M107,BW$13)="",10^12,OFFSET(PLE!$G$14,$M107,BW$13))))</f>
        <v>0</v>
      </c>
      <c r="BX107" s="216">
        <f ca="1">IF($D107&lt;&gt;"Serviço",0,IF(OR(AND(AUTOEVENTO="Manual",$M107=1),$M107&gt;(ROW(PLE.lastrow)-ROW(PLE.firstrow))),0,IF(OFFSET(PLE!$G$14,$M107,BX$13)="",10^12,OFFSET(PLE!$G$14,$M107,BX$13))))</f>
        <v>0</v>
      </c>
      <c r="BY107" s="216">
        <f ca="1">IF($D107&lt;&gt;"Serviço",0,IF(OR(AND(AUTOEVENTO="Manual",$M107=1),$M107&gt;(ROW(PLE.lastrow)-ROW(PLE.firstrow))),0,IF(OFFSET(PLE!$G$14,$M107,BY$13)="",10^12,OFFSET(PLE!$G$14,$M107,BY$13))))</f>
        <v>0</v>
      </c>
      <c r="BZ107" s="216">
        <f ca="1">IF($D107&lt;&gt;"Serviço",0,IF(OR(AND(AUTOEVENTO="Manual",$M107=1),$M107&gt;(ROW(PLE.lastrow)-ROW(PLE.firstrow))),0,IF(OFFSET(PLE!$G$14,$M107,BZ$13)="",10^12,OFFSET(PLE!$G$14,$M107,BZ$13))))</f>
        <v>0</v>
      </c>
      <c r="CA107" s="216">
        <f ca="1">IF($D107&lt;&gt;"Serviço",0,IF(OR(AND(AUTOEVENTO="Manual",$M107=1),$M107&gt;(ROW(PLE.lastrow)-ROW(PLE.firstrow))),0,IF(OFFSET(PLE!$G$14,$M107,CA$13)="",10^12,OFFSET(PLE!$G$14,$M107,CA$13))))</f>
        <v>0</v>
      </c>
      <c r="CB107" s="216">
        <f ca="1">IF($D107&lt;&gt;"Serviço",0,IF(OR(AND(AUTOEVENTO="Manual",$M107=1),$M107&gt;(ROW(PLE.lastrow)-ROW(PLE.firstrow))),0,IF(OFFSET(PLE!$G$14,$M107,CB$13)="",10^12,OFFSET(PLE!$G$14,$M107,CB$13))))</f>
        <v>0</v>
      </c>
      <c r="CC107" s="216">
        <f ca="1">IF($D107&lt;&gt;"Serviço",0,IF(OR(AND(AUTOEVENTO="Manual",$M107=1),$M107&gt;(ROW(PLE.lastrow)-ROW(PLE.firstrow))),0,IF(OFFSET(PLE!$G$14,$M107,CC$13)="",10^12,OFFSET(PLE!$G$14,$M107,CC$13))))</f>
        <v>0</v>
      </c>
      <c r="CD107" s="216">
        <f ca="1">IF($D107&lt;&gt;"Serviço",0,IF(OR(AND(AUTOEVENTO="Manual",$M107=1),$M107&gt;(ROW(PLE.lastrow)-ROW(PLE.firstrow))),0,IF(OFFSET(PLE!$G$14,$M107,CD$13)="",10^12,OFFSET(PLE!$G$14,$M107,CD$13))))</f>
        <v>0</v>
      </c>
      <c r="CE107" s="216">
        <f ca="1">IF($D107&lt;&gt;"Serviço",0,IF(OR(AND(AUTOEVENTO="Manual",$M107=1),$M107&gt;(ROW(PLE.lastrow)-ROW(PLE.firstrow))),0,IF(OFFSET(PLE!$G$14,$M107,CE$13)="",10^12,OFFSET(PLE!$G$14,$M107,CE$13))))</f>
        <v>0</v>
      </c>
      <c r="CF107" s="216">
        <f ca="1">IF($D107&lt;&gt;"Serviço",0,IF(OR(AND(AUTOEVENTO="Manual",$M107=1),$M107&gt;(ROW(PLE.lastrow)-ROW(PLE.firstrow))),0,IF(OFFSET(PLE!$G$14,$M107,CF$13)="",10^12,OFFSET(PLE!$G$14,$M107,CF$13))))</f>
        <v>0</v>
      </c>
      <c r="CG107" s="216">
        <f ca="1">IF($D107&lt;&gt;"Serviço",0,IF(OR(AND(AUTOEVENTO="Manual",$M107=1),$M107&gt;(ROW(PLE.lastrow)-ROW(PLE.firstrow))),0,IF(OFFSET(PLE!$G$14,$M107,CG$13)="",10^12,OFFSET(PLE!$G$14,$M107,CG$13))))</f>
        <v>0</v>
      </c>
      <c r="CH107" s="216">
        <f ca="1">IF($D107&lt;&gt;"Serviço",0,IF(OR(AND(AUTOEVENTO="Manual",$M107=1),$M107&gt;(ROW(PLE.lastrow)-ROW(PLE.firstrow))),0,IF(OFFSET(PLE!$G$14,$M107,CH$13)="",10^12,OFFSET(PLE!$G$14,$M107,CH$13))))</f>
        <v>0</v>
      </c>
      <c r="CI107" s="216">
        <f ca="1">IF($D107&lt;&gt;"Serviço",0,IF(OR(AND(AUTOEVENTO="Manual",$M107=1),$M107&gt;(ROW(PLE.lastrow)-ROW(PLE.firstrow))),0,IF(OFFSET(PLE!$G$14,$M107,CI$13)="",10^12,OFFSET(PLE!$G$14,$M107,CI$13))))</f>
        <v>0</v>
      </c>
      <c r="CJ107" s="216">
        <f ca="1">IF($D107&lt;&gt;"Serviço",0,IF(OR(AND(AUTOEVENTO="Manual",$M107=1),$M107&gt;(ROW(PLE.lastrow)-ROW(PLE.firstrow))),0,IF(OFFSET(PLE!$G$14,$M107,CJ$13)="",10^12,OFFSET(PLE!$G$14,$M107,CJ$13))))</f>
        <v>0</v>
      </c>
      <c r="CK107" s="216">
        <f ca="1">IF($D107&lt;&gt;"Serviço",0,IF(OR(AND(AUTOEVENTO="Manual",$M107=1),$M107&gt;(ROW(PLE.lastrow)-ROW(PLE.firstrow))),0,IF(OFFSET(PLE!$G$14,$M107,CK$13)="",10^12,OFFSET(PLE!$G$14,$M107,CK$13))))</f>
        <v>0</v>
      </c>
      <c r="CL107" s="216">
        <f ca="1">IF($D107&lt;&gt;"Serviço",0,IF(OR(AND(AUTOEVENTO="Manual",$M107=1),$M107&gt;(ROW(PLE.lastrow)-ROW(PLE.firstrow))),0,IF(OFFSET(PLE!$G$14,$M107,CL$13)="",10^12,OFFSET(PLE!$G$14,$M107,CL$13))))</f>
        <v>0</v>
      </c>
      <c r="CM107" s="216">
        <f ca="1">IF($D107&lt;&gt;"Serviço",0,IF(OR(AND(AUTOEVENTO="Manual",$M107=1),$M107&gt;(ROW(PLE.lastrow)-ROW(PLE.firstrow))),0,IF(OFFSET(PLE!$G$14,$M107,CM$13)="",10^12,OFFSET(PLE!$G$14,$M107,CM$13))))</f>
        <v>0</v>
      </c>
    </row>
    <row r="108" spans="1:91" ht="13.2" x14ac:dyDescent="0.25">
      <c r="A108" s="9">
        <f t="shared" ca="1" si="10"/>
        <v>0</v>
      </c>
      <c r="B108" s="9" t="str">
        <f ca="1">OFFSET(ORÇAMENTO!C$15,ROW(B108)-ROW(B$15),0)</f>
        <v>S</v>
      </c>
      <c r="C108" s="9" t="str">
        <f ca="1">OFFSET(ORÇAMENTO!L$15,ROW(C108)-ROW(C$15),0)</f>
        <v/>
      </c>
      <c r="D108" s="145" t="str">
        <f ca="1">OFFSET(ORÇAMENTO!N$15,ROW(D108)-ROW(D$15),0)</f>
        <v>Serviço</v>
      </c>
      <c r="E108" s="205" t="str">
        <f ca="1">OFFSET(ORÇAMENTO!O$15,ROW(E108)-ROW(E$15),0)</f>
        <v>-</v>
      </c>
      <c r="F108" s="206" t="str">
        <f ca="1">OFFSET(ORÇAMENTO!R$15,ROW(F108)-ROW(F$15),0)</f>
        <v>(abra o arquivo 'Referência 05-2024.xls)</v>
      </c>
      <c r="G108" s="207" t="str">
        <f ca="1">IF($D108&lt;&gt;"Serviço","",OFFSET(ORÇAMENTO!S$15,ROW(G108)-ROW(G$15),0))</f>
        <v>-</v>
      </c>
      <c r="H108" s="151">
        <f ca="1">IF($D108&lt;&gt;"Serviço",0,IF(ACOMPANHAMENTO="BM",ROUND(OFFSET(ORÇAMENTO!AJ$15,ROW(H108)-ROW(H$15),0),15-13*ORÇAMENTO!$AF$7),SUMPRODUCT(($Q$12:$AI$12&lt;&gt;"")*ROUND($Q108:$AI108,15-13*ORÇAMENTO!$AF$7))))</f>
        <v>16</v>
      </c>
      <c r="I108" s="650"/>
      <c r="K108" s="208"/>
      <c r="L108" s="209" t="s">
        <v>257</v>
      </c>
      <c r="M108" s="210">
        <f ca="1">IF($D108&lt;&gt;"Serviço","",IF(AUTOEVENTO="manual",$A108,IF(ISERROR(MATCH($A108,$A$15:OFFSET($A108,-1,0),0)),MAX($M$15:OFFSET(M108,-1,0))+1,INDEX($M$15:OFFSET(M108,-1,0),MATCH($A108,$A$15:OFFSET($A108,-1,0),0)))))</f>
        <v>0</v>
      </c>
      <c r="N108" s="211" t="str">
        <f ca="1">IF($D108&lt;&gt;"Serviço","",IF(AUTOEVENTO="Manual",IF($A108=0,"&lt;-- defina o número do agrupador",OFFSET(EVENTOS!$D$14,$A108,0)),OFFSET($F$15,$A108,0)))</f>
        <v>&lt;-- defina o número do agrupador</v>
      </c>
      <c r="O108" s="212"/>
      <c r="Q108" s="212"/>
      <c r="R108" s="213"/>
      <c r="S108" s="213"/>
      <c r="T108" s="213"/>
      <c r="U108" s="213"/>
      <c r="V108" s="213"/>
      <c r="W108" s="213"/>
      <c r="X108" s="213"/>
      <c r="Y108" s="213"/>
      <c r="Z108" s="214"/>
      <c r="AA108" s="213"/>
      <c r="AB108" s="213"/>
      <c r="AC108" s="213"/>
      <c r="AD108" s="213"/>
      <c r="AE108" s="213"/>
      <c r="AF108" s="213"/>
      <c r="AG108" s="213"/>
      <c r="AH108" s="214"/>
      <c r="AJ108" s="631">
        <f ca="1">IF(AND($D108="Serviço",AJ$12&lt;&gt;0,$H108&gt;0,OR(AUTOEVENTO&lt;&gt;"manual",$M108&lt;&gt;1)),ROUND(OFFSET($P108,0,AJ$13),15-13*ORÇAMENTO!$AF$7)/$H108*OFFSET(ORÇAMENTO!$X$15,ROW(AJ108)-ROW(AJ$15),0),0)</f>
        <v>0</v>
      </c>
      <c r="AK108" s="632">
        <f ca="1">IF(AND($D108="Serviço",AK$12&lt;&gt;0,$H108&gt;0,OR(AUTOEVENTO&lt;&gt;"manual",$M108&lt;&gt;1)),ROUND(OFFSET($P108,0,AK$13),15-13*ORÇAMENTO!$AF$7)/$H108*OFFSET(ORÇAMENTO!$X$15,ROW(AK108)-ROW(AK$15),0),0)</f>
        <v>0</v>
      </c>
      <c r="AL108" s="632">
        <f ca="1">IF(AND($D108="Serviço",AL$12&lt;&gt;0,$H108&gt;0,OR(AUTOEVENTO&lt;&gt;"manual",$M108&lt;&gt;1)),ROUND(OFFSET($P108,0,AL$13),15-13*ORÇAMENTO!$AF$7)/$H108*OFFSET(ORÇAMENTO!$X$15,ROW(AL108)-ROW(AL$15),0),0)</f>
        <v>0</v>
      </c>
      <c r="AM108" s="632">
        <f ca="1">IF(AND($D108="Serviço",AM$12&lt;&gt;0,$H108&gt;0,OR(AUTOEVENTO&lt;&gt;"manual",$M108&lt;&gt;1)),ROUND(OFFSET($P108,0,AM$13),15-13*ORÇAMENTO!$AF$7)/$H108*OFFSET(ORÇAMENTO!$X$15,ROW(AM108)-ROW(AM$15),0),0)</f>
        <v>0</v>
      </c>
      <c r="AN108" s="632">
        <f ca="1">IF(AND($D108="Serviço",AN$12&lt;&gt;0,$H108&gt;0,OR(AUTOEVENTO&lt;&gt;"manual",$M108&lt;&gt;1)),ROUND(OFFSET($P108,0,AN$13),15-13*ORÇAMENTO!$AF$7)/$H108*OFFSET(ORÇAMENTO!$X$15,ROW(AN108)-ROW(AN$15),0),0)</f>
        <v>0</v>
      </c>
      <c r="AO108" s="632">
        <f ca="1">IF(AND($D108="Serviço",AO$12&lt;&gt;0,$H108&gt;0,OR(AUTOEVENTO&lt;&gt;"manual",$M108&lt;&gt;1)),ROUND(OFFSET($P108,0,AO$13),15-13*ORÇAMENTO!$AF$7)/$H108*OFFSET(ORÇAMENTO!$X$15,ROW(AO108)-ROW(AO$15),0),0)</f>
        <v>0</v>
      </c>
      <c r="AP108" s="632">
        <f ca="1">IF(AND($D108="Serviço",AP$12&lt;&gt;0,$H108&gt;0,OR(AUTOEVENTO&lt;&gt;"manual",$M108&lt;&gt;1)),ROUND(OFFSET($P108,0,AP$13),15-13*ORÇAMENTO!$AF$7)/$H108*OFFSET(ORÇAMENTO!$X$15,ROW(AP108)-ROW(AP$15),0),0)</f>
        <v>0</v>
      </c>
      <c r="AQ108" s="632">
        <f ca="1">IF(AND($D108="Serviço",AQ$12&lt;&gt;0,$H108&gt;0,OR(AUTOEVENTO&lt;&gt;"manual",$M108&lt;&gt;1)),ROUND(OFFSET($P108,0,AQ$13),15-13*ORÇAMENTO!$AF$7)/$H108*OFFSET(ORÇAMENTO!$X$15,ROW(AQ108)-ROW(AQ$15),0),0)</f>
        <v>0</v>
      </c>
      <c r="AR108" s="632">
        <f ca="1">IF(AND($D108="Serviço",AR$12&lt;&gt;0,$H108&gt;0,OR(AUTOEVENTO&lt;&gt;"manual",$M108&lt;&gt;1)),ROUND(OFFSET($P108,0,AR$13),15-13*ORÇAMENTO!$AF$7)/$H108*OFFSET(ORÇAMENTO!$X$15,ROW(AR108)-ROW(AR$15),0),0)</f>
        <v>0</v>
      </c>
      <c r="AS108" s="633">
        <f ca="1">IF(AND($D108="Serviço",AS$12&lt;&gt;0,$H108&gt;0,OR(AUTOEVENTO&lt;&gt;"manual",$M108&lt;&gt;1)),ROUND(OFFSET($P108,0,AS$13),15-13*ORÇAMENTO!$AF$7)/$H108*OFFSET(ORÇAMENTO!$X$15,ROW(AS108)-ROW(AS$15),0),0)</f>
        <v>0</v>
      </c>
      <c r="AT108" s="632">
        <f ca="1">IF(AND($D108="Serviço",AT$12&lt;&gt;0,$H108&gt;0,OR(AUTOEVENTO&lt;&gt;"manual",$M108&lt;&gt;1)),ROUND(OFFSET($P108,0,AT$13),15-13*ORÇAMENTO!$AF$7)/$H108*OFFSET(ORÇAMENTO!$X$15,ROW(AT108)-ROW(AT$15),0),0)</f>
        <v>0</v>
      </c>
      <c r="AU108" s="632">
        <f ca="1">IF(AND($D108="Serviço",AU$12&lt;&gt;0,$H108&gt;0,OR(AUTOEVENTO&lt;&gt;"manual",$M108&lt;&gt;1)),ROUND(OFFSET($P108,0,AU$13),15-13*ORÇAMENTO!$AF$7)/$H108*OFFSET(ORÇAMENTO!$X$15,ROW(AU108)-ROW(AU$15),0),0)</f>
        <v>0</v>
      </c>
      <c r="AV108" s="632">
        <f ca="1">IF(AND($D108="Serviço",AV$12&lt;&gt;0,$H108&gt;0,OR(AUTOEVENTO&lt;&gt;"manual",$M108&lt;&gt;1)),ROUND(OFFSET($P108,0,AV$13),15-13*ORÇAMENTO!$AF$7)/$H108*OFFSET(ORÇAMENTO!$X$15,ROW(AV108)-ROW(AV$15),0),0)</f>
        <v>0</v>
      </c>
      <c r="AW108" s="632">
        <f ca="1">IF(AND($D108="Serviço",AW$12&lt;&gt;0,$H108&gt;0,OR(AUTOEVENTO&lt;&gt;"manual",$M108&lt;&gt;1)),ROUND(OFFSET($P108,0,AW$13),15-13*ORÇAMENTO!$AF$7)/$H108*OFFSET(ORÇAMENTO!$X$15,ROW(AW108)-ROW(AW$15),0),0)</f>
        <v>0</v>
      </c>
      <c r="AX108" s="632">
        <f ca="1">IF(AND($D108="Serviço",AX$12&lt;&gt;0,$H108&gt;0,OR(AUTOEVENTO&lt;&gt;"manual",$M108&lt;&gt;1)),ROUND(OFFSET($P108,0,AX$13),15-13*ORÇAMENTO!$AF$7)/$H108*OFFSET(ORÇAMENTO!$X$15,ROW(AX108)-ROW(AX$15),0),0)</f>
        <v>0</v>
      </c>
      <c r="AY108" s="632">
        <f ca="1">IF(AND($D108="Serviço",AY$12&lt;&gt;0,$H108&gt;0,OR(AUTOEVENTO&lt;&gt;"manual",$M108&lt;&gt;1)),ROUND(OFFSET($P108,0,AY$13),15-13*ORÇAMENTO!$AF$7)/$H108*OFFSET(ORÇAMENTO!$X$15,ROW(AY108)-ROW(AY$15),0),0)</f>
        <v>0</v>
      </c>
      <c r="AZ108" s="632">
        <f ca="1">IF(AND($D108="Serviço",AZ$12&lt;&gt;0,$H108&gt;0,OR(AUTOEVENTO&lt;&gt;"manual",$M108&lt;&gt;1)),ROUND(OFFSET($P108,0,AZ$13),15-13*ORÇAMENTO!$AF$7)/$H108*OFFSET(ORÇAMENTO!$X$15,ROW(AZ108)-ROW(AZ$15),0),0)</f>
        <v>0</v>
      </c>
      <c r="BA108" s="633">
        <f ca="1">IF(AND($D108="Serviço",BA$12&lt;&gt;0,$H108&gt;0,OR(AUTOEVENTO&lt;&gt;"manual",$M108&lt;&gt;1)),ROUND(OFFSET($P108,0,BA$13),15-13*ORÇAMENTO!$AF$7)/$H108*OFFSET(ORÇAMENTO!$X$15,ROW(BA108)-ROW(BA$15),0),0)</f>
        <v>0</v>
      </c>
      <c r="BC108" s="215">
        <f ca="1">IF($D108&lt;&gt;"Serviço",0,IF(AND(AUTOEVENTO="Manual",$M108=1),0,IF(OFFSET(CRONOPLE!$F$14,$M108,BC$13)="",10^12,OFFSET(CRONOPLE!$F$14,$M108,BC$13))))</f>
        <v>1000000000000</v>
      </c>
      <c r="BD108" s="215">
        <f ca="1">IF($D108&lt;&gt;"Serviço",0,IF(AND(AUTOEVENTO="Manual",$M108=1),0,IF(OFFSET(CRONOPLE!$F$14,$M108,BD$13)="",10^12,OFFSET(CRONOPLE!$F$14,$M108,BD$13))))</f>
        <v>1000000000000</v>
      </c>
      <c r="BE108" s="215">
        <f ca="1">IF($D108&lt;&gt;"Serviço",0,IF(AND(AUTOEVENTO="Manual",$M108=1),0,IF(OFFSET(CRONOPLE!$F$14,$M108,BE$13)="",10^12,OFFSET(CRONOPLE!$F$14,$M108,BE$13))))</f>
        <v>1000000000000</v>
      </c>
      <c r="BF108" s="215">
        <f ca="1">IF($D108&lt;&gt;"Serviço",0,IF(AND(AUTOEVENTO="Manual",$M108=1),0,IF(OFFSET(CRONOPLE!$F$14,$M108,BF$13)="",10^12,OFFSET(CRONOPLE!$F$14,$M108,BF$13))))</f>
        <v>1000000000000</v>
      </c>
      <c r="BG108" s="215">
        <f ca="1">IF($D108&lt;&gt;"Serviço",0,IF(AND(AUTOEVENTO="Manual",$M108=1),0,IF(OFFSET(CRONOPLE!$F$14,$M108,BG$13)="",10^12,OFFSET(CRONOPLE!$F$14,$M108,BG$13))))</f>
        <v>1000000000000</v>
      </c>
      <c r="BH108" s="215">
        <f ca="1">IF($D108&lt;&gt;"Serviço",0,IF(AND(AUTOEVENTO="Manual",$M108=1),0,IF(OFFSET(CRONOPLE!$F$14,$M108,BH$13)="",10^12,OFFSET(CRONOPLE!$F$14,$M108,BH$13))))</f>
        <v>1000000000000</v>
      </c>
      <c r="BI108" s="215">
        <f ca="1">IF($D108&lt;&gt;"Serviço",0,IF(AND(AUTOEVENTO="Manual",$M108=1),0,IF(OFFSET(CRONOPLE!$F$14,$M108,BI$13)="",10^12,OFFSET(CRONOPLE!$F$14,$M108,BI$13))))</f>
        <v>1000000000000</v>
      </c>
      <c r="BJ108" s="215">
        <f ca="1">IF($D108&lt;&gt;"Serviço",0,IF(AND(AUTOEVENTO="Manual",$M108=1),0,IF(OFFSET(CRONOPLE!$F$14,$M108,BJ$13)="",10^12,OFFSET(CRONOPLE!$F$14,$M108,BJ$13))))</f>
        <v>1000000000000</v>
      </c>
      <c r="BK108" s="215">
        <f ca="1">IF($D108&lt;&gt;"Serviço",0,IF(AND(AUTOEVENTO="Manual",$M108=1),0,IF(OFFSET(CRONOPLE!$F$14,$M108,BK$13)="",10^12,OFFSET(CRONOPLE!$F$14,$M108,BK$13))))</f>
        <v>1000000000000</v>
      </c>
      <c r="BL108" s="215">
        <f ca="1">IF($D108&lt;&gt;"Serviço",0,IF(AND(AUTOEVENTO="Manual",$M108=1),0,IF(OFFSET(CRONOPLE!$F$14,$M108,BL$13)="",10^12,OFFSET(CRONOPLE!$F$14,$M108,BL$13))))</f>
        <v>1000000000000</v>
      </c>
      <c r="BM108" s="215">
        <f ca="1">IF($D108&lt;&gt;"Serviço",0,IF(AND(AUTOEVENTO="Manual",$M108=1),0,IF(OFFSET(CRONOPLE!$F$14,$M108,BM$13)="",10^12,OFFSET(CRONOPLE!$F$14,$M108,BM$13))))</f>
        <v>1000000000000</v>
      </c>
      <c r="BN108" s="215">
        <f ca="1">IF($D108&lt;&gt;"Serviço",0,IF(AND(AUTOEVENTO="Manual",$M108=1),0,IF(OFFSET(CRONOPLE!$F$14,$M108,BN$13)="",10^12,OFFSET(CRONOPLE!$F$14,$M108,BN$13))))</f>
        <v>1000000000000</v>
      </c>
      <c r="BO108" s="215">
        <f ca="1">IF($D108&lt;&gt;"Serviço",0,IF(AND(AUTOEVENTO="Manual",$M108=1),0,IF(OFFSET(CRONOPLE!$F$14,$M108,BO$13)="",10^12,OFFSET(CRONOPLE!$F$14,$M108,BO$13))))</f>
        <v>1000000000000</v>
      </c>
      <c r="BP108" s="215">
        <f ca="1">IF($D108&lt;&gt;"Serviço",0,IF(AND(AUTOEVENTO="Manual",$M108=1),0,IF(OFFSET(CRONOPLE!$F$14,$M108,BP$13)="",10^12,OFFSET(CRONOPLE!$F$14,$M108,BP$13))))</f>
        <v>1000000000000</v>
      </c>
      <c r="BQ108" s="215">
        <f ca="1">IF($D108&lt;&gt;"Serviço",0,IF(AND(AUTOEVENTO="Manual",$M108=1),0,IF(OFFSET(CRONOPLE!$F$14,$M108,BQ$13)="",10^12,OFFSET(CRONOPLE!$F$14,$M108,BQ$13))))</f>
        <v>1000000000000</v>
      </c>
      <c r="BR108" s="215">
        <f ca="1">IF($D108&lt;&gt;"Serviço",0,IF(AND(AUTOEVENTO="Manual",$M108=1),0,IF(OFFSET(CRONOPLE!$F$14,$M108,BR$13)="",10^12,OFFSET(CRONOPLE!$F$14,$M108,BR$13))))</f>
        <v>1000000000000</v>
      </c>
      <c r="BS108" s="215">
        <f ca="1">IF($D108&lt;&gt;"Serviço",0,IF(AND(AUTOEVENTO="Manual",$M108=1),0,IF(OFFSET(CRONOPLE!$F$14,$M108,BS$13)="",10^12,OFFSET(CRONOPLE!$F$14,$M108,BS$13))))</f>
        <v>1000000000000</v>
      </c>
      <c r="BT108" s="215">
        <f ca="1">IF($D108&lt;&gt;"Serviço",0,IF(AND(AUTOEVENTO="Manual",$M108=1),0,IF(OFFSET(CRONOPLE!$F$14,$M108,BT$13)="",10^12,OFFSET(CRONOPLE!$F$14,$M108,BT$13))))</f>
        <v>1000000000000</v>
      </c>
      <c r="BV108" s="216">
        <f ca="1">IF($D108&lt;&gt;"Serviço",0,IF(OR(AND(AUTOEVENTO="Manual",$M108=1),$M108&gt;(ROW(PLE.lastrow)-ROW(PLE.firstrow))),0,IF(OFFSET(PLE!$G$14,$M108,BV$13)="",10^12,OFFSET(PLE!$G$14,$M108,BV$13))))</f>
        <v>1000000000000</v>
      </c>
      <c r="BW108" s="216">
        <f ca="1">IF($D108&lt;&gt;"Serviço",0,IF(OR(AND(AUTOEVENTO="Manual",$M108=1),$M108&gt;(ROW(PLE.lastrow)-ROW(PLE.firstrow))),0,IF(OFFSET(PLE!$G$14,$M108,BW$13)="",10^12,OFFSET(PLE!$G$14,$M108,BW$13))))</f>
        <v>1000000000000</v>
      </c>
      <c r="BX108" s="216">
        <f ca="1">IF($D108&lt;&gt;"Serviço",0,IF(OR(AND(AUTOEVENTO="Manual",$M108=1),$M108&gt;(ROW(PLE.lastrow)-ROW(PLE.firstrow))),0,IF(OFFSET(PLE!$G$14,$M108,BX$13)="",10^12,OFFSET(PLE!$G$14,$M108,BX$13))))</f>
        <v>1000000000000</v>
      </c>
      <c r="BY108" s="216">
        <f ca="1">IF($D108&lt;&gt;"Serviço",0,IF(OR(AND(AUTOEVENTO="Manual",$M108=1),$M108&gt;(ROW(PLE.lastrow)-ROW(PLE.firstrow))),0,IF(OFFSET(PLE!$G$14,$M108,BY$13)="",10^12,OFFSET(PLE!$G$14,$M108,BY$13))))</f>
        <v>1000000000000</v>
      </c>
      <c r="BZ108" s="216">
        <f ca="1">IF($D108&lt;&gt;"Serviço",0,IF(OR(AND(AUTOEVENTO="Manual",$M108=1),$M108&gt;(ROW(PLE.lastrow)-ROW(PLE.firstrow))),0,IF(OFFSET(PLE!$G$14,$M108,BZ$13)="",10^12,OFFSET(PLE!$G$14,$M108,BZ$13))))</f>
        <v>1000000000000</v>
      </c>
      <c r="CA108" s="216">
        <f ca="1">IF($D108&lt;&gt;"Serviço",0,IF(OR(AND(AUTOEVENTO="Manual",$M108=1),$M108&gt;(ROW(PLE.lastrow)-ROW(PLE.firstrow))),0,IF(OFFSET(PLE!$G$14,$M108,CA$13)="",10^12,OFFSET(PLE!$G$14,$M108,CA$13))))</f>
        <v>1000000000000</v>
      </c>
      <c r="CB108" s="216">
        <f ca="1">IF($D108&lt;&gt;"Serviço",0,IF(OR(AND(AUTOEVENTO="Manual",$M108=1),$M108&gt;(ROW(PLE.lastrow)-ROW(PLE.firstrow))),0,IF(OFFSET(PLE!$G$14,$M108,CB$13)="",10^12,OFFSET(PLE!$G$14,$M108,CB$13))))</f>
        <v>1000000000000</v>
      </c>
      <c r="CC108" s="216">
        <f ca="1">IF($D108&lt;&gt;"Serviço",0,IF(OR(AND(AUTOEVENTO="Manual",$M108=1),$M108&gt;(ROW(PLE.lastrow)-ROW(PLE.firstrow))),0,IF(OFFSET(PLE!$G$14,$M108,CC$13)="",10^12,OFFSET(PLE!$G$14,$M108,CC$13))))</f>
        <v>1000000000000</v>
      </c>
      <c r="CD108" s="216">
        <f ca="1">IF($D108&lt;&gt;"Serviço",0,IF(OR(AND(AUTOEVENTO="Manual",$M108=1),$M108&gt;(ROW(PLE.lastrow)-ROW(PLE.firstrow))),0,IF(OFFSET(PLE!$G$14,$M108,CD$13)="",10^12,OFFSET(PLE!$G$14,$M108,CD$13))))</f>
        <v>1000000000000</v>
      </c>
      <c r="CE108" s="216">
        <f ca="1">IF($D108&lt;&gt;"Serviço",0,IF(OR(AND(AUTOEVENTO="Manual",$M108=1),$M108&gt;(ROW(PLE.lastrow)-ROW(PLE.firstrow))),0,IF(OFFSET(PLE!$G$14,$M108,CE$13)="",10^12,OFFSET(PLE!$G$14,$M108,CE$13))))</f>
        <v>1000000000000</v>
      </c>
      <c r="CF108" s="216">
        <f ca="1">IF($D108&lt;&gt;"Serviço",0,IF(OR(AND(AUTOEVENTO="Manual",$M108=1),$M108&gt;(ROW(PLE.lastrow)-ROW(PLE.firstrow))),0,IF(OFFSET(PLE!$G$14,$M108,CF$13)="",10^12,OFFSET(PLE!$G$14,$M108,CF$13))))</f>
        <v>1000000000000</v>
      </c>
      <c r="CG108" s="216">
        <f ca="1">IF($D108&lt;&gt;"Serviço",0,IF(OR(AND(AUTOEVENTO="Manual",$M108=1),$M108&gt;(ROW(PLE.lastrow)-ROW(PLE.firstrow))),0,IF(OFFSET(PLE!$G$14,$M108,CG$13)="",10^12,OFFSET(PLE!$G$14,$M108,CG$13))))</f>
        <v>1000000000000</v>
      </c>
      <c r="CH108" s="216">
        <f ca="1">IF($D108&lt;&gt;"Serviço",0,IF(OR(AND(AUTOEVENTO="Manual",$M108=1),$M108&gt;(ROW(PLE.lastrow)-ROW(PLE.firstrow))),0,IF(OFFSET(PLE!$G$14,$M108,CH$13)="",10^12,OFFSET(PLE!$G$14,$M108,CH$13))))</f>
        <v>1000000000000</v>
      </c>
      <c r="CI108" s="216">
        <f ca="1">IF($D108&lt;&gt;"Serviço",0,IF(OR(AND(AUTOEVENTO="Manual",$M108=1),$M108&gt;(ROW(PLE.lastrow)-ROW(PLE.firstrow))),0,IF(OFFSET(PLE!$G$14,$M108,CI$13)="",10^12,OFFSET(PLE!$G$14,$M108,CI$13))))</f>
        <v>1000000000000</v>
      </c>
      <c r="CJ108" s="216">
        <f ca="1">IF($D108&lt;&gt;"Serviço",0,IF(OR(AND(AUTOEVENTO="Manual",$M108=1),$M108&gt;(ROW(PLE.lastrow)-ROW(PLE.firstrow))),0,IF(OFFSET(PLE!$G$14,$M108,CJ$13)="",10^12,OFFSET(PLE!$G$14,$M108,CJ$13))))</f>
        <v>1000000000000</v>
      </c>
      <c r="CK108" s="216">
        <f ca="1">IF($D108&lt;&gt;"Serviço",0,IF(OR(AND(AUTOEVENTO="Manual",$M108=1),$M108&gt;(ROW(PLE.lastrow)-ROW(PLE.firstrow))),0,IF(OFFSET(PLE!$G$14,$M108,CK$13)="",10^12,OFFSET(PLE!$G$14,$M108,CK$13))))</f>
        <v>1000000000000</v>
      </c>
      <c r="CL108" s="216">
        <f ca="1">IF($D108&lt;&gt;"Serviço",0,IF(OR(AND(AUTOEVENTO="Manual",$M108=1),$M108&gt;(ROW(PLE.lastrow)-ROW(PLE.firstrow))),0,IF(OFFSET(PLE!$G$14,$M108,CL$13)="",10^12,OFFSET(PLE!$G$14,$M108,CL$13))))</f>
        <v>1000000000000</v>
      </c>
      <c r="CM108" s="216">
        <f ca="1">IF($D108&lt;&gt;"Serviço",0,IF(OR(AND(AUTOEVENTO="Manual",$M108=1),$M108&gt;(ROW(PLE.lastrow)-ROW(PLE.firstrow))),0,IF(OFFSET(PLE!$G$14,$M108,CM$13)="",10^12,OFFSET(PLE!$G$14,$M108,CM$13))))</f>
        <v>1000000000000</v>
      </c>
    </row>
    <row r="109" spans="1:91" ht="13.2" x14ac:dyDescent="0.25">
      <c r="A109" s="9">
        <f t="shared" ca="1" si="10"/>
        <v>0</v>
      </c>
      <c r="B109" s="9" t="str">
        <f ca="1">OFFSET(ORÇAMENTO!C$15,ROW(B109)-ROW(B$15),0)</f>
        <v>S</v>
      </c>
      <c r="C109" s="9" t="str">
        <f ca="1">OFFSET(ORÇAMENTO!L$15,ROW(C109)-ROW(C$15),0)</f>
        <v/>
      </c>
      <c r="D109" s="145" t="str">
        <f ca="1">OFFSET(ORÇAMENTO!N$15,ROW(D109)-ROW(D$15),0)</f>
        <v>Serviço</v>
      </c>
      <c r="E109" s="205" t="str">
        <f ca="1">OFFSET(ORÇAMENTO!O$15,ROW(E109)-ROW(E$15),0)</f>
        <v>-</v>
      </c>
      <c r="F109" s="206" t="str">
        <f ca="1">OFFSET(ORÇAMENTO!R$15,ROW(F109)-ROW(F$15),0)</f>
        <v>(abra o arquivo 'Referência 05-2024.xls)</v>
      </c>
      <c r="G109" s="207" t="str">
        <f ca="1">IF($D109&lt;&gt;"Serviço","",OFFSET(ORÇAMENTO!S$15,ROW(G109)-ROW(G$15),0))</f>
        <v>-</v>
      </c>
      <c r="H109" s="151">
        <f ca="1">IF($D109&lt;&gt;"Serviço",0,IF(ACOMPANHAMENTO="BM",ROUND(OFFSET(ORÇAMENTO!AJ$15,ROW(H109)-ROW(H$15),0),15-13*ORÇAMENTO!$AF$7),SUMPRODUCT(($Q$12:$AI$12&lt;&gt;"")*ROUND($Q109:$AI109,15-13*ORÇAMENTO!$AF$7))))</f>
        <v>79.45</v>
      </c>
      <c r="I109" s="650"/>
      <c r="K109" s="208"/>
      <c r="L109" s="209" t="s">
        <v>257</v>
      </c>
      <c r="M109" s="210">
        <f ca="1">IF($D109&lt;&gt;"Serviço","",IF(AUTOEVENTO="manual",$A109,IF(ISERROR(MATCH($A109,$A$15:OFFSET($A109,-1,0),0)),MAX($M$15:OFFSET(M109,-1,0))+1,INDEX($M$15:OFFSET(M109,-1,0),MATCH($A109,$A$15:OFFSET($A109,-1,0),0)))))</f>
        <v>0</v>
      </c>
      <c r="N109" s="211" t="str">
        <f ca="1">IF($D109&lt;&gt;"Serviço","",IF(AUTOEVENTO="Manual",IF($A109=0,"&lt;-- defina o número do agrupador",OFFSET(EVENTOS!$D$14,$A109,0)),OFFSET($F$15,$A109,0)))</f>
        <v>&lt;-- defina o número do agrupador</v>
      </c>
      <c r="O109" s="212"/>
      <c r="Q109" s="212"/>
      <c r="R109" s="213"/>
      <c r="S109" s="213"/>
      <c r="T109" s="213"/>
      <c r="U109" s="213"/>
      <c r="V109" s="213"/>
      <c r="W109" s="213"/>
      <c r="X109" s="213"/>
      <c r="Y109" s="213"/>
      <c r="Z109" s="214"/>
      <c r="AA109" s="213"/>
      <c r="AB109" s="213"/>
      <c r="AC109" s="213"/>
      <c r="AD109" s="213"/>
      <c r="AE109" s="213"/>
      <c r="AF109" s="213"/>
      <c r="AG109" s="213"/>
      <c r="AH109" s="214"/>
      <c r="AJ109" s="631">
        <f ca="1">IF(AND($D109="Serviço",AJ$12&lt;&gt;0,$H109&gt;0,OR(AUTOEVENTO&lt;&gt;"manual",$M109&lt;&gt;1)),ROUND(OFFSET($P109,0,AJ$13),15-13*ORÇAMENTO!$AF$7)/$H109*OFFSET(ORÇAMENTO!$X$15,ROW(AJ109)-ROW(AJ$15),0),0)</f>
        <v>0</v>
      </c>
      <c r="AK109" s="632">
        <f ca="1">IF(AND($D109="Serviço",AK$12&lt;&gt;0,$H109&gt;0,OR(AUTOEVENTO&lt;&gt;"manual",$M109&lt;&gt;1)),ROUND(OFFSET($P109,0,AK$13),15-13*ORÇAMENTO!$AF$7)/$H109*OFFSET(ORÇAMENTO!$X$15,ROW(AK109)-ROW(AK$15),0),0)</f>
        <v>0</v>
      </c>
      <c r="AL109" s="632">
        <f ca="1">IF(AND($D109="Serviço",AL$12&lt;&gt;0,$H109&gt;0,OR(AUTOEVENTO&lt;&gt;"manual",$M109&lt;&gt;1)),ROUND(OFFSET($P109,0,AL$13),15-13*ORÇAMENTO!$AF$7)/$H109*OFFSET(ORÇAMENTO!$X$15,ROW(AL109)-ROW(AL$15),0),0)</f>
        <v>0</v>
      </c>
      <c r="AM109" s="632">
        <f ca="1">IF(AND($D109="Serviço",AM$12&lt;&gt;0,$H109&gt;0,OR(AUTOEVENTO&lt;&gt;"manual",$M109&lt;&gt;1)),ROUND(OFFSET($P109,0,AM$13),15-13*ORÇAMENTO!$AF$7)/$H109*OFFSET(ORÇAMENTO!$X$15,ROW(AM109)-ROW(AM$15),0),0)</f>
        <v>0</v>
      </c>
      <c r="AN109" s="632">
        <f ca="1">IF(AND($D109="Serviço",AN$12&lt;&gt;0,$H109&gt;0,OR(AUTOEVENTO&lt;&gt;"manual",$M109&lt;&gt;1)),ROUND(OFFSET($P109,0,AN$13),15-13*ORÇAMENTO!$AF$7)/$H109*OFFSET(ORÇAMENTO!$X$15,ROW(AN109)-ROW(AN$15),0),0)</f>
        <v>0</v>
      </c>
      <c r="AO109" s="632">
        <f ca="1">IF(AND($D109="Serviço",AO$12&lt;&gt;0,$H109&gt;0,OR(AUTOEVENTO&lt;&gt;"manual",$M109&lt;&gt;1)),ROUND(OFFSET($P109,0,AO$13),15-13*ORÇAMENTO!$AF$7)/$H109*OFFSET(ORÇAMENTO!$X$15,ROW(AO109)-ROW(AO$15),0),0)</f>
        <v>0</v>
      </c>
      <c r="AP109" s="632">
        <f ca="1">IF(AND($D109="Serviço",AP$12&lt;&gt;0,$H109&gt;0,OR(AUTOEVENTO&lt;&gt;"manual",$M109&lt;&gt;1)),ROUND(OFFSET($P109,0,AP$13),15-13*ORÇAMENTO!$AF$7)/$H109*OFFSET(ORÇAMENTO!$X$15,ROW(AP109)-ROW(AP$15),0),0)</f>
        <v>0</v>
      </c>
      <c r="AQ109" s="632">
        <f ca="1">IF(AND($D109="Serviço",AQ$12&lt;&gt;0,$H109&gt;0,OR(AUTOEVENTO&lt;&gt;"manual",$M109&lt;&gt;1)),ROUND(OFFSET($P109,0,AQ$13),15-13*ORÇAMENTO!$AF$7)/$H109*OFFSET(ORÇAMENTO!$X$15,ROW(AQ109)-ROW(AQ$15),0),0)</f>
        <v>0</v>
      </c>
      <c r="AR109" s="632">
        <f ca="1">IF(AND($D109="Serviço",AR$12&lt;&gt;0,$H109&gt;0,OR(AUTOEVENTO&lt;&gt;"manual",$M109&lt;&gt;1)),ROUND(OFFSET($P109,0,AR$13),15-13*ORÇAMENTO!$AF$7)/$H109*OFFSET(ORÇAMENTO!$X$15,ROW(AR109)-ROW(AR$15),0),0)</f>
        <v>0</v>
      </c>
      <c r="AS109" s="633">
        <f ca="1">IF(AND($D109="Serviço",AS$12&lt;&gt;0,$H109&gt;0,OR(AUTOEVENTO&lt;&gt;"manual",$M109&lt;&gt;1)),ROUND(OFFSET($P109,0,AS$13),15-13*ORÇAMENTO!$AF$7)/$H109*OFFSET(ORÇAMENTO!$X$15,ROW(AS109)-ROW(AS$15),0),0)</f>
        <v>0</v>
      </c>
      <c r="AT109" s="632">
        <f ca="1">IF(AND($D109="Serviço",AT$12&lt;&gt;0,$H109&gt;0,OR(AUTOEVENTO&lt;&gt;"manual",$M109&lt;&gt;1)),ROUND(OFFSET($P109,0,AT$13),15-13*ORÇAMENTO!$AF$7)/$H109*OFFSET(ORÇAMENTO!$X$15,ROW(AT109)-ROW(AT$15),0),0)</f>
        <v>0</v>
      </c>
      <c r="AU109" s="632">
        <f ca="1">IF(AND($D109="Serviço",AU$12&lt;&gt;0,$H109&gt;0,OR(AUTOEVENTO&lt;&gt;"manual",$M109&lt;&gt;1)),ROUND(OFFSET($P109,0,AU$13),15-13*ORÇAMENTO!$AF$7)/$H109*OFFSET(ORÇAMENTO!$X$15,ROW(AU109)-ROW(AU$15),0),0)</f>
        <v>0</v>
      </c>
      <c r="AV109" s="632">
        <f ca="1">IF(AND($D109="Serviço",AV$12&lt;&gt;0,$H109&gt;0,OR(AUTOEVENTO&lt;&gt;"manual",$M109&lt;&gt;1)),ROUND(OFFSET($P109,0,AV$13),15-13*ORÇAMENTO!$AF$7)/$H109*OFFSET(ORÇAMENTO!$X$15,ROW(AV109)-ROW(AV$15),0),0)</f>
        <v>0</v>
      </c>
      <c r="AW109" s="632">
        <f ca="1">IF(AND($D109="Serviço",AW$12&lt;&gt;0,$H109&gt;0,OR(AUTOEVENTO&lt;&gt;"manual",$M109&lt;&gt;1)),ROUND(OFFSET($P109,0,AW$13),15-13*ORÇAMENTO!$AF$7)/$H109*OFFSET(ORÇAMENTO!$X$15,ROW(AW109)-ROW(AW$15),0),0)</f>
        <v>0</v>
      </c>
      <c r="AX109" s="632">
        <f ca="1">IF(AND($D109="Serviço",AX$12&lt;&gt;0,$H109&gt;0,OR(AUTOEVENTO&lt;&gt;"manual",$M109&lt;&gt;1)),ROUND(OFFSET($P109,0,AX$13),15-13*ORÇAMENTO!$AF$7)/$H109*OFFSET(ORÇAMENTO!$X$15,ROW(AX109)-ROW(AX$15),0),0)</f>
        <v>0</v>
      </c>
      <c r="AY109" s="632">
        <f ca="1">IF(AND($D109="Serviço",AY$12&lt;&gt;0,$H109&gt;0,OR(AUTOEVENTO&lt;&gt;"manual",$M109&lt;&gt;1)),ROUND(OFFSET($P109,0,AY$13),15-13*ORÇAMENTO!$AF$7)/$H109*OFFSET(ORÇAMENTO!$X$15,ROW(AY109)-ROW(AY$15),0),0)</f>
        <v>0</v>
      </c>
      <c r="AZ109" s="632">
        <f ca="1">IF(AND($D109="Serviço",AZ$12&lt;&gt;0,$H109&gt;0,OR(AUTOEVENTO&lt;&gt;"manual",$M109&lt;&gt;1)),ROUND(OFFSET($P109,0,AZ$13),15-13*ORÇAMENTO!$AF$7)/$H109*OFFSET(ORÇAMENTO!$X$15,ROW(AZ109)-ROW(AZ$15),0),0)</f>
        <v>0</v>
      </c>
      <c r="BA109" s="633">
        <f ca="1">IF(AND($D109="Serviço",BA$12&lt;&gt;0,$H109&gt;0,OR(AUTOEVENTO&lt;&gt;"manual",$M109&lt;&gt;1)),ROUND(OFFSET($P109,0,BA$13),15-13*ORÇAMENTO!$AF$7)/$H109*OFFSET(ORÇAMENTO!$X$15,ROW(BA109)-ROW(BA$15),0),0)</f>
        <v>0</v>
      </c>
      <c r="BC109" s="215">
        <f ca="1">IF($D109&lt;&gt;"Serviço",0,IF(AND(AUTOEVENTO="Manual",$M109=1),0,IF(OFFSET(CRONOPLE!$F$14,$M109,BC$13)="",10^12,OFFSET(CRONOPLE!$F$14,$M109,BC$13))))</f>
        <v>1000000000000</v>
      </c>
      <c r="BD109" s="215">
        <f ca="1">IF($D109&lt;&gt;"Serviço",0,IF(AND(AUTOEVENTO="Manual",$M109=1),0,IF(OFFSET(CRONOPLE!$F$14,$M109,BD$13)="",10^12,OFFSET(CRONOPLE!$F$14,$M109,BD$13))))</f>
        <v>1000000000000</v>
      </c>
      <c r="BE109" s="215">
        <f ca="1">IF($D109&lt;&gt;"Serviço",0,IF(AND(AUTOEVENTO="Manual",$M109=1),0,IF(OFFSET(CRONOPLE!$F$14,$M109,BE$13)="",10^12,OFFSET(CRONOPLE!$F$14,$M109,BE$13))))</f>
        <v>1000000000000</v>
      </c>
      <c r="BF109" s="215">
        <f ca="1">IF($D109&lt;&gt;"Serviço",0,IF(AND(AUTOEVENTO="Manual",$M109=1),0,IF(OFFSET(CRONOPLE!$F$14,$M109,BF$13)="",10^12,OFFSET(CRONOPLE!$F$14,$M109,BF$13))))</f>
        <v>1000000000000</v>
      </c>
      <c r="BG109" s="215">
        <f ca="1">IF($D109&lt;&gt;"Serviço",0,IF(AND(AUTOEVENTO="Manual",$M109=1),0,IF(OFFSET(CRONOPLE!$F$14,$M109,BG$13)="",10^12,OFFSET(CRONOPLE!$F$14,$M109,BG$13))))</f>
        <v>1000000000000</v>
      </c>
      <c r="BH109" s="215">
        <f ca="1">IF($D109&lt;&gt;"Serviço",0,IF(AND(AUTOEVENTO="Manual",$M109=1),0,IF(OFFSET(CRONOPLE!$F$14,$M109,BH$13)="",10^12,OFFSET(CRONOPLE!$F$14,$M109,BH$13))))</f>
        <v>1000000000000</v>
      </c>
      <c r="BI109" s="215">
        <f ca="1">IF($D109&lt;&gt;"Serviço",0,IF(AND(AUTOEVENTO="Manual",$M109=1),0,IF(OFFSET(CRONOPLE!$F$14,$M109,BI$13)="",10^12,OFFSET(CRONOPLE!$F$14,$M109,BI$13))))</f>
        <v>1000000000000</v>
      </c>
      <c r="BJ109" s="215">
        <f ca="1">IF($D109&lt;&gt;"Serviço",0,IF(AND(AUTOEVENTO="Manual",$M109=1),0,IF(OFFSET(CRONOPLE!$F$14,$M109,BJ$13)="",10^12,OFFSET(CRONOPLE!$F$14,$M109,BJ$13))))</f>
        <v>1000000000000</v>
      </c>
      <c r="BK109" s="215">
        <f ca="1">IF($D109&lt;&gt;"Serviço",0,IF(AND(AUTOEVENTO="Manual",$M109=1),0,IF(OFFSET(CRONOPLE!$F$14,$M109,BK$13)="",10^12,OFFSET(CRONOPLE!$F$14,$M109,BK$13))))</f>
        <v>1000000000000</v>
      </c>
      <c r="BL109" s="215">
        <f ca="1">IF($D109&lt;&gt;"Serviço",0,IF(AND(AUTOEVENTO="Manual",$M109=1),0,IF(OFFSET(CRONOPLE!$F$14,$M109,BL$13)="",10^12,OFFSET(CRONOPLE!$F$14,$M109,BL$13))))</f>
        <v>1000000000000</v>
      </c>
      <c r="BM109" s="215">
        <f ca="1">IF($D109&lt;&gt;"Serviço",0,IF(AND(AUTOEVENTO="Manual",$M109=1),0,IF(OFFSET(CRONOPLE!$F$14,$M109,BM$13)="",10^12,OFFSET(CRONOPLE!$F$14,$M109,BM$13))))</f>
        <v>1000000000000</v>
      </c>
      <c r="BN109" s="215">
        <f ca="1">IF($D109&lt;&gt;"Serviço",0,IF(AND(AUTOEVENTO="Manual",$M109=1),0,IF(OFFSET(CRONOPLE!$F$14,$M109,BN$13)="",10^12,OFFSET(CRONOPLE!$F$14,$M109,BN$13))))</f>
        <v>1000000000000</v>
      </c>
      <c r="BO109" s="215">
        <f ca="1">IF($D109&lt;&gt;"Serviço",0,IF(AND(AUTOEVENTO="Manual",$M109=1),0,IF(OFFSET(CRONOPLE!$F$14,$M109,BO$13)="",10^12,OFFSET(CRONOPLE!$F$14,$M109,BO$13))))</f>
        <v>1000000000000</v>
      </c>
      <c r="BP109" s="215">
        <f ca="1">IF($D109&lt;&gt;"Serviço",0,IF(AND(AUTOEVENTO="Manual",$M109=1),0,IF(OFFSET(CRONOPLE!$F$14,$M109,BP$13)="",10^12,OFFSET(CRONOPLE!$F$14,$M109,BP$13))))</f>
        <v>1000000000000</v>
      </c>
      <c r="BQ109" s="215">
        <f ca="1">IF($D109&lt;&gt;"Serviço",0,IF(AND(AUTOEVENTO="Manual",$M109=1),0,IF(OFFSET(CRONOPLE!$F$14,$M109,BQ$13)="",10^12,OFFSET(CRONOPLE!$F$14,$M109,BQ$13))))</f>
        <v>1000000000000</v>
      </c>
      <c r="BR109" s="215">
        <f ca="1">IF($D109&lt;&gt;"Serviço",0,IF(AND(AUTOEVENTO="Manual",$M109=1),0,IF(OFFSET(CRONOPLE!$F$14,$M109,BR$13)="",10^12,OFFSET(CRONOPLE!$F$14,$M109,BR$13))))</f>
        <v>1000000000000</v>
      </c>
      <c r="BS109" s="215">
        <f ca="1">IF($D109&lt;&gt;"Serviço",0,IF(AND(AUTOEVENTO="Manual",$M109=1),0,IF(OFFSET(CRONOPLE!$F$14,$M109,BS$13)="",10^12,OFFSET(CRONOPLE!$F$14,$M109,BS$13))))</f>
        <v>1000000000000</v>
      </c>
      <c r="BT109" s="215">
        <f ca="1">IF($D109&lt;&gt;"Serviço",0,IF(AND(AUTOEVENTO="Manual",$M109=1),0,IF(OFFSET(CRONOPLE!$F$14,$M109,BT$13)="",10^12,OFFSET(CRONOPLE!$F$14,$M109,BT$13))))</f>
        <v>1000000000000</v>
      </c>
      <c r="BV109" s="216">
        <f ca="1">IF($D109&lt;&gt;"Serviço",0,IF(OR(AND(AUTOEVENTO="Manual",$M109=1),$M109&gt;(ROW(PLE.lastrow)-ROW(PLE.firstrow))),0,IF(OFFSET(PLE!$G$14,$M109,BV$13)="",10^12,OFFSET(PLE!$G$14,$M109,BV$13))))</f>
        <v>1000000000000</v>
      </c>
      <c r="BW109" s="216">
        <f ca="1">IF($D109&lt;&gt;"Serviço",0,IF(OR(AND(AUTOEVENTO="Manual",$M109=1),$M109&gt;(ROW(PLE.lastrow)-ROW(PLE.firstrow))),0,IF(OFFSET(PLE!$G$14,$M109,BW$13)="",10^12,OFFSET(PLE!$G$14,$M109,BW$13))))</f>
        <v>1000000000000</v>
      </c>
      <c r="BX109" s="216">
        <f ca="1">IF($D109&lt;&gt;"Serviço",0,IF(OR(AND(AUTOEVENTO="Manual",$M109=1),$M109&gt;(ROW(PLE.lastrow)-ROW(PLE.firstrow))),0,IF(OFFSET(PLE!$G$14,$M109,BX$13)="",10^12,OFFSET(PLE!$G$14,$M109,BX$13))))</f>
        <v>1000000000000</v>
      </c>
      <c r="BY109" s="216">
        <f ca="1">IF($D109&lt;&gt;"Serviço",0,IF(OR(AND(AUTOEVENTO="Manual",$M109=1),$M109&gt;(ROW(PLE.lastrow)-ROW(PLE.firstrow))),0,IF(OFFSET(PLE!$G$14,$M109,BY$13)="",10^12,OFFSET(PLE!$G$14,$M109,BY$13))))</f>
        <v>1000000000000</v>
      </c>
      <c r="BZ109" s="216">
        <f ca="1">IF($D109&lt;&gt;"Serviço",0,IF(OR(AND(AUTOEVENTO="Manual",$M109=1),$M109&gt;(ROW(PLE.lastrow)-ROW(PLE.firstrow))),0,IF(OFFSET(PLE!$G$14,$M109,BZ$13)="",10^12,OFFSET(PLE!$G$14,$M109,BZ$13))))</f>
        <v>1000000000000</v>
      </c>
      <c r="CA109" s="216">
        <f ca="1">IF($D109&lt;&gt;"Serviço",0,IF(OR(AND(AUTOEVENTO="Manual",$M109=1),$M109&gt;(ROW(PLE.lastrow)-ROW(PLE.firstrow))),0,IF(OFFSET(PLE!$G$14,$M109,CA$13)="",10^12,OFFSET(PLE!$G$14,$M109,CA$13))))</f>
        <v>1000000000000</v>
      </c>
      <c r="CB109" s="216">
        <f ca="1">IF($D109&lt;&gt;"Serviço",0,IF(OR(AND(AUTOEVENTO="Manual",$M109=1),$M109&gt;(ROW(PLE.lastrow)-ROW(PLE.firstrow))),0,IF(OFFSET(PLE!$G$14,$M109,CB$13)="",10^12,OFFSET(PLE!$G$14,$M109,CB$13))))</f>
        <v>1000000000000</v>
      </c>
      <c r="CC109" s="216">
        <f ca="1">IF($D109&lt;&gt;"Serviço",0,IF(OR(AND(AUTOEVENTO="Manual",$M109=1),$M109&gt;(ROW(PLE.lastrow)-ROW(PLE.firstrow))),0,IF(OFFSET(PLE!$G$14,$M109,CC$13)="",10^12,OFFSET(PLE!$G$14,$M109,CC$13))))</f>
        <v>1000000000000</v>
      </c>
      <c r="CD109" s="216">
        <f ca="1">IF($D109&lt;&gt;"Serviço",0,IF(OR(AND(AUTOEVENTO="Manual",$M109=1),$M109&gt;(ROW(PLE.lastrow)-ROW(PLE.firstrow))),0,IF(OFFSET(PLE!$G$14,$M109,CD$13)="",10^12,OFFSET(PLE!$G$14,$M109,CD$13))))</f>
        <v>1000000000000</v>
      </c>
      <c r="CE109" s="216">
        <f ca="1">IF($D109&lt;&gt;"Serviço",0,IF(OR(AND(AUTOEVENTO="Manual",$M109=1),$M109&gt;(ROW(PLE.lastrow)-ROW(PLE.firstrow))),0,IF(OFFSET(PLE!$G$14,$M109,CE$13)="",10^12,OFFSET(PLE!$G$14,$M109,CE$13))))</f>
        <v>1000000000000</v>
      </c>
      <c r="CF109" s="216">
        <f ca="1">IF($D109&lt;&gt;"Serviço",0,IF(OR(AND(AUTOEVENTO="Manual",$M109=1),$M109&gt;(ROW(PLE.lastrow)-ROW(PLE.firstrow))),0,IF(OFFSET(PLE!$G$14,$M109,CF$13)="",10^12,OFFSET(PLE!$G$14,$M109,CF$13))))</f>
        <v>1000000000000</v>
      </c>
      <c r="CG109" s="216">
        <f ca="1">IF($D109&lt;&gt;"Serviço",0,IF(OR(AND(AUTOEVENTO="Manual",$M109=1),$M109&gt;(ROW(PLE.lastrow)-ROW(PLE.firstrow))),0,IF(OFFSET(PLE!$G$14,$M109,CG$13)="",10^12,OFFSET(PLE!$G$14,$M109,CG$13))))</f>
        <v>1000000000000</v>
      </c>
      <c r="CH109" s="216">
        <f ca="1">IF($D109&lt;&gt;"Serviço",0,IF(OR(AND(AUTOEVENTO="Manual",$M109=1),$M109&gt;(ROW(PLE.lastrow)-ROW(PLE.firstrow))),0,IF(OFFSET(PLE!$G$14,$M109,CH$13)="",10^12,OFFSET(PLE!$G$14,$M109,CH$13))))</f>
        <v>1000000000000</v>
      </c>
      <c r="CI109" s="216">
        <f ca="1">IF($D109&lt;&gt;"Serviço",0,IF(OR(AND(AUTOEVENTO="Manual",$M109=1),$M109&gt;(ROW(PLE.lastrow)-ROW(PLE.firstrow))),0,IF(OFFSET(PLE!$G$14,$M109,CI$13)="",10^12,OFFSET(PLE!$G$14,$M109,CI$13))))</f>
        <v>1000000000000</v>
      </c>
      <c r="CJ109" s="216">
        <f ca="1">IF($D109&lt;&gt;"Serviço",0,IF(OR(AND(AUTOEVENTO="Manual",$M109=1),$M109&gt;(ROW(PLE.lastrow)-ROW(PLE.firstrow))),0,IF(OFFSET(PLE!$G$14,$M109,CJ$13)="",10^12,OFFSET(PLE!$G$14,$M109,CJ$13))))</f>
        <v>1000000000000</v>
      </c>
      <c r="CK109" s="216">
        <f ca="1">IF($D109&lt;&gt;"Serviço",0,IF(OR(AND(AUTOEVENTO="Manual",$M109=1),$M109&gt;(ROW(PLE.lastrow)-ROW(PLE.firstrow))),0,IF(OFFSET(PLE!$G$14,$M109,CK$13)="",10^12,OFFSET(PLE!$G$14,$M109,CK$13))))</f>
        <v>1000000000000</v>
      </c>
      <c r="CL109" s="216">
        <f ca="1">IF($D109&lt;&gt;"Serviço",0,IF(OR(AND(AUTOEVENTO="Manual",$M109=1),$M109&gt;(ROW(PLE.lastrow)-ROW(PLE.firstrow))),0,IF(OFFSET(PLE!$G$14,$M109,CL$13)="",10^12,OFFSET(PLE!$G$14,$M109,CL$13))))</f>
        <v>1000000000000</v>
      </c>
      <c r="CM109" s="216">
        <f ca="1">IF($D109&lt;&gt;"Serviço",0,IF(OR(AND(AUTOEVENTO="Manual",$M109=1),$M109&gt;(ROW(PLE.lastrow)-ROW(PLE.firstrow))),0,IF(OFFSET(PLE!$G$14,$M109,CM$13)="",10^12,OFFSET(PLE!$G$14,$M109,CM$13))))</f>
        <v>1000000000000</v>
      </c>
    </row>
    <row r="110" spans="1:91" ht="13.2" x14ac:dyDescent="0.25">
      <c r="A110" s="9">
        <f t="shared" ca="1" si="10"/>
        <v>0</v>
      </c>
      <c r="B110" s="9" t="str">
        <f ca="1">OFFSET(ORÇAMENTO!C$15,ROW(B110)-ROW(B$15),0)</f>
        <v>S</v>
      </c>
      <c r="C110" s="9" t="str">
        <f ca="1">OFFSET(ORÇAMENTO!L$15,ROW(C110)-ROW(C$15),0)</f>
        <v/>
      </c>
      <c r="D110" s="145" t="str">
        <f ca="1">OFFSET(ORÇAMENTO!N$15,ROW(D110)-ROW(D$15),0)</f>
        <v>Serviço</v>
      </c>
      <c r="E110" s="205" t="str">
        <f ca="1">OFFSET(ORÇAMENTO!O$15,ROW(E110)-ROW(E$15),0)</f>
        <v>-</v>
      </c>
      <c r="F110" s="206" t="str">
        <f ca="1">OFFSET(ORÇAMENTO!R$15,ROW(F110)-ROW(F$15),0)</f>
        <v>(abra o arquivo 'Referência 05-2024.xls)</v>
      </c>
      <c r="G110" s="207" t="str">
        <f ca="1">IF($D110&lt;&gt;"Serviço","",OFFSET(ORÇAMENTO!S$15,ROW(G110)-ROW(G$15),0))</f>
        <v>-</v>
      </c>
      <c r="H110" s="151">
        <f ca="1">IF($D110&lt;&gt;"Serviço",0,IF(ACOMPANHAMENTO="BM",ROUND(OFFSET(ORÇAMENTO!AJ$15,ROW(H110)-ROW(H$15),0),15-13*ORÇAMENTO!$AF$7),SUMPRODUCT(($Q$12:$AI$12&lt;&gt;"")*ROUND($Q110:$AI110,15-13*ORÇAMENTO!$AF$7))))</f>
        <v>27.61</v>
      </c>
      <c r="I110" s="650"/>
      <c r="K110" s="208"/>
      <c r="L110" s="209" t="s">
        <v>257</v>
      </c>
      <c r="M110" s="210">
        <f ca="1">IF($D110&lt;&gt;"Serviço","",IF(AUTOEVENTO="manual",$A110,IF(ISERROR(MATCH($A110,$A$15:OFFSET($A110,-1,0),0)),MAX($M$15:OFFSET(M110,-1,0))+1,INDEX($M$15:OFFSET(M110,-1,0),MATCH($A110,$A$15:OFFSET($A110,-1,0),0)))))</f>
        <v>0</v>
      </c>
      <c r="N110" s="211" t="str">
        <f ca="1">IF($D110&lt;&gt;"Serviço","",IF(AUTOEVENTO="Manual",IF($A110=0,"&lt;-- defina o número do agrupador",OFFSET(EVENTOS!$D$14,$A110,0)),OFFSET($F$15,$A110,0)))</f>
        <v>&lt;-- defina o número do agrupador</v>
      </c>
      <c r="O110" s="212"/>
      <c r="Q110" s="212"/>
      <c r="R110" s="213"/>
      <c r="S110" s="213"/>
      <c r="T110" s="213"/>
      <c r="U110" s="213"/>
      <c r="V110" s="213"/>
      <c r="W110" s="213"/>
      <c r="X110" s="213"/>
      <c r="Y110" s="213"/>
      <c r="Z110" s="214"/>
      <c r="AA110" s="213"/>
      <c r="AB110" s="213"/>
      <c r="AC110" s="213"/>
      <c r="AD110" s="213"/>
      <c r="AE110" s="213"/>
      <c r="AF110" s="213"/>
      <c r="AG110" s="213"/>
      <c r="AH110" s="214"/>
      <c r="AJ110" s="631">
        <f ca="1">IF(AND($D110="Serviço",AJ$12&lt;&gt;0,$H110&gt;0,OR(AUTOEVENTO&lt;&gt;"manual",$M110&lt;&gt;1)),ROUND(OFFSET($P110,0,AJ$13),15-13*ORÇAMENTO!$AF$7)/$H110*OFFSET(ORÇAMENTO!$X$15,ROW(AJ110)-ROW(AJ$15),0),0)</f>
        <v>0</v>
      </c>
      <c r="AK110" s="632">
        <f ca="1">IF(AND($D110="Serviço",AK$12&lt;&gt;0,$H110&gt;0,OR(AUTOEVENTO&lt;&gt;"manual",$M110&lt;&gt;1)),ROUND(OFFSET($P110,0,AK$13),15-13*ORÇAMENTO!$AF$7)/$H110*OFFSET(ORÇAMENTO!$X$15,ROW(AK110)-ROW(AK$15),0),0)</f>
        <v>0</v>
      </c>
      <c r="AL110" s="632">
        <f ca="1">IF(AND($D110="Serviço",AL$12&lt;&gt;0,$H110&gt;0,OR(AUTOEVENTO&lt;&gt;"manual",$M110&lt;&gt;1)),ROUND(OFFSET($P110,0,AL$13),15-13*ORÇAMENTO!$AF$7)/$H110*OFFSET(ORÇAMENTO!$X$15,ROW(AL110)-ROW(AL$15),0),0)</f>
        <v>0</v>
      </c>
      <c r="AM110" s="632">
        <f ca="1">IF(AND($D110="Serviço",AM$12&lt;&gt;0,$H110&gt;0,OR(AUTOEVENTO&lt;&gt;"manual",$M110&lt;&gt;1)),ROUND(OFFSET($P110,0,AM$13),15-13*ORÇAMENTO!$AF$7)/$H110*OFFSET(ORÇAMENTO!$X$15,ROW(AM110)-ROW(AM$15),0),0)</f>
        <v>0</v>
      </c>
      <c r="AN110" s="632">
        <f ca="1">IF(AND($D110="Serviço",AN$12&lt;&gt;0,$H110&gt;0,OR(AUTOEVENTO&lt;&gt;"manual",$M110&lt;&gt;1)),ROUND(OFFSET($P110,0,AN$13),15-13*ORÇAMENTO!$AF$7)/$H110*OFFSET(ORÇAMENTO!$X$15,ROW(AN110)-ROW(AN$15),0),0)</f>
        <v>0</v>
      </c>
      <c r="AO110" s="632">
        <f ca="1">IF(AND($D110="Serviço",AO$12&lt;&gt;0,$H110&gt;0,OR(AUTOEVENTO&lt;&gt;"manual",$M110&lt;&gt;1)),ROUND(OFFSET($P110,0,AO$13),15-13*ORÇAMENTO!$AF$7)/$H110*OFFSET(ORÇAMENTO!$X$15,ROW(AO110)-ROW(AO$15),0),0)</f>
        <v>0</v>
      </c>
      <c r="AP110" s="632">
        <f ca="1">IF(AND($D110="Serviço",AP$12&lt;&gt;0,$H110&gt;0,OR(AUTOEVENTO&lt;&gt;"manual",$M110&lt;&gt;1)),ROUND(OFFSET($P110,0,AP$13),15-13*ORÇAMENTO!$AF$7)/$H110*OFFSET(ORÇAMENTO!$X$15,ROW(AP110)-ROW(AP$15),0),0)</f>
        <v>0</v>
      </c>
      <c r="AQ110" s="632">
        <f ca="1">IF(AND($D110="Serviço",AQ$12&lt;&gt;0,$H110&gt;0,OR(AUTOEVENTO&lt;&gt;"manual",$M110&lt;&gt;1)),ROUND(OFFSET($P110,0,AQ$13),15-13*ORÇAMENTO!$AF$7)/$H110*OFFSET(ORÇAMENTO!$X$15,ROW(AQ110)-ROW(AQ$15),0),0)</f>
        <v>0</v>
      </c>
      <c r="AR110" s="632">
        <f ca="1">IF(AND($D110="Serviço",AR$12&lt;&gt;0,$H110&gt;0,OR(AUTOEVENTO&lt;&gt;"manual",$M110&lt;&gt;1)),ROUND(OFFSET($P110,0,AR$13),15-13*ORÇAMENTO!$AF$7)/$H110*OFFSET(ORÇAMENTO!$X$15,ROW(AR110)-ROW(AR$15),0),0)</f>
        <v>0</v>
      </c>
      <c r="AS110" s="633">
        <f ca="1">IF(AND($D110="Serviço",AS$12&lt;&gt;0,$H110&gt;0,OR(AUTOEVENTO&lt;&gt;"manual",$M110&lt;&gt;1)),ROUND(OFFSET($P110,0,AS$13),15-13*ORÇAMENTO!$AF$7)/$H110*OFFSET(ORÇAMENTO!$X$15,ROW(AS110)-ROW(AS$15),0),0)</f>
        <v>0</v>
      </c>
      <c r="AT110" s="632">
        <f ca="1">IF(AND($D110="Serviço",AT$12&lt;&gt;0,$H110&gt;0,OR(AUTOEVENTO&lt;&gt;"manual",$M110&lt;&gt;1)),ROUND(OFFSET($P110,0,AT$13),15-13*ORÇAMENTO!$AF$7)/$H110*OFFSET(ORÇAMENTO!$X$15,ROW(AT110)-ROW(AT$15),0),0)</f>
        <v>0</v>
      </c>
      <c r="AU110" s="632">
        <f ca="1">IF(AND($D110="Serviço",AU$12&lt;&gt;0,$H110&gt;0,OR(AUTOEVENTO&lt;&gt;"manual",$M110&lt;&gt;1)),ROUND(OFFSET($P110,0,AU$13),15-13*ORÇAMENTO!$AF$7)/$H110*OFFSET(ORÇAMENTO!$X$15,ROW(AU110)-ROW(AU$15),0),0)</f>
        <v>0</v>
      </c>
      <c r="AV110" s="632">
        <f ca="1">IF(AND($D110="Serviço",AV$12&lt;&gt;0,$H110&gt;0,OR(AUTOEVENTO&lt;&gt;"manual",$M110&lt;&gt;1)),ROUND(OFFSET($P110,0,AV$13),15-13*ORÇAMENTO!$AF$7)/$H110*OFFSET(ORÇAMENTO!$X$15,ROW(AV110)-ROW(AV$15),0),0)</f>
        <v>0</v>
      </c>
      <c r="AW110" s="632">
        <f ca="1">IF(AND($D110="Serviço",AW$12&lt;&gt;0,$H110&gt;0,OR(AUTOEVENTO&lt;&gt;"manual",$M110&lt;&gt;1)),ROUND(OFFSET($P110,0,AW$13),15-13*ORÇAMENTO!$AF$7)/$H110*OFFSET(ORÇAMENTO!$X$15,ROW(AW110)-ROW(AW$15),0),0)</f>
        <v>0</v>
      </c>
      <c r="AX110" s="632">
        <f ca="1">IF(AND($D110="Serviço",AX$12&lt;&gt;0,$H110&gt;0,OR(AUTOEVENTO&lt;&gt;"manual",$M110&lt;&gt;1)),ROUND(OFFSET($P110,0,AX$13),15-13*ORÇAMENTO!$AF$7)/$H110*OFFSET(ORÇAMENTO!$X$15,ROW(AX110)-ROW(AX$15),0),0)</f>
        <v>0</v>
      </c>
      <c r="AY110" s="632">
        <f ca="1">IF(AND($D110="Serviço",AY$12&lt;&gt;0,$H110&gt;0,OR(AUTOEVENTO&lt;&gt;"manual",$M110&lt;&gt;1)),ROUND(OFFSET($P110,0,AY$13),15-13*ORÇAMENTO!$AF$7)/$H110*OFFSET(ORÇAMENTO!$X$15,ROW(AY110)-ROW(AY$15),0),0)</f>
        <v>0</v>
      </c>
      <c r="AZ110" s="632">
        <f ca="1">IF(AND($D110="Serviço",AZ$12&lt;&gt;0,$H110&gt;0,OR(AUTOEVENTO&lt;&gt;"manual",$M110&lt;&gt;1)),ROUND(OFFSET($P110,0,AZ$13),15-13*ORÇAMENTO!$AF$7)/$H110*OFFSET(ORÇAMENTO!$X$15,ROW(AZ110)-ROW(AZ$15),0),0)</f>
        <v>0</v>
      </c>
      <c r="BA110" s="633">
        <f ca="1">IF(AND($D110="Serviço",BA$12&lt;&gt;0,$H110&gt;0,OR(AUTOEVENTO&lt;&gt;"manual",$M110&lt;&gt;1)),ROUND(OFFSET($P110,0,BA$13),15-13*ORÇAMENTO!$AF$7)/$H110*OFFSET(ORÇAMENTO!$X$15,ROW(BA110)-ROW(BA$15),0),0)</f>
        <v>0</v>
      </c>
      <c r="BC110" s="215">
        <f ca="1">IF($D110&lt;&gt;"Serviço",0,IF(AND(AUTOEVENTO="Manual",$M110=1),0,IF(OFFSET(CRONOPLE!$F$14,$M110,BC$13)="",10^12,OFFSET(CRONOPLE!$F$14,$M110,BC$13))))</f>
        <v>1000000000000</v>
      </c>
      <c r="BD110" s="215">
        <f ca="1">IF($D110&lt;&gt;"Serviço",0,IF(AND(AUTOEVENTO="Manual",$M110=1),0,IF(OFFSET(CRONOPLE!$F$14,$M110,BD$13)="",10^12,OFFSET(CRONOPLE!$F$14,$M110,BD$13))))</f>
        <v>1000000000000</v>
      </c>
      <c r="BE110" s="215">
        <f ca="1">IF($D110&lt;&gt;"Serviço",0,IF(AND(AUTOEVENTO="Manual",$M110=1),0,IF(OFFSET(CRONOPLE!$F$14,$M110,BE$13)="",10^12,OFFSET(CRONOPLE!$F$14,$M110,BE$13))))</f>
        <v>1000000000000</v>
      </c>
      <c r="BF110" s="215">
        <f ca="1">IF($D110&lt;&gt;"Serviço",0,IF(AND(AUTOEVENTO="Manual",$M110=1),0,IF(OFFSET(CRONOPLE!$F$14,$M110,BF$13)="",10^12,OFFSET(CRONOPLE!$F$14,$M110,BF$13))))</f>
        <v>1000000000000</v>
      </c>
      <c r="BG110" s="215">
        <f ca="1">IF($D110&lt;&gt;"Serviço",0,IF(AND(AUTOEVENTO="Manual",$M110=1),0,IF(OFFSET(CRONOPLE!$F$14,$M110,BG$13)="",10^12,OFFSET(CRONOPLE!$F$14,$M110,BG$13))))</f>
        <v>1000000000000</v>
      </c>
      <c r="BH110" s="215">
        <f ca="1">IF($D110&lt;&gt;"Serviço",0,IF(AND(AUTOEVENTO="Manual",$M110=1),0,IF(OFFSET(CRONOPLE!$F$14,$M110,BH$13)="",10^12,OFFSET(CRONOPLE!$F$14,$M110,BH$13))))</f>
        <v>1000000000000</v>
      </c>
      <c r="BI110" s="215">
        <f ca="1">IF($D110&lt;&gt;"Serviço",0,IF(AND(AUTOEVENTO="Manual",$M110=1),0,IF(OFFSET(CRONOPLE!$F$14,$M110,BI$13)="",10^12,OFFSET(CRONOPLE!$F$14,$M110,BI$13))))</f>
        <v>1000000000000</v>
      </c>
      <c r="BJ110" s="215">
        <f ca="1">IF($D110&lt;&gt;"Serviço",0,IF(AND(AUTOEVENTO="Manual",$M110=1),0,IF(OFFSET(CRONOPLE!$F$14,$M110,BJ$13)="",10^12,OFFSET(CRONOPLE!$F$14,$M110,BJ$13))))</f>
        <v>1000000000000</v>
      </c>
      <c r="BK110" s="215">
        <f ca="1">IF($D110&lt;&gt;"Serviço",0,IF(AND(AUTOEVENTO="Manual",$M110=1),0,IF(OFFSET(CRONOPLE!$F$14,$M110,BK$13)="",10^12,OFFSET(CRONOPLE!$F$14,$M110,BK$13))))</f>
        <v>1000000000000</v>
      </c>
      <c r="BL110" s="215">
        <f ca="1">IF($D110&lt;&gt;"Serviço",0,IF(AND(AUTOEVENTO="Manual",$M110=1),0,IF(OFFSET(CRONOPLE!$F$14,$M110,BL$13)="",10^12,OFFSET(CRONOPLE!$F$14,$M110,BL$13))))</f>
        <v>1000000000000</v>
      </c>
      <c r="BM110" s="215">
        <f ca="1">IF($D110&lt;&gt;"Serviço",0,IF(AND(AUTOEVENTO="Manual",$M110=1),0,IF(OFFSET(CRONOPLE!$F$14,$M110,BM$13)="",10^12,OFFSET(CRONOPLE!$F$14,$M110,BM$13))))</f>
        <v>1000000000000</v>
      </c>
      <c r="BN110" s="215">
        <f ca="1">IF($D110&lt;&gt;"Serviço",0,IF(AND(AUTOEVENTO="Manual",$M110=1),0,IF(OFFSET(CRONOPLE!$F$14,$M110,BN$13)="",10^12,OFFSET(CRONOPLE!$F$14,$M110,BN$13))))</f>
        <v>1000000000000</v>
      </c>
      <c r="BO110" s="215">
        <f ca="1">IF($D110&lt;&gt;"Serviço",0,IF(AND(AUTOEVENTO="Manual",$M110=1),0,IF(OFFSET(CRONOPLE!$F$14,$M110,BO$13)="",10^12,OFFSET(CRONOPLE!$F$14,$M110,BO$13))))</f>
        <v>1000000000000</v>
      </c>
      <c r="BP110" s="215">
        <f ca="1">IF($D110&lt;&gt;"Serviço",0,IF(AND(AUTOEVENTO="Manual",$M110=1),0,IF(OFFSET(CRONOPLE!$F$14,$M110,BP$13)="",10^12,OFFSET(CRONOPLE!$F$14,$M110,BP$13))))</f>
        <v>1000000000000</v>
      </c>
      <c r="BQ110" s="215">
        <f ca="1">IF($D110&lt;&gt;"Serviço",0,IF(AND(AUTOEVENTO="Manual",$M110=1),0,IF(OFFSET(CRONOPLE!$F$14,$M110,BQ$13)="",10^12,OFFSET(CRONOPLE!$F$14,$M110,BQ$13))))</f>
        <v>1000000000000</v>
      </c>
      <c r="BR110" s="215">
        <f ca="1">IF($D110&lt;&gt;"Serviço",0,IF(AND(AUTOEVENTO="Manual",$M110=1),0,IF(OFFSET(CRONOPLE!$F$14,$M110,BR$13)="",10^12,OFFSET(CRONOPLE!$F$14,$M110,BR$13))))</f>
        <v>1000000000000</v>
      </c>
      <c r="BS110" s="215">
        <f ca="1">IF($D110&lt;&gt;"Serviço",0,IF(AND(AUTOEVENTO="Manual",$M110=1),0,IF(OFFSET(CRONOPLE!$F$14,$M110,BS$13)="",10^12,OFFSET(CRONOPLE!$F$14,$M110,BS$13))))</f>
        <v>1000000000000</v>
      </c>
      <c r="BT110" s="215">
        <f ca="1">IF($D110&lt;&gt;"Serviço",0,IF(AND(AUTOEVENTO="Manual",$M110=1),0,IF(OFFSET(CRONOPLE!$F$14,$M110,BT$13)="",10^12,OFFSET(CRONOPLE!$F$14,$M110,BT$13))))</f>
        <v>1000000000000</v>
      </c>
      <c r="BV110" s="216">
        <f ca="1">IF($D110&lt;&gt;"Serviço",0,IF(OR(AND(AUTOEVENTO="Manual",$M110=1),$M110&gt;(ROW(PLE.lastrow)-ROW(PLE.firstrow))),0,IF(OFFSET(PLE!$G$14,$M110,BV$13)="",10^12,OFFSET(PLE!$G$14,$M110,BV$13))))</f>
        <v>1000000000000</v>
      </c>
      <c r="BW110" s="216">
        <f ca="1">IF($D110&lt;&gt;"Serviço",0,IF(OR(AND(AUTOEVENTO="Manual",$M110=1),$M110&gt;(ROW(PLE.lastrow)-ROW(PLE.firstrow))),0,IF(OFFSET(PLE!$G$14,$M110,BW$13)="",10^12,OFFSET(PLE!$G$14,$M110,BW$13))))</f>
        <v>1000000000000</v>
      </c>
      <c r="BX110" s="216">
        <f ca="1">IF($D110&lt;&gt;"Serviço",0,IF(OR(AND(AUTOEVENTO="Manual",$M110=1),$M110&gt;(ROW(PLE.lastrow)-ROW(PLE.firstrow))),0,IF(OFFSET(PLE!$G$14,$M110,BX$13)="",10^12,OFFSET(PLE!$G$14,$M110,BX$13))))</f>
        <v>1000000000000</v>
      </c>
      <c r="BY110" s="216">
        <f ca="1">IF($D110&lt;&gt;"Serviço",0,IF(OR(AND(AUTOEVENTO="Manual",$M110=1),$M110&gt;(ROW(PLE.lastrow)-ROW(PLE.firstrow))),0,IF(OFFSET(PLE!$G$14,$M110,BY$13)="",10^12,OFFSET(PLE!$G$14,$M110,BY$13))))</f>
        <v>1000000000000</v>
      </c>
      <c r="BZ110" s="216">
        <f ca="1">IF($D110&lt;&gt;"Serviço",0,IF(OR(AND(AUTOEVENTO="Manual",$M110=1),$M110&gt;(ROW(PLE.lastrow)-ROW(PLE.firstrow))),0,IF(OFFSET(PLE!$G$14,$M110,BZ$13)="",10^12,OFFSET(PLE!$G$14,$M110,BZ$13))))</f>
        <v>1000000000000</v>
      </c>
      <c r="CA110" s="216">
        <f ca="1">IF($D110&lt;&gt;"Serviço",0,IF(OR(AND(AUTOEVENTO="Manual",$M110=1),$M110&gt;(ROW(PLE.lastrow)-ROW(PLE.firstrow))),0,IF(OFFSET(PLE!$G$14,$M110,CA$13)="",10^12,OFFSET(PLE!$G$14,$M110,CA$13))))</f>
        <v>1000000000000</v>
      </c>
      <c r="CB110" s="216">
        <f ca="1">IF($D110&lt;&gt;"Serviço",0,IF(OR(AND(AUTOEVENTO="Manual",$M110=1),$M110&gt;(ROW(PLE.lastrow)-ROW(PLE.firstrow))),0,IF(OFFSET(PLE!$G$14,$M110,CB$13)="",10^12,OFFSET(PLE!$G$14,$M110,CB$13))))</f>
        <v>1000000000000</v>
      </c>
      <c r="CC110" s="216">
        <f ca="1">IF($D110&lt;&gt;"Serviço",0,IF(OR(AND(AUTOEVENTO="Manual",$M110=1),$M110&gt;(ROW(PLE.lastrow)-ROW(PLE.firstrow))),0,IF(OFFSET(PLE!$G$14,$M110,CC$13)="",10^12,OFFSET(PLE!$G$14,$M110,CC$13))))</f>
        <v>1000000000000</v>
      </c>
      <c r="CD110" s="216">
        <f ca="1">IF($D110&lt;&gt;"Serviço",0,IF(OR(AND(AUTOEVENTO="Manual",$M110=1),$M110&gt;(ROW(PLE.lastrow)-ROW(PLE.firstrow))),0,IF(OFFSET(PLE!$G$14,$M110,CD$13)="",10^12,OFFSET(PLE!$G$14,$M110,CD$13))))</f>
        <v>1000000000000</v>
      </c>
      <c r="CE110" s="216">
        <f ca="1">IF($D110&lt;&gt;"Serviço",0,IF(OR(AND(AUTOEVENTO="Manual",$M110=1),$M110&gt;(ROW(PLE.lastrow)-ROW(PLE.firstrow))),0,IF(OFFSET(PLE!$G$14,$M110,CE$13)="",10^12,OFFSET(PLE!$G$14,$M110,CE$13))))</f>
        <v>1000000000000</v>
      </c>
      <c r="CF110" s="216">
        <f ca="1">IF($D110&lt;&gt;"Serviço",0,IF(OR(AND(AUTOEVENTO="Manual",$M110=1),$M110&gt;(ROW(PLE.lastrow)-ROW(PLE.firstrow))),0,IF(OFFSET(PLE!$G$14,$M110,CF$13)="",10^12,OFFSET(PLE!$G$14,$M110,CF$13))))</f>
        <v>1000000000000</v>
      </c>
      <c r="CG110" s="216">
        <f ca="1">IF($D110&lt;&gt;"Serviço",0,IF(OR(AND(AUTOEVENTO="Manual",$M110=1),$M110&gt;(ROW(PLE.lastrow)-ROW(PLE.firstrow))),0,IF(OFFSET(PLE!$G$14,$M110,CG$13)="",10^12,OFFSET(PLE!$G$14,$M110,CG$13))))</f>
        <v>1000000000000</v>
      </c>
      <c r="CH110" s="216">
        <f ca="1">IF($D110&lt;&gt;"Serviço",0,IF(OR(AND(AUTOEVENTO="Manual",$M110=1),$M110&gt;(ROW(PLE.lastrow)-ROW(PLE.firstrow))),0,IF(OFFSET(PLE!$G$14,$M110,CH$13)="",10^12,OFFSET(PLE!$G$14,$M110,CH$13))))</f>
        <v>1000000000000</v>
      </c>
      <c r="CI110" s="216">
        <f ca="1">IF($D110&lt;&gt;"Serviço",0,IF(OR(AND(AUTOEVENTO="Manual",$M110=1),$M110&gt;(ROW(PLE.lastrow)-ROW(PLE.firstrow))),0,IF(OFFSET(PLE!$G$14,$M110,CI$13)="",10^12,OFFSET(PLE!$G$14,$M110,CI$13))))</f>
        <v>1000000000000</v>
      </c>
      <c r="CJ110" s="216">
        <f ca="1">IF($D110&lt;&gt;"Serviço",0,IF(OR(AND(AUTOEVENTO="Manual",$M110=1),$M110&gt;(ROW(PLE.lastrow)-ROW(PLE.firstrow))),0,IF(OFFSET(PLE!$G$14,$M110,CJ$13)="",10^12,OFFSET(PLE!$G$14,$M110,CJ$13))))</f>
        <v>1000000000000</v>
      </c>
      <c r="CK110" s="216">
        <f ca="1">IF($D110&lt;&gt;"Serviço",0,IF(OR(AND(AUTOEVENTO="Manual",$M110=1),$M110&gt;(ROW(PLE.lastrow)-ROW(PLE.firstrow))),0,IF(OFFSET(PLE!$G$14,$M110,CK$13)="",10^12,OFFSET(PLE!$G$14,$M110,CK$13))))</f>
        <v>1000000000000</v>
      </c>
      <c r="CL110" s="216">
        <f ca="1">IF($D110&lt;&gt;"Serviço",0,IF(OR(AND(AUTOEVENTO="Manual",$M110=1),$M110&gt;(ROW(PLE.lastrow)-ROW(PLE.firstrow))),0,IF(OFFSET(PLE!$G$14,$M110,CL$13)="",10^12,OFFSET(PLE!$G$14,$M110,CL$13))))</f>
        <v>1000000000000</v>
      </c>
      <c r="CM110" s="216">
        <f ca="1">IF($D110&lt;&gt;"Serviço",0,IF(OR(AND(AUTOEVENTO="Manual",$M110=1),$M110&gt;(ROW(PLE.lastrow)-ROW(PLE.firstrow))),0,IF(OFFSET(PLE!$G$14,$M110,CM$13)="",10^12,OFFSET(PLE!$G$14,$M110,CM$13))))</f>
        <v>1000000000000</v>
      </c>
    </row>
    <row r="111" spans="1:91" ht="13.2" x14ac:dyDescent="0.25">
      <c r="A111" s="9">
        <f t="shared" ca="1" si="10"/>
        <v>0</v>
      </c>
      <c r="B111" s="9" t="str">
        <f ca="1">OFFSET(ORÇAMENTO!C$15,ROW(B111)-ROW(B$15),0)</f>
        <v>S</v>
      </c>
      <c r="C111" s="9" t="str">
        <f ca="1">OFFSET(ORÇAMENTO!L$15,ROW(C111)-ROW(C$15),0)</f>
        <v/>
      </c>
      <c r="D111" s="145" t="str">
        <f ca="1">OFFSET(ORÇAMENTO!N$15,ROW(D111)-ROW(D$15),0)</f>
        <v>Serviço</v>
      </c>
      <c r="E111" s="205" t="str">
        <f ca="1">OFFSET(ORÇAMENTO!O$15,ROW(E111)-ROW(E$15),0)</f>
        <v>-</v>
      </c>
      <c r="F111" s="206" t="str">
        <f ca="1">OFFSET(ORÇAMENTO!R$15,ROW(F111)-ROW(F$15),0)</f>
        <v>(abra o arquivo 'Referência 05-2024.xls)</v>
      </c>
      <c r="G111" s="207" t="str">
        <f ca="1">IF($D111&lt;&gt;"Serviço","",OFFSET(ORÇAMENTO!S$15,ROW(G111)-ROW(G$15),0))</f>
        <v>-</v>
      </c>
      <c r="H111" s="151">
        <f ca="1">IF($D111&lt;&gt;"Serviço",0,IF(ACOMPANHAMENTO="BM",ROUND(OFFSET(ORÇAMENTO!AJ$15,ROW(H111)-ROW(H$15),0),15-13*ORÇAMENTO!$AF$7),SUMPRODUCT(($Q$12:$AI$12&lt;&gt;"")*ROUND($Q111:$AI111,15-13*ORÇAMENTO!$AF$7))))</f>
        <v>1.0900000000000001</v>
      </c>
      <c r="I111" s="650"/>
      <c r="K111" s="208"/>
      <c r="L111" s="209" t="s">
        <v>257</v>
      </c>
      <c r="M111" s="210">
        <f ca="1">IF($D111&lt;&gt;"Serviço","",IF(AUTOEVENTO="manual",$A111,IF(ISERROR(MATCH($A111,$A$15:OFFSET($A111,-1,0),0)),MAX($M$15:OFFSET(M111,-1,0))+1,INDEX($M$15:OFFSET(M111,-1,0),MATCH($A111,$A$15:OFFSET($A111,-1,0),0)))))</f>
        <v>0</v>
      </c>
      <c r="N111" s="211" t="str">
        <f ca="1">IF($D111&lt;&gt;"Serviço","",IF(AUTOEVENTO="Manual",IF($A111=0,"&lt;-- defina o número do agrupador",OFFSET(EVENTOS!$D$14,$A111,0)),OFFSET($F$15,$A111,0)))</f>
        <v>&lt;-- defina o número do agrupador</v>
      </c>
      <c r="O111" s="212"/>
      <c r="Q111" s="212"/>
      <c r="R111" s="213"/>
      <c r="S111" s="213"/>
      <c r="T111" s="213"/>
      <c r="U111" s="213"/>
      <c r="V111" s="213"/>
      <c r="W111" s="213"/>
      <c r="X111" s="213"/>
      <c r="Y111" s="213"/>
      <c r="Z111" s="214"/>
      <c r="AA111" s="213"/>
      <c r="AB111" s="213"/>
      <c r="AC111" s="213"/>
      <c r="AD111" s="213"/>
      <c r="AE111" s="213"/>
      <c r="AF111" s="213"/>
      <c r="AG111" s="213"/>
      <c r="AH111" s="214"/>
      <c r="AJ111" s="631">
        <f ca="1">IF(AND($D111="Serviço",AJ$12&lt;&gt;0,$H111&gt;0,OR(AUTOEVENTO&lt;&gt;"manual",$M111&lt;&gt;1)),ROUND(OFFSET($P111,0,AJ$13),15-13*ORÇAMENTO!$AF$7)/$H111*OFFSET(ORÇAMENTO!$X$15,ROW(AJ111)-ROW(AJ$15),0),0)</f>
        <v>0</v>
      </c>
      <c r="AK111" s="632">
        <f ca="1">IF(AND($D111="Serviço",AK$12&lt;&gt;0,$H111&gt;0,OR(AUTOEVENTO&lt;&gt;"manual",$M111&lt;&gt;1)),ROUND(OFFSET($P111,0,AK$13),15-13*ORÇAMENTO!$AF$7)/$H111*OFFSET(ORÇAMENTO!$X$15,ROW(AK111)-ROW(AK$15),0),0)</f>
        <v>0</v>
      </c>
      <c r="AL111" s="632">
        <f ca="1">IF(AND($D111="Serviço",AL$12&lt;&gt;0,$H111&gt;0,OR(AUTOEVENTO&lt;&gt;"manual",$M111&lt;&gt;1)),ROUND(OFFSET($P111,0,AL$13),15-13*ORÇAMENTO!$AF$7)/$H111*OFFSET(ORÇAMENTO!$X$15,ROW(AL111)-ROW(AL$15),0),0)</f>
        <v>0</v>
      </c>
      <c r="AM111" s="632">
        <f ca="1">IF(AND($D111="Serviço",AM$12&lt;&gt;0,$H111&gt;0,OR(AUTOEVENTO&lt;&gt;"manual",$M111&lt;&gt;1)),ROUND(OFFSET($P111,0,AM$13),15-13*ORÇAMENTO!$AF$7)/$H111*OFFSET(ORÇAMENTO!$X$15,ROW(AM111)-ROW(AM$15),0),0)</f>
        <v>0</v>
      </c>
      <c r="AN111" s="632">
        <f ca="1">IF(AND($D111="Serviço",AN$12&lt;&gt;0,$H111&gt;0,OR(AUTOEVENTO&lt;&gt;"manual",$M111&lt;&gt;1)),ROUND(OFFSET($P111,0,AN$13),15-13*ORÇAMENTO!$AF$7)/$H111*OFFSET(ORÇAMENTO!$X$15,ROW(AN111)-ROW(AN$15),0),0)</f>
        <v>0</v>
      </c>
      <c r="AO111" s="632">
        <f ca="1">IF(AND($D111="Serviço",AO$12&lt;&gt;0,$H111&gt;0,OR(AUTOEVENTO&lt;&gt;"manual",$M111&lt;&gt;1)),ROUND(OFFSET($P111,0,AO$13),15-13*ORÇAMENTO!$AF$7)/$H111*OFFSET(ORÇAMENTO!$X$15,ROW(AO111)-ROW(AO$15),0),0)</f>
        <v>0</v>
      </c>
      <c r="AP111" s="632">
        <f ca="1">IF(AND($D111="Serviço",AP$12&lt;&gt;0,$H111&gt;0,OR(AUTOEVENTO&lt;&gt;"manual",$M111&lt;&gt;1)),ROUND(OFFSET($P111,0,AP$13),15-13*ORÇAMENTO!$AF$7)/$H111*OFFSET(ORÇAMENTO!$X$15,ROW(AP111)-ROW(AP$15),0),0)</f>
        <v>0</v>
      </c>
      <c r="AQ111" s="632">
        <f ca="1">IF(AND($D111="Serviço",AQ$12&lt;&gt;0,$H111&gt;0,OR(AUTOEVENTO&lt;&gt;"manual",$M111&lt;&gt;1)),ROUND(OFFSET($P111,0,AQ$13),15-13*ORÇAMENTO!$AF$7)/$H111*OFFSET(ORÇAMENTO!$X$15,ROW(AQ111)-ROW(AQ$15),0),0)</f>
        <v>0</v>
      </c>
      <c r="AR111" s="632">
        <f ca="1">IF(AND($D111="Serviço",AR$12&lt;&gt;0,$H111&gt;0,OR(AUTOEVENTO&lt;&gt;"manual",$M111&lt;&gt;1)),ROUND(OFFSET($P111,0,AR$13),15-13*ORÇAMENTO!$AF$7)/$H111*OFFSET(ORÇAMENTO!$X$15,ROW(AR111)-ROW(AR$15),0),0)</f>
        <v>0</v>
      </c>
      <c r="AS111" s="633">
        <f ca="1">IF(AND($D111="Serviço",AS$12&lt;&gt;0,$H111&gt;0,OR(AUTOEVENTO&lt;&gt;"manual",$M111&lt;&gt;1)),ROUND(OFFSET($P111,0,AS$13),15-13*ORÇAMENTO!$AF$7)/$H111*OFFSET(ORÇAMENTO!$X$15,ROW(AS111)-ROW(AS$15),0),0)</f>
        <v>0</v>
      </c>
      <c r="AT111" s="632">
        <f ca="1">IF(AND($D111="Serviço",AT$12&lt;&gt;0,$H111&gt;0,OR(AUTOEVENTO&lt;&gt;"manual",$M111&lt;&gt;1)),ROUND(OFFSET($P111,0,AT$13),15-13*ORÇAMENTO!$AF$7)/$H111*OFFSET(ORÇAMENTO!$X$15,ROW(AT111)-ROW(AT$15),0),0)</f>
        <v>0</v>
      </c>
      <c r="AU111" s="632">
        <f ca="1">IF(AND($D111="Serviço",AU$12&lt;&gt;0,$H111&gt;0,OR(AUTOEVENTO&lt;&gt;"manual",$M111&lt;&gt;1)),ROUND(OFFSET($P111,0,AU$13),15-13*ORÇAMENTO!$AF$7)/$H111*OFFSET(ORÇAMENTO!$X$15,ROW(AU111)-ROW(AU$15),0),0)</f>
        <v>0</v>
      </c>
      <c r="AV111" s="632">
        <f ca="1">IF(AND($D111="Serviço",AV$12&lt;&gt;0,$H111&gt;0,OR(AUTOEVENTO&lt;&gt;"manual",$M111&lt;&gt;1)),ROUND(OFFSET($P111,0,AV$13),15-13*ORÇAMENTO!$AF$7)/$H111*OFFSET(ORÇAMENTO!$X$15,ROW(AV111)-ROW(AV$15),0),0)</f>
        <v>0</v>
      </c>
      <c r="AW111" s="632">
        <f ca="1">IF(AND($D111="Serviço",AW$12&lt;&gt;0,$H111&gt;0,OR(AUTOEVENTO&lt;&gt;"manual",$M111&lt;&gt;1)),ROUND(OFFSET($P111,0,AW$13),15-13*ORÇAMENTO!$AF$7)/$H111*OFFSET(ORÇAMENTO!$X$15,ROW(AW111)-ROW(AW$15),0),0)</f>
        <v>0</v>
      </c>
      <c r="AX111" s="632">
        <f ca="1">IF(AND($D111="Serviço",AX$12&lt;&gt;0,$H111&gt;0,OR(AUTOEVENTO&lt;&gt;"manual",$M111&lt;&gt;1)),ROUND(OFFSET($P111,0,AX$13),15-13*ORÇAMENTO!$AF$7)/$H111*OFFSET(ORÇAMENTO!$X$15,ROW(AX111)-ROW(AX$15),0),0)</f>
        <v>0</v>
      </c>
      <c r="AY111" s="632">
        <f ca="1">IF(AND($D111="Serviço",AY$12&lt;&gt;0,$H111&gt;0,OR(AUTOEVENTO&lt;&gt;"manual",$M111&lt;&gt;1)),ROUND(OFFSET($P111,0,AY$13),15-13*ORÇAMENTO!$AF$7)/$H111*OFFSET(ORÇAMENTO!$X$15,ROW(AY111)-ROW(AY$15),0),0)</f>
        <v>0</v>
      </c>
      <c r="AZ111" s="632">
        <f ca="1">IF(AND($D111="Serviço",AZ$12&lt;&gt;0,$H111&gt;0,OR(AUTOEVENTO&lt;&gt;"manual",$M111&lt;&gt;1)),ROUND(OFFSET($P111,0,AZ$13),15-13*ORÇAMENTO!$AF$7)/$H111*OFFSET(ORÇAMENTO!$X$15,ROW(AZ111)-ROW(AZ$15),0),0)</f>
        <v>0</v>
      </c>
      <c r="BA111" s="633">
        <f ca="1">IF(AND($D111="Serviço",BA$12&lt;&gt;0,$H111&gt;0,OR(AUTOEVENTO&lt;&gt;"manual",$M111&lt;&gt;1)),ROUND(OFFSET($P111,0,BA$13),15-13*ORÇAMENTO!$AF$7)/$H111*OFFSET(ORÇAMENTO!$X$15,ROW(BA111)-ROW(BA$15),0),0)</f>
        <v>0</v>
      </c>
      <c r="BC111" s="215">
        <f ca="1">IF($D111&lt;&gt;"Serviço",0,IF(AND(AUTOEVENTO="Manual",$M111=1),0,IF(OFFSET(CRONOPLE!$F$14,$M111,BC$13)="",10^12,OFFSET(CRONOPLE!$F$14,$M111,BC$13))))</f>
        <v>1000000000000</v>
      </c>
      <c r="BD111" s="215">
        <f ca="1">IF($D111&lt;&gt;"Serviço",0,IF(AND(AUTOEVENTO="Manual",$M111=1),0,IF(OFFSET(CRONOPLE!$F$14,$M111,BD$13)="",10^12,OFFSET(CRONOPLE!$F$14,$M111,BD$13))))</f>
        <v>1000000000000</v>
      </c>
      <c r="BE111" s="215">
        <f ca="1">IF($D111&lt;&gt;"Serviço",0,IF(AND(AUTOEVENTO="Manual",$M111=1),0,IF(OFFSET(CRONOPLE!$F$14,$M111,BE$13)="",10^12,OFFSET(CRONOPLE!$F$14,$M111,BE$13))))</f>
        <v>1000000000000</v>
      </c>
      <c r="BF111" s="215">
        <f ca="1">IF($D111&lt;&gt;"Serviço",0,IF(AND(AUTOEVENTO="Manual",$M111=1),0,IF(OFFSET(CRONOPLE!$F$14,$M111,BF$13)="",10^12,OFFSET(CRONOPLE!$F$14,$M111,BF$13))))</f>
        <v>1000000000000</v>
      </c>
      <c r="BG111" s="215">
        <f ca="1">IF($D111&lt;&gt;"Serviço",0,IF(AND(AUTOEVENTO="Manual",$M111=1),0,IF(OFFSET(CRONOPLE!$F$14,$M111,BG$13)="",10^12,OFFSET(CRONOPLE!$F$14,$M111,BG$13))))</f>
        <v>1000000000000</v>
      </c>
      <c r="BH111" s="215">
        <f ca="1">IF($D111&lt;&gt;"Serviço",0,IF(AND(AUTOEVENTO="Manual",$M111=1),0,IF(OFFSET(CRONOPLE!$F$14,$M111,BH$13)="",10^12,OFFSET(CRONOPLE!$F$14,$M111,BH$13))))</f>
        <v>1000000000000</v>
      </c>
      <c r="BI111" s="215">
        <f ca="1">IF($D111&lt;&gt;"Serviço",0,IF(AND(AUTOEVENTO="Manual",$M111=1),0,IF(OFFSET(CRONOPLE!$F$14,$M111,BI$13)="",10^12,OFFSET(CRONOPLE!$F$14,$M111,BI$13))))</f>
        <v>1000000000000</v>
      </c>
      <c r="BJ111" s="215">
        <f ca="1">IF($D111&lt;&gt;"Serviço",0,IF(AND(AUTOEVENTO="Manual",$M111=1),0,IF(OFFSET(CRONOPLE!$F$14,$M111,BJ$13)="",10^12,OFFSET(CRONOPLE!$F$14,$M111,BJ$13))))</f>
        <v>1000000000000</v>
      </c>
      <c r="BK111" s="215">
        <f ca="1">IF($D111&lt;&gt;"Serviço",0,IF(AND(AUTOEVENTO="Manual",$M111=1),0,IF(OFFSET(CRONOPLE!$F$14,$M111,BK$13)="",10^12,OFFSET(CRONOPLE!$F$14,$M111,BK$13))))</f>
        <v>1000000000000</v>
      </c>
      <c r="BL111" s="215">
        <f ca="1">IF($D111&lt;&gt;"Serviço",0,IF(AND(AUTOEVENTO="Manual",$M111=1),0,IF(OFFSET(CRONOPLE!$F$14,$M111,BL$13)="",10^12,OFFSET(CRONOPLE!$F$14,$M111,BL$13))))</f>
        <v>1000000000000</v>
      </c>
      <c r="BM111" s="215">
        <f ca="1">IF($D111&lt;&gt;"Serviço",0,IF(AND(AUTOEVENTO="Manual",$M111=1),0,IF(OFFSET(CRONOPLE!$F$14,$M111,BM$13)="",10^12,OFFSET(CRONOPLE!$F$14,$M111,BM$13))))</f>
        <v>1000000000000</v>
      </c>
      <c r="BN111" s="215">
        <f ca="1">IF($D111&lt;&gt;"Serviço",0,IF(AND(AUTOEVENTO="Manual",$M111=1),0,IF(OFFSET(CRONOPLE!$F$14,$M111,BN$13)="",10^12,OFFSET(CRONOPLE!$F$14,$M111,BN$13))))</f>
        <v>1000000000000</v>
      </c>
      <c r="BO111" s="215">
        <f ca="1">IF($D111&lt;&gt;"Serviço",0,IF(AND(AUTOEVENTO="Manual",$M111=1),0,IF(OFFSET(CRONOPLE!$F$14,$M111,BO$13)="",10^12,OFFSET(CRONOPLE!$F$14,$M111,BO$13))))</f>
        <v>1000000000000</v>
      </c>
      <c r="BP111" s="215">
        <f ca="1">IF($D111&lt;&gt;"Serviço",0,IF(AND(AUTOEVENTO="Manual",$M111=1),0,IF(OFFSET(CRONOPLE!$F$14,$M111,BP$13)="",10^12,OFFSET(CRONOPLE!$F$14,$M111,BP$13))))</f>
        <v>1000000000000</v>
      </c>
      <c r="BQ111" s="215">
        <f ca="1">IF($D111&lt;&gt;"Serviço",0,IF(AND(AUTOEVENTO="Manual",$M111=1),0,IF(OFFSET(CRONOPLE!$F$14,$M111,BQ$13)="",10^12,OFFSET(CRONOPLE!$F$14,$M111,BQ$13))))</f>
        <v>1000000000000</v>
      </c>
      <c r="BR111" s="215">
        <f ca="1">IF($D111&lt;&gt;"Serviço",0,IF(AND(AUTOEVENTO="Manual",$M111=1),0,IF(OFFSET(CRONOPLE!$F$14,$M111,BR$13)="",10^12,OFFSET(CRONOPLE!$F$14,$M111,BR$13))))</f>
        <v>1000000000000</v>
      </c>
      <c r="BS111" s="215">
        <f ca="1">IF($D111&lt;&gt;"Serviço",0,IF(AND(AUTOEVENTO="Manual",$M111=1),0,IF(OFFSET(CRONOPLE!$F$14,$M111,BS$13)="",10^12,OFFSET(CRONOPLE!$F$14,$M111,BS$13))))</f>
        <v>1000000000000</v>
      </c>
      <c r="BT111" s="215">
        <f ca="1">IF($D111&lt;&gt;"Serviço",0,IF(AND(AUTOEVENTO="Manual",$M111=1),0,IF(OFFSET(CRONOPLE!$F$14,$M111,BT$13)="",10^12,OFFSET(CRONOPLE!$F$14,$M111,BT$13))))</f>
        <v>1000000000000</v>
      </c>
      <c r="BV111" s="216">
        <f ca="1">IF($D111&lt;&gt;"Serviço",0,IF(OR(AND(AUTOEVENTO="Manual",$M111=1),$M111&gt;(ROW(PLE.lastrow)-ROW(PLE.firstrow))),0,IF(OFFSET(PLE!$G$14,$M111,BV$13)="",10^12,OFFSET(PLE!$G$14,$M111,BV$13))))</f>
        <v>1000000000000</v>
      </c>
      <c r="BW111" s="216">
        <f ca="1">IF($D111&lt;&gt;"Serviço",0,IF(OR(AND(AUTOEVENTO="Manual",$M111=1),$M111&gt;(ROW(PLE.lastrow)-ROW(PLE.firstrow))),0,IF(OFFSET(PLE!$G$14,$M111,BW$13)="",10^12,OFFSET(PLE!$G$14,$M111,BW$13))))</f>
        <v>1000000000000</v>
      </c>
      <c r="BX111" s="216">
        <f ca="1">IF($D111&lt;&gt;"Serviço",0,IF(OR(AND(AUTOEVENTO="Manual",$M111=1),$M111&gt;(ROW(PLE.lastrow)-ROW(PLE.firstrow))),0,IF(OFFSET(PLE!$G$14,$M111,BX$13)="",10^12,OFFSET(PLE!$G$14,$M111,BX$13))))</f>
        <v>1000000000000</v>
      </c>
      <c r="BY111" s="216">
        <f ca="1">IF($D111&lt;&gt;"Serviço",0,IF(OR(AND(AUTOEVENTO="Manual",$M111=1),$M111&gt;(ROW(PLE.lastrow)-ROW(PLE.firstrow))),0,IF(OFFSET(PLE!$G$14,$M111,BY$13)="",10^12,OFFSET(PLE!$G$14,$M111,BY$13))))</f>
        <v>1000000000000</v>
      </c>
      <c r="BZ111" s="216">
        <f ca="1">IF($D111&lt;&gt;"Serviço",0,IF(OR(AND(AUTOEVENTO="Manual",$M111=1),$M111&gt;(ROW(PLE.lastrow)-ROW(PLE.firstrow))),0,IF(OFFSET(PLE!$G$14,$M111,BZ$13)="",10^12,OFFSET(PLE!$G$14,$M111,BZ$13))))</f>
        <v>1000000000000</v>
      </c>
      <c r="CA111" s="216">
        <f ca="1">IF($D111&lt;&gt;"Serviço",0,IF(OR(AND(AUTOEVENTO="Manual",$M111=1),$M111&gt;(ROW(PLE.lastrow)-ROW(PLE.firstrow))),0,IF(OFFSET(PLE!$G$14,$M111,CA$13)="",10^12,OFFSET(PLE!$G$14,$M111,CA$13))))</f>
        <v>1000000000000</v>
      </c>
      <c r="CB111" s="216">
        <f ca="1">IF($D111&lt;&gt;"Serviço",0,IF(OR(AND(AUTOEVENTO="Manual",$M111=1),$M111&gt;(ROW(PLE.lastrow)-ROW(PLE.firstrow))),0,IF(OFFSET(PLE!$G$14,$M111,CB$13)="",10^12,OFFSET(PLE!$G$14,$M111,CB$13))))</f>
        <v>1000000000000</v>
      </c>
      <c r="CC111" s="216">
        <f ca="1">IF($D111&lt;&gt;"Serviço",0,IF(OR(AND(AUTOEVENTO="Manual",$M111=1),$M111&gt;(ROW(PLE.lastrow)-ROW(PLE.firstrow))),0,IF(OFFSET(PLE!$G$14,$M111,CC$13)="",10^12,OFFSET(PLE!$G$14,$M111,CC$13))))</f>
        <v>1000000000000</v>
      </c>
      <c r="CD111" s="216">
        <f ca="1">IF($D111&lt;&gt;"Serviço",0,IF(OR(AND(AUTOEVENTO="Manual",$M111=1),$M111&gt;(ROW(PLE.lastrow)-ROW(PLE.firstrow))),0,IF(OFFSET(PLE!$G$14,$M111,CD$13)="",10^12,OFFSET(PLE!$G$14,$M111,CD$13))))</f>
        <v>1000000000000</v>
      </c>
      <c r="CE111" s="216">
        <f ca="1">IF($D111&lt;&gt;"Serviço",0,IF(OR(AND(AUTOEVENTO="Manual",$M111=1),$M111&gt;(ROW(PLE.lastrow)-ROW(PLE.firstrow))),0,IF(OFFSET(PLE!$G$14,$M111,CE$13)="",10^12,OFFSET(PLE!$G$14,$M111,CE$13))))</f>
        <v>1000000000000</v>
      </c>
      <c r="CF111" s="216">
        <f ca="1">IF($D111&lt;&gt;"Serviço",0,IF(OR(AND(AUTOEVENTO="Manual",$M111=1),$M111&gt;(ROW(PLE.lastrow)-ROW(PLE.firstrow))),0,IF(OFFSET(PLE!$G$14,$M111,CF$13)="",10^12,OFFSET(PLE!$G$14,$M111,CF$13))))</f>
        <v>1000000000000</v>
      </c>
      <c r="CG111" s="216">
        <f ca="1">IF($D111&lt;&gt;"Serviço",0,IF(OR(AND(AUTOEVENTO="Manual",$M111=1),$M111&gt;(ROW(PLE.lastrow)-ROW(PLE.firstrow))),0,IF(OFFSET(PLE!$G$14,$M111,CG$13)="",10^12,OFFSET(PLE!$G$14,$M111,CG$13))))</f>
        <v>1000000000000</v>
      </c>
      <c r="CH111" s="216">
        <f ca="1">IF($D111&lt;&gt;"Serviço",0,IF(OR(AND(AUTOEVENTO="Manual",$M111=1),$M111&gt;(ROW(PLE.lastrow)-ROW(PLE.firstrow))),0,IF(OFFSET(PLE!$G$14,$M111,CH$13)="",10^12,OFFSET(PLE!$G$14,$M111,CH$13))))</f>
        <v>1000000000000</v>
      </c>
      <c r="CI111" s="216">
        <f ca="1">IF($D111&lt;&gt;"Serviço",0,IF(OR(AND(AUTOEVENTO="Manual",$M111=1),$M111&gt;(ROW(PLE.lastrow)-ROW(PLE.firstrow))),0,IF(OFFSET(PLE!$G$14,$M111,CI$13)="",10^12,OFFSET(PLE!$G$14,$M111,CI$13))))</f>
        <v>1000000000000</v>
      </c>
      <c r="CJ111" s="216">
        <f ca="1">IF($D111&lt;&gt;"Serviço",0,IF(OR(AND(AUTOEVENTO="Manual",$M111=1),$M111&gt;(ROW(PLE.lastrow)-ROW(PLE.firstrow))),0,IF(OFFSET(PLE!$G$14,$M111,CJ$13)="",10^12,OFFSET(PLE!$G$14,$M111,CJ$13))))</f>
        <v>1000000000000</v>
      </c>
      <c r="CK111" s="216">
        <f ca="1">IF($D111&lt;&gt;"Serviço",0,IF(OR(AND(AUTOEVENTO="Manual",$M111=1),$M111&gt;(ROW(PLE.lastrow)-ROW(PLE.firstrow))),0,IF(OFFSET(PLE!$G$14,$M111,CK$13)="",10^12,OFFSET(PLE!$G$14,$M111,CK$13))))</f>
        <v>1000000000000</v>
      </c>
      <c r="CL111" s="216">
        <f ca="1">IF($D111&lt;&gt;"Serviço",0,IF(OR(AND(AUTOEVENTO="Manual",$M111=1),$M111&gt;(ROW(PLE.lastrow)-ROW(PLE.firstrow))),0,IF(OFFSET(PLE!$G$14,$M111,CL$13)="",10^12,OFFSET(PLE!$G$14,$M111,CL$13))))</f>
        <v>1000000000000</v>
      </c>
      <c r="CM111" s="216">
        <f ca="1">IF($D111&lt;&gt;"Serviço",0,IF(OR(AND(AUTOEVENTO="Manual",$M111=1),$M111&gt;(ROW(PLE.lastrow)-ROW(PLE.firstrow))),0,IF(OFFSET(PLE!$G$14,$M111,CM$13)="",10^12,OFFSET(PLE!$G$14,$M111,CM$13))))</f>
        <v>1000000000000</v>
      </c>
    </row>
    <row r="112" spans="1:91" ht="13.2" x14ac:dyDescent="0.25">
      <c r="A112" s="9">
        <f t="shared" ca="1" si="10"/>
        <v>0</v>
      </c>
      <c r="B112" s="9">
        <f ca="1">OFFSET(ORÇAMENTO!C$15,ROW(B112)-ROW(B$15),0)</f>
        <v>3</v>
      </c>
      <c r="C112" s="9" t="str">
        <f ca="1">OFFSET(ORÇAMENTO!L$15,ROW(C112)-ROW(C$15),0)</f>
        <v>F</v>
      </c>
      <c r="D112" s="145" t="str">
        <f ca="1">OFFSET(ORÇAMENTO!N$15,ROW(D112)-ROW(D$15),0)</f>
        <v>Nível 3</v>
      </c>
      <c r="E112" s="205" t="str">
        <f ca="1">OFFSET(ORÇAMENTO!O$15,ROW(E112)-ROW(E$15),0)</f>
        <v>1.4.4.</v>
      </c>
      <c r="F112" s="206" t="str">
        <f ca="1">OFFSET(ORÇAMENTO!R$15,ROW(F112)-ROW(F$15),0)</f>
        <v>CONCRETO ARMADO - VIGAS</v>
      </c>
      <c r="G112" s="207" t="str">
        <f ca="1">IF($D112&lt;&gt;"Serviço","",OFFSET(ORÇAMENTO!S$15,ROW(G112)-ROW(G$15),0))</f>
        <v/>
      </c>
      <c r="H112" s="151">
        <f ca="1">IF($D112&lt;&gt;"Serviço",0,IF(ACOMPANHAMENTO="BM",ROUND(OFFSET(ORÇAMENTO!AJ$15,ROW(H112)-ROW(H$15),0),15-13*ORÇAMENTO!$AF$7),SUMPRODUCT(($Q$12:$AI$12&lt;&gt;"")*ROUND($Q112:$AI112,15-13*ORÇAMENTO!$AF$7))))</f>
        <v>0</v>
      </c>
      <c r="I112" s="650"/>
      <c r="K112" s="208"/>
      <c r="L112" s="209" t="s">
        <v>257</v>
      </c>
      <c r="M112" s="210" t="str">
        <f ca="1">IF($D112&lt;&gt;"Serviço","",IF(AUTOEVENTO="manual",$A112,IF(ISERROR(MATCH($A112,$A$15:OFFSET($A112,-1,0),0)),MAX($M$15:OFFSET(M112,-1,0))+1,INDEX($M$15:OFFSET(M112,-1,0),MATCH($A112,$A$15:OFFSET($A112,-1,0),0)))))</f>
        <v/>
      </c>
      <c r="N112" s="211" t="str">
        <f ca="1">IF($D112&lt;&gt;"Serviço","",IF(AUTOEVENTO="Manual",IF($A112=0,"&lt;-- defina o número do agrupador",OFFSET(EVENTOS!$D$14,$A112,0)),OFFSET($F$15,$A112,0)))</f>
        <v/>
      </c>
      <c r="O112" s="212"/>
      <c r="Q112" s="212"/>
      <c r="R112" s="213"/>
      <c r="S112" s="213"/>
      <c r="T112" s="213"/>
      <c r="U112" s="213"/>
      <c r="V112" s="213"/>
      <c r="W112" s="213"/>
      <c r="X112" s="213"/>
      <c r="Y112" s="213"/>
      <c r="Z112" s="214"/>
      <c r="AA112" s="213"/>
      <c r="AB112" s="213"/>
      <c r="AC112" s="213"/>
      <c r="AD112" s="213"/>
      <c r="AE112" s="213"/>
      <c r="AF112" s="213"/>
      <c r="AG112" s="213"/>
      <c r="AH112" s="214"/>
      <c r="AJ112" s="631">
        <f ca="1">IF(AND($D112="Serviço",AJ$12&lt;&gt;0,$H112&gt;0,OR(AUTOEVENTO&lt;&gt;"manual",$M112&lt;&gt;1)),ROUND(OFFSET($P112,0,AJ$13),15-13*ORÇAMENTO!$AF$7)/$H112*OFFSET(ORÇAMENTO!$X$15,ROW(AJ112)-ROW(AJ$15),0),0)</f>
        <v>0</v>
      </c>
      <c r="AK112" s="632">
        <f ca="1">IF(AND($D112="Serviço",AK$12&lt;&gt;0,$H112&gt;0,OR(AUTOEVENTO&lt;&gt;"manual",$M112&lt;&gt;1)),ROUND(OFFSET($P112,0,AK$13),15-13*ORÇAMENTO!$AF$7)/$H112*OFFSET(ORÇAMENTO!$X$15,ROW(AK112)-ROW(AK$15),0),0)</f>
        <v>0</v>
      </c>
      <c r="AL112" s="632">
        <f ca="1">IF(AND($D112="Serviço",AL$12&lt;&gt;0,$H112&gt;0,OR(AUTOEVENTO&lt;&gt;"manual",$M112&lt;&gt;1)),ROUND(OFFSET($P112,0,AL$13),15-13*ORÇAMENTO!$AF$7)/$H112*OFFSET(ORÇAMENTO!$X$15,ROW(AL112)-ROW(AL$15),0),0)</f>
        <v>0</v>
      </c>
      <c r="AM112" s="632">
        <f ca="1">IF(AND($D112="Serviço",AM$12&lt;&gt;0,$H112&gt;0,OR(AUTOEVENTO&lt;&gt;"manual",$M112&lt;&gt;1)),ROUND(OFFSET($P112,0,AM$13),15-13*ORÇAMENTO!$AF$7)/$H112*OFFSET(ORÇAMENTO!$X$15,ROW(AM112)-ROW(AM$15),0),0)</f>
        <v>0</v>
      </c>
      <c r="AN112" s="632">
        <f ca="1">IF(AND($D112="Serviço",AN$12&lt;&gt;0,$H112&gt;0,OR(AUTOEVENTO&lt;&gt;"manual",$M112&lt;&gt;1)),ROUND(OFFSET($P112,0,AN$13),15-13*ORÇAMENTO!$AF$7)/$H112*OFFSET(ORÇAMENTO!$X$15,ROW(AN112)-ROW(AN$15),0),0)</f>
        <v>0</v>
      </c>
      <c r="AO112" s="632">
        <f ca="1">IF(AND($D112="Serviço",AO$12&lt;&gt;0,$H112&gt;0,OR(AUTOEVENTO&lt;&gt;"manual",$M112&lt;&gt;1)),ROUND(OFFSET($P112,0,AO$13),15-13*ORÇAMENTO!$AF$7)/$H112*OFFSET(ORÇAMENTO!$X$15,ROW(AO112)-ROW(AO$15),0),0)</f>
        <v>0</v>
      </c>
      <c r="AP112" s="632">
        <f ca="1">IF(AND($D112="Serviço",AP$12&lt;&gt;0,$H112&gt;0,OR(AUTOEVENTO&lt;&gt;"manual",$M112&lt;&gt;1)),ROUND(OFFSET($P112,0,AP$13),15-13*ORÇAMENTO!$AF$7)/$H112*OFFSET(ORÇAMENTO!$X$15,ROW(AP112)-ROW(AP$15),0),0)</f>
        <v>0</v>
      </c>
      <c r="AQ112" s="632">
        <f ca="1">IF(AND($D112="Serviço",AQ$12&lt;&gt;0,$H112&gt;0,OR(AUTOEVENTO&lt;&gt;"manual",$M112&lt;&gt;1)),ROUND(OFFSET($P112,0,AQ$13),15-13*ORÇAMENTO!$AF$7)/$H112*OFFSET(ORÇAMENTO!$X$15,ROW(AQ112)-ROW(AQ$15),0),0)</f>
        <v>0</v>
      </c>
      <c r="AR112" s="632">
        <f ca="1">IF(AND($D112="Serviço",AR$12&lt;&gt;0,$H112&gt;0,OR(AUTOEVENTO&lt;&gt;"manual",$M112&lt;&gt;1)),ROUND(OFFSET($P112,0,AR$13),15-13*ORÇAMENTO!$AF$7)/$H112*OFFSET(ORÇAMENTO!$X$15,ROW(AR112)-ROW(AR$15),0),0)</f>
        <v>0</v>
      </c>
      <c r="AS112" s="633">
        <f ca="1">IF(AND($D112="Serviço",AS$12&lt;&gt;0,$H112&gt;0,OR(AUTOEVENTO&lt;&gt;"manual",$M112&lt;&gt;1)),ROUND(OFFSET($P112,0,AS$13),15-13*ORÇAMENTO!$AF$7)/$H112*OFFSET(ORÇAMENTO!$X$15,ROW(AS112)-ROW(AS$15),0),0)</f>
        <v>0</v>
      </c>
      <c r="AT112" s="632">
        <f ca="1">IF(AND($D112="Serviço",AT$12&lt;&gt;0,$H112&gt;0,OR(AUTOEVENTO&lt;&gt;"manual",$M112&lt;&gt;1)),ROUND(OFFSET($P112,0,AT$13),15-13*ORÇAMENTO!$AF$7)/$H112*OFFSET(ORÇAMENTO!$X$15,ROW(AT112)-ROW(AT$15),0),0)</f>
        <v>0</v>
      </c>
      <c r="AU112" s="632">
        <f ca="1">IF(AND($D112="Serviço",AU$12&lt;&gt;0,$H112&gt;0,OR(AUTOEVENTO&lt;&gt;"manual",$M112&lt;&gt;1)),ROUND(OFFSET($P112,0,AU$13),15-13*ORÇAMENTO!$AF$7)/$H112*OFFSET(ORÇAMENTO!$X$15,ROW(AU112)-ROW(AU$15),0),0)</f>
        <v>0</v>
      </c>
      <c r="AV112" s="632">
        <f ca="1">IF(AND($D112="Serviço",AV$12&lt;&gt;0,$H112&gt;0,OR(AUTOEVENTO&lt;&gt;"manual",$M112&lt;&gt;1)),ROUND(OFFSET($P112,0,AV$13),15-13*ORÇAMENTO!$AF$7)/$H112*OFFSET(ORÇAMENTO!$X$15,ROW(AV112)-ROW(AV$15),0),0)</f>
        <v>0</v>
      </c>
      <c r="AW112" s="632">
        <f ca="1">IF(AND($D112="Serviço",AW$12&lt;&gt;0,$H112&gt;0,OR(AUTOEVENTO&lt;&gt;"manual",$M112&lt;&gt;1)),ROUND(OFFSET($P112,0,AW$13),15-13*ORÇAMENTO!$AF$7)/$H112*OFFSET(ORÇAMENTO!$X$15,ROW(AW112)-ROW(AW$15),0),0)</f>
        <v>0</v>
      </c>
      <c r="AX112" s="632">
        <f ca="1">IF(AND($D112="Serviço",AX$12&lt;&gt;0,$H112&gt;0,OR(AUTOEVENTO&lt;&gt;"manual",$M112&lt;&gt;1)),ROUND(OFFSET($P112,0,AX$13),15-13*ORÇAMENTO!$AF$7)/$H112*OFFSET(ORÇAMENTO!$X$15,ROW(AX112)-ROW(AX$15),0),0)</f>
        <v>0</v>
      </c>
      <c r="AY112" s="632">
        <f ca="1">IF(AND($D112="Serviço",AY$12&lt;&gt;0,$H112&gt;0,OR(AUTOEVENTO&lt;&gt;"manual",$M112&lt;&gt;1)),ROUND(OFFSET($P112,0,AY$13),15-13*ORÇAMENTO!$AF$7)/$H112*OFFSET(ORÇAMENTO!$X$15,ROW(AY112)-ROW(AY$15),0),0)</f>
        <v>0</v>
      </c>
      <c r="AZ112" s="632">
        <f ca="1">IF(AND($D112="Serviço",AZ$12&lt;&gt;0,$H112&gt;0,OR(AUTOEVENTO&lt;&gt;"manual",$M112&lt;&gt;1)),ROUND(OFFSET($P112,0,AZ$13),15-13*ORÇAMENTO!$AF$7)/$H112*OFFSET(ORÇAMENTO!$X$15,ROW(AZ112)-ROW(AZ$15),0),0)</f>
        <v>0</v>
      </c>
      <c r="BA112" s="633">
        <f ca="1">IF(AND($D112="Serviço",BA$12&lt;&gt;0,$H112&gt;0,OR(AUTOEVENTO&lt;&gt;"manual",$M112&lt;&gt;1)),ROUND(OFFSET($P112,0,BA$13),15-13*ORÇAMENTO!$AF$7)/$H112*OFFSET(ORÇAMENTO!$X$15,ROW(BA112)-ROW(BA$15),0),0)</f>
        <v>0</v>
      </c>
      <c r="BC112" s="215">
        <f ca="1">IF($D112&lt;&gt;"Serviço",0,IF(AND(AUTOEVENTO="Manual",$M112=1),0,IF(OFFSET(CRONOPLE!$F$14,$M112,BC$13)="",10^12,OFFSET(CRONOPLE!$F$14,$M112,BC$13))))</f>
        <v>0</v>
      </c>
      <c r="BD112" s="215">
        <f ca="1">IF($D112&lt;&gt;"Serviço",0,IF(AND(AUTOEVENTO="Manual",$M112=1),0,IF(OFFSET(CRONOPLE!$F$14,$M112,BD$13)="",10^12,OFFSET(CRONOPLE!$F$14,$M112,BD$13))))</f>
        <v>0</v>
      </c>
      <c r="BE112" s="215">
        <f ca="1">IF($D112&lt;&gt;"Serviço",0,IF(AND(AUTOEVENTO="Manual",$M112=1),0,IF(OFFSET(CRONOPLE!$F$14,$M112,BE$13)="",10^12,OFFSET(CRONOPLE!$F$14,$M112,BE$13))))</f>
        <v>0</v>
      </c>
      <c r="BF112" s="215">
        <f ca="1">IF($D112&lt;&gt;"Serviço",0,IF(AND(AUTOEVENTO="Manual",$M112=1),0,IF(OFFSET(CRONOPLE!$F$14,$M112,BF$13)="",10^12,OFFSET(CRONOPLE!$F$14,$M112,BF$13))))</f>
        <v>0</v>
      </c>
      <c r="BG112" s="215">
        <f ca="1">IF($D112&lt;&gt;"Serviço",0,IF(AND(AUTOEVENTO="Manual",$M112=1),0,IF(OFFSET(CRONOPLE!$F$14,$M112,BG$13)="",10^12,OFFSET(CRONOPLE!$F$14,$M112,BG$13))))</f>
        <v>0</v>
      </c>
      <c r="BH112" s="215">
        <f ca="1">IF($D112&lt;&gt;"Serviço",0,IF(AND(AUTOEVENTO="Manual",$M112=1),0,IF(OFFSET(CRONOPLE!$F$14,$M112,BH$13)="",10^12,OFFSET(CRONOPLE!$F$14,$M112,BH$13))))</f>
        <v>0</v>
      </c>
      <c r="BI112" s="215">
        <f ca="1">IF($D112&lt;&gt;"Serviço",0,IF(AND(AUTOEVENTO="Manual",$M112=1),0,IF(OFFSET(CRONOPLE!$F$14,$M112,BI$13)="",10^12,OFFSET(CRONOPLE!$F$14,$M112,BI$13))))</f>
        <v>0</v>
      </c>
      <c r="BJ112" s="215">
        <f ca="1">IF($D112&lt;&gt;"Serviço",0,IF(AND(AUTOEVENTO="Manual",$M112=1),0,IF(OFFSET(CRONOPLE!$F$14,$M112,BJ$13)="",10^12,OFFSET(CRONOPLE!$F$14,$M112,BJ$13))))</f>
        <v>0</v>
      </c>
      <c r="BK112" s="215">
        <f ca="1">IF($D112&lt;&gt;"Serviço",0,IF(AND(AUTOEVENTO="Manual",$M112=1),0,IF(OFFSET(CRONOPLE!$F$14,$M112,BK$13)="",10^12,OFFSET(CRONOPLE!$F$14,$M112,BK$13))))</f>
        <v>0</v>
      </c>
      <c r="BL112" s="215">
        <f ca="1">IF($D112&lt;&gt;"Serviço",0,IF(AND(AUTOEVENTO="Manual",$M112=1),0,IF(OFFSET(CRONOPLE!$F$14,$M112,BL$13)="",10^12,OFFSET(CRONOPLE!$F$14,$M112,BL$13))))</f>
        <v>0</v>
      </c>
      <c r="BM112" s="215">
        <f ca="1">IF($D112&lt;&gt;"Serviço",0,IF(AND(AUTOEVENTO="Manual",$M112=1),0,IF(OFFSET(CRONOPLE!$F$14,$M112,BM$13)="",10^12,OFFSET(CRONOPLE!$F$14,$M112,BM$13))))</f>
        <v>0</v>
      </c>
      <c r="BN112" s="215">
        <f ca="1">IF($D112&lt;&gt;"Serviço",0,IF(AND(AUTOEVENTO="Manual",$M112=1),0,IF(OFFSET(CRONOPLE!$F$14,$M112,BN$13)="",10^12,OFFSET(CRONOPLE!$F$14,$M112,BN$13))))</f>
        <v>0</v>
      </c>
      <c r="BO112" s="215">
        <f ca="1">IF($D112&lt;&gt;"Serviço",0,IF(AND(AUTOEVENTO="Manual",$M112=1),0,IF(OFFSET(CRONOPLE!$F$14,$M112,BO$13)="",10^12,OFFSET(CRONOPLE!$F$14,$M112,BO$13))))</f>
        <v>0</v>
      </c>
      <c r="BP112" s="215">
        <f ca="1">IF($D112&lt;&gt;"Serviço",0,IF(AND(AUTOEVENTO="Manual",$M112=1),0,IF(OFFSET(CRONOPLE!$F$14,$M112,BP$13)="",10^12,OFFSET(CRONOPLE!$F$14,$M112,BP$13))))</f>
        <v>0</v>
      </c>
      <c r="BQ112" s="215">
        <f ca="1">IF($D112&lt;&gt;"Serviço",0,IF(AND(AUTOEVENTO="Manual",$M112=1),0,IF(OFFSET(CRONOPLE!$F$14,$M112,BQ$13)="",10^12,OFFSET(CRONOPLE!$F$14,$M112,BQ$13))))</f>
        <v>0</v>
      </c>
      <c r="BR112" s="215">
        <f ca="1">IF($D112&lt;&gt;"Serviço",0,IF(AND(AUTOEVENTO="Manual",$M112=1),0,IF(OFFSET(CRONOPLE!$F$14,$M112,BR$13)="",10^12,OFFSET(CRONOPLE!$F$14,$M112,BR$13))))</f>
        <v>0</v>
      </c>
      <c r="BS112" s="215">
        <f ca="1">IF($D112&lt;&gt;"Serviço",0,IF(AND(AUTOEVENTO="Manual",$M112=1),0,IF(OFFSET(CRONOPLE!$F$14,$M112,BS$13)="",10^12,OFFSET(CRONOPLE!$F$14,$M112,BS$13))))</f>
        <v>0</v>
      </c>
      <c r="BT112" s="215">
        <f ca="1">IF($D112&lt;&gt;"Serviço",0,IF(AND(AUTOEVENTO="Manual",$M112=1),0,IF(OFFSET(CRONOPLE!$F$14,$M112,BT$13)="",10^12,OFFSET(CRONOPLE!$F$14,$M112,BT$13))))</f>
        <v>0</v>
      </c>
      <c r="BV112" s="216">
        <f ca="1">IF($D112&lt;&gt;"Serviço",0,IF(OR(AND(AUTOEVENTO="Manual",$M112=1),$M112&gt;(ROW(PLE.lastrow)-ROW(PLE.firstrow))),0,IF(OFFSET(PLE!$G$14,$M112,BV$13)="",10^12,OFFSET(PLE!$G$14,$M112,BV$13))))</f>
        <v>0</v>
      </c>
      <c r="BW112" s="216">
        <f ca="1">IF($D112&lt;&gt;"Serviço",0,IF(OR(AND(AUTOEVENTO="Manual",$M112=1),$M112&gt;(ROW(PLE.lastrow)-ROW(PLE.firstrow))),0,IF(OFFSET(PLE!$G$14,$M112,BW$13)="",10^12,OFFSET(PLE!$G$14,$M112,BW$13))))</f>
        <v>0</v>
      </c>
      <c r="BX112" s="216">
        <f ca="1">IF($D112&lt;&gt;"Serviço",0,IF(OR(AND(AUTOEVENTO="Manual",$M112=1),$M112&gt;(ROW(PLE.lastrow)-ROW(PLE.firstrow))),0,IF(OFFSET(PLE!$G$14,$M112,BX$13)="",10^12,OFFSET(PLE!$G$14,$M112,BX$13))))</f>
        <v>0</v>
      </c>
      <c r="BY112" s="216">
        <f ca="1">IF($D112&lt;&gt;"Serviço",0,IF(OR(AND(AUTOEVENTO="Manual",$M112=1),$M112&gt;(ROW(PLE.lastrow)-ROW(PLE.firstrow))),0,IF(OFFSET(PLE!$G$14,$M112,BY$13)="",10^12,OFFSET(PLE!$G$14,$M112,BY$13))))</f>
        <v>0</v>
      </c>
      <c r="BZ112" s="216">
        <f ca="1">IF($D112&lt;&gt;"Serviço",0,IF(OR(AND(AUTOEVENTO="Manual",$M112=1),$M112&gt;(ROW(PLE.lastrow)-ROW(PLE.firstrow))),0,IF(OFFSET(PLE!$G$14,$M112,BZ$13)="",10^12,OFFSET(PLE!$G$14,$M112,BZ$13))))</f>
        <v>0</v>
      </c>
      <c r="CA112" s="216">
        <f ca="1">IF($D112&lt;&gt;"Serviço",0,IF(OR(AND(AUTOEVENTO="Manual",$M112=1),$M112&gt;(ROW(PLE.lastrow)-ROW(PLE.firstrow))),0,IF(OFFSET(PLE!$G$14,$M112,CA$13)="",10^12,OFFSET(PLE!$G$14,$M112,CA$13))))</f>
        <v>0</v>
      </c>
      <c r="CB112" s="216">
        <f ca="1">IF($D112&lt;&gt;"Serviço",0,IF(OR(AND(AUTOEVENTO="Manual",$M112=1),$M112&gt;(ROW(PLE.lastrow)-ROW(PLE.firstrow))),0,IF(OFFSET(PLE!$G$14,$M112,CB$13)="",10^12,OFFSET(PLE!$G$14,$M112,CB$13))))</f>
        <v>0</v>
      </c>
      <c r="CC112" s="216">
        <f ca="1">IF($D112&lt;&gt;"Serviço",0,IF(OR(AND(AUTOEVENTO="Manual",$M112=1),$M112&gt;(ROW(PLE.lastrow)-ROW(PLE.firstrow))),0,IF(OFFSET(PLE!$G$14,$M112,CC$13)="",10^12,OFFSET(PLE!$G$14,$M112,CC$13))))</f>
        <v>0</v>
      </c>
      <c r="CD112" s="216">
        <f ca="1">IF($D112&lt;&gt;"Serviço",0,IF(OR(AND(AUTOEVENTO="Manual",$M112=1),$M112&gt;(ROW(PLE.lastrow)-ROW(PLE.firstrow))),0,IF(OFFSET(PLE!$G$14,$M112,CD$13)="",10^12,OFFSET(PLE!$G$14,$M112,CD$13))))</f>
        <v>0</v>
      </c>
      <c r="CE112" s="216">
        <f ca="1">IF($D112&lt;&gt;"Serviço",0,IF(OR(AND(AUTOEVENTO="Manual",$M112=1),$M112&gt;(ROW(PLE.lastrow)-ROW(PLE.firstrow))),0,IF(OFFSET(PLE!$G$14,$M112,CE$13)="",10^12,OFFSET(PLE!$G$14,$M112,CE$13))))</f>
        <v>0</v>
      </c>
      <c r="CF112" s="216">
        <f ca="1">IF($D112&lt;&gt;"Serviço",0,IF(OR(AND(AUTOEVENTO="Manual",$M112=1),$M112&gt;(ROW(PLE.lastrow)-ROW(PLE.firstrow))),0,IF(OFFSET(PLE!$G$14,$M112,CF$13)="",10^12,OFFSET(PLE!$G$14,$M112,CF$13))))</f>
        <v>0</v>
      </c>
      <c r="CG112" s="216">
        <f ca="1">IF($D112&lt;&gt;"Serviço",0,IF(OR(AND(AUTOEVENTO="Manual",$M112=1),$M112&gt;(ROW(PLE.lastrow)-ROW(PLE.firstrow))),0,IF(OFFSET(PLE!$G$14,$M112,CG$13)="",10^12,OFFSET(PLE!$G$14,$M112,CG$13))))</f>
        <v>0</v>
      </c>
      <c r="CH112" s="216">
        <f ca="1">IF($D112&lt;&gt;"Serviço",0,IF(OR(AND(AUTOEVENTO="Manual",$M112=1),$M112&gt;(ROW(PLE.lastrow)-ROW(PLE.firstrow))),0,IF(OFFSET(PLE!$G$14,$M112,CH$13)="",10^12,OFFSET(PLE!$G$14,$M112,CH$13))))</f>
        <v>0</v>
      </c>
      <c r="CI112" s="216">
        <f ca="1">IF($D112&lt;&gt;"Serviço",0,IF(OR(AND(AUTOEVENTO="Manual",$M112=1),$M112&gt;(ROW(PLE.lastrow)-ROW(PLE.firstrow))),0,IF(OFFSET(PLE!$G$14,$M112,CI$13)="",10^12,OFFSET(PLE!$G$14,$M112,CI$13))))</f>
        <v>0</v>
      </c>
      <c r="CJ112" s="216">
        <f ca="1">IF($D112&lt;&gt;"Serviço",0,IF(OR(AND(AUTOEVENTO="Manual",$M112=1),$M112&gt;(ROW(PLE.lastrow)-ROW(PLE.firstrow))),0,IF(OFFSET(PLE!$G$14,$M112,CJ$13)="",10^12,OFFSET(PLE!$G$14,$M112,CJ$13))))</f>
        <v>0</v>
      </c>
      <c r="CK112" s="216">
        <f ca="1">IF($D112&lt;&gt;"Serviço",0,IF(OR(AND(AUTOEVENTO="Manual",$M112=1),$M112&gt;(ROW(PLE.lastrow)-ROW(PLE.firstrow))),0,IF(OFFSET(PLE!$G$14,$M112,CK$13)="",10^12,OFFSET(PLE!$G$14,$M112,CK$13))))</f>
        <v>0</v>
      </c>
      <c r="CL112" s="216">
        <f ca="1">IF($D112&lt;&gt;"Serviço",0,IF(OR(AND(AUTOEVENTO="Manual",$M112=1),$M112&gt;(ROW(PLE.lastrow)-ROW(PLE.firstrow))),0,IF(OFFSET(PLE!$G$14,$M112,CL$13)="",10^12,OFFSET(PLE!$G$14,$M112,CL$13))))</f>
        <v>0</v>
      </c>
      <c r="CM112" s="216">
        <f ca="1">IF($D112&lt;&gt;"Serviço",0,IF(OR(AND(AUTOEVENTO="Manual",$M112=1),$M112&gt;(ROW(PLE.lastrow)-ROW(PLE.firstrow))),0,IF(OFFSET(PLE!$G$14,$M112,CM$13)="",10^12,OFFSET(PLE!$G$14,$M112,CM$13))))</f>
        <v>0</v>
      </c>
    </row>
    <row r="113" spans="1:91" ht="13.2" x14ac:dyDescent="0.25">
      <c r="A113" s="9">
        <f t="shared" ca="1" si="10"/>
        <v>0</v>
      </c>
      <c r="B113" s="9" t="str">
        <f ca="1">OFFSET(ORÇAMENTO!C$15,ROW(B113)-ROW(B$15),0)</f>
        <v>S</v>
      </c>
      <c r="C113" s="9" t="str">
        <f ca="1">OFFSET(ORÇAMENTO!L$15,ROW(C113)-ROW(C$15),0)</f>
        <v/>
      </c>
      <c r="D113" s="145" t="str">
        <f ca="1">OFFSET(ORÇAMENTO!N$15,ROW(D113)-ROW(D$15),0)</f>
        <v>Serviço</v>
      </c>
      <c r="E113" s="205" t="str">
        <f ca="1">OFFSET(ORÇAMENTO!O$15,ROW(E113)-ROW(E$15),0)</f>
        <v>-</v>
      </c>
      <c r="F113" s="206" t="str">
        <f ca="1">OFFSET(ORÇAMENTO!R$15,ROW(F113)-ROW(F$15),0)</f>
        <v>(abra o arquivo 'Referência 05-2024.xls)</v>
      </c>
      <c r="G113" s="207" t="str">
        <f ca="1">IF($D113&lt;&gt;"Serviço","",OFFSET(ORÇAMENTO!S$15,ROW(G113)-ROW(G$15),0))</f>
        <v>-</v>
      </c>
      <c r="H113" s="151">
        <f ca="1">IF($D113&lt;&gt;"Serviço",0,IF(ACOMPANHAMENTO="BM",ROUND(OFFSET(ORÇAMENTO!AJ$15,ROW(H113)-ROW(H$15),0),15-13*ORÇAMENTO!$AF$7),SUMPRODUCT(($Q$12:$AI$12&lt;&gt;"")*ROUND($Q113:$AI113,15-13*ORÇAMENTO!$AF$7))))</f>
        <v>1194.01</v>
      </c>
      <c r="I113" s="650"/>
      <c r="K113" s="208"/>
      <c r="L113" s="209" t="s">
        <v>257</v>
      </c>
      <c r="M113" s="210">
        <f ca="1">IF($D113&lt;&gt;"Serviço","",IF(AUTOEVENTO="manual",$A113,IF(ISERROR(MATCH($A113,$A$15:OFFSET($A113,-1,0),0)),MAX($M$15:OFFSET(M113,-1,0))+1,INDEX($M$15:OFFSET(M113,-1,0),MATCH($A113,$A$15:OFFSET($A113,-1,0),0)))))</f>
        <v>0</v>
      </c>
      <c r="N113" s="211" t="str">
        <f ca="1">IF($D113&lt;&gt;"Serviço","",IF(AUTOEVENTO="Manual",IF($A113=0,"&lt;-- defina o número do agrupador",OFFSET(EVENTOS!$D$14,$A113,0)),OFFSET($F$15,$A113,0)))</f>
        <v>&lt;-- defina o número do agrupador</v>
      </c>
      <c r="O113" s="212"/>
      <c r="Q113" s="212"/>
      <c r="R113" s="213"/>
      <c r="S113" s="213"/>
      <c r="T113" s="213"/>
      <c r="U113" s="213"/>
      <c r="V113" s="213"/>
      <c r="W113" s="213"/>
      <c r="X113" s="213"/>
      <c r="Y113" s="213"/>
      <c r="Z113" s="214"/>
      <c r="AA113" s="213"/>
      <c r="AB113" s="213"/>
      <c r="AC113" s="213"/>
      <c r="AD113" s="213"/>
      <c r="AE113" s="213"/>
      <c r="AF113" s="213"/>
      <c r="AG113" s="213"/>
      <c r="AH113" s="214"/>
      <c r="AJ113" s="631">
        <f ca="1">IF(AND($D113="Serviço",AJ$12&lt;&gt;0,$H113&gt;0,OR(AUTOEVENTO&lt;&gt;"manual",$M113&lt;&gt;1)),ROUND(OFFSET($P113,0,AJ$13),15-13*ORÇAMENTO!$AF$7)/$H113*OFFSET(ORÇAMENTO!$X$15,ROW(AJ113)-ROW(AJ$15),0),0)</f>
        <v>0</v>
      </c>
      <c r="AK113" s="632">
        <f ca="1">IF(AND($D113="Serviço",AK$12&lt;&gt;0,$H113&gt;0,OR(AUTOEVENTO&lt;&gt;"manual",$M113&lt;&gt;1)),ROUND(OFFSET($P113,0,AK$13),15-13*ORÇAMENTO!$AF$7)/$H113*OFFSET(ORÇAMENTO!$X$15,ROW(AK113)-ROW(AK$15),0),0)</f>
        <v>0</v>
      </c>
      <c r="AL113" s="632">
        <f ca="1">IF(AND($D113="Serviço",AL$12&lt;&gt;0,$H113&gt;0,OR(AUTOEVENTO&lt;&gt;"manual",$M113&lt;&gt;1)),ROUND(OFFSET($P113,0,AL$13),15-13*ORÇAMENTO!$AF$7)/$H113*OFFSET(ORÇAMENTO!$X$15,ROW(AL113)-ROW(AL$15),0),0)</f>
        <v>0</v>
      </c>
      <c r="AM113" s="632">
        <f ca="1">IF(AND($D113="Serviço",AM$12&lt;&gt;0,$H113&gt;0,OR(AUTOEVENTO&lt;&gt;"manual",$M113&lt;&gt;1)),ROUND(OFFSET($P113,0,AM$13),15-13*ORÇAMENTO!$AF$7)/$H113*OFFSET(ORÇAMENTO!$X$15,ROW(AM113)-ROW(AM$15),0),0)</f>
        <v>0</v>
      </c>
      <c r="AN113" s="632">
        <f ca="1">IF(AND($D113="Serviço",AN$12&lt;&gt;0,$H113&gt;0,OR(AUTOEVENTO&lt;&gt;"manual",$M113&lt;&gt;1)),ROUND(OFFSET($P113,0,AN$13),15-13*ORÇAMENTO!$AF$7)/$H113*OFFSET(ORÇAMENTO!$X$15,ROW(AN113)-ROW(AN$15),0),0)</f>
        <v>0</v>
      </c>
      <c r="AO113" s="632">
        <f ca="1">IF(AND($D113="Serviço",AO$12&lt;&gt;0,$H113&gt;0,OR(AUTOEVENTO&lt;&gt;"manual",$M113&lt;&gt;1)),ROUND(OFFSET($P113,0,AO$13),15-13*ORÇAMENTO!$AF$7)/$H113*OFFSET(ORÇAMENTO!$X$15,ROW(AO113)-ROW(AO$15),0),0)</f>
        <v>0</v>
      </c>
      <c r="AP113" s="632">
        <f ca="1">IF(AND($D113="Serviço",AP$12&lt;&gt;0,$H113&gt;0,OR(AUTOEVENTO&lt;&gt;"manual",$M113&lt;&gt;1)),ROUND(OFFSET($P113,0,AP$13),15-13*ORÇAMENTO!$AF$7)/$H113*OFFSET(ORÇAMENTO!$X$15,ROW(AP113)-ROW(AP$15),0),0)</f>
        <v>0</v>
      </c>
      <c r="AQ113" s="632">
        <f ca="1">IF(AND($D113="Serviço",AQ$12&lt;&gt;0,$H113&gt;0,OR(AUTOEVENTO&lt;&gt;"manual",$M113&lt;&gt;1)),ROUND(OFFSET($P113,0,AQ$13),15-13*ORÇAMENTO!$AF$7)/$H113*OFFSET(ORÇAMENTO!$X$15,ROW(AQ113)-ROW(AQ$15),0),0)</f>
        <v>0</v>
      </c>
      <c r="AR113" s="632">
        <f ca="1">IF(AND($D113="Serviço",AR$12&lt;&gt;0,$H113&gt;0,OR(AUTOEVENTO&lt;&gt;"manual",$M113&lt;&gt;1)),ROUND(OFFSET($P113,0,AR$13),15-13*ORÇAMENTO!$AF$7)/$H113*OFFSET(ORÇAMENTO!$X$15,ROW(AR113)-ROW(AR$15),0),0)</f>
        <v>0</v>
      </c>
      <c r="AS113" s="633">
        <f ca="1">IF(AND($D113="Serviço",AS$12&lt;&gt;0,$H113&gt;0,OR(AUTOEVENTO&lt;&gt;"manual",$M113&lt;&gt;1)),ROUND(OFFSET($P113,0,AS$13),15-13*ORÇAMENTO!$AF$7)/$H113*OFFSET(ORÇAMENTO!$X$15,ROW(AS113)-ROW(AS$15),0),0)</f>
        <v>0</v>
      </c>
      <c r="AT113" s="632">
        <f ca="1">IF(AND($D113="Serviço",AT$12&lt;&gt;0,$H113&gt;0,OR(AUTOEVENTO&lt;&gt;"manual",$M113&lt;&gt;1)),ROUND(OFFSET($P113,0,AT$13),15-13*ORÇAMENTO!$AF$7)/$H113*OFFSET(ORÇAMENTO!$X$15,ROW(AT113)-ROW(AT$15),0),0)</f>
        <v>0</v>
      </c>
      <c r="AU113" s="632">
        <f ca="1">IF(AND($D113="Serviço",AU$12&lt;&gt;0,$H113&gt;0,OR(AUTOEVENTO&lt;&gt;"manual",$M113&lt;&gt;1)),ROUND(OFFSET($P113,0,AU$13),15-13*ORÇAMENTO!$AF$7)/$H113*OFFSET(ORÇAMENTO!$X$15,ROW(AU113)-ROW(AU$15),0),0)</f>
        <v>0</v>
      </c>
      <c r="AV113" s="632">
        <f ca="1">IF(AND($D113="Serviço",AV$12&lt;&gt;0,$H113&gt;0,OR(AUTOEVENTO&lt;&gt;"manual",$M113&lt;&gt;1)),ROUND(OFFSET($P113,0,AV$13),15-13*ORÇAMENTO!$AF$7)/$H113*OFFSET(ORÇAMENTO!$X$15,ROW(AV113)-ROW(AV$15),0),0)</f>
        <v>0</v>
      </c>
      <c r="AW113" s="632">
        <f ca="1">IF(AND($D113="Serviço",AW$12&lt;&gt;0,$H113&gt;0,OR(AUTOEVENTO&lt;&gt;"manual",$M113&lt;&gt;1)),ROUND(OFFSET($P113,0,AW$13),15-13*ORÇAMENTO!$AF$7)/$H113*OFFSET(ORÇAMENTO!$X$15,ROW(AW113)-ROW(AW$15),0),0)</f>
        <v>0</v>
      </c>
      <c r="AX113" s="632">
        <f ca="1">IF(AND($D113="Serviço",AX$12&lt;&gt;0,$H113&gt;0,OR(AUTOEVENTO&lt;&gt;"manual",$M113&lt;&gt;1)),ROUND(OFFSET($P113,0,AX$13),15-13*ORÇAMENTO!$AF$7)/$H113*OFFSET(ORÇAMENTO!$X$15,ROW(AX113)-ROW(AX$15),0),0)</f>
        <v>0</v>
      </c>
      <c r="AY113" s="632">
        <f ca="1">IF(AND($D113="Serviço",AY$12&lt;&gt;0,$H113&gt;0,OR(AUTOEVENTO&lt;&gt;"manual",$M113&lt;&gt;1)),ROUND(OFFSET($P113,0,AY$13),15-13*ORÇAMENTO!$AF$7)/$H113*OFFSET(ORÇAMENTO!$X$15,ROW(AY113)-ROW(AY$15),0),0)</f>
        <v>0</v>
      </c>
      <c r="AZ113" s="632">
        <f ca="1">IF(AND($D113="Serviço",AZ$12&lt;&gt;0,$H113&gt;0,OR(AUTOEVENTO&lt;&gt;"manual",$M113&lt;&gt;1)),ROUND(OFFSET($P113,0,AZ$13),15-13*ORÇAMENTO!$AF$7)/$H113*OFFSET(ORÇAMENTO!$X$15,ROW(AZ113)-ROW(AZ$15),0),0)</f>
        <v>0</v>
      </c>
      <c r="BA113" s="633">
        <f ca="1">IF(AND($D113="Serviço",BA$12&lt;&gt;0,$H113&gt;0,OR(AUTOEVENTO&lt;&gt;"manual",$M113&lt;&gt;1)),ROUND(OFFSET($P113,0,BA$13),15-13*ORÇAMENTO!$AF$7)/$H113*OFFSET(ORÇAMENTO!$X$15,ROW(BA113)-ROW(BA$15),0),0)</f>
        <v>0</v>
      </c>
      <c r="BC113" s="215">
        <f ca="1">IF($D113&lt;&gt;"Serviço",0,IF(AND(AUTOEVENTO="Manual",$M113=1),0,IF(OFFSET(CRONOPLE!$F$14,$M113,BC$13)="",10^12,OFFSET(CRONOPLE!$F$14,$M113,BC$13))))</f>
        <v>1000000000000</v>
      </c>
      <c r="BD113" s="215">
        <f ca="1">IF($D113&lt;&gt;"Serviço",0,IF(AND(AUTOEVENTO="Manual",$M113=1),0,IF(OFFSET(CRONOPLE!$F$14,$M113,BD$13)="",10^12,OFFSET(CRONOPLE!$F$14,$M113,BD$13))))</f>
        <v>1000000000000</v>
      </c>
      <c r="BE113" s="215">
        <f ca="1">IF($D113&lt;&gt;"Serviço",0,IF(AND(AUTOEVENTO="Manual",$M113=1),0,IF(OFFSET(CRONOPLE!$F$14,$M113,BE$13)="",10^12,OFFSET(CRONOPLE!$F$14,$M113,BE$13))))</f>
        <v>1000000000000</v>
      </c>
      <c r="BF113" s="215">
        <f ca="1">IF($D113&lt;&gt;"Serviço",0,IF(AND(AUTOEVENTO="Manual",$M113=1),0,IF(OFFSET(CRONOPLE!$F$14,$M113,BF$13)="",10^12,OFFSET(CRONOPLE!$F$14,$M113,BF$13))))</f>
        <v>1000000000000</v>
      </c>
      <c r="BG113" s="215">
        <f ca="1">IF($D113&lt;&gt;"Serviço",0,IF(AND(AUTOEVENTO="Manual",$M113=1),0,IF(OFFSET(CRONOPLE!$F$14,$M113,BG$13)="",10^12,OFFSET(CRONOPLE!$F$14,$M113,BG$13))))</f>
        <v>1000000000000</v>
      </c>
      <c r="BH113" s="215">
        <f ca="1">IF($D113&lt;&gt;"Serviço",0,IF(AND(AUTOEVENTO="Manual",$M113=1),0,IF(OFFSET(CRONOPLE!$F$14,$M113,BH$13)="",10^12,OFFSET(CRONOPLE!$F$14,$M113,BH$13))))</f>
        <v>1000000000000</v>
      </c>
      <c r="BI113" s="215">
        <f ca="1">IF($D113&lt;&gt;"Serviço",0,IF(AND(AUTOEVENTO="Manual",$M113=1),0,IF(OFFSET(CRONOPLE!$F$14,$M113,BI$13)="",10^12,OFFSET(CRONOPLE!$F$14,$M113,BI$13))))</f>
        <v>1000000000000</v>
      </c>
      <c r="BJ113" s="215">
        <f ca="1">IF($D113&lt;&gt;"Serviço",0,IF(AND(AUTOEVENTO="Manual",$M113=1),0,IF(OFFSET(CRONOPLE!$F$14,$M113,BJ$13)="",10^12,OFFSET(CRONOPLE!$F$14,$M113,BJ$13))))</f>
        <v>1000000000000</v>
      </c>
      <c r="BK113" s="215">
        <f ca="1">IF($D113&lt;&gt;"Serviço",0,IF(AND(AUTOEVENTO="Manual",$M113=1),0,IF(OFFSET(CRONOPLE!$F$14,$M113,BK$13)="",10^12,OFFSET(CRONOPLE!$F$14,$M113,BK$13))))</f>
        <v>1000000000000</v>
      </c>
      <c r="BL113" s="215">
        <f ca="1">IF($D113&lt;&gt;"Serviço",0,IF(AND(AUTOEVENTO="Manual",$M113=1),0,IF(OFFSET(CRONOPLE!$F$14,$M113,BL$13)="",10^12,OFFSET(CRONOPLE!$F$14,$M113,BL$13))))</f>
        <v>1000000000000</v>
      </c>
      <c r="BM113" s="215">
        <f ca="1">IF($D113&lt;&gt;"Serviço",0,IF(AND(AUTOEVENTO="Manual",$M113=1),0,IF(OFFSET(CRONOPLE!$F$14,$M113,BM$13)="",10^12,OFFSET(CRONOPLE!$F$14,$M113,BM$13))))</f>
        <v>1000000000000</v>
      </c>
      <c r="BN113" s="215">
        <f ca="1">IF($D113&lt;&gt;"Serviço",0,IF(AND(AUTOEVENTO="Manual",$M113=1),0,IF(OFFSET(CRONOPLE!$F$14,$M113,BN$13)="",10^12,OFFSET(CRONOPLE!$F$14,$M113,BN$13))))</f>
        <v>1000000000000</v>
      </c>
      <c r="BO113" s="215">
        <f ca="1">IF($D113&lt;&gt;"Serviço",0,IF(AND(AUTOEVENTO="Manual",$M113=1),0,IF(OFFSET(CRONOPLE!$F$14,$M113,BO$13)="",10^12,OFFSET(CRONOPLE!$F$14,$M113,BO$13))))</f>
        <v>1000000000000</v>
      </c>
      <c r="BP113" s="215">
        <f ca="1">IF($D113&lt;&gt;"Serviço",0,IF(AND(AUTOEVENTO="Manual",$M113=1),0,IF(OFFSET(CRONOPLE!$F$14,$M113,BP$13)="",10^12,OFFSET(CRONOPLE!$F$14,$M113,BP$13))))</f>
        <v>1000000000000</v>
      </c>
      <c r="BQ113" s="215">
        <f ca="1">IF($D113&lt;&gt;"Serviço",0,IF(AND(AUTOEVENTO="Manual",$M113=1),0,IF(OFFSET(CRONOPLE!$F$14,$M113,BQ$13)="",10^12,OFFSET(CRONOPLE!$F$14,$M113,BQ$13))))</f>
        <v>1000000000000</v>
      </c>
      <c r="BR113" s="215">
        <f ca="1">IF($D113&lt;&gt;"Serviço",0,IF(AND(AUTOEVENTO="Manual",$M113=1),0,IF(OFFSET(CRONOPLE!$F$14,$M113,BR$13)="",10^12,OFFSET(CRONOPLE!$F$14,$M113,BR$13))))</f>
        <v>1000000000000</v>
      </c>
      <c r="BS113" s="215">
        <f ca="1">IF($D113&lt;&gt;"Serviço",0,IF(AND(AUTOEVENTO="Manual",$M113=1),0,IF(OFFSET(CRONOPLE!$F$14,$M113,BS$13)="",10^12,OFFSET(CRONOPLE!$F$14,$M113,BS$13))))</f>
        <v>1000000000000</v>
      </c>
      <c r="BT113" s="215">
        <f ca="1">IF($D113&lt;&gt;"Serviço",0,IF(AND(AUTOEVENTO="Manual",$M113=1),0,IF(OFFSET(CRONOPLE!$F$14,$M113,BT$13)="",10^12,OFFSET(CRONOPLE!$F$14,$M113,BT$13))))</f>
        <v>1000000000000</v>
      </c>
      <c r="BV113" s="216">
        <f ca="1">IF($D113&lt;&gt;"Serviço",0,IF(OR(AND(AUTOEVENTO="Manual",$M113=1),$M113&gt;(ROW(PLE.lastrow)-ROW(PLE.firstrow))),0,IF(OFFSET(PLE!$G$14,$M113,BV$13)="",10^12,OFFSET(PLE!$G$14,$M113,BV$13))))</f>
        <v>1000000000000</v>
      </c>
      <c r="BW113" s="216">
        <f ca="1">IF($D113&lt;&gt;"Serviço",0,IF(OR(AND(AUTOEVENTO="Manual",$M113=1),$M113&gt;(ROW(PLE.lastrow)-ROW(PLE.firstrow))),0,IF(OFFSET(PLE!$G$14,$M113,BW$13)="",10^12,OFFSET(PLE!$G$14,$M113,BW$13))))</f>
        <v>1000000000000</v>
      </c>
      <c r="BX113" s="216">
        <f ca="1">IF($D113&lt;&gt;"Serviço",0,IF(OR(AND(AUTOEVENTO="Manual",$M113=1),$M113&gt;(ROW(PLE.lastrow)-ROW(PLE.firstrow))),0,IF(OFFSET(PLE!$G$14,$M113,BX$13)="",10^12,OFFSET(PLE!$G$14,$M113,BX$13))))</f>
        <v>1000000000000</v>
      </c>
      <c r="BY113" s="216">
        <f ca="1">IF($D113&lt;&gt;"Serviço",0,IF(OR(AND(AUTOEVENTO="Manual",$M113=1),$M113&gt;(ROW(PLE.lastrow)-ROW(PLE.firstrow))),0,IF(OFFSET(PLE!$G$14,$M113,BY$13)="",10^12,OFFSET(PLE!$G$14,$M113,BY$13))))</f>
        <v>1000000000000</v>
      </c>
      <c r="BZ113" s="216">
        <f ca="1">IF($D113&lt;&gt;"Serviço",0,IF(OR(AND(AUTOEVENTO="Manual",$M113=1),$M113&gt;(ROW(PLE.lastrow)-ROW(PLE.firstrow))),0,IF(OFFSET(PLE!$G$14,$M113,BZ$13)="",10^12,OFFSET(PLE!$G$14,$M113,BZ$13))))</f>
        <v>1000000000000</v>
      </c>
      <c r="CA113" s="216">
        <f ca="1">IF($D113&lt;&gt;"Serviço",0,IF(OR(AND(AUTOEVENTO="Manual",$M113=1),$M113&gt;(ROW(PLE.lastrow)-ROW(PLE.firstrow))),0,IF(OFFSET(PLE!$G$14,$M113,CA$13)="",10^12,OFFSET(PLE!$G$14,$M113,CA$13))))</f>
        <v>1000000000000</v>
      </c>
      <c r="CB113" s="216">
        <f ca="1">IF($D113&lt;&gt;"Serviço",0,IF(OR(AND(AUTOEVENTO="Manual",$M113=1),$M113&gt;(ROW(PLE.lastrow)-ROW(PLE.firstrow))),0,IF(OFFSET(PLE!$G$14,$M113,CB$13)="",10^12,OFFSET(PLE!$G$14,$M113,CB$13))))</f>
        <v>1000000000000</v>
      </c>
      <c r="CC113" s="216">
        <f ca="1">IF($D113&lt;&gt;"Serviço",0,IF(OR(AND(AUTOEVENTO="Manual",$M113=1),$M113&gt;(ROW(PLE.lastrow)-ROW(PLE.firstrow))),0,IF(OFFSET(PLE!$G$14,$M113,CC$13)="",10^12,OFFSET(PLE!$G$14,$M113,CC$13))))</f>
        <v>1000000000000</v>
      </c>
      <c r="CD113" s="216">
        <f ca="1">IF($D113&lt;&gt;"Serviço",0,IF(OR(AND(AUTOEVENTO="Manual",$M113=1),$M113&gt;(ROW(PLE.lastrow)-ROW(PLE.firstrow))),0,IF(OFFSET(PLE!$G$14,$M113,CD$13)="",10^12,OFFSET(PLE!$G$14,$M113,CD$13))))</f>
        <v>1000000000000</v>
      </c>
      <c r="CE113" s="216">
        <f ca="1">IF($D113&lt;&gt;"Serviço",0,IF(OR(AND(AUTOEVENTO="Manual",$M113=1),$M113&gt;(ROW(PLE.lastrow)-ROW(PLE.firstrow))),0,IF(OFFSET(PLE!$G$14,$M113,CE$13)="",10^12,OFFSET(PLE!$G$14,$M113,CE$13))))</f>
        <v>1000000000000</v>
      </c>
      <c r="CF113" s="216">
        <f ca="1">IF($D113&lt;&gt;"Serviço",0,IF(OR(AND(AUTOEVENTO="Manual",$M113=1),$M113&gt;(ROW(PLE.lastrow)-ROW(PLE.firstrow))),0,IF(OFFSET(PLE!$G$14,$M113,CF$13)="",10^12,OFFSET(PLE!$G$14,$M113,CF$13))))</f>
        <v>1000000000000</v>
      </c>
      <c r="CG113" s="216">
        <f ca="1">IF($D113&lt;&gt;"Serviço",0,IF(OR(AND(AUTOEVENTO="Manual",$M113=1),$M113&gt;(ROW(PLE.lastrow)-ROW(PLE.firstrow))),0,IF(OFFSET(PLE!$G$14,$M113,CG$13)="",10^12,OFFSET(PLE!$G$14,$M113,CG$13))))</f>
        <v>1000000000000</v>
      </c>
      <c r="CH113" s="216">
        <f ca="1">IF($D113&lt;&gt;"Serviço",0,IF(OR(AND(AUTOEVENTO="Manual",$M113=1),$M113&gt;(ROW(PLE.lastrow)-ROW(PLE.firstrow))),0,IF(OFFSET(PLE!$G$14,$M113,CH$13)="",10^12,OFFSET(PLE!$G$14,$M113,CH$13))))</f>
        <v>1000000000000</v>
      </c>
      <c r="CI113" s="216">
        <f ca="1">IF($D113&lt;&gt;"Serviço",0,IF(OR(AND(AUTOEVENTO="Manual",$M113=1),$M113&gt;(ROW(PLE.lastrow)-ROW(PLE.firstrow))),0,IF(OFFSET(PLE!$G$14,$M113,CI$13)="",10^12,OFFSET(PLE!$G$14,$M113,CI$13))))</f>
        <v>1000000000000</v>
      </c>
      <c r="CJ113" s="216">
        <f ca="1">IF($D113&lt;&gt;"Serviço",0,IF(OR(AND(AUTOEVENTO="Manual",$M113=1),$M113&gt;(ROW(PLE.lastrow)-ROW(PLE.firstrow))),0,IF(OFFSET(PLE!$G$14,$M113,CJ$13)="",10^12,OFFSET(PLE!$G$14,$M113,CJ$13))))</f>
        <v>1000000000000</v>
      </c>
      <c r="CK113" s="216">
        <f ca="1">IF($D113&lt;&gt;"Serviço",0,IF(OR(AND(AUTOEVENTO="Manual",$M113=1),$M113&gt;(ROW(PLE.lastrow)-ROW(PLE.firstrow))),0,IF(OFFSET(PLE!$G$14,$M113,CK$13)="",10^12,OFFSET(PLE!$G$14,$M113,CK$13))))</f>
        <v>1000000000000</v>
      </c>
      <c r="CL113" s="216">
        <f ca="1">IF($D113&lt;&gt;"Serviço",0,IF(OR(AND(AUTOEVENTO="Manual",$M113=1),$M113&gt;(ROW(PLE.lastrow)-ROW(PLE.firstrow))),0,IF(OFFSET(PLE!$G$14,$M113,CL$13)="",10^12,OFFSET(PLE!$G$14,$M113,CL$13))))</f>
        <v>1000000000000</v>
      </c>
      <c r="CM113" s="216">
        <f ca="1">IF($D113&lt;&gt;"Serviço",0,IF(OR(AND(AUTOEVENTO="Manual",$M113=1),$M113&gt;(ROW(PLE.lastrow)-ROW(PLE.firstrow))),0,IF(OFFSET(PLE!$G$14,$M113,CM$13)="",10^12,OFFSET(PLE!$G$14,$M113,CM$13))))</f>
        <v>1000000000000</v>
      </c>
    </row>
    <row r="114" spans="1:91" ht="13.2" x14ac:dyDescent="0.25">
      <c r="A114" s="9">
        <f t="shared" ca="1" si="10"/>
        <v>0</v>
      </c>
      <c r="B114" s="9" t="str">
        <f ca="1">OFFSET(ORÇAMENTO!C$15,ROW(B114)-ROW(B$15),0)</f>
        <v>S</v>
      </c>
      <c r="C114" s="9" t="str">
        <f ca="1">OFFSET(ORÇAMENTO!L$15,ROW(C114)-ROW(C$15),0)</f>
        <v/>
      </c>
      <c r="D114" s="145" t="str">
        <f ca="1">OFFSET(ORÇAMENTO!N$15,ROW(D114)-ROW(D$15),0)</f>
        <v>Serviço</v>
      </c>
      <c r="E114" s="205" t="str">
        <f ca="1">OFFSET(ORÇAMENTO!O$15,ROW(E114)-ROW(E$15),0)</f>
        <v>-</v>
      </c>
      <c r="F114" s="206" t="str">
        <f ca="1">OFFSET(ORÇAMENTO!R$15,ROW(F114)-ROW(F$15),0)</f>
        <v>(abra o arquivo 'Referência 05-2024.xls)</v>
      </c>
      <c r="G114" s="207" t="str">
        <f ca="1">IF($D114&lt;&gt;"Serviço","",OFFSET(ORÇAMENTO!S$15,ROW(G114)-ROW(G$15),0))</f>
        <v>-</v>
      </c>
      <c r="H114" s="151">
        <f ca="1">IF($D114&lt;&gt;"Serviço",0,IF(ACOMPANHAMENTO="BM",ROUND(OFFSET(ORÇAMENTO!AJ$15,ROW(H114)-ROW(H$15),0),15-13*ORÇAMENTO!$AF$7),SUMPRODUCT(($Q$12:$AI$12&lt;&gt;"")*ROUND($Q114:$AI114,15-13*ORÇAMENTO!$AF$7))))</f>
        <v>252.6</v>
      </c>
      <c r="I114" s="650"/>
      <c r="K114" s="208"/>
      <c r="L114" s="209" t="s">
        <v>257</v>
      </c>
      <c r="M114" s="210">
        <f ca="1">IF($D114&lt;&gt;"Serviço","",IF(AUTOEVENTO="manual",$A114,IF(ISERROR(MATCH($A114,$A$15:OFFSET($A114,-1,0),0)),MAX($M$15:OFFSET(M114,-1,0))+1,INDEX($M$15:OFFSET(M114,-1,0),MATCH($A114,$A$15:OFFSET($A114,-1,0),0)))))</f>
        <v>0</v>
      </c>
      <c r="N114" s="211" t="str">
        <f ca="1">IF($D114&lt;&gt;"Serviço","",IF(AUTOEVENTO="Manual",IF($A114=0,"&lt;-- defina o número do agrupador",OFFSET(EVENTOS!$D$14,$A114,0)),OFFSET($F$15,$A114,0)))</f>
        <v>&lt;-- defina o número do agrupador</v>
      </c>
      <c r="O114" s="212"/>
      <c r="Q114" s="212"/>
      <c r="R114" s="213"/>
      <c r="S114" s="213"/>
      <c r="T114" s="213"/>
      <c r="U114" s="213"/>
      <c r="V114" s="213"/>
      <c r="W114" s="213"/>
      <c r="X114" s="213"/>
      <c r="Y114" s="213"/>
      <c r="Z114" s="214"/>
      <c r="AA114" s="213"/>
      <c r="AB114" s="213"/>
      <c r="AC114" s="213"/>
      <c r="AD114" s="213"/>
      <c r="AE114" s="213"/>
      <c r="AF114" s="213"/>
      <c r="AG114" s="213"/>
      <c r="AH114" s="214"/>
      <c r="AJ114" s="631">
        <f ca="1">IF(AND($D114="Serviço",AJ$12&lt;&gt;0,$H114&gt;0,OR(AUTOEVENTO&lt;&gt;"manual",$M114&lt;&gt;1)),ROUND(OFFSET($P114,0,AJ$13),15-13*ORÇAMENTO!$AF$7)/$H114*OFFSET(ORÇAMENTO!$X$15,ROW(AJ114)-ROW(AJ$15),0),0)</f>
        <v>0</v>
      </c>
      <c r="AK114" s="632">
        <f ca="1">IF(AND($D114="Serviço",AK$12&lt;&gt;0,$H114&gt;0,OR(AUTOEVENTO&lt;&gt;"manual",$M114&lt;&gt;1)),ROUND(OFFSET($P114,0,AK$13),15-13*ORÇAMENTO!$AF$7)/$H114*OFFSET(ORÇAMENTO!$X$15,ROW(AK114)-ROW(AK$15),0),0)</f>
        <v>0</v>
      </c>
      <c r="AL114" s="632">
        <f ca="1">IF(AND($D114="Serviço",AL$12&lt;&gt;0,$H114&gt;0,OR(AUTOEVENTO&lt;&gt;"manual",$M114&lt;&gt;1)),ROUND(OFFSET($P114,0,AL$13),15-13*ORÇAMENTO!$AF$7)/$H114*OFFSET(ORÇAMENTO!$X$15,ROW(AL114)-ROW(AL$15),0),0)</f>
        <v>0</v>
      </c>
      <c r="AM114" s="632">
        <f ca="1">IF(AND($D114="Serviço",AM$12&lt;&gt;0,$H114&gt;0,OR(AUTOEVENTO&lt;&gt;"manual",$M114&lt;&gt;1)),ROUND(OFFSET($P114,0,AM$13),15-13*ORÇAMENTO!$AF$7)/$H114*OFFSET(ORÇAMENTO!$X$15,ROW(AM114)-ROW(AM$15),0),0)</f>
        <v>0</v>
      </c>
      <c r="AN114" s="632">
        <f ca="1">IF(AND($D114="Serviço",AN$12&lt;&gt;0,$H114&gt;0,OR(AUTOEVENTO&lt;&gt;"manual",$M114&lt;&gt;1)),ROUND(OFFSET($P114,0,AN$13),15-13*ORÇAMENTO!$AF$7)/$H114*OFFSET(ORÇAMENTO!$X$15,ROW(AN114)-ROW(AN$15),0),0)</f>
        <v>0</v>
      </c>
      <c r="AO114" s="632">
        <f ca="1">IF(AND($D114="Serviço",AO$12&lt;&gt;0,$H114&gt;0,OR(AUTOEVENTO&lt;&gt;"manual",$M114&lt;&gt;1)),ROUND(OFFSET($P114,0,AO$13),15-13*ORÇAMENTO!$AF$7)/$H114*OFFSET(ORÇAMENTO!$X$15,ROW(AO114)-ROW(AO$15),0),0)</f>
        <v>0</v>
      </c>
      <c r="AP114" s="632">
        <f ca="1">IF(AND($D114="Serviço",AP$12&lt;&gt;0,$H114&gt;0,OR(AUTOEVENTO&lt;&gt;"manual",$M114&lt;&gt;1)),ROUND(OFFSET($P114,0,AP$13),15-13*ORÇAMENTO!$AF$7)/$H114*OFFSET(ORÇAMENTO!$X$15,ROW(AP114)-ROW(AP$15),0),0)</f>
        <v>0</v>
      </c>
      <c r="AQ114" s="632">
        <f ca="1">IF(AND($D114="Serviço",AQ$12&lt;&gt;0,$H114&gt;0,OR(AUTOEVENTO&lt;&gt;"manual",$M114&lt;&gt;1)),ROUND(OFFSET($P114,0,AQ$13),15-13*ORÇAMENTO!$AF$7)/$H114*OFFSET(ORÇAMENTO!$X$15,ROW(AQ114)-ROW(AQ$15),0),0)</f>
        <v>0</v>
      </c>
      <c r="AR114" s="632">
        <f ca="1">IF(AND($D114="Serviço",AR$12&lt;&gt;0,$H114&gt;0,OR(AUTOEVENTO&lt;&gt;"manual",$M114&lt;&gt;1)),ROUND(OFFSET($P114,0,AR$13),15-13*ORÇAMENTO!$AF$7)/$H114*OFFSET(ORÇAMENTO!$X$15,ROW(AR114)-ROW(AR$15),0),0)</f>
        <v>0</v>
      </c>
      <c r="AS114" s="633">
        <f ca="1">IF(AND($D114="Serviço",AS$12&lt;&gt;0,$H114&gt;0,OR(AUTOEVENTO&lt;&gt;"manual",$M114&lt;&gt;1)),ROUND(OFFSET($P114,0,AS$13),15-13*ORÇAMENTO!$AF$7)/$H114*OFFSET(ORÇAMENTO!$X$15,ROW(AS114)-ROW(AS$15),0),0)</f>
        <v>0</v>
      </c>
      <c r="AT114" s="632">
        <f ca="1">IF(AND($D114="Serviço",AT$12&lt;&gt;0,$H114&gt;0,OR(AUTOEVENTO&lt;&gt;"manual",$M114&lt;&gt;1)),ROUND(OFFSET($P114,0,AT$13),15-13*ORÇAMENTO!$AF$7)/$H114*OFFSET(ORÇAMENTO!$X$15,ROW(AT114)-ROW(AT$15),0),0)</f>
        <v>0</v>
      </c>
      <c r="AU114" s="632">
        <f ca="1">IF(AND($D114="Serviço",AU$12&lt;&gt;0,$H114&gt;0,OR(AUTOEVENTO&lt;&gt;"manual",$M114&lt;&gt;1)),ROUND(OFFSET($P114,0,AU$13),15-13*ORÇAMENTO!$AF$7)/$H114*OFFSET(ORÇAMENTO!$X$15,ROW(AU114)-ROW(AU$15),0),0)</f>
        <v>0</v>
      </c>
      <c r="AV114" s="632">
        <f ca="1">IF(AND($D114="Serviço",AV$12&lt;&gt;0,$H114&gt;0,OR(AUTOEVENTO&lt;&gt;"manual",$M114&lt;&gt;1)),ROUND(OFFSET($P114,0,AV$13),15-13*ORÇAMENTO!$AF$7)/$H114*OFFSET(ORÇAMENTO!$X$15,ROW(AV114)-ROW(AV$15),0),0)</f>
        <v>0</v>
      </c>
      <c r="AW114" s="632">
        <f ca="1">IF(AND($D114="Serviço",AW$12&lt;&gt;0,$H114&gt;0,OR(AUTOEVENTO&lt;&gt;"manual",$M114&lt;&gt;1)),ROUND(OFFSET($P114,0,AW$13),15-13*ORÇAMENTO!$AF$7)/$H114*OFFSET(ORÇAMENTO!$X$15,ROW(AW114)-ROW(AW$15),0),0)</f>
        <v>0</v>
      </c>
      <c r="AX114" s="632">
        <f ca="1">IF(AND($D114="Serviço",AX$12&lt;&gt;0,$H114&gt;0,OR(AUTOEVENTO&lt;&gt;"manual",$M114&lt;&gt;1)),ROUND(OFFSET($P114,0,AX$13),15-13*ORÇAMENTO!$AF$7)/$H114*OFFSET(ORÇAMENTO!$X$15,ROW(AX114)-ROW(AX$15),0),0)</f>
        <v>0</v>
      </c>
      <c r="AY114" s="632">
        <f ca="1">IF(AND($D114="Serviço",AY$12&lt;&gt;0,$H114&gt;0,OR(AUTOEVENTO&lt;&gt;"manual",$M114&lt;&gt;1)),ROUND(OFFSET($P114,0,AY$13),15-13*ORÇAMENTO!$AF$7)/$H114*OFFSET(ORÇAMENTO!$X$15,ROW(AY114)-ROW(AY$15),0),0)</f>
        <v>0</v>
      </c>
      <c r="AZ114" s="632">
        <f ca="1">IF(AND($D114="Serviço",AZ$12&lt;&gt;0,$H114&gt;0,OR(AUTOEVENTO&lt;&gt;"manual",$M114&lt;&gt;1)),ROUND(OFFSET($P114,0,AZ$13),15-13*ORÇAMENTO!$AF$7)/$H114*OFFSET(ORÇAMENTO!$X$15,ROW(AZ114)-ROW(AZ$15),0),0)</f>
        <v>0</v>
      </c>
      <c r="BA114" s="633">
        <f ca="1">IF(AND($D114="Serviço",BA$12&lt;&gt;0,$H114&gt;0,OR(AUTOEVENTO&lt;&gt;"manual",$M114&lt;&gt;1)),ROUND(OFFSET($P114,0,BA$13),15-13*ORÇAMENTO!$AF$7)/$H114*OFFSET(ORÇAMENTO!$X$15,ROW(BA114)-ROW(BA$15),0),0)</f>
        <v>0</v>
      </c>
      <c r="BC114" s="215">
        <f ca="1">IF($D114&lt;&gt;"Serviço",0,IF(AND(AUTOEVENTO="Manual",$M114=1),0,IF(OFFSET(CRONOPLE!$F$14,$M114,BC$13)="",10^12,OFFSET(CRONOPLE!$F$14,$M114,BC$13))))</f>
        <v>1000000000000</v>
      </c>
      <c r="BD114" s="215">
        <f ca="1">IF($D114&lt;&gt;"Serviço",0,IF(AND(AUTOEVENTO="Manual",$M114=1),0,IF(OFFSET(CRONOPLE!$F$14,$M114,BD$13)="",10^12,OFFSET(CRONOPLE!$F$14,$M114,BD$13))))</f>
        <v>1000000000000</v>
      </c>
      <c r="BE114" s="215">
        <f ca="1">IF($D114&lt;&gt;"Serviço",0,IF(AND(AUTOEVENTO="Manual",$M114=1),0,IF(OFFSET(CRONOPLE!$F$14,$M114,BE$13)="",10^12,OFFSET(CRONOPLE!$F$14,$M114,BE$13))))</f>
        <v>1000000000000</v>
      </c>
      <c r="BF114" s="215">
        <f ca="1">IF($D114&lt;&gt;"Serviço",0,IF(AND(AUTOEVENTO="Manual",$M114=1),0,IF(OFFSET(CRONOPLE!$F$14,$M114,BF$13)="",10^12,OFFSET(CRONOPLE!$F$14,$M114,BF$13))))</f>
        <v>1000000000000</v>
      </c>
      <c r="BG114" s="215">
        <f ca="1">IF($D114&lt;&gt;"Serviço",0,IF(AND(AUTOEVENTO="Manual",$M114=1),0,IF(OFFSET(CRONOPLE!$F$14,$M114,BG$13)="",10^12,OFFSET(CRONOPLE!$F$14,$M114,BG$13))))</f>
        <v>1000000000000</v>
      </c>
      <c r="BH114" s="215">
        <f ca="1">IF($D114&lt;&gt;"Serviço",0,IF(AND(AUTOEVENTO="Manual",$M114=1),0,IF(OFFSET(CRONOPLE!$F$14,$M114,BH$13)="",10^12,OFFSET(CRONOPLE!$F$14,$M114,BH$13))))</f>
        <v>1000000000000</v>
      </c>
      <c r="BI114" s="215">
        <f ca="1">IF($D114&lt;&gt;"Serviço",0,IF(AND(AUTOEVENTO="Manual",$M114=1),0,IF(OFFSET(CRONOPLE!$F$14,$M114,BI$13)="",10^12,OFFSET(CRONOPLE!$F$14,$M114,BI$13))))</f>
        <v>1000000000000</v>
      </c>
      <c r="BJ114" s="215">
        <f ca="1">IF($D114&lt;&gt;"Serviço",0,IF(AND(AUTOEVENTO="Manual",$M114=1),0,IF(OFFSET(CRONOPLE!$F$14,$M114,BJ$13)="",10^12,OFFSET(CRONOPLE!$F$14,$M114,BJ$13))))</f>
        <v>1000000000000</v>
      </c>
      <c r="BK114" s="215">
        <f ca="1">IF($D114&lt;&gt;"Serviço",0,IF(AND(AUTOEVENTO="Manual",$M114=1),0,IF(OFFSET(CRONOPLE!$F$14,$M114,BK$13)="",10^12,OFFSET(CRONOPLE!$F$14,$M114,BK$13))))</f>
        <v>1000000000000</v>
      </c>
      <c r="BL114" s="215">
        <f ca="1">IF($D114&lt;&gt;"Serviço",0,IF(AND(AUTOEVENTO="Manual",$M114=1),0,IF(OFFSET(CRONOPLE!$F$14,$M114,BL$13)="",10^12,OFFSET(CRONOPLE!$F$14,$M114,BL$13))))</f>
        <v>1000000000000</v>
      </c>
      <c r="BM114" s="215">
        <f ca="1">IF($D114&lt;&gt;"Serviço",0,IF(AND(AUTOEVENTO="Manual",$M114=1),0,IF(OFFSET(CRONOPLE!$F$14,$M114,BM$13)="",10^12,OFFSET(CRONOPLE!$F$14,$M114,BM$13))))</f>
        <v>1000000000000</v>
      </c>
      <c r="BN114" s="215">
        <f ca="1">IF($D114&lt;&gt;"Serviço",0,IF(AND(AUTOEVENTO="Manual",$M114=1),0,IF(OFFSET(CRONOPLE!$F$14,$M114,BN$13)="",10^12,OFFSET(CRONOPLE!$F$14,$M114,BN$13))))</f>
        <v>1000000000000</v>
      </c>
      <c r="BO114" s="215">
        <f ca="1">IF($D114&lt;&gt;"Serviço",0,IF(AND(AUTOEVENTO="Manual",$M114=1),0,IF(OFFSET(CRONOPLE!$F$14,$M114,BO$13)="",10^12,OFFSET(CRONOPLE!$F$14,$M114,BO$13))))</f>
        <v>1000000000000</v>
      </c>
      <c r="BP114" s="215">
        <f ca="1">IF($D114&lt;&gt;"Serviço",0,IF(AND(AUTOEVENTO="Manual",$M114=1),0,IF(OFFSET(CRONOPLE!$F$14,$M114,BP$13)="",10^12,OFFSET(CRONOPLE!$F$14,$M114,BP$13))))</f>
        <v>1000000000000</v>
      </c>
      <c r="BQ114" s="215">
        <f ca="1">IF($D114&lt;&gt;"Serviço",0,IF(AND(AUTOEVENTO="Manual",$M114=1),0,IF(OFFSET(CRONOPLE!$F$14,$M114,BQ$13)="",10^12,OFFSET(CRONOPLE!$F$14,$M114,BQ$13))))</f>
        <v>1000000000000</v>
      </c>
      <c r="BR114" s="215">
        <f ca="1">IF($D114&lt;&gt;"Serviço",0,IF(AND(AUTOEVENTO="Manual",$M114=1),0,IF(OFFSET(CRONOPLE!$F$14,$M114,BR$13)="",10^12,OFFSET(CRONOPLE!$F$14,$M114,BR$13))))</f>
        <v>1000000000000</v>
      </c>
      <c r="BS114" s="215">
        <f ca="1">IF($D114&lt;&gt;"Serviço",0,IF(AND(AUTOEVENTO="Manual",$M114=1),0,IF(OFFSET(CRONOPLE!$F$14,$M114,BS$13)="",10^12,OFFSET(CRONOPLE!$F$14,$M114,BS$13))))</f>
        <v>1000000000000</v>
      </c>
      <c r="BT114" s="215">
        <f ca="1">IF($D114&lt;&gt;"Serviço",0,IF(AND(AUTOEVENTO="Manual",$M114=1),0,IF(OFFSET(CRONOPLE!$F$14,$M114,BT$13)="",10^12,OFFSET(CRONOPLE!$F$14,$M114,BT$13))))</f>
        <v>1000000000000</v>
      </c>
      <c r="BV114" s="216">
        <f ca="1">IF($D114&lt;&gt;"Serviço",0,IF(OR(AND(AUTOEVENTO="Manual",$M114=1),$M114&gt;(ROW(PLE.lastrow)-ROW(PLE.firstrow))),0,IF(OFFSET(PLE!$G$14,$M114,BV$13)="",10^12,OFFSET(PLE!$G$14,$M114,BV$13))))</f>
        <v>1000000000000</v>
      </c>
      <c r="BW114" s="216">
        <f ca="1">IF($D114&lt;&gt;"Serviço",0,IF(OR(AND(AUTOEVENTO="Manual",$M114=1),$M114&gt;(ROW(PLE.lastrow)-ROW(PLE.firstrow))),0,IF(OFFSET(PLE!$G$14,$M114,BW$13)="",10^12,OFFSET(PLE!$G$14,$M114,BW$13))))</f>
        <v>1000000000000</v>
      </c>
      <c r="BX114" s="216">
        <f ca="1">IF($D114&lt;&gt;"Serviço",0,IF(OR(AND(AUTOEVENTO="Manual",$M114=1),$M114&gt;(ROW(PLE.lastrow)-ROW(PLE.firstrow))),0,IF(OFFSET(PLE!$G$14,$M114,BX$13)="",10^12,OFFSET(PLE!$G$14,$M114,BX$13))))</f>
        <v>1000000000000</v>
      </c>
      <c r="BY114" s="216">
        <f ca="1">IF($D114&lt;&gt;"Serviço",0,IF(OR(AND(AUTOEVENTO="Manual",$M114=1),$M114&gt;(ROW(PLE.lastrow)-ROW(PLE.firstrow))),0,IF(OFFSET(PLE!$G$14,$M114,BY$13)="",10^12,OFFSET(PLE!$G$14,$M114,BY$13))))</f>
        <v>1000000000000</v>
      </c>
      <c r="BZ114" s="216">
        <f ca="1">IF($D114&lt;&gt;"Serviço",0,IF(OR(AND(AUTOEVENTO="Manual",$M114=1),$M114&gt;(ROW(PLE.lastrow)-ROW(PLE.firstrow))),0,IF(OFFSET(PLE!$G$14,$M114,BZ$13)="",10^12,OFFSET(PLE!$G$14,$M114,BZ$13))))</f>
        <v>1000000000000</v>
      </c>
      <c r="CA114" s="216">
        <f ca="1">IF($D114&lt;&gt;"Serviço",0,IF(OR(AND(AUTOEVENTO="Manual",$M114=1),$M114&gt;(ROW(PLE.lastrow)-ROW(PLE.firstrow))),0,IF(OFFSET(PLE!$G$14,$M114,CA$13)="",10^12,OFFSET(PLE!$G$14,$M114,CA$13))))</f>
        <v>1000000000000</v>
      </c>
      <c r="CB114" s="216">
        <f ca="1">IF($D114&lt;&gt;"Serviço",0,IF(OR(AND(AUTOEVENTO="Manual",$M114=1),$M114&gt;(ROW(PLE.lastrow)-ROW(PLE.firstrow))),0,IF(OFFSET(PLE!$G$14,$M114,CB$13)="",10^12,OFFSET(PLE!$G$14,$M114,CB$13))))</f>
        <v>1000000000000</v>
      </c>
      <c r="CC114" s="216">
        <f ca="1">IF($D114&lt;&gt;"Serviço",0,IF(OR(AND(AUTOEVENTO="Manual",$M114=1),$M114&gt;(ROW(PLE.lastrow)-ROW(PLE.firstrow))),0,IF(OFFSET(PLE!$G$14,$M114,CC$13)="",10^12,OFFSET(PLE!$G$14,$M114,CC$13))))</f>
        <v>1000000000000</v>
      </c>
      <c r="CD114" s="216">
        <f ca="1">IF($D114&lt;&gt;"Serviço",0,IF(OR(AND(AUTOEVENTO="Manual",$M114=1),$M114&gt;(ROW(PLE.lastrow)-ROW(PLE.firstrow))),0,IF(OFFSET(PLE!$G$14,$M114,CD$13)="",10^12,OFFSET(PLE!$G$14,$M114,CD$13))))</f>
        <v>1000000000000</v>
      </c>
      <c r="CE114" s="216">
        <f ca="1">IF($D114&lt;&gt;"Serviço",0,IF(OR(AND(AUTOEVENTO="Manual",$M114=1),$M114&gt;(ROW(PLE.lastrow)-ROW(PLE.firstrow))),0,IF(OFFSET(PLE!$G$14,$M114,CE$13)="",10^12,OFFSET(PLE!$G$14,$M114,CE$13))))</f>
        <v>1000000000000</v>
      </c>
      <c r="CF114" s="216">
        <f ca="1">IF($D114&lt;&gt;"Serviço",0,IF(OR(AND(AUTOEVENTO="Manual",$M114=1),$M114&gt;(ROW(PLE.lastrow)-ROW(PLE.firstrow))),0,IF(OFFSET(PLE!$G$14,$M114,CF$13)="",10^12,OFFSET(PLE!$G$14,$M114,CF$13))))</f>
        <v>1000000000000</v>
      </c>
      <c r="CG114" s="216">
        <f ca="1">IF($D114&lt;&gt;"Serviço",0,IF(OR(AND(AUTOEVENTO="Manual",$M114=1),$M114&gt;(ROW(PLE.lastrow)-ROW(PLE.firstrow))),0,IF(OFFSET(PLE!$G$14,$M114,CG$13)="",10^12,OFFSET(PLE!$G$14,$M114,CG$13))))</f>
        <v>1000000000000</v>
      </c>
      <c r="CH114" s="216">
        <f ca="1">IF($D114&lt;&gt;"Serviço",0,IF(OR(AND(AUTOEVENTO="Manual",$M114=1),$M114&gt;(ROW(PLE.lastrow)-ROW(PLE.firstrow))),0,IF(OFFSET(PLE!$G$14,$M114,CH$13)="",10^12,OFFSET(PLE!$G$14,$M114,CH$13))))</f>
        <v>1000000000000</v>
      </c>
      <c r="CI114" s="216">
        <f ca="1">IF($D114&lt;&gt;"Serviço",0,IF(OR(AND(AUTOEVENTO="Manual",$M114=1),$M114&gt;(ROW(PLE.lastrow)-ROW(PLE.firstrow))),0,IF(OFFSET(PLE!$G$14,$M114,CI$13)="",10^12,OFFSET(PLE!$G$14,$M114,CI$13))))</f>
        <v>1000000000000</v>
      </c>
      <c r="CJ114" s="216">
        <f ca="1">IF($D114&lt;&gt;"Serviço",0,IF(OR(AND(AUTOEVENTO="Manual",$M114=1),$M114&gt;(ROW(PLE.lastrow)-ROW(PLE.firstrow))),0,IF(OFFSET(PLE!$G$14,$M114,CJ$13)="",10^12,OFFSET(PLE!$G$14,$M114,CJ$13))))</f>
        <v>1000000000000</v>
      </c>
      <c r="CK114" s="216">
        <f ca="1">IF($D114&lt;&gt;"Serviço",0,IF(OR(AND(AUTOEVENTO="Manual",$M114=1),$M114&gt;(ROW(PLE.lastrow)-ROW(PLE.firstrow))),0,IF(OFFSET(PLE!$G$14,$M114,CK$13)="",10^12,OFFSET(PLE!$G$14,$M114,CK$13))))</f>
        <v>1000000000000</v>
      </c>
      <c r="CL114" s="216">
        <f ca="1">IF($D114&lt;&gt;"Serviço",0,IF(OR(AND(AUTOEVENTO="Manual",$M114=1),$M114&gt;(ROW(PLE.lastrow)-ROW(PLE.firstrow))),0,IF(OFFSET(PLE!$G$14,$M114,CL$13)="",10^12,OFFSET(PLE!$G$14,$M114,CL$13))))</f>
        <v>1000000000000</v>
      </c>
      <c r="CM114" s="216">
        <f ca="1">IF($D114&lt;&gt;"Serviço",0,IF(OR(AND(AUTOEVENTO="Manual",$M114=1),$M114&gt;(ROW(PLE.lastrow)-ROW(PLE.firstrow))),0,IF(OFFSET(PLE!$G$14,$M114,CM$13)="",10^12,OFFSET(PLE!$G$14,$M114,CM$13))))</f>
        <v>1000000000000</v>
      </c>
    </row>
    <row r="115" spans="1:91" ht="13.2" x14ac:dyDescent="0.25">
      <c r="A115" s="9">
        <f t="shared" ca="1" si="10"/>
        <v>0</v>
      </c>
      <c r="B115" s="9" t="str">
        <f ca="1">OFFSET(ORÇAMENTO!C$15,ROW(B115)-ROW(B$15),0)</f>
        <v>S</v>
      </c>
      <c r="C115" s="9" t="str">
        <f ca="1">OFFSET(ORÇAMENTO!L$15,ROW(C115)-ROW(C$15),0)</f>
        <v/>
      </c>
      <c r="D115" s="145" t="str">
        <f ca="1">OFFSET(ORÇAMENTO!N$15,ROW(D115)-ROW(D$15),0)</f>
        <v>Serviço</v>
      </c>
      <c r="E115" s="205" t="str">
        <f ca="1">OFFSET(ORÇAMENTO!O$15,ROW(E115)-ROW(E$15),0)</f>
        <v>-</v>
      </c>
      <c r="F115" s="206" t="str">
        <f ca="1">OFFSET(ORÇAMENTO!R$15,ROW(F115)-ROW(F$15),0)</f>
        <v>(abra o arquivo 'Referência 05-2024.xls)</v>
      </c>
      <c r="G115" s="207" t="str">
        <f ca="1">IF($D115&lt;&gt;"Serviço","",OFFSET(ORÇAMENTO!S$15,ROW(G115)-ROW(G$15),0))</f>
        <v>-</v>
      </c>
      <c r="H115" s="151">
        <f ca="1">IF($D115&lt;&gt;"Serviço",0,IF(ACOMPANHAMENTO="BM",ROUND(OFFSET(ORÇAMENTO!AJ$15,ROW(H115)-ROW(H$15),0),15-13*ORÇAMENTO!$AF$7),SUMPRODUCT(($Q$12:$AI$12&lt;&gt;"")*ROUND($Q115:$AI115,15-13*ORÇAMENTO!$AF$7))))</f>
        <v>1146.06</v>
      </c>
      <c r="I115" s="650"/>
      <c r="K115" s="208"/>
      <c r="L115" s="209" t="s">
        <v>257</v>
      </c>
      <c r="M115" s="210">
        <f ca="1">IF($D115&lt;&gt;"Serviço","",IF(AUTOEVENTO="manual",$A115,IF(ISERROR(MATCH($A115,$A$15:OFFSET($A115,-1,0),0)),MAX($M$15:OFFSET(M115,-1,0))+1,INDEX($M$15:OFFSET(M115,-1,0),MATCH($A115,$A$15:OFFSET($A115,-1,0),0)))))</f>
        <v>0</v>
      </c>
      <c r="N115" s="211" t="str">
        <f ca="1">IF($D115&lt;&gt;"Serviço","",IF(AUTOEVENTO="Manual",IF($A115=0,"&lt;-- defina o número do agrupador",OFFSET(EVENTOS!$D$14,$A115,0)),OFFSET($F$15,$A115,0)))</f>
        <v>&lt;-- defina o número do agrupador</v>
      </c>
      <c r="O115" s="212"/>
      <c r="Q115" s="212"/>
      <c r="R115" s="213"/>
      <c r="S115" s="213"/>
      <c r="T115" s="213"/>
      <c r="U115" s="213"/>
      <c r="V115" s="213"/>
      <c r="W115" s="213"/>
      <c r="X115" s="213"/>
      <c r="Y115" s="213"/>
      <c r="Z115" s="214"/>
      <c r="AA115" s="213"/>
      <c r="AB115" s="213"/>
      <c r="AC115" s="213"/>
      <c r="AD115" s="213"/>
      <c r="AE115" s="213"/>
      <c r="AF115" s="213"/>
      <c r="AG115" s="213"/>
      <c r="AH115" s="214"/>
      <c r="AJ115" s="631">
        <f ca="1">IF(AND($D115="Serviço",AJ$12&lt;&gt;0,$H115&gt;0,OR(AUTOEVENTO&lt;&gt;"manual",$M115&lt;&gt;1)),ROUND(OFFSET($P115,0,AJ$13),15-13*ORÇAMENTO!$AF$7)/$H115*OFFSET(ORÇAMENTO!$X$15,ROW(AJ115)-ROW(AJ$15),0),0)</f>
        <v>0</v>
      </c>
      <c r="AK115" s="632">
        <f ca="1">IF(AND($D115="Serviço",AK$12&lt;&gt;0,$H115&gt;0,OR(AUTOEVENTO&lt;&gt;"manual",$M115&lt;&gt;1)),ROUND(OFFSET($P115,0,AK$13),15-13*ORÇAMENTO!$AF$7)/$H115*OFFSET(ORÇAMENTO!$X$15,ROW(AK115)-ROW(AK$15),0),0)</f>
        <v>0</v>
      </c>
      <c r="AL115" s="632">
        <f ca="1">IF(AND($D115="Serviço",AL$12&lt;&gt;0,$H115&gt;0,OR(AUTOEVENTO&lt;&gt;"manual",$M115&lt;&gt;1)),ROUND(OFFSET($P115,0,AL$13),15-13*ORÇAMENTO!$AF$7)/$H115*OFFSET(ORÇAMENTO!$X$15,ROW(AL115)-ROW(AL$15),0),0)</f>
        <v>0</v>
      </c>
      <c r="AM115" s="632">
        <f ca="1">IF(AND($D115="Serviço",AM$12&lt;&gt;0,$H115&gt;0,OR(AUTOEVENTO&lt;&gt;"manual",$M115&lt;&gt;1)),ROUND(OFFSET($P115,0,AM$13),15-13*ORÇAMENTO!$AF$7)/$H115*OFFSET(ORÇAMENTO!$X$15,ROW(AM115)-ROW(AM$15),0),0)</f>
        <v>0</v>
      </c>
      <c r="AN115" s="632">
        <f ca="1">IF(AND($D115="Serviço",AN$12&lt;&gt;0,$H115&gt;0,OR(AUTOEVENTO&lt;&gt;"manual",$M115&lt;&gt;1)),ROUND(OFFSET($P115,0,AN$13),15-13*ORÇAMENTO!$AF$7)/$H115*OFFSET(ORÇAMENTO!$X$15,ROW(AN115)-ROW(AN$15),0),0)</f>
        <v>0</v>
      </c>
      <c r="AO115" s="632">
        <f ca="1">IF(AND($D115="Serviço",AO$12&lt;&gt;0,$H115&gt;0,OR(AUTOEVENTO&lt;&gt;"manual",$M115&lt;&gt;1)),ROUND(OFFSET($P115,0,AO$13),15-13*ORÇAMENTO!$AF$7)/$H115*OFFSET(ORÇAMENTO!$X$15,ROW(AO115)-ROW(AO$15),0),0)</f>
        <v>0</v>
      </c>
      <c r="AP115" s="632">
        <f ca="1">IF(AND($D115="Serviço",AP$12&lt;&gt;0,$H115&gt;0,OR(AUTOEVENTO&lt;&gt;"manual",$M115&lt;&gt;1)),ROUND(OFFSET($P115,0,AP$13),15-13*ORÇAMENTO!$AF$7)/$H115*OFFSET(ORÇAMENTO!$X$15,ROW(AP115)-ROW(AP$15),0),0)</f>
        <v>0</v>
      </c>
      <c r="AQ115" s="632">
        <f ca="1">IF(AND($D115="Serviço",AQ$12&lt;&gt;0,$H115&gt;0,OR(AUTOEVENTO&lt;&gt;"manual",$M115&lt;&gt;1)),ROUND(OFFSET($P115,0,AQ$13),15-13*ORÇAMENTO!$AF$7)/$H115*OFFSET(ORÇAMENTO!$X$15,ROW(AQ115)-ROW(AQ$15),0),0)</f>
        <v>0</v>
      </c>
      <c r="AR115" s="632">
        <f ca="1">IF(AND($D115="Serviço",AR$12&lt;&gt;0,$H115&gt;0,OR(AUTOEVENTO&lt;&gt;"manual",$M115&lt;&gt;1)),ROUND(OFFSET($P115,0,AR$13),15-13*ORÇAMENTO!$AF$7)/$H115*OFFSET(ORÇAMENTO!$X$15,ROW(AR115)-ROW(AR$15),0),0)</f>
        <v>0</v>
      </c>
      <c r="AS115" s="633">
        <f ca="1">IF(AND($D115="Serviço",AS$12&lt;&gt;0,$H115&gt;0,OR(AUTOEVENTO&lt;&gt;"manual",$M115&lt;&gt;1)),ROUND(OFFSET($P115,0,AS$13),15-13*ORÇAMENTO!$AF$7)/$H115*OFFSET(ORÇAMENTO!$X$15,ROW(AS115)-ROW(AS$15),0),0)</f>
        <v>0</v>
      </c>
      <c r="AT115" s="632">
        <f ca="1">IF(AND($D115="Serviço",AT$12&lt;&gt;0,$H115&gt;0,OR(AUTOEVENTO&lt;&gt;"manual",$M115&lt;&gt;1)),ROUND(OFFSET($P115,0,AT$13),15-13*ORÇAMENTO!$AF$7)/$H115*OFFSET(ORÇAMENTO!$X$15,ROW(AT115)-ROW(AT$15),0),0)</f>
        <v>0</v>
      </c>
      <c r="AU115" s="632">
        <f ca="1">IF(AND($D115="Serviço",AU$12&lt;&gt;0,$H115&gt;0,OR(AUTOEVENTO&lt;&gt;"manual",$M115&lt;&gt;1)),ROUND(OFFSET($P115,0,AU$13),15-13*ORÇAMENTO!$AF$7)/$H115*OFFSET(ORÇAMENTO!$X$15,ROW(AU115)-ROW(AU$15),0),0)</f>
        <v>0</v>
      </c>
      <c r="AV115" s="632">
        <f ca="1">IF(AND($D115="Serviço",AV$12&lt;&gt;0,$H115&gt;0,OR(AUTOEVENTO&lt;&gt;"manual",$M115&lt;&gt;1)),ROUND(OFFSET($P115,0,AV$13),15-13*ORÇAMENTO!$AF$7)/$H115*OFFSET(ORÇAMENTO!$X$15,ROW(AV115)-ROW(AV$15),0),0)</f>
        <v>0</v>
      </c>
      <c r="AW115" s="632">
        <f ca="1">IF(AND($D115="Serviço",AW$12&lt;&gt;0,$H115&gt;0,OR(AUTOEVENTO&lt;&gt;"manual",$M115&lt;&gt;1)),ROUND(OFFSET($P115,0,AW$13),15-13*ORÇAMENTO!$AF$7)/$H115*OFFSET(ORÇAMENTO!$X$15,ROW(AW115)-ROW(AW$15),0),0)</f>
        <v>0</v>
      </c>
      <c r="AX115" s="632">
        <f ca="1">IF(AND($D115="Serviço",AX$12&lt;&gt;0,$H115&gt;0,OR(AUTOEVENTO&lt;&gt;"manual",$M115&lt;&gt;1)),ROUND(OFFSET($P115,0,AX$13),15-13*ORÇAMENTO!$AF$7)/$H115*OFFSET(ORÇAMENTO!$X$15,ROW(AX115)-ROW(AX$15),0),0)</f>
        <v>0</v>
      </c>
      <c r="AY115" s="632">
        <f ca="1">IF(AND($D115="Serviço",AY$12&lt;&gt;0,$H115&gt;0,OR(AUTOEVENTO&lt;&gt;"manual",$M115&lt;&gt;1)),ROUND(OFFSET($P115,0,AY$13),15-13*ORÇAMENTO!$AF$7)/$H115*OFFSET(ORÇAMENTO!$X$15,ROW(AY115)-ROW(AY$15),0),0)</f>
        <v>0</v>
      </c>
      <c r="AZ115" s="632">
        <f ca="1">IF(AND($D115="Serviço",AZ$12&lt;&gt;0,$H115&gt;0,OR(AUTOEVENTO&lt;&gt;"manual",$M115&lt;&gt;1)),ROUND(OFFSET($P115,0,AZ$13),15-13*ORÇAMENTO!$AF$7)/$H115*OFFSET(ORÇAMENTO!$X$15,ROW(AZ115)-ROW(AZ$15),0),0)</f>
        <v>0</v>
      </c>
      <c r="BA115" s="633">
        <f ca="1">IF(AND($D115="Serviço",BA$12&lt;&gt;0,$H115&gt;0,OR(AUTOEVENTO&lt;&gt;"manual",$M115&lt;&gt;1)),ROUND(OFFSET($P115,0,BA$13),15-13*ORÇAMENTO!$AF$7)/$H115*OFFSET(ORÇAMENTO!$X$15,ROW(BA115)-ROW(BA$15),0),0)</f>
        <v>0</v>
      </c>
      <c r="BC115" s="215">
        <f ca="1">IF($D115&lt;&gt;"Serviço",0,IF(AND(AUTOEVENTO="Manual",$M115=1),0,IF(OFFSET(CRONOPLE!$F$14,$M115,BC$13)="",10^12,OFFSET(CRONOPLE!$F$14,$M115,BC$13))))</f>
        <v>1000000000000</v>
      </c>
      <c r="BD115" s="215">
        <f ca="1">IF($D115&lt;&gt;"Serviço",0,IF(AND(AUTOEVENTO="Manual",$M115=1),0,IF(OFFSET(CRONOPLE!$F$14,$M115,BD$13)="",10^12,OFFSET(CRONOPLE!$F$14,$M115,BD$13))))</f>
        <v>1000000000000</v>
      </c>
      <c r="BE115" s="215">
        <f ca="1">IF($D115&lt;&gt;"Serviço",0,IF(AND(AUTOEVENTO="Manual",$M115=1),0,IF(OFFSET(CRONOPLE!$F$14,$M115,BE$13)="",10^12,OFFSET(CRONOPLE!$F$14,$M115,BE$13))))</f>
        <v>1000000000000</v>
      </c>
      <c r="BF115" s="215">
        <f ca="1">IF($D115&lt;&gt;"Serviço",0,IF(AND(AUTOEVENTO="Manual",$M115=1),0,IF(OFFSET(CRONOPLE!$F$14,$M115,BF$13)="",10^12,OFFSET(CRONOPLE!$F$14,$M115,BF$13))))</f>
        <v>1000000000000</v>
      </c>
      <c r="BG115" s="215">
        <f ca="1">IF($D115&lt;&gt;"Serviço",0,IF(AND(AUTOEVENTO="Manual",$M115=1),0,IF(OFFSET(CRONOPLE!$F$14,$M115,BG$13)="",10^12,OFFSET(CRONOPLE!$F$14,$M115,BG$13))))</f>
        <v>1000000000000</v>
      </c>
      <c r="BH115" s="215">
        <f ca="1">IF($D115&lt;&gt;"Serviço",0,IF(AND(AUTOEVENTO="Manual",$M115=1),0,IF(OFFSET(CRONOPLE!$F$14,$M115,BH$13)="",10^12,OFFSET(CRONOPLE!$F$14,$M115,BH$13))))</f>
        <v>1000000000000</v>
      </c>
      <c r="BI115" s="215">
        <f ca="1">IF($D115&lt;&gt;"Serviço",0,IF(AND(AUTOEVENTO="Manual",$M115=1),0,IF(OFFSET(CRONOPLE!$F$14,$M115,BI$13)="",10^12,OFFSET(CRONOPLE!$F$14,$M115,BI$13))))</f>
        <v>1000000000000</v>
      </c>
      <c r="BJ115" s="215">
        <f ca="1">IF($D115&lt;&gt;"Serviço",0,IF(AND(AUTOEVENTO="Manual",$M115=1),0,IF(OFFSET(CRONOPLE!$F$14,$M115,BJ$13)="",10^12,OFFSET(CRONOPLE!$F$14,$M115,BJ$13))))</f>
        <v>1000000000000</v>
      </c>
      <c r="BK115" s="215">
        <f ca="1">IF($D115&lt;&gt;"Serviço",0,IF(AND(AUTOEVENTO="Manual",$M115=1),0,IF(OFFSET(CRONOPLE!$F$14,$M115,BK$13)="",10^12,OFFSET(CRONOPLE!$F$14,$M115,BK$13))))</f>
        <v>1000000000000</v>
      </c>
      <c r="BL115" s="215">
        <f ca="1">IF($D115&lt;&gt;"Serviço",0,IF(AND(AUTOEVENTO="Manual",$M115=1),0,IF(OFFSET(CRONOPLE!$F$14,$M115,BL$13)="",10^12,OFFSET(CRONOPLE!$F$14,$M115,BL$13))))</f>
        <v>1000000000000</v>
      </c>
      <c r="BM115" s="215">
        <f ca="1">IF($D115&lt;&gt;"Serviço",0,IF(AND(AUTOEVENTO="Manual",$M115=1),0,IF(OFFSET(CRONOPLE!$F$14,$M115,BM$13)="",10^12,OFFSET(CRONOPLE!$F$14,$M115,BM$13))))</f>
        <v>1000000000000</v>
      </c>
      <c r="BN115" s="215">
        <f ca="1">IF($D115&lt;&gt;"Serviço",0,IF(AND(AUTOEVENTO="Manual",$M115=1),0,IF(OFFSET(CRONOPLE!$F$14,$M115,BN$13)="",10^12,OFFSET(CRONOPLE!$F$14,$M115,BN$13))))</f>
        <v>1000000000000</v>
      </c>
      <c r="BO115" s="215">
        <f ca="1">IF($D115&lt;&gt;"Serviço",0,IF(AND(AUTOEVENTO="Manual",$M115=1),0,IF(OFFSET(CRONOPLE!$F$14,$M115,BO$13)="",10^12,OFFSET(CRONOPLE!$F$14,$M115,BO$13))))</f>
        <v>1000000000000</v>
      </c>
      <c r="BP115" s="215">
        <f ca="1">IF($D115&lt;&gt;"Serviço",0,IF(AND(AUTOEVENTO="Manual",$M115=1),0,IF(OFFSET(CRONOPLE!$F$14,$M115,BP$13)="",10^12,OFFSET(CRONOPLE!$F$14,$M115,BP$13))))</f>
        <v>1000000000000</v>
      </c>
      <c r="BQ115" s="215">
        <f ca="1">IF($D115&lt;&gt;"Serviço",0,IF(AND(AUTOEVENTO="Manual",$M115=1),0,IF(OFFSET(CRONOPLE!$F$14,$M115,BQ$13)="",10^12,OFFSET(CRONOPLE!$F$14,$M115,BQ$13))))</f>
        <v>1000000000000</v>
      </c>
      <c r="BR115" s="215">
        <f ca="1">IF($D115&lt;&gt;"Serviço",0,IF(AND(AUTOEVENTO="Manual",$M115=1),0,IF(OFFSET(CRONOPLE!$F$14,$M115,BR$13)="",10^12,OFFSET(CRONOPLE!$F$14,$M115,BR$13))))</f>
        <v>1000000000000</v>
      </c>
      <c r="BS115" s="215">
        <f ca="1">IF($D115&lt;&gt;"Serviço",0,IF(AND(AUTOEVENTO="Manual",$M115=1),0,IF(OFFSET(CRONOPLE!$F$14,$M115,BS$13)="",10^12,OFFSET(CRONOPLE!$F$14,$M115,BS$13))))</f>
        <v>1000000000000</v>
      </c>
      <c r="BT115" s="215">
        <f ca="1">IF($D115&lt;&gt;"Serviço",0,IF(AND(AUTOEVENTO="Manual",$M115=1),0,IF(OFFSET(CRONOPLE!$F$14,$M115,BT$13)="",10^12,OFFSET(CRONOPLE!$F$14,$M115,BT$13))))</f>
        <v>1000000000000</v>
      </c>
      <c r="BV115" s="216">
        <f ca="1">IF($D115&lt;&gt;"Serviço",0,IF(OR(AND(AUTOEVENTO="Manual",$M115=1),$M115&gt;(ROW(PLE.lastrow)-ROW(PLE.firstrow))),0,IF(OFFSET(PLE!$G$14,$M115,BV$13)="",10^12,OFFSET(PLE!$G$14,$M115,BV$13))))</f>
        <v>1000000000000</v>
      </c>
      <c r="BW115" s="216">
        <f ca="1">IF($D115&lt;&gt;"Serviço",0,IF(OR(AND(AUTOEVENTO="Manual",$M115=1),$M115&gt;(ROW(PLE.lastrow)-ROW(PLE.firstrow))),0,IF(OFFSET(PLE!$G$14,$M115,BW$13)="",10^12,OFFSET(PLE!$G$14,$M115,BW$13))))</f>
        <v>1000000000000</v>
      </c>
      <c r="BX115" s="216">
        <f ca="1">IF($D115&lt;&gt;"Serviço",0,IF(OR(AND(AUTOEVENTO="Manual",$M115=1),$M115&gt;(ROW(PLE.lastrow)-ROW(PLE.firstrow))),0,IF(OFFSET(PLE!$G$14,$M115,BX$13)="",10^12,OFFSET(PLE!$G$14,$M115,BX$13))))</f>
        <v>1000000000000</v>
      </c>
      <c r="BY115" s="216">
        <f ca="1">IF($D115&lt;&gt;"Serviço",0,IF(OR(AND(AUTOEVENTO="Manual",$M115=1),$M115&gt;(ROW(PLE.lastrow)-ROW(PLE.firstrow))),0,IF(OFFSET(PLE!$G$14,$M115,BY$13)="",10^12,OFFSET(PLE!$G$14,$M115,BY$13))))</f>
        <v>1000000000000</v>
      </c>
      <c r="BZ115" s="216">
        <f ca="1">IF($D115&lt;&gt;"Serviço",0,IF(OR(AND(AUTOEVENTO="Manual",$M115=1),$M115&gt;(ROW(PLE.lastrow)-ROW(PLE.firstrow))),0,IF(OFFSET(PLE!$G$14,$M115,BZ$13)="",10^12,OFFSET(PLE!$G$14,$M115,BZ$13))))</f>
        <v>1000000000000</v>
      </c>
      <c r="CA115" s="216">
        <f ca="1">IF($D115&lt;&gt;"Serviço",0,IF(OR(AND(AUTOEVENTO="Manual",$M115=1),$M115&gt;(ROW(PLE.lastrow)-ROW(PLE.firstrow))),0,IF(OFFSET(PLE!$G$14,$M115,CA$13)="",10^12,OFFSET(PLE!$G$14,$M115,CA$13))))</f>
        <v>1000000000000</v>
      </c>
      <c r="CB115" s="216">
        <f ca="1">IF($D115&lt;&gt;"Serviço",0,IF(OR(AND(AUTOEVENTO="Manual",$M115=1),$M115&gt;(ROW(PLE.lastrow)-ROW(PLE.firstrow))),0,IF(OFFSET(PLE!$G$14,$M115,CB$13)="",10^12,OFFSET(PLE!$G$14,$M115,CB$13))))</f>
        <v>1000000000000</v>
      </c>
      <c r="CC115" s="216">
        <f ca="1">IF($D115&lt;&gt;"Serviço",0,IF(OR(AND(AUTOEVENTO="Manual",$M115=1),$M115&gt;(ROW(PLE.lastrow)-ROW(PLE.firstrow))),0,IF(OFFSET(PLE!$G$14,$M115,CC$13)="",10^12,OFFSET(PLE!$G$14,$M115,CC$13))))</f>
        <v>1000000000000</v>
      </c>
      <c r="CD115" s="216">
        <f ca="1">IF($D115&lt;&gt;"Serviço",0,IF(OR(AND(AUTOEVENTO="Manual",$M115=1),$M115&gt;(ROW(PLE.lastrow)-ROW(PLE.firstrow))),0,IF(OFFSET(PLE!$G$14,$M115,CD$13)="",10^12,OFFSET(PLE!$G$14,$M115,CD$13))))</f>
        <v>1000000000000</v>
      </c>
      <c r="CE115" s="216">
        <f ca="1">IF($D115&lt;&gt;"Serviço",0,IF(OR(AND(AUTOEVENTO="Manual",$M115=1),$M115&gt;(ROW(PLE.lastrow)-ROW(PLE.firstrow))),0,IF(OFFSET(PLE!$G$14,$M115,CE$13)="",10^12,OFFSET(PLE!$G$14,$M115,CE$13))))</f>
        <v>1000000000000</v>
      </c>
      <c r="CF115" s="216">
        <f ca="1">IF($D115&lt;&gt;"Serviço",0,IF(OR(AND(AUTOEVENTO="Manual",$M115=1),$M115&gt;(ROW(PLE.lastrow)-ROW(PLE.firstrow))),0,IF(OFFSET(PLE!$G$14,$M115,CF$13)="",10^12,OFFSET(PLE!$G$14,$M115,CF$13))))</f>
        <v>1000000000000</v>
      </c>
      <c r="CG115" s="216">
        <f ca="1">IF($D115&lt;&gt;"Serviço",0,IF(OR(AND(AUTOEVENTO="Manual",$M115=1),$M115&gt;(ROW(PLE.lastrow)-ROW(PLE.firstrow))),0,IF(OFFSET(PLE!$G$14,$M115,CG$13)="",10^12,OFFSET(PLE!$G$14,$M115,CG$13))))</f>
        <v>1000000000000</v>
      </c>
      <c r="CH115" s="216">
        <f ca="1">IF($D115&lt;&gt;"Serviço",0,IF(OR(AND(AUTOEVENTO="Manual",$M115=1),$M115&gt;(ROW(PLE.lastrow)-ROW(PLE.firstrow))),0,IF(OFFSET(PLE!$G$14,$M115,CH$13)="",10^12,OFFSET(PLE!$G$14,$M115,CH$13))))</f>
        <v>1000000000000</v>
      </c>
      <c r="CI115" s="216">
        <f ca="1">IF($D115&lt;&gt;"Serviço",0,IF(OR(AND(AUTOEVENTO="Manual",$M115=1),$M115&gt;(ROW(PLE.lastrow)-ROW(PLE.firstrow))),0,IF(OFFSET(PLE!$G$14,$M115,CI$13)="",10^12,OFFSET(PLE!$G$14,$M115,CI$13))))</f>
        <v>1000000000000</v>
      </c>
      <c r="CJ115" s="216">
        <f ca="1">IF($D115&lt;&gt;"Serviço",0,IF(OR(AND(AUTOEVENTO="Manual",$M115=1),$M115&gt;(ROW(PLE.lastrow)-ROW(PLE.firstrow))),0,IF(OFFSET(PLE!$G$14,$M115,CJ$13)="",10^12,OFFSET(PLE!$G$14,$M115,CJ$13))))</f>
        <v>1000000000000</v>
      </c>
      <c r="CK115" s="216">
        <f ca="1">IF($D115&lt;&gt;"Serviço",0,IF(OR(AND(AUTOEVENTO="Manual",$M115=1),$M115&gt;(ROW(PLE.lastrow)-ROW(PLE.firstrow))),0,IF(OFFSET(PLE!$G$14,$M115,CK$13)="",10^12,OFFSET(PLE!$G$14,$M115,CK$13))))</f>
        <v>1000000000000</v>
      </c>
      <c r="CL115" s="216">
        <f ca="1">IF($D115&lt;&gt;"Serviço",0,IF(OR(AND(AUTOEVENTO="Manual",$M115=1),$M115&gt;(ROW(PLE.lastrow)-ROW(PLE.firstrow))),0,IF(OFFSET(PLE!$G$14,$M115,CL$13)="",10^12,OFFSET(PLE!$G$14,$M115,CL$13))))</f>
        <v>1000000000000</v>
      </c>
      <c r="CM115" s="216">
        <f ca="1">IF($D115&lt;&gt;"Serviço",0,IF(OR(AND(AUTOEVENTO="Manual",$M115=1),$M115&gt;(ROW(PLE.lastrow)-ROW(PLE.firstrow))),0,IF(OFFSET(PLE!$G$14,$M115,CM$13)="",10^12,OFFSET(PLE!$G$14,$M115,CM$13))))</f>
        <v>1000000000000</v>
      </c>
    </row>
    <row r="116" spans="1:91" ht="13.2" x14ac:dyDescent="0.25">
      <c r="A116" s="9">
        <f t="shared" ca="1" si="10"/>
        <v>0</v>
      </c>
      <c r="B116" s="9" t="str">
        <f ca="1">OFFSET(ORÇAMENTO!C$15,ROW(B116)-ROW(B$15),0)</f>
        <v>S</v>
      </c>
      <c r="C116" s="9" t="str">
        <f ca="1">OFFSET(ORÇAMENTO!L$15,ROW(C116)-ROW(C$15),0)</f>
        <v/>
      </c>
      <c r="D116" s="145" t="str">
        <f ca="1">OFFSET(ORÇAMENTO!N$15,ROW(D116)-ROW(D$15),0)</f>
        <v>Serviço</v>
      </c>
      <c r="E116" s="205" t="str">
        <f ca="1">OFFSET(ORÇAMENTO!O$15,ROW(E116)-ROW(E$15),0)</f>
        <v>-</v>
      </c>
      <c r="F116" s="206" t="str">
        <f ca="1">OFFSET(ORÇAMENTO!R$15,ROW(F116)-ROW(F$15),0)</f>
        <v>(abra o arquivo 'Referência 05-2024.xls)</v>
      </c>
      <c r="G116" s="207" t="str">
        <f ca="1">IF($D116&lt;&gt;"Serviço","",OFFSET(ORÇAMENTO!S$15,ROW(G116)-ROW(G$15),0))</f>
        <v>-</v>
      </c>
      <c r="H116" s="151">
        <f ca="1">IF($D116&lt;&gt;"Serviço",0,IF(ACOMPANHAMENTO="BM",ROUND(OFFSET(ORÇAMENTO!AJ$15,ROW(H116)-ROW(H$15),0),15-13*ORÇAMENTO!$AF$7),SUMPRODUCT(($Q$12:$AI$12&lt;&gt;"")*ROUND($Q116:$AI116,15-13*ORÇAMENTO!$AF$7))))</f>
        <v>1635.22</v>
      </c>
      <c r="I116" s="650"/>
      <c r="K116" s="208"/>
      <c r="L116" s="209" t="s">
        <v>257</v>
      </c>
      <c r="M116" s="210">
        <f ca="1">IF($D116&lt;&gt;"Serviço","",IF(AUTOEVENTO="manual",$A116,IF(ISERROR(MATCH($A116,$A$15:OFFSET($A116,-1,0),0)),MAX($M$15:OFFSET(M116,-1,0))+1,INDEX($M$15:OFFSET(M116,-1,0),MATCH($A116,$A$15:OFFSET($A116,-1,0),0)))))</f>
        <v>0</v>
      </c>
      <c r="N116" s="211" t="str">
        <f ca="1">IF($D116&lt;&gt;"Serviço","",IF(AUTOEVENTO="Manual",IF($A116=0,"&lt;-- defina o número do agrupador",OFFSET(EVENTOS!$D$14,$A116,0)),OFFSET($F$15,$A116,0)))</f>
        <v>&lt;-- defina o número do agrupador</v>
      </c>
      <c r="O116" s="212"/>
      <c r="Q116" s="212"/>
      <c r="R116" s="213"/>
      <c r="S116" s="213"/>
      <c r="T116" s="213"/>
      <c r="U116" s="213"/>
      <c r="V116" s="213"/>
      <c r="W116" s="213"/>
      <c r="X116" s="213"/>
      <c r="Y116" s="213"/>
      <c r="Z116" s="214"/>
      <c r="AA116" s="213"/>
      <c r="AB116" s="213"/>
      <c r="AC116" s="213"/>
      <c r="AD116" s="213"/>
      <c r="AE116" s="213"/>
      <c r="AF116" s="213"/>
      <c r="AG116" s="213"/>
      <c r="AH116" s="214"/>
      <c r="AJ116" s="631">
        <f ca="1">IF(AND($D116="Serviço",AJ$12&lt;&gt;0,$H116&gt;0,OR(AUTOEVENTO&lt;&gt;"manual",$M116&lt;&gt;1)),ROUND(OFFSET($P116,0,AJ$13),15-13*ORÇAMENTO!$AF$7)/$H116*OFFSET(ORÇAMENTO!$X$15,ROW(AJ116)-ROW(AJ$15),0),0)</f>
        <v>0</v>
      </c>
      <c r="AK116" s="632">
        <f ca="1">IF(AND($D116="Serviço",AK$12&lt;&gt;0,$H116&gt;0,OR(AUTOEVENTO&lt;&gt;"manual",$M116&lt;&gt;1)),ROUND(OFFSET($P116,0,AK$13),15-13*ORÇAMENTO!$AF$7)/$H116*OFFSET(ORÇAMENTO!$X$15,ROW(AK116)-ROW(AK$15),0),0)</f>
        <v>0</v>
      </c>
      <c r="AL116" s="632">
        <f ca="1">IF(AND($D116="Serviço",AL$12&lt;&gt;0,$H116&gt;0,OR(AUTOEVENTO&lt;&gt;"manual",$M116&lt;&gt;1)),ROUND(OFFSET($P116,0,AL$13),15-13*ORÇAMENTO!$AF$7)/$H116*OFFSET(ORÇAMENTO!$X$15,ROW(AL116)-ROW(AL$15),0),0)</f>
        <v>0</v>
      </c>
      <c r="AM116" s="632">
        <f ca="1">IF(AND($D116="Serviço",AM$12&lt;&gt;0,$H116&gt;0,OR(AUTOEVENTO&lt;&gt;"manual",$M116&lt;&gt;1)),ROUND(OFFSET($P116,0,AM$13),15-13*ORÇAMENTO!$AF$7)/$H116*OFFSET(ORÇAMENTO!$X$15,ROW(AM116)-ROW(AM$15),0),0)</f>
        <v>0</v>
      </c>
      <c r="AN116" s="632">
        <f ca="1">IF(AND($D116="Serviço",AN$12&lt;&gt;0,$H116&gt;0,OR(AUTOEVENTO&lt;&gt;"manual",$M116&lt;&gt;1)),ROUND(OFFSET($P116,0,AN$13),15-13*ORÇAMENTO!$AF$7)/$H116*OFFSET(ORÇAMENTO!$X$15,ROW(AN116)-ROW(AN$15),0),0)</f>
        <v>0</v>
      </c>
      <c r="AO116" s="632">
        <f ca="1">IF(AND($D116="Serviço",AO$12&lt;&gt;0,$H116&gt;0,OR(AUTOEVENTO&lt;&gt;"manual",$M116&lt;&gt;1)),ROUND(OFFSET($P116,0,AO$13),15-13*ORÇAMENTO!$AF$7)/$H116*OFFSET(ORÇAMENTO!$X$15,ROW(AO116)-ROW(AO$15),0),0)</f>
        <v>0</v>
      </c>
      <c r="AP116" s="632">
        <f ca="1">IF(AND($D116="Serviço",AP$12&lt;&gt;0,$H116&gt;0,OR(AUTOEVENTO&lt;&gt;"manual",$M116&lt;&gt;1)),ROUND(OFFSET($P116,0,AP$13),15-13*ORÇAMENTO!$AF$7)/$H116*OFFSET(ORÇAMENTO!$X$15,ROW(AP116)-ROW(AP$15),0),0)</f>
        <v>0</v>
      </c>
      <c r="AQ116" s="632">
        <f ca="1">IF(AND($D116="Serviço",AQ$12&lt;&gt;0,$H116&gt;0,OR(AUTOEVENTO&lt;&gt;"manual",$M116&lt;&gt;1)),ROUND(OFFSET($P116,0,AQ$13),15-13*ORÇAMENTO!$AF$7)/$H116*OFFSET(ORÇAMENTO!$X$15,ROW(AQ116)-ROW(AQ$15),0),0)</f>
        <v>0</v>
      </c>
      <c r="AR116" s="632">
        <f ca="1">IF(AND($D116="Serviço",AR$12&lt;&gt;0,$H116&gt;0,OR(AUTOEVENTO&lt;&gt;"manual",$M116&lt;&gt;1)),ROUND(OFFSET($P116,0,AR$13),15-13*ORÇAMENTO!$AF$7)/$H116*OFFSET(ORÇAMENTO!$X$15,ROW(AR116)-ROW(AR$15),0),0)</f>
        <v>0</v>
      </c>
      <c r="AS116" s="633">
        <f ca="1">IF(AND($D116="Serviço",AS$12&lt;&gt;0,$H116&gt;0,OR(AUTOEVENTO&lt;&gt;"manual",$M116&lt;&gt;1)),ROUND(OFFSET($P116,0,AS$13),15-13*ORÇAMENTO!$AF$7)/$H116*OFFSET(ORÇAMENTO!$X$15,ROW(AS116)-ROW(AS$15),0),0)</f>
        <v>0</v>
      </c>
      <c r="AT116" s="632">
        <f ca="1">IF(AND($D116="Serviço",AT$12&lt;&gt;0,$H116&gt;0,OR(AUTOEVENTO&lt;&gt;"manual",$M116&lt;&gt;1)),ROUND(OFFSET($P116,0,AT$13),15-13*ORÇAMENTO!$AF$7)/$H116*OFFSET(ORÇAMENTO!$X$15,ROW(AT116)-ROW(AT$15),0),0)</f>
        <v>0</v>
      </c>
      <c r="AU116" s="632">
        <f ca="1">IF(AND($D116="Serviço",AU$12&lt;&gt;0,$H116&gt;0,OR(AUTOEVENTO&lt;&gt;"manual",$M116&lt;&gt;1)),ROUND(OFFSET($P116,0,AU$13),15-13*ORÇAMENTO!$AF$7)/$H116*OFFSET(ORÇAMENTO!$X$15,ROW(AU116)-ROW(AU$15),0),0)</f>
        <v>0</v>
      </c>
      <c r="AV116" s="632">
        <f ca="1">IF(AND($D116="Serviço",AV$12&lt;&gt;0,$H116&gt;0,OR(AUTOEVENTO&lt;&gt;"manual",$M116&lt;&gt;1)),ROUND(OFFSET($P116,0,AV$13),15-13*ORÇAMENTO!$AF$7)/$H116*OFFSET(ORÇAMENTO!$X$15,ROW(AV116)-ROW(AV$15),0),0)</f>
        <v>0</v>
      </c>
      <c r="AW116" s="632">
        <f ca="1">IF(AND($D116="Serviço",AW$12&lt;&gt;0,$H116&gt;0,OR(AUTOEVENTO&lt;&gt;"manual",$M116&lt;&gt;1)),ROUND(OFFSET($P116,0,AW$13),15-13*ORÇAMENTO!$AF$7)/$H116*OFFSET(ORÇAMENTO!$X$15,ROW(AW116)-ROW(AW$15),0),0)</f>
        <v>0</v>
      </c>
      <c r="AX116" s="632">
        <f ca="1">IF(AND($D116="Serviço",AX$12&lt;&gt;0,$H116&gt;0,OR(AUTOEVENTO&lt;&gt;"manual",$M116&lt;&gt;1)),ROUND(OFFSET($P116,0,AX$13),15-13*ORÇAMENTO!$AF$7)/$H116*OFFSET(ORÇAMENTO!$X$15,ROW(AX116)-ROW(AX$15),0),0)</f>
        <v>0</v>
      </c>
      <c r="AY116" s="632">
        <f ca="1">IF(AND($D116="Serviço",AY$12&lt;&gt;0,$H116&gt;0,OR(AUTOEVENTO&lt;&gt;"manual",$M116&lt;&gt;1)),ROUND(OFFSET($P116,0,AY$13),15-13*ORÇAMENTO!$AF$7)/$H116*OFFSET(ORÇAMENTO!$X$15,ROW(AY116)-ROW(AY$15),0),0)</f>
        <v>0</v>
      </c>
      <c r="AZ116" s="632">
        <f ca="1">IF(AND($D116="Serviço",AZ$12&lt;&gt;0,$H116&gt;0,OR(AUTOEVENTO&lt;&gt;"manual",$M116&lt;&gt;1)),ROUND(OFFSET($P116,0,AZ$13),15-13*ORÇAMENTO!$AF$7)/$H116*OFFSET(ORÇAMENTO!$X$15,ROW(AZ116)-ROW(AZ$15),0),0)</f>
        <v>0</v>
      </c>
      <c r="BA116" s="633">
        <f ca="1">IF(AND($D116="Serviço",BA$12&lt;&gt;0,$H116&gt;0,OR(AUTOEVENTO&lt;&gt;"manual",$M116&lt;&gt;1)),ROUND(OFFSET($P116,0,BA$13),15-13*ORÇAMENTO!$AF$7)/$H116*OFFSET(ORÇAMENTO!$X$15,ROW(BA116)-ROW(BA$15),0),0)</f>
        <v>0</v>
      </c>
      <c r="BC116" s="215">
        <f ca="1">IF($D116&lt;&gt;"Serviço",0,IF(AND(AUTOEVENTO="Manual",$M116=1),0,IF(OFFSET(CRONOPLE!$F$14,$M116,BC$13)="",10^12,OFFSET(CRONOPLE!$F$14,$M116,BC$13))))</f>
        <v>1000000000000</v>
      </c>
      <c r="BD116" s="215">
        <f ca="1">IF($D116&lt;&gt;"Serviço",0,IF(AND(AUTOEVENTO="Manual",$M116=1),0,IF(OFFSET(CRONOPLE!$F$14,$M116,BD$13)="",10^12,OFFSET(CRONOPLE!$F$14,$M116,BD$13))))</f>
        <v>1000000000000</v>
      </c>
      <c r="BE116" s="215">
        <f ca="1">IF($D116&lt;&gt;"Serviço",0,IF(AND(AUTOEVENTO="Manual",$M116=1),0,IF(OFFSET(CRONOPLE!$F$14,$M116,BE$13)="",10^12,OFFSET(CRONOPLE!$F$14,$M116,BE$13))))</f>
        <v>1000000000000</v>
      </c>
      <c r="BF116" s="215">
        <f ca="1">IF($D116&lt;&gt;"Serviço",0,IF(AND(AUTOEVENTO="Manual",$M116=1),0,IF(OFFSET(CRONOPLE!$F$14,$M116,BF$13)="",10^12,OFFSET(CRONOPLE!$F$14,$M116,BF$13))))</f>
        <v>1000000000000</v>
      </c>
      <c r="BG116" s="215">
        <f ca="1">IF($D116&lt;&gt;"Serviço",0,IF(AND(AUTOEVENTO="Manual",$M116=1),0,IF(OFFSET(CRONOPLE!$F$14,$M116,BG$13)="",10^12,OFFSET(CRONOPLE!$F$14,$M116,BG$13))))</f>
        <v>1000000000000</v>
      </c>
      <c r="BH116" s="215">
        <f ca="1">IF($D116&lt;&gt;"Serviço",0,IF(AND(AUTOEVENTO="Manual",$M116=1),0,IF(OFFSET(CRONOPLE!$F$14,$M116,BH$13)="",10^12,OFFSET(CRONOPLE!$F$14,$M116,BH$13))))</f>
        <v>1000000000000</v>
      </c>
      <c r="BI116" s="215">
        <f ca="1">IF($D116&lt;&gt;"Serviço",0,IF(AND(AUTOEVENTO="Manual",$M116=1),0,IF(OFFSET(CRONOPLE!$F$14,$M116,BI$13)="",10^12,OFFSET(CRONOPLE!$F$14,$M116,BI$13))))</f>
        <v>1000000000000</v>
      </c>
      <c r="BJ116" s="215">
        <f ca="1">IF($D116&lt;&gt;"Serviço",0,IF(AND(AUTOEVENTO="Manual",$M116=1),0,IF(OFFSET(CRONOPLE!$F$14,$M116,BJ$13)="",10^12,OFFSET(CRONOPLE!$F$14,$M116,BJ$13))))</f>
        <v>1000000000000</v>
      </c>
      <c r="BK116" s="215">
        <f ca="1">IF($D116&lt;&gt;"Serviço",0,IF(AND(AUTOEVENTO="Manual",$M116=1),0,IF(OFFSET(CRONOPLE!$F$14,$M116,BK$13)="",10^12,OFFSET(CRONOPLE!$F$14,$M116,BK$13))))</f>
        <v>1000000000000</v>
      </c>
      <c r="BL116" s="215">
        <f ca="1">IF($D116&lt;&gt;"Serviço",0,IF(AND(AUTOEVENTO="Manual",$M116=1),0,IF(OFFSET(CRONOPLE!$F$14,$M116,BL$13)="",10^12,OFFSET(CRONOPLE!$F$14,$M116,BL$13))))</f>
        <v>1000000000000</v>
      </c>
      <c r="BM116" s="215">
        <f ca="1">IF($D116&lt;&gt;"Serviço",0,IF(AND(AUTOEVENTO="Manual",$M116=1),0,IF(OFFSET(CRONOPLE!$F$14,$M116,BM$13)="",10^12,OFFSET(CRONOPLE!$F$14,$M116,BM$13))))</f>
        <v>1000000000000</v>
      </c>
      <c r="BN116" s="215">
        <f ca="1">IF($D116&lt;&gt;"Serviço",0,IF(AND(AUTOEVENTO="Manual",$M116=1),0,IF(OFFSET(CRONOPLE!$F$14,$M116,BN$13)="",10^12,OFFSET(CRONOPLE!$F$14,$M116,BN$13))))</f>
        <v>1000000000000</v>
      </c>
      <c r="BO116" s="215">
        <f ca="1">IF($D116&lt;&gt;"Serviço",0,IF(AND(AUTOEVENTO="Manual",$M116=1),0,IF(OFFSET(CRONOPLE!$F$14,$M116,BO$13)="",10^12,OFFSET(CRONOPLE!$F$14,$M116,BO$13))))</f>
        <v>1000000000000</v>
      </c>
      <c r="BP116" s="215">
        <f ca="1">IF($D116&lt;&gt;"Serviço",0,IF(AND(AUTOEVENTO="Manual",$M116=1),0,IF(OFFSET(CRONOPLE!$F$14,$M116,BP$13)="",10^12,OFFSET(CRONOPLE!$F$14,$M116,BP$13))))</f>
        <v>1000000000000</v>
      </c>
      <c r="BQ116" s="215">
        <f ca="1">IF($D116&lt;&gt;"Serviço",0,IF(AND(AUTOEVENTO="Manual",$M116=1),0,IF(OFFSET(CRONOPLE!$F$14,$M116,BQ$13)="",10^12,OFFSET(CRONOPLE!$F$14,$M116,BQ$13))))</f>
        <v>1000000000000</v>
      </c>
      <c r="BR116" s="215">
        <f ca="1">IF($D116&lt;&gt;"Serviço",0,IF(AND(AUTOEVENTO="Manual",$M116=1),0,IF(OFFSET(CRONOPLE!$F$14,$M116,BR$13)="",10^12,OFFSET(CRONOPLE!$F$14,$M116,BR$13))))</f>
        <v>1000000000000</v>
      </c>
      <c r="BS116" s="215">
        <f ca="1">IF($D116&lt;&gt;"Serviço",0,IF(AND(AUTOEVENTO="Manual",$M116=1),0,IF(OFFSET(CRONOPLE!$F$14,$M116,BS$13)="",10^12,OFFSET(CRONOPLE!$F$14,$M116,BS$13))))</f>
        <v>1000000000000</v>
      </c>
      <c r="BT116" s="215">
        <f ca="1">IF($D116&lt;&gt;"Serviço",0,IF(AND(AUTOEVENTO="Manual",$M116=1),0,IF(OFFSET(CRONOPLE!$F$14,$M116,BT$13)="",10^12,OFFSET(CRONOPLE!$F$14,$M116,BT$13))))</f>
        <v>1000000000000</v>
      </c>
      <c r="BV116" s="216">
        <f ca="1">IF($D116&lt;&gt;"Serviço",0,IF(OR(AND(AUTOEVENTO="Manual",$M116=1),$M116&gt;(ROW(PLE.lastrow)-ROW(PLE.firstrow))),0,IF(OFFSET(PLE!$G$14,$M116,BV$13)="",10^12,OFFSET(PLE!$G$14,$M116,BV$13))))</f>
        <v>1000000000000</v>
      </c>
      <c r="BW116" s="216">
        <f ca="1">IF($D116&lt;&gt;"Serviço",0,IF(OR(AND(AUTOEVENTO="Manual",$M116=1),$M116&gt;(ROW(PLE.lastrow)-ROW(PLE.firstrow))),0,IF(OFFSET(PLE!$G$14,$M116,BW$13)="",10^12,OFFSET(PLE!$G$14,$M116,BW$13))))</f>
        <v>1000000000000</v>
      </c>
      <c r="BX116" s="216">
        <f ca="1">IF($D116&lt;&gt;"Serviço",0,IF(OR(AND(AUTOEVENTO="Manual",$M116=1),$M116&gt;(ROW(PLE.lastrow)-ROW(PLE.firstrow))),0,IF(OFFSET(PLE!$G$14,$M116,BX$13)="",10^12,OFFSET(PLE!$G$14,$M116,BX$13))))</f>
        <v>1000000000000</v>
      </c>
      <c r="BY116" s="216">
        <f ca="1">IF($D116&lt;&gt;"Serviço",0,IF(OR(AND(AUTOEVENTO="Manual",$M116=1),$M116&gt;(ROW(PLE.lastrow)-ROW(PLE.firstrow))),0,IF(OFFSET(PLE!$G$14,$M116,BY$13)="",10^12,OFFSET(PLE!$G$14,$M116,BY$13))))</f>
        <v>1000000000000</v>
      </c>
      <c r="BZ116" s="216">
        <f ca="1">IF($D116&lt;&gt;"Serviço",0,IF(OR(AND(AUTOEVENTO="Manual",$M116=1),$M116&gt;(ROW(PLE.lastrow)-ROW(PLE.firstrow))),0,IF(OFFSET(PLE!$G$14,$M116,BZ$13)="",10^12,OFFSET(PLE!$G$14,$M116,BZ$13))))</f>
        <v>1000000000000</v>
      </c>
      <c r="CA116" s="216">
        <f ca="1">IF($D116&lt;&gt;"Serviço",0,IF(OR(AND(AUTOEVENTO="Manual",$M116=1),$M116&gt;(ROW(PLE.lastrow)-ROW(PLE.firstrow))),0,IF(OFFSET(PLE!$G$14,$M116,CA$13)="",10^12,OFFSET(PLE!$G$14,$M116,CA$13))))</f>
        <v>1000000000000</v>
      </c>
      <c r="CB116" s="216">
        <f ca="1">IF($D116&lt;&gt;"Serviço",0,IF(OR(AND(AUTOEVENTO="Manual",$M116=1),$M116&gt;(ROW(PLE.lastrow)-ROW(PLE.firstrow))),0,IF(OFFSET(PLE!$G$14,$M116,CB$13)="",10^12,OFFSET(PLE!$G$14,$M116,CB$13))))</f>
        <v>1000000000000</v>
      </c>
      <c r="CC116" s="216">
        <f ca="1">IF($D116&lt;&gt;"Serviço",0,IF(OR(AND(AUTOEVENTO="Manual",$M116=1),$M116&gt;(ROW(PLE.lastrow)-ROW(PLE.firstrow))),0,IF(OFFSET(PLE!$G$14,$M116,CC$13)="",10^12,OFFSET(PLE!$G$14,$M116,CC$13))))</f>
        <v>1000000000000</v>
      </c>
      <c r="CD116" s="216">
        <f ca="1">IF($D116&lt;&gt;"Serviço",0,IF(OR(AND(AUTOEVENTO="Manual",$M116=1),$M116&gt;(ROW(PLE.lastrow)-ROW(PLE.firstrow))),0,IF(OFFSET(PLE!$G$14,$M116,CD$13)="",10^12,OFFSET(PLE!$G$14,$M116,CD$13))))</f>
        <v>1000000000000</v>
      </c>
      <c r="CE116" s="216">
        <f ca="1">IF($D116&lt;&gt;"Serviço",0,IF(OR(AND(AUTOEVENTO="Manual",$M116=1),$M116&gt;(ROW(PLE.lastrow)-ROW(PLE.firstrow))),0,IF(OFFSET(PLE!$G$14,$M116,CE$13)="",10^12,OFFSET(PLE!$G$14,$M116,CE$13))))</f>
        <v>1000000000000</v>
      </c>
      <c r="CF116" s="216">
        <f ca="1">IF($D116&lt;&gt;"Serviço",0,IF(OR(AND(AUTOEVENTO="Manual",$M116=1),$M116&gt;(ROW(PLE.lastrow)-ROW(PLE.firstrow))),0,IF(OFFSET(PLE!$G$14,$M116,CF$13)="",10^12,OFFSET(PLE!$G$14,$M116,CF$13))))</f>
        <v>1000000000000</v>
      </c>
      <c r="CG116" s="216">
        <f ca="1">IF($D116&lt;&gt;"Serviço",0,IF(OR(AND(AUTOEVENTO="Manual",$M116=1),$M116&gt;(ROW(PLE.lastrow)-ROW(PLE.firstrow))),0,IF(OFFSET(PLE!$G$14,$M116,CG$13)="",10^12,OFFSET(PLE!$G$14,$M116,CG$13))))</f>
        <v>1000000000000</v>
      </c>
      <c r="CH116" s="216">
        <f ca="1">IF($D116&lt;&gt;"Serviço",0,IF(OR(AND(AUTOEVENTO="Manual",$M116=1),$M116&gt;(ROW(PLE.lastrow)-ROW(PLE.firstrow))),0,IF(OFFSET(PLE!$G$14,$M116,CH$13)="",10^12,OFFSET(PLE!$G$14,$M116,CH$13))))</f>
        <v>1000000000000</v>
      </c>
      <c r="CI116" s="216">
        <f ca="1">IF($D116&lt;&gt;"Serviço",0,IF(OR(AND(AUTOEVENTO="Manual",$M116=1),$M116&gt;(ROW(PLE.lastrow)-ROW(PLE.firstrow))),0,IF(OFFSET(PLE!$G$14,$M116,CI$13)="",10^12,OFFSET(PLE!$G$14,$M116,CI$13))))</f>
        <v>1000000000000</v>
      </c>
      <c r="CJ116" s="216">
        <f ca="1">IF($D116&lt;&gt;"Serviço",0,IF(OR(AND(AUTOEVENTO="Manual",$M116=1),$M116&gt;(ROW(PLE.lastrow)-ROW(PLE.firstrow))),0,IF(OFFSET(PLE!$G$14,$M116,CJ$13)="",10^12,OFFSET(PLE!$G$14,$M116,CJ$13))))</f>
        <v>1000000000000</v>
      </c>
      <c r="CK116" s="216">
        <f ca="1">IF($D116&lt;&gt;"Serviço",0,IF(OR(AND(AUTOEVENTO="Manual",$M116=1),$M116&gt;(ROW(PLE.lastrow)-ROW(PLE.firstrow))),0,IF(OFFSET(PLE!$G$14,$M116,CK$13)="",10^12,OFFSET(PLE!$G$14,$M116,CK$13))))</f>
        <v>1000000000000</v>
      </c>
      <c r="CL116" s="216">
        <f ca="1">IF($D116&lt;&gt;"Serviço",0,IF(OR(AND(AUTOEVENTO="Manual",$M116=1),$M116&gt;(ROW(PLE.lastrow)-ROW(PLE.firstrow))),0,IF(OFFSET(PLE!$G$14,$M116,CL$13)="",10^12,OFFSET(PLE!$G$14,$M116,CL$13))))</f>
        <v>1000000000000</v>
      </c>
      <c r="CM116" s="216">
        <f ca="1">IF($D116&lt;&gt;"Serviço",0,IF(OR(AND(AUTOEVENTO="Manual",$M116=1),$M116&gt;(ROW(PLE.lastrow)-ROW(PLE.firstrow))),0,IF(OFFSET(PLE!$G$14,$M116,CM$13)="",10^12,OFFSET(PLE!$G$14,$M116,CM$13))))</f>
        <v>1000000000000</v>
      </c>
    </row>
    <row r="117" spans="1:91" ht="13.2" x14ac:dyDescent="0.25">
      <c r="A117" s="9">
        <f t="shared" ca="1" si="10"/>
        <v>0</v>
      </c>
      <c r="B117" s="9" t="str">
        <f ca="1">OFFSET(ORÇAMENTO!C$15,ROW(B117)-ROW(B$15),0)</f>
        <v>S</v>
      </c>
      <c r="C117" s="9" t="str">
        <f ca="1">OFFSET(ORÇAMENTO!L$15,ROW(C117)-ROW(C$15),0)</f>
        <v/>
      </c>
      <c r="D117" s="145" t="str">
        <f ca="1">OFFSET(ORÇAMENTO!N$15,ROW(D117)-ROW(D$15),0)</f>
        <v>Serviço</v>
      </c>
      <c r="E117" s="205" t="str">
        <f ca="1">OFFSET(ORÇAMENTO!O$15,ROW(E117)-ROW(E$15),0)</f>
        <v>-</v>
      </c>
      <c r="F117" s="206" t="str">
        <f ca="1">OFFSET(ORÇAMENTO!R$15,ROW(F117)-ROW(F$15),0)</f>
        <v>(abra o arquivo 'Referência 05-2024.xls)</v>
      </c>
      <c r="G117" s="207" t="str">
        <f ca="1">IF($D117&lt;&gt;"Serviço","",OFFSET(ORÇAMENTO!S$15,ROW(G117)-ROW(G$15),0))</f>
        <v>-</v>
      </c>
      <c r="H117" s="151">
        <f ca="1">IF($D117&lt;&gt;"Serviço",0,IF(ACOMPANHAMENTO="BM",ROUND(OFFSET(ORÇAMENTO!AJ$15,ROW(H117)-ROW(H$15),0),15-13*ORÇAMENTO!$AF$7),SUMPRODUCT(($Q$12:$AI$12&lt;&gt;"")*ROUND($Q117:$AI117,15-13*ORÇAMENTO!$AF$7))))</f>
        <v>1699.59</v>
      </c>
      <c r="I117" s="650"/>
      <c r="K117" s="208"/>
      <c r="L117" s="209" t="s">
        <v>257</v>
      </c>
      <c r="M117" s="210">
        <f ca="1">IF($D117&lt;&gt;"Serviço","",IF(AUTOEVENTO="manual",$A117,IF(ISERROR(MATCH($A117,$A$15:OFFSET($A117,-1,0),0)),MAX($M$15:OFFSET(M117,-1,0))+1,INDEX($M$15:OFFSET(M117,-1,0),MATCH($A117,$A$15:OFFSET($A117,-1,0),0)))))</f>
        <v>0</v>
      </c>
      <c r="N117" s="211" t="str">
        <f ca="1">IF($D117&lt;&gt;"Serviço","",IF(AUTOEVENTO="Manual",IF($A117=0,"&lt;-- defina o número do agrupador",OFFSET(EVENTOS!$D$14,$A117,0)),OFFSET($F$15,$A117,0)))</f>
        <v>&lt;-- defina o número do agrupador</v>
      </c>
      <c r="O117" s="212"/>
      <c r="Q117" s="212"/>
      <c r="R117" s="213"/>
      <c r="S117" s="213"/>
      <c r="T117" s="213"/>
      <c r="U117" s="213"/>
      <c r="V117" s="213"/>
      <c r="W117" s="213"/>
      <c r="X117" s="213"/>
      <c r="Y117" s="213"/>
      <c r="Z117" s="214"/>
      <c r="AA117" s="213"/>
      <c r="AB117" s="213"/>
      <c r="AC117" s="213"/>
      <c r="AD117" s="213"/>
      <c r="AE117" s="213"/>
      <c r="AF117" s="213"/>
      <c r="AG117" s="213"/>
      <c r="AH117" s="214"/>
      <c r="AJ117" s="631">
        <f ca="1">IF(AND($D117="Serviço",AJ$12&lt;&gt;0,$H117&gt;0,OR(AUTOEVENTO&lt;&gt;"manual",$M117&lt;&gt;1)),ROUND(OFFSET($P117,0,AJ$13),15-13*ORÇAMENTO!$AF$7)/$H117*OFFSET(ORÇAMENTO!$X$15,ROW(AJ117)-ROW(AJ$15),0),0)</f>
        <v>0</v>
      </c>
      <c r="AK117" s="632">
        <f ca="1">IF(AND($D117="Serviço",AK$12&lt;&gt;0,$H117&gt;0,OR(AUTOEVENTO&lt;&gt;"manual",$M117&lt;&gt;1)),ROUND(OFFSET($P117,0,AK$13),15-13*ORÇAMENTO!$AF$7)/$H117*OFFSET(ORÇAMENTO!$X$15,ROW(AK117)-ROW(AK$15),0),0)</f>
        <v>0</v>
      </c>
      <c r="AL117" s="632">
        <f ca="1">IF(AND($D117="Serviço",AL$12&lt;&gt;0,$H117&gt;0,OR(AUTOEVENTO&lt;&gt;"manual",$M117&lt;&gt;1)),ROUND(OFFSET($P117,0,AL$13),15-13*ORÇAMENTO!$AF$7)/$H117*OFFSET(ORÇAMENTO!$X$15,ROW(AL117)-ROW(AL$15),0),0)</f>
        <v>0</v>
      </c>
      <c r="AM117" s="632">
        <f ca="1">IF(AND($D117="Serviço",AM$12&lt;&gt;0,$H117&gt;0,OR(AUTOEVENTO&lt;&gt;"manual",$M117&lt;&gt;1)),ROUND(OFFSET($P117,0,AM$13),15-13*ORÇAMENTO!$AF$7)/$H117*OFFSET(ORÇAMENTO!$X$15,ROW(AM117)-ROW(AM$15),0),0)</f>
        <v>0</v>
      </c>
      <c r="AN117" s="632">
        <f ca="1">IF(AND($D117="Serviço",AN$12&lt;&gt;0,$H117&gt;0,OR(AUTOEVENTO&lt;&gt;"manual",$M117&lt;&gt;1)),ROUND(OFFSET($P117,0,AN$13),15-13*ORÇAMENTO!$AF$7)/$H117*OFFSET(ORÇAMENTO!$X$15,ROW(AN117)-ROW(AN$15),0),0)</f>
        <v>0</v>
      </c>
      <c r="AO117" s="632">
        <f ca="1">IF(AND($D117="Serviço",AO$12&lt;&gt;0,$H117&gt;0,OR(AUTOEVENTO&lt;&gt;"manual",$M117&lt;&gt;1)),ROUND(OFFSET($P117,0,AO$13),15-13*ORÇAMENTO!$AF$7)/$H117*OFFSET(ORÇAMENTO!$X$15,ROW(AO117)-ROW(AO$15),0),0)</f>
        <v>0</v>
      </c>
      <c r="AP117" s="632">
        <f ca="1">IF(AND($D117="Serviço",AP$12&lt;&gt;0,$H117&gt;0,OR(AUTOEVENTO&lt;&gt;"manual",$M117&lt;&gt;1)),ROUND(OFFSET($P117,0,AP$13),15-13*ORÇAMENTO!$AF$7)/$H117*OFFSET(ORÇAMENTO!$X$15,ROW(AP117)-ROW(AP$15),0),0)</f>
        <v>0</v>
      </c>
      <c r="AQ117" s="632">
        <f ca="1">IF(AND($D117="Serviço",AQ$12&lt;&gt;0,$H117&gt;0,OR(AUTOEVENTO&lt;&gt;"manual",$M117&lt;&gt;1)),ROUND(OFFSET($P117,0,AQ$13),15-13*ORÇAMENTO!$AF$7)/$H117*OFFSET(ORÇAMENTO!$X$15,ROW(AQ117)-ROW(AQ$15),0),0)</f>
        <v>0</v>
      </c>
      <c r="AR117" s="632">
        <f ca="1">IF(AND($D117="Serviço",AR$12&lt;&gt;0,$H117&gt;0,OR(AUTOEVENTO&lt;&gt;"manual",$M117&lt;&gt;1)),ROUND(OFFSET($P117,0,AR$13),15-13*ORÇAMENTO!$AF$7)/$H117*OFFSET(ORÇAMENTO!$X$15,ROW(AR117)-ROW(AR$15),0),0)</f>
        <v>0</v>
      </c>
      <c r="AS117" s="633">
        <f ca="1">IF(AND($D117="Serviço",AS$12&lt;&gt;0,$H117&gt;0,OR(AUTOEVENTO&lt;&gt;"manual",$M117&lt;&gt;1)),ROUND(OFFSET($P117,0,AS$13),15-13*ORÇAMENTO!$AF$7)/$H117*OFFSET(ORÇAMENTO!$X$15,ROW(AS117)-ROW(AS$15),0),0)</f>
        <v>0</v>
      </c>
      <c r="AT117" s="632">
        <f ca="1">IF(AND($D117="Serviço",AT$12&lt;&gt;0,$H117&gt;0,OR(AUTOEVENTO&lt;&gt;"manual",$M117&lt;&gt;1)),ROUND(OFFSET($P117,0,AT$13),15-13*ORÇAMENTO!$AF$7)/$H117*OFFSET(ORÇAMENTO!$X$15,ROW(AT117)-ROW(AT$15),0),0)</f>
        <v>0</v>
      </c>
      <c r="AU117" s="632">
        <f ca="1">IF(AND($D117="Serviço",AU$12&lt;&gt;0,$H117&gt;0,OR(AUTOEVENTO&lt;&gt;"manual",$M117&lt;&gt;1)),ROUND(OFFSET($P117,0,AU$13),15-13*ORÇAMENTO!$AF$7)/$H117*OFFSET(ORÇAMENTO!$X$15,ROW(AU117)-ROW(AU$15),0),0)</f>
        <v>0</v>
      </c>
      <c r="AV117" s="632">
        <f ca="1">IF(AND($D117="Serviço",AV$12&lt;&gt;0,$H117&gt;0,OR(AUTOEVENTO&lt;&gt;"manual",$M117&lt;&gt;1)),ROUND(OFFSET($P117,0,AV$13),15-13*ORÇAMENTO!$AF$7)/$H117*OFFSET(ORÇAMENTO!$X$15,ROW(AV117)-ROW(AV$15),0),0)</f>
        <v>0</v>
      </c>
      <c r="AW117" s="632">
        <f ca="1">IF(AND($D117="Serviço",AW$12&lt;&gt;0,$H117&gt;0,OR(AUTOEVENTO&lt;&gt;"manual",$M117&lt;&gt;1)),ROUND(OFFSET($P117,0,AW$13),15-13*ORÇAMENTO!$AF$7)/$H117*OFFSET(ORÇAMENTO!$X$15,ROW(AW117)-ROW(AW$15),0),0)</f>
        <v>0</v>
      </c>
      <c r="AX117" s="632">
        <f ca="1">IF(AND($D117="Serviço",AX$12&lt;&gt;0,$H117&gt;0,OR(AUTOEVENTO&lt;&gt;"manual",$M117&lt;&gt;1)),ROUND(OFFSET($P117,0,AX$13),15-13*ORÇAMENTO!$AF$7)/$H117*OFFSET(ORÇAMENTO!$X$15,ROW(AX117)-ROW(AX$15),0),0)</f>
        <v>0</v>
      </c>
      <c r="AY117" s="632">
        <f ca="1">IF(AND($D117="Serviço",AY$12&lt;&gt;0,$H117&gt;0,OR(AUTOEVENTO&lt;&gt;"manual",$M117&lt;&gt;1)),ROUND(OFFSET($P117,0,AY$13),15-13*ORÇAMENTO!$AF$7)/$H117*OFFSET(ORÇAMENTO!$X$15,ROW(AY117)-ROW(AY$15),0),0)</f>
        <v>0</v>
      </c>
      <c r="AZ117" s="632">
        <f ca="1">IF(AND($D117="Serviço",AZ$12&lt;&gt;0,$H117&gt;0,OR(AUTOEVENTO&lt;&gt;"manual",$M117&lt;&gt;1)),ROUND(OFFSET($P117,0,AZ$13),15-13*ORÇAMENTO!$AF$7)/$H117*OFFSET(ORÇAMENTO!$X$15,ROW(AZ117)-ROW(AZ$15),0),0)</f>
        <v>0</v>
      </c>
      <c r="BA117" s="633">
        <f ca="1">IF(AND($D117="Serviço",BA$12&lt;&gt;0,$H117&gt;0,OR(AUTOEVENTO&lt;&gt;"manual",$M117&lt;&gt;1)),ROUND(OFFSET($P117,0,BA$13),15-13*ORÇAMENTO!$AF$7)/$H117*OFFSET(ORÇAMENTO!$X$15,ROW(BA117)-ROW(BA$15),0),0)</f>
        <v>0</v>
      </c>
      <c r="BC117" s="215">
        <f ca="1">IF($D117&lt;&gt;"Serviço",0,IF(AND(AUTOEVENTO="Manual",$M117=1),0,IF(OFFSET(CRONOPLE!$F$14,$M117,BC$13)="",10^12,OFFSET(CRONOPLE!$F$14,$M117,BC$13))))</f>
        <v>1000000000000</v>
      </c>
      <c r="BD117" s="215">
        <f ca="1">IF($D117&lt;&gt;"Serviço",0,IF(AND(AUTOEVENTO="Manual",$M117=1),0,IF(OFFSET(CRONOPLE!$F$14,$M117,BD$13)="",10^12,OFFSET(CRONOPLE!$F$14,$M117,BD$13))))</f>
        <v>1000000000000</v>
      </c>
      <c r="BE117" s="215">
        <f ca="1">IF($D117&lt;&gt;"Serviço",0,IF(AND(AUTOEVENTO="Manual",$M117=1),0,IF(OFFSET(CRONOPLE!$F$14,$M117,BE$13)="",10^12,OFFSET(CRONOPLE!$F$14,$M117,BE$13))))</f>
        <v>1000000000000</v>
      </c>
      <c r="BF117" s="215">
        <f ca="1">IF($D117&lt;&gt;"Serviço",0,IF(AND(AUTOEVENTO="Manual",$M117=1),0,IF(OFFSET(CRONOPLE!$F$14,$M117,BF$13)="",10^12,OFFSET(CRONOPLE!$F$14,$M117,BF$13))))</f>
        <v>1000000000000</v>
      </c>
      <c r="BG117" s="215">
        <f ca="1">IF($D117&lt;&gt;"Serviço",0,IF(AND(AUTOEVENTO="Manual",$M117=1),0,IF(OFFSET(CRONOPLE!$F$14,$M117,BG$13)="",10^12,OFFSET(CRONOPLE!$F$14,$M117,BG$13))))</f>
        <v>1000000000000</v>
      </c>
      <c r="BH117" s="215">
        <f ca="1">IF($D117&lt;&gt;"Serviço",0,IF(AND(AUTOEVENTO="Manual",$M117=1),0,IF(OFFSET(CRONOPLE!$F$14,$M117,BH$13)="",10^12,OFFSET(CRONOPLE!$F$14,$M117,BH$13))))</f>
        <v>1000000000000</v>
      </c>
      <c r="BI117" s="215">
        <f ca="1">IF($D117&lt;&gt;"Serviço",0,IF(AND(AUTOEVENTO="Manual",$M117=1),0,IF(OFFSET(CRONOPLE!$F$14,$M117,BI$13)="",10^12,OFFSET(CRONOPLE!$F$14,$M117,BI$13))))</f>
        <v>1000000000000</v>
      </c>
      <c r="BJ117" s="215">
        <f ca="1">IF($D117&lt;&gt;"Serviço",0,IF(AND(AUTOEVENTO="Manual",$M117=1),0,IF(OFFSET(CRONOPLE!$F$14,$M117,BJ$13)="",10^12,OFFSET(CRONOPLE!$F$14,$M117,BJ$13))))</f>
        <v>1000000000000</v>
      </c>
      <c r="BK117" s="215">
        <f ca="1">IF($D117&lt;&gt;"Serviço",0,IF(AND(AUTOEVENTO="Manual",$M117=1),0,IF(OFFSET(CRONOPLE!$F$14,$M117,BK$13)="",10^12,OFFSET(CRONOPLE!$F$14,$M117,BK$13))))</f>
        <v>1000000000000</v>
      </c>
      <c r="BL117" s="215">
        <f ca="1">IF($D117&lt;&gt;"Serviço",0,IF(AND(AUTOEVENTO="Manual",$M117=1),0,IF(OFFSET(CRONOPLE!$F$14,$M117,BL$13)="",10^12,OFFSET(CRONOPLE!$F$14,$M117,BL$13))))</f>
        <v>1000000000000</v>
      </c>
      <c r="BM117" s="215">
        <f ca="1">IF($D117&lt;&gt;"Serviço",0,IF(AND(AUTOEVENTO="Manual",$M117=1),0,IF(OFFSET(CRONOPLE!$F$14,$M117,BM$13)="",10^12,OFFSET(CRONOPLE!$F$14,$M117,BM$13))))</f>
        <v>1000000000000</v>
      </c>
      <c r="BN117" s="215">
        <f ca="1">IF($D117&lt;&gt;"Serviço",0,IF(AND(AUTOEVENTO="Manual",$M117=1),0,IF(OFFSET(CRONOPLE!$F$14,$M117,BN$13)="",10^12,OFFSET(CRONOPLE!$F$14,$M117,BN$13))))</f>
        <v>1000000000000</v>
      </c>
      <c r="BO117" s="215">
        <f ca="1">IF($D117&lt;&gt;"Serviço",0,IF(AND(AUTOEVENTO="Manual",$M117=1),0,IF(OFFSET(CRONOPLE!$F$14,$M117,BO$13)="",10^12,OFFSET(CRONOPLE!$F$14,$M117,BO$13))))</f>
        <v>1000000000000</v>
      </c>
      <c r="BP117" s="215">
        <f ca="1">IF($D117&lt;&gt;"Serviço",0,IF(AND(AUTOEVENTO="Manual",$M117=1),0,IF(OFFSET(CRONOPLE!$F$14,$M117,BP$13)="",10^12,OFFSET(CRONOPLE!$F$14,$M117,BP$13))))</f>
        <v>1000000000000</v>
      </c>
      <c r="BQ117" s="215">
        <f ca="1">IF($D117&lt;&gt;"Serviço",0,IF(AND(AUTOEVENTO="Manual",$M117=1),0,IF(OFFSET(CRONOPLE!$F$14,$M117,BQ$13)="",10^12,OFFSET(CRONOPLE!$F$14,$M117,BQ$13))))</f>
        <v>1000000000000</v>
      </c>
      <c r="BR117" s="215">
        <f ca="1">IF($D117&lt;&gt;"Serviço",0,IF(AND(AUTOEVENTO="Manual",$M117=1),0,IF(OFFSET(CRONOPLE!$F$14,$M117,BR$13)="",10^12,OFFSET(CRONOPLE!$F$14,$M117,BR$13))))</f>
        <v>1000000000000</v>
      </c>
      <c r="BS117" s="215">
        <f ca="1">IF($D117&lt;&gt;"Serviço",0,IF(AND(AUTOEVENTO="Manual",$M117=1),0,IF(OFFSET(CRONOPLE!$F$14,$M117,BS$13)="",10^12,OFFSET(CRONOPLE!$F$14,$M117,BS$13))))</f>
        <v>1000000000000</v>
      </c>
      <c r="BT117" s="215">
        <f ca="1">IF($D117&lt;&gt;"Serviço",0,IF(AND(AUTOEVENTO="Manual",$M117=1),0,IF(OFFSET(CRONOPLE!$F$14,$M117,BT$13)="",10^12,OFFSET(CRONOPLE!$F$14,$M117,BT$13))))</f>
        <v>1000000000000</v>
      </c>
      <c r="BV117" s="216">
        <f ca="1">IF($D117&lt;&gt;"Serviço",0,IF(OR(AND(AUTOEVENTO="Manual",$M117=1),$M117&gt;(ROW(PLE.lastrow)-ROW(PLE.firstrow))),0,IF(OFFSET(PLE!$G$14,$M117,BV$13)="",10^12,OFFSET(PLE!$G$14,$M117,BV$13))))</f>
        <v>1000000000000</v>
      </c>
      <c r="BW117" s="216">
        <f ca="1">IF($D117&lt;&gt;"Serviço",0,IF(OR(AND(AUTOEVENTO="Manual",$M117=1),$M117&gt;(ROW(PLE.lastrow)-ROW(PLE.firstrow))),0,IF(OFFSET(PLE!$G$14,$M117,BW$13)="",10^12,OFFSET(PLE!$G$14,$M117,BW$13))))</f>
        <v>1000000000000</v>
      </c>
      <c r="BX117" s="216">
        <f ca="1">IF($D117&lt;&gt;"Serviço",0,IF(OR(AND(AUTOEVENTO="Manual",$M117=1),$M117&gt;(ROW(PLE.lastrow)-ROW(PLE.firstrow))),0,IF(OFFSET(PLE!$G$14,$M117,BX$13)="",10^12,OFFSET(PLE!$G$14,$M117,BX$13))))</f>
        <v>1000000000000</v>
      </c>
      <c r="BY117" s="216">
        <f ca="1">IF($D117&lt;&gt;"Serviço",0,IF(OR(AND(AUTOEVENTO="Manual",$M117=1),$M117&gt;(ROW(PLE.lastrow)-ROW(PLE.firstrow))),0,IF(OFFSET(PLE!$G$14,$M117,BY$13)="",10^12,OFFSET(PLE!$G$14,$M117,BY$13))))</f>
        <v>1000000000000</v>
      </c>
      <c r="BZ117" s="216">
        <f ca="1">IF($D117&lt;&gt;"Serviço",0,IF(OR(AND(AUTOEVENTO="Manual",$M117=1),$M117&gt;(ROW(PLE.lastrow)-ROW(PLE.firstrow))),0,IF(OFFSET(PLE!$G$14,$M117,BZ$13)="",10^12,OFFSET(PLE!$G$14,$M117,BZ$13))))</f>
        <v>1000000000000</v>
      </c>
      <c r="CA117" s="216">
        <f ca="1">IF($D117&lt;&gt;"Serviço",0,IF(OR(AND(AUTOEVENTO="Manual",$M117=1),$M117&gt;(ROW(PLE.lastrow)-ROW(PLE.firstrow))),0,IF(OFFSET(PLE!$G$14,$M117,CA$13)="",10^12,OFFSET(PLE!$G$14,$M117,CA$13))))</f>
        <v>1000000000000</v>
      </c>
      <c r="CB117" s="216">
        <f ca="1">IF($D117&lt;&gt;"Serviço",0,IF(OR(AND(AUTOEVENTO="Manual",$M117=1),$M117&gt;(ROW(PLE.lastrow)-ROW(PLE.firstrow))),0,IF(OFFSET(PLE!$G$14,$M117,CB$13)="",10^12,OFFSET(PLE!$G$14,$M117,CB$13))))</f>
        <v>1000000000000</v>
      </c>
      <c r="CC117" s="216">
        <f ca="1">IF($D117&lt;&gt;"Serviço",0,IF(OR(AND(AUTOEVENTO="Manual",$M117=1),$M117&gt;(ROW(PLE.lastrow)-ROW(PLE.firstrow))),0,IF(OFFSET(PLE!$G$14,$M117,CC$13)="",10^12,OFFSET(PLE!$G$14,$M117,CC$13))))</f>
        <v>1000000000000</v>
      </c>
      <c r="CD117" s="216">
        <f ca="1">IF($D117&lt;&gt;"Serviço",0,IF(OR(AND(AUTOEVENTO="Manual",$M117=1),$M117&gt;(ROW(PLE.lastrow)-ROW(PLE.firstrow))),0,IF(OFFSET(PLE!$G$14,$M117,CD$13)="",10^12,OFFSET(PLE!$G$14,$M117,CD$13))))</f>
        <v>1000000000000</v>
      </c>
      <c r="CE117" s="216">
        <f ca="1">IF($D117&lt;&gt;"Serviço",0,IF(OR(AND(AUTOEVENTO="Manual",$M117=1),$M117&gt;(ROW(PLE.lastrow)-ROW(PLE.firstrow))),0,IF(OFFSET(PLE!$G$14,$M117,CE$13)="",10^12,OFFSET(PLE!$G$14,$M117,CE$13))))</f>
        <v>1000000000000</v>
      </c>
      <c r="CF117" s="216">
        <f ca="1">IF($D117&lt;&gt;"Serviço",0,IF(OR(AND(AUTOEVENTO="Manual",$M117=1),$M117&gt;(ROW(PLE.lastrow)-ROW(PLE.firstrow))),0,IF(OFFSET(PLE!$G$14,$M117,CF$13)="",10^12,OFFSET(PLE!$G$14,$M117,CF$13))))</f>
        <v>1000000000000</v>
      </c>
      <c r="CG117" s="216">
        <f ca="1">IF($D117&lt;&gt;"Serviço",0,IF(OR(AND(AUTOEVENTO="Manual",$M117=1),$M117&gt;(ROW(PLE.lastrow)-ROW(PLE.firstrow))),0,IF(OFFSET(PLE!$G$14,$M117,CG$13)="",10^12,OFFSET(PLE!$G$14,$M117,CG$13))))</f>
        <v>1000000000000</v>
      </c>
      <c r="CH117" s="216">
        <f ca="1">IF($D117&lt;&gt;"Serviço",0,IF(OR(AND(AUTOEVENTO="Manual",$M117=1),$M117&gt;(ROW(PLE.lastrow)-ROW(PLE.firstrow))),0,IF(OFFSET(PLE!$G$14,$M117,CH$13)="",10^12,OFFSET(PLE!$G$14,$M117,CH$13))))</f>
        <v>1000000000000</v>
      </c>
      <c r="CI117" s="216">
        <f ca="1">IF($D117&lt;&gt;"Serviço",0,IF(OR(AND(AUTOEVENTO="Manual",$M117=1),$M117&gt;(ROW(PLE.lastrow)-ROW(PLE.firstrow))),0,IF(OFFSET(PLE!$G$14,$M117,CI$13)="",10^12,OFFSET(PLE!$G$14,$M117,CI$13))))</f>
        <v>1000000000000</v>
      </c>
      <c r="CJ117" s="216">
        <f ca="1">IF($D117&lt;&gt;"Serviço",0,IF(OR(AND(AUTOEVENTO="Manual",$M117=1),$M117&gt;(ROW(PLE.lastrow)-ROW(PLE.firstrow))),0,IF(OFFSET(PLE!$G$14,$M117,CJ$13)="",10^12,OFFSET(PLE!$G$14,$M117,CJ$13))))</f>
        <v>1000000000000</v>
      </c>
      <c r="CK117" s="216">
        <f ca="1">IF($D117&lt;&gt;"Serviço",0,IF(OR(AND(AUTOEVENTO="Manual",$M117=1),$M117&gt;(ROW(PLE.lastrow)-ROW(PLE.firstrow))),0,IF(OFFSET(PLE!$G$14,$M117,CK$13)="",10^12,OFFSET(PLE!$G$14,$M117,CK$13))))</f>
        <v>1000000000000</v>
      </c>
      <c r="CL117" s="216">
        <f ca="1">IF($D117&lt;&gt;"Serviço",0,IF(OR(AND(AUTOEVENTO="Manual",$M117=1),$M117&gt;(ROW(PLE.lastrow)-ROW(PLE.firstrow))),0,IF(OFFSET(PLE!$G$14,$M117,CL$13)="",10^12,OFFSET(PLE!$G$14,$M117,CL$13))))</f>
        <v>1000000000000</v>
      </c>
      <c r="CM117" s="216">
        <f ca="1">IF($D117&lt;&gt;"Serviço",0,IF(OR(AND(AUTOEVENTO="Manual",$M117=1),$M117&gt;(ROW(PLE.lastrow)-ROW(PLE.firstrow))),0,IF(OFFSET(PLE!$G$14,$M117,CM$13)="",10^12,OFFSET(PLE!$G$14,$M117,CM$13))))</f>
        <v>1000000000000</v>
      </c>
    </row>
    <row r="118" spans="1:91" ht="13.2" x14ac:dyDescent="0.25">
      <c r="A118" s="9">
        <f t="shared" ca="1" si="10"/>
        <v>0</v>
      </c>
      <c r="B118" s="9" t="str">
        <f ca="1">OFFSET(ORÇAMENTO!C$15,ROW(B118)-ROW(B$15),0)</f>
        <v>S</v>
      </c>
      <c r="C118" s="9" t="str">
        <f ca="1">OFFSET(ORÇAMENTO!L$15,ROW(C118)-ROW(C$15),0)</f>
        <v/>
      </c>
      <c r="D118" s="145" t="str">
        <f ca="1">OFFSET(ORÇAMENTO!N$15,ROW(D118)-ROW(D$15),0)</f>
        <v>Serviço</v>
      </c>
      <c r="E118" s="205" t="str">
        <f ca="1">OFFSET(ORÇAMENTO!O$15,ROW(E118)-ROW(E$15),0)</f>
        <v>-</v>
      </c>
      <c r="F118" s="206" t="str">
        <f ca="1">OFFSET(ORÇAMENTO!R$15,ROW(F118)-ROW(F$15),0)</f>
        <v>(abra o arquivo 'Referência 05-2024.xls)</v>
      </c>
      <c r="G118" s="207" t="str">
        <f ca="1">IF($D118&lt;&gt;"Serviço","",OFFSET(ORÇAMENTO!S$15,ROW(G118)-ROW(G$15),0))</f>
        <v>-</v>
      </c>
      <c r="H118" s="151">
        <f ca="1">IF($D118&lt;&gt;"Serviço",0,IF(ACOMPANHAMENTO="BM",ROUND(OFFSET(ORÇAMENTO!AJ$15,ROW(H118)-ROW(H$15),0),15-13*ORÇAMENTO!$AF$7),SUMPRODUCT(($Q$12:$AI$12&lt;&gt;"")*ROUND($Q118:$AI118,15-13*ORÇAMENTO!$AF$7))))</f>
        <v>916.38</v>
      </c>
      <c r="I118" s="650"/>
      <c r="K118" s="208"/>
      <c r="L118" s="209" t="s">
        <v>257</v>
      </c>
      <c r="M118" s="210">
        <f ca="1">IF($D118&lt;&gt;"Serviço","",IF(AUTOEVENTO="manual",$A118,IF(ISERROR(MATCH($A118,$A$15:OFFSET($A118,-1,0),0)),MAX($M$15:OFFSET(M118,-1,0))+1,INDEX($M$15:OFFSET(M118,-1,0),MATCH($A118,$A$15:OFFSET($A118,-1,0),0)))))</f>
        <v>0</v>
      </c>
      <c r="N118" s="211" t="str">
        <f ca="1">IF($D118&lt;&gt;"Serviço","",IF(AUTOEVENTO="Manual",IF($A118=0,"&lt;-- defina o número do agrupador",OFFSET(EVENTOS!$D$14,$A118,0)),OFFSET($F$15,$A118,0)))</f>
        <v>&lt;-- defina o número do agrupador</v>
      </c>
      <c r="O118" s="212"/>
      <c r="Q118" s="212"/>
      <c r="R118" s="213"/>
      <c r="S118" s="213"/>
      <c r="T118" s="213"/>
      <c r="U118" s="213"/>
      <c r="V118" s="213"/>
      <c r="W118" s="213"/>
      <c r="X118" s="213"/>
      <c r="Y118" s="213"/>
      <c r="Z118" s="214"/>
      <c r="AA118" s="213"/>
      <c r="AB118" s="213"/>
      <c r="AC118" s="213"/>
      <c r="AD118" s="213"/>
      <c r="AE118" s="213"/>
      <c r="AF118" s="213"/>
      <c r="AG118" s="213"/>
      <c r="AH118" s="214"/>
      <c r="AJ118" s="631">
        <f ca="1">IF(AND($D118="Serviço",AJ$12&lt;&gt;0,$H118&gt;0,OR(AUTOEVENTO&lt;&gt;"manual",$M118&lt;&gt;1)),ROUND(OFFSET($P118,0,AJ$13),15-13*ORÇAMENTO!$AF$7)/$H118*OFFSET(ORÇAMENTO!$X$15,ROW(AJ118)-ROW(AJ$15),0),0)</f>
        <v>0</v>
      </c>
      <c r="AK118" s="632">
        <f ca="1">IF(AND($D118="Serviço",AK$12&lt;&gt;0,$H118&gt;0,OR(AUTOEVENTO&lt;&gt;"manual",$M118&lt;&gt;1)),ROUND(OFFSET($P118,0,AK$13),15-13*ORÇAMENTO!$AF$7)/$H118*OFFSET(ORÇAMENTO!$X$15,ROW(AK118)-ROW(AK$15),0),0)</f>
        <v>0</v>
      </c>
      <c r="AL118" s="632">
        <f ca="1">IF(AND($D118="Serviço",AL$12&lt;&gt;0,$H118&gt;0,OR(AUTOEVENTO&lt;&gt;"manual",$M118&lt;&gt;1)),ROUND(OFFSET($P118,0,AL$13),15-13*ORÇAMENTO!$AF$7)/$H118*OFFSET(ORÇAMENTO!$X$15,ROW(AL118)-ROW(AL$15),0),0)</f>
        <v>0</v>
      </c>
      <c r="AM118" s="632">
        <f ca="1">IF(AND($D118="Serviço",AM$12&lt;&gt;0,$H118&gt;0,OR(AUTOEVENTO&lt;&gt;"manual",$M118&lt;&gt;1)),ROUND(OFFSET($P118,0,AM$13),15-13*ORÇAMENTO!$AF$7)/$H118*OFFSET(ORÇAMENTO!$X$15,ROW(AM118)-ROW(AM$15),0),0)</f>
        <v>0</v>
      </c>
      <c r="AN118" s="632">
        <f ca="1">IF(AND($D118="Serviço",AN$12&lt;&gt;0,$H118&gt;0,OR(AUTOEVENTO&lt;&gt;"manual",$M118&lt;&gt;1)),ROUND(OFFSET($P118,0,AN$13),15-13*ORÇAMENTO!$AF$7)/$H118*OFFSET(ORÇAMENTO!$X$15,ROW(AN118)-ROW(AN$15),0),0)</f>
        <v>0</v>
      </c>
      <c r="AO118" s="632">
        <f ca="1">IF(AND($D118="Serviço",AO$12&lt;&gt;0,$H118&gt;0,OR(AUTOEVENTO&lt;&gt;"manual",$M118&lt;&gt;1)),ROUND(OFFSET($P118,0,AO$13),15-13*ORÇAMENTO!$AF$7)/$H118*OFFSET(ORÇAMENTO!$X$15,ROW(AO118)-ROW(AO$15),0),0)</f>
        <v>0</v>
      </c>
      <c r="AP118" s="632">
        <f ca="1">IF(AND($D118="Serviço",AP$12&lt;&gt;0,$H118&gt;0,OR(AUTOEVENTO&lt;&gt;"manual",$M118&lt;&gt;1)),ROUND(OFFSET($P118,0,AP$13),15-13*ORÇAMENTO!$AF$7)/$H118*OFFSET(ORÇAMENTO!$X$15,ROW(AP118)-ROW(AP$15),0),0)</f>
        <v>0</v>
      </c>
      <c r="AQ118" s="632">
        <f ca="1">IF(AND($D118="Serviço",AQ$12&lt;&gt;0,$H118&gt;0,OR(AUTOEVENTO&lt;&gt;"manual",$M118&lt;&gt;1)),ROUND(OFFSET($P118,0,AQ$13),15-13*ORÇAMENTO!$AF$7)/$H118*OFFSET(ORÇAMENTO!$X$15,ROW(AQ118)-ROW(AQ$15),0),0)</f>
        <v>0</v>
      </c>
      <c r="AR118" s="632">
        <f ca="1">IF(AND($D118="Serviço",AR$12&lt;&gt;0,$H118&gt;0,OR(AUTOEVENTO&lt;&gt;"manual",$M118&lt;&gt;1)),ROUND(OFFSET($P118,0,AR$13),15-13*ORÇAMENTO!$AF$7)/$H118*OFFSET(ORÇAMENTO!$X$15,ROW(AR118)-ROW(AR$15),0),0)</f>
        <v>0</v>
      </c>
      <c r="AS118" s="633">
        <f ca="1">IF(AND($D118="Serviço",AS$12&lt;&gt;0,$H118&gt;0,OR(AUTOEVENTO&lt;&gt;"manual",$M118&lt;&gt;1)),ROUND(OFFSET($P118,0,AS$13),15-13*ORÇAMENTO!$AF$7)/$H118*OFFSET(ORÇAMENTO!$X$15,ROW(AS118)-ROW(AS$15),0),0)</f>
        <v>0</v>
      </c>
      <c r="AT118" s="632">
        <f ca="1">IF(AND($D118="Serviço",AT$12&lt;&gt;0,$H118&gt;0,OR(AUTOEVENTO&lt;&gt;"manual",$M118&lt;&gt;1)),ROUND(OFFSET($P118,0,AT$13),15-13*ORÇAMENTO!$AF$7)/$H118*OFFSET(ORÇAMENTO!$X$15,ROW(AT118)-ROW(AT$15),0),0)</f>
        <v>0</v>
      </c>
      <c r="AU118" s="632">
        <f ca="1">IF(AND($D118="Serviço",AU$12&lt;&gt;0,$H118&gt;0,OR(AUTOEVENTO&lt;&gt;"manual",$M118&lt;&gt;1)),ROUND(OFFSET($P118,0,AU$13),15-13*ORÇAMENTO!$AF$7)/$H118*OFFSET(ORÇAMENTO!$X$15,ROW(AU118)-ROW(AU$15),0),0)</f>
        <v>0</v>
      </c>
      <c r="AV118" s="632">
        <f ca="1">IF(AND($D118="Serviço",AV$12&lt;&gt;0,$H118&gt;0,OR(AUTOEVENTO&lt;&gt;"manual",$M118&lt;&gt;1)),ROUND(OFFSET($P118,0,AV$13),15-13*ORÇAMENTO!$AF$7)/$H118*OFFSET(ORÇAMENTO!$X$15,ROW(AV118)-ROW(AV$15),0),0)</f>
        <v>0</v>
      </c>
      <c r="AW118" s="632">
        <f ca="1">IF(AND($D118="Serviço",AW$12&lt;&gt;0,$H118&gt;0,OR(AUTOEVENTO&lt;&gt;"manual",$M118&lt;&gt;1)),ROUND(OFFSET($P118,0,AW$13),15-13*ORÇAMENTO!$AF$7)/$H118*OFFSET(ORÇAMENTO!$X$15,ROW(AW118)-ROW(AW$15),0),0)</f>
        <v>0</v>
      </c>
      <c r="AX118" s="632">
        <f ca="1">IF(AND($D118="Serviço",AX$12&lt;&gt;0,$H118&gt;0,OR(AUTOEVENTO&lt;&gt;"manual",$M118&lt;&gt;1)),ROUND(OFFSET($P118,0,AX$13),15-13*ORÇAMENTO!$AF$7)/$H118*OFFSET(ORÇAMENTO!$X$15,ROW(AX118)-ROW(AX$15),0),0)</f>
        <v>0</v>
      </c>
      <c r="AY118" s="632">
        <f ca="1">IF(AND($D118="Serviço",AY$12&lt;&gt;0,$H118&gt;0,OR(AUTOEVENTO&lt;&gt;"manual",$M118&lt;&gt;1)),ROUND(OFFSET($P118,0,AY$13),15-13*ORÇAMENTO!$AF$7)/$H118*OFFSET(ORÇAMENTO!$X$15,ROW(AY118)-ROW(AY$15),0),0)</f>
        <v>0</v>
      </c>
      <c r="AZ118" s="632">
        <f ca="1">IF(AND($D118="Serviço",AZ$12&lt;&gt;0,$H118&gt;0,OR(AUTOEVENTO&lt;&gt;"manual",$M118&lt;&gt;1)),ROUND(OFFSET($P118,0,AZ$13),15-13*ORÇAMENTO!$AF$7)/$H118*OFFSET(ORÇAMENTO!$X$15,ROW(AZ118)-ROW(AZ$15),0),0)</f>
        <v>0</v>
      </c>
      <c r="BA118" s="633">
        <f ca="1">IF(AND($D118="Serviço",BA$12&lt;&gt;0,$H118&gt;0,OR(AUTOEVENTO&lt;&gt;"manual",$M118&lt;&gt;1)),ROUND(OFFSET($P118,0,BA$13),15-13*ORÇAMENTO!$AF$7)/$H118*OFFSET(ORÇAMENTO!$X$15,ROW(BA118)-ROW(BA$15),0),0)</f>
        <v>0</v>
      </c>
      <c r="BC118" s="215">
        <f ca="1">IF($D118&lt;&gt;"Serviço",0,IF(AND(AUTOEVENTO="Manual",$M118=1),0,IF(OFFSET(CRONOPLE!$F$14,$M118,BC$13)="",10^12,OFFSET(CRONOPLE!$F$14,$M118,BC$13))))</f>
        <v>1000000000000</v>
      </c>
      <c r="BD118" s="215">
        <f ca="1">IF($D118&lt;&gt;"Serviço",0,IF(AND(AUTOEVENTO="Manual",$M118=1),0,IF(OFFSET(CRONOPLE!$F$14,$M118,BD$13)="",10^12,OFFSET(CRONOPLE!$F$14,$M118,BD$13))))</f>
        <v>1000000000000</v>
      </c>
      <c r="BE118" s="215">
        <f ca="1">IF($D118&lt;&gt;"Serviço",0,IF(AND(AUTOEVENTO="Manual",$M118=1),0,IF(OFFSET(CRONOPLE!$F$14,$M118,BE$13)="",10^12,OFFSET(CRONOPLE!$F$14,$M118,BE$13))))</f>
        <v>1000000000000</v>
      </c>
      <c r="BF118" s="215">
        <f ca="1">IF($D118&lt;&gt;"Serviço",0,IF(AND(AUTOEVENTO="Manual",$M118=1),0,IF(OFFSET(CRONOPLE!$F$14,$M118,BF$13)="",10^12,OFFSET(CRONOPLE!$F$14,$M118,BF$13))))</f>
        <v>1000000000000</v>
      </c>
      <c r="BG118" s="215">
        <f ca="1">IF($D118&lt;&gt;"Serviço",0,IF(AND(AUTOEVENTO="Manual",$M118=1),0,IF(OFFSET(CRONOPLE!$F$14,$M118,BG$13)="",10^12,OFFSET(CRONOPLE!$F$14,$M118,BG$13))))</f>
        <v>1000000000000</v>
      </c>
      <c r="BH118" s="215">
        <f ca="1">IF($D118&lt;&gt;"Serviço",0,IF(AND(AUTOEVENTO="Manual",$M118=1),0,IF(OFFSET(CRONOPLE!$F$14,$M118,BH$13)="",10^12,OFFSET(CRONOPLE!$F$14,$M118,BH$13))))</f>
        <v>1000000000000</v>
      </c>
      <c r="BI118" s="215">
        <f ca="1">IF($D118&lt;&gt;"Serviço",0,IF(AND(AUTOEVENTO="Manual",$M118=1),0,IF(OFFSET(CRONOPLE!$F$14,$M118,BI$13)="",10^12,OFFSET(CRONOPLE!$F$14,$M118,BI$13))))</f>
        <v>1000000000000</v>
      </c>
      <c r="BJ118" s="215">
        <f ca="1">IF($D118&lt;&gt;"Serviço",0,IF(AND(AUTOEVENTO="Manual",$M118=1),0,IF(OFFSET(CRONOPLE!$F$14,$M118,BJ$13)="",10^12,OFFSET(CRONOPLE!$F$14,$M118,BJ$13))))</f>
        <v>1000000000000</v>
      </c>
      <c r="BK118" s="215">
        <f ca="1">IF($D118&lt;&gt;"Serviço",0,IF(AND(AUTOEVENTO="Manual",$M118=1),0,IF(OFFSET(CRONOPLE!$F$14,$M118,BK$13)="",10^12,OFFSET(CRONOPLE!$F$14,$M118,BK$13))))</f>
        <v>1000000000000</v>
      </c>
      <c r="BL118" s="215">
        <f ca="1">IF($D118&lt;&gt;"Serviço",0,IF(AND(AUTOEVENTO="Manual",$M118=1),0,IF(OFFSET(CRONOPLE!$F$14,$M118,BL$13)="",10^12,OFFSET(CRONOPLE!$F$14,$M118,BL$13))))</f>
        <v>1000000000000</v>
      </c>
      <c r="BM118" s="215">
        <f ca="1">IF($D118&lt;&gt;"Serviço",0,IF(AND(AUTOEVENTO="Manual",$M118=1),0,IF(OFFSET(CRONOPLE!$F$14,$M118,BM$13)="",10^12,OFFSET(CRONOPLE!$F$14,$M118,BM$13))))</f>
        <v>1000000000000</v>
      </c>
      <c r="BN118" s="215">
        <f ca="1">IF($D118&lt;&gt;"Serviço",0,IF(AND(AUTOEVENTO="Manual",$M118=1),0,IF(OFFSET(CRONOPLE!$F$14,$M118,BN$13)="",10^12,OFFSET(CRONOPLE!$F$14,$M118,BN$13))))</f>
        <v>1000000000000</v>
      </c>
      <c r="BO118" s="215">
        <f ca="1">IF($D118&lt;&gt;"Serviço",0,IF(AND(AUTOEVENTO="Manual",$M118=1),0,IF(OFFSET(CRONOPLE!$F$14,$M118,BO$13)="",10^12,OFFSET(CRONOPLE!$F$14,$M118,BO$13))))</f>
        <v>1000000000000</v>
      </c>
      <c r="BP118" s="215">
        <f ca="1">IF($D118&lt;&gt;"Serviço",0,IF(AND(AUTOEVENTO="Manual",$M118=1),0,IF(OFFSET(CRONOPLE!$F$14,$M118,BP$13)="",10^12,OFFSET(CRONOPLE!$F$14,$M118,BP$13))))</f>
        <v>1000000000000</v>
      </c>
      <c r="BQ118" s="215">
        <f ca="1">IF($D118&lt;&gt;"Serviço",0,IF(AND(AUTOEVENTO="Manual",$M118=1),0,IF(OFFSET(CRONOPLE!$F$14,$M118,BQ$13)="",10^12,OFFSET(CRONOPLE!$F$14,$M118,BQ$13))))</f>
        <v>1000000000000</v>
      </c>
      <c r="BR118" s="215">
        <f ca="1">IF($D118&lt;&gt;"Serviço",0,IF(AND(AUTOEVENTO="Manual",$M118=1),0,IF(OFFSET(CRONOPLE!$F$14,$M118,BR$13)="",10^12,OFFSET(CRONOPLE!$F$14,$M118,BR$13))))</f>
        <v>1000000000000</v>
      </c>
      <c r="BS118" s="215">
        <f ca="1">IF($D118&lt;&gt;"Serviço",0,IF(AND(AUTOEVENTO="Manual",$M118=1),0,IF(OFFSET(CRONOPLE!$F$14,$M118,BS$13)="",10^12,OFFSET(CRONOPLE!$F$14,$M118,BS$13))))</f>
        <v>1000000000000</v>
      </c>
      <c r="BT118" s="215">
        <f ca="1">IF($D118&lt;&gt;"Serviço",0,IF(AND(AUTOEVENTO="Manual",$M118=1),0,IF(OFFSET(CRONOPLE!$F$14,$M118,BT$13)="",10^12,OFFSET(CRONOPLE!$F$14,$M118,BT$13))))</f>
        <v>1000000000000</v>
      </c>
      <c r="BV118" s="216">
        <f ca="1">IF($D118&lt;&gt;"Serviço",0,IF(OR(AND(AUTOEVENTO="Manual",$M118=1),$M118&gt;(ROW(PLE.lastrow)-ROW(PLE.firstrow))),0,IF(OFFSET(PLE!$G$14,$M118,BV$13)="",10^12,OFFSET(PLE!$G$14,$M118,BV$13))))</f>
        <v>1000000000000</v>
      </c>
      <c r="BW118" s="216">
        <f ca="1">IF($D118&lt;&gt;"Serviço",0,IF(OR(AND(AUTOEVENTO="Manual",$M118=1),$M118&gt;(ROW(PLE.lastrow)-ROW(PLE.firstrow))),0,IF(OFFSET(PLE!$G$14,$M118,BW$13)="",10^12,OFFSET(PLE!$G$14,$M118,BW$13))))</f>
        <v>1000000000000</v>
      </c>
      <c r="BX118" s="216">
        <f ca="1">IF($D118&lt;&gt;"Serviço",0,IF(OR(AND(AUTOEVENTO="Manual",$M118=1),$M118&gt;(ROW(PLE.lastrow)-ROW(PLE.firstrow))),0,IF(OFFSET(PLE!$G$14,$M118,BX$13)="",10^12,OFFSET(PLE!$G$14,$M118,BX$13))))</f>
        <v>1000000000000</v>
      </c>
      <c r="BY118" s="216">
        <f ca="1">IF($D118&lt;&gt;"Serviço",0,IF(OR(AND(AUTOEVENTO="Manual",$M118=1),$M118&gt;(ROW(PLE.lastrow)-ROW(PLE.firstrow))),0,IF(OFFSET(PLE!$G$14,$M118,BY$13)="",10^12,OFFSET(PLE!$G$14,$M118,BY$13))))</f>
        <v>1000000000000</v>
      </c>
      <c r="BZ118" s="216">
        <f ca="1">IF($D118&lt;&gt;"Serviço",0,IF(OR(AND(AUTOEVENTO="Manual",$M118=1),$M118&gt;(ROW(PLE.lastrow)-ROW(PLE.firstrow))),0,IF(OFFSET(PLE!$G$14,$M118,BZ$13)="",10^12,OFFSET(PLE!$G$14,$M118,BZ$13))))</f>
        <v>1000000000000</v>
      </c>
      <c r="CA118" s="216">
        <f ca="1">IF($D118&lt;&gt;"Serviço",0,IF(OR(AND(AUTOEVENTO="Manual",$M118=1),$M118&gt;(ROW(PLE.lastrow)-ROW(PLE.firstrow))),0,IF(OFFSET(PLE!$G$14,$M118,CA$13)="",10^12,OFFSET(PLE!$G$14,$M118,CA$13))))</f>
        <v>1000000000000</v>
      </c>
      <c r="CB118" s="216">
        <f ca="1">IF($D118&lt;&gt;"Serviço",0,IF(OR(AND(AUTOEVENTO="Manual",$M118=1),$M118&gt;(ROW(PLE.lastrow)-ROW(PLE.firstrow))),0,IF(OFFSET(PLE!$G$14,$M118,CB$13)="",10^12,OFFSET(PLE!$G$14,$M118,CB$13))))</f>
        <v>1000000000000</v>
      </c>
      <c r="CC118" s="216">
        <f ca="1">IF($D118&lt;&gt;"Serviço",0,IF(OR(AND(AUTOEVENTO="Manual",$M118=1),$M118&gt;(ROW(PLE.lastrow)-ROW(PLE.firstrow))),0,IF(OFFSET(PLE!$G$14,$M118,CC$13)="",10^12,OFFSET(PLE!$G$14,$M118,CC$13))))</f>
        <v>1000000000000</v>
      </c>
      <c r="CD118" s="216">
        <f ca="1">IF($D118&lt;&gt;"Serviço",0,IF(OR(AND(AUTOEVENTO="Manual",$M118=1),$M118&gt;(ROW(PLE.lastrow)-ROW(PLE.firstrow))),0,IF(OFFSET(PLE!$G$14,$M118,CD$13)="",10^12,OFFSET(PLE!$G$14,$M118,CD$13))))</f>
        <v>1000000000000</v>
      </c>
      <c r="CE118" s="216">
        <f ca="1">IF($D118&lt;&gt;"Serviço",0,IF(OR(AND(AUTOEVENTO="Manual",$M118=1),$M118&gt;(ROW(PLE.lastrow)-ROW(PLE.firstrow))),0,IF(OFFSET(PLE!$G$14,$M118,CE$13)="",10^12,OFFSET(PLE!$G$14,$M118,CE$13))))</f>
        <v>1000000000000</v>
      </c>
      <c r="CF118" s="216">
        <f ca="1">IF($D118&lt;&gt;"Serviço",0,IF(OR(AND(AUTOEVENTO="Manual",$M118=1),$M118&gt;(ROW(PLE.lastrow)-ROW(PLE.firstrow))),0,IF(OFFSET(PLE!$G$14,$M118,CF$13)="",10^12,OFFSET(PLE!$G$14,$M118,CF$13))))</f>
        <v>1000000000000</v>
      </c>
      <c r="CG118" s="216">
        <f ca="1">IF($D118&lt;&gt;"Serviço",0,IF(OR(AND(AUTOEVENTO="Manual",$M118=1),$M118&gt;(ROW(PLE.lastrow)-ROW(PLE.firstrow))),0,IF(OFFSET(PLE!$G$14,$M118,CG$13)="",10^12,OFFSET(PLE!$G$14,$M118,CG$13))))</f>
        <v>1000000000000</v>
      </c>
      <c r="CH118" s="216">
        <f ca="1">IF($D118&lt;&gt;"Serviço",0,IF(OR(AND(AUTOEVENTO="Manual",$M118=1),$M118&gt;(ROW(PLE.lastrow)-ROW(PLE.firstrow))),0,IF(OFFSET(PLE!$G$14,$M118,CH$13)="",10^12,OFFSET(PLE!$G$14,$M118,CH$13))))</f>
        <v>1000000000000</v>
      </c>
      <c r="CI118" s="216">
        <f ca="1">IF($D118&lt;&gt;"Serviço",0,IF(OR(AND(AUTOEVENTO="Manual",$M118=1),$M118&gt;(ROW(PLE.lastrow)-ROW(PLE.firstrow))),0,IF(OFFSET(PLE!$G$14,$M118,CI$13)="",10^12,OFFSET(PLE!$G$14,$M118,CI$13))))</f>
        <v>1000000000000</v>
      </c>
      <c r="CJ118" s="216">
        <f ca="1">IF($D118&lt;&gt;"Serviço",0,IF(OR(AND(AUTOEVENTO="Manual",$M118=1),$M118&gt;(ROW(PLE.lastrow)-ROW(PLE.firstrow))),0,IF(OFFSET(PLE!$G$14,$M118,CJ$13)="",10^12,OFFSET(PLE!$G$14,$M118,CJ$13))))</f>
        <v>1000000000000</v>
      </c>
      <c r="CK118" s="216">
        <f ca="1">IF($D118&lt;&gt;"Serviço",0,IF(OR(AND(AUTOEVENTO="Manual",$M118=1),$M118&gt;(ROW(PLE.lastrow)-ROW(PLE.firstrow))),0,IF(OFFSET(PLE!$G$14,$M118,CK$13)="",10^12,OFFSET(PLE!$G$14,$M118,CK$13))))</f>
        <v>1000000000000</v>
      </c>
      <c r="CL118" s="216">
        <f ca="1">IF($D118&lt;&gt;"Serviço",0,IF(OR(AND(AUTOEVENTO="Manual",$M118=1),$M118&gt;(ROW(PLE.lastrow)-ROW(PLE.firstrow))),0,IF(OFFSET(PLE!$G$14,$M118,CL$13)="",10^12,OFFSET(PLE!$G$14,$M118,CL$13))))</f>
        <v>1000000000000</v>
      </c>
      <c r="CM118" s="216">
        <f ca="1">IF($D118&lt;&gt;"Serviço",0,IF(OR(AND(AUTOEVENTO="Manual",$M118=1),$M118&gt;(ROW(PLE.lastrow)-ROW(PLE.firstrow))),0,IF(OFFSET(PLE!$G$14,$M118,CM$13)="",10^12,OFFSET(PLE!$G$14,$M118,CM$13))))</f>
        <v>1000000000000</v>
      </c>
    </row>
    <row r="119" spans="1:91" ht="13.2" x14ac:dyDescent="0.25">
      <c r="A119" s="9">
        <f t="shared" ca="1" si="10"/>
        <v>0</v>
      </c>
      <c r="B119" s="9" t="str">
        <f ca="1">OFFSET(ORÇAMENTO!C$15,ROW(B119)-ROW(B$15),0)</f>
        <v>S</v>
      </c>
      <c r="C119" s="9" t="str">
        <f ca="1">OFFSET(ORÇAMENTO!L$15,ROW(C119)-ROW(C$15),0)</f>
        <v/>
      </c>
      <c r="D119" s="145" t="str">
        <f ca="1">OFFSET(ORÇAMENTO!N$15,ROW(D119)-ROW(D$15),0)</f>
        <v>Serviço</v>
      </c>
      <c r="E119" s="205" t="str">
        <f ca="1">OFFSET(ORÇAMENTO!O$15,ROW(E119)-ROW(E$15),0)</f>
        <v>-</v>
      </c>
      <c r="F119" s="206" t="str">
        <f ca="1">OFFSET(ORÇAMENTO!R$15,ROW(F119)-ROW(F$15),0)</f>
        <v>(abra o arquivo 'Referência 05-2024.xls)</v>
      </c>
      <c r="G119" s="207" t="str">
        <f ca="1">IF($D119&lt;&gt;"Serviço","",OFFSET(ORÇAMENTO!S$15,ROW(G119)-ROW(G$15),0))</f>
        <v>-</v>
      </c>
      <c r="H119" s="151">
        <f ca="1">IF($D119&lt;&gt;"Serviço",0,IF(ACOMPANHAMENTO="BM",ROUND(OFFSET(ORÇAMENTO!AJ$15,ROW(H119)-ROW(H$15),0),15-13*ORÇAMENTO!$AF$7),SUMPRODUCT(($Q$12:$AI$12&lt;&gt;"")*ROUND($Q119:$AI119,15-13*ORÇAMENTO!$AF$7))))</f>
        <v>193.83</v>
      </c>
      <c r="I119" s="650"/>
      <c r="K119" s="208"/>
      <c r="L119" s="209" t="s">
        <v>257</v>
      </c>
      <c r="M119" s="210">
        <f ca="1">IF($D119&lt;&gt;"Serviço","",IF(AUTOEVENTO="manual",$A119,IF(ISERROR(MATCH($A119,$A$15:OFFSET($A119,-1,0),0)),MAX($M$15:OFFSET(M119,-1,0))+1,INDEX($M$15:OFFSET(M119,-1,0),MATCH($A119,$A$15:OFFSET($A119,-1,0),0)))))</f>
        <v>0</v>
      </c>
      <c r="N119" s="211" t="str">
        <f ca="1">IF($D119&lt;&gt;"Serviço","",IF(AUTOEVENTO="Manual",IF($A119=0,"&lt;-- defina o número do agrupador",OFFSET(EVENTOS!$D$14,$A119,0)),OFFSET($F$15,$A119,0)))</f>
        <v>&lt;-- defina o número do agrupador</v>
      </c>
      <c r="O119" s="212"/>
      <c r="Q119" s="212"/>
      <c r="R119" s="213"/>
      <c r="S119" s="213"/>
      <c r="T119" s="213"/>
      <c r="U119" s="213"/>
      <c r="V119" s="213"/>
      <c r="W119" s="213"/>
      <c r="X119" s="213"/>
      <c r="Y119" s="213"/>
      <c r="Z119" s="214"/>
      <c r="AA119" s="213"/>
      <c r="AB119" s="213"/>
      <c r="AC119" s="213"/>
      <c r="AD119" s="213"/>
      <c r="AE119" s="213"/>
      <c r="AF119" s="213"/>
      <c r="AG119" s="213"/>
      <c r="AH119" s="214"/>
      <c r="AJ119" s="631">
        <f ca="1">IF(AND($D119="Serviço",AJ$12&lt;&gt;0,$H119&gt;0,OR(AUTOEVENTO&lt;&gt;"manual",$M119&lt;&gt;1)),ROUND(OFFSET($P119,0,AJ$13),15-13*ORÇAMENTO!$AF$7)/$H119*OFFSET(ORÇAMENTO!$X$15,ROW(AJ119)-ROW(AJ$15),0),0)</f>
        <v>0</v>
      </c>
      <c r="AK119" s="632">
        <f ca="1">IF(AND($D119="Serviço",AK$12&lt;&gt;0,$H119&gt;0,OR(AUTOEVENTO&lt;&gt;"manual",$M119&lt;&gt;1)),ROUND(OFFSET($P119,0,AK$13),15-13*ORÇAMENTO!$AF$7)/$H119*OFFSET(ORÇAMENTO!$X$15,ROW(AK119)-ROW(AK$15),0),0)</f>
        <v>0</v>
      </c>
      <c r="AL119" s="632">
        <f ca="1">IF(AND($D119="Serviço",AL$12&lt;&gt;0,$H119&gt;0,OR(AUTOEVENTO&lt;&gt;"manual",$M119&lt;&gt;1)),ROUND(OFFSET($P119,0,AL$13),15-13*ORÇAMENTO!$AF$7)/$H119*OFFSET(ORÇAMENTO!$X$15,ROW(AL119)-ROW(AL$15),0),0)</f>
        <v>0</v>
      </c>
      <c r="AM119" s="632">
        <f ca="1">IF(AND($D119="Serviço",AM$12&lt;&gt;0,$H119&gt;0,OR(AUTOEVENTO&lt;&gt;"manual",$M119&lt;&gt;1)),ROUND(OFFSET($P119,0,AM$13),15-13*ORÇAMENTO!$AF$7)/$H119*OFFSET(ORÇAMENTO!$X$15,ROW(AM119)-ROW(AM$15),0),0)</f>
        <v>0</v>
      </c>
      <c r="AN119" s="632">
        <f ca="1">IF(AND($D119="Serviço",AN$12&lt;&gt;0,$H119&gt;0,OR(AUTOEVENTO&lt;&gt;"manual",$M119&lt;&gt;1)),ROUND(OFFSET($P119,0,AN$13),15-13*ORÇAMENTO!$AF$7)/$H119*OFFSET(ORÇAMENTO!$X$15,ROW(AN119)-ROW(AN$15),0),0)</f>
        <v>0</v>
      </c>
      <c r="AO119" s="632">
        <f ca="1">IF(AND($D119="Serviço",AO$12&lt;&gt;0,$H119&gt;0,OR(AUTOEVENTO&lt;&gt;"manual",$M119&lt;&gt;1)),ROUND(OFFSET($P119,0,AO$13),15-13*ORÇAMENTO!$AF$7)/$H119*OFFSET(ORÇAMENTO!$X$15,ROW(AO119)-ROW(AO$15),0),0)</f>
        <v>0</v>
      </c>
      <c r="AP119" s="632">
        <f ca="1">IF(AND($D119="Serviço",AP$12&lt;&gt;0,$H119&gt;0,OR(AUTOEVENTO&lt;&gt;"manual",$M119&lt;&gt;1)),ROUND(OFFSET($P119,0,AP$13),15-13*ORÇAMENTO!$AF$7)/$H119*OFFSET(ORÇAMENTO!$X$15,ROW(AP119)-ROW(AP$15),0),0)</f>
        <v>0</v>
      </c>
      <c r="AQ119" s="632">
        <f ca="1">IF(AND($D119="Serviço",AQ$12&lt;&gt;0,$H119&gt;0,OR(AUTOEVENTO&lt;&gt;"manual",$M119&lt;&gt;1)),ROUND(OFFSET($P119,0,AQ$13),15-13*ORÇAMENTO!$AF$7)/$H119*OFFSET(ORÇAMENTO!$X$15,ROW(AQ119)-ROW(AQ$15),0),0)</f>
        <v>0</v>
      </c>
      <c r="AR119" s="632">
        <f ca="1">IF(AND($D119="Serviço",AR$12&lt;&gt;0,$H119&gt;0,OR(AUTOEVENTO&lt;&gt;"manual",$M119&lt;&gt;1)),ROUND(OFFSET($P119,0,AR$13),15-13*ORÇAMENTO!$AF$7)/$H119*OFFSET(ORÇAMENTO!$X$15,ROW(AR119)-ROW(AR$15),0),0)</f>
        <v>0</v>
      </c>
      <c r="AS119" s="633">
        <f ca="1">IF(AND($D119="Serviço",AS$12&lt;&gt;0,$H119&gt;0,OR(AUTOEVENTO&lt;&gt;"manual",$M119&lt;&gt;1)),ROUND(OFFSET($P119,0,AS$13),15-13*ORÇAMENTO!$AF$7)/$H119*OFFSET(ORÇAMENTO!$X$15,ROW(AS119)-ROW(AS$15),0),0)</f>
        <v>0</v>
      </c>
      <c r="AT119" s="632">
        <f ca="1">IF(AND($D119="Serviço",AT$12&lt;&gt;0,$H119&gt;0,OR(AUTOEVENTO&lt;&gt;"manual",$M119&lt;&gt;1)),ROUND(OFFSET($P119,0,AT$13),15-13*ORÇAMENTO!$AF$7)/$H119*OFFSET(ORÇAMENTO!$X$15,ROW(AT119)-ROW(AT$15),0),0)</f>
        <v>0</v>
      </c>
      <c r="AU119" s="632">
        <f ca="1">IF(AND($D119="Serviço",AU$12&lt;&gt;0,$H119&gt;0,OR(AUTOEVENTO&lt;&gt;"manual",$M119&lt;&gt;1)),ROUND(OFFSET($P119,0,AU$13),15-13*ORÇAMENTO!$AF$7)/$H119*OFFSET(ORÇAMENTO!$X$15,ROW(AU119)-ROW(AU$15),0),0)</f>
        <v>0</v>
      </c>
      <c r="AV119" s="632">
        <f ca="1">IF(AND($D119="Serviço",AV$12&lt;&gt;0,$H119&gt;0,OR(AUTOEVENTO&lt;&gt;"manual",$M119&lt;&gt;1)),ROUND(OFFSET($P119,0,AV$13),15-13*ORÇAMENTO!$AF$7)/$H119*OFFSET(ORÇAMENTO!$X$15,ROW(AV119)-ROW(AV$15),0),0)</f>
        <v>0</v>
      </c>
      <c r="AW119" s="632">
        <f ca="1">IF(AND($D119="Serviço",AW$12&lt;&gt;0,$H119&gt;0,OR(AUTOEVENTO&lt;&gt;"manual",$M119&lt;&gt;1)),ROUND(OFFSET($P119,0,AW$13),15-13*ORÇAMENTO!$AF$7)/$H119*OFFSET(ORÇAMENTO!$X$15,ROW(AW119)-ROW(AW$15),0),0)</f>
        <v>0</v>
      </c>
      <c r="AX119" s="632">
        <f ca="1">IF(AND($D119="Serviço",AX$12&lt;&gt;0,$H119&gt;0,OR(AUTOEVENTO&lt;&gt;"manual",$M119&lt;&gt;1)),ROUND(OFFSET($P119,0,AX$13),15-13*ORÇAMENTO!$AF$7)/$H119*OFFSET(ORÇAMENTO!$X$15,ROW(AX119)-ROW(AX$15),0),0)</f>
        <v>0</v>
      </c>
      <c r="AY119" s="632">
        <f ca="1">IF(AND($D119="Serviço",AY$12&lt;&gt;0,$H119&gt;0,OR(AUTOEVENTO&lt;&gt;"manual",$M119&lt;&gt;1)),ROUND(OFFSET($P119,0,AY$13),15-13*ORÇAMENTO!$AF$7)/$H119*OFFSET(ORÇAMENTO!$X$15,ROW(AY119)-ROW(AY$15),0),0)</f>
        <v>0</v>
      </c>
      <c r="AZ119" s="632">
        <f ca="1">IF(AND($D119="Serviço",AZ$12&lt;&gt;0,$H119&gt;0,OR(AUTOEVENTO&lt;&gt;"manual",$M119&lt;&gt;1)),ROUND(OFFSET($P119,0,AZ$13),15-13*ORÇAMENTO!$AF$7)/$H119*OFFSET(ORÇAMENTO!$X$15,ROW(AZ119)-ROW(AZ$15),0),0)</f>
        <v>0</v>
      </c>
      <c r="BA119" s="633">
        <f ca="1">IF(AND($D119="Serviço",BA$12&lt;&gt;0,$H119&gt;0,OR(AUTOEVENTO&lt;&gt;"manual",$M119&lt;&gt;1)),ROUND(OFFSET($P119,0,BA$13),15-13*ORÇAMENTO!$AF$7)/$H119*OFFSET(ORÇAMENTO!$X$15,ROW(BA119)-ROW(BA$15),0),0)</f>
        <v>0</v>
      </c>
      <c r="BC119" s="215">
        <f ca="1">IF($D119&lt;&gt;"Serviço",0,IF(AND(AUTOEVENTO="Manual",$M119=1),0,IF(OFFSET(CRONOPLE!$F$14,$M119,BC$13)="",10^12,OFFSET(CRONOPLE!$F$14,$M119,BC$13))))</f>
        <v>1000000000000</v>
      </c>
      <c r="BD119" s="215">
        <f ca="1">IF($D119&lt;&gt;"Serviço",0,IF(AND(AUTOEVENTO="Manual",$M119=1),0,IF(OFFSET(CRONOPLE!$F$14,$M119,BD$13)="",10^12,OFFSET(CRONOPLE!$F$14,$M119,BD$13))))</f>
        <v>1000000000000</v>
      </c>
      <c r="BE119" s="215">
        <f ca="1">IF($D119&lt;&gt;"Serviço",0,IF(AND(AUTOEVENTO="Manual",$M119=1),0,IF(OFFSET(CRONOPLE!$F$14,$M119,BE$13)="",10^12,OFFSET(CRONOPLE!$F$14,$M119,BE$13))))</f>
        <v>1000000000000</v>
      </c>
      <c r="BF119" s="215">
        <f ca="1">IF($D119&lt;&gt;"Serviço",0,IF(AND(AUTOEVENTO="Manual",$M119=1),0,IF(OFFSET(CRONOPLE!$F$14,$M119,BF$13)="",10^12,OFFSET(CRONOPLE!$F$14,$M119,BF$13))))</f>
        <v>1000000000000</v>
      </c>
      <c r="BG119" s="215">
        <f ca="1">IF($D119&lt;&gt;"Serviço",0,IF(AND(AUTOEVENTO="Manual",$M119=1),0,IF(OFFSET(CRONOPLE!$F$14,$M119,BG$13)="",10^12,OFFSET(CRONOPLE!$F$14,$M119,BG$13))))</f>
        <v>1000000000000</v>
      </c>
      <c r="BH119" s="215">
        <f ca="1">IF($D119&lt;&gt;"Serviço",0,IF(AND(AUTOEVENTO="Manual",$M119=1),0,IF(OFFSET(CRONOPLE!$F$14,$M119,BH$13)="",10^12,OFFSET(CRONOPLE!$F$14,$M119,BH$13))))</f>
        <v>1000000000000</v>
      </c>
      <c r="BI119" s="215">
        <f ca="1">IF($D119&lt;&gt;"Serviço",0,IF(AND(AUTOEVENTO="Manual",$M119=1),0,IF(OFFSET(CRONOPLE!$F$14,$M119,BI$13)="",10^12,OFFSET(CRONOPLE!$F$14,$M119,BI$13))))</f>
        <v>1000000000000</v>
      </c>
      <c r="BJ119" s="215">
        <f ca="1">IF($D119&lt;&gt;"Serviço",0,IF(AND(AUTOEVENTO="Manual",$M119=1),0,IF(OFFSET(CRONOPLE!$F$14,$M119,BJ$13)="",10^12,OFFSET(CRONOPLE!$F$14,$M119,BJ$13))))</f>
        <v>1000000000000</v>
      </c>
      <c r="BK119" s="215">
        <f ca="1">IF($D119&lt;&gt;"Serviço",0,IF(AND(AUTOEVENTO="Manual",$M119=1),0,IF(OFFSET(CRONOPLE!$F$14,$M119,BK$13)="",10^12,OFFSET(CRONOPLE!$F$14,$M119,BK$13))))</f>
        <v>1000000000000</v>
      </c>
      <c r="BL119" s="215">
        <f ca="1">IF($D119&lt;&gt;"Serviço",0,IF(AND(AUTOEVENTO="Manual",$M119=1),0,IF(OFFSET(CRONOPLE!$F$14,$M119,BL$13)="",10^12,OFFSET(CRONOPLE!$F$14,$M119,BL$13))))</f>
        <v>1000000000000</v>
      </c>
      <c r="BM119" s="215">
        <f ca="1">IF($D119&lt;&gt;"Serviço",0,IF(AND(AUTOEVENTO="Manual",$M119=1),0,IF(OFFSET(CRONOPLE!$F$14,$M119,BM$13)="",10^12,OFFSET(CRONOPLE!$F$14,$M119,BM$13))))</f>
        <v>1000000000000</v>
      </c>
      <c r="BN119" s="215">
        <f ca="1">IF($D119&lt;&gt;"Serviço",0,IF(AND(AUTOEVENTO="Manual",$M119=1),0,IF(OFFSET(CRONOPLE!$F$14,$M119,BN$13)="",10^12,OFFSET(CRONOPLE!$F$14,$M119,BN$13))))</f>
        <v>1000000000000</v>
      </c>
      <c r="BO119" s="215">
        <f ca="1">IF($D119&lt;&gt;"Serviço",0,IF(AND(AUTOEVENTO="Manual",$M119=1),0,IF(OFFSET(CRONOPLE!$F$14,$M119,BO$13)="",10^12,OFFSET(CRONOPLE!$F$14,$M119,BO$13))))</f>
        <v>1000000000000</v>
      </c>
      <c r="BP119" s="215">
        <f ca="1">IF($D119&lt;&gt;"Serviço",0,IF(AND(AUTOEVENTO="Manual",$M119=1),0,IF(OFFSET(CRONOPLE!$F$14,$M119,BP$13)="",10^12,OFFSET(CRONOPLE!$F$14,$M119,BP$13))))</f>
        <v>1000000000000</v>
      </c>
      <c r="BQ119" s="215">
        <f ca="1">IF($D119&lt;&gt;"Serviço",0,IF(AND(AUTOEVENTO="Manual",$M119=1),0,IF(OFFSET(CRONOPLE!$F$14,$M119,BQ$13)="",10^12,OFFSET(CRONOPLE!$F$14,$M119,BQ$13))))</f>
        <v>1000000000000</v>
      </c>
      <c r="BR119" s="215">
        <f ca="1">IF($D119&lt;&gt;"Serviço",0,IF(AND(AUTOEVENTO="Manual",$M119=1),0,IF(OFFSET(CRONOPLE!$F$14,$M119,BR$13)="",10^12,OFFSET(CRONOPLE!$F$14,$M119,BR$13))))</f>
        <v>1000000000000</v>
      </c>
      <c r="BS119" s="215">
        <f ca="1">IF($D119&lt;&gt;"Serviço",0,IF(AND(AUTOEVENTO="Manual",$M119=1),0,IF(OFFSET(CRONOPLE!$F$14,$M119,BS$13)="",10^12,OFFSET(CRONOPLE!$F$14,$M119,BS$13))))</f>
        <v>1000000000000</v>
      </c>
      <c r="BT119" s="215">
        <f ca="1">IF($D119&lt;&gt;"Serviço",0,IF(AND(AUTOEVENTO="Manual",$M119=1),0,IF(OFFSET(CRONOPLE!$F$14,$M119,BT$13)="",10^12,OFFSET(CRONOPLE!$F$14,$M119,BT$13))))</f>
        <v>1000000000000</v>
      </c>
      <c r="BV119" s="216">
        <f ca="1">IF($D119&lt;&gt;"Serviço",0,IF(OR(AND(AUTOEVENTO="Manual",$M119=1),$M119&gt;(ROW(PLE.lastrow)-ROW(PLE.firstrow))),0,IF(OFFSET(PLE!$G$14,$M119,BV$13)="",10^12,OFFSET(PLE!$G$14,$M119,BV$13))))</f>
        <v>1000000000000</v>
      </c>
      <c r="BW119" s="216">
        <f ca="1">IF($D119&lt;&gt;"Serviço",0,IF(OR(AND(AUTOEVENTO="Manual",$M119=1),$M119&gt;(ROW(PLE.lastrow)-ROW(PLE.firstrow))),0,IF(OFFSET(PLE!$G$14,$M119,BW$13)="",10^12,OFFSET(PLE!$G$14,$M119,BW$13))))</f>
        <v>1000000000000</v>
      </c>
      <c r="BX119" s="216">
        <f ca="1">IF($D119&lt;&gt;"Serviço",0,IF(OR(AND(AUTOEVENTO="Manual",$M119=1),$M119&gt;(ROW(PLE.lastrow)-ROW(PLE.firstrow))),0,IF(OFFSET(PLE!$G$14,$M119,BX$13)="",10^12,OFFSET(PLE!$G$14,$M119,BX$13))))</f>
        <v>1000000000000</v>
      </c>
      <c r="BY119" s="216">
        <f ca="1">IF($D119&lt;&gt;"Serviço",0,IF(OR(AND(AUTOEVENTO="Manual",$M119=1),$M119&gt;(ROW(PLE.lastrow)-ROW(PLE.firstrow))),0,IF(OFFSET(PLE!$G$14,$M119,BY$13)="",10^12,OFFSET(PLE!$G$14,$M119,BY$13))))</f>
        <v>1000000000000</v>
      </c>
      <c r="BZ119" s="216">
        <f ca="1">IF($D119&lt;&gt;"Serviço",0,IF(OR(AND(AUTOEVENTO="Manual",$M119=1),$M119&gt;(ROW(PLE.lastrow)-ROW(PLE.firstrow))),0,IF(OFFSET(PLE!$G$14,$M119,BZ$13)="",10^12,OFFSET(PLE!$G$14,$M119,BZ$13))))</f>
        <v>1000000000000</v>
      </c>
      <c r="CA119" s="216">
        <f ca="1">IF($D119&lt;&gt;"Serviço",0,IF(OR(AND(AUTOEVENTO="Manual",$M119=1),$M119&gt;(ROW(PLE.lastrow)-ROW(PLE.firstrow))),0,IF(OFFSET(PLE!$G$14,$M119,CA$13)="",10^12,OFFSET(PLE!$G$14,$M119,CA$13))))</f>
        <v>1000000000000</v>
      </c>
      <c r="CB119" s="216">
        <f ca="1">IF($D119&lt;&gt;"Serviço",0,IF(OR(AND(AUTOEVENTO="Manual",$M119=1),$M119&gt;(ROW(PLE.lastrow)-ROW(PLE.firstrow))),0,IF(OFFSET(PLE!$G$14,$M119,CB$13)="",10^12,OFFSET(PLE!$G$14,$M119,CB$13))))</f>
        <v>1000000000000</v>
      </c>
      <c r="CC119" s="216">
        <f ca="1">IF($D119&lt;&gt;"Serviço",0,IF(OR(AND(AUTOEVENTO="Manual",$M119=1),$M119&gt;(ROW(PLE.lastrow)-ROW(PLE.firstrow))),0,IF(OFFSET(PLE!$G$14,$M119,CC$13)="",10^12,OFFSET(PLE!$G$14,$M119,CC$13))))</f>
        <v>1000000000000</v>
      </c>
      <c r="CD119" s="216">
        <f ca="1">IF($D119&lt;&gt;"Serviço",0,IF(OR(AND(AUTOEVENTO="Manual",$M119=1),$M119&gt;(ROW(PLE.lastrow)-ROW(PLE.firstrow))),0,IF(OFFSET(PLE!$G$14,$M119,CD$13)="",10^12,OFFSET(PLE!$G$14,$M119,CD$13))))</f>
        <v>1000000000000</v>
      </c>
      <c r="CE119" s="216">
        <f ca="1">IF($D119&lt;&gt;"Serviço",0,IF(OR(AND(AUTOEVENTO="Manual",$M119=1),$M119&gt;(ROW(PLE.lastrow)-ROW(PLE.firstrow))),0,IF(OFFSET(PLE!$G$14,$M119,CE$13)="",10^12,OFFSET(PLE!$G$14,$M119,CE$13))))</f>
        <v>1000000000000</v>
      </c>
      <c r="CF119" s="216">
        <f ca="1">IF($D119&lt;&gt;"Serviço",0,IF(OR(AND(AUTOEVENTO="Manual",$M119=1),$M119&gt;(ROW(PLE.lastrow)-ROW(PLE.firstrow))),0,IF(OFFSET(PLE!$G$14,$M119,CF$13)="",10^12,OFFSET(PLE!$G$14,$M119,CF$13))))</f>
        <v>1000000000000</v>
      </c>
      <c r="CG119" s="216">
        <f ca="1">IF($D119&lt;&gt;"Serviço",0,IF(OR(AND(AUTOEVENTO="Manual",$M119=1),$M119&gt;(ROW(PLE.lastrow)-ROW(PLE.firstrow))),0,IF(OFFSET(PLE!$G$14,$M119,CG$13)="",10^12,OFFSET(PLE!$G$14,$M119,CG$13))))</f>
        <v>1000000000000</v>
      </c>
      <c r="CH119" s="216">
        <f ca="1">IF($D119&lt;&gt;"Serviço",0,IF(OR(AND(AUTOEVENTO="Manual",$M119=1),$M119&gt;(ROW(PLE.lastrow)-ROW(PLE.firstrow))),0,IF(OFFSET(PLE!$G$14,$M119,CH$13)="",10^12,OFFSET(PLE!$G$14,$M119,CH$13))))</f>
        <v>1000000000000</v>
      </c>
      <c r="CI119" s="216">
        <f ca="1">IF($D119&lt;&gt;"Serviço",0,IF(OR(AND(AUTOEVENTO="Manual",$M119=1),$M119&gt;(ROW(PLE.lastrow)-ROW(PLE.firstrow))),0,IF(OFFSET(PLE!$G$14,$M119,CI$13)="",10^12,OFFSET(PLE!$G$14,$M119,CI$13))))</f>
        <v>1000000000000</v>
      </c>
      <c r="CJ119" s="216">
        <f ca="1">IF($D119&lt;&gt;"Serviço",0,IF(OR(AND(AUTOEVENTO="Manual",$M119=1),$M119&gt;(ROW(PLE.lastrow)-ROW(PLE.firstrow))),0,IF(OFFSET(PLE!$G$14,$M119,CJ$13)="",10^12,OFFSET(PLE!$G$14,$M119,CJ$13))))</f>
        <v>1000000000000</v>
      </c>
      <c r="CK119" s="216">
        <f ca="1">IF($D119&lt;&gt;"Serviço",0,IF(OR(AND(AUTOEVENTO="Manual",$M119=1),$M119&gt;(ROW(PLE.lastrow)-ROW(PLE.firstrow))),0,IF(OFFSET(PLE!$G$14,$M119,CK$13)="",10^12,OFFSET(PLE!$G$14,$M119,CK$13))))</f>
        <v>1000000000000</v>
      </c>
      <c r="CL119" s="216">
        <f ca="1">IF($D119&lt;&gt;"Serviço",0,IF(OR(AND(AUTOEVENTO="Manual",$M119=1),$M119&gt;(ROW(PLE.lastrow)-ROW(PLE.firstrow))),0,IF(OFFSET(PLE!$G$14,$M119,CL$13)="",10^12,OFFSET(PLE!$G$14,$M119,CL$13))))</f>
        <v>1000000000000</v>
      </c>
      <c r="CM119" s="216">
        <f ca="1">IF($D119&lt;&gt;"Serviço",0,IF(OR(AND(AUTOEVENTO="Manual",$M119=1),$M119&gt;(ROW(PLE.lastrow)-ROW(PLE.firstrow))),0,IF(OFFSET(PLE!$G$14,$M119,CM$13)="",10^12,OFFSET(PLE!$G$14,$M119,CM$13))))</f>
        <v>1000000000000</v>
      </c>
    </row>
    <row r="120" spans="1:91" ht="13.2" x14ac:dyDescent="0.25">
      <c r="A120" s="9">
        <f t="shared" ca="1" si="10"/>
        <v>0</v>
      </c>
      <c r="B120" s="9" t="str">
        <f ca="1">OFFSET(ORÇAMENTO!C$15,ROW(B120)-ROW(B$15),0)</f>
        <v>S</v>
      </c>
      <c r="C120" s="9" t="str">
        <f ca="1">OFFSET(ORÇAMENTO!L$15,ROW(C120)-ROW(C$15),0)</f>
        <v/>
      </c>
      <c r="D120" s="145" t="str">
        <f ca="1">OFFSET(ORÇAMENTO!N$15,ROW(D120)-ROW(D$15),0)</f>
        <v>Serviço</v>
      </c>
      <c r="E120" s="205" t="str">
        <f ca="1">OFFSET(ORÇAMENTO!O$15,ROW(E120)-ROW(E$15),0)</f>
        <v>-</v>
      </c>
      <c r="F120" s="206" t="str">
        <f ca="1">OFFSET(ORÇAMENTO!R$15,ROW(F120)-ROW(F$15),0)</f>
        <v>(abra o arquivo 'Referência 05-2024.xls)</v>
      </c>
      <c r="G120" s="207" t="str">
        <f ca="1">IF($D120&lt;&gt;"Serviço","",OFFSET(ORÇAMENTO!S$15,ROW(G120)-ROW(G$15),0))</f>
        <v>-</v>
      </c>
      <c r="H120" s="151">
        <f ca="1">IF($D120&lt;&gt;"Serviço",0,IF(ACOMPANHAMENTO="BM",ROUND(OFFSET(ORÇAMENTO!AJ$15,ROW(H120)-ROW(H$15),0),15-13*ORÇAMENTO!$AF$7),SUMPRODUCT(($Q$12:$AI$12&lt;&gt;"")*ROUND($Q120:$AI120,15-13*ORÇAMENTO!$AF$7))))</f>
        <v>1649.7</v>
      </c>
      <c r="I120" s="650"/>
      <c r="K120" s="208"/>
      <c r="L120" s="209" t="s">
        <v>257</v>
      </c>
      <c r="M120" s="210">
        <f ca="1">IF($D120&lt;&gt;"Serviço","",IF(AUTOEVENTO="manual",$A120,IF(ISERROR(MATCH($A120,$A$15:OFFSET($A120,-1,0),0)),MAX($M$15:OFFSET(M120,-1,0))+1,INDEX($M$15:OFFSET(M120,-1,0),MATCH($A120,$A$15:OFFSET($A120,-1,0),0)))))</f>
        <v>0</v>
      </c>
      <c r="N120" s="211" t="str">
        <f ca="1">IF($D120&lt;&gt;"Serviço","",IF(AUTOEVENTO="Manual",IF($A120=0,"&lt;-- defina o número do agrupador",OFFSET(EVENTOS!$D$14,$A120,0)),OFFSET($F$15,$A120,0)))</f>
        <v>&lt;-- defina o número do agrupador</v>
      </c>
      <c r="O120" s="212"/>
      <c r="Q120" s="212"/>
      <c r="R120" s="213"/>
      <c r="S120" s="213"/>
      <c r="T120" s="213"/>
      <c r="U120" s="213"/>
      <c r="V120" s="213"/>
      <c r="W120" s="213"/>
      <c r="X120" s="213"/>
      <c r="Y120" s="213"/>
      <c r="Z120" s="214"/>
      <c r="AA120" s="213"/>
      <c r="AB120" s="213"/>
      <c r="AC120" s="213"/>
      <c r="AD120" s="213"/>
      <c r="AE120" s="213"/>
      <c r="AF120" s="213"/>
      <c r="AG120" s="213"/>
      <c r="AH120" s="214"/>
      <c r="AJ120" s="631">
        <f ca="1">IF(AND($D120="Serviço",AJ$12&lt;&gt;0,$H120&gt;0,OR(AUTOEVENTO&lt;&gt;"manual",$M120&lt;&gt;1)),ROUND(OFFSET($P120,0,AJ$13),15-13*ORÇAMENTO!$AF$7)/$H120*OFFSET(ORÇAMENTO!$X$15,ROW(AJ120)-ROW(AJ$15),0),0)</f>
        <v>0</v>
      </c>
      <c r="AK120" s="632">
        <f ca="1">IF(AND($D120="Serviço",AK$12&lt;&gt;0,$H120&gt;0,OR(AUTOEVENTO&lt;&gt;"manual",$M120&lt;&gt;1)),ROUND(OFFSET($P120,0,AK$13),15-13*ORÇAMENTO!$AF$7)/$H120*OFFSET(ORÇAMENTO!$X$15,ROW(AK120)-ROW(AK$15),0),0)</f>
        <v>0</v>
      </c>
      <c r="AL120" s="632">
        <f ca="1">IF(AND($D120="Serviço",AL$12&lt;&gt;0,$H120&gt;0,OR(AUTOEVENTO&lt;&gt;"manual",$M120&lt;&gt;1)),ROUND(OFFSET($P120,0,AL$13),15-13*ORÇAMENTO!$AF$7)/$H120*OFFSET(ORÇAMENTO!$X$15,ROW(AL120)-ROW(AL$15),0),0)</f>
        <v>0</v>
      </c>
      <c r="AM120" s="632">
        <f ca="1">IF(AND($D120="Serviço",AM$12&lt;&gt;0,$H120&gt;0,OR(AUTOEVENTO&lt;&gt;"manual",$M120&lt;&gt;1)),ROUND(OFFSET($P120,0,AM$13),15-13*ORÇAMENTO!$AF$7)/$H120*OFFSET(ORÇAMENTO!$X$15,ROW(AM120)-ROW(AM$15),0),0)</f>
        <v>0</v>
      </c>
      <c r="AN120" s="632">
        <f ca="1">IF(AND($D120="Serviço",AN$12&lt;&gt;0,$H120&gt;0,OR(AUTOEVENTO&lt;&gt;"manual",$M120&lt;&gt;1)),ROUND(OFFSET($P120,0,AN$13),15-13*ORÇAMENTO!$AF$7)/$H120*OFFSET(ORÇAMENTO!$X$15,ROW(AN120)-ROW(AN$15),0),0)</f>
        <v>0</v>
      </c>
      <c r="AO120" s="632">
        <f ca="1">IF(AND($D120="Serviço",AO$12&lt;&gt;0,$H120&gt;0,OR(AUTOEVENTO&lt;&gt;"manual",$M120&lt;&gt;1)),ROUND(OFFSET($P120,0,AO$13),15-13*ORÇAMENTO!$AF$7)/$H120*OFFSET(ORÇAMENTO!$X$15,ROW(AO120)-ROW(AO$15),0),0)</f>
        <v>0</v>
      </c>
      <c r="AP120" s="632">
        <f ca="1">IF(AND($D120="Serviço",AP$12&lt;&gt;0,$H120&gt;0,OR(AUTOEVENTO&lt;&gt;"manual",$M120&lt;&gt;1)),ROUND(OFFSET($P120,0,AP$13),15-13*ORÇAMENTO!$AF$7)/$H120*OFFSET(ORÇAMENTO!$X$15,ROW(AP120)-ROW(AP$15),0),0)</f>
        <v>0</v>
      </c>
      <c r="AQ120" s="632">
        <f ca="1">IF(AND($D120="Serviço",AQ$12&lt;&gt;0,$H120&gt;0,OR(AUTOEVENTO&lt;&gt;"manual",$M120&lt;&gt;1)),ROUND(OFFSET($P120,0,AQ$13),15-13*ORÇAMENTO!$AF$7)/$H120*OFFSET(ORÇAMENTO!$X$15,ROW(AQ120)-ROW(AQ$15),0),0)</f>
        <v>0</v>
      </c>
      <c r="AR120" s="632">
        <f ca="1">IF(AND($D120="Serviço",AR$12&lt;&gt;0,$H120&gt;0,OR(AUTOEVENTO&lt;&gt;"manual",$M120&lt;&gt;1)),ROUND(OFFSET($P120,0,AR$13),15-13*ORÇAMENTO!$AF$7)/$H120*OFFSET(ORÇAMENTO!$X$15,ROW(AR120)-ROW(AR$15),0),0)</f>
        <v>0</v>
      </c>
      <c r="AS120" s="633">
        <f ca="1">IF(AND($D120="Serviço",AS$12&lt;&gt;0,$H120&gt;0,OR(AUTOEVENTO&lt;&gt;"manual",$M120&lt;&gt;1)),ROUND(OFFSET($P120,0,AS$13),15-13*ORÇAMENTO!$AF$7)/$H120*OFFSET(ORÇAMENTO!$X$15,ROW(AS120)-ROW(AS$15),0),0)</f>
        <v>0</v>
      </c>
      <c r="AT120" s="632">
        <f ca="1">IF(AND($D120="Serviço",AT$12&lt;&gt;0,$H120&gt;0,OR(AUTOEVENTO&lt;&gt;"manual",$M120&lt;&gt;1)),ROUND(OFFSET($P120,0,AT$13),15-13*ORÇAMENTO!$AF$7)/$H120*OFFSET(ORÇAMENTO!$X$15,ROW(AT120)-ROW(AT$15),0),0)</f>
        <v>0</v>
      </c>
      <c r="AU120" s="632">
        <f ca="1">IF(AND($D120="Serviço",AU$12&lt;&gt;0,$H120&gt;0,OR(AUTOEVENTO&lt;&gt;"manual",$M120&lt;&gt;1)),ROUND(OFFSET($P120,0,AU$13),15-13*ORÇAMENTO!$AF$7)/$H120*OFFSET(ORÇAMENTO!$X$15,ROW(AU120)-ROW(AU$15),0),0)</f>
        <v>0</v>
      </c>
      <c r="AV120" s="632">
        <f ca="1">IF(AND($D120="Serviço",AV$12&lt;&gt;0,$H120&gt;0,OR(AUTOEVENTO&lt;&gt;"manual",$M120&lt;&gt;1)),ROUND(OFFSET($P120,0,AV$13),15-13*ORÇAMENTO!$AF$7)/$H120*OFFSET(ORÇAMENTO!$X$15,ROW(AV120)-ROW(AV$15),0),0)</f>
        <v>0</v>
      </c>
      <c r="AW120" s="632">
        <f ca="1">IF(AND($D120="Serviço",AW$12&lt;&gt;0,$H120&gt;0,OR(AUTOEVENTO&lt;&gt;"manual",$M120&lt;&gt;1)),ROUND(OFFSET($P120,0,AW$13),15-13*ORÇAMENTO!$AF$7)/$H120*OFFSET(ORÇAMENTO!$X$15,ROW(AW120)-ROW(AW$15),0),0)</f>
        <v>0</v>
      </c>
      <c r="AX120" s="632">
        <f ca="1">IF(AND($D120="Serviço",AX$12&lt;&gt;0,$H120&gt;0,OR(AUTOEVENTO&lt;&gt;"manual",$M120&lt;&gt;1)),ROUND(OFFSET($P120,0,AX$13),15-13*ORÇAMENTO!$AF$7)/$H120*OFFSET(ORÇAMENTO!$X$15,ROW(AX120)-ROW(AX$15),0),0)</f>
        <v>0</v>
      </c>
      <c r="AY120" s="632">
        <f ca="1">IF(AND($D120="Serviço",AY$12&lt;&gt;0,$H120&gt;0,OR(AUTOEVENTO&lt;&gt;"manual",$M120&lt;&gt;1)),ROUND(OFFSET($P120,0,AY$13),15-13*ORÇAMENTO!$AF$7)/$H120*OFFSET(ORÇAMENTO!$X$15,ROW(AY120)-ROW(AY$15),0),0)</f>
        <v>0</v>
      </c>
      <c r="AZ120" s="632">
        <f ca="1">IF(AND($D120="Serviço",AZ$12&lt;&gt;0,$H120&gt;0,OR(AUTOEVENTO&lt;&gt;"manual",$M120&lt;&gt;1)),ROUND(OFFSET($P120,0,AZ$13),15-13*ORÇAMENTO!$AF$7)/$H120*OFFSET(ORÇAMENTO!$X$15,ROW(AZ120)-ROW(AZ$15),0),0)</f>
        <v>0</v>
      </c>
      <c r="BA120" s="633">
        <f ca="1">IF(AND($D120="Serviço",BA$12&lt;&gt;0,$H120&gt;0,OR(AUTOEVENTO&lt;&gt;"manual",$M120&lt;&gt;1)),ROUND(OFFSET($P120,0,BA$13),15-13*ORÇAMENTO!$AF$7)/$H120*OFFSET(ORÇAMENTO!$X$15,ROW(BA120)-ROW(BA$15),0),0)</f>
        <v>0</v>
      </c>
      <c r="BC120" s="215">
        <f ca="1">IF($D120&lt;&gt;"Serviço",0,IF(AND(AUTOEVENTO="Manual",$M120=1),0,IF(OFFSET(CRONOPLE!$F$14,$M120,BC$13)="",10^12,OFFSET(CRONOPLE!$F$14,$M120,BC$13))))</f>
        <v>1000000000000</v>
      </c>
      <c r="BD120" s="215">
        <f ca="1">IF($D120&lt;&gt;"Serviço",0,IF(AND(AUTOEVENTO="Manual",$M120=1),0,IF(OFFSET(CRONOPLE!$F$14,$M120,BD$13)="",10^12,OFFSET(CRONOPLE!$F$14,$M120,BD$13))))</f>
        <v>1000000000000</v>
      </c>
      <c r="BE120" s="215">
        <f ca="1">IF($D120&lt;&gt;"Serviço",0,IF(AND(AUTOEVENTO="Manual",$M120=1),0,IF(OFFSET(CRONOPLE!$F$14,$M120,BE$13)="",10^12,OFFSET(CRONOPLE!$F$14,$M120,BE$13))))</f>
        <v>1000000000000</v>
      </c>
      <c r="BF120" s="215">
        <f ca="1">IF($D120&lt;&gt;"Serviço",0,IF(AND(AUTOEVENTO="Manual",$M120=1),0,IF(OFFSET(CRONOPLE!$F$14,$M120,BF$13)="",10^12,OFFSET(CRONOPLE!$F$14,$M120,BF$13))))</f>
        <v>1000000000000</v>
      </c>
      <c r="BG120" s="215">
        <f ca="1">IF($D120&lt;&gt;"Serviço",0,IF(AND(AUTOEVENTO="Manual",$M120=1),0,IF(OFFSET(CRONOPLE!$F$14,$M120,BG$13)="",10^12,OFFSET(CRONOPLE!$F$14,$M120,BG$13))))</f>
        <v>1000000000000</v>
      </c>
      <c r="BH120" s="215">
        <f ca="1">IF($D120&lt;&gt;"Serviço",0,IF(AND(AUTOEVENTO="Manual",$M120=1),0,IF(OFFSET(CRONOPLE!$F$14,$M120,BH$13)="",10^12,OFFSET(CRONOPLE!$F$14,$M120,BH$13))))</f>
        <v>1000000000000</v>
      </c>
      <c r="BI120" s="215">
        <f ca="1">IF($D120&lt;&gt;"Serviço",0,IF(AND(AUTOEVENTO="Manual",$M120=1),0,IF(OFFSET(CRONOPLE!$F$14,$M120,BI$13)="",10^12,OFFSET(CRONOPLE!$F$14,$M120,BI$13))))</f>
        <v>1000000000000</v>
      </c>
      <c r="BJ120" s="215">
        <f ca="1">IF($D120&lt;&gt;"Serviço",0,IF(AND(AUTOEVENTO="Manual",$M120=1),0,IF(OFFSET(CRONOPLE!$F$14,$M120,BJ$13)="",10^12,OFFSET(CRONOPLE!$F$14,$M120,BJ$13))))</f>
        <v>1000000000000</v>
      </c>
      <c r="BK120" s="215">
        <f ca="1">IF($D120&lt;&gt;"Serviço",0,IF(AND(AUTOEVENTO="Manual",$M120=1),0,IF(OFFSET(CRONOPLE!$F$14,$M120,BK$13)="",10^12,OFFSET(CRONOPLE!$F$14,$M120,BK$13))))</f>
        <v>1000000000000</v>
      </c>
      <c r="BL120" s="215">
        <f ca="1">IF($D120&lt;&gt;"Serviço",0,IF(AND(AUTOEVENTO="Manual",$M120=1),0,IF(OFFSET(CRONOPLE!$F$14,$M120,BL$13)="",10^12,OFFSET(CRONOPLE!$F$14,$M120,BL$13))))</f>
        <v>1000000000000</v>
      </c>
      <c r="BM120" s="215">
        <f ca="1">IF($D120&lt;&gt;"Serviço",0,IF(AND(AUTOEVENTO="Manual",$M120=1),0,IF(OFFSET(CRONOPLE!$F$14,$M120,BM$13)="",10^12,OFFSET(CRONOPLE!$F$14,$M120,BM$13))))</f>
        <v>1000000000000</v>
      </c>
      <c r="BN120" s="215">
        <f ca="1">IF($D120&lt;&gt;"Serviço",0,IF(AND(AUTOEVENTO="Manual",$M120=1),0,IF(OFFSET(CRONOPLE!$F$14,$M120,BN$13)="",10^12,OFFSET(CRONOPLE!$F$14,$M120,BN$13))))</f>
        <v>1000000000000</v>
      </c>
      <c r="BO120" s="215">
        <f ca="1">IF($D120&lt;&gt;"Serviço",0,IF(AND(AUTOEVENTO="Manual",$M120=1),0,IF(OFFSET(CRONOPLE!$F$14,$M120,BO$13)="",10^12,OFFSET(CRONOPLE!$F$14,$M120,BO$13))))</f>
        <v>1000000000000</v>
      </c>
      <c r="BP120" s="215">
        <f ca="1">IF($D120&lt;&gt;"Serviço",0,IF(AND(AUTOEVENTO="Manual",$M120=1),0,IF(OFFSET(CRONOPLE!$F$14,$M120,BP$13)="",10^12,OFFSET(CRONOPLE!$F$14,$M120,BP$13))))</f>
        <v>1000000000000</v>
      </c>
      <c r="BQ120" s="215">
        <f ca="1">IF($D120&lt;&gt;"Serviço",0,IF(AND(AUTOEVENTO="Manual",$M120=1),0,IF(OFFSET(CRONOPLE!$F$14,$M120,BQ$13)="",10^12,OFFSET(CRONOPLE!$F$14,$M120,BQ$13))))</f>
        <v>1000000000000</v>
      </c>
      <c r="BR120" s="215">
        <f ca="1">IF($D120&lt;&gt;"Serviço",0,IF(AND(AUTOEVENTO="Manual",$M120=1),0,IF(OFFSET(CRONOPLE!$F$14,$M120,BR$13)="",10^12,OFFSET(CRONOPLE!$F$14,$M120,BR$13))))</f>
        <v>1000000000000</v>
      </c>
      <c r="BS120" s="215">
        <f ca="1">IF($D120&lt;&gt;"Serviço",0,IF(AND(AUTOEVENTO="Manual",$M120=1),0,IF(OFFSET(CRONOPLE!$F$14,$M120,BS$13)="",10^12,OFFSET(CRONOPLE!$F$14,$M120,BS$13))))</f>
        <v>1000000000000</v>
      </c>
      <c r="BT120" s="215">
        <f ca="1">IF($D120&lt;&gt;"Serviço",0,IF(AND(AUTOEVENTO="Manual",$M120=1),0,IF(OFFSET(CRONOPLE!$F$14,$M120,BT$13)="",10^12,OFFSET(CRONOPLE!$F$14,$M120,BT$13))))</f>
        <v>1000000000000</v>
      </c>
      <c r="BV120" s="216">
        <f ca="1">IF($D120&lt;&gt;"Serviço",0,IF(OR(AND(AUTOEVENTO="Manual",$M120=1),$M120&gt;(ROW(PLE.lastrow)-ROW(PLE.firstrow))),0,IF(OFFSET(PLE!$G$14,$M120,BV$13)="",10^12,OFFSET(PLE!$G$14,$M120,BV$13))))</f>
        <v>1000000000000</v>
      </c>
      <c r="BW120" s="216">
        <f ca="1">IF($D120&lt;&gt;"Serviço",0,IF(OR(AND(AUTOEVENTO="Manual",$M120=1),$M120&gt;(ROW(PLE.lastrow)-ROW(PLE.firstrow))),0,IF(OFFSET(PLE!$G$14,$M120,BW$13)="",10^12,OFFSET(PLE!$G$14,$M120,BW$13))))</f>
        <v>1000000000000</v>
      </c>
      <c r="BX120" s="216">
        <f ca="1">IF($D120&lt;&gt;"Serviço",0,IF(OR(AND(AUTOEVENTO="Manual",$M120=1),$M120&gt;(ROW(PLE.lastrow)-ROW(PLE.firstrow))),0,IF(OFFSET(PLE!$G$14,$M120,BX$13)="",10^12,OFFSET(PLE!$G$14,$M120,BX$13))))</f>
        <v>1000000000000</v>
      </c>
      <c r="BY120" s="216">
        <f ca="1">IF($D120&lt;&gt;"Serviço",0,IF(OR(AND(AUTOEVENTO="Manual",$M120=1),$M120&gt;(ROW(PLE.lastrow)-ROW(PLE.firstrow))),0,IF(OFFSET(PLE!$G$14,$M120,BY$13)="",10^12,OFFSET(PLE!$G$14,$M120,BY$13))))</f>
        <v>1000000000000</v>
      </c>
      <c r="BZ120" s="216">
        <f ca="1">IF($D120&lt;&gt;"Serviço",0,IF(OR(AND(AUTOEVENTO="Manual",$M120=1),$M120&gt;(ROW(PLE.lastrow)-ROW(PLE.firstrow))),0,IF(OFFSET(PLE!$G$14,$M120,BZ$13)="",10^12,OFFSET(PLE!$G$14,$M120,BZ$13))))</f>
        <v>1000000000000</v>
      </c>
      <c r="CA120" s="216">
        <f ca="1">IF($D120&lt;&gt;"Serviço",0,IF(OR(AND(AUTOEVENTO="Manual",$M120=1),$M120&gt;(ROW(PLE.lastrow)-ROW(PLE.firstrow))),0,IF(OFFSET(PLE!$G$14,$M120,CA$13)="",10^12,OFFSET(PLE!$G$14,$M120,CA$13))))</f>
        <v>1000000000000</v>
      </c>
      <c r="CB120" s="216">
        <f ca="1">IF($D120&lt;&gt;"Serviço",0,IF(OR(AND(AUTOEVENTO="Manual",$M120=1),$M120&gt;(ROW(PLE.lastrow)-ROW(PLE.firstrow))),0,IF(OFFSET(PLE!$G$14,$M120,CB$13)="",10^12,OFFSET(PLE!$G$14,$M120,CB$13))))</f>
        <v>1000000000000</v>
      </c>
      <c r="CC120" s="216">
        <f ca="1">IF($D120&lt;&gt;"Serviço",0,IF(OR(AND(AUTOEVENTO="Manual",$M120=1),$M120&gt;(ROW(PLE.lastrow)-ROW(PLE.firstrow))),0,IF(OFFSET(PLE!$G$14,$M120,CC$13)="",10^12,OFFSET(PLE!$G$14,$M120,CC$13))))</f>
        <v>1000000000000</v>
      </c>
      <c r="CD120" s="216">
        <f ca="1">IF($D120&lt;&gt;"Serviço",0,IF(OR(AND(AUTOEVENTO="Manual",$M120=1),$M120&gt;(ROW(PLE.lastrow)-ROW(PLE.firstrow))),0,IF(OFFSET(PLE!$G$14,$M120,CD$13)="",10^12,OFFSET(PLE!$G$14,$M120,CD$13))))</f>
        <v>1000000000000</v>
      </c>
      <c r="CE120" s="216">
        <f ca="1">IF($D120&lt;&gt;"Serviço",0,IF(OR(AND(AUTOEVENTO="Manual",$M120=1),$M120&gt;(ROW(PLE.lastrow)-ROW(PLE.firstrow))),0,IF(OFFSET(PLE!$G$14,$M120,CE$13)="",10^12,OFFSET(PLE!$G$14,$M120,CE$13))))</f>
        <v>1000000000000</v>
      </c>
      <c r="CF120" s="216">
        <f ca="1">IF($D120&lt;&gt;"Serviço",0,IF(OR(AND(AUTOEVENTO="Manual",$M120=1),$M120&gt;(ROW(PLE.lastrow)-ROW(PLE.firstrow))),0,IF(OFFSET(PLE!$G$14,$M120,CF$13)="",10^12,OFFSET(PLE!$G$14,$M120,CF$13))))</f>
        <v>1000000000000</v>
      </c>
      <c r="CG120" s="216">
        <f ca="1">IF($D120&lt;&gt;"Serviço",0,IF(OR(AND(AUTOEVENTO="Manual",$M120=1),$M120&gt;(ROW(PLE.lastrow)-ROW(PLE.firstrow))),0,IF(OFFSET(PLE!$G$14,$M120,CG$13)="",10^12,OFFSET(PLE!$G$14,$M120,CG$13))))</f>
        <v>1000000000000</v>
      </c>
      <c r="CH120" s="216">
        <f ca="1">IF($D120&lt;&gt;"Serviço",0,IF(OR(AND(AUTOEVENTO="Manual",$M120=1),$M120&gt;(ROW(PLE.lastrow)-ROW(PLE.firstrow))),0,IF(OFFSET(PLE!$G$14,$M120,CH$13)="",10^12,OFFSET(PLE!$G$14,$M120,CH$13))))</f>
        <v>1000000000000</v>
      </c>
      <c r="CI120" s="216">
        <f ca="1">IF($D120&lt;&gt;"Serviço",0,IF(OR(AND(AUTOEVENTO="Manual",$M120=1),$M120&gt;(ROW(PLE.lastrow)-ROW(PLE.firstrow))),0,IF(OFFSET(PLE!$G$14,$M120,CI$13)="",10^12,OFFSET(PLE!$G$14,$M120,CI$13))))</f>
        <v>1000000000000</v>
      </c>
      <c r="CJ120" s="216">
        <f ca="1">IF($D120&lt;&gt;"Serviço",0,IF(OR(AND(AUTOEVENTO="Manual",$M120=1),$M120&gt;(ROW(PLE.lastrow)-ROW(PLE.firstrow))),0,IF(OFFSET(PLE!$G$14,$M120,CJ$13)="",10^12,OFFSET(PLE!$G$14,$M120,CJ$13))))</f>
        <v>1000000000000</v>
      </c>
      <c r="CK120" s="216">
        <f ca="1">IF($D120&lt;&gt;"Serviço",0,IF(OR(AND(AUTOEVENTO="Manual",$M120=1),$M120&gt;(ROW(PLE.lastrow)-ROW(PLE.firstrow))),0,IF(OFFSET(PLE!$G$14,$M120,CK$13)="",10^12,OFFSET(PLE!$G$14,$M120,CK$13))))</f>
        <v>1000000000000</v>
      </c>
      <c r="CL120" s="216">
        <f ca="1">IF($D120&lt;&gt;"Serviço",0,IF(OR(AND(AUTOEVENTO="Manual",$M120=1),$M120&gt;(ROW(PLE.lastrow)-ROW(PLE.firstrow))),0,IF(OFFSET(PLE!$G$14,$M120,CL$13)="",10^12,OFFSET(PLE!$G$14,$M120,CL$13))))</f>
        <v>1000000000000</v>
      </c>
      <c r="CM120" s="216">
        <f ca="1">IF($D120&lt;&gt;"Serviço",0,IF(OR(AND(AUTOEVENTO="Manual",$M120=1),$M120&gt;(ROW(PLE.lastrow)-ROW(PLE.firstrow))),0,IF(OFFSET(PLE!$G$14,$M120,CM$13)="",10^12,OFFSET(PLE!$G$14,$M120,CM$13))))</f>
        <v>1000000000000</v>
      </c>
    </row>
    <row r="121" spans="1:91" ht="13.2" x14ac:dyDescent="0.25">
      <c r="A121" s="9">
        <f t="shared" ca="1" si="10"/>
        <v>0</v>
      </c>
      <c r="B121" s="9" t="str">
        <f ca="1">OFFSET(ORÇAMENTO!C$15,ROW(B121)-ROW(B$15),0)</f>
        <v>S</v>
      </c>
      <c r="C121" s="9" t="str">
        <f ca="1">OFFSET(ORÇAMENTO!L$15,ROW(C121)-ROW(C$15),0)</f>
        <v/>
      </c>
      <c r="D121" s="145" t="str">
        <f ca="1">OFFSET(ORÇAMENTO!N$15,ROW(D121)-ROW(D$15),0)</f>
        <v>Serviço</v>
      </c>
      <c r="E121" s="205" t="str">
        <f ca="1">OFFSET(ORÇAMENTO!O$15,ROW(E121)-ROW(E$15),0)</f>
        <v>-</v>
      </c>
      <c r="F121" s="206" t="str">
        <f ca="1">OFFSET(ORÇAMENTO!R$15,ROW(F121)-ROW(F$15),0)</f>
        <v>(abra o arquivo 'Referência 05-2024.xls)</v>
      </c>
      <c r="G121" s="207" t="str">
        <f ca="1">IF($D121&lt;&gt;"Serviço","",OFFSET(ORÇAMENTO!S$15,ROW(G121)-ROW(G$15),0))</f>
        <v>-</v>
      </c>
      <c r="H121" s="151">
        <f ca="1">IF($D121&lt;&gt;"Serviço",0,IF(ACOMPANHAMENTO="BM",ROUND(OFFSET(ORÇAMENTO!AJ$15,ROW(H121)-ROW(H$15),0),15-13*ORÇAMENTO!$AF$7),SUMPRODUCT(($Q$12:$AI$12&lt;&gt;"")*ROUND($Q121:$AI121,15-13*ORÇAMENTO!$AF$7))))</f>
        <v>88.34</v>
      </c>
      <c r="I121" s="650"/>
      <c r="K121" s="208"/>
      <c r="L121" s="209" t="s">
        <v>257</v>
      </c>
      <c r="M121" s="210">
        <f ca="1">IF($D121&lt;&gt;"Serviço","",IF(AUTOEVENTO="manual",$A121,IF(ISERROR(MATCH($A121,$A$15:OFFSET($A121,-1,0),0)),MAX($M$15:OFFSET(M121,-1,0))+1,INDEX($M$15:OFFSET(M121,-1,0),MATCH($A121,$A$15:OFFSET($A121,-1,0),0)))))</f>
        <v>0</v>
      </c>
      <c r="N121" s="211" t="str">
        <f ca="1">IF($D121&lt;&gt;"Serviço","",IF(AUTOEVENTO="Manual",IF($A121=0,"&lt;-- defina o número do agrupador",OFFSET(EVENTOS!$D$14,$A121,0)),OFFSET($F$15,$A121,0)))</f>
        <v>&lt;-- defina o número do agrupador</v>
      </c>
      <c r="O121" s="212"/>
      <c r="Q121" s="212"/>
      <c r="R121" s="213"/>
      <c r="S121" s="213"/>
      <c r="T121" s="213"/>
      <c r="U121" s="213"/>
      <c r="V121" s="213"/>
      <c r="W121" s="213"/>
      <c r="X121" s="213"/>
      <c r="Y121" s="213"/>
      <c r="Z121" s="214"/>
      <c r="AA121" s="213"/>
      <c r="AB121" s="213"/>
      <c r="AC121" s="213"/>
      <c r="AD121" s="213"/>
      <c r="AE121" s="213"/>
      <c r="AF121" s="213"/>
      <c r="AG121" s="213"/>
      <c r="AH121" s="214"/>
      <c r="AJ121" s="631">
        <f ca="1">IF(AND($D121="Serviço",AJ$12&lt;&gt;0,$H121&gt;0,OR(AUTOEVENTO&lt;&gt;"manual",$M121&lt;&gt;1)),ROUND(OFFSET($P121,0,AJ$13),15-13*ORÇAMENTO!$AF$7)/$H121*OFFSET(ORÇAMENTO!$X$15,ROW(AJ121)-ROW(AJ$15),0),0)</f>
        <v>0</v>
      </c>
      <c r="AK121" s="632">
        <f ca="1">IF(AND($D121="Serviço",AK$12&lt;&gt;0,$H121&gt;0,OR(AUTOEVENTO&lt;&gt;"manual",$M121&lt;&gt;1)),ROUND(OFFSET($P121,0,AK$13),15-13*ORÇAMENTO!$AF$7)/$H121*OFFSET(ORÇAMENTO!$X$15,ROW(AK121)-ROW(AK$15),0),0)</f>
        <v>0</v>
      </c>
      <c r="AL121" s="632">
        <f ca="1">IF(AND($D121="Serviço",AL$12&lt;&gt;0,$H121&gt;0,OR(AUTOEVENTO&lt;&gt;"manual",$M121&lt;&gt;1)),ROUND(OFFSET($P121,0,AL$13),15-13*ORÇAMENTO!$AF$7)/$H121*OFFSET(ORÇAMENTO!$X$15,ROW(AL121)-ROW(AL$15),0),0)</f>
        <v>0</v>
      </c>
      <c r="AM121" s="632">
        <f ca="1">IF(AND($D121="Serviço",AM$12&lt;&gt;0,$H121&gt;0,OR(AUTOEVENTO&lt;&gt;"manual",$M121&lt;&gt;1)),ROUND(OFFSET($P121,0,AM$13),15-13*ORÇAMENTO!$AF$7)/$H121*OFFSET(ORÇAMENTO!$X$15,ROW(AM121)-ROW(AM$15),0),0)</f>
        <v>0</v>
      </c>
      <c r="AN121" s="632">
        <f ca="1">IF(AND($D121="Serviço",AN$12&lt;&gt;0,$H121&gt;0,OR(AUTOEVENTO&lt;&gt;"manual",$M121&lt;&gt;1)),ROUND(OFFSET($P121,0,AN$13),15-13*ORÇAMENTO!$AF$7)/$H121*OFFSET(ORÇAMENTO!$X$15,ROW(AN121)-ROW(AN$15),0),0)</f>
        <v>0</v>
      </c>
      <c r="AO121" s="632">
        <f ca="1">IF(AND($D121="Serviço",AO$12&lt;&gt;0,$H121&gt;0,OR(AUTOEVENTO&lt;&gt;"manual",$M121&lt;&gt;1)),ROUND(OFFSET($P121,0,AO$13),15-13*ORÇAMENTO!$AF$7)/$H121*OFFSET(ORÇAMENTO!$X$15,ROW(AO121)-ROW(AO$15),0),0)</f>
        <v>0</v>
      </c>
      <c r="AP121" s="632">
        <f ca="1">IF(AND($D121="Serviço",AP$12&lt;&gt;0,$H121&gt;0,OR(AUTOEVENTO&lt;&gt;"manual",$M121&lt;&gt;1)),ROUND(OFFSET($P121,0,AP$13),15-13*ORÇAMENTO!$AF$7)/$H121*OFFSET(ORÇAMENTO!$X$15,ROW(AP121)-ROW(AP$15),0),0)</f>
        <v>0</v>
      </c>
      <c r="AQ121" s="632">
        <f ca="1">IF(AND($D121="Serviço",AQ$12&lt;&gt;0,$H121&gt;0,OR(AUTOEVENTO&lt;&gt;"manual",$M121&lt;&gt;1)),ROUND(OFFSET($P121,0,AQ$13),15-13*ORÇAMENTO!$AF$7)/$H121*OFFSET(ORÇAMENTO!$X$15,ROW(AQ121)-ROW(AQ$15),0),0)</f>
        <v>0</v>
      </c>
      <c r="AR121" s="632">
        <f ca="1">IF(AND($D121="Serviço",AR$12&lt;&gt;0,$H121&gt;0,OR(AUTOEVENTO&lt;&gt;"manual",$M121&lt;&gt;1)),ROUND(OFFSET($P121,0,AR$13),15-13*ORÇAMENTO!$AF$7)/$H121*OFFSET(ORÇAMENTO!$X$15,ROW(AR121)-ROW(AR$15),0),0)</f>
        <v>0</v>
      </c>
      <c r="AS121" s="633">
        <f ca="1">IF(AND($D121="Serviço",AS$12&lt;&gt;0,$H121&gt;0,OR(AUTOEVENTO&lt;&gt;"manual",$M121&lt;&gt;1)),ROUND(OFFSET($P121,0,AS$13),15-13*ORÇAMENTO!$AF$7)/$H121*OFFSET(ORÇAMENTO!$X$15,ROW(AS121)-ROW(AS$15),0),0)</f>
        <v>0</v>
      </c>
      <c r="AT121" s="632">
        <f ca="1">IF(AND($D121="Serviço",AT$12&lt;&gt;0,$H121&gt;0,OR(AUTOEVENTO&lt;&gt;"manual",$M121&lt;&gt;1)),ROUND(OFFSET($P121,0,AT$13),15-13*ORÇAMENTO!$AF$7)/$H121*OFFSET(ORÇAMENTO!$X$15,ROW(AT121)-ROW(AT$15),0),0)</f>
        <v>0</v>
      </c>
      <c r="AU121" s="632">
        <f ca="1">IF(AND($D121="Serviço",AU$12&lt;&gt;0,$H121&gt;0,OR(AUTOEVENTO&lt;&gt;"manual",$M121&lt;&gt;1)),ROUND(OFFSET($P121,0,AU$13),15-13*ORÇAMENTO!$AF$7)/$H121*OFFSET(ORÇAMENTO!$X$15,ROW(AU121)-ROW(AU$15),0),0)</f>
        <v>0</v>
      </c>
      <c r="AV121" s="632">
        <f ca="1">IF(AND($D121="Serviço",AV$12&lt;&gt;0,$H121&gt;0,OR(AUTOEVENTO&lt;&gt;"manual",$M121&lt;&gt;1)),ROUND(OFFSET($P121,0,AV$13),15-13*ORÇAMENTO!$AF$7)/$H121*OFFSET(ORÇAMENTO!$X$15,ROW(AV121)-ROW(AV$15),0),0)</f>
        <v>0</v>
      </c>
      <c r="AW121" s="632">
        <f ca="1">IF(AND($D121="Serviço",AW$12&lt;&gt;0,$H121&gt;0,OR(AUTOEVENTO&lt;&gt;"manual",$M121&lt;&gt;1)),ROUND(OFFSET($P121,0,AW$13),15-13*ORÇAMENTO!$AF$7)/$H121*OFFSET(ORÇAMENTO!$X$15,ROW(AW121)-ROW(AW$15),0),0)</f>
        <v>0</v>
      </c>
      <c r="AX121" s="632">
        <f ca="1">IF(AND($D121="Serviço",AX$12&lt;&gt;0,$H121&gt;0,OR(AUTOEVENTO&lt;&gt;"manual",$M121&lt;&gt;1)),ROUND(OFFSET($P121,0,AX$13),15-13*ORÇAMENTO!$AF$7)/$H121*OFFSET(ORÇAMENTO!$X$15,ROW(AX121)-ROW(AX$15),0),0)</f>
        <v>0</v>
      </c>
      <c r="AY121" s="632">
        <f ca="1">IF(AND($D121="Serviço",AY$12&lt;&gt;0,$H121&gt;0,OR(AUTOEVENTO&lt;&gt;"manual",$M121&lt;&gt;1)),ROUND(OFFSET($P121,0,AY$13),15-13*ORÇAMENTO!$AF$7)/$H121*OFFSET(ORÇAMENTO!$X$15,ROW(AY121)-ROW(AY$15),0),0)</f>
        <v>0</v>
      </c>
      <c r="AZ121" s="632">
        <f ca="1">IF(AND($D121="Serviço",AZ$12&lt;&gt;0,$H121&gt;0,OR(AUTOEVENTO&lt;&gt;"manual",$M121&lt;&gt;1)),ROUND(OFFSET($P121,0,AZ$13),15-13*ORÇAMENTO!$AF$7)/$H121*OFFSET(ORÇAMENTO!$X$15,ROW(AZ121)-ROW(AZ$15),0),0)</f>
        <v>0</v>
      </c>
      <c r="BA121" s="633">
        <f ca="1">IF(AND($D121="Serviço",BA$12&lt;&gt;0,$H121&gt;0,OR(AUTOEVENTO&lt;&gt;"manual",$M121&lt;&gt;1)),ROUND(OFFSET($P121,0,BA$13),15-13*ORÇAMENTO!$AF$7)/$H121*OFFSET(ORÇAMENTO!$X$15,ROW(BA121)-ROW(BA$15),0),0)</f>
        <v>0</v>
      </c>
      <c r="BC121" s="215">
        <f ca="1">IF($D121&lt;&gt;"Serviço",0,IF(AND(AUTOEVENTO="Manual",$M121=1),0,IF(OFFSET(CRONOPLE!$F$14,$M121,BC$13)="",10^12,OFFSET(CRONOPLE!$F$14,$M121,BC$13))))</f>
        <v>1000000000000</v>
      </c>
      <c r="BD121" s="215">
        <f ca="1">IF($D121&lt;&gt;"Serviço",0,IF(AND(AUTOEVENTO="Manual",$M121=1),0,IF(OFFSET(CRONOPLE!$F$14,$M121,BD$13)="",10^12,OFFSET(CRONOPLE!$F$14,$M121,BD$13))))</f>
        <v>1000000000000</v>
      </c>
      <c r="BE121" s="215">
        <f ca="1">IF($D121&lt;&gt;"Serviço",0,IF(AND(AUTOEVENTO="Manual",$M121=1),0,IF(OFFSET(CRONOPLE!$F$14,$M121,BE$13)="",10^12,OFFSET(CRONOPLE!$F$14,$M121,BE$13))))</f>
        <v>1000000000000</v>
      </c>
      <c r="BF121" s="215">
        <f ca="1">IF($D121&lt;&gt;"Serviço",0,IF(AND(AUTOEVENTO="Manual",$M121=1),0,IF(OFFSET(CRONOPLE!$F$14,$M121,BF$13)="",10^12,OFFSET(CRONOPLE!$F$14,$M121,BF$13))))</f>
        <v>1000000000000</v>
      </c>
      <c r="BG121" s="215">
        <f ca="1">IF($D121&lt;&gt;"Serviço",0,IF(AND(AUTOEVENTO="Manual",$M121=1),0,IF(OFFSET(CRONOPLE!$F$14,$M121,BG$13)="",10^12,OFFSET(CRONOPLE!$F$14,$M121,BG$13))))</f>
        <v>1000000000000</v>
      </c>
      <c r="BH121" s="215">
        <f ca="1">IF($D121&lt;&gt;"Serviço",0,IF(AND(AUTOEVENTO="Manual",$M121=1),0,IF(OFFSET(CRONOPLE!$F$14,$M121,BH$13)="",10^12,OFFSET(CRONOPLE!$F$14,$M121,BH$13))))</f>
        <v>1000000000000</v>
      </c>
      <c r="BI121" s="215">
        <f ca="1">IF($D121&lt;&gt;"Serviço",0,IF(AND(AUTOEVENTO="Manual",$M121=1),0,IF(OFFSET(CRONOPLE!$F$14,$M121,BI$13)="",10^12,OFFSET(CRONOPLE!$F$14,$M121,BI$13))))</f>
        <v>1000000000000</v>
      </c>
      <c r="BJ121" s="215">
        <f ca="1">IF($D121&lt;&gt;"Serviço",0,IF(AND(AUTOEVENTO="Manual",$M121=1),0,IF(OFFSET(CRONOPLE!$F$14,$M121,BJ$13)="",10^12,OFFSET(CRONOPLE!$F$14,$M121,BJ$13))))</f>
        <v>1000000000000</v>
      </c>
      <c r="BK121" s="215">
        <f ca="1">IF($D121&lt;&gt;"Serviço",0,IF(AND(AUTOEVENTO="Manual",$M121=1),0,IF(OFFSET(CRONOPLE!$F$14,$M121,BK$13)="",10^12,OFFSET(CRONOPLE!$F$14,$M121,BK$13))))</f>
        <v>1000000000000</v>
      </c>
      <c r="BL121" s="215">
        <f ca="1">IF($D121&lt;&gt;"Serviço",0,IF(AND(AUTOEVENTO="Manual",$M121=1),0,IF(OFFSET(CRONOPLE!$F$14,$M121,BL$13)="",10^12,OFFSET(CRONOPLE!$F$14,$M121,BL$13))))</f>
        <v>1000000000000</v>
      </c>
      <c r="BM121" s="215">
        <f ca="1">IF($D121&lt;&gt;"Serviço",0,IF(AND(AUTOEVENTO="Manual",$M121=1),0,IF(OFFSET(CRONOPLE!$F$14,$M121,BM$13)="",10^12,OFFSET(CRONOPLE!$F$14,$M121,BM$13))))</f>
        <v>1000000000000</v>
      </c>
      <c r="BN121" s="215">
        <f ca="1">IF($D121&lt;&gt;"Serviço",0,IF(AND(AUTOEVENTO="Manual",$M121=1),0,IF(OFFSET(CRONOPLE!$F$14,$M121,BN$13)="",10^12,OFFSET(CRONOPLE!$F$14,$M121,BN$13))))</f>
        <v>1000000000000</v>
      </c>
      <c r="BO121" s="215">
        <f ca="1">IF($D121&lt;&gt;"Serviço",0,IF(AND(AUTOEVENTO="Manual",$M121=1),0,IF(OFFSET(CRONOPLE!$F$14,$M121,BO$13)="",10^12,OFFSET(CRONOPLE!$F$14,$M121,BO$13))))</f>
        <v>1000000000000</v>
      </c>
      <c r="BP121" s="215">
        <f ca="1">IF($D121&lt;&gt;"Serviço",0,IF(AND(AUTOEVENTO="Manual",$M121=1),0,IF(OFFSET(CRONOPLE!$F$14,$M121,BP$13)="",10^12,OFFSET(CRONOPLE!$F$14,$M121,BP$13))))</f>
        <v>1000000000000</v>
      </c>
      <c r="BQ121" s="215">
        <f ca="1">IF($D121&lt;&gt;"Serviço",0,IF(AND(AUTOEVENTO="Manual",$M121=1),0,IF(OFFSET(CRONOPLE!$F$14,$M121,BQ$13)="",10^12,OFFSET(CRONOPLE!$F$14,$M121,BQ$13))))</f>
        <v>1000000000000</v>
      </c>
      <c r="BR121" s="215">
        <f ca="1">IF($D121&lt;&gt;"Serviço",0,IF(AND(AUTOEVENTO="Manual",$M121=1),0,IF(OFFSET(CRONOPLE!$F$14,$M121,BR$13)="",10^12,OFFSET(CRONOPLE!$F$14,$M121,BR$13))))</f>
        <v>1000000000000</v>
      </c>
      <c r="BS121" s="215">
        <f ca="1">IF($D121&lt;&gt;"Serviço",0,IF(AND(AUTOEVENTO="Manual",$M121=1),0,IF(OFFSET(CRONOPLE!$F$14,$M121,BS$13)="",10^12,OFFSET(CRONOPLE!$F$14,$M121,BS$13))))</f>
        <v>1000000000000</v>
      </c>
      <c r="BT121" s="215">
        <f ca="1">IF($D121&lt;&gt;"Serviço",0,IF(AND(AUTOEVENTO="Manual",$M121=1),0,IF(OFFSET(CRONOPLE!$F$14,$M121,BT$13)="",10^12,OFFSET(CRONOPLE!$F$14,$M121,BT$13))))</f>
        <v>1000000000000</v>
      </c>
      <c r="BV121" s="216">
        <f ca="1">IF($D121&lt;&gt;"Serviço",0,IF(OR(AND(AUTOEVENTO="Manual",$M121=1),$M121&gt;(ROW(PLE.lastrow)-ROW(PLE.firstrow))),0,IF(OFFSET(PLE!$G$14,$M121,BV$13)="",10^12,OFFSET(PLE!$G$14,$M121,BV$13))))</f>
        <v>1000000000000</v>
      </c>
      <c r="BW121" s="216">
        <f ca="1">IF($D121&lt;&gt;"Serviço",0,IF(OR(AND(AUTOEVENTO="Manual",$M121=1),$M121&gt;(ROW(PLE.lastrow)-ROW(PLE.firstrow))),0,IF(OFFSET(PLE!$G$14,$M121,BW$13)="",10^12,OFFSET(PLE!$G$14,$M121,BW$13))))</f>
        <v>1000000000000</v>
      </c>
      <c r="BX121" s="216">
        <f ca="1">IF($D121&lt;&gt;"Serviço",0,IF(OR(AND(AUTOEVENTO="Manual",$M121=1),$M121&gt;(ROW(PLE.lastrow)-ROW(PLE.firstrow))),0,IF(OFFSET(PLE!$G$14,$M121,BX$13)="",10^12,OFFSET(PLE!$G$14,$M121,BX$13))))</f>
        <v>1000000000000</v>
      </c>
      <c r="BY121" s="216">
        <f ca="1">IF($D121&lt;&gt;"Serviço",0,IF(OR(AND(AUTOEVENTO="Manual",$M121=1),$M121&gt;(ROW(PLE.lastrow)-ROW(PLE.firstrow))),0,IF(OFFSET(PLE!$G$14,$M121,BY$13)="",10^12,OFFSET(PLE!$G$14,$M121,BY$13))))</f>
        <v>1000000000000</v>
      </c>
      <c r="BZ121" s="216">
        <f ca="1">IF($D121&lt;&gt;"Serviço",0,IF(OR(AND(AUTOEVENTO="Manual",$M121=1),$M121&gt;(ROW(PLE.lastrow)-ROW(PLE.firstrow))),0,IF(OFFSET(PLE!$G$14,$M121,BZ$13)="",10^12,OFFSET(PLE!$G$14,$M121,BZ$13))))</f>
        <v>1000000000000</v>
      </c>
      <c r="CA121" s="216">
        <f ca="1">IF($D121&lt;&gt;"Serviço",0,IF(OR(AND(AUTOEVENTO="Manual",$M121=1),$M121&gt;(ROW(PLE.lastrow)-ROW(PLE.firstrow))),0,IF(OFFSET(PLE!$G$14,$M121,CA$13)="",10^12,OFFSET(PLE!$G$14,$M121,CA$13))))</f>
        <v>1000000000000</v>
      </c>
      <c r="CB121" s="216">
        <f ca="1">IF($D121&lt;&gt;"Serviço",0,IF(OR(AND(AUTOEVENTO="Manual",$M121=1),$M121&gt;(ROW(PLE.lastrow)-ROW(PLE.firstrow))),0,IF(OFFSET(PLE!$G$14,$M121,CB$13)="",10^12,OFFSET(PLE!$G$14,$M121,CB$13))))</f>
        <v>1000000000000</v>
      </c>
      <c r="CC121" s="216">
        <f ca="1">IF($D121&lt;&gt;"Serviço",0,IF(OR(AND(AUTOEVENTO="Manual",$M121=1),$M121&gt;(ROW(PLE.lastrow)-ROW(PLE.firstrow))),0,IF(OFFSET(PLE!$G$14,$M121,CC$13)="",10^12,OFFSET(PLE!$G$14,$M121,CC$13))))</f>
        <v>1000000000000</v>
      </c>
      <c r="CD121" s="216">
        <f ca="1">IF($D121&lt;&gt;"Serviço",0,IF(OR(AND(AUTOEVENTO="Manual",$M121=1),$M121&gt;(ROW(PLE.lastrow)-ROW(PLE.firstrow))),0,IF(OFFSET(PLE!$G$14,$M121,CD$13)="",10^12,OFFSET(PLE!$G$14,$M121,CD$13))))</f>
        <v>1000000000000</v>
      </c>
      <c r="CE121" s="216">
        <f ca="1">IF($D121&lt;&gt;"Serviço",0,IF(OR(AND(AUTOEVENTO="Manual",$M121=1),$M121&gt;(ROW(PLE.lastrow)-ROW(PLE.firstrow))),0,IF(OFFSET(PLE!$G$14,$M121,CE$13)="",10^12,OFFSET(PLE!$G$14,$M121,CE$13))))</f>
        <v>1000000000000</v>
      </c>
      <c r="CF121" s="216">
        <f ca="1">IF($D121&lt;&gt;"Serviço",0,IF(OR(AND(AUTOEVENTO="Manual",$M121=1),$M121&gt;(ROW(PLE.lastrow)-ROW(PLE.firstrow))),0,IF(OFFSET(PLE!$G$14,$M121,CF$13)="",10^12,OFFSET(PLE!$G$14,$M121,CF$13))))</f>
        <v>1000000000000</v>
      </c>
      <c r="CG121" s="216">
        <f ca="1">IF($D121&lt;&gt;"Serviço",0,IF(OR(AND(AUTOEVENTO="Manual",$M121=1),$M121&gt;(ROW(PLE.lastrow)-ROW(PLE.firstrow))),0,IF(OFFSET(PLE!$G$14,$M121,CG$13)="",10^12,OFFSET(PLE!$G$14,$M121,CG$13))))</f>
        <v>1000000000000</v>
      </c>
      <c r="CH121" s="216">
        <f ca="1">IF($D121&lt;&gt;"Serviço",0,IF(OR(AND(AUTOEVENTO="Manual",$M121=1),$M121&gt;(ROW(PLE.lastrow)-ROW(PLE.firstrow))),0,IF(OFFSET(PLE!$G$14,$M121,CH$13)="",10^12,OFFSET(PLE!$G$14,$M121,CH$13))))</f>
        <v>1000000000000</v>
      </c>
      <c r="CI121" s="216">
        <f ca="1">IF($D121&lt;&gt;"Serviço",0,IF(OR(AND(AUTOEVENTO="Manual",$M121=1),$M121&gt;(ROW(PLE.lastrow)-ROW(PLE.firstrow))),0,IF(OFFSET(PLE!$G$14,$M121,CI$13)="",10^12,OFFSET(PLE!$G$14,$M121,CI$13))))</f>
        <v>1000000000000</v>
      </c>
      <c r="CJ121" s="216">
        <f ca="1">IF($D121&lt;&gt;"Serviço",0,IF(OR(AND(AUTOEVENTO="Manual",$M121=1),$M121&gt;(ROW(PLE.lastrow)-ROW(PLE.firstrow))),0,IF(OFFSET(PLE!$G$14,$M121,CJ$13)="",10^12,OFFSET(PLE!$G$14,$M121,CJ$13))))</f>
        <v>1000000000000</v>
      </c>
      <c r="CK121" s="216">
        <f ca="1">IF($D121&lt;&gt;"Serviço",0,IF(OR(AND(AUTOEVENTO="Manual",$M121=1),$M121&gt;(ROW(PLE.lastrow)-ROW(PLE.firstrow))),0,IF(OFFSET(PLE!$G$14,$M121,CK$13)="",10^12,OFFSET(PLE!$G$14,$M121,CK$13))))</f>
        <v>1000000000000</v>
      </c>
      <c r="CL121" s="216">
        <f ca="1">IF($D121&lt;&gt;"Serviço",0,IF(OR(AND(AUTOEVENTO="Manual",$M121=1),$M121&gt;(ROW(PLE.lastrow)-ROW(PLE.firstrow))),0,IF(OFFSET(PLE!$G$14,$M121,CL$13)="",10^12,OFFSET(PLE!$G$14,$M121,CL$13))))</f>
        <v>1000000000000</v>
      </c>
      <c r="CM121" s="216">
        <f ca="1">IF($D121&lt;&gt;"Serviço",0,IF(OR(AND(AUTOEVENTO="Manual",$M121=1),$M121&gt;(ROW(PLE.lastrow)-ROW(PLE.firstrow))),0,IF(OFFSET(PLE!$G$14,$M121,CM$13)="",10^12,OFFSET(PLE!$G$14,$M121,CM$13))))</f>
        <v>1000000000000</v>
      </c>
    </row>
    <row r="122" spans="1:91" ht="13.2" x14ac:dyDescent="0.25">
      <c r="A122" s="9">
        <f t="shared" ca="1" si="10"/>
        <v>0</v>
      </c>
      <c r="B122" s="9">
        <f ca="1">OFFSET(ORÇAMENTO!C$15,ROW(B122)-ROW(B$15),0)</f>
        <v>3</v>
      </c>
      <c r="C122" s="9" t="str">
        <f ca="1">OFFSET(ORÇAMENTO!L$15,ROW(C122)-ROW(C$15),0)</f>
        <v>F</v>
      </c>
      <c r="D122" s="145" t="str">
        <f ca="1">OFFSET(ORÇAMENTO!N$15,ROW(D122)-ROW(D$15),0)</f>
        <v>Nível 3</v>
      </c>
      <c r="E122" s="205" t="str">
        <f ca="1">OFFSET(ORÇAMENTO!O$15,ROW(E122)-ROW(E$15),0)</f>
        <v>1.4.5.</v>
      </c>
      <c r="F122" s="206" t="str">
        <f ca="1">OFFSET(ORÇAMENTO!R$15,ROW(F122)-ROW(F$15),0)</f>
        <v>CONCRETO ARMADO - VIGAS - MURO</v>
      </c>
      <c r="G122" s="207" t="str">
        <f ca="1">IF($D122&lt;&gt;"Serviço","",OFFSET(ORÇAMENTO!S$15,ROW(G122)-ROW(G$15),0))</f>
        <v/>
      </c>
      <c r="H122" s="151">
        <f ca="1">IF($D122&lt;&gt;"Serviço",0,IF(ACOMPANHAMENTO="BM",ROUND(OFFSET(ORÇAMENTO!AJ$15,ROW(H122)-ROW(H$15),0),15-13*ORÇAMENTO!$AF$7),SUMPRODUCT(($Q$12:$AI$12&lt;&gt;"")*ROUND($Q122:$AI122,15-13*ORÇAMENTO!$AF$7))))</f>
        <v>0</v>
      </c>
      <c r="I122" s="650"/>
      <c r="K122" s="208"/>
      <c r="L122" s="209" t="s">
        <v>257</v>
      </c>
      <c r="M122" s="210" t="str">
        <f ca="1">IF($D122&lt;&gt;"Serviço","",IF(AUTOEVENTO="manual",$A122,IF(ISERROR(MATCH($A122,$A$15:OFFSET($A122,-1,0),0)),MAX($M$15:OFFSET(M122,-1,0))+1,INDEX($M$15:OFFSET(M122,-1,0),MATCH($A122,$A$15:OFFSET($A122,-1,0),0)))))</f>
        <v/>
      </c>
      <c r="N122" s="211" t="str">
        <f ca="1">IF($D122&lt;&gt;"Serviço","",IF(AUTOEVENTO="Manual",IF($A122=0,"&lt;-- defina o número do agrupador",OFFSET(EVENTOS!$D$14,$A122,0)),OFFSET($F$15,$A122,0)))</f>
        <v/>
      </c>
      <c r="O122" s="212"/>
      <c r="Q122" s="212"/>
      <c r="R122" s="213"/>
      <c r="S122" s="213"/>
      <c r="T122" s="213"/>
      <c r="U122" s="213"/>
      <c r="V122" s="213"/>
      <c r="W122" s="213"/>
      <c r="X122" s="213"/>
      <c r="Y122" s="213"/>
      <c r="Z122" s="214"/>
      <c r="AA122" s="213"/>
      <c r="AB122" s="213"/>
      <c r="AC122" s="213"/>
      <c r="AD122" s="213"/>
      <c r="AE122" s="213"/>
      <c r="AF122" s="213"/>
      <c r="AG122" s="213"/>
      <c r="AH122" s="214"/>
      <c r="AJ122" s="631">
        <f ca="1">IF(AND($D122="Serviço",AJ$12&lt;&gt;0,$H122&gt;0,OR(AUTOEVENTO&lt;&gt;"manual",$M122&lt;&gt;1)),ROUND(OFFSET($P122,0,AJ$13),15-13*ORÇAMENTO!$AF$7)/$H122*OFFSET(ORÇAMENTO!$X$15,ROW(AJ122)-ROW(AJ$15),0),0)</f>
        <v>0</v>
      </c>
      <c r="AK122" s="632">
        <f ca="1">IF(AND($D122="Serviço",AK$12&lt;&gt;0,$H122&gt;0,OR(AUTOEVENTO&lt;&gt;"manual",$M122&lt;&gt;1)),ROUND(OFFSET($P122,0,AK$13),15-13*ORÇAMENTO!$AF$7)/$H122*OFFSET(ORÇAMENTO!$X$15,ROW(AK122)-ROW(AK$15),0),0)</f>
        <v>0</v>
      </c>
      <c r="AL122" s="632">
        <f ca="1">IF(AND($D122="Serviço",AL$12&lt;&gt;0,$H122&gt;0,OR(AUTOEVENTO&lt;&gt;"manual",$M122&lt;&gt;1)),ROUND(OFFSET($P122,0,AL$13),15-13*ORÇAMENTO!$AF$7)/$H122*OFFSET(ORÇAMENTO!$X$15,ROW(AL122)-ROW(AL$15),0),0)</f>
        <v>0</v>
      </c>
      <c r="AM122" s="632">
        <f ca="1">IF(AND($D122="Serviço",AM$12&lt;&gt;0,$H122&gt;0,OR(AUTOEVENTO&lt;&gt;"manual",$M122&lt;&gt;1)),ROUND(OFFSET($P122,0,AM$13),15-13*ORÇAMENTO!$AF$7)/$H122*OFFSET(ORÇAMENTO!$X$15,ROW(AM122)-ROW(AM$15),0),0)</f>
        <v>0</v>
      </c>
      <c r="AN122" s="632">
        <f ca="1">IF(AND($D122="Serviço",AN$12&lt;&gt;0,$H122&gt;0,OR(AUTOEVENTO&lt;&gt;"manual",$M122&lt;&gt;1)),ROUND(OFFSET($P122,0,AN$13),15-13*ORÇAMENTO!$AF$7)/$H122*OFFSET(ORÇAMENTO!$X$15,ROW(AN122)-ROW(AN$15),0),0)</f>
        <v>0</v>
      </c>
      <c r="AO122" s="632">
        <f ca="1">IF(AND($D122="Serviço",AO$12&lt;&gt;0,$H122&gt;0,OR(AUTOEVENTO&lt;&gt;"manual",$M122&lt;&gt;1)),ROUND(OFFSET($P122,0,AO$13),15-13*ORÇAMENTO!$AF$7)/$H122*OFFSET(ORÇAMENTO!$X$15,ROW(AO122)-ROW(AO$15),0),0)</f>
        <v>0</v>
      </c>
      <c r="AP122" s="632">
        <f ca="1">IF(AND($D122="Serviço",AP$12&lt;&gt;0,$H122&gt;0,OR(AUTOEVENTO&lt;&gt;"manual",$M122&lt;&gt;1)),ROUND(OFFSET($P122,0,AP$13),15-13*ORÇAMENTO!$AF$7)/$H122*OFFSET(ORÇAMENTO!$X$15,ROW(AP122)-ROW(AP$15),0),0)</f>
        <v>0</v>
      </c>
      <c r="AQ122" s="632">
        <f ca="1">IF(AND($D122="Serviço",AQ$12&lt;&gt;0,$H122&gt;0,OR(AUTOEVENTO&lt;&gt;"manual",$M122&lt;&gt;1)),ROUND(OFFSET($P122,0,AQ$13),15-13*ORÇAMENTO!$AF$7)/$H122*OFFSET(ORÇAMENTO!$X$15,ROW(AQ122)-ROW(AQ$15),0),0)</f>
        <v>0</v>
      </c>
      <c r="AR122" s="632">
        <f ca="1">IF(AND($D122="Serviço",AR$12&lt;&gt;0,$H122&gt;0,OR(AUTOEVENTO&lt;&gt;"manual",$M122&lt;&gt;1)),ROUND(OFFSET($P122,0,AR$13),15-13*ORÇAMENTO!$AF$7)/$H122*OFFSET(ORÇAMENTO!$X$15,ROW(AR122)-ROW(AR$15),0),0)</f>
        <v>0</v>
      </c>
      <c r="AS122" s="633">
        <f ca="1">IF(AND($D122="Serviço",AS$12&lt;&gt;0,$H122&gt;0,OR(AUTOEVENTO&lt;&gt;"manual",$M122&lt;&gt;1)),ROUND(OFFSET($P122,0,AS$13),15-13*ORÇAMENTO!$AF$7)/$H122*OFFSET(ORÇAMENTO!$X$15,ROW(AS122)-ROW(AS$15),0),0)</f>
        <v>0</v>
      </c>
      <c r="AT122" s="632">
        <f ca="1">IF(AND($D122="Serviço",AT$12&lt;&gt;0,$H122&gt;0,OR(AUTOEVENTO&lt;&gt;"manual",$M122&lt;&gt;1)),ROUND(OFFSET($P122,0,AT$13),15-13*ORÇAMENTO!$AF$7)/$H122*OFFSET(ORÇAMENTO!$X$15,ROW(AT122)-ROW(AT$15),0),0)</f>
        <v>0</v>
      </c>
      <c r="AU122" s="632">
        <f ca="1">IF(AND($D122="Serviço",AU$12&lt;&gt;0,$H122&gt;0,OR(AUTOEVENTO&lt;&gt;"manual",$M122&lt;&gt;1)),ROUND(OFFSET($P122,0,AU$13),15-13*ORÇAMENTO!$AF$7)/$H122*OFFSET(ORÇAMENTO!$X$15,ROW(AU122)-ROW(AU$15),0),0)</f>
        <v>0</v>
      </c>
      <c r="AV122" s="632">
        <f ca="1">IF(AND($D122="Serviço",AV$12&lt;&gt;0,$H122&gt;0,OR(AUTOEVENTO&lt;&gt;"manual",$M122&lt;&gt;1)),ROUND(OFFSET($P122,0,AV$13),15-13*ORÇAMENTO!$AF$7)/$H122*OFFSET(ORÇAMENTO!$X$15,ROW(AV122)-ROW(AV$15),0),0)</f>
        <v>0</v>
      </c>
      <c r="AW122" s="632">
        <f ca="1">IF(AND($D122="Serviço",AW$12&lt;&gt;0,$H122&gt;0,OR(AUTOEVENTO&lt;&gt;"manual",$M122&lt;&gt;1)),ROUND(OFFSET($P122,0,AW$13),15-13*ORÇAMENTO!$AF$7)/$H122*OFFSET(ORÇAMENTO!$X$15,ROW(AW122)-ROW(AW$15),0),0)</f>
        <v>0</v>
      </c>
      <c r="AX122" s="632">
        <f ca="1">IF(AND($D122="Serviço",AX$12&lt;&gt;0,$H122&gt;0,OR(AUTOEVENTO&lt;&gt;"manual",$M122&lt;&gt;1)),ROUND(OFFSET($P122,0,AX$13),15-13*ORÇAMENTO!$AF$7)/$H122*OFFSET(ORÇAMENTO!$X$15,ROW(AX122)-ROW(AX$15),0),0)</f>
        <v>0</v>
      </c>
      <c r="AY122" s="632">
        <f ca="1">IF(AND($D122="Serviço",AY$12&lt;&gt;0,$H122&gt;0,OR(AUTOEVENTO&lt;&gt;"manual",$M122&lt;&gt;1)),ROUND(OFFSET($P122,0,AY$13),15-13*ORÇAMENTO!$AF$7)/$H122*OFFSET(ORÇAMENTO!$X$15,ROW(AY122)-ROW(AY$15),0),0)</f>
        <v>0</v>
      </c>
      <c r="AZ122" s="632">
        <f ca="1">IF(AND($D122="Serviço",AZ$12&lt;&gt;0,$H122&gt;0,OR(AUTOEVENTO&lt;&gt;"manual",$M122&lt;&gt;1)),ROUND(OFFSET($P122,0,AZ$13),15-13*ORÇAMENTO!$AF$7)/$H122*OFFSET(ORÇAMENTO!$X$15,ROW(AZ122)-ROW(AZ$15),0),0)</f>
        <v>0</v>
      </c>
      <c r="BA122" s="633">
        <f ca="1">IF(AND($D122="Serviço",BA$12&lt;&gt;0,$H122&gt;0,OR(AUTOEVENTO&lt;&gt;"manual",$M122&lt;&gt;1)),ROUND(OFFSET($P122,0,BA$13),15-13*ORÇAMENTO!$AF$7)/$H122*OFFSET(ORÇAMENTO!$X$15,ROW(BA122)-ROW(BA$15),0),0)</f>
        <v>0</v>
      </c>
      <c r="BC122" s="215">
        <f ca="1">IF($D122&lt;&gt;"Serviço",0,IF(AND(AUTOEVENTO="Manual",$M122=1),0,IF(OFFSET(CRONOPLE!$F$14,$M122,BC$13)="",10^12,OFFSET(CRONOPLE!$F$14,$M122,BC$13))))</f>
        <v>0</v>
      </c>
      <c r="BD122" s="215">
        <f ca="1">IF($D122&lt;&gt;"Serviço",0,IF(AND(AUTOEVENTO="Manual",$M122=1),0,IF(OFFSET(CRONOPLE!$F$14,$M122,BD$13)="",10^12,OFFSET(CRONOPLE!$F$14,$M122,BD$13))))</f>
        <v>0</v>
      </c>
      <c r="BE122" s="215">
        <f ca="1">IF($D122&lt;&gt;"Serviço",0,IF(AND(AUTOEVENTO="Manual",$M122=1),0,IF(OFFSET(CRONOPLE!$F$14,$M122,BE$13)="",10^12,OFFSET(CRONOPLE!$F$14,$M122,BE$13))))</f>
        <v>0</v>
      </c>
      <c r="BF122" s="215">
        <f ca="1">IF($D122&lt;&gt;"Serviço",0,IF(AND(AUTOEVENTO="Manual",$M122=1),0,IF(OFFSET(CRONOPLE!$F$14,$M122,BF$13)="",10^12,OFFSET(CRONOPLE!$F$14,$M122,BF$13))))</f>
        <v>0</v>
      </c>
      <c r="BG122" s="215">
        <f ca="1">IF($D122&lt;&gt;"Serviço",0,IF(AND(AUTOEVENTO="Manual",$M122=1),0,IF(OFFSET(CRONOPLE!$F$14,$M122,BG$13)="",10^12,OFFSET(CRONOPLE!$F$14,$M122,BG$13))))</f>
        <v>0</v>
      </c>
      <c r="BH122" s="215">
        <f ca="1">IF($D122&lt;&gt;"Serviço",0,IF(AND(AUTOEVENTO="Manual",$M122=1),0,IF(OFFSET(CRONOPLE!$F$14,$M122,BH$13)="",10^12,OFFSET(CRONOPLE!$F$14,$M122,BH$13))))</f>
        <v>0</v>
      </c>
      <c r="BI122" s="215">
        <f ca="1">IF($D122&lt;&gt;"Serviço",0,IF(AND(AUTOEVENTO="Manual",$M122=1),0,IF(OFFSET(CRONOPLE!$F$14,$M122,BI$13)="",10^12,OFFSET(CRONOPLE!$F$14,$M122,BI$13))))</f>
        <v>0</v>
      </c>
      <c r="BJ122" s="215">
        <f ca="1">IF($D122&lt;&gt;"Serviço",0,IF(AND(AUTOEVENTO="Manual",$M122=1),0,IF(OFFSET(CRONOPLE!$F$14,$M122,BJ$13)="",10^12,OFFSET(CRONOPLE!$F$14,$M122,BJ$13))))</f>
        <v>0</v>
      </c>
      <c r="BK122" s="215">
        <f ca="1">IF($D122&lt;&gt;"Serviço",0,IF(AND(AUTOEVENTO="Manual",$M122=1),0,IF(OFFSET(CRONOPLE!$F$14,$M122,BK$13)="",10^12,OFFSET(CRONOPLE!$F$14,$M122,BK$13))))</f>
        <v>0</v>
      </c>
      <c r="BL122" s="215">
        <f ca="1">IF($D122&lt;&gt;"Serviço",0,IF(AND(AUTOEVENTO="Manual",$M122=1),0,IF(OFFSET(CRONOPLE!$F$14,$M122,BL$13)="",10^12,OFFSET(CRONOPLE!$F$14,$M122,BL$13))))</f>
        <v>0</v>
      </c>
      <c r="BM122" s="215">
        <f ca="1">IF($D122&lt;&gt;"Serviço",0,IF(AND(AUTOEVENTO="Manual",$M122=1),0,IF(OFFSET(CRONOPLE!$F$14,$M122,BM$13)="",10^12,OFFSET(CRONOPLE!$F$14,$M122,BM$13))))</f>
        <v>0</v>
      </c>
      <c r="BN122" s="215">
        <f ca="1">IF($D122&lt;&gt;"Serviço",0,IF(AND(AUTOEVENTO="Manual",$M122=1),0,IF(OFFSET(CRONOPLE!$F$14,$M122,BN$13)="",10^12,OFFSET(CRONOPLE!$F$14,$M122,BN$13))))</f>
        <v>0</v>
      </c>
      <c r="BO122" s="215">
        <f ca="1">IF($D122&lt;&gt;"Serviço",0,IF(AND(AUTOEVENTO="Manual",$M122=1),0,IF(OFFSET(CRONOPLE!$F$14,$M122,BO$13)="",10^12,OFFSET(CRONOPLE!$F$14,$M122,BO$13))))</f>
        <v>0</v>
      </c>
      <c r="BP122" s="215">
        <f ca="1">IF($D122&lt;&gt;"Serviço",0,IF(AND(AUTOEVENTO="Manual",$M122=1),0,IF(OFFSET(CRONOPLE!$F$14,$M122,BP$13)="",10^12,OFFSET(CRONOPLE!$F$14,$M122,BP$13))))</f>
        <v>0</v>
      </c>
      <c r="BQ122" s="215">
        <f ca="1">IF($D122&lt;&gt;"Serviço",0,IF(AND(AUTOEVENTO="Manual",$M122=1),0,IF(OFFSET(CRONOPLE!$F$14,$M122,BQ$13)="",10^12,OFFSET(CRONOPLE!$F$14,$M122,BQ$13))))</f>
        <v>0</v>
      </c>
      <c r="BR122" s="215">
        <f ca="1">IF($D122&lt;&gt;"Serviço",0,IF(AND(AUTOEVENTO="Manual",$M122=1),0,IF(OFFSET(CRONOPLE!$F$14,$M122,BR$13)="",10^12,OFFSET(CRONOPLE!$F$14,$M122,BR$13))))</f>
        <v>0</v>
      </c>
      <c r="BS122" s="215">
        <f ca="1">IF($D122&lt;&gt;"Serviço",0,IF(AND(AUTOEVENTO="Manual",$M122=1),0,IF(OFFSET(CRONOPLE!$F$14,$M122,BS$13)="",10^12,OFFSET(CRONOPLE!$F$14,$M122,BS$13))))</f>
        <v>0</v>
      </c>
      <c r="BT122" s="215">
        <f ca="1">IF($D122&lt;&gt;"Serviço",0,IF(AND(AUTOEVENTO="Manual",$M122=1),0,IF(OFFSET(CRONOPLE!$F$14,$M122,BT$13)="",10^12,OFFSET(CRONOPLE!$F$14,$M122,BT$13))))</f>
        <v>0</v>
      </c>
      <c r="BV122" s="216">
        <f ca="1">IF($D122&lt;&gt;"Serviço",0,IF(OR(AND(AUTOEVENTO="Manual",$M122=1),$M122&gt;(ROW(PLE.lastrow)-ROW(PLE.firstrow))),0,IF(OFFSET(PLE!$G$14,$M122,BV$13)="",10^12,OFFSET(PLE!$G$14,$M122,BV$13))))</f>
        <v>0</v>
      </c>
      <c r="BW122" s="216">
        <f ca="1">IF($D122&lt;&gt;"Serviço",0,IF(OR(AND(AUTOEVENTO="Manual",$M122=1),$M122&gt;(ROW(PLE.lastrow)-ROW(PLE.firstrow))),0,IF(OFFSET(PLE!$G$14,$M122,BW$13)="",10^12,OFFSET(PLE!$G$14,$M122,BW$13))))</f>
        <v>0</v>
      </c>
      <c r="BX122" s="216">
        <f ca="1">IF($D122&lt;&gt;"Serviço",0,IF(OR(AND(AUTOEVENTO="Manual",$M122=1),$M122&gt;(ROW(PLE.lastrow)-ROW(PLE.firstrow))),0,IF(OFFSET(PLE!$G$14,$M122,BX$13)="",10^12,OFFSET(PLE!$G$14,$M122,BX$13))))</f>
        <v>0</v>
      </c>
      <c r="BY122" s="216">
        <f ca="1">IF($D122&lt;&gt;"Serviço",0,IF(OR(AND(AUTOEVENTO="Manual",$M122=1),$M122&gt;(ROW(PLE.lastrow)-ROW(PLE.firstrow))),0,IF(OFFSET(PLE!$G$14,$M122,BY$13)="",10^12,OFFSET(PLE!$G$14,$M122,BY$13))))</f>
        <v>0</v>
      </c>
      <c r="BZ122" s="216">
        <f ca="1">IF($D122&lt;&gt;"Serviço",0,IF(OR(AND(AUTOEVENTO="Manual",$M122=1),$M122&gt;(ROW(PLE.lastrow)-ROW(PLE.firstrow))),0,IF(OFFSET(PLE!$G$14,$M122,BZ$13)="",10^12,OFFSET(PLE!$G$14,$M122,BZ$13))))</f>
        <v>0</v>
      </c>
      <c r="CA122" s="216">
        <f ca="1">IF($D122&lt;&gt;"Serviço",0,IF(OR(AND(AUTOEVENTO="Manual",$M122=1),$M122&gt;(ROW(PLE.lastrow)-ROW(PLE.firstrow))),0,IF(OFFSET(PLE!$G$14,$M122,CA$13)="",10^12,OFFSET(PLE!$G$14,$M122,CA$13))))</f>
        <v>0</v>
      </c>
      <c r="CB122" s="216">
        <f ca="1">IF($D122&lt;&gt;"Serviço",0,IF(OR(AND(AUTOEVENTO="Manual",$M122=1),$M122&gt;(ROW(PLE.lastrow)-ROW(PLE.firstrow))),0,IF(OFFSET(PLE!$G$14,$M122,CB$13)="",10^12,OFFSET(PLE!$G$14,$M122,CB$13))))</f>
        <v>0</v>
      </c>
      <c r="CC122" s="216">
        <f ca="1">IF($D122&lt;&gt;"Serviço",0,IF(OR(AND(AUTOEVENTO="Manual",$M122=1),$M122&gt;(ROW(PLE.lastrow)-ROW(PLE.firstrow))),0,IF(OFFSET(PLE!$G$14,$M122,CC$13)="",10^12,OFFSET(PLE!$G$14,$M122,CC$13))))</f>
        <v>0</v>
      </c>
      <c r="CD122" s="216">
        <f ca="1">IF($D122&lt;&gt;"Serviço",0,IF(OR(AND(AUTOEVENTO="Manual",$M122=1),$M122&gt;(ROW(PLE.lastrow)-ROW(PLE.firstrow))),0,IF(OFFSET(PLE!$G$14,$M122,CD$13)="",10^12,OFFSET(PLE!$G$14,$M122,CD$13))))</f>
        <v>0</v>
      </c>
      <c r="CE122" s="216">
        <f ca="1">IF($D122&lt;&gt;"Serviço",0,IF(OR(AND(AUTOEVENTO="Manual",$M122=1),$M122&gt;(ROW(PLE.lastrow)-ROW(PLE.firstrow))),0,IF(OFFSET(PLE!$G$14,$M122,CE$13)="",10^12,OFFSET(PLE!$G$14,$M122,CE$13))))</f>
        <v>0</v>
      </c>
      <c r="CF122" s="216">
        <f ca="1">IF($D122&lt;&gt;"Serviço",0,IF(OR(AND(AUTOEVENTO="Manual",$M122=1),$M122&gt;(ROW(PLE.lastrow)-ROW(PLE.firstrow))),0,IF(OFFSET(PLE!$G$14,$M122,CF$13)="",10^12,OFFSET(PLE!$G$14,$M122,CF$13))))</f>
        <v>0</v>
      </c>
      <c r="CG122" s="216">
        <f ca="1">IF($D122&lt;&gt;"Serviço",0,IF(OR(AND(AUTOEVENTO="Manual",$M122=1),$M122&gt;(ROW(PLE.lastrow)-ROW(PLE.firstrow))),0,IF(OFFSET(PLE!$G$14,$M122,CG$13)="",10^12,OFFSET(PLE!$G$14,$M122,CG$13))))</f>
        <v>0</v>
      </c>
      <c r="CH122" s="216">
        <f ca="1">IF($D122&lt;&gt;"Serviço",0,IF(OR(AND(AUTOEVENTO="Manual",$M122=1),$M122&gt;(ROW(PLE.lastrow)-ROW(PLE.firstrow))),0,IF(OFFSET(PLE!$G$14,$M122,CH$13)="",10^12,OFFSET(PLE!$G$14,$M122,CH$13))))</f>
        <v>0</v>
      </c>
      <c r="CI122" s="216">
        <f ca="1">IF($D122&lt;&gt;"Serviço",0,IF(OR(AND(AUTOEVENTO="Manual",$M122=1),$M122&gt;(ROW(PLE.lastrow)-ROW(PLE.firstrow))),0,IF(OFFSET(PLE!$G$14,$M122,CI$13)="",10^12,OFFSET(PLE!$G$14,$M122,CI$13))))</f>
        <v>0</v>
      </c>
      <c r="CJ122" s="216">
        <f ca="1">IF($D122&lt;&gt;"Serviço",0,IF(OR(AND(AUTOEVENTO="Manual",$M122=1),$M122&gt;(ROW(PLE.lastrow)-ROW(PLE.firstrow))),0,IF(OFFSET(PLE!$G$14,$M122,CJ$13)="",10^12,OFFSET(PLE!$G$14,$M122,CJ$13))))</f>
        <v>0</v>
      </c>
      <c r="CK122" s="216">
        <f ca="1">IF($D122&lt;&gt;"Serviço",0,IF(OR(AND(AUTOEVENTO="Manual",$M122=1),$M122&gt;(ROW(PLE.lastrow)-ROW(PLE.firstrow))),0,IF(OFFSET(PLE!$G$14,$M122,CK$13)="",10^12,OFFSET(PLE!$G$14,$M122,CK$13))))</f>
        <v>0</v>
      </c>
      <c r="CL122" s="216">
        <f ca="1">IF($D122&lt;&gt;"Serviço",0,IF(OR(AND(AUTOEVENTO="Manual",$M122=1),$M122&gt;(ROW(PLE.lastrow)-ROW(PLE.firstrow))),0,IF(OFFSET(PLE!$G$14,$M122,CL$13)="",10^12,OFFSET(PLE!$G$14,$M122,CL$13))))</f>
        <v>0</v>
      </c>
      <c r="CM122" s="216">
        <f ca="1">IF($D122&lt;&gt;"Serviço",0,IF(OR(AND(AUTOEVENTO="Manual",$M122=1),$M122&gt;(ROW(PLE.lastrow)-ROW(PLE.firstrow))),0,IF(OFFSET(PLE!$G$14,$M122,CM$13)="",10^12,OFFSET(PLE!$G$14,$M122,CM$13))))</f>
        <v>0</v>
      </c>
    </row>
    <row r="123" spans="1:91" ht="13.2" x14ac:dyDescent="0.25">
      <c r="A123" s="9">
        <f t="shared" ca="1" si="10"/>
        <v>0</v>
      </c>
      <c r="B123" s="9" t="str">
        <f ca="1">OFFSET(ORÇAMENTO!C$15,ROW(B123)-ROW(B$15),0)</f>
        <v>S</v>
      </c>
      <c r="C123" s="9" t="str">
        <f ca="1">OFFSET(ORÇAMENTO!L$15,ROW(C123)-ROW(C$15),0)</f>
        <v/>
      </c>
      <c r="D123" s="145" t="str">
        <f ca="1">OFFSET(ORÇAMENTO!N$15,ROW(D123)-ROW(D$15),0)</f>
        <v>Serviço</v>
      </c>
      <c r="E123" s="205" t="str">
        <f ca="1">OFFSET(ORÇAMENTO!O$15,ROW(E123)-ROW(E$15),0)</f>
        <v>-</v>
      </c>
      <c r="F123" s="206" t="str">
        <f ca="1">OFFSET(ORÇAMENTO!R$15,ROW(F123)-ROW(F$15),0)</f>
        <v>(abra o arquivo 'Referência 05-2024.xls)</v>
      </c>
      <c r="G123" s="207" t="str">
        <f ca="1">IF($D123&lt;&gt;"Serviço","",OFFSET(ORÇAMENTO!S$15,ROW(G123)-ROW(G$15),0))</f>
        <v>-</v>
      </c>
      <c r="H123" s="151">
        <f ca="1">IF($D123&lt;&gt;"Serviço",0,IF(ACOMPANHAMENTO="BM",ROUND(OFFSET(ORÇAMENTO!AJ$15,ROW(H123)-ROW(H$15),0),15-13*ORÇAMENTO!$AF$7),SUMPRODUCT(($Q$12:$AI$12&lt;&gt;"")*ROUND($Q123:$AI123,15-13*ORÇAMENTO!$AF$7))))</f>
        <v>1055.77</v>
      </c>
      <c r="I123" s="650"/>
      <c r="K123" s="208"/>
      <c r="L123" s="209" t="s">
        <v>257</v>
      </c>
      <c r="M123" s="210">
        <f ca="1">IF($D123&lt;&gt;"Serviço","",IF(AUTOEVENTO="manual",$A123,IF(ISERROR(MATCH($A123,$A$15:OFFSET($A123,-1,0),0)),MAX($M$15:OFFSET(M123,-1,0))+1,INDEX($M$15:OFFSET(M123,-1,0),MATCH($A123,$A$15:OFFSET($A123,-1,0),0)))))</f>
        <v>0</v>
      </c>
      <c r="N123" s="211" t="str">
        <f ca="1">IF($D123&lt;&gt;"Serviço","",IF(AUTOEVENTO="Manual",IF($A123=0,"&lt;-- defina o número do agrupador",OFFSET(EVENTOS!$D$14,$A123,0)),OFFSET($F$15,$A123,0)))</f>
        <v>&lt;-- defina o número do agrupador</v>
      </c>
      <c r="O123" s="212"/>
      <c r="Q123" s="212"/>
      <c r="R123" s="213"/>
      <c r="S123" s="213"/>
      <c r="T123" s="213"/>
      <c r="U123" s="213"/>
      <c r="V123" s="213"/>
      <c r="W123" s="213"/>
      <c r="X123" s="213"/>
      <c r="Y123" s="213"/>
      <c r="Z123" s="214"/>
      <c r="AA123" s="213"/>
      <c r="AB123" s="213"/>
      <c r="AC123" s="213"/>
      <c r="AD123" s="213"/>
      <c r="AE123" s="213"/>
      <c r="AF123" s="213"/>
      <c r="AG123" s="213"/>
      <c r="AH123" s="214"/>
      <c r="AJ123" s="631">
        <f ca="1">IF(AND($D123="Serviço",AJ$12&lt;&gt;0,$H123&gt;0,OR(AUTOEVENTO&lt;&gt;"manual",$M123&lt;&gt;1)),ROUND(OFFSET($P123,0,AJ$13),15-13*ORÇAMENTO!$AF$7)/$H123*OFFSET(ORÇAMENTO!$X$15,ROW(AJ123)-ROW(AJ$15),0),0)</f>
        <v>0</v>
      </c>
      <c r="AK123" s="632">
        <f ca="1">IF(AND($D123="Serviço",AK$12&lt;&gt;0,$H123&gt;0,OR(AUTOEVENTO&lt;&gt;"manual",$M123&lt;&gt;1)),ROUND(OFFSET($P123,0,AK$13),15-13*ORÇAMENTO!$AF$7)/$H123*OFFSET(ORÇAMENTO!$X$15,ROW(AK123)-ROW(AK$15),0),0)</f>
        <v>0</v>
      </c>
      <c r="AL123" s="632">
        <f ca="1">IF(AND($D123="Serviço",AL$12&lt;&gt;0,$H123&gt;0,OR(AUTOEVENTO&lt;&gt;"manual",$M123&lt;&gt;1)),ROUND(OFFSET($P123,0,AL$13),15-13*ORÇAMENTO!$AF$7)/$H123*OFFSET(ORÇAMENTO!$X$15,ROW(AL123)-ROW(AL$15),0),0)</f>
        <v>0</v>
      </c>
      <c r="AM123" s="632">
        <f ca="1">IF(AND($D123="Serviço",AM$12&lt;&gt;0,$H123&gt;0,OR(AUTOEVENTO&lt;&gt;"manual",$M123&lt;&gt;1)),ROUND(OFFSET($P123,0,AM$13),15-13*ORÇAMENTO!$AF$7)/$H123*OFFSET(ORÇAMENTO!$X$15,ROW(AM123)-ROW(AM$15),0),0)</f>
        <v>0</v>
      </c>
      <c r="AN123" s="632">
        <f ca="1">IF(AND($D123="Serviço",AN$12&lt;&gt;0,$H123&gt;0,OR(AUTOEVENTO&lt;&gt;"manual",$M123&lt;&gt;1)),ROUND(OFFSET($P123,0,AN$13),15-13*ORÇAMENTO!$AF$7)/$H123*OFFSET(ORÇAMENTO!$X$15,ROW(AN123)-ROW(AN$15),0),0)</f>
        <v>0</v>
      </c>
      <c r="AO123" s="632">
        <f ca="1">IF(AND($D123="Serviço",AO$12&lt;&gt;0,$H123&gt;0,OR(AUTOEVENTO&lt;&gt;"manual",$M123&lt;&gt;1)),ROUND(OFFSET($P123,0,AO$13),15-13*ORÇAMENTO!$AF$7)/$H123*OFFSET(ORÇAMENTO!$X$15,ROW(AO123)-ROW(AO$15),0),0)</f>
        <v>0</v>
      </c>
      <c r="AP123" s="632">
        <f ca="1">IF(AND($D123="Serviço",AP$12&lt;&gt;0,$H123&gt;0,OR(AUTOEVENTO&lt;&gt;"manual",$M123&lt;&gt;1)),ROUND(OFFSET($P123,0,AP$13),15-13*ORÇAMENTO!$AF$7)/$H123*OFFSET(ORÇAMENTO!$X$15,ROW(AP123)-ROW(AP$15),0),0)</f>
        <v>0</v>
      </c>
      <c r="AQ123" s="632">
        <f ca="1">IF(AND($D123="Serviço",AQ$12&lt;&gt;0,$H123&gt;0,OR(AUTOEVENTO&lt;&gt;"manual",$M123&lt;&gt;1)),ROUND(OFFSET($P123,0,AQ$13),15-13*ORÇAMENTO!$AF$7)/$H123*OFFSET(ORÇAMENTO!$X$15,ROW(AQ123)-ROW(AQ$15),0),0)</f>
        <v>0</v>
      </c>
      <c r="AR123" s="632">
        <f ca="1">IF(AND($D123="Serviço",AR$12&lt;&gt;0,$H123&gt;0,OR(AUTOEVENTO&lt;&gt;"manual",$M123&lt;&gt;1)),ROUND(OFFSET($P123,0,AR$13),15-13*ORÇAMENTO!$AF$7)/$H123*OFFSET(ORÇAMENTO!$X$15,ROW(AR123)-ROW(AR$15),0),0)</f>
        <v>0</v>
      </c>
      <c r="AS123" s="633">
        <f ca="1">IF(AND($D123="Serviço",AS$12&lt;&gt;0,$H123&gt;0,OR(AUTOEVENTO&lt;&gt;"manual",$M123&lt;&gt;1)),ROUND(OFFSET($P123,0,AS$13),15-13*ORÇAMENTO!$AF$7)/$H123*OFFSET(ORÇAMENTO!$X$15,ROW(AS123)-ROW(AS$15),0),0)</f>
        <v>0</v>
      </c>
      <c r="AT123" s="632">
        <f ca="1">IF(AND($D123="Serviço",AT$12&lt;&gt;0,$H123&gt;0,OR(AUTOEVENTO&lt;&gt;"manual",$M123&lt;&gt;1)),ROUND(OFFSET($P123,0,AT$13),15-13*ORÇAMENTO!$AF$7)/$H123*OFFSET(ORÇAMENTO!$X$15,ROW(AT123)-ROW(AT$15),0),0)</f>
        <v>0</v>
      </c>
      <c r="AU123" s="632">
        <f ca="1">IF(AND($D123="Serviço",AU$12&lt;&gt;0,$H123&gt;0,OR(AUTOEVENTO&lt;&gt;"manual",$M123&lt;&gt;1)),ROUND(OFFSET($P123,0,AU$13),15-13*ORÇAMENTO!$AF$7)/$H123*OFFSET(ORÇAMENTO!$X$15,ROW(AU123)-ROW(AU$15),0),0)</f>
        <v>0</v>
      </c>
      <c r="AV123" s="632">
        <f ca="1">IF(AND($D123="Serviço",AV$12&lt;&gt;0,$H123&gt;0,OR(AUTOEVENTO&lt;&gt;"manual",$M123&lt;&gt;1)),ROUND(OFFSET($P123,0,AV$13),15-13*ORÇAMENTO!$AF$7)/$H123*OFFSET(ORÇAMENTO!$X$15,ROW(AV123)-ROW(AV$15),0),0)</f>
        <v>0</v>
      </c>
      <c r="AW123" s="632">
        <f ca="1">IF(AND($D123="Serviço",AW$12&lt;&gt;0,$H123&gt;0,OR(AUTOEVENTO&lt;&gt;"manual",$M123&lt;&gt;1)),ROUND(OFFSET($P123,0,AW$13),15-13*ORÇAMENTO!$AF$7)/$H123*OFFSET(ORÇAMENTO!$X$15,ROW(AW123)-ROW(AW$15),0),0)</f>
        <v>0</v>
      </c>
      <c r="AX123" s="632">
        <f ca="1">IF(AND($D123="Serviço",AX$12&lt;&gt;0,$H123&gt;0,OR(AUTOEVENTO&lt;&gt;"manual",$M123&lt;&gt;1)),ROUND(OFFSET($P123,0,AX$13),15-13*ORÇAMENTO!$AF$7)/$H123*OFFSET(ORÇAMENTO!$X$15,ROW(AX123)-ROW(AX$15),0),0)</f>
        <v>0</v>
      </c>
      <c r="AY123" s="632">
        <f ca="1">IF(AND($D123="Serviço",AY$12&lt;&gt;0,$H123&gt;0,OR(AUTOEVENTO&lt;&gt;"manual",$M123&lt;&gt;1)),ROUND(OFFSET($P123,0,AY$13),15-13*ORÇAMENTO!$AF$7)/$H123*OFFSET(ORÇAMENTO!$X$15,ROW(AY123)-ROW(AY$15),0),0)</f>
        <v>0</v>
      </c>
      <c r="AZ123" s="632">
        <f ca="1">IF(AND($D123="Serviço",AZ$12&lt;&gt;0,$H123&gt;0,OR(AUTOEVENTO&lt;&gt;"manual",$M123&lt;&gt;1)),ROUND(OFFSET($P123,0,AZ$13),15-13*ORÇAMENTO!$AF$7)/$H123*OFFSET(ORÇAMENTO!$X$15,ROW(AZ123)-ROW(AZ$15),0),0)</f>
        <v>0</v>
      </c>
      <c r="BA123" s="633">
        <f ca="1">IF(AND($D123="Serviço",BA$12&lt;&gt;0,$H123&gt;0,OR(AUTOEVENTO&lt;&gt;"manual",$M123&lt;&gt;1)),ROUND(OFFSET($P123,0,BA$13),15-13*ORÇAMENTO!$AF$7)/$H123*OFFSET(ORÇAMENTO!$X$15,ROW(BA123)-ROW(BA$15),0),0)</f>
        <v>0</v>
      </c>
      <c r="BC123" s="215">
        <f ca="1">IF($D123&lt;&gt;"Serviço",0,IF(AND(AUTOEVENTO="Manual",$M123=1),0,IF(OFFSET(CRONOPLE!$F$14,$M123,BC$13)="",10^12,OFFSET(CRONOPLE!$F$14,$M123,BC$13))))</f>
        <v>1000000000000</v>
      </c>
      <c r="BD123" s="215">
        <f ca="1">IF($D123&lt;&gt;"Serviço",0,IF(AND(AUTOEVENTO="Manual",$M123=1),0,IF(OFFSET(CRONOPLE!$F$14,$M123,BD$13)="",10^12,OFFSET(CRONOPLE!$F$14,$M123,BD$13))))</f>
        <v>1000000000000</v>
      </c>
      <c r="BE123" s="215">
        <f ca="1">IF($D123&lt;&gt;"Serviço",0,IF(AND(AUTOEVENTO="Manual",$M123=1),0,IF(OFFSET(CRONOPLE!$F$14,$M123,BE$13)="",10^12,OFFSET(CRONOPLE!$F$14,$M123,BE$13))))</f>
        <v>1000000000000</v>
      </c>
      <c r="BF123" s="215">
        <f ca="1">IF($D123&lt;&gt;"Serviço",0,IF(AND(AUTOEVENTO="Manual",$M123=1),0,IF(OFFSET(CRONOPLE!$F$14,$M123,BF$13)="",10^12,OFFSET(CRONOPLE!$F$14,$M123,BF$13))))</f>
        <v>1000000000000</v>
      </c>
      <c r="BG123" s="215">
        <f ca="1">IF($D123&lt;&gt;"Serviço",0,IF(AND(AUTOEVENTO="Manual",$M123=1),0,IF(OFFSET(CRONOPLE!$F$14,$M123,BG$13)="",10^12,OFFSET(CRONOPLE!$F$14,$M123,BG$13))))</f>
        <v>1000000000000</v>
      </c>
      <c r="BH123" s="215">
        <f ca="1">IF($D123&lt;&gt;"Serviço",0,IF(AND(AUTOEVENTO="Manual",$M123=1),0,IF(OFFSET(CRONOPLE!$F$14,$M123,BH$13)="",10^12,OFFSET(CRONOPLE!$F$14,$M123,BH$13))))</f>
        <v>1000000000000</v>
      </c>
      <c r="BI123" s="215">
        <f ca="1">IF($D123&lt;&gt;"Serviço",0,IF(AND(AUTOEVENTO="Manual",$M123=1),0,IF(OFFSET(CRONOPLE!$F$14,$M123,BI$13)="",10^12,OFFSET(CRONOPLE!$F$14,$M123,BI$13))))</f>
        <v>1000000000000</v>
      </c>
      <c r="BJ123" s="215">
        <f ca="1">IF($D123&lt;&gt;"Serviço",0,IF(AND(AUTOEVENTO="Manual",$M123=1),0,IF(OFFSET(CRONOPLE!$F$14,$M123,BJ$13)="",10^12,OFFSET(CRONOPLE!$F$14,$M123,BJ$13))))</f>
        <v>1000000000000</v>
      </c>
      <c r="BK123" s="215">
        <f ca="1">IF($D123&lt;&gt;"Serviço",0,IF(AND(AUTOEVENTO="Manual",$M123=1),0,IF(OFFSET(CRONOPLE!$F$14,$M123,BK$13)="",10^12,OFFSET(CRONOPLE!$F$14,$M123,BK$13))))</f>
        <v>1000000000000</v>
      </c>
      <c r="BL123" s="215">
        <f ca="1">IF($D123&lt;&gt;"Serviço",0,IF(AND(AUTOEVENTO="Manual",$M123=1),0,IF(OFFSET(CRONOPLE!$F$14,$M123,BL$13)="",10^12,OFFSET(CRONOPLE!$F$14,$M123,BL$13))))</f>
        <v>1000000000000</v>
      </c>
      <c r="BM123" s="215">
        <f ca="1">IF($D123&lt;&gt;"Serviço",0,IF(AND(AUTOEVENTO="Manual",$M123=1),0,IF(OFFSET(CRONOPLE!$F$14,$M123,BM$13)="",10^12,OFFSET(CRONOPLE!$F$14,$M123,BM$13))))</f>
        <v>1000000000000</v>
      </c>
      <c r="BN123" s="215">
        <f ca="1">IF($D123&lt;&gt;"Serviço",0,IF(AND(AUTOEVENTO="Manual",$M123=1),0,IF(OFFSET(CRONOPLE!$F$14,$M123,BN$13)="",10^12,OFFSET(CRONOPLE!$F$14,$M123,BN$13))))</f>
        <v>1000000000000</v>
      </c>
      <c r="BO123" s="215">
        <f ca="1">IF($D123&lt;&gt;"Serviço",0,IF(AND(AUTOEVENTO="Manual",$M123=1),0,IF(OFFSET(CRONOPLE!$F$14,$M123,BO$13)="",10^12,OFFSET(CRONOPLE!$F$14,$M123,BO$13))))</f>
        <v>1000000000000</v>
      </c>
      <c r="BP123" s="215">
        <f ca="1">IF($D123&lt;&gt;"Serviço",0,IF(AND(AUTOEVENTO="Manual",$M123=1),0,IF(OFFSET(CRONOPLE!$F$14,$M123,BP$13)="",10^12,OFFSET(CRONOPLE!$F$14,$M123,BP$13))))</f>
        <v>1000000000000</v>
      </c>
      <c r="BQ123" s="215">
        <f ca="1">IF($D123&lt;&gt;"Serviço",0,IF(AND(AUTOEVENTO="Manual",$M123=1),0,IF(OFFSET(CRONOPLE!$F$14,$M123,BQ$13)="",10^12,OFFSET(CRONOPLE!$F$14,$M123,BQ$13))))</f>
        <v>1000000000000</v>
      </c>
      <c r="BR123" s="215">
        <f ca="1">IF($D123&lt;&gt;"Serviço",0,IF(AND(AUTOEVENTO="Manual",$M123=1),0,IF(OFFSET(CRONOPLE!$F$14,$M123,BR$13)="",10^12,OFFSET(CRONOPLE!$F$14,$M123,BR$13))))</f>
        <v>1000000000000</v>
      </c>
      <c r="BS123" s="215">
        <f ca="1">IF($D123&lt;&gt;"Serviço",0,IF(AND(AUTOEVENTO="Manual",$M123=1),0,IF(OFFSET(CRONOPLE!$F$14,$M123,BS$13)="",10^12,OFFSET(CRONOPLE!$F$14,$M123,BS$13))))</f>
        <v>1000000000000</v>
      </c>
      <c r="BT123" s="215">
        <f ca="1">IF($D123&lt;&gt;"Serviço",0,IF(AND(AUTOEVENTO="Manual",$M123=1),0,IF(OFFSET(CRONOPLE!$F$14,$M123,BT$13)="",10^12,OFFSET(CRONOPLE!$F$14,$M123,BT$13))))</f>
        <v>1000000000000</v>
      </c>
      <c r="BV123" s="216">
        <f ca="1">IF($D123&lt;&gt;"Serviço",0,IF(OR(AND(AUTOEVENTO="Manual",$M123=1),$M123&gt;(ROW(PLE.lastrow)-ROW(PLE.firstrow))),0,IF(OFFSET(PLE!$G$14,$M123,BV$13)="",10^12,OFFSET(PLE!$G$14,$M123,BV$13))))</f>
        <v>1000000000000</v>
      </c>
      <c r="BW123" s="216">
        <f ca="1">IF($D123&lt;&gt;"Serviço",0,IF(OR(AND(AUTOEVENTO="Manual",$M123=1),$M123&gt;(ROW(PLE.lastrow)-ROW(PLE.firstrow))),0,IF(OFFSET(PLE!$G$14,$M123,BW$13)="",10^12,OFFSET(PLE!$G$14,$M123,BW$13))))</f>
        <v>1000000000000</v>
      </c>
      <c r="BX123" s="216">
        <f ca="1">IF($D123&lt;&gt;"Serviço",0,IF(OR(AND(AUTOEVENTO="Manual",$M123=1),$M123&gt;(ROW(PLE.lastrow)-ROW(PLE.firstrow))),0,IF(OFFSET(PLE!$G$14,$M123,BX$13)="",10^12,OFFSET(PLE!$G$14,$M123,BX$13))))</f>
        <v>1000000000000</v>
      </c>
      <c r="BY123" s="216">
        <f ca="1">IF($D123&lt;&gt;"Serviço",0,IF(OR(AND(AUTOEVENTO="Manual",$M123=1),$M123&gt;(ROW(PLE.lastrow)-ROW(PLE.firstrow))),0,IF(OFFSET(PLE!$G$14,$M123,BY$13)="",10^12,OFFSET(PLE!$G$14,$M123,BY$13))))</f>
        <v>1000000000000</v>
      </c>
      <c r="BZ123" s="216">
        <f ca="1">IF($D123&lt;&gt;"Serviço",0,IF(OR(AND(AUTOEVENTO="Manual",$M123=1),$M123&gt;(ROW(PLE.lastrow)-ROW(PLE.firstrow))),0,IF(OFFSET(PLE!$G$14,$M123,BZ$13)="",10^12,OFFSET(PLE!$G$14,$M123,BZ$13))))</f>
        <v>1000000000000</v>
      </c>
      <c r="CA123" s="216">
        <f ca="1">IF($D123&lt;&gt;"Serviço",0,IF(OR(AND(AUTOEVENTO="Manual",$M123=1),$M123&gt;(ROW(PLE.lastrow)-ROW(PLE.firstrow))),0,IF(OFFSET(PLE!$G$14,$M123,CA$13)="",10^12,OFFSET(PLE!$G$14,$M123,CA$13))))</f>
        <v>1000000000000</v>
      </c>
      <c r="CB123" s="216">
        <f ca="1">IF($D123&lt;&gt;"Serviço",0,IF(OR(AND(AUTOEVENTO="Manual",$M123=1),$M123&gt;(ROW(PLE.lastrow)-ROW(PLE.firstrow))),0,IF(OFFSET(PLE!$G$14,$M123,CB$13)="",10^12,OFFSET(PLE!$G$14,$M123,CB$13))))</f>
        <v>1000000000000</v>
      </c>
      <c r="CC123" s="216">
        <f ca="1">IF($D123&lt;&gt;"Serviço",0,IF(OR(AND(AUTOEVENTO="Manual",$M123=1),$M123&gt;(ROW(PLE.lastrow)-ROW(PLE.firstrow))),0,IF(OFFSET(PLE!$G$14,$M123,CC$13)="",10^12,OFFSET(PLE!$G$14,$M123,CC$13))))</f>
        <v>1000000000000</v>
      </c>
      <c r="CD123" s="216">
        <f ca="1">IF($D123&lt;&gt;"Serviço",0,IF(OR(AND(AUTOEVENTO="Manual",$M123=1),$M123&gt;(ROW(PLE.lastrow)-ROW(PLE.firstrow))),0,IF(OFFSET(PLE!$G$14,$M123,CD$13)="",10^12,OFFSET(PLE!$G$14,$M123,CD$13))))</f>
        <v>1000000000000</v>
      </c>
      <c r="CE123" s="216">
        <f ca="1">IF($D123&lt;&gt;"Serviço",0,IF(OR(AND(AUTOEVENTO="Manual",$M123=1),$M123&gt;(ROW(PLE.lastrow)-ROW(PLE.firstrow))),0,IF(OFFSET(PLE!$G$14,$M123,CE$13)="",10^12,OFFSET(PLE!$G$14,$M123,CE$13))))</f>
        <v>1000000000000</v>
      </c>
      <c r="CF123" s="216">
        <f ca="1">IF($D123&lt;&gt;"Serviço",0,IF(OR(AND(AUTOEVENTO="Manual",$M123=1),$M123&gt;(ROW(PLE.lastrow)-ROW(PLE.firstrow))),0,IF(OFFSET(PLE!$G$14,$M123,CF$13)="",10^12,OFFSET(PLE!$G$14,$M123,CF$13))))</f>
        <v>1000000000000</v>
      </c>
      <c r="CG123" s="216">
        <f ca="1">IF($D123&lt;&gt;"Serviço",0,IF(OR(AND(AUTOEVENTO="Manual",$M123=1),$M123&gt;(ROW(PLE.lastrow)-ROW(PLE.firstrow))),0,IF(OFFSET(PLE!$G$14,$M123,CG$13)="",10^12,OFFSET(PLE!$G$14,$M123,CG$13))))</f>
        <v>1000000000000</v>
      </c>
      <c r="CH123" s="216">
        <f ca="1">IF($D123&lt;&gt;"Serviço",0,IF(OR(AND(AUTOEVENTO="Manual",$M123=1),$M123&gt;(ROW(PLE.lastrow)-ROW(PLE.firstrow))),0,IF(OFFSET(PLE!$G$14,$M123,CH$13)="",10^12,OFFSET(PLE!$G$14,$M123,CH$13))))</f>
        <v>1000000000000</v>
      </c>
      <c r="CI123" s="216">
        <f ca="1">IF($D123&lt;&gt;"Serviço",0,IF(OR(AND(AUTOEVENTO="Manual",$M123=1),$M123&gt;(ROW(PLE.lastrow)-ROW(PLE.firstrow))),0,IF(OFFSET(PLE!$G$14,$M123,CI$13)="",10^12,OFFSET(PLE!$G$14,$M123,CI$13))))</f>
        <v>1000000000000</v>
      </c>
      <c r="CJ123" s="216">
        <f ca="1">IF($D123&lt;&gt;"Serviço",0,IF(OR(AND(AUTOEVENTO="Manual",$M123=1),$M123&gt;(ROW(PLE.lastrow)-ROW(PLE.firstrow))),0,IF(OFFSET(PLE!$G$14,$M123,CJ$13)="",10^12,OFFSET(PLE!$G$14,$M123,CJ$13))))</f>
        <v>1000000000000</v>
      </c>
      <c r="CK123" s="216">
        <f ca="1">IF($D123&lt;&gt;"Serviço",0,IF(OR(AND(AUTOEVENTO="Manual",$M123=1),$M123&gt;(ROW(PLE.lastrow)-ROW(PLE.firstrow))),0,IF(OFFSET(PLE!$G$14,$M123,CK$13)="",10^12,OFFSET(PLE!$G$14,$M123,CK$13))))</f>
        <v>1000000000000</v>
      </c>
      <c r="CL123" s="216">
        <f ca="1">IF($D123&lt;&gt;"Serviço",0,IF(OR(AND(AUTOEVENTO="Manual",$M123=1),$M123&gt;(ROW(PLE.lastrow)-ROW(PLE.firstrow))),0,IF(OFFSET(PLE!$G$14,$M123,CL$13)="",10^12,OFFSET(PLE!$G$14,$M123,CL$13))))</f>
        <v>1000000000000</v>
      </c>
      <c r="CM123" s="216">
        <f ca="1">IF($D123&lt;&gt;"Serviço",0,IF(OR(AND(AUTOEVENTO="Manual",$M123=1),$M123&gt;(ROW(PLE.lastrow)-ROW(PLE.firstrow))),0,IF(OFFSET(PLE!$G$14,$M123,CM$13)="",10^12,OFFSET(PLE!$G$14,$M123,CM$13))))</f>
        <v>1000000000000</v>
      </c>
    </row>
    <row r="124" spans="1:91" ht="13.2" x14ac:dyDescent="0.25">
      <c r="A124" s="9">
        <f t="shared" ca="1" si="10"/>
        <v>0</v>
      </c>
      <c r="B124" s="9" t="str">
        <f ca="1">OFFSET(ORÇAMENTO!C$15,ROW(B124)-ROW(B$15),0)</f>
        <v>S</v>
      </c>
      <c r="C124" s="9" t="str">
        <f ca="1">OFFSET(ORÇAMENTO!L$15,ROW(C124)-ROW(C$15),0)</f>
        <v/>
      </c>
      <c r="D124" s="145" t="str">
        <f ca="1">OFFSET(ORÇAMENTO!N$15,ROW(D124)-ROW(D$15),0)</f>
        <v>Serviço</v>
      </c>
      <c r="E124" s="205" t="str">
        <f ca="1">OFFSET(ORÇAMENTO!O$15,ROW(E124)-ROW(E$15),0)</f>
        <v>-</v>
      </c>
      <c r="F124" s="206" t="str">
        <f ca="1">OFFSET(ORÇAMENTO!R$15,ROW(F124)-ROW(F$15),0)</f>
        <v>(abra o arquivo 'Referência 05-2024.xls)</v>
      </c>
      <c r="G124" s="207" t="str">
        <f ca="1">IF($D124&lt;&gt;"Serviço","",OFFSET(ORÇAMENTO!S$15,ROW(G124)-ROW(G$15),0))</f>
        <v>-</v>
      </c>
      <c r="H124" s="151">
        <f ca="1">IF($D124&lt;&gt;"Serviço",0,IF(ACOMPANHAMENTO="BM",ROUND(OFFSET(ORÇAMENTO!AJ$15,ROW(H124)-ROW(H$15),0),15-13*ORÇAMENTO!$AF$7),SUMPRODUCT(($Q$12:$AI$12&lt;&gt;"")*ROUND($Q124:$AI124,15-13*ORÇAMENTO!$AF$7))))</f>
        <v>433.11</v>
      </c>
      <c r="I124" s="650"/>
      <c r="K124" s="208"/>
      <c r="L124" s="209" t="s">
        <v>257</v>
      </c>
      <c r="M124" s="210">
        <f ca="1">IF($D124&lt;&gt;"Serviço","",IF(AUTOEVENTO="manual",$A124,IF(ISERROR(MATCH($A124,$A$15:OFFSET($A124,-1,0),0)),MAX($M$15:OFFSET(M124,-1,0))+1,INDEX($M$15:OFFSET(M124,-1,0),MATCH($A124,$A$15:OFFSET($A124,-1,0),0)))))</f>
        <v>0</v>
      </c>
      <c r="N124" s="211" t="str">
        <f ca="1">IF($D124&lt;&gt;"Serviço","",IF(AUTOEVENTO="Manual",IF($A124=0,"&lt;-- defina o número do agrupador",OFFSET(EVENTOS!$D$14,$A124,0)),OFFSET($F$15,$A124,0)))</f>
        <v>&lt;-- defina o número do agrupador</v>
      </c>
      <c r="O124" s="212"/>
      <c r="Q124" s="212"/>
      <c r="R124" s="213"/>
      <c r="S124" s="213"/>
      <c r="T124" s="213"/>
      <c r="U124" s="213"/>
      <c r="V124" s="213"/>
      <c r="W124" s="213"/>
      <c r="X124" s="213"/>
      <c r="Y124" s="213"/>
      <c r="Z124" s="214"/>
      <c r="AA124" s="213"/>
      <c r="AB124" s="213"/>
      <c r="AC124" s="213"/>
      <c r="AD124" s="213"/>
      <c r="AE124" s="213"/>
      <c r="AF124" s="213"/>
      <c r="AG124" s="213"/>
      <c r="AH124" s="214"/>
      <c r="AJ124" s="631">
        <f ca="1">IF(AND($D124="Serviço",AJ$12&lt;&gt;0,$H124&gt;0,OR(AUTOEVENTO&lt;&gt;"manual",$M124&lt;&gt;1)),ROUND(OFFSET($P124,0,AJ$13),15-13*ORÇAMENTO!$AF$7)/$H124*OFFSET(ORÇAMENTO!$X$15,ROW(AJ124)-ROW(AJ$15),0),0)</f>
        <v>0</v>
      </c>
      <c r="AK124" s="632">
        <f ca="1">IF(AND($D124="Serviço",AK$12&lt;&gt;0,$H124&gt;0,OR(AUTOEVENTO&lt;&gt;"manual",$M124&lt;&gt;1)),ROUND(OFFSET($P124,0,AK$13),15-13*ORÇAMENTO!$AF$7)/$H124*OFFSET(ORÇAMENTO!$X$15,ROW(AK124)-ROW(AK$15),0),0)</f>
        <v>0</v>
      </c>
      <c r="AL124" s="632">
        <f ca="1">IF(AND($D124="Serviço",AL$12&lt;&gt;0,$H124&gt;0,OR(AUTOEVENTO&lt;&gt;"manual",$M124&lt;&gt;1)),ROUND(OFFSET($P124,0,AL$13),15-13*ORÇAMENTO!$AF$7)/$H124*OFFSET(ORÇAMENTO!$X$15,ROW(AL124)-ROW(AL$15),0),0)</f>
        <v>0</v>
      </c>
      <c r="AM124" s="632">
        <f ca="1">IF(AND($D124="Serviço",AM$12&lt;&gt;0,$H124&gt;0,OR(AUTOEVENTO&lt;&gt;"manual",$M124&lt;&gt;1)),ROUND(OFFSET($P124,0,AM$13),15-13*ORÇAMENTO!$AF$7)/$H124*OFFSET(ORÇAMENTO!$X$15,ROW(AM124)-ROW(AM$15),0),0)</f>
        <v>0</v>
      </c>
      <c r="AN124" s="632">
        <f ca="1">IF(AND($D124="Serviço",AN$12&lt;&gt;0,$H124&gt;0,OR(AUTOEVENTO&lt;&gt;"manual",$M124&lt;&gt;1)),ROUND(OFFSET($P124,0,AN$13),15-13*ORÇAMENTO!$AF$7)/$H124*OFFSET(ORÇAMENTO!$X$15,ROW(AN124)-ROW(AN$15),0),0)</f>
        <v>0</v>
      </c>
      <c r="AO124" s="632">
        <f ca="1">IF(AND($D124="Serviço",AO$12&lt;&gt;0,$H124&gt;0,OR(AUTOEVENTO&lt;&gt;"manual",$M124&lt;&gt;1)),ROUND(OFFSET($P124,0,AO$13),15-13*ORÇAMENTO!$AF$7)/$H124*OFFSET(ORÇAMENTO!$X$15,ROW(AO124)-ROW(AO$15),0),0)</f>
        <v>0</v>
      </c>
      <c r="AP124" s="632">
        <f ca="1">IF(AND($D124="Serviço",AP$12&lt;&gt;0,$H124&gt;0,OR(AUTOEVENTO&lt;&gt;"manual",$M124&lt;&gt;1)),ROUND(OFFSET($P124,0,AP$13),15-13*ORÇAMENTO!$AF$7)/$H124*OFFSET(ORÇAMENTO!$X$15,ROW(AP124)-ROW(AP$15),0),0)</f>
        <v>0</v>
      </c>
      <c r="AQ124" s="632">
        <f ca="1">IF(AND($D124="Serviço",AQ$12&lt;&gt;0,$H124&gt;0,OR(AUTOEVENTO&lt;&gt;"manual",$M124&lt;&gt;1)),ROUND(OFFSET($P124,0,AQ$13),15-13*ORÇAMENTO!$AF$7)/$H124*OFFSET(ORÇAMENTO!$X$15,ROW(AQ124)-ROW(AQ$15),0),0)</f>
        <v>0</v>
      </c>
      <c r="AR124" s="632">
        <f ca="1">IF(AND($D124="Serviço",AR$12&lt;&gt;0,$H124&gt;0,OR(AUTOEVENTO&lt;&gt;"manual",$M124&lt;&gt;1)),ROUND(OFFSET($P124,0,AR$13),15-13*ORÇAMENTO!$AF$7)/$H124*OFFSET(ORÇAMENTO!$X$15,ROW(AR124)-ROW(AR$15),0),0)</f>
        <v>0</v>
      </c>
      <c r="AS124" s="633">
        <f ca="1">IF(AND($D124="Serviço",AS$12&lt;&gt;0,$H124&gt;0,OR(AUTOEVENTO&lt;&gt;"manual",$M124&lt;&gt;1)),ROUND(OFFSET($P124,0,AS$13),15-13*ORÇAMENTO!$AF$7)/$H124*OFFSET(ORÇAMENTO!$X$15,ROW(AS124)-ROW(AS$15),0),0)</f>
        <v>0</v>
      </c>
      <c r="AT124" s="632">
        <f ca="1">IF(AND($D124="Serviço",AT$12&lt;&gt;0,$H124&gt;0,OR(AUTOEVENTO&lt;&gt;"manual",$M124&lt;&gt;1)),ROUND(OFFSET($P124,0,AT$13),15-13*ORÇAMENTO!$AF$7)/$H124*OFFSET(ORÇAMENTO!$X$15,ROW(AT124)-ROW(AT$15),0),0)</f>
        <v>0</v>
      </c>
      <c r="AU124" s="632">
        <f ca="1">IF(AND($D124="Serviço",AU$12&lt;&gt;0,$H124&gt;0,OR(AUTOEVENTO&lt;&gt;"manual",$M124&lt;&gt;1)),ROUND(OFFSET($P124,0,AU$13),15-13*ORÇAMENTO!$AF$7)/$H124*OFFSET(ORÇAMENTO!$X$15,ROW(AU124)-ROW(AU$15),0),0)</f>
        <v>0</v>
      </c>
      <c r="AV124" s="632">
        <f ca="1">IF(AND($D124="Serviço",AV$12&lt;&gt;0,$H124&gt;0,OR(AUTOEVENTO&lt;&gt;"manual",$M124&lt;&gt;1)),ROUND(OFFSET($P124,0,AV$13),15-13*ORÇAMENTO!$AF$7)/$H124*OFFSET(ORÇAMENTO!$X$15,ROW(AV124)-ROW(AV$15),0),0)</f>
        <v>0</v>
      </c>
      <c r="AW124" s="632">
        <f ca="1">IF(AND($D124="Serviço",AW$12&lt;&gt;0,$H124&gt;0,OR(AUTOEVENTO&lt;&gt;"manual",$M124&lt;&gt;1)),ROUND(OFFSET($P124,0,AW$13),15-13*ORÇAMENTO!$AF$7)/$H124*OFFSET(ORÇAMENTO!$X$15,ROW(AW124)-ROW(AW$15),0),0)</f>
        <v>0</v>
      </c>
      <c r="AX124" s="632">
        <f ca="1">IF(AND($D124="Serviço",AX$12&lt;&gt;0,$H124&gt;0,OR(AUTOEVENTO&lt;&gt;"manual",$M124&lt;&gt;1)),ROUND(OFFSET($P124,0,AX$13),15-13*ORÇAMENTO!$AF$7)/$H124*OFFSET(ORÇAMENTO!$X$15,ROW(AX124)-ROW(AX$15),0),0)</f>
        <v>0</v>
      </c>
      <c r="AY124" s="632">
        <f ca="1">IF(AND($D124="Serviço",AY$12&lt;&gt;0,$H124&gt;0,OR(AUTOEVENTO&lt;&gt;"manual",$M124&lt;&gt;1)),ROUND(OFFSET($P124,0,AY$13),15-13*ORÇAMENTO!$AF$7)/$H124*OFFSET(ORÇAMENTO!$X$15,ROW(AY124)-ROW(AY$15),0),0)</f>
        <v>0</v>
      </c>
      <c r="AZ124" s="632">
        <f ca="1">IF(AND($D124="Serviço",AZ$12&lt;&gt;0,$H124&gt;0,OR(AUTOEVENTO&lt;&gt;"manual",$M124&lt;&gt;1)),ROUND(OFFSET($P124,0,AZ$13),15-13*ORÇAMENTO!$AF$7)/$H124*OFFSET(ORÇAMENTO!$X$15,ROW(AZ124)-ROW(AZ$15),0),0)</f>
        <v>0</v>
      </c>
      <c r="BA124" s="633">
        <f ca="1">IF(AND($D124="Serviço",BA$12&lt;&gt;0,$H124&gt;0,OR(AUTOEVENTO&lt;&gt;"manual",$M124&lt;&gt;1)),ROUND(OFFSET($P124,0,BA$13),15-13*ORÇAMENTO!$AF$7)/$H124*OFFSET(ORÇAMENTO!$X$15,ROW(BA124)-ROW(BA$15),0),0)</f>
        <v>0</v>
      </c>
      <c r="BC124" s="215">
        <f ca="1">IF($D124&lt;&gt;"Serviço",0,IF(AND(AUTOEVENTO="Manual",$M124=1),0,IF(OFFSET(CRONOPLE!$F$14,$M124,BC$13)="",10^12,OFFSET(CRONOPLE!$F$14,$M124,BC$13))))</f>
        <v>1000000000000</v>
      </c>
      <c r="BD124" s="215">
        <f ca="1">IF($D124&lt;&gt;"Serviço",0,IF(AND(AUTOEVENTO="Manual",$M124=1),0,IF(OFFSET(CRONOPLE!$F$14,$M124,BD$13)="",10^12,OFFSET(CRONOPLE!$F$14,$M124,BD$13))))</f>
        <v>1000000000000</v>
      </c>
      <c r="BE124" s="215">
        <f ca="1">IF($D124&lt;&gt;"Serviço",0,IF(AND(AUTOEVENTO="Manual",$M124=1),0,IF(OFFSET(CRONOPLE!$F$14,$M124,BE$13)="",10^12,OFFSET(CRONOPLE!$F$14,$M124,BE$13))))</f>
        <v>1000000000000</v>
      </c>
      <c r="BF124" s="215">
        <f ca="1">IF($D124&lt;&gt;"Serviço",0,IF(AND(AUTOEVENTO="Manual",$M124=1),0,IF(OFFSET(CRONOPLE!$F$14,$M124,BF$13)="",10^12,OFFSET(CRONOPLE!$F$14,$M124,BF$13))))</f>
        <v>1000000000000</v>
      </c>
      <c r="BG124" s="215">
        <f ca="1">IF($D124&lt;&gt;"Serviço",0,IF(AND(AUTOEVENTO="Manual",$M124=1),0,IF(OFFSET(CRONOPLE!$F$14,$M124,BG$13)="",10^12,OFFSET(CRONOPLE!$F$14,$M124,BG$13))))</f>
        <v>1000000000000</v>
      </c>
      <c r="BH124" s="215">
        <f ca="1">IF($D124&lt;&gt;"Serviço",0,IF(AND(AUTOEVENTO="Manual",$M124=1),0,IF(OFFSET(CRONOPLE!$F$14,$M124,BH$13)="",10^12,OFFSET(CRONOPLE!$F$14,$M124,BH$13))))</f>
        <v>1000000000000</v>
      </c>
      <c r="BI124" s="215">
        <f ca="1">IF($D124&lt;&gt;"Serviço",0,IF(AND(AUTOEVENTO="Manual",$M124=1),0,IF(OFFSET(CRONOPLE!$F$14,$M124,BI$13)="",10^12,OFFSET(CRONOPLE!$F$14,$M124,BI$13))))</f>
        <v>1000000000000</v>
      </c>
      <c r="BJ124" s="215">
        <f ca="1">IF($D124&lt;&gt;"Serviço",0,IF(AND(AUTOEVENTO="Manual",$M124=1),0,IF(OFFSET(CRONOPLE!$F$14,$M124,BJ$13)="",10^12,OFFSET(CRONOPLE!$F$14,$M124,BJ$13))))</f>
        <v>1000000000000</v>
      </c>
      <c r="BK124" s="215">
        <f ca="1">IF($D124&lt;&gt;"Serviço",0,IF(AND(AUTOEVENTO="Manual",$M124=1),0,IF(OFFSET(CRONOPLE!$F$14,$M124,BK$13)="",10^12,OFFSET(CRONOPLE!$F$14,$M124,BK$13))))</f>
        <v>1000000000000</v>
      </c>
      <c r="BL124" s="215">
        <f ca="1">IF($D124&lt;&gt;"Serviço",0,IF(AND(AUTOEVENTO="Manual",$M124=1),0,IF(OFFSET(CRONOPLE!$F$14,$M124,BL$13)="",10^12,OFFSET(CRONOPLE!$F$14,$M124,BL$13))))</f>
        <v>1000000000000</v>
      </c>
      <c r="BM124" s="215">
        <f ca="1">IF($D124&lt;&gt;"Serviço",0,IF(AND(AUTOEVENTO="Manual",$M124=1),0,IF(OFFSET(CRONOPLE!$F$14,$M124,BM$13)="",10^12,OFFSET(CRONOPLE!$F$14,$M124,BM$13))))</f>
        <v>1000000000000</v>
      </c>
      <c r="BN124" s="215">
        <f ca="1">IF($D124&lt;&gt;"Serviço",0,IF(AND(AUTOEVENTO="Manual",$M124=1),0,IF(OFFSET(CRONOPLE!$F$14,$M124,BN$13)="",10^12,OFFSET(CRONOPLE!$F$14,$M124,BN$13))))</f>
        <v>1000000000000</v>
      </c>
      <c r="BO124" s="215">
        <f ca="1">IF($D124&lt;&gt;"Serviço",0,IF(AND(AUTOEVENTO="Manual",$M124=1),0,IF(OFFSET(CRONOPLE!$F$14,$M124,BO$13)="",10^12,OFFSET(CRONOPLE!$F$14,$M124,BO$13))))</f>
        <v>1000000000000</v>
      </c>
      <c r="BP124" s="215">
        <f ca="1">IF($D124&lt;&gt;"Serviço",0,IF(AND(AUTOEVENTO="Manual",$M124=1),0,IF(OFFSET(CRONOPLE!$F$14,$M124,BP$13)="",10^12,OFFSET(CRONOPLE!$F$14,$M124,BP$13))))</f>
        <v>1000000000000</v>
      </c>
      <c r="BQ124" s="215">
        <f ca="1">IF($D124&lt;&gt;"Serviço",0,IF(AND(AUTOEVENTO="Manual",$M124=1),0,IF(OFFSET(CRONOPLE!$F$14,$M124,BQ$13)="",10^12,OFFSET(CRONOPLE!$F$14,$M124,BQ$13))))</f>
        <v>1000000000000</v>
      </c>
      <c r="BR124" s="215">
        <f ca="1">IF($D124&lt;&gt;"Serviço",0,IF(AND(AUTOEVENTO="Manual",$M124=1),0,IF(OFFSET(CRONOPLE!$F$14,$M124,BR$13)="",10^12,OFFSET(CRONOPLE!$F$14,$M124,BR$13))))</f>
        <v>1000000000000</v>
      </c>
      <c r="BS124" s="215">
        <f ca="1">IF($D124&lt;&gt;"Serviço",0,IF(AND(AUTOEVENTO="Manual",$M124=1),0,IF(OFFSET(CRONOPLE!$F$14,$M124,BS$13)="",10^12,OFFSET(CRONOPLE!$F$14,$M124,BS$13))))</f>
        <v>1000000000000</v>
      </c>
      <c r="BT124" s="215">
        <f ca="1">IF($D124&lt;&gt;"Serviço",0,IF(AND(AUTOEVENTO="Manual",$M124=1),0,IF(OFFSET(CRONOPLE!$F$14,$M124,BT$13)="",10^12,OFFSET(CRONOPLE!$F$14,$M124,BT$13))))</f>
        <v>1000000000000</v>
      </c>
      <c r="BV124" s="216">
        <f ca="1">IF($D124&lt;&gt;"Serviço",0,IF(OR(AND(AUTOEVENTO="Manual",$M124=1),$M124&gt;(ROW(PLE.lastrow)-ROW(PLE.firstrow))),0,IF(OFFSET(PLE!$G$14,$M124,BV$13)="",10^12,OFFSET(PLE!$G$14,$M124,BV$13))))</f>
        <v>1000000000000</v>
      </c>
      <c r="BW124" s="216">
        <f ca="1">IF($D124&lt;&gt;"Serviço",0,IF(OR(AND(AUTOEVENTO="Manual",$M124=1),$M124&gt;(ROW(PLE.lastrow)-ROW(PLE.firstrow))),0,IF(OFFSET(PLE!$G$14,$M124,BW$13)="",10^12,OFFSET(PLE!$G$14,$M124,BW$13))))</f>
        <v>1000000000000</v>
      </c>
      <c r="BX124" s="216">
        <f ca="1">IF($D124&lt;&gt;"Serviço",0,IF(OR(AND(AUTOEVENTO="Manual",$M124=1),$M124&gt;(ROW(PLE.lastrow)-ROW(PLE.firstrow))),0,IF(OFFSET(PLE!$G$14,$M124,BX$13)="",10^12,OFFSET(PLE!$G$14,$M124,BX$13))))</f>
        <v>1000000000000</v>
      </c>
      <c r="BY124" s="216">
        <f ca="1">IF($D124&lt;&gt;"Serviço",0,IF(OR(AND(AUTOEVENTO="Manual",$M124=1),$M124&gt;(ROW(PLE.lastrow)-ROW(PLE.firstrow))),0,IF(OFFSET(PLE!$G$14,$M124,BY$13)="",10^12,OFFSET(PLE!$G$14,$M124,BY$13))))</f>
        <v>1000000000000</v>
      </c>
      <c r="BZ124" s="216">
        <f ca="1">IF($D124&lt;&gt;"Serviço",0,IF(OR(AND(AUTOEVENTO="Manual",$M124=1),$M124&gt;(ROW(PLE.lastrow)-ROW(PLE.firstrow))),0,IF(OFFSET(PLE!$G$14,$M124,BZ$13)="",10^12,OFFSET(PLE!$G$14,$M124,BZ$13))))</f>
        <v>1000000000000</v>
      </c>
      <c r="CA124" s="216">
        <f ca="1">IF($D124&lt;&gt;"Serviço",0,IF(OR(AND(AUTOEVENTO="Manual",$M124=1),$M124&gt;(ROW(PLE.lastrow)-ROW(PLE.firstrow))),0,IF(OFFSET(PLE!$G$14,$M124,CA$13)="",10^12,OFFSET(PLE!$G$14,$M124,CA$13))))</f>
        <v>1000000000000</v>
      </c>
      <c r="CB124" s="216">
        <f ca="1">IF($D124&lt;&gt;"Serviço",0,IF(OR(AND(AUTOEVENTO="Manual",$M124=1),$M124&gt;(ROW(PLE.lastrow)-ROW(PLE.firstrow))),0,IF(OFFSET(PLE!$G$14,$M124,CB$13)="",10^12,OFFSET(PLE!$G$14,$M124,CB$13))))</f>
        <v>1000000000000</v>
      </c>
      <c r="CC124" s="216">
        <f ca="1">IF($D124&lt;&gt;"Serviço",0,IF(OR(AND(AUTOEVENTO="Manual",$M124=1),$M124&gt;(ROW(PLE.lastrow)-ROW(PLE.firstrow))),0,IF(OFFSET(PLE!$G$14,$M124,CC$13)="",10^12,OFFSET(PLE!$G$14,$M124,CC$13))))</f>
        <v>1000000000000</v>
      </c>
      <c r="CD124" s="216">
        <f ca="1">IF($D124&lt;&gt;"Serviço",0,IF(OR(AND(AUTOEVENTO="Manual",$M124=1),$M124&gt;(ROW(PLE.lastrow)-ROW(PLE.firstrow))),0,IF(OFFSET(PLE!$G$14,$M124,CD$13)="",10^12,OFFSET(PLE!$G$14,$M124,CD$13))))</f>
        <v>1000000000000</v>
      </c>
      <c r="CE124" s="216">
        <f ca="1">IF($D124&lt;&gt;"Serviço",0,IF(OR(AND(AUTOEVENTO="Manual",$M124=1),$M124&gt;(ROW(PLE.lastrow)-ROW(PLE.firstrow))),0,IF(OFFSET(PLE!$G$14,$M124,CE$13)="",10^12,OFFSET(PLE!$G$14,$M124,CE$13))))</f>
        <v>1000000000000</v>
      </c>
      <c r="CF124" s="216">
        <f ca="1">IF($D124&lt;&gt;"Serviço",0,IF(OR(AND(AUTOEVENTO="Manual",$M124=1),$M124&gt;(ROW(PLE.lastrow)-ROW(PLE.firstrow))),0,IF(OFFSET(PLE!$G$14,$M124,CF$13)="",10^12,OFFSET(PLE!$G$14,$M124,CF$13))))</f>
        <v>1000000000000</v>
      </c>
      <c r="CG124" s="216">
        <f ca="1">IF($D124&lt;&gt;"Serviço",0,IF(OR(AND(AUTOEVENTO="Manual",$M124=1),$M124&gt;(ROW(PLE.lastrow)-ROW(PLE.firstrow))),0,IF(OFFSET(PLE!$G$14,$M124,CG$13)="",10^12,OFFSET(PLE!$G$14,$M124,CG$13))))</f>
        <v>1000000000000</v>
      </c>
      <c r="CH124" s="216">
        <f ca="1">IF($D124&lt;&gt;"Serviço",0,IF(OR(AND(AUTOEVENTO="Manual",$M124=1),$M124&gt;(ROW(PLE.lastrow)-ROW(PLE.firstrow))),0,IF(OFFSET(PLE!$G$14,$M124,CH$13)="",10^12,OFFSET(PLE!$G$14,$M124,CH$13))))</f>
        <v>1000000000000</v>
      </c>
      <c r="CI124" s="216">
        <f ca="1">IF($D124&lt;&gt;"Serviço",0,IF(OR(AND(AUTOEVENTO="Manual",$M124=1),$M124&gt;(ROW(PLE.lastrow)-ROW(PLE.firstrow))),0,IF(OFFSET(PLE!$G$14,$M124,CI$13)="",10^12,OFFSET(PLE!$G$14,$M124,CI$13))))</f>
        <v>1000000000000</v>
      </c>
      <c r="CJ124" s="216">
        <f ca="1">IF($D124&lt;&gt;"Serviço",0,IF(OR(AND(AUTOEVENTO="Manual",$M124=1),$M124&gt;(ROW(PLE.lastrow)-ROW(PLE.firstrow))),0,IF(OFFSET(PLE!$G$14,$M124,CJ$13)="",10^12,OFFSET(PLE!$G$14,$M124,CJ$13))))</f>
        <v>1000000000000</v>
      </c>
      <c r="CK124" s="216">
        <f ca="1">IF($D124&lt;&gt;"Serviço",0,IF(OR(AND(AUTOEVENTO="Manual",$M124=1),$M124&gt;(ROW(PLE.lastrow)-ROW(PLE.firstrow))),0,IF(OFFSET(PLE!$G$14,$M124,CK$13)="",10^12,OFFSET(PLE!$G$14,$M124,CK$13))))</f>
        <v>1000000000000</v>
      </c>
      <c r="CL124" s="216">
        <f ca="1">IF($D124&lt;&gt;"Serviço",0,IF(OR(AND(AUTOEVENTO="Manual",$M124=1),$M124&gt;(ROW(PLE.lastrow)-ROW(PLE.firstrow))),0,IF(OFFSET(PLE!$G$14,$M124,CL$13)="",10^12,OFFSET(PLE!$G$14,$M124,CL$13))))</f>
        <v>1000000000000</v>
      </c>
      <c r="CM124" s="216">
        <f ca="1">IF($D124&lt;&gt;"Serviço",0,IF(OR(AND(AUTOEVENTO="Manual",$M124=1),$M124&gt;(ROW(PLE.lastrow)-ROW(PLE.firstrow))),0,IF(OFFSET(PLE!$G$14,$M124,CM$13)="",10^12,OFFSET(PLE!$G$14,$M124,CM$13))))</f>
        <v>1000000000000</v>
      </c>
    </row>
    <row r="125" spans="1:91" ht="13.2" x14ac:dyDescent="0.25">
      <c r="A125" s="9">
        <f t="shared" ca="1" si="10"/>
        <v>0</v>
      </c>
      <c r="B125" s="9" t="str">
        <f ca="1">OFFSET(ORÇAMENTO!C$15,ROW(B125)-ROW(B$15),0)</f>
        <v>S</v>
      </c>
      <c r="C125" s="9" t="str">
        <f ca="1">OFFSET(ORÇAMENTO!L$15,ROW(C125)-ROW(C$15),0)</f>
        <v/>
      </c>
      <c r="D125" s="145" t="str">
        <f ca="1">OFFSET(ORÇAMENTO!N$15,ROW(D125)-ROW(D$15),0)</f>
        <v>Serviço</v>
      </c>
      <c r="E125" s="205" t="str">
        <f ca="1">OFFSET(ORÇAMENTO!O$15,ROW(E125)-ROW(E$15),0)</f>
        <v>-</v>
      </c>
      <c r="F125" s="206" t="str">
        <f ca="1">OFFSET(ORÇAMENTO!R$15,ROW(F125)-ROW(F$15),0)</f>
        <v>(abra o arquivo 'Referência 05-2024.xls)</v>
      </c>
      <c r="G125" s="207" t="str">
        <f ca="1">IF($D125&lt;&gt;"Serviço","",OFFSET(ORÇAMENTO!S$15,ROW(G125)-ROW(G$15),0))</f>
        <v>-</v>
      </c>
      <c r="H125" s="151">
        <f ca="1">IF($D125&lt;&gt;"Serviço",0,IF(ACOMPANHAMENTO="BM",ROUND(OFFSET(ORÇAMENTO!AJ$15,ROW(H125)-ROW(H$15),0),15-13*ORÇAMENTO!$AF$7),SUMPRODUCT(($Q$12:$AI$12&lt;&gt;"")*ROUND($Q125:$AI125,15-13*ORÇAMENTO!$AF$7))))</f>
        <v>45.49</v>
      </c>
      <c r="I125" s="650"/>
      <c r="K125" s="208"/>
      <c r="L125" s="209" t="s">
        <v>257</v>
      </c>
      <c r="M125" s="210">
        <f ca="1">IF($D125&lt;&gt;"Serviço","",IF(AUTOEVENTO="manual",$A125,IF(ISERROR(MATCH($A125,$A$15:OFFSET($A125,-1,0),0)),MAX($M$15:OFFSET(M125,-1,0))+1,INDEX($M$15:OFFSET(M125,-1,0),MATCH($A125,$A$15:OFFSET($A125,-1,0),0)))))</f>
        <v>0</v>
      </c>
      <c r="N125" s="211" t="str">
        <f ca="1">IF($D125&lt;&gt;"Serviço","",IF(AUTOEVENTO="Manual",IF($A125=0,"&lt;-- defina o número do agrupador",OFFSET(EVENTOS!$D$14,$A125,0)),OFFSET($F$15,$A125,0)))</f>
        <v>&lt;-- defina o número do agrupador</v>
      </c>
      <c r="O125" s="212"/>
      <c r="Q125" s="212"/>
      <c r="R125" s="213"/>
      <c r="S125" s="213"/>
      <c r="T125" s="213"/>
      <c r="U125" s="213"/>
      <c r="V125" s="213"/>
      <c r="W125" s="213"/>
      <c r="X125" s="213"/>
      <c r="Y125" s="213"/>
      <c r="Z125" s="214"/>
      <c r="AA125" s="213"/>
      <c r="AB125" s="213"/>
      <c r="AC125" s="213"/>
      <c r="AD125" s="213"/>
      <c r="AE125" s="213"/>
      <c r="AF125" s="213"/>
      <c r="AG125" s="213"/>
      <c r="AH125" s="214"/>
      <c r="AJ125" s="631">
        <f ca="1">IF(AND($D125="Serviço",AJ$12&lt;&gt;0,$H125&gt;0,OR(AUTOEVENTO&lt;&gt;"manual",$M125&lt;&gt;1)),ROUND(OFFSET($P125,0,AJ$13),15-13*ORÇAMENTO!$AF$7)/$H125*OFFSET(ORÇAMENTO!$X$15,ROW(AJ125)-ROW(AJ$15),0),0)</f>
        <v>0</v>
      </c>
      <c r="AK125" s="632">
        <f ca="1">IF(AND($D125="Serviço",AK$12&lt;&gt;0,$H125&gt;0,OR(AUTOEVENTO&lt;&gt;"manual",$M125&lt;&gt;1)),ROUND(OFFSET($P125,0,AK$13),15-13*ORÇAMENTO!$AF$7)/$H125*OFFSET(ORÇAMENTO!$X$15,ROW(AK125)-ROW(AK$15),0),0)</f>
        <v>0</v>
      </c>
      <c r="AL125" s="632">
        <f ca="1">IF(AND($D125="Serviço",AL$12&lt;&gt;0,$H125&gt;0,OR(AUTOEVENTO&lt;&gt;"manual",$M125&lt;&gt;1)),ROUND(OFFSET($P125,0,AL$13),15-13*ORÇAMENTO!$AF$7)/$H125*OFFSET(ORÇAMENTO!$X$15,ROW(AL125)-ROW(AL$15),0),0)</f>
        <v>0</v>
      </c>
      <c r="AM125" s="632">
        <f ca="1">IF(AND($D125="Serviço",AM$12&lt;&gt;0,$H125&gt;0,OR(AUTOEVENTO&lt;&gt;"manual",$M125&lt;&gt;1)),ROUND(OFFSET($P125,0,AM$13),15-13*ORÇAMENTO!$AF$7)/$H125*OFFSET(ORÇAMENTO!$X$15,ROW(AM125)-ROW(AM$15),0),0)</f>
        <v>0</v>
      </c>
      <c r="AN125" s="632">
        <f ca="1">IF(AND($D125="Serviço",AN$12&lt;&gt;0,$H125&gt;0,OR(AUTOEVENTO&lt;&gt;"manual",$M125&lt;&gt;1)),ROUND(OFFSET($P125,0,AN$13),15-13*ORÇAMENTO!$AF$7)/$H125*OFFSET(ORÇAMENTO!$X$15,ROW(AN125)-ROW(AN$15),0),0)</f>
        <v>0</v>
      </c>
      <c r="AO125" s="632">
        <f ca="1">IF(AND($D125="Serviço",AO$12&lt;&gt;0,$H125&gt;0,OR(AUTOEVENTO&lt;&gt;"manual",$M125&lt;&gt;1)),ROUND(OFFSET($P125,0,AO$13),15-13*ORÇAMENTO!$AF$7)/$H125*OFFSET(ORÇAMENTO!$X$15,ROW(AO125)-ROW(AO$15),0),0)</f>
        <v>0</v>
      </c>
      <c r="AP125" s="632">
        <f ca="1">IF(AND($D125="Serviço",AP$12&lt;&gt;0,$H125&gt;0,OR(AUTOEVENTO&lt;&gt;"manual",$M125&lt;&gt;1)),ROUND(OFFSET($P125,0,AP$13),15-13*ORÇAMENTO!$AF$7)/$H125*OFFSET(ORÇAMENTO!$X$15,ROW(AP125)-ROW(AP$15),0),0)</f>
        <v>0</v>
      </c>
      <c r="AQ125" s="632">
        <f ca="1">IF(AND($D125="Serviço",AQ$12&lt;&gt;0,$H125&gt;0,OR(AUTOEVENTO&lt;&gt;"manual",$M125&lt;&gt;1)),ROUND(OFFSET($P125,0,AQ$13),15-13*ORÇAMENTO!$AF$7)/$H125*OFFSET(ORÇAMENTO!$X$15,ROW(AQ125)-ROW(AQ$15),0),0)</f>
        <v>0</v>
      </c>
      <c r="AR125" s="632">
        <f ca="1">IF(AND($D125="Serviço",AR$12&lt;&gt;0,$H125&gt;0,OR(AUTOEVENTO&lt;&gt;"manual",$M125&lt;&gt;1)),ROUND(OFFSET($P125,0,AR$13),15-13*ORÇAMENTO!$AF$7)/$H125*OFFSET(ORÇAMENTO!$X$15,ROW(AR125)-ROW(AR$15),0),0)</f>
        <v>0</v>
      </c>
      <c r="AS125" s="633">
        <f ca="1">IF(AND($D125="Serviço",AS$12&lt;&gt;0,$H125&gt;0,OR(AUTOEVENTO&lt;&gt;"manual",$M125&lt;&gt;1)),ROUND(OFFSET($P125,0,AS$13),15-13*ORÇAMENTO!$AF$7)/$H125*OFFSET(ORÇAMENTO!$X$15,ROW(AS125)-ROW(AS$15),0),0)</f>
        <v>0</v>
      </c>
      <c r="AT125" s="632">
        <f ca="1">IF(AND($D125="Serviço",AT$12&lt;&gt;0,$H125&gt;0,OR(AUTOEVENTO&lt;&gt;"manual",$M125&lt;&gt;1)),ROUND(OFFSET($P125,0,AT$13),15-13*ORÇAMENTO!$AF$7)/$H125*OFFSET(ORÇAMENTO!$X$15,ROW(AT125)-ROW(AT$15),0),0)</f>
        <v>0</v>
      </c>
      <c r="AU125" s="632">
        <f ca="1">IF(AND($D125="Serviço",AU$12&lt;&gt;0,$H125&gt;0,OR(AUTOEVENTO&lt;&gt;"manual",$M125&lt;&gt;1)),ROUND(OFFSET($P125,0,AU$13),15-13*ORÇAMENTO!$AF$7)/$H125*OFFSET(ORÇAMENTO!$X$15,ROW(AU125)-ROW(AU$15),0),0)</f>
        <v>0</v>
      </c>
      <c r="AV125" s="632">
        <f ca="1">IF(AND($D125="Serviço",AV$12&lt;&gt;0,$H125&gt;0,OR(AUTOEVENTO&lt;&gt;"manual",$M125&lt;&gt;1)),ROUND(OFFSET($P125,0,AV$13),15-13*ORÇAMENTO!$AF$7)/$H125*OFFSET(ORÇAMENTO!$X$15,ROW(AV125)-ROW(AV$15),0),0)</f>
        <v>0</v>
      </c>
      <c r="AW125" s="632">
        <f ca="1">IF(AND($D125="Serviço",AW$12&lt;&gt;0,$H125&gt;0,OR(AUTOEVENTO&lt;&gt;"manual",$M125&lt;&gt;1)),ROUND(OFFSET($P125,0,AW$13),15-13*ORÇAMENTO!$AF$7)/$H125*OFFSET(ORÇAMENTO!$X$15,ROW(AW125)-ROW(AW$15),0),0)</f>
        <v>0</v>
      </c>
      <c r="AX125" s="632">
        <f ca="1">IF(AND($D125="Serviço",AX$12&lt;&gt;0,$H125&gt;0,OR(AUTOEVENTO&lt;&gt;"manual",$M125&lt;&gt;1)),ROUND(OFFSET($P125,0,AX$13),15-13*ORÇAMENTO!$AF$7)/$H125*OFFSET(ORÇAMENTO!$X$15,ROW(AX125)-ROW(AX$15),0),0)</f>
        <v>0</v>
      </c>
      <c r="AY125" s="632">
        <f ca="1">IF(AND($D125="Serviço",AY$12&lt;&gt;0,$H125&gt;0,OR(AUTOEVENTO&lt;&gt;"manual",$M125&lt;&gt;1)),ROUND(OFFSET($P125,0,AY$13),15-13*ORÇAMENTO!$AF$7)/$H125*OFFSET(ORÇAMENTO!$X$15,ROW(AY125)-ROW(AY$15),0),0)</f>
        <v>0</v>
      </c>
      <c r="AZ125" s="632">
        <f ca="1">IF(AND($D125="Serviço",AZ$12&lt;&gt;0,$H125&gt;0,OR(AUTOEVENTO&lt;&gt;"manual",$M125&lt;&gt;1)),ROUND(OFFSET($P125,0,AZ$13),15-13*ORÇAMENTO!$AF$7)/$H125*OFFSET(ORÇAMENTO!$X$15,ROW(AZ125)-ROW(AZ$15),0),0)</f>
        <v>0</v>
      </c>
      <c r="BA125" s="633">
        <f ca="1">IF(AND($D125="Serviço",BA$12&lt;&gt;0,$H125&gt;0,OR(AUTOEVENTO&lt;&gt;"manual",$M125&lt;&gt;1)),ROUND(OFFSET($P125,0,BA$13),15-13*ORÇAMENTO!$AF$7)/$H125*OFFSET(ORÇAMENTO!$X$15,ROW(BA125)-ROW(BA$15),0),0)</f>
        <v>0</v>
      </c>
      <c r="BC125" s="215">
        <f ca="1">IF($D125&lt;&gt;"Serviço",0,IF(AND(AUTOEVENTO="Manual",$M125=1),0,IF(OFFSET(CRONOPLE!$F$14,$M125,BC$13)="",10^12,OFFSET(CRONOPLE!$F$14,$M125,BC$13))))</f>
        <v>1000000000000</v>
      </c>
      <c r="BD125" s="215">
        <f ca="1">IF($D125&lt;&gt;"Serviço",0,IF(AND(AUTOEVENTO="Manual",$M125=1),0,IF(OFFSET(CRONOPLE!$F$14,$M125,BD$13)="",10^12,OFFSET(CRONOPLE!$F$14,$M125,BD$13))))</f>
        <v>1000000000000</v>
      </c>
      <c r="BE125" s="215">
        <f ca="1">IF($D125&lt;&gt;"Serviço",0,IF(AND(AUTOEVENTO="Manual",$M125=1),0,IF(OFFSET(CRONOPLE!$F$14,$M125,BE$13)="",10^12,OFFSET(CRONOPLE!$F$14,$M125,BE$13))))</f>
        <v>1000000000000</v>
      </c>
      <c r="BF125" s="215">
        <f ca="1">IF($D125&lt;&gt;"Serviço",0,IF(AND(AUTOEVENTO="Manual",$M125=1),0,IF(OFFSET(CRONOPLE!$F$14,$M125,BF$13)="",10^12,OFFSET(CRONOPLE!$F$14,$M125,BF$13))))</f>
        <v>1000000000000</v>
      </c>
      <c r="BG125" s="215">
        <f ca="1">IF($D125&lt;&gt;"Serviço",0,IF(AND(AUTOEVENTO="Manual",$M125=1),0,IF(OFFSET(CRONOPLE!$F$14,$M125,BG$13)="",10^12,OFFSET(CRONOPLE!$F$14,$M125,BG$13))))</f>
        <v>1000000000000</v>
      </c>
      <c r="BH125" s="215">
        <f ca="1">IF($D125&lt;&gt;"Serviço",0,IF(AND(AUTOEVENTO="Manual",$M125=1),0,IF(OFFSET(CRONOPLE!$F$14,$M125,BH$13)="",10^12,OFFSET(CRONOPLE!$F$14,$M125,BH$13))))</f>
        <v>1000000000000</v>
      </c>
      <c r="BI125" s="215">
        <f ca="1">IF($D125&lt;&gt;"Serviço",0,IF(AND(AUTOEVENTO="Manual",$M125=1),0,IF(OFFSET(CRONOPLE!$F$14,$M125,BI$13)="",10^12,OFFSET(CRONOPLE!$F$14,$M125,BI$13))))</f>
        <v>1000000000000</v>
      </c>
      <c r="BJ125" s="215">
        <f ca="1">IF($D125&lt;&gt;"Serviço",0,IF(AND(AUTOEVENTO="Manual",$M125=1),0,IF(OFFSET(CRONOPLE!$F$14,$M125,BJ$13)="",10^12,OFFSET(CRONOPLE!$F$14,$M125,BJ$13))))</f>
        <v>1000000000000</v>
      </c>
      <c r="BK125" s="215">
        <f ca="1">IF($D125&lt;&gt;"Serviço",0,IF(AND(AUTOEVENTO="Manual",$M125=1),0,IF(OFFSET(CRONOPLE!$F$14,$M125,BK$13)="",10^12,OFFSET(CRONOPLE!$F$14,$M125,BK$13))))</f>
        <v>1000000000000</v>
      </c>
      <c r="BL125" s="215">
        <f ca="1">IF($D125&lt;&gt;"Serviço",0,IF(AND(AUTOEVENTO="Manual",$M125=1),0,IF(OFFSET(CRONOPLE!$F$14,$M125,BL$13)="",10^12,OFFSET(CRONOPLE!$F$14,$M125,BL$13))))</f>
        <v>1000000000000</v>
      </c>
      <c r="BM125" s="215">
        <f ca="1">IF($D125&lt;&gt;"Serviço",0,IF(AND(AUTOEVENTO="Manual",$M125=1),0,IF(OFFSET(CRONOPLE!$F$14,$M125,BM$13)="",10^12,OFFSET(CRONOPLE!$F$14,$M125,BM$13))))</f>
        <v>1000000000000</v>
      </c>
      <c r="BN125" s="215">
        <f ca="1">IF($D125&lt;&gt;"Serviço",0,IF(AND(AUTOEVENTO="Manual",$M125=1),0,IF(OFFSET(CRONOPLE!$F$14,$M125,BN$13)="",10^12,OFFSET(CRONOPLE!$F$14,$M125,BN$13))))</f>
        <v>1000000000000</v>
      </c>
      <c r="BO125" s="215">
        <f ca="1">IF($D125&lt;&gt;"Serviço",0,IF(AND(AUTOEVENTO="Manual",$M125=1),0,IF(OFFSET(CRONOPLE!$F$14,$M125,BO$13)="",10^12,OFFSET(CRONOPLE!$F$14,$M125,BO$13))))</f>
        <v>1000000000000</v>
      </c>
      <c r="BP125" s="215">
        <f ca="1">IF($D125&lt;&gt;"Serviço",0,IF(AND(AUTOEVENTO="Manual",$M125=1),0,IF(OFFSET(CRONOPLE!$F$14,$M125,BP$13)="",10^12,OFFSET(CRONOPLE!$F$14,$M125,BP$13))))</f>
        <v>1000000000000</v>
      </c>
      <c r="BQ125" s="215">
        <f ca="1">IF($D125&lt;&gt;"Serviço",0,IF(AND(AUTOEVENTO="Manual",$M125=1),0,IF(OFFSET(CRONOPLE!$F$14,$M125,BQ$13)="",10^12,OFFSET(CRONOPLE!$F$14,$M125,BQ$13))))</f>
        <v>1000000000000</v>
      </c>
      <c r="BR125" s="215">
        <f ca="1">IF($D125&lt;&gt;"Serviço",0,IF(AND(AUTOEVENTO="Manual",$M125=1),0,IF(OFFSET(CRONOPLE!$F$14,$M125,BR$13)="",10^12,OFFSET(CRONOPLE!$F$14,$M125,BR$13))))</f>
        <v>1000000000000</v>
      </c>
      <c r="BS125" s="215">
        <f ca="1">IF($D125&lt;&gt;"Serviço",0,IF(AND(AUTOEVENTO="Manual",$M125=1),0,IF(OFFSET(CRONOPLE!$F$14,$M125,BS$13)="",10^12,OFFSET(CRONOPLE!$F$14,$M125,BS$13))))</f>
        <v>1000000000000</v>
      </c>
      <c r="BT125" s="215">
        <f ca="1">IF($D125&lt;&gt;"Serviço",0,IF(AND(AUTOEVENTO="Manual",$M125=1),0,IF(OFFSET(CRONOPLE!$F$14,$M125,BT$13)="",10^12,OFFSET(CRONOPLE!$F$14,$M125,BT$13))))</f>
        <v>1000000000000</v>
      </c>
      <c r="BV125" s="216">
        <f ca="1">IF($D125&lt;&gt;"Serviço",0,IF(OR(AND(AUTOEVENTO="Manual",$M125=1),$M125&gt;(ROW(PLE.lastrow)-ROW(PLE.firstrow))),0,IF(OFFSET(PLE!$G$14,$M125,BV$13)="",10^12,OFFSET(PLE!$G$14,$M125,BV$13))))</f>
        <v>1000000000000</v>
      </c>
      <c r="BW125" s="216">
        <f ca="1">IF($D125&lt;&gt;"Serviço",0,IF(OR(AND(AUTOEVENTO="Manual",$M125=1),$M125&gt;(ROW(PLE.lastrow)-ROW(PLE.firstrow))),0,IF(OFFSET(PLE!$G$14,$M125,BW$13)="",10^12,OFFSET(PLE!$G$14,$M125,BW$13))))</f>
        <v>1000000000000</v>
      </c>
      <c r="BX125" s="216">
        <f ca="1">IF($D125&lt;&gt;"Serviço",0,IF(OR(AND(AUTOEVENTO="Manual",$M125=1),$M125&gt;(ROW(PLE.lastrow)-ROW(PLE.firstrow))),0,IF(OFFSET(PLE!$G$14,$M125,BX$13)="",10^12,OFFSET(PLE!$G$14,$M125,BX$13))))</f>
        <v>1000000000000</v>
      </c>
      <c r="BY125" s="216">
        <f ca="1">IF($D125&lt;&gt;"Serviço",0,IF(OR(AND(AUTOEVENTO="Manual",$M125=1),$M125&gt;(ROW(PLE.lastrow)-ROW(PLE.firstrow))),0,IF(OFFSET(PLE!$G$14,$M125,BY$13)="",10^12,OFFSET(PLE!$G$14,$M125,BY$13))))</f>
        <v>1000000000000</v>
      </c>
      <c r="BZ125" s="216">
        <f ca="1">IF($D125&lt;&gt;"Serviço",0,IF(OR(AND(AUTOEVENTO="Manual",$M125=1),$M125&gt;(ROW(PLE.lastrow)-ROW(PLE.firstrow))),0,IF(OFFSET(PLE!$G$14,$M125,BZ$13)="",10^12,OFFSET(PLE!$G$14,$M125,BZ$13))))</f>
        <v>1000000000000</v>
      </c>
      <c r="CA125" s="216">
        <f ca="1">IF($D125&lt;&gt;"Serviço",0,IF(OR(AND(AUTOEVENTO="Manual",$M125=1),$M125&gt;(ROW(PLE.lastrow)-ROW(PLE.firstrow))),0,IF(OFFSET(PLE!$G$14,$M125,CA$13)="",10^12,OFFSET(PLE!$G$14,$M125,CA$13))))</f>
        <v>1000000000000</v>
      </c>
      <c r="CB125" s="216">
        <f ca="1">IF($D125&lt;&gt;"Serviço",0,IF(OR(AND(AUTOEVENTO="Manual",$M125=1),$M125&gt;(ROW(PLE.lastrow)-ROW(PLE.firstrow))),0,IF(OFFSET(PLE!$G$14,$M125,CB$13)="",10^12,OFFSET(PLE!$G$14,$M125,CB$13))))</f>
        <v>1000000000000</v>
      </c>
      <c r="CC125" s="216">
        <f ca="1">IF($D125&lt;&gt;"Serviço",0,IF(OR(AND(AUTOEVENTO="Manual",$M125=1),$M125&gt;(ROW(PLE.lastrow)-ROW(PLE.firstrow))),0,IF(OFFSET(PLE!$G$14,$M125,CC$13)="",10^12,OFFSET(PLE!$G$14,$M125,CC$13))))</f>
        <v>1000000000000</v>
      </c>
      <c r="CD125" s="216">
        <f ca="1">IF($D125&lt;&gt;"Serviço",0,IF(OR(AND(AUTOEVENTO="Manual",$M125=1),$M125&gt;(ROW(PLE.lastrow)-ROW(PLE.firstrow))),0,IF(OFFSET(PLE!$G$14,$M125,CD$13)="",10^12,OFFSET(PLE!$G$14,$M125,CD$13))))</f>
        <v>1000000000000</v>
      </c>
      <c r="CE125" s="216">
        <f ca="1">IF($D125&lt;&gt;"Serviço",0,IF(OR(AND(AUTOEVENTO="Manual",$M125=1),$M125&gt;(ROW(PLE.lastrow)-ROW(PLE.firstrow))),0,IF(OFFSET(PLE!$G$14,$M125,CE$13)="",10^12,OFFSET(PLE!$G$14,$M125,CE$13))))</f>
        <v>1000000000000</v>
      </c>
      <c r="CF125" s="216">
        <f ca="1">IF($D125&lt;&gt;"Serviço",0,IF(OR(AND(AUTOEVENTO="Manual",$M125=1),$M125&gt;(ROW(PLE.lastrow)-ROW(PLE.firstrow))),0,IF(OFFSET(PLE!$G$14,$M125,CF$13)="",10^12,OFFSET(PLE!$G$14,$M125,CF$13))))</f>
        <v>1000000000000</v>
      </c>
      <c r="CG125" s="216">
        <f ca="1">IF($D125&lt;&gt;"Serviço",0,IF(OR(AND(AUTOEVENTO="Manual",$M125=1),$M125&gt;(ROW(PLE.lastrow)-ROW(PLE.firstrow))),0,IF(OFFSET(PLE!$G$14,$M125,CG$13)="",10^12,OFFSET(PLE!$G$14,$M125,CG$13))))</f>
        <v>1000000000000</v>
      </c>
      <c r="CH125" s="216">
        <f ca="1">IF($D125&lt;&gt;"Serviço",0,IF(OR(AND(AUTOEVENTO="Manual",$M125=1),$M125&gt;(ROW(PLE.lastrow)-ROW(PLE.firstrow))),0,IF(OFFSET(PLE!$G$14,$M125,CH$13)="",10^12,OFFSET(PLE!$G$14,$M125,CH$13))))</f>
        <v>1000000000000</v>
      </c>
      <c r="CI125" s="216">
        <f ca="1">IF($D125&lt;&gt;"Serviço",0,IF(OR(AND(AUTOEVENTO="Manual",$M125=1),$M125&gt;(ROW(PLE.lastrow)-ROW(PLE.firstrow))),0,IF(OFFSET(PLE!$G$14,$M125,CI$13)="",10^12,OFFSET(PLE!$G$14,$M125,CI$13))))</f>
        <v>1000000000000</v>
      </c>
      <c r="CJ125" s="216">
        <f ca="1">IF($D125&lt;&gt;"Serviço",0,IF(OR(AND(AUTOEVENTO="Manual",$M125=1),$M125&gt;(ROW(PLE.lastrow)-ROW(PLE.firstrow))),0,IF(OFFSET(PLE!$G$14,$M125,CJ$13)="",10^12,OFFSET(PLE!$G$14,$M125,CJ$13))))</f>
        <v>1000000000000</v>
      </c>
      <c r="CK125" s="216">
        <f ca="1">IF($D125&lt;&gt;"Serviço",0,IF(OR(AND(AUTOEVENTO="Manual",$M125=1),$M125&gt;(ROW(PLE.lastrow)-ROW(PLE.firstrow))),0,IF(OFFSET(PLE!$G$14,$M125,CK$13)="",10^12,OFFSET(PLE!$G$14,$M125,CK$13))))</f>
        <v>1000000000000</v>
      </c>
      <c r="CL125" s="216">
        <f ca="1">IF($D125&lt;&gt;"Serviço",0,IF(OR(AND(AUTOEVENTO="Manual",$M125=1),$M125&gt;(ROW(PLE.lastrow)-ROW(PLE.firstrow))),0,IF(OFFSET(PLE!$G$14,$M125,CL$13)="",10^12,OFFSET(PLE!$G$14,$M125,CL$13))))</f>
        <v>1000000000000</v>
      </c>
      <c r="CM125" s="216">
        <f ca="1">IF($D125&lt;&gt;"Serviço",0,IF(OR(AND(AUTOEVENTO="Manual",$M125=1),$M125&gt;(ROW(PLE.lastrow)-ROW(PLE.firstrow))),0,IF(OFFSET(PLE!$G$14,$M125,CM$13)="",10^12,OFFSET(PLE!$G$14,$M125,CM$13))))</f>
        <v>1000000000000</v>
      </c>
    </row>
    <row r="126" spans="1:91" ht="13.2" x14ac:dyDescent="0.25">
      <c r="A126" s="9">
        <f t="shared" ca="1" si="10"/>
        <v>0</v>
      </c>
      <c r="B126" s="9" t="str">
        <f ca="1">OFFSET(ORÇAMENTO!C$15,ROW(B126)-ROW(B$15),0)</f>
        <v>S</v>
      </c>
      <c r="C126" s="9" t="str">
        <f ca="1">OFFSET(ORÇAMENTO!L$15,ROW(C126)-ROW(C$15),0)</f>
        <v/>
      </c>
      <c r="D126" s="145" t="str">
        <f ca="1">OFFSET(ORÇAMENTO!N$15,ROW(D126)-ROW(D$15),0)</f>
        <v>Serviço</v>
      </c>
      <c r="E126" s="205" t="str">
        <f ca="1">OFFSET(ORÇAMENTO!O$15,ROW(E126)-ROW(E$15),0)</f>
        <v>-</v>
      </c>
      <c r="F126" s="206" t="str">
        <f ca="1">OFFSET(ORÇAMENTO!R$15,ROW(F126)-ROW(F$15),0)</f>
        <v>(abra o arquivo 'Referência 05-2024.xls)</v>
      </c>
      <c r="G126" s="207" t="str">
        <f ca="1">IF($D126&lt;&gt;"Serviço","",OFFSET(ORÇAMENTO!S$15,ROW(G126)-ROW(G$15),0))</f>
        <v>-</v>
      </c>
      <c r="H126" s="151">
        <f ca="1">IF($D126&lt;&gt;"Serviço",0,IF(ACOMPANHAMENTO="BM",ROUND(OFFSET(ORÇAMENTO!AJ$15,ROW(H126)-ROW(H$15),0),15-13*ORÇAMENTO!$AF$7),SUMPRODUCT(($Q$12:$AI$12&lt;&gt;"")*ROUND($Q126:$AI126,15-13*ORÇAMENTO!$AF$7))))</f>
        <v>3.47</v>
      </c>
      <c r="I126" s="650"/>
      <c r="K126" s="208"/>
      <c r="L126" s="209" t="s">
        <v>257</v>
      </c>
      <c r="M126" s="210">
        <f ca="1">IF($D126&lt;&gt;"Serviço","",IF(AUTOEVENTO="manual",$A126,IF(ISERROR(MATCH($A126,$A$15:OFFSET($A126,-1,0),0)),MAX($M$15:OFFSET(M126,-1,0))+1,INDEX($M$15:OFFSET(M126,-1,0),MATCH($A126,$A$15:OFFSET($A126,-1,0),0)))))</f>
        <v>0</v>
      </c>
      <c r="N126" s="211" t="str">
        <f ca="1">IF($D126&lt;&gt;"Serviço","",IF(AUTOEVENTO="Manual",IF($A126=0,"&lt;-- defina o número do agrupador",OFFSET(EVENTOS!$D$14,$A126,0)),OFFSET($F$15,$A126,0)))</f>
        <v>&lt;-- defina o número do agrupador</v>
      </c>
      <c r="O126" s="212"/>
      <c r="Q126" s="212"/>
      <c r="R126" s="213"/>
      <c r="S126" s="213"/>
      <c r="T126" s="213"/>
      <c r="U126" s="213"/>
      <c r="V126" s="213"/>
      <c r="W126" s="213"/>
      <c r="X126" s="213"/>
      <c r="Y126" s="213"/>
      <c r="Z126" s="214"/>
      <c r="AA126" s="213"/>
      <c r="AB126" s="213"/>
      <c r="AC126" s="213"/>
      <c r="AD126" s="213"/>
      <c r="AE126" s="213"/>
      <c r="AF126" s="213"/>
      <c r="AG126" s="213"/>
      <c r="AH126" s="214"/>
      <c r="AJ126" s="631">
        <f ca="1">IF(AND($D126="Serviço",AJ$12&lt;&gt;0,$H126&gt;0,OR(AUTOEVENTO&lt;&gt;"manual",$M126&lt;&gt;1)),ROUND(OFFSET($P126,0,AJ$13),15-13*ORÇAMENTO!$AF$7)/$H126*OFFSET(ORÇAMENTO!$X$15,ROW(AJ126)-ROW(AJ$15),0),0)</f>
        <v>0</v>
      </c>
      <c r="AK126" s="632">
        <f ca="1">IF(AND($D126="Serviço",AK$12&lt;&gt;0,$H126&gt;0,OR(AUTOEVENTO&lt;&gt;"manual",$M126&lt;&gt;1)),ROUND(OFFSET($P126,0,AK$13),15-13*ORÇAMENTO!$AF$7)/$H126*OFFSET(ORÇAMENTO!$X$15,ROW(AK126)-ROW(AK$15),0),0)</f>
        <v>0</v>
      </c>
      <c r="AL126" s="632">
        <f ca="1">IF(AND($D126="Serviço",AL$12&lt;&gt;0,$H126&gt;0,OR(AUTOEVENTO&lt;&gt;"manual",$M126&lt;&gt;1)),ROUND(OFFSET($P126,0,AL$13),15-13*ORÇAMENTO!$AF$7)/$H126*OFFSET(ORÇAMENTO!$X$15,ROW(AL126)-ROW(AL$15),0),0)</f>
        <v>0</v>
      </c>
      <c r="AM126" s="632">
        <f ca="1">IF(AND($D126="Serviço",AM$12&lt;&gt;0,$H126&gt;0,OR(AUTOEVENTO&lt;&gt;"manual",$M126&lt;&gt;1)),ROUND(OFFSET($P126,0,AM$13),15-13*ORÇAMENTO!$AF$7)/$H126*OFFSET(ORÇAMENTO!$X$15,ROW(AM126)-ROW(AM$15),0),0)</f>
        <v>0</v>
      </c>
      <c r="AN126" s="632">
        <f ca="1">IF(AND($D126="Serviço",AN$12&lt;&gt;0,$H126&gt;0,OR(AUTOEVENTO&lt;&gt;"manual",$M126&lt;&gt;1)),ROUND(OFFSET($P126,0,AN$13),15-13*ORÇAMENTO!$AF$7)/$H126*OFFSET(ORÇAMENTO!$X$15,ROW(AN126)-ROW(AN$15),0),0)</f>
        <v>0</v>
      </c>
      <c r="AO126" s="632">
        <f ca="1">IF(AND($D126="Serviço",AO$12&lt;&gt;0,$H126&gt;0,OR(AUTOEVENTO&lt;&gt;"manual",$M126&lt;&gt;1)),ROUND(OFFSET($P126,0,AO$13),15-13*ORÇAMENTO!$AF$7)/$H126*OFFSET(ORÇAMENTO!$X$15,ROW(AO126)-ROW(AO$15),0),0)</f>
        <v>0</v>
      </c>
      <c r="AP126" s="632">
        <f ca="1">IF(AND($D126="Serviço",AP$12&lt;&gt;0,$H126&gt;0,OR(AUTOEVENTO&lt;&gt;"manual",$M126&lt;&gt;1)),ROUND(OFFSET($P126,0,AP$13),15-13*ORÇAMENTO!$AF$7)/$H126*OFFSET(ORÇAMENTO!$X$15,ROW(AP126)-ROW(AP$15),0),0)</f>
        <v>0</v>
      </c>
      <c r="AQ126" s="632">
        <f ca="1">IF(AND($D126="Serviço",AQ$12&lt;&gt;0,$H126&gt;0,OR(AUTOEVENTO&lt;&gt;"manual",$M126&lt;&gt;1)),ROUND(OFFSET($P126,0,AQ$13),15-13*ORÇAMENTO!$AF$7)/$H126*OFFSET(ORÇAMENTO!$X$15,ROW(AQ126)-ROW(AQ$15),0),0)</f>
        <v>0</v>
      </c>
      <c r="AR126" s="632">
        <f ca="1">IF(AND($D126="Serviço",AR$12&lt;&gt;0,$H126&gt;0,OR(AUTOEVENTO&lt;&gt;"manual",$M126&lt;&gt;1)),ROUND(OFFSET($P126,0,AR$13),15-13*ORÇAMENTO!$AF$7)/$H126*OFFSET(ORÇAMENTO!$X$15,ROW(AR126)-ROW(AR$15),0),0)</f>
        <v>0</v>
      </c>
      <c r="AS126" s="633">
        <f ca="1">IF(AND($D126="Serviço",AS$12&lt;&gt;0,$H126&gt;0,OR(AUTOEVENTO&lt;&gt;"manual",$M126&lt;&gt;1)),ROUND(OFFSET($P126,0,AS$13),15-13*ORÇAMENTO!$AF$7)/$H126*OFFSET(ORÇAMENTO!$X$15,ROW(AS126)-ROW(AS$15),0),0)</f>
        <v>0</v>
      </c>
      <c r="AT126" s="632">
        <f ca="1">IF(AND($D126="Serviço",AT$12&lt;&gt;0,$H126&gt;0,OR(AUTOEVENTO&lt;&gt;"manual",$M126&lt;&gt;1)),ROUND(OFFSET($P126,0,AT$13),15-13*ORÇAMENTO!$AF$7)/$H126*OFFSET(ORÇAMENTO!$X$15,ROW(AT126)-ROW(AT$15),0),0)</f>
        <v>0</v>
      </c>
      <c r="AU126" s="632">
        <f ca="1">IF(AND($D126="Serviço",AU$12&lt;&gt;0,$H126&gt;0,OR(AUTOEVENTO&lt;&gt;"manual",$M126&lt;&gt;1)),ROUND(OFFSET($P126,0,AU$13),15-13*ORÇAMENTO!$AF$7)/$H126*OFFSET(ORÇAMENTO!$X$15,ROW(AU126)-ROW(AU$15),0),0)</f>
        <v>0</v>
      </c>
      <c r="AV126" s="632">
        <f ca="1">IF(AND($D126="Serviço",AV$12&lt;&gt;0,$H126&gt;0,OR(AUTOEVENTO&lt;&gt;"manual",$M126&lt;&gt;1)),ROUND(OFFSET($P126,0,AV$13),15-13*ORÇAMENTO!$AF$7)/$H126*OFFSET(ORÇAMENTO!$X$15,ROW(AV126)-ROW(AV$15),0),0)</f>
        <v>0</v>
      </c>
      <c r="AW126" s="632">
        <f ca="1">IF(AND($D126="Serviço",AW$12&lt;&gt;0,$H126&gt;0,OR(AUTOEVENTO&lt;&gt;"manual",$M126&lt;&gt;1)),ROUND(OFFSET($P126,0,AW$13),15-13*ORÇAMENTO!$AF$7)/$H126*OFFSET(ORÇAMENTO!$X$15,ROW(AW126)-ROW(AW$15),0),0)</f>
        <v>0</v>
      </c>
      <c r="AX126" s="632">
        <f ca="1">IF(AND($D126="Serviço",AX$12&lt;&gt;0,$H126&gt;0,OR(AUTOEVENTO&lt;&gt;"manual",$M126&lt;&gt;1)),ROUND(OFFSET($P126,0,AX$13),15-13*ORÇAMENTO!$AF$7)/$H126*OFFSET(ORÇAMENTO!$X$15,ROW(AX126)-ROW(AX$15),0),0)</f>
        <v>0</v>
      </c>
      <c r="AY126" s="632">
        <f ca="1">IF(AND($D126="Serviço",AY$12&lt;&gt;0,$H126&gt;0,OR(AUTOEVENTO&lt;&gt;"manual",$M126&lt;&gt;1)),ROUND(OFFSET($P126,0,AY$13),15-13*ORÇAMENTO!$AF$7)/$H126*OFFSET(ORÇAMENTO!$X$15,ROW(AY126)-ROW(AY$15),0),0)</f>
        <v>0</v>
      </c>
      <c r="AZ126" s="632">
        <f ca="1">IF(AND($D126="Serviço",AZ$12&lt;&gt;0,$H126&gt;0,OR(AUTOEVENTO&lt;&gt;"manual",$M126&lt;&gt;1)),ROUND(OFFSET($P126,0,AZ$13),15-13*ORÇAMENTO!$AF$7)/$H126*OFFSET(ORÇAMENTO!$X$15,ROW(AZ126)-ROW(AZ$15),0),0)</f>
        <v>0</v>
      </c>
      <c r="BA126" s="633">
        <f ca="1">IF(AND($D126="Serviço",BA$12&lt;&gt;0,$H126&gt;0,OR(AUTOEVENTO&lt;&gt;"manual",$M126&lt;&gt;1)),ROUND(OFFSET($P126,0,BA$13),15-13*ORÇAMENTO!$AF$7)/$H126*OFFSET(ORÇAMENTO!$X$15,ROW(BA126)-ROW(BA$15),0),0)</f>
        <v>0</v>
      </c>
      <c r="BC126" s="215">
        <f ca="1">IF($D126&lt;&gt;"Serviço",0,IF(AND(AUTOEVENTO="Manual",$M126=1),0,IF(OFFSET(CRONOPLE!$F$14,$M126,BC$13)="",10^12,OFFSET(CRONOPLE!$F$14,$M126,BC$13))))</f>
        <v>1000000000000</v>
      </c>
      <c r="BD126" s="215">
        <f ca="1">IF($D126&lt;&gt;"Serviço",0,IF(AND(AUTOEVENTO="Manual",$M126=1),0,IF(OFFSET(CRONOPLE!$F$14,$M126,BD$13)="",10^12,OFFSET(CRONOPLE!$F$14,$M126,BD$13))))</f>
        <v>1000000000000</v>
      </c>
      <c r="BE126" s="215">
        <f ca="1">IF($D126&lt;&gt;"Serviço",0,IF(AND(AUTOEVENTO="Manual",$M126=1),0,IF(OFFSET(CRONOPLE!$F$14,$M126,BE$13)="",10^12,OFFSET(CRONOPLE!$F$14,$M126,BE$13))))</f>
        <v>1000000000000</v>
      </c>
      <c r="BF126" s="215">
        <f ca="1">IF($D126&lt;&gt;"Serviço",0,IF(AND(AUTOEVENTO="Manual",$M126=1),0,IF(OFFSET(CRONOPLE!$F$14,$M126,BF$13)="",10^12,OFFSET(CRONOPLE!$F$14,$M126,BF$13))))</f>
        <v>1000000000000</v>
      </c>
      <c r="BG126" s="215">
        <f ca="1">IF($D126&lt;&gt;"Serviço",0,IF(AND(AUTOEVENTO="Manual",$M126=1),0,IF(OFFSET(CRONOPLE!$F$14,$M126,BG$13)="",10^12,OFFSET(CRONOPLE!$F$14,$M126,BG$13))))</f>
        <v>1000000000000</v>
      </c>
      <c r="BH126" s="215">
        <f ca="1">IF($D126&lt;&gt;"Serviço",0,IF(AND(AUTOEVENTO="Manual",$M126=1),0,IF(OFFSET(CRONOPLE!$F$14,$M126,BH$13)="",10^12,OFFSET(CRONOPLE!$F$14,$M126,BH$13))))</f>
        <v>1000000000000</v>
      </c>
      <c r="BI126" s="215">
        <f ca="1">IF($D126&lt;&gt;"Serviço",0,IF(AND(AUTOEVENTO="Manual",$M126=1),0,IF(OFFSET(CRONOPLE!$F$14,$M126,BI$13)="",10^12,OFFSET(CRONOPLE!$F$14,$M126,BI$13))))</f>
        <v>1000000000000</v>
      </c>
      <c r="BJ126" s="215">
        <f ca="1">IF($D126&lt;&gt;"Serviço",0,IF(AND(AUTOEVENTO="Manual",$M126=1),0,IF(OFFSET(CRONOPLE!$F$14,$M126,BJ$13)="",10^12,OFFSET(CRONOPLE!$F$14,$M126,BJ$13))))</f>
        <v>1000000000000</v>
      </c>
      <c r="BK126" s="215">
        <f ca="1">IF($D126&lt;&gt;"Serviço",0,IF(AND(AUTOEVENTO="Manual",$M126=1),0,IF(OFFSET(CRONOPLE!$F$14,$M126,BK$13)="",10^12,OFFSET(CRONOPLE!$F$14,$M126,BK$13))))</f>
        <v>1000000000000</v>
      </c>
      <c r="BL126" s="215">
        <f ca="1">IF($D126&lt;&gt;"Serviço",0,IF(AND(AUTOEVENTO="Manual",$M126=1),0,IF(OFFSET(CRONOPLE!$F$14,$M126,BL$13)="",10^12,OFFSET(CRONOPLE!$F$14,$M126,BL$13))))</f>
        <v>1000000000000</v>
      </c>
      <c r="BM126" s="215">
        <f ca="1">IF($D126&lt;&gt;"Serviço",0,IF(AND(AUTOEVENTO="Manual",$M126=1),0,IF(OFFSET(CRONOPLE!$F$14,$M126,BM$13)="",10^12,OFFSET(CRONOPLE!$F$14,$M126,BM$13))))</f>
        <v>1000000000000</v>
      </c>
      <c r="BN126" s="215">
        <f ca="1">IF($D126&lt;&gt;"Serviço",0,IF(AND(AUTOEVENTO="Manual",$M126=1),0,IF(OFFSET(CRONOPLE!$F$14,$M126,BN$13)="",10^12,OFFSET(CRONOPLE!$F$14,$M126,BN$13))))</f>
        <v>1000000000000</v>
      </c>
      <c r="BO126" s="215">
        <f ca="1">IF($D126&lt;&gt;"Serviço",0,IF(AND(AUTOEVENTO="Manual",$M126=1),0,IF(OFFSET(CRONOPLE!$F$14,$M126,BO$13)="",10^12,OFFSET(CRONOPLE!$F$14,$M126,BO$13))))</f>
        <v>1000000000000</v>
      </c>
      <c r="BP126" s="215">
        <f ca="1">IF($D126&lt;&gt;"Serviço",0,IF(AND(AUTOEVENTO="Manual",$M126=1),0,IF(OFFSET(CRONOPLE!$F$14,$M126,BP$13)="",10^12,OFFSET(CRONOPLE!$F$14,$M126,BP$13))))</f>
        <v>1000000000000</v>
      </c>
      <c r="BQ126" s="215">
        <f ca="1">IF($D126&lt;&gt;"Serviço",0,IF(AND(AUTOEVENTO="Manual",$M126=1),0,IF(OFFSET(CRONOPLE!$F$14,$M126,BQ$13)="",10^12,OFFSET(CRONOPLE!$F$14,$M126,BQ$13))))</f>
        <v>1000000000000</v>
      </c>
      <c r="BR126" s="215">
        <f ca="1">IF($D126&lt;&gt;"Serviço",0,IF(AND(AUTOEVENTO="Manual",$M126=1),0,IF(OFFSET(CRONOPLE!$F$14,$M126,BR$13)="",10^12,OFFSET(CRONOPLE!$F$14,$M126,BR$13))))</f>
        <v>1000000000000</v>
      </c>
      <c r="BS126" s="215">
        <f ca="1">IF($D126&lt;&gt;"Serviço",0,IF(AND(AUTOEVENTO="Manual",$M126=1),0,IF(OFFSET(CRONOPLE!$F$14,$M126,BS$13)="",10^12,OFFSET(CRONOPLE!$F$14,$M126,BS$13))))</f>
        <v>1000000000000</v>
      </c>
      <c r="BT126" s="215">
        <f ca="1">IF($D126&lt;&gt;"Serviço",0,IF(AND(AUTOEVENTO="Manual",$M126=1),0,IF(OFFSET(CRONOPLE!$F$14,$M126,BT$13)="",10^12,OFFSET(CRONOPLE!$F$14,$M126,BT$13))))</f>
        <v>1000000000000</v>
      </c>
      <c r="BV126" s="216">
        <f ca="1">IF($D126&lt;&gt;"Serviço",0,IF(OR(AND(AUTOEVENTO="Manual",$M126=1),$M126&gt;(ROW(PLE.lastrow)-ROW(PLE.firstrow))),0,IF(OFFSET(PLE!$G$14,$M126,BV$13)="",10^12,OFFSET(PLE!$G$14,$M126,BV$13))))</f>
        <v>1000000000000</v>
      </c>
      <c r="BW126" s="216">
        <f ca="1">IF($D126&lt;&gt;"Serviço",0,IF(OR(AND(AUTOEVENTO="Manual",$M126=1),$M126&gt;(ROW(PLE.lastrow)-ROW(PLE.firstrow))),0,IF(OFFSET(PLE!$G$14,$M126,BW$13)="",10^12,OFFSET(PLE!$G$14,$M126,BW$13))))</f>
        <v>1000000000000</v>
      </c>
      <c r="BX126" s="216">
        <f ca="1">IF($D126&lt;&gt;"Serviço",0,IF(OR(AND(AUTOEVENTO="Manual",$M126=1),$M126&gt;(ROW(PLE.lastrow)-ROW(PLE.firstrow))),0,IF(OFFSET(PLE!$G$14,$M126,BX$13)="",10^12,OFFSET(PLE!$G$14,$M126,BX$13))))</f>
        <v>1000000000000</v>
      </c>
      <c r="BY126" s="216">
        <f ca="1">IF($D126&lt;&gt;"Serviço",0,IF(OR(AND(AUTOEVENTO="Manual",$M126=1),$M126&gt;(ROW(PLE.lastrow)-ROW(PLE.firstrow))),0,IF(OFFSET(PLE!$G$14,$M126,BY$13)="",10^12,OFFSET(PLE!$G$14,$M126,BY$13))))</f>
        <v>1000000000000</v>
      </c>
      <c r="BZ126" s="216">
        <f ca="1">IF($D126&lt;&gt;"Serviço",0,IF(OR(AND(AUTOEVENTO="Manual",$M126=1),$M126&gt;(ROW(PLE.lastrow)-ROW(PLE.firstrow))),0,IF(OFFSET(PLE!$G$14,$M126,BZ$13)="",10^12,OFFSET(PLE!$G$14,$M126,BZ$13))))</f>
        <v>1000000000000</v>
      </c>
      <c r="CA126" s="216">
        <f ca="1">IF($D126&lt;&gt;"Serviço",0,IF(OR(AND(AUTOEVENTO="Manual",$M126=1),$M126&gt;(ROW(PLE.lastrow)-ROW(PLE.firstrow))),0,IF(OFFSET(PLE!$G$14,$M126,CA$13)="",10^12,OFFSET(PLE!$G$14,$M126,CA$13))))</f>
        <v>1000000000000</v>
      </c>
      <c r="CB126" s="216">
        <f ca="1">IF($D126&lt;&gt;"Serviço",0,IF(OR(AND(AUTOEVENTO="Manual",$M126=1),$M126&gt;(ROW(PLE.lastrow)-ROW(PLE.firstrow))),0,IF(OFFSET(PLE!$G$14,$M126,CB$13)="",10^12,OFFSET(PLE!$G$14,$M126,CB$13))))</f>
        <v>1000000000000</v>
      </c>
      <c r="CC126" s="216">
        <f ca="1">IF($D126&lt;&gt;"Serviço",0,IF(OR(AND(AUTOEVENTO="Manual",$M126=1),$M126&gt;(ROW(PLE.lastrow)-ROW(PLE.firstrow))),0,IF(OFFSET(PLE!$G$14,$M126,CC$13)="",10^12,OFFSET(PLE!$G$14,$M126,CC$13))))</f>
        <v>1000000000000</v>
      </c>
      <c r="CD126" s="216">
        <f ca="1">IF($D126&lt;&gt;"Serviço",0,IF(OR(AND(AUTOEVENTO="Manual",$M126=1),$M126&gt;(ROW(PLE.lastrow)-ROW(PLE.firstrow))),0,IF(OFFSET(PLE!$G$14,$M126,CD$13)="",10^12,OFFSET(PLE!$G$14,$M126,CD$13))))</f>
        <v>1000000000000</v>
      </c>
      <c r="CE126" s="216">
        <f ca="1">IF($D126&lt;&gt;"Serviço",0,IF(OR(AND(AUTOEVENTO="Manual",$M126=1),$M126&gt;(ROW(PLE.lastrow)-ROW(PLE.firstrow))),0,IF(OFFSET(PLE!$G$14,$M126,CE$13)="",10^12,OFFSET(PLE!$G$14,$M126,CE$13))))</f>
        <v>1000000000000</v>
      </c>
      <c r="CF126" s="216">
        <f ca="1">IF($D126&lt;&gt;"Serviço",0,IF(OR(AND(AUTOEVENTO="Manual",$M126=1),$M126&gt;(ROW(PLE.lastrow)-ROW(PLE.firstrow))),0,IF(OFFSET(PLE!$G$14,$M126,CF$13)="",10^12,OFFSET(PLE!$G$14,$M126,CF$13))))</f>
        <v>1000000000000</v>
      </c>
      <c r="CG126" s="216">
        <f ca="1">IF($D126&lt;&gt;"Serviço",0,IF(OR(AND(AUTOEVENTO="Manual",$M126=1),$M126&gt;(ROW(PLE.lastrow)-ROW(PLE.firstrow))),0,IF(OFFSET(PLE!$G$14,$M126,CG$13)="",10^12,OFFSET(PLE!$G$14,$M126,CG$13))))</f>
        <v>1000000000000</v>
      </c>
      <c r="CH126" s="216">
        <f ca="1">IF($D126&lt;&gt;"Serviço",0,IF(OR(AND(AUTOEVENTO="Manual",$M126=1),$M126&gt;(ROW(PLE.lastrow)-ROW(PLE.firstrow))),0,IF(OFFSET(PLE!$G$14,$M126,CH$13)="",10^12,OFFSET(PLE!$G$14,$M126,CH$13))))</f>
        <v>1000000000000</v>
      </c>
      <c r="CI126" s="216">
        <f ca="1">IF($D126&lt;&gt;"Serviço",0,IF(OR(AND(AUTOEVENTO="Manual",$M126=1),$M126&gt;(ROW(PLE.lastrow)-ROW(PLE.firstrow))),0,IF(OFFSET(PLE!$G$14,$M126,CI$13)="",10^12,OFFSET(PLE!$G$14,$M126,CI$13))))</f>
        <v>1000000000000</v>
      </c>
      <c r="CJ126" s="216">
        <f ca="1">IF($D126&lt;&gt;"Serviço",0,IF(OR(AND(AUTOEVENTO="Manual",$M126=1),$M126&gt;(ROW(PLE.lastrow)-ROW(PLE.firstrow))),0,IF(OFFSET(PLE!$G$14,$M126,CJ$13)="",10^12,OFFSET(PLE!$G$14,$M126,CJ$13))))</f>
        <v>1000000000000</v>
      </c>
      <c r="CK126" s="216">
        <f ca="1">IF($D126&lt;&gt;"Serviço",0,IF(OR(AND(AUTOEVENTO="Manual",$M126=1),$M126&gt;(ROW(PLE.lastrow)-ROW(PLE.firstrow))),0,IF(OFFSET(PLE!$G$14,$M126,CK$13)="",10^12,OFFSET(PLE!$G$14,$M126,CK$13))))</f>
        <v>1000000000000</v>
      </c>
      <c r="CL126" s="216">
        <f ca="1">IF($D126&lt;&gt;"Serviço",0,IF(OR(AND(AUTOEVENTO="Manual",$M126=1),$M126&gt;(ROW(PLE.lastrow)-ROW(PLE.firstrow))),0,IF(OFFSET(PLE!$G$14,$M126,CL$13)="",10^12,OFFSET(PLE!$G$14,$M126,CL$13))))</f>
        <v>1000000000000</v>
      </c>
      <c r="CM126" s="216">
        <f ca="1">IF($D126&lt;&gt;"Serviço",0,IF(OR(AND(AUTOEVENTO="Manual",$M126=1),$M126&gt;(ROW(PLE.lastrow)-ROW(PLE.firstrow))),0,IF(OFFSET(PLE!$G$14,$M126,CM$13)="",10^12,OFFSET(PLE!$G$14,$M126,CM$13))))</f>
        <v>1000000000000</v>
      </c>
    </row>
    <row r="127" spans="1:91" ht="13.2" x14ac:dyDescent="0.25">
      <c r="A127" s="9">
        <f t="shared" ca="1" si="10"/>
        <v>0</v>
      </c>
      <c r="B127" s="9" t="str">
        <f ca="1">OFFSET(ORÇAMENTO!C$15,ROW(B127)-ROW(B$15),0)</f>
        <v>S</v>
      </c>
      <c r="C127" s="9" t="str">
        <f ca="1">OFFSET(ORÇAMENTO!L$15,ROW(C127)-ROW(C$15),0)</f>
        <v/>
      </c>
      <c r="D127" s="145" t="str">
        <f ca="1">OFFSET(ORÇAMENTO!N$15,ROW(D127)-ROW(D$15),0)</f>
        <v>Serviço</v>
      </c>
      <c r="E127" s="205" t="str">
        <f ca="1">OFFSET(ORÇAMENTO!O$15,ROW(E127)-ROW(E$15),0)</f>
        <v>-</v>
      </c>
      <c r="F127" s="206" t="str">
        <f ca="1">OFFSET(ORÇAMENTO!R$15,ROW(F127)-ROW(F$15),0)</f>
        <v>(abra o arquivo 'Referência 05-2024.xls)</v>
      </c>
      <c r="G127" s="207" t="str">
        <f ca="1">IF($D127&lt;&gt;"Serviço","",OFFSET(ORÇAMENTO!S$15,ROW(G127)-ROW(G$15),0))</f>
        <v>-</v>
      </c>
      <c r="H127" s="151">
        <f ca="1">IF($D127&lt;&gt;"Serviço",0,IF(ACOMPANHAMENTO="BM",ROUND(OFFSET(ORÇAMENTO!AJ$15,ROW(H127)-ROW(H$15),0),15-13*ORÇAMENTO!$AF$7),SUMPRODUCT(($Q$12:$AI$12&lt;&gt;"")*ROUND($Q127:$AI127,15-13*ORÇAMENTO!$AF$7))))</f>
        <v>226.89</v>
      </c>
      <c r="I127" s="650"/>
      <c r="K127" s="208"/>
      <c r="L127" s="209" t="s">
        <v>257</v>
      </c>
      <c r="M127" s="210">
        <f ca="1">IF($D127&lt;&gt;"Serviço","",IF(AUTOEVENTO="manual",$A127,IF(ISERROR(MATCH($A127,$A$15:OFFSET($A127,-1,0),0)),MAX($M$15:OFFSET(M127,-1,0))+1,INDEX($M$15:OFFSET(M127,-1,0),MATCH($A127,$A$15:OFFSET($A127,-1,0),0)))))</f>
        <v>0</v>
      </c>
      <c r="N127" s="211" t="str">
        <f ca="1">IF($D127&lt;&gt;"Serviço","",IF(AUTOEVENTO="Manual",IF($A127=0,"&lt;-- defina o número do agrupador",OFFSET(EVENTOS!$D$14,$A127,0)),OFFSET($F$15,$A127,0)))</f>
        <v>&lt;-- defina o número do agrupador</v>
      </c>
      <c r="O127" s="212"/>
      <c r="Q127" s="212"/>
      <c r="R127" s="213"/>
      <c r="S127" s="213"/>
      <c r="T127" s="213"/>
      <c r="U127" s="213"/>
      <c r="V127" s="213"/>
      <c r="W127" s="213"/>
      <c r="X127" s="213"/>
      <c r="Y127" s="213"/>
      <c r="Z127" s="214"/>
      <c r="AA127" s="213"/>
      <c r="AB127" s="213"/>
      <c r="AC127" s="213"/>
      <c r="AD127" s="213"/>
      <c r="AE127" s="213"/>
      <c r="AF127" s="213"/>
      <c r="AG127" s="213"/>
      <c r="AH127" s="214"/>
      <c r="AJ127" s="631">
        <f ca="1">IF(AND($D127="Serviço",AJ$12&lt;&gt;0,$H127&gt;0,OR(AUTOEVENTO&lt;&gt;"manual",$M127&lt;&gt;1)),ROUND(OFFSET($P127,0,AJ$13),15-13*ORÇAMENTO!$AF$7)/$H127*OFFSET(ORÇAMENTO!$X$15,ROW(AJ127)-ROW(AJ$15),0),0)</f>
        <v>0</v>
      </c>
      <c r="AK127" s="632">
        <f ca="1">IF(AND($D127="Serviço",AK$12&lt;&gt;0,$H127&gt;0,OR(AUTOEVENTO&lt;&gt;"manual",$M127&lt;&gt;1)),ROUND(OFFSET($P127,0,AK$13),15-13*ORÇAMENTO!$AF$7)/$H127*OFFSET(ORÇAMENTO!$X$15,ROW(AK127)-ROW(AK$15),0),0)</f>
        <v>0</v>
      </c>
      <c r="AL127" s="632">
        <f ca="1">IF(AND($D127="Serviço",AL$12&lt;&gt;0,$H127&gt;0,OR(AUTOEVENTO&lt;&gt;"manual",$M127&lt;&gt;1)),ROUND(OFFSET($P127,0,AL$13),15-13*ORÇAMENTO!$AF$7)/$H127*OFFSET(ORÇAMENTO!$X$15,ROW(AL127)-ROW(AL$15),0),0)</f>
        <v>0</v>
      </c>
      <c r="AM127" s="632">
        <f ca="1">IF(AND($D127="Serviço",AM$12&lt;&gt;0,$H127&gt;0,OR(AUTOEVENTO&lt;&gt;"manual",$M127&lt;&gt;1)),ROUND(OFFSET($P127,0,AM$13),15-13*ORÇAMENTO!$AF$7)/$H127*OFFSET(ORÇAMENTO!$X$15,ROW(AM127)-ROW(AM$15),0),0)</f>
        <v>0</v>
      </c>
      <c r="AN127" s="632">
        <f ca="1">IF(AND($D127="Serviço",AN$12&lt;&gt;0,$H127&gt;0,OR(AUTOEVENTO&lt;&gt;"manual",$M127&lt;&gt;1)),ROUND(OFFSET($P127,0,AN$13),15-13*ORÇAMENTO!$AF$7)/$H127*OFFSET(ORÇAMENTO!$X$15,ROW(AN127)-ROW(AN$15),0),0)</f>
        <v>0</v>
      </c>
      <c r="AO127" s="632">
        <f ca="1">IF(AND($D127="Serviço",AO$12&lt;&gt;0,$H127&gt;0,OR(AUTOEVENTO&lt;&gt;"manual",$M127&lt;&gt;1)),ROUND(OFFSET($P127,0,AO$13),15-13*ORÇAMENTO!$AF$7)/$H127*OFFSET(ORÇAMENTO!$X$15,ROW(AO127)-ROW(AO$15),0),0)</f>
        <v>0</v>
      </c>
      <c r="AP127" s="632">
        <f ca="1">IF(AND($D127="Serviço",AP$12&lt;&gt;0,$H127&gt;0,OR(AUTOEVENTO&lt;&gt;"manual",$M127&lt;&gt;1)),ROUND(OFFSET($P127,0,AP$13),15-13*ORÇAMENTO!$AF$7)/$H127*OFFSET(ORÇAMENTO!$X$15,ROW(AP127)-ROW(AP$15),0),0)</f>
        <v>0</v>
      </c>
      <c r="AQ127" s="632">
        <f ca="1">IF(AND($D127="Serviço",AQ$12&lt;&gt;0,$H127&gt;0,OR(AUTOEVENTO&lt;&gt;"manual",$M127&lt;&gt;1)),ROUND(OFFSET($P127,0,AQ$13),15-13*ORÇAMENTO!$AF$7)/$H127*OFFSET(ORÇAMENTO!$X$15,ROW(AQ127)-ROW(AQ$15),0),0)</f>
        <v>0</v>
      </c>
      <c r="AR127" s="632">
        <f ca="1">IF(AND($D127="Serviço",AR$12&lt;&gt;0,$H127&gt;0,OR(AUTOEVENTO&lt;&gt;"manual",$M127&lt;&gt;1)),ROUND(OFFSET($P127,0,AR$13),15-13*ORÇAMENTO!$AF$7)/$H127*OFFSET(ORÇAMENTO!$X$15,ROW(AR127)-ROW(AR$15),0),0)</f>
        <v>0</v>
      </c>
      <c r="AS127" s="633">
        <f ca="1">IF(AND($D127="Serviço",AS$12&lt;&gt;0,$H127&gt;0,OR(AUTOEVENTO&lt;&gt;"manual",$M127&lt;&gt;1)),ROUND(OFFSET($P127,0,AS$13),15-13*ORÇAMENTO!$AF$7)/$H127*OFFSET(ORÇAMENTO!$X$15,ROW(AS127)-ROW(AS$15),0),0)</f>
        <v>0</v>
      </c>
      <c r="AT127" s="632">
        <f ca="1">IF(AND($D127="Serviço",AT$12&lt;&gt;0,$H127&gt;0,OR(AUTOEVENTO&lt;&gt;"manual",$M127&lt;&gt;1)),ROUND(OFFSET($P127,0,AT$13),15-13*ORÇAMENTO!$AF$7)/$H127*OFFSET(ORÇAMENTO!$X$15,ROW(AT127)-ROW(AT$15),0),0)</f>
        <v>0</v>
      </c>
      <c r="AU127" s="632">
        <f ca="1">IF(AND($D127="Serviço",AU$12&lt;&gt;0,$H127&gt;0,OR(AUTOEVENTO&lt;&gt;"manual",$M127&lt;&gt;1)),ROUND(OFFSET($P127,0,AU$13),15-13*ORÇAMENTO!$AF$7)/$H127*OFFSET(ORÇAMENTO!$X$15,ROW(AU127)-ROW(AU$15),0),0)</f>
        <v>0</v>
      </c>
      <c r="AV127" s="632">
        <f ca="1">IF(AND($D127="Serviço",AV$12&lt;&gt;0,$H127&gt;0,OR(AUTOEVENTO&lt;&gt;"manual",$M127&lt;&gt;1)),ROUND(OFFSET($P127,0,AV$13),15-13*ORÇAMENTO!$AF$7)/$H127*OFFSET(ORÇAMENTO!$X$15,ROW(AV127)-ROW(AV$15),0),0)</f>
        <v>0</v>
      </c>
      <c r="AW127" s="632">
        <f ca="1">IF(AND($D127="Serviço",AW$12&lt;&gt;0,$H127&gt;0,OR(AUTOEVENTO&lt;&gt;"manual",$M127&lt;&gt;1)),ROUND(OFFSET($P127,0,AW$13),15-13*ORÇAMENTO!$AF$7)/$H127*OFFSET(ORÇAMENTO!$X$15,ROW(AW127)-ROW(AW$15),0),0)</f>
        <v>0</v>
      </c>
      <c r="AX127" s="632">
        <f ca="1">IF(AND($D127="Serviço",AX$12&lt;&gt;0,$H127&gt;0,OR(AUTOEVENTO&lt;&gt;"manual",$M127&lt;&gt;1)),ROUND(OFFSET($P127,0,AX$13),15-13*ORÇAMENTO!$AF$7)/$H127*OFFSET(ORÇAMENTO!$X$15,ROW(AX127)-ROW(AX$15),0),0)</f>
        <v>0</v>
      </c>
      <c r="AY127" s="632">
        <f ca="1">IF(AND($D127="Serviço",AY$12&lt;&gt;0,$H127&gt;0,OR(AUTOEVENTO&lt;&gt;"manual",$M127&lt;&gt;1)),ROUND(OFFSET($P127,0,AY$13),15-13*ORÇAMENTO!$AF$7)/$H127*OFFSET(ORÇAMENTO!$X$15,ROW(AY127)-ROW(AY$15),0),0)</f>
        <v>0</v>
      </c>
      <c r="AZ127" s="632">
        <f ca="1">IF(AND($D127="Serviço",AZ$12&lt;&gt;0,$H127&gt;0,OR(AUTOEVENTO&lt;&gt;"manual",$M127&lt;&gt;1)),ROUND(OFFSET($P127,0,AZ$13),15-13*ORÇAMENTO!$AF$7)/$H127*OFFSET(ORÇAMENTO!$X$15,ROW(AZ127)-ROW(AZ$15),0),0)</f>
        <v>0</v>
      </c>
      <c r="BA127" s="633">
        <f ca="1">IF(AND($D127="Serviço",BA$12&lt;&gt;0,$H127&gt;0,OR(AUTOEVENTO&lt;&gt;"manual",$M127&lt;&gt;1)),ROUND(OFFSET($P127,0,BA$13),15-13*ORÇAMENTO!$AF$7)/$H127*OFFSET(ORÇAMENTO!$X$15,ROW(BA127)-ROW(BA$15),0),0)</f>
        <v>0</v>
      </c>
      <c r="BC127" s="215">
        <f ca="1">IF($D127&lt;&gt;"Serviço",0,IF(AND(AUTOEVENTO="Manual",$M127=1),0,IF(OFFSET(CRONOPLE!$F$14,$M127,BC$13)="",10^12,OFFSET(CRONOPLE!$F$14,$M127,BC$13))))</f>
        <v>1000000000000</v>
      </c>
      <c r="BD127" s="215">
        <f ca="1">IF($D127&lt;&gt;"Serviço",0,IF(AND(AUTOEVENTO="Manual",$M127=1),0,IF(OFFSET(CRONOPLE!$F$14,$M127,BD$13)="",10^12,OFFSET(CRONOPLE!$F$14,$M127,BD$13))))</f>
        <v>1000000000000</v>
      </c>
      <c r="BE127" s="215">
        <f ca="1">IF($D127&lt;&gt;"Serviço",0,IF(AND(AUTOEVENTO="Manual",$M127=1),0,IF(OFFSET(CRONOPLE!$F$14,$M127,BE$13)="",10^12,OFFSET(CRONOPLE!$F$14,$M127,BE$13))))</f>
        <v>1000000000000</v>
      </c>
      <c r="BF127" s="215">
        <f ca="1">IF($D127&lt;&gt;"Serviço",0,IF(AND(AUTOEVENTO="Manual",$M127=1),0,IF(OFFSET(CRONOPLE!$F$14,$M127,BF$13)="",10^12,OFFSET(CRONOPLE!$F$14,$M127,BF$13))))</f>
        <v>1000000000000</v>
      </c>
      <c r="BG127" s="215">
        <f ca="1">IF($D127&lt;&gt;"Serviço",0,IF(AND(AUTOEVENTO="Manual",$M127=1),0,IF(OFFSET(CRONOPLE!$F$14,$M127,BG$13)="",10^12,OFFSET(CRONOPLE!$F$14,$M127,BG$13))))</f>
        <v>1000000000000</v>
      </c>
      <c r="BH127" s="215">
        <f ca="1">IF($D127&lt;&gt;"Serviço",0,IF(AND(AUTOEVENTO="Manual",$M127=1),0,IF(OFFSET(CRONOPLE!$F$14,$M127,BH$13)="",10^12,OFFSET(CRONOPLE!$F$14,$M127,BH$13))))</f>
        <v>1000000000000</v>
      </c>
      <c r="BI127" s="215">
        <f ca="1">IF($D127&lt;&gt;"Serviço",0,IF(AND(AUTOEVENTO="Manual",$M127=1),0,IF(OFFSET(CRONOPLE!$F$14,$M127,BI$13)="",10^12,OFFSET(CRONOPLE!$F$14,$M127,BI$13))))</f>
        <v>1000000000000</v>
      </c>
      <c r="BJ127" s="215">
        <f ca="1">IF($D127&lt;&gt;"Serviço",0,IF(AND(AUTOEVENTO="Manual",$M127=1),0,IF(OFFSET(CRONOPLE!$F$14,$M127,BJ$13)="",10^12,OFFSET(CRONOPLE!$F$14,$M127,BJ$13))))</f>
        <v>1000000000000</v>
      </c>
      <c r="BK127" s="215">
        <f ca="1">IF($D127&lt;&gt;"Serviço",0,IF(AND(AUTOEVENTO="Manual",$M127=1),0,IF(OFFSET(CRONOPLE!$F$14,$M127,BK$13)="",10^12,OFFSET(CRONOPLE!$F$14,$M127,BK$13))))</f>
        <v>1000000000000</v>
      </c>
      <c r="BL127" s="215">
        <f ca="1">IF($D127&lt;&gt;"Serviço",0,IF(AND(AUTOEVENTO="Manual",$M127=1),0,IF(OFFSET(CRONOPLE!$F$14,$M127,BL$13)="",10^12,OFFSET(CRONOPLE!$F$14,$M127,BL$13))))</f>
        <v>1000000000000</v>
      </c>
      <c r="BM127" s="215">
        <f ca="1">IF($D127&lt;&gt;"Serviço",0,IF(AND(AUTOEVENTO="Manual",$M127=1),0,IF(OFFSET(CRONOPLE!$F$14,$M127,BM$13)="",10^12,OFFSET(CRONOPLE!$F$14,$M127,BM$13))))</f>
        <v>1000000000000</v>
      </c>
      <c r="BN127" s="215">
        <f ca="1">IF($D127&lt;&gt;"Serviço",0,IF(AND(AUTOEVENTO="Manual",$M127=1),0,IF(OFFSET(CRONOPLE!$F$14,$M127,BN$13)="",10^12,OFFSET(CRONOPLE!$F$14,$M127,BN$13))))</f>
        <v>1000000000000</v>
      </c>
      <c r="BO127" s="215">
        <f ca="1">IF($D127&lt;&gt;"Serviço",0,IF(AND(AUTOEVENTO="Manual",$M127=1),0,IF(OFFSET(CRONOPLE!$F$14,$M127,BO$13)="",10^12,OFFSET(CRONOPLE!$F$14,$M127,BO$13))))</f>
        <v>1000000000000</v>
      </c>
      <c r="BP127" s="215">
        <f ca="1">IF($D127&lt;&gt;"Serviço",0,IF(AND(AUTOEVENTO="Manual",$M127=1),0,IF(OFFSET(CRONOPLE!$F$14,$M127,BP$13)="",10^12,OFFSET(CRONOPLE!$F$14,$M127,BP$13))))</f>
        <v>1000000000000</v>
      </c>
      <c r="BQ127" s="215">
        <f ca="1">IF($D127&lt;&gt;"Serviço",0,IF(AND(AUTOEVENTO="Manual",$M127=1),0,IF(OFFSET(CRONOPLE!$F$14,$M127,BQ$13)="",10^12,OFFSET(CRONOPLE!$F$14,$M127,BQ$13))))</f>
        <v>1000000000000</v>
      </c>
      <c r="BR127" s="215">
        <f ca="1">IF($D127&lt;&gt;"Serviço",0,IF(AND(AUTOEVENTO="Manual",$M127=1),0,IF(OFFSET(CRONOPLE!$F$14,$M127,BR$13)="",10^12,OFFSET(CRONOPLE!$F$14,$M127,BR$13))))</f>
        <v>1000000000000</v>
      </c>
      <c r="BS127" s="215">
        <f ca="1">IF($D127&lt;&gt;"Serviço",0,IF(AND(AUTOEVENTO="Manual",$M127=1),0,IF(OFFSET(CRONOPLE!$F$14,$M127,BS$13)="",10^12,OFFSET(CRONOPLE!$F$14,$M127,BS$13))))</f>
        <v>1000000000000</v>
      </c>
      <c r="BT127" s="215">
        <f ca="1">IF($D127&lt;&gt;"Serviço",0,IF(AND(AUTOEVENTO="Manual",$M127=1),0,IF(OFFSET(CRONOPLE!$F$14,$M127,BT$13)="",10^12,OFFSET(CRONOPLE!$F$14,$M127,BT$13))))</f>
        <v>1000000000000</v>
      </c>
      <c r="BV127" s="216">
        <f ca="1">IF($D127&lt;&gt;"Serviço",0,IF(OR(AND(AUTOEVENTO="Manual",$M127=1),$M127&gt;(ROW(PLE.lastrow)-ROW(PLE.firstrow))),0,IF(OFFSET(PLE!$G$14,$M127,BV$13)="",10^12,OFFSET(PLE!$G$14,$M127,BV$13))))</f>
        <v>1000000000000</v>
      </c>
      <c r="BW127" s="216">
        <f ca="1">IF($D127&lt;&gt;"Serviço",0,IF(OR(AND(AUTOEVENTO="Manual",$M127=1),$M127&gt;(ROW(PLE.lastrow)-ROW(PLE.firstrow))),0,IF(OFFSET(PLE!$G$14,$M127,BW$13)="",10^12,OFFSET(PLE!$G$14,$M127,BW$13))))</f>
        <v>1000000000000</v>
      </c>
      <c r="BX127" s="216">
        <f ca="1">IF($D127&lt;&gt;"Serviço",0,IF(OR(AND(AUTOEVENTO="Manual",$M127=1),$M127&gt;(ROW(PLE.lastrow)-ROW(PLE.firstrow))),0,IF(OFFSET(PLE!$G$14,$M127,BX$13)="",10^12,OFFSET(PLE!$G$14,$M127,BX$13))))</f>
        <v>1000000000000</v>
      </c>
      <c r="BY127" s="216">
        <f ca="1">IF($D127&lt;&gt;"Serviço",0,IF(OR(AND(AUTOEVENTO="Manual",$M127=1),$M127&gt;(ROW(PLE.lastrow)-ROW(PLE.firstrow))),0,IF(OFFSET(PLE!$G$14,$M127,BY$13)="",10^12,OFFSET(PLE!$G$14,$M127,BY$13))))</f>
        <v>1000000000000</v>
      </c>
      <c r="BZ127" s="216">
        <f ca="1">IF($D127&lt;&gt;"Serviço",0,IF(OR(AND(AUTOEVENTO="Manual",$M127=1),$M127&gt;(ROW(PLE.lastrow)-ROW(PLE.firstrow))),0,IF(OFFSET(PLE!$G$14,$M127,BZ$13)="",10^12,OFFSET(PLE!$G$14,$M127,BZ$13))))</f>
        <v>1000000000000</v>
      </c>
      <c r="CA127" s="216">
        <f ca="1">IF($D127&lt;&gt;"Serviço",0,IF(OR(AND(AUTOEVENTO="Manual",$M127=1),$M127&gt;(ROW(PLE.lastrow)-ROW(PLE.firstrow))),0,IF(OFFSET(PLE!$G$14,$M127,CA$13)="",10^12,OFFSET(PLE!$G$14,$M127,CA$13))))</f>
        <v>1000000000000</v>
      </c>
      <c r="CB127" s="216">
        <f ca="1">IF($D127&lt;&gt;"Serviço",0,IF(OR(AND(AUTOEVENTO="Manual",$M127=1),$M127&gt;(ROW(PLE.lastrow)-ROW(PLE.firstrow))),0,IF(OFFSET(PLE!$G$14,$M127,CB$13)="",10^12,OFFSET(PLE!$G$14,$M127,CB$13))))</f>
        <v>1000000000000</v>
      </c>
      <c r="CC127" s="216">
        <f ca="1">IF($D127&lt;&gt;"Serviço",0,IF(OR(AND(AUTOEVENTO="Manual",$M127=1),$M127&gt;(ROW(PLE.lastrow)-ROW(PLE.firstrow))),0,IF(OFFSET(PLE!$G$14,$M127,CC$13)="",10^12,OFFSET(PLE!$G$14,$M127,CC$13))))</f>
        <v>1000000000000</v>
      </c>
      <c r="CD127" s="216">
        <f ca="1">IF($D127&lt;&gt;"Serviço",0,IF(OR(AND(AUTOEVENTO="Manual",$M127=1),$M127&gt;(ROW(PLE.lastrow)-ROW(PLE.firstrow))),0,IF(OFFSET(PLE!$G$14,$M127,CD$13)="",10^12,OFFSET(PLE!$G$14,$M127,CD$13))))</f>
        <v>1000000000000</v>
      </c>
      <c r="CE127" s="216">
        <f ca="1">IF($D127&lt;&gt;"Serviço",0,IF(OR(AND(AUTOEVENTO="Manual",$M127=1),$M127&gt;(ROW(PLE.lastrow)-ROW(PLE.firstrow))),0,IF(OFFSET(PLE!$G$14,$M127,CE$13)="",10^12,OFFSET(PLE!$G$14,$M127,CE$13))))</f>
        <v>1000000000000</v>
      </c>
      <c r="CF127" s="216">
        <f ca="1">IF($D127&lt;&gt;"Serviço",0,IF(OR(AND(AUTOEVENTO="Manual",$M127=1),$M127&gt;(ROW(PLE.lastrow)-ROW(PLE.firstrow))),0,IF(OFFSET(PLE!$G$14,$M127,CF$13)="",10^12,OFFSET(PLE!$G$14,$M127,CF$13))))</f>
        <v>1000000000000</v>
      </c>
      <c r="CG127" s="216">
        <f ca="1">IF($D127&lt;&gt;"Serviço",0,IF(OR(AND(AUTOEVENTO="Manual",$M127=1),$M127&gt;(ROW(PLE.lastrow)-ROW(PLE.firstrow))),0,IF(OFFSET(PLE!$G$14,$M127,CG$13)="",10^12,OFFSET(PLE!$G$14,$M127,CG$13))))</f>
        <v>1000000000000</v>
      </c>
      <c r="CH127" s="216">
        <f ca="1">IF($D127&lt;&gt;"Serviço",0,IF(OR(AND(AUTOEVENTO="Manual",$M127=1),$M127&gt;(ROW(PLE.lastrow)-ROW(PLE.firstrow))),0,IF(OFFSET(PLE!$G$14,$M127,CH$13)="",10^12,OFFSET(PLE!$G$14,$M127,CH$13))))</f>
        <v>1000000000000</v>
      </c>
      <c r="CI127" s="216">
        <f ca="1">IF($D127&lt;&gt;"Serviço",0,IF(OR(AND(AUTOEVENTO="Manual",$M127=1),$M127&gt;(ROW(PLE.lastrow)-ROW(PLE.firstrow))),0,IF(OFFSET(PLE!$G$14,$M127,CI$13)="",10^12,OFFSET(PLE!$G$14,$M127,CI$13))))</f>
        <v>1000000000000</v>
      </c>
      <c r="CJ127" s="216">
        <f ca="1">IF($D127&lt;&gt;"Serviço",0,IF(OR(AND(AUTOEVENTO="Manual",$M127=1),$M127&gt;(ROW(PLE.lastrow)-ROW(PLE.firstrow))),0,IF(OFFSET(PLE!$G$14,$M127,CJ$13)="",10^12,OFFSET(PLE!$G$14,$M127,CJ$13))))</f>
        <v>1000000000000</v>
      </c>
      <c r="CK127" s="216">
        <f ca="1">IF($D127&lt;&gt;"Serviço",0,IF(OR(AND(AUTOEVENTO="Manual",$M127=1),$M127&gt;(ROW(PLE.lastrow)-ROW(PLE.firstrow))),0,IF(OFFSET(PLE!$G$14,$M127,CK$13)="",10^12,OFFSET(PLE!$G$14,$M127,CK$13))))</f>
        <v>1000000000000</v>
      </c>
      <c r="CL127" s="216">
        <f ca="1">IF($D127&lt;&gt;"Serviço",0,IF(OR(AND(AUTOEVENTO="Manual",$M127=1),$M127&gt;(ROW(PLE.lastrow)-ROW(PLE.firstrow))),0,IF(OFFSET(PLE!$G$14,$M127,CL$13)="",10^12,OFFSET(PLE!$G$14,$M127,CL$13))))</f>
        <v>1000000000000</v>
      </c>
      <c r="CM127" s="216">
        <f ca="1">IF($D127&lt;&gt;"Serviço",0,IF(OR(AND(AUTOEVENTO="Manual",$M127=1),$M127&gt;(ROW(PLE.lastrow)-ROW(PLE.firstrow))),0,IF(OFFSET(PLE!$G$14,$M127,CM$13)="",10^12,OFFSET(PLE!$G$14,$M127,CM$13))))</f>
        <v>1000000000000</v>
      </c>
    </row>
    <row r="128" spans="1:91" ht="13.2" x14ac:dyDescent="0.25">
      <c r="A128" s="9">
        <f t="shared" ca="1" si="10"/>
        <v>0</v>
      </c>
      <c r="B128" s="9" t="str">
        <f ca="1">OFFSET(ORÇAMENTO!C$15,ROW(B128)-ROW(B$15),0)</f>
        <v>S</v>
      </c>
      <c r="C128" s="9" t="str">
        <f ca="1">OFFSET(ORÇAMENTO!L$15,ROW(C128)-ROW(C$15),0)</f>
        <v/>
      </c>
      <c r="D128" s="145" t="str">
        <f ca="1">OFFSET(ORÇAMENTO!N$15,ROW(D128)-ROW(D$15),0)</f>
        <v>Serviço</v>
      </c>
      <c r="E128" s="205" t="str">
        <f ca="1">OFFSET(ORÇAMENTO!O$15,ROW(E128)-ROW(E$15),0)</f>
        <v>-</v>
      </c>
      <c r="F128" s="206" t="str">
        <f ca="1">OFFSET(ORÇAMENTO!R$15,ROW(F128)-ROW(F$15),0)</f>
        <v>(abra o arquivo 'Referência 05-2024.xls)</v>
      </c>
      <c r="G128" s="207" t="str">
        <f ca="1">IF($D128&lt;&gt;"Serviço","",OFFSET(ORÇAMENTO!S$15,ROW(G128)-ROW(G$15),0))</f>
        <v>-</v>
      </c>
      <c r="H128" s="151">
        <f ca="1">IF($D128&lt;&gt;"Serviço",0,IF(ACOMPANHAMENTO="BM",ROUND(OFFSET(ORÇAMENTO!AJ$15,ROW(H128)-ROW(H$15),0),15-13*ORÇAMENTO!$AF$7),SUMPRODUCT(($Q$12:$AI$12&lt;&gt;"")*ROUND($Q128:$AI128,15-13*ORÇAMENTO!$AF$7))))</f>
        <v>75.260000000000005</v>
      </c>
      <c r="I128" s="650"/>
      <c r="K128" s="208"/>
      <c r="L128" s="209" t="s">
        <v>257</v>
      </c>
      <c r="M128" s="210">
        <f ca="1">IF($D128&lt;&gt;"Serviço","",IF(AUTOEVENTO="manual",$A128,IF(ISERROR(MATCH($A128,$A$15:OFFSET($A128,-1,0),0)),MAX($M$15:OFFSET(M128,-1,0))+1,INDEX($M$15:OFFSET(M128,-1,0),MATCH($A128,$A$15:OFFSET($A128,-1,0),0)))))</f>
        <v>0</v>
      </c>
      <c r="N128" s="211" t="str">
        <f ca="1">IF($D128&lt;&gt;"Serviço","",IF(AUTOEVENTO="Manual",IF($A128=0,"&lt;-- defina o número do agrupador",OFFSET(EVENTOS!$D$14,$A128,0)),OFFSET($F$15,$A128,0)))</f>
        <v>&lt;-- defina o número do agrupador</v>
      </c>
      <c r="O128" s="212"/>
      <c r="Q128" s="212"/>
      <c r="R128" s="213"/>
      <c r="S128" s="213"/>
      <c r="T128" s="213"/>
      <c r="U128" s="213"/>
      <c r="V128" s="213"/>
      <c r="W128" s="213"/>
      <c r="X128" s="213"/>
      <c r="Y128" s="213"/>
      <c r="Z128" s="214"/>
      <c r="AA128" s="213"/>
      <c r="AB128" s="213"/>
      <c r="AC128" s="213"/>
      <c r="AD128" s="213"/>
      <c r="AE128" s="213"/>
      <c r="AF128" s="213"/>
      <c r="AG128" s="213"/>
      <c r="AH128" s="214"/>
      <c r="AJ128" s="631">
        <f ca="1">IF(AND($D128="Serviço",AJ$12&lt;&gt;0,$H128&gt;0,OR(AUTOEVENTO&lt;&gt;"manual",$M128&lt;&gt;1)),ROUND(OFFSET($P128,0,AJ$13),15-13*ORÇAMENTO!$AF$7)/$H128*OFFSET(ORÇAMENTO!$X$15,ROW(AJ128)-ROW(AJ$15),0),0)</f>
        <v>0</v>
      </c>
      <c r="AK128" s="632">
        <f ca="1">IF(AND($D128="Serviço",AK$12&lt;&gt;0,$H128&gt;0,OR(AUTOEVENTO&lt;&gt;"manual",$M128&lt;&gt;1)),ROUND(OFFSET($P128,0,AK$13),15-13*ORÇAMENTO!$AF$7)/$H128*OFFSET(ORÇAMENTO!$X$15,ROW(AK128)-ROW(AK$15),0),0)</f>
        <v>0</v>
      </c>
      <c r="AL128" s="632">
        <f ca="1">IF(AND($D128="Serviço",AL$12&lt;&gt;0,$H128&gt;0,OR(AUTOEVENTO&lt;&gt;"manual",$M128&lt;&gt;1)),ROUND(OFFSET($P128,0,AL$13),15-13*ORÇAMENTO!$AF$7)/$H128*OFFSET(ORÇAMENTO!$X$15,ROW(AL128)-ROW(AL$15),0),0)</f>
        <v>0</v>
      </c>
      <c r="AM128" s="632">
        <f ca="1">IF(AND($D128="Serviço",AM$12&lt;&gt;0,$H128&gt;0,OR(AUTOEVENTO&lt;&gt;"manual",$M128&lt;&gt;1)),ROUND(OFFSET($P128,0,AM$13),15-13*ORÇAMENTO!$AF$7)/$H128*OFFSET(ORÇAMENTO!$X$15,ROW(AM128)-ROW(AM$15),0),0)</f>
        <v>0</v>
      </c>
      <c r="AN128" s="632">
        <f ca="1">IF(AND($D128="Serviço",AN$12&lt;&gt;0,$H128&gt;0,OR(AUTOEVENTO&lt;&gt;"manual",$M128&lt;&gt;1)),ROUND(OFFSET($P128,0,AN$13),15-13*ORÇAMENTO!$AF$7)/$H128*OFFSET(ORÇAMENTO!$X$15,ROW(AN128)-ROW(AN$15),0),0)</f>
        <v>0</v>
      </c>
      <c r="AO128" s="632">
        <f ca="1">IF(AND($D128="Serviço",AO$12&lt;&gt;0,$H128&gt;0,OR(AUTOEVENTO&lt;&gt;"manual",$M128&lt;&gt;1)),ROUND(OFFSET($P128,0,AO$13),15-13*ORÇAMENTO!$AF$7)/$H128*OFFSET(ORÇAMENTO!$X$15,ROW(AO128)-ROW(AO$15),0),0)</f>
        <v>0</v>
      </c>
      <c r="AP128" s="632">
        <f ca="1">IF(AND($D128="Serviço",AP$12&lt;&gt;0,$H128&gt;0,OR(AUTOEVENTO&lt;&gt;"manual",$M128&lt;&gt;1)),ROUND(OFFSET($P128,0,AP$13),15-13*ORÇAMENTO!$AF$7)/$H128*OFFSET(ORÇAMENTO!$X$15,ROW(AP128)-ROW(AP$15),0),0)</f>
        <v>0</v>
      </c>
      <c r="AQ128" s="632">
        <f ca="1">IF(AND($D128="Serviço",AQ$12&lt;&gt;0,$H128&gt;0,OR(AUTOEVENTO&lt;&gt;"manual",$M128&lt;&gt;1)),ROUND(OFFSET($P128,0,AQ$13),15-13*ORÇAMENTO!$AF$7)/$H128*OFFSET(ORÇAMENTO!$X$15,ROW(AQ128)-ROW(AQ$15),0),0)</f>
        <v>0</v>
      </c>
      <c r="AR128" s="632">
        <f ca="1">IF(AND($D128="Serviço",AR$12&lt;&gt;0,$H128&gt;0,OR(AUTOEVENTO&lt;&gt;"manual",$M128&lt;&gt;1)),ROUND(OFFSET($P128,0,AR$13),15-13*ORÇAMENTO!$AF$7)/$H128*OFFSET(ORÇAMENTO!$X$15,ROW(AR128)-ROW(AR$15),0),0)</f>
        <v>0</v>
      </c>
      <c r="AS128" s="633">
        <f ca="1">IF(AND($D128="Serviço",AS$12&lt;&gt;0,$H128&gt;0,OR(AUTOEVENTO&lt;&gt;"manual",$M128&lt;&gt;1)),ROUND(OFFSET($P128,0,AS$13),15-13*ORÇAMENTO!$AF$7)/$H128*OFFSET(ORÇAMENTO!$X$15,ROW(AS128)-ROW(AS$15),0),0)</f>
        <v>0</v>
      </c>
      <c r="AT128" s="632">
        <f ca="1">IF(AND($D128="Serviço",AT$12&lt;&gt;0,$H128&gt;0,OR(AUTOEVENTO&lt;&gt;"manual",$M128&lt;&gt;1)),ROUND(OFFSET($P128,0,AT$13),15-13*ORÇAMENTO!$AF$7)/$H128*OFFSET(ORÇAMENTO!$X$15,ROW(AT128)-ROW(AT$15),0),0)</f>
        <v>0</v>
      </c>
      <c r="AU128" s="632">
        <f ca="1">IF(AND($D128="Serviço",AU$12&lt;&gt;0,$H128&gt;0,OR(AUTOEVENTO&lt;&gt;"manual",$M128&lt;&gt;1)),ROUND(OFFSET($P128,0,AU$13),15-13*ORÇAMENTO!$AF$7)/$H128*OFFSET(ORÇAMENTO!$X$15,ROW(AU128)-ROW(AU$15),0),0)</f>
        <v>0</v>
      </c>
      <c r="AV128" s="632">
        <f ca="1">IF(AND($D128="Serviço",AV$12&lt;&gt;0,$H128&gt;0,OR(AUTOEVENTO&lt;&gt;"manual",$M128&lt;&gt;1)),ROUND(OFFSET($P128,0,AV$13),15-13*ORÇAMENTO!$AF$7)/$H128*OFFSET(ORÇAMENTO!$X$15,ROW(AV128)-ROW(AV$15),0),0)</f>
        <v>0</v>
      </c>
      <c r="AW128" s="632">
        <f ca="1">IF(AND($D128="Serviço",AW$12&lt;&gt;0,$H128&gt;0,OR(AUTOEVENTO&lt;&gt;"manual",$M128&lt;&gt;1)),ROUND(OFFSET($P128,0,AW$13),15-13*ORÇAMENTO!$AF$7)/$H128*OFFSET(ORÇAMENTO!$X$15,ROW(AW128)-ROW(AW$15),0),0)</f>
        <v>0</v>
      </c>
      <c r="AX128" s="632">
        <f ca="1">IF(AND($D128="Serviço",AX$12&lt;&gt;0,$H128&gt;0,OR(AUTOEVENTO&lt;&gt;"manual",$M128&lt;&gt;1)),ROUND(OFFSET($P128,0,AX$13),15-13*ORÇAMENTO!$AF$7)/$H128*OFFSET(ORÇAMENTO!$X$15,ROW(AX128)-ROW(AX$15),0),0)</f>
        <v>0</v>
      </c>
      <c r="AY128" s="632">
        <f ca="1">IF(AND($D128="Serviço",AY$12&lt;&gt;0,$H128&gt;0,OR(AUTOEVENTO&lt;&gt;"manual",$M128&lt;&gt;1)),ROUND(OFFSET($P128,0,AY$13),15-13*ORÇAMENTO!$AF$7)/$H128*OFFSET(ORÇAMENTO!$X$15,ROW(AY128)-ROW(AY$15),0),0)</f>
        <v>0</v>
      </c>
      <c r="AZ128" s="632">
        <f ca="1">IF(AND($D128="Serviço",AZ$12&lt;&gt;0,$H128&gt;0,OR(AUTOEVENTO&lt;&gt;"manual",$M128&lt;&gt;1)),ROUND(OFFSET($P128,0,AZ$13),15-13*ORÇAMENTO!$AF$7)/$H128*OFFSET(ORÇAMENTO!$X$15,ROW(AZ128)-ROW(AZ$15),0),0)</f>
        <v>0</v>
      </c>
      <c r="BA128" s="633">
        <f ca="1">IF(AND($D128="Serviço",BA$12&lt;&gt;0,$H128&gt;0,OR(AUTOEVENTO&lt;&gt;"manual",$M128&lt;&gt;1)),ROUND(OFFSET($P128,0,BA$13),15-13*ORÇAMENTO!$AF$7)/$H128*OFFSET(ORÇAMENTO!$X$15,ROW(BA128)-ROW(BA$15),0),0)</f>
        <v>0</v>
      </c>
      <c r="BC128" s="215">
        <f ca="1">IF($D128&lt;&gt;"Serviço",0,IF(AND(AUTOEVENTO="Manual",$M128=1),0,IF(OFFSET(CRONOPLE!$F$14,$M128,BC$13)="",10^12,OFFSET(CRONOPLE!$F$14,$M128,BC$13))))</f>
        <v>1000000000000</v>
      </c>
      <c r="BD128" s="215">
        <f ca="1">IF($D128&lt;&gt;"Serviço",0,IF(AND(AUTOEVENTO="Manual",$M128=1),0,IF(OFFSET(CRONOPLE!$F$14,$M128,BD$13)="",10^12,OFFSET(CRONOPLE!$F$14,$M128,BD$13))))</f>
        <v>1000000000000</v>
      </c>
      <c r="BE128" s="215">
        <f ca="1">IF($D128&lt;&gt;"Serviço",0,IF(AND(AUTOEVENTO="Manual",$M128=1),0,IF(OFFSET(CRONOPLE!$F$14,$M128,BE$13)="",10^12,OFFSET(CRONOPLE!$F$14,$M128,BE$13))))</f>
        <v>1000000000000</v>
      </c>
      <c r="BF128" s="215">
        <f ca="1">IF($D128&lt;&gt;"Serviço",0,IF(AND(AUTOEVENTO="Manual",$M128=1),0,IF(OFFSET(CRONOPLE!$F$14,$M128,BF$13)="",10^12,OFFSET(CRONOPLE!$F$14,$M128,BF$13))))</f>
        <v>1000000000000</v>
      </c>
      <c r="BG128" s="215">
        <f ca="1">IF($D128&lt;&gt;"Serviço",0,IF(AND(AUTOEVENTO="Manual",$M128=1),0,IF(OFFSET(CRONOPLE!$F$14,$M128,BG$13)="",10^12,OFFSET(CRONOPLE!$F$14,$M128,BG$13))))</f>
        <v>1000000000000</v>
      </c>
      <c r="BH128" s="215">
        <f ca="1">IF($D128&lt;&gt;"Serviço",0,IF(AND(AUTOEVENTO="Manual",$M128=1),0,IF(OFFSET(CRONOPLE!$F$14,$M128,BH$13)="",10^12,OFFSET(CRONOPLE!$F$14,$M128,BH$13))))</f>
        <v>1000000000000</v>
      </c>
      <c r="BI128" s="215">
        <f ca="1">IF($D128&lt;&gt;"Serviço",0,IF(AND(AUTOEVENTO="Manual",$M128=1),0,IF(OFFSET(CRONOPLE!$F$14,$M128,BI$13)="",10^12,OFFSET(CRONOPLE!$F$14,$M128,BI$13))))</f>
        <v>1000000000000</v>
      </c>
      <c r="BJ128" s="215">
        <f ca="1">IF($D128&lt;&gt;"Serviço",0,IF(AND(AUTOEVENTO="Manual",$M128=1),0,IF(OFFSET(CRONOPLE!$F$14,$M128,BJ$13)="",10^12,OFFSET(CRONOPLE!$F$14,$M128,BJ$13))))</f>
        <v>1000000000000</v>
      </c>
      <c r="BK128" s="215">
        <f ca="1">IF($D128&lt;&gt;"Serviço",0,IF(AND(AUTOEVENTO="Manual",$M128=1),0,IF(OFFSET(CRONOPLE!$F$14,$M128,BK$13)="",10^12,OFFSET(CRONOPLE!$F$14,$M128,BK$13))))</f>
        <v>1000000000000</v>
      </c>
      <c r="BL128" s="215">
        <f ca="1">IF($D128&lt;&gt;"Serviço",0,IF(AND(AUTOEVENTO="Manual",$M128=1),0,IF(OFFSET(CRONOPLE!$F$14,$M128,BL$13)="",10^12,OFFSET(CRONOPLE!$F$14,$M128,BL$13))))</f>
        <v>1000000000000</v>
      </c>
      <c r="BM128" s="215">
        <f ca="1">IF($D128&lt;&gt;"Serviço",0,IF(AND(AUTOEVENTO="Manual",$M128=1),0,IF(OFFSET(CRONOPLE!$F$14,$M128,BM$13)="",10^12,OFFSET(CRONOPLE!$F$14,$M128,BM$13))))</f>
        <v>1000000000000</v>
      </c>
      <c r="BN128" s="215">
        <f ca="1">IF($D128&lt;&gt;"Serviço",0,IF(AND(AUTOEVENTO="Manual",$M128=1),0,IF(OFFSET(CRONOPLE!$F$14,$M128,BN$13)="",10^12,OFFSET(CRONOPLE!$F$14,$M128,BN$13))))</f>
        <v>1000000000000</v>
      </c>
      <c r="BO128" s="215">
        <f ca="1">IF($D128&lt;&gt;"Serviço",0,IF(AND(AUTOEVENTO="Manual",$M128=1),0,IF(OFFSET(CRONOPLE!$F$14,$M128,BO$13)="",10^12,OFFSET(CRONOPLE!$F$14,$M128,BO$13))))</f>
        <v>1000000000000</v>
      </c>
      <c r="BP128" s="215">
        <f ca="1">IF($D128&lt;&gt;"Serviço",0,IF(AND(AUTOEVENTO="Manual",$M128=1),0,IF(OFFSET(CRONOPLE!$F$14,$M128,BP$13)="",10^12,OFFSET(CRONOPLE!$F$14,$M128,BP$13))))</f>
        <v>1000000000000</v>
      </c>
      <c r="BQ128" s="215">
        <f ca="1">IF($D128&lt;&gt;"Serviço",0,IF(AND(AUTOEVENTO="Manual",$M128=1),0,IF(OFFSET(CRONOPLE!$F$14,$M128,BQ$13)="",10^12,OFFSET(CRONOPLE!$F$14,$M128,BQ$13))))</f>
        <v>1000000000000</v>
      </c>
      <c r="BR128" s="215">
        <f ca="1">IF($D128&lt;&gt;"Serviço",0,IF(AND(AUTOEVENTO="Manual",$M128=1),0,IF(OFFSET(CRONOPLE!$F$14,$M128,BR$13)="",10^12,OFFSET(CRONOPLE!$F$14,$M128,BR$13))))</f>
        <v>1000000000000</v>
      </c>
      <c r="BS128" s="215">
        <f ca="1">IF($D128&lt;&gt;"Serviço",0,IF(AND(AUTOEVENTO="Manual",$M128=1),0,IF(OFFSET(CRONOPLE!$F$14,$M128,BS$13)="",10^12,OFFSET(CRONOPLE!$F$14,$M128,BS$13))))</f>
        <v>1000000000000</v>
      </c>
      <c r="BT128" s="215">
        <f ca="1">IF($D128&lt;&gt;"Serviço",0,IF(AND(AUTOEVENTO="Manual",$M128=1),0,IF(OFFSET(CRONOPLE!$F$14,$M128,BT$13)="",10^12,OFFSET(CRONOPLE!$F$14,$M128,BT$13))))</f>
        <v>1000000000000</v>
      </c>
      <c r="BV128" s="216">
        <f ca="1">IF($D128&lt;&gt;"Serviço",0,IF(OR(AND(AUTOEVENTO="Manual",$M128=1),$M128&gt;(ROW(PLE.lastrow)-ROW(PLE.firstrow))),0,IF(OFFSET(PLE!$G$14,$M128,BV$13)="",10^12,OFFSET(PLE!$G$14,$M128,BV$13))))</f>
        <v>1000000000000</v>
      </c>
      <c r="BW128" s="216">
        <f ca="1">IF($D128&lt;&gt;"Serviço",0,IF(OR(AND(AUTOEVENTO="Manual",$M128=1),$M128&gt;(ROW(PLE.lastrow)-ROW(PLE.firstrow))),0,IF(OFFSET(PLE!$G$14,$M128,BW$13)="",10^12,OFFSET(PLE!$G$14,$M128,BW$13))))</f>
        <v>1000000000000</v>
      </c>
      <c r="BX128" s="216">
        <f ca="1">IF($D128&lt;&gt;"Serviço",0,IF(OR(AND(AUTOEVENTO="Manual",$M128=1),$M128&gt;(ROW(PLE.lastrow)-ROW(PLE.firstrow))),0,IF(OFFSET(PLE!$G$14,$M128,BX$13)="",10^12,OFFSET(PLE!$G$14,$M128,BX$13))))</f>
        <v>1000000000000</v>
      </c>
      <c r="BY128" s="216">
        <f ca="1">IF($D128&lt;&gt;"Serviço",0,IF(OR(AND(AUTOEVENTO="Manual",$M128=1),$M128&gt;(ROW(PLE.lastrow)-ROW(PLE.firstrow))),0,IF(OFFSET(PLE!$G$14,$M128,BY$13)="",10^12,OFFSET(PLE!$G$14,$M128,BY$13))))</f>
        <v>1000000000000</v>
      </c>
      <c r="BZ128" s="216">
        <f ca="1">IF($D128&lt;&gt;"Serviço",0,IF(OR(AND(AUTOEVENTO="Manual",$M128=1),$M128&gt;(ROW(PLE.lastrow)-ROW(PLE.firstrow))),0,IF(OFFSET(PLE!$G$14,$M128,BZ$13)="",10^12,OFFSET(PLE!$G$14,$M128,BZ$13))))</f>
        <v>1000000000000</v>
      </c>
      <c r="CA128" s="216">
        <f ca="1">IF($D128&lt;&gt;"Serviço",0,IF(OR(AND(AUTOEVENTO="Manual",$M128=1),$M128&gt;(ROW(PLE.lastrow)-ROW(PLE.firstrow))),0,IF(OFFSET(PLE!$G$14,$M128,CA$13)="",10^12,OFFSET(PLE!$G$14,$M128,CA$13))))</f>
        <v>1000000000000</v>
      </c>
      <c r="CB128" s="216">
        <f ca="1">IF($D128&lt;&gt;"Serviço",0,IF(OR(AND(AUTOEVENTO="Manual",$M128=1),$M128&gt;(ROW(PLE.lastrow)-ROW(PLE.firstrow))),0,IF(OFFSET(PLE!$G$14,$M128,CB$13)="",10^12,OFFSET(PLE!$G$14,$M128,CB$13))))</f>
        <v>1000000000000</v>
      </c>
      <c r="CC128" s="216">
        <f ca="1">IF($D128&lt;&gt;"Serviço",0,IF(OR(AND(AUTOEVENTO="Manual",$M128=1),$M128&gt;(ROW(PLE.lastrow)-ROW(PLE.firstrow))),0,IF(OFFSET(PLE!$G$14,$M128,CC$13)="",10^12,OFFSET(PLE!$G$14,$M128,CC$13))))</f>
        <v>1000000000000</v>
      </c>
      <c r="CD128" s="216">
        <f ca="1">IF($D128&lt;&gt;"Serviço",0,IF(OR(AND(AUTOEVENTO="Manual",$M128=1),$M128&gt;(ROW(PLE.lastrow)-ROW(PLE.firstrow))),0,IF(OFFSET(PLE!$G$14,$M128,CD$13)="",10^12,OFFSET(PLE!$G$14,$M128,CD$13))))</f>
        <v>1000000000000</v>
      </c>
      <c r="CE128" s="216">
        <f ca="1">IF($D128&lt;&gt;"Serviço",0,IF(OR(AND(AUTOEVENTO="Manual",$M128=1),$M128&gt;(ROW(PLE.lastrow)-ROW(PLE.firstrow))),0,IF(OFFSET(PLE!$G$14,$M128,CE$13)="",10^12,OFFSET(PLE!$G$14,$M128,CE$13))))</f>
        <v>1000000000000</v>
      </c>
      <c r="CF128" s="216">
        <f ca="1">IF($D128&lt;&gt;"Serviço",0,IF(OR(AND(AUTOEVENTO="Manual",$M128=1),$M128&gt;(ROW(PLE.lastrow)-ROW(PLE.firstrow))),0,IF(OFFSET(PLE!$G$14,$M128,CF$13)="",10^12,OFFSET(PLE!$G$14,$M128,CF$13))))</f>
        <v>1000000000000</v>
      </c>
      <c r="CG128" s="216">
        <f ca="1">IF($D128&lt;&gt;"Serviço",0,IF(OR(AND(AUTOEVENTO="Manual",$M128=1),$M128&gt;(ROW(PLE.lastrow)-ROW(PLE.firstrow))),0,IF(OFFSET(PLE!$G$14,$M128,CG$13)="",10^12,OFFSET(PLE!$G$14,$M128,CG$13))))</f>
        <v>1000000000000</v>
      </c>
      <c r="CH128" s="216">
        <f ca="1">IF($D128&lt;&gt;"Serviço",0,IF(OR(AND(AUTOEVENTO="Manual",$M128=1),$M128&gt;(ROW(PLE.lastrow)-ROW(PLE.firstrow))),0,IF(OFFSET(PLE!$G$14,$M128,CH$13)="",10^12,OFFSET(PLE!$G$14,$M128,CH$13))))</f>
        <v>1000000000000</v>
      </c>
      <c r="CI128" s="216">
        <f ca="1">IF($D128&lt;&gt;"Serviço",0,IF(OR(AND(AUTOEVENTO="Manual",$M128=1),$M128&gt;(ROW(PLE.lastrow)-ROW(PLE.firstrow))),0,IF(OFFSET(PLE!$G$14,$M128,CI$13)="",10^12,OFFSET(PLE!$G$14,$M128,CI$13))))</f>
        <v>1000000000000</v>
      </c>
      <c r="CJ128" s="216">
        <f ca="1">IF($D128&lt;&gt;"Serviço",0,IF(OR(AND(AUTOEVENTO="Manual",$M128=1),$M128&gt;(ROW(PLE.lastrow)-ROW(PLE.firstrow))),0,IF(OFFSET(PLE!$G$14,$M128,CJ$13)="",10^12,OFFSET(PLE!$G$14,$M128,CJ$13))))</f>
        <v>1000000000000</v>
      </c>
      <c r="CK128" s="216">
        <f ca="1">IF($D128&lt;&gt;"Serviço",0,IF(OR(AND(AUTOEVENTO="Manual",$M128=1),$M128&gt;(ROW(PLE.lastrow)-ROW(PLE.firstrow))),0,IF(OFFSET(PLE!$G$14,$M128,CK$13)="",10^12,OFFSET(PLE!$G$14,$M128,CK$13))))</f>
        <v>1000000000000</v>
      </c>
      <c r="CL128" s="216">
        <f ca="1">IF($D128&lt;&gt;"Serviço",0,IF(OR(AND(AUTOEVENTO="Manual",$M128=1),$M128&gt;(ROW(PLE.lastrow)-ROW(PLE.firstrow))),0,IF(OFFSET(PLE!$G$14,$M128,CL$13)="",10^12,OFFSET(PLE!$G$14,$M128,CL$13))))</f>
        <v>1000000000000</v>
      </c>
      <c r="CM128" s="216">
        <f ca="1">IF($D128&lt;&gt;"Serviço",0,IF(OR(AND(AUTOEVENTO="Manual",$M128=1),$M128&gt;(ROW(PLE.lastrow)-ROW(PLE.firstrow))),0,IF(OFFSET(PLE!$G$14,$M128,CM$13)="",10^12,OFFSET(PLE!$G$14,$M128,CM$13))))</f>
        <v>1000000000000</v>
      </c>
    </row>
    <row r="129" spans="1:91" ht="13.2" x14ac:dyDescent="0.25">
      <c r="A129" s="9">
        <f t="shared" ca="1" si="10"/>
        <v>0</v>
      </c>
      <c r="B129" s="9">
        <f ca="1">OFFSET(ORÇAMENTO!C$15,ROW(B129)-ROW(B$15),0)</f>
        <v>3</v>
      </c>
      <c r="C129" s="9" t="str">
        <f ca="1">OFFSET(ORÇAMENTO!L$15,ROW(C129)-ROW(C$15),0)</f>
        <v>F</v>
      </c>
      <c r="D129" s="145" t="str">
        <f ca="1">OFFSET(ORÇAMENTO!N$15,ROW(D129)-ROW(D$15),0)</f>
        <v>Nível 3</v>
      </c>
      <c r="E129" s="205" t="str">
        <f ca="1">OFFSET(ORÇAMENTO!O$15,ROW(E129)-ROW(E$15),0)</f>
        <v>1.4.6.</v>
      </c>
      <c r="F129" s="206" t="str">
        <f ca="1">OFFSET(ORÇAMENTO!R$15,ROW(F129)-ROW(F$15),0)</f>
        <v>CONCRETO ARMADO PARA VERGAS</v>
      </c>
      <c r="G129" s="207" t="str">
        <f ca="1">IF($D129&lt;&gt;"Serviço","",OFFSET(ORÇAMENTO!S$15,ROW(G129)-ROW(G$15),0))</f>
        <v/>
      </c>
      <c r="H129" s="151">
        <f ca="1">IF($D129&lt;&gt;"Serviço",0,IF(ACOMPANHAMENTO="BM",ROUND(OFFSET(ORÇAMENTO!AJ$15,ROW(H129)-ROW(H$15),0),15-13*ORÇAMENTO!$AF$7),SUMPRODUCT(($Q$12:$AI$12&lt;&gt;"")*ROUND($Q129:$AI129,15-13*ORÇAMENTO!$AF$7))))</f>
        <v>0</v>
      </c>
      <c r="I129" s="650"/>
      <c r="K129" s="208"/>
      <c r="L129" s="209" t="s">
        <v>257</v>
      </c>
      <c r="M129" s="210" t="str">
        <f ca="1">IF($D129&lt;&gt;"Serviço","",IF(AUTOEVENTO="manual",$A129,IF(ISERROR(MATCH($A129,$A$15:OFFSET($A129,-1,0),0)),MAX($M$15:OFFSET(M129,-1,0))+1,INDEX($M$15:OFFSET(M129,-1,0),MATCH($A129,$A$15:OFFSET($A129,-1,0),0)))))</f>
        <v/>
      </c>
      <c r="N129" s="211" t="str">
        <f ca="1">IF($D129&lt;&gt;"Serviço","",IF(AUTOEVENTO="Manual",IF($A129=0,"&lt;-- defina o número do agrupador",OFFSET(EVENTOS!$D$14,$A129,0)),OFFSET($F$15,$A129,0)))</f>
        <v/>
      </c>
      <c r="O129" s="212"/>
      <c r="Q129" s="212"/>
      <c r="R129" s="213"/>
      <c r="S129" s="213"/>
      <c r="T129" s="213"/>
      <c r="U129" s="213"/>
      <c r="V129" s="213"/>
      <c r="W129" s="213"/>
      <c r="X129" s="213"/>
      <c r="Y129" s="213"/>
      <c r="Z129" s="214"/>
      <c r="AA129" s="213"/>
      <c r="AB129" s="213"/>
      <c r="AC129" s="213"/>
      <c r="AD129" s="213"/>
      <c r="AE129" s="213"/>
      <c r="AF129" s="213"/>
      <c r="AG129" s="213"/>
      <c r="AH129" s="214"/>
      <c r="AJ129" s="631">
        <f ca="1">IF(AND($D129="Serviço",AJ$12&lt;&gt;0,$H129&gt;0,OR(AUTOEVENTO&lt;&gt;"manual",$M129&lt;&gt;1)),ROUND(OFFSET($P129,0,AJ$13),15-13*ORÇAMENTO!$AF$7)/$H129*OFFSET(ORÇAMENTO!$X$15,ROW(AJ129)-ROW(AJ$15),0),0)</f>
        <v>0</v>
      </c>
      <c r="AK129" s="632">
        <f ca="1">IF(AND($D129="Serviço",AK$12&lt;&gt;0,$H129&gt;0,OR(AUTOEVENTO&lt;&gt;"manual",$M129&lt;&gt;1)),ROUND(OFFSET($P129,0,AK$13),15-13*ORÇAMENTO!$AF$7)/$H129*OFFSET(ORÇAMENTO!$X$15,ROW(AK129)-ROW(AK$15),0),0)</f>
        <v>0</v>
      </c>
      <c r="AL129" s="632">
        <f ca="1">IF(AND($D129="Serviço",AL$12&lt;&gt;0,$H129&gt;0,OR(AUTOEVENTO&lt;&gt;"manual",$M129&lt;&gt;1)),ROUND(OFFSET($P129,0,AL$13),15-13*ORÇAMENTO!$AF$7)/$H129*OFFSET(ORÇAMENTO!$X$15,ROW(AL129)-ROW(AL$15),0),0)</f>
        <v>0</v>
      </c>
      <c r="AM129" s="632">
        <f ca="1">IF(AND($D129="Serviço",AM$12&lt;&gt;0,$H129&gt;0,OR(AUTOEVENTO&lt;&gt;"manual",$M129&lt;&gt;1)),ROUND(OFFSET($P129,0,AM$13),15-13*ORÇAMENTO!$AF$7)/$H129*OFFSET(ORÇAMENTO!$X$15,ROW(AM129)-ROW(AM$15),0),0)</f>
        <v>0</v>
      </c>
      <c r="AN129" s="632">
        <f ca="1">IF(AND($D129="Serviço",AN$12&lt;&gt;0,$H129&gt;0,OR(AUTOEVENTO&lt;&gt;"manual",$M129&lt;&gt;1)),ROUND(OFFSET($P129,0,AN$13),15-13*ORÇAMENTO!$AF$7)/$H129*OFFSET(ORÇAMENTO!$X$15,ROW(AN129)-ROW(AN$15),0),0)</f>
        <v>0</v>
      </c>
      <c r="AO129" s="632">
        <f ca="1">IF(AND($D129="Serviço",AO$12&lt;&gt;0,$H129&gt;0,OR(AUTOEVENTO&lt;&gt;"manual",$M129&lt;&gt;1)),ROUND(OFFSET($P129,0,AO$13),15-13*ORÇAMENTO!$AF$7)/$H129*OFFSET(ORÇAMENTO!$X$15,ROW(AO129)-ROW(AO$15),0),0)</f>
        <v>0</v>
      </c>
      <c r="AP129" s="632">
        <f ca="1">IF(AND($D129="Serviço",AP$12&lt;&gt;0,$H129&gt;0,OR(AUTOEVENTO&lt;&gt;"manual",$M129&lt;&gt;1)),ROUND(OFFSET($P129,0,AP$13),15-13*ORÇAMENTO!$AF$7)/$H129*OFFSET(ORÇAMENTO!$X$15,ROW(AP129)-ROW(AP$15),0),0)</f>
        <v>0</v>
      </c>
      <c r="AQ129" s="632">
        <f ca="1">IF(AND($D129="Serviço",AQ$12&lt;&gt;0,$H129&gt;0,OR(AUTOEVENTO&lt;&gt;"manual",$M129&lt;&gt;1)),ROUND(OFFSET($P129,0,AQ$13),15-13*ORÇAMENTO!$AF$7)/$H129*OFFSET(ORÇAMENTO!$X$15,ROW(AQ129)-ROW(AQ$15),0),0)</f>
        <v>0</v>
      </c>
      <c r="AR129" s="632">
        <f ca="1">IF(AND($D129="Serviço",AR$12&lt;&gt;0,$H129&gt;0,OR(AUTOEVENTO&lt;&gt;"manual",$M129&lt;&gt;1)),ROUND(OFFSET($P129,0,AR$13),15-13*ORÇAMENTO!$AF$7)/$H129*OFFSET(ORÇAMENTO!$X$15,ROW(AR129)-ROW(AR$15),0),0)</f>
        <v>0</v>
      </c>
      <c r="AS129" s="633">
        <f ca="1">IF(AND($D129="Serviço",AS$12&lt;&gt;0,$H129&gt;0,OR(AUTOEVENTO&lt;&gt;"manual",$M129&lt;&gt;1)),ROUND(OFFSET($P129,0,AS$13),15-13*ORÇAMENTO!$AF$7)/$H129*OFFSET(ORÇAMENTO!$X$15,ROW(AS129)-ROW(AS$15),0),0)</f>
        <v>0</v>
      </c>
      <c r="AT129" s="632">
        <f ca="1">IF(AND($D129="Serviço",AT$12&lt;&gt;0,$H129&gt;0,OR(AUTOEVENTO&lt;&gt;"manual",$M129&lt;&gt;1)),ROUND(OFFSET($P129,0,AT$13),15-13*ORÇAMENTO!$AF$7)/$H129*OFFSET(ORÇAMENTO!$X$15,ROW(AT129)-ROW(AT$15),0),0)</f>
        <v>0</v>
      </c>
      <c r="AU129" s="632">
        <f ca="1">IF(AND($D129="Serviço",AU$12&lt;&gt;0,$H129&gt;0,OR(AUTOEVENTO&lt;&gt;"manual",$M129&lt;&gt;1)),ROUND(OFFSET($P129,0,AU$13),15-13*ORÇAMENTO!$AF$7)/$H129*OFFSET(ORÇAMENTO!$X$15,ROW(AU129)-ROW(AU$15),0),0)</f>
        <v>0</v>
      </c>
      <c r="AV129" s="632">
        <f ca="1">IF(AND($D129="Serviço",AV$12&lt;&gt;0,$H129&gt;0,OR(AUTOEVENTO&lt;&gt;"manual",$M129&lt;&gt;1)),ROUND(OFFSET($P129,0,AV$13),15-13*ORÇAMENTO!$AF$7)/$H129*OFFSET(ORÇAMENTO!$X$15,ROW(AV129)-ROW(AV$15),0),0)</f>
        <v>0</v>
      </c>
      <c r="AW129" s="632">
        <f ca="1">IF(AND($D129="Serviço",AW$12&lt;&gt;0,$H129&gt;0,OR(AUTOEVENTO&lt;&gt;"manual",$M129&lt;&gt;1)),ROUND(OFFSET($P129,0,AW$13),15-13*ORÇAMENTO!$AF$7)/$H129*OFFSET(ORÇAMENTO!$X$15,ROW(AW129)-ROW(AW$15),0),0)</f>
        <v>0</v>
      </c>
      <c r="AX129" s="632">
        <f ca="1">IF(AND($D129="Serviço",AX$12&lt;&gt;0,$H129&gt;0,OR(AUTOEVENTO&lt;&gt;"manual",$M129&lt;&gt;1)),ROUND(OFFSET($P129,0,AX$13),15-13*ORÇAMENTO!$AF$7)/$H129*OFFSET(ORÇAMENTO!$X$15,ROW(AX129)-ROW(AX$15),0),0)</f>
        <v>0</v>
      </c>
      <c r="AY129" s="632">
        <f ca="1">IF(AND($D129="Serviço",AY$12&lt;&gt;0,$H129&gt;0,OR(AUTOEVENTO&lt;&gt;"manual",$M129&lt;&gt;1)),ROUND(OFFSET($P129,0,AY$13),15-13*ORÇAMENTO!$AF$7)/$H129*OFFSET(ORÇAMENTO!$X$15,ROW(AY129)-ROW(AY$15),0),0)</f>
        <v>0</v>
      </c>
      <c r="AZ129" s="632">
        <f ca="1">IF(AND($D129="Serviço",AZ$12&lt;&gt;0,$H129&gt;0,OR(AUTOEVENTO&lt;&gt;"manual",$M129&lt;&gt;1)),ROUND(OFFSET($P129,0,AZ$13),15-13*ORÇAMENTO!$AF$7)/$H129*OFFSET(ORÇAMENTO!$X$15,ROW(AZ129)-ROW(AZ$15),0),0)</f>
        <v>0</v>
      </c>
      <c r="BA129" s="633">
        <f ca="1">IF(AND($D129="Serviço",BA$12&lt;&gt;0,$H129&gt;0,OR(AUTOEVENTO&lt;&gt;"manual",$M129&lt;&gt;1)),ROUND(OFFSET($P129,0,BA$13),15-13*ORÇAMENTO!$AF$7)/$H129*OFFSET(ORÇAMENTO!$X$15,ROW(BA129)-ROW(BA$15),0),0)</f>
        <v>0</v>
      </c>
      <c r="BC129" s="215">
        <f ca="1">IF($D129&lt;&gt;"Serviço",0,IF(AND(AUTOEVENTO="Manual",$M129=1),0,IF(OFFSET(CRONOPLE!$F$14,$M129,BC$13)="",10^12,OFFSET(CRONOPLE!$F$14,$M129,BC$13))))</f>
        <v>0</v>
      </c>
      <c r="BD129" s="215">
        <f ca="1">IF($D129&lt;&gt;"Serviço",0,IF(AND(AUTOEVENTO="Manual",$M129=1),0,IF(OFFSET(CRONOPLE!$F$14,$M129,BD$13)="",10^12,OFFSET(CRONOPLE!$F$14,$M129,BD$13))))</f>
        <v>0</v>
      </c>
      <c r="BE129" s="215">
        <f ca="1">IF($D129&lt;&gt;"Serviço",0,IF(AND(AUTOEVENTO="Manual",$M129=1),0,IF(OFFSET(CRONOPLE!$F$14,$M129,BE$13)="",10^12,OFFSET(CRONOPLE!$F$14,$M129,BE$13))))</f>
        <v>0</v>
      </c>
      <c r="BF129" s="215">
        <f ca="1">IF($D129&lt;&gt;"Serviço",0,IF(AND(AUTOEVENTO="Manual",$M129=1),0,IF(OFFSET(CRONOPLE!$F$14,$M129,BF$13)="",10^12,OFFSET(CRONOPLE!$F$14,$M129,BF$13))))</f>
        <v>0</v>
      </c>
      <c r="BG129" s="215">
        <f ca="1">IF($D129&lt;&gt;"Serviço",0,IF(AND(AUTOEVENTO="Manual",$M129=1),0,IF(OFFSET(CRONOPLE!$F$14,$M129,BG$13)="",10^12,OFFSET(CRONOPLE!$F$14,$M129,BG$13))))</f>
        <v>0</v>
      </c>
      <c r="BH129" s="215">
        <f ca="1">IF($D129&lt;&gt;"Serviço",0,IF(AND(AUTOEVENTO="Manual",$M129=1),0,IF(OFFSET(CRONOPLE!$F$14,$M129,BH$13)="",10^12,OFFSET(CRONOPLE!$F$14,$M129,BH$13))))</f>
        <v>0</v>
      </c>
      <c r="BI129" s="215">
        <f ca="1">IF($D129&lt;&gt;"Serviço",0,IF(AND(AUTOEVENTO="Manual",$M129=1),0,IF(OFFSET(CRONOPLE!$F$14,$M129,BI$13)="",10^12,OFFSET(CRONOPLE!$F$14,$M129,BI$13))))</f>
        <v>0</v>
      </c>
      <c r="BJ129" s="215">
        <f ca="1">IF($D129&lt;&gt;"Serviço",0,IF(AND(AUTOEVENTO="Manual",$M129=1),0,IF(OFFSET(CRONOPLE!$F$14,$M129,BJ$13)="",10^12,OFFSET(CRONOPLE!$F$14,$M129,BJ$13))))</f>
        <v>0</v>
      </c>
      <c r="BK129" s="215">
        <f ca="1">IF($D129&lt;&gt;"Serviço",0,IF(AND(AUTOEVENTO="Manual",$M129=1),0,IF(OFFSET(CRONOPLE!$F$14,$M129,BK$13)="",10^12,OFFSET(CRONOPLE!$F$14,$M129,BK$13))))</f>
        <v>0</v>
      </c>
      <c r="BL129" s="215">
        <f ca="1">IF($D129&lt;&gt;"Serviço",0,IF(AND(AUTOEVENTO="Manual",$M129=1),0,IF(OFFSET(CRONOPLE!$F$14,$M129,BL$13)="",10^12,OFFSET(CRONOPLE!$F$14,$M129,BL$13))))</f>
        <v>0</v>
      </c>
      <c r="BM129" s="215">
        <f ca="1">IF($D129&lt;&gt;"Serviço",0,IF(AND(AUTOEVENTO="Manual",$M129=1),0,IF(OFFSET(CRONOPLE!$F$14,$M129,BM$13)="",10^12,OFFSET(CRONOPLE!$F$14,$M129,BM$13))))</f>
        <v>0</v>
      </c>
      <c r="BN129" s="215">
        <f ca="1">IF($D129&lt;&gt;"Serviço",0,IF(AND(AUTOEVENTO="Manual",$M129=1),0,IF(OFFSET(CRONOPLE!$F$14,$M129,BN$13)="",10^12,OFFSET(CRONOPLE!$F$14,$M129,BN$13))))</f>
        <v>0</v>
      </c>
      <c r="BO129" s="215">
        <f ca="1">IF($D129&lt;&gt;"Serviço",0,IF(AND(AUTOEVENTO="Manual",$M129=1),0,IF(OFFSET(CRONOPLE!$F$14,$M129,BO$13)="",10^12,OFFSET(CRONOPLE!$F$14,$M129,BO$13))))</f>
        <v>0</v>
      </c>
      <c r="BP129" s="215">
        <f ca="1">IF($D129&lt;&gt;"Serviço",0,IF(AND(AUTOEVENTO="Manual",$M129=1),0,IF(OFFSET(CRONOPLE!$F$14,$M129,BP$13)="",10^12,OFFSET(CRONOPLE!$F$14,$M129,BP$13))))</f>
        <v>0</v>
      </c>
      <c r="BQ129" s="215">
        <f ca="1">IF($D129&lt;&gt;"Serviço",0,IF(AND(AUTOEVENTO="Manual",$M129=1),0,IF(OFFSET(CRONOPLE!$F$14,$M129,BQ$13)="",10^12,OFFSET(CRONOPLE!$F$14,$M129,BQ$13))))</f>
        <v>0</v>
      </c>
      <c r="BR129" s="215">
        <f ca="1">IF($D129&lt;&gt;"Serviço",0,IF(AND(AUTOEVENTO="Manual",$M129=1),0,IF(OFFSET(CRONOPLE!$F$14,$M129,BR$13)="",10^12,OFFSET(CRONOPLE!$F$14,$M129,BR$13))))</f>
        <v>0</v>
      </c>
      <c r="BS129" s="215">
        <f ca="1">IF($D129&lt;&gt;"Serviço",0,IF(AND(AUTOEVENTO="Manual",$M129=1),0,IF(OFFSET(CRONOPLE!$F$14,$M129,BS$13)="",10^12,OFFSET(CRONOPLE!$F$14,$M129,BS$13))))</f>
        <v>0</v>
      </c>
      <c r="BT129" s="215">
        <f ca="1">IF($D129&lt;&gt;"Serviço",0,IF(AND(AUTOEVENTO="Manual",$M129=1),0,IF(OFFSET(CRONOPLE!$F$14,$M129,BT$13)="",10^12,OFFSET(CRONOPLE!$F$14,$M129,BT$13))))</f>
        <v>0</v>
      </c>
      <c r="BV129" s="216">
        <f ca="1">IF($D129&lt;&gt;"Serviço",0,IF(OR(AND(AUTOEVENTO="Manual",$M129=1),$M129&gt;(ROW(PLE.lastrow)-ROW(PLE.firstrow))),0,IF(OFFSET(PLE!$G$14,$M129,BV$13)="",10^12,OFFSET(PLE!$G$14,$M129,BV$13))))</f>
        <v>0</v>
      </c>
      <c r="BW129" s="216">
        <f ca="1">IF($D129&lt;&gt;"Serviço",0,IF(OR(AND(AUTOEVENTO="Manual",$M129=1),$M129&gt;(ROW(PLE.lastrow)-ROW(PLE.firstrow))),0,IF(OFFSET(PLE!$G$14,$M129,BW$13)="",10^12,OFFSET(PLE!$G$14,$M129,BW$13))))</f>
        <v>0</v>
      </c>
      <c r="BX129" s="216">
        <f ca="1">IF($D129&lt;&gt;"Serviço",0,IF(OR(AND(AUTOEVENTO="Manual",$M129=1),$M129&gt;(ROW(PLE.lastrow)-ROW(PLE.firstrow))),0,IF(OFFSET(PLE!$G$14,$M129,BX$13)="",10^12,OFFSET(PLE!$G$14,$M129,BX$13))))</f>
        <v>0</v>
      </c>
      <c r="BY129" s="216">
        <f ca="1">IF($D129&lt;&gt;"Serviço",0,IF(OR(AND(AUTOEVENTO="Manual",$M129=1),$M129&gt;(ROW(PLE.lastrow)-ROW(PLE.firstrow))),0,IF(OFFSET(PLE!$G$14,$M129,BY$13)="",10^12,OFFSET(PLE!$G$14,$M129,BY$13))))</f>
        <v>0</v>
      </c>
      <c r="BZ129" s="216">
        <f ca="1">IF($D129&lt;&gt;"Serviço",0,IF(OR(AND(AUTOEVENTO="Manual",$M129=1),$M129&gt;(ROW(PLE.lastrow)-ROW(PLE.firstrow))),0,IF(OFFSET(PLE!$G$14,$M129,BZ$13)="",10^12,OFFSET(PLE!$G$14,$M129,BZ$13))))</f>
        <v>0</v>
      </c>
      <c r="CA129" s="216">
        <f ca="1">IF($D129&lt;&gt;"Serviço",0,IF(OR(AND(AUTOEVENTO="Manual",$M129=1),$M129&gt;(ROW(PLE.lastrow)-ROW(PLE.firstrow))),0,IF(OFFSET(PLE!$G$14,$M129,CA$13)="",10^12,OFFSET(PLE!$G$14,$M129,CA$13))))</f>
        <v>0</v>
      </c>
      <c r="CB129" s="216">
        <f ca="1">IF($D129&lt;&gt;"Serviço",0,IF(OR(AND(AUTOEVENTO="Manual",$M129=1),$M129&gt;(ROW(PLE.lastrow)-ROW(PLE.firstrow))),0,IF(OFFSET(PLE!$G$14,$M129,CB$13)="",10^12,OFFSET(PLE!$G$14,$M129,CB$13))))</f>
        <v>0</v>
      </c>
      <c r="CC129" s="216">
        <f ca="1">IF($D129&lt;&gt;"Serviço",0,IF(OR(AND(AUTOEVENTO="Manual",$M129=1),$M129&gt;(ROW(PLE.lastrow)-ROW(PLE.firstrow))),0,IF(OFFSET(PLE!$G$14,$M129,CC$13)="",10^12,OFFSET(PLE!$G$14,$M129,CC$13))))</f>
        <v>0</v>
      </c>
      <c r="CD129" s="216">
        <f ca="1">IF($D129&lt;&gt;"Serviço",0,IF(OR(AND(AUTOEVENTO="Manual",$M129=1),$M129&gt;(ROW(PLE.lastrow)-ROW(PLE.firstrow))),0,IF(OFFSET(PLE!$G$14,$M129,CD$13)="",10^12,OFFSET(PLE!$G$14,$M129,CD$13))))</f>
        <v>0</v>
      </c>
      <c r="CE129" s="216">
        <f ca="1">IF($D129&lt;&gt;"Serviço",0,IF(OR(AND(AUTOEVENTO="Manual",$M129=1),$M129&gt;(ROW(PLE.lastrow)-ROW(PLE.firstrow))),0,IF(OFFSET(PLE!$G$14,$M129,CE$13)="",10^12,OFFSET(PLE!$G$14,$M129,CE$13))))</f>
        <v>0</v>
      </c>
      <c r="CF129" s="216">
        <f ca="1">IF($D129&lt;&gt;"Serviço",0,IF(OR(AND(AUTOEVENTO="Manual",$M129=1),$M129&gt;(ROW(PLE.lastrow)-ROW(PLE.firstrow))),0,IF(OFFSET(PLE!$G$14,$M129,CF$13)="",10^12,OFFSET(PLE!$G$14,$M129,CF$13))))</f>
        <v>0</v>
      </c>
      <c r="CG129" s="216">
        <f ca="1">IF($D129&lt;&gt;"Serviço",0,IF(OR(AND(AUTOEVENTO="Manual",$M129=1),$M129&gt;(ROW(PLE.lastrow)-ROW(PLE.firstrow))),0,IF(OFFSET(PLE!$G$14,$M129,CG$13)="",10^12,OFFSET(PLE!$G$14,$M129,CG$13))))</f>
        <v>0</v>
      </c>
      <c r="CH129" s="216">
        <f ca="1">IF($D129&lt;&gt;"Serviço",0,IF(OR(AND(AUTOEVENTO="Manual",$M129=1),$M129&gt;(ROW(PLE.lastrow)-ROW(PLE.firstrow))),0,IF(OFFSET(PLE!$G$14,$M129,CH$13)="",10^12,OFFSET(PLE!$G$14,$M129,CH$13))))</f>
        <v>0</v>
      </c>
      <c r="CI129" s="216">
        <f ca="1">IF($D129&lt;&gt;"Serviço",0,IF(OR(AND(AUTOEVENTO="Manual",$M129=1),$M129&gt;(ROW(PLE.lastrow)-ROW(PLE.firstrow))),0,IF(OFFSET(PLE!$G$14,$M129,CI$13)="",10^12,OFFSET(PLE!$G$14,$M129,CI$13))))</f>
        <v>0</v>
      </c>
      <c r="CJ129" s="216">
        <f ca="1">IF($D129&lt;&gt;"Serviço",0,IF(OR(AND(AUTOEVENTO="Manual",$M129=1),$M129&gt;(ROW(PLE.lastrow)-ROW(PLE.firstrow))),0,IF(OFFSET(PLE!$G$14,$M129,CJ$13)="",10^12,OFFSET(PLE!$G$14,$M129,CJ$13))))</f>
        <v>0</v>
      </c>
      <c r="CK129" s="216">
        <f ca="1">IF($D129&lt;&gt;"Serviço",0,IF(OR(AND(AUTOEVENTO="Manual",$M129=1),$M129&gt;(ROW(PLE.lastrow)-ROW(PLE.firstrow))),0,IF(OFFSET(PLE!$G$14,$M129,CK$13)="",10^12,OFFSET(PLE!$G$14,$M129,CK$13))))</f>
        <v>0</v>
      </c>
      <c r="CL129" s="216">
        <f ca="1">IF($D129&lt;&gt;"Serviço",0,IF(OR(AND(AUTOEVENTO="Manual",$M129=1),$M129&gt;(ROW(PLE.lastrow)-ROW(PLE.firstrow))),0,IF(OFFSET(PLE!$G$14,$M129,CL$13)="",10^12,OFFSET(PLE!$G$14,$M129,CL$13))))</f>
        <v>0</v>
      </c>
      <c r="CM129" s="216">
        <f ca="1">IF($D129&lt;&gt;"Serviço",0,IF(OR(AND(AUTOEVENTO="Manual",$M129=1),$M129&gt;(ROW(PLE.lastrow)-ROW(PLE.firstrow))),0,IF(OFFSET(PLE!$G$14,$M129,CM$13)="",10^12,OFFSET(PLE!$G$14,$M129,CM$13))))</f>
        <v>0</v>
      </c>
    </row>
    <row r="130" spans="1:91" ht="13.2" x14ac:dyDescent="0.25">
      <c r="A130" s="9">
        <f t="shared" ca="1" si="10"/>
        <v>0</v>
      </c>
      <c r="B130" s="9" t="str">
        <f ca="1">OFFSET(ORÇAMENTO!C$15,ROW(B130)-ROW(B$15),0)</f>
        <v>S</v>
      </c>
      <c r="C130" s="9" t="str">
        <f ca="1">OFFSET(ORÇAMENTO!L$15,ROW(C130)-ROW(C$15),0)</f>
        <v/>
      </c>
      <c r="D130" s="145" t="str">
        <f ca="1">OFFSET(ORÇAMENTO!N$15,ROW(D130)-ROW(D$15),0)</f>
        <v>Serviço</v>
      </c>
      <c r="E130" s="205" t="str">
        <f ca="1">OFFSET(ORÇAMENTO!O$15,ROW(E130)-ROW(E$15),0)</f>
        <v>-</v>
      </c>
      <c r="F130" s="206" t="str">
        <f ca="1">OFFSET(ORÇAMENTO!R$15,ROW(F130)-ROW(F$15),0)</f>
        <v>(abra o arquivo 'Referência 05-2024.xls)</v>
      </c>
      <c r="G130" s="207" t="str">
        <f ca="1">IF($D130&lt;&gt;"Serviço","",OFFSET(ORÇAMENTO!S$15,ROW(G130)-ROW(G$15),0))</f>
        <v>-</v>
      </c>
      <c r="H130" s="151">
        <f ca="1">IF($D130&lt;&gt;"Serviço",0,IF(ACOMPANHAMENTO="BM",ROUND(OFFSET(ORÇAMENTO!AJ$15,ROW(H130)-ROW(H$15),0),15-13*ORÇAMENTO!$AF$7),SUMPRODUCT(($Q$12:$AI$12&lt;&gt;"")*ROUND($Q130:$AI130,15-13*ORÇAMENTO!$AF$7))))</f>
        <v>238</v>
      </c>
      <c r="I130" s="650"/>
      <c r="K130" s="208"/>
      <c r="L130" s="209" t="s">
        <v>257</v>
      </c>
      <c r="M130" s="210">
        <f ca="1">IF($D130&lt;&gt;"Serviço","",IF(AUTOEVENTO="manual",$A130,IF(ISERROR(MATCH($A130,$A$15:OFFSET($A130,-1,0),0)),MAX($M$15:OFFSET(M130,-1,0))+1,INDEX($M$15:OFFSET(M130,-1,0),MATCH($A130,$A$15:OFFSET($A130,-1,0),0)))))</f>
        <v>0</v>
      </c>
      <c r="N130" s="211" t="str">
        <f ca="1">IF($D130&lt;&gt;"Serviço","",IF(AUTOEVENTO="Manual",IF($A130=0,"&lt;-- defina o número do agrupador",OFFSET(EVENTOS!$D$14,$A130,0)),OFFSET($F$15,$A130,0)))</f>
        <v>&lt;-- defina o número do agrupador</v>
      </c>
      <c r="O130" s="212"/>
      <c r="Q130" s="212"/>
      <c r="R130" s="213"/>
      <c r="S130" s="213"/>
      <c r="T130" s="213"/>
      <c r="U130" s="213"/>
      <c r="V130" s="213"/>
      <c r="W130" s="213"/>
      <c r="X130" s="213"/>
      <c r="Y130" s="213"/>
      <c r="Z130" s="214"/>
      <c r="AA130" s="213"/>
      <c r="AB130" s="213"/>
      <c r="AC130" s="213"/>
      <c r="AD130" s="213"/>
      <c r="AE130" s="213"/>
      <c r="AF130" s="213"/>
      <c r="AG130" s="213"/>
      <c r="AH130" s="214"/>
      <c r="AJ130" s="631">
        <f ca="1">IF(AND($D130="Serviço",AJ$12&lt;&gt;0,$H130&gt;0,OR(AUTOEVENTO&lt;&gt;"manual",$M130&lt;&gt;1)),ROUND(OFFSET($P130,0,AJ$13),15-13*ORÇAMENTO!$AF$7)/$H130*OFFSET(ORÇAMENTO!$X$15,ROW(AJ130)-ROW(AJ$15),0),0)</f>
        <v>0</v>
      </c>
      <c r="AK130" s="632">
        <f ca="1">IF(AND($D130="Serviço",AK$12&lt;&gt;0,$H130&gt;0,OR(AUTOEVENTO&lt;&gt;"manual",$M130&lt;&gt;1)),ROUND(OFFSET($P130,0,AK$13),15-13*ORÇAMENTO!$AF$7)/$H130*OFFSET(ORÇAMENTO!$X$15,ROW(AK130)-ROW(AK$15),0),0)</f>
        <v>0</v>
      </c>
      <c r="AL130" s="632">
        <f ca="1">IF(AND($D130="Serviço",AL$12&lt;&gt;0,$H130&gt;0,OR(AUTOEVENTO&lt;&gt;"manual",$M130&lt;&gt;1)),ROUND(OFFSET($P130,0,AL$13),15-13*ORÇAMENTO!$AF$7)/$H130*OFFSET(ORÇAMENTO!$X$15,ROW(AL130)-ROW(AL$15),0),0)</f>
        <v>0</v>
      </c>
      <c r="AM130" s="632">
        <f ca="1">IF(AND($D130="Serviço",AM$12&lt;&gt;0,$H130&gt;0,OR(AUTOEVENTO&lt;&gt;"manual",$M130&lt;&gt;1)),ROUND(OFFSET($P130,0,AM$13),15-13*ORÇAMENTO!$AF$7)/$H130*OFFSET(ORÇAMENTO!$X$15,ROW(AM130)-ROW(AM$15),0),0)</f>
        <v>0</v>
      </c>
      <c r="AN130" s="632">
        <f ca="1">IF(AND($D130="Serviço",AN$12&lt;&gt;0,$H130&gt;0,OR(AUTOEVENTO&lt;&gt;"manual",$M130&lt;&gt;1)),ROUND(OFFSET($P130,0,AN$13),15-13*ORÇAMENTO!$AF$7)/$H130*OFFSET(ORÇAMENTO!$X$15,ROW(AN130)-ROW(AN$15),0),0)</f>
        <v>0</v>
      </c>
      <c r="AO130" s="632">
        <f ca="1">IF(AND($D130="Serviço",AO$12&lt;&gt;0,$H130&gt;0,OR(AUTOEVENTO&lt;&gt;"manual",$M130&lt;&gt;1)),ROUND(OFFSET($P130,0,AO$13),15-13*ORÇAMENTO!$AF$7)/$H130*OFFSET(ORÇAMENTO!$X$15,ROW(AO130)-ROW(AO$15),0),0)</f>
        <v>0</v>
      </c>
      <c r="AP130" s="632">
        <f ca="1">IF(AND($D130="Serviço",AP$12&lt;&gt;0,$H130&gt;0,OR(AUTOEVENTO&lt;&gt;"manual",$M130&lt;&gt;1)),ROUND(OFFSET($P130,0,AP$13),15-13*ORÇAMENTO!$AF$7)/$H130*OFFSET(ORÇAMENTO!$X$15,ROW(AP130)-ROW(AP$15),0),0)</f>
        <v>0</v>
      </c>
      <c r="AQ130" s="632">
        <f ca="1">IF(AND($D130="Serviço",AQ$12&lt;&gt;0,$H130&gt;0,OR(AUTOEVENTO&lt;&gt;"manual",$M130&lt;&gt;1)),ROUND(OFFSET($P130,0,AQ$13),15-13*ORÇAMENTO!$AF$7)/$H130*OFFSET(ORÇAMENTO!$X$15,ROW(AQ130)-ROW(AQ$15),0),0)</f>
        <v>0</v>
      </c>
      <c r="AR130" s="632">
        <f ca="1">IF(AND($D130="Serviço",AR$12&lt;&gt;0,$H130&gt;0,OR(AUTOEVENTO&lt;&gt;"manual",$M130&lt;&gt;1)),ROUND(OFFSET($P130,0,AR$13),15-13*ORÇAMENTO!$AF$7)/$H130*OFFSET(ORÇAMENTO!$X$15,ROW(AR130)-ROW(AR$15),0),0)</f>
        <v>0</v>
      </c>
      <c r="AS130" s="633">
        <f ca="1">IF(AND($D130="Serviço",AS$12&lt;&gt;0,$H130&gt;0,OR(AUTOEVENTO&lt;&gt;"manual",$M130&lt;&gt;1)),ROUND(OFFSET($P130,0,AS$13),15-13*ORÇAMENTO!$AF$7)/$H130*OFFSET(ORÇAMENTO!$X$15,ROW(AS130)-ROW(AS$15),0),0)</f>
        <v>0</v>
      </c>
      <c r="AT130" s="632">
        <f ca="1">IF(AND($D130="Serviço",AT$12&lt;&gt;0,$H130&gt;0,OR(AUTOEVENTO&lt;&gt;"manual",$M130&lt;&gt;1)),ROUND(OFFSET($P130,0,AT$13),15-13*ORÇAMENTO!$AF$7)/$H130*OFFSET(ORÇAMENTO!$X$15,ROW(AT130)-ROW(AT$15),0),0)</f>
        <v>0</v>
      </c>
      <c r="AU130" s="632">
        <f ca="1">IF(AND($D130="Serviço",AU$12&lt;&gt;0,$H130&gt;0,OR(AUTOEVENTO&lt;&gt;"manual",$M130&lt;&gt;1)),ROUND(OFFSET($P130,0,AU$13),15-13*ORÇAMENTO!$AF$7)/$H130*OFFSET(ORÇAMENTO!$X$15,ROW(AU130)-ROW(AU$15),0),0)</f>
        <v>0</v>
      </c>
      <c r="AV130" s="632">
        <f ca="1">IF(AND($D130="Serviço",AV$12&lt;&gt;0,$H130&gt;0,OR(AUTOEVENTO&lt;&gt;"manual",$M130&lt;&gt;1)),ROUND(OFFSET($P130,0,AV$13),15-13*ORÇAMENTO!$AF$7)/$H130*OFFSET(ORÇAMENTO!$X$15,ROW(AV130)-ROW(AV$15),0),0)</f>
        <v>0</v>
      </c>
      <c r="AW130" s="632">
        <f ca="1">IF(AND($D130="Serviço",AW$12&lt;&gt;0,$H130&gt;0,OR(AUTOEVENTO&lt;&gt;"manual",$M130&lt;&gt;1)),ROUND(OFFSET($P130,0,AW$13),15-13*ORÇAMENTO!$AF$7)/$H130*OFFSET(ORÇAMENTO!$X$15,ROW(AW130)-ROW(AW$15),0),0)</f>
        <v>0</v>
      </c>
      <c r="AX130" s="632">
        <f ca="1">IF(AND($D130="Serviço",AX$12&lt;&gt;0,$H130&gt;0,OR(AUTOEVENTO&lt;&gt;"manual",$M130&lt;&gt;1)),ROUND(OFFSET($P130,0,AX$13),15-13*ORÇAMENTO!$AF$7)/$H130*OFFSET(ORÇAMENTO!$X$15,ROW(AX130)-ROW(AX$15),0),0)</f>
        <v>0</v>
      </c>
      <c r="AY130" s="632">
        <f ca="1">IF(AND($D130="Serviço",AY$12&lt;&gt;0,$H130&gt;0,OR(AUTOEVENTO&lt;&gt;"manual",$M130&lt;&gt;1)),ROUND(OFFSET($P130,0,AY$13),15-13*ORÇAMENTO!$AF$7)/$H130*OFFSET(ORÇAMENTO!$X$15,ROW(AY130)-ROW(AY$15),0),0)</f>
        <v>0</v>
      </c>
      <c r="AZ130" s="632">
        <f ca="1">IF(AND($D130="Serviço",AZ$12&lt;&gt;0,$H130&gt;0,OR(AUTOEVENTO&lt;&gt;"manual",$M130&lt;&gt;1)),ROUND(OFFSET($P130,0,AZ$13),15-13*ORÇAMENTO!$AF$7)/$H130*OFFSET(ORÇAMENTO!$X$15,ROW(AZ130)-ROW(AZ$15),0),0)</f>
        <v>0</v>
      </c>
      <c r="BA130" s="633">
        <f ca="1">IF(AND($D130="Serviço",BA$12&lt;&gt;0,$H130&gt;0,OR(AUTOEVENTO&lt;&gt;"manual",$M130&lt;&gt;1)),ROUND(OFFSET($P130,0,BA$13),15-13*ORÇAMENTO!$AF$7)/$H130*OFFSET(ORÇAMENTO!$X$15,ROW(BA130)-ROW(BA$15),0),0)</f>
        <v>0</v>
      </c>
      <c r="BC130" s="215">
        <f ca="1">IF($D130&lt;&gt;"Serviço",0,IF(AND(AUTOEVENTO="Manual",$M130=1),0,IF(OFFSET(CRONOPLE!$F$14,$M130,BC$13)="",10^12,OFFSET(CRONOPLE!$F$14,$M130,BC$13))))</f>
        <v>1000000000000</v>
      </c>
      <c r="BD130" s="215">
        <f ca="1">IF($D130&lt;&gt;"Serviço",0,IF(AND(AUTOEVENTO="Manual",$M130=1),0,IF(OFFSET(CRONOPLE!$F$14,$M130,BD$13)="",10^12,OFFSET(CRONOPLE!$F$14,$M130,BD$13))))</f>
        <v>1000000000000</v>
      </c>
      <c r="BE130" s="215">
        <f ca="1">IF($D130&lt;&gt;"Serviço",0,IF(AND(AUTOEVENTO="Manual",$M130=1),0,IF(OFFSET(CRONOPLE!$F$14,$M130,BE$13)="",10^12,OFFSET(CRONOPLE!$F$14,$M130,BE$13))))</f>
        <v>1000000000000</v>
      </c>
      <c r="BF130" s="215">
        <f ca="1">IF($D130&lt;&gt;"Serviço",0,IF(AND(AUTOEVENTO="Manual",$M130=1),0,IF(OFFSET(CRONOPLE!$F$14,$M130,BF$13)="",10^12,OFFSET(CRONOPLE!$F$14,$M130,BF$13))))</f>
        <v>1000000000000</v>
      </c>
      <c r="BG130" s="215">
        <f ca="1">IF($D130&lt;&gt;"Serviço",0,IF(AND(AUTOEVENTO="Manual",$M130=1),0,IF(OFFSET(CRONOPLE!$F$14,$M130,BG$13)="",10^12,OFFSET(CRONOPLE!$F$14,$M130,BG$13))))</f>
        <v>1000000000000</v>
      </c>
      <c r="BH130" s="215">
        <f ca="1">IF($D130&lt;&gt;"Serviço",0,IF(AND(AUTOEVENTO="Manual",$M130=1),0,IF(OFFSET(CRONOPLE!$F$14,$M130,BH$13)="",10^12,OFFSET(CRONOPLE!$F$14,$M130,BH$13))))</f>
        <v>1000000000000</v>
      </c>
      <c r="BI130" s="215">
        <f ca="1">IF($D130&lt;&gt;"Serviço",0,IF(AND(AUTOEVENTO="Manual",$M130=1),0,IF(OFFSET(CRONOPLE!$F$14,$M130,BI$13)="",10^12,OFFSET(CRONOPLE!$F$14,$M130,BI$13))))</f>
        <v>1000000000000</v>
      </c>
      <c r="BJ130" s="215">
        <f ca="1">IF($D130&lt;&gt;"Serviço",0,IF(AND(AUTOEVENTO="Manual",$M130=1),0,IF(OFFSET(CRONOPLE!$F$14,$M130,BJ$13)="",10^12,OFFSET(CRONOPLE!$F$14,$M130,BJ$13))))</f>
        <v>1000000000000</v>
      </c>
      <c r="BK130" s="215">
        <f ca="1">IF($D130&lt;&gt;"Serviço",0,IF(AND(AUTOEVENTO="Manual",$M130=1),0,IF(OFFSET(CRONOPLE!$F$14,$M130,BK$13)="",10^12,OFFSET(CRONOPLE!$F$14,$M130,BK$13))))</f>
        <v>1000000000000</v>
      </c>
      <c r="BL130" s="215">
        <f ca="1">IF($D130&lt;&gt;"Serviço",0,IF(AND(AUTOEVENTO="Manual",$M130=1),0,IF(OFFSET(CRONOPLE!$F$14,$M130,BL$13)="",10^12,OFFSET(CRONOPLE!$F$14,$M130,BL$13))))</f>
        <v>1000000000000</v>
      </c>
      <c r="BM130" s="215">
        <f ca="1">IF($D130&lt;&gt;"Serviço",0,IF(AND(AUTOEVENTO="Manual",$M130=1),0,IF(OFFSET(CRONOPLE!$F$14,$M130,BM$13)="",10^12,OFFSET(CRONOPLE!$F$14,$M130,BM$13))))</f>
        <v>1000000000000</v>
      </c>
      <c r="BN130" s="215">
        <f ca="1">IF($D130&lt;&gt;"Serviço",0,IF(AND(AUTOEVENTO="Manual",$M130=1),0,IF(OFFSET(CRONOPLE!$F$14,$M130,BN$13)="",10^12,OFFSET(CRONOPLE!$F$14,$M130,BN$13))))</f>
        <v>1000000000000</v>
      </c>
      <c r="BO130" s="215">
        <f ca="1">IF($D130&lt;&gt;"Serviço",0,IF(AND(AUTOEVENTO="Manual",$M130=1),0,IF(OFFSET(CRONOPLE!$F$14,$M130,BO$13)="",10^12,OFFSET(CRONOPLE!$F$14,$M130,BO$13))))</f>
        <v>1000000000000</v>
      </c>
      <c r="BP130" s="215">
        <f ca="1">IF($D130&lt;&gt;"Serviço",0,IF(AND(AUTOEVENTO="Manual",$M130=1),0,IF(OFFSET(CRONOPLE!$F$14,$M130,BP$13)="",10^12,OFFSET(CRONOPLE!$F$14,$M130,BP$13))))</f>
        <v>1000000000000</v>
      </c>
      <c r="BQ130" s="215">
        <f ca="1">IF($D130&lt;&gt;"Serviço",0,IF(AND(AUTOEVENTO="Manual",$M130=1),0,IF(OFFSET(CRONOPLE!$F$14,$M130,BQ$13)="",10^12,OFFSET(CRONOPLE!$F$14,$M130,BQ$13))))</f>
        <v>1000000000000</v>
      </c>
      <c r="BR130" s="215">
        <f ca="1">IF($D130&lt;&gt;"Serviço",0,IF(AND(AUTOEVENTO="Manual",$M130=1),0,IF(OFFSET(CRONOPLE!$F$14,$M130,BR$13)="",10^12,OFFSET(CRONOPLE!$F$14,$M130,BR$13))))</f>
        <v>1000000000000</v>
      </c>
      <c r="BS130" s="215">
        <f ca="1">IF($D130&lt;&gt;"Serviço",0,IF(AND(AUTOEVENTO="Manual",$M130=1),0,IF(OFFSET(CRONOPLE!$F$14,$M130,BS$13)="",10^12,OFFSET(CRONOPLE!$F$14,$M130,BS$13))))</f>
        <v>1000000000000</v>
      </c>
      <c r="BT130" s="215">
        <f ca="1">IF($D130&lt;&gt;"Serviço",0,IF(AND(AUTOEVENTO="Manual",$M130=1),0,IF(OFFSET(CRONOPLE!$F$14,$M130,BT$13)="",10^12,OFFSET(CRONOPLE!$F$14,$M130,BT$13))))</f>
        <v>1000000000000</v>
      </c>
      <c r="BV130" s="216">
        <f ca="1">IF($D130&lt;&gt;"Serviço",0,IF(OR(AND(AUTOEVENTO="Manual",$M130=1),$M130&gt;(ROW(PLE.lastrow)-ROW(PLE.firstrow))),0,IF(OFFSET(PLE!$G$14,$M130,BV$13)="",10^12,OFFSET(PLE!$G$14,$M130,BV$13))))</f>
        <v>1000000000000</v>
      </c>
      <c r="BW130" s="216">
        <f ca="1">IF($D130&lt;&gt;"Serviço",0,IF(OR(AND(AUTOEVENTO="Manual",$M130=1),$M130&gt;(ROW(PLE.lastrow)-ROW(PLE.firstrow))),0,IF(OFFSET(PLE!$G$14,$M130,BW$13)="",10^12,OFFSET(PLE!$G$14,$M130,BW$13))))</f>
        <v>1000000000000</v>
      </c>
      <c r="BX130" s="216">
        <f ca="1">IF($D130&lt;&gt;"Serviço",0,IF(OR(AND(AUTOEVENTO="Manual",$M130=1),$M130&gt;(ROW(PLE.lastrow)-ROW(PLE.firstrow))),0,IF(OFFSET(PLE!$G$14,$M130,BX$13)="",10^12,OFFSET(PLE!$G$14,$M130,BX$13))))</f>
        <v>1000000000000</v>
      </c>
      <c r="BY130" s="216">
        <f ca="1">IF($D130&lt;&gt;"Serviço",0,IF(OR(AND(AUTOEVENTO="Manual",$M130=1),$M130&gt;(ROW(PLE.lastrow)-ROW(PLE.firstrow))),0,IF(OFFSET(PLE!$G$14,$M130,BY$13)="",10^12,OFFSET(PLE!$G$14,$M130,BY$13))))</f>
        <v>1000000000000</v>
      </c>
      <c r="BZ130" s="216">
        <f ca="1">IF($D130&lt;&gt;"Serviço",0,IF(OR(AND(AUTOEVENTO="Manual",$M130=1),$M130&gt;(ROW(PLE.lastrow)-ROW(PLE.firstrow))),0,IF(OFFSET(PLE!$G$14,$M130,BZ$13)="",10^12,OFFSET(PLE!$G$14,$M130,BZ$13))))</f>
        <v>1000000000000</v>
      </c>
      <c r="CA130" s="216">
        <f ca="1">IF($D130&lt;&gt;"Serviço",0,IF(OR(AND(AUTOEVENTO="Manual",$M130=1),$M130&gt;(ROW(PLE.lastrow)-ROW(PLE.firstrow))),0,IF(OFFSET(PLE!$G$14,$M130,CA$13)="",10^12,OFFSET(PLE!$G$14,$M130,CA$13))))</f>
        <v>1000000000000</v>
      </c>
      <c r="CB130" s="216">
        <f ca="1">IF($D130&lt;&gt;"Serviço",0,IF(OR(AND(AUTOEVENTO="Manual",$M130=1),$M130&gt;(ROW(PLE.lastrow)-ROW(PLE.firstrow))),0,IF(OFFSET(PLE!$G$14,$M130,CB$13)="",10^12,OFFSET(PLE!$G$14,$M130,CB$13))))</f>
        <v>1000000000000</v>
      </c>
      <c r="CC130" s="216">
        <f ca="1">IF($D130&lt;&gt;"Serviço",0,IF(OR(AND(AUTOEVENTO="Manual",$M130=1),$M130&gt;(ROW(PLE.lastrow)-ROW(PLE.firstrow))),0,IF(OFFSET(PLE!$G$14,$M130,CC$13)="",10^12,OFFSET(PLE!$G$14,$M130,CC$13))))</f>
        <v>1000000000000</v>
      </c>
      <c r="CD130" s="216">
        <f ca="1">IF($D130&lt;&gt;"Serviço",0,IF(OR(AND(AUTOEVENTO="Manual",$M130=1),$M130&gt;(ROW(PLE.lastrow)-ROW(PLE.firstrow))),0,IF(OFFSET(PLE!$G$14,$M130,CD$13)="",10^12,OFFSET(PLE!$G$14,$M130,CD$13))))</f>
        <v>1000000000000</v>
      </c>
      <c r="CE130" s="216">
        <f ca="1">IF($D130&lt;&gt;"Serviço",0,IF(OR(AND(AUTOEVENTO="Manual",$M130=1),$M130&gt;(ROW(PLE.lastrow)-ROW(PLE.firstrow))),0,IF(OFFSET(PLE!$G$14,$M130,CE$13)="",10^12,OFFSET(PLE!$G$14,$M130,CE$13))))</f>
        <v>1000000000000</v>
      </c>
      <c r="CF130" s="216">
        <f ca="1">IF($D130&lt;&gt;"Serviço",0,IF(OR(AND(AUTOEVENTO="Manual",$M130=1),$M130&gt;(ROW(PLE.lastrow)-ROW(PLE.firstrow))),0,IF(OFFSET(PLE!$G$14,$M130,CF$13)="",10^12,OFFSET(PLE!$G$14,$M130,CF$13))))</f>
        <v>1000000000000</v>
      </c>
      <c r="CG130" s="216">
        <f ca="1">IF($D130&lt;&gt;"Serviço",0,IF(OR(AND(AUTOEVENTO="Manual",$M130=1),$M130&gt;(ROW(PLE.lastrow)-ROW(PLE.firstrow))),0,IF(OFFSET(PLE!$G$14,$M130,CG$13)="",10^12,OFFSET(PLE!$G$14,$M130,CG$13))))</f>
        <v>1000000000000</v>
      </c>
      <c r="CH130" s="216">
        <f ca="1">IF($D130&lt;&gt;"Serviço",0,IF(OR(AND(AUTOEVENTO="Manual",$M130=1),$M130&gt;(ROW(PLE.lastrow)-ROW(PLE.firstrow))),0,IF(OFFSET(PLE!$G$14,$M130,CH$13)="",10^12,OFFSET(PLE!$G$14,$M130,CH$13))))</f>
        <v>1000000000000</v>
      </c>
      <c r="CI130" s="216">
        <f ca="1">IF($D130&lt;&gt;"Serviço",0,IF(OR(AND(AUTOEVENTO="Manual",$M130=1),$M130&gt;(ROW(PLE.lastrow)-ROW(PLE.firstrow))),0,IF(OFFSET(PLE!$G$14,$M130,CI$13)="",10^12,OFFSET(PLE!$G$14,$M130,CI$13))))</f>
        <v>1000000000000</v>
      </c>
      <c r="CJ130" s="216">
        <f ca="1">IF($D130&lt;&gt;"Serviço",0,IF(OR(AND(AUTOEVENTO="Manual",$M130=1),$M130&gt;(ROW(PLE.lastrow)-ROW(PLE.firstrow))),0,IF(OFFSET(PLE!$G$14,$M130,CJ$13)="",10^12,OFFSET(PLE!$G$14,$M130,CJ$13))))</f>
        <v>1000000000000</v>
      </c>
      <c r="CK130" s="216">
        <f ca="1">IF($D130&lt;&gt;"Serviço",0,IF(OR(AND(AUTOEVENTO="Manual",$M130=1),$M130&gt;(ROW(PLE.lastrow)-ROW(PLE.firstrow))),0,IF(OFFSET(PLE!$G$14,$M130,CK$13)="",10^12,OFFSET(PLE!$G$14,$M130,CK$13))))</f>
        <v>1000000000000</v>
      </c>
      <c r="CL130" s="216">
        <f ca="1">IF($D130&lt;&gt;"Serviço",0,IF(OR(AND(AUTOEVENTO="Manual",$M130=1),$M130&gt;(ROW(PLE.lastrow)-ROW(PLE.firstrow))),0,IF(OFFSET(PLE!$G$14,$M130,CL$13)="",10^12,OFFSET(PLE!$G$14,$M130,CL$13))))</f>
        <v>1000000000000</v>
      </c>
      <c r="CM130" s="216">
        <f ca="1">IF($D130&lt;&gt;"Serviço",0,IF(OR(AND(AUTOEVENTO="Manual",$M130=1),$M130&gt;(ROW(PLE.lastrow)-ROW(PLE.firstrow))),0,IF(OFFSET(PLE!$G$14,$M130,CM$13)="",10^12,OFFSET(PLE!$G$14,$M130,CM$13))))</f>
        <v>1000000000000</v>
      </c>
    </row>
    <row r="131" spans="1:91" ht="13.2" x14ac:dyDescent="0.25">
      <c r="A131" s="9">
        <f t="shared" ca="1" si="10"/>
        <v>0</v>
      </c>
      <c r="B131" s="9">
        <f ca="1">OFFSET(ORÇAMENTO!C$15,ROW(B131)-ROW(B$15),0)</f>
        <v>3</v>
      </c>
      <c r="C131" s="9" t="str">
        <f ca="1">OFFSET(ORÇAMENTO!L$15,ROW(C131)-ROW(C$15),0)</f>
        <v>F</v>
      </c>
      <c r="D131" s="145" t="str">
        <f ca="1">OFFSET(ORÇAMENTO!N$15,ROW(D131)-ROW(D$15),0)</f>
        <v>Nível 3</v>
      </c>
      <c r="E131" s="205" t="str">
        <f ca="1">OFFSET(ORÇAMENTO!O$15,ROW(E131)-ROW(E$15),0)</f>
        <v>1.4.7.</v>
      </c>
      <c r="F131" s="206" t="str">
        <f ca="1">OFFSET(ORÇAMENTO!R$15,ROW(F131)-ROW(F$15),0)</f>
        <v>CONCRETO ARMADO - PISO PARA QUADRA</v>
      </c>
      <c r="G131" s="207" t="str">
        <f ca="1">IF($D131&lt;&gt;"Serviço","",OFFSET(ORÇAMENTO!S$15,ROW(G131)-ROW(G$15),0))</f>
        <v/>
      </c>
      <c r="H131" s="151">
        <f ca="1">IF($D131&lt;&gt;"Serviço",0,IF(ACOMPANHAMENTO="BM",ROUND(OFFSET(ORÇAMENTO!AJ$15,ROW(H131)-ROW(H$15),0),15-13*ORÇAMENTO!$AF$7),SUMPRODUCT(($Q$12:$AI$12&lt;&gt;"")*ROUND($Q131:$AI131,15-13*ORÇAMENTO!$AF$7))))</f>
        <v>0</v>
      </c>
      <c r="I131" s="650"/>
      <c r="K131" s="208"/>
      <c r="L131" s="209" t="s">
        <v>257</v>
      </c>
      <c r="M131" s="210" t="str">
        <f ca="1">IF($D131&lt;&gt;"Serviço","",IF(AUTOEVENTO="manual",$A131,IF(ISERROR(MATCH($A131,$A$15:OFFSET($A131,-1,0),0)),MAX($M$15:OFFSET(M131,-1,0))+1,INDEX($M$15:OFFSET(M131,-1,0),MATCH($A131,$A$15:OFFSET($A131,-1,0),0)))))</f>
        <v/>
      </c>
      <c r="N131" s="211" t="str">
        <f ca="1">IF($D131&lt;&gt;"Serviço","",IF(AUTOEVENTO="Manual",IF($A131=0,"&lt;-- defina o número do agrupador",OFFSET(EVENTOS!$D$14,$A131,0)),OFFSET($F$15,$A131,0)))</f>
        <v/>
      </c>
      <c r="O131" s="212"/>
      <c r="Q131" s="212"/>
      <c r="R131" s="213"/>
      <c r="S131" s="213"/>
      <c r="T131" s="213"/>
      <c r="U131" s="213"/>
      <c r="V131" s="213"/>
      <c r="W131" s="213"/>
      <c r="X131" s="213"/>
      <c r="Y131" s="213"/>
      <c r="Z131" s="214"/>
      <c r="AA131" s="213"/>
      <c r="AB131" s="213"/>
      <c r="AC131" s="213"/>
      <c r="AD131" s="213"/>
      <c r="AE131" s="213"/>
      <c r="AF131" s="213"/>
      <c r="AG131" s="213"/>
      <c r="AH131" s="214"/>
      <c r="AJ131" s="631">
        <f ca="1">IF(AND($D131="Serviço",AJ$12&lt;&gt;0,$H131&gt;0,OR(AUTOEVENTO&lt;&gt;"manual",$M131&lt;&gt;1)),ROUND(OFFSET($P131,0,AJ$13),15-13*ORÇAMENTO!$AF$7)/$H131*OFFSET(ORÇAMENTO!$X$15,ROW(AJ131)-ROW(AJ$15),0),0)</f>
        <v>0</v>
      </c>
      <c r="AK131" s="632">
        <f ca="1">IF(AND($D131="Serviço",AK$12&lt;&gt;0,$H131&gt;0,OR(AUTOEVENTO&lt;&gt;"manual",$M131&lt;&gt;1)),ROUND(OFFSET($P131,0,AK$13),15-13*ORÇAMENTO!$AF$7)/$H131*OFFSET(ORÇAMENTO!$X$15,ROW(AK131)-ROW(AK$15),0),0)</f>
        <v>0</v>
      </c>
      <c r="AL131" s="632">
        <f ca="1">IF(AND($D131="Serviço",AL$12&lt;&gt;0,$H131&gt;0,OR(AUTOEVENTO&lt;&gt;"manual",$M131&lt;&gt;1)),ROUND(OFFSET($P131,0,AL$13),15-13*ORÇAMENTO!$AF$7)/$H131*OFFSET(ORÇAMENTO!$X$15,ROW(AL131)-ROW(AL$15),0),0)</f>
        <v>0</v>
      </c>
      <c r="AM131" s="632">
        <f ca="1">IF(AND($D131="Serviço",AM$12&lt;&gt;0,$H131&gt;0,OR(AUTOEVENTO&lt;&gt;"manual",$M131&lt;&gt;1)),ROUND(OFFSET($P131,0,AM$13),15-13*ORÇAMENTO!$AF$7)/$H131*OFFSET(ORÇAMENTO!$X$15,ROW(AM131)-ROW(AM$15),0),0)</f>
        <v>0</v>
      </c>
      <c r="AN131" s="632">
        <f ca="1">IF(AND($D131="Serviço",AN$12&lt;&gt;0,$H131&gt;0,OR(AUTOEVENTO&lt;&gt;"manual",$M131&lt;&gt;1)),ROUND(OFFSET($P131,0,AN$13),15-13*ORÇAMENTO!$AF$7)/$H131*OFFSET(ORÇAMENTO!$X$15,ROW(AN131)-ROW(AN$15),0),0)</f>
        <v>0</v>
      </c>
      <c r="AO131" s="632">
        <f ca="1">IF(AND($D131="Serviço",AO$12&lt;&gt;0,$H131&gt;0,OR(AUTOEVENTO&lt;&gt;"manual",$M131&lt;&gt;1)),ROUND(OFFSET($P131,0,AO$13),15-13*ORÇAMENTO!$AF$7)/$H131*OFFSET(ORÇAMENTO!$X$15,ROW(AO131)-ROW(AO$15),0),0)</f>
        <v>0</v>
      </c>
      <c r="AP131" s="632">
        <f ca="1">IF(AND($D131="Serviço",AP$12&lt;&gt;0,$H131&gt;0,OR(AUTOEVENTO&lt;&gt;"manual",$M131&lt;&gt;1)),ROUND(OFFSET($P131,0,AP$13),15-13*ORÇAMENTO!$AF$7)/$H131*OFFSET(ORÇAMENTO!$X$15,ROW(AP131)-ROW(AP$15),0),0)</f>
        <v>0</v>
      </c>
      <c r="AQ131" s="632">
        <f ca="1">IF(AND($D131="Serviço",AQ$12&lt;&gt;0,$H131&gt;0,OR(AUTOEVENTO&lt;&gt;"manual",$M131&lt;&gt;1)),ROUND(OFFSET($P131,0,AQ$13),15-13*ORÇAMENTO!$AF$7)/$H131*OFFSET(ORÇAMENTO!$X$15,ROW(AQ131)-ROW(AQ$15),0),0)</f>
        <v>0</v>
      </c>
      <c r="AR131" s="632">
        <f ca="1">IF(AND($D131="Serviço",AR$12&lt;&gt;0,$H131&gt;0,OR(AUTOEVENTO&lt;&gt;"manual",$M131&lt;&gt;1)),ROUND(OFFSET($P131,0,AR$13),15-13*ORÇAMENTO!$AF$7)/$H131*OFFSET(ORÇAMENTO!$X$15,ROW(AR131)-ROW(AR$15),0),0)</f>
        <v>0</v>
      </c>
      <c r="AS131" s="633">
        <f ca="1">IF(AND($D131="Serviço",AS$12&lt;&gt;0,$H131&gt;0,OR(AUTOEVENTO&lt;&gt;"manual",$M131&lt;&gt;1)),ROUND(OFFSET($P131,0,AS$13),15-13*ORÇAMENTO!$AF$7)/$H131*OFFSET(ORÇAMENTO!$X$15,ROW(AS131)-ROW(AS$15),0),0)</f>
        <v>0</v>
      </c>
      <c r="AT131" s="632">
        <f ca="1">IF(AND($D131="Serviço",AT$12&lt;&gt;0,$H131&gt;0,OR(AUTOEVENTO&lt;&gt;"manual",$M131&lt;&gt;1)),ROUND(OFFSET($P131,0,AT$13),15-13*ORÇAMENTO!$AF$7)/$H131*OFFSET(ORÇAMENTO!$X$15,ROW(AT131)-ROW(AT$15),0),0)</f>
        <v>0</v>
      </c>
      <c r="AU131" s="632">
        <f ca="1">IF(AND($D131="Serviço",AU$12&lt;&gt;0,$H131&gt;0,OR(AUTOEVENTO&lt;&gt;"manual",$M131&lt;&gt;1)),ROUND(OFFSET($P131,0,AU$13),15-13*ORÇAMENTO!$AF$7)/$H131*OFFSET(ORÇAMENTO!$X$15,ROW(AU131)-ROW(AU$15),0),0)</f>
        <v>0</v>
      </c>
      <c r="AV131" s="632">
        <f ca="1">IF(AND($D131="Serviço",AV$12&lt;&gt;0,$H131&gt;0,OR(AUTOEVENTO&lt;&gt;"manual",$M131&lt;&gt;1)),ROUND(OFFSET($P131,0,AV$13),15-13*ORÇAMENTO!$AF$7)/$H131*OFFSET(ORÇAMENTO!$X$15,ROW(AV131)-ROW(AV$15),0),0)</f>
        <v>0</v>
      </c>
      <c r="AW131" s="632">
        <f ca="1">IF(AND($D131="Serviço",AW$12&lt;&gt;0,$H131&gt;0,OR(AUTOEVENTO&lt;&gt;"manual",$M131&lt;&gt;1)),ROUND(OFFSET($P131,0,AW$13),15-13*ORÇAMENTO!$AF$7)/$H131*OFFSET(ORÇAMENTO!$X$15,ROW(AW131)-ROW(AW$15),0),0)</f>
        <v>0</v>
      </c>
      <c r="AX131" s="632">
        <f ca="1">IF(AND($D131="Serviço",AX$12&lt;&gt;0,$H131&gt;0,OR(AUTOEVENTO&lt;&gt;"manual",$M131&lt;&gt;1)),ROUND(OFFSET($P131,0,AX$13),15-13*ORÇAMENTO!$AF$7)/$H131*OFFSET(ORÇAMENTO!$X$15,ROW(AX131)-ROW(AX$15),0),0)</f>
        <v>0</v>
      </c>
      <c r="AY131" s="632">
        <f ca="1">IF(AND($D131="Serviço",AY$12&lt;&gt;0,$H131&gt;0,OR(AUTOEVENTO&lt;&gt;"manual",$M131&lt;&gt;1)),ROUND(OFFSET($P131,0,AY$13),15-13*ORÇAMENTO!$AF$7)/$H131*OFFSET(ORÇAMENTO!$X$15,ROW(AY131)-ROW(AY$15),0),0)</f>
        <v>0</v>
      </c>
      <c r="AZ131" s="632">
        <f ca="1">IF(AND($D131="Serviço",AZ$12&lt;&gt;0,$H131&gt;0,OR(AUTOEVENTO&lt;&gt;"manual",$M131&lt;&gt;1)),ROUND(OFFSET($P131,0,AZ$13),15-13*ORÇAMENTO!$AF$7)/$H131*OFFSET(ORÇAMENTO!$X$15,ROW(AZ131)-ROW(AZ$15),0),0)</f>
        <v>0</v>
      </c>
      <c r="BA131" s="633">
        <f ca="1">IF(AND($D131="Serviço",BA$12&lt;&gt;0,$H131&gt;0,OR(AUTOEVENTO&lt;&gt;"manual",$M131&lt;&gt;1)),ROUND(OFFSET($P131,0,BA$13),15-13*ORÇAMENTO!$AF$7)/$H131*OFFSET(ORÇAMENTO!$X$15,ROW(BA131)-ROW(BA$15),0),0)</f>
        <v>0</v>
      </c>
      <c r="BC131" s="215">
        <f ca="1">IF($D131&lt;&gt;"Serviço",0,IF(AND(AUTOEVENTO="Manual",$M131=1),0,IF(OFFSET(CRONOPLE!$F$14,$M131,BC$13)="",10^12,OFFSET(CRONOPLE!$F$14,$M131,BC$13))))</f>
        <v>0</v>
      </c>
      <c r="BD131" s="215">
        <f ca="1">IF($D131&lt;&gt;"Serviço",0,IF(AND(AUTOEVENTO="Manual",$M131=1),0,IF(OFFSET(CRONOPLE!$F$14,$M131,BD$13)="",10^12,OFFSET(CRONOPLE!$F$14,$M131,BD$13))))</f>
        <v>0</v>
      </c>
      <c r="BE131" s="215">
        <f ca="1">IF($D131&lt;&gt;"Serviço",0,IF(AND(AUTOEVENTO="Manual",$M131=1),0,IF(OFFSET(CRONOPLE!$F$14,$M131,BE$13)="",10^12,OFFSET(CRONOPLE!$F$14,$M131,BE$13))))</f>
        <v>0</v>
      </c>
      <c r="BF131" s="215">
        <f ca="1">IF($D131&lt;&gt;"Serviço",0,IF(AND(AUTOEVENTO="Manual",$M131=1),0,IF(OFFSET(CRONOPLE!$F$14,$M131,BF$13)="",10^12,OFFSET(CRONOPLE!$F$14,$M131,BF$13))))</f>
        <v>0</v>
      </c>
      <c r="BG131" s="215">
        <f ca="1">IF($D131&lt;&gt;"Serviço",0,IF(AND(AUTOEVENTO="Manual",$M131=1),0,IF(OFFSET(CRONOPLE!$F$14,$M131,BG$13)="",10^12,OFFSET(CRONOPLE!$F$14,$M131,BG$13))))</f>
        <v>0</v>
      </c>
      <c r="BH131" s="215">
        <f ca="1">IF($D131&lt;&gt;"Serviço",0,IF(AND(AUTOEVENTO="Manual",$M131=1),0,IF(OFFSET(CRONOPLE!$F$14,$M131,BH$13)="",10^12,OFFSET(CRONOPLE!$F$14,$M131,BH$13))))</f>
        <v>0</v>
      </c>
      <c r="BI131" s="215">
        <f ca="1">IF($D131&lt;&gt;"Serviço",0,IF(AND(AUTOEVENTO="Manual",$M131=1),0,IF(OFFSET(CRONOPLE!$F$14,$M131,BI$13)="",10^12,OFFSET(CRONOPLE!$F$14,$M131,BI$13))))</f>
        <v>0</v>
      </c>
      <c r="BJ131" s="215">
        <f ca="1">IF($D131&lt;&gt;"Serviço",0,IF(AND(AUTOEVENTO="Manual",$M131=1),0,IF(OFFSET(CRONOPLE!$F$14,$M131,BJ$13)="",10^12,OFFSET(CRONOPLE!$F$14,$M131,BJ$13))))</f>
        <v>0</v>
      </c>
      <c r="BK131" s="215">
        <f ca="1">IF($D131&lt;&gt;"Serviço",0,IF(AND(AUTOEVENTO="Manual",$M131=1),0,IF(OFFSET(CRONOPLE!$F$14,$M131,BK$13)="",10^12,OFFSET(CRONOPLE!$F$14,$M131,BK$13))))</f>
        <v>0</v>
      </c>
      <c r="BL131" s="215">
        <f ca="1">IF($D131&lt;&gt;"Serviço",0,IF(AND(AUTOEVENTO="Manual",$M131=1),0,IF(OFFSET(CRONOPLE!$F$14,$M131,BL$13)="",10^12,OFFSET(CRONOPLE!$F$14,$M131,BL$13))))</f>
        <v>0</v>
      </c>
      <c r="BM131" s="215">
        <f ca="1">IF($D131&lt;&gt;"Serviço",0,IF(AND(AUTOEVENTO="Manual",$M131=1),0,IF(OFFSET(CRONOPLE!$F$14,$M131,BM$13)="",10^12,OFFSET(CRONOPLE!$F$14,$M131,BM$13))))</f>
        <v>0</v>
      </c>
      <c r="BN131" s="215">
        <f ca="1">IF($D131&lt;&gt;"Serviço",0,IF(AND(AUTOEVENTO="Manual",$M131=1),0,IF(OFFSET(CRONOPLE!$F$14,$M131,BN$13)="",10^12,OFFSET(CRONOPLE!$F$14,$M131,BN$13))))</f>
        <v>0</v>
      </c>
      <c r="BO131" s="215">
        <f ca="1">IF($D131&lt;&gt;"Serviço",0,IF(AND(AUTOEVENTO="Manual",$M131=1),0,IF(OFFSET(CRONOPLE!$F$14,$M131,BO$13)="",10^12,OFFSET(CRONOPLE!$F$14,$M131,BO$13))))</f>
        <v>0</v>
      </c>
      <c r="BP131" s="215">
        <f ca="1">IF($D131&lt;&gt;"Serviço",0,IF(AND(AUTOEVENTO="Manual",$M131=1),0,IF(OFFSET(CRONOPLE!$F$14,$M131,BP$13)="",10^12,OFFSET(CRONOPLE!$F$14,$M131,BP$13))))</f>
        <v>0</v>
      </c>
      <c r="BQ131" s="215">
        <f ca="1">IF($D131&lt;&gt;"Serviço",0,IF(AND(AUTOEVENTO="Manual",$M131=1),0,IF(OFFSET(CRONOPLE!$F$14,$M131,BQ$13)="",10^12,OFFSET(CRONOPLE!$F$14,$M131,BQ$13))))</f>
        <v>0</v>
      </c>
      <c r="BR131" s="215">
        <f ca="1">IF($D131&lt;&gt;"Serviço",0,IF(AND(AUTOEVENTO="Manual",$M131=1),0,IF(OFFSET(CRONOPLE!$F$14,$M131,BR$13)="",10^12,OFFSET(CRONOPLE!$F$14,$M131,BR$13))))</f>
        <v>0</v>
      </c>
      <c r="BS131" s="215">
        <f ca="1">IF($D131&lt;&gt;"Serviço",0,IF(AND(AUTOEVENTO="Manual",$M131=1),0,IF(OFFSET(CRONOPLE!$F$14,$M131,BS$13)="",10^12,OFFSET(CRONOPLE!$F$14,$M131,BS$13))))</f>
        <v>0</v>
      </c>
      <c r="BT131" s="215">
        <f ca="1">IF($D131&lt;&gt;"Serviço",0,IF(AND(AUTOEVENTO="Manual",$M131=1),0,IF(OFFSET(CRONOPLE!$F$14,$M131,BT$13)="",10^12,OFFSET(CRONOPLE!$F$14,$M131,BT$13))))</f>
        <v>0</v>
      </c>
      <c r="BV131" s="216">
        <f ca="1">IF($D131&lt;&gt;"Serviço",0,IF(OR(AND(AUTOEVENTO="Manual",$M131=1),$M131&gt;(ROW(PLE.lastrow)-ROW(PLE.firstrow))),0,IF(OFFSET(PLE!$G$14,$M131,BV$13)="",10^12,OFFSET(PLE!$G$14,$M131,BV$13))))</f>
        <v>0</v>
      </c>
      <c r="BW131" s="216">
        <f ca="1">IF($D131&lt;&gt;"Serviço",0,IF(OR(AND(AUTOEVENTO="Manual",$M131=1),$M131&gt;(ROW(PLE.lastrow)-ROW(PLE.firstrow))),0,IF(OFFSET(PLE!$G$14,$M131,BW$13)="",10^12,OFFSET(PLE!$G$14,$M131,BW$13))))</f>
        <v>0</v>
      </c>
      <c r="BX131" s="216">
        <f ca="1">IF($D131&lt;&gt;"Serviço",0,IF(OR(AND(AUTOEVENTO="Manual",$M131=1),$M131&gt;(ROW(PLE.lastrow)-ROW(PLE.firstrow))),0,IF(OFFSET(PLE!$G$14,$M131,BX$13)="",10^12,OFFSET(PLE!$G$14,$M131,BX$13))))</f>
        <v>0</v>
      </c>
      <c r="BY131" s="216">
        <f ca="1">IF($D131&lt;&gt;"Serviço",0,IF(OR(AND(AUTOEVENTO="Manual",$M131=1),$M131&gt;(ROW(PLE.lastrow)-ROW(PLE.firstrow))),0,IF(OFFSET(PLE!$G$14,$M131,BY$13)="",10^12,OFFSET(PLE!$G$14,$M131,BY$13))))</f>
        <v>0</v>
      </c>
      <c r="BZ131" s="216">
        <f ca="1">IF($D131&lt;&gt;"Serviço",0,IF(OR(AND(AUTOEVENTO="Manual",$M131=1),$M131&gt;(ROW(PLE.lastrow)-ROW(PLE.firstrow))),0,IF(OFFSET(PLE!$G$14,$M131,BZ$13)="",10^12,OFFSET(PLE!$G$14,$M131,BZ$13))))</f>
        <v>0</v>
      </c>
      <c r="CA131" s="216">
        <f ca="1">IF($D131&lt;&gt;"Serviço",0,IF(OR(AND(AUTOEVENTO="Manual",$M131=1),$M131&gt;(ROW(PLE.lastrow)-ROW(PLE.firstrow))),0,IF(OFFSET(PLE!$G$14,$M131,CA$13)="",10^12,OFFSET(PLE!$G$14,$M131,CA$13))))</f>
        <v>0</v>
      </c>
      <c r="CB131" s="216">
        <f ca="1">IF($D131&lt;&gt;"Serviço",0,IF(OR(AND(AUTOEVENTO="Manual",$M131=1),$M131&gt;(ROW(PLE.lastrow)-ROW(PLE.firstrow))),0,IF(OFFSET(PLE!$G$14,$M131,CB$13)="",10^12,OFFSET(PLE!$G$14,$M131,CB$13))))</f>
        <v>0</v>
      </c>
      <c r="CC131" s="216">
        <f ca="1">IF($D131&lt;&gt;"Serviço",0,IF(OR(AND(AUTOEVENTO="Manual",$M131=1),$M131&gt;(ROW(PLE.lastrow)-ROW(PLE.firstrow))),0,IF(OFFSET(PLE!$G$14,$M131,CC$13)="",10^12,OFFSET(PLE!$G$14,$M131,CC$13))))</f>
        <v>0</v>
      </c>
      <c r="CD131" s="216">
        <f ca="1">IF($D131&lt;&gt;"Serviço",0,IF(OR(AND(AUTOEVENTO="Manual",$M131=1),$M131&gt;(ROW(PLE.lastrow)-ROW(PLE.firstrow))),0,IF(OFFSET(PLE!$G$14,$M131,CD$13)="",10^12,OFFSET(PLE!$G$14,$M131,CD$13))))</f>
        <v>0</v>
      </c>
      <c r="CE131" s="216">
        <f ca="1">IF($D131&lt;&gt;"Serviço",0,IF(OR(AND(AUTOEVENTO="Manual",$M131=1),$M131&gt;(ROW(PLE.lastrow)-ROW(PLE.firstrow))),0,IF(OFFSET(PLE!$G$14,$M131,CE$13)="",10^12,OFFSET(PLE!$G$14,$M131,CE$13))))</f>
        <v>0</v>
      </c>
      <c r="CF131" s="216">
        <f ca="1">IF($D131&lt;&gt;"Serviço",0,IF(OR(AND(AUTOEVENTO="Manual",$M131=1),$M131&gt;(ROW(PLE.lastrow)-ROW(PLE.firstrow))),0,IF(OFFSET(PLE!$G$14,$M131,CF$13)="",10^12,OFFSET(PLE!$G$14,$M131,CF$13))))</f>
        <v>0</v>
      </c>
      <c r="CG131" s="216">
        <f ca="1">IF($D131&lt;&gt;"Serviço",0,IF(OR(AND(AUTOEVENTO="Manual",$M131=1),$M131&gt;(ROW(PLE.lastrow)-ROW(PLE.firstrow))),0,IF(OFFSET(PLE!$G$14,$M131,CG$13)="",10^12,OFFSET(PLE!$G$14,$M131,CG$13))))</f>
        <v>0</v>
      </c>
      <c r="CH131" s="216">
        <f ca="1">IF($D131&lt;&gt;"Serviço",0,IF(OR(AND(AUTOEVENTO="Manual",$M131=1),$M131&gt;(ROW(PLE.lastrow)-ROW(PLE.firstrow))),0,IF(OFFSET(PLE!$G$14,$M131,CH$13)="",10^12,OFFSET(PLE!$G$14,$M131,CH$13))))</f>
        <v>0</v>
      </c>
      <c r="CI131" s="216">
        <f ca="1">IF($D131&lt;&gt;"Serviço",0,IF(OR(AND(AUTOEVENTO="Manual",$M131=1),$M131&gt;(ROW(PLE.lastrow)-ROW(PLE.firstrow))),0,IF(OFFSET(PLE!$G$14,$M131,CI$13)="",10^12,OFFSET(PLE!$G$14,$M131,CI$13))))</f>
        <v>0</v>
      </c>
      <c r="CJ131" s="216">
        <f ca="1">IF($D131&lt;&gt;"Serviço",0,IF(OR(AND(AUTOEVENTO="Manual",$M131=1),$M131&gt;(ROW(PLE.lastrow)-ROW(PLE.firstrow))),0,IF(OFFSET(PLE!$G$14,$M131,CJ$13)="",10^12,OFFSET(PLE!$G$14,$M131,CJ$13))))</f>
        <v>0</v>
      </c>
      <c r="CK131" s="216">
        <f ca="1">IF($D131&lt;&gt;"Serviço",0,IF(OR(AND(AUTOEVENTO="Manual",$M131=1),$M131&gt;(ROW(PLE.lastrow)-ROW(PLE.firstrow))),0,IF(OFFSET(PLE!$G$14,$M131,CK$13)="",10^12,OFFSET(PLE!$G$14,$M131,CK$13))))</f>
        <v>0</v>
      </c>
      <c r="CL131" s="216">
        <f ca="1">IF($D131&lt;&gt;"Serviço",0,IF(OR(AND(AUTOEVENTO="Manual",$M131=1),$M131&gt;(ROW(PLE.lastrow)-ROW(PLE.firstrow))),0,IF(OFFSET(PLE!$G$14,$M131,CL$13)="",10^12,OFFSET(PLE!$G$14,$M131,CL$13))))</f>
        <v>0</v>
      </c>
      <c r="CM131" s="216">
        <f ca="1">IF($D131&lt;&gt;"Serviço",0,IF(OR(AND(AUTOEVENTO="Manual",$M131=1),$M131&gt;(ROW(PLE.lastrow)-ROW(PLE.firstrow))),0,IF(OFFSET(PLE!$G$14,$M131,CM$13)="",10^12,OFFSET(PLE!$G$14,$M131,CM$13))))</f>
        <v>0</v>
      </c>
    </row>
    <row r="132" spans="1:91" ht="13.2" x14ac:dyDescent="0.25">
      <c r="A132" s="9">
        <f t="shared" ca="1" si="10"/>
        <v>0</v>
      </c>
      <c r="B132" s="9" t="str">
        <f ca="1">OFFSET(ORÇAMENTO!C$15,ROW(B132)-ROW(B$15),0)</f>
        <v>S</v>
      </c>
      <c r="C132" s="9" t="str">
        <f ca="1">OFFSET(ORÇAMENTO!L$15,ROW(C132)-ROW(C$15),0)</f>
        <v/>
      </c>
      <c r="D132" s="145" t="str">
        <f ca="1">OFFSET(ORÇAMENTO!N$15,ROW(D132)-ROW(D$15),0)</f>
        <v>Serviço</v>
      </c>
      <c r="E132" s="205" t="str">
        <f ca="1">OFFSET(ORÇAMENTO!O$15,ROW(E132)-ROW(E$15),0)</f>
        <v>-</v>
      </c>
      <c r="F132" s="206" t="str">
        <f ca="1">OFFSET(ORÇAMENTO!R$15,ROW(F132)-ROW(F$15),0)</f>
        <v>(abra o arquivo 'Referência 05-2024.xls)</v>
      </c>
      <c r="G132" s="207" t="str">
        <f ca="1">IF($D132&lt;&gt;"Serviço","",OFFSET(ORÇAMENTO!S$15,ROW(G132)-ROW(G$15),0))</f>
        <v>-</v>
      </c>
      <c r="H132" s="151">
        <f ca="1">IF($D132&lt;&gt;"Serviço",0,IF(ACOMPANHAMENTO="BM",ROUND(OFFSET(ORÇAMENTO!AJ$15,ROW(H132)-ROW(H$15),0),15-13*ORÇAMENTO!$AF$7),SUMPRODUCT(($Q$12:$AI$12&lt;&gt;"")*ROUND($Q132:$AI132,15-13*ORÇAMENTO!$AF$7))))</f>
        <v>5.04</v>
      </c>
      <c r="I132" s="650"/>
      <c r="K132" s="208"/>
      <c r="L132" s="209" t="s">
        <v>257</v>
      </c>
      <c r="M132" s="210">
        <f ca="1">IF($D132&lt;&gt;"Serviço","",IF(AUTOEVENTO="manual",$A132,IF(ISERROR(MATCH($A132,$A$15:OFFSET($A132,-1,0),0)),MAX($M$15:OFFSET(M132,-1,0))+1,INDEX($M$15:OFFSET(M132,-1,0),MATCH($A132,$A$15:OFFSET($A132,-1,0),0)))))</f>
        <v>0</v>
      </c>
      <c r="N132" s="211" t="str">
        <f ca="1">IF($D132&lt;&gt;"Serviço","",IF(AUTOEVENTO="Manual",IF($A132=0,"&lt;-- defina o número do agrupador",OFFSET(EVENTOS!$D$14,$A132,0)),OFFSET($F$15,$A132,0)))</f>
        <v>&lt;-- defina o número do agrupador</v>
      </c>
      <c r="O132" s="212"/>
      <c r="Q132" s="212"/>
      <c r="R132" s="213"/>
      <c r="S132" s="213"/>
      <c r="T132" s="213"/>
      <c r="U132" s="213"/>
      <c r="V132" s="213"/>
      <c r="W132" s="213"/>
      <c r="X132" s="213"/>
      <c r="Y132" s="213"/>
      <c r="Z132" s="214"/>
      <c r="AA132" s="213"/>
      <c r="AB132" s="213"/>
      <c r="AC132" s="213"/>
      <c r="AD132" s="213"/>
      <c r="AE132" s="213"/>
      <c r="AF132" s="213"/>
      <c r="AG132" s="213"/>
      <c r="AH132" s="214"/>
      <c r="AJ132" s="631">
        <f ca="1">IF(AND($D132="Serviço",AJ$12&lt;&gt;0,$H132&gt;0,OR(AUTOEVENTO&lt;&gt;"manual",$M132&lt;&gt;1)),ROUND(OFFSET($P132,0,AJ$13),15-13*ORÇAMENTO!$AF$7)/$H132*OFFSET(ORÇAMENTO!$X$15,ROW(AJ132)-ROW(AJ$15),0),0)</f>
        <v>0</v>
      </c>
      <c r="AK132" s="632">
        <f ca="1">IF(AND($D132="Serviço",AK$12&lt;&gt;0,$H132&gt;0,OR(AUTOEVENTO&lt;&gt;"manual",$M132&lt;&gt;1)),ROUND(OFFSET($P132,0,AK$13),15-13*ORÇAMENTO!$AF$7)/$H132*OFFSET(ORÇAMENTO!$X$15,ROW(AK132)-ROW(AK$15),0),0)</f>
        <v>0</v>
      </c>
      <c r="AL132" s="632">
        <f ca="1">IF(AND($D132="Serviço",AL$12&lt;&gt;0,$H132&gt;0,OR(AUTOEVENTO&lt;&gt;"manual",$M132&lt;&gt;1)),ROUND(OFFSET($P132,0,AL$13),15-13*ORÇAMENTO!$AF$7)/$H132*OFFSET(ORÇAMENTO!$X$15,ROW(AL132)-ROW(AL$15),0),0)</f>
        <v>0</v>
      </c>
      <c r="AM132" s="632">
        <f ca="1">IF(AND($D132="Serviço",AM$12&lt;&gt;0,$H132&gt;0,OR(AUTOEVENTO&lt;&gt;"manual",$M132&lt;&gt;1)),ROUND(OFFSET($P132,0,AM$13),15-13*ORÇAMENTO!$AF$7)/$H132*OFFSET(ORÇAMENTO!$X$15,ROW(AM132)-ROW(AM$15),0),0)</f>
        <v>0</v>
      </c>
      <c r="AN132" s="632">
        <f ca="1">IF(AND($D132="Serviço",AN$12&lt;&gt;0,$H132&gt;0,OR(AUTOEVENTO&lt;&gt;"manual",$M132&lt;&gt;1)),ROUND(OFFSET($P132,0,AN$13),15-13*ORÇAMENTO!$AF$7)/$H132*OFFSET(ORÇAMENTO!$X$15,ROW(AN132)-ROW(AN$15),0),0)</f>
        <v>0</v>
      </c>
      <c r="AO132" s="632">
        <f ca="1">IF(AND($D132="Serviço",AO$12&lt;&gt;0,$H132&gt;0,OR(AUTOEVENTO&lt;&gt;"manual",$M132&lt;&gt;1)),ROUND(OFFSET($P132,0,AO$13),15-13*ORÇAMENTO!$AF$7)/$H132*OFFSET(ORÇAMENTO!$X$15,ROW(AO132)-ROW(AO$15),0),0)</f>
        <v>0</v>
      </c>
      <c r="AP132" s="632">
        <f ca="1">IF(AND($D132="Serviço",AP$12&lt;&gt;0,$H132&gt;0,OR(AUTOEVENTO&lt;&gt;"manual",$M132&lt;&gt;1)),ROUND(OFFSET($P132,0,AP$13),15-13*ORÇAMENTO!$AF$7)/$H132*OFFSET(ORÇAMENTO!$X$15,ROW(AP132)-ROW(AP$15),0),0)</f>
        <v>0</v>
      </c>
      <c r="AQ132" s="632">
        <f ca="1">IF(AND($D132="Serviço",AQ$12&lt;&gt;0,$H132&gt;0,OR(AUTOEVENTO&lt;&gt;"manual",$M132&lt;&gt;1)),ROUND(OFFSET($P132,0,AQ$13),15-13*ORÇAMENTO!$AF$7)/$H132*OFFSET(ORÇAMENTO!$X$15,ROW(AQ132)-ROW(AQ$15),0),0)</f>
        <v>0</v>
      </c>
      <c r="AR132" s="632">
        <f ca="1">IF(AND($D132="Serviço",AR$12&lt;&gt;0,$H132&gt;0,OR(AUTOEVENTO&lt;&gt;"manual",$M132&lt;&gt;1)),ROUND(OFFSET($P132,0,AR$13),15-13*ORÇAMENTO!$AF$7)/$H132*OFFSET(ORÇAMENTO!$X$15,ROW(AR132)-ROW(AR$15),0),0)</f>
        <v>0</v>
      </c>
      <c r="AS132" s="633">
        <f ca="1">IF(AND($D132="Serviço",AS$12&lt;&gt;0,$H132&gt;0,OR(AUTOEVENTO&lt;&gt;"manual",$M132&lt;&gt;1)),ROUND(OFFSET($P132,0,AS$13),15-13*ORÇAMENTO!$AF$7)/$H132*OFFSET(ORÇAMENTO!$X$15,ROW(AS132)-ROW(AS$15),0),0)</f>
        <v>0</v>
      </c>
      <c r="AT132" s="632">
        <f ca="1">IF(AND($D132="Serviço",AT$12&lt;&gt;0,$H132&gt;0,OR(AUTOEVENTO&lt;&gt;"manual",$M132&lt;&gt;1)),ROUND(OFFSET($P132,0,AT$13),15-13*ORÇAMENTO!$AF$7)/$H132*OFFSET(ORÇAMENTO!$X$15,ROW(AT132)-ROW(AT$15),0),0)</f>
        <v>0</v>
      </c>
      <c r="AU132" s="632">
        <f ca="1">IF(AND($D132="Serviço",AU$12&lt;&gt;0,$H132&gt;0,OR(AUTOEVENTO&lt;&gt;"manual",$M132&lt;&gt;1)),ROUND(OFFSET($P132,0,AU$13),15-13*ORÇAMENTO!$AF$7)/$H132*OFFSET(ORÇAMENTO!$X$15,ROW(AU132)-ROW(AU$15),0),0)</f>
        <v>0</v>
      </c>
      <c r="AV132" s="632">
        <f ca="1">IF(AND($D132="Serviço",AV$12&lt;&gt;0,$H132&gt;0,OR(AUTOEVENTO&lt;&gt;"manual",$M132&lt;&gt;1)),ROUND(OFFSET($P132,0,AV$13),15-13*ORÇAMENTO!$AF$7)/$H132*OFFSET(ORÇAMENTO!$X$15,ROW(AV132)-ROW(AV$15),0),0)</f>
        <v>0</v>
      </c>
      <c r="AW132" s="632">
        <f ca="1">IF(AND($D132="Serviço",AW$12&lt;&gt;0,$H132&gt;0,OR(AUTOEVENTO&lt;&gt;"manual",$M132&lt;&gt;1)),ROUND(OFFSET($P132,0,AW$13),15-13*ORÇAMENTO!$AF$7)/$H132*OFFSET(ORÇAMENTO!$X$15,ROW(AW132)-ROW(AW$15),0),0)</f>
        <v>0</v>
      </c>
      <c r="AX132" s="632">
        <f ca="1">IF(AND($D132="Serviço",AX$12&lt;&gt;0,$H132&gt;0,OR(AUTOEVENTO&lt;&gt;"manual",$M132&lt;&gt;1)),ROUND(OFFSET($P132,0,AX$13),15-13*ORÇAMENTO!$AF$7)/$H132*OFFSET(ORÇAMENTO!$X$15,ROW(AX132)-ROW(AX$15),0),0)</f>
        <v>0</v>
      </c>
      <c r="AY132" s="632">
        <f ca="1">IF(AND($D132="Serviço",AY$12&lt;&gt;0,$H132&gt;0,OR(AUTOEVENTO&lt;&gt;"manual",$M132&lt;&gt;1)),ROUND(OFFSET($P132,0,AY$13),15-13*ORÇAMENTO!$AF$7)/$H132*OFFSET(ORÇAMENTO!$X$15,ROW(AY132)-ROW(AY$15),0),0)</f>
        <v>0</v>
      </c>
      <c r="AZ132" s="632">
        <f ca="1">IF(AND($D132="Serviço",AZ$12&lt;&gt;0,$H132&gt;0,OR(AUTOEVENTO&lt;&gt;"manual",$M132&lt;&gt;1)),ROUND(OFFSET($P132,0,AZ$13),15-13*ORÇAMENTO!$AF$7)/$H132*OFFSET(ORÇAMENTO!$X$15,ROW(AZ132)-ROW(AZ$15),0),0)</f>
        <v>0</v>
      </c>
      <c r="BA132" s="633">
        <f ca="1">IF(AND($D132="Serviço",BA$12&lt;&gt;0,$H132&gt;0,OR(AUTOEVENTO&lt;&gt;"manual",$M132&lt;&gt;1)),ROUND(OFFSET($P132,0,BA$13),15-13*ORÇAMENTO!$AF$7)/$H132*OFFSET(ORÇAMENTO!$X$15,ROW(BA132)-ROW(BA$15),0),0)</f>
        <v>0</v>
      </c>
      <c r="BC132" s="215">
        <f ca="1">IF($D132&lt;&gt;"Serviço",0,IF(AND(AUTOEVENTO="Manual",$M132=1),0,IF(OFFSET(CRONOPLE!$F$14,$M132,BC$13)="",10^12,OFFSET(CRONOPLE!$F$14,$M132,BC$13))))</f>
        <v>1000000000000</v>
      </c>
      <c r="BD132" s="215">
        <f ca="1">IF($D132&lt;&gt;"Serviço",0,IF(AND(AUTOEVENTO="Manual",$M132=1),0,IF(OFFSET(CRONOPLE!$F$14,$M132,BD$13)="",10^12,OFFSET(CRONOPLE!$F$14,$M132,BD$13))))</f>
        <v>1000000000000</v>
      </c>
      <c r="BE132" s="215">
        <f ca="1">IF($D132&lt;&gt;"Serviço",0,IF(AND(AUTOEVENTO="Manual",$M132=1),0,IF(OFFSET(CRONOPLE!$F$14,$M132,BE$13)="",10^12,OFFSET(CRONOPLE!$F$14,$M132,BE$13))))</f>
        <v>1000000000000</v>
      </c>
      <c r="BF132" s="215">
        <f ca="1">IF($D132&lt;&gt;"Serviço",0,IF(AND(AUTOEVENTO="Manual",$M132=1),0,IF(OFFSET(CRONOPLE!$F$14,$M132,BF$13)="",10^12,OFFSET(CRONOPLE!$F$14,$M132,BF$13))))</f>
        <v>1000000000000</v>
      </c>
      <c r="BG132" s="215">
        <f ca="1">IF($D132&lt;&gt;"Serviço",0,IF(AND(AUTOEVENTO="Manual",$M132=1),0,IF(OFFSET(CRONOPLE!$F$14,$M132,BG$13)="",10^12,OFFSET(CRONOPLE!$F$14,$M132,BG$13))))</f>
        <v>1000000000000</v>
      </c>
      <c r="BH132" s="215">
        <f ca="1">IF($D132&lt;&gt;"Serviço",0,IF(AND(AUTOEVENTO="Manual",$M132=1),0,IF(OFFSET(CRONOPLE!$F$14,$M132,BH$13)="",10^12,OFFSET(CRONOPLE!$F$14,$M132,BH$13))))</f>
        <v>1000000000000</v>
      </c>
      <c r="BI132" s="215">
        <f ca="1">IF($D132&lt;&gt;"Serviço",0,IF(AND(AUTOEVENTO="Manual",$M132=1),0,IF(OFFSET(CRONOPLE!$F$14,$M132,BI$13)="",10^12,OFFSET(CRONOPLE!$F$14,$M132,BI$13))))</f>
        <v>1000000000000</v>
      </c>
      <c r="BJ132" s="215">
        <f ca="1">IF($D132&lt;&gt;"Serviço",0,IF(AND(AUTOEVENTO="Manual",$M132=1),0,IF(OFFSET(CRONOPLE!$F$14,$M132,BJ$13)="",10^12,OFFSET(CRONOPLE!$F$14,$M132,BJ$13))))</f>
        <v>1000000000000</v>
      </c>
      <c r="BK132" s="215">
        <f ca="1">IF($D132&lt;&gt;"Serviço",0,IF(AND(AUTOEVENTO="Manual",$M132=1),0,IF(OFFSET(CRONOPLE!$F$14,$M132,BK$13)="",10^12,OFFSET(CRONOPLE!$F$14,$M132,BK$13))))</f>
        <v>1000000000000</v>
      </c>
      <c r="BL132" s="215">
        <f ca="1">IF($D132&lt;&gt;"Serviço",0,IF(AND(AUTOEVENTO="Manual",$M132=1),0,IF(OFFSET(CRONOPLE!$F$14,$M132,BL$13)="",10^12,OFFSET(CRONOPLE!$F$14,$M132,BL$13))))</f>
        <v>1000000000000</v>
      </c>
      <c r="BM132" s="215">
        <f ca="1">IF($D132&lt;&gt;"Serviço",0,IF(AND(AUTOEVENTO="Manual",$M132=1),0,IF(OFFSET(CRONOPLE!$F$14,$M132,BM$13)="",10^12,OFFSET(CRONOPLE!$F$14,$M132,BM$13))))</f>
        <v>1000000000000</v>
      </c>
      <c r="BN132" s="215">
        <f ca="1">IF($D132&lt;&gt;"Serviço",0,IF(AND(AUTOEVENTO="Manual",$M132=1),0,IF(OFFSET(CRONOPLE!$F$14,$M132,BN$13)="",10^12,OFFSET(CRONOPLE!$F$14,$M132,BN$13))))</f>
        <v>1000000000000</v>
      </c>
      <c r="BO132" s="215">
        <f ca="1">IF($D132&lt;&gt;"Serviço",0,IF(AND(AUTOEVENTO="Manual",$M132=1),0,IF(OFFSET(CRONOPLE!$F$14,$M132,BO$13)="",10^12,OFFSET(CRONOPLE!$F$14,$M132,BO$13))))</f>
        <v>1000000000000</v>
      </c>
      <c r="BP132" s="215">
        <f ca="1">IF($D132&lt;&gt;"Serviço",0,IF(AND(AUTOEVENTO="Manual",$M132=1),0,IF(OFFSET(CRONOPLE!$F$14,$M132,BP$13)="",10^12,OFFSET(CRONOPLE!$F$14,$M132,BP$13))))</f>
        <v>1000000000000</v>
      </c>
      <c r="BQ132" s="215">
        <f ca="1">IF($D132&lt;&gt;"Serviço",0,IF(AND(AUTOEVENTO="Manual",$M132=1),0,IF(OFFSET(CRONOPLE!$F$14,$M132,BQ$13)="",10^12,OFFSET(CRONOPLE!$F$14,$M132,BQ$13))))</f>
        <v>1000000000000</v>
      </c>
      <c r="BR132" s="215">
        <f ca="1">IF($D132&lt;&gt;"Serviço",0,IF(AND(AUTOEVENTO="Manual",$M132=1),0,IF(OFFSET(CRONOPLE!$F$14,$M132,BR$13)="",10^12,OFFSET(CRONOPLE!$F$14,$M132,BR$13))))</f>
        <v>1000000000000</v>
      </c>
      <c r="BS132" s="215">
        <f ca="1">IF($D132&lt;&gt;"Serviço",0,IF(AND(AUTOEVENTO="Manual",$M132=1),0,IF(OFFSET(CRONOPLE!$F$14,$M132,BS$13)="",10^12,OFFSET(CRONOPLE!$F$14,$M132,BS$13))))</f>
        <v>1000000000000</v>
      </c>
      <c r="BT132" s="215">
        <f ca="1">IF($D132&lt;&gt;"Serviço",0,IF(AND(AUTOEVENTO="Manual",$M132=1),0,IF(OFFSET(CRONOPLE!$F$14,$M132,BT$13)="",10^12,OFFSET(CRONOPLE!$F$14,$M132,BT$13))))</f>
        <v>1000000000000</v>
      </c>
      <c r="BV132" s="216">
        <f ca="1">IF($D132&lt;&gt;"Serviço",0,IF(OR(AND(AUTOEVENTO="Manual",$M132=1),$M132&gt;(ROW(PLE.lastrow)-ROW(PLE.firstrow))),0,IF(OFFSET(PLE!$G$14,$M132,BV$13)="",10^12,OFFSET(PLE!$G$14,$M132,BV$13))))</f>
        <v>1000000000000</v>
      </c>
      <c r="BW132" s="216">
        <f ca="1">IF($D132&lt;&gt;"Serviço",0,IF(OR(AND(AUTOEVENTO="Manual",$M132=1),$M132&gt;(ROW(PLE.lastrow)-ROW(PLE.firstrow))),0,IF(OFFSET(PLE!$G$14,$M132,BW$13)="",10^12,OFFSET(PLE!$G$14,$M132,BW$13))))</f>
        <v>1000000000000</v>
      </c>
      <c r="BX132" s="216">
        <f ca="1">IF($D132&lt;&gt;"Serviço",0,IF(OR(AND(AUTOEVENTO="Manual",$M132=1),$M132&gt;(ROW(PLE.lastrow)-ROW(PLE.firstrow))),0,IF(OFFSET(PLE!$G$14,$M132,BX$13)="",10^12,OFFSET(PLE!$G$14,$M132,BX$13))))</f>
        <v>1000000000000</v>
      </c>
      <c r="BY132" s="216">
        <f ca="1">IF($D132&lt;&gt;"Serviço",0,IF(OR(AND(AUTOEVENTO="Manual",$M132=1),$M132&gt;(ROW(PLE.lastrow)-ROW(PLE.firstrow))),0,IF(OFFSET(PLE!$G$14,$M132,BY$13)="",10^12,OFFSET(PLE!$G$14,$M132,BY$13))))</f>
        <v>1000000000000</v>
      </c>
      <c r="BZ132" s="216">
        <f ca="1">IF($D132&lt;&gt;"Serviço",0,IF(OR(AND(AUTOEVENTO="Manual",$M132=1),$M132&gt;(ROW(PLE.lastrow)-ROW(PLE.firstrow))),0,IF(OFFSET(PLE!$G$14,$M132,BZ$13)="",10^12,OFFSET(PLE!$G$14,$M132,BZ$13))))</f>
        <v>1000000000000</v>
      </c>
      <c r="CA132" s="216">
        <f ca="1">IF($D132&lt;&gt;"Serviço",0,IF(OR(AND(AUTOEVENTO="Manual",$M132=1),$M132&gt;(ROW(PLE.lastrow)-ROW(PLE.firstrow))),0,IF(OFFSET(PLE!$G$14,$M132,CA$13)="",10^12,OFFSET(PLE!$G$14,$M132,CA$13))))</f>
        <v>1000000000000</v>
      </c>
      <c r="CB132" s="216">
        <f ca="1">IF($D132&lt;&gt;"Serviço",0,IF(OR(AND(AUTOEVENTO="Manual",$M132=1),$M132&gt;(ROW(PLE.lastrow)-ROW(PLE.firstrow))),0,IF(OFFSET(PLE!$G$14,$M132,CB$13)="",10^12,OFFSET(PLE!$G$14,$M132,CB$13))))</f>
        <v>1000000000000</v>
      </c>
      <c r="CC132" s="216">
        <f ca="1">IF($D132&lt;&gt;"Serviço",0,IF(OR(AND(AUTOEVENTO="Manual",$M132=1),$M132&gt;(ROW(PLE.lastrow)-ROW(PLE.firstrow))),0,IF(OFFSET(PLE!$G$14,$M132,CC$13)="",10^12,OFFSET(PLE!$G$14,$M132,CC$13))))</f>
        <v>1000000000000</v>
      </c>
      <c r="CD132" s="216">
        <f ca="1">IF($D132&lt;&gt;"Serviço",0,IF(OR(AND(AUTOEVENTO="Manual",$M132=1),$M132&gt;(ROW(PLE.lastrow)-ROW(PLE.firstrow))),0,IF(OFFSET(PLE!$G$14,$M132,CD$13)="",10^12,OFFSET(PLE!$G$14,$M132,CD$13))))</f>
        <v>1000000000000</v>
      </c>
      <c r="CE132" s="216">
        <f ca="1">IF($D132&lt;&gt;"Serviço",0,IF(OR(AND(AUTOEVENTO="Manual",$M132=1),$M132&gt;(ROW(PLE.lastrow)-ROW(PLE.firstrow))),0,IF(OFFSET(PLE!$G$14,$M132,CE$13)="",10^12,OFFSET(PLE!$G$14,$M132,CE$13))))</f>
        <v>1000000000000</v>
      </c>
      <c r="CF132" s="216">
        <f ca="1">IF($D132&lt;&gt;"Serviço",0,IF(OR(AND(AUTOEVENTO="Manual",$M132=1),$M132&gt;(ROW(PLE.lastrow)-ROW(PLE.firstrow))),0,IF(OFFSET(PLE!$G$14,$M132,CF$13)="",10^12,OFFSET(PLE!$G$14,$M132,CF$13))))</f>
        <v>1000000000000</v>
      </c>
      <c r="CG132" s="216">
        <f ca="1">IF($D132&lt;&gt;"Serviço",0,IF(OR(AND(AUTOEVENTO="Manual",$M132=1),$M132&gt;(ROW(PLE.lastrow)-ROW(PLE.firstrow))),0,IF(OFFSET(PLE!$G$14,$M132,CG$13)="",10^12,OFFSET(PLE!$G$14,$M132,CG$13))))</f>
        <v>1000000000000</v>
      </c>
      <c r="CH132" s="216">
        <f ca="1">IF($D132&lt;&gt;"Serviço",0,IF(OR(AND(AUTOEVENTO="Manual",$M132=1),$M132&gt;(ROW(PLE.lastrow)-ROW(PLE.firstrow))),0,IF(OFFSET(PLE!$G$14,$M132,CH$13)="",10^12,OFFSET(PLE!$G$14,$M132,CH$13))))</f>
        <v>1000000000000</v>
      </c>
      <c r="CI132" s="216">
        <f ca="1">IF($D132&lt;&gt;"Serviço",0,IF(OR(AND(AUTOEVENTO="Manual",$M132=1),$M132&gt;(ROW(PLE.lastrow)-ROW(PLE.firstrow))),0,IF(OFFSET(PLE!$G$14,$M132,CI$13)="",10^12,OFFSET(PLE!$G$14,$M132,CI$13))))</f>
        <v>1000000000000</v>
      </c>
      <c r="CJ132" s="216">
        <f ca="1">IF($D132&lt;&gt;"Serviço",0,IF(OR(AND(AUTOEVENTO="Manual",$M132=1),$M132&gt;(ROW(PLE.lastrow)-ROW(PLE.firstrow))),0,IF(OFFSET(PLE!$G$14,$M132,CJ$13)="",10^12,OFFSET(PLE!$G$14,$M132,CJ$13))))</f>
        <v>1000000000000</v>
      </c>
      <c r="CK132" s="216">
        <f ca="1">IF($D132&lt;&gt;"Serviço",0,IF(OR(AND(AUTOEVENTO="Manual",$M132=1),$M132&gt;(ROW(PLE.lastrow)-ROW(PLE.firstrow))),0,IF(OFFSET(PLE!$G$14,$M132,CK$13)="",10^12,OFFSET(PLE!$G$14,$M132,CK$13))))</f>
        <v>1000000000000</v>
      </c>
      <c r="CL132" s="216">
        <f ca="1">IF($D132&lt;&gt;"Serviço",0,IF(OR(AND(AUTOEVENTO="Manual",$M132=1),$M132&gt;(ROW(PLE.lastrow)-ROW(PLE.firstrow))),0,IF(OFFSET(PLE!$G$14,$M132,CL$13)="",10^12,OFFSET(PLE!$G$14,$M132,CL$13))))</f>
        <v>1000000000000</v>
      </c>
      <c r="CM132" s="216">
        <f ca="1">IF($D132&lt;&gt;"Serviço",0,IF(OR(AND(AUTOEVENTO="Manual",$M132=1),$M132&gt;(ROW(PLE.lastrow)-ROW(PLE.firstrow))),0,IF(OFFSET(PLE!$G$14,$M132,CM$13)="",10^12,OFFSET(PLE!$G$14,$M132,CM$13))))</f>
        <v>1000000000000</v>
      </c>
    </row>
    <row r="133" spans="1:91" ht="13.2" x14ac:dyDescent="0.25">
      <c r="A133" s="9">
        <f t="shared" ca="1" si="10"/>
        <v>0</v>
      </c>
      <c r="B133" s="9" t="str">
        <f ca="1">OFFSET(ORÇAMENTO!C$15,ROW(B133)-ROW(B$15),0)</f>
        <v>S</v>
      </c>
      <c r="C133" s="9" t="str">
        <f ca="1">OFFSET(ORÇAMENTO!L$15,ROW(C133)-ROW(C$15),0)</f>
        <v/>
      </c>
      <c r="D133" s="145" t="str">
        <f ca="1">OFFSET(ORÇAMENTO!N$15,ROW(D133)-ROW(D$15),0)</f>
        <v>Serviço</v>
      </c>
      <c r="E133" s="205" t="str">
        <f ca="1">OFFSET(ORÇAMENTO!O$15,ROW(E133)-ROW(E$15),0)</f>
        <v>-</v>
      </c>
      <c r="F133" s="206" t="str">
        <f ca="1">OFFSET(ORÇAMENTO!R$15,ROW(F133)-ROW(F$15),0)</f>
        <v>(abra o arquivo 'Referência 05-2024.xls)</v>
      </c>
      <c r="G133" s="207" t="str">
        <f ca="1">IF($D133&lt;&gt;"Serviço","",OFFSET(ORÇAMENTO!S$15,ROW(G133)-ROW(G$15),0))</f>
        <v>-</v>
      </c>
      <c r="H133" s="151">
        <f ca="1">IF($D133&lt;&gt;"Serviço",0,IF(ACOMPANHAMENTO="BM",ROUND(OFFSET(ORÇAMENTO!AJ$15,ROW(H133)-ROW(H$15),0),15-13*ORÇAMENTO!$AF$7),SUMPRODUCT(($Q$12:$AI$12&lt;&gt;"")*ROUND($Q133:$AI133,15-13*ORÇAMENTO!$AF$7))))</f>
        <v>20.8</v>
      </c>
      <c r="I133" s="650"/>
      <c r="K133" s="208"/>
      <c r="L133" s="209" t="s">
        <v>257</v>
      </c>
      <c r="M133" s="210">
        <f ca="1">IF($D133&lt;&gt;"Serviço","",IF(AUTOEVENTO="manual",$A133,IF(ISERROR(MATCH($A133,$A$15:OFFSET($A133,-1,0),0)),MAX($M$15:OFFSET(M133,-1,0))+1,INDEX($M$15:OFFSET(M133,-1,0),MATCH($A133,$A$15:OFFSET($A133,-1,0),0)))))</f>
        <v>0</v>
      </c>
      <c r="N133" s="211" t="str">
        <f ca="1">IF($D133&lt;&gt;"Serviço","",IF(AUTOEVENTO="Manual",IF($A133=0,"&lt;-- defina o número do agrupador",OFFSET(EVENTOS!$D$14,$A133,0)),OFFSET($F$15,$A133,0)))</f>
        <v>&lt;-- defina o número do agrupador</v>
      </c>
      <c r="O133" s="212"/>
      <c r="Q133" s="212"/>
      <c r="R133" s="213"/>
      <c r="S133" s="213"/>
      <c r="T133" s="213"/>
      <c r="U133" s="213"/>
      <c r="V133" s="213"/>
      <c r="W133" s="213"/>
      <c r="X133" s="213"/>
      <c r="Y133" s="213"/>
      <c r="Z133" s="214"/>
      <c r="AA133" s="213"/>
      <c r="AB133" s="213"/>
      <c r="AC133" s="213"/>
      <c r="AD133" s="213"/>
      <c r="AE133" s="213"/>
      <c r="AF133" s="213"/>
      <c r="AG133" s="213"/>
      <c r="AH133" s="214"/>
      <c r="AJ133" s="631">
        <f ca="1">IF(AND($D133="Serviço",AJ$12&lt;&gt;0,$H133&gt;0,OR(AUTOEVENTO&lt;&gt;"manual",$M133&lt;&gt;1)),ROUND(OFFSET($P133,0,AJ$13),15-13*ORÇAMENTO!$AF$7)/$H133*OFFSET(ORÇAMENTO!$X$15,ROW(AJ133)-ROW(AJ$15),0),0)</f>
        <v>0</v>
      </c>
      <c r="AK133" s="632">
        <f ca="1">IF(AND($D133="Serviço",AK$12&lt;&gt;0,$H133&gt;0,OR(AUTOEVENTO&lt;&gt;"manual",$M133&lt;&gt;1)),ROUND(OFFSET($P133,0,AK$13),15-13*ORÇAMENTO!$AF$7)/$H133*OFFSET(ORÇAMENTO!$X$15,ROW(AK133)-ROW(AK$15),0),0)</f>
        <v>0</v>
      </c>
      <c r="AL133" s="632">
        <f ca="1">IF(AND($D133="Serviço",AL$12&lt;&gt;0,$H133&gt;0,OR(AUTOEVENTO&lt;&gt;"manual",$M133&lt;&gt;1)),ROUND(OFFSET($P133,0,AL$13),15-13*ORÇAMENTO!$AF$7)/$H133*OFFSET(ORÇAMENTO!$X$15,ROW(AL133)-ROW(AL$15),0),0)</f>
        <v>0</v>
      </c>
      <c r="AM133" s="632">
        <f ca="1">IF(AND($D133="Serviço",AM$12&lt;&gt;0,$H133&gt;0,OR(AUTOEVENTO&lt;&gt;"manual",$M133&lt;&gt;1)),ROUND(OFFSET($P133,0,AM$13),15-13*ORÇAMENTO!$AF$7)/$H133*OFFSET(ORÇAMENTO!$X$15,ROW(AM133)-ROW(AM$15),0),0)</f>
        <v>0</v>
      </c>
      <c r="AN133" s="632">
        <f ca="1">IF(AND($D133="Serviço",AN$12&lt;&gt;0,$H133&gt;0,OR(AUTOEVENTO&lt;&gt;"manual",$M133&lt;&gt;1)),ROUND(OFFSET($P133,0,AN$13),15-13*ORÇAMENTO!$AF$7)/$H133*OFFSET(ORÇAMENTO!$X$15,ROW(AN133)-ROW(AN$15),0),0)</f>
        <v>0</v>
      </c>
      <c r="AO133" s="632">
        <f ca="1">IF(AND($D133="Serviço",AO$12&lt;&gt;0,$H133&gt;0,OR(AUTOEVENTO&lt;&gt;"manual",$M133&lt;&gt;1)),ROUND(OFFSET($P133,0,AO$13),15-13*ORÇAMENTO!$AF$7)/$H133*OFFSET(ORÇAMENTO!$X$15,ROW(AO133)-ROW(AO$15),0),0)</f>
        <v>0</v>
      </c>
      <c r="AP133" s="632">
        <f ca="1">IF(AND($D133="Serviço",AP$12&lt;&gt;0,$H133&gt;0,OR(AUTOEVENTO&lt;&gt;"manual",$M133&lt;&gt;1)),ROUND(OFFSET($P133,0,AP$13),15-13*ORÇAMENTO!$AF$7)/$H133*OFFSET(ORÇAMENTO!$X$15,ROW(AP133)-ROW(AP$15),0),0)</f>
        <v>0</v>
      </c>
      <c r="AQ133" s="632">
        <f ca="1">IF(AND($D133="Serviço",AQ$12&lt;&gt;0,$H133&gt;0,OR(AUTOEVENTO&lt;&gt;"manual",$M133&lt;&gt;1)),ROUND(OFFSET($P133,0,AQ$13),15-13*ORÇAMENTO!$AF$7)/$H133*OFFSET(ORÇAMENTO!$X$15,ROW(AQ133)-ROW(AQ$15),0),0)</f>
        <v>0</v>
      </c>
      <c r="AR133" s="632">
        <f ca="1">IF(AND($D133="Serviço",AR$12&lt;&gt;0,$H133&gt;0,OR(AUTOEVENTO&lt;&gt;"manual",$M133&lt;&gt;1)),ROUND(OFFSET($P133,0,AR$13),15-13*ORÇAMENTO!$AF$7)/$H133*OFFSET(ORÇAMENTO!$X$15,ROW(AR133)-ROW(AR$15),0),0)</f>
        <v>0</v>
      </c>
      <c r="AS133" s="633">
        <f ca="1">IF(AND($D133="Serviço",AS$12&lt;&gt;0,$H133&gt;0,OR(AUTOEVENTO&lt;&gt;"manual",$M133&lt;&gt;1)),ROUND(OFFSET($P133,0,AS$13),15-13*ORÇAMENTO!$AF$7)/$H133*OFFSET(ORÇAMENTO!$X$15,ROW(AS133)-ROW(AS$15),0),0)</f>
        <v>0</v>
      </c>
      <c r="AT133" s="632">
        <f ca="1">IF(AND($D133="Serviço",AT$12&lt;&gt;0,$H133&gt;0,OR(AUTOEVENTO&lt;&gt;"manual",$M133&lt;&gt;1)),ROUND(OFFSET($P133,0,AT$13),15-13*ORÇAMENTO!$AF$7)/$H133*OFFSET(ORÇAMENTO!$X$15,ROW(AT133)-ROW(AT$15),0),0)</f>
        <v>0</v>
      </c>
      <c r="AU133" s="632">
        <f ca="1">IF(AND($D133="Serviço",AU$12&lt;&gt;0,$H133&gt;0,OR(AUTOEVENTO&lt;&gt;"manual",$M133&lt;&gt;1)),ROUND(OFFSET($P133,0,AU$13),15-13*ORÇAMENTO!$AF$7)/$H133*OFFSET(ORÇAMENTO!$X$15,ROW(AU133)-ROW(AU$15),0),0)</f>
        <v>0</v>
      </c>
      <c r="AV133" s="632">
        <f ca="1">IF(AND($D133="Serviço",AV$12&lt;&gt;0,$H133&gt;0,OR(AUTOEVENTO&lt;&gt;"manual",$M133&lt;&gt;1)),ROUND(OFFSET($P133,0,AV$13),15-13*ORÇAMENTO!$AF$7)/$H133*OFFSET(ORÇAMENTO!$X$15,ROW(AV133)-ROW(AV$15),0),0)</f>
        <v>0</v>
      </c>
      <c r="AW133" s="632">
        <f ca="1">IF(AND($D133="Serviço",AW$12&lt;&gt;0,$H133&gt;0,OR(AUTOEVENTO&lt;&gt;"manual",$M133&lt;&gt;1)),ROUND(OFFSET($P133,0,AW$13),15-13*ORÇAMENTO!$AF$7)/$H133*OFFSET(ORÇAMENTO!$X$15,ROW(AW133)-ROW(AW$15),0),0)</f>
        <v>0</v>
      </c>
      <c r="AX133" s="632">
        <f ca="1">IF(AND($D133="Serviço",AX$12&lt;&gt;0,$H133&gt;0,OR(AUTOEVENTO&lt;&gt;"manual",$M133&lt;&gt;1)),ROUND(OFFSET($P133,0,AX$13),15-13*ORÇAMENTO!$AF$7)/$H133*OFFSET(ORÇAMENTO!$X$15,ROW(AX133)-ROW(AX$15),0),0)</f>
        <v>0</v>
      </c>
      <c r="AY133" s="632">
        <f ca="1">IF(AND($D133="Serviço",AY$12&lt;&gt;0,$H133&gt;0,OR(AUTOEVENTO&lt;&gt;"manual",$M133&lt;&gt;1)),ROUND(OFFSET($P133,0,AY$13),15-13*ORÇAMENTO!$AF$7)/$H133*OFFSET(ORÇAMENTO!$X$15,ROW(AY133)-ROW(AY$15),0),0)</f>
        <v>0</v>
      </c>
      <c r="AZ133" s="632">
        <f ca="1">IF(AND($D133="Serviço",AZ$12&lt;&gt;0,$H133&gt;0,OR(AUTOEVENTO&lt;&gt;"manual",$M133&lt;&gt;1)),ROUND(OFFSET($P133,0,AZ$13),15-13*ORÇAMENTO!$AF$7)/$H133*OFFSET(ORÇAMENTO!$X$15,ROW(AZ133)-ROW(AZ$15),0),0)</f>
        <v>0</v>
      </c>
      <c r="BA133" s="633">
        <f ca="1">IF(AND($D133="Serviço",BA$12&lt;&gt;0,$H133&gt;0,OR(AUTOEVENTO&lt;&gt;"manual",$M133&lt;&gt;1)),ROUND(OFFSET($P133,0,BA$13),15-13*ORÇAMENTO!$AF$7)/$H133*OFFSET(ORÇAMENTO!$X$15,ROW(BA133)-ROW(BA$15),0),0)</f>
        <v>0</v>
      </c>
      <c r="BC133" s="215">
        <f ca="1">IF($D133&lt;&gt;"Serviço",0,IF(AND(AUTOEVENTO="Manual",$M133=1),0,IF(OFFSET(CRONOPLE!$F$14,$M133,BC$13)="",10^12,OFFSET(CRONOPLE!$F$14,$M133,BC$13))))</f>
        <v>1000000000000</v>
      </c>
      <c r="BD133" s="215">
        <f ca="1">IF($D133&lt;&gt;"Serviço",0,IF(AND(AUTOEVENTO="Manual",$M133=1),0,IF(OFFSET(CRONOPLE!$F$14,$M133,BD$13)="",10^12,OFFSET(CRONOPLE!$F$14,$M133,BD$13))))</f>
        <v>1000000000000</v>
      </c>
      <c r="BE133" s="215">
        <f ca="1">IF($D133&lt;&gt;"Serviço",0,IF(AND(AUTOEVENTO="Manual",$M133=1),0,IF(OFFSET(CRONOPLE!$F$14,$M133,BE$13)="",10^12,OFFSET(CRONOPLE!$F$14,$M133,BE$13))))</f>
        <v>1000000000000</v>
      </c>
      <c r="BF133" s="215">
        <f ca="1">IF($D133&lt;&gt;"Serviço",0,IF(AND(AUTOEVENTO="Manual",$M133=1),0,IF(OFFSET(CRONOPLE!$F$14,$M133,BF$13)="",10^12,OFFSET(CRONOPLE!$F$14,$M133,BF$13))))</f>
        <v>1000000000000</v>
      </c>
      <c r="BG133" s="215">
        <f ca="1">IF($D133&lt;&gt;"Serviço",0,IF(AND(AUTOEVENTO="Manual",$M133=1),0,IF(OFFSET(CRONOPLE!$F$14,$M133,BG$13)="",10^12,OFFSET(CRONOPLE!$F$14,$M133,BG$13))))</f>
        <v>1000000000000</v>
      </c>
      <c r="BH133" s="215">
        <f ca="1">IF($D133&lt;&gt;"Serviço",0,IF(AND(AUTOEVENTO="Manual",$M133=1),0,IF(OFFSET(CRONOPLE!$F$14,$M133,BH$13)="",10^12,OFFSET(CRONOPLE!$F$14,$M133,BH$13))))</f>
        <v>1000000000000</v>
      </c>
      <c r="BI133" s="215">
        <f ca="1">IF($D133&lt;&gt;"Serviço",0,IF(AND(AUTOEVENTO="Manual",$M133=1),0,IF(OFFSET(CRONOPLE!$F$14,$M133,BI$13)="",10^12,OFFSET(CRONOPLE!$F$14,$M133,BI$13))))</f>
        <v>1000000000000</v>
      </c>
      <c r="BJ133" s="215">
        <f ca="1">IF($D133&lt;&gt;"Serviço",0,IF(AND(AUTOEVENTO="Manual",$M133=1),0,IF(OFFSET(CRONOPLE!$F$14,$M133,BJ$13)="",10^12,OFFSET(CRONOPLE!$F$14,$M133,BJ$13))))</f>
        <v>1000000000000</v>
      </c>
      <c r="BK133" s="215">
        <f ca="1">IF($D133&lt;&gt;"Serviço",0,IF(AND(AUTOEVENTO="Manual",$M133=1),0,IF(OFFSET(CRONOPLE!$F$14,$M133,BK$13)="",10^12,OFFSET(CRONOPLE!$F$14,$M133,BK$13))))</f>
        <v>1000000000000</v>
      </c>
      <c r="BL133" s="215">
        <f ca="1">IF($D133&lt;&gt;"Serviço",0,IF(AND(AUTOEVENTO="Manual",$M133=1),0,IF(OFFSET(CRONOPLE!$F$14,$M133,BL$13)="",10^12,OFFSET(CRONOPLE!$F$14,$M133,BL$13))))</f>
        <v>1000000000000</v>
      </c>
      <c r="BM133" s="215">
        <f ca="1">IF($D133&lt;&gt;"Serviço",0,IF(AND(AUTOEVENTO="Manual",$M133=1),0,IF(OFFSET(CRONOPLE!$F$14,$M133,BM$13)="",10^12,OFFSET(CRONOPLE!$F$14,$M133,BM$13))))</f>
        <v>1000000000000</v>
      </c>
      <c r="BN133" s="215">
        <f ca="1">IF($D133&lt;&gt;"Serviço",0,IF(AND(AUTOEVENTO="Manual",$M133=1),0,IF(OFFSET(CRONOPLE!$F$14,$M133,BN$13)="",10^12,OFFSET(CRONOPLE!$F$14,$M133,BN$13))))</f>
        <v>1000000000000</v>
      </c>
      <c r="BO133" s="215">
        <f ca="1">IF($D133&lt;&gt;"Serviço",0,IF(AND(AUTOEVENTO="Manual",$M133=1),0,IF(OFFSET(CRONOPLE!$F$14,$M133,BO$13)="",10^12,OFFSET(CRONOPLE!$F$14,$M133,BO$13))))</f>
        <v>1000000000000</v>
      </c>
      <c r="BP133" s="215">
        <f ca="1">IF($D133&lt;&gt;"Serviço",0,IF(AND(AUTOEVENTO="Manual",$M133=1),0,IF(OFFSET(CRONOPLE!$F$14,$M133,BP$13)="",10^12,OFFSET(CRONOPLE!$F$14,$M133,BP$13))))</f>
        <v>1000000000000</v>
      </c>
      <c r="BQ133" s="215">
        <f ca="1">IF($D133&lt;&gt;"Serviço",0,IF(AND(AUTOEVENTO="Manual",$M133=1),0,IF(OFFSET(CRONOPLE!$F$14,$M133,BQ$13)="",10^12,OFFSET(CRONOPLE!$F$14,$M133,BQ$13))))</f>
        <v>1000000000000</v>
      </c>
      <c r="BR133" s="215">
        <f ca="1">IF($D133&lt;&gt;"Serviço",0,IF(AND(AUTOEVENTO="Manual",$M133=1),0,IF(OFFSET(CRONOPLE!$F$14,$M133,BR$13)="",10^12,OFFSET(CRONOPLE!$F$14,$M133,BR$13))))</f>
        <v>1000000000000</v>
      </c>
      <c r="BS133" s="215">
        <f ca="1">IF($D133&lt;&gt;"Serviço",0,IF(AND(AUTOEVENTO="Manual",$M133=1),0,IF(OFFSET(CRONOPLE!$F$14,$M133,BS$13)="",10^12,OFFSET(CRONOPLE!$F$14,$M133,BS$13))))</f>
        <v>1000000000000</v>
      </c>
      <c r="BT133" s="215">
        <f ca="1">IF($D133&lt;&gt;"Serviço",0,IF(AND(AUTOEVENTO="Manual",$M133=1),0,IF(OFFSET(CRONOPLE!$F$14,$M133,BT$13)="",10^12,OFFSET(CRONOPLE!$F$14,$M133,BT$13))))</f>
        <v>1000000000000</v>
      </c>
      <c r="BV133" s="216">
        <f ca="1">IF($D133&lt;&gt;"Serviço",0,IF(OR(AND(AUTOEVENTO="Manual",$M133=1),$M133&gt;(ROW(PLE.lastrow)-ROW(PLE.firstrow))),0,IF(OFFSET(PLE!$G$14,$M133,BV$13)="",10^12,OFFSET(PLE!$G$14,$M133,BV$13))))</f>
        <v>1000000000000</v>
      </c>
      <c r="BW133" s="216">
        <f ca="1">IF($D133&lt;&gt;"Serviço",0,IF(OR(AND(AUTOEVENTO="Manual",$M133=1),$M133&gt;(ROW(PLE.lastrow)-ROW(PLE.firstrow))),0,IF(OFFSET(PLE!$G$14,$M133,BW$13)="",10^12,OFFSET(PLE!$G$14,$M133,BW$13))))</f>
        <v>1000000000000</v>
      </c>
      <c r="BX133" s="216">
        <f ca="1">IF($D133&lt;&gt;"Serviço",0,IF(OR(AND(AUTOEVENTO="Manual",$M133=1),$M133&gt;(ROW(PLE.lastrow)-ROW(PLE.firstrow))),0,IF(OFFSET(PLE!$G$14,$M133,BX$13)="",10^12,OFFSET(PLE!$G$14,$M133,BX$13))))</f>
        <v>1000000000000</v>
      </c>
      <c r="BY133" s="216">
        <f ca="1">IF($D133&lt;&gt;"Serviço",0,IF(OR(AND(AUTOEVENTO="Manual",$M133=1),$M133&gt;(ROW(PLE.lastrow)-ROW(PLE.firstrow))),0,IF(OFFSET(PLE!$G$14,$M133,BY$13)="",10^12,OFFSET(PLE!$G$14,$M133,BY$13))))</f>
        <v>1000000000000</v>
      </c>
      <c r="BZ133" s="216">
        <f ca="1">IF($D133&lt;&gt;"Serviço",0,IF(OR(AND(AUTOEVENTO="Manual",$M133=1),$M133&gt;(ROW(PLE.lastrow)-ROW(PLE.firstrow))),0,IF(OFFSET(PLE!$G$14,$M133,BZ$13)="",10^12,OFFSET(PLE!$G$14,$M133,BZ$13))))</f>
        <v>1000000000000</v>
      </c>
      <c r="CA133" s="216">
        <f ca="1">IF($D133&lt;&gt;"Serviço",0,IF(OR(AND(AUTOEVENTO="Manual",$M133=1),$M133&gt;(ROW(PLE.lastrow)-ROW(PLE.firstrow))),0,IF(OFFSET(PLE!$G$14,$M133,CA$13)="",10^12,OFFSET(PLE!$G$14,$M133,CA$13))))</f>
        <v>1000000000000</v>
      </c>
      <c r="CB133" s="216">
        <f ca="1">IF($D133&lt;&gt;"Serviço",0,IF(OR(AND(AUTOEVENTO="Manual",$M133=1),$M133&gt;(ROW(PLE.lastrow)-ROW(PLE.firstrow))),0,IF(OFFSET(PLE!$G$14,$M133,CB$13)="",10^12,OFFSET(PLE!$G$14,$M133,CB$13))))</f>
        <v>1000000000000</v>
      </c>
      <c r="CC133" s="216">
        <f ca="1">IF($D133&lt;&gt;"Serviço",0,IF(OR(AND(AUTOEVENTO="Manual",$M133=1),$M133&gt;(ROW(PLE.lastrow)-ROW(PLE.firstrow))),0,IF(OFFSET(PLE!$G$14,$M133,CC$13)="",10^12,OFFSET(PLE!$G$14,$M133,CC$13))))</f>
        <v>1000000000000</v>
      </c>
      <c r="CD133" s="216">
        <f ca="1">IF($D133&lt;&gt;"Serviço",0,IF(OR(AND(AUTOEVENTO="Manual",$M133=1),$M133&gt;(ROW(PLE.lastrow)-ROW(PLE.firstrow))),0,IF(OFFSET(PLE!$G$14,$M133,CD$13)="",10^12,OFFSET(PLE!$G$14,$M133,CD$13))))</f>
        <v>1000000000000</v>
      </c>
      <c r="CE133" s="216">
        <f ca="1">IF($D133&lt;&gt;"Serviço",0,IF(OR(AND(AUTOEVENTO="Manual",$M133=1),$M133&gt;(ROW(PLE.lastrow)-ROW(PLE.firstrow))),0,IF(OFFSET(PLE!$G$14,$M133,CE$13)="",10^12,OFFSET(PLE!$G$14,$M133,CE$13))))</f>
        <v>1000000000000</v>
      </c>
      <c r="CF133" s="216">
        <f ca="1">IF($D133&lt;&gt;"Serviço",0,IF(OR(AND(AUTOEVENTO="Manual",$M133=1),$M133&gt;(ROW(PLE.lastrow)-ROW(PLE.firstrow))),0,IF(OFFSET(PLE!$G$14,$M133,CF$13)="",10^12,OFFSET(PLE!$G$14,$M133,CF$13))))</f>
        <v>1000000000000</v>
      </c>
      <c r="CG133" s="216">
        <f ca="1">IF($D133&lt;&gt;"Serviço",0,IF(OR(AND(AUTOEVENTO="Manual",$M133=1),$M133&gt;(ROW(PLE.lastrow)-ROW(PLE.firstrow))),0,IF(OFFSET(PLE!$G$14,$M133,CG$13)="",10^12,OFFSET(PLE!$G$14,$M133,CG$13))))</f>
        <v>1000000000000</v>
      </c>
      <c r="CH133" s="216">
        <f ca="1">IF($D133&lt;&gt;"Serviço",0,IF(OR(AND(AUTOEVENTO="Manual",$M133=1),$M133&gt;(ROW(PLE.lastrow)-ROW(PLE.firstrow))),0,IF(OFFSET(PLE!$G$14,$M133,CH$13)="",10^12,OFFSET(PLE!$G$14,$M133,CH$13))))</f>
        <v>1000000000000</v>
      </c>
      <c r="CI133" s="216">
        <f ca="1">IF($D133&lt;&gt;"Serviço",0,IF(OR(AND(AUTOEVENTO="Manual",$M133=1),$M133&gt;(ROW(PLE.lastrow)-ROW(PLE.firstrow))),0,IF(OFFSET(PLE!$G$14,$M133,CI$13)="",10^12,OFFSET(PLE!$G$14,$M133,CI$13))))</f>
        <v>1000000000000</v>
      </c>
      <c r="CJ133" s="216">
        <f ca="1">IF($D133&lt;&gt;"Serviço",0,IF(OR(AND(AUTOEVENTO="Manual",$M133=1),$M133&gt;(ROW(PLE.lastrow)-ROW(PLE.firstrow))),0,IF(OFFSET(PLE!$G$14,$M133,CJ$13)="",10^12,OFFSET(PLE!$G$14,$M133,CJ$13))))</f>
        <v>1000000000000</v>
      </c>
      <c r="CK133" s="216">
        <f ca="1">IF($D133&lt;&gt;"Serviço",0,IF(OR(AND(AUTOEVENTO="Manual",$M133=1),$M133&gt;(ROW(PLE.lastrow)-ROW(PLE.firstrow))),0,IF(OFFSET(PLE!$G$14,$M133,CK$13)="",10^12,OFFSET(PLE!$G$14,$M133,CK$13))))</f>
        <v>1000000000000</v>
      </c>
      <c r="CL133" s="216">
        <f ca="1">IF($D133&lt;&gt;"Serviço",0,IF(OR(AND(AUTOEVENTO="Manual",$M133=1),$M133&gt;(ROW(PLE.lastrow)-ROW(PLE.firstrow))),0,IF(OFFSET(PLE!$G$14,$M133,CL$13)="",10^12,OFFSET(PLE!$G$14,$M133,CL$13))))</f>
        <v>1000000000000</v>
      </c>
      <c r="CM133" s="216">
        <f ca="1">IF($D133&lt;&gt;"Serviço",0,IF(OR(AND(AUTOEVENTO="Manual",$M133=1),$M133&gt;(ROW(PLE.lastrow)-ROW(PLE.firstrow))),0,IF(OFFSET(PLE!$G$14,$M133,CM$13)="",10^12,OFFSET(PLE!$G$14,$M133,CM$13))))</f>
        <v>1000000000000</v>
      </c>
    </row>
    <row r="134" spans="1:91" ht="13.2" x14ac:dyDescent="0.25">
      <c r="A134" s="9">
        <f t="shared" ca="1" si="10"/>
        <v>0</v>
      </c>
      <c r="B134" s="9" t="str">
        <f ca="1">OFFSET(ORÇAMENTO!C$15,ROW(B134)-ROW(B$15),0)</f>
        <v>S</v>
      </c>
      <c r="C134" s="9" t="str">
        <f ca="1">OFFSET(ORÇAMENTO!L$15,ROW(C134)-ROW(C$15),0)</f>
        <v/>
      </c>
      <c r="D134" s="145" t="str">
        <f ca="1">OFFSET(ORÇAMENTO!N$15,ROW(D134)-ROW(D$15),0)</f>
        <v>Serviço</v>
      </c>
      <c r="E134" s="205" t="str">
        <f ca="1">OFFSET(ORÇAMENTO!O$15,ROW(E134)-ROW(E$15),0)</f>
        <v>-</v>
      </c>
      <c r="F134" s="206" t="str">
        <f ca="1">OFFSET(ORÇAMENTO!R$15,ROW(F134)-ROW(F$15),0)</f>
        <v>(abra o arquivo 'Referência 05-2024.xls)</v>
      </c>
      <c r="G134" s="207" t="str">
        <f ca="1">IF($D134&lt;&gt;"Serviço","",OFFSET(ORÇAMENTO!S$15,ROW(G134)-ROW(G$15),0))</f>
        <v>-</v>
      </c>
      <c r="H134" s="151">
        <f ca="1">IF($D134&lt;&gt;"Serviço",0,IF(ACOMPANHAMENTO="BM",ROUND(OFFSET(ORÇAMENTO!AJ$15,ROW(H134)-ROW(H$15),0),15-13*ORÇAMENTO!$AF$7),SUMPRODUCT(($Q$12:$AI$12&lt;&gt;"")*ROUND($Q134:$AI134,15-13*ORÇAMENTO!$AF$7))))</f>
        <v>416</v>
      </c>
      <c r="I134" s="650"/>
      <c r="K134" s="208"/>
      <c r="L134" s="209" t="s">
        <v>257</v>
      </c>
      <c r="M134" s="210">
        <f ca="1">IF($D134&lt;&gt;"Serviço","",IF(AUTOEVENTO="manual",$A134,IF(ISERROR(MATCH($A134,$A$15:OFFSET($A134,-1,0),0)),MAX($M$15:OFFSET(M134,-1,0))+1,INDEX($M$15:OFFSET(M134,-1,0),MATCH($A134,$A$15:OFFSET($A134,-1,0),0)))))</f>
        <v>0</v>
      </c>
      <c r="N134" s="211" t="str">
        <f ca="1">IF($D134&lt;&gt;"Serviço","",IF(AUTOEVENTO="Manual",IF($A134=0,"&lt;-- defina o número do agrupador",OFFSET(EVENTOS!$D$14,$A134,0)),OFFSET($F$15,$A134,0)))</f>
        <v>&lt;-- defina o número do agrupador</v>
      </c>
      <c r="O134" s="212"/>
      <c r="Q134" s="212"/>
      <c r="R134" s="213"/>
      <c r="S134" s="213"/>
      <c r="T134" s="213"/>
      <c r="U134" s="213"/>
      <c r="V134" s="213"/>
      <c r="W134" s="213"/>
      <c r="X134" s="213"/>
      <c r="Y134" s="213"/>
      <c r="Z134" s="214"/>
      <c r="AA134" s="213"/>
      <c r="AB134" s="213"/>
      <c r="AC134" s="213"/>
      <c r="AD134" s="213"/>
      <c r="AE134" s="213"/>
      <c r="AF134" s="213"/>
      <c r="AG134" s="213"/>
      <c r="AH134" s="214"/>
      <c r="AJ134" s="631">
        <f ca="1">IF(AND($D134="Serviço",AJ$12&lt;&gt;0,$H134&gt;0,OR(AUTOEVENTO&lt;&gt;"manual",$M134&lt;&gt;1)),ROUND(OFFSET($P134,0,AJ$13),15-13*ORÇAMENTO!$AF$7)/$H134*OFFSET(ORÇAMENTO!$X$15,ROW(AJ134)-ROW(AJ$15),0),0)</f>
        <v>0</v>
      </c>
      <c r="AK134" s="632">
        <f ca="1">IF(AND($D134="Serviço",AK$12&lt;&gt;0,$H134&gt;0,OR(AUTOEVENTO&lt;&gt;"manual",$M134&lt;&gt;1)),ROUND(OFFSET($P134,0,AK$13),15-13*ORÇAMENTO!$AF$7)/$H134*OFFSET(ORÇAMENTO!$X$15,ROW(AK134)-ROW(AK$15),0),0)</f>
        <v>0</v>
      </c>
      <c r="AL134" s="632">
        <f ca="1">IF(AND($D134="Serviço",AL$12&lt;&gt;0,$H134&gt;0,OR(AUTOEVENTO&lt;&gt;"manual",$M134&lt;&gt;1)),ROUND(OFFSET($P134,0,AL$13),15-13*ORÇAMENTO!$AF$7)/$H134*OFFSET(ORÇAMENTO!$X$15,ROW(AL134)-ROW(AL$15),0),0)</f>
        <v>0</v>
      </c>
      <c r="AM134" s="632">
        <f ca="1">IF(AND($D134="Serviço",AM$12&lt;&gt;0,$H134&gt;0,OR(AUTOEVENTO&lt;&gt;"manual",$M134&lt;&gt;1)),ROUND(OFFSET($P134,0,AM$13),15-13*ORÇAMENTO!$AF$7)/$H134*OFFSET(ORÇAMENTO!$X$15,ROW(AM134)-ROW(AM$15),0),0)</f>
        <v>0</v>
      </c>
      <c r="AN134" s="632">
        <f ca="1">IF(AND($D134="Serviço",AN$12&lt;&gt;0,$H134&gt;0,OR(AUTOEVENTO&lt;&gt;"manual",$M134&lt;&gt;1)),ROUND(OFFSET($P134,0,AN$13),15-13*ORÇAMENTO!$AF$7)/$H134*OFFSET(ORÇAMENTO!$X$15,ROW(AN134)-ROW(AN$15),0),0)</f>
        <v>0</v>
      </c>
      <c r="AO134" s="632">
        <f ca="1">IF(AND($D134="Serviço",AO$12&lt;&gt;0,$H134&gt;0,OR(AUTOEVENTO&lt;&gt;"manual",$M134&lt;&gt;1)),ROUND(OFFSET($P134,0,AO$13),15-13*ORÇAMENTO!$AF$7)/$H134*OFFSET(ORÇAMENTO!$X$15,ROW(AO134)-ROW(AO$15),0),0)</f>
        <v>0</v>
      </c>
      <c r="AP134" s="632">
        <f ca="1">IF(AND($D134="Serviço",AP$12&lt;&gt;0,$H134&gt;0,OR(AUTOEVENTO&lt;&gt;"manual",$M134&lt;&gt;1)),ROUND(OFFSET($P134,0,AP$13),15-13*ORÇAMENTO!$AF$7)/$H134*OFFSET(ORÇAMENTO!$X$15,ROW(AP134)-ROW(AP$15),0),0)</f>
        <v>0</v>
      </c>
      <c r="AQ134" s="632">
        <f ca="1">IF(AND($D134="Serviço",AQ$12&lt;&gt;0,$H134&gt;0,OR(AUTOEVENTO&lt;&gt;"manual",$M134&lt;&gt;1)),ROUND(OFFSET($P134,0,AQ$13),15-13*ORÇAMENTO!$AF$7)/$H134*OFFSET(ORÇAMENTO!$X$15,ROW(AQ134)-ROW(AQ$15),0),0)</f>
        <v>0</v>
      </c>
      <c r="AR134" s="632">
        <f ca="1">IF(AND($D134="Serviço",AR$12&lt;&gt;0,$H134&gt;0,OR(AUTOEVENTO&lt;&gt;"manual",$M134&lt;&gt;1)),ROUND(OFFSET($P134,0,AR$13),15-13*ORÇAMENTO!$AF$7)/$H134*OFFSET(ORÇAMENTO!$X$15,ROW(AR134)-ROW(AR$15),0),0)</f>
        <v>0</v>
      </c>
      <c r="AS134" s="633">
        <f ca="1">IF(AND($D134="Serviço",AS$12&lt;&gt;0,$H134&gt;0,OR(AUTOEVENTO&lt;&gt;"manual",$M134&lt;&gt;1)),ROUND(OFFSET($P134,0,AS$13),15-13*ORÇAMENTO!$AF$7)/$H134*OFFSET(ORÇAMENTO!$X$15,ROW(AS134)-ROW(AS$15),0),0)</f>
        <v>0</v>
      </c>
      <c r="AT134" s="632">
        <f ca="1">IF(AND($D134="Serviço",AT$12&lt;&gt;0,$H134&gt;0,OR(AUTOEVENTO&lt;&gt;"manual",$M134&lt;&gt;1)),ROUND(OFFSET($P134,0,AT$13),15-13*ORÇAMENTO!$AF$7)/$H134*OFFSET(ORÇAMENTO!$X$15,ROW(AT134)-ROW(AT$15),0),0)</f>
        <v>0</v>
      </c>
      <c r="AU134" s="632">
        <f ca="1">IF(AND($D134="Serviço",AU$12&lt;&gt;0,$H134&gt;0,OR(AUTOEVENTO&lt;&gt;"manual",$M134&lt;&gt;1)),ROUND(OFFSET($P134,0,AU$13),15-13*ORÇAMENTO!$AF$7)/$H134*OFFSET(ORÇAMENTO!$X$15,ROW(AU134)-ROW(AU$15),0),0)</f>
        <v>0</v>
      </c>
      <c r="AV134" s="632">
        <f ca="1">IF(AND($D134="Serviço",AV$12&lt;&gt;0,$H134&gt;0,OR(AUTOEVENTO&lt;&gt;"manual",$M134&lt;&gt;1)),ROUND(OFFSET($P134,0,AV$13),15-13*ORÇAMENTO!$AF$7)/$H134*OFFSET(ORÇAMENTO!$X$15,ROW(AV134)-ROW(AV$15),0),0)</f>
        <v>0</v>
      </c>
      <c r="AW134" s="632">
        <f ca="1">IF(AND($D134="Serviço",AW$12&lt;&gt;0,$H134&gt;0,OR(AUTOEVENTO&lt;&gt;"manual",$M134&lt;&gt;1)),ROUND(OFFSET($P134,0,AW$13),15-13*ORÇAMENTO!$AF$7)/$H134*OFFSET(ORÇAMENTO!$X$15,ROW(AW134)-ROW(AW$15),0),0)</f>
        <v>0</v>
      </c>
      <c r="AX134" s="632">
        <f ca="1">IF(AND($D134="Serviço",AX$12&lt;&gt;0,$H134&gt;0,OR(AUTOEVENTO&lt;&gt;"manual",$M134&lt;&gt;1)),ROUND(OFFSET($P134,0,AX$13),15-13*ORÇAMENTO!$AF$7)/$H134*OFFSET(ORÇAMENTO!$X$15,ROW(AX134)-ROW(AX$15),0),0)</f>
        <v>0</v>
      </c>
      <c r="AY134" s="632">
        <f ca="1">IF(AND($D134="Serviço",AY$12&lt;&gt;0,$H134&gt;0,OR(AUTOEVENTO&lt;&gt;"manual",$M134&lt;&gt;1)),ROUND(OFFSET($P134,0,AY$13),15-13*ORÇAMENTO!$AF$7)/$H134*OFFSET(ORÇAMENTO!$X$15,ROW(AY134)-ROW(AY$15),0),0)</f>
        <v>0</v>
      </c>
      <c r="AZ134" s="632">
        <f ca="1">IF(AND($D134="Serviço",AZ$12&lt;&gt;0,$H134&gt;0,OR(AUTOEVENTO&lt;&gt;"manual",$M134&lt;&gt;1)),ROUND(OFFSET($P134,0,AZ$13),15-13*ORÇAMENTO!$AF$7)/$H134*OFFSET(ORÇAMENTO!$X$15,ROW(AZ134)-ROW(AZ$15),0),0)</f>
        <v>0</v>
      </c>
      <c r="BA134" s="633">
        <f ca="1">IF(AND($D134="Serviço",BA$12&lt;&gt;0,$H134&gt;0,OR(AUTOEVENTO&lt;&gt;"manual",$M134&lt;&gt;1)),ROUND(OFFSET($P134,0,BA$13),15-13*ORÇAMENTO!$AF$7)/$H134*OFFSET(ORÇAMENTO!$X$15,ROW(BA134)-ROW(BA$15),0),0)</f>
        <v>0</v>
      </c>
      <c r="BC134" s="215">
        <f ca="1">IF($D134&lt;&gt;"Serviço",0,IF(AND(AUTOEVENTO="Manual",$M134=1),0,IF(OFFSET(CRONOPLE!$F$14,$M134,BC$13)="",10^12,OFFSET(CRONOPLE!$F$14,$M134,BC$13))))</f>
        <v>1000000000000</v>
      </c>
      <c r="BD134" s="215">
        <f ca="1">IF($D134&lt;&gt;"Serviço",0,IF(AND(AUTOEVENTO="Manual",$M134=1),0,IF(OFFSET(CRONOPLE!$F$14,$M134,BD$13)="",10^12,OFFSET(CRONOPLE!$F$14,$M134,BD$13))))</f>
        <v>1000000000000</v>
      </c>
      <c r="BE134" s="215">
        <f ca="1">IF($D134&lt;&gt;"Serviço",0,IF(AND(AUTOEVENTO="Manual",$M134=1),0,IF(OFFSET(CRONOPLE!$F$14,$M134,BE$13)="",10^12,OFFSET(CRONOPLE!$F$14,$M134,BE$13))))</f>
        <v>1000000000000</v>
      </c>
      <c r="BF134" s="215">
        <f ca="1">IF($D134&lt;&gt;"Serviço",0,IF(AND(AUTOEVENTO="Manual",$M134=1),0,IF(OFFSET(CRONOPLE!$F$14,$M134,BF$13)="",10^12,OFFSET(CRONOPLE!$F$14,$M134,BF$13))))</f>
        <v>1000000000000</v>
      </c>
      <c r="BG134" s="215">
        <f ca="1">IF($D134&lt;&gt;"Serviço",0,IF(AND(AUTOEVENTO="Manual",$M134=1),0,IF(OFFSET(CRONOPLE!$F$14,$M134,BG$13)="",10^12,OFFSET(CRONOPLE!$F$14,$M134,BG$13))))</f>
        <v>1000000000000</v>
      </c>
      <c r="BH134" s="215">
        <f ca="1">IF($D134&lt;&gt;"Serviço",0,IF(AND(AUTOEVENTO="Manual",$M134=1),0,IF(OFFSET(CRONOPLE!$F$14,$M134,BH$13)="",10^12,OFFSET(CRONOPLE!$F$14,$M134,BH$13))))</f>
        <v>1000000000000</v>
      </c>
      <c r="BI134" s="215">
        <f ca="1">IF($D134&lt;&gt;"Serviço",0,IF(AND(AUTOEVENTO="Manual",$M134=1),0,IF(OFFSET(CRONOPLE!$F$14,$M134,BI$13)="",10^12,OFFSET(CRONOPLE!$F$14,$M134,BI$13))))</f>
        <v>1000000000000</v>
      </c>
      <c r="BJ134" s="215">
        <f ca="1">IF($D134&lt;&gt;"Serviço",0,IF(AND(AUTOEVENTO="Manual",$M134=1),0,IF(OFFSET(CRONOPLE!$F$14,$M134,BJ$13)="",10^12,OFFSET(CRONOPLE!$F$14,$M134,BJ$13))))</f>
        <v>1000000000000</v>
      </c>
      <c r="BK134" s="215">
        <f ca="1">IF($D134&lt;&gt;"Serviço",0,IF(AND(AUTOEVENTO="Manual",$M134=1),0,IF(OFFSET(CRONOPLE!$F$14,$M134,BK$13)="",10^12,OFFSET(CRONOPLE!$F$14,$M134,BK$13))))</f>
        <v>1000000000000</v>
      </c>
      <c r="BL134" s="215">
        <f ca="1">IF($D134&lt;&gt;"Serviço",0,IF(AND(AUTOEVENTO="Manual",$M134=1),0,IF(OFFSET(CRONOPLE!$F$14,$M134,BL$13)="",10^12,OFFSET(CRONOPLE!$F$14,$M134,BL$13))))</f>
        <v>1000000000000</v>
      </c>
      <c r="BM134" s="215">
        <f ca="1">IF($D134&lt;&gt;"Serviço",0,IF(AND(AUTOEVENTO="Manual",$M134=1),0,IF(OFFSET(CRONOPLE!$F$14,$M134,BM$13)="",10^12,OFFSET(CRONOPLE!$F$14,$M134,BM$13))))</f>
        <v>1000000000000</v>
      </c>
      <c r="BN134" s="215">
        <f ca="1">IF($D134&lt;&gt;"Serviço",0,IF(AND(AUTOEVENTO="Manual",$M134=1),0,IF(OFFSET(CRONOPLE!$F$14,$M134,BN$13)="",10^12,OFFSET(CRONOPLE!$F$14,$M134,BN$13))))</f>
        <v>1000000000000</v>
      </c>
      <c r="BO134" s="215">
        <f ca="1">IF($D134&lt;&gt;"Serviço",0,IF(AND(AUTOEVENTO="Manual",$M134=1),0,IF(OFFSET(CRONOPLE!$F$14,$M134,BO$13)="",10^12,OFFSET(CRONOPLE!$F$14,$M134,BO$13))))</f>
        <v>1000000000000</v>
      </c>
      <c r="BP134" s="215">
        <f ca="1">IF($D134&lt;&gt;"Serviço",0,IF(AND(AUTOEVENTO="Manual",$M134=1),0,IF(OFFSET(CRONOPLE!$F$14,$M134,BP$13)="",10^12,OFFSET(CRONOPLE!$F$14,$M134,BP$13))))</f>
        <v>1000000000000</v>
      </c>
      <c r="BQ134" s="215">
        <f ca="1">IF($D134&lt;&gt;"Serviço",0,IF(AND(AUTOEVENTO="Manual",$M134=1),0,IF(OFFSET(CRONOPLE!$F$14,$M134,BQ$13)="",10^12,OFFSET(CRONOPLE!$F$14,$M134,BQ$13))))</f>
        <v>1000000000000</v>
      </c>
      <c r="BR134" s="215">
        <f ca="1">IF($D134&lt;&gt;"Serviço",0,IF(AND(AUTOEVENTO="Manual",$M134=1),0,IF(OFFSET(CRONOPLE!$F$14,$M134,BR$13)="",10^12,OFFSET(CRONOPLE!$F$14,$M134,BR$13))))</f>
        <v>1000000000000</v>
      </c>
      <c r="BS134" s="215">
        <f ca="1">IF($D134&lt;&gt;"Serviço",0,IF(AND(AUTOEVENTO="Manual",$M134=1),0,IF(OFFSET(CRONOPLE!$F$14,$M134,BS$13)="",10^12,OFFSET(CRONOPLE!$F$14,$M134,BS$13))))</f>
        <v>1000000000000</v>
      </c>
      <c r="BT134" s="215">
        <f ca="1">IF($D134&lt;&gt;"Serviço",0,IF(AND(AUTOEVENTO="Manual",$M134=1),0,IF(OFFSET(CRONOPLE!$F$14,$M134,BT$13)="",10^12,OFFSET(CRONOPLE!$F$14,$M134,BT$13))))</f>
        <v>1000000000000</v>
      </c>
      <c r="BV134" s="216">
        <f ca="1">IF($D134&lt;&gt;"Serviço",0,IF(OR(AND(AUTOEVENTO="Manual",$M134=1),$M134&gt;(ROW(PLE.lastrow)-ROW(PLE.firstrow))),0,IF(OFFSET(PLE!$G$14,$M134,BV$13)="",10^12,OFFSET(PLE!$G$14,$M134,BV$13))))</f>
        <v>1000000000000</v>
      </c>
      <c r="BW134" s="216">
        <f ca="1">IF($D134&lt;&gt;"Serviço",0,IF(OR(AND(AUTOEVENTO="Manual",$M134=1),$M134&gt;(ROW(PLE.lastrow)-ROW(PLE.firstrow))),0,IF(OFFSET(PLE!$G$14,$M134,BW$13)="",10^12,OFFSET(PLE!$G$14,$M134,BW$13))))</f>
        <v>1000000000000</v>
      </c>
      <c r="BX134" s="216">
        <f ca="1">IF($D134&lt;&gt;"Serviço",0,IF(OR(AND(AUTOEVENTO="Manual",$M134=1),$M134&gt;(ROW(PLE.lastrow)-ROW(PLE.firstrow))),0,IF(OFFSET(PLE!$G$14,$M134,BX$13)="",10^12,OFFSET(PLE!$G$14,$M134,BX$13))))</f>
        <v>1000000000000</v>
      </c>
      <c r="BY134" s="216">
        <f ca="1">IF($D134&lt;&gt;"Serviço",0,IF(OR(AND(AUTOEVENTO="Manual",$M134=1),$M134&gt;(ROW(PLE.lastrow)-ROW(PLE.firstrow))),0,IF(OFFSET(PLE!$G$14,$M134,BY$13)="",10^12,OFFSET(PLE!$G$14,$M134,BY$13))))</f>
        <v>1000000000000</v>
      </c>
      <c r="BZ134" s="216">
        <f ca="1">IF($D134&lt;&gt;"Serviço",0,IF(OR(AND(AUTOEVENTO="Manual",$M134=1),$M134&gt;(ROW(PLE.lastrow)-ROW(PLE.firstrow))),0,IF(OFFSET(PLE!$G$14,$M134,BZ$13)="",10^12,OFFSET(PLE!$G$14,$M134,BZ$13))))</f>
        <v>1000000000000</v>
      </c>
      <c r="CA134" s="216">
        <f ca="1">IF($D134&lt;&gt;"Serviço",0,IF(OR(AND(AUTOEVENTO="Manual",$M134=1),$M134&gt;(ROW(PLE.lastrow)-ROW(PLE.firstrow))),0,IF(OFFSET(PLE!$G$14,$M134,CA$13)="",10^12,OFFSET(PLE!$G$14,$M134,CA$13))))</f>
        <v>1000000000000</v>
      </c>
      <c r="CB134" s="216">
        <f ca="1">IF($D134&lt;&gt;"Serviço",0,IF(OR(AND(AUTOEVENTO="Manual",$M134=1),$M134&gt;(ROW(PLE.lastrow)-ROW(PLE.firstrow))),0,IF(OFFSET(PLE!$G$14,$M134,CB$13)="",10^12,OFFSET(PLE!$G$14,$M134,CB$13))))</f>
        <v>1000000000000</v>
      </c>
      <c r="CC134" s="216">
        <f ca="1">IF($D134&lt;&gt;"Serviço",0,IF(OR(AND(AUTOEVENTO="Manual",$M134=1),$M134&gt;(ROW(PLE.lastrow)-ROW(PLE.firstrow))),0,IF(OFFSET(PLE!$G$14,$M134,CC$13)="",10^12,OFFSET(PLE!$G$14,$M134,CC$13))))</f>
        <v>1000000000000</v>
      </c>
      <c r="CD134" s="216">
        <f ca="1">IF($D134&lt;&gt;"Serviço",0,IF(OR(AND(AUTOEVENTO="Manual",$M134=1),$M134&gt;(ROW(PLE.lastrow)-ROW(PLE.firstrow))),0,IF(OFFSET(PLE!$G$14,$M134,CD$13)="",10^12,OFFSET(PLE!$G$14,$M134,CD$13))))</f>
        <v>1000000000000</v>
      </c>
      <c r="CE134" s="216">
        <f ca="1">IF($D134&lt;&gt;"Serviço",0,IF(OR(AND(AUTOEVENTO="Manual",$M134=1),$M134&gt;(ROW(PLE.lastrow)-ROW(PLE.firstrow))),0,IF(OFFSET(PLE!$G$14,$M134,CE$13)="",10^12,OFFSET(PLE!$G$14,$M134,CE$13))))</f>
        <v>1000000000000</v>
      </c>
      <c r="CF134" s="216">
        <f ca="1">IF($D134&lt;&gt;"Serviço",0,IF(OR(AND(AUTOEVENTO="Manual",$M134=1),$M134&gt;(ROW(PLE.lastrow)-ROW(PLE.firstrow))),0,IF(OFFSET(PLE!$G$14,$M134,CF$13)="",10^12,OFFSET(PLE!$G$14,$M134,CF$13))))</f>
        <v>1000000000000</v>
      </c>
      <c r="CG134" s="216">
        <f ca="1">IF($D134&lt;&gt;"Serviço",0,IF(OR(AND(AUTOEVENTO="Manual",$M134=1),$M134&gt;(ROW(PLE.lastrow)-ROW(PLE.firstrow))),0,IF(OFFSET(PLE!$G$14,$M134,CG$13)="",10^12,OFFSET(PLE!$G$14,$M134,CG$13))))</f>
        <v>1000000000000</v>
      </c>
      <c r="CH134" s="216">
        <f ca="1">IF($D134&lt;&gt;"Serviço",0,IF(OR(AND(AUTOEVENTO="Manual",$M134=1),$M134&gt;(ROW(PLE.lastrow)-ROW(PLE.firstrow))),0,IF(OFFSET(PLE!$G$14,$M134,CH$13)="",10^12,OFFSET(PLE!$G$14,$M134,CH$13))))</f>
        <v>1000000000000</v>
      </c>
      <c r="CI134" s="216">
        <f ca="1">IF($D134&lt;&gt;"Serviço",0,IF(OR(AND(AUTOEVENTO="Manual",$M134=1),$M134&gt;(ROW(PLE.lastrow)-ROW(PLE.firstrow))),0,IF(OFFSET(PLE!$G$14,$M134,CI$13)="",10^12,OFFSET(PLE!$G$14,$M134,CI$13))))</f>
        <v>1000000000000</v>
      </c>
      <c r="CJ134" s="216">
        <f ca="1">IF($D134&lt;&gt;"Serviço",0,IF(OR(AND(AUTOEVENTO="Manual",$M134=1),$M134&gt;(ROW(PLE.lastrow)-ROW(PLE.firstrow))),0,IF(OFFSET(PLE!$G$14,$M134,CJ$13)="",10^12,OFFSET(PLE!$G$14,$M134,CJ$13))))</f>
        <v>1000000000000</v>
      </c>
      <c r="CK134" s="216">
        <f ca="1">IF($D134&lt;&gt;"Serviço",0,IF(OR(AND(AUTOEVENTO="Manual",$M134=1),$M134&gt;(ROW(PLE.lastrow)-ROW(PLE.firstrow))),0,IF(OFFSET(PLE!$G$14,$M134,CK$13)="",10^12,OFFSET(PLE!$G$14,$M134,CK$13))))</f>
        <v>1000000000000</v>
      </c>
      <c r="CL134" s="216">
        <f ca="1">IF($D134&lt;&gt;"Serviço",0,IF(OR(AND(AUTOEVENTO="Manual",$M134=1),$M134&gt;(ROW(PLE.lastrow)-ROW(PLE.firstrow))),0,IF(OFFSET(PLE!$G$14,$M134,CL$13)="",10^12,OFFSET(PLE!$G$14,$M134,CL$13))))</f>
        <v>1000000000000</v>
      </c>
      <c r="CM134" s="216">
        <f ca="1">IF($D134&lt;&gt;"Serviço",0,IF(OR(AND(AUTOEVENTO="Manual",$M134=1),$M134&gt;(ROW(PLE.lastrow)-ROW(PLE.firstrow))),0,IF(OFFSET(PLE!$G$14,$M134,CM$13)="",10^12,OFFSET(PLE!$G$14,$M134,CM$13))))</f>
        <v>1000000000000</v>
      </c>
    </row>
    <row r="135" spans="1:91" ht="13.2" x14ac:dyDescent="0.25">
      <c r="A135" s="9">
        <f t="shared" ca="1" si="10"/>
        <v>0</v>
      </c>
      <c r="B135" s="9" t="str">
        <f ca="1">OFFSET(ORÇAMENTO!C$15,ROW(B135)-ROW(B$15),0)</f>
        <v>S</v>
      </c>
      <c r="C135" s="9" t="str">
        <f ca="1">OFFSET(ORÇAMENTO!L$15,ROW(C135)-ROW(C$15),0)</f>
        <v/>
      </c>
      <c r="D135" s="145" t="str">
        <f ca="1">OFFSET(ORÇAMENTO!N$15,ROW(D135)-ROW(D$15),0)</f>
        <v>Serviço</v>
      </c>
      <c r="E135" s="205" t="str">
        <f ca="1">OFFSET(ORÇAMENTO!O$15,ROW(E135)-ROW(E$15),0)</f>
        <v>-</v>
      </c>
      <c r="F135" s="206" t="str">
        <f ca="1">OFFSET(ORÇAMENTO!R$15,ROW(F135)-ROW(F$15),0)</f>
        <v>(abra o arquivo 'Referência 05-2024.xls)</v>
      </c>
      <c r="G135" s="207" t="str">
        <f ca="1">IF($D135&lt;&gt;"Serviço","",OFFSET(ORÇAMENTO!S$15,ROW(G135)-ROW(G$15),0))</f>
        <v>-</v>
      </c>
      <c r="H135" s="151">
        <f ca="1">IF($D135&lt;&gt;"Serviço",0,IF(ACOMPANHAMENTO="BM",ROUND(OFFSET(ORÇAMENTO!AJ$15,ROW(H135)-ROW(H$15),0),15-13*ORÇAMENTO!$AF$7),SUMPRODUCT(($Q$12:$AI$12&lt;&gt;"")*ROUND($Q135:$AI135,15-13*ORÇAMENTO!$AF$7))))</f>
        <v>615.67999999999995</v>
      </c>
      <c r="I135" s="650"/>
      <c r="K135" s="208"/>
      <c r="L135" s="209" t="s">
        <v>257</v>
      </c>
      <c r="M135" s="210">
        <f ca="1">IF($D135&lt;&gt;"Serviço","",IF(AUTOEVENTO="manual",$A135,IF(ISERROR(MATCH($A135,$A$15:OFFSET($A135,-1,0),0)),MAX($M$15:OFFSET(M135,-1,0))+1,INDEX($M$15:OFFSET(M135,-1,0),MATCH($A135,$A$15:OFFSET($A135,-1,0),0)))))</f>
        <v>0</v>
      </c>
      <c r="N135" s="211" t="str">
        <f ca="1">IF($D135&lt;&gt;"Serviço","",IF(AUTOEVENTO="Manual",IF($A135=0,"&lt;-- defina o número do agrupador",OFFSET(EVENTOS!$D$14,$A135,0)),OFFSET($F$15,$A135,0)))</f>
        <v>&lt;-- defina o número do agrupador</v>
      </c>
      <c r="O135" s="212"/>
      <c r="Q135" s="212"/>
      <c r="R135" s="213"/>
      <c r="S135" s="213"/>
      <c r="T135" s="213"/>
      <c r="U135" s="213"/>
      <c r="V135" s="213"/>
      <c r="W135" s="213"/>
      <c r="X135" s="213"/>
      <c r="Y135" s="213"/>
      <c r="Z135" s="214"/>
      <c r="AA135" s="213"/>
      <c r="AB135" s="213"/>
      <c r="AC135" s="213"/>
      <c r="AD135" s="213"/>
      <c r="AE135" s="213"/>
      <c r="AF135" s="213"/>
      <c r="AG135" s="213"/>
      <c r="AH135" s="214"/>
      <c r="AJ135" s="631">
        <f ca="1">IF(AND($D135="Serviço",AJ$12&lt;&gt;0,$H135&gt;0,OR(AUTOEVENTO&lt;&gt;"manual",$M135&lt;&gt;1)),ROUND(OFFSET($P135,0,AJ$13),15-13*ORÇAMENTO!$AF$7)/$H135*OFFSET(ORÇAMENTO!$X$15,ROW(AJ135)-ROW(AJ$15),0),0)</f>
        <v>0</v>
      </c>
      <c r="AK135" s="632">
        <f ca="1">IF(AND($D135="Serviço",AK$12&lt;&gt;0,$H135&gt;0,OR(AUTOEVENTO&lt;&gt;"manual",$M135&lt;&gt;1)),ROUND(OFFSET($P135,0,AK$13),15-13*ORÇAMENTO!$AF$7)/$H135*OFFSET(ORÇAMENTO!$X$15,ROW(AK135)-ROW(AK$15),0),0)</f>
        <v>0</v>
      </c>
      <c r="AL135" s="632">
        <f ca="1">IF(AND($D135="Serviço",AL$12&lt;&gt;0,$H135&gt;0,OR(AUTOEVENTO&lt;&gt;"manual",$M135&lt;&gt;1)),ROUND(OFFSET($P135,0,AL$13),15-13*ORÇAMENTO!$AF$7)/$H135*OFFSET(ORÇAMENTO!$X$15,ROW(AL135)-ROW(AL$15),0),0)</f>
        <v>0</v>
      </c>
      <c r="AM135" s="632">
        <f ca="1">IF(AND($D135="Serviço",AM$12&lt;&gt;0,$H135&gt;0,OR(AUTOEVENTO&lt;&gt;"manual",$M135&lt;&gt;1)),ROUND(OFFSET($P135,0,AM$13),15-13*ORÇAMENTO!$AF$7)/$H135*OFFSET(ORÇAMENTO!$X$15,ROW(AM135)-ROW(AM$15),0),0)</f>
        <v>0</v>
      </c>
      <c r="AN135" s="632">
        <f ca="1">IF(AND($D135="Serviço",AN$12&lt;&gt;0,$H135&gt;0,OR(AUTOEVENTO&lt;&gt;"manual",$M135&lt;&gt;1)),ROUND(OFFSET($P135,0,AN$13),15-13*ORÇAMENTO!$AF$7)/$H135*OFFSET(ORÇAMENTO!$X$15,ROW(AN135)-ROW(AN$15),0),0)</f>
        <v>0</v>
      </c>
      <c r="AO135" s="632">
        <f ca="1">IF(AND($D135="Serviço",AO$12&lt;&gt;0,$H135&gt;0,OR(AUTOEVENTO&lt;&gt;"manual",$M135&lt;&gt;1)),ROUND(OFFSET($P135,0,AO$13),15-13*ORÇAMENTO!$AF$7)/$H135*OFFSET(ORÇAMENTO!$X$15,ROW(AO135)-ROW(AO$15),0),0)</f>
        <v>0</v>
      </c>
      <c r="AP135" s="632">
        <f ca="1">IF(AND($D135="Serviço",AP$12&lt;&gt;0,$H135&gt;0,OR(AUTOEVENTO&lt;&gt;"manual",$M135&lt;&gt;1)),ROUND(OFFSET($P135,0,AP$13),15-13*ORÇAMENTO!$AF$7)/$H135*OFFSET(ORÇAMENTO!$X$15,ROW(AP135)-ROW(AP$15),0),0)</f>
        <v>0</v>
      </c>
      <c r="AQ135" s="632">
        <f ca="1">IF(AND($D135="Serviço",AQ$12&lt;&gt;0,$H135&gt;0,OR(AUTOEVENTO&lt;&gt;"manual",$M135&lt;&gt;1)),ROUND(OFFSET($P135,0,AQ$13),15-13*ORÇAMENTO!$AF$7)/$H135*OFFSET(ORÇAMENTO!$X$15,ROW(AQ135)-ROW(AQ$15),0),0)</f>
        <v>0</v>
      </c>
      <c r="AR135" s="632">
        <f ca="1">IF(AND($D135="Serviço",AR$12&lt;&gt;0,$H135&gt;0,OR(AUTOEVENTO&lt;&gt;"manual",$M135&lt;&gt;1)),ROUND(OFFSET($P135,0,AR$13),15-13*ORÇAMENTO!$AF$7)/$H135*OFFSET(ORÇAMENTO!$X$15,ROW(AR135)-ROW(AR$15),0),0)</f>
        <v>0</v>
      </c>
      <c r="AS135" s="633">
        <f ca="1">IF(AND($D135="Serviço",AS$12&lt;&gt;0,$H135&gt;0,OR(AUTOEVENTO&lt;&gt;"manual",$M135&lt;&gt;1)),ROUND(OFFSET($P135,0,AS$13),15-13*ORÇAMENTO!$AF$7)/$H135*OFFSET(ORÇAMENTO!$X$15,ROW(AS135)-ROW(AS$15),0),0)</f>
        <v>0</v>
      </c>
      <c r="AT135" s="632">
        <f ca="1">IF(AND($D135="Serviço",AT$12&lt;&gt;0,$H135&gt;0,OR(AUTOEVENTO&lt;&gt;"manual",$M135&lt;&gt;1)),ROUND(OFFSET($P135,0,AT$13),15-13*ORÇAMENTO!$AF$7)/$H135*OFFSET(ORÇAMENTO!$X$15,ROW(AT135)-ROW(AT$15),0),0)</f>
        <v>0</v>
      </c>
      <c r="AU135" s="632">
        <f ca="1">IF(AND($D135="Serviço",AU$12&lt;&gt;0,$H135&gt;0,OR(AUTOEVENTO&lt;&gt;"manual",$M135&lt;&gt;1)),ROUND(OFFSET($P135,0,AU$13),15-13*ORÇAMENTO!$AF$7)/$H135*OFFSET(ORÇAMENTO!$X$15,ROW(AU135)-ROW(AU$15),0),0)</f>
        <v>0</v>
      </c>
      <c r="AV135" s="632">
        <f ca="1">IF(AND($D135="Serviço",AV$12&lt;&gt;0,$H135&gt;0,OR(AUTOEVENTO&lt;&gt;"manual",$M135&lt;&gt;1)),ROUND(OFFSET($P135,0,AV$13),15-13*ORÇAMENTO!$AF$7)/$H135*OFFSET(ORÇAMENTO!$X$15,ROW(AV135)-ROW(AV$15),0),0)</f>
        <v>0</v>
      </c>
      <c r="AW135" s="632">
        <f ca="1">IF(AND($D135="Serviço",AW$12&lt;&gt;0,$H135&gt;0,OR(AUTOEVENTO&lt;&gt;"manual",$M135&lt;&gt;1)),ROUND(OFFSET($P135,0,AW$13),15-13*ORÇAMENTO!$AF$7)/$H135*OFFSET(ORÇAMENTO!$X$15,ROW(AW135)-ROW(AW$15),0),0)</f>
        <v>0</v>
      </c>
      <c r="AX135" s="632">
        <f ca="1">IF(AND($D135="Serviço",AX$12&lt;&gt;0,$H135&gt;0,OR(AUTOEVENTO&lt;&gt;"manual",$M135&lt;&gt;1)),ROUND(OFFSET($P135,0,AX$13),15-13*ORÇAMENTO!$AF$7)/$H135*OFFSET(ORÇAMENTO!$X$15,ROW(AX135)-ROW(AX$15),0),0)</f>
        <v>0</v>
      </c>
      <c r="AY135" s="632">
        <f ca="1">IF(AND($D135="Serviço",AY$12&lt;&gt;0,$H135&gt;0,OR(AUTOEVENTO&lt;&gt;"manual",$M135&lt;&gt;1)),ROUND(OFFSET($P135,0,AY$13),15-13*ORÇAMENTO!$AF$7)/$H135*OFFSET(ORÇAMENTO!$X$15,ROW(AY135)-ROW(AY$15),0),0)</f>
        <v>0</v>
      </c>
      <c r="AZ135" s="632">
        <f ca="1">IF(AND($D135="Serviço",AZ$12&lt;&gt;0,$H135&gt;0,OR(AUTOEVENTO&lt;&gt;"manual",$M135&lt;&gt;1)),ROUND(OFFSET($P135,0,AZ$13),15-13*ORÇAMENTO!$AF$7)/$H135*OFFSET(ORÇAMENTO!$X$15,ROW(AZ135)-ROW(AZ$15),0),0)</f>
        <v>0</v>
      </c>
      <c r="BA135" s="633">
        <f ca="1">IF(AND($D135="Serviço",BA$12&lt;&gt;0,$H135&gt;0,OR(AUTOEVENTO&lt;&gt;"manual",$M135&lt;&gt;1)),ROUND(OFFSET($P135,0,BA$13),15-13*ORÇAMENTO!$AF$7)/$H135*OFFSET(ORÇAMENTO!$X$15,ROW(BA135)-ROW(BA$15),0),0)</f>
        <v>0</v>
      </c>
      <c r="BC135" s="215">
        <f ca="1">IF($D135&lt;&gt;"Serviço",0,IF(AND(AUTOEVENTO="Manual",$M135=1),0,IF(OFFSET(CRONOPLE!$F$14,$M135,BC$13)="",10^12,OFFSET(CRONOPLE!$F$14,$M135,BC$13))))</f>
        <v>1000000000000</v>
      </c>
      <c r="BD135" s="215">
        <f ca="1">IF($D135&lt;&gt;"Serviço",0,IF(AND(AUTOEVENTO="Manual",$M135=1),0,IF(OFFSET(CRONOPLE!$F$14,$M135,BD$13)="",10^12,OFFSET(CRONOPLE!$F$14,$M135,BD$13))))</f>
        <v>1000000000000</v>
      </c>
      <c r="BE135" s="215">
        <f ca="1">IF($D135&lt;&gt;"Serviço",0,IF(AND(AUTOEVENTO="Manual",$M135=1),0,IF(OFFSET(CRONOPLE!$F$14,$M135,BE$13)="",10^12,OFFSET(CRONOPLE!$F$14,$M135,BE$13))))</f>
        <v>1000000000000</v>
      </c>
      <c r="BF135" s="215">
        <f ca="1">IF($D135&lt;&gt;"Serviço",0,IF(AND(AUTOEVENTO="Manual",$M135=1),0,IF(OFFSET(CRONOPLE!$F$14,$M135,BF$13)="",10^12,OFFSET(CRONOPLE!$F$14,$M135,BF$13))))</f>
        <v>1000000000000</v>
      </c>
      <c r="BG135" s="215">
        <f ca="1">IF($D135&lt;&gt;"Serviço",0,IF(AND(AUTOEVENTO="Manual",$M135=1),0,IF(OFFSET(CRONOPLE!$F$14,$M135,BG$13)="",10^12,OFFSET(CRONOPLE!$F$14,$M135,BG$13))))</f>
        <v>1000000000000</v>
      </c>
      <c r="BH135" s="215">
        <f ca="1">IF($D135&lt;&gt;"Serviço",0,IF(AND(AUTOEVENTO="Manual",$M135=1),0,IF(OFFSET(CRONOPLE!$F$14,$M135,BH$13)="",10^12,OFFSET(CRONOPLE!$F$14,$M135,BH$13))))</f>
        <v>1000000000000</v>
      </c>
      <c r="BI135" s="215">
        <f ca="1">IF($D135&lt;&gt;"Serviço",0,IF(AND(AUTOEVENTO="Manual",$M135=1),0,IF(OFFSET(CRONOPLE!$F$14,$M135,BI$13)="",10^12,OFFSET(CRONOPLE!$F$14,$M135,BI$13))))</f>
        <v>1000000000000</v>
      </c>
      <c r="BJ135" s="215">
        <f ca="1">IF($D135&lt;&gt;"Serviço",0,IF(AND(AUTOEVENTO="Manual",$M135=1),0,IF(OFFSET(CRONOPLE!$F$14,$M135,BJ$13)="",10^12,OFFSET(CRONOPLE!$F$14,$M135,BJ$13))))</f>
        <v>1000000000000</v>
      </c>
      <c r="BK135" s="215">
        <f ca="1">IF($D135&lt;&gt;"Serviço",0,IF(AND(AUTOEVENTO="Manual",$M135=1),0,IF(OFFSET(CRONOPLE!$F$14,$M135,BK$13)="",10^12,OFFSET(CRONOPLE!$F$14,$M135,BK$13))))</f>
        <v>1000000000000</v>
      </c>
      <c r="BL135" s="215">
        <f ca="1">IF($D135&lt;&gt;"Serviço",0,IF(AND(AUTOEVENTO="Manual",$M135=1),0,IF(OFFSET(CRONOPLE!$F$14,$M135,BL$13)="",10^12,OFFSET(CRONOPLE!$F$14,$M135,BL$13))))</f>
        <v>1000000000000</v>
      </c>
      <c r="BM135" s="215">
        <f ca="1">IF($D135&lt;&gt;"Serviço",0,IF(AND(AUTOEVENTO="Manual",$M135=1),0,IF(OFFSET(CRONOPLE!$F$14,$M135,BM$13)="",10^12,OFFSET(CRONOPLE!$F$14,$M135,BM$13))))</f>
        <v>1000000000000</v>
      </c>
      <c r="BN135" s="215">
        <f ca="1">IF($D135&lt;&gt;"Serviço",0,IF(AND(AUTOEVENTO="Manual",$M135=1),0,IF(OFFSET(CRONOPLE!$F$14,$M135,BN$13)="",10^12,OFFSET(CRONOPLE!$F$14,$M135,BN$13))))</f>
        <v>1000000000000</v>
      </c>
      <c r="BO135" s="215">
        <f ca="1">IF($D135&lt;&gt;"Serviço",0,IF(AND(AUTOEVENTO="Manual",$M135=1),0,IF(OFFSET(CRONOPLE!$F$14,$M135,BO$13)="",10^12,OFFSET(CRONOPLE!$F$14,$M135,BO$13))))</f>
        <v>1000000000000</v>
      </c>
      <c r="BP135" s="215">
        <f ca="1">IF($D135&lt;&gt;"Serviço",0,IF(AND(AUTOEVENTO="Manual",$M135=1),0,IF(OFFSET(CRONOPLE!$F$14,$M135,BP$13)="",10^12,OFFSET(CRONOPLE!$F$14,$M135,BP$13))))</f>
        <v>1000000000000</v>
      </c>
      <c r="BQ135" s="215">
        <f ca="1">IF($D135&lt;&gt;"Serviço",0,IF(AND(AUTOEVENTO="Manual",$M135=1),0,IF(OFFSET(CRONOPLE!$F$14,$M135,BQ$13)="",10^12,OFFSET(CRONOPLE!$F$14,$M135,BQ$13))))</f>
        <v>1000000000000</v>
      </c>
      <c r="BR135" s="215">
        <f ca="1">IF($D135&lt;&gt;"Serviço",0,IF(AND(AUTOEVENTO="Manual",$M135=1),0,IF(OFFSET(CRONOPLE!$F$14,$M135,BR$13)="",10^12,OFFSET(CRONOPLE!$F$14,$M135,BR$13))))</f>
        <v>1000000000000</v>
      </c>
      <c r="BS135" s="215">
        <f ca="1">IF($D135&lt;&gt;"Serviço",0,IF(AND(AUTOEVENTO="Manual",$M135=1),0,IF(OFFSET(CRONOPLE!$F$14,$M135,BS$13)="",10^12,OFFSET(CRONOPLE!$F$14,$M135,BS$13))))</f>
        <v>1000000000000</v>
      </c>
      <c r="BT135" s="215">
        <f ca="1">IF($D135&lt;&gt;"Serviço",0,IF(AND(AUTOEVENTO="Manual",$M135=1),0,IF(OFFSET(CRONOPLE!$F$14,$M135,BT$13)="",10^12,OFFSET(CRONOPLE!$F$14,$M135,BT$13))))</f>
        <v>1000000000000</v>
      </c>
      <c r="BV135" s="216">
        <f ca="1">IF($D135&lt;&gt;"Serviço",0,IF(OR(AND(AUTOEVENTO="Manual",$M135=1),$M135&gt;(ROW(PLE.lastrow)-ROW(PLE.firstrow))),0,IF(OFFSET(PLE!$G$14,$M135,BV$13)="",10^12,OFFSET(PLE!$G$14,$M135,BV$13))))</f>
        <v>1000000000000</v>
      </c>
      <c r="BW135" s="216">
        <f ca="1">IF($D135&lt;&gt;"Serviço",0,IF(OR(AND(AUTOEVENTO="Manual",$M135=1),$M135&gt;(ROW(PLE.lastrow)-ROW(PLE.firstrow))),0,IF(OFFSET(PLE!$G$14,$M135,BW$13)="",10^12,OFFSET(PLE!$G$14,$M135,BW$13))))</f>
        <v>1000000000000</v>
      </c>
      <c r="BX135" s="216">
        <f ca="1">IF($D135&lt;&gt;"Serviço",0,IF(OR(AND(AUTOEVENTO="Manual",$M135=1),$M135&gt;(ROW(PLE.lastrow)-ROW(PLE.firstrow))),0,IF(OFFSET(PLE!$G$14,$M135,BX$13)="",10^12,OFFSET(PLE!$G$14,$M135,BX$13))))</f>
        <v>1000000000000</v>
      </c>
      <c r="BY135" s="216">
        <f ca="1">IF($D135&lt;&gt;"Serviço",0,IF(OR(AND(AUTOEVENTO="Manual",$M135=1),$M135&gt;(ROW(PLE.lastrow)-ROW(PLE.firstrow))),0,IF(OFFSET(PLE!$G$14,$M135,BY$13)="",10^12,OFFSET(PLE!$G$14,$M135,BY$13))))</f>
        <v>1000000000000</v>
      </c>
      <c r="BZ135" s="216">
        <f ca="1">IF($D135&lt;&gt;"Serviço",0,IF(OR(AND(AUTOEVENTO="Manual",$M135=1),$M135&gt;(ROW(PLE.lastrow)-ROW(PLE.firstrow))),0,IF(OFFSET(PLE!$G$14,$M135,BZ$13)="",10^12,OFFSET(PLE!$G$14,$M135,BZ$13))))</f>
        <v>1000000000000</v>
      </c>
      <c r="CA135" s="216">
        <f ca="1">IF($D135&lt;&gt;"Serviço",0,IF(OR(AND(AUTOEVENTO="Manual",$M135=1),$M135&gt;(ROW(PLE.lastrow)-ROW(PLE.firstrow))),0,IF(OFFSET(PLE!$G$14,$M135,CA$13)="",10^12,OFFSET(PLE!$G$14,$M135,CA$13))))</f>
        <v>1000000000000</v>
      </c>
      <c r="CB135" s="216">
        <f ca="1">IF($D135&lt;&gt;"Serviço",0,IF(OR(AND(AUTOEVENTO="Manual",$M135=1),$M135&gt;(ROW(PLE.lastrow)-ROW(PLE.firstrow))),0,IF(OFFSET(PLE!$G$14,$M135,CB$13)="",10^12,OFFSET(PLE!$G$14,$M135,CB$13))))</f>
        <v>1000000000000</v>
      </c>
      <c r="CC135" s="216">
        <f ca="1">IF($D135&lt;&gt;"Serviço",0,IF(OR(AND(AUTOEVENTO="Manual",$M135=1),$M135&gt;(ROW(PLE.lastrow)-ROW(PLE.firstrow))),0,IF(OFFSET(PLE!$G$14,$M135,CC$13)="",10^12,OFFSET(PLE!$G$14,$M135,CC$13))))</f>
        <v>1000000000000</v>
      </c>
      <c r="CD135" s="216">
        <f ca="1">IF($D135&lt;&gt;"Serviço",0,IF(OR(AND(AUTOEVENTO="Manual",$M135=1),$M135&gt;(ROW(PLE.lastrow)-ROW(PLE.firstrow))),0,IF(OFFSET(PLE!$G$14,$M135,CD$13)="",10^12,OFFSET(PLE!$G$14,$M135,CD$13))))</f>
        <v>1000000000000</v>
      </c>
      <c r="CE135" s="216">
        <f ca="1">IF($D135&lt;&gt;"Serviço",0,IF(OR(AND(AUTOEVENTO="Manual",$M135=1),$M135&gt;(ROW(PLE.lastrow)-ROW(PLE.firstrow))),0,IF(OFFSET(PLE!$G$14,$M135,CE$13)="",10^12,OFFSET(PLE!$G$14,$M135,CE$13))))</f>
        <v>1000000000000</v>
      </c>
      <c r="CF135" s="216">
        <f ca="1">IF($D135&lt;&gt;"Serviço",0,IF(OR(AND(AUTOEVENTO="Manual",$M135=1),$M135&gt;(ROW(PLE.lastrow)-ROW(PLE.firstrow))),0,IF(OFFSET(PLE!$G$14,$M135,CF$13)="",10^12,OFFSET(PLE!$G$14,$M135,CF$13))))</f>
        <v>1000000000000</v>
      </c>
      <c r="CG135" s="216">
        <f ca="1">IF($D135&lt;&gt;"Serviço",0,IF(OR(AND(AUTOEVENTO="Manual",$M135=1),$M135&gt;(ROW(PLE.lastrow)-ROW(PLE.firstrow))),0,IF(OFFSET(PLE!$G$14,$M135,CG$13)="",10^12,OFFSET(PLE!$G$14,$M135,CG$13))))</f>
        <v>1000000000000</v>
      </c>
      <c r="CH135" s="216">
        <f ca="1">IF($D135&lt;&gt;"Serviço",0,IF(OR(AND(AUTOEVENTO="Manual",$M135=1),$M135&gt;(ROW(PLE.lastrow)-ROW(PLE.firstrow))),0,IF(OFFSET(PLE!$G$14,$M135,CH$13)="",10^12,OFFSET(PLE!$G$14,$M135,CH$13))))</f>
        <v>1000000000000</v>
      </c>
      <c r="CI135" s="216">
        <f ca="1">IF($D135&lt;&gt;"Serviço",0,IF(OR(AND(AUTOEVENTO="Manual",$M135=1),$M135&gt;(ROW(PLE.lastrow)-ROW(PLE.firstrow))),0,IF(OFFSET(PLE!$G$14,$M135,CI$13)="",10^12,OFFSET(PLE!$G$14,$M135,CI$13))))</f>
        <v>1000000000000</v>
      </c>
      <c r="CJ135" s="216">
        <f ca="1">IF($D135&lt;&gt;"Serviço",0,IF(OR(AND(AUTOEVENTO="Manual",$M135=1),$M135&gt;(ROW(PLE.lastrow)-ROW(PLE.firstrow))),0,IF(OFFSET(PLE!$G$14,$M135,CJ$13)="",10^12,OFFSET(PLE!$G$14,$M135,CJ$13))))</f>
        <v>1000000000000</v>
      </c>
      <c r="CK135" s="216">
        <f ca="1">IF($D135&lt;&gt;"Serviço",0,IF(OR(AND(AUTOEVENTO="Manual",$M135=1),$M135&gt;(ROW(PLE.lastrow)-ROW(PLE.firstrow))),0,IF(OFFSET(PLE!$G$14,$M135,CK$13)="",10^12,OFFSET(PLE!$G$14,$M135,CK$13))))</f>
        <v>1000000000000</v>
      </c>
      <c r="CL135" s="216">
        <f ca="1">IF($D135&lt;&gt;"Serviço",0,IF(OR(AND(AUTOEVENTO="Manual",$M135=1),$M135&gt;(ROW(PLE.lastrow)-ROW(PLE.firstrow))),0,IF(OFFSET(PLE!$G$14,$M135,CL$13)="",10^12,OFFSET(PLE!$G$14,$M135,CL$13))))</f>
        <v>1000000000000</v>
      </c>
      <c r="CM135" s="216">
        <f ca="1">IF($D135&lt;&gt;"Serviço",0,IF(OR(AND(AUTOEVENTO="Manual",$M135=1),$M135&gt;(ROW(PLE.lastrow)-ROW(PLE.firstrow))),0,IF(OFFSET(PLE!$G$14,$M135,CM$13)="",10^12,OFFSET(PLE!$G$14,$M135,CM$13))))</f>
        <v>1000000000000</v>
      </c>
    </row>
    <row r="136" spans="1:91" ht="13.2" x14ac:dyDescent="0.25">
      <c r="A136" s="9">
        <f t="shared" ca="1" si="10"/>
        <v>0</v>
      </c>
      <c r="B136" s="9" t="str">
        <f ca="1">OFFSET(ORÇAMENTO!C$15,ROW(B136)-ROW(B$15),0)</f>
        <v>S</v>
      </c>
      <c r="C136" s="9" t="str">
        <f ca="1">OFFSET(ORÇAMENTO!L$15,ROW(C136)-ROW(C$15),0)</f>
        <v/>
      </c>
      <c r="D136" s="145" t="str">
        <f ca="1">OFFSET(ORÇAMENTO!N$15,ROW(D136)-ROW(D$15),0)</f>
        <v>Serviço</v>
      </c>
      <c r="E136" s="205" t="str">
        <f ca="1">OFFSET(ORÇAMENTO!O$15,ROW(E136)-ROW(E$15),0)</f>
        <v>-</v>
      </c>
      <c r="F136" s="206" t="str">
        <f ca="1">OFFSET(ORÇAMENTO!R$15,ROW(F136)-ROW(F$15),0)</f>
        <v>(abra o arquivo 'Referência 05-2024.xls)</v>
      </c>
      <c r="G136" s="207" t="str">
        <f ca="1">IF($D136&lt;&gt;"Serviço","",OFFSET(ORÇAMENTO!S$15,ROW(G136)-ROW(G$15),0))</f>
        <v>-</v>
      </c>
      <c r="H136" s="151">
        <f ca="1">IF($D136&lt;&gt;"Serviço",0,IF(ACOMPANHAMENTO="BM",ROUND(OFFSET(ORÇAMENTO!AJ$15,ROW(H136)-ROW(H$15),0),15-13*ORÇAMENTO!$AF$7),SUMPRODUCT(($Q$12:$AI$12&lt;&gt;"")*ROUND($Q136:$AI136,15-13*ORÇAMENTO!$AF$7))))</f>
        <v>416</v>
      </c>
      <c r="I136" s="650"/>
      <c r="K136" s="208"/>
      <c r="L136" s="209" t="s">
        <v>257</v>
      </c>
      <c r="M136" s="210">
        <f ca="1">IF($D136&lt;&gt;"Serviço","",IF(AUTOEVENTO="manual",$A136,IF(ISERROR(MATCH($A136,$A$15:OFFSET($A136,-1,0),0)),MAX($M$15:OFFSET(M136,-1,0))+1,INDEX($M$15:OFFSET(M136,-1,0),MATCH($A136,$A$15:OFFSET($A136,-1,0),0)))))</f>
        <v>0</v>
      </c>
      <c r="N136" s="211" t="str">
        <f ca="1">IF($D136&lt;&gt;"Serviço","",IF(AUTOEVENTO="Manual",IF($A136=0,"&lt;-- defina o número do agrupador",OFFSET(EVENTOS!$D$14,$A136,0)),OFFSET($F$15,$A136,0)))</f>
        <v>&lt;-- defina o número do agrupador</v>
      </c>
      <c r="O136" s="212"/>
      <c r="Q136" s="212"/>
      <c r="R136" s="213"/>
      <c r="S136" s="213"/>
      <c r="T136" s="213"/>
      <c r="U136" s="213"/>
      <c r="V136" s="213"/>
      <c r="W136" s="213"/>
      <c r="X136" s="213"/>
      <c r="Y136" s="213"/>
      <c r="Z136" s="214"/>
      <c r="AA136" s="213"/>
      <c r="AB136" s="213"/>
      <c r="AC136" s="213"/>
      <c r="AD136" s="213"/>
      <c r="AE136" s="213"/>
      <c r="AF136" s="213"/>
      <c r="AG136" s="213"/>
      <c r="AH136" s="214"/>
      <c r="AJ136" s="631">
        <f ca="1">IF(AND($D136="Serviço",AJ$12&lt;&gt;0,$H136&gt;0,OR(AUTOEVENTO&lt;&gt;"manual",$M136&lt;&gt;1)),ROUND(OFFSET($P136,0,AJ$13),15-13*ORÇAMENTO!$AF$7)/$H136*OFFSET(ORÇAMENTO!$X$15,ROW(AJ136)-ROW(AJ$15),0),0)</f>
        <v>0</v>
      </c>
      <c r="AK136" s="632">
        <f ca="1">IF(AND($D136="Serviço",AK$12&lt;&gt;0,$H136&gt;0,OR(AUTOEVENTO&lt;&gt;"manual",$M136&lt;&gt;1)),ROUND(OFFSET($P136,0,AK$13),15-13*ORÇAMENTO!$AF$7)/$H136*OFFSET(ORÇAMENTO!$X$15,ROW(AK136)-ROW(AK$15),0),0)</f>
        <v>0</v>
      </c>
      <c r="AL136" s="632">
        <f ca="1">IF(AND($D136="Serviço",AL$12&lt;&gt;0,$H136&gt;0,OR(AUTOEVENTO&lt;&gt;"manual",$M136&lt;&gt;1)),ROUND(OFFSET($P136,0,AL$13),15-13*ORÇAMENTO!$AF$7)/$H136*OFFSET(ORÇAMENTO!$X$15,ROW(AL136)-ROW(AL$15),0),0)</f>
        <v>0</v>
      </c>
      <c r="AM136" s="632">
        <f ca="1">IF(AND($D136="Serviço",AM$12&lt;&gt;0,$H136&gt;0,OR(AUTOEVENTO&lt;&gt;"manual",$M136&lt;&gt;1)),ROUND(OFFSET($P136,0,AM$13),15-13*ORÇAMENTO!$AF$7)/$H136*OFFSET(ORÇAMENTO!$X$15,ROW(AM136)-ROW(AM$15),0),0)</f>
        <v>0</v>
      </c>
      <c r="AN136" s="632">
        <f ca="1">IF(AND($D136="Serviço",AN$12&lt;&gt;0,$H136&gt;0,OR(AUTOEVENTO&lt;&gt;"manual",$M136&lt;&gt;1)),ROUND(OFFSET($P136,0,AN$13),15-13*ORÇAMENTO!$AF$7)/$H136*OFFSET(ORÇAMENTO!$X$15,ROW(AN136)-ROW(AN$15),0),0)</f>
        <v>0</v>
      </c>
      <c r="AO136" s="632">
        <f ca="1">IF(AND($D136="Serviço",AO$12&lt;&gt;0,$H136&gt;0,OR(AUTOEVENTO&lt;&gt;"manual",$M136&lt;&gt;1)),ROUND(OFFSET($P136,0,AO$13),15-13*ORÇAMENTO!$AF$7)/$H136*OFFSET(ORÇAMENTO!$X$15,ROW(AO136)-ROW(AO$15),0),0)</f>
        <v>0</v>
      </c>
      <c r="AP136" s="632">
        <f ca="1">IF(AND($D136="Serviço",AP$12&lt;&gt;0,$H136&gt;0,OR(AUTOEVENTO&lt;&gt;"manual",$M136&lt;&gt;1)),ROUND(OFFSET($P136,0,AP$13),15-13*ORÇAMENTO!$AF$7)/$H136*OFFSET(ORÇAMENTO!$X$15,ROW(AP136)-ROW(AP$15),0),0)</f>
        <v>0</v>
      </c>
      <c r="AQ136" s="632">
        <f ca="1">IF(AND($D136="Serviço",AQ$12&lt;&gt;0,$H136&gt;0,OR(AUTOEVENTO&lt;&gt;"manual",$M136&lt;&gt;1)),ROUND(OFFSET($P136,0,AQ$13),15-13*ORÇAMENTO!$AF$7)/$H136*OFFSET(ORÇAMENTO!$X$15,ROW(AQ136)-ROW(AQ$15),0),0)</f>
        <v>0</v>
      </c>
      <c r="AR136" s="632">
        <f ca="1">IF(AND($D136="Serviço",AR$12&lt;&gt;0,$H136&gt;0,OR(AUTOEVENTO&lt;&gt;"manual",$M136&lt;&gt;1)),ROUND(OFFSET($P136,0,AR$13),15-13*ORÇAMENTO!$AF$7)/$H136*OFFSET(ORÇAMENTO!$X$15,ROW(AR136)-ROW(AR$15),0),0)</f>
        <v>0</v>
      </c>
      <c r="AS136" s="633">
        <f ca="1">IF(AND($D136="Serviço",AS$12&lt;&gt;0,$H136&gt;0,OR(AUTOEVENTO&lt;&gt;"manual",$M136&lt;&gt;1)),ROUND(OFFSET($P136,0,AS$13),15-13*ORÇAMENTO!$AF$7)/$H136*OFFSET(ORÇAMENTO!$X$15,ROW(AS136)-ROW(AS$15),0),0)</f>
        <v>0</v>
      </c>
      <c r="AT136" s="632">
        <f ca="1">IF(AND($D136="Serviço",AT$12&lt;&gt;0,$H136&gt;0,OR(AUTOEVENTO&lt;&gt;"manual",$M136&lt;&gt;1)),ROUND(OFFSET($P136,0,AT$13),15-13*ORÇAMENTO!$AF$7)/$H136*OFFSET(ORÇAMENTO!$X$15,ROW(AT136)-ROW(AT$15),0),0)</f>
        <v>0</v>
      </c>
      <c r="AU136" s="632">
        <f ca="1">IF(AND($D136="Serviço",AU$12&lt;&gt;0,$H136&gt;0,OR(AUTOEVENTO&lt;&gt;"manual",$M136&lt;&gt;1)),ROUND(OFFSET($P136,0,AU$13),15-13*ORÇAMENTO!$AF$7)/$H136*OFFSET(ORÇAMENTO!$X$15,ROW(AU136)-ROW(AU$15),0),0)</f>
        <v>0</v>
      </c>
      <c r="AV136" s="632">
        <f ca="1">IF(AND($D136="Serviço",AV$12&lt;&gt;0,$H136&gt;0,OR(AUTOEVENTO&lt;&gt;"manual",$M136&lt;&gt;1)),ROUND(OFFSET($P136,0,AV$13),15-13*ORÇAMENTO!$AF$7)/$H136*OFFSET(ORÇAMENTO!$X$15,ROW(AV136)-ROW(AV$15),0),0)</f>
        <v>0</v>
      </c>
      <c r="AW136" s="632">
        <f ca="1">IF(AND($D136="Serviço",AW$12&lt;&gt;0,$H136&gt;0,OR(AUTOEVENTO&lt;&gt;"manual",$M136&lt;&gt;1)),ROUND(OFFSET($P136,0,AW$13),15-13*ORÇAMENTO!$AF$7)/$H136*OFFSET(ORÇAMENTO!$X$15,ROW(AW136)-ROW(AW$15),0),0)</f>
        <v>0</v>
      </c>
      <c r="AX136" s="632">
        <f ca="1">IF(AND($D136="Serviço",AX$12&lt;&gt;0,$H136&gt;0,OR(AUTOEVENTO&lt;&gt;"manual",$M136&lt;&gt;1)),ROUND(OFFSET($P136,0,AX$13),15-13*ORÇAMENTO!$AF$7)/$H136*OFFSET(ORÇAMENTO!$X$15,ROW(AX136)-ROW(AX$15),0),0)</f>
        <v>0</v>
      </c>
      <c r="AY136" s="632">
        <f ca="1">IF(AND($D136="Serviço",AY$12&lt;&gt;0,$H136&gt;0,OR(AUTOEVENTO&lt;&gt;"manual",$M136&lt;&gt;1)),ROUND(OFFSET($P136,0,AY$13),15-13*ORÇAMENTO!$AF$7)/$H136*OFFSET(ORÇAMENTO!$X$15,ROW(AY136)-ROW(AY$15),0),0)</f>
        <v>0</v>
      </c>
      <c r="AZ136" s="632">
        <f ca="1">IF(AND($D136="Serviço",AZ$12&lt;&gt;0,$H136&gt;0,OR(AUTOEVENTO&lt;&gt;"manual",$M136&lt;&gt;1)),ROUND(OFFSET($P136,0,AZ$13),15-13*ORÇAMENTO!$AF$7)/$H136*OFFSET(ORÇAMENTO!$X$15,ROW(AZ136)-ROW(AZ$15),0),0)</f>
        <v>0</v>
      </c>
      <c r="BA136" s="633">
        <f ca="1">IF(AND($D136="Serviço",BA$12&lt;&gt;0,$H136&gt;0,OR(AUTOEVENTO&lt;&gt;"manual",$M136&lt;&gt;1)),ROUND(OFFSET($P136,0,BA$13),15-13*ORÇAMENTO!$AF$7)/$H136*OFFSET(ORÇAMENTO!$X$15,ROW(BA136)-ROW(BA$15),0),0)</f>
        <v>0</v>
      </c>
      <c r="BC136" s="215">
        <f ca="1">IF($D136&lt;&gt;"Serviço",0,IF(AND(AUTOEVENTO="Manual",$M136=1),0,IF(OFFSET(CRONOPLE!$F$14,$M136,BC$13)="",10^12,OFFSET(CRONOPLE!$F$14,$M136,BC$13))))</f>
        <v>1000000000000</v>
      </c>
      <c r="BD136" s="215">
        <f ca="1">IF($D136&lt;&gt;"Serviço",0,IF(AND(AUTOEVENTO="Manual",$M136=1),0,IF(OFFSET(CRONOPLE!$F$14,$M136,BD$13)="",10^12,OFFSET(CRONOPLE!$F$14,$M136,BD$13))))</f>
        <v>1000000000000</v>
      </c>
      <c r="BE136" s="215">
        <f ca="1">IF($D136&lt;&gt;"Serviço",0,IF(AND(AUTOEVENTO="Manual",$M136=1),0,IF(OFFSET(CRONOPLE!$F$14,$M136,BE$13)="",10^12,OFFSET(CRONOPLE!$F$14,$M136,BE$13))))</f>
        <v>1000000000000</v>
      </c>
      <c r="BF136" s="215">
        <f ca="1">IF($D136&lt;&gt;"Serviço",0,IF(AND(AUTOEVENTO="Manual",$M136=1),0,IF(OFFSET(CRONOPLE!$F$14,$M136,BF$13)="",10^12,OFFSET(CRONOPLE!$F$14,$M136,BF$13))))</f>
        <v>1000000000000</v>
      </c>
      <c r="BG136" s="215">
        <f ca="1">IF($D136&lt;&gt;"Serviço",0,IF(AND(AUTOEVENTO="Manual",$M136=1),0,IF(OFFSET(CRONOPLE!$F$14,$M136,BG$13)="",10^12,OFFSET(CRONOPLE!$F$14,$M136,BG$13))))</f>
        <v>1000000000000</v>
      </c>
      <c r="BH136" s="215">
        <f ca="1">IF($D136&lt;&gt;"Serviço",0,IF(AND(AUTOEVENTO="Manual",$M136=1),0,IF(OFFSET(CRONOPLE!$F$14,$M136,BH$13)="",10^12,OFFSET(CRONOPLE!$F$14,$M136,BH$13))))</f>
        <v>1000000000000</v>
      </c>
      <c r="BI136" s="215">
        <f ca="1">IF($D136&lt;&gt;"Serviço",0,IF(AND(AUTOEVENTO="Manual",$M136=1),0,IF(OFFSET(CRONOPLE!$F$14,$M136,BI$13)="",10^12,OFFSET(CRONOPLE!$F$14,$M136,BI$13))))</f>
        <v>1000000000000</v>
      </c>
      <c r="BJ136" s="215">
        <f ca="1">IF($D136&lt;&gt;"Serviço",0,IF(AND(AUTOEVENTO="Manual",$M136=1),0,IF(OFFSET(CRONOPLE!$F$14,$M136,BJ$13)="",10^12,OFFSET(CRONOPLE!$F$14,$M136,BJ$13))))</f>
        <v>1000000000000</v>
      </c>
      <c r="BK136" s="215">
        <f ca="1">IF($D136&lt;&gt;"Serviço",0,IF(AND(AUTOEVENTO="Manual",$M136=1),0,IF(OFFSET(CRONOPLE!$F$14,$M136,BK$13)="",10^12,OFFSET(CRONOPLE!$F$14,$M136,BK$13))))</f>
        <v>1000000000000</v>
      </c>
      <c r="BL136" s="215">
        <f ca="1">IF($D136&lt;&gt;"Serviço",0,IF(AND(AUTOEVENTO="Manual",$M136=1),0,IF(OFFSET(CRONOPLE!$F$14,$M136,BL$13)="",10^12,OFFSET(CRONOPLE!$F$14,$M136,BL$13))))</f>
        <v>1000000000000</v>
      </c>
      <c r="BM136" s="215">
        <f ca="1">IF($D136&lt;&gt;"Serviço",0,IF(AND(AUTOEVENTO="Manual",$M136=1),0,IF(OFFSET(CRONOPLE!$F$14,$M136,BM$13)="",10^12,OFFSET(CRONOPLE!$F$14,$M136,BM$13))))</f>
        <v>1000000000000</v>
      </c>
      <c r="BN136" s="215">
        <f ca="1">IF($D136&lt;&gt;"Serviço",0,IF(AND(AUTOEVENTO="Manual",$M136=1),0,IF(OFFSET(CRONOPLE!$F$14,$M136,BN$13)="",10^12,OFFSET(CRONOPLE!$F$14,$M136,BN$13))))</f>
        <v>1000000000000</v>
      </c>
      <c r="BO136" s="215">
        <f ca="1">IF($D136&lt;&gt;"Serviço",0,IF(AND(AUTOEVENTO="Manual",$M136=1),0,IF(OFFSET(CRONOPLE!$F$14,$M136,BO$13)="",10^12,OFFSET(CRONOPLE!$F$14,$M136,BO$13))))</f>
        <v>1000000000000</v>
      </c>
      <c r="BP136" s="215">
        <f ca="1">IF($D136&lt;&gt;"Serviço",0,IF(AND(AUTOEVENTO="Manual",$M136=1),0,IF(OFFSET(CRONOPLE!$F$14,$M136,BP$13)="",10^12,OFFSET(CRONOPLE!$F$14,$M136,BP$13))))</f>
        <v>1000000000000</v>
      </c>
      <c r="BQ136" s="215">
        <f ca="1">IF($D136&lt;&gt;"Serviço",0,IF(AND(AUTOEVENTO="Manual",$M136=1),0,IF(OFFSET(CRONOPLE!$F$14,$M136,BQ$13)="",10^12,OFFSET(CRONOPLE!$F$14,$M136,BQ$13))))</f>
        <v>1000000000000</v>
      </c>
      <c r="BR136" s="215">
        <f ca="1">IF($D136&lt;&gt;"Serviço",0,IF(AND(AUTOEVENTO="Manual",$M136=1),0,IF(OFFSET(CRONOPLE!$F$14,$M136,BR$13)="",10^12,OFFSET(CRONOPLE!$F$14,$M136,BR$13))))</f>
        <v>1000000000000</v>
      </c>
      <c r="BS136" s="215">
        <f ca="1">IF($D136&lt;&gt;"Serviço",0,IF(AND(AUTOEVENTO="Manual",$M136=1),0,IF(OFFSET(CRONOPLE!$F$14,$M136,BS$13)="",10^12,OFFSET(CRONOPLE!$F$14,$M136,BS$13))))</f>
        <v>1000000000000</v>
      </c>
      <c r="BT136" s="215">
        <f ca="1">IF($D136&lt;&gt;"Serviço",0,IF(AND(AUTOEVENTO="Manual",$M136=1),0,IF(OFFSET(CRONOPLE!$F$14,$M136,BT$13)="",10^12,OFFSET(CRONOPLE!$F$14,$M136,BT$13))))</f>
        <v>1000000000000</v>
      </c>
      <c r="BV136" s="216">
        <f ca="1">IF($D136&lt;&gt;"Serviço",0,IF(OR(AND(AUTOEVENTO="Manual",$M136=1),$M136&gt;(ROW(PLE.lastrow)-ROW(PLE.firstrow))),0,IF(OFFSET(PLE!$G$14,$M136,BV$13)="",10^12,OFFSET(PLE!$G$14,$M136,BV$13))))</f>
        <v>1000000000000</v>
      </c>
      <c r="BW136" s="216">
        <f ca="1">IF($D136&lt;&gt;"Serviço",0,IF(OR(AND(AUTOEVENTO="Manual",$M136=1),$M136&gt;(ROW(PLE.lastrow)-ROW(PLE.firstrow))),0,IF(OFFSET(PLE!$G$14,$M136,BW$13)="",10^12,OFFSET(PLE!$G$14,$M136,BW$13))))</f>
        <v>1000000000000</v>
      </c>
      <c r="BX136" s="216">
        <f ca="1">IF($D136&lt;&gt;"Serviço",0,IF(OR(AND(AUTOEVENTO="Manual",$M136=1),$M136&gt;(ROW(PLE.lastrow)-ROW(PLE.firstrow))),0,IF(OFFSET(PLE!$G$14,$M136,BX$13)="",10^12,OFFSET(PLE!$G$14,$M136,BX$13))))</f>
        <v>1000000000000</v>
      </c>
      <c r="BY136" s="216">
        <f ca="1">IF($D136&lt;&gt;"Serviço",0,IF(OR(AND(AUTOEVENTO="Manual",$M136=1),$M136&gt;(ROW(PLE.lastrow)-ROW(PLE.firstrow))),0,IF(OFFSET(PLE!$G$14,$M136,BY$13)="",10^12,OFFSET(PLE!$G$14,$M136,BY$13))))</f>
        <v>1000000000000</v>
      </c>
      <c r="BZ136" s="216">
        <f ca="1">IF($D136&lt;&gt;"Serviço",0,IF(OR(AND(AUTOEVENTO="Manual",$M136=1),$M136&gt;(ROW(PLE.lastrow)-ROW(PLE.firstrow))),0,IF(OFFSET(PLE!$G$14,$M136,BZ$13)="",10^12,OFFSET(PLE!$G$14,$M136,BZ$13))))</f>
        <v>1000000000000</v>
      </c>
      <c r="CA136" s="216">
        <f ca="1">IF($D136&lt;&gt;"Serviço",0,IF(OR(AND(AUTOEVENTO="Manual",$M136=1),$M136&gt;(ROW(PLE.lastrow)-ROW(PLE.firstrow))),0,IF(OFFSET(PLE!$G$14,$M136,CA$13)="",10^12,OFFSET(PLE!$G$14,$M136,CA$13))))</f>
        <v>1000000000000</v>
      </c>
      <c r="CB136" s="216">
        <f ca="1">IF($D136&lt;&gt;"Serviço",0,IF(OR(AND(AUTOEVENTO="Manual",$M136=1),$M136&gt;(ROW(PLE.lastrow)-ROW(PLE.firstrow))),0,IF(OFFSET(PLE!$G$14,$M136,CB$13)="",10^12,OFFSET(PLE!$G$14,$M136,CB$13))))</f>
        <v>1000000000000</v>
      </c>
      <c r="CC136" s="216">
        <f ca="1">IF($D136&lt;&gt;"Serviço",0,IF(OR(AND(AUTOEVENTO="Manual",$M136=1),$M136&gt;(ROW(PLE.lastrow)-ROW(PLE.firstrow))),0,IF(OFFSET(PLE!$G$14,$M136,CC$13)="",10^12,OFFSET(PLE!$G$14,$M136,CC$13))))</f>
        <v>1000000000000</v>
      </c>
      <c r="CD136" s="216">
        <f ca="1">IF($D136&lt;&gt;"Serviço",0,IF(OR(AND(AUTOEVENTO="Manual",$M136=1),$M136&gt;(ROW(PLE.lastrow)-ROW(PLE.firstrow))),0,IF(OFFSET(PLE!$G$14,$M136,CD$13)="",10^12,OFFSET(PLE!$G$14,$M136,CD$13))))</f>
        <v>1000000000000</v>
      </c>
      <c r="CE136" s="216">
        <f ca="1">IF($D136&lt;&gt;"Serviço",0,IF(OR(AND(AUTOEVENTO="Manual",$M136=1),$M136&gt;(ROW(PLE.lastrow)-ROW(PLE.firstrow))),0,IF(OFFSET(PLE!$G$14,$M136,CE$13)="",10^12,OFFSET(PLE!$G$14,$M136,CE$13))))</f>
        <v>1000000000000</v>
      </c>
      <c r="CF136" s="216">
        <f ca="1">IF($D136&lt;&gt;"Serviço",0,IF(OR(AND(AUTOEVENTO="Manual",$M136=1),$M136&gt;(ROW(PLE.lastrow)-ROW(PLE.firstrow))),0,IF(OFFSET(PLE!$G$14,$M136,CF$13)="",10^12,OFFSET(PLE!$G$14,$M136,CF$13))))</f>
        <v>1000000000000</v>
      </c>
      <c r="CG136" s="216">
        <f ca="1">IF($D136&lt;&gt;"Serviço",0,IF(OR(AND(AUTOEVENTO="Manual",$M136=1),$M136&gt;(ROW(PLE.lastrow)-ROW(PLE.firstrow))),0,IF(OFFSET(PLE!$G$14,$M136,CG$13)="",10^12,OFFSET(PLE!$G$14,$M136,CG$13))))</f>
        <v>1000000000000</v>
      </c>
      <c r="CH136" s="216">
        <f ca="1">IF($D136&lt;&gt;"Serviço",0,IF(OR(AND(AUTOEVENTO="Manual",$M136=1),$M136&gt;(ROW(PLE.lastrow)-ROW(PLE.firstrow))),0,IF(OFFSET(PLE!$G$14,$M136,CH$13)="",10^12,OFFSET(PLE!$G$14,$M136,CH$13))))</f>
        <v>1000000000000</v>
      </c>
      <c r="CI136" s="216">
        <f ca="1">IF($D136&lt;&gt;"Serviço",0,IF(OR(AND(AUTOEVENTO="Manual",$M136=1),$M136&gt;(ROW(PLE.lastrow)-ROW(PLE.firstrow))),0,IF(OFFSET(PLE!$G$14,$M136,CI$13)="",10^12,OFFSET(PLE!$G$14,$M136,CI$13))))</f>
        <v>1000000000000</v>
      </c>
      <c r="CJ136" s="216">
        <f ca="1">IF($D136&lt;&gt;"Serviço",0,IF(OR(AND(AUTOEVENTO="Manual",$M136=1),$M136&gt;(ROW(PLE.lastrow)-ROW(PLE.firstrow))),0,IF(OFFSET(PLE!$G$14,$M136,CJ$13)="",10^12,OFFSET(PLE!$G$14,$M136,CJ$13))))</f>
        <v>1000000000000</v>
      </c>
      <c r="CK136" s="216">
        <f ca="1">IF($D136&lt;&gt;"Serviço",0,IF(OR(AND(AUTOEVENTO="Manual",$M136=1),$M136&gt;(ROW(PLE.lastrow)-ROW(PLE.firstrow))),0,IF(OFFSET(PLE!$G$14,$M136,CK$13)="",10^12,OFFSET(PLE!$G$14,$M136,CK$13))))</f>
        <v>1000000000000</v>
      </c>
      <c r="CL136" s="216">
        <f ca="1">IF($D136&lt;&gt;"Serviço",0,IF(OR(AND(AUTOEVENTO="Manual",$M136=1),$M136&gt;(ROW(PLE.lastrow)-ROW(PLE.firstrow))),0,IF(OFFSET(PLE!$G$14,$M136,CL$13)="",10^12,OFFSET(PLE!$G$14,$M136,CL$13))))</f>
        <v>1000000000000</v>
      </c>
      <c r="CM136" s="216">
        <f ca="1">IF($D136&lt;&gt;"Serviço",0,IF(OR(AND(AUTOEVENTO="Manual",$M136=1),$M136&gt;(ROW(PLE.lastrow)-ROW(PLE.firstrow))),0,IF(OFFSET(PLE!$G$14,$M136,CM$13)="",10^12,OFFSET(PLE!$G$14,$M136,CM$13))))</f>
        <v>1000000000000</v>
      </c>
    </row>
    <row r="137" spans="1:91" ht="13.2" x14ac:dyDescent="0.25">
      <c r="A137" s="9">
        <f t="shared" ca="1" si="10"/>
        <v>0</v>
      </c>
      <c r="B137" s="9">
        <f ca="1">OFFSET(ORÇAMENTO!C$15,ROW(B137)-ROW(B$15),0)</f>
        <v>3</v>
      </c>
      <c r="C137" s="9" t="str">
        <f ca="1">OFFSET(ORÇAMENTO!L$15,ROW(C137)-ROW(C$15),0)</f>
        <v>F</v>
      </c>
      <c r="D137" s="145" t="str">
        <f ca="1">OFFSET(ORÇAMENTO!N$15,ROW(D137)-ROW(D$15),0)</f>
        <v>Nível 3</v>
      </c>
      <c r="E137" s="205" t="str">
        <f ca="1">OFFSET(ORÇAMENTO!O$15,ROW(E137)-ROW(E$15),0)</f>
        <v>1.4.8.</v>
      </c>
      <c r="F137" s="206" t="str">
        <f ca="1">OFFSET(ORÇAMENTO!R$15,ROW(F137)-ROW(F$15),0)</f>
        <v>CONCRETO ARMADO - LAJE</v>
      </c>
      <c r="G137" s="207" t="str">
        <f ca="1">IF($D137&lt;&gt;"Serviço","",OFFSET(ORÇAMENTO!S$15,ROW(G137)-ROW(G$15),0))</f>
        <v/>
      </c>
      <c r="H137" s="151">
        <f ca="1">IF($D137&lt;&gt;"Serviço",0,IF(ACOMPANHAMENTO="BM",ROUND(OFFSET(ORÇAMENTO!AJ$15,ROW(H137)-ROW(H$15),0),15-13*ORÇAMENTO!$AF$7),SUMPRODUCT(($Q$12:$AI$12&lt;&gt;"")*ROUND($Q137:$AI137,15-13*ORÇAMENTO!$AF$7))))</f>
        <v>0</v>
      </c>
      <c r="I137" s="650"/>
      <c r="K137" s="208"/>
      <c r="L137" s="209" t="s">
        <v>257</v>
      </c>
      <c r="M137" s="210" t="str">
        <f ca="1">IF($D137&lt;&gt;"Serviço","",IF(AUTOEVENTO="manual",$A137,IF(ISERROR(MATCH($A137,$A$15:OFFSET($A137,-1,0),0)),MAX($M$15:OFFSET(M137,-1,0))+1,INDEX($M$15:OFFSET(M137,-1,0),MATCH($A137,$A$15:OFFSET($A137,-1,0),0)))))</f>
        <v/>
      </c>
      <c r="N137" s="211" t="str">
        <f ca="1">IF($D137&lt;&gt;"Serviço","",IF(AUTOEVENTO="Manual",IF($A137=0,"&lt;-- defina o número do agrupador",OFFSET(EVENTOS!$D$14,$A137,0)),OFFSET($F$15,$A137,0)))</f>
        <v/>
      </c>
      <c r="O137" s="212"/>
      <c r="Q137" s="212"/>
      <c r="R137" s="213"/>
      <c r="S137" s="213"/>
      <c r="T137" s="213"/>
      <c r="U137" s="213"/>
      <c r="V137" s="213"/>
      <c r="W137" s="213"/>
      <c r="X137" s="213"/>
      <c r="Y137" s="213"/>
      <c r="Z137" s="214"/>
      <c r="AA137" s="213"/>
      <c r="AB137" s="213"/>
      <c r="AC137" s="213"/>
      <c r="AD137" s="213"/>
      <c r="AE137" s="213"/>
      <c r="AF137" s="213"/>
      <c r="AG137" s="213"/>
      <c r="AH137" s="214"/>
      <c r="AJ137" s="631">
        <f ca="1">IF(AND($D137="Serviço",AJ$12&lt;&gt;0,$H137&gt;0,OR(AUTOEVENTO&lt;&gt;"manual",$M137&lt;&gt;1)),ROUND(OFFSET($P137,0,AJ$13),15-13*ORÇAMENTO!$AF$7)/$H137*OFFSET(ORÇAMENTO!$X$15,ROW(AJ137)-ROW(AJ$15),0),0)</f>
        <v>0</v>
      </c>
      <c r="AK137" s="632">
        <f ca="1">IF(AND($D137="Serviço",AK$12&lt;&gt;0,$H137&gt;0,OR(AUTOEVENTO&lt;&gt;"manual",$M137&lt;&gt;1)),ROUND(OFFSET($P137,0,AK$13),15-13*ORÇAMENTO!$AF$7)/$H137*OFFSET(ORÇAMENTO!$X$15,ROW(AK137)-ROW(AK$15),0),0)</f>
        <v>0</v>
      </c>
      <c r="AL137" s="632">
        <f ca="1">IF(AND($D137="Serviço",AL$12&lt;&gt;0,$H137&gt;0,OR(AUTOEVENTO&lt;&gt;"manual",$M137&lt;&gt;1)),ROUND(OFFSET($P137,0,AL$13),15-13*ORÇAMENTO!$AF$7)/$H137*OFFSET(ORÇAMENTO!$X$15,ROW(AL137)-ROW(AL$15),0),0)</f>
        <v>0</v>
      </c>
      <c r="AM137" s="632">
        <f ca="1">IF(AND($D137="Serviço",AM$12&lt;&gt;0,$H137&gt;0,OR(AUTOEVENTO&lt;&gt;"manual",$M137&lt;&gt;1)),ROUND(OFFSET($P137,0,AM$13),15-13*ORÇAMENTO!$AF$7)/$H137*OFFSET(ORÇAMENTO!$X$15,ROW(AM137)-ROW(AM$15),0),0)</f>
        <v>0</v>
      </c>
      <c r="AN137" s="632">
        <f ca="1">IF(AND($D137="Serviço",AN$12&lt;&gt;0,$H137&gt;0,OR(AUTOEVENTO&lt;&gt;"manual",$M137&lt;&gt;1)),ROUND(OFFSET($P137,0,AN$13),15-13*ORÇAMENTO!$AF$7)/$H137*OFFSET(ORÇAMENTO!$X$15,ROW(AN137)-ROW(AN$15),0),0)</f>
        <v>0</v>
      </c>
      <c r="AO137" s="632">
        <f ca="1">IF(AND($D137="Serviço",AO$12&lt;&gt;0,$H137&gt;0,OR(AUTOEVENTO&lt;&gt;"manual",$M137&lt;&gt;1)),ROUND(OFFSET($P137,0,AO$13),15-13*ORÇAMENTO!$AF$7)/$H137*OFFSET(ORÇAMENTO!$X$15,ROW(AO137)-ROW(AO$15),0),0)</f>
        <v>0</v>
      </c>
      <c r="AP137" s="632">
        <f ca="1">IF(AND($D137="Serviço",AP$12&lt;&gt;0,$H137&gt;0,OR(AUTOEVENTO&lt;&gt;"manual",$M137&lt;&gt;1)),ROUND(OFFSET($P137,0,AP$13),15-13*ORÇAMENTO!$AF$7)/$H137*OFFSET(ORÇAMENTO!$X$15,ROW(AP137)-ROW(AP$15),0),0)</f>
        <v>0</v>
      </c>
      <c r="AQ137" s="632">
        <f ca="1">IF(AND($D137="Serviço",AQ$12&lt;&gt;0,$H137&gt;0,OR(AUTOEVENTO&lt;&gt;"manual",$M137&lt;&gt;1)),ROUND(OFFSET($P137,0,AQ$13),15-13*ORÇAMENTO!$AF$7)/$H137*OFFSET(ORÇAMENTO!$X$15,ROW(AQ137)-ROW(AQ$15),0),0)</f>
        <v>0</v>
      </c>
      <c r="AR137" s="632">
        <f ca="1">IF(AND($D137="Serviço",AR$12&lt;&gt;0,$H137&gt;0,OR(AUTOEVENTO&lt;&gt;"manual",$M137&lt;&gt;1)),ROUND(OFFSET($P137,0,AR$13),15-13*ORÇAMENTO!$AF$7)/$H137*OFFSET(ORÇAMENTO!$X$15,ROW(AR137)-ROW(AR$15),0),0)</f>
        <v>0</v>
      </c>
      <c r="AS137" s="633">
        <f ca="1">IF(AND($D137="Serviço",AS$12&lt;&gt;0,$H137&gt;0,OR(AUTOEVENTO&lt;&gt;"manual",$M137&lt;&gt;1)),ROUND(OFFSET($P137,0,AS$13),15-13*ORÇAMENTO!$AF$7)/$H137*OFFSET(ORÇAMENTO!$X$15,ROW(AS137)-ROW(AS$15),0),0)</f>
        <v>0</v>
      </c>
      <c r="AT137" s="632">
        <f ca="1">IF(AND($D137="Serviço",AT$12&lt;&gt;0,$H137&gt;0,OR(AUTOEVENTO&lt;&gt;"manual",$M137&lt;&gt;1)),ROUND(OFFSET($P137,0,AT$13),15-13*ORÇAMENTO!$AF$7)/$H137*OFFSET(ORÇAMENTO!$X$15,ROW(AT137)-ROW(AT$15),0),0)</f>
        <v>0</v>
      </c>
      <c r="AU137" s="632">
        <f ca="1">IF(AND($D137="Serviço",AU$12&lt;&gt;0,$H137&gt;0,OR(AUTOEVENTO&lt;&gt;"manual",$M137&lt;&gt;1)),ROUND(OFFSET($P137,0,AU$13),15-13*ORÇAMENTO!$AF$7)/$H137*OFFSET(ORÇAMENTO!$X$15,ROW(AU137)-ROW(AU$15),0),0)</f>
        <v>0</v>
      </c>
      <c r="AV137" s="632">
        <f ca="1">IF(AND($D137="Serviço",AV$12&lt;&gt;0,$H137&gt;0,OR(AUTOEVENTO&lt;&gt;"manual",$M137&lt;&gt;1)),ROUND(OFFSET($P137,0,AV$13),15-13*ORÇAMENTO!$AF$7)/$H137*OFFSET(ORÇAMENTO!$X$15,ROW(AV137)-ROW(AV$15),0),0)</f>
        <v>0</v>
      </c>
      <c r="AW137" s="632">
        <f ca="1">IF(AND($D137="Serviço",AW$12&lt;&gt;0,$H137&gt;0,OR(AUTOEVENTO&lt;&gt;"manual",$M137&lt;&gt;1)),ROUND(OFFSET($P137,0,AW$13),15-13*ORÇAMENTO!$AF$7)/$H137*OFFSET(ORÇAMENTO!$X$15,ROW(AW137)-ROW(AW$15),0),0)</f>
        <v>0</v>
      </c>
      <c r="AX137" s="632">
        <f ca="1">IF(AND($D137="Serviço",AX$12&lt;&gt;0,$H137&gt;0,OR(AUTOEVENTO&lt;&gt;"manual",$M137&lt;&gt;1)),ROUND(OFFSET($P137,0,AX$13),15-13*ORÇAMENTO!$AF$7)/$H137*OFFSET(ORÇAMENTO!$X$15,ROW(AX137)-ROW(AX$15),0),0)</f>
        <v>0</v>
      </c>
      <c r="AY137" s="632">
        <f ca="1">IF(AND($D137="Serviço",AY$12&lt;&gt;0,$H137&gt;0,OR(AUTOEVENTO&lt;&gt;"manual",$M137&lt;&gt;1)),ROUND(OFFSET($P137,0,AY$13),15-13*ORÇAMENTO!$AF$7)/$H137*OFFSET(ORÇAMENTO!$X$15,ROW(AY137)-ROW(AY$15),0),0)</f>
        <v>0</v>
      </c>
      <c r="AZ137" s="632">
        <f ca="1">IF(AND($D137="Serviço",AZ$12&lt;&gt;0,$H137&gt;0,OR(AUTOEVENTO&lt;&gt;"manual",$M137&lt;&gt;1)),ROUND(OFFSET($P137,0,AZ$13),15-13*ORÇAMENTO!$AF$7)/$H137*OFFSET(ORÇAMENTO!$X$15,ROW(AZ137)-ROW(AZ$15),0),0)</f>
        <v>0</v>
      </c>
      <c r="BA137" s="633">
        <f ca="1">IF(AND($D137="Serviço",BA$12&lt;&gt;0,$H137&gt;0,OR(AUTOEVENTO&lt;&gt;"manual",$M137&lt;&gt;1)),ROUND(OFFSET($P137,0,BA$13),15-13*ORÇAMENTO!$AF$7)/$H137*OFFSET(ORÇAMENTO!$X$15,ROW(BA137)-ROW(BA$15),0),0)</f>
        <v>0</v>
      </c>
      <c r="BC137" s="215">
        <f ca="1">IF($D137&lt;&gt;"Serviço",0,IF(AND(AUTOEVENTO="Manual",$M137=1),0,IF(OFFSET(CRONOPLE!$F$14,$M137,BC$13)="",10^12,OFFSET(CRONOPLE!$F$14,$M137,BC$13))))</f>
        <v>0</v>
      </c>
      <c r="BD137" s="215">
        <f ca="1">IF($D137&lt;&gt;"Serviço",0,IF(AND(AUTOEVENTO="Manual",$M137=1),0,IF(OFFSET(CRONOPLE!$F$14,$M137,BD$13)="",10^12,OFFSET(CRONOPLE!$F$14,$M137,BD$13))))</f>
        <v>0</v>
      </c>
      <c r="BE137" s="215">
        <f ca="1">IF($D137&lt;&gt;"Serviço",0,IF(AND(AUTOEVENTO="Manual",$M137=1),0,IF(OFFSET(CRONOPLE!$F$14,$M137,BE$13)="",10^12,OFFSET(CRONOPLE!$F$14,$M137,BE$13))))</f>
        <v>0</v>
      </c>
      <c r="BF137" s="215">
        <f ca="1">IF($D137&lt;&gt;"Serviço",0,IF(AND(AUTOEVENTO="Manual",$M137=1),0,IF(OFFSET(CRONOPLE!$F$14,$M137,BF$13)="",10^12,OFFSET(CRONOPLE!$F$14,$M137,BF$13))))</f>
        <v>0</v>
      </c>
      <c r="BG137" s="215">
        <f ca="1">IF($D137&lt;&gt;"Serviço",0,IF(AND(AUTOEVENTO="Manual",$M137=1),0,IF(OFFSET(CRONOPLE!$F$14,$M137,BG$13)="",10^12,OFFSET(CRONOPLE!$F$14,$M137,BG$13))))</f>
        <v>0</v>
      </c>
      <c r="BH137" s="215">
        <f ca="1">IF($D137&lt;&gt;"Serviço",0,IF(AND(AUTOEVENTO="Manual",$M137=1),0,IF(OFFSET(CRONOPLE!$F$14,$M137,BH$13)="",10^12,OFFSET(CRONOPLE!$F$14,$M137,BH$13))))</f>
        <v>0</v>
      </c>
      <c r="BI137" s="215">
        <f ca="1">IF($D137&lt;&gt;"Serviço",0,IF(AND(AUTOEVENTO="Manual",$M137=1),0,IF(OFFSET(CRONOPLE!$F$14,$M137,BI$13)="",10^12,OFFSET(CRONOPLE!$F$14,$M137,BI$13))))</f>
        <v>0</v>
      </c>
      <c r="BJ137" s="215">
        <f ca="1">IF($D137&lt;&gt;"Serviço",0,IF(AND(AUTOEVENTO="Manual",$M137=1),0,IF(OFFSET(CRONOPLE!$F$14,$M137,BJ$13)="",10^12,OFFSET(CRONOPLE!$F$14,$M137,BJ$13))))</f>
        <v>0</v>
      </c>
      <c r="BK137" s="215">
        <f ca="1">IF($D137&lt;&gt;"Serviço",0,IF(AND(AUTOEVENTO="Manual",$M137=1),0,IF(OFFSET(CRONOPLE!$F$14,$M137,BK$13)="",10^12,OFFSET(CRONOPLE!$F$14,$M137,BK$13))))</f>
        <v>0</v>
      </c>
      <c r="BL137" s="215">
        <f ca="1">IF($D137&lt;&gt;"Serviço",0,IF(AND(AUTOEVENTO="Manual",$M137=1),0,IF(OFFSET(CRONOPLE!$F$14,$M137,BL$13)="",10^12,OFFSET(CRONOPLE!$F$14,$M137,BL$13))))</f>
        <v>0</v>
      </c>
      <c r="BM137" s="215">
        <f ca="1">IF($D137&lt;&gt;"Serviço",0,IF(AND(AUTOEVENTO="Manual",$M137=1),0,IF(OFFSET(CRONOPLE!$F$14,$M137,BM$13)="",10^12,OFFSET(CRONOPLE!$F$14,$M137,BM$13))))</f>
        <v>0</v>
      </c>
      <c r="BN137" s="215">
        <f ca="1">IF($D137&lt;&gt;"Serviço",0,IF(AND(AUTOEVENTO="Manual",$M137=1),0,IF(OFFSET(CRONOPLE!$F$14,$M137,BN$13)="",10^12,OFFSET(CRONOPLE!$F$14,$M137,BN$13))))</f>
        <v>0</v>
      </c>
      <c r="BO137" s="215">
        <f ca="1">IF($D137&lt;&gt;"Serviço",0,IF(AND(AUTOEVENTO="Manual",$M137=1),0,IF(OFFSET(CRONOPLE!$F$14,$M137,BO$13)="",10^12,OFFSET(CRONOPLE!$F$14,$M137,BO$13))))</f>
        <v>0</v>
      </c>
      <c r="BP137" s="215">
        <f ca="1">IF($D137&lt;&gt;"Serviço",0,IF(AND(AUTOEVENTO="Manual",$M137=1),0,IF(OFFSET(CRONOPLE!$F$14,$M137,BP$13)="",10^12,OFFSET(CRONOPLE!$F$14,$M137,BP$13))))</f>
        <v>0</v>
      </c>
      <c r="BQ137" s="215">
        <f ca="1">IF($D137&lt;&gt;"Serviço",0,IF(AND(AUTOEVENTO="Manual",$M137=1),0,IF(OFFSET(CRONOPLE!$F$14,$M137,BQ$13)="",10^12,OFFSET(CRONOPLE!$F$14,$M137,BQ$13))))</f>
        <v>0</v>
      </c>
      <c r="BR137" s="215">
        <f ca="1">IF($D137&lt;&gt;"Serviço",0,IF(AND(AUTOEVENTO="Manual",$M137=1),0,IF(OFFSET(CRONOPLE!$F$14,$M137,BR$13)="",10^12,OFFSET(CRONOPLE!$F$14,$M137,BR$13))))</f>
        <v>0</v>
      </c>
      <c r="BS137" s="215">
        <f ca="1">IF($D137&lt;&gt;"Serviço",0,IF(AND(AUTOEVENTO="Manual",$M137=1),0,IF(OFFSET(CRONOPLE!$F$14,$M137,BS$13)="",10^12,OFFSET(CRONOPLE!$F$14,$M137,BS$13))))</f>
        <v>0</v>
      </c>
      <c r="BT137" s="215">
        <f ca="1">IF($D137&lt;&gt;"Serviço",0,IF(AND(AUTOEVENTO="Manual",$M137=1),0,IF(OFFSET(CRONOPLE!$F$14,$M137,BT$13)="",10^12,OFFSET(CRONOPLE!$F$14,$M137,BT$13))))</f>
        <v>0</v>
      </c>
      <c r="BV137" s="216">
        <f ca="1">IF($D137&lt;&gt;"Serviço",0,IF(OR(AND(AUTOEVENTO="Manual",$M137=1),$M137&gt;(ROW(PLE.lastrow)-ROW(PLE.firstrow))),0,IF(OFFSET(PLE!$G$14,$M137,BV$13)="",10^12,OFFSET(PLE!$G$14,$M137,BV$13))))</f>
        <v>0</v>
      </c>
      <c r="BW137" s="216">
        <f ca="1">IF($D137&lt;&gt;"Serviço",0,IF(OR(AND(AUTOEVENTO="Manual",$M137=1),$M137&gt;(ROW(PLE.lastrow)-ROW(PLE.firstrow))),0,IF(OFFSET(PLE!$G$14,$M137,BW$13)="",10^12,OFFSET(PLE!$G$14,$M137,BW$13))))</f>
        <v>0</v>
      </c>
      <c r="BX137" s="216">
        <f ca="1">IF($D137&lt;&gt;"Serviço",0,IF(OR(AND(AUTOEVENTO="Manual",$M137=1),$M137&gt;(ROW(PLE.lastrow)-ROW(PLE.firstrow))),0,IF(OFFSET(PLE!$G$14,$M137,BX$13)="",10^12,OFFSET(PLE!$G$14,$M137,BX$13))))</f>
        <v>0</v>
      </c>
      <c r="BY137" s="216">
        <f ca="1">IF($D137&lt;&gt;"Serviço",0,IF(OR(AND(AUTOEVENTO="Manual",$M137=1),$M137&gt;(ROW(PLE.lastrow)-ROW(PLE.firstrow))),0,IF(OFFSET(PLE!$G$14,$M137,BY$13)="",10^12,OFFSET(PLE!$G$14,$M137,BY$13))))</f>
        <v>0</v>
      </c>
      <c r="BZ137" s="216">
        <f ca="1">IF($D137&lt;&gt;"Serviço",0,IF(OR(AND(AUTOEVENTO="Manual",$M137=1),$M137&gt;(ROW(PLE.lastrow)-ROW(PLE.firstrow))),0,IF(OFFSET(PLE!$G$14,$M137,BZ$13)="",10^12,OFFSET(PLE!$G$14,$M137,BZ$13))))</f>
        <v>0</v>
      </c>
      <c r="CA137" s="216">
        <f ca="1">IF($D137&lt;&gt;"Serviço",0,IF(OR(AND(AUTOEVENTO="Manual",$M137=1),$M137&gt;(ROW(PLE.lastrow)-ROW(PLE.firstrow))),0,IF(OFFSET(PLE!$G$14,$M137,CA$13)="",10^12,OFFSET(PLE!$G$14,$M137,CA$13))))</f>
        <v>0</v>
      </c>
      <c r="CB137" s="216">
        <f ca="1">IF($D137&lt;&gt;"Serviço",0,IF(OR(AND(AUTOEVENTO="Manual",$M137=1),$M137&gt;(ROW(PLE.lastrow)-ROW(PLE.firstrow))),0,IF(OFFSET(PLE!$G$14,$M137,CB$13)="",10^12,OFFSET(PLE!$G$14,$M137,CB$13))))</f>
        <v>0</v>
      </c>
      <c r="CC137" s="216">
        <f ca="1">IF($D137&lt;&gt;"Serviço",0,IF(OR(AND(AUTOEVENTO="Manual",$M137=1),$M137&gt;(ROW(PLE.lastrow)-ROW(PLE.firstrow))),0,IF(OFFSET(PLE!$G$14,$M137,CC$13)="",10^12,OFFSET(PLE!$G$14,$M137,CC$13))))</f>
        <v>0</v>
      </c>
      <c r="CD137" s="216">
        <f ca="1">IF($D137&lt;&gt;"Serviço",0,IF(OR(AND(AUTOEVENTO="Manual",$M137=1),$M137&gt;(ROW(PLE.lastrow)-ROW(PLE.firstrow))),0,IF(OFFSET(PLE!$G$14,$M137,CD$13)="",10^12,OFFSET(PLE!$G$14,$M137,CD$13))))</f>
        <v>0</v>
      </c>
      <c r="CE137" s="216">
        <f ca="1">IF($D137&lt;&gt;"Serviço",0,IF(OR(AND(AUTOEVENTO="Manual",$M137=1),$M137&gt;(ROW(PLE.lastrow)-ROW(PLE.firstrow))),0,IF(OFFSET(PLE!$G$14,$M137,CE$13)="",10^12,OFFSET(PLE!$G$14,$M137,CE$13))))</f>
        <v>0</v>
      </c>
      <c r="CF137" s="216">
        <f ca="1">IF($D137&lt;&gt;"Serviço",0,IF(OR(AND(AUTOEVENTO="Manual",$M137=1),$M137&gt;(ROW(PLE.lastrow)-ROW(PLE.firstrow))),0,IF(OFFSET(PLE!$G$14,$M137,CF$13)="",10^12,OFFSET(PLE!$G$14,$M137,CF$13))))</f>
        <v>0</v>
      </c>
      <c r="CG137" s="216">
        <f ca="1">IF($D137&lt;&gt;"Serviço",0,IF(OR(AND(AUTOEVENTO="Manual",$M137=1),$M137&gt;(ROW(PLE.lastrow)-ROW(PLE.firstrow))),0,IF(OFFSET(PLE!$G$14,$M137,CG$13)="",10^12,OFFSET(PLE!$G$14,$M137,CG$13))))</f>
        <v>0</v>
      </c>
      <c r="CH137" s="216">
        <f ca="1">IF($D137&lt;&gt;"Serviço",0,IF(OR(AND(AUTOEVENTO="Manual",$M137=1),$M137&gt;(ROW(PLE.lastrow)-ROW(PLE.firstrow))),0,IF(OFFSET(PLE!$G$14,$M137,CH$13)="",10^12,OFFSET(PLE!$G$14,$M137,CH$13))))</f>
        <v>0</v>
      </c>
      <c r="CI137" s="216">
        <f ca="1">IF($D137&lt;&gt;"Serviço",0,IF(OR(AND(AUTOEVENTO="Manual",$M137=1),$M137&gt;(ROW(PLE.lastrow)-ROW(PLE.firstrow))),0,IF(OFFSET(PLE!$G$14,$M137,CI$13)="",10^12,OFFSET(PLE!$G$14,$M137,CI$13))))</f>
        <v>0</v>
      </c>
      <c r="CJ137" s="216">
        <f ca="1">IF($D137&lt;&gt;"Serviço",0,IF(OR(AND(AUTOEVENTO="Manual",$M137=1),$M137&gt;(ROW(PLE.lastrow)-ROW(PLE.firstrow))),0,IF(OFFSET(PLE!$G$14,$M137,CJ$13)="",10^12,OFFSET(PLE!$G$14,$M137,CJ$13))))</f>
        <v>0</v>
      </c>
      <c r="CK137" s="216">
        <f ca="1">IF($D137&lt;&gt;"Serviço",0,IF(OR(AND(AUTOEVENTO="Manual",$M137=1),$M137&gt;(ROW(PLE.lastrow)-ROW(PLE.firstrow))),0,IF(OFFSET(PLE!$G$14,$M137,CK$13)="",10^12,OFFSET(PLE!$G$14,$M137,CK$13))))</f>
        <v>0</v>
      </c>
      <c r="CL137" s="216">
        <f ca="1">IF($D137&lt;&gt;"Serviço",0,IF(OR(AND(AUTOEVENTO="Manual",$M137=1),$M137&gt;(ROW(PLE.lastrow)-ROW(PLE.firstrow))),0,IF(OFFSET(PLE!$G$14,$M137,CL$13)="",10^12,OFFSET(PLE!$G$14,$M137,CL$13))))</f>
        <v>0</v>
      </c>
      <c r="CM137" s="216">
        <f ca="1">IF($D137&lt;&gt;"Serviço",0,IF(OR(AND(AUTOEVENTO="Manual",$M137=1),$M137&gt;(ROW(PLE.lastrow)-ROW(PLE.firstrow))),0,IF(OFFSET(PLE!$G$14,$M137,CM$13)="",10^12,OFFSET(PLE!$G$14,$M137,CM$13))))</f>
        <v>0</v>
      </c>
    </row>
    <row r="138" spans="1:91" ht="13.2" x14ac:dyDescent="0.25">
      <c r="A138" s="9">
        <f t="shared" ca="1" si="10"/>
        <v>0</v>
      </c>
      <c r="B138" s="9" t="str">
        <f ca="1">OFFSET(ORÇAMENTO!C$15,ROW(B138)-ROW(B$15),0)</f>
        <v>S</v>
      </c>
      <c r="C138" s="9" t="str">
        <f ca="1">OFFSET(ORÇAMENTO!L$15,ROW(C138)-ROW(C$15),0)</f>
        <v/>
      </c>
      <c r="D138" s="145" t="str">
        <f ca="1">OFFSET(ORÇAMENTO!N$15,ROW(D138)-ROW(D$15),0)</f>
        <v>Serviço</v>
      </c>
      <c r="E138" s="205" t="str">
        <f ca="1">OFFSET(ORÇAMENTO!O$15,ROW(E138)-ROW(E$15),0)</f>
        <v>-</v>
      </c>
      <c r="F138" s="206" t="str">
        <f ca="1">OFFSET(ORÇAMENTO!R$15,ROW(F138)-ROW(F$15),0)</f>
        <v>(abra o arquivo 'Referência 05-2024.xls)</v>
      </c>
      <c r="G138" s="207" t="str">
        <f ca="1">IF($D138&lt;&gt;"Serviço","",OFFSET(ORÇAMENTO!S$15,ROW(G138)-ROW(G$15),0))</f>
        <v>-</v>
      </c>
      <c r="H138" s="151">
        <f ca="1">IF($D138&lt;&gt;"Serviço",0,IF(ACOMPANHAMENTO="BM",ROUND(OFFSET(ORÇAMENTO!AJ$15,ROW(H138)-ROW(H$15),0),15-13*ORÇAMENTO!$AF$7),SUMPRODUCT(($Q$12:$AI$12&lt;&gt;"")*ROUND($Q138:$AI138,15-13*ORÇAMENTO!$AF$7))))</f>
        <v>98.73</v>
      </c>
      <c r="I138" s="650"/>
      <c r="K138" s="208"/>
      <c r="L138" s="209" t="s">
        <v>257</v>
      </c>
      <c r="M138" s="210">
        <f ca="1">IF($D138&lt;&gt;"Serviço","",IF(AUTOEVENTO="manual",$A138,IF(ISERROR(MATCH($A138,$A$15:OFFSET($A138,-1,0),0)),MAX($M$15:OFFSET(M138,-1,0))+1,INDEX($M$15:OFFSET(M138,-1,0),MATCH($A138,$A$15:OFFSET($A138,-1,0),0)))))</f>
        <v>0</v>
      </c>
      <c r="N138" s="211" t="str">
        <f ca="1">IF($D138&lt;&gt;"Serviço","",IF(AUTOEVENTO="Manual",IF($A138=0,"&lt;-- defina o número do agrupador",OFFSET(EVENTOS!$D$14,$A138,0)),OFFSET($F$15,$A138,0)))</f>
        <v>&lt;-- defina o número do agrupador</v>
      </c>
      <c r="O138" s="212"/>
      <c r="Q138" s="212"/>
      <c r="R138" s="213"/>
      <c r="S138" s="213"/>
      <c r="T138" s="213"/>
      <c r="U138" s="213"/>
      <c r="V138" s="213"/>
      <c r="W138" s="213"/>
      <c r="X138" s="213"/>
      <c r="Y138" s="213"/>
      <c r="Z138" s="214"/>
      <c r="AA138" s="213"/>
      <c r="AB138" s="213"/>
      <c r="AC138" s="213"/>
      <c r="AD138" s="213"/>
      <c r="AE138" s="213"/>
      <c r="AF138" s="213"/>
      <c r="AG138" s="213"/>
      <c r="AH138" s="214"/>
      <c r="AJ138" s="631">
        <f ca="1">IF(AND($D138="Serviço",AJ$12&lt;&gt;0,$H138&gt;0,OR(AUTOEVENTO&lt;&gt;"manual",$M138&lt;&gt;1)),ROUND(OFFSET($P138,0,AJ$13),15-13*ORÇAMENTO!$AF$7)/$H138*OFFSET(ORÇAMENTO!$X$15,ROW(AJ138)-ROW(AJ$15),0),0)</f>
        <v>0</v>
      </c>
      <c r="AK138" s="632">
        <f ca="1">IF(AND($D138="Serviço",AK$12&lt;&gt;0,$H138&gt;0,OR(AUTOEVENTO&lt;&gt;"manual",$M138&lt;&gt;1)),ROUND(OFFSET($P138,0,AK$13),15-13*ORÇAMENTO!$AF$7)/$H138*OFFSET(ORÇAMENTO!$X$15,ROW(AK138)-ROW(AK$15),0),0)</f>
        <v>0</v>
      </c>
      <c r="AL138" s="632">
        <f ca="1">IF(AND($D138="Serviço",AL$12&lt;&gt;0,$H138&gt;0,OR(AUTOEVENTO&lt;&gt;"manual",$M138&lt;&gt;1)),ROUND(OFFSET($P138,0,AL$13),15-13*ORÇAMENTO!$AF$7)/$H138*OFFSET(ORÇAMENTO!$X$15,ROW(AL138)-ROW(AL$15),0),0)</f>
        <v>0</v>
      </c>
      <c r="AM138" s="632">
        <f ca="1">IF(AND($D138="Serviço",AM$12&lt;&gt;0,$H138&gt;0,OR(AUTOEVENTO&lt;&gt;"manual",$M138&lt;&gt;1)),ROUND(OFFSET($P138,0,AM$13),15-13*ORÇAMENTO!$AF$7)/$H138*OFFSET(ORÇAMENTO!$X$15,ROW(AM138)-ROW(AM$15),0),0)</f>
        <v>0</v>
      </c>
      <c r="AN138" s="632">
        <f ca="1">IF(AND($D138="Serviço",AN$12&lt;&gt;0,$H138&gt;0,OR(AUTOEVENTO&lt;&gt;"manual",$M138&lt;&gt;1)),ROUND(OFFSET($P138,0,AN$13),15-13*ORÇAMENTO!$AF$7)/$H138*OFFSET(ORÇAMENTO!$X$15,ROW(AN138)-ROW(AN$15),0),0)</f>
        <v>0</v>
      </c>
      <c r="AO138" s="632">
        <f ca="1">IF(AND($D138="Serviço",AO$12&lt;&gt;0,$H138&gt;0,OR(AUTOEVENTO&lt;&gt;"manual",$M138&lt;&gt;1)),ROUND(OFFSET($P138,0,AO$13),15-13*ORÇAMENTO!$AF$7)/$H138*OFFSET(ORÇAMENTO!$X$15,ROW(AO138)-ROW(AO$15),0),0)</f>
        <v>0</v>
      </c>
      <c r="AP138" s="632">
        <f ca="1">IF(AND($D138="Serviço",AP$12&lt;&gt;0,$H138&gt;0,OR(AUTOEVENTO&lt;&gt;"manual",$M138&lt;&gt;1)),ROUND(OFFSET($P138,0,AP$13),15-13*ORÇAMENTO!$AF$7)/$H138*OFFSET(ORÇAMENTO!$X$15,ROW(AP138)-ROW(AP$15),0),0)</f>
        <v>0</v>
      </c>
      <c r="AQ138" s="632">
        <f ca="1">IF(AND($D138="Serviço",AQ$12&lt;&gt;0,$H138&gt;0,OR(AUTOEVENTO&lt;&gt;"manual",$M138&lt;&gt;1)),ROUND(OFFSET($P138,0,AQ$13),15-13*ORÇAMENTO!$AF$7)/$H138*OFFSET(ORÇAMENTO!$X$15,ROW(AQ138)-ROW(AQ$15),0),0)</f>
        <v>0</v>
      </c>
      <c r="AR138" s="632">
        <f ca="1">IF(AND($D138="Serviço",AR$12&lt;&gt;0,$H138&gt;0,OR(AUTOEVENTO&lt;&gt;"manual",$M138&lt;&gt;1)),ROUND(OFFSET($P138,0,AR$13),15-13*ORÇAMENTO!$AF$7)/$H138*OFFSET(ORÇAMENTO!$X$15,ROW(AR138)-ROW(AR$15),0),0)</f>
        <v>0</v>
      </c>
      <c r="AS138" s="633">
        <f ca="1">IF(AND($D138="Serviço",AS$12&lt;&gt;0,$H138&gt;0,OR(AUTOEVENTO&lt;&gt;"manual",$M138&lt;&gt;1)),ROUND(OFFSET($P138,0,AS$13),15-13*ORÇAMENTO!$AF$7)/$H138*OFFSET(ORÇAMENTO!$X$15,ROW(AS138)-ROW(AS$15),0),0)</f>
        <v>0</v>
      </c>
      <c r="AT138" s="632">
        <f ca="1">IF(AND($D138="Serviço",AT$12&lt;&gt;0,$H138&gt;0,OR(AUTOEVENTO&lt;&gt;"manual",$M138&lt;&gt;1)),ROUND(OFFSET($P138,0,AT$13),15-13*ORÇAMENTO!$AF$7)/$H138*OFFSET(ORÇAMENTO!$X$15,ROW(AT138)-ROW(AT$15),0),0)</f>
        <v>0</v>
      </c>
      <c r="AU138" s="632">
        <f ca="1">IF(AND($D138="Serviço",AU$12&lt;&gt;0,$H138&gt;0,OR(AUTOEVENTO&lt;&gt;"manual",$M138&lt;&gt;1)),ROUND(OFFSET($P138,0,AU$13),15-13*ORÇAMENTO!$AF$7)/$H138*OFFSET(ORÇAMENTO!$X$15,ROW(AU138)-ROW(AU$15),0),0)</f>
        <v>0</v>
      </c>
      <c r="AV138" s="632">
        <f ca="1">IF(AND($D138="Serviço",AV$12&lt;&gt;0,$H138&gt;0,OR(AUTOEVENTO&lt;&gt;"manual",$M138&lt;&gt;1)),ROUND(OFFSET($P138,0,AV$13),15-13*ORÇAMENTO!$AF$7)/$H138*OFFSET(ORÇAMENTO!$X$15,ROW(AV138)-ROW(AV$15),0),0)</f>
        <v>0</v>
      </c>
      <c r="AW138" s="632">
        <f ca="1">IF(AND($D138="Serviço",AW$12&lt;&gt;0,$H138&gt;0,OR(AUTOEVENTO&lt;&gt;"manual",$M138&lt;&gt;1)),ROUND(OFFSET($P138,0,AW$13),15-13*ORÇAMENTO!$AF$7)/$H138*OFFSET(ORÇAMENTO!$X$15,ROW(AW138)-ROW(AW$15),0),0)</f>
        <v>0</v>
      </c>
      <c r="AX138" s="632">
        <f ca="1">IF(AND($D138="Serviço",AX$12&lt;&gt;0,$H138&gt;0,OR(AUTOEVENTO&lt;&gt;"manual",$M138&lt;&gt;1)),ROUND(OFFSET($P138,0,AX$13),15-13*ORÇAMENTO!$AF$7)/$H138*OFFSET(ORÇAMENTO!$X$15,ROW(AX138)-ROW(AX$15),0),0)</f>
        <v>0</v>
      </c>
      <c r="AY138" s="632">
        <f ca="1">IF(AND($D138="Serviço",AY$12&lt;&gt;0,$H138&gt;0,OR(AUTOEVENTO&lt;&gt;"manual",$M138&lt;&gt;1)),ROUND(OFFSET($P138,0,AY$13),15-13*ORÇAMENTO!$AF$7)/$H138*OFFSET(ORÇAMENTO!$X$15,ROW(AY138)-ROW(AY$15),0),0)</f>
        <v>0</v>
      </c>
      <c r="AZ138" s="632">
        <f ca="1">IF(AND($D138="Serviço",AZ$12&lt;&gt;0,$H138&gt;0,OR(AUTOEVENTO&lt;&gt;"manual",$M138&lt;&gt;1)),ROUND(OFFSET($P138,0,AZ$13),15-13*ORÇAMENTO!$AF$7)/$H138*OFFSET(ORÇAMENTO!$X$15,ROW(AZ138)-ROW(AZ$15),0),0)</f>
        <v>0</v>
      </c>
      <c r="BA138" s="633">
        <f ca="1">IF(AND($D138="Serviço",BA$12&lt;&gt;0,$H138&gt;0,OR(AUTOEVENTO&lt;&gt;"manual",$M138&lt;&gt;1)),ROUND(OFFSET($P138,0,BA$13),15-13*ORÇAMENTO!$AF$7)/$H138*OFFSET(ORÇAMENTO!$X$15,ROW(BA138)-ROW(BA$15),0),0)</f>
        <v>0</v>
      </c>
      <c r="BC138" s="215">
        <f ca="1">IF($D138&lt;&gt;"Serviço",0,IF(AND(AUTOEVENTO="Manual",$M138=1),0,IF(OFFSET(CRONOPLE!$F$14,$M138,BC$13)="",10^12,OFFSET(CRONOPLE!$F$14,$M138,BC$13))))</f>
        <v>1000000000000</v>
      </c>
      <c r="BD138" s="215">
        <f ca="1">IF($D138&lt;&gt;"Serviço",0,IF(AND(AUTOEVENTO="Manual",$M138=1),0,IF(OFFSET(CRONOPLE!$F$14,$M138,BD$13)="",10^12,OFFSET(CRONOPLE!$F$14,$M138,BD$13))))</f>
        <v>1000000000000</v>
      </c>
      <c r="BE138" s="215">
        <f ca="1">IF($D138&lt;&gt;"Serviço",0,IF(AND(AUTOEVENTO="Manual",$M138=1),0,IF(OFFSET(CRONOPLE!$F$14,$M138,BE$13)="",10^12,OFFSET(CRONOPLE!$F$14,$M138,BE$13))))</f>
        <v>1000000000000</v>
      </c>
      <c r="BF138" s="215">
        <f ca="1">IF($D138&lt;&gt;"Serviço",0,IF(AND(AUTOEVENTO="Manual",$M138=1),0,IF(OFFSET(CRONOPLE!$F$14,$M138,BF$13)="",10^12,OFFSET(CRONOPLE!$F$14,$M138,BF$13))))</f>
        <v>1000000000000</v>
      </c>
      <c r="BG138" s="215">
        <f ca="1">IF($D138&lt;&gt;"Serviço",0,IF(AND(AUTOEVENTO="Manual",$M138=1),0,IF(OFFSET(CRONOPLE!$F$14,$M138,BG$13)="",10^12,OFFSET(CRONOPLE!$F$14,$M138,BG$13))))</f>
        <v>1000000000000</v>
      </c>
      <c r="BH138" s="215">
        <f ca="1">IF($D138&lt;&gt;"Serviço",0,IF(AND(AUTOEVENTO="Manual",$M138=1),0,IF(OFFSET(CRONOPLE!$F$14,$M138,BH$13)="",10^12,OFFSET(CRONOPLE!$F$14,$M138,BH$13))))</f>
        <v>1000000000000</v>
      </c>
      <c r="BI138" s="215">
        <f ca="1">IF($D138&lt;&gt;"Serviço",0,IF(AND(AUTOEVENTO="Manual",$M138=1),0,IF(OFFSET(CRONOPLE!$F$14,$M138,BI$13)="",10^12,OFFSET(CRONOPLE!$F$14,$M138,BI$13))))</f>
        <v>1000000000000</v>
      </c>
      <c r="BJ138" s="215">
        <f ca="1">IF($D138&lt;&gt;"Serviço",0,IF(AND(AUTOEVENTO="Manual",$M138=1),0,IF(OFFSET(CRONOPLE!$F$14,$M138,BJ$13)="",10^12,OFFSET(CRONOPLE!$F$14,$M138,BJ$13))))</f>
        <v>1000000000000</v>
      </c>
      <c r="BK138" s="215">
        <f ca="1">IF($D138&lt;&gt;"Serviço",0,IF(AND(AUTOEVENTO="Manual",$M138=1),0,IF(OFFSET(CRONOPLE!$F$14,$M138,BK$13)="",10^12,OFFSET(CRONOPLE!$F$14,$M138,BK$13))))</f>
        <v>1000000000000</v>
      </c>
      <c r="BL138" s="215">
        <f ca="1">IF($D138&lt;&gt;"Serviço",0,IF(AND(AUTOEVENTO="Manual",$M138=1),0,IF(OFFSET(CRONOPLE!$F$14,$M138,BL$13)="",10^12,OFFSET(CRONOPLE!$F$14,$M138,BL$13))))</f>
        <v>1000000000000</v>
      </c>
      <c r="BM138" s="215">
        <f ca="1">IF($D138&lt;&gt;"Serviço",0,IF(AND(AUTOEVENTO="Manual",$M138=1),0,IF(OFFSET(CRONOPLE!$F$14,$M138,BM$13)="",10^12,OFFSET(CRONOPLE!$F$14,$M138,BM$13))))</f>
        <v>1000000000000</v>
      </c>
      <c r="BN138" s="215">
        <f ca="1">IF($D138&lt;&gt;"Serviço",0,IF(AND(AUTOEVENTO="Manual",$M138=1),0,IF(OFFSET(CRONOPLE!$F$14,$M138,BN$13)="",10^12,OFFSET(CRONOPLE!$F$14,$M138,BN$13))))</f>
        <v>1000000000000</v>
      </c>
      <c r="BO138" s="215">
        <f ca="1">IF($D138&lt;&gt;"Serviço",0,IF(AND(AUTOEVENTO="Manual",$M138=1),0,IF(OFFSET(CRONOPLE!$F$14,$M138,BO$13)="",10^12,OFFSET(CRONOPLE!$F$14,$M138,BO$13))))</f>
        <v>1000000000000</v>
      </c>
      <c r="BP138" s="215">
        <f ca="1">IF($D138&lt;&gt;"Serviço",0,IF(AND(AUTOEVENTO="Manual",$M138=1),0,IF(OFFSET(CRONOPLE!$F$14,$M138,BP$13)="",10^12,OFFSET(CRONOPLE!$F$14,$M138,BP$13))))</f>
        <v>1000000000000</v>
      </c>
      <c r="BQ138" s="215">
        <f ca="1">IF($D138&lt;&gt;"Serviço",0,IF(AND(AUTOEVENTO="Manual",$M138=1),0,IF(OFFSET(CRONOPLE!$F$14,$M138,BQ$13)="",10^12,OFFSET(CRONOPLE!$F$14,$M138,BQ$13))))</f>
        <v>1000000000000</v>
      </c>
      <c r="BR138" s="215">
        <f ca="1">IF($D138&lt;&gt;"Serviço",0,IF(AND(AUTOEVENTO="Manual",$M138=1),0,IF(OFFSET(CRONOPLE!$F$14,$M138,BR$13)="",10^12,OFFSET(CRONOPLE!$F$14,$M138,BR$13))))</f>
        <v>1000000000000</v>
      </c>
      <c r="BS138" s="215">
        <f ca="1">IF($D138&lt;&gt;"Serviço",0,IF(AND(AUTOEVENTO="Manual",$M138=1),0,IF(OFFSET(CRONOPLE!$F$14,$M138,BS$13)="",10^12,OFFSET(CRONOPLE!$F$14,$M138,BS$13))))</f>
        <v>1000000000000</v>
      </c>
      <c r="BT138" s="215">
        <f ca="1">IF($D138&lt;&gt;"Serviço",0,IF(AND(AUTOEVENTO="Manual",$M138=1),0,IF(OFFSET(CRONOPLE!$F$14,$M138,BT$13)="",10^12,OFFSET(CRONOPLE!$F$14,$M138,BT$13))))</f>
        <v>1000000000000</v>
      </c>
      <c r="BV138" s="216">
        <f ca="1">IF($D138&lt;&gt;"Serviço",0,IF(OR(AND(AUTOEVENTO="Manual",$M138=1),$M138&gt;(ROW(PLE.lastrow)-ROW(PLE.firstrow))),0,IF(OFFSET(PLE!$G$14,$M138,BV$13)="",10^12,OFFSET(PLE!$G$14,$M138,BV$13))))</f>
        <v>1000000000000</v>
      </c>
      <c r="BW138" s="216">
        <f ca="1">IF($D138&lt;&gt;"Serviço",0,IF(OR(AND(AUTOEVENTO="Manual",$M138=1),$M138&gt;(ROW(PLE.lastrow)-ROW(PLE.firstrow))),0,IF(OFFSET(PLE!$G$14,$M138,BW$13)="",10^12,OFFSET(PLE!$G$14,$M138,BW$13))))</f>
        <v>1000000000000</v>
      </c>
      <c r="BX138" s="216">
        <f ca="1">IF($D138&lt;&gt;"Serviço",0,IF(OR(AND(AUTOEVENTO="Manual",$M138=1),$M138&gt;(ROW(PLE.lastrow)-ROW(PLE.firstrow))),0,IF(OFFSET(PLE!$G$14,$M138,BX$13)="",10^12,OFFSET(PLE!$G$14,$M138,BX$13))))</f>
        <v>1000000000000</v>
      </c>
      <c r="BY138" s="216">
        <f ca="1">IF($D138&lt;&gt;"Serviço",0,IF(OR(AND(AUTOEVENTO="Manual",$M138=1),$M138&gt;(ROW(PLE.lastrow)-ROW(PLE.firstrow))),0,IF(OFFSET(PLE!$G$14,$M138,BY$13)="",10^12,OFFSET(PLE!$G$14,$M138,BY$13))))</f>
        <v>1000000000000</v>
      </c>
      <c r="BZ138" s="216">
        <f ca="1">IF($D138&lt;&gt;"Serviço",0,IF(OR(AND(AUTOEVENTO="Manual",$M138=1),$M138&gt;(ROW(PLE.lastrow)-ROW(PLE.firstrow))),0,IF(OFFSET(PLE!$G$14,$M138,BZ$13)="",10^12,OFFSET(PLE!$G$14,$M138,BZ$13))))</f>
        <v>1000000000000</v>
      </c>
      <c r="CA138" s="216">
        <f ca="1">IF($D138&lt;&gt;"Serviço",0,IF(OR(AND(AUTOEVENTO="Manual",$M138=1),$M138&gt;(ROW(PLE.lastrow)-ROW(PLE.firstrow))),0,IF(OFFSET(PLE!$G$14,$M138,CA$13)="",10^12,OFFSET(PLE!$G$14,$M138,CA$13))))</f>
        <v>1000000000000</v>
      </c>
      <c r="CB138" s="216">
        <f ca="1">IF($D138&lt;&gt;"Serviço",0,IF(OR(AND(AUTOEVENTO="Manual",$M138=1),$M138&gt;(ROW(PLE.lastrow)-ROW(PLE.firstrow))),0,IF(OFFSET(PLE!$G$14,$M138,CB$13)="",10^12,OFFSET(PLE!$G$14,$M138,CB$13))))</f>
        <v>1000000000000</v>
      </c>
      <c r="CC138" s="216">
        <f ca="1">IF($D138&lt;&gt;"Serviço",0,IF(OR(AND(AUTOEVENTO="Manual",$M138=1),$M138&gt;(ROW(PLE.lastrow)-ROW(PLE.firstrow))),0,IF(OFFSET(PLE!$G$14,$M138,CC$13)="",10^12,OFFSET(PLE!$G$14,$M138,CC$13))))</f>
        <v>1000000000000</v>
      </c>
      <c r="CD138" s="216">
        <f ca="1">IF($D138&lt;&gt;"Serviço",0,IF(OR(AND(AUTOEVENTO="Manual",$M138=1),$M138&gt;(ROW(PLE.lastrow)-ROW(PLE.firstrow))),0,IF(OFFSET(PLE!$G$14,$M138,CD$13)="",10^12,OFFSET(PLE!$G$14,$M138,CD$13))))</f>
        <v>1000000000000</v>
      </c>
      <c r="CE138" s="216">
        <f ca="1">IF($D138&lt;&gt;"Serviço",0,IF(OR(AND(AUTOEVENTO="Manual",$M138=1),$M138&gt;(ROW(PLE.lastrow)-ROW(PLE.firstrow))),0,IF(OFFSET(PLE!$G$14,$M138,CE$13)="",10^12,OFFSET(PLE!$G$14,$M138,CE$13))))</f>
        <v>1000000000000</v>
      </c>
      <c r="CF138" s="216">
        <f ca="1">IF($D138&lt;&gt;"Serviço",0,IF(OR(AND(AUTOEVENTO="Manual",$M138=1),$M138&gt;(ROW(PLE.lastrow)-ROW(PLE.firstrow))),0,IF(OFFSET(PLE!$G$14,$M138,CF$13)="",10^12,OFFSET(PLE!$G$14,$M138,CF$13))))</f>
        <v>1000000000000</v>
      </c>
      <c r="CG138" s="216">
        <f ca="1">IF($D138&lt;&gt;"Serviço",0,IF(OR(AND(AUTOEVENTO="Manual",$M138=1),$M138&gt;(ROW(PLE.lastrow)-ROW(PLE.firstrow))),0,IF(OFFSET(PLE!$G$14,$M138,CG$13)="",10^12,OFFSET(PLE!$G$14,$M138,CG$13))))</f>
        <v>1000000000000</v>
      </c>
      <c r="CH138" s="216">
        <f ca="1">IF($D138&lt;&gt;"Serviço",0,IF(OR(AND(AUTOEVENTO="Manual",$M138=1),$M138&gt;(ROW(PLE.lastrow)-ROW(PLE.firstrow))),0,IF(OFFSET(PLE!$G$14,$M138,CH$13)="",10^12,OFFSET(PLE!$G$14,$M138,CH$13))))</f>
        <v>1000000000000</v>
      </c>
      <c r="CI138" s="216">
        <f ca="1">IF($D138&lt;&gt;"Serviço",0,IF(OR(AND(AUTOEVENTO="Manual",$M138=1),$M138&gt;(ROW(PLE.lastrow)-ROW(PLE.firstrow))),0,IF(OFFSET(PLE!$G$14,$M138,CI$13)="",10^12,OFFSET(PLE!$G$14,$M138,CI$13))))</f>
        <v>1000000000000</v>
      </c>
      <c r="CJ138" s="216">
        <f ca="1">IF($D138&lt;&gt;"Serviço",0,IF(OR(AND(AUTOEVENTO="Manual",$M138=1),$M138&gt;(ROW(PLE.lastrow)-ROW(PLE.firstrow))),0,IF(OFFSET(PLE!$G$14,$M138,CJ$13)="",10^12,OFFSET(PLE!$G$14,$M138,CJ$13))))</f>
        <v>1000000000000</v>
      </c>
      <c r="CK138" s="216">
        <f ca="1">IF($D138&lt;&gt;"Serviço",0,IF(OR(AND(AUTOEVENTO="Manual",$M138=1),$M138&gt;(ROW(PLE.lastrow)-ROW(PLE.firstrow))),0,IF(OFFSET(PLE!$G$14,$M138,CK$13)="",10^12,OFFSET(PLE!$G$14,$M138,CK$13))))</f>
        <v>1000000000000</v>
      </c>
      <c r="CL138" s="216">
        <f ca="1">IF($D138&lt;&gt;"Serviço",0,IF(OR(AND(AUTOEVENTO="Manual",$M138=1),$M138&gt;(ROW(PLE.lastrow)-ROW(PLE.firstrow))),0,IF(OFFSET(PLE!$G$14,$M138,CL$13)="",10^12,OFFSET(PLE!$G$14,$M138,CL$13))))</f>
        <v>1000000000000</v>
      </c>
      <c r="CM138" s="216">
        <f ca="1">IF($D138&lt;&gt;"Serviço",0,IF(OR(AND(AUTOEVENTO="Manual",$M138=1),$M138&gt;(ROW(PLE.lastrow)-ROW(PLE.firstrow))),0,IF(OFFSET(PLE!$G$14,$M138,CM$13)="",10^12,OFFSET(PLE!$G$14,$M138,CM$13))))</f>
        <v>1000000000000</v>
      </c>
    </row>
    <row r="139" spans="1:91" ht="13.2" x14ac:dyDescent="0.25">
      <c r="A139" s="9">
        <f t="shared" ca="1" si="10"/>
        <v>0</v>
      </c>
      <c r="B139" s="9" t="str">
        <f ca="1">OFFSET(ORÇAMENTO!C$15,ROW(B139)-ROW(B$15),0)</f>
        <v>S</v>
      </c>
      <c r="C139" s="9" t="str">
        <f ca="1">OFFSET(ORÇAMENTO!L$15,ROW(C139)-ROW(C$15),0)</f>
        <v/>
      </c>
      <c r="D139" s="145" t="str">
        <f ca="1">OFFSET(ORÇAMENTO!N$15,ROW(D139)-ROW(D$15),0)</f>
        <v>Serviço</v>
      </c>
      <c r="E139" s="205" t="str">
        <f ca="1">OFFSET(ORÇAMENTO!O$15,ROW(E139)-ROW(E$15),0)</f>
        <v>-</v>
      </c>
      <c r="F139" s="206" t="str">
        <f ca="1">OFFSET(ORÇAMENTO!R$15,ROW(F139)-ROW(F$15),0)</f>
        <v>(abra o arquivo 'Referência 05-2024.xls)</v>
      </c>
      <c r="G139" s="207" t="str">
        <f ca="1">IF($D139&lt;&gt;"Serviço","",OFFSET(ORÇAMENTO!S$15,ROW(G139)-ROW(G$15),0))</f>
        <v>-</v>
      </c>
      <c r="H139" s="151">
        <f ca="1">IF($D139&lt;&gt;"Serviço",0,IF(ACOMPANHAMENTO="BM",ROUND(OFFSET(ORÇAMENTO!AJ$15,ROW(H139)-ROW(H$15),0),15-13*ORÇAMENTO!$AF$7),SUMPRODUCT(($Q$12:$AI$12&lt;&gt;"")*ROUND($Q139:$AI139,15-13*ORÇAMENTO!$AF$7))))</f>
        <v>6.58</v>
      </c>
      <c r="I139" s="650"/>
      <c r="K139" s="208"/>
      <c r="L139" s="209" t="s">
        <v>257</v>
      </c>
      <c r="M139" s="210">
        <f ca="1">IF($D139&lt;&gt;"Serviço","",IF(AUTOEVENTO="manual",$A139,IF(ISERROR(MATCH($A139,$A$15:OFFSET($A139,-1,0),0)),MAX($M$15:OFFSET(M139,-1,0))+1,INDEX($M$15:OFFSET(M139,-1,0),MATCH($A139,$A$15:OFFSET($A139,-1,0),0)))))</f>
        <v>0</v>
      </c>
      <c r="N139" s="211" t="str">
        <f ca="1">IF($D139&lt;&gt;"Serviço","",IF(AUTOEVENTO="Manual",IF($A139=0,"&lt;-- defina o número do agrupador",OFFSET(EVENTOS!$D$14,$A139,0)),OFFSET($F$15,$A139,0)))</f>
        <v>&lt;-- defina o número do agrupador</v>
      </c>
      <c r="O139" s="212"/>
      <c r="Q139" s="212"/>
      <c r="R139" s="213"/>
      <c r="S139" s="213"/>
      <c r="T139" s="213"/>
      <c r="U139" s="213"/>
      <c r="V139" s="213"/>
      <c r="W139" s="213"/>
      <c r="X139" s="213"/>
      <c r="Y139" s="213"/>
      <c r="Z139" s="214"/>
      <c r="AA139" s="213"/>
      <c r="AB139" s="213"/>
      <c r="AC139" s="213"/>
      <c r="AD139" s="213"/>
      <c r="AE139" s="213"/>
      <c r="AF139" s="213"/>
      <c r="AG139" s="213"/>
      <c r="AH139" s="214"/>
      <c r="AJ139" s="631">
        <f ca="1">IF(AND($D139="Serviço",AJ$12&lt;&gt;0,$H139&gt;0,OR(AUTOEVENTO&lt;&gt;"manual",$M139&lt;&gt;1)),ROUND(OFFSET($P139,0,AJ$13),15-13*ORÇAMENTO!$AF$7)/$H139*OFFSET(ORÇAMENTO!$X$15,ROW(AJ139)-ROW(AJ$15),0),0)</f>
        <v>0</v>
      </c>
      <c r="AK139" s="632">
        <f ca="1">IF(AND($D139="Serviço",AK$12&lt;&gt;0,$H139&gt;0,OR(AUTOEVENTO&lt;&gt;"manual",$M139&lt;&gt;1)),ROUND(OFFSET($P139,0,AK$13),15-13*ORÇAMENTO!$AF$7)/$H139*OFFSET(ORÇAMENTO!$X$15,ROW(AK139)-ROW(AK$15),0),0)</f>
        <v>0</v>
      </c>
      <c r="AL139" s="632">
        <f ca="1">IF(AND($D139="Serviço",AL$12&lt;&gt;0,$H139&gt;0,OR(AUTOEVENTO&lt;&gt;"manual",$M139&lt;&gt;1)),ROUND(OFFSET($P139,0,AL$13),15-13*ORÇAMENTO!$AF$7)/$H139*OFFSET(ORÇAMENTO!$X$15,ROW(AL139)-ROW(AL$15),0),0)</f>
        <v>0</v>
      </c>
      <c r="AM139" s="632">
        <f ca="1">IF(AND($D139="Serviço",AM$12&lt;&gt;0,$H139&gt;0,OR(AUTOEVENTO&lt;&gt;"manual",$M139&lt;&gt;1)),ROUND(OFFSET($P139,0,AM$13),15-13*ORÇAMENTO!$AF$7)/$H139*OFFSET(ORÇAMENTO!$X$15,ROW(AM139)-ROW(AM$15),0),0)</f>
        <v>0</v>
      </c>
      <c r="AN139" s="632">
        <f ca="1">IF(AND($D139="Serviço",AN$12&lt;&gt;0,$H139&gt;0,OR(AUTOEVENTO&lt;&gt;"manual",$M139&lt;&gt;1)),ROUND(OFFSET($P139,0,AN$13),15-13*ORÇAMENTO!$AF$7)/$H139*OFFSET(ORÇAMENTO!$X$15,ROW(AN139)-ROW(AN$15),0),0)</f>
        <v>0</v>
      </c>
      <c r="AO139" s="632">
        <f ca="1">IF(AND($D139="Serviço",AO$12&lt;&gt;0,$H139&gt;0,OR(AUTOEVENTO&lt;&gt;"manual",$M139&lt;&gt;1)),ROUND(OFFSET($P139,0,AO$13),15-13*ORÇAMENTO!$AF$7)/$H139*OFFSET(ORÇAMENTO!$X$15,ROW(AO139)-ROW(AO$15),0),0)</f>
        <v>0</v>
      </c>
      <c r="AP139" s="632">
        <f ca="1">IF(AND($D139="Serviço",AP$12&lt;&gt;0,$H139&gt;0,OR(AUTOEVENTO&lt;&gt;"manual",$M139&lt;&gt;1)),ROUND(OFFSET($P139,0,AP$13),15-13*ORÇAMENTO!$AF$7)/$H139*OFFSET(ORÇAMENTO!$X$15,ROW(AP139)-ROW(AP$15),0),0)</f>
        <v>0</v>
      </c>
      <c r="AQ139" s="632">
        <f ca="1">IF(AND($D139="Serviço",AQ$12&lt;&gt;0,$H139&gt;0,OR(AUTOEVENTO&lt;&gt;"manual",$M139&lt;&gt;1)),ROUND(OFFSET($P139,0,AQ$13),15-13*ORÇAMENTO!$AF$7)/$H139*OFFSET(ORÇAMENTO!$X$15,ROW(AQ139)-ROW(AQ$15),0),0)</f>
        <v>0</v>
      </c>
      <c r="AR139" s="632">
        <f ca="1">IF(AND($D139="Serviço",AR$12&lt;&gt;0,$H139&gt;0,OR(AUTOEVENTO&lt;&gt;"manual",$M139&lt;&gt;1)),ROUND(OFFSET($P139,0,AR$13),15-13*ORÇAMENTO!$AF$7)/$H139*OFFSET(ORÇAMENTO!$X$15,ROW(AR139)-ROW(AR$15),0),0)</f>
        <v>0</v>
      </c>
      <c r="AS139" s="633">
        <f ca="1">IF(AND($D139="Serviço",AS$12&lt;&gt;0,$H139&gt;0,OR(AUTOEVENTO&lt;&gt;"manual",$M139&lt;&gt;1)),ROUND(OFFSET($P139,0,AS$13),15-13*ORÇAMENTO!$AF$7)/$H139*OFFSET(ORÇAMENTO!$X$15,ROW(AS139)-ROW(AS$15),0),0)</f>
        <v>0</v>
      </c>
      <c r="AT139" s="632">
        <f ca="1">IF(AND($D139="Serviço",AT$12&lt;&gt;0,$H139&gt;0,OR(AUTOEVENTO&lt;&gt;"manual",$M139&lt;&gt;1)),ROUND(OFFSET($P139,0,AT$13),15-13*ORÇAMENTO!$AF$7)/$H139*OFFSET(ORÇAMENTO!$X$15,ROW(AT139)-ROW(AT$15),0),0)</f>
        <v>0</v>
      </c>
      <c r="AU139" s="632">
        <f ca="1">IF(AND($D139="Serviço",AU$12&lt;&gt;0,$H139&gt;0,OR(AUTOEVENTO&lt;&gt;"manual",$M139&lt;&gt;1)),ROUND(OFFSET($P139,0,AU$13),15-13*ORÇAMENTO!$AF$7)/$H139*OFFSET(ORÇAMENTO!$X$15,ROW(AU139)-ROW(AU$15),0),0)</f>
        <v>0</v>
      </c>
      <c r="AV139" s="632">
        <f ca="1">IF(AND($D139="Serviço",AV$12&lt;&gt;0,$H139&gt;0,OR(AUTOEVENTO&lt;&gt;"manual",$M139&lt;&gt;1)),ROUND(OFFSET($P139,0,AV$13),15-13*ORÇAMENTO!$AF$7)/$H139*OFFSET(ORÇAMENTO!$X$15,ROW(AV139)-ROW(AV$15),0),0)</f>
        <v>0</v>
      </c>
      <c r="AW139" s="632">
        <f ca="1">IF(AND($D139="Serviço",AW$12&lt;&gt;0,$H139&gt;0,OR(AUTOEVENTO&lt;&gt;"manual",$M139&lt;&gt;1)),ROUND(OFFSET($P139,0,AW$13),15-13*ORÇAMENTO!$AF$7)/$H139*OFFSET(ORÇAMENTO!$X$15,ROW(AW139)-ROW(AW$15),0),0)</f>
        <v>0</v>
      </c>
      <c r="AX139" s="632">
        <f ca="1">IF(AND($D139="Serviço",AX$12&lt;&gt;0,$H139&gt;0,OR(AUTOEVENTO&lt;&gt;"manual",$M139&lt;&gt;1)),ROUND(OFFSET($P139,0,AX$13),15-13*ORÇAMENTO!$AF$7)/$H139*OFFSET(ORÇAMENTO!$X$15,ROW(AX139)-ROW(AX$15),0),0)</f>
        <v>0</v>
      </c>
      <c r="AY139" s="632">
        <f ca="1">IF(AND($D139="Serviço",AY$12&lt;&gt;0,$H139&gt;0,OR(AUTOEVENTO&lt;&gt;"manual",$M139&lt;&gt;1)),ROUND(OFFSET($P139,0,AY$13),15-13*ORÇAMENTO!$AF$7)/$H139*OFFSET(ORÇAMENTO!$X$15,ROW(AY139)-ROW(AY$15),0),0)</f>
        <v>0</v>
      </c>
      <c r="AZ139" s="632">
        <f ca="1">IF(AND($D139="Serviço",AZ$12&lt;&gt;0,$H139&gt;0,OR(AUTOEVENTO&lt;&gt;"manual",$M139&lt;&gt;1)),ROUND(OFFSET($P139,0,AZ$13),15-13*ORÇAMENTO!$AF$7)/$H139*OFFSET(ORÇAMENTO!$X$15,ROW(AZ139)-ROW(AZ$15),0),0)</f>
        <v>0</v>
      </c>
      <c r="BA139" s="633">
        <f ca="1">IF(AND($D139="Serviço",BA$12&lt;&gt;0,$H139&gt;0,OR(AUTOEVENTO&lt;&gt;"manual",$M139&lt;&gt;1)),ROUND(OFFSET($P139,0,BA$13),15-13*ORÇAMENTO!$AF$7)/$H139*OFFSET(ORÇAMENTO!$X$15,ROW(BA139)-ROW(BA$15),0),0)</f>
        <v>0</v>
      </c>
      <c r="BC139" s="215">
        <f ca="1">IF($D139&lt;&gt;"Serviço",0,IF(AND(AUTOEVENTO="Manual",$M139=1),0,IF(OFFSET(CRONOPLE!$F$14,$M139,BC$13)="",10^12,OFFSET(CRONOPLE!$F$14,$M139,BC$13))))</f>
        <v>1000000000000</v>
      </c>
      <c r="BD139" s="215">
        <f ca="1">IF($D139&lt;&gt;"Serviço",0,IF(AND(AUTOEVENTO="Manual",$M139=1),0,IF(OFFSET(CRONOPLE!$F$14,$M139,BD$13)="",10^12,OFFSET(CRONOPLE!$F$14,$M139,BD$13))))</f>
        <v>1000000000000</v>
      </c>
      <c r="BE139" s="215">
        <f ca="1">IF($D139&lt;&gt;"Serviço",0,IF(AND(AUTOEVENTO="Manual",$M139=1),0,IF(OFFSET(CRONOPLE!$F$14,$M139,BE$13)="",10^12,OFFSET(CRONOPLE!$F$14,$M139,BE$13))))</f>
        <v>1000000000000</v>
      </c>
      <c r="BF139" s="215">
        <f ca="1">IF($D139&lt;&gt;"Serviço",0,IF(AND(AUTOEVENTO="Manual",$M139=1),0,IF(OFFSET(CRONOPLE!$F$14,$M139,BF$13)="",10^12,OFFSET(CRONOPLE!$F$14,$M139,BF$13))))</f>
        <v>1000000000000</v>
      </c>
      <c r="BG139" s="215">
        <f ca="1">IF($D139&lt;&gt;"Serviço",0,IF(AND(AUTOEVENTO="Manual",$M139=1),0,IF(OFFSET(CRONOPLE!$F$14,$M139,BG$13)="",10^12,OFFSET(CRONOPLE!$F$14,$M139,BG$13))))</f>
        <v>1000000000000</v>
      </c>
      <c r="BH139" s="215">
        <f ca="1">IF($D139&lt;&gt;"Serviço",0,IF(AND(AUTOEVENTO="Manual",$M139=1),0,IF(OFFSET(CRONOPLE!$F$14,$M139,BH$13)="",10^12,OFFSET(CRONOPLE!$F$14,$M139,BH$13))))</f>
        <v>1000000000000</v>
      </c>
      <c r="BI139" s="215">
        <f ca="1">IF($D139&lt;&gt;"Serviço",0,IF(AND(AUTOEVENTO="Manual",$M139=1),0,IF(OFFSET(CRONOPLE!$F$14,$M139,BI$13)="",10^12,OFFSET(CRONOPLE!$F$14,$M139,BI$13))))</f>
        <v>1000000000000</v>
      </c>
      <c r="BJ139" s="215">
        <f ca="1">IF($D139&lt;&gt;"Serviço",0,IF(AND(AUTOEVENTO="Manual",$M139=1),0,IF(OFFSET(CRONOPLE!$F$14,$M139,BJ$13)="",10^12,OFFSET(CRONOPLE!$F$14,$M139,BJ$13))))</f>
        <v>1000000000000</v>
      </c>
      <c r="BK139" s="215">
        <f ca="1">IF($D139&lt;&gt;"Serviço",0,IF(AND(AUTOEVENTO="Manual",$M139=1),0,IF(OFFSET(CRONOPLE!$F$14,$M139,BK$13)="",10^12,OFFSET(CRONOPLE!$F$14,$M139,BK$13))))</f>
        <v>1000000000000</v>
      </c>
      <c r="BL139" s="215">
        <f ca="1">IF($D139&lt;&gt;"Serviço",0,IF(AND(AUTOEVENTO="Manual",$M139=1),0,IF(OFFSET(CRONOPLE!$F$14,$M139,BL$13)="",10^12,OFFSET(CRONOPLE!$F$14,$M139,BL$13))))</f>
        <v>1000000000000</v>
      </c>
      <c r="BM139" s="215">
        <f ca="1">IF($D139&lt;&gt;"Serviço",0,IF(AND(AUTOEVENTO="Manual",$M139=1),0,IF(OFFSET(CRONOPLE!$F$14,$M139,BM$13)="",10^12,OFFSET(CRONOPLE!$F$14,$M139,BM$13))))</f>
        <v>1000000000000</v>
      </c>
      <c r="BN139" s="215">
        <f ca="1">IF($D139&lt;&gt;"Serviço",0,IF(AND(AUTOEVENTO="Manual",$M139=1),0,IF(OFFSET(CRONOPLE!$F$14,$M139,BN$13)="",10^12,OFFSET(CRONOPLE!$F$14,$M139,BN$13))))</f>
        <v>1000000000000</v>
      </c>
      <c r="BO139" s="215">
        <f ca="1">IF($D139&lt;&gt;"Serviço",0,IF(AND(AUTOEVENTO="Manual",$M139=1),0,IF(OFFSET(CRONOPLE!$F$14,$M139,BO$13)="",10^12,OFFSET(CRONOPLE!$F$14,$M139,BO$13))))</f>
        <v>1000000000000</v>
      </c>
      <c r="BP139" s="215">
        <f ca="1">IF($D139&lt;&gt;"Serviço",0,IF(AND(AUTOEVENTO="Manual",$M139=1),0,IF(OFFSET(CRONOPLE!$F$14,$M139,BP$13)="",10^12,OFFSET(CRONOPLE!$F$14,$M139,BP$13))))</f>
        <v>1000000000000</v>
      </c>
      <c r="BQ139" s="215">
        <f ca="1">IF($D139&lt;&gt;"Serviço",0,IF(AND(AUTOEVENTO="Manual",$M139=1),0,IF(OFFSET(CRONOPLE!$F$14,$M139,BQ$13)="",10^12,OFFSET(CRONOPLE!$F$14,$M139,BQ$13))))</f>
        <v>1000000000000</v>
      </c>
      <c r="BR139" s="215">
        <f ca="1">IF($D139&lt;&gt;"Serviço",0,IF(AND(AUTOEVENTO="Manual",$M139=1),0,IF(OFFSET(CRONOPLE!$F$14,$M139,BR$13)="",10^12,OFFSET(CRONOPLE!$F$14,$M139,BR$13))))</f>
        <v>1000000000000</v>
      </c>
      <c r="BS139" s="215">
        <f ca="1">IF($D139&lt;&gt;"Serviço",0,IF(AND(AUTOEVENTO="Manual",$M139=1),0,IF(OFFSET(CRONOPLE!$F$14,$M139,BS$13)="",10^12,OFFSET(CRONOPLE!$F$14,$M139,BS$13))))</f>
        <v>1000000000000</v>
      </c>
      <c r="BT139" s="215">
        <f ca="1">IF($D139&lt;&gt;"Serviço",0,IF(AND(AUTOEVENTO="Manual",$M139=1),0,IF(OFFSET(CRONOPLE!$F$14,$M139,BT$13)="",10^12,OFFSET(CRONOPLE!$F$14,$M139,BT$13))))</f>
        <v>1000000000000</v>
      </c>
      <c r="BV139" s="216">
        <f ca="1">IF($D139&lt;&gt;"Serviço",0,IF(OR(AND(AUTOEVENTO="Manual",$M139=1),$M139&gt;(ROW(PLE.lastrow)-ROW(PLE.firstrow))),0,IF(OFFSET(PLE!$G$14,$M139,BV$13)="",10^12,OFFSET(PLE!$G$14,$M139,BV$13))))</f>
        <v>1000000000000</v>
      </c>
      <c r="BW139" s="216">
        <f ca="1">IF($D139&lt;&gt;"Serviço",0,IF(OR(AND(AUTOEVENTO="Manual",$M139=1),$M139&gt;(ROW(PLE.lastrow)-ROW(PLE.firstrow))),0,IF(OFFSET(PLE!$G$14,$M139,BW$13)="",10^12,OFFSET(PLE!$G$14,$M139,BW$13))))</f>
        <v>1000000000000</v>
      </c>
      <c r="BX139" s="216">
        <f ca="1">IF($D139&lt;&gt;"Serviço",0,IF(OR(AND(AUTOEVENTO="Manual",$M139=1),$M139&gt;(ROW(PLE.lastrow)-ROW(PLE.firstrow))),0,IF(OFFSET(PLE!$G$14,$M139,BX$13)="",10^12,OFFSET(PLE!$G$14,$M139,BX$13))))</f>
        <v>1000000000000</v>
      </c>
      <c r="BY139" s="216">
        <f ca="1">IF($D139&lt;&gt;"Serviço",0,IF(OR(AND(AUTOEVENTO="Manual",$M139=1),$M139&gt;(ROW(PLE.lastrow)-ROW(PLE.firstrow))),0,IF(OFFSET(PLE!$G$14,$M139,BY$13)="",10^12,OFFSET(PLE!$G$14,$M139,BY$13))))</f>
        <v>1000000000000</v>
      </c>
      <c r="BZ139" s="216">
        <f ca="1">IF($D139&lt;&gt;"Serviço",0,IF(OR(AND(AUTOEVENTO="Manual",$M139=1),$M139&gt;(ROW(PLE.lastrow)-ROW(PLE.firstrow))),0,IF(OFFSET(PLE!$G$14,$M139,BZ$13)="",10^12,OFFSET(PLE!$G$14,$M139,BZ$13))))</f>
        <v>1000000000000</v>
      </c>
      <c r="CA139" s="216">
        <f ca="1">IF($D139&lt;&gt;"Serviço",0,IF(OR(AND(AUTOEVENTO="Manual",$M139=1),$M139&gt;(ROW(PLE.lastrow)-ROW(PLE.firstrow))),0,IF(OFFSET(PLE!$G$14,$M139,CA$13)="",10^12,OFFSET(PLE!$G$14,$M139,CA$13))))</f>
        <v>1000000000000</v>
      </c>
      <c r="CB139" s="216">
        <f ca="1">IF($D139&lt;&gt;"Serviço",0,IF(OR(AND(AUTOEVENTO="Manual",$M139=1),$M139&gt;(ROW(PLE.lastrow)-ROW(PLE.firstrow))),0,IF(OFFSET(PLE!$G$14,$M139,CB$13)="",10^12,OFFSET(PLE!$G$14,$M139,CB$13))))</f>
        <v>1000000000000</v>
      </c>
      <c r="CC139" s="216">
        <f ca="1">IF($D139&lt;&gt;"Serviço",0,IF(OR(AND(AUTOEVENTO="Manual",$M139=1),$M139&gt;(ROW(PLE.lastrow)-ROW(PLE.firstrow))),0,IF(OFFSET(PLE!$G$14,$M139,CC$13)="",10^12,OFFSET(PLE!$G$14,$M139,CC$13))))</f>
        <v>1000000000000</v>
      </c>
      <c r="CD139" s="216">
        <f ca="1">IF($D139&lt;&gt;"Serviço",0,IF(OR(AND(AUTOEVENTO="Manual",$M139=1),$M139&gt;(ROW(PLE.lastrow)-ROW(PLE.firstrow))),0,IF(OFFSET(PLE!$G$14,$M139,CD$13)="",10^12,OFFSET(PLE!$G$14,$M139,CD$13))))</f>
        <v>1000000000000</v>
      </c>
      <c r="CE139" s="216">
        <f ca="1">IF($D139&lt;&gt;"Serviço",0,IF(OR(AND(AUTOEVENTO="Manual",$M139=1),$M139&gt;(ROW(PLE.lastrow)-ROW(PLE.firstrow))),0,IF(OFFSET(PLE!$G$14,$M139,CE$13)="",10^12,OFFSET(PLE!$G$14,$M139,CE$13))))</f>
        <v>1000000000000</v>
      </c>
      <c r="CF139" s="216">
        <f ca="1">IF($D139&lt;&gt;"Serviço",0,IF(OR(AND(AUTOEVENTO="Manual",$M139=1),$M139&gt;(ROW(PLE.lastrow)-ROW(PLE.firstrow))),0,IF(OFFSET(PLE!$G$14,$M139,CF$13)="",10^12,OFFSET(PLE!$G$14,$M139,CF$13))))</f>
        <v>1000000000000</v>
      </c>
      <c r="CG139" s="216">
        <f ca="1">IF($D139&lt;&gt;"Serviço",0,IF(OR(AND(AUTOEVENTO="Manual",$M139=1),$M139&gt;(ROW(PLE.lastrow)-ROW(PLE.firstrow))),0,IF(OFFSET(PLE!$G$14,$M139,CG$13)="",10^12,OFFSET(PLE!$G$14,$M139,CG$13))))</f>
        <v>1000000000000</v>
      </c>
      <c r="CH139" s="216">
        <f ca="1">IF($D139&lt;&gt;"Serviço",0,IF(OR(AND(AUTOEVENTO="Manual",$M139=1),$M139&gt;(ROW(PLE.lastrow)-ROW(PLE.firstrow))),0,IF(OFFSET(PLE!$G$14,$M139,CH$13)="",10^12,OFFSET(PLE!$G$14,$M139,CH$13))))</f>
        <v>1000000000000</v>
      </c>
      <c r="CI139" s="216">
        <f ca="1">IF($D139&lt;&gt;"Serviço",0,IF(OR(AND(AUTOEVENTO="Manual",$M139=1),$M139&gt;(ROW(PLE.lastrow)-ROW(PLE.firstrow))),0,IF(OFFSET(PLE!$G$14,$M139,CI$13)="",10^12,OFFSET(PLE!$G$14,$M139,CI$13))))</f>
        <v>1000000000000</v>
      </c>
      <c r="CJ139" s="216">
        <f ca="1">IF($D139&lt;&gt;"Serviço",0,IF(OR(AND(AUTOEVENTO="Manual",$M139=1),$M139&gt;(ROW(PLE.lastrow)-ROW(PLE.firstrow))),0,IF(OFFSET(PLE!$G$14,$M139,CJ$13)="",10^12,OFFSET(PLE!$G$14,$M139,CJ$13))))</f>
        <v>1000000000000</v>
      </c>
      <c r="CK139" s="216">
        <f ca="1">IF($D139&lt;&gt;"Serviço",0,IF(OR(AND(AUTOEVENTO="Manual",$M139=1),$M139&gt;(ROW(PLE.lastrow)-ROW(PLE.firstrow))),0,IF(OFFSET(PLE!$G$14,$M139,CK$13)="",10^12,OFFSET(PLE!$G$14,$M139,CK$13))))</f>
        <v>1000000000000</v>
      </c>
      <c r="CL139" s="216">
        <f ca="1">IF($D139&lt;&gt;"Serviço",0,IF(OR(AND(AUTOEVENTO="Manual",$M139=1),$M139&gt;(ROW(PLE.lastrow)-ROW(PLE.firstrow))),0,IF(OFFSET(PLE!$G$14,$M139,CL$13)="",10^12,OFFSET(PLE!$G$14,$M139,CL$13))))</f>
        <v>1000000000000</v>
      </c>
      <c r="CM139" s="216">
        <f ca="1">IF($D139&lt;&gt;"Serviço",0,IF(OR(AND(AUTOEVENTO="Manual",$M139=1),$M139&gt;(ROW(PLE.lastrow)-ROW(PLE.firstrow))),0,IF(OFFSET(PLE!$G$14,$M139,CM$13)="",10^12,OFFSET(PLE!$G$14,$M139,CM$13))))</f>
        <v>1000000000000</v>
      </c>
    </row>
    <row r="140" spans="1:91" ht="13.2" x14ac:dyDescent="0.25">
      <c r="A140" s="9">
        <f t="shared" ca="1" si="10"/>
        <v>0</v>
      </c>
      <c r="B140" s="9" t="str">
        <f ca="1">OFFSET(ORÇAMENTO!C$15,ROW(B140)-ROW(B$15),0)</f>
        <v>S</v>
      </c>
      <c r="C140" s="9" t="str">
        <f ca="1">OFFSET(ORÇAMENTO!L$15,ROW(C140)-ROW(C$15),0)</f>
        <v/>
      </c>
      <c r="D140" s="145" t="str">
        <f ca="1">OFFSET(ORÇAMENTO!N$15,ROW(D140)-ROW(D$15),0)</f>
        <v>Serviço</v>
      </c>
      <c r="E140" s="205" t="str">
        <f ca="1">OFFSET(ORÇAMENTO!O$15,ROW(E140)-ROW(E$15),0)</f>
        <v>-</v>
      </c>
      <c r="F140" s="206" t="str">
        <f ca="1">OFFSET(ORÇAMENTO!R$15,ROW(F140)-ROW(F$15),0)</f>
        <v>(abra o arquivo 'Referência 05-2024.xls)</v>
      </c>
      <c r="G140" s="207" t="str">
        <f ca="1">IF($D140&lt;&gt;"Serviço","",OFFSET(ORÇAMENTO!S$15,ROW(G140)-ROW(G$15),0))</f>
        <v>-</v>
      </c>
      <c r="H140" s="151">
        <f ca="1">IF($D140&lt;&gt;"Serviço",0,IF(ACOMPANHAMENTO="BM",ROUND(OFFSET(ORÇAMENTO!AJ$15,ROW(H140)-ROW(H$15),0),15-13*ORÇAMENTO!$AF$7),SUMPRODUCT(($Q$12:$AI$12&lt;&gt;"")*ROUND($Q140:$AI140,15-13*ORÇAMENTO!$AF$7))))</f>
        <v>106.96</v>
      </c>
      <c r="I140" s="650"/>
      <c r="K140" s="208"/>
      <c r="L140" s="209" t="s">
        <v>257</v>
      </c>
      <c r="M140" s="210">
        <f ca="1">IF($D140&lt;&gt;"Serviço","",IF(AUTOEVENTO="manual",$A140,IF(ISERROR(MATCH($A140,$A$15:OFFSET($A140,-1,0),0)),MAX($M$15:OFFSET(M140,-1,0))+1,INDEX($M$15:OFFSET(M140,-1,0),MATCH($A140,$A$15:OFFSET($A140,-1,0),0)))))</f>
        <v>0</v>
      </c>
      <c r="N140" s="211" t="str">
        <f ca="1">IF($D140&lt;&gt;"Serviço","",IF(AUTOEVENTO="Manual",IF($A140=0,"&lt;-- defina o número do agrupador",OFFSET(EVENTOS!$D$14,$A140,0)),OFFSET($F$15,$A140,0)))</f>
        <v>&lt;-- defina o número do agrupador</v>
      </c>
      <c r="O140" s="212"/>
      <c r="Q140" s="212"/>
      <c r="R140" s="213"/>
      <c r="S140" s="213"/>
      <c r="T140" s="213"/>
      <c r="U140" s="213"/>
      <c r="V140" s="213"/>
      <c r="W140" s="213"/>
      <c r="X140" s="213"/>
      <c r="Y140" s="213"/>
      <c r="Z140" s="214"/>
      <c r="AA140" s="213"/>
      <c r="AB140" s="213"/>
      <c r="AC140" s="213"/>
      <c r="AD140" s="213"/>
      <c r="AE140" s="213"/>
      <c r="AF140" s="213"/>
      <c r="AG140" s="213"/>
      <c r="AH140" s="214"/>
      <c r="AJ140" s="631">
        <f ca="1">IF(AND($D140="Serviço",AJ$12&lt;&gt;0,$H140&gt;0,OR(AUTOEVENTO&lt;&gt;"manual",$M140&lt;&gt;1)),ROUND(OFFSET($P140,0,AJ$13),15-13*ORÇAMENTO!$AF$7)/$H140*OFFSET(ORÇAMENTO!$X$15,ROW(AJ140)-ROW(AJ$15),0),0)</f>
        <v>0</v>
      </c>
      <c r="AK140" s="632">
        <f ca="1">IF(AND($D140="Serviço",AK$12&lt;&gt;0,$H140&gt;0,OR(AUTOEVENTO&lt;&gt;"manual",$M140&lt;&gt;1)),ROUND(OFFSET($P140,0,AK$13),15-13*ORÇAMENTO!$AF$7)/$H140*OFFSET(ORÇAMENTO!$X$15,ROW(AK140)-ROW(AK$15),0),0)</f>
        <v>0</v>
      </c>
      <c r="AL140" s="632">
        <f ca="1">IF(AND($D140="Serviço",AL$12&lt;&gt;0,$H140&gt;0,OR(AUTOEVENTO&lt;&gt;"manual",$M140&lt;&gt;1)),ROUND(OFFSET($P140,0,AL$13),15-13*ORÇAMENTO!$AF$7)/$H140*OFFSET(ORÇAMENTO!$X$15,ROW(AL140)-ROW(AL$15),0),0)</f>
        <v>0</v>
      </c>
      <c r="AM140" s="632">
        <f ca="1">IF(AND($D140="Serviço",AM$12&lt;&gt;0,$H140&gt;0,OR(AUTOEVENTO&lt;&gt;"manual",$M140&lt;&gt;1)),ROUND(OFFSET($P140,0,AM$13),15-13*ORÇAMENTO!$AF$7)/$H140*OFFSET(ORÇAMENTO!$X$15,ROW(AM140)-ROW(AM$15),0),0)</f>
        <v>0</v>
      </c>
      <c r="AN140" s="632">
        <f ca="1">IF(AND($D140="Serviço",AN$12&lt;&gt;0,$H140&gt;0,OR(AUTOEVENTO&lt;&gt;"manual",$M140&lt;&gt;1)),ROUND(OFFSET($P140,0,AN$13),15-13*ORÇAMENTO!$AF$7)/$H140*OFFSET(ORÇAMENTO!$X$15,ROW(AN140)-ROW(AN$15),0),0)</f>
        <v>0</v>
      </c>
      <c r="AO140" s="632">
        <f ca="1">IF(AND($D140="Serviço",AO$12&lt;&gt;0,$H140&gt;0,OR(AUTOEVENTO&lt;&gt;"manual",$M140&lt;&gt;1)),ROUND(OFFSET($P140,0,AO$13),15-13*ORÇAMENTO!$AF$7)/$H140*OFFSET(ORÇAMENTO!$X$15,ROW(AO140)-ROW(AO$15),0),0)</f>
        <v>0</v>
      </c>
      <c r="AP140" s="632">
        <f ca="1">IF(AND($D140="Serviço",AP$12&lt;&gt;0,$H140&gt;0,OR(AUTOEVENTO&lt;&gt;"manual",$M140&lt;&gt;1)),ROUND(OFFSET($P140,0,AP$13),15-13*ORÇAMENTO!$AF$7)/$H140*OFFSET(ORÇAMENTO!$X$15,ROW(AP140)-ROW(AP$15),0),0)</f>
        <v>0</v>
      </c>
      <c r="AQ140" s="632">
        <f ca="1">IF(AND($D140="Serviço",AQ$12&lt;&gt;0,$H140&gt;0,OR(AUTOEVENTO&lt;&gt;"manual",$M140&lt;&gt;1)),ROUND(OFFSET($P140,0,AQ$13),15-13*ORÇAMENTO!$AF$7)/$H140*OFFSET(ORÇAMENTO!$X$15,ROW(AQ140)-ROW(AQ$15),0),0)</f>
        <v>0</v>
      </c>
      <c r="AR140" s="632">
        <f ca="1">IF(AND($D140="Serviço",AR$12&lt;&gt;0,$H140&gt;0,OR(AUTOEVENTO&lt;&gt;"manual",$M140&lt;&gt;1)),ROUND(OFFSET($P140,0,AR$13),15-13*ORÇAMENTO!$AF$7)/$H140*OFFSET(ORÇAMENTO!$X$15,ROW(AR140)-ROW(AR$15),0),0)</f>
        <v>0</v>
      </c>
      <c r="AS140" s="633">
        <f ca="1">IF(AND($D140="Serviço",AS$12&lt;&gt;0,$H140&gt;0,OR(AUTOEVENTO&lt;&gt;"manual",$M140&lt;&gt;1)),ROUND(OFFSET($P140,0,AS$13),15-13*ORÇAMENTO!$AF$7)/$H140*OFFSET(ORÇAMENTO!$X$15,ROW(AS140)-ROW(AS$15),0),0)</f>
        <v>0</v>
      </c>
      <c r="AT140" s="632">
        <f ca="1">IF(AND($D140="Serviço",AT$12&lt;&gt;0,$H140&gt;0,OR(AUTOEVENTO&lt;&gt;"manual",$M140&lt;&gt;1)),ROUND(OFFSET($P140,0,AT$13),15-13*ORÇAMENTO!$AF$7)/$H140*OFFSET(ORÇAMENTO!$X$15,ROW(AT140)-ROW(AT$15),0),0)</f>
        <v>0</v>
      </c>
      <c r="AU140" s="632">
        <f ca="1">IF(AND($D140="Serviço",AU$12&lt;&gt;0,$H140&gt;0,OR(AUTOEVENTO&lt;&gt;"manual",$M140&lt;&gt;1)),ROUND(OFFSET($P140,0,AU$13),15-13*ORÇAMENTO!$AF$7)/$H140*OFFSET(ORÇAMENTO!$X$15,ROW(AU140)-ROW(AU$15),0),0)</f>
        <v>0</v>
      </c>
      <c r="AV140" s="632">
        <f ca="1">IF(AND($D140="Serviço",AV$12&lt;&gt;0,$H140&gt;0,OR(AUTOEVENTO&lt;&gt;"manual",$M140&lt;&gt;1)),ROUND(OFFSET($P140,0,AV$13),15-13*ORÇAMENTO!$AF$7)/$H140*OFFSET(ORÇAMENTO!$X$15,ROW(AV140)-ROW(AV$15),0),0)</f>
        <v>0</v>
      </c>
      <c r="AW140" s="632">
        <f ca="1">IF(AND($D140="Serviço",AW$12&lt;&gt;0,$H140&gt;0,OR(AUTOEVENTO&lt;&gt;"manual",$M140&lt;&gt;1)),ROUND(OFFSET($P140,0,AW$13),15-13*ORÇAMENTO!$AF$7)/$H140*OFFSET(ORÇAMENTO!$X$15,ROW(AW140)-ROW(AW$15),0),0)</f>
        <v>0</v>
      </c>
      <c r="AX140" s="632">
        <f ca="1">IF(AND($D140="Serviço",AX$12&lt;&gt;0,$H140&gt;0,OR(AUTOEVENTO&lt;&gt;"manual",$M140&lt;&gt;1)),ROUND(OFFSET($P140,0,AX$13),15-13*ORÇAMENTO!$AF$7)/$H140*OFFSET(ORÇAMENTO!$X$15,ROW(AX140)-ROW(AX$15),0),0)</f>
        <v>0</v>
      </c>
      <c r="AY140" s="632">
        <f ca="1">IF(AND($D140="Serviço",AY$12&lt;&gt;0,$H140&gt;0,OR(AUTOEVENTO&lt;&gt;"manual",$M140&lt;&gt;1)),ROUND(OFFSET($P140,0,AY$13),15-13*ORÇAMENTO!$AF$7)/$H140*OFFSET(ORÇAMENTO!$X$15,ROW(AY140)-ROW(AY$15),0),0)</f>
        <v>0</v>
      </c>
      <c r="AZ140" s="632">
        <f ca="1">IF(AND($D140="Serviço",AZ$12&lt;&gt;0,$H140&gt;0,OR(AUTOEVENTO&lt;&gt;"manual",$M140&lt;&gt;1)),ROUND(OFFSET($P140,0,AZ$13),15-13*ORÇAMENTO!$AF$7)/$H140*OFFSET(ORÇAMENTO!$X$15,ROW(AZ140)-ROW(AZ$15),0),0)</f>
        <v>0</v>
      </c>
      <c r="BA140" s="633">
        <f ca="1">IF(AND($D140="Serviço",BA$12&lt;&gt;0,$H140&gt;0,OR(AUTOEVENTO&lt;&gt;"manual",$M140&lt;&gt;1)),ROUND(OFFSET($P140,0,BA$13),15-13*ORÇAMENTO!$AF$7)/$H140*OFFSET(ORÇAMENTO!$X$15,ROW(BA140)-ROW(BA$15),0),0)</f>
        <v>0</v>
      </c>
      <c r="BC140" s="215">
        <f ca="1">IF($D140&lt;&gt;"Serviço",0,IF(AND(AUTOEVENTO="Manual",$M140=1),0,IF(OFFSET(CRONOPLE!$F$14,$M140,BC$13)="",10^12,OFFSET(CRONOPLE!$F$14,$M140,BC$13))))</f>
        <v>1000000000000</v>
      </c>
      <c r="BD140" s="215">
        <f ca="1">IF($D140&lt;&gt;"Serviço",0,IF(AND(AUTOEVENTO="Manual",$M140=1),0,IF(OFFSET(CRONOPLE!$F$14,$M140,BD$13)="",10^12,OFFSET(CRONOPLE!$F$14,$M140,BD$13))))</f>
        <v>1000000000000</v>
      </c>
      <c r="BE140" s="215">
        <f ca="1">IF($D140&lt;&gt;"Serviço",0,IF(AND(AUTOEVENTO="Manual",$M140=1),0,IF(OFFSET(CRONOPLE!$F$14,$M140,BE$13)="",10^12,OFFSET(CRONOPLE!$F$14,$M140,BE$13))))</f>
        <v>1000000000000</v>
      </c>
      <c r="BF140" s="215">
        <f ca="1">IF($D140&lt;&gt;"Serviço",0,IF(AND(AUTOEVENTO="Manual",$M140=1),0,IF(OFFSET(CRONOPLE!$F$14,$M140,BF$13)="",10^12,OFFSET(CRONOPLE!$F$14,$M140,BF$13))))</f>
        <v>1000000000000</v>
      </c>
      <c r="BG140" s="215">
        <f ca="1">IF($D140&lt;&gt;"Serviço",0,IF(AND(AUTOEVENTO="Manual",$M140=1),0,IF(OFFSET(CRONOPLE!$F$14,$M140,BG$13)="",10^12,OFFSET(CRONOPLE!$F$14,$M140,BG$13))))</f>
        <v>1000000000000</v>
      </c>
      <c r="BH140" s="215">
        <f ca="1">IF($D140&lt;&gt;"Serviço",0,IF(AND(AUTOEVENTO="Manual",$M140=1),0,IF(OFFSET(CRONOPLE!$F$14,$M140,BH$13)="",10^12,OFFSET(CRONOPLE!$F$14,$M140,BH$13))))</f>
        <v>1000000000000</v>
      </c>
      <c r="BI140" s="215">
        <f ca="1">IF($D140&lt;&gt;"Serviço",0,IF(AND(AUTOEVENTO="Manual",$M140=1),0,IF(OFFSET(CRONOPLE!$F$14,$M140,BI$13)="",10^12,OFFSET(CRONOPLE!$F$14,$M140,BI$13))))</f>
        <v>1000000000000</v>
      </c>
      <c r="BJ140" s="215">
        <f ca="1">IF($D140&lt;&gt;"Serviço",0,IF(AND(AUTOEVENTO="Manual",$M140=1),0,IF(OFFSET(CRONOPLE!$F$14,$M140,BJ$13)="",10^12,OFFSET(CRONOPLE!$F$14,$M140,BJ$13))))</f>
        <v>1000000000000</v>
      </c>
      <c r="BK140" s="215">
        <f ca="1">IF($D140&lt;&gt;"Serviço",0,IF(AND(AUTOEVENTO="Manual",$M140=1),0,IF(OFFSET(CRONOPLE!$F$14,$M140,BK$13)="",10^12,OFFSET(CRONOPLE!$F$14,$M140,BK$13))))</f>
        <v>1000000000000</v>
      </c>
      <c r="BL140" s="215">
        <f ca="1">IF($D140&lt;&gt;"Serviço",0,IF(AND(AUTOEVENTO="Manual",$M140=1),0,IF(OFFSET(CRONOPLE!$F$14,$M140,BL$13)="",10^12,OFFSET(CRONOPLE!$F$14,$M140,BL$13))))</f>
        <v>1000000000000</v>
      </c>
      <c r="BM140" s="215">
        <f ca="1">IF($D140&lt;&gt;"Serviço",0,IF(AND(AUTOEVENTO="Manual",$M140=1),0,IF(OFFSET(CRONOPLE!$F$14,$M140,BM$13)="",10^12,OFFSET(CRONOPLE!$F$14,$M140,BM$13))))</f>
        <v>1000000000000</v>
      </c>
      <c r="BN140" s="215">
        <f ca="1">IF($D140&lt;&gt;"Serviço",0,IF(AND(AUTOEVENTO="Manual",$M140=1),0,IF(OFFSET(CRONOPLE!$F$14,$M140,BN$13)="",10^12,OFFSET(CRONOPLE!$F$14,$M140,BN$13))))</f>
        <v>1000000000000</v>
      </c>
      <c r="BO140" s="215">
        <f ca="1">IF($D140&lt;&gt;"Serviço",0,IF(AND(AUTOEVENTO="Manual",$M140=1),0,IF(OFFSET(CRONOPLE!$F$14,$M140,BO$13)="",10^12,OFFSET(CRONOPLE!$F$14,$M140,BO$13))))</f>
        <v>1000000000000</v>
      </c>
      <c r="BP140" s="215">
        <f ca="1">IF($D140&lt;&gt;"Serviço",0,IF(AND(AUTOEVENTO="Manual",$M140=1),0,IF(OFFSET(CRONOPLE!$F$14,$M140,BP$13)="",10^12,OFFSET(CRONOPLE!$F$14,$M140,BP$13))))</f>
        <v>1000000000000</v>
      </c>
      <c r="BQ140" s="215">
        <f ca="1">IF($D140&lt;&gt;"Serviço",0,IF(AND(AUTOEVENTO="Manual",$M140=1),0,IF(OFFSET(CRONOPLE!$F$14,$M140,BQ$13)="",10^12,OFFSET(CRONOPLE!$F$14,$M140,BQ$13))))</f>
        <v>1000000000000</v>
      </c>
      <c r="BR140" s="215">
        <f ca="1">IF($D140&lt;&gt;"Serviço",0,IF(AND(AUTOEVENTO="Manual",$M140=1),0,IF(OFFSET(CRONOPLE!$F$14,$M140,BR$13)="",10^12,OFFSET(CRONOPLE!$F$14,$M140,BR$13))))</f>
        <v>1000000000000</v>
      </c>
      <c r="BS140" s="215">
        <f ca="1">IF($D140&lt;&gt;"Serviço",0,IF(AND(AUTOEVENTO="Manual",$M140=1),0,IF(OFFSET(CRONOPLE!$F$14,$M140,BS$13)="",10^12,OFFSET(CRONOPLE!$F$14,$M140,BS$13))))</f>
        <v>1000000000000</v>
      </c>
      <c r="BT140" s="215">
        <f ca="1">IF($D140&lt;&gt;"Serviço",0,IF(AND(AUTOEVENTO="Manual",$M140=1),0,IF(OFFSET(CRONOPLE!$F$14,$M140,BT$13)="",10^12,OFFSET(CRONOPLE!$F$14,$M140,BT$13))))</f>
        <v>1000000000000</v>
      </c>
      <c r="BV140" s="216">
        <f ca="1">IF($D140&lt;&gt;"Serviço",0,IF(OR(AND(AUTOEVENTO="Manual",$M140=1),$M140&gt;(ROW(PLE.lastrow)-ROW(PLE.firstrow))),0,IF(OFFSET(PLE!$G$14,$M140,BV$13)="",10^12,OFFSET(PLE!$G$14,$M140,BV$13))))</f>
        <v>1000000000000</v>
      </c>
      <c r="BW140" s="216">
        <f ca="1">IF($D140&lt;&gt;"Serviço",0,IF(OR(AND(AUTOEVENTO="Manual",$M140=1),$M140&gt;(ROW(PLE.lastrow)-ROW(PLE.firstrow))),0,IF(OFFSET(PLE!$G$14,$M140,BW$13)="",10^12,OFFSET(PLE!$G$14,$M140,BW$13))))</f>
        <v>1000000000000</v>
      </c>
      <c r="BX140" s="216">
        <f ca="1">IF($D140&lt;&gt;"Serviço",0,IF(OR(AND(AUTOEVENTO="Manual",$M140=1),$M140&gt;(ROW(PLE.lastrow)-ROW(PLE.firstrow))),0,IF(OFFSET(PLE!$G$14,$M140,BX$13)="",10^12,OFFSET(PLE!$G$14,$M140,BX$13))))</f>
        <v>1000000000000</v>
      </c>
      <c r="BY140" s="216">
        <f ca="1">IF($D140&lt;&gt;"Serviço",0,IF(OR(AND(AUTOEVENTO="Manual",$M140=1),$M140&gt;(ROW(PLE.lastrow)-ROW(PLE.firstrow))),0,IF(OFFSET(PLE!$G$14,$M140,BY$13)="",10^12,OFFSET(PLE!$G$14,$M140,BY$13))))</f>
        <v>1000000000000</v>
      </c>
      <c r="BZ140" s="216">
        <f ca="1">IF($D140&lt;&gt;"Serviço",0,IF(OR(AND(AUTOEVENTO="Manual",$M140=1),$M140&gt;(ROW(PLE.lastrow)-ROW(PLE.firstrow))),0,IF(OFFSET(PLE!$G$14,$M140,BZ$13)="",10^12,OFFSET(PLE!$G$14,$M140,BZ$13))))</f>
        <v>1000000000000</v>
      </c>
      <c r="CA140" s="216">
        <f ca="1">IF($D140&lt;&gt;"Serviço",0,IF(OR(AND(AUTOEVENTO="Manual",$M140=1),$M140&gt;(ROW(PLE.lastrow)-ROW(PLE.firstrow))),0,IF(OFFSET(PLE!$G$14,$M140,CA$13)="",10^12,OFFSET(PLE!$G$14,$M140,CA$13))))</f>
        <v>1000000000000</v>
      </c>
      <c r="CB140" s="216">
        <f ca="1">IF($D140&lt;&gt;"Serviço",0,IF(OR(AND(AUTOEVENTO="Manual",$M140=1),$M140&gt;(ROW(PLE.lastrow)-ROW(PLE.firstrow))),0,IF(OFFSET(PLE!$G$14,$M140,CB$13)="",10^12,OFFSET(PLE!$G$14,$M140,CB$13))))</f>
        <v>1000000000000</v>
      </c>
      <c r="CC140" s="216">
        <f ca="1">IF($D140&lt;&gt;"Serviço",0,IF(OR(AND(AUTOEVENTO="Manual",$M140=1),$M140&gt;(ROW(PLE.lastrow)-ROW(PLE.firstrow))),0,IF(OFFSET(PLE!$G$14,$M140,CC$13)="",10^12,OFFSET(PLE!$G$14,$M140,CC$13))))</f>
        <v>1000000000000</v>
      </c>
      <c r="CD140" s="216">
        <f ca="1">IF($D140&lt;&gt;"Serviço",0,IF(OR(AND(AUTOEVENTO="Manual",$M140=1),$M140&gt;(ROW(PLE.lastrow)-ROW(PLE.firstrow))),0,IF(OFFSET(PLE!$G$14,$M140,CD$13)="",10^12,OFFSET(PLE!$G$14,$M140,CD$13))))</f>
        <v>1000000000000</v>
      </c>
      <c r="CE140" s="216">
        <f ca="1">IF($D140&lt;&gt;"Serviço",0,IF(OR(AND(AUTOEVENTO="Manual",$M140=1),$M140&gt;(ROW(PLE.lastrow)-ROW(PLE.firstrow))),0,IF(OFFSET(PLE!$G$14,$M140,CE$13)="",10^12,OFFSET(PLE!$G$14,$M140,CE$13))))</f>
        <v>1000000000000</v>
      </c>
      <c r="CF140" s="216">
        <f ca="1">IF($D140&lt;&gt;"Serviço",0,IF(OR(AND(AUTOEVENTO="Manual",$M140=1),$M140&gt;(ROW(PLE.lastrow)-ROW(PLE.firstrow))),0,IF(OFFSET(PLE!$G$14,$M140,CF$13)="",10^12,OFFSET(PLE!$G$14,$M140,CF$13))))</f>
        <v>1000000000000</v>
      </c>
      <c r="CG140" s="216">
        <f ca="1">IF($D140&lt;&gt;"Serviço",0,IF(OR(AND(AUTOEVENTO="Manual",$M140=1),$M140&gt;(ROW(PLE.lastrow)-ROW(PLE.firstrow))),0,IF(OFFSET(PLE!$G$14,$M140,CG$13)="",10^12,OFFSET(PLE!$G$14,$M140,CG$13))))</f>
        <v>1000000000000</v>
      </c>
      <c r="CH140" s="216">
        <f ca="1">IF($D140&lt;&gt;"Serviço",0,IF(OR(AND(AUTOEVENTO="Manual",$M140=1),$M140&gt;(ROW(PLE.lastrow)-ROW(PLE.firstrow))),0,IF(OFFSET(PLE!$G$14,$M140,CH$13)="",10^12,OFFSET(PLE!$G$14,$M140,CH$13))))</f>
        <v>1000000000000</v>
      </c>
      <c r="CI140" s="216">
        <f ca="1">IF($D140&lt;&gt;"Serviço",0,IF(OR(AND(AUTOEVENTO="Manual",$M140=1),$M140&gt;(ROW(PLE.lastrow)-ROW(PLE.firstrow))),0,IF(OFFSET(PLE!$G$14,$M140,CI$13)="",10^12,OFFSET(PLE!$G$14,$M140,CI$13))))</f>
        <v>1000000000000</v>
      </c>
      <c r="CJ140" s="216">
        <f ca="1">IF($D140&lt;&gt;"Serviço",0,IF(OR(AND(AUTOEVENTO="Manual",$M140=1),$M140&gt;(ROW(PLE.lastrow)-ROW(PLE.firstrow))),0,IF(OFFSET(PLE!$G$14,$M140,CJ$13)="",10^12,OFFSET(PLE!$G$14,$M140,CJ$13))))</f>
        <v>1000000000000</v>
      </c>
      <c r="CK140" s="216">
        <f ca="1">IF($D140&lt;&gt;"Serviço",0,IF(OR(AND(AUTOEVENTO="Manual",$M140=1),$M140&gt;(ROW(PLE.lastrow)-ROW(PLE.firstrow))),0,IF(OFFSET(PLE!$G$14,$M140,CK$13)="",10^12,OFFSET(PLE!$G$14,$M140,CK$13))))</f>
        <v>1000000000000</v>
      </c>
      <c r="CL140" s="216">
        <f ca="1">IF($D140&lt;&gt;"Serviço",0,IF(OR(AND(AUTOEVENTO="Manual",$M140=1),$M140&gt;(ROW(PLE.lastrow)-ROW(PLE.firstrow))),0,IF(OFFSET(PLE!$G$14,$M140,CL$13)="",10^12,OFFSET(PLE!$G$14,$M140,CL$13))))</f>
        <v>1000000000000</v>
      </c>
      <c r="CM140" s="216">
        <f ca="1">IF($D140&lt;&gt;"Serviço",0,IF(OR(AND(AUTOEVENTO="Manual",$M140=1),$M140&gt;(ROW(PLE.lastrow)-ROW(PLE.firstrow))),0,IF(OFFSET(PLE!$G$14,$M140,CM$13)="",10^12,OFFSET(PLE!$G$14,$M140,CM$13))))</f>
        <v>1000000000000</v>
      </c>
    </row>
    <row r="141" spans="1:91" ht="13.2" x14ac:dyDescent="0.25">
      <c r="A141" s="9">
        <f t="shared" ca="1" si="10"/>
        <v>0</v>
      </c>
      <c r="B141" s="9" t="str">
        <f ca="1">OFFSET(ORÇAMENTO!C$15,ROW(B141)-ROW(B$15),0)</f>
        <v>S</v>
      </c>
      <c r="C141" s="9" t="str">
        <f ca="1">OFFSET(ORÇAMENTO!L$15,ROW(C141)-ROW(C$15),0)</f>
        <v/>
      </c>
      <c r="D141" s="145" t="str">
        <f ca="1">OFFSET(ORÇAMENTO!N$15,ROW(D141)-ROW(D$15),0)</f>
        <v>Serviço</v>
      </c>
      <c r="E141" s="205" t="str">
        <f ca="1">OFFSET(ORÇAMENTO!O$15,ROW(E141)-ROW(E$15),0)</f>
        <v>-</v>
      </c>
      <c r="F141" s="206" t="str">
        <f ca="1">OFFSET(ORÇAMENTO!R$15,ROW(F141)-ROW(F$15),0)</f>
        <v>(abra o arquivo 'Referência 05-2024.xls)</v>
      </c>
      <c r="G141" s="207" t="str">
        <f ca="1">IF($D141&lt;&gt;"Serviço","",OFFSET(ORÇAMENTO!S$15,ROW(G141)-ROW(G$15),0))</f>
        <v>-</v>
      </c>
      <c r="H141" s="151">
        <f ca="1">IF($D141&lt;&gt;"Serviço",0,IF(ACOMPANHAMENTO="BM",ROUND(OFFSET(ORÇAMENTO!AJ$15,ROW(H141)-ROW(H$15),0),15-13*ORÇAMENTO!$AF$7),SUMPRODUCT(($Q$12:$AI$12&lt;&gt;"")*ROUND($Q141:$AI141,15-13*ORÇAMENTO!$AF$7))))</f>
        <v>7.37</v>
      </c>
      <c r="I141" s="650"/>
      <c r="K141" s="208"/>
      <c r="L141" s="209" t="s">
        <v>257</v>
      </c>
      <c r="M141" s="210">
        <f ca="1">IF($D141&lt;&gt;"Serviço","",IF(AUTOEVENTO="manual",$A141,IF(ISERROR(MATCH($A141,$A$15:OFFSET($A141,-1,0),0)),MAX($M$15:OFFSET(M141,-1,0))+1,INDEX($M$15:OFFSET(M141,-1,0),MATCH($A141,$A$15:OFFSET($A141,-1,0),0)))))</f>
        <v>0</v>
      </c>
      <c r="N141" s="211" t="str">
        <f ca="1">IF($D141&lt;&gt;"Serviço","",IF(AUTOEVENTO="Manual",IF($A141=0,"&lt;-- defina o número do agrupador",OFFSET(EVENTOS!$D$14,$A141,0)),OFFSET($F$15,$A141,0)))</f>
        <v>&lt;-- defina o número do agrupador</v>
      </c>
      <c r="O141" s="212"/>
      <c r="Q141" s="212"/>
      <c r="R141" s="213"/>
      <c r="S141" s="213"/>
      <c r="T141" s="213"/>
      <c r="U141" s="213"/>
      <c r="V141" s="213"/>
      <c r="W141" s="213"/>
      <c r="X141" s="213"/>
      <c r="Y141" s="213"/>
      <c r="Z141" s="214"/>
      <c r="AA141" s="213"/>
      <c r="AB141" s="213"/>
      <c r="AC141" s="213"/>
      <c r="AD141" s="213"/>
      <c r="AE141" s="213"/>
      <c r="AF141" s="213"/>
      <c r="AG141" s="213"/>
      <c r="AH141" s="214"/>
      <c r="AJ141" s="631">
        <f ca="1">IF(AND($D141="Serviço",AJ$12&lt;&gt;0,$H141&gt;0,OR(AUTOEVENTO&lt;&gt;"manual",$M141&lt;&gt;1)),ROUND(OFFSET($P141,0,AJ$13),15-13*ORÇAMENTO!$AF$7)/$H141*OFFSET(ORÇAMENTO!$X$15,ROW(AJ141)-ROW(AJ$15),0),0)</f>
        <v>0</v>
      </c>
      <c r="AK141" s="632">
        <f ca="1">IF(AND($D141="Serviço",AK$12&lt;&gt;0,$H141&gt;0,OR(AUTOEVENTO&lt;&gt;"manual",$M141&lt;&gt;1)),ROUND(OFFSET($P141,0,AK$13),15-13*ORÇAMENTO!$AF$7)/$H141*OFFSET(ORÇAMENTO!$X$15,ROW(AK141)-ROW(AK$15),0),0)</f>
        <v>0</v>
      </c>
      <c r="AL141" s="632">
        <f ca="1">IF(AND($D141="Serviço",AL$12&lt;&gt;0,$H141&gt;0,OR(AUTOEVENTO&lt;&gt;"manual",$M141&lt;&gt;1)),ROUND(OFFSET($P141,0,AL$13),15-13*ORÇAMENTO!$AF$7)/$H141*OFFSET(ORÇAMENTO!$X$15,ROW(AL141)-ROW(AL$15),0),0)</f>
        <v>0</v>
      </c>
      <c r="AM141" s="632">
        <f ca="1">IF(AND($D141="Serviço",AM$12&lt;&gt;0,$H141&gt;0,OR(AUTOEVENTO&lt;&gt;"manual",$M141&lt;&gt;1)),ROUND(OFFSET($P141,0,AM$13),15-13*ORÇAMENTO!$AF$7)/$H141*OFFSET(ORÇAMENTO!$X$15,ROW(AM141)-ROW(AM$15),0),0)</f>
        <v>0</v>
      </c>
      <c r="AN141" s="632">
        <f ca="1">IF(AND($D141="Serviço",AN$12&lt;&gt;0,$H141&gt;0,OR(AUTOEVENTO&lt;&gt;"manual",$M141&lt;&gt;1)),ROUND(OFFSET($P141,0,AN$13),15-13*ORÇAMENTO!$AF$7)/$H141*OFFSET(ORÇAMENTO!$X$15,ROW(AN141)-ROW(AN$15),0),0)</f>
        <v>0</v>
      </c>
      <c r="AO141" s="632">
        <f ca="1">IF(AND($D141="Serviço",AO$12&lt;&gt;0,$H141&gt;0,OR(AUTOEVENTO&lt;&gt;"manual",$M141&lt;&gt;1)),ROUND(OFFSET($P141,0,AO$13),15-13*ORÇAMENTO!$AF$7)/$H141*OFFSET(ORÇAMENTO!$X$15,ROW(AO141)-ROW(AO$15),0),0)</f>
        <v>0</v>
      </c>
      <c r="AP141" s="632">
        <f ca="1">IF(AND($D141="Serviço",AP$12&lt;&gt;0,$H141&gt;0,OR(AUTOEVENTO&lt;&gt;"manual",$M141&lt;&gt;1)),ROUND(OFFSET($P141,0,AP$13),15-13*ORÇAMENTO!$AF$7)/$H141*OFFSET(ORÇAMENTO!$X$15,ROW(AP141)-ROW(AP$15),0),0)</f>
        <v>0</v>
      </c>
      <c r="AQ141" s="632">
        <f ca="1">IF(AND($D141="Serviço",AQ$12&lt;&gt;0,$H141&gt;0,OR(AUTOEVENTO&lt;&gt;"manual",$M141&lt;&gt;1)),ROUND(OFFSET($P141,0,AQ$13),15-13*ORÇAMENTO!$AF$7)/$H141*OFFSET(ORÇAMENTO!$X$15,ROW(AQ141)-ROW(AQ$15),0),0)</f>
        <v>0</v>
      </c>
      <c r="AR141" s="632">
        <f ca="1">IF(AND($D141="Serviço",AR$12&lt;&gt;0,$H141&gt;0,OR(AUTOEVENTO&lt;&gt;"manual",$M141&lt;&gt;1)),ROUND(OFFSET($P141,0,AR$13),15-13*ORÇAMENTO!$AF$7)/$H141*OFFSET(ORÇAMENTO!$X$15,ROW(AR141)-ROW(AR$15),0),0)</f>
        <v>0</v>
      </c>
      <c r="AS141" s="633">
        <f ca="1">IF(AND($D141="Serviço",AS$12&lt;&gt;0,$H141&gt;0,OR(AUTOEVENTO&lt;&gt;"manual",$M141&lt;&gt;1)),ROUND(OFFSET($P141,0,AS$13),15-13*ORÇAMENTO!$AF$7)/$H141*OFFSET(ORÇAMENTO!$X$15,ROW(AS141)-ROW(AS$15),0),0)</f>
        <v>0</v>
      </c>
      <c r="AT141" s="632">
        <f ca="1">IF(AND($D141="Serviço",AT$12&lt;&gt;0,$H141&gt;0,OR(AUTOEVENTO&lt;&gt;"manual",$M141&lt;&gt;1)),ROUND(OFFSET($P141,0,AT$13),15-13*ORÇAMENTO!$AF$7)/$H141*OFFSET(ORÇAMENTO!$X$15,ROW(AT141)-ROW(AT$15),0),0)</f>
        <v>0</v>
      </c>
      <c r="AU141" s="632">
        <f ca="1">IF(AND($D141="Serviço",AU$12&lt;&gt;0,$H141&gt;0,OR(AUTOEVENTO&lt;&gt;"manual",$M141&lt;&gt;1)),ROUND(OFFSET($P141,0,AU$13),15-13*ORÇAMENTO!$AF$7)/$H141*OFFSET(ORÇAMENTO!$X$15,ROW(AU141)-ROW(AU$15),0),0)</f>
        <v>0</v>
      </c>
      <c r="AV141" s="632">
        <f ca="1">IF(AND($D141="Serviço",AV$12&lt;&gt;0,$H141&gt;0,OR(AUTOEVENTO&lt;&gt;"manual",$M141&lt;&gt;1)),ROUND(OFFSET($P141,0,AV$13),15-13*ORÇAMENTO!$AF$7)/$H141*OFFSET(ORÇAMENTO!$X$15,ROW(AV141)-ROW(AV$15),0),0)</f>
        <v>0</v>
      </c>
      <c r="AW141" s="632">
        <f ca="1">IF(AND($D141="Serviço",AW$12&lt;&gt;0,$H141&gt;0,OR(AUTOEVENTO&lt;&gt;"manual",$M141&lt;&gt;1)),ROUND(OFFSET($P141,0,AW$13),15-13*ORÇAMENTO!$AF$7)/$H141*OFFSET(ORÇAMENTO!$X$15,ROW(AW141)-ROW(AW$15),0),0)</f>
        <v>0</v>
      </c>
      <c r="AX141" s="632">
        <f ca="1">IF(AND($D141="Serviço",AX$12&lt;&gt;0,$H141&gt;0,OR(AUTOEVENTO&lt;&gt;"manual",$M141&lt;&gt;1)),ROUND(OFFSET($P141,0,AX$13),15-13*ORÇAMENTO!$AF$7)/$H141*OFFSET(ORÇAMENTO!$X$15,ROW(AX141)-ROW(AX$15),0),0)</f>
        <v>0</v>
      </c>
      <c r="AY141" s="632">
        <f ca="1">IF(AND($D141="Serviço",AY$12&lt;&gt;0,$H141&gt;0,OR(AUTOEVENTO&lt;&gt;"manual",$M141&lt;&gt;1)),ROUND(OFFSET($P141,0,AY$13),15-13*ORÇAMENTO!$AF$7)/$H141*OFFSET(ORÇAMENTO!$X$15,ROW(AY141)-ROW(AY$15),0),0)</f>
        <v>0</v>
      </c>
      <c r="AZ141" s="632">
        <f ca="1">IF(AND($D141="Serviço",AZ$12&lt;&gt;0,$H141&gt;0,OR(AUTOEVENTO&lt;&gt;"manual",$M141&lt;&gt;1)),ROUND(OFFSET($P141,0,AZ$13),15-13*ORÇAMENTO!$AF$7)/$H141*OFFSET(ORÇAMENTO!$X$15,ROW(AZ141)-ROW(AZ$15),0),0)</f>
        <v>0</v>
      </c>
      <c r="BA141" s="633">
        <f ca="1">IF(AND($D141="Serviço",BA$12&lt;&gt;0,$H141&gt;0,OR(AUTOEVENTO&lt;&gt;"manual",$M141&lt;&gt;1)),ROUND(OFFSET($P141,0,BA$13),15-13*ORÇAMENTO!$AF$7)/$H141*OFFSET(ORÇAMENTO!$X$15,ROW(BA141)-ROW(BA$15),0),0)</f>
        <v>0</v>
      </c>
      <c r="BC141" s="215">
        <f ca="1">IF($D141&lt;&gt;"Serviço",0,IF(AND(AUTOEVENTO="Manual",$M141=1),0,IF(OFFSET(CRONOPLE!$F$14,$M141,BC$13)="",10^12,OFFSET(CRONOPLE!$F$14,$M141,BC$13))))</f>
        <v>1000000000000</v>
      </c>
      <c r="BD141" s="215">
        <f ca="1">IF($D141&lt;&gt;"Serviço",0,IF(AND(AUTOEVENTO="Manual",$M141=1),0,IF(OFFSET(CRONOPLE!$F$14,$M141,BD$13)="",10^12,OFFSET(CRONOPLE!$F$14,$M141,BD$13))))</f>
        <v>1000000000000</v>
      </c>
      <c r="BE141" s="215">
        <f ca="1">IF($D141&lt;&gt;"Serviço",0,IF(AND(AUTOEVENTO="Manual",$M141=1),0,IF(OFFSET(CRONOPLE!$F$14,$M141,BE$13)="",10^12,OFFSET(CRONOPLE!$F$14,$M141,BE$13))))</f>
        <v>1000000000000</v>
      </c>
      <c r="BF141" s="215">
        <f ca="1">IF($D141&lt;&gt;"Serviço",0,IF(AND(AUTOEVENTO="Manual",$M141=1),0,IF(OFFSET(CRONOPLE!$F$14,$M141,BF$13)="",10^12,OFFSET(CRONOPLE!$F$14,$M141,BF$13))))</f>
        <v>1000000000000</v>
      </c>
      <c r="BG141" s="215">
        <f ca="1">IF($D141&lt;&gt;"Serviço",0,IF(AND(AUTOEVENTO="Manual",$M141=1),0,IF(OFFSET(CRONOPLE!$F$14,$M141,BG$13)="",10^12,OFFSET(CRONOPLE!$F$14,$M141,BG$13))))</f>
        <v>1000000000000</v>
      </c>
      <c r="BH141" s="215">
        <f ca="1">IF($D141&lt;&gt;"Serviço",0,IF(AND(AUTOEVENTO="Manual",$M141=1),0,IF(OFFSET(CRONOPLE!$F$14,$M141,BH$13)="",10^12,OFFSET(CRONOPLE!$F$14,$M141,BH$13))))</f>
        <v>1000000000000</v>
      </c>
      <c r="BI141" s="215">
        <f ca="1">IF($D141&lt;&gt;"Serviço",0,IF(AND(AUTOEVENTO="Manual",$M141=1),0,IF(OFFSET(CRONOPLE!$F$14,$M141,BI$13)="",10^12,OFFSET(CRONOPLE!$F$14,$M141,BI$13))))</f>
        <v>1000000000000</v>
      </c>
      <c r="BJ141" s="215">
        <f ca="1">IF($D141&lt;&gt;"Serviço",0,IF(AND(AUTOEVENTO="Manual",$M141=1),0,IF(OFFSET(CRONOPLE!$F$14,$M141,BJ$13)="",10^12,OFFSET(CRONOPLE!$F$14,$M141,BJ$13))))</f>
        <v>1000000000000</v>
      </c>
      <c r="BK141" s="215">
        <f ca="1">IF($D141&lt;&gt;"Serviço",0,IF(AND(AUTOEVENTO="Manual",$M141=1),0,IF(OFFSET(CRONOPLE!$F$14,$M141,BK$13)="",10^12,OFFSET(CRONOPLE!$F$14,$M141,BK$13))))</f>
        <v>1000000000000</v>
      </c>
      <c r="BL141" s="215">
        <f ca="1">IF($D141&lt;&gt;"Serviço",0,IF(AND(AUTOEVENTO="Manual",$M141=1),0,IF(OFFSET(CRONOPLE!$F$14,$M141,BL$13)="",10^12,OFFSET(CRONOPLE!$F$14,$M141,BL$13))))</f>
        <v>1000000000000</v>
      </c>
      <c r="BM141" s="215">
        <f ca="1">IF($D141&lt;&gt;"Serviço",0,IF(AND(AUTOEVENTO="Manual",$M141=1),0,IF(OFFSET(CRONOPLE!$F$14,$M141,BM$13)="",10^12,OFFSET(CRONOPLE!$F$14,$M141,BM$13))))</f>
        <v>1000000000000</v>
      </c>
      <c r="BN141" s="215">
        <f ca="1">IF($D141&lt;&gt;"Serviço",0,IF(AND(AUTOEVENTO="Manual",$M141=1),0,IF(OFFSET(CRONOPLE!$F$14,$M141,BN$13)="",10^12,OFFSET(CRONOPLE!$F$14,$M141,BN$13))))</f>
        <v>1000000000000</v>
      </c>
      <c r="BO141" s="215">
        <f ca="1">IF($D141&lt;&gt;"Serviço",0,IF(AND(AUTOEVENTO="Manual",$M141=1),0,IF(OFFSET(CRONOPLE!$F$14,$M141,BO$13)="",10^12,OFFSET(CRONOPLE!$F$14,$M141,BO$13))))</f>
        <v>1000000000000</v>
      </c>
      <c r="BP141" s="215">
        <f ca="1">IF($D141&lt;&gt;"Serviço",0,IF(AND(AUTOEVENTO="Manual",$M141=1),0,IF(OFFSET(CRONOPLE!$F$14,$M141,BP$13)="",10^12,OFFSET(CRONOPLE!$F$14,$M141,BP$13))))</f>
        <v>1000000000000</v>
      </c>
      <c r="BQ141" s="215">
        <f ca="1">IF($D141&lt;&gt;"Serviço",0,IF(AND(AUTOEVENTO="Manual",$M141=1),0,IF(OFFSET(CRONOPLE!$F$14,$M141,BQ$13)="",10^12,OFFSET(CRONOPLE!$F$14,$M141,BQ$13))))</f>
        <v>1000000000000</v>
      </c>
      <c r="BR141" s="215">
        <f ca="1">IF($D141&lt;&gt;"Serviço",0,IF(AND(AUTOEVENTO="Manual",$M141=1),0,IF(OFFSET(CRONOPLE!$F$14,$M141,BR$13)="",10^12,OFFSET(CRONOPLE!$F$14,$M141,BR$13))))</f>
        <v>1000000000000</v>
      </c>
      <c r="BS141" s="215">
        <f ca="1">IF($D141&lt;&gt;"Serviço",0,IF(AND(AUTOEVENTO="Manual",$M141=1),0,IF(OFFSET(CRONOPLE!$F$14,$M141,BS$13)="",10^12,OFFSET(CRONOPLE!$F$14,$M141,BS$13))))</f>
        <v>1000000000000</v>
      </c>
      <c r="BT141" s="215">
        <f ca="1">IF($D141&lt;&gt;"Serviço",0,IF(AND(AUTOEVENTO="Manual",$M141=1),0,IF(OFFSET(CRONOPLE!$F$14,$M141,BT$13)="",10^12,OFFSET(CRONOPLE!$F$14,$M141,BT$13))))</f>
        <v>1000000000000</v>
      </c>
      <c r="BV141" s="216">
        <f ca="1">IF($D141&lt;&gt;"Serviço",0,IF(OR(AND(AUTOEVENTO="Manual",$M141=1),$M141&gt;(ROW(PLE.lastrow)-ROW(PLE.firstrow))),0,IF(OFFSET(PLE!$G$14,$M141,BV$13)="",10^12,OFFSET(PLE!$G$14,$M141,BV$13))))</f>
        <v>1000000000000</v>
      </c>
      <c r="BW141" s="216">
        <f ca="1">IF($D141&lt;&gt;"Serviço",0,IF(OR(AND(AUTOEVENTO="Manual",$M141=1),$M141&gt;(ROW(PLE.lastrow)-ROW(PLE.firstrow))),0,IF(OFFSET(PLE!$G$14,$M141,BW$13)="",10^12,OFFSET(PLE!$G$14,$M141,BW$13))))</f>
        <v>1000000000000</v>
      </c>
      <c r="BX141" s="216">
        <f ca="1">IF($D141&lt;&gt;"Serviço",0,IF(OR(AND(AUTOEVENTO="Manual",$M141=1),$M141&gt;(ROW(PLE.lastrow)-ROW(PLE.firstrow))),0,IF(OFFSET(PLE!$G$14,$M141,BX$13)="",10^12,OFFSET(PLE!$G$14,$M141,BX$13))))</f>
        <v>1000000000000</v>
      </c>
      <c r="BY141" s="216">
        <f ca="1">IF($D141&lt;&gt;"Serviço",0,IF(OR(AND(AUTOEVENTO="Manual",$M141=1),$M141&gt;(ROW(PLE.lastrow)-ROW(PLE.firstrow))),0,IF(OFFSET(PLE!$G$14,$M141,BY$13)="",10^12,OFFSET(PLE!$G$14,$M141,BY$13))))</f>
        <v>1000000000000</v>
      </c>
      <c r="BZ141" s="216">
        <f ca="1">IF($D141&lt;&gt;"Serviço",0,IF(OR(AND(AUTOEVENTO="Manual",$M141=1),$M141&gt;(ROW(PLE.lastrow)-ROW(PLE.firstrow))),0,IF(OFFSET(PLE!$G$14,$M141,BZ$13)="",10^12,OFFSET(PLE!$G$14,$M141,BZ$13))))</f>
        <v>1000000000000</v>
      </c>
      <c r="CA141" s="216">
        <f ca="1">IF($D141&lt;&gt;"Serviço",0,IF(OR(AND(AUTOEVENTO="Manual",$M141=1),$M141&gt;(ROW(PLE.lastrow)-ROW(PLE.firstrow))),0,IF(OFFSET(PLE!$G$14,$M141,CA$13)="",10^12,OFFSET(PLE!$G$14,$M141,CA$13))))</f>
        <v>1000000000000</v>
      </c>
      <c r="CB141" s="216">
        <f ca="1">IF($D141&lt;&gt;"Serviço",0,IF(OR(AND(AUTOEVENTO="Manual",$M141=1),$M141&gt;(ROW(PLE.lastrow)-ROW(PLE.firstrow))),0,IF(OFFSET(PLE!$G$14,$M141,CB$13)="",10^12,OFFSET(PLE!$G$14,$M141,CB$13))))</f>
        <v>1000000000000</v>
      </c>
      <c r="CC141" s="216">
        <f ca="1">IF($D141&lt;&gt;"Serviço",0,IF(OR(AND(AUTOEVENTO="Manual",$M141=1),$M141&gt;(ROW(PLE.lastrow)-ROW(PLE.firstrow))),0,IF(OFFSET(PLE!$G$14,$M141,CC$13)="",10^12,OFFSET(PLE!$G$14,$M141,CC$13))))</f>
        <v>1000000000000</v>
      </c>
      <c r="CD141" s="216">
        <f ca="1">IF($D141&lt;&gt;"Serviço",0,IF(OR(AND(AUTOEVENTO="Manual",$M141=1),$M141&gt;(ROW(PLE.lastrow)-ROW(PLE.firstrow))),0,IF(OFFSET(PLE!$G$14,$M141,CD$13)="",10^12,OFFSET(PLE!$G$14,$M141,CD$13))))</f>
        <v>1000000000000</v>
      </c>
      <c r="CE141" s="216">
        <f ca="1">IF($D141&lt;&gt;"Serviço",0,IF(OR(AND(AUTOEVENTO="Manual",$M141=1),$M141&gt;(ROW(PLE.lastrow)-ROW(PLE.firstrow))),0,IF(OFFSET(PLE!$G$14,$M141,CE$13)="",10^12,OFFSET(PLE!$G$14,$M141,CE$13))))</f>
        <v>1000000000000</v>
      </c>
      <c r="CF141" s="216">
        <f ca="1">IF($D141&lt;&gt;"Serviço",0,IF(OR(AND(AUTOEVENTO="Manual",$M141=1),$M141&gt;(ROW(PLE.lastrow)-ROW(PLE.firstrow))),0,IF(OFFSET(PLE!$G$14,$M141,CF$13)="",10^12,OFFSET(PLE!$G$14,$M141,CF$13))))</f>
        <v>1000000000000</v>
      </c>
      <c r="CG141" s="216">
        <f ca="1">IF($D141&lt;&gt;"Serviço",0,IF(OR(AND(AUTOEVENTO="Manual",$M141=1),$M141&gt;(ROW(PLE.lastrow)-ROW(PLE.firstrow))),0,IF(OFFSET(PLE!$G$14,$M141,CG$13)="",10^12,OFFSET(PLE!$G$14,$M141,CG$13))))</f>
        <v>1000000000000</v>
      </c>
      <c r="CH141" s="216">
        <f ca="1">IF($D141&lt;&gt;"Serviço",0,IF(OR(AND(AUTOEVENTO="Manual",$M141=1),$M141&gt;(ROW(PLE.lastrow)-ROW(PLE.firstrow))),0,IF(OFFSET(PLE!$G$14,$M141,CH$13)="",10^12,OFFSET(PLE!$G$14,$M141,CH$13))))</f>
        <v>1000000000000</v>
      </c>
      <c r="CI141" s="216">
        <f ca="1">IF($D141&lt;&gt;"Serviço",0,IF(OR(AND(AUTOEVENTO="Manual",$M141=1),$M141&gt;(ROW(PLE.lastrow)-ROW(PLE.firstrow))),0,IF(OFFSET(PLE!$G$14,$M141,CI$13)="",10^12,OFFSET(PLE!$G$14,$M141,CI$13))))</f>
        <v>1000000000000</v>
      </c>
      <c r="CJ141" s="216">
        <f ca="1">IF($D141&lt;&gt;"Serviço",0,IF(OR(AND(AUTOEVENTO="Manual",$M141=1),$M141&gt;(ROW(PLE.lastrow)-ROW(PLE.firstrow))),0,IF(OFFSET(PLE!$G$14,$M141,CJ$13)="",10^12,OFFSET(PLE!$G$14,$M141,CJ$13))))</f>
        <v>1000000000000</v>
      </c>
      <c r="CK141" s="216">
        <f ca="1">IF($D141&lt;&gt;"Serviço",0,IF(OR(AND(AUTOEVENTO="Manual",$M141=1),$M141&gt;(ROW(PLE.lastrow)-ROW(PLE.firstrow))),0,IF(OFFSET(PLE!$G$14,$M141,CK$13)="",10^12,OFFSET(PLE!$G$14,$M141,CK$13))))</f>
        <v>1000000000000</v>
      </c>
      <c r="CL141" s="216">
        <f ca="1">IF($D141&lt;&gt;"Serviço",0,IF(OR(AND(AUTOEVENTO="Manual",$M141=1),$M141&gt;(ROW(PLE.lastrow)-ROW(PLE.firstrow))),0,IF(OFFSET(PLE!$G$14,$M141,CL$13)="",10^12,OFFSET(PLE!$G$14,$M141,CL$13))))</f>
        <v>1000000000000</v>
      </c>
      <c r="CM141" s="216">
        <f ca="1">IF($D141&lt;&gt;"Serviço",0,IF(OR(AND(AUTOEVENTO="Manual",$M141=1),$M141&gt;(ROW(PLE.lastrow)-ROW(PLE.firstrow))),0,IF(OFFSET(PLE!$G$14,$M141,CM$13)="",10^12,OFFSET(PLE!$G$14,$M141,CM$13))))</f>
        <v>1000000000000</v>
      </c>
    </row>
    <row r="142" spans="1:91" ht="13.2" x14ac:dyDescent="0.25">
      <c r="A142" s="9">
        <f t="shared" ca="1" si="10"/>
        <v>0</v>
      </c>
      <c r="B142" s="9">
        <f ca="1">OFFSET(ORÇAMENTO!C$15,ROW(B142)-ROW(B$15),0)</f>
        <v>3</v>
      </c>
      <c r="C142" s="9" t="str">
        <f ca="1">OFFSET(ORÇAMENTO!L$15,ROW(C142)-ROW(C$15),0)</f>
        <v>F</v>
      </c>
      <c r="D142" s="145" t="str">
        <f ca="1">OFFSET(ORÇAMENTO!N$15,ROW(D142)-ROW(D$15),0)</f>
        <v>Nível 3</v>
      </c>
      <c r="E142" s="205" t="str">
        <f ca="1">OFFSET(ORÇAMENTO!O$15,ROW(E142)-ROW(E$15),0)</f>
        <v>1.4.9.</v>
      </c>
      <c r="F142" s="206" t="str">
        <f ca="1">OFFSET(ORÇAMENTO!R$15,ROW(F142)-ROW(F$15),0)</f>
        <v>CONCRETO ARMADO - LAJE - MURO</v>
      </c>
      <c r="G142" s="207" t="str">
        <f ca="1">IF($D142&lt;&gt;"Serviço","",OFFSET(ORÇAMENTO!S$15,ROW(G142)-ROW(G$15),0))</f>
        <v/>
      </c>
      <c r="H142" s="151">
        <f ca="1">IF($D142&lt;&gt;"Serviço",0,IF(ACOMPANHAMENTO="BM",ROUND(OFFSET(ORÇAMENTO!AJ$15,ROW(H142)-ROW(H$15),0),15-13*ORÇAMENTO!$AF$7),SUMPRODUCT(($Q$12:$AI$12&lt;&gt;"")*ROUND($Q142:$AI142,15-13*ORÇAMENTO!$AF$7))))</f>
        <v>0</v>
      </c>
      <c r="I142" s="650"/>
      <c r="K142" s="208"/>
      <c r="L142" s="209" t="s">
        <v>257</v>
      </c>
      <c r="M142" s="210" t="str">
        <f ca="1">IF($D142&lt;&gt;"Serviço","",IF(AUTOEVENTO="manual",$A142,IF(ISERROR(MATCH($A142,$A$15:OFFSET($A142,-1,0),0)),MAX($M$15:OFFSET(M142,-1,0))+1,INDEX($M$15:OFFSET(M142,-1,0),MATCH($A142,$A$15:OFFSET($A142,-1,0),0)))))</f>
        <v/>
      </c>
      <c r="N142" s="211" t="str">
        <f ca="1">IF($D142&lt;&gt;"Serviço","",IF(AUTOEVENTO="Manual",IF($A142=0,"&lt;-- defina o número do agrupador",OFFSET(EVENTOS!$D$14,$A142,0)),OFFSET($F$15,$A142,0)))</f>
        <v/>
      </c>
      <c r="O142" s="212"/>
      <c r="Q142" s="212"/>
      <c r="R142" s="213"/>
      <c r="S142" s="213"/>
      <c r="T142" s="213"/>
      <c r="U142" s="213"/>
      <c r="V142" s="213"/>
      <c r="W142" s="213"/>
      <c r="X142" s="213"/>
      <c r="Y142" s="213"/>
      <c r="Z142" s="214"/>
      <c r="AA142" s="213"/>
      <c r="AB142" s="213"/>
      <c r="AC142" s="213"/>
      <c r="AD142" s="213"/>
      <c r="AE142" s="213"/>
      <c r="AF142" s="213"/>
      <c r="AG142" s="213"/>
      <c r="AH142" s="214"/>
      <c r="AJ142" s="631">
        <f ca="1">IF(AND($D142="Serviço",AJ$12&lt;&gt;0,$H142&gt;0,OR(AUTOEVENTO&lt;&gt;"manual",$M142&lt;&gt;1)),ROUND(OFFSET($P142,0,AJ$13),15-13*ORÇAMENTO!$AF$7)/$H142*OFFSET(ORÇAMENTO!$X$15,ROW(AJ142)-ROW(AJ$15),0),0)</f>
        <v>0</v>
      </c>
      <c r="AK142" s="632">
        <f ca="1">IF(AND($D142="Serviço",AK$12&lt;&gt;0,$H142&gt;0,OR(AUTOEVENTO&lt;&gt;"manual",$M142&lt;&gt;1)),ROUND(OFFSET($P142,0,AK$13),15-13*ORÇAMENTO!$AF$7)/$H142*OFFSET(ORÇAMENTO!$X$15,ROW(AK142)-ROW(AK$15),0),0)</f>
        <v>0</v>
      </c>
      <c r="AL142" s="632">
        <f ca="1">IF(AND($D142="Serviço",AL$12&lt;&gt;0,$H142&gt;0,OR(AUTOEVENTO&lt;&gt;"manual",$M142&lt;&gt;1)),ROUND(OFFSET($P142,0,AL$13),15-13*ORÇAMENTO!$AF$7)/$H142*OFFSET(ORÇAMENTO!$X$15,ROW(AL142)-ROW(AL$15),0),0)</f>
        <v>0</v>
      </c>
      <c r="AM142" s="632">
        <f ca="1">IF(AND($D142="Serviço",AM$12&lt;&gt;0,$H142&gt;0,OR(AUTOEVENTO&lt;&gt;"manual",$M142&lt;&gt;1)),ROUND(OFFSET($P142,0,AM$13),15-13*ORÇAMENTO!$AF$7)/$H142*OFFSET(ORÇAMENTO!$X$15,ROW(AM142)-ROW(AM$15),0),0)</f>
        <v>0</v>
      </c>
      <c r="AN142" s="632">
        <f ca="1">IF(AND($D142="Serviço",AN$12&lt;&gt;0,$H142&gt;0,OR(AUTOEVENTO&lt;&gt;"manual",$M142&lt;&gt;1)),ROUND(OFFSET($P142,0,AN$13),15-13*ORÇAMENTO!$AF$7)/$H142*OFFSET(ORÇAMENTO!$X$15,ROW(AN142)-ROW(AN$15),0),0)</f>
        <v>0</v>
      </c>
      <c r="AO142" s="632">
        <f ca="1">IF(AND($D142="Serviço",AO$12&lt;&gt;0,$H142&gt;0,OR(AUTOEVENTO&lt;&gt;"manual",$M142&lt;&gt;1)),ROUND(OFFSET($P142,0,AO$13),15-13*ORÇAMENTO!$AF$7)/$H142*OFFSET(ORÇAMENTO!$X$15,ROW(AO142)-ROW(AO$15),0),0)</f>
        <v>0</v>
      </c>
      <c r="AP142" s="632">
        <f ca="1">IF(AND($D142="Serviço",AP$12&lt;&gt;0,$H142&gt;0,OR(AUTOEVENTO&lt;&gt;"manual",$M142&lt;&gt;1)),ROUND(OFFSET($P142,0,AP$13),15-13*ORÇAMENTO!$AF$7)/$H142*OFFSET(ORÇAMENTO!$X$15,ROW(AP142)-ROW(AP$15),0),0)</f>
        <v>0</v>
      </c>
      <c r="AQ142" s="632">
        <f ca="1">IF(AND($D142="Serviço",AQ$12&lt;&gt;0,$H142&gt;0,OR(AUTOEVENTO&lt;&gt;"manual",$M142&lt;&gt;1)),ROUND(OFFSET($P142,0,AQ$13),15-13*ORÇAMENTO!$AF$7)/$H142*OFFSET(ORÇAMENTO!$X$15,ROW(AQ142)-ROW(AQ$15),0),0)</f>
        <v>0</v>
      </c>
      <c r="AR142" s="632">
        <f ca="1">IF(AND($D142="Serviço",AR$12&lt;&gt;0,$H142&gt;0,OR(AUTOEVENTO&lt;&gt;"manual",$M142&lt;&gt;1)),ROUND(OFFSET($P142,0,AR$13),15-13*ORÇAMENTO!$AF$7)/$H142*OFFSET(ORÇAMENTO!$X$15,ROW(AR142)-ROW(AR$15),0),0)</f>
        <v>0</v>
      </c>
      <c r="AS142" s="633">
        <f ca="1">IF(AND($D142="Serviço",AS$12&lt;&gt;0,$H142&gt;0,OR(AUTOEVENTO&lt;&gt;"manual",$M142&lt;&gt;1)),ROUND(OFFSET($P142,0,AS$13),15-13*ORÇAMENTO!$AF$7)/$H142*OFFSET(ORÇAMENTO!$X$15,ROW(AS142)-ROW(AS$15),0),0)</f>
        <v>0</v>
      </c>
      <c r="AT142" s="632">
        <f ca="1">IF(AND($D142="Serviço",AT$12&lt;&gt;0,$H142&gt;0,OR(AUTOEVENTO&lt;&gt;"manual",$M142&lt;&gt;1)),ROUND(OFFSET($P142,0,AT$13),15-13*ORÇAMENTO!$AF$7)/$H142*OFFSET(ORÇAMENTO!$X$15,ROW(AT142)-ROW(AT$15),0),0)</f>
        <v>0</v>
      </c>
      <c r="AU142" s="632">
        <f ca="1">IF(AND($D142="Serviço",AU$12&lt;&gt;0,$H142&gt;0,OR(AUTOEVENTO&lt;&gt;"manual",$M142&lt;&gt;1)),ROUND(OFFSET($P142,0,AU$13),15-13*ORÇAMENTO!$AF$7)/$H142*OFFSET(ORÇAMENTO!$X$15,ROW(AU142)-ROW(AU$15),0),0)</f>
        <v>0</v>
      </c>
      <c r="AV142" s="632">
        <f ca="1">IF(AND($D142="Serviço",AV$12&lt;&gt;0,$H142&gt;0,OR(AUTOEVENTO&lt;&gt;"manual",$M142&lt;&gt;1)),ROUND(OFFSET($P142,0,AV$13),15-13*ORÇAMENTO!$AF$7)/$H142*OFFSET(ORÇAMENTO!$X$15,ROW(AV142)-ROW(AV$15),0),0)</f>
        <v>0</v>
      </c>
      <c r="AW142" s="632">
        <f ca="1">IF(AND($D142="Serviço",AW$12&lt;&gt;0,$H142&gt;0,OR(AUTOEVENTO&lt;&gt;"manual",$M142&lt;&gt;1)),ROUND(OFFSET($P142,0,AW$13),15-13*ORÇAMENTO!$AF$7)/$H142*OFFSET(ORÇAMENTO!$X$15,ROW(AW142)-ROW(AW$15),0),0)</f>
        <v>0</v>
      </c>
      <c r="AX142" s="632">
        <f ca="1">IF(AND($D142="Serviço",AX$12&lt;&gt;0,$H142&gt;0,OR(AUTOEVENTO&lt;&gt;"manual",$M142&lt;&gt;1)),ROUND(OFFSET($P142,0,AX$13),15-13*ORÇAMENTO!$AF$7)/$H142*OFFSET(ORÇAMENTO!$X$15,ROW(AX142)-ROW(AX$15),0),0)</f>
        <v>0</v>
      </c>
      <c r="AY142" s="632">
        <f ca="1">IF(AND($D142="Serviço",AY$12&lt;&gt;0,$H142&gt;0,OR(AUTOEVENTO&lt;&gt;"manual",$M142&lt;&gt;1)),ROUND(OFFSET($P142,0,AY$13),15-13*ORÇAMENTO!$AF$7)/$H142*OFFSET(ORÇAMENTO!$X$15,ROW(AY142)-ROW(AY$15),0),0)</f>
        <v>0</v>
      </c>
      <c r="AZ142" s="632">
        <f ca="1">IF(AND($D142="Serviço",AZ$12&lt;&gt;0,$H142&gt;0,OR(AUTOEVENTO&lt;&gt;"manual",$M142&lt;&gt;1)),ROUND(OFFSET($P142,0,AZ$13),15-13*ORÇAMENTO!$AF$7)/$H142*OFFSET(ORÇAMENTO!$X$15,ROW(AZ142)-ROW(AZ$15),0),0)</f>
        <v>0</v>
      </c>
      <c r="BA142" s="633">
        <f ca="1">IF(AND($D142="Serviço",BA$12&lt;&gt;0,$H142&gt;0,OR(AUTOEVENTO&lt;&gt;"manual",$M142&lt;&gt;1)),ROUND(OFFSET($P142,0,BA$13),15-13*ORÇAMENTO!$AF$7)/$H142*OFFSET(ORÇAMENTO!$X$15,ROW(BA142)-ROW(BA$15),0),0)</f>
        <v>0</v>
      </c>
      <c r="BC142" s="215">
        <f ca="1">IF($D142&lt;&gt;"Serviço",0,IF(AND(AUTOEVENTO="Manual",$M142=1),0,IF(OFFSET(CRONOPLE!$F$14,$M142,BC$13)="",10^12,OFFSET(CRONOPLE!$F$14,$M142,BC$13))))</f>
        <v>0</v>
      </c>
      <c r="BD142" s="215">
        <f ca="1">IF($D142&lt;&gt;"Serviço",0,IF(AND(AUTOEVENTO="Manual",$M142=1),0,IF(OFFSET(CRONOPLE!$F$14,$M142,BD$13)="",10^12,OFFSET(CRONOPLE!$F$14,$M142,BD$13))))</f>
        <v>0</v>
      </c>
      <c r="BE142" s="215">
        <f ca="1">IF($D142&lt;&gt;"Serviço",0,IF(AND(AUTOEVENTO="Manual",$M142=1),0,IF(OFFSET(CRONOPLE!$F$14,$M142,BE$13)="",10^12,OFFSET(CRONOPLE!$F$14,$M142,BE$13))))</f>
        <v>0</v>
      </c>
      <c r="BF142" s="215">
        <f ca="1">IF($D142&lt;&gt;"Serviço",0,IF(AND(AUTOEVENTO="Manual",$M142=1),0,IF(OFFSET(CRONOPLE!$F$14,$M142,BF$13)="",10^12,OFFSET(CRONOPLE!$F$14,$M142,BF$13))))</f>
        <v>0</v>
      </c>
      <c r="BG142" s="215">
        <f ca="1">IF($D142&lt;&gt;"Serviço",0,IF(AND(AUTOEVENTO="Manual",$M142=1),0,IF(OFFSET(CRONOPLE!$F$14,$M142,BG$13)="",10^12,OFFSET(CRONOPLE!$F$14,$M142,BG$13))))</f>
        <v>0</v>
      </c>
      <c r="BH142" s="215">
        <f ca="1">IF($D142&lt;&gt;"Serviço",0,IF(AND(AUTOEVENTO="Manual",$M142=1),0,IF(OFFSET(CRONOPLE!$F$14,$M142,BH$13)="",10^12,OFFSET(CRONOPLE!$F$14,$M142,BH$13))))</f>
        <v>0</v>
      </c>
      <c r="BI142" s="215">
        <f ca="1">IF($D142&lt;&gt;"Serviço",0,IF(AND(AUTOEVENTO="Manual",$M142=1),0,IF(OFFSET(CRONOPLE!$F$14,$M142,BI$13)="",10^12,OFFSET(CRONOPLE!$F$14,$M142,BI$13))))</f>
        <v>0</v>
      </c>
      <c r="BJ142" s="215">
        <f ca="1">IF($D142&lt;&gt;"Serviço",0,IF(AND(AUTOEVENTO="Manual",$M142=1),0,IF(OFFSET(CRONOPLE!$F$14,$M142,BJ$13)="",10^12,OFFSET(CRONOPLE!$F$14,$M142,BJ$13))))</f>
        <v>0</v>
      </c>
      <c r="BK142" s="215">
        <f ca="1">IF($D142&lt;&gt;"Serviço",0,IF(AND(AUTOEVENTO="Manual",$M142=1),0,IF(OFFSET(CRONOPLE!$F$14,$M142,BK$13)="",10^12,OFFSET(CRONOPLE!$F$14,$M142,BK$13))))</f>
        <v>0</v>
      </c>
      <c r="BL142" s="215">
        <f ca="1">IF($D142&lt;&gt;"Serviço",0,IF(AND(AUTOEVENTO="Manual",$M142=1),0,IF(OFFSET(CRONOPLE!$F$14,$M142,BL$13)="",10^12,OFFSET(CRONOPLE!$F$14,$M142,BL$13))))</f>
        <v>0</v>
      </c>
      <c r="BM142" s="215">
        <f ca="1">IF($D142&lt;&gt;"Serviço",0,IF(AND(AUTOEVENTO="Manual",$M142=1),0,IF(OFFSET(CRONOPLE!$F$14,$M142,BM$13)="",10^12,OFFSET(CRONOPLE!$F$14,$M142,BM$13))))</f>
        <v>0</v>
      </c>
      <c r="BN142" s="215">
        <f ca="1">IF($D142&lt;&gt;"Serviço",0,IF(AND(AUTOEVENTO="Manual",$M142=1),0,IF(OFFSET(CRONOPLE!$F$14,$M142,BN$13)="",10^12,OFFSET(CRONOPLE!$F$14,$M142,BN$13))))</f>
        <v>0</v>
      </c>
      <c r="BO142" s="215">
        <f ca="1">IF($D142&lt;&gt;"Serviço",0,IF(AND(AUTOEVENTO="Manual",$M142=1),0,IF(OFFSET(CRONOPLE!$F$14,$M142,BO$13)="",10^12,OFFSET(CRONOPLE!$F$14,$M142,BO$13))))</f>
        <v>0</v>
      </c>
      <c r="BP142" s="215">
        <f ca="1">IF($D142&lt;&gt;"Serviço",0,IF(AND(AUTOEVENTO="Manual",$M142=1),0,IF(OFFSET(CRONOPLE!$F$14,$M142,BP$13)="",10^12,OFFSET(CRONOPLE!$F$14,$M142,BP$13))))</f>
        <v>0</v>
      </c>
      <c r="BQ142" s="215">
        <f ca="1">IF($D142&lt;&gt;"Serviço",0,IF(AND(AUTOEVENTO="Manual",$M142=1),0,IF(OFFSET(CRONOPLE!$F$14,$M142,BQ$13)="",10^12,OFFSET(CRONOPLE!$F$14,$M142,BQ$13))))</f>
        <v>0</v>
      </c>
      <c r="BR142" s="215">
        <f ca="1">IF($D142&lt;&gt;"Serviço",0,IF(AND(AUTOEVENTO="Manual",$M142=1),0,IF(OFFSET(CRONOPLE!$F$14,$M142,BR$13)="",10^12,OFFSET(CRONOPLE!$F$14,$M142,BR$13))))</f>
        <v>0</v>
      </c>
      <c r="BS142" s="215">
        <f ca="1">IF($D142&lt;&gt;"Serviço",0,IF(AND(AUTOEVENTO="Manual",$M142=1),0,IF(OFFSET(CRONOPLE!$F$14,$M142,BS$13)="",10^12,OFFSET(CRONOPLE!$F$14,$M142,BS$13))))</f>
        <v>0</v>
      </c>
      <c r="BT142" s="215">
        <f ca="1">IF($D142&lt;&gt;"Serviço",0,IF(AND(AUTOEVENTO="Manual",$M142=1),0,IF(OFFSET(CRONOPLE!$F$14,$M142,BT$13)="",10^12,OFFSET(CRONOPLE!$F$14,$M142,BT$13))))</f>
        <v>0</v>
      </c>
      <c r="BV142" s="216">
        <f ca="1">IF($D142&lt;&gt;"Serviço",0,IF(OR(AND(AUTOEVENTO="Manual",$M142=1),$M142&gt;(ROW(PLE.lastrow)-ROW(PLE.firstrow))),0,IF(OFFSET(PLE!$G$14,$M142,BV$13)="",10^12,OFFSET(PLE!$G$14,$M142,BV$13))))</f>
        <v>0</v>
      </c>
      <c r="BW142" s="216">
        <f ca="1">IF($D142&lt;&gt;"Serviço",0,IF(OR(AND(AUTOEVENTO="Manual",$M142=1),$M142&gt;(ROW(PLE.lastrow)-ROW(PLE.firstrow))),0,IF(OFFSET(PLE!$G$14,$M142,BW$13)="",10^12,OFFSET(PLE!$G$14,$M142,BW$13))))</f>
        <v>0</v>
      </c>
      <c r="BX142" s="216">
        <f ca="1">IF($D142&lt;&gt;"Serviço",0,IF(OR(AND(AUTOEVENTO="Manual",$M142=1),$M142&gt;(ROW(PLE.lastrow)-ROW(PLE.firstrow))),0,IF(OFFSET(PLE!$G$14,$M142,BX$13)="",10^12,OFFSET(PLE!$G$14,$M142,BX$13))))</f>
        <v>0</v>
      </c>
      <c r="BY142" s="216">
        <f ca="1">IF($D142&lt;&gt;"Serviço",0,IF(OR(AND(AUTOEVENTO="Manual",$M142=1),$M142&gt;(ROW(PLE.lastrow)-ROW(PLE.firstrow))),0,IF(OFFSET(PLE!$G$14,$M142,BY$13)="",10^12,OFFSET(PLE!$G$14,$M142,BY$13))))</f>
        <v>0</v>
      </c>
      <c r="BZ142" s="216">
        <f ca="1">IF($D142&lt;&gt;"Serviço",0,IF(OR(AND(AUTOEVENTO="Manual",$M142=1),$M142&gt;(ROW(PLE.lastrow)-ROW(PLE.firstrow))),0,IF(OFFSET(PLE!$G$14,$M142,BZ$13)="",10^12,OFFSET(PLE!$G$14,$M142,BZ$13))))</f>
        <v>0</v>
      </c>
      <c r="CA142" s="216">
        <f ca="1">IF($D142&lt;&gt;"Serviço",0,IF(OR(AND(AUTOEVENTO="Manual",$M142=1),$M142&gt;(ROW(PLE.lastrow)-ROW(PLE.firstrow))),0,IF(OFFSET(PLE!$G$14,$M142,CA$13)="",10^12,OFFSET(PLE!$G$14,$M142,CA$13))))</f>
        <v>0</v>
      </c>
      <c r="CB142" s="216">
        <f ca="1">IF($D142&lt;&gt;"Serviço",0,IF(OR(AND(AUTOEVENTO="Manual",$M142=1),$M142&gt;(ROW(PLE.lastrow)-ROW(PLE.firstrow))),0,IF(OFFSET(PLE!$G$14,$M142,CB$13)="",10^12,OFFSET(PLE!$G$14,$M142,CB$13))))</f>
        <v>0</v>
      </c>
      <c r="CC142" s="216">
        <f ca="1">IF($D142&lt;&gt;"Serviço",0,IF(OR(AND(AUTOEVENTO="Manual",$M142=1),$M142&gt;(ROW(PLE.lastrow)-ROW(PLE.firstrow))),0,IF(OFFSET(PLE!$G$14,$M142,CC$13)="",10^12,OFFSET(PLE!$G$14,$M142,CC$13))))</f>
        <v>0</v>
      </c>
      <c r="CD142" s="216">
        <f ca="1">IF($D142&lt;&gt;"Serviço",0,IF(OR(AND(AUTOEVENTO="Manual",$M142=1),$M142&gt;(ROW(PLE.lastrow)-ROW(PLE.firstrow))),0,IF(OFFSET(PLE!$G$14,$M142,CD$13)="",10^12,OFFSET(PLE!$G$14,$M142,CD$13))))</f>
        <v>0</v>
      </c>
      <c r="CE142" s="216">
        <f ca="1">IF($D142&lt;&gt;"Serviço",0,IF(OR(AND(AUTOEVENTO="Manual",$M142=1),$M142&gt;(ROW(PLE.lastrow)-ROW(PLE.firstrow))),0,IF(OFFSET(PLE!$G$14,$M142,CE$13)="",10^12,OFFSET(PLE!$G$14,$M142,CE$13))))</f>
        <v>0</v>
      </c>
      <c r="CF142" s="216">
        <f ca="1">IF($D142&lt;&gt;"Serviço",0,IF(OR(AND(AUTOEVENTO="Manual",$M142=1),$M142&gt;(ROW(PLE.lastrow)-ROW(PLE.firstrow))),0,IF(OFFSET(PLE!$G$14,$M142,CF$13)="",10^12,OFFSET(PLE!$G$14,$M142,CF$13))))</f>
        <v>0</v>
      </c>
      <c r="CG142" s="216">
        <f ca="1">IF($D142&lt;&gt;"Serviço",0,IF(OR(AND(AUTOEVENTO="Manual",$M142=1),$M142&gt;(ROW(PLE.lastrow)-ROW(PLE.firstrow))),0,IF(OFFSET(PLE!$G$14,$M142,CG$13)="",10^12,OFFSET(PLE!$G$14,$M142,CG$13))))</f>
        <v>0</v>
      </c>
      <c r="CH142" s="216">
        <f ca="1">IF($D142&lt;&gt;"Serviço",0,IF(OR(AND(AUTOEVENTO="Manual",$M142=1),$M142&gt;(ROW(PLE.lastrow)-ROW(PLE.firstrow))),0,IF(OFFSET(PLE!$G$14,$M142,CH$13)="",10^12,OFFSET(PLE!$G$14,$M142,CH$13))))</f>
        <v>0</v>
      </c>
      <c r="CI142" s="216">
        <f ca="1">IF($D142&lt;&gt;"Serviço",0,IF(OR(AND(AUTOEVENTO="Manual",$M142=1),$M142&gt;(ROW(PLE.lastrow)-ROW(PLE.firstrow))),0,IF(OFFSET(PLE!$G$14,$M142,CI$13)="",10^12,OFFSET(PLE!$G$14,$M142,CI$13))))</f>
        <v>0</v>
      </c>
      <c r="CJ142" s="216">
        <f ca="1">IF($D142&lt;&gt;"Serviço",0,IF(OR(AND(AUTOEVENTO="Manual",$M142=1),$M142&gt;(ROW(PLE.lastrow)-ROW(PLE.firstrow))),0,IF(OFFSET(PLE!$G$14,$M142,CJ$13)="",10^12,OFFSET(PLE!$G$14,$M142,CJ$13))))</f>
        <v>0</v>
      </c>
      <c r="CK142" s="216">
        <f ca="1">IF($D142&lt;&gt;"Serviço",0,IF(OR(AND(AUTOEVENTO="Manual",$M142=1),$M142&gt;(ROW(PLE.lastrow)-ROW(PLE.firstrow))),0,IF(OFFSET(PLE!$G$14,$M142,CK$13)="",10^12,OFFSET(PLE!$G$14,$M142,CK$13))))</f>
        <v>0</v>
      </c>
      <c r="CL142" s="216">
        <f ca="1">IF($D142&lt;&gt;"Serviço",0,IF(OR(AND(AUTOEVENTO="Manual",$M142=1),$M142&gt;(ROW(PLE.lastrow)-ROW(PLE.firstrow))),0,IF(OFFSET(PLE!$G$14,$M142,CL$13)="",10^12,OFFSET(PLE!$G$14,$M142,CL$13))))</f>
        <v>0</v>
      </c>
      <c r="CM142" s="216">
        <f ca="1">IF($D142&lt;&gt;"Serviço",0,IF(OR(AND(AUTOEVENTO="Manual",$M142=1),$M142&gt;(ROW(PLE.lastrow)-ROW(PLE.firstrow))),0,IF(OFFSET(PLE!$G$14,$M142,CM$13)="",10^12,OFFSET(PLE!$G$14,$M142,CM$13))))</f>
        <v>0</v>
      </c>
    </row>
    <row r="143" spans="1:91" ht="13.2" x14ac:dyDescent="0.25">
      <c r="A143" s="9">
        <f t="shared" ref="A143:A206" ca="1" si="11">IF(AUTOEVENTO="Manual",IF(K143&lt;&gt;"",MIN(VALUE(LEFT(K143,FIND(".",K143)-1)),COUNTA(EVENTOS.Lista)),0),IF(OR($B143&gt;AUTOEVENTO,$B143="S",$B143=0),SUBSTITUTE(OFFSET($A143,-1,0),IF($D143="Serviço",".",""),""),ROW(A143)-ROW($A$15)&amp;"."))</f>
        <v>0</v>
      </c>
      <c r="B143" s="9" t="str">
        <f ca="1">OFFSET(ORÇAMENTO!C$15,ROW(B143)-ROW(B$15),0)</f>
        <v>S</v>
      </c>
      <c r="C143" s="9" t="str">
        <f ca="1">OFFSET(ORÇAMENTO!L$15,ROW(C143)-ROW(C$15),0)</f>
        <v/>
      </c>
      <c r="D143" s="145" t="str">
        <f ca="1">OFFSET(ORÇAMENTO!N$15,ROW(D143)-ROW(D$15),0)</f>
        <v>Serviço</v>
      </c>
      <c r="E143" s="205" t="str">
        <f ca="1">OFFSET(ORÇAMENTO!O$15,ROW(E143)-ROW(E$15),0)</f>
        <v>-</v>
      </c>
      <c r="F143" s="206" t="str">
        <f ca="1">OFFSET(ORÇAMENTO!R$15,ROW(F143)-ROW(F$15),0)</f>
        <v>(abra o arquivo 'Referência 05-2024.xls)</v>
      </c>
      <c r="G143" s="207" t="str">
        <f ca="1">IF($D143&lt;&gt;"Serviço","",OFFSET(ORÇAMENTO!S$15,ROW(G143)-ROW(G$15),0))</f>
        <v>-</v>
      </c>
      <c r="H143" s="151">
        <f ca="1">IF($D143&lt;&gt;"Serviço",0,IF(ACOMPANHAMENTO="BM",ROUND(OFFSET(ORÇAMENTO!AJ$15,ROW(H143)-ROW(H$15),0),15-13*ORÇAMENTO!$AF$7),SUMPRODUCT(($Q$12:$AI$12&lt;&gt;"")*ROUND($Q143:$AI143,15-13*ORÇAMENTO!$AF$7))))</f>
        <v>10.45</v>
      </c>
      <c r="I143" s="650"/>
      <c r="K143" s="208"/>
      <c r="L143" s="209" t="s">
        <v>257</v>
      </c>
      <c r="M143" s="210">
        <f ca="1">IF($D143&lt;&gt;"Serviço","",IF(AUTOEVENTO="manual",$A143,IF(ISERROR(MATCH($A143,$A$15:OFFSET($A143,-1,0),0)),MAX($M$15:OFFSET(M143,-1,0))+1,INDEX($M$15:OFFSET(M143,-1,0),MATCH($A143,$A$15:OFFSET($A143,-1,0),0)))))</f>
        <v>0</v>
      </c>
      <c r="N143" s="211" t="str">
        <f ca="1">IF($D143&lt;&gt;"Serviço","",IF(AUTOEVENTO="Manual",IF($A143=0,"&lt;-- defina o número do agrupador",OFFSET(EVENTOS!$D$14,$A143,0)),OFFSET($F$15,$A143,0)))</f>
        <v>&lt;-- defina o número do agrupador</v>
      </c>
      <c r="O143" s="212"/>
      <c r="Q143" s="212"/>
      <c r="R143" s="213"/>
      <c r="S143" s="213"/>
      <c r="T143" s="213"/>
      <c r="U143" s="213"/>
      <c r="V143" s="213"/>
      <c r="W143" s="213"/>
      <c r="X143" s="213"/>
      <c r="Y143" s="213"/>
      <c r="Z143" s="214"/>
      <c r="AA143" s="213"/>
      <c r="AB143" s="213"/>
      <c r="AC143" s="213"/>
      <c r="AD143" s="213"/>
      <c r="AE143" s="213"/>
      <c r="AF143" s="213"/>
      <c r="AG143" s="213"/>
      <c r="AH143" s="214"/>
      <c r="AJ143" s="631">
        <f ca="1">IF(AND($D143="Serviço",AJ$12&lt;&gt;0,$H143&gt;0,OR(AUTOEVENTO&lt;&gt;"manual",$M143&lt;&gt;1)),ROUND(OFFSET($P143,0,AJ$13),15-13*ORÇAMENTO!$AF$7)/$H143*OFFSET(ORÇAMENTO!$X$15,ROW(AJ143)-ROW(AJ$15),0),0)</f>
        <v>0</v>
      </c>
      <c r="AK143" s="632">
        <f ca="1">IF(AND($D143="Serviço",AK$12&lt;&gt;0,$H143&gt;0,OR(AUTOEVENTO&lt;&gt;"manual",$M143&lt;&gt;1)),ROUND(OFFSET($P143,0,AK$13),15-13*ORÇAMENTO!$AF$7)/$H143*OFFSET(ORÇAMENTO!$X$15,ROW(AK143)-ROW(AK$15),0),0)</f>
        <v>0</v>
      </c>
      <c r="AL143" s="632">
        <f ca="1">IF(AND($D143="Serviço",AL$12&lt;&gt;0,$H143&gt;0,OR(AUTOEVENTO&lt;&gt;"manual",$M143&lt;&gt;1)),ROUND(OFFSET($P143,0,AL$13),15-13*ORÇAMENTO!$AF$7)/$H143*OFFSET(ORÇAMENTO!$X$15,ROW(AL143)-ROW(AL$15),0),0)</f>
        <v>0</v>
      </c>
      <c r="AM143" s="632">
        <f ca="1">IF(AND($D143="Serviço",AM$12&lt;&gt;0,$H143&gt;0,OR(AUTOEVENTO&lt;&gt;"manual",$M143&lt;&gt;1)),ROUND(OFFSET($P143,0,AM$13),15-13*ORÇAMENTO!$AF$7)/$H143*OFFSET(ORÇAMENTO!$X$15,ROW(AM143)-ROW(AM$15),0),0)</f>
        <v>0</v>
      </c>
      <c r="AN143" s="632">
        <f ca="1">IF(AND($D143="Serviço",AN$12&lt;&gt;0,$H143&gt;0,OR(AUTOEVENTO&lt;&gt;"manual",$M143&lt;&gt;1)),ROUND(OFFSET($P143,0,AN$13),15-13*ORÇAMENTO!$AF$7)/$H143*OFFSET(ORÇAMENTO!$X$15,ROW(AN143)-ROW(AN$15),0),0)</f>
        <v>0</v>
      </c>
      <c r="AO143" s="632">
        <f ca="1">IF(AND($D143="Serviço",AO$12&lt;&gt;0,$H143&gt;0,OR(AUTOEVENTO&lt;&gt;"manual",$M143&lt;&gt;1)),ROUND(OFFSET($P143,0,AO$13),15-13*ORÇAMENTO!$AF$7)/$H143*OFFSET(ORÇAMENTO!$X$15,ROW(AO143)-ROW(AO$15),0),0)</f>
        <v>0</v>
      </c>
      <c r="AP143" s="632">
        <f ca="1">IF(AND($D143="Serviço",AP$12&lt;&gt;0,$H143&gt;0,OR(AUTOEVENTO&lt;&gt;"manual",$M143&lt;&gt;1)),ROUND(OFFSET($P143,0,AP$13),15-13*ORÇAMENTO!$AF$7)/$H143*OFFSET(ORÇAMENTO!$X$15,ROW(AP143)-ROW(AP$15),0),0)</f>
        <v>0</v>
      </c>
      <c r="AQ143" s="632">
        <f ca="1">IF(AND($D143="Serviço",AQ$12&lt;&gt;0,$H143&gt;0,OR(AUTOEVENTO&lt;&gt;"manual",$M143&lt;&gt;1)),ROUND(OFFSET($P143,0,AQ$13),15-13*ORÇAMENTO!$AF$7)/$H143*OFFSET(ORÇAMENTO!$X$15,ROW(AQ143)-ROW(AQ$15),0),0)</f>
        <v>0</v>
      </c>
      <c r="AR143" s="632">
        <f ca="1">IF(AND($D143="Serviço",AR$12&lt;&gt;0,$H143&gt;0,OR(AUTOEVENTO&lt;&gt;"manual",$M143&lt;&gt;1)),ROUND(OFFSET($P143,0,AR$13),15-13*ORÇAMENTO!$AF$7)/$H143*OFFSET(ORÇAMENTO!$X$15,ROW(AR143)-ROW(AR$15),0),0)</f>
        <v>0</v>
      </c>
      <c r="AS143" s="633">
        <f ca="1">IF(AND($D143="Serviço",AS$12&lt;&gt;0,$H143&gt;0,OR(AUTOEVENTO&lt;&gt;"manual",$M143&lt;&gt;1)),ROUND(OFFSET($P143,0,AS$13),15-13*ORÇAMENTO!$AF$7)/$H143*OFFSET(ORÇAMENTO!$X$15,ROW(AS143)-ROW(AS$15),0),0)</f>
        <v>0</v>
      </c>
      <c r="AT143" s="632">
        <f ca="1">IF(AND($D143="Serviço",AT$12&lt;&gt;0,$H143&gt;0,OR(AUTOEVENTO&lt;&gt;"manual",$M143&lt;&gt;1)),ROUND(OFFSET($P143,0,AT$13),15-13*ORÇAMENTO!$AF$7)/$H143*OFFSET(ORÇAMENTO!$X$15,ROW(AT143)-ROW(AT$15),0),0)</f>
        <v>0</v>
      </c>
      <c r="AU143" s="632">
        <f ca="1">IF(AND($D143="Serviço",AU$12&lt;&gt;0,$H143&gt;0,OR(AUTOEVENTO&lt;&gt;"manual",$M143&lt;&gt;1)),ROUND(OFFSET($P143,0,AU$13),15-13*ORÇAMENTO!$AF$7)/$H143*OFFSET(ORÇAMENTO!$X$15,ROW(AU143)-ROW(AU$15),0),0)</f>
        <v>0</v>
      </c>
      <c r="AV143" s="632">
        <f ca="1">IF(AND($D143="Serviço",AV$12&lt;&gt;0,$H143&gt;0,OR(AUTOEVENTO&lt;&gt;"manual",$M143&lt;&gt;1)),ROUND(OFFSET($P143,0,AV$13),15-13*ORÇAMENTO!$AF$7)/$H143*OFFSET(ORÇAMENTO!$X$15,ROW(AV143)-ROW(AV$15),0),0)</f>
        <v>0</v>
      </c>
      <c r="AW143" s="632">
        <f ca="1">IF(AND($D143="Serviço",AW$12&lt;&gt;0,$H143&gt;0,OR(AUTOEVENTO&lt;&gt;"manual",$M143&lt;&gt;1)),ROUND(OFFSET($P143,0,AW$13),15-13*ORÇAMENTO!$AF$7)/$H143*OFFSET(ORÇAMENTO!$X$15,ROW(AW143)-ROW(AW$15),0),0)</f>
        <v>0</v>
      </c>
      <c r="AX143" s="632">
        <f ca="1">IF(AND($D143="Serviço",AX$12&lt;&gt;0,$H143&gt;0,OR(AUTOEVENTO&lt;&gt;"manual",$M143&lt;&gt;1)),ROUND(OFFSET($P143,0,AX$13),15-13*ORÇAMENTO!$AF$7)/$H143*OFFSET(ORÇAMENTO!$X$15,ROW(AX143)-ROW(AX$15),0),0)</f>
        <v>0</v>
      </c>
      <c r="AY143" s="632">
        <f ca="1">IF(AND($D143="Serviço",AY$12&lt;&gt;0,$H143&gt;0,OR(AUTOEVENTO&lt;&gt;"manual",$M143&lt;&gt;1)),ROUND(OFFSET($P143,0,AY$13),15-13*ORÇAMENTO!$AF$7)/$H143*OFFSET(ORÇAMENTO!$X$15,ROW(AY143)-ROW(AY$15),0),0)</f>
        <v>0</v>
      </c>
      <c r="AZ143" s="632">
        <f ca="1">IF(AND($D143="Serviço",AZ$12&lt;&gt;0,$H143&gt;0,OR(AUTOEVENTO&lt;&gt;"manual",$M143&lt;&gt;1)),ROUND(OFFSET($P143,0,AZ$13),15-13*ORÇAMENTO!$AF$7)/$H143*OFFSET(ORÇAMENTO!$X$15,ROW(AZ143)-ROW(AZ$15),0),0)</f>
        <v>0</v>
      </c>
      <c r="BA143" s="633">
        <f ca="1">IF(AND($D143="Serviço",BA$12&lt;&gt;0,$H143&gt;0,OR(AUTOEVENTO&lt;&gt;"manual",$M143&lt;&gt;1)),ROUND(OFFSET($P143,0,BA$13),15-13*ORÇAMENTO!$AF$7)/$H143*OFFSET(ORÇAMENTO!$X$15,ROW(BA143)-ROW(BA$15),0),0)</f>
        <v>0</v>
      </c>
      <c r="BC143" s="215">
        <f ca="1">IF($D143&lt;&gt;"Serviço",0,IF(AND(AUTOEVENTO="Manual",$M143=1),0,IF(OFFSET(CRONOPLE!$F$14,$M143,BC$13)="",10^12,OFFSET(CRONOPLE!$F$14,$M143,BC$13))))</f>
        <v>1000000000000</v>
      </c>
      <c r="BD143" s="215">
        <f ca="1">IF($D143&lt;&gt;"Serviço",0,IF(AND(AUTOEVENTO="Manual",$M143=1),0,IF(OFFSET(CRONOPLE!$F$14,$M143,BD$13)="",10^12,OFFSET(CRONOPLE!$F$14,$M143,BD$13))))</f>
        <v>1000000000000</v>
      </c>
      <c r="BE143" s="215">
        <f ca="1">IF($D143&lt;&gt;"Serviço",0,IF(AND(AUTOEVENTO="Manual",$M143=1),0,IF(OFFSET(CRONOPLE!$F$14,$M143,BE$13)="",10^12,OFFSET(CRONOPLE!$F$14,$M143,BE$13))))</f>
        <v>1000000000000</v>
      </c>
      <c r="BF143" s="215">
        <f ca="1">IF($D143&lt;&gt;"Serviço",0,IF(AND(AUTOEVENTO="Manual",$M143=1),0,IF(OFFSET(CRONOPLE!$F$14,$M143,BF$13)="",10^12,OFFSET(CRONOPLE!$F$14,$M143,BF$13))))</f>
        <v>1000000000000</v>
      </c>
      <c r="BG143" s="215">
        <f ca="1">IF($D143&lt;&gt;"Serviço",0,IF(AND(AUTOEVENTO="Manual",$M143=1),0,IF(OFFSET(CRONOPLE!$F$14,$M143,BG$13)="",10^12,OFFSET(CRONOPLE!$F$14,$M143,BG$13))))</f>
        <v>1000000000000</v>
      </c>
      <c r="BH143" s="215">
        <f ca="1">IF($D143&lt;&gt;"Serviço",0,IF(AND(AUTOEVENTO="Manual",$M143=1),0,IF(OFFSET(CRONOPLE!$F$14,$M143,BH$13)="",10^12,OFFSET(CRONOPLE!$F$14,$M143,BH$13))))</f>
        <v>1000000000000</v>
      </c>
      <c r="BI143" s="215">
        <f ca="1">IF($D143&lt;&gt;"Serviço",0,IF(AND(AUTOEVENTO="Manual",$M143=1),0,IF(OFFSET(CRONOPLE!$F$14,$M143,BI$13)="",10^12,OFFSET(CRONOPLE!$F$14,$M143,BI$13))))</f>
        <v>1000000000000</v>
      </c>
      <c r="BJ143" s="215">
        <f ca="1">IF($D143&lt;&gt;"Serviço",0,IF(AND(AUTOEVENTO="Manual",$M143=1),0,IF(OFFSET(CRONOPLE!$F$14,$M143,BJ$13)="",10^12,OFFSET(CRONOPLE!$F$14,$M143,BJ$13))))</f>
        <v>1000000000000</v>
      </c>
      <c r="BK143" s="215">
        <f ca="1">IF($D143&lt;&gt;"Serviço",0,IF(AND(AUTOEVENTO="Manual",$M143=1),0,IF(OFFSET(CRONOPLE!$F$14,$M143,BK$13)="",10^12,OFFSET(CRONOPLE!$F$14,$M143,BK$13))))</f>
        <v>1000000000000</v>
      </c>
      <c r="BL143" s="215">
        <f ca="1">IF($D143&lt;&gt;"Serviço",0,IF(AND(AUTOEVENTO="Manual",$M143=1),0,IF(OFFSET(CRONOPLE!$F$14,$M143,BL$13)="",10^12,OFFSET(CRONOPLE!$F$14,$M143,BL$13))))</f>
        <v>1000000000000</v>
      </c>
      <c r="BM143" s="215">
        <f ca="1">IF($D143&lt;&gt;"Serviço",0,IF(AND(AUTOEVENTO="Manual",$M143=1),0,IF(OFFSET(CRONOPLE!$F$14,$M143,BM$13)="",10^12,OFFSET(CRONOPLE!$F$14,$M143,BM$13))))</f>
        <v>1000000000000</v>
      </c>
      <c r="BN143" s="215">
        <f ca="1">IF($D143&lt;&gt;"Serviço",0,IF(AND(AUTOEVENTO="Manual",$M143=1),0,IF(OFFSET(CRONOPLE!$F$14,$M143,BN$13)="",10^12,OFFSET(CRONOPLE!$F$14,$M143,BN$13))))</f>
        <v>1000000000000</v>
      </c>
      <c r="BO143" s="215">
        <f ca="1">IF($D143&lt;&gt;"Serviço",0,IF(AND(AUTOEVENTO="Manual",$M143=1),0,IF(OFFSET(CRONOPLE!$F$14,$M143,BO$13)="",10^12,OFFSET(CRONOPLE!$F$14,$M143,BO$13))))</f>
        <v>1000000000000</v>
      </c>
      <c r="BP143" s="215">
        <f ca="1">IF($D143&lt;&gt;"Serviço",0,IF(AND(AUTOEVENTO="Manual",$M143=1),0,IF(OFFSET(CRONOPLE!$F$14,$M143,BP$13)="",10^12,OFFSET(CRONOPLE!$F$14,$M143,BP$13))))</f>
        <v>1000000000000</v>
      </c>
      <c r="BQ143" s="215">
        <f ca="1">IF($D143&lt;&gt;"Serviço",0,IF(AND(AUTOEVENTO="Manual",$M143=1),0,IF(OFFSET(CRONOPLE!$F$14,$M143,BQ$13)="",10^12,OFFSET(CRONOPLE!$F$14,$M143,BQ$13))))</f>
        <v>1000000000000</v>
      </c>
      <c r="BR143" s="215">
        <f ca="1">IF($D143&lt;&gt;"Serviço",0,IF(AND(AUTOEVENTO="Manual",$M143=1),0,IF(OFFSET(CRONOPLE!$F$14,$M143,BR$13)="",10^12,OFFSET(CRONOPLE!$F$14,$M143,BR$13))))</f>
        <v>1000000000000</v>
      </c>
      <c r="BS143" s="215">
        <f ca="1">IF($D143&lt;&gt;"Serviço",0,IF(AND(AUTOEVENTO="Manual",$M143=1),0,IF(OFFSET(CRONOPLE!$F$14,$M143,BS$13)="",10^12,OFFSET(CRONOPLE!$F$14,$M143,BS$13))))</f>
        <v>1000000000000</v>
      </c>
      <c r="BT143" s="215">
        <f ca="1">IF($D143&lt;&gt;"Serviço",0,IF(AND(AUTOEVENTO="Manual",$M143=1),0,IF(OFFSET(CRONOPLE!$F$14,$M143,BT$13)="",10^12,OFFSET(CRONOPLE!$F$14,$M143,BT$13))))</f>
        <v>1000000000000</v>
      </c>
      <c r="BV143" s="216">
        <f ca="1">IF($D143&lt;&gt;"Serviço",0,IF(OR(AND(AUTOEVENTO="Manual",$M143=1),$M143&gt;(ROW(PLE.lastrow)-ROW(PLE.firstrow))),0,IF(OFFSET(PLE!$G$14,$M143,BV$13)="",10^12,OFFSET(PLE!$G$14,$M143,BV$13))))</f>
        <v>1000000000000</v>
      </c>
      <c r="BW143" s="216">
        <f ca="1">IF($D143&lt;&gt;"Serviço",0,IF(OR(AND(AUTOEVENTO="Manual",$M143=1),$M143&gt;(ROW(PLE.lastrow)-ROW(PLE.firstrow))),0,IF(OFFSET(PLE!$G$14,$M143,BW$13)="",10^12,OFFSET(PLE!$G$14,$M143,BW$13))))</f>
        <v>1000000000000</v>
      </c>
      <c r="BX143" s="216">
        <f ca="1">IF($D143&lt;&gt;"Serviço",0,IF(OR(AND(AUTOEVENTO="Manual",$M143=1),$M143&gt;(ROW(PLE.lastrow)-ROW(PLE.firstrow))),0,IF(OFFSET(PLE!$G$14,$M143,BX$13)="",10^12,OFFSET(PLE!$G$14,$M143,BX$13))))</f>
        <v>1000000000000</v>
      </c>
      <c r="BY143" s="216">
        <f ca="1">IF($D143&lt;&gt;"Serviço",0,IF(OR(AND(AUTOEVENTO="Manual",$M143=1),$M143&gt;(ROW(PLE.lastrow)-ROW(PLE.firstrow))),0,IF(OFFSET(PLE!$G$14,$M143,BY$13)="",10^12,OFFSET(PLE!$G$14,$M143,BY$13))))</f>
        <v>1000000000000</v>
      </c>
      <c r="BZ143" s="216">
        <f ca="1">IF($D143&lt;&gt;"Serviço",0,IF(OR(AND(AUTOEVENTO="Manual",$M143=1),$M143&gt;(ROW(PLE.lastrow)-ROW(PLE.firstrow))),0,IF(OFFSET(PLE!$G$14,$M143,BZ$13)="",10^12,OFFSET(PLE!$G$14,$M143,BZ$13))))</f>
        <v>1000000000000</v>
      </c>
      <c r="CA143" s="216">
        <f ca="1">IF($D143&lt;&gt;"Serviço",0,IF(OR(AND(AUTOEVENTO="Manual",$M143=1),$M143&gt;(ROW(PLE.lastrow)-ROW(PLE.firstrow))),0,IF(OFFSET(PLE!$G$14,$M143,CA$13)="",10^12,OFFSET(PLE!$G$14,$M143,CA$13))))</f>
        <v>1000000000000</v>
      </c>
      <c r="CB143" s="216">
        <f ca="1">IF($D143&lt;&gt;"Serviço",0,IF(OR(AND(AUTOEVENTO="Manual",$M143=1),$M143&gt;(ROW(PLE.lastrow)-ROW(PLE.firstrow))),0,IF(OFFSET(PLE!$G$14,$M143,CB$13)="",10^12,OFFSET(PLE!$G$14,$M143,CB$13))))</f>
        <v>1000000000000</v>
      </c>
      <c r="CC143" s="216">
        <f ca="1">IF($D143&lt;&gt;"Serviço",0,IF(OR(AND(AUTOEVENTO="Manual",$M143=1),$M143&gt;(ROW(PLE.lastrow)-ROW(PLE.firstrow))),0,IF(OFFSET(PLE!$G$14,$M143,CC$13)="",10^12,OFFSET(PLE!$G$14,$M143,CC$13))))</f>
        <v>1000000000000</v>
      </c>
      <c r="CD143" s="216">
        <f ca="1">IF($D143&lt;&gt;"Serviço",0,IF(OR(AND(AUTOEVENTO="Manual",$M143=1),$M143&gt;(ROW(PLE.lastrow)-ROW(PLE.firstrow))),0,IF(OFFSET(PLE!$G$14,$M143,CD$13)="",10^12,OFFSET(PLE!$G$14,$M143,CD$13))))</f>
        <v>1000000000000</v>
      </c>
      <c r="CE143" s="216">
        <f ca="1">IF($D143&lt;&gt;"Serviço",0,IF(OR(AND(AUTOEVENTO="Manual",$M143=1),$M143&gt;(ROW(PLE.lastrow)-ROW(PLE.firstrow))),0,IF(OFFSET(PLE!$G$14,$M143,CE$13)="",10^12,OFFSET(PLE!$G$14,$M143,CE$13))))</f>
        <v>1000000000000</v>
      </c>
      <c r="CF143" s="216">
        <f ca="1">IF($D143&lt;&gt;"Serviço",0,IF(OR(AND(AUTOEVENTO="Manual",$M143=1),$M143&gt;(ROW(PLE.lastrow)-ROW(PLE.firstrow))),0,IF(OFFSET(PLE!$G$14,$M143,CF$13)="",10^12,OFFSET(PLE!$G$14,$M143,CF$13))))</f>
        <v>1000000000000</v>
      </c>
      <c r="CG143" s="216">
        <f ca="1">IF($D143&lt;&gt;"Serviço",0,IF(OR(AND(AUTOEVENTO="Manual",$M143=1),$M143&gt;(ROW(PLE.lastrow)-ROW(PLE.firstrow))),0,IF(OFFSET(PLE!$G$14,$M143,CG$13)="",10^12,OFFSET(PLE!$G$14,$M143,CG$13))))</f>
        <v>1000000000000</v>
      </c>
      <c r="CH143" s="216">
        <f ca="1">IF($D143&lt;&gt;"Serviço",0,IF(OR(AND(AUTOEVENTO="Manual",$M143=1),$M143&gt;(ROW(PLE.lastrow)-ROW(PLE.firstrow))),0,IF(OFFSET(PLE!$G$14,$M143,CH$13)="",10^12,OFFSET(PLE!$G$14,$M143,CH$13))))</f>
        <v>1000000000000</v>
      </c>
      <c r="CI143" s="216">
        <f ca="1">IF($D143&lt;&gt;"Serviço",0,IF(OR(AND(AUTOEVENTO="Manual",$M143=1),$M143&gt;(ROW(PLE.lastrow)-ROW(PLE.firstrow))),0,IF(OFFSET(PLE!$G$14,$M143,CI$13)="",10^12,OFFSET(PLE!$G$14,$M143,CI$13))))</f>
        <v>1000000000000</v>
      </c>
      <c r="CJ143" s="216">
        <f ca="1">IF($D143&lt;&gt;"Serviço",0,IF(OR(AND(AUTOEVENTO="Manual",$M143=1),$M143&gt;(ROW(PLE.lastrow)-ROW(PLE.firstrow))),0,IF(OFFSET(PLE!$G$14,$M143,CJ$13)="",10^12,OFFSET(PLE!$G$14,$M143,CJ$13))))</f>
        <v>1000000000000</v>
      </c>
      <c r="CK143" s="216">
        <f ca="1">IF($D143&lt;&gt;"Serviço",0,IF(OR(AND(AUTOEVENTO="Manual",$M143=1),$M143&gt;(ROW(PLE.lastrow)-ROW(PLE.firstrow))),0,IF(OFFSET(PLE!$G$14,$M143,CK$13)="",10^12,OFFSET(PLE!$G$14,$M143,CK$13))))</f>
        <v>1000000000000</v>
      </c>
      <c r="CL143" s="216">
        <f ca="1">IF($D143&lt;&gt;"Serviço",0,IF(OR(AND(AUTOEVENTO="Manual",$M143=1),$M143&gt;(ROW(PLE.lastrow)-ROW(PLE.firstrow))),0,IF(OFFSET(PLE!$G$14,$M143,CL$13)="",10^12,OFFSET(PLE!$G$14,$M143,CL$13))))</f>
        <v>1000000000000</v>
      </c>
      <c r="CM143" s="216">
        <f ca="1">IF($D143&lt;&gt;"Serviço",0,IF(OR(AND(AUTOEVENTO="Manual",$M143=1),$M143&gt;(ROW(PLE.lastrow)-ROW(PLE.firstrow))),0,IF(OFFSET(PLE!$G$14,$M143,CM$13)="",10^12,OFFSET(PLE!$G$14,$M143,CM$13))))</f>
        <v>1000000000000</v>
      </c>
    </row>
    <row r="144" spans="1:91" ht="13.2" x14ac:dyDescent="0.25">
      <c r="A144" s="9">
        <f t="shared" ca="1" si="11"/>
        <v>0</v>
      </c>
      <c r="B144" s="9" t="str">
        <f ca="1">OFFSET(ORÇAMENTO!C$15,ROW(B144)-ROW(B$15),0)</f>
        <v>S</v>
      </c>
      <c r="C144" s="9" t="str">
        <f ca="1">OFFSET(ORÇAMENTO!L$15,ROW(C144)-ROW(C$15),0)</f>
        <v/>
      </c>
      <c r="D144" s="145" t="str">
        <f ca="1">OFFSET(ORÇAMENTO!N$15,ROW(D144)-ROW(D$15),0)</f>
        <v>Serviço</v>
      </c>
      <c r="E144" s="205" t="str">
        <f ca="1">OFFSET(ORÇAMENTO!O$15,ROW(E144)-ROW(E$15),0)</f>
        <v>-</v>
      </c>
      <c r="F144" s="206" t="str">
        <f ca="1">OFFSET(ORÇAMENTO!R$15,ROW(F144)-ROW(F$15),0)</f>
        <v>(abra o arquivo 'Referência 05-2024.xls)</v>
      </c>
      <c r="G144" s="207" t="str">
        <f ca="1">IF($D144&lt;&gt;"Serviço","",OFFSET(ORÇAMENTO!S$15,ROW(G144)-ROW(G$15),0))</f>
        <v>-</v>
      </c>
      <c r="H144" s="151">
        <f ca="1">IF($D144&lt;&gt;"Serviço",0,IF(ACOMPANHAMENTO="BM",ROUND(OFFSET(ORÇAMENTO!AJ$15,ROW(H144)-ROW(H$15),0),15-13*ORÇAMENTO!$AF$7),SUMPRODUCT(($Q$12:$AI$12&lt;&gt;"")*ROUND($Q144:$AI144,15-13*ORÇAMENTO!$AF$7))))</f>
        <v>18.75</v>
      </c>
      <c r="I144" s="650"/>
      <c r="K144" s="208"/>
      <c r="L144" s="209" t="s">
        <v>257</v>
      </c>
      <c r="M144" s="210">
        <f ca="1">IF($D144&lt;&gt;"Serviço","",IF(AUTOEVENTO="manual",$A144,IF(ISERROR(MATCH($A144,$A$15:OFFSET($A144,-1,0),0)),MAX($M$15:OFFSET(M144,-1,0))+1,INDEX($M$15:OFFSET(M144,-1,0),MATCH($A144,$A$15:OFFSET($A144,-1,0),0)))))</f>
        <v>0</v>
      </c>
      <c r="N144" s="211" t="str">
        <f ca="1">IF($D144&lt;&gt;"Serviço","",IF(AUTOEVENTO="Manual",IF($A144=0,"&lt;-- defina o número do agrupador",OFFSET(EVENTOS!$D$14,$A144,0)),OFFSET($F$15,$A144,0)))</f>
        <v>&lt;-- defina o número do agrupador</v>
      </c>
      <c r="O144" s="212"/>
      <c r="Q144" s="212"/>
      <c r="R144" s="213"/>
      <c r="S144" s="213"/>
      <c r="T144" s="213"/>
      <c r="U144" s="213"/>
      <c r="V144" s="213"/>
      <c r="W144" s="213"/>
      <c r="X144" s="213"/>
      <c r="Y144" s="213"/>
      <c r="Z144" s="214"/>
      <c r="AA144" s="213"/>
      <c r="AB144" s="213"/>
      <c r="AC144" s="213"/>
      <c r="AD144" s="213"/>
      <c r="AE144" s="213"/>
      <c r="AF144" s="213"/>
      <c r="AG144" s="213"/>
      <c r="AH144" s="214"/>
      <c r="AJ144" s="631">
        <f ca="1">IF(AND($D144="Serviço",AJ$12&lt;&gt;0,$H144&gt;0,OR(AUTOEVENTO&lt;&gt;"manual",$M144&lt;&gt;1)),ROUND(OFFSET($P144,0,AJ$13),15-13*ORÇAMENTO!$AF$7)/$H144*OFFSET(ORÇAMENTO!$X$15,ROW(AJ144)-ROW(AJ$15),0),0)</f>
        <v>0</v>
      </c>
      <c r="AK144" s="632">
        <f ca="1">IF(AND($D144="Serviço",AK$12&lt;&gt;0,$H144&gt;0,OR(AUTOEVENTO&lt;&gt;"manual",$M144&lt;&gt;1)),ROUND(OFFSET($P144,0,AK$13),15-13*ORÇAMENTO!$AF$7)/$H144*OFFSET(ORÇAMENTO!$X$15,ROW(AK144)-ROW(AK$15),0),0)</f>
        <v>0</v>
      </c>
      <c r="AL144" s="632">
        <f ca="1">IF(AND($D144="Serviço",AL$12&lt;&gt;0,$H144&gt;0,OR(AUTOEVENTO&lt;&gt;"manual",$M144&lt;&gt;1)),ROUND(OFFSET($P144,0,AL$13),15-13*ORÇAMENTO!$AF$7)/$H144*OFFSET(ORÇAMENTO!$X$15,ROW(AL144)-ROW(AL$15),0),0)</f>
        <v>0</v>
      </c>
      <c r="AM144" s="632">
        <f ca="1">IF(AND($D144="Serviço",AM$12&lt;&gt;0,$H144&gt;0,OR(AUTOEVENTO&lt;&gt;"manual",$M144&lt;&gt;1)),ROUND(OFFSET($P144,0,AM$13),15-13*ORÇAMENTO!$AF$7)/$H144*OFFSET(ORÇAMENTO!$X$15,ROW(AM144)-ROW(AM$15),0),0)</f>
        <v>0</v>
      </c>
      <c r="AN144" s="632">
        <f ca="1">IF(AND($D144="Serviço",AN$12&lt;&gt;0,$H144&gt;0,OR(AUTOEVENTO&lt;&gt;"manual",$M144&lt;&gt;1)),ROUND(OFFSET($P144,0,AN$13),15-13*ORÇAMENTO!$AF$7)/$H144*OFFSET(ORÇAMENTO!$X$15,ROW(AN144)-ROW(AN$15),0),0)</f>
        <v>0</v>
      </c>
      <c r="AO144" s="632">
        <f ca="1">IF(AND($D144="Serviço",AO$12&lt;&gt;0,$H144&gt;0,OR(AUTOEVENTO&lt;&gt;"manual",$M144&lt;&gt;1)),ROUND(OFFSET($P144,0,AO$13),15-13*ORÇAMENTO!$AF$7)/$H144*OFFSET(ORÇAMENTO!$X$15,ROW(AO144)-ROW(AO$15),0),0)</f>
        <v>0</v>
      </c>
      <c r="AP144" s="632">
        <f ca="1">IF(AND($D144="Serviço",AP$12&lt;&gt;0,$H144&gt;0,OR(AUTOEVENTO&lt;&gt;"manual",$M144&lt;&gt;1)),ROUND(OFFSET($P144,0,AP$13),15-13*ORÇAMENTO!$AF$7)/$H144*OFFSET(ORÇAMENTO!$X$15,ROW(AP144)-ROW(AP$15),0),0)</f>
        <v>0</v>
      </c>
      <c r="AQ144" s="632">
        <f ca="1">IF(AND($D144="Serviço",AQ$12&lt;&gt;0,$H144&gt;0,OR(AUTOEVENTO&lt;&gt;"manual",$M144&lt;&gt;1)),ROUND(OFFSET($P144,0,AQ$13),15-13*ORÇAMENTO!$AF$7)/$H144*OFFSET(ORÇAMENTO!$X$15,ROW(AQ144)-ROW(AQ$15),0),0)</f>
        <v>0</v>
      </c>
      <c r="AR144" s="632">
        <f ca="1">IF(AND($D144="Serviço",AR$12&lt;&gt;0,$H144&gt;0,OR(AUTOEVENTO&lt;&gt;"manual",$M144&lt;&gt;1)),ROUND(OFFSET($P144,0,AR$13),15-13*ORÇAMENTO!$AF$7)/$H144*OFFSET(ORÇAMENTO!$X$15,ROW(AR144)-ROW(AR$15),0),0)</f>
        <v>0</v>
      </c>
      <c r="AS144" s="633">
        <f ca="1">IF(AND($D144="Serviço",AS$12&lt;&gt;0,$H144&gt;0,OR(AUTOEVENTO&lt;&gt;"manual",$M144&lt;&gt;1)),ROUND(OFFSET($P144,0,AS$13),15-13*ORÇAMENTO!$AF$7)/$H144*OFFSET(ORÇAMENTO!$X$15,ROW(AS144)-ROW(AS$15),0),0)</f>
        <v>0</v>
      </c>
      <c r="AT144" s="632">
        <f ca="1">IF(AND($D144="Serviço",AT$12&lt;&gt;0,$H144&gt;0,OR(AUTOEVENTO&lt;&gt;"manual",$M144&lt;&gt;1)),ROUND(OFFSET($P144,0,AT$13),15-13*ORÇAMENTO!$AF$7)/$H144*OFFSET(ORÇAMENTO!$X$15,ROW(AT144)-ROW(AT$15),0),0)</f>
        <v>0</v>
      </c>
      <c r="AU144" s="632">
        <f ca="1">IF(AND($D144="Serviço",AU$12&lt;&gt;0,$H144&gt;0,OR(AUTOEVENTO&lt;&gt;"manual",$M144&lt;&gt;1)),ROUND(OFFSET($P144,0,AU$13),15-13*ORÇAMENTO!$AF$7)/$H144*OFFSET(ORÇAMENTO!$X$15,ROW(AU144)-ROW(AU$15),0),0)</f>
        <v>0</v>
      </c>
      <c r="AV144" s="632">
        <f ca="1">IF(AND($D144="Serviço",AV$12&lt;&gt;0,$H144&gt;0,OR(AUTOEVENTO&lt;&gt;"manual",$M144&lt;&gt;1)),ROUND(OFFSET($P144,0,AV$13),15-13*ORÇAMENTO!$AF$7)/$H144*OFFSET(ORÇAMENTO!$X$15,ROW(AV144)-ROW(AV$15),0),0)</f>
        <v>0</v>
      </c>
      <c r="AW144" s="632">
        <f ca="1">IF(AND($D144="Serviço",AW$12&lt;&gt;0,$H144&gt;0,OR(AUTOEVENTO&lt;&gt;"manual",$M144&lt;&gt;1)),ROUND(OFFSET($P144,0,AW$13),15-13*ORÇAMENTO!$AF$7)/$H144*OFFSET(ORÇAMENTO!$X$15,ROW(AW144)-ROW(AW$15),0),0)</f>
        <v>0</v>
      </c>
      <c r="AX144" s="632">
        <f ca="1">IF(AND($D144="Serviço",AX$12&lt;&gt;0,$H144&gt;0,OR(AUTOEVENTO&lt;&gt;"manual",$M144&lt;&gt;1)),ROUND(OFFSET($P144,0,AX$13),15-13*ORÇAMENTO!$AF$7)/$H144*OFFSET(ORÇAMENTO!$X$15,ROW(AX144)-ROW(AX$15),0),0)</f>
        <v>0</v>
      </c>
      <c r="AY144" s="632">
        <f ca="1">IF(AND($D144="Serviço",AY$12&lt;&gt;0,$H144&gt;0,OR(AUTOEVENTO&lt;&gt;"manual",$M144&lt;&gt;1)),ROUND(OFFSET($P144,0,AY$13),15-13*ORÇAMENTO!$AF$7)/$H144*OFFSET(ORÇAMENTO!$X$15,ROW(AY144)-ROW(AY$15),0),0)</f>
        <v>0</v>
      </c>
      <c r="AZ144" s="632">
        <f ca="1">IF(AND($D144="Serviço",AZ$12&lt;&gt;0,$H144&gt;0,OR(AUTOEVENTO&lt;&gt;"manual",$M144&lt;&gt;1)),ROUND(OFFSET($P144,0,AZ$13),15-13*ORÇAMENTO!$AF$7)/$H144*OFFSET(ORÇAMENTO!$X$15,ROW(AZ144)-ROW(AZ$15),0),0)</f>
        <v>0</v>
      </c>
      <c r="BA144" s="633">
        <f ca="1">IF(AND($D144="Serviço",BA$12&lt;&gt;0,$H144&gt;0,OR(AUTOEVENTO&lt;&gt;"manual",$M144&lt;&gt;1)),ROUND(OFFSET($P144,0,BA$13),15-13*ORÇAMENTO!$AF$7)/$H144*OFFSET(ORÇAMENTO!$X$15,ROW(BA144)-ROW(BA$15),0),0)</f>
        <v>0</v>
      </c>
      <c r="BC144" s="215">
        <f ca="1">IF($D144&lt;&gt;"Serviço",0,IF(AND(AUTOEVENTO="Manual",$M144=1),0,IF(OFFSET(CRONOPLE!$F$14,$M144,BC$13)="",10^12,OFFSET(CRONOPLE!$F$14,$M144,BC$13))))</f>
        <v>1000000000000</v>
      </c>
      <c r="BD144" s="215">
        <f ca="1">IF($D144&lt;&gt;"Serviço",0,IF(AND(AUTOEVENTO="Manual",$M144=1),0,IF(OFFSET(CRONOPLE!$F$14,$M144,BD$13)="",10^12,OFFSET(CRONOPLE!$F$14,$M144,BD$13))))</f>
        <v>1000000000000</v>
      </c>
      <c r="BE144" s="215">
        <f ca="1">IF($D144&lt;&gt;"Serviço",0,IF(AND(AUTOEVENTO="Manual",$M144=1),0,IF(OFFSET(CRONOPLE!$F$14,$M144,BE$13)="",10^12,OFFSET(CRONOPLE!$F$14,$M144,BE$13))))</f>
        <v>1000000000000</v>
      </c>
      <c r="BF144" s="215">
        <f ca="1">IF($D144&lt;&gt;"Serviço",0,IF(AND(AUTOEVENTO="Manual",$M144=1),0,IF(OFFSET(CRONOPLE!$F$14,$M144,BF$13)="",10^12,OFFSET(CRONOPLE!$F$14,$M144,BF$13))))</f>
        <v>1000000000000</v>
      </c>
      <c r="BG144" s="215">
        <f ca="1">IF($D144&lt;&gt;"Serviço",0,IF(AND(AUTOEVENTO="Manual",$M144=1),0,IF(OFFSET(CRONOPLE!$F$14,$M144,BG$13)="",10^12,OFFSET(CRONOPLE!$F$14,$M144,BG$13))))</f>
        <v>1000000000000</v>
      </c>
      <c r="BH144" s="215">
        <f ca="1">IF($D144&lt;&gt;"Serviço",0,IF(AND(AUTOEVENTO="Manual",$M144=1),0,IF(OFFSET(CRONOPLE!$F$14,$M144,BH$13)="",10^12,OFFSET(CRONOPLE!$F$14,$M144,BH$13))))</f>
        <v>1000000000000</v>
      </c>
      <c r="BI144" s="215">
        <f ca="1">IF($D144&lt;&gt;"Serviço",0,IF(AND(AUTOEVENTO="Manual",$M144=1),0,IF(OFFSET(CRONOPLE!$F$14,$M144,BI$13)="",10^12,OFFSET(CRONOPLE!$F$14,$M144,BI$13))))</f>
        <v>1000000000000</v>
      </c>
      <c r="BJ144" s="215">
        <f ca="1">IF($D144&lt;&gt;"Serviço",0,IF(AND(AUTOEVENTO="Manual",$M144=1),0,IF(OFFSET(CRONOPLE!$F$14,$M144,BJ$13)="",10^12,OFFSET(CRONOPLE!$F$14,$M144,BJ$13))))</f>
        <v>1000000000000</v>
      </c>
      <c r="BK144" s="215">
        <f ca="1">IF($D144&lt;&gt;"Serviço",0,IF(AND(AUTOEVENTO="Manual",$M144=1),0,IF(OFFSET(CRONOPLE!$F$14,$M144,BK$13)="",10^12,OFFSET(CRONOPLE!$F$14,$M144,BK$13))))</f>
        <v>1000000000000</v>
      </c>
      <c r="BL144" s="215">
        <f ca="1">IF($D144&lt;&gt;"Serviço",0,IF(AND(AUTOEVENTO="Manual",$M144=1),0,IF(OFFSET(CRONOPLE!$F$14,$M144,BL$13)="",10^12,OFFSET(CRONOPLE!$F$14,$M144,BL$13))))</f>
        <v>1000000000000</v>
      </c>
      <c r="BM144" s="215">
        <f ca="1">IF($D144&lt;&gt;"Serviço",0,IF(AND(AUTOEVENTO="Manual",$M144=1),0,IF(OFFSET(CRONOPLE!$F$14,$M144,BM$13)="",10^12,OFFSET(CRONOPLE!$F$14,$M144,BM$13))))</f>
        <v>1000000000000</v>
      </c>
      <c r="BN144" s="215">
        <f ca="1">IF($D144&lt;&gt;"Serviço",0,IF(AND(AUTOEVENTO="Manual",$M144=1),0,IF(OFFSET(CRONOPLE!$F$14,$M144,BN$13)="",10^12,OFFSET(CRONOPLE!$F$14,$M144,BN$13))))</f>
        <v>1000000000000</v>
      </c>
      <c r="BO144" s="215">
        <f ca="1">IF($D144&lt;&gt;"Serviço",0,IF(AND(AUTOEVENTO="Manual",$M144=1),0,IF(OFFSET(CRONOPLE!$F$14,$M144,BO$13)="",10^12,OFFSET(CRONOPLE!$F$14,$M144,BO$13))))</f>
        <v>1000000000000</v>
      </c>
      <c r="BP144" s="215">
        <f ca="1">IF($D144&lt;&gt;"Serviço",0,IF(AND(AUTOEVENTO="Manual",$M144=1),0,IF(OFFSET(CRONOPLE!$F$14,$M144,BP$13)="",10^12,OFFSET(CRONOPLE!$F$14,$M144,BP$13))))</f>
        <v>1000000000000</v>
      </c>
      <c r="BQ144" s="215">
        <f ca="1">IF($D144&lt;&gt;"Serviço",0,IF(AND(AUTOEVENTO="Manual",$M144=1),0,IF(OFFSET(CRONOPLE!$F$14,$M144,BQ$13)="",10^12,OFFSET(CRONOPLE!$F$14,$M144,BQ$13))))</f>
        <v>1000000000000</v>
      </c>
      <c r="BR144" s="215">
        <f ca="1">IF($D144&lt;&gt;"Serviço",0,IF(AND(AUTOEVENTO="Manual",$M144=1),0,IF(OFFSET(CRONOPLE!$F$14,$M144,BR$13)="",10^12,OFFSET(CRONOPLE!$F$14,$M144,BR$13))))</f>
        <v>1000000000000</v>
      </c>
      <c r="BS144" s="215">
        <f ca="1">IF($D144&lt;&gt;"Serviço",0,IF(AND(AUTOEVENTO="Manual",$M144=1),0,IF(OFFSET(CRONOPLE!$F$14,$M144,BS$13)="",10^12,OFFSET(CRONOPLE!$F$14,$M144,BS$13))))</f>
        <v>1000000000000</v>
      </c>
      <c r="BT144" s="215">
        <f ca="1">IF($D144&lt;&gt;"Serviço",0,IF(AND(AUTOEVENTO="Manual",$M144=1),0,IF(OFFSET(CRONOPLE!$F$14,$M144,BT$13)="",10^12,OFFSET(CRONOPLE!$F$14,$M144,BT$13))))</f>
        <v>1000000000000</v>
      </c>
      <c r="BV144" s="216">
        <f ca="1">IF($D144&lt;&gt;"Serviço",0,IF(OR(AND(AUTOEVENTO="Manual",$M144=1),$M144&gt;(ROW(PLE.lastrow)-ROW(PLE.firstrow))),0,IF(OFFSET(PLE!$G$14,$M144,BV$13)="",10^12,OFFSET(PLE!$G$14,$M144,BV$13))))</f>
        <v>1000000000000</v>
      </c>
      <c r="BW144" s="216">
        <f ca="1">IF($D144&lt;&gt;"Serviço",0,IF(OR(AND(AUTOEVENTO="Manual",$M144=1),$M144&gt;(ROW(PLE.lastrow)-ROW(PLE.firstrow))),0,IF(OFFSET(PLE!$G$14,$M144,BW$13)="",10^12,OFFSET(PLE!$G$14,$M144,BW$13))))</f>
        <v>1000000000000</v>
      </c>
      <c r="BX144" s="216">
        <f ca="1">IF($D144&lt;&gt;"Serviço",0,IF(OR(AND(AUTOEVENTO="Manual",$M144=1),$M144&gt;(ROW(PLE.lastrow)-ROW(PLE.firstrow))),0,IF(OFFSET(PLE!$G$14,$M144,BX$13)="",10^12,OFFSET(PLE!$G$14,$M144,BX$13))))</f>
        <v>1000000000000</v>
      </c>
      <c r="BY144" s="216">
        <f ca="1">IF($D144&lt;&gt;"Serviço",0,IF(OR(AND(AUTOEVENTO="Manual",$M144=1),$M144&gt;(ROW(PLE.lastrow)-ROW(PLE.firstrow))),0,IF(OFFSET(PLE!$G$14,$M144,BY$13)="",10^12,OFFSET(PLE!$G$14,$M144,BY$13))))</f>
        <v>1000000000000</v>
      </c>
      <c r="BZ144" s="216">
        <f ca="1">IF($D144&lt;&gt;"Serviço",0,IF(OR(AND(AUTOEVENTO="Manual",$M144=1),$M144&gt;(ROW(PLE.lastrow)-ROW(PLE.firstrow))),0,IF(OFFSET(PLE!$G$14,$M144,BZ$13)="",10^12,OFFSET(PLE!$G$14,$M144,BZ$13))))</f>
        <v>1000000000000</v>
      </c>
      <c r="CA144" s="216">
        <f ca="1">IF($D144&lt;&gt;"Serviço",0,IF(OR(AND(AUTOEVENTO="Manual",$M144=1),$M144&gt;(ROW(PLE.lastrow)-ROW(PLE.firstrow))),0,IF(OFFSET(PLE!$G$14,$M144,CA$13)="",10^12,OFFSET(PLE!$G$14,$M144,CA$13))))</f>
        <v>1000000000000</v>
      </c>
      <c r="CB144" s="216">
        <f ca="1">IF($D144&lt;&gt;"Serviço",0,IF(OR(AND(AUTOEVENTO="Manual",$M144=1),$M144&gt;(ROW(PLE.lastrow)-ROW(PLE.firstrow))),0,IF(OFFSET(PLE!$G$14,$M144,CB$13)="",10^12,OFFSET(PLE!$G$14,$M144,CB$13))))</f>
        <v>1000000000000</v>
      </c>
      <c r="CC144" s="216">
        <f ca="1">IF($D144&lt;&gt;"Serviço",0,IF(OR(AND(AUTOEVENTO="Manual",$M144=1),$M144&gt;(ROW(PLE.lastrow)-ROW(PLE.firstrow))),0,IF(OFFSET(PLE!$G$14,$M144,CC$13)="",10^12,OFFSET(PLE!$G$14,$M144,CC$13))))</f>
        <v>1000000000000</v>
      </c>
      <c r="CD144" s="216">
        <f ca="1">IF($D144&lt;&gt;"Serviço",0,IF(OR(AND(AUTOEVENTO="Manual",$M144=1),$M144&gt;(ROW(PLE.lastrow)-ROW(PLE.firstrow))),0,IF(OFFSET(PLE!$G$14,$M144,CD$13)="",10^12,OFFSET(PLE!$G$14,$M144,CD$13))))</f>
        <v>1000000000000</v>
      </c>
      <c r="CE144" s="216">
        <f ca="1">IF($D144&lt;&gt;"Serviço",0,IF(OR(AND(AUTOEVENTO="Manual",$M144=1),$M144&gt;(ROW(PLE.lastrow)-ROW(PLE.firstrow))),0,IF(OFFSET(PLE!$G$14,$M144,CE$13)="",10^12,OFFSET(PLE!$G$14,$M144,CE$13))))</f>
        <v>1000000000000</v>
      </c>
      <c r="CF144" s="216">
        <f ca="1">IF($D144&lt;&gt;"Serviço",0,IF(OR(AND(AUTOEVENTO="Manual",$M144=1),$M144&gt;(ROW(PLE.lastrow)-ROW(PLE.firstrow))),0,IF(OFFSET(PLE!$G$14,$M144,CF$13)="",10^12,OFFSET(PLE!$G$14,$M144,CF$13))))</f>
        <v>1000000000000</v>
      </c>
      <c r="CG144" s="216">
        <f ca="1">IF($D144&lt;&gt;"Serviço",0,IF(OR(AND(AUTOEVENTO="Manual",$M144=1),$M144&gt;(ROW(PLE.lastrow)-ROW(PLE.firstrow))),0,IF(OFFSET(PLE!$G$14,$M144,CG$13)="",10^12,OFFSET(PLE!$G$14,$M144,CG$13))))</f>
        <v>1000000000000</v>
      </c>
      <c r="CH144" s="216">
        <f ca="1">IF($D144&lt;&gt;"Serviço",0,IF(OR(AND(AUTOEVENTO="Manual",$M144=1),$M144&gt;(ROW(PLE.lastrow)-ROW(PLE.firstrow))),0,IF(OFFSET(PLE!$G$14,$M144,CH$13)="",10^12,OFFSET(PLE!$G$14,$M144,CH$13))))</f>
        <v>1000000000000</v>
      </c>
      <c r="CI144" s="216">
        <f ca="1">IF($D144&lt;&gt;"Serviço",0,IF(OR(AND(AUTOEVENTO="Manual",$M144=1),$M144&gt;(ROW(PLE.lastrow)-ROW(PLE.firstrow))),0,IF(OFFSET(PLE!$G$14,$M144,CI$13)="",10^12,OFFSET(PLE!$G$14,$M144,CI$13))))</f>
        <v>1000000000000</v>
      </c>
      <c r="CJ144" s="216">
        <f ca="1">IF($D144&lt;&gt;"Serviço",0,IF(OR(AND(AUTOEVENTO="Manual",$M144=1),$M144&gt;(ROW(PLE.lastrow)-ROW(PLE.firstrow))),0,IF(OFFSET(PLE!$G$14,$M144,CJ$13)="",10^12,OFFSET(PLE!$G$14,$M144,CJ$13))))</f>
        <v>1000000000000</v>
      </c>
      <c r="CK144" s="216">
        <f ca="1">IF($D144&lt;&gt;"Serviço",0,IF(OR(AND(AUTOEVENTO="Manual",$M144=1),$M144&gt;(ROW(PLE.lastrow)-ROW(PLE.firstrow))),0,IF(OFFSET(PLE!$G$14,$M144,CK$13)="",10^12,OFFSET(PLE!$G$14,$M144,CK$13))))</f>
        <v>1000000000000</v>
      </c>
      <c r="CL144" s="216">
        <f ca="1">IF($D144&lt;&gt;"Serviço",0,IF(OR(AND(AUTOEVENTO="Manual",$M144=1),$M144&gt;(ROW(PLE.lastrow)-ROW(PLE.firstrow))),0,IF(OFFSET(PLE!$G$14,$M144,CL$13)="",10^12,OFFSET(PLE!$G$14,$M144,CL$13))))</f>
        <v>1000000000000</v>
      </c>
      <c r="CM144" s="216">
        <f ca="1">IF($D144&lt;&gt;"Serviço",0,IF(OR(AND(AUTOEVENTO="Manual",$M144=1),$M144&gt;(ROW(PLE.lastrow)-ROW(PLE.firstrow))),0,IF(OFFSET(PLE!$G$14,$M144,CM$13)="",10^12,OFFSET(PLE!$G$14,$M144,CM$13))))</f>
        <v>1000000000000</v>
      </c>
    </row>
    <row r="145" spans="1:91" ht="13.2" x14ac:dyDescent="0.25">
      <c r="A145" s="9">
        <f t="shared" ca="1" si="11"/>
        <v>0</v>
      </c>
      <c r="B145" s="9" t="str">
        <f ca="1">OFFSET(ORÇAMENTO!C$15,ROW(B145)-ROW(B$15),0)</f>
        <v>S</v>
      </c>
      <c r="C145" s="9" t="str">
        <f ca="1">OFFSET(ORÇAMENTO!L$15,ROW(C145)-ROW(C$15),0)</f>
        <v/>
      </c>
      <c r="D145" s="145" t="str">
        <f ca="1">OFFSET(ORÇAMENTO!N$15,ROW(D145)-ROW(D$15),0)</f>
        <v>Serviço</v>
      </c>
      <c r="E145" s="205" t="str">
        <f ca="1">OFFSET(ORÇAMENTO!O$15,ROW(E145)-ROW(E$15),0)</f>
        <v>-</v>
      </c>
      <c r="F145" s="206" t="str">
        <f ca="1">OFFSET(ORÇAMENTO!R$15,ROW(F145)-ROW(F$15),0)</f>
        <v>(abra o arquivo 'Referência 05-2024.xls)</v>
      </c>
      <c r="G145" s="207" t="str">
        <f ca="1">IF($D145&lt;&gt;"Serviço","",OFFSET(ORÇAMENTO!S$15,ROW(G145)-ROW(G$15),0))</f>
        <v>-</v>
      </c>
      <c r="H145" s="151">
        <f ca="1">IF($D145&lt;&gt;"Serviço",0,IF(ACOMPANHAMENTO="BM",ROUND(OFFSET(ORÇAMENTO!AJ$15,ROW(H145)-ROW(H$15),0),15-13*ORÇAMENTO!$AF$7),SUMPRODUCT(($Q$12:$AI$12&lt;&gt;"")*ROUND($Q145:$AI145,15-13*ORÇAMENTO!$AF$7))))</f>
        <v>0.81</v>
      </c>
      <c r="I145" s="650"/>
      <c r="K145" s="208"/>
      <c r="L145" s="209" t="s">
        <v>257</v>
      </c>
      <c r="M145" s="210">
        <f ca="1">IF($D145&lt;&gt;"Serviço","",IF(AUTOEVENTO="manual",$A145,IF(ISERROR(MATCH($A145,$A$15:OFFSET($A145,-1,0),0)),MAX($M$15:OFFSET(M145,-1,0))+1,INDEX($M$15:OFFSET(M145,-1,0),MATCH($A145,$A$15:OFFSET($A145,-1,0),0)))))</f>
        <v>0</v>
      </c>
      <c r="N145" s="211" t="str">
        <f ca="1">IF($D145&lt;&gt;"Serviço","",IF(AUTOEVENTO="Manual",IF($A145=0,"&lt;-- defina o número do agrupador",OFFSET(EVENTOS!$D$14,$A145,0)),OFFSET($F$15,$A145,0)))</f>
        <v>&lt;-- defina o número do agrupador</v>
      </c>
      <c r="O145" s="212"/>
      <c r="Q145" s="212"/>
      <c r="R145" s="213"/>
      <c r="S145" s="213"/>
      <c r="T145" s="213"/>
      <c r="U145" s="213"/>
      <c r="V145" s="213"/>
      <c r="W145" s="213"/>
      <c r="X145" s="213"/>
      <c r="Y145" s="213"/>
      <c r="Z145" s="214"/>
      <c r="AA145" s="213"/>
      <c r="AB145" s="213"/>
      <c r="AC145" s="213"/>
      <c r="AD145" s="213"/>
      <c r="AE145" s="213"/>
      <c r="AF145" s="213"/>
      <c r="AG145" s="213"/>
      <c r="AH145" s="214"/>
      <c r="AJ145" s="631">
        <f ca="1">IF(AND($D145="Serviço",AJ$12&lt;&gt;0,$H145&gt;0,OR(AUTOEVENTO&lt;&gt;"manual",$M145&lt;&gt;1)),ROUND(OFFSET($P145,0,AJ$13),15-13*ORÇAMENTO!$AF$7)/$H145*OFFSET(ORÇAMENTO!$X$15,ROW(AJ145)-ROW(AJ$15),0),0)</f>
        <v>0</v>
      </c>
      <c r="AK145" s="632">
        <f ca="1">IF(AND($D145="Serviço",AK$12&lt;&gt;0,$H145&gt;0,OR(AUTOEVENTO&lt;&gt;"manual",$M145&lt;&gt;1)),ROUND(OFFSET($P145,0,AK$13),15-13*ORÇAMENTO!$AF$7)/$H145*OFFSET(ORÇAMENTO!$X$15,ROW(AK145)-ROW(AK$15),0),0)</f>
        <v>0</v>
      </c>
      <c r="AL145" s="632">
        <f ca="1">IF(AND($D145="Serviço",AL$12&lt;&gt;0,$H145&gt;0,OR(AUTOEVENTO&lt;&gt;"manual",$M145&lt;&gt;1)),ROUND(OFFSET($P145,0,AL$13),15-13*ORÇAMENTO!$AF$7)/$H145*OFFSET(ORÇAMENTO!$X$15,ROW(AL145)-ROW(AL$15),0),0)</f>
        <v>0</v>
      </c>
      <c r="AM145" s="632">
        <f ca="1">IF(AND($D145="Serviço",AM$12&lt;&gt;0,$H145&gt;0,OR(AUTOEVENTO&lt;&gt;"manual",$M145&lt;&gt;1)),ROUND(OFFSET($P145,0,AM$13),15-13*ORÇAMENTO!$AF$7)/$H145*OFFSET(ORÇAMENTO!$X$15,ROW(AM145)-ROW(AM$15),0),0)</f>
        <v>0</v>
      </c>
      <c r="AN145" s="632">
        <f ca="1">IF(AND($D145="Serviço",AN$12&lt;&gt;0,$H145&gt;0,OR(AUTOEVENTO&lt;&gt;"manual",$M145&lt;&gt;1)),ROUND(OFFSET($P145,0,AN$13),15-13*ORÇAMENTO!$AF$7)/$H145*OFFSET(ORÇAMENTO!$X$15,ROW(AN145)-ROW(AN$15),0),0)</f>
        <v>0</v>
      </c>
      <c r="AO145" s="632">
        <f ca="1">IF(AND($D145="Serviço",AO$12&lt;&gt;0,$H145&gt;0,OR(AUTOEVENTO&lt;&gt;"manual",$M145&lt;&gt;1)),ROUND(OFFSET($P145,0,AO$13),15-13*ORÇAMENTO!$AF$7)/$H145*OFFSET(ORÇAMENTO!$X$15,ROW(AO145)-ROW(AO$15),0),0)</f>
        <v>0</v>
      </c>
      <c r="AP145" s="632">
        <f ca="1">IF(AND($D145="Serviço",AP$12&lt;&gt;0,$H145&gt;0,OR(AUTOEVENTO&lt;&gt;"manual",$M145&lt;&gt;1)),ROUND(OFFSET($P145,0,AP$13),15-13*ORÇAMENTO!$AF$7)/$H145*OFFSET(ORÇAMENTO!$X$15,ROW(AP145)-ROW(AP$15),0),0)</f>
        <v>0</v>
      </c>
      <c r="AQ145" s="632">
        <f ca="1">IF(AND($D145="Serviço",AQ$12&lt;&gt;0,$H145&gt;0,OR(AUTOEVENTO&lt;&gt;"manual",$M145&lt;&gt;1)),ROUND(OFFSET($P145,0,AQ$13),15-13*ORÇAMENTO!$AF$7)/$H145*OFFSET(ORÇAMENTO!$X$15,ROW(AQ145)-ROW(AQ$15),0),0)</f>
        <v>0</v>
      </c>
      <c r="AR145" s="632">
        <f ca="1">IF(AND($D145="Serviço",AR$12&lt;&gt;0,$H145&gt;0,OR(AUTOEVENTO&lt;&gt;"manual",$M145&lt;&gt;1)),ROUND(OFFSET($P145,0,AR$13),15-13*ORÇAMENTO!$AF$7)/$H145*OFFSET(ORÇAMENTO!$X$15,ROW(AR145)-ROW(AR$15),0),0)</f>
        <v>0</v>
      </c>
      <c r="AS145" s="633">
        <f ca="1">IF(AND($D145="Serviço",AS$12&lt;&gt;0,$H145&gt;0,OR(AUTOEVENTO&lt;&gt;"manual",$M145&lt;&gt;1)),ROUND(OFFSET($P145,0,AS$13),15-13*ORÇAMENTO!$AF$7)/$H145*OFFSET(ORÇAMENTO!$X$15,ROW(AS145)-ROW(AS$15),0),0)</f>
        <v>0</v>
      </c>
      <c r="AT145" s="632">
        <f ca="1">IF(AND($D145="Serviço",AT$12&lt;&gt;0,$H145&gt;0,OR(AUTOEVENTO&lt;&gt;"manual",$M145&lt;&gt;1)),ROUND(OFFSET($P145,0,AT$13),15-13*ORÇAMENTO!$AF$7)/$H145*OFFSET(ORÇAMENTO!$X$15,ROW(AT145)-ROW(AT$15),0),0)</f>
        <v>0</v>
      </c>
      <c r="AU145" s="632">
        <f ca="1">IF(AND($D145="Serviço",AU$12&lt;&gt;0,$H145&gt;0,OR(AUTOEVENTO&lt;&gt;"manual",$M145&lt;&gt;1)),ROUND(OFFSET($P145,0,AU$13),15-13*ORÇAMENTO!$AF$7)/$H145*OFFSET(ORÇAMENTO!$X$15,ROW(AU145)-ROW(AU$15),0),0)</f>
        <v>0</v>
      </c>
      <c r="AV145" s="632">
        <f ca="1">IF(AND($D145="Serviço",AV$12&lt;&gt;0,$H145&gt;0,OR(AUTOEVENTO&lt;&gt;"manual",$M145&lt;&gt;1)),ROUND(OFFSET($P145,0,AV$13),15-13*ORÇAMENTO!$AF$7)/$H145*OFFSET(ORÇAMENTO!$X$15,ROW(AV145)-ROW(AV$15),0),0)</f>
        <v>0</v>
      </c>
      <c r="AW145" s="632">
        <f ca="1">IF(AND($D145="Serviço",AW$12&lt;&gt;0,$H145&gt;0,OR(AUTOEVENTO&lt;&gt;"manual",$M145&lt;&gt;1)),ROUND(OFFSET($P145,0,AW$13),15-13*ORÇAMENTO!$AF$7)/$H145*OFFSET(ORÇAMENTO!$X$15,ROW(AW145)-ROW(AW$15),0),0)</f>
        <v>0</v>
      </c>
      <c r="AX145" s="632">
        <f ca="1">IF(AND($D145="Serviço",AX$12&lt;&gt;0,$H145&gt;0,OR(AUTOEVENTO&lt;&gt;"manual",$M145&lt;&gt;1)),ROUND(OFFSET($P145,0,AX$13),15-13*ORÇAMENTO!$AF$7)/$H145*OFFSET(ORÇAMENTO!$X$15,ROW(AX145)-ROW(AX$15),0),0)</f>
        <v>0</v>
      </c>
      <c r="AY145" s="632">
        <f ca="1">IF(AND($D145="Serviço",AY$12&lt;&gt;0,$H145&gt;0,OR(AUTOEVENTO&lt;&gt;"manual",$M145&lt;&gt;1)),ROUND(OFFSET($P145,0,AY$13),15-13*ORÇAMENTO!$AF$7)/$H145*OFFSET(ORÇAMENTO!$X$15,ROW(AY145)-ROW(AY$15),0),0)</f>
        <v>0</v>
      </c>
      <c r="AZ145" s="632">
        <f ca="1">IF(AND($D145="Serviço",AZ$12&lt;&gt;0,$H145&gt;0,OR(AUTOEVENTO&lt;&gt;"manual",$M145&lt;&gt;1)),ROUND(OFFSET($P145,0,AZ$13),15-13*ORÇAMENTO!$AF$7)/$H145*OFFSET(ORÇAMENTO!$X$15,ROW(AZ145)-ROW(AZ$15),0),0)</f>
        <v>0</v>
      </c>
      <c r="BA145" s="633">
        <f ca="1">IF(AND($D145="Serviço",BA$12&lt;&gt;0,$H145&gt;0,OR(AUTOEVENTO&lt;&gt;"manual",$M145&lt;&gt;1)),ROUND(OFFSET($P145,0,BA$13),15-13*ORÇAMENTO!$AF$7)/$H145*OFFSET(ORÇAMENTO!$X$15,ROW(BA145)-ROW(BA$15),0),0)</f>
        <v>0</v>
      </c>
      <c r="BC145" s="215">
        <f ca="1">IF($D145&lt;&gt;"Serviço",0,IF(AND(AUTOEVENTO="Manual",$M145=1),0,IF(OFFSET(CRONOPLE!$F$14,$M145,BC$13)="",10^12,OFFSET(CRONOPLE!$F$14,$M145,BC$13))))</f>
        <v>1000000000000</v>
      </c>
      <c r="BD145" s="215">
        <f ca="1">IF($D145&lt;&gt;"Serviço",0,IF(AND(AUTOEVENTO="Manual",$M145=1),0,IF(OFFSET(CRONOPLE!$F$14,$M145,BD$13)="",10^12,OFFSET(CRONOPLE!$F$14,$M145,BD$13))))</f>
        <v>1000000000000</v>
      </c>
      <c r="BE145" s="215">
        <f ca="1">IF($D145&lt;&gt;"Serviço",0,IF(AND(AUTOEVENTO="Manual",$M145=1),0,IF(OFFSET(CRONOPLE!$F$14,$M145,BE$13)="",10^12,OFFSET(CRONOPLE!$F$14,$M145,BE$13))))</f>
        <v>1000000000000</v>
      </c>
      <c r="BF145" s="215">
        <f ca="1">IF($D145&lt;&gt;"Serviço",0,IF(AND(AUTOEVENTO="Manual",$M145=1),0,IF(OFFSET(CRONOPLE!$F$14,$M145,BF$13)="",10^12,OFFSET(CRONOPLE!$F$14,$M145,BF$13))))</f>
        <v>1000000000000</v>
      </c>
      <c r="BG145" s="215">
        <f ca="1">IF($D145&lt;&gt;"Serviço",0,IF(AND(AUTOEVENTO="Manual",$M145=1),0,IF(OFFSET(CRONOPLE!$F$14,$M145,BG$13)="",10^12,OFFSET(CRONOPLE!$F$14,$M145,BG$13))))</f>
        <v>1000000000000</v>
      </c>
      <c r="BH145" s="215">
        <f ca="1">IF($D145&lt;&gt;"Serviço",0,IF(AND(AUTOEVENTO="Manual",$M145=1),0,IF(OFFSET(CRONOPLE!$F$14,$M145,BH$13)="",10^12,OFFSET(CRONOPLE!$F$14,$M145,BH$13))))</f>
        <v>1000000000000</v>
      </c>
      <c r="BI145" s="215">
        <f ca="1">IF($D145&lt;&gt;"Serviço",0,IF(AND(AUTOEVENTO="Manual",$M145=1),0,IF(OFFSET(CRONOPLE!$F$14,$M145,BI$13)="",10^12,OFFSET(CRONOPLE!$F$14,$M145,BI$13))))</f>
        <v>1000000000000</v>
      </c>
      <c r="BJ145" s="215">
        <f ca="1">IF($D145&lt;&gt;"Serviço",0,IF(AND(AUTOEVENTO="Manual",$M145=1),0,IF(OFFSET(CRONOPLE!$F$14,$M145,BJ$13)="",10^12,OFFSET(CRONOPLE!$F$14,$M145,BJ$13))))</f>
        <v>1000000000000</v>
      </c>
      <c r="BK145" s="215">
        <f ca="1">IF($D145&lt;&gt;"Serviço",0,IF(AND(AUTOEVENTO="Manual",$M145=1),0,IF(OFFSET(CRONOPLE!$F$14,$M145,BK$13)="",10^12,OFFSET(CRONOPLE!$F$14,$M145,BK$13))))</f>
        <v>1000000000000</v>
      </c>
      <c r="BL145" s="215">
        <f ca="1">IF($D145&lt;&gt;"Serviço",0,IF(AND(AUTOEVENTO="Manual",$M145=1),0,IF(OFFSET(CRONOPLE!$F$14,$M145,BL$13)="",10^12,OFFSET(CRONOPLE!$F$14,$M145,BL$13))))</f>
        <v>1000000000000</v>
      </c>
      <c r="BM145" s="215">
        <f ca="1">IF($D145&lt;&gt;"Serviço",0,IF(AND(AUTOEVENTO="Manual",$M145=1),0,IF(OFFSET(CRONOPLE!$F$14,$M145,BM$13)="",10^12,OFFSET(CRONOPLE!$F$14,$M145,BM$13))))</f>
        <v>1000000000000</v>
      </c>
      <c r="BN145" s="215">
        <f ca="1">IF($D145&lt;&gt;"Serviço",0,IF(AND(AUTOEVENTO="Manual",$M145=1),0,IF(OFFSET(CRONOPLE!$F$14,$M145,BN$13)="",10^12,OFFSET(CRONOPLE!$F$14,$M145,BN$13))))</f>
        <v>1000000000000</v>
      </c>
      <c r="BO145" s="215">
        <f ca="1">IF($D145&lt;&gt;"Serviço",0,IF(AND(AUTOEVENTO="Manual",$M145=1),0,IF(OFFSET(CRONOPLE!$F$14,$M145,BO$13)="",10^12,OFFSET(CRONOPLE!$F$14,$M145,BO$13))))</f>
        <v>1000000000000</v>
      </c>
      <c r="BP145" s="215">
        <f ca="1">IF($D145&lt;&gt;"Serviço",0,IF(AND(AUTOEVENTO="Manual",$M145=1),0,IF(OFFSET(CRONOPLE!$F$14,$M145,BP$13)="",10^12,OFFSET(CRONOPLE!$F$14,$M145,BP$13))))</f>
        <v>1000000000000</v>
      </c>
      <c r="BQ145" s="215">
        <f ca="1">IF($D145&lt;&gt;"Serviço",0,IF(AND(AUTOEVENTO="Manual",$M145=1),0,IF(OFFSET(CRONOPLE!$F$14,$M145,BQ$13)="",10^12,OFFSET(CRONOPLE!$F$14,$M145,BQ$13))))</f>
        <v>1000000000000</v>
      </c>
      <c r="BR145" s="215">
        <f ca="1">IF($D145&lt;&gt;"Serviço",0,IF(AND(AUTOEVENTO="Manual",$M145=1),0,IF(OFFSET(CRONOPLE!$F$14,$M145,BR$13)="",10^12,OFFSET(CRONOPLE!$F$14,$M145,BR$13))))</f>
        <v>1000000000000</v>
      </c>
      <c r="BS145" s="215">
        <f ca="1">IF($D145&lt;&gt;"Serviço",0,IF(AND(AUTOEVENTO="Manual",$M145=1),0,IF(OFFSET(CRONOPLE!$F$14,$M145,BS$13)="",10^12,OFFSET(CRONOPLE!$F$14,$M145,BS$13))))</f>
        <v>1000000000000</v>
      </c>
      <c r="BT145" s="215">
        <f ca="1">IF($D145&lt;&gt;"Serviço",0,IF(AND(AUTOEVENTO="Manual",$M145=1),0,IF(OFFSET(CRONOPLE!$F$14,$M145,BT$13)="",10^12,OFFSET(CRONOPLE!$F$14,$M145,BT$13))))</f>
        <v>1000000000000</v>
      </c>
      <c r="BV145" s="216">
        <f ca="1">IF($D145&lt;&gt;"Serviço",0,IF(OR(AND(AUTOEVENTO="Manual",$M145=1),$M145&gt;(ROW(PLE.lastrow)-ROW(PLE.firstrow))),0,IF(OFFSET(PLE!$G$14,$M145,BV$13)="",10^12,OFFSET(PLE!$G$14,$M145,BV$13))))</f>
        <v>1000000000000</v>
      </c>
      <c r="BW145" s="216">
        <f ca="1">IF($D145&lt;&gt;"Serviço",0,IF(OR(AND(AUTOEVENTO="Manual",$M145=1),$M145&gt;(ROW(PLE.lastrow)-ROW(PLE.firstrow))),0,IF(OFFSET(PLE!$G$14,$M145,BW$13)="",10^12,OFFSET(PLE!$G$14,$M145,BW$13))))</f>
        <v>1000000000000</v>
      </c>
      <c r="BX145" s="216">
        <f ca="1">IF($D145&lt;&gt;"Serviço",0,IF(OR(AND(AUTOEVENTO="Manual",$M145=1),$M145&gt;(ROW(PLE.lastrow)-ROW(PLE.firstrow))),0,IF(OFFSET(PLE!$G$14,$M145,BX$13)="",10^12,OFFSET(PLE!$G$14,$M145,BX$13))))</f>
        <v>1000000000000</v>
      </c>
      <c r="BY145" s="216">
        <f ca="1">IF($D145&lt;&gt;"Serviço",0,IF(OR(AND(AUTOEVENTO="Manual",$M145=1),$M145&gt;(ROW(PLE.lastrow)-ROW(PLE.firstrow))),0,IF(OFFSET(PLE!$G$14,$M145,BY$13)="",10^12,OFFSET(PLE!$G$14,$M145,BY$13))))</f>
        <v>1000000000000</v>
      </c>
      <c r="BZ145" s="216">
        <f ca="1">IF($D145&lt;&gt;"Serviço",0,IF(OR(AND(AUTOEVENTO="Manual",$M145=1),$M145&gt;(ROW(PLE.lastrow)-ROW(PLE.firstrow))),0,IF(OFFSET(PLE!$G$14,$M145,BZ$13)="",10^12,OFFSET(PLE!$G$14,$M145,BZ$13))))</f>
        <v>1000000000000</v>
      </c>
      <c r="CA145" s="216">
        <f ca="1">IF($D145&lt;&gt;"Serviço",0,IF(OR(AND(AUTOEVENTO="Manual",$M145=1),$M145&gt;(ROW(PLE.lastrow)-ROW(PLE.firstrow))),0,IF(OFFSET(PLE!$G$14,$M145,CA$13)="",10^12,OFFSET(PLE!$G$14,$M145,CA$13))))</f>
        <v>1000000000000</v>
      </c>
      <c r="CB145" s="216">
        <f ca="1">IF($D145&lt;&gt;"Serviço",0,IF(OR(AND(AUTOEVENTO="Manual",$M145=1),$M145&gt;(ROW(PLE.lastrow)-ROW(PLE.firstrow))),0,IF(OFFSET(PLE!$G$14,$M145,CB$13)="",10^12,OFFSET(PLE!$G$14,$M145,CB$13))))</f>
        <v>1000000000000</v>
      </c>
      <c r="CC145" s="216">
        <f ca="1">IF($D145&lt;&gt;"Serviço",0,IF(OR(AND(AUTOEVENTO="Manual",$M145=1),$M145&gt;(ROW(PLE.lastrow)-ROW(PLE.firstrow))),0,IF(OFFSET(PLE!$G$14,$M145,CC$13)="",10^12,OFFSET(PLE!$G$14,$M145,CC$13))))</f>
        <v>1000000000000</v>
      </c>
      <c r="CD145" s="216">
        <f ca="1">IF($D145&lt;&gt;"Serviço",0,IF(OR(AND(AUTOEVENTO="Manual",$M145=1),$M145&gt;(ROW(PLE.lastrow)-ROW(PLE.firstrow))),0,IF(OFFSET(PLE!$G$14,$M145,CD$13)="",10^12,OFFSET(PLE!$G$14,$M145,CD$13))))</f>
        <v>1000000000000</v>
      </c>
      <c r="CE145" s="216">
        <f ca="1">IF($D145&lt;&gt;"Serviço",0,IF(OR(AND(AUTOEVENTO="Manual",$M145=1),$M145&gt;(ROW(PLE.lastrow)-ROW(PLE.firstrow))),0,IF(OFFSET(PLE!$G$14,$M145,CE$13)="",10^12,OFFSET(PLE!$G$14,$M145,CE$13))))</f>
        <v>1000000000000</v>
      </c>
      <c r="CF145" s="216">
        <f ca="1">IF($D145&lt;&gt;"Serviço",0,IF(OR(AND(AUTOEVENTO="Manual",$M145=1),$M145&gt;(ROW(PLE.lastrow)-ROW(PLE.firstrow))),0,IF(OFFSET(PLE!$G$14,$M145,CF$13)="",10^12,OFFSET(PLE!$G$14,$M145,CF$13))))</f>
        <v>1000000000000</v>
      </c>
      <c r="CG145" s="216">
        <f ca="1">IF($D145&lt;&gt;"Serviço",0,IF(OR(AND(AUTOEVENTO="Manual",$M145=1),$M145&gt;(ROW(PLE.lastrow)-ROW(PLE.firstrow))),0,IF(OFFSET(PLE!$G$14,$M145,CG$13)="",10^12,OFFSET(PLE!$G$14,$M145,CG$13))))</f>
        <v>1000000000000</v>
      </c>
      <c r="CH145" s="216">
        <f ca="1">IF($D145&lt;&gt;"Serviço",0,IF(OR(AND(AUTOEVENTO="Manual",$M145=1),$M145&gt;(ROW(PLE.lastrow)-ROW(PLE.firstrow))),0,IF(OFFSET(PLE!$G$14,$M145,CH$13)="",10^12,OFFSET(PLE!$G$14,$M145,CH$13))))</f>
        <v>1000000000000</v>
      </c>
      <c r="CI145" s="216">
        <f ca="1">IF($D145&lt;&gt;"Serviço",0,IF(OR(AND(AUTOEVENTO="Manual",$M145=1),$M145&gt;(ROW(PLE.lastrow)-ROW(PLE.firstrow))),0,IF(OFFSET(PLE!$G$14,$M145,CI$13)="",10^12,OFFSET(PLE!$G$14,$M145,CI$13))))</f>
        <v>1000000000000</v>
      </c>
      <c r="CJ145" s="216">
        <f ca="1">IF($D145&lt;&gt;"Serviço",0,IF(OR(AND(AUTOEVENTO="Manual",$M145=1),$M145&gt;(ROW(PLE.lastrow)-ROW(PLE.firstrow))),0,IF(OFFSET(PLE!$G$14,$M145,CJ$13)="",10^12,OFFSET(PLE!$G$14,$M145,CJ$13))))</f>
        <v>1000000000000</v>
      </c>
      <c r="CK145" s="216">
        <f ca="1">IF($D145&lt;&gt;"Serviço",0,IF(OR(AND(AUTOEVENTO="Manual",$M145=1),$M145&gt;(ROW(PLE.lastrow)-ROW(PLE.firstrow))),0,IF(OFFSET(PLE!$G$14,$M145,CK$13)="",10^12,OFFSET(PLE!$G$14,$M145,CK$13))))</f>
        <v>1000000000000</v>
      </c>
      <c r="CL145" s="216">
        <f ca="1">IF($D145&lt;&gt;"Serviço",0,IF(OR(AND(AUTOEVENTO="Manual",$M145=1),$M145&gt;(ROW(PLE.lastrow)-ROW(PLE.firstrow))),0,IF(OFFSET(PLE!$G$14,$M145,CL$13)="",10^12,OFFSET(PLE!$G$14,$M145,CL$13))))</f>
        <v>1000000000000</v>
      </c>
      <c r="CM145" s="216">
        <f ca="1">IF($D145&lt;&gt;"Serviço",0,IF(OR(AND(AUTOEVENTO="Manual",$M145=1),$M145&gt;(ROW(PLE.lastrow)-ROW(PLE.firstrow))),0,IF(OFFSET(PLE!$G$14,$M145,CM$13)="",10^12,OFFSET(PLE!$G$14,$M145,CM$13))))</f>
        <v>1000000000000</v>
      </c>
    </row>
    <row r="146" spans="1:91" ht="13.2" x14ac:dyDescent="0.25">
      <c r="A146" s="9">
        <f t="shared" ca="1" si="11"/>
        <v>0</v>
      </c>
      <c r="B146" s="9">
        <f ca="1">OFFSET(ORÇAMENTO!C$15,ROW(B146)-ROW(B$15),0)</f>
        <v>3</v>
      </c>
      <c r="C146" s="9" t="str">
        <f ca="1">OFFSET(ORÇAMENTO!L$15,ROW(C146)-ROW(C$15),0)</f>
        <v>F</v>
      </c>
      <c r="D146" s="145" t="str">
        <f ca="1">OFFSET(ORÇAMENTO!N$15,ROW(D146)-ROW(D$15),0)</f>
        <v>Nível 3</v>
      </c>
      <c r="E146" s="205" t="str">
        <f ca="1">OFFSET(ORÇAMENTO!O$15,ROW(E146)-ROW(E$15),0)</f>
        <v>1.4.10.</v>
      </c>
      <c r="F146" s="206" t="str">
        <f ca="1">OFFSET(ORÇAMENTO!R$15,ROW(F146)-ROW(F$15),0)</f>
        <v>CONCRETO ARMADO - LAJE - RESERVATÓRIO</v>
      </c>
      <c r="G146" s="207" t="str">
        <f ca="1">IF($D146&lt;&gt;"Serviço","",OFFSET(ORÇAMENTO!S$15,ROW(G146)-ROW(G$15),0))</f>
        <v/>
      </c>
      <c r="H146" s="151">
        <f ca="1">IF($D146&lt;&gt;"Serviço",0,IF(ACOMPANHAMENTO="BM",ROUND(OFFSET(ORÇAMENTO!AJ$15,ROW(H146)-ROW(H$15),0),15-13*ORÇAMENTO!$AF$7),SUMPRODUCT(($Q$12:$AI$12&lt;&gt;"")*ROUND($Q146:$AI146,15-13*ORÇAMENTO!$AF$7))))</f>
        <v>0</v>
      </c>
      <c r="I146" s="650"/>
      <c r="K146" s="208"/>
      <c r="L146" s="209" t="s">
        <v>257</v>
      </c>
      <c r="M146" s="210" t="str">
        <f ca="1">IF($D146&lt;&gt;"Serviço","",IF(AUTOEVENTO="manual",$A146,IF(ISERROR(MATCH($A146,$A$15:OFFSET($A146,-1,0),0)),MAX($M$15:OFFSET(M146,-1,0))+1,INDEX($M$15:OFFSET(M146,-1,0),MATCH($A146,$A$15:OFFSET($A146,-1,0),0)))))</f>
        <v/>
      </c>
      <c r="N146" s="211" t="str">
        <f ca="1">IF($D146&lt;&gt;"Serviço","",IF(AUTOEVENTO="Manual",IF($A146=0,"&lt;-- defina o número do agrupador",OFFSET(EVENTOS!$D$14,$A146,0)),OFFSET($F$15,$A146,0)))</f>
        <v/>
      </c>
      <c r="O146" s="212"/>
      <c r="Q146" s="212"/>
      <c r="R146" s="213"/>
      <c r="S146" s="213"/>
      <c r="T146" s="213"/>
      <c r="U146" s="213"/>
      <c r="V146" s="213"/>
      <c r="W146" s="213"/>
      <c r="X146" s="213"/>
      <c r="Y146" s="213"/>
      <c r="Z146" s="214"/>
      <c r="AA146" s="213"/>
      <c r="AB146" s="213"/>
      <c r="AC146" s="213"/>
      <c r="AD146" s="213"/>
      <c r="AE146" s="213"/>
      <c r="AF146" s="213"/>
      <c r="AG146" s="213"/>
      <c r="AH146" s="214"/>
      <c r="AJ146" s="631">
        <f ca="1">IF(AND($D146="Serviço",AJ$12&lt;&gt;0,$H146&gt;0,OR(AUTOEVENTO&lt;&gt;"manual",$M146&lt;&gt;1)),ROUND(OFFSET($P146,0,AJ$13),15-13*ORÇAMENTO!$AF$7)/$H146*OFFSET(ORÇAMENTO!$X$15,ROW(AJ146)-ROW(AJ$15),0),0)</f>
        <v>0</v>
      </c>
      <c r="AK146" s="632">
        <f ca="1">IF(AND($D146="Serviço",AK$12&lt;&gt;0,$H146&gt;0,OR(AUTOEVENTO&lt;&gt;"manual",$M146&lt;&gt;1)),ROUND(OFFSET($P146,0,AK$13),15-13*ORÇAMENTO!$AF$7)/$H146*OFFSET(ORÇAMENTO!$X$15,ROW(AK146)-ROW(AK$15),0),0)</f>
        <v>0</v>
      </c>
      <c r="AL146" s="632">
        <f ca="1">IF(AND($D146="Serviço",AL$12&lt;&gt;0,$H146&gt;0,OR(AUTOEVENTO&lt;&gt;"manual",$M146&lt;&gt;1)),ROUND(OFFSET($P146,0,AL$13),15-13*ORÇAMENTO!$AF$7)/$H146*OFFSET(ORÇAMENTO!$X$15,ROW(AL146)-ROW(AL$15),0),0)</f>
        <v>0</v>
      </c>
      <c r="AM146" s="632">
        <f ca="1">IF(AND($D146="Serviço",AM$12&lt;&gt;0,$H146&gt;0,OR(AUTOEVENTO&lt;&gt;"manual",$M146&lt;&gt;1)),ROUND(OFFSET($P146,0,AM$13),15-13*ORÇAMENTO!$AF$7)/$H146*OFFSET(ORÇAMENTO!$X$15,ROW(AM146)-ROW(AM$15),0),0)</f>
        <v>0</v>
      </c>
      <c r="AN146" s="632">
        <f ca="1">IF(AND($D146="Serviço",AN$12&lt;&gt;0,$H146&gt;0,OR(AUTOEVENTO&lt;&gt;"manual",$M146&lt;&gt;1)),ROUND(OFFSET($P146,0,AN$13),15-13*ORÇAMENTO!$AF$7)/$H146*OFFSET(ORÇAMENTO!$X$15,ROW(AN146)-ROW(AN$15),0),0)</f>
        <v>0</v>
      </c>
      <c r="AO146" s="632">
        <f ca="1">IF(AND($D146="Serviço",AO$12&lt;&gt;0,$H146&gt;0,OR(AUTOEVENTO&lt;&gt;"manual",$M146&lt;&gt;1)),ROUND(OFFSET($P146,0,AO$13),15-13*ORÇAMENTO!$AF$7)/$H146*OFFSET(ORÇAMENTO!$X$15,ROW(AO146)-ROW(AO$15),0),0)</f>
        <v>0</v>
      </c>
      <c r="AP146" s="632">
        <f ca="1">IF(AND($D146="Serviço",AP$12&lt;&gt;0,$H146&gt;0,OR(AUTOEVENTO&lt;&gt;"manual",$M146&lt;&gt;1)),ROUND(OFFSET($P146,0,AP$13),15-13*ORÇAMENTO!$AF$7)/$H146*OFFSET(ORÇAMENTO!$X$15,ROW(AP146)-ROW(AP$15),0),0)</f>
        <v>0</v>
      </c>
      <c r="AQ146" s="632">
        <f ca="1">IF(AND($D146="Serviço",AQ$12&lt;&gt;0,$H146&gt;0,OR(AUTOEVENTO&lt;&gt;"manual",$M146&lt;&gt;1)),ROUND(OFFSET($P146,0,AQ$13),15-13*ORÇAMENTO!$AF$7)/$H146*OFFSET(ORÇAMENTO!$X$15,ROW(AQ146)-ROW(AQ$15),0),0)</f>
        <v>0</v>
      </c>
      <c r="AR146" s="632">
        <f ca="1">IF(AND($D146="Serviço",AR$12&lt;&gt;0,$H146&gt;0,OR(AUTOEVENTO&lt;&gt;"manual",$M146&lt;&gt;1)),ROUND(OFFSET($P146,0,AR$13),15-13*ORÇAMENTO!$AF$7)/$H146*OFFSET(ORÇAMENTO!$X$15,ROW(AR146)-ROW(AR$15),0),0)</f>
        <v>0</v>
      </c>
      <c r="AS146" s="633">
        <f ca="1">IF(AND($D146="Serviço",AS$12&lt;&gt;0,$H146&gt;0,OR(AUTOEVENTO&lt;&gt;"manual",$M146&lt;&gt;1)),ROUND(OFFSET($P146,0,AS$13),15-13*ORÇAMENTO!$AF$7)/$H146*OFFSET(ORÇAMENTO!$X$15,ROW(AS146)-ROW(AS$15),0),0)</f>
        <v>0</v>
      </c>
      <c r="AT146" s="632">
        <f ca="1">IF(AND($D146="Serviço",AT$12&lt;&gt;0,$H146&gt;0,OR(AUTOEVENTO&lt;&gt;"manual",$M146&lt;&gt;1)),ROUND(OFFSET($P146,0,AT$13),15-13*ORÇAMENTO!$AF$7)/$H146*OFFSET(ORÇAMENTO!$X$15,ROW(AT146)-ROW(AT$15),0),0)</f>
        <v>0</v>
      </c>
      <c r="AU146" s="632">
        <f ca="1">IF(AND($D146="Serviço",AU$12&lt;&gt;0,$H146&gt;0,OR(AUTOEVENTO&lt;&gt;"manual",$M146&lt;&gt;1)),ROUND(OFFSET($P146,0,AU$13),15-13*ORÇAMENTO!$AF$7)/$H146*OFFSET(ORÇAMENTO!$X$15,ROW(AU146)-ROW(AU$15),0),0)</f>
        <v>0</v>
      </c>
      <c r="AV146" s="632">
        <f ca="1">IF(AND($D146="Serviço",AV$12&lt;&gt;0,$H146&gt;0,OR(AUTOEVENTO&lt;&gt;"manual",$M146&lt;&gt;1)),ROUND(OFFSET($P146,0,AV$13),15-13*ORÇAMENTO!$AF$7)/$H146*OFFSET(ORÇAMENTO!$X$15,ROW(AV146)-ROW(AV$15),0),0)</f>
        <v>0</v>
      </c>
      <c r="AW146" s="632">
        <f ca="1">IF(AND($D146="Serviço",AW$12&lt;&gt;0,$H146&gt;0,OR(AUTOEVENTO&lt;&gt;"manual",$M146&lt;&gt;1)),ROUND(OFFSET($P146,0,AW$13),15-13*ORÇAMENTO!$AF$7)/$H146*OFFSET(ORÇAMENTO!$X$15,ROW(AW146)-ROW(AW$15),0),0)</f>
        <v>0</v>
      </c>
      <c r="AX146" s="632">
        <f ca="1">IF(AND($D146="Serviço",AX$12&lt;&gt;0,$H146&gt;0,OR(AUTOEVENTO&lt;&gt;"manual",$M146&lt;&gt;1)),ROUND(OFFSET($P146,0,AX$13),15-13*ORÇAMENTO!$AF$7)/$H146*OFFSET(ORÇAMENTO!$X$15,ROW(AX146)-ROW(AX$15),0),0)</f>
        <v>0</v>
      </c>
      <c r="AY146" s="632">
        <f ca="1">IF(AND($D146="Serviço",AY$12&lt;&gt;0,$H146&gt;0,OR(AUTOEVENTO&lt;&gt;"manual",$M146&lt;&gt;1)),ROUND(OFFSET($P146,0,AY$13),15-13*ORÇAMENTO!$AF$7)/$H146*OFFSET(ORÇAMENTO!$X$15,ROW(AY146)-ROW(AY$15),0),0)</f>
        <v>0</v>
      </c>
      <c r="AZ146" s="632">
        <f ca="1">IF(AND($D146="Serviço",AZ$12&lt;&gt;0,$H146&gt;0,OR(AUTOEVENTO&lt;&gt;"manual",$M146&lt;&gt;1)),ROUND(OFFSET($P146,0,AZ$13),15-13*ORÇAMENTO!$AF$7)/$H146*OFFSET(ORÇAMENTO!$X$15,ROW(AZ146)-ROW(AZ$15),0),0)</f>
        <v>0</v>
      </c>
      <c r="BA146" s="633">
        <f ca="1">IF(AND($D146="Serviço",BA$12&lt;&gt;0,$H146&gt;0,OR(AUTOEVENTO&lt;&gt;"manual",$M146&lt;&gt;1)),ROUND(OFFSET($P146,0,BA$13),15-13*ORÇAMENTO!$AF$7)/$H146*OFFSET(ORÇAMENTO!$X$15,ROW(BA146)-ROW(BA$15),0),0)</f>
        <v>0</v>
      </c>
      <c r="BC146" s="215">
        <f ca="1">IF($D146&lt;&gt;"Serviço",0,IF(AND(AUTOEVENTO="Manual",$M146=1),0,IF(OFFSET(CRONOPLE!$F$14,$M146,BC$13)="",10^12,OFFSET(CRONOPLE!$F$14,$M146,BC$13))))</f>
        <v>0</v>
      </c>
      <c r="BD146" s="215">
        <f ca="1">IF($D146&lt;&gt;"Serviço",0,IF(AND(AUTOEVENTO="Manual",$M146=1),0,IF(OFFSET(CRONOPLE!$F$14,$M146,BD$13)="",10^12,OFFSET(CRONOPLE!$F$14,$M146,BD$13))))</f>
        <v>0</v>
      </c>
      <c r="BE146" s="215">
        <f ca="1">IF($D146&lt;&gt;"Serviço",0,IF(AND(AUTOEVENTO="Manual",$M146=1),0,IF(OFFSET(CRONOPLE!$F$14,$M146,BE$13)="",10^12,OFFSET(CRONOPLE!$F$14,$M146,BE$13))))</f>
        <v>0</v>
      </c>
      <c r="BF146" s="215">
        <f ca="1">IF($D146&lt;&gt;"Serviço",0,IF(AND(AUTOEVENTO="Manual",$M146=1),0,IF(OFFSET(CRONOPLE!$F$14,$M146,BF$13)="",10^12,OFFSET(CRONOPLE!$F$14,$M146,BF$13))))</f>
        <v>0</v>
      </c>
      <c r="BG146" s="215">
        <f ca="1">IF($D146&lt;&gt;"Serviço",0,IF(AND(AUTOEVENTO="Manual",$M146=1),0,IF(OFFSET(CRONOPLE!$F$14,$M146,BG$13)="",10^12,OFFSET(CRONOPLE!$F$14,$M146,BG$13))))</f>
        <v>0</v>
      </c>
      <c r="BH146" s="215">
        <f ca="1">IF($D146&lt;&gt;"Serviço",0,IF(AND(AUTOEVENTO="Manual",$M146=1),0,IF(OFFSET(CRONOPLE!$F$14,$M146,BH$13)="",10^12,OFFSET(CRONOPLE!$F$14,$M146,BH$13))))</f>
        <v>0</v>
      </c>
      <c r="BI146" s="215">
        <f ca="1">IF($D146&lt;&gt;"Serviço",0,IF(AND(AUTOEVENTO="Manual",$M146=1),0,IF(OFFSET(CRONOPLE!$F$14,$M146,BI$13)="",10^12,OFFSET(CRONOPLE!$F$14,$M146,BI$13))))</f>
        <v>0</v>
      </c>
      <c r="BJ146" s="215">
        <f ca="1">IF($D146&lt;&gt;"Serviço",0,IF(AND(AUTOEVENTO="Manual",$M146=1),0,IF(OFFSET(CRONOPLE!$F$14,$M146,BJ$13)="",10^12,OFFSET(CRONOPLE!$F$14,$M146,BJ$13))))</f>
        <v>0</v>
      </c>
      <c r="BK146" s="215">
        <f ca="1">IF($D146&lt;&gt;"Serviço",0,IF(AND(AUTOEVENTO="Manual",$M146=1),0,IF(OFFSET(CRONOPLE!$F$14,$M146,BK$13)="",10^12,OFFSET(CRONOPLE!$F$14,$M146,BK$13))))</f>
        <v>0</v>
      </c>
      <c r="BL146" s="215">
        <f ca="1">IF($D146&lt;&gt;"Serviço",0,IF(AND(AUTOEVENTO="Manual",$M146=1),0,IF(OFFSET(CRONOPLE!$F$14,$M146,BL$13)="",10^12,OFFSET(CRONOPLE!$F$14,$M146,BL$13))))</f>
        <v>0</v>
      </c>
      <c r="BM146" s="215">
        <f ca="1">IF($D146&lt;&gt;"Serviço",0,IF(AND(AUTOEVENTO="Manual",$M146=1),0,IF(OFFSET(CRONOPLE!$F$14,$M146,BM$13)="",10^12,OFFSET(CRONOPLE!$F$14,$M146,BM$13))))</f>
        <v>0</v>
      </c>
      <c r="BN146" s="215">
        <f ca="1">IF($D146&lt;&gt;"Serviço",0,IF(AND(AUTOEVENTO="Manual",$M146=1),0,IF(OFFSET(CRONOPLE!$F$14,$M146,BN$13)="",10^12,OFFSET(CRONOPLE!$F$14,$M146,BN$13))))</f>
        <v>0</v>
      </c>
      <c r="BO146" s="215">
        <f ca="1">IF($D146&lt;&gt;"Serviço",0,IF(AND(AUTOEVENTO="Manual",$M146=1),0,IF(OFFSET(CRONOPLE!$F$14,$M146,BO$13)="",10^12,OFFSET(CRONOPLE!$F$14,$M146,BO$13))))</f>
        <v>0</v>
      </c>
      <c r="BP146" s="215">
        <f ca="1">IF($D146&lt;&gt;"Serviço",0,IF(AND(AUTOEVENTO="Manual",$M146=1),0,IF(OFFSET(CRONOPLE!$F$14,$M146,BP$13)="",10^12,OFFSET(CRONOPLE!$F$14,$M146,BP$13))))</f>
        <v>0</v>
      </c>
      <c r="BQ146" s="215">
        <f ca="1">IF($D146&lt;&gt;"Serviço",0,IF(AND(AUTOEVENTO="Manual",$M146=1),0,IF(OFFSET(CRONOPLE!$F$14,$M146,BQ$13)="",10^12,OFFSET(CRONOPLE!$F$14,$M146,BQ$13))))</f>
        <v>0</v>
      </c>
      <c r="BR146" s="215">
        <f ca="1">IF($D146&lt;&gt;"Serviço",0,IF(AND(AUTOEVENTO="Manual",$M146=1),0,IF(OFFSET(CRONOPLE!$F$14,$M146,BR$13)="",10^12,OFFSET(CRONOPLE!$F$14,$M146,BR$13))))</f>
        <v>0</v>
      </c>
      <c r="BS146" s="215">
        <f ca="1">IF($D146&lt;&gt;"Serviço",0,IF(AND(AUTOEVENTO="Manual",$M146=1),0,IF(OFFSET(CRONOPLE!$F$14,$M146,BS$13)="",10^12,OFFSET(CRONOPLE!$F$14,$M146,BS$13))))</f>
        <v>0</v>
      </c>
      <c r="BT146" s="215">
        <f ca="1">IF($D146&lt;&gt;"Serviço",0,IF(AND(AUTOEVENTO="Manual",$M146=1),0,IF(OFFSET(CRONOPLE!$F$14,$M146,BT$13)="",10^12,OFFSET(CRONOPLE!$F$14,$M146,BT$13))))</f>
        <v>0</v>
      </c>
      <c r="BV146" s="216">
        <f ca="1">IF($D146&lt;&gt;"Serviço",0,IF(OR(AND(AUTOEVENTO="Manual",$M146=1),$M146&gt;(ROW(PLE.lastrow)-ROW(PLE.firstrow))),0,IF(OFFSET(PLE!$G$14,$M146,BV$13)="",10^12,OFFSET(PLE!$G$14,$M146,BV$13))))</f>
        <v>0</v>
      </c>
      <c r="BW146" s="216">
        <f ca="1">IF($D146&lt;&gt;"Serviço",0,IF(OR(AND(AUTOEVENTO="Manual",$M146=1),$M146&gt;(ROW(PLE.lastrow)-ROW(PLE.firstrow))),0,IF(OFFSET(PLE!$G$14,$M146,BW$13)="",10^12,OFFSET(PLE!$G$14,$M146,BW$13))))</f>
        <v>0</v>
      </c>
      <c r="BX146" s="216">
        <f ca="1">IF($D146&lt;&gt;"Serviço",0,IF(OR(AND(AUTOEVENTO="Manual",$M146=1),$M146&gt;(ROW(PLE.lastrow)-ROW(PLE.firstrow))),0,IF(OFFSET(PLE!$G$14,$M146,BX$13)="",10^12,OFFSET(PLE!$G$14,$M146,BX$13))))</f>
        <v>0</v>
      </c>
      <c r="BY146" s="216">
        <f ca="1">IF($D146&lt;&gt;"Serviço",0,IF(OR(AND(AUTOEVENTO="Manual",$M146=1),$M146&gt;(ROW(PLE.lastrow)-ROW(PLE.firstrow))),0,IF(OFFSET(PLE!$G$14,$M146,BY$13)="",10^12,OFFSET(PLE!$G$14,$M146,BY$13))))</f>
        <v>0</v>
      </c>
      <c r="BZ146" s="216">
        <f ca="1">IF($D146&lt;&gt;"Serviço",0,IF(OR(AND(AUTOEVENTO="Manual",$M146=1),$M146&gt;(ROW(PLE.lastrow)-ROW(PLE.firstrow))),0,IF(OFFSET(PLE!$G$14,$M146,BZ$13)="",10^12,OFFSET(PLE!$G$14,$M146,BZ$13))))</f>
        <v>0</v>
      </c>
      <c r="CA146" s="216">
        <f ca="1">IF($D146&lt;&gt;"Serviço",0,IF(OR(AND(AUTOEVENTO="Manual",$M146=1),$M146&gt;(ROW(PLE.lastrow)-ROW(PLE.firstrow))),0,IF(OFFSET(PLE!$G$14,$M146,CA$13)="",10^12,OFFSET(PLE!$G$14,$M146,CA$13))))</f>
        <v>0</v>
      </c>
      <c r="CB146" s="216">
        <f ca="1">IF($D146&lt;&gt;"Serviço",0,IF(OR(AND(AUTOEVENTO="Manual",$M146=1),$M146&gt;(ROW(PLE.lastrow)-ROW(PLE.firstrow))),0,IF(OFFSET(PLE!$G$14,$M146,CB$13)="",10^12,OFFSET(PLE!$G$14,$M146,CB$13))))</f>
        <v>0</v>
      </c>
      <c r="CC146" s="216">
        <f ca="1">IF($D146&lt;&gt;"Serviço",0,IF(OR(AND(AUTOEVENTO="Manual",$M146=1),$M146&gt;(ROW(PLE.lastrow)-ROW(PLE.firstrow))),0,IF(OFFSET(PLE!$G$14,$M146,CC$13)="",10^12,OFFSET(PLE!$G$14,$M146,CC$13))))</f>
        <v>0</v>
      </c>
      <c r="CD146" s="216">
        <f ca="1">IF($D146&lt;&gt;"Serviço",0,IF(OR(AND(AUTOEVENTO="Manual",$M146=1),$M146&gt;(ROW(PLE.lastrow)-ROW(PLE.firstrow))),0,IF(OFFSET(PLE!$G$14,$M146,CD$13)="",10^12,OFFSET(PLE!$G$14,$M146,CD$13))))</f>
        <v>0</v>
      </c>
      <c r="CE146" s="216">
        <f ca="1">IF($D146&lt;&gt;"Serviço",0,IF(OR(AND(AUTOEVENTO="Manual",$M146=1),$M146&gt;(ROW(PLE.lastrow)-ROW(PLE.firstrow))),0,IF(OFFSET(PLE!$G$14,$M146,CE$13)="",10^12,OFFSET(PLE!$G$14,$M146,CE$13))))</f>
        <v>0</v>
      </c>
      <c r="CF146" s="216">
        <f ca="1">IF($D146&lt;&gt;"Serviço",0,IF(OR(AND(AUTOEVENTO="Manual",$M146=1),$M146&gt;(ROW(PLE.lastrow)-ROW(PLE.firstrow))),0,IF(OFFSET(PLE!$G$14,$M146,CF$13)="",10^12,OFFSET(PLE!$G$14,$M146,CF$13))))</f>
        <v>0</v>
      </c>
      <c r="CG146" s="216">
        <f ca="1">IF($D146&lt;&gt;"Serviço",0,IF(OR(AND(AUTOEVENTO="Manual",$M146=1),$M146&gt;(ROW(PLE.lastrow)-ROW(PLE.firstrow))),0,IF(OFFSET(PLE!$G$14,$M146,CG$13)="",10^12,OFFSET(PLE!$G$14,$M146,CG$13))))</f>
        <v>0</v>
      </c>
      <c r="CH146" s="216">
        <f ca="1">IF($D146&lt;&gt;"Serviço",0,IF(OR(AND(AUTOEVENTO="Manual",$M146=1),$M146&gt;(ROW(PLE.lastrow)-ROW(PLE.firstrow))),0,IF(OFFSET(PLE!$G$14,$M146,CH$13)="",10^12,OFFSET(PLE!$G$14,$M146,CH$13))))</f>
        <v>0</v>
      </c>
      <c r="CI146" s="216">
        <f ca="1">IF($D146&lt;&gt;"Serviço",0,IF(OR(AND(AUTOEVENTO="Manual",$M146=1),$M146&gt;(ROW(PLE.lastrow)-ROW(PLE.firstrow))),0,IF(OFFSET(PLE!$G$14,$M146,CI$13)="",10^12,OFFSET(PLE!$G$14,$M146,CI$13))))</f>
        <v>0</v>
      </c>
      <c r="CJ146" s="216">
        <f ca="1">IF($D146&lt;&gt;"Serviço",0,IF(OR(AND(AUTOEVENTO="Manual",$M146=1),$M146&gt;(ROW(PLE.lastrow)-ROW(PLE.firstrow))),0,IF(OFFSET(PLE!$G$14,$M146,CJ$13)="",10^12,OFFSET(PLE!$G$14,$M146,CJ$13))))</f>
        <v>0</v>
      </c>
      <c r="CK146" s="216">
        <f ca="1">IF($D146&lt;&gt;"Serviço",0,IF(OR(AND(AUTOEVENTO="Manual",$M146=1),$M146&gt;(ROW(PLE.lastrow)-ROW(PLE.firstrow))),0,IF(OFFSET(PLE!$G$14,$M146,CK$13)="",10^12,OFFSET(PLE!$G$14,$M146,CK$13))))</f>
        <v>0</v>
      </c>
      <c r="CL146" s="216">
        <f ca="1">IF($D146&lt;&gt;"Serviço",0,IF(OR(AND(AUTOEVENTO="Manual",$M146=1),$M146&gt;(ROW(PLE.lastrow)-ROW(PLE.firstrow))),0,IF(OFFSET(PLE!$G$14,$M146,CL$13)="",10^12,OFFSET(PLE!$G$14,$M146,CL$13))))</f>
        <v>0</v>
      </c>
      <c r="CM146" s="216">
        <f ca="1">IF($D146&lt;&gt;"Serviço",0,IF(OR(AND(AUTOEVENTO="Manual",$M146=1),$M146&gt;(ROW(PLE.lastrow)-ROW(PLE.firstrow))),0,IF(OFFSET(PLE!$G$14,$M146,CM$13)="",10^12,OFFSET(PLE!$G$14,$M146,CM$13))))</f>
        <v>0</v>
      </c>
    </row>
    <row r="147" spans="1:91" ht="13.2" x14ac:dyDescent="0.25">
      <c r="A147" s="9">
        <f t="shared" ca="1" si="11"/>
        <v>0</v>
      </c>
      <c r="B147" s="9" t="str">
        <f ca="1">OFFSET(ORÇAMENTO!C$15,ROW(B147)-ROW(B$15),0)</f>
        <v>S</v>
      </c>
      <c r="C147" s="9" t="str">
        <f ca="1">OFFSET(ORÇAMENTO!L$15,ROW(C147)-ROW(C$15),0)</f>
        <v/>
      </c>
      <c r="D147" s="145" t="str">
        <f ca="1">OFFSET(ORÇAMENTO!N$15,ROW(D147)-ROW(D$15),0)</f>
        <v>Serviço</v>
      </c>
      <c r="E147" s="205" t="str">
        <f ca="1">OFFSET(ORÇAMENTO!O$15,ROW(E147)-ROW(E$15),0)</f>
        <v>-</v>
      </c>
      <c r="F147" s="206" t="str">
        <f ca="1">OFFSET(ORÇAMENTO!R$15,ROW(F147)-ROW(F$15),0)</f>
        <v>(abra o arquivo 'Referência 05-2024.xls)</v>
      </c>
      <c r="G147" s="207" t="str">
        <f ca="1">IF($D147&lt;&gt;"Serviço","",OFFSET(ORÇAMENTO!S$15,ROW(G147)-ROW(G$15),0))</f>
        <v>-</v>
      </c>
      <c r="H147" s="151">
        <f ca="1">IF($D147&lt;&gt;"Serviço",0,IF(ACOMPANHAMENTO="BM",ROUND(OFFSET(ORÇAMENTO!AJ$15,ROW(H147)-ROW(H$15),0),15-13*ORÇAMENTO!$AF$7),SUMPRODUCT(($Q$12:$AI$12&lt;&gt;"")*ROUND($Q147:$AI147,15-13*ORÇAMENTO!$AF$7))))</f>
        <v>4.51</v>
      </c>
      <c r="I147" s="650"/>
      <c r="K147" s="208"/>
      <c r="L147" s="209" t="s">
        <v>257</v>
      </c>
      <c r="M147" s="210">
        <f ca="1">IF($D147&lt;&gt;"Serviço","",IF(AUTOEVENTO="manual",$A147,IF(ISERROR(MATCH($A147,$A$15:OFFSET($A147,-1,0),0)),MAX($M$15:OFFSET(M147,-1,0))+1,INDEX($M$15:OFFSET(M147,-1,0),MATCH($A147,$A$15:OFFSET($A147,-1,0),0)))))</f>
        <v>0</v>
      </c>
      <c r="N147" s="211" t="str">
        <f ca="1">IF($D147&lt;&gt;"Serviço","",IF(AUTOEVENTO="Manual",IF($A147=0,"&lt;-- defina o número do agrupador",OFFSET(EVENTOS!$D$14,$A147,0)),OFFSET($F$15,$A147,0)))</f>
        <v>&lt;-- defina o número do agrupador</v>
      </c>
      <c r="O147" s="212"/>
      <c r="Q147" s="212"/>
      <c r="R147" s="213"/>
      <c r="S147" s="213"/>
      <c r="T147" s="213"/>
      <c r="U147" s="213"/>
      <c r="V147" s="213"/>
      <c r="W147" s="213"/>
      <c r="X147" s="213"/>
      <c r="Y147" s="213"/>
      <c r="Z147" s="214"/>
      <c r="AA147" s="213"/>
      <c r="AB147" s="213"/>
      <c r="AC147" s="213"/>
      <c r="AD147" s="213"/>
      <c r="AE147" s="213"/>
      <c r="AF147" s="213"/>
      <c r="AG147" s="213"/>
      <c r="AH147" s="214"/>
      <c r="AJ147" s="631">
        <f ca="1">IF(AND($D147="Serviço",AJ$12&lt;&gt;0,$H147&gt;0,OR(AUTOEVENTO&lt;&gt;"manual",$M147&lt;&gt;1)),ROUND(OFFSET($P147,0,AJ$13),15-13*ORÇAMENTO!$AF$7)/$H147*OFFSET(ORÇAMENTO!$X$15,ROW(AJ147)-ROW(AJ$15),0),0)</f>
        <v>0</v>
      </c>
      <c r="AK147" s="632">
        <f ca="1">IF(AND($D147="Serviço",AK$12&lt;&gt;0,$H147&gt;0,OR(AUTOEVENTO&lt;&gt;"manual",$M147&lt;&gt;1)),ROUND(OFFSET($P147,0,AK$13),15-13*ORÇAMENTO!$AF$7)/$H147*OFFSET(ORÇAMENTO!$X$15,ROW(AK147)-ROW(AK$15),0),0)</f>
        <v>0</v>
      </c>
      <c r="AL147" s="632">
        <f ca="1">IF(AND($D147="Serviço",AL$12&lt;&gt;0,$H147&gt;0,OR(AUTOEVENTO&lt;&gt;"manual",$M147&lt;&gt;1)),ROUND(OFFSET($P147,0,AL$13),15-13*ORÇAMENTO!$AF$7)/$H147*OFFSET(ORÇAMENTO!$X$15,ROW(AL147)-ROW(AL$15),0),0)</f>
        <v>0</v>
      </c>
      <c r="AM147" s="632">
        <f ca="1">IF(AND($D147="Serviço",AM$12&lt;&gt;0,$H147&gt;0,OR(AUTOEVENTO&lt;&gt;"manual",$M147&lt;&gt;1)),ROUND(OFFSET($P147,0,AM$13),15-13*ORÇAMENTO!$AF$7)/$H147*OFFSET(ORÇAMENTO!$X$15,ROW(AM147)-ROW(AM$15),0),0)</f>
        <v>0</v>
      </c>
      <c r="AN147" s="632">
        <f ca="1">IF(AND($D147="Serviço",AN$12&lt;&gt;0,$H147&gt;0,OR(AUTOEVENTO&lt;&gt;"manual",$M147&lt;&gt;1)),ROUND(OFFSET($P147,0,AN$13),15-13*ORÇAMENTO!$AF$7)/$H147*OFFSET(ORÇAMENTO!$X$15,ROW(AN147)-ROW(AN$15),0),0)</f>
        <v>0</v>
      </c>
      <c r="AO147" s="632">
        <f ca="1">IF(AND($D147="Serviço",AO$12&lt;&gt;0,$H147&gt;0,OR(AUTOEVENTO&lt;&gt;"manual",$M147&lt;&gt;1)),ROUND(OFFSET($P147,0,AO$13),15-13*ORÇAMENTO!$AF$7)/$H147*OFFSET(ORÇAMENTO!$X$15,ROW(AO147)-ROW(AO$15),0),0)</f>
        <v>0</v>
      </c>
      <c r="AP147" s="632">
        <f ca="1">IF(AND($D147="Serviço",AP$12&lt;&gt;0,$H147&gt;0,OR(AUTOEVENTO&lt;&gt;"manual",$M147&lt;&gt;1)),ROUND(OFFSET($P147,0,AP$13),15-13*ORÇAMENTO!$AF$7)/$H147*OFFSET(ORÇAMENTO!$X$15,ROW(AP147)-ROW(AP$15),0),0)</f>
        <v>0</v>
      </c>
      <c r="AQ147" s="632">
        <f ca="1">IF(AND($D147="Serviço",AQ$12&lt;&gt;0,$H147&gt;0,OR(AUTOEVENTO&lt;&gt;"manual",$M147&lt;&gt;1)),ROUND(OFFSET($P147,0,AQ$13),15-13*ORÇAMENTO!$AF$7)/$H147*OFFSET(ORÇAMENTO!$X$15,ROW(AQ147)-ROW(AQ$15),0),0)</f>
        <v>0</v>
      </c>
      <c r="AR147" s="632">
        <f ca="1">IF(AND($D147="Serviço",AR$12&lt;&gt;0,$H147&gt;0,OR(AUTOEVENTO&lt;&gt;"manual",$M147&lt;&gt;1)),ROUND(OFFSET($P147,0,AR$13),15-13*ORÇAMENTO!$AF$7)/$H147*OFFSET(ORÇAMENTO!$X$15,ROW(AR147)-ROW(AR$15),0),0)</f>
        <v>0</v>
      </c>
      <c r="AS147" s="633">
        <f ca="1">IF(AND($D147="Serviço",AS$12&lt;&gt;0,$H147&gt;0,OR(AUTOEVENTO&lt;&gt;"manual",$M147&lt;&gt;1)),ROUND(OFFSET($P147,0,AS$13),15-13*ORÇAMENTO!$AF$7)/$H147*OFFSET(ORÇAMENTO!$X$15,ROW(AS147)-ROW(AS$15),0),0)</f>
        <v>0</v>
      </c>
      <c r="AT147" s="632">
        <f ca="1">IF(AND($D147="Serviço",AT$12&lt;&gt;0,$H147&gt;0,OR(AUTOEVENTO&lt;&gt;"manual",$M147&lt;&gt;1)),ROUND(OFFSET($P147,0,AT$13),15-13*ORÇAMENTO!$AF$7)/$H147*OFFSET(ORÇAMENTO!$X$15,ROW(AT147)-ROW(AT$15),0),0)</f>
        <v>0</v>
      </c>
      <c r="AU147" s="632">
        <f ca="1">IF(AND($D147="Serviço",AU$12&lt;&gt;0,$H147&gt;0,OR(AUTOEVENTO&lt;&gt;"manual",$M147&lt;&gt;1)),ROUND(OFFSET($P147,0,AU$13),15-13*ORÇAMENTO!$AF$7)/$H147*OFFSET(ORÇAMENTO!$X$15,ROW(AU147)-ROW(AU$15),0),0)</f>
        <v>0</v>
      </c>
      <c r="AV147" s="632">
        <f ca="1">IF(AND($D147="Serviço",AV$12&lt;&gt;0,$H147&gt;0,OR(AUTOEVENTO&lt;&gt;"manual",$M147&lt;&gt;1)),ROUND(OFFSET($P147,0,AV$13),15-13*ORÇAMENTO!$AF$7)/$H147*OFFSET(ORÇAMENTO!$X$15,ROW(AV147)-ROW(AV$15),0),0)</f>
        <v>0</v>
      </c>
      <c r="AW147" s="632">
        <f ca="1">IF(AND($D147="Serviço",AW$12&lt;&gt;0,$H147&gt;0,OR(AUTOEVENTO&lt;&gt;"manual",$M147&lt;&gt;1)),ROUND(OFFSET($P147,0,AW$13),15-13*ORÇAMENTO!$AF$7)/$H147*OFFSET(ORÇAMENTO!$X$15,ROW(AW147)-ROW(AW$15),0),0)</f>
        <v>0</v>
      </c>
      <c r="AX147" s="632">
        <f ca="1">IF(AND($D147="Serviço",AX$12&lt;&gt;0,$H147&gt;0,OR(AUTOEVENTO&lt;&gt;"manual",$M147&lt;&gt;1)),ROUND(OFFSET($P147,0,AX$13),15-13*ORÇAMENTO!$AF$7)/$H147*OFFSET(ORÇAMENTO!$X$15,ROW(AX147)-ROW(AX$15),0),0)</f>
        <v>0</v>
      </c>
      <c r="AY147" s="632">
        <f ca="1">IF(AND($D147="Serviço",AY$12&lt;&gt;0,$H147&gt;0,OR(AUTOEVENTO&lt;&gt;"manual",$M147&lt;&gt;1)),ROUND(OFFSET($P147,0,AY$13),15-13*ORÇAMENTO!$AF$7)/$H147*OFFSET(ORÇAMENTO!$X$15,ROW(AY147)-ROW(AY$15),0),0)</f>
        <v>0</v>
      </c>
      <c r="AZ147" s="632">
        <f ca="1">IF(AND($D147="Serviço",AZ$12&lt;&gt;0,$H147&gt;0,OR(AUTOEVENTO&lt;&gt;"manual",$M147&lt;&gt;1)),ROUND(OFFSET($P147,0,AZ$13),15-13*ORÇAMENTO!$AF$7)/$H147*OFFSET(ORÇAMENTO!$X$15,ROW(AZ147)-ROW(AZ$15),0),0)</f>
        <v>0</v>
      </c>
      <c r="BA147" s="633">
        <f ca="1">IF(AND($D147="Serviço",BA$12&lt;&gt;0,$H147&gt;0,OR(AUTOEVENTO&lt;&gt;"manual",$M147&lt;&gt;1)),ROUND(OFFSET($P147,0,BA$13),15-13*ORÇAMENTO!$AF$7)/$H147*OFFSET(ORÇAMENTO!$X$15,ROW(BA147)-ROW(BA$15),0),0)</f>
        <v>0</v>
      </c>
      <c r="BC147" s="215">
        <f ca="1">IF($D147&lt;&gt;"Serviço",0,IF(AND(AUTOEVENTO="Manual",$M147=1),0,IF(OFFSET(CRONOPLE!$F$14,$M147,BC$13)="",10^12,OFFSET(CRONOPLE!$F$14,$M147,BC$13))))</f>
        <v>1000000000000</v>
      </c>
      <c r="BD147" s="215">
        <f ca="1">IF($D147&lt;&gt;"Serviço",0,IF(AND(AUTOEVENTO="Manual",$M147=1),0,IF(OFFSET(CRONOPLE!$F$14,$M147,BD$13)="",10^12,OFFSET(CRONOPLE!$F$14,$M147,BD$13))))</f>
        <v>1000000000000</v>
      </c>
      <c r="BE147" s="215">
        <f ca="1">IF($D147&lt;&gt;"Serviço",0,IF(AND(AUTOEVENTO="Manual",$M147=1),0,IF(OFFSET(CRONOPLE!$F$14,$M147,BE$13)="",10^12,OFFSET(CRONOPLE!$F$14,$M147,BE$13))))</f>
        <v>1000000000000</v>
      </c>
      <c r="BF147" s="215">
        <f ca="1">IF($D147&lt;&gt;"Serviço",0,IF(AND(AUTOEVENTO="Manual",$M147=1),0,IF(OFFSET(CRONOPLE!$F$14,$M147,BF$13)="",10^12,OFFSET(CRONOPLE!$F$14,$M147,BF$13))))</f>
        <v>1000000000000</v>
      </c>
      <c r="BG147" s="215">
        <f ca="1">IF($D147&lt;&gt;"Serviço",0,IF(AND(AUTOEVENTO="Manual",$M147=1),0,IF(OFFSET(CRONOPLE!$F$14,$M147,BG$13)="",10^12,OFFSET(CRONOPLE!$F$14,$M147,BG$13))))</f>
        <v>1000000000000</v>
      </c>
      <c r="BH147" s="215">
        <f ca="1">IF($D147&lt;&gt;"Serviço",0,IF(AND(AUTOEVENTO="Manual",$M147=1),0,IF(OFFSET(CRONOPLE!$F$14,$M147,BH$13)="",10^12,OFFSET(CRONOPLE!$F$14,$M147,BH$13))))</f>
        <v>1000000000000</v>
      </c>
      <c r="BI147" s="215">
        <f ca="1">IF($D147&lt;&gt;"Serviço",0,IF(AND(AUTOEVENTO="Manual",$M147=1),0,IF(OFFSET(CRONOPLE!$F$14,$M147,BI$13)="",10^12,OFFSET(CRONOPLE!$F$14,$M147,BI$13))))</f>
        <v>1000000000000</v>
      </c>
      <c r="BJ147" s="215">
        <f ca="1">IF($D147&lt;&gt;"Serviço",0,IF(AND(AUTOEVENTO="Manual",$M147=1),0,IF(OFFSET(CRONOPLE!$F$14,$M147,BJ$13)="",10^12,OFFSET(CRONOPLE!$F$14,$M147,BJ$13))))</f>
        <v>1000000000000</v>
      </c>
      <c r="BK147" s="215">
        <f ca="1">IF($D147&lt;&gt;"Serviço",0,IF(AND(AUTOEVENTO="Manual",$M147=1),0,IF(OFFSET(CRONOPLE!$F$14,$M147,BK$13)="",10^12,OFFSET(CRONOPLE!$F$14,$M147,BK$13))))</f>
        <v>1000000000000</v>
      </c>
      <c r="BL147" s="215">
        <f ca="1">IF($D147&lt;&gt;"Serviço",0,IF(AND(AUTOEVENTO="Manual",$M147=1),0,IF(OFFSET(CRONOPLE!$F$14,$M147,BL$13)="",10^12,OFFSET(CRONOPLE!$F$14,$M147,BL$13))))</f>
        <v>1000000000000</v>
      </c>
      <c r="BM147" s="215">
        <f ca="1">IF($D147&lt;&gt;"Serviço",0,IF(AND(AUTOEVENTO="Manual",$M147=1),0,IF(OFFSET(CRONOPLE!$F$14,$M147,BM$13)="",10^12,OFFSET(CRONOPLE!$F$14,$M147,BM$13))))</f>
        <v>1000000000000</v>
      </c>
      <c r="BN147" s="215">
        <f ca="1">IF($D147&lt;&gt;"Serviço",0,IF(AND(AUTOEVENTO="Manual",$M147=1),0,IF(OFFSET(CRONOPLE!$F$14,$M147,BN$13)="",10^12,OFFSET(CRONOPLE!$F$14,$M147,BN$13))))</f>
        <v>1000000000000</v>
      </c>
      <c r="BO147" s="215">
        <f ca="1">IF($D147&lt;&gt;"Serviço",0,IF(AND(AUTOEVENTO="Manual",$M147=1),0,IF(OFFSET(CRONOPLE!$F$14,$M147,BO$13)="",10^12,OFFSET(CRONOPLE!$F$14,$M147,BO$13))))</f>
        <v>1000000000000</v>
      </c>
      <c r="BP147" s="215">
        <f ca="1">IF($D147&lt;&gt;"Serviço",0,IF(AND(AUTOEVENTO="Manual",$M147=1),0,IF(OFFSET(CRONOPLE!$F$14,$M147,BP$13)="",10^12,OFFSET(CRONOPLE!$F$14,$M147,BP$13))))</f>
        <v>1000000000000</v>
      </c>
      <c r="BQ147" s="215">
        <f ca="1">IF($D147&lt;&gt;"Serviço",0,IF(AND(AUTOEVENTO="Manual",$M147=1),0,IF(OFFSET(CRONOPLE!$F$14,$M147,BQ$13)="",10^12,OFFSET(CRONOPLE!$F$14,$M147,BQ$13))))</f>
        <v>1000000000000</v>
      </c>
      <c r="BR147" s="215">
        <f ca="1">IF($D147&lt;&gt;"Serviço",0,IF(AND(AUTOEVENTO="Manual",$M147=1),0,IF(OFFSET(CRONOPLE!$F$14,$M147,BR$13)="",10^12,OFFSET(CRONOPLE!$F$14,$M147,BR$13))))</f>
        <v>1000000000000</v>
      </c>
      <c r="BS147" s="215">
        <f ca="1">IF($D147&lt;&gt;"Serviço",0,IF(AND(AUTOEVENTO="Manual",$M147=1),0,IF(OFFSET(CRONOPLE!$F$14,$M147,BS$13)="",10^12,OFFSET(CRONOPLE!$F$14,$M147,BS$13))))</f>
        <v>1000000000000</v>
      </c>
      <c r="BT147" s="215">
        <f ca="1">IF($D147&lt;&gt;"Serviço",0,IF(AND(AUTOEVENTO="Manual",$M147=1),0,IF(OFFSET(CRONOPLE!$F$14,$M147,BT$13)="",10^12,OFFSET(CRONOPLE!$F$14,$M147,BT$13))))</f>
        <v>1000000000000</v>
      </c>
      <c r="BV147" s="216">
        <f ca="1">IF($D147&lt;&gt;"Serviço",0,IF(OR(AND(AUTOEVENTO="Manual",$M147=1),$M147&gt;(ROW(PLE.lastrow)-ROW(PLE.firstrow))),0,IF(OFFSET(PLE!$G$14,$M147,BV$13)="",10^12,OFFSET(PLE!$G$14,$M147,BV$13))))</f>
        <v>1000000000000</v>
      </c>
      <c r="BW147" s="216">
        <f ca="1">IF($D147&lt;&gt;"Serviço",0,IF(OR(AND(AUTOEVENTO="Manual",$M147=1),$M147&gt;(ROW(PLE.lastrow)-ROW(PLE.firstrow))),0,IF(OFFSET(PLE!$G$14,$M147,BW$13)="",10^12,OFFSET(PLE!$G$14,$M147,BW$13))))</f>
        <v>1000000000000</v>
      </c>
      <c r="BX147" s="216">
        <f ca="1">IF($D147&lt;&gt;"Serviço",0,IF(OR(AND(AUTOEVENTO="Manual",$M147=1),$M147&gt;(ROW(PLE.lastrow)-ROW(PLE.firstrow))),0,IF(OFFSET(PLE!$G$14,$M147,BX$13)="",10^12,OFFSET(PLE!$G$14,$M147,BX$13))))</f>
        <v>1000000000000</v>
      </c>
      <c r="BY147" s="216">
        <f ca="1">IF($D147&lt;&gt;"Serviço",0,IF(OR(AND(AUTOEVENTO="Manual",$M147=1),$M147&gt;(ROW(PLE.lastrow)-ROW(PLE.firstrow))),0,IF(OFFSET(PLE!$G$14,$M147,BY$13)="",10^12,OFFSET(PLE!$G$14,$M147,BY$13))))</f>
        <v>1000000000000</v>
      </c>
      <c r="BZ147" s="216">
        <f ca="1">IF($D147&lt;&gt;"Serviço",0,IF(OR(AND(AUTOEVENTO="Manual",$M147=1),$M147&gt;(ROW(PLE.lastrow)-ROW(PLE.firstrow))),0,IF(OFFSET(PLE!$G$14,$M147,BZ$13)="",10^12,OFFSET(PLE!$G$14,$M147,BZ$13))))</f>
        <v>1000000000000</v>
      </c>
      <c r="CA147" s="216">
        <f ca="1">IF($D147&lt;&gt;"Serviço",0,IF(OR(AND(AUTOEVENTO="Manual",$M147=1),$M147&gt;(ROW(PLE.lastrow)-ROW(PLE.firstrow))),0,IF(OFFSET(PLE!$G$14,$M147,CA$13)="",10^12,OFFSET(PLE!$G$14,$M147,CA$13))))</f>
        <v>1000000000000</v>
      </c>
      <c r="CB147" s="216">
        <f ca="1">IF($D147&lt;&gt;"Serviço",0,IF(OR(AND(AUTOEVENTO="Manual",$M147=1),$M147&gt;(ROW(PLE.lastrow)-ROW(PLE.firstrow))),0,IF(OFFSET(PLE!$G$14,$M147,CB$13)="",10^12,OFFSET(PLE!$G$14,$M147,CB$13))))</f>
        <v>1000000000000</v>
      </c>
      <c r="CC147" s="216">
        <f ca="1">IF($D147&lt;&gt;"Serviço",0,IF(OR(AND(AUTOEVENTO="Manual",$M147=1),$M147&gt;(ROW(PLE.lastrow)-ROW(PLE.firstrow))),0,IF(OFFSET(PLE!$G$14,$M147,CC$13)="",10^12,OFFSET(PLE!$G$14,$M147,CC$13))))</f>
        <v>1000000000000</v>
      </c>
      <c r="CD147" s="216">
        <f ca="1">IF($D147&lt;&gt;"Serviço",0,IF(OR(AND(AUTOEVENTO="Manual",$M147=1),$M147&gt;(ROW(PLE.lastrow)-ROW(PLE.firstrow))),0,IF(OFFSET(PLE!$G$14,$M147,CD$13)="",10^12,OFFSET(PLE!$G$14,$M147,CD$13))))</f>
        <v>1000000000000</v>
      </c>
      <c r="CE147" s="216">
        <f ca="1">IF($D147&lt;&gt;"Serviço",0,IF(OR(AND(AUTOEVENTO="Manual",$M147=1),$M147&gt;(ROW(PLE.lastrow)-ROW(PLE.firstrow))),0,IF(OFFSET(PLE!$G$14,$M147,CE$13)="",10^12,OFFSET(PLE!$G$14,$M147,CE$13))))</f>
        <v>1000000000000</v>
      </c>
      <c r="CF147" s="216">
        <f ca="1">IF($D147&lt;&gt;"Serviço",0,IF(OR(AND(AUTOEVENTO="Manual",$M147=1),$M147&gt;(ROW(PLE.lastrow)-ROW(PLE.firstrow))),0,IF(OFFSET(PLE!$G$14,$M147,CF$13)="",10^12,OFFSET(PLE!$G$14,$M147,CF$13))))</f>
        <v>1000000000000</v>
      </c>
      <c r="CG147" s="216">
        <f ca="1">IF($D147&lt;&gt;"Serviço",0,IF(OR(AND(AUTOEVENTO="Manual",$M147=1),$M147&gt;(ROW(PLE.lastrow)-ROW(PLE.firstrow))),0,IF(OFFSET(PLE!$G$14,$M147,CG$13)="",10^12,OFFSET(PLE!$G$14,$M147,CG$13))))</f>
        <v>1000000000000</v>
      </c>
      <c r="CH147" s="216">
        <f ca="1">IF($D147&lt;&gt;"Serviço",0,IF(OR(AND(AUTOEVENTO="Manual",$M147=1),$M147&gt;(ROW(PLE.lastrow)-ROW(PLE.firstrow))),0,IF(OFFSET(PLE!$G$14,$M147,CH$13)="",10^12,OFFSET(PLE!$G$14,$M147,CH$13))))</f>
        <v>1000000000000</v>
      </c>
      <c r="CI147" s="216">
        <f ca="1">IF($D147&lt;&gt;"Serviço",0,IF(OR(AND(AUTOEVENTO="Manual",$M147=1),$M147&gt;(ROW(PLE.lastrow)-ROW(PLE.firstrow))),0,IF(OFFSET(PLE!$G$14,$M147,CI$13)="",10^12,OFFSET(PLE!$G$14,$M147,CI$13))))</f>
        <v>1000000000000</v>
      </c>
      <c r="CJ147" s="216">
        <f ca="1">IF($D147&lt;&gt;"Serviço",0,IF(OR(AND(AUTOEVENTO="Manual",$M147=1),$M147&gt;(ROW(PLE.lastrow)-ROW(PLE.firstrow))),0,IF(OFFSET(PLE!$G$14,$M147,CJ$13)="",10^12,OFFSET(PLE!$G$14,$M147,CJ$13))))</f>
        <v>1000000000000</v>
      </c>
      <c r="CK147" s="216">
        <f ca="1">IF($D147&lt;&gt;"Serviço",0,IF(OR(AND(AUTOEVENTO="Manual",$M147=1),$M147&gt;(ROW(PLE.lastrow)-ROW(PLE.firstrow))),0,IF(OFFSET(PLE!$G$14,$M147,CK$13)="",10^12,OFFSET(PLE!$G$14,$M147,CK$13))))</f>
        <v>1000000000000</v>
      </c>
      <c r="CL147" s="216">
        <f ca="1">IF($D147&lt;&gt;"Serviço",0,IF(OR(AND(AUTOEVENTO="Manual",$M147=1),$M147&gt;(ROW(PLE.lastrow)-ROW(PLE.firstrow))),0,IF(OFFSET(PLE!$G$14,$M147,CL$13)="",10^12,OFFSET(PLE!$G$14,$M147,CL$13))))</f>
        <v>1000000000000</v>
      </c>
      <c r="CM147" s="216">
        <f ca="1">IF($D147&lt;&gt;"Serviço",0,IF(OR(AND(AUTOEVENTO="Manual",$M147=1),$M147&gt;(ROW(PLE.lastrow)-ROW(PLE.firstrow))),0,IF(OFFSET(PLE!$G$14,$M147,CM$13)="",10^12,OFFSET(PLE!$G$14,$M147,CM$13))))</f>
        <v>1000000000000</v>
      </c>
    </row>
    <row r="148" spans="1:91" ht="13.2" x14ac:dyDescent="0.25">
      <c r="A148" s="9">
        <f t="shared" ca="1" si="11"/>
        <v>0</v>
      </c>
      <c r="B148" s="9" t="str">
        <f ca="1">OFFSET(ORÇAMENTO!C$15,ROW(B148)-ROW(B$15),0)</f>
        <v>S</v>
      </c>
      <c r="C148" s="9" t="str">
        <f ca="1">OFFSET(ORÇAMENTO!L$15,ROW(C148)-ROW(C$15),0)</f>
        <v/>
      </c>
      <c r="D148" s="145" t="str">
        <f ca="1">OFFSET(ORÇAMENTO!N$15,ROW(D148)-ROW(D$15),0)</f>
        <v>Serviço</v>
      </c>
      <c r="E148" s="205" t="str">
        <f ca="1">OFFSET(ORÇAMENTO!O$15,ROW(E148)-ROW(E$15),0)</f>
        <v>-</v>
      </c>
      <c r="F148" s="206" t="str">
        <f ca="1">OFFSET(ORÇAMENTO!R$15,ROW(F148)-ROW(F$15),0)</f>
        <v>(abra o arquivo 'Referência 05-2024.xls)</v>
      </c>
      <c r="G148" s="207" t="str">
        <f ca="1">IF($D148&lt;&gt;"Serviço","",OFFSET(ORÇAMENTO!S$15,ROW(G148)-ROW(G$15),0))</f>
        <v>-</v>
      </c>
      <c r="H148" s="151">
        <f ca="1">IF($D148&lt;&gt;"Serviço",0,IF(ACOMPANHAMENTO="BM",ROUND(OFFSET(ORÇAMENTO!AJ$15,ROW(H148)-ROW(H$15),0),15-13*ORÇAMENTO!$AF$7),SUMPRODUCT(($Q$12:$AI$12&lt;&gt;"")*ROUND($Q148:$AI148,15-13*ORÇAMENTO!$AF$7))))</f>
        <v>65.209999999999994</v>
      </c>
      <c r="I148" s="650"/>
      <c r="K148" s="208"/>
      <c r="L148" s="209" t="s">
        <v>257</v>
      </c>
      <c r="M148" s="210">
        <f ca="1">IF($D148&lt;&gt;"Serviço","",IF(AUTOEVENTO="manual",$A148,IF(ISERROR(MATCH($A148,$A$15:OFFSET($A148,-1,0),0)),MAX($M$15:OFFSET(M148,-1,0))+1,INDEX($M$15:OFFSET(M148,-1,0),MATCH($A148,$A$15:OFFSET($A148,-1,0),0)))))</f>
        <v>0</v>
      </c>
      <c r="N148" s="211" t="str">
        <f ca="1">IF($D148&lt;&gt;"Serviço","",IF(AUTOEVENTO="Manual",IF($A148=0,"&lt;-- defina o número do agrupador",OFFSET(EVENTOS!$D$14,$A148,0)),OFFSET($F$15,$A148,0)))</f>
        <v>&lt;-- defina o número do agrupador</v>
      </c>
      <c r="O148" s="212"/>
      <c r="Q148" s="212"/>
      <c r="R148" s="213"/>
      <c r="S148" s="213"/>
      <c r="T148" s="213"/>
      <c r="U148" s="213"/>
      <c r="V148" s="213"/>
      <c r="W148" s="213"/>
      <c r="X148" s="213"/>
      <c r="Y148" s="213"/>
      <c r="Z148" s="214"/>
      <c r="AA148" s="213"/>
      <c r="AB148" s="213"/>
      <c r="AC148" s="213"/>
      <c r="AD148" s="213"/>
      <c r="AE148" s="213"/>
      <c r="AF148" s="213"/>
      <c r="AG148" s="213"/>
      <c r="AH148" s="214"/>
      <c r="AJ148" s="631">
        <f ca="1">IF(AND($D148="Serviço",AJ$12&lt;&gt;0,$H148&gt;0,OR(AUTOEVENTO&lt;&gt;"manual",$M148&lt;&gt;1)),ROUND(OFFSET($P148,0,AJ$13),15-13*ORÇAMENTO!$AF$7)/$H148*OFFSET(ORÇAMENTO!$X$15,ROW(AJ148)-ROW(AJ$15),0),0)</f>
        <v>0</v>
      </c>
      <c r="AK148" s="632">
        <f ca="1">IF(AND($D148="Serviço",AK$12&lt;&gt;0,$H148&gt;0,OR(AUTOEVENTO&lt;&gt;"manual",$M148&lt;&gt;1)),ROUND(OFFSET($P148,0,AK$13),15-13*ORÇAMENTO!$AF$7)/$H148*OFFSET(ORÇAMENTO!$X$15,ROW(AK148)-ROW(AK$15),0),0)</f>
        <v>0</v>
      </c>
      <c r="AL148" s="632">
        <f ca="1">IF(AND($D148="Serviço",AL$12&lt;&gt;0,$H148&gt;0,OR(AUTOEVENTO&lt;&gt;"manual",$M148&lt;&gt;1)),ROUND(OFFSET($P148,0,AL$13),15-13*ORÇAMENTO!$AF$7)/$H148*OFFSET(ORÇAMENTO!$X$15,ROW(AL148)-ROW(AL$15),0),0)</f>
        <v>0</v>
      </c>
      <c r="AM148" s="632">
        <f ca="1">IF(AND($D148="Serviço",AM$12&lt;&gt;0,$H148&gt;0,OR(AUTOEVENTO&lt;&gt;"manual",$M148&lt;&gt;1)),ROUND(OFFSET($P148,0,AM$13),15-13*ORÇAMENTO!$AF$7)/$H148*OFFSET(ORÇAMENTO!$X$15,ROW(AM148)-ROW(AM$15),0),0)</f>
        <v>0</v>
      </c>
      <c r="AN148" s="632">
        <f ca="1">IF(AND($D148="Serviço",AN$12&lt;&gt;0,$H148&gt;0,OR(AUTOEVENTO&lt;&gt;"manual",$M148&lt;&gt;1)),ROUND(OFFSET($P148,0,AN$13),15-13*ORÇAMENTO!$AF$7)/$H148*OFFSET(ORÇAMENTO!$X$15,ROW(AN148)-ROW(AN$15),0),0)</f>
        <v>0</v>
      </c>
      <c r="AO148" s="632">
        <f ca="1">IF(AND($D148="Serviço",AO$12&lt;&gt;0,$H148&gt;0,OR(AUTOEVENTO&lt;&gt;"manual",$M148&lt;&gt;1)),ROUND(OFFSET($P148,0,AO$13),15-13*ORÇAMENTO!$AF$7)/$H148*OFFSET(ORÇAMENTO!$X$15,ROW(AO148)-ROW(AO$15),0),0)</f>
        <v>0</v>
      </c>
      <c r="AP148" s="632">
        <f ca="1">IF(AND($D148="Serviço",AP$12&lt;&gt;0,$H148&gt;0,OR(AUTOEVENTO&lt;&gt;"manual",$M148&lt;&gt;1)),ROUND(OFFSET($P148,0,AP$13),15-13*ORÇAMENTO!$AF$7)/$H148*OFFSET(ORÇAMENTO!$X$15,ROW(AP148)-ROW(AP$15),0),0)</f>
        <v>0</v>
      </c>
      <c r="AQ148" s="632">
        <f ca="1">IF(AND($D148="Serviço",AQ$12&lt;&gt;0,$H148&gt;0,OR(AUTOEVENTO&lt;&gt;"manual",$M148&lt;&gt;1)),ROUND(OFFSET($P148,0,AQ$13),15-13*ORÇAMENTO!$AF$7)/$H148*OFFSET(ORÇAMENTO!$X$15,ROW(AQ148)-ROW(AQ$15),0),0)</f>
        <v>0</v>
      </c>
      <c r="AR148" s="632">
        <f ca="1">IF(AND($D148="Serviço",AR$12&lt;&gt;0,$H148&gt;0,OR(AUTOEVENTO&lt;&gt;"manual",$M148&lt;&gt;1)),ROUND(OFFSET($P148,0,AR$13),15-13*ORÇAMENTO!$AF$7)/$H148*OFFSET(ORÇAMENTO!$X$15,ROW(AR148)-ROW(AR$15),0),0)</f>
        <v>0</v>
      </c>
      <c r="AS148" s="633">
        <f ca="1">IF(AND($D148="Serviço",AS$12&lt;&gt;0,$H148&gt;0,OR(AUTOEVENTO&lt;&gt;"manual",$M148&lt;&gt;1)),ROUND(OFFSET($P148,0,AS$13),15-13*ORÇAMENTO!$AF$7)/$H148*OFFSET(ORÇAMENTO!$X$15,ROW(AS148)-ROW(AS$15),0),0)</f>
        <v>0</v>
      </c>
      <c r="AT148" s="632">
        <f ca="1">IF(AND($D148="Serviço",AT$12&lt;&gt;0,$H148&gt;0,OR(AUTOEVENTO&lt;&gt;"manual",$M148&lt;&gt;1)),ROUND(OFFSET($P148,0,AT$13),15-13*ORÇAMENTO!$AF$7)/$H148*OFFSET(ORÇAMENTO!$X$15,ROW(AT148)-ROW(AT$15),0),0)</f>
        <v>0</v>
      </c>
      <c r="AU148" s="632">
        <f ca="1">IF(AND($D148="Serviço",AU$12&lt;&gt;0,$H148&gt;0,OR(AUTOEVENTO&lt;&gt;"manual",$M148&lt;&gt;1)),ROUND(OFFSET($P148,0,AU$13),15-13*ORÇAMENTO!$AF$7)/$H148*OFFSET(ORÇAMENTO!$X$15,ROW(AU148)-ROW(AU$15),0),0)</f>
        <v>0</v>
      </c>
      <c r="AV148" s="632">
        <f ca="1">IF(AND($D148="Serviço",AV$12&lt;&gt;0,$H148&gt;0,OR(AUTOEVENTO&lt;&gt;"manual",$M148&lt;&gt;1)),ROUND(OFFSET($P148,0,AV$13),15-13*ORÇAMENTO!$AF$7)/$H148*OFFSET(ORÇAMENTO!$X$15,ROW(AV148)-ROW(AV$15),0),0)</f>
        <v>0</v>
      </c>
      <c r="AW148" s="632">
        <f ca="1">IF(AND($D148="Serviço",AW$12&lt;&gt;0,$H148&gt;0,OR(AUTOEVENTO&lt;&gt;"manual",$M148&lt;&gt;1)),ROUND(OFFSET($P148,0,AW$13),15-13*ORÇAMENTO!$AF$7)/$H148*OFFSET(ORÇAMENTO!$X$15,ROW(AW148)-ROW(AW$15),0),0)</f>
        <v>0</v>
      </c>
      <c r="AX148" s="632">
        <f ca="1">IF(AND($D148="Serviço",AX$12&lt;&gt;0,$H148&gt;0,OR(AUTOEVENTO&lt;&gt;"manual",$M148&lt;&gt;1)),ROUND(OFFSET($P148,0,AX$13),15-13*ORÇAMENTO!$AF$7)/$H148*OFFSET(ORÇAMENTO!$X$15,ROW(AX148)-ROW(AX$15),0),0)</f>
        <v>0</v>
      </c>
      <c r="AY148" s="632">
        <f ca="1">IF(AND($D148="Serviço",AY$12&lt;&gt;0,$H148&gt;0,OR(AUTOEVENTO&lt;&gt;"manual",$M148&lt;&gt;1)),ROUND(OFFSET($P148,0,AY$13),15-13*ORÇAMENTO!$AF$7)/$H148*OFFSET(ORÇAMENTO!$X$15,ROW(AY148)-ROW(AY$15),0),0)</f>
        <v>0</v>
      </c>
      <c r="AZ148" s="632">
        <f ca="1">IF(AND($D148="Serviço",AZ$12&lt;&gt;0,$H148&gt;0,OR(AUTOEVENTO&lt;&gt;"manual",$M148&lt;&gt;1)),ROUND(OFFSET($P148,0,AZ$13),15-13*ORÇAMENTO!$AF$7)/$H148*OFFSET(ORÇAMENTO!$X$15,ROW(AZ148)-ROW(AZ$15),0),0)</f>
        <v>0</v>
      </c>
      <c r="BA148" s="633">
        <f ca="1">IF(AND($D148="Serviço",BA$12&lt;&gt;0,$H148&gt;0,OR(AUTOEVENTO&lt;&gt;"manual",$M148&lt;&gt;1)),ROUND(OFFSET($P148,0,BA$13),15-13*ORÇAMENTO!$AF$7)/$H148*OFFSET(ORÇAMENTO!$X$15,ROW(BA148)-ROW(BA$15),0),0)</f>
        <v>0</v>
      </c>
      <c r="BC148" s="215">
        <f ca="1">IF($D148&lt;&gt;"Serviço",0,IF(AND(AUTOEVENTO="Manual",$M148=1),0,IF(OFFSET(CRONOPLE!$F$14,$M148,BC$13)="",10^12,OFFSET(CRONOPLE!$F$14,$M148,BC$13))))</f>
        <v>1000000000000</v>
      </c>
      <c r="BD148" s="215">
        <f ca="1">IF($D148&lt;&gt;"Serviço",0,IF(AND(AUTOEVENTO="Manual",$M148=1),0,IF(OFFSET(CRONOPLE!$F$14,$M148,BD$13)="",10^12,OFFSET(CRONOPLE!$F$14,$M148,BD$13))))</f>
        <v>1000000000000</v>
      </c>
      <c r="BE148" s="215">
        <f ca="1">IF($D148&lt;&gt;"Serviço",0,IF(AND(AUTOEVENTO="Manual",$M148=1),0,IF(OFFSET(CRONOPLE!$F$14,$M148,BE$13)="",10^12,OFFSET(CRONOPLE!$F$14,$M148,BE$13))))</f>
        <v>1000000000000</v>
      </c>
      <c r="BF148" s="215">
        <f ca="1">IF($D148&lt;&gt;"Serviço",0,IF(AND(AUTOEVENTO="Manual",$M148=1),0,IF(OFFSET(CRONOPLE!$F$14,$M148,BF$13)="",10^12,OFFSET(CRONOPLE!$F$14,$M148,BF$13))))</f>
        <v>1000000000000</v>
      </c>
      <c r="BG148" s="215">
        <f ca="1">IF($D148&lt;&gt;"Serviço",0,IF(AND(AUTOEVENTO="Manual",$M148=1),0,IF(OFFSET(CRONOPLE!$F$14,$M148,BG$13)="",10^12,OFFSET(CRONOPLE!$F$14,$M148,BG$13))))</f>
        <v>1000000000000</v>
      </c>
      <c r="BH148" s="215">
        <f ca="1">IF($D148&lt;&gt;"Serviço",0,IF(AND(AUTOEVENTO="Manual",$M148=1),0,IF(OFFSET(CRONOPLE!$F$14,$M148,BH$13)="",10^12,OFFSET(CRONOPLE!$F$14,$M148,BH$13))))</f>
        <v>1000000000000</v>
      </c>
      <c r="BI148" s="215">
        <f ca="1">IF($D148&lt;&gt;"Serviço",0,IF(AND(AUTOEVENTO="Manual",$M148=1),0,IF(OFFSET(CRONOPLE!$F$14,$M148,BI$13)="",10^12,OFFSET(CRONOPLE!$F$14,$M148,BI$13))))</f>
        <v>1000000000000</v>
      </c>
      <c r="BJ148" s="215">
        <f ca="1">IF($D148&lt;&gt;"Serviço",0,IF(AND(AUTOEVENTO="Manual",$M148=1),0,IF(OFFSET(CRONOPLE!$F$14,$M148,BJ$13)="",10^12,OFFSET(CRONOPLE!$F$14,$M148,BJ$13))))</f>
        <v>1000000000000</v>
      </c>
      <c r="BK148" s="215">
        <f ca="1">IF($D148&lt;&gt;"Serviço",0,IF(AND(AUTOEVENTO="Manual",$M148=1),0,IF(OFFSET(CRONOPLE!$F$14,$M148,BK$13)="",10^12,OFFSET(CRONOPLE!$F$14,$M148,BK$13))))</f>
        <v>1000000000000</v>
      </c>
      <c r="BL148" s="215">
        <f ca="1">IF($D148&lt;&gt;"Serviço",0,IF(AND(AUTOEVENTO="Manual",$M148=1),0,IF(OFFSET(CRONOPLE!$F$14,$M148,BL$13)="",10^12,OFFSET(CRONOPLE!$F$14,$M148,BL$13))))</f>
        <v>1000000000000</v>
      </c>
      <c r="BM148" s="215">
        <f ca="1">IF($D148&lt;&gt;"Serviço",0,IF(AND(AUTOEVENTO="Manual",$M148=1),0,IF(OFFSET(CRONOPLE!$F$14,$M148,BM$13)="",10^12,OFFSET(CRONOPLE!$F$14,$M148,BM$13))))</f>
        <v>1000000000000</v>
      </c>
      <c r="BN148" s="215">
        <f ca="1">IF($D148&lt;&gt;"Serviço",0,IF(AND(AUTOEVENTO="Manual",$M148=1),0,IF(OFFSET(CRONOPLE!$F$14,$M148,BN$13)="",10^12,OFFSET(CRONOPLE!$F$14,$M148,BN$13))))</f>
        <v>1000000000000</v>
      </c>
      <c r="BO148" s="215">
        <f ca="1">IF($D148&lt;&gt;"Serviço",0,IF(AND(AUTOEVENTO="Manual",$M148=1),0,IF(OFFSET(CRONOPLE!$F$14,$M148,BO$13)="",10^12,OFFSET(CRONOPLE!$F$14,$M148,BO$13))))</f>
        <v>1000000000000</v>
      </c>
      <c r="BP148" s="215">
        <f ca="1">IF($D148&lt;&gt;"Serviço",0,IF(AND(AUTOEVENTO="Manual",$M148=1),0,IF(OFFSET(CRONOPLE!$F$14,$M148,BP$13)="",10^12,OFFSET(CRONOPLE!$F$14,$M148,BP$13))))</f>
        <v>1000000000000</v>
      </c>
      <c r="BQ148" s="215">
        <f ca="1">IF($D148&lt;&gt;"Serviço",0,IF(AND(AUTOEVENTO="Manual",$M148=1),0,IF(OFFSET(CRONOPLE!$F$14,$M148,BQ$13)="",10^12,OFFSET(CRONOPLE!$F$14,$M148,BQ$13))))</f>
        <v>1000000000000</v>
      </c>
      <c r="BR148" s="215">
        <f ca="1">IF($D148&lt;&gt;"Serviço",0,IF(AND(AUTOEVENTO="Manual",$M148=1),0,IF(OFFSET(CRONOPLE!$F$14,$M148,BR$13)="",10^12,OFFSET(CRONOPLE!$F$14,$M148,BR$13))))</f>
        <v>1000000000000</v>
      </c>
      <c r="BS148" s="215">
        <f ca="1">IF($D148&lt;&gt;"Serviço",0,IF(AND(AUTOEVENTO="Manual",$M148=1),0,IF(OFFSET(CRONOPLE!$F$14,$M148,BS$13)="",10^12,OFFSET(CRONOPLE!$F$14,$M148,BS$13))))</f>
        <v>1000000000000</v>
      </c>
      <c r="BT148" s="215">
        <f ca="1">IF($D148&lt;&gt;"Serviço",0,IF(AND(AUTOEVENTO="Manual",$M148=1),0,IF(OFFSET(CRONOPLE!$F$14,$M148,BT$13)="",10^12,OFFSET(CRONOPLE!$F$14,$M148,BT$13))))</f>
        <v>1000000000000</v>
      </c>
      <c r="BV148" s="216">
        <f ca="1">IF($D148&lt;&gt;"Serviço",0,IF(OR(AND(AUTOEVENTO="Manual",$M148=1),$M148&gt;(ROW(PLE.lastrow)-ROW(PLE.firstrow))),0,IF(OFFSET(PLE!$G$14,$M148,BV$13)="",10^12,OFFSET(PLE!$G$14,$M148,BV$13))))</f>
        <v>1000000000000</v>
      </c>
      <c r="BW148" s="216">
        <f ca="1">IF($D148&lt;&gt;"Serviço",0,IF(OR(AND(AUTOEVENTO="Manual",$M148=1),$M148&gt;(ROW(PLE.lastrow)-ROW(PLE.firstrow))),0,IF(OFFSET(PLE!$G$14,$M148,BW$13)="",10^12,OFFSET(PLE!$G$14,$M148,BW$13))))</f>
        <v>1000000000000</v>
      </c>
      <c r="BX148" s="216">
        <f ca="1">IF($D148&lt;&gt;"Serviço",0,IF(OR(AND(AUTOEVENTO="Manual",$M148=1),$M148&gt;(ROW(PLE.lastrow)-ROW(PLE.firstrow))),0,IF(OFFSET(PLE!$G$14,$M148,BX$13)="",10^12,OFFSET(PLE!$G$14,$M148,BX$13))))</f>
        <v>1000000000000</v>
      </c>
      <c r="BY148" s="216">
        <f ca="1">IF($D148&lt;&gt;"Serviço",0,IF(OR(AND(AUTOEVENTO="Manual",$M148=1),$M148&gt;(ROW(PLE.lastrow)-ROW(PLE.firstrow))),0,IF(OFFSET(PLE!$G$14,$M148,BY$13)="",10^12,OFFSET(PLE!$G$14,$M148,BY$13))))</f>
        <v>1000000000000</v>
      </c>
      <c r="BZ148" s="216">
        <f ca="1">IF($D148&lt;&gt;"Serviço",0,IF(OR(AND(AUTOEVENTO="Manual",$M148=1),$M148&gt;(ROW(PLE.lastrow)-ROW(PLE.firstrow))),0,IF(OFFSET(PLE!$G$14,$M148,BZ$13)="",10^12,OFFSET(PLE!$G$14,$M148,BZ$13))))</f>
        <v>1000000000000</v>
      </c>
      <c r="CA148" s="216">
        <f ca="1">IF($D148&lt;&gt;"Serviço",0,IF(OR(AND(AUTOEVENTO="Manual",$M148=1),$M148&gt;(ROW(PLE.lastrow)-ROW(PLE.firstrow))),0,IF(OFFSET(PLE!$G$14,$M148,CA$13)="",10^12,OFFSET(PLE!$G$14,$M148,CA$13))))</f>
        <v>1000000000000</v>
      </c>
      <c r="CB148" s="216">
        <f ca="1">IF($D148&lt;&gt;"Serviço",0,IF(OR(AND(AUTOEVENTO="Manual",$M148=1),$M148&gt;(ROW(PLE.lastrow)-ROW(PLE.firstrow))),0,IF(OFFSET(PLE!$G$14,$M148,CB$13)="",10^12,OFFSET(PLE!$G$14,$M148,CB$13))))</f>
        <v>1000000000000</v>
      </c>
      <c r="CC148" s="216">
        <f ca="1">IF($D148&lt;&gt;"Serviço",0,IF(OR(AND(AUTOEVENTO="Manual",$M148=1),$M148&gt;(ROW(PLE.lastrow)-ROW(PLE.firstrow))),0,IF(OFFSET(PLE!$G$14,$M148,CC$13)="",10^12,OFFSET(PLE!$G$14,$M148,CC$13))))</f>
        <v>1000000000000</v>
      </c>
      <c r="CD148" s="216">
        <f ca="1">IF($D148&lt;&gt;"Serviço",0,IF(OR(AND(AUTOEVENTO="Manual",$M148=1),$M148&gt;(ROW(PLE.lastrow)-ROW(PLE.firstrow))),0,IF(OFFSET(PLE!$G$14,$M148,CD$13)="",10^12,OFFSET(PLE!$G$14,$M148,CD$13))))</f>
        <v>1000000000000</v>
      </c>
      <c r="CE148" s="216">
        <f ca="1">IF($D148&lt;&gt;"Serviço",0,IF(OR(AND(AUTOEVENTO="Manual",$M148=1),$M148&gt;(ROW(PLE.lastrow)-ROW(PLE.firstrow))),0,IF(OFFSET(PLE!$G$14,$M148,CE$13)="",10^12,OFFSET(PLE!$G$14,$M148,CE$13))))</f>
        <v>1000000000000</v>
      </c>
      <c r="CF148" s="216">
        <f ca="1">IF($D148&lt;&gt;"Serviço",0,IF(OR(AND(AUTOEVENTO="Manual",$M148=1),$M148&gt;(ROW(PLE.lastrow)-ROW(PLE.firstrow))),0,IF(OFFSET(PLE!$G$14,$M148,CF$13)="",10^12,OFFSET(PLE!$G$14,$M148,CF$13))))</f>
        <v>1000000000000</v>
      </c>
      <c r="CG148" s="216">
        <f ca="1">IF($D148&lt;&gt;"Serviço",0,IF(OR(AND(AUTOEVENTO="Manual",$M148=1),$M148&gt;(ROW(PLE.lastrow)-ROW(PLE.firstrow))),0,IF(OFFSET(PLE!$G$14,$M148,CG$13)="",10^12,OFFSET(PLE!$G$14,$M148,CG$13))))</f>
        <v>1000000000000</v>
      </c>
      <c r="CH148" s="216">
        <f ca="1">IF($D148&lt;&gt;"Serviço",0,IF(OR(AND(AUTOEVENTO="Manual",$M148=1),$M148&gt;(ROW(PLE.lastrow)-ROW(PLE.firstrow))),0,IF(OFFSET(PLE!$G$14,$M148,CH$13)="",10^12,OFFSET(PLE!$G$14,$M148,CH$13))))</f>
        <v>1000000000000</v>
      </c>
      <c r="CI148" s="216">
        <f ca="1">IF($D148&lt;&gt;"Serviço",0,IF(OR(AND(AUTOEVENTO="Manual",$M148=1),$M148&gt;(ROW(PLE.lastrow)-ROW(PLE.firstrow))),0,IF(OFFSET(PLE!$G$14,$M148,CI$13)="",10^12,OFFSET(PLE!$G$14,$M148,CI$13))))</f>
        <v>1000000000000</v>
      </c>
      <c r="CJ148" s="216">
        <f ca="1">IF($D148&lt;&gt;"Serviço",0,IF(OR(AND(AUTOEVENTO="Manual",$M148=1),$M148&gt;(ROW(PLE.lastrow)-ROW(PLE.firstrow))),0,IF(OFFSET(PLE!$G$14,$M148,CJ$13)="",10^12,OFFSET(PLE!$G$14,$M148,CJ$13))))</f>
        <v>1000000000000</v>
      </c>
      <c r="CK148" s="216">
        <f ca="1">IF($D148&lt;&gt;"Serviço",0,IF(OR(AND(AUTOEVENTO="Manual",$M148=1),$M148&gt;(ROW(PLE.lastrow)-ROW(PLE.firstrow))),0,IF(OFFSET(PLE!$G$14,$M148,CK$13)="",10^12,OFFSET(PLE!$G$14,$M148,CK$13))))</f>
        <v>1000000000000</v>
      </c>
      <c r="CL148" s="216">
        <f ca="1">IF($D148&lt;&gt;"Serviço",0,IF(OR(AND(AUTOEVENTO="Manual",$M148=1),$M148&gt;(ROW(PLE.lastrow)-ROW(PLE.firstrow))),0,IF(OFFSET(PLE!$G$14,$M148,CL$13)="",10^12,OFFSET(PLE!$G$14,$M148,CL$13))))</f>
        <v>1000000000000</v>
      </c>
      <c r="CM148" s="216">
        <f ca="1">IF($D148&lt;&gt;"Serviço",0,IF(OR(AND(AUTOEVENTO="Manual",$M148=1),$M148&gt;(ROW(PLE.lastrow)-ROW(PLE.firstrow))),0,IF(OFFSET(PLE!$G$14,$M148,CM$13)="",10^12,OFFSET(PLE!$G$14,$M148,CM$13))))</f>
        <v>1000000000000</v>
      </c>
    </row>
    <row r="149" spans="1:91" ht="13.2" x14ac:dyDescent="0.25">
      <c r="A149" s="9">
        <f t="shared" ca="1" si="11"/>
        <v>0</v>
      </c>
      <c r="B149" s="9" t="str">
        <f ca="1">OFFSET(ORÇAMENTO!C$15,ROW(B149)-ROW(B$15),0)</f>
        <v>S</v>
      </c>
      <c r="C149" s="9" t="str">
        <f ca="1">OFFSET(ORÇAMENTO!L$15,ROW(C149)-ROW(C$15),0)</f>
        <v/>
      </c>
      <c r="D149" s="145" t="str">
        <f ca="1">OFFSET(ORÇAMENTO!N$15,ROW(D149)-ROW(D$15),0)</f>
        <v>Serviço</v>
      </c>
      <c r="E149" s="205" t="str">
        <f ca="1">OFFSET(ORÇAMENTO!O$15,ROW(E149)-ROW(E$15),0)</f>
        <v>-</v>
      </c>
      <c r="F149" s="206" t="str">
        <f ca="1">OFFSET(ORÇAMENTO!R$15,ROW(F149)-ROW(F$15),0)</f>
        <v>(abra o arquivo 'Referência 05-2024.xls)</v>
      </c>
      <c r="G149" s="207" t="str">
        <f ca="1">IF($D149&lt;&gt;"Serviço","",OFFSET(ORÇAMENTO!S$15,ROW(G149)-ROW(G$15),0))</f>
        <v>-</v>
      </c>
      <c r="H149" s="151">
        <f ca="1">IF($D149&lt;&gt;"Serviço",0,IF(ACOMPANHAMENTO="BM",ROUND(OFFSET(ORÇAMENTO!AJ$15,ROW(H149)-ROW(H$15),0),15-13*ORÇAMENTO!$AF$7),SUMPRODUCT(($Q$12:$AI$12&lt;&gt;"")*ROUND($Q149:$AI149,15-13*ORÇAMENTO!$AF$7))))</f>
        <v>0.43</v>
      </c>
      <c r="I149" s="650"/>
      <c r="K149" s="208"/>
      <c r="L149" s="209" t="s">
        <v>257</v>
      </c>
      <c r="M149" s="210">
        <f ca="1">IF($D149&lt;&gt;"Serviço","",IF(AUTOEVENTO="manual",$A149,IF(ISERROR(MATCH($A149,$A$15:OFFSET($A149,-1,0),0)),MAX($M$15:OFFSET(M149,-1,0))+1,INDEX($M$15:OFFSET(M149,-1,0),MATCH($A149,$A$15:OFFSET($A149,-1,0),0)))))</f>
        <v>0</v>
      </c>
      <c r="N149" s="211" t="str">
        <f ca="1">IF($D149&lt;&gt;"Serviço","",IF(AUTOEVENTO="Manual",IF($A149=0,"&lt;-- defina o número do agrupador",OFFSET(EVENTOS!$D$14,$A149,0)),OFFSET($F$15,$A149,0)))</f>
        <v>&lt;-- defina o número do agrupador</v>
      </c>
      <c r="O149" s="212"/>
      <c r="Q149" s="212"/>
      <c r="R149" s="213"/>
      <c r="S149" s="213"/>
      <c r="T149" s="213"/>
      <c r="U149" s="213"/>
      <c r="V149" s="213"/>
      <c r="W149" s="213"/>
      <c r="X149" s="213"/>
      <c r="Y149" s="213"/>
      <c r="Z149" s="214"/>
      <c r="AA149" s="213"/>
      <c r="AB149" s="213"/>
      <c r="AC149" s="213"/>
      <c r="AD149" s="213"/>
      <c r="AE149" s="213"/>
      <c r="AF149" s="213"/>
      <c r="AG149" s="213"/>
      <c r="AH149" s="214"/>
      <c r="AJ149" s="631">
        <f ca="1">IF(AND($D149="Serviço",AJ$12&lt;&gt;0,$H149&gt;0,OR(AUTOEVENTO&lt;&gt;"manual",$M149&lt;&gt;1)),ROUND(OFFSET($P149,0,AJ$13),15-13*ORÇAMENTO!$AF$7)/$H149*OFFSET(ORÇAMENTO!$X$15,ROW(AJ149)-ROW(AJ$15),0),0)</f>
        <v>0</v>
      </c>
      <c r="AK149" s="632">
        <f ca="1">IF(AND($D149="Serviço",AK$12&lt;&gt;0,$H149&gt;0,OR(AUTOEVENTO&lt;&gt;"manual",$M149&lt;&gt;1)),ROUND(OFFSET($P149,0,AK$13),15-13*ORÇAMENTO!$AF$7)/$H149*OFFSET(ORÇAMENTO!$X$15,ROW(AK149)-ROW(AK$15),0),0)</f>
        <v>0</v>
      </c>
      <c r="AL149" s="632">
        <f ca="1">IF(AND($D149="Serviço",AL$12&lt;&gt;0,$H149&gt;0,OR(AUTOEVENTO&lt;&gt;"manual",$M149&lt;&gt;1)),ROUND(OFFSET($P149,0,AL$13),15-13*ORÇAMENTO!$AF$7)/$H149*OFFSET(ORÇAMENTO!$X$15,ROW(AL149)-ROW(AL$15),0),0)</f>
        <v>0</v>
      </c>
      <c r="AM149" s="632">
        <f ca="1">IF(AND($D149="Serviço",AM$12&lt;&gt;0,$H149&gt;0,OR(AUTOEVENTO&lt;&gt;"manual",$M149&lt;&gt;1)),ROUND(OFFSET($P149,0,AM$13),15-13*ORÇAMENTO!$AF$7)/$H149*OFFSET(ORÇAMENTO!$X$15,ROW(AM149)-ROW(AM$15),0),0)</f>
        <v>0</v>
      </c>
      <c r="AN149" s="632">
        <f ca="1">IF(AND($D149="Serviço",AN$12&lt;&gt;0,$H149&gt;0,OR(AUTOEVENTO&lt;&gt;"manual",$M149&lt;&gt;1)),ROUND(OFFSET($P149,0,AN$13),15-13*ORÇAMENTO!$AF$7)/$H149*OFFSET(ORÇAMENTO!$X$15,ROW(AN149)-ROW(AN$15),0),0)</f>
        <v>0</v>
      </c>
      <c r="AO149" s="632">
        <f ca="1">IF(AND($D149="Serviço",AO$12&lt;&gt;0,$H149&gt;0,OR(AUTOEVENTO&lt;&gt;"manual",$M149&lt;&gt;1)),ROUND(OFFSET($P149,0,AO$13),15-13*ORÇAMENTO!$AF$7)/$H149*OFFSET(ORÇAMENTO!$X$15,ROW(AO149)-ROW(AO$15),0),0)</f>
        <v>0</v>
      </c>
      <c r="AP149" s="632">
        <f ca="1">IF(AND($D149="Serviço",AP$12&lt;&gt;0,$H149&gt;0,OR(AUTOEVENTO&lt;&gt;"manual",$M149&lt;&gt;1)),ROUND(OFFSET($P149,0,AP$13),15-13*ORÇAMENTO!$AF$7)/$H149*OFFSET(ORÇAMENTO!$X$15,ROW(AP149)-ROW(AP$15),0),0)</f>
        <v>0</v>
      </c>
      <c r="AQ149" s="632">
        <f ca="1">IF(AND($D149="Serviço",AQ$12&lt;&gt;0,$H149&gt;0,OR(AUTOEVENTO&lt;&gt;"manual",$M149&lt;&gt;1)),ROUND(OFFSET($P149,0,AQ$13),15-13*ORÇAMENTO!$AF$7)/$H149*OFFSET(ORÇAMENTO!$X$15,ROW(AQ149)-ROW(AQ$15),0),0)</f>
        <v>0</v>
      </c>
      <c r="AR149" s="632">
        <f ca="1">IF(AND($D149="Serviço",AR$12&lt;&gt;0,$H149&gt;0,OR(AUTOEVENTO&lt;&gt;"manual",$M149&lt;&gt;1)),ROUND(OFFSET($P149,0,AR$13),15-13*ORÇAMENTO!$AF$7)/$H149*OFFSET(ORÇAMENTO!$X$15,ROW(AR149)-ROW(AR$15),0),0)</f>
        <v>0</v>
      </c>
      <c r="AS149" s="633">
        <f ca="1">IF(AND($D149="Serviço",AS$12&lt;&gt;0,$H149&gt;0,OR(AUTOEVENTO&lt;&gt;"manual",$M149&lt;&gt;1)),ROUND(OFFSET($P149,0,AS$13),15-13*ORÇAMENTO!$AF$7)/$H149*OFFSET(ORÇAMENTO!$X$15,ROW(AS149)-ROW(AS$15),0),0)</f>
        <v>0</v>
      </c>
      <c r="AT149" s="632">
        <f ca="1">IF(AND($D149="Serviço",AT$12&lt;&gt;0,$H149&gt;0,OR(AUTOEVENTO&lt;&gt;"manual",$M149&lt;&gt;1)),ROUND(OFFSET($P149,0,AT$13),15-13*ORÇAMENTO!$AF$7)/$H149*OFFSET(ORÇAMENTO!$X$15,ROW(AT149)-ROW(AT$15),0),0)</f>
        <v>0</v>
      </c>
      <c r="AU149" s="632">
        <f ca="1">IF(AND($D149="Serviço",AU$12&lt;&gt;0,$H149&gt;0,OR(AUTOEVENTO&lt;&gt;"manual",$M149&lt;&gt;1)),ROUND(OFFSET($P149,0,AU$13),15-13*ORÇAMENTO!$AF$7)/$H149*OFFSET(ORÇAMENTO!$X$15,ROW(AU149)-ROW(AU$15),0),0)</f>
        <v>0</v>
      </c>
      <c r="AV149" s="632">
        <f ca="1">IF(AND($D149="Serviço",AV$12&lt;&gt;0,$H149&gt;0,OR(AUTOEVENTO&lt;&gt;"manual",$M149&lt;&gt;1)),ROUND(OFFSET($P149,0,AV$13),15-13*ORÇAMENTO!$AF$7)/$H149*OFFSET(ORÇAMENTO!$X$15,ROW(AV149)-ROW(AV$15),0),0)</f>
        <v>0</v>
      </c>
      <c r="AW149" s="632">
        <f ca="1">IF(AND($D149="Serviço",AW$12&lt;&gt;0,$H149&gt;0,OR(AUTOEVENTO&lt;&gt;"manual",$M149&lt;&gt;1)),ROUND(OFFSET($P149,0,AW$13),15-13*ORÇAMENTO!$AF$7)/$H149*OFFSET(ORÇAMENTO!$X$15,ROW(AW149)-ROW(AW$15),0),0)</f>
        <v>0</v>
      </c>
      <c r="AX149" s="632">
        <f ca="1">IF(AND($D149="Serviço",AX$12&lt;&gt;0,$H149&gt;0,OR(AUTOEVENTO&lt;&gt;"manual",$M149&lt;&gt;1)),ROUND(OFFSET($P149,0,AX$13),15-13*ORÇAMENTO!$AF$7)/$H149*OFFSET(ORÇAMENTO!$X$15,ROW(AX149)-ROW(AX$15),0),0)</f>
        <v>0</v>
      </c>
      <c r="AY149" s="632">
        <f ca="1">IF(AND($D149="Serviço",AY$12&lt;&gt;0,$H149&gt;0,OR(AUTOEVENTO&lt;&gt;"manual",$M149&lt;&gt;1)),ROUND(OFFSET($P149,0,AY$13),15-13*ORÇAMENTO!$AF$7)/$H149*OFFSET(ORÇAMENTO!$X$15,ROW(AY149)-ROW(AY$15),0),0)</f>
        <v>0</v>
      </c>
      <c r="AZ149" s="632">
        <f ca="1">IF(AND($D149="Serviço",AZ$12&lt;&gt;0,$H149&gt;0,OR(AUTOEVENTO&lt;&gt;"manual",$M149&lt;&gt;1)),ROUND(OFFSET($P149,0,AZ$13),15-13*ORÇAMENTO!$AF$7)/$H149*OFFSET(ORÇAMENTO!$X$15,ROW(AZ149)-ROW(AZ$15),0),0)</f>
        <v>0</v>
      </c>
      <c r="BA149" s="633">
        <f ca="1">IF(AND($D149="Serviço",BA$12&lt;&gt;0,$H149&gt;0,OR(AUTOEVENTO&lt;&gt;"manual",$M149&lt;&gt;1)),ROUND(OFFSET($P149,0,BA$13),15-13*ORÇAMENTO!$AF$7)/$H149*OFFSET(ORÇAMENTO!$X$15,ROW(BA149)-ROW(BA$15),0),0)</f>
        <v>0</v>
      </c>
      <c r="BC149" s="215">
        <f ca="1">IF($D149&lt;&gt;"Serviço",0,IF(AND(AUTOEVENTO="Manual",$M149=1),0,IF(OFFSET(CRONOPLE!$F$14,$M149,BC$13)="",10^12,OFFSET(CRONOPLE!$F$14,$M149,BC$13))))</f>
        <v>1000000000000</v>
      </c>
      <c r="BD149" s="215">
        <f ca="1">IF($D149&lt;&gt;"Serviço",0,IF(AND(AUTOEVENTO="Manual",$M149=1),0,IF(OFFSET(CRONOPLE!$F$14,$M149,BD$13)="",10^12,OFFSET(CRONOPLE!$F$14,$M149,BD$13))))</f>
        <v>1000000000000</v>
      </c>
      <c r="BE149" s="215">
        <f ca="1">IF($D149&lt;&gt;"Serviço",0,IF(AND(AUTOEVENTO="Manual",$M149=1),0,IF(OFFSET(CRONOPLE!$F$14,$M149,BE$13)="",10^12,OFFSET(CRONOPLE!$F$14,$M149,BE$13))))</f>
        <v>1000000000000</v>
      </c>
      <c r="BF149" s="215">
        <f ca="1">IF($D149&lt;&gt;"Serviço",0,IF(AND(AUTOEVENTO="Manual",$M149=1),0,IF(OFFSET(CRONOPLE!$F$14,$M149,BF$13)="",10^12,OFFSET(CRONOPLE!$F$14,$M149,BF$13))))</f>
        <v>1000000000000</v>
      </c>
      <c r="BG149" s="215">
        <f ca="1">IF($D149&lt;&gt;"Serviço",0,IF(AND(AUTOEVENTO="Manual",$M149=1),0,IF(OFFSET(CRONOPLE!$F$14,$M149,BG$13)="",10^12,OFFSET(CRONOPLE!$F$14,$M149,BG$13))))</f>
        <v>1000000000000</v>
      </c>
      <c r="BH149" s="215">
        <f ca="1">IF($D149&lt;&gt;"Serviço",0,IF(AND(AUTOEVENTO="Manual",$M149=1),0,IF(OFFSET(CRONOPLE!$F$14,$M149,BH$13)="",10^12,OFFSET(CRONOPLE!$F$14,$M149,BH$13))))</f>
        <v>1000000000000</v>
      </c>
      <c r="BI149" s="215">
        <f ca="1">IF($D149&lt;&gt;"Serviço",0,IF(AND(AUTOEVENTO="Manual",$M149=1),0,IF(OFFSET(CRONOPLE!$F$14,$M149,BI$13)="",10^12,OFFSET(CRONOPLE!$F$14,$M149,BI$13))))</f>
        <v>1000000000000</v>
      </c>
      <c r="BJ149" s="215">
        <f ca="1">IF($D149&lt;&gt;"Serviço",0,IF(AND(AUTOEVENTO="Manual",$M149=1),0,IF(OFFSET(CRONOPLE!$F$14,$M149,BJ$13)="",10^12,OFFSET(CRONOPLE!$F$14,$M149,BJ$13))))</f>
        <v>1000000000000</v>
      </c>
      <c r="BK149" s="215">
        <f ca="1">IF($D149&lt;&gt;"Serviço",0,IF(AND(AUTOEVENTO="Manual",$M149=1),0,IF(OFFSET(CRONOPLE!$F$14,$M149,BK$13)="",10^12,OFFSET(CRONOPLE!$F$14,$M149,BK$13))))</f>
        <v>1000000000000</v>
      </c>
      <c r="BL149" s="215">
        <f ca="1">IF($D149&lt;&gt;"Serviço",0,IF(AND(AUTOEVENTO="Manual",$M149=1),0,IF(OFFSET(CRONOPLE!$F$14,$M149,BL$13)="",10^12,OFFSET(CRONOPLE!$F$14,$M149,BL$13))))</f>
        <v>1000000000000</v>
      </c>
      <c r="BM149" s="215">
        <f ca="1">IF($D149&lt;&gt;"Serviço",0,IF(AND(AUTOEVENTO="Manual",$M149=1),0,IF(OFFSET(CRONOPLE!$F$14,$M149,BM$13)="",10^12,OFFSET(CRONOPLE!$F$14,$M149,BM$13))))</f>
        <v>1000000000000</v>
      </c>
      <c r="BN149" s="215">
        <f ca="1">IF($D149&lt;&gt;"Serviço",0,IF(AND(AUTOEVENTO="Manual",$M149=1),0,IF(OFFSET(CRONOPLE!$F$14,$M149,BN$13)="",10^12,OFFSET(CRONOPLE!$F$14,$M149,BN$13))))</f>
        <v>1000000000000</v>
      </c>
      <c r="BO149" s="215">
        <f ca="1">IF($D149&lt;&gt;"Serviço",0,IF(AND(AUTOEVENTO="Manual",$M149=1),0,IF(OFFSET(CRONOPLE!$F$14,$M149,BO$13)="",10^12,OFFSET(CRONOPLE!$F$14,$M149,BO$13))))</f>
        <v>1000000000000</v>
      </c>
      <c r="BP149" s="215">
        <f ca="1">IF($D149&lt;&gt;"Serviço",0,IF(AND(AUTOEVENTO="Manual",$M149=1),0,IF(OFFSET(CRONOPLE!$F$14,$M149,BP$13)="",10^12,OFFSET(CRONOPLE!$F$14,$M149,BP$13))))</f>
        <v>1000000000000</v>
      </c>
      <c r="BQ149" s="215">
        <f ca="1">IF($D149&lt;&gt;"Serviço",0,IF(AND(AUTOEVENTO="Manual",$M149=1),0,IF(OFFSET(CRONOPLE!$F$14,$M149,BQ$13)="",10^12,OFFSET(CRONOPLE!$F$14,$M149,BQ$13))))</f>
        <v>1000000000000</v>
      </c>
      <c r="BR149" s="215">
        <f ca="1">IF($D149&lt;&gt;"Serviço",0,IF(AND(AUTOEVENTO="Manual",$M149=1),0,IF(OFFSET(CRONOPLE!$F$14,$M149,BR$13)="",10^12,OFFSET(CRONOPLE!$F$14,$M149,BR$13))))</f>
        <v>1000000000000</v>
      </c>
      <c r="BS149" s="215">
        <f ca="1">IF($D149&lt;&gt;"Serviço",0,IF(AND(AUTOEVENTO="Manual",$M149=1),0,IF(OFFSET(CRONOPLE!$F$14,$M149,BS$13)="",10^12,OFFSET(CRONOPLE!$F$14,$M149,BS$13))))</f>
        <v>1000000000000</v>
      </c>
      <c r="BT149" s="215">
        <f ca="1">IF($D149&lt;&gt;"Serviço",0,IF(AND(AUTOEVENTO="Manual",$M149=1),0,IF(OFFSET(CRONOPLE!$F$14,$M149,BT$13)="",10^12,OFFSET(CRONOPLE!$F$14,$M149,BT$13))))</f>
        <v>1000000000000</v>
      </c>
      <c r="BV149" s="216">
        <f ca="1">IF($D149&lt;&gt;"Serviço",0,IF(OR(AND(AUTOEVENTO="Manual",$M149=1),$M149&gt;(ROW(PLE.lastrow)-ROW(PLE.firstrow))),0,IF(OFFSET(PLE!$G$14,$M149,BV$13)="",10^12,OFFSET(PLE!$G$14,$M149,BV$13))))</f>
        <v>1000000000000</v>
      </c>
      <c r="BW149" s="216">
        <f ca="1">IF($D149&lt;&gt;"Serviço",0,IF(OR(AND(AUTOEVENTO="Manual",$M149=1),$M149&gt;(ROW(PLE.lastrow)-ROW(PLE.firstrow))),0,IF(OFFSET(PLE!$G$14,$M149,BW$13)="",10^12,OFFSET(PLE!$G$14,$M149,BW$13))))</f>
        <v>1000000000000</v>
      </c>
      <c r="BX149" s="216">
        <f ca="1">IF($D149&lt;&gt;"Serviço",0,IF(OR(AND(AUTOEVENTO="Manual",$M149=1),$M149&gt;(ROW(PLE.lastrow)-ROW(PLE.firstrow))),0,IF(OFFSET(PLE!$G$14,$M149,BX$13)="",10^12,OFFSET(PLE!$G$14,$M149,BX$13))))</f>
        <v>1000000000000</v>
      </c>
      <c r="BY149" s="216">
        <f ca="1">IF($D149&lt;&gt;"Serviço",0,IF(OR(AND(AUTOEVENTO="Manual",$M149=1),$M149&gt;(ROW(PLE.lastrow)-ROW(PLE.firstrow))),0,IF(OFFSET(PLE!$G$14,$M149,BY$13)="",10^12,OFFSET(PLE!$G$14,$M149,BY$13))))</f>
        <v>1000000000000</v>
      </c>
      <c r="BZ149" s="216">
        <f ca="1">IF($D149&lt;&gt;"Serviço",0,IF(OR(AND(AUTOEVENTO="Manual",$M149=1),$M149&gt;(ROW(PLE.lastrow)-ROW(PLE.firstrow))),0,IF(OFFSET(PLE!$G$14,$M149,BZ$13)="",10^12,OFFSET(PLE!$G$14,$M149,BZ$13))))</f>
        <v>1000000000000</v>
      </c>
      <c r="CA149" s="216">
        <f ca="1">IF($D149&lt;&gt;"Serviço",0,IF(OR(AND(AUTOEVENTO="Manual",$M149=1),$M149&gt;(ROW(PLE.lastrow)-ROW(PLE.firstrow))),0,IF(OFFSET(PLE!$G$14,$M149,CA$13)="",10^12,OFFSET(PLE!$G$14,$M149,CA$13))))</f>
        <v>1000000000000</v>
      </c>
      <c r="CB149" s="216">
        <f ca="1">IF($D149&lt;&gt;"Serviço",0,IF(OR(AND(AUTOEVENTO="Manual",$M149=1),$M149&gt;(ROW(PLE.lastrow)-ROW(PLE.firstrow))),0,IF(OFFSET(PLE!$G$14,$M149,CB$13)="",10^12,OFFSET(PLE!$G$14,$M149,CB$13))))</f>
        <v>1000000000000</v>
      </c>
      <c r="CC149" s="216">
        <f ca="1">IF($D149&lt;&gt;"Serviço",0,IF(OR(AND(AUTOEVENTO="Manual",$M149=1),$M149&gt;(ROW(PLE.lastrow)-ROW(PLE.firstrow))),0,IF(OFFSET(PLE!$G$14,$M149,CC$13)="",10^12,OFFSET(PLE!$G$14,$M149,CC$13))))</f>
        <v>1000000000000</v>
      </c>
      <c r="CD149" s="216">
        <f ca="1">IF($D149&lt;&gt;"Serviço",0,IF(OR(AND(AUTOEVENTO="Manual",$M149=1),$M149&gt;(ROW(PLE.lastrow)-ROW(PLE.firstrow))),0,IF(OFFSET(PLE!$G$14,$M149,CD$13)="",10^12,OFFSET(PLE!$G$14,$M149,CD$13))))</f>
        <v>1000000000000</v>
      </c>
      <c r="CE149" s="216">
        <f ca="1">IF($D149&lt;&gt;"Serviço",0,IF(OR(AND(AUTOEVENTO="Manual",$M149=1),$M149&gt;(ROW(PLE.lastrow)-ROW(PLE.firstrow))),0,IF(OFFSET(PLE!$G$14,$M149,CE$13)="",10^12,OFFSET(PLE!$G$14,$M149,CE$13))))</f>
        <v>1000000000000</v>
      </c>
      <c r="CF149" s="216">
        <f ca="1">IF($D149&lt;&gt;"Serviço",0,IF(OR(AND(AUTOEVENTO="Manual",$M149=1),$M149&gt;(ROW(PLE.lastrow)-ROW(PLE.firstrow))),0,IF(OFFSET(PLE!$G$14,$M149,CF$13)="",10^12,OFFSET(PLE!$G$14,$M149,CF$13))))</f>
        <v>1000000000000</v>
      </c>
      <c r="CG149" s="216">
        <f ca="1">IF($D149&lt;&gt;"Serviço",0,IF(OR(AND(AUTOEVENTO="Manual",$M149=1),$M149&gt;(ROW(PLE.lastrow)-ROW(PLE.firstrow))),0,IF(OFFSET(PLE!$G$14,$M149,CG$13)="",10^12,OFFSET(PLE!$G$14,$M149,CG$13))))</f>
        <v>1000000000000</v>
      </c>
      <c r="CH149" s="216">
        <f ca="1">IF($D149&lt;&gt;"Serviço",0,IF(OR(AND(AUTOEVENTO="Manual",$M149=1),$M149&gt;(ROW(PLE.lastrow)-ROW(PLE.firstrow))),0,IF(OFFSET(PLE!$G$14,$M149,CH$13)="",10^12,OFFSET(PLE!$G$14,$M149,CH$13))))</f>
        <v>1000000000000</v>
      </c>
      <c r="CI149" s="216">
        <f ca="1">IF($D149&lt;&gt;"Serviço",0,IF(OR(AND(AUTOEVENTO="Manual",$M149=1),$M149&gt;(ROW(PLE.lastrow)-ROW(PLE.firstrow))),0,IF(OFFSET(PLE!$G$14,$M149,CI$13)="",10^12,OFFSET(PLE!$G$14,$M149,CI$13))))</f>
        <v>1000000000000</v>
      </c>
      <c r="CJ149" s="216">
        <f ca="1">IF($D149&lt;&gt;"Serviço",0,IF(OR(AND(AUTOEVENTO="Manual",$M149=1),$M149&gt;(ROW(PLE.lastrow)-ROW(PLE.firstrow))),0,IF(OFFSET(PLE!$G$14,$M149,CJ$13)="",10^12,OFFSET(PLE!$G$14,$M149,CJ$13))))</f>
        <v>1000000000000</v>
      </c>
      <c r="CK149" s="216">
        <f ca="1">IF($D149&lt;&gt;"Serviço",0,IF(OR(AND(AUTOEVENTO="Manual",$M149=1),$M149&gt;(ROW(PLE.lastrow)-ROW(PLE.firstrow))),0,IF(OFFSET(PLE!$G$14,$M149,CK$13)="",10^12,OFFSET(PLE!$G$14,$M149,CK$13))))</f>
        <v>1000000000000</v>
      </c>
      <c r="CL149" s="216">
        <f ca="1">IF($D149&lt;&gt;"Serviço",0,IF(OR(AND(AUTOEVENTO="Manual",$M149=1),$M149&gt;(ROW(PLE.lastrow)-ROW(PLE.firstrow))),0,IF(OFFSET(PLE!$G$14,$M149,CL$13)="",10^12,OFFSET(PLE!$G$14,$M149,CL$13))))</f>
        <v>1000000000000</v>
      </c>
      <c r="CM149" s="216">
        <f ca="1">IF($D149&lt;&gt;"Serviço",0,IF(OR(AND(AUTOEVENTO="Manual",$M149=1),$M149&gt;(ROW(PLE.lastrow)-ROW(PLE.firstrow))),0,IF(OFFSET(PLE!$G$14,$M149,CM$13)="",10^12,OFFSET(PLE!$G$14,$M149,CM$13))))</f>
        <v>1000000000000</v>
      </c>
    </row>
    <row r="150" spans="1:91" ht="13.2" x14ac:dyDescent="0.25">
      <c r="A150" s="9">
        <f t="shared" ca="1" si="11"/>
        <v>0</v>
      </c>
      <c r="B150" s="9">
        <f ca="1">OFFSET(ORÇAMENTO!C$15,ROW(B150)-ROW(B$15),0)</f>
        <v>3</v>
      </c>
      <c r="C150" s="9" t="str">
        <f ca="1">OFFSET(ORÇAMENTO!L$15,ROW(C150)-ROW(C$15),0)</f>
        <v>F</v>
      </c>
      <c r="D150" s="145" t="str">
        <f ca="1">OFFSET(ORÇAMENTO!N$15,ROW(D150)-ROW(D$15),0)</f>
        <v>Nível 3</v>
      </c>
      <c r="E150" s="205" t="str">
        <f ca="1">OFFSET(ORÇAMENTO!O$15,ROW(E150)-ROW(E$15),0)</f>
        <v>1.4.11.</v>
      </c>
      <c r="F150" s="206" t="str">
        <f ca="1">OFFSET(ORÇAMENTO!R$15,ROW(F150)-ROW(F$15),0)</f>
        <v>ESTRUTURA METÁLICA</v>
      </c>
      <c r="G150" s="207" t="str">
        <f ca="1">IF($D150&lt;&gt;"Serviço","",OFFSET(ORÇAMENTO!S$15,ROW(G150)-ROW(G$15),0))</f>
        <v/>
      </c>
      <c r="H150" s="151">
        <f ca="1">IF($D150&lt;&gt;"Serviço",0,IF(ACOMPANHAMENTO="BM",ROUND(OFFSET(ORÇAMENTO!AJ$15,ROW(H150)-ROW(H$15),0),15-13*ORÇAMENTO!$AF$7),SUMPRODUCT(($Q$12:$AI$12&lt;&gt;"")*ROUND($Q150:$AI150,15-13*ORÇAMENTO!$AF$7))))</f>
        <v>0</v>
      </c>
      <c r="I150" s="650"/>
      <c r="K150" s="208"/>
      <c r="L150" s="209" t="s">
        <v>257</v>
      </c>
      <c r="M150" s="210" t="str">
        <f ca="1">IF($D150&lt;&gt;"Serviço","",IF(AUTOEVENTO="manual",$A150,IF(ISERROR(MATCH($A150,$A$15:OFFSET($A150,-1,0),0)),MAX($M$15:OFFSET(M150,-1,0))+1,INDEX($M$15:OFFSET(M150,-1,0),MATCH($A150,$A$15:OFFSET($A150,-1,0),0)))))</f>
        <v/>
      </c>
      <c r="N150" s="211" t="str">
        <f ca="1">IF($D150&lt;&gt;"Serviço","",IF(AUTOEVENTO="Manual",IF($A150=0,"&lt;-- defina o número do agrupador",OFFSET(EVENTOS!$D$14,$A150,0)),OFFSET($F$15,$A150,0)))</f>
        <v/>
      </c>
      <c r="O150" s="212"/>
      <c r="Q150" s="212"/>
      <c r="R150" s="213"/>
      <c r="S150" s="213"/>
      <c r="T150" s="213"/>
      <c r="U150" s="213"/>
      <c r="V150" s="213"/>
      <c r="W150" s="213"/>
      <c r="X150" s="213"/>
      <c r="Y150" s="213"/>
      <c r="Z150" s="214"/>
      <c r="AA150" s="213"/>
      <c r="AB150" s="213"/>
      <c r="AC150" s="213"/>
      <c r="AD150" s="213"/>
      <c r="AE150" s="213"/>
      <c r="AF150" s="213"/>
      <c r="AG150" s="213"/>
      <c r="AH150" s="214"/>
      <c r="AJ150" s="631">
        <f ca="1">IF(AND($D150="Serviço",AJ$12&lt;&gt;0,$H150&gt;0,OR(AUTOEVENTO&lt;&gt;"manual",$M150&lt;&gt;1)),ROUND(OFFSET($P150,0,AJ$13),15-13*ORÇAMENTO!$AF$7)/$H150*OFFSET(ORÇAMENTO!$X$15,ROW(AJ150)-ROW(AJ$15),0),0)</f>
        <v>0</v>
      </c>
      <c r="AK150" s="632">
        <f ca="1">IF(AND($D150="Serviço",AK$12&lt;&gt;0,$H150&gt;0,OR(AUTOEVENTO&lt;&gt;"manual",$M150&lt;&gt;1)),ROUND(OFFSET($P150,0,AK$13),15-13*ORÇAMENTO!$AF$7)/$H150*OFFSET(ORÇAMENTO!$X$15,ROW(AK150)-ROW(AK$15),0),0)</f>
        <v>0</v>
      </c>
      <c r="AL150" s="632">
        <f ca="1">IF(AND($D150="Serviço",AL$12&lt;&gt;0,$H150&gt;0,OR(AUTOEVENTO&lt;&gt;"manual",$M150&lt;&gt;1)),ROUND(OFFSET($P150,0,AL$13),15-13*ORÇAMENTO!$AF$7)/$H150*OFFSET(ORÇAMENTO!$X$15,ROW(AL150)-ROW(AL$15),0),0)</f>
        <v>0</v>
      </c>
      <c r="AM150" s="632">
        <f ca="1">IF(AND($D150="Serviço",AM$12&lt;&gt;0,$H150&gt;0,OR(AUTOEVENTO&lt;&gt;"manual",$M150&lt;&gt;1)),ROUND(OFFSET($P150,0,AM$13),15-13*ORÇAMENTO!$AF$7)/$H150*OFFSET(ORÇAMENTO!$X$15,ROW(AM150)-ROW(AM$15),0),0)</f>
        <v>0</v>
      </c>
      <c r="AN150" s="632">
        <f ca="1">IF(AND($D150="Serviço",AN$12&lt;&gt;0,$H150&gt;0,OR(AUTOEVENTO&lt;&gt;"manual",$M150&lt;&gt;1)),ROUND(OFFSET($P150,0,AN$13),15-13*ORÇAMENTO!$AF$7)/$H150*OFFSET(ORÇAMENTO!$X$15,ROW(AN150)-ROW(AN$15),0),0)</f>
        <v>0</v>
      </c>
      <c r="AO150" s="632">
        <f ca="1">IF(AND($D150="Serviço",AO$12&lt;&gt;0,$H150&gt;0,OR(AUTOEVENTO&lt;&gt;"manual",$M150&lt;&gt;1)),ROUND(OFFSET($P150,0,AO$13),15-13*ORÇAMENTO!$AF$7)/$H150*OFFSET(ORÇAMENTO!$X$15,ROW(AO150)-ROW(AO$15),0),0)</f>
        <v>0</v>
      </c>
      <c r="AP150" s="632">
        <f ca="1">IF(AND($D150="Serviço",AP$12&lt;&gt;0,$H150&gt;0,OR(AUTOEVENTO&lt;&gt;"manual",$M150&lt;&gt;1)),ROUND(OFFSET($P150,0,AP$13),15-13*ORÇAMENTO!$AF$7)/$H150*OFFSET(ORÇAMENTO!$X$15,ROW(AP150)-ROW(AP$15),0),0)</f>
        <v>0</v>
      </c>
      <c r="AQ150" s="632">
        <f ca="1">IF(AND($D150="Serviço",AQ$12&lt;&gt;0,$H150&gt;0,OR(AUTOEVENTO&lt;&gt;"manual",$M150&lt;&gt;1)),ROUND(OFFSET($P150,0,AQ$13),15-13*ORÇAMENTO!$AF$7)/$H150*OFFSET(ORÇAMENTO!$X$15,ROW(AQ150)-ROW(AQ$15),0),0)</f>
        <v>0</v>
      </c>
      <c r="AR150" s="632">
        <f ca="1">IF(AND($D150="Serviço",AR$12&lt;&gt;0,$H150&gt;0,OR(AUTOEVENTO&lt;&gt;"manual",$M150&lt;&gt;1)),ROUND(OFFSET($P150,0,AR$13),15-13*ORÇAMENTO!$AF$7)/$H150*OFFSET(ORÇAMENTO!$X$15,ROW(AR150)-ROW(AR$15),0),0)</f>
        <v>0</v>
      </c>
      <c r="AS150" s="633">
        <f ca="1">IF(AND($D150="Serviço",AS$12&lt;&gt;0,$H150&gt;0,OR(AUTOEVENTO&lt;&gt;"manual",$M150&lt;&gt;1)),ROUND(OFFSET($P150,0,AS$13),15-13*ORÇAMENTO!$AF$7)/$H150*OFFSET(ORÇAMENTO!$X$15,ROW(AS150)-ROW(AS$15),0),0)</f>
        <v>0</v>
      </c>
      <c r="AT150" s="632">
        <f ca="1">IF(AND($D150="Serviço",AT$12&lt;&gt;0,$H150&gt;0,OR(AUTOEVENTO&lt;&gt;"manual",$M150&lt;&gt;1)),ROUND(OFFSET($P150,0,AT$13),15-13*ORÇAMENTO!$AF$7)/$H150*OFFSET(ORÇAMENTO!$X$15,ROW(AT150)-ROW(AT$15),0),0)</f>
        <v>0</v>
      </c>
      <c r="AU150" s="632">
        <f ca="1">IF(AND($D150="Serviço",AU$12&lt;&gt;0,$H150&gt;0,OR(AUTOEVENTO&lt;&gt;"manual",$M150&lt;&gt;1)),ROUND(OFFSET($P150,0,AU$13),15-13*ORÇAMENTO!$AF$7)/$H150*OFFSET(ORÇAMENTO!$X$15,ROW(AU150)-ROW(AU$15),0),0)</f>
        <v>0</v>
      </c>
      <c r="AV150" s="632">
        <f ca="1">IF(AND($D150="Serviço",AV$12&lt;&gt;0,$H150&gt;0,OR(AUTOEVENTO&lt;&gt;"manual",$M150&lt;&gt;1)),ROUND(OFFSET($P150,0,AV$13),15-13*ORÇAMENTO!$AF$7)/$H150*OFFSET(ORÇAMENTO!$X$15,ROW(AV150)-ROW(AV$15),0),0)</f>
        <v>0</v>
      </c>
      <c r="AW150" s="632">
        <f ca="1">IF(AND($D150="Serviço",AW$12&lt;&gt;0,$H150&gt;0,OR(AUTOEVENTO&lt;&gt;"manual",$M150&lt;&gt;1)),ROUND(OFFSET($P150,0,AW$13),15-13*ORÇAMENTO!$AF$7)/$H150*OFFSET(ORÇAMENTO!$X$15,ROW(AW150)-ROW(AW$15),0),0)</f>
        <v>0</v>
      </c>
      <c r="AX150" s="632">
        <f ca="1">IF(AND($D150="Serviço",AX$12&lt;&gt;0,$H150&gt;0,OR(AUTOEVENTO&lt;&gt;"manual",$M150&lt;&gt;1)),ROUND(OFFSET($P150,0,AX$13),15-13*ORÇAMENTO!$AF$7)/$H150*OFFSET(ORÇAMENTO!$X$15,ROW(AX150)-ROW(AX$15),0),0)</f>
        <v>0</v>
      </c>
      <c r="AY150" s="632">
        <f ca="1">IF(AND($D150="Serviço",AY$12&lt;&gt;0,$H150&gt;0,OR(AUTOEVENTO&lt;&gt;"manual",$M150&lt;&gt;1)),ROUND(OFFSET($P150,0,AY$13),15-13*ORÇAMENTO!$AF$7)/$H150*OFFSET(ORÇAMENTO!$X$15,ROW(AY150)-ROW(AY$15),0),0)</f>
        <v>0</v>
      </c>
      <c r="AZ150" s="632">
        <f ca="1">IF(AND($D150="Serviço",AZ$12&lt;&gt;0,$H150&gt;0,OR(AUTOEVENTO&lt;&gt;"manual",$M150&lt;&gt;1)),ROUND(OFFSET($P150,0,AZ$13),15-13*ORÇAMENTO!$AF$7)/$H150*OFFSET(ORÇAMENTO!$X$15,ROW(AZ150)-ROW(AZ$15),0),0)</f>
        <v>0</v>
      </c>
      <c r="BA150" s="633">
        <f ca="1">IF(AND($D150="Serviço",BA$12&lt;&gt;0,$H150&gt;0,OR(AUTOEVENTO&lt;&gt;"manual",$M150&lt;&gt;1)),ROUND(OFFSET($P150,0,BA$13),15-13*ORÇAMENTO!$AF$7)/$H150*OFFSET(ORÇAMENTO!$X$15,ROW(BA150)-ROW(BA$15),0),0)</f>
        <v>0</v>
      </c>
      <c r="BC150" s="215">
        <f ca="1">IF($D150&lt;&gt;"Serviço",0,IF(AND(AUTOEVENTO="Manual",$M150=1),0,IF(OFFSET(CRONOPLE!$F$14,$M150,BC$13)="",10^12,OFFSET(CRONOPLE!$F$14,$M150,BC$13))))</f>
        <v>0</v>
      </c>
      <c r="BD150" s="215">
        <f ca="1">IF($D150&lt;&gt;"Serviço",0,IF(AND(AUTOEVENTO="Manual",$M150=1),0,IF(OFFSET(CRONOPLE!$F$14,$M150,BD$13)="",10^12,OFFSET(CRONOPLE!$F$14,$M150,BD$13))))</f>
        <v>0</v>
      </c>
      <c r="BE150" s="215">
        <f ca="1">IF($D150&lt;&gt;"Serviço",0,IF(AND(AUTOEVENTO="Manual",$M150=1),0,IF(OFFSET(CRONOPLE!$F$14,$M150,BE$13)="",10^12,OFFSET(CRONOPLE!$F$14,$M150,BE$13))))</f>
        <v>0</v>
      </c>
      <c r="BF150" s="215">
        <f ca="1">IF($D150&lt;&gt;"Serviço",0,IF(AND(AUTOEVENTO="Manual",$M150=1),0,IF(OFFSET(CRONOPLE!$F$14,$M150,BF$13)="",10^12,OFFSET(CRONOPLE!$F$14,$M150,BF$13))))</f>
        <v>0</v>
      </c>
      <c r="BG150" s="215">
        <f ca="1">IF($D150&lt;&gt;"Serviço",0,IF(AND(AUTOEVENTO="Manual",$M150=1),0,IF(OFFSET(CRONOPLE!$F$14,$M150,BG$13)="",10^12,OFFSET(CRONOPLE!$F$14,$M150,BG$13))))</f>
        <v>0</v>
      </c>
      <c r="BH150" s="215">
        <f ca="1">IF($D150&lt;&gt;"Serviço",0,IF(AND(AUTOEVENTO="Manual",$M150=1),0,IF(OFFSET(CRONOPLE!$F$14,$M150,BH$13)="",10^12,OFFSET(CRONOPLE!$F$14,$M150,BH$13))))</f>
        <v>0</v>
      </c>
      <c r="BI150" s="215">
        <f ca="1">IF($D150&lt;&gt;"Serviço",0,IF(AND(AUTOEVENTO="Manual",$M150=1),0,IF(OFFSET(CRONOPLE!$F$14,$M150,BI$13)="",10^12,OFFSET(CRONOPLE!$F$14,$M150,BI$13))))</f>
        <v>0</v>
      </c>
      <c r="BJ150" s="215">
        <f ca="1">IF($D150&lt;&gt;"Serviço",0,IF(AND(AUTOEVENTO="Manual",$M150=1),0,IF(OFFSET(CRONOPLE!$F$14,$M150,BJ$13)="",10^12,OFFSET(CRONOPLE!$F$14,$M150,BJ$13))))</f>
        <v>0</v>
      </c>
      <c r="BK150" s="215">
        <f ca="1">IF($D150&lt;&gt;"Serviço",0,IF(AND(AUTOEVENTO="Manual",$M150=1),0,IF(OFFSET(CRONOPLE!$F$14,$M150,BK$13)="",10^12,OFFSET(CRONOPLE!$F$14,$M150,BK$13))))</f>
        <v>0</v>
      </c>
      <c r="BL150" s="215">
        <f ca="1">IF($D150&lt;&gt;"Serviço",0,IF(AND(AUTOEVENTO="Manual",$M150=1),0,IF(OFFSET(CRONOPLE!$F$14,$M150,BL$13)="",10^12,OFFSET(CRONOPLE!$F$14,$M150,BL$13))))</f>
        <v>0</v>
      </c>
      <c r="BM150" s="215">
        <f ca="1">IF($D150&lt;&gt;"Serviço",0,IF(AND(AUTOEVENTO="Manual",$M150=1),0,IF(OFFSET(CRONOPLE!$F$14,$M150,BM$13)="",10^12,OFFSET(CRONOPLE!$F$14,$M150,BM$13))))</f>
        <v>0</v>
      </c>
      <c r="BN150" s="215">
        <f ca="1">IF($D150&lt;&gt;"Serviço",0,IF(AND(AUTOEVENTO="Manual",$M150=1),0,IF(OFFSET(CRONOPLE!$F$14,$M150,BN$13)="",10^12,OFFSET(CRONOPLE!$F$14,$M150,BN$13))))</f>
        <v>0</v>
      </c>
      <c r="BO150" s="215">
        <f ca="1">IF($D150&lt;&gt;"Serviço",0,IF(AND(AUTOEVENTO="Manual",$M150=1),0,IF(OFFSET(CRONOPLE!$F$14,$M150,BO$13)="",10^12,OFFSET(CRONOPLE!$F$14,$M150,BO$13))))</f>
        <v>0</v>
      </c>
      <c r="BP150" s="215">
        <f ca="1">IF($D150&lt;&gt;"Serviço",0,IF(AND(AUTOEVENTO="Manual",$M150=1),0,IF(OFFSET(CRONOPLE!$F$14,$M150,BP$13)="",10^12,OFFSET(CRONOPLE!$F$14,$M150,BP$13))))</f>
        <v>0</v>
      </c>
      <c r="BQ150" s="215">
        <f ca="1">IF($D150&lt;&gt;"Serviço",0,IF(AND(AUTOEVENTO="Manual",$M150=1),0,IF(OFFSET(CRONOPLE!$F$14,$M150,BQ$13)="",10^12,OFFSET(CRONOPLE!$F$14,$M150,BQ$13))))</f>
        <v>0</v>
      </c>
      <c r="BR150" s="215">
        <f ca="1">IF($D150&lt;&gt;"Serviço",0,IF(AND(AUTOEVENTO="Manual",$M150=1),0,IF(OFFSET(CRONOPLE!$F$14,$M150,BR$13)="",10^12,OFFSET(CRONOPLE!$F$14,$M150,BR$13))))</f>
        <v>0</v>
      </c>
      <c r="BS150" s="215">
        <f ca="1">IF($D150&lt;&gt;"Serviço",0,IF(AND(AUTOEVENTO="Manual",$M150=1),0,IF(OFFSET(CRONOPLE!$F$14,$M150,BS$13)="",10^12,OFFSET(CRONOPLE!$F$14,$M150,BS$13))))</f>
        <v>0</v>
      </c>
      <c r="BT150" s="215">
        <f ca="1">IF($D150&lt;&gt;"Serviço",0,IF(AND(AUTOEVENTO="Manual",$M150=1),0,IF(OFFSET(CRONOPLE!$F$14,$M150,BT$13)="",10^12,OFFSET(CRONOPLE!$F$14,$M150,BT$13))))</f>
        <v>0</v>
      </c>
      <c r="BV150" s="216">
        <f ca="1">IF($D150&lt;&gt;"Serviço",0,IF(OR(AND(AUTOEVENTO="Manual",$M150=1),$M150&gt;(ROW(PLE.lastrow)-ROW(PLE.firstrow))),0,IF(OFFSET(PLE!$G$14,$M150,BV$13)="",10^12,OFFSET(PLE!$G$14,$M150,BV$13))))</f>
        <v>0</v>
      </c>
      <c r="BW150" s="216">
        <f ca="1">IF($D150&lt;&gt;"Serviço",0,IF(OR(AND(AUTOEVENTO="Manual",$M150=1),$M150&gt;(ROW(PLE.lastrow)-ROW(PLE.firstrow))),0,IF(OFFSET(PLE!$G$14,$M150,BW$13)="",10^12,OFFSET(PLE!$G$14,$M150,BW$13))))</f>
        <v>0</v>
      </c>
      <c r="BX150" s="216">
        <f ca="1">IF($D150&lt;&gt;"Serviço",0,IF(OR(AND(AUTOEVENTO="Manual",$M150=1),$M150&gt;(ROW(PLE.lastrow)-ROW(PLE.firstrow))),0,IF(OFFSET(PLE!$G$14,$M150,BX$13)="",10^12,OFFSET(PLE!$G$14,$M150,BX$13))))</f>
        <v>0</v>
      </c>
      <c r="BY150" s="216">
        <f ca="1">IF($D150&lt;&gt;"Serviço",0,IF(OR(AND(AUTOEVENTO="Manual",$M150=1),$M150&gt;(ROW(PLE.lastrow)-ROW(PLE.firstrow))),0,IF(OFFSET(PLE!$G$14,$M150,BY$13)="",10^12,OFFSET(PLE!$G$14,$M150,BY$13))))</f>
        <v>0</v>
      </c>
      <c r="BZ150" s="216">
        <f ca="1">IF($D150&lt;&gt;"Serviço",0,IF(OR(AND(AUTOEVENTO="Manual",$M150=1),$M150&gt;(ROW(PLE.lastrow)-ROW(PLE.firstrow))),0,IF(OFFSET(PLE!$G$14,$M150,BZ$13)="",10^12,OFFSET(PLE!$G$14,$M150,BZ$13))))</f>
        <v>0</v>
      </c>
      <c r="CA150" s="216">
        <f ca="1">IF($D150&lt;&gt;"Serviço",0,IF(OR(AND(AUTOEVENTO="Manual",$M150=1),$M150&gt;(ROW(PLE.lastrow)-ROW(PLE.firstrow))),0,IF(OFFSET(PLE!$G$14,$M150,CA$13)="",10^12,OFFSET(PLE!$G$14,$M150,CA$13))))</f>
        <v>0</v>
      </c>
      <c r="CB150" s="216">
        <f ca="1">IF($D150&lt;&gt;"Serviço",0,IF(OR(AND(AUTOEVENTO="Manual",$M150=1),$M150&gt;(ROW(PLE.lastrow)-ROW(PLE.firstrow))),0,IF(OFFSET(PLE!$G$14,$M150,CB$13)="",10^12,OFFSET(PLE!$G$14,$M150,CB$13))))</f>
        <v>0</v>
      </c>
      <c r="CC150" s="216">
        <f ca="1">IF($D150&lt;&gt;"Serviço",0,IF(OR(AND(AUTOEVENTO="Manual",$M150=1),$M150&gt;(ROW(PLE.lastrow)-ROW(PLE.firstrow))),0,IF(OFFSET(PLE!$G$14,$M150,CC$13)="",10^12,OFFSET(PLE!$G$14,$M150,CC$13))))</f>
        <v>0</v>
      </c>
      <c r="CD150" s="216">
        <f ca="1">IF($D150&lt;&gt;"Serviço",0,IF(OR(AND(AUTOEVENTO="Manual",$M150=1),$M150&gt;(ROW(PLE.lastrow)-ROW(PLE.firstrow))),0,IF(OFFSET(PLE!$G$14,$M150,CD$13)="",10^12,OFFSET(PLE!$G$14,$M150,CD$13))))</f>
        <v>0</v>
      </c>
      <c r="CE150" s="216">
        <f ca="1">IF($D150&lt;&gt;"Serviço",0,IF(OR(AND(AUTOEVENTO="Manual",$M150=1),$M150&gt;(ROW(PLE.lastrow)-ROW(PLE.firstrow))),0,IF(OFFSET(PLE!$G$14,$M150,CE$13)="",10^12,OFFSET(PLE!$G$14,$M150,CE$13))))</f>
        <v>0</v>
      </c>
      <c r="CF150" s="216">
        <f ca="1">IF($D150&lt;&gt;"Serviço",0,IF(OR(AND(AUTOEVENTO="Manual",$M150=1),$M150&gt;(ROW(PLE.lastrow)-ROW(PLE.firstrow))),0,IF(OFFSET(PLE!$G$14,$M150,CF$13)="",10^12,OFFSET(PLE!$G$14,$M150,CF$13))))</f>
        <v>0</v>
      </c>
      <c r="CG150" s="216">
        <f ca="1">IF($D150&lt;&gt;"Serviço",0,IF(OR(AND(AUTOEVENTO="Manual",$M150=1),$M150&gt;(ROW(PLE.lastrow)-ROW(PLE.firstrow))),0,IF(OFFSET(PLE!$G$14,$M150,CG$13)="",10^12,OFFSET(PLE!$G$14,$M150,CG$13))))</f>
        <v>0</v>
      </c>
      <c r="CH150" s="216">
        <f ca="1">IF($D150&lt;&gt;"Serviço",0,IF(OR(AND(AUTOEVENTO="Manual",$M150=1),$M150&gt;(ROW(PLE.lastrow)-ROW(PLE.firstrow))),0,IF(OFFSET(PLE!$G$14,$M150,CH$13)="",10^12,OFFSET(PLE!$G$14,$M150,CH$13))))</f>
        <v>0</v>
      </c>
      <c r="CI150" s="216">
        <f ca="1">IF($D150&lt;&gt;"Serviço",0,IF(OR(AND(AUTOEVENTO="Manual",$M150=1),$M150&gt;(ROW(PLE.lastrow)-ROW(PLE.firstrow))),0,IF(OFFSET(PLE!$G$14,$M150,CI$13)="",10^12,OFFSET(PLE!$G$14,$M150,CI$13))))</f>
        <v>0</v>
      </c>
      <c r="CJ150" s="216">
        <f ca="1">IF($D150&lt;&gt;"Serviço",0,IF(OR(AND(AUTOEVENTO="Manual",$M150=1),$M150&gt;(ROW(PLE.lastrow)-ROW(PLE.firstrow))),0,IF(OFFSET(PLE!$G$14,$M150,CJ$13)="",10^12,OFFSET(PLE!$G$14,$M150,CJ$13))))</f>
        <v>0</v>
      </c>
      <c r="CK150" s="216">
        <f ca="1">IF($D150&lt;&gt;"Serviço",0,IF(OR(AND(AUTOEVENTO="Manual",$M150=1),$M150&gt;(ROW(PLE.lastrow)-ROW(PLE.firstrow))),0,IF(OFFSET(PLE!$G$14,$M150,CK$13)="",10^12,OFFSET(PLE!$G$14,$M150,CK$13))))</f>
        <v>0</v>
      </c>
      <c r="CL150" s="216">
        <f ca="1">IF($D150&lt;&gt;"Serviço",0,IF(OR(AND(AUTOEVENTO="Manual",$M150=1),$M150&gt;(ROW(PLE.lastrow)-ROW(PLE.firstrow))),0,IF(OFFSET(PLE!$G$14,$M150,CL$13)="",10^12,OFFSET(PLE!$G$14,$M150,CL$13))))</f>
        <v>0</v>
      </c>
      <c r="CM150" s="216">
        <f ca="1">IF($D150&lt;&gt;"Serviço",0,IF(OR(AND(AUTOEVENTO="Manual",$M150=1),$M150&gt;(ROW(PLE.lastrow)-ROW(PLE.firstrow))),0,IF(OFFSET(PLE!$G$14,$M150,CM$13)="",10^12,OFFSET(PLE!$G$14,$M150,CM$13))))</f>
        <v>0</v>
      </c>
    </row>
    <row r="151" spans="1:91" ht="13.2" x14ac:dyDescent="0.25">
      <c r="A151" s="9">
        <f t="shared" ca="1" si="11"/>
        <v>0</v>
      </c>
      <c r="B151" s="9" t="str">
        <f ca="1">OFFSET(ORÇAMENTO!C$15,ROW(B151)-ROW(B$15),0)</f>
        <v>S</v>
      </c>
      <c r="C151" s="9" t="str">
        <f ca="1">OFFSET(ORÇAMENTO!L$15,ROW(C151)-ROW(C$15),0)</f>
        <v/>
      </c>
      <c r="D151" s="145" t="str">
        <f ca="1">OFFSET(ORÇAMENTO!N$15,ROW(D151)-ROW(D$15),0)</f>
        <v>Serviço</v>
      </c>
      <c r="E151" s="205" t="str">
        <f ca="1">OFFSET(ORÇAMENTO!O$15,ROW(E151)-ROW(E$15),0)</f>
        <v>-</v>
      </c>
      <c r="F151" s="206" t="str">
        <f ca="1">OFFSET(ORÇAMENTO!R$15,ROW(F151)-ROW(F$15),0)</f>
        <v>(abra o arquivo 'Referência 05-2024.xls)</v>
      </c>
      <c r="G151" s="207" t="str">
        <f ca="1">IF($D151&lt;&gt;"Serviço","",OFFSET(ORÇAMENTO!S$15,ROW(G151)-ROW(G$15),0))</f>
        <v>-</v>
      </c>
      <c r="H151" s="151">
        <f ca="1">IF($D151&lt;&gt;"Serviço",0,IF(ACOMPANHAMENTO="BM",ROUND(OFFSET(ORÇAMENTO!AJ$15,ROW(H151)-ROW(H$15),0),15-13*ORÇAMENTO!$AF$7),SUMPRODUCT(($Q$12:$AI$12&lt;&gt;"")*ROUND($Q151:$AI151,15-13*ORÇAMENTO!$AF$7))))</f>
        <v>61475.7</v>
      </c>
      <c r="I151" s="650"/>
      <c r="K151" s="208"/>
      <c r="L151" s="209" t="s">
        <v>257</v>
      </c>
      <c r="M151" s="210">
        <f ca="1">IF($D151&lt;&gt;"Serviço","",IF(AUTOEVENTO="manual",$A151,IF(ISERROR(MATCH($A151,$A$15:OFFSET($A151,-1,0),0)),MAX($M$15:OFFSET(M151,-1,0))+1,INDEX($M$15:OFFSET(M151,-1,0),MATCH($A151,$A$15:OFFSET($A151,-1,0),0)))))</f>
        <v>0</v>
      </c>
      <c r="N151" s="211" t="str">
        <f ca="1">IF($D151&lt;&gt;"Serviço","",IF(AUTOEVENTO="Manual",IF($A151=0,"&lt;-- defina o número do agrupador",OFFSET(EVENTOS!$D$14,$A151,0)),OFFSET($F$15,$A151,0)))</f>
        <v>&lt;-- defina o número do agrupador</v>
      </c>
      <c r="O151" s="212"/>
      <c r="Q151" s="212"/>
      <c r="R151" s="213"/>
      <c r="S151" s="213"/>
      <c r="T151" s="213"/>
      <c r="U151" s="213"/>
      <c r="V151" s="213"/>
      <c r="W151" s="213"/>
      <c r="X151" s="213"/>
      <c r="Y151" s="213"/>
      <c r="Z151" s="214"/>
      <c r="AA151" s="213"/>
      <c r="AB151" s="213"/>
      <c r="AC151" s="213"/>
      <c r="AD151" s="213"/>
      <c r="AE151" s="213"/>
      <c r="AF151" s="213"/>
      <c r="AG151" s="213"/>
      <c r="AH151" s="214"/>
      <c r="AJ151" s="631">
        <f ca="1">IF(AND($D151="Serviço",AJ$12&lt;&gt;0,$H151&gt;0,OR(AUTOEVENTO&lt;&gt;"manual",$M151&lt;&gt;1)),ROUND(OFFSET($P151,0,AJ$13),15-13*ORÇAMENTO!$AF$7)/$H151*OFFSET(ORÇAMENTO!$X$15,ROW(AJ151)-ROW(AJ$15),0),0)</f>
        <v>0</v>
      </c>
      <c r="AK151" s="632">
        <f ca="1">IF(AND($D151="Serviço",AK$12&lt;&gt;0,$H151&gt;0,OR(AUTOEVENTO&lt;&gt;"manual",$M151&lt;&gt;1)),ROUND(OFFSET($P151,0,AK$13),15-13*ORÇAMENTO!$AF$7)/$H151*OFFSET(ORÇAMENTO!$X$15,ROW(AK151)-ROW(AK$15),0),0)</f>
        <v>0</v>
      </c>
      <c r="AL151" s="632">
        <f ca="1">IF(AND($D151="Serviço",AL$12&lt;&gt;0,$H151&gt;0,OR(AUTOEVENTO&lt;&gt;"manual",$M151&lt;&gt;1)),ROUND(OFFSET($P151,0,AL$13),15-13*ORÇAMENTO!$AF$7)/$H151*OFFSET(ORÇAMENTO!$X$15,ROW(AL151)-ROW(AL$15),0),0)</f>
        <v>0</v>
      </c>
      <c r="AM151" s="632">
        <f ca="1">IF(AND($D151="Serviço",AM$12&lt;&gt;0,$H151&gt;0,OR(AUTOEVENTO&lt;&gt;"manual",$M151&lt;&gt;1)),ROUND(OFFSET($P151,0,AM$13),15-13*ORÇAMENTO!$AF$7)/$H151*OFFSET(ORÇAMENTO!$X$15,ROW(AM151)-ROW(AM$15),0),0)</f>
        <v>0</v>
      </c>
      <c r="AN151" s="632">
        <f ca="1">IF(AND($D151="Serviço",AN$12&lt;&gt;0,$H151&gt;0,OR(AUTOEVENTO&lt;&gt;"manual",$M151&lt;&gt;1)),ROUND(OFFSET($P151,0,AN$13),15-13*ORÇAMENTO!$AF$7)/$H151*OFFSET(ORÇAMENTO!$X$15,ROW(AN151)-ROW(AN$15),0),0)</f>
        <v>0</v>
      </c>
      <c r="AO151" s="632">
        <f ca="1">IF(AND($D151="Serviço",AO$12&lt;&gt;0,$H151&gt;0,OR(AUTOEVENTO&lt;&gt;"manual",$M151&lt;&gt;1)),ROUND(OFFSET($P151,0,AO$13),15-13*ORÇAMENTO!$AF$7)/$H151*OFFSET(ORÇAMENTO!$X$15,ROW(AO151)-ROW(AO$15),0),0)</f>
        <v>0</v>
      </c>
      <c r="AP151" s="632">
        <f ca="1">IF(AND($D151="Serviço",AP$12&lt;&gt;0,$H151&gt;0,OR(AUTOEVENTO&lt;&gt;"manual",$M151&lt;&gt;1)),ROUND(OFFSET($P151,0,AP$13),15-13*ORÇAMENTO!$AF$7)/$H151*OFFSET(ORÇAMENTO!$X$15,ROW(AP151)-ROW(AP$15),0),0)</f>
        <v>0</v>
      </c>
      <c r="AQ151" s="632">
        <f ca="1">IF(AND($D151="Serviço",AQ$12&lt;&gt;0,$H151&gt;0,OR(AUTOEVENTO&lt;&gt;"manual",$M151&lt;&gt;1)),ROUND(OFFSET($P151,0,AQ$13),15-13*ORÇAMENTO!$AF$7)/$H151*OFFSET(ORÇAMENTO!$X$15,ROW(AQ151)-ROW(AQ$15),0),0)</f>
        <v>0</v>
      </c>
      <c r="AR151" s="632">
        <f ca="1">IF(AND($D151="Serviço",AR$12&lt;&gt;0,$H151&gt;0,OR(AUTOEVENTO&lt;&gt;"manual",$M151&lt;&gt;1)),ROUND(OFFSET($P151,0,AR$13),15-13*ORÇAMENTO!$AF$7)/$H151*OFFSET(ORÇAMENTO!$X$15,ROW(AR151)-ROW(AR$15),0),0)</f>
        <v>0</v>
      </c>
      <c r="AS151" s="633">
        <f ca="1">IF(AND($D151="Serviço",AS$12&lt;&gt;0,$H151&gt;0,OR(AUTOEVENTO&lt;&gt;"manual",$M151&lt;&gt;1)),ROUND(OFFSET($P151,0,AS$13),15-13*ORÇAMENTO!$AF$7)/$H151*OFFSET(ORÇAMENTO!$X$15,ROW(AS151)-ROW(AS$15),0),0)</f>
        <v>0</v>
      </c>
      <c r="AT151" s="632">
        <f ca="1">IF(AND($D151="Serviço",AT$12&lt;&gt;0,$H151&gt;0,OR(AUTOEVENTO&lt;&gt;"manual",$M151&lt;&gt;1)),ROUND(OFFSET($P151,0,AT$13),15-13*ORÇAMENTO!$AF$7)/$H151*OFFSET(ORÇAMENTO!$X$15,ROW(AT151)-ROW(AT$15),0),0)</f>
        <v>0</v>
      </c>
      <c r="AU151" s="632">
        <f ca="1">IF(AND($D151="Serviço",AU$12&lt;&gt;0,$H151&gt;0,OR(AUTOEVENTO&lt;&gt;"manual",$M151&lt;&gt;1)),ROUND(OFFSET($P151,0,AU$13),15-13*ORÇAMENTO!$AF$7)/$H151*OFFSET(ORÇAMENTO!$X$15,ROW(AU151)-ROW(AU$15),0),0)</f>
        <v>0</v>
      </c>
      <c r="AV151" s="632">
        <f ca="1">IF(AND($D151="Serviço",AV$12&lt;&gt;0,$H151&gt;0,OR(AUTOEVENTO&lt;&gt;"manual",$M151&lt;&gt;1)),ROUND(OFFSET($P151,0,AV$13),15-13*ORÇAMENTO!$AF$7)/$H151*OFFSET(ORÇAMENTO!$X$15,ROW(AV151)-ROW(AV$15),0),0)</f>
        <v>0</v>
      </c>
      <c r="AW151" s="632">
        <f ca="1">IF(AND($D151="Serviço",AW$12&lt;&gt;0,$H151&gt;0,OR(AUTOEVENTO&lt;&gt;"manual",$M151&lt;&gt;1)),ROUND(OFFSET($P151,0,AW$13),15-13*ORÇAMENTO!$AF$7)/$H151*OFFSET(ORÇAMENTO!$X$15,ROW(AW151)-ROW(AW$15),0),0)</f>
        <v>0</v>
      </c>
      <c r="AX151" s="632">
        <f ca="1">IF(AND($D151="Serviço",AX$12&lt;&gt;0,$H151&gt;0,OR(AUTOEVENTO&lt;&gt;"manual",$M151&lt;&gt;1)),ROUND(OFFSET($P151,0,AX$13),15-13*ORÇAMENTO!$AF$7)/$H151*OFFSET(ORÇAMENTO!$X$15,ROW(AX151)-ROW(AX$15),0),0)</f>
        <v>0</v>
      </c>
      <c r="AY151" s="632">
        <f ca="1">IF(AND($D151="Serviço",AY$12&lt;&gt;0,$H151&gt;0,OR(AUTOEVENTO&lt;&gt;"manual",$M151&lt;&gt;1)),ROUND(OFFSET($P151,0,AY$13),15-13*ORÇAMENTO!$AF$7)/$H151*OFFSET(ORÇAMENTO!$X$15,ROW(AY151)-ROW(AY$15),0),0)</f>
        <v>0</v>
      </c>
      <c r="AZ151" s="632">
        <f ca="1">IF(AND($D151="Serviço",AZ$12&lt;&gt;0,$H151&gt;0,OR(AUTOEVENTO&lt;&gt;"manual",$M151&lt;&gt;1)),ROUND(OFFSET($P151,0,AZ$13),15-13*ORÇAMENTO!$AF$7)/$H151*OFFSET(ORÇAMENTO!$X$15,ROW(AZ151)-ROW(AZ$15),0),0)</f>
        <v>0</v>
      </c>
      <c r="BA151" s="633">
        <f ca="1">IF(AND($D151="Serviço",BA$12&lt;&gt;0,$H151&gt;0,OR(AUTOEVENTO&lt;&gt;"manual",$M151&lt;&gt;1)),ROUND(OFFSET($P151,0,BA$13),15-13*ORÇAMENTO!$AF$7)/$H151*OFFSET(ORÇAMENTO!$X$15,ROW(BA151)-ROW(BA$15),0),0)</f>
        <v>0</v>
      </c>
      <c r="BC151" s="215">
        <f ca="1">IF($D151&lt;&gt;"Serviço",0,IF(AND(AUTOEVENTO="Manual",$M151=1),0,IF(OFFSET(CRONOPLE!$F$14,$M151,BC$13)="",10^12,OFFSET(CRONOPLE!$F$14,$M151,BC$13))))</f>
        <v>1000000000000</v>
      </c>
      <c r="BD151" s="215">
        <f ca="1">IF($D151&lt;&gt;"Serviço",0,IF(AND(AUTOEVENTO="Manual",$M151=1),0,IF(OFFSET(CRONOPLE!$F$14,$M151,BD$13)="",10^12,OFFSET(CRONOPLE!$F$14,$M151,BD$13))))</f>
        <v>1000000000000</v>
      </c>
      <c r="BE151" s="215">
        <f ca="1">IF($D151&lt;&gt;"Serviço",0,IF(AND(AUTOEVENTO="Manual",$M151=1),0,IF(OFFSET(CRONOPLE!$F$14,$M151,BE$13)="",10^12,OFFSET(CRONOPLE!$F$14,$M151,BE$13))))</f>
        <v>1000000000000</v>
      </c>
      <c r="BF151" s="215">
        <f ca="1">IF($D151&lt;&gt;"Serviço",0,IF(AND(AUTOEVENTO="Manual",$M151=1),0,IF(OFFSET(CRONOPLE!$F$14,$M151,BF$13)="",10^12,OFFSET(CRONOPLE!$F$14,$M151,BF$13))))</f>
        <v>1000000000000</v>
      </c>
      <c r="BG151" s="215">
        <f ca="1">IF($D151&lt;&gt;"Serviço",0,IF(AND(AUTOEVENTO="Manual",$M151=1),0,IF(OFFSET(CRONOPLE!$F$14,$M151,BG$13)="",10^12,OFFSET(CRONOPLE!$F$14,$M151,BG$13))))</f>
        <v>1000000000000</v>
      </c>
      <c r="BH151" s="215">
        <f ca="1">IF($D151&lt;&gt;"Serviço",0,IF(AND(AUTOEVENTO="Manual",$M151=1),0,IF(OFFSET(CRONOPLE!$F$14,$M151,BH$13)="",10^12,OFFSET(CRONOPLE!$F$14,$M151,BH$13))))</f>
        <v>1000000000000</v>
      </c>
      <c r="BI151" s="215">
        <f ca="1">IF($D151&lt;&gt;"Serviço",0,IF(AND(AUTOEVENTO="Manual",$M151=1),0,IF(OFFSET(CRONOPLE!$F$14,$M151,BI$13)="",10^12,OFFSET(CRONOPLE!$F$14,$M151,BI$13))))</f>
        <v>1000000000000</v>
      </c>
      <c r="BJ151" s="215">
        <f ca="1">IF($D151&lt;&gt;"Serviço",0,IF(AND(AUTOEVENTO="Manual",$M151=1),0,IF(OFFSET(CRONOPLE!$F$14,$M151,BJ$13)="",10^12,OFFSET(CRONOPLE!$F$14,$M151,BJ$13))))</f>
        <v>1000000000000</v>
      </c>
      <c r="BK151" s="215">
        <f ca="1">IF($D151&lt;&gt;"Serviço",0,IF(AND(AUTOEVENTO="Manual",$M151=1),0,IF(OFFSET(CRONOPLE!$F$14,$M151,BK$13)="",10^12,OFFSET(CRONOPLE!$F$14,$M151,BK$13))))</f>
        <v>1000000000000</v>
      </c>
      <c r="BL151" s="215">
        <f ca="1">IF($D151&lt;&gt;"Serviço",0,IF(AND(AUTOEVENTO="Manual",$M151=1),0,IF(OFFSET(CRONOPLE!$F$14,$M151,BL$13)="",10^12,OFFSET(CRONOPLE!$F$14,$M151,BL$13))))</f>
        <v>1000000000000</v>
      </c>
      <c r="BM151" s="215">
        <f ca="1">IF($D151&lt;&gt;"Serviço",0,IF(AND(AUTOEVENTO="Manual",$M151=1),0,IF(OFFSET(CRONOPLE!$F$14,$M151,BM$13)="",10^12,OFFSET(CRONOPLE!$F$14,$M151,BM$13))))</f>
        <v>1000000000000</v>
      </c>
      <c r="BN151" s="215">
        <f ca="1">IF($D151&lt;&gt;"Serviço",0,IF(AND(AUTOEVENTO="Manual",$M151=1),0,IF(OFFSET(CRONOPLE!$F$14,$M151,BN$13)="",10^12,OFFSET(CRONOPLE!$F$14,$M151,BN$13))))</f>
        <v>1000000000000</v>
      </c>
      <c r="BO151" s="215">
        <f ca="1">IF($D151&lt;&gt;"Serviço",0,IF(AND(AUTOEVENTO="Manual",$M151=1),0,IF(OFFSET(CRONOPLE!$F$14,$M151,BO$13)="",10^12,OFFSET(CRONOPLE!$F$14,$M151,BO$13))))</f>
        <v>1000000000000</v>
      </c>
      <c r="BP151" s="215">
        <f ca="1">IF($D151&lt;&gt;"Serviço",0,IF(AND(AUTOEVENTO="Manual",$M151=1),0,IF(OFFSET(CRONOPLE!$F$14,$M151,BP$13)="",10^12,OFFSET(CRONOPLE!$F$14,$M151,BP$13))))</f>
        <v>1000000000000</v>
      </c>
      <c r="BQ151" s="215">
        <f ca="1">IF($D151&lt;&gt;"Serviço",0,IF(AND(AUTOEVENTO="Manual",$M151=1),0,IF(OFFSET(CRONOPLE!$F$14,$M151,BQ$13)="",10^12,OFFSET(CRONOPLE!$F$14,$M151,BQ$13))))</f>
        <v>1000000000000</v>
      </c>
      <c r="BR151" s="215">
        <f ca="1">IF($D151&lt;&gt;"Serviço",0,IF(AND(AUTOEVENTO="Manual",$M151=1),0,IF(OFFSET(CRONOPLE!$F$14,$M151,BR$13)="",10^12,OFFSET(CRONOPLE!$F$14,$M151,BR$13))))</f>
        <v>1000000000000</v>
      </c>
      <c r="BS151" s="215">
        <f ca="1">IF($D151&lt;&gt;"Serviço",0,IF(AND(AUTOEVENTO="Manual",$M151=1),0,IF(OFFSET(CRONOPLE!$F$14,$M151,BS$13)="",10^12,OFFSET(CRONOPLE!$F$14,$M151,BS$13))))</f>
        <v>1000000000000</v>
      </c>
      <c r="BT151" s="215">
        <f ca="1">IF($D151&lt;&gt;"Serviço",0,IF(AND(AUTOEVENTO="Manual",$M151=1),0,IF(OFFSET(CRONOPLE!$F$14,$M151,BT$13)="",10^12,OFFSET(CRONOPLE!$F$14,$M151,BT$13))))</f>
        <v>1000000000000</v>
      </c>
      <c r="BV151" s="216">
        <f ca="1">IF($D151&lt;&gt;"Serviço",0,IF(OR(AND(AUTOEVENTO="Manual",$M151=1),$M151&gt;(ROW(PLE.lastrow)-ROW(PLE.firstrow))),0,IF(OFFSET(PLE!$G$14,$M151,BV$13)="",10^12,OFFSET(PLE!$G$14,$M151,BV$13))))</f>
        <v>1000000000000</v>
      </c>
      <c r="BW151" s="216">
        <f ca="1">IF($D151&lt;&gt;"Serviço",0,IF(OR(AND(AUTOEVENTO="Manual",$M151=1),$M151&gt;(ROW(PLE.lastrow)-ROW(PLE.firstrow))),0,IF(OFFSET(PLE!$G$14,$M151,BW$13)="",10^12,OFFSET(PLE!$G$14,$M151,BW$13))))</f>
        <v>1000000000000</v>
      </c>
      <c r="BX151" s="216">
        <f ca="1">IF($D151&lt;&gt;"Serviço",0,IF(OR(AND(AUTOEVENTO="Manual",$M151=1),$M151&gt;(ROW(PLE.lastrow)-ROW(PLE.firstrow))),0,IF(OFFSET(PLE!$G$14,$M151,BX$13)="",10^12,OFFSET(PLE!$G$14,$M151,BX$13))))</f>
        <v>1000000000000</v>
      </c>
      <c r="BY151" s="216">
        <f ca="1">IF($D151&lt;&gt;"Serviço",0,IF(OR(AND(AUTOEVENTO="Manual",$M151=1),$M151&gt;(ROW(PLE.lastrow)-ROW(PLE.firstrow))),0,IF(OFFSET(PLE!$G$14,$M151,BY$13)="",10^12,OFFSET(PLE!$G$14,$M151,BY$13))))</f>
        <v>1000000000000</v>
      </c>
      <c r="BZ151" s="216">
        <f ca="1">IF($D151&lt;&gt;"Serviço",0,IF(OR(AND(AUTOEVENTO="Manual",$M151=1),$M151&gt;(ROW(PLE.lastrow)-ROW(PLE.firstrow))),0,IF(OFFSET(PLE!$G$14,$M151,BZ$13)="",10^12,OFFSET(PLE!$G$14,$M151,BZ$13))))</f>
        <v>1000000000000</v>
      </c>
      <c r="CA151" s="216">
        <f ca="1">IF($D151&lt;&gt;"Serviço",0,IF(OR(AND(AUTOEVENTO="Manual",$M151=1),$M151&gt;(ROW(PLE.lastrow)-ROW(PLE.firstrow))),0,IF(OFFSET(PLE!$G$14,$M151,CA$13)="",10^12,OFFSET(PLE!$G$14,$M151,CA$13))))</f>
        <v>1000000000000</v>
      </c>
      <c r="CB151" s="216">
        <f ca="1">IF($D151&lt;&gt;"Serviço",0,IF(OR(AND(AUTOEVENTO="Manual",$M151=1),$M151&gt;(ROW(PLE.lastrow)-ROW(PLE.firstrow))),0,IF(OFFSET(PLE!$G$14,$M151,CB$13)="",10^12,OFFSET(PLE!$G$14,$M151,CB$13))))</f>
        <v>1000000000000</v>
      </c>
      <c r="CC151" s="216">
        <f ca="1">IF($D151&lt;&gt;"Serviço",0,IF(OR(AND(AUTOEVENTO="Manual",$M151=1),$M151&gt;(ROW(PLE.lastrow)-ROW(PLE.firstrow))),0,IF(OFFSET(PLE!$G$14,$M151,CC$13)="",10^12,OFFSET(PLE!$G$14,$M151,CC$13))))</f>
        <v>1000000000000</v>
      </c>
      <c r="CD151" s="216">
        <f ca="1">IF($D151&lt;&gt;"Serviço",0,IF(OR(AND(AUTOEVENTO="Manual",$M151=1),$M151&gt;(ROW(PLE.lastrow)-ROW(PLE.firstrow))),0,IF(OFFSET(PLE!$G$14,$M151,CD$13)="",10^12,OFFSET(PLE!$G$14,$M151,CD$13))))</f>
        <v>1000000000000</v>
      </c>
      <c r="CE151" s="216">
        <f ca="1">IF($D151&lt;&gt;"Serviço",0,IF(OR(AND(AUTOEVENTO="Manual",$M151=1),$M151&gt;(ROW(PLE.lastrow)-ROW(PLE.firstrow))),0,IF(OFFSET(PLE!$G$14,$M151,CE$13)="",10^12,OFFSET(PLE!$G$14,$M151,CE$13))))</f>
        <v>1000000000000</v>
      </c>
      <c r="CF151" s="216">
        <f ca="1">IF($D151&lt;&gt;"Serviço",0,IF(OR(AND(AUTOEVENTO="Manual",$M151=1),$M151&gt;(ROW(PLE.lastrow)-ROW(PLE.firstrow))),0,IF(OFFSET(PLE!$G$14,$M151,CF$13)="",10^12,OFFSET(PLE!$G$14,$M151,CF$13))))</f>
        <v>1000000000000</v>
      </c>
      <c r="CG151" s="216">
        <f ca="1">IF($D151&lt;&gt;"Serviço",0,IF(OR(AND(AUTOEVENTO="Manual",$M151=1),$M151&gt;(ROW(PLE.lastrow)-ROW(PLE.firstrow))),0,IF(OFFSET(PLE!$G$14,$M151,CG$13)="",10^12,OFFSET(PLE!$G$14,$M151,CG$13))))</f>
        <v>1000000000000</v>
      </c>
      <c r="CH151" s="216">
        <f ca="1">IF($D151&lt;&gt;"Serviço",0,IF(OR(AND(AUTOEVENTO="Manual",$M151=1),$M151&gt;(ROW(PLE.lastrow)-ROW(PLE.firstrow))),0,IF(OFFSET(PLE!$G$14,$M151,CH$13)="",10^12,OFFSET(PLE!$G$14,$M151,CH$13))))</f>
        <v>1000000000000</v>
      </c>
      <c r="CI151" s="216">
        <f ca="1">IF($D151&lt;&gt;"Serviço",0,IF(OR(AND(AUTOEVENTO="Manual",$M151=1),$M151&gt;(ROW(PLE.lastrow)-ROW(PLE.firstrow))),0,IF(OFFSET(PLE!$G$14,$M151,CI$13)="",10^12,OFFSET(PLE!$G$14,$M151,CI$13))))</f>
        <v>1000000000000</v>
      </c>
      <c r="CJ151" s="216">
        <f ca="1">IF($D151&lt;&gt;"Serviço",0,IF(OR(AND(AUTOEVENTO="Manual",$M151=1),$M151&gt;(ROW(PLE.lastrow)-ROW(PLE.firstrow))),0,IF(OFFSET(PLE!$G$14,$M151,CJ$13)="",10^12,OFFSET(PLE!$G$14,$M151,CJ$13))))</f>
        <v>1000000000000</v>
      </c>
      <c r="CK151" s="216">
        <f ca="1">IF($D151&lt;&gt;"Serviço",0,IF(OR(AND(AUTOEVENTO="Manual",$M151=1),$M151&gt;(ROW(PLE.lastrow)-ROW(PLE.firstrow))),0,IF(OFFSET(PLE!$G$14,$M151,CK$13)="",10^12,OFFSET(PLE!$G$14,$M151,CK$13))))</f>
        <v>1000000000000</v>
      </c>
      <c r="CL151" s="216">
        <f ca="1">IF($D151&lt;&gt;"Serviço",0,IF(OR(AND(AUTOEVENTO="Manual",$M151=1),$M151&gt;(ROW(PLE.lastrow)-ROW(PLE.firstrow))),0,IF(OFFSET(PLE!$G$14,$M151,CL$13)="",10^12,OFFSET(PLE!$G$14,$M151,CL$13))))</f>
        <v>1000000000000</v>
      </c>
      <c r="CM151" s="216">
        <f ca="1">IF($D151&lt;&gt;"Serviço",0,IF(OR(AND(AUTOEVENTO="Manual",$M151=1),$M151&gt;(ROW(PLE.lastrow)-ROW(PLE.firstrow))),0,IF(OFFSET(PLE!$G$14,$M151,CM$13)="",10^12,OFFSET(PLE!$G$14,$M151,CM$13))))</f>
        <v>1000000000000</v>
      </c>
    </row>
    <row r="152" spans="1:91" ht="13.2" x14ac:dyDescent="0.25">
      <c r="A152" s="9">
        <f t="shared" ca="1" si="11"/>
        <v>0</v>
      </c>
      <c r="B152" s="9">
        <f ca="1">OFFSET(ORÇAMENTO!C$15,ROW(B152)-ROW(B$15),0)</f>
        <v>2</v>
      </c>
      <c r="C152" s="9" t="str">
        <f ca="1">OFFSET(ORÇAMENTO!L$15,ROW(C152)-ROW(C$15),0)</f>
        <v>F</v>
      </c>
      <c r="D152" s="145" t="str">
        <f ca="1">OFFSET(ORÇAMENTO!N$15,ROW(D152)-ROW(D$15),0)</f>
        <v>Nível 2</v>
      </c>
      <c r="E152" s="205" t="str">
        <f ca="1">OFFSET(ORÇAMENTO!O$15,ROW(E152)-ROW(E$15),0)</f>
        <v>1.5.</v>
      </c>
      <c r="F152" s="206" t="str">
        <f ca="1">OFFSET(ORÇAMENTO!R$15,ROW(F152)-ROW(F$15),0)</f>
        <v>SISTEMA DE VEDAÇÃO VERTICAL</v>
      </c>
      <c r="G152" s="207" t="str">
        <f ca="1">IF($D152&lt;&gt;"Serviço","",OFFSET(ORÇAMENTO!S$15,ROW(G152)-ROW(G$15),0))</f>
        <v/>
      </c>
      <c r="H152" s="151">
        <f ca="1">IF($D152&lt;&gt;"Serviço",0,IF(ACOMPANHAMENTO="BM",ROUND(OFFSET(ORÇAMENTO!AJ$15,ROW(H152)-ROW(H$15),0),15-13*ORÇAMENTO!$AF$7),SUMPRODUCT(($Q$12:$AI$12&lt;&gt;"")*ROUND($Q152:$AI152,15-13*ORÇAMENTO!$AF$7))))</f>
        <v>0</v>
      </c>
      <c r="I152" s="650"/>
      <c r="K152" s="208"/>
      <c r="L152" s="209" t="s">
        <v>257</v>
      </c>
      <c r="M152" s="210" t="str">
        <f ca="1">IF($D152&lt;&gt;"Serviço","",IF(AUTOEVENTO="manual",$A152,IF(ISERROR(MATCH($A152,$A$15:OFFSET($A152,-1,0),0)),MAX($M$15:OFFSET(M152,-1,0))+1,INDEX($M$15:OFFSET(M152,-1,0),MATCH($A152,$A$15:OFFSET($A152,-1,0),0)))))</f>
        <v/>
      </c>
      <c r="N152" s="211" t="str">
        <f ca="1">IF($D152&lt;&gt;"Serviço","",IF(AUTOEVENTO="Manual",IF($A152=0,"&lt;-- defina o número do agrupador",OFFSET(EVENTOS!$D$14,$A152,0)),OFFSET($F$15,$A152,0)))</f>
        <v/>
      </c>
      <c r="O152" s="212"/>
      <c r="Q152" s="212"/>
      <c r="R152" s="213"/>
      <c r="S152" s="213"/>
      <c r="T152" s="213"/>
      <c r="U152" s="213"/>
      <c r="V152" s="213"/>
      <c r="W152" s="213"/>
      <c r="X152" s="213"/>
      <c r="Y152" s="213"/>
      <c r="Z152" s="214"/>
      <c r="AA152" s="213"/>
      <c r="AB152" s="213"/>
      <c r="AC152" s="213"/>
      <c r="AD152" s="213"/>
      <c r="AE152" s="213"/>
      <c r="AF152" s="213"/>
      <c r="AG152" s="213"/>
      <c r="AH152" s="214"/>
      <c r="AJ152" s="631">
        <f ca="1">IF(AND($D152="Serviço",AJ$12&lt;&gt;0,$H152&gt;0,OR(AUTOEVENTO&lt;&gt;"manual",$M152&lt;&gt;1)),ROUND(OFFSET($P152,0,AJ$13),15-13*ORÇAMENTO!$AF$7)/$H152*OFFSET(ORÇAMENTO!$X$15,ROW(AJ152)-ROW(AJ$15),0),0)</f>
        <v>0</v>
      </c>
      <c r="AK152" s="632">
        <f ca="1">IF(AND($D152="Serviço",AK$12&lt;&gt;0,$H152&gt;0,OR(AUTOEVENTO&lt;&gt;"manual",$M152&lt;&gt;1)),ROUND(OFFSET($P152,0,AK$13),15-13*ORÇAMENTO!$AF$7)/$H152*OFFSET(ORÇAMENTO!$X$15,ROW(AK152)-ROW(AK$15),0),0)</f>
        <v>0</v>
      </c>
      <c r="AL152" s="632">
        <f ca="1">IF(AND($D152="Serviço",AL$12&lt;&gt;0,$H152&gt;0,OR(AUTOEVENTO&lt;&gt;"manual",$M152&lt;&gt;1)),ROUND(OFFSET($P152,0,AL$13),15-13*ORÇAMENTO!$AF$7)/$H152*OFFSET(ORÇAMENTO!$X$15,ROW(AL152)-ROW(AL$15),0),0)</f>
        <v>0</v>
      </c>
      <c r="AM152" s="632">
        <f ca="1">IF(AND($D152="Serviço",AM$12&lt;&gt;0,$H152&gt;0,OR(AUTOEVENTO&lt;&gt;"manual",$M152&lt;&gt;1)),ROUND(OFFSET($P152,0,AM$13),15-13*ORÇAMENTO!$AF$7)/$H152*OFFSET(ORÇAMENTO!$X$15,ROW(AM152)-ROW(AM$15),0),0)</f>
        <v>0</v>
      </c>
      <c r="AN152" s="632">
        <f ca="1">IF(AND($D152="Serviço",AN$12&lt;&gt;0,$H152&gt;0,OR(AUTOEVENTO&lt;&gt;"manual",$M152&lt;&gt;1)),ROUND(OFFSET($P152,0,AN$13),15-13*ORÇAMENTO!$AF$7)/$H152*OFFSET(ORÇAMENTO!$X$15,ROW(AN152)-ROW(AN$15),0),0)</f>
        <v>0</v>
      </c>
      <c r="AO152" s="632">
        <f ca="1">IF(AND($D152="Serviço",AO$12&lt;&gt;0,$H152&gt;0,OR(AUTOEVENTO&lt;&gt;"manual",$M152&lt;&gt;1)),ROUND(OFFSET($P152,0,AO$13),15-13*ORÇAMENTO!$AF$7)/$H152*OFFSET(ORÇAMENTO!$X$15,ROW(AO152)-ROW(AO$15),0),0)</f>
        <v>0</v>
      </c>
      <c r="AP152" s="632">
        <f ca="1">IF(AND($D152="Serviço",AP$12&lt;&gt;0,$H152&gt;0,OR(AUTOEVENTO&lt;&gt;"manual",$M152&lt;&gt;1)),ROUND(OFFSET($P152,0,AP$13),15-13*ORÇAMENTO!$AF$7)/$H152*OFFSET(ORÇAMENTO!$X$15,ROW(AP152)-ROW(AP$15),0),0)</f>
        <v>0</v>
      </c>
      <c r="AQ152" s="632">
        <f ca="1">IF(AND($D152="Serviço",AQ$12&lt;&gt;0,$H152&gt;0,OR(AUTOEVENTO&lt;&gt;"manual",$M152&lt;&gt;1)),ROUND(OFFSET($P152,0,AQ$13),15-13*ORÇAMENTO!$AF$7)/$H152*OFFSET(ORÇAMENTO!$X$15,ROW(AQ152)-ROW(AQ$15),0),0)</f>
        <v>0</v>
      </c>
      <c r="AR152" s="632">
        <f ca="1">IF(AND($D152="Serviço",AR$12&lt;&gt;0,$H152&gt;0,OR(AUTOEVENTO&lt;&gt;"manual",$M152&lt;&gt;1)),ROUND(OFFSET($P152,0,AR$13),15-13*ORÇAMENTO!$AF$7)/$H152*OFFSET(ORÇAMENTO!$X$15,ROW(AR152)-ROW(AR$15),0),0)</f>
        <v>0</v>
      </c>
      <c r="AS152" s="633">
        <f ca="1">IF(AND($D152="Serviço",AS$12&lt;&gt;0,$H152&gt;0,OR(AUTOEVENTO&lt;&gt;"manual",$M152&lt;&gt;1)),ROUND(OFFSET($P152,0,AS$13),15-13*ORÇAMENTO!$AF$7)/$H152*OFFSET(ORÇAMENTO!$X$15,ROW(AS152)-ROW(AS$15),0),0)</f>
        <v>0</v>
      </c>
      <c r="AT152" s="632">
        <f ca="1">IF(AND($D152="Serviço",AT$12&lt;&gt;0,$H152&gt;0,OR(AUTOEVENTO&lt;&gt;"manual",$M152&lt;&gt;1)),ROUND(OFFSET($P152,0,AT$13),15-13*ORÇAMENTO!$AF$7)/$H152*OFFSET(ORÇAMENTO!$X$15,ROW(AT152)-ROW(AT$15),0),0)</f>
        <v>0</v>
      </c>
      <c r="AU152" s="632">
        <f ca="1">IF(AND($D152="Serviço",AU$12&lt;&gt;0,$H152&gt;0,OR(AUTOEVENTO&lt;&gt;"manual",$M152&lt;&gt;1)),ROUND(OFFSET($P152,0,AU$13),15-13*ORÇAMENTO!$AF$7)/$H152*OFFSET(ORÇAMENTO!$X$15,ROW(AU152)-ROW(AU$15),0),0)</f>
        <v>0</v>
      </c>
      <c r="AV152" s="632">
        <f ca="1">IF(AND($D152="Serviço",AV$12&lt;&gt;0,$H152&gt;0,OR(AUTOEVENTO&lt;&gt;"manual",$M152&lt;&gt;1)),ROUND(OFFSET($P152,0,AV$13),15-13*ORÇAMENTO!$AF$7)/$H152*OFFSET(ORÇAMENTO!$X$15,ROW(AV152)-ROW(AV$15),0),0)</f>
        <v>0</v>
      </c>
      <c r="AW152" s="632">
        <f ca="1">IF(AND($D152="Serviço",AW$12&lt;&gt;0,$H152&gt;0,OR(AUTOEVENTO&lt;&gt;"manual",$M152&lt;&gt;1)),ROUND(OFFSET($P152,0,AW$13),15-13*ORÇAMENTO!$AF$7)/$H152*OFFSET(ORÇAMENTO!$X$15,ROW(AW152)-ROW(AW$15),0),0)</f>
        <v>0</v>
      </c>
      <c r="AX152" s="632">
        <f ca="1">IF(AND($D152="Serviço",AX$12&lt;&gt;0,$H152&gt;0,OR(AUTOEVENTO&lt;&gt;"manual",$M152&lt;&gt;1)),ROUND(OFFSET($P152,0,AX$13),15-13*ORÇAMENTO!$AF$7)/$H152*OFFSET(ORÇAMENTO!$X$15,ROW(AX152)-ROW(AX$15),0),0)</f>
        <v>0</v>
      </c>
      <c r="AY152" s="632">
        <f ca="1">IF(AND($D152="Serviço",AY$12&lt;&gt;0,$H152&gt;0,OR(AUTOEVENTO&lt;&gt;"manual",$M152&lt;&gt;1)),ROUND(OFFSET($P152,0,AY$13),15-13*ORÇAMENTO!$AF$7)/$H152*OFFSET(ORÇAMENTO!$X$15,ROW(AY152)-ROW(AY$15),0),0)</f>
        <v>0</v>
      </c>
      <c r="AZ152" s="632">
        <f ca="1">IF(AND($D152="Serviço",AZ$12&lt;&gt;0,$H152&gt;0,OR(AUTOEVENTO&lt;&gt;"manual",$M152&lt;&gt;1)),ROUND(OFFSET($P152,0,AZ$13),15-13*ORÇAMENTO!$AF$7)/$H152*OFFSET(ORÇAMENTO!$X$15,ROW(AZ152)-ROW(AZ$15),0),0)</f>
        <v>0</v>
      </c>
      <c r="BA152" s="633">
        <f ca="1">IF(AND($D152="Serviço",BA$12&lt;&gt;0,$H152&gt;0,OR(AUTOEVENTO&lt;&gt;"manual",$M152&lt;&gt;1)),ROUND(OFFSET($P152,0,BA$13),15-13*ORÇAMENTO!$AF$7)/$H152*OFFSET(ORÇAMENTO!$X$15,ROW(BA152)-ROW(BA$15),0),0)</f>
        <v>0</v>
      </c>
      <c r="BC152" s="215">
        <f ca="1">IF($D152&lt;&gt;"Serviço",0,IF(AND(AUTOEVENTO="Manual",$M152=1),0,IF(OFFSET(CRONOPLE!$F$14,$M152,BC$13)="",10^12,OFFSET(CRONOPLE!$F$14,$M152,BC$13))))</f>
        <v>0</v>
      </c>
      <c r="BD152" s="215">
        <f ca="1">IF($D152&lt;&gt;"Serviço",0,IF(AND(AUTOEVENTO="Manual",$M152=1),0,IF(OFFSET(CRONOPLE!$F$14,$M152,BD$13)="",10^12,OFFSET(CRONOPLE!$F$14,$M152,BD$13))))</f>
        <v>0</v>
      </c>
      <c r="BE152" s="215">
        <f ca="1">IF($D152&lt;&gt;"Serviço",0,IF(AND(AUTOEVENTO="Manual",$M152=1),0,IF(OFFSET(CRONOPLE!$F$14,$M152,BE$13)="",10^12,OFFSET(CRONOPLE!$F$14,$M152,BE$13))))</f>
        <v>0</v>
      </c>
      <c r="BF152" s="215">
        <f ca="1">IF($D152&lt;&gt;"Serviço",0,IF(AND(AUTOEVENTO="Manual",$M152=1),0,IF(OFFSET(CRONOPLE!$F$14,$M152,BF$13)="",10^12,OFFSET(CRONOPLE!$F$14,$M152,BF$13))))</f>
        <v>0</v>
      </c>
      <c r="BG152" s="215">
        <f ca="1">IF($D152&lt;&gt;"Serviço",0,IF(AND(AUTOEVENTO="Manual",$M152=1),0,IF(OFFSET(CRONOPLE!$F$14,$M152,BG$13)="",10^12,OFFSET(CRONOPLE!$F$14,$M152,BG$13))))</f>
        <v>0</v>
      </c>
      <c r="BH152" s="215">
        <f ca="1">IF($D152&lt;&gt;"Serviço",0,IF(AND(AUTOEVENTO="Manual",$M152=1),0,IF(OFFSET(CRONOPLE!$F$14,$M152,BH$13)="",10^12,OFFSET(CRONOPLE!$F$14,$M152,BH$13))))</f>
        <v>0</v>
      </c>
      <c r="BI152" s="215">
        <f ca="1">IF($D152&lt;&gt;"Serviço",0,IF(AND(AUTOEVENTO="Manual",$M152=1),0,IF(OFFSET(CRONOPLE!$F$14,$M152,BI$13)="",10^12,OFFSET(CRONOPLE!$F$14,$M152,BI$13))))</f>
        <v>0</v>
      </c>
      <c r="BJ152" s="215">
        <f ca="1">IF($D152&lt;&gt;"Serviço",0,IF(AND(AUTOEVENTO="Manual",$M152=1),0,IF(OFFSET(CRONOPLE!$F$14,$M152,BJ$13)="",10^12,OFFSET(CRONOPLE!$F$14,$M152,BJ$13))))</f>
        <v>0</v>
      </c>
      <c r="BK152" s="215">
        <f ca="1">IF($D152&lt;&gt;"Serviço",0,IF(AND(AUTOEVENTO="Manual",$M152=1),0,IF(OFFSET(CRONOPLE!$F$14,$M152,BK$13)="",10^12,OFFSET(CRONOPLE!$F$14,$M152,BK$13))))</f>
        <v>0</v>
      </c>
      <c r="BL152" s="215">
        <f ca="1">IF($D152&lt;&gt;"Serviço",0,IF(AND(AUTOEVENTO="Manual",$M152=1),0,IF(OFFSET(CRONOPLE!$F$14,$M152,BL$13)="",10^12,OFFSET(CRONOPLE!$F$14,$M152,BL$13))))</f>
        <v>0</v>
      </c>
      <c r="BM152" s="215">
        <f ca="1">IF($D152&lt;&gt;"Serviço",0,IF(AND(AUTOEVENTO="Manual",$M152=1),0,IF(OFFSET(CRONOPLE!$F$14,$M152,BM$13)="",10^12,OFFSET(CRONOPLE!$F$14,$M152,BM$13))))</f>
        <v>0</v>
      </c>
      <c r="BN152" s="215">
        <f ca="1">IF($D152&lt;&gt;"Serviço",0,IF(AND(AUTOEVENTO="Manual",$M152=1),0,IF(OFFSET(CRONOPLE!$F$14,$M152,BN$13)="",10^12,OFFSET(CRONOPLE!$F$14,$M152,BN$13))))</f>
        <v>0</v>
      </c>
      <c r="BO152" s="215">
        <f ca="1">IF($D152&lt;&gt;"Serviço",0,IF(AND(AUTOEVENTO="Manual",$M152=1),0,IF(OFFSET(CRONOPLE!$F$14,$M152,BO$13)="",10^12,OFFSET(CRONOPLE!$F$14,$M152,BO$13))))</f>
        <v>0</v>
      </c>
      <c r="BP152" s="215">
        <f ca="1">IF($D152&lt;&gt;"Serviço",0,IF(AND(AUTOEVENTO="Manual",$M152=1),0,IF(OFFSET(CRONOPLE!$F$14,$M152,BP$13)="",10^12,OFFSET(CRONOPLE!$F$14,$M152,BP$13))))</f>
        <v>0</v>
      </c>
      <c r="BQ152" s="215">
        <f ca="1">IF($D152&lt;&gt;"Serviço",0,IF(AND(AUTOEVENTO="Manual",$M152=1),0,IF(OFFSET(CRONOPLE!$F$14,$M152,BQ$13)="",10^12,OFFSET(CRONOPLE!$F$14,$M152,BQ$13))))</f>
        <v>0</v>
      </c>
      <c r="BR152" s="215">
        <f ca="1">IF($D152&lt;&gt;"Serviço",0,IF(AND(AUTOEVENTO="Manual",$M152=1),0,IF(OFFSET(CRONOPLE!$F$14,$M152,BR$13)="",10^12,OFFSET(CRONOPLE!$F$14,$M152,BR$13))))</f>
        <v>0</v>
      </c>
      <c r="BS152" s="215">
        <f ca="1">IF($D152&lt;&gt;"Serviço",0,IF(AND(AUTOEVENTO="Manual",$M152=1),0,IF(OFFSET(CRONOPLE!$F$14,$M152,BS$13)="",10^12,OFFSET(CRONOPLE!$F$14,$M152,BS$13))))</f>
        <v>0</v>
      </c>
      <c r="BT152" s="215">
        <f ca="1">IF($D152&lt;&gt;"Serviço",0,IF(AND(AUTOEVENTO="Manual",$M152=1),0,IF(OFFSET(CRONOPLE!$F$14,$M152,BT$13)="",10^12,OFFSET(CRONOPLE!$F$14,$M152,BT$13))))</f>
        <v>0</v>
      </c>
      <c r="BV152" s="216">
        <f ca="1">IF($D152&lt;&gt;"Serviço",0,IF(OR(AND(AUTOEVENTO="Manual",$M152=1),$M152&gt;(ROW(PLE.lastrow)-ROW(PLE.firstrow))),0,IF(OFFSET(PLE!$G$14,$M152,BV$13)="",10^12,OFFSET(PLE!$G$14,$M152,BV$13))))</f>
        <v>0</v>
      </c>
      <c r="BW152" s="216">
        <f ca="1">IF($D152&lt;&gt;"Serviço",0,IF(OR(AND(AUTOEVENTO="Manual",$M152=1),$M152&gt;(ROW(PLE.lastrow)-ROW(PLE.firstrow))),0,IF(OFFSET(PLE!$G$14,$M152,BW$13)="",10^12,OFFSET(PLE!$G$14,$M152,BW$13))))</f>
        <v>0</v>
      </c>
      <c r="BX152" s="216">
        <f ca="1">IF($D152&lt;&gt;"Serviço",0,IF(OR(AND(AUTOEVENTO="Manual",$M152=1),$M152&gt;(ROW(PLE.lastrow)-ROW(PLE.firstrow))),0,IF(OFFSET(PLE!$G$14,$M152,BX$13)="",10^12,OFFSET(PLE!$G$14,$M152,BX$13))))</f>
        <v>0</v>
      </c>
      <c r="BY152" s="216">
        <f ca="1">IF($D152&lt;&gt;"Serviço",0,IF(OR(AND(AUTOEVENTO="Manual",$M152=1),$M152&gt;(ROW(PLE.lastrow)-ROW(PLE.firstrow))),0,IF(OFFSET(PLE!$G$14,$M152,BY$13)="",10^12,OFFSET(PLE!$G$14,$M152,BY$13))))</f>
        <v>0</v>
      </c>
      <c r="BZ152" s="216">
        <f ca="1">IF($D152&lt;&gt;"Serviço",0,IF(OR(AND(AUTOEVENTO="Manual",$M152=1),$M152&gt;(ROW(PLE.lastrow)-ROW(PLE.firstrow))),0,IF(OFFSET(PLE!$G$14,$M152,BZ$13)="",10^12,OFFSET(PLE!$G$14,$M152,BZ$13))))</f>
        <v>0</v>
      </c>
      <c r="CA152" s="216">
        <f ca="1">IF($D152&lt;&gt;"Serviço",0,IF(OR(AND(AUTOEVENTO="Manual",$M152=1),$M152&gt;(ROW(PLE.lastrow)-ROW(PLE.firstrow))),0,IF(OFFSET(PLE!$G$14,$M152,CA$13)="",10^12,OFFSET(PLE!$G$14,$M152,CA$13))))</f>
        <v>0</v>
      </c>
      <c r="CB152" s="216">
        <f ca="1">IF($D152&lt;&gt;"Serviço",0,IF(OR(AND(AUTOEVENTO="Manual",$M152=1),$M152&gt;(ROW(PLE.lastrow)-ROW(PLE.firstrow))),0,IF(OFFSET(PLE!$G$14,$M152,CB$13)="",10^12,OFFSET(PLE!$G$14,$M152,CB$13))))</f>
        <v>0</v>
      </c>
      <c r="CC152" s="216">
        <f ca="1">IF($D152&lt;&gt;"Serviço",0,IF(OR(AND(AUTOEVENTO="Manual",$M152=1),$M152&gt;(ROW(PLE.lastrow)-ROW(PLE.firstrow))),0,IF(OFFSET(PLE!$G$14,$M152,CC$13)="",10^12,OFFSET(PLE!$G$14,$M152,CC$13))))</f>
        <v>0</v>
      </c>
      <c r="CD152" s="216">
        <f ca="1">IF($D152&lt;&gt;"Serviço",0,IF(OR(AND(AUTOEVENTO="Manual",$M152=1),$M152&gt;(ROW(PLE.lastrow)-ROW(PLE.firstrow))),0,IF(OFFSET(PLE!$G$14,$M152,CD$13)="",10^12,OFFSET(PLE!$G$14,$M152,CD$13))))</f>
        <v>0</v>
      </c>
      <c r="CE152" s="216">
        <f ca="1">IF($D152&lt;&gt;"Serviço",0,IF(OR(AND(AUTOEVENTO="Manual",$M152=1),$M152&gt;(ROW(PLE.lastrow)-ROW(PLE.firstrow))),0,IF(OFFSET(PLE!$G$14,$M152,CE$13)="",10^12,OFFSET(PLE!$G$14,$M152,CE$13))))</f>
        <v>0</v>
      </c>
      <c r="CF152" s="216">
        <f ca="1">IF($D152&lt;&gt;"Serviço",0,IF(OR(AND(AUTOEVENTO="Manual",$M152=1),$M152&gt;(ROW(PLE.lastrow)-ROW(PLE.firstrow))),0,IF(OFFSET(PLE!$G$14,$M152,CF$13)="",10^12,OFFSET(PLE!$G$14,$M152,CF$13))))</f>
        <v>0</v>
      </c>
      <c r="CG152" s="216">
        <f ca="1">IF($D152&lt;&gt;"Serviço",0,IF(OR(AND(AUTOEVENTO="Manual",$M152=1),$M152&gt;(ROW(PLE.lastrow)-ROW(PLE.firstrow))),0,IF(OFFSET(PLE!$G$14,$M152,CG$13)="",10^12,OFFSET(PLE!$G$14,$M152,CG$13))))</f>
        <v>0</v>
      </c>
      <c r="CH152" s="216">
        <f ca="1">IF($D152&lt;&gt;"Serviço",0,IF(OR(AND(AUTOEVENTO="Manual",$M152=1),$M152&gt;(ROW(PLE.lastrow)-ROW(PLE.firstrow))),0,IF(OFFSET(PLE!$G$14,$M152,CH$13)="",10^12,OFFSET(PLE!$G$14,$M152,CH$13))))</f>
        <v>0</v>
      </c>
      <c r="CI152" s="216">
        <f ca="1">IF($D152&lt;&gt;"Serviço",0,IF(OR(AND(AUTOEVENTO="Manual",$M152=1),$M152&gt;(ROW(PLE.lastrow)-ROW(PLE.firstrow))),0,IF(OFFSET(PLE!$G$14,$M152,CI$13)="",10^12,OFFSET(PLE!$G$14,$M152,CI$13))))</f>
        <v>0</v>
      </c>
      <c r="CJ152" s="216">
        <f ca="1">IF($D152&lt;&gt;"Serviço",0,IF(OR(AND(AUTOEVENTO="Manual",$M152=1),$M152&gt;(ROW(PLE.lastrow)-ROW(PLE.firstrow))),0,IF(OFFSET(PLE!$G$14,$M152,CJ$13)="",10^12,OFFSET(PLE!$G$14,$M152,CJ$13))))</f>
        <v>0</v>
      </c>
      <c r="CK152" s="216">
        <f ca="1">IF($D152&lt;&gt;"Serviço",0,IF(OR(AND(AUTOEVENTO="Manual",$M152=1),$M152&gt;(ROW(PLE.lastrow)-ROW(PLE.firstrow))),0,IF(OFFSET(PLE!$G$14,$M152,CK$13)="",10^12,OFFSET(PLE!$G$14,$M152,CK$13))))</f>
        <v>0</v>
      </c>
      <c r="CL152" s="216">
        <f ca="1">IF($D152&lt;&gt;"Serviço",0,IF(OR(AND(AUTOEVENTO="Manual",$M152=1),$M152&gt;(ROW(PLE.lastrow)-ROW(PLE.firstrow))),0,IF(OFFSET(PLE!$G$14,$M152,CL$13)="",10^12,OFFSET(PLE!$G$14,$M152,CL$13))))</f>
        <v>0</v>
      </c>
      <c r="CM152" s="216">
        <f ca="1">IF($D152&lt;&gt;"Serviço",0,IF(OR(AND(AUTOEVENTO="Manual",$M152=1),$M152&gt;(ROW(PLE.lastrow)-ROW(PLE.firstrow))),0,IF(OFFSET(PLE!$G$14,$M152,CM$13)="",10^12,OFFSET(PLE!$G$14,$M152,CM$13))))</f>
        <v>0</v>
      </c>
    </row>
    <row r="153" spans="1:91" ht="13.2" x14ac:dyDescent="0.25">
      <c r="A153" s="9">
        <f t="shared" ca="1" si="11"/>
        <v>0</v>
      </c>
      <c r="B153" s="9">
        <f ca="1">OFFSET(ORÇAMENTO!C$15,ROW(B153)-ROW(B$15),0)</f>
        <v>3</v>
      </c>
      <c r="C153" s="9" t="str">
        <f ca="1">OFFSET(ORÇAMENTO!L$15,ROW(C153)-ROW(C$15),0)</f>
        <v>F</v>
      </c>
      <c r="D153" s="145" t="str">
        <f ca="1">OFFSET(ORÇAMENTO!N$15,ROW(D153)-ROW(D$15),0)</f>
        <v>Nível 3</v>
      </c>
      <c r="E153" s="205" t="str">
        <f ca="1">OFFSET(ORÇAMENTO!O$15,ROW(E153)-ROW(E$15),0)</f>
        <v>1.5.1.</v>
      </c>
      <c r="F153" s="206" t="str">
        <f ca="1">OFFSET(ORÇAMENTO!R$15,ROW(F153)-ROW(F$15),0)</f>
        <v>ELEMENTOS VAZADOS</v>
      </c>
      <c r="G153" s="207" t="str">
        <f ca="1">IF($D153&lt;&gt;"Serviço","",OFFSET(ORÇAMENTO!S$15,ROW(G153)-ROW(G$15),0))</f>
        <v/>
      </c>
      <c r="H153" s="151">
        <f ca="1">IF($D153&lt;&gt;"Serviço",0,IF(ACOMPANHAMENTO="BM",ROUND(OFFSET(ORÇAMENTO!AJ$15,ROW(H153)-ROW(H$15),0),15-13*ORÇAMENTO!$AF$7),SUMPRODUCT(($Q$12:$AI$12&lt;&gt;"")*ROUND($Q153:$AI153,15-13*ORÇAMENTO!$AF$7))))</f>
        <v>0</v>
      </c>
      <c r="I153" s="650"/>
      <c r="K153" s="208"/>
      <c r="L153" s="209" t="s">
        <v>257</v>
      </c>
      <c r="M153" s="210" t="str">
        <f ca="1">IF($D153&lt;&gt;"Serviço","",IF(AUTOEVENTO="manual",$A153,IF(ISERROR(MATCH($A153,$A$15:OFFSET($A153,-1,0),0)),MAX($M$15:OFFSET(M153,-1,0))+1,INDEX($M$15:OFFSET(M153,-1,0),MATCH($A153,$A$15:OFFSET($A153,-1,0),0)))))</f>
        <v/>
      </c>
      <c r="N153" s="211" t="str">
        <f ca="1">IF($D153&lt;&gt;"Serviço","",IF(AUTOEVENTO="Manual",IF($A153=0,"&lt;-- defina o número do agrupador",OFFSET(EVENTOS!$D$14,$A153,0)),OFFSET($F$15,$A153,0)))</f>
        <v/>
      </c>
      <c r="O153" s="212"/>
      <c r="Q153" s="212"/>
      <c r="R153" s="213"/>
      <c r="S153" s="213"/>
      <c r="T153" s="213"/>
      <c r="U153" s="213"/>
      <c r="V153" s="213"/>
      <c r="W153" s="213"/>
      <c r="X153" s="213"/>
      <c r="Y153" s="213"/>
      <c r="Z153" s="214"/>
      <c r="AA153" s="213"/>
      <c r="AB153" s="213"/>
      <c r="AC153" s="213"/>
      <c r="AD153" s="213"/>
      <c r="AE153" s="213"/>
      <c r="AF153" s="213"/>
      <c r="AG153" s="213"/>
      <c r="AH153" s="214"/>
      <c r="AJ153" s="631">
        <f ca="1">IF(AND($D153="Serviço",AJ$12&lt;&gt;0,$H153&gt;0,OR(AUTOEVENTO&lt;&gt;"manual",$M153&lt;&gt;1)),ROUND(OFFSET($P153,0,AJ$13),15-13*ORÇAMENTO!$AF$7)/$H153*OFFSET(ORÇAMENTO!$X$15,ROW(AJ153)-ROW(AJ$15),0),0)</f>
        <v>0</v>
      </c>
      <c r="AK153" s="632">
        <f ca="1">IF(AND($D153="Serviço",AK$12&lt;&gt;0,$H153&gt;0,OR(AUTOEVENTO&lt;&gt;"manual",$M153&lt;&gt;1)),ROUND(OFFSET($P153,0,AK$13),15-13*ORÇAMENTO!$AF$7)/$H153*OFFSET(ORÇAMENTO!$X$15,ROW(AK153)-ROW(AK$15),0),0)</f>
        <v>0</v>
      </c>
      <c r="AL153" s="632">
        <f ca="1">IF(AND($D153="Serviço",AL$12&lt;&gt;0,$H153&gt;0,OR(AUTOEVENTO&lt;&gt;"manual",$M153&lt;&gt;1)),ROUND(OFFSET($P153,0,AL$13),15-13*ORÇAMENTO!$AF$7)/$H153*OFFSET(ORÇAMENTO!$X$15,ROW(AL153)-ROW(AL$15),0),0)</f>
        <v>0</v>
      </c>
      <c r="AM153" s="632">
        <f ca="1">IF(AND($D153="Serviço",AM$12&lt;&gt;0,$H153&gt;0,OR(AUTOEVENTO&lt;&gt;"manual",$M153&lt;&gt;1)),ROUND(OFFSET($P153,0,AM$13),15-13*ORÇAMENTO!$AF$7)/$H153*OFFSET(ORÇAMENTO!$X$15,ROW(AM153)-ROW(AM$15),0),0)</f>
        <v>0</v>
      </c>
      <c r="AN153" s="632">
        <f ca="1">IF(AND($D153="Serviço",AN$12&lt;&gt;0,$H153&gt;0,OR(AUTOEVENTO&lt;&gt;"manual",$M153&lt;&gt;1)),ROUND(OFFSET($P153,0,AN$13),15-13*ORÇAMENTO!$AF$7)/$H153*OFFSET(ORÇAMENTO!$X$15,ROW(AN153)-ROW(AN$15),0),0)</f>
        <v>0</v>
      </c>
      <c r="AO153" s="632">
        <f ca="1">IF(AND($D153="Serviço",AO$12&lt;&gt;0,$H153&gt;0,OR(AUTOEVENTO&lt;&gt;"manual",$M153&lt;&gt;1)),ROUND(OFFSET($P153,0,AO$13),15-13*ORÇAMENTO!$AF$7)/$H153*OFFSET(ORÇAMENTO!$X$15,ROW(AO153)-ROW(AO$15),0),0)</f>
        <v>0</v>
      </c>
      <c r="AP153" s="632">
        <f ca="1">IF(AND($D153="Serviço",AP$12&lt;&gt;0,$H153&gt;0,OR(AUTOEVENTO&lt;&gt;"manual",$M153&lt;&gt;1)),ROUND(OFFSET($P153,0,AP$13),15-13*ORÇAMENTO!$AF$7)/$H153*OFFSET(ORÇAMENTO!$X$15,ROW(AP153)-ROW(AP$15),0),0)</f>
        <v>0</v>
      </c>
      <c r="AQ153" s="632">
        <f ca="1">IF(AND($D153="Serviço",AQ$12&lt;&gt;0,$H153&gt;0,OR(AUTOEVENTO&lt;&gt;"manual",$M153&lt;&gt;1)),ROUND(OFFSET($P153,0,AQ$13),15-13*ORÇAMENTO!$AF$7)/$H153*OFFSET(ORÇAMENTO!$X$15,ROW(AQ153)-ROW(AQ$15),0),0)</f>
        <v>0</v>
      </c>
      <c r="AR153" s="632">
        <f ca="1">IF(AND($D153="Serviço",AR$12&lt;&gt;0,$H153&gt;0,OR(AUTOEVENTO&lt;&gt;"manual",$M153&lt;&gt;1)),ROUND(OFFSET($P153,0,AR$13),15-13*ORÇAMENTO!$AF$7)/$H153*OFFSET(ORÇAMENTO!$X$15,ROW(AR153)-ROW(AR$15),0),0)</f>
        <v>0</v>
      </c>
      <c r="AS153" s="633">
        <f ca="1">IF(AND($D153="Serviço",AS$12&lt;&gt;0,$H153&gt;0,OR(AUTOEVENTO&lt;&gt;"manual",$M153&lt;&gt;1)),ROUND(OFFSET($P153,0,AS$13),15-13*ORÇAMENTO!$AF$7)/$H153*OFFSET(ORÇAMENTO!$X$15,ROW(AS153)-ROW(AS$15),0),0)</f>
        <v>0</v>
      </c>
      <c r="AT153" s="632">
        <f ca="1">IF(AND($D153="Serviço",AT$12&lt;&gt;0,$H153&gt;0,OR(AUTOEVENTO&lt;&gt;"manual",$M153&lt;&gt;1)),ROUND(OFFSET($P153,0,AT$13),15-13*ORÇAMENTO!$AF$7)/$H153*OFFSET(ORÇAMENTO!$X$15,ROW(AT153)-ROW(AT$15),0),0)</f>
        <v>0</v>
      </c>
      <c r="AU153" s="632">
        <f ca="1">IF(AND($D153="Serviço",AU$12&lt;&gt;0,$H153&gt;0,OR(AUTOEVENTO&lt;&gt;"manual",$M153&lt;&gt;1)),ROUND(OFFSET($P153,0,AU$13),15-13*ORÇAMENTO!$AF$7)/$H153*OFFSET(ORÇAMENTO!$X$15,ROW(AU153)-ROW(AU$15),0),0)</f>
        <v>0</v>
      </c>
      <c r="AV153" s="632">
        <f ca="1">IF(AND($D153="Serviço",AV$12&lt;&gt;0,$H153&gt;0,OR(AUTOEVENTO&lt;&gt;"manual",$M153&lt;&gt;1)),ROUND(OFFSET($P153,0,AV$13),15-13*ORÇAMENTO!$AF$7)/$H153*OFFSET(ORÇAMENTO!$X$15,ROW(AV153)-ROW(AV$15),0),0)</f>
        <v>0</v>
      </c>
      <c r="AW153" s="632">
        <f ca="1">IF(AND($D153="Serviço",AW$12&lt;&gt;0,$H153&gt;0,OR(AUTOEVENTO&lt;&gt;"manual",$M153&lt;&gt;1)),ROUND(OFFSET($P153,0,AW$13),15-13*ORÇAMENTO!$AF$7)/$H153*OFFSET(ORÇAMENTO!$X$15,ROW(AW153)-ROW(AW$15),0),0)</f>
        <v>0</v>
      </c>
      <c r="AX153" s="632">
        <f ca="1">IF(AND($D153="Serviço",AX$12&lt;&gt;0,$H153&gt;0,OR(AUTOEVENTO&lt;&gt;"manual",$M153&lt;&gt;1)),ROUND(OFFSET($P153,0,AX$13),15-13*ORÇAMENTO!$AF$7)/$H153*OFFSET(ORÇAMENTO!$X$15,ROW(AX153)-ROW(AX$15),0),0)</f>
        <v>0</v>
      </c>
      <c r="AY153" s="632">
        <f ca="1">IF(AND($D153="Serviço",AY$12&lt;&gt;0,$H153&gt;0,OR(AUTOEVENTO&lt;&gt;"manual",$M153&lt;&gt;1)),ROUND(OFFSET($P153,0,AY$13),15-13*ORÇAMENTO!$AF$7)/$H153*OFFSET(ORÇAMENTO!$X$15,ROW(AY153)-ROW(AY$15),0),0)</f>
        <v>0</v>
      </c>
      <c r="AZ153" s="632">
        <f ca="1">IF(AND($D153="Serviço",AZ$12&lt;&gt;0,$H153&gt;0,OR(AUTOEVENTO&lt;&gt;"manual",$M153&lt;&gt;1)),ROUND(OFFSET($P153,0,AZ$13),15-13*ORÇAMENTO!$AF$7)/$H153*OFFSET(ORÇAMENTO!$X$15,ROW(AZ153)-ROW(AZ$15),0),0)</f>
        <v>0</v>
      </c>
      <c r="BA153" s="633">
        <f ca="1">IF(AND($D153="Serviço",BA$12&lt;&gt;0,$H153&gt;0,OR(AUTOEVENTO&lt;&gt;"manual",$M153&lt;&gt;1)),ROUND(OFFSET($P153,0,BA$13),15-13*ORÇAMENTO!$AF$7)/$H153*OFFSET(ORÇAMENTO!$X$15,ROW(BA153)-ROW(BA$15),0),0)</f>
        <v>0</v>
      </c>
      <c r="BC153" s="215">
        <f ca="1">IF($D153&lt;&gt;"Serviço",0,IF(AND(AUTOEVENTO="Manual",$M153=1),0,IF(OFFSET(CRONOPLE!$F$14,$M153,BC$13)="",10^12,OFFSET(CRONOPLE!$F$14,$M153,BC$13))))</f>
        <v>0</v>
      </c>
      <c r="BD153" s="215">
        <f ca="1">IF($D153&lt;&gt;"Serviço",0,IF(AND(AUTOEVENTO="Manual",$M153=1),0,IF(OFFSET(CRONOPLE!$F$14,$M153,BD$13)="",10^12,OFFSET(CRONOPLE!$F$14,$M153,BD$13))))</f>
        <v>0</v>
      </c>
      <c r="BE153" s="215">
        <f ca="1">IF($D153&lt;&gt;"Serviço",0,IF(AND(AUTOEVENTO="Manual",$M153=1),0,IF(OFFSET(CRONOPLE!$F$14,$M153,BE$13)="",10^12,OFFSET(CRONOPLE!$F$14,$M153,BE$13))))</f>
        <v>0</v>
      </c>
      <c r="BF153" s="215">
        <f ca="1">IF($D153&lt;&gt;"Serviço",0,IF(AND(AUTOEVENTO="Manual",$M153=1),0,IF(OFFSET(CRONOPLE!$F$14,$M153,BF$13)="",10^12,OFFSET(CRONOPLE!$F$14,$M153,BF$13))))</f>
        <v>0</v>
      </c>
      <c r="BG153" s="215">
        <f ca="1">IF($D153&lt;&gt;"Serviço",0,IF(AND(AUTOEVENTO="Manual",$M153=1),0,IF(OFFSET(CRONOPLE!$F$14,$M153,BG$13)="",10^12,OFFSET(CRONOPLE!$F$14,$M153,BG$13))))</f>
        <v>0</v>
      </c>
      <c r="BH153" s="215">
        <f ca="1">IF($D153&lt;&gt;"Serviço",0,IF(AND(AUTOEVENTO="Manual",$M153=1),0,IF(OFFSET(CRONOPLE!$F$14,$M153,BH$13)="",10^12,OFFSET(CRONOPLE!$F$14,$M153,BH$13))))</f>
        <v>0</v>
      </c>
      <c r="BI153" s="215">
        <f ca="1">IF($D153&lt;&gt;"Serviço",0,IF(AND(AUTOEVENTO="Manual",$M153=1),0,IF(OFFSET(CRONOPLE!$F$14,$M153,BI$13)="",10^12,OFFSET(CRONOPLE!$F$14,$M153,BI$13))))</f>
        <v>0</v>
      </c>
      <c r="BJ153" s="215">
        <f ca="1">IF($D153&lt;&gt;"Serviço",0,IF(AND(AUTOEVENTO="Manual",$M153=1),0,IF(OFFSET(CRONOPLE!$F$14,$M153,BJ$13)="",10^12,OFFSET(CRONOPLE!$F$14,$M153,BJ$13))))</f>
        <v>0</v>
      </c>
      <c r="BK153" s="215">
        <f ca="1">IF($D153&lt;&gt;"Serviço",0,IF(AND(AUTOEVENTO="Manual",$M153=1),0,IF(OFFSET(CRONOPLE!$F$14,$M153,BK$13)="",10^12,OFFSET(CRONOPLE!$F$14,$M153,BK$13))))</f>
        <v>0</v>
      </c>
      <c r="BL153" s="215">
        <f ca="1">IF($D153&lt;&gt;"Serviço",0,IF(AND(AUTOEVENTO="Manual",$M153=1),0,IF(OFFSET(CRONOPLE!$F$14,$M153,BL$13)="",10^12,OFFSET(CRONOPLE!$F$14,$M153,BL$13))))</f>
        <v>0</v>
      </c>
      <c r="BM153" s="215">
        <f ca="1">IF($D153&lt;&gt;"Serviço",0,IF(AND(AUTOEVENTO="Manual",$M153=1),0,IF(OFFSET(CRONOPLE!$F$14,$M153,BM$13)="",10^12,OFFSET(CRONOPLE!$F$14,$M153,BM$13))))</f>
        <v>0</v>
      </c>
      <c r="BN153" s="215">
        <f ca="1">IF($D153&lt;&gt;"Serviço",0,IF(AND(AUTOEVENTO="Manual",$M153=1),0,IF(OFFSET(CRONOPLE!$F$14,$M153,BN$13)="",10^12,OFFSET(CRONOPLE!$F$14,$M153,BN$13))))</f>
        <v>0</v>
      </c>
      <c r="BO153" s="215">
        <f ca="1">IF($D153&lt;&gt;"Serviço",0,IF(AND(AUTOEVENTO="Manual",$M153=1),0,IF(OFFSET(CRONOPLE!$F$14,$M153,BO$13)="",10^12,OFFSET(CRONOPLE!$F$14,$M153,BO$13))))</f>
        <v>0</v>
      </c>
      <c r="BP153" s="215">
        <f ca="1">IF($D153&lt;&gt;"Serviço",0,IF(AND(AUTOEVENTO="Manual",$M153=1),0,IF(OFFSET(CRONOPLE!$F$14,$M153,BP$13)="",10^12,OFFSET(CRONOPLE!$F$14,$M153,BP$13))))</f>
        <v>0</v>
      </c>
      <c r="BQ153" s="215">
        <f ca="1">IF($D153&lt;&gt;"Serviço",0,IF(AND(AUTOEVENTO="Manual",$M153=1),0,IF(OFFSET(CRONOPLE!$F$14,$M153,BQ$13)="",10^12,OFFSET(CRONOPLE!$F$14,$M153,BQ$13))))</f>
        <v>0</v>
      </c>
      <c r="BR153" s="215">
        <f ca="1">IF($D153&lt;&gt;"Serviço",0,IF(AND(AUTOEVENTO="Manual",$M153=1),0,IF(OFFSET(CRONOPLE!$F$14,$M153,BR$13)="",10^12,OFFSET(CRONOPLE!$F$14,$M153,BR$13))))</f>
        <v>0</v>
      </c>
      <c r="BS153" s="215">
        <f ca="1">IF($D153&lt;&gt;"Serviço",0,IF(AND(AUTOEVENTO="Manual",$M153=1),0,IF(OFFSET(CRONOPLE!$F$14,$M153,BS$13)="",10^12,OFFSET(CRONOPLE!$F$14,$M153,BS$13))))</f>
        <v>0</v>
      </c>
      <c r="BT153" s="215">
        <f ca="1">IF($D153&lt;&gt;"Serviço",0,IF(AND(AUTOEVENTO="Manual",$M153=1),0,IF(OFFSET(CRONOPLE!$F$14,$M153,BT$13)="",10^12,OFFSET(CRONOPLE!$F$14,$M153,BT$13))))</f>
        <v>0</v>
      </c>
      <c r="BV153" s="216">
        <f ca="1">IF($D153&lt;&gt;"Serviço",0,IF(OR(AND(AUTOEVENTO="Manual",$M153=1),$M153&gt;(ROW(PLE.lastrow)-ROW(PLE.firstrow))),0,IF(OFFSET(PLE!$G$14,$M153,BV$13)="",10^12,OFFSET(PLE!$G$14,$M153,BV$13))))</f>
        <v>0</v>
      </c>
      <c r="BW153" s="216">
        <f ca="1">IF($D153&lt;&gt;"Serviço",0,IF(OR(AND(AUTOEVENTO="Manual",$M153=1),$M153&gt;(ROW(PLE.lastrow)-ROW(PLE.firstrow))),0,IF(OFFSET(PLE!$G$14,$M153,BW$13)="",10^12,OFFSET(PLE!$G$14,$M153,BW$13))))</f>
        <v>0</v>
      </c>
      <c r="BX153" s="216">
        <f ca="1">IF($D153&lt;&gt;"Serviço",0,IF(OR(AND(AUTOEVENTO="Manual",$M153=1),$M153&gt;(ROW(PLE.lastrow)-ROW(PLE.firstrow))),0,IF(OFFSET(PLE!$G$14,$M153,BX$13)="",10^12,OFFSET(PLE!$G$14,$M153,BX$13))))</f>
        <v>0</v>
      </c>
      <c r="BY153" s="216">
        <f ca="1">IF($D153&lt;&gt;"Serviço",0,IF(OR(AND(AUTOEVENTO="Manual",$M153=1),$M153&gt;(ROW(PLE.lastrow)-ROW(PLE.firstrow))),0,IF(OFFSET(PLE!$G$14,$M153,BY$13)="",10^12,OFFSET(PLE!$G$14,$M153,BY$13))))</f>
        <v>0</v>
      </c>
      <c r="BZ153" s="216">
        <f ca="1">IF($D153&lt;&gt;"Serviço",0,IF(OR(AND(AUTOEVENTO="Manual",$M153=1),$M153&gt;(ROW(PLE.lastrow)-ROW(PLE.firstrow))),0,IF(OFFSET(PLE!$G$14,$M153,BZ$13)="",10^12,OFFSET(PLE!$G$14,$M153,BZ$13))))</f>
        <v>0</v>
      </c>
      <c r="CA153" s="216">
        <f ca="1">IF($D153&lt;&gt;"Serviço",0,IF(OR(AND(AUTOEVENTO="Manual",$M153=1),$M153&gt;(ROW(PLE.lastrow)-ROW(PLE.firstrow))),0,IF(OFFSET(PLE!$G$14,$M153,CA$13)="",10^12,OFFSET(PLE!$G$14,$M153,CA$13))))</f>
        <v>0</v>
      </c>
      <c r="CB153" s="216">
        <f ca="1">IF($D153&lt;&gt;"Serviço",0,IF(OR(AND(AUTOEVENTO="Manual",$M153=1),$M153&gt;(ROW(PLE.lastrow)-ROW(PLE.firstrow))),0,IF(OFFSET(PLE!$G$14,$M153,CB$13)="",10^12,OFFSET(PLE!$G$14,$M153,CB$13))))</f>
        <v>0</v>
      </c>
      <c r="CC153" s="216">
        <f ca="1">IF($D153&lt;&gt;"Serviço",0,IF(OR(AND(AUTOEVENTO="Manual",$M153=1),$M153&gt;(ROW(PLE.lastrow)-ROW(PLE.firstrow))),0,IF(OFFSET(PLE!$G$14,$M153,CC$13)="",10^12,OFFSET(PLE!$G$14,$M153,CC$13))))</f>
        <v>0</v>
      </c>
      <c r="CD153" s="216">
        <f ca="1">IF($D153&lt;&gt;"Serviço",0,IF(OR(AND(AUTOEVENTO="Manual",$M153=1),$M153&gt;(ROW(PLE.lastrow)-ROW(PLE.firstrow))),0,IF(OFFSET(PLE!$G$14,$M153,CD$13)="",10^12,OFFSET(PLE!$G$14,$M153,CD$13))))</f>
        <v>0</v>
      </c>
      <c r="CE153" s="216">
        <f ca="1">IF($D153&lt;&gt;"Serviço",0,IF(OR(AND(AUTOEVENTO="Manual",$M153=1),$M153&gt;(ROW(PLE.lastrow)-ROW(PLE.firstrow))),0,IF(OFFSET(PLE!$G$14,$M153,CE$13)="",10^12,OFFSET(PLE!$G$14,$M153,CE$13))))</f>
        <v>0</v>
      </c>
      <c r="CF153" s="216">
        <f ca="1">IF($D153&lt;&gt;"Serviço",0,IF(OR(AND(AUTOEVENTO="Manual",$M153=1),$M153&gt;(ROW(PLE.lastrow)-ROW(PLE.firstrow))),0,IF(OFFSET(PLE!$G$14,$M153,CF$13)="",10^12,OFFSET(PLE!$G$14,$M153,CF$13))))</f>
        <v>0</v>
      </c>
      <c r="CG153" s="216">
        <f ca="1">IF($D153&lt;&gt;"Serviço",0,IF(OR(AND(AUTOEVENTO="Manual",$M153=1),$M153&gt;(ROW(PLE.lastrow)-ROW(PLE.firstrow))),0,IF(OFFSET(PLE!$G$14,$M153,CG$13)="",10^12,OFFSET(PLE!$G$14,$M153,CG$13))))</f>
        <v>0</v>
      </c>
      <c r="CH153" s="216">
        <f ca="1">IF($D153&lt;&gt;"Serviço",0,IF(OR(AND(AUTOEVENTO="Manual",$M153=1),$M153&gt;(ROW(PLE.lastrow)-ROW(PLE.firstrow))),0,IF(OFFSET(PLE!$G$14,$M153,CH$13)="",10^12,OFFSET(PLE!$G$14,$M153,CH$13))))</f>
        <v>0</v>
      </c>
      <c r="CI153" s="216">
        <f ca="1">IF($D153&lt;&gt;"Serviço",0,IF(OR(AND(AUTOEVENTO="Manual",$M153=1),$M153&gt;(ROW(PLE.lastrow)-ROW(PLE.firstrow))),0,IF(OFFSET(PLE!$G$14,$M153,CI$13)="",10^12,OFFSET(PLE!$G$14,$M153,CI$13))))</f>
        <v>0</v>
      </c>
      <c r="CJ153" s="216">
        <f ca="1">IF($D153&lt;&gt;"Serviço",0,IF(OR(AND(AUTOEVENTO="Manual",$M153=1),$M153&gt;(ROW(PLE.lastrow)-ROW(PLE.firstrow))),0,IF(OFFSET(PLE!$G$14,$M153,CJ$13)="",10^12,OFFSET(PLE!$G$14,$M153,CJ$13))))</f>
        <v>0</v>
      </c>
      <c r="CK153" s="216">
        <f ca="1">IF($D153&lt;&gt;"Serviço",0,IF(OR(AND(AUTOEVENTO="Manual",$M153=1),$M153&gt;(ROW(PLE.lastrow)-ROW(PLE.firstrow))),0,IF(OFFSET(PLE!$G$14,$M153,CK$13)="",10^12,OFFSET(PLE!$G$14,$M153,CK$13))))</f>
        <v>0</v>
      </c>
      <c r="CL153" s="216">
        <f ca="1">IF($D153&lt;&gt;"Serviço",0,IF(OR(AND(AUTOEVENTO="Manual",$M153=1),$M153&gt;(ROW(PLE.lastrow)-ROW(PLE.firstrow))),0,IF(OFFSET(PLE!$G$14,$M153,CL$13)="",10^12,OFFSET(PLE!$G$14,$M153,CL$13))))</f>
        <v>0</v>
      </c>
      <c r="CM153" s="216">
        <f ca="1">IF($D153&lt;&gt;"Serviço",0,IF(OR(AND(AUTOEVENTO="Manual",$M153=1),$M153&gt;(ROW(PLE.lastrow)-ROW(PLE.firstrow))),0,IF(OFFSET(PLE!$G$14,$M153,CM$13)="",10^12,OFFSET(PLE!$G$14,$M153,CM$13))))</f>
        <v>0</v>
      </c>
    </row>
    <row r="154" spans="1:91" ht="13.2" x14ac:dyDescent="0.25">
      <c r="A154" s="9">
        <f t="shared" ca="1" si="11"/>
        <v>0</v>
      </c>
      <c r="B154" s="9" t="str">
        <f ca="1">OFFSET(ORÇAMENTO!C$15,ROW(B154)-ROW(B$15),0)</f>
        <v>S</v>
      </c>
      <c r="C154" s="9" t="str">
        <f ca="1">OFFSET(ORÇAMENTO!L$15,ROW(C154)-ROW(C$15),0)</f>
        <v/>
      </c>
      <c r="D154" s="145" t="str">
        <f ca="1">OFFSET(ORÇAMENTO!N$15,ROW(D154)-ROW(D$15),0)</f>
        <v>Serviço</v>
      </c>
      <c r="E154" s="205" t="str">
        <f ca="1">OFFSET(ORÇAMENTO!O$15,ROW(E154)-ROW(E$15),0)</f>
        <v>-</v>
      </c>
      <c r="F154" s="206" t="str">
        <f ca="1">OFFSET(ORÇAMENTO!R$15,ROW(F154)-ROW(F$15),0)</f>
        <v>(abra o arquivo 'Referência 05-2024.xls)</v>
      </c>
      <c r="G154" s="207" t="str">
        <f ca="1">IF($D154&lt;&gt;"Serviço","",OFFSET(ORÇAMENTO!S$15,ROW(G154)-ROW(G$15),0))</f>
        <v>-</v>
      </c>
      <c r="H154" s="151">
        <f ca="1">IF($D154&lt;&gt;"Serviço",0,IF(ACOMPANHAMENTO="BM",ROUND(OFFSET(ORÇAMENTO!AJ$15,ROW(H154)-ROW(H$15),0),15-13*ORÇAMENTO!$AF$7),SUMPRODUCT(($Q$12:$AI$12&lt;&gt;"")*ROUND($Q154:$AI154,15-13*ORÇAMENTO!$AF$7))))</f>
        <v>122.25</v>
      </c>
      <c r="I154" s="650"/>
      <c r="K154" s="208"/>
      <c r="L154" s="209" t="s">
        <v>257</v>
      </c>
      <c r="M154" s="210">
        <f ca="1">IF($D154&lt;&gt;"Serviço","",IF(AUTOEVENTO="manual",$A154,IF(ISERROR(MATCH($A154,$A$15:OFFSET($A154,-1,0),0)),MAX($M$15:OFFSET(M154,-1,0))+1,INDEX($M$15:OFFSET(M154,-1,0),MATCH($A154,$A$15:OFFSET($A154,-1,0),0)))))</f>
        <v>0</v>
      </c>
      <c r="N154" s="211" t="str">
        <f ca="1">IF($D154&lt;&gt;"Serviço","",IF(AUTOEVENTO="Manual",IF($A154=0,"&lt;-- defina o número do agrupador",OFFSET(EVENTOS!$D$14,$A154,0)),OFFSET($F$15,$A154,0)))</f>
        <v>&lt;-- defina o número do agrupador</v>
      </c>
      <c r="O154" s="212"/>
      <c r="Q154" s="212"/>
      <c r="R154" s="213"/>
      <c r="S154" s="213"/>
      <c r="T154" s="213"/>
      <c r="U154" s="213"/>
      <c r="V154" s="213"/>
      <c r="W154" s="213"/>
      <c r="X154" s="213"/>
      <c r="Y154" s="213"/>
      <c r="Z154" s="214"/>
      <c r="AA154" s="213"/>
      <c r="AB154" s="213"/>
      <c r="AC154" s="213"/>
      <c r="AD154" s="213"/>
      <c r="AE154" s="213"/>
      <c r="AF154" s="213"/>
      <c r="AG154" s="213"/>
      <c r="AH154" s="214"/>
      <c r="AJ154" s="631">
        <f ca="1">IF(AND($D154="Serviço",AJ$12&lt;&gt;0,$H154&gt;0,OR(AUTOEVENTO&lt;&gt;"manual",$M154&lt;&gt;1)),ROUND(OFFSET($P154,0,AJ$13),15-13*ORÇAMENTO!$AF$7)/$H154*OFFSET(ORÇAMENTO!$X$15,ROW(AJ154)-ROW(AJ$15),0),0)</f>
        <v>0</v>
      </c>
      <c r="AK154" s="632">
        <f ca="1">IF(AND($D154="Serviço",AK$12&lt;&gt;0,$H154&gt;0,OR(AUTOEVENTO&lt;&gt;"manual",$M154&lt;&gt;1)),ROUND(OFFSET($P154,0,AK$13),15-13*ORÇAMENTO!$AF$7)/$H154*OFFSET(ORÇAMENTO!$X$15,ROW(AK154)-ROW(AK$15),0),0)</f>
        <v>0</v>
      </c>
      <c r="AL154" s="632">
        <f ca="1">IF(AND($D154="Serviço",AL$12&lt;&gt;0,$H154&gt;0,OR(AUTOEVENTO&lt;&gt;"manual",$M154&lt;&gt;1)),ROUND(OFFSET($P154,0,AL$13),15-13*ORÇAMENTO!$AF$7)/$H154*OFFSET(ORÇAMENTO!$X$15,ROW(AL154)-ROW(AL$15),0),0)</f>
        <v>0</v>
      </c>
      <c r="AM154" s="632">
        <f ca="1">IF(AND($D154="Serviço",AM$12&lt;&gt;0,$H154&gt;0,OR(AUTOEVENTO&lt;&gt;"manual",$M154&lt;&gt;1)),ROUND(OFFSET($P154,0,AM$13),15-13*ORÇAMENTO!$AF$7)/$H154*OFFSET(ORÇAMENTO!$X$15,ROW(AM154)-ROW(AM$15),0),0)</f>
        <v>0</v>
      </c>
      <c r="AN154" s="632">
        <f ca="1">IF(AND($D154="Serviço",AN$12&lt;&gt;0,$H154&gt;0,OR(AUTOEVENTO&lt;&gt;"manual",$M154&lt;&gt;1)),ROUND(OFFSET($P154,0,AN$13),15-13*ORÇAMENTO!$AF$7)/$H154*OFFSET(ORÇAMENTO!$X$15,ROW(AN154)-ROW(AN$15),0),0)</f>
        <v>0</v>
      </c>
      <c r="AO154" s="632">
        <f ca="1">IF(AND($D154="Serviço",AO$12&lt;&gt;0,$H154&gt;0,OR(AUTOEVENTO&lt;&gt;"manual",$M154&lt;&gt;1)),ROUND(OFFSET($P154,0,AO$13),15-13*ORÇAMENTO!$AF$7)/$H154*OFFSET(ORÇAMENTO!$X$15,ROW(AO154)-ROW(AO$15),0),0)</f>
        <v>0</v>
      </c>
      <c r="AP154" s="632">
        <f ca="1">IF(AND($D154="Serviço",AP$12&lt;&gt;0,$H154&gt;0,OR(AUTOEVENTO&lt;&gt;"manual",$M154&lt;&gt;1)),ROUND(OFFSET($P154,0,AP$13),15-13*ORÇAMENTO!$AF$7)/$H154*OFFSET(ORÇAMENTO!$X$15,ROW(AP154)-ROW(AP$15),0),0)</f>
        <v>0</v>
      </c>
      <c r="AQ154" s="632">
        <f ca="1">IF(AND($D154="Serviço",AQ$12&lt;&gt;0,$H154&gt;0,OR(AUTOEVENTO&lt;&gt;"manual",$M154&lt;&gt;1)),ROUND(OFFSET($P154,0,AQ$13),15-13*ORÇAMENTO!$AF$7)/$H154*OFFSET(ORÇAMENTO!$X$15,ROW(AQ154)-ROW(AQ$15),0),0)</f>
        <v>0</v>
      </c>
      <c r="AR154" s="632">
        <f ca="1">IF(AND($D154="Serviço",AR$12&lt;&gt;0,$H154&gt;0,OR(AUTOEVENTO&lt;&gt;"manual",$M154&lt;&gt;1)),ROUND(OFFSET($P154,0,AR$13),15-13*ORÇAMENTO!$AF$7)/$H154*OFFSET(ORÇAMENTO!$X$15,ROW(AR154)-ROW(AR$15),0),0)</f>
        <v>0</v>
      </c>
      <c r="AS154" s="633">
        <f ca="1">IF(AND($D154="Serviço",AS$12&lt;&gt;0,$H154&gt;0,OR(AUTOEVENTO&lt;&gt;"manual",$M154&lt;&gt;1)),ROUND(OFFSET($P154,0,AS$13),15-13*ORÇAMENTO!$AF$7)/$H154*OFFSET(ORÇAMENTO!$X$15,ROW(AS154)-ROW(AS$15),0),0)</f>
        <v>0</v>
      </c>
      <c r="AT154" s="632">
        <f ca="1">IF(AND($D154="Serviço",AT$12&lt;&gt;0,$H154&gt;0,OR(AUTOEVENTO&lt;&gt;"manual",$M154&lt;&gt;1)),ROUND(OFFSET($P154,0,AT$13),15-13*ORÇAMENTO!$AF$7)/$H154*OFFSET(ORÇAMENTO!$X$15,ROW(AT154)-ROW(AT$15),0),0)</f>
        <v>0</v>
      </c>
      <c r="AU154" s="632">
        <f ca="1">IF(AND($D154="Serviço",AU$12&lt;&gt;0,$H154&gt;0,OR(AUTOEVENTO&lt;&gt;"manual",$M154&lt;&gt;1)),ROUND(OFFSET($P154,0,AU$13),15-13*ORÇAMENTO!$AF$7)/$H154*OFFSET(ORÇAMENTO!$X$15,ROW(AU154)-ROW(AU$15),0),0)</f>
        <v>0</v>
      </c>
      <c r="AV154" s="632">
        <f ca="1">IF(AND($D154="Serviço",AV$12&lt;&gt;0,$H154&gt;0,OR(AUTOEVENTO&lt;&gt;"manual",$M154&lt;&gt;1)),ROUND(OFFSET($P154,0,AV$13),15-13*ORÇAMENTO!$AF$7)/$H154*OFFSET(ORÇAMENTO!$X$15,ROW(AV154)-ROW(AV$15),0),0)</f>
        <v>0</v>
      </c>
      <c r="AW154" s="632">
        <f ca="1">IF(AND($D154="Serviço",AW$12&lt;&gt;0,$H154&gt;0,OR(AUTOEVENTO&lt;&gt;"manual",$M154&lt;&gt;1)),ROUND(OFFSET($P154,0,AW$13),15-13*ORÇAMENTO!$AF$7)/$H154*OFFSET(ORÇAMENTO!$X$15,ROW(AW154)-ROW(AW$15),0),0)</f>
        <v>0</v>
      </c>
      <c r="AX154" s="632">
        <f ca="1">IF(AND($D154="Serviço",AX$12&lt;&gt;0,$H154&gt;0,OR(AUTOEVENTO&lt;&gt;"manual",$M154&lt;&gt;1)),ROUND(OFFSET($P154,0,AX$13),15-13*ORÇAMENTO!$AF$7)/$H154*OFFSET(ORÇAMENTO!$X$15,ROW(AX154)-ROW(AX$15),0),0)</f>
        <v>0</v>
      </c>
      <c r="AY154" s="632">
        <f ca="1">IF(AND($D154="Serviço",AY$12&lt;&gt;0,$H154&gt;0,OR(AUTOEVENTO&lt;&gt;"manual",$M154&lt;&gt;1)),ROUND(OFFSET($P154,0,AY$13),15-13*ORÇAMENTO!$AF$7)/$H154*OFFSET(ORÇAMENTO!$X$15,ROW(AY154)-ROW(AY$15),0),0)</f>
        <v>0</v>
      </c>
      <c r="AZ154" s="632">
        <f ca="1">IF(AND($D154="Serviço",AZ$12&lt;&gt;0,$H154&gt;0,OR(AUTOEVENTO&lt;&gt;"manual",$M154&lt;&gt;1)),ROUND(OFFSET($P154,0,AZ$13),15-13*ORÇAMENTO!$AF$7)/$H154*OFFSET(ORÇAMENTO!$X$15,ROW(AZ154)-ROW(AZ$15),0),0)</f>
        <v>0</v>
      </c>
      <c r="BA154" s="633">
        <f ca="1">IF(AND($D154="Serviço",BA$12&lt;&gt;0,$H154&gt;0,OR(AUTOEVENTO&lt;&gt;"manual",$M154&lt;&gt;1)),ROUND(OFFSET($P154,0,BA$13),15-13*ORÇAMENTO!$AF$7)/$H154*OFFSET(ORÇAMENTO!$X$15,ROW(BA154)-ROW(BA$15),0),0)</f>
        <v>0</v>
      </c>
      <c r="BC154" s="215">
        <f ca="1">IF($D154&lt;&gt;"Serviço",0,IF(AND(AUTOEVENTO="Manual",$M154=1),0,IF(OFFSET(CRONOPLE!$F$14,$M154,BC$13)="",10^12,OFFSET(CRONOPLE!$F$14,$M154,BC$13))))</f>
        <v>1000000000000</v>
      </c>
      <c r="BD154" s="215">
        <f ca="1">IF($D154&lt;&gt;"Serviço",0,IF(AND(AUTOEVENTO="Manual",$M154=1),0,IF(OFFSET(CRONOPLE!$F$14,$M154,BD$13)="",10^12,OFFSET(CRONOPLE!$F$14,$M154,BD$13))))</f>
        <v>1000000000000</v>
      </c>
      <c r="BE154" s="215">
        <f ca="1">IF($D154&lt;&gt;"Serviço",0,IF(AND(AUTOEVENTO="Manual",$M154=1),0,IF(OFFSET(CRONOPLE!$F$14,$M154,BE$13)="",10^12,OFFSET(CRONOPLE!$F$14,$M154,BE$13))))</f>
        <v>1000000000000</v>
      </c>
      <c r="BF154" s="215">
        <f ca="1">IF($D154&lt;&gt;"Serviço",0,IF(AND(AUTOEVENTO="Manual",$M154=1),0,IF(OFFSET(CRONOPLE!$F$14,$M154,BF$13)="",10^12,OFFSET(CRONOPLE!$F$14,$M154,BF$13))))</f>
        <v>1000000000000</v>
      </c>
      <c r="BG154" s="215">
        <f ca="1">IF($D154&lt;&gt;"Serviço",0,IF(AND(AUTOEVENTO="Manual",$M154=1),0,IF(OFFSET(CRONOPLE!$F$14,$M154,BG$13)="",10^12,OFFSET(CRONOPLE!$F$14,$M154,BG$13))))</f>
        <v>1000000000000</v>
      </c>
      <c r="BH154" s="215">
        <f ca="1">IF($D154&lt;&gt;"Serviço",0,IF(AND(AUTOEVENTO="Manual",$M154=1),0,IF(OFFSET(CRONOPLE!$F$14,$M154,BH$13)="",10^12,OFFSET(CRONOPLE!$F$14,$M154,BH$13))))</f>
        <v>1000000000000</v>
      </c>
      <c r="BI154" s="215">
        <f ca="1">IF($D154&lt;&gt;"Serviço",0,IF(AND(AUTOEVENTO="Manual",$M154=1),0,IF(OFFSET(CRONOPLE!$F$14,$M154,BI$13)="",10^12,OFFSET(CRONOPLE!$F$14,$M154,BI$13))))</f>
        <v>1000000000000</v>
      </c>
      <c r="BJ154" s="215">
        <f ca="1">IF($D154&lt;&gt;"Serviço",0,IF(AND(AUTOEVENTO="Manual",$M154=1),0,IF(OFFSET(CRONOPLE!$F$14,$M154,BJ$13)="",10^12,OFFSET(CRONOPLE!$F$14,$M154,BJ$13))))</f>
        <v>1000000000000</v>
      </c>
      <c r="BK154" s="215">
        <f ca="1">IF($D154&lt;&gt;"Serviço",0,IF(AND(AUTOEVENTO="Manual",$M154=1),0,IF(OFFSET(CRONOPLE!$F$14,$M154,BK$13)="",10^12,OFFSET(CRONOPLE!$F$14,$M154,BK$13))))</f>
        <v>1000000000000</v>
      </c>
      <c r="BL154" s="215">
        <f ca="1">IF($D154&lt;&gt;"Serviço",0,IF(AND(AUTOEVENTO="Manual",$M154=1),0,IF(OFFSET(CRONOPLE!$F$14,$M154,BL$13)="",10^12,OFFSET(CRONOPLE!$F$14,$M154,BL$13))))</f>
        <v>1000000000000</v>
      </c>
      <c r="BM154" s="215">
        <f ca="1">IF($D154&lt;&gt;"Serviço",0,IF(AND(AUTOEVENTO="Manual",$M154=1),0,IF(OFFSET(CRONOPLE!$F$14,$M154,BM$13)="",10^12,OFFSET(CRONOPLE!$F$14,$M154,BM$13))))</f>
        <v>1000000000000</v>
      </c>
      <c r="BN154" s="215">
        <f ca="1">IF($D154&lt;&gt;"Serviço",0,IF(AND(AUTOEVENTO="Manual",$M154=1),0,IF(OFFSET(CRONOPLE!$F$14,$M154,BN$13)="",10^12,OFFSET(CRONOPLE!$F$14,$M154,BN$13))))</f>
        <v>1000000000000</v>
      </c>
      <c r="BO154" s="215">
        <f ca="1">IF($D154&lt;&gt;"Serviço",0,IF(AND(AUTOEVENTO="Manual",$M154=1),0,IF(OFFSET(CRONOPLE!$F$14,$M154,BO$13)="",10^12,OFFSET(CRONOPLE!$F$14,$M154,BO$13))))</f>
        <v>1000000000000</v>
      </c>
      <c r="BP154" s="215">
        <f ca="1">IF($D154&lt;&gt;"Serviço",0,IF(AND(AUTOEVENTO="Manual",$M154=1),0,IF(OFFSET(CRONOPLE!$F$14,$M154,BP$13)="",10^12,OFFSET(CRONOPLE!$F$14,$M154,BP$13))))</f>
        <v>1000000000000</v>
      </c>
      <c r="BQ154" s="215">
        <f ca="1">IF($D154&lt;&gt;"Serviço",0,IF(AND(AUTOEVENTO="Manual",$M154=1),0,IF(OFFSET(CRONOPLE!$F$14,$M154,BQ$13)="",10^12,OFFSET(CRONOPLE!$F$14,$M154,BQ$13))))</f>
        <v>1000000000000</v>
      </c>
      <c r="BR154" s="215">
        <f ca="1">IF($D154&lt;&gt;"Serviço",0,IF(AND(AUTOEVENTO="Manual",$M154=1),0,IF(OFFSET(CRONOPLE!$F$14,$M154,BR$13)="",10^12,OFFSET(CRONOPLE!$F$14,$M154,BR$13))))</f>
        <v>1000000000000</v>
      </c>
      <c r="BS154" s="215">
        <f ca="1">IF($D154&lt;&gt;"Serviço",0,IF(AND(AUTOEVENTO="Manual",$M154=1),0,IF(OFFSET(CRONOPLE!$F$14,$M154,BS$13)="",10^12,OFFSET(CRONOPLE!$F$14,$M154,BS$13))))</f>
        <v>1000000000000</v>
      </c>
      <c r="BT154" s="215">
        <f ca="1">IF($D154&lt;&gt;"Serviço",0,IF(AND(AUTOEVENTO="Manual",$M154=1),0,IF(OFFSET(CRONOPLE!$F$14,$M154,BT$13)="",10^12,OFFSET(CRONOPLE!$F$14,$M154,BT$13))))</f>
        <v>1000000000000</v>
      </c>
      <c r="BV154" s="216">
        <f ca="1">IF($D154&lt;&gt;"Serviço",0,IF(OR(AND(AUTOEVENTO="Manual",$M154=1),$M154&gt;(ROW(PLE.lastrow)-ROW(PLE.firstrow))),0,IF(OFFSET(PLE!$G$14,$M154,BV$13)="",10^12,OFFSET(PLE!$G$14,$M154,BV$13))))</f>
        <v>1000000000000</v>
      </c>
      <c r="BW154" s="216">
        <f ca="1">IF($D154&lt;&gt;"Serviço",0,IF(OR(AND(AUTOEVENTO="Manual",$M154=1),$M154&gt;(ROW(PLE.lastrow)-ROW(PLE.firstrow))),0,IF(OFFSET(PLE!$G$14,$M154,BW$13)="",10^12,OFFSET(PLE!$G$14,$M154,BW$13))))</f>
        <v>1000000000000</v>
      </c>
      <c r="BX154" s="216">
        <f ca="1">IF($D154&lt;&gt;"Serviço",0,IF(OR(AND(AUTOEVENTO="Manual",$M154=1),$M154&gt;(ROW(PLE.lastrow)-ROW(PLE.firstrow))),0,IF(OFFSET(PLE!$G$14,$M154,BX$13)="",10^12,OFFSET(PLE!$G$14,$M154,BX$13))))</f>
        <v>1000000000000</v>
      </c>
      <c r="BY154" s="216">
        <f ca="1">IF($D154&lt;&gt;"Serviço",0,IF(OR(AND(AUTOEVENTO="Manual",$M154=1),$M154&gt;(ROW(PLE.lastrow)-ROW(PLE.firstrow))),0,IF(OFFSET(PLE!$G$14,$M154,BY$13)="",10^12,OFFSET(PLE!$G$14,$M154,BY$13))))</f>
        <v>1000000000000</v>
      </c>
      <c r="BZ154" s="216">
        <f ca="1">IF($D154&lt;&gt;"Serviço",0,IF(OR(AND(AUTOEVENTO="Manual",$M154=1),$M154&gt;(ROW(PLE.lastrow)-ROW(PLE.firstrow))),0,IF(OFFSET(PLE!$G$14,$M154,BZ$13)="",10^12,OFFSET(PLE!$G$14,$M154,BZ$13))))</f>
        <v>1000000000000</v>
      </c>
      <c r="CA154" s="216">
        <f ca="1">IF($D154&lt;&gt;"Serviço",0,IF(OR(AND(AUTOEVENTO="Manual",$M154=1),$M154&gt;(ROW(PLE.lastrow)-ROW(PLE.firstrow))),0,IF(OFFSET(PLE!$G$14,$M154,CA$13)="",10^12,OFFSET(PLE!$G$14,$M154,CA$13))))</f>
        <v>1000000000000</v>
      </c>
      <c r="CB154" s="216">
        <f ca="1">IF($D154&lt;&gt;"Serviço",0,IF(OR(AND(AUTOEVENTO="Manual",$M154=1),$M154&gt;(ROW(PLE.lastrow)-ROW(PLE.firstrow))),0,IF(OFFSET(PLE!$G$14,$M154,CB$13)="",10^12,OFFSET(PLE!$G$14,$M154,CB$13))))</f>
        <v>1000000000000</v>
      </c>
      <c r="CC154" s="216">
        <f ca="1">IF($D154&lt;&gt;"Serviço",0,IF(OR(AND(AUTOEVENTO="Manual",$M154=1),$M154&gt;(ROW(PLE.lastrow)-ROW(PLE.firstrow))),0,IF(OFFSET(PLE!$G$14,$M154,CC$13)="",10^12,OFFSET(PLE!$G$14,$M154,CC$13))))</f>
        <v>1000000000000</v>
      </c>
      <c r="CD154" s="216">
        <f ca="1">IF($D154&lt;&gt;"Serviço",0,IF(OR(AND(AUTOEVENTO="Manual",$M154=1),$M154&gt;(ROW(PLE.lastrow)-ROW(PLE.firstrow))),0,IF(OFFSET(PLE!$G$14,$M154,CD$13)="",10^12,OFFSET(PLE!$G$14,$M154,CD$13))))</f>
        <v>1000000000000</v>
      </c>
      <c r="CE154" s="216">
        <f ca="1">IF($D154&lt;&gt;"Serviço",0,IF(OR(AND(AUTOEVENTO="Manual",$M154=1),$M154&gt;(ROW(PLE.lastrow)-ROW(PLE.firstrow))),0,IF(OFFSET(PLE!$G$14,$M154,CE$13)="",10^12,OFFSET(PLE!$G$14,$M154,CE$13))))</f>
        <v>1000000000000</v>
      </c>
      <c r="CF154" s="216">
        <f ca="1">IF($D154&lt;&gt;"Serviço",0,IF(OR(AND(AUTOEVENTO="Manual",$M154=1),$M154&gt;(ROW(PLE.lastrow)-ROW(PLE.firstrow))),0,IF(OFFSET(PLE!$G$14,$M154,CF$13)="",10^12,OFFSET(PLE!$G$14,$M154,CF$13))))</f>
        <v>1000000000000</v>
      </c>
      <c r="CG154" s="216">
        <f ca="1">IF($D154&lt;&gt;"Serviço",0,IF(OR(AND(AUTOEVENTO="Manual",$M154=1),$M154&gt;(ROW(PLE.lastrow)-ROW(PLE.firstrow))),0,IF(OFFSET(PLE!$G$14,$M154,CG$13)="",10^12,OFFSET(PLE!$G$14,$M154,CG$13))))</f>
        <v>1000000000000</v>
      </c>
      <c r="CH154" s="216">
        <f ca="1">IF($D154&lt;&gt;"Serviço",0,IF(OR(AND(AUTOEVENTO="Manual",$M154=1),$M154&gt;(ROW(PLE.lastrow)-ROW(PLE.firstrow))),0,IF(OFFSET(PLE!$G$14,$M154,CH$13)="",10^12,OFFSET(PLE!$G$14,$M154,CH$13))))</f>
        <v>1000000000000</v>
      </c>
      <c r="CI154" s="216">
        <f ca="1">IF($D154&lt;&gt;"Serviço",0,IF(OR(AND(AUTOEVENTO="Manual",$M154=1),$M154&gt;(ROW(PLE.lastrow)-ROW(PLE.firstrow))),0,IF(OFFSET(PLE!$G$14,$M154,CI$13)="",10^12,OFFSET(PLE!$G$14,$M154,CI$13))))</f>
        <v>1000000000000</v>
      </c>
      <c r="CJ154" s="216">
        <f ca="1">IF($D154&lt;&gt;"Serviço",0,IF(OR(AND(AUTOEVENTO="Manual",$M154=1),$M154&gt;(ROW(PLE.lastrow)-ROW(PLE.firstrow))),0,IF(OFFSET(PLE!$G$14,$M154,CJ$13)="",10^12,OFFSET(PLE!$G$14,$M154,CJ$13))))</f>
        <v>1000000000000</v>
      </c>
      <c r="CK154" s="216">
        <f ca="1">IF($D154&lt;&gt;"Serviço",0,IF(OR(AND(AUTOEVENTO="Manual",$M154=1),$M154&gt;(ROW(PLE.lastrow)-ROW(PLE.firstrow))),0,IF(OFFSET(PLE!$G$14,$M154,CK$13)="",10^12,OFFSET(PLE!$G$14,$M154,CK$13))))</f>
        <v>1000000000000</v>
      </c>
      <c r="CL154" s="216">
        <f ca="1">IF($D154&lt;&gt;"Serviço",0,IF(OR(AND(AUTOEVENTO="Manual",$M154=1),$M154&gt;(ROW(PLE.lastrow)-ROW(PLE.firstrow))),0,IF(OFFSET(PLE!$G$14,$M154,CL$13)="",10^12,OFFSET(PLE!$G$14,$M154,CL$13))))</f>
        <v>1000000000000</v>
      </c>
      <c r="CM154" s="216">
        <f ca="1">IF($D154&lt;&gt;"Serviço",0,IF(OR(AND(AUTOEVENTO="Manual",$M154=1),$M154&gt;(ROW(PLE.lastrow)-ROW(PLE.firstrow))),0,IF(OFFSET(PLE!$G$14,$M154,CM$13)="",10^12,OFFSET(PLE!$G$14,$M154,CM$13))))</f>
        <v>1000000000000</v>
      </c>
    </row>
    <row r="155" spans="1:91" ht="13.2" x14ac:dyDescent="0.25">
      <c r="A155" s="9">
        <f t="shared" ca="1" si="11"/>
        <v>0</v>
      </c>
      <c r="B155" s="9">
        <f ca="1">OFFSET(ORÇAMENTO!C$15,ROW(B155)-ROW(B$15),0)</f>
        <v>3</v>
      </c>
      <c r="C155" s="9" t="str">
        <f ca="1">OFFSET(ORÇAMENTO!L$15,ROW(C155)-ROW(C$15),0)</f>
        <v>F</v>
      </c>
      <c r="D155" s="145" t="str">
        <f ca="1">OFFSET(ORÇAMENTO!N$15,ROW(D155)-ROW(D$15),0)</f>
        <v>Nível 3</v>
      </c>
      <c r="E155" s="205" t="str">
        <f ca="1">OFFSET(ORÇAMENTO!O$15,ROW(E155)-ROW(E$15),0)</f>
        <v>1.5.2.</v>
      </c>
      <c r="F155" s="206" t="str">
        <f ca="1">OFFSET(ORÇAMENTO!R$15,ROW(F155)-ROW(F$15),0)</f>
        <v>ALVENARIA DE VEDAÇÃO</v>
      </c>
      <c r="G155" s="207" t="str">
        <f ca="1">IF($D155&lt;&gt;"Serviço","",OFFSET(ORÇAMENTO!S$15,ROW(G155)-ROW(G$15),0))</f>
        <v/>
      </c>
      <c r="H155" s="151">
        <f ca="1">IF($D155&lt;&gt;"Serviço",0,IF(ACOMPANHAMENTO="BM",ROUND(OFFSET(ORÇAMENTO!AJ$15,ROW(H155)-ROW(H$15),0),15-13*ORÇAMENTO!$AF$7),SUMPRODUCT(($Q$12:$AI$12&lt;&gt;"")*ROUND($Q155:$AI155,15-13*ORÇAMENTO!$AF$7))))</f>
        <v>0</v>
      </c>
      <c r="I155" s="650"/>
      <c r="K155" s="208"/>
      <c r="L155" s="209" t="s">
        <v>257</v>
      </c>
      <c r="M155" s="210" t="str">
        <f ca="1">IF($D155&lt;&gt;"Serviço","",IF(AUTOEVENTO="manual",$A155,IF(ISERROR(MATCH($A155,$A$15:OFFSET($A155,-1,0),0)),MAX($M$15:OFFSET(M155,-1,0))+1,INDEX($M$15:OFFSET(M155,-1,0),MATCH($A155,$A$15:OFFSET($A155,-1,0),0)))))</f>
        <v/>
      </c>
      <c r="N155" s="211" t="str">
        <f ca="1">IF($D155&lt;&gt;"Serviço","",IF(AUTOEVENTO="Manual",IF($A155=0,"&lt;-- defina o número do agrupador",OFFSET(EVENTOS!$D$14,$A155,0)),OFFSET($F$15,$A155,0)))</f>
        <v/>
      </c>
      <c r="O155" s="212"/>
      <c r="Q155" s="212"/>
      <c r="R155" s="213"/>
      <c r="S155" s="213"/>
      <c r="T155" s="213"/>
      <c r="U155" s="213"/>
      <c r="V155" s="213"/>
      <c r="W155" s="213"/>
      <c r="X155" s="213"/>
      <c r="Y155" s="213"/>
      <c r="Z155" s="214"/>
      <c r="AA155" s="213"/>
      <c r="AB155" s="213"/>
      <c r="AC155" s="213"/>
      <c r="AD155" s="213"/>
      <c r="AE155" s="213"/>
      <c r="AF155" s="213"/>
      <c r="AG155" s="213"/>
      <c r="AH155" s="214"/>
      <c r="AJ155" s="631">
        <f ca="1">IF(AND($D155="Serviço",AJ$12&lt;&gt;0,$H155&gt;0,OR(AUTOEVENTO&lt;&gt;"manual",$M155&lt;&gt;1)),ROUND(OFFSET($P155,0,AJ$13),15-13*ORÇAMENTO!$AF$7)/$H155*OFFSET(ORÇAMENTO!$X$15,ROW(AJ155)-ROW(AJ$15),0),0)</f>
        <v>0</v>
      </c>
      <c r="AK155" s="632">
        <f ca="1">IF(AND($D155="Serviço",AK$12&lt;&gt;0,$H155&gt;0,OR(AUTOEVENTO&lt;&gt;"manual",$M155&lt;&gt;1)),ROUND(OFFSET($P155,0,AK$13),15-13*ORÇAMENTO!$AF$7)/$H155*OFFSET(ORÇAMENTO!$X$15,ROW(AK155)-ROW(AK$15),0),0)</f>
        <v>0</v>
      </c>
      <c r="AL155" s="632">
        <f ca="1">IF(AND($D155="Serviço",AL$12&lt;&gt;0,$H155&gt;0,OR(AUTOEVENTO&lt;&gt;"manual",$M155&lt;&gt;1)),ROUND(OFFSET($P155,0,AL$13),15-13*ORÇAMENTO!$AF$7)/$H155*OFFSET(ORÇAMENTO!$X$15,ROW(AL155)-ROW(AL$15),0),0)</f>
        <v>0</v>
      </c>
      <c r="AM155" s="632">
        <f ca="1">IF(AND($D155="Serviço",AM$12&lt;&gt;0,$H155&gt;0,OR(AUTOEVENTO&lt;&gt;"manual",$M155&lt;&gt;1)),ROUND(OFFSET($P155,0,AM$13),15-13*ORÇAMENTO!$AF$7)/$H155*OFFSET(ORÇAMENTO!$X$15,ROW(AM155)-ROW(AM$15),0),0)</f>
        <v>0</v>
      </c>
      <c r="AN155" s="632">
        <f ca="1">IF(AND($D155="Serviço",AN$12&lt;&gt;0,$H155&gt;0,OR(AUTOEVENTO&lt;&gt;"manual",$M155&lt;&gt;1)),ROUND(OFFSET($P155,0,AN$13),15-13*ORÇAMENTO!$AF$7)/$H155*OFFSET(ORÇAMENTO!$X$15,ROW(AN155)-ROW(AN$15),0),0)</f>
        <v>0</v>
      </c>
      <c r="AO155" s="632">
        <f ca="1">IF(AND($D155="Serviço",AO$12&lt;&gt;0,$H155&gt;0,OR(AUTOEVENTO&lt;&gt;"manual",$M155&lt;&gt;1)),ROUND(OFFSET($P155,0,AO$13),15-13*ORÇAMENTO!$AF$7)/$H155*OFFSET(ORÇAMENTO!$X$15,ROW(AO155)-ROW(AO$15),0),0)</f>
        <v>0</v>
      </c>
      <c r="AP155" s="632">
        <f ca="1">IF(AND($D155="Serviço",AP$12&lt;&gt;0,$H155&gt;0,OR(AUTOEVENTO&lt;&gt;"manual",$M155&lt;&gt;1)),ROUND(OFFSET($P155,0,AP$13),15-13*ORÇAMENTO!$AF$7)/$H155*OFFSET(ORÇAMENTO!$X$15,ROW(AP155)-ROW(AP$15),0),0)</f>
        <v>0</v>
      </c>
      <c r="AQ155" s="632">
        <f ca="1">IF(AND($D155="Serviço",AQ$12&lt;&gt;0,$H155&gt;0,OR(AUTOEVENTO&lt;&gt;"manual",$M155&lt;&gt;1)),ROUND(OFFSET($P155,0,AQ$13),15-13*ORÇAMENTO!$AF$7)/$H155*OFFSET(ORÇAMENTO!$X$15,ROW(AQ155)-ROW(AQ$15),0),0)</f>
        <v>0</v>
      </c>
      <c r="AR155" s="632">
        <f ca="1">IF(AND($D155="Serviço",AR$12&lt;&gt;0,$H155&gt;0,OR(AUTOEVENTO&lt;&gt;"manual",$M155&lt;&gt;1)),ROUND(OFFSET($P155,0,AR$13),15-13*ORÇAMENTO!$AF$7)/$H155*OFFSET(ORÇAMENTO!$X$15,ROW(AR155)-ROW(AR$15),0),0)</f>
        <v>0</v>
      </c>
      <c r="AS155" s="633">
        <f ca="1">IF(AND($D155="Serviço",AS$12&lt;&gt;0,$H155&gt;0,OR(AUTOEVENTO&lt;&gt;"manual",$M155&lt;&gt;1)),ROUND(OFFSET($P155,0,AS$13),15-13*ORÇAMENTO!$AF$7)/$H155*OFFSET(ORÇAMENTO!$X$15,ROW(AS155)-ROW(AS$15),0),0)</f>
        <v>0</v>
      </c>
      <c r="AT155" s="632">
        <f ca="1">IF(AND($D155="Serviço",AT$12&lt;&gt;0,$H155&gt;0,OR(AUTOEVENTO&lt;&gt;"manual",$M155&lt;&gt;1)),ROUND(OFFSET($P155,0,AT$13),15-13*ORÇAMENTO!$AF$7)/$H155*OFFSET(ORÇAMENTO!$X$15,ROW(AT155)-ROW(AT$15),0),0)</f>
        <v>0</v>
      </c>
      <c r="AU155" s="632">
        <f ca="1">IF(AND($D155="Serviço",AU$12&lt;&gt;0,$H155&gt;0,OR(AUTOEVENTO&lt;&gt;"manual",$M155&lt;&gt;1)),ROUND(OFFSET($P155,0,AU$13),15-13*ORÇAMENTO!$AF$7)/$H155*OFFSET(ORÇAMENTO!$X$15,ROW(AU155)-ROW(AU$15),0),0)</f>
        <v>0</v>
      </c>
      <c r="AV155" s="632">
        <f ca="1">IF(AND($D155="Serviço",AV$12&lt;&gt;0,$H155&gt;0,OR(AUTOEVENTO&lt;&gt;"manual",$M155&lt;&gt;1)),ROUND(OFFSET($P155,0,AV$13),15-13*ORÇAMENTO!$AF$7)/$H155*OFFSET(ORÇAMENTO!$X$15,ROW(AV155)-ROW(AV$15),0),0)</f>
        <v>0</v>
      </c>
      <c r="AW155" s="632">
        <f ca="1">IF(AND($D155="Serviço",AW$12&lt;&gt;0,$H155&gt;0,OR(AUTOEVENTO&lt;&gt;"manual",$M155&lt;&gt;1)),ROUND(OFFSET($P155,0,AW$13),15-13*ORÇAMENTO!$AF$7)/$H155*OFFSET(ORÇAMENTO!$X$15,ROW(AW155)-ROW(AW$15),0),0)</f>
        <v>0</v>
      </c>
      <c r="AX155" s="632">
        <f ca="1">IF(AND($D155="Serviço",AX$12&lt;&gt;0,$H155&gt;0,OR(AUTOEVENTO&lt;&gt;"manual",$M155&lt;&gt;1)),ROUND(OFFSET($P155,0,AX$13),15-13*ORÇAMENTO!$AF$7)/$H155*OFFSET(ORÇAMENTO!$X$15,ROW(AX155)-ROW(AX$15),0),0)</f>
        <v>0</v>
      </c>
      <c r="AY155" s="632">
        <f ca="1">IF(AND($D155="Serviço",AY$12&lt;&gt;0,$H155&gt;0,OR(AUTOEVENTO&lt;&gt;"manual",$M155&lt;&gt;1)),ROUND(OFFSET($P155,0,AY$13),15-13*ORÇAMENTO!$AF$7)/$H155*OFFSET(ORÇAMENTO!$X$15,ROW(AY155)-ROW(AY$15),0),0)</f>
        <v>0</v>
      </c>
      <c r="AZ155" s="632">
        <f ca="1">IF(AND($D155="Serviço",AZ$12&lt;&gt;0,$H155&gt;0,OR(AUTOEVENTO&lt;&gt;"manual",$M155&lt;&gt;1)),ROUND(OFFSET($P155,0,AZ$13),15-13*ORÇAMENTO!$AF$7)/$H155*OFFSET(ORÇAMENTO!$X$15,ROW(AZ155)-ROW(AZ$15),0),0)</f>
        <v>0</v>
      </c>
      <c r="BA155" s="633">
        <f ca="1">IF(AND($D155="Serviço",BA$12&lt;&gt;0,$H155&gt;0,OR(AUTOEVENTO&lt;&gt;"manual",$M155&lt;&gt;1)),ROUND(OFFSET($P155,0,BA$13),15-13*ORÇAMENTO!$AF$7)/$H155*OFFSET(ORÇAMENTO!$X$15,ROW(BA155)-ROW(BA$15),0),0)</f>
        <v>0</v>
      </c>
      <c r="BC155" s="215">
        <f ca="1">IF($D155&lt;&gt;"Serviço",0,IF(AND(AUTOEVENTO="Manual",$M155=1),0,IF(OFFSET(CRONOPLE!$F$14,$M155,BC$13)="",10^12,OFFSET(CRONOPLE!$F$14,$M155,BC$13))))</f>
        <v>0</v>
      </c>
      <c r="BD155" s="215">
        <f ca="1">IF($D155&lt;&gt;"Serviço",0,IF(AND(AUTOEVENTO="Manual",$M155=1),0,IF(OFFSET(CRONOPLE!$F$14,$M155,BD$13)="",10^12,OFFSET(CRONOPLE!$F$14,$M155,BD$13))))</f>
        <v>0</v>
      </c>
      <c r="BE155" s="215">
        <f ca="1">IF($D155&lt;&gt;"Serviço",0,IF(AND(AUTOEVENTO="Manual",$M155=1),0,IF(OFFSET(CRONOPLE!$F$14,$M155,BE$13)="",10^12,OFFSET(CRONOPLE!$F$14,$M155,BE$13))))</f>
        <v>0</v>
      </c>
      <c r="BF155" s="215">
        <f ca="1">IF($D155&lt;&gt;"Serviço",0,IF(AND(AUTOEVENTO="Manual",$M155=1),0,IF(OFFSET(CRONOPLE!$F$14,$M155,BF$13)="",10^12,OFFSET(CRONOPLE!$F$14,$M155,BF$13))))</f>
        <v>0</v>
      </c>
      <c r="BG155" s="215">
        <f ca="1">IF($D155&lt;&gt;"Serviço",0,IF(AND(AUTOEVENTO="Manual",$M155=1),0,IF(OFFSET(CRONOPLE!$F$14,$M155,BG$13)="",10^12,OFFSET(CRONOPLE!$F$14,$M155,BG$13))))</f>
        <v>0</v>
      </c>
      <c r="BH155" s="215">
        <f ca="1">IF($D155&lt;&gt;"Serviço",0,IF(AND(AUTOEVENTO="Manual",$M155=1),0,IF(OFFSET(CRONOPLE!$F$14,$M155,BH$13)="",10^12,OFFSET(CRONOPLE!$F$14,$M155,BH$13))))</f>
        <v>0</v>
      </c>
      <c r="BI155" s="215">
        <f ca="1">IF($D155&lt;&gt;"Serviço",0,IF(AND(AUTOEVENTO="Manual",$M155=1),0,IF(OFFSET(CRONOPLE!$F$14,$M155,BI$13)="",10^12,OFFSET(CRONOPLE!$F$14,$M155,BI$13))))</f>
        <v>0</v>
      </c>
      <c r="BJ155" s="215">
        <f ca="1">IF($D155&lt;&gt;"Serviço",0,IF(AND(AUTOEVENTO="Manual",$M155=1),0,IF(OFFSET(CRONOPLE!$F$14,$M155,BJ$13)="",10^12,OFFSET(CRONOPLE!$F$14,$M155,BJ$13))))</f>
        <v>0</v>
      </c>
      <c r="BK155" s="215">
        <f ca="1">IF($D155&lt;&gt;"Serviço",0,IF(AND(AUTOEVENTO="Manual",$M155=1),0,IF(OFFSET(CRONOPLE!$F$14,$M155,BK$13)="",10^12,OFFSET(CRONOPLE!$F$14,$M155,BK$13))))</f>
        <v>0</v>
      </c>
      <c r="BL155" s="215">
        <f ca="1">IF($D155&lt;&gt;"Serviço",0,IF(AND(AUTOEVENTO="Manual",$M155=1),0,IF(OFFSET(CRONOPLE!$F$14,$M155,BL$13)="",10^12,OFFSET(CRONOPLE!$F$14,$M155,BL$13))))</f>
        <v>0</v>
      </c>
      <c r="BM155" s="215">
        <f ca="1">IF($D155&lt;&gt;"Serviço",0,IF(AND(AUTOEVENTO="Manual",$M155=1),0,IF(OFFSET(CRONOPLE!$F$14,$M155,BM$13)="",10^12,OFFSET(CRONOPLE!$F$14,$M155,BM$13))))</f>
        <v>0</v>
      </c>
      <c r="BN155" s="215">
        <f ca="1">IF($D155&lt;&gt;"Serviço",0,IF(AND(AUTOEVENTO="Manual",$M155=1),0,IF(OFFSET(CRONOPLE!$F$14,$M155,BN$13)="",10^12,OFFSET(CRONOPLE!$F$14,$M155,BN$13))))</f>
        <v>0</v>
      </c>
      <c r="BO155" s="215">
        <f ca="1">IF($D155&lt;&gt;"Serviço",0,IF(AND(AUTOEVENTO="Manual",$M155=1),0,IF(OFFSET(CRONOPLE!$F$14,$M155,BO$13)="",10^12,OFFSET(CRONOPLE!$F$14,$M155,BO$13))))</f>
        <v>0</v>
      </c>
      <c r="BP155" s="215">
        <f ca="1">IF($D155&lt;&gt;"Serviço",0,IF(AND(AUTOEVENTO="Manual",$M155=1),0,IF(OFFSET(CRONOPLE!$F$14,$M155,BP$13)="",10^12,OFFSET(CRONOPLE!$F$14,$M155,BP$13))))</f>
        <v>0</v>
      </c>
      <c r="BQ155" s="215">
        <f ca="1">IF($D155&lt;&gt;"Serviço",0,IF(AND(AUTOEVENTO="Manual",$M155=1),0,IF(OFFSET(CRONOPLE!$F$14,$M155,BQ$13)="",10^12,OFFSET(CRONOPLE!$F$14,$M155,BQ$13))))</f>
        <v>0</v>
      </c>
      <c r="BR155" s="215">
        <f ca="1">IF($D155&lt;&gt;"Serviço",0,IF(AND(AUTOEVENTO="Manual",$M155=1),0,IF(OFFSET(CRONOPLE!$F$14,$M155,BR$13)="",10^12,OFFSET(CRONOPLE!$F$14,$M155,BR$13))))</f>
        <v>0</v>
      </c>
      <c r="BS155" s="215">
        <f ca="1">IF($D155&lt;&gt;"Serviço",0,IF(AND(AUTOEVENTO="Manual",$M155=1),0,IF(OFFSET(CRONOPLE!$F$14,$M155,BS$13)="",10^12,OFFSET(CRONOPLE!$F$14,$M155,BS$13))))</f>
        <v>0</v>
      </c>
      <c r="BT155" s="215">
        <f ca="1">IF($D155&lt;&gt;"Serviço",0,IF(AND(AUTOEVENTO="Manual",$M155=1),0,IF(OFFSET(CRONOPLE!$F$14,$M155,BT$13)="",10^12,OFFSET(CRONOPLE!$F$14,$M155,BT$13))))</f>
        <v>0</v>
      </c>
      <c r="BV155" s="216">
        <f ca="1">IF($D155&lt;&gt;"Serviço",0,IF(OR(AND(AUTOEVENTO="Manual",$M155=1),$M155&gt;(ROW(PLE.lastrow)-ROW(PLE.firstrow))),0,IF(OFFSET(PLE!$G$14,$M155,BV$13)="",10^12,OFFSET(PLE!$G$14,$M155,BV$13))))</f>
        <v>0</v>
      </c>
      <c r="BW155" s="216">
        <f ca="1">IF($D155&lt;&gt;"Serviço",0,IF(OR(AND(AUTOEVENTO="Manual",$M155=1),$M155&gt;(ROW(PLE.lastrow)-ROW(PLE.firstrow))),0,IF(OFFSET(PLE!$G$14,$M155,BW$13)="",10^12,OFFSET(PLE!$G$14,$M155,BW$13))))</f>
        <v>0</v>
      </c>
      <c r="BX155" s="216">
        <f ca="1">IF($D155&lt;&gt;"Serviço",0,IF(OR(AND(AUTOEVENTO="Manual",$M155=1),$M155&gt;(ROW(PLE.lastrow)-ROW(PLE.firstrow))),0,IF(OFFSET(PLE!$G$14,$M155,BX$13)="",10^12,OFFSET(PLE!$G$14,$M155,BX$13))))</f>
        <v>0</v>
      </c>
      <c r="BY155" s="216">
        <f ca="1">IF($D155&lt;&gt;"Serviço",0,IF(OR(AND(AUTOEVENTO="Manual",$M155=1),$M155&gt;(ROW(PLE.lastrow)-ROW(PLE.firstrow))),0,IF(OFFSET(PLE!$G$14,$M155,BY$13)="",10^12,OFFSET(PLE!$G$14,$M155,BY$13))))</f>
        <v>0</v>
      </c>
      <c r="BZ155" s="216">
        <f ca="1">IF($D155&lt;&gt;"Serviço",0,IF(OR(AND(AUTOEVENTO="Manual",$M155=1),$M155&gt;(ROW(PLE.lastrow)-ROW(PLE.firstrow))),0,IF(OFFSET(PLE!$G$14,$M155,BZ$13)="",10^12,OFFSET(PLE!$G$14,$M155,BZ$13))))</f>
        <v>0</v>
      </c>
      <c r="CA155" s="216">
        <f ca="1">IF($D155&lt;&gt;"Serviço",0,IF(OR(AND(AUTOEVENTO="Manual",$M155=1),$M155&gt;(ROW(PLE.lastrow)-ROW(PLE.firstrow))),0,IF(OFFSET(PLE!$G$14,$M155,CA$13)="",10^12,OFFSET(PLE!$G$14,$M155,CA$13))))</f>
        <v>0</v>
      </c>
      <c r="CB155" s="216">
        <f ca="1">IF($D155&lt;&gt;"Serviço",0,IF(OR(AND(AUTOEVENTO="Manual",$M155=1),$M155&gt;(ROW(PLE.lastrow)-ROW(PLE.firstrow))),0,IF(OFFSET(PLE!$G$14,$M155,CB$13)="",10^12,OFFSET(PLE!$G$14,$M155,CB$13))))</f>
        <v>0</v>
      </c>
      <c r="CC155" s="216">
        <f ca="1">IF($D155&lt;&gt;"Serviço",0,IF(OR(AND(AUTOEVENTO="Manual",$M155=1),$M155&gt;(ROW(PLE.lastrow)-ROW(PLE.firstrow))),0,IF(OFFSET(PLE!$G$14,$M155,CC$13)="",10^12,OFFSET(PLE!$G$14,$M155,CC$13))))</f>
        <v>0</v>
      </c>
      <c r="CD155" s="216">
        <f ca="1">IF($D155&lt;&gt;"Serviço",0,IF(OR(AND(AUTOEVENTO="Manual",$M155=1),$M155&gt;(ROW(PLE.lastrow)-ROW(PLE.firstrow))),0,IF(OFFSET(PLE!$G$14,$M155,CD$13)="",10^12,OFFSET(PLE!$G$14,$M155,CD$13))))</f>
        <v>0</v>
      </c>
      <c r="CE155" s="216">
        <f ca="1">IF($D155&lt;&gt;"Serviço",0,IF(OR(AND(AUTOEVENTO="Manual",$M155=1),$M155&gt;(ROW(PLE.lastrow)-ROW(PLE.firstrow))),0,IF(OFFSET(PLE!$G$14,$M155,CE$13)="",10^12,OFFSET(PLE!$G$14,$M155,CE$13))))</f>
        <v>0</v>
      </c>
      <c r="CF155" s="216">
        <f ca="1">IF($D155&lt;&gt;"Serviço",0,IF(OR(AND(AUTOEVENTO="Manual",$M155=1),$M155&gt;(ROW(PLE.lastrow)-ROW(PLE.firstrow))),0,IF(OFFSET(PLE!$G$14,$M155,CF$13)="",10^12,OFFSET(PLE!$G$14,$M155,CF$13))))</f>
        <v>0</v>
      </c>
      <c r="CG155" s="216">
        <f ca="1">IF($D155&lt;&gt;"Serviço",0,IF(OR(AND(AUTOEVENTO="Manual",$M155=1),$M155&gt;(ROW(PLE.lastrow)-ROW(PLE.firstrow))),0,IF(OFFSET(PLE!$G$14,$M155,CG$13)="",10^12,OFFSET(PLE!$G$14,$M155,CG$13))))</f>
        <v>0</v>
      </c>
      <c r="CH155" s="216">
        <f ca="1">IF($D155&lt;&gt;"Serviço",0,IF(OR(AND(AUTOEVENTO="Manual",$M155=1),$M155&gt;(ROW(PLE.lastrow)-ROW(PLE.firstrow))),0,IF(OFFSET(PLE!$G$14,$M155,CH$13)="",10^12,OFFSET(PLE!$G$14,$M155,CH$13))))</f>
        <v>0</v>
      </c>
      <c r="CI155" s="216">
        <f ca="1">IF($D155&lt;&gt;"Serviço",0,IF(OR(AND(AUTOEVENTO="Manual",$M155=1),$M155&gt;(ROW(PLE.lastrow)-ROW(PLE.firstrow))),0,IF(OFFSET(PLE!$G$14,$M155,CI$13)="",10^12,OFFSET(PLE!$G$14,$M155,CI$13))))</f>
        <v>0</v>
      </c>
      <c r="CJ155" s="216">
        <f ca="1">IF($D155&lt;&gt;"Serviço",0,IF(OR(AND(AUTOEVENTO="Manual",$M155=1),$M155&gt;(ROW(PLE.lastrow)-ROW(PLE.firstrow))),0,IF(OFFSET(PLE!$G$14,$M155,CJ$13)="",10^12,OFFSET(PLE!$G$14,$M155,CJ$13))))</f>
        <v>0</v>
      </c>
      <c r="CK155" s="216">
        <f ca="1">IF($D155&lt;&gt;"Serviço",0,IF(OR(AND(AUTOEVENTO="Manual",$M155=1),$M155&gt;(ROW(PLE.lastrow)-ROW(PLE.firstrow))),0,IF(OFFSET(PLE!$G$14,$M155,CK$13)="",10^12,OFFSET(PLE!$G$14,$M155,CK$13))))</f>
        <v>0</v>
      </c>
      <c r="CL155" s="216">
        <f ca="1">IF($D155&lt;&gt;"Serviço",0,IF(OR(AND(AUTOEVENTO="Manual",$M155=1),$M155&gt;(ROW(PLE.lastrow)-ROW(PLE.firstrow))),0,IF(OFFSET(PLE!$G$14,$M155,CL$13)="",10^12,OFFSET(PLE!$G$14,$M155,CL$13))))</f>
        <v>0</v>
      </c>
      <c r="CM155" s="216">
        <f ca="1">IF($D155&lt;&gt;"Serviço",0,IF(OR(AND(AUTOEVENTO="Manual",$M155=1),$M155&gt;(ROW(PLE.lastrow)-ROW(PLE.firstrow))),0,IF(OFFSET(PLE!$G$14,$M155,CM$13)="",10^12,OFFSET(PLE!$G$14,$M155,CM$13))))</f>
        <v>0</v>
      </c>
    </row>
    <row r="156" spans="1:91" ht="13.2" x14ac:dyDescent="0.25">
      <c r="A156" s="9">
        <f t="shared" ca="1" si="11"/>
        <v>0</v>
      </c>
      <c r="B156" s="9" t="str">
        <f ca="1">OFFSET(ORÇAMENTO!C$15,ROW(B156)-ROW(B$15),0)</f>
        <v>S</v>
      </c>
      <c r="C156" s="9" t="str">
        <f ca="1">OFFSET(ORÇAMENTO!L$15,ROW(C156)-ROW(C$15),0)</f>
        <v/>
      </c>
      <c r="D156" s="145" t="str">
        <f ca="1">OFFSET(ORÇAMENTO!N$15,ROW(D156)-ROW(D$15),0)</f>
        <v>Serviço</v>
      </c>
      <c r="E156" s="205" t="str">
        <f ca="1">OFFSET(ORÇAMENTO!O$15,ROW(E156)-ROW(E$15),0)</f>
        <v>-</v>
      </c>
      <c r="F156" s="206" t="str">
        <f ca="1">OFFSET(ORÇAMENTO!R$15,ROW(F156)-ROW(F$15),0)</f>
        <v>(abra o arquivo 'Referência 05-2024.xls)</v>
      </c>
      <c r="G156" s="207" t="str">
        <f ca="1">IF($D156&lt;&gt;"Serviço","",OFFSET(ORÇAMENTO!S$15,ROW(G156)-ROW(G$15),0))</f>
        <v>-</v>
      </c>
      <c r="H156" s="151">
        <f ca="1">IF($D156&lt;&gt;"Serviço",0,IF(ACOMPANHAMENTO="BM",ROUND(OFFSET(ORÇAMENTO!AJ$15,ROW(H156)-ROW(H$15),0),15-13*ORÇAMENTO!$AF$7),SUMPRODUCT(($Q$12:$AI$12&lt;&gt;"")*ROUND($Q156:$AI156,15-13*ORÇAMENTO!$AF$7))))</f>
        <v>1406.55</v>
      </c>
      <c r="I156" s="650"/>
      <c r="K156" s="208"/>
      <c r="L156" s="209" t="s">
        <v>257</v>
      </c>
      <c r="M156" s="210">
        <f ca="1">IF($D156&lt;&gt;"Serviço","",IF(AUTOEVENTO="manual",$A156,IF(ISERROR(MATCH($A156,$A$15:OFFSET($A156,-1,0),0)),MAX($M$15:OFFSET(M156,-1,0))+1,INDEX($M$15:OFFSET(M156,-1,0),MATCH($A156,$A$15:OFFSET($A156,-1,0),0)))))</f>
        <v>0</v>
      </c>
      <c r="N156" s="211" t="str">
        <f ca="1">IF($D156&lt;&gt;"Serviço","",IF(AUTOEVENTO="Manual",IF($A156=0,"&lt;-- defina o número do agrupador",OFFSET(EVENTOS!$D$14,$A156,0)),OFFSET($F$15,$A156,0)))</f>
        <v>&lt;-- defina o número do agrupador</v>
      </c>
      <c r="O156" s="212"/>
      <c r="Q156" s="212"/>
      <c r="R156" s="213"/>
      <c r="S156" s="213"/>
      <c r="T156" s="213"/>
      <c r="U156" s="213"/>
      <c r="V156" s="213"/>
      <c r="W156" s="213"/>
      <c r="X156" s="213"/>
      <c r="Y156" s="213"/>
      <c r="Z156" s="214"/>
      <c r="AA156" s="213"/>
      <c r="AB156" s="213"/>
      <c r="AC156" s="213"/>
      <c r="AD156" s="213"/>
      <c r="AE156" s="213"/>
      <c r="AF156" s="213"/>
      <c r="AG156" s="213"/>
      <c r="AH156" s="214"/>
      <c r="AJ156" s="631">
        <f ca="1">IF(AND($D156="Serviço",AJ$12&lt;&gt;0,$H156&gt;0,OR(AUTOEVENTO&lt;&gt;"manual",$M156&lt;&gt;1)),ROUND(OFFSET($P156,0,AJ$13),15-13*ORÇAMENTO!$AF$7)/$H156*OFFSET(ORÇAMENTO!$X$15,ROW(AJ156)-ROW(AJ$15),0),0)</f>
        <v>0</v>
      </c>
      <c r="AK156" s="632">
        <f ca="1">IF(AND($D156="Serviço",AK$12&lt;&gt;0,$H156&gt;0,OR(AUTOEVENTO&lt;&gt;"manual",$M156&lt;&gt;1)),ROUND(OFFSET($P156,0,AK$13),15-13*ORÇAMENTO!$AF$7)/$H156*OFFSET(ORÇAMENTO!$X$15,ROW(AK156)-ROW(AK$15),0),0)</f>
        <v>0</v>
      </c>
      <c r="AL156" s="632">
        <f ca="1">IF(AND($D156="Serviço",AL$12&lt;&gt;0,$H156&gt;0,OR(AUTOEVENTO&lt;&gt;"manual",$M156&lt;&gt;1)),ROUND(OFFSET($P156,0,AL$13),15-13*ORÇAMENTO!$AF$7)/$H156*OFFSET(ORÇAMENTO!$X$15,ROW(AL156)-ROW(AL$15),0),0)</f>
        <v>0</v>
      </c>
      <c r="AM156" s="632">
        <f ca="1">IF(AND($D156="Serviço",AM$12&lt;&gt;0,$H156&gt;0,OR(AUTOEVENTO&lt;&gt;"manual",$M156&lt;&gt;1)),ROUND(OFFSET($P156,0,AM$13),15-13*ORÇAMENTO!$AF$7)/$H156*OFFSET(ORÇAMENTO!$X$15,ROW(AM156)-ROW(AM$15),0),0)</f>
        <v>0</v>
      </c>
      <c r="AN156" s="632">
        <f ca="1">IF(AND($D156="Serviço",AN$12&lt;&gt;0,$H156&gt;0,OR(AUTOEVENTO&lt;&gt;"manual",$M156&lt;&gt;1)),ROUND(OFFSET($P156,0,AN$13),15-13*ORÇAMENTO!$AF$7)/$H156*OFFSET(ORÇAMENTO!$X$15,ROW(AN156)-ROW(AN$15),0),0)</f>
        <v>0</v>
      </c>
      <c r="AO156" s="632">
        <f ca="1">IF(AND($D156="Serviço",AO$12&lt;&gt;0,$H156&gt;0,OR(AUTOEVENTO&lt;&gt;"manual",$M156&lt;&gt;1)),ROUND(OFFSET($P156,0,AO$13),15-13*ORÇAMENTO!$AF$7)/$H156*OFFSET(ORÇAMENTO!$X$15,ROW(AO156)-ROW(AO$15),0),0)</f>
        <v>0</v>
      </c>
      <c r="AP156" s="632">
        <f ca="1">IF(AND($D156="Serviço",AP$12&lt;&gt;0,$H156&gt;0,OR(AUTOEVENTO&lt;&gt;"manual",$M156&lt;&gt;1)),ROUND(OFFSET($P156,0,AP$13),15-13*ORÇAMENTO!$AF$7)/$H156*OFFSET(ORÇAMENTO!$X$15,ROW(AP156)-ROW(AP$15),0),0)</f>
        <v>0</v>
      </c>
      <c r="AQ156" s="632">
        <f ca="1">IF(AND($D156="Serviço",AQ$12&lt;&gt;0,$H156&gt;0,OR(AUTOEVENTO&lt;&gt;"manual",$M156&lt;&gt;1)),ROUND(OFFSET($P156,0,AQ$13),15-13*ORÇAMENTO!$AF$7)/$H156*OFFSET(ORÇAMENTO!$X$15,ROW(AQ156)-ROW(AQ$15),0),0)</f>
        <v>0</v>
      </c>
      <c r="AR156" s="632">
        <f ca="1">IF(AND($D156="Serviço",AR$12&lt;&gt;0,$H156&gt;0,OR(AUTOEVENTO&lt;&gt;"manual",$M156&lt;&gt;1)),ROUND(OFFSET($P156,0,AR$13),15-13*ORÇAMENTO!$AF$7)/$H156*OFFSET(ORÇAMENTO!$X$15,ROW(AR156)-ROW(AR$15),0),0)</f>
        <v>0</v>
      </c>
      <c r="AS156" s="633">
        <f ca="1">IF(AND($D156="Serviço",AS$12&lt;&gt;0,$H156&gt;0,OR(AUTOEVENTO&lt;&gt;"manual",$M156&lt;&gt;1)),ROUND(OFFSET($P156,0,AS$13),15-13*ORÇAMENTO!$AF$7)/$H156*OFFSET(ORÇAMENTO!$X$15,ROW(AS156)-ROW(AS$15),0),0)</f>
        <v>0</v>
      </c>
      <c r="AT156" s="632">
        <f ca="1">IF(AND($D156="Serviço",AT$12&lt;&gt;0,$H156&gt;0,OR(AUTOEVENTO&lt;&gt;"manual",$M156&lt;&gt;1)),ROUND(OFFSET($P156,0,AT$13),15-13*ORÇAMENTO!$AF$7)/$H156*OFFSET(ORÇAMENTO!$X$15,ROW(AT156)-ROW(AT$15),0),0)</f>
        <v>0</v>
      </c>
      <c r="AU156" s="632">
        <f ca="1">IF(AND($D156="Serviço",AU$12&lt;&gt;0,$H156&gt;0,OR(AUTOEVENTO&lt;&gt;"manual",$M156&lt;&gt;1)),ROUND(OFFSET($P156,0,AU$13),15-13*ORÇAMENTO!$AF$7)/$H156*OFFSET(ORÇAMENTO!$X$15,ROW(AU156)-ROW(AU$15),0),0)</f>
        <v>0</v>
      </c>
      <c r="AV156" s="632">
        <f ca="1">IF(AND($D156="Serviço",AV$12&lt;&gt;0,$H156&gt;0,OR(AUTOEVENTO&lt;&gt;"manual",$M156&lt;&gt;1)),ROUND(OFFSET($P156,0,AV$13),15-13*ORÇAMENTO!$AF$7)/$H156*OFFSET(ORÇAMENTO!$X$15,ROW(AV156)-ROW(AV$15),0),0)</f>
        <v>0</v>
      </c>
      <c r="AW156" s="632">
        <f ca="1">IF(AND($D156="Serviço",AW$12&lt;&gt;0,$H156&gt;0,OR(AUTOEVENTO&lt;&gt;"manual",$M156&lt;&gt;1)),ROUND(OFFSET($P156,0,AW$13),15-13*ORÇAMENTO!$AF$7)/$H156*OFFSET(ORÇAMENTO!$X$15,ROW(AW156)-ROW(AW$15),0),0)</f>
        <v>0</v>
      </c>
      <c r="AX156" s="632">
        <f ca="1">IF(AND($D156="Serviço",AX$12&lt;&gt;0,$H156&gt;0,OR(AUTOEVENTO&lt;&gt;"manual",$M156&lt;&gt;1)),ROUND(OFFSET($P156,0,AX$13),15-13*ORÇAMENTO!$AF$7)/$H156*OFFSET(ORÇAMENTO!$X$15,ROW(AX156)-ROW(AX$15),0),0)</f>
        <v>0</v>
      </c>
      <c r="AY156" s="632">
        <f ca="1">IF(AND($D156="Serviço",AY$12&lt;&gt;0,$H156&gt;0,OR(AUTOEVENTO&lt;&gt;"manual",$M156&lt;&gt;1)),ROUND(OFFSET($P156,0,AY$13),15-13*ORÇAMENTO!$AF$7)/$H156*OFFSET(ORÇAMENTO!$X$15,ROW(AY156)-ROW(AY$15),0),0)</f>
        <v>0</v>
      </c>
      <c r="AZ156" s="632">
        <f ca="1">IF(AND($D156="Serviço",AZ$12&lt;&gt;0,$H156&gt;0,OR(AUTOEVENTO&lt;&gt;"manual",$M156&lt;&gt;1)),ROUND(OFFSET($P156,0,AZ$13),15-13*ORÇAMENTO!$AF$7)/$H156*OFFSET(ORÇAMENTO!$X$15,ROW(AZ156)-ROW(AZ$15),0),0)</f>
        <v>0</v>
      </c>
      <c r="BA156" s="633">
        <f ca="1">IF(AND($D156="Serviço",BA$12&lt;&gt;0,$H156&gt;0,OR(AUTOEVENTO&lt;&gt;"manual",$M156&lt;&gt;1)),ROUND(OFFSET($P156,0,BA$13),15-13*ORÇAMENTO!$AF$7)/$H156*OFFSET(ORÇAMENTO!$X$15,ROW(BA156)-ROW(BA$15),0),0)</f>
        <v>0</v>
      </c>
      <c r="BC156" s="215">
        <f ca="1">IF($D156&lt;&gt;"Serviço",0,IF(AND(AUTOEVENTO="Manual",$M156=1),0,IF(OFFSET(CRONOPLE!$F$14,$M156,BC$13)="",10^12,OFFSET(CRONOPLE!$F$14,$M156,BC$13))))</f>
        <v>1000000000000</v>
      </c>
      <c r="BD156" s="215">
        <f ca="1">IF($D156&lt;&gt;"Serviço",0,IF(AND(AUTOEVENTO="Manual",$M156=1),0,IF(OFFSET(CRONOPLE!$F$14,$M156,BD$13)="",10^12,OFFSET(CRONOPLE!$F$14,$M156,BD$13))))</f>
        <v>1000000000000</v>
      </c>
      <c r="BE156" s="215">
        <f ca="1">IF($D156&lt;&gt;"Serviço",0,IF(AND(AUTOEVENTO="Manual",$M156=1),0,IF(OFFSET(CRONOPLE!$F$14,$M156,BE$13)="",10^12,OFFSET(CRONOPLE!$F$14,$M156,BE$13))))</f>
        <v>1000000000000</v>
      </c>
      <c r="BF156" s="215">
        <f ca="1">IF($D156&lt;&gt;"Serviço",0,IF(AND(AUTOEVENTO="Manual",$M156=1),0,IF(OFFSET(CRONOPLE!$F$14,$M156,BF$13)="",10^12,OFFSET(CRONOPLE!$F$14,$M156,BF$13))))</f>
        <v>1000000000000</v>
      </c>
      <c r="BG156" s="215">
        <f ca="1">IF($D156&lt;&gt;"Serviço",0,IF(AND(AUTOEVENTO="Manual",$M156=1),0,IF(OFFSET(CRONOPLE!$F$14,$M156,BG$13)="",10^12,OFFSET(CRONOPLE!$F$14,$M156,BG$13))))</f>
        <v>1000000000000</v>
      </c>
      <c r="BH156" s="215">
        <f ca="1">IF($D156&lt;&gt;"Serviço",0,IF(AND(AUTOEVENTO="Manual",$M156=1),0,IF(OFFSET(CRONOPLE!$F$14,$M156,BH$13)="",10^12,OFFSET(CRONOPLE!$F$14,$M156,BH$13))))</f>
        <v>1000000000000</v>
      </c>
      <c r="BI156" s="215">
        <f ca="1">IF($D156&lt;&gt;"Serviço",0,IF(AND(AUTOEVENTO="Manual",$M156=1),0,IF(OFFSET(CRONOPLE!$F$14,$M156,BI$13)="",10^12,OFFSET(CRONOPLE!$F$14,$M156,BI$13))))</f>
        <v>1000000000000</v>
      </c>
      <c r="BJ156" s="215">
        <f ca="1">IF($D156&lt;&gt;"Serviço",0,IF(AND(AUTOEVENTO="Manual",$M156=1),0,IF(OFFSET(CRONOPLE!$F$14,$M156,BJ$13)="",10^12,OFFSET(CRONOPLE!$F$14,$M156,BJ$13))))</f>
        <v>1000000000000</v>
      </c>
      <c r="BK156" s="215">
        <f ca="1">IF($D156&lt;&gt;"Serviço",0,IF(AND(AUTOEVENTO="Manual",$M156=1),0,IF(OFFSET(CRONOPLE!$F$14,$M156,BK$13)="",10^12,OFFSET(CRONOPLE!$F$14,$M156,BK$13))))</f>
        <v>1000000000000</v>
      </c>
      <c r="BL156" s="215">
        <f ca="1">IF($D156&lt;&gt;"Serviço",0,IF(AND(AUTOEVENTO="Manual",$M156=1),0,IF(OFFSET(CRONOPLE!$F$14,$M156,BL$13)="",10^12,OFFSET(CRONOPLE!$F$14,$M156,BL$13))))</f>
        <v>1000000000000</v>
      </c>
      <c r="BM156" s="215">
        <f ca="1">IF($D156&lt;&gt;"Serviço",0,IF(AND(AUTOEVENTO="Manual",$M156=1),0,IF(OFFSET(CRONOPLE!$F$14,$M156,BM$13)="",10^12,OFFSET(CRONOPLE!$F$14,$M156,BM$13))))</f>
        <v>1000000000000</v>
      </c>
      <c r="BN156" s="215">
        <f ca="1">IF($D156&lt;&gt;"Serviço",0,IF(AND(AUTOEVENTO="Manual",$M156=1),0,IF(OFFSET(CRONOPLE!$F$14,$M156,BN$13)="",10^12,OFFSET(CRONOPLE!$F$14,$M156,BN$13))))</f>
        <v>1000000000000</v>
      </c>
      <c r="BO156" s="215">
        <f ca="1">IF($D156&lt;&gt;"Serviço",0,IF(AND(AUTOEVENTO="Manual",$M156=1),0,IF(OFFSET(CRONOPLE!$F$14,$M156,BO$13)="",10^12,OFFSET(CRONOPLE!$F$14,$M156,BO$13))))</f>
        <v>1000000000000</v>
      </c>
      <c r="BP156" s="215">
        <f ca="1">IF($D156&lt;&gt;"Serviço",0,IF(AND(AUTOEVENTO="Manual",$M156=1),0,IF(OFFSET(CRONOPLE!$F$14,$M156,BP$13)="",10^12,OFFSET(CRONOPLE!$F$14,$M156,BP$13))))</f>
        <v>1000000000000</v>
      </c>
      <c r="BQ156" s="215">
        <f ca="1">IF($D156&lt;&gt;"Serviço",0,IF(AND(AUTOEVENTO="Manual",$M156=1),0,IF(OFFSET(CRONOPLE!$F$14,$M156,BQ$13)="",10^12,OFFSET(CRONOPLE!$F$14,$M156,BQ$13))))</f>
        <v>1000000000000</v>
      </c>
      <c r="BR156" s="215">
        <f ca="1">IF($D156&lt;&gt;"Serviço",0,IF(AND(AUTOEVENTO="Manual",$M156=1),0,IF(OFFSET(CRONOPLE!$F$14,$M156,BR$13)="",10^12,OFFSET(CRONOPLE!$F$14,$M156,BR$13))))</f>
        <v>1000000000000</v>
      </c>
      <c r="BS156" s="215">
        <f ca="1">IF($D156&lt;&gt;"Serviço",0,IF(AND(AUTOEVENTO="Manual",$M156=1),0,IF(OFFSET(CRONOPLE!$F$14,$M156,BS$13)="",10^12,OFFSET(CRONOPLE!$F$14,$M156,BS$13))))</f>
        <v>1000000000000</v>
      </c>
      <c r="BT156" s="215">
        <f ca="1">IF($D156&lt;&gt;"Serviço",0,IF(AND(AUTOEVENTO="Manual",$M156=1),0,IF(OFFSET(CRONOPLE!$F$14,$M156,BT$13)="",10^12,OFFSET(CRONOPLE!$F$14,$M156,BT$13))))</f>
        <v>1000000000000</v>
      </c>
      <c r="BV156" s="216">
        <f ca="1">IF($D156&lt;&gt;"Serviço",0,IF(OR(AND(AUTOEVENTO="Manual",$M156=1),$M156&gt;(ROW(PLE.lastrow)-ROW(PLE.firstrow))),0,IF(OFFSET(PLE!$G$14,$M156,BV$13)="",10^12,OFFSET(PLE!$G$14,$M156,BV$13))))</f>
        <v>1000000000000</v>
      </c>
      <c r="BW156" s="216">
        <f ca="1">IF($D156&lt;&gt;"Serviço",0,IF(OR(AND(AUTOEVENTO="Manual",$M156=1),$M156&gt;(ROW(PLE.lastrow)-ROW(PLE.firstrow))),0,IF(OFFSET(PLE!$G$14,$M156,BW$13)="",10^12,OFFSET(PLE!$G$14,$M156,BW$13))))</f>
        <v>1000000000000</v>
      </c>
      <c r="BX156" s="216">
        <f ca="1">IF($D156&lt;&gt;"Serviço",0,IF(OR(AND(AUTOEVENTO="Manual",$M156=1),$M156&gt;(ROW(PLE.lastrow)-ROW(PLE.firstrow))),0,IF(OFFSET(PLE!$G$14,$M156,BX$13)="",10^12,OFFSET(PLE!$G$14,$M156,BX$13))))</f>
        <v>1000000000000</v>
      </c>
      <c r="BY156" s="216">
        <f ca="1">IF($D156&lt;&gt;"Serviço",0,IF(OR(AND(AUTOEVENTO="Manual",$M156=1),$M156&gt;(ROW(PLE.lastrow)-ROW(PLE.firstrow))),0,IF(OFFSET(PLE!$G$14,$M156,BY$13)="",10^12,OFFSET(PLE!$G$14,$M156,BY$13))))</f>
        <v>1000000000000</v>
      </c>
      <c r="BZ156" s="216">
        <f ca="1">IF($D156&lt;&gt;"Serviço",0,IF(OR(AND(AUTOEVENTO="Manual",$M156=1),$M156&gt;(ROW(PLE.lastrow)-ROW(PLE.firstrow))),0,IF(OFFSET(PLE!$G$14,$M156,BZ$13)="",10^12,OFFSET(PLE!$G$14,$M156,BZ$13))))</f>
        <v>1000000000000</v>
      </c>
      <c r="CA156" s="216">
        <f ca="1">IF($D156&lt;&gt;"Serviço",0,IF(OR(AND(AUTOEVENTO="Manual",$M156=1),$M156&gt;(ROW(PLE.lastrow)-ROW(PLE.firstrow))),0,IF(OFFSET(PLE!$G$14,$M156,CA$13)="",10^12,OFFSET(PLE!$G$14,$M156,CA$13))))</f>
        <v>1000000000000</v>
      </c>
      <c r="CB156" s="216">
        <f ca="1">IF($D156&lt;&gt;"Serviço",0,IF(OR(AND(AUTOEVENTO="Manual",$M156=1),$M156&gt;(ROW(PLE.lastrow)-ROW(PLE.firstrow))),0,IF(OFFSET(PLE!$G$14,$M156,CB$13)="",10^12,OFFSET(PLE!$G$14,$M156,CB$13))))</f>
        <v>1000000000000</v>
      </c>
      <c r="CC156" s="216">
        <f ca="1">IF($D156&lt;&gt;"Serviço",0,IF(OR(AND(AUTOEVENTO="Manual",$M156=1),$M156&gt;(ROW(PLE.lastrow)-ROW(PLE.firstrow))),0,IF(OFFSET(PLE!$G$14,$M156,CC$13)="",10^12,OFFSET(PLE!$G$14,$M156,CC$13))))</f>
        <v>1000000000000</v>
      </c>
      <c r="CD156" s="216">
        <f ca="1">IF($D156&lt;&gt;"Serviço",0,IF(OR(AND(AUTOEVENTO="Manual",$M156=1),$M156&gt;(ROW(PLE.lastrow)-ROW(PLE.firstrow))),0,IF(OFFSET(PLE!$G$14,$M156,CD$13)="",10^12,OFFSET(PLE!$G$14,$M156,CD$13))))</f>
        <v>1000000000000</v>
      </c>
      <c r="CE156" s="216">
        <f ca="1">IF($D156&lt;&gt;"Serviço",0,IF(OR(AND(AUTOEVENTO="Manual",$M156=1),$M156&gt;(ROW(PLE.lastrow)-ROW(PLE.firstrow))),0,IF(OFFSET(PLE!$G$14,$M156,CE$13)="",10^12,OFFSET(PLE!$G$14,$M156,CE$13))))</f>
        <v>1000000000000</v>
      </c>
      <c r="CF156" s="216">
        <f ca="1">IF($D156&lt;&gt;"Serviço",0,IF(OR(AND(AUTOEVENTO="Manual",$M156=1),$M156&gt;(ROW(PLE.lastrow)-ROW(PLE.firstrow))),0,IF(OFFSET(PLE!$G$14,$M156,CF$13)="",10^12,OFFSET(PLE!$G$14,$M156,CF$13))))</f>
        <v>1000000000000</v>
      </c>
      <c r="CG156" s="216">
        <f ca="1">IF($D156&lt;&gt;"Serviço",0,IF(OR(AND(AUTOEVENTO="Manual",$M156=1),$M156&gt;(ROW(PLE.lastrow)-ROW(PLE.firstrow))),0,IF(OFFSET(PLE!$G$14,$M156,CG$13)="",10^12,OFFSET(PLE!$G$14,$M156,CG$13))))</f>
        <v>1000000000000</v>
      </c>
      <c r="CH156" s="216">
        <f ca="1">IF($D156&lt;&gt;"Serviço",0,IF(OR(AND(AUTOEVENTO="Manual",$M156=1),$M156&gt;(ROW(PLE.lastrow)-ROW(PLE.firstrow))),0,IF(OFFSET(PLE!$G$14,$M156,CH$13)="",10^12,OFFSET(PLE!$G$14,$M156,CH$13))))</f>
        <v>1000000000000</v>
      </c>
      <c r="CI156" s="216">
        <f ca="1">IF($D156&lt;&gt;"Serviço",0,IF(OR(AND(AUTOEVENTO="Manual",$M156=1),$M156&gt;(ROW(PLE.lastrow)-ROW(PLE.firstrow))),0,IF(OFFSET(PLE!$G$14,$M156,CI$13)="",10^12,OFFSET(PLE!$G$14,$M156,CI$13))))</f>
        <v>1000000000000</v>
      </c>
      <c r="CJ156" s="216">
        <f ca="1">IF($D156&lt;&gt;"Serviço",0,IF(OR(AND(AUTOEVENTO="Manual",$M156=1),$M156&gt;(ROW(PLE.lastrow)-ROW(PLE.firstrow))),0,IF(OFFSET(PLE!$G$14,$M156,CJ$13)="",10^12,OFFSET(PLE!$G$14,$M156,CJ$13))))</f>
        <v>1000000000000</v>
      </c>
      <c r="CK156" s="216">
        <f ca="1">IF($D156&lt;&gt;"Serviço",0,IF(OR(AND(AUTOEVENTO="Manual",$M156=1),$M156&gt;(ROW(PLE.lastrow)-ROW(PLE.firstrow))),0,IF(OFFSET(PLE!$G$14,$M156,CK$13)="",10^12,OFFSET(PLE!$G$14,$M156,CK$13))))</f>
        <v>1000000000000</v>
      </c>
      <c r="CL156" s="216">
        <f ca="1">IF($D156&lt;&gt;"Serviço",0,IF(OR(AND(AUTOEVENTO="Manual",$M156=1),$M156&gt;(ROW(PLE.lastrow)-ROW(PLE.firstrow))),0,IF(OFFSET(PLE!$G$14,$M156,CL$13)="",10^12,OFFSET(PLE!$G$14,$M156,CL$13))))</f>
        <v>1000000000000</v>
      </c>
      <c r="CM156" s="216">
        <f ca="1">IF($D156&lt;&gt;"Serviço",0,IF(OR(AND(AUTOEVENTO="Manual",$M156=1),$M156&gt;(ROW(PLE.lastrow)-ROW(PLE.firstrow))),0,IF(OFFSET(PLE!$G$14,$M156,CM$13)="",10^12,OFFSET(PLE!$G$14,$M156,CM$13))))</f>
        <v>1000000000000</v>
      </c>
    </row>
    <row r="157" spans="1:91" ht="13.2" x14ac:dyDescent="0.25">
      <c r="A157" s="9">
        <f t="shared" ca="1" si="11"/>
        <v>0</v>
      </c>
      <c r="B157" s="9" t="str">
        <f ca="1">OFFSET(ORÇAMENTO!C$15,ROW(B157)-ROW(B$15),0)</f>
        <v>S</v>
      </c>
      <c r="C157" s="9" t="str">
        <f ca="1">OFFSET(ORÇAMENTO!L$15,ROW(C157)-ROW(C$15),0)</f>
        <v/>
      </c>
      <c r="D157" s="145" t="str">
        <f ca="1">OFFSET(ORÇAMENTO!N$15,ROW(D157)-ROW(D$15),0)</f>
        <v>Serviço</v>
      </c>
      <c r="E157" s="205" t="str">
        <f ca="1">OFFSET(ORÇAMENTO!O$15,ROW(E157)-ROW(E$15),0)</f>
        <v>-</v>
      </c>
      <c r="F157" s="206" t="str">
        <f ca="1">OFFSET(ORÇAMENTO!R$15,ROW(F157)-ROW(F$15),0)</f>
        <v>(abra o arquivo 'Referência 05-2024.xls)</v>
      </c>
      <c r="G157" s="207" t="str">
        <f ca="1">IF($D157&lt;&gt;"Serviço","",OFFSET(ORÇAMENTO!S$15,ROW(G157)-ROW(G$15),0))</f>
        <v>-</v>
      </c>
      <c r="H157" s="151">
        <f ca="1">IF($D157&lt;&gt;"Serviço",0,IF(ACOMPANHAMENTO="BM",ROUND(OFFSET(ORÇAMENTO!AJ$15,ROW(H157)-ROW(H$15),0),15-13*ORÇAMENTO!$AF$7),SUMPRODUCT(($Q$12:$AI$12&lt;&gt;"")*ROUND($Q157:$AI157,15-13*ORÇAMENTO!$AF$7))))</f>
        <v>345.27</v>
      </c>
      <c r="I157" s="650"/>
      <c r="K157" s="208"/>
      <c r="L157" s="209" t="s">
        <v>257</v>
      </c>
      <c r="M157" s="210">
        <f ca="1">IF($D157&lt;&gt;"Serviço","",IF(AUTOEVENTO="manual",$A157,IF(ISERROR(MATCH($A157,$A$15:OFFSET($A157,-1,0),0)),MAX($M$15:OFFSET(M157,-1,0))+1,INDEX($M$15:OFFSET(M157,-1,0),MATCH($A157,$A$15:OFFSET($A157,-1,0),0)))))</f>
        <v>0</v>
      </c>
      <c r="N157" s="211" t="str">
        <f ca="1">IF($D157&lt;&gt;"Serviço","",IF(AUTOEVENTO="Manual",IF($A157=0,"&lt;-- defina o número do agrupador",OFFSET(EVENTOS!$D$14,$A157,0)),OFFSET($F$15,$A157,0)))</f>
        <v>&lt;-- defina o número do agrupador</v>
      </c>
      <c r="O157" s="212"/>
      <c r="Q157" s="212"/>
      <c r="R157" s="213"/>
      <c r="S157" s="213"/>
      <c r="T157" s="213"/>
      <c r="U157" s="213"/>
      <c r="V157" s="213"/>
      <c r="W157" s="213"/>
      <c r="X157" s="213"/>
      <c r="Y157" s="213"/>
      <c r="Z157" s="214"/>
      <c r="AA157" s="213"/>
      <c r="AB157" s="213"/>
      <c r="AC157" s="213"/>
      <c r="AD157" s="213"/>
      <c r="AE157" s="213"/>
      <c r="AF157" s="213"/>
      <c r="AG157" s="213"/>
      <c r="AH157" s="214"/>
      <c r="AJ157" s="631">
        <f ca="1">IF(AND($D157="Serviço",AJ$12&lt;&gt;0,$H157&gt;0,OR(AUTOEVENTO&lt;&gt;"manual",$M157&lt;&gt;1)),ROUND(OFFSET($P157,0,AJ$13),15-13*ORÇAMENTO!$AF$7)/$H157*OFFSET(ORÇAMENTO!$X$15,ROW(AJ157)-ROW(AJ$15),0),0)</f>
        <v>0</v>
      </c>
      <c r="AK157" s="632">
        <f ca="1">IF(AND($D157="Serviço",AK$12&lt;&gt;0,$H157&gt;0,OR(AUTOEVENTO&lt;&gt;"manual",$M157&lt;&gt;1)),ROUND(OFFSET($P157,0,AK$13),15-13*ORÇAMENTO!$AF$7)/$H157*OFFSET(ORÇAMENTO!$X$15,ROW(AK157)-ROW(AK$15),0),0)</f>
        <v>0</v>
      </c>
      <c r="AL157" s="632">
        <f ca="1">IF(AND($D157="Serviço",AL$12&lt;&gt;0,$H157&gt;0,OR(AUTOEVENTO&lt;&gt;"manual",$M157&lt;&gt;1)),ROUND(OFFSET($P157,0,AL$13),15-13*ORÇAMENTO!$AF$7)/$H157*OFFSET(ORÇAMENTO!$X$15,ROW(AL157)-ROW(AL$15),0),0)</f>
        <v>0</v>
      </c>
      <c r="AM157" s="632">
        <f ca="1">IF(AND($D157="Serviço",AM$12&lt;&gt;0,$H157&gt;0,OR(AUTOEVENTO&lt;&gt;"manual",$M157&lt;&gt;1)),ROUND(OFFSET($P157,0,AM$13),15-13*ORÇAMENTO!$AF$7)/$H157*OFFSET(ORÇAMENTO!$X$15,ROW(AM157)-ROW(AM$15),0),0)</f>
        <v>0</v>
      </c>
      <c r="AN157" s="632">
        <f ca="1">IF(AND($D157="Serviço",AN$12&lt;&gt;0,$H157&gt;0,OR(AUTOEVENTO&lt;&gt;"manual",$M157&lt;&gt;1)),ROUND(OFFSET($P157,0,AN$13),15-13*ORÇAMENTO!$AF$7)/$H157*OFFSET(ORÇAMENTO!$X$15,ROW(AN157)-ROW(AN$15),0),0)</f>
        <v>0</v>
      </c>
      <c r="AO157" s="632">
        <f ca="1">IF(AND($D157="Serviço",AO$12&lt;&gt;0,$H157&gt;0,OR(AUTOEVENTO&lt;&gt;"manual",$M157&lt;&gt;1)),ROUND(OFFSET($P157,0,AO$13),15-13*ORÇAMENTO!$AF$7)/$H157*OFFSET(ORÇAMENTO!$X$15,ROW(AO157)-ROW(AO$15),0),0)</f>
        <v>0</v>
      </c>
      <c r="AP157" s="632">
        <f ca="1">IF(AND($D157="Serviço",AP$12&lt;&gt;0,$H157&gt;0,OR(AUTOEVENTO&lt;&gt;"manual",$M157&lt;&gt;1)),ROUND(OFFSET($P157,0,AP$13),15-13*ORÇAMENTO!$AF$7)/$H157*OFFSET(ORÇAMENTO!$X$15,ROW(AP157)-ROW(AP$15),0),0)</f>
        <v>0</v>
      </c>
      <c r="AQ157" s="632">
        <f ca="1">IF(AND($D157="Serviço",AQ$12&lt;&gt;0,$H157&gt;0,OR(AUTOEVENTO&lt;&gt;"manual",$M157&lt;&gt;1)),ROUND(OFFSET($P157,0,AQ$13),15-13*ORÇAMENTO!$AF$7)/$H157*OFFSET(ORÇAMENTO!$X$15,ROW(AQ157)-ROW(AQ$15),0),0)</f>
        <v>0</v>
      </c>
      <c r="AR157" s="632">
        <f ca="1">IF(AND($D157="Serviço",AR$12&lt;&gt;0,$H157&gt;0,OR(AUTOEVENTO&lt;&gt;"manual",$M157&lt;&gt;1)),ROUND(OFFSET($P157,0,AR$13),15-13*ORÇAMENTO!$AF$7)/$H157*OFFSET(ORÇAMENTO!$X$15,ROW(AR157)-ROW(AR$15),0),0)</f>
        <v>0</v>
      </c>
      <c r="AS157" s="633">
        <f ca="1">IF(AND($D157="Serviço",AS$12&lt;&gt;0,$H157&gt;0,OR(AUTOEVENTO&lt;&gt;"manual",$M157&lt;&gt;1)),ROUND(OFFSET($P157,0,AS$13),15-13*ORÇAMENTO!$AF$7)/$H157*OFFSET(ORÇAMENTO!$X$15,ROW(AS157)-ROW(AS$15),0),0)</f>
        <v>0</v>
      </c>
      <c r="AT157" s="632">
        <f ca="1">IF(AND($D157="Serviço",AT$12&lt;&gt;0,$H157&gt;0,OR(AUTOEVENTO&lt;&gt;"manual",$M157&lt;&gt;1)),ROUND(OFFSET($P157,0,AT$13),15-13*ORÇAMENTO!$AF$7)/$H157*OFFSET(ORÇAMENTO!$X$15,ROW(AT157)-ROW(AT$15),0),0)</f>
        <v>0</v>
      </c>
      <c r="AU157" s="632">
        <f ca="1">IF(AND($D157="Serviço",AU$12&lt;&gt;0,$H157&gt;0,OR(AUTOEVENTO&lt;&gt;"manual",$M157&lt;&gt;1)),ROUND(OFFSET($P157,0,AU$13),15-13*ORÇAMENTO!$AF$7)/$H157*OFFSET(ORÇAMENTO!$X$15,ROW(AU157)-ROW(AU$15),0),0)</f>
        <v>0</v>
      </c>
      <c r="AV157" s="632">
        <f ca="1">IF(AND($D157="Serviço",AV$12&lt;&gt;0,$H157&gt;0,OR(AUTOEVENTO&lt;&gt;"manual",$M157&lt;&gt;1)),ROUND(OFFSET($P157,0,AV$13),15-13*ORÇAMENTO!$AF$7)/$H157*OFFSET(ORÇAMENTO!$X$15,ROW(AV157)-ROW(AV$15),0),0)</f>
        <v>0</v>
      </c>
      <c r="AW157" s="632">
        <f ca="1">IF(AND($D157="Serviço",AW$12&lt;&gt;0,$H157&gt;0,OR(AUTOEVENTO&lt;&gt;"manual",$M157&lt;&gt;1)),ROUND(OFFSET($P157,0,AW$13),15-13*ORÇAMENTO!$AF$7)/$H157*OFFSET(ORÇAMENTO!$X$15,ROW(AW157)-ROW(AW$15),0),0)</f>
        <v>0</v>
      </c>
      <c r="AX157" s="632">
        <f ca="1">IF(AND($D157="Serviço",AX$12&lt;&gt;0,$H157&gt;0,OR(AUTOEVENTO&lt;&gt;"manual",$M157&lt;&gt;1)),ROUND(OFFSET($P157,0,AX$13),15-13*ORÇAMENTO!$AF$7)/$H157*OFFSET(ORÇAMENTO!$X$15,ROW(AX157)-ROW(AX$15),0),0)</f>
        <v>0</v>
      </c>
      <c r="AY157" s="632">
        <f ca="1">IF(AND($D157="Serviço",AY$12&lt;&gt;0,$H157&gt;0,OR(AUTOEVENTO&lt;&gt;"manual",$M157&lt;&gt;1)),ROUND(OFFSET($P157,0,AY$13),15-13*ORÇAMENTO!$AF$7)/$H157*OFFSET(ORÇAMENTO!$X$15,ROW(AY157)-ROW(AY$15),0),0)</f>
        <v>0</v>
      </c>
      <c r="AZ157" s="632">
        <f ca="1">IF(AND($D157="Serviço",AZ$12&lt;&gt;0,$H157&gt;0,OR(AUTOEVENTO&lt;&gt;"manual",$M157&lt;&gt;1)),ROUND(OFFSET($P157,0,AZ$13),15-13*ORÇAMENTO!$AF$7)/$H157*OFFSET(ORÇAMENTO!$X$15,ROW(AZ157)-ROW(AZ$15),0),0)</f>
        <v>0</v>
      </c>
      <c r="BA157" s="633">
        <f ca="1">IF(AND($D157="Serviço",BA$12&lt;&gt;0,$H157&gt;0,OR(AUTOEVENTO&lt;&gt;"manual",$M157&lt;&gt;1)),ROUND(OFFSET($P157,0,BA$13),15-13*ORÇAMENTO!$AF$7)/$H157*OFFSET(ORÇAMENTO!$X$15,ROW(BA157)-ROW(BA$15),0),0)</f>
        <v>0</v>
      </c>
      <c r="BC157" s="215">
        <f ca="1">IF($D157&lt;&gt;"Serviço",0,IF(AND(AUTOEVENTO="Manual",$M157=1),0,IF(OFFSET(CRONOPLE!$F$14,$M157,BC$13)="",10^12,OFFSET(CRONOPLE!$F$14,$M157,BC$13))))</f>
        <v>1000000000000</v>
      </c>
      <c r="BD157" s="215">
        <f ca="1">IF($D157&lt;&gt;"Serviço",0,IF(AND(AUTOEVENTO="Manual",$M157=1),0,IF(OFFSET(CRONOPLE!$F$14,$M157,BD$13)="",10^12,OFFSET(CRONOPLE!$F$14,$M157,BD$13))))</f>
        <v>1000000000000</v>
      </c>
      <c r="BE157" s="215">
        <f ca="1">IF($D157&lt;&gt;"Serviço",0,IF(AND(AUTOEVENTO="Manual",$M157=1),0,IF(OFFSET(CRONOPLE!$F$14,$M157,BE$13)="",10^12,OFFSET(CRONOPLE!$F$14,$M157,BE$13))))</f>
        <v>1000000000000</v>
      </c>
      <c r="BF157" s="215">
        <f ca="1">IF($D157&lt;&gt;"Serviço",0,IF(AND(AUTOEVENTO="Manual",$M157=1),0,IF(OFFSET(CRONOPLE!$F$14,$M157,BF$13)="",10^12,OFFSET(CRONOPLE!$F$14,$M157,BF$13))))</f>
        <v>1000000000000</v>
      </c>
      <c r="BG157" s="215">
        <f ca="1">IF($D157&lt;&gt;"Serviço",0,IF(AND(AUTOEVENTO="Manual",$M157=1),0,IF(OFFSET(CRONOPLE!$F$14,$M157,BG$13)="",10^12,OFFSET(CRONOPLE!$F$14,$M157,BG$13))))</f>
        <v>1000000000000</v>
      </c>
      <c r="BH157" s="215">
        <f ca="1">IF($D157&lt;&gt;"Serviço",0,IF(AND(AUTOEVENTO="Manual",$M157=1),0,IF(OFFSET(CRONOPLE!$F$14,$M157,BH$13)="",10^12,OFFSET(CRONOPLE!$F$14,$M157,BH$13))))</f>
        <v>1000000000000</v>
      </c>
      <c r="BI157" s="215">
        <f ca="1">IF($D157&lt;&gt;"Serviço",0,IF(AND(AUTOEVENTO="Manual",$M157=1),0,IF(OFFSET(CRONOPLE!$F$14,$M157,BI$13)="",10^12,OFFSET(CRONOPLE!$F$14,$M157,BI$13))))</f>
        <v>1000000000000</v>
      </c>
      <c r="BJ157" s="215">
        <f ca="1">IF($D157&lt;&gt;"Serviço",0,IF(AND(AUTOEVENTO="Manual",$M157=1),0,IF(OFFSET(CRONOPLE!$F$14,$M157,BJ$13)="",10^12,OFFSET(CRONOPLE!$F$14,$M157,BJ$13))))</f>
        <v>1000000000000</v>
      </c>
      <c r="BK157" s="215">
        <f ca="1">IF($D157&lt;&gt;"Serviço",0,IF(AND(AUTOEVENTO="Manual",$M157=1),0,IF(OFFSET(CRONOPLE!$F$14,$M157,BK$13)="",10^12,OFFSET(CRONOPLE!$F$14,$M157,BK$13))))</f>
        <v>1000000000000</v>
      </c>
      <c r="BL157" s="215">
        <f ca="1">IF($D157&lt;&gt;"Serviço",0,IF(AND(AUTOEVENTO="Manual",$M157=1),0,IF(OFFSET(CRONOPLE!$F$14,$M157,BL$13)="",10^12,OFFSET(CRONOPLE!$F$14,$M157,BL$13))))</f>
        <v>1000000000000</v>
      </c>
      <c r="BM157" s="215">
        <f ca="1">IF($D157&lt;&gt;"Serviço",0,IF(AND(AUTOEVENTO="Manual",$M157=1),0,IF(OFFSET(CRONOPLE!$F$14,$M157,BM$13)="",10^12,OFFSET(CRONOPLE!$F$14,$M157,BM$13))))</f>
        <v>1000000000000</v>
      </c>
      <c r="BN157" s="215">
        <f ca="1">IF($D157&lt;&gt;"Serviço",0,IF(AND(AUTOEVENTO="Manual",$M157=1),0,IF(OFFSET(CRONOPLE!$F$14,$M157,BN$13)="",10^12,OFFSET(CRONOPLE!$F$14,$M157,BN$13))))</f>
        <v>1000000000000</v>
      </c>
      <c r="BO157" s="215">
        <f ca="1">IF($D157&lt;&gt;"Serviço",0,IF(AND(AUTOEVENTO="Manual",$M157=1),0,IF(OFFSET(CRONOPLE!$F$14,$M157,BO$13)="",10^12,OFFSET(CRONOPLE!$F$14,$M157,BO$13))))</f>
        <v>1000000000000</v>
      </c>
      <c r="BP157" s="215">
        <f ca="1">IF($D157&lt;&gt;"Serviço",0,IF(AND(AUTOEVENTO="Manual",$M157=1),0,IF(OFFSET(CRONOPLE!$F$14,$M157,BP$13)="",10^12,OFFSET(CRONOPLE!$F$14,$M157,BP$13))))</f>
        <v>1000000000000</v>
      </c>
      <c r="BQ157" s="215">
        <f ca="1">IF($D157&lt;&gt;"Serviço",0,IF(AND(AUTOEVENTO="Manual",$M157=1),0,IF(OFFSET(CRONOPLE!$F$14,$M157,BQ$13)="",10^12,OFFSET(CRONOPLE!$F$14,$M157,BQ$13))))</f>
        <v>1000000000000</v>
      </c>
      <c r="BR157" s="215">
        <f ca="1">IF($D157&lt;&gt;"Serviço",0,IF(AND(AUTOEVENTO="Manual",$M157=1),0,IF(OFFSET(CRONOPLE!$F$14,$M157,BR$13)="",10^12,OFFSET(CRONOPLE!$F$14,$M157,BR$13))))</f>
        <v>1000000000000</v>
      </c>
      <c r="BS157" s="215">
        <f ca="1">IF($D157&lt;&gt;"Serviço",0,IF(AND(AUTOEVENTO="Manual",$M157=1),0,IF(OFFSET(CRONOPLE!$F$14,$M157,BS$13)="",10^12,OFFSET(CRONOPLE!$F$14,$M157,BS$13))))</f>
        <v>1000000000000</v>
      </c>
      <c r="BT157" s="215">
        <f ca="1">IF($D157&lt;&gt;"Serviço",0,IF(AND(AUTOEVENTO="Manual",$M157=1),0,IF(OFFSET(CRONOPLE!$F$14,$M157,BT$13)="",10^12,OFFSET(CRONOPLE!$F$14,$M157,BT$13))))</f>
        <v>1000000000000</v>
      </c>
      <c r="BV157" s="216">
        <f ca="1">IF($D157&lt;&gt;"Serviço",0,IF(OR(AND(AUTOEVENTO="Manual",$M157=1),$M157&gt;(ROW(PLE.lastrow)-ROW(PLE.firstrow))),0,IF(OFFSET(PLE!$G$14,$M157,BV$13)="",10^12,OFFSET(PLE!$G$14,$M157,BV$13))))</f>
        <v>1000000000000</v>
      </c>
      <c r="BW157" s="216">
        <f ca="1">IF($D157&lt;&gt;"Serviço",0,IF(OR(AND(AUTOEVENTO="Manual",$M157=1),$M157&gt;(ROW(PLE.lastrow)-ROW(PLE.firstrow))),0,IF(OFFSET(PLE!$G$14,$M157,BW$13)="",10^12,OFFSET(PLE!$G$14,$M157,BW$13))))</f>
        <v>1000000000000</v>
      </c>
      <c r="BX157" s="216">
        <f ca="1">IF($D157&lt;&gt;"Serviço",0,IF(OR(AND(AUTOEVENTO="Manual",$M157=1),$M157&gt;(ROW(PLE.lastrow)-ROW(PLE.firstrow))),0,IF(OFFSET(PLE!$G$14,$M157,BX$13)="",10^12,OFFSET(PLE!$G$14,$M157,BX$13))))</f>
        <v>1000000000000</v>
      </c>
      <c r="BY157" s="216">
        <f ca="1">IF($D157&lt;&gt;"Serviço",0,IF(OR(AND(AUTOEVENTO="Manual",$M157=1),$M157&gt;(ROW(PLE.lastrow)-ROW(PLE.firstrow))),0,IF(OFFSET(PLE!$G$14,$M157,BY$13)="",10^12,OFFSET(PLE!$G$14,$M157,BY$13))))</f>
        <v>1000000000000</v>
      </c>
      <c r="BZ157" s="216">
        <f ca="1">IF($D157&lt;&gt;"Serviço",0,IF(OR(AND(AUTOEVENTO="Manual",$M157=1),$M157&gt;(ROW(PLE.lastrow)-ROW(PLE.firstrow))),0,IF(OFFSET(PLE!$G$14,$M157,BZ$13)="",10^12,OFFSET(PLE!$G$14,$M157,BZ$13))))</f>
        <v>1000000000000</v>
      </c>
      <c r="CA157" s="216">
        <f ca="1">IF($D157&lt;&gt;"Serviço",0,IF(OR(AND(AUTOEVENTO="Manual",$M157=1),$M157&gt;(ROW(PLE.lastrow)-ROW(PLE.firstrow))),0,IF(OFFSET(PLE!$G$14,$M157,CA$13)="",10^12,OFFSET(PLE!$G$14,$M157,CA$13))))</f>
        <v>1000000000000</v>
      </c>
      <c r="CB157" s="216">
        <f ca="1">IF($D157&lt;&gt;"Serviço",0,IF(OR(AND(AUTOEVENTO="Manual",$M157=1),$M157&gt;(ROW(PLE.lastrow)-ROW(PLE.firstrow))),0,IF(OFFSET(PLE!$G$14,$M157,CB$13)="",10^12,OFFSET(PLE!$G$14,$M157,CB$13))))</f>
        <v>1000000000000</v>
      </c>
      <c r="CC157" s="216">
        <f ca="1">IF($D157&lt;&gt;"Serviço",0,IF(OR(AND(AUTOEVENTO="Manual",$M157=1),$M157&gt;(ROW(PLE.lastrow)-ROW(PLE.firstrow))),0,IF(OFFSET(PLE!$G$14,$M157,CC$13)="",10^12,OFFSET(PLE!$G$14,$M157,CC$13))))</f>
        <v>1000000000000</v>
      </c>
      <c r="CD157" s="216">
        <f ca="1">IF($D157&lt;&gt;"Serviço",0,IF(OR(AND(AUTOEVENTO="Manual",$M157=1),$M157&gt;(ROW(PLE.lastrow)-ROW(PLE.firstrow))),0,IF(OFFSET(PLE!$G$14,$M157,CD$13)="",10^12,OFFSET(PLE!$G$14,$M157,CD$13))))</f>
        <v>1000000000000</v>
      </c>
      <c r="CE157" s="216">
        <f ca="1">IF($D157&lt;&gt;"Serviço",0,IF(OR(AND(AUTOEVENTO="Manual",$M157=1),$M157&gt;(ROW(PLE.lastrow)-ROW(PLE.firstrow))),0,IF(OFFSET(PLE!$G$14,$M157,CE$13)="",10^12,OFFSET(PLE!$G$14,$M157,CE$13))))</f>
        <v>1000000000000</v>
      </c>
      <c r="CF157" s="216">
        <f ca="1">IF($D157&lt;&gt;"Serviço",0,IF(OR(AND(AUTOEVENTO="Manual",$M157=1),$M157&gt;(ROW(PLE.lastrow)-ROW(PLE.firstrow))),0,IF(OFFSET(PLE!$G$14,$M157,CF$13)="",10^12,OFFSET(PLE!$G$14,$M157,CF$13))))</f>
        <v>1000000000000</v>
      </c>
      <c r="CG157" s="216">
        <f ca="1">IF($D157&lt;&gt;"Serviço",0,IF(OR(AND(AUTOEVENTO="Manual",$M157=1),$M157&gt;(ROW(PLE.lastrow)-ROW(PLE.firstrow))),0,IF(OFFSET(PLE!$G$14,$M157,CG$13)="",10^12,OFFSET(PLE!$G$14,$M157,CG$13))))</f>
        <v>1000000000000</v>
      </c>
      <c r="CH157" s="216">
        <f ca="1">IF($D157&lt;&gt;"Serviço",0,IF(OR(AND(AUTOEVENTO="Manual",$M157=1),$M157&gt;(ROW(PLE.lastrow)-ROW(PLE.firstrow))),0,IF(OFFSET(PLE!$G$14,$M157,CH$13)="",10^12,OFFSET(PLE!$G$14,$M157,CH$13))))</f>
        <v>1000000000000</v>
      </c>
      <c r="CI157" s="216">
        <f ca="1">IF($D157&lt;&gt;"Serviço",0,IF(OR(AND(AUTOEVENTO="Manual",$M157=1),$M157&gt;(ROW(PLE.lastrow)-ROW(PLE.firstrow))),0,IF(OFFSET(PLE!$G$14,$M157,CI$13)="",10^12,OFFSET(PLE!$G$14,$M157,CI$13))))</f>
        <v>1000000000000</v>
      </c>
      <c r="CJ157" s="216">
        <f ca="1">IF($D157&lt;&gt;"Serviço",0,IF(OR(AND(AUTOEVENTO="Manual",$M157=1),$M157&gt;(ROW(PLE.lastrow)-ROW(PLE.firstrow))),0,IF(OFFSET(PLE!$G$14,$M157,CJ$13)="",10^12,OFFSET(PLE!$G$14,$M157,CJ$13))))</f>
        <v>1000000000000</v>
      </c>
      <c r="CK157" s="216">
        <f ca="1">IF($D157&lt;&gt;"Serviço",0,IF(OR(AND(AUTOEVENTO="Manual",$M157=1),$M157&gt;(ROW(PLE.lastrow)-ROW(PLE.firstrow))),0,IF(OFFSET(PLE!$G$14,$M157,CK$13)="",10^12,OFFSET(PLE!$G$14,$M157,CK$13))))</f>
        <v>1000000000000</v>
      </c>
      <c r="CL157" s="216">
        <f ca="1">IF($D157&lt;&gt;"Serviço",0,IF(OR(AND(AUTOEVENTO="Manual",$M157=1),$M157&gt;(ROW(PLE.lastrow)-ROW(PLE.firstrow))),0,IF(OFFSET(PLE!$G$14,$M157,CL$13)="",10^12,OFFSET(PLE!$G$14,$M157,CL$13))))</f>
        <v>1000000000000</v>
      </c>
      <c r="CM157" s="216">
        <f ca="1">IF($D157&lt;&gt;"Serviço",0,IF(OR(AND(AUTOEVENTO="Manual",$M157=1),$M157&gt;(ROW(PLE.lastrow)-ROW(PLE.firstrow))),0,IF(OFFSET(PLE!$G$14,$M157,CM$13)="",10^12,OFFSET(PLE!$G$14,$M157,CM$13))))</f>
        <v>1000000000000</v>
      </c>
    </row>
    <row r="158" spans="1:91" ht="13.2" x14ac:dyDescent="0.25">
      <c r="A158" s="9">
        <f t="shared" ca="1" si="11"/>
        <v>0</v>
      </c>
      <c r="B158" s="9" t="str">
        <f ca="1">OFFSET(ORÇAMENTO!C$15,ROW(B158)-ROW(B$15),0)</f>
        <v>S</v>
      </c>
      <c r="C158" s="9" t="str">
        <f ca="1">OFFSET(ORÇAMENTO!L$15,ROW(C158)-ROW(C$15),0)</f>
        <v/>
      </c>
      <c r="D158" s="145" t="str">
        <f ca="1">OFFSET(ORÇAMENTO!N$15,ROW(D158)-ROW(D$15),0)</f>
        <v>Serviço</v>
      </c>
      <c r="E158" s="205" t="str">
        <f ca="1">OFFSET(ORÇAMENTO!O$15,ROW(E158)-ROW(E$15),0)</f>
        <v>-</v>
      </c>
      <c r="F158" s="206" t="str">
        <f ca="1">OFFSET(ORÇAMENTO!R$15,ROW(F158)-ROW(F$15),0)</f>
        <v>(abra o arquivo 'Referência 05-2024.xls)</v>
      </c>
      <c r="G158" s="207" t="str">
        <f ca="1">IF($D158&lt;&gt;"Serviço","",OFFSET(ORÇAMENTO!S$15,ROW(G158)-ROW(G$15),0))</f>
        <v>-</v>
      </c>
      <c r="H158" s="151">
        <f ca="1">IF($D158&lt;&gt;"Serviço",0,IF(ACOMPANHAMENTO="BM",ROUND(OFFSET(ORÇAMENTO!AJ$15,ROW(H158)-ROW(H$15),0),15-13*ORÇAMENTO!$AF$7),SUMPRODUCT(($Q$12:$AI$12&lt;&gt;"")*ROUND($Q158:$AI158,15-13*ORÇAMENTO!$AF$7))))</f>
        <v>9.36</v>
      </c>
      <c r="I158" s="650"/>
      <c r="K158" s="208"/>
      <c r="L158" s="209" t="s">
        <v>257</v>
      </c>
      <c r="M158" s="210">
        <f ca="1">IF($D158&lt;&gt;"Serviço","",IF(AUTOEVENTO="manual",$A158,IF(ISERROR(MATCH($A158,$A$15:OFFSET($A158,-1,0),0)),MAX($M$15:OFFSET(M158,-1,0))+1,INDEX($M$15:OFFSET(M158,-1,0),MATCH($A158,$A$15:OFFSET($A158,-1,0),0)))))</f>
        <v>0</v>
      </c>
      <c r="N158" s="211" t="str">
        <f ca="1">IF($D158&lt;&gt;"Serviço","",IF(AUTOEVENTO="Manual",IF($A158=0,"&lt;-- defina o número do agrupador",OFFSET(EVENTOS!$D$14,$A158,0)),OFFSET($F$15,$A158,0)))</f>
        <v>&lt;-- defina o número do agrupador</v>
      </c>
      <c r="O158" s="212"/>
      <c r="Q158" s="212"/>
      <c r="R158" s="213"/>
      <c r="S158" s="213"/>
      <c r="T158" s="213"/>
      <c r="U158" s="213"/>
      <c r="V158" s="213"/>
      <c r="W158" s="213"/>
      <c r="X158" s="213"/>
      <c r="Y158" s="213"/>
      <c r="Z158" s="214"/>
      <c r="AA158" s="213"/>
      <c r="AB158" s="213"/>
      <c r="AC158" s="213"/>
      <c r="AD158" s="213"/>
      <c r="AE158" s="213"/>
      <c r="AF158" s="213"/>
      <c r="AG158" s="213"/>
      <c r="AH158" s="214"/>
      <c r="AJ158" s="631">
        <f ca="1">IF(AND($D158="Serviço",AJ$12&lt;&gt;0,$H158&gt;0,OR(AUTOEVENTO&lt;&gt;"manual",$M158&lt;&gt;1)),ROUND(OFFSET($P158,0,AJ$13),15-13*ORÇAMENTO!$AF$7)/$H158*OFFSET(ORÇAMENTO!$X$15,ROW(AJ158)-ROW(AJ$15),0),0)</f>
        <v>0</v>
      </c>
      <c r="AK158" s="632">
        <f ca="1">IF(AND($D158="Serviço",AK$12&lt;&gt;0,$H158&gt;0,OR(AUTOEVENTO&lt;&gt;"manual",$M158&lt;&gt;1)),ROUND(OFFSET($P158,0,AK$13),15-13*ORÇAMENTO!$AF$7)/$H158*OFFSET(ORÇAMENTO!$X$15,ROW(AK158)-ROW(AK$15),0),0)</f>
        <v>0</v>
      </c>
      <c r="AL158" s="632">
        <f ca="1">IF(AND($D158="Serviço",AL$12&lt;&gt;0,$H158&gt;0,OR(AUTOEVENTO&lt;&gt;"manual",$M158&lt;&gt;1)),ROUND(OFFSET($P158,0,AL$13),15-13*ORÇAMENTO!$AF$7)/$H158*OFFSET(ORÇAMENTO!$X$15,ROW(AL158)-ROW(AL$15),0),0)</f>
        <v>0</v>
      </c>
      <c r="AM158" s="632">
        <f ca="1">IF(AND($D158="Serviço",AM$12&lt;&gt;0,$H158&gt;0,OR(AUTOEVENTO&lt;&gt;"manual",$M158&lt;&gt;1)),ROUND(OFFSET($P158,0,AM$13),15-13*ORÇAMENTO!$AF$7)/$H158*OFFSET(ORÇAMENTO!$X$15,ROW(AM158)-ROW(AM$15),0),0)</f>
        <v>0</v>
      </c>
      <c r="AN158" s="632">
        <f ca="1">IF(AND($D158="Serviço",AN$12&lt;&gt;0,$H158&gt;0,OR(AUTOEVENTO&lt;&gt;"manual",$M158&lt;&gt;1)),ROUND(OFFSET($P158,0,AN$13),15-13*ORÇAMENTO!$AF$7)/$H158*OFFSET(ORÇAMENTO!$X$15,ROW(AN158)-ROW(AN$15),0),0)</f>
        <v>0</v>
      </c>
      <c r="AO158" s="632">
        <f ca="1">IF(AND($D158="Serviço",AO$12&lt;&gt;0,$H158&gt;0,OR(AUTOEVENTO&lt;&gt;"manual",$M158&lt;&gt;1)),ROUND(OFFSET($P158,0,AO$13),15-13*ORÇAMENTO!$AF$7)/$H158*OFFSET(ORÇAMENTO!$X$15,ROW(AO158)-ROW(AO$15),0),0)</f>
        <v>0</v>
      </c>
      <c r="AP158" s="632">
        <f ca="1">IF(AND($D158="Serviço",AP$12&lt;&gt;0,$H158&gt;0,OR(AUTOEVENTO&lt;&gt;"manual",$M158&lt;&gt;1)),ROUND(OFFSET($P158,0,AP$13),15-13*ORÇAMENTO!$AF$7)/$H158*OFFSET(ORÇAMENTO!$X$15,ROW(AP158)-ROW(AP$15),0),0)</f>
        <v>0</v>
      </c>
      <c r="AQ158" s="632">
        <f ca="1">IF(AND($D158="Serviço",AQ$12&lt;&gt;0,$H158&gt;0,OR(AUTOEVENTO&lt;&gt;"manual",$M158&lt;&gt;1)),ROUND(OFFSET($P158,0,AQ$13),15-13*ORÇAMENTO!$AF$7)/$H158*OFFSET(ORÇAMENTO!$X$15,ROW(AQ158)-ROW(AQ$15),0),0)</f>
        <v>0</v>
      </c>
      <c r="AR158" s="632">
        <f ca="1">IF(AND($D158="Serviço",AR$12&lt;&gt;0,$H158&gt;0,OR(AUTOEVENTO&lt;&gt;"manual",$M158&lt;&gt;1)),ROUND(OFFSET($P158,0,AR$13),15-13*ORÇAMENTO!$AF$7)/$H158*OFFSET(ORÇAMENTO!$X$15,ROW(AR158)-ROW(AR$15),0),0)</f>
        <v>0</v>
      </c>
      <c r="AS158" s="633">
        <f ca="1">IF(AND($D158="Serviço",AS$12&lt;&gt;0,$H158&gt;0,OR(AUTOEVENTO&lt;&gt;"manual",$M158&lt;&gt;1)),ROUND(OFFSET($P158,0,AS$13),15-13*ORÇAMENTO!$AF$7)/$H158*OFFSET(ORÇAMENTO!$X$15,ROW(AS158)-ROW(AS$15),0),0)</f>
        <v>0</v>
      </c>
      <c r="AT158" s="632">
        <f ca="1">IF(AND($D158="Serviço",AT$12&lt;&gt;0,$H158&gt;0,OR(AUTOEVENTO&lt;&gt;"manual",$M158&lt;&gt;1)),ROUND(OFFSET($P158,0,AT$13),15-13*ORÇAMENTO!$AF$7)/$H158*OFFSET(ORÇAMENTO!$X$15,ROW(AT158)-ROW(AT$15),0),0)</f>
        <v>0</v>
      </c>
      <c r="AU158" s="632">
        <f ca="1">IF(AND($D158="Serviço",AU$12&lt;&gt;0,$H158&gt;0,OR(AUTOEVENTO&lt;&gt;"manual",$M158&lt;&gt;1)),ROUND(OFFSET($P158,0,AU$13),15-13*ORÇAMENTO!$AF$7)/$H158*OFFSET(ORÇAMENTO!$X$15,ROW(AU158)-ROW(AU$15),0),0)</f>
        <v>0</v>
      </c>
      <c r="AV158" s="632">
        <f ca="1">IF(AND($D158="Serviço",AV$12&lt;&gt;0,$H158&gt;0,OR(AUTOEVENTO&lt;&gt;"manual",$M158&lt;&gt;1)),ROUND(OFFSET($P158,0,AV$13),15-13*ORÇAMENTO!$AF$7)/$H158*OFFSET(ORÇAMENTO!$X$15,ROW(AV158)-ROW(AV$15),0),0)</f>
        <v>0</v>
      </c>
      <c r="AW158" s="632">
        <f ca="1">IF(AND($D158="Serviço",AW$12&lt;&gt;0,$H158&gt;0,OR(AUTOEVENTO&lt;&gt;"manual",$M158&lt;&gt;1)),ROUND(OFFSET($P158,0,AW$13),15-13*ORÇAMENTO!$AF$7)/$H158*OFFSET(ORÇAMENTO!$X$15,ROW(AW158)-ROW(AW$15),0),0)</f>
        <v>0</v>
      </c>
      <c r="AX158" s="632">
        <f ca="1">IF(AND($D158="Serviço",AX$12&lt;&gt;0,$H158&gt;0,OR(AUTOEVENTO&lt;&gt;"manual",$M158&lt;&gt;1)),ROUND(OFFSET($P158,0,AX$13),15-13*ORÇAMENTO!$AF$7)/$H158*OFFSET(ORÇAMENTO!$X$15,ROW(AX158)-ROW(AX$15),0),0)</f>
        <v>0</v>
      </c>
      <c r="AY158" s="632">
        <f ca="1">IF(AND($D158="Serviço",AY$12&lt;&gt;0,$H158&gt;0,OR(AUTOEVENTO&lt;&gt;"manual",$M158&lt;&gt;1)),ROUND(OFFSET($P158,0,AY$13),15-13*ORÇAMENTO!$AF$7)/$H158*OFFSET(ORÇAMENTO!$X$15,ROW(AY158)-ROW(AY$15),0),0)</f>
        <v>0</v>
      </c>
      <c r="AZ158" s="632">
        <f ca="1">IF(AND($D158="Serviço",AZ$12&lt;&gt;0,$H158&gt;0,OR(AUTOEVENTO&lt;&gt;"manual",$M158&lt;&gt;1)),ROUND(OFFSET($P158,0,AZ$13),15-13*ORÇAMENTO!$AF$7)/$H158*OFFSET(ORÇAMENTO!$X$15,ROW(AZ158)-ROW(AZ$15),0),0)</f>
        <v>0</v>
      </c>
      <c r="BA158" s="633">
        <f ca="1">IF(AND($D158="Serviço",BA$12&lt;&gt;0,$H158&gt;0,OR(AUTOEVENTO&lt;&gt;"manual",$M158&lt;&gt;1)),ROUND(OFFSET($P158,0,BA$13),15-13*ORÇAMENTO!$AF$7)/$H158*OFFSET(ORÇAMENTO!$X$15,ROW(BA158)-ROW(BA$15),0),0)</f>
        <v>0</v>
      </c>
      <c r="BC158" s="215">
        <f ca="1">IF($D158&lt;&gt;"Serviço",0,IF(AND(AUTOEVENTO="Manual",$M158=1),0,IF(OFFSET(CRONOPLE!$F$14,$M158,BC$13)="",10^12,OFFSET(CRONOPLE!$F$14,$M158,BC$13))))</f>
        <v>1000000000000</v>
      </c>
      <c r="BD158" s="215">
        <f ca="1">IF($D158&lt;&gt;"Serviço",0,IF(AND(AUTOEVENTO="Manual",$M158=1),0,IF(OFFSET(CRONOPLE!$F$14,$M158,BD$13)="",10^12,OFFSET(CRONOPLE!$F$14,$M158,BD$13))))</f>
        <v>1000000000000</v>
      </c>
      <c r="BE158" s="215">
        <f ca="1">IF($D158&lt;&gt;"Serviço",0,IF(AND(AUTOEVENTO="Manual",$M158=1),0,IF(OFFSET(CRONOPLE!$F$14,$M158,BE$13)="",10^12,OFFSET(CRONOPLE!$F$14,$M158,BE$13))))</f>
        <v>1000000000000</v>
      </c>
      <c r="BF158" s="215">
        <f ca="1">IF($D158&lt;&gt;"Serviço",0,IF(AND(AUTOEVENTO="Manual",$M158=1),0,IF(OFFSET(CRONOPLE!$F$14,$M158,BF$13)="",10^12,OFFSET(CRONOPLE!$F$14,$M158,BF$13))))</f>
        <v>1000000000000</v>
      </c>
      <c r="BG158" s="215">
        <f ca="1">IF($D158&lt;&gt;"Serviço",0,IF(AND(AUTOEVENTO="Manual",$M158=1),0,IF(OFFSET(CRONOPLE!$F$14,$M158,BG$13)="",10^12,OFFSET(CRONOPLE!$F$14,$M158,BG$13))))</f>
        <v>1000000000000</v>
      </c>
      <c r="BH158" s="215">
        <f ca="1">IF($D158&lt;&gt;"Serviço",0,IF(AND(AUTOEVENTO="Manual",$M158=1),0,IF(OFFSET(CRONOPLE!$F$14,$M158,BH$13)="",10^12,OFFSET(CRONOPLE!$F$14,$M158,BH$13))))</f>
        <v>1000000000000</v>
      </c>
      <c r="BI158" s="215">
        <f ca="1">IF($D158&lt;&gt;"Serviço",0,IF(AND(AUTOEVENTO="Manual",$M158=1),0,IF(OFFSET(CRONOPLE!$F$14,$M158,BI$13)="",10^12,OFFSET(CRONOPLE!$F$14,$M158,BI$13))))</f>
        <v>1000000000000</v>
      </c>
      <c r="BJ158" s="215">
        <f ca="1">IF($D158&lt;&gt;"Serviço",0,IF(AND(AUTOEVENTO="Manual",$M158=1),0,IF(OFFSET(CRONOPLE!$F$14,$M158,BJ$13)="",10^12,OFFSET(CRONOPLE!$F$14,$M158,BJ$13))))</f>
        <v>1000000000000</v>
      </c>
      <c r="BK158" s="215">
        <f ca="1">IF($D158&lt;&gt;"Serviço",0,IF(AND(AUTOEVENTO="Manual",$M158=1),0,IF(OFFSET(CRONOPLE!$F$14,$M158,BK$13)="",10^12,OFFSET(CRONOPLE!$F$14,$M158,BK$13))))</f>
        <v>1000000000000</v>
      </c>
      <c r="BL158" s="215">
        <f ca="1">IF($D158&lt;&gt;"Serviço",0,IF(AND(AUTOEVENTO="Manual",$M158=1),0,IF(OFFSET(CRONOPLE!$F$14,$M158,BL$13)="",10^12,OFFSET(CRONOPLE!$F$14,$M158,BL$13))))</f>
        <v>1000000000000</v>
      </c>
      <c r="BM158" s="215">
        <f ca="1">IF($D158&lt;&gt;"Serviço",0,IF(AND(AUTOEVENTO="Manual",$M158=1),0,IF(OFFSET(CRONOPLE!$F$14,$M158,BM$13)="",10^12,OFFSET(CRONOPLE!$F$14,$M158,BM$13))))</f>
        <v>1000000000000</v>
      </c>
      <c r="BN158" s="215">
        <f ca="1">IF($D158&lt;&gt;"Serviço",0,IF(AND(AUTOEVENTO="Manual",$M158=1),0,IF(OFFSET(CRONOPLE!$F$14,$M158,BN$13)="",10^12,OFFSET(CRONOPLE!$F$14,$M158,BN$13))))</f>
        <v>1000000000000</v>
      </c>
      <c r="BO158" s="215">
        <f ca="1">IF($D158&lt;&gt;"Serviço",0,IF(AND(AUTOEVENTO="Manual",$M158=1),0,IF(OFFSET(CRONOPLE!$F$14,$M158,BO$13)="",10^12,OFFSET(CRONOPLE!$F$14,$M158,BO$13))))</f>
        <v>1000000000000</v>
      </c>
      <c r="BP158" s="215">
        <f ca="1">IF($D158&lt;&gt;"Serviço",0,IF(AND(AUTOEVENTO="Manual",$M158=1),0,IF(OFFSET(CRONOPLE!$F$14,$M158,BP$13)="",10^12,OFFSET(CRONOPLE!$F$14,$M158,BP$13))))</f>
        <v>1000000000000</v>
      </c>
      <c r="BQ158" s="215">
        <f ca="1">IF($D158&lt;&gt;"Serviço",0,IF(AND(AUTOEVENTO="Manual",$M158=1),0,IF(OFFSET(CRONOPLE!$F$14,$M158,BQ$13)="",10^12,OFFSET(CRONOPLE!$F$14,$M158,BQ$13))))</f>
        <v>1000000000000</v>
      </c>
      <c r="BR158" s="215">
        <f ca="1">IF($D158&lt;&gt;"Serviço",0,IF(AND(AUTOEVENTO="Manual",$M158=1),0,IF(OFFSET(CRONOPLE!$F$14,$M158,BR$13)="",10^12,OFFSET(CRONOPLE!$F$14,$M158,BR$13))))</f>
        <v>1000000000000</v>
      </c>
      <c r="BS158" s="215">
        <f ca="1">IF($D158&lt;&gt;"Serviço",0,IF(AND(AUTOEVENTO="Manual",$M158=1),0,IF(OFFSET(CRONOPLE!$F$14,$M158,BS$13)="",10^12,OFFSET(CRONOPLE!$F$14,$M158,BS$13))))</f>
        <v>1000000000000</v>
      </c>
      <c r="BT158" s="215">
        <f ca="1">IF($D158&lt;&gt;"Serviço",0,IF(AND(AUTOEVENTO="Manual",$M158=1),0,IF(OFFSET(CRONOPLE!$F$14,$M158,BT$13)="",10^12,OFFSET(CRONOPLE!$F$14,$M158,BT$13))))</f>
        <v>1000000000000</v>
      </c>
      <c r="BV158" s="216">
        <f ca="1">IF($D158&lt;&gt;"Serviço",0,IF(OR(AND(AUTOEVENTO="Manual",$M158=1),$M158&gt;(ROW(PLE.lastrow)-ROW(PLE.firstrow))),0,IF(OFFSET(PLE!$G$14,$M158,BV$13)="",10^12,OFFSET(PLE!$G$14,$M158,BV$13))))</f>
        <v>1000000000000</v>
      </c>
      <c r="BW158" s="216">
        <f ca="1">IF($D158&lt;&gt;"Serviço",0,IF(OR(AND(AUTOEVENTO="Manual",$M158=1),$M158&gt;(ROW(PLE.lastrow)-ROW(PLE.firstrow))),0,IF(OFFSET(PLE!$G$14,$M158,BW$13)="",10^12,OFFSET(PLE!$G$14,$M158,BW$13))))</f>
        <v>1000000000000</v>
      </c>
      <c r="BX158" s="216">
        <f ca="1">IF($D158&lt;&gt;"Serviço",0,IF(OR(AND(AUTOEVENTO="Manual",$M158=1),$M158&gt;(ROW(PLE.lastrow)-ROW(PLE.firstrow))),0,IF(OFFSET(PLE!$G$14,$M158,BX$13)="",10^12,OFFSET(PLE!$G$14,$M158,BX$13))))</f>
        <v>1000000000000</v>
      </c>
      <c r="BY158" s="216">
        <f ca="1">IF($D158&lt;&gt;"Serviço",0,IF(OR(AND(AUTOEVENTO="Manual",$M158=1),$M158&gt;(ROW(PLE.lastrow)-ROW(PLE.firstrow))),0,IF(OFFSET(PLE!$G$14,$M158,BY$13)="",10^12,OFFSET(PLE!$G$14,$M158,BY$13))))</f>
        <v>1000000000000</v>
      </c>
      <c r="BZ158" s="216">
        <f ca="1">IF($D158&lt;&gt;"Serviço",0,IF(OR(AND(AUTOEVENTO="Manual",$M158=1),$M158&gt;(ROW(PLE.lastrow)-ROW(PLE.firstrow))),0,IF(OFFSET(PLE!$G$14,$M158,BZ$13)="",10^12,OFFSET(PLE!$G$14,$M158,BZ$13))))</f>
        <v>1000000000000</v>
      </c>
      <c r="CA158" s="216">
        <f ca="1">IF($D158&lt;&gt;"Serviço",0,IF(OR(AND(AUTOEVENTO="Manual",$M158=1),$M158&gt;(ROW(PLE.lastrow)-ROW(PLE.firstrow))),0,IF(OFFSET(PLE!$G$14,$M158,CA$13)="",10^12,OFFSET(PLE!$G$14,$M158,CA$13))))</f>
        <v>1000000000000</v>
      </c>
      <c r="CB158" s="216">
        <f ca="1">IF($D158&lt;&gt;"Serviço",0,IF(OR(AND(AUTOEVENTO="Manual",$M158=1),$M158&gt;(ROW(PLE.lastrow)-ROW(PLE.firstrow))),0,IF(OFFSET(PLE!$G$14,$M158,CB$13)="",10^12,OFFSET(PLE!$G$14,$M158,CB$13))))</f>
        <v>1000000000000</v>
      </c>
      <c r="CC158" s="216">
        <f ca="1">IF($D158&lt;&gt;"Serviço",0,IF(OR(AND(AUTOEVENTO="Manual",$M158=1),$M158&gt;(ROW(PLE.lastrow)-ROW(PLE.firstrow))),0,IF(OFFSET(PLE!$G$14,$M158,CC$13)="",10^12,OFFSET(PLE!$G$14,$M158,CC$13))))</f>
        <v>1000000000000</v>
      </c>
      <c r="CD158" s="216">
        <f ca="1">IF($D158&lt;&gt;"Serviço",0,IF(OR(AND(AUTOEVENTO="Manual",$M158=1),$M158&gt;(ROW(PLE.lastrow)-ROW(PLE.firstrow))),0,IF(OFFSET(PLE!$G$14,$M158,CD$13)="",10^12,OFFSET(PLE!$G$14,$M158,CD$13))))</f>
        <v>1000000000000</v>
      </c>
      <c r="CE158" s="216">
        <f ca="1">IF($D158&lt;&gt;"Serviço",0,IF(OR(AND(AUTOEVENTO="Manual",$M158=1),$M158&gt;(ROW(PLE.lastrow)-ROW(PLE.firstrow))),0,IF(OFFSET(PLE!$G$14,$M158,CE$13)="",10^12,OFFSET(PLE!$G$14,$M158,CE$13))))</f>
        <v>1000000000000</v>
      </c>
      <c r="CF158" s="216">
        <f ca="1">IF($D158&lt;&gt;"Serviço",0,IF(OR(AND(AUTOEVENTO="Manual",$M158=1),$M158&gt;(ROW(PLE.lastrow)-ROW(PLE.firstrow))),0,IF(OFFSET(PLE!$G$14,$M158,CF$13)="",10^12,OFFSET(PLE!$G$14,$M158,CF$13))))</f>
        <v>1000000000000</v>
      </c>
      <c r="CG158" s="216">
        <f ca="1">IF($D158&lt;&gt;"Serviço",0,IF(OR(AND(AUTOEVENTO="Manual",$M158=1),$M158&gt;(ROW(PLE.lastrow)-ROW(PLE.firstrow))),0,IF(OFFSET(PLE!$G$14,$M158,CG$13)="",10^12,OFFSET(PLE!$G$14,$M158,CG$13))))</f>
        <v>1000000000000</v>
      </c>
      <c r="CH158" s="216">
        <f ca="1">IF($D158&lt;&gt;"Serviço",0,IF(OR(AND(AUTOEVENTO="Manual",$M158=1),$M158&gt;(ROW(PLE.lastrow)-ROW(PLE.firstrow))),0,IF(OFFSET(PLE!$G$14,$M158,CH$13)="",10^12,OFFSET(PLE!$G$14,$M158,CH$13))))</f>
        <v>1000000000000</v>
      </c>
      <c r="CI158" s="216">
        <f ca="1">IF($D158&lt;&gt;"Serviço",0,IF(OR(AND(AUTOEVENTO="Manual",$M158=1),$M158&gt;(ROW(PLE.lastrow)-ROW(PLE.firstrow))),0,IF(OFFSET(PLE!$G$14,$M158,CI$13)="",10^12,OFFSET(PLE!$G$14,$M158,CI$13))))</f>
        <v>1000000000000</v>
      </c>
      <c r="CJ158" s="216">
        <f ca="1">IF($D158&lt;&gt;"Serviço",0,IF(OR(AND(AUTOEVENTO="Manual",$M158=1),$M158&gt;(ROW(PLE.lastrow)-ROW(PLE.firstrow))),0,IF(OFFSET(PLE!$G$14,$M158,CJ$13)="",10^12,OFFSET(PLE!$G$14,$M158,CJ$13))))</f>
        <v>1000000000000</v>
      </c>
      <c r="CK158" s="216">
        <f ca="1">IF($D158&lt;&gt;"Serviço",0,IF(OR(AND(AUTOEVENTO="Manual",$M158=1),$M158&gt;(ROW(PLE.lastrow)-ROW(PLE.firstrow))),0,IF(OFFSET(PLE!$G$14,$M158,CK$13)="",10^12,OFFSET(PLE!$G$14,$M158,CK$13))))</f>
        <v>1000000000000</v>
      </c>
      <c r="CL158" s="216">
        <f ca="1">IF($D158&lt;&gt;"Serviço",0,IF(OR(AND(AUTOEVENTO="Manual",$M158=1),$M158&gt;(ROW(PLE.lastrow)-ROW(PLE.firstrow))),0,IF(OFFSET(PLE!$G$14,$M158,CL$13)="",10^12,OFFSET(PLE!$G$14,$M158,CL$13))))</f>
        <v>1000000000000</v>
      </c>
      <c r="CM158" s="216">
        <f ca="1">IF($D158&lt;&gt;"Serviço",0,IF(OR(AND(AUTOEVENTO="Manual",$M158=1),$M158&gt;(ROW(PLE.lastrow)-ROW(PLE.firstrow))),0,IF(OFFSET(PLE!$G$14,$M158,CM$13)="",10^12,OFFSET(PLE!$G$14,$M158,CM$13))))</f>
        <v>1000000000000</v>
      </c>
    </row>
    <row r="159" spans="1:91" ht="13.2" x14ac:dyDescent="0.25">
      <c r="A159" s="9">
        <f t="shared" ca="1" si="11"/>
        <v>0</v>
      </c>
      <c r="B159" s="9" t="str">
        <f ca="1">OFFSET(ORÇAMENTO!C$15,ROW(B159)-ROW(B$15),0)</f>
        <v>S</v>
      </c>
      <c r="C159" s="9" t="str">
        <f ca="1">OFFSET(ORÇAMENTO!L$15,ROW(C159)-ROW(C$15),0)</f>
        <v/>
      </c>
      <c r="D159" s="145" t="str">
        <f ca="1">OFFSET(ORÇAMENTO!N$15,ROW(D159)-ROW(D$15),0)</f>
        <v>Serviço</v>
      </c>
      <c r="E159" s="205" t="str">
        <f ca="1">OFFSET(ORÇAMENTO!O$15,ROW(E159)-ROW(E$15),0)</f>
        <v>-</v>
      </c>
      <c r="F159" s="206" t="str">
        <f ca="1">OFFSET(ORÇAMENTO!R$15,ROW(F159)-ROW(F$15),0)</f>
        <v>(abra o arquivo 'Referência 05-2024.xls)</v>
      </c>
      <c r="G159" s="207" t="str">
        <f ca="1">IF($D159&lt;&gt;"Serviço","",OFFSET(ORÇAMENTO!S$15,ROW(G159)-ROW(G$15),0))</f>
        <v>-</v>
      </c>
      <c r="H159" s="151">
        <f ca="1">IF($D159&lt;&gt;"Serviço",0,IF(ACOMPANHAMENTO="BM",ROUND(OFFSET(ORÇAMENTO!AJ$15,ROW(H159)-ROW(H$15),0),15-13*ORÇAMENTO!$AF$7),SUMPRODUCT(($Q$12:$AI$12&lt;&gt;"")*ROUND($Q159:$AI159,15-13*ORÇAMENTO!$AF$7))))</f>
        <v>6.85</v>
      </c>
      <c r="I159" s="650"/>
      <c r="K159" s="208"/>
      <c r="L159" s="209" t="s">
        <v>257</v>
      </c>
      <c r="M159" s="210">
        <f ca="1">IF($D159&lt;&gt;"Serviço","",IF(AUTOEVENTO="manual",$A159,IF(ISERROR(MATCH($A159,$A$15:OFFSET($A159,-1,0),0)),MAX($M$15:OFFSET(M159,-1,0))+1,INDEX($M$15:OFFSET(M159,-1,0),MATCH($A159,$A$15:OFFSET($A159,-1,0),0)))))</f>
        <v>0</v>
      </c>
      <c r="N159" s="211" t="str">
        <f ca="1">IF($D159&lt;&gt;"Serviço","",IF(AUTOEVENTO="Manual",IF($A159=0,"&lt;-- defina o número do agrupador",OFFSET(EVENTOS!$D$14,$A159,0)),OFFSET($F$15,$A159,0)))</f>
        <v>&lt;-- defina o número do agrupador</v>
      </c>
      <c r="O159" s="212"/>
      <c r="Q159" s="212"/>
      <c r="R159" s="213"/>
      <c r="S159" s="213"/>
      <c r="T159" s="213"/>
      <c r="U159" s="213"/>
      <c r="V159" s="213"/>
      <c r="W159" s="213"/>
      <c r="X159" s="213"/>
      <c r="Y159" s="213"/>
      <c r="Z159" s="214"/>
      <c r="AA159" s="213"/>
      <c r="AB159" s="213"/>
      <c r="AC159" s="213"/>
      <c r="AD159" s="213"/>
      <c r="AE159" s="213"/>
      <c r="AF159" s="213"/>
      <c r="AG159" s="213"/>
      <c r="AH159" s="214"/>
      <c r="AJ159" s="631">
        <f ca="1">IF(AND($D159="Serviço",AJ$12&lt;&gt;0,$H159&gt;0,OR(AUTOEVENTO&lt;&gt;"manual",$M159&lt;&gt;1)),ROUND(OFFSET($P159,0,AJ$13),15-13*ORÇAMENTO!$AF$7)/$H159*OFFSET(ORÇAMENTO!$X$15,ROW(AJ159)-ROW(AJ$15),0),0)</f>
        <v>0</v>
      </c>
      <c r="AK159" s="632">
        <f ca="1">IF(AND($D159="Serviço",AK$12&lt;&gt;0,$H159&gt;0,OR(AUTOEVENTO&lt;&gt;"manual",$M159&lt;&gt;1)),ROUND(OFFSET($P159,0,AK$13),15-13*ORÇAMENTO!$AF$7)/$H159*OFFSET(ORÇAMENTO!$X$15,ROW(AK159)-ROW(AK$15),0),0)</f>
        <v>0</v>
      </c>
      <c r="AL159" s="632">
        <f ca="1">IF(AND($D159="Serviço",AL$12&lt;&gt;0,$H159&gt;0,OR(AUTOEVENTO&lt;&gt;"manual",$M159&lt;&gt;1)),ROUND(OFFSET($P159,0,AL$13),15-13*ORÇAMENTO!$AF$7)/$H159*OFFSET(ORÇAMENTO!$X$15,ROW(AL159)-ROW(AL$15),0),0)</f>
        <v>0</v>
      </c>
      <c r="AM159" s="632">
        <f ca="1">IF(AND($D159="Serviço",AM$12&lt;&gt;0,$H159&gt;0,OR(AUTOEVENTO&lt;&gt;"manual",$M159&lt;&gt;1)),ROUND(OFFSET($P159,0,AM$13),15-13*ORÇAMENTO!$AF$7)/$H159*OFFSET(ORÇAMENTO!$X$15,ROW(AM159)-ROW(AM$15),0),0)</f>
        <v>0</v>
      </c>
      <c r="AN159" s="632">
        <f ca="1">IF(AND($D159="Serviço",AN$12&lt;&gt;0,$H159&gt;0,OR(AUTOEVENTO&lt;&gt;"manual",$M159&lt;&gt;1)),ROUND(OFFSET($P159,0,AN$13),15-13*ORÇAMENTO!$AF$7)/$H159*OFFSET(ORÇAMENTO!$X$15,ROW(AN159)-ROW(AN$15),0),0)</f>
        <v>0</v>
      </c>
      <c r="AO159" s="632">
        <f ca="1">IF(AND($D159="Serviço",AO$12&lt;&gt;0,$H159&gt;0,OR(AUTOEVENTO&lt;&gt;"manual",$M159&lt;&gt;1)),ROUND(OFFSET($P159,0,AO$13),15-13*ORÇAMENTO!$AF$7)/$H159*OFFSET(ORÇAMENTO!$X$15,ROW(AO159)-ROW(AO$15),0),0)</f>
        <v>0</v>
      </c>
      <c r="AP159" s="632">
        <f ca="1">IF(AND($D159="Serviço",AP$12&lt;&gt;0,$H159&gt;0,OR(AUTOEVENTO&lt;&gt;"manual",$M159&lt;&gt;1)),ROUND(OFFSET($P159,0,AP$13),15-13*ORÇAMENTO!$AF$7)/$H159*OFFSET(ORÇAMENTO!$X$15,ROW(AP159)-ROW(AP$15),0),0)</f>
        <v>0</v>
      </c>
      <c r="AQ159" s="632">
        <f ca="1">IF(AND($D159="Serviço",AQ$12&lt;&gt;0,$H159&gt;0,OR(AUTOEVENTO&lt;&gt;"manual",$M159&lt;&gt;1)),ROUND(OFFSET($P159,0,AQ$13),15-13*ORÇAMENTO!$AF$7)/$H159*OFFSET(ORÇAMENTO!$X$15,ROW(AQ159)-ROW(AQ$15),0),0)</f>
        <v>0</v>
      </c>
      <c r="AR159" s="632">
        <f ca="1">IF(AND($D159="Serviço",AR$12&lt;&gt;0,$H159&gt;0,OR(AUTOEVENTO&lt;&gt;"manual",$M159&lt;&gt;1)),ROUND(OFFSET($P159,0,AR$13),15-13*ORÇAMENTO!$AF$7)/$H159*OFFSET(ORÇAMENTO!$X$15,ROW(AR159)-ROW(AR$15),0),0)</f>
        <v>0</v>
      </c>
      <c r="AS159" s="633">
        <f ca="1">IF(AND($D159="Serviço",AS$12&lt;&gt;0,$H159&gt;0,OR(AUTOEVENTO&lt;&gt;"manual",$M159&lt;&gt;1)),ROUND(OFFSET($P159,0,AS$13),15-13*ORÇAMENTO!$AF$7)/$H159*OFFSET(ORÇAMENTO!$X$15,ROW(AS159)-ROW(AS$15),0),0)</f>
        <v>0</v>
      </c>
      <c r="AT159" s="632">
        <f ca="1">IF(AND($D159="Serviço",AT$12&lt;&gt;0,$H159&gt;0,OR(AUTOEVENTO&lt;&gt;"manual",$M159&lt;&gt;1)),ROUND(OFFSET($P159,0,AT$13),15-13*ORÇAMENTO!$AF$7)/$H159*OFFSET(ORÇAMENTO!$X$15,ROW(AT159)-ROW(AT$15),0),0)</f>
        <v>0</v>
      </c>
      <c r="AU159" s="632">
        <f ca="1">IF(AND($D159="Serviço",AU$12&lt;&gt;0,$H159&gt;0,OR(AUTOEVENTO&lt;&gt;"manual",$M159&lt;&gt;1)),ROUND(OFFSET($P159,0,AU$13),15-13*ORÇAMENTO!$AF$7)/$H159*OFFSET(ORÇAMENTO!$X$15,ROW(AU159)-ROW(AU$15),0),0)</f>
        <v>0</v>
      </c>
      <c r="AV159" s="632">
        <f ca="1">IF(AND($D159="Serviço",AV$12&lt;&gt;0,$H159&gt;0,OR(AUTOEVENTO&lt;&gt;"manual",$M159&lt;&gt;1)),ROUND(OFFSET($P159,0,AV$13),15-13*ORÇAMENTO!$AF$7)/$H159*OFFSET(ORÇAMENTO!$X$15,ROW(AV159)-ROW(AV$15),0),0)</f>
        <v>0</v>
      </c>
      <c r="AW159" s="632">
        <f ca="1">IF(AND($D159="Serviço",AW$12&lt;&gt;0,$H159&gt;0,OR(AUTOEVENTO&lt;&gt;"manual",$M159&lt;&gt;1)),ROUND(OFFSET($P159,0,AW$13),15-13*ORÇAMENTO!$AF$7)/$H159*OFFSET(ORÇAMENTO!$X$15,ROW(AW159)-ROW(AW$15),0),0)</f>
        <v>0</v>
      </c>
      <c r="AX159" s="632">
        <f ca="1">IF(AND($D159="Serviço",AX$12&lt;&gt;0,$H159&gt;0,OR(AUTOEVENTO&lt;&gt;"manual",$M159&lt;&gt;1)),ROUND(OFFSET($P159,0,AX$13),15-13*ORÇAMENTO!$AF$7)/$H159*OFFSET(ORÇAMENTO!$X$15,ROW(AX159)-ROW(AX$15),0),0)</f>
        <v>0</v>
      </c>
      <c r="AY159" s="632">
        <f ca="1">IF(AND($D159="Serviço",AY$12&lt;&gt;0,$H159&gt;0,OR(AUTOEVENTO&lt;&gt;"manual",$M159&lt;&gt;1)),ROUND(OFFSET($P159,0,AY$13),15-13*ORÇAMENTO!$AF$7)/$H159*OFFSET(ORÇAMENTO!$X$15,ROW(AY159)-ROW(AY$15),0),0)</f>
        <v>0</v>
      </c>
      <c r="AZ159" s="632">
        <f ca="1">IF(AND($D159="Serviço",AZ$12&lt;&gt;0,$H159&gt;0,OR(AUTOEVENTO&lt;&gt;"manual",$M159&lt;&gt;1)),ROUND(OFFSET($P159,0,AZ$13),15-13*ORÇAMENTO!$AF$7)/$H159*OFFSET(ORÇAMENTO!$X$15,ROW(AZ159)-ROW(AZ$15),0),0)</f>
        <v>0</v>
      </c>
      <c r="BA159" s="633">
        <f ca="1">IF(AND($D159="Serviço",BA$12&lt;&gt;0,$H159&gt;0,OR(AUTOEVENTO&lt;&gt;"manual",$M159&lt;&gt;1)),ROUND(OFFSET($P159,0,BA$13),15-13*ORÇAMENTO!$AF$7)/$H159*OFFSET(ORÇAMENTO!$X$15,ROW(BA159)-ROW(BA$15),0),0)</f>
        <v>0</v>
      </c>
      <c r="BC159" s="215">
        <f ca="1">IF($D159&lt;&gt;"Serviço",0,IF(AND(AUTOEVENTO="Manual",$M159=1),0,IF(OFFSET(CRONOPLE!$F$14,$M159,BC$13)="",10^12,OFFSET(CRONOPLE!$F$14,$M159,BC$13))))</f>
        <v>1000000000000</v>
      </c>
      <c r="BD159" s="215">
        <f ca="1">IF($D159&lt;&gt;"Serviço",0,IF(AND(AUTOEVENTO="Manual",$M159=1),0,IF(OFFSET(CRONOPLE!$F$14,$M159,BD$13)="",10^12,OFFSET(CRONOPLE!$F$14,$M159,BD$13))))</f>
        <v>1000000000000</v>
      </c>
      <c r="BE159" s="215">
        <f ca="1">IF($D159&lt;&gt;"Serviço",0,IF(AND(AUTOEVENTO="Manual",$M159=1),0,IF(OFFSET(CRONOPLE!$F$14,$M159,BE$13)="",10^12,OFFSET(CRONOPLE!$F$14,$M159,BE$13))))</f>
        <v>1000000000000</v>
      </c>
      <c r="BF159" s="215">
        <f ca="1">IF($D159&lt;&gt;"Serviço",0,IF(AND(AUTOEVENTO="Manual",$M159=1),0,IF(OFFSET(CRONOPLE!$F$14,$M159,BF$13)="",10^12,OFFSET(CRONOPLE!$F$14,$M159,BF$13))))</f>
        <v>1000000000000</v>
      </c>
      <c r="BG159" s="215">
        <f ca="1">IF($D159&lt;&gt;"Serviço",0,IF(AND(AUTOEVENTO="Manual",$M159=1),0,IF(OFFSET(CRONOPLE!$F$14,$M159,BG$13)="",10^12,OFFSET(CRONOPLE!$F$14,$M159,BG$13))))</f>
        <v>1000000000000</v>
      </c>
      <c r="BH159" s="215">
        <f ca="1">IF($D159&lt;&gt;"Serviço",0,IF(AND(AUTOEVENTO="Manual",$M159=1),0,IF(OFFSET(CRONOPLE!$F$14,$M159,BH$13)="",10^12,OFFSET(CRONOPLE!$F$14,$M159,BH$13))))</f>
        <v>1000000000000</v>
      </c>
      <c r="BI159" s="215">
        <f ca="1">IF($D159&lt;&gt;"Serviço",0,IF(AND(AUTOEVENTO="Manual",$M159=1),0,IF(OFFSET(CRONOPLE!$F$14,$M159,BI$13)="",10^12,OFFSET(CRONOPLE!$F$14,$M159,BI$13))))</f>
        <v>1000000000000</v>
      </c>
      <c r="BJ159" s="215">
        <f ca="1">IF($D159&lt;&gt;"Serviço",0,IF(AND(AUTOEVENTO="Manual",$M159=1),0,IF(OFFSET(CRONOPLE!$F$14,$M159,BJ$13)="",10^12,OFFSET(CRONOPLE!$F$14,$M159,BJ$13))))</f>
        <v>1000000000000</v>
      </c>
      <c r="BK159" s="215">
        <f ca="1">IF($D159&lt;&gt;"Serviço",0,IF(AND(AUTOEVENTO="Manual",$M159=1),0,IF(OFFSET(CRONOPLE!$F$14,$M159,BK$13)="",10^12,OFFSET(CRONOPLE!$F$14,$M159,BK$13))))</f>
        <v>1000000000000</v>
      </c>
      <c r="BL159" s="215">
        <f ca="1">IF($D159&lt;&gt;"Serviço",0,IF(AND(AUTOEVENTO="Manual",$M159=1),0,IF(OFFSET(CRONOPLE!$F$14,$M159,BL$13)="",10^12,OFFSET(CRONOPLE!$F$14,$M159,BL$13))))</f>
        <v>1000000000000</v>
      </c>
      <c r="BM159" s="215">
        <f ca="1">IF($D159&lt;&gt;"Serviço",0,IF(AND(AUTOEVENTO="Manual",$M159=1),0,IF(OFFSET(CRONOPLE!$F$14,$M159,BM$13)="",10^12,OFFSET(CRONOPLE!$F$14,$M159,BM$13))))</f>
        <v>1000000000000</v>
      </c>
      <c r="BN159" s="215">
        <f ca="1">IF($D159&lt;&gt;"Serviço",0,IF(AND(AUTOEVENTO="Manual",$M159=1),0,IF(OFFSET(CRONOPLE!$F$14,$M159,BN$13)="",10^12,OFFSET(CRONOPLE!$F$14,$M159,BN$13))))</f>
        <v>1000000000000</v>
      </c>
      <c r="BO159" s="215">
        <f ca="1">IF($D159&lt;&gt;"Serviço",0,IF(AND(AUTOEVENTO="Manual",$M159=1),0,IF(OFFSET(CRONOPLE!$F$14,$M159,BO$13)="",10^12,OFFSET(CRONOPLE!$F$14,$M159,BO$13))))</f>
        <v>1000000000000</v>
      </c>
      <c r="BP159" s="215">
        <f ca="1">IF($D159&lt;&gt;"Serviço",0,IF(AND(AUTOEVENTO="Manual",$M159=1),0,IF(OFFSET(CRONOPLE!$F$14,$M159,BP$13)="",10^12,OFFSET(CRONOPLE!$F$14,$M159,BP$13))))</f>
        <v>1000000000000</v>
      </c>
      <c r="BQ159" s="215">
        <f ca="1">IF($D159&lt;&gt;"Serviço",0,IF(AND(AUTOEVENTO="Manual",$M159=1),0,IF(OFFSET(CRONOPLE!$F$14,$M159,BQ$13)="",10^12,OFFSET(CRONOPLE!$F$14,$M159,BQ$13))))</f>
        <v>1000000000000</v>
      </c>
      <c r="BR159" s="215">
        <f ca="1">IF($D159&lt;&gt;"Serviço",0,IF(AND(AUTOEVENTO="Manual",$M159=1),0,IF(OFFSET(CRONOPLE!$F$14,$M159,BR$13)="",10^12,OFFSET(CRONOPLE!$F$14,$M159,BR$13))))</f>
        <v>1000000000000</v>
      </c>
      <c r="BS159" s="215">
        <f ca="1">IF($D159&lt;&gt;"Serviço",0,IF(AND(AUTOEVENTO="Manual",$M159=1),0,IF(OFFSET(CRONOPLE!$F$14,$M159,BS$13)="",10^12,OFFSET(CRONOPLE!$F$14,$M159,BS$13))))</f>
        <v>1000000000000</v>
      </c>
      <c r="BT159" s="215">
        <f ca="1">IF($D159&lt;&gt;"Serviço",0,IF(AND(AUTOEVENTO="Manual",$M159=1),0,IF(OFFSET(CRONOPLE!$F$14,$M159,BT$13)="",10^12,OFFSET(CRONOPLE!$F$14,$M159,BT$13))))</f>
        <v>1000000000000</v>
      </c>
      <c r="BV159" s="216">
        <f ca="1">IF($D159&lt;&gt;"Serviço",0,IF(OR(AND(AUTOEVENTO="Manual",$M159=1),$M159&gt;(ROW(PLE.lastrow)-ROW(PLE.firstrow))),0,IF(OFFSET(PLE!$G$14,$M159,BV$13)="",10^12,OFFSET(PLE!$G$14,$M159,BV$13))))</f>
        <v>1000000000000</v>
      </c>
      <c r="BW159" s="216">
        <f ca="1">IF($D159&lt;&gt;"Serviço",0,IF(OR(AND(AUTOEVENTO="Manual",$M159=1),$M159&gt;(ROW(PLE.lastrow)-ROW(PLE.firstrow))),0,IF(OFFSET(PLE!$G$14,$M159,BW$13)="",10^12,OFFSET(PLE!$G$14,$M159,BW$13))))</f>
        <v>1000000000000</v>
      </c>
      <c r="BX159" s="216">
        <f ca="1">IF($D159&lt;&gt;"Serviço",0,IF(OR(AND(AUTOEVENTO="Manual",$M159=1),$M159&gt;(ROW(PLE.lastrow)-ROW(PLE.firstrow))),0,IF(OFFSET(PLE!$G$14,$M159,BX$13)="",10^12,OFFSET(PLE!$G$14,$M159,BX$13))))</f>
        <v>1000000000000</v>
      </c>
      <c r="BY159" s="216">
        <f ca="1">IF($D159&lt;&gt;"Serviço",0,IF(OR(AND(AUTOEVENTO="Manual",$M159=1),$M159&gt;(ROW(PLE.lastrow)-ROW(PLE.firstrow))),0,IF(OFFSET(PLE!$G$14,$M159,BY$13)="",10^12,OFFSET(PLE!$G$14,$M159,BY$13))))</f>
        <v>1000000000000</v>
      </c>
      <c r="BZ159" s="216">
        <f ca="1">IF($D159&lt;&gt;"Serviço",0,IF(OR(AND(AUTOEVENTO="Manual",$M159=1),$M159&gt;(ROW(PLE.lastrow)-ROW(PLE.firstrow))),0,IF(OFFSET(PLE!$G$14,$M159,BZ$13)="",10^12,OFFSET(PLE!$G$14,$M159,BZ$13))))</f>
        <v>1000000000000</v>
      </c>
      <c r="CA159" s="216">
        <f ca="1">IF($D159&lt;&gt;"Serviço",0,IF(OR(AND(AUTOEVENTO="Manual",$M159=1),$M159&gt;(ROW(PLE.lastrow)-ROW(PLE.firstrow))),0,IF(OFFSET(PLE!$G$14,$M159,CA$13)="",10^12,OFFSET(PLE!$G$14,$M159,CA$13))))</f>
        <v>1000000000000</v>
      </c>
      <c r="CB159" s="216">
        <f ca="1">IF($D159&lt;&gt;"Serviço",0,IF(OR(AND(AUTOEVENTO="Manual",$M159=1),$M159&gt;(ROW(PLE.lastrow)-ROW(PLE.firstrow))),0,IF(OFFSET(PLE!$G$14,$M159,CB$13)="",10^12,OFFSET(PLE!$G$14,$M159,CB$13))))</f>
        <v>1000000000000</v>
      </c>
      <c r="CC159" s="216">
        <f ca="1">IF($D159&lt;&gt;"Serviço",0,IF(OR(AND(AUTOEVENTO="Manual",$M159=1),$M159&gt;(ROW(PLE.lastrow)-ROW(PLE.firstrow))),0,IF(OFFSET(PLE!$G$14,$M159,CC$13)="",10^12,OFFSET(PLE!$G$14,$M159,CC$13))))</f>
        <v>1000000000000</v>
      </c>
      <c r="CD159" s="216">
        <f ca="1">IF($D159&lt;&gt;"Serviço",0,IF(OR(AND(AUTOEVENTO="Manual",$M159=1),$M159&gt;(ROW(PLE.lastrow)-ROW(PLE.firstrow))),0,IF(OFFSET(PLE!$G$14,$M159,CD$13)="",10^12,OFFSET(PLE!$G$14,$M159,CD$13))))</f>
        <v>1000000000000</v>
      </c>
      <c r="CE159" s="216">
        <f ca="1">IF($D159&lt;&gt;"Serviço",0,IF(OR(AND(AUTOEVENTO="Manual",$M159=1),$M159&gt;(ROW(PLE.lastrow)-ROW(PLE.firstrow))),0,IF(OFFSET(PLE!$G$14,$M159,CE$13)="",10^12,OFFSET(PLE!$G$14,$M159,CE$13))))</f>
        <v>1000000000000</v>
      </c>
      <c r="CF159" s="216">
        <f ca="1">IF($D159&lt;&gt;"Serviço",0,IF(OR(AND(AUTOEVENTO="Manual",$M159=1),$M159&gt;(ROW(PLE.lastrow)-ROW(PLE.firstrow))),0,IF(OFFSET(PLE!$G$14,$M159,CF$13)="",10^12,OFFSET(PLE!$G$14,$M159,CF$13))))</f>
        <v>1000000000000</v>
      </c>
      <c r="CG159" s="216">
        <f ca="1">IF($D159&lt;&gt;"Serviço",0,IF(OR(AND(AUTOEVENTO="Manual",$M159=1),$M159&gt;(ROW(PLE.lastrow)-ROW(PLE.firstrow))),0,IF(OFFSET(PLE!$G$14,$M159,CG$13)="",10^12,OFFSET(PLE!$G$14,$M159,CG$13))))</f>
        <v>1000000000000</v>
      </c>
      <c r="CH159" s="216">
        <f ca="1">IF($D159&lt;&gt;"Serviço",0,IF(OR(AND(AUTOEVENTO="Manual",$M159=1),$M159&gt;(ROW(PLE.lastrow)-ROW(PLE.firstrow))),0,IF(OFFSET(PLE!$G$14,$M159,CH$13)="",10^12,OFFSET(PLE!$G$14,$M159,CH$13))))</f>
        <v>1000000000000</v>
      </c>
      <c r="CI159" s="216">
        <f ca="1">IF($D159&lt;&gt;"Serviço",0,IF(OR(AND(AUTOEVENTO="Manual",$M159=1),$M159&gt;(ROW(PLE.lastrow)-ROW(PLE.firstrow))),0,IF(OFFSET(PLE!$G$14,$M159,CI$13)="",10^12,OFFSET(PLE!$G$14,$M159,CI$13))))</f>
        <v>1000000000000</v>
      </c>
      <c r="CJ159" s="216">
        <f ca="1">IF($D159&lt;&gt;"Serviço",0,IF(OR(AND(AUTOEVENTO="Manual",$M159=1),$M159&gt;(ROW(PLE.lastrow)-ROW(PLE.firstrow))),0,IF(OFFSET(PLE!$G$14,$M159,CJ$13)="",10^12,OFFSET(PLE!$G$14,$M159,CJ$13))))</f>
        <v>1000000000000</v>
      </c>
      <c r="CK159" s="216">
        <f ca="1">IF($D159&lt;&gt;"Serviço",0,IF(OR(AND(AUTOEVENTO="Manual",$M159=1),$M159&gt;(ROW(PLE.lastrow)-ROW(PLE.firstrow))),0,IF(OFFSET(PLE!$G$14,$M159,CK$13)="",10^12,OFFSET(PLE!$G$14,$M159,CK$13))))</f>
        <v>1000000000000</v>
      </c>
      <c r="CL159" s="216">
        <f ca="1">IF($D159&lt;&gt;"Serviço",0,IF(OR(AND(AUTOEVENTO="Manual",$M159=1),$M159&gt;(ROW(PLE.lastrow)-ROW(PLE.firstrow))),0,IF(OFFSET(PLE!$G$14,$M159,CL$13)="",10^12,OFFSET(PLE!$G$14,$M159,CL$13))))</f>
        <v>1000000000000</v>
      </c>
      <c r="CM159" s="216">
        <f ca="1">IF($D159&lt;&gt;"Serviço",0,IF(OR(AND(AUTOEVENTO="Manual",$M159=1),$M159&gt;(ROW(PLE.lastrow)-ROW(PLE.firstrow))),0,IF(OFFSET(PLE!$G$14,$M159,CM$13)="",10^12,OFFSET(PLE!$G$14,$M159,CM$13))))</f>
        <v>1000000000000</v>
      </c>
    </row>
    <row r="160" spans="1:91" ht="13.2" x14ac:dyDescent="0.25">
      <c r="A160" s="9">
        <f t="shared" ca="1" si="11"/>
        <v>0</v>
      </c>
      <c r="B160" s="9" t="str">
        <f ca="1">OFFSET(ORÇAMENTO!C$15,ROW(B160)-ROW(B$15),0)</f>
        <v>S</v>
      </c>
      <c r="C160" s="9" t="str">
        <f ca="1">OFFSET(ORÇAMENTO!L$15,ROW(C160)-ROW(C$15),0)</f>
        <v/>
      </c>
      <c r="D160" s="145" t="str">
        <f ca="1">OFFSET(ORÇAMENTO!N$15,ROW(D160)-ROW(D$15),0)</f>
        <v>Serviço</v>
      </c>
      <c r="E160" s="205" t="str">
        <f ca="1">OFFSET(ORÇAMENTO!O$15,ROW(E160)-ROW(E$15),0)</f>
        <v>-</v>
      </c>
      <c r="F160" s="206" t="str">
        <f ca="1">OFFSET(ORÇAMENTO!R$15,ROW(F160)-ROW(F$15),0)</f>
        <v>(abra o arquivo 'Referência 05-2024.xls)</v>
      </c>
      <c r="G160" s="207" t="str">
        <f ca="1">IF($D160&lt;&gt;"Serviço","",OFFSET(ORÇAMENTO!S$15,ROW(G160)-ROW(G$15),0))</f>
        <v>-</v>
      </c>
      <c r="H160" s="151">
        <f ca="1">IF($D160&lt;&gt;"Serviço",0,IF(ACOMPANHAMENTO="BM",ROUND(OFFSET(ORÇAMENTO!AJ$15,ROW(H160)-ROW(H$15),0),15-13*ORÇAMENTO!$AF$7),SUMPRODUCT(($Q$12:$AI$12&lt;&gt;"")*ROUND($Q160:$AI160,15-13*ORÇAMENTO!$AF$7))))</f>
        <v>706.41</v>
      </c>
      <c r="I160" s="650"/>
      <c r="K160" s="208"/>
      <c r="L160" s="209" t="s">
        <v>257</v>
      </c>
      <c r="M160" s="210">
        <f ca="1">IF($D160&lt;&gt;"Serviço","",IF(AUTOEVENTO="manual",$A160,IF(ISERROR(MATCH($A160,$A$15:OFFSET($A160,-1,0),0)),MAX($M$15:OFFSET(M160,-1,0))+1,INDEX($M$15:OFFSET(M160,-1,0),MATCH($A160,$A$15:OFFSET($A160,-1,0),0)))))</f>
        <v>0</v>
      </c>
      <c r="N160" s="211" t="str">
        <f ca="1">IF($D160&lt;&gt;"Serviço","",IF(AUTOEVENTO="Manual",IF($A160=0,"&lt;-- defina o número do agrupador",OFFSET(EVENTOS!$D$14,$A160,0)),OFFSET($F$15,$A160,0)))</f>
        <v>&lt;-- defina o número do agrupador</v>
      </c>
      <c r="O160" s="212"/>
      <c r="Q160" s="212"/>
      <c r="R160" s="213"/>
      <c r="S160" s="213"/>
      <c r="T160" s="213"/>
      <c r="U160" s="213"/>
      <c r="V160" s="213"/>
      <c r="W160" s="213"/>
      <c r="X160" s="213"/>
      <c r="Y160" s="213"/>
      <c r="Z160" s="214"/>
      <c r="AA160" s="213"/>
      <c r="AB160" s="213"/>
      <c r="AC160" s="213"/>
      <c r="AD160" s="213"/>
      <c r="AE160" s="213"/>
      <c r="AF160" s="213"/>
      <c r="AG160" s="213"/>
      <c r="AH160" s="214"/>
      <c r="AJ160" s="631">
        <f ca="1">IF(AND($D160="Serviço",AJ$12&lt;&gt;0,$H160&gt;0,OR(AUTOEVENTO&lt;&gt;"manual",$M160&lt;&gt;1)),ROUND(OFFSET($P160,0,AJ$13),15-13*ORÇAMENTO!$AF$7)/$H160*OFFSET(ORÇAMENTO!$X$15,ROW(AJ160)-ROW(AJ$15),0),0)</f>
        <v>0</v>
      </c>
      <c r="AK160" s="632">
        <f ca="1">IF(AND($D160="Serviço",AK$12&lt;&gt;0,$H160&gt;0,OR(AUTOEVENTO&lt;&gt;"manual",$M160&lt;&gt;1)),ROUND(OFFSET($P160,0,AK$13),15-13*ORÇAMENTO!$AF$7)/$H160*OFFSET(ORÇAMENTO!$X$15,ROW(AK160)-ROW(AK$15),0),0)</f>
        <v>0</v>
      </c>
      <c r="AL160" s="632">
        <f ca="1">IF(AND($D160="Serviço",AL$12&lt;&gt;0,$H160&gt;0,OR(AUTOEVENTO&lt;&gt;"manual",$M160&lt;&gt;1)),ROUND(OFFSET($P160,0,AL$13),15-13*ORÇAMENTO!$AF$7)/$H160*OFFSET(ORÇAMENTO!$X$15,ROW(AL160)-ROW(AL$15),0),0)</f>
        <v>0</v>
      </c>
      <c r="AM160" s="632">
        <f ca="1">IF(AND($D160="Serviço",AM$12&lt;&gt;0,$H160&gt;0,OR(AUTOEVENTO&lt;&gt;"manual",$M160&lt;&gt;1)),ROUND(OFFSET($P160,0,AM$13),15-13*ORÇAMENTO!$AF$7)/$H160*OFFSET(ORÇAMENTO!$X$15,ROW(AM160)-ROW(AM$15),0),0)</f>
        <v>0</v>
      </c>
      <c r="AN160" s="632">
        <f ca="1">IF(AND($D160="Serviço",AN$12&lt;&gt;0,$H160&gt;0,OR(AUTOEVENTO&lt;&gt;"manual",$M160&lt;&gt;1)),ROUND(OFFSET($P160,0,AN$13),15-13*ORÇAMENTO!$AF$7)/$H160*OFFSET(ORÇAMENTO!$X$15,ROW(AN160)-ROW(AN$15),0),0)</f>
        <v>0</v>
      </c>
      <c r="AO160" s="632">
        <f ca="1">IF(AND($D160="Serviço",AO$12&lt;&gt;0,$H160&gt;0,OR(AUTOEVENTO&lt;&gt;"manual",$M160&lt;&gt;1)),ROUND(OFFSET($P160,0,AO$13),15-13*ORÇAMENTO!$AF$7)/$H160*OFFSET(ORÇAMENTO!$X$15,ROW(AO160)-ROW(AO$15),0),0)</f>
        <v>0</v>
      </c>
      <c r="AP160" s="632">
        <f ca="1">IF(AND($D160="Serviço",AP$12&lt;&gt;0,$H160&gt;0,OR(AUTOEVENTO&lt;&gt;"manual",$M160&lt;&gt;1)),ROUND(OFFSET($P160,0,AP$13),15-13*ORÇAMENTO!$AF$7)/$H160*OFFSET(ORÇAMENTO!$X$15,ROW(AP160)-ROW(AP$15),0),0)</f>
        <v>0</v>
      </c>
      <c r="AQ160" s="632">
        <f ca="1">IF(AND($D160="Serviço",AQ$12&lt;&gt;0,$H160&gt;0,OR(AUTOEVENTO&lt;&gt;"manual",$M160&lt;&gt;1)),ROUND(OFFSET($P160,0,AQ$13),15-13*ORÇAMENTO!$AF$7)/$H160*OFFSET(ORÇAMENTO!$X$15,ROW(AQ160)-ROW(AQ$15),0),0)</f>
        <v>0</v>
      </c>
      <c r="AR160" s="632">
        <f ca="1">IF(AND($D160="Serviço",AR$12&lt;&gt;0,$H160&gt;0,OR(AUTOEVENTO&lt;&gt;"manual",$M160&lt;&gt;1)),ROUND(OFFSET($P160,0,AR$13),15-13*ORÇAMENTO!$AF$7)/$H160*OFFSET(ORÇAMENTO!$X$15,ROW(AR160)-ROW(AR$15),0),0)</f>
        <v>0</v>
      </c>
      <c r="AS160" s="633">
        <f ca="1">IF(AND($D160="Serviço",AS$12&lt;&gt;0,$H160&gt;0,OR(AUTOEVENTO&lt;&gt;"manual",$M160&lt;&gt;1)),ROUND(OFFSET($P160,0,AS$13),15-13*ORÇAMENTO!$AF$7)/$H160*OFFSET(ORÇAMENTO!$X$15,ROW(AS160)-ROW(AS$15),0),0)</f>
        <v>0</v>
      </c>
      <c r="AT160" s="632">
        <f ca="1">IF(AND($D160="Serviço",AT$12&lt;&gt;0,$H160&gt;0,OR(AUTOEVENTO&lt;&gt;"manual",$M160&lt;&gt;1)),ROUND(OFFSET($P160,0,AT$13),15-13*ORÇAMENTO!$AF$7)/$H160*OFFSET(ORÇAMENTO!$X$15,ROW(AT160)-ROW(AT$15),0),0)</f>
        <v>0</v>
      </c>
      <c r="AU160" s="632">
        <f ca="1">IF(AND($D160="Serviço",AU$12&lt;&gt;0,$H160&gt;0,OR(AUTOEVENTO&lt;&gt;"manual",$M160&lt;&gt;1)),ROUND(OFFSET($P160,0,AU$13),15-13*ORÇAMENTO!$AF$7)/$H160*OFFSET(ORÇAMENTO!$X$15,ROW(AU160)-ROW(AU$15),0),0)</f>
        <v>0</v>
      </c>
      <c r="AV160" s="632">
        <f ca="1">IF(AND($D160="Serviço",AV$12&lt;&gt;0,$H160&gt;0,OR(AUTOEVENTO&lt;&gt;"manual",$M160&lt;&gt;1)),ROUND(OFFSET($P160,0,AV$13),15-13*ORÇAMENTO!$AF$7)/$H160*OFFSET(ORÇAMENTO!$X$15,ROW(AV160)-ROW(AV$15),0),0)</f>
        <v>0</v>
      </c>
      <c r="AW160" s="632">
        <f ca="1">IF(AND($D160="Serviço",AW$12&lt;&gt;0,$H160&gt;0,OR(AUTOEVENTO&lt;&gt;"manual",$M160&lt;&gt;1)),ROUND(OFFSET($P160,0,AW$13),15-13*ORÇAMENTO!$AF$7)/$H160*OFFSET(ORÇAMENTO!$X$15,ROW(AW160)-ROW(AW$15),0),0)</f>
        <v>0</v>
      </c>
      <c r="AX160" s="632">
        <f ca="1">IF(AND($D160="Serviço",AX$12&lt;&gt;0,$H160&gt;0,OR(AUTOEVENTO&lt;&gt;"manual",$M160&lt;&gt;1)),ROUND(OFFSET($P160,0,AX$13),15-13*ORÇAMENTO!$AF$7)/$H160*OFFSET(ORÇAMENTO!$X$15,ROW(AX160)-ROW(AX$15),0),0)</f>
        <v>0</v>
      </c>
      <c r="AY160" s="632">
        <f ca="1">IF(AND($D160="Serviço",AY$12&lt;&gt;0,$H160&gt;0,OR(AUTOEVENTO&lt;&gt;"manual",$M160&lt;&gt;1)),ROUND(OFFSET($P160,0,AY$13),15-13*ORÇAMENTO!$AF$7)/$H160*OFFSET(ORÇAMENTO!$X$15,ROW(AY160)-ROW(AY$15),0),0)</f>
        <v>0</v>
      </c>
      <c r="AZ160" s="632">
        <f ca="1">IF(AND($D160="Serviço",AZ$12&lt;&gt;0,$H160&gt;0,OR(AUTOEVENTO&lt;&gt;"manual",$M160&lt;&gt;1)),ROUND(OFFSET($P160,0,AZ$13),15-13*ORÇAMENTO!$AF$7)/$H160*OFFSET(ORÇAMENTO!$X$15,ROW(AZ160)-ROW(AZ$15),0),0)</f>
        <v>0</v>
      </c>
      <c r="BA160" s="633">
        <f ca="1">IF(AND($D160="Serviço",BA$12&lt;&gt;0,$H160&gt;0,OR(AUTOEVENTO&lt;&gt;"manual",$M160&lt;&gt;1)),ROUND(OFFSET($P160,0,BA$13),15-13*ORÇAMENTO!$AF$7)/$H160*OFFSET(ORÇAMENTO!$X$15,ROW(BA160)-ROW(BA$15),0),0)</f>
        <v>0</v>
      </c>
      <c r="BC160" s="215">
        <f ca="1">IF($D160&lt;&gt;"Serviço",0,IF(AND(AUTOEVENTO="Manual",$M160=1),0,IF(OFFSET(CRONOPLE!$F$14,$M160,BC$13)="",10^12,OFFSET(CRONOPLE!$F$14,$M160,BC$13))))</f>
        <v>1000000000000</v>
      </c>
      <c r="BD160" s="215">
        <f ca="1">IF($D160&lt;&gt;"Serviço",0,IF(AND(AUTOEVENTO="Manual",$M160=1),0,IF(OFFSET(CRONOPLE!$F$14,$M160,BD$13)="",10^12,OFFSET(CRONOPLE!$F$14,$M160,BD$13))))</f>
        <v>1000000000000</v>
      </c>
      <c r="BE160" s="215">
        <f ca="1">IF($D160&lt;&gt;"Serviço",0,IF(AND(AUTOEVENTO="Manual",$M160=1),0,IF(OFFSET(CRONOPLE!$F$14,$M160,BE$13)="",10^12,OFFSET(CRONOPLE!$F$14,$M160,BE$13))))</f>
        <v>1000000000000</v>
      </c>
      <c r="BF160" s="215">
        <f ca="1">IF($D160&lt;&gt;"Serviço",0,IF(AND(AUTOEVENTO="Manual",$M160=1),0,IF(OFFSET(CRONOPLE!$F$14,$M160,BF$13)="",10^12,OFFSET(CRONOPLE!$F$14,$M160,BF$13))))</f>
        <v>1000000000000</v>
      </c>
      <c r="BG160" s="215">
        <f ca="1">IF($D160&lt;&gt;"Serviço",0,IF(AND(AUTOEVENTO="Manual",$M160=1),0,IF(OFFSET(CRONOPLE!$F$14,$M160,BG$13)="",10^12,OFFSET(CRONOPLE!$F$14,$M160,BG$13))))</f>
        <v>1000000000000</v>
      </c>
      <c r="BH160" s="215">
        <f ca="1">IF($D160&lt;&gt;"Serviço",0,IF(AND(AUTOEVENTO="Manual",$M160=1),0,IF(OFFSET(CRONOPLE!$F$14,$M160,BH$13)="",10^12,OFFSET(CRONOPLE!$F$14,$M160,BH$13))))</f>
        <v>1000000000000</v>
      </c>
      <c r="BI160" s="215">
        <f ca="1">IF($D160&lt;&gt;"Serviço",0,IF(AND(AUTOEVENTO="Manual",$M160=1),0,IF(OFFSET(CRONOPLE!$F$14,$M160,BI$13)="",10^12,OFFSET(CRONOPLE!$F$14,$M160,BI$13))))</f>
        <v>1000000000000</v>
      </c>
      <c r="BJ160" s="215">
        <f ca="1">IF($D160&lt;&gt;"Serviço",0,IF(AND(AUTOEVENTO="Manual",$M160=1),0,IF(OFFSET(CRONOPLE!$F$14,$M160,BJ$13)="",10^12,OFFSET(CRONOPLE!$F$14,$M160,BJ$13))))</f>
        <v>1000000000000</v>
      </c>
      <c r="BK160" s="215">
        <f ca="1">IF($D160&lt;&gt;"Serviço",0,IF(AND(AUTOEVENTO="Manual",$M160=1),0,IF(OFFSET(CRONOPLE!$F$14,$M160,BK$13)="",10^12,OFFSET(CRONOPLE!$F$14,$M160,BK$13))))</f>
        <v>1000000000000</v>
      </c>
      <c r="BL160" s="215">
        <f ca="1">IF($D160&lt;&gt;"Serviço",0,IF(AND(AUTOEVENTO="Manual",$M160=1),0,IF(OFFSET(CRONOPLE!$F$14,$M160,BL$13)="",10^12,OFFSET(CRONOPLE!$F$14,$M160,BL$13))))</f>
        <v>1000000000000</v>
      </c>
      <c r="BM160" s="215">
        <f ca="1">IF($D160&lt;&gt;"Serviço",0,IF(AND(AUTOEVENTO="Manual",$M160=1),0,IF(OFFSET(CRONOPLE!$F$14,$M160,BM$13)="",10^12,OFFSET(CRONOPLE!$F$14,$M160,BM$13))))</f>
        <v>1000000000000</v>
      </c>
      <c r="BN160" s="215">
        <f ca="1">IF($D160&lt;&gt;"Serviço",0,IF(AND(AUTOEVENTO="Manual",$M160=1),0,IF(OFFSET(CRONOPLE!$F$14,$M160,BN$13)="",10^12,OFFSET(CRONOPLE!$F$14,$M160,BN$13))))</f>
        <v>1000000000000</v>
      </c>
      <c r="BO160" s="215">
        <f ca="1">IF($D160&lt;&gt;"Serviço",0,IF(AND(AUTOEVENTO="Manual",$M160=1),0,IF(OFFSET(CRONOPLE!$F$14,$M160,BO$13)="",10^12,OFFSET(CRONOPLE!$F$14,$M160,BO$13))))</f>
        <v>1000000000000</v>
      </c>
      <c r="BP160" s="215">
        <f ca="1">IF($D160&lt;&gt;"Serviço",0,IF(AND(AUTOEVENTO="Manual",$M160=1),0,IF(OFFSET(CRONOPLE!$F$14,$M160,BP$13)="",10^12,OFFSET(CRONOPLE!$F$14,$M160,BP$13))))</f>
        <v>1000000000000</v>
      </c>
      <c r="BQ160" s="215">
        <f ca="1">IF($D160&lt;&gt;"Serviço",0,IF(AND(AUTOEVENTO="Manual",$M160=1),0,IF(OFFSET(CRONOPLE!$F$14,$M160,BQ$13)="",10^12,OFFSET(CRONOPLE!$F$14,$M160,BQ$13))))</f>
        <v>1000000000000</v>
      </c>
      <c r="BR160" s="215">
        <f ca="1">IF($D160&lt;&gt;"Serviço",0,IF(AND(AUTOEVENTO="Manual",$M160=1),0,IF(OFFSET(CRONOPLE!$F$14,$M160,BR$13)="",10^12,OFFSET(CRONOPLE!$F$14,$M160,BR$13))))</f>
        <v>1000000000000</v>
      </c>
      <c r="BS160" s="215">
        <f ca="1">IF($D160&lt;&gt;"Serviço",0,IF(AND(AUTOEVENTO="Manual",$M160=1),0,IF(OFFSET(CRONOPLE!$F$14,$M160,BS$13)="",10^12,OFFSET(CRONOPLE!$F$14,$M160,BS$13))))</f>
        <v>1000000000000</v>
      </c>
      <c r="BT160" s="215">
        <f ca="1">IF($D160&lt;&gt;"Serviço",0,IF(AND(AUTOEVENTO="Manual",$M160=1),0,IF(OFFSET(CRONOPLE!$F$14,$M160,BT$13)="",10^12,OFFSET(CRONOPLE!$F$14,$M160,BT$13))))</f>
        <v>1000000000000</v>
      </c>
      <c r="BV160" s="216">
        <f ca="1">IF($D160&lt;&gt;"Serviço",0,IF(OR(AND(AUTOEVENTO="Manual",$M160=1),$M160&gt;(ROW(PLE.lastrow)-ROW(PLE.firstrow))),0,IF(OFFSET(PLE!$G$14,$M160,BV$13)="",10^12,OFFSET(PLE!$G$14,$M160,BV$13))))</f>
        <v>1000000000000</v>
      </c>
      <c r="BW160" s="216">
        <f ca="1">IF($D160&lt;&gt;"Serviço",0,IF(OR(AND(AUTOEVENTO="Manual",$M160=1),$M160&gt;(ROW(PLE.lastrow)-ROW(PLE.firstrow))),0,IF(OFFSET(PLE!$G$14,$M160,BW$13)="",10^12,OFFSET(PLE!$G$14,$M160,BW$13))))</f>
        <v>1000000000000</v>
      </c>
      <c r="BX160" s="216">
        <f ca="1">IF($D160&lt;&gt;"Serviço",0,IF(OR(AND(AUTOEVENTO="Manual",$M160=1),$M160&gt;(ROW(PLE.lastrow)-ROW(PLE.firstrow))),0,IF(OFFSET(PLE!$G$14,$M160,BX$13)="",10^12,OFFSET(PLE!$G$14,$M160,BX$13))))</f>
        <v>1000000000000</v>
      </c>
      <c r="BY160" s="216">
        <f ca="1">IF($D160&lt;&gt;"Serviço",0,IF(OR(AND(AUTOEVENTO="Manual",$M160=1),$M160&gt;(ROW(PLE.lastrow)-ROW(PLE.firstrow))),0,IF(OFFSET(PLE!$G$14,$M160,BY$13)="",10^12,OFFSET(PLE!$G$14,$M160,BY$13))))</f>
        <v>1000000000000</v>
      </c>
      <c r="BZ160" s="216">
        <f ca="1">IF($D160&lt;&gt;"Serviço",0,IF(OR(AND(AUTOEVENTO="Manual",$M160=1),$M160&gt;(ROW(PLE.lastrow)-ROW(PLE.firstrow))),0,IF(OFFSET(PLE!$G$14,$M160,BZ$13)="",10^12,OFFSET(PLE!$G$14,$M160,BZ$13))))</f>
        <v>1000000000000</v>
      </c>
      <c r="CA160" s="216">
        <f ca="1">IF($D160&lt;&gt;"Serviço",0,IF(OR(AND(AUTOEVENTO="Manual",$M160=1),$M160&gt;(ROW(PLE.lastrow)-ROW(PLE.firstrow))),0,IF(OFFSET(PLE!$G$14,$M160,CA$13)="",10^12,OFFSET(PLE!$G$14,$M160,CA$13))))</f>
        <v>1000000000000</v>
      </c>
      <c r="CB160" s="216">
        <f ca="1">IF($D160&lt;&gt;"Serviço",0,IF(OR(AND(AUTOEVENTO="Manual",$M160=1),$M160&gt;(ROW(PLE.lastrow)-ROW(PLE.firstrow))),0,IF(OFFSET(PLE!$G$14,$M160,CB$13)="",10^12,OFFSET(PLE!$G$14,$M160,CB$13))))</f>
        <v>1000000000000</v>
      </c>
      <c r="CC160" s="216">
        <f ca="1">IF($D160&lt;&gt;"Serviço",0,IF(OR(AND(AUTOEVENTO="Manual",$M160=1),$M160&gt;(ROW(PLE.lastrow)-ROW(PLE.firstrow))),0,IF(OFFSET(PLE!$G$14,$M160,CC$13)="",10^12,OFFSET(PLE!$G$14,$M160,CC$13))))</f>
        <v>1000000000000</v>
      </c>
      <c r="CD160" s="216">
        <f ca="1">IF($D160&lt;&gt;"Serviço",0,IF(OR(AND(AUTOEVENTO="Manual",$M160=1),$M160&gt;(ROW(PLE.lastrow)-ROW(PLE.firstrow))),0,IF(OFFSET(PLE!$G$14,$M160,CD$13)="",10^12,OFFSET(PLE!$G$14,$M160,CD$13))))</f>
        <v>1000000000000</v>
      </c>
      <c r="CE160" s="216">
        <f ca="1">IF($D160&lt;&gt;"Serviço",0,IF(OR(AND(AUTOEVENTO="Manual",$M160=1),$M160&gt;(ROW(PLE.lastrow)-ROW(PLE.firstrow))),0,IF(OFFSET(PLE!$G$14,$M160,CE$13)="",10^12,OFFSET(PLE!$G$14,$M160,CE$13))))</f>
        <v>1000000000000</v>
      </c>
      <c r="CF160" s="216">
        <f ca="1">IF($D160&lt;&gt;"Serviço",0,IF(OR(AND(AUTOEVENTO="Manual",$M160=1),$M160&gt;(ROW(PLE.lastrow)-ROW(PLE.firstrow))),0,IF(OFFSET(PLE!$G$14,$M160,CF$13)="",10^12,OFFSET(PLE!$G$14,$M160,CF$13))))</f>
        <v>1000000000000</v>
      </c>
      <c r="CG160" s="216">
        <f ca="1">IF($D160&lt;&gt;"Serviço",0,IF(OR(AND(AUTOEVENTO="Manual",$M160=1),$M160&gt;(ROW(PLE.lastrow)-ROW(PLE.firstrow))),0,IF(OFFSET(PLE!$G$14,$M160,CG$13)="",10^12,OFFSET(PLE!$G$14,$M160,CG$13))))</f>
        <v>1000000000000</v>
      </c>
      <c r="CH160" s="216">
        <f ca="1">IF($D160&lt;&gt;"Serviço",0,IF(OR(AND(AUTOEVENTO="Manual",$M160=1),$M160&gt;(ROW(PLE.lastrow)-ROW(PLE.firstrow))),0,IF(OFFSET(PLE!$G$14,$M160,CH$13)="",10^12,OFFSET(PLE!$G$14,$M160,CH$13))))</f>
        <v>1000000000000</v>
      </c>
      <c r="CI160" s="216">
        <f ca="1">IF($D160&lt;&gt;"Serviço",0,IF(OR(AND(AUTOEVENTO="Manual",$M160=1),$M160&gt;(ROW(PLE.lastrow)-ROW(PLE.firstrow))),0,IF(OFFSET(PLE!$G$14,$M160,CI$13)="",10^12,OFFSET(PLE!$G$14,$M160,CI$13))))</f>
        <v>1000000000000</v>
      </c>
      <c r="CJ160" s="216">
        <f ca="1">IF($D160&lt;&gt;"Serviço",0,IF(OR(AND(AUTOEVENTO="Manual",$M160=1),$M160&gt;(ROW(PLE.lastrow)-ROW(PLE.firstrow))),0,IF(OFFSET(PLE!$G$14,$M160,CJ$13)="",10^12,OFFSET(PLE!$G$14,$M160,CJ$13))))</f>
        <v>1000000000000</v>
      </c>
      <c r="CK160" s="216">
        <f ca="1">IF($D160&lt;&gt;"Serviço",0,IF(OR(AND(AUTOEVENTO="Manual",$M160=1),$M160&gt;(ROW(PLE.lastrow)-ROW(PLE.firstrow))),0,IF(OFFSET(PLE!$G$14,$M160,CK$13)="",10^12,OFFSET(PLE!$G$14,$M160,CK$13))))</f>
        <v>1000000000000</v>
      </c>
      <c r="CL160" s="216">
        <f ca="1">IF($D160&lt;&gt;"Serviço",0,IF(OR(AND(AUTOEVENTO="Manual",$M160=1),$M160&gt;(ROW(PLE.lastrow)-ROW(PLE.firstrow))),0,IF(OFFSET(PLE!$G$14,$M160,CL$13)="",10^12,OFFSET(PLE!$G$14,$M160,CL$13))))</f>
        <v>1000000000000</v>
      </c>
      <c r="CM160" s="216">
        <f ca="1">IF($D160&lt;&gt;"Serviço",0,IF(OR(AND(AUTOEVENTO="Manual",$M160=1),$M160&gt;(ROW(PLE.lastrow)-ROW(PLE.firstrow))),0,IF(OFFSET(PLE!$G$14,$M160,CM$13)="",10^12,OFFSET(PLE!$G$14,$M160,CM$13))))</f>
        <v>1000000000000</v>
      </c>
    </row>
    <row r="161" spans="1:91" ht="13.2" x14ac:dyDescent="0.25">
      <c r="A161" s="9">
        <f t="shared" ca="1" si="11"/>
        <v>0</v>
      </c>
      <c r="B161" s="9">
        <f ca="1">OFFSET(ORÇAMENTO!C$15,ROW(B161)-ROW(B$15),0)</f>
        <v>3</v>
      </c>
      <c r="C161" s="9" t="str">
        <f ca="1">OFFSET(ORÇAMENTO!L$15,ROW(C161)-ROW(C$15),0)</f>
        <v>F</v>
      </c>
      <c r="D161" s="145" t="str">
        <f ca="1">OFFSET(ORÇAMENTO!N$15,ROW(D161)-ROW(D$15),0)</f>
        <v>Nível 3</v>
      </c>
      <c r="E161" s="205" t="str">
        <f ca="1">OFFSET(ORÇAMENTO!O$15,ROW(E161)-ROW(E$15),0)</f>
        <v>1.5.3.</v>
      </c>
      <c r="F161" s="206" t="str">
        <f ca="1">OFFSET(ORÇAMENTO!R$15,ROW(F161)-ROW(F$15),0)</f>
        <v>DIVISÓRIAS</v>
      </c>
      <c r="G161" s="207" t="str">
        <f ca="1">IF($D161&lt;&gt;"Serviço","",OFFSET(ORÇAMENTO!S$15,ROW(G161)-ROW(G$15),0))</f>
        <v/>
      </c>
      <c r="H161" s="151">
        <f ca="1">IF($D161&lt;&gt;"Serviço",0,IF(ACOMPANHAMENTO="BM",ROUND(OFFSET(ORÇAMENTO!AJ$15,ROW(H161)-ROW(H$15),0),15-13*ORÇAMENTO!$AF$7),SUMPRODUCT(($Q$12:$AI$12&lt;&gt;"")*ROUND($Q161:$AI161,15-13*ORÇAMENTO!$AF$7))))</f>
        <v>0</v>
      </c>
      <c r="I161" s="650"/>
      <c r="K161" s="208"/>
      <c r="L161" s="209" t="s">
        <v>257</v>
      </c>
      <c r="M161" s="210" t="str">
        <f ca="1">IF($D161&lt;&gt;"Serviço","",IF(AUTOEVENTO="manual",$A161,IF(ISERROR(MATCH($A161,$A$15:OFFSET($A161,-1,0),0)),MAX($M$15:OFFSET(M161,-1,0))+1,INDEX($M$15:OFFSET(M161,-1,0),MATCH($A161,$A$15:OFFSET($A161,-1,0),0)))))</f>
        <v/>
      </c>
      <c r="N161" s="211" t="str">
        <f ca="1">IF($D161&lt;&gt;"Serviço","",IF(AUTOEVENTO="Manual",IF($A161=0,"&lt;-- defina o número do agrupador",OFFSET(EVENTOS!$D$14,$A161,0)),OFFSET($F$15,$A161,0)))</f>
        <v/>
      </c>
      <c r="O161" s="212"/>
      <c r="Q161" s="212"/>
      <c r="R161" s="213"/>
      <c r="S161" s="213"/>
      <c r="T161" s="213"/>
      <c r="U161" s="213"/>
      <c r="V161" s="213"/>
      <c r="W161" s="213"/>
      <c r="X161" s="213"/>
      <c r="Y161" s="213"/>
      <c r="Z161" s="214"/>
      <c r="AA161" s="213"/>
      <c r="AB161" s="213"/>
      <c r="AC161" s="213"/>
      <c r="AD161" s="213"/>
      <c r="AE161" s="213"/>
      <c r="AF161" s="213"/>
      <c r="AG161" s="213"/>
      <c r="AH161" s="214"/>
      <c r="AJ161" s="631">
        <f ca="1">IF(AND($D161="Serviço",AJ$12&lt;&gt;0,$H161&gt;0,OR(AUTOEVENTO&lt;&gt;"manual",$M161&lt;&gt;1)),ROUND(OFFSET($P161,0,AJ$13),15-13*ORÇAMENTO!$AF$7)/$H161*OFFSET(ORÇAMENTO!$X$15,ROW(AJ161)-ROW(AJ$15),0),0)</f>
        <v>0</v>
      </c>
      <c r="AK161" s="632">
        <f ca="1">IF(AND($D161="Serviço",AK$12&lt;&gt;0,$H161&gt;0,OR(AUTOEVENTO&lt;&gt;"manual",$M161&lt;&gt;1)),ROUND(OFFSET($P161,0,AK$13),15-13*ORÇAMENTO!$AF$7)/$H161*OFFSET(ORÇAMENTO!$X$15,ROW(AK161)-ROW(AK$15),0),0)</f>
        <v>0</v>
      </c>
      <c r="AL161" s="632">
        <f ca="1">IF(AND($D161="Serviço",AL$12&lt;&gt;0,$H161&gt;0,OR(AUTOEVENTO&lt;&gt;"manual",$M161&lt;&gt;1)),ROUND(OFFSET($P161,0,AL$13),15-13*ORÇAMENTO!$AF$7)/$H161*OFFSET(ORÇAMENTO!$X$15,ROW(AL161)-ROW(AL$15),0),0)</f>
        <v>0</v>
      </c>
      <c r="AM161" s="632">
        <f ca="1">IF(AND($D161="Serviço",AM$12&lt;&gt;0,$H161&gt;0,OR(AUTOEVENTO&lt;&gt;"manual",$M161&lt;&gt;1)),ROUND(OFFSET($P161,0,AM$13),15-13*ORÇAMENTO!$AF$7)/$H161*OFFSET(ORÇAMENTO!$X$15,ROW(AM161)-ROW(AM$15),0),0)</f>
        <v>0</v>
      </c>
      <c r="AN161" s="632">
        <f ca="1">IF(AND($D161="Serviço",AN$12&lt;&gt;0,$H161&gt;0,OR(AUTOEVENTO&lt;&gt;"manual",$M161&lt;&gt;1)),ROUND(OFFSET($P161,0,AN$13),15-13*ORÇAMENTO!$AF$7)/$H161*OFFSET(ORÇAMENTO!$X$15,ROW(AN161)-ROW(AN$15),0),0)</f>
        <v>0</v>
      </c>
      <c r="AO161" s="632">
        <f ca="1">IF(AND($D161="Serviço",AO$12&lt;&gt;0,$H161&gt;0,OR(AUTOEVENTO&lt;&gt;"manual",$M161&lt;&gt;1)),ROUND(OFFSET($P161,0,AO$13),15-13*ORÇAMENTO!$AF$7)/$H161*OFFSET(ORÇAMENTO!$X$15,ROW(AO161)-ROW(AO$15),0),0)</f>
        <v>0</v>
      </c>
      <c r="AP161" s="632">
        <f ca="1">IF(AND($D161="Serviço",AP$12&lt;&gt;0,$H161&gt;0,OR(AUTOEVENTO&lt;&gt;"manual",$M161&lt;&gt;1)),ROUND(OFFSET($P161,0,AP$13),15-13*ORÇAMENTO!$AF$7)/$H161*OFFSET(ORÇAMENTO!$X$15,ROW(AP161)-ROW(AP$15),0),0)</f>
        <v>0</v>
      </c>
      <c r="AQ161" s="632">
        <f ca="1">IF(AND($D161="Serviço",AQ$12&lt;&gt;0,$H161&gt;0,OR(AUTOEVENTO&lt;&gt;"manual",$M161&lt;&gt;1)),ROUND(OFFSET($P161,0,AQ$13),15-13*ORÇAMENTO!$AF$7)/$H161*OFFSET(ORÇAMENTO!$X$15,ROW(AQ161)-ROW(AQ$15),0),0)</f>
        <v>0</v>
      </c>
      <c r="AR161" s="632">
        <f ca="1">IF(AND($D161="Serviço",AR$12&lt;&gt;0,$H161&gt;0,OR(AUTOEVENTO&lt;&gt;"manual",$M161&lt;&gt;1)),ROUND(OFFSET($P161,0,AR$13),15-13*ORÇAMENTO!$AF$7)/$H161*OFFSET(ORÇAMENTO!$X$15,ROW(AR161)-ROW(AR$15),0),0)</f>
        <v>0</v>
      </c>
      <c r="AS161" s="633">
        <f ca="1">IF(AND($D161="Serviço",AS$12&lt;&gt;0,$H161&gt;0,OR(AUTOEVENTO&lt;&gt;"manual",$M161&lt;&gt;1)),ROUND(OFFSET($P161,0,AS$13),15-13*ORÇAMENTO!$AF$7)/$H161*OFFSET(ORÇAMENTO!$X$15,ROW(AS161)-ROW(AS$15),0),0)</f>
        <v>0</v>
      </c>
      <c r="AT161" s="632">
        <f ca="1">IF(AND($D161="Serviço",AT$12&lt;&gt;0,$H161&gt;0,OR(AUTOEVENTO&lt;&gt;"manual",$M161&lt;&gt;1)),ROUND(OFFSET($P161,0,AT$13),15-13*ORÇAMENTO!$AF$7)/$H161*OFFSET(ORÇAMENTO!$X$15,ROW(AT161)-ROW(AT$15),0),0)</f>
        <v>0</v>
      </c>
      <c r="AU161" s="632">
        <f ca="1">IF(AND($D161="Serviço",AU$12&lt;&gt;0,$H161&gt;0,OR(AUTOEVENTO&lt;&gt;"manual",$M161&lt;&gt;1)),ROUND(OFFSET($P161,0,AU$13),15-13*ORÇAMENTO!$AF$7)/$H161*OFFSET(ORÇAMENTO!$X$15,ROW(AU161)-ROW(AU$15),0),0)</f>
        <v>0</v>
      </c>
      <c r="AV161" s="632">
        <f ca="1">IF(AND($D161="Serviço",AV$12&lt;&gt;0,$H161&gt;0,OR(AUTOEVENTO&lt;&gt;"manual",$M161&lt;&gt;1)),ROUND(OFFSET($P161,0,AV$13),15-13*ORÇAMENTO!$AF$7)/$H161*OFFSET(ORÇAMENTO!$X$15,ROW(AV161)-ROW(AV$15),0),0)</f>
        <v>0</v>
      </c>
      <c r="AW161" s="632">
        <f ca="1">IF(AND($D161="Serviço",AW$12&lt;&gt;0,$H161&gt;0,OR(AUTOEVENTO&lt;&gt;"manual",$M161&lt;&gt;1)),ROUND(OFFSET($P161,0,AW$13),15-13*ORÇAMENTO!$AF$7)/$H161*OFFSET(ORÇAMENTO!$X$15,ROW(AW161)-ROW(AW$15),0),0)</f>
        <v>0</v>
      </c>
      <c r="AX161" s="632">
        <f ca="1">IF(AND($D161="Serviço",AX$12&lt;&gt;0,$H161&gt;0,OR(AUTOEVENTO&lt;&gt;"manual",$M161&lt;&gt;1)),ROUND(OFFSET($P161,0,AX$13),15-13*ORÇAMENTO!$AF$7)/$H161*OFFSET(ORÇAMENTO!$X$15,ROW(AX161)-ROW(AX$15),0),0)</f>
        <v>0</v>
      </c>
      <c r="AY161" s="632">
        <f ca="1">IF(AND($D161="Serviço",AY$12&lt;&gt;0,$H161&gt;0,OR(AUTOEVENTO&lt;&gt;"manual",$M161&lt;&gt;1)),ROUND(OFFSET($P161,0,AY$13),15-13*ORÇAMENTO!$AF$7)/$H161*OFFSET(ORÇAMENTO!$X$15,ROW(AY161)-ROW(AY$15),0),0)</f>
        <v>0</v>
      </c>
      <c r="AZ161" s="632">
        <f ca="1">IF(AND($D161="Serviço",AZ$12&lt;&gt;0,$H161&gt;0,OR(AUTOEVENTO&lt;&gt;"manual",$M161&lt;&gt;1)),ROUND(OFFSET($P161,0,AZ$13),15-13*ORÇAMENTO!$AF$7)/$H161*OFFSET(ORÇAMENTO!$X$15,ROW(AZ161)-ROW(AZ$15),0),0)</f>
        <v>0</v>
      </c>
      <c r="BA161" s="633">
        <f ca="1">IF(AND($D161="Serviço",BA$12&lt;&gt;0,$H161&gt;0,OR(AUTOEVENTO&lt;&gt;"manual",$M161&lt;&gt;1)),ROUND(OFFSET($P161,0,BA$13),15-13*ORÇAMENTO!$AF$7)/$H161*OFFSET(ORÇAMENTO!$X$15,ROW(BA161)-ROW(BA$15),0),0)</f>
        <v>0</v>
      </c>
      <c r="BC161" s="215">
        <f ca="1">IF($D161&lt;&gt;"Serviço",0,IF(AND(AUTOEVENTO="Manual",$M161=1),0,IF(OFFSET(CRONOPLE!$F$14,$M161,BC$13)="",10^12,OFFSET(CRONOPLE!$F$14,$M161,BC$13))))</f>
        <v>0</v>
      </c>
      <c r="BD161" s="215">
        <f ca="1">IF($D161&lt;&gt;"Serviço",0,IF(AND(AUTOEVENTO="Manual",$M161=1),0,IF(OFFSET(CRONOPLE!$F$14,$M161,BD$13)="",10^12,OFFSET(CRONOPLE!$F$14,$M161,BD$13))))</f>
        <v>0</v>
      </c>
      <c r="BE161" s="215">
        <f ca="1">IF($D161&lt;&gt;"Serviço",0,IF(AND(AUTOEVENTO="Manual",$M161=1),0,IF(OFFSET(CRONOPLE!$F$14,$M161,BE$13)="",10^12,OFFSET(CRONOPLE!$F$14,$M161,BE$13))))</f>
        <v>0</v>
      </c>
      <c r="BF161" s="215">
        <f ca="1">IF($D161&lt;&gt;"Serviço",0,IF(AND(AUTOEVENTO="Manual",$M161=1),0,IF(OFFSET(CRONOPLE!$F$14,$M161,BF$13)="",10^12,OFFSET(CRONOPLE!$F$14,$M161,BF$13))))</f>
        <v>0</v>
      </c>
      <c r="BG161" s="215">
        <f ca="1">IF($D161&lt;&gt;"Serviço",0,IF(AND(AUTOEVENTO="Manual",$M161=1),0,IF(OFFSET(CRONOPLE!$F$14,$M161,BG$13)="",10^12,OFFSET(CRONOPLE!$F$14,$M161,BG$13))))</f>
        <v>0</v>
      </c>
      <c r="BH161" s="215">
        <f ca="1">IF($D161&lt;&gt;"Serviço",0,IF(AND(AUTOEVENTO="Manual",$M161=1),0,IF(OFFSET(CRONOPLE!$F$14,$M161,BH$13)="",10^12,OFFSET(CRONOPLE!$F$14,$M161,BH$13))))</f>
        <v>0</v>
      </c>
      <c r="BI161" s="215">
        <f ca="1">IF($D161&lt;&gt;"Serviço",0,IF(AND(AUTOEVENTO="Manual",$M161=1),0,IF(OFFSET(CRONOPLE!$F$14,$M161,BI$13)="",10^12,OFFSET(CRONOPLE!$F$14,$M161,BI$13))))</f>
        <v>0</v>
      </c>
      <c r="BJ161" s="215">
        <f ca="1">IF($D161&lt;&gt;"Serviço",0,IF(AND(AUTOEVENTO="Manual",$M161=1),0,IF(OFFSET(CRONOPLE!$F$14,$M161,BJ$13)="",10^12,OFFSET(CRONOPLE!$F$14,$M161,BJ$13))))</f>
        <v>0</v>
      </c>
      <c r="BK161" s="215">
        <f ca="1">IF($D161&lt;&gt;"Serviço",0,IF(AND(AUTOEVENTO="Manual",$M161=1),0,IF(OFFSET(CRONOPLE!$F$14,$M161,BK$13)="",10^12,OFFSET(CRONOPLE!$F$14,$M161,BK$13))))</f>
        <v>0</v>
      </c>
      <c r="BL161" s="215">
        <f ca="1">IF($D161&lt;&gt;"Serviço",0,IF(AND(AUTOEVENTO="Manual",$M161=1),0,IF(OFFSET(CRONOPLE!$F$14,$M161,BL$13)="",10^12,OFFSET(CRONOPLE!$F$14,$M161,BL$13))))</f>
        <v>0</v>
      </c>
      <c r="BM161" s="215">
        <f ca="1">IF($D161&lt;&gt;"Serviço",0,IF(AND(AUTOEVENTO="Manual",$M161=1),0,IF(OFFSET(CRONOPLE!$F$14,$M161,BM$13)="",10^12,OFFSET(CRONOPLE!$F$14,$M161,BM$13))))</f>
        <v>0</v>
      </c>
      <c r="BN161" s="215">
        <f ca="1">IF($D161&lt;&gt;"Serviço",0,IF(AND(AUTOEVENTO="Manual",$M161=1),0,IF(OFFSET(CRONOPLE!$F$14,$M161,BN$13)="",10^12,OFFSET(CRONOPLE!$F$14,$M161,BN$13))))</f>
        <v>0</v>
      </c>
      <c r="BO161" s="215">
        <f ca="1">IF($D161&lt;&gt;"Serviço",0,IF(AND(AUTOEVENTO="Manual",$M161=1),0,IF(OFFSET(CRONOPLE!$F$14,$M161,BO$13)="",10^12,OFFSET(CRONOPLE!$F$14,$M161,BO$13))))</f>
        <v>0</v>
      </c>
      <c r="BP161" s="215">
        <f ca="1">IF($D161&lt;&gt;"Serviço",0,IF(AND(AUTOEVENTO="Manual",$M161=1),0,IF(OFFSET(CRONOPLE!$F$14,$M161,BP$13)="",10^12,OFFSET(CRONOPLE!$F$14,$M161,BP$13))))</f>
        <v>0</v>
      </c>
      <c r="BQ161" s="215">
        <f ca="1">IF($D161&lt;&gt;"Serviço",0,IF(AND(AUTOEVENTO="Manual",$M161=1),0,IF(OFFSET(CRONOPLE!$F$14,$M161,BQ$13)="",10^12,OFFSET(CRONOPLE!$F$14,$M161,BQ$13))))</f>
        <v>0</v>
      </c>
      <c r="BR161" s="215">
        <f ca="1">IF($D161&lt;&gt;"Serviço",0,IF(AND(AUTOEVENTO="Manual",$M161=1),0,IF(OFFSET(CRONOPLE!$F$14,$M161,BR$13)="",10^12,OFFSET(CRONOPLE!$F$14,$M161,BR$13))))</f>
        <v>0</v>
      </c>
      <c r="BS161" s="215">
        <f ca="1">IF($D161&lt;&gt;"Serviço",0,IF(AND(AUTOEVENTO="Manual",$M161=1),0,IF(OFFSET(CRONOPLE!$F$14,$M161,BS$13)="",10^12,OFFSET(CRONOPLE!$F$14,$M161,BS$13))))</f>
        <v>0</v>
      </c>
      <c r="BT161" s="215">
        <f ca="1">IF($D161&lt;&gt;"Serviço",0,IF(AND(AUTOEVENTO="Manual",$M161=1),0,IF(OFFSET(CRONOPLE!$F$14,$M161,BT$13)="",10^12,OFFSET(CRONOPLE!$F$14,$M161,BT$13))))</f>
        <v>0</v>
      </c>
      <c r="BV161" s="216">
        <f ca="1">IF($D161&lt;&gt;"Serviço",0,IF(OR(AND(AUTOEVENTO="Manual",$M161=1),$M161&gt;(ROW(PLE.lastrow)-ROW(PLE.firstrow))),0,IF(OFFSET(PLE!$G$14,$M161,BV$13)="",10^12,OFFSET(PLE!$G$14,$M161,BV$13))))</f>
        <v>0</v>
      </c>
      <c r="BW161" s="216">
        <f ca="1">IF($D161&lt;&gt;"Serviço",0,IF(OR(AND(AUTOEVENTO="Manual",$M161=1),$M161&gt;(ROW(PLE.lastrow)-ROW(PLE.firstrow))),0,IF(OFFSET(PLE!$G$14,$M161,BW$13)="",10^12,OFFSET(PLE!$G$14,$M161,BW$13))))</f>
        <v>0</v>
      </c>
      <c r="BX161" s="216">
        <f ca="1">IF($D161&lt;&gt;"Serviço",0,IF(OR(AND(AUTOEVENTO="Manual",$M161=1),$M161&gt;(ROW(PLE.lastrow)-ROW(PLE.firstrow))),0,IF(OFFSET(PLE!$G$14,$M161,BX$13)="",10^12,OFFSET(PLE!$G$14,$M161,BX$13))))</f>
        <v>0</v>
      </c>
      <c r="BY161" s="216">
        <f ca="1">IF($D161&lt;&gt;"Serviço",0,IF(OR(AND(AUTOEVENTO="Manual",$M161=1),$M161&gt;(ROW(PLE.lastrow)-ROW(PLE.firstrow))),0,IF(OFFSET(PLE!$G$14,$M161,BY$13)="",10^12,OFFSET(PLE!$G$14,$M161,BY$13))))</f>
        <v>0</v>
      </c>
      <c r="BZ161" s="216">
        <f ca="1">IF($D161&lt;&gt;"Serviço",0,IF(OR(AND(AUTOEVENTO="Manual",$M161=1),$M161&gt;(ROW(PLE.lastrow)-ROW(PLE.firstrow))),0,IF(OFFSET(PLE!$G$14,$M161,BZ$13)="",10^12,OFFSET(PLE!$G$14,$M161,BZ$13))))</f>
        <v>0</v>
      </c>
      <c r="CA161" s="216">
        <f ca="1">IF($D161&lt;&gt;"Serviço",0,IF(OR(AND(AUTOEVENTO="Manual",$M161=1),$M161&gt;(ROW(PLE.lastrow)-ROW(PLE.firstrow))),0,IF(OFFSET(PLE!$G$14,$M161,CA$13)="",10^12,OFFSET(PLE!$G$14,$M161,CA$13))))</f>
        <v>0</v>
      </c>
      <c r="CB161" s="216">
        <f ca="1">IF($D161&lt;&gt;"Serviço",0,IF(OR(AND(AUTOEVENTO="Manual",$M161=1),$M161&gt;(ROW(PLE.lastrow)-ROW(PLE.firstrow))),0,IF(OFFSET(PLE!$G$14,$M161,CB$13)="",10^12,OFFSET(PLE!$G$14,$M161,CB$13))))</f>
        <v>0</v>
      </c>
      <c r="CC161" s="216">
        <f ca="1">IF($D161&lt;&gt;"Serviço",0,IF(OR(AND(AUTOEVENTO="Manual",$M161=1),$M161&gt;(ROW(PLE.lastrow)-ROW(PLE.firstrow))),0,IF(OFFSET(PLE!$G$14,$M161,CC$13)="",10^12,OFFSET(PLE!$G$14,$M161,CC$13))))</f>
        <v>0</v>
      </c>
      <c r="CD161" s="216">
        <f ca="1">IF($D161&lt;&gt;"Serviço",0,IF(OR(AND(AUTOEVENTO="Manual",$M161=1),$M161&gt;(ROW(PLE.lastrow)-ROW(PLE.firstrow))),0,IF(OFFSET(PLE!$G$14,$M161,CD$13)="",10^12,OFFSET(PLE!$G$14,$M161,CD$13))))</f>
        <v>0</v>
      </c>
      <c r="CE161" s="216">
        <f ca="1">IF($D161&lt;&gt;"Serviço",0,IF(OR(AND(AUTOEVENTO="Manual",$M161=1),$M161&gt;(ROW(PLE.lastrow)-ROW(PLE.firstrow))),0,IF(OFFSET(PLE!$G$14,$M161,CE$13)="",10^12,OFFSET(PLE!$G$14,$M161,CE$13))))</f>
        <v>0</v>
      </c>
      <c r="CF161" s="216">
        <f ca="1">IF($D161&lt;&gt;"Serviço",0,IF(OR(AND(AUTOEVENTO="Manual",$M161=1),$M161&gt;(ROW(PLE.lastrow)-ROW(PLE.firstrow))),0,IF(OFFSET(PLE!$G$14,$M161,CF$13)="",10^12,OFFSET(PLE!$G$14,$M161,CF$13))))</f>
        <v>0</v>
      </c>
      <c r="CG161" s="216">
        <f ca="1">IF($D161&lt;&gt;"Serviço",0,IF(OR(AND(AUTOEVENTO="Manual",$M161=1),$M161&gt;(ROW(PLE.lastrow)-ROW(PLE.firstrow))),0,IF(OFFSET(PLE!$G$14,$M161,CG$13)="",10^12,OFFSET(PLE!$G$14,$M161,CG$13))))</f>
        <v>0</v>
      </c>
      <c r="CH161" s="216">
        <f ca="1">IF($D161&lt;&gt;"Serviço",0,IF(OR(AND(AUTOEVENTO="Manual",$M161=1),$M161&gt;(ROW(PLE.lastrow)-ROW(PLE.firstrow))),0,IF(OFFSET(PLE!$G$14,$M161,CH$13)="",10^12,OFFSET(PLE!$G$14,$M161,CH$13))))</f>
        <v>0</v>
      </c>
      <c r="CI161" s="216">
        <f ca="1">IF($D161&lt;&gt;"Serviço",0,IF(OR(AND(AUTOEVENTO="Manual",$M161=1),$M161&gt;(ROW(PLE.lastrow)-ROW(PLE.firstrow))),0,IF(OFFSET(PLE!$G$14,$M161,CI$13)="",10^12,OFFSET(PLE!$G$14,$M161,CI$13))))</f>
        <v>0</v>
      </c>
      <c r="CJ161" s="216">
        <f ca="1">IF($D161&lt;&gt;"Serviço",0,IF(OR(AND(AUTOEVENTO="Manual",$M161=1),$M161&gt;(ROW(PLE.lastrow)-ROW(PLE.firstrow))),0,IF(OFFSET(PLE!$G$14,$M161,CJ$13)="",10^12,OFFSET(PLE!$G$14,$M161,CJ$13))))</f>
        <v>0</v>
      </c>
      <c r="CK161" s="216">
        <f ca="1">IF($D161&lt;&gt;"Serviço",0,IF(OR(AND(AUTOEVENTO="Manual",$M161=1),$M161&gt;(ROW(PLE.lastrow)-ROW(PLE.firstrow))),0,IF(OFFSET(PLE!$G$14,$M161,CK$13)="",10^12,OFFSET(PLE!$G$14,$M161,CK$13))))</f>
        <v>0</v>
      </c>
      <c r="CL161" s="216">
        <f ca="1">IF($D161&lt;&gt;"Serviço",0,IF(OR(AND(AUTOEVENTO="Manual",$M161=1),$M161&gt;(ROW(PLE.lastrow)-ROW(PLE.firstrow))),0,IF(OFFSET(PLE!$G$14,$M161,CL$13)="",10^12,OFFSET(PLE!$G$14,$M161,CL$13))))</f>
        <v>0</v>
      </c>
      <c r="CM161" s="216">
        <f ca="1">IF($D161&lt;&gt;"Serviço",0,IF(OR(AND(AUTOEVENTO="Manual",$M161=1),$M161&gt;(ROW(PLE.lastrow)-ROW(PLE.firstrow))),0,IF(OFFSET(PLE!$G$14,$M161,CM$13)="",10^12,OFFSET(PLE!$G$14,$M161,CM$13))))</f>
        <v>0</v>
      </c>
    </row>
    <row r="162" spans="1:91" ht="13.2" x14ac:dyDescent="0.25">
      <c r="A162" s="9">
        <f t="shared" ca="1" si="11"/>
        <v>0</v>
      </c>
      <c r="B162" s="9" t="str">
        <f ca="1">OFFSET(ORÇAMENTO!C$15,ROW(B162)-ROW(B$15),0)</f>
        <v>S</v>
      </c>
      <c r="C162" s="9" t="str">
        <f ca="1">OFFSET(ORÇAMENTO!L$15,ROW(C162)-ROW(C$15),0)</f>
        <v/>
      </c>
      <c r="D162" s="145" t="str">
        <f ca="1">OFFSET(ORÇAMENTO!N$15,ROW(D162)-ROW(D$15),0)</f>
        <v>Serviço</v>
      </c>
      <c r="E162" s="205" t="str">
        <f ca="1">OFFSET(ORÇAMENTO!O$15,ROW(E162)-ROW(E$15),0)</f>
        <v>-</v>
      </c>
      <c r="F162" s="206" t="str">
        <f ca="1">OFFSET(ORÇAMENTO!R$15,ROW(F162)-ROW(F$15),0)</f>
        <v>(abra o arquivo 'Referência 05-2024.xls)</v>
      </c>
      <c r="G162" s="207" t="str">
        <f ca="1">IF($D162&lt;&gt;"Serviço","",OFFSET(ORÇAMENTO!S$15,ROW(G162)-ROW(G$15),0))</f>
        <v>-</v>
      </c>
      <c r="H162" s="151">
        <f ca="1">IF($D162&lt;&gt;"Serviço",0,IF(ACOMPANHAMENTO="BM",ROUND(OFFSET(ORÇAMENTO!AJ$15,ROW(H162)-ROW(H$15),0),15-13*ORÇAMENTO!$AF$7),SUMPRODUCT(($Q$12:$AI$12&lt;&gt;"")*ROUND($Q162:$AI162,15-13*ORÇAMENTO!$AF$7))))</f>
        <v>25.54</v>
      </c>
      <c r="I162" s="650"/>
      <c r="K162" s="208"/>
      <c r="L162" s="209" t="s">
        <v>257</v>
      </c>
      <c r="M162" s="210">
        <f ca="1">IF($D162&lt;&gt;"Serviço","",IF(AUTOEVENTO="manual",$A162,IF(ISERROR(MATCH($A162,$A$15:OFFSET($A162,-1,0),0)),MAX($M$15:OFFSET(M162,-1,0))+1,INDEX($M$15:OFFSET(M162,-1,0),MATCH($A162,$A$15:OFFSET($A162,-1,0),0)))))</f>
        <v>0</v>
      </c>
      <c r="N162" s="211" t="str">
        <f ca="1">IF($D162&lt;&gt;"Serviço","",IF(AUTOEVENTO="Manual",IF($A162=0,"&lt;-- defina o número do agrupador",OFFSET(EVENTOS!$D$14,$A162,0)),OFFSET($F$15,$A162,0)))</f>
        <v>&lt;-- defina o número do agrupador</v>
      </c>
      <c r="O162" s="212"/>
      <c r="Q162" s="212"/>
      <c r="R162" s="213"/>
      <c r="S162" s="213"/>
      <c r="T162" s="213"/>
      <c r="U162" s="213"/>
      <c r="V162" s="213"/>
      <c r="W162" s="213"/>
      <c r="X162" s="213"/>
      <c r="Y162" s="213"/>
      <c r="Z162" s="214"/>
      <c r="AA162" s="213"/>
      <c r="AB162" s="213"/>
      <c r="AC162" s="213"/>
      <c r="AD162" s="213"/>
      <c r="AE162" s="213"/>
      <c r="AF162" s="213"/>
      <c r="AG162" s="213"/>
      <c r="AH162" s="214"/>
      <c r="AJ162" s="631">
        <f ca="1">IF(AND($D162="Serviço",AJ$12&lt;&gt;0,$H162&gt;0,OR(AUTOEVENTO&lt;&gt;"manual",$M162&lt;&gt;1)),ROUND(OFFSET($P162,0,AJ$13),15-13*ORÇAMENTO!$AF$7)/$H162*OFFSET(ORÇAMENTO!$X$15,ROW(AJ162)-ROW(AJ$15),0),0)</f>
        <v>0</v>
      </c>
      <c r="AK162" s="632">
        <f ca="1">IF(AND($D162="Serviço",AK$12&lt;&gt;0,$H162&gt;0,OR(AUTOEVENTO&lt;&gt;"manual",$M162&lt;&gt;1)),ROUND(OFFSET($P162,0,AK$13),15-13*ORÇAMENTO!$AF$7)/$H162*OFFSET(ORÇAMENTO!$X$15,ROW(AK162)-ROW(AK$15),0),0)</f>
        <v>0</v>
      </c>
      <c r="AL162" s="632">
        <f ca="1">IF(AND($D162="Serviço",AL$12&lt;&gt;0,$H162&gt;0,OR(AUTOEVENTO&lt;&gt;"manual",$M162&lt;&gt;1)),ROUND(OFFSET($P162,0,AL$13),15-13*ORÇAMENTO!$AF$7)/$H162*OFFSET(ORÇAMENTO!$X$15,ROW(AL162)-ROW(AL$15),0),0)</f>
        <v>0</v>
      </c>
      <c r="AM162" s="632">
        <f ca="1">IF(AND($D162="Serviço",AM$12&lt;&gt;0,$H162&gt;0,OR(AUTOEVENTO&lt;&gt;"manual",$M162&lt;&gt;1)),ROUND(OFFSET($P162,0,AM$13),15-13*ORÇAMENTO!$AF$7)/$H162*OFFSET(ORÇAMENTO!$X$15,ROW(AM162)-ROW(AM$15),0),0)</f>
        <v>0</v>
      </c>
      <c r="AN162" s="632">
        <f ca="1">IF(AND($D162="Serviço",AN$12&lt;&gt;0,$H162&gt;0,OR(AUTOEVENTO&lt;&gt;"manual",$M162&lt;&gt;1)),ROUND(OFFSET($P162,0,AN$13),15-13*ORÇAMENTO!$AF$7)/$H162*OFFSET(ORÇAMENTO!$X$15,ROW(AN162)-ROW(AN$15),0),0)</f>
        <v>0</v>
      </c>
      <c r="AO162" s="632">
        <f ca="1">IF(AND($D162="Serviço",AO$12&lt;&gt;0,$H162&gt;0,OR(AUTOEVENTO&lt;&gt;"manual",$M162&lt;&gt;1)),ROUND(OFFSET($P162,0,AO$13),15-13*ORÇAMENTO!$AF$7)/$H162*OFFSET(ORÇAMENTO!$X$15,ROW(AO162)-ROW(AO$15),0),0)</f>
        <v>0</v>
      </c>
      <c r="AP162" s="632">
        <f ca="1">IF(AND($D162="Serviço",AP$12&lt;&gt;0,$H162&gt;0,OR(AUTOEVENTO&lt;&gt;"manual",$M162&lt;&gt;1)),ROUND(OFFSET($P162,0,AP$13),15-13*ORÇAMENTO!$AF$7)/$H162*OFFSET(ORÇAMENTO!$X$15,ROW(AP162)-ROW(AP$15),0),0)</f>
        <v>0</v>
      </c>
      <c r="AQ162" s="632">
        <f ca="1">IF(AND($D162="Serviço",AQ$12&lt;&gt;0,$H162&gt;0,OR(AUTOEVENTO&lt;&gt;"manual",$M162&lt;&gt;1)),ROUND(OFFSET($P162,0,AQ$13),15-13*ORÇAMENTO!$AF$7)/$H162*OFFSET(ORÇAMENTO!$X$15,ROW(AQ162)-ROW(AQ$15),0),0)</f>
        <v>0</v>
      </c>
      <c r="AR162" s="632">
        <f ca="1">IF(AND($D162="Serviço",AR$12&lt;&gt;0,$H162&gt;0,OR(AUTOEVENTO&lt;&gt;"manual",$M162&lt;&gt;1)),ROUND(OFFSET($P162,0,AR$13),15-13*ORÇAMENTO!$AF$7)/$H162*OFFSET(ORÇAMENTO!$X$15,ROW(AR162)-ROW(AR$15),0),0)</f>
        <v>0</v>
      </c>
      <c r="AS162" s="633">
        <f ca="1">IF(AND($D162="Serviço",AS$12&lt;&gt;0,$H162&gt;0,OR(AUTOEVENTO&lt;&gt;"manual",$M162&lt;&gt;1)),ROUND(OFFSET($P162,0,AS$13),15-13*ORÇAMENTO!$AF$7)/$H162*OFFSET(ORÇAMENTO!$X$15,ROW(AS162)-ROW(AS$15),0),0)</f>
        <v>0</v>
      </c>
      <c r="AT162" s="632">
        <f ca="1">IF(AND($D162="Serviço",AT$12&lt;&gt;0,$H162&gt;0,OR(AUTOEVENTO&lt;&gt;"manual",$M162&lt;&gt;1)),ROUND(OFFSET($P162,0,AT$13),15-13*ORÇAMENTO!$AF$7)/$H162*OFFSET(ORÇAMENTO!$X$15,ROW(AT162)-ROW(AT$15),0),0)</f>
        <v>0</v>
      </c>
      <c r="AU162" s="632">
        <f ca="1">IF(AND($D162="Serviço",AU$12&lt;&gt;0,$H162&gt;0,OR(AUTOEVENTO&lt;&gt;"manual",$M162&lt;&gt;1)),ROUND(OFFSET($P162,0,AU$13),15-13*ORÇAMENTO!$AF$7)/$H162*OFFSET(ORÇAMENTO!$X$15,ROW(AU162)-ROW(AU$15),0),0)</f>
        <v>0</v>
      </c>
      <c r="AV162" s="632">
        <f ca="1">IF(AND($D162="Serviço",AV$12&lt;&gt;0,$H162&gt;0,OR(AUTOEVENTO&lt;&gt;"manual",$M162&lt;&gt;1)),ROUND(OFFSET($P162,0,AV$13),15-13*ORÇAMENTO!$AF$7)/$H162*OFFSET(ORÇAMENTO!$X$15,ROW(AV162)-ROW(AV$15),0),0)</f>
        <v>0</v>
      </c>
      <c r="AW162" s="632">
        <f ca="1">IF(AND($D162="Serviço",AW$12&lt;&gt;0,$H162&gt;0,OR(AUTOEVENTO&lt;&gt;"manual",$M162&lt;&gt;1)),ROUND(OFFSET($P162,0,AW$13),15-13*ORÇAMENTO!$AF$7)/$H162*OFFSET(ORÇAMENTO!$X$15,ROW(AW162)-ROW(AW$15),0),0)</f>
        <v>0</v>
      </c>
      <c r="AX162" s="632">
        <f ca="1">IF(AND($D162="Serviço",AX$12&lt;&gt;0,$H162&gt;0,OR(AUTOEVENTO&lt;&gt;"manual",$M162&lt;&gt;1)),ROUND(OFFSET($P162,0,AX$13),15-13*ORÇAMENTO!$AF$7)/$H162*OFFSET(ORÇAMENTO!$X$15,ROW(AX162)-ROW(AX$15),0),0)</f>
        <v>0</v>
      </c>
      <c r="AY162" s="632">
        <f ca="1">IF(AND($D162="Serviço",AY$12&lt;&gt;0,$H162&gt;0,OR(AUTOEVENTO&lt;&gt;"manual",$M162&lt;&gt;1)),ROUND(OFFSET($P162,0,AY$13),15-13*ORÇAMENTO!$AF$7)/$H162*OFFSET(ORÇAMENTO!$X$15,ROW(AY162)-ROW(AY$15),0),0)</f>
        <v>0</v>
      </c>
      <c r="AZ162" s="632">
        <f ca="1">IF(AND($D162="Serviço",AZ$12&lt;&gt;0,$H162&gt;0,OR(AUTOEVENTO&lt;&gt;"manual",$M162&lt;&gt;1)),ROUND(OFFSET($P162,0,AZ$13),15-13*ORÇAMENTO!$AF$7)/$H162*OFFSET(ORÇAMENTO!$X$15,ROW(AZ162)-ROW(AZ$15),0),0)</f>
        <v>0</v>
      </c>
      <c r="BA162" s="633">
        <f ca="1">IF(AND($D162="Serviço",BA$12&lt;&gt;0,$H162&gt;0,OR(AUTOEVENTO&lt;&gt;"manual",$M162&lt;&gt;1)),ROUND(OFFSET($P162,0,BA$13),15-13*ORÇAMENTO!$AF$7)/$H162*OFFSET(ORÇAMENTO!$X$15,ROW(BA162)-ROW(BA$15),0),0)</f>
        <v>0</v>
      </c>
      <c r="BC162" s="215">
        <f ca="1">IF($D162&lt;&gt;"Serviço",0,IF(AND(AUTOEVENTO="Manual",$M162=1),0,IF(OFFSET(CRONOPLE!$F$14,$M162,BC$13)="",10^12,OFFSET(CRONOPLE!$F$14,$M162,BC$13))))</f>
        <v>1000000000000</v>
      </c>
      <c r="BD162" s="215">
        <f ca="1">IF($D162&lt;&gt;"Serviço",0,IF(AND(AUTOEVENTO="Manual",$M162=1),0,IF(OFFSET(CRONOPLE!$F$14,$M162,BD$13)="",10^12,OFFSET(CRONOPLE!$F$14,$M162,BD$13))))</f>
        <v>1000000000000</v>
      </c>
      <c r="BE162" s="215">
        <f ca="1">IF($D162&lt;&gt;"Serviço",0,IF(AND(AUTOEVENTO="Manual",$M162=1),0,IF(OFFSET(CRONOPLE!$F$14,$M162,BE$13)="",10^12,OFFSET(CRONOPLE!$F$14,$M162,BE$13))))</f>
        <v>1000000000000</v>
      </c>
      <c r="BF162" s="215">
        <f ca="1">IF($D162&lt;&gt;"Serviço",0,IF(AND(AUTOEVENTO="Manual",$M162=1),0,IF(OFFSET(CRONOPLE!$F$14,$M162,BF$13)="",10^12,OFFSET(CRONOPLE!$F$14,$M162,BF$13))))</f>
        <v>1000000000000</v>
      </c>
      <c r="BG162" s="215">
        <f ca="1">IF($D162&lt;&gt;"Serviço",0,IF(AND(AUTOEVENTO="Manual",$M162=1),0,IF(OFFSET(CRONOPLE!$F$14,$M162,BG$13)="",10^12,OFFSET(CRONOPLE!$F$14,$M162,BG$13))))</f>
        <v>1000000000000</v>
      </c>
      <c r="BH162" s="215">
        <f ca="1">IF($D162&lt;&gt;"Serviço",0,IF(AND(AUTOEVENTO="Manual",$M162=1),0,IF(OFFSET(CRONOPLE!$F$14,$M162,BH$13)="",10^12,OFFSET(CRONOPLE!$F$14,$M162,BH$13))))</f>
        <v>1000000000000</v>
      </c>
      <c r="BI162" s="215">
        <f ca="1">IF($D162&lt;&gt;"Serviço",0,IF(AND(AUTOEVENTO="Manual",$M162=1),0,IF(OFFSET(CRONOPLE!$F$14,$M162,BI$13)="",10^12,OFFSET(CRONOPLE!$F$14,$M162,BI$13))))</f>
        <v>1000000000000</v>
      </c>
      <c r="BJ162" s="215">
        <f ca="1">IF($D162&lt;&gt;"Serviço",0,IF(AND(AUTOEVENTO="Manual",$M162=1),0,IF(OFFSET(CRONOPLE!$F$14,$M162,BJ$13)="",10^12,OFFSET(CRONOPLE!$F$14,$M162,BJ$13))))</f>
        <v>1000000000000</v>
      </c>
      <c r="BK162" s="215">
        <f ca="1">IF($D162&lt;&gt;"Serviço",0,IF(AND(AUTOEVENTO="Manual",$M162=1),0,IF(OFFSET(CRONOPLE!$F$14,$M162,BK$13)="",10^12,OFFSET(CRONOPLE!$F$14,$M162,BK$13))))</f>
        <v>1000000000000</v>
      </c>
      <c r="BL162" s="215">
        <f ca="1">IF($D162&lt;&gt;"Serviço",0,IF(AND(AUTOEVENTO="Manual",$M162=1),0,IF(OFFSET(CRONOPLE!$F$14,$M162,BL$13)="",10^12,OFFSET(CRONOPLE!$F$14,$M162,BL$13))))</f>
        <v>1000000000000</v>
      </c>
      <c r="BM162" s="215">
        <f ca="1">IF($D162&lt;&gt;"Serviço",0,IF(AND(AUTOEVENTO="Manual",$M162=1),0,IF(OFFSET(CRONOPLE!$F$14,$M162,BM$13)="",10^12,OFFSET(CRONOPLE!$F$14,$M162,BM$13))))</f>
        <v>1000000000000</v>
      </c>
      <c r="BN162" s="215">
        <f ca="1">IF($D162&lt;&gt;"Serviço",0,IF(AND(AUTOEVENTO="Manual",$M162=1),0,IF(OFFSET(CRONOPLE!$F$14,$M162,BN$13)="",10^12,OFFSET(CRONOPLE!$F$14,$M162,BN$13))))</f>
        <v>1000000000000</v>
      </c>
      <c r="BO162" s="215">
        <f ca="1">IF($D162&lt;&gt;"Serviço",0,IF(AND(AUTOEVENTO="Manual",$M162=1),0,IF(OFFSET(CRONOPLE!$F$14,$M162,BO$13)="",10^12,OFFSET(CRONOPLE!$F$14,$M162,BO$13))))</f>
        <v>1000000000000</v>
      </c>
      <c r="BP162" s="215">
        <f ca="1">IF($D162&lt;&gt;"Serviço",0,IF(AND(AUTOEVENTO="Manual",$M162=1),0,IF(OFFSET(CRONOPLE!$F$14,$M162,BP$13)="",10^12,OFFSET(CRONOPLE!$F$14,$M162,BP$13))))</f>
        <v>1000000000000</v>
      </c>
      <c r="BQ162" s="215">
        <f ca="1">IF($D162&lt;&gt;"Serviço",0,IF(AND(AUTOEVENTO="Manual",$M162=1),0,IF(OFFSET(CRONOPLE!$F$14,$M162,BQ$13)="",10^12,OFFSET(CRONOPLE!$F$14,$M162,BQ$13))))</f>
        <v>1000000000000</v>
      </c>
      <c r="BR162" s="215">
        <f ca="1">IF($D162&lt;&gt;"Serviço",0,IF(AND(AUTOEVENTO="Manual",$M162=1),0,IF(OFFSET(CRONOPLE!$F$14,$M162,BR$13)="",10^12,OFFSET(CRONOPLE!$F$14,$M162,BR$13))))</f>
        <v>1000000000000</v>
      </c>
      <c r="BS162" s="215">
        <f ca="1">IF($D162&lt;&gt;"Serviço",0,IF(AND(AUTOEVENTO="Manual",$M162=1),0,IF(OFFSET(CRONOPLE!$F$14,$M162,BS$13)="",10^12,OFFSET(CRONOPLE!$F$14,$M162,BS$13))))</f>
        <v>1000000000000</v>
      </c>
      <c r="BT162" s="215">
        <f ca="1">IF($D162&lt;&gt;"Serviço",0,IF(AND(AUTOEVENTO="Manual",$M162=1),0,IF(OFFSET(CRONOPLE!$F$14,$M162,BT$13)="",10^12,OFFSET(CRONOPLE!$F$14,$M162,BT$13))))</f>
        <v>1000000000000</v>
      </c>
      <c r="BV162" s="216">
        <f ca="1">IF($D162&lt;&gt;"Serviço",0,IF(OR(AND(AUTOEVENTO="Manual",$M162=1),$M162&gt;(ROW(PLE.lastrow)-ROW(PLE.firstrow))),0,IF(OFFSET(PLE!$G$14,$M162,BV$13)="",10^12,OFFSET(PLE!$G$14,$M162,BV$13))))</f>
        <v>1000000000000</v>
      </c>
      <c r="BW162" s="216">
        <f ca="1">IF($D162&lt;&gt;"Serviço",0,IF(OR(AND(AUTOEVENTO="Manual",$M162=1),$M162&gt;(ROW(PLE.lastrow)-ROW(PLE.firstrow))),0,IF(OFFSET(PLE!$G$14,$M162,BW$13)="",10^12,OFFSET(PLE!$G$14,$M162,BW$13))))</f>
        <v>1000000000000</v>
      </c>
      <c r="BX162" s="216">
        <f ca="1">IF($D162&lt;&gt;"Serviço",0,IF(OR(AND(AUTOEVENTO="Manual",$M162=1),$M162&gt;(ROW(PLE.lastrow)-ROW(PLE.firstrow))),0,IF(OFFSET(PLE!$G$14,$M162,BX$13)="",10^12,OFFSET(PLE!$G$14,$M162,BX$13))))</f>
        <v>1000000000000</v>
      </c>
      <c r="BY162" s="216">
        <f ca="1">IF($D162&lt;&gt;"Serviço",0,IF(OR(AND(AUTOEVENTO="Manual",$M162=1),$M162&gt;(ROW(PLE.lastrow)-ROW(PLE.firstrow))),0,IF(OFFSET(PLE!$G$14,$M162,BY$13)="",10^12,OFFSET(PLE!$G$14,$M162,BY$13))))</f>
        <v>1000000000000</v>
      </c>
      <c r="BZ162" s="216">
        <f ca="1">IF($D162&lt;&gt;"Serviço",0,IF(OR(AND(AUTOEVENTO="Manual",$M162=1),$M162&gt;(ROW(PLE.lastrow)-ROW(PLE.firstrow))),0,IF(OFFSET(PLE!$G$14,$M162,BZ$13)="",10^12,OFFSET(PLE!$G$14,$M162,BZ$13))))</f>
        <v>1000000000000</v>
      </c>
      <c r="CA162" s="216">
        <f ca="1">IF($D162&lt;&gt;"Serviço",0,IF(OR(AND(AUTOEVENTO="Manual",$M162=1),$M162&gt;(ROW(PLE.lastrow)-ROW(PLE.firstrow))),0,IF(OFFSET(PLE!$G$14,$M162,CA$13)="",10^12,OFFSET(PLE!$G$14,$M162,CA$13))))</f>
        <v>1000000000000</v>
      </c>
      <c r="CB162" s="216">
        <f ca="1">IF($D162&lt;&gt;"Serviço",0,IF(OR(AND(AUTOEVENTO="Manual",$M162=1),$M162&gt;(ROW(PLE.lastrow)-ROW(PLE.firstrow))),0,IF(OFFSET(PLE!$G$14,$M162,CB$13)="",10^12,OFFSET(PLE!$G$14,$M162,CB$13))))</f>
        <v>1000000000000</v>
      </c>
      <c r="CC162" s="216">
        <f ca="1">IF($D162&lt;&gt;"Serviço",0,IF(OR(AND(AUTOEVENTO="Manual",$M162=1),$M162&gt;(ROW(PLE.lastrow)-ROW(PLE.firstrow))),0,IF(OFFSET(PLE!$G$14,$M162,CC$13)="",10^12,OFFSET(PLE!$G$14,$M162,CC$13))))</f>
        <v>1000000000000</v>
      </c>
      <c r="CD162" s="216">
        <f ca="1">IF($D162&lt;&gt;"Serviço",0,IF(OR(AND(AUTOEVENTO="Manual",$M162=1),$M162&gt;(ROW(PLE.lastrow)-ROW(PLE.firstrow))),0,IF(OFFSET(PLE!$G$14,$M162,CD$13)="",10^12,OFFSET(PLE!$G$14,$M162,CD$13))))</f>
        <v>1000000000000</v>
      </c>
      <c r="CE162" s="216">
        <f ca="1">IF($D162&lt;&gt;"Serviço",0,IF(OR(AND(AUTOEVENTO="Manual",$M162=1),$M162&gt;(ROW(PLE.lastrow)-ROW(PLE.firstrow))),0,IF(OFFSET(PLE!$G$14,$M162,CE$13)="",10^12,OFFSET(PLE!$G$14,$M162,CE$13))))</f>
        <v>1000000000000</v>
      </c>
      <c r="CF162" s="216">
        <f ca="1">IF($D162&lt;&gt;"Serviço",0,IF(OR(AND(AUTOEVENTO="Manual",$M162=1),$M162&gt;(ROW(PLE.lastrow)-ROW(PLE.firstrow))),0,IF(OFFSET(PLE!$G$14,$M162,CF$13)="",10^12,OFFSET(PLE!$G$14,$M162,CF$13))))</f>
        <v>1000000000000</v>
      </c>
      <c r="CG162" s="216">
        <f ca="1">IF($D162&lt;&gt;"Serviço",0,IF(OR(AND(AUTOEVENTO="Manual",$M162=1),$M162&gt;(ROW(PLE.lastrow)-ROW(PLE.firstrow))),0,IF(OFFSET(PLE!$G$14,$M162,CG$13)="",10^12,OFFSET(PLE!$G$14,$M162,CG$13))))</f>
        <v>1000000000000</v>
      </c>
      <c r="CH162" s="216">
        <f ca="1">IF($D162&lt;&gt;"Serviço",0,IF(OR(AND(AUTOEVENTO="Manual",$M162=1),$M162&gt;(ROW(PLE.lastrow)-ROW(PLE.firstrow))),0,IF(OFFSET(PLE!$G$14,$M162,CH$13)="",10^12,OFFSET(PLE!$G$14,$M162,CH$13))))</f>
        <v>1000000000000</v>
      </c>
      <c r="CI162" s="216">
        <f ca="1">IF($D162&lt;&gt;"Serviço",0,IF(OR(AND(AUTOEVENTO="Manual",$M162=1),$M162&gt;(ROW(PLE.lastrow)-ROW(PLE.firstrow))),0,IF(OFFSET(PLE!$G$14,$M162,CI$13)="",10^12,OFFSET(PLE!$G$14,$M162,CI$13))))</f>
        <v>1000000000000</v>
      </c>
      <c r="CJ162" s="216">
        <f ca="1">IF($D162&lt;&gt;"Serviço",0,IF(OR(AND(AUTOEVENTO="Manual",$M162=1),$M162&gt;(ROW(PLE.lastrow)-ROW(PLE.firstrow))),0,IF(OFFSET(PLE!$G$14,$M162,CJ$13)="",10^12,OFFSET(PLE!$G$14,$M162,CJ$13))))</f>
        <v>1000000000000</v>
      </c>
      <c r="CK162" s="216">
        <f ca="1">IF($D162&lt;&gt;"Serviço",0,IF(OR(AND(AUTOEVENTO="Manual",$M162=1),$M162&gt;(ROW(PLE.lastrow)-ROW(PLE.firstrow))),0,IF(OFFSET(PLE!$G$14,$M162,CK$13)="",10^12,OFFSET(PLE!$G$14,$M162,CK$13))))</f>
        <v>1000000000000</v>
      </c>
      <c r="CL162" s="216">
        <f ca="1">IF($D162&lt;&gt;"Serviço",0,IF(OR(AND(AUTOEVENTO="Manual",$M162=1),$M162&gt;(ROW(PLE.lastrow)-ROW(PLE.firstrow))),0,IF(OFFSET(PLE!$G$14,$M162,CL$13)="",10^12,OFFSET(PLE!$G$14,$M162,CL$13))))</f>
        <v>1000000000000</v>
      </c>
      <c r="CM162" s="216">
        <f ca="1">IF($D162&lt;&gt;"Serviço",0,IF(OR(AND(AUTOEVENTO="Manual",$M162=1),$M162&gt;(ROW(PLE.lastrow)-ROW(PLE.firstrow))),0,IF(OFFSET(PLE!$G$14,$M162,CM$13)="",10^12,OFFSET(PLE!$G$14,$M162,CM$13))))</f>
        <v>1000000000000</v>
      </c>
    </row>
    <row r="163" spans="1:91" ht="13.2" x14ac:dyDescent="0.25">
      <c r="A163" s="9">
        <f t="shared" ca="1" si="11"/>
        <v>0</v>
      </c>
      <c r="B163" s="9" t="str">
        <f ca="1">OFFSET(ORÇAMENTO!C$15,ROW(B163)-ROW(B$15),0)</f>
        <v>S</v>
      </c>
      <c r="C163" s="9" t="str">
        <f ca="1">OFFSET(ORÇAMENTO!L$15,ROW(C163)-ROW(C$15),0)</f>
        <v/>
      </c>
      <c r="D163" s="145" t="str">
        <f ca="1">OFFSET(ORÇAMENTO!N$15,ROW(D163)-ROW(D$15),0)</f>
        <v>Serviço</v>
      </c>
      <c r="E163" s="205" t="str">
        <f ca="1">OFFSET(ORÇAMENTO!O$15,ROW(E163)-ROW(E$15),0)</f>
        <v>-</v>
      </c>
      <c r="F163" s="206" t="str">
        <f ca="1">OFFSET(ORÇAMENTO!R$15,ROW(F163)-ROW(F$15),0)</f>
        <v>(abra o arquivo 'Referência 05-2024.xls)</v>
      </c>
      <c r="G163" s="207" t="str">
        <f ca="1">IF($D163&lt;&gt;"Serviço","",OFFSET(ORÇAMENTO!S$15,ROW(G163)-ROW(G$15),0))</f>
        <v>-</v>
      </c>
      <c r="H163" s="151">
        <f ca="1">IF($D163&lt;&gt;"Serviço",0,IF(ACOMPANHAMENTO="BM",ROUND(OFFSET(ORÇAMENTO!AJ$15,ROW(H163)-ROW(H$15),0),15-13*ORÇAMENTO!$AF$7),SUMPRODUCT(($Q$12:$AI$12&lt;&gt;"")*ROUND($Q163:$AI163,15-13*ORÇAMENTO!$AF$7))))</f>
        <v>98.62</v>
      </c>
      <c r="I163" s="650"/>
      <c r="K163" s="208"/>
      <c r="L163" s="209" t="s">
        <v>257</v>
      </c>
      <c r="M163" s="210">
        <f ca="1">IF($D163&lt;&gt;"Serviço","",IF(AUTOEVENTO="manual",$A163,IF(ISERROR(MATCH($A163,$A$15:OFFSET($A163,-1,0),0)),MAX($M$15:OFFSET(M163,-1,0))+1,INDEX($M$15:OFFSET(M163,-1,0),MATCH($A163,$A$15:OFFSET($A163,-1,0),0)))))</f>
        <v>0</v>
      </c>
      <c r="N163" s="211" t="str">
        <f ca="1">IF($D163&lt;&gt;"Serviço","",IF(AUTOEVENTO="Manual",IF($A163=0,"&lt;-- defina o número do agrupador",OFFSET(EVENTOS!$D$14,$A163,0)),OFFSET($F$15,$A163,0)))</f>
        <v>&lt;-- defina o número do agrupador</v>
      </c>
      <c r="O163" s="212"/>
      <c r="Q163" s="212"/>
      <c r="R163" s="213"/>
      <c r="S163" s="213"/>
      <c r="T163" s="213"/>
      <c r="U163" s="213"/>
      <c r="V163" s="213"/>
      <c r="W163" s="213"/>
      <c r="X163" s="213"/>
      <c r="Y163" s="213"/>
      <c r="Z163" s="214"/>
      <c r="AA163" s="213"/>
      <c r="AB163" s="213"/>
      <c r="AC163" s="213"/>
      <c r="AD163" s="213"/>
      <c r="AE163" s="213"/>
      <c r="AF163" s="213"/>
      <c r="AG163" s="213"/>
      <c r="AH163" s="214"/>
      <c r="AJ163" s="631">
        <f ca="1">IF(AND($D163="Serviço",AJ$12&lt;&gt;0,$H163&gt;0,OR(AUTOEVENTO&lt;&gt;"manual",$M163&lt;&gt;1)),ROUND(OFFSET($P163,0,AJ$13),15-13*ORÇAMENTO!$AF$7)/$H163*OFFSET(ORÇAMENTO!$X$15,ROW(AJ163)-ROW(AJ$15),0),0)</f>
        <v>0</v>
      </c>
      <c r="AK163" s="632">
        <f ca="1">IF(AND($D163="Serviço",AK$12&lt;&gt;0,$H163&gt;0,OR(AUTOEVENTO&lt;&gt;"manual",$M163&lt;&gt;1)),ROUND(OFFSET($P163,0,AK$13),15-13*ORÇAMENTO!$AF$7)/$H163*OFFSET(ORÇAMENTO!$X$15,ROW(AK163)-ROW(AK$15),0),0)</f>
        <v>0</v>
      </c>
      <c r="AL163" s="632">
        <f ca="1">IF(AND($D163="Serviço",AL$12&lt;&gt;0,$H163&gt;0,OR(AUTOEVENTO&lt;&gt;"manual",$M163&lt;&gt;1)),ROUND(OFFSET($P163,0,AL$13),15-13*ORÇAMENTO!$AF$7)/$H163*OFFSET(ORÇAMENTO!$X$15,ROW(AL163)-ROW(AL$15),0),0)</f>
        <v>0</v>
      </c>
      <c r="AM163" s="632">
        <f ca="1">IF(AND($D163="Serviço",AM$12&lt;&gt;0,$H163&gt;0,OR(AUTOEVENTO&lt;&gt;"manual",$M163&lt;&gt;1)),ROUND(OFFSET($P163,0,AM$13),15-13*ORÇAMENTO!$AF$7)/$H163*OFFSET(ORÇAMENTO!$X$15,ROW(AM163)-ROW(AM$15),0),0)</f>
        <v>0</v>
      </c>
      <c r="AN163" s="632">
        <f ca="1">IF(AND($D163="Serviço",AN$12&lt;&gt;0,$H163&gt;0,OR(AUTOEVENTO&lt;&gt;"manual",$M163&lt;&gt;1)),ROUND(OFFSET($P163,0,AN$13),15-13*ORÇAMENTO!$AF$7)/$H163*OFFSET(ORÇAMENTO!$X$15,ROW(AN163)-ROW(AN$15),0),0)</f>
        <v>0</v>
      </c>
      <c r="AO163" s="632">
        <f ca="1">IF(AND($D163="Serviço",AO$12&lt;&gt;0,$H163&gt;0,OR(AUTOEVENTO&lt;&gt;"manual",$M163&lt;&gt;1)),ROUND(OFFSET($P163,0,AO$13),15-13*ORÇAMENTO!$AF$7)/$H163*OFFSET(ORÇAMENTO!$X$15,ROW(AO163)-ROW(AO$15),0),0)</f>
        <v>0</v>
      </c>
      <c r="AP163" s="632">
        <f ca="1">IF(AND($D163="Serviço",AP$12&lt;&gt;0,$H163&gt;0,OR(AUTOEVENTO&lt;&gt;"manual",$M163&lt;&gt;1)),ROUND(OFFSET($P163,0,AP$13),15-13*ORÇAMENTO!$AF$7)/$H163*OFFSET(ORÇAMENTO!$X$15,ROW(AP163)-ROW(AP$15),0),0)</f>
        <v>0</v>
      </c>
      <c r="AQ163" s="632">
        <f ca="1">IF(AND($D163="Serviço",AQ$12&lt;&gt;0,$H163&gt;0,OR(AUTOEVENTO&lt;&gt;"manual",$M163&lt;&gt;1)),ROUND(OFFSET($P163,0,AQ$13),15-13*ORÇAMENTO!$AF$7)/$H163*OFFSET(ORÇAMENTO!$X$15,ROW(AQ163)-ROW(AQ$15),0),0)</f>
        <v>0</v>
      </c>
      <c r="AR163" s="632">
        <f ca="1">IF(AND($D163="Serviço",AR$12&lt;&gt;0,$H163&gt;0,OR(AUTOEVENTO&lt;&gt;"manual",$M163&lt;&gt;1)),ROUND(OFFSET($P163,0,AR$13),15-13*ORÇAMENTO!$AF$7)/$H163*OFFSET(ORÇAMENTO!$X$15,ROW(AR163)-ROW(AR$15),0),0)</f>
        <v>0</v>
      </c>
      <c r="AS163" s="633">
        <f ca="1">IF(AND($D163="Serviço",AS$12&lt;&gt;0,$H163&gt;0,OR(AUTOEVENTO&lt;&gt;"manual",$M163&lt;&gt;1)),ROUND(OFFSET($P163,0,AS$13),15-13*ORÇAMENTO!$AF$7)/$H163*OFFSET(ORÇAMENTO!$X$15,ROW(AS163)-ROW(AS$15),0),0)</f>
        <v>0</v>
      </c>
      <c r="AT163" s="632">
        <f ca="1">IF(AND($D163="Serviço",AT$12&lt;&gt;0,$H163&gt;0,OR(AUTOEVENTO&lt;&gt;"manual",$M163&lt;&gt;1)),ROUND(OFFSET($P163,0,AT$13),15-13*ORÇAMENTO!$AF$7)/$H163*OFFSET(ORÇAMENTO!$X$15,ROW(AT163)-ROW(AT$15),0),0)</f>
        <v>0</v>
      </c>
      <c r="AU163" s="632">
        <f ca="1">IF(AND($D163="Serviço",AU$12&lt;&gt;0,$H163&gt;0,OR(AUTOEVENTO&lt;&gt;"manual",$M163&lt;&gt;1)),ROUND(OFFSET($P163,0,AU$13),15-13*ORÇAMENTO!$AF$7)/$H163*OFFSET(ORÇAMENTO!$X$15,ROW(AU163)-ROW(AU$15),0),0)</f>
        <v>0</v>
      </c>
      <c r="AV163" s="632">
        <f ca="1">IF(AND($D163="Serviço",AV$12&lt;&gt;0,$H163&gt;0,OR(AUTOEVENTO&lt;&gt;"manual",$M163&lt;&gt;1)),ROUND(OFFSET($P163,0,AV$13),15-13*ORÇAMENTO!$AF$7)/$H163*OFFSET(ORÇAMENTO!$X$15,ROW(AV163)-ROW(AV$15),0),0)</f>
        <v>0</v>
      </c>
      <c r="AW163" s="632">
        <f ca="1">IF(AND($D163="Serviço",AW$12&lt;&gt;0,$H163&gt;0,OR(AUTOEVENTO&lt;&gt;"manual",$M163&lt;&gt;1)),ROUND(OFFSET($P163,0,AW$13),15-13*ORÇAMENTO!$AF$7)/$H163*OFFSET(ORÇAMENTO!$X$15,ROW(AW163)-ROW(AW$15),0),0)</f>
        <v>0</v>
      </c>
      <c r="AX163" s="632">
        <f ca="1">IF(AND($D163="Serviço",AX$12&lt;&gt;0,$H163&gt;0,OR(AUTOEVENTO&lt;&gt;"manual",$M163&lt;&gt;1)),ROUND(OFFSET($P163,0,AX$13),15-13*ORÇAMENTO!$AF$7)/$H163*OFFSET(ORÇAMENTO!$X$15,ROW(AX163)-ROW(AX$15),0),0)</f>
        <v>0</v>
      </c>
      <c r="AY163" s="632">
        <f ca="1">IF(AND($D163="Serviço",AY$12&lt;&gt;0,$H163&gt;0,OR(AUTOEVENTO&lt;&gt;"manual",$M163&lt;&gt;1)),ROUND(OFFSET($P163,0,AY$13),15-13*ORÇAMENTO!$AF$7)/$H163*OFFSET(ORÇAMENTO!$X$15,ROW(AY163)-ROW(AY$15),0),0)</f>
        <v>0</v>
      </c>
      <c r="AZ163" s="632">
        <f ca="1">IF(AND($D163="Serviço",AZ$12&lt;&gt;0,$H163&gt;0,OR(AUTOEVENTO&lt;&gt;"manual",$M163&lt;&gt;1)),ROUND(OFFSET($P163,0,AZ$13),15-13*ORÇAMENTO!$AF$7)/$H163*OFFSET(ORÇAMENTO!$X$15,ROW(AZ163)-ROW(AZ$15),0),0)</f>
        <v>0</v>
      </c>
      <c r="BA163" s="633">
        <f ca="1">IF(AND($D163="Serviço",BA$12&lt;&gt;0,$H163&gt;0,OR(AUTOEVENTO&lt;&gt;"manual",$M163&lt;&gt;1)),ROUND(OFFSET($P163,0,BA$13),15-13*ORÇAMENTO!$AF$7)/$H163*OFFSET(ORÇAMENTO!$X$15,ROW(BA163)-ROW(BA$15),0),0)</f>
        <v>0</v>
      </c>
      <c r="BC163" s="215">
        <f ca="1">IF($D163&lt;&gt;"Serviço",0,IF(AND(AUTOEVENTO="Manual",$M163=1),0,IF(OFFSET(CRONOPLE!$F$14,$M163,BC$13)="",10^12,OFFSET(CRONOPLE!$F$14,$M163,BC$13))))</f>
        <v>1000000000000</v>
      </c>
      <c r="BD163" s="215">
        <f ca="1">IF($D163&lt;&gt;"Serviço",0,IF(AND(AUTOEVENTO="Manual",$M163=1),0,IF(OFFSET(CRONOPLE!$F$14,$M163,BD$13)="",10^12,OFFSET(CRONOPLE!$F$14,$M163,BD$13))))</f>
        <v>1000000000000</v>
      </c>
      <c r="BE163" s="215">
        <f ca="1">IF($D163&lt;&gt;"Serviço",0,IF(AND(AUTOEVENTO="Manual",$M163=1),0,IF(OFFSET(CRONOPLE!$F$14,$M163,BE$13)="",10^12,OFFSET(CRONOPLE!$F$14,$M163,BE$13))))</f>
        <v>1000000000000</v>
      </c>
      <c r="BF163" s="215">
        <f ca="1">IF($D163&lt;&gt;"Serviço",0,IF(AND(AUTOEVENTO="Manual",$M163=1),0,IF(OFFSET(CRONOPLE!$F$14,$M163,BF$13)="",10^12,OFFSET(CRONOPLE!$F$14,$M163,BF$13))))</f>
        <v>1000000000000</v>
      </c>
      <c r="BG163" s="215">
        <f ca="1">IF($D163&lt;&gt;"Serviço",0,IF(AND(AUTOEVENTO="Manual",$M163=1),0,IF(OFFSET(CRONOPLE!$F$14,$M163,BG$13)="",10^12,OFFSET(CRONOPLE!$F$14,$M163,BG$13))))</f>
        <v>1000000000000</v>
      </c>
      <c r="BH163" s="215">
        <f ca="1">IF($D163&lt;&gt;"Serviço",0,IF(AND(AUTOEVENTO="Manual",$M163=1),0,IF(OFFSET(CRONOPLE!$F$14,$M163,BH$13)="",10^12,OFFSET(CRONOPLE!$F$14,$M163,BH$13))))</f>
        <v>1000000000000</v>
      </c>
      <c r="BI163" s="215">
        <f ca="1">IF($D163&lt;&gt;"Serviço",0,IF(AND(AUTOEVENTO="Manual",$M163=1),0,IF(OFFSET(CRONOPLE!$F$14,$M163,BI$13)="",10^12,OFFSET(CRONOPLE!$F$14,$M163,BI$13))))</f>
        <v>1000000000000</v>
      </c>
      <c r="BJ163" s="215">
        <f ca="1">IF($D163&lt;&gt;"Serviço",0,IF(AND(AUTOEVENTO="Manual",$M163=1),0,IF(OFFSET(CRONOPLE!$F$14,$M163,BJ$13)="",10^12,OFFSET(CRONOPLE!$F$14,$M163,BJ$13))))</f>
        <v>1000000000000</v>
      </c>
      <c r="BK163" s="215">
        <f ca="1">IF($D163&lt;&gt;"Serviço",0,IF(AND(AUTOEVENTO="Manual",$M163=1),0,IF(OFFSET(CRONOPLE!$F$14,$M163,BK$13)="",10^12,OFFSET(CRONOPLE!$F$14,$M163,BK$13))))</f>
        <v>1000000000000</v>
      </c>
      <c r="BL163" s="215">
        <f ca="1">IF($D163&lt;&gt;"Serviço",0,IF(AND(AUTOEVENTO="Manual",$M163=1),0,IF(OFFSET(CRONOPLE!$F$14,$M163,BL$13)="",10^12,OFFSET(CRONOPLE!$F$14,$M163,BL$13))))</f>
        <v>1000000000000</v>
      </c>
      <c r="BM163" s="215">
        <f ca="1">IF($D163&lt;&gt;"Serviço",0,IF(AND(AUTOEVENTO="Manual",$M163=1),0,IF(OFFSET(CRONOPLE!$F$14,$M163,BM$13)="",10^12,OFFSET(CRONOPLE!$F$14,$M163,BM$13))))</f>
        <v>1000000000000</v>
      </c>
      <c r="BN163" s="215">
        <f ca="1">IF($D163&lt;&gt;"Serviço",0,IF(AND(AUTOEVENTO="Manual",$M163=1),0,IF(OFFSET(CRONOPLE!$F$14,$M163,BN$13)="",10^12,OFFSET(CRONOPLE!$F$14,$M163,BN$13))))</f>
        <v>1000000000000</v>
      </c>
      <c r="BO163" s="215">
        <f ca="1">IF($D163&lt;&gt;"Serviço",0,IF(AND(AUTOEVENTO="Manual",$M163=1),0,IF(OFFSET(CRONOPLE!$F$14,$M163,BO$13)="",10^12,OFFSET(CRONOPLE!$F$14,$M163,BO$13))))</f>
        <v>1000000000000</v>
      </c>
      <c r="BP163" s="215">
        <f ca="1">IF($D163&lt;&gt;"Serviço",0,IF(AND(AUTOEVENTO="Manual",$M163=1),0,IF(OFFSET(CRONOPLE!$F$14,$M163,BP$13)="",10^12,OFFSET(CRONOPLE!$F$14,$M163,BP$13))))</f>
        <v>1000000000000</v>
      </c>
      <c r="BQ163" s="215">
        <f ca="1">IF($D163&lt;&gt;"Serviço",0,IF(AND(AUTOEVENTO="Manual",$M163=1),0,IF(OFFSET(CRONOPLE!$F$14,$M163,BQ$13)="",10^12,OFFSET(CRONOPLE!$F$14,$M163,BQ$13))))</f>
        <v>1000000000000</v>
      </c>
      <c r="BR163" s="215">
        <f ca="1">IF($D163&lt;&gt;"Serviço",0,IF(AND(AUTOEVENTO="Manual",$M163=1),0,IF(OFFSET(CRONOPLE!$F$14,$M163,BR$13)="",10^12,OFFSET(CRONOPLE!$F$14,$M163,BR$13))))</f>
        <v>1000000000000</v>
      </c>
      <c r="BS163" s="215">
        <f ca="1">IF($D163&lt;&gt;"Serviço",0,IF(AND(AUTOEVENTO="Manual",$M163=1),0,IF(OFFSET(CRONOPLE!$F$14,$M163,BS$13)="",10^12,OFFSET(CRONOPLE!$F$14,$M163,BS$13))))</f>
        <v>1000000000000</v>
      </c>
      <c r="BT163" s="215">
        <f ca="1">IF($D163&lt;&gt;"Serviço",0,IF(AND(AUTOEVENTO="Manual",$M163=1),0,IF(OFFSET(CRONOPLE!$F$14,$M163,BT$13)="",10^12,OFFSET(CRONOPLE!$F$14,$M163,BT$13))))</f>
        <v>1000000000000</v>
      </c>
      <c r="BV163" s="216">
        <f ca="1">IF($D163&lt;&gt;"Serviço",0,IF(OR(AND(AUTOEVENTO="Manual",$M163=1),$M163&gt;(ROW(PLE.lastrow)-ROW(PLE.firstrow))),0,IF(OFFSET(PLE!$G$14,$M163,BV$13)="",10^12,OFFSET(PLE!$G$14,$M163,BV$13))))</f>
        <v>1000000000000</v>
      </c>
      <c r="BW163" s="216">
        <f ca="1">IF($D163&lt;&gt;"Serviço",0,IF(OR(AND(AUTOEVENTO="Manual",$M163=1),$M163&gt;(ROW(PLE.lastrow)-ROW(PLE.firstrow))),0,IF(OFFSET(PLE!$G$14,$M163,BW$13)="",10^12,OFFSET(PLE!$G$14,$M163,BW$13))))</f>
        <v>1000000000000</v>
      </c>
      <c r="BX163" s="216">
        <f ca="1">IF($D163&lt;&gt;"Serviço",0,IF(OR(AND(AUTOEVENTO="Manual",$M163=1),$M163&gt;(ROW(PLE.lastrow)-ROW(PLE.firstrow))),0,IF(OFFSET(PLE!$G$14,$M163,BX$13)="",10^12,OFFSET(PLE!$G$14,$M163,BX$13))))</f>
        <v>1000000000000</v>
      </c>
      <c r="BY163" s="216">
        <f ca="1">IF($D163&lt;&gt;"Serviço",0,IF(OR(AND(AUTOEVENTO="Manual",$M163=1),$M163&gt;(ROW(PLE.lastrow)-ROW(PLE.firstrow))),0,IF(OFFSET(PLE!$G$14,$M163,BY$13)="",10^12,OFFSET(PLE!$G$14,$M163,BY$13))))</f>
        <v>1000000000000</v>
      </c>
      <c r="BZ163" s="216">
        <f ca="1">IF($D163&lt;&gt;"Serviço",0,IF(OR(AND(AUTOEVENTO="Manual",$M163=1),$M163&gt;(ROW(PLE.lastrow)-ROW(PLE.firstrow))),0,IF(OFFSET(PLE!$G$14,$M163,BZ$13)="",10^12,OFFSET(PLE!$G$14,$M163,BZ$13))))</f>
        <v>1000000000000</v>
      </c>
      <c r="CA163" s="216">
        <f ca="1">IF($D163&lt;&gt;"Serviço",0,IF(OR(AND(AUTOEVENTO="Manual",$M163=1),$M163&gt;(ROW(PLE.lastrow)-ROW(PLE.firstrow))),0,IF(OFFSET(PLE!$G$14,$M163,CA$13)="",10^12,OFFSET(PLE!$G$14,$M163,CA$13))))</f>
        <v>1000000000000</v>
      </c>
      <c r="CB163" s="216">
        <f ca="1">IF($D163&lt;&gt;"Serviço",0,IF(OR(AND(AUTOEVENTO="Manual",$M163=1),$M163&gt;(ROW(PLE.lastrow)-ROW(PLE.firstrow))),0,IF(OFFSET(PLE!$G$14,$M163,CB$13)="",10^12,OFFSET(PLE!$G$14,$M163,CB$13))))</f>
        <v>1000000000000</v>
      </c>
      <c r="CC163" s="216">
        <f ca="1">IF($D163&lt;&gt;"Serviço",0,IF(OR(AND(AUTOEVENTO="Manual",$M163=1),$M163&gt;(ROW(PLE.lastrow)-ROW(PLE.firstrow))),0,IF(OFFSET(PLE!$G$14,$M163,CC$13)="",10^12,OFFSET(PLE!$G$14,$M163,CC$13))))</f>
        <v>1000000000000</v>
      </c>
      <c r="CD163" s="216">
        <f ca="1">IF($D163&lt;&gt;"Serviço",0,IF(OR(AND(AUTOEVENTO="Manual",$M163=1),$M163&gt;(ROW(PLE.lastrow)-ROW(PLE.firstrow))),0,IF(OFFSET(PLE!$G$14,$M163,CD$13)="",10^12,OFFSET(PLE!$G$14,$M163,CD$13))))</f>
        <v>1000000000000</v>
      </c>
      <c r="CE163" s="216">
        <f ca="1">IF($D163&lt;&gt;"Serviço",0,IF(OR(AND(AUTOEVENTO="Manual",$M163=1),$M163&gt;(ROW(PLE.lastrow)-ROW(PLE.firstrow))),0,IF(OFFSET(PLE!$G$14,$M163,CE$13)="",10^12,OFFSET(PLE!$G$14,$M163,CE$13))))</f>
        <v>1000000000000</v>
      </c>
      <c r="CF163" s="216">
        <f ca="1">IF($D163&lt;&gt;"Serviço",0,IF(OR(AND(AUTOEVENTO="Manual",$M163=1),$M163&gt;(ROW(PLE.lastrow)-ROW(PLE.firstrow))),0,IF(OFFSET(PLE!$G$14,$M163,CF$13)="",10^12,OFFSET(PLE!$G$14,$M163,CF$13))))</f>
        <v>1000000000000</v>
      </c>
      <c r="CG163" s="216">
        <f ca="1">IF($D163&lt;&gt;"Serviço",0,IF(OR(AND(AUTOEVENTO="Manual",$M163=1),$M163&gt;(ROW(PLE.lastrow)-ROW(PLE.firstrow))),0,IF(OFFSET(PLE!$G$14,$M163,CG$13)="",10^12,OFFSET(PLE!$G$14,$M163,CG$13))))</f>
        <v>1000000000000</v>
      </c>
      <c r="CH163" s="216">
        <f ca="1">IF($D163&lt;&gt;"Serviço",0,IF(OR(AND(AUTOEVENTO="Manual",$M163=1),$M163&gt;(ROW(PLE.lastrow)-ROW(PLE.firstrow))),0,IF(OFFSET(PLE!$G$14,$M163,CH$13)="",10^12,OFFSET(PLE!$G$14,$M163,CH$13))))</f>
        <v>1000000000000</v>
      </c>
      <c r="CI163" s="216">
        <f ca="1">IF($D163&lt;&gt;"Serviço",0,IF(OR(AND(AUTOEVENTO="Manual",$M163=1),$M163&gt;(ROW(PLE.lastrow)-ROW(PLE.firstrow))),0,IF(OFFSET(PLE!$G$14,$M163,CI$13)="",10^12,OFFSET(PLE!$G$14,$M163,CI$13))))</f>
        <v>1000000000000</v>
      </c>
      <c r="CJ163" s="216">
        <f ca="1">IF($D163&lt;&gt;"Serviço",0,IF(OR(AND(AUTOEVENTO="Manual",$M163=1),$M163&gt;(ROW(PLE.lastrow)-ROW(PLE.firstrow))),0,IF(OFFSET(PLE!$G$14,$M163,CJ$13)="",10^12,OFFSET(PLE!$G$14,$M163,CJ$13))))</f>
        <v>1000000000000</v>
      </c>
      <c r="CK163" s="216">
        <f ca="1">IF($D163&lt;&gt;"Serviço",0,IF(OR(AND(AUTOEVENTO="Manual",$M163=1),$M163&gt;(ROW(PLE.lastrow)-ROW(PLE.firstrow))),0,IF(OFFSET(PLE!$G$14,$M163,CK$13)="",10^12,OFFSET(PLE!$G$14,$M163,CK$13))))</f>
        <v>1000000000000</v>
      </c>
      <c r="CL163" s="216">
        <f ca="1">IF($D163&lt;&gt;"Serviço",0,IF(OR(AND(AUTOEVENTO="Manual",$M163=1),$M163&gt;(ROW(PLE.lastrow)-ROW(PLE.firstrow))),0,IF(OFFSET(PLE!$G$14,$M163,CL$13)="",10^12,OFFSET(PLE!$G$14,$M163,CL$13))))</f>
        <v>1000000000000</v>
      </c>
      <c r="CM163" s="216">
        <f ca="1">IF($D163&lt;&gt;"Serviço",0,IF(OR(AND(AUTOEVENTO="Manual",$M163=1),$M163&gt;(ROW(PLE.lastrow)-ROW(PLE.firstrow))),0,IF(OFFSET(PLE!$G$14,$M163,CM$13)="",10^12,OFFSET(PLE!$G$14,$M163,CM$13))))</f>
        <v>1000000000000</v>
      </c>
    </row>
    <row r="164" spans="1:91" ht="13.2" x14ac:dyDescent="0.25">
      <c r="A164" s="9">
        <f t="shared" ca="1" si="11"/>
        <v>0</v>
      </c>
      <c r="B164" s="9" t="str">
        <f ca="1">OFFSET(ORÇAMENTO!C$15,ROW(B164)-ROW(B$15),0)</f>
        <v>S</v>
      </c>
      <c r="C164" s="9" t="str">
        <f ca="1">OFFSET(ORÇAMENTO!L$15,ROW(C164)-ROW(C$15),0)</f>
        <v/>
      </c>
      <c r="D164" s="145" t="str">
        <f ca="1">OFFSET(ORÇAMENTO!N$15,ROW(D164)-ROW(D$15),0)</f>
        <v>Serviço</v>
      </c>
      <c r="E164" s="205" t="str">
        <f ca="1">OFFSET(ORÇAMENTO!O$15,ROW(E164)-ROW(E$15),0)</f>
        <v>-</v>
      </c>
      <c r="F164" s="206" t="str">
        <f ca="1">OFFSET(ORÇAMENTO!R$15,ROW(F164)-ROW(F$15),0)</f>
        <v>(abra o arquivo 'Referência 05-2024.xls)</v>
      </c>
      <c r="G164" s="207" t="str">
        <f ca="1">IF($D164&lt;&gt;"Serviço","",OFFSET(ORÇAMENTO!S$15,ROW(G164)-ROW(G$15),0))</f>
        <v>-</v>
      </c>
      <c r="H164" s="151">
        <f ca="1">IF($D164&lt;&gt;"Serviço",0,IF(ACOMPANHAMENTO="BM",ROUND(OFFSET(ORÇAMENTO!AJ$15,ROW(H164)-ROW(H$15),0),15-13*ORÇAMENTO!$AF$7),SUMPRODUCT(($Q$12:$AI$12&lt;&gt;"")*ROUND($Q164:$AI164,15-13*ORÇAMENTO!$AF$7))))</f>
        <v>48.19</v>
      </c>
      <c r="I164" s="650"/>
      <c r="K164" s="208"/>
      <c r="L164" s="209" t="s">
        <v>257</v>
      </c>
      <c r="M164" s="210">
        <f ca="1">IF($D164&lt;&gt;"Serviço","",IF(AUTOEVENTO="manual",$A164,IF(ISERROR(MATCH($A164,$A$15:OFFSET($A164,-1,0),0)),MAX($M$15:OFFSET(M164,-1,0))+1,INDEX($M$15:OFFSET(M164,-1,0),MATCH($A164,$A$15:OFFSET($A164,-1,0),0)))))</f>
        <v>0</v>
      </c>
      <c r="N164" s="211" t="str">
        <f ca="1">IF($D164&lt;&gt;"Serviço","",IF(AUTOEVENTO="Manual",IF($A164=0,"&lt;-- defina o número do agrupador",OFFSET(EVENTOS!$D$14,$A164,0)),OFFSET($F$15,$A164,0)))</f>
        <v>&lt;-- defina o número do agrupador</v>
      </c>
      <c r="O164" s="212"/>
      <c r="Q164" s="212"/>
      <c r="R164" s="213"/>
      <c r="S164" s="213"/>
      <c r="T164" s="213"/>
      <c r="U164" s="213"/>
      <c r="V164" s="213"/>
      <c r="W164" s="213"/>
      <c r="X164" s="213"/>
      <c r="Y164" s="213"/>
      <c r="Z164" s="214"/>
      <c r="AA164" s="213"/>
      <c r="AB164" s="213"/>
      <c r="AC164" s="213"/>
      <c r="AD164" s="213"/>
      <c r="AE164" s="213"/>
      <c r="AF164" s="213"/>
      <c r="AG164" s="213"/>
      <c r="AH164" s="214"/>
      <c r="AJ164" s="631">
        <f ca="1">IF(AND($D164="Serviço",AJ$12&lt;&gt;0,$H164&gt;0,OR(AUTOEVENTO&lt;&gt;"manual",$M164&lt;&gt;1)),ROUND(OFFSET($P164,0,AJ$13),15-13*ORÇAMENTO!$AF$7)/$H164*OFFSET(ORÇAMENTO!$X$15,ROW(AJ164)-ROW(AJ$15),0),0)</f>
        <v>0</v>
      </c>
      <c r="AK164" s="632">
        <f ca="1">IF(AND($D164="Serviço",AK$12&lt;&gt;0,$H164&gt;0,OR(AUTOEVENTO&lt;&gt;"manual",$M164&lt;&gt;1)),ROUND(OFFSET($P164,0,AK$13),15-13*ORÇAMENTO!$AF$7)/$H164*OFFSET(ORÇAMENTO!$X$15,ROW(AK164)-ROW(AK$15),0),0)</f>
        <v>0</v>
      </c>
      <c r="AL164" s="632">
        <f ca="1">IF(AND($D164="Serviço",AL$12&lt;&gt;0,$H164&gt;0,OR(AUTOEVENTO&lt;&gt;"manual",$M164&lt;&gt;1)),ROUND(OFFSET($P164,0,AL$13),15-13*ORÇAMENTO!$AF$7)/$H164*OFFSET(ORÇAMENTO!$X$15,ROW(AL164)-ROW(AL$15),0),0)</f>
        <v>0</v>
      </c>
      <c r="AM164" s="632">
        <f ca="1">IF(AND($D164="Serviço",AM$12&lt;&gt;0,$H164&gt;0,OR(AUTOEVENTO&lt;&gt;"manual",$M164&lt;&gt;1)),ROUND(OFFSET($P164,0,AM$13),15-13*ORÇAMENTO!$AF$7)/$H164*OFFSET(ORÇAMENTO!$X$15,ROW(AM164)-ROW(AM$15),0),0)</f>
        <v>0</v>
      </c>
      <c r="AN164" s="632">
        <f ca="1">IF(AND($D164="Serviço",AN$12&lt;&gt;0,$H164&gt;0,OR(AUTOEVENTO&lt;&gt;"manual",$M164&lt;&gt;1)),ROUND(OFFSET($P164,0,AN$13),15-13*ORÇAMENTO!$AF$7)/$H164*OFFSET(ORÇAMENTO!$X$15,ROW(AN164)-ROW(AN$15),0),0)</f>
        <v>0</v>
      </c>
      <c r="AO164" s="632">
        <f ca="1">IF(AND($D164="Serviço",AO$12&lt;&gt;0,$H164&gt;0,OR(AUTOEVENTO&lt;&gt;"manual",$M164&lt;&gt;1)),ROUND(OFFSET($P164,0,AO$13),15-13*ORÇAMENTO!$AF$7)/$H164*OFFSET(ORÇAMENTO!$X$15,ROW(AO164)-ROW(AO$15),0),0)</f>
        <v>0</v>
      </c>
      <c r="AP164" s="632">
        <f ca="1">IF(AND($D164="Serviço",AP$12&lt;&gt;0,$H164&gt;0,OR(AUTOEVENTO&lt;&gt;"manual",$M164&lt;&gt;1)),ROUND(OFFSET($P164,0,AP$13),15-13*ORÇAMENTO!$AF$7)/$H164*OFFSET(ORÇAMENTO!$X$15,ROW(AP164)-ROW(AP$15),0),0)</f>
        <v>0</v>
      </c>
      <c r="AQ164" s="632">
        <f ca="1">IF(AND($D164="Serviço",AQ$12&lt;&gt;0,$H164&gt;0,OR(AUTOEVENTO&lt;&gt;"manual",$M164&lt;&gt;1)),ROUND(OFFSET($P164,0,AQ$13),15-13*ORÇAMENTO!$AF$7)/$H164*OFFSET(ORÇAMENTO!$X$15,ROW(AQ164)-ROW(AQ$15),0),0)</f>
        <v>0</v>
      </c>
      <c r="AR164" s="632">
        <f ca="1">IF(AND($D164="Serviço",AR$12&lt;&gt;0,$H164&gt;0,OR(AUTOEVENTO&lt;&gt;"manual",$M164&lt;&gt;1)),ROUND(OFFSET($P164,0,AR$13),15-13*ORÇAMENTO!$AF$7)/$H164*OFFSET(ORÇAMENTO!$X$15,ROW(AR164)-ROW(AR$15),0),0)</f>
        <v>0</v>
      </c>
      <c r="AS164" s="633">
        <f ca="1">IF(AND($D164="Serviço",AS$12&lt;&gt;0,$H164&gt;0,OR(AUTOEVENTO&lt;&gt;"manual",$M164&lt;&gt;1)),ROUND(OFFSET($P164,0,AS$13),15-13*ORÇAMENTO!$AF$7)/$H164*OFFSET(ORÇAMENTO!$X$15,ROW(AS164)-ROW(AS$15),0),0)</f>
        <v>0</v>
      </c>
      <c r="AT164" s="632">
        <f ca="1">IF(AND($D164="Serviço",AT$12&lt;&gt;0,$H164&gt;0,OR(AUTOEVENTO&lt;&gt;"manual",$M164&lt;&gt;1)),ROUND(OFFSET($P164,0,AT$13),15-13*ORÇAMENTO!$AF$7)/$H164*OFFSET(ORÇAMENTO!$X$15,ROW(AT164)-ROW(AT$15),0),0)</f>
        <v>0</v>
      </c>
      <c r="AU164" s="632">
        <f ca="1">IF(AND($D164="Serviço",AU$12&lt;&gt;0,$H164&gt;0,OR(AUTOEVENTO&lt;&gt;"manual",$M164&lt;&gt;1)),ROUND(OFFSET($P164,0,AU$13),15-13*ORÇAMENTO!$AF$7)/$H164*OFFSET(ORÇAMENTO!$X$15,ROW(AU164)-ROW(AU$15),0),0)</f>
        <v>0</v>
      </c>
      <c r="AV164" s="632">
        <f ca="1">IF(AND($D164="Serviço",AV$12&lt;&gt;0,$H164&gt;0,OR(AUTOEVENTO&lt;&gt;"manual",$M164&lt;&gt;1)),ROUND(OFFSET($P164,0,AV$13),15-13*ORÇAMENTO!$AF$7)/$H164*OFFSET(ORÇAMENTO!$X$15,ROW(AV164)-ROW(AV$15),0),0)</f>
        <v>0</v>
      </c>
      <c r="AW164" s="632">
        <f ca="1">IF(AND($D164="Serviço",AW$12&lt;&gt;0,$H164&gt;0,OR(AUTOEVENTO&lt;&gt;"manual",$M164&lt;&gt;1)),ROUND(OFFSET($P164,0,AW$13),15-13*ORÇAMENTO!$AF$7)/$H164*OFFSET(ORÇAMENTO!$X$15,ROW(AW164)-ROW(AW$15),0),0)</f>
        <v>0</v>
      </c>
      <c r="AX164" s="632">
        <f ca="1">IF(AND($D164="Serviço",AX$12&lt;&gt;0,$H164&gt;0,OR(AUTOEVENTO&lt;&gt;"manual",$M164&lt;&gt;1)),ROUND(OFFSET($P164,0,AX$13),15-13*ORÇAMENTO!$AF$7)/$H164*OFFSET(ORÇAMENTO!$X$15,ROW(AX164)-ROW(AX$15),0),0)</f>
        <v>0</v>
      </c>
      <c r="AY164" s="632">
        <f ca="1">IF(AND($D164="Serviço",AY$12&lt;&gt;0,$H164&gt;0,OR(AUTOEVENTO&lt;&gt;"manual",$M164&lt;&gt;1)),ROUND(OFFSET($P164,0,AY$13),15-13*ORÇAMENTO!$AF$7)/$H164*OFFSET(ORÇAMENTO!$X$15,ROW(AY164)-ROW(AY$15),0),0)</f>
        <v>0</v>
      </c>
      <c r="AZ164" s="632">
        <f ca="1">IF(AND($D164="Serviço",AZ$12&lt;&gt;0,$H164&gt;0,OR(AUTOEVENTO&lt;&gt;"manual",$M164&lt;&gt;1)),ROUND(OFFSET($P164,0,AZ$13),15-13*ORÇAMENTO!$AF$7)/$H164*OFFSET(ORÇAMENTO!$X$15,ROW(AZ164)-ROW(AZ$15),0),0)</f>
        <v>0</v>
      </c>
      <c r="BA164" s="633">
        <f ca="1">IF(AND($D164="Serviço",BA$12&lt;&gt;0,$H164&gt;0,OR(AUTOEVENTO&lt;&gt;"manual",$M164&lt;&gt;1)),ROUND(OFFSET($P164,0,BA$13),15-13*ORÇAMENTO!$AF$7)/$H164*OFFSET(ORÇAMENTO!$X$15,ROW(BA164)-ROW(BA$15),0),0)</f>
        <v>0</v>
      </c>
      <c r="BC164" s="215">
        <f ca="1">IF($D164&lt;&gt;"Serviço",0,IF(AND(AUTOEVENTO="Manual",$M164=1),0,IF(OFFSET(CRONOPLE!$F$14,$M164,BC$13)="",10^12,OFFSET(CRONOPLE!$F$14,$M164,BC$13))))</f>
        <v>1000000000000</v>
      </c>
      <c r="BD164" s="215">
        <f ca="1">IF($D164&lt;&gt;"Serviço",0,IF(AND(AUTOEVENTO="Manual",$M164=1),0,IF(OFFSET(CRONOPLE!$F$14,$M164,BD$13)="",10^12,OFFSET(CRONOPLE!$F$14,$M164,BD$13))))</f>
        <v>1000000000000</v>
      </c>
      <c r="BE164" s="215">
        <f ca="1">IF($D164&lt;&gt;"Serviço",0,IF(AND(AUTOEVENTO="Manual",$M164=1),0,IF(OFFSET(CRONOPLE!$F$14,$M164,BE$13)="",10^12,OFFSET(CRONOPLE!$F$14,$M164,BE$13))))</f>
        <v>1000000000000</v>
      </c>
      <c r="BF164" s="215">
        <f ca="1">IF($D164&lt;&gt;"Serviço",0,IF(AND(AUTOEVENTO="Manual",$M164=1),0,IF(OFFSET(CRONOPLE!$F$14,$M164,BF$13)="",10^12,OFFSET(CRONOPLE!$F$14,$M164,BF$13))))</f>
        <v>1000000000000</v>
      </c>
      <c r="BG164" s="215">
        <f ca="1">IF($D164&lt;&gt;"Serviço",0,IF(AND(AUTOEVENTO="Manual",$M164=1),0,IF(OFFSET(CRONOPLE!$F$14,$M164,BG$13)="",10^12,OFFSET(CRONOPLE!$F$14,$M164,BG$13))))</f>
        <v>1000000000000</v>
      </c>
      <c r="BH164" s="215">
        <f ca="1">IF($D164&lt;&gt;"Serviço",0,IF(AND(AUTOEVENTO="Manual",$M164=1),0,IF(OFFSET(CRONOPLE!$F$14,$M164,BH$13)="",10^12,OFFSET(CRONOPLE!$F$14,$M164,BH$13))))</f>
        <v>1000000000000</v>
      </c>
      <c r="BI164" s="215">
        <f ca="1">IF($D164&lt;&gt;"Serviço",0,IF(AND(AUTOEVENTO="Manual",$M164=1),0,IF(OFFSET(CRONOPLE!$F$14,$M164,BI$13)="",10^12,OFFSET(CRONOPLE!$F$14,$M164,BI$13))))</f>
        <v>1000000000000</v>
      </c>
      <c r="BJ164" s="215">
        <f ca="1">IF($D164&lt;&gt;"Serviço",0,IF(AND(AUTOEVENTO="Manual",$M164=1),0,IF(OFFSET(CRONOPLE!$F$14,$M164,BJ$13)="",10^12,OFFSET(CRONOPLE!$F$14,$M164,BJ$13))))</f>
        <v>1000000000000</v>
      </c>
      <c r="BK164" s="215">
        <f ca="1">IF($D164&lt;&gt;"Serviço",0,IF(AND(AUTOEVENTO="Manual",$M164=1),0,IF(OFFSET(CRONOPLE!$F$14,$M164,BK$13)="",10^12,OFFSET(CRONOPLE!$F$14,$M164,BK$13))))</f>
        <v>1000000000000</v>
      </c>
      <c r="BL164" s="215">
        <f ca="1">IF($D164&lt;&gt;"Serviço",0,IF(AND(AUTOEVENTO="Manual",$M164=1),0,IF(OFFSET(CRONOPLE!$F$14,$M164,BL$13)="",10^12,OFFSET(CRONOPLE!$F$14,$M164,BL$13))))</f>
        <v>1000000000000</v>
      </c>
      <c r="BM164" s="215">
        <f ca="1">IF($D164&lt;&gt;"Serviço",0,IF(AND(AUTOEVENTO="Manual",$M164=1),0,IF(OFFSET(CRONOPLE!$F$14,$M164,BM$13)="",10^12,OFFSET(CRONOPLE!$F$14,$M164,BM$13))))</f>
        <v>1000000000000</v>
      </c>
      <c r="BN164" s="215">
        <f ca="1">IF($D164&lt;&gt;"Serviço",0,IF(AND(AUTOEVENTO="Manual",$M164=1),0,IF(OFFSET(CRONOPLE!$F$14,$M164,BN$13)="",10^12,OFFSET(CRONOPLE!$F$14,$M164,BN$13))))</f>
        <v>1000000000000</v>
      </c>
      <c r="BO164" s="215">
        <f ca="1">IF($D164&lt;&gt;"Serviço",0,IF(AND(AUTOEVENTO="Manual",$M164=1),0,IF(OFFSET(CRONOPLE!$F$14,$M164,BO$13)="",10^12,OFFSET(CRONOPLE!$F$14,$M164,BO$13))))</f>
        <v>1000000000000</v>
      </c>
      <c r="BP164" s="215">
        <f ca="1">IF($D164&lt;&gt;"Serviço",0,IF(AND(AUTOEVENTO="Manual",$M164=1),0,IF(OFFSET(CRONOPLE!$F$14,$M164,BP$13)="",10^12,OFFSET(CRONOPLE!$F$14,$M164,BP$13))))</f>
        <v>1000000000000</v>
      </c>
      <c r="BQ164" s="215">
        <f ca="1">IF($D164&lt;&gt;"Serviço",0,IF(AND(AUTOEVENTO="Manual",$M164=1),0,IF(OFFSET(CRONOPLE!$F$14,$M164,BQ$13)="",10^12,OFFSET(CRONOPLE!$F$14,$M164,BQ$13))))</f>
        <v>1000000000000</v>
      </c>
      <c r="BR164" s="215">
        <f ca="1">IF($D164&lt;&gt;"Serviço",0,IF(AND(AUTOEVENTO="Manual",$M164=1),0,IF(OFFSET(CRONOPLE!$F$14,$M164,BR$13)="",10^12,OFFSET(CRONOPLE!$F$14,$M164,BR$13))))</f>
        <v>1000000000000</v>
      </c>
      <c r="BS164" s="215">
        <f ca="1">IF($D164&lt;&gt;"Serviço",0,IF(AND(AUTOEVENTO="Manual",$M164=1),0,IF(OFFSET(CRONOPLE!$F$14,$M164,BS$13)="",10^12,OFFSET(CRONOPLE!$F$14,$M164,BS$13))))</f>
        <v>1000000000000</v>
      </c>
      <c r="BT164" s="215">
        <f ca="1">IF($D164&lt;&gt;"Serviço",0,IF(AND(AUTOEVENTO="Manual",$M164=1),0,IF(OFFSET(CRONOPLE!$F$14,$M164,BT$13)="",10^12,OFFSET(CRONOPLE!$F$14,$M164,BT$13))))</f>
        <v>1000000000000</v>
      </c>
      <c r="BV164" s="216">
        <f ca="1">IF($D164&lt;&gt;"Serviço",0,IF(OR(AND(AUTOEVENTO="Manual",$M164=1),$M164&gt;(ROW(PLE.lastrow)-ROW(PLE.firstrow))),0,IF(OFFSET(PLE!$G$14,$M164,BV$13)="",10^12,OFFSET(PLE!$G$14,$M164,BV$13))))</f>
        <v>1000000000000</v>
      </c>
      <c r="BW164" s="216">
        <f ca="1">IF($D164&lt;&gt;"Serviço",0,IF(OR(AND(AUTOEVENTO="Manual",$M164=1),$M164&gt;(ROW(PLE.lastrow)-ROW(PLE.firstrow))),0,IF(OFFSET(PLE!$G$14,$M164,BW$13)="",10^12,OFFSET(PLE!$G$14,$M164,BW$13))))</f>
        <v>1000000000000</v>
      </c>
      <c r="BX164" s="216">
        <f ca="1">IF($D164&lt;&gt;"Serviço",0,IF(OR(AND(AUTOEVENTO="Manual",$M164=1),$M164&gt;(ROW(PLE.lastrow)-ROW(PLE.firstrow))),0,IF(OFFSET(PLE!$G$14,$M164,BX$13)="",10^12,OFFSET(PLE!$G$14,$M164,BX$13))))</f>
        <v>1000000000000</v>
      </c>
      <c r="BY164" s="216">
        <f ca="1">IF($D164&lt;&gt;"Serviço",0,IF(OR(AND(AUTOEVENTO="Manual",$M164=1),$M164&gt;(ROW(PLE.lastrow)-ROW(PLE.firstrow))),0,IF(OFFSET(PLE!$G$14,$M164,BY$13)="",10^12,OFFSET(PLE!$G$14,$M164,BY$13))))</f>
        <v>1000000000000</v>
      </c>
      <c r="BZ164" s="216">
        <f ca="1">IF($D164&lt;&gt;"Serviço",0,IF(OR(AND(AUTOEVENTO="Manual",$M164=1),$M164&gt;(ROW(PLE.lastrow)-ROW(PLE.firstrow))),0,IF(OFFSET(PLE!$G$14,$M164,BZ$13)="",10^12,OFFSET(PLE!$G$14,$M164,BZ$13))))</f>
        <v>1000000000000</v>
      </c>
      <c r="CA164" s="216">
        <f ca="1">IF($D164&lt;&gt;"Serviço",0,IF(OR(AND(AUTOEVENTO="Manual",$M164=1),$M164&gt;(ROW(PLE.lastrow)-ROW(PLE.firstrow))),0,IF(OFFSET(PLE!$G$14,$M164,CA$13)="",10^12,OFFSET(PLE!$G$14,$M164,CA$13))))</f>
        <v>1000000000000</v>
      </c>
      <c r="CB164" s="216">
        <f ca="1">IF($D164&lt;&gt;"Serviço",0,IF(OR(AND(AUTOEVENTO="Manual",$M164=1),$M164&gt;(ROW(PLE.lastrow)-ROW(PLE.firstrow))),0,IF(OFFSET(PLE!$G$14,$M164,CB$13)="",10^12,OFFSET(PLE!$G$14,$M164,CB$13))))</f>
        <v>1000000000000</v>
      </c>
      <c r="CC164" s="216">
        <f ca="1">IF($D164&lt;&gt;"Serviço",0,IF(OR(AND(AUTOEVENTO="Manual",$M164=1),$M164&gt;(ROW(PLE.lastrow)-ROW(PLE.firstrow))),0,IF(OFFSET(PLE!$G$14,$M164,CC$13)="",10^12,OFFSET(PLE!$G$14,$M164,CC$13))))</f>
        <v>1000000000000</v>
      </c>
      <c r="CD164" s="216">
        <f ca="1">IF($D164&lt;&gt;"Serviço",0,IF(OR(AND(AUTOEVENTO="Manual",$M164=1),$M164&gt;(ROW(PLE.lastrow)-ROW(PLE.firstrow))),0,IF(OFFSET(PLE!$G$14,$M164,CD$13)="",10^12,OFFSET(PLE!$G$14,$M164,CD$13))))</f>
        <v>1000000000000</v>
      </c>
      <c r="CE164" s="216">
        <f ca="1">IF($D164&lt;&gt;"Serviço",0,IF(OR(AND(AUTOEVENTO="Manual",$M164=1),$M164&gt;(ROW(PLE.lastrow)-ROW(PLE.firstrow))),0,IF(OFFSET(PLE!$G$14,$M164,CE$13)="",10^12,OFFSET(PLE!$G$14,$M164,CE$13))))</f>
        <v>1000000000000</v>
      </c>
      <c r="CF164" s="216">
        <f ca="1">IF($D164&lt;&gt;"Serviço",0,IF(OR(AND(AUTOEVENTO="Manual",$M164=1),$M164&gt;(ROW(PLE.lastrow)-ROW(PLE.firstrow))),0,IF(OFFSET(PLE!$G$14,$M164,CF$13)="",10^12,OFFSET(PLE!$G$14,$M164,CF$13))))</f>
        <v>1000000000000</v>
      </c>
      <c r="CG164" s="216">
        <f ca="1">IF($D164&lt;&gt;"Serviço",0,IF(OR(AND(AUTOEVENTO="Manual",$M164=1),$M164&gt;(ROW(PLE.lastrow)-ROW(PLE.firstrow))),0,IF(OFFSET(PLE!$G$14,$M164,CG$13)="",10^12,OFFSET(PLE!$G$14,$M164,CG$13))))</f>
        <v>1000000000000</v>
      </c>
      <c r="CH164" s="216">
        <f ca="1">IF($D164&lt;&gt;"Serviço",0,IF(OR(AND(AUTOEVENTO="Manual",$M164=1),$M164&gt;(ROW(PLE.lastrow)-ROW(PLE.firstrow))),0,IF(OFFSET(PLE!$G$14,$M164,CH$13)="",10^12,OFFSET(PLE!$G$14,$M164,CH$13))))</f>
        <v>1000000000000</v>
      </c>
      <c r="CI164" s="216">
        <f ca="1">IF($D164&lt;&gt;"Serviço",0,IF(OR(AND(AUTOEVENTO="Manual",$M164=1),$M164&gt;(ROW(PLE.lastrow)-ROW(PLE.firstrow))),0,IF(OFFSET(PLE!$G$14,$M164,CI$13)="",10^12,OFFSET(PLE!$G$14,$M164,CI$13))))</f>
        <v>1000000000000</v>
      </c>
      <c r="CJ164" s="216">
        <f ca="1">IF($D164&lt;&gt;"Serviço",0,IF(OR(AND(AUTOEVENTO="Manual",$M164=1),$M164&gt;(ROW(PLE.lastrow)-ROW(PLE.firstrow))),0,IF(OFFSET(PLE!$G$14,$M164,CJ$13)="",10^12,OFFSET(PLE!$G$14,$M164,CJ$13))))</f>
        <v>1000000000000</v>
      </c>
      <c r="CK164" s="216">
        <f ca="1">IF($D164&lt;&gt;"Serviço",0,IF(OR(AND(AUTOEVENTO="Manual",$M164=1),$M164&gt;(ROW(PLE.lastrow)-ROW(PLE.firstrow))),0,IF(OFFSET(PLE!$G$14,$M164,CK$13)="",10^12,OFFSET(PLE!$G$14,$M164,CK$13))))</f>
        <v>1000000000000</v>
      </c>
      <c r="CL164" s="216">
        <f ca="1">IF($D164&lt;&gt;"Serviço",0,IF(OR(AND(AUTOEVENTO="Manual",$M164=1),$M164&gt;(ROW(PLE.lastrow)-ROW(PLE.firstrow))),0,IF(OFFSET(PLE!$G$14,$M164,CL$13)="",10^12,OFFSET(PLE!$G$14,$M164,CL$13))))</f>
        <v>1000000000000</v>
      </c>
      <c r="CM164" s="216">
        <f ca="1">IF($D164&lt;&gt;"Serviço",0,IF(OR(AND(AUTOEVENTO="Manual",$M164=1),$M164&gt;(ROW(PLE.lastrow)-ROW(PLE.firstrow))),0,IF(OFFSET(PLE!$G$14,$M164,CM$13)="",10^12,OFFSET(PLE!$G$14,$M164,CM$13))))</f>
        <v>1000000000000</v>
      </c>
    </row>
    <row r="165" spans="1:91" ht="13.2" x14ac:dyDescent="0.25">
      <c r="A165" s="9">
        <f t="shared" ca="1" si="11"/>
        <v>0</v>
      </c>
      <c r="B165" s="9" t="str">
        <f ca="1">OFFSET(ORÇAMENTO!C$15,ROW(B165)-ROW(B$15),0)</f>
        <v>S</v>
      </c>
      <c r="C165" s="9" t="str">
        <f ca="1">OFFSET(ORÇAMENTO!L$15,ROW(C165)-ROW(C$15),0)</f>
        <v/>
      </c>
      <c r="D165" s="145" t="str">
        <f ca="1">OFFSET(ORÇAMENTO!N$15,ROW(D165)-ROW(D$15),0)</f>
        <v>Serviço</v>
      </c>
      <c r="E165" s="205" t="str">
        <f ca="1">OFFSET(ORÇAMENTO!O$15,ROW(E165)-ROW(E$15),0)</f>
        <v>-</v>
      </c>
      <c r="F165" s="206" t="str">
        <f ca="1">OFFSET(ORÇAMENTO!R$15,ROW(F165)-ROW(F$15),0)</f>
        <v>(abra o arquivo 'Referência 05-2024.xls)</v>
      </c>
      <c r="G165" s="207" t="str">
        <f ca="1">IF($D165&lt;&gt;"Serviço","",OFFSET(ORÇAMENTO!S$15,ROW(G165)-ROW(G$15),0))</f>
        <v>-</v>
      </c>
      <c r="H165" s="151">
        <f ca="1">IF($D165&lt;&gt;"Serviço",0,IF(ACOMPANHAMENTO="BM",ROUND(OFFSET(ORÇAMENTO!AJ$15,ROW(H165)-ROW(H$15),0),15-13*ORÇAMENTO!$AF$7),SUMPRODUCT(($Q$12:$AI$12&lt;&gt;"")*ROUND($Q165:$AI165,15-13*ORÇAMENTO!$AF$7))))</f>
        <v>7.2</v>
      </c>
      <c r="I165" s="650"/>
      <c r="K165" s="208"/>
      <c r="L165" s="209" t="s">
        <v>257</v>
      </c>
      <c r="M165" s="210">
        <f ca="1">IF($D165&lt;&gt;"Serviço","",IF(AUTOEVENTO="manual",$A165,IF(ISERROR(MATCH($A165,$A$15:OFFSET($A165,-1,0),0)),MAX($M$15:OFFSET(M165,-1,0))+1,INDEX($M$15:OFFSET(M165,-1,0),MATCH($A165,$A$15:OFFSET($A165,-1,0),0)))))</f>
        <v>0</v>
      </c>
      <c r="N165" s="211" t="str">
        <f ca="1">IF($D165&lt;&gt;"Serviço","",IF(AUTOEVENTO="Manual",IF($A165=0,"&lt;-- defina o número do agrupador",OFFSET(EVENTOS!$D$14,$A165,0)),OFFSET($F$15,$A165,0)))</f>
        <v>&lt;-- defina o número do agrupador</v>
      </c>
      <c r="O165" s="212"/>
      <c r="Q165" s="212"/>
      <c r="R165" s="213"/>
      <c r="S165" s="213"/>
      <c r="T165" s="213"/>
      <c r="U165" s="213"/>
      <c r="V165" s="213"/>
      <c r="W165" s="213"/>
      <c r="X165" s="213"/>
      <c r="Y165" s="213"/>
      <c r="Z165" s="214"/>
      <c r="AA165" s="213"/>
      <c r="AB165" s="213"/>
      <c r="AC165" s="213"/>
      <c r="AD165" s="213"/>
      <c r="AE165" s="213"/>
      <c r="AF165" s="213"/>
      <c r="AG165" s="213"/>
      <c r="AH165" s="214"/>
      <c r="AJ165" s="631">
        <f ca="1">IF(AND($D165="Serviço",AJ$12&lt;&gt;0,$H165&gt;0,OR(AUTOEVENTO&lt;&gt;"manual",$M165&lt;&gt;1)),ROUND(OFFSET($P165,0,AJ$13),15-13*ORÇAMENTO!$AF$7)/$H165*OFFSET(ORÇAMENTO!$X$15,ROW(AJ165)-ROW(AJ$15),0),0)</f>
        <v>0</v>
      </c>
      <c r="AK165" s="632">
        <f ca="1">IF(AND($D165="Serviço",AK$12&lt;&gt;0,$H165&gt;0,OR(AUTOEVENTO&lt;&gt;"manual",$M165&lt;&gt;1)),ROUND(OFFSET($P165,0,AK$13),15-13*ORÇAMENTO!$AF$7)/$H165*OFFSET(ORÇAMENTO!$X$15,ROW(AK165)-ROW(AK$15),0),0)</f>
        <v>0</v>
      </c>
      <c r="AL165" s="632">
        <f ca="1">IF(AND($D165="Serviço",AL$12&lt;&gt;0,$H165&gt;0,OR(AUTOEVENTO&lt;&gt;"manual",$M165&lt;&gt;1)),ROUND(OFFSET($P165,0,AL$13),15-13*ORÇAMENTO!$AF$7)/$H165*OFFSET(ORÇAMENTO!$X$15,ROW(AL165)-ROW(AL$15),0),0)</f>
        <v>0</v>
      </c>
      <c r="AM165" s="632">
        <f ca="1">IF(AND($D165="Serviço",AM$12&lt;&gt;0,$H165&gt;0,OR(AUTOEVENTO&lt;&gt;"manual",$M165&lt;&gt;1)),ROUND(OFFSET($P165,0,AM$13),15-13*ORÇAMENTO!$AF$7)/$H165*OFFSET(ORÇAMENTO!$X$15,ROW(AM165)-ROW(AM$15),0),0)</f>
        <v>0</v>
      </c>
      <c r="AN165" s="632">
        <f ca="1">IF(AND($D165="Serviço",AN$12&lt;&gt;0,$H165&gt;0,OR(AUTOEVENTO&lt;&gt;"manual",$M165&lt;&gt;1)),ROUND(OFFSET($P165,0,AN$13),15-13*ORÇAMENTO!$AF$7)/$H165*OFFSET(ORÇAMENTO!$X$15,ROW(AN165)-ROW(AN$15),0),0)</f>
        <v>0</v>
      </c>
      <c r="AO165" s="632">
        <f ca="1">IF(AND($D165="Serviço",AO$12&lt;&gt;0,$H165&gt;0,OR(AUTOEVENTO&lt;&gt;"manual",$M165&lt;&gt;1)),ROUND(OFFSET($P165,0,AO$13),15-13*ORÇAMENTO!$AF$7)/$H165*OFFSET(ORÇAMENTO!$X$15,ROW(AO165)-ROW(AO$15),0),0)</f>
        <v>0</v>
      </c>
      <c r="AP165" s="632">
        <f ca="1">IF(AND($D165="Serviço",AP$12&lt;&gt;0,$H165&gt;0,OR(AUTOEVENTO&lt;&gt;"manual",$M165&lt;&gt;1)),ROUND(OFFSET($P165,0,AP$13),15-13*ORÇAMENTO!$AF$7)/$H165*OFFSET(ORÇAMENTO!$X$15,ROW(AP165)-ROW(AP$15),0),0)</f>
        <v>0</v>
      </c>
      <c r="AQ165" s="632">
        <f ca="1">IF(AND($D165="Serviço",AQ$12&lt;&gt;0,$H165&gt;0,OR(AUTOEVENTO&lt;&gt;"manual",$M165&lt;&gt;1)),ROUND(OFFSET($P165,0,AQ$13),15-13*ORÇAMENTO!$AF$7)/$H165*OFFSET(ORÇAMENTO!$X$15,ROW(AQ165)-ROW(AQ$15),0),0)</f>
        <v>0</v>
      </c>
      <c r="AR165" s="632">
        <f ca="1">IF(AND($D165="Serviço",AR$12&lt;&gt;0,$H165&gt;0,OR(AUTOEVENTO&lt;&gt;"manual",$M165&lt;&gt;1)),ROUND(OFFSET($P165,0,AR$13),15-13*ORÇAMENTO!$AF$7)/$H165*OFFSET(ORÇAMENTO!$X$15,ROW(AR165)-ROW(AR$15),0),0)</f>
        <v>0</v>
      </c>
      <c r="AS165" s="633">
        <f ca="1">IF(AND($D165="Serviço",AS$12&lt;&gt;0,$H165&gt;0,OR(AUTOEVENTO&lt;&gt;"manual",$M165&lt;&gt;1)),ROUND(OFFSET($P165,0,AS$13),15-13*ORÇAMENTO!$AF$7)/$H165*OFFSET(ORÇAMENTO!$X$15,ROW(AS165)-ROW(AS$15),0),0)</f>
        <v>0</v>
      </c>
      <c r="AT165" s="632">
        <f ca="1">IF(AND($D165="Serviço",AT$12&lt;&gt;0,$H165&gt;0,OR(AUTOEVENTO&lt;&gt;"manual",$M165&lt;&gt;1)),ROUND(OFFSET($P165,0,AT$13),15-13*ORÇAMENTO!$AF$7)/$H165*OFFSET(ORÇAMENTO!$X$15,ROW(AT165)-ROW(AT$15),0),0)</f>
        <v>0</v>
      </c>
      <c r="AU165" s="632">
        <f ca="1">IF(AND($D165="Serviço",AU$12&lt;&gt;0,$H165&gt;0,OR(AUTOEVENTO&lt;&gt;"manual",$M165&lt;&gt;1)),ROUND(OFFSET($P165,0,AU$13),15-13*ORÇAMENTO!$AF$7)/$H165*OFFSET(ORÇAMENTO!$X$15,ROW(AU165)-ROW(AU$15),0),0)</f>
        <v>0</v>
      </c>
      <c r="AV165" s="632">
        <f ca="1">IF(AND($D165="Serviço",AV$12&lt;&gt;0,$H165&gt;0,OR(AUTOEVENTO&lt;&gt;"manual",$M165&lt;&gt;1)),ROUND(OFFSET($P165,0,AV$13),15-13*ORÇAMENTO!$AF$7)/$H165*OFFSET(ORÇAMENTO!$X$15,ROW(AV165)-ROW(AV$15),0),0)</f>
        <v>0</v>
      </c>
      <c r="AW165" s="632">
        <f ca="1">IF(AND($D165="Serviço",AW$12&lt;&gt;0,$H165&gt;0,OR(AUTOEVENTO&lt;&gt;"manual",$M165&lt;&gt;1)),ROUND(OFFSET($P165,0,AW$13),15-13*ORÇAMENTO!$AF$7)/$H165*OFFSET(ORÇAMENTO!$X$15,ROW(AW165)-ROW(AW$15),0),0)</f>
        <v>0</v>
      </c>
      <c r="AX165" s="632">
        <f ca="1">IF(AND($D165="Serviço",AX$12&lt;&gt;0,$H165&gt;0,OR(AUTOEVENTO&lt;&gt;"manual",$M165&lt;&gt;1)),ROUND(OFFSET($P165,0,AX$13),15-13*ORÇAMENTO!$AF$7)/$H165*OFFSET(ORÇAMENTO!$X$15,ROW(AX165)-ROW(AX$15),0),0)</f>
        <v>0</v>
      </c>
      <c r="AY165" s="632">
        <f ca="1">IF(AND($D165="Serviço",AY$12&lt;&gt;0,$H165&gt;0,OR(AUTOEVENTO&lt;&gt;"manual",$M165&lt;&gt;1)),ROUND(OFFSET($P165,0,AY$13),15-13*ORÇAMENTO!$AF$7)/$H165*OFFSET(ORÇAMENTO!$X$15,ROW(AY165)-ROW(AY$15),0),0)</f>
        <v>0</v>
      </c>
      <c r="AZ165" s="632">
        <f ca="1">IF(AND($D165="Serviço",AZ$12&lt;&gt;0,$H165&gt;0,OR(AUTOEVENTO&lt;&gt;"manual",$M165&lt;&gt;1)),ROUND(OFFSET($P165,0,AZ$13),15-13*ORÇAMENTO!$AF$7)/$H165*OFFSET(ORÇAMENTO!$X$15,ROW(AZ165)-ROW(AZ$15),0),0)</f>
        <v>0</v>
      </c>
      <c r="BA165" s="633">
        <f ca="1">IF(AND($D165="Serviço",BA$12&lt;&gt;0,$H165&gt;0,OR(AUTOEVENTO&lt;&gt;"manual",$M165&lt;&gt;1)),ROUND(OFFSET($P165,0,BA$13),15-13*ORÇAMENTO!$AF$7)/$H165*OFFSET(ORÇAMENTO!$X$15,ROW(BA165)-ROW(BA$15),0),0)</f>
        <v>0</v>
      </c>
      <c r="BC165" s="215">
        <f ca="1">IF($D165&lt;&gt;"Serviço",0,IF(AND(AUTOEVENTO="Manual",$M165=1),0,IF(OFFSET(CRONOPLE!$F$14,$M165,BC$13)="",10^12,OFFSET(CRONOPLE!$F$14,$M165,BC$13))))</f>
        <v>1000000000000</v>
      </c>
      <c r="BD165" s="215">
        <f ca="1">IF($D165&lt;&gt;"Serviço",0,IF(AND(AUTOEVENTO="Manual",$M165=1),0,IF(OFFSET(CRONOPLE!$F$14,$M165,BD$13)="",10^12,OFFSET(CRONOPLE!$F$14,$M165,BD$13))))</f>
        <v>1000000000000</v>
      </c>
      <c r="BE165" s="215">
        <f ca="1">IF($D165&lt;&gt;"Serviço",0,IF(AND(AUTOEVENTO="Manual",$M165=1),0,IF(OFFSET(CRONOPLE!$F$14,$M165,BE$13)="",10^12,OFFSET(CRONOPLE!$F$14,$M165,BE$13))))</f>
        <v>1000000000000</v>
      </c>
      <c r="BF165" s="215">
        <f ca="1">IF($D165&lt;&gt;"Serviço",0,IF(AND(AUTOEVENTO="Manual",$M165=1),0,IF(OFFSET(CRONOPLE!$F$14,$M165,BF$13)="",10^12,OFFSET(CRONOPLE!$F$14,$M165,BF$13))))</f>
        <v>1000000000000</v>
      </c>
      <c r="BG165" s="215">
        <f ca="1">IF($D165&lt;&gt;"Serviço",0,IF(AND(AUTOEVENTO="Manual",$M165=1),0,IF(OFFSET(CRONOPLE!$F$14,$M165,BG$13)="",10^12,OFFSET(CRONOPLE!$F$14,$M165,BG$13))))</f>
        <v>1000000000000</v>
      </c>
      <c r="BH165" s="215">
        <f ca="1">IF($D165&lt;&gt;"Serviço",0,IF(AND(AUTOEVENTO="Manual",$M165=1),0,IF(OFFSET(CRONOPLE!$F$14,$M165,BH$13)="",10^12,OFFSET(CRONOPLE!$F$14,$M165,BH$13))))</f>
        <v>1000000000000</v>
      </c>
      <c r="BI165" s="215">
        <f ca="1">IF($D165&lt;&gt;"Serviço",0,IF(AND(AUTOEVENTO="Manual",$M165=1),0,IF(OFFSET(CRONOPLE!$F$14,$M165,BI$13)="",10^12,OFFSET(CRONOPLE!$F$14,$M165,BI$13))))</f>
        <v>1000000000000</v>
      </c>
      <c r="BJ165" s="215">
        <f ca="1">IF($D165&lt;&gt;"Serviço",0,IF(AND(AUTOEVENTO="Manual",$M165=1),0,IF(OFFSET(CRONOPLE!$F$14,$M165,BJ$13)="",10^12,OFFSET(CRONOPLE!$F$14,$M165,BJ$13))))</f>
        <v>1000000000000</v>
      </c>
      <c r="BK165" s="215">
        <f ca="1">IF($D165&lt;&gt;"Serviço",0,IF(AND(AUTOEVENTO="Manual",$M165=1),0,IF(OFFSET(CRONOPLE!$F$14,$M165,BK$13)="",10^12,OFFSET(CRONOPLE!$F$14,$M165,BK$13))))</f>
        <v>1000000000000</v>
      </c>
      <c r="BL165" s="215">
        <f ca="1">IF($D165&lt;&gt;"Serviço",0,IF(AND(AUTOEVENTO="Manual",$M165=1),0,IF(OFFSET(CRONOPLE!$F$14,$M165,BL$13)="",10^12,OFFSET(CRONOPLE!$F$14,$M165,BL$13))))</f>
        <v>1000000000000</v>
      </c>
      <c r="BM165" s="215">
        <f ca="1">IF($D165&lt;&gt;"Serviço",0,IF(AND(AUTOEVENTO="Manual",$M165=1),0,IF(OFFSET(CRONOPLE!$F$14,$M165,BM$13)="",10^12,OFFSET(CRONOPLE!$F$14,$M165,BM$13))))</f>
        <v>1000000000000</v>
      </c>
      <c r="BN165" s="215">
        <f ca="1">IF($D165&lt;&gt;"Serviço",0,IF(AND(AUTOEVENTO="Manual",$M165=1),0,IF(OFFSET(CRONOPLE!$F$14,$M165,BN$13)="",10^12,OFFSET(CRONOPLE!$F$14,$M165,BN$13))))</f>
        <v>1000000000000</v>
      </c>
      <c r="BO165" s="215">
        <f ca="1">IF($D165&lt;&gt;"Serviço",0,IF(AND(AUTOEVENTO="Manual",$M165=1),0,IF(OFFSET(CRONOPLE!$F$14,$M165,BO$13)="",10^12,OFFSET(CRONOPLE!$F$14,$M165,BO$13))))</f>
        <v>1000000000000</v>
      </c>
      <c r="BP165" s="215">
        <f ca="1">IF($D165&lt;&gt;"Serviço",0,IF(AND(AUTOEVENTO="Manual",$M165=1),0,IF(OFFSET(CRONOPLE!$F$14,$M165,BP$13)="",10^12,OFFSET(CRONOPLE!$F$14,$M165,BP$13))))</f>
        <v>1000000000000</v>
      </c>
      <c r="BQ165" s="215">
        <f ca="1">IF($D165&lt;&gt;"Serviço",0,IF(AND(AUTOEVENTO="Manual",$M165=1),0,IF(OFFSET(CRONOPLE!$F$14,$M165,BQ$13)="",10^12,OFFSET(CRONOPLE!$F$14,$M165,BQ$13))))</f>
        <v>1000000000000</v>
      </c>
      <c r="BR165" s="215">
        <f ca="1">IF($D165&lt;&gt;"Serviço",0,IF(AND(AUTOEVENTO="Manual",$M165=1),0,IF(OFFSET(CRONOPLE!$F$14,$M165,BR$13)="",10^12,OFFSET(CRONOPLE!$F$14,$M165,BR$13))))</f>
        <v>1000000000000</v>
      </c>
      <c r="BS165" s="215">
        <f ca="1">IF($D165&lt;&gt;"Serviço",0,IF(AND(AUTOEVENTO="Manual",$M165=1),0,IF(OFFSET(CRONOPLE!$F$14,$M165,BS$13)="",10^12,OFFSET(CRONOPLE!$F$14,$M165,BS$13))))</f>
        <v>1000000000000</v>
      </c>
      <c r="BT165" s="215">
        <f ca="1">IF($D165&lt;&gt;"Serviço",0,IF(AND(AUTOEVENTO="Manual",$M165=1),0,IF(OFFSET(CRONOPLE!$F$14,$M165,BT$13)="",10^12,OFFSET(CRONOPLE!$F$14,$M165,BT$13))))</f>
        <v>1000000000000</v>
      </c>
      <c r="BV165" s="216">
        <f ca="1">IF($D165&lt;&gt;"Serviço",0,IF(OR(AND(AUTOEVENTO="Manual",$M165=1),$M165&gt;(ROW(PLE.lastrow)-ROW(PLE.firstrow))),0,IF(OFFSET(PLE!$G$14,$M165,BV$13)="",10^12,OFFSET(PLE!$G$14,$M165,BV$13))))</f>
        <v>1000000000000</v>
      </c>
      <c r="BW165" s="216">
        <f ca="1">IF($D165&lt;&gt;"Serviço",0,IF(OR(AND(AUTOEVENTO="Manual",$M165=1),$M165&gt;(ROW(PLE.lastrow)-ROW(PLE.firstrow))),0,IF(OFFSET(PLE!$G$14,$M165,BW$13)="",10^12,OFFSET(PLE!$G$14,$M165,BW$13))))</f>
        <v>1000000000000</v>
      </c>
      <c r="BX165" s="216">
        <f ca="1">IF($D165&lt;&gt;"Serviço",0,IF(OR(AND(AUTOEVENTO="Manual",$M165=1),$M165&gt;(ROW(PLE.lastrow)-ROW(PLE.firstrow))),0,IF(OFFSET(PLE!$G$14,$M165,BX$13)="",10^12,OFFSET(PLE!$G$14,$M165,BX$13))))</f>
        <v>1000000000000</v>
      </c>
      <c r="BY165" s="216">
        <f ca="1">IF($D165&lt;&gt;"Serviço",0,IF(OR(AND(AUTOEVENTO="Manual",$M165=1),$M165&gt;(ROW(PLE.lastrow)-ROW(PLE.firstrow))),0,IF(OFFSET(PLE!$G$14,$M165,BY$13)="",10^12,OFFSET(PLE!$G$14,$M165,BY$13))))</f>
        <v>1000000000000</v>
      </c>
      <c r="BZ165" s="216">
        <f ca="1">IF($D165&lt;&gt;"Serviço",0,IF(OR(AND(AUTOEVENTO="Manual",$M165=1),$M165&gt;(ROW(PLE.lastrow)-ROW(PLE.firstrow))),0,IF(OFFSET(PLE!$G$14,$M165,BZ$13)="",10^12,OFFSET(PLE!$G$14,$M165,BZ$13))))</f>
        <v>1000000000000</v>
      </c>
      <c r="CA165" s="216">
        <f ca="1">IF($D165&lt;&gt;"Serviço",0,IF(OR(AND(AUTOEVENTO="Manual",$M165=1),$M165&gt;(ROW(PLE.lastrow)-ROW(PLE.firstrow))),0,IF(OFFSET(PLE!$G$14,$M165,CA$13)="",10^12,OFFSET(PLE!$G$14,$M165,CA$13))))</f>
        <v>1000000000000</v>
      </c>
      <c r="CB165" s="216">
        <f ca="1">IF($D165&lt;&gt;"Serviço",0,IF(OR(AND(AUTOEVENTO="Manual",$M165=1),$M165&gt;(ROW(PLE.lastrow)-ROW(PLE.firstrow))),0,IF(OFFSET(PLE!$G$14,$M165,CB$13)="",10^12,OFFSET(PLE!$G$14,$M165,CB$13))))</f>
        <v>1000000000000</v>
      </c>
      <c r="CC165" s="216">
        <f ca="1">IF($D165&lt;&gt;"Serviço",0,IF(OR(AND(AUTOEVENTO="Manual",$M165=1),$M165&gt;(ROW(PLE.lastrow)-ROW(PLE.firstrow))),0,IF(OFFSET(PLE!$G$14,$M165,CC$13)="",10^12,OFFSET(PLE!$G$14,$M165,CC$13))))</f>
        <v>1000000000000</v>
      </c>
      <c r="CD165" s="216">
        <f ca="1">IF($D165&lt;&gt;"Serviço",0,IF(OR(AND(AUTOEVENTO="Manual",$M165=1),$M165&gt;(ROW(PLE.lastrow)-ROW(PLE.firstrow))),0,IF(OFFSET(PLE!$G$14,$M165,CD$13)="",10^12,OFFSET(PLE!$G$14,$M165,CD$13))))</f>
        <v>1000000000000</v>
      </c>
      <c r="CE165" s="216">
        <f ca="1">IF($D165&lt;&gt;"Serviço",0,IF(OR(AND(AUTOEVENTO="Manual",$M165=1),$M165&gt;(ROW(PLE.lastrow)-ROW(PLE.firstrow))),0,IF(OFFSET(PLE!$G$14,$M165,CE$13)="",10^12,OFFSET(PLE!$G$14,$M165,CE$13))))</f>
        <v>1000000000000</v>
      </c>
      <c r="CF165" s="216">
        <f ca="1">IF($D165&lt;&gt;"Serviço",0,IF(OR(AND(AUTOEVENTO="Manual",$M165=1),$M165&gt;(ROW(PLE.lastrow)-ROW(PLE.firstrow))),0,IF(OFFSET(PLE!$G$14,$M165,CF$13)="",10^12,OFFSET(PLE!$G$14,$M165,CF$13))))</f>
        <v>1000000000000</v>
      </c>
      <c r="CG165" s="216">
        <f ca="1">IF($D165&lt;&gt;"Serviço",0,IF(OR(AND(AUTOEVENTO="Manual",$M165=1),$M165&gt;(ROW(PLE.lastrow)-ROW(PLE.firstrow))),0,IF(OFFSET(PLE!$G$14,$M165,CG$13)="",10^12,OFFSET(PLE!$G$14,$M165,CG$13))))</f>
        <v>1000000000000</v>
      </c>
      <c r="CH165" s="216">
        <f ca="1">IF($D165&lt;&gt;"Serviço",0,IF(OR(AND(AUTOEVENTO="Manual",$M165=1),$M165&gt;(ROW(PLE.lastrow)-ROW(PLE.firstrow))),0,IF(OFFSET(PLE!$G$14,$M165,CH$13)="",10^12,OFFSET(PLE!$G$14,$M165,CH$13))))</f>
        <v>1000000000000</v>
      </c>
      <c r="CI165" s="216">
        <f ca="1">IF($D165&lt;&gt;"Serviço",0,IF(OR(AND(AUTOEVENTO="Manual",$M165=1),$M165&gt;(ROW(PLE.lastrow)-ROW(PLE.firstrow))),0,IF(OFFSET(PLE!$G$14,$M165,CI$13)="",10^12,OFFSET(PLE!$G$14,$M165,CI$13))))</f>
        <v>1000000000000</v>
      </c>
      <c r="CJ165" s="216">
        <f ca="1">IF($D165&lt;&gt;"Serviço",0,IF(OR(AND(AUTOEVENTO="Manual",$M165=1),$M165&gt;(ROW(PLE.lastrow)-ROW(PLE.firstrow))),0,IF(OFFSET(PLE!$G$14,$M165,CJ$13)="",10^12,OFFSET(PLE!$G$14,$M165,CJ$13))))</f>
        <v>1000000000000</v>
      </c>
      <c r="CK165" s="216">
        <f ca="1">IF($D165&lt;&gt;"Serviço",0,IF(OR(AND(AUTOEVENTO="Manual",$M165=1),$M165&gt;(ROW(PLE.lastrow)-ROW(PLE.firstrow))),0,IF(OFFSET(PLE!$G$14,$M165,CK$13)="",10^12,OFFSET(PLE!$G$14,$M165,CK$13))))</f>
        <v>1000000000000</v>
      </c>
      <c r="CL165" s="216">
        <f ca="1">IF($D165&lt;&gt;"Serviço",0,IF(OR(AND(AUTOEVENTO="Manual",$M165=1),$M165&gt;(ROW(PLE.lastrow)-ROW(PLE.firstrow))),0,IF(OFFSET(PLE!$G$14,$M165,CL$13)="",10^12,OFFSET(PLE!$G$14,$M165,CL$13))))</f>
        <v>1000000000000</v>
      </c>
      <c r="CM165" s="216">
        <f ca="1">IF($D165&lt;&gt;"Serviço",0,IF(OR(AND(AUTOEVENTO="Manual",$M165=1),$M165&gt;(ROW(PLE.lastrow)-ROW(PLE.firstrow))),0,IF(OFFSET(PLE!$G$14,$M165,CM$13)="",10^12,OFFSET(PLE!$G$14,$M165,CM$13))))</f>
        <v>1000000000000</v>
      </c>
    </row>
    <row r="166" spans="1:91" ht="13.2" x14ac:dyDescent="0.25">
      <c r="A166" s="9">
        <f t="shared" ca="1" si="11"/>
        <v>0</v>
      </c>
      <c r="B166" s="9" t="str">
        <f ca="1">OFFSET(ORÇAMENTO!C$15,ROW(B166)-ROW(B$15),0)</f>
        <v>S</v>
      </c>
      <c r="C166" s="9" t="str">
        <f ca="1">OFFSET(ORÇAMENTO!L$15,ROW(C166)-ROW(C$15),0)</f>
        <v/>
      </c>
      <c r="D166" s="145" t="str">
        <f ca="1">OFFSET(ORÇAMENTO!N$15,ROW(D166)-ROW(D$15),0)</f>
        <v>Serviço</v>
      </c>
      <c r="E166" s="205" t="str">
        <f ca="1">OFFSET(ORÇAMENTO!O$15,ROW(E166)-ROW(E$15),0)</f>
        <v>-</v>
      </c>
      <c r="F166" s="206" t="str">
        <f ca="1">OFFSET(ORÇAMENTO!R$15,ROW(F166)-ROW(F$15),0)</f>
        <v>(abra o arquivo 'Referência 05-2024.xls)</v>
      </c>
      <c r="G166" s="207" t="str">
        <f ca="1">IF($D166&lt;&gt;"Serviço","",OFFSET(ORÇAMENTO!S$15,ROW(G166)-ROW(G$15),0))</f>
        <v>-</v>
      </c>
      <c r="H166" s="151">
        <f ca="1">IF($D166&lt;&gt;"Serviço",0,IF(ACOMPANHAMENTO="BM",ROUND(OFFSET(ORÇAMENTO!AJ$15,ROW(H166)-ROW(H$15),0),15-13*ORÇAMENTO!$AF$7),SUMPRODUCT(($Q$12:$AI$12&lt;&gt;"")*ROUND($Q166:$AI166,15-13*ORÇAMENTO!$AF$7))))</f>
        <v>168.28</v>
      </c>
      <c r="I166" s="650"/>
      <c r="K166" s="208"/>
      <c r="L166" s="209" t="s">
        <v>257</v>
      </c>
      <c r="M166" s="210">
        <f ca="1">IF($D166&lt;&gt;"Serviço","",IF(AUTOEVENTO="manual",$A166,IF(ISERROR(MATCH($A166,$A$15:OFFSET($A166,-1,0),0)),MAX($M$15:OFFSET(M166,-1,0))+1,INDEX($M$15:OFFSET(M166,-1,0),MATCH($A166,$A$15:OFFSET($A166,-1,0),0)))))</f>
        <v>0</v>
      </c>
      <c r="N166" s="211" t="str">
        <f ca="1">IF($D166&lt;&gt;"Serviço","",IF(AUTOEVENTO="Manual",IF($A166=0,"&lt;-- defina o número do agrupador",OFFSET(EVENTOS!$D$14,$A166,0)),OFFSET($F$15,$A166,0)))</f>
        <v>&lt;-- defina o número do agrupador</v>
      </c>
      <c r="O166" s="212"/>
      <c r="Q166" s="212"/>
      <c r="R166" s="213"/>
      <c r="S166" s="213"/>
      <c r="T166" s="213"/>
      <c r="U166" s="213"/>
      <c r="V166" s="213"/>
      <c r="W166" s="213"/>
      <c r="X166" s="213"/>
      <c r="Y166" s="213"/>
      <c r="Z166" s="214"/>
      <c r="AA166" s="213"/>
      <c r="AB166" s="213"/>
      <c r="AC166" s="213"/>
      <c r="AD166" s="213"/>
      <c r="AE166" s="213"/>
      <c r="AF166" s="213"/>
      <c r="AG166" s="213"/>
      <c r="AH166" s="214"/>
      <c r="AJ166" s="631">
        <f ca="1">IF(AND($D166="Serviço",AJ$12&lt;&gt;0,$H166&gt;0,OR(AUTOEVENTO&lt;&gt;"manual",$M166&lt;&gt;1)),ROUND(OFFSET($P166,0,AJ$13),15-13*ORÇAMENTO!$AF$7)/$H166*OFFSET(ORÇAMENTO!$X$15,ROW(AJ166)-ROW(AJ$15),0),0)</f>
        <v>0</v>
      </c>
      <c r="AK166" s="632">
        <f ca="1">IF(AND($D166="Serviço",AK$12&lt;&gt;0,$H166&gt;0,OR(AUTOEVENTO&lt;&gt;"manual",$M166&lt;&gt;1)),ROUND(OFFSET($P166,0,AK$13),15-13*ORÇAMENTO!$AF$7)/$H166*OFFSET(ORÇAMENTO!$X$15,ROW(AK166)-ROW(AK$15),0),0)</f>
        <v>0</v>
      </c>
      <c r="AL166" s="632">
        <f ca="1">IF(AND($D166="Serviço",AL$12&lt;&gt;0,$H166&gt;0,OR(AUTOEVENTO&lt;&gt;"manual",$M166&lt;&gt;1)),ROUND(OFFSET($P166,0,AL$13),15-13*ORÇAMENTO!$AF$7)/$H166*OFFSET(ORÇAMENTO!$X$15,ROW(AL166)-ROW(AL$15),0),0)</f>
        <v>0</v>
      </c>
      <c r="AM166" s="632">
        <f ca="1">IF(AND($D166="Serviço",AM$12&lt;&gt;0,$H166&gt;0,OR(AUTOEVENTO&lt;&gt;"manual",$M166&lt;&gt;1)),ROUND(OFFSET($P166,0,AM$13),15-13*ORÇAMENTO!$AF$7)/$H166*OFFSET(ORÇAMENTO!$X$15,ROW(AM166)-ROW(AM$15),0),0)</f>
        <v>0</v>
      </c>
      <c r="AN166" s="632">
        <f ca="1">IF(AND($D166="Serviço",AN$12&lt;&gt;0,$H166&gt;0,OR(AUTOEVENTO&lt;&gt;"manual",$M166&lt;&gt;1)),ROUND(OFFSET($P166,0,AN$13),15-13*ORÇAMENTO!$AF$7)/$H166*OFFSET(ORÇAMENTO!$X$15,ROW(AN166)-ROW(AN$15),0),0)</f>
        <v>0</v>
      </c>
      <c r="AO166" s="632">
        <f ca="1">IF(AND($D166="Serviço",AO$12&lt;&gt;0,$H166&gt;0,OR(AUTOEVENTO&lt;&gt;"manual",$M166&lt;&gt;1)),ROUND(OFFSET($P166,0,AO$13),15-13*ORÇAMENTO!$AF$7)/$H166*OFFSET(ORÇAMENTO!$X$15,ROW(AO166)-ROW(AO$15),0),0)</f>
        <v>0</v>
      </c>
      <c r="AP166" s="632">
        <f ca="1">IF(AND($D166="Serviço",AP$12&lt;&gt;0,$H166&gt;0,OR(AUTOEVENTO&lt;&gt;"manual",$M166&lt;&gt;1)),ROUND(OFFSET($P166,0,AP$13),15-13*ORÇAMENTO!$AF$7)/$H166*OFFSET(ORÇAMENTO!$X$15,ROW(AP166)-ROW(AP$15),0),0)</f>
        <v>0</v>
      </c>
      <c r="AQ166" s="632">
        <f ca="1">IF(AND($D166="Serviço",AQ$12&lt;&gt;0,$H166&gt;0,OR(AUTOEVENTO&lt;&gt;"manual",$M166&lt;&gt;1)),ROUND(OFFSET($P166,0,AQ$13),15-13*ORÇAMENTO!$AF$7)/$H166*OFFSET(ORÇAMENTO!$X$15,ROW(AQ166)-ROW(AQ$15),0),0)</f>
        <v>0</v>
      </c>
      <c r="AR166" s="632">
        <f ca="1">IF(AND($D166="Serviço",AR$12&lt;&gt;0,$H166&gt;0,OR(AUTOEVENTO&lt;&gt;"manual",$M166&lt;&gt;1)),ROUND(OFFSET($P166,0,AR$13),15-13*ORÇAMENTO!$AF$7)/$H166*OFFSET(ORÇAMENTO!$X$15,ROW(AR166)-ROW(AR$15),0),0)</f>
        <v>0</v>
      </c>
      <c r="AS166" s="633">
        <f ca="1">IF(AND($D166="Serviço",AS$12&lt;&gt;0,$H166&gt;0,OR(AUTOEVENTO&lt;&gt;"manual",$M166&lt;&gt;1)),ROUND(OFFSET($P166,0,AS$13),15-13*ORÇAMENTO!$AF$7)/$H166*OFFSET(ORÇAMENTO!$X$15,ROW(AS166)-ROW(AS$15),0),0)</f>
        <v>0</v>
      </c>
      <c r="AT166" s="632">
        <f ca="1">IF(AND($D166="Serviço",AT$12&lt;&gt;0,$H166&gt;0,OR(AUTOEVENTO&lt;&gt;"manual",$M166&lt;&gt;1)),ROUND(OFFSET($P166,0,AT$13),15-13*ORÇAMENTO!$AF$7)/$H166*OFFSET(ORÇAMENTO!$X$15,ROW(AT166)-ROW(AT$15),0),0)</f>
        <v>0</v>
      </c>
      <c r="AU166" s="632">
        <f ca="1">IF(AND($D166="Serviço",AU$12&lt;&gt;0,$H166&gt;0,OR(AUTOEVENTO&lt;&gt;"manual",$M166&lt;&gt;1)),ROUND(OFFSET($P166,0,AU$13),15-13*ORÇAMENTO!$AF$7)/$H166*OFFSET(ORÇAMENTO!$X$15,ROW(AU166)-ROW(AU$15),0),0)</f>
        <v>0</v>
      </c>
      <c r="AV166" s="632">
        <f ca="1">IF(AND($D166="Serviço",AV$12&lt;&gt;0,$H166&gt;0,OR(AUTOEVENTO&lt;&gt;"manual",$M166&lt;&gt;1)),ROUND(OFFSET($P166,0,AV$13),15-13*ORÇAMENTO!$AF$7)/$H166*OFFSET(ORÇAMENTO!$X$15,ROW(AV166)-ROW(AV$15),0),0)</f>
        <v>0</v>
      </c>
      <c r="AW166" s="632">
        <f ca="1">IF(AND($D166="Serviço",AW$12&lt;&gt;0,$H166&gt;0,OR(AUTOEVENTO&lt;&gt;"manual",$M166&lt;&gt;1)),ROUND(OFFSET($P166,0,AW$13),15-13*ORÇAMENTO!$AF$7)/$H166*OFFSET(ORÇAMENTO!$X$15,ROW(AW166)-ROW(AW$15),0),0)</f>
        <v>0</v>
      </c>
      <c r="AX166" s="632">
        <f ca="1">IF(AND($D166="Serviço",AX$12&lt;&gt;0,$H166&gt;0,OR(AUTOEVENTO&lt;&gt;"manual",$M166&lt;&gt;1)),ROUND(OFFSET($P166,0,AX$13),15-13*ORÇAMENTO!$AF$7)/$H166*OFFSET(ORÇAMENTO!$X$15,ROW(AX166)-ROW(AX$15),0),0)</f>
        <v>0</v>
      </c>
      <c r="AY166" s="632">
        <f ca="1">IF(AND($D166="Serviço",AY$12&lt;&gt;0,$H166&gt;0,OR(AUTOEVENTO&lt;&gt;"manual",$M166&lt;&gt;1)),ROUND(OFFSET($P166,0,AY$13),15-13*ORÇAMENTO!$AF$7)/$H166*OFFSET(ORÇAMENTO!$X$15,ROW(AY166)-ROW(AY$15),0),0)</f>
        <v>0</v>
      </c>
      <c r="AZ166" s="632">
        <f ca="1">IF(AND($D166="Serviço",AZ$12&lt;&gt;0,$H166&gt;0,OR(AUTOEVENTO&lt;&gt;"manual",$M166&lt;&gt;1)),ROUND(OFFSET($P166,0,AZ$13),15-13*ORÇAMENTO!$AF$7)/$H166*OFFSET(ORÇAMENTO!$X$15,ROW(AZ166)-ROW(AZ$15),0),0)</f>
        <v>0</v>
      </c>
      <c r="BA166" s="633">
        <f ca="1">IF(AND($D166="Serviço",BA$12&lt;&gt;0,$H166&gt;0,OR(AUTOEVENTO&lt;&gt;"manual",$M166&lt;&gt;1)),ROUND(OFFSET($P166,0,BA$13),15-13*ORÇAMENTO!$AF$7)/$H166*OFFSET(ORÇAMENTO!$X$15,ROW(BA166)-ROW(BA$15),0),0)</f>
        <v>0</v>
      </c>
      <c r="BC166" s="215">
        <f ca="1">IF($D166&lt;&gt;"Serviço",0,IF(AND(AUTOEVENTO="Manual",$M166=1),0,IF(OFFSET(CRONOPLE!$F$14,$M166,BC$13)="",10^12,OFFSET(CRONOPLE!$F$14,$M166,BC$13))))</f>
        <v>1000000000000</v>
      </c>
      <c r="BD166" s="215">
        <f ca="1">IF($D166&lt;&gt;"Serviço",0,IF(AND(AUTOEVENTO="Manual",$M166=1),0,IF(OFFSET(CRONOPLE!$F$14,$M166,BD$13)="",10^12,OFFSET(CRONOPLE!$F$14,$M166,BD$13))))</f>
        <v>1000000000000</v>
      </c>
      <c r="BE166" s="215">
        <f ca="1">IF($D166&lt;&gt;"Serviço",0,IF(AND(AUTOEVENTO="Manual",$M166=1),0,IF(OFFSET(CRONOPLE!$F$14,$M166,BE$13)="",10^12,OFFSET(CRONOPLE!$F$14,$M166,BE$13))))</f>
        <v>1000000000000</v>
      </c>
      <c r="BF166" s="215">
        <f ca="1">IF($D166&lt;&gt;"Serviço",0,IF(AND(AUTOEVENTO="Manual",$M166=1),0,IF(OFFSET(CRONOPLE!$F$14,$M166,BF$13)="",10^12,OFFSET(CRONOPLE!$F$14,$M166,BF$13))))</f>
        <v>1000000000000</v>
      </c>
      <c r="BG166" s="215">
        <f ca="1">IF($D166&lt;&gt;"Serviço",0,IF(AND(AUTOEVENTO="Manual",$M166=1),0,IF(OFFSET(CRONOPLE!$F$14,$M166,BG$13)="",10^12,OFFSET(CRONOPLE!$F$14,$M166,BG$13))))</f>
        <v>1000000000000</v>
      </c>
      <c r="BH166" s="215">
        <f ca="1">IF($D166&lt;&gt;"Serviço",0,IF(AND(AUTOEVENTO="Manual",$M166=1),0,IF(OFFSET(CRONOPLE!$F$14,$M166,BH$13)="",10^12,OFFSET(CRONOPLE!$F$14,$M166,BH$13))))</f>
        <v>1000000000000</v>
      </c>
      <c r="BI166" s="215">
        <f ca="1">IF($D166&lt;&gt;"Serviço",0,IF(AND(AUTOEVENTO="Manual",$M166=1),0,IF(OFFSET(CRONOPLE!$F$14,$M166,BI$13)="",10^12,OFFSET(CRONOPLE!$F$14,$M166,BI$13))))</f>
        <v>1000000000000</v>
      </c>
      <c r="BJ166" s="215">
        <f ca="1">IF($D166&lt;&gt;"Serviço",0,IF(AND(AUTOEVENTO="Manual",$M166=1),0,IF(OFFSET(CRONOPLE!$F$14,$M166,BJ$13)="",10^12,OFFSET(CRONOPLE!$F$14,$M166,BJ$13))))</f>
        <v>1000000000000</v>
      </c>
      <c r="BK166" s="215">
        <f ca="1">IF($D166&lt;&gt;"Serviço",0,IF(AND(AUTOEVENTO="Manual",$M166=1),0,IF(OFFSET(CRONOPLE!$F$14,$M166,BK$13)="",10^12,OFFSET(CRONOPLE!$F$14,$M166,BK$13))))</f>
        <v>1000000000000</v>
      </c>
      <c r="BL166" s="215">
        <f ca="1">IF($D166&lt;&gt;"Serviço",0,IF(AND(AUTOEVENTO="Manual",$M166=1),0,IF(OFFSET(CRONOPLE!$F$14,$M166,BL$13)="",10^12,OFFSET(CRONOPLE!$F$14,$M166,BL$13))))</f>
        <v>1000000000000</v>
      </c>
      <c r="BM166" s="215">
        <f ca="1">IF($D166&lt;&gt;"Serviço",0,IF(AND(AUTOEVENTO="Manual",$M166=1),0,IF(OFFSET(CRONOPLE!$F$14,$M166,BM$13)="",10^12,OFFSET(CRONOPLE!$F$14,$M166,BM$13))))</f>
        <v>1000000000000</v>
      </c>
      <c r="BN166" s="215">
        <f ca="1">IF($D166&lt;&gt;"Serviço",0,IF(AND(AUTOEVENTO="Manual",$M166=1),0,IF(OFFSET(CRONOPLE!$F$14,$M166,BN$13)="",10^12,OFFSET(CRONOPLE!$F$14,$M166,BN$13))))</f>
        <v>1000000000000</v>
      </c>
      <c r="BO166" s="215">
        <f ca="1">IF($D166&lt;&gt;"Serviço",0,IF(AND(AUTOEVENTO="Manual",$M166=1),0,IF(OFFSET(CRONOPLE!$F$14,$M166,BO$13)="",10^12,OFFSET(CRONOPLE!$F$14,$M166,BO$13))))</f>
        <v>1000000000000</v>
      </c>
      <c r="BP166" s="215">
        <f ca="1">IF($D166&lt;&gt;"Serviço",0,IF(AND(AUTOEVENTO="Manual",$M166=1),0,IF(OFFSET(CRONOPLE!$F$14,$M166,BP$13)="",10^12,OFFSET(CRONOPLE!$F$14,$M166,BP$13))))</f>
        <v>1000000000000</v>
      </c>
      <c r="BQ166" s="215">
        <f ca="1">IF($D166&lt;&gt;"Serviço",0,IF(AND(AUTOEVENTO="Manual",$M166=1),0,IF(OFFSET(CRONOPLE!$F$14,$M166,BQ$13)="",10^12,OFFSET(CRONOPLE!$F$14,$M166,BQ$13))))</f>
        <v>1000000000000</v>
      </c>
      <c r="BR166" s="215">
        <f ca="1">IF($D166&lt;&gt;"Serviço",0,IF(AND(AUTOEVENTO="Manual",$M166=1),0,IF(OFFSET(CRONOPLE!$F$14,$M166,BR$13)="",10^12,OFFSET(CRONOPLE!$F$14,$M166,BR$13))))</f>
        <v>1000000000000</v>
      </c>
      <c r="BS166" s="215">
        <f ca="1">IF($D166&lt;&gt;"Serviço",0,IF(AND(AUTOEVENTO="Manual",$M166=1),0,IF(OFFSET(CRONOPLE!$F$14,$M166,BS$13)="",10^12,OFFSET(CRONOPLE!$F$14,$M166,BS$13))))</f>
        <v>1000000000000</v>
      </c>
      <c r="BT166" s="215">
        <f ca="1">IF($D166&lt;&gt;"Serviço",0,IF(AND(AUTOEVENTO="Manual",$M166=1),0,IF(OFFSET(CRONOPLE!$F$14,$M166,BT$13)="",10^12,OFFSET(CRONOPLE!$F$14,$M166,BT$13))))</f>
        <v>1000000000000</v>
      </c>
      <c r="BV166" s="216">
        <f ca="1">IF($D166&lt;&gt;"Serviço",0,IF(OR(AND(AUTOEVENTO="Manual",$M166=1),$M166&gt;(ROW(PLE.lastrow)-ROW(PLE.firstrow))),0,IF(OFFSET(PLE!$G$14,$M166,BV$13)="",10^12,OFFSET(PLE!$G$14,$M166,BV$13))))</f>
        <v>1000000000000</v>
      </c>
      <c r="BW166" s="216">
        <f ca="1">IF($D166&lt;&gt;"Serviço",0,IF(OR(AND(AUTOEVENTO="Manual",$M166=1),$M166&gt;(ROW(PLE.lastrow)-ROW(PLE.firstrow))),0,IF(OFFSET(PLE!$G$14,$M166,BW$13)="",10^12,OFFSET(PLE!$G$14,$M166,BW$13))))</f>
        <v>1000000000000</v>
      </c>
      <c r="BX166" s="216">
        <f ca="1">IF($D166&lt;&gt;"Serviço",0,IF(OR(AND(AUTOEVENTO="Manual",$M166=1),$M166&gt;(ROW(PLE.lastrow)-ROW(PLE.firstrow))),0,IF(OFFSET(PLE!$G$14,$M166,BX$13)="",10^12,OFFSET(PLE!$G$14,$M166,BX$13))))</f>
        <v>1000000000000</v>
      </c>
      <c r="BY166" s="216">
        <f ca="1">IF($D166&lt;&gt;"Serviço",0,IF(OR(AND(AUTOEVENTO="Manual",$M166=1),$M166&gt;(ROW(PLE.lastrow)-ROW(PLE.firstrow))),0,IF(OFFSET(PLE!$G$14,$M166,BY$13)="",10^12,OFFSET(PLE!$G$14,$M166,BY$13))))</f>
        <v>1000000000000</v>
      </c>
      <c r="BZ166" s="216">
        <f ca="1">IF($D166&lt;&gt;"Serviço",0,IF(OR(AND(AUTOEVENTO="Manual",$M166=1),$M166&gt;(ROW(PLE.lastrow)-ROW(PLE.firstrow))),0,IF(OFFSET(PLE!$G$14,$M166,BZ$13)="",10^12,OFFSET(PLE!$G$14,$M166,BZ$13))))</f>
        <v>1000000000000</v>
      </c>
      <c r="CA166" s="216">
        <f ca="1">IF($D166&lt;&gt;"Serviço",0,IF(OR(AND(AUTOEVENTO="Manual",$M166=1),$M166&gt;(ROW(PLE.lastrow)-ROW(PLE.firstrow))),0,IF(OFFSET(PLE!$G$14,$M166,CA$13)="",10^12,OFFSET(PLE!$G$14,$M166,CA$13))))</f>
        <v>1000000000000</v>
      </c>
      <c r="CB166" s="216">
        <f ca="1">IF($D166&lt;&gt;"Serviço",0,IF(OR(AND(AUTOEVENTO="Manual",$M166=1),$M166&gt;(ROW(PLE.lastrow)-ROW(PLE.firstrow))),0,IF(OFFSET(PLE!$G$14,$M166,CB$13)="",10^12,OFFSET(PLE!$G$14,$M166,CB$13))))</f>
        <v>1000000000000</v>
      </c>
      <c r="CC166" s="216">
        <f ca="1">IF($D166&lt;&gt;"Serviço",0,IF(OR(AND(AUTOEVENTO="Manual",$M166=1),$M166&gt;(ROW(PLE.lastrow)-ROW(PLE.firstrow))),0,IF(OFFSET(PLE!$G$14,$M166,CC$13)="",10^12,OFFSET(PLE!$G$14,$M166,CC$13))))</f>
        <v>1000000000000</v>
      </c>
      <c r="CD166" s="216">
        <f ca="1">IF($D166&lt;&gt;"Serviço",0,IF(OR(AND(AUTOEVENTO="Manual",$M166=1),$M166&gt;(ROW(PLE.lastrow)-ROW(PLE.firstrow))),0,IF(OFFSET(PLE!$G$14,$M166,CD$13)="",10^12,OFFSET(PLE!$G$14,$M166,CD$13))))</f>
        <v>1000000000000</v>
      </c>
      <c r="CE166" s="216">
        <f ca="1">IF($D166&lt;&gt;"Serviço",0,IF(OR(AND(AUTOEVENTO="Manual",$M166=1),$M166&gt;(ROW(PLE.lastrow)-ROW(PLE.firstrow))),0,IF(OFFSET(PLE!$G$14,$M166,CE$13)="",10^12,OFFSET(PLE!$G$14,$M166,CE$13))))</f>
        <v>1000000000000</v>
      </c>
      <c r="CF166" s="216">
        <f ca="1">IF($D166&lt;&gt;"Serviço",0,IF(OR(AND(AUTOEVENTO="Manual",$M166=1),$M166&gt;(ROW(PLE.lastrow)-ROW(PLE.firstrow))),0,IF(OFFSET(PLE!$G$14,$M166,CF$13)="",10^12,OFFSET(PLE!$G$14,$M166,CF$13))))</f>
        <v>1000000000000</v>
      </c>
      <c r="CG166" s="216">
        <f ca="1">IF($D166&lt;&gt;"Serviço",0,IF(OR(AND(AUTOEVENTO="Manual",$M166=1),$M166&gt;(ROW(PLE.lastrow)-ROW(PLE.firstrow))),0,IF(OFFSET(PLE!$G$14,$M166,CG$13)="",10^12,OFFSET(PLE!$G$14,$M166,CG$13))))</f>
        <v>1000000000000</v>
      </c>
      <c r="CH166" s="216">
        <f ca="1">IF($D166&lt;&gt;"Serviço",0,IF(OR(AND(AUTOEVENTO="Manual",$M166=1),$M166&gt;(ROW(PLE.lastrow)-ROW(PLE.firstrow))),0,IF(OFFSET(PLE!$G$14,$M166,CH$13)="",10^12,OFFSET(PLE!$G$14,$M166,CH$13))))</f>
        <v>1000000000000</v>
      </c>
      <c r="CI166" s="216">
        <f ca="1">IF($D166&lt;&gt;"Serviço",0,IF(OR(AND(AUTOEVENTO="Manual",$M166=1),$M166&gt;(ROW(PLE.lastrow)-ROW(PLE.firstrow))),0,IF(OFFSET(PLE!$G$14,$M166,CI$13)="",10^12,OFFSET(PLE!$G$14,$M166,CI$13))))</f>
        <v>1000000000000</v>
      </c>
      <c r="CJ166" s="216">
        <f ca="1">IF($D166&lt;&gt;"Serviço",0,IF(OR(AND(AUTOEVENTO="Manual",$M166=1),$M166&gt;(ROW(PLE.lastrow)-ROW(PLE.firstrow))),0,IF(OFFSET(PLE!$G$14,$M166,CJ$13)="",10^12,OFFSET(PLE!$G$14,$M166,CJ$13))))</f>
        <v>1000000000000</v>
      </c>
      <c r="CK166" s="216">
        <f ca="1">IF($D166&lt;&gt;"Serviço",0,IF(OR(AND(AUTOEVENTO="Manual",$M166=1),$M166&gt;(ROW(PLE.lastrow)-ROW(PLE.firstrow))),0,IF(OFFSET(PLE!$G$14,$M166,CK$13)="",10^12,OFFSET(PLE!$G$14,$M166,CK$13))))</f>
        <v>1000000000000</v>
      </c>
      <c r="CL166" s="216">
        <f ca="1">IF($D166&lt;&gt;"Serviço",0,IF(OR(AND(AUTOEVENTO="Manual",$M166=1),$M166&gt;(ROW(PLE.lastrow)-ROW(PLE.firstrow))),0,IF(OFFSET(PLE!$G$14,$M166,CL$13)="",10^12,OFFSET(PLE!$G$14,$M166,CL$13))))</f>
        <v>1000000000000</v>
      </c>
      <c r="CM166" s="216">
        <f ca="1">IF($D166&lt;&gt;"Serviço",0,IF(OR(AND(AUTOEVENTO="Manual",$M166=1),$M166&gt;(ROW(PLE.lastrow)-ROW(PLE.firstrow))),0,IF(OFFSET(PLE!$G$14,$M166,CM$13)="",10^12,OFFSET(PLE!$G$14,$M166,CM$13))))</f>
        <v>1000000000000</v>
      </c>
    </row>
    <row r="167" spans="1:91" ht="13.2" x14ac:dyDescent="0.25">
      <c r="A167" s="9">
        <f t="shared" ca="1" si="11"/>
        <v>0</v>
      </c>
      <c r="B167" s="9">
        <f ca="1">OFFSET(ORÇAMENTO!C$15,ROW(B167)-ROW(B$15),0)</f>
        <v>3</v>
      </c>
      <c r="C167" s="9" t="str">
        <f ca="1">OFFSET(ORÇAMENTO!L$15,ROW(C167)-ROW(C$15),0)</f>
        <v>F</v>
      </c>
      <c r="D167" s="145" t="str">
        <f ca="1">OFFSET(ORÇAMENTO!N$15,ROW(D167)-ROW(D$15),0)</f>
        <v>Nível 3</v>
      </c>
      <c r="E167" s="205" t="str">
        <f ca="1">OFFSET(ORÇAMENTO!O$15,ROW(E167)-ROW(E$15),0)</f>
        <v>1.5.4.</v>
      </c>
      <c r="F167" s="206" t="str">
        <f ca="1">OFFSET(ORÇAMENTO!R$15,ROW(F167)-ROW(F$15),0)</f>
        <v>ALVENARIA DE VEDAÇÃO - MURO</v>
      </c>
      <c r="G167" s="207" t="str">
        <f ca="1">IF($D167&lt;&gt;"Serviço","",OFFSET(ORÇAMENTO!S$15,ROW(G167)-ROW(G$15),0))</f>
        <v/>
      </c>
      <c r="H167" s="151">
        <f ca="1">IF($D167&lt;&gt;"Serviço",0,IF(ACOMPANHAMENTO="BM",ROUND(OFFSET(ORÇAMENTO!AJ$15,ROW(H167)-ROW(H$15),0),15-13*ORÇAMENTO!$AF$7),SUMPRODUCT(($Q$12:$AI$12&lt;&gt;"")*ROUND($Q167:$AI167,15-13*ORÇAMENTO!$AF$7))))</f>
        <v>0</v>
      </c>
      <c r="I167" s="650"/>
      <c r="K167" s="208"/>
      <c r="L167" s="209" t="s">
        <v>257</v>
      </c>
      <c r="M167" s="210" t="str">
        <f ca="1">IF($D167&lt;&gt;"Serviço","",IF(AUTOEVENTO="manual",$A167,IF(ISERROR(MATCH($A167,$A$15:OFFSET($A167,-1,0),0)),MAX($M$15:OFFSET(M167,-1,0))+1,INDEX($M$15:OFFSET(M167,-1,0),MATCH($A167,$A$15:OFFSET($A167,-1,0),0)))))</f>
        <v/>
      </c>
      <c r="N167" s="211" t="str">
        <f ca="1">IF($D167&lt;&gt;"Serviço","",IF(AUTOEVENTO="Manual",IF($A167=0,"&lt;-- defina o número do agrupador",OFFSET(EVENTOS!$D$14,$A167,0)),OFFSET($F$15,$A167,0)))</f>
        <v/>
      </c>
      <c r="O167" s="212"/>
      <c r="Q167" s="212"/>
      <c r="R167" s="213"/>
      <c r="S167" s="213"/>
      <c r="T167" s="213"/>
      <c r="U167" s="213"/>
      <c r="V167" s="213"/>
      <c r="W167" s="213"/>
      <c r="X167" s="213"/>
      <c r="Y167" s="213"/>
      <c r="Z167" s="214"/>
      <c r="AA167" s="213"/>
      <c r="AB167" s="213"/>
      <c r="AC167" s="213"/>
      <c r="AD167" s="213"/>
      <c r="AE167" s="213"/>
      <c r="AF167" s="213"/>
      <c r="AG167" s="213"/>
      <c r="AH167" s="214"/>
      <c r="AJ167" s="631">
        <f ca="1">IF(AND($D167="Serviço",AJ$12&lt;&gt;0,$H167&gt;0,OR(AUTOEVENTO&lt;&gt;"manual",$M167&lt;&gt;1)),ROUND(OFFSET($P167,0,AJ$13),15-13*ORÇAMENTO!$AF$7)/$H167*OFFSET(ORÇAMENTO!$X$15,ROW(AJ167)-ROW(AJ$15),0),0)</f>
        <v>0</v>
      </c>
      <c r="AK167" s="632">
        <f ca="1">IF(AND($D167="Serviço",AK$12&lt;&gt;0,$H167&gt;0,OR(AUTOEVENTO&lt;&gt;"manual",$M167&lt;&gt;1)),ROUND(OFFSET($P167,0,AK$13),15-13*ORÇAMENTO!$AF$7)/$H167*OFFSET(ORÇAMENTO!$X$15,ROW(AK167)-ROW(AK$15),0),0)</f>
        <v>0</v>
      </c>
      <c r="AL167" s="632">
        <f ca="1">IF(AND($D167="Serviço",AL$12&lt;&gt;0,$H167&gt;0,OR(AUTOEVENTO&lt;&gt;"manual",$M167&lt;&gt;1)),ROUND(OFFSET($P167,0,AL$13),15-13*ORÇAMENTO!$AF$7)/$H167*OFFSET(ORÇAMENTO!$X$15,ROW(AL167)-ROW(AL$15),0),0)</f>
        <v>0</v>
      </c>
      <c r="AM167" s="632">
        <f ca="1">IF(AND($D167="Serviço",AM$12&lt;&gt;0,$H167&gt;0,OR(AUTOEVENTO&lt;&gt;"manual",$M167&lt;&gt;1)),ROUND(OFFSET($P167,0,AM$13),15-13*ORÇAMENTO!$AF$7)/$H167*OFFSET(ORÇAMENTO!$X$15,ROW(AM167)-ROW(AM$15),0),0)</f>
        <v>0</v>
      </c>
      <c r="AN167" s="632">
        <f ca="1">IF(AND($D167="Serviço",AN$12&lt;&gt;0,$H167&gt;0,OR(AUTOEVENTO&lt;&gt;"manual",$M167&lt;&gt;1)),ROUND(OFFSET($P167,0,AN$13),15-13*ORÇAMENTO!$AF$7)/$H167*OFFSET(ORÇAMENTO!$X$15,ROW(AN167)-ROW(AN$15),0),0)</f>
        <v>0</v>
      </c>
      <c r="AO167" s="632">
        <f ca="1">IF(AND($D167="Serviço",AO$12&lt;&gt;0,$H167&gt;0,OR(AUTOEVENTO&lt;&gt;"manual",$M167&lt;&gt;1)),ROUND(OFFSET($P167,0,AO$13),15-13*ORÇAMENTO!$AF$7)/$H167*OFFSET(ORÇAMENTO!$X$15,ROW(AO167)-ROW(AO$15),0),0)</f>
        <v>0</v>
      </c>
      <c r="AP167" s="632">
        <f ca="1">IF(AND($D167="Serviço",AP$12&lt;&gt;0,$H167&gt;0,OR(AUTOEVENTO&lt;&gt;"manual",$M167&lt;&gt;1)),ROUND(OFFSET($P167,0,AP$13),15-13*ORÇAMENTO!$AF$7)/$H167*OFFSET(ORÇAMENTO!$X$15,ROW(AP167)-ROW(AP$15),0),0)</f>
        <v>0</v>
      </c>
      <c r="AQ167" s="632">
        <f ca="1">IF(AND($D167="Serviço",AQ$12&lt;&gt;0,$H167&gt;0,OR(AUTOEVENTO&lt;&gt;"manual",$M167&lt;&gt;1)),ROUND(OFFSET($P167,0,AQ$13),15-13*ORÇAMENTO!$AF$7)/$H167*OFFSET(ORÇAMENTO!$X$15,ROW(AQ167)-ROW(AQ$15),0),0)</f>
        <v>0</v>
      </c>
      <c r="AR167" s="632">
        <f ca="1">IF(AND($D167="Serviço",AR$12&lt;&gt;0,$H167&gt;0,OR(AUTOEVENTO&lt;&gt;"manual",$M167&lt;&gt;1)),ROUND(OFFSET($P167,0,AR$13),15-13*ORÇAMENTO!$AF$7)/$H167*OFFSET(ORÇAMENTO!$X$15,ROW(AR167)-ROW(AR$15),0),0)</f>
        <v>0</v>
      </c>
      <c r="AS167" s="633">
        <f ca="1">IF(AND($D167="Serviço",AS$12&lt;&gt;0,$H167&gt;0,OR(AUTOEVENTO&lt;&gt;"manual",$M167&lt;&gt;1)),ROUND(OFFSET($P167,0,AS$13),15-13*ORÇAMENTO!$AF$7)/$H167*OFFSET(ORÇAMENTO!$X$15,ROW(AS167)-ROW(AS$15),0),0)</f>
        <v>0</v>
      </c>
      <c r="AT167" s="632">
        <f ca="1">IF(AND($D167="Serviço",AT$12&lt;&gt;0,$H167&gt;0,OR(AUTOEVENTO&lt;&gt;"manual",$M167&lt;&gt;1)),ROUND(OFFSET($P167,0,AT$13),15-13*ORÇAMENTO!$AF$7)/$H167*OFFSET(ORÇAMENTO!$X$15,ROW(AT167)-ROW(AT$15),0),0)</f>
        <v>0</v>
      </c>
      <c r="AU167" s="632">
        <f ca="1">IF(AND($D167="Serviço",AU$12&lt;&gt;0,$H167&gt;0,OR(AUTOEVENTO&lt;&gt;"manual",$M167&lt;&gt;1)),ROUND(OFFSET($P167,0,AU$13),15-13*ORÇAMENTO!$AF$7)/$H167*OFFSET(ORÇAMENTO!$X$15,ROW(AU167)-ROW(AU$15),0),0)</f>
        <v>0</v>
      </c>
      <c r="AV167" s="632">
        <f ca="1">IF(AND($D167="Serviço",AV$12&lt;&gt;0,$H167&gt;0,OR(AUTOEVENTO&lt;&gt;"manual",$M167&lt;&gt;1)),ROUND(OFFSET($P167,0,AV$13),15-13*ORÇAMENTO!$AF$7)/$H167*OFFSET(ORÇAMENTO!$X$15,ROW(AV167)-ROW(AV$15),0),0)</f>
        <v>0</v>
      </c>
      <c r="AW167" s="632">
        <f ca="1">IF(AND($D167="Serviço",AW$12&lt;&gt;0,$H167&gt;0,OR(AUTOEVENTO&lt;&gt;"manual",$M167&lt;&gt;1)),ROUND(OFFSET($P167,0,AW$13),15-13*ORÇAMENTO!$AF$7)/$H167*OFFSET(ORÇAMENTO!$X$15,ROW(AW167)-ROW(AW$15),0),0)</f>
        <v>0</v>
      </c>
      <c r="AX167" s="632">
        <f ca="1">IF(AND($D167="Serviço",AX$12&lt;&gt;0,$H167&gt;0,OR(AUTOEVENTO&lt;&gt;"manual",$M167&lt;&gt;1)),ROUND(OFFSET($P167,0,AX$13),15-13*ORÇAMENTO!$AF$7)/$H167*OFFSET(ORÇAMENTO!$X$15,ROW(AX167)-ROW(AX$15),0),0)</f>
        <v>0</v>
      </c>
      <c r="AY167" s="632">
        <f ca="1">IF(AND($D167="Serviço",AY$12&lt;&gt;0,$H167&gt;0,OR(AUTOEVENTO&lt;&gt;"manual",$M167&lt;&gt;1)),ROUND(OFFSET($P167,0,AY$13),15-13*ORÇAMENTO!$AF$7)/$H167*OFFSET(ORÇAMENTO!$X$15,ROW(AY167)-ROW(AY$15),0),0)</f>
        <v>0</v>
      </c>
      <c r="AZ167" s="632">
        <f ca="1">IF(AND($D167="Serviço",AZ$12&lt;&gt;0,$H167&gt;0,OR(AUTOEVENTO&lt;&gt;"manual",$M167&lt;&gt;1)),ROUND(OFFSET($P167,0,AZ$13),15-13*ORÇAMENTO!$AF$7)/$H167*OFFSET(ORÇAMENTO!$X$15,ROW(AZ167)-ROW(AZ$15),0),0)</f>
        <v>0</v>
      </c>
      <c r="BA167" s="633">
        <f ca="1">IF(AND($D167="Serviço",BA$12&lt;&gt;0,$H167&gt;0,OR(AUTOEVENTO&lt;&gt;"manual",$M167&lt;&gt;1)),ROUND(OFFSET($P167,0,BA$13),15-13*ORÇAMENTO!$AF$7)/$H167*OFFSET(ORÇAMENTO!$X$15,ROW(BA167)-ROW(BA$15),0),0)</f>
        <v>0</v>
      </c>
      <c r="BC167" s="215">
        <f ca="1">IF($D167&lt;&gt;"Serviço",0,IF(AND(AUTOEVENTO="Manual",$M167=1),0,IF(OFFSET(CRONOPLE!$F$14,$M167,BC$13)="",10^12,OFFSET(CRONOPLE!$F$14,$M167,BC$13))))</f>
        <v>0</v>
      </c>
      <c r="BD167" s="215">
        <f ca="1">IF($D167&lt;&gt;"Serviço",0,IF(AND(AUTOEVENTO="Manual",$M167=1),0,IF(OFFSET(CRONOPLE!$F$14,$M167,BD$13)="",10^12,OFFSET(CRONOPLE!$F$14,$M167,BD$13))))</f>
        <v>0</v>
      </c>
      <c r="BE167" s="215">
        <f ca="1">IF($D167&lt;&gt;"Serviço",0,IF(AND(AUTOEVENTO="Manual",$M167=1),0,IF(OFFSET(CRONOPLE!$F$14,$M167,BE$13)="",10^12,OFFSET(CRONOPLE!$F$14,$M167,BE$13))))</f>
        <v>0</v>
      </c>
      <c r="BF167" s="215">
        <f ca="1">IF($D167&lt;&gt;"Serviço",0,IF(AND(AUTOEVENTO="Manual",$M167=1),0,IF(OFFSET(CRONOPLE!$F$14,$M167,BF$13)="",10^12,OFFSET(CRONOPLE!$F$14,$M167,BF$13))))</f>
        <v>0</v>
      </c>
      <c r="BG167" s="215">
        <f ca="1">IF($D167&lt;&gt;"Serviço",0,IF(AND(AUTOEVENTO="Manual",$M167=1),0,IF(OFFSET(CRONOPLE!$F$14,$M167,BG$13)="",10^12,OFFSET(CRONOPLE!$F$14,$M167,BG$13))))</f>
        <v>0</v>
      </c>
      <c r="BH167" s="215">
        <f ca="1">IF($D167&lt;&gt;"Serviço",0,IF(AND(AUTOEVENTO="Manual",$M167=1),0,IF(OFFSET(CRONOPLE!$F$14,$M167,BH$13)="",10^12,OFFSET(CRONOPLE!$F$14,$M167,BH$13))))</f>
        <v>0</v>
      </c>
      <c r="BI167" s="215">
        <f ca="1">IF($D167&lt;&gt;"Serviço",0,IF(AND(AUTOEVENTO="Manual",$M167=1),0,IF(OFFSET(CRONOPLE!$F$14,$M167,BI$13)="",10^12,OFFSET(CRONOPLE!$F$14,$M167,BI$13))))</f>
        <v>0</v>
      </c>
      <c r="BJ167" s="215">
        <f ca="1">IF($D167&lt;&gt;"Serviço",0,IF(AND(AUTOEVENTO="Manual",$M167=1),0,IF(OFFSET(CRONOPLE!$F$14,$M167,BJ$13)="",10^12,OFFSET(CRONOPLE!$F$14,$M167,BJ$13))))</f>
        <v>0</v>
      </c>
      <c r="BK167" s="215">
        <f ca="1">IF($D167&lt;&gt;"Serviço",0,IF(AND(AUTOEVENTO="Manual",$M167=1),0,IF(OFFSET(CRONOPLE!$F$14,$M167,BK$13)="",10^12,OFFSET(CRONOPLE!$F$14,$M167,BK$13))))</f>
        <v>0</v>
      </c>
      <c r="BL167" s="215">
        <f ca="1">IF($D167&lt;&gt;"Serviço",0,IF(AND(AUTOEVENTO="Manual",$M167=1),0,IF(OFFSET(CRONOPLE!$F$14,$M167,BL$13)="",10^12,OFFSET(CRONOPLE!$F$14,$M167,BL$13))))</f>
        <v>0</v>
      </c>
      <c r="BM167" s="215">
        <f ca="1">IF($D167&lt;&gt;"Serviço",0,IF(AND(AUTOEVENTO="Manual",$M167=1),0,IF(OFFSET(CRONOPLE!$F$14,$M167,BM$13)="",10^12,OFFSET(CRONOPLE!$F$14,$M167,BM$13))))</f>
        <v>0</v>
      </c>
      <c r="BN167" s="215">
        <f ca="1">IF($D167&lt;&gt;"Serviço",0,IF(AND(AUTOEVENTO="Manual",$M167=1),0,IF(OFFSET(CRONOPLE!$F$14,$M167,BN$13)="",10^12,OFFSET(CRONOPLE!$F$14,$M167,BN$13))))</f>
        <v>0</v>
      </c>
      <c r="BO167" s="215">
        <f ca="1">IF($D167&lt;&gt;"Serviço",0,IF(AND(AUTOEVENTO="Manual",$M167=1),0,IF(OFFSET(CRONOPLE!$F$14,$M167,BO$13)="",10^12,OFFSET(CRONOPLE!$F$14,$M167,BO$13))))</f>
        <v>0</v>
      </c>
      <c r="BP167" s="215">
        <f ca="1">IF($D167&lt;&gt;"Serviço",0,IF(AND(AUTOEVENTO="Manual",$M167=1),0,IF(OFFSET(CRONOPLE!$F$14,$M167,BP$13)="",10^12,OFFSET(CRONOPLE!$F$14,$M167,BP$13))))</f>
        <v>0</v>
      </c>
      <c r="BQ167" s="215">
        <f ca="1">IF($D167&lt;&gt;"Serviço",0,IF(AND(AUTOEVENTO="Manual",$M167=1),0,IF(OFFSET(CRONOPLE!$F$14,$M167,BQ$13)="",10^12,OFFSET(CRONOPLE!$F$14,$M167,BQ$13))))</f>
        <v>0</v>
      </c>
      <c r="BR167" s="215">
        <f ca="1">IF($D167&lt;&gt;"Serviço",0,IF(AND(AUTOEVENTO="Manual",$M167=1),0,IF(OFFSET(CRONOPLE!$F$14,$M167,BR$13)="",10^12,OFFSET(CRONOPLE!$F$14,$M167,BR$13))))</f>
        <v>0</v>
      </c>
      <c r="BS167" s="215">
        <f ca="1">IF($D167&lt;&gt;"Serviço",0,IF(AND(AUTOEVENTO="Manual",$M167=1),0,IF(OFFSET(CRONOPLE!$F$14,$M167,BS$13)="",10^12,OFFSET(CRONOPLE!$F$14,$M167,BS$13))))</f>
        <v>0</v>
      </c>
      <c r="BT167" s="215">
        <f ca="1">IF($D167&lt;&gt;"Serviço",0,IF(AND(AUTOEVENTO="Manual",$M167=1),0,IF(OFFSET(CRONOPLE!$F$14,$M167,BT$13)="",10^12,OFFSET(CRONOPLE!$F$14,$M167,BT$13))))</f>
        <v>0</v>
      </c>
      <c r="BV167" s="216">
        <f ca="1">IF($D167&lt;&gt;"Serviço",0,IF(OR(AND(AUTOEVENTO="Manual",$M167=1),$M167&gt;(ROW(PLE.lastrow)-ROW(PLE.firstrow))),0,IF(OFFSET(PLE!$G$14,$M167,BV$13)="",10^12,OFFSET(PLE!$G$14,$M167,BV$13))))</f>
        <v>0</v>
      </c>
      <c r="BW167" s="216">
        <f ca="1">IF($D167&lt;&gt;"Serviço",0,IF(OR(AND(AUTOEVENTO="Manual",$M167=1),$M167&gt;(ROW(PLE.lastrow)-ROW(PLE.firstrow))),0,IF(OFFSET(PLE!$G$14,$M167,BW$13)="",10^12,OFFSET(PLE!$G$14,$M167,BW$13))))</f>
        <v>0</v>
      </c>
      <c r="BX167" s="216">
        <f ca="1">IF($D167&lt;&gt;"Serviço",0,IF(OR(AND(AUTOEVENTO="Manual",$M167=1),$M167&gt;(ROW(PLE.lastrow)-ROW(PLE.firstrow))),0,IF(OFFSET(PLE!$G$14,$M167,BX$13)="",10^12,OFFSET(PLE!$G$14,$M167,BX$13))))</f>
        <v>0</v>
      </c>
      <c r="BY167" s="216">
        <f ca="1">IF($D167&lt;&gt;"Serviço",0,IF(OR(AND(AUTOEVENTO="Manual",$M167=1),$M167&gt;(ROW(PLE.lastrow)-ROW(PLE.firstrow))),0,IF(OFFSET(PLE!$G$14,$M167,BY$13)="",10^12,OFFSET(PLE!$G$14,$M167,BY$13))))</f>
        <v>0</v>
      </c>
      <c r="BZ167" s="216">
        <f ca="1">IF($D167&lt;&gt;"Serviço",0,IF(OR(AND(AUTOEVENTO="Manual",$M167=1),$M167&gt;(ROW(PLE.lastrow)-ROW(PLE.firstrow))),0,IF(OFFSET(PLE!$G$14,$M167,BZ$13)="",10^12,OFFSET(PLE!$G$14,$M167,BZ$13))))</f>
        <v>0</v>
      </c>
      <c r="CA167" s="216">
        <f ca="1">IF($D167&lt;&gt;"Serviço",0,IF(OR(AND(AUTOEVENTO="Manual",$M167=1),$M167&gt;(ROW(PLE.lastrow)-ROW(PLE.firstrow))),0,IF(OFFSET(PLE!$G$14,$M167,CA$13)="",10^12,OFFSET(PLE!$G$14,$M167,CA$13))))</f>
        <v>0</v>
      </c>
      <c r="CB167" s="216">
        <f ca="1">IF($D167&lt;&gt;"Serviço",0,IF(OR(AND(AUTOEVENTO="Manual",$M167=1),$M167&gt;(ROW(PLE.lastrow)-ROW(PLE.firstrow))),0,IF(OFFSET(PLE!$G$14,$M167,CB$13)="",10^12,OFFSET(PLE!$G$14,$M167,CB$13))))</f>
        <v>0</v>
      </c>
      <c r="CC167" s="216">
        <f ca="1">IF($D167&lt;&gt;"Serviço",0,IF(OR(AND(AUTOEVENTO="Manual",$M167=1),$M167&gt;(ROW(PLE.lastrow)-ROW(PLE.firstrow))),0,IF(OFFSET(PLE!$G$14,$M167,CC$13)="",10^12,OFFSET(PLE!$G$14,$M167,CC$13))))</f>
        <v>0</v>
      </c>
      <c r="CD167" s="216">
        <f ca="1">IF($D167&lt;&gt;"Serviço",0,IF(OR(AND(AUTOEVENTO="Manual",$M167=1),$M167&gt;(ROW(PLE.lastrow)-ROW(PLE.firstrow))),0,IF(OFFSET(PLE!$G$14,$M167,CD$13)="",10^12,OFFSET(PLE!$G$14,$M167,CD$13))))</f>
        <v>0</v>
      </c>
      <c r="CE167" s="216">
        <f ca="1">IF($D167&lt;&gt;"Serviço",0,IF(OR(AND(AUTOEVENTO="Manual",$M167=1),$M167&gt;(ROW(PLE.lastrow)-ROW(PLE.firstrow))),0,IF(OFFSET(PLE!$G$14,$M167,CE$13)="",10^12,OFFSET(PLE!$G$14,$M167,CE$13))))</f>
        <v>0</v>
      </c>
      <c r="CF167" s="216">
        <f ca="1">IF($D167&lt;&gt;"Serviço",0,IF(OR(AND(AUTOEVENTO="Manual",$M167=1),$M167&gt;(ROW(PLE.lastrow)-ROW(PLE.firstrow))),0,IF(OFFSET(PLE!$G$14,$M167,CF$13)="",10^12,OFFSET(PLE!$G$14,$M167,CF$13))))</f>
        <v>0</v>
      </c>
      <c r="CG167" s="216">
        <f ca="1">IF($D167&lt;&gt;"Serviço",0,IF(OR(AND(AUTOEVENTO="Manual",$M167=1),$M167&gt;(ROW(PLE.lastrow)-ROW(PLE.firstrow))),0,IF(OFFSET(PLE!$G$14,$M167,CG$13)="",10^12,OFFSET(PLE!$G$14,$M167,CG$13))))</f>
        <v>0</v>
      </c>
      <c r="CH167" s="216">
        <f ca="1">IF($D167&lt;&gt;"Serviço",0,IF(OR(AND(AUTOEVENTO="Manual",$M167=1),$M167&gt;(ROW(PLE.lastrow)-ROW(PLE.firstrow))),0,IF(OFFSET(PLE!$G$14,$M167,CH$13)="",10^12,OFFSET(PLE!$G$14,$M167,CH$13))))</f>
        <v>0</v>
      </c>
      <c r="CI167" s="216">
        <f ca="1">IF($D167&lt;&gt;"Serviço",0,IF(OR(AND(AUTOEVENTO="Manual",$M167=1),$M167&gt;(ROW(PLE.lastrow)-ROW(PLE.firstrow))),0,IF(OFFSET(PLE!$G$14,$M167,CI$13)="",10^12,OFFSET(PLE!$G$14,$M167,CI$13))))</f>
        <v>0</v>
      </c>
      <c r="CJ167" s="216">
        <f ca="1">IF($D167&lt;&gt;"Serviço",0,IF(OR(AND(AUTOEVENTO="Manual",$M167=1),$M167&gt;(ROW(PLE.lastrow)-ROW(PLE.firstrow))),0,IF(OFFSET(PLE!$G$14,$M167,CJ$13)="",10^12,OFFSET(PLE!$G$14,$M167,CJ$13))))</f>
        <v>0</v>
      </c>
      <c r="CK167" s="216">
        <f ca="1">IF($D167&lt;&gt;"Serviço",0,IF(OR(AND(AUTOEVENTO="Manual",$M167=1),$M167&gt;(ROW(PLE.lastrow)-ROW(PLE.firstrow))),0,IF(OFFSET(PLE!$G$14,$M167,CK$13)="",10^12,OFFSET(PLE!$G$14,$M167,CK$13))))</f>
        <v>0</v>
      </c>
      <c r="CL167" s="216">
        <f ca="1">IF($D167&lt;&gt;"Serviço",0,IF(OR(AND(AUTOEVENTO="Manual",$M167=1),$M167&gt;(ROW(PLE.lastrow)-ROW(PLE.firstrow))),0,IF(OFFSET(PLE!$G$14,$M167,CL$13)="",10^12,OFFSET(PLE!$G$14,$M167,CL$13))))</f>
        <v>0</v>
      </c>
      <c r="CM167" s="216">
        <f ca="1">IF($D167&lt;&gt;"Serviço",0,IF(OR(AND(AUTOEVENTO="Manual",$M167=1),$M167&gt;(ROW(PLE.lastrow)-ROW(PLE.firstrow))),0,IF(OFFSET(PLE!$G$14,$M167,CM$13)="",10^12,OFFSET(PLE!$G$14,$M167,CM$13))))</f>
        <v>0</v>
      </c>
    </row>
    <row r="168" spans="1:91" ht="13.2" x14ac:dyDescent="0.25">
      <c r="A168" s="9">
        <f t="shared" ca="1" si="11"/>
        <v>0</v>
      </c>
      <c r="B168" s="9" t="str">
        <f ca="1">OFFSET(ORÇAMENTO!C$15,ROW(B168)-ROW(B$15),0)</f>
        <v>S</v>
      </c>
      <c r="C168" s="9" t="str">
        <f ca="1">OFFSET(ORÇAMENTO!L$15,ROW(C168)-ROW(C$15),0)</f>
        <v/>
      </c>
      <c r="D168" s="145" t="str">
        <f ca="1">OFFSET(ORÇAMENTO!N$15,ROW(D168)-ROW(D$15),0)</f>
        <v>Serviço</v>
      </c>
      <c r="E168" s="205" t="str">
        <f ca="1">OFFSET(ORÇAMENTO!O$15,ROW(E168)-ROW(E$15),0)</f>
        <v>-</v>
      </c>
      <c r="F168" s="206" t="str">
        <f ca="1">OFFSET(ORÇAMENTO!R$15,ROW(F168)-ROW(F$15),0)</f>
        <v>(abra o arquivo 'Referência 05-2024.xls)</v>
      </c>
      <c r="G168" s="207" t="str">
        <f ca="1">IF($D168&lt;&gt;"Serviço","",OFFSET(ORÇAMENTO!S$15,ROW(G168)-ROW(G$15),0))</f>
        <v>-</v>
      </c>
      <c r="H168" s="151">
        <f ca="1">IF($D168&lt;&gt;"Serviço",0,IF(ACOMPANHAMENTO="BM",ROUND(OFFSET(ORÇAMENTO!AJ$15,ROW(H168)-ROW(H$15),0),15-13*ORÇAMENTO!$AF$7),SUMPRODUCT(($Q$12:$AI$12&lt;&gt;"")*ROUND($Q168:$AI168,15-13*ORÇAMENTO!$AF$7))))</f>
        <v>11.6</v>
      </c>
      <c r="I168" s="650"/>
      <c r="K168" s="208"/>
      <c r="L168" s="209" t="s">
        <v>257</v>
      </c>
      <c r="M168" s="210">
        <f ca="1">IF($D168&lt;&gt;"Serviço","",IF(AUTOEVENTO="manual",$A168,IF(ISERROR(MATCH($A168,$A$15:OFFSET($A168,-1,0),0)),MAX($M$15:OFFSET(M168,-1,0))+1,INDEX($M$15:OFFSET(M168,-1,0),MATCH($A168,$A$15:OFFSET($A168,-1,0),0)))))</f>
        <v>0</v>
      </c>
      <c r="N168" s="211" t="str">
        <f ca="1">IF($D168&lt;&gt;"Serviço","",IF(AUTOEVENTO="Manual",IF($A168=0,"&lt;-- defina o número do agrupador",OFFSET(EVENTOS!$D$14,$A168,0)),OFFSET($F$15,$A168,0)))</f>
        <v>&lt;-- defina o número do agrupador</v>
      </c>
      <c r="O168" s="212"/>
      <c r="Q168" s="212"/>
      <c r="R168" s="213"/>
      <c r="S168" s="213"/>
      <c r="T168" s="213"/>
      <c r="U168" s="213"/>
      <c r="V168" s="213"/>
      <c r="W168" s="213"/>
      <c r="X168" s="213"/>
      <c r="Y168" s="213"/>
      <c r="Z168" s="214"/>
      <c r="AA168" s="213"/>
      <c r="AB168" s="213"/>
      <c r="AC168" s="213"/>
      <c r="AD168" s="213"/>
      <c r="AE168" s="213"/>
      <c r="AF168" s="213"/>
      <c r="AG168" s="213"/>
      <c r="AH168" s="214"/>
      <c r="AJ168" s="631">
        <f ca="1">IF(AND($D168="Serviço",AJ$12&lt;&gt;0,$H168&gt;0,OR(AUTOEVENTO&lt;&gt;"manual",$M168&lt;&gt;1)),ROUND(OFFSET($P168,0,AJ$13),15-13*ORÇAMENTO!$AF$7)/$H168*OFFSET(ORÇAMENTO!$X$15,ROW(AJ168)-ROW(AJ$15),0),0)</f>
        <v>0</v>
      </c>
      <c r="AK168" s="632">
        <f ca="1">IF(AND($D168="Serviço",AK$12&lt;&gt;0,$H168&gt;0,OR(AUTOEVENTO&lt;&gt;"manual",$M168&lt;&gt;1)),ROUND(OFFSET($P168,0,AK$13),15-13*ORÇAMENTO!$AF$7)/$H168*OFFSET(ORÇAMENTO!$X$15,ROW(AK168)-ROW(AK$15),0),0)</f>
        <v>0</v>
      </c>
      <c r="AL168" s="632">
        <f ca="1">IF(AND($D168="Serviço",AL$12&lt;&gt;0,$H168&gt;0,OR(AUTOEVENTO&lt;&gt;"manual",$M168&lt;&gt;1)),ROUND(OFFSET($P168,0,AL$13),15-13*ORÇAMENTO!$AF$7)/$H168*OFFSET(ORÇAMENTO!$X$15,ROW(AL168)-ROW(AL$15),0),0)</f>
        <v>0</v>
      </c>
      <c r="AM168" s="632">
        <f ca="1">IF(AND($D168="Serviço",AM$12&lt;&gt;0,$H168&gt;0,OR(AUTOEVENTO&lt;&gt;"manual",$M168&lt;&gt;1)),ROUND(OFFSET($P168,0,AM$13),15-13*ORÇAMENTO!$AF$7)/$H168*OFFSET(ORÇAMENTO!$X$15,ROW(AM168)-ROW(AM$15),0),0)</f>
        <v>0</v>
      </c>
      <c r="AN168" s="632">
        <f ca="1">IF(AND($D168="Serviço",AN$12&lt;&gt;0,$H168&gt;0,OR(AUTOEVENTO&lt;&gt;"manual",$M168&lt;&gt;1)),ROUND(OFFSET($P168,0,AN$13),15-13*ORÇAMENTO!$AF$7)/$H168*OFFSET(ORÇAMENTO!$X$15,ROW(AN168)-ROW(AN$15),0),0)</f>
        <v>0</v>
      </c>
      <c r="AO168" s="632">
        <f ca="1">IF(AND($D168="Serviço",AO$12&lt;&gt;0,$H168&gt;0,OR(AUTOEVENTO&lt;&gt;"manual",$M168&lt;&gt;1)),ROUND(OFFSET($P168,0,AO$13),15-13*ORÇAMENTO!$AF$7)/$H168*OFFSET(ORÇAMENTO!$X$15,ROW(AO168)-ROW(AO$15),0),0)</f>
        <v>0</v>
      </c>
      <c r="AP168" s="632">
        <f ca="1">IF(AND($D168="Serviço",AP$12&lt;&gt;0,$H168&gt;0,OR(AUTOEVENTO&lt;&gt;"manual",$M168&lt;&gt;1)),ROUND(OFFSET($P168,0,AP$13),15-13*ORÇAMENTO!$AF$7)/$H168*OFFSET(ORÇAMENTO!$X$15,ROW(AP168)-ROW(AP$15),0),0)</f>
        <v>0</v>
      </c>
      <c r="AQ168" s="632">
        <f ca="1">IF(AND($D168="Serviço",AQ$12&lt;&gt;0,$H168&gt;0,OR(AUTOEVENTO&lt;&gt;"manual",$M168&lt;&gt;1)),ROUND(OFFSET($P168,0,AQ$13),15-13*ORÇAMENTO!$AF$7)/$H168*OFFSET(ORÇAMENTO!$X$15,ROW(AQ168)-ROW(AQ$15),0),0)</f>
        <v>0</v>
      </c>
      <c r="AR168" s="632">
        <f ca="1">IF(AND($D168="Serviço",AR$12&lt;&gt;0,$H168&gt;0,OR(AUTOEVENTO&lt;&gt;"manual",$M168&lt;&gt;1)),ROUND(OFFSET($P168,0,AR$13),15-13*ORÇAMENTO!$AF$7)/$H168*OFFSET(ORÇAMENTO!$X$15,ROW(AR168)-ROW(AR$15),0),0)</f>
        <v>0</v>
      </c>
      <c r="AS168" s="633">
        <f ca="1">IF(AND($D168="Serviço",AS$12&lt;&gt;0,$H168&gt;0,OR(AUTOEVENTO&lt;&gt;"manual",$M168&lt;&gt;1)),ROUND(OFFSET($P168,0,AS$13),15-13*ORÇAMENTO!$AF$7)/$H168*OFFSET(ORÇAMENTO!$X$15,ROW(AS168)-ROW(AS$15),0),0)</f>
        <v>0</v>
      </c>
      <c r="AT168" s="632">
        <f ca="1">IF(AND($D168="Serviço",AT$12&lt;&gt;0,$H168&gt;0,OR(AUTOEVENTO&lt;&gt;"manual",$M168&lt;&gt;1)),ROUND(OFFSET($P168,0,AT$13),15-13*ORÇAMENTO!$AF$7)/$H168*OFFSET(ORÇAMENTO!$X$15,ROW(AT168)-ROW(AT$15),0),0)</f>
        <v>0</v>
      </c>
      <c r="AU168" s="632">
        <f ca="1">IF(AND($D168="Serviço",AU$12&lt;&gt;0,$H168&gt;0,OR(AUTOEVENTO&lt;&gt;"manual",$M168&lt;&gt;1)),ROUND(OFFSET($P168,0,AU$13),15-13*ORÇAMENTO!$AF$7)/$H168*OFFSET(ORÇAMENTO!$X$15,ROW(AU168)-ROW(AU$15),0),0)</f>
        <v>0</v>
      </c>
      <c r="AV168" s="632">
        <f ca="1">IF(AND($D168="Serviço",AV$12&lt;&gt;0,$H168&gt;0,OR(AUTOEVENTO&lt;&gt;"manual",$M168&lt;&gt;1)),ROUND(OFFSET($P168,0,AV$13),15-13*ORÇAMENTO!$AF$7)/$H168*OFFSET(ORÇAMENTO!$X$15,ROW(AV168)-ROW(AV$15),0),0)</f>
        <v>0</v>
      </c>
      <c r="AW168" s="632">
        <f ca="1">IF(AND($D168="Serviço",AW$12&lt;&gt;0,$H168&gt;0,OR(AUTOEVENTO&lt;&gt;"manual",$M168&lt;&gt;1)),ROUND(OFFSET($P168,0,AW$13),15-13*ORÇAMENTO!$AF$7)/$H168*OFFSET(ORÇAMENTO!$X$15,ROW(AW168)-ROW(AW$15),0),0)</f>
        <v>0</v>
      </c>
      <c r="AX168" s="632">
        <f ca="1">IF(AND($D168="Serviço",AX$12&lt;&gt;0,$H168&gt;0,OR(AUTOEVENTO&lt;&gt;"manual",$M168&lt;&gt;1)),ROUND(OFFSET($P168,0,AX$13),15-13*ORÇAMENTO!$AF$7)/$H168*OFFSET(ORÇAMENTO!$X$15,ROW(AX168)-ROW(AX$15),0),0)</f>
        <v>0</v>
      </c>
      <c r="AY168" s="632">
        <f ca="1">IF(AND($D168="Serviço",AY$12&lt;&gt;0,$H168&gt;0,OR(AUTOEVENTO&lt;&gt;"manual",$M168&lt;&gt;1)),ROUND(OFFSET($P168,0,AY$13),15-13*ORÇAMENTO!$AF$7)/$H168*OFFSET(ORÇAMENTO!$X$15,ROW(AY168)-ROW(AY$15),0),0)</f>
        <v>0</v>
      </c>
      <c r="AZ168" s="632">
        <f ca="1">IF(AND($D168="Serviço",AZ$12&lt;&gt;0,$H168&gt;0,OR(AUTOEVENTO&lt;&gt;"manual",$M168&lt;&gt;1)),ROUND(OFFSET($P168,0,AZ$13),15-13*ORÇAMENTO!$AF$7)/$H168*OFFSET(ORÇAMENTO!$X$15,ROW(AZ168)-ROW(AZ$15),0),0)</f>
        <v>0</v>
      </c>
      <c r="BA168" s="633">
        <f ca="1">IF(AND($D168="Serviço",BA$12&lt;&gt;0,$H168&gt;0,OR(AUTOEVENTO&lt;&gt;"manual",$M168&lt;&gt;1)),ROUND(OFFSET($P168,0,BA$13),15-13*ORÇAMENTO!$AF$7)/$H168*OFFSET(ORÇAMENTO!$X$15,ROW(BA168)-ROW(BA$15),0),0)</f>
        <v>0</v>
      </c>
      <c r="BC168" s="215">
        <f ca="1">IF($D168&lt;&gt;"Serviço",0,IF(AND(AUTOEVENTO="Manual",$M168=1),0,IF(OFFSET(CRONOPLE!$F$14,$M168,BC$13)="",10^12,OFFSET(CRONOPLE!$F$14,$M168,BC$13))))</f>
        <v>1000000000000</v>
      </c>
      <c r="BD168" s="215">
        <f ca="1">IF($D168&lt;&gt;"Serviço",0,IF(AND(AUTOEVENTO="Manual",$M168=1),0,IF(OFFSET(CRONOPLE!$F$14,$M168,BD$13)="",10^12,OFFSET(CRONOPLE!$F$14,$M168,BD$13))))</f>
        <v>1000000000000</v>
      </c>
      <c r="BE168" s="215">
        <f ca="1">IF($D168&lt;&gt;"Serviço",0,IF(AND(AUTOEVENTO="Manual",$M168=1),0,IF(OFFSET(CRONOPLE!$F$14,$M168,BE$13)="",10^12,OFFSET(CRONOPLE!$F$14,$M168,BE$13))))</f>
        <v>1000000000000</v>
      </c>
      <c r="BF168" s="215">
        <f ca="1">IF($D168&lt;&gt;"Serviço",0,IF(AND(AUTOEVENTO="Manual",$M168=1),0,IF(OFFSET(CRONOPLE!$F$14,$M168,BF$13)="",10^12,OFFSET(CRONOPLE!$F$14,$M168,BF$13))))</f>
        <v>1000000000000</v>
      </c>
      <c r="BG168" s="215">
        <f ca="1">IF($D168&lt;&gt;"Serviço",0,IF(AND(AUTOEVENTO="Manual",$M168=1),0,IF(OFFSET(CRONOPLE!$F$14,$M168,BG$13)="",10^12,OFFSET(CRONOPLE!$F$14,$M168,BG$13))))</f>
        <v>1000000000000</v>
      </c>
      <c r="BH168" s="215">
        <f ca="1">IF($D168&lt;&gt;"Serviço",0,IF(AND(AUTOEVENTO="Manual",$M168=1),0,IF(OFFSET(CRONOPLE!$F$14,$M168,BH$13)="",10^12,OFFSET(CRONOPLE!$F$14,$M168,BH$13))))</f>
        <v>1000000000000</v>
      </c>
      <c r="BI168" s="215">
        <f ca="1">IF($D168&lt;&gt;"Serviço",0,IF(AND(AUTOEVENTO="Manual",$M168=1),0,IF(OFFSET(CRONOPLE!$F$14,$M168,BI$13)="",10^12,OFFSET(CRONOPLE!$F$14,$M168,BI$13))))</f>
        <v>1000000000000</v>
      </c>
      <c r="BJ168" s="215">
        <f ca="1">IF($D168&lt;&gt;"Serviço",0,IF(AND(AUTOEVENTO="Manual",$M168=1),0,IF(OFFSET(CRONOPLE!$F$14,$M168,BJ$13)="",10^12,OFFSET(CRONOPLE!$F$14,$M168,BJ$13))))</f>
        <v>1000000000000</v>
      </c>
      <c r="BK168" s="215">
        <f ca="1">IF($D168&lt;&gt;"Serviço",0,IF(AND(AUTOEVENTO="Manual",$M168=1),0,IF(OFFSET(CRONOPLE!$F$14,$M168,BK$13)="",10^12,OFFSET(CRONOPLE!$F$14,$M168,BK$13))))</f>
        <v>1000000000000</v>
      </c>
      <c r="BL168" s="215">
        <f ca="1">IF($D168&lt;&gt;"Serviço",0,IF(AND(AUTOEVENTO="Manual",$M168=1),0,IF(OFFSET(CRONOPLE!$F$14,$M168,BL$13)="",10^12,OFFSET(CRONOPLE!$F$14,$M168,BL$13))))</f>
        <v>1000000000000</v>
      </c>
      <c r="BM168" s="215">
        <f ca="1">IF($D168&lt;&gt;"Serviço",0,IF(AND(AUTOEVENTO="Manual",$M168=1),0,IF(OFFSET(CRONOPLE!$F$14,$M168,BM$13)="",10^12,OFFSET(CRONOPLE!$F$14,$M168,BM$13))))</f>
        <v>1000000000000</v>
      </c>
      <c r="BN168" s="215">
        <f ca="1">IF($D168&lt;&gt;"Serviço",0,IF(AND(AUTOEVENTO="Manual",$M168=1),0,IF(OFFSET(CRONOPLE!$F$14,$M168,BN$13)="",10^12,OFFSET(CRONOPLE!$F$14,$M168,BN$13))))</f>
        <v>1000000000000</v>
      </c>
      <c r="BO168" s="215">
        <f ca="1">IF($D168&lt;&gt;"Serviço",0,IF(AND(AUTOEVENTO="Manual",$M168=1),0,IF(OFFSET(CRONOPLE!$F$14,$M168,BO$13)="",10^12,OFFSET(CRONOPLE!$F$14,$M168,BO$13))))</f>
        <v>1000000000000</v>
      </c>
      <c r="BP168" s="215">
        <f ca="1">IF($D168&lt;&gt;"Serviço",0,IF(AND(AUTOEVENTO="Manual",$M168=1),0,IF(OFFSET(CRONOPLE!$F$14,$M168,BP$13)="",10^12,OFFSET(CRONOPLE!$F$14,$M168,BP$13))))</f>
        <v>1000000000000</v>
      </c>
      <c r="BQ168" s="215">
        <f ca="1">IF($D168&lt;&gt;"Serviço",0,IF(AND(AUTOEVENTO="Manual",$M168=1),0,IF(OFFSET(CRONOPLE!$F$14,$M168,BQ$13)="",10^12,OFFSET(CRONOPLE!$F$14,$M168,BQ$13))))</f>
        <v>1000000000000</v>
      </c>
      <c r="BR168" s="215">
        <f ca="1">IF($D168&lt;&gt;"Serviço",0,IF(AND(AUTOEVENTO="Manual",$M168=1),0,IF(OFFSET(CRONOPLE!$F$14,$M168,BR$13)="",10^12,OFFSET(CRONOPLE!$F$14,$M168,BR$13))))</f>
        <v>1000000000000</v>
      </c>
      <c r="BS168" s="215">
        <f ca="1">IF($D168&lt;&gt;"Serviço",0,IF(AND(AUTOEVENTO="Manual",$M168=1),0,IF(OFFSET(CRONOPLE!$F$14,$M168,BS$13)="",10^12,OFFSET(CRONOPLE!$F$14,$M168,BS$13))))</f>
        <v>1000000000000</v>
      </c>
      <c r="BT168" s="215">
        <f ca="1">IF($D168&lt;&gt;"Serviço",0,IF(AND(AUTOEVENTO="Manual",$M168=1),0,IF(OFFSET(CRONOPLE!$F$14,$M168,BT$13)="",10^12,OFFSET(CRONOPLE!$F$14,$M168,BT$13))))</f>
        <v>1000000000000</v>
      </c>
      <c r="BV168" s="216">
        <f ca="1">IF($D168&lt;&gt;"Serviço",0,IF(OR(AND(AUTOEVENTO="Manual",$M168=1),$M168&gt;(ROW(PLE.lastrow)-ROW(PLE.firstrow))),0,IF(OFFSET(PLE!$G$14,$M168,BV$13)="",10^12,OFFSET(PLE!$G$14,$M168,BV$13))))</f>
        <v>1000000000000</v>
      </c>
      <c r="BW168" s="216">
        <f ca="1">IF($D168&lt;&gt;"Serviço",0,IF(OR(AND(AUTOEVENTO="Manual",$M168=1),$M168&gt;(ROW(PLE.lastrow)-ROW(PLE.firstrow))),0,IF(OFFSET(PLE!$G$14,$M168,BW$13)="",10^12,OFFSET(PLE!$G$14,$M168,BW$13))))</f>
        <v>1000000000000</v>
      </c>
      <c r="BX168" s="216">
        <f ca="1">IF($D168&lt;&gt;"Serviço",0,IF(OR(AND(AUTOEVENTO="Manual",$M168=1),$M168&gt;(ROW(PLE.lastrow)-ROW(PLE.firstrow))),0,IF(OFFSET(PLE!$G$14,$M168,BX$13)="",10^12,OFFSET(PLE!$G$14,$M168,BX$13))))</f>
        <v>1000000000000</v>
      </c>
      <c r="BY168" s="216">
        <f ca="1">IF($D168&lt;&gt;"Serviço",0,IF(OR(AND(AUTOEVENTO="Manual",$M168=1),$M168&gt;(ROW(PLE.lastrow)-ROW(PLE.firstrow))),0,IF(OFFSET(PLE!$G$14,$M168,BY$13)="",10^12,OFFSET(PLE!$G$14,$M168,BY$13))))</f>
        <v>1000000000000</v>
      </c>
      <c r="BZ168" s="216">
        <f ca="1">IF($D168&lt;&gt;"Serviço",0,IF(OR(AND(AUTOEVENTO="Manual",$M168=1),$M168&gt;(ROW(PLE.lastrow)-ROW(PLE.firstrow))),0,IF(OFFSET(PLE!$G$14,$M168,BZ$13)="",10^12,OFFSET(PLE!$G$14,$M168,BZ$13))))</f>
        <v>1000000000000</v>
      </c>
      <c r="CA168" s="216">
        <f ca="1">IF($D168&lt;&gt;"Serviço",0,IF(OR(AND(AUTOEVENTO="Manual",$M168=1),$M168&gt;(ROW(PLE.lastrow)-ROW(PLE.firstrow))),0,IF(OFFSET(PLE!$G$14,$M168,CA$13)="",10^12,OFFSET(PLE!$G$14,$M168,CA$13))))</f>
        <v>1000000000000</v>
      </c>
      <c r="CB168" s="216">
        <f ca="1">IF($D168&lt;&gt;"Serviço",0,IF(OR(AND(AUTOEVENTO="Manual",$M168=1),$M168&gt;(ROW(PLE.lastrow)-ROW(PLE.firstrow))),0,IF(OFFSET(PLE!$G$14,$M168,CB$13)="",10^12,OFFSET(PLE!$G$14,$M168,CB$13))))</f>
        <v>1000000000000</v>
      </c>
      <c r="CC168" s="216">
        <f ca="1">IF($D168&lt;&gt;"Serviço",0,IF(OR(AND(AUTOEVENTO="Manual",$M168=1),$M168&gt;(ROW(PLE.lastrow)-ROW(PLE.firstrow))),0,IF(OFFSET(PLE!$G$14,$M168,CC$13)="",10^12,OFFSET(PLE!$G$14,$M168,CC$13))))</f>
        <v>1000000000000</v>
      </c>
      <c r="CD168" s="216">
        <f ca="1">IF($D168&lt;&gt;"Serviço",0,IF(OR(AND(AUTOEVENTO="Manual",$M168=1),$M168&gt;(ROW(PLE.lastrow)-ROW(PLE.firstrow))),0,IF(OFFSET(PLE!$G$14,$M168,CD$13)="",10^12,OFFSET(PLE!$G$14,$M168,CD$13))))</f>
        <v>1000000000000</v>
      </c>
      <c r="CE168" s="216">
        <f ca="1">IF($D168&lt;&gt;"Serviço",0,IF(OR(AND(AUTOEVENTO="Manual",$M168=1),$M168&gt;(ROW(PLE.lastrow)-ROW(PLE.firstrow))),0,IF(OFFSET(PLE!$G$14,$M168,CE$13)="",10^12,OFFSET(PLE!$G$14,$M168,CE$13))))</f>
        <v>1000000000000</v>
      </c>
      <c r="CF168" s="216">
        <f ca="1">IF($D168&lt;&gt;"Serviço",0,IF(OR(AND(AUTOEVENTO="Manual",$M168=1),$M168&gt;(ROW(PLE.lastrow)-ROW(PLE.firstrow))),0,IF(OFFSET(PLE!$G$14,$M168,CF$13)="",10^12,OFFSET(PLE!$G$14,$M168,CF$13))))</f>
        <v>1000000000000</v>
      </c>
      <c r="CG168" s="216">
        <f ca="1">IF($D168&lt;&gt;"Serviço",0,IF(OR(AND(AUTOEVENTO="Manual",$M168=1),$M168&gt;(ROW(PLE.lastrow)-ROW(PLE.firstrow))),0,IF(OFFSET(PLE!$G$14,$M168,CG$13)="",10^12,OFFSET(PLE!$G$14,$M168,CG$13))))</f>
        <v>1000000000000</v>
      </c>
      <c r="CH168" s="216">
        <f ca="1">IF($D168&lt;&gt;"Serviço",0,IF(OR(AND(AUTOEVENTO="Manual",$M168=1),$M168&gt;(ROW(PLE.lastrow)-ROW(PLE.firstrow))),0,IF(OFFSET(PLE!$G$14,$M168,CH$13)="",10^12,OFFSET(PLE!$G$14,$M168,CH$13))))</f>
        <v>1000000000000</v>
      </c>
      <c r="CI168" s="216">
        <f ca="1">IF($D168&lt;&gt;"Serviço",0,IF(OR(AND(AUTOEVENTO="Manual",$M168=1),$M168&gt;(ROW(PLE.lastrow)-ROW(PLE.firstrow))),0,IF(OFFSET(PLE!$G$14,$M168,CI$13)="",10^12,OFFSET(PLE!$G$14,$M168,CI$13))))</f>
        <v>1000000000000</v>
      </c>
      <c r="CJ168" s="216">
        <f ca="1">IF($D168&lt;&gt;"Serviço",0,IF(OR(AND(AUTOEVENTO="Manual",$M168=1),$M168&gt;(ROW(PLE.lastrow)-ROW(PLE.firstrow))),0,IF(OFFSET(PLE!$G$14,$M168,CJ$13)="",10^12,OFFSET(PLE!$G$14,$M168,CJ$13))))</f>
        <v>1000000000000</v>
      </c>
      <c r="CK168" s="216">
        <f ca="1">IF($D168&lt;&gt;"Serviço",0,IF(OR(AND(AUTOEVENTO="Manual",$M168=1),$M168&gt;(ROW(PLE.lastrow)-ROW(PLE.firstrow))),0,IF(OFFSET(PLE!$G$14,$M168,CK$13)="",10^12,OFFSET(PLE!$G$14,$M168,CK$13))))</f>
        <v>1000000000000</v>
      </c>
      <c r="CL168" s="216">
        <f ca="1">IF($D168&lt;&gt;"Serviço",0,IF(OR(AND(AUTOEVENTO="Manual",$M168=1),$M168&gt;(ROW(PLE.lastrow)-ROW(PLE.firstrow))),0,IF(OFFSET(PLE!$G$14,$M168,CL$13)="",10^12,OFFSET(PLE!$G$14,$M168,CL$13))))</f>
        <v>1000000000000</v>
      </c>
      <c r="CM168" s="216">
        <f ca="1">IF($D168&lt;&gt;"Serviço",0,IF(OR(AND(AUTOEVENTO="Manual",$M168=1),$M168&gt;(ROW(PLE.lastrow)-ROW(PLE.firstrow))),0,IF(OFFSET(PLE!$G$14,$M168,CM$13)="",10^12,OFFSET(PLE!$G$14,$M168,CM$13))))</f>
        <v>1000000000000</v>
      </c>
    </row>
    <row r="169" spans="1:91" ht="13.2" x14ac:dyDescent="0.25">
      <c r="A169" s="9">
        <f t="shared" ca="1" si="11"/>
        <v>0</v>
      </c>
      <c r="B169" s="9" t="str">
        <f ca="1">OFFSET(ORÇAMENTO!C$15,ROW(B169)-ROW(B$15),0)</f>
        <v>S</v>
      </c>
      <c r="C169" s="9" t="str">
        <f ca="1">OFFSET(ORÇAMENTO!L$15,ROW(C169)-ROW(C$15),0)</f>
        <v/>
      </c>
      <c r="D169" s="145" t="str">
        <f ca="1">OFFSET(ORÇAMENTO!N$15,ROW(D169)-ROW(D$15),0)</f>
        <v>Serviço</v>
      </c>
      <c r="E169" s="205" t="str">
        <f ca="1">OFFSET(ORÇAMENTO!O$15,ROW(E169)-ROW(E$15),0)</f>
        <v>-</v>
      </c>
      <c r="F169" s="206" t="str">
        <f ca="1">OFFSET(ORÇAMENTO!R$15,ROW(F169)-ROW(F$15),0)</f>
        <v>(abra o arquivo 'Referência 05-2024.xls)</v>
      </c>
      <c r="G169" s="207" t="str">
        <f ca="1">IF($D169&lt;&gt;"Serviço","",OFFSET(ORÇAMENTO!S$15,ROW(G169)-ROW(G$15),0))</f>
        <v>-</v>
      </c>
      <c r="H169" s="151">
        <f ca="1">IF($D169&lt;&gt;"Serviço",0,IF(ACOMPANHAMENTO="BM",ROUND(OFFSET(ORÇAMENTO!AJ$15,ROW(H169)-ROW(H$15),0),15-13*ORÇAMENTO!$AF$7),SUMPRODUCT(($Q$12:$AI$12&lt;&gt;"")*ROUND($Q169:$AI169,15-13*ORÇAMENTO!$AF$7))))</f>
        <v>536.48</v>
      </c>
      <c r="I169" s="650"/>
      <c r="K169" s="208"/>
      <c r="L169" s="209" t="s">
        <v>257</v>
      </c>
      <c r="M169" s="210">
        <f ca="1">IF($D169&lt;&gt;"Serviço","",IF(AUTOEVENTO="manual",$A169,IF(ISERROR(MATCH($A169,$A$15:OFFSET($A169,-1,0),0)),MAX($M$15:OFFSET(M169,-1,0))+1,INDEX($M$15:OFFSET(M169,-1,0),MATCH($A169,$A$15:OFFSET($A169,-1,0),0)))))</f>
        <v>0</v>
      </c>
      <c r="N169" s="211" t="str">
        <f ca="1">IF($D169&lt;&gt;"Serviço","",IF(AUTOEVENTO="Manual",IF($A169=0,"&lt;-- defina o número do agrupador",OFFSET(EVENTOS!$D$14,$A169,0)),OFFSET($F$15,$A169,0)))</f>
        <v>&lt;-- defina o número do agrupador</v>
      </c>
      <c r="O169" s="212"/>
      <c r="Q169" s="212"/>
      <c r="R169" s="213"/>
      <c r="S169" s="213"/>
      <c r="T169" s="213"/>
      <c r="U169" s="213"/>
      <c r="V169" s="213"/>
      <c r="W169" s="213"/>
      <c r="X169" s="213"/>
      <c r="Y169" s="213"/>
      <c r="Z169" s="214"/>
      <c r="AA169" s="213"/>
      <c r="AB169" s="213"/>
      <c r="AC169" s="213"/>
      <c r="AD169" s="213"/>
      <c r="AE169" s="213"/>
      <c r="AF169" s="213"/>
      <c r="AG169" s="213"/>
      <c r="AH169" s="214"/>
      <c r="AJ169" s="631">
        <f ca="1">IF(AND($D169="Serviço",AJ$12&lt;&gt;0,$H169&gt;0,OR(AUTOEVENTO&lt;&gt;"manual",$M169&lt;&gt;1)),ROUND(OFFSET($P169,0,AJ$13),15-13*ORÇAMENTO!$AF$7)/$H169*OFFSET(ORÇAMENTO!$X$15,ROW(AJ169)-ROW(AJ$15),0),0)</f>
        <v>0</v>
      </c>
      <c r="AK169" s="632">
        <f ca="1">IF(AND($D169="Serviço",AK$12&lt;&gt;0,$H169&gt;0,OR(AUTOEVENTO&lt;&gt;"manual",$M169&lt;&gt;1)),ROUND(OFFSET($P169,0,AK$13),15-13*ORÇAMENTO!$AF$7)/$H169*OFFSET(ORÇAMENTO!$X$15,ROW(AK169)-ROW(AK$15),0),0)</f>
        <v>0</v>
      </c>
      <c r="AL169" s="632">
        <f ca="1">IF(AND($D169="Serviço",AL$12&lt;&gt;0,$H169&gt;0,OR(AUTOEVENTO&lt;&gt;"manual",$M169&lt;&gt;1)),ROUND(OFFSET($P169,0,AL$13),15-13*ORÇAMENTO!$AF$7)/$H169*OFFSET(ORÇAMENTO!$X$15,ROW(AL169)-ROW(AL$15),0),0)</f>
        <v>0</v>
      </c>
      <c r="AM169" s="632">
        <f ca="1">IF(AND($D169="Serviço",AM$12&lt;&gt;0,$H169&gt;0,OR(AUTOEVENTO&lt;&gt;"manual",$M169&lt;&gt;1)),ROUND(OFFSET($P169,0,AM$13),15-13*ORÇAMENTO!$AF$7)/$H169*OFFSET(ORÇAMENTO!$X$15,ROW(AM169)-ROW(AM$15),0),0)</f>
        <v>0</v>
      </c>
      <c r="AN169" s="632">
        <f ca="1">IF(AND($D169="Serviço",AN$12&lt;&gt;0,$H169&gt;0,OR(AUTOEVENTO&lt;&gt;"manual",$M169&lt;&gt;1)),ROUND(OFFSET($P169,0,AN$13),15-13*ORÇAMENTO!$AF$7)/$H169*OFFSET(ORÇAMENTO!$X$15,ROW(AN169)-ROW(AN$15),0),0)</f>
        <v>0</v>
      </c>
      <c r="AO169" s="632">
        <f ca="1">IF(AND($D169="Serviço",AO$12&lt;&gt;0,$H169&gt;0,OR(AUTOEVENTO&lt;&gt;"manual",$M169&lt;&gt;1)),ROUND(OFFSET($P169,0,AO$13),15-13*ORÇAMENTO!$AF$7)/$H169*OFFSET(ORÇAMENTO!$X$15,ROW(AO169)-ROW(AO$15),0),0)</f>
        <v>0</v>
      </c>
      <c r="AP169" s="632">
        <f ca="1">IF(AND($D169="Serviço",AP$12&lt;&gt;0,$H169&gt;0,OR(AUTOEVENTO&lt;&gt;"manual",$M169&lt;&gt;1)),ROUND(OFFSET($P169,0,AP$13),15-13*ORÇAMENTO!$AF$7)/$H169*OFFSET(ORÇAMENTO!$X$15,ROW(AP169)-ROW(AP$15),0),0)</f>
        <v>0</v>
      </c>
      <c r="AQ169" s="632">
        <f ca="1">IF(AND($D169="Serviço",AQ$12&lt;&gt;0,$H169&gt;0,OR(AUTOEVENTO&lt;&gt;"manual",$M169&lt;&gt;1)),ROUND(OFFSET($P169,0,AQ$13),15-13*ORÇAMENTO!$AF$7)/$H169*OFFSET(ORÇAMENTO!$X$15,ROW(AQ169)-ROW(AQ$15),0),0)</f>
        <v>0</v>
      </c>
      <c r="AR169" s="632">
        <f ca="1">IF(AND($D169="Serviço",AR$12&lt;&gt;0,$H169&gt;0,OR(AUTOEVENTO&lt;&gt;"manual",$M169&lt;&gt;1)),ROUND(OFFSET($P169,0,AR$13),15-13*ORÇAMENTO!$AF$7)/$H169*OFFSET(ORÇAMENTO!$X$15,ROW(AR169)-ROW(AR$15),0),0)</f>
        <v>0</v>
      </c>
      <c r="AS169" s="633">
        <f ca="1">IF(AND($D169="Serviço",AS$12&lt;&gt;0,$H169&gt;0,OR(AUTOEVENTO&lt;&gt;"manual",$M169&lt;&gt;1)),ROUND(OFFSET($P169,0,AS$13),15-13*ORÇAMENTO!$AF$7)/$H169*OFFSET(ORÇAMENTO!$X$15,ROW(AS169)-ROW(AS$15),0),0)</f>
        <v>0</v>
      </c>
      <c r="AT169" s="632">
        <f ca="1">IF(AND($D169="Serviço",AT$12&lt;&gt;0,$H169&gt;0,OR(AUTOEVENTO&lt;&gt;"manual",$M169&lt;&gt;1)),ROUND(OFFSET($P169,0,AT$13),15-13*ORÇAMENTO!$AF$7)/$H169*OFFSET(ORÇAMENTO!$X$15,ROW(AT169)-ROW(AT$15),0),0)</f>
        <v>0</v>
      </c>
      <c r="AU169" s="632">
        <f ca="1">IF(AND($D169="Serviço",AU$12&lt;&gt;0,$H169&gt;0,OR(AUTOEVENTO&lt;&gt;"manual",$M169&lt;&gt;1)),ROUND(OFFSET($P169,0,AU$13),15-13*ORÇAMENTO!$AF$7)/$H169*OFFSET(ORÇAMENTO!$X$15,ROW(AU169)-ROW(AU$15),0),0)</f>
        <v>0</v>
      </c>
      <c r="AV169" s="632">
        <f ca="1">IF(AND($D169="Serviço",AV$12&lt;&gt;0,$H169&gt;0,OR(AUTOEVENTO&lt;&gt;"manual",$M169&lt;&gt;1)),ROUND(OFFSET($P169,0,AV$13),15-13*ORÇAMENTO!$AF$7)/$H169*OFFSET(ORÇAMENTO!$X$15,ROW(AV169)-ROW(AV$15),0),0)</f>
        <v>0</v>
      </c>
      <c r="AW169" s="632">
        <f ca="1">IF(AND($D169="Serviço",AW$12&lt;&gt;0,$H169&gt;0,OR(AUTOEVENTO&lt;&gt;"manual",$M169&lt;&gt;1)),ROUND(OFFSET($P169,0,AW$13),15-13*ORÇAMENTO!$AF$7)/$H169*OFFSET(ORÇAMENTO!$X$15,ROW(AW169)-ROW(AW$15),0),0)</f>
        <v>0</v>
      </c>
      <c r="AX169" s="632">
        <f ca="1">IF(AND($D169="Serviço",AX$12&lt;&gt;0,$H169&gt;0,OR(AUTOEVENTO&lt;&gt;"manual",$M169&lt;&gt;1)),ROUND(OFFSET($P169,0,AX$13),15-13*ORÇAMENTO!$AF$7)/$H169*OFFSET(ORÇAMENTO!$X$15,ROW(AX169)-ROW(AX$15),0),0)</f>
        <v>0</v>
      </c>
      <c r="AY169" s="632">
        <f ca="1">IF(AND($D169="Serviço",AY$12&lt;&gt;0,$H169&gt;0,OR(AUTOEVENTO&lt;&gt;"manual",$M169&lt;&gt;1)),ROUND(OFFSET($P169,0,AY$13),15-13*ORÇAMENTO!$AF$7)/$H169*OFFSET(ORÇAMENTO!$X$15,ROW(AY169)-ROW(AY$15),0),0)</f>
        <v>0</v>
      </c>
      <c r="AZ169" s="632">
        <f ca="1">IF(AND($D169="Serviço",AZ$12&lt;&gt;0,$H169&gt;0,OR(AUTOEVENTO&lt;&gt;"manual",$M169&lt;&gt;1)),ROUND(OFFSET($P169,0,AZ$13),15-13*ORÇAMENTO!$AF$7)/$H169*OFFSET(ORÇAMENTO!$X$15,ROW(AZ169)-ROW(AZ$15),0),0)</f>
        <v>0</v>
      </c>
      <c r="BA169" s="633">
        <f ca="1">IF(AND($D169="Serviço",BA$12&lt;&gt;0,$H169&gt;0,OR(AUTOEVENTO&lt;&gt;"manual",$M169&lt;&gt;1)),ROUND(OFFSET($P169,0,BA$13),15-13*ORÇAMENTO!$AF$7)/$H169*OFFSET(ORÇAMENTO!$X$15,ROW(BA169)-ROW(BA$15),0),0)</f>
        <v>0</v>
      </c>
      <c r="BC169" s="215">
        <f ca="1">IF($D169&lt;&gt;"Serviço",0,IF(AND(AUTOEVENTO="Manual",$M169=1),0,IF(OFFSET(CRONOPLE!$F$14,$M169,BC$13)="",10^12,OFFSET(CRONOPLE!$F$14,$M169,BC$13))))</f>
        <v>1000000000000</v>
      </c>
      <c r="BD169" s="215">
        <f ca="1">IF($D169&lt;&gt;"Serviço",0,IF(AND(AUTOEVENTO="Manual",$M169=1),0,IF(OFFSET(CRONOPLE!$F$14,$M169,BD$13)="",10^12,OFFSET(CRONOPLE!$F$14,$M169,BD$13))))</f>
        <v>1000000000000</v>
      </c>
      <c r="BE169" s="215">
        <f ca="1">IF($D169&lt;&gt;"Serviço",0,IF(AND(AUTOEVENTO="Manual",$M169=1),0,IF(OFFSET(CRONOPLE!$F$14,$M169,BE$13)="",10^12,OFFSET(CRONOPLE!$F$14,$M169,BE$13))))</f>
        <v>1000000000000</v>
      </c>
      <c r="BF169" s="215">
        <f ca="1">IF($D169&lt;&gt;"Serviço",0,IF(AND(AUTOEVENTO="Manual",$M169=1),0,IF(OFFSET(CRONOPLE!$F$14,$M169,BF$13)="",10^12,OFFSET(CRONOPLE!$F$14,$M169,BF$13))))</f>
        <v>1000000000000</v>
      </c>
      <c r="BG169" s="215">
        <f ca="1">IF($D169&lt;&gt;"Serviço",0,IF(AND(AUTOEVENTO="Manual",$M169=1),0,IF(OFFSET(CRONOPLE!$F$14,$M169,BG$13)="",10^12,OFFSET(CRONOPLE!$F$14,$M169,BG$13))))</f>
        <v>1000000000000</v>
      </c>
      <c r="BH169" s="215">
        <f ca="1">IF($D169&lt;&gt;"Serviço",0,IF(AND(AUTOEVENTO="Manual",$M169=1),0,IF(OFFSET(CRONOPLE!$F$14,$M169,BH$13)="",10^12,OFFSET(CRONOPLE!$F$14,$M169,BH$13))))</f>
        <v>1000000000000</v>
      </c>
      <c r="BI169" s="215">
        <f ca="1">IF($D169&lt;&gt;"Serviço",0,IF(AND(AUTOEVENTO="Manual",$M169=1),0,IF(OFFSET(CRONOPLE!$F$14,$M169,BI$13)="",10^12,OFFSET(CRONOPLE!$F$14,$M169,BI$13))))</f>
        <v>1000000000000</v>
      </c>
      <c r="BJ169" s="215">
        <f ca="1">IF($D169&lt;&gt;"Serviço",0,IF(AND(AUTOEVENTO="Manual",$M169=1),0,IF(OFFSET(CRONOPLE!$F$14,$M169,BJ$13)="",10^12,OFFSET(CRONOPLE!$F$14,$M169,BJ$13))))</f>
        <v>1000000000000</v>
      </c>
      <c r="BK169" s="215">
        <f ca="1">IF($D169&lt;&gt;"Serviço",0,IF(AND(AUTOEVENTO="Manual",$M169=1),0,IF(OFFSET(CRONOPLE!$F$14,$M169,BK$13)="",10^12,OFFSET(CRONOPLE!$F$14,$M169,BK$13))))</f>
        <v>1000000000000</v>
      </c>
      <c r="BL169" s="215">
        <f ca="1">IF($D169&lt;&gt;"Serviço",0,IF(AND(AUTOEVENTO="Manual",$M169=1),0,IF(OFFSET(CRONOPLE!$F$14,$M169,BL$13)="",10^12,OFFSET(CRONOPLE!$F$14,$M169,BL$13))))</f>
        <v>1000000000000</v>
      </c>
      <c r="BM169" s="215">
        <f ca="1">IF($D169&lt;&gt;"Serviço",0,IF(AND(AUTOEVENTO="Manual",$M169=1),0,IF(OFFSET(CRONOPLE!$F$14,$M169,BM$13)="",10^12,OFFSET(CRONOPLE!$F$14,$M169,BM$13))))</f>
        <v>1000000000000</v>
      </c>
      <c r="BN169" s="215">
        <f ca="1">IF($D169&lt;&gt;"Serviço",0,IF(AND(AUTOEVENTO="Manual",$M169=1),0,IF(OFFSET(CRONOPLE!$F$14,$M169,BN$13)="",10^12,OFFSET(CRONOPLE!$F$14,$M169,BN$13))))</f>
        <v>1000000000000</v>
      </c>
      <c r="BO169" s="215">
        <f ca="1">IF($D169&lt;&gt;"Serviço",0,IF(AND(AUTOEVENTO="Manual",$M169=1),0,IF(OFFSET(CRONOPLE!$F$14,$M169,BO$13)="",10^12,OFFSET(CRONOPLE!$F$14,$M169,BO$13))))</f>
        <v>1000000000000</v>
      </c>
      <c r="BP169" s="215">
        <f ca="1">IF($D169&lt;&gt;"Serviço",0,IF(AND(AUTOEVENTO="Manual",$M169=1),0,IF(OFFSET(CRONOPLE!$F$14,$M169,BP$13)="",10^12,OFFSET(CRONOPLE!$F$14,$M169,BP$13))))</f>
        <v>1000000000000</v>
      </c>
      <c r="BQ169" s="215">
        <f ca="1">IF($D169&lt;&gt;"Serviço",0,IF(AND(AUTOEVENTO="Manual",$M169=1),0,IF(OFFSET(CRONOPLE!$F$14,$M169,BQ$13)="",10^12,OFFSET(CRONOPLE!$F$14,$M169,BQ$13))))</f>
        <v>1000000000000</v>
      </c>
      <c r="BR169" s="215">
        <f ca="1">IF($D169&lt;&gt;"Serviço",0,IF(AND(AUTOEVENTO="Manual",$M169=1),0,IF(OFFSET(CRONOPLE!$F$14,$M169,BR$13)="",10^12,OFFSET(CRONOPLE!$F$14,$M169,BR$13))))</f>
        <v>1000000000000</v>
      </c>
      <c r="BS169" s="215">
        <f ca="1">IF($D169&lt;&gt;"Serviço",0,IF(AND(AUTOEVENTO="Manual",$M169=1),0,IF(OFFSET(CRONOPLE!$F$14,$M169,BS$13)="",10^12,OFFSET(CRONOPLE!$F$14,$M169,BS$13))))</f>
        <v>1000000000000</v>
      </c>
      <c r="BT169" s="215">
        <f ca="1">IF($D169&lt;&gt;"Serviço",0,IF(AND(AUTOEVENTO="Manual",$M169=1),0,IF(OFFSET(CRONOPLE!$F$14,$M169,BT$13)="",10^12,OFFSET(CRONOPLE!$F$14,$M169,BT$13))))</f>
        <v>1000000000000</v>
      </c>
      <c r="BV169" s="216">
        <f ca="1">IF($D169&lt;&gt;"Serviço",0,IF(OR(AND(AUTOEVENTO="Manual",$M169=1),$M169&gt;(ROW(PLE.lastrow)-ROW(PLE.firstrow))),0,IF(OFFSET(PLE!$G$14,$M169,BV$13)="",10^12,OFFSET(PLE!$G$14,$M169,BV$13))))</f>
        <v>1000000000000</v>
      </c>
      <c r="BW169" s="216">
        <f ca="1">IF($D169&lt;&gt;"Serviço",0,IF(OR(AND(AUTOEVENTO="Manual",$M169=1),$M169&gt;(ROW(PLE.lastrow)-ROW(PLE.firstrow))),0,IF(OFFSET(PLE!$G$14,$M169,BW$13)="",10^12,OFFSET(PLE!$G$14,$M169,BW$13))))</f>
        <v>1000000000000</v>
      </c>
      <c r="BX169" s="216">
        <f ca="1">IF($D169&lt;&gt;"Serviço",0,IF(OR(AND(AUTOEVENTO="Manual",$M169=1),$M169&gt;(ROW(PLE.lastrow)-ROW(PLE.firstrow))),0,IF(OFFSET(PLE!$G$14,$M169,BX$13)="",10^12,OFFSET(PLE!$G$14,$M169,BX$13))))</f>
        <v>1000000000000</v>
      </c>
      <c r="BY169" s="216">
        <f ca="1">IF($D169&lt;&gt;"Serviço",0,IF(OR(AND(AUTOEVENTO="Manual",$M169=1),$M169&gt;(ROW(PLE.lastrow)-ROW(PLE.firstrow))),0,IF(OFFSET(PLE!$G$14,$M169,BY$13)="",10^12,OFFSET(PLE!$G$14,$M169,BY$13))))</f>
        <v>1000000000000</v>
      </c>
      <c r="BZ169" s="216">
        <f ca="1">IF($D169&lt;&gt;"Serviço",0,IF(OR(AND(AUTOEVENTO="Manual",$M169=1),$M169&gt;(ROW(PLE.lastrow)-ROW(PLE.firstrow))),0,IF(OFFSET(PLE!$G$14,$M169,BZ$13)="",10^12,OFFSET(PLE!$G$14,$M169,BZ$13))))</f>
        <v>1000000000000</v>
      </c>
      <c r="CA169" s="216">
        <f ca="1">IF($D169&lt;&gt;"Serviço",0,IF(OR(AND(AUTOEVENTO="Manual",$M169=1),$M169&gt;(ROW(PLE.lastrow)-ROW(PLE.firstrow))),0,IF(OFFSET(PLE!$G$14,$M169,CA$13)="",10^12,OFFSET(PLE!$G$14,$M169,CA$13))))</f>
        <v>1000000000000</v>
      </c>
      <c r="CB169" s="216">
        <f ca="1">IF($D169&lt;&gt;"Serviço",0,IF(OR(AND(AUTOEVENTO="Manual",$M169=1),$M169&gt;(ROW(PLE.lastrow)-ROW(PLE.firstrow))),0,IF(OFFSET(PLE!$G$14,$M169,CB$13)="",10^12,OFFSET(PLE!$G$14,$M169,CB$13))))</f>
        <v>1000000000000</v>
      </c>
      <c r="CC169" s="216">
        <f ca="1">IF($D169&lt;&gt;"Serviço",0,IF(OR(AND(AUTOEVENTO="Manual",$M169=1),$M169&gt;(ROW(PLE.lastrow)-ROW(PLE.firstrow))),0,IF(OFFSET(PLE!$G$14,$M169,CC$13)="",10^12,OFFSET(PLE!$G$14,$M169,CC$13))))</f>
        <v>1000000000000</v>
      </c>
      <c r="CD169" s="216">
        <f ca="1">IF($D169&lt;&gt;"Serviço",0,IF(OR(AND(AUTOEVENTO="Manual",$M169=1),$M169&gt;(ROW(PLE.lastrow)-ROW(PLE.firstrow))),0,IF(OFFSET(PLE!$G$14,$M169,CD$13)="",10^12,OFFSET(PLE!$G$14,$M169,CD$13))))</f>
        <v>1000000000000</v>
      </c>
      <c r="CE169" s="216">
        <f ca="1">IF($D169&lt;&gt;"Serviço",0,IF(OR(AND(AUTOEVENTO="Manual",$M169=1),$M169&gt;(ROW(PLE.lastrow)-ROW(PLE.firstrow))),0,IF(OFFSET(PLE!$G$14,$M169,CE$13)="",10^12,OFFSET(PLE!$G$14,$M169,CE$13))))</f>
        <v>1000000000000</v>
      </c>
      <c r="CF169" s="216">
        <f ca="1">IF($D169&lt;&gt;"Serviço",0,IF(OR(AND(AUTOEVENTO="Manual",$M169=1),$M169&gt;(ROW(PLE.lastrow)-ROW(PLE.firstrow))),0,IF(OFFSET(PLE!$G$14,$M169,CF$13)="",10^12,OFFSET(PLE!$G$14,$M169,CF$13))))</f>
        <v>1000000000000</v>
      </c>
      <c r="CG169" s="216">
        <f ca="1">IF($D169&lt;&gt;"Serviço",0,IF(OR(AND(AUTOEVENTO="Manual",$M169=1),$M169&gt;(ROW(PLE.lastrow)-ROW(PLE.firstrow))),0,IF(OFFSET(PLE!$G$14,$M169,CG$13)="",10^12,OFFSET(PLE!$G$14,$M169,CG$13))))</f>
        <v>1000000000000</v>
      </c>
      <c r="CH169" s="216">
        <f ca="1">IF($D169&lt;&gt;"Serviço",0,IF(OR(AND(AUTOEVENTO="Manual",$M169=1),$M169&gt;(ROW(PLE.lastrow)-ROW(PLE.firstrow))),0,IF(OFFSET(PLE!$G$14,$M169,CH$13)="",10^12,OFFSET(PLE!$G$14,$M169,CH$13))))</f>
        <v>1000000000000</v>
      </c>
      <c r="CI169" s="216">
        <f ca="1">IF($D169&lt;&gt;"Serviço",0,IF(OR(AND(AUTOEVENTO="Manual",$M169=1),$M169&gt;(ROW(PLE.lastrow)-ROW(PLE.firstrow))),0,IF(OFFSET(PLE!$G$14,$M169,CI$13)="",10^12,OFFSET(PLE!$G$14,$M169,CI$13))))</f>
        <v>1000000000000</v>
      </c>
      <c r="CJ169" s="216">
        <f ca="1">IF($D169&lt;&gt;"Serviço",0,IF(OR(AND(AUTOEVENTO="Manual",$M169=1),$M169&gt;(ROW(PLE.lastrow)-ROW(PLE.firstrow))),0,IF(OFFSET(PLE!$G$14,$M169,CJ$13)="",10^12,OFFSET(PLE!$G$14,$M169,CJ$13))))</f>
        <v>1000000000000</v>
      </c>
      <c r="CK169" s="216">
        <f ca="1">IF($D169&lt;&gt;"Serviço",0,IF(OR(AND(AUTOEVENTO="Manual",$M169=1),$M169&gt;(ROW(PLE.lastrow)-ROW(PLE.firstrow))),0,IF(OFFSET(PLE!$G$14,$M169,CK$13)="",10^12,OFFSET(PLE!$G$14,$M169,CK$13))))</f>
        <v>1000000000000</v>
      </c>
      <c r="CL169" s="216">
        <f ca="1">IF($D169&lt;&gt;"Serviço",0,IF(OR(AND(AUTOEVENTO="Manual",$M169=1),$M169&gt;(ROW(PLE.lastrow)-ROW(PLE.firstrow))),0,IF(OFFSET(PLE!$G$14,$M169,CL$13)="",10^12,OFFSET(PLE!$G$14,$M169,CL$13))))</f>
        <v>1000000000000</v>
      </c>
      <c r="CM169" s="216">
        <f ca="1">IF($D169&lt;&gt;"Serviço",0,IF(OR(AND(AUTOEVENTO="Manual",$M169=1),$M169&gt;(ROW(PLE.lastrow)-ROW(PLE.firstrow))),0,IF(OFFSET(PLE!$G$14,$M169,CM$13)="",10^12,OFFSET(PLE!$G$14,$M169,CM$13))))</f>
        <v>1000000000000</v>
      </c>
    </row>
    <row r="170" spans="1:91" ht="13.2" x14ac:dyDescent="0.25">
      <c r="A170" s="9">
        <f t="shared" ca="1" si="11"/>
        <v>0</v>
      </c>
      <c r="B170" s="9" t="str">
        <f ca="1">OFFSET(ORÇAMENTO!C$15,ROW(B170)-ROW(B$15),0)</f>
        <v>S</v>
      </c>
      <c r="C170" s="9" t="str">
        <f ca="1">OFFSET(ORÇAMENTO!L$15,ROW(C170)-ROW(C$15),0)</f>
        <v/>
      </c>
      <c r="D170" s="145" t="str">
        <f ca="1">OFFSET(ORÇAMENTO!N$15,ROW(D170)-ROW(D$15),0)</f>
        <v>Serviço</v>
      </c>
      <c r="E170" s="205" t="str">
        <f ca="1">OFFSET(ORÇAMENTO!O$15,ROW(E170)-ROW(E$15),0)</f>
        <v>-</v>
      </c>
      <c r="F170" s="206" t="str">
        <f ca="1">OFFSET(ORÇAMENTO!R$15,ROW(F170)-ROW(F$15),0)</f>
        <v>(abra o arquivo 'Referência 05-2024.xls)</v>
      </c>
      <c r="G170" s="207" t="str">
        <f ca="1">IF($D170&lt;&gt;"Serviço","",OFFSET(ORÇAMENTO!S$15,ROW(G170)-ROW(G$15),0))</f>
        <v>-</v>
      </c>
      <c r="H170" s="151">
        <f ca="1">IF($D170&lt;&gt;"Serviço",0,IF(ACOMPANHAMENTO="BM",ROUND(OFFSET(ORÇAMENTO!AJ$15,ROW(H170)-ROW(H$15),0),15-13*ORÇAMENTO!$AF$7),SUMPRODUCT(($Q$12:$AI$12&lt;&gt;"")*ROUND($Q170:$AI170,15-13*ORÇAMENTO!$AF$7))))</f>
        <v>247.99</v>
      </c>
      <c r="I170" s="650"/>
      <c r="K170" s="208"/>
      <c r="L170" s="209" t="s">
        <v>257</v>
      </c>
      <c r="M170" s="210">
        <f ca="1">IF($D170&lt;&gt;"Serviço","",IF(AUTOEVENTO="manual",$A170,IF(ISERROR(MATCH($A170,$A$15:OFFSET($A170,-1,0),0)),MAX($M$15:OFFSET(M170,-1,0))+1,INDEX($M$15:OFFSET(M170,-1,0),MATCH($A170,$A$15:OFFSET($A170,-1,0),0)))))</f>
        <v>0</v>
      </c>
      <c r="N170" s="211" t="str">
        <f ca="1">IF($D170&lt;&gt;"Serviço","",IF(AUTOEVENTO="Manual",IF($A170=0,"&lt;-- defina o número do agrupador",OFFSET(EVENTOS!$D$14,$A170,0)),OFFSET($F$15,$A170,0)))</f>
        <v>&lt;-- defina o número do agrupador</v>
      </c>
      <c r="O170" s="212"/>
      <c r="Q170" s="212"/>
      <c r="R170" s="213"/>
      <c r="S170" s="213"/>
      <c r="T170" s="213"/>
      <c r="U170" s="213"/>
      <c r="V170" s="213"/>
      <c r="W170" s="213"/>
      <c r="X170" s="213"/>
      <c r="Y170" s="213"/>
      <c r="Z170" s="214"/>
      <c r="AA170" s="213"/>
      <c r="AB170" s="213"/>
      <c r="AC170" s="213"/>
      <c r="AD170" s="213"/>
      <c r="AE170" s="213"/>
      <c r="AF170" s="213"/>
      <c r="AG170" s="213"/>
      <c r="AH170" s="214"/>
      <c r="AJ170" s="631">
        <f ca="1">IF(AND($D170="Serviço",AJ$12&lt;&gt;0,$H170&gt;0,OR(AUTOEVENTO&lt;&gt;"manual",$M170&lt;&gt;1)),ROUND(OFFSET($P170,0,AJ$13),15-13*ORÇAMENTO!$AF$7)/$H170*OFFSET(ORÇAMENTO!$X$15,ROW(AJ170)-ROW(AJ$15),0),0)</f>
        <v>0</v>
      </c>
      <c r="AK170" s="632">
        <f ca="1">IF(AND($D170="Serviço",AK$12&lt;&gt;0,$H170&gt;0,OR(AUTOEVENTO&lt;&gt;"manual",$M170&lt;&gt;1)),ROUND(OFFSET($P170,0,AK$13),15-13*ORÇAMENTO!$AF$7)/$H170*OFFSET(ORÇAMENTO!$X$15,ROW(AK170)-ROW(AK$15),0),0)</f>
        <v>0</v>
      </c>
      <c r="AL170" s="632">
        <f ca="1">IF(AND($D170="Serviço",AL$12&lt;&gt;0,$H170&gt;0,OR(AUTOEVENTO&lt;&gt;"manual",$M170&lt;&gt;1)),ROUND(OFFSET($P170,0,AL$13),15-13*ORÇAMENTO!$AF$7)/$H170*OFFSET(ORÇAMENTO!$X$15,ROW(AL170)-ROW(AL$15),0),0)</f>
        <v>0</v>
      </c>
      <c r="AM170" s="632">
        <f ca="1">IF(AND($D170="Serviço",AM$12&lt;&gt;0,$H170&gt;0,OR(AUTOEVENTO&lt;&gt;"manual",$M170&lt;&gt;1)),ROUND(OFFSET($P170,0,AM$13),15-13*ORÇAMENTO!$AF$7)/$H170*OFFSET(ORÇAMENTO!$X$15,ROW(AM170)-ROW(AM$15),0),0)</f>
        <v>0</v>
      </c>
      <c r="AN170" s="632">
        <f ca="1">IF(AND($D170="Serviço",AN$12&lt;&gt;0,$H170&gt;0,OR(AUTOEVENTO&lt;&gt;"manual",$M170&lt;&gt;1)),ROUND(OFFSET($P170,0,AN$13),15-13*ORÇAMENTO!$AF$7)/$H170*OFFSET(ORÇAMENTO!$X$15,ROW(AN170)-ROW(AN$15),0),0)</f>
        <v>0</v>
      </c>
      <c r="AO170" s="632">
        <f ca="1">IF(AND($D170="Serviço",AO$12&lt;&gt;0,$H170&gt;0,OR(AUTOEVENTO&lt;&gt;"manual",$M170&lt;&gt;1)),ROUND(OFFSET($P170,0,AO$13),15-13*ORÇAMENTO!$AF$7)/$H170*OFFSET(ORÇAMENTO!$X$15,ROW(AO170)-ROW(AO$15),0),0)</f>
        <v>0</v>
      </c>
      <c r="AP170" s="632">
        <f ca="1">IF(AND($D170="Serviço",AP$12&lt;&gt;0,$H170&gt;0,OR(AUTOEVENTO&lt;&gt;"manual",$M170&lt;&gt;1)),ROUND(OFFSET($P170,0,AP$13),15-13*ORÇAMENTO!$AF$7)/$H170*OFFSET(ORÇAMENTO!$X$15,ROW(AP170)-ROW(AP$15),0),0)</f>
        <v>0</v>
      </c>
      <c r="AQ170" s="632">
        <f ca="1">IF(AND($D170="Serviço",AQ$12&lt;&gt;0,$H170&gt;0,OR(AUTOEVENTO&lt;&gt;"manual",$M170&lt;&gt;1)),ROUND(OFFSET($P170,0,AQ$13),15-13*ORÇAMENTO!$AF$7)/$H170*OFFSET(ORÇAMENTO!$X$15,ROW(AQ170)-ROW(AQ$15),0),0)</f>
        <v>0</v>
      </c>
      <c r="AR170" s="632">
        <f ca="1">IF(AND($D170="Serviço",AR$12&lt;&gt;0,$H170&gt;0,OR(AUTOEVENTO&lt;&gt;"manual",$M170&lt;&gt;1)),ROUND(OFFSET($P170,0,AR$13),15-13*ORÇAMENTO!$AF$7)/$H170*OFFSET(ORÇAMENTO!$X$15,ROW(AR170)-ROW(AR$15),0),0)</f>
        <v>0</v>
      </c>
      <c r="AS170" s="633">
        <f ca="1">IF(AND($D170="Serviço",AS$12&lt;&gt;0,$H170&gt;0,OR(AUTOEVENTO&lt;&gt;"manual",$M170&lt;&gt;1)),ROUND(OFFSET($P170,0,AS$13),15-13*ORÇAMENTO!$AF$7)/$H170*OFFSET(ORÇAMENTO!$X$15,ROW(AS170)-ROW(AS$15),0),0)</f>
        <v>0</v>
      </c>
      <c r="AT170" s="632">
        <f ca="1">IF(AND($D170="Serviço",AT$12&lt;&gt;0,$H170&gt;0,OR(AUTOEVENTO&lt;&gt;"manual",$M170&lt;&gt;1)),ROUND(OFFSET($P170,0,AT$13),15-13*ORÇAMENTO!$AF$7)/$H170*OFFSET(ORÇAMENTO!$X$15,ROW(AT170)-ROW(AT$15),0),0)</f>
        <v>0</v>
      </c>
      <c r="AU170" s="632">
        <f ca="1">IF(AND($D170="Serviço",AU$12&lt;&gt;0,$H170&gt;0,OR(AUTOEVENTO&lt;&gt;"manual",$M170&lt;&gt;1)),ROUND(OFFSET($P170,0,AU$13),15-13*ORÇAMENTO!$AF$7)/$H170*OFFSET(ORÇAMENTO!$X$15,ROW(AU170)-ROW(AU$15),0),0)</f>
        <v>0</v>
      </c>
      <c r="AV170" s="632">
        <f ca="1">IF(AND($D170="Serviço",AV$12&lt;&gt;0,$H170&gt;0,OR(AUTOEVENTO&lt;&gt;"manual",$M170&lt;&gt;1)),ROUND(OFFSET($P170,0,AV$13),15-13*ORÇAMENTO!$AF$7)/$H170*OFFSET(ORÇAMENTO!$X$15,ROW(AV170)-ROW(AV$15),0),0)</f>
        <v>0</v>
      </c>
      <c r="AW170" s="632">
        <f ca="1">IF(AND($D170="Serviço",AW$12&lt;&gt;0,$H170&gt;0,OR(AUTOEVENTO&lt;&gt;"manual",$M170&lt;&gt;1)),ROUND(OFFSET($P170,0,AW$13),15-13*ORÇAMENTO!$AF$7)/$H170*OFFSET(ORÇAMENTO!$X$15,ROW(AW170)-ROW(AW$15),0),0)</f>
        <v>0</v>
      </c>
      <c r="AX170" s="632">
        <f ca="1">IF(AND($D170="Serviço",AX$12&lt;&gt;0,$H170&gt;0,OR(AUTOEVENTO&lt;&gt;"manual",$M170&lt;&gt;1)),ROUND(OFFSET($P170,0,AX$13),15-13*ORÇAMENTO!$AF$7)/$H170*OFFSET(ORÇAMENTO!$X$15,ROW(AX170)-ROW(AX$15),0),0)</f>
        <v>0</v>
      </c>
      <c r="AY170" s="632">
        <f ca="1">IF(AND($D170="Serviço",AY$12&lt;&gt;0,$H170&gt;0,OR(AUTOEVENTO&lt;&gt;"manual",$M170&lt;&gt;1)),ROUND(OFFSET($P170,0,AY$13),15-13*ORÇAMENTO!$AF$7)/$H170*OFFSET(ORÇAMENTO!$X$15,ROW(AY170)-ROW(AY$15),0),0)</f>
        <v>0</v>
      </c>
      <c r="AZ170" s="632">
        <f ca="1">IF(AND($D170="Serviço",AZ$12&lt;&gt;0,$H170&gt;0,OR(AUTOEVENTO&lt;&gt;"manual",$M170&lt;&gt;1)),ROUND(OFFSET($P170,0,AZ$13),15-13*ORÇAMENTO!$AF$7)/$H170*OFFSET(ORÇAMENTO!$X$15,ROW(AZ170)-ROW(AZ$15),0),0)</f>
        <v>0</v>
      </c>
      <c r="BA170" s="633">
        <f ca="1">IF(AND($D170="Serviço",BA$12&lt;&gt;0,$H170&gt;0,OR(AUTOEVENTO&lt;&gt;"manual",$M170&lt;&gt;1)),ROUND(OFFSET($P170,0,BA$13),15-13*ORÇAMENTO!$AF$7)/$H170*OFFSET(ORÇAMENTO!$X$15,ROW(BA170)-ROW(BA$15),0),0)</f>
        <v>0</v>
      </c>
      <c r="BC170" s="215">
        <f ca="1">IF($D170&lt;&gt;"Serviço",0,IF(AND(AUTOEVENTO="Manual",$M170=1),0,IF(OFFSET(CRONOPLE!$F$14,$M170,BC$13)="",10^12,OFFSET(CRONOPLE!$F$14,$M170,BC$13))))</f>
        <v>1000000000000</v>
      </c>
      <c r="BD170" s="215">
        <f ca="1">IF($D170&lt;&gt;"Serviço",0,IF(AND(AUTOEVENTO="Manual",$M170=1),0,IF(OFFSET(CRONOPLE!$F$14,$M170,BD$13)="",10^12,OFFSET(CRONOPLE!$F$14,$M170,BD$13))))</f>
        <v>1000000000000</v>
      </c>
      <c r="BE170" s="215">
        <f ca="1">IF($D170&lt;&gt;"Serviço",0,IF(AND(AUTOEVENTO="Manual",$M170=1),0,IF(OFFSET(CRONOPLE!$F$14,$M170,BE$13)="",10^12,OFFSET(CRONOPLE!$F$14,$M170,BE$13))))</f>
        <v>1000000000000</v>
      </c>
      <c r="BF170" s="215">
        <f ca="1">IF($D170&lt;&gt;"Serviço",0,IF(AND(AUTOEVENTO="Manual",$M170=1),0,IF(OFFSET(CRONOPLE!$F$14,$M170,BF$13)="",10^12,OFFSET(CRONOPLE!$F$14,$M170,BF$13))))</f>
        <v>1000000000000</v>
      </c>
      <c r="BG170" s="215">
        <f ca="1">IF($D170&lt;&gt;"Serviço",0,IF(AND(AUTOEVENTO="Manual",$M170=1),0,IF(OFFSET(CRONOPLE!$F$14,$M170,BG$13)="",10^12,OFFSET(CRONOPLE!$F$14,$M170,BG$13))))</f>
        <v>1000000000000</v>
      </c>
      <c r="BH170" s="215">
        <f ca="1">IF($D170&lt;&gt;"Serviço",0,IF(AND(AUTOEVENTO="Manual",$M170=1),0,IF(OFFSET(CRONOPLE!$F$14,$M170,BH$13)="",10^12,OFFSET(CRONOPLE!$F$14,$M170,BH$13))))</f>
        <v>1000000000000</v>
      </c>
      <c r="BI170" s="215">
        <f ca="1">IF($D170&lt;&gt;"Serviço",0,IF(AND(AUTOEVENTO="Manual",$M170=1),0,IF(OFFSET(CRONOPLE!$F$14,$M170,BI$13)="",10^12,OFFSET(CRONOPLE!$F$14,$M170,BI$13))))</f>
        <v>1000000000000</v>
      </c>
      <c r="BJ170" s="215">
        <f ca="1">IF($D170&lt;&gt;"Serviço",0,IF(AND(AUTOEVENTO="Manual",$M170=1),0,IF(OFFSET(CRONOPLE!$F$14,$M170,BJ$13)="",10^12,OFFSET(CRONOPLE!$F$14,$M170,BJ$13))))</f>
        <v>1000000000000</v>
      </c>
      <c r="BK170" s="215">
        <f ca="1">IF($D170&lt;&gt;"Serviço",0,IF(AND(AUTOEVENTO="Manual",$M170=1),0,IF(OFFSET(CRONOPLE!$F$14,$M170,BK$13)="",10^12,OFFSET(CRONOPLE!$F$14,$M170,BK$13))))</f>
        <v>1000000000000</v>
      </c>
      <c r="BL170" s="215">
        <f ca="1">IF($D170&lt;&gt;"Serviço",0,IF(AND(AUTOEVENTO="Manual",$M170=1),0,IF(OFFSET(CRONOPLE!$F$14,$M170,BL$13)="",10^12,OFFSET(CRONOPLE!$F$14,$M170,BL$13))))</f>
        <v>1000000000000</v>
      </c>
      <c r="BM170" s="215">
        <f ca="1">IF($D170&lt;&gt;"Serviço",0,IF(AND(AUTOEVENTO="Manual",$M170=1),0,IF(OFFSET(CRONOPLE!$F$14,$M170,BM$13)="",10^12,OFFSET(CRONOPLE!$F$14,$M170,BM$13))))</f>
        <v>1000000000000</v>
      </c>
      <c r="BN170" s="215">
        <f ca="1">IF($D170&lt;&gt;"Serviço",0,IF(AND(AUTOEVENTO="Manual",$M170=1),0,IF(OFFSET(CRONOPLE!$F$14,$M170,BN$13)="",10^12,OFFSET(CRONOPLE!$F$14,$M170,BN$13))))</f>
        <v>1000000000000</v>
      </c>
      <c r="BO170" s="215">
        <f ca="1">IF($D170&lt;&gt;"Serviço",0,IF(AND(AUTOEVENTO="Manual",$M170=1),0,IF(OFFSET(CRONOPLE!$F$14,$M170,BO$13)="",10^12,OFFSET(CRONOPLE!$F$14,$M170,BO$13))))</f>
        <v>1000000000000</v>
      </c>
      <c r="BP170" s="215">
        <f ca="1">IF($D170&lt;&gt;"Serviço",0,IF(AND(AUTOEVENTO="Manual",$M170=1),0,IF(OFFSET(CRONOPLE!$F$14,$M170,BP$13)="",10^12,OFFSET(CRONOPLE!$F$14,$M170,BP$13))))</f>
        <v>1000000000000</v>
      </c>
      <c r="BQ170" s="215">
        <f ca="1">IF($D170&lt;&gt;"Serviço",0,IF(AND(AUTOEVENTO="Manual",$M170=1),0,IF(OFFSET(CRONOPLE!$F$14,$M170,BQ$13)="",10^12,OFFSET(CRONOPLE!$F$14,$M170,BQ$13))))</f>
        <v>1000000000000</v>
      </c>
      <c r="BR170" s="215">
        <f ca="1">IF($D170&lt;&gt;"Serviço",0,IF(AND(AUTOEVENTO="Manual",$M170=1),0,IF(OFFSET(CRONOPLE!$F$14,$M170,BR$13)="",10^12,OFFSET(CRONOPLE!$F$14,$M170,BR$13))))</f>
        <v>1000000000000</v>
      </c>
      <c r="BS170" s="215">
        <f ca="1">IF($D170&lt;&gt;"Serviço",0,IF(AND(AUTOEVENTO="Manual",$M170=1),0,IF(OFFSET(CRONOPLE!$F$14,$M170,BS$13)="",10^12,OFFSET(CRONOPLE!$F$14,$M170,BS$13))))</f>
        <v>1000000000000</v>
      </c>
      <c r="BT170" s="215">
        <f ca="1">IF($D170&lt;&gt;"Serviço",0,IF(AND(AUTOEVENTO="Manual",$M170=1),0,IF(OFFSET(CRONOPLE!$F$14,$M170,BT$13)="",10^12,OFFSET(CRONOPLE!$F$14,$M170,BT$13))))</f>
        <v>1000000000000</v>
      </c>
      <c r="BV170" s="216">
        <f ca="1">IF($D170&lt;&gt;"Serviço",0,IF(OR(AND(AUTOEVENTO="Manual",$M170=1),$M170&gt;(ROW(PLE.lastrow)-ROW(PLE.firstrow))),0,IF(OFFSET(PLE!$G$14,$M170,BV$13)="",10^12,OFFSET(PLE!$G$14,$M170,BV$13))))</f>
        <v>1000000000000</v>
      </c>
      <c r="BW170" s="216">
        <f ca="1">IF($D170&lt;&gt;"Serviço",0,IF(OR(AND(AUTOEVENTO="Manual",$M170=1),$M170&gt;(ROW(PLE.lastrow)-ROW(PLE.firstrow))),0,IF(OFFSET(PLE!$G$14,$M170,BW$13)="",10^12,OFFSET(PLE!$G$14,$M170,BW$13))))</f>
        <v>1000000000000</v>
      </c>
      <c r="BX170" s="216">
        <f ca="1">IF($D170&lt;&gt;"Serviço",0,IF(OR(AND(AUTOEVENTO="Manual",$M170=1),$M170&gt;(ROW(PLE.lastrow)-ROW(PLE.firstrow))),0,IF(OFFSET(PLE!$G$14,$M170,BX$13)="",10^12,OFFSET(PLE!$G$14,$M170,BX$13))))</f>
        <v>1000000000000</v>
      </c>
      <c r="BY170" s="216">
        <f ca="1">IF($D170&lt;&gt;"Serviço",0,IF(OR(AND(AUTOEVENTO="Manual",$M170=1),$M170&gt;(ROW(PLE.lastrow)-ROW(PLE.firstrow))),0,IF(OFFSET(PLE!$G$14,$M170,BY$13)="",10^12,OFFSET(PLE!$G$14,$M170,BY$13))))</f>
        <v>1000000000000</v>
      </c>
      <c r="BZ170" s="216">
        <f ca="1">IF($D170&lt;&gt;"Serviço",0,IF(OR(AND(AUTOEVENTO="Manual",$M170=1),$M170&gt;(ROW(PLE.lastrow)-ROW(PLE.firstrow))),0,IF(OFFSET(PLE!$G$14,$M170,BZ$13)="",10^12,OFFSET(PLE!$G$14,$M170,BZ$13))))</f>
        <v>1000000000000</v>
      </c>
      <c r="CA170" s="216">
        <f ca="1">IF($D170&lt;&gt;"Serviço",0,IF(OR(AND(AUTOEVENTO="Manual",$M170=1),$M170&gt;(ROW(PLE.lastrow)-ROW(PLE.firstrow))),0,IF(OFFSET(PLE!$G$14,$M170,CA$13)="",10^12,OFFSET(PLE!$G$14,$M170,CA$13))))</f>
        <v>1000000000000</v>
      </c>
      <c r="CB170" s="216">
        <f ca="1">IF($D170&lt;&gt;"Serviço",0,IF(OR(AND(AUTOEVENTO="Manual",$M170=1),$M170&gt;(ROW(PLE.lastrow)-ROW(PLE.firstrow))),0,IF(OFFSET(PLE!$G$14,$M170,CB$13)="",10^12,OFFSET(PLE!$G$14,$M170,CB$13))))</f>
        <v>1000000000000</v>
      </c>
      <c r="CC170" s="216">
        <f ca="1">IF($D170&lt;&gt;"Serviço",0,IF(OR(AND(AUTOEVENTO="Manual",$M170=1),$M170&gt;(ROW(PLE.lastrow)-ROW(PLE.firstrow))),0,IF(OFFSET(PLE!$G$14,$M170,CC$13)="",10^12,OFFSET(PLE!$G$14,$M170,CC$13))))</f>
        <v>1000000000000</v>
      </c>
      <c r="CD170" s="216">
        <f ca="1">IF($D170&lt;&gt;"Serviço",0,IF(OR(AND(AUTOEVENTO="Manual",$M170=1),$M170&gt;(ROW(PLE.lastrow)-ROW(PLE.firstrow))),0,IF(OFFSET(PLE!$G$14,$M170,CD$13)="",10^12,OFFSET(PLE!$G$14,$M170,CD$13))))</f>
        <v>1000000000000</v>
      </c>
      <c r="CE170" s="216">
        <f ca="1">IF($D170&lt;&gt;"Serviço",0,IF(OR(AND(AUTOEVENTO="Manual",$M170=1),$M170&gt;(ROW(PLE.lastrow)-ROW(PLE.firstrow))),0,IF(OFFSET(PLE!$G$14,$M170,CE$13)="",10^12,OFFSET(PLE!$G$14,$M170,CE$13))))</f>
        <v>1000000000000</v>
      </c>
      <c r="CF170" s="216">
        <f ca="1">IF($D170&lt;&gt;"Serviço",0,IF(OR(AND(AUTOEVENTO="Manual",$M170=1),$M170&gt;(ROW(PLE.lastrow)-ROW(PLE.firstrow))),0,IF(OFFSET(PLE!$G$14,$M170,CF$13)="",10^12,OFFSET(PLE!$G$14,$M170,CF$13))))</f>
        <v>1000000000000</v>
      </c>
      <c r="CG170" s="216">
        <f ca="1">IF($D170&lt;&gt;"Serviço",0,IF(OR(AND(AUTOEVENTO="Manual",$M170=1),$M170&gt;(ROW(PLE.lastrow)-ROW(PLE.firstrow))),0,IF(OFFSET(PLE!$G$14,$M170,CG$13)="",10^12,OFFSET(PLE!$G$14,$M170,CG$13))))</f>
        <v>1000000000000</v>
      </c>
      <c r="CH170" s="216">
        <f ca="1">IF($D170&lt;&gt;"Serviço",0,IF(OR(AND(AUTOEVENTO="Manual",$M170=1),$M170&gt;(ROW(PLE.lastrow)-ROW(PLE.firstrow))),0,IF(OFFSET(PLE!$G$14,$M170,CH$13)="",10^12,OFFSET(PLE!$G$14,$M170,CH$13))))</f>
        <v>1000000000000</v>
      </c>
      <c r="CI170" s="216">
        <f ca="1">IF($D170&lt;&gt;"Serviço",0,IF(OR(AND(AUTOEVENTO="Manual",$M170=1),$M170&gt;(ROW(PLE.lastrow)-ROW(PLE.firstrow))),0,IF(OFFSET(PLE!$G$14,$M170,CI$13)="",10^12,OFFSET(PLE!$G$14,$M170,CI$13))))</f>
        <v>1000000000000</v>
      </c>
      <c r="CJ170" s="216">
        <f ca="1">IF($D170&lt;&gt;"Serviço",0,IF(OR(AND(AUTOEVENTO="Manual",$M170=1),$M170&gt;(ROW(PLE.lastrow)-ROW(PLE.firstrow))),0,IF(OFFSET(PLE!$G$14,$M170,CJ$13)="",10^12,OFFSET(PLE!$G$14,$M170,CJ$13))))</f>
        <v>1000000000000</v>
      </c>
      <c r="CK170" s="216">
        <f ca="1">IF($D170&lt;&gt;"Serviço",0,IF(OR(AND(AUTOEVENTO="Manual",$M170=1),$M170&gt;(ROW(PLE.lastrow)-ROW(PLE.firstrow))),0,IF(OFFSET(PLE!$G$14,$M170,CK$13)="",10^12,OFFSET(PLE!$G$14,$M170,CK$13))))</f>
        <v>1000000000000</v>
      </c>
      <c r="CL170" s="216">
        <f ca="1">IF($D170&lt;&gt;"Serviço",0,IF(OR(AND(AUTOEVENTO="Manual",$M170=1),$M170&gt;(ROW(PLE.lastrow)-ROW(PLE.firstrow))),0,IF(OFFSET(PLE!$G$14,$M170,CL$13)="",10^12,OFFSET(PLE!$G$14,$M170,CL$13))))</f>
        <v>1000000000000</v>
      </c>
      <c r="CM170" s="216">
        <f ca="1">IF($D170&lt;&gt;"Serviço",0,IF(OR(AND(AUTOEVENTO="Manual",$M170=1),$M170&gt;(ROW(PLE.lastrow)-ROW(PLE.firstrow))),0,IF(OFFSET(PLE!$G$14,$M170,CM$13)="",10^12,OFFSET(PLE!$G$14,$M170,CM$13))))</f>
        <v>1000000000000</v>
      </c>
    </row>
    <row r="171" spans="1:91" ht="13.2" x14ac:dyDescent="0.25">
      <c r="A171" s="9">
        <f t="shared" ca="1" si="11"/>
        <v>0</v>
      </c>
      <c r="B171" s="9" t="str">
        <f ca="1">OFFSET(ORÇAMENTO!C$15,ROW(B171)-ROW(B$15),0)</f>
        <v>S</v>
      </c>
      <c r="C171" s="9" t="str">
        <f ca="1">OFFSET(ORÇAMENTO!L$15,ROW(C171)-ROW(C$15),0)</f>
        <v/>
      </c>
      <c r="D171" s="145" t="str">
        <f ca="1">OFFSET(ORÇAMENTO!N$15,ROW(D171)-ROW(D$15),0)</f>
        <v>Serviço</v>
      </c>
      <c r="E171" s="205" t="str">
        <f ca="1">OFFSET(ORÇAMENTO!O$15,ROW(E171)-ROW(E$15),0)</f>
        <v>-</v>
      </c>
      <c r="F171" s="206" t="str">
        <f ca="1">OFFSET(ORÇAMENTO!R$15,ROW(F171)-ROW(F$15),0)</f>
        <v>(abra o arquivo 'Referência 05-2024.xls)</v>
      </c>
      <c r="G171" s="207" t="str">
        <f ca="1">IF($D171&lt;&gt;"Serviço","",OFFSET(ORÇAMENTO!S$15,ROW(G171)-ROW(G$15),0))</f>
        <v>-</v>
      </c>
      <c r="H171" s="151">
        <f ca="1">IF($D171&lt;&gt;"Serviço",0,IF(ACOMPANHAMENTO="BM",ROUND(OFFSET(ORÇAMENTO!AJ$15,ROW(H171)-ROW(H$15),0),15-13*ORÇAMENTO!$AF$7),SUMPRODUCT(($Q$12:$AI$12&lt;&gt;"")*ROUND($Q171:$AI171,15-13*ORÇAMENTO!$AF$7))))</f>
        <v>2.2599999999999998</v>
      </c>
      <c r="I171" s="650"/>
      <c r="K171" s="208"/>
      <c r="L171" s="209" t="s">
        <v>257</v>
      </c>
      <c r="M171" s="210">
        <f ca="1">IF($D171&lt;&gt;"Serviço","",IF(AUTOEVENTO="manual",$A171,IF(ISERROR(MATCH($A171,$A$15:OFFSET($A171,-1,0),0)),MAX($M$15:OFFSET(M171,-1,0))+1,INDEX($M$15:OFFSET(M171,-1,0),MATCH($A171,$A$15:OFFSET($A171,-1,0),0)))))</f>
        <v>0</v>
      </c>
      <c r="N171" s="211" t="str">
        <f ca="1">IF($D171&lt;&gt;"Serviço","",IF(AUTOEVENTO="Manual",IF($A171=0,"&lt;-- defina o número do agrupador",OFFSET(EVENTOS!$D$14,$A171,0)),OFFSET($F$15,$A171,0)))</f>
        <v>&lt;-- defina o número do agrupador</v>
      </c>
      <c r="O171" s="212"/>
      <c r="Q171" s="212"/>
      <c r="R171" s="213"/>
      <c r="S171" s="213"/>
      <c r="T171" s="213"/>
      <c r="U171" s="213"/>
      <c r="V171" s="213"/>
      <c r="W171" s="213"/>
      <c r="X171" s="213"/>
      <c r="Y171" s="213"/>
      <c r="Z171" s="214"/>
      <c r="AA171" s="213"/>
      <c r="AB171" s="213"/>
      <c r="AC171" s="213"/>
      <c r="AD171" s="213"/>
      <c r="AE171" s="213"/>
      <c r="AF171" s="213"/>
      <c r="AG171" s="213"/>
      <c r="AH171" s="214"/>
      <c r="AJ171" s="631">
        <f ca="1">IF(AND($D171="Serviço",AJ$12&lt;&gt;0,$H171&gt;0,OR(AUTOEVENTO&lt;&gt;"manual",$M171&lt;&gt;1)),ROUND(OFFSET($P171,0,AJ$13),15-13*ORÇAMENTO!$AF$7)/$H171*OFFSET(ORÇAMENTO!$X$15,ROW(AJ171)-ROW(AJ$15),0),0)</f>
        <v>0</v>
      </c>
      <c r="AK171" s="632">
        <f ca="1">IF(AND($D171="Serviço",AK$12&lt;&gt;0,$H171&gt;0,OR(AUTOEVENTO&lt;&gt;"manual",$M171&lt;&gt;1)),ROUND(OFFSET($P171,0,AK$13),15-13*ORÇAMENTO!$AF$7)/$H171*OFFSET(ORÇAMENTO!$X$15,ROW(AK171)-ROW(AK$15),0),0)</f>
        <v>0</v>
      </c>
      <c r="AL171" s="632">
        <f ca="1">IF(AND($D171="Serviço",AL$12&lt;&gt;0,$H171&gt;0,OR(AUTOEVENTO&lt;&gt;"manual",$M171&lt;&gt;1)),ROUND(OFFSET($P171,0,AL$13),15-13*ORÇAMENTO!$AF$7)/$H171*OFFSET(ORÇAMENTO!$X$15,ROW(AL171)-ROW(AL$15),0),0)</f>
        <v>0</v>
      </c>
      <c r="AM171" s="632">
        <f ca="1">IF(AND($D171="Serviço",AM$12&lt;&gt;0,$H171&gt;0,OR(AUTOEVENTO&lt;&gt;"manual",$M171&lt;&gt;1)),ROUND(OFFSET($P171,0,AM$13),15-13*ORÇAMENTO!$AF$7)/$H171*OFFSET(ORÇAMENTO!$X$15,ROW(AM171)-ROW(AM$15),0),0)</f>
        <v>0</v>
      </c>
      <c r="AN171" s="632">
        <f ca="1">IF(AND($D171="Serviço",AN$12&lt;&gt;0,$H171&gt;0,OR(AUTOEVENTO&lt;&gt;"manual",$M171&lt;&gt;1)),ROUND(OFFSET($P171,0,AN$13),15-13*ORÇAMENTO!$AF$7)/$H171*OFFSET(ORÇAMENTO!$X$15,ROW(AN171)-ROW(AN$15),0),0)</f>
        <v>0</v>
      </c>
      <c r="AO171" s="632">
        <f ca="1">IF(AND($D171="Serviço",AO$12&lt;&gt;0,$H171&gt;0,OR(AUTOEVENTO&lt;&gt;"manual",$M171&lt;&gt;1)),ROUND(OFFSET($P171,0,AO$13),15-13*ORÇAMENTO!$AF$7)/$H171*OFFSET(ORÇAMENTO!$X$15,ROW(AO171)-ROW(AO$15),0),0)</f>
        <v>0</v>
      </c>
      <c r="AP171" s="632">
        <f ca="1">IF(AND($D171="Serviço",AP$12&lt;&gt;0,$H171&gt;0,OR(AUTOEVENTO&lt;&gt;"manual",$M171&lt;&gt;1)),ROUND(OFFSET($P171,0,AP$13),15-13*ORÇAMENTO!$AF$7)/$H171*OFFSET(ORÇAMENTO!$X$15,ROW(AP171)-ROW(AP$15),0),0)</f>
        <v>0</v>
      </c>
      <c r="AQ171" s="632">
        <f ca="1">IF(AND($D171="Serviço",AQ$12&lt;&gt;0,$H171&gt;0,OR(AUTOEVENTO&lt;&gt;"manual",$M171&lt;&gt;1)),ROUND(OFFSET($P171,0,AQ$13),15-13*ORÇAMENTO!$AF$7)/$H171*OFFSET(ORÇAMENTO!$X$15,ROW(AQ171)-ROW(AQ$15),0),0)</f>
        <v>0</v>
      </c>
      <c r="AR171" s="632">
        <f ca="1">IF(AND($D171="Serviço",AR$12&lt;&gt;0,$H171&gt;0,OR(AUTOEVENTO&lt;&gt;"manual",$M171&lt;&gt;1)),ROUND(OFFSET($P171,0,AR$13),15-13*ORÇAMENTO!$AF$7)/$H171*OFFSET(ORÇAMENTO!$X$15,ROW(AR171)-ROW(AR$15),0),0)</f>
        <v>0</v>
      </c>
      <c r="AS171" s="633">
        <f ca="1">IF(AND($D171="Serviço",AS$12&lt;&gt;0,$H171&gt;0,OR(AUTOEVENTO&lt;&gt;"manual",$M171&lt;&gt;1)),ROUND(OFFSET($P171,0,AS$13),15-13*ORÇAMENTO!$AF$7)/$H171*OFFSET(ORÇAMENTO!$X$15,ROW(AS171)-ROW(AS$15),0),0)</f>
        <v>0</v>
      </c>
      <c r="AT171" s="632">
        <f ca="1">IF(AND($D171="Serviço",AT$12&lt;&gt;0,$H171&gt;0,OR(AUTOEVENTO&lt;&gt;"manual",$M171&lt;&gt;1)),ROUND(OFFSET($P171,0,AT$13),15-13*ORÇAMENTO!$AF$7)/$H171*OFFSET(ORÇAMENTO!$X$15,ROW(AT171)-ROW(AT$15),0),0)</f>
        <v>0</v>
      </c>
      <c r="AU171" s="632">
        <f ca="1">IF(AND($D171="Serviço",AU$12&lt;&gt;0,$H171&gt;0,OR(AUTOEVENTO&lt;&gt;"manual",$M171&lt;&gt;1)),ROUND(OFFSET($P171,0,AU$13),15-13*ORÇAMENTO!$AF$7)/$H171*OFFSET(ORÇAMENTO!$X$15,ROW(AU171)-ROW(AU$15),0),0)</f>
        <v>0</v>
      </c>
      <c r="AV171" s="632">
        <f ca="1">IF(AND($D171="Serviço",AV$12&lt;&gt;0,$H171&gt;0,OR(AUTOEVENTO&lt;&gt;"manual",$M171&lt;&gt;1)),ROUND(OFFSET($P171,0,AV$13),15-13*ORÇAMENTO!$AF$7)/$H171*OFFSET(ORÇAMENTO!$X$15,ROW(AV171)-ROW(AV$15),0),0)</f>
        <v>0</v>
      </c>
      <c r="AW171" s="632">
        <f ca="1">IF(AND($D171="Serviço",AW$12&lt;&gt;0,$H171&gt;0,OR(AUTOEVENTO&lt;&gt;"manual",$M171&lt;&gt;1)),ROUND(OFFSET($P171,0,AW$13),15-13*ORÇAMENTO!$AF$7)/$H171*OFFSET(ORÇAMENTO!$X$15,ROW(AW171)-ROW(AW$15),0),0)</f>
        <v>0</v>
      </c>
      <c r="AX171" s="632">
        <f ca="1">IF(AND($D171="Serviço",AX$12&lt;&gt;0,$H171&gt;0,OR(AUTOEVENTO&lt;&gt;"manual",$M171&lt;&gt;1)),ROUND(OFFSET($P171,0,AX$13),15-13*ORÇAMENTO!$AF$7)/$H171*OFFSET(ORÇAMENTO!$X$15,ROW(AX171)-ROW(AX$15),0),0)</f>
        <v>0</v>
      </c>
      <c r="AY171" s="632">
        <f ca="1">IF(AND($D171="Serviço",AY$12&lt;&gt;0,$H171&gt;0,OR(AUTOEVENTO&lt;&gt;"manual",$M171&lt;&gt;1)),ROUND(OFFSET($P171,0,AY$13),15-13*ORÇAMENTO!$AF$7)/$H171*OFFSET(ORÇAMENTO!$X$15,ROW(AY171)-ROW(AY$15),0),0)</f>
        <v>0</v>
      </c>
      <c r="AZ171" s="632">
        <f ca="1">IF(AND($D171="Serviço",AZ$12&lt;&gt;0,$H171&gt;0,OR(AUTOEVENTO&lt;&gt;"manual",$M171&lt;&gt;1)),ROUND(OFFSET($P171,0,AZ$13),15-13*ORÇAMENTO!$AF$7)/$H171*OFFSET(ORÇAMENTO!$X$15,ROW(AZ171)-ROW(AZ$15),0),0)</f>
        <v>0</v>
      </c>
      <c r="BA171" s="633">
        <f ca="1">IF(AND($D171="Serviço",BA$12&lt;&gt;0,$H171&gt;0,OR(AUTOEVENTO&lt;&gt;"manual",$M171&lt;&gt;1)),ROUND(OFFSET($P171,0,BA$13),15-13*ORÇAMENTO!$AF$7)/$H171*OFFSET(ORÇAMENTO!$X$15,ROW(BA171)-ROW(BA$15),0),0)</f>
        <v>0</v>
      </c>
      <c r="BC171" s="215">
        <f ca="1">IF($D171&lt;&gt;"Serviço",0,IF(AND(AUTOEVENTO="Manual",$M171=1),0,IF(OFFSET(CRONOPLE!$F$14,$M171,BC$13)="",10^12,OFFSET(CRONOPLE!$F$14,$M171,BC$13))))</f>
        <v>1000000000000</v>
      </c>
      <c r="BD171" s="215">
        <f ca="1">IF($D171&lt;&gt;"Serviço",0,IF(AND(AUTOEVENTO="Manual",$M171=1),0,IF(OFFSET(CRONOPLE!$F$14,$M171,BD$13)="",10^12,OFFSET(CRONOPLE!$F$14,$M171,BD$13))))</f>
        <v>1000000000000</v>
      </c>
      <c r="BE171" s="215">
        <f ca="1">IF($D171&lt;&gt;"Serviço",0,IF(AND(AUTOEVENTO="Manual",$M171=1),0,IF(OFFSET(CRONOPLE!$F$14,$M171,BE$13)="",10^12,OFFSET(CRONOPLE!$F$14,$M171,BE$13))))</f>
        <v>1000000000000</v>
      </c>
      <c r="BF171" s="215">
        <f ca="1">IF($D171&lt;&gt;"Serviço",0,IF(AND(AUTOEVENTO="Manual",$M171=1),0,IF(OFFSET(CRONOPLE!$F$14,$M171,BF$13)="",10^12,OFFSET(CRONOPLE!$F$14,$M171,BF$13))))</f>
        <v>1000000000000</v>
      </c>
      <c r="BG171" s="215">
        <f ca="1">IF($D171&lt;&gt;"Serviço",0,IF(AND(AUTOEVENTO="Manual",$M171=1),0,IF(OFFSET(CRONOPLE!$F$14,$M171,BG$13)="",10^12,OFFSET(CRONOPLE!$F$14,$M171,BG$13))))</f>
        <v>1000000000000</v>
      </c>
      <c r="BH171" s="215">
        <f ca="1">IF($D171&lt;&gt;"Serviço",0,IF(AND(AUTOEVENTO="Manual",$M171=1),0,IF(OFFSET(CRONOPLE!$F$14,$M171,BH$13)="",10^12,OFFSET(CRONOPLE!$F$14,$M171,BH$13))))</f>
        <v>1000000000000</v>
      </c>
      <c r="BI171" s="215">
        <f ca="1">IF($D171&lt;&gt;"Serviço",0,IF(AND(AUTOEVENTO="Manual",$M171=1),0,IF(OFFSET(CRONOPLE!$F$14,$M171,BI$13)="",10^12,OFFSET(CRONOPLE!$F$14,$M171,BI$13))))</f>
        <v>1000000000000</v>
      </c>
      <c r="BJ171" s="215">
        <f ca="1">IF($D171&lt;&gt;"Serviço",0,IF(AND(AUTOEVENTO="Manual",$M171=1),0,IF(OFFSET(CRONOPLE!$F$14,$M171,BJ$13)="",10^12,OFFSET(CRONOPLE!$F$14,$M171,BJ$13))))</f>
        <v>1000000000000</v>
      </c>
      <c r="BK171" s="215">
        <f ca="1">IF($D171&lt;&gt;"Serviço",0,IF(AND(AUTOEVENTO="Manual",$M171=1),0,IF(OFFSET(CRONOPLE!$F$14,$M171,BK$13)="",10^12,OFFSET(CRONOPLE!$F$14,$M171,BK$13))))</f>
        <v>1000000000000</v>
      </c>
      <c r="BL171" s="215">
        <f ca="1">IF($D171&lt;&gt;"Serviço",0,IF(AND(AUTOEVENTO="Manual",$M171=1),0,IF(OFFSET(CRONOPLE!$F$14,$M171,BL$13)="",10^12,OFFSET(CRONOPLE!$F$14,$M171,BL$13))))</f>
        <v>1000000000000</v>
      </c>
      <c r="BM171" s="215">
        <f ca="1">IF($D171&lt;&gt;"Serviço",0,IF(AND(AUTOEVENTO="Manual",$M171=1),0,IF(OFFSET(CRONOPLE!$F$14,$M171,BM$13)="",10^12,OFFSET(CRONOPLE!$F$14,$M171,BM$13))))</f>
        <v>1000000000000</v>
      </c>
      <c r="BN171" s="215">
        <f ca="1">IF($D171&lt;&gt;"Serviço",0,IF(AND(AUTOEVENTO="Manual",$M171=1),0,IF(OFFSET(CRONOPLE!$F$14,$M171,BN$13)="",10^12,OFFSET(CRONOPLE!$F$14,$M171,BN$13))))</f>
        <v>1000000000000</v>
      </c>
      <c r="BO171" s="215">
        <f ca="1">IF($D171&lt;&gt;"Serviço",0,IF(AND(AUTOEVENTO="Manual",$M171=1),0,IF(OFFSET(CRONOPLE!$F$14,$M171,BO$13)="",10^12,OFFSET(CRONOPLE!$F$14,$M171,BO$13))))</f>
        <v>1000000000000</v>
      </c>
      <c r="BP171" s="215">
        <f ca="1">IF($D171&lt;&gt;"Serviço",0,IF(AND(AUTOEVENTO="Manual",$M171=1),0,IF(OFFSET(CRONOPLE!$F$14,$M171,BP$13)="",10^12,OFFSET(CRONOPLE!$F$14,$M171,BP$13))))</f>
        <v>1000000000000</v>
      </c>
      <c r="BQ171" s="215">
        <f ca="1">IF($D171&lt;&gt;"Serviço",0,IF(AND(AUTOEVENTO="Manual",$M171=1),0,IF(OFFSET(CRONOPLE!$F$14,$M171,BQ$13)="",10^12,OFFSET(CRONOPLE!$F$14,$M171,BQ$13))))</f>
        <v>1000000000000</v>
      </c>
      <c r="BR171" s="215">
        <f ca="1">IF($D171&lt;&gt;"Serviço",0,IF(AND(AUTOEVENTO="Manual",$M171=1),0,IF(OFFSET(CRONOPLE!$F$14,$M171,BR$13)="",10^12,OFFSET(CRONOPLE!$F$14,$M171,BR$13))))</f>
        <v>1000000000000</v>
      </c>
      <c r="BS171" s="215">
        <f ca="1">IF($D171&lt;&gt;"Serviço",0,IF(AND(AUTOEVENTO="Manual",$M171=1),0,IF(OFFSET(CRONOPLE!$F$14,$M171,BS$13)="",10^12,OFFSET(CRONOPLE!$F$14,$M171,BS$13))))</f>
        <v>1000000000000</v>
      </c>
      <c r="BT171" s="215">
        <f ca="1">IF($D171&lt;&gt;"Serviço",0,IF(AND(AUTOEVENTO="Manual",$M171=1),0,IF(OFFSET(CRONOPLE!$F$14,$M171,BT$13)="",10^12,OFFSET(CRONOPLE!$F$14,$M171,BT$13))))</f>
        <v>1000000000000</v>
      </c>
      <c r="BV171" s="216">
        <f ca="1">IF($D171&lt;&gt;"Serviço",0,IF(OR(AND(AUTOEVENTO="Manual",$M171=1),$M171&gt;(ROW(PLE.lastrow)-ROW(PLE.firstrow))),0,IF(OFFSET(PLE!$G$14,$M171,BV$13)="",10^12,OFFSET(PLE!$G$14,$M171,BV$13))))</f>
        <v>1000000000000</v>
      </c>
      <c r="BW171" s="216">
        <f ca="1">IF($D171&lt;&gt;"Serviço",0,IF(OR(AND(AUTOEVENTO="Manual",$M171=1),$M171&gt;(ROW(PLE.lastrow)-ROW(PLE.firstrow))),0,IF(OFFSET(PLE!$G$14,$M171,BW$13)="",10^12,OFFSET(PLE!$G$14,$M171,BW$13))))</f>
        <v>1000000000000</v>
      </c>
      <c r="BX171" s="216">
        <f ca="1">IF($D171&lt;&gt;"Serviço",0,IF(OR(AND(AUTOEVENTO="Manual",$M171=1),$M171&gt;(ROW(PLE.lastrow)-ROW(PLE.firstrow))),0,IF(OFFSET(PLE!$G$14,$M171,BX$13)="",10^12,OFFSET(PLE!$G$14,$M171,BX$13))))</f>
        <v>1000000000000</v>
      </c>
      <c r="BY171" s="216">
        <f ca="1">IF($D171&lt;&gt;"Serviço",0,IF(OR(AND(AUTOEVENTO="Manual",$M171=1),$M171&gt;(ROW(PLE.lastrow)-ROW(PLE.firstrow))),0,IF(OFFSET(PLE!$G$14,$M171,BY$13)="",10^12,OFFSET(PLE!$G$14,$M171,BY$13))))</f>
        <v>1000000000000</v>
      </c>
      <c r="BZ171" s="216">
        <f ca="1">IF($D171&lt;&gt;"Serviço",0,IF(OR(AND(AUTOEVENTO="Manual",$M171=1),$M171&gt;(ROW(PLE.lastrow)-ROW(PLE.firstrow))),0,IF(OFFSET(PLE!$G$14,$M171,BZ$13)="",10^12,OFFSET(PLE!$G$14,$M171,BZ$13))))</f>
        <v>1000000000000</v>
      </c>
      <c r="CA171" s="216">
        <f ca="1">IF($D171&lt;&gt;"Serviço",0,IF(OR(AND(AUTOEVENTO="Manual",$M171=1),$M171&gt;(ROW(PLE.lastrow)-ROW(PLE.firstrow))),0,IF(OFFSET(PLE!$G$14,$M171,CA$13)="",10^12,OFFSET(PLE!$G$14,$M171,CA$13))))</f>
        <v>1000000000000</v>
      </c>
      <c r="CB171" s="216">
        <f ca="1">IF($D171&lt;&gt;"Serviço",0,IF(OR(AND(AUTOEVENTO="Manual",$M171=1),$M171&gt;(ROW(PLE.lastrow)-ROW(PLE.firstrow))),0,IF(OFFSET(PLE!$G$14,$M171,CB$13)="",10^12,OFFSET(PLE!$G$14,$M171,CB$13))))</f>
        <v>1000000000000</v>
      </c>
      <c r="CC171" s="216">
        <f ca="1">IF($D171&lt;&gt;"Serviço",0,IF(OR(AND(AUTOEVENTO="Manual",$M171=1),$M171&gt;(ROW(PLE.lastrow)-ROW(PLE.firstrow))),0,IF(OFFSET(PLE!$G$14,$M171,CC$13)="",10^12,OFFSET(PLE!$G$14,$M171,CC$13))))</f>
        <v>1000000000000</v>
      </c>
      <c r="CD171" s="216">
        <f ca="1">IF($D171&lt;&gt;"Serviço",0,IF(OR(AND(AUTOEVENTO="Manual",$M171=1),$M171&gt;(ROW(PLE.lastrow)-ROW(PLE.firstrow))),0,IF(OFFSET(PLE!$G$14,$M171,CD$13)="",10^12,OFFSET(PLE!$G$14,$M171,CD$13))))</f>
        <v>1000000000000</v>
      </c>
      <c r="CE171" s="216">
        <f ca="1">IF($D171&lt;&gt;"Serviço",0,IF(OR(AND(AUTOEVENTO="Manual",$M171=1),$M171&gt;(ROW(PLE.lastrow)-ROW(PLE.firstrow))),0,IF(OFFSET(PLE!$G$14,$M171,CE$13)="",10^12,OFFSET(PLE!$G$14,$M171,CE$13))))</f>
        <v>1000000000000</v>
      </c>
      <c r="CF171" s="216">
        <f ca="1">IF($D171&lt;&gt;"Serviço",0,IF(OR(AND(AUTOEVENTO="Manual",$M171=1),$M171&gt;(ROW(PLE.lastrow)-ROW(PLE.firstrow))),0,IF(OFFSET(PLE!$G$14,$M171,CF$13)="",10^12,OFFSET(PLE!$G$14,$M171,CF$13))))</f>
        <v>1000000000000</v>
      </c>
      <c r="CG171" s="216">
        <f ca="1">IF($D171&lt;&gt;"Serviço",0,IF(OR(AND(AUTOEVENTO="Manual",$M171=1),$M171&gt;(ROW(PLE.lastrow)-ROW(PLE.firstrow))),0,IF(OFFSET(PLE!$G$14,$M171,CG$13)="",10^12,OFFSET(PLE!$G$14,$M171,CG$13))))</f>
        <v>1000000000000</v>
      </c>
      <c r="CH171" s="216">
        <f ca="1">IF($D171&lt;&gt;"Serviço",0,IF(OR(AND(AUTOEVENTO="Manual",$M171=1),$M171&gt;(ROW(PLE.lastrow)-ROW(PLE.firstrow))),0,IF(OFFSET(PLE!$G$14,$M171,CH$13)="",10^12,OFFSET(PLE!$G$14,$M171,CH$13))))</f>
        <v>1000000000000</v>
      </c>
      <c r="CI171" s="216">
        <f ca="1">IF($D171&lt;&gt;"Serviço",0,IF(OR(AND(AUTOEVENTO="Manual",$M171=1),$M171&gt;(ROW(PLE.lastrow)-ROW(PLE.firstrow))),0,IF(OFFSET(PLE!$G$14,$M171,CI$13)="",10^12,OFFSET(PLE!$G$14,$M171,CI$13))))</f>
        <v>1000000000000</v>
      </c>
      <c r="CJ171" s="216">
        <f ca="1">IF($D171&lt;&gt;"Serviço",0,IF(OR(AND(AUTOEVENTO="Manual",$M171=1),$M171&gt;(ROW(PLE.lastrow)-ROW(PLE.firstrow))),0,IF(OFFSET(PLE!$G$14,$M171,CJ$13)="",10^12,OFFSET(PLE!$G$14,$M171,CJ$13))))</f>
        <v>1000000000000</v>
      </c>
      <c r="CK171" s="216">
        <f ca="1">IF($D171&lt;&gt;"Serviço",0,IF(OR(AND(AUTOEVENTO="Manual",$M171=1),$M171&gt;(ROW(PLE.lastrow)-ROW(PLE.firstrow))),0,IF(OFFSET(PLE!$G$14,$M171,CK$13)="",10^12,OFFSET(PLE!$G$14,$M171,CK$13))))</f>
        <v>1000000000000</v>
      </c>
      <c r="CL171" s="216">
        <f ca="1">IF($D171&lt;&gt;"Serviço",0,IF(OR(AND(AUTOEVENTO="Manual",$M171=1),$M171&gt;(ROW(PLE.lastrow)-ROW(PLE.firstrow))),0,IF(OFFSET(PLE!$G$14,$M171,CL$13)="",10^12,OFFSET(PLE!$G$14,$M171,CL$13))))</f>
        <v>1000000000000</v>
      </c>
      <c r="CM171" s="216">
        <f ca="1">IF($D171&lt;&gt;"Serviço",0,IF(OR(AND(AUTOEVENTO="Manual",$M171=1),$M171&gt;(ROW(PLE.lastrow)-ROW(PLE.firstrow))),0,IF(OFFSET(PLE!$G$14,$M171,CM$13)="",10^12,OFFSET(PLE!$G$14,$M171,CM$13))))</f>
        <v>1000000000000</v>
      </c>
    </row>
    <row r="172" spans="1:91" ht="13.2" x14ac:dyDescent="0.25">
      <c r="A172" s="9">
        <f t="shared" ca="1" si="11"/>
        <v>0</v>
      </c>
      <c r="B172" s="9">
        <f ca="1">OFFSET(ORÇAMENTO!C$15,ROW(B172)-ROW(B$15),0)</f>
        <v>2</v>
      </c>
      <c r="C172" s="9" t="str">
        <f ca="1">OFFSET(ORÇAMENTO!L$15,ROW(C172)-ROW(C$15),0)</f>
        <v>F</v>
      </c>
      <c r="D172" s="145" t="str">
        <f ca="1">OFFSET(ORÇAMENTO!N$15,ROW(D172)-ROW(D$15),0)</f>
        <v>Nível 2</v>
      </c>
      <c r="E172" s="205" t="str">
        <f ca="1">OFFSET(ORÇAMENTO!O$15,ROW(E172)-ROW(E$15),0)</f>
        <v>1.6.</v>
      </c>
      <c r="F172" s="206" t="str">
        <f ca="1">OFFSET(ORÇAMENTO!R$15,ROW(F172)-ROW(F$15),0)</f>
        <v>ESQUADRIAS</v>
      </c>
      <c r="G172" s="207" t="str">
        <f ca="1">IF($D172&lt;&gt;"Serviço","",OFFSET(ORÇAMENTO!S$15,ROW(G172)-ROW(G$15),0))</f>
        <v/>
      </c>
      <c r="H172" s="151">
        <f ca="1">IF($D172&lt;&gt;"Serviço",0,IF(ACOMPANHAMENTO="BM",ROUND(OFFSET(ORÇAMENTO!AJ$15,ROW(H172)-ROW(H$15),0),15-13*ORÇAMENTO!$AF$7),SUMPRODUCT(($Q$12:$AI$12&lt;&gt;"")*ROUND($Q172:$AI172,15-13*ORÇAMENTO!$AF$7))))</f>
        <v>0</v>
      </c>
      <c r="I172" s="650"/>
      <c r="K172" s="208"/>
      <c r="L172" s="209" t="s">
        <v>257</v>
      </c>
      <c r="M172" s="210" t="str">
        <f ca="1">IF($D172&lt;&gt;"Serviço","",IF(AUTOEVENTO="manual",$A172,IF(ISERROR(MATCH($A172,$A$15:OFFSET($A172,-1,0),0)),MAX($M$15:OFFSET(M172,-1,0))+1,INDEX($M$15:OFFSET(M172,-1,0),MATCH($A172,$A$15:OFFSET($A172,-1,0),0)))))</f>
        <v/>
      </c>
      <c r="N172" s="211" t="str">
        <f ca="1">IF($D172&lt;&gt;"Serviço","",IF(AUTOEVENTO="Manual",IF($A172=0,"&lt;-- defina o número do agrupador",OFFSET(EVENTOS!$D$14,$A172,0)),OFFSET($F$15,$A172,0)))</f>
        <v/>
      </c>
      <c r="O172" s="212"/>
      <c r="Q172" s="212"/>
      <c r="R172" s="213"/>
      <c r="S172" s="213"/>
      <c r="T172" s="213"/>
      <c r="U172" s="213"/>
      <c r="V172" s="213"/>
      <c r="W172" s="213"/>
      <c r="X172" s="213"/>
      <c r="Y172" s="213"/>
      <c r="Z172" s="214"/>
      <c r="AA172" s="213"/>
      <c r="AB172" s="213"/>
      <c r="AC172" s="213"/>
      <c r="AD172" s="213"/>
      <c r="AE172" s="213"/>
      <c r="AF172" s="213"/>
      <c r="AG172" s="213"/>
      <c r="AH172" s="214"/>
      <c r="AJ172" s="631">
        <f ca="1">IF(AND($D172="Serviço",AJ$12&lt;&gt;0,$H172&gt;0,OR(AUTOEVENTO&lt;&gt;"manual",$M172&lt;&gt;1)),ROUND(OFFSET($P172,0,AJ$13),15-13*ORÇAMENTO!$AF$7)/$H172*OFFSET(ORÇAMENTO!$X$15,ROW(AJ172)-ROW(AJ$15),0),0)</f>
        <v>0</v>
      </c>
      <c r="AK172" s="632">
        <f ca="1">IF(AND($D172="Serviço",AK$12&lt;&gt;0,$H172&gt;0,OR(AUTOEVENTO&lt;&gt;"manual",$M172&lt;&gt;1)),ROUND(OFFSET($P172,0,AK$13),15-13*ORÇAMENTO!$AF$7)/$H172*OFFSET(ORÇAMENTO!$X$15,ROW(AK172)-ROW(AK$15),0),0)</f>
        <v>0</v>
      </c>
      <c r="AL172" s="632">
        <f ca="1">IF(AND($D172="Serviço",AL$12&lt;&gt;0,$H172&gt;0,OR(AUTOEVENTO&lt;&gt;"manual",$M172&lt;&gt;1)),ROUND(OFFSET($P172,0,AL$13),15-13*ORÇAMENTO!$AF$7)/$H172*OFFSET(ORÇAMENTO!$X$15,ROW(AL172)-ROW(AL$15),0),0)</f>
        <v>0</v>
      </c>
      <c r="AM172" s="632">
        <f ca="1">IF(AND($D172="Serviço",AM$12&lt;&gt;0,$H172&gt;0,OR(AUTOEVENTO&lt;&gt;"manual",$M172&lt;&gt;1)),ROUND(OFFSET($P172,0,AM$13),15-13*ORÇAMENTO!$AF$7)/$H172*OFFSET(ORÇAMENTO!$X$15,ROW(AM172)-ROW(AM$15),0),0)</f>
        <v>0</v>
      </c>
      <c r="AN172" s="632">
        <f ca="1">IF(AND($D172="Serviço",AN$12&lt;&gt;0,$H172&gt;0,OR(AUTOEVENTO&lt;&gt;"manual",$M172&lt;&gt;1)),ROUND(OFFSET($P172,0,AN$13),15-13*ORÇAMENTO!$AF$7)/$H172*OFFSET(ORÇAMENTO!$X$15,ROW(AN172)-ROW(AN$15),0),0)</f>
        <v>0</v>
      </c>
      <c r="AO172" s="632">
        <f ca="1">IF(AND($D172="Serviço",AO$12&lt;&gt;0,$H172&gt;0,OR(AUTOEVENTO&lt;&gt;"manual",$M172&lt;&gt;1)),ROUND(OFFSET($P172,0,AO$13),15-13*ORÇAMENTO!$AF$7)/$H172*OFFSET(ORÇAMENTO!$X$15,ROW(AO172)-ROW(AO$15),0),0)</f>
        <v>0</v>
      </c>
      <c r="AP172" s="632">
        <f ca="1">IF(AND($D172="Serviço",AP$12&lt;&gt;0,$H172&gt;0,OR(AUTOEVENTO&lt;&gt;"manual",$M172&lt;&gt;1)),ROUND(OFFSET($P172,0,AP$13),15-13*ORÇAMENTO!$AF$7)/$H172*OFFSET(ORÇAMENTO!$X$15,ROW(AP172)-ROW(AP$15),0),0)</f>
        <v>0</v>
      </c>
      <c r="AQ172" s="632">
        <f ca="1">IF(AND($D172="Serviço",AQ$12&lt;&gt;0,$H172&gt;0,OR(AUTOEVENTO&lt;&gt;"manual",$M172&lt;&gt;1)),ROUND(OFFSET($P172,0,AQ$13),15-13*ORÇAMENTO!$AF$7)/$H172*OFFSET(ORÇAMENTO!$X$15,ROW(AQ172)-ROW(AQ$15),0),0)</f>
        <v>0</v>
      </c>
      <c r="AR172" s="632">
        <f ca="1">IF(AND($D172="Serviço",AR$12&lt;&gt;0,$H172&gt;0,OR(AUTOEVENTO&lt;&gt;"manual",$M172&lt;&gt;1)),ROUND(OFFSET($P172,0,AR$13),15-13*ORÇAMENTO!$AF$7)/$H172*OFFSET(ORÇAMENTO!$X$15,ROW(AR172)-ROW(AR$15),0),0)</f>
        <v>0</v>
      </c>
      <c r="AS172" s="633">
        <f ca="1">IF(AND($D172="Serviço",AS$12&lt;&gt;0,$H172&gt;0,OR(AUTOEVENTO&lt;&gt;"manual",$M172&lt;&gt;1)),ROUND(OFFSET($P172,0,AS$13),15-13*ORÇAMENTO!$AF$7)/$H172*OFFSET(ORÇAMENTO!$X$15,ROW(AS172)-ROW(AS$15),0),0)</f>
        <v>0</v>
      </c>
      <c r="AT172" s="632">
        <f ca="1">IF(AND($D172="Serviço",AT$12&lt;&gt;0,$H172&gt;0,OR(AUTOEVENTO&lt;&gt;"manual",$M172&lt;&gt;1)),ROUND(OFFSET($P172,0,AT$13),15-13*ORÇAMENTO!$AF$7)/$H172*OFFSET(ORÇAMENTO!$X$15,ROW(AT172)-ROW(AT$15),0),0)</f>
        <v>0</v>
      </c>
      <c r="AU172" s="632">
        <f ca="1">IF(AND($D172="Serviço",AU$12&lt;&gt;0,$H172&gt;0,OR(AUTOEVENTO&lt;&gt;"manual",$M172&lt;&gt;1)),ROUND(OFFSET($P172,0,AU$13),15-13*ORÇAMENTO!$AF$7)/$H172*OFFSET(ORÇAMENTO!$X$15,ROW(AU172)-ROW(AU$15),0),0)</f>
        <v>0</v>
      </c>
      <c r="AV172" s="632">
        <f ca="1">IF(AND($D172="Serviço",AV$12&lt;&gt;0,$H172&gt;0,OR(AUTOEVENTO&lt;&gt;"manual",$M172&lt;&gt;1)),ROUND(OFFSET($P172,0,AV$13),15-13*ORÇAMENTO!$AF$7)/$H172*OFFSET(ORÇAMENTO!$X$15,ROW(AV172)-ROW(AV$15),0),0)</f>
        <v>0</v>
      </c>
      <c r="AW172" s="632">
        <f ca="1">IF(AND($D172="Serviço",AW$12&lt;&gt;0,$H172&gt;0,OR(AUTOEVENTO&lt;&gt;"manual",$M172&lt;&gt;1)),ROUND(OFFSET($P172,0,AW$13),15-13*ORÇAMENTO!$AF$7)/$H172*OFFSET(ORÇAMENTO!$X$15,ROW(AW172)-ROW(AW$15),0),0)</f>
        <v>0</v>
      </c>
      <c r="AX172" s="632">
        <f ca="1">IF(AND($D172="Serviço",AX$12&lt;&gt;0,$H172&gt;0,OR(AUTOEVENTO&lt;&gt;"manual",$M172&lt;&gt;1)),ROUND(OFFSET($P172,0,AX$13),15-13*ORÇAMENTO!$AF$7)/$H172*OFFSET(ORÇAMENTO!$X$15,ROW(AX172)-ROW(AX$15),0),0)</f>
        <v>0</v>
      </c>
      <c r="AY172" s="632">
        <f ca="1">IF(AND($D172="Serviço",AY$12&lt;&gt;0,$H172&gt;0,OR(AUTOEVENTO&lt;&gt;"manual",$M172&lt;&gt;1)),ROUND(OFFSET($P172,0,AY$13),15-13*ORÇAMENTO!$AF$7)/$H172*OFFSET(ORÇAMENTO!$X$15,ROW(AY172)-ROW(AY$15),0),0)</f>
        <v>0</v>
      </c>
      <c r="AZ172" s="632">
        <f ca="1">IF(AND($D172="Serviço",AZ$12&lt;&gt;0,$H172&gt;0,OR(AUTOEVENTO&lt;&gt;"manual",$M172&lt;&gt;1)),ROUND(OFFSET($P172,0,AZ$13),15-13*ORÇAMENTO!$AF$7)/$H172*OFFSET(ORÇAMENTO!$X$15,ROW(AZ172)-ROW(AZ$15),0),0)</f>
        <v>0</v>
      </c>
      <c r="BA172" s="633">
        <f ca="1">IF(AND($D172="Serviço",BA$12&lt;&gt;0,$H172&gt;0,OR(AUTOEVENTO&lt;&gt;"manual",$M172&lt;&gt;1)),ROUND(OFFSET($P172,0,BA$13),15-13*ORÇAMENTO!$AF$7)/$H172*OFFSET(ORÇAMENTO!$X$15,ROW(BA172)-ROW(BA$15),0),0)</f>
        <v>0</v>
      </c>
      <c r="BC172" s="215">
        <f ca="1">IF($D172&lt;&gt;"Serviço",0,IF(AND(AUTOEVENTO="Manual",$M172=1),0,IF(OFFSET(CRONOPLE!$F$14,$M172,BC$13)="",10^12,OFFSET(CRONOPLE!$F$14,$M172,BC$13))))</f>
        <v>0</v>
      </c>
      <c r="BD172" s="215">
        <f ca="1">IF($D172&lt;&gt;"Serviço",0,IF(AND(AUTOEVENTO="Manual",$M172=1),0,IF(OFFSET(CRONOPLE!$F$14,$M172,BD$13)="",10^12,OFFSET(CRONOPLE!$F$14,$M172,BD$13))))</f>
        <v>0</v>
      </c>
      <c r="BE172" s="215">
        <f ca="1">IF($D172&lt;&gt;"Serviço",0,IF(AND(AUTOEVENTO="Manual",$M172=1),0,IF(OFFSET(CRONOPLE!$F$14,$M172,BE$13)="",10^12,OFFSET(CRONOPLE!$F$14,$M172,BE$13))))</f>
        <v>0</v>
      </c>
      <c r="BF172" s="215">
        <f ca="1">IF($D172&lt;&gt;"Serviço",0,IF(AND(AUTOEVENTO="Manual",$M172=1),0,IF(OFFSET(CRONOPLE!$F$14,$M172,BF$13)="",10^12,OFFSET(CRONOPLE!$F$14,$M172,BF$13))))</f>
        <v>0</v>
      </c>
      <c r="BG172" s="215">
        <f ca="1">IF($D172&lt;&gt;"Serviço",0,IF(AND(AUTOEVENTO="Manual",$M172=1),0,IF(OFFSET(CRONOPLE!$F$14,$M172,BG$13)="",10^12,OFFSET(CRONOPLE!$F$14,$M172,BG$13))))</f>
        <v>0</v>
      </c>
      <c r="BH172" s="215">
        <f ca="1">IF($D172&lt;&gt;"Serviço",0,IF(AND(AUTOEVENTO="Manual",$M172=1),0,IF(OFFSET(CRONOPLE!$F$14,$M172,BH$13)="",10^12,OFFSET(CRONOPLE!$F$14,$M172,BH$13))))</f>
        <v>0</v>
      </c>
      <c r="BI172" s="215">
        <f ca="1">IF($D172&lt;&gt;"Serviço",0,IF(AND(AUTOEVENTO="Manual",$M172=1),0,IF(OFFSET(CRONOPLE!$F$14,$M172,BI$13)="",10^12,OFFSET(CRONOPLE!$F$14,$M172,BI$13))))</f>
        <v>0</v>
      </c>
      <c r="BJ172" s="215">
        <f ca="1">IF($D172&lt;&gt;"Serviço",0,IF(AND(AUTOEVENTO="Manual",$M172=1),0,IF(OFFSET(CRONOPLE!$F$14,$M172,BJ$13)="",10^12,OFFSET(CRONOPLE!$F$14,$M172,BJ$13))))</f>
        <v>0</v>
      </c>
      <c r="BK172" s="215">
        <f ca="1">IF($D172&lt;&gt;"Serviço",0,IF(AND(AUTOEVENTO="Manual",$M172=1),0,IF(OFFSET(CRONOPLE!$F$14,$M172,BK$13)="",10^12,OFFSET(CRONOPLE!$F$14,$M172,BK$13))))</f>
        <v>0</v>
      </c>
      <c r="BL172" s="215">
        <f ca="1">IF($D172&lt;&gt;"Serviço",0,IF(AND(AUTOEVENTO="Manual",$M172=1),0,IF(OFFSET(CRONOPLE!$F$14,$M172,BL$13)="",10^12,OFFSET(CRONOPLE!$F$14,$M172,BL$13))))</f>
        <v>0</v>
      </c>
      <c r="BM172" s="215">
        <f ca="1">IF($D172&lt;&gt;"Serviço",0,IF(AND(AUTOEVENTO="Manual",$M172=1),0,IF(OFFSET(CRONOPLE!$F$14,$M172,BM$13)="",10^12,OFFSET(CRONOPLE!$F$14,$M172,BM$13))))</f>
        <v>0</v>
      </c>
      <c r="BN172" s="215">
        <f ca="1">IF($D172&lt;&gt;"Serviço",0,IF(AND(AUTOEVENTO="Manual",$M172=1),0,IF(OFFSET(CRONOPLE!$F$14,$M172,BN$13)="",10^12,OFFSET(CRONOPLE!$F$14,$M172,BN$13))))</f>
        <v>0</v>
      </c>
      <c r="BO172" s="215">
        <f ca="1">IF($D172&lt;&gt;"Serviço",0,IF(AND(AUTOEVENTO="Manual",$M172=1),0,IF(OFFSET(CRONOPLE!$F$14,$M172,BO$13)="",10^12,OFFSET(CRONOPLE!$F$14,$M172,BO$13))))</f>
        <v>0</v>
      </c>
      <c r="BP172" s="215">
        <f ca="1">IF($D172&lt;&gt;"Serviço",0,IF(AND(AUTOEVENTO="Manual",$M172=1),0,IF(OFFSET(CRONOPLE!$F$14,$M172,BP$13)="",10^12,OFFSET(CRONOPLE!$F$14,$M172,BP$13))))</f>
        <v>0</v>
      </c>
      <c r="BQ172" s="215">
        <f ca="1">IF($D172&lt;&gt;"Serviço",0,IF(AND(AUTOEVENTO="Manual",$M172=1),0,IF(OFFSET(CRONOPLE!$F$14,$M172,BQ$13)="",10^12,OFFSET(CRONOPLE!$F$14,$M172,BQ$13))))</f>
        <v>0</v>
      </c>
      <c r="BR172" s="215">
        <f ca="1">IF($D172&lt;&gt;"Serviço",0,IF(AND(AUTOEVENTO="Manual",$M172=1),0,IF(OFFSET(CRONOPLE!$F$14,$M172,BR$13)="",10^12,OFFSET(CRONOPLE!$F$14,$M172,BR$13))))</f>
        <v>0</v>
      </c>
      <c r="BS172" s="215">
        <f ca="1">IF($D172&lt;&gt;"Serviço",0,IF(AND(AUTOEVENTO="Manual",$M172=1),0,IF(OFFSET(CRONOPLE!$F$14,$M172,BS$13)="",10^12,OFFSET(CRONOPLE!$F$14,$M172,BS$13))))</f>
        <v>0</v>
      </c>
      <c r="BT172" s="215">
        <f ca="1">IF($D172&lt;&gt;"Serviço",0,IF(AND(AUTOEVENTO="Manual",$M172=1),0,IF(OFFSET(CRONOPLE!$F$14,$M172,BT$13)="",10^12,OFFSET(CRONOPLE!$F$14,$M172,BT$13))))</f>
        <v>0</v>
      </c>
      <c r="BV172" s="216">
        <f ca="1">IF($D172&lt;&gt;"Serviço",0,IF(OR(AND(AUTOEVENTO="Manual",$M172=1),$M172&gt;(ROW(PLE.lastrow)-ROW(PLE.firstrow))),0,IF(OFFSET(PLE!$G$14,$M172,BV$13)="",10^12,OFFSET(PLE!$G$14,$M172,BV$13))))</f>
        <v>0</v>
      </c>
      <c r="BW172" s="216">
        <f ca="1">IF($D172&lt;&gt;"Serviço",0,IF(OR(AND(AUTOEVENTO="Manual",$M172=1),$M172&gt;(ROW(PLE.lastrow)-ROW(PLE.firstrow))),0,IF(OFFSET(PLE!$G$14,$M172,BW$13)="",10^12,OFFSET(PLE!$G$14,$M172,BW$13))))</f>
        <v>0</v>
      </c>
      <c r="BX172" s="216">
        <f ca="1">IF($D172&lt;&gt;"Serviço",0,IF(OR(AND(AUTOEVENTO="Manual",$M172=1),$M172&gt;(ROW(PLE.lastrow)-ROW(PLE.firstrow))),0,IF(OFFSET(PLE!$G$14,$M172,BX$13)="",10^12,OFFSET(PLE!$G$14,$M172,BX$13))))</f>
        <v>0</v>
      </c>
      <c r="BY172" s="216">
        <f ca="1">IF($D172&lt;&gt;"Serviço",0,IF(OR(AND(AUTOEVENTO="Manual",$M172=1),$M172&gt;(ROW(PLE.lastrow)-ROW(PLE.firstrow))),0,IF(OFFSET(PLE!$G$14,$M172,BY$13)="",10^12,OFFSET(PLE!$G$14,$M172,BY$13))))</f>
        <v>0</v>
      </c>
      <c r="BZ172" s="216">
        <f ca="1">IF($D172&lt;&gt;"Serviço",0,IF(OR(AND(AUTOEVENTO="Manual",$M172=1),$M172&gt;(ROW(PLE.lastrow)-ROW(PLE.firstrow))),0,IF(OFFSET(PLE!$G$14,$M172,BZ$13)="",10^12,OFFSET(PLE!$G$14,$M172,BZ$13))))</f>
        <v>0</v>
      </c>
      <c r="CA172" s="216">
        <f ca="1">IF($D172&lt;&gt;"Serviço",0,IF(OR(AND(AUTOEVENTO="Manual",$M172=1),$M172&gt;(ROW(PLE.lastrow)-ROW(PLE.firstrow))),0,IF(OFFSET(PLE!$G$14,$M172,CA$13)="",10^12,OFFSET(PLE!$G$14,$M172,CA$13))))</f>
        <v>0</v>
      </c>
      <c r="CB172" s="216">
        <f ca="1">IF($D172&lt;&gt;"Serviço",0,IF(OR(AND(AUTOEVENTO="Manual",$M172=1),$M172&gt;(ROW(PLE.lastrow)-ROW(PLE.firstrow))),0,IF(OFFSET(PLE!$G$14,$M172,CB$13)="",10^12,OFFSET(PLE!$G$14,$M172,CB$13))))</f>
        <v>0</v>
      </c>
      <c r="CC172" s="216">
        <f ca="1">IF($D172&lt;&gt;"Serviço",0,IF(OR(AND(AUTOEVENTO="Manual",$M172=1),$M172&gt;(ROW(PLE.lastrow)-ROW(PLE.firstrow))),0,IF(OFFSET(PLE!$G$14,$M172,CC$13)="",10^12,OFFSET(PLE!$G$14,$M172,CC$13))))</f>
        <v>0</v>
      </c>
      <c r="CD172" s="216">
        <f ca="1">IF($D172&lt;&gt;"Serviço",0,IF(OR(AND(AUTOEVENTO="Manual",$M172=1),$M172&gt;(ROW(PLE.lastrow)-ROW(PLE.firstrow))),0,IF(OFFSET(PLE!$G$14,$M172,CD$13)="",10^12,OFFSET(PLE!$G$14,$M172,CD$13))))</f>
        <v>0</v>
      </c>
      <c r="CE172" s="216">
        <f ca="1">IF($D172&lt;&gt;"Serviço",0,IF(OR(AND(AUTOEVENTO="Manual",$M172=1),$M172&gt;(ROW(PLE.lastrow)-ROW(PLE.firstrow))),0,IF(OFFSET(PLE!$G$14,$M172,CE$13)="",10^12,OFFSET(PLE!$G$14,$M172,CE$13))))</f>
        <v>0</v>
      </c>
      <c r="CF172" s="216">
        <f ca="1">IF($D172&lt;&gt;"Serviço",0,IF(OR(AND(AUTOEVENTO="Manual",$M172=1),$M172&gt;(ROW(PLE.lastrow)-ROW(PLE.firstrow))),0,IF(OFFSET(PLE!$G$14,$M172,CF$13)="",10^12,OFFSET(PLE!$G$14,$M172,CF$13))))</f>
        <v>0</v>
      </c>
      <c r="CG172" s="216">
        <f ca="1">IF($D172&lt;&gt;"Serviço",0,IF(OR(AND(AUTOEVENTO="Manual",$M172=1),$M172&gt;(ROW(PLE.lastrow)-ROW(PLE.firstrow))),0,IF(OFFSET(PLE!$G$14,$M172,CG$13)="",10^12,OFFSET(PLE!$G$14,$M172,CG$13))))</f>
        <v>0</v>
      </c>
      <c r="CH172" s="216">
        <f ca="1">IF($D172&lt;&gt;"Serviço",0,IF(OR(AND(AUTOEVENTO="Manual",$M172=1),$M172&gt;(ROW(PLE.lastrow)-ROW(PLE.firstrow))),0,IF(OFFSET(PLE!$G$14,$M172,CH$13)="",10^12,OFFSET(PLE!$G$14,$M172,CH$13))))</f>
        <v>0</v>
      </c>
      <c r="CI172" s="216">
        <f ca="1">IF($D172&lt;&gt;"Serviço",0,IF(OR(AND(AUTOEVENTO="Manual",$M172=1),$M172&gt;(ROW(PLE.lastrow)-ROW(PLE.firstrow))),0,IF(OFFSET(PLE!$G$14,$M172,CI$13)="",10^12,OFFSET(PLE!$G$14,$M172,CI$13))))</f>
        <v>0</v>
      </c>
      <c r="CJ172" s="216">
        <f ca="1">IF($D172&lt;&gt;"Serviço",0,IF(OR(AND(AUTOEVENTO="Manual",$M172=1),$M172&gt;(ROW(PLE.lastrow)-ROW(PLE.firstrow))),0,IF(OFFSET(PLE!$G$14,$M172,CJ$13)="",10^12,OFFSET(PLE!$G$14,$M172,CJ$13))))</f>
        <v>0</v>
      </c>
      <c r="CK172" s="216">
        <f ca="1">IF($D172&lt;&gt;"Serviço",0,IF(OR(AND(AUTOEVENTO="Manual",$M172=1),$M172&gt;(ROW(PLE.lastrow)-ROW(PLE.firstrow))),0,IF(OFFSET(PLE!$G$14,$M172,CK$13)="",10^12,OFFSET(PLE!$G$14,$M172,CK$13))))</f>
        <v>0</v>
      </c>
      <c r="CL172" s="216">
        <f ca="1">IF($D172&lt;&gt;"Serviço",0,IF(OR(AND(AUTOEVENTO="Manual",$M172=1),$M172&gt;(ROW(PLE.lastrow)-ROW(PLE.firstrow))),0,IF(OFFSET(PLE!$G$14,$M172,CL$13)="",10^12,OFFSET(PLE!$G$14,$M172,CL$13))))</f>
        <v>0</v>
      </c>
      <c r="CM172" s="216">
        <f ca="1">IF($D172&lt;&gt;"Serviço",0,IF(OR(AND(AUTOEVENTO="Manual",$M172=1),$M172&gt;(ROW(PLE.lastrow)-ROW(PLE.firstrow))),0,IF(OFFSET(PLE!$G$14,$M172,CM$13)="",10^12,OFFSET(PLE!$G$14,$M172,CM$13))))</f>
        <v>0</v>
      </c>
    </row>
    <row r="173" spans="1:91" ht="13.2" x14ac:dyDescent="0.25">
      <c r="A173" s="9">
        <f t="shared" ca="1" si="11"/>
        <v>0</v>
      </c>
      <c r="B173" s="9">
        <f ca="1">OFFSET(ORÇAMENTO!C$15,ROW(B173)-ROW(B$15),0)</f>
        <v>3</v>
      </c>
      <c r="C173" s="9" t="str">
        <f ca="1">OFFSET(ORÇAMENTO!L$15,ROW(C173)-ROW(C$15),0)</f>
        <v>F</v>
      </c>
      <c r="D173" s="145" t="str">
        <f ca="1">OFFSET(ORÇAMENTO!N$15,ROW(D173)-ROW(D$15),0)</f>
        <v>Nível 3</v>
      </c>
      <c r="E173" s="205" t="str">
        <f ca="1">OFFSET(ORÇAMENTO!O$15,ROW(E173)-ROW(E$15),0)</f>
        <v>1.6.1.</v>
      </c>
      <c r="F173" s="206" t="str">
        <f ca="1">OFFSET(ORÇAMENTO!R$15,ROW(F173)-ROW(F$15),0)</f>
        <v>PORTAS DE MADEIRA</v>
      </c>
      <c r="G173" s="207" t="str">
        <f ca="1">IF($D173&lt;&gt;"Serviço","",OFFSET(ORÇAMENTO!S$15,ROW(G173)-ROW(G$15),0))</f>
        <v/>
      </c>
      <c r="H173" s="151">
        <f ca="1">IF($D173&lt;&gt;"Serviço",0,IF(ACOMPANHAMENTO="BM",ROUND(OFFSET(ORÇAMENTO!AJ$15,ROW(H173)-ROW(H$15),0),15-13*ORÇAMENTO!$AF$7),SUMPRODUCT(($Q$12:$AI$12&lt;&gt;"")*ROUND($Q173:$AI173,15-13*ORÇAMENTO!$AF$7))))</f>
        <v>0</v>
      </c>
      <c r="I173" s="650"/>
      <c r="K173" s="208"/>
      <c r="L173" s="209" t="s">
        <v>257</v>
      </c>
      <c r="M173" s="210" t="str">
        <f ca="1">IF($D173&lt;&gt;"Serviço","",IF(AUTOEVENTO="manual",$A173,IF(ISERROR(MATCH($A173,$A$15:OFFSET($A173,-1,0),0)),MAX($M$15:OFFSET(M173,-1,0))+1,INDEX($M$15:OFFSET(M173,-1,0),MATCH($A173,$A$15:OFFSET($A173,-1,0),0)))))</f>
        <v/>
      </c>
      <c r="N173" s="211" t="str">
        <f ca="1">IF($D173&lt;&gt;"Serviço","",IF(AUTOEVENTO="Manual",IF($A173=0,"&lt;-- defina o número do agrupador",OFFSET(EVENTOS!$D$14,$A173,0)),OFFSET($F$15,$A173,0)))</f>
        <v/>
      </c>
      <c r="O173" s="212"/>
      <c r="Q173" s="212"/>
      <c r="R173" s="213"/>
      <c r="S173" s="213"/>
      <c r="T173" s="213"/>
      <c r="U173" s="213"/>
      <c r="V173" s="213"/>
      <c r="W173" s="213"/>
      <c r="X173" s="213"/>
      <c r="Y173" s="213"/>
      <c r="Z173" s="214"/>
      <c r="AA173" s="213"/>
      <c r="AB173" s="213"/>
      <c r="AC173" s="213"/>
      <c r="AD173" s="213"/>
      <c r="AE173" s="213"/>
      <c r="AF173" s="213"/>
      <c r="AG173" s="213"/>
      <c r="AH173" s="214"/>
      <c r="AJ173" s="631">
        <f ca="1">IF(AND($D173="Serviço",AJ$12&lt;&gt;0,$H173&gt;0,OR(AUTOEVENTO&lt;&gt;"manual",$M173&lt;&gt;1)),ROUND(OFFSET($P173,0,AJ$13),15-13*ORÇAMENTO!$AF$7)/$H173*OFFSET(ORÇAMENTO!$X$15,ROW(AJ173)-ROW(AJ$15),0),0)</f>
        <v>0</v>
      </c>
      <c r="AK173" s="632">
        <f ca="1">IF(AND($D173="Serviço",AK$12&lt;&gt;0,$H173&gt;0,OR(AUTOEVENTO&lt;&gt;"manual",$M173&lt;&gt;1)),ROUND(OFFSET($P173,0,AK$13),15-13*ORÇAMENTO!$AF$7)/$H173*OFFSET(ORÇAMENTO!$X$15,ROW(AK173)-ROW(AK$15),0),0)</f>
        <v>0</v>
      </c>
      <c r="AL173" s="632">
        <f ca="1">IF(AND($D173="Serviço",AL$12&lt;&gt;0,$H173&gt;0,OR(AUTOEVENTO&lt;&gt;"manual",$M173&lt;&gt;1)),ROUND(OFFSET($P173,0,AL$13),15-13*ORÇAMENTO!$AF$7)/$H173*OFFSET(ORÇAMENTO!$X$15,ROW(AL173)-ROW(AL$15),0),0)</f>
        <v>0</v>
      </c>
      <c r="AM173" s="632">
        <f ca="1">IF(AND($D173="Serviço",AM$12&lt;&gt;0,$H173&gt;0,OR(AUTOEVENTO&lt;&gt;"manual",$M173&lt;&gt;1)),ROUND(OFFSET($P173,0,AM$13),15-13*ORÇAMENTO!$AF$7)/$H173*OFFSET(ORÇAMENTO!$X$15,ROW(AM173)-ROW(AM$15),0),0)</f>
        <v>0</v>
      </c>
      <c r="AN173" s="632">
        <f ca="1">IF(AND($D173="Serviço",AN$12&lt;&gt;0,$H173&gt;0,OR(AUTOEVENTO&lt;&gt;"manual",$M173&lt;&gt;1)),ROUND(OFFSET($P173,0,AN$13),15-13*ORÇAMENTO!$AF$7)/$H173*OFFSET(ORÇAMENTO!$X$15,ROW(AN173)-ROW(AN$15),0),0)</f>
        <v>0</v>
      </c>
      <c r="AO173" s="632">
        <f ca="1">IF(AND($D173="Serviço",AO$12&lt;&gt;0,$H173&gt;0,OR(AUTOEVENTO&lt;&gt;"manual",$M173&lt;&gt;1)),ROUND(OFFSET($P173,0,AO$13),15-13*ORÇAMENTO!$AF$7)/$H173*OFFSET(ORÇAMENTO!$X$15,ROW(AO173)-ROW(AO$15),0),0)</f>
        <v>0</v>
      </c>
      <c r="AP173" s="632">
        <f ca="1">IF(AND($D173="Serviço",AP$12&lt;&gt;0,$H173&gt;0,OR(AUTOEVENTO&lt;&gt;"manual",$M173&lt;&gt;1)),ROUND(OFFSET($P173,0,AP$13),15-13*ORÇAMENTO!$AF$7)/$H173*OFFSET(ORÇAMENTO!$X$15,ROW(AP173)-ROW(AP$15),0),0)</f>
        <v>0</v>
      </c>
      <c r="AQ173" s="632">
        <f ca="1">IF(AND($D173="Serviço",AQ$12&lt;&gt;0,$H173&gt;0,OR(AUTOEVENTO&lt;&gt;"manual",$M173&lt;&gt;1)),ROUND(OFFSET($P173,0,AQ$13),15-13*ORÇAMENTO!$AF$7)/$H173*OFFSET(ORÇAMENTO!$X$15,ROW(AQ173)-ROW(AQ$15),0),0)</f>
        <v>0</v>
      </c>
      <c r="AR173" s="632">
        <f ca="1">IF(AND($D173="Serviço",AR$12&lt;&gt;0,$H173&gt;0,OR(AUTOEVENTO&lt;&gt;"manual",$M173&lt;&gt;1)),ROUND(OFFSET($P173,0,AR$13),15-13*ORÇAMENTO!$AF$7)/$H173*OFFSET(ORÇAMENTO!$X$15,ROW(AR173)-ROW(AR$15),0),0)</f>
        <v>0</v>
      </c>
      <c r="AS173" s="633">
        <f ca="1">IF(AND($D173="Serviço",AS$12&lt;&gt;0,$H173&gt;0,OR(AUTOEVENTO&lt;&gt;"manual",$M173&lt;&gt;1)),ROUND(OFFSET($P173,0,AS$13),15-13*ORÇAMENTO!$AF$7)/$H173*OFFSET(ORÇAMENTO!$X$15,ROW(AS173)-ROW(AS$15),0),0)</f>
        <v>0</v>
      </c>
      <c r="AT173" s="632">
        <f ca="1">IF(AND($D173="Serviço",AT$12&lt;&gt;0,$H173&gt;0,OR(AUTOEVENTO&lt;&gt;"manual",$M173&lt;&gt;1)),ROUND(OFFSET($P173,0,AT$13),15-13*ORÇAMENTO!$AF$7)/$H173*OFFSET(ORÇAMENTO!$X$15,ROW(AT173)-ROW(AT$15),0),0)</f>
        <v>0</v>
      </c>
      <c r="AU173" s="632">
        <f ca="1">IF(AND($D173="Serviço",AU$12&lt;&gt;0,$H173&gt;0,OR(AUTOEVENTO&lt;&gt;"manual",$M173&lt;&gt;1)),ROUND(OFFSET($P173,0,AU$13),15-13*ORÇAMENTO!$AF$7)/$H173*OFFSET(ORÇAMENTO!$X$15,ROW(AU173)-ROW(AU$15),0),0)</f>
        <v>0</v>
      </c>
      <c r="AV173" s="632">
        <f ca="1">IF(AND($D173="Serviço",AV$12&lt;&gt;0,$H173&gt;0,OR(AUTOEVENTO&lt;&gt;"manual",$M173&lt;&gt;1)),ROUND(OFFSET($P173,0,AV$13),15-13*ORÇAMENTO!$AF$7)/$H173*OFFSET(ORÇAMENTO!$X$15,ROW(AV173)-ROW(AV$15),0),0)</f>
        <v>0</v>
      </c>
      <c r="AW173" s="632">
        <f ca="1">IF(AND($D173="Serviço",AW$12&lt;&gt;0,$H173&gt;0,OR(AUTOEVENTO&lt;&gt;"manual",$M173&lt;&gt;1)),ROUND(OFFSET($P173,0,AW$13),15-13*ORÇAMENTO!$AF$7)/$H173*OFFSET(ORÇAMENTO!$X$15,ROW(AW173)-ROW(AW$15),0),0)</f>
        <v>0</v>
      </c>
      <c r="AX173" s="632">
        <f ca="1">IF(AND($D173="Serviço",AX$12&lt;&gt;0,$H173&gt;0,OR(AUTOEVENTO&lt;&gt;"manual",$M173&lt;&gt;1)),ROUND(OFFSET($P173,0,AX$13),15-13*ORÇAMENTO!$AF$7)/$H173*OFFSET(ORÇAMENTO!$X$15,ROW(AX173)-ROW(AX$15),0),0)</f>
        <v>0</v>
      </c>
      <c r="AY173" s="632">
        <f ca="1">IF(AND($D173="Serviço",AY$12&lt;&gt;0,$H173&gt;0,OR(AUTOEVENTO&lt;&gt;"manual",$M173&lt;&gt;1)),ROUND(OFFSET($P173,0,AY$13),15-13*ORÇAMENTO!$AF$7)/$H173*OFFSET(ORÇAMENTO!$X$15,ROW(AY173)-ROW(AY$15),0),0)</f>
        <v>0</v>
      </c>
      <c r="AZ173" s="632">
        <f ca="1">IF(AND($D173="Serviço",AZ$12&lt;&gt;0,$H173&gt;0,OR(AUTOEVENTO&lt;&gt;"manual",$M173&lt;&gt;1)),ROUND(OFFSET($P173,0,AZ$13),15-13*ORÇAMENTO!$AF$7)/$H173*OFFSET(ORÇAMENTO!$X$15,ROW(AZ173)-ROW(AZ$15),0),0)</f>
        <v>0</v>
      </c>
      <c r="BA173" s="633">
        <f ca="1">IF(AND($D173="Serviço",BA$12&lt;&gt;0,$H173&gt;0,OR(AUTOEVENTO&lt;&gt;"manual",$M173&lt;&gt;1)),ROUND(OFFSET($P173,0,BA$13),15-13*ORÇAMENTO!$AF$7)/$H173*OFFSET(ORÇAMENTO!$X$15,ROW(BA173)-ROW(BA$15),0),0)</f>
        <v>0</v>
      </c>
      <c r="BC173" s="215">
        <f ca="1">IF($D173&lt;&gt;"Serviço",0,IF(AND(AUTOEVENTO="Manual",$M173=1),0,IF(OFFSET(CRONOPLE!$F$14,$M173,BC$13)="",10^12,OFFSET(CRONOPLE!$F$14,$M173,BC$13))))</f>
        <v>0</v>
      </c>
      <c r="BD173" s="215">
        <f ca="1">IF($D173&lt;&gt;"Serviço",0,IF(AND(AUTOEVENTO="Manual",$M173=1),0,IF(OFFSET(CRONOPLE!$F$14,$M173,BD$13)="",10^12,OFFSET(CRONOPLE!$F$14,$M173,BD$13))))</f>
        <v>0</v>
      </c>
      <c r="BE173" s="215">
        <f ca="1">IF($D173&lt;&gt;"Serviço",0,IF(AND(AUTOEVENTO="Manual",$M173=1),0,IF(OFFSET(CRONOPLE!$F$14,$M173,BE$13)="",10^12,OFFSET(CRONOPLE!$F$14,$M173,BE$13))))</f>
        <v>0</v>
      </c>
      <c r="BF173" s="215">
        <f ca="1">IF($D173&lt;&gt;"Serviço",0,IF(AND(AUTOEVENTO="Manual",$M173=1),0,IF(OFFSET(CRONOPLE!$F$14,$M173,BF$13)="",10^12,OFFSET(CRONOPLE!$F$14,$M173,BF$13))))</f>
        <v>0</v>
      </c>
      <c r="BG173" s="215">
        <f ca="1">IF($D173&lt;&gt;"Serviço",0,IF(AND(AUTOEVENTO="Manual",$M173=1),0,IF(OFFSET(CRONOPLE!$F$14,$M173,BG$13)="",10^12,OFFSET(CRONOPLE!$F$14,$M173,BG$13))))</f>
        <v>0</v>
      </c>
      <c r="BH173" s="215">
        <f ca="1">IF($D173&lt;&gt;"Serviço",0,IF(AND(AUTOEVENTO="Manual",$M173=1),0,IF(OFFSET(CRONOPLE!$F$14,$M173,BH$13)="",10^12,OFFSET(CRONOPLE!$F$14,$M173,BH$13))))</f>
        <v>0</v>
      </c>
      <c r="BI173" s="215">
        <f ca="1">IF($D173&lt;&gt;"Serviço",0,IF(AND(AUTOEVENTO="Manual",$M173=1),0,IF(OFFSET(CRONOPLE!$F$14,$M173,BI$13)="",10^12,OFFSET(CRONOPLE!$F$14,$M173,BI$13))))</f>
        <v>0</v>
      </c>
      <c r="BJ173" s="215">
        <f ca="1">IF($D173&lt;&gt;"Serviço",0,IF(AND(AUTOEVENTO="Manual",$M173=1),0,IF(OFFSET(CRONOPLE!$F$14,$M173,BJ$13)="",10^12,OFFSET(CRONOPLE!$F$14,$M173,BJ$13))))</f>
        <v>0</v>
      </c>
      <c r="BK173" s="215">
        <f ca="1">IF($D173&lt;&gt;"Serviço",0,IF(AND(AUTOEVENTO="Manual",$M173=1),0,IF(OFFSET(CRONOPLE!$F$14,$M173,BK$13)="",10^12,OFFSET(CRONOPLE!$F$14,$M173,BK$13))))</f>
        <v>0</v>
      </c>
      <c r="BL173" s="215">
        <f ca="1">IF($D173&lt;&gt;"Serviço",0,IF(AND(AUTOEVENTO="Manual",$M173=1),0,IF(OFFSET(CRONOPLE!$F$14,$M173,BL$13)="",10^12,OFFSET(CRONOPLE!$F$14,$M173,BL$13))))</f>
        <v>0</v>
      </c>
      <c r="BM173" s="215">
        <f ca="1">IF($D173&lt;&gt;"Serviço",0,IF(AND(AUTOEVENTO="Manual",$M173=1),0,IF(OFFSET(CRONOPLE!$F$14,$M173,BM$13)="",10^12,OFFSET(CRONOPLE!$F$14,$M173,BM$13))))</f>
        <v>0</v>
      </c>
      <c r="BN173" s="215">
        <f ca="1">IF($D173&lt;&gt;"Serviço",0,IF(AND(AUTOEVENTO="Manual",$M173=1),0,IF(OFFSET(CRONOPLE!$F$14,$M173,BN$13)="",10^12,OFFSET(CRONOPLE!$F$14,$M173,BN$13))))</f>
        <v>0</v>
      </c>
      <c r="BO173" s="215">
        <f ca="1">IF($D173&lt;&gt;"Serviço",0,IF(AND(AUTOEVENTO="Manual",$M173=1),0,IF(OFFSET(CRONOPLE!$F$14,$M173,BO$13)="",10^12,OFFSET(CRONOPLE!$F$14,$M173,BO$13))))</f>
        <v>0</v>
      </c>
      <c r="BP173" s="215">
        <f ca="1">IF($D173&lt;&gt;"Serviço",0,IF(AND(AUTOEVENTO="Manual",$M173=1),0,IF(OFFSET(CRONOPLE!$F$14,$M173,BP$13)="",10^12,OFFSET(CRONOPLE!$F$14,$M173,BP$13))))</f>
        <v>0</v>
      </c>
      <c r="BQ173" s="215">
        <f ca="1">IF($D173&lt;&gt;"Serviço",0,IF(AND(AUTOEVENTO="Manual",$M173=1),0,IF(OFFSET(CRONOPLE!$F$14,$M173,BQ$13)="",10^12,OFFSET(CRONOPLE!$F$14,$M173,BQ$13))))</f>
        <v>0</v>
      </c>
      <c r="BR173" s="215">
        <f ca="1">IF($D173&lt;&gt;"Serviço",0,IF(AND(AUTOEVENTO="Manual",$M173=1),0,IF(OFFSET(CRONOPLE!$F$14,$M173,BR$13)="",10^12,OFFSET(CRONOPLE!$F$14,$M173,BR$13))))</f>
        <v>0</v>
      </c>
      <c r="BS173" s="215">
        <f ca="1">IF($D173&lt;&gt;"Serviço",0,IF(AND(AUTOEVENTO="Manual",$M173=1),0,IF(OFFSET(CRONOPLE!$F$14,$M173,BS$13)="",10^12,OFFSET(CRONOPLE!$F$14,$M173,BS$13))))</f>
        <v>0</v>
      </c>
      <c r="BT173" s="215">
        <f ca="1">IF($D173&lt;&gt;"Serviço",0,IF(AND(AUTOEVENTO="Manual",$M173=1),0,IF(OFFSET(CRONOPLE!$F$14,$M173,BT$13)="",10^12,OFFSET(CRONOPLE!$F$14,$M173,BT$13))))</f>
        <v>0</v>
      </c>
      <c r="BV173" s="216">
        <f ca="1">IF($D173&lt;&gt;"Serviço",0,IF(OR(AND(AUTOEVENTO="Manual",$M173=1),$M173&gt;(ROW(PLE.lastrow)-ROW(PLE.firstrow))),0,IF(OFFSET(PLE!$G$14,$M173,BV$13)="",10^12,OFFSET(PLE!$G$14,$M173,BV$13))))</f>
        <v>0</v>
      </c>
      <c r="BW173" s="216">
        <f ca="1">IF($D173&lt;&gt;"Serviço",0,IF(OR(AND(AUTOEVENTO="Manual",$M173=1),$M173&gt;(ROW(PLE.lastrow)-ROW(PLE.firstrow))),0,IF(OFFSET(PLE!$G$14,$M173,BW$13)="",10^12,OFFSET(PLE!$G$14,$M173,BW$13))))</f>
        <v>0</v>
      </c>
      <c r="BX173" s="216">
        <f ca="1">IF($D173&lt;&gt;"Serviço",0,IF(OR(AND(AUTOEVENTO="Manual",$M173=1),$M173&gt;(ROW(PLE.lastrow)-ROW(PLE.firstrow))),0,IF(OFFSET(PLE!$G$14,$M173,BX$13)="",10^12,OFFSET(PLE!$G$14,$M173,BX$13))))</f>
        <v>0</v>
      </c>
      <c r="BY173" s="216">
        <f ca="1">IF($D173&lt;&gt;"Serviço",0,IF(OR(AND(AUTOEVENTO="Manual",$M173=1),$M173&gt;(ROW(PLE.lastrow)-ROW(PLE.firstrow))),0,IF(OFFSET(PLE!$G$14,$M173,BY$13)="",10^12,OFFSET(PLE!$G$14,$M173,BY$13))))</f>
        <v>0</v>
      </c>
      <c r="BZ173" s="216">
        <f ca="1">IF($D173&lt;&gt;"Serviço",0,IF(OR(AND(AUTOEVENTO="Manual",$M173=1),$M173&gt;(ROW(PLE.lastrow)-ROW(PLE.firstrow))),0,IF(OFFSET(PLE!$G$14,$M173,BZ$13)="",10^12,OFFSET(PLE!$G$14,$M173,BZ$13))))</f>
        <v>0</v>
      </c>
      <c r="CA173" s="216">
        <f ca="1">IF($D173&lt;&gt;"Serviço",0,IF(OR(AND(AUTOEVENTO="Manual",$M173=1),$M173&gt;(ROW(PLE.lastrow)-ROW(PLE.firstrow))),0,IF(OFFSET(PLE!$G$14,$M173,CA$13)="",10^12,OFFSET(PLE!$G$14,$M173,CA$13))))</f>
        <v>0</v>
      </c>
      <c r="CB173" s="216">
        <f ca="1">IF($D173&lt;&gt;"Serviço",0,IF(OR(AND(AUTOEVENTO="Manual",$M173=1),$M173&gt;(ROW(PLE.lastrow)-ROW(PLE.firstrow))),0,IF(OFFSET(PLE!$G$14,$M173,CB$13)="",10^12,OFFSET(PLE!$G$14,$M173,CB$13))))</f>
        <v>0</v>
      </c>
      <c r="CC173" s="216">
        <f ca="1">IF($D173&lt;&gt;"Serviço",0,IF(OR(AND(AUTOEVENTO="Manual",$M173=1),$M173&gt;(ROW(PLE.lastrow)-ROW(PLE.firstrow))),0,IF(OFFSET(PLE!$G$14,$M173,CC$13)="",10^12,OFFSET(PLE!$G$14,$M173,CC$13))))</f>
        <v>0</v>
      </c>
      <c r="CD173" s="216">
        <f ca="1">IF($D173&lt;&gt;"Serviço",0,IF(OR(AND(AUTOEVENTO="Manual",$M173=1),$M173&gt;(ROW(PLE.lastrow)-ROW(PLE.firstrow))),0,IF(OFFSET(PLE!$G$14,$M173,CD$13)="",10^12,OFFSET(PLE!$G$14,$M173,CD$13))))</f>
        <v>0</v>
      </c>
      <c r="CE173" s="216">
        <f ca="1">IF($D173&lt;&gt;"Serviço",0,IF(OR(AND(AUTOEVENTO="Manual",$M173=1),$M173&gt;(ROW(PLE.lastrow)-ROW(PLE.firstrow))),0,IF(OFFSET(PLE!$G$14,$M173,CE$13)="",10^12,OFFSET(PLE!$G$14,$M173,CE$13))))</f>
        <v>0</v>
      </c>
      <c r="CF173" s="216">
        <f ca="1">IF($D173&lt;&gt;"Serviço",0,IF(OR(AND(AUTOEVENTO="Manual",$M173=1),$M173&gt;(ROW(PLE.lastrow)-ROW(PLE.firstrow))),0,IF(OFFSET(PLE!$G$14,$M173,CF$13)="",10^12,OFFSET(PLE!$G$14,$M173,CF$13))))</f>
        <v>0</v>
      </c>
      <c r="CG173" s="216">
        <f ca="1">IF($D173&lt;&gt;"Serviço",0,IF(OR(AND(AUTOEVENTO="Manual",$M173=1),$M173&gt;(ROW(PLE.lastrow)-ROW(PLE.firstrow))),0,IF(OFFSET(PLE!$G$14,$M173,CG$13)="",10^12,OFFSET(PLE!$G$14,$M173,CG$13))))</f>
        <v>0</v>
      </c>
      <c r="CH173" s="216">
        <f ca="1">IF($D173&lt;&gt;"Serviço",0,IF(OR(AND(AUTOEVENTO="Manual",$M173=1),$M173&gt;(ROW(PLE.lastrow)-ROW(PLE.firstrow))),0,IF(OFFSET(PLE!$G$14,$M173,CH$13)="",10^12,OFFSET(PLE!$G$14,$M173,CH$13))))</f>
        <v>0</v>
      </c>
      <c r="CI173" s="216">
        <f ca="1">IF($D173&lt;&gt;"Serviço",0,IF(OR(AND(AUTOEVENTO="Manual",$M173=1),$M173&gt;(ROW(PLE.lastrow)-ROW(PLE.firstrow))),0,IF(OFFSET(PLE!$G$14,$M173,CI$13)="",10^12,OFFSET(PLE!$G$14,$M173,CI$13))))</f>
        <v>0</v>
      </c>
      <c r="CJ173" s="216">
        <f ca="1">IF($D173&lt;&gt;"Serviço",0,IF(OR(AND(AUTOEVENTO="Manual",$M173=1),$M173&gt;(ROW(PLE.lastrow)-ROW(PLE.firstrow))),0,IF(OFFSET(PLE!$G$14,$M173,CJ$13)="",10^12,OFFSET(PLE!$G$14,$M173,CJ$13))))</f>
        <v>0</v>
      </c>
      <c r="CK173" s="216">
        <f ca="1">IF($D173&lt;&gt;"Serviço",0,IF(OR(AND(AUTOEVENTO="Manual",$M173=1),$M173&gt;(ROW(PLE.lastrow)-ROW(PLE.firstrow))),0,IF(OFFSET(PLE!$G$14,$M173,CK$13)="",10^12,OFFSET(PLE!$G$14,$M173,CK$13))))</f>
        <v>0</v>
      </c>
      <c r="CL173" s="216">
        <f ca="1">IF($D173&lt;&gt;"Serviço",0,IF(OR(AND(AUTOEVENTO="Manual",$M173=1),$M173&gt;(ROW(PLE.lastrow)-ROW(PLE.firstrow))),0,IF(OFFSET(PLE!$G$14,$M173,CL$13)="",10^12,OFFSET(PLE!$G$14,$M173,CL$13))))</f>
        <v>0</v>
      </c>
      <c r="CM173" s="216">
        <f ca="1">IF($D173&lt;&gt;"Serviço",0,IF(OR(AND(AUTOEVENTO="Manual",$M173=1),$M173&gt;(ROW(PLE.lastrow)-ROW(PLE.firstrow))),0,IF(OFFSET(PLE!$G$14,$M173,CM$13)="",10^12,OFFSET(PLE!$G$14,$M173,CM$13))))</f>
        <v>0</v>
      </c>
    </row>
    <row r="174" spans="1:91" ht="13.2" x14ac:dyDescent="0.25">
      <c r="A174" s="9">
        <f t="shared" ca="1" si="11"/>
        <v>0</v>
      </c>
      <c r="B174" s="9" t="str">
        <f ca="1">OFFSET(ORÇAMENTO!C$15,ROW(B174)-ROW(B$15),0)</f>
        <v>S</v>
      </c>
      <c r="C174" s="9" t="str">
        <f ca="1">OFFSET(ORÇAMENTO!L$15,ROW(C174)-ROW(C$15),0)</f>
        <v/>
      </c>
      <c r="D174" s="145" t="str">
        <f ca="1">OFFSET(ORÇAMENTO!N$15,ROW(D174)-ROW(D$15),0)</f>
        <v>Serviço</v>
      </c>
      <c r="E174" s="205" t="str">
        <f ca="1">OFFSET(ORÇAMENTO!O$15,ROW(E174)-ROW(E$15),0)</f>
        <v>-</v>
      </c>
      <c r="F174" s="206" t="str">
        <f ca="1">OFFSET(ORÇAMENTO!R$15,ROW(F174)-ROW(F$15),0)</f>
        <v>(abra o arquivo 'Referência 05-2024.xls)</v>
      </c>
      <c r="G174" s="207" t="str">
        <f ca="1">IF($D174&lt;&gt;"Serviço","",OFFSET(ORÇAMENTO!S$15,ROW(G174)-ROW(G$15),0))</f>
        <v>-</v>
      </c>
      <c r="H174" s="151">
        <f ca="1">IF($D174&lt;&gt;"Serviço",0,IF(ACOMPANHAMENTO="BM",ROUND(OFFSET(ORÇAMENTO!AJ$15,ROW(H174)-ROW(H$15),0),15-13*ORÇAMENTO!$AF$7),SUMPRODUCT(($Q$12:$AI$12&lt;&gt;"")*ROUND($Q174:$AI174,15-13*ORÇAMENTO!$AF$7))))</f>
        <v>9</v>
      </c>
      <c r="I174" s="650"/>
      <c r="K174" s="208"/>
      <c r="L174" s="209" t="s">
        <v>257</v>
      </c>
      <c r="M174" s="210">
        <f ca="1">IF($D174&lt;&gt;"Serviço","",IF(AUTOEVENTO="manual",$A174,IF(ISERROR(MATCH($A174,$A$15:OFFSET($A174,-1,0),0)),MAX($M$15:OFFSET(M174,-1,0))+1,INDEX($M$15:OFFSET(M174,-1,0),MATCH($A174,$A$15:OFFSET($A174,-1,0),0)))))</f>
        <v>0</v>
      </c>
      <c r="N174" s="211" t="str">
        <f ca="1">IF($D174&lt;&gt;"Serviço","",IF(AUTOEVENTO="Manual",IF($A174=0,"&lt;-- defina o número do agrupador",OFFSET(EVENTOS!$D$14,$A174,0)),OFFSET($F$15,$A174,0)))</f>
        <v>&lt;-- defina o número do agrupador</v>
      </c>
      <c r="O174" s="212"/>
      <c r="Q174" s="212"/>
      <c r="R174" s="213"/>
      <c r="S174" s="213"/>
      <c r="T174" s="213"/>
      <c r="U174" s="213"/>
      <c r="V174" s="213"/>
      <c r="W174" s="213"/>
      <c r="X174" s="213"/>
      <c r="Y174" s="213"/>
      <c r="Z174" s="214"/>
      <c r="AA174" s="213"/>
      <c r="AB174" s="213"/>
      <c r="AC174" s="213"/>
      <c r="AD174" s="213"/>
      <c r="AE174" s="213"/>
      <c r="AF174" s="213"/>
      <c r="AG174" s="213"/>
      <c r="AH174" s="214"/>
      <c r="AJ174" s="631">
        <f ca="1">IF(AND($D174="Serviço",AJ$12&lt;&gt;0,$H174&gt;0,OR(AUTOEVENTO&lt;&gt;"manual",$M174&lt;&gt;1)),ROUND(OFFSET($P174,0,AJ$13),15-13*ORÇAMENTO!$AF$7)/$H174*OFFSET(ORÇAMENTO!$X$15,ROW(AJ174)-ROW(AJ$15),0),0)</f>
        <v>0</v>
      </c>
      <c r="AK174" s="632">
        <f ca="1">IF(AND($D174="Serviço",AK$12&lt;&gt;0,$H174&gt;0,OR(AUTOEVENTO&lt;&gt;"manual",$M174&lt;&gt;1)),ROUND(OFFSET($P174,0,AK$13),15-13*ORÇAMENTO!$AF$7)/$H174*OFFSET(ORÇAMENTO!$X$15,ROW(AK174)-ROW(AK$15),0),0)</f>
        <v>0</v>
      </c>
      <c r="AL174" s="632">
        <f ca="1">IF(AND($D174="Serviço",AL$12&lt;&gt;0,$H174&gt;0,OR(AUTOEVENTO&lt;&gt;"manual",$M174&lt;&gt;1)),ROUND(OFFSET($P174,0,AL$13),15-13*ORÇAMENTO!$AF$7)/$H174*OFFSET(ORÇAMENTO!$X$15,ROW(AL174)-ROW(AL$15),0),0)</f>
        <v>0</v>
      </c>
      <c r="AM174" s="632">
        <f ca="1">IF(AND($D174="Serviço",AM$12&lt;&gt;0,$H174&gt;0,OR(AUTOEVENTO&lt;&gt;"manual",$M174&lt;&gt;1)),ROUND(OFFSET($P174,0,AM$13),15-13*ORÇAMENTO!$AF$7)/$H174*OFFSET(ORÇAMENTO!$X$15,ROW(AM174)-ROW(AM$15),0),0)</f>
        <v>0</v>
      </c>
      <c r="AN174" s="632">
        <f ca="1">IF(AND($D174="Serviço",AN$12&lt;&gt;0,$H174&gt;0,OR(AUTOEVENTO&lt;&gt;"manual",$M174&lt;&gt;1)),ROUND(OFFSET($P174,0,AN$13),15-13*ORÇAMENTO!$AF$7)/$H174*OFFSET(ORÇAMENTO!$X$15,ROW(AN174)-ROW(AN$15),0),0)</f>
        <v>0</v>
      </c>
      <c r="AO174" s="632">
        <f ca="1">IF(AND($D174="Serviço",AO$12&lt;&gt;0,$H174&gt;0,OR(AUTOEVENTO&lt;&gt;"manual",$M174&lt;&gt;1)),ROUND(OFFSET($P174,0,AO$13),15-13*ORÇAMENTO!$AF$7)/$H174*OFFSET(ORÇAMENTO!$X$15,ROW(AO174)-ROW(AO$15),0),0)</f>
        <v>0</v>
      </c>
      <c r="AP174" s="632">
        <f ca="1">IF(AND($D174="Serviço",AP$12&lt;&gt;0,$H174&gt;0,OR(AUTOEVENTO&lt;&gt;"manual",$M174&lt;&gt;1)),ROUND(OFFSET($P174,0,AP$13),15-13*ORÇAMENTO!$AF$7)/$H174*OFFSET(ORÇAMENTO!$X$15,ROW(AP174)-ROW(AP$15),0),0)</f>
        <v>0</v>
      </c>
      <c r="AQ174" s="632">
        <f ca="1">IF(AND($D174="Serviço",AQ$12&lt;&gt;0,$H174&gt;0,OR(AUTOEVENTO&lt;&gt;"manual",$M174&lt;&gt;1)),ROUND(OFFSET($P174,0,AQ$13),15-13*ORÇAMENTO!$AF$7)/$H174*OFFSET(ORÇAMENTO!$X$15,ROW(AQ174)-ROW(AQ$15),0),0)</f>
        <v>0</v>
      </c>
      <c r="AR174" s="632">
        <f ca="1">IF(AND($D174="Serviço",AR$12&lt;&gt;0,$H174&gt;0,OR(AUTOEVENTO&lt;&gt;"manual",$M174&lt;&gt;1)),ROUND(OFFSET($P174,0,AR$13),15-13*ORÇAMENTO!$AF$7)/$H174*OFFSET(ORÇAMENTO!$X$15,ROW(AR174)-ROW(AR$15),0),0)</f>
        <v>0</v>
      </c>
      <c r="AS174" s="633">
        <f ca="1">IF(AND($D174="Serviço",AS$12&lt;&gt;0,$H174&gt;0,OR(AUTOEVENTO&lt;&gt;"manual",$M174&lt;&gt;1)),ROUND(OFFSET($P174,0,AS$13),15-13*ORÇAMENTO!$AF$7)/$H174*OFFSET(ORÇAMENTO!$X$15,ROW(AS174)-ROW(AS$15),0),0)</f>
        <v>0</v>
      </c>
      <c r="AT174" s="632">
        <f ca="1">IF(AND($D174="Serviço",AT$12&lt;&gt;0,$H174&gt;0,OR(AUTOEVENTO&lt;&gt;"manual",$M174&lt;&gt;1)),ROUND(OFFSET($P174,0,AT$13),15-13*ORÇAMENTO!$AF$7)/$H174*OFFSET(ORÇAMENTO!$X$15,ROW(AT174)-ROW(AT$15),0),0)</f>
        <v>0</v>
      </c>
      <c r="AU174" s="632">
        <f ca="1">IF(AND($D174="Serviço",AU$12&lt;&gt;0,$H174&gt;0,OR(AUTOEVENTO&lt;&gt;"manual",$M174&lt;&gt;1)),ROUND(OFFSET($P174,0,AU$13),15-13*ORÇAMENTO!$AF$7)/$H174*OFFSET(ORÇAMENTO!$X$15,ROW(AU174)-ROW(AU$15),0),0)</f>
        <v>0</v>
      </c>
      <c r="AV174" s="632">
        <f ca="1">IF(AND($D174="Serviço",AV$12&lt;&gt;0,$H174&gt;0,OR(AUTOEVENTO&lt;&gt;"manual",$M174&lt;&gt;1)),ROUND(OFFSET($P174,0,AV$13),15-13*ORÇAMENTO!$AF$7)/$H174*OFFSET(ORÇAMENTO!$X$15,ROW(AV174)-ROW(AV$15),0),0)</f>
        <v>0</v>
      </c>
      <c r="AW174" s="632">
        <f ca="1">IF(AND($D174="Serviço",AW$12&lt;&gt;0,$H174&gt;0,OR(AUTOEVENTO&lt;&gt;"manual",$M174&lt;&gt;1)),ROUND(OFFSET($P174,0,AW$13),15-13*ORÇAMENTO!$AF$7)/$H174*OFFSET(ORÇAMENTO!$X$15,ROW(AW174)-ROW(AW$15),0),0)</f>
        <v>0</v>
      </c>
      <c r="AX174" s="632">
        <f ca="1">IF(AND($D174="Serviço",AX$12&lt;&gt;0,$H174&gt;0,OR(AUTOEVENTO&lt;&gt;"manual",$M174&lt;&gt;1)),ROUND(OFFSET($P174,0,AX$13),15-13*ORÇAMENTO!$AF$7)/$H174*OFFSET(ORÇAMENTO!$X$15,ROW(AX174)-ROW(AX$15),0),0)</f>
        <v>0</v>
      </c>
      <c r="AY174" s="632">
        <f ca="1">IF(AND($D174="Serviço",AY$12&lt;&gt;0,$H174&gt;0,OR(AUTOEVENTO&lt;&gt;"manual",$M174&lt;&gt;1)),ROUND(OFFSET($P174,0,AY$13),15-13*ORÇAMENTO!$AF$7)/$H174*OFFSET(ORÇAMENTO!$X$15,ROW(AY174)-ROW(AY$15),0),0)</f>
        <v>0</v>
      </c>
      <c r="AZ174" s="632">
        <f ca="1">IF(AND($D174="Serviço",AZ$12&lt;&gt;0,$H174&gt;0,OR(AUTOEVENTO&lt;&gt;"manual",$M174&lt;&gt;1)),ROUND(OFFSET($P174,0,AZ$13),15-13*ORÇAMENTO!$AF$7)/$H174*OFFSET(ORÇAMENTO!$X$15,ROW(AZ174)-ROW(AZ$15),0),0)</f>
        <v>0</v>
      </c>
      <c r="BA174" s="633">
        <f ca="1">IF(AND($D174="Serviço",BA$12&lt;&gt;0,$H174&gt;0,OR(AUTOEVENTO&lt;&gt;"manual",$M174&lt;&gt;1)),ROUND(OFFSET($P174,0,BA$13),15-13*ORÇAMENTO!$AF$7)/$H174*OFFSET(ORÇAMENTO!$X$15,ROW(BA174)-ROW(BA$15),0),0)</f>
        <v>0</v>
      </c>
      <c r="BC174" s="215">
        <f ca="1">IF($D174&lt;&gt;"Serviço",0,IF(AND(AUTOEVENTO="Manual",$M174=1),0,IF(OFFSET(CRONOPLE!$F$14,$M174,BC$13)="",10^12,OFFSET(CRONOPLE!$F$14,$M174,BC$13))))</f>
        <v>1000000000000</v>
      </c>
      <c r="BD174" s="215">
        <f ca="1">IF($D174&lt;&gt;"Serviço",0,IF(AND(AUTOEVENTO="Manual",$M174=1),0,IF(OFFSET(CRONOPLE!$F$14,$M174,BD$13)="",10^12,OFFSET(CRONOPLE!$F$14,$M174,BD$13))))</f>
        <v>1000000000000</v>
      </c>
      <c r="BE174" s="215">
        <f ca="1">IF($D174&lt;&gt;"Serviço",0,IF(AND(AUTOEVENTO="Manual",$M174=1),0,IF(OFFSET(CRONOPLE!$F$14,$M174,BE$13)="",10^12,OFFSET(CRONOPLE!$F$14,$M174,BE$13))))</f>
        <v>1000000000000</v>
      </c>
      <c r="BF174" s="215">
        <f ca="1">IF($D174&lt;&gt;"Serviço",0,IF(AND(AUTOEVENTO="Manual",$M174=1),0,IF(OFFSET(CRONOPLE!$F$14,$M174,BF$13)="",10^12,OFFSET(CRONOPLE!$F$14,$M174,BF$13))))</f>
        <v>1000000000000</v>
      </c>
      <c r="BG174" s="215">
        <f ca="1">IF($D174&lt;&gt;"Serviço",0,IF(AND(AUTOEVENTO="Manual",$M174=1),0,IF(OFFSET(CRONOPLE!$F$14,$M174,BG$13)="",10^12,OFFSET(CRONOPLE!$F$14,$M174,BG$13))))</f>
        <v>1000000000000</v>
      </c>
      <c r="BH174" s="215">
        <f ca="1">IF($D174&lt;&gt;"Serviço",0,IF(AND(AUTOEVENTO="Manual",$M174=1),0,IF(OFFSET(CRONOPLE!$F$14,$M174,BH$13)="",10^12,OFFSET(CRONOPLE!$F$14,$M174,BH$13))))</f>
        <v>1000000000000</v>
      </c>
      <c r="BI174" s="215">
        <f ca="1">IF($D174&lt;&gt;"Serviço",0,IF(AND(AUTOEVENTO="Manual",$M174=1),0,IF(OFFSET(CRONOPLE!$F$14,$M174,BI$13)="",10^12,OFFSET(CRONOPLE!$F$14,$M174,BI$13))))</f>
        <v>1000000000000</v>
      </c>
      <c r="BJ174" s="215">
        <f ca="1">IF($D174&lt;&gt;"Serviço",0,IF(AND(AUTOEVENTO="Manual",$M174=1),0,IF(OFFSET(CRONOPLE!$F$14,$M174,BJ$13)="",10^12,OFFSET(CRONOPLE!$F$14,$M174,BJ$13))))</f>
        <v>1000000000000</v>
      </c>
      <c r="BK174" s="215">
        <f ca="1">IF($D174&lt;&gt;"Serviço",0,IF(AND(AUTOEVENTO="Manual",$M174=1),0,IF(OFFSET(CRONOPLE!$F$14,$M174,BK$13)="",10^12,OFFSET(CRONOPLE!$F$14,$M174,BK$13))))</f>
        <v>1000000000000</v>
      </c>
      <c r="BL174" s="215">
        <f ca="1">IF($D174&lt;&gt;"Serviço",0,IF(AND(AUTOEVENTO="Manual",$M174=1),0,IF(OFFSET(CRONOPLE!$F$14,$M174,BL$13)="",10^12,OFFSET(CRONOPLE!$F$14,$M174,BL$13))))</f>
        <v>1000000000000</v>
      </c>
      <c r="BM174" s="215">
        <f ca="1">IF($D174&lt;&gt;"Serviço",0,IF(AND(AUTOEVENTO="Manual",$M174=1),0,IF(OFFSET(CRONOPLE!$F$14,$M174,BM$13)="",10^12,OFFSET(CRONOPLE!$F$14,$M174,BM$13))))</f>
        <v>1000000000000</v>
      </c>
      <c r="BN174" s="215">
        <f ca="1">IF($D174&lt;&gt;"Serviço",0,IF(AND(AUTOEVENTO="Manual",$M174=1),0,IF(OFFSET(CRONOPLE!$F$14,$M174,BN$13)="",10^12,OFFSET(CRONOPLE!$F$14,$M174,BN$13))))</f>
        <v>1000000000000</v>
      </c>
      <c r="BO174" s="215">
        <f ca="1">IF($D174&lt;&gt;"Serviço",0,IF(AND(AUTOEVENTO="Manual",$M174=1),0,IF(OFFSET(CRONOPLE!$F$14,$M174,BO$13)="",10^12,OFFSET(CRONOPLE!$F$14,$M174,BO$13))))</f>
        <v>1000000000000</v>
      </c>
      <c r="BP174" s="215">
        <f ca="1">IF($D174&lt;&gt;"Serviço",0,IF(AND(AUTOEVENTO="Manual",$M174=1),0,IF(OFFSET(CRONOPLE!$F$14,$M174,BP$13)="",10^12,OFFSET(CRONOPLE!$F$14,$M174,BP$13))))</f>
        <v>1000000000000</v>
      </c>
      <c r="BQ174" s="215">
        <f ca="1">IF($D174&lt;&gt;"Serviço",0,IF(AND(AUTOEVENTO="Manual",$M174=1),0,IF(OFFSET(CRONOPLE!$F$14,$M174,BQ$13)="",10^12,OFFSET(CRONOPLE!$F$14,$M174,BQ$13))))</f>
        <v>1000000000000</v>
      </c>
      <c r="BR174" s="215">
        <f ca="1">IF($D174&lt;&gt;"Serviço",0,IF(AND(AUTOEVENTO="Manual",$M174=1),0,IF(OFFSET(CRONOPLE!$F$14,$M174,BR$13)="",10^12,OFFSET(CRONOPLE!$F$14,$M174,BR$13))))</f>
        <v>1000000000000</v>
      </c>
      <c r="BS174" s="215">
        <f ca="1">IF($D174&lt;&gt;"Serviço",0,IF(AND(AUTOEVENTO="Manual",$M174=1),0,IF(OFFSET(CRONOPLE!$F$14,$M174,BS$13)="",10^12,OFFSET(CRONOPLE!$F$14,$M174,BS$13))))</f>
        <v>1000000000000</v>
      </c>
      <c r="BT174" s="215">
        <f ca="1">IF($D174&lt;&gt;"Serviço",0,IF(AND(AUTOEVENTO="Manual",$M174=1),0,IF(OFFSET(CRONOPLE!$F$14,$M174,BT$13)="",10^12,OFFSET(CRONOPLE!$F$14,$M174,BT$13))))</f>
        <v>1000000000000</v>
      </c>
      <c r="BV174" s="216">
        <f ca="1">IF($D174&lt;&gt;"Serviço",0,IF(OR(AND(AUTOEVENTO="Manual",$M174=1),$M174&gt;(ROW(PLE.lastrow)-ROW(PLE.firstrow))),0,IF(OFFSET(PLE!$G$14,$M174,BV$13)="",10^12,OFFSET(PLE!$G$14,$M174,BV$13))))</f>
        <v>1000000000000</v>
      </c>
      <c r="BW174" s="216">
        <f ca="1">IF($D174&lt;&gt;"Serviço",0,IF(OR(AND(AUTOEVENTO="Manual",$M174=1),$M174&gt;(ROW(PLE.lastrow)-ROW(PLE.firstrow))),0,IF(OFFSET(PLE!$G$14,$M174,BW$13)="",10^12,OFFSET(PLE!$G$14,$M174,BW$13))))</f>
        <v>1000000000000</v>
      </c>
      <c r="BX174" s="216">
        <f ca="1">IF($D174&lt;&gt;"Serviço",0,IF(OR(AND(AUTOEVENTO="Manual",$M174=1),$M174&gt;(ROW(PLE.lastrow)-ROW(PLE.firstrow))),0,IF(OFFSET(PLE!$G$14,$M174,BX$13)="",10^12,OFFSET(PLE!$G$14,$M174,BX$13))))</f>
        <v>1000000000000</v>
      </c>
      <c r="BY174" s="216">
        <f ca="1">IF($D174&lt;&gt;"Serviço",0,IF(OR(AND(AUTOEVENTO="Manual",$M174=1),$M174&gt;(ROW(PLE.lastrow)-ROW(PLE.firstrow))),0,IF(OFFSET(PLE!$G$14,$M174,BY$13)="",10^12,OFFSET(PLE!$G$14,$M174,BY$13))))</f>
        <v>1000000000000</v>
      </c>
      <c r="BZ174" s="216">
        <f ca="1">IF($D174&lt;&gt;"Serviço",0,IF(OR(AND(AUTOEVENTO="Manual",$M174=1),$M174&gt;(ROW(PLE.lastrow)-ROW(PLE.firstrow))),0,IF(OFFSET(PLE!$G$14,$M174,BZ$13)="",10^12,OFFSET(PLE!$G$14,$M174,BZ$13))))</f>
        <v>1000000000000</v>
      </c>
      <c r="CA174" s="216">
        <f ca="1">IF($D174&lt;&gt;"Serviço",0,IF(OR(AND(AUTOEVENTO="Manual",$M174=1),$M174&gt;(ROW(PLE.lastrow)-ROW(PLE.firstrow))),0,IF(OFFSET(PLE!$G$14,$M174,CA$13)="",10^12,OFFSET(PLE!$G$14,$M174,CA$13))))</f>
        <v>1000000000000</v>
      </c>
      <c r="CB174" s="216">
        <f ca="1">IF($D174&lt;&gt;"Serviço",0,IF(OR(AND(AUTOEVENTO="Manual",$M174=1),$M174&gt;(ROW(PLE.lastrow)-ROW(PLE.firstrow))),0,IF(OFFSET(PLE!$G$14,$M174,CB$13)="",10^12,OFFSET(PLE!$G$14,$M174,CB$13))))</f>
        <v>1000000000000</v>
      </c>
      <c r="CC174" s="216">
        <f ca="1">IF($D174&lt;&gt;"Serviço",0,IF(OR(AND(AUTOEVENTO="Manual",$M174=1),$M174&gt;(ROW(PLE.lastrow)-ROW(PLE.firstrow))),0,IF(OFFSET(PLE!$G$14,$M174,CC$13)="",10^12,OFFSET(PLE!$G$14,$M174,CC$13))))</f>
        <v>1000000000000</v>
      </c>
      <c r="CD174" s="216">
        <f ca="1">IF($D174&lt;&gt;"Serviço",0,IF(OR(AND(AUTOEVENTO="Manual",$M174=1),$M174&gt;(ROW(PLE.lastrow)-ROW(PLE.firstrow))),0,IF(OFFSET(PLE!$G$14,$M174,CD$13)="",10^12,OFFSET(PLE!$G$14,$M174,CD$13))))</f>
        <v>1000000000000</v>
      </c>
      <c r="CE174" s="216">
        <f ca="1">IF($D174&lt;&gt;"Serviço",0,IF(OR(AND(AUTOEVENTO="Manual",$M174=1),$M174&gt;(ROW(PLE.lastrow)-ROW(PLE.firstrow))),0,IF(OFFSET(PLE!$G$14,$M174,CE$13)="",10^12,OFFSET(PLE!$G$14,$M174,CE$13))))</f>
        <v>1000000000000</v>
      </c>
      <c r="CF174" s="216">
        <f ca="1">IF($D174&lt;&gt;"Serviço",0,IF(OR(AND(AUTOEVENTO="Manual",$M174=1),$M174&gt;(ROW(PLE.lastrow)-ROW(PLE.firstrow))),0,IF(OFFSET(PLE!$G$14,$M174,CF$13)="",10^12,OFFSET(PLE!$G$14,$M174,CF$13))))</f>
        <v>1000000000000</v>
      </c>
      <c r="CG174" s="216">
        <f ca="1">IF($D174&lt;&gt;"Serviço",0,IF(OR(AND(AUTOEVENTO="Manual",$M174=1),$M174&gt;(ROW(PLE.lastrow)-ROW(PLE.firstrow))),0,IF(OFFSET(PLE!$G$14,$M174,CG$13)="",10^12,OFFSET(PLE!$G$14,$M174,CG$13))))</f>
        <v>1000000000000</v>
      </c>
      <c r="CH174" s="216">
        <f ca="1">IF($D174&lt;&gt;"Serviço",0,IF(OR(AND(AUTOEVENTO="Manual",$M174=1),$M174&gt;(ROW(PLE.lastrow)-ROW(PLE.firstrow))),0,IF(OFFSET(PLE!$G$14,$M174,CH$13)="",10^12,OFFSET(PLE!$G$14,$M174,CH$13))))</f>
        <v>1000000000000</v>
      </c>
      <c r="CI174" s="216">
        <f ca="1">IF($D174&lt;&gt;"Serviço",0,IF(OR(AND(AUTOEVENTO="Manual",$M174=1),$M174&gt;(ROW(PLE.lastrow)-ROW(PLE.firstrow))),0,IF(OFFSET(PLE!$G$14,$M174,CI$13)="",10^12,OFFSET(PLE!$G$14,$M174,CI$13))))</f>
        <v>1000000000000</v>
      </c>
      <c r="CJ174" s="216">
        <f ca="1">IF($D174&lt;&gt;"Serviço",0,IF(OR(AND(AUTOEVENTO="Manual",$M174=1),$M174&gt;(ROW(PLE.lastrow)-ROW(PLE.firstrow))),0,IF(OFFSET(PLE!$G$14,$M174,CJ$13)="",10^12,OFFSET(PLE!$G$14,$M174,CJ$13))))</f>
        <v>1000000000000</v>
      </c>
      <c r="CK174" s="216">
        <f ca="1">IF($D174&lt;&gt;"Serviço",0,IF(OR(AND(AUTOEVENTO="Manual",$M174=1),$M174&gt;(ROW(PLE.lastrow)-ROW(PLE.firstrow))),0,IF(OFFSET(PLE!$G$14,$M174,CK$13)="",10^12,OFFSET(PLE!$G$14,$M174,CK$13))))</f>
        <v>1000000000000</v>
      </c>
      <c r="CL174" s="216">
        <f ca="1">IF($D174&lt;&gt;"Serviço",0,IF(OR(AND(AUTOEVENTO="Manual",$M174=1),$M174&gt;(ROW(PLE.lastrow)-ROW(PLE.firstrow))),0,IF(OFFSET(PLE!$G$14,$M174,CL$13)="",10^12,OFFSET(PLE!$G$14,$M174,CL$13))))</f>
        <v>1000000000000</v>
      </c>
      <c r="CM174" s="216">
        <f ca="1">IF($D174&lt;&gt;"Serviço",0,IF(OR(AND(AUTOEVENTO="Manual",$M174=1),$M174&gt;(ROW(PLE.lastrow)-ROW(PLE.firstrow))),0,IF(OFFSET(PLE!$G$14,$M174,CM$13)="",10^12,OFFSET(PLE!$G$14,$M174,CM$13))))</f>
        <v>1000000000000</v>
      </c>
    </row>
    <row r="175" spans="1:91" ht="13.2" x14ac:dyDescent="0.25">
      <c r="A175" s="9">
        <f t="shared" ca="1" si="11"/>
        <v>0</v>
      </c>
      <c r="B175" s="9" t="str">
        <f ca="1">OFFSET(ORÇAMENTO!C$15,ROW(B175)-ROW(B$15),0)</f>
        <v>S</v>
      </c>
      <c r="C175" s="9" t="str">
        <f ca="1">OFFSET(ORÇAMENTO!L$15,ROW(C175)-ROW(C$15),0)</f>
        <v/>
      </c>
      <c r="D175" s="145" t="str">
        <f ca="1">OFFSET(ORÇAMENTO!N$15,ROW(D175)-ROW(D$15),0)</f>
        <v>Serviço</v>
      </c>
      <c r="E175" s="205" t="str">
        <f ca="1">OFFSET(ORÇAMENTO!O$15,ROW(E175)-ROW(E$15),0)</f>
        <v>-</v>
      </c>
      <c r="F175" s="206" t="str">
        <f ca="1">OFFSET(ORÇAMENTO!R$15,ROW(F175)-ROW(F$15),0)</f>
        <v>(abra o arquivo 'Referência 05-2024.xls)</v>
      </c>
      <c r="G175" s="207" t="str">
        <f ca="1">IF($D175&lt;&gt;"Serviço","",OFFSET(ORÇAMENTO!S$15,ROW(G175)-ROW(G$15),0))</f>
        <v>-</v>
      </c>
      <c r="H175" s="151">
        <f ca="1">IF($D175&lt;&gt;"Serviço",0,IF(ACOMPANHAMENTO="BM",ROUND(OFFSET(ORÇAMENTO!AJ$15,ROW(H175)-ROW(H$15),0),15-13*ORÇAMENTO!$AF$7),SUMPRODUCT(($Q$12:$AI$12&lt;&gt;"")*ROUND($Q175:$AI175,15-13*ORÇAMENTO!$AF$7))))</f>
        <v>6</v>
      </c>
      <c r="I175" s="650"/>
      <c r="K175" s="208"/>
      <c r="L175" s="209" t="s">
        <v>257</v>
      </c>
      <c r="M175" s="210">
        <f ca="1">IF($D175&lt;&gt;"Serviço","",IF(AUTOEVENTO="manual",$A175,IF(ISERROR(MATCH($A175,$A$15:OFFSET($A175,-1,0),0)),MAX($M$15:OFFSET(M175,-1,0))+1,INDEX($M$15:OFFSET(M175,-1,0),MATCH($A175,$A$15:OFFSET($A175,-1,0),0)))))</f>
        <v>0</v>
      </c>
      <c r="N175" s="211" t="str">
        <f ca="1">IF($D175&lt;&gt;"Serviço","",IF(AUTOEVENTO="Manual",IF($A175=0,"&lt;-- defina o número do agrupador",OFFSET(EVENTOS!$D$14,$A175,0)),OFFSET($F$15,$A175,0)))</f>
        <v>&lt;-- defina o número do agrupador</v>
      </c>
      <c r="O175" s="212"/>
      <c r="Q175" s="212"/>
      <c r="R175" s="213"/>
      <c r="S175" s="213"/>
      <c r="T175" s="213"/>
      <c r="U175" s="213"/>
      <c r="V175" s="213"/>
      <c r="W175" s="213"/>
      <c r="X175" s="213"/>
      <c r="Y175" s="213"/>
      <c r="Z175" s="214"/>
      <c r="AA175" s="213"/>
      <c r="AB175" s="213"/>
      <c r="AC175" s="213"/>
      <c r="AD175" s="213"/>
      <c r="AE175" s="213"/>
      <c r="AF175" s="213"/>
      <c r="AG175" s="213"/>
      <c r="AH175" s="214"/>
      <c r="AJ175" s="631">
        <f ca="1">IF(AND($D175="Serviço",AJ$12&lt;&gt;0,$H175&gt;0,OR(AUTOEVENTO&lt;&gt;"manual",$M175&lt;&gt;1)),ROUND(OFFSET($P175,0,AJ$13),15-13*ORÇAMENTO!$AF$7)/$H175*OFFSET(ORÇAMENTO!$X$15,ROW(AJ175)-ROW(AJ$15),0),0)</f>
        <v>0</v>
      </c>
      <c r="AK175" s="632">
        <f ca="1">IF(AND($D175="Serviço",AK$12&lt;&gt;0,$H175&gt;0,OR(AUTOEVENTO&lt;&gt;"manual",$M175&lt;&gt;1)),ROUND(OFFSET($P175,0,AK$13),15-13*ORÇAMENTO!$AF$7)/$H175*OFFSET(ORÇAMENTO!$X$15,ROW(AK175)-ROW(AK$15),0),0)</f>
        <v>0</v>
      </c>
      <c r="AL175" s="632">
        <f ca="1">IF(AND($D175="Serviço",AL$12&lt;&gt;0,$H175&gt;0,OR(AUTOEVENTO&lt;&gt;"manual",$M175&lt;&gt;1)),ROUND(OFFSET($P175,0,AL$13),15-13*ORÇAMENTO!$AF$7)/$H175*OFFSET(ORÇAMENTO!$X$15,ROW(AL175)-ROW(AL$15),0),0)</f>
        <v>0</v>
      </c>
      <c r="AM175" s="632">
        <f ca="1">IF(AND($D175="Serviço",AM$12&lt;&gt;0,$H175&gt;0,OR(AUTOEVENTO&lt;&gt;"manual",$M175&lt;&gt;1)),ROUND(OFFSET($P175,0,AM$13),15-13*ORÇAMENTO!$AF$7)/$H175*OFFSET(ORÇAMENTO!$X$15,ROW(AM175)-ROW(AM$15),0),0)</f>
        <v>0</v>
      </c>
      <c r="AN175" s="632">
        <f ca="1">IF(AND($D175="Serviço",AN$12&lt;&gt;0,$H175&gt;0,OR(AUTOEVENTO&lt;&gt;"manual",$M175&lt;&gt;1)),ROUND(OFFSET($P175,0,AN$13),15-13*ORÇAMENTO!$AF$7)/$H175*OFFSET(ORÇAMENTO!$X$15,ROW(AN175)-ROW(AN$15),0),0)</f>
        <v>0</v>
      </c>
      <c r="AO175" s="632">
        <f ca="1">IF(AND($D175="Serviço",AO$12&lt;&gt;0,$H175&gt;0,OR(AUTOEVENTO&lt;&gt;"manual",$M175&lt;&gt;1)),ROUND(OFFSET($P175,0,AO$13),15-13*ORÇAMENTO!$AF$7)/$H175*OFFSET(ORÇAMENTO!$X$15,ROW(AO175)-ROW(AO$15),0),0)</f>
        <v>0</v>
      </c>
      <c r="AP175" s="632">
        <f ca="1">IF(AND($D175="Serviço",AP$12&lt;&gt;0,$H175&gt;0,OR(AUTOEVENTO&lt;&gt;"manual",$M175&lt;&gt;1)),ROUND(OFFSET($P175,0,AP$13),15-13*ORÇAMENTO!$AF$7)/$H175*OFFSET(ORÇAMENTO!$X$15,ROW(AP175)-ROW(AP$15),0),0)</f>
        <v>0</v>
      </c>
      <c r="AQ175" s="632">
        <f ca="1">IF(AND($D175="Serviço",AQ$12&lt;&gt;0,$H175&gt;0,OR(AUTOEVENTO&lt;&gt;"manual",$M175&lt;&gt;1)),ROUND(OFFSET($P175,0,AQ$13),15-13*ORÇAMENTO!$AF$7)/$H175*OFFSET(ORÇAMENTO!$X$15,ROW(AQ175)-ROW(AQ$15),0),0)</f>
        <v>0</v>
      </c>
      <c r="AR175" s="632">
        <f ca="1">IF(AND($D175="Serviço",AR$12&lt;&gt;0,$H175&gt;0,OR(AUTOEVENTO&lt;&gt;"manual",$M175&lt;&gt;1)),ROUND(OFFSET($P175,0,AR$13),15-13*ORÇAMENTO!$AF$7)/$H175*OFFSET(ORÇAMENTO!$X$15,ROW(AR175)-ROW(AR$15),0),0)</f>
        <v>0</v>
      </c>
      <c r="AS175" s="633">
        <f ca="1">IF(AND($D175="Serviço",AS$12&lt;&gt;0,$H175&gt;0,OR(AUTOEVENTO&lt;&gt;"manual",$M175&lt;&gt;1)),ROUND(OFFSET($P175,0,AS$13),15-13*ORÇAMENTO!$AF$7)/$H175*OFFSET(ORÇAMENTO!$X$15,ROW(AS175)-ROW(AS$15),0),0)</f>
        <v>0</v>
      </c>
      <c r="AT175" s="632">
        <f ca="1">IF(AND($D175="Serviço",AT$12&lt;&gt;0,$H175&gt;0,OR(AUTOEVENTO&lt;&gt;"manual",$M175&lt;&gt;1)),ROUND(OFFSET($P175,0,AT$13),15-13*ORÇAMENTO!$AF$7)/$H175*OFFSET(ORÇAMENTO!$X$15,ROW(AT175)-ROW(AT$15),0),0)</f>
        <v>0</v>
      </c>
      <c r="AU175" s="632">
        <f ca="1">IF(AND($D175="Serviço",AU$12&lt;&gt;0,$H175&gt;0,OR(AUTOEVENTO&lt;&gt;"manual",$M175&lt;&gt;1)),ROUND(OFFSET($P175,0,AU$13),15-13*ORÇAMENTO!$AF$7)/$H175*OFFSET(ORÇAMENTO!$X$15,ROW(AU175)-ROW(AU$15),0),0)</f>
        <v>0</v>
      </c>
      <c r="AV175" s="632">
        <f ca="1">IF(AND($D175="Serviço",AV$12&lt;&gt;0,$H175&gt;0,OR(AUTOEVENTO&lt;&gt;"manual",$M175&lt;&gt;1)),ROUND(OFFSET($P175,0,AV$13),15-13*ORÇAMENTO!$AF$7)/$H175*OFFSET(ORÇAMENTO!$X$15,ROW(AV175)-ROW(AV$15),0),0)</f>
        <v>0</v>
      </c>
      <c r="AW175" s="632">
        <f ca="1">IF(AND($D175="Serviço",AW$12&lt;&gt;0,$H175&gt;0,OR(AUTOEVENTO&lt;&gt;"manual",$M175&lt;&gt;1)),ROUND(OFFSET($P175,0,AW$13),15-13*ORÇAMENTO!$AF$7)/$H175*OFFSET(ORÇAMENTO!$X$15,ROW(AW175)-ROW(AW$15),0),0)</f>
        <v>0</v>
      </c>
      <c r="AX175" s="632">
        <f ca="1">IF(AND($D175="Serviço",AX$12&lt;&gt;0,$H175&gt;0,OR(AUTOEVENTO&lt;&gt;"manual",$M175&lt;&gt;1)),ROUND(OFFSET($P175,0,AX$13),15-13*ORÇAMENTO!$AF$7)/$H175*OFFSET(ORÇAMENTO!$X$15,ROW(AX175)-ROW(AX$15),0),0)</f>
        <v>0</v>
      </c>
      <c r="AY175" s="632">
        <f ca="1">IF(AND($D175="Serviço",AY$12&lt;&gt;0,$H175&gt;0,OR(AUTOEVENTO&lt;&gt;"manual",$M175&lt;&gt;1)),ROUND(OFFSET($P175,0,AY$13),15-13*ORÇAMENTO!$AF$7)/$H175*OFFSET(ORÇAMENTO!$X$15,ROW(AY175)-ROW(AY$15),0),0)</f>
        <v>0</v>
      </c>
      <c r="AZ175" s="632">
        <f ca="1">IF(AND($D175="Serviço",AZ$12&lt;&gt;0,$H175&gt;0,OR(AUTOEVENTO&lt;&gt;"manual",$M175&lt;&gt;1)),ROUND(OFFSET($P175,0,AZ$13),15-13*ORÇAMENTO!$AF$7)/$H175*OFFSET(ORÇAMENTO!$X$15,ROW(AZ175)-ROW(AZ$15),0),0)</f>
        <v>0</v>
      </c>
      <c r="BA175" s="633">
        <f ca="1">IF(AND($D175="Serviço",BA$12&lt;&gt;0,$H175&gt;0,OR(AUTOEVENTO&lt;&gt;"manual",$M175&lt;&gt;1)),ROUND(OFFSET($P175,0,BA$13),15-13*ORÇAMENTO!$AF$7)/$H175*OFFSET(ORÇAMENTO!$X$15,ROW(BA175)-ROW(BA$15),0),0)</f>
        <v>0</v>
      </c>
      <c r="BC175" s="215">
        <f ca="1">IF($D175&lt;&gt;"Serviço",0,IF(AND(AUTOEVENTO="Manual",$M175=1),0,IF(OFFSET(CRONOPLE!$F$14,$M175,BC$13)="",10^12,OFFSET(CRONOPLE!$F$14,$M175,BC$13))))</f>
        <v>1000000000000</v>
      </c>
      <c r="BD175" s="215">
        <f ca="1">IF($D175&lt;&gt;"Serviço",0,IF(AND(AUTOEVENTO="Manual",$M175=1),0,IF(OFFSET(CRONOPLE!$F$14,$M175,BD$13)="",10^12,OFFSET(CRONOPLE!$F$14,$M175,BD$13))))</f>
        <v>1000000000000</v>
      </c>
      <c r="BE175" s="215">
        <f ca="1">IF($D175&lt;&gt;"Serviço",0,IF(AND(AUTOEVENTO="Manual",$M175=1),0,IF(OFFSET(CRONOPLE!$F$14,$M175,BE$13)="",10^12,OFFSET(CRONOPLE!$F$14,$M175,BE$13))))</f>
        <v>1000000000000</v>
      </c>
      <c r="BF175" s="215">
        <f ca="1">IF($D175&lt;&gt;"Serviço",0,IF(AND(AUTOEVENTO="Manual",$M175=1),0,IF(OFFSET(CRONOPLE!$F$14,$M175,BF$13)="",10^12,OFFSET(CRONOPLE!$F$14,$M175,BF$13))))</f>
        <v>1000000000000</v>
      </c>
      <c r="BG175" s="215">
        <f ca="1">IF($D175&lt;&gt;"Serviço",0,IF(AND(AUTOEVENTO="Manual",$M175=1),0,IF(OFFSET(CRONOPLE!$F$14,$M175,BG$13)="",10^12,OFFSET(CRONOPLE!$F$14,$M175,BG$13))))</f>
        <v>1000000000000</v>
      </c>
      <c r="BH175" s="215">
        <f ca="1">IF($D175&lt;&gt;"Serviço",0,IF(AND(AUTOEVENTO="Manual",$M175=1),0,IF(OFFSET(CRONOPLE!$F$14,$M175,BH$13)="",10^12,OFFSET(CRONOPLE!$F$14,$M175,BH$13))))</f>
        <v>1000000000000</v>
      </c>
      <c r="BI175" s="215">
        <f ca="1">IF($D175&lt;&gt;"Serviço",0,IF(AND(AUTOEVENTO="Manual",$M175=1),0,IF(OFFSET(CRONOPLE!$F$14,$M175,BI$13)="",10^12,OFFSET(CRONOPLE!$F$14,$M175,BI$13))))</f>
        <v>1000000000000</v>
      </c>
      <c r="BJ175" s="215">
        <f ca="1">IF($D175&lt;&gt;"Serviço",0,IF(AND(AUTOEVENTO="Manual",$M175=1),0,IF(OFFSET(CRONOPLE!$F$14,$M175,BJ$13)="",10^12,OFFSET(CRONOPLE!$F$14,$M175,BJ$13))))</f>
        <v>1000000000000</v>
      </c>
      <c r="BK175" s="215">
        <f ca="1">IF($D175&lt;&gt;"Serviço",0,IF(AND(AUTOEVENTO="Manual",$M175=1),0,IF(OFFSET(CRONOPLE!$F$14,$M175,BK$13)="",10^12,OFFSET(CRONOPLE!$F$14,$M175,BK$13))))</f>
        <v>1000000000000</v>
      </c>
      <c r="BL175" s="215">
        <f ca="1">IF($D175&lt;&gt;"Serviço",0,IF(AND(AUTOEVENTO="Manual",$M175=1),0,IF(OFFSET(CRONOPLE!$F$14,$M175,BL$13)="",10^12,OFFSET(CRONOPLE!$F$14,$M175,BL$13))))</f>
        <v>1000000000000</v>
      </c>
      <c r="BM175" s="215">
        <f ca="1">IF($D175&lt;&gt;"Serviço",0,IF(AND(AUTOEVENTO="Manual",$M175=1),0,IF(OFFSET(CRONOPLE!$F$14,$M175,BM$13)="",10^12,OFFSET(CRONOPLE!$F$14,$M175,BM$13))))</f>
        <v>1000000000000</v>
      </c>
      <c r="BN175" s="215">
        <f ca="1">IF($D175&lt;&gt;"Serviço",0,IF(AND(AUTOEVENTO="Manual",$M175=1),0,IF(OFFSET(CRONOPLE!$F$14,$M175,BN$13)="",10^12,OFFSET(CRONOPLE!$F$14,$M175,BN$13))))</f>
        <v>1000000000000</v>
      </c>
      <c r="BO175" s="215">
        <f ca="1">IF($D175&lt;&gt;"Serviço",0,IF(AND(AUTOEVENTO="Manual",$M175=1),0,IF(OFFSET(CRONOPLE!$F$14,$M175,BO$13)="",10^12,OFFSET(CRONOPLE!$F$14,$M175,BO$13))))</f>
        <v>1000000000000</v>
      </c>
      <c r="BP175" s="215">
        <f ca="1">IF($D175&lt;&gt;"Serviço",0,IF(AND(AUTOEVENTO="Manual",$M175=1),0,IF(OFFSET(CRONOPLE!$F$14,$M175,BP$13)="",10^12,OFFSET(CRONOPLE!$F$14,$M175,BP$13))))</f>
        <v>1000000000000</v>
      </c>
      <c r="BQ175" s="215">
        <f ca="1">IF($D175&lt;&gt;"Serviço",0,IF(AND(AUTOEVENTO="Manual",$M175=1),0,IF(OFFSET(CRONOPLE!$F$14,$M175,BQ$13)="",10^12,OFFSET(CRONOPLE!$F$14,$M175,BQ$13))))</f>
        <v>1000000000000</v>
      </c>
      <c r="BR175" s="215">
        <f ca="1">IF($D175&lt;&gt;"Serviço",0,IF(AND(AUTOEVENTO="Manual",$M175=1),0,IF(OFFSET(CRONOPLE!$F$14,$M175,BR$13)="",10^12,OFFSET(CRONOPLE!$F$14,$M175,BR$13))))</f>
        <v>1000000000000</v>
      </c>
      <c r="BS175" s="215">
        <f ca="1">IF($D175&lt;&gt;"Serviço",0,IF(AND(AUTOEVENTO="Manual",$M175=1),0,IF(OFFSET(CRONOPLE!$F$14,$M175,BS$13)="",10^12,OFFSET(CRONOPLE!$F$14,$M175,BS$13))))</f>
        <v>1000000000000</v>
      </c>
      <c r="BT175" s="215">
        <f ca="1">IF($D175&lt;&gt;"Serviço",0,IF(AND(AUTOEVENTO="Manual",$M175=1),0,IF(OFFSET(CRONOPLE!$F$14,$M175,BT$13)="",10^12,OFFSET(CRONOPLE!$F$14,$M175,BT$13))))</f>
        <v>1000000000000</v>
      </c>
      <c r="BV175" s="216">
        <f ca="1">IF($D175&lt;&gt;"Serviço",0,IF(OR(AND(AUTOEVENTO="Manual",$M175=1),$M175&gt;(ROW(PLE.lastrow)-ROW(PLE.firstrow))),0,IF(OFFSET(PLE!$G$14,$M175,BV$13)="",10^12,OFFSET(PLE!$G$14,$M175,BV$13))))</f>
        <v>1000000000000</v>
      </c>
      <c r="BW175" s="216">
        <f ca="1">IF($D175&lt;&gt;"Serviço",0,IF(OR(AND(AUTOEVENTO="Manual",$M175=1),$M175&gt;(ROW(PLE.lastrow)-ROW(PLE.firstrow))),0,IF(OFFSET(PLE!$G$14,$M175,BW$13)="",10^12,OFFSET(PLE!$G$14,$M175,BW$13))))</f>
        <v>1000000000000</v>
      </c>
      <c r="BX175" s="216">
        <f ca="1">IF($D175&lt;&gt;"Serviço",0,IF(OR(AND(AUTOEVENTO="Manual",$M175=1),$M175&gt;(ROW(PLE.lastrow)-ROW(PLE.firstrow))),0,IF(OFFSET(PLE!$G$14,$M175,BX$13)="",10^12,OFFSET(PLE!$G$14,$M175,BX$13))))</f>
        <v>1000000000000</v>
      </c>
      <c r="BY175" s="216">
        <f ca="1">IF($D175&lt;&gt;"Serviço",0,IF(OR(AND(AUTOEVENTO="Manual",$M175=1),$M175&gt;(ROW(PLE.lastrow)-ROW(PLE.firstrow))),0,IF(OFFSET(PLE!$G$14,$M175,BY$13)="",10^12,OFFSET(PLE!$G$14,$M175,BY$13))))</f>
        <v>1000000000000</v>
      </c>
      <c r="BZ175" s="216">
        <f ca="1">IF($D175&lt;&gt;"Serviço",0,IF(OR(AND(AUTOEVENTO="Manual",$M175=1),$M175&gt;(ROW(PLE.lastrow)-ROW(PLE.firstrow))),0,IF(OFFSET(PLE!$G$14,$M175,BZ$13)="",10^12,OFFSET(PLE!$G$14,$M175,BZ$13))))</f>
        <v>1000000000000</v>
      </c>
      <c r="CA175" s="216">
        <f ca="1">IF($D175&lt;&gt;"Serviço",0,IF(OR(AND(AUTOEVENTO="Manual",$M175=1),$M175&gt;(ROW(PLE.lastrow)-ROW(PLE.firstrow))),0,IF(OFFSET(PLE!$G$14,$M175,CA$13)="",10^12,OFFSET(PLE!$G$14,$M175,CA$13))))</f>
        <v>1000000000000</v>
      </c>
      <c r="CB175" s="216">
        <f ca="1">IF($D175&lt;&gt;"Serviço",0,IF(OR(AND(AUTOEVENTO="Manual",$M175=1),$M175&gt;(ROW(PLE.lastrow)-ROW(PLE.firstrow))),0,IF(OFFSET(PLE!$G$14,$M175,CB$13)="",10^12,OFFSET(PLE!$G$14,$M175,CB$13))))</f>
        <v>1000000000000</v>
      </c>
      <c r="CC175" s="216">
        <f ca="1">IF($D175&lt;&gt;"Serviço",0,IF(OR(AND(AUTOEVENTO="Manual",$M175=1),$M175&gt;(ROW(PLE.lastrow)-ROW(PLE.firstrow))),0,IF(OFFSET(PLE!$G$14,$M175,CC$13)="",10^12,OFFSET(PLE!$G$14,$M175,CC$13))))</f>
        <v>1000000000000</v>
      </c>
      <c r="CD175" s="216">
        <f ca="1">IF($D175&lt;&gt;"Serviço",0,IF(OR(AND(AUTOEVENTO="Manual",$M175=1),$M175&gt;(ROW(PLE.lastrow)-ROW(PLE.firstrow))),0,IF(OFFSET(PLE!$G$14,$M175,CD$13)="",10^12,OFFSET(PLE!$G$14,$M175,CD$13))))</f>
        <v>1000000000000</v>
      </c>
      <c r="CE175" s="216">
        <f ca="1">IF($D175&lt;&gt;"Serviço",0,IF(OR(AND(AUTOEVENTO="Manual",$M175=1),$M175&gt;(ROW(PLE.lastrow)-ROW(PLE.firstrow))),0,IF(OFFSET(PLE!$G$14,$M175,CE$13)="",10^12,OFFSET(PLE!$G$14,$M175,CE$13))))</f>
        <v>1000000000000</v>
      </c>
      <c r="CF175" s="216">
        <f ca="1">IF($D175&lt;&gt;"Serviço",0,IF(OR(AND(AUTOEVENTO="Manual",$M175=1),$M175&gt;(ROW(PLE.lastrow)-ROW(PLE.firstrow))),0,IF(OFFSET(PLE!$G$14,$M175,CF$13)="",10^12,OFFSET(PLE!$G$14,$M175,CF$13))))</f>
        <v>1000000000000</v>
      </c>
      <c r="CG175" s="216">
        <f ca="1">IF($D175&lt;&gt;"Serviço",0,IF(OR(AND(AUTOEVENTO="Manual",$M175=1),$M175&gt;(ROW(PLE.lastrow)-ROW(PLE.firstrow))),0,IF(OFFSET(PLE!$G$14,$M175,CG$13)="",10^12,OFFSET(PLE!$G$14,$M175,CG$13))))</f>
        <v>1000000000000</v>
      </c>
      <c r="CH175" s="216">
        <f ca="1">IF($D175&lt;&gt;"Serviço",0,IF(OR(AND(AUTOEVENTO="Manual",$M175=1),$M175&gt;(ROW(PLE.lastrow)-ROW(PLE.firstrow))),0,IF(OFFSET(PLE!$G$14,$M175,CH$13)="",10^12,OFFSET(PLE!$G$14,$M175,CH$13))))</f>
        <v>1000000000000</v>
      </c>
      <c r="CI175" s="216">
        <f ca="1">IF($D175&lt;&gt;"Serviço",0,IF(OR(AND(AUTOEVENTO="Manual",$M175=1),$M175&gt;(ROW(PLE.lastrow)-ROW(PLE.firstrow))),0,IF(OFFSET(PLE!$G$14,$M175,CI$13)="",10^12,OFFSET(PLE!$G$14,$M175,CI$13))))</f>
        <v>1000000000000</v>
      </c>
      <c r="CJ175" s="216">
        <f ca="1">IF($D175&lt;&gt;"Serviço",0,IF(OR(AND(AUTOEVENTO="Manual",$M175=1),$M175&gt;(ROW(PLE.lastrow)-ROW(PLE.firstrow))),0,IF(OFFSET(PLE!$G$14,$M175,CJ$13)="",10^12,OFFSET(PLE!$G$14,$M175,CJ$13))))</f>
        <v>1000000000000</v>
      </c>
      <c r="CK175" s="216">
        <f ca="1">IF($D175&lt;&gt;"Serviço",0,IF(OR(AND(AUTOEVENTO="Manual",$M175=1),$M175&gt;(ROW(PLE.lastrow)-ROW(PLE.firstrow))),0,IF(OFFSET(PLE!$G$14,$M175,CK$13)="",10^12,OFFSET(PLE!$G$14,$M175,CK$13))))</f>
        <v>1000000000000</v>
      </c>
      <c r="CL175" s="216">
        <f ca="1">IF($D175&lt;&gt;"Serviço",0,IF(OR(AND(AUTOEVENTO="Manual",$M175=1),$M175&gt;(ROW(PLE.lastrow)-ROW(PLE.firstrow))),0,IF(OFFSET(PLE!$G$14,$M175,CL$13)="",10^12,OFFSET(PLE!$G$14,$M175,CL$13))))</f>
        <v>1000000000000</v>
      </c>
      <c r="CM175" s="216">
        <f ca="1">IF($D175&lt;&gt;"Serviço",0,IF(OR(AND(AUTOEVENTO="Manual",$M175=1),$M175&gt;(ROW(PLE.lastrow)-ROW(PLE.firstrow))),0,IF(OFFSET(PLE!$G$14,$M175,CM$13)="",10^12,OFFSET(PLE!$G$14,$M175,CM$13))))</f>
        <v>1000000000000</v>
      </c>
    </row>
    <row r="176" spans="1:91" ht="13.2" x14ac:dyDescent="0.25">
      <c r="A176" s="9">
        <f t="shared" ca="1" si="11"/>
        <v>0</v>
      </c>
      <c r="B176" s="9" t="str">
        <f ca="1">OFFSET(ORÇAMENTO!C$15,ROW(B176)-ROW(B$15),0)</f>
        <v>S</v>
      </c>
      <c r="C176" s="9" t="str">
        <f ca="1">OFFSET(ORÇAMENTO!L$15,ROW(C176)-ROW(C$15),0)</f>
        <v/>
      </c>
      <c r="D176" s="145" t="str">
        <f ca="1">OFFSET(ORÇAMENTO!N$15,ROW(D176)-ROW(D$15),0)</f>
        <v>Serviço</v>
      </c>
      <c r="E176" s="205" t="str">
        <f ca="1">OFFSET(ORÇAMENTO!O$15,ROW(E176)-ROW(E$15),0)</f>
        <v>-</v>
      </c>
      <c r="F176" s="206" t="str">
        <f ca="1">OFFSET(ORÇAMENTO!R$15,ROW(F176)-ROW(F$15),0)</f>
        <v>(abra o arquivo 'Referência 05-2024.xls)</v>
      </c>
      <c r="G176" s="207" t="str">
        <f ca="1">IF($D176&lt;&gt;"Serviço","",OFFSET(ORÇAMENTO!S$15,ROW(G176)-ROW(G$15),0))</f>
        <v>-</v>
      </c>
      <c r="H176" s="151">
        <f ca="1">IF($D176&lt;&gt;"Serviço",0,IF(ACOMPANHAMENTO="BM",ROUND(OFFSET(ORÇAMENTO!AJ$15,ROW(H176)-ROW(H$15),0),15-13*ORÇAMENTO!$AF$7),SUMPRODUCT(($Q$12:$AI$12&lt;&gt;"")*ROUND($Q176:$AI176,15-13*ORÇAMENTO!$AF$7))))</f>
        <v>5</v>
      </c>
      <c r="I176" s="650"/>
      <c r="K176" s="208"/>
      <c r="L176" s="209" t="s">
        <v>257</v>
      </c>
      <c r="M176" s="210">
        <f ca="1">IF($D176&lt;&gt;"Serviço","",IF(AUTOEVENTO="manual",$A176,IF(ISERROR(MATCH($A176,$A$15:OFFSET($A176,-1,0),0)),MAX($M$15:OFFSET(M176,-1,0))+1,INDEX($M$15:OFFSET(M176,-1,0),MATCH($A176,$A$15:OFFSET($A176,-1,0),0)))))</f>
        <v>0</v>
      </c>
      <c r="N176" s="211" t="str">
        <f ca="1">IF($D176&lt;&gt;"Serviço","",IF(AUTOEVENTO="Manual",IF($A176=0,"&lt;-- defina o número do agrupador",OFFSET(EVENTOS!$D$14,$A176,0)),OFFSET($F$15,$A176,0)))</f>
        <v>&lt;-- defina o número do agrupador</v>
      </c>
      <c r="O176" s="212"/>
      <c r="Q176" s="212"/>
      <c r="R176" s="213"/>
      <c r="S176" s="213"/>
      <c r="T176" s="213"/>
      <c r="U176" s="213"/>
      <c r="V176" s="213"/>
      <c r="W176" s="213"/>
      <c r="X176" s="213"/>
      <c r="Y176" s="213"/>
      <c r="Z176" s="214"/>
      <c r="AA176" s="213"/>
      <c r="AB176" s="213"/>
      <c r="AC176" s="213"/>
      <c r="AD176" s="213"/>
      <c r="AE176" s="213"/>
      <c r="AF176" s="213"/>
      <c r="AG176" s="213"/>
      <c r="AH176" s="214"/>
      <c r="AJ176" s="631">
        <f ca="1">IF(AND($D176="Serviço",AJ$12&lt;&gt;0,$H176&gt;0,OR(AUTOEVENTO&lt;&gt;"manual",$M176&lt;&gt;1)),ROUND(OFFSET($P176,0,AJ$13),15-13*ORÇAMENTO!$AF$7)/$H176*OFFSET(ORÇAMENTO!$X$15,ROW(AJ176)-ROW(AJ$15),0),0)</f>
        <v>0</v>
      </c>
      <c r="AK176" s="632">
        <f ca="1">IF(AND($D176="Serviço",AK$12&lt;&gt;0,$H176&gt;0,OR(AUTOEVENTO&lt;&gt;"manual",$M176&lt;&gt;1)),ROUND(OFFSET($P176,0,AK$13),15-13*ORÇAMENTO!$AF$7)/$H176*OFFSET(ORÇAMENTO!$X$15,ROW(AK176)-ROW(AK$15),0),0)</f>
        <v>0</v>
      </c>
      <c r="AL176" s="632">
        <f ca="1">IF(AND($D176="Serviço",AL$12&lt;&gt;0,$H176&gt;0,OR(AUTOEVENTO&lt;&gt;"manual",$M176&lt;&gt;1)),ROUND(OFFSET($P176,0,AL$13),15-13*ORÇAMENTO!$AF$7)/$H176*OFFSET(ORÇAMENTO!$X$15,ROW(AL176)-ROW(AL$15),0),0)</f>
        <v>0</v>
      </c>
      <c r="AM176" s="632">
        <f ca="1">IF(AND($D176="Serviço",AM$12&lt;&gt;0,$H176&gt;0,OR(AUTOEVENTO&lt;&gt;"manual",$M176&lt;&gt;1)),ROUND(OFFSET($P176,0,AM$13),15-13*ORÇAMENTO!$AF$7)/$H176*OFFSET(ORÇAMENTO!$X$15,ROW(AM176)-ROW(AM$15),0),0)</f>
        <v>0</v>
      </c>
      <c r="AN176" s="632">
        <f ca="1">IF(AND($D176="Serviço",AN$12&lt;&gt;0,$H176&gt;0,OR(AUTOEVENTO&lt;&gt;"manual",$M176&lt;&gt;1)),ROUND(OFFSET($P176,0,AN$13),15-13*ORÇAMENTO!$AF$7)/$H176*OFFSET(ORÇAMENTO!$X$15,ROW(AN176)-ROW(AN$15),0),0)</f>
        <v>0</v>
      </c>
      <c r="AO176" s="632">
        <f ca="1">IF(AND($D176="Serviço",AO$12&lt;&gt;0,$H176&gt;0,OR(AUTOEVENTO&lt;&gt;"manual",$M176&lt;&gt;1)),ROUND(OFFSET($P176,0,AO$13),15-13*ORÇAMENTO!$AF$7)/$H176*OFFSET(ORÇAMENTO!$X$15,ROW(AO176)-ROW(AO$15),0),0)</f>
        <v>0</v>
      </c>
      <c r="AP176" s="632">
        <f ca="1">IF(AND($D176="Serviço",AP$12&lt;&gt;0,$H176&gt;0,OR(AUTOEVENTO&lt;&gt;"manual",$M176&lt;&gt;1)),ROUND(OFFSET($P176,0,AP$13),15-13*ORÇAMENTO!$AF$7)/$H176*OFFSET(ORÇAMENTO!$X$15,ROW(AP176)-ROW(AP$15),0),0)</f>
        <v>0</v>
      </c>
      <c r="AQ176" s="632">
        <f ca="1">IF(AND($D176="Serviço",AQ$12&lt;&gt;0,$H176&gt;0,OR(AUTOEVENTO&lt;&gt;"manual",$M176&lt;&gt;1)),ROUND(OFFSET($P176,0,AQ$13),15-13*ORÇAMENTO!$AF$7)/$H176*OFFSET(ORÇAMENTO!$X$15,ROW(AQ176)-ROW(AQ$15),0),0)</f>
        <v>0</v>
      </c>
      <c r="AR176" s="632">
        <f ca="1">IF(AND($D176="Serviço",AR$12&lt;&gt;0,$H176&gt;0,OR(AUTOEVENTO&lt;&gt;"manual",$M176&lt;&gt;1)),ROUND(OFFSET($P176,0,AR$13),15-13*ORÇAMENTO!$AF$7)/$H176*OFFSET(ORÇAMENTO!$X$15,ROW(AR176)-ROW(AR$15),0),0)</f>
        <v>0</v>
      </c>
      <c r="AS176" s="633">
        <f ca="1">IF(AND($D176="Serviço",AS$12&lt;&gt;0,$H176&gt;0,OR(AUTOEVENTO&lt;&gt;"manual",$M176&lt;&gt;1)),ROUND(OFFSET($P176,0,AS$13),15-13*ORÇAMENTO!$AF$7)/$H176*OFFSET(ORÇAMENTO!$X$15,ROW(AS176)-ROW(AS$15),0),0)</f>
        <v>0</v>
      </c>
      <c r="AT176" s="632">
        <f ca="1">IF(AND($D176="Serviço",AT$12&lt;&gt;0,$H176&gt;0,OR(AUTOEVENTO&lt;&gt;"manual",$M176&lt;&gt;1)),ROUND(OFFSET($P176,0,AT$13),15-13*ORÇAMENTO!$AF$7)/$H176*OFFSET(ORÇAMENTO!$X$15,ROW(AT176)-ROW(AT$15),0),0)</f>
        <v>0</v>
      </c>
      <c r="AU176" s="632">
        <f ca="1">IF(AND($D176="Serviço",AU$12&lt;&gt;0,$H176&gt;0,OR(AUTOEVENTO&lt;&gt;"manual",$M176&lt;&gt;1)),ROUND(OFFSET($P176,0,AU$13),15-13*ORÇAMENTO!$AF$7)/$H176*OFFSET(ORÇAMENTO!$X$15,ROW(AU176)-ROW(AU$15),0),0)</f>
        <v>0</v>
      </c>
      <c r="AV176" s="632">
        <f ca="1">IF(AND($D176="Serviço",AV$12&lt;&gt;0,$H176&gt;0,OR(AUTOEVENTO&lt;&gt;"manual",$M176&lt;&gt;1)),ROUND(OFFSET($P176,0,AV$13),15-13*ORÇAMENTO!$AF$7)/$H176*OFFSET(ORÇAMENTO!$X$15,ROW(AV176)-ROW(AV$15),0),0)</f>
        <v>0</v>
      </c>
      <c r="AW176" s="632">
        <f ca="1">IF(AND($D176="Serviço",AW$12&lt;&gt;0,$H176&gt;0,OR(AUTOEVENTO&lt;&gt;"manual",$M176&lt;&gt;1)),ROUND(OFFSET($P176,0,AW$13),15-13*ORÇAMENTO!$AF$7)/$H176*OFFSET(ORÇAMENTO!$X$15,ROW(AW176)-ROW(AW$15),0),0)</f>
        <v>0</v>
      </c>
      <c r="AX176" s="632">
        <f ca="1">IF(AND($D176="Serviço",AX$12&lt;&gt;0,$H176&gt;0,OR(AUTOEVENTO&lt;&gt;"manual",$M176&lt;&gt;1)),ROUND(OFFSET($P176,0,AX$13),15-13*ORÇAMENTO!$AF$7)/$H176*OFFSET(ORÇAMENTO!$X$15,ROW(AX176)-ROW(AX$15),0),0)</f>
        <v>0</v>
      </c>
      <c r="AY176" s="632">
        <f ca="1">IF(AND($D176="Serviço",AY$12&lt;&gt;0,$H176&gt;0,OR(AUTOEVENTO&lt;&gt;"manual",$M176&lt;&gt;1)),ROUND(OFFSET($P176,0,AY$13),15-13*ORÇAMENTO!$AF$7)/$H176*OFFSET(ORÇAMENTO!$X$15,ROW(AY176)-ROW(AY$15),0),0)</f>
        <v>0</v>
      </c>
      <c r="AZ176" s="632">
        <f ca="1">IF(AND($D176="Serviço",AZ$12&lt;&gt;0,$H176&gt;0,OR(AUTOEVENTO&lt;&gt;"manual",$M176&lt;&gt;1)),ROUND(OFFSET($P176,0,AZ$13),15-13*ORÇAMENTO!$AF$7)/$H176*OFFSET(ORÇAMENTO!$X$15,ROW(AZ176)-ROW(AZ$15),0),0)</f>
        <v>0</v>
      </c>
      <c r="BA176" s="633">
        <f ca="1">IF(AND($D176="Serviço",BA$12&lt;&gt;0,$H176&gt;0,OR(AUTOEVENTO&lt;&gt;"manual",$M176&lt;&gt;1)),ROUND(OFFSET($P176,0,BA$13),15-13*ORÇAMENTO!$AF$7)/$H176*OFFSET(ORÇAMENTO!$X$15,ROW(BA176)-ROW(BA$15),0),0)</f>
        <v>0</v>
      </c>
      <c r="BC176" s="215">
        <f ca="1">IF($D176&lt;&gt;"Serviço",0,IF(AND(AUTOEVENTO="Manual",$M176=1),0,IF(OFFSET(CRONOPLE!$F$14,$M176,BC$13)="",10^12,OFFSET(CRONOPLE!$F$14,$M176,BC$13))))</f>
        <v>1000000000000</v>
      </c>
      <c r="BD176" s="215">
        <f ca="1">IF($D176&lt;&gt;"Serviço",0,IF(AND(AUTOEVENTO="Manual",$M176=1),0,IF(OFFSET(CRONOPLE!$F$14,$M176,BD$13)="",10^12,OFFSET(CRONOPLE!$F$14,$M176,BD$13))))</f>
        <v>1000000000000</v>
      </c>
      <c r="BE176" s="215">
        <f ca="1">IF($D176&lt;&gt;"Serviço",0,IF(AND(AUTOEVENTO="Manual",$M176=1),0,IF(OFFSET(CRONOPLE!$F$14,$M176,BE$13)="",10^12,OFFSET(CRONOPLE!$F$14,$M176,BE$13))))</f>
        <v>1000000000000</v>
      </c>
      <c r="BF176" s="215">
        <f ca="1">IF($D176&lt;&gt;"Serviço",0,IF(AND(AUTOEVENTO="Manual",$M176=1),0,IF(OFFSET(CRONOPLE!$F$14,$M176,BF$13)="",10^12,OFFSET(CRONOPLE!$F$14,$M176,BF$13))))</f>
        <v>1000000000000</v>
      </c>
      <c r="BG176" s="215">
        <f ca="1">IF($D176&lt;&gt;"Serviço",0,IF(AND(AUTOEVENTO="Manual",$M176=1),0,IF(OFFSET(CRONOPLE!$F$14,$M176,BG$13)="",10^12,OFFSET(CRONOPLE!$F$14,$M176,BG$13))))</f>
        <v>1000000000000</v>
      </c>
      <c r="BH176" s="215">
        <f ca="1">IF($D176&lt;&gt;"Serviço",0,IF(AND(AUTOEVENTO="Manual",$M176=1),0,IF(OFFSET(CRONOPLE!$F$14,$M176,BH$13)="",10^12,OFFSET(CRONOPLE!$F$14,$M176,BH$13))))</f>
        <v>1000000000000</v>
      </c>
      <c r="BI176" s="215">
        <f ca="1">IF($D176&lt;&gt;"Serviço",0,IF(AND(AUTOEVENTO="Manual",$M176=1),0,IF(OFFSET(CRONOPLE!$F$14,$M176,BI$13)="",10^12,OFFSET(CRONOPLE!$F$14,$M176,BI$13))))</f>
        <v>1000000000000</v>
      </c>
      <c r="BJ176" s="215">
        <f ca="1">IF($D176&lt;&gt;"Serviço",0,IF(AND(AUTOEVENTO="Manual",$M176=1),0,IF(OFFSET(CRONOPLE!$F$14,$M176,BJ$13)="",10^12,OFFSET(CRONOPLE!$F$14,$M176,BJ$13))))</f>
        <v>1000000000000</v>
      </c>
      <c r="BK176" s="215">
        <f ca="1">IF($D176&lt;&gt;"Serviço",0,IF(AND(AUTOEVENTO="Manual",$M176=1),0,IF(OFFSET(CRONOPLE!$F$14,$M176,BK$13)="",10^12,OFFSET(CRONOPLE!$F$14,$M176,BK$13))))</f>
        <v>1000000000000</v>
      </c>
      <c r="BL176" s="215">
        <f ca="1">IF($D176&lt;&gt;"Serviço",0,IF(AND(AUTOEVENTO="Manual",$M176=1),0,IF(OFFSET(CRONOPLE!$F$14,$M176,BL$13)="",10^12,OFFSET(CRONOPLE!$F$14,$M176,BL$13))))</f>
        <v>1000000000000</v>
      </c>
      <c r="BM176" s="215">
        <f ca="1">IF($D176&lt;&gt;"Serviço",0,IF(AND(AUTOEVENTO="Manual",$M176=1),0,IF(OFFSET(CRONOPLE!$F$14,$M176,BM$13)="",10^12,OFFSET(CRONOPLE!$F$14,$M176,BM$13))))</f>
        <v>1000000000000</v>
      </c>
      <c r="BN176" s="215">
        <f ca="1">IF($D176&lt;&gt;"Serviço",0,IF(AND(AUTOEVENTO="Manual",$M176=1),0,IF(OFFSET(CRONOPLE!$F$14,$M176,BN$13)="",10^12,OFFSET(CRONOPLE!$F$14,$M176,BN$13))))</f>
        <v>1000000000000</v>
      </c>
      <c r="BO176" s="215">
        <f ca="1">IF($D176&lt;&gt;"Serviço",0,IF(AND(AUTOEVENTO="Manual",$M176=1),0,IF(OFFSET(CRONOPLE!$F$14,$M176,BO$13)="",10^12,OFFSET(CRONOPLE!$F$14,$M176,BO$13))))</f>
        <v>1000000000000</v>
      </c>
      <c r="BP176" s="215">
        <f ca="1">IF($D176&lt;&gt;"Serviço",0,IF(AND(AUTOEVENTO="Manual",$M176=1),0,IF(OFFSET(CRONOPLE!$F$14,$M176,BP$13)="",10^12,OFFSET(CRONOPLE!$F$14,$M176,BP$13))))</f>
        <v>1000000000000</v>
      </c>
      <c r="BQ176" s="215">
        <f ca="1">IF($D176&lt;&gt;"Serviço",0,IF(AND(AUTOEVENTO="Manual",$M176=1),0,IF(OFFSET(CRONOPLE!$F$14,$M176,BQ$13)="",10^12,OFFSET(CRONOPLE!$F$14,$M176,BQ$13))))</f>
        <v>1000000000000</v>
      </c>
      <c r="BR176" s="215">
        <f ca="1">IF($D176&lt;&gt;"Serviço",0,IF(AND(AUTOEVENTO="Manual",$M176=1),0,IF(OFFSET(CRONOPLE!$F$14,$M176,BR$13)="",10^12,OFFSET(CRONOPLE!$F$14,$M176,BR$13))))</f>
        <v>1000000000000</v>
      </c>
      <c r="BS176" s="215">
        <f ca="1">IF($D176&lt;&gt;"Serviço",0,IF(AND(AUTOEVENTO="Manual",$M176=1),0,IF(OFFSET(CRONOPLE!$F$14,$M176,BS$13)="",10^12,OFFSET(CRONOPLE!$F$14,$M176,BS$13))))</f>
        <v>1000000000000</v>
      </c>
      <c r="BT176" s="215">
        <f ca="1">IF($D176&lt;&gt;"Serviço",0,IF(AND(AUTOEVENTO="Manual",$M176=1),0,IF(OFFSET(CRONOPLE!$F$14,$M176,BT$13)="",10^12,OFFSET(CRONOPLE!$F$14,$M176,BT$13))))</f>
        <v>1000000000000</v>
      </c>
      <c r="BV176" s="216">
        <f ca="1">IF($D176&lt;&gt;"Serviço",0,IF(OR(AND(AUTOEVENTO="Manual",$M176=1),$M176&gt;(ROW(PLE.lastrow)-ROW(PLE.firstrow))),0,IF(OFFSET(PLE!$G$14,$M176,BV$13)="",10^12,OFFSET(PLE!$G$14,$M176,BV$13))))</f>
        <v>1000000000000</v>
      </c>
      <c r="BW176" s="216">
        <f ca="1">IF($D176&lt;&gt;"Serviço",0,IF(OR(AND(AUTOEVENTO="Manual",$M176=1),$M176&gt;(ROW(PLE.lastrow)-ROW(PLE.firstrow))),0,IF(OFFSET(PLE!$G$14,$M176,BW$13)="",10^12,OFFSET(PLE!$G$14,$M176,BW$13))))</f>
        <v>1000000000000</v>
      </c>
      <c r="BX176" s="216">
        <f ca="1">IF($D176&lt;&gt;"Serviço",0,IF(OR(AND(AUTOEVENTO="Manual",$M176=1),$M176&gt;(ROW(PLE.lastrow)-ROW(PLE.firstrow))),0,IF(OFFSET(PLE!$G$14,$M176,BX$13)="",10^12,OFFSET(PLE!$G$14,$M176,BX$13))))</f>
        <v>1000000000000</v>
      </c>
      <c r="BY176" s="216">
        <f ca="1">IF($D176&lt;&gt;"Serviço",0,IF(OR(AND(AUTOEVENTO="Manual",$M176=1),$M176&gt;(ROW(PLE.lastrow)-ROW(PLE.firstrow))),0,IF(OFFSET(PLE!$G$14,$M176,BY$13)="",10^12,OFFSET(PLE!$G$14,$M176,BY$13))))</f>
        <v>1000000000000</v>
      </c>
      <c r="BZ176" s="216">
        <f ca="1">IF($D176&lt;&gt;"Serviço",0,IF(OR(AND(AUTOEVENTO="Manual",$M176=1),$M176&gt;(ROW(PLE.lastrow)-ROW(PLE.firstrow))),0,IF(OFFSET(PLE!$G$14,$M176,BZ$13)="",10^12,OFFSET(PLE!$G$14,$M176,BZ$13))))</f>
        <v>1000000000000</v>
      </c>
      <c r="CA176" s="216">
        <f ca="1">IF($D176&lt;&gt;"Serviço",0,IF(OR(AND(AUTOEVENTO="Manual",$M176=1),$M176&gt;(ROW(PLE.lastrow)-ROW(PLE.firstrow))),0,IF(OFFSET(PLE!$G$14,$M176,CA$13)="",10^12,OFFSET(PLE!$G$14,$M176,CA$13))))</f>
        <v>1000000000000</v>
      </c>
      <c r="CB176" s="216">
        <f ca="1">IF($D176&lt;&gt;"Serviço",0,IF(OR(AND(AUTOEVENTO="Manual",$M176=1),$M176&gt;(ROW(PLE.lastrow)-ROW(PLE.firstrow))),0,IF(OFFSET(PLE!$G$14,$M176,CB$13)="",10^12,OFFSET(PLE!$G$14,$M176,CB$13))))</f>
        <v>1000000000000</v>
      </c>
      <c r="CC176" s="216">
        <f ca="1">IF($D176&lt;&gt;"Serviço",0,IF(OR(AND(AUTOEVENTO="Manual",$M176=1),$M176&gt;(ROW(PLE.lastrow)-ROW(PLE.firstrow))),0,IF(OFFSET(PLE!$G$14,$M176,CC$13)="",10^12,OFFSET(PLE!$G$14,$M176,CC$13))))</f>
        <v>1000000000000</v>
      </c>
      <c r="CD176" s="216">
        <f ca="1">IF($D176&lt;&gt;"Serviço",0,IF(OR(AND(AUTOEVENTO="Manual",$M176=1),$M176&gt;(ROW(PLE.lastrow)-ROW(PLE.firstrow))),0,IF(OFFSET(PLE!$G$14,$M176,CD$13)="",10^12,OFFSET(PLE!$G$14,$M176,CD$13))))</f>
        <v>1000000000000</v>
      </c>
      <c r="CE176" s="216">
        <f ca="1">IF($D176&lt;&gt;"Serviço",0,IF(OR(AND(AUTOEVENTO="Manual",$M176=1),$M176&gt;(ROW(PLE.lastrow)-ROW(PLE.firstrow))),0,IF(OFFSET(PLE!$G$14,$M176,CE$13)="",10^12,OFFSET(PLE!$G$14,$M176,CE$13))))</f>
        <v>1000000000000</v>
      </c>
      <c r="CF176" s="216">
        <f ca="1">IF($D176&lt;&gt;"Serviço",0,IF(OR(AND(AUTOEVENTO="Manual",$M176=1),$M176&gt;(ROW(PLE.lastrow)-ROW(PLE.firstrow))),0,IF(OFFSET(PLE!$G$14,$M176,CF$13)="",10^12,OFFSET(PLE!$G$14,$M176,CF$13))))</f>
        <v>1000000000000</v>
      </c>
      <c r="CG176" s="216">
        <f ca="1">IF($D176&lt;&gt;"Serviço",0,IF(OR(AND(AUTOEVENTO="Manual",$M176=1),$M176&gt;(ROW(PLE.lastrow)-ROW(PLE.firstrow))),0,IF(OFFSET(PLE!$G$14,$M176,CG$13)="",10^12,OFFSET(PLE!$G$14,$M176,CG$13))))</f>
        <v>1000000000000</v>
      </c>
      <c r="CH176" s="216">
        <f ca="1">IF($D176&lt;&gt;"Serviço",0,IF(OR(AND(AUTOEVENTO="Manual",$M176=1),$M176&gt;(ROW(PLE.lastrow)-ROW(PLE.firstrow))),0,IF(OFFSET(PLE!$G$14,$M176,CH$13)="",10^12,OFFSET(PLE!$G$14,$M176,CH$13))))</f>
        <v>1000000000000</v>
      </c>
      <c r="CI176" s="216">
        <f ca="1">IF($D176&lt;&gt;"Serviço",0,IF(OR(AND(AUTOEVENTO="Manual",$M176=1),$M176&gt;(ROW(PLE.lastrow)-ROW(PLE.firstrow))),0,IF(OFFSET(PLE!$G$14,$M176,CI$13)="",10^12,OFFSET(PLE!$G$14,$M176,CI$13))))</f>
        <v>1000000000000</v>
      </c>
      <c r="CJ176" s="216">
        <f ca="1">IF($D176&lt;&gt;"Serviço",0,IF(OR(AND(AUTOEVENTO="Manual",$M176=1),$M176&gt;(ROW(PLE.lastrow)-ROW(PLE.firstrow))),0,IF(OFFSET(PLE!$G$14,$M176,CJ$13)="",10^12,OFFSET(PLE!$G$14,$M176,CJ$13))))</f>
        <v>1000000000000</v>
      </c>
      <c r="CK176" s="216">
        <f ca="1">IF($D176&lt;&gt;"Serviço",0,IF(OR(AND(AUTOEVENTO="Manual",$M176=1),$M176&gt;(ROW(PLE.lastrow)-ROW(PLE.firstrow))),0,IF(OFFSET(PLE!$G$14,$M176,CK$13)="",10^12,OFFSET(PLE!$G$14,$M176,CK$13))))</f>
        <v>1000000000000</v>
      </c>
      <c r="CL176" s="216">
        <f ca="1">IF($D176&lt;&gt;"Serviço",0,IF(OR(AND(AUTOEVENTO="Manual",$M176=1),$M176&gt;(ROW(PLE.lastrow)-ROW(PLE.firstrow))),0,IF(OFFSET(PLE!$G$14,$M176,CL$13)="",10^12,OFFSET(PLE!$G$14,$M176,CL$13))))</f>
        <v>1000000000000</v>
      </c>
      <c r="CM176" s="216">
        <f ca="1">IF($D176&lt;&gt;"Serviço",0,IF(OR(AND(AUTOEVENTO="Manual",$M176=1),$M176&gt;(ROW(PLE.lastrow)-ROW(PLE.firstrow))),0,IF(OFFSET(PLE!$G$14,$M176,CM$13)="",10^12,OFFSET(PLE!$G$14,$M176,CM$13))))</f>
        <v>1000000000000</v>
      </c>
    </row>
    <row r="177" spans="1:91" ht="13.2" x14ac:dyDescent="0.25">
      <c r="A177" s="9">
        <f t="shared" ca="1" si="11"/>
        <v>0</v>
      </c>
      <c r="B177" s="9">
        <f ca="1">OFFSET(ORÇAMENTO!C$15,ROW(B177)-ROW(B$15),0)</f>
        <v>3</v>
      </c>
      <c r="C177" s="9" t="str">
        <f ca="1">OFFSET(ORÇAMENTO!L$15,ROW(C177)-ROW(C$15),0)</f>
        <v>F</v>
      </c>
      <c r="D177" s="145" t="str">
        <f ca="1">OFFSET(ORÇAMENTO!N$15,ROW(D177)-ROW(D$15),0)</f>
        <v>Nível 3</v>
      </c>
      <c r="E177" s="205" t="str">
        <f ca="1">OFFSET(ORÇAMENTO!O$15,ROW(E177)-ROW(E$15),0)</f>
        <v>1.6.2.</v>
      </c>
      <c r="F177" s="206" t="str">
        <f ca="1">OFFSET(ORÇAMENTO!R$15,ROW(F177)-ROW(F$15),0)</f>
        <v>FERRAGENS E ACESSÓRIOS</v>
      </c>
      <c r="G177" s="207" t="str">
        <f ca="1">IF($D177&lt;&gt;"Serviço","",OFFSET(ORÇAMENTO!S$15,ROW(G177)-ROW(G$15),0))</f>
        <v/>
      </c>
      <c r="H177" s="151">
        <f ca="1">IF($D177&lt;&gt;"Serviço",0,IF(ACOMPANHAMENTO="BM",ROUND(OFFSET(ORÇAMENTO!AJ$15,ROW(H177)-ROW(H$15),0),15-13*ORÇAMENTO!$AF$7),SUMPRODUCT(($Q$12:$AI$12&lt;&gt;"")*ROUND($Q177:$AI177,15-13*ORÇAMENTO!$AF$7))))</f>
        <v>0</v>
      </c>
      <c r="I177" s="650"/>
      <c r="K177" s="208"/>
      <c r="L177" s="209" t="s">
        <v>257</v>
      </c>
      <c r="M177" s="210" t="str">
        <f ca="1">IF($D177&lt;&gt;"Serviço","",IF(AUTOEVENTO="manual",$A177,IF(ISERROR(MATCH($A177,$A$15:OFFSET($A177,-1,0),0)),MAX($M$15:OFFSET(M177,-1,0))+1,INDEX($M$15:OFFSET(M177,-1,0),MATCH($A177,$A$15:OFFSET($A177,-1,0),0)))))</f>
        <v/>
      </c>
      <c r="N177" s="211" t="str">
        <f ca="1">IF($D177&lt;&gt;"Serviço","",IF(AUTOEVENTO="Manual",IF($A177=0,"&lt;-- defina o número do agrupador",OFFSET(EVENTOS!$D$14,$A177,0)),OFFSET($F$15,$A177,0)))</f>
        <v/>
      </c>
      <c r="O177" s="212"/>
      <c r="Q177" s="212"/>
      <c r="R177" s="213"/>
      <c r="S177" s="213"/>
      <c r="T177" s="213"/>
      <c r="U177" s="213"/>
      <c r="V177" s="213"/>
      <c r="W177" s="213"/>
      <c r="X177" s="213"/>
      <c r="Y177" s="213"/>
      <c r="Z177" s="214"/>
      <c r="AA177" s="213"/>
      <c r="AB177" s="213"/>
      <c r="AC177" s="213"/>
      <c r="AD177" s="213"/>
      <c r="AE177" s="213"/>
      <c r="AF177" s="213"/>
      <c r="AG177" s="213"/>
      <c r="AH177" s="214"/>
      <c r="AJ177" s="631">
        <f ca="1">IF(AND($D177="Serviço",AJ$12&lt;&gt;0,$H177&gt;0,OR(AUTOEVENTO&lt;&gt;"manual",$M177&lt;&gt;1)),ROUND(OFFSET($P177,0,AJ$13),15-13*ORÇAMENTO!$AF$7)/$H177*OFFSET(ORÇAMENTO!$X$15,ROW(AJ177)-ROW(AJ$15),0),0)</f>
        <v>0</v>
      </c>
      <c r="AK177" s="632">
        <f ca="1">IF(AND($D177="Serviço",AK$12&lt;&gt;0,$H177&gt;0,OR(AUTOEVENTO&lt;&gt;"manual",$M177&lt;&gt;1)),ROUND(OFFSET($P177,0,AK$13),15-13*ORÇAMENTO!$AF$7)/$H177*OFFSET(ORÇAMENTO!$X$15,ROW(AK177)-ROW(AK$15),0),0)</f>
        <v>0</v>
      </c>
      <c r="AL177" s="632">
        <f ca="1">IF(AND($D177="Serviço",AL$12&lt;&gt;0,$H177&gt;0,OR(AUTOEVENTO&lt;&gt;"manual",$M177&lt;&gt;1)),ROUND(OFFSET($P177,0,AL$13),15-13*ORÇAMENTO!$AF$7)/$H177*OFFSET(ORÇAMENTO!$X$15,ROW(AL177)-ROW(AL$15),0),0)</f>
        <v>0</v>
      </c>
      <c r="AM177" s="632">
        <f ca="1">IF(AND($D177="Serviço",AM$12&lt;&gt;0,$H177&gt;0,OR(AUTOEVENTO&lt;&gt;"manual",$M177&lt;&gt;1)),ROUND(OFFSET($P177,0,AM$13),15-13*ORÇAMENTO!$AF$7)/$H177*OFFSET(ORÇAMENTO!$X$15,ROW(AM177)-ROW(AM$15),0),0)</f>
        <v>0</v>
      </c>
      <c r="AN177" s="632">
        <f ca="1">IF(AND($D177="Serviço",AN$12&lt;&gt;0,$H177&gt;0,OR(AUTOEVENTO&lt;&gt;"manual",$M177&lt;&gt;1)),ROUND(OFFSET($P177,0,AN$13),15-13*ORÇAMENTO!$AF$7)/$H177*OFFSET(ORÇAMENTO!$X$15,ROW(AN177)-ROW(AN$15),0),0)</f>
        <v>0</v>
      </c>
      <c r="AO177" s="632">
        <f ca="1">IF(AND($D177="Serviço",AO$12&lt;&gt;0,$H177&gt;0,OR(AUTOEVENTO&lt;&gt;"manual",$M177&lt;&gt;1)),ROUND(OFFSET($P177,0,AO$13),15-13*ORÇAMENTO!$AF$7)/$H177*OFFSET(ORÇAMENTO!$X$15,ROW(AO177)-ROW(AO$15),0),0)</f>
        <v>0</v>
      </c>
      <c r="AP177" s="632">
        <f ca="1">IF(AND($D177="Serviço",AP$12&lt;&gt;0,$H177&gt;0,OR(AUTOEVENTO&lt;&gt;"manual",$M177&lt;&gt;1)),ROUND(OFFSET($P177,0,AP$13),15-13*ORÇAMENTO!$AF$7)/$H177*OFFSET(ORÇAMENTO!$X$15,ROW(AP177)-ROW(AP$15),0),0)</f>
        <v>0</v>
      </c>
      <c r="AQ177" s="632">
        <f ca="1">IF(AND($D177="Serviço",AQ$12&lt;&gt;0,$H177&gt;0,OR(AUTOEVENTO&lt;&gt;"manual",$M177&lt;&gt;1)),ROUND(OFFSET($P177,0,AQ$13),15-13*ORÇAMENTO!$AF$7)/$H177*OFFSET(ORÇAMENTO!$X$15,ROW(AQ177)-ROW(AQ$15),0),0)</f>
        <v>0</v>
      </c>
      <c r="AR177" s="632">
        <f ca="1">IF(AND($D177="Serviço",AR$12&lt;&gt;0,$H177&gt;0,OR(AUTOEVENTO&lt;&gt;"manual",$M177&lt;&gt;1)),ROUND(OFFSET($P177,0,AR$13),15-13*ORÇAMENTO!$AF$7)/$H177*OFFSET(ORÇAMENTO!$X$15,ROW(AR177)-ROW(AR$15),0),0)</f>
        <v>0</v>
      </c>
      <c r="AS177" s="633">
        <f ca="1">IF(AND($D177="Serviço",AS$12&lt;&gt;0,$H177&gt;0,OR(AUTOEVENTO&lt;&gt;"manual",$M177&lt;&gt;1)),ROUND(OFFSET($P177,0,AS$13),15-13*ORÇAMENTO!$AF$7)/$H177*OFFSET(ORÇAMENTO!$X$15,ROW(AS177)-ROW(AS$15),0),0)</f>
        <v>0</v>
      </c>
      <c r="AT177" s="632">
        <f ca="1">IF(AND($D177="Serviço",AT$12&lt;&gt;0,$H177&gt;0,OR(AUTOEVENTO&lt;&gt;"manual",$M177&lt;&gt;1)),ROUND(OFFSET($P177,0,AT$13),15-13*ORÇAMENTO!$AF$7)/$H177*OFFSET(ORÇAMENTO!$X$15,ROW(AT177)-ROW(AT$15),0),0)</f>
        <v>0</v>
      </c>
      <c r="AU177" s="632">
        <f ca="1">IF(AND($D177="Serviço",AU$12&lt;&gt;0,$H177&gt;0,OR(AUTOEVENTO&lt;&gt;"manual",$M177&lt;&gt;1)),ROUND(OFFSET($P177,0,AU$13),15-13*ORÇAMENTO!$AF$7)/$H177*OFFSET(ORÇAMENTO!$X$15,ROW(AU177)-ROW(AU$15),0),0)</f>
        <v>0</v>
      </c>
      <c r="AV177" s="632">
        <f ca="1">IF(AND($D177="Serviço",AV$12&lt;&gt;0,$H177&gt;0,OR(AUTOEVENTO&lt;&gt;"manual",$M177&lt;&gt;1)),ROUND(OFFSET($P177,0,AV$13),15-13*ORÇAMENTO!$AF$7)/$H177*OFFSET(ORÇAMENTO!$X$15,ROW(AV177)-ROW(AV$15),0),0)</f>
        <v>0</v>
      </c>
      <c r="AW177" s="632">
        <f ca="1">IF(AND($D177="Serviço",AW$12&lt;&gt;0,$H177&gt;0,OR(AUTOEVENTO&lt;&gt;"manual",$M177&lt;&gt;1)),ROUND(OFFSET($P177,0,AW$13),15-13*ORÇAMENTO!$AF$7)/$H177*OFFSET(ORÇAMENTO!$X$15,ROW(AW177)-ROW(AW$15),0),0)</f>
        <v>0</v>
      </c>
      <c r="AX177" s="632">
        <f ca="1">IF(AND($D177="Serviço",AX$12&lt;&gt;0,$H177&gt;0,OR(AUTOEVENTO&lt;&gt;"manual",$M177&lt;&gt;1)),ROUND(OFFSET($P177,0,AX$13),15-13*ORÇAMENTO!$AF$7)/$H177*OFFSET(ORÇAMENTO!$X$15,ROW(AX177)-ROW(AX$15),0),0)</f>
        <v>0</v>
      </c>
      <c r="AY177" s="632">
        <f ca="1">IF(AND($D177="Serviço",AY$12&lt;&gt;0,$H177&gt;0,OR(AUTOEVENTO&lt;&gt;"manual",$M177&lt;&gt;1)),ROUND(OFFSET($P177,0,AY$13),15-13*ORÇAMENTO!$AF$7)/$H177*OFFSET(ORÇAMENTO!$X$15,ROW(AY177)-ROW(AY$15),0),0)</f>
        <v>0</v>
      </c>
      <c r="AZ177" s="632">
        <f ca="1">IF(AND($D177="Serviço",AZ$12&lt;&gt;0,$H177&gt;0,OR(AUTOEVENTO&lt;&gt;"manual",$M177&lt;&gt;1)),ROUND(OFFSET($P177,0,AZ$13),15-13*ORÇAMENTO!$AF$7)/$H177*OFFSET(ORÇAMENTO!$X$15,ROW(AZ177)-ROW(AZ$15),0),0)</f>
        <v>0</v>
      </c>
      <c r="BA177" s="633">
        <f ca="1">IF(AND($D177="Serviço",BA$12&lt;&gt;0,$H177&gt;0,OR(AUTOEVENTO&lt;&gt;"manual",$M177&lt;&gt;1)),ROUND(OFFSET($P177,0,BA$13),15-13*ORÇAMENTO!$AF$7)/$H177*OFFSET(ORÇAMENTO!$X$15,ROW(BA177)-ROW(BA$15),0),0)</f>
        <v>0</v>
      </c>
      <c r="BC177" s="215">
        <f ca="1">IF($D177&lt;&gt;"Serviço",0,IF(AND(AUTOEVENTO="Manual",$M177=1),0,IF(OFFSET(CRONOPLE!$F$14,$M177,BC$13)="",10^12,OFFSET(CRONOPLE!$F$14,$M177,BC$13))))</f>
        <v>0</v>
      </c>
      <c r="BD177" s="215">
        <f ca="1">IF($D177&lt;&gt;"Serviço",0,IF(AND(AUTOEVENTO="Manual",$M177=1),0,IF(OFFSET(CRONOPLE!$F$14,$M177,BD$13)="",10^12,OFFSET(CRONOPLE!$F$14,$M177,BD$13))))</f>
        <v>0</v>
      </c>
      <c r="BE177" s="215">
        <f ca="1">IF($D177&lt;&gt;"Serviço",0,IF(AND(AUTOEVENTO="Manual",$M177=1),0,IF(OFFSET(CRONOPLE!$F$14,$M177,BE$13)="",10^12,OFFSET(CRONOPLE!$F$14,$M177,BE$13))))</f>
        <v>0</v>
      </c>
      <c r="BF177" s="215">
        <f ca="1">IF($D177&lt;&gt;"Serviço",0,IF(AND(AUTOEVENTO="Manual",$M177=1),0,IF(OFFSET(CRONOPLE!$F$14,$M177,BF$13)="",10^12,OFFSET(CRONOPLE!$F$14,$M177,BF$13))))</f>
        <v>0</v>
      </c>
      <c r="BG177" s="215">
        <f ca="1">IF($D177&lt;&gt;"Serviço",0,IF(AND(AUTOEVENTO="Manual",$M177=1),0,IF(OFFSET(CRONOPLE!$F$14,$M177,BG$13)="",10^12,OFFSET(CRONOPLE!$F$14,$M177,BG$13))))</f>
        <v>0</v>
      </c>
      <c r="BH177" s="215">
        <f ca="1">IF($D177&lt;&gt;"Serviço",0,IF(AND(AUTOEVENTO="Manual",$M177=1),0,IF(OFFSET(CRONOPLE!$F$14,$M177,BH$13)="",10^12,OFFSET(CRONOPLE!$F$14,$M177,BH$13))))</f>
        <v>0</v>
      </c>
      <c r="BI177" s="215">
        <f ca="1">IF($D177&lt;&gt;"Serviço",0,IF(AND(AUTOEVENTO="Manual",$M177=1),0,IF(OFFSET(CRONOPLE!$F$14,$M177,BI$13)="",10^12,OFFSET(CRONOPLE!$F$14,$M177,BI$13))))</f>
        <v>0</v>
      </c>
      <c r="BJ177" s="215">
        <f ca="1">IF($D177&lt;&gt;"Serviço",0,IF(AND(AUTOEVENTO="Manual",$M177=1),0,IF(OFFSET(CRONOPLE!$F$14,$M177,BJ$13)="",10^12,OFFSET(CRONOPLE!$F$14,$M177,BJ$13))))</f>
        <v>0</v>
      </c>
      <c r="BK177" s="215">
        <f ca="1">IF($D177&lt;&gt;"Serviço",0,IF(AND(AUTOEVENTO="Manual",$M177=1),0,IF(OFFSET(CRONOPLE!$F$14,$M177,BK$13)="",10^12,OFFSET(CRONOPLE!$F$14,$M177,BK$13))))</f>
        <v>0</v>
      </c>
      <c r="BL177" s="215">
        <f ca="1">IF($D177&lt;&gt;"Serviço",0,IF(AND(AUTOEVENTO="Manual",$M177=1),0,IF(OFFSET(CRONOPLE!$F$14,$M177,BL$13)="",10^12,OFFSET(CRONOPLE!$F$14,$M177,BL$13))))</f>
        <v>0</v>
      </c>
      <c r="BM177" s="215">
        <f ca="1">IF($D177&lt;&gt;"Serviço",0,IF(AND(AUTOEVENTO="Manual",$M177=1),0,IF(OFFSET(CRONOPLE!$F$14,$M177,BM$13)="",10^12,OFFSET(CRONOPLE!$F$14,$M177,BM$13))))</f>
        <v>0</v>
      </c>
      <c r="BN177" s="215">
        <f ca="1">IF($D177&lt;&gt;"Serviço",0,IF(AND(AUTOEVENTO="Manual",$M177=1),0,IF(OFFSET(CRONOPLE!$F$14,$M177,BN$13)="",10^12,OFFSET(CRONOPLE!$F$14,$M177,BN$13))))</f>
        <v>0</v>
      </c>
      <c r="BO177" s="215">
        <f ca="1">IF($D177&lt;&gt;"Serviço",0,IF(AND(AUTOEVENTO="Manual",$M177=1),0,IF(OFFSET(CRONOPLE!$F$14,$M177,BO$13)="",10^12,OFFSET(CRONOPLE!$F$14,$M177,BO$13))))</f>
        <v>0</v>
      </c>
      <c r="BP177" s="215">
        <f ca="1">IF($D177&lt;&gt;"Serviço",0,IF(AND(AUTOEVENTO="Manual",$M177=1),0,IF(OFFSET(CRONOPLE!$F$14,$M177,BP$13)="",10^12,OFFSET(CRONOPLE!$F$14,$M177,BP$13))))</f>
        <v>0</v>
      </c>
      <c r="BQ177" s="215">
        <f ca="1">IF($D177&lt;&gt;"Serviço",0,IF(AND(AUTOEVENTO="Manual",$M177=1),0,IF(OFFSET(CRONOPLE!$F$14,$M177,BQ$13)="",10^12,OFFSET(CRONOPLE!$F$14,$M177,BQ$13))))</f>
        <v>0</v>
      </c>
      <c r="BR177" s="215">
        <f ca="1">IF($D177&lt;&gt;"Serviço",0,IF(AND(AUTOEVENTO="Manual",$M177=1),0,IF(OFFSET(CRONOPLE!$F$14,$M177,BR$13)="",10^12,OFFSET(CRONOPLE!$F$14,$M177,BR$13))))</f>
        <v>0</v>
      </c>
      <c r="BS177" s="215">
        <f ca="1">IF($D177&lt;&gt;"Serviço",0,IF(AND(AUTOEVENTO="Manual",$M177=1),0,IF(OFFSET(CRONOPLE!$F$14,$M177,BS$13)="",10^12,OFFSET(CRONOPLE!$F$14,$M177,BS$13))))</f>
        <v>0</v>
      </c>
      <c r="BT177" s="215">
        <f ca="1">IF($D177&lt;&gt;"Serviço",0,IF(AND(AUTOEVENTO="Manual",$M177=1),0,IF(OFFSET(CRONOPLE!$F$14,$M177,BT$13)="",10^12,OFFSET(CRONOPLE!$F$14,$M177,BT$13))))</f>
        <v>0</v>
      </c>
      <c r="BV177" s="216">
        <f ca="1">IF($D177&lt;&gt;"Serviço",0,IF(OR(AND(AUTOEVENTO="Manual",$M177=1),$M177&gt;(ROW(PLE.lastrow)-ROW(PLE.firstrow))),0,IF(OFFSET(PLE!$G$14,$M177,BV$13)="",10^12,OFFSET(PLE!$G$14,$M177,BV$13))))</f>
        <v>0</v>
      </c>
      <c r="BW177" s="216">
        <f ca="1">IF($D177&lt;&gt;"Serviço",0,IF(OR(AND(AUTOEVENTO="Manual",$M177=1),$M177&gt;(ROW(PLE.lastrow)-ROW(PLE.firstrow))),0,IF(OFFSET(PLE!$G$14,$M177,BW$13)="",10^12,OFFSET(PLE!$G$14,$M177,BW$13))))</f>
        <v>0</v>
      </c>
      <c r="BX177" s="216">
        <f ca="1">IF($D177&lt;&gt;"Serviço",0,IF(OR(AND(AUTOEVENTO="Manual",$M177=1),$M177&gt;(ROW(PLE.lastrow)-ROW(PLE.firstrow))),0,IF(OFFSET(PLE!$G$14,$M177,BX$13)="",10^12,OFFSET(PLE!$G$14,$M177,BX$13))))</f>
        <v>0</v>
      </c>
      <c r="BY177" s="216">
        <f ca="1">IF($D177&lt;&gt;"Serviço",0,IF(OR(AND(AUTOEVENTO="Manual",$M177=1),$M177&gt;(ROW(PLE.lastrow)-ROW(PLE.firstrow))),0,IF(OFFSET(PLE!$G$14,$M177,BY$13)="",10^12,OFFSET(PLE!$G$14,$M177,BY$13))))</f>
        <v>0</v>
      </c>
      <c r="BZ177" s="216">
        <f ca="1">IF($D177&lt;&gt;"Serviço",0,IF(OR(AND(AUTOEVENTO="Manual",$M177=1),$M177&gt;(ROW(PLE.lastrow)-ROW(PLE.firstrow))),0,IF(OFFSET(PLE!$G$14,$M177,BZ$13)="",10^12,OFFSET(PLE!$G$14,$M177,BZ$13))))</f>
        <v>0</v>
      </c>
      <c r="CA177" s="216">
        <f ca="1">IF($D177&lt;&gt;"Serviço",0,IF(OR(AND(AUTOEVENTO="Manual",$M177=1),$M177&gt;(ROW(PLE.lastrow)-ROW(PLE.firstrow))),0,IF(OFFSET(PLE!$G$14,$M177,CA$13)="",10^12,OFFSET(PLE!$G$14,$M177,CA$13))))</f>
        <v>0</v>
      </c>
      <c r="CB177" s="216">
        <f ca="1">IF($D177&lt;&gt;"Serviço",0,IF(OR(AND(AUTOEVENTO="Manual",$M177=1),$M177&gt;(ROW(PLE.lastrow)-ROW(PLE.firstrow))),0,IF(OFFSET(PLE!$G$14,$M177,CB$13)="",10^12,OFFSET(PLE!$G$14,$M177,CB$13))))</f>
        <v>0</v>
      </c>
      <c r="CC177" s="216">
        <f ca="1">IF($D177&lt;&gt;"Serviço",0,IF(OR(AND(AUTOEVENTO="Manual",$M177=1),$M177&gt;(ROW(PLE.lastrow)-ROW(PLE.firstrow))),0,IF(OFFSET(PLE!$G$14,$M177,CC$13)="",10^12,OFFSET(PLE!$G$14,$M177,CC$13))))</f>
        <v>0</v>
      </c>
      <c r="CD177" s="216">
        <f ca="1">IF($D177&lt;&gt;"Serviço",0,IF(OR(AND(AUTOEVENTO="Manual",$M177=1),$M177&gt;(ROW(PLE.lastrow)-ROW(PLE.firstrow))),0,IF(OFFSET(PLE!$G$14,$M177,CD$13)="",10^12,OFFSET(PLE!$G$14,$M177,CD$13))))</f>
        <v>0</v>
      </c>
      <c r="CE177" s="216">
        <f ca="1">IF($D177&lt;&gt;"Serviço",0,IF(OR(AND(AUTOEVENTO="Manual",$M177=1),$M177&gt;(ROW(PLE.lastrow)-ROW(PLE.firstrow))),0,IF(OFFSET(PLE!$G$14,$M177,CE$13)="",10^12,OFFSET(PLE!$G$14,$M177,CE$13))))</f>
        <v>0</v>
      </c>
      <c r="CF177" s="216">
        <f ca="1">IF($D177&lt;&gt;"Serviço",0,IF(OR(AND(AUTOEVENTO="Manual",$M177=1),$M177&gt;(ROW(PLE.lastrow)-ROW(PLE.firstrow))),0,IF(OFFSET(PLE!$G$14,$M177,CF$13)="",10^12,OFFSET(PLE!$G$14,$M177,CF$13))))</f>
        <v>0</v>
      </c>
      <c r="CG177" s="216">
        <f ca="1">IF($D177&lt;&gt;"Serviço",0,IF(OR(AND(AUTOEVENTO="Manual",$M177=1),$M177&gt;(ROW(PLE.lastrow)-ROW(PLE.firstrow))),0,IF(OFFSET(PLE!$G$14,$M177,CG$13)="",10^12,OFFSET(PLE!$G$14,$M177,CG$13))))</f>
        <v>0</v>
      </c>
      <c r="CH177" s="216">
        <f ca="1">IF($D177&lt;&gt;"Serviço",0,IF(OR(AND(AUTOEVENTO="Manual",$M177=1),$M177&gt;(ROW(PLE.lastrow)-ROW(PLE.firstrow))),0,IF(OFFSET(PLE!$G$14,$M177,CH$13)="",10^12,OFFSET(PLE!$G$14,$M177,CH$13))))</f>
        <v>0</v>
      </c>
      <c r="CI177" s="216">
        <f ca="1">IF($D177&lt;&gt;"Serviço",0,IF(OR(AND(AUTOEVENTO="Manual",$M177=1),$M177&gt;(ROW(PLE.lastrow)-ROW(PLE.firstrow))),0,IF(OFFSET(PLE!$G$14,$M177,CI$13)="",10^12,OFFSET(PLE!$G$14,$M177,CI$13))))</f>
        <v>0</v>
      </c>
      <c r="CJ177" s="216">
        <f ca="1">IF($D177&lt;&gt;"Serviço",0,IF(OR(AND(AUTOEVENTO="Manual",$M177=1),$M177&gt;(ROW(PLE.lastrow)-ROW(PLE.firstrow))),0,IF(OFFSET(PLE!$G$14,$M177,CJ$13)="",10^12,OFFSET(PLE!$G$14,$M177,CJ$13))))</f>
        <v>0</v>
      </c>
      <c r="CK177" s="216">
        <f ca="1">IF($D177&lt;&gt;"Serviço",0,IF(OR(AND(AUTOEVENTO="Manual",$M177=1),$M177&gt;(ROW(PLE.lastrow)-ROW(PLE.firstrow))),0,IF(OFFSET(PLE!$G$14,$M177,CK$13)="",10^12,OFFSET(PLE!$G$14,$M177,CK$13))))</f>
        <v>0</v>
      </c>
      <c r="CL177" s="216">
        <f ca="1">IF($D177&lt;&gt;"Serviço",0,IF(OR(AND(AUTOEVENTO="Manual",$M177=1),$M177&gt;(ROW(PLE.lastrow)-ROW(PLE.firstrow))),0,IF(OFFSET(PLE!$G$14,$M177,CL$13)="",10^12,OFFSET(PLE!$G$14,$M177,CL$13))))</f>
        <v>0</v>
      </c>
      <c r="CM177" s="216">
        <f ca="1">IF($D177&lt;&gt;"Serviço",0,IF(OR(AND(AUTOEVENTO="Manual",$M177=1),$M177&gt;(ROW(PLE.lastrow)-ROW(PLE.firstrow))),0,IF(OFFSET(PLE!$G$14,$M177,CM$13)="",10^12,OFFSET(PLE!$G$14,$M177,CM$13))))</f>
        <v>0</v>
      </c>
    </row>
    <row r="178" spans="1:91" ht="13.2" x14ac:dyDescent="0.25">
      <c r="A178" s="9">
        <f t="shared" ca="1" si="11"/>
        <v>0</v>
      </c>
      <c r="B178" s="9" t="str">
        <f ca="1">OFFSET(ORÇAMENTO!C$15,ROW(B178)-ROW(B$15),0)</f>
        <v>S</v>
      </c>
      <c r="C178" s="9" t="str">
        <f ca="1">OFFSET(ORÇAMENTO!L$15,ROW(C178)-ROW(C$15),0)</f>
        <v/>
      </c>
      <c r="D178" s="145" t="str">
        <f ca="1">OFFSET(ORÇAMENTO!N$15,ROW(D178)-ROW(D$15),0)</f>
        <v>Serviço</v>
      </c>
      <c r="E178" s="205" t="str">
        <f ca="1">OFFSET(ORÇAMENTO!O$15,ROW(E178)-ROW(E$15),0)</f>
        <v>-</v>
      </c>
      <c r="F178" s="206" t="str">
        <f ca="1">OFFSET(ORÇAMENTO!R$15,ROW(F178)-ROW(F$15),0)</f>
        <v>(abra o arquivo 'Referência 05-2024.xls)</v>
      </c>
      <c r="G178" s="207" t="str">
        <f ca="1">IF($D178&lt;&gt;"Serviço","",OFFSET(ORÇAMENTO!S$15,ROW(G178)-ROW(G$15),0))</f>
        <v>-</v>
      </c>
      <c r="H178" s="151">
        <f ca="1">IF($D178&lt;&gt;"Serviço",0,IF(ACOMPANHAMENTO="BM",ROUND(OFFSET(ORÇAMENTO!AJ$15,ROW(H178)-ROW(H$15),0),15-13*ORÇAMENTO!$AF$7),SUMPRODUCT(($Q$12:$AI$12&lt;&gt;"")*ROUND($Q178:$AI178,15-13*ORÇAMENTO!$AF$7))))</f>
        <v>11</v>
      </c>
      <c r="I178" s="650"/>
      <c r="K178" s="208"/>
      <c r="L178" s="209" t="s">
        <v>257</v>
      </c>
      <c r="M178" s="210">
        <f ca="1">IF($D178&lt;&gt;"Serviço","",IF(AUTOEVENTO="manual",$A178,IF(ISERROR(MATCH($A178,$A$15:OFFSET($A178,-1,0),0)),MAX($M$15:OFFSET(M178,-1,0))+1,INDEX($M$15:OFFSET(M178,-1,0),MATCH($A178,$A$15:OFFSET($A178,-1,0),0)))))</f>
        <v>0</v>
      </c>
      <c r="N178" s="211" t="str">
        <f ca="1">IF($D178&lt;&gt;"Serviço","",IF(AUTOEVENTO="Manual",IF($A178=0,"&lt;-- defina o número do agrupador",OFFSET(EVENTOS!$D$14,$A178,0)),OFFSET($F$15,$A178,0)))</f>
        <v>&lt;-- defina o número do agrupador</v>
      </c>
      <c r="O178" s="212"/>
      <c r="Q178" s="212"/>
      <c r="R178" s="213"/>
      <c r="S178" s="213"/>
      <c r="T178" s="213"/>
      <c r="U178" s="213"/>
      <c r="V178" s="213"/>
      <c r="W178" s="213"/>
      <c r="X178" s="213"/>
      <c r="Y178" s="213"/>
      <c r="Z178" s="214"/>
      <c r="AA178" s="213"/>
      <c r="AB178" s="213"/>
      <c r="AC178" s="213"/>
      <c r="AD178" s="213"/>
      <c r="AE178" s="213"/>
      <c r="AF178" s="213"/>
      <c r="AG178" s="213"/>
      <c r="AH178" s="214"/>
      <c r="AJ178" s="631">
        <f ca="1">IF(AND($D178="Serviço",AJ$12&lt;&gt;0,$H178&gt;0,OR(AUTOEVENTO&lt;&gt;"manual",$M178&lt;&gt;1)),ROUND(OFFSET($P178,0,AJ$13),15-13*ORÇAMENTO!$AF$7)/$H178*OFFSET(ORÇAMENTO!$X$15,ROW(AJ178)-ROW(AJ$15),0),0)</f>
        <v>0</v>
      </c>
      <c r="AK178" s="632">
        <f ca="1">IF(AND($D178="Serviço",AK$12&lt;&gt;0,$H178&gt;0,OR(AUTOEVENTO&lt;&gt;"manual",$M178&lt;&gt;1)),ROUND(OFFSET($P178,0,AK$13),15-13*ORÇAMENTO!$AF$7)/$H178*OFFSET(ORÇAMENTO!$X$15,ROW(AK178)-ROW(AK$15),0),0)</f>
        <v>0</v>
      </c>
      <c r="AL178" s="632">
        <f ca="1">IF(AND($D178="Serviço",AL$12&lt;&gt;0,$H178&gt;0,OR(AUTOEVENTO&lt;&gt;"manual",$M178&lt;&gt;1)),ROUND(OFFSET($P178,0,AL$13),15-13*ORÇAMENTO!$AF$7)/$H178*OFFSET(ORÇAMENTO!$X$15,ROW(AL178)-ROW(AL$15),0),0)</f>
        <v>0</v>
      </c>
      <c r="AM178" s="632">
        <f ca="1">IF(AND($D178="Serviço",AM$12&lt;&gt;0,$H178&gt;0,OR(AUTOEVENTO&lt;&gt;"manual",$M178&lt;&gt;1)),ROUND(OFFSET($P178,0,AM$13),15-13*ORÇAMENTO!$AF$7)/$H178*OFFSET(ORÇAMENTO!$X$15,ROW(AM178)-ROW(AM$15),0),0)</f>
        <v>0</v>
      </c>
      <c r="AN178" s="632">
        <f ca="1">IF(AND($D178="Serviço",AN$12&lt;&gt;0,$H178&gt;0,OR(AUTOEVENTO&lt;&gt;"manual",$M178&lt;&gt;1)),ROUND(OFFSET($P178,0,AN$13),15-13*ORÇAMENTO!$AF$7)/$H178*OFFSET(ORÇAMENTO!$X$15,ROW(AN178)-ROW(AN$15),0),0)</f>
        <v>0</v>
      </c>
      <c r="AO178" s="632">
        <f ca="1">IF(AND($D178="Serviço",AO$12&lt;&gt;0,$H178&gt;0,OR(AUTOEVENTO&lt;&gt;"manual",$M178&lt;&gt;1)),ROUND(OFFSET($P178,0,AO$13),15-13*ORÇAMENTO!$AF$7)/$H178*OFFSET(ORÇAMENTO!$X$15,ROW(AO178)-ROW(AO$15),0),0)</f>
        <v>0</v>
      </c>
      <c r="AP178" s="632">
        <f ca="1">IF(AND($D178="Serviço",AP$12&lt;&gt;0,$H178&gt;0,OR(AUTOEVENTO&lt;&gt;"manual",$M178&lt;&gt;1)),ROUND(OFFSET($P178,0,AP$13),15-13*ORÇAMENTO!$AF$7)/$H178*OFFSET(ORÇAMENTO!$X$15,ROW(AP178)-ROW(AP$15),0),0)</f>
        <v>0</v>
      </c>
      <c r="AQ178" s="632">
        <f ca="1">IF(AND($D178="Serviço",AQ$12&lt;&gt;0,$H178&gt;0,OR(AUTOEVENTO&lt;&gt;"manual",$M178&lt;&gt;1)),ROUND(OFFSET($P178,0,AQ$13),15-13*ORÇAMENTO!$AF$7)/$H178*OFFSET(ORÇAMENTO!$X$15,ROW(AQ178)-ROW(AQ$15),0),0)</f>
        <v>0</v>
      </c>
      <c r="AR178" s="632">
        <f ca="1">IF(AND($D178="Serviço",AR$12&lt;&gt;0,$H178&gt;0,OR(AUTOEVENTO&lt;&gt;"manual",$M178&lt;&gt;1)),ROUND(OFFSET($P178,0,AR$13),15-13*ORÇAMENTO!$AF$7)/$H178*OFFSET(ORÇAMENTO!$X$15,ROW(AR178)-ROW(AR$15),0),0)</f>
        <v>0</v>
      </c>
      <c r="AS178" s="633">
        <f ca="1">IF(AND($D178="Serviço",AS$12&lt;&gt;0,$H178&gt;0,OR(AUTOEVENTO&lt;&gt;"manual",$M178&lt;&gt;1)),ROUND(OFFSET($P178,0,AS$13),15-13*ORÇAMENTO!$AF$7)/$H178*OFFSET(ORÇAMENTO!$X$15,ROW(AS178)-ROW(AS$15),0),0)</f>
        <v>0</v>
      </c>
      <c r="AT178" s="632">
        <f ca="1">IF(AND($D178="Serviço",AT$12&lt;&gt;0,$H178&gt;0,OR(AUTOEVENTO&lt;&gt;"manual",$M178&lt;&gt;1)),ROUND(OFFSET($P178,0,AT$13),15-13*ORÇAMENTO!$AF$7)/$H178*OFFSET(ORÇAMENTO!$X$15,ROW(AT178)-ROW(AT$15),0),0)</f>
        <v>0</v>
      </c>
      <c r="AU178" s="632">
        <f ca="1">IF(AND($D178="Serviço",AU$12&lt;&gt;0,$H178&gt;0,OR(AUTOEVENTO&lt;&gt;"manual",$M178&lt;&gt;1)),ROUND(OFFSET($P178,0,AU$13),15-13*ORÇAMENTO!$AF$7)/$H178*OFFSET(ORÇAMENTO!$X$15,ROW(AU178)-ROW(AU$15),0),0)</f>
        <v>0</v>
      </c>
      <c r="AV178" s="632">
        <f ca="1">IF(AND($D178="Serviço",AV$12&lt;&gt;0,$H178&gt;0,OR(AUTOEVENTO&lt;&gt;"manual",$M178&lt;&gt;1)),ROUND(OFFSET($P178,0,AV$13),15-13*ORÇAMENTO!$AF$7)/$H178*OFFSET(ORÇAMENTO!$X$15,ROW(AV178)-ROW(AV$15),0),0)</f>
        <v>0</v>
      </c>
      <c r="AW178" s="632">
        <f ca="1">IF(AND($D178="Serviço",AW$12&lt;&gt;0,$H178&gt;0,OR(AUTOEVENTO&lt;&gt;"manual",$M178&lt;&gt;1)),ROUND(OFFSET($P178,0,AW$13),15-13*ORÇAMENTO!$AF$7)/$H178*OFFSET(ORÇAMENTO!$X$15,ROW(AW178)-ROW(AW$15),0),0)</f>
        <v>0</v>
      </c>
      <c r="AX178" s="632">
        <f ca="1">IF(AND($D178="Serviço",AX$12&lt;&gt;0,$H178&gt;0,OR(AUTOEVENTO&lt;&gt;"manual",$M178&lt;&gt;1)),ROUND(OFFSET($P178,0,AX$13),15-13*ORÇAMENTO!$AF$7)/$H178*OFFSET(ORÇAMENTO!$X$15,ROW(AX178)-ROW(AX$15),0),0)</f>
        <v>0</v>
      </c>
      <c r="AY178" s="632">
        <f ca="1">IF(AND($D178="Serviço",AY$12&lt;&gt;0,$H178&gt;0,OR(AUTOEVENTO&lt;&gt;"manual",$M178&lt;&gt;1)),ROUND(OFFSET($P178,0,AY$13),15-13*ORÇAMENTO!$AF$7)/$H178*OFFSET(ORÇAMENTO!$X$15,ROW(AY178)-ROW(AY$15),0),0)</f>
        <v>0</v>
      </c>
      <c r="AZ178" s="632">
        <f ca="1">IF(AND($D178="Serviço",AZ$12&lt;&gt;0,$H178&gt;0,OR(AUTOEVENTO&lt;&gt;"manual",$M178&lt;&gt;1)),ROUND(OFFSET($P178,0,AZ$13),15-13*ORÇAMENTO!$AF$7)/$H178*OFFSET(ORÇAMENTO!$X$15,ROW(AZ178)-ROW(AZ$15),0),0)</f>
        <v>0</v>
      </c>
      <c r="BA178" s="633">
        <f ca="1">IF(AND($D178="Serviço",BA$12&lt;&gt;0,$H178&gt;0,OR(AUTOEVENTO&lt;&gt;"manual",$M178&lt;&gt;1)),ROUND(OFFSET($P178,0,BA$13),15-13*ORÇAMENTO!$AF$7)/$H178*OFFSET(ORÇAMENTO!$X$15,ROW(BA178)-ROW(BA$15),0),0)</f>
        <v>0</v>
      </c>
      <c r="BC178" s="215">
        <f ca="1">IF($D178&lt;&gt;"Serviço",0,IF(AND(AUTOEVENTO="Manual",$M178=1),0,IF(OFFSET(CRONOPLE!$F$14,$M178,BC$13)="",10^12,OFFSET(CRONOPLE!$F$14,$M178,BC$13))))</f>
        <v>1000000000000</v>
      </c>
      <c r="BD178" s="215">
        <f ca="1">IF($D178&lt;&gt;"Serviço",0,IF(AND(AUTOEVENTO="Manual",$M178=1),0,IF(OFFSET(CRONOPLE!$F$14,$M178,BD$13)="",10^12,OFFSET(CRONOPLE!$F$14,$M178,BD$13))))</f>
        <v>1000000000000</v>
      </c>
      <c r="BE178" s="215">
        <f ca="1">IF($D178&lt;&gt;"Serviço",0,IF(AND(AUTOEVENTO="Manual",$M178=1),0,IF(OFFSET(CRONOPLE!$F$14,$M178,BE$13)="",10^12,OFFSET(CRONOPLE!$F$14,$M178,BE$13))))</f>
        <v>1000000000000</v>
      </c>
      <c r="BF178" s="215">
        <f ca="1">IF($D178&lt;&gt;"Serviço",0,IF(AND(AUTOEVENTO="Manual",$M178=1),0,IF(OFFSET(CRONOPLE!$F$14,$M178,BF$13)="",10^12,OFFSET(CRONOPLE!$F$14,$M178,BF$13))))</f>
        <v>1000000000000</v>
      </c>
      <c r="BG178" s="215">
        <f ca="1">IF($D178&lt;&gt;"Serviço",0,IF(AND(AUTOEVENTO="Manual",$M178=1),0,IF(OFFSET(CRONOPLE!$F$14,$M178,BG$13)="",10^12,OFFSET(CRONOPLE!$F$14,$M178,BG$13))))</f>
        <v>1000000000000</v>
      </c>
      <c r="BH178" s="215">
        <f ca="1">IF($D178&lt;&gt;"Serviço",0,IF(AND(AUTOEVENTO="Manual",$M178=1),0,IF(OFFSET(CRONOPLE!$F$14,$M178,BH$13)="",10^12,OFFSET(CRONOPLE!$F$14,$M178,BH$13))))</f>
        <v>1000000000000</v>
      </c>
      <c r="BI178" s="215">
        <f ca="1">IF($D178&lt;&gt;"Serviço",0,IF(AND(AUTOEVENTO="Manual",$M178=1),0,IF(OFFSET(CRONOPLE!$F$14,$M178,BI$13)="",10^12,OFFSET(CRONOPLE!$F$14,$M178,BI$13))))</f>
        <v>1000000000000</v>
      </c>
      <c r="BJ178" s="215">
        <f ca="1">IF($D178&lt;&gt;"Serviço",0,IF(AND(AUTOEVENTO="Manual",$M178=1),0,IF(OFFSET(CRONOPLE!$F$14,$M178,BJ$13)="",10^12,OFFSET(CRONOPLE!$F$14,$M178,BJ$13))))</f>
        <v>1000000000000</v>
      </c>
      <c r="BK178" s="215">
        <f ca="1">IF($D178&lt;&gt;"Serviço",0,IF(AND(AUTOEVENTO="Manual",$M178=1),0,IF(OFFSET(CRONOPLE!$F$14,$M178,BK$13)="",10^12,OFFSET(CRONOPLE!$F$14,$M178,BK$13))))</f>
        <v>1000000000000</v>
      </c>
      <c r="BL178" s="215">
        <f ca="1">IF($D178&lt;&gt;"Serviço",0,IF(AND(AUTOEVENTO="Manual",$M178=1),0,IF(OFFSET(CRONOPLE!$F$14,$M178,BL$13)="",10^12,OFFSET(CRONOPLE!$F$14,$M178,BL$13))))</f>
        <v>1000000000000</v>
      </c>
      <c r="BM178" s="215">
        <f ca="1">IF($D178&lt;&gt;"Serviço",0,IF(AND(AUTOEVENTO="Manual",$M178=1),0,IF(OFFSET(CRONOPLE!$F$14,$M178,BM$13)="",10^12,OFFSET(CRONOPLE!$F$14,$M178,BM$13))))</f>
        <v>1000000000000</v>
      </c>
      <c r="BN178" s="215">
        <f ca="1">IF($D178&lt;&gt;"Serviço",0,IF(AND(AUTOEVENTO="Manual",$M178=1),0,IF(OFFSET(CRONOPLE!$F$14,$M178,BN$13)="",10^12,OFFSET(CRONOPLE!$F$14,$M178,BN$13))))</f>
        <v>1000000000000</v>
      </c>
      <c r="BO178" s="215">
        <f ca="1">IF($D178&lt;&gt;"Serviço",0,IF(AND(AUTOEVENTO="Manual",$M178=1),0,IF(OFFSET(CRONOPLE!$F$14,$M178,BO$13)="",10^12,OFFSET(CRONOPLE!$F$14,$M178,BO$13))))</f>
        <v>1000000000000</v>
      </c>
      <c r="BP178" s="215">
        <f ca="1">IF($D178&lt;&gt;"Serviço",0,IF(AND(AUTOEVENTO="Manual",$M178=1),0,IF(OFFSET(CRONOPLE!$F$14,$M178,BP$13)="",10^12,OFFSET(CRONOPLE!$F$14,$M178,BP$13))))</f>
        <v>1000000000000</v>
      </c>
      <c r="BQ178" s="215">
        <f ca="1">IF($D178&lt;&gt;"Serviço",0,IF(AND(AUTOEVENTO="Manual",$M178=1),0,IF(OFFSET(CRONOPLE!$F$14,$M178,BQ$13)="",10^12,OFFSET(CRONOPLE!$F$14,$M178,BQ$13))))</f>
        <v>1000000000000</v>
      </c>
      <c r="BR178" s="215">
        <f ca="1">IF($D178&lt;&gt;"Serviço",0,IF(AND(AUTOEVENTO="Manual",$M178=1),0,IF(OFFSET(CRONOPLE!$F$14,$M178,BR$13)="",10^12,OFFSET(CRONOPLE!$F$14,$M178,BR$13))))</f>
        <v>1000000000000</v>
      </c>
      <c r="BS178" s="215">
        <f ca="1">IF($D178&lt;&gt;"Serviço",0,IF(AND(AUTOEVENTO="Manual",$M178=1),0,IF(OFFSET(CRONOPLE!$F$14,$M178,BS$13)="",10^12,OFFSET(CRONOPLE!$F$14,$M178,BS$13))))</f>
        <v>1000000000000</v>
      </c>
      <c r="BT178" s="215">
        <f ca="1">IF($D178&lt;&gt;"Serviço",0,IF(AND(AUTOEVENTO="Manual",$M178=1),0,IF(OFFSET(CRONOPLE!$F$14,$M178,BT$13)="",10^12,OFFSET(CRONOPLE!$F$14,$M178,BT$13))))</f>
        <v>1000000000000</v>
      </c>
      <c r="BV178" s="216">
        <f ca="1">IF($D178&lt;&gt;"Serviço",0,IF(OR(AND(AUTOEVENTO="Manual",$M178=1),$M178&gt;(ROW(PLE.lastrow)-ROW(PLE.firstrow))),0,IF(OFFSET(PLE!$G$14,$M178,BV$13)="",10^12,OFFSET(PLE!$G$14,$M178,BV$13))))</f>
        <v>1000000000000</v>
      </c>
      <c r="BW178" s="216">
        <f ca="1">IF($D178&lt;&gt;"Serviço",0,IF(OR(AND(AUTOEVENTO="Manual",$M178=1),$M178&gt;(ROW(PLE.lastrow)-ROW(PLE.firstrow))),0,IF(OFFSET(PLE!$G$14,$M178,BW$13)="",10^12,OFFSET(PLE!$G$14,$M178,BW$13))))</f>
        <v>1000000000000</v>
      </c>
      <c r="BX178" s="216">
        <f ca="1">IF($D178&lt;&gt;"Serviço",0,IF(OR(AND(AUTOEVENTO="Manual",$M178=1),$M178&gt;(ROW(PLE.lastrow)-ROW(PLE.firstrow))),0,IF(OFFSET(PLE!$G$14,$M178,BX$13)="",10^12,OFFSET(PLE!$G$14,$M178,BX$13))))</f>
        <v>1000000000000</v>
      </c>
      <c r="BY178" s="216">
        <f ca="1">IF($D178&lt;&gt;"Serviço",0,IF(OR(AND(AUTOEVENTO="Manual",$M178=1),$M178&gt;(ROW(PLE.lastrow)-ROW(PLE.firstrow))),0,IF(OFFSET(PLE!$G$14,$M178,BY$13)="",10^12,OFFSET(PLE!$G$14,$M178,BY$13))))</f>
        <v>1000000000000</v>
      </c>
      <c r="BZ178" s="216">
        <f ca="1">IF($D178&lt;&gt;"Serviço",0,IF(OR(AND(AUTOEVENTO="Manual",$M178=1),$M178&gt;(ROW(PLE.lastrow)-ROW(PLE.firstrow))),0,IF(OFFSET(PLE!$G$14,$M178,BZ$13)="",10^12,OFFSET(PLE!$G$14,$M178,BZ$13))))</f>
        <v>1000000000000</v>
      </c>
      <c r="CA178" s="216">
        <f ca="1">IF($D178&lt;&gt;"Serviço",0,IF(OR(AND(AUTOEVENTO="Manual",$M178=1),$M178&gt;(ROW(PLE.lastrow)-ROW(PLE.firstrow))),0,IF(OFFSET(PLE!$G$14,$M178,CA$13)="",10^12,OFFSET(PLE!$G$14,$M178,CA$13))))</f>
        <v>1000000000000</v>
      </c>
      <c r="CB178" s="216">
        <f ca="1">IF($D178&lt;&gt;"Serviço",0,IF(OR(AND(AUTOEVENTO="Manual",$M178=1),$M178&gt;(ROW(PLE.lastrow)-ROW(PLE.firstrow))),0,IF(OFFSET(PLE!$G$14,$M178,CB$13)="",10^12,OFFSET(PLE!$G$14,$M178,CB$13))))</f>
        <v>1000000000000</v>
      </c>
      <c r="CC178" s="216">
        <f ca="1">IF($D178&lt;&gt;"Serviço",0,IF(OR(AND(AUTOEVENTO="Manual",$M178=1),$M178&gt;(ROW(PLE.lastrow)-ROW(PLE.firstrow))),0,IF(OFFSET(PLE!$G$14,$M178,CC$13)="",10^12,OFFSET(PLE!$G$14,$M178,CC$13))))</f>
        <v>1000000000000</v>
      </c>
      <c r="CD178" s="216">
        <f ca="1">IF($D178&lt;&gt;"Serviço",0,IF(OR(AND(AUTOEVENTO="Manual",$M178=1),$M178&gt;(ROW(PLE.lastrow)-ROW(PLE.firstrow))),0,IF(OFFSET(PLE!$G$14,$M178,CD$13)="",10^12,OFFSET(PLE!$G$14,$M178,CD$13))))</f>
        <v>1000000000000</v>
      </c>
      <c r="CE178" s="216">
        <f ca="1">IF($D178&lt;&gt;"Serviço",0,IF(OR(AND(AUTOEVENTO="Manual",$M178=1),$M178&gt;(ROW(PLE.lastrow)-ROW(PLE.firstrow))),0,IF(OFFSET(PLE!$G$14,$M178,CE$13)="",10^12,OFFSET(PLE!$G$14,$M178,CE$13))))</f>
        <v>1000000000000</v>
      </c>
      <c r="CF178" s="216">
        <f ca="1">IF($D178&lt;&gt;"Serviço",0,IF(OR(AND(AUTOEVENTO="Manual",$M178=1),$M178&gt;(ROW(PLE.lastrow)-ROW(PLE.firstrow))),0,IF(OFFSET(PLE!$G$14,$M178,CF$13)="",10^12,OFFSET(PLE!$G$14,$M178,CF$13))))</f>
        <v>1000000000000</v>
      </c>
      <c r="CG178" s="216">
        <f ca="1">IF($D178&lt;&gt;"Serviço",0,IF(OR(AND(AUTOEVENTO="Manual",$M178=1),$M178&gt;(ROW(PLE.lastrow)-ROW(PLE.firstrow))),0,IF(OFFSET(PLE!$G$14,$M178,CG$13)="",10^12,OFFSET(PLE!$G$14,$M178,CG$13))))</f>
        <v>1000000000000</v>
      </c>
      <c r="CH178" s="216">
        <f ca="1">IF($D178&lt;&gt;"Serviço",0,IF(OR(AND(AUTOEVENTO="Manual",$M178=1),$M178&gt;(ROW(PLE.lastrow)-ROW(PLE.firstrow))),0,IF(OFFSET(PLE!$G$14,$M178,CH$13)="",10^12,OFFSET(PLE!$G$14,$M178,CH$13))))</f>
        <v>1000000000000</v>
      </c>
      <c r="CI178" s="216">
        <f ca="1">IF($D178&lt;&gt;"Serviço",0,IF(OR(AND(AUTOEVENTO="Manual",$M178=1),$M178&gt;(ROW(PLE.lastrow)-ROW(PLE.firstrow))),0,IF(OFFSET(PLE!$G$14,$M178,CI$13)="",10^12,OFFSET(PLE!$G$14,$M178,CI$13))))</f>
        <v>1000000000000</v>
      </c>
      <c r="CJ178" s="216">
        <f ca="1">IF($D178&lt;&gt;"Serviço",0,IF(OR(AND(AUTOEVENTO="Manual",$M178=1),$M178&gt;(ROW(PLE.lastrow)-ROW(PLE.firstrow))),0,IF(OFFSET(PLE!$G$14,$M178,CJ$13)="",10^12,OFFSET(PLE!$G$14,$M178,CJ$13))))</f>
        <v>1000000000000</v>
      </c>
      <c r="CK178" s="216">
        <f ca="1">IF($D178&lt;&gt;"Serviço",0,IF(OR(AND(AUTOEVENTO="Manual",$M178=1),$M178&gt;(ROW(PLE.lastrow)-ROW(PLE.firstrow))),0,IF(OFFSET(PLE!$G$14,$M178,CK$13)="",10^12,OFFSET(PLE!$G$14,$M178,CK$13))))</f>
        <v>1000000000000</v>
      </c>
      <c r="CL178" s="216">
        <f ca="1">IF($D178&lt;&gt;"Serviço",0,IF(OR(AND(AUTOEVENTO="Manual",$M178=1),$M178&gt;(ROW(PLE.lastrow)-ROW(PLE.firstrow))),0,IF(OFFSET(PLE!$G$14,$M178,CL$13)="",10^12,OFFSET(PLE!$G$14,$M178,CL$13))))</f>
        <v>1000000000000</v>
      </c>
      <c r="CM178" s="216">
        <f ca="1">IF($D178&lt;&gt;"Serviço",0,IF(OR(AND(AUTOEVENTO="Manual",$M178=1),$M178&gt;(ROW(PLE.lastrow)-ROW(PLE.firstrow))),0,IF(OFFSET(PLE!$G$14,$M178,CM$13)="",10^12,OFFSET(PLE!$G$14,$M178,CM$13))))</f>
        <v>1000000000000</v>
      </c>
    </row>
    <row r="179" spans="1:91" ht="13.2" x14ac:dyDescent="0.25">
      <c r="A179" s="9">
        <f t="shared" ca="1" si="11"/>
        <v>0</v>
      </c>
      <c r="B179" s="9" t="str">
        <f ca="1">OFFSET(ORÇAMENTO!C$15,ROW(B179)-ROW(B$15),0)</f>
        <v>S</v>
      </c>
      <c r="C179" s="9" t="str">
        <f ca="1">OFFSET(ORÇAMENTO!L$15,ROW(C179)-ROW(C$15),0)</f>
        <v/>
      </c>
      <c r="D179" s="145" t="str">
        <f ca="1">OFFSET(ORÇAMENTO!N$15,ROW(D179)-ROW(D$15),0)</f>
        <v>Serviço</v>
      </c>
      <c r="E179" s="205" t="str">
        <f ca="1">OFFSET(ORÇAMENTO!O$15,ROW(E179)-ROW(E$15),0)</f>
        <v>-</v>
      </c>
      <c r="F179" s="206" t="str">
        <f ca="1">OFFSET(ORÇAMENTO!R$15,ROW(F179)-ROW(F$15),0)</f>
        <v>(abra o arquivo 'Referência 05-2024.xls)</v>
      </c>
      <c r="G179" s="207" t="str">
        <f ca="1">IF($D179&lt;&gt;"Serviço","",OFFSET(ORÇAMENTO!S$15,ROW(G179)-ROW(G$15),0))</f>
        <v>-</v>
      </c>
      <c r="H179" s="151">
        <f ca="1">IF($D179&lt;&gt;"Serviço",0,IF(ACOMPANHAMENTO="BM",ROUND(OFFSET(ORÇAMENTO!AJ$15,ROW(H179)-ROW(H$15),0),15-13*ORÇAMENTO!$AF$7),SUMPRODUCT(($Q$12:$AI$12&lt;&gt;"")*ROUND($Q179:$AI179,15-13*ORÇAMENTO!$AF$7))))</f>
        <v>6</v>
      </c>
      <c r="I179" s="650"/>
      <c r="K179" s="208"/>
      <c r="L179" s="209" t="s">
        <v>257</v>
      </c>
      <c r="M179" s="210">
        <f ca="1">IF($D179&lt;&gt;"Serviço","",IF(AUTOEVENTO="manual",$A179,IF(ISERROR(MATCH($A179,$A$15:OFFSET($A179,-1,0),0)),MAX($M$15:OFFSET(M179,-1,0))+1,INDEX($M$15:OFFSET(M179,-1,0),MATCH($A179,$A$15:OFFSET($A179,-1,0),0)))))</f>
        <v>0</v>
      </c>
      <c r="N179" s="211" t="str">
        <f ca="1">IF($D179&lt;&gt;"Serviço","",IF(AUTOEVENTO="Manual",IF($A179=0,"&lt;-- defina o número do agrupador",OFFSET(EVENTOS!$D$14,$A179,0)),OFFSET($F$15,$A179,0)))</f>
        <v>&lt;-- defina o número do agrupador</v>
      </c>
      <c r="O179" s="212"/>
      <c r="Q179" s="212"/>
      <c r="R179" s="213"/>
      <c r="S179" s="213"/>
      <c r="T179" s="213"/>
      <c r="U179" s="213"/>
      <c r="V179" s="213"/>
      <c r="W179" s="213"/>
      <c r="X179" s="213"/>
      <c r="Y179" s="213"/>
      <c r="Z179" s="214"/>
      <c r="AA179" s="213"/>
      <c r="AB179" s="213"/>
      <c r="AC179" s="213"/>
      <c r="AD179" s="213"/>
      <c r="AE179" s="213"/>
      <c r="AF179" s="213"/>
      <c r="AG179" s="213"/>
      <c r="AH179" s="214"/>
      <c r="AJ179" s="631">
        <f ca="1">IF(AND($D179="Serviço",AJ$12&lt;&gt;0,$H179&gt;0,OR(AUTOEVENTO&lt;&gt;"manual",$M179&lt;&gt;1)),ROUND(OFFSET($P179,0,AJ$13),15-13*ORÇAMENTO!$AF$7)/$H179*OFFSET(ORÇAMENTO!$X$15,ROW(AJ179)-ROW(AJ$15),0),0)</f>
        <v>0</v>
      </c>
      <c r="AK179" s="632">
        <f ca="1">IF(AND($D179="Serviço",AK$12&lt;&gt;0,$H179&gt;0,OR(AUTOEVENTO&lt;&gt;"manual",$M179&lt;&gt;1)),ROUND(OFFSET($P179,0,AK$13),15-13*ORÇAMENTO!$AF$7)/$H179*OFFSET(ORÇAMENTO!$X$15,ROW(AK179)-ROW(AK$15),0),0)</f>
        <v>0</v>
      </c>
      <c r="AL179" s="632">
        <f ca="1">IF(AND($D179="Serviço",AL$12&lt;&gt;0,$H179&gt;0,OR(AUTOEVENTO&lt;&gt;"manual",$M179&lt;&gt;1)),ROUND(OFFSET($P179,0,AL$13),15-13*ORÇAMENTO!$AF$7)/$H179*OFFSET(ORÇAMENTO!$X$15,ROW(AL179)-ROW(AL$15),0),0)</f>
        <v>0</v>
      </c>
      <c r="AM179" s="632">
        <f ca="1">IF(AND($D179="Serviço",AM$12&lt;&gt;0,$H179&gt;0,OR(AUTOEVENTO&lt;&gt;"manual",$M179&lt;&gt;1)),ROUND(OFFSET($P179,0,AM$13),15-13*ORÇAMENTO!$AF$7)/$H179*OFFSET(ORÇAMENTO!$X$15,ROW(AM179)-ROW(AM$15),0),0)</f>
        <v>0</v>
      </c>
      <c r="AN179" s="632">
        <f ca="1">IF(AND($D179="Serviço",AN$12&lt;&gt;0,$H179&gt;0,OR(AUTOEVENTO&lt;&gt;"manual",$M179&lt;&gt;1)),ROUND(OFFSET($P179,0,AN$13),15-13*ORÇAMENTO!$AF$7)/$H179*OFFSET(ORÇAMENTO!$X$15,ROW(AN179)-ROW(AN$15),0),0)</f>
        <v>0</v>
      </c>
      <c r="AO179" s="632">
        <f ca="1">IF(AND($D179="Serviço",AO$12&lt;&gt;0,$H179&gt;0,OR(AUTOEVENTO&lt;&gt;"manual",$M179&lt;&gt;1)),ROUND(OFFSET($P179,0,AO$13),15-13*ORÇAMENTO!$AF$7)/$H179*OFFSET(ORÇAMENTO!$X$15,ROW(AO179)-ROW(AO$15),0),0)</f>
        <v>0</v>
      </c>
      <c r="AP179" s="632">
        <f ca="1">IF(AND($D179="Serviço",AP$12&lt;&gt;0,$H179&gt;0,OR(AUTOEVENTO&lt;&gt;"manual",$M179&lt;&gt;1)),ROUND(OFFSET($P179,0,AP$13),15-13*ORÇAMENTO!$AF$7)/$H179*OFFSET(ORÇAMENTO!$X$15,ROW(AP179)-ROW(AP$15),0),0)</f>
        <v>0</v>
      </c>
      <c r="AQ179" s="632">
        <f ca="1">IF(AND($D179="Serviço",AQ$12&lt;&gt;0,$H179&gt;0,OR(AUTOEVENTO&lt;&gt;"manual",$M179&lt;&gt;1)),ROUND(OFFSET($P179,0,AQ$13),15-13*ORÇAMENTO!$AF$7)/$H179*OFFSET(ORÇAMENTO!$X$15,ROW(AQ179)-ROW(AQ$15),0),0)</f>
        <v>0</v>
      </c>
      <c r="AR179" s="632">
        <f ca="1">IF(AND($D179="Serviço",AR$12&lt;&gt;0,$H179&gt;0,OR(AUTOEVENTO&lt;&gt;"manual",$M179&lt;&gt;1)),ROUND(OFFSET($P179,0,AR$13),15-13*ORÇAMENTO!$AF$7)/$H179*OFFSET(ORÇAMENTO!$X$15,ROW(AR179)-ROW(AR$15),0),0)</f>
        <v>0</v>
      </c>
      <c r="AS179" s="633">
        <f ca="1">IF(AND($D179="Serviço",AS$12&lt;&gt;0,$H179&gt;0,OR(AUTOEVENTO&lt;&gt;"manual",$M179&lt;&gt;1)),ROUND(OFFSET($P179,0,AS$13),15-13*ORÇAMENTO!$AF$7)/$H179*OFFSET(ORÇAMENTO!$X$15,ROW(AS179)-ROW(AS$15),0),0)</f>
        <v>0</v>
      </c>
      <c r="AT179" s="632">
        <f ca="1">IF(AND($D179="Serviço",AT$12&lt;&gt;0,$H179&gt;0,OR(AUTOEVENTO&lt;&gt;"manual",$M179&lt;&gt;1)),ROUND(OFFSET($P179,0,AT$13),15-13*ORÇAMENTO!$AF$7)/$H179*OFFSET(ORÇAMENTO!$X$15,ROW(AT179)-ROW(AT$15),0),0)</f>
        <v>0</v>
      </c>
      <c r="AU179" s="632">
        <f ca="1">IF(AND($D179="Serviço",AU$12&lt;&gt;0,$H179&gt;0,OR(AUTOEVENTO&lt;&gt;"manual",$M179&lt;&gt;1)),ROUND(OFFSET($P179,0,AU$13),15-13*ORÇAMENTO!$AF$7)/$H179*OFFSET(ORÇAMENTO!$X$15,ROW(AU179)-ROW(AU$15),0),0)</f>
        <v>0</v>
      </c>
      <c r="AV179" s="632">
        <f ca="1">IF(AND($D179="Serviço",AV$12&lt;&gt;0,$H179&gt;0,OR(AUTOEVENTO&lt;&gt;"manual",$M179&lt;&gt;1)),ROUND(OFFSET($P179,0,AV$13),15-13*ORÇAMENTO!$AF$7)/$H179*OFFSET(ORÇAMENTO!$X$15,ROW(AV179)-ROW(AV$15),0),0)</f>
        <v>0</v>
      </c>
      <c r="AW179" s="632">
        <f ca="1">IF(AND($D179="Serviço",AW$12&lt;&gt;0,$H179&gt;0,OR(AUTOEVENTO&lt;&gt;"manual",$M179&lt;&gt;1)),ROUND(OFFSET($P179,0,AW$13),15-13*ORÇAMENTO!$AF$7)/$H179*OFFSET(ORÇAMENTO!$X$15,ROW(AW179)-ROW(AW$15),0),0)</f>
        <v>0</v>
      </c>
      <c r="AX179" s="632">
        <f ca="1">IF(AND($D179="Serviço",AX$12&lt;&gt;0,$H179&gt;0,OR(AUTOEVENTO&lt;&gt;"manual",$M179&lt;&gt;1)),ROUND(OFFSET($P179,0,AX$13),15-13*ORÇAMENTO!$AF$7)/$H179*OFFSET(ORÇAMENTO!$X$15,ROW(AX179)-ROW(AX$15),0),0)</f>
        <v>0</v>
      </c>
      <c r="AY179" s="632">
        <f ca="1">IF(AND($D179="Serviço",AY$12&lt;&gt;0,$H179&gt;0,OR(AUTOEVENTO&lt;&gt;"manual",$M179&lt;&gt;1)),ROUND(OFFSET($P179,0,AY$13),15-13*ORÇAMENTO!$AF$7)/$H179*OFFSET(ORÇAMENTO!$X$15,ROW(AY179)-ROW(AY$15),0),0)</f>
        <v>0</v>
      </c>
      <c r="AZ179" s="632">
        <f ca="1">IF(AND($D179="Serviço",AZ$12&lt;&gt;0,$H179&gt;0,OR(AUTOEVENTO&lt;&gt;"manual",$M179&lt;&gt;1)),ROUND(OFFSET($P179,0,AZ$13),15-13*ORÇAMENTO!$AF$7)/$H179*OFFSET(ORÇAMENTO!$X$15,ROW(AZ179)-ROW(AZ$15),0),0)</f>
        <v>0</v>
      </c>
      <c r="BA179" s="633">
        <f ca="1">IF(AND($D179="Serviço",BA$12&lt;&gt;0,$H179&gt;0,OR(AUTOEVENTO&lt;&gt;"manual",$M179&lt;&gt;1)),ROUND(OFFSET($P179,0,BA$13),15-13*ORÇAMENTO!$AF$7)/$H179*OFFSET(ORÇAMENTO!$X$15,ROW(BA179)-ROW(BA$15),0),0)</f>
        <v>0</v>
      </c>
      <c r="BC179" s="215">
        <f ca="1">IF($D179&lt;&gt;"Serviço",0,IF(AND(AUTOEVENTO="Manual",$M179=1),0,IF(OFFSET(CRONOPLE!$F$14,$M179,BC$13)="",10^12,OFFSET(CRONOPLE!$F$14,$M179,BC$13))))</f>
        <v>1000000000000</v>
      </c>
      <c r="BD179" s="215">
        <f ca="1">IF($D179&lt;&gt;"Serviço",0,IF(AND(AUTOEVENTO="Manual",$M179=1),0,IF(OFFSET(CRONOPLE!$F$14,$M179,BD$13)="",10^12,OFFSET(CRONOPLE!$F$14,$M179,BD$13))))</f>
        <v>1000000000000</v>
      </c>
      <c r="BE179" s="215">
        <f ca="1">IF($D179&lt;&gt;"Serviço",0,IF(AND(AUTOEVENTO="Manual",$M179=1),0,IF(OFFSET(CRONOPLE!$F$14,$M179,BE$13)="",10^12,OFFSET(CRONOPLE!$F$14,$M179,BE$13))))</f>
        <v>1000000000000</v>
      </c>
      <c r="BF179" s="215">
        <f ca="1">IF($D179&lt;&gt;"Serviço",0,IF(AND(AUTOEVENTO="Manual",$M179=1),0,IF(OFFSET(CRONOPLE!$F$14,$M179,BF$13)="",10^12,OFFSET(CRONOPLE!$F$14,$M179,BF$13))))</f>
        <v>1000000000000</v>
      </c>
      <c r="BG179" s="215">
        <f ca="1">IF($D179&lt;&gt;"Serviço",0,IF(AND(AUTOEVENTO="Manual",$M179=1),0,IF(OFFSET(CRONOPLE!$F$14,$M179,BG$13)="",10^12,OFFSET(CRONOPLE!$F$14,$M179,BG$13))))</f>
        <v>1000000000000</v>
      </c>
      <c r="BH179" s="215">
        <f ca="1">IF($D179&lt;&gt;"Serviço",0,IF(AND(AUTOEVENTO="Manual",$M179=1),0,IF(OFFSET(CRONOPLE!$F$14,$M179,BH$13)="",10^12,OFFSET(CRONOPLE!$F$14,$M179,BH$13))))</f>
        <v>1000000000000</v>
      </c>
      <c r="BI179" s="215">
        <f ca="1">IF($D179&lt;&gt;"Serviço",0,IF(AND(AUTOEVENTO="Manual",$M179=1),0,IF(OFFSET(CRONOPLE!$F$14,$M179,BI$13)="",10^12,OFFSET(CRONOPLE!$F$14,$M179,BI$13))))</f>
        <v>1000000000000</v>
      </c>
      <c r="BJ179" s="215">
        <f ca="1">IF($D179&lt;&gt;"Serviço",0,IF(AND(AUTOEVENTO="Manual",$M179=1),0,IF(OFFSET(CRONOPLE!$F$14,$M179,BJ$13)="",10^12,OFFSET(CRONOPLE!$F$14,$M179,BJ$13))))</f>
        <v>1000000000000</v>
      </c>
      <c r="BK179" s="215">
        <f ca="1">IF($D179&lt;&gt;"Serviço",0,IF(AND(AUTOEVENTO="Manual",$M179=1),0,IF(OFFSET(CRONOPLE!$F$14,$M179,BK$13)="",10^12,OFFSET(CRONOPLE!$F$14,$M179,BK$13))))</f>
        <v>1000000000000</v>
      </c>
      <c r="BL179" s="215">
        <f ca="1">IF($D179&lt;&gt;"Serviço",0,IF(AND(AUTOEVENTO="Manual",$M179=1),0,IF(OFFSET(CRONOPLE!$F$14,$M179,BL$13)="",10^12,OFFSET(CRONOPLE!$F$14,$M179,BL$13))))</f>
        <v>1000000000000</v>
      </c>
      <c r="BM179" s="215">
        <f ca="1">IF($D179&lt;&gt;"Serviço",0,IF(AND(AUTOEVENTO="Manual",$M179=1),0,IF(OFFSET(CRONOPLE!$F$14,$M179,BM$13)="",10^12,OFFSET(CRONOPLE!$F$14,$M179,BM$13))))</f>
        <v>1000000000000</v>
      </c>
      <c r="BN179" s="215">
        <f ca="1">IF($D179&lt;&gt;"Serviço",0,IF(AND(AUTOEVENTO="Manual",$M179=1),0,IF(OFFSET(CRONOPLE!$F$14,$M179,BN$13)="",10^12,OFFSET(CRONOPLE!$F$14,$M179,BN$13))))</f>
        <v>1000000000000</v>
      </c>
      <c r="BO179" s="215">
        <f ca="1">IF($D179&lt;&gt;"Serviço",0,IF(AND(AUTOEVENTO="Manual",$M179=1),0,IF(OFFSET(CRONOPLE!$F$14,$M179,BO$13)="",10^12,OFFSET(CRONOPLE!$F$14,$M179,BO$13))))</f>
        <v>1000000000000</v>
      </c>
      <c r="BP179" s="215">
        <f ca="1">IF($D179&lt;&gt;"Serviço",0,IF(AND(AUTOEVENTO="Manual",$M179=1),0,IF(OFFSET(CRONOPLE!$F$14,$M179,BP$13)="",10^12,OFFSET(CRONOPLE!$F$14,$M179,BP$13))))</f>
        <v>1000000000000</v>
      </c>
      <c r="BQ179" s="215">
        <f ca="1">IF($D179&lt;&gt;"Serviço",0,IF(AND(AUTOEVENTO="Manual",$M179=1),0,IF(OFFSET(CRONOPLE!$F$14,$M179,BQ$13)="",10^12,OFFSET(CRONOPLE!$F$14,$M179,BQ$13))))</f>
        <v>1000000000000</v>
      </c>
      <c r="BR179" s="215">
        <f ca="1">IF($D179&lt;&gt;"Serviço",0,IF(AND(AUTOEVENTO="Manual",$M179=1),0,IF(OFFSET(CRONOPLE!$F$14,$M179,BR$13)="",10^12,OFFSET(CRONOPLE!$F$14,$M179,BR$13))))</f>
        <v>1000000000000</v>
      </c>
      <c r="BS179" s="215">
        <f ca="1">IF($D179&lt;&gt;"Serviço",0,IF(AND(AUTOEVENTO="Manual",$M179=1),0,IF(OFFSET(CRONOPLE!$F$14,$M179,BS$13)="",10^12,OFFSET(CRONOPLE!$F$14,$M179,BS$13))))</f>
        <v>1000000000000</v>
      </c>
      <c r="BT179" s="215">
        <f ca="1">IF($D179&lt;&gt;"Serviço",0,IF(AND(AUTOEVENTO="Manual",$M179=1),0,IF(OFFSET(CRONOPLE!$F$14,$M179,BT$13)="",10^12,OFFSET(CRONOPLE!$F$14,$M179,BT$13))))</f>
        <v>1000000000000</v>
      </c>
      <c r="BV179" s="216">
        <f ca="1">IF($D179&lt;&gt;"Serviço",0,IF(OR(AND(AUTOEVENTO="Manual",$M179=1),$M179&gt;(ROW(PLE.lastrow)-ROW(PLE.firstrow))),0,IF(OFFSET(PLE!$G$14,$M179,BV$13)="",10^12,OFFSET(PLE!$G$14,$M179,BV$13))))</f>
        <v>1000000000000</v>
      </c>
      <c r="BW179" s="216">
        <f ca="1">IF($D179&lt;&gt;"Serviço",0,IF(OR(AND(AUTOEVENTO="Manual",$M179=1),$M179&gt;(ROW(PLE.lastrow)-ROW(PLE.firstrow))),0,IF(OFFSET(PLE!$G$14,$M179,BW$13)="",10^12,OFFSET(PLE!$G$14,$M179,BW$13))))</f>
        <v>1000000000000</v>
      </c>
      <c r="BX179" s="216">
        <f ca="1">IF($D179&lt;&gt;"Serviço",0,IF(OR(AND(AUTOEVENTO="Manual",$M179=1),$M179&gt;(ROW(PLE.lastrow)-ROW(PLE.firstrow))),0,IF(OFFSET(PLE!$G$14,$M179,BX$13)="",10^12,OFFSET(PLE!$G$14,$M179,BX$13))))</f>
        <v>1000000000000</v>
      </c>
      <c r="BY179" s="216">
        <f ca="1">IF($D179&lt;&gt;"Serviço",0,IF(OR(AND(AUTOEVENTO="Manual",$M179=1),$M179&gt;(ROW(PLE.lastrow)-ROW(PLE.firstrow))),0,IF(OFFSET(PLE!$G$14,$M179,BY$13)="",10^12,OFFSET(PLE!$G$14,$M179,BY$13))))</f>
        <v>1000000000000</v>
      </c>
      <c r="BZ179" s="216">
        <f ca="1">IF($D179&lt;&gt;"Serviço",0,IF(OR(AND(AUTOEVENTO="Manual",$M179=1),$M179&gt;(ROW(PLE.lastrow)-ROW(PLE.firstrow))),0,IF(OFFSET(PLE!$G$14,$M179,BZ$13)="",10^12,OFFSET(PLE!$G$14,$M179,BZ$13))))</f>
        <v>1000000000000</v>
      </c>
      <c r="CA179" s="216">
        <f ca="1">IF($D179&lt;&gt;"Serviço",0,IF(OR(AND(AUTOEVENTO="Manual",$M179=1),$M179&gt;(ROW(PLE.lastrow)-ROW(PLE.firstrow))),0,IF(OFFSET(PLE!$G$14,$M179,CA$13)="",10^12,OFFSET(PLE!$G$14,$M179,CA$13))))</f>
        <v>1000000000000</v>
      </c>
      <c r="CB179" s="216">
        <f ca="1">IF($D179&lt;&gt;"Serviço",0,IF(OR(AND(AUTOEVENTO="Manual",$M179=1),$M179&gt;(ROW(PLE.lastrow)-ROW(PLE.firstrow))),0,IF(OFFSET(PLE!$G$14,$M179,CB$13)="",10^12,OFFSET(PLE!$G$14,$M179,CB$13))))</f>
        <v>1000000000000</v>
      </c>
      <c r="CC179" s="216">
        <f ca="1">IF($D179&lt;&gt;"Serviço",0,IF(OR(AND(AUTOEVENTO="Manual",$M179=1),$M179&gt;(ROW(PLE.lastrow)-ROW(PLE.firstrow))),0,IF(OFFSET(PLE!$G$14,$M179,CC$13)="",10^12,OFFSET(PLE!$G$14,$M179,CC$13))))</f>
        <v>1000000000000</v>
      </c>
      <c r="CD179" s="216">
        <f ca="1">IF($D179&lt;&gt;"Serviço",0,IF(OR(AND(AUTOEVENTO="Manual",$M179=1),$M179&gt;(ROW(PLE.lastrow)-ROW(PLE.firstrow))),0,IF(OFFSET(PLE!$G$14,$M179,CD$13)="",10^12,OFFSET(PLE!$G$14,$M179,CD$13))))</f>
        <v>1000000000000</v>
      </c>
      <c r="CE179" s="216">
        <f ca="1">IF($D179&lt;&gt;"Serviço",0,IF(OR(AND(AUTOEVENTO="Manual",$M179=1),$M179&gt;(ROW(PLE.lastrow)-ROW(PLE.firstrow))),0,IF(OFFSET(PLE!$G$14,$M179,CE$13)="",10^12,OFFSET(PLE!$G$14,$M179,CE$13))))</f>
        <v>1000000000000</v>
      </c>
      <c r="CF179" s="216">
        <f ca="1">IF($D179&lt;&gt;"Serviço",0,IF(OR(AND(AUTOEVENTO="Manual",$M179=1),$M179&gt;(ROW(PLE.lastrow)-ROW(PLE.firstrow))),0,IF(OFFSET(PLE!$G$14,$M179,CF$13)="",10^12,OFFSET(PLE!$G$14,$M179,CF$13))))</f>
        <v>1000000000000</v>
      </c>
      <c r="CG179" s="216">
        <f ca="1">IF($D179&lt;&gt;"Serviço",0,IF(OR(AND(AUTOEVENTO="Manual",$M179=1),$M179&gt;(ROW(PLE.lastrow)-ROW(PLE.firstrow))),0,IF(OFFSET(PLE!$G$14,$M179,CG$13)="",10^12,OFFSET(PLE!$G$14,$M179,CG$13))))</f>
        <v>1000000000000</v>
      </c>
      <c r="CH179" s="216">
        <f ca="1">IF($D179&lt;&gt;"Serviço",0,IF(OR(AND(AUTOEVENTO="Manual",$M179=1),$M179&gt;(ROW(PLE.lastrow)-ROW(PLE.firstrow))),0,IF(OFFSET(PLE!$G$14,$M179,CH$13)="",10^12,OFFSET(PLE!$G$14,$M179,CH$13))))</f>
        <v>1000000000000</v>
      </c>
      <c r="CI179" s="216">
        <f ca="1">IF($D179&lt;&gt;"Serviço",0,IF(OR(AND(AUTOEVENTO="Manual",$M179=1),$M179&gt;(ROW(PLE.lastrow)-ROW(PLE.firstrow))),0,IF(OFFSET(PLE!$G$14,$M179,CI$13)="",10^12,OFFSET(PLE!$G$14,$M179,CI$13))))</f>
        <v>1000000000000</v>
      </c>
      <c r="CJ179" s="216">
        <f ca="1">IF($D179&lt;&gt;"Serviço",0,IF(OR(AND(AUTOEVENTO="Manual",$M179=1),$M179&gt;(ROW(PLE.lastrow)-ROW(PLE.firstrow))),0,IF(OFFSET(PLE!$G$14,$M179,CJ$13)="",10^12,OFFSET(PLE!$G$14,$M179,CJ$13))))</f>
        <v>1000000000000</v>
      </c>
      <c r="CK179" s="216">
        <f ca="1">IF($D179&lt;&gt;"Serviço",0,IF(OR(AND(AUTOEVENTO="Manual",$M179=1),$M179&gt;(ROW(PLE.lastrow)-ROW(PLE.firstrow))),0,IF(OFFSET(PLE!$G$14,$M179,CK$13)="",10^12,OFFSET(PLE!$G$14,$M179,CK$13))))</f>
        <v>1000000000000</v>
      </c>
      <c r="CL179" s="216">
        <f ca="1">IF($D179&lt;&gt;"Serviço",0,IF(OR(AND(AUTOEVENTO="Manual",$M179=1),$M179&gt;(ROW(PLE.lastrow)-ROW(PLE.firstrow))),0,IF(OFFSET(PLE!$G$14,$M179,CL$13)="",10^12,OFFSET(PLE!$G$14,$M179,CL$13))))</f>
        <v>1000000000000</v>
      </c>
      <c r="CM179" s="216">
        <f ca="1">IF($D179&lt;&gt;"Serviço",0,IF(OR(AND(AUTOEVENTO="Manual",$M179=1),$M179&gt;(ROW(PLE.lastrow)-ROW(PLE.firstrow))),0,IF(OFFSET(PLE!$G$14,$M179,CM$13)="",10^12,OFFSET(PLE!$G$14,$M179,CM$13))))</f>
        <v>1000000000000</v>
      </c>
    </row>
    <row r="180" spans="1:91" ht="13.2" x14ac:dyDescent="0.25">
      <c r="A180" s="9">
        <f t="shared" ca="1" si="11"/>
        <v>0</v>
      </c>
      <c r="B180" s="9" t="str">
        <f ca="1">OFFSET(ORÇAMENTO!C$15,ROW(B180)-ROW(B$15),0)</f>
        <v>S</v>
      </c>
      <c r="C180" s="9" t="str">
        <f ca="1">OFFSET(ORÇAMENTO!L$15,ROW(C180)-ROW(C$15),0)</f>
        <v/>
      </c>
      <c r="D180" s="145" t="str">
        <f ca="1">OFFSET(ORÇAMENTO!N$15,ROW(D180)-ROW(D$15),0)</f>
        <v>Serviço</v>
      </c>
      <c r="E180" s="205" t="str">
        <f ca="1">OFFSET(ORÇAMENTO!O$15,ROW(E180)-ROW(E$15),0)</f>
        <v>-</v>
      </c>
      <c r="F180" s="206" t="str">
        <f ca="1">OFFSET(ORÇAMENTO!R$15,ROW(F180)-ROW(F$15),0)</f>
        <v>(abra o arquivo 'Referência 05-2024.xls)</v>
      </c>
      <c r="G180" s="207" t="str">
        <f ca="1">IF($D180&lt;&gt;"Serviço","",OFFSET(ORÇAMENTO!S$15,ROW(G180)-ROW(G$15),0))</f>
        <v>-</v>
      </c>
      <c r="H180" s="151">
        <f ca="1">IF($D180&lt;&gt;"Serviço",0,IF(ACOMPANHAMENTO="BM",ROUND(OFFSET(ORÇAMENTO!AJ$15,ROW(H180)-ROW(H$15),0),15-13*ORÇAMENTO!$AF$7),SUMPRODUCT(($Q$12:$AI$12&lt;&gt;"")*ROUND($Q180:$AI180,15-13*ORÇAMENTO!$AF$7))))</f>
        <v>6.4</v>
      </c>
      <c r="I180" s="650"/>
      <c r="K180" s="208"/>
      <c r="L180" s="209" t="s">
        <v>257</v>
      </c>
      <c r="M180" s="210">
        <f ca="1">IF($D180&lt;&gt;"Serviço","",IF(AUTOEVENTO="manual",$A180,IF(ISERROR(MATCH($A180,$A$15:OFFSET($A180,-1,0),0)),MAX($M$15:OFFSET(M180,-1,0))+1,INDEX($M$15:OFFSET(M180,-1,0),MATCH($A180,$A$15:OFFSET($A180,-1,0),0)))))</f>
        <v>0</v>
      </c>
      <c r="N180" s="211" t="str">
        <f ca="1">IF($D180&lt;&gt;"Serviço","",IF(AUTOEVENTO="Manual",IF($A180=0,"&lt;-- defina o número do agrupador",OFFSET(EVENTOS!$D$14,$A180,0)),OFFSET($F$15,$A180,0)))</f>
        <v>&lt;-- defina o número do agrupador</v>
      </c>
      <c r="O180" s="212"/>
      <c r="Q180" s="212"/>
      <c r="R180" s="213"/>
      <c r="S180" s="213"/>
      <c r="T180" s="213"/>
      <c r="U180" s="213"/>
      <c r="V180" s="213"/>
      <c r="W180" s="213"/>
      <c r="X180" s="213"/>
      <c r="Y180" s="213"/>
      <c r="Z180" s="214"/>
      <c r="AA180" s="213"/>
      <c r="AB180" s="213"/>
      <c r="AC180" s="213"/>
      <c r="AD180" s="213"/>
      <c r="AE180" s="213"/>
      <c r="AF180" s="213"/>
      <c r="AG180" s="213"/>
      <c r="AH180" s="214"/>
      <c r="AJ180" s="631">
        <f ca="1">IF(AND($D180="Serviço",AJ$12&lt;&gt;0,$H180&gt;0,OR(AUTOEVENTO&lt;&gt;"manual",$M180&lt;&gt;1)),ROUND(OFFSET($P180,0,AJ$13),15-13*ORÇAMENTO!$AF$7)/$H180*OFFSET(ORÇAMENTO!$X$15,ROW(AJ180)-ROW(AJ$15),0),0)</f>
        <v>0</v>
      </c>
      <c r="AK180" s="632">
        <f ca="1">IF(AND($D180="Serviço",AK$12&lt;&gt;0,$H180&gt;0,OR(AUTOEVENTO&lt;&gt;"manual",$M180&lt;&gt;1)),ROUND(OFFSET($P180,0,AK$13),15-13*ORÇAMENTO!$AF$7)/$H180*OFFSET(ORÇAMENTO!$X$15,ROW(AK180)-ROW(AK$15),0),0)</f>
        <v>0</v>
      </c>
      <c r="AL180" s="632">
        <f ca="1">IF(AND($D180="Serviço",AL$12&lt;&gt;0,$H180&gt;0,OR(AUTOEVENTO&lt;&gt;"manual",$M180&lt;&gt;1)),ROUND(OFFSET($P180,0,AL$13),15-13*ORÇAMENTO!$AF$7)/$H180*OFFSET(ORÇAMENTO!$X$15,ROW(AL180)-ROW(AL$15),0),0)</f>
        <v>0</v>
      </c>
      <c r="AM180" s="632">
        <f ca="1">IF(AND($D180="Serviço",AM$12&lt;&gt;0,$H180&gt;0,OR(AUTOEVENTO&lt;&gt;"manual",$M180&lt;&gt;1)),ROUND(OFFSET($P180,0,AM$13),15-13*ORÇAMENTO!$AF$7)/$H180*OFFSET(ORÇAMENTO!$X$15,ROW(AM180)-ROW(AM$15),0),0)</f>
        <v>0</v>
      </c>
      <c r="AN180" s="632">
        <f ca="1">IF(AND($D180="Serviço",AN$12&lt;&gt;0,$H180&gt;0,OR(AUTOEVENTO&lt;&gt;"manual",$M180&lt;&gt;1)),ROUND(OFFSET($P180,0,AN$13),15-13*ORÇAMENTO!$AF$7)/$H180*OFFSET(ORÇAMENTO!$X$15,ROW(AN180)-ROW(AN$15),0),0)</f>
        <v>0</v>
      </c>
      <c r="AO180" s="632">
        <f ca="1">IF(AND($D180="Serviço",AO$12&lt;&gt;0,$H180&gt;0,OR(AUTOEVENTO&lt;&gt;"manual",$M180&lt;&gt;1)),ROUND(OFFSET($P180,0,AO$13),15-13*ORÇAMENTO!$AF$7)/$H180*OFFSET(ORÇAMENTO!$X$15,ROW(AO180)-ROW(AO$15),0),0)</f>
        <v>0</v>
      </c>
      <c r="AP180" s="632">
        <f ca="1">IF(AND($D180="Serviço",AP$12&lt;&gt;0,$H180&gt;0,OR(AUTOEVENTO&lt;&gt;"manual",$M180&lt;&gt;1)),ROUND(OFFSET($P180,0,AP$13),15-13*ORÇAMENTO!$AF$7)/$H180*OFFSET(ORÇAMENTO!$X$15,ROW(AP180)-ROW(AP$15),0),0)</f>
        <v>0</v>
      </c>
      <c r="AQ180" s="632">
        <f ca="1">IF(AND($D180="Serviço",AQ$12&lt;&gt;0,$H180&gt;0,OR(AUTOEVENTO&lt;&gt;"manual",$M180&lt;&gt;1)),ROUND(OFFSET($P180,0,AQ$13),15-13*ORÇAMENTO!$AF$7)/$H180*OFFSET(ORÇAMENTO!$X$15,ROW(AQ180)-ROW(AQ$15),0),0)</f>
        <v>0</v>
      </c>
      <c r="AR180" s="632">
        <f ca="1">IF(AND($D180="Serviço",AR$12&lt;&gt;0,$H180&gt;0,OR(AUTOEVENTO&lt;&gt;"manual",$M180&lt;&gt;1)),ROUND(OFFSET($P180,0,AR$13),15-13*ORÇAMENTO!$AF$7)/$H180*OFFSET(ORÇAMENTO!$X$15,ROW(AR180)-ROW(AR$15),0),0)</f>
        <v>0</v>
      </c>
      <c r="AS180" s="633">
        <f ca="1">IF(AND($D180="Serviço",AS$12&lt;&gt;0,$H180&gt;0,OR(AUTOEVENTO&lt;&gt;"manual",$M180&lt;&gt;1)),ROUND(OFFSET($P180,0,AS$13),15-13*ORÇAMENTO!$AF$7)/$H180*OFFSET(ORÇAMENTO!$X$15,ROW(AS180)-ROW(AS$15),0),0)</f>
        <v>0</v>
      </c>
      <c r="AT180" s="632">
        <f ca="1">IF(AND($D180="Serviço",AT$12&lt;&gt;0,$H180&gt;0,OR(AUTOEVENTO&lt;&gt;"manual",$M180&lt;&gt;1)),ROUND(OFFSET($P180,0,AT$13),15-13*ORÇAMENTO!$AF$7)/$H180*OFFSET(ORÇAMENTO!$X$15,ROW(AT180)-ROW(AT$15),0),0)</f>
        <v>0</v>
      </c>
      <c r="AU180" s="632">
        <f ca="1">IF(AND($D180="Serviço",AU$12&lt;&gt;0,$H180&gt;0,OR(AUTOEVENTO&lt;&gt;"manual",$M180&lt;&gt;1)),ROUND(OFFSET($P180,0,AU$13),15-13*ORÇAMENTO!$AF$7)/$H180*OFFSET(ORÇAMENTO!$X$15,ROW(AU180)-ROW(AU$15),0),0)</f>
        <v>0</v>
      </c>
      <c r="AV180" s="632">
        <f ca="1">IF(AND($D180="Serviço",AV$12&lt;&gt;0,$H180&gt;0,OR(AUTOEVENTO&lt;&gt;"manual",$M180&lt;&gt;1)),ROUND(OFFSET($P180,0,AV$13),15-13*ORÇAMENTO!$AF$7)/$H180*OFFSET(ORÇAMENTO!$X$15,ROW(AV180)-ROW(AV$15),0),0)</f>
        <v>0</v>
      </c>
      <c r="AW180" s="632">
        <f ca="1">IF(AND($D180="Serviço",AW$12&lt;&gt;0,$H180&gt;0,OR(AUTOEVENTO&lt;&gt;"manual",$M180&lt;&gt;1)),ROUND(OFFSET($P180,0,AW$13),15-13*ORÇAMENTO!$AF$7)/$H180*OFFSET(ORÇAMENTO!$X$15,ROW(AW180)-ROW(AW$15),0),0)</f>
        <v>0</v>
      </c>
      <c r="AX180" s="632">
        <f ca="1">IF(AND($D180="Serviço",AX$12&lt;&gt;0,$H180&gt;0,OR(AUTOEVENTO&lt;&gt;"manual",$M180&lt;&gt;1)),ROUND(OFFSET($P180,0,AX$13),15-13*ORÇAMENTO!$AF$7)/$H180*OFFSET(ORÇAMENTO!$X$15,ROW(AX180)-ROW(AX$15),0),0)</f>
        <v>0</v>
      </c>
      <c r="AY180" s="632">
        <f ca="1">IF(AND($D180="Serviço",AY$12&lt;&gt;0,$H180&gt;0,OR(AUTOEVENTO&lt;&gt;"manual",$M180&lt;&gt;1)),ROUND(OFFSET($P180,0,AY$13),15-13*ORÇAMENTO!$AF$7)/$H180*OFFSET(ORÇAMENTO!$X$15,ROW(AY180)-ROW(AY$15),0),0)</f>
        <v>0</v>
      </c>
      <c r="AZ180" s="632">
        <f ca="1">IF(AND($D180="Serviço",AZ$12&lt;&gt;0,$H180&gt;0,OR(AUTOEVENTO&lt;&gt;"manual",$M180&lt;&gt;1)),ROUND(OFFSET($P180,0,AZ$13),15-13*ORÇAMENTO!$AF$7)/$H180*OFFSET(ORÇAMENTO!$X$15,ROW(AZ180)-ROW(AZ$15),0),0)</f>
        <v>0</v>
      </c>
      <c r="BA180" s="633">
        <f ca="1">IF(AND($D180="Serviço",BA$12&lt;&gt;0,$H180&gt;0,OR(AUTOEVENTO&lt;&gt;"manual",$M180&lt;&gt;1)),ROUND(OFFSET($P180,0,BA$13),15-13*ORÇAMENTO!$AF$7)/$H180*OFFSET(ORÇAMENTO!$X$15,ROW(BA180)-ROW(BA$15),0),0)</f>
        <v>0</v>
      </c>
      <c r="BC180" s="215">
        <f ca="1">IF($D180&lt;&gt;"Serviço",0,IF(AND(AUTOEVENTO="Manual",$M180=1),0,IF(OFFSET(CRONOPLE!$F$14,$M180,BC$13)="",10^12,OFFSET(CRONOPLE!$F$14,$M180,BC$13))))</f>
        <v>1000000000000</v>
      </c>
      <c r="BD180" s="215">
        <f ca="1">IF($D180&lt;&gt;"Serviço",0,IF(AND(AUTOEVENTO="Manual",$M180=1),0,IF(OFFSET(CRONOPLE!$F$14,$M180,BD$13)="",10^12,OFFSET(CRONOPLE!$F$14,$M180,BD$13))))</f>
        <v>1000000000000</v>
      </c>
      <c r="BE180" s="215">
        <f ca="1">IF($D180&lt;&gt;"Serviço",0,IF(AND(AUTOEVENTO="Manual",$M180=1),0,IF(OFFSET(CRONOPLE!$F$14,$M180,BE$13)="",10^12,OFFSET(CRONOPLE!$F$14,$M180,BE$13))))</f>
        <v>1000000000000</v>
      </c>
      <c r="BF180" s="215">
        <f ca="1">IF($D180&lt;&gt;"Serviço",0,IF(AND(AUTOEVENTO="Manual",$M180=1),0,IF(OFFSET(CRONOPLE!$F$14,$M180,BF$13)="",10^12,OFFSET(CRONOPLE!$F$14,$M180,BF$13))))</f>
        <v>1000000000000</v>
      </c>
      <c r="BG180" s="215">
        <f ca="1">IF($D180&lt;&gt;"Serviço",0,IF(AND(AUTOEVENTO="Manual",$M180=1),0,IF(OFFSET(CRONOPLE!$F$14,$M180,BG$13)="",10^12,OFFSET(CRONOPLE!$F$14,$M180,BG$13))))</f>
        <v>1000000000000</v>
      </c>
      <c r="BH180" s="215">
        <f ca="1">IF($D180&lt;&gt;"Serviço",0,IF(AND(AUTOEVENTO="Manual",$M180=1),0,IF(OFFSET(CRONOPLE!$F$14,$M180,BH$13)="",10^12,OFFSET(CRONOPLE!$F$14,$M180,BH$13))))</f>
        <v>1000000000000</v>
      </c>
      <c r="BI180" s="215">
        <f ca="1">IF($D180&lt;&gt;"Serviço",0,IF(AND(AUTOEVENTO="Manual",$M180=1),0,IF(OFFSET(CRONOPLE!$F$14,$M180,BI$13)="",10^12,OFFSET(CRONOPLE!$F$14,$M180,BI$13))))</f>
        <v>1000000000000</v>
      </c>
      <c r="BJ180" s="215">
        <f ca="1">IF($D180&lt;&gt;"Serviço",0,IF(AND(AUTOEVENTO="Manual",$M180=1),0,IF(OFFSET(CRONOPLE!$F$14,$M180,BJ$13)="",10^12,OFFSET(CRONOPLE!$F$14,$M180,BJ$13))))</f>
        <v>1000000000000</v>
      </c>
      <c r="BK180" s="215">
        <f ca="1">IF($D180&lt;&gt;"Serviço",0,IF(AND(AUTOEVENTO="Manual",$M180=1),0,IF(OFFSET(CRONOPLE!$F$14,$M180,BK$13)="",10^12,OFFSET(CRONOPLE!$F$14,$M180,BK$13))))</f>
        <v>1000000000000</v>
      </c>
      <c r="BL180" s="215">
        <f ca="1">IF($D180&lt;&gt;"Serviço",0,IF(AND(AUTOEVENTO="Manual",$M180=1),0,IF(OFFSET(CRONOPLE!$F$14,$M180,BL$13)="",10^12,OFFSET(CRONOPLE!$F$14,$M180,BL$13))))</f>
        <v>1000000000000</v>
      </c>
      <c r="BM180" s="215">
        <f ca="1">IF($D180&lt;&gt;"Serviço",0,IF(AND(AUTOEVENTO="Manual",$M180=1),0,IF(OFFSET(CRONOPLE!$F$14,$M180,BM$13)="",10^12,OFFSET(CRONOPLE!$F$14,$M180,BM$13))))</f>
        <v>1000000000000</v>
      </c>
      <c r="BN180" s="215">
        <f ca="1">IF($D180&lt;&gt;"Serviço",0,IF(AND(AUTOEVENTO="Manual",$M180=1),0,IF(OFFSET(CRONOPLE!$F$14,$M180,BN$13)="",10^12,OFFSET(CRONOPLE!$F$14,$M180,BN$13))))</f>
        <v>1000000000000</v>
      </c>
      <c r="BO180" s="215">
        <f ca="1">IF($D180&lt;&gt;"Serviço",0,IF(AND(AUTOEVENTO="Manual",$M180=1),0,IF(OFFSET(CRONOPLE!$F$14,$M180,BO$13)="",10^12,OFFSET(CRONOPLE!$F$14,$M180,BO$13))))</f>
        <v>1000000000000</v>
      </c>
      <c r="BP180" s="215">
        <f ca="1">IF($D180&lt;&gt;"Serviço",0,IF(AND(AUTOEVENTO="Manual",$M180=1),0,IF(OFFSET(CRONOPLE!$F$14,$M180,BP$13)="",10^12,OFFSET(CRONOPLE!$F$14,$M180,BP$13))))</f>
        <v>1000000000000</v>
      </c>
      <c r="BQ180" s="215">
        <f ca="1">IF($D180&lt;&gt;"Serviço",0,IF(AND(AUTOEVENTO="Manual",$M180=1),0,IF(OFFSET(CRONOPLE!$F$14,$M180,BQ$13)="",10^12,OFFSET(CRONOPLE!$F$14,$M180,BQ$13))))</f>
        <v>1000000000000</v>
      </c>
      <c r="BR180" s="215">
        <f ca="1">IF($D180&lt;&gt;"Serviço",0,IF(AND(AUTOEVENTO="Manual",$M180=1),0,IF(OFFSET(CRONOPLE!$F$14,$M180,BR$13)="",10^12,OFFSET(CRONOPLE!$F$14,$M180,BR$13))))</f>
        <v>1000000000000</v>
      </c>
      <c r="BS180" s="215">
        <f ca="1">IF($D180&lt;&gt;"Serviço",0,IF(AND(AUTOEVENTO="Manual",$M180=1),0,IF(OFFSET(CRONOPLE!$F$14,$M180,BS$13)="",10^12,OFFSET(CRONOPLE!$F$14,$M180,BS$13))))</f>
        <v>1000000000000</v>
      </c>
      <c r="BT180" s="215">
        <f ca="1">IF($D180&lt;&gt;"Serviço",0,IF(AND(AUTOEVENTO="Manual",$M180=1),0,IF(OFFSET(CRONOPLE!$F$14,$M180,BT$13)="",10^12,OFFSET(CRONOPLE!$F$14,$M180,BT$13))))</f>
        <v>1000000000000</v>
      </c>
      <c r="BV180" s="216">
        <f ca="1">IF($D180&lt;&gt;"Serviço",0,IF(OR(AND(AUTOEVENTO="Manual",$M180=1),$M180&gt;(ROW(PLE.lastrow)-ROW(PLE.firstrow))),0,IF(OFFSET(PLE!$G$14,$M180,BV$13)="",10^12,OFFSET(PLE!$G$14,$M180,BV$13))))</f>
        <v>1000000000000</v>
      </c>
      <c r="BW180" s="216">
        <f ca="1">IF($D180&lt;&gt;"Serviço",0,IF(OR(AND(AUTOEVENTO="Manual",$M180=1),$M180&gt;(ROW(PLE.lastrow)-ROW(PLE.firstrow))),0,IF(OFFSET(PLE!$G$14,$M180,BW$13)="",10^12,OFFSET(PLE!$G$14,$M180,BW$13))))</f>
        <v>1000000000000</v>
      </c>
      <c r="BX180" s="216">
        <f ca="1">IF($D180&lt;&gt;"Serviço",0,IF(OR(AND(AUTOEVENTO="Manual",$M180=1),$M180&gt;(ROW(PLE.lastrow)-ROW(PLE.firstrow))),0,IF(OFFSET(PLE!$G$14,$M180,BX$13)="",10^12,OFFSET(PLE!$G$14,$M180,BX$13))))</f>
        <v>1000000000000</v>
      </c>
      <c r="BY180" s="216">
        <f ca="1">IF($D180&lt;&gt;"Serviço",0,IF(OR(AND(AUTOEVENTO="Manual",$M180=1),$M180&gt;(ROW(PLE.lastrow)-ROW(PLE.firstrow))),0,IF(OFFSET(PLE!$G$14,$M180,BY$13)="",10^12,OFFSET(PLE!$G$14,$M180,BY$13))))</f>
        <v>1000000000000</v>
      </c>
      <c r="BZ180" s="216">
        <f ca="1">IF($D180&lt;&gt;"Serviço",0,IF(OR(AND(AUTOEVENTO="Manual",$M180=1),$M180&gt;(ROW(PLE.lastrow)-ROW(PLE.firstrow))),0,IF(OFFSET(PLE!$G$14,$M180,BZ$13)="",10^12,OFFSET(PLE!$G$14,$M180,BZ$13))))</f>
        <v>1000000000000</v>
      </c>
      <c r="CA180" s="216">
        <f ca="1">IF($D180&lt;&gt;"Serviço",0,IF(OR(AND(AUTOEVENTO="Manual",$M180=1),$M180&gt;(ROW(PLE.lastrow)-ROW(PLE.firstrow))),0,IF(OFFSET(PLE!$G$14,$M180,CA$13)="",10^12,OFFSET(PLE!$G$14,$M180,CA$13))))</f>
        <v>1000000000000</v>
      </c>
      <c r="CB180" s="216">
        <f ca="1">IF($D180&lt;&gt;"Serviço",0,IF(OR(AND(AUTOEVENTO="Manual",$M180=1),$M180&gt;(ROW(PLE.lastrow)-ROW(PLE.firstrow))),0,IF(OFFSET(PLE!$G$14,$M180,CB$13)="",10^12,OFFSET(PLE!$G$14,$M180,CB$13))))</f>
        <v>1000000000000</v>
      </c>
      <c r="CC180" s="216">
        <f ca="1">IF($D180&lt;&gt;"Serviço",0,IF(OR(AND(AUTOEVENTO="Manual",$M180=1),$M180&gt;(ROW(PLE.lastrow)-ROW(PLE.firstrow))),0,IF(OFFSET(PLE!$G$14,$M180,CC$13)="",10^12,OFFSET(PLE!$G$14,$M180,CC$13))))</f>
        <v>1000000000000</v>
      </c>
      <c r="CD180" s="216">
        <f ca="1">IF($D180&lt;&gt;"Serviço",0,IF(OR(AND(AUTOEVENTO="Manual",$M180=1),$M180&gt;(ROW(PLE.lastrow)-ROW(PLE.firstrow))),0,IF(OFFSET(PLE!$G$14,$M180,CD$13)="",10^12,OFFSET(PLE!$G$14,$M180,CD$13))))</f>
        <v>1000000000000</v>
      </c>
      <c r="CE180" s="216">
        <f ca="1">IF($D180&lt;&gt;"Serviço",0,IF(OR(AND(AUTOEVENTO="Manual",$M180=1),$M180&gt;(ROW(PLE.lastrow)-ROW(PLE.firstrow))),0,IF(OFFSET(PLE!$G$14,$M180,CE$13)="",10^12,OFFSET(PLE!$G$14,$M180,CE$13))))</f>
        <v>1000000000000</v>
      </c>
      <c r="CF180" s="216">
        <f ca="1">IF($D180&lt;&gt;"Serviço",0,IF(OR(AND(AUTOEVENTO="Manual",$M180=1),$M180&gt;(ROW(PLE.lastrow)-ROW(PLE.firstrow))),0,IF(OFFSET(PLE!$G$14,$M180,CF$13)="",10^12,OFFSET(PLE!$G$14,$M180,CF$13))))</f>
        <v>1000000000000</v>
      </c>
      <c r="CG180" s="216">
        <f ca="1">IF($D180&lt;&gt;"Serviço",0,IF(OR(AND(AUTOEVENTO="Manual",$M180=1),$M180&gt;(ROW(PLE.lastrow)-ROW(PLE.firstrow))),0,IF(OFFSET(PLE!$G$14,$M180,CG$13)="",10^12,OFFSET(PLE!$G$14,$M180,CG$13))))</f>
        <v>1000000000000</v>
      </c>
      <c r="CH180" s="216">
        <f ca="1">IF($D180&lt;&gt;"Serviço",0,IF(OR(AND(AUTOEVENTO="Manual",$M180=1),$M180&gt;(ROW(PLE.lastrow)-ROW(PLE.firstrow))),0,IF(OFFSET(PLE!$G$14,$M180,CH$13)="",10^12,OFFSET(PLE!$G$14,$M180,CH$13))))</f>
        <v>1000000000000</v>
      </c>
      <c r="CI180" s="216">
        <f ca="1">IF($D180&lt;&gt;"Serviço",0,IF(OR(AND(AUTOEVENTO="Manual",$M180=1),$M180&gt;(ROW(PLE.lastrow)-ROW(PLE.firstrow))),0,IF(OFFSET(PLE!$G$14,$M180,CI$13)="",10^12,OFFSET(PLE!$G$14,$M180,CI$13))))</f>
        <v>1000000000000</v>
      </c>
      <c r="CJ180" s="216">
        <f ca="1">IF($D180&lt;&gt;"Serviço",0,IF(OR(AND(AUTOEVENTO="Manual",$M180=1),$M180&gt;(ROW(PLE.lastrow)-ROW(PLE.firstrow))),0,IF(OFFSET(PLE!$G$14,$M180,CJ$13)="",10^12,OFFSET(PLE!$G$14,$M180,CJ$13))))</f>
        <v>1000000000000</v>
      </c>
      <c r="CK180" s="216">
        <f ca="1">IF($D180&lt;&gt;"Serviço",0,IF(OR(AND(AUTOEVENTO="Manual",$M180=1),$M180&gt;(ROW(PLE.lastrow)-ROW(PLE.firstrow))),0,IF(OFFSET(PLE!$G$14,$M180,CK$13)="",10^12,OFFSET(PLE!$G$14,$M180,CK$13))))</f>
        <v>1000000000000</v>
      </c>
      <c r="CL180" s="216">
        <f ca="1">IF($D180&lt;&gt;"Serviço",0,IF(OR(AND(AUTOEVENTO="Manual",$M180=1),$M180&gt;(ROW(PLE.lastrow)-ROW(PLE.firstrow))),0,IF(OFFSET(PLE!$G$14,$M180,CL$13)="",10^12,OFFSET(PLE!$G$14,$M180,CL$13))))</f>
        <v>1000000000000</v>
      </c>
      <c r="CM180" s="216">
        <f ca="1">IF($D180&lt;&gt;"Serviço",0,IF(OR(AND(AUTOEVENTO="Manual",$M180=1),$M180&gt;(ROW(PLE.lastrow)-ROW(PLE.firstrow))),0,IF(OFFSET(PLE!$G$14,$M180,CM$13)="",10^12,OFFSET(PLE!$G$14,$M180,CM$13))))</f>
        <v>1000000000000</v>
      </c>
    </row>
    <row r="181" spans="1:91" ht="13.2" x14ac:dyDescent="0.25">
      <c r="A181" s="9">
        <f t="shared" ca="1" si="11"/>
        <v>0</v>
      </c>
      <c r="B181" s="9">
        <f ca="1">OFFSET(ORÇAMENTO!C$15,ROW(B181)-ROW(B$15),0)</f>
        <v>3</v>
      </c>
      <c r="C181" s="9" t="str">
        <f ca="1">OFFSET(ORÇAMENTO!L$15,ROW(C181)-ROW(C$15),0)</f>
        <v>F</v>
      </c>
      <c r="D181" s="145" t="str">
        <f ca="1">OFFSET(ORÇAMENTO!N$15,ROW(D181)-ROW(D$15),0)</f>
        <v>Nível 3</v>
      </c>
      <c r="E181" s="205" t="str">
        <f ca="1">OFFSET(ORÇAMENTO!O$15,ROW(E181)-ROW(E$15),0)</f>
        <v>1.6.3.</v>
      </c>
      <c r="F181" s="206" t="str">
        <f ca="1">OFFSET(ORÇAMENTO!R$15,ROW(F181)-ROW(F$15),0)</f>
        <v>PORTAS EM ALUMÍNIO</v>
      </c>
      <c r="G181" s="207" t="str">
        <f ca="1">IF($D181&lt;&gt;"Serviço","",OFFSET(ORÇAMENTO!S$15,ROW(G181)-ROW(G$15),0))</f>
        <v/>
      </c>
      <c r="H181" s="151">
        <f ca="1">IF($D181&lt;&gt;"Serviço",0,IF(ACOMPANHAMENTO="BM",ROUND(OFFSET(ORÇAMENTO!AJ$15,ROW(H181)-ROW(H$15),0),15-13*ORÇAMENTO!$AF$7),SUMPRODUCT(($Q$12:$AI$12&lt;&gt;"")*ROUND($Q181:$AI181,15-13*ORÇAMENTO!$AF$7))))</f>
        <v>0</v>
      </c>
      <c r="I181" s="650"/>
      <c r="K181" s="208"/>
      <c r="L181" s="209" t="s">
        <v>257</v>
      </c>
      <c r="M181" s="210" t="str">
        <f ca="1">IF($D181&lt;&gt;"Serviço","",IF(AUTOEVENTO="manual",$A181,IF(ISERROR(MATCH($A181,$A$15:OFFSET($A181,-1,0),0)),MAX($M$15:OFFSET(M181,-1,0))+1,INDEX($M$15:OFFSET(M181,-1,0),MATCH($A181,$A$15:OFFSET($A181,-1,0),0)))))</f>
        <v/>
      </c>
      <c r="N181" s="211" t="str">
        <f ca="1">IF($D181&lt;&gt;"Serviço","",IF(AUTOEVENTO="Manual",IF($A181=0,"&lt;-- defina o número do agrupador",OFFSET(EVENTOS!$D$14,$A181,0)),OFFSET($F$15,$A181,0)))</f>
        <v/>
      </c>
      <c r="O181" s="212"/>
      <c r="Q181" s="212"/>
      <c r="R181" s="213"/>
      <c r="S181" s="213"/>
      <c r="T181" s="213"/>
      <c r="U181" s="213"/>
      <c r="V181" s="213"/>
      <c r="W181" s="213"/>
      <c r="X181" s="213"/>
      <c r="Y181" s="213"/>
      <c r="Z181" s="214"/>
      <c r="AA181" s="213"/>
      <c r="AB181" s="213"/>
      <c r="AC181" s="213"/>
      <c r="AD181" s="213"/>
      <c r="AE181" s="213"/>
      <c r="AF181" s="213"/>
      <c r="AG181" s="213"/>
      <c r="AH181" s="214"/>
      <c r="AJ181" s="631">
        <f ca="1">IF(AND($D181="Serviço",AJ$12&lt;&gt;0,$H181&gt;0,OR(AUTOEVENTO&lt;&gt;"manual",$M181&lt;&gt;1)),ROUND(OFFSET($P181,0,AJ$13),15-13*ORÇAMENTO!$AF$7)/$H181*OFFSET(ORÇAMENTO!$X$15,ROW(AJ181)-ROW(AJ$15),0),0)</f>
        <v>0</v>
      </c>
      <c r="AK181" s="632">
        <f ca="1">IF(AND($D181="Serviço",AK$12&lt;&gt;0,$H181&gt;0,OR(AUTOEVENTO&lt;&gt;"manual",$M181&lt;&gt;1)),ROUND(OFFSET($P181,0,AK$13),15-13*ORÇAMENTO!$AF$7)/$H181*OFFSET(ORÇAMENTO!$X$15,ROW(AK181)-ROW(AK$15),0),0)</f>
        <v>0</v>
      </c>
      <c r="AL181" s="632">
        <f ca="1">IF(AND($D181="Serviço",AL$12&lt;&gt;0,$H181&gt;0,OR(AUTOEVENTO&lt;&gt;"manual",$M181&lt;&gt;1)),ROUND(OFFSET($P181,0,AL$13),15-13*ORÇAMENTO!$AF$7)/$H181*OFFSET(ORÇAMENTO!$X$15,ROW(AL181)-ROW(AL$15),0),0)</f>
        <v>0</v>
      </c>
      <c r="AM181" s="632">
        <f ca="1">IF(AND($D181="Serviço",AM$12&lt;&gt;0,$H181&gt;0,OR(AUTOEVENTO&lt;&gt;"manual",$M181&lt;&gt;1)),ROUND(OFFSET($P181,0,AM$13),15-13*ORÇAMENTO!$AF$7)/$H181*OFFSET(ORÇAMENTO!$X$15,ROW(AM181)-ROW(AM$15),0),0)</f>
        <v>0</v>
      </c>
      <c r="AN181" s="632">
        <f ca="1">IF(AND($D181="Serviço",AN$12&lt;&gt;0,$H181&gt;0,OR(AUTOEVENTO&lt;&gt;"manual",$M181&lt;&gt;1)),ROUND(OFFSET($P181,0,AN$13),15-13*ORÇAMENTO!$AF$7)/$H181*OFFSET(ORÇAMENTO!$X$15,ROW(AN181)-ROW(AN$15),0),0)</f>
        <v>0</v>
      </c>
      <c r="AO181" s="632">
        <f ca="1">IF(AND($D181="Serviço",AO$12&lt;&gt;0,$H181&gt;0,OR(AUTOEVENTO&lt;&gt;"manual",$M181&lt;&gt;1)),ROUND(OFFSET($P181,0,AO$13),15-13*ORÇAMENTO!$AF$7)/$H181*OFFSET(ORÇAMENTO!$X$15,ROW(AO181)-ROW(AO$15),0),0)</f>
        <v>0</v>
      </c>
      <c r="AP181" s="632">
        <f ca="1">IF(AND($D181="Serviço",AP$12&lt;&gt;0,$H181&gt;0,OR(AUTOEVENTO&lt;&gt;"manual",$M181&lt;&gt;1)),ROUND(OFFSET($P181,0,AP$13),15-13*ORÇAMENTO!$AF$7)/$H181*OFFSET(ORÇAMENTO!$X$15,ROW(AP181)-ROW(AP$15),0),0)</f>
        <v>0</v>
      </c>
      <c r="AQ181" s="632">
        <f ca="1">IF(AND($D181="Serviço",AQ$12&lt;&gt;0,$H181&gt;0,OR(AUTOEVENTO&lt;&gt;"manual",$M181&lt;&gt;1)),ROUND(OFFSET($P181,0,AQ$13),15-13*ORÇAMENTO!$AF$7)/$H181*OFFSET(ORÇAMENTO!$X$15,ROW(AQ181)-ROW(AQ$15),0),0)</f>
        <v>0</v>
      </c>
      <c r="AR181" s="632">
        <f ca="1">IF(AND($D181="Serviço",AR$12&lt;&gt;0,$H181&gt;0,OR(AUTOEVENTO&lt;&gt;"manual",$M181&lt;&gt;1)),ROUND(OFFSET($P181,0,AR$13),15-13*ORÇAMENTO!$AF$7)/$H181*OFFSET(ORÇAMENTO!$X$15,ROW(AR181)-ROW(AR$15),0),0)</f>
        <v>0</v>
      </c>
      <c r="AS181" s="633">
        <f ca="1">IF(AND($D181="Serviço",AS$12&lt;&gt;0,$H181&gt;0,OR(AUTOEVENTO&lt;&gt;"manual",$M181&lt;&gt;1)),ROUND(OFFSET($P181,0,AS$13),15-13*ORÇAMENTO!$AF$7)/$H181*OFFSET(ORÇAMENTO!$X$15,ROW(AS181)-ROW(AS$15),0),0)</f>
        <v>0</v>
      </c>
      <c r="AT181" s="632">
        <f ca="1">IF(AND($D181="Serviço",AT$12&lt;&gt;0,$H181&gt;0,OR(AUTOEVENTO&lt;&gt;"manual",$M181&lt;&gt;1)),ROUND(OFFSET($P181,0,AT$13),15-13*ORÇAMENTO!$AF$7)/$H181*OFFSET(ORÇAMENTO!$X$15,ROW(AT181)-ROW(AT$15),0),0)</f>
        <v>0</v>
      </c>
      <c r="AU181" s="632">
        <f ca="1">IF(AND($D181="Serviço",AU$12&lt;&gt;0,$H181&gt;0,OR(AUTOEVENTO&lt;&gt;"manual",$M181&lt;&gt;1)),ROUND(OFFSET($P181,0,AU$13),15-13*ORÇAMENTO!$AF$7)/$H181*OFFSET(ORÇAMENTO!$X$15,ROW(AU181)-ROW(AU$15),0),0)</f>
        <v>0</v>
      </c>
      <c r="AV181" s="632">
        <f ca="1">IF(AND($D181="Serviço",AV$12&lt;&gt;0,$H181&gt;0,OR(AUTOEVENTO&lt;&gt;"manual",$M181&lt;&gt;1)),ROUND(OFFSET($P181,0,AV$13),15-13*ORÇAMENTO!$AF$7)/$H181*OFFSET(ORÇAMENTO!$X$15,ROW(AV181)-ROW(AV$15),0),0)</f>
        <v>0</v>
      </c>
      <c r="AW181" s="632">
        <f ca="1">IF(AND($D181="Serviço",AW$12&lt;&gt;0,$H181&gt;0,OR(AUTOEVENTO&lt;&gt;"manual",$M181&lt;&gt;1)),ROUND(OFFSET($P181,0,AW$13),15-13*ORÇAMENTO!$AF$7)/$H181*OFFSET(ORÇAMENTO!$X$15,ROW(AW181)-ROW(AW$15),0),0)</f>
        <v>0</v>
      </c>
      <c r="AX181" s="632">
        <f ca="1">IF(AND($D181="Serviço",AX$12&lt;&gt;0,$H181&gt;0,OR(AUTOEVENTO&lt;&gt;"manual",$M181&lt;&gt;1)),ROUND(OFFSET($P181,0,AX$13),15-13*ORÇAMENTO!$AF$7)/$H181*OFFSET(ORÇAMENTO!$X$15,ROW(AX181)-ROW(AX$15),0),0)</f>
        <v>0</v>
      </c>
      <c r="AY181" s="632">
        <f ca="1">IF(AND($D181="Serviço",AY$12&lt;&gt;0,$H181&gt;0,OR(AUTOEVENTO&lt;&gt;"manual",$M181&lt;&gt;1)),ROUND(OFFSET($P181,0,AY$13),15-13*ORÇAMENTO!$AF$7)/$H181*OFFSET(ORÇAMENTO!$X$15,ROW(AY181)-ROW(AY$15),0),0)</f>
        <v>0</v>
      </c>
      <c r="AZ181" s="632">
        <f ca="1">IF(AND($D181="Serviço",AZ$12&lt;&gt;0,$H181&gt;0,OR(AUTOEVENTO&lt;&gt;"manual",$M181&lt;&gt;1)),ROUND(OFFSET($P181,0,AZ$13),15-13*ORÇAMENTO!$AF$7)/$H181*OFFSET(ORÇAMENTO!$X$15,ROW(AZ181)-ROW(AZ$15),0),0)</f>
        <v>0</v>
      </c>
      <c r="BA181" s="633">
        <f ca="1">IF(AND($D181="Serviço",BA$12&lt;&gt;0,$H181&gt;0,OR(AUTOEVENTO&lt;&gt;"manual",$M181&lt;&gt;1)),ROUND(OFFSET($P181,0,BA$13),15-13*ORÇAMENTO!$AF$7)/$H181*OFFSET(ORÇAMENTO!$X$15,ROW(BA181)-ROW(BA$15),0),0)</f>
        <v>0</v>
      </c>
      <c r="BC181" s="215">
        <f ca="1">IF($D181&lt;&gt;"Serviço",0,IF(AND(AUTOEVENTO="Manual",$M181=1),0,IF(OFFSET(CRONOPLE!$F$14,$M181,BC$13)="",10^12,OFFSET(CRONOPLE!$F$14,$M181,BC$13))))</f>
        <v>0</v>
      </c>
      <c r="BD181" s="215">
        <f ca="1">IF($D181&lt;&gt;"Serviço",0,IF(AND(AUTOEVENTO="Manual",$M181=1),0,IF(OFFSET(CRONOPLE!$F$14,$M181,BD$13)="",10^12,OFFSET(CRONOPLE!$F$14,$M181,BD$13))))</f>
        <v>0</v>
      </c>
      <c r="BE181" s="215">
        <f ca="1">IF($D181&lt;&gt;"Serviço",0,IF(AND(AUTOEVENTO="Manual",$M181=1),0,IF(OFFSET(CRONOPLE!$F$14,$M181,BE$13)="",10^12,OFFSET(CRONOPLE!$F$14,$M181,BE$13))))</f>
        <v>0</v>
      </c>
      <c r="BF181" s="215">
        <f ca="1">IF($D181&lt;&gt;"Serviço",0,IF(AND(AUTOEVENTO="Manual",$M181=1),0,IF(OFFSET(CRONOPLE!$F$14,$M181,BF$13)="",10^12,OFFSET(CRONOPLE!$F$14,$M181,BF$13))))</f>
        <v>0</v>
      </c>
      <c r="BG181" s="215">
        <f ca="1">IF($D181&lt;&gt;"Serviço",0,IF(AND(AUTOEVENTO="Manual",$M181=1),0,IF(OFFSET(CRONOPLE!$F$14,$M181,BG$13)="",10^12,OFFSET(CRONOPLE!$F$14,$M181,BG$13))))</f>
        <v>0</v>
      </c>
      <c r="BH181" s="215">
        <f ca="1">IF($D181&lt;&gt;"Serviço",0,IF(AND(AUTOEVENTO="Manual",$M181=1),0,IF(OFFSET(CRONOPLE!$F$14,$M181,BH$13)="",10^12,OFFSET(CRONOPLE!$F$14,$M181,BH$13))))</f>
        <v>0</v>
      </c>
      <c r="BI181" s="215">
        <f ca="1">IF($D181&lt;&gt;"Serviço",0,IF(AND(AUTOEVENTO="Manual",$M181=1),0,IF(OFFSET(CRONOPLE!$F$14,$M181,BI$13)="",10^12,OFFSET(CRONOPLE!$F$14,$M181,BI$13))))</f>
        <v>0</v>
      </c>
      <c r="BJ181" s="215">
        <f ca="1">IF($D181&lt;&gt;"Serviço",0,IF(AND(AUTOEVENTO="Manual",$M181=1),0,IF(OFFSET(CRONOPLE!$F$14,$M181,BJ$13)="",10^12,OFFSET(CRONOPLE!$F$14,$M181,BJ$13))))</f>
        <v>0</v>
      </c>
      <c r="BK181" s="215">
        <f ca="1">IF($D181&lt;&gt;"Serviço",0,IF(AND(AUTOEVENTO="Manual",$M181=1),0,IF(OFFSET(CRONOPLE!$F$14,$M181,BK$13)="",10^12,OFFSET(CRONOPLE!$F$14,$M181,BK$13))))</f>
        <v>0</v>
      </c>
      <c r="BL181" s="215">
        <f ca="1">IF($D181&lt;&gt;"Serviço",0,IF(AND(AUTOEVENTO="Manual",$M181=1),0,IF(OFFSET(CRONOPLE!$F$14,$M181,BL$13)="",10^12,OFFSET(CRONOPLE!$F$14,$M181,BL$13))))</f>
        <v>0</v>
      </c>
      <c r="BM181" s="215">
        <f ca="1">IF($D181&lt;&gt;"Serviço",0,IF(AND(AUTOEVENTO="Manual",$M181=1),0,IF(OFFSET(CRONOPLE!$F$14,$M181,BM$13)="",10^12,OFFSET(CRONOPLE!$F$14,$M181,BM$13))))</f>
        <v>0</v>
      </c>
      <c r="BN181" s="215">
        <f ca="1">IF($D181&lt;&gt;"Serviço",0,IF(AND(AUTOEVENTO="Manual",$M181=1),0,IF(OFFSET(CRONOPLE!$F$14,$M181,BN$13)="",10^12,OFFSET(CRONOPLE!$F$14,$M181,BN$13))))</f>
        <v>0</v>
      </c>
      <c r="BO181" s="215">
        <f ca="1">IF($D181&lt;&gt;"Serviço",0,IF(AND(AUTOEVENTO="Manual",$M181=1),0,IF(OFFSET(CRONOPLE!$F$14,$M181,BO$13)="",10^12,OFFSET(CRONOPLE!$F$14,$M181,BO$13))))</f>
        <v>0</v>
      </c>
      <c r="BP181" s="215">
        <f ca="1">IF($D181&lt;&gt;"Serviço",0,IF(AND(AUTOEVENTO="Manual",$M181=1),0,IF(OFFSET(CRONOPLE!$F$14,$M181,BP$13)="",10^12,OFFSET(CRONOPLE!$F$14,$M181,BP$13))))</f>
        <v>0</v>
      </c>
      <c r="BQ181" s="215">
        <f ca="1">IF($D181&lt;&gt;"Serviço",0,IF(AND(AUTOEVENTO="Manual",$M181=1),0,IF(OFFSET(CRONOPLE!$F$14,$M181,BQ$13)="",10^12,OFFSET(CRONOPLE!$F$14,$M181,BQ$13))))</f>
        <v>0</v>
      </c>
      <c r="BR181" s="215">
        <f ca="1">IF($D181&lt;&gt;"Serviço",0,IF(AND(AUTOEVENTO="Manual",$M181=1),0,IF(OFFSET(CRONOPLE!$F$14,$M181,BR$13)="",10^12,OFFSET(CRONOPLE!$F$14,$M181,BR$13))))</f>
        <v>0</v>
      </c>
      <c r="BS181" s="215">
        <f ca="1">IF($D181&lt;&gt;"Serviço",0,IF(AND(AUTOEVENTO="Manual",$M181=1),0,IF(OFFSET(CRONOPLE!$F$14,$M181,BS$13)="",10^12,OFFSET(CRONOPLE!$F$14,$M181,BS$13))))</f>
        <v>0</v>
      </c>
      <c r="BT181" s="215">
        <f ca="1">IF($D181&lt;&gt;"Serviço",0,IF(AND(AUTOEVENTO="Manual",$M181=1),0,IF(OFFSET(CRONOPLE!$F$14,$M181,BT$13)="",10^12,OFFSET(CRONOPLE!$F$14,$M181,BT$13))))</f>
        <v>0</v>
      </c>
      <c r="BV181" s="216">
        <f ca="1">IF($D181&lt;&gt;"Serviço",0,IF(OR(AND(AUTOEVENTO="Manual",$M181=1),$M181&gt;(ROW(PLE.lastrow)-ROW(PLE.firstrow))),0,IF(OFFSET(PLE!$G$14,$M181,BV$13)="",10^12,OFFSET(PLE!$G$14,$M181,BV$13))))</f>
        <v>0</v>
      </c>
      <c r="BW181" s="216">
        <f ca="1">IF($D181&lt;&gt;"Serviço",0,IF(OR(AND(AUTOEVENTO="Manual",$M181=1),$M181&gt;(ROW(PLE.lastrow)-ROW(PLE.firstrow))),0,IF(OFFSET(PLE!$G$14,$M181,BW$13)="",10^12,OFFSET(PLE!$G$14,$M181,BW$13))))</f>
        <v>0</v>
      </c>
      <c r="BX181" s="216">
        <f ca="1">IF($D181&lt;&gt;"Serviço",0,IF(OR(AND(AUTOEVENTO="Manual",$M181=1),$M181&gt;(ROW(PLE.lastrow)-ROW(PLE.firstrow))),0,IF(OFFSET(PLE!$G$14,$M181,BX$13)="",10^12,OFFSET(PLE!$G$14,$M181,BX$13))))</f>
        <v>0</v>
      </c>
      <c r="BY181" s="216">
        <f ca="1">IF($D181&lt;&gt;"Serviço",0,IF(OR(AND(AUTOEVENTO="Manual",$M181=1),$M181&gt;(ROW(PLE.lastrow)-ROW(PLE.firstrow))),0,IF(OFFSET(PLE!$G$14,$M181,BY$13)="",10^12,OFFSET(PLE!$G$14,$M181,BY$13))))</f>
        <v>0</v>
      </c>
      <c r="BZ181" s="216">
        <f ca="1">IF($D181&lt;&gt;"Serviço",0,IF(OR(AND(AUTOEVENTO="Manual",$M181=1),$M181&gt;(ROW(PLE.lastrow)-ROW(PLE.firstrow))),0,IF(OFFSET(PLE!$G$14,$M181,BZ$13)="",10^12,OFFSET(PLE!$G$14,$M181,BZ$13))))</f>
        <v>0</v>
      </c>
      <c r="CA181" s="216">
        <f ca="1">IF($D181&lt;&gt;"Serviço",0,IF(OR(AND(AUTOEVENTO="Manual",$M181=1),$M181&gt;(ROW(PLE.lastrow)-ROW(PLE.firstrow))),0,IF(OFFSET(PLE!$G$14,$M181,CA$13)="",10^12,OFFSET(PLE!$G$14,$M181,CA$13))))</f>
        <v>0</v>
      </c>
      <c r="CB181" s="216">
        <f ca="1">IF($D181&lt;&gt;"Serviço",0,IF(OR(AND(AUTOEVENTO="Manual",$M181=1),$M181&gt;(ROW(PLE.lastrow)-ROW(PLE.firstrow))),0,IF(OFFSET(PLE!$G$14,$M181,CB$13)="",10^12,OFFSET(PLE!$G$14,$M181,CB$13))))</f>
        <v>0</v>
      </c>
      <c r="CC181" s="216">
        <f ca="1">IF($D181&lt;&gt;"Serviço",0,IF(OR(AND(AUTOEVENTO="Manual",$M181=1),$M181&gt;(ROW(PLE.lastrow)-ROW(PLE.firstrow))),0,IF(OFFSET(PLE!$G$14,$M181,CC$13)="",10^12,OFFSET(PLE!$G$14,$M181,CC$13))))</f>
        <v>0</v>
      </c>
      <c r="CD181" s="216">
        <f ca="1">IF($D181&lt;&gt;"Serviço",0,IF(OR(AND(AUTOEVENTO="Manual",$M181=1),$M181&gt;(ROW(PLE.lastrow)-ROW(PLE.firstrow))),0,IF(OFFSET(PLE!$G$14,$M181,CD$13)="",10^12,OFFSET(PLE!$G$14,$M181,CD$13))))</f>
        <v>0</v>
      </c>
      <c r="CE181" s="216">
        <f ca="1">IF($D181&lt;&gt;"Serviço",0,IF(OR(AND(AUTOEVENTO="Manual",$M181=1),$M181&gt;(ROW(PLE.lastrow)-ROW(PLE.firstrow))),0,IF(OFFSET(PLE!$G$14,$M181,CE$13)="",10^12,OFFSET(PLE!$G$14,$M181,CE$13))))</f>
        <v>0</v>
      </c>
      <c r="CF181" s="216">
        <f ca="1">IF($D181&lt;&gt;"Serviço",0,IF(OR(AND(AUTOEVENTO="Manual",$M181=1),$M181&gt;(ROW(PLE.lastrow)-ROW(PLE.firstrow))),0,IF(OFFSET(PLE!$G$14,$M181,CF$13)="",10^12,OFFSET(PLE!$G$14,$M181,CF$13))))</f>
        <v>0</v>
      </c>
      <c r="CG181" s="216">
        <f ca="1">IF($D181&lt;&gt;"Serviço",0,IF(OR(AND(AUTOEVENTO="Manual",$M181=1),$M181&gt;(ROW(PLE.lastrow)-ROW(PLE.firstrow))),0,IF(OFFSET(PLE!$G$14,$M181,CG$13)="",10^12,OFFSET(PLE!$G$14,$M181,CG$13))))</f>
        <v>0</v>
      </c>
      <c r="CH181" s="216">
        <f ca="1">IF($D181&lt;&gt;"Serviço",0,IF(OR(AND(AUTOEVENTO="Manual",$M181=1),$M181&gt;(ROW(PLE.lastrow)-ROW(PLE.firstrow))),0,IF(OFFSET(PLE!$G$14,$M181,CH$13)="",10^12,OFFSET(PLE!$G$14,$M181,CH$13))))</f>
        <v>0</v>
      </c>
      <c r="CI181" s="216">
        <f ca="1">IF($D181&lt;&gt;"Serviço",0,IF(OR(AND(AUTOEVENTO="Manual",$M181=1),$M181&gt;(ROW(PLE.lastrow)-ROW(PLE.firstrow))),0,IF(OFFSET(PLE!$G$14,$M181,CI$13)="",10^12,OFFSET(PLE!$G$14,$M181,CI$13))))</f>
        <v>0</v>
      </c>
      <c r="CJ181" s="216">
        <f ca="1">IF($D181&lt;&gt;"Serviço",0,IF(OR(AND(AUTOEVENTO="Manual",$M181=1),$M181&gt;(ROW(PLE.lastrow)-ROW(PLE.firstrow))),0,IF(OFFSET(PLE!$G$14,$M181,CJ$13)="",10^12,OFFSET(PLE!$G$14,$M181,CJ$13))))</f>
        <v>0</v>
      </c>
      <c r="CK181" s="216">
        <f ca="1">IF($D181&lt;&gt;"Serviço",0,IF(OR(AND(AUTOEVENTO="Manual",$M181=1),$M181&gt;(ROW(PLE.lastrow)-ROW(PLE.firstrow))),0,IF(OFFSET(PLE!$G$14,$M181,CK$13)="",10^12,OFFSET(PLE!$G$14,$M181,CK$13))))</f>
        <v>0</v>
      </c>
      <c r="CL181" s="216">
        <f ca="1">IF($D181&lt;&gt;"Serviço",0,IF(OR(AND(AUTOEVENTO="Manual",$M181=1),$M181&gt;(ROW(PLE.lastrow)-ROW(PLE.firstrow))),0,IF(OFFSET(PLE!$G$14,$M181,CL$13)="",10^12,OFFSET(PLE!$G$14,$M181,CL$13))))</f>
        <v>0</v>
      </c>
      <c r="CM181" s="216">
        <f ca="1">IF($D181&lt;&gt;"Serviço",0,IF(OR(AND(AUTOEVENTO="Manual",$M181=1),$M181&gt;(ROW(PLE.lastrow)-ROW(PLE.firstrow))),0,IF(OFFSET(PLE!$G$14,$M181,CM$13)="",10^12,OFFSET(PLE!$G$14,$M181,CM$13))))</f>
        <v>0</v>
      </c>
    </row>
    <row r="182" spans="1:91" ht="13.2" x14ac:dyDescent="0.25">
      <c r="A182" s="9">
        <f t="shared" ca="1" si="11"/>
        <v>0</v>
      </c>
      <c r="B182" s="9" t="str">
        <f ca="1">OFFSET(ORÇAMENTO!C$15,ROW(B182)-ROW(B$15),0)</f>
        <v>S</v>
      </c>
      <c r="C182" s="9" t="str">
        <f ca="1">OFFSET(ORÇAMENTO!L$15,ROW(C182)-ROW(C$15),0)</f>
        <v/>
      </c>
      <c r="D182" s="145" t="str">
        <f ca="1">OFFSET(ORÇAMENTO!N$15,ROW(D182)-ROW(D$15),0)</f>
        <v>Serviço</v>
      </c>
      <c r="E182" s="205" t="str">
        <f ca="1">OFFSET(ORÇAMENTO!O$15,ROW(E182)-ROW(E$15),0)</f>
        <v>-</v>
      </c>
      <c r="F182" s="206" t="str">
        <f ca="1">OFFSET(ORÇAMENTO!R$15,ROW(F182)-ROW(F$15),0)</f>
        <v>(abra o arquivo 'Referência 05-2024.xls)</v>
      </c>
      <c r="G182" s="207" t="str">
        <f ca="1">IF($D182&lt;&gt;"Serviço","",OFFSET(ORÇAMENTO!S$15,ROW(G182)-ROW(G$15),0))</f>
        <v>-</v>
      </c>
      <c r="H182" s="151">
        <f ca="1">IF($D182&lt;&gt;"Serviço",0,IF(ACOMPANHAMENTO="BM",ROUND(OFFSET(ORÇAMENTO!AJ$15,ROW(H182)-ROW(H$15),0),15-13*ORÇAMENTO!$AF$7),SUMPRODUCT(($Q$12:$AI$12&lt;&gt;"")*ROUND($Q182:$AI182,15-13*ORÇAMENTO!$AF$7))))</f>
        <v>2</v>
      </c>
      <c r="I182" s="650"/>
      <c r="K182" s="208"/>
      <c r="L182" s="209" t="s">
        <v>257</v>
      </c>
      <c r="M182" s="210">
        <f ca="1">IF($D182&lt;&gt;"Serviço","",IF(AUTOEVENTO="manual",$A182,IF(ISERROR(MATCH($A182,$A$15:OFFSET($A182,-1,0),0)),MAX($M$15:OFFSET(M182,-1,0))+1,INDEX($M$15:OFFSET(M182,-1,0),MATCH($A182,$A$15:OFFSET($A182,-1,0),0)))))</f>
        <v>0</v>
      </c>
      <c r="N182" s="211" t="str">
        <f ca="1">IF($D182&lt;&gt;"Serviço","",IF(AUTOEVENTO="Manual",IF($A182=0,"&lt;-- defina o número do agrupador",OFFSET(EVENTOS!$D$14,$A182,0)),OFFSET($F$15,$A182,0)))</f>
        <v>&lt;-- defina o número do agrupador</v>
      </c>
      <c r="O182" s="212"/>
      <c r="Q182" s="212"/>
      <c r="R182" s="213"/>
      <c r="S182" s="213"/>
      <c r="T182" s="213"/>
      <c r="U182" s="213"/>
      <c r="V182" s="213"/>
      <c r="W182" s="213"/>
      <c r="X182" s="213"/>
      <c r="Y182" s="213"/>
      <c r="Z182" s="214"/>
      <c r="AA182" s="213"/>
      <c r="AB182" s="213"/>
      <c r="AC182" s="213"/>
      <c r="AD182" s="213"/>
      <c r="AE182" s="213"/>
      <c r="AF182" s="213"/>
      <c r="AG182" s="213"/>
      <c r="AH182" s="214"/>
      <c r="AJ182" s="631">
        <f ca="1">IF(AND($D182="Serviço",AJ$12&lt;&gt;0,$H182&gt;0,OR(AUTOEVENTO&lt;&gt;"manual",$M182&lt;&gt;1)),ROUND(OFFSET($P182,0,AJ$13),15-13*ORÇAMENTO!$AF$7)/$H182*OFFSET(ORÇAMENTO!$X$15,ROW(AJ182)-ROW(AJ$15),0),0)</f>
        <v>0</v>
      </c>
      <c r="AK182" s="632">
        <f ca="1">IF(AND($D182="Serviço",AK$12&lt;&gt;0,$H182&gt;0,OR(AUTOEVENTO&lt;&gt;"manual",$M182&lt;&gt;1)),ROUND(OFFSET($P182,0,AK$13),15-13*ORÇAMENTO!$AF$7)/$H182*OFFSET(ORÇAMENTO!$X$15,ROW(AK182)-ROW(AK$15),0),0)</f>
        <v>0</v>
      </c>
      <c r="AL182" s="632">
        <f ca="1">IF(AND($D182="Serviço",AL$12&lt;&gt;0,$H182&gt;0,OR(AUTOEVENTO&lt;&gt;"manual",$M182&lt;&gt;1)),ROUND(OFFSET($P182,0,AL$13),15-13*ORÇAMENTO!$AF$7)/$H182*OFFSET(ORÇAMENTO!$X$15,ROW(AL182)-ROW(AL$15),0),0)</f>
        <v>0</v>
      </c>
      <c r="AM182" s="632">
        <f ca="1">IF(AND($D182="Serviço",AM$12&lt;&gt;0,$H182&gt;0,OR(AUTOEVENTO&lt;&gt;"manual",$M182&lt;&gt;1)),ROUND(OFFSET($P182,0,AM$13),15-13*ORÇAMENTO!$AF$7)/$H182*OFFSET(ORÇAMENTO!$X$15,ROW(AM182)-ROW(AM$15),0),0)</f>
        <v>0</v>
      </c>
      <c r="AN182" s="632">
        <f ca="1">IF(AND($D182="Serviço",AN$12&lt;&gt;0,$H182&gt;0,OR(AUTOEVENTO&lt;&gt;"manual",$M182&lt;&gt;1)),ROUND(OFFSET($P182,0,AN$13),15-13*ORÇAMENTO!$AF$7)/$H182*OFFSET(ORÇAMENTO!$X$15,ROW(AN182)-ROW(AN$15),0),0)</f>
        <v>0</v>
      </c>
      <c r="AO182" s="632">
        <f ca="1">IF(AND($D182="Serviço",AO$12&lt;&gt;0,$H182&gt;0,OR(AUTOEVENTO&lt;&gt;"manual",$M182&lt;&gt;1)),ROUND(OFFSET($P182,0,AO$13),15-13*ORÇAMENTO!$AF$7)/$H182*OFFSET(ORÇAMENTO!$X$15,ROW(AO182)-ROW(AO$15),0),0)</f>
        <v>0</v>
      </c>
      <c r="AP182" s="632">
        <f ca="1">IF(AND($D182="Serviço",AP$12&lt;&gt;0,$H182&gt;0,OR(AUTOEVENTO&lt;&gt;"manual",$M182&lt;&gt;1)),ROUND(OFFSET($P182,0,AP$13),15-13*ORÇAMENTO!$AF$7)/$H182*OFFSET(ORÇAMENTO!$X$15,ROW(AP182)-ROW(AP$15),0),0)</f>
        <v>0</v>
      </c>
      <c r="AQ182" s="632">
        <f ca="1">IF(AND($D182="Serviço",AQ$12&lt;&gt;0,$H182&gt;0,OR(AUTOEVENTO&lt;&gt;"manual",$M182&lt;&gt;1)),ROUND(OFFSET($P182,0,AQ$13),15-13*ORÇAMENTO!$AF$7)/$H182*OFFSET(ORÇAMENTO!$X$15,ROW(AQ182)-ROW(AQ$15),0),0)</f>
        <v>0</v>
      </c>
      <c r="AR182" s="632">
        <f ca="1">IF(AND($D182="Serviço",AR$12&lt;&gt;0,$H182&gt;0,OR(AUTOEVENTO&lt;&gt;"manual",$M182&lt;&gt;1)),ROUND(OFFSET($P182,0,AR$13),15-13*ORÇAMENTO!$AF$7)/$H182*OFFSET(ORÇAMENTO!$X$15,ROW(AR182)-ROW(AR$15),0),0)</f>
        <v>0</v>
      </c>
      <c r="AS182" s="633">
        <f ca="1">IF(AND($D182="Serviço",AS$12&lt;&gt;0,$H182&gt;0,OR(AUTOEVENTO&lt;&gt;"manual",$M182&lt;&gt;1)),ROUND(OFFSET($P182,0,AS$13),15-13*ORÇAMENTO!$AF$7)/$H182*OFFSET(ORÇAMENTO!$X$15,ROW(AS182)-ROW(AS$15),0),0)</f>
        <v>0</v>
      </c>
      <c r="AT182" s="632">
        <f ca="1">IF(AND($D182="Serviço",AT$12&lt;&gt;0,$H182&gt;0,OR(AUTOEVENTO&lt;&gt;"manual",$M182&lt;&gt;1)),ROUND(OFFSET($P182,0,AT$13),15-13*ORÇAMENTO!$AF$7)/$H182*OFFSET(ORÇAMENTO!$X$15,ROW(AT182)-ROW(AT$15),0),0)</f>
        <v>0</v>
      </c>
      <c r="AU182" s="632">
        <f ca="1">IF(AND($D182="Serviço",AU$12&lt;&gt;0,$H182&gt;0,OR(AUTOEVENTO&lt;&gt;"manual",$M182&lt;&gt;1)),ROUND(OFFSET($P182,0,AU$13),15-13*ORÇAMENTO!$AF$7)/$H182*OFFSET(ORÇAMENTO!$X$15,ROW(AU182)-ROW(AU$15),0),0)</f>
        <v>0</v>
      </c>
      <c r="AV182" s="632">
        <f ca="1">IF(AND($D182="Serviço",AV$12&lt;&gt;0,$H182&gt;0,OR(AUTOEVENTO&lt;&gt;"manual",$M182&lt;&gt;1)),ROUND(OFFSET($P182,0,AV$13),15-13*ORÇAMENTO!$AF$7)/$H182*OFFSET(ORÇAMENTO!$X$15,ROW(AV182)-ROW(AV$15),0),0)</f>
        <v>0</v>
      </c>
      <c r="AW182" s="632">
        <f ca="1">IF(AND($D182="Serviço",AW$12&lt;&gt;0,$H182&gt;0,OR(AUTOEVENTO&lt;&gt;"manual",$M182&lt;&gt;1)),ROUND(OFFSET($P182,0,AW$13),15-13*ORÇAMENTO!$AF$7)/$H182*OFFSET(ORÇAMENTO!$X$15,ROW(AW182)-ROW(AW$15),0),0)</f>
        <v>0</v>
      </c>
      <c r="AX182" s="632">
        <f ca="1">IF(AND($D182="Serviço",AX$12&lt;&gt;0,$H182&gt;0,OR(AUTOEVENTO&lt;&gt;"manual",$M182&lt;&gt;1)),ROUND(OFFSET($P182,0,AX$13),15-13*ORÇAMENTO!$AF$7)/$H182*OFFSET(ORÇAMENTO!$X$15,ROW(AX182)-ROW(AX$15),0),0)</f>
        <v>0</v>
      </c>
      <c r="AY182" s="632">
        <f ca="1">IF(AND($D182="Serviço",AY$12&lt;&gt;0,$H182&gt;0,OR(AUTOEVENTO&lt;&gt;"manual",$M182&lt;&gt;1)),ROUND(OFFSET($P182,0,AY$13),15-13*ORÇAMENTO!$AF$7)/$H182*OFFSET(ORÇAMENTO!$X$15,ROW(AY182)-ROW(AY$15),0),0)</f>
        <v>0</v>
      </c>
      <c r="AZ182" s="632">
        <f ca="1">IF(AND($D182="Serviço",AZ$12&lt;&gt;0,$H182&gt;0,OR(AUTOEVENTO&lt;&gt;"manual",$M182&lt;&gt;1)),ROUND(OFFSET($P182,0,AZ$13),15-13*ORÇAMENTO!$AF$7)/$H182*OFFSET(ORÇAMENTO!$X$15,ROW(AZ182)-ROW(AZ$15),0),0)</f>
        <v>0</v>
      </c>
      <c r="BA182" s="633">
        <f ca="1">IF(AND($D182="Serviço",BA$12&lt;&gt;0,$H182&gt;0,OR(AUTOEVENTO&lt;&gt;"manual",$M182&lt;&gt;1)),ROUND(OFFSET($P182,0,BA$13),15-13*ORÇAMENTO!$AF$7)/$H182*OFFSET(ORÇAMENTO!$X$15,ROW(BA182)-ROW(BA$15),0),0)</f>
        <v>0</v>
      </c>
      <c r="BC182" s="215">
        <f ca="1">IF($D182&lt;&gt;"Serviço",0,IF(AND(AUTOEVENTO="Manual",$M182=1),0,IF(OFFSET(CRONOPLE!$F$14,$M182,BC$13)="",10^12,OFFSET(CRONOPLE!$F$14,$M182,BC$13))))</f>
        <v>1000000000000</v>
      </c>
      <c r="BD182" s="215">
        <f ca="1">IF($D182&lt;&gt;"Serviço",0,IF(AND(AUTOEVENTO="Manual",$M182=1),0,IF(OFFSET(CRONOPLE!$F$14,$M182,BD$13)="",10^12,OFFSET(CRONOPLE!$F$14,$M182,BD$13))))</f>
        <v>1000000000000</v>
      </c>
      <c r="BE182" s="215">
        <f ca="1">IF($D182&lt;&gt;"Serviço",0,IF(AND(AUTOEVENTO="Manual",$M182=1),0,IF(OFFSET(CRONOPLE!$F$14,$M182,BE$13)="",10^12,OFFSET(CRONOPLE!$F$14,$M182,BE$13))))</f>
        <v>1000000000000</v>
      </c>
      <c r="BF182" s="215">
        <f ca="1">IF($D182&lt;&gt;"Serviço",0,IF(AND(AUTOEVENTO="Manual",$M182=1),0,IF(OFFSET(CRONOPLE!$F$14,$M182,BF$13)="",10^12,OFFSET(CRONOPLE!$F$14,$M182,BF$13))))</f>
        <v>1000000000000</v>
      </c>
      <c r="BG182" s="215">
        <f ca="1">IF($D182&lt;&gt;"Serviço",0,IF(AND(AUTOEVENTO="Manual",$M182=1),0,IF(OFFSET(CRONOPLE!$F$14,$M182,BG$13)="",10^12,OFFSET(CRONOPLE!$F$14,$M182,BG$13))))</f>
        <v>1000000000000</v>
      </c>
      <c r="BH182" s="215">
        <f ca="1">IF($D182&lt;&gt;"Serviço",0,IF(AND(AUTOEVENTO="Manual",$M182=1),0,IF(OFFSET(CRONOPLE!$F$14,$M182,BH$13)="",10^12,OFFSET(CRONOPLE!$F$14,$M182,BH$13))))</f>
        <v>1000000000000</v>
      </c>
      <c r="BI182" s="215">
        <f ca="1">IF($D182&lt;&gt;"Serviço",0,IF(AND(AUTOEVENTO="Manual",$M182=1),0,IF(OFFSET(CRONOPLE!$F$14,$M182,BI$13)="",10^12,OFFSET(CRONOPLE!$F$14,$M182,BI$13))))</f>
        <v>1000000000000</v>
      </c>
      <c r="BJ182" s="215">
        <f ca="1">IF($D182&lt;&gt;"Serviço",0,IF(AND(AUTOEVENTO="Manual",$M182=1),0,IF(OFFSET(CRONOPLE!$F$14,$M182,BJ$13)="",10^12,OFFSET(CRONOPLE!$F$14,$M182,BJ$13))))</f>
        <v>1000000000000</v>
      </c>
      <c r="BK182" s="215">
        <f ca="1">IF($D182&lt;&gt;"Serviço",0,IF(AND(AUTOEVENTO="Manual",$M182=1),0,IF(OFFSET(CRONOPLE!$F$14,$M182,BK$13)="",10^12,OFFSET(CRONOPLE!$F$14,$M182,BK$13))))</f>
        <v>1000000000000</v>
      </c>
      <c r="BL182" s="215">
        <f ca="1">IF($D182&lt;&gt;"Serviço",0,IF(AND(AUTOEVENTO="Manual",$M182=1),0,IF(OFFSET(CRONOPLE!$F$14,$M182,BL$13)="",10^12,OFFSET(CRONOPLE!$F$14,$M182,BL$13))))</f>
        <v>1000000000000</v>
      </c>
      <c r="BM182" s="215">
        <f ca="1">IF($D182&lt;&gt;"Serviço",0,IF(AND(AUTOEVENTO="Manual",$M182=1),0,IF(OFFSET(CRONOPLE!$F$14,$M182,BM$13)="",10^12,OFFSET(CRONOPLE!$F$14,$M182,BM$13))))</f>
        <v>1000000000000</v>
      </c>
      <c r="BN182" s="215">
        <f ca="1">IF($D182&lt;&gt;"Serviço",0,IF(AND(AUTOEVENTO="Manual",$M182=1),0,IF(OFFSET(CRONOPLE!$F$14,$M182,BN$13)="",10^12,OFFSET(CRONOPLE!$F$14,$M182,BN$13))))</f>
        <v>1000000000000</v>
      </c>
      <c r="BO182" s="215">
        <f ca="1">IF($D182&lt;&gt;"Serviço",0,IF(AND(AUTOEVENTO="Manual",$M182=1),0,IF(OFFSET(CRONOPLE!$F$14,$M182,BO$13)="",10^12,OFFSET(CRONOPLE!$F$14,$M182,BO$13))))</f>
        <v>1000000000000</v>
      </c>
      <c r="BP182" s="215">
        <f ca="1">IF($D182&lt;&gt;"Serviço",0,IF(AND(AUTOEVENTO="Manual",$M182=1),0,IF(OFFSET(CRONOPLE!$F$14,$M182,BP$13)="",10^12,OFFSET(CRONOPLE!$F$14,$M182,BP$13))))</f>
        <v>1000000000000</v>
      </c>
      <c r="BQ182" s="215">
        <f ca="1">IF($D182&lt;&gt;"Serviço",0,IF(AND(AUTOEVENTO="Manual",$M182=1),0,IF(OFFSET(CRONOPLE!$F$14,$M182,BQ$13)="",10^12,OFFSET(CRONOPLE!$F$14,$M182,BQ$13))))</f>
        <v>1000000000000</v>
      </c>
      <c r="BR182" s="215">
        <f ca="1">IF($D182&lt;&gt;"Serviço",0,IF(AND(AUTOEVENTO="Manual",$M182=1),0,IF(OFFSET(CRONOPLE!$F$14,$M182,BR$13)="",10^12,OFFSET(CRONOPLE!$F$14,$M182,BR$13))))</f>
        <v>1000000000000</v>
      </c>
      <c r="BS182" s="215">
        <f ca="1">IF($D182&lt;&gt;"Serviço",0,IF(AND(AUTOEVENTO="Manual",$M182=1),0,IF(OFFSET(CRONOPLE!$F$14,$M182,BS$13)="",10^12,OFFSET(CRONOPLE!$F$14,$M182,BS$13))))</f>
        <v>1000000000000</v>
      </c>
      <c r="BT182" s="215">
        <f ca="1">IF($D182&lt;&gt;"Serviço",0,IF(AND(AUTOEVENTO="Manual",$M182=1),0,IF(OFFSET(CRONOPLE!$F$14,$M182,BT$13)="",10^12,OFFSET(CRONOPLE!$F$14,$M182,BT$13))))</f>
        <v>1000000000000</v>
      </c>
      <c r="BV182" s="216">
        <f ca="1">IF($D182&lt;&gt;"Serviço",0,IF(OR(AND(AUTOEVENTO="Manual",$M182=1),$M182&gt;(ROW(PLE.lastrow)-ROW(PLE.firstrow))),0,IF(OFFSET(PLE!$G$14,$M182,BV$13)="",10^12,OFFSET(PLE!$G$14,$M182,BV$13))))</f>
        <v>1000000000000</v>
      </c>
      <c r="BW182" s="216">
        <f ca="1">IF($D182&lt;&gt;"Serviço",0,IF(OR(AND(AUTOEVENTO="Manual",$M182=1),$M182&gt;(ROW(PLE.lastrow)-ROW(PLE.firstrow))),0,IF(OFFSET(PLE!$G$14,$M182,BW$13)="",10^12,OFFSET(PLE!$G$14,$M182,BW$13))))</f>
        <v>1000000000000</v>
      </c>
      <c r="BX182" s="216">
        <f ca="1">IF($D182&lt;&gt;"Serviço",0,IF(OR(AND(AUTOEVENTO="Manual",$M182=1),$M182&gt;(ROW(PLE.lastrow)-ROW(PLE.firstrow))),0,IF(OFFSET(PLE!$G$14,$M182,BX$13)="",10^12,OFFSET(PLE!$G$14,$M182,BX$13))))</f>
        <v>1000000000000</v>
      </c>
      <c r="BY182" s="216">
        <f ca="1">IF($D182&lt;&gt;"Serviço",0,IF(OR(AND(AUTOEVENTO="Manual",$M182=1),$M182&gt;(ROW(PLE.lastrow)-ROW(PLE.firstrow))),0,IF(OFFSET(PLE!$G$14,$M182,BY$13)="",10^12,OFFSET(PLE!$G$14,$M182,BY$13))))</f>
        <v>1000000000000</v>
      </c>
      <c r="BZ182" s="216">
        <f ca="1">IF($D182&lt;&gt;"Serviço",0,IF(OR(AND(AUTOEVENTO="Manual",$M182=1),$M182&gt;(ROW(PLE.lastrow)-ROW(PLE.firstrow))),0,IF(OFFSET(PLE!$G$14,$M182,BZ$13)="",10^12,OFFSET(PLE!$G$14,$M182,BZ$13))))</f>
        <v>1000000000000</v>
      </c>
      <c r="CA182" s="216">
        <f ca="1">IF($D182&lt;&gt;"Serviço",0,IF(OR(AND(AUTOEVENTO="Manual",$M182=1),$M182&gt;(ROW(PLE.lastrow)-ROW(PLE.firstrow))),0,IF(OFFSET(PLE!$G$14,$M182,CA$13)="",10^12,OFFSET(PLE!$G$14,$M182,CA$13))))</f>
        <v>1000000000000</v>
      </c>
      <c r="CB182" s="216">
        <f ca="1">IF($D182&lt;&gt;"Serviço",0,IF(OR(AND(AUTOEVENTO="Manual",$M182=1),$M182&gt;(ROW(PLE.lastrow)-ROW(PLE.firstrow))),0,IF(OFFSET(PLE!$G$14,$M182,CB$13)="",10^12,OFFSET(PLE!$G$14,$M182,CB$13))))</f>
        <v>1000000000000</v>
      </c>
      <c r="CC182" s="216">
        <f ca="1">IF($D182&lt;&gt;"Serviço",0,IF(OR(AND(AUTOEVENTO="Manual",$M182=1),$M182&gt;(ROW(PLE.lastrow)-ROW(PLE.firstrow))),0,IF(OFFSET(PLE!$G$14,$M182,CC$13)="",10^12,OFFSET(PLE!$G$14,$M182,CC$13))))</f>
        <v>1000000000000</v>
      </c>
      <c r="CD182" s="216">
        <f ca="1">IF($D182&lt;&gt;"Serviço",0,IF(OR(AND(AUTOEVENTO="Manual",$M182=1),$M182&gt;(ROW(PLE.lastrow)-ROW(PLE.firstrow))),0,IF(OFFSET(PLE!$G$14,$M182,CD$13)="",10^12,OFFSET(PLE!$G$14,$M182,CD$13))))</f>
        <v>1000000000000</v>
      </c>
      <c r="CE182" s="216">
        <f ca="1">IF($D182&lt;&gt;"Serviço",0,IF(OR(AND(AUTOEVENTO="Manual",$M182=1),$M182&gt;(ROW(PLE.lastrow)-ROW(PLE.firstrow))),0,IF(OFFSET(PLE!$G$14,$M182,CE$13)="",10^12,OFFSET(PLE!$G$14,$M182,CE$13))))</f>
        <v>1000000000000</v>
      </c>
      <c r="CF182" s="216">
        <f ca="1">IF($D182&lt;&gt;"Serviço",0,IF(OR(AND(AUTOEVENTO="Manual",$M182=1),$M182&gt;(ROW(PLE.lastrow)-ROW(PLE.firstrow))),0,IF(OFFSET(PLE!$G$14,$M182,CF$13)="",10^12,OFFSET(PLE!$G$14,$M182,CF$13))))</f>
        <v>1000000000000</v>
      </c>
      <c r="CG182" s="216">
        <f ca="1">IF($D182&lt;&gt;"Serviço",0,IF(OR(AND(AUTOEVENTO="Manual",$M182=1),$M182&gt;(ROW(PLE.lastrow)-ROW(PLE.firstrow))),0,IF(OFFSET(PLE!$G$14,$M182,CG$13)="",10^12,OFFSET(PLE!$G$14,$M182,CG$13))))</f>
        <v>1000000000000</v>
      </c>
      <c r="CH182" s="216">
        <f ca="1">IF($D182&lt;&gt;"Serviço",0,IF(OR(AND(AUTOEVENTO="Manual",$M182=1),$M182&gt;(ROW(PLE.lastrow)-ROW(PLE.firstrow))),0,IF(OFFSET(PLE!$G$14,$M182,CH$13)="",10^12,OFFSET(PLE!$G$14,$M182,CH$13))))</f>
        <v>1000000000000</v>
      </c>
      <c r="CI182" s="216">
        <f ca="1">IF($D182&lt;&gt;"Serviço",0,IF(OR(AND(AUTOEVENTO="Manual",$M182=1),$M182&gt;(ROW(PLE.lastrow)-ROW(PLE.firstrow))),0,IF(OFFSET(PLE!$G$14,$M182,CI$13)="",10^12,OFFSET(PLE!$G$14,$M182,CI$13))))</f>
        <v>1000000000000</v>
      </c>
      <c r="CJ182" s="216">
        <f ca="1">IF($D182&lt;&gt;"Serviço",0,IF(OR(AND(AUTOEVENTO="Manual",$M182=1),$M182&gt;(ROW(PLE.lastrow)-ROW(PLE.firstrow))),0,IF(OFFSET(PLE!$G$14,$M182,CJ$13)="",10^12,OFFSET(PLE!$G$14,$M182,CJ$13))))</f>
        <v>1000000000000</v>
      </c>
      <c r="CK182" s="216">
        <f ca="1">IF($D182&lt;&gt;"Serviço",0,IF(OR(AND(AUTOEVENTO="Manual",$M182=1),$M182&gt;(ROW(PLE.lastrow)-ROW(PLE.firstrow))),0,IF(OFFSET(PLE!$G$14,$M182,CK$13)="",10^12,OFFSET(PLE!$G$14,$M182,CK$13))))</f>
        <v>1000000000000</v>
      </c>
      <c r="CL182" s="216">
        <f ca="1">IF($D182&lt;&gt;"Serviço",0,IF(OR(AND(AUTOEVENTO="Manual",$M182=1),$M182&gt;(ROW(PLE.lastrow)-ROW(PLE.firstrow))),0,IF(OFFSET(PLE!$G$14,$M182,CL$13)="",10^12,OFFSET(PLE!$G$14,$M182,CL$13))))</f>
        <v>1000000000000</v>
      </c>
      <c r="CM182" s="216">
        <f ca="1">IF($D182&lt;&gt;"Serviço",0,IF(OR(AND(AUTOEVENTO="Manual",$M182=1),$M182&gt;(ROW(PLE.lastrow)-ROW(PLE.firstrow))),0,IF(OFFSET(PLE!$G$14,$M182,CM$13)="",10^12,OFFSET(PLE!$G$14,$M182,CM$13))))</f>
        <v>1000000000000</v>
      </c>
    </row>
    <row r="183" spans="1:91" ht="13.2" x14ac:dyDescent="0.25">
      <c r="A183" s="9">
        <f t="shared" ca="1" si="11"/>
        <v>0</v>
      </c>
      <c r="B183" s="9" t="str">
        <f ca="1">OFFSET(ORÇAMENTO!C$15,ROW(B183)-ROW(B$15),0)</f>
        <v>S</v>
      </c>
      <c r="C183" s="9" t="str">
        <f ca="1">OFFSET(ORÇAMENTO!L$15,ROW(C183)-ROW(C$15),0)</f>
        <v/>
      </c>
      <c r="D183" s="145" t="str">
        <f ca="1">OFFSET(ORÇAMENTO!N$15,ROW(D183)-ROW(D$15),0)</f>
        <v>Serviço</v>
      </c>
      <c r="E183" s="205" t="str">
        <f ca="1">OFFSET(ORÇAMENTO!O$15,ROW(E183)-ROW(E$15),0)</f>
        <v>-</v>
      </c>
      <c r="F183" s="206" t="str">
        <f ca="1">OFFSET(ORÇAMENTO!R$15,ROW(F183)-ROW(F$15),0)</f>
        <v>(abra o arquivo 'Referência 05-2024.xls)</v>
      </c>
      <c r="G183" s="207" t="str">
        <f ca="1">IF($D183&lt;&gt;"Serviço","",OFFSET(ORÇAMENTO!S$15,ROW(G183)-ROW(G$15),0))</f>
        <v>-</v>
      </c>
      <c r="H183" s="151">
        <f ca="1">IF($D183&lt;&gt;"Serviço",0,IF(ACOMPANHAMENTO="BM",ROUND(OFFSET(ORÇAMENTO!AJ$15,ROW(H183)-ROW(H$15),0),15-13*ORÇAMENTO!$AF$7),SUMPRODUCT(($Q$12:$AI$12&lt;&gt;"")*ROUND($Q183:$AI183,15-13*ORÇAMENTO!$AF$7))))</f>
        <v>2</v>
      </c>
      <c r="I183" s="650"/>
      <c r="K183" s="208"/>
      <c r="L183" s="209" t="s">
        <v>257</v>
      </c>
      <c r="M183" s="210">
        <f ca="1">IF($D183&lt;&gt;"Serviço","",IF(AUTOEVENTO="manual",$A183,IF(ISERROR(MATCH($A183,$A$15:OFFSET($A183,-1,0),0)),MAX($M$15:OFFSET(M183,-1,0))+1,INDEX($M$15:OFFSET(M183,-1,0),MATCH($A183,$A$15:OFFSET($A183,-1,0),0)))))</f>
        <v>0</v>
      </c>
      <c r="N183" s="211" t="str">
        <f ca="1">IF($D183&lt;&gt;"Serviço","",IF(AUTOEVENTO="Manual",IF($A183=0,"&lt;-- defina o número do agrupador",OFFSET(EVENTOS!$D$14,$A183,0)),OFFSET($F$15,$A183,0)))</f>
        <v>&lt;-- defina o número do agrupador</v>
      </c>
      <c r="O183" s="212"/>
      <c r="Q183" s="212"/>
      <c r="R183" s="213"/>
      <c r="S183" s="213"/>
      <c r="T183" s="213"/>
      <c r="U183" s="213"/>
      <c r="V183" s="213"/>
      <c r="W183" s="213"/>
      <c r="X183" s="213"/>
      <c r="Y183" s="213"/>
      <c r="Z183" s="214"/>
      <c r="AA183" s="213"/>
      <c r="AB183" s="213"/>
      <c r="AC183" s="213"/>
      <c r="AD183" s="213"/>
      <c r="AE183" s="213"/>
      <c r="AF183" s="213"/>
      <c r="AG183" s="213"/>
      <c r="AH183" s="214"/>
      <c r="AJ183" s="631">
        <f ca="1">IF(AND($D183="Serviço",AJ$12&lt;&gt;0,$H183&gt;0,OR(AUTOEVENTO&lt;&gt;"manual",$M183&lt;&gt;1)),ROUND(OFFSET($P183,0,AJ$13),15-13*ORÇAMENTO!$AF$7)/$H183*OFFSET(ORÇAMENTO!$X$15,ROW(AJ183)-ROW(AJ$15),0),0)</f>
        <v>0</v>
      </c>
      <c r="AK183" s="632">
        <f ca="1">IF(AND($D183="Serviço",AK$12&lt;&gt;0,$H183&gt;0,OR(AUTOEVENTO&lt;&gt;"manual",$M183&lt;&gt;1)),ROUND(OFFSET($P183,0,AK$13),15-13*ORÇAMENTO!$AF$7)/$H183*OFFSET(ORÇAMENTO!$X$15,ROW(AK183)-ROW(AK$15),0),0)</f>
        <v>0</v>
      </c>
      <c r="AL183" s="632">
        <f ca="1">IF(AND($D183="Serviço",AL$12&lt;&gt;0,$H183&gt;0,OR(AUTOEVENTO&lt;&gt;"manual",$M183&lt;&gt;1)),ROUND(OFFSET($P183,0,AL$13),15-13*ORÇAMENTO!$AF$7)/$H183*OFFSET(ORÇAMENTO!$X$15,ROW(AL183)-ROW(AL$15),0),0)</f>
        <v>0</v>
      </c>
      <c r="AM183" s="632">
        <f ca="1">IF(AND($D183="Serviço",AM$12&lt;&gt;0,$H183&gt;0,OR(AUTOEVENTO&lt;&gt;"manual",$M183&lt;&gt;1)),ROUND(OFFSET($P183,0,AM$13),15-13*ORÇAMENTO!$AF$7)/$H183*OFFSET(ORÇAMENTO!$X$15,ROW(AM183)-ROW(AM$15),0),0)</f>
        <v>0</v>
      </c>
      <c r="AN183" s="632">
        <f ca="1">IF(AND($D183="Serviço",AN$12&lt;&gt;0,$H183&gt;0,OR(AUTOEVENTO&lt;&gt;"manual",$M183&lt;&gt;1)),ROUND(OFFSET($P183,0,AN$13),15-13*ORÇAMENTO!$AF$7)/$H183*OFFSET(ORÇAMENTO!$X$15,ROW(AN183)-ROW(AN$15),0),0)</f>
        <v>0</v>
      </c>
      <c r="AO183" s="632">
        <f ca="1">IF(AND($D183="Serviço",AO$12&lt;&gt;0,$H183&gt;0,OR(AUTOEVENTO&lt;&gt;"manual",$M183&lt;&gt;1)),ROUND(OFFSET($P183,0,AO$13),15-13*ORÇAMENTO!$AF$7)/$H183*OFFSET(ORÇAMENTO!$X$15,ROW(AO183)-ROW(AO$15),0),0)</f>
        <v>0</v>
      </c>
      <c r="AP183" s="632">
        <f ca="1">IF(AND($D183="Serviço",AP$12&lt;&gt;0,$H183&gt;0,OR(AUTOEVENTO&lt;&gt;"manual",$M183&lt;&gt;1)),ROUND(OFFSET($P183,0,AP$13),15-13*ORÇAMENTO!$AF$7)/$H183*OFFSET(ORÇAMENTO!$X$15,ROW(AP183)-ROW(AP$15),0),0)</f>
        <v>0</v>
      </c>
      <c r="AQ183" s="632">
        <f ca="1">IF(AND($D183="Serviço",AQ$12&lt;&gt;0,$H183&gt;0,OR(AUTOEVENTO&lt;&gt;"manual",$M183&lt;&gt;1)),ROUND(OFFSET($P183,0,AQ$13),15-13*ORÇAMENTO!$AF$7)/$H183*OFFSET(ORÇAMENTO!$X$15,ROW(AQ183)-ROW(AQ$15),0),0)</f>
        <v>0</v>
      </c>
      <c r="AR183" s="632">
        <f ca="1">IF(AND($D183="Serviço",AR$12&lt;&gt;0,$H183&gt;0,OR(AUTOEVENTO&lt;&gt;"manual",$M183&lt;&gt;1)),ROUND(OFFSET($P183,0,AR$13),15-13*ORÇAMENTO!$AF$7)/$H183*OFFSET(ORÇAMENTO!$X$15,ROW(AR183)-ROW(AR$15),0),0)</f>
        <v>0</v>
      </c>
      <c r="AS183" s="633">
        <f ca="1">IF(AND($D183="Serviço",AS$12&lt;&gt;0,$H183&gt;0,OR(AUTOEVENTO&lt;&gt;"manual",$M183&lt;&gt;1)),ROUND(OFFSET($P183,0,AS$13),15-13*ORÇAMENTO!$AF$7)/$H183*OFFSET(ORÇAMENTO!$X$15,ROW(AS183)-ROW(AS$15),0),0)</f>
        <v>0</v>
      </c>
      <c r="AT183" s="632">
        <f ca="1">IF(AND($D183="Serviço",AT$12&lt;&gt;0,$H183&gt;0,OR(AUTOEVENTO&lt;&gt;"manual",$M183&lt;&gt;1)),ROUND(OFFSET($P183,0,AT$13),15-13*ORÇAMENTO!$AF$7)/$H183*OFFSET(ORÇAMENTO!$X$15,ROW(AT183)-ROW(AT$15),0),0)</f>
        <v>0</v>
      </c>
      <c r="AU183" s="632">
        <f ca="1">IF(AND($D183="Serviço",AU$12&lt;&gt;0,$H183&gt;0,OR(AUTOEVENTO&lt;&gt;"manual",$M183&lt;&gt;1)),ROUND(OFFSET($P183,0,AU$13),15-13*ORÇAMENTO!$AF$7)/$H183*OFFSET(ORÇAMENTO!$X$15,ROW(AU183)-ROW(AU$15),0),0)</f>
        <v>0</v>
      </c>
      <c r="AV183" s="632">
        <f ca="1">IF(AND($D183="Serviço",AV$12&lt;&gt;0,$H183&gt;0,OR(AUTOEVENTO&lt;&gt;"manual",$M183&lt;&gt;1)),ROUND(OFFSET($P183,0,AV$13),15-13*ORÇAMENTO!$AF$7)/$H183*OFFSET(ORÇAMENTO!$X$15,ROW(AV183)-ROW(AV$15),0),0)</f>
        <v>0</v>
      </c>
      <c r="AW183" s="632">
        <f ca="1">IF(AND($D183="Serviço",AW$12&lt;&gt;0,$H183&gt;0,OR(AUTOEVENTO&lt;&gt;"manual",$M183&lt;&gt;1)),ROUND(OFFSET($P183,0,AW$13),15-13*ORÇAMENTO!$AF$7)/$H183*OFFSET(ORÇAMENTO!$X$15,ROW(AW183)-ROW(AW$15),0),0)</f>
        <v>0</v>
      </c>
      <c r="AX183" s="632">
        <f ca="1">IF(AND($D183="Serviço",AX$12&lt;&gt;0,$H183&gt;0,OR(AUTOEVENTO&lt;&gt;"manual",$M183&lt;&gt;1)),ROUND(OFFSET($P183,0,AX$13),15-13*ORÇAMENTO!$AF$7)/$H183*OFFSET(ORÇAMENTO!$X$15,ROW(AX183)-ROW(AX$15),0),0)</f>
        <v>0</v>
      </c>
      <c r="AY183" s="632">
        <f ca="1">IF(AND($D183="Serviço",AY$12&lt;&gt;0,$H183&gt;0,OR(AUTOEVENTO&lt;&gt;"manual",$M183&lt;&gt;1)),ROUND(OFFSET($P183,0,AY$13),15-13*ORÇAMENTO!$AF$7)/$H183*OFFSET(ORÇAMENTO!$X$15,ROW(AY183)-ROW(AY$15),0),0)</f>
        <v>0</v>
      </c>
      <c r="AZ183" s="632">
        <f ca="1">IF(AND($D183="Serviço",AZ$12&lt;&gt;0,$H183&gt;0,OR(AUTOEVENTO&lt;&gt;"manual",$M183&lt;&gt;1)),ROUND(OFFSET($P183,0,AZ$13),15-13*ORÇAMENTO!$AF$7)/$H183*OFFSET(ORÇAMENTO!$X$15,ROW(AZ183)-ROW(AZ$15),0),0)</f>
        <v>0</v>
      </c>
      <c r="BA183" s="633">
        <f ca="1">IF(AND($D183="Serviço",BA$12&lt;&gt;0,$H183&gt;0,OR(AUTOEVENTO&lt;&gt;"manual",$M183&lt;&gt;1)),ROUND(OFFSET($P183,0,BA$13),15-13*ORÇAMENTO!$AF$7)/$H183*OFFSET(ORÇAMENTO!$X$15,ROW(BA183)-ROW(BA$15),0),0)</f>
        <v>0</v>
      </c>
      <c r="BC183" s="215">
        <f ca="1">IF($D183&lt;&gt;"Serviço",0,IF(AND(AUTOEVENTO="Manual",$M183=1),0,IF(OFFSET(CRONOPLE!$F$14,$M183,BC$13)="",10^12,OFFSET(CRONOPLE!$F$14,$M183,BC$13))))</f>
        <v>1000000000000</v>
      </c>
      <c r="BD183" s="215">
        <f ca="1">IF($D183&lt;&gt;"Serviço",0,IF(AND(AUTOEVENTO="Manual",$M183=1),0,IF(OFFSET(CRONOPLE!$F$14,$M183,BD$13)="",10^12,OFFSET(CRONOPLE!$F$14,$M183,BD$13))))</f>
        <v>1000000000000</v>
      </c>
      <c r="BE183" s="215">
        <f ca="1">IF($D183&lt;&gt;"Serviço",0,IF(AND(AUTOEVENTO="Manual",$M183=1),0,IF(OFFSET(CRONOPLE!$F$14,$M183,BE$13)="",10^12,OFFSET(CRONOPLE!$F$14,$M183,BE$13))))</f>
        <v>1000000000000</v>
      </c>
      <c r="BF183" s="215">
        <f ca="1">IF($D183&lt;&gt;"Serviço",0,IF(AND(AUTOEVENTO="Manual",$M183=1),0,IF(OFFSET(CRONOPLE!$F$14,$M183,BF$13)="",10^12,OFFSET(CRONOPLE!$F$14,$M183,BF$13))))</f>
        <v>1000000000000</v>
      </c>
      <c r="BG183" s="215">
        <f ca="1">IF($D183&lt;&gt;"Serviço",0,IF(AND(AUTOEVENTO="Manual",$M183=1),0,IF(OFFSET(CRONOPLE!$F$14,$M183,BG$13)="",10^12,OFFSET(CRONOPLE!$F$14,$M183,BG$13))))</f>
        <v>1000000000000</v>
      </c>
      <c r="BH183" s="215">
        <f ca="1">IF($D183&lt;&gt;"Serviço",0,IF(AND(AUTOEVENTO="Manual",$M183=1),0,IF(OFFSET(CRONOPLE!$F$14,$M183,BH$13)="",10^12,OFFSET(CRONOPLE!$F$14,$M183,BH$13))))</f>
        <v>1000000000000</v>
      </c>
      <c r="BI183" s="215">
        <f ca="1">IF($D183&lt;&gt;"Serviço",0,IF(AND(AUTOEVENTO="Manual",$M183=1),0,IF(OFFSET(CRONOPLE!$F$14,$M183,BI$13)="",10^12,OFFSET(CRONOPLE!$F$14,$M183,BI$13))))</f>
        <v>1000000000000</v>
      </c>
      <c r="BJ183" s="215">
        <f ca="1">IF($D183&lt;&gt;"Serviço",0,IF(AND(AUTOEVENTO="Manual",$M183=1),0,IF(OFFSET(CRONOPLE!$F$14,$M183,BJ$13)="",10^12,OFFSET(CRONOPLE!$F$14,$M183,BJ$13))))</f>
        <v>1000000000000</v>
      </c>
      <c r="BK183" s="215">
        <f ca="1">IF($D183&lt;&gt;"Serviço",0,IF(AND(AUTOEVENTO="Manual",$M183=1),0,IF(OFFSET(CRONOPLE!$F$14,$M183,BK$13)="",10^12,OFFSET(CRONOPLE!$F$14,$M183,BK$13))))</f>
        <v>1000000000000</v>
      </c>
      <c r="BL183" s="215">
        <f ca="1">IF($D183&lt;&gt;"Serviço",0,IF(AND(AUTOEVENTO="Manual",$M183=1),0,IF(OFFSET(CRONOPLE!$F$14,$M183,BL$13)="",10^12,OFFSET(CRONOPLE!$F$14,$M183,BL$13))))</f>
        <v>1000000000000</v>
      </c>
      <c r="BM183" s="215">
        <f ca="1">IF($D183&lt;&gt;"Serviço",0,IF(AND(AUTOEVENTO="Manual",$M183=1),0,IF(OFFSET(CRONOPLE!$F$14,$M183,BM$13)="",10^12,OFFSET(CRONOPLE!$F$14,$M183,BM$13))))</f>
        <v>1000000000000</v>
      </c>
      <c r="BN183" s="215">
        <f ca="1">IF($D183&lt;&gt;"Serviço",0,IF(AND(AUTOEVENTO="Manual",$M183=1),0,IF(OFFSET(CRONOPLE!$F$14,$M183,BN$13)="",10^12,OFFSET(CRONOPLE!$F$14,$M183,BN$13))))</f>
        <v>1000000000000</v>
      </c>
      <c r="BO183" s="215">
        <f ca="1">IF($D183&lt;&gt;"Serviço",0,IF(AND(AUTOEVENTO="Manual",$M183=1),0,IF(OFFSET(CRONOPLE!$F$14,$M183,BO$13)="",10^12,OFFSET(CRONOPLE!$F$14,$M183,BO$13))))</f>
        <v>1000000000000</v>
      </c>
      <c r="BP183" s="215">
        <f ca="1">IF($D183&lt;&gt;"Serviço",0,IF(AND(AUTOEVENTO="Manual",$M183=1),0,IF(OFFSET(CRONOPLE!$F$14,$M183,BP$13)="",10^12,OFFSET(CRONOPLE!$F$14,$M183,BP$13))))</f>
        <v>1000000000000</v>
      </c>
      <c r="BQ183" s="215">
        <f ca="1">IF($D183&lt;&gt;"Serviço",0,IF(AND(AUTOEVENTO="Manual",$M183=1),0,IF(OFFSET(CRONOPLE!$F$14,$M183,BQ$13)="",10^12,OFFSET(CRONOPLE!$F$14,$M183,BQ$13))))</f>
        <v>1000000000000</v>
      </c>
      <c r="BR183" s="215">
        <f ca="1">IF($D183&lt;&gt;"Serviço",0,IF(AND(AUTOEVENTO="Manual",$M183=1),0,IF(OFFSET(CRONOPLE!$F$14,$M183,BR$13)="",10^12,OFFSET(CRONOPLE!$F$14,$M183,BR$13))))</f>
        <v>1000000000000</v>
      </c>
      <c r="BS183" s="215">
        <f ca="1">IF($D183&lt;&gt;"Serviço",0,IF(AND(AUTOEVENTO="Manual",$M183=1),0,IF(OFFSET(CRONOPLE!$F$14,$M183,BS$13)="",10^12,OFFSET(CRONOPLE!$F$14,$M183,BS$13))))</f>
        <v>1000000000000</v>
      </c>
      <c r="BT183" s="215">
        <f ca="1">IF($D183&lt;&gt;"Serviço",0,IF(AND(AUTOEVENTO="Manual",$M183=1),0,IF(OFFSET(CRONOPLE!$F$14,$M183,BT$13)="",10^12,OFFSET(CRONOPLE!$F$14,$M183,BT$13))))</f>
        <v>1000000000000</v>
      </c>
      <c r="BV183" s="216">
        <f ca="1">IF($D183&lt;&gt;"Serviço",0,IF(OR(AND(AUTOEVENTO="Manual",$M183=1),$M183&gt;(ROW(PLE.lastrow)-ROW(PLE.firstrow))),0,IF(OFFSET(PLE!$G$14,$M183,BV$13)="",10^12,OFFSET(PLE!$G$14,$M183,BV$13))))</f>
        <v>1000000000000</v>
      </c>
      <c r="BW183" s="216">
        <f ca="1">IF($D183&lt;&gt;"Serviço",0,IF(OR(AND(AUTOEVENTO="Manual",$M183=1),$M183&gt;(ROW(PLE.lastrow)-ROW(PLE.firstrow))),0,IF(OFFSET(PLE!$G$14,$M183,BW$13)="",10^12,OFFSET(PLE!$G$14,$M183,BW$13))))</f>
        <v>1000000000000</v>
      </c>
      <c r="BX183" s="216">
        <f ca="1">IF($D183&lt;&gt;"Serviço",0,IF(OR(AND(AUTOEVENTO="Manual",$M183=1),$M183&gt;(ROW(PLE.lastrow)-ROW(PLE.firstrow))),0,IF(OFFSET(PLE!$G$14,$M183,BX$13)="",10^12,OFFSET(PLE!$G$14,$M183,BX$13))))</f>
        <v>1000000000000</v>
      </c>
      <c r="BY183" s="216">
        <f ca="1">IF($D183&lt;&gt;"Serviço",0,IF(OR(AND(AUTOEVENTO="Manual",$M183=1),$M183&gt;(ROW(PLE.lastrow)-ROW(PLE.firstrow))),0,IF(OFFSET(PLE!$G$14,$M183,BY$13)="",10^12,OFFSET(PLE!$G$14,$M183,BY$13))))</f>
        <v>1000000000000</v>
      </c>
      <c r="BZ183" s="216">
        <f ca="1">IF($D183&lt;&gt;"Serviço",0,IF(OR(AND(AUTOEVENTO="Manual",$M183=1),$M183&gt;(ROW(PLE.lastrow)-ROW(PLE.firstrow))),0,IF(OFFSET(PLE!$G$14,$M183,BZ$13)="",10^12,OFFSET(PLE!$G$14,$M183,BZ$13))))</f>
        <v>1000000000000</v>
      </c>
      <c r="CA183" s="216">
        <f ca="1">IF($D183&lt;&gt;"Serviço",0,IF(OR(AND(AUTOEVENTO="Manual",$M183=1),$M183&gt;(ROW(PLE.lastrow)-ROW(PLE.firstrow))),0,IF(OFFSET(PLE!$G$14,$M183,CA$13)="",10^12,OFFSET(PLE!$G$14,$M183,CA$13))))</f>
        <v>1000000000000</v>
      </c>
      <c r="CB183" s="216">
        <f ca="1">IF($D183&lt;&gt;"Serviço",0,IF(OR(AND(AUTOEVENTO="Manual",$M183=1),$M183&gt;(ROW(PLE.lastrow)-ROW(PLE.firstrow))),0,IF(OFFSET(PLE!$G$14,$M183,CB$13)="",10^12,OFFSET(PLE!$G$14,$M183,CB$13))))</f>
        <v>1000000000000</v>
      </c>
      <c r="CC183" s="216">
        <f ca="1">IF($D183&lt;&gt;"Serviço",0,IF(OR(AND(AUTOEVENTO="Manual",$M183=1),$M183&gt;(ROW(PLE.lastrow)-ROW(PLE.firstrow))),0,IF(OFFSET(PLE!$G$14,$M183,CC$13)="",10^12,OFFSET(PLE!$G$14,$M183,CC$13))))</f>
        <v>1000000000000</v>
      </c>
      <c r="CD183" s="216">
        <f ca="1">IF($D183&lt;&gt;"Serviço",0,IF(OR(AND(AUTOEVENTO="Manual",$M183=1),$M183&gt;(ROW(PLE.lastrow)-ROW(PLE.firstrow))),0,IF(OFFSET(PLE!$G$14,$M183,CD$13)="",10^12,OFFSET(PLE!$G$14,$M183,CD$13))))</f>
        <v>1000000000000</v>
      </c>
      <c r="CE183" s="216">
        <f ca="1">IF($D183&lt;&gt;"Serviço",0,IF(OR(AND(AUTOEVENTO="Manual",$M183=1),$M183&gt;(ROW(PLE.lastrow)-ROW(PLE.firstrow))),0,IF(OFFSET(PLE!$G$14,$M183,CE$13)="",10^12,OFFSET(PLE!$G$14,$M183,CE$13))))</f>
        <v>1000000000000</v>
      </c>
      <c r="CF183" s="216">
        <f ca="1">IF($D183&lt;&gt;"Serviço",0,IF(OR(AND(AUTOEVENTO="Manual",$M183=1),$M183&gt;(ROW(PLE.lastrow)-ROW(PLE.firstrow))),0,IF(OFFSET(PLE!$G$14,$M183,CF$13)="",10^12,OFFSET(PLE!$G$14,$M183,CF$13))))</f>
        <v>1000000000000</v>
      </c>
      <c r="CG183" s="216">
        <f ca="1">IF($D183&lt;&gt;"Serviço",0,IF(OR(AND(AUTOEVENTO="Manual",$M183=1),$M183&gt;(ROW(PLE.lastrow)-ROW(PLE.firstrow))),0,IF(OFFSET(PLE!$G$14,$M183,CG$13)="",10^12,OFFSET(PLE!$G$14,$M183,CG$13))))</f>
        <v>1000000000000</v>
      </c>
      <c r="CH183" s="216">
        <f ca="1">IF($D183&lt;&gt;"Serviço",0,IF(OR(AND(AUTOEVENTO="Manual",$M183=1),$M183&gt;(ROW(PLE.lastrow)-ROW(PLE.firstrow))),0,IF(OFFSET(PLE!$G$14,$M183,CH$13)="",10^12,OFFSET(PLE!$G$14,$M183,CH$13))))</f>
        <v>1000000000000</v>
      </c>
      <c r="CI183" s="216">
        <f ca="1">IF($D183&lt;&gt;"Serviço",0,IF(OR(AND(AUTOEVENTO="Manual",$M183=1),$M183&gt;(ROW(PLE.lastrow)-ROW(PLE.firstrow))),0,IF(OFFSET(PLE!$G$14,$M183,CI$13)="",10^12,OFFSET(PLE!$G$14,$M183,CI$13))))</f>
        <v>1000000000000</v>
      </c>
      <c r="CJ183" s="216">
        <f ca="1">IF($D183&lt;&gt;"Serviço",0,IF(OR(AND(AUTOEVENTO="Manual",$M183=1),$M183&gt;(ROW(PLE.lastrow)-ROW(PLE.firstrow))),0,IF(OFFSET(PLE!$G$14,$M183,CJ$13)="",10^12,OFFSET(PLE!$G$14,$M183,CJ$13))))</f>
        <v>1000000000000</v>
      </c>
      <c r="CK183" s="216">
        <f ca="1">IF($D183&lt;&gt;"Serviço",0,IF(OR(AND(AUTOEVENTO="Manual",$M183=1),$M183&gt;(ROW(PLE.lastrow)-ROW(PLE.firstrow))),0,IF(OFFSET(PLE!$G$14,$M183,CK$13)="",10^12,OFFSET(PLE!$G$14,$M183,CK$13))))</f>
        <v>1000000000000</v>
      </c>
      <c r="CL183" s="216">
        <f ca="1">IF($D183&lt;&gt;"Serviço",0,IF(OR(AND(AUTOEVENTO="Manual",$M183=1),$M183&gt;(ROW(PLE.lastrow)-ROW(PLE.firstrow))),0,IF(OFFSET(PLE!$G$14,$M183,CL$13)="",10^12,OFFSET(PLE!$G$14,$M183,CL$13))))</f>
        <v>1000000000000</v>
      </c>
      <c r="CM183" s="216">
        <f ca="1">IF($D183&lt;&gt;"Serviço",0,IF(OR(AND(AUTOEVENTO="Manual",$M183=1),$M183&gt;(ROW(PLE.lastrow)-ROW(PLE.firstrow))),0,IF(OFFSET(PLE!$G$14,$M183,CM$13)="",10^12,OFFSET(PLE!$G$14,$M183,CM$13))))</f>
        <v>1000000000000</v>
      </c>
    </row>
    <row r="184" spans="1:91" ht="13.2" x14ac:dyDescent="0.25">
      <c r="A184" s="9">
        <f t="shared" ca="1" si="11"/>
        <v>0</v>
      </c>
      <c r="B184" s="9" t="str">
        <f ca="1">OFFSET(ORÇAMENTO!C$15,ROW(B184)-ROW(B$15),0)</f>
        <v>S</v>
      </c>
      <c r="C184" s="9" t="str">
        <f ca="1">OFFSET(ORÇAMENTO!L$15,ROW(C184)-ROW(C$15),0)</f>
        <v/>
      </c>
      <c r="D184" s="145" t="str">
        <f ca="1">OFFSET(ORÇAMENTO!N$15,ROW(D184)-ROW(D$15),0)</f>
        <v>Serviço</v>
      </c>
      <c r="E184" s="205" t="str">
        <f ca="1">OFFSET(ORÇAMENTO!O$15,ROW(E184)-ROW(E$15),0)</f>
        <v>-</v>
      </c>
      <c r="F184" s="206" t="str">
        <f ca="1">OFFSET(ORÇAMENTO!R$15,ROW(F184)-ROW(F$15),0)</f>
        <v>(abra o arquivo 'Referência 05-2024.xls)</v>
      </c>
      <c r="G184" s="207" t="str">
        <f ca="1">IF($D184&lt;&gt;"Serviço","",OFFSET(ORÇAMENTO!S$15,ROW(G184)-ROW(G$15),0))</f>
        <v>-</v>
      </c>
      <c r="H184" s="151">
        <f ca="1">IF($D184&lt;&gt;"Serviço",0,IF(ACOMPANHAMENTO="BM",ROUND(OFFSET(ORÇAMENTO!AJ$15,ROW(H184)-ROW(H$15),0),15-13*ORÇAMENTO!$AF$7),SUMPRODUCT(($Q$12:$AI$12&lt;&gt;"")*ROUND($Q184:$AI184,15-13*ORÇAMENTO!$AF$7))))</f>
        <v>11.34</v>
      </c>
      <c r="I184" s="650"/>
      <c r="K184" s="208"/>
      <c r="L184" s="209" t="s">
        <v>257</v>
      </c>
      <c r="M184" s="210">
        <f ca="1">IF($D184&lt;&gt;"Serviço","",IF(AUTOEVENTO="manual",$A184,IF(ISERROR(MATCH($A184,$A$15:OFFSET($A184,-1,0),0)),MAX($M$15:OFFSET(M184,-1,0))+1,INDEX($M$15:OFFSET(M184,-1,0),MATCH($A184,$A$15:OFFSET($A184,-1,0),0)))))</f>
        <v>0</v>
      </c>
      <c r="N184" s="211" t="str">
        <f ca="1">IF($D184&lt;&gt;"Serviço","",IF(AUTOEVENTO="Manual",IF($A184=0,"&lt;-- defina o número do agrupador",OFFSET(EVENTOS!$D$14,$A184,0)),OFFSET($F$15,$A184,0)))</f>
        <v>&lt;-- defina o número do agrupador</v>
      </c>
      <c r="O184" s="212"/>
      <c r="Q184" s="212"/>
      <c r="R184" s="213"/>
      <c r="S184" s="213"/>
      <c r="T184" s="213"/>
      <c r="U184" s="213"/>
      <c r="V184" s="213"/>
      <c r="W184" s="213"/>
      <c r="X184" s="213"/>
      <c r="Y184" s="213"/>
      <c r="Z184" s="214"/>
      <c r="AA184" s="213"/>
      <c r="AB184" s="213"/>
      <c r="AC184" s="213"/>
      <c r="AD184" s="213"/>
      <c r="AE184" s="213"/>
      <c r="AF184" s="213"/>
      <c r="AG184" s="213"/>
      <c r="AH184" s="214"/>
      <c r="AJ184" s="631">
        <f ca="1">IF(AND($D184="Serviço",AJ$12&lt;&gt;0,$H184&gt;0,OR(AUTOEVENTO&lt;&gt;"manual",$M184&lt;&gt;1)),ROUND(OFFSET($P184,0,AJ$13),15-13*ORÇAMENTO!$AF$7)/$H184*OFFSET(ORÇAMENTO!$X$15,ROW(AJ184)-ROW(AJ$15),0),0)</f>
        <v>0</v>
      </c>
      <c r="AK184" s="632">
        <f ca="1">IF(AND($D184="Serviço",AK$12&lt;&gt;0,$H184&gt;0,OR(AUTOEVENTO&lt;&gt;"manual",$M184&lt;&gt;1)),ROUND(OFFSET($P184,0,AK$13),15-13*ORÇAMENTO!$AF$7)/$H184*OFFSET(ORÇAMENTO!$X$15,ROW(AK184)-ROW(AK$15),0),0)</f>
        <v>0</v>
      </c>
      <c r="AL184" s="632">
        <f ca="1">IF(AND($D184="Serviço",AL$12&lt;&gt;0,$H184&gt;0,OR(AUTOEVENTO&lt;&gt;"manual",$M184&lt;&gt;1)),ROUND(OFFSET($P184,0,AL$13),15-13*ORÇAMENTO!$AF$7)/$H184*OFFSET(ORÇAMENTO!$X$15,ROW(AL184)-ROW(AL$15),0),0)</f>
        <v>0</v>
      </c>
      <c r="AM184" s="632">
        <f ca="1">IF(AND($D184="Serviço",AM$12&lt;&gt;0,$H184&gt;0,OR(AUTOEVENTO&lt;&gt;"manual",$M184&lt;&gt;1)),ROUND(OFFSET($P184,0,AM$13),15-13*ORÇAMENTO!$AF$7)/$H184*OFFSET(ORÇAMENTO!$X$15,ROW(AM184)-ROW(AM$15),0),0)</f>
        <v>0</v>
      </c>
      <c r="AN184" s="632">
        <f ca="1">IF(AND($D184="Serviço",AN$12&lt;&gt;0,$H184&gt;0,OR(AUTOEVENTO&lt;&gt;"manual",$M184&lt;&gt;1)),ROUND(OFFSET($P184,0,AN$13),15-13*ORÇAMENTO!$AF$7)/$H184*OFFSET(ORÇAMENTO!$X$15,ROW(AN184)-ROW(AN$15),0),0)</f>
        <v>0</v>
      </c>
      <c r="AO184" s="632">
        <f ca="1">IF(AND($D184="Serviço",AO$12&lt;&gt;0,$H184&gt;0,OR(AUTOEVENTO&lt;&gt;"manual",$M184&lt;&gt;1)),ROUND(OFFSET($P184,0,AO$13),15-13*ORÇAMENTO!$AF$7)/$H184*OFFSET(ORÇAMENTO!$X$15,ROW(AO184)-ROW(AO$15),0),0)</f>
        <v>0</v>
      </c>
      <c r="AP184" s="632">
        <f ca="1">IF(AND($D184="Serviço",AP$12&lt;&gt;0,$H184&gt;0,OR(AUTOEVENTO&lt;&gt;"manual",$M184&lt;&gt;1)),ROUND(OFFSET($P184,0,AP$13),15-13*ORÇAMENTO!$AF$7)/$H184*OFFSET(ORÇAMENTO!$X$15,ROW(AP184)-ROW(AP$15),0),0)</f>
        <v>0</v>
      </c>
      <c r="AQ184" s="632">
        <f ca="1">IF(AND($D184="Serviço",AQ$12&lt;&gt;0,$H184&gt;0,OR(AUTOEVENTO&lt;&gt;"manual",$M184&lt;&gt;1)),ROUND(OFFSET($P184,0,AQ$13),15-13*ORÇAMENTO!$AF$7)/$H184*OFFSET(ORÇAMENTO!$X$15,ROW(AQ184)-ROW(AQ$15),0),0)</f>
        <v>0</v>
      </c>
      <c r="AR184" s="632">
        <f ca="1">IF(AND($D184="Serviço",AR$12&lt;&gt;0,$H184&gt;0,OR(AUTOEVENTO&lt;&gt;"manual",$M184&lt;&gt;1)),ROUND(OFFSET($P184,0,AR$13),15-13*ORÇAMENTO!$AF$7)/$H184*OFFSET(ORÇAMENTO!$X$15,ROW(AR184)-ROW(AR$15),0),0)</f>
        <v>0</v>
      </c>
      <c r="AS184" s="633">
        <f ca="1">IF(AND($D184="Serviço",AS$12&lt;&gt;0,$H184&gt;0,OR(AUTOEVENTO&lt;&gt;"manual",$M184&lt;&gt;1)),ROUND(OFFSET($P184,0,AS$13),15-13*ORÇAMENTO!$AF$7)/$H184*OFFSET(ORÇAMENTO!$X$15,ROW(AS184)-ROW(AS$15),0),0)</f>
        <v>0</v>
      </c>
      <c r="AT184" s="632">
        <f ca="1">IF(AND($D184="Serviço",AT$12&lt;&gt;0,$H184&gt;0,OR(AUTOEVENTO&lt;&gt;"manual",$M184&lt;&gt;1)),ROUND(OFFSET($P184,0,AT$13),15-13*ORÇAMENTO!$AF$7)/$H184*OFFSET(ORÇAMENTO!$X$15,ROW(AT184)-ROW(AT$15),0),0)</f>
        <v>0</v>
      </c>
      <c r="AU184" s="632">
        <f ca="1">IF(AND($D184="Serviço",AU$12&lt;&gt;0,$H184&gt;0,OR(AUTOEVENTO&lt;&gt;"manual",$M184&lt;&gt;1)),ROUND(OFFSET($P184,0,AU$13),15-13*ORÇAMENTO!$AF$7)/$H184*OFFSET(ORÇAMENTO!$X$15,ROW(AU184)-ROW(AU$15),0),0)</f>
        <v>0</v>
      </c>
      <c r="AV184" s="632">
        <f ca="1">IF(AND($D184="Serviço",AV$12&lt;&gt;0,$H184&gt;0,OR(AUTOEVENTO&lt;&gt;"manual",$M184&lt;&gt;1)),ROUND(OFFSET($P184,0,AV$13),15-13*ORÇAMENTO!$AF$7)/$H184*OFFSET(ORÇAMENTO!$X$15,ROW(AV184)-ROW(AV$15),0),0)</f>
        <v>0</v>
      </c>
      <c r="AW184" s="632">
        <f ca="1">IF(AND($D184="Serviço",AW$12&lt;&gt;0,$H184&gt;0,OR(AUTOEVENTO&lt;&gt;"manual",$M184&lt;&gt;1)),ROUND(OFFSET($P184,0,AW$13),15-13*ORÇAMENTO!$AF$7)/$H184*OFFSET(ORÇAMENTO!$X$15,ROW(AW184)-ROW(AW$15),0),0)</f>
        <v>0</v>
      </c>
      <c r="AX184" s="632">
        <f ca="1">IF(AND($D184="Serviço",AX$12&lt;&gt;0,$H184&gt;0,OR(AUTOEVENTO&lt;&gt;"manual",$M184&lt;&gt;1)),ROUND(OFFSET($P184,0,AX$13),15-13*ORÇAMENTO!$AF$7)/$H184*OFFSET(ORÇAMENTO!$X$15,ROW(AX184)-ROW(AX$15),0),0)</f>
        <v>0</v>
      </c>
      <c r="AY184" s="632">
        <f ca="1">IF(AND($D184="Serviço",AY$12&lt;&gt;0,$H184&gt;0,OR(AUTOEVENTO&lt;&gt;"manual",$M184&lt;&gt;1)),ROUND(OFFSET($P184,0,AY$13),15-13*ORÇAMENTO!$AF$7)/$H184*OFFSET(ORÇAMENTO!$X$15,ROW(AY184)-ROW(AY$15),0),0)</f>
        <v>0</v>
      </c>
      <c r="AZ184" s="632">
        <f ca="1">IF(AND($D184="Serviço",AZ$12&lt;&gt;0,$H184&gt;0,OR(AUTOEVENTO&lt;&gt;"manual",$M184&lt;&gt;1)),ROUND(OFFSET($P184,0,AZ$13),15-13*ORÇAMENTO!$AF$7)/$H184*OFFSET(ORÇAMENTO!$X$15,ROW(AZ184)-ROW(AZ$15),0),0)</f>
        <v>0</v>
      </c>
      <c r="BA184" s="633">
        <f ca="1">IF(AND($D184="Serviço",BA$12&lt;&gt;0,$H184&gt;0,OR(AUTOEVENTO&lt;&gt;"manual",$M184&lt;&gt;1)),ROUND(OFFSET($P184,0,BA$13),15-13*ORÇAMENTO!$AF$7)/$H184*OFFSET(ORÇAMENTO!$X$15,ROW(BA184)-ROW(BA$15),0),0)</f>
        <v>0</v>
      </c>
      <c r="BC184" s="215">
        <f ca="1">IF($D184&lt;&gt;"Serviço",0,IF(AND(AUTOEVENTO="Manual",$M184=1),0,IF(OFFSET(CRONOPLE!$F$14,$M184,BC$13)="",10^12,OFFSET(CRONOPLE!$F$14,$M184,BC$13))))</f>
        <v>1000000000000</v>
      </c>
      <c r="BD184" s="215">
        <f ca="1">IF($D184&lt;&gt;"Serviço",0,IF(AND(AUTOEVENTO="Manual",$M184=1),0,IF(OFFSET(CRONOPLE!$F$14,$M184,BD$13)="",10^12,OFFSET(CRONOPLE!$F$14,$M184,BD$13))))</f>
        <v>1000000000000</v>
      </c>
      <c r="BE184" s="215">
        <f ca="1">IF($D184&lt;&gt;"Serviço",0,IF(AND(AUTOEVENTO="Manual",$M184=1),0,IF(OFFSET(CRONOPLE!$F$14,$M184,BE$13)="",10^12,OFFSET(CRONOPLE!$F$14,$M184,BE$13))))</f>
        <v>1000000000000</v>
      </c>
      <c r="BF184" s="215">
        <f ca="1">IF($D184&lt;&gt;"Serviço",0,IF(AND(AUTOEVENTO="Manual",$M184=1),0,IF(OFFSET(CRONOPLE!$F$14,$M184,BF$13)="",10^12,OFFSET(CRONOPLE!$F$14,$M184,BF$13))))</f>
        <v>1000000000000</v>
      </c>
      <c r="BG184" s="215">
        <f ca="1">IF($D184&lt;&gt;"Serviço",0,IF(AND(AUTOEVENTO="Manual",$M184=1),0,IF(OFFSET(CRONOPLE!$F$14,$M184,BG$13)="",10^12,OFFSET(CRONOPLE!$F$14,$M184,BG$13))))</f>
        <v>1000000000000</v>
      </c>
      <c r="BH184" s="215">
        <f ca="1">IF($D184&lt;&gt;"Serviço",0,IF(AND(AUTOEVENTO="Manual",$M184=1),0,IF(OFFSET(CRONOPLE!$F$14,$M184,BH$13)="",10^12,OFFSET(CRONOPLE!$F$14,$M184,BH$13))))</f>
        <v>1000000000000</v>
      </c>
      <c r="BI184" s="215">
        <f ca="1">IF($D184&lt;&gt;"Serviço",0,IF(AND(AUTOEVENTO="Manual",$M184=1),0,IF(OFFSET(CRONOPLE!$F$14,$M184,BI$13)="",10^12,OFFSET(CRONOPLE!$F$14,$M184,BI$13))))</f>
        <v>1000000000000</v>
      </c>
      <c r="BJ184" s="215">
        <f ca="1">IF($D184&lt;&gt;"Serviço",0,IF(AND(AUTOEVENTO="Manual",$M184=1),0,IF(OFFSET(CRONOPLE!$F$14,$M184,BJ$13)="",10^12,OFFSET(CRONOPLE!$F$14,$M184,BJ$13))))</f>
        <v>1000000000000</v>
      </c>
      <c r="BK184" s="215">
        <f ca="1">IF($D184&lt;&gt;"Serviço",0,IF(AND(AUTOEVENTO="Manual",$M184=1),0,IF(OFFSET(CRONOPLE!$F$14,$M184,BK$13)="",10^12,OFFSET(CRONOPLE!$F$14,$M184,BK$13))))</f>
        <v>1000000000000</v>
      </c>
      <c r="BL184" s="215">
        <f ca="1">IF($D184&lt;&gt;"Serviço",0,IF(AND(AUTOEVENTO="Manual",$M184=1),0,IF(OFFSET(CRONOPLE!$F$14,$M184,BL$13)="",10^12,OFFSET(CRONOPLE!$F$14,$M184,BL$13))))</f>
        <v>1000000000000</v>
      </c>
      <c r="BM184" s="215">
        <f ca="1">IF($D184&lt;&gt;"Serviço",0,IF(AND(AUTOEVENTO="Manual",$M184=1),0,IF(OFFSET(CRONOPLE!$F$14,$M184,BM$13)="",10^12,OFFSET(CRONOPLE!$F$14,$M184,BM$13))))</f>
        <v>1000000000000</v>
      </c>
      <c r="BN184" s="215">
        <f ca="1">IF($D184&lt;&gt;"Serviço",0,IF(AND(AUTOEVENTO="Manual",$M184=1),0,IF(OFFSET(CRONOPLE!$F$14,$M184,BN$13)="",10^12,OFFSET(CRONOPLE!$F$14,$M184,BN$13))))</f>
        <v>1000000000000</v>
      </c>
      <c r="BO184" s="215">
        <f ca="1">IF($D184&lt;&gt;"Serviço",0,IF(AND(AUTOEVENTO="Manual",$M184=1),0,IF(OFFSET(CRONOPLE!$F$14,$M184,BO$13)="",10^12,OFFSET(CRONOPLE!$F$14,$M184,BO$13))))</f>
        <v>1000000000000</v>
      </c>
      <c r="BP184" s="215">
        <f ca="1">IF($D184&lt;&gt;"Serviço",0,IF(AND(AUTOEVENTO="Manual",$M184=1),0,IF(OFFSET(CRONOPLE!$F$14,$M184,BP$13)="",10^12,OFFSET(CRONOPLE!$F$14,$M184,BP$13))))</f>
        <v>1000000000000</v>
      </c>
      <c r="BQ184" s="215">
        <f ca="1">IF($D184&lt;&gt;"Serviço",0,IF(AND(AUTOEVENTO="Manual",$M184=1),0,IF(OFFSET(CRONOPLE!$F$14,$M184,BQ$13)="",10^12,OFFSET(CRONOPLE!$F$14,$M184,BQ$13))))</f>
        <v>1000000000000</v>
      </c>
      <c r="BR184" s="215">
        <f ca="1">IF($D184&lt;&gt;"Serviço",0,IF(AND(AUTOEVENTO="Manual",$M184=1),0,IF(OFFSET(CRONOPLE!$F$14,$M184,BR$13)="",10^12,OFFSET(CRONOPLE!$F$14,$M184,BR$13))))</f>
        <v>1000000000000</v>
      </c>
      <c r="BS184" s="215">
        <f ca="1">IF($D184&lt;&gt;"Serviço",0,IF(AND(AUTOEVENTO="Manual",$M184=1),0,IF(OFFSET(CRONOPLE!$F$14,$M184,BS$13)="",10^12,OFFSET(CRONOPLE!$F$14,$M184,BS$13))))</f>
        <v>1000000000000</v>
      </c>
      <c r="BT184" s="215">
        <f ca="1">IF($D184&lt;&gt;"Serviço",0,IF(AND(AUTOEVENTO="Manual",$M184=1),0,IF(OFFSET(CRONOPLE!$F$14,$M184,BT$13)="",10^12,OFFSET(CRONOPLE!$F$14,$M184,BT$13))))</f>
        <v>1000000000000</v>
      </c>
      <c r="BV184" s="216">
        <f ca="1">IF($D184&lt;&gt;"Serviço",0,IF(OR(AND(AUTOEVENTO="Manual",$M184=1),$M184&gt;(ROW(PLE.lastrow)-ROW(PLE.firstrow))),0,IF(OFFSET(PLE!$G$14,$M184,BV$13)="",10^12,OFFSET(PLE!$G$14,$M184,BV$13))))</f>
        <v>1000000000000</v>
      </c>
      <c r="BW184" s="216">
        <f ca="1">IF($D184&lt;&gt;"Serviço",0,IF(OR(AND(AUTOEVENTO="Manual",$M184=1),$M184&gt;(ROW(PLE.lastrow)-ROW(PLE.firstrow))),0,IF(OFFSET(PLE!$G$14,$M184,BW$13)="",10^12,OFFSET(PLE!$G$14,$M184,BW$13))))</f>
        <v>1000000000000</v>
      </c>
      <c r="BX184" s="216">
        <f ca="1">IF($D184&lt;&gt;"Serviço",0,IF(OR(AND(AUTOEVENTO="Manual",$M184=1),$M184&gt;(ROW(PLE.lastrow)-ROW(PLE.firstrow))),0,IF(OFFSET(PLE!$G$14,$M184,BX$13)="",10^12,OFFSET(PLE!$G$14,$M184,BX$13))))</f>
        <v>1000000000000</v>
      </c>
      <c r="BY184" s="216">
        <f ca="1">IF($D184&lt;&gt;"Serviço",0,IF(OR(AND(AUTOEVENTO="Manual",$M184=1),$M184&gt;(ROW(PLE.lastrow)-ROW(PLE.firstrow))),0,IF(OFFSET(PLE!$G$14,$M184,BY$13)="",10^12,OFFSET(PLE!$G$14,$M184,BY$13))))</f>
        <v>1000000000000</v>
      </c>
      <c r="BZ184" s="216">
        <f ca="1">IF($D184&lt;&gt;"Serviço",0,IF(OR(AND(AUTOEVENTO="Manual",$M184=1),$M184&gt;(ROW(PLE.lastrow)-ROW(PLE.firstrow))),0,IF(OFFSET(PLE!$G$14,$M184,BZ$13)="",10^12,OFFSET(PLE!$G$14,$M184,BZ$13))))</f>
        <v>1000000000000</v>
      </c>
      <c r="CA184" s="216">
        <f ca="1">IF($D184&lt;&gt;"Serviço",0,IF(OR(AND(AUTOEVENTO="Manual",$M184=1),$M184&gt;(ROW(PLE.lastrow)-ROW(PLE.firstrow))),0,IF(OFFSET(PLE!$G$14,$M184,CA$13)="",10^12,OFFSET(PLE!$G$14,$M184,CA$13))))</f>
        <v>1000000000000</v>
      </c>
      <c r="CB184" s="216">
        <f ca="1">IF($D184&lt;&gt;"Serviço",0,IF(OR(AND(AUTOEVENTO="Manual",$M184=1),$M184&gt;(ROW(PLE.lastrow)-ROW(PLE.firstrow))),0,IF(OFFSET(PLE!$G$14,$M184,CB$13)="",10^12,OFFSET(PLE!$G$14,$M184,CB$13))))</f>
        <v>1000000000000</v>
      </c>
      <c r="CC184" s="216">
        <f ca="1">IF($D184&lt;&gt;"Serviço",0,IF(OR(AND(AUTOEVENTO="Manual",$M184=1),$M184&gt;(ROW(PLE.lastrow)-ROW(PLE.firstrow))),0,IF(OFFSET(PLE!$G$14,$M184,CC$13)="",10^12,OFFSET(PLE!$G$14,$M184,CC$13))))</f>
        <v>1000000000000</v>
      </c>
      <c r="CD184" s="216">
        <f ca="1">IF($D184&lt;&gt;"Serviço",0,IF(OR(AND(AUTOEVENTO="Manual",$M184=1),$M184&gt;(ROW(PLE.lastrow)-ROW(PLE.firstrow))),0,IF(OFFSET(PLE!$G$14,$M184,CD$13)="",10^12,OFFSET(PLE!$G$14,$M184,CD$13))))</f>
        <v>1000000000000</v>
      </c>
      <c r="CE184" s="216">
        <f ca="1">IF($D184&lt;&gt;"Serviço",0,IF(OR(AND(AUTOEVENTO="Manual",$M184=1),$M184&gt;(ROW(PLE.lastrow)-ROW(PLE.firstrow))),0,IF(OFFSET(PLE!$G$14,$M184,CE$13)="",10^12,OFFSET(PLE!$G$14,$M184,CE$13))))</f>
        <v>1000000000000</v>
      </c>
      <c r="CF184" s="216">
        <f ca="1">IF($D184&lt;&gt;"Serviço",0,IF(OR(AND(AUTOEVENTO="Manual",$M184=1),$M184&gt;(ROW(PLE.lastrow)-ROW(PLE.firstrow))),0,IF(OFFSET(PLE!$G$14,$M184,CF$13)="",10^12,OFFSET(PLE!$G$14,$M184,CF$13))))</f>
        <v>1000000000000</v>
      </c>
      <c r="CG184" s="216">
        <f ca="1">IF($D184&lt;&gt;"Serviço",0,IF(OR(AND(AUTOEVENTO="Manual",$M184=1),$M184&gt;(ROW(PLE.lastrow)-ROW(PLE.firstrow))),0,IF(OFFSET(PLE!$G$14,$M184,CG$13)="",10^12,OFFSET(PLE!$G$14,$M184,CG$13))))</f>
        <v>1000000000000</v>
      </c>
      <c r="CH184" s="216">
        <f ca="1">IF($D184&lt;&gt;"Serviço",0,IF(OR(AND(AUTOEVENTO="Manual",$M184=1),$M184&gt;(ROW(PLE.lastrow)-ROW(PLE.firstrow))),0,IF(OFFSET(PLE!$G$14,$M184,CH$13)="",10^12,OFFSET(PLE!$G$14,$M184,CH$13))))</f>
        <v>1000000000000</v>
      </c>
      <c r="CI184" s="216">
        <f ca="1">IF($D184&lt;&gt;"Serviço",0,IF(OR(AND(AUTOEVENTO="Manual",$M184=1),$M184&gt;(ROW(PLE.lastrow)-ROW(PLE.firstrow))),0,IF(OFFSET(PLE!$G$14,$M184,CI$13)="",10^12,OFFSET(PLE!$G$14,$M184,CI$13))))</f>
        <v>1000000000000</v>
      </c>
      <c r="CJ184" s="216">
        <f ca="1">IF($D184&lt;&gt;"Serviço",0,IF(OR(AND(AUTOEVENTO="Manual",$M184=1),$M184&gt;(ROW(PLE.lastrow)-ROW(PLE.firstrow))),0,IF(OFFSET(PLE!$G$14,$M184,CJ$13)="",10^12,OFFSET(PLE!$G$14,$M184,CJ$13))))</f>
        <v>1000000000000</v>
      </c>
      <c r="CK184" s="216">
        <f ca="1">IF($D184&lt;&gt;"Serviço",0,IF(OR(AND(AUTOEVENTO="Manual",$M184=1),$M184&gt;(ROW(PLE.lastrow)-ROW(PLE.firstrow))),0,IF(OFFSET(PLE!$G$14,$M184,CK$13)="",10^12,OFFSET(PLE!$G$14,$M184,CK$13))))</f>
        <v>1000000000000</v>
      </c>
      <c r="CL184" s="216">
        <f ca="1">IF($D184&lt;&gt;"Serviço",0,IF(OR(AND(AUTOEVENTO="Manual",$M184=1),$M184&gt;(ROW(PLE.lastrow)-ROW(PLE.firstrow))),0,IF(OFFSET(PLE!$G$14,$M184,CL$13)="",10^12,OFFSET(PLE!$G$14,$M184,CL$13))))</f>
        <v>1000000000000</v>
      </c>
      <c r="CM184" s="216">
        <f ca="1">IF($D184&lt;&gt;"Serviço",0,IF(OR(AND(AUTOEVENTO="Manual",$M184=1),$M184&gt;(ROW(PLE.lastrow)-ROW(PLE.firstrow))),0,IF(OFFSET(PLE!$G$14,$M184,CM$13)="",10^12,OFFSET(PLE!$G$14,$M184,CM$13))))</f>
        <v>1000000000000</v>
      </c>
    </row>
    <row r="185" spans="1:91" ht="13.2" x14ac:dyDescent="0.25">
      <c r="A185" s="9">
        <f t="shared" ca="1" si="11"/>
        <v>0</v>
      </c>
      <c r="B185" s="9" t="str">
        <f ca="1">OFFSET(ORÇAMENTO!C$15,ROW(B185)-ROW(B$15),0)</f>
        <v>S</v>
      </c>
      <c r="C185" s="9" t="str">
        <f ca="1">OFFSET(ORÇAMENTO!L$15,ROW(C185)-ROW(C$15),0)</f>
        <v/>
      </c>
      <c r="D185" s="145" t="str">
        <f ca="1">OFFSET(ORÇAMENTO!N$15,ROW(D185)-ROW(D$15),0)</f>
        <v>Serviço</v>
      </c>
      <c r="E185" s="205" t="str">
        <f ca="1">OFFSET(ORÇAMENTO!O$15,ROW(E185)-ROW(E$15),0)</f>
        <v>-</v>
      </c>
      <c r="F185" s="206" t="str">
        <f ca="1">OFFSET(ORÇAMENTO!R$15,ROW(F185)-ROW(F$15),0)</f>
        <v>(abra o arquivo 'Referência 05-2024.xls)</v>
      </c>
      <c r="G185" s="207" t="str">
        <f ca="1">IF($D185&lt;&gt;"Serviço","",OFFSET(ORÇAMENTO!S$15,ROW(G185)-ROW(G$15),0))</f>
        <v>-</v>
      </c>
      <c r="H185" s="151">
        <f ca="1">IF($D185&lt;&gt;"Serviço",0,IF(ACOMPANHAMENTO="BM",ROUND(OFFSET(ORÇAMENTO!AJ$15,ROW(H185)-ROW(H$15),0),15-13*ORÇAMENTO!$AF$7),SUMPRODUCT(($Q$12:$AI$12&lt;&gt;"")*ROUND($Q185:$AI185,15-13*ORÇAMENTO!$AF$7))))</f>
        <v>6.6</v>
      </c>
      <c r="I185" s="650"/>
      <c r="K185" s="208"/>
      <c r="L185" s="209" t="s">
        <v>257</v>
      </c>
      <c r="M185" s="210">
        <f ca="1">IF($D185&lt;&gt;"Serviço","",IF(AUTOEVENTO="manual",$A185,IF(ISERROR(MATCH($A185,$A$15:OFFSET($A185,-1,0),0)),MAX($M$15:OFFSET(M185,-1,0))+1,INDEX($M$15:OFFSET(M185,-1,0),MATCH($A185,$A$15:OFFSET($A185,-1,0),0)))))</f>
        <v>0</v>
      </c>
      <c r="N185" s="211" t="str">
        <f ca="1">IF($D185&lt;&gt;"Serviço","",IF(AUTOEVENTO="Manual",IF($A185=0,"&lt;-- defina o número do agrupador",OFFSET(EVENTOS!$D$14,$A185,0)),OFFSET($F$15,$A185,0)))</f>
        <v>&lt;-- defina o número do agrupador</v>
      </c>
      <c r="O185" s="212"/>
      <c r="Q185" s="212"/>
      <c r="R185" s="213"/>
      <c r="S185" s="213"/>
      <c r="T185" s="213"/>
      <c r="U185" s="213"/>
      <c r="V185" s="213"/>
      <c r="W185" s="213"/>
      <c r="X185" s="213"/>
      <c r="Y185" s="213"/>
      <c r="Z185" s="214"/>
      <c r="AA185" s="213"/>
      <c r="AB185" s="213"/>
      <c r="AC185" s="213"/>
      <c r="AD185" s="213"/>
      <c r="AE185" s="213"/>
      <c r="AF185" s="213"/>
      <c r="AG185" s="213"/>
      <c r="AH185" s="214"/>
      <c r="AJ185" s="631">
        <f ca="1">IF(AND($D185="Serviço",AJ$12&lt;&gt;0,$H185&gt;0,OR(AUTOEVENTO&lt;&gt;"manual",$M185&lt;&gt;1)),ROUND(OFFSET($P185,0,AJ$13),15-13*ORÇAMENTO!$AF$7)/$H185*OFFSET(ORÇAMENTO!$X$15,ROW(AJ185)-ROW(AJ$15),0),0)</f>
        <v>0</v>
      </c>
      <c r="AK185" s="632">
        <f ca="1">IF(AND($D185="Serviço",AK$12&lt;&gt;0,$H185&gt;0,OR(AUTOEVENTO&lt;&gt;"manual",$M185&lt;&gt;1)),ROUND(OFFSET($P185,0,AK$13),15-13*ORÇAMENTO!$AF$7)/$H185*OFFSET(ORÇAMENTO!$X$15,ROW(AK185)-ROW(AK$15),0),0)</f>
        <v>0</v>
      </c>
      <c r="AL185" s="632">
        <f ca="1">IF(AND($D185="Serviço",AL$12&lt;&gt;0,$H185&gt;0,OR(AUTOEVENTO&lt;&gt;"manual",$M185&lt;&gt;1)),ROUND(OFFSET($P185,0,AL$13),15-13*ORÇAMENTO!$AF$7)/$H185*OFFSET(ORÇAMENTO!$X$15,ROW(AL185)-ROW(AL$15),0),0)</f>
        <v>0</v>
      </c>
      <c r="AM185" s="632">
        <f ca="1">IF(AND($D185="Serviço",AM$12&lt;&gt;0,$H185&gt;0,OR(AUTOEVENTO&lt;&gt;"manual",$M185&lt;&gt;1)),ROUND(OFFSET($P185,0,AM$13),15-13*ORÇAMENTO!$AF$7)/$H185*OFFSET(ORÇAMENTO!$X$15,ROW(AM185)-ROW(AM$15),0),0)</f>
        <v>0</v>
      </c>
      <c r="AN185" s="632">
        <f ca="1">IF(AND($D185="Serviço",AN$12&lt;&gt;0,$H185&gt;0,OR(AUTOEVENTO&lt;&gt;"manual",$M185&lt;&gt;1)),ROUND(OFFSET($P185,0,AN$13),15-13*ORÇAMENTO!$AF$7)/$H185*OFFSET(ORÇAMENTO!$X$15,ROW(AN185)-ROW(AN$15),0),0)</f>
        <v>0</v>
      </c>
      <c r="AO185" s="632">
        <f ca="1">IF(AND($D185="Serviço",AO$12&lt;&gt;0,$H185&gt;0,OR(AUTOEVENTO&lt;&gt;"manual",$M185&lt;&gt;1)),ROUND(OFFSET($P185,0,AO$13),15-13*ORÇAMENTO!$AF$7)/$H185*OFFSET(ORÇAMENTO!$X$15,ROW(AO185)-ROW(AO$15),0),0)</f>
        <v>0</v>
      </c>
      <c r="AP185" s="632">
        <f ca="1">IF(AND($D185="Serviço",AP$12&lt;&gt;0,$H185&gt;0,OR(AUTOEVENTO&lt;&gt;"manual",$M185&lt;&gt;1)),ROUND(OFFSET($P185,0,AP$13),15-13*ORÇAMENTO!$AF$7)/$H185*OFFSET(ORÇAMENTO!$X$15,ROW(AP185)-ROW(AP$15),0),0)</f>
        <v>0</v>
      </c>
      <c r="AQ185" s="632">
        <f ca="1">IF(AND($D185="Serviço",AQ$12&lt;&gt;0,$H185&gt;0,OR(AUTOEVENTO&lt;&gt;"manual",$M185&lt;&gt;1)),ROUND(OFFSET($P185,0,AQ$13),15-13*ORÇAMENTO!$AF$7)/$H185*OFFSET(ORÇAMENTO!$X$15,ROW(AQ185)-ROW(AQ$15),0),0)</f>
        <v>0</v>
      </c>
      <c r="AR185" s="632">
        <f ca="1">IF(AND($D185="Serviço",AR$12&lt;&gt;0,$H185&gt;0,OR(AUTOEVENTO&lt;&gt;"manual",$M185&lt;&gt;1)),ROUND(OFFSET($P185,0,AR$13),15-13*ORÇAMENTO!$AF$7)/$H185*OFFSET(ORÇAMENTO!$X$15,ROW(AR185)-ROW(AR$15),0),0)</f>
        <v>0</v>
      </c>
      <c r="AS185" s="633">
        <f ca="1">IF(AND($D185="Serviço",AS$12&lt;&gt;0,$H185&gt;0,OR(AUTOEVENTO&lt;&gt;"manual",$M185&lt;&gt;1)),ROUND(OFFSET($P185,0,AS$13),15-13*ORÇAMENTO!$AF$7)/$H185*OFFSET(ORÇAMENTO!$X$15,ROW(AS185)-ROW(AS$15),0),0)</f>
        <v>0</v>
      </c>
      <c r="AT185" s="632">
        <f ca="1">IF(AND($D185="Serviço",AT$12&lt;&gt;0,$H185&gt;0,OR(AUTOEVENTO&lt;&gt;"manual",$M185&lt;&gt;1)),ROUND(OFFSET($P185,0,AT$13),15-13*ORÇAMENTO!$AF$7)/$H185*OFFSET(ORÇAMENTO!$X$15,ROW(AT185)-ROW(AT$15),0),0)</f>
        <v>0</v>
      </c>
      <c r="AU185" s="632">
        <f ca="1">IF(AND($D185="Serviço",AU$12&lt;&gt;0,$H185&gt;0,OR(AUTOEVENTO&lt;&gt;"manual",$M185&lt;&gt;1)),ROUND(OFFSET($P185,0,AU$13),15-13*ORÇAMENTO!$AF$7)/$H185*OFFSET(ORÇAMENTO!$X$15,ROW(AU185)-ROW(AU$15),0),0)</f>
        <v>0</v>
      </c>
      <c r="AV185" s="632">
        <f ca="1">IF(AND($D185="Serviço",AV$12&lt;&gt;0,$H185&gt;0,OR(AUTOEVENTO&lt;&gt;"manual",$M185&lt;&gt;1)),ROUND(OFFSET($P185,0,AV$13),15-13*ORÇAMENTO!$AF$7)/$H185*OFFSET(ORÇAMENTO!$X$15,ROW(AV185)-ROW(AV$15),0),0)</f>
        <v>0</v>
      </c>
      <c r="AW185" s="632">
        <f ca="1">IF(AND($D185="Serviço",AW$12&lt;&gt;0,$H185&gt;0,OR(AUTOEVENTO&lt;&gt;"manual",$M185&lt;&gt;1)),ROUND(OFFSET($P185,0,AW$13),15-13*ORÇAMENTO!$AF$7)/$H185*OFFSET(ORÇAMENTO!$X$15,ROW(AW185)-ROW(AW$15),0),0)</f>
        <v>0</v>
      </c>
      <c r="AX185" s="632">
        <f ca="1">IF(AND($D185="Serviço",AX$12&lt;&gt;0,$H185&gt;0,OR(AUTOEVENTO&lt;&gt;"manual",$M185&lt;&gt;1)),ROUND(OFFSET($P185,0,AX$13),15-13*ORÇAMENTO!$AF$7)/$H185*OFFSET(ORÇAMENTO!$X$15,ROW(AX185)-ROW(AX$15),0),0)</f>
        <v>0</v>
      </c>
      <c r="AY185" s="632">
        <f ca="1">IF(AND($D185="Serviço",AY$12&lt;&gt;0,$H185&gt;0,OR(AUTOEVENTO&lt;&gt;"manual",$M185&lt;&gt;1)),ROUND(OFFSET($P185,0,AY$13),15-13*ORÇAMENTO!$AF$7)/$H185*OFFSET(ORÇAMENTO!$X$15,ROW(AY185)-ROW(AY$15),0),0)</f>
        <v>0</v>
      </c>
      <c r="AZ185" s="632">
        <f ca="1">IF(AND($D185="Serviço",AZ$12&lt;&gt;0,$H185&gt;0,OR(AUTOEVENTO&lt;&gt;"manual",$M185&lt;&gt;1)),ROUND(OFFSET($P185,0,AZ$13),15-13*ORÇAMENTO!$AF$7)/$H185*OFFSET(ORÇAMENTO!$X$15,ROW(AZ185)-ROW(AZ$15),0),0)</f>
        <v>0</v>
      </c>
      <c r="BA185" s="633">
        <f ca="1">IF(AND($D185="Serviço",BA$12&lt;&gt;0,$H185&gt;0,OR(AUTOEVENTO&lt;&gt;"manual",$M185&lt;&gt;1)),ROUND(OFFSET($P185,0,BA$13),15-13*ORÇAMENTO!$AF$7)/$H185*OFFSET(ORÇAMENTO!$X$15,ROW(BA185)-ROW(BA$15),0),0)</f>
        <v>0</v>
      </c>
      <c r="BC185" s="215">
        <f ca="1">IF($D185&lt;&gt;"Serviço",0,IF(AND(AUTOEVENTO="Manual",$M185=1),0,IF(OFFSET(CRONOPLE!$F$14,$M185,BC$13)="",10^12,OFFSET(CRONOPLE!$F$14,$M185,BC$13))))</f>
        <v>1000000000000</v>
      </c>
      <c r="BD185" s="215">
        <f ca="1">IF($D185&lt;&gt;"Serviço",0,IF(AND(AUTOEVENTO="Manual",$M185=1),0,IF(OFFSET(CRONOPLE!$F$14,$M185,BD$13)="",10^12,OFFSET(CRONOPLE!$F$14,$M185,BD$13))))</f>
        <v>1000000000000</v>
      </c>
      <c r="BE185" s="215">
        <f ca="1">IF($D185&lt;&gt;"Serviço",0,IF(AND(AUTOEVENTO="Manual",$M185=1),0,IF(OFFSET(CRONOPLE!$F$14,$M185,BE$13)="",10^12,OFFSET(CRONOPLE!$F$14,$M185,BE$13))))</f>
        <v>1000000000000</v>
      </c>
      <c r="BF185" s="215">
        <f ca="1">IF($D185&lt;&gt;"Serviço",0,IF(AND(AUTOEVENTO="Manual",$M185=1),0,IF(OFFSET(CRONOPLE!$F$14,$M185,BF$13)="",10^12,OFFSET(CRONOPLE!$F$14,$M185,BF$13))))</f>
        <v>1000000000000</v>
      </c>
      <c r="BG185" s="215">
        <f ca="1">IF($D185&lt;&gt;"Serviço",0,IF(AND(AUTOEVENTO="Manual",$M185=1),0,IF(OFFSET(CRONOPLE!$F$14,$M185,BG$13)="",10^12,OFFSET(CRONOPLE!$F$14,$M185,BG$13))))</f>
        <v>1000000000000</v>
      </c>
      <c r="BH185" s="215">
        <f ca="1">IF($D185&lt;&gt;"Serviço",0,IF(AND(AUTOEVENTO="Manual",$M185=1),0,IF(OFFSET(CRONOPLE!$F$14,$M185,BH$13)="",10^12,OFFSET(CRONOPLE!$F$14,$M185,BH$13))))</f>
        <v>1000000000000</v>
      </c>
      <c r="BI185" s="215">
        <f ca="1">IF($D185&lt;&gt;"Serviço",0,IF(AND(AUTOEVENTO="Manual",$M185=1),0,IF(OFFSET(CRONOPLE!$F$14,$M185,BI$13)="",10^12,OFFSET(CRONOPLE!$F$14,$M185,BI$13))))</f>
        <v>1000000000000</v>
      </c>
      <c r="BJ185" s="215">
        <f ca="1">IF($D185&lt;&gt;"Serviço",0,IF(AND(AUTOEVENTO="Manual",$M185=1),0,IF(OFFSET(CRONOPLE!$F$14,$M185,BJ$13)="",10^12,OFFSET(CRONOPLE!$F$14,$M185,BJ$13))))</f>
        <v>1000000000000</v>
      </c>
      <c r="BK185" s="215">
        <f ca="1">IF($D185&lt;&gt;"Serviço",0,IF(AND(AUTOEVENTO="Manual",$M185=1),0,IF(OFFSET(CRONOPLE!$F$14,$M185,BK$13)="",10^12,OFFSET(CRONOPLE!$F$14,$M185,BK$13))))</f>
        <v>1000000000000</v>
      </c>
      <c r="BL185" s="215">
        <f ca="1">IF($D185&lt;&gt;"Serviço",0,IF(AND(AUTOEVENTO="Manual",$M185=1),0,IF(OFFSET(CRONOPLE!$F$14,$M185,BL$13)="",10^12,OFFSET(CRONOPLE!$F$14,$M185,BL$13))))</f>
        <v>1000000000000</v>
      </c>
      <c r="BM185" s="215">
        <f ca="1">IF($D185&lt;&gt;"Serviço",0,IF(AND(AUTOEVENTO="Manual",$M185=1),0,IF(OFFSET(CRONOPLE!$F$14,$M185,BM$13)="",10^12,OFFSET(CRONOPLE!$F$14,$M185,BM$13))))</f>
        <v>1000000000000</v>
      </c>
      <c r="BN185" s="215">
        <f ca="1">IF($D185&lt;&gt;"Serviço",0,IF(AND(AUTOEVENTO="Manual",$M185=1),0,IF(OFFSET(CRONOPLE!$F$14,$M185,BN$13)="",10^12,OFFSET(CRONOPLE!$F$14,$M185,BN$13))))</f>
        <v>1000000000000</v>
      </c>
      <c r="BO185" s="215">
        <f ca="1">IF($D185&lt;&gt;"Serviço",0,IF(AND(AUTOEVENTO="Manual",$M185=1),0,IF(OFFSET(CRONOPLE!$F$14,$M185,BO$13)="",10^12,OFFSET(CRONOPLE!$F$14,$M185,BO$13))))</f>
        <v>1000000000000</v>
      </c>
      <c r="BP185" s="215">
        <f ca="1">IF($D185&lt;&gt;"Serviço",0,IF(AND(AUTOEVENTO="Manual",$M185=1),0,IF(OFFSET(CRONOPLE!$F$14,$M185,BP$13)="",10^12,OFFSET(CRONOPLE!$F$14,$M185,BP$13))))</f>
        <v>1000000000000</v>
      </c>
      <c r="BQ185" s="215">
        <f ca="1">IF($D185&lt;&gt;"Serviço",0,IF(AND(AUTOEVENTO="Manual",$M185=1),0,IF(OFFSET(CRONOPLE!$F$14,$M185,BQ$13)="",10^12,OFFSET(CRONOPLE!$F$14,$M185,BQ$13))))</f>
        <v>1000000000000</v>
      </c>
      <c r="BR185" s="215">
        <f ca="1">IF($D185&lt;&gt;"Serviço",0,IF(AND(AUTOEVENTO="Manual",$M185=1),0,IF(OFFSET(CRONOPLE!$F$14,$M185,BR$13)="",10^12,OFFSET(CRONOPLE!$F$14,$M185,BR$13))))</f>
        <v>1000000000000</v>
      </c>
      <c r="BS185" s="215">
        <f ca="1">IF($D185&lt;&gt;"Serviço",0,IF(AND(AUTOEVENTO="Manual",$M185=1),0,IF(OFFSET(CRONOPLE!$F$14,$M185,BS$13)="",10^12,OFFSET(CRONOPLE!$F$14,$M185,BS$13))))</f>
        <v>1000000000000</v>
      </c>
      <c r="BT185" s="215">
        <f ca="1">IF($D185&lt;&gt;"Serviço",0,IF(AND(AUTOEVENTO="Manual",$M185=1),0,IF(OFFSET(CRONOPLE!$F$14,$M185,BT$13)="",10^12,OFFSET(CRONOPLE!$F$14,$M185,BT$13))))</f>
        <v>1000000000000</v>
      </c>
      <c r="BV185" s="216">
        <f ca="1">IF($D185&lt;&gt;"Serviço",0,IF(OR(AND(AUTOEVENTO="Manual",$M185=1),$M185&gt;(ROW(PLE.lastrow)-ROW(PLE.firstrow))),0,IF(OFFSET(PLE!$G$14,$M185,BV$13)="",10^12,OFFSET(PLE!$G$14,$M185,BV$13))))</f>
        <v>1000000000000</v>
      </c>
      <c r="BW185" s="216">
        <f ca="1">IF($D185&lt;&gt;"Serviço",0,IF(OR(AND(AUTOEVENTO="Manual",$M185=1),$M185&gt;(ROW(PLE.lastrow)-ROW(PLE.firstrow))),0,IF(OFFSET(PLE!$G$14,$M185,BW$13)="",10^12,OFFSET(PLE!$G$14,$M185,BW$13))))</f>
        <v>1000000000000</v>
      </c>
      <c r="BX185" s="216">
        <f ca="1">IF($D185&lt;&gt;"Serviço",0,IF(OR(AND(AUTOEVENTO="Manual",$M185=1),$M185&gt;(ROW(PLE.lastrow)-ROW(PLE.firstrow))),0,IF(OFFSET(PLE!$G$14,$M185,BX$13)="",10^12,OFFSET(PLE!$G$14,$M185,BX$13))))</f>
        <v>1000000000000</v>
      </c>
      <c r="BY185" s="216">
        <f ca="1">IF($D185&lt;&gt;"Serviço",0,IF(OR(AND(AUTOEVENTO="Manual",$M185=1),$M185&gt;(ROW(PLE.lastrow)-ROW(PLE.firstrow))),0,IF(OFFSET(PLE!$G$14,$M185,BY$13)="",10^12,OFFSET(PLE!$G$14,$M185,BY$13))))</f>
        <v>1000000000000</v>
      </c>
      <c r="BZ185" s="216">
        <f ca="1">IF($D185&lt;&gt;"Serviço",0,IF(OR(AND(AUTOEVENTO="Manual",$M185=1),$M185&gt;(ROW(PLE.lastrow)-ROW(PLE.firstrow))),0,IF(OFFSET(PLE!$G$14,$M185,BZ$13)="",10^12,OFFSET(PLE!$G$14,$M185,BZ$13))))</f>
        <v>1000000000000</v>
      </c>
      <c r="CA185" s="216">
        <f ca="1">IF($D185&lt;&gt;"Serviço",0,IF(OR(AND(AUTOEVENTO="Manual",$M185=1),$M185&gt;(ROW(PLE.lastrow)-ROW(PLE.firstrow))),0,IF(OFFSET(PLE!$G$14,$M185,CA$13)="",10^12,OFFSET(PLE!$G$14,$M185,CA$13))))</f>
        <v>1000000000000</v>
      </c>
      <c r="CB185" s="216">
        <f ca="1">IF($D185&lt;&gt;"Serviço",0,IF(OR(AND(AUTOEVENTO="Manual",$M185=1),$M185&gt;(ROW(PLE.lastrow)-ROW(PLE.firstrow))),0,IF(OFFSET(PLE!$G$14,$M185,CB$13)="",10^12,OFFSET(PLE!$G$14,$M185,CB$13))))</f>
        <v>1000000000000</v>
      </c>
      <c r="CC185" s="216">
        <f ca="1">IF($D185&lt;&gt;"Serviço",0,IF(OR(AND(AUTOEVENTO="Manual",$M185=1),$M185&gt;(ROW(PLE.lastrow)-ROW(PLE.firstrow))),0,IF(OFFSET(PLE!$G$14,$M185,CC$13)="",10^12,OFFSET(PLE!$G$14,$M185,CC$13))))</f>
        <v>1000000000000</v>
      </c>
      <c r="CD185" s="216">
        <f ca="1">IF($D185&lt;&gt;"Serviço",0,IF(OR(AND(AUTOEVENTO="Manual",$M185=1),$M185&gt;(ROW(PLE.lastrow)-ROW(PLE.firstrow))),0,IF(OFFSET(PLE!$G$14,$M185,CD$13)="",10^12,OFFSET(PLE!$G$14,$M185,CD$13))))</f>
        <v>1000000000000</v>
      </c>
      <c r="CE185" s="216">
        <f ca="1">IF($D185&lt;&gt;"Serviço",0,IF(OR(AND(AUTOEVENTO="Manual",$M185=1),$M185&gt;(ROW(PLE.lastrow)-ROW(PLE.firstrow))),0,IF(OFFSET(PLE!$G$14,$M185,CE$13)="",10^12,OFFSET(PLE!$G$14,$M185,CE$13))))</f>
        <v>1000000000000</v>
      </c>
      <c r="CF185" s="216">
        <f ca="1">IF($D185&lt;&gt;"Serviço",0,IF(OR(AND(AUTOEVENTO="Manual",$M185=1),$M185&gt;(ROW(PLE.lastrow)-ROW(PLE.firstrow))),0,IF(OFFSET(PLE!$G$14,$M185,CF$13)="",10^12,OFFSET(PLE!$G$14,$M185,CF$13))))</f>
        <v>1000000000000</v>
      </c>
      <c r="CG185" s="216">
        <f ca="1">IF($D185&lt;&gt;"Serviço",0,IF(OR(AND(AUTOEVENTO="Manual",$M185=1),$M185&gt;(ROW(PLE.lastrow)-ROW(PLE.firstrow))),0,IF(OFFSET(PLE!$G$14,$M185,CG$13)="",10^12,OFFSET(PLE!$G$14,$M185,CG$13))))</f>
        <v>1000000000000</v>
      </c>
      <c r="CH185" s="216">
        <f ca="1">IF($D185&lt;&gt;"Serviço",0,IF(OR(AND(AUTOEVENTO="Manual",$M185=1),$M185&gt;(ROW(PLE.lastrow)-ROW(PLE.firstrow))),0,IF(OFFSET(PLE!$G$14,$M185,CH$13)="",10^12,OFFSET(PLE!$G$14,$M185,CH$13))))</f>
        <v>1000000000000</v>
      </c>
      <c r="CI185" s="216">
        <f ca="1">IF($D185&lt;&gt;"Serviço",0,IF(OR(AND(AUTOEVENTO="Manual",$M185=1),$M185&gt;(ROW(PLE.lastrow)-ROW(PLE.firstrow))),0,IF(OFFSET(PLE!$G$14,$M185,CI$13)="",10^12,OFFSET(PLE!$G$14,$M185,CI$13))))</f>
        <v>1000000000000</v>
      </c>
      <c r="CJ185" s="216">
        <f ca="1">IF($D185&lt;&gt;"Serviço",0,IF(OR(AND(AUTOEVENTO="Manual",$M185=1),$M185&gt;(ROW(PLE.lastrow)-ROW(PLE.firstrow))),0,IF(OFFSET(PLE!$G$14,$M185,CJ$13)="",10^12,OFFSET(PLE!$G$14,$M185,CJ$13))))</f>
        <v>1000000000000</v>
      </c>
      <c r="CK185" s="216">
        <f ca="1">IF($D185&lt;&gt;"Serviço",0,IF(OR(AND(AUTOEVENTO="Manual",$M185=1),$M185&gt;(ROW(PLE.lastrow)-ROW(PLE.firstrow))),0,IF(OFFSET(PLE!$G$14,$M185,CK$13)="",10^12,OFFSET(PLE!$G$14,$M185,CK$13))))</f>
        <v>1000000000000</v>
      </c>
      <c r="CL185" s="216">
        <f ca="1">IF($D185&lt;&gt;"Serviço",0,IF(OR(AND(AUTOEVENTO="Manual",$M185=1),$M185&gt;(ROW(PLE.lastrow)-ROW(PLE.firstrow))),0,IF(OFFSET(PLE!$G$14,$M185,CL$13)="",10^12,OFFSET(PLE!$G$14,$M185,CL$13))))</f>
        <v>1000000000000</v>
      </c>
      <c r="CM185" s="216">
        <f ca="1">IF($D185&lt;&gt;"Serviço",0,IF(OR(AND(AUTOEVENTO="Manual",$M185=1),$M185&gt;(ROW(PLE.lastrow)-ROW(PLE.firstrow))),0,IF(OFFSET(PLE!$G$14,$M185,CM$13)="",10^12,OFFSET(PLE!$G$14,$M185,CM$13))))</f>
        <v>1000000000000</v>
      </c>
    </row>
    <row r="186" spans="1:91" ht="13.2" x14ac:dyDescent="0.25">
      <c r="A186" s="9">
        <f t="shared" ca="1" si="11"/>
        <v>0</v>
      </c>
      <c r="B186" s="9" t="str">
        <f ca="1">OFFSET(ORÇAMENTO!C$15,ROW(B186)-ROW(B$15),0)</f>
        <v>S</v>
      </c>
      <c r="C186" s="9" t="str">
        <f ca="1">OFFSET(ORÇAMENTO!L$15,ROW(C186)-ROW(C$15),0)</f>
        <v/>
      </c>
      <c r="D186" s="145" t="str">
        <f ca="1">OFFSET(ORÇAMENTO!N$15,ROW(D186)-ROW(D$15),0)</f>
        <v>Serviço</v>
      </c>
      <c r="E186" s="205" t="str">
        <f ca="1">OFFSET(ORÇAMENTO!O$15,ROW(E186)-ROW(E$15),0)</f>
        <v>-</v>
      </c>
      <c r="F186" s="206" t="str">
        <f ca="1">OFFSET(ORÇAMENTO!R$15,ROW(F186)-ROW(F$15),0)</f>
        <v>(abra o arquivo 'Referência 05-2024.xls)</v>
      </c>
      <c r="G186" s="207" t="str">
        <f ca="1">IF($D186&lt;&gt;"Serviço","",OFFSET(ORÇAMENTO!S$15,ROW(G186)-ROW(G$15),0))</f>
        <v>-</v>
      </c>
      <c r="H186" s="151">
        <f ca="1">IF($D186&lt;&gt;"Serviço",0,IF(ACOMPANHAMENTO="BM",ROUND(OFFSET(ORÇAMENTO!AJ$15,ROW(H186)-ROW(H$15),0),15-13*ORÇAMENTO!$AF$7),SUMPRODUCT(($Q$12:$AI$12&lt;&gt;"")*ROUND($Q186:$AI186,15-13*ORÇAMENTO!$AF$7))))</f>
        <v>6.93</v>
      </c>
      <c r="I186" s="650"/>
      <c r="K186" s="208"/>
      <c r="L186" s="209" t="s">
        <v>257</v>
      </c>
      <c r="M186" s="210">
        <f ca="1">IF($D186&lt;&gt;"Serviço","",IF(AUTOEVENTO="manual",$A186,IF(ISERROR(MATCH($A186,$A$15:OFFSET($A186,-1,0),0)),MAX($M$15:OFFSET(M186,-1,0))+1,INDEX($M$15:OFFSET(M186,-1,0),MATCH($A186,$A$15:OFFSET($A186,-1,0),0)))))</f>
        <v>0</v>
      </c>
      <c r="N186" s="211" t="str">
        <f ca="1">IF($D186&lt;&gt;"Serviço","",IF(AUTOEVENTO="Manual",IF($A186=0,"&lt;-- defina o número do agrupador",OFFSET(EVENTOS!$D$14,$A186,0)),OFFSET($F$15,$A186,0)))</f>
        <v>&lt;-- defina o número do agrupador</v>
      </c>
      <c r="O186" s="212"/>
      <c r="Q186" s="212"/>
      <c r="R186" s="213"/>
      <c r="S186" s="213"/>
      <c r="T186" s="213"/>
      <c r="U186" s="213"/>
      <c r="V186" s="213"/>
      <c r="W186" s="213"/>
      <c r="X186" s="213"/>
      <c r="Y186" s="213"/>
      <c r="Z186" s="214"/>
      <c r="AA186" s="213"/>
      <c r="AB186" s="213"/>
      <c r="AC186" s="213"/>
      <c r="AD186" s="213"/>
      <c r="AE186" s="213"/>
      <c r="AF186" s="213"/>
      <c r="AG186" s="213"/>
      <c r="AH186" s="214"/>
      <c r="AJ186" s="631">
        <f ca="1">IF(AND($D186="Serviço",AJ$12&lt;&gt;0,$H186&gt;0,OR(AUTOEVENTO&lt;&gt;"manual",$M186&lt;&gt;1)),ROUND(OFFSET($P186,0,AJ$13),15-13*ORÇAMENTO!$AF$7)/$H186*OFFSET(ORÇAMENTO!$X$15,ROW(AJ186)-ROW(AJ$15),0),0)</f>
        <v>0</v>
      </c>
      <c r="AK186" s="632">
        <f ca="1">IF(AND($D186="Serviço",AK$12&lt;&gt;0,$H186&gt;0,OR(AUTOEVENTO&lt;&gt;"manual",$M186&lt;&gt;1)),ROUND(OFFSET($P186,0,AK$13),15-13*ORÇAMENTO!$AF$7)/$H186*OFFSET(ORÇAMENTO!$X$15,ROW(AK186)-ROW(AK$15),0),0)</f>
        <v>0</v>
      </c>
      <c r="AL186" s="632">
        <f ca="1">IF(AND($D186="Serviço",AL$12&lt;&gt;0,$H186&gt;0,OR(AUTOEVENTO&lt;&gt;"manual",$M186&lt;&gt;1)),ROUND(OFFSET($P186,0,AL$13),15-13*ORÇAMENTO!$AF$7)/$H186*OFFSET(ORÇAMENTO!$X$15,ROW(AL186)-ROW(AL$15),0),0)</f>
        <v>0</v>
      </c>
      <c r="AM186" s="632">
        <f ca="1">IF(AND($D186="Serviço",AM$12&lt;&gt;0,$H186&gt;0,OR(AUTOEVENTO&lt;&gt;"manual",$M186&lt;&gt;1)),ROUND(OFFSET($P186,0,AM$13),15-13*ORÇAMENTO!$AF$7)/$H186*OFFSET(ORÇAMENTO!$X$15,ROW(AM186)-ROW(AM$15),0),0)</f>
        <v>0</v>
      </c>
      <c r="AN186" s="632">
        <f ca="1">IF(AND($D186="Serviço",AN$12&lt;&gt;0,$H186&gt;0,OR(AUTOEVENTO&lt;&gt;"manual",$M186&lt;&gt;1)),ROUND(OFFSET($P186,0,AN$13),15-13*ORÇAMENTO!$AF$7)/$H186*OFFSET(ORÇAMENTO!$X$15,ROW(AN186)-ROW(AN$15),0),0)</f>
        <v>0</v>
      </c>
      <c r="AO186" s="632">
        <f ca="1">IF(AND($D186="Serviço",AO$12&lt;&gt;0,$H186&gt;0,OR(AUTOEVENTO&lt;&gt;"manual",$M186&lt;&gt;1)),ROUND(OFFSET($P186,0,AO$13),15-13*ORÇAMENTO!$AF$7)/$H186*OFFSET(ORÇAMENTO!$X$15,ROW(AO186)-ROW(AO$15),0),0)</f>
        <v>0</v>
      </c>
      <c r="AP186" s="632">
        <f ca="1">IF(AND($D186="Serviço",AP$12&lt;&gt;0,$H186&gt;0,OR(AUTOEVENTO&lt;&gt;"manual",$M186&lt;&gt;1)),ROUND(OFFSET($P186,0,AP$13),15-13*ORÇAMENTO!$AF$7)/$H186*OFFSET(ORÇAMENTO!$X$15,ROW(AP186)-ROW(AP$15),0),0)</f>
        <v>0</v>
      </c>
      <c r="AQ186" s="632">
        <f ca="1">IF(AND($D186="Serviço",AQ$12&lt;&gt;0,$H186&gt;0,OR(AUTOEVENTO&lt;&gt;"manual",$M186&lt;&gt;1)),ROUND(OFFSET($P186,0,AQ$13),15-13*ORÇAMENTO!$AF$7)/$H186*OFFSET(ORÇAMENTO!$X$15,ROW(AQ186)-ROW(AQ$15),0),0)</f>
        <v>0</v>
      </c>
      <c r="AR186" s="632">
        <f ca="1">IF(AND($D186="Serviço",AR$12&lt;&gt;0,$H186&gt;0,OR(AUTOEVENTO&lt;&gt;"manual",$M186&lt;&gt;1)),ROUND(OFFSET($P186,0,AR$13),15-13*ORÇAMENTO!$AF$7)/$H186*OFFSET(ORÇAMENTO!$X$15,ROW(AR186)-ROW(AR$15),0),0)</f>
        <v>0</v>
      </c>
      <c r="AS186" s="633">
        <f ca="1">IF(AND($D186="Serviço",AS$12&lt;&gt;0,$H186&gt;0,OR(AUTOEVENTO&lt;&gt;"manual",$M186&lt;&gt;1)),ROUND(OFFSET($P186,0,AS$13),15-13*ORÇAMENTO!$AF$7)/$H186*OFFSET(ORÇAMENTO!$X$15,ROW(AS186)-ROW(AS$15),0),0)</f>
        <v>0</v>
      </c>
      <c r="AT186" s="632">
        <f ca="1">IF(AND($D186="Serviço",AT$12&lt;&gt;0,$H186&gt;0,OR(AUTOEVENTO&lt;&gt;"manual",$M186&lt;&gt;1)),ROUND(OFFSET($P186,0,AT$13),15-13*ORÇAMENTO!$AF$7)/$H186*OFFSET(ORÇAMENTO!$X$15,ROW(AT186)-ROW(AT$15),0),0)</f>
        <v>0</v>
      </c>
      <c r="AU186" s="632">
        <f ca="1">IF(AND($D186="Serviço",AU$12&lt;&gt;0,$H186&gt;0,OR(AUTOEVENTO&lt;&gt;"manual",$M186&lt;&gt;1)),ROUND(OFFSET($P186,0,AU$13),15-13*ORÇAMENTO!$AF$7)/$H186*OFFSET(ORÇAMENTO!$X$15,ROW(AU186)-ROW(AU$15),0),0)</f>
        <v>0</v>
      </c>
      <c r="AV186" s="632">
        <f ca="1">IF(AND($D186="Serviço",AV$12&lt;&gt;0,$H186&gt;0,OR(AUTOEVENTO&lt;&gt;"manual",$M186&lt;&gt;1)),ROUND(OFFSET($P186,0,AV$13),15-13*ORÇAMENTO!$AF$7)/$H186*OFFSET(ORÇAMENTO!$X$15,ROW(AV186)-ROW(AV$15),0),0)</f>
        <v>0</v>
      </c>
      <c r="AW186" s="632">
        <f ca="1">IF(AND($D186="Serviço",AW$12&lt;&gt;0,$H186&gt;0,OR(AUTOEVENTO&lt;&gt;"manual",$M186&lt;&gt;1)),ROUND(OFFSET($P186,0,AW$13),15-13*ORÇAMENTO!$AF$7)/$H186*OFFSET(ORÇAMENTO!$X$15,ROW(AW186)-ROW(AW$15),0),0)</f>
        <v>0</v>
      </c>
      <c r="AX186" s="632">
        <f ca="1">IF(AND($D186="Serviço",AX$12&lt;&gt;0,$H186&gt;0,OR(AUTOEVENTO&lt;&gt;"manual",$M186&lt;&gt;1)),ROUND(OFFSET($P186,0,AX$13),15-13*ORÇAMENTO!$AF$7)/$H186*OFFSET(ORÇAMENTO!$X$15,ROW(AX186)-ROW(AX$15),0),0)</f>
        <v>0</v>
      </c>
      <c r="AY186" s="632">
        <f ca="1">IF(AND($D186="Serviço",AY$12&lt;&gt;0,$H186&gt;0,OR(AUTOEVENTO&lt;&gt;"manual",$M186&lt;&gt;1)),ROUND(OFFSET($P186,0,AY$13),15-13*ORÇAMENTO!$AF$7)/$H186*OFFSET(ORÇAMENTO!$X$15,ROW(AY186)-ROW(AY$15),0),0)</f>
        <v>0</v>
      </c>
      <c r="AZ186" s="632">
        <f ca="1">IF(AND($D186="Serviço",AZ$12&lt;&gt;0,$H186&gt;0,OR(AUTOEVENTO&lt;&gt;"manual",$M186&lt;&gt;1)),ROUND(OFFSET($P186,0,AZ$13),15-13*ORÇAMENTO!$AF$7)/$H186*OFFSET(ORÇAMENTO!$X$15,ROW(AZ186)-ROW(AZ$15),0),0)</f>
        <v>0</v>
      </c>
      <c r="BA186" s="633">
        <f ca="1">IF(AND($D186="Serviço",BA$12&lt;&gt;0,$H186&gt;0,OR(AUTOEVENTO&lt;&gt;"manual",$M186&lt;&gt;1)),ROUND(OFFSET($P186,0,BA$13),15-13*ORÇAMENTO!$AF$7)/$H186*OFFSET(ORÇAMENTO!$X$15,ROW(BA186)-ROW(BA$15),0),0)</f>
        <v>0</v>
      </c>
      <c r="BC186" s="215">
        <f ca="1">IF($D186&lt;&gt;"Serviço",0,IF(AND(AUTOEVENTO="Manual",$M186=1),0,IF(OFFSET(CRONOPLE!$F$14,$M186,BC$13)="",10^12,OFFSET(CRONOPLE!$F$14,$M186,BC$13))))</f>
        <v>1000000000000</v>
      </c>
      <c r="BD186" s="215">
        <f ca="1">IF($D186&lt;&gt;"Serviço",0,IF(AND(AUTOEVENTO="Manual",$M186=1),0,IF(OFFSET(CRONOPLE!$F$14,$M186,BD$13)="",10^12,OFFSET(CRONOPLE!$F$14,$M186,BD$13))))</f>
        <v>1000000000000</v>
      </c>
      <c r="BE186" s="215">
        <f ca="1">IF($D186&lt;&gt;"Serviço",0,IF(AND(AUTOEVENTO="Manual",$M186=1),0,IF(OFFSET(CRONOPLE!$F$14,$M186,BE$13)="",10^12,OFFSET(CRONOPLE!$F$14,$M186,BE$13))))</f>
        <v>1000000000000</v>
      </c>
      <c r="BF186" s="215">
        <f ca="1">IF($D186&lt;&gt;"Serviço",0,IF(AND(AUTOEVENTO="Manual",$M186=1),0,IF(OFFSET(CRONOPLE!$F$14,$M186,BF$13)="",10^12,OFFSET(CRONOPLE!$F$14,$M186,BF$13))))</f>
        <v>1000000000000</v>
      </c>
      <c r="BG186" s="215">
        <f ca="1">IF($D186&lt;&gt;"Serviço",0,IF(AND(AUTOEVENTO="Manual",$M186=1),0,IF(OFFSET(CRONOPLE!$F$14,$M186,BG$13)="",10^12,OFFSET(CRONOPLE!$F$14,$M186,BG$13))))</f>
        <v>1000000000000</v>
      </c>
      <c r="BH186" s="215">
        <f ca="1">IF($D186&lt;&gt;"Serviço",0,IF(AND(AUTOEVENTO="Manual",$M186=1),0,IF(OFFSET(CRONOPLE!$F$14,$M186,BH$13)="",10^12,OFFSET(CRONOPLE!$F$14,$M186,BH$13))))</f>
        <v>1000000000000</v>
      </c>
      <c r="BI186" s="215">
        <f ca="1">IF($D186&lt;&gt;"Serviço",0,IF(AND(AUTOEVENTO="Manual",$M186=1),0,IF(OFFSET(CRONOPLE!$F$14,$M186,BI$13)="",10^12,OFFSET(CRONOPLE!$F$14,$M186,BI$13))))</f>
        <v>1000000000000</v>
      </c>
      <c r="BJ186" s="215">
        <f ca="1">IF($D186&lt;&gt;"Serviço",0,IF(AND(AUTOEVENTO="Manual",$M186=1),0,IF(OFFSET(CRONOPLE!$F$14,$M186,BJ$13)="",10^12,OFFSET(CRONOPLE!$F$14,$M186,BJ$13))))</f>
        <v>1000000000000</v>
      </c>
      <c r="BK186" s="215">
        <f ca="1">IF($D186&lt;&gt;"Serviço",0,IF(AND(AUTOEVENTO="Manual",$M186=1),0,IF(OFFSET(CRONOPLE!$F$14,$M186,BK$13)="",10^12,OFFSET(CRONOPLE!$F$14,$M186,BK$13))))</f>
        <v>1000000000000</v>
      </c>
      <c r="BL186" s="215">
        <f ca="1">IF($D186&lt;&gt;"Serviço",0,IF(AND(AUTOEVENTO="Manual",$M186=1),0,IF(OFFSET(CRONOPLE!$F$14,$M186,BL$13)="",10^12,OFFSET(CRONOPLE!$F$14,$M186,BL$13))))</f>
        <v>1000000000000</v>
      </c>
      <c r="BM186" s="215">
        <f ca="1">IF($D186&lt;&gt;"Serviço",0,IF(AND(AUTOEVENTO="Manual",$M186=1),0,IF(OFFSET(CRONOPLE!$F$14,$M186,BM$13)="",10^12,OFFSET(CRONOPLE!$F$14,$M186,BM$13))))</f>
        <v>1000000000000</v>
      </c>
      <c r="BN186" s="215">
        <f ca="1">IF($D186&lt;&gt;"Serviço",0,IF(AND(AUTOEVENTO="Manual",$M186=1),0,IF(OFFSET(CRONOPLE!$F$14,$M186,BN$13)="",10^12,OFFSET(CRONOPLE!$F$14,$M186,BN$13))))</f>
        <v>1000000000000</v>
      </c>
      <c r="BO186" s="215">
        <f ca="1">IF($D186&lt;&gt;"Serviço",0,IF(AND(AUTOEVENTO="Manual",$M186=1),0,IF(OFFSET(CRONOPLE!$F$14,$M186,BO$13)="",10^12,OFFSET(CRONOPLE!$F$14,$M186,BO$13))))</f>
        <v>1000000000000</v>
      </c>
      <c r="BP186" s="215">
        <f ca="1">IF($D186&lt;&gt;"Serviço",0,IF(AND(AUTOEVENTO="Manual",$M186=1),0,IF(OFFSET(CRONOPLE!$F$14,$M186,BP$13)="",10^12,OFFSET(CRONOPLE!$F$14,$M186,BP$13))))</f>
        <v>1000000000000</v>
      </c>
      <c r="BQ186" s="215">
        <f ca="1">IF($D186&lt;&gt;"Serviço",0,IF(AND(AUTOEVENTO="Manual",$M186=1),0,IF(OFFSET(CRONOPLE!$F$14,$M186,BQ$13)="",10^12,OFFSET(CRONOPLE!$F$14,$M186,BQ$13))))</f>
        <v>1000000000000</v>
      </c>
      <c r="BR186" s="215">
        <f ca="1">IF($D186&lt;&gt;"Serviço",0,IF(AND(AUTOEVENTO="Manual",$M186=1),0,IF(OFFSET(CRONOPLE!$F$14,$M186,BR$13)="",10^12,OFFSET(CRONOPLE!$F$14,$M186,BR$13))))</f>
        <v>1000000000000</v>
      </c>
      <c r="BS186" s="215">
        <f ca="1">IF($D186&lt;&gt;"Serviço",0,IF(AND(AUTOEVENTO="Manual",$M186=1),0,IF(OFFSET(CRONOPLE!$F$14,$M186,BS$13)="",10^12,OFFSET(CRONOPLE!$F$14,$M186,BS$13))))</f>
        <v>1000000000000</v>
      </c>
      <c r="BT186" s="215">
        <f ca="1">IF($D186&lt;&gt;"Serviço",0,IF(AND(AUTOEVENTO="Manual",$M186=1),0,IF(OFFSET(CRONOPLE!$F$14,$M186,BT$13)="",10^12,OFFSET(CRONOPLE!$F$14,$M186,BT$13))))</f>
        <v>1000000000000</v>
      </c>
      <c r="BV186" s="216">
        <f ca="1">IF($D186&lt;&gt;"Serviço",0,IF(OR(AND(AUTOEVENTO="Manual",$M186=1),$M186&gt;(ROW(PLE.lastrow)-ROW(PLE.firstrow))),0,IF(OFFSET(PLE!$G$14,$M186,BV$13)="",10^12,OFFSET(PLE!$G$14,$M186,BV$13))))</f>
        <v>1000000000000</v>
      </c>
      <c r="BW186" s="216">
        <f ca="1">IF($D186&lt;&gt;"Serviço",0,IF(OR(AND(AUTOEVENTO="Manual",$M186=1),$M186&gt;(ROW(PLE.lastrow)-ROW(PLE.firstrow))),0,IF(OFFSET(PLE!$G$14,$M186,BW$13)="",10^12,OFFSET(PLE!$G$14,$M186,BW$13))))</f>
        <v>1000000000000</v>
      </c>
      <c r="BX186" s="216">
        <f ca="1">IF($D186&lt;&gt;"Serviço",0,IF(OR(AND(AUTOEVENTO="Manual",$M186=1),$M186&gt;(ROW(PLE.lastrow)-ROW(PLE.firstrow))),0,IF(OFFSET(PLE!$G$14,$M186,BX$13)="",10^12,OFFSET(PLE!$G$14,$M186,BX$13))))</f>
        <v>1000000000000</v>
      </c>
      <c r="BY186" s="216">
        <f ca="1">IF($D186&lt;&gt;"Serviço",0,IF(OR(AND(AUTOEVENTO="Manual",$M186=1),$M186&gt;(ROW(PLE.lastrow)-ROW(PLE.firstrow))),0,IF(OFFSET(PLE!$G$14,$M186,BY$13)="",10^12,OFFSET(PLE!$G$14,$M186,BY$13))))</f>
        <v>1000000000000</v>
      </c>
      <c r="BZ186" s="216">
        <f ca="1">IF($D186&lt;&gt;"Serviço",0,IF(OR(AND(AUTOEVENTO="Manual",$M186=1),$M186&gt;(ROW(PLE.lastrow)-ROW(PLE.firstrow))),0,IF(OFFSET(PLE!$G$14,$M186,BZ$13)="",10^12,OFFSET(PLE!$G$14,$M186,BZ$13))))</f>
        <v>1000000000000</v>
      </c>
      <c r="CA186" s="216">
        <f ca="1">IF($D186&lt;&gt;"Serviço",0,IF(OR(AND(AUTOEVENTO="Manual",$M186=1),$M186&gt;(ROW(PLE.lastrow)-ROW(PLE.firstrow))),0,IF(OFFSET(PLE!$G$14,$M186,CA$13)="",10^12,OFFSET(PLE!$G$14,$M186,CA$13))))</f>
        <v>1000000000000</v>
      </c>
      <c r="CB186" s="216">
        <f ca="1">IF($D186&lt;&gt;"Serviço",0,IF(OR(AND(AUTOEVENTO="Manual",$M186=1),$M186&gt;(ROW(PLE.lastrow)-ROW(PLE.firstrow))),0,IF(OFFSET(PLE!$G$14,$M186,CB$13)="",10^12,OFFSET(PLE!$G$14,$M186,CB$13))))</f>
        <v>1000000000000</v>
      </c>
      <c r="CC186" s="216">
        <f ca="1">IF($D186&lt;&gt;"Serviço",0,IF(OR(AND(AUTOEVENTO="Manual",$M186=1),$M186&gt;(ROW(PLE.lastrow)-ROW(PLE.firstrow))),0,IF(OFFSET(PLE!$G$14,$M186,CC$13)="",10^12,OFFSET(PLE!$G$14,$M186,CC$13))))</f>
        <v>1000000000000</v>
      </c>
      <c r="CD186" s="216">
        <f ca="1">IF($D186&lt;&gt;"Serviço",0,IF(OR(AND(AUTOEVENTO="Manual",$M186=1),$M186&gt;(ROW(PLE.lastrow)-ROW(PLE.firstrow))),0,IF(OFFSET(PLE!$G$14,$M186,CD$13)="",10^12,OFFSET(PLE!$G$14,$M186,CD$13))))</f>
        <v>1000000000000</v>
      </c>
      <c r="CE186" s="216">
        <f ca="1">IF($D186&lt;&gt;"Serviço",0,IF(OR(AND(AUTOEVENTO="Manual",$M186=1),$M186&gt;(ROW(PLE.lastrow)-ROW(PLE.firstrow))),0,IF(OFFSET(PLE!$G$14,$M186,CE$13)="",10^12,OFFSET(PLE!$G$14,$M186,CE$13))))</f>
        <v>1000000000000</v>
      </c>
      <c r="CF186" s="216">
        <f ca="1">IF($D186&lt;&gt;"Serviço",0,IF(OR(AND(AUTOEVENTO="Manual",$M186=1),$M186&gt;(ROW(PLE.lastrow)-ROW(PLE.firstrow))),0,IF(OFFSET(PLE!$G$14,$M186,CF$13)="",10^12,OFFSET(PLE!$G$14,$M186,CF$13))))</f>
        <v>1000000000000</v>
      </c>
      <c r="CG186" s="216">
        <f ca="1">IF($D186&lt;&gt;"Serviço",0,IF(OR(AND(AUTOEVENTO="Manual",$M186=1),$M186&gt;(ROW(PLE.lastrow)-ROW(PLE.firstrow))),0,IF(OFFSET(PLE!$G$14,$M186,CG$13)="",10^12,OFFSET(PLE!$G$14,$M186,CG$13))))</f>
        <v>1000000000000</v>
      </c>
      <c r="CH186" s="216">
        <f ca="1">IF($D186&lt;&gt;"Serviço",0,IF(OR(AND(AUTOEVENTO="Manual",$M186=1),$M186&gt;(ROW(PLE.lastrow)-ROW(PLE.firstrow))),0,IF(OFFSET(PLE!$G$14,$M186,CH$13)="",10^12,OFFSET(PLE!$G$14,$M186,CH$13))))</f>
        <v>1000000000000</v>
      </c>
      <c r="CI186" s="216">
        <f ca="1">IF($D186&lt;&gt;"Serviço",0,IF(OR(AND(AUTOEVENTO="Manual",$M186=1),$M186&gt;(ROW(PLE.lastrow)-ROW(PLE.firstrow))),0,IF(OFFSET(PLE!$G$14,$M186,CI$13)="",10^12,OFFSET(PLE!$G$14,$M186,CI$13))))</f>
        <v>1000000000000</v>
      </c>
      <c r="CJ186" s="216">
        <f ca="1">IF($D186&lt;&gt;"Serviço",0,IF(OR(AND(AUTOEVENTO="Manual",$M186=1),$M186&gt;(ROW(PLE.lastrow)-ROW(PLE.firstrow))),0,IF(OFFSET(PLE!$G$14,$M186,CJ$13)="",10^12,OFFSET(PLE!$G$14,$M186,CJ$13))))</f>
        <v>1000000000000</v>
      </c>
      <c r="CK186" s="216">
        <f ca="1">IF($D186&lt;&gt;"Serviço",0,IF(OR(AND(AUTOEVENTO="Manual",$M186=1),$M186&gt;(ROW(PLE.lastrow)-ROW(PLE.firstrow))),0,IF(OFFSET(PLE!$G$14,$M186,CK$13)="",10^12,OFFSET(PLE!$G$14,$M186,CK$13))))</f>
        <v>1000000000000</v>
      </c>
      <c r="CL186" s="216">
        <f ca="1">IF($D186&lt;&gt;"Serviço",0,IF(OR(AND(AUTOEVENTO="Manual",$M186=1),$M186&gt;(ROW(PLE.lastrow)-ROW(PLE.firstrow))),0,IF(OFFSET(PLE!$G$14,$M186,CL$13)="",10^12,OFFSET(PLE!$G$14,$M186,CL$13))))</f>
        <v>1000000000000</v>
      </c>
      <c r="CM186" s="216">
        <f ca="1">IF($D186&lt;&gt;"Serviço",0,IF(OR(AND(AUTOEVENTO="Manual",$M186=1),$M186&gt;(ROW(PLE.lastrow)-ROW(PLE.firstrow))),0,IF(OFFSET(PLE!$G$14,$M186,CM$13)="",10^12,OFFSET(PLE!$G$14,$M186,CM$13))))</f>
        <v>1000000000000</v>
      </c>
    </row>
    <row r="187" spans="1:91" ht="13.2" x14ac:dyDescent="0.25">
      <c r="A187" s="9">
        <f t="shared" ca="1" si="11"/>
        <v>0</v>
      </c>
      <c r="B187" s="9" t="str">
        <f ca="1">OFFSET(ORÇAMENTO!C$15,ROW(B187)-ROW(B$15),0)</f>
        <v>S</v>
      </c>
      <c r="C187" s="9" t="str">
        <f ca="1">OFFSET(ORÇAMENTO!L$15,ROW(C187)-ROW(C$15),0)</f>
        <v/>
      </c>
      <c r="D187" s="145" t="str">
        <f ca="1">OFFSET(ORÇAMENTO!N$15,ROW(D187)-ROW(D$15),0)</f>
        <v>Serviço</v>
      </c>
      <c r="E187" s="205" t="str">
        <f ca="1">OFFSET(ORÇAMENTO!O$15,ROW(E187)-ROW(E$15),0)</f>
        <v>-</v>
      </c>
      <c r="F187" s="206" t="str">
        <f ca="1">OFFSET(ORÇAMENTO!R$15,ROW(F187)-ROW(F$15),0)</f>
        <v>(abra o arquivo 'Referência 05-2024.xls)</v>
      </c>
      <c r="G187" s="207" t="str">
        <f ca="1">IF($D187&lt;&gt;"Serviço","",OFFSET(ORÇAMENTO!S$15,ROW(G187)-ROW(G$15),0))</f>
        <v>-</v>
      </c>
      <c r="H187" s="151">
        <f ca="1">IF($D187&lt;&gt;"Serviço",0,IF(ACOMPANHAMENTO="BM",ROUND(OFFSET(ORÇAMENTO!AJ$15,ROW(H187)-ROW(H$15),0),15-13*ORÇAMENTO!$AF$7),SUMPRODUCT(($Q$12:$AI$12&lt;&gt;"")*ROUND($Q187:$AI187,15-13*ORÇAMENTO!$AF$7))))</f>
        <v>38.76</v>
      </c>
      <c r="I187" s="650"/>
      <c r="K187" s="208"/>
      <c r="L187" s="209" t="s">
        <v>257</v>
      </c>
      <c r="M187" s="210">
        <f ca="1">IF($D187&lt;&gt;"Serviço","",IF(AUTOEVENTO="manual",$A187,IF(ISERROR(MATCH($A187,$A$15:OFFSET($A187,-1,0),0)),MAX($M$15:OFFSET(M187,-1,0))+1,INDEX($M$15:OFFSET(M187,-1,0),MATCH($A187,$A$15:OFFSET($A187,-1,0),0)))))</f>
        <v>0</v>
      </c>
      <c r="N187" s="211" t="str">
        <f ca="1">IF($D187&lt;&gt;"Serviço","",IF(AUTOEVENTO="Manual",IF($A187=0,"&lt;-- defina o número do agrupador",OFFSET(EVENTOS!$D$14,$A187,0)),OFFSET($F$15,$A187,0)))</f>
        <v>&lt;-- defina o número do agrupador</v>
      </c>
      <c r="O187" s="212"/>
      <c r="Q187" s="212"/>
      <c r="R187" s="213"/>
      <c r="S187" s="213"/>
      <c r="T187" s="213"/>
      <c r="U187" s="213"/>
      <c r="V187" s="213"/>
      <c r="W187" s="213"/>
      <c r="X187" s="213"/>
      <c r="Y187" s="213"/>
      <c r="Z187" s="214"/>
      <c r="AA187" s="213"/>
      <c r="AB187" s="213"/>
      <c r="AC187" s="213"/>
      <c r="AD187" s="213"/>
      <c r="AE187" s="213"/>
      <c r="AF187" s="213"/>
      <c r="AG187" s="213"/>
      <c r="AH187" s="214"/>
      <c r="AJ187" s="631">
        <f ca="1">IF(AND($D187="Serviço",AJ$12&lt;&gt;0,$H187&gt;0,OR(AUTOEVENTO&lt;&gt;"manual",$M187&lt;&gt;1)),ROUND(OFFSET($P187,0,AJ$13),15-13*ORÇAMENTO!$AF$7)/$H187*OFFSET(ORÇAMENTO!$X$15,ROW(AJ187)-ROW(AJ$15),0),0)</f>
        <v>0</v>
      </c>
      <c r="AK187" s="632">
        <f ca="1">IF(AND($D187="Serviço",AK$12&lt;&gt;0,$H187&gt;0,OR(AUTOEVENTO&lt;&gt;"manual",$M187&lt;&gt;1)),ROUND(OFFSET($P187,0,AK$13),15-13*ORÇAMENTO!$AF$7)/$H187*OFFSET(ORÇAMENTO!$X$15,ROW(AK187)-ROW(AK$15),0),0)</f>
        <v>0</v>
      </c>
      <c r="AL187" s="632">
        <f ca="1">IF(AND($D187="Serviço",AL$12&lt;&gt;0,$H187&gt;0,OR(AUTOEVENTO&lt;&gt;"manual",$M187&lt;&gt;1)),ROUND(OFFSET($P187,0,AL$13),15-13*ORÇAMENTO!$AF$7)/$H187*OFFSET(ORÇAMENTO!$X$15,ROW(AL187)-ROW(AL$15),0),0)</f>
        <v>0</v>
      </c>
      <c r="AM187" s="632">
        <f ca="1">IF(AND($D187="Serviço",AM$12&lt;&gt;0,$H187&gt;0,OR(AUTOEVENTO&lt;&gt;"manual",$M187&lt;&gt;1)),ROUND(OFFSET($P187,0,AM$13),15-13*ORÇAMENTO!$AF$7)/$H187*OFFSET(ORÇAMENTO!$X$15,ROW(AM187)-ROW(AM$15),0),0)</f>
        <v>0</v>
      </c>
      <c r="AN187" s="632">
        <f ca="1">IF(AND($D187="Serviço",AN$12&lt;&gt;0,$H187&gt;0,OR(AUTOEVENTO&lt;&gt;"manual",$M187&lt;&gt;1)),ROUND(OFFSET($P187,0,AN$13),15-13*ORÇAMENTO!$AF$7)/$H187*OFFSET(ORÇAMENTO!$X$15,ROW(AN187)-ROW(AN$15),0),0)</f>
        <v>0</v>
      </c>
      <c r="AO187" s="632">
        <f ca="1">IF(AND($D187="Serviço",AO$12&lt;&gt;0,$H187&gt;0,OR(AUTOEVENTO&lt;&gt;"manual",$M187&lt;&gt;1)),ROUND(OFFSET($P187,0,AO$13),15-13*ORÇAMENTO!$AF$7)/$H187*OFFSET(ORÇAMENTO!$X$15,ROW(AO187)-ROW(AO$15),0),0)</f>
        <v>0</v>
      </c>
      <c r="AP187" s="632">
        <f ca="1">IF(AND($D187="Serviço",AP$12&lt;&gt;0,$H187&gt;0,OR(AUTOEVENTO&lt;&gt;"manual",$M187&lt;&gt;1)),ROUND(OFFSET($P187,0,AP$13),15-13*ORÇAMENTO!$AF$7)/$H187*OFFSET(ORÇAMENTO!$X$15,ROW(AP187)-ROW(AP$15),0),0)</f>
        <v>0</v>
      </c>
      <c r="AQ187" s="632">
        <f ca="1">IF(AND($D187="Serviço",AQ$12&lt;&gt;0,$H187&gt;0,OR(AUTOEVENTO&lt;&gt;"manual",$M187&lt;&gt;1)),ROUND(OFFSET($P187,0,AQ$13),15-13*ORÇAMENTO!$AF$7)/$H187*OFFSET(ORÇAMENTO!$X$15,ROW(AQ187)-ROW(AQ$15),0),0)</f>
        <v>0</v>
      </c>
      <c r="AR187" s="632">
        <f ca="1">IF(AND($D187="Serviço",AR$12&lt;&gt;0,$H187&gt;0,OR(AUTOEVENTO&lt;&gt;"manual",$M187&lt;&gt;1)),ROUND(OFFSET($P187,0,AR$13),15-13*ORÇAMENTO!$AF$7)/$H187*OFFSET(ORÇAMENTO!$X$15,ROW(AR187)-ROW(AR$15),0),0)</f>
        <v>0</v>
      </c>
      <c r="AS187" s="633">
        <f ca="1">IF(AND($D187="Serviço",AS$12&lt;&gt;0,$H187&gt;0,OR(AUTOEVENTO&lt;&gt;"manual",$M187&lt;&gt;1)),ROUND(OFFSET($P187,0,AS$13),15-13*ORÇAMENTO!$AF$7)/$H187*OFFSET(ORÇAMENTO!$X$15,ROW(AS187)-ROW(AS$15),0),0)</f>
        <v>0</v>
      </c>
      <c r="AT187" s="632">
        <f ca="1">IF(AND($D187="Serviço",AT$12&lt;&gt;0,$H187&gt;0,OR(AUTOEVENTO&lt;&gt;"manual",$M187&lt;&gt;1)),ROUND(OFFSET($P187,0,AT$13),15-13*ORÇAMENTO!$AF$7)/$H187*OFFSET(ORÇAMENTO!$X$15,ROW(AT187)-ROW(AT$15),0),0)</f>
        <v>0</v>
      </c>
      <c r="AU187" s="632">
        <f ca="1">IF(AND($D187="Serviço",AU$12&lt;&gt;0,$H187&gt;0,OR(AUTOEVENTO&lt;&gt;"manual",$M187&lt;&gt;1)),ROUND(OFFSET($P187,0,AU$13),15-13*ORÇAMENTO!$AF$7)/$H187*OFFSET(ORÇAMENTO!$X$15,ROW(AU187)-ROW(AU$15),0),0)</f>
        <v>0</v>
      </c>
      <c r="AV187" s="632">
        <f ca="1">IF(AND($D187="Serviço",AV$12&lt;&gt;0,$H187&gt;0,OR(AUTOEVENTO&lt;&gt;"manual",$M187&lt;&gt;1)),ROUND(OFFSET($P187,0,AV$13),15-13*ORÇAMENTO!$AF$7)/$H187*OFFSET(ORÇAMENTO!$X$15,ROW(AV187)-ROW(AV$15),0),0)</f>
        <v>0</v>
      </c>
      <c r="AW187" s="632">
        <f ca="1">IF(AND($D187="Serviço",AW$12&lt;&gt;0,$H187&gt;0,OR(AUTOEVENTO&lt;&gt;"manual",$M187&lt;&gt;1)),ROUND(OFFSET($P187,0,AW$13),15-13*ORÇAMENTO!$AF$7)/$H187*OFFSET(ORÇAMENTO!$X$15,ROW(AW187)-ROW(AW$15),0),0)</f>
        <v>0</v>
      </c>
      <c r="AX187" s="632">
        <f ca="1">IF(AND($D187="Serviço",AX$12&lt;&gt;0,$H187&gt;0,OR(AUTOEVENTO&lt;&gt;"manual",$M187&lt;&gt;1)),ROUND(OFFSET($P187,0,AX$13),15-13*ORÇAMENTO!$AF$7)/$H187*OFFSET(ORÇAMENTO!$X$15,ROW(AX187)-ROW(AX$15),0),0)</f>
        <v>0</v>
      </c>
      <c r="AY187" s="632">
        <f ca="1">IF(AND($D187="Serviço",AY$12&lt;&gt;0,$H187&gt;0,OR(AUTOEVENTO&lt;&gt;"manual",$M187&lt;&gt;1)),ROUND(OFFSET($P187,0,AY$13),15-13*ORÇAMENTO!$AF$7)/$H187*OFFSET(ORÇAMENTO!$X$15,ROW(AY187)-ROW(AY$15),0),0)</f>
        <v>0</v>
      </c>
      <c r="AZ187" s="632">
        <f ca="1">IF(AND($D187="Serviço",AZ$12&lt;&gt;0,$H187&gt;0,OR(AUTOEVENTO&lt;&gt;"manual",$M187&lt;&gt;1)),ROUND(OFFSET($P187,0,AZ$13),15-13*ORÇAMENTO!$AF$7)/$H187*OFFSET(ORÇAMENTO!$X$15,ROW(AZ187)-ROW(AZ$15),0),0)</f>
        <v>0</v>
      </c>
      <c r="BA187" s="633">
        <f ca="1">IF(AND($D187="Serviço",BA$12&lt;&gt;0,$H187&gt;0,OR(AUTOEVENTO&lt;&gt;"manual",$M187&lt;&gt;1)),ROUND(OFFSET($P187,0,BA$13),15-13*ORÇAMENTO!$AF$7)/$H187*OFFSET(ORÇAMENTO!$X$15,ROW(BA187)-ROW(BA$15),0),0)</f>
        <v>0</v>
      </c>
      <c r="BC187" s="215">
        <f ca="1">IF($D187&lt;&gt;"Serviço",0,IF(AND(AUTOEVENTO="Manual",$M187=1),0,IF(OFFSET(CRONOPLE!$F$14,$M187,BC$13)="",10^12,OFFSET(CRONOPLE!$F$14,$M187,BC$13))))</f>
        <v>1000000000000</v>
      </c>
      <c r="BD187" s="215">
        <f ca="1">IF($D187&lt;&gt;"Serviço",0,IF(AND(AUTOEVENTO="Manual",$M187=1),0,IF(OFFSET(CRONOPLE!$F$14,$M187,BD$13)="",10^12,OFFSET(CRONOPLE!$F$14,$M187,BD$13))))</f>
        <v>1000000000000</v>
      </c>
      <c r="BE187" s="215">
        <f ca="1">IF($D187&lt;&gt;"Serviço",0,IF(AND(AUTOEVENTO="Manual",$M187=1),0,IF(OFFSET(CRONOPLE!$F$14,$M187,BE$13)="",10^12,OFFSET(CRONOPLE!$F$14,$M187,BE$13))))</f>
        <v>1000000000000</v>
      </c>
      <c r="BF187" s="215">
        <f ca="1">IF($D187&lt;&gt;"Serviço",0,IF(AND(AUTOEVENTO="Manual",$M187=1),0,IF(OFFSET(CRONOPLE!$F$14,$M187,BF$13)="",10^12,OFFSET(CRONOPLE!$F$14,$M187,BF$13))))</f>
        <v>1000000000000</v>
      </c>
      <c r="BG187" s="215">
        <f ca="1">IF($D187&lt;&gt;"Serviço",0,IF(AND(AUTOEVENTO="Manual",$M187=1),0,IF(OFFSET(CRONOPLE!$F$14,$M187,BG$13)="",10^12,OFFSET(CRONOPLE!$F$14,$M187,BG$13))))</f>
        <v>1000000000000</v>
      </c>
      <c r="BH187" s="215">
        <f ca="1">IF($D187&lt;&gt;"Serviço",0,IF(AND(AUTOEVENTO="Manual",$M187=1),0,IF(OFFSET(CRONOPLE!$F$14,$M187,BH$13)="",10^12,OFFSET(CRONOPLE!$F$14,$M187,BH$13))))</f>
        <v>1000000000000</v>
      </c>
      <c r="BI187" s="215">
        <f ca="1">IF($D187&lt;&gt;"Serviço",0,IF(AND(AUTOEVENTO="Manual",$M187=1),0,IF(OFFSET(CRONOPLE!$F$14,$M187,BI$13)="",10^12,OFFSET(CRONOPLE!$F$14,$M187,BI$13))))</f>
        <v>1000000000000</v>
      </c>
      <c r="BJ187" s="215">
        <f ca="1">IF($D187&lt;&gt;"Serviço",0,IF(AND(AUTOEVENTO="Manual",$M187=1),0,IF(OFFSET(CRONOPLE!$F$14,$M187,BJ$13)="",10^12,OFFSET(CRONOPLE!$F$14,$M187,BJ$13))))</f>
        <v>1000000000000</v>
      </c>
      <c r="BK187" s="215">
        <f ca="1">IF($D187&lt;&gt;"Serviço",0,IF(AND(AUTOEVENTO="Manual",$M187=1),0,IF(OFFSET(CRONOPLE!$F$14,$M187,BK$13)="",10^12,OFFSET(CRONOPLE!$F$14,$M187,BK$13))))</f>
        <v>1000000000000</v>
      </c>
      <c r="BL187" s="215">
        <f ca="1">IF($D187&lt;&gt;"Serviço",0,IF(AND(AUTOEVENTO="Manual",$M187=1),0,IF(OFFSET(CRONOPLE!$F$14,$M187,BL$13)="",10^12,OFFSET(CRONOPLE!$F$14,$M187,BL$13))))</f>
        <v>1000000000000</v>
      </c>
      <c r="BM187" s="215">
        <f ca="1">IF($D187&lt;&gt;"Serviço",0,IF(AND(AUTOEVENTO="Manual",$M187=1),0,IF(OFFSET(CRONOPLE!$F$14,$M187,BM$13)="",10^12,OFFSET(CRONOPLE!$F$14,$M187,BM$13))))</f>
        <v>1000000000000</v>
      </c>
      <c r="BN187" s="215">
        <f ca="1">IF($D187&lt;&gt;"Serviço",0,IF(AND(AUTOEVENTO="Manual",$M187=1),0,IF(OFFSET(CRONOPLE!$F$14,$M187,BN$13)="",10^12,OFFSET(CRONOPLE!$F$14,$M187,BN$13))))</f>
        <v>1000000000000</v>
      </c>
      <c r="BO187" s="215">
        <f ca="1">IF($D187&lt;&gt;"Serviço",0,IF(AND(AUTOEVENTO="Manual",$M187=1),0,IF(OFFSET(CRONOPLE!$F$14,$M187,BO$13)="",10^12,OFFSET(CRONOPLE!$F$14,$M187,BO$13))))</f>
        <v>1000000000000</v>
      </c>
      <c r="BP187" s="215">
        <f ca="1">IF($D187&lt;&gt;"Serviço",0,IF(AND(AUTOEVENTO="Manual",$M187=1),0,IF(OFFSET(CRONOPLE!$F$14,$M187,BP$13)="",10^12,OFFSET(CRONOPLE!$F$14,$M187,BP$13))))</f>
        <v>1000000000000</v>
      </c>
      <c r="BQ187" s="215">
        <f ca="1">IF($D187&lt;&gt;"Serviço",0,IF(AND(AUTOEVENTO="Manual",$M187=1),0,IF(OFFSET(CRONOPLE!$F$14,$M187,BQ$13)="",10^12,OFFSET(CRONOPLE!$F$14,$M187,BQ$13))))</f>
        <v>1000000000000</v>
      </c>
      <c r="BR187" s="215">
        <f ca="1">IF($D187&lt;&gt;"Serviço",0,IF(AND(AUTOEVENTO="Manual",$M187=1),0,IF(OFFSET(CRONOPLE!$F$14,$M187,BR$13)="",10^12,OFFSET(CRONOPLE!$F$14,$M187,BR$13))))</f>
        <v>1000000000000</v>
      </c>
      <c r="BS187" s="215">
        <f ca="1">IF($D187&lt;&gt;"Serviço",0,IF(AND(AUTOEVENTO="Manual",$M187=1),0,IF(OFFSET(CRONOPLE!$F$14,$M187,BS$13)="",10^12,OFFSET(CRONOPLE!$F$14,$M187,BS$13))))</f>
        <v>1000000000000</v>
      </c>
      <c r="BT187" s="215">
        <f ca="1">IF($D187&lt;&gt;"Serviço",0,IF(AND(AUTOEVENTO="Manual",$M187=1),0,IF(OFFSET(CRONOPLE!$F$14,$M187,BT$13)="",10^12,OFFSET(CRONOPLE!$F$14,$M187,BT$13))))</f>
        <v>1000000000000</v>
      </c>
      <c r="BV187" s="216">
        <f ca="1">IF($D187&lt;&gt;"Serviço",0,IF(OR(AND(AUTOEVENTO="Manual",$M187=1),$M187&gt;(ROW(PLE.lastrow)-ROW(PLE.firstrow))),0,IF(OFFSET(PLE!$G$14,$M187,BV$13)="",10^12,OFFSET(PLE!$G$14,$M187,BV$13))))</f>
        <v>1000000000000</v>
      </c>
      <c r="BW187" s="216">
        <f ca="1">IF($D187&lt;&gt;"Serviço",0,IF(OR(AND(AUTOEVENTO="Manual",$M187=1),$M187&gt;(ROW(PLE.lastrow)-ROW(PLE.firstrow))),0,IF(OFFSET(PLE!$G$14,$M187,BW$13)="",10^12,OFFSET(PLE!$G$14,$M187,BW$13))))</f>
        <v>1000000000000</v>
      </c>
      <c r="BX187" s="216">
        <f ca="1">IF($D187&lt;&gt;"Serviço",0,IF(OR(AND(AUTOEVENTO="Manual",$M187=1),$M187&gt;(ROW(PLE.lastrow)-ROW(PLE.firstrow))),0,IF(OFFSET(PLE!$G$14,$M187,BX$13)="",10^12,OFFSET(PLE!$G$14,$M187,BX$13))))</f>
        <v>1000000000000</v>
      </c>
      <c r="BY187" s="216">
        <f ca="1">IF($D187&lt;&gt;"Serviço",0,IF(OR(AND(AUTOEVENTO="Manual",$M187=1),$M187&gt;(ROW(PLE.lastrow)-ROW(PLE.firstrow))),0,IF(OFFSET(PLE!$G$14,$M187,BY$13)="",10^12,OFFSET(PLE!$G$14,$M187,BY$13))))</f>
        <v>1000000000000</v>
      </c>
      <c r="BZ187" s="216">
        <f ca="1">IF($D187&lt;&gt;"Serviço",0,IF(OR(AND(AUTOEVENTO="Manual",$M187=1),$M187&gt;(ROW(PLE.lastrow)-ROW(PLE.firstrow))),0,IF(OFFSET(PLE!$G$14,$M187,BZ$13)="",10^12,OFFSET(PLE!$G$14,$M187,BZ$13))))</f>
        <v>1000000000000</v>
      </c>
      <c r="CA187" s="216">
        <f ca="1">IF($D187&lt;&gt;"Serviço",0,IF(OR(AND(AUTOEVENTO="Manual",$M187=1),$M187&gt;(ROW(PLE.lastrow)-ROW(PLE.firstrow))),0,IF(OFFSET(PLE!$G$14,$M187,CA$13)="",10^12,OFFSET(PLE!$G$14,$M187,CA$13))))</f>
        <v>1000000000000</v>
      </c>
      <c r="CB187" s="216">
        <f ca="1">IF($D187&lt;&gt;"Serviço",0,IF(OR(AND(AUTOEVENTO="Manual",$M187=1),$M187&gt;(ROW(PLE.lastrow)-ROW(PLE.firstrow))),0,IF(OFFSET(PLE!$G$14,$M187,CB$13)="",10^12,OFFSET(PLE!$G$14,$M187,CB$13))))</f>
        <v>1000000000000</v>
      </c>
      <c r="CC187" s="216">
        <f ca="1">IF($D187&lt;&gt;"Serviço",0,IF(OR(AND(AUTOEVENTO="Manual",$M187=1),$M187&gt;(ROW(PLE.lastrow)-ROW(PLE.firstrow))),0,IF(OFFSET(PLE!$G$14,$M187,CC$13)="",10^12,OFFSET(PLE!$G$14,$M187,CC$13))))</f>
        <v>1000000000000</v>
      </c>
      <c r="CD187" s="216">
        <f ca="1">IF($D187&lt;&gt;"Serviço",0,IF(OR(AND(AUTOEVENTO="Manual",$M187=1),$M187&gt;(ROW(PLE.lastrow)-ROW(PLE.firstrow))),0,IF(OFFSET(PLE!$G$14,$M187,CD$13)="",10^12,OFFSET(PLE!$G$14,$M187,CD$13))))</f>
        <v>1000000000000</v>
      </c>
      <c r="CE187" s="216">
        <f ca="1">IF($D187&lt;&gt;"Serviço",0,IF(OR(AND(AUTOEVENTO="Manual",$M187=1),$M187&gt;(ROW(PLE.lastrow)-ROW(PLE.firstrow))),0,IF(OFFSET(PLE!$G$14,$M187,CE$13)="",10^12,OFFSET(PLE!$G$14,$M187,CE$13))))</f>
        <v>1000000000000</v>
      </c>
      <c r="CF187" s="216">
        <f ca="1">IF($D187&lt;&gt;"Serviço",0,IF(OR(AND(AUTOEVENTO="Manual",$M187=1),$M187&gt;(ROW(PLE.lastrow)-ROW(PLE.firstrow))),0,IF(OFFSET(PLE!$G$14,$M187,CF$13)="",10^12,OFFSET(PLE!$G$14,$M187,CF$13))))</f>
        <v>1000000000000</v>
      </c>
      <c r="CG187" s="216">
        <f ca="1">IF($D187&lt;&gt;"Serviço",0,IF(OR(AND(AUTOEVENTO="Manual",$M187=1),$M187&gt;(ROW(PLE.lastrow)-ROW(PLE.firstrow))),0,IF(OFFSET(PLE!$G$14,$M187,CG$13)="",10^12,OFFSET(PLE!$G$14,$M187,CG$13))))</f>
        <v>1000000000000</v>
      </c>
      <c r="CH187" s="216">
        <f ca="1">IF($D187&lt;&gt;"Serviço",0,IF(OR(AND(AUTOEVENTO="Manual",$M187=1),$M187&gt;(ROW(PLE.lastrow)-ROW(PLE.firstrow))),0,IF(OFFSET(PLE!$G$14,$M187,CH$13)="",10^12,OFFSET(PLE!$G$14,$M187,CH$13))))</f>
        <v>1000000000000</v>
      </c>
      <c r="CI187" s="216">
        <f ca="1">IF($D187&lt;&gt;"Serviço",0,IF(OR(AND(AUTOEVENTO="Manual",$M187=1),$M187&gt;(ROW(PLE.lastrow)-ROW(PLE.firstrow))),0,IF(OFFSET(PLE!$G$14,$M187,CI$13)="",10^12,OFFSET(PLE!$G$14,$M187,CI$13))))</f>
        <v>1000000000000</v>
      </c>
      <c r="CJ187" s="216">
        <f ca="1">IF($D187&lt;&gt;"Serviço",0,IF(OR(AND(AUTOEVENTO="Manual",$M187=1),$M187&gt;(ROW(PLE.lastrow)-ROW(PLE.firstrow))),0,IF(OFFSET(PLE!$G$14,$M187,CJ$13)="",10^12,OFFSET(PLE!$G$14,$M187,CJ$13))))</f>
        <v>1000000000000</v>
      </c>
      <c r="CK187" s="216">
        <f ca="1">IF($D187&lt;&gt;"Serviço",0,IF(OR(AND(AUTOEVENTO="Manual",$M187=1),$M187&gt;(ROW(PLE.lastrow)-ROW(PLE.firstrow))),0,IF(OFFSET(PLE!$G$14,$M187,CK$13)="",10^12,OFFSET(PLE!$G$14,$M187,CK$13))))</f>
        <v>1000000000000</v>
      </c>
      <c r="CL187" s="216">
        <f ca="1">IF($D187&lt;&gt;"Serviço",0,IF(OR(AND(AUTOEVENTO="Manual",$M187=1),$M187&gt;(ROW(PLE.lastrow)-ROW(PLE.firstrow))),0,IF(OFFSET(PLE!$G$14,$M187,CL$13)="",10^12,OFFSET(PLE!$G$14,$M187,CL$13))))</f>
        <v>1000000000000</v>
      </c>
      <c r="CM187" s="216">
        <f ca="1">IF($D187&lt;&gt;"Serviço",0,IF(OR(AND(AUTOEVENTO="Manual",$M187=1),$M187&gt;(ROW(PLE.lastrow)-ROW(PLE.firstrow))),0,IF(OFFSET(PLE!$G$14,$M187,CM$13)="",10^12,OFFSET(PLE!$G$14,$M187,CM$13))))</f>
        <v>1000000000000</v>
      </c>
    </row>
    <row r="188" spans="1:91" ht="13.2" x14ac:dyDescent="0.25">
      <c r="A188" s="9">
        <f t="shared" ca="1" si="11"/>
        <v>0</v>
      </c>
      <c r="B188" s="9" t="str">
        <f ca="1">OFFSET(ORÇAMENTO!C$15,ROW(B188)-ROW(B$15),0)</f>
        <v>S</v>
      </c>
      <c r="C188" s="9" t="str">
        <f ca="1">OFFSET(ORÇAMENTO!L$15,ROW(C188)-ROW(C$15),0)</f>
        <v/>
      </c>
      <c r="D188" s="145" t="str">
        <f ca="1">OFFSET(ORÇAMENTO!N$15,ROW(D188)-ROW(D$15),0)</f>
        <v>Serviço</v>
      </c>
      <c r="E188" s="205" t="str">
        <f ca="1">OFFSET(ORÇAMENTO!O$15,ROW(E188)-ROW(E$15),0)</f>
        <v>-</v>
      </c>
      <c r="F188" s="206" t="str">
        <f ca="1">OFFSET(ORÇAMENTO!R$15,ROW(F188)-ROW(F$15),0)</f>
        <v>(abra o arquivo 'Referência 05-2024.xls)</v>
      </c>
      <c r="G188" s="207" t="str">
        <f ca="1">IF($D188&lt;&gt;"Serviço","",OFFSET(ORÇAMENTO!S$15,ROW(G188)-ROW(G$15),0))</f>
        <v>-</v>
      </c>
      <c r="H188" s="151">
        <f ca="1">IF($D188&lt;&gt;"Serviço",0,IF(ACOMPANHAMENTO="BM",ROUND(OFFSET(ORÇAMENTO!AJ$15,ROW(H188)-ROW(H$15),0),15-13*ORÇAMENTO!$AF$7),SUMPRODUCT(($Q$12:$AI$12&lt;&gt;"")*ROUND($Q188:$AI188,15-13*ORÇAMENTO!$AF$7))))</f>
        <v>35.909999999999997</v>
      </c>
      <c r="I188" s="650"/>
      <c r="K188" s="208"/>
      <c r="L188" s="209" t="s">
        <v>257</v>
      </c>
      <c r="M188" s="210">
        <f ca="1">IF($D188&lt;&gt;"Serviço","",IF(AUTOEVENTO="manual",$A188,IF(ISERROR(MATCH($A188,$A$15:OFFSET($A188,-1,0),0)),MAX($M$15:OFFSET(M188,-1,0))+1,INDEX($M$15:OFFSET(M188,-1,0),MATCH($A188,$A$15:OFFSET($A188,-1,0),0)))))</f>
        <v>0</v>
      </c>
      <c r="N188" s="211" t="str">
        <f ca="1">IF($D188&lt;&gt;"Serviço","",IF(AUTOEVENTO="Manual",IF($A188=0,"&lt;-- defina o número do agrupador",OFFSET(EVENTOS!$D$14,$A188,0)),OFFSET($F$15,$A188,0)))</f>
        <v>&lt;-- defina o número do agrupador</v>
      </c>
      <c r="O188" s="212"/>
      <c r="Q188" s="212"/>
      <c r="R188" s="213"/>
      <c r="S188" s="213"/>
      <c r="T188" s="213"/>
      <c r="U188" s="213"/>
      <c r="V188" s="213"/>
      <c r="W188" s="213"/>
      <c r="X188" s="213"/>
      <c r="Y188" s="213"/>
      <c r="Z188" s="214"/>
      <c r="AA188" s="213"/>
      <c r="AB188" s="213"/>
      <c r="AC188" s="213"/>
      <c r="AD188" s="213"/>
      <c r="AE188" s="213"/>
      <c r="AF188" s="213"/>
      <c r="AG188" s="213"/>
      <c r="AH188" s="214"/>
      <c r="AJ188" s="631">
        <f ca="1">IF(AND($D188="Serviço",AJ$12&lt;&gt;0,$H188&gt;0,OR(AUTOEVENTO&lt;&gt;"manual",$M188&lt;&gt;1)),ROUND(OFFSET($P188,0,AJ$13),15-13*ORÇAMENTO!$AF$7)/$H188*OFFSET(ORÇAMENTO!$X$15,ROW(AJ188)-ROW(AJ$15),0),0)</f>
        <v>0</v>
      </c>
      <c r="AK188" s="632">
        <f ca="1">IF(AND($D188="Serviço",AK$12&lt;&gt;0,$H188&gt;0,OR(AUTOEVENTO&lt;&gt;"manual",$M188&lt;&gt;1)),ROUND(OFFSET($P188,0,AK$13),15-13*ORÇAMENTO!$AF$7)/$H188*OFFSET(ORÇAMENTO!$X$15,ROW(AK188)-ROW(AK$15),0),0)</f>
        <v>0</v>
      </c>
      <c r="AL188" s="632">
        <f ca="1">IF(AND($D188="Serviço",AL$12&lt;&gt;0,$H188&gt;0,OR(AUTOEVENTO&lt;&gt;"manual",$M188&lt;&gt;1)),ROUND(OFFSET($P188,0,AL$13),15-13*ORÇAMENTO!$AF$7)/$H188*OFFSET(ORÇAMENTO!$X$15,ROW(AL188)-ROW(AL$15),0),0)</f>
        <v>0</v>
      </c>
      <c r="AM188" s="632">
        <f ca="1">IF(AND($D188="Serviço",AM$12&lt;&gt;0,$H188&gt;0,OR(AUTOEVENTO&lt;&gt;"manual",$M188&lt;&gt;1)),ROUND(OFFSET($P188,0,AM$13),15-13*ORÇAMENTO!$AF$7)/$H188*OFFSET(ORÇAMENTO!$X$15,ROW(AM188)-ROW(AM$15),0),0)</f>
        <v>0</v>
      </c>
      <c r="AN188" s="632">
        <f ca="1">IF(AND($D188="Serviço",AN$12&lt;&gt;0,$H188&gt;0,OR(AUTOEVENTO&lt;&gt;"manual",$M188&lt;&gt;1)),ROUND(OFFSET($P188,0,AN$13),15-13*ORÇAMENTO!$AF$7)/$H188*OFFSET(ORÇAMENTO!$X$15,ROW(AN188)-ROW(AN$15),0),0)</f>
        <v>0</v>
      </c>
      <c r="AO188" s="632">
        <f ca="1">IF(AND($D188="Serviço",AO$12&lt;&gt;0,$H188&gt;0,OR(AUTOEVENTO&lt;&gt;"manual",$M188&lt;&gt;1)),ROUND(OFFSET($P188,0,AO$13),15-13*ORÇAMENTO!$AF$7)/$H188*OFFSET(ORÇAMENTO!$X$15,ROW(AO188)-ROW(AO$15),0),0)</f>
        <v>0</v>
      </c>
      <c r="AP188" s="632">
        <f ca="1">IF(AND($D188="Serviço",AP$12&lt;&gt;0,$H188&gt;0,OR(AUTOEVENTO&lt;&gt;"manual",$M188&lt;&gt;1)),ROUND(OFFSET($P188,0,AP$13),15-13*ORÇAMENTO!$AF$7)/$H188*OFFSET(ORÇAMENTO!$X$15,ROW(AP188)-ROW(AP$15),0),0)</f>
        <v>0</v>
      </c>
      <c r="AQ188" s="632">
        <f ca="1">IF(AND($D188="Serviço",AQ$12&lt;&gt;0,$H188&gt;0,OR(AUTOEVENTO&lt;&gt;"manual",$M188&lt;&gt;1)),ROUND(OFFSET($P188,0,AQ$13),15-13*ORÇAMENTO!$AF$7)/$H188*OFFSET(ORÇAMENTO!$X$15,ROW(AQ188)-ROW(AQ$15),0),0)</f>
        <v>0</v>
      </c>
      <c r="AR188" s="632">
        <f ca="1">IF(AND($D188="Serviço",AR$12&lt;&gt;0,$H188&gt;0,OR(AUTOEVENTO&lt;&gt;"manual",$M188&lt;&gt;1)),ROUND(OFFSET($P188,0,AR$13),15-13*ORÇAMENTO!$AF$7)/$H188*OFFSET(ORÇAMENTO!$X$15,ROW(AR188)-ROW(AR$15),0),0)</f>
        <v>0</v>
      </c>
      <c r="AS188" s="633">
        <f ca="1">IF(AND($D188="Serviço",AS$12&lt;&gt;0,$H188&gt;0,OR(AUTOEVENTO&lt;&gt;"manual",$M188&lt;&gt;1)),ROUND(OFFSET($P188,0,AS$13),15-13*ORÇAMENTO!$AF$7)/$H188*OFFSET(ORÇAMENTO!$X$15,ROW(AS188)-ROW(AS$15),0),0)</f>
        <v>0</v>
      </c>
      <c r="AT188" s="632">
        <f ca="1">IF(AND($D188="Serviço",AT$12&lt;&gt;0,$H188&gt;0,OR(AUTOEVENTO&lt;&gt;"manual",$M188&lt;&gt;1)),ROUND(OFFSET($P188,0,AT$13),15-13*ORÇAMENTO!$AF$7)/$H188*OFFSET(ORÇAMENTO!$X$15,ROW(AT188)-ROW(AT$15),0),0)</f>
        <v>0</v>
      </c>
      <c r="AU188" s="632">
        <f ca="1">IF(AND($D188="Serviço",AU$12&lt;&gt;0,$H188&gt;0,OR(AUTOEVENTO&lt;&gt;"manual",$M188&lt;&gt;1)),ROUND(OFFSET($P188,0,AU$13),15-13*ORÇAMENTO!$AF$7)/$H188*OFFSET(ORÇAMENTO!$X$15,ROW(AU188)-ROW(AU$15),0),0)</f>
        <v>0</v>
      </c>
      <c r="AV188" s="632">
        <f ca="1">IF(AND($D188="Serviço",AV$12&lt;&gt;0,$H188&gt;0,OR(AUTOEVENTO&lt;&gt;"manual",$M188&lt;&gt;1)),ROUND(OFFSET($P188,0,AV$13),15-13*ORÇAMENTO!$AF$7)/$H188*OFFSET(ORÇAMENTO!$X$15,ROW(AV188)-ROW(AV$15),0),0)</f>
        <v>0</v>
      </c>
      <c r="AW188" s="632">
        <f ca="1">IF(AND($D188="Serviço",AW$12&lt;&gt;0,$H188&gt;0,OR(AUTOEVENTO&lt;&gt;"manual",$M188&lt;&gt;1)),ROUND(OFFSET($P188,0,AW$13),15-13*ORÇAMENTO!$AF$7)/$H188*OFFSET(ORÇAMENTO!$X$15,ROW(AW188)-ROW(AW$15),0),0)</f>
        <v>0</v>
      </c>
      <c r="AX188" s="632">
        <f ca="1">IF(AND($D188="Serviço",AX$12&lt;&gt;0,$H188&gt;0,OR(AUTOEVENTO&lt;&gt;"manual",$M188&lt;&gt;1)),ROUND(OFFSET($P188,0,AX$13),15-13*ORÇAMENTO!$AF$7)/$H188*OFFSET(ORÇAMENTO!$X$15,ROW(AX188)-ROW(AX$15),0),0)</f>
        <v>0</v>
      </c>
      <c r="AY188" s="632">
        <f ca="1">IF(AND($D188="Serviço",AY$12&lt;&gt;0,$H188&gt;0,OR(AUTOEVENTO&lt;&gt;"manual",$M188&lt;&gt;1)),ROUND(OFFSET($P188,0,AY$13),15-13*ORÇAMENTO!$AF$7)/$H188*OFFSET(ORÇAMENTO!$X$15,ROW(AY188)-ROW(AY$15),0),0)</f>
        <v>0</v>
      </c>
      <c r="AZ188" s="632">
        <f ca="1">IF(AND($D188="Serviço",AZ$12&lt;&gt;0,$H188&gt;0,OR(AUTOEVENTO&lt;&gt;"manual",$M188&lt;&gt;1)),ROUND(OFFSET($P188,0,AZ$13),15-13*ORÇAMENTO!$AF$7)/$H188*OFFSET(ORÇAMENTO!$X$15,ROW(AZ188)-ROW(AZ$15),0),0)</f>
        <v>0</v>
      </c>
      <c r="BA188" s="633">
        <f ca="1">IF(AND($D188="Serviço",BA$12&lt;&gt;0,$H188&gt;0,OR(AUTOEVENTO&lt;&gt;"manual",$M188&lt;&gt;1)),ROUND(OFFSET($P188,0,BA$13),15-13*ORÇAMENTO!$AF$7)/$H188*OFFSET(ORÇAMENTO!$X$15,ROW(BA188)-ROW(BA$15),0),0)</f>
        <v>0</v>
      </c>
      <c r="BC188" s="215">
        <f ca="1">IF($D188&lt;&gt;"Serviço",0,IF(AND(AUTOEVENTO="Manual",$M188=1),0,IF(OFFSET(CRONOPLE!$F$14,$M188,BC$13)="",10^12,OFFSET(CRONOPLE!$F$14,$M188,BC$13))))</f>
        <v>1000000000000</v>
      </c>
      <c r="BD188" s="215">
        <f ca="1">IF($D188&lt;&gt;"Serviço",0,IF(AND(AUTOEVENTO="Manual",$M188=1),0,IF(OFFSET(CRONOPLE!$F$14,$M188,BD$13)="",10^12,OFFSET(CRONOPLE!$F$14,$M188,BD$13))))</f>
        <v>1000000000000</v>
      </c>
      <c r="BE188" s="215">
        <f ca="1">IF($D188&lt;&gt;"Serviço",0,IF(AND(AUTOEVENTO="Manual",$M188=1),0,IF(OFFSET(CRONOPLE!$F$14,$M188,BE$13)="",10^12,OFFSET(CRONOPLE!$F$14,$M188,BE$13))))</f>
        <v>1000000000000</v>
      </c>
      <c r="BF188" s="215">
        <f ca="1">IF($D188&lt;&gt;"Serviço",0,IF(AND(AUTOEVENTO="Manual",$M188=1),0,IF(OFFSET(CRONOPLE!$F$14,$M188,BF$13)="",10^12,OFFSET(CRONOPLE!$F$14,$M188,BF$13))))</f>
        <v>1000000000000</v>
      </c>
      <c r="BG188" s="215">
        <f ca="1">IF($D188&lt;&gt;"Serviço",0,IF(AND(AUTOEVENTO="Manual",$M188=1),0,IF(OFFSET(CRONOPLE!$F$14,$M188,BG$13)="",10^12,OFFSET(CRONOPLE!$F$14,$M188,BG$13))))</f>
        <v>1000000000000</v>
      </c>
      <c r="BH188" s="215">
        <f ca="1">IF($D188&lt;&gt;"Serviço",0,IF(AND(AUTOEVENTO="Manual",$M188=1),0,IF(OFFSET(CRONOPLE!$F$14,$M188,BH$13)="",10^12,OFFSET(CRONOPLE!$F$14,$M188,BH$13))))</f>
        <v>1000000000000</v>
      </c>
      <c r="BI188" s="215">
        <f ca="1">IF($D188&lt;&gt;"Serviço",0,IF(AND(AUTOEVENTO="Manual",$M188=1),0,IF(OFFSET(CRONOPLE!$F$14,$M188,BI$13)="",10^12,OFFSET(CRONOPLE!$F$14,$M188,BI$13))))</f>
        <v>1000000000000</v>
      </c>
      <c r="BJ188" s="215">
        <f ca="1">IF($D188&lt;&gt;"Serviço",0,IF(AND(AUTOEVENTO="Manual",$M188=1),0,IF(OFFSET(CRONOPLE!$F$14,$M188,BJ$13)="",10^12,OFFSET(CRONOPLE!$F$14,$M188,BJ$13))))</f>
        <v>1000000000000</v>
      </c>
      <c r="BK188" s="215">
        <f ca="1">IF($D188&lt;&gt;"Serviço",0,IF(AND(AUTOEVENTO="Manual",$M188=1),0,IF(OFFSET(CRONOPLE!$F$14,$M188,BK$13)="",10^12,OFFSET(CRONOPLE!$F$14,$M188,BK$13))))</f>
        <v>1000000000000</v>
      </c>
      <c r="BL188" s="215">
        <f ca="1">IF($D188&lt;&gt;"Serviço",0,IF(AND(AUTOEVENTO="Manual",$M188=1),0,IF(OFFSET(CRONOPLE!$F$14,$M188,BL$13)="",10^12,OFFSET(CRONOPLE!$F$14,$M188,BL$13))))</f>
        <v>1000000000000</v>
      </c>
      <c r="BM188" s="215">
        <f ca="1">IF($D188&lt;&gt;"Serviço",0,IF(AND(AUTOEVENTO="Manual",$M188=1),0,IF(OFFSET(CRONOPLE!$F$14,$M188,BM$13)="",10^12,OFFSET(CRONOPLE!$F$14,$M188,BM$13))))</f>
        <v>1000000000000</v>
      </c>
      <c r="BN188" s="215">
        <f ca="1">IF($D188&lt;&gt;"Serviço",0,IF(AND(AUTOEVENTO="Manual",$M188=1),0,IF(OFFSET(CRONOPLE!$F$14,$M188,BN$13)="",10^12,OFFSET(CRONOPLE!$F$14,$M188,BN$13))))</f>
        <v>1000000000000</v>
      </c>
      <c r="BO188" s="215">
        <f ca="1">IF($D188&lt;&gt;"Serviço",0,IF(AND(AUTOEVENTO="Manual",$M188=1),0,IF(OFFSET(CRONOPLE!$F$14,$M188,BO$13)="",10^12,OFFSET(CRONOPLE!$F$14,$M188,BO$13))))</f>
        <v>1000000000000</v>
      </c>
      <c r="BP188" s="215">
        <f ca="1">IF($D188&lt;&gt;"Serviço",0,IF(AND(AUTOEVENTO="Manual",$M188=1),0,IF(OFFSET(CRONOPLE!$F$14,$M188,BP$13)="",10^12,OFFSET(CRONOPLE!$F$14,$M188,BP$13))))</f>
        <v>1000000000000</v>
      </c>
      <c r="BQ188" s="215">
        <f ca="1">IF($D188&lt;&gt;"Serviço",0,IF(AND(AUTOEVENTO="Manual",$M188=1),0,IF(OFFSET(CRONOPLE!$F$14,$M188,BQ$13)="",10^12,OFFSET(CRONOPLE!$F$14,$M188,BQ$13))))</f>
        <v>1000000000000</v>
      </c>
      <c r="BR188" s="215">
        <f ca="1">IF($D188&lt;&gt;"Serviço",0,IF(AND(AUTOEVENTO="Manual",$M188=1),0,IF(OFFSET(CRONOPLE!$F$14,$M188,BR$13)="",10^12,OFFSET(CRONOPLE!$F$14,$M188,BR$13))))</f>
        <v>1000000000000</v>
      </c>
      <c r="BS188" s="215">
        <f ca="1">IF($D188&lt;&gt;"Serviço",0,IF(AND(AUTOEVENTO="Manual",$M188=1),0,IF(OFFSET(CRONOPLE!$F$14,$M188,BS$13)="",10^12,OFFSET(CRONOPLE!$F$14,$M188,BS$13))))</f>
        <v>1000000000000</v>
      </c>
      <c r="BT188" s="215">
        <f ca="1">IF($D188&lt;&gt;"Serviço",0,IF(AND(AUTOEVENTO="Manual",$M188=1),0,IF(OFFSET(CRONOPLE!$F$14,$M188,BT$13)="",10^12,OFFSET(CRONOPLE!$F$14,$M188,BT$13))))</f>
        <v>1000000000000</v>
      </c>
      <c r="BV188" s="216">
        <f ca="1">IF($D188&lt;&gt;"Serviço",0,IF(OR(AND(AUTOEVENTO="Manual",$M188=1),$M188&gt;(ROW(PLE.lastrow)-ROW(PLE.firstrow))),0,IF(OFFSET(PLE!$G$14,$M188,BV$13)="",10^12,OFFSET(PLE!$G$14,$M188,BV$13))))</f>
        <v>1000000000000</v>
      </c>
      <c r="BW188" s="216">
        <f ca="1">IF($D188&lt;&gt;"Serviço",0,IF(OR(AND(AUTOEVENTO="Manual",$M188=1),$M188&gt;(ROW(PLE.lastrow)-ROW(PLE.firstrow))),0,IF(OFFSET(PLE!$G$14,$M188,BW$13)="",10^12,OFFSET(PLE!$G$14,$M188,BW$13))))</f>
        <v>1000000000000</v>
      </c>
      <c r="BX188" s="216">
        <f ca="1">IF($D188&lt;&gt;"Serviço",0,IF(OR(AND(AUTOEVENTO="Manual",$M188=1),$M188&gt;(ROW(PLE.lastrow)-ROW(PLE.firstrow))),0,IF(OFFSET(PLE!$G$14,$M188,BX$13)="",10^12,OFFSET(PLE!$G$14,$M188,BX$13))))</f>
        <v>1000000000000</v>
      </c>
      <c r="BY188" s="216">
        <f ca="1">IF($D188&lt;&gt;"Serviço",0,IF(OR(AND(AUTOEVENTO="Manual",$M188=1),$M188&gt;(ROW(PLE.lastrow)-ROW(PLE.firstrow))),0,IF(OFFSET(PLE!$G$14,$M188,BY$13)="",10^12,OFFSET(PLE!$G$14,$M188,BY$13))))</f>
        <v>1000000000000</v>
      </c>
      <c r="BZ188" s="216">
        <f ca="1">IF($D188&lt;&gt;"Serviço",0,IF(OR(AND(AUTOEVENTO="Manual",$M188=1),$M188&gt;(ROW(PLE.lastrow)-ROW(PLE.firstrow))),0,IF(OFFSET(PLE!$G$14,$M188,BZ$13)="",10^12,OFFSET(PLE!$G$14,$M188,BZ$13))))</f>
        <v>1000000000000</v>
      </c>
      <c r="CA188" s="216">
        <f ca="1">IF($D188&lt;&gt;"Serviço",0,IF(OR(AND(AUTOEVENTO="Manual",$M188=1),$M188&gt;(ROW(PLE.lastrow)-ROW(PLE.firstrow))),0,IF(OFFSET(PLE!$G$14,$M188,CA$13)="",10^12,OFFSET(PLE!$G$14,$M188,CA$13))))</f>
        <v>1000000000000</v>
      </c>
      <c r="CB188" s="216">
        <f ca="1">IF($D188&lt;&gt;"Serviço",0,IF(OR(AND(AUTOEVENTO="Manual",$M188=1),$M188&gt;(ROW(PLE.lastrow)-ROW(PLE.firstrow))),0,IF(OFFSET(PLE!$G$14,$M188,CB$13)="",10^12,OFFSET(PLE!$G$14,$M188,CB$13))))</f>
        <v>1000000000000</v>
      </c>
      <c r="CC188" s="216">
        <f ca="1">IF($D188&lt;&gt;"Serviço",0,IF(OR(AND(AUTOEVENTO="Manual",$M188=1),$M188&gt;(ROW(PLE.lastrow)-ROW(PLE.firstrow))),0,IF(OFFSET(PLE!$G$14,$M188,CC$13)="",10^12,OFFSET(PLE!$G$14,$M188,CC$13))))</f>
        <v>1000000000000</v>
      </c>
      <c r="CD188" s="216">
        <f ca="1">IF($D188&lt;&gt;"Serviço",0,IF(OR(AND(AUTOEVENTO="Manual",$M188=1),$M188&gt;(ROW(PLE.lastrow)-ROW(PLE.firstrow))),0,IF(OFFSET(PLE!$G$14,$M188,CD$13)="",10^12,OFFSET(PLE!$G$14,$M188,CD$13))))</f>
        <v>1000000000000</v>
      </c>
      <c r="CE188" s="216">
        <f ca="1">IF($D188&lt;&gt;"Serviço",0,IF(OR(AND(AUTOEVENTO="Manual",$M188=1),$M188&gt;(ROW(PLE.lastrow)-ROW(PLE.firstrow))),0,IF(OFFSET(PLE!$G$14,$M188,CE$13)="",10^12,OFFSET(PLE!$G$14,$M188,CE$13))))</f>
        <v>1000000000000</v>
      </c>
      <c r="CF188" s="216">
        <f ca="1">IF($D188&lt;&gt;"Serviço",0,IF(OR(AND(AUTOEVENTO="Manual",$M188=1),$M188&gt;(ROW(PLE.lastrow)-ROW(PLE.firstrow))),0,IF(OFFSET(PLE!$G$14,$M188,CF$13)="",10^12,OFFSET(PLE!$G$14,$M188,CF$13))))</f>
        <v>1000000000000</v>
      </c>
      <c r="CG188" s="216">
        <f ca="1">IF($D188&lt;&gt;"Serviço",0,IF(OR(AND(AUTOEVENTO="Manual",$M188=1),$M188&gt;(ROW(PLE.lastrow)-ROW(PLE.firstrow))),0,IF(OFFSET(PLE!$G$14,$M188,CG$13)="",10^12,OFFSET(PLE!$G$14,$M188,CG$13))))</f>
        <v>1000000000000</v>
      </c>
      <c r="CH188" s="216">
        <f ca="1">IF($D188&lt;&gt;"Serviço",0,IF(OR(AND(AUTOEVENTO="Manual",$M188=1),$M188&gt;(ROW(PLE.lastrow)-ROW(PLE.firstrow))),0,IF(OFFSET(PLE!$G$14,$M188,CH$13)="",10^12,OFFSET(PLE!$G$14,$M188,CH$13))))</f>
        <v>1000000000000</v>
      </c>
      <c r="CI188" s="216">
        <f ca="1">IF($D188&lt;&gt;"Serviço",0,IF(OR(AND(AUTOEVENTO="Manual",$M188=1),$M188&gt;(ROW(PLE.lastrow)-ROW(PLE.firstrow))),0,IF(OFFSET(PLE!$G$14,$M188,CI$13)="",10^12,OFFSET(PLE!$G$14,$M188,CI$13))))</f>
        <v>1000000000000</v>
      </c>
      <c r="CJ188" s="216">
        <f ca="1">IF($D188&lt;&gt;"Serviço",0,IF(OR(AND(AUTOEVENTO="Manual",$M188=1),$M188&gt;(ROW(PLE.lastrow)-ROW(PLE.firstrow))),0,IF(OFFSET(PLE!$G$14,$M188,CJ$13)="",10^12,OFFSET(PLE!$G$14,$M188,CJ$13))))</f>
        <v>1000000000000</v>
      </c>
      <c r="CK188" s="216">
        <f ca="1">IF($D188&lt;&gt;"Serviço",0,IF(OR(AND(AUTOEVENTO="Manual",$M188=1),$M188&gt;(ROW(PLE.lastrow)-ROW(PLE.firstrow))),0,IF(OFFSET(PLE!$G$14,$M188,CK$13)="",10^12,OFFSET(PLE!$G$14,$M188,CK$13))))</f>
        <v>1000000000000</v>
      </c>
      <c r="CL188" s="216">
        <f ca="1">IF($D188&lt;&gt;"Serviço",0,IF(OR(AND(AUTOEVENTO="Manual",$M188=1),$M188&gt;(ROW(PLE.lastrow)-ROW(PLE.firstrow))),0,IF(OFFSET(PLE!$G$14,$M188,CL$13)="",10^12,OFFSET(PLE!$G$14,$M188,CL$13))))</f>
        <v>1000000000000</v>
      </c>
      <c r="CM188" s="216">
        <f ca="1">IF($D188&lt;&gt;"Serviço",0,IF(OR(AND(AUTOEVENTO="Manual",$M188=1),$M188&gt;(ROW(PLE.lastrow)-ROW(PLE.firstrow))),0,IF(OFFSET(PLE!$G$14,$M188,CM$13)="",10^12,OFFSET(PLE!$G$14,$M188,CM$13))))</f>
        <v>1000000000000</v>
      </c>
    </row>
    <row r="189" spans="1:91" ht="13.2" x14ac:dyDescent="0.25">
      <c r="A189" s="9">
        <f t="shared" ca="1" si="11"/>
        <v>0</v>
      </c>
      <c r="B189" s="9" t="str">
        <f ca="1">OFFSET(ORÇAMENTO!C$15,ROW(B189)-ROW(B$15),0)</f>
        <v>S</v>
      </c>
      <c r="C189" s="9" t="str">
        <f ca="1">OFFSET(ORÇAMENTO!L$15,ROW(C189)-ROW(C$15),0)</f>
        <v/>
      </c>
      <c r="D189" s="145" t="str">
        <f ca="1">OFFSET(ORÇAMENTO!N$15,ROW(D189)-ROW(D$15),0)</f>
        <v>Serviço</v>
      </c>
      <c r="E189" s="205" t="str">
        <f ca="1">OFFSET(ORÇAMENTO!O$15,ROW(E189)-ROW(E$15),0)</f>
        <v>-</v>
      </c>
      <c r="F189" s="206" t="str">
        <f ca="1">OFFSET(ORÇAMENTO!R$15,ROW(F189)-ROW(F$15),0)</f>
        <v>(abra o arquivo 'Referência 05-2024.xls)</v>
      </c>
      <c r="G189" s="207" t="str">
        <f ca="1">IF($D189&lt;&gt;"Serviço","",OFFSET(ORÇAMENTO!S$15,ROW(G189)-ROW(G$15),0))</f>
        <v>-</v>
      </c>
      <c r="H189" s="151">
        <f ca="1">IF($D189&lt;&gt;"Serviço",0,IF(ACOMPANHAMENTO="BM",ROUND(OFFSET(ORÇAMENTO!AJ$15,ROW(H189)-ROW(H$15),0),15-13*ORÇAMENTO!$AF$7),SUMPRODUCT(($Q$12:$AI$12&lt;&gt;"")*ROUND($Q189:$AI189,15-13*ORÇAMENTO!$AF$7))))</f>
        <v>5.99</v>
      </c>
      <c r="I189" s="650"/>
      <c r="K189" s="208"/>
      <c r="L189" s="209" t="s">
        <v>257</v>
      </c>
      <c r="M189" s="210">
        <f ca="1">IF($D189&lt;&gt;"Serviço","",IF(AUTOEVENTO="manual",$A189,IF(ISERROR(MATCH($A189,$A$15:OFFSET($A189,-1,0),0)),MAX($M$15:OFFSET(M189,-1,0))+1,INDEX($M$15:OFFSET(M189,-1,0),MATCH($A189,$A$15:OFFSET($A189,-1,0),0)))))</f>
        <v>0</v>
      </c>
      <c r="N189" s="211" t="str">
        <f ca="1">IF($D189&lt;&gt;"Serviço","",IF(AUTOEVENTO="Manual",IF($A189=0,"&lt;-- defina o número do agrupador",OFFSET(EVENTOS!$D$14,$A189,0)),OFFSET($F$15,$A189,0)))</f>
        <v>&lt;-- defina o número do agrupador</v>
      </c>
      <c r="O189" s="212"/>
      <c r="Q189" s="212"/>
      <c r="R189" s="213"/>
      <c r="S189" s="213"/>
      <c r="T189" s="213"/>
      <c r="U189" s="213"/>
      <c r="V189" s="213"/>
      <c r="W189" s="213"/>
      <c r="X189" s="213"/>
      <c r="Y189" s="213"/>
      <c r="Z189" s="214"/>
      <c r="AA189" s="213"/>
      <c r="AB189" s="213"/>
      <c r="AC189" s="213"/>
      <c r="AD189" s="213"/>
      <c r="AE189" s="213"/>
      <c r="AF189" s="213"/>
      <c r="AG189" s="213"/>
      <c r="AH189" s="214"/>
      <c r="AJ189" s="631">
        <f ca="1">IF(AND($D189="Serviço",AJ$12&lt;&gt;0,$H189&gt;0,OR(AUTOEVENTO&lt;&gt;"manual",$M189&lt;&gt;1)),ROUND(OFFSET($P189,0,AJ$13),15-13*ORÇAMENTO!$AF$7)/$H189*OFFSET(ORÇAMENTO!$X$15,ROW(AJ189)-ROW(AJ$15),0),0)</f>
        <v>0</v>
      </c>
      <c r="AK189" s="632">
        <f ca="1">IF(AND($D189="Serviço",AK$12&lt;&gt;0,$H189&gt;0,OR(AUTOEVENTO&lt;&gt;"manual",$M189&lt;&gt;1)),ROUND(OFFSET($P189,0,AK$13),15-13*ORÇAMENTO!$AF$7)/$H189*OFFSET(ORÇAMENTO!$X$15,ROW(AK189)-ROW(AK$15),0),0)</f>
        <v>0</v>
      </c>
      <c r="AL189" s="632">
        <f ca="1">IF(AND($D189="Serviço",AL$12&lt;&gt;0,$H189&gt;0,OR(AUTOEVENTO&lt;&gt;"manual",$M189&lt;&gt;1)),ROUND(OFFSET($P189,0,AL$13),15-13*ORÇAMENTO!$AF$7)/$H189*OFFSET(ORÇAMENTO!$X$15,ROW(AL189)-ROW(AL$15),0),0)</f>
        <v>0</v>
      </c>
      <c r="AM189" s="632">
        <f ca="1">IF(AND($D189="Serviço",AM$12&lt;&gt;0,$H189&gt;0,OR(AUTOEVENTO&lt;&gt;"manual",$M189&lt;&gt;1)),ROUND(OFFSET($P189,0,AM$13),15-13*ORÇAMENTO!$AF$7)/$H189*OFFSET(ORÇAMENTO!$X$15,ROW(AM189)-ROW(AM$15),0),0)</f>
        <v>0</v>
      </c>
      <c r="AN189" s="632">
        <f ca="1">IF(AND($D189="Serviço",AN$12&lt;&gt;0,$H189&gt;0,OR(AUTOEVENTO&lt;&gt;"manual",$M189&lt;&gt;1)),ROUND(OFFSET($P189,0,AN$13),15-13*ORÇAMENTO!$AF$7)/$H189*OFFSET(ORÇAMENTO!$X$15,ROW(AN189)-ROW(AN$15),0),0)</f>
        <v>0</v>
      </c>
      <c r="AO189" s="632">
        <f ca="1">IF(AND($D189="Serviço",AO$12&lt;&gt;0,$H189&gt;0,OR(AUTOEVENTO&lt;&gt;"manual",$M189&lt;&gt;1)),ROUND(OFFSET($P189,0,AO$13),15-13*ORÇAMENTO!$AF$7)/$H189*OFFSET(ORÇAMENTO!$X$15,ROW(AO189)-ROW(AO$15),0),0)</f>
        <v>0</v>
      </c>
      <c r="AP189" s="632">
        <f ca="1">IF(AND($D189="Serviço",AP$12&lt;&gt;0,$H189&gt;0,OR(AUTOEVENTO&lt;&gt;"manual",$M189&lt;&gt;1)),ROUND(OFFSET($P189,0,AP$13),15-13*ORÇAMENTO!$AF$7)/$H189*OFFSET(ORÇAMENTO!$X$15,ROW(AP189)-ROW(AP$15),0),0)</f>
        <v>0</v>
      </c>
      <c r="AQ189" s="632">
        <f ca="1">IF(AND($D189="Serviço",AQ$12&lt;&gt;0,$H189&gt;0,OR(AUTOEVENTO&lt;&gt;"manual",$M189&lt;&gt;1)),ROUND(OFFSET($P189,0,AQ$13),15-13*ORÇAMENTO!$AF$7)/$H189*OFFSET(ORÇAMENTO!$X$15,ROW(AQ189)-ROW(AQ$15),0),0)</f>
        <v>0</v>
      </c>
      <c r="AR189" s="632">
        <f ca="1">IF(AND($D189="Serviço",AR$12&lt;&gt;0,$H189&gt;0,OR(AUTOEVENTO&lt;&gt;"manual",$M189&lt;&gt;1)),ROUND(OFFSET($P189,0,AR$13),15-13*ORÇAMENTO!$AF$7)/$H189*OFFSET(ORÇAMENTO!$X$15,ROW(AR189)-ROW(AR$15),0),0)</f>
        <v>0</v>
      </c>
      <c r="AS189" s="633">
        <f ca="1">IF(AND($D189="Serviço",AS$12&lt;&gt;0,$H189&gt;0,OR(AUTOEVENTO&lt;&gt;"manual",$M189&lt;&gt;1)),ROUND(OFFSET($P189,0,AS$13),15-13*ORÇAMENTO!$AF$7)/$H189*OFFSET(ORÇAMENTO!$X$15,ROW(AS189)-ROW(AS$15),0),0)</f>
        <v>0</v>
      </c>
      <c r="AT189" s="632">
        <f ca="1">IF(AND($D189="Serviço",AT$12&lt;&gt;0,$H189&gt;0,OR(AUTOEVENTO&lt;&gt;"manual",$M189&lt;&gt;1)),ROUND(OFFSET($P189,0,AT$13),15-13*ORÇAMENTO!$AF$7)/$H189*OFFSET(ORÇAMENTO!$X$15,ROW(AT189)-ROW(AT$15),0),0)</f>
        <v>0</v>
      </c>
      <c r="AU189" s="632">
        <f ca="1">IF(AND($D189="Serviço",AU$12&lt;&gt;0,$H189&gt;0,OR(AUTOEVENTO&lt;&gt;"manual",$M189&lt;&gt;1)),ROUND(OFFSET($P189,0,AU$13),15-13*ORÇAMENTO!$AF$7)/$H189*OFFSET(ORÇAMENTO!$X$15,ROW(AU189)-ROW(AU$15),0),0)</f>
        <v>0</v>
      </c>
      <c r="AV189" s="632">
        <f ca="1">IF(AND($D189="Serviço",AV$12&lt;&gt;0,$H189&gt;0,OR(AUTOEVENTO&lt;&gt;"manual",$M189&lt;&gt;1)),ROUND(OFFSET($P189,0,AV$13),15-13*ORÇAMENTO!$AF$7)/$H189*OFFSET(ORÇAMENTO!$X$15,ROW(AV189)-ROW(AV$15),0),0)</f>
        <v>0</v>
      </c>
      <c r="AW189" s="632">
        <f ca="1">IF(AND($D189="Serviço",AW$12&lt;&gt;0,$H189&gt;0,OR(AUTOEVENTO&lt;&gt;"manual",$M189&lt;&gt;1)),ROUND(OFFSET($P189,0,AW$13),15-13*ORÇAMENTO!$AF$7)/$H189*OFFSET(ORÇAMENTO!$X$15,ROW(AW189)-ROW(AW$15),0),0)</f>
        <v>0</v>
      </c>
      <c r="AX189" s="632">
        <f ca="1">IF(AND($D189="Serviço",AX$12&lt;&gt;0,$H189&gt;0,OR(AUTOEVENTO&lt;&gt;"manual",$M189&lt;&gt;1)),ROUND(OFFSET($P189,0,AX$13),15-13*ORÇAMENTO!$AF$7)/$H189*OFFSET(ORÇAMENTO!$X$15,ROW(AX189)-ROW(AX$15),0),0)</f>
        <v>0</v>
      </c>
      <c r="AY189" s="632">
        <f ca="1">IF(AND($D189="Serviço",AY$12&lt;&gt;0,$H189&gt;0,OR(AUTOEVENTO&lt;&gt;"manual",$M189&lt;&gt;1)),ROUND(OFFSET($P189,0,AY$13),15-13*ORÇAMENTO!$AF$7)/$H189*OFFSET(ORÇAMENTO!$X$15,ROW(AY189)-ROW(AY$15),0),0)</f>
        <v>0</v>
      </c>
      <c r="AZ189" s="632">
        <f ca="1">IF(AND($D189="Serviço",AZ$12&lt;&gt;0,$H189&gt;0,OR(AUTOEVENTO&lt;&gt;"manual",$M189&lt;&gt;1)),ROUND(OFFSET($P189,0,AZ$13),15-13*ORÇAMENTO!$AF$7)/$H189*OFFSET(ORÇAMENTO!$X$15,ROW(AZ189)-ROW(AZ$15),0),0)</f>
        <v>0</v>
      </c>
      <c r="BA189" s="633">
        <f ca="1">IF(AND($D189="Serviço",BA$12&lt;&gt;0,$H189&gt;0,OR(AUTOEVENTO&lt;&gt;"manual",$M189&lt;&gt;1)),ROUND(OFFSET($P189,0,BA$13),15-13*ORÇAMENTO!$AF$7)/$H189*OFFSET(ORÇAMENTO!$X$15,ROW(BA189)-ROW(BA$15),0),0)</f>
        <v>0</v>
      </c>
      <c r="BC189" s="215">
        <f ca="1">IF($D189&lt;&gt;"Serviço",0,IF(AND(AUTOEVENTO="Manual",$M189=1),0,IF(OFFSET(CRONOPLE!$F$14,$M189,BC$13)="",10^12,OFFSET(CRONOPLE!$F$14,$M189,BC$13))))</f>
        <v>1000000000000</v>
      </c>
      <c r="BD189" s="215">
        <f ca="1">IF($D189&lt;&gt;"Serviço",0,IF(AND(AUTOEVENTO="Manual",$M189=1),0,IF(OFFSET(CRONOPLE!$F$14,$M189,BD$13)="",10^12,OFFSET(CRONOPLE!$F$14,$M189,BD$13))))</f>
        <v>1000000000000</v>
      </c>
      <c r="BE189" s="215">
        <f ca="1">IF($D189&lt;&gt;"Serviço",0,IF(AND(AUTOEVENTO="Manual",$M189=1),0,IF(OFFSET(CRONOPLE!$F$14,$M189,BE$13)="",10^12,OFFSET(CRONOPLE!$F$14,$M189,BE$13))))</f>
        <v>1000000000000</v>
      </c>
      <c r="BF189" s="215">
        <f ca="1">IF($D189&lt;&gt;"Serviço",0,IF(AND(AUTOEVENTO="Manual",$M189=1),0,IF(OFFSET(CRONOPLE!$F$14,$M189,BF$13)="",10^12,OFFSET(CRONOPLE!$F$14,$M189,BF$13))))</f>
        <v>1000000000000</v>
      </c>
      <c r="BG189" s="215">
        <f ca="1">IF($D189&lt;&gt;"Serviço",0,IF(AND(AUTOEVENTO="Manual",$M189=1),0,IF(OFFSET(CRONOPLE!$F$14,$M189,BG$13)="",10^12,OFFSET(CRONOPLE!$F$14,$M189,BG$13))))</f>
        <v>1000000000000</v>
      </c>
      <c r="BH189" s="215">
        <f ca="1">IF($D189&lt;&gt;"Serviço",0,IF(AND(AUTOEVENTO="Manual",$M189=1),0,IF(OFFSET(CRONOPLE!$F$14,$M189,BH$13)="",10^12,OFFSET(CRONOPLE!$F$14,$M189,BH$13))))</f>
        <v>1000000000000</v>
      </c>
      <c r="BI189" s="215">
        <f ca="1">IF($D189&lt;&gt;"Serviço",0,IF(AND(AUTOEVENTO="Manual",$M189=1),0,IF(OFFSET(CRONOPLE!$F$14,$M189,BI$13)="",10^12,OFFSET(CRONOPLE!$F$14,$M189,BI$13))))</f>
        <v>1000000000000</v>
      </c>
      <c r="BJ189" s="215">
        <f ca="1">IF($D189&lt;&gt;"Serviço",0,IF(AND(AUTOEVENTO="Manual",$M189=1),0,IF(OFFSET(CRONOPLE!$F$14,$M189,BJ$13)="",10^12,OFFSET(CRONOPLE!$F$14,$M189,BJ$13))))</f>
        <v>1000000000000</v>
      </c>
      <c r="BK189" s="215">
        <f ca="1">IF($D189&lt;&gt;"Serviço",0,IF(AND(AUTOEVENTO="Manual",$M189=1),0,IF(OFFSET(CRONOPLE!$F$14,$M189,BK$13)="",10^12,OFFSET(CRONOPLE!$F$14,$M189,BK$13))))</f>
        <v>1000000000000</v>
      </c>
      <c r="BL189" s="215">
        <f ca="1">IF($D189&lt;&gt;"Serviço",0,IF(AND(AUTOEVENTO="Manual",$M189=1),0,IF(OFFSET(CRONOPLE!$F$14,$M189,BL$13)="",10^12,OFFSET(CRONOPLE!$F$14,$M189,BL$13))))</f>
        <v>1000000000000</v>
      </c>
      <c r="BM189" s="215">
        <f ca="1">IF($D189&lt;&gt;"Serviço",0,IF(AND(AUTOEVENTO="Manual",$M189=1),0,IF(OFFSET(CRONOPLE!$F$14,$M189,BM$13)="",10^12,OFFSET(CRONOPLE!$F$14,$M189,BM$13))))</f>
        <v>1000000000000</v>
      </c>
      <c r="BN189" s="215">
        <f ca="1">IF($D189&lt;&gt;"Serviço",0,IF(AND(AUTOEVENTO="Manual",$M189=1),0,IF(OFFSET(CRONOPLE!$F$14,$M189,BN$13)="",10^12,OFFSET(CRONOPLE!$F$14,$M189,BN$13))))</f>
        <v>1000000000000</v>
      </c>
      <c r="BO189" s="215">
        <f ca="1">IF($D189&lt;&gt;"Serviço",0,IF(AND(AUTOEVENTO="Manual",$M189=1),0,IF(OFFSET(CRONOPLE!$F$14,$M189,BO$13)="",10^12,OFFSET(CRONOPLE!$F$14,$M189,BO$13))))</f>
        <v>1000000000000</v>
      </c>
      <c r="BP189" s="215">
        <f ca="1">IF($D189&lt;&gt;"Serviço",0,IF(AND(AUTOEVENTO="Manual",$M189=1),0,IF(OFFSET(CRONOPLE!$F$14,$M189,BP$13)="",10^12,OFFSET(CRONOPLE!$F$14,$M189,BP$13))))</f>
        <v>1000000000000</v>
      </c>
      <c r="BQ189" s="215">
        <f ca="1">IF($D189&lt;&gt;"Serviço",0,IF(AND(AUTOEVENTO="Manual",$M189=1),0,IF(OFFSET(CRONOPLE!$F$14,$M189,BQ$13)="",10^12,OFFSET(CRONOPLE!$F$14,$M189,BQ$13))))</f>
        <v>1000000000000</v>
      </c>
      <c r="BR189" s="215">
        <f ca="1">IF($D189&lt;&gt;"Serviço",0,IF(AND(AUTOEVENTO="Manual",$M189=1),0,IF(OFFSET(CRONOPLE!$F$14,$M189,BR$13)="",10^12,OFFSET(CRONOPLE!$F$14,$M189,BR$13))))</f>
        <v>1000000000000</v>
      </c>
      <c r="BS189" s="215">
        <f ca="1">IF($D189&lt;&gt;"Serviço",0,IF(AND(AUTOEVENTO="Manual",$M189=1),0,IF(OFFSET(CRONOPLE!$F$14,$M189,BS$13)="",10^12,OFFSET(CRONOPLE!$F$14,$M189,BS$13))))</f>
        <v>1000000000000</v>
      </c>
      <c r="BT189" s="215">
        <f ca="1">IF($D189&lt;&gt;"Serviço",0,IF(AND(AUTOEVENTO="Manual",$M189=1),0,IF(OFFSET(CRONOPLE!$F$14,$M189,BT$13)="",10^12,OFFSET(CRONOPLE!$F$14,$M189,BT$13))))</f>
        <v>1000000000000</v>
      </c>
      <c r="BV189" s="216">
        <f ca="1">IF($D189&lt;&gt;"Serviço",0,IF(OR(AND(AUTOEVENTO="Manual",$M189=1),$M189&gt;(ROW(PLE.lastrow)-ROW(PLE.firstrow))),0,IF(OFFSET(PLE!$G$14,$M189,BV$13)="",10^12,OFFSET(PLE!$G$14,$M189,BV$13))))</f>
        <v>1000000000000</v>
      </c>
      <c r="BW189" s="216">
        <f ca="1">IF($D189&lt;&gt;"Serviço",0,IF(OR(AND(AUTOEVENTO="Manual",$M189=1),$M189&gt;(ROW(PLE.lastrow)-ROW(PLE.firstrow))),0,IF(OFFSET(PLE!$G$14,$M189,BW$13)="",10^12,OFFSET(PLE!$G$14,$M189,BW$13))))</f>
        <v>1000000000000</v>
      </c>
      <c r="BX189" s="216">
        <f ca="1">IF($D189&lt;&gt;"Serviço",0,IF(OR(AND(AUTOEVENTO="Manual",$M189=1),$M189&gt;(ROW(PLE.lastrow)-ROW(PLE.firstrow))),0,IF(OFFSET(PLE!$G$14,$M189,BX$13)="",10^12,OFFSET(PLE!$G$14,$M189,BX$13))))</f>
        <v>1000000000000</v>
      </c>
      <c r="BY189" s="216">
        <f ca="1">IF($D189&lt;&gt;"Serviço",0,IF(OR(AND(AUTOEVENTO="Manual",$M189=1),$M189&gt;(ROW(PLE.lastrow)-ROW(PLE.firstrow))),0,IF(OFFSET(PLE!$G$14,$M189,BY$13)="",10^12,OFFSET(PLE!$G$14,$M189,BY$13))))</f>
        <v>1000000000000</v>
      </c>
      <c r="BZ189" s="216">
        <f ca="1">IF($D189&lt;&gt;"Serviço",0,IF(OR(AND(AUTOEVENTO="Manual",$M189=1),$M189&gt;(ROW(PLE.lastrow)-ROW(PLE.firstrow))),0,IF(OFFSET(PLE!$G$14,$M189,BZ$13)="",10^12,OFFSET(PLE!$G$14,$M189,BZ$13))))</f>
        <v>1000000000000</v>
      </c>
      <c r="CA189" s="216">
        <f ca="1">IF($D189&lt;&gt;"Serviço",0,IF(OR(AND(AUTOEVENTO="Manual",$M189=1),$M189&gt;(ROW(PLE.lastrow)-ROW(PLE.firstrow))),0,IF(OFFSET(PLE!$G$14,$M189,CA$13)="",10^12,OFFSET(PLE!$G$14,$M189,CA$13))))</f>
        <v>1000000000000</v>
      </c>
      <c r="CB189" s="216">
        <f ca="1">IF($D189&lt;&gt;"Serviço",0,IF(OR(AND(AUTOEVENTO="Manual",$M189=1),$M189&gt;(ROW(PLE.lastrow)-ROW(PLE.firstrow))),0,IF(OFFSET(PLE!$G$14,$M189,CB$13)="",10^12,OFFSET(PLE!$G$14,$M189,CB$13))))</f>
        <v>1000000000000</v>
      </c>
      <c r="CC189" s="216">
        <f ca="1">IF($D189&lt;&gt;"Serviço",0,IF(OR(AND(AUTOEVENTO="Manual",$M189=1),$M189&gt;(ROW(PLE.lastrow)-ROW(PLE.firstrow))),0,IF(OFFSET(PLE!$G$14,$M189,CC$13)="",10^12,OFFSET(PLE!$G$14,$M189,CC$13))))</f>
        <v>1000000000000</v>
      </c>
      <c r="CD189" s="216">
        <f ca="1">IF($D189&lt;&gt;"Serviço",0,IF(OR(AND(AUTOEVENTO="Manual",$M189=1),$M189&gt;(ROW(PLE.lastrow)-ROW(PLE.firstrow))),0,IF(OFFSET(PLE!$G$14,$M189,CD$13)="",10^12,OFFSET(PLE!$G$14,$M189,CD$13))))</f>
        <v>1000000000000</v>
      </c>
      <c r="CE189" s="216">
        <f ca="1">IF($D189&lt;&gt;"Serviço",0,IF(OR(AND(AUTOEVENTO="Manual",$M189=1),$M189&gt;(ROW(PLE.lastrow)-ROW(PLE.firstrow))),0,IF(OFFSET(PLE!$G$14,$M189,CE$13)="",10^12,OFFSET(PLE!$G$14,$M189,CE$13))))</f>
        <v>1000000000000</v>
      </c>
      <c r="CF189" s="216">
        <f ca="1">IF($D189&lt;&gt;"Serviço",0,IF(OR(AND(AUTOEVENTO="Manual",$M189=1),$M189&gt;(ROW(PLE.lastrow)-ROW(PLE.firstrow))),0,IF(OFFSET(PLE!$G$14,$M189,CF$13)="",10^12,OFFSET(PLE!$G$14,$M189,CF$13))))</f>
        <v>1000000000000</v>
      </c>
      <c r="CG189" s="216">
        <f ca="1">IF($D189&lt;&gt;"Serviço",0,IF(OR(AND(AUTOEVENTO="Manual",$M189=1),$M189&gt;(ROW(PLE.lastrow)-ROW(PLE.firstrow))),0,IF(OFFSET(PLE!$G$14,$M189,CG$13)="",10^12,OFFSET(PLE!$G$14,$M189,CG$13))))</f>
        <v>1000000000000</v>
      </c>
      <c r="CH189" s="216">
        <f ca="1">IF($D189&lt;&gt;"Serviço",0,IF(OR(AND(AUTOEVENTO="Manual",$M189=1),$M189&gt;(ROW(PLE.lastrow)-ROW(PLE.firstrow))),0,IF(OFFSET(PLE!$G$14,$M189,CH$13)="",10^12,OFFSET(PLE!$G$14,$M189,CH$13))))</f>
        <v>1000000000000</v>
      </c>
      <c r="CI189" s="216">
        <f ca="1">IF($D189&lt;&gt;"Serviço",0,IF(OR(AND(AUTOEVENTO="Manual",$M189=1),$M189&gt;(ROW(PLE.lastrow)-ROW(PLE.firstrow))),0,IF(OFFSET(PLE!$G$14,$M189,CI$13)="",10^12,OFFSET(PLE!$G$14,$M189,CI$13))))</f>
        <v>1000000000000</v>
      </c>
      <c r="CJ189" s="216">
        <f ca="1">IF($D189&lt;&gt;"Serviço",0,IF(OR(AND(AUTOEVENTO="Manual",$M189=1),$M189&gt;(ROW(PLE.lastrow)-ROW(PLE.firstrow))),0,IF(OFFSET(PLE!$G$14,$M189,CJ$13)="",10^12,OFFSET(PLE!$G$14,$M189,CJ$13))))</f>
        <v>1000000000000</v>
      </c>
      <c r="CK189" s="216">
        <f ca="1">IF($D189&lt;&gt;"Serviço",0,IF(OR(AND(AUTOEVENTO="Manual",$M189=1),$M189&gt;(ROW(PLE.lastrow)-ROW(PLE.firstrow))),0,IF(OFFSET(PLE!$G$14,$M189,CK$13)="",10^12,OFFSET(PLE!$G$14,$M189,CK$13))))</f>
        <v>1000000000000</v>
      </c>
      <c r="CL189" s="216">
        <f ca="1">IF($D189&lt;&gt;"Serviço",0,IF(OR(AND(AUTOEVENTO="Manual",$M189=1),$M189&gt;(ROW(PLE.lastrow)-ROW(PLE.firstrow))),0,IF(OFFSET(PLE!$G$14,$M189,CL$13)="",10^12,OFFSET(PLE!$G$14,$M189,CL$13))))</f>
        <v>1000000000000</v>
      </c>
      <c r="CM189" s="216">
        <f ca="1">IF($D189&lt;&gt;"Serviço",0,IF(OR(AND(AUTOEVENTO="Manual",$M189=1),$M189&gt;(ROW(PLE.lastrow)-ROW(PLE.firstrow))),0,IF(OFFSET(PLE!$G$14,$M189,CM$13)="",10^12,OFFSET(PLE!$G$14,$M189,CM$13))))</f>
        <v>1000000000000</v>
      </c>
    </row>
    <row r="190" spans="1:91" ht="13.2" x14ac:dyDescent="0.25">
      <c r="A190" s="9">
        <f t="shared" ca="1" si="11"/>
        <v>0</v>
      </c>
      <c r="B190" s="9" t="str">
        <f ca="1">OFFSET(ORÇAMENTO!C$15,ROW(B190)-ROW(B$15),0)</f>
        <v>S</v>
      </c>
      <c r="C190" s="9" t="str">
        <f ca="1">OFFSET(ORÇAMENTO!L$15,ROW(C190)-ROW(C$15),0)</f>
        <v/>
      </c>
      <c r="D190" s="145" t="str">
        <f ca="1">OFFSET(ORÇAMENTO!N$15,ROW(D190)-ROW(D$15),0)</f>
        <v>Serviço</v>
      </c>
      <c r="E190" s="205" t="str">
        <f ca="1">OFFSET(ORÇAMENTO!O$15,ROW(E190)-ROW(E$15),0)</f>
        <v>-</v>
      </c>
      <c r="F190" s="206" t="str">
        <f ca="1">OFFSET(ORÇAMENTO!R$15,ROW(F190)-ROW(F$15),0)</f>
        <v>(abra o arquivo 'Referência 05-2024.xls)</v>
      </c>
      <c r="G190" s="207" t="str">
        <f ca="1">IF($D190&lt;&gt;"Serviço","",OFFSET(ORÇAMENTO!S$15,ROW(G190)-ROW(G$15),0))</f>
        <v>-</v>
      </c>
      <c r="H190" s="151">
        <f ca="1">IF($D190&lt;&gt;"Serviço",0,IF(ACOMPANHAMENTO="BM",ROUND(OFFSET(ORÇAMENTO!AJ$15,ROW(H190)-ROW(H$15),0),15-13*ORÇAMENTO!$AF$7),SUMPRODUCT(($Q$12:$AI$12&lt;&gt;"")*ROUND($Q190:$AI190,15-13*ORÇAMENTO!$AF$7))))</f>
        <v>3.3</v>
      </c>
      <c r="I190" s="650"/>
      <c r="K190" s="208"/>
      <c r="L190" s="209" t="s">
        <v>257</v>
      </c>
      <c r="M190" s="210">
        <f ca="1">IF($D190&lt;&gt;"Serviço","",IF(AUTOEVENTO="manual",$A190,IF(ISERROR(MATCH($A190,$A$15:OFFSET($A190,-1,0),0)),MAX($M$15:OFFSET(M190,-1,0))+1,INDEX($M$15:OFFSET(M190,-1,0),MATCH($A190,$A$15:OFFSET($A190,-1,0),0)))))</f>
        <v>0</v>
      </c>
      <c r="N190" s="211" t="str">
        <f ca="1">IF($D190&lt;&gt;"Serviço","",IF(AUTOEVENTO="Manual",IF($A190=0,"&lt;-- defina o número do agrupador",OFFSET(EVENTOS!$D$14,$A190,0)),OFFSET($F$15,$A190,0)))</f>
        <v>&lt;-- defina o número do agrupador</v>
      </c>
      <c r="O190" s="212"/>
      <c r="Q190" s="212"/>
      <c r="R190" s="213"/>
      <c r="S190" s="213"/>
      <c r="T190" s="213"/>
      <c r="U190" s="213"/>
      <c r="V190" s="213"/>
      <c r="W190" s="213"/>
      <c r="X190" s="213"/>
      <c r="Y190" s="213"/>
      <c r="Z190" s="214"/>
      <c r="AA190" s="213"/>
      <c r="AB190" s="213"/>
      <c r="AC190" s="213"/>
      <c r="AD190" s="213"/>
      <c r="AE190" s="213"/>
      <c r="AF190" s="213"/>
      <c r="AG190" s="213"/>
      <c r="AH190" s="214"/>
      <c r="AJ190" s="631">
        <f ca="1">IF(AND($D190="Serviço",AJ$12&lt;&gt;0,$H190&gt;0,OR(AUTOEVENTO&lt;&gt;"manual",$M190&lt;&gt;1)),ROUND(OFFSET($P190,0,AJ$13),15-13*ORÇAMENTO!$AF$7)/$H190*OFFSET(ORÇAMENTO!$X$15,ROW(AJ190)-ROW(AJ$15),0),0)</f>
        <v>0</v>
      </c>
      <c r="AK190" s="632">
        <f ca="1">IF(AND($D190="Serviço",AK$12&lt;&gt;0,$H190&gt;0,OR(AUTOEVENTO&lt;&gt;"manual",$M190&lt;&gt;1)),ROUND(OFFSET($P190,0,AK$13),15-13*ORÇAMENTO!$AF$7)/$H190*OFFSET(ORÇAMENTO!$X$15,ROW(AK190)-ROW(AK$15),0),0)</f>
        <v>0</v>
      </c>
      <c r="AL190" s="632">
        <f ca="1">IF(AND($D190="Serviço",AL$12&lt;&gt;0,$H190&gt;0,OR(AUTOEVENTO&lt;&gt;"manual",$M190&lt;&gt;1)),ROUND(OFFSET($P190,0,AL$13),15-13*ORÇAMENTO!$AF$7)/$H190*OFFSET(ORÇAMENTO!$X$15,ROW(AL190)-ROW(AL$15),0),0)</f>
        <v>0</v>
      </c>
      <c r="AM190" s="632">
        <f ca="1">IF(AND($D190="Serviço",AM$12&lt;&gt;0,$H190&gt;0,OR(AUTOEVENTO&lt;&gt;"manual",$M190&lt;&gt;1)),ROUND(OFFSET($P190,0,AM$13),15-13*ORÇAMENTO!$AF$7)/$H190*OFFSET(ORÇAMENTO!$X$15,ROW(AM190)-ROW(AM$15),0),0)</f>
        <v>0</v>
      </c>
      <c r="AN190" s="632">
        <f ca="1">IF(AND($D190="Serviço",AN$12&lt;&gt;0,$H190&gt;0,OR(AUTOEVENTO&lt;&gt;"manual",$M190&lt;&gt;1)),ROUND(OFFSET($P190,0,AN$13),15-13*ORÇAMENTO!$AF$7)/$H190*OFFSET(ORÇAMENTO!$X$15,ROW(AN190)-ROW(AN$15),0),0)</f>
        <v>0</v>
      </c>
      <c r="AO190" s="632">
        <f ca="1">IF(AND($D190="Serviço",AO$12&lt;&gt;0,$H190&gt;0,OR(AUTOEVENTO&lt;&gt;"manual",$M190&lt;&gt;1)),ROUND(OFFSET($P190,0,AO$13),15-13*ORÇAMENTO!$AF$7)/$H190*OFFSET(ORÇAMENTO!$X$15,ROW(AO190)-ROW(AO$15),0),0)</f>
        <v>0</v>
      </c>
      <c r="AP190" s="632">
        <f ca="1">IF(AND($D190="Serviço",AP$12&lt;&gt;0,$H190&gt;0,OR(AUTOEVENTO&lt;&gt;"manual",$M190&lt;&gt;1)),ROUND(OFFSET($P190,0,AP$13),15-13*ORÇAMENTO!$AF$7)/$H190*OFFSET(ORÇAMENTO!$X$15,ROW(AP190)-ROW(AP$15),0),0)</f>
        <v>0</v>
      </c>
      <c r="AQ190" s="632">
        <f ca="1">IF(AND($D190="Serviço",AQ$12&lt;&gt;0,$H190&gt;0,OR(AUTOEVENTO&lt;&gt;"manual",$M190&lt;&gt;1)),ROUND(OFFSET($P190,0,AQ$13),15-13*ORÇAMENTO!$AF$7)/$H190*OFFSET(ORÇAMENTO!$X$15,ROW(AQ190)-ROW(AQ$15),0),0)</f>
        <v>0</v>
      </c>
      <c r="AR190" s="632">
        <f ca="1">IF(AND($D190="Serviço",AR$12&lt;&gt;0,$H190&gt;0,OR(AUTOEVENTO&lt;&gt;"manual",$M190&lt;&gt;1)),ROUND(OFFSET($P190,0,AR$13),15-13*ORÇAMENTO!$AF$7)/$H190*OFFSET(ORÇAMENTO!$X$15,ROW(AR190)-ROW(AR$15),0),0)</f>
        <v>0</v>
      </c>
      <c r="AS190" s="633">
        <f ca="1">IF(AND($D190="Serviço",AS$12&lt;&gt;0,$H190&gt;0,OR(AUTOEVENTO&lt;&gt;"manual",$M190&lt;&gt;1)),ROUND(OFFSET($P190,0,AS$13),15-13*ORÇAMENTO!$AF$7)/$H190*OFFSET(ORÇAMENTO!$X$15,ROW(AS190)-ROW(AS$15),0),0)</f>
        <v>0</v>
      </c>
      <c r="AT190" s="632">
        <f ca="1">IF(AND($D190="Serviço",AT$12&lt;&gt;0,$H190&gt;0,OR(AUTOEVENTO&lt;&gt;"manual",$M190&lt;&gt;1)),ROUND(OFFSET($P190,0,AT$13),15-13*ORÇAMENTO!$AF$7)/$H190*OFFSET(ORÇAMENTO!$X$15,ROW(AT190)-ROW(AT$15),0),0)</f>
        <v>0</v>
      </c>
      <c r="AU190" s="632">
        <f ca="1">IF(AND($D190="Serviço",AU$12&lt;&gt;0,$H190&gt;0,OR(AUTOEVENTO&lt;&gt;"manual",$M190&lt;&gt;1)),ROUND(OFFSET($P190,0,AU$13),15-13*ORÇAMENTO!$AF$7)/$H190*OFFSET(ORÇAMENTO!$X$15,ROW(AU190)-ROW(AU$15),0),0)</f>
        <v>0</v>
      </c>
      <c r="AV190" s="632">
        <f ca="1">IF(AND($D190="Serviço",AV$12&lt;&gt;0,$H190&gt;0,OR(AUTOEVENTO&lt;&gt;"manual",$M190&lt;&gt;1)),ROUND(OFFSET($P190,0,AV$13),15-13*ORÇAMENTO!$AF$7)/$H190*OFFSET(ORÇAMENTO!$X$15,ROW(AV190)-ROW(AV$15),0),0)</f>
        <v>0</v>
      </c>
      <c r="AW190" s="632">
        <f ca="1">IF(AND($D190="Serviço",AW$12&lt;&gt;0,$H190&gt;0,OR(AUTOEVENTO&lt;&gt;"manual",$M190&lt;&gt;1)),ROUND(OFFSET($P190,0,AW$13),15-13*ORÇAMENTO!$AF$7)/$H190*OFFSET(ORÇAMENTO!$X$15,ROW(AW190)-ROW(AW$15),0),0)</f>
        <v>0</v>
      </c>
      <c r="AX190" s="632">
        <f ca="1">IF(AND($D190="Serviço",AX$12&lt;&gt;0,$H190&gt;0,OR(AUTOEVENTO&lt;&gt;"manual",$M190&lt;&gt;1)),ROUND(OFFSET($P190,0,AX$13),15-13*ORÇAMENTO!$AF$7)/$H190*OFFSET(ORÇAMENTO!$X$15,ROW(AX190)-ROW(AX$15),0),0)</f>
        <v>0</v>
      </c>
      <c r="AY190" s="632">
        <f ca="1">IF(AND($D190="Serviço",AY$12&lt;&gt;0,$H190&gt;0,OR(AUTOEVENTO&lt;&gt;"manual",$M190&lt;&gt;1)),ROUND(OFFSET($P190,0,AY$13),15-13*ORÇAMENTO!$AF$7)/$H190*OFFSET(ORÇAMENTO!$X$15,ROW(AY190)-ROW(AY$15),0),0)</f>
        <v>0</v>
      </c>
      <c r="AZ190" s="632">
        <f ca="1">IF(AND($D190="Serviço",AZ$12&lt;&gt;0,$H190&gt;0,OR(AUTOEVENTO&lt;&gt;"manual",$M190&lt;&gt;1)),ROUND(OFFSET($P190,0,AZ$13),15-13*ORÇAMENTO!$AF$7)/$H190*OFFSET(ORÇAMENTO!$X$15,ROW(AZ190)-ROW(AZ$15),0),0)</f>
        <v>0</v>
      </c>
      <c r="BA190" s="633">
        <f ca="1">IF(AND($D190="Serviço",BA$12&lt;&gt;0,$H190&gt;0,OR(AUTOEVENTO&lt;&gt;"manual",$M190&lt;&gt;1)),ROUND(OFFSET($P190,0,BA$13),15-13*ORÇAMENTO!$AF$7)/$H190*OFFSET(ORÇAMENTO!$X$15,ROW(BA190)-ROW(BA$15),0),0)</f>
        <v>0</v>
      </c>
      <c r="BC190" s="215">
        <f ca="1">IF($D190&lt;&gt;"Serviço",0,IF(AND(AUTOEVENTO="Manual",$M190=1),0,IF(OFFSET(CRONOPLE!$F$14,$M190,BC$13)="",10^12,OFFSET(CRONOPLE!$F$14,$M190,BC$13))))</f>
        <v>1000000000000</v>
      </c>
      <c r="BD190" s="215">
        <f ca="1">IF($D190&lt;&gt;"Serviço",0,IF(AND(AUTOEVENTO="Manual",$M190=1),0,IF(OFFSET(CRONOPLE!$F$14,$M190,BD$13)="",10^12,OFFSET(CRONOPLE!$F$14,$M190,BD$13))))</f>
        <v>1000000000000</v>
      </c>
      <c r="BE190" s="215">
        <f ca="1">IF($D190&lt;&gt;"Serviço",0,IF(AND(AUTOEVENTO="Manual",$M190=1),0,IF(OFFSET(CRONOPLE!$F$14,$M190,BE$13)="",10^12,OFFSET(CRONOPLE!$F$14,$M190,BE$13))))</f>
        <v>1000000000000</v>
      </c>
      <c r="BF190" s="215">
        <f ca="1">IF($D190&lt;&gt;"Serviço",0,IF(AND(AUTOEVENTO="Manual",$M190=1),0,IF(OFFSET(CRONOPLE!$F$14,$M190,BF$13)="",10^12,OFFSET(CRONOPLE!$F$14,$M190,BF$13))))</f>
        <v>1000000000000</v>
      </c>
      <c r="BG190" s="215">
        <f ca="1">IF($D190&lt;&gt;"Serviço",0,IF(AND(AUTOEVENTO="Manual",$M190=1),0,IF(OFFSET(CRONOPLE!$F$14,$M190,BG$13)="",10^12,OFFSET(CRONOPLE!$F$14,$M190,BG$13))))</f>
        <v>1000000000000</v>
      </c>
      <c r="BH190" s="215">
        <f ca="1">IF($D190&lt;&gt;"Serviço",0,IF(AND(AUTOEVENTO="Manual",$M190=1),0,IF(OFFSET(CRONOPLE!$F$14,$M190,BH$13)="",10^12,OFFSET(CRONOPLE!$F$14,$M190,BH$13))))</f>
        <v>1000000000000</v>
      </c>
      <c r="BI190" s="215">
        <f ca="1">IF($D190&lt;&gt;"Serviço",0,IF(AND(AUTOEVENTO="Manual",$M190=1),0,IF(OFFSET(CRONOPLE!$F$14,$M190,BI$13)="",10^12,OFFSET(CRONOPLE!$F$14,$M190,BI$13))))</f>
        <v>1000000000000</v>
      </c>
      <c r="BJ190" s="215">
        <f ca="1">IF($D190&lt;&gt;"Serviço",0,IF(AND(AUTOEVENTO="Manual",$M190=1),0,IF(OFFSET(CRONOPLE!$F$14,$M190,BJ$13)="",10^12,OFFSET(CRONOPLE!$F$14,$M190,BJ$13))))</f>
        <v>1000000000000</v>
      </c>
      <c r="BK190" s="215">
        <f ca="1">IF($D190&lt;&gt;"Serviço",0,IF(AND(AUTOEVENTO="Manual",$M190=1),0,IF(OFFSET(CRONOPLE!$F$14,$M190,BK$13)="",10^12,OFFSET(CRONOPLE!$F$14,$M190,BK$13))))</f>
        <v>1000000000000</v>
      </c>
      <c r="BL190" s="215">
        <f ca="1">IF($D190&lt;&gt;"Serviço",0,IF(AND(AUTOEVENTO="Manual",$M190=1),0,IF(OFFSET(CRONOPLE!$F$14,$M190,BL$13)="",10^12,OFFSET(CRONOPLE!$F$14,$M190,BL$13))))</f>
        <v>1000000000000</v>
      </c>
      <c r="BM190" s="215">
        <f ca="1">IF($D190&lt;&gt;"Serviço",0,IF(AND(AUTOEVENTO="Manual",$M190=1),0,IF(OFFSET(CRONOPLE!$F$14,$M190,BM$13)="",10^12,OFFSET(CRONOPLE!$F$14,$M190,BM$13))))</f>
        <v>1000000000000</v>
      </c>
      <c r="BN190" s="215">
        <f ca="1">IF($D190&lt;&gt;"Serviço",0,IF(AND(AUTOEVENTO="Manual",$M190=1),0,IF(OFFSET(CRONOPLE!$F$14,$M190,BN$13)="",10^12,OFFSET(CRONOPLE!$F$14,$M190,BN$13))))</f>
        <v>1000000000000</v>
      </c>
      <c r="BO190" s="215">
        <f ca="1">IF($D190&lt;&gt;"Serviço",0,IF(AND(AUTOEVENTO="Manual",$M190=1),0,IF(OFFSET(CRONOPLE!$F$14,$M190,BO$13)="",10^12,OFFSET(CRONOPLE!$F$14,$M190,BO$13))))</f>
        <v>1000000000000</v>
      </c>
      <c r="BP190" s="215">
        <f ca="1">IF($D190&lt;&gt;"Serviço",0,IF(AND(AUTOEVENTO="Manual",$M190=1),0,IF(OFFSET(CRONOPLE!$F$14,$M190,BP$13)="",10^12,OFFSET(CRONOPLE!$F$14,$M190,BP$13))))</f>
        <v>1000000000000</v>
      </c>
      <c r="BQ190" s="215">
        <f ca="1">IF($D190&lt;&gt;"Serviço",0,IF(AND(AUTOEVENTO="Manual",$M190=1),0,IF(OFFSET(CRONOPLE!$F$14,$M190,BQ$13)="",10^12,OFFSET(CRONOPLE!$F$14,$M190,BQ$13))))</f>
        <v>1000000000000</v>
      </c>
      <c r="BR190" s="215">
        <f ca="1">IF($D190&lt;&gt;"Serviço",0,IF(AND(AUTOEVENTO="Manual",$M190=1),0,IF(OFFSET(CRONOPLE!$F$14,$M190,BR$13)="",10^12,OFFSET(CRONOPLE!$F$14,$M190,BR$13))))</f>
        <v>1000000000000</v>
      </c>
      <c r="BS190" s="215">
        <f ca="1">IF($D190&lt;&gt;"Serviço",0,IF(AND(AUTOEVENTO="Manual",$M190=1),0,IF(OFFSET(CRONOPLE!$F$14,$M190,BS$13)="",10^12,OFFSET(CRONOPLE!$F$14,$M190,BS$13))))</f>
        <v>1000000000000</v>
      </c>
      <c r="BT190" s="215">
        <f ca="1">IF($D190&lt;&gt;"Serviço",0,IF(AND(AUTOEVENTO="Manual",$M190=1),0,IF(OFFSET(CRONOPLE!$F$14,$M190,BT$13)="",10^12,OFFSET(CRONOPLE!$F$14,$M190,BT$13))))</f>
        <v>1000000000000</v>
      </c>
      <c r="BV190" s="216">
        <f ca="1">IF($D190&lt;&gt;"Serviço",0,IF(OR(AND(AUTOEVENTO="Manual",$M190=1),$M190&gt;(ROW(PLE.lastrow)-ROW(PLE.firstrow))),0,IF(OFFSET(PLE!$G$14,$M190,BV$13)="",10^12,OFFSET(PLE!$G$14,$M190,BV$13))))</f>
        <v>1000000000000</v>
      </c>
      <c r="BW190" s="216">
        <f ca="1">IF($D190&lt;&gt;"Serviço",0,IF(OR(AND(AUTOEVENTO="Manual",$M190=1),$M190&gt;(ROW(PLE.lastrow)-ROW(PLE.firstrow))),0,IF(OFFSET(PLE!$G$14,$M190,BW$13)="",10^12,OFFSET(PLE!$G$14,$M190,BW$13))))</f>
        <v>1000000000000</v>
      </c>
      <c r="BX190" s="216">
        <f ca="1">IF($D190&lt;&gt;"Serviço",0,IF(OR(AND(AUTOEVENTO="Manual",$M190=1),$M190&gt;(ROW(PLE.lastrow)-ROW(PLE.firstrow))),0,IF(OFFSET(PLE!$G$14,$M190,BX$13)="",10^12,OFFSET(PLE!$G$14,$M190,BX$13))))</f>
        <v>1000000000000</v>
      </c>
      <c r="BY190" s="216">
        <f ca="1">IF($D190&lt;&gt;"Serviço",0,IF(OR(AND(AUTOEVENTO="Manual",$M190=1),$M190&gt;(ROW(PLE.lastrow)-ROW(PLE.firstrow))),0,IF(OFFSET(PLE!$G$14,$M190,BY$13)="",10^12,OFFSET(PLE!$G$14,$M190,BY$13))))</f>
        <v>1000000000000</v>
      </c>
      <c r="BZ190" s="216">
        <f ca="1">IF($D190&lt;&gt;"Serviço",0,IF(OR(AND(AUTOEVENTO="Manual",$M190=1),$M190&gt;(ROW(PLE.lastrow)-ROW(PLE.firstrow))),0,IF(OFFSET(PLE!$G$14,$M190,BZ$13)="",10^12,OFFSET(PLE!$G$14,$M190,BZ$13))))</f>
        <v>1000000000000</v>
      </c>
      <c r="CA190" s="216">
        <f ca="1">IF($D190&lt;&gt;"Serviço",0,IF(OR(AND(AUTOEVENTO="Manual",$M190=1),$M190&gt;(ROW(PLE.lastrow)-ROW(PLE.firstrow))),0,IF(OFFSET(PLE!$G$14,$M190,CA$13)="",10^12,OFFSET(PLE!$G$14,$M190,CA$13))))</f>
        <v>1000000000000</v>
      </c>
      <c r="CB190" s="216">
        <f ca="1">IF($D190&lt;&gt;"Serviço",0,IF(OR(AND(AUTOEVENTO="Manual",$M190=1),$M190&gt;(ROW(PLE.lastrow)-ROW(PLE.firstrow))),0,IF(OFFSET(PLE!$G$14,$M190,CB$13)="",10^12,OFFSET(PLE!$G$14,$M190,CB$13))))</f>
        <v>1000000000000</v>
      </c>
      <c r="CC190" s="216">
        <f ca="1">IF($D190&lt;&gt;"Serviço",0,IF(OR(AND(AUTOEVENTO="Manual",$M190=1),$M190&gt;(ROW(PLE.lastrow)-ROW(PLE.firstrow))),0,IF(OFFSET(PLE!$G$14,$M190,CC$13)="",10^12,OFFSET(PLE!$G$14,$M190,CC$13))))</f>
        <v>1000000000000</v>
      </c>
      <c r="CD190" s="216">
        <f ca="1">IF($D190&lt;&gt;"Serviço",0,IF(OR(AND(AUTOEVENTO="Manual",$M190=1),$M190&gt;(ROW(PLE.lastrow)-ROW(PLE.firstrow))),0,IF(OFFSET(PLE!$G$14,$M190,CD$13)="",10^12,OFFSET(PLE!$G$14,$M190,CD$13))))</f>
        <v>1000000000000</v>
      </c>
      <c r="CE190" s="216">
        <f ca="1">IF($D190&lt;&gt;"Serviço",0,IF(OR(AND(AUTOEVENTO="Manual",$M190=1),$M190&gt;(ROW(PLE.lastrow)-ROW(PLE.firstrow))),0,IF(OFFSET(PLE!$G$14,$M190,CE$13)="",10^12,OFFSET(PLE!$G$14,$M190,CE$13))))</f>
        <v>1000000000000</v>
      </c>
      <c r="CF190" s="216">
        <f ca="1">IF($D190&lt;&gt;"Serviço",0,IF(OR(AND(AUTOEVENTO="Manual",$M190=1),$M190&gt;(ROW(PLE.lastrow)-ROW(PLE.firstrow))),0,IF(OFFSET(PLE!$G$14,$M190,CF$13)="",10^12,OFFSET(PLE!$G$14,$M190,CF$13))))</f>
        <v>1000000000000</v>
      </c>
      <c r="CG190" s="216">
        <f ca="1">IF($D190&lt;&gt;"Serviço",0,IF(OR(AND(AUTOEVENTO="Manual",$M190=1),$M190&gt;(ROW(PLE.lastrow)-ROW(PLE.firstrow))),0,IF(OFFSET(PLE!$G$14,$M190,CG$13)="",10^12,OFFSET(PLE!$G$14,$M190,CG$13))))</f>
        <v>1000000000000</v>
      </c>
      <c r="CH190" s="216">
        <f ca="1">IF($D190&lt;&gt;"Serviço",0,IF(OR(AND(AUTOEVENTO="Manual",$M190=1),$M190&gt;(ROW(PLE.lastrow)-ROW(PLE.firstrow))),0,IF(OFFSET(PLE!$G$14,$M190,CH$13)="",10^12,OFFSET(PLE!$G$14,$M190,CH$13))))</f>
        <v>1000000000000</v>
      </c>
      <c r="CI190" s="216">
        <f ca="1">IF($D190&lt;&gt;"Serviço",0,IF(OR(AND(AUTOEVENTO="Manual",$M190=1),$M190&gt;(ROW(PLE.lastrow)-ROW(PLE.firstrow))),0,IF(OFFSET(PLE!$G$14,$M190,CI$13)="",10^12,OFFSET(PLE!$G$14,$M190,CI$13))))</f>
        <v>1000000000000</v>
      </c>
      <c r="CJ190" s="216">
        <f ca="1">IF($D190&lt;&gt;"Serviço",0,IF(OR(AND(AUTOEVENTO="Manual",$M190=1),$M190&gt;(ROW(PLE.lastrow)-ROW(PLE.firstrow))),0,IF(OFFSET(PLE!$G$14,$M190,CJ$13)="",10^12,OFFSET(PLE!$G$14,$M190,CJ$13))))</f>
        <v>1000000000000</v>
      </c>
      <c r="CK190" s="216">
        <f ca="1">IF($D190&lt;&gt;"Serviço",0,IF(OR(AND(AUTOEVENTO="Manual",$M190=1),$M190&gt;(ROW(PLE.lastrow)-ROW(PLE.firstrow))),0,IF(OFFSET(PLE!$G$14,$M190,CK$13)="",10^12,OFFSET(PLE!$G$14,$M190,CK$13))))</f>
        <v>1000000000000</v>
      </c>
      <c r="CL190" s="216">
        <f ca="1">IF($D190&lt;&gt;"Serviço",0,IF(OR(AND(AUTOEVENTO="Manual",$M190=1),$M190&gt;(ROW(PLE.lastrow)-ROW(PLE.firstrow))),0,IF(OFFSET(PLE!$G$14,$M190,CL$13)="",10^12,OFFSET(PLE!$G$14,$M190,CL$13))))</f>
        <v>1000000000000</v>
      </c>
      <c r="CM190" s="216">
        <f ca="1">IF($D190&lt;&gt;"Serviço",0,IF(OR(AND(AUTOEVENTO="Manual",$M190=1),$M190&gt;(ROW(PLE.lastrow)-ROW(PLE.firstrow))),0,IF(OFFSET(PLE!$G$14,$M190,CM$13)="",10^12,OFFSET(PLE!$G$14,$M190,CM$13))))</f>
        <v>1000000000000</v>
      </c>
    </row>
    <row r="191" spans="1:91" ht="13.2" x14ac:dyDescent="0.25">
      <c r="A191" s="9">
        <f t="shared" ca="1" si="11"/>
        <v>0</v>
      </c>
      <c r="B191" s="9" t="str">
        <f ca="1">OFFSET(ORÇAMENTO!C$15,ROW(B191)-ROW(B$15),0)</f>
        <v>S</v>
      </c>
      <c r="C191" s="9" t="str">
        <f ca="1">OFFSET(ORÇAMENTO!L$15,ROW(C191)-ROW(C$15),0)</f>
        <v/>
      </c>
      <c r="D191" s="145" t="str">
        <f ca="1">OFFSET(ORÇAMENTO!N$15,ROW(D191)-ROW(D$15),0)</f>
        <v>Serviço</v>
      </c>
      <c r="E191" s="205" t="str">
        <f ca="1">OFFSET(ORÇAMENTO!O$15,ROW(E191)-ROW(E$15),0)</f>
        <v>-</v>
      </c>
      <c r="F191" s="206" t="str">
        <f ca="1">OFFSET(ORÇAMENTO!R$15,ROW(F191)-ROW(F$15),0)</f>
        <v>(abra o arquivo 'Referência 05-2024.xls)</v>
      </c>
      <c r="G191" s="207" t="str">
        <f ca="1">IF($D191&lt;&gt;"Serviço","",OFFSET(ORÇAMENTO!S$15,ROW(G191)-ROW(G$15),0))</f>
        <v>-</v>
      </c>
      <c r="H191" s="151">
        <f ca="1">IF($D191&lt;&gt;"Serviço",0,IF(ACOMPANHAMENTO="BM",ROUND(OFFSET(ORÇAMENTO!AJ$15,ROW(H191)-ROW(H$15),0),15-13*ORÇAMENTO!$AF$7),SUMPRODUCT(($Q$12:$AI$12&lt;&gt;"")*ROUND($Q191:$AI191,15-13*ORÇAMENTO!$AF$7))))</f>
        <v>5.52</v>
      </c>
      <c r="I191" s="650"/>
      <c r="K191" s="208"/>
      <c r="L191" s="209" t="s">
        <v>257</v>
      </c>
      <c r="M191" s="210">
        <f ca="1">IF($D191&lt;&gt;"Serviço","",IF(AUTOEVENTO="manual",$A191,IF(ISERROR(MATCH($A191,$A$15:OFFSET($A191,-1,0),0)),MAX($M$15:OFFSET(M191,-1,0))+1,INDEX($M$15:OFFSET(M191,-1,0),MATCH($A191,$A$15:OFFSET($A191,-1,0),0)))))</f>
        <v>0</v>
      </c>
      <c r="N191" s="211" t="str">
        <f ca="1">IF($D191&lt;&gt;"Serviço","",IF(AUTOEVENTO="Manual",IF($A191=0,"&lt;-- defina o número do agrupador",OFFSET(EVENTOS!$D$14,$A191,0)),OFFSET($F$15,$A191,0)))</f>
        <v>&lt;-- defina o número do agrupador</v>
      </c>
      <c r="O191" s="212"/>
      <c r="Q191" s="212"/>
      <c r="R191" s="213"/>
      <c r="S191" s="213"/>
      <c r="T191" s="213"/>
      <c r="U191" s="213"/>
      <c r="V191" s="213"/>
      <c r="W191" s="213"/>
      <c r="X191" s="213"/>
      <c r="Y191" s="213"/>
      <c r="Z191" s="214"/>
      <c r="AA191" s="213"/>
      <c r="AB191" s="213"/>
      <c r="AC191" s="213"/>
      <c r="AD191" s="213"/>
      <c r="AE191" s="213"/>
      <c r="AF191" s="213"/>
      <c r="AG191" s="213"/>
      <c r="AH191" s="214"/>
      <c r="AJ191" s="631">
        <f ca="1">IF(AND($D191="Serviço",AJ$12&lt;&gt;0,$H191&gt;0,OR(AUTOEVENTO&lt;&gt;"manual",$M191&lt;&gt;1)),ROUND(OFFSET($P191,0,AJ$13),15-13*ORÇAMENTO!$AF$7)/$H191*OFFSET(ORÇAMENTO!$X$15,ROW(AJ191)-ROW(AJ$15),0),0)</f>
        <v>0</v>
      </c>
      <c r="AK191" s="632">
        <f ca="1">IF(AND($D191="Serviço",AK$12&lt;&gt;0,$H191&gt;0,OR(AUTOEVENTO&lt;&gt;"manual",$M191&lt;&gt;1)),ROUND(OFFSET($P191,0,AK$13),15-13*ORÇAMENTO!$AF$7)/$H191*OFFSET(ORÇAMENTO!$X$15,ROW(AK191)-ROW(AK$15),0),0)</f>
        <v>0</v>
      </c>
      <c r="AL191" s="632">
        <f ca="1">IF(AND($D191="Serviço",AL$12&lt;&gt;0,$H191&gt;0,OR(AUTOEVENTO&lt;&gt;"manual",$M191&lt;&gt;1)),ROUND(OFFSET($P191,0,AL$13),15-13*ORÇAMENTO!$AF$7)/$H191*OFFSET(ORÇAMENTO!$X$15,ROW(AL191)-ROW(AL$15),0),0)</f>
        <v>0</v>
      </c>
      <c r="AM191" s="632">
        <f ca="1">IF(AND($D191="Serviço",AM$12&lt;&gt;0,$H191&gt;0,OR(AUTOEVENTO&lt;&gt;"manual",$M191&lt;&gt;1)),ROUND(OFFSET($P191,0,AM$13),15-13*ORÇAMENTO!$AF$7)/$H191*OFFSET(ORÇAMENTO!$X$15,ROW(AM191)-ROW(AM$15),0),0)</f>
        <v>0</v>
      </c>
      <c r="AN191" s="632">
        <f ca="1">IF(AND($D191="Serviço",AN$12&lt;&gt;0,$H191&gt;0,OR(AUTOEVENTO&lt;&gt;"manual",$M191&lt;&gt;1)),ROUND(OFFSET($P191,0,AN$13),15-13*ORÇAMENTO!$AF$7)/$H191*OFFSET(ORÇAMENTO!$X$15,ROW(AN191)-ROW(AN$15),0),0)</f>
        <v>0</v>
      </c>
      <c r="AO191" s="632">
        <f ca="1">IF(AND($D191="Serviço",AO$12&lt;&gt;0,$H191&gt;0,OR(AUTOEVENTO&lt;&gt;"manual",$M191&lt;&gt;1)),ROUND(OFFSET($P191,0,AO$13),15-13*ORÇAMENTO!$AF$7)/$H191*OFFSET(ORÇAMENTO!$X$15,ROW(AO191)-ROW(AO$15),0),0)</f>
        <v>0</v>
      </c>
      <c r="AP191" s="632">
        <f ca="1">IF(AND($D191="Serviço",AP$12&lt;&gt;0,$H191&gt;0,OR(AUTOEVENTO&lt;&gt;"manual",$M191&lt;&gt;1)),ROUND(OFFSET($P191,0,AP$13),15-13*ORÇAMENTO!$AF$7)/$H191*OFFSET(ORÇAMENTO!$X$15,ROW(AP191)-ROW(AP$15),0),0)</f>
        <v>0</v>
      </c>
      <c r="AQ191" s="632">
        <f ca="1">IF(AND($D191="Serviço",AQ$12&lt;&gt;0,$H191&gt;0,OR(AUTOEVENTO&lt;&gt;"manual",$M191&lt;&gt;1)),ROUND(OFFSET($P191,0,AQ$13),15-13*ORÇAMENTO!$AF$7)/$H191*OFFSET(ORÇAMENTO!$X$15,ROW(AQ191)-ROW(AQ$15),0),0)</f>
        <v>0</v>
      </c>
      <c r="AR191" s="632">
        <f ca="1">IF(AND($D191="Serviço",AR$12&lt;&gt;0,$H191&gt;0,OR(AUTOEVENTO&lt;&gt;"manual",$M191&lt;&gt;1)),ROUND(OFFSET($P191,0,AR$13),15-13*ORÇAMENTO!$AF$7)/$H191*OFFSET(ORÇAMENTO!$X$15,ROW(AR191)-ROW(AR$15),0),0)</f>
        <v>0</v>
      </c>
      <c r="AS191" s="633">
        <f ca="1">IF(AND($D191="Serviço",AS$12&lt;&gt;0,$H191&gt;0,OR(AUTOEVENTO&lt;&gt;"manual",$M191&lt;&gt;1)),ROUND(OFFSET($P191,0,AS$13),15-13*ORÇAMENTO!$AF$7)/$H191*OFFSET(ORÇAMENTO!$X$15,ROW(AS191)-ROW(AS$15),0),0)</f>
        <v>0</v>
      </c>
      <c r="AT191" s="632">
        <f ca="1">IF(AND($D191="Serviço",AT$12&lt;&gt;0,$H191&gt;0,OR(AUTOEVENTO&lt;&gt;"manual",$M191&lt;&gt;1)),ROUND(OFFSET($P191,0,AT$13),15-13*ORÇAMENTO!$AF$7)/$H191*OFFSET(ORÇAMENTO!$X$15,ROW(AT191)-ROW(AT$15),0),0)</f>
        <v>0</v>
      </c>
      <c r="AU191" s="632">
        <f ca="1">IF(AND($D191="Serviço",AU$12&lt;&gt;0,$H191&gt;0,OR(AUTOEVENTO&lt;&gt;"manual",$M191&lt;&gt;1)),ROUND(OFFSET($P191,0,AU$13),15-13*ORÇAMENTO!$AF$7)/$H191*OFFSET(ORÇAMENTO!$X$15,ROW(AU191)-ROW(AU$15),0),0)</f>
        <v>0</v>
      </c>
      <c r="AV191" s="632">
        <f ca="1">IF(AND($D191="Serviço",AV$12&lt;&gt;0,$H191&gt;0,OR(AUTOEVENTO&lt;&gt;"manual",$M191&lt;&gt;1)),ROUND(OFFSET($P191,0,AV$13),15-13*ORÇAMENTO!$AF$7)/$H191*OFFSET(ORÇAMENTO!$X$15,ROW(AV191)-ROW(AV$15),0),0)</f>
        <v>0</v>
      </c>
      <c r="AW191" s="632">
        <f ca="1">IF(AND($D191="Serviço",AW$12&lt;&gt;0,$H191&gt;0,OR(AUTOEVENTO&lt;&gt;"manual",$M191&lt;&gt;1)),ROUND(OFFSET($P191,0,AW$13),15-13*ORÇAMENTO!$AF$7)/$H191*OFFSET(ORÇAMENTO!$X$15,ROW(AW191)-ROW(AW$15),0),0)</f>
        <v>0</v>
      </c>
      <c r="AX191" s="632">
        <f ca="1">IF(AND($D191="Serviço",AX$12&lt;&gt;0,$H191&gt;0,OR(AUTOEVENTO&lt;&gt;"manual",$M191&lt;&gt;1)),ROUND(OFFSET($P191,0,AX$13),15-13*ORÇAMENTO!$AF$7)/$H191*OFFSET(ORÇAMENTO!$X$15,ROW(AX191)-ROW(AX$15),0),0)</f>
        <v>0</v>
      </c>
      <c r="AY191" s="632">
        <f ca="1">IF(AND($D191="Serviço",AY$12&lt;&gt;0,$H191&gt;0,OR(AUTOEVENTO&lt;&gt;"manual",$M191&lt;&gt;1)),ROUND(OFFSET($P191,0,AY$13),15-13*ORÇAMENTO!$AF$7)/$H191*OFFSET(ORÇAMENTO!$X$15,ROW(AY191)-ROW(AY$15),0),0)</f>
        <v>0</v>
      </c>
      <c r="AZ191" s="632">
        <f ca="1">IF(AND($D191="Serviço",AZ$12&lt;&gt;0,$H191&gt;0,OR(AUTOEVENTO&lt;&gt;"manual",$M191&lt;&gt;1)),ROUND(OFFSET($P191,0,AZ$13),15-13*ORÇAMENTO!$AF$7)/$H191*OFFSET(ORÇAMENTO!$X$15,ROW(AZ191)-ROW(AZ$15),0),0)</f>
        <v>0</v>
      </c>
      <c r="BA191" s="633">
        <f ca="1">IF(AND($D191="Serviço",BA$12&lt;&gt;0,$H191&gt;0,OR(AUTOEVENTO&lt;&gt;"manual",$M191&lt;&gt;1)),ROUND(OFFSET($P191,0,BA$13),15-13*ORÇAMENTO!$AF$7)/$H191*OFFSET(ORÇAMENTO!$X$15,ROW(BA191)-ROW(BA$15),0),0)</f>
        <v>0</v>
      </c>
      <c r="BC191" s="215">
        <f ca="1">IF($D191&lt;&gt;"Serviço",0,IF(AND(AUTOEVENTO="Manual",$M191=1),0,IF(OFFSET(CRONOPLE!$F$14,$M191,BC$13)="",10^12,OFFSET(CRONOPLE!$F$14,$M191,BC$13))))</f>
        <v>1000000000000</v>
      </c>
      <c r="BD191" s="215">
        <f ca="1">IF($D191&lt;&gt;"Serviço",0,IF(AND(AUTOEVENTO="Manual",$M191=1),0,IF(OFFSET(CRONOPLE!$F$14,$M191,BD$13)="",10^12,OFFSET(CRONOPLE!$F$14,$M191,BD$13))))</f>
        <v>1000000000000</v>
      </c>
      <c r="BE191" s="215">
        <f ca="1">IF($D191&lt;&gt;"Serviço",0,IF(AND(AUTOEVENTO="Manual",$M191=1),0,IF(OFFSET(CRONOPLE!$F$14,$M191,BE$13)="",10^12,OFFSET(CRONOPLE!$F$14,$M191,BE$13))))</f>
        <v>1000000000000</v>
      </c>
      <c r="BF191" s="215">
        <f ca="1">IF($D191&lt;&gt;"Serviço",0,IF(AND(AUTOEVENTO="Manual",$M191=1),0,IF(OFFSET(CRONOPLE!$F$14,$M191,BF$13)="",10^12,OFFSET(CRONOPLE!$F$14,$M191,BF$13))))</f>
        <v>1000000000000</v>
      </c>
      <c r="BG191" s="215">
        <f ca="1">IF($D191&lt;&gt;"Serviço",0,IF(AND(AUTOEVENTO="Manual",$M191=1),0,IF(OFFSET(CRONOPLE!$F$14,$M191,BG$13)="",10^12,OFFSET(CRONOPLE!$F$14,$M191,BG$13))))</f>
        <v>1000000000000</v>
      </c>
      <c r="BH191" s="215">
        <f ca="1">IF($D191&lt;&gt;"Serviço",0,IF(AND(AUTOEVENTO="Manual",$M191=1),0,IF(OFFSET(CRONOPLE!$F$14,$M191,BH$13)="",10^12,OFFSET(CRONOPLE!$F$14,$M191,BH$13))))</f>
        <v>1000000000000</v>
      </c>
      <c r="BI191" s="215">
        <f ca="1">IF($D191&lt;&gt;"Serviço",0,IF(AND(AUTOEVENTO="Manual",$M191=1),0,IF(OFFSET(CRONOPLE!$F$14,$M191,BI$13)="",10^12,OFFSET(CRONOPLE!$F$14,$M191,BI$13))))</f>
        <v>1000000000000</v>
      </c>
      <c r="BJ191" s="215">
        <f ca="1">IF($D191&lt;&gt;"Serviço",0,IF(AND(AUTOEVENTO="Manual",$M191=1),0,IF(OFFSET(CRONOPLE!$F$14,$M191,BJ$13)="",10^12,OFFSET(CRONOPLE!$F$14,$M191,BJ$13))))</f>
        <v>1000000000000</v>
      </c>
      <c r="BK191" s="215">
        <f ca="1">IF($D191&lt;&gt;"Serviço",0,IF(AND(AUTOEVENTO="Manual",$M191=1),0,IF(OFFSET(CRONOPLE!$F$14,$M191,BK$13)="",10^12,OFFSET(CRONOPLE!$F$14,$M191,BK$13))))</f>
        <v>1000000000000</v>
      </c>
      <c r="BL191" s="215">
        <f ca="1">IF($D191&lt;&gt;"Serviço",0,IF(AND(AUTOEVENTO="Manual",$M191=1),0,IF(OFFSET(CRONOPLE!$F$14,$M191,BL$13)="",10^12,OFFSET(CRONOPLE!$F$14,$M191,BL$13))))</f>
        <v>1000000000000</v>
      </c>
      <c r="BM191" s="215">
        <f ca="1">IF($D191&lt;&gt;"Serviço",0,IF(AND(AUTOEVENTO="Manual",$M191=1),0,IF(OFFSET(CRONOPLE!$F$14,$M191,BM$13)="",10^12,OFFSET(CRONOPLE!$F$14,$M191,BM$13))))</f>
        <v>1000000000000</v>
      </c>
      <c r="BN191" s="215">
        <f ca="1">IF($D191&lt;&gt;"Serviço",0,IF(AND(AUTOEVENTO="Manual",$M191=1),0,IF(OFFSET(CRONOPLE!$F$14,$M191,BN$13)="",10^12,OFFSET(CRONOPLE!$F$14,$M191,BN$13))))</f>
        <v>1000000000000</v>
      </c>
      <c r="BO191" s="215">
        <f ca="1">IF($D191&lt;&gt;"Serviço",0,IF(AND(AUTOEVENTO="Manual",$M191=1),0,IF(OFFSET(CRONOPLE!$F$14,$M191,BO$13)="",10^12,OFFSET(CRONOPLE!$F$14,$M191,BO$13))))</f>
        <v>1000000000000</v>
      </c>
      <c r="BP191" s="215">
        <f ca="1">IF($D191&lt;&gt;"Serviço",0,IF(AND(AUTOEVENTO="Manual",$M191=1),0,IF(OFFSET(CRONOPLE!$F$14,$M191,BP$13)="",10^12,OFFSET(CRONOPLE!$F$14,$M191,BP$13))))</f>
        <v>1000000000000</v>
      </c>
      <c r="BQ191" s="215">
        <f ca="1">IF($D191&lt;&gt;"Serviço",0,IF(AND(AUTOEVENTO="Manual",$M191=1),0,IF(OFFSET(CRONOPLE!$F$14,$M191,BQ$13)="",10^12,OFFSET(CRONOPLE!$F$14,$M191,BQ$13))))</f>
        <v>1000000000000</v>
      </c>
      <c r="BR191" s="215">
        <f ca="1">IF($D191&lt;&gt;"Serviço",0,IF(AND(AUTOEVENTO="Manual",$M191=1),0,IF(OFFSET(CRONOPLE!$F$14,$M191,BR$13)="",10^12,OFFSET(CRONOPLE!$F$14,$M191,BR$13))))</f>
        <v>1000000000000</v>
      </c>
      <c r="BS191" s="215">
        <f ca="1">IF($D191&lt;&gt;"Serviço",0,IF(AND(AUTOEVENTO="Manual",$M191=1),0,IF(OFFSET(CRONOPLE!$F$14,$M191,BS$13)="",10^12,OFFSET(CRONOPLE!$F$14,$M191,BS$13))))</f>
        <v>1000000000000</v>
      </c>
      <c r="BT191" s="215">
        <f ca="1">IF($D191&lt;&gt;"Serviço",0,IF(AND(AUTOEVENTO="Manual",$M191=1),0,IF(OFFSET(CRONOPLE!$F$14,$M191,BT$13)="",10^12,OFFSET(CRONOPLE!$F$14,$M191,BT$13))))</f>
        <v>1000000000000</v>
      </c>
      <c r="BV191" s="216">
        <f ca="1">IF($D191&lt;&gt;"Serviço",0,IF(OR(AND(AUTOEVENTO="Manual",$M191=1),$M191&gt;(ROW(PLE.lastrow)-ROW(PLE.firstrow))),0,IF(OFFSET(PLE!$G$14,$M191,BV$13)="",10^12,OFFSET(PLE!$G$14,$M191,BV$13))))</f>
        <v>1000000000000</v>
      </c>
      <c r="BW191" s="216">
        <f ca="1">IF($D191&lt;&gt;"Serviço",0,IF(OR(AND(AUTOEVENTO="Manual",$M191=1),$M191&gt;(ROW(PLE.lastrow)-ROW(PLE.firstrow))),0,IF(OFFSET(PLE!$G$14,$M191,BW$13)="",10^12,OFFSET(PLE!$G$14,$M191,BW$13))))</f>
        <v>1000000000000</v>
      </c>
      <c r="BX191" s="216">
        <f ca="1">IF($D191&lt;&gt;"Serviço",0,IF(OR(AND(AUTOEVENTO="Manual",$M191=1),$M191&gt;(ROW(PLE.lastrow)-ROW(PLE.firstrow))),0,IF(OFFSET(PLE!$G$14,$M191,BX$13)="",10^12,OFFSET(PLE!$G$14,$M191,BX$13))))</f>
        <v>1000000000000</v>
      </c>
      <c r="BY191" s="216">
        <f ca="1">IF($D191&lt;&gt;"Serviço",0,IF(OR(AND(AUTOEVENTO="Manual",$M191=1),$M191&gt;(ROW(PLE.lastrow)-ROW(PLE.firstrow))),0,IF(OFFSET(PLE!$G$14,$M191,BY$13)="",10^12,OFFSET(PLE!$G$14,$M191,BY$13))))</f>
        <v>1000000000000</v>
      </c>
      <c r="BZ191" s="216">
        <f ca="1">IF($D191&lt;&gt;"Serviço",0,IF(OR(AND(AUTOEVENTO="Manual",$M191=1),$M191&gt;(ROW(PLE.lastrow)-ROW(PLE.firstrow))),0,IF(OFFSET(PLE!$G$14,$M191,BZ$13)="",10^12,OFFSET(PLE!$G$14,$M191,BZ$13))))</f>
        <v>1000000000000</v>
      </c>
      <c r="CA191" s="216">
        <f ca="1">IF($D191&lt;&gt;"Serviço",0,IF(OR(AND(AUTOEVENTO="Manual",$M191=1),$M191&gt;(ROW(PLE.lastrow)-ROW(PLE.firstrow))),0,IF(OFFSET(PLE!$G$14,$M191,CA$13)="",10^12,OFFSET(PLE!$G$14,$M191,CA$13))))</f>
        <v>1000000000000</v>
      </c>
      <c r="CB191" s="216">
        <f ca="1">IF($D191&lt;&gt;"Serviço",0,IF(OR(AND(AUTOEVENTO="Manual",$M191=1),$M191&gt;(ROW(PLE.lastrow)-ROW(PLE.firstrow))),0,IF(OFFSET(PLE!$G$14,$M191,CB$13)="",10^12,OFFSET(PLE!$G$14,$M191,CB$13))))</f>
        <v>1000000000000</v>
      </c>
      <c r="CC191" s="216">
        <f ca="1">IF($D191&lt;&gt;"Serviço",0,IF(OR(AND(AUTOEVENTO="Manual",$M191=1),$M191&gt;(ROW(PLE.lastrow)-ROW(PLE.firstrow))),0,IF(OFFSET(PLE!$G$14,$M191,CC$13)="",10^12,OFFSET(PLE!$G$14,$M191,CC$13))))</f>
        <v>1000000000000</v>
      </c>
      <c r="CD191" s="216">
        <f ca="1">IF($D191&lt;&gt;"Serviço",0,IF(OR(AND(AUTOEVENTO="Manual",$M191=1),$M191&gt;(ROW(PLE.lastrow)-ROW(PLE.firstrow))),0,IF(OFFSET(PLE!$G$14,$M191,CD$13)="",10^12,OFFSET(PLE!$G$14,$M191,CD$13))))</f>
        <v>1000000000000</v>
      </c>
      <c r="CE191" s="216">
        <f ca="1">IF($D191&lt;&gt;"Serviço",0,IF(OR(AND(AUTOEVENTO="Manual",$M191=1),$M191&gt;(ROW(PLE.lastrow)-ROW(PLE.firstrow))),0,IF(OFFSET(PLE!$G$14,$M191,CE$13)="",10^12,OFFSET(PLE!$G$14,$M191,CE$13))))</f>
        <v>1000000000000</v>
      </c>
      <c r="CF191" s="216">
        <f ca="1">IF($D191&lt;&gt;"Serviço",0,IF(OR(AND(AUTOEVENTO="Manual",$M191=1),$M191&gt;(ROW(PLE.lastrow)-ROW(PLE.firstrow))),0,IF(OFFSET(PLE!$G$14,$M191,CF$13)="",10^12,OFFSET(PLE!$G$14,$M191,CF$13))))</f>
        <v>1000000000000</v>
      </c>
      <c r="CG191" s="216">
        <f ca="1">IF($D191&lt;&gt;"Serviço",0,IF(OR(AND(AUTOEVENTO="Manual",$M191=1),$M191&gt;(ROW(PLE.lastrow)-ROW(PLE.firstrow))),0,IF(OFFSET(PLE!$G$14,$M191,CG$13)="",10^12,OFFSET(PLE!$G$14,$M191,CG$13))))</f>
        <v>1000000000000</v>
      </c>
      <c r="CH191" s="216">
        <f ca="1">IF($D191&lt;&gt;"Serviço",0,IF(OR(AND(AUTOEVENTO="Manual",$M191=1),$M191&gt;(ROW(PLE.lastrow)-ROW(PLE.firstrow))),0,IF(OFFSET(PLE!$G$14,$M191,CH$13)="",10^12,OFFSET(PLE!$G$14,$M191,CH$13))))</f>
        <v>1000000000000</v>
      </c>
      <c r="CI191" s="216">
        <f ca="1">IF($D191&lt;&gt;"Serviço",0,IF(OR(AND(AUTOEVENTO="Manual",$M191=1),$M191&gt;(ROW(PLE.lastrow)-ROW(PLE.firstrow))),0,IF(OFFSET(PLE!$G$14,$M191,CI$13)="",10^12,OFFSET(PLE!$G$14,$M191,CI$13))))</f>
        <v>1000000000000</v>
      </c>
      <c r="CJ191" s="216">
        <f ca="1">IF($D191&lt;&gt;"Serviço",0,IF(OR(AND(AUTOEVENTO="Manual",$M191=1),$M191&gt;(ROW(PLE.lastrow)-ROW(PLE.firstrow))),0,IF(OFFSET(PLE!$G$14,$M191,CJ$13)="",10^12,OFFSET(PLE!$G$14,$M191,CJ$13))))</f>
        <v>1000000000000</v>
      </c>
      <c r="CK191" s="216">
        <f ca="1">IF($D191&lt;&gt;"Serviço",0,IF(OR(AND(AUTOEVENTO="Manual",$M191=1),$M191&gt;(ROW(PLE.lastrow)-ROW(PLE.firstrow))),0,IF(OFFSET(PLE!$G$14,$M191,CK$13)="",10^12,OFFSET(PLE!$G$14,$M191,CK$13))))</f>
        <v>1000000000000</v>
      </c>
      <c r="CL191" s="216">
        <f ca="1">IF($D191&lt;&gt;"Serviço",0,IF(OR(AND(AUTOEVENTO="Manual",$M191=1),$M191&gt;(ROW(PLE.lastrow)-ROW(PLE.firstrow))),0,IF(OFFSET(PLE!$G$14,$M191,CL$13)="",10^12,OFFSET(PLE!$G$14,$M191,CL$13))))</f>
        <v>1000000000000</v>
      </c>
      <c r="CM191" s="216">
        <f ca="1">IF($D191&lt;&gt;"Serviço",0,IF(OR(AND(AUTOEVENTO="Manual",$M191=1),$M191&gt;(ROW(PLE.lastrow)-ROW(PLE.firstrow))),0,IF(OFFSET(PLE!$G$14,$M191,CM$13)="",10^12,OFFSET(PLE!$G$14,$M191,CM$13))))</f>
        <v>1000000000000</v>
      </c>
    </row>
    <row r="192" spans="1:91" ht="13.2" x14ac:dyDescent="0.25">
      <c r="A192" s="9">
        <f t="shared" ca="1" si="11"/>
        <v>0</v>
      </c>
      <c r="B192" s="9" t="str">
        <f ca="1">OFFSET(ORÇAMENTO!C$15,ROW(B192)-ROW(B$15),0)</f>
        <v>S</v>
      </c>
      <c r="C192" s="9" t="str">
        <f ca="1">OFFSET(ORÇAMENTO!L$15,ROW(C192)-ROW(C$15),0)</f>
        <v/>
      </c>
      <c r="D192" s="145" t="str">
        <f ca="1">OFFSET(ORÇAMENTO!N$15,ROW(D192)-ROW(D$15),0)</f>
        <v>Serviço</v>
      </c>
      <c r="E192" s="205" t="str">
        <f ca="1">OFFSET(ORÇAMENTO!O$15,ROW(E192)-ROW(E$15),0)</f>
        <v>-</v>
      </c>
      <c r="F192" s="206" t="str">
        <f ca="1">OFFSET(ORÇAMENTO!R$15,ROW(F192)-ROW(F$15),0)</f>
        <v>(abra o arquivo 'Referência 05-2024.xls)</v>
      </c>
      <c r="G192" s="207" t="str">
        <f ca="1">IF($D192&lt;&gt;"Serviço","",OFFSET(ORÇAMENTO!S$15,ROW(G192)-ROW(G$15),0))</f>
        <v>-</v>
      </c>
      <c r="H192" s="151">
        <f ca="1">IF($D192&lt;&gt;"Serviço",0,IF(ACOMPANHAMENTO="BM",ROUND(OFFSET(ORÇAMENTO!AJ$15,ROW(H192)-ROW(H$15),0),15-13*ORÇAMENTO!$AF$7),SUMPRODUCT(($Q$12:$AI$12&lt;&gt;"")*ROUND($Q192:$AI192,15-13*ORÇAMENTO!$AF$7))))</f>
        <v>4.08</v>
      </c>
      <c r="I192" s="650"/>
      <c r="K192" s="208"/>
      <c r="L192" s="209" t="s">
        <v>257</v>
      </c>
      <c r="M192" s="210">
        <f ca="1">IF($D192&lt;&gt;"Serviço","",IF(AUTOEVENTO="manual",$A192,IF(ISERROR(MATCH($A192,$A$15:OFFSET($A192,-1,0),0)),MAX($M$15:OFFSET(M192,-1,0))+1,INDEX($M$15:OFFSET(M192,-1,0),MATCH($A192,$A$15:OFFSET($A192,-1,0),0)))))</f>
        <v>0</v>
      </c>
      <c r="N192" s="211" t="str">
        <f ca="1">IF($D192&lt;&gt;"Serviço","",IF(AUTOEVENTO="Manual",IF($A192=0,"&lt;-- defina o número do agrupador",OFFSET(EVENTOS!$D$14,$A192,0)),OFFSET($F$15,$A192,0)))</f>
        <v>&lt;-- defina o número do agrupador</v>
      </c>
      <c r="O192" s="212"/>
      <c r="Q192" s="212"/>
      <c r="R192" s="213"/>
      <c r="S192" s="213"/>
      <c r="T192" s="213"/>
      <c r="U192" s="213"/>
      <c r="V192" s="213"/>
      <c r="W192" s="213"/>
      <c r="X192" s="213"/>
      <c r="Y192" s="213"/>
      <c r="Z192" s="214"/>
      <c r="AA192" s="213"/>
      <c r="AB192" s="213"/>
      <c r="AC192" s="213"/>
      <c r="AD192" s="213"/>
      <c r="AE192" s="213"/>
      <c r="AF192" s="213"/>
      <c r="AG192" s="213"/>
      <c r="AH192" s="214"/>
      <c r="AJ192" s="631">
        <f ca="1">IF(AND($D192="Serviço",AJ$12&lt;&gt;0,$H192&gt;0,OR(AUTOEVENTO&lt;&gt;"manual",$M192&lt;&gt;1)),ROUND(OFFSET($P192,0,AJ$13),15-13*ORÇAMENTO!$AF$7)/$H192*OFFSET(ORÇAMENTO!$X$15,ROW(AJ192)-ROW(AJ$15),0),0)</f>
        <v>0</v>
      </c>
      <c r="AK192" s="632">
        <f ca="1">IF(AND($D192="Serviço",AK$12&lt;&gt;0,$H192&gt;0,OR(AUTOEVENTO&lt;&gt;"manual",$M192&lt;&gt;1)),ROUND(OFFSET($P192,0,AK$13),15-13*ORÇAMENTO!$AF$7)/$H192*OFFSET(ORÇAMENTO!$X$15,ROW(AK192)-ROW(AK$15),0),0)</f>
        <v>0</v>
      </c>
      <c r="AL192" s="632">
        <f ca="1">IF(AND($D192="Serviço",AL$12&lt;&gt;0,$H192&gt;0,OR(AUTOEVENTO&lt;&gt;"manual",$M192&lt;&gt;1)),ROUND(OFFSET($P192,0,AL$13),15-13*ORÇAMENTO!$AF$7)/$H192*OFFSET(ORÇAMENTO!$X$15,ROW(AL192)-ROW(AL$15),0),0)</f>
        <v>0</v>
      </c>
      <c r="AM192" s="632">
        <f ca="1">IF(AND($D192="Serviço",AM$12&lt;&gt;0,$H192&gt;0,OR(AUTOEVENTO&lt;&gt;"manual",$M192&lt;&gt;1)),ROUND(OFFSET($P192,0,AM$13),15-13*ORÇAMENTO!$AF$7)/$H192*OFFSET(ORÇAMENTO!$X$15,ROW(AM192)-ROW(AM$15),0),0)</f>
        <v>0</v>
      </c>
      <c r="AN192" s="632">
        <f ca="1">IF(AND($D192="Serviço",AN$12&lt;&gt;0,$H192&gt;0,OR(AUTOEVENTO&lt;&gt;"manual",$M192&lt;&gt;1)),ROUND(OFFSET($P192,0,AN$13),15-13*ORÇAMENTO!$AF$7)/$H192*OFFSET(ORÇAMENTO!$X$15,ROW(AN192)-ROW(AN$15),0),0)</f>
        <v>0</v>
      </c>
      <c r="AO192" s="632">
        <f ca="1">IF(AND($D192="Serviço",AO$12&lt;&gt;0,$H192&gt;0,OR(AUTOEVENTO&lt;&gt;"manual",$M192&lt;&gt;1)),ROUND(OFFSET($P192,0,AO$13),15-13*ORÇAMENTO!$AF$7)/$H192*OFFSET(ORÇAMENTO!$X$15,ROW(AO192)-ROW(AO$15),0),0)</f>
        <v>0</v>
      </c>
      <c r="AP192" s="632">
        <f ca="1">IF(AND($D192="Serviço",AP$12&lt;&gt;0,$H192&gt;0,OR(AUTOEVENTO&lt;&gt;"manual",$M192&lt;&gt;1)),ROUND(OFFSET($P192,0,AP$13),15-13*ORÇAMENTO!$AF$7)/$H192*OFFSET(ORÇAMENTO!$X$15,ROW(AP192)-ROW(AP$15),0),0)</f>
        <v>0</v>
      </c>
      <c r="AQ192" s="632">
        <f ca="1">IF(AND($D192="Serviço",AQ$12&lt;&gt;0,$H192&gt;0,OR(AUTOEVENTO&lt;&gt;"manual",$M192&lt;&gt;1)),ROUND(OFFSET($P192,0,AQ$13),15-13*ORÇAMENTO!$AF$7)/$H192*OFFSET(ORÇAMENTO!$X$15,ROW(AQ192)-ROW(AQ$15),0),0)</f>
        <v>0</v>
      </c>
      <c r="AR192" s="632">
        <f ca="1">IF(AND($D192="Serviço",AR$12&lt;&gt;0,$H192&gt;0,OR(AUTOEVENTO&lt;&gt;"manual",$M192&lt;&gt;1)),ROUND(OFFSET($P192,0,AR$13),15-13*ORÇAMENTO!$AF$7)/$H192*OFFSET(ORÇAMENTO!$X$15,ROW(AR192)-ROW(AR$15),0),0)</f>
        <v>0</v>
      </c>
      <c r="AS192" s="633">
        <f ca="1">IF(AND($D192="Serviço",AS$12&lt;&gt;0,$H192&gt;0,OR(AUTOEVENTO&lt;&gt;"manual",$M192&lt;&gt;1)),ROUND(OFFSET($P192,0,AS$13),15-13*ORÇAMENTO!$AF$7)/$H192*OFFSET(ORÇAMENTO!$X$15,ROW(AS192)-ROW(AS$15),0),0)</f>
        <v>0</v>
      </c>
      <c r="AT192" s="632">
        <f ca="1">IF(AND($D192="Serviço",AT$12&lt;&gt;0,$H192&gt;0,OR(AUTOEVENTO&lt;&gt;"manual",$M192&lt;&gt;1)),ROUND(OFFSET($P192,0,AT$13),15-13*ORÇAMENTO!$AF$7)/$H192*OFFSET(ORÇAMENTO!$X$15,ROW(AT192)-ROW(AT$15),0),0)</f>
        <v>0</v>
      </c>
      <c r="AU192" s="632">
        <f ca="1">IF(AND($D192="Serviço",AU$12&lt;&gt;0,$H192&gt;0,OR(AUTOEVENTO&lt;&gt;"manual",$M192&lt;&gt;1)),ROUND(OFFSET($P192,0,AU$13),15-13*ORÇAMENTO!$AF$7)/$H192*OFFSET(ORÇAMENTO!$X$15,ROW(AU192)-ROW(AU$15),0),0)</f>
        <v>0</v>
      </c>
      <c r="AV192" s="632">
        <f ca="1">IF(AND($D192="Serviço",AV$12&lt;&gt;0,$H192&gt;0,OR(AUTOEVENTO&lt;&gt;"manual",$M192&lt;&gt;1)),ROUND(OFFSET($P192,0,AV$13),15-13*ORÇAMENTO!$AF$7)/$H192*OFFSET(ORÇAMENTO!$X$15,ROW(AV192)-ROW(AV$15),0),0)</f>
        <v>0</v>
      </c>
      <c r="AW192" s="632">
        <f ca="1">IF(AND($D192="Serviço",AW$12&lt;&gt;0,$H192&gt;0,OR(AUTOEVENTO&lt;&gt;"manual",$M192&lt;&gt;1)),ROUND(OFFSET($P192,0,AW$13),15-13*ORÇAMENTO!$AF$7)/$H192*OFFSET(ORÇAMENTO!$X$15,ROW(AW192)-ROW(AW$15),0),0)</f>
        <v>0</v>
      </c>
      <c r="AX192" s="632">
        <f ca="1">IF(AND($D192="Serviço",AX$12&lt;&gt;0,$H192&gt;0,OR(AUTOEVENTO&lt;&gt;"manual",$M192&lt;&gt;1)),ROUND(OFFSET($P192,0,AX$13),15-13*ORÇAMENTO!$AF$7)/$H192*OFFSET(ORÇAMENTO!$X$15,ROW(AX192)-ROW(AX$15),0),0)</f>
        <v>0</v>
      </c>
      <c r="AY192" s="632">
        <f ca="1">IF(AND($D192="Serviço",AY$12&lt;&gt;0,$H192&gt;0,OR(AUTOEVENTO&lt;&gt;"manual",$M192&lt;&gt;1)),ROUND(OFFSET($P192,0,AY$13),15-13*ORÇAMENTO!$AF$7)/$H192*OFFSET(ORÇAMENTO!$X$15,ROW(AY192)-ROW(AY$15),0),0)</f>
        <v>0</v>
      </c>
      <c r="AZ192" s="632">
        <f ca="1">IF(AND($D192="Serviço",AZ$12&lt;&gt;0,$H192&gt;0,OR(AUTOEVENTO&lt;&gt;"manual",$M192&lt;&gt;1)),ROUND(OFFSET($P192,0,AZ$13),15-13*ORÇAMENTO!$AF$7)/$H192*OFFSET(ORÇAMENTO!$X$15,ROW(AZ192)-ROW(AZ$15),0),0)</f>
        <v>0</v>
      </c>
      <c r="BA192" s="633">
        <f ca="1">IF(AND($D192="Serviço",BA$12&lt;&gt;0,$H192&gt;0,OR(AUTOEVENTO&lt;&gt;"manual",$M192&lt;&gt;1)),ROUND(OFFSET($P192,0,BA$13),15-13*ORÇAMENTO!$AF$7)/$H192*OFFSET(ORÇAMENTO!$X$15,ROW(BA192)-ROW(BA$15),0),0)</f>
        <v>0</v>
      </c>
      <c r="BC192" s="215">
        <f ca="1">IF($D192&lt;&gt;"Serviço",0,IF(AND(AUTOEVENTO="Manual",$M192=1),0,IF(OFFSET(CRONOPLE!$F$14,$M192,BC$13)="",10^12,OFFSET(CRONOPLE!$F$14,$M192,BC$13))))</f>
        <v>1000000000000</v>
      </c>
      <c r="BD192" s="215">
        <f ca="1">IF($D192&lt;&gt;"Serviço",0,IF(AND(AUTOEVENTO="Manual",$M192=1),0,IF(OFFSET(CRONOPLE!$F$14,$M192,BD$13)="",10^12,OFFSET(CRONOPLE!$F$14,$M192,BD$13))))</f>
        <v>1000000000000</v>
      </c>
      <c r="BE192" s="215">
        <f ca="1">IF($D192&lt;&gt;"Serviço",0,IF(AND(AUTOEVENTO="Manual",$M192=1),0,IF(OFFSET(CRONOPLE!$F$14,$M192,BE$13)="",10^12,OFFSET(CRONOPLE!$F$14,$M192,BE$13))))</f>
        <v>1000000000000</v>
      </c>
      <c r="BF192" s="215">
        <f ca="1">IF($D192&lt;&gt;"Serviço",0,IF(AND(AUTOEVENTO="Manual",$M192=1),0,IF(OFFSET(CRONOPLE!$F$14,$M192,BF$13)="",10^12,OFFSET(CRONOPLE!$F$14,$M192,BF$13))))</f>
        <v>1000000000000</v>
      </c>
      <c r="BG192" s="215">
        <f ca="1">IF($D192&lt;&gt;"Serviço",0,IF(AND(AUTOEVENTO="Manual",$M192=1),0,IF(OFFSET(CRONOPLE!$F$14,$M192,BG$13)="",10^12,OFFSET(CRONOPLE!$F$14,$M192,BG$13))))</f>
        <v>1000000000000</v>
      </c>
      <c r="BH192" s="215">
        <f ca="1">IF($D192&lt;&gt;"Serviço",0,IF(AND(AUTOEVENTO="Manual",$M192=1),0,IF(OFFSET(CRONOPLE!$F$14,$M192,BH$13)="",10^12,OFFSET(CRONOPLE!$F$14,$M192,BH$13))))</f>
        <v>1000000000000</v>
      </c>
      <c r="BI192" s="215">
        <f ca="1">IF($D192&lt;&gt;"Serviço",0,IF(AND(AUTOEVENTO="Manual",$M192=1),0,IF(OFFSET(CRONOPLE!$F$14,$M192,BI$13)="",10^12,OFFSET(CRONOPLE!$F$14,$M192,BI$13))))</f>
        <v>1000000000000</v>
      </c>
      <c r="BJ192" s="215">
        <f ca="1">IF($D192&lt;&gt;"Serviço",0,IF(AND(AUTOEVENTO="Manual",$M192=1),0,IF(OFFSET(CRONOPLE!$F$14,$M192,BJ$13)="",10^12,OFFSET(CRONOPLE!$F$14,$M192,BJ$13))))</f>
        <v>1000000000000</v>
      </c>
      <c r="BK192" s="215">
        <f ca="1">IF($D192&lt;&gt;"Serviço",0,IF(AND(AUTOEVENTO="Manual",$M192=1),0,IF(OFFSET(CRONOPLE!$F$14,$M192,BK$13)="",10^12,OFFSET(CRONOPLE!$F$14,$M192,BK$13))))</f>
        <v>1000000000000</v>
      </c>
      <c r="BL192" s="215">
        <f ca="1">IF($D192&lt;&gt;"Serviço",0,IF(AND(AUTOEVENTO="Manual",$M192=1),0,IF(OFFSET(CRONOPLE!$F$14,$M192,BL$13)="",10^12,OFFSET(CRONOPLE!$F$14,$M192,BL$13))))</f>
        <v>1000000000000</v>
      </c>
      <c r="BM192" s="215">
        <f ca="1">IF($D192&lt;&gt;"Serviço",0,IF(AND(AUTOEVENTO="Manual",$M192=1),0,IF(OFFSET(CRONOPLE!$F$14,$M192,BM$13)="",10^12,OFFSET(CRONOPLE!$F$14,$M192,BM$13))))</f>
        <v>1000000000000</v>
      </c>
      <c r="BN192" s="215">
        <f ca="1">IF($D192&lt;&gt;"Serviço",0,IF(AND(AUTOEVENTO="Manual",$M192=1),0,IF(OFFSET(CRONOPLE!$F$14,$M192,BN$13)="",10^12,OFFSET(CRONOPLE!$F$14,$M192,BN$13))))</f>
        <v>1000000000000</v>
      </c>
      <c r="BO192" s="215">
        <f ca="1">IF($D192&lt;&gt;"Serviço",0,IF(AND(AUTOEVENTO="Manual",$M192=1),0,IF(OFFSET(CRONOPLE!$F$14,$M192,BO$13)="",10^12,OFFSET(CRONOPLE!$F$14,$M192,BO$13))))</f>
        <v>1000000000000</v>
      </c>
      <c r="BP192" s="215">
        <f ca="1">IF($D192&lt;&gt;"Serviço",0,IF(AND(AUTOEVENTO="Manual",$M192=1),0,IF(OFFSET(CRONOPLE!$F$14,$M192,BP$13)="",10^12,OFFSET(CRONOPLE!$F$14,$M192,BP$13))))</f>
        <v>1000000000000</v>
      </c>
      <c r="BQ192" s="215">
        <f ca="1">IF($D192&lt;&gt;"Serviço",0,IF(AND(AUTOEVENTO="Manual",$M192=1),0,IF(OFFSET(CRONOPLE!$F$14,$M192,BQ$13)="",10^12,OFFSET(CRONOPLE!$F$14,$M192,BQ$13))))</f>
        <v>1000000000000</v>
      </c>
      <c r="BR192" s="215">
        <f ca="1">IF($D192&lt;&gt;"Serviço",0,IF(AND(AUTOEVENTO="Manual",$M192=1),0,IF(OFFSET(CRONOPLE!$F$14,$M192,BR$13)="",10^12,OFFSET(CRONOPLE!$F$14,$M192,BR$13))))</f>
        <v>1000000000000</v>
      </c>
      <c r="BS192" s="215">
        <f ca="1">IF($D192&lt;&gt;"Serviço",0,IF(AND(AUTOEVENTO="Manual",$M192=1),0,IF(OFFSET(CRONOPLE!$F$14,$M192,BS$13)="",10^12,OFFSET(CRONOPLE!$F$14,$M192,BS$13))))</f>
        <v>1000000000000</v>
      </c>
      <c r="BT192" s="215">
        <f ca="1">IF($D192&lt;&gt;"Serviço",0,IF(AND(AUTOEVENTO="Manual",$M192=1),0,IF(OFFSET(CRONOPLE!$F$14,$M192,BT$13)="",10^12,OFFSET(CRONOPLE!$F$14,$M192,BT$13))))</f>
        <v>1000000000000</v>
      </c>
      <c r="BV192" s="216">
        <f ca="1">IF($D192&lt;&gt;"Serviço",0,IF(OR(AND(AUTOEVENTO="Manual",$M192=1),$M192&gt;(ROW(PLE.lastrow)-ROW(PLE.firstrow))),0,IF(OFFSET(PLE!$G$14,$M192,BV$13)="",10^12,OFFSET(PLE!$G$14,$M192,BV$13))))</f>
        <v>1000000000000</v>
      </c>
      <c r="BW192" s="216">
        <f ca="1">IF($D192&lt;&gt;"Serviço",0,IF(OR(AND(AUTOEVENTO="Manual",$M192=1),$M192&gt;(ROW(PLE.lastrow)-ROW(PLE.firstrow))),0,IF(OFFSET(PLE!$G$14,$M192,BW$13)="",10^12,OFFSET(PLE!$G$14,$M192,BW$13))))</f>
        <v>1000000000000</v>
      </c>
      <c r="BX192" s="216">
        <f ca="1">IF($D192&lt;&gt;"Serviço",0,IF(OR(AND(AUTOEVENTO="Manual",$M192=1),$M192&gt;(ROW(PLE.lastrow)-ROW(PLE.firstrow))),0,IF(OFFSET(PLE!$G$14,$M192,BX$13)="",10^12,OFFSET(PLE!$G$14,$M192,BX$13))))</f>
        <v>1000000000000</v>
      </c>
      <c r="BY192" s="216">
        <f ca="1">IF($D192&lt;&gt;"Serviço",0,IF(OR(AND(AUTOEVENTO="Manual",$M192=1),$M192&gt;(ROW(PLE.lastrow)-ROW(PLE.firstrow))),0,IF(OFFSET(PLE!$G$14,$M192,BY$13)="",10^12,OFFSET(PLE!$G$14,$M192,BY$13))))</f>
        <v>1000000000000</v>
      </c>
      <c r="BZ192" s="216">
        <f ca="1">IF($D192&lt;&gt;"Serviço",0,IF(OR(AND(AUTOEVENTO="Manual",$M192=1),$M192&gt;(ROW(PLE.lastrow)-ROW(PLE.firstrow))),0,IF(OFFSET(PLE!$G$14,$M192,BZ$13)="",10^12,OFFSET(PLE!$G$14,$M192,BZ$13))))</f>
        <v>1000000000000</v>
      </c>
      <c r="CA192" s="216">
        <f ca="1">IF($D192&lt;&gt;"Serviço",0,IF(OR(AND(AUTOEVENTO="Manual",$M192=1),$M192&gt;(ROW(PLE.lastrow)-ROW(PLE.firstrow))),0,IF(OFFSET(PLE!$G$14,$M192,CA$13)="",10^12,OFFSET(PLE!$G$14,$M192,CA$13))))</f>
        <v>1000000000000</v>
      </c>
      <c r="CB192" s="216">
        <f ca="1">IF($D192&lt;&gt;"Serviço",0,IF(OR(AND(AUTOEVENTO="Manual",$M192=1),$M192&gt;(ROW(PLE.lastrow)-ROW(PLE.firstrow))),0,IF(OFFSET(PLE!$G$14,$M192,CB$13)="",10^12,OFFSET(PLE!$G$14,$M192,CB$13))))</f>
        <v>1000000000000</v>
      </c>
      <c r="CC192" s="216">
        <f ca="1">IF($D192&lt;&gt;"Serviço",0,IF(OR(AND(AUTOEVENTO="Manual",$M192=1),$M192&gt;(ROW(PLE.lastrow)-ROW(PLE.firstrow))),0,IF(OFFSET(PLE!$G$14,$M192,CC$13)="",10^12,OFFSET(PLE!$G$14,$M192,CC$13))))</f>
        <v>1000000000000</v>
      </c>
      <c r="CD192" s="216">
        <f ca="1">IF($D192&lt;&gt;"Serviço",0,IF(OR(AND(AUTOEVENTO="Manual",$M192=1),$M192&gt;(ROW(PLE.lastrow)-ROW(PLE.firstrow))),0,IF(OFFSET(PLE!$G$14,$M192,CD$13)="",10^12,OFFSET(PLE!$G$14,$M192,CD$13))))</f>
        <v>1000000000000</v>
      </c>
      <c r="CE192" s="216">
        <f ca="1">IF($D192&lt;&gt;"Serviço",0,IF(OR(AND(AUTOEVENTO="Manual",$M192=1),$M192&gt;(ROW(PLE.lastrow)-ROW(PLE.firstrow))),0,IF(OFFSET(PLE!$G$14,$M192,CE$13)="",10^12,OFFSET(PLE!$G$14,$M192,CE$13))))</f>
        <v>1000000000000</v>
      </c>
      <c r="CF192" s="216">
        <f ca="1">IF($D192&lt;&gt;"Serviço",0,IF(OR(AND(AUTOEVENTO="Manual",$M192=1),$M192&gt;(ROW(PLE.lastrow)-ROW(PLE.firstrow))),0,IF(OFFSET(PLE!$G$14,$M192,CF$13)="",10^12,OFFSET(PLE!$G$14,$M192,CF$13))))</f>
        <v>1000000000000</v>
      </c>
      <c r="CG192" s="216">
        <f ca="1">IF($D192&lt;&gt;"Serviço",0,IF(OR(AND(AUTOEVENTO="Manual",$M192=1),$M192&gt;(ROW(PLE.lastrow)-ROW(PLE.firstrow))),0,IF(OFFSET(PLE!$G$14,$M192,CG$13)="",10^12,OFFSET(PLE!$G$14,$M192,CG$13))))</f>
        <v>1000000000000</v>
      </c>
      <c r="CH192" s="216">
        <f ca="1">IF($D192&lt;&gt;"Serviço",0,IF(OR(AND(AUTOEVENTO="Manual",$M192=1),$M192&gt;(ROW(PLE.lastrow)-ROW(PLE.firstrow))),0,IF(OFFSET(PLE!$G$14,$M192,CH$13)="",10^12,OFFSET(PLE!$G$14,$M192,CH$13))))</f>
        <v>1000000000000</v>
      </c>
      <c r="CI192" s="216">
        <f ca="1">IF($D192&lt;&gt;"Serviço",0,IF(OR(AND(AUTOEVENTO="Manual",$M192=1),$M192&gt;(ROW(PLE.lastrow)-ROW(PLE.firstrow))),0,IF(OFFSET(PLE!$G$14,$M192,CI$13)="",10^12,OFFSET(PLE!$G$14,$M192,CI$13))))</f>
        <v>1000000000000</v>
      </c>
      <c r="CJ192" s="216">
        <f ca="1">IF($D192&lt;&gt;"Serviço",0,IF(OR(AND(AUTOEVENTO="Manual",$M192=1),$M192&gt;(ROW(PLE.lastrow)-ROW(PLE.firstrow))),0,IF(OFFSET(PLE!$G$14,$M192,CJ$13)="",10^12,OFFSET(PLE!$G$14,$M192,CJ$13))))</f>
        <v>1000000000000</v>
      </c>
      <c r="CK192" s="216">
        <f ca="1">IF($D192&lt;&gt;"Serviço",0,IF(OR(AND(AUTOEVENTO="Manual",$M192=1),$M192&gt;(ROW(PLE.lastrow)-ROW(PLE.firstrow))),0,IF(OFFSET(PLE!$G$14,$M192,CK$13)="",10^12,OFFSET(PLE!$G$14,$M192,CK$13))))</f>
        <v>1000000000000</v>
      </c>
      <c r="CL192" s="216">
        <f ca="1">IF($D192&lt;&gt;"Serviço",0,IF(OR(AND(AUTOEVENTO="Manual",$M192=1),$M192&gt;(ROW(PLE.lastrow)-ROW(PLE.firstrow))),0,IF(OFFSET(PLE!$G$14,$M192,CL$13)="",10^12,OFFSET(PLE!$G$14,$M192,CL$13))))</f>
        <v>1000000000000</v>
      </c>
      <c r="CM192" s="216">
        <f ca="1">IF($D192&lt;&gt;"Serviço",0,IF(OR(AND(AUTOEVENTO="Manual",$M192=1),$M192&gt;(ROW(PLE.lastrow)-ROW(PLE.firstrow))),0,IF(OFFSET(PLE!$G$14,$M192,CM$13)="",10^12,OFFSET(PLE!$G$14,$M192,CM$13))))</f>
        <v>1000000000000</v>
      </c>
    </row>
    <row r="193" spans="1:91" ht="13.2" x14ac:dyDescent="0.25">
      <c r="A193" s="9">
        <f t="shared" ca="1" si="11"/>
        <v>0</v>
      </c>
      <c r="B193" s="9">
        <f ca="1">OFFSET(ORÇAMENTO!C$15,ROW(B193)-ROW(B$15),0)</f>
        <v>3</v>
      </c>
      <c r="C193" s="9" t="str">
        <f ca="1">OFFSET(ORÇAMENTO!L$15,ROW(C193)-ROW(C$15),0)</f>
        <v>F</v>
      </c>
      <c r="D193" s="145" t="str">
        <f ca="1">OFFSET(ORÇAMENTO!N$15,ROW(D193)-ROW(D$15),0)</f>
        <v>Nível 3</v>
      </c>
      <c r="E193" s="205" t="str">
        <f ca="1">OFFSET(ORÇAMENTO!O$15,ROW(E193)-ROW(E$15),0)</f>
        <v>1.6.4.</v>
      </c>
      <c r="F193" s="206" t="str">
        <f ca="1">OFFSET(ORÇAMENTO!R$15,ROW(F193)-ROW(F$15),0)</f>
        <v>JANELAS DE ALUMÍNIO</v>
      </c>
      <c r="G193" s="207" t="str">
        <f ca="1">IF($D193&lt;&gt;"Serviço","",OFFSET(ORÇAMENTO!S$15,ROW(G193)-ROW(G$15),0))</f>
        <v/>
      </c>
      <c r="H193" s="151">
        <f ca="1">IF($D193&lt;&gt;"Serviço",0,IF(ACOMPANHAMENTO="BM",ROUND(OFFSET(ORÇAMENTO!AJ$15,ROW(H193)-ROW(H$15),0),15-13*ORÇAMENTO!$AF$7),SUMPRODUCT(($Q$12:$AI$12&lt;&gt;"")*ROUND($Q193:$AI193,15-13*ORÇAMENTO!$AF$7))))</f>
        <v>0</v>
      </c>
      <c r="I193" s="650"/>
      <c r="K193" s="208"/>
      <c r="L193" s="209" t="s">
        <v>257</v>
      </c>
      <c r="M193" s="210" t="str">
        <f ca="1">IF($D193&lt;&gt;"Serviço","",IF(AUTOEVENTO="manual",$A193,IF(ISERROR(MATCH($A193,$A$15:OFFSET($A193,-1,0),0)),MAX($M$15:OFFSET(M193,-1,0))+1,INDEX($M$15:OFFSET(M193,-1,0),MATCH($A193,$A$15:OFFSET($A193,-1,0),0)))))</f>
        <v/>
      </c>
      <c r="N193" s="211" t="str">
        <f ca="1">IF($D193&lt;&gt;"Serviço","",IF(AUTOEVENTO="Manual",IF($A193=0,"&lt;-- defina o número do agrupador",OFFSET(EVENTOS!$D$14,$A193,0)),OFFSET($F$15,$A193,0)))</f>
        <v/>
      </c>
      <c r="O193" s="212"/>
      <c r="Q193" s="212"/>
      <c r="R193" s="213"/>
      <c r="S193" s="213"/>
      <c r="T193" s="213"/>
      <c r="U193" s="213"/>
      <c r="V193" s="213"/>
      <c r="W193" s="213"/>
      <c r="X193" s="213"/>
      <c r="Y193" s="213"/>
      <c r="Z193" s="214"/>
      <c r="AA193" s="213"/>
      <c r="AB193" s="213"/>
      <c r="AC193" s="213"/>
      <c r="AD193" s="213"/>
      <c r="AE193" s="213"/>
      <c r="AF193" s="213"/>
      <c r="AG193" s="213"/>
      <c r="AH193" s="214"/>
      <c r="AJ193" s="631">
        <f ca="1">IF(AND($D193="Serviço",AJ$12&lt;&gt;0,$H193&gt;0,OR(AUTOEVENTO&lt;&gt;"manual",$M193&lt;&gt;1)),ROUND(OFFSET($P193,0,AJ$13),15-13*ORÇAMENTO!$AF$7)/$H193*OFFSET(ORÇAMENTO!$X$15,ROW(AJ193)-ROW(AJ$15),0),0)</f>
        <v>0</v>
      </c>
      <c r="AK193" s="632">
        <f ca="1">IF(AND($D193="Serviço",AK$12&lt;&gt;0,$H193&gt;0,OR(AUTOEVENTO&lt;&gt;"manual",$M193&lt;&gt;1)),ROUND(OFFSET($P193,0,AK$13),15-13*ORÇAMENTO!$AF$7)/$H193*OFFSET(ORÇAMENTO!$X$15,ROW(AK193)-ROW(AK$15),0),0)</f>
        <v>0</v>
      </c>
      <c r="AL193" s="632">
        <f ca="1">IF(AND($D193="Serviço",AL$12&lt;&gt;0,$H193&gt;0,OR(AUTOEVENTO&lt;&gt;"manual",$M193&lt;&gt;1)),ROUND(OFFSET($P193,0,AL$13),15-13*ORÇAMENTO!$AF$7)/$H193*OFFSET(ORÇAMENTO!$X$15,ROW(AL193)-ROW(AL$15),0),0)</f>
        <v>0</v>
      </c>
      <c r="AM193" s="632">
        <f ca="1">IF(AND($D193="Serviço",AM$12&lt;&gt;0,$H193&gt;0,OR(AUTOEVENTO&lt;&gt;"manual",$M193&lt;&gt;1)),ROUND(OFFSET($P193,0,AM$13),15-13*ORÇAMENTO!$AF$7)/$H193*OFFSET(ORÇAMENTO!$X$15,ROW(AM193)-ROW(AM$15),0),0)</f>
        <v>0</v>
      </c>
      <c r="AN193" s="632">
        <f ca="1">IF(AND($D193="Serviço",AN$12&lt;&gt;0,$H193&gt;0,OR(AUTOEVENTO&lt;&gt;"manual",$M193&lt;&gt;1)),ROUND(OFFSET($P193,0,AN$13),15-13*ORÇAMENTO!$AF$7)/$H193*OFFSET(ORÇAMENTO!$X$15,ROW(AN193)-ROW(AN$15),0),0)</f>
        <v>0</v>
      </c>
      <c r="AO193" s="632">
        <f ca="1">IF(AND($D193="Serviço",AO$12&lt;&gt;0,$H193&gt;0,OR(AUTOEVENTO&lt;&gt;"manual",$M193&lt;&gt;1)),ROUND(OFFSET($P193,0,AO$13),15-13*ORÇAMENTO!$AF$7)/$H193*OFFSET(ORÇAMENTO!$X$15,ROW(AO193)-ROW(AO$15),0),0)</f>
        <v>0</v>
      </c>
      <c r="AP193" s="632">
        <f ca="1">IF(AND($D193="Serviço",AP$12&lt;&gt;0,$H193&gt;0,OR(AUTOEVENTO&lt;&gt;"manual",$M193&lt;&gt;1)),ROUND(OFFSET($P193,0,AP$13),15-13*ORÇAMENTO!$AF$7)/$H193*OFFSET(ORÇAMENTO!$X$15,ROW(AP193)-ROW(AP$15),0),0)</f>
        <v>0</v>
      </c>
      <c r="AQ193" s="632">
        <f ca="1">IF(AND($D193="Serviço",AQ$12&lt;&gt;0,$H193&gt;0,OR(AUTOEVENTO&lt;&gt;"manual",$M193&lt;&gt;1)),ROUND(OFFSET($P193,0,AQ$13),15-13*ORÇAMENTO!$AF$7)/$H193*OFFSET(ORÇAMENTO!$X$15,ROW(AQ193)-ROW(AQ$15),0),0)</f>
        <v>0</v>
      </c>
      <c r="AR193" s="632">
        <f ca="1">IF(AND($D193="Serviço",AR$12&lt;&gt;0,$H193&gt;0,OR(AUTOEVENTO&lt;&gt;"manual",$M193&lt;&gt;1)),ROUND(OFFSET($P193,0,AR$13),15-13*ORÇAMENTO!$AF$7)/$H193*OFFSET(ORÇAMENTO!$X$15,ROW(AR193)-ROW(AR$15),0),0)</f>
        <v>0</v>
      </c>
      <c r="AS193" s="633">
        <f ca="1">IF(AND($D193="Serviço",AS$12&lt;&gt;0,$H193&gt;0,OR(AUTOEVENTO&lt;&gt;"manual",$M193&lt;&gt;1)),ROUND(OFFSET($P193,0,AS$13),15-13*ORÇAMENTO!$AF$7)/$H193*OFFSET(ORÇAMENTO!$X$15,ROW(AS193)-ROW(AS$15),0),0)</f>
        <v>0</v>
      </c>
      <c r="AT193" s="632">
        <f ca="1">IF(AND($D193="Serviço",AT$12&lt;&gt;0,$H193&gt;0,OR(AUTOEVENTO&lt;&gt;"manual",$M193&lt;&gt;1)),ROUND(OFFSET($P193,0,AT$13),15-13*ORÇAMENTO!$AF$7)/$H193*OFFSET(ORÇAMENTO!$X$15,ROW(AT193)-ROW(AT$15),0),0)</f>
        <v>0</v>
      </c>
      <c r="AU193" s="632">
        <f ca="1">IF(AND($D193="Serviço",AU$12&lt;&gt;0,$H193&gt;0,OR(AUTOEVENTO&lt;&gt;"manual",$M193&lt;&gt;1)),ROUND(OFFSET($P193,0,AU$13),15-13*ORÇAMENTO!$AF$7)/$H193*OFFSET(ORÇAMENTO!$X$15,ROW(AU193)-ROW(AU$15),0),0)</f>
        <v>0</v>
      </c>
      <c r="AV193" s="632">
        <f ca="1">IF(AND($D193="Serviço",AV$12&lt;&gt;0,$H193&gt;0,OR(AUTOEVENTO&lt;&gt;"manual",$M193&lt;&gt;1)),ROUND(OFFSET($P193,0,AV$13),15-13*ORÇAMENTO!$AF$7)/$H193*OFFSET(ORÇAMENTO!$X$15,ROW(AV193)-ROW(AV$15),0),0)</f>
        <v>0</v>
      </c>
      <c r="AW193" s="632">
        <f ca="1">IF(AND($D193="Serviço",AW$12&lt;&gt;0,$H193&gt;0,OR(AUTOEVENTO&lt;&gt;"manual",$M193&lt;&gt;1)),ROUND(OFFSET($P193,0,AW$13),15-13*ORÇAMENTO!$AF$7)/$H193*OFFSET(ORÇAMENTO!$X$15,ROW(AW193)-ROW(AW$15),0),0)</f>
        <v>0</v>
      </c>
      <c r="AX193" s="632">
        <f ca="1">IF(AND($D193="Serviço",AX$12&lt;&gt;0,$H193&gt;0,OR(AUTOEVENTO&lt;&gt;"manual",$M193&lt;&gt;1)),ROUND(OFFSET($P193,0,AX$13),15-13*ORÇAMENTO!$AF$7)/$H193*OFFSET(ORÇAMENTO!$X$15,ROW(AX193)-ROW(AX$15),0),0)</f>
        <v>0</v>
      </c>
      <c r="AY193" s="632">
        <f ca="1">IF(AND($D193="Serviço",AY$12&lt;&gt;0,$H193&gt;0,OR(AUTOEVENTO&lt;&gt;"manual",$M193&lt;&gt;1)),ROUND(OFFSET($P193,0,AY$13),15-13*ORÇAMENTO!$AF$7)/$H193*OFFSET(ORÇAMENTO!$X$15,ROW(AY193)-ROW(AY$15),0),0)</f>
        <v>0</v>
      </c>
      <c r="AZ193" s="632">
        <f ca="1">IF(AND($D193="Serviço",AZ$12&lt;&gt;0,$H193&gt;0,OR(AUTOEVENTO&lt;&gt;"manual",$M193&lt;&gt;1)),ROUND(OFFSET($P193,0,AZ$13),15-13*ORÇAMENTO!$AF$7)/$H193*OFFSET(ORÇAMENTO!$X$15,ROW(AZ193)-ROW(AZ$15),0),0)</f>
        <v>0</v>
      </c>
      <c r="BA193" s="633">
        <f ca="1">IF(AND($D193="Serviço",BA$12&lt;&gt;0,$H193&gt;0,OR(AUTOEVENTO&lt;&gt;"manual",$M193&lt;&gt;1)),ROUND(OFFSET($P193,0,BA$13),15-13*ORÇAMENTO!$AF$7)/$H193*OFFSET(ORÇAMENTO!$X$15,ROW(BA193)-ROW(BA$15),0),0)</f>
        <v>0</v>
      </c>
      <c r="BC193" s="215">
        <f ca="1">IF($D193&lt;&gt;"Serviço",0,IF(AND(AUTOEVENTO="Manual",$M193=1),0,IF(OFFSET(CRONOPLE!$F$14,$M193,BC$13)="",10^12,OFFSET(CRONOPLE!$F$14,$M193,BC$13))))</f>
        <v>0</v>
      </c>
      <c r="BD193" s="215">
        <f ca="1">IF($D193&lt;&gt;"Serviço",0,IF(AND(AUTOEVENTO="Manual",$M193=1),0,IF(OFFSET(CRONOPLE!$F$14,$M193,BD$13)="",10^12,OFFSET(CRONOPLE!$F$14,$M193,BD$13))))</f>
        <v>0</v>
      </c>
      <c r="BE193" s="215">
        <f ca="1">IF($D193&lt;&gt;"Serviço",0,IF(AND(AUTOEVENTO="Manual",$M193=1),0,IF(OFFSET(CRONOPLE!$F$14,$M193,BE$13)="",10^12,OFFSET(CRONOPLE!$F$14,$M193,BE$13))))</f>
        <v>0</v>
      </c>
      <c r="BF193" s="215">
        <f ca="1">IF($D193&lt;&gt;"Serviço",0,IF(AND(AUTOEVENTO="Manual",$M193=1),0,IF(OFFSET(CRONOPLE!$F$14,$M193,BF$13)="",10^12,OFFSET(CRONOPLE!$F$14,$M193,BF$13))))</f>
        <v>0</v>
      </c>
      <c r="BG193" s="215">
        <f ca="1">IF($D193&lt;&gt;"Serviço",0,IF(AND(AUTOEVENTO="Manual",$M193=1),0,IF(OFFSET(CRONOPLE!$F$14,$M193,BG$13)="",10^12,OFFSET(CRONOPLE!$F$14,$M193,BG$13))))</f>
        <v>0</v>
      </c>
      <c r="BH193" s="215">
        <f ca="1">IF($D193&lt;&gt;"Serviço",0,IF(AND(AUTOEVENTO="Manual",$M193=1),0,IF(OFFSET(CRONOPLE!$F$14,$M193,BH$13)="",10^12,OFFSET(CRONOPLE!$F$14,$M193,BH$13))))</f>
        <v>0</v>
      </c>
      <c r="BI193" s="215">
        <f ca="1">IF($D193&lt;&gt;"Serviço",0,IF(AND(AUTOEVENTO="Manual",$M193=1),0,IF(OFFSET(CRONOPLE!$F$14,$M193,BI$13)="",10^12,OFFSET(CRONOPLE!$F$14,$M193,BI$13))))</f>
        <v>0</v>
      </c>
      <c r="BJ193" s="215">
        <f ca="1">IF($D193&lt;&gt;"Serviço",0,IF(AND(AUTOEVENTO="Manual",$M193=1),0,IF(OFFSET(CRONOPLE!$F$14,$M193,BJ$13)="",10^12,OFFSET(CRONOPLE!$F$14,$M193,BJ$13))))</f>
        <v>0</v>
      </c>
      <c r="BK193" s="215">
        <f ca="1">IF($D193&lt;&gt;"Serviço",0,IF(AND(AUTOEVENTO="Manual",$M193=1),0,IF(OFFSET(CRONOPLE!$F$14,$M193,BK$13)="",10^12,OFFSET(CRONOPLE!$F$14,$M193,BK$13))))</f>
        <v>0</v>
      </c>
      <c r="BL193" s="215">
        <f ca="1">IF($D193&lt;&gt;"Serviço",0,IF(AND(AUTOEVENTO="Manual",$M193=1),0,IF(OFFSET(CRONOPLE!$F$14,$M193,BL$13)="",10^12,OFFSET(CRONOPLE!$F$14,$M193,BL$13))))</f>
        <v>0</v>
      </c>
      <c r="BM193" s="215">
        <f ca="1">IF($D193&lt;&gt;"Serviço",0,IF(AND(AUTOEVENTO="Manual",$M193=1),0,IF(OFFSET(CRONOPLE!$F$14,$M193,BM$13)="",10^12,OFFSET(CRONOPLE!$F$14,$M193,BM$13))))</f>
        <v>0</v>
      </c>
      <c r="BN193" s="215">
        <f ca="1">IF($D193&lt;&gt;"Serviço",0,IF(AND(AUTOEVENTO="Manual",$M193=1),0,IF(OFFSET(CRONOPLE!$F$14,$M193,BN$13)="",10^12,OFFSET(CRONOPLE!$F$14,$M193,BN$13))))</f>
        <v>0</v>
      </c>
      <c r="BO193" s="215">
        <f ca="1">IF($D193&lt;&gt;"Serviço",0,IF(AND(AUTOEVENTO="Manual",$M193=1),0,IF(OFFSET(CRONOPLE!$F$14,$M193,BO$13)="",10^12,OFFSET(CRONOPLE!$F$14,$M193,BO$13))))</f>
        <v>0</v>
      </c>
      <c r="BP193" s="215">
        <f ca="1">IF($D193&lt;&gt;"Serviço",0,IF(AND(AUTOEVENTO="Manual",$M193=1),0,IF(OFFSET(CRONOPLE!$F$14,$M193,BP$13)="",10^12,OFFSET(CRONOPLE!$F$14,$M193,BP$13))))</f>
        <v>0</v>
      </c>
      <c r="BQ193" s="215">
        <f ca="1">IF($D193&lt;&gt;"Serviço",0,IF(AND(AUTOEVENTO="Manual",$M193=1),0,IF(OFFSET(CRONOPLE!$F$14,$M193,BQ$13)="",10^12,OFFSET(CRONOPLE!$F$14,$M193,BQ$13))))</f>
        <v>0</v>
      </c>
      <c r="BR193" s="215">
        <f ca="1">IF($D193&lt;&gt;"Serviço",0,IF(AND(AUTOEVENTO="Manual",$M193=1),0,IF(OFFSET(CRONOPLE!$F$14,$M193,BR$13)="",10^12,OFFSET(CRONOPLE!$F$14,$M193,BR$13))))</f>
        <v>0</v>
      </c>
      <c r="BS193" s="215">
        <f ca="1">IF($D193&lt;&gt;"Serviço",0,IF(AND(AUTOEVENTO="Manual",$M193=1),0,IF(OFFSET(CRONOPLE!$F$14,$M193,BS$13)="",10^12,OFFSET(CRONOPLE!$F$14,$M193,BS$13))))</f>
        <v>0</v>
      </c>
      <c r="BT193" s="215">
        <f ca="1">IF($D193&lt;&gt;"Serviço",0,IF(AND(AUTOEVENTO="Manual",$M193=1),0,IF(OFFSET(CRONOPLE!$F$14,$M193,BT$13)="",10^12,OFFSET(CRONOPLE!$F$14,$M193,BT$13))))</f>
        <v>0</v>
      </c>
      <c r="BV193" s="216">
        <f ca="1">IF($D193&lt;&gt;"Serviço",0,IF(OR(AND(AUTOEVENTO="Manual",$M193=1),$M193&gt;(ROW(PLE.lastrow)-ROW(PLE.firstrow))),0,IF(OFFSET(PLE!$G$14,$M193,BV$13)="",10^12,OFFSET(PLE!$G$14,$M193,BV$13))))</f>
        <v>0</v>
      </c>
      <c r="BW193" s="216">
        <f ca="1">IF($D193&lt;&gt;"Serviço",0,IF(OR(AND(AUTOEVENTO="Manual",$M193=1),$M193&gt;(ROW(PLE.lastrow)-ROW(PLE.firstrow))),0,IF(OFFSET(PLE!$G$14,$M193,BW$13)="",10^12,OFFSET(PLE!$G$14,$M193,BW$13))))</f>
        <v>0</v>
      </c>
      <c r="BX193" s="216">
        <f ca="1">IF($D193&lt;&gt;"Serviço",0,IF(OR(AND(AUTOEVENTO="Manual",$M193=1),$M193&gt;(ROW(PLE.lastrow)-ROW(PLE.firstrow))),0,IF(OFFSET(PLE!$G$14,$M193,BX$13)="",10^12,OFFSET(PLE!$G$14,$M193,BX$13))))</f>
        <v>0</v>
      </c>
      <c r="BY193" s="216">
        <f ca="1">IF($D193&lt;&gt;"Serviço",0,IF(OR(AND(AUTOEVENTO="Manual",$M193=1),$M193&gt;(ROW(PLE.lastrow)-ROW(PLE.firstrow))),0,IF(OFFSET(PLE!$G$14,$M193,BY$13)="",10^12,OFFSET(PLE!$G$14,$M193,BY$13))))</f>
        <v>0</v>
      </c>
      <c r="BZ193" s="216">
        <f ca="1">IF($D193&lt;&gt;"Serviço",0,IF(OR(AND(AUTOEVENTO="Manual",$M193=1),$M193&gt;(ROW(PLE.lastrow)-ROW(PLE.firstrow))),0,IF(OFFSET(PLE!$G$14,$M193,BZ$13)="",10^12,OFFSET(PLE!$G$14,$M193,BZ$13))))</f>
        <v>0</v>
      </c>
      <c r="CA193" s="216">
        <f ca="1">IF($D193&lt;&gt;"Serviço",0,IF(OR(AND(AUTOEVENTO="Manual",$M193=1),$M193&gt;(ROW(PLE.lastrow)-ROW(PLE.firstrow))),0,IF(OFFSET(PLE!$G$14,$M193,CA$13)="",10^12,OFFSET(PLE!$G$14,$M193,CA$13))))</f>
        <v>0</v>
      </c>
      <c r="CB193" s="216">
        <f ca="1">IF($D193&lt;&gt;"Serviço",0,IF(OR(AND(AUTOEVENTO="Manual",$M193=1),$M193&gt;(ROW(PLE.lastrow)-ROW(PLE.firstrow))),0,IF(OFFSET(PLE!$G$14,$M193,CB$13)="",10^12,OFFSET(PLE!$G$14,$M193,CB$13))))</f>
        <v>0</v>
      </c>
      <c r="CC193" s="216">
        <f ca="1">IF($D193&lt;&gt;"Serviço",0,IF(OR(AND(AUTOEVENTO="Manual",$M193=1),$M193&gt;(ROW(PLE.lastrow)-ROW(PLE.firstrow))),0,IF(OFFSET(PLE!$G$14,$M193,CC$13)="",10^12,OFFSET(PLE!$G$14,$M193,CC$13))))</f>
        <v>0</v>
      </c>
      <c r="CD193" s="216">
        <f ca="1">IF($D193&lt;&gt;"Serviço",0,IF(OR(AND(AUTOEVENTO="Manual",$M193=1),$M193&gt;(ROW(PLE.lastrow)-ROW(PLE.firstrow))),0,IF(OFFSET(PLE!$G$14,$M193,CD$13)="",10^12,OFFSET(PLE!$G$14,$M193,CD$13))))</f>
        <v>0</v>
      </c>
      <c r="CE193" s="216">
        <f ca="1">IF($D193&lt;&gt;"Serviço",0,IF(OR(AND(AUTOEVENTO="Manual",$M193=1),$M193&gt;(ROW(PLE.lastrow)-ROW(PLE.firstrow))),0,IF(OFFSET(PLE!$G$14,$M193,CE$13)="",10^12,OFFSET(PLE!$G$14,$M193,CE$13))))</f>
        <v>0</v>
      </c>
      <c r="CF193" s="216">
        <f ca="1">IF($D193&lt;&gt;"Serviço",0,IF(OR(AND(AUTOEVENTO="Manual",$M193=1),$M193&gt;(ROW(PLE.lastrow)-ROW(PLE.firstrow))),0,IF(OFFSET(PLE!$G$14,$M193,CF$13)="",10^12,OFFSET(PLE!$G$14,$M193,CF$13))))</f>
        <v>0</v>
      </c>
      <c r="CG193" s="216">
        <f ca="1">IF($D193&lt;&gt;"Serviço",0,IF(OR(AND(AUTOEVENTO="Manual",$M193=1),$M193&gt;(ROW(PLE.lastrow)-ROW(PLE.firstrow))),0,IF(OFFSET(PLE!$G$14,$M193,CG$13)="",10^12,OFFSET(PLE!$G$14,$M193,CG$13))))</f>
        <v>0</v>
      </c>
      <c r="CH193" s="216">
        <f ca="1">IF($D193&lt;&gt;"Serviço",0,IF(OR(AND(AUTOEVENTO="Manual",$M193=1),$M193&gt;(ROW(PLE.lastrow)-ROW(PLE.firstrow))),0,IF(OFFSET(PLE!$G$14,$M193,CH$13)="",10^12,OFFSET(PLE!$G$14,$M193,CH$13))))</f>
        <v>0</v>
      </c>
      <c r="CI193" s="216">
        <f ca="1">IF($D193&lt;&gt;"Serviço",0,IF(OR(AND(AUTOEVENTO="Manual",$M193=1),$M193&gt;(ROW(PLE.lastrow)-ROW(PLE.firstrow))),0,IF(OFFSET(PLE!$G$14,$M193,CI$13)="",10^12,OFFSET(PLE!$G$14,$M193,CI$13))))</f>
        <v>0</v>
      </c>
      <c r="CJ193" s="216">
        <f ca="1">IF($D193&lt;&gt;"Serviço",0,IF(OR(AND(AUTOEVENTO="Manual",$M193=1),$M193&gt;(ROW(PLE.lastrow)-ROW(PLE.firstrow))),0,IF(OFFSET(PLE!$G$14,$M193,CJ$13)="",10^12,OFFSET(PLE!$G$14,$M193,CJ$13))))</f>
        <v>0</v>
      </c>
      <c r="CK193" s="216">
        <f ca="1">IF($D193&lt;&gt;"Serviço",0,IF(OR(AND(AUTOEVENTO="Manual",$M193=1),$M193&gt;(ROW(PLE.lastrow)-ROW(PLE.firstrow))),0,IF(OFFSET(PLE!$G$14,$M193,CK$13)="",10^12,OFFSET(PLE!$G$14,$M193,CK$13))))</f>
        <v>0</v>
      </c>
      <c r="CL193" s="216">
        <f ca="1">IF($D193&lt;&gt;"Serviço",0,IF(OR(AND(AUTOEVENTO="Manual",$M193=1),$M193&gt;(ROW(PLE.lastrow)-ROW(PLE.firstrow))),0,IF(OFFSET(PLE!$G$14,$M193,CL$13)="",10^12,OFFSET(PLE!$G$14,$M193,CL$13))))</f>
        <v>0</v>
      </c>
      <c r="CM193" s="216">
        <f ca="1">IF($D193&lt;&gt;"Serviço",0,IF(OR(AND(AUTOEVENTO="Manual",$M193=1),$M193&gt;(ROW(PLE.lastrow)-ROW(PLE.firstrow))),0,IF(OFFSET(PLE!$G$14,$M193,CM$13)="",10^12,OFFSET(PLE!$G$14,$M193,CM$13))))</f>
        <v>0</v>
      </c>
    </row>
    <row r="194" spans="1:91" ht="13.2" x14ac:dyDescent="0.25">
      <c r="A194" s="9">
        <f t="shared" ca="1" si="11"/>
        <v>0</v>
      </c>
      <c r="B194" s="9" t="str">
        <f ca="1">OFFSET(ORÇAMENTO!C$15,ROW(B194)-ROW(B$15),0)</f>
        <v>S</v>
      </c>
      <c r="C194" s="9" t="str">
        <f ca="1">OFFSET(ORÇAMENTO!L$15,ROW(C194)-ROW(C$15),0)</f>
        <v/>
      </c>
      <c r="D194" s="145" t="str">
        <f ca="1">OFFSET(ORÇAMENTO!N$15,ROW(D194)-ROW(D$15),0)</f>
        <v>Serviço</v>
      </c>
      <c r="E194" s="205" t="str">
        <f ca="1">OFFSET(ORÇAMENTO!O$15,ROW(E194)-ROW(E$15),0)</f>
        <v>-</v>
      </c>
      <c r="F194" s="206" t="str">
        <f ca="1">OFFSET(ORÇAMENTO!R$15,ROW(F194)-ROW(F$15),0)</f>
        <v>(abra o arquivo 'Referência 05-2024.xls)</v>
      </c>
      <c r="G194" s="207" t="str">
        <f ca="1">IF($D194&lt;&gt;"Serviço","",OFFSET(ORÇAMENTO!S$15,ROW(G194)-ROW(G$15),0))</f>
        <v>-</v>
      </c>
      <c r="H194" s="151">
        <f ca="1">IF($D194&lt;&gt;"Serviço",0,IF(ACOMPANHAMENTO="BM",ROUND(OFFSET(ORÇAMENTO!AJ$15,ROW(H194)-ROW(H$15),0),15-13*ORÇAMENTO!$AF$7),SUMPRODUCT(($Q$12:$AI$12&lt;&gt;"")*ROUND($Q194:$AI194,15-13*ORÇAMENTO!$AF$7))))</f>
        <v>5.46</v>
      </c>
      <c r="I194" s="650"/>
      <c r="K194" s="208"/>
      <c r="L194" s="209" t="s">
        <v>257</v>
      </c>
      <c r="M194" s="210">
        <f ca="1">IF($D194&lt;&gt;"Serviço","",IF(AUTOEVENTO="manual",$A194,IF(ISERROR(MATCH($A194,$A$15:OFFSET($A194,-1,0),0)),MAX($M$15:OFFSET(M194,-1,0))+1,INDEX($M$15:OFFSET(M194,-1,0),MATCH($A194,$A$15:OFFSET($A194,-1,0),0)))))</f>
        <v>0</v>
      </c>
      <c r="N194" s="211" t="str">
        <f ca="1">IF($D194&lt;&gt;"Serviço","",IF(AUTOEVENTO="Manual",IF($A194=0,"&lt;-- defina o número do agrupador",OFFSET(EVENTOS!$D$14,$A194,0)),OFFSET($F$15,$A194,0)))</f>
        <v>&lt;-- defina o número do agrupador</v>
      </c>
      <c r="O194" s="212"/>
      <c r="Q194" s="212"/>
      <c r="R194" s="213"/>
      <c r="S194" s="213"/>
      <c r="T194" s="213"/>
      <c r="U194" s="213"/>
      <c r="V194" s="213"/>
      <c r="W194" s="213"/>
      <c r="X194" s="213"/>
      <c r="Y194" s="213"/>
      <c r="Z194" s="214"/>
      <c r="AA194" s="213"/>
      <c r="AB194" s="213"/>
      <c r="AC194" s="213"/>
      <c r="AD194" s="213"/>
      <c r="AE194" s="213"/>
      <c r="AF194" s="213"/>
      <c r="AG194" s="213"/>
      <c r="AH194" s="214"/>
      <c r="AJ194" s="631">
        <f ca="1">IF(AND($D194="Serviço",AJ$12&lt;&gt;0,$H194&gt;0,OR(AUTOEVENTO&lt;&gt;"manual",$M194&lt;&gt;1)),ROUND(OFFSET($P194,0,AJ$13),15-13*ORÇAMENTO!$AF$7)/$H194*OFFSET(ORÇAMENTO!$X$15,ROW(AJ194)-ROW(AJ$15),0),0)</f>
        <v>0</v>
      </c>
      <c r="AK194" s="632">
        <f ca="1">IF(AND($D194="Serviço",AK$12&lt;&gt;0,$H194&gt;0,OR(AUTOEVENTO&lt;&gt;"manual",$M194&lt;&gt;1)),ROUND(OFFSET($P194,0,AK$13),15-13*ORÇAMENTO!$AF$7)/$H194*OFFSET(ORÇAMENTO!$X$15,ROW(AK194)-ROW(AK$15),0),0)</f>
        <v>0</v>
      </c>
      <c r="AL194" s="632">
        <f ca="1">IF(AND($D194="Serviço",AL$12&lt;&gt;0,$H194&gt;0,OR(AUTOEVENTO&lt;&gt;"manual",$M194&lt;&gt;1)),ROUND(OFFSET($P194,0,AL$13),15-13*ORÇAMENTO!$AF$7)/$H194*OFFSET(ORÇAMENTO!$X$15,ROW(AL194)-ROW(AL$15),0),0)</f>
        <v>0</v>
      </c>
      <c r="AM194" s="632">
        <f ca="1">IF(AND($D194="Serviço",AM$12&lt;&gt;0,$H194&gt;0,OR(AUTOEVENTO&lt;&gt;"manual",$M194&lt;&gt;1)),ROUND(OFFSET($P194,0,AM$13),15-13*ORÇAMENTO!$AF$7)/$H194*OFFSET(ORÇAMENTO!$X$15,ROW(AM194)-ROW(AM$15),0),0)</f>
        <v>0</v>
      </c>
      <c r="AN194" s="632">
        <f ca="1">IF(AND($D194="Serviço",AN$12&lt;&gt;0,$H194&gt;0,OR(AUTOEVENTO&lt;&gt;"manual",$M194&lt;&gt;1)),ROUND(OFFSET($P194,0,AN$13),15-13*ORÇAMENTO!$AF$7)/$H194*OFFSET(ORÇAMENTO!$X$15,ROW(AN194)-ROW(AN$15),0),0)</f>
        <v>0</v>
      </c>
      <c r="AO194" s="632">
        <f ca="1">IF(AND($D194="Serviço",AO$12&lt;&gt;0,$H194&gt;0,OR(AUTOEVENTO&lt;&gt;"manual",$M194&lt;&gt;1)),ROUND(OFFSET($P194,0,AO$13),15-13*ORÇAMENTO!$AF$7)/$H194*OFFSET(ORÇAMENTO!$X$15,ROW(AO194)-ROW(AO$15),0),0)</f>
        <v>0</v>
      </c>
      <c r="AP194" s="632">
        <f ca="1">IF(AND($D194="Serviço",AP$12&lt;&gt;0,$H194&gt;0,OR(AUTOEVENTO&lt;&gt;"manual",$M194&lt;&gt;1)),ROUND(OFFSET($P194,0,AP$13),15-13*ORÇAMENTO!$AF$7)/$H194*OFFSET(ORÇAMENTO!$X$15,ROW(AP194)-ROW(AP$15),0),0)</f>
        <v>0</v>
      </c>
      <c r="AQ194" s="632">
        <f ca="1">IF(AND($D194="Serviço",AQ$12&lt;&gt;0,$H194&gt;0,OR(AUTOEVENTO&lt;&gt;"manual",$M194&lt;&gt;1)),ROUND(OFFSET($P194,0,AQ$13),15-13*ORÇAMENTO!$AF$7)/$H194*OFFSET(ORÇAMENTO!$X$15,ROW(AQ194)-ROW(AQ$15),0),0)</f>
        <v>0</v>
      </c>
      <c r="AR194" s="632">
        <f ca="1">IF(AND($D194="Serviço",AR$12&lt;&gt;0,$H194&gt;0,OR(AUTOEVENTO&lt;&gt;"manual",$M194&lt;&gt;1)),ROUND(OFFSET($P194,0,AR$13),15-13*ORÇAMENTO!$AF$7)/$H194*OFFSET(ORÇAMENTO!$X$15,ROW(AR194)-ROW(AR$15),0),0)</f>
        <v>0</v>
      </c>
      <c r="AS194" s="633">
        <f ca="1">IF(AND($D194="Serviço",AS$12&lt;&gt;0,$H194&gt;0,OR(AUTOEVENTO&lt;&gt;"manual",$M194&lt;&gt;1)),ROUND(OFFSET($P194,0,AS$13),15-13*ORÇAMENTO!$AF$7)/$H194*OFFSET(ORÇAMENTO!$X$15,ROW(AS194)-ROW(AS$15),0),0)</f>
        <v>0</v>
      </c>
      <c r="AT194" s="632">
        <f ca="1">IF(AND($D194="Serviço",AT$12&lt;&gt;0,$H194&gt;0,OR(AUTOEVENTO&lt;&gt;"manual",$M194&lt;&gt;1)),ROUND(OFFSET($P194,0,AT$13),15-13*ORÇAMENTO!$AF$7)/$H194*OFFSET(ORÇAMENTO!$X$15,ROW(AT194)-ROW(AT$15),0),0)</f>
        <v>0</v>
      </c>
      <c r="AU194" s="632">
        <f ca="1">IF(AND($D194="Serviço",AU$12&lt;&gt;0,$H194&gt;0,OR(AUTOEVENTO&lt;&gt;"manual",$M194&lt;&gt;1)),ROUND(OFFSET($P194,0,AU$13),15-13*ORÇAMENTO!$AF$7)/$H194*OFFSET(ORÇAMENTO!$X$15,ROW(AU194)-ROW(AU$15),0),0)</f>
        <v>0</v>
      </c>
      <c r="AV194" s="632">
        <f ca="1">IF(AND($D194="Serviço",AV$12&lt;&gt;0,$H194&gt;0,OR(AUTOEVENTO&lt;&gt;"manual",$M194&lt;&gt;1)),ROUND(OFFSET($P194,0,AV$13),15-13*ORÇAMENTO!$AF$7)/$H194*OFFSET(ORÇAMENTO!$X$15,ROW(AV194)-ROW(AV$15),0),0)</f>
        <v>0</v>
      </c>
      <c r="AW194" s="632">
        <f ca="1">IF(AND($D194="Serviço",AW$12&lt;&gt;0,$H194&gt;0,OR(AUTOEVENTO&lt;&gt;"manual",$M194&lt;&gt;1)),ROUND(OFFSET($P194,0,AW$13),15-13*ORÇAMENTO!$AF$7)/$H194*OFFSET(ORÇAMENTO!$X$15,ROW(AW194)-ROW(AW$15),0),0)</f>
        <v>0</v>
      </c>
      <c r="AX194" s="632">
        <f ca="1">IF(AND($D194="Serviço",AX$12&lt;&gt;0,$H194&gt;0,OR(AUTOEVENTO&lt;&gt;"manual",$M194&lt;&gt;1)),ROUND(OFFSET($P194,0,AX$13),15-13*ORÇAMENTO!$AF$7)/$H194*OFFSET(ORÇAMENTO!$X$15,ROW(AX194)-ROW(AX$15),0),0)</f>
        <v>0</v>
      </c>
      <c r="AY194" s="632">
        <f ca="1">IF(AND($D194="Serviço",AY$12&lt;&gt;0,$H194&gt;0,OR(AUTOEVENTO&lt;&gt;"manual",$M194&lt;&gt;1)),ROUND(OFFSET($P194,0,AY$13),15-13*ORÇAMENTO!$AF$7)/$H194*OFFSET(ORÇAMENTO!$X$15,ROW(AY194)-ROW(AY$15),0),0)</f>
        <v>0</v>
      </c>
      <c r="AZ194" s="632">
        <f ca="1">IF(AND($D194="Serviço",AZ$12&lt;&gt;0,$H194&gt;0,OR(AUTOEVENTO&lt;&gt;"manual",$M194&lt;&gt;1)),ROUND(OFFSET($P194,0,AZ$13),15-13*ORÇAMENTO!$AF$7)/$H194*OFFSET(ORÇAMENTO!$X$15,ROW(AZ194)-ROW(AZ$15),0),0)</f>
        <v>0</v>
      </c>
      <c r="BA194" s="633">
        <f ca="1">IF(AND($D194="Serviço",BA$12&lt;&gt;0,$H194&gt;0,OR(AUTOEVENTO&lt;&gt;"manual",$M194&lt;&gt;1)),ROUND(OFFSET($P194,0,BA$13),15-13*ORÇAMENTO!$AF$7)/$H194*OFFSET(ORÇAMENTO!$X$15,ROW(BA194)-ROW(BA$15),0),0)</f>
        <v>0</v>
      </c>
      <c r="BC194" s="215">
        <f ca="1">IF($D194&lt;&gt;"Serviço",0,IF(AND(AUTOEVENTO="Manual",$M194=1),0,IF(OFFSET(CRONOPLE!$F$14,$M194,BC$13)="",10^12,OFFSET(CRONOPLE!$F$14,$M194,BC$13))))</f>
        <v>1000000000000</v>
      </c>
      <c r="BD194" s="215">
        <f ca="1">IF($D194&lt;&gt;"Serviço",0,IF(AND(AUTOEVENTO="Manual",$M194=1),0,IF(OFFSET(CRONOPLE!$F$14,$M194,BD$13)="",10^12,OFFSET(CRONOPLE!$F$14,$M194,BD$13))))</f>
        <v>1000000000000</v>
      </c>
      <c r="BE194" s="215">
        <f ca="1">IF($D194&lt;&gt;"Serviço",0,IF(AND(AUTOEVENTO="Manual",$M194=1),0,IF(OFFSET(CRONOPLE!$F$14,$M194,BE$13)="",10^12,OFFSET(CRONOPLE!$F$14,$M194,BE$13))))</f>
        <v>1000000000000</v>
      </c>
      <c r="BF194" s="215">
        <f ca="1">IF($D194&lt;&gt;"Serviço",0,IF(AND(AUTOEVENTO="Manual",$M194=1),0,IF(OFFSET(CRONOPLE!$F$14,$M194,BF$13)="",10^12,OFFSET(CRONOPLE!$F$14,$M194,BF$13))))</f>
        <v>1000000000000</v>
      </c>
      <c r="BG194" s="215">
        <f ca="1">IF($D194&lt;&gt;"Serviço",0,IF(AND(AUTOEVENTO="Manual",$M194=1),0,IF(OFFSET(CRONOPLE!$F$14,$M194,BG$13)="",10^12,OFFSET(CRONOPLE!$F$14,$M194,BG$13))))</f>
        <v>1000000000000</v>
      </c>
      <c r="BH194" s="215">
        <f ca="1">IF($D194&lt;&gt;"Serviço",0,IF(AND(AUTOEVENTO="Manual",$M194=1),0,IF(OFFSET(CRONOPLE!$F$14,$M194,BH$13)="",10^12,OFFSET(CRONOPLE!$F$14,$M194,BH$13))))</f>
        <v>1000000000000</v>
      </c>
      <c r="BI194" s="215">
        <f ca="1">IF($D194&lt;&gt;"Serviço",0,IF(AND(AUTOEVENTO="Manual",$M194=1),0,IF(OFFSET(CRONOPLE!$F$14,$M194,BI$13)="",10^12,OFFSET(CRONOPLE!$F$14,$M194,BI$13))))</f>
        <v>1000000000000</v>
      </c>
      <c r="BJ194" s="215">
        <f ca="1">IF($D194&lt;&gt;"Serviço",0,IF(AND(AUTOEVENTO="Manual",$M194=1),0,IF(OFFSET(CRONOPLE!$F$14,$M194,BJ$13)="",10^12,OFFSET(CRONOPLE!$F$14,$M194,BJ$13))))</f>
        <v>1000000000000</v>
      </c>
      <c r="BK194" s="215">
        <f ca="1">IF($D194&lt;&gt;"Serviço",0,IF(AND(AUTOEVENTO="Manual",$M194=1),0,IF(OFFSET(CRONOPLE!$F$14,$M194,BK$13)="",10^12,OFFSET(CRONOPLE!$F$14,$M194,BK$13))))</f>
        <v>1000000000000</v>
      </c>
      <c r="BL194" s="215">
        <f ca="1">IF($D194&lt;&gt;"Serviço",0,IF(AND(AUTOEVENTO="Manual",$M194=1),0,IF(OFFSET(CRONOPLE!$F$14,$M194,BL$13)="",10^12,OFFSET(CRONOPLE!$F$14,$M194,BL$13))))</f>
        <v>1000000000000</v>
      </c>
      <c r="BM194" s="215">
        <f ca="1">IF($D194&lt;&gt;"Serviço",0,IF(AND(AUTOEVENTO="Manual",$M194=1),0,IF(OFFSET(CRONOPLE!$F$14,$M194,BM$13)="",10^12,OFFSET(CRONOPLE!$F$14,$M194,BM$13))))</f>
        <v>1000000000000</v>
      </c>
      <c r="BN194" s="215">
        <f ca="1">IF($D194&lt;&gt;"Serviço",0,IF(AND(AUTOEVENTO="Manual",$M194=1),0,IF(OFFSET(CRONOPLE!$F$14,$M194,BN$13)="",10^12,OFFSET(CRONOPLE!$F$14,$M194,BN$13))))</f>
        <v>1000000000000</v>
      </c>
      <c r="BO194" s="215">
        <f ca="1">IF($D194&lt;&gt;"Serviço",0,IF(AND(AUTOEVENTO="Manual",$M194=1),0,IF(OFFSET(CRONOPLE!$F$14,$M194,BO$13)="",10^12,OFFSET(CRONOPLE!$F$14,$M194,BO$13))))</f>
        <v>1000000000000</v>
      </c>
      <c r="BP194" s="215">
        <f ca="1">IF($D194&lt;&gt;"Serviço",0,IF(AND(AUTOEVENTO="Manual",$M194=1),0,IF(OFFSET(CRONOPLE!$F$14,$M194,BP$13)="",10^12,OFFSET(CRONOPLE!$F$14,$M194,BP$13))))</f>
        <v>1000000000000</v>
      </c>
      <c r="BQ194" s="215">
        <f ca="1">IF($D194&lt;&gt;"Serviço",0,IF(AND(AUTOEVENTO="Manual",$M194=1),0,IF(OFFSET(CRONOPLE!$F$14,$M194,BQ$13)="",10^12,OFFSET(CRONOPLE!$F$14,$M194,BQ$13))))</f>
        <v>1000000000000</v>
      </c>
      <c r="BR194" s="215">
        <f ca="1">IF($D194&lt;&gt;"Serviço",0,IF(AND(AUTOEVENTO="Manual",$M194=1),0,IF(OFFSET(CRONOPLE!$F$14,$M194,BR$13)="",10^12,OFFSET(CRONOPLE!$F$14,$M194,BR$13))))</f>
        <v>1000000000000</v>
      </c>
      <c r="BS194" s="215">
        <f ca="1">IF($D194&lt;&gt;"Serviço",0,IF(AND(AUTOEVENTO="Manual",$M194=1),0,IF(OFFSET(CRONOPLE!$F$14,$M194,BS$13)="",10^12,OFFSET(CRONOPLE!$F$14,$M194,BS$13))))</f>
        <v>1000000000000</v>
      </c>
      <c r="BT194" s="215">
        <f ca="1">IF($D194&lt;&gt;"Serviço",0,IF(AND(AUTOEVENTO="Manual",$M194=1),0,IF(OFFSET(CRONOPLE!$F$14,$M194,BT$13)="",10^12,OFFSET(CRONOPLE!$F$14,$M194,BT$13))))</f>
        <v>1000000000000</v>
      </c>
      <c r="BV194" s="216">
        <f ca="1">IF($D194&lt;&gt;"Serviço",0,IF(OR(AND(AUTOEVENTO="Manual",$M194=1),$M194&gt;(ROW(PLE.lastrow)-ROW(PLE.firstrow))),0,IF(OFFSET(PLE!$G$14,$M194,BV$13)="",10^12,OFFSET(PLE!$G$14,$M194,BV$13))))</f>
        <v>1000000000000</v>
      </c>
      <c r="BW194" s="216">
        <f ca="1">IF($D194&lt;&gt;"Serviço",0,IF(OR(AND(AUTOEVENTO="Manual",$M194=1),$M194&gt;(ROW(PLE.lastrow)-ROW(PLE.firstrow))),0,IF(OFFSET(PLE!$G$14,$M194,BW$13)="",10^12,OFFSET(PLE!$G$14,$M194,BW$13))))</f>
        <v>1000000000000</v>
      </c>
      <c r="BX194" s="216">
        <f ca="1">IF($D194&lt;&gt;"Serviço",0,IF(OR(AND(AUTOEVENTO="Manual",$M194=1),$M194&gt;(ROW(PLE.lastrow)-ROW(PLE.firstrow))),0,IF(OFFSET(PLE!$G$14,$M194,BX$13)="",10^12,OFFSET(PLE!$G$14,$M194,BX$13))))</f>
        <v>1000000000000</v>
      </c>
      <c r="BY194" s="216">
        <f ca="1">IF($D194&lt;&gt;"Serviço",0,IF(OR(AND(AUTOEVENTO="Manual",$M194=1),$M194&gt;(ROW(PLE.lastrow)-ROW(PLE.firstrow))),0,IF(OFFSET(PLE!$G$14,$M194,BY$13)="",10^12,OFFSET(PLE!$G$14,$M194,BY$13))))</f>
        <v>1000000000000</v>
      </c>
      <c r="BZ194" s="216">
        <f ca="1">IF($D194&lt;&gt;"Serviço",0,IF(OR(AND(AUTOEVENTO="Manual",$M194=1),$M194&gt;(ROW(PLE.lastrow)-ROW(PLE.firstrow))),0,IF(OFFSET(PLE!$G$14,$M194,BZ$13)="",10^12,OFFSET(PLE!$G$14,$M194,BZ$13))))</f>
        <v>1000000000000</v>
      </c>
      <c r="CA194" s="216">
        <f ca="1">IF($D194&lt;&gt;"Serviço",0,IF(OR(AND(AUTOEVENTO="Manual",$M194=1),$M194&gt;(ROW(PLE.lastrow)-ROW(PLE.firstrow))),0,IF(OFFSET(PLE!$G$14,$M194,CA$13)="",10^12,OFFSET(PLE!$G$14,$M194,CA$13))))</f>
        <v>1000000000000</v>
      </c>
      <c r="CB194" s="216">
        <f ca="1">IF($D194&lt;&gt;"Serviço",0,IF(OR(AND(AUTOEVENTO="Manual",$M194=1),$M194&gt;(ROW(PLE.lastrow)-ROW(PLE.firstrow))),0,IF(OFFSET(PLE!$G$14,$M194,CB$13)="",10^12,OFFSET(PLE!$G$14,$M194,CB$13))))</f>
        <v>1000000000000</v>
      </c>
      <c r="CC194" s="216">
        <f ca="1">IF($D194&lt;&gt;"Serviço",0,IF(OR(AND(AUTOEVENTO="Manual",$M194=1),$M194&gt;(ROW(PLE.lastrow)-ROW(PLE.firstrow))),0,IF(OFFSET(PLE!$G$14,$M194,CC$13)="",10^12,OFFSET(PLE!$G$14,$M194,CC$13))))</f>
        <v>1000000000000</v>
      </c>
      <c r="CD194" s="216">
        <f ca="1">IF($D194&lt;&gt;"Serviço",0,IF(OR(AND(AUTOEVENTO="Manual",$M194=1),$M194&gt;(ROW(PLE.lastrow)-ROW(PLE.firstrow))),0,IF(OFFSET(PLE!$G$14,$M194,CD$13)="",10^12,OFFSET(PLE!$G$14,$M194,CD$13))))</f>
        <v>1000000000000</v>
      </c>
      <c r="CE194" s="216">
        <f ca="1">IF($D194&lt;&gt;"Serviço",0,IF(OR(AND(AUTOEVENTO="Manual",$M194=1),$M194&gt;(ROW(PLE.lastrow)-ROW(PLE.firstrow))),0,IF(OFFSET(PLE!$G$14,$M194,CE$13)="",10^12,OFFSET(PLE!$G$14,$M194,CE$13))))</f>
        <v>1000000000000</v>
      </c>
      <c r="CF194" s="216">
        <f ca="1">IF($D194&lt;&gt;"Serviço",0,IF(OR(AND(AUTOEVENTO="Manual",$M194=1),$M194&gt;(ROW(PLE.lastrow)-ROW(PLE.firstrow))),0,IF(OFFSET(PLE!$G$14,$M194,CF$13)="",10^12,OFFSET(PLE!$G$14,$M194,CF$13))))</f>
        <v>1000000000000</v>
      </c>
      <c r="CG194" s="216">
        <f ca="1">IF($D194&lt;&gt;"Serviço",0,IF(OR(AND(AUTOEVENTO="Manual",$M194=1),$M194&gt;(ROW(PLE.lastrow)-ROW(PLE.firstrow))),0,IF(OFFSET(PLE!$G$14,$M194,CG$13)="",10^12,OFFSET(PLE!$G$14,$M194,CG$13))))</f>
        <v>1000000000000</v>
      </c>
      <c r="CH194" s="216">
        <f ca="1">IF($D194&lt;&gt;"Serviço",0,IF(OR(AND(AUTOEVENTO="Manual",$M194=1),$M194&gt;(ROW(PLE.lastrow)-ROW(PLE.firstrow))),0,IF(OFFSET(PLE!$G$14,$M194,CH$13)="",10^12,OFFSET(PLE!$G$14,$M194,CH$13))))</f>
        <v>1000000000000</v>
      </c>
      <c r="CI194" s="216">
        <f ca="1">IF($D194&lt;&gt;"Serviço",0,IF(OR(AND(AUTOEVENTO="Manual",$M194=1),$M194&gt;(ROW(PLE.lastrow)-ROW(PLE.firstrow))),0,IF(OFFSET(PLE!$G$14,$M194,CI$13)="",10^12,OFFSET(PLE!$G$14,$M194,CI$13))))</f>
        <v>1000000000000</v>
      </c>
      <c r="CJ194" s="216">
        <f ca="1">IF($D194&lt;&gt;"Serviço",0,IF(OR(AND(AUTOEVENTO="Manual",$M194=1),$M194&gt;(ROW(PLE.lastrow)-ROW(PLE.firstrow))),0,IF(OFFSET(PLE!$G$14,$M194,CJ$13)="",10^12,OFFSET(PLE!$G$14,$M194,CJ$13))))</f>
        <v>1000000000000</v>
      </c>
      <c r="CK194" s="216">
        <f ca="1">IF($D194&lt;&gt;"Serviço",0,IF(OR(AND(AUTOEVENTO="Manual",$M194=1),$M194&gt;(ROW(PLE.lastrow)-ROW(PLE.firstrow))),0,IF(OFFSET(PLE!$G$14,$M194,CK$13)="",10^12,OFFSET(PLE!$G$14,$M194,CK$13))))</f>
        <v>1000000000000</v>
      </c>
      <c r="CL194" s="216">
        <f ca="1">IF($D194&lt;&gt;"Serviço",0,IF(OR(AND(AUTOEVENTO="Manual",$M194=1),$M194&gt;(ROW(PLE.lastrow)-ROW(PLE.firstrow))),0,IF(OFFSET(PLE!$G$14,$M194,CL$13)="",10^12,OFFSET(PLE!$G$14,$M194,CL$13))))</f>
        <v>1000000000000</v>
      </c>
      <c r="CM194" s="216">
        <f ca="1">IF($D194&lt;&gt;"Serviço",0,IF(OR(AND(AUTOEVENTO="Manual",$M194=1),$M194&gt;(ROW(PLE.lastrow)-ROW(PLE.firstrow))),0,IF(OFFSET(PLE!$G$14,$M194,CM$13)="",10^12,OFFSET(PLE!$G$14,$M194,CM$13))))</f>
        <v>1000000000000</v>
      </c>
    </row>
    <row r="195" spans="1:91" ht="13.2" x14ac:dyDescent="0.25">
      <c r="A195" s="9">
        <f t="shared" ca="1" si="11"/>
        <v>0</v>
      </c>
      <c r="B195" s="9" t="str">
        <f ca="1">OFFSET(ORÇAMENTO!C$15,ROW(B195)-ROW(B$15),0)</f>
        <v>S</v>
      </c>
      <c r="C195" s="9" t="str">
        <f ca="1">OFFSET(ORÇAMENTO!L$15,ROW(C195)-ROW(C$15),0)</f>
        <v/>
      </c>
      <c r="D195" s="145" t="str">
        <f ca="1">OFFSET(ORÇAMENTO!N$15,ROW(D195)-ROW(D$15),0)</f>
        <v>Serviço</v>
      </c>
      <c r="E195" s="205" t="str">
        <f ca="1">OFFSET(ORÇAMENTO!O$15,ROW(E195)-ROW(E$15),0)</f>
        <v>-</v>
      </c>
      <c r="F195" s="206" t="str">
        <f ca="1">OFFSET(ORÇAMENTO!R$15,ROW(F195)-ROW(F$15),0)</f>
        <v>(abra o arquivo 'Referência 05-2024.xls)</v>
      </c>
      <c r="G195" s="207" t="str">
        <f ca="1">IF($D195&lt;&gt;"Serviço","",OFFSET(ORÇAMENTO!S$15,ROW(G195)-ROW(G$15),0))</f>
        <v>-</v>
      </c>
      <c r="H195" s="151">
        <f ca="1">IF($D195&lt;&gt;"Serviço",0,IF(ACOMPANHAMENTO="BM",ROUND(OFFSET(ORÇAMENTO!AJ$15,ROW(H195)-ROW(H$15),0),15-13*ORÇAMENTO!$AF$7),SUMPRODUCT(($Q$12:$AI$12&lt;&gt;"")*ROUND($Q195:$AI195,15-13*ORÇAMENTO!$AF$7))))</f>
        <v>2.1</v>
      </c>
      <c r="I195" s="650"/>
      <c r="K195" s="208"/>
      <c r="L195" s="209" t="s">
        <v>257</v>
      </c>
      <c r="M195" s="210">
        <f ca="1">IF($D195&lt;&gt;"Serviço","",IF(AUTOEVENTO="manual",$A195,IF(ISERROR(MATCH($A195,$A$15:OFFSET($A195,-1,0),0)),MAX($M$15:OFFSET(M195,-1,0))+1,INDEX($M$15:OFFSET(M195,-1,0),MATCH($A195,$A$15:OFFSET($A195,-1,0),0)))))</f>
        <v>0</v>
      </c>
      <c r="N195" s="211" t="str">
        <f ca="1">IF($D195&lt;&gt;"Serviço","",IF(AUTOEVENTO="Manual",IF($A195=0,"&lt;-- defina o número do agrupador",OFFSET(EVENTOS!$D$14,$A195,0)),OFFSET($F$15,$A195,0)))</f>
        <v>&lt;-- defina o número do agrupador</v>
      </c>
      <c r="O195" s="212"/>
      <c r="Q195" s="212"/>
      <c r="R195" s="213"/>
      <c r="S195" s="213"/>
      <c r="T195" s="213"/>
      <c r="U195" s="213"/>
      <c r="V195" s="213"/>
      <c r="W195" s="213"/>
      <c r="X195" s="213"/>
      <c r="Y195" s="213"/>
      <c r="Z195" s="214"/>
      <c r="AA195" s="213"/>
      <c r="AB195" s="213"/>
      <c r="AC195" s="213"/>
      <c r="AD195" s="213"/>
      <c r="AE195" s="213"/>
      <c r="AF195" s="213"/>
      <c r="AG195" s="213"/>
      <c r="AH195" s="214"/>
      <c r="AJ195" s="631">
        <f ca="1">IF(AND($D195="Serviço",AJ$12&lt;&gt;0,$H195&gt;0,OR(AUTOEVENTO&lt;&gt;"manual",$M195&lt;&gt;1)),ROUND(OFFSET($P195,0,AJ$13),15-13*ORÇAMENTO!$AF$7)/$H195*OFFSET(ORÇAMENTO!$X$15,ROW(AJ195)-ROW(AJ$15),0),0)</f>
        <v>0</v>
      </c>
      <c r="AK195" s="632">
        <f ca="1">IF(AND($D195="Serviço",AK$12&lt;&gt;0,$H195&gt;0,OR(AUTOEVENTO&lt;&gt;"manual",$M195&lt;&gt;1)),ROUND(OFFSET($P195,0,AK$13),15-13*ORÇAMENTO!$AF$7)/$H195*OFFSET(ORÇAMENTO!$X$15,ROW(AK195)-ROW(AK$15),0),0)</f>
        <v>0</v>
      </c>
      <c r="AL195" s="632">
        <f ca="1">IF(AND($D195="Serviço",AL$12&lt;&gt;0,$H195&gt;0,OR(AUTOEVENTO&lt;&gt;"manual",$M195&lt;&gt;1)),ROUND(OFFSET($P195,0,AL$13),15-13*ORÇAMENTO!$AF$7)/$H195*OFFSET(ORÇAMENTO!$X$15,ROW(AL195)-ROW(AL$15),0),0)</f>
        <v>0</v>
      </c>
      <c r="AM195" s="632">
        <f ca="1">IF(AND($D195="Serviço",AM$12&lt;&gt;0,$H195&gt;0,OR(AUTOEVENTO&lt;&gt;"manual",$M195&lt;&gt;1)),ROUND(OFFSET($P195,0,AM$13),15-13*ORÇAMENTO!$AF$7)/$H195*OFFSET(ORÇAMENTO!$X$15,ROW(AM195)-ROW(AM$15),0),0)</f>
        <v>0</v>
      </c>
      <c r="AN195" s="632">
        <f ca="1">IF(AND($D195="Serviço",AN$12&lt;&gt;0,$H195&gt;0,OR(AUTOEVENTO&lt;&gt;"manual",$M195&lt;&gt;1)),ROUND(OFFSET($P195,0,AN$13),15-13*ORÇAMENTO!$AF$7)/$H195*OFFSET(ORÇAMENTO!$X$15,ROW(AN195)-ROW(AN$15),0),0)</f>
        <v>0</v>
      </c>
      <c r="AO195" s="632">
        <f ca="1">IF(AND($D195="Serviço",AO$12&lt;&gt;0,$H195&gt;0,OR(AUTOEVENTO&lt;&gt;"manual",$M195&lt;&gt;1)),ROUND(OFFSET($P195,0,AO$13),15-13*ORÇAMENTO!$AF$7)/$H195*OFFSET(ORÇAMENTO!$X$15,ROW(AO195)-ROW(AO$15),0),0)</f>
        <v>0</v>
      </c>
      <c r="AP195" s="632">
        <f ca="1">IF(AND($D195="Serviço",AP$12&lt;&gt;0,$H195&gt;0,OR(AUTOEVENTO&lt;&gt;"manual",$M195&lt;&gt;1)),ROUND(OFFSET($P195,0,AP$13),15-13*ORÇAMENTO!$AF$7)/$H195*OFFSET(ORÇAMENTO!$X$15,ROW(AP195)-ROW(AP$15),0),0)</f>
        <v>0</v>
      </c>
      <c r="AQ195" s="632">
        <f ca="1">IF(AND($D195="Serviço",AQ$12&lt;&gt;0,$H195&gt;0,OR(AUTOEVENTO&lt;&gt;"manual",$M195&lt;&gt;1)),ROUND(OFFSET($P195,0,AQ$13),15-13*ORÇAMENTO!$AF$7)/$H195*OFFSET(ORÇAMENTO!$X$15,ROW(AQ195)-ROW(AQ$15),0),0)</f>
        <v>0</v>
      </c>
      <c r="AR195" s="632">
        <f ca="1">IF(AND($D195="Serviço",AR$12&lt;&gt;0,$H195&gt;0,OR(AUTOEVENTO&lt;&gt;"manual",$M195&lt;&gt;1)),ROUND(OFFSET($P195,0,AR$13),15-13*ORÇAMENTO!$AF$7)/$H195*OFFSET(ORÇAMENTO!$X$15,ROW(AR195)-ROW(AR$15),0),0)</f>
        <v>0</v>
      </c>
      <c r="AS195" s="633">
        <f ca="1">IF(AND($D195="Serviço",AS$12&lt;&gt;0,$H195&gt;0,OR(AUTOEVENTO&lt;&gt;"manual",$M195&lt;&gt;1)),ROUND(OFFSET($P195,0,AS$13),15-13*ORÇAMENTO!$AF$7)/$H195*OFFSET(ORÇAMENTO!$X$15,ROW(AS195)-ROW(AS$15),0),0)</f>
        <v>0</v>
      </c>
      <c r="AT195" s="632">
        <f ca="1">IF(AND($D195="Serviço",AT$12&lt;&gt;0,$H195&gt;0,OR(AUTOEVENTO&lt;&gt;"manual",$M195&lt;&gt;1)),ROUND(OFFSET($P195,0,AT$13),15-13*ORÇAMENTO!$AF$7)/$H195*OFFSET(ORÇAMENTO!$X$15,ROW(AT195)-ROW(AT$15),0),0)</f>
        <v>0</v>
      </c>
      <c r="AU195" s="632">
        <f ca="1">IF(AND($D195="Serviço",AU$12&lt;&gt;0,$H195&gt;0,OR(AUTOEVENTO&lt;&gt;"manual",$M195&lt;&gt;1)),ROUND(OFFSET($P195,0,AU$13),15-13*ORÇAMENTO!$AF$7)/$H195*OFFSET(ORÇAMENTO!$X$15,ROW(AU195)-ROW(AU$15),0),0)</f>
        <v>0</v>
      </c>
      <c r="AV195" s="632">
        <f ca="1">IF(AND($D195="Serviço",AV$12&lt;&gt;0,$H195&gt;0,OR(AUTOEVENTO&lt;&gt;"manual",$M195&lt;&gt;1)),ROUND(OFFSET($P195,0,AV$13),15-13*ORÇAMENTO!$AF$7)/$H195*OFFSET(ORÇAMENTO!$X$15,ROW(AV195)-ROW(AV$15),0),0)</f>
        <v>0</v>
      </c>
      <c r="AW195" s="632">
        <f ca="1">IF(AND($D195="Serviço",AW$12&lt;&gt;0,$H195&gt;0,OR(AUTOEVENTO&lt;&gt;"manual",$M195&lt;&gt;1)),ROUND(OFFSET($P195,0,AW$13),15-13*ORÇAMENTO!$AF$7)/$H195*OFFSET(ORÇAMENTO!$X$15,ROW(AW195)-ROW(AW$15),0),0)</f>
        <v>0</v>
      </c>
      <c r="AX195" s="632">
        <f ca="1">IF(AND($D195="Serviço",AX$12&lt;&gt;0,$H195&gt;0,OR(AUTOEVENTO&lt;&gt;"manual",$M195&lt;&gt;1)),ROUND(OFFSET($P195,0,AX$13),15-13*ORÇAMENTO!$AF$7)/$H195*OFFSET(ORÇAMENTO!$X$15,ROW(AX195)-ROW(AX$15),0),0)</f>
        <v>0</v>
      </c>
      <c r="AY195" s="632">
        <f ca="1">IF(AND($D195="Serviço",AY$12&lt;&gt;0,$H195&gt;0,OR(AUTOEVENTO&lt;&gt;"manual",$M195&lt;&gt;1)),ROUND(OFFSET($P195,0,AY$13),15-13*ORÇAMENTO!$AF$7)/$H195*OFFSET(ORÇAMENTO!$X$15,ROW(AY195)-ROW(AY$15),0),0)</f>
        <v>0</v>
      </c>
      <c r="AZ195" s="632">
        <f ca="1">IF(AND($D195="Serviço",AZ$12&lt;&gt;0,$H195&gt;0,OR(AUTOEVENTO&lt;&gt;"manual",$M195&lt;&gt;1)),ROUND(OFFSET($P195,0,AZ$13),15-13*ORÇAMENTO!$AF$7)/$H195*OFFSET(ORÇAMENTO!$X$15,ROW(AZ195)-ROW(AZ$15),0),0)</f>
        <v>0</v>
      </c>
      <c r="BA195" s="633">
        <f ca="1">IF(AND($D195="Serviço",BA$12&lt;&gt;0,$H195&gt;0,OR(AUTOEVENTO&lt;&gt;"manual",$M195&lt;&gt;1)),ROUND(OFFSET($P195,0,BA$13),15-13*ORÇAMENTO!$AF$7)/$H195*OFFSET(ORÇAMENTO!$X$15,ROW(BA195)-ROW(BA$15),0),0)</f>
        <v>0</v>
      </c>
      <c r="BC195" s="215">
        <f ca="1">IF($D195&lt;&gt;"Serviço",0,IF(AND(AUTOEVENTO="Manual",$M195=1),0,IF(OFFSET(CRONOPLE!$F$14,$M195,BC$13)="",10^12,OFFSET(CRONOPLE!$F$14,$M195,BC$13))))</f>
        <v>1000000000000</v>
      </c>
      <c r="BD195" s="215">
        <f ca="1">IF($D195&lt;&gt;"Serviço",0,IF(AND(AUTOEVENTO="Manual",$M195=1),0,IF(OFFSET(CRONOPLE!$F$14,$M195,BD$13)="",10^12,OFFSET(CRONOPLE!$F$14,$M195,BD$13))))</f>
        <v>1000000000000</v>
      </c>
      <c r="BE195" s="215">
        <f ca="1">IF($D195&lt;&gt;"Serviço",0,IF(AND(AUTOEVENTO="Manual",$M195=1),0,IF(OFFSET(CRONOPLE!$F$14,$M195,BE$13)="",10^12,OFFSET(CRONOPLE!$F$14,$M195,BE$13))))</f>
        <v>1000000000000</v>
      </c>
      <c r="BF195" s="215">
        <f ca="1">IF($D195&lt;&gt;"Serviço",0,IF(AND(AUTOEVENTO="Manual",$M195=1),0,IF(OFFSET(CRONOPLE!$F$14,$M195,BF$13)="",10^12,OFFSET(CRONOPLE!$F$14,$M195,BF$13))))</f>
        <v>1000000000000</v>
      </c>
      <c r="BG195" s="215">
        <f ca="1">IF($D195&lt;&gt;"Serviço",0,IF(AND(AUTOEVENTO="Manual",$M195=1),0,IF(OFFSET(CRONOPLE!$F$14,$M195,BG$13)="",10^12,OFFSET(CRONOPLE!$F$14,$M195,BG$13))))</f>
        <v>1000000000000</v>
      </c>
      <c r="BH195" s="215">
        <f ca="1">IF($D195&lt;&gt;"Serviço",0,IF(AND(AUTOEVENTO="Manual",$M195=1),0,IF(OFFSET(CRONOPLE!$F$14,$M195,BH$13)="",10^12,OFFSET(CRONOPLE!$F$14,$M195,BH$13))))</f>
        <v>1000000000000</v>
      </c>
      <c r="BI195" s="215">
        <f ca="1">IF($D195&lt;&gt;"Serviço",0,IF(AND(AUTOEVENTO="Manual",$M195=1),0,IF(OFFSET(CRONOPLE!$F$14,$M195,BI$13)="",10^12,OFFSET(CRONOPLE!$F$14,$M195,BI$13))))</f>
        <v>1000000000000</v>
      </c>
      <c r="BJ195" s="215">
        <f ca="1">IF($D195&lt;&gt;"Serviço",0,IF(AND(AUTOEVENTO="Manual",$M195=1),0,IF(OFFSET(CRONOPLE!$F$14,$M195,BJ$13)="",10^12,OFFSET(CRONOPLE!$F$14,$M195,BJ$13))))</f>
        <v>1000000000000</v>
      </c>
      <c r="BK195" s="215">
        <f ca="1">IF($D195&lt;&gt;"Serviço",0,IF(AND(AUTOEVENTO="Manual",$M195=1),0,IF(OFFSET(CRONOPLE!$F$14,$M195,BK$13)="",10^12,OFFSET(CRONOPLE!$F$14,$M195,BK$13))))</f>
        <v>1000000000000</v>
      </c>
      <c r="BL195" s="215">
        <f ca="1">IF($D195&lt;&gt;"Serviço",0,IF(AND(AUTOEVENTO="Manual",$M195=1),0,IF(OFFSET(CRONOPLE!$F$14,$M195,BL$13)="",10^12,OFFSET(CRONOPLE!$F$14,$M195,BL$13))))</f>
        <v>1000000000000</v>
      </c>
      <c r="BM195" s="215">
        <f ca="1">IF($D195&lt;&gt;"Serviço",0,IF(AND(AUTOEVENTO="Manual",$M195=1),0,IF(OFFSET(CRONOPLE!$F$14,$M195,BM$13)="",10^12,OFFSET(CRONOPLE!$F$14,$M195,BM$13))))</f>
        <v>1000000000000</v>
      </c>
      <c r="BN195" s="215">
        <f ca="1">IF($D195&lt;&gt;"Serviço",0,IF(AND(AUTOEVENTO="Manual",$M195=1),0,IF(OFFSET(CRONOPLE!$F$14,$M195,BN$13)="",10^12,OFFSET(CRONOPLE!$F$14,$M195,BN$13))))</f>
        <v>1000000000000</v>
      </c>
      <c r="BO195" s="215">
        <f ca="1">IF($D195&lt;&gt;"Serviço",0,IF(AND(AUTOEVENTO="Manual",$M195=1),0,IF(OFFSET(CRONOPLE!$F$14,$M195,BO$13)="",10^12,OFFSET(CRONOPLE!$F$14,$M195,BO$13))))</f>
        <v>1000000000000</v>
      </c>
      <c r="BP195" s="215">
        <f ca="1">IF($D195&lt;&gt;"Serviço",0,IF(AND(AUTOEVENTO="Manual",$M195=1),0,IF(OFFSET(CRONOPLE!$F$14,$M195,BP$13)="",10^12,OFFSET(CRONOPLE!$F$14,$M195,BP$13))))</f>
        <v>1000000000000</v>
      </c>
      <c r="BQ195" s="215">
        <f ca="1">IF($D195&lt;&gt;"Serviço",0,IF(AND(AUTOEVENTO="Manual",$M195=1),0,IF(OFFSET(CRONOPLE!$F$14,$M195,BQ$13)="",10^12,OFFSET(CRONOPLE!$F$14,$M195,BQ$13))))</f>
        <v>1000000000000</v>
      </c>
      <c r="BR195" s="215">
        <f ca="1">IF($D195&lt;&gt;"Serviço",0,IF(AND(AUTOEVENTO="Manual",$M195=1),0,IF(OFFSET(CRONOPLE!$F$14,$M195,BR$13)="",10^12,OFFSET(CRONOPLE!$F$14,$M195,BR$13))))</f>
        <v>1000000000000</v>
      </c>
      <c r="BS195" s="215">
        <f ca="1">IF($D195&lt;&gt;"Serviço",0,IF(AND(AUTOEVENTO="Manual",$M195=1),0,IF(OFFSET(CRONOPLE!$F$14,$M195,BS$13)="",10^12,OFFSET(CRONOPLE!$F$14,$M195,BS$13))))</f>
        <v>1000000000000</v>
      </c>
      <c r="BT195" s="215">
        <f ca="1">IF($D195&lt;&gt;"Serviço",0,IF(AND(AUTOEVENTO="Manual",$M195=1),0,IF(OFFSET(CRONOPLE!$F$14,$M195,BT$13)="",10^12,OFFSET(CRONOPLE!$F$14,$M195,BT$13))))</f>
        <v>1000000000000</v>
      </c>
      <c r="BV195" s="216">
        <f ca="1">IF($D195&lt;&gt;"Serviço",0,IF(OR(AND(AUTOEVENTO="Manual",$M195=1),$M195&gt;(ROW(PLE.lastrow)-ROW(PLE.firstrow))),0,IF(OFFSET(PLE!$G$14,$M195,BV$13)="",10^12,OFFSET(PLE!$G$14,$M195,BV$13))))</f>
        <v>1000000000000</v>
      </c>
      <c r="BW195" s="216">
        <f ca="1">IF($D195&lt;&gt;"Serviço",0,IF(OR(AND(AUTOEVENTO="Manual",$M195=1),$M195&gt;(ROW(PLE.lastrow)-ROW(PLE.firstrow))),0,IF(OFFSET(PLE!$G$14,$M195,BW$13)="",10^12,OFFSET(PLE!$G$14,$M195,BW$13))))</f>
        <v>1000000000000</v>
      </c>
      <c r="BX195" s="216">
        <f ca="1">IF($D195&lt;&gt;"Serviço",0,IF(OR(AND(AUTOEVENTO="Manual",$M195=1),$M195&gt;(ROW(PLE.lastrow)-ROW(PLE.firstrow))),0,IF(OFFSET(PLE!$G$14,$M195,BX$13)="",10^12,OFFSET(PLE!$G$14,$M195,BX$13))))</f>
        <v>1000000000000</v>
      </c>
      <c r="BY195" s="216">
        <f ca="1">IF($D195&lt;&gt;"Serviço",0,IF(OR(AND(AUTOEVENTO="Manual",$M195=1),$M195&gt;(ROW(PLE.lastrow)-ROW(PLE.firstrow))),0,IF(OFFSET(PLE!$G$14,$M195,BY$13)="",10^12,OFFSET(PLE!$G$14,$M195,BY$13))))</f>
        <v>1000000000000</v>
      </c>
      <c r="BZ195" s="216">
        <f ca="1">IF($D195&lt;&gt;"Serviço",0,IF(OR(AND(AUTOEVENTO="Manual",$M195=1),$M195&gt;(ROW(PLE.lastrow)-ROW(PLE.firstrow))),0,IF(OFFSET(PLE!$G$14,$M195,BZ$13)="",10^12,OFFSET(PLE!$G$14,$M195,BZ$13))))</f>
        <v>1000000000000</v>
      </c>
      <c r="CA195" s="216">
        <f ca="1">IF($D195&lt;&gt;"Serviço",0,IF(OR(AND(AUTOEVENTO="Manual",$M195=1),$M195&gt;(ROW(PLE.lastrow)-ROW(PLE.firstrow))),0,IF(OFFSET(PLE!$G$14,$M195,CA$13)="",10^12,OFFSET(PLE!$G$14,$M195,CA$13))))</f>
        <v>1000000000000</v>
      </c>
      <c r="CB195" s="216">
        <f ca="1">IF($D195&lt;&gt;"Serviço",0,IF(OR(AND(AUTOEVENTO="Manual",$M195=1),$M195&gt;(ROW(PLE.lastrow)-ROW(PLE.firstrow))),0,IF(OFFSET(PLE!$G$14,$M195,CB$13)="",10^12,OFFSET(PLE!$G$14,$M195,CB$13))))</f>
        <v>1000000000000</v>
      </c>
      <c r="CC195" s="216">
        <f ca="1">IF($D195&lt;&gt;"Serviço",0,IF(OR(AND(AUTOEVENTO="Manual",$M195=1),$M195&gt;(ROW(PLE.lastrow)-ROW(PLE.firstrow))),0,IF(OFFSET(PLE!$G$14,$M195,CC$13)="",10^12,OFFSET(PLE!$G$14,$M195,CC$13))))</f>
        <v>1000000000000</v>
      </c>
      <c r="CD195" s="216">
        <f ca="1">IF($D195&lt;&gt;"Serviço",0,IF(OR(AND(AUTOEVENTO="Manual",$M195=1),$M195&gt;(ROW(PLE.lastrow)-ROW(PLE.firstrow))),0,IF(OFFSET(PLE!$G$14,$M195,CD$13)="",10^12,OFFSET(PLE!$G$14,$M195,CD$13))))</f>
        <v>1000000000000</v>
      </c>
      <c r="CE195" s="216">
        <f ca="1">IF($D195&lt;&gt;"Serviço",0,IF(OR(AND(AUTOEVENTO="Manual",$M195=1),$M195&gt;(ROW(PLE.lastrow)-ROW(PLE.firstrow))),0,IF(OFFSET(PLE!$G$14,$M195,CE$13)="",10^12,OFFSET(PLE!$G$14,$M195,CE$13))))</f>
        <v>1000000000000</v>
      </c>
      <c r="CF195" s="216">
        <f ca="1">IF($D195&lt;&gt;"Serviço",0,IF(OR(AND(AUTOEVENTO="Manual",$M195=1),$M195&gt;(ROW(PLE.lastrow)-ROW(PLE.firstrow))),0,IF(OFFSET(PLE!$G$14,$M195,CF$13)="",10^12,OFFSET(PLE!$G$14,$M195,CF$13))))</f>
        <v>1000000000000</v>
      </c>
      <c r="CG195" s="216">
        <f ca="1">IF($D195&lt;&gt;"Serviço",0,IF(OR(AND(AUTOEVENTO="Manual",$M195=1),$M195&gt;(ROW(PLE.lastrow)-ROW(PLE.firstrow))),0,IF(OFFSET(PLE!$G$14,$M195,CG$13)="",10^12,OFFSET(PLE!$G$14,$M195,CG$13))))</f>
        <v>1000000000000</v>
      </c>
      <c r="CH195" s="216">
        <f ca="1">IF($D195&lt;&gt;"Serviço",0,IF(OR(AND(AUTOEVENTO="Manual",$M195=1),$M195&gt;(ROW(PLE.lastrow)-ROW(PLE.firstrow))),0,IF(OFFSET(PLE!$G$14,$M195,CH$13)="",10^12,OFFSET(PLE!$G$14,$M195,CH$13))))</f>
        <v>1000000000000</v>
      </c>
      <c r="CI195" s="216">
        <f ca="1">IF($D195&lt;&gt;"Serviço",0,IF(OR(AND(AUTOEVENTO="Manual",$M195=1),$M195&gt;(ROW(PLE.lastrow)-ROW(PLE.firstrow))),0,IF(OFFSET(PLE!$G$14,$M195,CI$13)="",10^12,OFFSET(PLE!$G$14,$M195,CI$13))))</f>
        <v>1000000000000</v>
      </c>
      <c r="CJ195" s="216">
        <f ca="1">IF($D195&lt;&gt;"Serviço",0,IF(OR(AND(AUTOEVENTO="Manual",$M195=1),$M195&gt;(ROW(PLE.lastrow)-ROW(PLE.firstrow))),0,IF(OFFSET(PLE!$G$14,$M195,CJ$13)="",10^12,OFFSET(PLE!$G$14,$M195,CJ$13))))</f>
        <v>1000000000000</v>
      </c>
      <c r="CK195" s="216">
        <f ca="1">IF($D195&lt;&gt;"Serviço",0,IF(OR(AND(AUTOEVENTO="Manual",$M195=1),$M195&gt;(ROW(PLE.lastrow)-ROW(PLE.firstrow))),0,IF(OFFSET(PLE!$G$14,$M195,CK$13)="",10^12,OFFSET(PLE!$G$14,$M195,CK$13))))</f>
        <v>1000000000000</v>
      </c>
      <c r="CL195" s="216">
        <f ca="1">IF($D195&lt;&gt;"Serviço",0,IF(OR(AND(AUTOEVENTO="Manual",$M195=1),$M195&gt;(ROW(PLE.lastrow)-ROW(PLE.firstrow))),0,IF(OFFSET(PLE!$G$14,$M195,CL$13)="",10^12,OFFSET(PLE!$G$14,$M195,CL$13))))</f>
        <v>1000000000000</v>
      </c>
      <c r="CM195" s="216">
        <f ca="1">IF($D195&lt;&gt;"Serviço",0,IF(OR(AND(AUTOEVENTO="Manual",$M195=1),$M195&gt;(ROW(PLE.lastrow)-ROW(PLE.firstrow))),0,IF(OFFSET(PLE!$G$14,$M195,CM$13)="",10^12,OFFSET(PLE!$G$14,$M195,CM$13))))</f>
        <v>1000000000000</v>
      </c>
    </row>
    <row r="196" spans="1:91" ht="13.2" x14ac:dyDescent="0.25">
      <c r="A196" s="9">
        <f t="shared" ca="1" si="11"/>
        <v>0</v>
      </c>
      <c r="B196" s="9" t="str">
        <f ca="1">OFFSET(ORÇAMENTO!C$15,ROW(B196)-ROW(B$15),0)</f>
        <v>S</v>
      </c>
      <c r="C196" s="9" t="str">
        <f ca="1">OFFSET(ORÇAMENTO!L$15,ROW(C196)-ROW(C$15),0)</f>
        <v/>
      </c>
      <c r="D196" s="145" t="str">
        <f ca="1">OFFSET(ORÇAMENTO!N$15,ROW(D196)-ROW(D$15),0)</f>
        <v>Serviço</v>
      </c>
      <c r="E196" s="205" t="str">
        <f ca="1">OFFSET(ORÇAMENTO!O$15,ROW(E196)-ROW(E$15),0)</f>
        <v>-</v>
      </c>
      <c r="F196" s="206" t="str">
        <f ca="1">OFFSET(ORÇAMENTO!R$15,ROW(F196)-ROW(F$15),0)</f>
        <v>(abra o arquivo 'Referência 05-2024.xls)</v>
      </c>
      <c r="G196" s="207" t="str">
        <f ca="1">IF($D196&lt;&gt;"Serviço","",OFFSET(ORÇAMENTO!S$15,ROW(G196)-ROW(G$15),0))</f>
        <v>-</v>
      </c>
      <c r="H196" s="151">
        <f ca="1">IF($D196&lt;&gt;"Serviço",0,IF(ACOMPANHAMENTO="BM",ROUND(OFFSET(ORÇAMENTO!AJ$15,ROW(H196)-ROW(H$15),0),15-13*ORÇAMENTO!$AF$7),SUMPRODUCT(($Q$12:$AI$12&lt;&gt;"")*ROUND($Q196:$AI196,15-13*ORÇAMENTO!$AF$7))))</f>
        <v>5.74</v>
      </c>
      <c r="I196" s="650"/>
      <c r="K196" s="208"/>
      <c r="L196" s="209" t="s">
        <v>257</v>
      </c>
      <c r="M196" s="210">
        <f ca="1">IF($D196&lt;&gt;"Serviço","",IF(AUTOEVENTO="manual",$A196,IF(ISERROR(MATCH($A196,$A$15:OFFSET($A196,-1,0),0)),MAX($M$15:OFFSET(M196,-1,0))+1,INDEX($M$15:OFFSET(M196,-1,0),MATCH($A196,$A$15:OFFSET($A196,-1,0),0)))))</f>
        <v>0</v>
      </c>
      <c r="N196" s="211" t="str">
        <f ca="1">IF($D196&lt;&gt;"Serviço","",IF(AUTOEVENTO="Manual",IF($A196=0,"&lt;-- defina o número do agrupador",OFFSET(EVENTOS!$D$14,$A196,0)),OFFSET($F$15,$A196,0)))</f>
        <v>&lt;-- defina o número do agrupador</v>
      </c>
      <c r="O196" s="212"/>
      <c r="Q196" s="212"/>
      <c r="R196" s="213"/>
      <c r="S196" s="213"/>
      <c r="T196" s="213"/>
      <c r="U196" s="213"/>
      <c r="V196" s="213"/>
      <c r="W196" s="213"/>
      <c r="X196" s="213"/>
      <c r="Y196" s="213"/>
      <c r="Z196" s="214"/>
      <c r="AA196" s="213"/>
      <c r="AB196" s="213"/>
      <c r="AC196" s="213"/>
      <c r="AD196" s="213"/>
      <c r="AE196" s="213"/>
      <c r="AF196" s="213"/>
      <c r="AG196" s="213"/>
      <c r="AH196" s="214"/>
      <c r="AJ196" s="631">
        <f ca="1">IF(AND($D196="Serviço",AJ$12&lt;&gt;0,$H196&gt;0,OR(AUTOEVENTO&lt;&gt;"manual",$M196&lt;&gt;1)),ROUND(OFFSET($P196,0,AJ$13),15-13*ORÇAMENTO!$AF$7)/$H196*OFFSET(ORÇAMENTO!$X$15,ROW(AJ196)-ROW(AJ$15),0),0)</f>
        <v>0</v>
      </c>
      <c r="AK196" s="632">
        <f ca="1">IF(AND($D196="Serviço",AK$12&lt;&gt;0,$H196&gt;0,OR(AUTOEVENTO&lt;&gt;"manual",$M196&lt;&gt;1)),ROUND(OFFSET($P196,0,AK$13),15-13*ORÇAMENTO!$AF$7)/$H196*OFFSET(ORÇAMENTO!$X$15,ROW(AK196)-ROW(AK$15),0),0)</f>
        <v>0</v>
      </c>
      <c r="AL196" s="632">
        <f ca="1">IF(AND($D196="Serviço",AL$12&lt;&gt;0,$H196&gt;0,OR(AUTOEVENTO&lt;&gt;"manual",$M196&lt;&gt;1)),ROUND(OFFSET($P196,0,AL$13),15-13*ORÇAMENTO!$AF$7)/$H196*OFFSET(ORÇAMENTO!$X$15,ROW(AL196)-ROW(AL$15),0),0)</f>
        <v>0</v>
      </c>
      <c r="AM196" s="632">
        <f ca="1">IF(AND($D196="Serviço",AM$12&lt;&gt;0,$H196&gt;0,OR(AUTOEVENTO&lt;&gt;"manual",$M196&lt;&gt;1)),ROUND(OFFSET($P196,0,AM$13),15-13*ORÇAMENTO!$AF$7)/$H196*OFFSET(ORÇAMENTO!$X$15,ROW(AM196)-ROW(AM$15),0),0)</f>
        <v>0</v>
      </c>
      <c r="AN196" s="632">
        <f ca="1">IF(AND($D196="Serviço",AN$12&lt;&gt;0,$H196&gt;0,OR(AUTOEVENTO&lt;&gt;"manual",$M196&lt;&gt;1)),ROUND(OFFSET($P196,0,AN$13),15-13*ORÇAMENTO!$AF$7)/$H196*OFFSET(ORÇAMENTO!$X$15,ROW(AN196)-ROW(AN$15),0),0)</f>
        <v>0</v>
      </c>
      <c r="AO196" s="632">
        <f ca="1">IF(AND($D196="Serviço",AO$12&lt;&gt;0,$H196&gt;0,OR(AUTOEVENTO&lt;&gt;"manual",$M196&lt;&gt;1)),ROUND(OFFSET($P196,0,AO$13),15-13*ORÇAMENTO!$AF$7)/$H196*OFFSET(ORÇAMENTO!$X$15,ROW(AO196)-ROW(AO$15),0),0)</f>
        <v>0</v>
      </c>
      <c r="AP196" s="632">
        <f ca="1">IF(AND($D196="Serviço",AP$12&lt;&gt;0,$H196&gt;0,OR(AUTOEVENTO&lt;&gt;"manual",$M196&lt;&gt;1)),ROUND(OFFSET($P196,0,AP$13),15-13*ORÇAMENTO!$AF$7)/$H196*OFFSET(ORÇAMENTO!$X$15,ROW(AP196)-ROW(AP$15),0),0)</f>
        <v>0</v>
      </c>
      <c r="AQ196" s="632">
        <f ca="1">IF(AND($D196="Serviço",AQ$12&lt;&gt;0,$H196&gt;0,OR(AUTOEVENTO&lt;&gt;"manual",$M196&lt;&gt;1)),ROUND(OFFSET($P196,0,AQ$13),15-13*ORÇAMENTO!$AF$7)/$H196*OFFSET(ORÇAMENTO!$X$15,ROW(AQ196)-ROW(AQ$15),0),0)</f>
        <v>0</v>
      </c>
      <c r="AR196" s="632">
        <f ca="1">IF(AND($D196="Serviço",AR$12&lt;&gt;0,$H196&gt;0,OR(AUTOEVENTO&lt;&gt;"manual",$M196&lt;&gt;1)),ROUND(OFFSET($P196,0,AR$13),15-13*ORÇAMENTO!$AF$7)/$H196*OFFSET(ORÇAMENTO!$X$15,ROW(AR196)-ROW(AR$15),0),0)</f>
        <v>0</v>
      </c>
      <c r="AS196" s="633">
        <f ca="1">IF(AND($D196="Serviço",AS$12&lt;&gt;0,$H196&gt;0,OR(AUTOEVENTO&lt;&gt;"manual",$M196&lt;&gt;1)),ROUND(OFFSET($P196,0,AS$13),15-13*ORÇAMENTO!$AF$7)/$H196*OFFSET(ORÇAMENTO!$X$15,ROW(AS196)-ROW(AS$15),0),0)</f>
        <v>0</v>
      </c>
      <c r="AT196" s="632">
        <f ca="1">IF(AND($D196="Serviço",AT$12&lt;&gt;0,$H196&gt;0,OR(AUTOEVENTO&lt;&gt;"manual",$M196&lt;&gt;1)),ROUND(OFFSET($P196,0,AT$13),15-13*ORÇAMENTO!$AF$7)/$H196*OFFSET(ORÇAMENTO!$X$15,ROW(AT196)-ROW(AT$15),0),0)</f>
        <v>0</v>
      </c>
      <c r="AU196" s="632">
        <f ca="1">IF(AND($D196="Serviço",AU$12&lt;&gt;0,$H196&gt;0,OR(AUTOEVENTO&lt;&gt;"manual",$M196&lt;&gt;1)),ROUND(OFFSET($P196,0,AU$13),15-13*ORÇAMENTO!$AF$7)/$H196*OFFSET(ORÇAMENTO!$X$15,ROW(AU196)-ROW(AU$15),0),0)</f>
        <v>0</v>
      </c>
      <c r="AV196" s="632">
        <f ca="1">IF(AND($D196="Serviço",AV$12&lt;&gt;0,$H196&gt;0,OR(AUTOEVENTO&lt;&gt;"manual",$M196&lt;&gt;1)),ROUND(OFFSET($P196,0,AV$13),15-13*ORÇAMENTO!$AF$7)/$H196*OFFSET(ORÇAMENTO!$X$15,ROW(AV196)-ROW(AV$15),0),0)</f>
        <v>0</v>
      </c>
      <c r="AW196" s="632">
        <f ca="1">IF(AND($D196="Serviço",AW$12&lt;&gt;0,$H196&gt;0,OR(AUTOEVENTO&lt;&gt;"manual",$M196&lt;&gt;1)),ROUND(OFFSET($P196,0,AW$13),15-13*ORÇAMENTO!$AF$7)/$H196*OFFSET(ORÇAMENTO!$X$15,ROW(AW196)-ROW(AW$15),0),0)</f>
        <v>0</v>
      </c>
      <c r="AX196" s="632">
        <f ca="1">IF(AND($D196="Serviço",AX$12&lt;&gt;0,$H196&gt;0,OR(AUTOEVENTO&lt;&gt;"manual",$M196&lt;&gt;1)),ROUND(OFFSET($P196,0,AX$13),15-13*ORÇAMENTO!$AF$7)/$H196*OFFSET(ORÇAMENTO!$X$15,ROW(AX196)-ROW(AX$15),0),0)</f>
        <v>0</v>
      </c>
      <c r="AY196" s="632">
        <f ca="1">IF(AND($D196="Serviço",AY$12&lt;&gt;0,$H196&gt;0,OR(AUTOEVENTO&lt;&gt;"manual",$M196&lt;&gt;1)),ROUND(OFFSET($P196,0,AY$13),15-13*ORÇAMENTO!$AF$7)/$H196*OFFSET(ORÇAMENTO!$X$15,ROW(AY196)-ROW(AY$15),0),0)</f>
        <v>0</v>
      </c>
      <c r="AZ196" s="632">
        <f ca="1">IF(AND($D196="Serviço",AZ$12&lt;&gt;0,$H196&gt;0,OR(AUTOEVENTO&lt;&gt;"manual",$M196&lt;&gt;1)),ROUND(OFFSET($P196,0,AZ$13),15-13*ORÇAMENTO!$AF$7)/$H196*OFFSET(ORÇAMENTO!$X$15,ROW(AZ196)-ROW(AZ$15),0),0)</f>
        <v>0</v>
      </c>
      <c r="BA196" s="633">
        <f ca="1">IF(AND($D196="Serviço",BA$12&lt;&gt;0,$H196&gt;0,OR(AUTOEVENTO&lt;&gt;"manual",$M196&lt;&gt;1)),ROUND(OFFSET($P196,0,BA$13),15-13*ORÇAMENTO!$AF$7)/$H196*OFFSET(ORÇAMENTO!$X$15,ROW(BA196)-ROW(BA$15),0),0)</f>
        <v>0</v>
      </c>
      <c r="BC196" s="215">
        <f ca="1">IF($D196&lt;&gt;"Serviço",0,IF(AND(AUTOEVENTO="Manual",$M196=1),0,IF(OFFSET(CRONOPLE!$F$14,$M196,BC$13)="",10^12,OFFSET(CRONOPLE!$F$14,$M196,BC$13))))</f>
        <v>1000000000000</v>
      </c>
      <c r="BD196" s="215">
        <f ca="1">IF($D196&lt;&gt;"Serviço",0,IF(AND(AUTOEVENTO="Manual",$M196=1),0,IF(OFFSET(CRONOPLE!$F$14,$M196,BD$13)="",10^12,OFFSET(CRONOPLE!$F$14,$M196,BD$13))))</f>
        <v>1000000000000</v>
      </c>
      <c r="BE196" s="215">
        <f ca="1">IF($D196&lt;&gt;"Serviço",0,IF(AND(AUTOEVENTO="Manual",$M196=1),0,IF(OFFSET(CRONOPLE!$F$14,$M196,BE$13)="",10^12,OFFSET(CRONOPLE!$F$14,$M196,BE$13))))</f>
        <v>1000000000000</v>
      </c>
      <c r="BF196" s="215">
        <f ca="1">IF($D196&lt;&gt;"Serviço",0,IF(AND(AUTOEVENTO="Manual",$M196=1),0,IF(OFFSET(CRONOPLE!$F$14,$M196,BF$13)="",10^12,OFFSET(CRONOPLE!$F$14,$M196,BF$13))))</f>
        <v>1000000000000</v>
      </c>
      <c r="BG196" s="215">
        <f ca="1">IF($D196&lt;&gt;"Serviço",0,IF(AND(AUTOEVENTO="Manual",$M196=1),0,IF(OFFSET(CRONOPLE!$F$14,$M196,BG$13)="",10^12,OFFSET(CRONOPLE!$F$14,$M196,BG$13))))</f>
        <v>1000000000000</v>
      </c>
      <c r="BH196" s="215">
        <f ca="1">IF($D196&lt;&gt;"Serviço",0,IF(AND(AUTOEVENTO="Manual",$M196=1),0,IF(OFFSET(CRONOPLE!$F$14,$M196,BH$13)="",10^12,OFFSET(CRONOPLE!$F$14,$M196,BH$13))))</f>
        <v>1000000000000</v>
      </c>
      <c r="BI196" s="215">
        <f ca="1">IF($D196&lt;&gt;"Serviço",0,IF(AND(AUTOEVENTO="Manual",$M196=1),0,IF(OFFSET(CRONOPLE!$F$14,$M196,BI$13)="",10^12,OFFSET(CRONOPLE!$F$14,$M196,BI$13))))</f>
        <v>1000000000000</v>
      </c>
      <c r="BJ196" s="215">
        <f ca="1">IF($D196&lt;&gt;"Serviço",0,IF(AND(AUTOEVENTO="Manual",$M196=1),0,IF(OFFSET(CRONOPLE!$F$14,$M196,BJ$13)="",10^12,OFFSET(CRONOPLE!$F$14,$M196,BJ$13))))</f>
        <v>1000000000000</v>
      </c>
      <c r="BK196" s="215">
        <f ca="1">IF($D196&lt;&gt;"Serviço",0,IF(AND(AUTOEVENTO="Manual",$M196=1),0,IF(OFFSET(CRONOPLE!$F$14,$M196,BK$13)="",10^12,OFFSET(CRONOPLE!$F$14,$M196,BK$13))))</f>
        <v>1000000000000</v>
      </c>
      <c r="BL196" s="215">
        <f ca="1">IF($D196&lt;&gt;"Serviço",0,IF(AND(AUTOEVENTO="Manual",$M196=1),0,IF(OFFSET(CRONOPLE!$F$14,$M196,BL$13)="",10^12,OFFSET(CRONOPLE!$F$14,$M196,BL$13))))</f>
        <v>1000000000000</v>
      </c>
      <c r="BM196" s="215">
        <f ca="1">IF($D196&lt;&gt;"Serviço",0,IF(AND(AUTOEVENTO="Manual",$M196=1),0,IF(OFFSET(CRONOPLE!$F$14,$M196,BM$13)="",10^12,OFFSET(CRONOPLE!$F$14,$M196,BM$13))))</f>
        <v>1000000000000</v>
      </c>
      <c r="BN196" s="215">
        <f ca="1">IF($D196&lt;&gt;"Serviço",0,IF(AND(AUTOEVENTO="Manual",$M196=1),0,IF(OFFSET(CRONOPLE!$F$14,$M196,BN$13)="",10^12,OFFSET(CRONOPLE!$F$14,$M196,BN$13))))</f>
        <v>1000000000000</v>
      </c>
      <c r="BO196" s="215">
        <f ca="1">IF($D196&lt;&gt;"Serviço",0,IF(AND(AUTOEVENTO="Manual",$M196=1),0,IF(OFFSET(CRONOPLE!$F$14,$M196,BO$13)="",10^12,OFFSET(CRONOPLE!$F$14,$M196,BO$13))))</f>
        <v>1000000000000</v>
      </c>
      <c r="BP196" s="215">
        <f ca="1">IF($D196&lt;&gt;"Serviço",0,IF(AND(AUTOEVENTO="Manual",$M196=1),0,IF(OFFSET(CRONOPLE!$F$14,$M196,BP$13)="",10^12,OFFSET(CRONOPLE!$F$14,$M196,BP$13))))</f>
        <v>1000000000000</v>
      </c>
      <c r="BQ196" s="215">
        <f ca="1">IF($D196&lt;&gt;"Serviço",0,IF(AND(AUTOEVENTO="Manual",$M196=1),0,IF(OFFSET(CRONOPLE!$F$14,$M196,BQ$13)="",10^12,OFFSET(CRONOPLE!$F$14,$M196,BQ$13))))</f>
        <v>1000000000000</v>
      </c>
      <c r="BR196" s="215">
        <f ca="1">IF($D196&lt;&gt;"Serviço",0,IF(AND(AUTOEVENTO="Manual",$M196=1),0,IF(OFFSET(CRONOPLE!$F$14,$M196,BR$13)="",10^12,OFFSET(CRONOPLE!$F$14,$M196,BR$13))))</f>
        <v>1000000000000</v>
      </c>
      <c r="BS196" s="215">
        <f ca="1">IF($D196&lt;&gt;"Serviço",0,IF(AND(AUTOEVENTO="Manual",$M196=1),0,IF(OFFSET(CRONOPLE!$F$14,$M196,BS$13)="",10^12,OFFSET(CRONOPLE!$F$14,$M196,BS$13))))</f>
        <v>1000000000000</v>
      </c>
      <c r="BT196" s="215">
        <f ca="1">IF($D196&lt;&gt;"Serviço",0,IF(AND(AUTOEVENTO="Manual",$M196=1),0,IF(OFFSET(CRONOPLE!$F$14,$M196,BT$13)="",10^12,OFFSET(CRONOPLE!$F$14,$M196,BT$13))))</f>
        <v>1000000000000</v>
      </c>
      <c r="BV196" s="216">
        <f ca="1">IF($D196&lt;&gt;"Serviço",0,IF(OR(AND(AUTOEVENTO="Manual",$M196=1),$M196&gt;(ROW(PLE.lastrow)-ROW(PLE.firstrow))),0,IF(OFFSET(PLE!$G$14,$M196,BV$13)="",10^12,OFFSET(PLE!$G$14,$M196,BV$13))))</f>
        <v>1000000000000</v>
      </c>
      <c r="BW196" s="216">
        <f ca="1">IF($D196&lt;&gt;"Serviço",0,IF(OR(AND(AUTOEVENTO="Manual",$M196=1),$M196&gt;(ROW(PLE.lastrow)-ROW(PLE.firstrow))),0,IF(OFFSET(PLE!$G$14,$M196,BW$13)="",10^12,OFFSET(PLE!$G$14,$M196,BW$13))))</f>
        <v>1000000000000</v>
      </c>
      <c r="BX196" s="216">
        <f ca="1">IF($D196&lt;&gt;"Serviço",0,IF(OR(AND(AUTOEVENTO="Manual",$M196=1),$M196&gt;(ROW(PLE.lastrow)-ROW(PLE.firstrow))),0,IF(OFFSET(PLE!$G$14,$M196,BX$13)="",10^12,OFFSET(PLE!$G$14,$M196,BX$13))))</f>
        <v>1000000000000</v>
      </c>
      <c r="BY196" s="216">
        <f ca="1">IF($D196&lt;&gt;"Serviço",0,IF(OR(AND(AUTOEVENTO="Manual",$M196=1),$M196&gt;(ROW(PLE.lastrow)-ROW(PLE.firstrow))),0,IF(OFFSET(PLE!$G$14,$M196,BY$13)="",10^12,OFFSET(PLE!$G$14,$M196,BY$13))))</f>
        <v>1000000000000</v>
      </c>
      <c r="BZ196" s="216">
        <f ca="1">IF($D196&lt;&gt;"Serviço",0,IF(OR(AND(AUTOEVENTO="Manual",$M196=1),$M196&gt;(ROW(PLE.lastrow)-ROW(PLE.firstrow))),0,IF(OFFSET(PLE!$G$14,$M196,BZ$13)="",10^12,OFFSET(PLE!$G$14,$M196,BZ$13))))</f>
        <v>1000000000000</v>
      </c>
      <c r="CA196" s="216">
        <f ca="1">IF($D196&lt;&gt;"Serviço",0,IF(OR(AND(AUTOEVENTO="Manual",$M196=1),$M196&gt;(ROW(PLE.lastrow)-ROW(PLE.firstrow))),0,IF(OFFSET(PLE!$G$14,$M196,CA$13)="",10^12,OFFSET(PLE!$G$14,$M196,CA$13))))</f>
        <v>1000000000000</v>
      </c>
      <c r="CB196" s="216">
        <f ca="1">IF($D196&lt;&gt;"Serviço",0,IF(OR(AND(AUTOEVENTO="Manual",$M196=1),$M196&gt;(ROW(PLE.lastrow)-ROW(PLE.firstrow))),0,IF(OFFSET(PLE!$G$14,$M196,CB$13)="",10^12,OFFSET(PLE!$G$14,$M196,CB$13))))</f>
        <v>1000000000000</v>
      </c>
      <c r="CC196" s="216">
        <f ca="1">IF($D196&lt;&gt;"Serviço",0,IF(OR(AND(AUTOEVENTO="Manual",$M196=1),$M196&gt;(ROW(PLE.lastrow)-ROW(PLE.firstrow))),0,IF(OFFSET(PLE!$G$14,$M196,CC$13)="",10^12,OFFSET(PLE!$G$14,$M196,CC$13))))</f>
        <v>1000000000000</v>
      </c>
      <c r="CD196" s="216">
        <f ca="1">IF($D196&lt;&gt;"Serviço",0,IF(OR(AND(AUTOEVENTO="Manual",$M196=1),$M196&gt;(ROW(PLE.lastrow)-ROW(PLE.firstrow))),0,IF(OFFSET(PLE!$G$14,$M196,CD$13)="",10^12,OFFSET(PLE!$G$14,$M196,CD$13))))</f>
        <v>1000000000000</v>
      </c>
      <c r="CE196" s="216">
        <f ca="1">IF($D196&lt;&gt;"Serviço",0,IF(OR(AND(AUTOEVENTO="Manual",$M196=1),$M196&gt;(ROW(PLE.lastrow)-ROW(PLE.firstrow))),0,IF(OFFSET(PLE!$G$14,$M196,CE$13)="",10^12,OFFSET(PLE!$G$14,$M196,CE$13))))</f>
        <v>1000000000000</v>
      </c>
      <c r="CF196" s="216">
        <f ca="1">IF($D196&lt;&gt;"Serviço",0,IF(OR(AND(AUTOEVENTO="Manual",$M196=1),$M196&gt;(ROW(PLE.lastrow)-ROW(PLE.firstrow))),0,IF(OFFSET(PLE!$G$14,$M196,CF$13)="",10^12,OFFSET(PLE!$G$14,$M196,CF$13))))</f>
        <v>1000000000000</v>
      </c>
      <c r="CG196" s="216">
        <f ca="1">IF($D196&lt;&gt;"Serviço",0,IF(OR(AND(AUTOEVENTO="Manual",$M196=1),$M196&gt;(ROW(PLE.lastrow)-ROW(PLE.firstrow))),0,IF(OFFSET(PLE!$G$14,$M196,CG$13)="",10^12,OFFSET(PLE!$G$14,$M196,CG$13))))</f>
        <v>1000000000000</v>
      </c>
      <c r="CH196" s="216">
        <f ca="1">IF($D196&lt;&gt;"Serviço",0,IF(OR(AND(AUTOEVENTO="Manual",$M196=1),$M196&gt;(ROW(PLE.lastrow)-ROW(PLE.firstrow))),0,IF(OFFSET(PLE!$G$14,$M196,CH$13)="",10^12,OFFSET(PLE!$G$14,$M196,CH$13))))</f>
        <v>1000000000000</v>
      </c>
      <c r="CI196" s="216">
        <f ca="1">IF($D196&lt;&gt;"Serviço",0,IF(OR(AND(AUTOEVENTO="Manual",$M196=1),$M196&gt;(ROW(PLE.lastrow)-ROW(PLE.firstrow))),0,IF(OFFSET(PLE!$G$14,$M196,CI$13)="",10^12,OFFSET(PLE!$G$14,$M196,CI$13))))</f>
        <v>1000000000000</v>
      </c>
      <c r="CJ196" s="216">
        <f ca="1">IF($D196&lt;&gt;"Serviço",0,IF(OR(AND(AUTOEVENTO="Manual",$M196=1),$M196&gt;(ROW(PLE.lastrow)-ROW(PLE.firstrow))),0,IF(OFFSET(PLE!$G$14,$M196,CJ$13)="",10^12,OFFSET(PLE!$G$14,$M196,CJ$13))))</f>
        <v>1000000000000</v>
      </c>
      <c r="CK196" s="216">
        <f ca="1">IF($D196&lt;&gt;"Serviço",0,IF(OR(AND(AUTOEVENTO="Manual",$M196=1),$M196&gt;(ROW(PLE.lastrow)-ROW(PLE.firstrow))),0,IF(OFFSET(PLE!$G$14,$M196,CK$13)="",10^12,OFFSET(PLE!$G$14,$M196,CK$13))))</f>
        <v>1000000000000</v>
      </c>
      <c r="CL196" s="216">
        <f ca="1">IF($D196&lt;&gt;"Serviço",0,IF(OR(AND(AUTOEVENTO="Manual",$M196=1),$M196&gt;(ROW(PLE.lastrow)-ROW(PLE.firstrow))),0,IF(OFFSET(PLE!$G$14,$M196,CL$13)="",10^12,OFFSET(PLE!$G$14,$M196,CL$13))))</f>
        <v>1000000000000</v>
      </c>
      <c r="CM196" s="216">
        <f ca="1">IF($D196&lt;&gt;"Serviço",0,IF(OR(AND(AUTOEVENTO="Manual",$M196=1),$M196&gt;(ROW(PLE.lastrow)-ROW(PLE.firstrow))),0,IF(OFFSET(PLE!$G$14,$M196,CM$13)="",10^12,OFFSET(PLE!$G$14,$M196,CM$13))))</f>
        <v>1000000000000</v>
      </c>
    </row>
    <row r="197" spans="1:91" ht="13.2" x14ac:dyDescent="0.25">
      <c r="A197" s="9">
        <f t="shared" ca="1" si="11"/>
        <v>0</v>
      </c>
      <c r="B197" s="9" t="str">
        <f ca="1">OFFSET(ORÇAMENTO!C$15,ROW(B197)-ROW(B$15),0)</f>
        <v>S</v>
      </c>
      <c r="C197" s="9" t="str">
        <f ca="1">OFFSET(ORÇAMENTO!L$15,ROW(C197)-ROW(C$15),0)</f>
        <v/>
      </c>
      <c r="D197" s="145" t="str">
        <f ca="1">OFFSET(ORÇAMENTO!N$15,ROW(D197)-ROW(D$15),0)</f>
        <v>Serviço</v>
      </c>
      <c r="E197" s="205" t="str">
        <f ca="1">OFFSET(ORÇAMENTO!O$15,ROW(E197)-ROW(E$15),0)</f>
        <v>-</v>
      </c>
      <c r="F197" s="206" t="str">
        <f ca="1">OFFSET(ORÇAMENTO!R$15,ROW(F197)-ROW(F$15),0)</f>
        <v>(abra o arquivo 'Referência 05-2024.xls)</v>
      </c>
      <c r="G197" s="207" t="str">
        <f ca="1">IF($D197&lt;&gt;"Serviço","",OFFSET(ORÇAMENTO!S$15,ROW(G197)-ROW(G$15),0))</f>
        <v>-</v>
      </c>
      <c r="H197" s="151">
        <f ca="1">IF($D197&lt;&gt;"Serviço",0,IF(ACOMPANHAMENTO="BM",ROUND(OFFSET(ORÇAMENTO!AJ$15,ROW(H197)-ROW(H$15),0),15-13*ORÇAMENTO!$AF$7),SUMPRODUCT(($Q$12:$AI$12&lt;&gt;"")*ROUND($Q197:$AI197,15-13*ORÇAMENTO!$AF$7))))</f>
        <v>10.36</v>
      </c>
      <c r="I197" s="650"/>
      <c r="K197" s="208"/>
      <c r="L197" s="209" t="s">
        <v>257</v>
      </c>
      <c r="M197" s="210">
        <f ca="1">IF($D197&lt;&gt;"Serviço","",IF(AUTOEVENTO="manual",$A197,IF(ISERROR(MATCH($A197,$A$15:OFFSET($A197,-1,0),0)),MAX($M$15:OFFSET(M197,-1,0))+1,INDEX($M$15:OFFSET(M197,-1,0),MATCH($A197,$A$15:OFFSET($A197,-1,0),0)))))</f>
        <v>0</v>
      </c>
      <c r="N197" s="211" t="str">
        <f ca="1">IF($D197&lt;&gt;"Serviço","",IF(AUTOEVENTO="Manual",IF($A197=0,"&lt;-- defina o número do agrupador",OFFSET(EVENTOS!$D$14,$A197,0)),OFFSET($F$15,$A197,0)))</f>
        <v>&lt;-- defina o número do agrupador</v>
      </c>
      <c r="O197" s="212"/>
      <c r="Q197" s="212"/>
      <c r="R197" s="213"/>
      <c r="S197" s="213"/>
      <c r="T197" s="213"/>
      <c r="U197" s="213"/>
      <c r="V197" s="213"/>
      <c r="W197" s="213"/>
      <c r="X197" s="213"/>
      <c r="Y197" s="213"/>
      <c r="Z197" s="214"/>
      <c r="AA197" s="213"/>
      <c r="AB197" s="213"/>
      <c r="AC197" s="213"/>
      <c r="AD197" s="213"/>
      <c r="AE197" s="213"/>
      <c r="AF197" s="213"/>
      <c r="AG197" s="213"/>
      <c r="AH197" s="214"/>
      <c r="AJ197" s="631">
        <f ca="1">IF(AND($D197="Serviço",AJ$12&lt;&gt;0,$H197&gt;0,OR(AUTOEVENTO&lt;&gt;"manual",$M197&lt;&gt;1)),ROUND(OFFSET($P197,0,AJ$13),15-13*ORÇAMENTO!$AF$7)/$H197*OFFSET(ORÇAMENTO!$X$15,ROW(AJ197)-ROW(AJ$15),0),0)</f>
        <v>0</v>
      </c>
      <c r="AK197" s="632">
        <f ca="1">IF(AND($D197="Serviço",AK$12&lt;&gt;0,$H197&gt;0,OR(AUTOEVENTO&lt;&gt;"manual",$M197&lt;&gt;1)),ROUND(OFFSET($P197,0,AK$13),15-13*ORÇAMENTO!$AF$7)/$H197*OFFSET(ORÇAMENTO!$X$15,ROW(AK197)-ROW(AK$15),0),0)</f>
        <v>0</v>
      </c>
      <c r="AL197" s="632">
        <f ca="1">IF(AND($D197="Serviço",AL$12&lt;&gt;0,$H197&gt;0,OR(AUTOEVENTO&lt;&gt;"manual",$M197&lt;&gt;1)),ROUND(OFFSET($P197,0,AL$13),15-13*ORÇAMENTO!$AF$7)/$H197*OFFSET(ORÇAMENTO!$X$15,ROW(AL197)-ROW(AL$15),0),0)</f>
        <v>0</v>
      </c>
      <c r="AM197" s="632">
        <f ca="1">IF(AND($D197="Serviço",AM$12&lt;&gt;0,$H197&gt;0,OR(AUTOEVENTO&lt;&gt;"manual",$M197&lt;&gt;1)),ROUND(OFFSET($P197,0,AM$13),15-13*ORÇAMENTO!$AF$7)/$H197*OFFSET(ORÇAMENTO!$X$15,ROW(AM197)-ROW(AM$15),0),0)</f>
        <v>0</v>
      </c>
      <c r="AN197" s="632">
        <f ca="1">IF(AND($D197="Serviço",AN$12&lt;&gt;0,$H197&gt;0,OR(AUTOEVENTO&lt;&gt;"manual",$M197&lt;&gt;1)),ROUND(OFFSET($P197,0,AN$13),15-13*ORÇAMENTO!$AF$7)/$H197*OFFSET(ORÇAMENTO!$X$15,ROW(AN197)-ROW(AN$15),0),0)</f>
        <v>0</v>
      </c>
      <c r="AO197" s="632">
        <f ca="1">IF(AND($D197="Serviço",AO$12&lt;&gt;0,$H197&gt;0,OR(AUTOEVENTO&lt;&gt;"manual",$M197&lt;&gt;1)),ROUND(OFFSET($P197,0,AO$13),15-13*ORÇAMENTO!$AF$7)/$H197*OFFSET(ORÇAMENTO!$X$15,ROW(AO197)-ROW(AO$15),0),0)</f>
        <v>0</v>
      </c>
      <c r="AP197" s="632">
        <f ca="1">IF(AND($D197="Serviço",AP$12&lt;&gt;0,$H197&gt;0,OR(AUTOEVENTO&lt;&gt;"manual",$M197&lt;&gt;1)),ROUND(OFFSET($P197,0,AP$13),15-13*ORÇAMENTO!$AF$7)/$H197*OFFSET(ORÇAMENTO!$X$15,ROW(AP197)-ROW(AP$15),0),0)</f>
        <v>0</v>
      </c>
      <c r="AQ197" s="632">
        <f ca="1">IF(AND($D197="Serviço",AQ$12&lt;&gt;0,$H197&gt;0,OR(AUTOEVENTO&lt;&gt;"manual",$M197&lt;&gt;1)),ROUND(OFFSET($P197,0,AQ$13),15-13*ORÇAMENTO!$AF$7)/$H197*OFFSET(ORÇAMENTO!$X$15,ROW(AQ197)-ROW(AQ$15),0),0)</f>
        <v>0</v>
      </c>
      <c r="AR197" s="632">
        <f ca="1">IF(AND($D197="Serviço",AR$12&lt;&gt;0,$H197&gt;0,OR(AUTOEVENTO&lt;&gt;"manual",$M197&lt;&gt;1)),ROUND(OFFSET($P197,0,AR$13),15-13*ORÇAMENTO!$AF$7)/$H197*OFFSET(ORÇAMENTO!$X$15,ROW(AR197)-ROW(AR$15),0),0)</f>
        <v>0</v>
      </c>
      <c r="AS197" s="633">
        <f ca="1">IF(AND($D197="Serviço",AS$12&lt;&gt;0,$H197&gt;0,OR(AUTOEVENTO&lt;&gt;"manual",$M197&lt;&gt;1)),ROUND(OFFSET($P197,0,AS$13),15-13*ORÇAMENTO!$AF$7)/$H197*OFFSET(ORÇAMENTO!$X$15,ROW(AS197)-ROW(AS$15),0),0)</f>
        <v>0</v>
      </c>
      <c r="AT197" s="632">
        <f ca="1">IF(AND($D197="Serviço",AT$12&lt;&gt;0,$H197&gt;0,OR(AUTOEVENTO&lt;&gt;"manual",$M197&lt;&gt;1)),ROUND(OFFSET($P197,0,AT$13),15-13*ORÇAMENTO!$AF$7)/$H197*OFFSET(ORÇAMENTO!$X$15,ROW(AT197)-ROW(AT$15),0),0)</f>
        <v>0</v>
      </c>
      <c r="AU197" s="632">
        <f ca="1">IF(AND($D197="Serviço",AU$12&lt;&gt;0,$H197&gt;0,OR(AUTOEVENTO&lt;&gt;"manual",$M197&lt;&gt;1)),ROUND(OFFSET($P197,0,AU$13),15-13*ORÇAMENTO!$AF$7)/$H197*OFFSET(ORÇAMENTO!$X$15,ROW(AU197)-ROW(AU$15),0),0)</f>
        <v>0</v>
      </c>
      <c r="AV197" s="632">
        <f ca="1">IF(AND($D197="Serviço",AV$12&lt;&gt;0,$H197&gt;0,OR(AUTOEVENTO&lt;&gt;"manual",$M197&lt;&gt;1)),ROUND(OFFSET($P197,0,AV$13),15-13*ORÇAMENTO!$AF$7)/$H197*OFFSET(ORÇAMENTO!$X$15,ROW(AV197)-ROW(AV$15),0),0)</f>
        <v>0</v>
      </c>
      <c r="AW197" s="632">
        <f ca="1">IF(AND($D197="Serviço",AW$12&lt;&gt;0,$H197&gt;0,OR(AUTOEVENTO&lt;&gt;"manual",$M197&lt;&gt;1)),ROUND(OFFSET($P197,0,AW$13),15-13*ORÇAMENTO!$AF$7)/$H197*OFFSET(ORÇAMENTO!$X$15,ROW(AW197)-ROW(AW$15),0),0)</f>
        <v>0</v>
      </c>
      <c r="AX197" s="632">
        <f ca="1">IF(AND($D197="Serviço",AX$12&lt;&gt;0,$H197&gt;0,OR(AUTOEVENTO&lt;&gt;"manual",$M197&lt;&gt;1)),ROUND(OFFSET($P197,0,AX$13),15-13*ORÇAMENTO!$AF$7)/$H197*OFFSET(ORÇAMENTO!$X$15,ROW(AX197)-ROW(AX$15),0),0)</f>
        <v>0</v>
      </c>
      <c r="AY197" s="632">
        <f ca="1">IF(AND($D197="Serviço",AY$12&lt;&gt;0,$H197&gt;0,OR(AUTOEVENTO&lt;&gt;"manual",$M197&lt;&gt;1)),ROUND(OFFSET($P197,0,AY$13),15-13*ORÇAMENTO!$AF$7)/$H197*OFFSET(ORÇAMENTO!$X$15,ROW(AY197)-ROW(AY$15),0),0)</f>
        <v>0</v>
      </c>
      <c r="AZ197" s="632">
        <f ca="1">IF(AND($D197="Serviço",AZ$12&lt;&gt;0,$H197&gt;0,OR(AUTOEVENTO&lt;&gt;"manual",$M197&lt;&gt;1)),ROUND(OFFSET($P197,0,AZ$13),15-13*ORÇAMENTO!$AF$7)/$H197*OFFSET(ORÇAMENTO!$X$15,ROW(AZ197)-ROW(AZ$15),0),0)</f>
        <v>0</v>
      </c>
      <c r="BA197" s="633">
        <f ca="1">IF(AND($D197="Serviço",BA$12&lt;&gt;0,$H197&gt;0,OR(AUTOEVENTO&lt;&gt;"manual",$M197&lt;&gt;1)),ROUND(OFFSET($P197,0,BA$13),15-13*ORÇAMENTO!$AF$7)/$H197*OFFSET(ORÇAMENTO!$X$15,ROW(BA197)-ROW(BA$15),0),0)</f>
        <v>0</v>
      </c>
      <c r="BC197" s="215">
        <f ca="1">IF($D197&lt;&gt;"Serviço",0,IF(AND(AUTOEVENTO="Manual",$M197=1),0,IF(OFFSET(CRONOPLE!$F$14,$M197,BC$13)="",10^12,OFFSET(CRONOPLE!$F$14,$M197,BC$13))))</f>
        <v>1000000000000</v>
      </c>
      <c r="BD197" s="215">
        <f ca="1">IF($D197&lt;&gt;"Serviço",0,IF(AND(AUTOEVENTO="Manual",$M197=1),0,IF(OFFSET(CRONOPLE!$F$14,$M197,BD$13)="",10^12,OFFSET(CRONOPLE!$F$14,$M197,BD$13))))</f>
        <v>1000000000000</v>
      </c>
      <c r="BE197" s="215">
        <f ca="1">IF($D197&lt;&gt;"Serviço",0,IF(AND(AUTOEVENTO="Manual",$M197=1),0,IF(OFFSET(CRONOPLE!$F$14,$M197,BE$13)="",10^12,OFFSET(CRONOPLE!$F$14,$M197,BE$13))))</f>
        <v>1000000000000</v>
      </c>
      <c r="BF197" s="215">
        <f ca="1">IF($D197&lt;&gt;"Serviço",0,IF(AND(AUTOEVENTO="Manual",$M197=1),0,IF(OFFSET(CRONOPLE!$F$14,$M197,BF$13)="",10^12,OFFSET(CRONOPLE!$F$14,$M197,BF$13))))</f>
        <v>1000000000000</v>
      </c>
      <c r="BG197" s="215">
        <f ca="1">IF($D197&lt;&gt;"Serviço",0,IF(AND(AUTOEVENTO="Manual",$M197=1),0,IF(OFFSET(CRONOPLE!$F$14,$M197,BG$13)="",10^12,OFFSET(CRONOPLE!$F$14,$M197,BG$13))))</f>
        <v>1000000000000</v>
      </c>
      <c r="BH197" s="215">
        <f ca="1">IF($D197&lt;&gt;"Serviço",0,IF(AND(AUTOEVENTO="Manual",$M197=1),0,IF(OFFSET(CRONOPLE!$F$14,$M197,BH$13)="",10^12,OFFSET(CRONOPLE!$F$14,$M197,BH$13))))</f>
        <v>1000000000000</v>
      </c>
      <c r="BI197" s="215">
        <f ca="1">IF($D197&lt;&gt;"Serviço",0,IF(AND(AUTOEVENTO="Manual",$M197=1),0,IF(OFFSET(CRONOPLE!$F$14,$M197,BI$13)="",10^12,OFFSET(CRONOPLE!$F$14,$M197,BI$13))))</f>
        <v>1000000000000</v>
      </c>
      <c r="BJ197" s="215">
        <f ca="1">IF($D197&lt;&gt;"Serviço",0,IF(AND(AUTOEVENTO="Manual",$M197=1),0,IF(OFFSET(CRONOPLE!$F$14,$M197,BJ$13)="",10^12,OFFSET(CRONOPLE!$F$14,$M197,BJ$13))))</f>
        <v>1000000000000</v>
      </c>
      <c r="BK197" s="215">
        <f ca="1">IF($D197&lt;&gt;"Serviço",0,IF(AND(AUTOEVENTO="Manual",$M197=1),0,IF(OFFSET(CRONOPLE!$F$14,$M197,BK$13)="",10^12,OFFSET(CRONOPLE!$F$14,$M197,BK$13))))</f>
        <v>1000000000000</v>
      </c>
      <c r="BL197" s="215">
        <f ca="1">IF($D197&lt;&gt;"Serviço",0,IF(AND(AUTOEVENTO="Manual",$M197=1),0,IF(OFFSET(CRONOPLE!$F$14,$M197,BL$13)="",10^12,OFFSET(CRONOPLE!$F$14,$M197,BL$13))))</f>
        <v>1000000000000</v>
      </c>
      <c r="BM197" s="215">
        <f ca="1">IF($D197&lt;&gt;"Serviço",0,IF(AND(AUTOEVENTO="Manual",$M197=1),0,IF(OFFSET(CRONOPLE!$F$14,$M197,BM$13)="",10^12,OFFSET(CRONOPLE!$F$14,$M197,BM$13))))</f>
        <v>1000000000000</v>
      </c>
      <c r="BN197" s="215">
        <f ca="1">IF($D197&lt;&gt;"Serviço",0,IF(AND(AUTOEVENTO="Manual",$M197=1),0,IF(OFFSET(CRONOPLE!$F$14,$M197,BN$13)="",10^12,OFFSET(CRONOPLE!$F$14,$M197,BN$13))))</f>
        <v>1000000000000</v>
      </c>
      <c r="BO197" s="215">
        <f ca="1">IF($D197&lt;&gt;"Serviço",0,IF(AND(AUTOEVENTO="Manual",$M197=1),0,IF(OFFSET(CRONOPLE!$F$14,$M197,BO$13)="",10^12,OFFSET(CRONOPLE!$F$14,$M197,BO$13))))</f>
        <v>1000000000000</v>
      </c>
      <c r="BP197" s="215">
        <f ca="1">IF($D197&lt;&gt;"Serviço",0,IF(AND(AUTOEVENTO="Manual",$M197=1),0,IF(OFFSET(CRONOPLE!$F$14,$M197,BP$13)="",10^12,OFFSET(CRONOPLE!$F$14,$M197,BP$13))))</f>
        <v>1000000000000</v>
      </c>
      <c r="BQ197" s="215">
        <f ca="1">IF($D197&lt;&gt;"Serviço",0,IF(AND(AUTOEVENTO="Manual",$M197=1),0,IF(OFFSET(CRONOPLE!$F$14,$M197,BQ$13)="",10^12,OFFSET(CRONOPLE!$F$14,$M197,BQ$13))))</f>
        <v>1000000000000</v>
      </c>
      <c r="BR197" s="215">
        <f ca="1">IF($D197&lt;&gt;"Serviço",0,IF(AND(AUTOEVENTO="Manual",$M197=1),0,IF(OFFSET(CRONOPLE!$F$14,$M197,BR$13)="",10^12,OFFSET(CRONOPLE!$F$14,$M197,BR$13))))</f>
        <v>1000000000000</v>
      </c>
      <c r="BS197" s="215">
        <f ca="1">IF($D197&lt;&gt;"Serviço",0,IF(AND(AUTOEVENTO="Manual",$M197=1),0,IF(OFFSET(CRONOPLE!$F$14,$M197,BS$13)="",10^12,OFFSET(CRONOPLE!$F$14,$M197,BS$13))))</f>
        <v>1000000000000</v>
      </c>
      <c r="BT197" s="215">
        <f ca="1">IF($D197&lt;&gt;"Serviço",0,IF(AND(AUTOEVENTO="Manual",$M197=1),0,IF(OFFSET(CRONOPLE!$F$14,$M197,BT$13)="",10^12,OFFSET(CRONOPLE!$F$14,$M197,BT$13))))</f>
        <v>1000000000000</v>
      </c>
      <c r="BV197" s="216">
        <f ca="1">IF($D197&lt;&gt;"Serviço",0,IF(OR(AND(AUTOEVENTO="Manual",$M197=1),$M197&gt;(ROW(PLE.lastrow)-ROW(PLE.firstrow))),0,IF(OFFSET(PLE!$G$14,$M197,BV$13)="",10^12,OFFSET(PLE!$G$14,$M197,BV$13))))</f>
        <v>1000000000000</v>
      </c>
      <c r="BW197" s="216">
        <f ca="1">IF($D197&lt;&gt;"Serviço",0,IF(OR(AND(AUTOEVENTO="Manual",$M197=1),$M197&gt;(ROW(PLE.lastrow)-ROW(PLE.firstrow))),0,IF(OFFSET(PLE!$G$14,$M197,BW$13)="",10^12,OFFSET(PLE!$G$14,$M197,BW$13))))</f>
        <v>1000000000000</v>
      </c>
      <c r="BX197" s="216">
        <f ca="1">IF($D197&lt;&gt;"Serviço",0,IF(OR(AND(AUTOEVENTO="Manual",$M197=1),$M197&gt;(ROW(PLE.lastrow)-ROW(PLE.firstrow))),0,IF(OFFSET(PLE!$G$14,$M197,BX$13)="",10^12,OFFSET(PLE!$G$14,$M197,BX$13))))</f>
        <v>1000000000000</v>
      </c>
      <c r="BY197" s="216">
        <f ca="1">IF($D197&lt;&gt;"Serviço",0,IF(OR(AND(AUTOEVENTO="Manual",$M197=1),$M197&gt;(ROW(PLE.lastrow)-ROW(PLE.firstrow))),0,IF(OFFSET(PLE!$G$14,$M197,BY$13)="",10^12,OFFSET(PLE!$G$14,$M197,BY$13))))</f>
        <v>1000000000000</v>
      </c>
      <c r="BZ197" s="216">
        <f ca="1">IF($D197&lt;&gt;"Serviço",0,IF(OR(AND(AUTOEVENTO="Manual",$M197=1),$M197&gt;(ROW(PLE.lastrow)-ROW(PLE.firstrow))),0,IF(OFFSET(PLE!$G$14,$M197,BZ$13)="",10^12,OFFSET(PLE!$G$14,$M197,BZ$13))))</f>
        <v>1000000000000</v>
      </c>
      <c r="CA197" s="216">
        <f ca="1">IF($D197&lt;&gt;"Serviço",0,IF(OR(AND(AUTOEVENTO="Manual",$M197=1),$M197&gt;(ROW(PLE.lastrow)-ROW(PLE.firstrow))),0,IF(OFFSET(PLE!$G$14,$M197,CA$13)="",10^12,OFFSET(PLE!$G$14,$M197,CA$13))))</f>
        <v>1000000000000</v>
      </c>
      <c r="CB197" s="216">
        <f ca="1">IF($D197&lt;&gt;"Serviço",0,IF(OR(AND(AUTOEVENTO="Manual",$M197=1),$M197&gt;(ROW(PLE.lastrow)-ROW(PLE.firstrow))),0,IF(OFFSET(PLE!$G$14,$M197,CB$13)="",10^12,OFFSET(PLE!$G$14,$M197,CB$13))))</f>
        <v>1000000000000</v>
      </c>
      <c r="CC197" s="216">
        <f ca="1">IF($D197&lt;&gt;"Serviço",0,IF(OR(AND(AUTOEVENTO="Manual",$M197=1),$M197&gt;(ROW(PLE.lastrow)-ROW(PLE.firstrow))),0,IF(OFFSET(PLE!$G$14,$M197,CC$13)="",10^12,OFFSET(PLE!$G$14,$M197,CC$13))))</f>
        <v>1000000000000</v>
      </c>
      <c r="CD197" s="216">
        <f ca="1">IF($D197&lt;&gt;"Serviço",0,IF(OR(AND(AUTOEVENTO="Manual",$M197=1),$M197&gt;(ROW(PLE.lastrow)-ROW(PLE.firstrow))),0,IF(OFFSET(PLE!$G$14,$M197,CD$13)="",10^12,OFFSET(PLE!$G$14,$M197,CD$13))))</f>
        <v>1000000000000</v>
      </c>
      <c r="CE197" s="216">
        <f ca="1">IF($D197&lt;&gt;"Serviço",0,IF(OR(AND(AUTOEVENTO="Manual",$M197=1),$M197&gt;(ROW(PLE.lastrow)-ROW(PLE.firstrow))),0,IF(OFFSET(PLE!$G$14,$M197,CE$13)="",10^12,OFFSET(PLE!$G$14,$M197,CE$13))))</f>
        <v>1000000000000</v>
      </c>
      <c r="CF197" s="216">
        <f ca="1">IF($D197&lt;&gt;"Serviço",0,IF(OR(AND(AUTOEVENTO="Manual",$M197=1),$M197&gt;(ROW(PLE.lastrow)-ROW(PLE.firstrow))),0,IF(OFFSET(PLE!$G$14,$M197,CF$13)="",10^12,OFFSET(PLE!$G$14,$M197,CF$13))))</f>
        <v>1000000000000</v>
      </c>
      <c r="CG197" s="216">
        <f ca="1">IF($D197&lt;&gt;"Serviço",0,IF(OR(AND(AUTOEVENTO="Manual",$M197=1),$M197&gt;(ROW(PLE.lastrow)-ROW(PLE.firstrow))),0,IF(OFFSET(PLE!$G$14,$M197,CG$13)="",10^12,OFFSET(PLE!$G$14,$M197,CG$13))))</f>
        <v>1000000000000</v>
      </c>
      <c r="CH197" s="216">
        <f ca="1">IF($D197&lt;&gt;"Serviço",0,IF(OR(AND(AUTOEVENTO="Manual",$M197=1),$M197&gt;(ROW(PLE.lastrow)-ROW(PLE.firstrow))),0,IF(OFFSET(PLE!$G$14,$M197,CH$13)="",10^12,OFFSET(PLE!$G$14,$M197,CH$13))))</f>
        <v>1000000000000</v>
      </c>
      <c r="CI197" s="216">
        <f ca="1">IF($D197&lt;&gt;"Serviço",0,IF(OR(AND(AUTOEVENTO="Manual",$M197=1),$M197&gt;(ROW(PLE.lastrow)-ROW(PLE.firstrow))),0,IF(OFFSET(PLE!$G$14,$M197,CI$13)="",10^12,OFFSET(PLE!$G$14,$M197,CI$13))))</f>
        <v>1000000000000</v>
      </c>
      <c r="CJ197" s="216">
        <f ca="1">IF($D197&lt;&gt;"Serviço",0,IF(OR(AND(AUTOEVENTO="Manual",$M197=1),$M197&gt;(ROW(PLE.lastrow)-ROW(PLE.firstrow))),0,IF(OFFSET(PLE!$G$14,$M197,CJ$13)="",10^12,OFFSET(PLE!$G$14,$M197,CJ$13))))</f>
        <v>1000000000000</v>
      </c>
      <c r="CK197" s="216">
        <f ca="1">IF($D197&lt;&gt;"Serviço",0,IF(OR(AND(AUTOEVENTO="Manual",$M197=1),$M197&gt;(ROW(PLE.lastrow)-ROW(PLE.firstrow))),0,IF(OFFSET(PLE!$G$14,$M197,CK$13)="",10^12,OFFSET(PLE!$G$14,$M197,CK$13))))</f>
        <v>1000000000000</v>
      </c>
      <c r="CL197" s="216">
        <f ca="1">IF($D197&lt;&gt;"Serviço",0,IF(OR(AND(AUTOEVENTO="Manual",$M197=1),$M197&gt;(ROW(PLE.lastrow)-ROW(PLE.firstrow))),0,IF(OFFSET(PLE!$G$14,$M197,CL$13)="",10^12,OFFSET(PLE!$G$14,$M197,CL$13))))</f>
        <v>1000000000000</v>
      </c>
      <c r="CM197" s="216">
        <f ca="1">IF($D197&lt;&gt;"Serviço",0,IF(OR(AND(AUTOEVENTO="Manual",$M197=1),$M197&gt;(ROW(PLE.lastrow)-ROW(PLE.firstrow))),0,IF(OFFSET(PLE!$G$14,$M197,CM$13)="",10^12,OFFSET(PLE!$G$14,$M197,CM$13))))</f>
        <v>1000000000000</v>
      </c>
    </row>
    <row r="198" spans="1:91" ht="13.2" x14ac:dyDescent="0.25">
      <c r="A198" s="9">
        <f t="shared" ca="1" si="11"/>
        <v>0</v>
      </c>
      <c r="B198" s="9" t="str">
        <f ca="1">OFFSET(ORÇAMENTO!C$15,ROW(B198)-ROW(B$15),0)</f>
        <v>S</v>
      </c>
      <c r="C198" s="9" t="str">
        <f ca="1">OFFSET(ORÇAMENTO!L$15,ROW(C198)-ROW(C$15),0)</f>
        <v/>
      </c>
      <c r="D198" s="145" t="str">
        <f ca="1">OFFSET(ORÇAMENTO!N$15,ROW(D198)-ROW(D$15),0)</f>
        <v>Serviço</v>
      </c>
      <c r="E198" s="205" t="str">
        <f ca="1">OFFSET(ORÇAMENTO!O$15,ROW(E198)-ROW(E$15),0)</f>
        <v>-</v>
      </c>
      <c r="F198" s="206" t="str">
        <f ca="1">OFFSET(ORÇAMENTO!R$15,ROW(F198)-ROW(F$15),0)</f>
        <v>(abra o arquivo 'Referência 05-2024.xls)</v>
      </c>
      <c r="G198" s="207" t="str">
        <f ca="1">IF($D198&lt;&gt;"Serviço","",OFFSET(ORÇAMENTO!S$15,ROW(G198)-ROW(G$15),0))</f>
        <v>-</v>
      </c>
      <c r="H198" s="151">
        <f ca="1">IF($D198&lt;&gt;"Serviço",0,IF(ACOMPANHAMENTO="BM",ROUND(OFFSET(ORÇAMENTO!AJ$15,ROW(H198)-ROW(H$15),0),15-13*ORÇAMENTO!$AF$7),SUMPRODUCT(($Q$12:$AI$12&lt;&gt;"")*ROUND($Q198:$AI198,15-13*ORÇAMENTO!$AF$7))))</f>
        <v>19.43</v>
      </c>
      <c r="I198" s="650"/>
      <c r="K198" s="208"/>
      <c r="L198" s="209" t="s">
        <v>257</v>
      </c>
      <c r="M198" s="210">
        <f ca="1">IF($D198&lt;&gt;"Serviço","",IF(AUTOEVENTO="manual",$A198,IF(ISERROR(MATCH($A198,$A$15:OFFSET($A198,-1,0),0)),MAX($M$15:OFFSET(M198,-1,0))+1,INDEX($M$15:OFFSET(M198,-1,0),MATCH($A198,$A$15:OFFSET($A198,-1,0),0)))))</f>
        <v>0</v>
      </c>
      <c r="N198" s="211" t="str">
        <f ca="1">IF($D198&lt;&gt;"Serviço","",IF(AUTOEVENTO="Manual",IF($A198=0,"&lt;-- defina o número do agrupador",OFFSET(EVENTOS!$D$14,$A198,0)),OFFSET($F$15,$A198,0)))</f>
        <v>&lt;-- defina o número do agrupador</v>
      </c>
      <c r="O198" s="212"/>
      <c r="Q198" s="212"/>
      <c r="R198" s="213"/>
      <c r="S198" s="213"/>
      <c r="T198" s="213"/>
      <c r="U198" s="213"/>
      <c r="V198" s="213"/>
      <c r="W198" s="213"/>
      <c r="X198" s="213"/>
      <c r="Y198" s="213"/>
      <c r="Z198" s="214"/>
      <c r="AA198" s="213"/>
      <c r="AB198" s="213"/>
      <c r="AC198" s="213"/>
      <c r="AD198" s="213"/>
      <c r="AE198" s="213"/>
      <c r="AF198" s="213"/>
      <c r="AG198" s="213"/>
      <c r="AH198" s="214"/>
      <c r="AJ198" s="631">
        <f ca="1">IF(AND($D198="Serviço",AJ$12&lt;&gt;0,$H198&gt;0,OR(AUTOEVENTO&lt;&gt;"manual",$M198&lt;&gt;1)),ROUND(OFFSET($P198,0,AJ$13),15-13*ORÇAMENTO!$AF$7)/$H198*OFFSET(ORÇAMENTO!$X$15,ROW(AJ198)-ROW(AJ$15),0),0)</f>
        <v>0</v>
      </c>
      <c r="AK198" s="632">
        <f ca="1">IF(AND($D198="Serviço",AK$12&lt;&gt;0,$H198&gt;0,OR(AUTOEVENTO&lt;&gt;"manual",$M198&lt;&gt;1)),ROUND(OFFSET($P198,0,AK$13),15-13*ORÇAMENTO!$AF$7)/$H198*OFFSET(ORÇAMENTO!$X$15,ROW(AK198)-ROW(AK$15),0),0)</f>
        <v>0</v>
      </c>
      <c r="AL198" s="632">
        <f ca="1">IF(AND($D198="Serviço",AL$12&lt;&gt;0,$H198&gt;0,OR(AUTOEVENTO&lt;&gt;"manual",$M198&lt;&gt;1)),ROUND(OFFSET($P198,0,AL$13),15-13*ORÇAMENTO!$AF$7)/$H198*OFFSET(ORÇAMENTO!$X$15,ROW(AL198)-ROW(AL$15),0),0)</f>
        <v>0</v>
      </c>
      <c r="AM198" s="632">
        <f ca="1">IF(AND($D198="Serviço",AM$12&lt;&gt;0,$H198&gt;0,OR(AUTOEVENTO&lt;&gt;"manual",$M198&lt;&gt;1)),ROUND(OFFSET($P198,0,AM$13),15-13*ORÇAMENTO!$AF$7)/$H198*OFFSET(ORÇAMENTO!$X$15,ROW(AM198)-ROW(AM$15),0),0)</f>
        <v>0</v>
      </c>
      <c r="AN198" s="632">
        <f ca="1">IF(AND($D198="Serviço",AN$12&lt;&gt;0,$H198&gt;0,OR(AUTOEVENTO&lt;&gt;"manual",$M198&lt;&gt;1)),ROUND(OFFSET($P198,0,AN$13),15-13*ORÇAMENTO!$AF$7)/$H198*OFFSET(ORÇAMENTO!$X$15,ROW(AN198)-ROW(AN$15),0),0)</f>
        <v>0</v>
      </c>
      <c r="AO198" s="632">
        <f ca="1">IF(AND($D198="Serviço",AO$12&lt;&gt;0,$H198&gt;0,OR(AUTOEVENTO&lt;&gt;"manual",$M198&lt;&gt;1)),ROUND(OFFSET($P198,0,AO$13),15-13*ORÇAMENTO!$AF$7)/$H198*OFFSET(ORÇAMENTO!$X$15,ROW(AO198)-ROW(AO$15),0),0)</f>
        <v>0</v>
      </c>
      <c r="AP198" s="632">
        <f ca="1">IF(AND($D198="Serviço",AP$12&lt;&gt;0,$H198&gt;0,OR(AUTOEVENTO&lt;&gt;"manual",$M198&lt;&gt;1)),ROUND(OFFSET($P198,0,AP$13),15-13*ORÇAMENTO!$AF$7)/$H198*OFFSET(ORÇAMENTO!$X$15,ROW(AP198)-ROW(AP$15),0),0)</f>
        <v>0</v>
      </c>
      <c r="AQ198" s="632">
        <f ca="1">IF(AND($D198="Serviço",AQ$12&lt;&gt;0,$H198&gt;0,OR(AUTOEVENTO&lt;&gt;"manual",$M198&lt;&gt;1)),ROUND(OFFSET($P198,0,AQ$13),15-13*ORÇAMENTO!$AF$7)/$H198*OFFSET(ORÇAMENTO!$X$15,ROW(AQ198)-ROW(AQ$15),0),0)</f>
        <v>0</v>
      </c>
      <c r="AR198" s="632">
        <f ca="1">IF(AND($D198="Serviço",AR$12&lt;&gt;0,$H198&gt;0,OR(AUTOEVENTO&lt;&gt;"manual",$M198&lt;&gt;1)),ROUND(OFFSET($P198,0,AR$13),15-13*ORÇAMENTO!$AF$7)/$H198*OFFSET(ORÇAMENTO!$X$15,ROW(AR198)-ROW(AR$15),0),0)</f>
        <v>0</v>
      </c>
      <c r="AS198" s="633">
        <f ca="1">IF(AND($D198="Serviço",AS$12&lt;&gt;0,$H198&gt;0,OR(AUTOEVENTO&lt;&gt;"manual",$M198&lt;&gt;1)),ROUND(OFFSET($P198,0,AS$13),15-13*ORÇAMENTO!$AF$7)/$H198*OFFSET(ORÇAMENTO!$X$15,ROW(AS198)-ROW(AS$15),0),0)</f>
        <v>0</v>
      </c>
      <c r="AT198" s="632">
        <f ca="1">IF(AND($D198="Serviço",AT$12&lt;&gt;0,$H198&gt;0,OR(AUTOEVENTO&lt;&gt;"manual",$M198&lt;&gt;1)),ROUND(OFFSET($P198,0,AT$13),15-13*ORÇAMENTO!$AF$7)/$H198*OFFSET(ORÇAMENTO!$X$15,ROW(AT198)-ROW(AT$15),0),0)</f>
        <v>0</v>
      </c>
      <c r="AU198" s="632">
        <f ca="1">IF(AND($D198="Serviço",AU$12&lt;&gt;0,$H198&gt;0,OR(AUTOEVENTO&lt;&gt;"manual",$M198&lt;&gt;1)),ROUND(OFFSET($P198,0,AU$13),15-13*ORÇAMENTO!$AF$7)/$H198*OFFSET(ORÇAMENTO!$X$15,ROW(AU198)-ROW(AU$15),0),0)</f>
        <v>0</v>
      </c>
      <c r="AV198" s="632">
        <f ca="1">IF(AND($D198="Serviço",AV$12&lt;&gt;0,$H198&gt;0,OR(AUTOEVENTO&lt;&gt;"manual",$M198&lt;&gt;1)),ROUND(OFFSET($P198,0,AV$13),15-13*ORÇAMENTO!$AF$7)/$H198*OFFSET(ORÇAMENTO!$X$15,ROW(AV198)-ROW(AV$15),0),0)</f>
        <v>0</v>
      </c>
      <c r="AW198" s="632">
        <f ca="1">IF(AND($D198="Serviço",AW$12&lt;&gt;0,$H198&gt;0,OR(AUTOEVENTO&lt;&gt;"manual",$M198&lt;&gt;1)),ROUND(OFFSET($P198,0,AW$13),15-13*ORÇAMENTO!$AF$7)/$H198*OFFSET(ORÇAMENTO!$X$15,ROW(AW198)-ROW(AW$15),0),0)</f>
        <v>0</v>
      </c>
      <c r="AX198" s="632">
        <f ca="1">IF(AND($D198="Serviço",AX$12&lt;&gt;0,$H198&gt;0,OR(AUTOEVENTO&lt;&gt;"manual",$M198&lt;&gt;1)),ROUND(OFFSET($P198,0,AX$13),15-13*ORÇAMENTO!$AF$7)/$H198*OFFSET(ORÇAMENTO!$X$15,ROW(AX198)-ROW(AX$15),0),0)</f>
        <v>0</v>
      </c>
      <c r="AY198" s="632">
        <f ca="1">IF(AND($D198="Serviço",AY$12&lt;&gt;0,$H198&gt;0,OR(AUTOEVENTO&lt;&gt;"manual",$M198&lt;&gt;1)),ROUND(OFFSET($P198,0,AY$13),15-13*ORÇAMENTO!$AF$7)/$H198*OFFSET(ORÇAMENTO!$X$15,ROW(AY198)-ROW(AY$15),0),0)</f>
        <v>0</v>
      </c>
      <c r="AZ198" s="632">
        <f ca="1">IF(AND($D198="Serviço",AZ$12&lt;&gt;0,$H198&gt;0,OR(AUTOEVENTO&lt;&gt;"manual",$M198&lt;&gt;1)),ROUND(OFFSET($P198,0,AZ$13),15-13*ORÇAMENTO!$AF$7)/$H198*OFFSET(ORÇAMENTO!$X$15,ROW(AZ198)-ROW(AZ$15),0),0)</f>
        <v>0</v>
      </c>
      <c r="BA198" s="633">
        <f ca="1">IF(AND($D198="Serviço",BA$12&lt;&gt;0,$H198&gt;0,OR(AUTOEVENTO&lt;&gt;"manual",$M198&lt;&gt;1)),ROUND(OFFSET($P198,0,BA$13),15-13*ORÇAMENTO!$AF$7)/$H198*OFFSET(ORÇAMENTO!$X$15,ROW(BA198)-ROW(BA$15),0),0)</f>
        <v>0</v>
      </c>
      <c r="BC198" s="215">
        <f ca="1">IF($D198&lt;&gt;"Serviço",0,IF(AND(AUTOEVENTO="Manual",$M198=1),0,IF(OFFSET(CRONOPLE!$F$14,$M198,BC$13)="",10^12,OFFSET(CRONOPLE!$F$14,$M198,BC$13))))</f>
        <v>1000000000000</v>
      </c>
      <c r="BD198" s="215">
        <f ca="1">IF($D198&lt;&gt;"Serviço",0,IF(AND(AUTOEVENTO="Manual",$M198=1),0,IF(OFFSET(CRONOPLE!$F$14,$M198,BD$13)="",10^12,OFFSET(CRONOPLE!$F$14,$M198,BD$13))))</f>
        <v>1000000000000</v>
      </c>
      <c r="BE198" s="215">
        <f ca="1">IF($D198&lt;&gt;"Serviço",0,IF(AND(AUTOEVENTO="Manual",$M198=1),0,IF(OFFSET(CRONOPLE!$F$14,$M198,BE$13)="",10^12,OFFSET(CRONOPLE!$F$14,$M198,BE$13))))</f>
        <v>1000000000000</v>
      </c>
      <c r="BF198" s="215">
        <f ca="1">IF($D198&lt;&gt;"Serviço",0,IF(AND(AUTOEVENTO="Manual",$M198=1),0,IF(OFFSET(CRONOPLE!$F$14,$M198,BF$13)="",10^12,OFFSET(CRONOPLE!$F$14,$M198,BF$13))))</f>
        <v>1000000000000</v>
      </c>
      <c r="BG198" s="215">
        <f ca="1">IF($D198&lt;&gt;"Serviço",0,IF(AND(AUTOEVENTO="Manual",$M198=1),0,IF(OFFSET(CRONOPLE!$F$14,$M198,BG$13)="",10^12,OFFSET(CRONOPLE!$F$14,$M198,BG$13))))</f>
        <v>1000000000000</v>
      </c>
      <c r="BH198" s="215">
        <f ca="1">IF($D198&lt;&gt;"Serviço",0,IF(AND(AUTOEVENTO="Manual",$M198=1),0,IF(OFFSET(CRONOPLE!$F$14,$M198,BH$13)="",10^12,OFFSET(CRONOPLE!$F$14,$M198,BH$13))))</f>
        <v>1000000000000</v>
      </c>
      <c r="BI198" s="215">
        <f ca="1">IF($D198&lt;&gt;"Serviço",0,IF(AND(AUTOEVENTO="Manual",$M198=1),0,IF(OFFSET(CRONOPLE!$F$14,$M198,BI$13)="",10^12,OFFSET(CRONOPLE!$F$14,$M198,BI$13))))</f>
        <v>1000000000000</v>
      </c>
      <c r="BJ198" s="215">
        <f ca="1">IF($D198&lt;&gt;"Serviço",0,IF(AND(AUTOEVENTO="Manual",$M198=1),0,IF(OFFSET(CRONOPLE!$F$14,$M198,BJ$13)="",10^12,OFFSET(CRONOPLE!$F$14,$M198,BJ$13))))</f>
        <v>1000000000000</v>
      </c>
      <c r="BK198" s="215">
        <f ca="1">IF($D198&lt;&gt;"Serviço",0,IF(AND(AUTOEVENTO="Manual",$M198=1),0,IF(OFFSET(CRONOPLE!$F$14,$M198,BK$13)="",10^12,OFFSET(CRONOPLE!$F$14,$M198,BK$13))))</f>
        <v>1000000000000</v>
      </c>
      <c r="BL198" s="215">
        <f ca="1">IF($D198&lt;&gt;"Serviço",0,IF(AND(AUTOEVENTO="Manual",$M198=1),0,IF(OFFSET(CRONOPLE!$F$14,$M198,BL$13)="",10^12,OFFSET(CRONOPLE!$F$14,$M198,BL$13))))</f>
        <v>1000000000000</v>
      </c>
      <c r="BM198" s="215">
        <f ca="1">IF($D198&lt;&gt;"Serviço",0,IF(AND(AUTOEVENTO="Manual",$M198=1),0,IF(OFFSET(CRONOPLE!$F$14,$M198,BM$13)="",10^12,OFFSET(CRONOPLE!$F$14,$M198,BM$13))))</f>
        <v>1000000000000</v>
      </c>
      <c r="BN198" s="215">
        <f ca="1">IF($D198&lt;&gt;"Serviço",0,IF(AND(AUTOEVENTO="Manual",$M198=1),0,IF(OFFSET(CRONOPLE!$F$14,$M198,BN$13)="",10^12,OFFSET(CRONOPLE!$F$14,$M198,BN$13))))</f>
        <v>1000000000000</v>
      </c>
      <c r="BO198" s="215">
        <f ca="1">IF($D198&lt;&gt;"Serviço",0,IF(AND(AUTOEVENTO="Manual",$M198=1),0,IF(OFFSET(CRONOPLE!$F$14,$M198,BO$13)="",10^12,OFFSET(CRONOPLE!$F$14,$M198,BO$13))))</f>
        <v>1000000000000</v>
      </c>
      <c r="BP198" s="215">
        <f ca="1">IF($D198&lt;&gt;"Serviço",0,IF(AND(AUTOEVENTO="Manual",$M198=1),0,IF(OFFSET(CRONOPLE!$F$14,$M198,BP$13)="",10^12,OFFSET(CRONOPLE!$F$14,$M198,BP$13))))</f>
        <v>1000000000000</v>
      </c>
      <c r="BQ198" s="215">
        <f ca="1">IF($D198&lt;&gt;"Serviço",0,IF(AND(AUTOEVENTO="Manual",$M198=1),0,IF(OFFSET(CRONOPLE!$F$14,$M198,BQ$13)="",10^12,OFFSET(CRONOPLE!$F$14,$M198,BQ$13))))</f>
        <v>1000000000000</v>
      </c>
      <c r="BR198" s="215">
        <f ca="1">IF($D198&lt;&gt;"Serviço",0,IF(AND(AUTOEVENTO="Manual",$M198=1),0,IF(OFFSET(CRONOPLE!$F$14,$M198,BR$13)="",10^12,OFFSET(CRONOPLE!$F$14,$M198,BR$13))))</f>
        <v>1000000000000</v>
      </c>
      <c r="BS198" s="215">
        <f ca="1">IF($D198&lt;&gt;"Serviço",0,IF(AND(AUTOEVENTO="Manual",$M198=1),0,IF(OFFSET(CRONOPLE!$F$14,$M198,BS$13)="",10^12,OFFSET(CRONOPLE!$F$14,$M198,BS$13))))</f>
        <v>1000000000000</v>
      </c>
      <c r="BT198" s="215">
        <f ca="1">IF($D198&lt;&gt;"Serviço",0,IF(AND(AUTOEVENTO="Manual",$M198=1),0,IF(OFFSET(CRONOPLE!$F$14,$M198,BT$13)="",10^12,OFFSET(CRONOPLE!$F$14,$M198,BT$13))))</f>
        <v>1000000000000</v>
      </c>
      <c r="BV198" s="216">
        <f ca="1">IF($D198&lt;&gt;"Serviço",0,IF(OR(AND(AUTOEVENTO="Manual",$M198=1),$M198&gt;(ROW(PLE.lastrow)-ROW(PLE.firstrow))),0,IF(OFFSET(PLE!$G$14,$M198,BV$13)="",10^12,OFFSET(PLE!$G$14,$M198,BV$13))))</f>
        <v>1000000000000</v>
      </c>
      <c r="BW198" s="216">
        <f ca="1">IF($D198&lt;&gt;"Serviço",0,IF(OR(AND(AUTOEVENTO="Manual",$M198=1),$M198&gt;(ROW(PLE.lastrow)-ROW(PLE.firstrow))),0,IF(OFFSET(PLE!$G$14,$M198,BW$13)="",10^12,OFFSET(PLE!$G$14,$M198,BW$13))))</f>
        <v>1000000000000</v>
      </c>
      <c r="BX198" s="216">
        <f ca="1">IF($D198&lt;&gt;"Serviço",0,IF(OR(AND(AUTOEVENTO="Manual",$M198=1),$M198&gt;(ROW(PLE.lastrow)-ROW(PLE.firstrow))),0,IF(OFFSET(PLE!$G$14,$M198,BX$13)="",10^12,OFFSET(PLE!$G$14,$M198,BX$13))))</f>
        <v>1000000000000</v>
      </c>
      <c r="BY198" s="216">
        <f ca="1">IF($D198&lt;&gt;"Serviço",0,IF(OR(AND(AUTOEVENTO="Manual",$M198=1),$M198&gt;(ROW(PLE.lastrow)-ROW(PLE.firstrow))),0,IF(OFFSET(PLE!$G$14,$M198,BY$13)="",10^12,OFFSET(PLE!$G$14,$M198,BY$13))))</f>
        <v>1000000000000</v>
      </c>
      <c r="BZ198" s="216">
        <f ca="1">IF($D198&lt;&gt;"Serviço",0,IF(OR(AND(AUTOEVENTO="Manual",$M198=1),$M198&gt;(ROW(PLE.lastrow)-ROW(PLE.firstrow))),0,IF(OFFSET(PLE!$G$14,$M198,BZ$13)="",10^12,OFFSET(PLE!$G$14,$M198,BZ$13))))</f>
        <v>1000000000000</v>
      </c>
      <c r="CA198" s="216">
        <f ca="1">IF($D198&lt;&gt;"Serviço",0,IF(OR(AND(AUTOEVENTO="Manual",$M198=1),$M198&gt;(ROW(PLE.lastrow)-ROW(PLE.firstrow))),0,IF(OFFSET(PLE!$G$14,$M198,CA$13)="",10^12,OFFSET(PLE!$G$14,$M198,CA$13))))</f>
        <v>1000000000000</v>
      </c>
      <c r="CB198" s="216">
        <f ca="1">IF($D198&lt;&gt;"Serviço",0,IF(OR(AND(AUTOEVENTO="Manual",$M198=1),$M198&gt;(ROW(PLE.lastrow)-ROW(PLE.firstrow))),0,IF(OFFSET(PLE!$G$14,$M198,CB$13)="",10^12,OFFSET(PLE!$G$14,$M198,CB$13))))</f>
        <v>1000000000000</v>
      </c>
      <c r="CC198" s="216">
        <f ca="1">IF($D198&lt;&gt;"Serviço",0,IF(OR(AND(AUTOEVENTO="Manual",$M198=1),$M198&gt;(ROW(PLE.lastrow)-ROW(PLE.firstrow))),0,IF(OFFSET(PLE!$G$14,$M198,CC$13)="",10^12,OFFSET(PLE!$G$14,$M198,CC$13))))</f>
        <v>1000000000000</v>
      </c>
      <c r="CD198" s="216">
        <f ca="1">IF($D198&lt;&gt;"Serviço",0,IF(OR(AND(AUTOEVENTO="Manual",$M198=1),$M198&gt;(ROW(PLE.lastrow)-ROW(PLE.firstrow))),0,IF(OFFSET(PLE!$G$14,$M198,CD$13)="",10^12,OFFSET(PLE!$G$14,$M198,CD$13))))</f>
        <v>1000000000000</v>
      </c>
      <c r="CE198" s="216">
        <f ca="1">IF($D198&lt;&gt;"Serviço",0,IF(OR(AND(AUTOEVENTO="Manual",$M198=1),$M198&gt;(ROW(PLE.lastrow)-ROW(PLE.firstrow))),0,IF(OFFSET(PLE!$G$14,$M198,CE$13)="",10^12,OFFSET(PLE!$G$14,$M198,CE$13))))</f>
        <v>1000000000000</v>
      </c>
      <c r="CF198" s="216">
        <f ca="1">IF($D198&lt;&gt;"Serviço",0,IF(OR(AND(AUTOEVENTO="Manual",$M198=1),$M198&gt;(ROW(PLE.lastrow)-ROW(PLE.firstrow))),0,IF(OFFSET(PLE!$G$14,$M198,CF$13)="",10^12,OFFSET(PLE!$G$14,$M198,CF$13))))</f>
        <v>1000000000000</v>
      </c>
      <c r="CG198" s="216">
        <f ca="1">IF($D198&lt;&gt;"Serviço",0,IF(OR(AND(AUTOEVENTO="Manual",$M198=1),$M198&gt;(ROW(PLE.lastrow)-ROW(PLE.firstrow))),0,IF(OFFSET(PLE!$G$14,$M198,CG$13)="",10^12,OFFSET(PLE!$G$14,$M198,CG$13))))</f>
        <v>1000000000000</v>
      </c>
      <c r="CH198" s="216">
        <f ca="1">IF($D198&lt;&gt;"Serviço",0,IF(OR(AND(AUTOEVENTO="Manual",$M198=1),$M198&gt;(ROW(PLE.lastrow)-ROW(PLE.firstrow))),0,IF(OFFSET(PLE!$G$14,$M198,CH$13)="",10^12,OFFSET(PLE!$G$14,$M198,CH$13))))</f>
        <v>1000000000000</v>
      </c>
      <c r="CI198" s="216">
        <f ca="1">IF($D198&lt;&gt;"Serviço",0,IF(OR(AND(AUTOEVENTO="Manual",$M198=1),$M198&gt;(ROW(PLE.lastrow)-ROW(PLE.firstrow))),0,IF(OFFSET(PLE!$G$14,$M198,CI$13)="",10^12,OFFSET(PLE!$G$14,$M198,CI$13))))</f>
        <v>1000000000000</v>
      </c>
      <c r="CJ198" s="216">
        <f ca="1">IF($D198&lt;&gt;"Serviço",0,IF(OR(AND(AUTOEVENTO="Manual",$M198=1),$M198&gt;(ROW(PLE.lastrow)-ROW(PLE.firstrow))),0,IF(OFFSET(PLE!$G$14,$M198,CJ$13)="",10^12,OFFSET(PLE!$G$14,$M198,CJ$13))))</f>
        <v>1000000000000</v>
      </c>
      <c r="CK198" s="216">
        <f ca="1">IF($D198&lt;&gt;"Serviço",0,IF(OR(AND(AUTOEVENTO="Manual",$M198=1),$M198&gt;(ROW(PLE.lastrow)-ROW(PLE.firstrow))),0,IF(OFFSET(PLE!$G$14,$M198,CK$13)="",10^12,OFFSET(PLE!$G$14,$M198,CK$13))))</f>
        <v>1000000000000</v>
      </c>
      <c r="CL198" s="216">
        <f ca="1">IF($D198&lt;&gt;"Serviço",0,IF(OR(AND(AUTOEVENTO="Manual",$M198=1),$M198&gt;(ROW(PLE.lastrow)-ROW(PLE.firstrow))),0,IF(OFFSET(PLE!$G$14,$M198,CL$13)="",10^12,OFFSET(PLE!$G$14,$M198,CL$13))))</f>
        <v>1000000000000</v>
      </c>
      <c r="CM198" s="216">
        <f ca="1">IF($D198&lt;&gt;"Serviço",0,IF(OR(AND(AUTOEVENTO="Manual",$M198=1),$M198&gt;(ROW(PLE.lastrow)-ROW(PLE.firstrow))),0,IF(OFFSET(PLE!$G$14,$M198,CM$13)="",10^12,OFFSET(PLE!$G$14,$M198,CM$13))))</f>
        <v>1000000000000</v>
      </c>
    </row>
    <row r="199" spans="1:91" ht="13.2" x14ac:dyDescent="0.25">
      <c r="A199" s="9">
        <f t="shared" ca="1" si="11"/>
        <v>0</v>
      </c>
      <c r="B199" s="9" t="str">
        <f ca="1">OFFSET(ORÇAMENTO!C$15,ROW(B199)-ROW(B$15),0)</f>
        <v>S</v>
      </c>
      <c r="C199" s="9" t="str">
        <f ca="1">OFFSET(ORÇAMENTO!L$15,ROW(C199)-ROW(C$15),0)</f>
        <v/>
      </c>
      <c r="D199" s="145" t="str">
        <f ca="1">OFFSET(ORÇAMENTO!N$15,ROW(D199)-ROW(D$15),0)</f>
        <v>Serviço</v>
      </c>
      <c r="E199" s="205" t="str">
        <f ca="1">OFFSET(ORÇAMENTO!O$15,ROW(E199)-ROW(E$15),0)</f>
        <v>-</v>
      </c>
      <c r="F199" s="206" t="str">
        <f ca="1">OFFSET(ORÇAMENTO!R$15,ROW(F199)-ROW(F$15),0)</f>
        <v>(abra o arquivo 'Referência 05-2024.xls)</v>
      </c>
      <c r="G199" s="207" t="str">
        <f ca="1">IF($D199&lt;&gt;"Serviço","",OFFSET(ORÇAMENTO!S$15,ROW(G199)-ROW(G$15),0))</f>
        <v>-</v>
      </c>
      <c r="H199" s="151">
        <f ca="1">IF($D199&lt;&gt;"Serviço",0,IF(ACOMPANHAMENTO="BM",ROUND(OFFSET(ORÇAMENTO!AJ$15,ROW(H199)-ROW(H$15),0),15-13*ORÇAMENTO!$AF$7),SUMPRODUCT(($Q$12:$AI$12&lt;&gt;"")*ROUND($Q199:$AI199,15-13*ORÇAMENTO!$AF$7))))</f>
        <v>4.2</v>
      </c>
      <c r="I199" s="650"/>
      <c r="K199" s="208"/>
      <c r="L199" s="209" t="s">
        <v>257</v>
      </c>
      <c r="M199" s="210">
        <f ca="1">IF($D199&lt;&gt;"Serviço","",IF(AUTOEVENTO="manual",$A199,IF(ISERROR(MATCH($A199,$A$15:OFFSET($A199,-1,0),0)),MAX($M$15:OFFSET(M199,-1,0))+1,INDEX($M$15:OFFSET(M199,-1,0),MATCH($A199,$A$15:OFFSET($A199,-1,0),0)))))</f>
        <v>0</v>
      </c>
      <c r="N199" s="211" t="str">
        <f ca="1">IF($D199&lt;&gt;"Serviço","",IF(AUTOEVENTO="Manual",IF($A199=0,"&lt;-- defina o número do agrupador",OFFSET(EVENTOS!$D$14,$A199,0)),OFFSET($F$15,$A199,0)))</f>
        <v>&lt;-- defina o número do agrupador</v>
      </c>
      <c r="O199" s="212"/>
      <c r="Q199" s="212"/>
      <c r="R199" s="213"/>
      <c r="S199" s="213"/>
      <c r="T199" s="213"/>
      <c r="U199" s="213"/>
      <c r="V199" s="213"/>
      <c r="W199" s="213"/>
      <c r="X199" s="213"/>
      <c r="Y199" s="213"/>
      <c r="Z199" s="214"/>
      <c r="AA199" s="213"/>
      <c r="AB199" s="213"/>
      <c r="AC199" s="213"/>
      <c r="AD199" s="213"/>
      <c r="AE199" s="213"/>
      <c r="AF199" s="213"/>
      <c r="AG199" s="213"/>
      <c r="AH199" s="214"/>
      <c r="AJ199" s="631">
        <f ca="1">IF(AND($D199="Serviço",AJ$12&lt;&gt;0,$H199&gt;0,OR(AUTOEVENTO&lt;&gt;"manual",$M199&lt;&gt;1)),ROUND(OFFSET($P199,0,AJ$13),15-13*ORÇAMENTO!$AF$7)/$H199*OFFSET(ORÇAMENTO!$X$15,ROW(AJ199)-ROW(AJ$15),0),0)</f>
        <v>0</v>
      </c>
      <c r="AK199" s="632">
        <f ca="1">IF(AND($D199="Serviço",AK$12&lt;&gt;0,$H199&gt;0,OR(AUTOEVENTO&lt;&gt;"manual",$M199&lt;&gt;1)),ROUND(OFFSET($P199,0,AK$13),15-13*ORÇAMENTO!$AF$7)/$H199*OFFSET(ORÇAMENTO!$X$15,ROW(AK199)-ROW(AK$15),0),0)</f>
        <v>0</v>
      </c>
      <c r="AL199" s="632">
        <f ca="1">IF(AND($D199="Serviço",AL$12&lt;&gt;0,$H199&gt;0,OR(AUTOEVENTO&lt;&gt;"manual",$M199&lt;&gt;1)),ROUND(OFFSET($P199,0,AL$13),15-13*ORÇAMENTO!$AF$7)/$H199*OFFSET(ORÇAMENTO!$X$15,ROW(AL199)-ROW(AL$15),0),0)</f>
        <v>0</v>
      </c>
      <c r="AM199" s="632">
        <f ca="1">IF(AND($D199="Serviço",AM$12&lt;&gt;0,$H199&gt;0,OR(AUTOEVENTO&lt;&gt;"manual",$M199&lt;&gt;1)),ROUND(OFFSET($P199,0,AM$13),15-13*ORÇAMENTO!$AF$7)/$H199*OFFSET(ORÇAMENTO!$X$15,ROW(AM199)-ROW(AM$15),0),0)</f>
        <v>0</v>
      </c>
      <c r="AN199" s="632">
        <f ca="1">IF(AND($D199="Serviço",AN$12&lt;&gt;0,$H199&gt;0,OR(AUTOEVENTO&lt;&gt;"manual",$M199&lt;&gt;1)),ROUND(OFFSET($P199,0,AN$13),15-13*ORÇAMENTO!$AF$7)/$H199*OFFSET(ORÇAMENTO!$X$15,ROW(AN199)-ROW(AN$15),0),0)</f>
        <v>0</v>
      </c>
      <c r="AO199" s="632">
        <f ca="1">IF(AND($D199="Serviço",AO$12&lt;&gt;0,$H199&gt;0,OR(AUTOEVENTO&lt;&gt;"manual",$M199&lt;&gt;1)),ROUND(OFFSET($P199,0,AO$13),15-13*ORÇAMENTO!$AF$7)/$H199*OFFSET(ORÇAMENTO!$X$15,ROW(AO199)-ROW(AO$15),0),0)</f>
        <v>0</v>
      </c>
      <c r="AP199" s="632">
        <f ca="1">IF(AND($D199="Serviço",AP$12&lt;&gt;0,$H199&gt;0,OR(AUTOEVENTO&lt;&gt;"manual",$M199&lt;&gt;1)),ROUND(OFFSET($P199,0,AP$13),15-13*ORÇAMENTO!$AF$7)/$H199*OFFSET(ORÇAMENTO!$X$15,ROW(AP199)-ROW(AP$15),0),0)</f>
        <v>0</v>
      </c>
      <c r="AQ199" s="632">
        <f ca="1">IF(AND($D199="Serviço",AQ$12&lt;&gt;0,$H199&gt;0,OR(AUTOEVENTO&lt;&gt;"manual",$M199&lt;&gt;1)),ROUND(OFFSET($P199,0,AQ$13),15-13*ORÇAMENTO!$AF$7)/$H199*OFFSET(ORÇAMENTO!$X$15,ROW(AQ199)-ROW(AQ$15),0),0)</f>
        <v>0</v>
      </c>
      <c r="AR199" s="632">
        <f ca="1">IF(AND($D199="Serviço",AR$12&lt;&gt;0,$H199&gt;0,OR(AUTOEVENTO&lt;&gt;"manual",$M199&lt;&gt;1)),ROUND(OFFSET($P199,0,AR$13),15-13*ORÇAMENTO!$AF$7)/$H199*OFFSET(ORÇAMENTO!$X$15,ROW(AR199)-ROW(AR$15),0),0)</f>
        <v>0</v>
      </c>
      <c r="AS199" s="633">
        <f ca="1">IF(AND($D199="Serviço",AS$12&lt;&gt;0,$H199&gt;0,OR(AUTOEVENTO&lt;&gt;"manual",$M199&lt;&gt;1)),ROUND(OFFSET($P199,0,AS$13),15-13*ORÇAMENTO!$AF$7)/$H199*OFFSET(ORÇAMENTO!$X$15,ROW(AS199)-ROW(AS$15),0),0)</f>
        <v>0</v>
      </c>
      <c r="AT199" s="632">
        <f ca="1">IF(AND($D199="Serviço",AT$12&lt;&gt;0,$H199&gt;0,OR(AUTOEVENTO&lt;&gt;"manual",$M199&lt;&gt;1)),ROUND(OFFSET($P199,0,AT$13),15-13*ORÇAMENTO!$AF$7)/$H199*OFFSET(ORÇAMENTO!$X$15,ROW(AT199)-ROW(AT$15),0),0)</f>
        <v>0</v>
      </c>
      <c r="AU199" s="632">
        <f ca="1">IF(AND($D199="Serviço",AU$12&lt;&gt;0,$H199&gt;0,OR(AUTOEVENTO&lt;&gt;"manual",$M199&lt;&gt;1)),ROUND(OFFSET($P199,0,AU$13),15-13*ORÇAMENTO!$AF$7)/$H199*OFFSET(ORÇAMENTO!$X$15,ROW(AU199)-ROW(AU$15),0),0)</f>
        <v>0</v>
      </c>
      <c r="AV199" s="632">
        <f ca="1">IF(AND($D199="Serviço",AV$12&lt;&gt;0,$H199&gt;0,OR(AUTOEVENTO&lt;&gt;"manual",$M199&lt;&gt;1)),ROUND(OFFSET($P199,0,AV$13),15-13*ORÇAMENTO!$AF$7)/$H199*OFFSET(ORÇAMENTO!$X$15,ROW(AV199)-ROW(AV$15),0),0)</f>
        <v>0</v>
      </c>
      <c r="AW199" s="632">
        <f ca="1">IF(AND($D199="Serviço",AW$12&lt;&gt;0,$H199&gt;0,OR(AUTOEVENTO&lt;&gt;"manual",$M199&lt;&gt;1)),ROUND(OFFSET($P199,0,AW$13),15-13*ORÇAMENTO!$AF$7)/$H199*OFFSET(ORÇAMENTO!$X$15,ROW(AW199)-ROW(AW$15),0),0)</f>
        <v>0</v>
      </c>
      <c r="AX199" s="632">
        <f ca="1">IF(AND($D199="Serviço",AX$12&lt;&gt;0,$H199&gt;0,OR(AUTOEVENTO&lt;&gt;"manual",$M199&lt;&gt;1)),ROUND(OFFSET($P199,0,AX$13),15-13*ORÇAMENTO!$AF$7)/$H199*OFFSET(ORÇAMENTO!$X$15,ROW(AX199)-ROW(AX$15),0),0)</f>
        <v>0</v>
      </c>
      <c r="AY199" s="632">
        <f ca="1">IF(AND($D199="Serviço",AY$12&lt;&gt;0,$H199&gt;0,OR(AUTOEVENTO&lt;&gt;"manual",$M199&lt;&gt;1)),ROUND(OFFSET($P199,0,AY$13),15-13*ORÇAMENTO!$AF$7)/$H199*OFFSET(ORÇAMENTO!$X$15,ROW(AY199)-ROW(AY$15),0),0)</f>
        <v>0</v>
      </c>
      <c r="AZ199" s="632">
        <f ca="1">IF(AND($D199="Serviço",AZ$12&lt;&gt;0,$H199&gt;0,OR(AUTOEVENTO&lt;&gt;"manual",$M199&lt;&gt;1)),ROUND(OFFSET($P199,0,AZ$13),15-13*ORÇAMENTO!$AF$7)/$H199*OFFSET(ORÇAMENTO!$X$15,ROW(AZ199)-ROW(AZ$15),0),0)</f>
        <v>0</v>
      </c>
      <c r="BA199" s="633">
        <f ca="1">IF(AND($D199="Serviço",BA$12&lt;&gt;0,$H199&gt;0,OR(AUTOEVENTO&lt;&gt;"manual",$M199&lt;&gt;1)),ROUND(OFFSET($P199,0,BA$13),15-13*ORÇAMENTO!$AF$7)/$H199*OFFSET(ORÇAMENTO!$X$15,ROW(BA199)-ROW(BA$15),0),0)</f>
        <v>0</v>
      </c>
      <c r="BC199" s="215">
        <f ca="1">IF($D199&lt;&gt;"Serviço",0,IF(AND(AUTOEVENTO="Manual",$M199=1),0,IF(OFFSET(CRONOPLE!$F$14,$M199,BC$13)="",10^12,OFFSET(CRONOPLE!$F$14,$M199,BC$13))))</f>
        <v>1000000000000</v>
      </c>
      <c r="BD199" s="215">
        <f ca="1">IF($D199&lt;&gt;"Serviço",0,IF(AND(AUTOEVENTO="Manual",$M199=1),0,IF(OFFSET(CRONOPLE!$F$14,$M199,BD$13)="",10^12,OFFSET(CRONOPLE!$F$14,$M199,BD$13))))</f>
        <v>1000000000000</v>
      </c>
      <c r="BE199" s="215">
        <f ca="1">IF($D199&lt;&gt;"Serviço",0,IF(AND(AUTOEVENTO="Manual",$M199=1),0,IF(OFFSET(CRONOPLE!$F$14,$M199,BE$13)="",10^12,OFFSET(CRONOPLE!$F$14,$M199,BE$13))))</f>
        <v>1000000000000</v>
      </c>
      <c r="BF199" s="215">
        <f ca="1">IF($D199&lt;&gt;"Serviço",0,IF(AND(AUTOEVENTO="Manual",$M199=1),0,IF(OFFSET(CRONOPLE!$F$14,$M199,BF$13)="",10^12,OFFSET(CRONOPLE!$F$14,$M199,BF$13))))</f>
        <v>1000000000000</v>
      </c>
      <c r="BG199" s="215">
        <f ca="1">IF($D199&lt;&gt;"Serviço",0,IF(AND(AUTOEVENTO="Manual",$M199=1),0,IF(OFFSET(CRONOPLE!$F$14,$M199,BG$13)="",10^12,OFFSET(CRONOPLE!$F$14,$M199,BG$13))))</f>
        <v>1000000000000</v>
      </c>
      <c r="BH199" s="215">
        <f ca="1">IF($D199&lt;&gt;"Serviço",0,IF(AND(AUTOEVENTO="Manual",$M199=1),0,IF(OFFSET(CRONOPLE!$F$14,$M199,BH$13)="",10^12,OFFSET(CRONOPLE!$F$14,$M199,BH$13))))</f>
        <v>1000000000000</v>
      </c>
      <c r="BI199" s="215">
        <f ca="1">IF($D199&lt;&gt;"Serviço",0,IF(AND(AUTOEVENTO="Manual",$M199=1),0,IF(OFFSET(CRONOPLE!$F$14,$M199,BI$13)="",10^12,OFFSET(CRONOPLE!$F$14,$M199,BI$13))))</f>
        <v>1000000000000</v>
      </c>
      <c r="BJ199" s="215">
        <f ca="1">IF($D199&lt;&gt;"Serviço",0,IF(AND(AUTOEVENTO="Manual",$M199=1),0,IF(OFFSET(CRONOPLE!$F$14,$M199,BJ$13)="",10^12,OFFSET(CRONOPLE!$F$14,$M199,BJ$13))))</f>
        <v>1000000000000</v>
      </c>
      <c r="BK199" s="215">
        <f ca="1">IF($D199&lt;&gt;"Serviço",0,IF(AND(AUTOEVENTO="Manual",$M199=1),0,IF(OFFSET(CRONOPLE!$F$14,$M199,BK$13)="",10^12,OFFSET(CRONOPLE!$F$14,$M199,BK$13))))</f>
        <v>1000000000000</v>
      </c>
      <c r="BL199" s="215">
        <f ca="1">IF($D199&lt;&gt;"Serviço",0,IF(AND(AUTOEVENTO="Manual",$M199=1),0,IF(OFFSET(CRONOPLE!$F$14,$M199,BL$13)="",10^12,OFFSET(CRONOPLE!$F$14,$M199,BL$13))))</f>
        <v>1000000000000</v>
      </c>
      <c r="BM199" s="215">
        <f ca="1">IF($D199&lt;&gt;"Serviço",0,IF(AND(AUTOEVENTO="Manual",$M199=1),0,IF(OFFSET(CRONOPLE!$F$14,$M199,BM$13)="",10^12,OFFSET(CRONOPLE!$F$14,$M199,BM$13))))</f>
        <v>1000000000000</v>
      </c>
      <c r="BN199" s="215">
        <f ca="1">IF($D199&lt;&gt;"Serviço",0,IF(AND(AUTOEVENTO="Manual",$M199=1),0,IF(OFFSET(CRONOPLE!$F$14,$M199,BN$13)="",10^12,OFFSET(CRONOPLE!$F$14,$M199,BN$13))))</f>
        <v>1000000000000</v>
      </c>
      <c r="BO199" s="215">
        <f ca="1">IF($D199&lt;&gt;"Serviço",0,IF(AND(AUTOEVENTO="Manual",$M199=1),0,IF(OFFSET(CRONOPLE!$F$14,$M199,BO$13)="",10^12,OFFSET(CRONOPLE!$F$14,$M199,BO$13))))</f>
        <v>1000000000000</v>
      </c>
      <c r="BP199" s="215">
        <f ca="1">IF($D199&lt;&gt;"Serviço",0,IF(AND(AUTOEVENTO="Manual",$M199=1),0,IF(OFFSET(CRONOPLE!$F$14,$M199,BP$13)="",10^12,OFFSET(CRONOPLE!$F$14,$M199,BP$13))))</f>
        <v>1000000000000</v>
      </c>
      <c r="BQ199" s="215">
        <f ca="1">IF($D199&lt;&gt;"Serviço",0,IF(AND(AUTOEVENTO="Manual",$M199=1),0,IF(OFFSET(CRONOPLE!$F$14,$M199,BQ$13)="",10^12,OFFSET(CRONOPLE!$F$14,$M199,BQ$13))))</f>
        <v>1000000000000</v>
      </c>
      <c r="BR199" s="215">
        <f ca="1">IF($D199&lt;&gt;"Serviço",0,IF(AND(AUTOEVENTO="Manual",$M199=1),0,IF(OFFSET(CRONOPLE!$F$14,$M199,BR$13)="",10^12,OFFSET(CRONOPLE!$F$14,$M199,BR$13))))</f>
        <v>1000000000000</v>
      </c>
      <c r="BS199" s="215">
        <f ca="1">IF($D199&lt;&gt;"Serviço",0,IF(AND(AUTOEVENTO="Manual",$M199=1),0,IF(OFFSET(CRONOPLE!$F$14,$M199,BS$13)="",10^12,OFFSET(CRONOPLE!$F$14,$M199,BS$13))))</f>
        <v>1000000000000</v>
      </c>
      <c r="BT199" s="215">
        <f ca="1">IF($D199&lt;&gt;"Serviço",0,IF(AND(AUTOEVENTO="Manual",$M199=1),0,IF(OFFSET(CRONOPLE!$F$14,$M199,BT$13)="",10^12,OFFSET(CRONOPLE!$F$14,$M199,BT$13))))</f>
        <v>1000000000000</v>
      </c>
      <c r="BV199" s="216">
        <f ca="1">IF($D199&lt;&gt;"Serviço",0,IF(OR(AND(AUTOEVENTO="Manual",$M199=1),$M199&gt;(ROW(PLE.lastrow)-ROW(PLE.firstrow))),0,IF(OFFSET(PLE!$G$14,$M199,BV$13)="",10^12,OFFSET(PLE!$G$14,$M199,BV$13))))</f>
        <v>1000000000000</v>
      </c>
      <c r="BW199" s="216">
        <f ca="1">IF($D199&lt;&gt;"Serviço",0,IF(OR(AND(AUTOEVENTO="Manual",$M199=1),$M199&gt;(ROW(PLE.lastrow)-ROW(PLE.firstrow))),0,IF(OFFSET(PLE!$G$14,$M199,BW$13)="",10^12,OFFSET(PLE!$G$14,$M199,BW$13))))</f>
        <v>1000000000000</v>
      </c>
      <c r="BX199" s="216">
        <f ca="1">IF($D199&lt;&gt;"Serviço",0,IF(OR(AND(AUTOEVENTO="Manual",$M199=1),$M199&gt;(ROW(PLE.lastrow)-ROW(PLE.firstrow))),0,IF(OFFSET(PLE!$G$14,$M199,BX$13)="",10^12,OFFSET(PLE!$G$14,$M199,BX$13))))</f>
        <v>1000000000000</v>
      </c>
      <c r="BY199" s="216">
        <f ca="1">IF($D199&lt;&gt;"Serviço",0,IF(OR(AND(AUTOEVENTO="Manual",$M199=1),$M199&gt;(ROW(PLE.lastrow)-ROW(PLE.firstrow))),0,IF(OFFSET(PLE!$G$14,$M199,BY$13)="",10^12,OFFSET(PLE!$G$14,$M199,BY$13))))</f>
        <v>1000000000000</v>
      </c>
      <c r="BZ199" s="216">
        <f ca="1">IF($D199&lt;&gt;"Serviço",0,IF(OR(AND(AUTOEVENTO="Manual",$M199=1),$M199&gt;(ROW(PLE.lastrow)-ROW(PLE.firstrow))),0,IF(OFFSET(PLE!$G$14,$M199,BZ$13)="",10^12,OFFSET(PLE!$G$14,$M199,BZ$13))))</f>
        <v>1000000000000</v>
      </c>
      <c r="CA199" s="216">
        <f ca="1">IF($D199&lt;&gt;"Serviço",0,IF(OR(AND(AUTOEVENTO="Manual",$M199=1),$M199&gt;(ROW(PLE.lastrow)-ROW(PLE.firstrow))),0,IF(OFFSET(PLE!$G$14,$M199,CA$13)="",10^12,OFFSET(PLE!$G$14,$M199,CA$13))))</f>
        <v>1000000000000</v>
      </c>
      <c r="CB199" s="216">
        <f ca="1">IF($D199&lt;&gt;"Serviço",0,IF(OR(AND(AUTOEVENTO="Manual",$M199=1),$M199&gt;(ROW(PLE.lastrow)-ROW(PLE.firstrow))),0,IF(OFFSET(PLE!$G$14,$M199,CB$13)="",10^12,OFFSET(PLE!$G$14,$M199,CB$13))))</f>
        <v>1000000000000</v>
      </c>
      <c r="CC199" s="216">
        <f ca="1">IF($D199&lt;&gt;"Serviço",0,IF(OR(AND(AUTOEVENTO="Manual",$M199=1),$M199&gt;(ROW(PLE.lastrow)-ROW(PLE.firstrow))),0,IF(OFFSET(PLE!$G$14,$M199,CC$13)="",10^12,OFFSET(PLE!$G$14,$M199,CC$13))))</f>
        <v>1000000000000</v>
      </c>
      <c r="CD199" s="216">
        <f ca="1">IF($D199&lt;&gt;"Serviço",0,IF(OR(AND(AUTOEVENTO="Manual",$M199=1),$M199&gt;(ROW(PLE.lastrow)-ROW(PLE.firstrow))),0,IF(OFFSET(PLE!$G$14,$M199,CD$13)="",10^12,OFFSET(PLE!$G$14,$M199,CD$13))))</f>
        <v>1000000000000</v>
      </c>
      <c r="CE199" s="216">
        <f ca="1">IF($D199&lt;&gt;"Serviço",0,IF(OR(AND(AUTOEVENTO="Manual",$M199=1),$M199&gt;(ROW(PLE.lastrow)-ROW(PLE.firstrow))),0,IF(OFFSET(PLE!$G$14,$M199,CE$13)="",10^12,OFFSET(PLE!$G$14,$M199,CE$13))))</f>
        <v>1000000000000</v>
      </c>
      <c r="CF199" s="216">
        <f ca="1">IF($D199&lt;&gt;"Serviço",0,IF(OR(AND(AUTOEVENTO="Manual",$M199=1),$M199&gt;(ROW(PLE.lastrow)-ROW(PLE.firstrow))),0,IF(OFFSET(PLE!$G$14,$M199,CF$13)="",10^12,OFFSET(PLE!$G$14,$M199,CF$13))))</f>
        <v>1000000000000</v>
      </c>
      <c r="CG199" s="216">
        <f ca="1">IF($D199&lt;&gt;"Serviço",0,IF(OR(AND(AUTOEVENTO="Manual",$M199=1),$M199&gt;(ROW(PLE.lastrow)-ROW(PLE.firstrow))),0,IF(OFFSET(PLE!$G$14,$M199,CG$13)="",10^12,OFFSET(PLE!$G$14,$M199,CG$13))))</f>
        <v>1000000000000</v>
      </c>
      <c r="CH199" s="216">
        <f ca="1">IF($D199&lt;&gt;"Serviço",0,IF(OR(AND(AUTOEVENTO="Manual",$M199=1),$M199&gt;(ROW(PLE.lastrow)-ROW(PLE.firstrow))),0,IF(OFFSET(PLE!$G$14,$M199,CH$13)="",10^12,OFFSET(PLE!$G$14,$M199,CH$13))))</f>
        <v>1000000000000</v>
      </c>
      <c r="CI199" s="216">
        <f ca="1">IF($D199&lt;&gt;"Serviço",0,IF(OR(AND(AUTOEVENTO="Manual",$M199=1),$M199&gt;(ROW(PLE.lastrow)-ROW(PLE.firstrow))),0,IF(OFFSET(PLE!$G$14,$M199,CI$13)="",10^12,OFFSET(PLE!$G$14,$M199,CI$13))))</f>
        <v>1000000000000</v>
      </c>
      <c r="CJ199" s="216">
        <f ca="1">IF($D199&lt;&gt;"Serviço",0,IF(OR(AND(AUTOEVENTO="Manual",$M199=1),$M199&gt;(ROW(PLE.lastrow)-ROW(PLE.firstrow))),0,IF(OFFSET(PLE!$G$14,$M199,CJ$13)="",10^12,OFFSET(PLE!$G$14,$M199,CJ$13))))</f>
        <v>1000000000000</v>
      </c>
      <c r="CK199" s="216">
        <f ca="1">IF($D199&lt;&gt;"Serviço",0,IF(OR(AND(AUTOEVENTO="Manual",$M199=1),$M199&gt;(ROW(PLE.lastrow)-ROW(PLE.firstrow))),0,IF(OFFSET(PLE!$G$14,$M199,CK$13)="",10^12,OFFSET(PLE!$G$14,$M199,CK$13))))</f>
        <v>1000000000000</v>
      </c>
      <c r="CL199" s="216">
        <f ca="1">IF($D199&lt;&gt;"Serviço",0,IF(OR(AND(AUTOEVENTO="Manual",$M199=1),$M199&gt;(ROW(PLE.lastrow)-ROW(PLE.firstrow))),0,IF(OFFSET(PLE!$G$14,$M199,CL$13)="",10^12,OFFSET(PLE!$G$14,$M199,CL$13))))</f>
        <v>1000000000000</v>
      </c>
      <c r="CM199" s="216">
        <f ca="1">IF($D199&lt;&gt;"Serviço",0,IF(OR(AND(AUTOEVENTO="Manual",$M199=1),$M199&gt;(ROW(PLE.lastrow)-ROW(PLE.firstrow))),0,IF(OFFSET(PLE!$G$14,$M199,CM$13)="",10^12,OFFSET(PLE!$G$14,$M199,CM$13))))</f>
        <v>1000000000000</v>
      </c>
    </row>
    <row r="200" spans="1:91" ht="13.2" x14ac:dyDescent="0.25">
      <c r="A200" s="9">
        <f t="shared" ca="1" si="11"/>
        <v>0</v>
      </c>
      <c r="B200" s="9" t="str">
        <f ca="1">OFFSET(ORÇAMENTO!C$15,ROW(B200)-ROW(B$15),0)</f>
        <v>S</v>
      </c>
      <c r="C200" s="9" t="str">
        <f ca="1">OFFSET(ORÇAMENTO!L$15,ROW(C200)-ROW(C$15),0)</f>
        <v/>
      </c>
      <c r="D200" s="145" t="str">
        <f ca="1">OFFSET(ORÇAMENTO!N$15,ROW(D200)-ROW(D$15),0)</f>
        <v>Serviço</v>
      </c>
      <c r="E200" s="205" t="str">
        <f ca="1">OFFSET(ORÇAMENTO!O$15,ROW(E200)-ROW(E$15),0)</f>
        <v>-</v>
      </c>
      <c r="F200" s="206" t="str">
        <f ca="1">OFFSET(ORÇAMENTO!R$15,ROW(F200)-ROW(F$15),0)</f>
        <v>(abra o arquivo 'Referência 05-2024.xls)</v>
      </c>
      <c r="G200" s="207" t="str">
        <f ca="1">IF($D200&lt;&gt;"Serviço","",OFFSET(ORÇAMENTO!S$15,ROW(G200)-ROW(G$15),0))</f>
        <v>-</v>
      </c>
      <c r="H200" s="151">
        <f ca="1">IF($D200&lt;&gt;"Serviço",0,IF(ACOMPANHAMENTO="BM",ROUND(OFFSET(ORÇAMENTO!AJ$15,ROW(H200)-ROW(H$15),0),15-13*ORÇAMENTO!$AF$7),SUMPRODUCT(($Q$12:$AI$12&lt;&gt;"")*ROUND($Q200:$AI200,15-13*ORÇAMENTO!$AF$7))))</f>
        <v>19.32</v>
      </c>
      <c r="I200" s="650"/>
      <c r="K200" s="208"/>
      <c r="L200" s="209" t="s">
        <v>257</v>
      </c>
      <c r="M200" s="210">
        <f ca="1">IF($D200&lt;&gt;"Serviço","",IF(AUTOEVENTO="manual",$A200,IF(ISERROR(MATCH($A200,$A$15:OFFSET($A200,-1,0),0)),MAX($M$15:OFFSET(M200,-1,0))+1,INDEX($M$15:OFFSET(M200,-1,0),MATCH($A200,$A$15:OFFSET($A200,-1,0),0)))))</f>
        <v>0</v>
      </c>
      <c r="N200" s="211" t="str">
        <f ca="1">IF($D200&lt;&gt;"Serviço","",IF(AUTOEVENTO="Manual",IF($A200=0,"&lt;-- defina o número do agrupador",OFFSET(EVENTOS!$D$14,$A200,0)),OFFSET($F$15,$A200,0)))</f>
        <v>&lt;-- defina o número do agrupador</v>
      </c>
      <c r="O200" s="212"/>
      <c r="Q200" s="212"/>
      <c r="R200" s="213"/>
      <c r="S200" s="213"/>
      <c r="T200" s="213"/>
      <c r="U200" s="213"/>
      <c r="V200" s="213"/>
      <c r="W200" s="213"/>
      <c r="X200" s="213"/>
      <c r="Y200" s="213"/>
      <c r="Z200" s="214"/>
      <c r="AA200" s="213"/>
      <c r="AB200" s="213"/>
      <c r="AC200" s="213"/>
      <c r="AD200" s="213"/>
      <c r="AE200" s="213"/>
      <c r="AF200" s="213"/>
      <c r="AG200" s="213"/>
      <c r="AH200" s="214"/>
      <c r="AJ200" s="631">
        <f ca="1">IF(AND($D200="Serviço",AJ$12&lt;&gt;0,$H200&gt;0,OR(AUTOEVENTO&lt;&gt;"manual",$M200&lt;&gt;1)),ROUND(OFFSET($P200,0,AJ$13),15-13*ORÇAMENTO!$AF$7)/$H200*OFFSET(ORÇAMENTO!$X$15,ROW(AJ200)-ROW(AJ$15),0),0)</f>
        <v>0</v>
      </c>
      <c r="AK200" s="632">
        <f ca="1">IF(AND($D200="Serviço",AK$12&lt;&gt;0,$H200&gt;0,OR(AUTOEVENTO&lt;&gt;"manual",$M200&lt;&gt;1)),ROUND(OFFSET($P200,0,AK$13),15-13*ORÇAMENTO!$AF$7)/$H200*OFFSET(ORÇAMENTO!$X$15,ROW(AK200)-ROW(AK$15),0),0)</f>
        <v>0</v>
      </c>
      <c r="AL200" s="632">
        <f ca="1">IF(AND($D200="Serviço",AL$12&lt;&gt;0,$H200&gt;0,OR(AUTOEVENTO&lt;&gt;"manual",$M200&lt;&gt;1)),ROUND(OFFSET($P200,0,AL$13),15-13*ORÇAMENTO!$AF$7)/$H200*OFFSET(ORÇAMENTO!$X$15,ROW(AL200)-ROW(AL$15),0),0)</f>
        <v>0</v>
      </c>
      <c r="AM200" s="632">
        <f ca="1">IF(AND($D200="Serviço",AM$12&lt;&gt;0,$H200&gt;0,OR(AUTOEVENTO&lt;&gt;"manual",$M200&lt;&gt;1)),ROUND(OFFSET($P200,0,AM$13),15-13*ORÇAMENTO!$AF$7)/$H200*OFFSET(ORÇAMENTO!$X$15,ROW(AM200)-ROW(AM$15),0),0)</f>
        <v>0</v>
      </c>
      <c r="AN200" s="632">
        <f ca="1">IF(AND($D200="Serviço",AN$12&lt;&gt;0,$H200&gt;0,OR(AUTOEVENTO&lt;&gt;"manual",$M200&lt;&gt;1)),ROUND(OFFSET($P200,0,AN$13),15-13*ORÇAMENTO!$AF$7)/$H200*OFFSET(ORÇAMENTO!$X$15,ROW(AN200)-ROW(AN$15),0),0)</f>
        <v>0</v>
      </c>
      <c r="AO200" s="632">
        <f ca="1">IF(AND($D200="Serviço",AO$12&lt;&gt;0,$H200&gt;0,OR(AUTOEVENTO&lt;&gt;"manual",$M200&lt;&gt;1)),ROUND(OFFSET($P200,0,AO$13),15-13*ORÇAMENTO!$AF$7)/$H200*OFFSET(ORÇAMENTO!$X$15,ROW(AO200)-ROW(AO$15),0),0)</f>
        <v>0</v>
      </c>
      <c r="AP200" s="632">
        <f ca="1">IF(AND($D200="Serviço",AP$12&lt;&gt;0,$H200&gt;0,OR(AUTOEVENTO&lt;&gt;"manual",$M200&lt;&gt;1)),ROUND(OFFSET($P200,0,AP$13),15-13*ORÇAMENTO!$AF$7)/$H200*OFFSET(ORÇAMENTO!$X$15,ROW(AP200)-ROW(AP$15),0),0)</f>
        <v>0</v>
      </c>
      <c r="AQ200" s="632">
        <f ca="1">IF(AND($D200="Serviço",AQ$12&lt;&gt;0,$H200&gt;0,OR(AUTOEVENTO&lt;&gt;"manual",$M200&lt;&gt;1)),ROUND(OFFSET($P200,0,AQ$13),15-13*ORÇAMENTO!$AF$7)/$H200*OFFSET(ORÇAMENTO!$X$15,ROW(AQ200)-ROW(AQ$15),0),0)</f>
        <v>0</v>
      </c>
      <c r="AR200" s="632">
        <f ca="1">IF(AND($D200="Serviço",AR$12&lt;&gt;0,$H200&gt;0,OR(AUTOEVENTO&lt;&gt;"manual",$M200&lt;&gt;1)),ROUND(OFFSET($P200,0,AR$13),15-13*ORÇAMENTO!$AF$7)/$H200*OFFSET(ORÇAMENTO!$X$15,ROW(AR200)-ROW(AR$15),0),0)</f>
        <v>0</v>
      </c>
      <c r="AS200" s="633">
        <f ca="1">IF(AND($D200="Serviço",AS$12&lt;&gt;0,$H200&gt;0,OR(AUTOEVENTO&lt;&gt;"manual",$M200&lt;&gt;1)),ROUND(OFFSET($P200,0,AS$13),15-13*ORÇAMENTO!$AF$7)/$H200*OFFSET(ORÇAMENTO!$X$15,ROW(AS200)-ROW(AS$15),0),0)</f>
        <v>0</v>
      </c>
      <c r="AT200" s="632">
        <f ca="1">IF(AND($D200="Serviço",AT$12&lt;&gt;0,$H200&gt;0,OR(AUTOEVENTO&lt;&gt;"manual",$M200&lt;&gt;1)),ROUND(OFFSET($P200,0,AT$13),15-13*ORÇAMENTO!$AF$7)/$H200*OFFSET(ORÇAMENTO!$X$15,ROW(AT200)-ROW(AT$15),0),0)</f>
        <v>0</v>
      </c>
      <c r="AU200" s="632">
        <f ca="1">IF(AND($D200="Serviço",AU$12&lt;&gt;0,$H200&gt;0,OR(AUTOEVENTO&lt;&gt;"manual",$M200&lt;&gt;1)),ROUND(OFFSET($P200,0,AU$13),15-13*ORÇAMENTO!$AF$7)/$H200*OFFSET(ORÇAMENTO!$X$15,ROW(AU200)-ROW(AU$15),0),0)</f>
        <v>0</v>
      </c>
      <c r="AV200" s="632">
        <f ca="1">IF(AND($D200="Serviço",AV$12&lt;&gt;0,$H200&gt;0,OR(AUTOEVENTO&lt;&gt;"manual",$M200&lt;&gt;1)),ROUND(OFFSET($P200,0,AV$13),15-13*ORÇAMENTO!$AF$7)/$H200*OFFSET(ORÇAMENTO!$X$15,ROW(AV200)-ROW(AV$15),0),0)</f>
        <v>0</v>
      </c>
      <c r="AW200" s="632">
        <f ca="1">IF(AND($D200="Serviço",AW$12&lt;&gt;0,$H200&gt;0,OR(AUTOEVENTO&lt;&gt;"manual",$M200&lt;&gt;1)),ROUND(OFFSET($P200,0,AW$13),15-13*ORÇAMENTO!$AF$7)/$H200*OFFSET(ORÇAMENTO!$X$15,ROW(AW200)-ROW(AW$15),0),0)</f>
        <v>0</v>
      </c>
      <c r="AX200" s="632">
        <f ca="1">IF(AND($D200="Serviço",AX$12&lt;&gt;0,$H200&gt;0,OR(AUTOEVENTO&lt;&gt;"manual",$M200&lt;&gt;1)),ROUND(OFFSET($P200,0,AX$13),15-13*ORÇAMENTO!$AF$7)/$H200*OFFSET(ORÇAMENTO!$X$15,ROW(AX200)-ROW(AX$15),0),0)</f>
        <v>0</v>
      </c>
      <c r="AY200" s="632">
        <f ca="1">IF(AND($D200="Serviço",AY$12&lt;&gt;0,$H200&gt;0,OR(AUTOEVENTO&lt;&gt;"manual",$M200&lt;&gt;1)),ROUND(OFFSET($P200,0,AY$13),15-13*ORÇAMENTO!$AF$7)/$H200*OFFSET(ORÇAMENTO!$X$15,ROW(AY200)-ROW(AY$15),0),0)</f>
        <v>0</v>
      </c>
      <c r="AZ200" s="632">
        <f ca="1">IF(AND($D200="Serviço",AZ$12&lt;&gt;0,$H200&gt;0,OR(AUTOEVENTO&lt;&gt;"manual",$M200&lt;&gt;1)),ROUND(OFFSET($P200,0,AZ$13),15-13*ORÇAMENTO!$AF$7)/$H200*OFFSET(ORÇAMENTO!$X$15,ROW(AZ200)-ROW(AZ$15),0),0)</f>
        <v>0</v>
      </c>
      <c r="BA200" s="633">
        <f ca="1">IF(AND($D200="Serviço",BA$12&lt;&gt;0,$H200&gt;0,OR(AUTOEVENTO&lt;&gt;"manual",$M200&lt;&gt;1)),ROUND(OFFSET($P200,0,BA$13),15-13*ORÇAMENTO!$AF$7)/$H200*OFFSET(ORÇAMENTO!$X$15,ROW(BA200)-ROW(BA$15),0),0)</f>
        <v>0</v>
      </c>
      <c r="BC200" s="215">
        <f ca="1">IF($D200&lt;&gt;"Serviço",0,IF(AND(AUTOEVENTO="Manual",$M200=1),0,IF(OFFSET(CRONOPLE!$F$14,$M200,BC$13)="",10^12,OFFSET(CRONOPLE!$F$14,$M200,BC$13))))</f>
        <v>1000000000000</v>
      </c>
      <c r="BD200" s="215">
        <f ca="1">IF($D200&lt;&gt;"Serviço",0,IF(AND(AUTOEVENTO="Manual",$M200=1),0,IF(OFFSET(CRONOPLE!$F$14,$M200,BD$13)="",10^12,OFFSET(CRONOPLE!$F$14,$M200,BD$13))))</f>
        <v>1000000000000</v>
      </c>
      <c r="BE200" s="215">
        <f ca="1">IF($D200&lt;&gt;"Serviço",0,IF(AND(AUTOEVENTO="Manual",$M200=1),0,IF(OFFSET(CRONOPLE!$F$14,$M200,BE$13)="",10^12,OFFSET(CRONOPLE!$F$14,$M200,BE$13))))</f>
        <v>1000000000000</v>
      </c>
      <c r="BF200" s="215">
        <f ca="1">IF($D200&lt;&gt;"Serviço",0,IF(AND(AUTOEVENTO="Manual",$M200=1),0,IF(OFFSET(CRONOPLE!$F$14,$M200,BF$13)="",10^12,OFFSET(CRONOPLE!$F$14,$M200,BF$13))))</f>
        <v>1000000000000</v>
      </c>
      <c r="BG200" s="215">
        <f ca="1">IF($D200&lt;&gt;"Serviço",0,IF(AND(AUTOEVENTO="Manual",$M200=1),0,IF(OFFSET(CRONOPLE!$F$14,$M200,BG$13)="",10^12,OFFSET(CRONOPLE!$F$14,$M200,BG$13))))</f>
        <v>1000000000000</v>
      </c>
      <c r="BH200" s="215">
        <f ca="1">IF($D200&lt;&gt;"Serviço",0,IF(AND(AUTOEVENTO="Manual",$M200=1),0,IF(OFFSET(CRONOPLE!$F$14,$M200,BH$13)="",10^12,OFFSET(CRONOPLE!$F$14,$M200,BH$13))))</f>
        <v>1000000000000</v>
      </c>
      <c r="BI200" s="215">
        <f ca="1">IF($D200&lt;&gt;"Serviço",0,IF(AND(AUTOEVENTO="Manual",$M200=1),0,IF(OFFSET(CRONOPLE!$F$14,$M200,BI$13)="",10^12,OFFSET(CRONOPLE!$F$14,$M200,BI$13))))</f>
        <v>1000000000000</v>
      </c>
      <c r="BJ200" s="215">
        <f ca="1">IF($D200&lt;&gt;"Serviço",0,IF(AND(AUTOEVENTO="Manual",$M200=1),0,IF(OFFSET(CRONOPLE!$F$14,$M200,BJ$13)="",10^12,OFFSET(CRONOPLE!$F$14,$M200,BJ$13))))</f>
        <v>1000000000000</v>
      </c>
      <c r="BK200" s="215">
        <f ca="1">IF($D200&lt;&gt;"Serviço",0,IF(AND(AUTOEVENTO="Manual",$M200=1),0,IF(OFFSET(CRONOPLE!$F$14,$M200,BK$13)="",10^12,OFFSET(CRONOPLE!$F$14,$M200,BK$13))))</f>
        <v>1000000000000</v>
      </c>
      <c r="BL200" s="215">
        <f ca="1">IF($D200&lt;&gt;"Serviço",0,IF(AND(AUTOEVENTO="Manual",$M200=1),0,IF(OFFSET(CRONOPLE!$F$14,$M200,BL$13)="",10^12,OFFSET(CRONOPLE!$F$14,$M200,BL$13))))</f>
        <v>1000000000000</v>
      </c>
      <c r="BM200" s="215">
        <f ca="1">IF($D200&lt;&gt;"Serviço",0,IF(AND(AUTOEVENTO="Manual",$M200=1),0,IF(OFFSET(CRONOPLE!$F$14,$M200,BM$13)="",10^12,OFFSET(CRONOPLE!$F$14,$M200,BM$13))))</f>
        <v>1000000000000</v>
      </c>
      <c r="BN200" s="215">
        <f ca="1">IF($D200&lt;&gt;"Serviço",0,IF(AND(AUTOEVENTO="Manual",$M200=1),0,IF(OFFSET(CRONOPLE!$F$14,$M200,BN$13)="",10^12,OFFSET(CRONOPLE!$F$14,$M200,BN$13))))</f>
        <v>1000000000000</v>
      </c>
      <c r="BO200" s="215">
        <f ca="1">IF($D200&lt;&gt;"Serviço",0,IF(AND(AUTOEVENTO="Manual",$M200=1),0,IF(OFFSET(CRONOPLE!$F$14,$M200,BO$13)="",10^12,OFFSET(CRONOPLE!$F$14,$M200,BO$13))))</f>
        <v>1000000000000</v>
      </c>
      <c r="BP200" s="215">
        <f ca="1">IF($D200&lt;&gt;"Serviço",0,IF(AND(AUTOEVENTO="Manual",$M200=1),0,IF(OFFSET(CRONOPLE!$F$14,$M200,BP$13)="",10^12,OFFSET(CRONOPLE!$F$14,$M200,BP$13))))</f>
        <v>1000000000000</v>
      </c>
      <c r="BQ200" s="215">
        <f ca="1">IF($D200&lt;&gt;"Serviço",0,IF(AND(AUTOEVENTO="Manual",$M200=1),0,IF(OFFSET(CRONOPLE!$F$14,$M200,BQ$13)="",10^12,OFFSET(CRONOPLE!$F$14,$M200,BQ$13))))</f>
        <v>1000000000000</v>
      </c>
      <c r="BR200" s="215">
        <f ca="1">IF($D200&lt;&gt;"Serviço",0,IF(AND(AUTOEVENTO="Manual",$M200=1),0,IF(OFFSET(CRONOPLE!$F$14,$M200,BR$13)="",10^12,OFFSET(CRONOPLE!$F$14,$M200,BR$13))))</f>
        <v>1000000000000</v>
      </c>
      <c r="BS200" s="215">
        <f ca="1">IF($D200&lt;&gt;"Serviço",0,IF(AND(AUTOEVENTO="Manual",$M200=1),0,IF(OFFSET(CRONOPLE!$F$14,$M200,BS$13)="",10^12,OFFSET(CRONOPLE!$F$14,$M200,BS$13))))</f>
        <v>1000000000000</v>
      </c>
      <c r="BT200" s="215">
        <f ca="1">IF($D200&lt;&gt;"Serviço",0,IF(AND(AUTOEVENTO="Manual",$M200=1),0,IF(OFFSET(CRONOPLE!$F$14,$M200,BT$13)="",10^12,OFFSET(CRONOPLE!$F$14,$M200,BT$13))))</f>
        <v>1000000000000</v>
      </c>
      <c r="BV200" s="216">
        <f ca="1">IF($D200&lt;&gt;"Serviço",0,IF(OR(AND(AUTOEVENTO="Manual",$M200=1),$M200&gt;(ROW(PLE.lastrow)-ROW(PLE.firstrow))),0,IF(OFFSET(PLE!$G$14,$M200,BV$13)="",10^12,OFFSET(PLE!$G$14,$M200,BV$13))))</f>
        <v>1000000000000</v>
      </c>
      <c r="BW200" s="216">
        <f ca="1">IF($D200&lt;&gt;"Serviço",0,IF(OR(AND(AUTOEVENTO="Manual",$M200=1),$M200&gt;(ROW(PLE.lastrow)-ROW(PLE.firstrow))),0,IF(OFFSET(PLE!$G$14,$M200,BW$13)="",10^12,OFFSET(PLE!$G$14,$M200,BW$13))))</f>
        <v>1000000000000</v>
      </c>
      <c r="BX200" s="216">
        <f ca="1">IF($D200&lt;&gt;"Serviço",0,IF(OR(AND(AUTOEVENTO="Manual",$M200=1),$M200&gt;(ROW(PLE.lastrow)-ROW(PLE.firstrow))),0,IF(OFFSET(PLE!$G$14,$M200,BX$13)="",10^12,OFFSET(PLE!$G$14,$M200,BX$13))))</f>
        <v>1000000000000</v>
      </c>
      <c r="BY200" s="216">
        <f ca="1">IF($D200&lt;&gt;"Serviço",0,IF(OR(AND(AUTOEVENTO="Manual",$M200=1),$M200&gt;(ROW(PLE.lastrow)-ROW(PLE.firstrow))),0,IF(OFFSET(PLE!$G$14,$M200,BY$13)="",10^12,OFFSET(PLE!$G$14,$M200,BY$13))))</f>
        <v>1000000000000</v>
      </c>
      <c r="BZ200" s="216">
        <f ca="1">IF($D200&lt;&gt;"Serviço",0,IF(OR(AND(AUTOEVENTO="Manual",$M200=1),$M200&gt;(ROW(PLE.lastrow)-ROW(PLE.firstrow))),0,IF(OFFSET(PLE!$G$14,$M200,BZ$13)="",10^12,OFFSET(PLE!$G$14,$M200,BZ$13))))</f>
        <v>1000000000000</v>
      </c>
      <c r="CA200" s="216">
        <f ca="1">IF($D200&lt;&gt;"Serviço",0,IF(OR(AND(AUTOEVENTO="Manual",$M200=1),$M200&gt;(ROW(PLE.lastrow)-ROW(PLE.firstrow))),0,IF(OFFSET(PLE!$G$14,$M200,CA$13)="",10^12,OFFSET(PLE!$G$14,$M200,CA$13))))</f>
        <v>1000000000000</v>
      </c>
      <c r="CB200" s="216">
        <f ca="1">IF($D200&lt;&gt;"Serviço",0,IF(OR(AND(AUTOEVENTO="Manual",$M200=1),$M200&gt;(ROW(PLE.lastrow)-ROW(PLE.firstrow))),0,IF(OFFSET(PLE!$G$14,$M200,CB$13)="",10^12,OFFSET(PLE!$G$14,$M200,CB$13))))</f>
        <v>1000000000000</v>
      </c>
      <c r="CC200" s="216">
        <f ca="1">IF($D200&lt;&gt;"Serviço",0,IF(OR(AND(AUTOEVENTO="Manual",$M200=1),$M200&gt;(ROW(PLE.lastrow)-ROW(PLE.firstrow))),0,IF(OFFSET(PLE!$G$14,$M200,CC$13)="",10^12,OFFSET(PLE!$G$14,$M200,CC$13))))</f>
        <v>1000000000000</v>
      </c>
      <c r="CD200" s="216">
        <f ca="1">IF($D200&lt;&gt;"Serviço",0,IF(OR(AND(AUTOEVENTO="Manual",$M200=1),$M200&gt;(ROW(PLE.lastrow)-ROW(PLE.firstrow))),0,IF(OFFSET(PLE!$G$14,$M200,CD$13)="",10^12,OFFSET(PLE!$G$14,$M200,CD$13))))</f>
        <v>1000000000000</v>
      </c>
      <c r="CE200" s="216">
        <f ca="1">IF($D200&lt;&gt;"Serviço",0,IF(OR(AND(AUTOEVENTO="Manual",$M200=1),$M200&gt;(ROW(PLE.lastrow)-ROW(PLE.firstrow))),0,IF(OFFSET(PLE!$G$14,$M200,CE$13)="",10^12,OFFSET(PLE!$G$14,$M200,CE$13))))</f>
        <v>1000000000000</v>
      </c>
      <c r="CF200" s="216">
        <f ca="1">IF($D200&lt;&gt;"Serviço",0,IF(OR(AND(AUTOEVENTO="Manual",$M200=1),$M200&gt;(ROW(PLE.lastrow)-ROW(PLE.firstrow))),0,IF(OFFSET(PLE!$G$14,$M200,CF$13)="",10^12,OFFSET(PLE!$G$14,$M200,CF$13))))</f>
        <v>1000000000000</v>
      </c>
      <c r="CG200" s="216">
        <f ca="1">IF($D200&lt;&gt;"Serviço",0,IF(OR(AND(AUTOEVENTO="Manual",$M200=1),$M200&gt;(ROW(PLE.lastrow)-ROW(PLE.firstrow))),0,IF(OFFSET(PLE!$G$14,$M200,CG$13)="",10^12,OFFSET(PLE!$G$14,$M200,CG$13))))</f>
        <v>1000000000000</v>
      </c>
      <c r="CH200" s="216">
        <f ca="1">IF($D200&lt;&gt;"Serviço",0,IF(OR(AND(AUTOEVENTO="Manual",$M200=1),$M200&gt;(ROW(PLE.lastrow)-ROW(PLE.firstrow))),0,IF(OFFSET(PLE!$G$14,$M200,CH$13)="",10^12,OFFSET(PLE!$G$14,$M200,CH$13))))</f>
        <v>1000000000000</v>
      </c>
      <c r="CI200" s="216">
        <f ca="1">IF($D200&lt;&gt;"Serviço",0,IF(OR(AND(AUTOEVENTO="Manual",$M200=1),$M200&gt;(ROW(PLE.lastrow)-ROW(PLE.firstrow))),0,IF(OFFSET(PLE!$G$14,$M200,CI$13)="",10^12,OFFSET(PLE!$G$14,$M200,CI$13))))</f>
        <v>1000000000000</v>
      </c>
      <c r="CJ200" s="216">
        <f ca="1">IF($D200&lt;&gt;"Serviço",0,IF(OR(AND(AUTOEVENTO="Manual",$M200=1),$M200&gt;(ROW(PLE.lastrow)-ROW(PLE.firstrow))),0,IF(OFFSET(PLE!$G$14,$M200,CJ$13)="",10^12,OFFSET(PLE!$G$14,$M200,CJ$13))))</f>
        <v>1000000000000</v>
      </c>
      <c r="CK200" s="216">
        <f ca="1">IF($D200&lt;&gt;"Serviço",0,IF(OR(AND(AUTOEVENTO="Manual",$M200=1),$M200&gt;(ROW(PLE.lastrow)-ROW(PLE.firstrow))),0,IF(OFFSET(PLE!$G$14,$M200,CK$13)="",10^12,OFFSET(PLE!$G$14,$M200,CK$13))))</f>
        <v>1000000000000</v>
      </c>
      <c r="CL200" s="216">
        <f ca="1">IF($D200&lt;&gt;"Serviço",0,IF(OR(AND(AUTOEVENTO="Manual",$M200=1),$M200&gt;(ROW(PLE.lastrow)-ROW(PLE.firstrow))),0,IF(OFFSET(PLE!$G$14,$M200,CL$13)="",10^12,OFFSET(PLE!$G$14,$M200,CL$13))))</f>
        <v>1000000000000</v>
      </c>
      <c r="CM200" s="216">
        <f ca="1">IF($D200&lt;&gt;"Serviço",0,IF(OR(AND(AUTOEVENTO="Manual",$M200=1),$M200&gt;(ROW(PLE.lastrow)-ROW(PLE.firstrow))),0,IF(OFFSET(PLE!$G$14,$M200,CM$13)="",10^12,OFFSET(PLE!$G$14,$M200,CM$13))))</f>
        <v>1000000000000</v>
      </c>
    </row>
    <row r="201" spans="1:91" ht="13.2" x14ac:dyDescent="0.25">
      <c r="A201" s="9">
        <f t="shared" ca="1" si="11"/>
        <v>0</v>
      </c>
      <c r="B201" s="9" t="str">
        <f ca="1">OFFSET(ORÇAMENTO!C$15,ROW(B201)-ROW(B$15),0)</f>
        <v>S</v>
      </c>
      <c r="C201" s="9" t="str">
        <f ca="1">OFFSET(ORÇAMENTO!L$15,ROW(C201)-ROW(C$15),0)</f>
        <v/>
      </c>
      <c r="D201" s="145" t="str">
        <f ca="1">OFFSET(ORÇAMENTO!N$15,ROW(D201)-ROW(D$15),0)</f>
        <v>Serviço</v>
      </c>
      <c r="E201" s="205" t="str">
        <f ca="1">OFFSET(ORÇAMENTO!O$15,ROW(E201)-ROW(E$15),0)</f>
        <v>-</v>
      </c>
      <c r="F201" s="206" t="str">
        <f ca="1">OFFSET(ORÇAMENTO!R$15,ROW(F201)-ROW(F$15),0)</f>
        <v>(abra o arquivo 'Referência 05-2024.xls)</v>
      </c>
      <c r="G201" s="207" t="str">
        <f ca="1">IF($D201&lt;&gt;"Serviço","",OFFSET(ORÇAMENTO!S$15,ROW(G201)-ROW(G$15),0))</f>
        <v>-</v>
      </c>
      <c r="H201" s="151">
        <f ca="1">IF($D201&lt;&gt;"Serviço",0,IF(ACOMPANHAMENTO="BM",ROUND(OFFSET(ORÇAMENTO!AJ$15,ROW(H201)-ROW(H$15),0),15-13*ORÇAMENTO!$AF$7),SUMPRODUCT(($Q$12:$AI$12&lt;&gt;"")*ROUND($Q201:$AI201,15-13*ORÇAMENTO!$AF$7))))</f>
        <v>20.3</v>
      </c>
      <c r="I201" s="650"/>
      <c r="K201" s="208"/>
      <c r="L201" s="209" t="s">
        <v>257</v>
      </c>
      <c r="M201" s="210">
        <f ca="1">IF($D201&lt;&gt;"Serviço","",IF(AUTOEVENTO="manual",$A201,IF(ISERROR(MATCH($A201,$A$15:OFFSET($A201,-1,0),0)),MAX($M$15:OFFSET(M201,-1,0))+1,INDEX($M$15:OFFSET(M201,-1,0),MATCH($A201,$A$15:OFFSET($A201,-1,0),0)))))</f>
        <v>0</v>
      </c>
      <c r="N201" s="211" t="str">
        <f ca="1">IF($D201&lt;&gt;"Serviço","",IF(AUTOEVENTO="Manual",IF($A201=0,"&lt;-- defina o número do agrupador",OFFSET(EVENTOS!$D$14,$A201,0)),OFFSET($F$15,$A201,0)))</f>
        <v>&lt;-- defina o número do agrupador</v>
      </c>
      <c r="O201" s="212"/>
      <c r="Q201" s="212"/>
      <c r="R201" s="213"/>
      <c r="S201" s="213"/>
      <c r="T201" s="213"/>
      <c r="U201" s="213"/>
      <c r="V201" s="213"/>
      <c r="W201" s="213"/>
      <c r="X201" s="213"/>
      <c r="Y201" s="213"/>
      <c r="Z201" s="214"/>
      <c r="AA201" s="213"/>
      <c r="AB201" s="213"/>
      <c r="AC201" s="213"/>
      <c r="AD201" s="213"/>
      <c r="AE201" s="213"/>
      <c r="AF201" s="213"/>
      <c r="AG201" s="213"/>
      <c r="AH201" s="214"/>
      <c r="AJ201" s="631">
        <f ca="1">IF(AND($D201="Serviço",AJ$12&lt;&gt;0,$H201&gt;0,OR(AUTOEVENTO&lt;&gt;"manual",$M201&lt;&gt;1)),ROUND(OFFSET($P201,0,AJ$13),15-13*ORÇAMENTO!$AF$7)/$H201*OFFSET(ORÇAMENTO!$X$15,ROW(AJ201)-ROW(AJ$15),0),0)</f>
        <v>0</v>
      </c>
      <c r="AK201" s="632">
        <f ca="1">IF(AND($D201="Serviço",AK$12&lt;&gt;0,$H201&gt;0,OR(AUTOEVENTO&lt;&gt;"manual",$M201&lt;&gt;1)),ROUND(OFFSET($P201,0,AK$13),15-13*ORÇAMENTO!$AF$7)/$H201*OFFSET(ORÇAMENTO!$X$15,ROW(AK201)-ROW(AK$15),0),0)</f>
        <v>0</v>
      </c>
      <c r="AL201" s="632">
        <f ca="1">IF(AND($D201="Serviço",AL$12&lt;&gt;0,$H201&gt;0,OR(AUTOEVENTO&lt;&gt;"manual",$M201&lt;&gt;1)),ROUND(OFFSET($P201,0,AL$13),15-13*ORÇAMENTO!$AF$7)/$H201*OFFSET(ORÇAMENTO!$X$15,ROW(AL201)-ROW(AL$15),0),0)</f>
        <v>0</v>
      </c>
      <c r="AM201" s="632">
        <f ca="1">IF(AND($D201="Serviço",AM$12&lt;&gt;0,$H201&gt;0,OR(AUTOEVENTO&lt;&gt;"manual",$M201&lt;&gt;1)),ROUND(OFFSET($P201,0,AM$13),15-13*ORÇAMENTO!$AF$7)/$H201*OFFSET(ORÇAMENTO!$X$15,ROW(AM201)-ROW(AM$15),0),0)</f>
        <v>0</v>
      </c>
      <c r="AN201" s="632">
        <f ca="1">IF(AND($D201="Serviço",AN$12&lt;&gt;0,$H201&gt;0,OR(AUTOEVENTO&lt;&gt;"manual",$M201&lt;&gt;1)),ROUND(OFFSET($P201,0,AN$13),15-13*ORÇAMENTO!$AF$7)/$H201*OFFSET(ORÇAMENTO!$X$15,ROW(AN201)-ROW(AN$15),0),0)</f>
        <v>0</v>
      </c>
      <c r="AO201" s="632">
        <f ca="1">IF(AND($D201="Serviço",AO$12&lt;&gt;0,$H201&gt;0,OR(AUTOEVENTO&lt;&gt;"manual",$M201&lt;&gt;1)),ROUND(OFFSET($P201,0,AO$13),15-13*ORÇAMENTO!$AF$7)/$H201*OFFSET(ORÇAMENTO!$X$15,ROW(AO201)-ROW(AO$15),0),0)</f>
        <v>0</v>
      </c>
      <c r="AP201" s="632">
        <f ca="1">IF(AND($D201="Serviço",AP$12&lt;&gt;0,$H201&gt;0,OR(AUTOEVENTO&lt;&gt;"manual",$M201&lt;&gt;1)),ROUND(OFFSET($P201,0,AP$13),15-13*ORÇAMENTO!$AF$7)/$H201*OFFSET(ORÇAMENTO!$X$15,ROW(AP201)-ROW(AP$15),0),0)</f>
        <v>0</v>
      </c>
      <c r="AQ201" s="632">
        <f ca="1">IF(AND($D201="Serviço",AQ$12&lt;&gt;0,$H201&gt;0,OR(AUTOEVENTO&lt;&gt;"manual",$M201&lt;&gt;1)),ROUND(OFFSET($P201,0,AQ$13),15-13*ORÇAMENTO!$AF$7)/$H201*OFFSET(ORÇAMENTO!$X$15,ROW(AQ201)-ROW(AQ$15),0),0)</f>
        <v>0</v>
      </c>
      <c r="AR201" s="632">
        <f ca="1">IF(AND($D201="Serviço",AR$12&lt;&gt;0,$H201&gt;0,OR(AUTOEVENTO&lt;&gt;"manual",$M201&lt;&gt;1)),ROUND(OFFSET($P201,0,AR$13),15-13*ORÇAMENTO!$AF$7)/$H201*OFFSET(ORÇAMENTO!$X$15,ROW(AR201)-ROW(AR$15),0),0)</f>
        <v>0</v>
      </c>
      <c r="AS201" s="633">
        <f ca="1">IF(AND($D201="Serviço",AS$12&lt;&gt;0,$H201&gt;0,OR(AUTOEVENTO&lt;&gt;"manual",$M201&lt;&gt;1)),ROUND(OFFSET($P201,0,AS$13),15-13*ORÇAMENTO!$AF$7)/$H201*OFFSET(ORÇAMENTO!$X$15,ROW(AS201)-ROW(AS$15),0),0)</f>
        <v>0</v>
      </c>
      <c r="AT201" s="632">
        <f ca="1">IF(AND($D201="Serviço",AT$12&lt;&gt;0,$H201&gt;0,OR(AUTOEVENTO&lt;&gt;"manual",$M201&lt;&gt;1)),ROUND(OFFSET($P201,0,AT$13),15-13*ORÇAMENTO!$AF$7)/$H201*OFFSET(ORÇAMENTO!$X$15,ROW(AT201)-ROW(AT$15),0),0)</f>
        <v>0</v>
      </c>
      <c r="AU201" s="632">
        <f ca="1">IF(AND($D201="Serviço",AU$12&lt;&gt;0,$H201&gt;0,OR(AUTOEVENTO&lt;&gt;"manual",$M201&lt;&gt;1)),ROUND(OFFSET($P201,0,AU$13),15-13*ORÇAMENTO!$AF$7)/$H201*OFFSET(ORÇAMENTO!$X$15,ROW(AU201)-ROW(AU$15),0),0)</f>
        <v>0</v>
      </c>
      <c r="AV201" s="632">
        <f ca="1">IF(AND($D201="Serviço",AV$12&lt;&gt;0,$H201&gt;0,OR(AUTOEVENTO&lt;&gt;"manual",$M201&lt;&gt;1)),ROUND(OFFSET($P201,0,AV$13),15-13*ORÇAMENTO!$AF$7)/$H201*OFFSET(ORÇAMENTO!$X$15,ROW(AV201)-ROW(AV$15),0),0)</f>
        <v>0</v>
      </c>
      <c r="AW201" s="632">
        <f ca="1">IF(AND($D201="Serviço",AW$12&lt;&gt;0,$H201&gt;0,OR(AUTOEVENTO&lt;&gt;"manual",$M201&lt;&gt;1)),ROUND(OFFSET($P201,0,AW$13),15-13*ORÇAMENTO!$AF$7)/$H201*OFFSET(ORÇAMENTO!$X$15,ROW(AW201)-ROW(AW$15),0),0)</f>
        <v>0</v>
      </c>
      <c r="AX201" s="632">
        <f ca="1">IF(AND($D201="Serviço",AX$12&lt;&gt;0,$H201&gt;0,OR(AUTOEVENTO&lt;&gt;"manual",$M201&lt;&gt;1)),ROUND(OFFSET($P201,0,AX$13),15-13*ORÇAMENTO!$AF$7)/$H201*OFFSET(ORÇAMENTO!$X$15,ROW(AX201)-ROW(AX$15),0),0)</f>
        <v>0</v>
      </c>
      <c r="AY201" s="632">
        <f ca="1">IF(AND($D201="Serviço",AY$12&lt;&gt;0,$H201&gt;0,OR(AUTOEVENTO&lt;&gt;"manual",$M201&lt;&gt;1)),ROUND(OFFSET($P201,0,AY$13),15-13*ORÇAMENTO!$AF$7)/$H201*OFFSET(ORÇAMENTO!$X$15,ROW(AY201)-ROW(AY$15),0),0)</f>
        <v>0</v>
      </c>
      <c r="AZ201" s="632">
        <f ca="1">IF(AND($D201="Serviço",AZ$12&lt;&gt;0,$H201&gt;0,OR(AUTOEVENTO&lt;&gt;"manual",$M201&lt;&gt;1)),ROUND(OFFSET($P201,0,AZ$13),15-13*ORÇAMENTO!$AF$7)/$H201*OFFSET(ORÇAMENTO!$X$15,ROW(AZ201)-ROW(AZ$15),0),0)</f>
        <v>0</v>
      </c>
      <c r="BA201" s="633">
        <f ca="1">IF(AND($D201="Serviço",BA$12&lt;&gt;0,$H201&gt;0,OR(AUTOEVENTO&lt;&gt;"manual",$M201&lt;&gt;1)),ROUND(OFFSET($P201,0,BA$13),15-13*ORÇAMENTO!$AF$7)/$H201*OFFSET(ORÇAMENTO!$X$15,ROW(BA201)-ROW(BA$15),0),0)</f>
        <v>0</v>
      </c>
      <c r="BC201" s="215">
        <f ca="1">IF($D201&lt;&gt;"Serviço",0,IF(AND(AUTOEVENTO="Manual",$M201=1),0,IF(OFFSET(CRONOPLE!$F$14,$M201,BC$13)="",10^12,OFFSET(CRONOPLE!$F$14,$M201,BC$13))))</f>
        <v>1000000000000</v>
      </c>
      <c r="BD201" s="215">
        <f ca="1">IF($D201&lt;&gt;"Serviço",0,IF(AND(AUTOEVENTO="Manual",$M201=1),0,IF(OFFSET(CRONOPLE!$F$14,$M201,BD$13)="",10^12,OFFSET(CRONOPLE!$F$14,$M201,BD$13))))</f>
        <v>1000000000000</v>
      </c>
      <c r="BE201" s="215">
        <f ca="1">IF($D201&lt;&gt;"Serviço",0,IF(AND(AUTOEVENTO="Manual",$M201=1),0,IF(OFFSET(CRONOPLE!$F$14,$M201,BE$13)="",10^12,OFFSET(CRONOPLE!$F$14,$M201,BE$13))))</f>
        <v>1000000000000</v>
      </c>
      <c r="BF201" s="215">
        <f ca="1">IF($D201&lt;&gt;"Serviço",0,IF(AND(AUTOEVENTO="Manual",$M201=1),0,IF(OFFSET(CRONOPLE!$F$14,$M201,BF$13)="",10^12,OFFSET(CRONOPLE!$F$14,$M201,BF$13))))</f>
        <v>1000000000000</v>
      </c>
      <c r="BG201" s="215">
        <f ca="1">IF($D201&lt;&gt;"Serviço",0,IF(AND(AUTOEVENTO="Manual",$M201=1),0,IF(OFFSET(CRONOPLE!$F$14,$M201,BG$13)="",10^12,OFFSET(CRONOPLE!$F$14,$M201,BG$13))))</f>
        <v>1000000000000</v>
      </c>
      <c r="BH201" s="215">
        <f ca="1">IF($D201&lt;&gt;"Serviço",0,IF(AND(AUTOEVENTO="Manual",$M201=1),0,IF(OFFSET(CRONOPLE!$F$14,$M201,BH$13)="",10^12,OFFSET(CRONOPLE!$F$14,$M201,BH$13))))</f>
        <v>1000000000000</v>
      </c>
      <c r="BI201" s="215">
        <f ca="1">IF($D201&lt;&gt;"Serviço",0,IF(AND(AUTOEVENTO="Manual",$M201=1),0,IF(OFFSET(CRONOPLE!$F$14,$M201,BI$13)="",10^12,OFFSET(CRONOPLE!$F$14,$M201,BI$13))))</f>
        <v>1000000000000</v>
      </c>
      <c r="BJ201" s="215">
        <f ca="1">IF($D201&lt;&gt;"Serviço",0,IF(AND(AUTOEVENTO="Manual",$M201=1),0,IF(OFFSET(CRONOPLE!$F$14,$M201,BJ$13)="",10^12,OFFSET(CRONOPLE!$F$14,$M201,BJ$13))))</f>
        <v>1000000000000</v>
      </c>
      <c r="BK201" s="215">
        <f ca="1">IF($D201&lt;&gt;"Serviço",0,IF(AND(AUTOEVENTO="Manual",$M201=1),0,IF(OFFSET(CRONOPLE!$F$14,$M201,BK$13)="",10^12,OFFSET(CRONOPLE!$F$14,$M201,BK$13))))</f>
        <v>1000000000000</v>
      </c>
      <c r="BL201" s="215">
        <f ca="1">IF($D201&lt;&gt;"Serviço",0,IF(AND(AUTOEVENTO="Manual",$M201=1),0,IF(OFFSET(CRONOPLE!$F$14,$M201,BL$13)="",10^12,OFFSET(CRONOPLE!$F$14,$M201,BL$13))))</f>
        <v>1000000000000</v>
      </c>
      <c r="BM201" s="215">
        <f ca="1">IF($D201&lt;&gt;"Serviço",0,IF(AND(AUTOEVENTO="Manual",$M201=1),0,IF(OFFSET(CRONOPLE!$F$14,$M201,BM$13)="",10^12,OFFSET(CRONOPLE!$F$14,$M201,BM$13))))</f>
        <v>1000000000000</v>
      </c>
      <c r="BN201" s="215">
        <f ca="1">IF($D201&lt;&gt;"Serviço",0,IF(AND(AUTOEVENTO="Manual",$M201=1),0,IF(OFFSET(CRONOPLE!$F$14,$M201,BN$13)="",10^12,OFFSET(CRONOPLE!$F$14,$M201,BN$13))))</f>
        <v>1000000000000</v>
      </c>
      <c r="BO201" s="215">
        <f ca="1">IF($D201&lt;&gt;"Serviço",0,IF(AND(AUTOEVENTO="Manual",$M201=1),0,IF(OFFSET(CRONOPLE!$F$14,$M201,BO$13)="",10^12,OFFSET(CRONOPLE!$F$14,$M201,BO$13))))</f>
        <v>1000000000000</v>
      </c>
      <c r="BP201" s="215">
        <f ca="1">IF($D201&lt;&gt;"Serviço",0,IF(AND(AUTOEVENTO="Manual",$M201=1),0,IF(OFFSET(CRONOPLE!$F$14,$M201,BP$13)="",10^12,OFFSET(CRONOPLE!$F$14,$M201,BP$13))))</f>
        <v>1000000000000</v>
      </c>
      <c r="BQ201" s="215">
        <f ca="1">IF($D201&lt;&gt;"Serviço",0,IF(AND(AUTOEVENTO="Manual",$M201=1),0,IF(OFFSET(CRONOPLE!$F$14,$M201,BQ$13)="",10^12,OFFSET(CRONOPLE!$F$14,$M201,BQ$13))))</f>
        <v>1000000000000</v>
      </c>
      <c r="BR201" s="215">
        <f ca="1">IF($D201&lt;&gt;"Serviço",0,IF(AND(AUTOEVENTO="Manual",$M201=1),0,IF(OFFSET(CRONOPLE!$F$14,$M201,BR$13)="",10^12,OFFSET(CRONOPLE!$F$14,$M201,BR$13))))</f>
        <v>1000000000000</v>
      </c>
      <c r="BS201" s="215">
        <f ca="1">IF($D201&lt;&gt;"Serviço",0,IF(AND(AUTOEVENTO="Manual",$M201=1),0,IF(OFFSET(CRONOPLE!$F$14,$M201,BS$13)="",10^12,OFFSET(CRONOPLE!$F$14,$M201,BS$13))))</f>
        <v>1000000000000</v>
      </c>
      <c r="BT201" s="215">
        <f ca="1">IF($D201&lt;&gt;"Serviço",0,IF(AND(AUTOEVENTO="Manual",$M201=1),0,IF(OFFSET(CRONOPLE!$F$14,$M201,BT$13)="",10^12,OFFSET(CRONOPLE!$F$14,$M201,BT$13))))</f>
        <v>1000000000000</v>
      </c>
      <c r="BV201" s="216">
        <f ca="1">IF($D201&lt;&gt;"Serviço",0,IF(OR(AND(AUTOEVENTO="Manual",$M201=1),$M201&gt;(ROW(PLE.lastrow)-ROW(PLE.firstrow))),0,IF(OFFSET(PLE!$G$14,$M201,BV$13)="",10^12,OFFSET(PLE!$G$14,$M201,BV$13))))</f>
        <v>1000000000000</v>
      </c>
      <c r="BW201" s="216">
        <f ca="1">IF($D201&lt;&gt;"Serviço",0,IF(OR(AND(AUTOEVENTO="Manual",$M201=1),$M201&gt;(ROW(PLE.lastrow)-ROW(PLE.firstrow))),0,IF(OFFSET(PLE!$G$14,$M201,BW$13)="",10^12,OFFSET(PLE!$G$14,$M201,BW$13))))</f>
        <v>1000000000000</v>
      </c>
      <c r="BX201" s="216">
        <f ca="1">IF($D201&lt;&gt;"Serviço",0,IF(OR(AND(AUTOEVENTO="Manual",$M201=1),$M201&gt;(ROW(PLE.lastrow)-ROW(PLE.firstrow))),0,IF(OFFSET(PLE!$G$14,$M201,BX$13)="",10^12,OFFSET(PLE!$G$14,$M201,BX$13))))</f>
        <v>1000000000000</v>
      </c>
      <c r="BY201" s="216">
        <f ca="1">IF($D201&lt;&gt;"Serviço",0,IF(OR(AND(AUTOEVENTO="Manual",$M201=1),$M201&gt;(ROW(PLE.lastrow)-ROW(PLE.firstrow))),0,IF(OFFSET(PLE!$G$14,$M201,BY$13)="",10^12,OFFSET(PLE!$G$14,$M201,BY$13))))</f>
        <v>1000000000000</v>
      </c>
      <c r="BZ201" s="216">
        <f ca="1">IF($D201&lt;&gt;"Serviço",0,IF(OR(AND(AUTOEVENTO="Manual",$M201=1),$M201&gt;(ROW(PLE.lastrow)-ROW(PLE.firstrow))),0,IF(OFFSET(PLE!$G$14,$M201,BZ$13)="",10^12,OFFSET(PLE!$G$14,$M201,BZ$13))))</f>
        <v>1000000000000</v>
      </c>
      <c r="CA201" s="216">
        <f ca="1">IF($D201&lt;&gt;"Serviço",0,IF(OR(AND(AUTOEVENTO="Manual",$M201=1),$M201&gt;(ROW(PLE.lastrow)-ROW(PLE.firstrow))),0,IF(OFFSET(PLE!$G$14,$M201,CA$13)="",10^12,OFFSET(PLE!$G$14,$M201,CA$13))))</f>
        <v>1000000000000</v>
      </c>
      <c r="CB201" s="216">
        <f ca="1">IF($D201&lt;&gt;"Serviço",0,IF(OR(AND(AUTOEVENTO="Manual",$M201=1),$M201&gt;(ROW(PLE.lastrow)-ROW(PLE.firstrow))),0,IF(OFFSET(PLE!$G$14,$M201,CB$13)="",10^12,OFFSET(PLE!$G$14,$M201,CB$13))))</f>
        <v>1000000000000</v>
      </c>
      <c r="CC201" s="216">
        <f ca="1">IF($D201&lt;&gt;"Serviço",0,IF(OR(AND(AUTOEVENTO="Manual",$M201=1),$M201&gt;(ROW(PLE.lastrow)-ROW(PLE.firstrow))),0,IF(OFFSET(PLE!$G$14,$M201,CC$13)="",10^12,OFFSET(PLE!$G$14,$M201,CC$13))))</f>
        <v>1000000000000</v>
      </c>
      <c r="CD201" s="216">
        <f ca="1">IF($D201&lt;&gt;"Serviço",0,IF(OR(AND(AUTOEVENTO="Manual",$M201=1),$M201&gt;(ROW(PLE.lastrow)-ROW(PLE.firstrow))),0,IF(OFFSET(PLE!$G$14,$M201,CD$13)="",10^12,OFFSET(PLE!$G$14,$M201,CD$13))))</f>
        <v>1000000000000</v>
      </c>
      <c r="CE201" s="216">
        <f ca="1">IF($D201&lt;&gt;"Serviço",0,IF(OR(AND(AUTOEVENTO="Manual",$M201=1),$M201&gt;(ROW(PLE.lastrow)-ROW(PLE.firstrow))),0,IF(OFFSET(PLE!$G$14,$M201,CE$13)="",10^12,OFFSET(PLE!$G$14,$M201,CE$13))))</f>
        <v>1000000000000</v>
      </c>
      <c r="CF201" s="216">
        <f ca="1">IF($D201&lt;&gt;"Serviço",0,IF(OR(AND(AUTOEVENTO="Manual",$M201=1),$M201&gt;(ROW(PLE.lastrow)-ROW(PLE.firstrow))),0,IF(OFFSET(PLE!$G$14,$M201,CF$13)="",10^12,OFFSET(PLE!$G$14,$M201,CF$13))))</f>
        <v>1000000000000</v>
      </c>
      <c r="CG201" s="216">
        <f ca="1">IF($D201&lt;&gt;"Serviço",0,IF(OR(AND(AUTOEVENTO="Manual",$M201=1),$M201&gt;(ROW(PLE.lastrow)-ROW(PLE.firstrow))),0,IF(OFFSET(PLE!$G$14,$M201,CG$13)="",10^12,OFFSET(PLE!$G$14,$M201,CG$13))))</f>
        <v>1000000000000</v>
      </c>
      <c r="CH201" s="216">
        <f ca="1">IF($D201&lt;&gt;"Serviço",0,IF(OR(AND(AUTOEVENTO="Manual",$M201=1),$M201&gt;(ROW(PLE.lastrow)-ROW(PLE.firstrow))),0,IF(OFFSET(PLE!$G$14,$M201,CH$13)="",10^12,OFFSET(PLE!$G$14,$M201,CH$13))))</f>
        <v>1000000000000</v>
      </c>
      <c r="CI201" s="216">
        <f ca="1">IF($D201&lt;&gt;"Serviço",0,IF(OR(AND(AUTOEVENTO="Manual",$M201=1),$M201&gt;(ROW(PLE.lastrow)-ROW(PLE.firstrow))),0,IF(OFFSET(PLE!$G$14,$M201,CI$13)="",10^12,OFFSET(PLE!$G$14,$M201,CI$13))))</f>
        <v>1000000000000</v>
      </c>
      <c r="CJ201" s="216">
        <f ca="1">IF($D201&lt;&gt;"Serviço",0,IF(OR(AND(AUTOEVENTO="Manual",$M201=1),$M201&gt;(ROW(PLE.lastrow)-ROW(PLE.firstrow))),0,IF(OFFSET(PLE!$G$14,$M201,CJ$13)="",10^12,OFFSET(PLE!$G$14,$M201,CJ$13))))</f>
        <v>1000000000000</v>
      </c>
      <c r="CK201" s="216">
        <f ca="1">IF($D201&lt;&gt;"Serviço",0,IF(OR(AND(AUTOEVENTO="Manual",$M201=1),$M201&gt;(ROW(PLE.lastrow)-ROW(PLE.firstrow))),0,IF(OFFSET(PLE!$G$14,$M201,CK$13)="",10^12,OFFSET(PLE!$G$14,$M201,CK$13))))</f>
        <v>1000000000000</v>
      </c>
      <c r="CL201" s="216">
        <f ca="1">IF($D201&lt;&gt;"Serviço",0,IF(OR(AND(AUTOEVENTO="Manual",$M201=1),$M201&gt;(ROW(PLE.lastrow)-ROW(PLE.firstrow))),0,IF(OFFSET(PLE!$G$14,$M201,CL$13)="",10^12,OFFSET(PLE!$G$14,$M201,CL$13))))</f>
        <v>1000000000000</v>
      </c>
      <c r="CM201" s="216">
        <f ca="1">IF($D201&lt;&gt;"Serviço",0,IF(OR(AND(AUTOEVENTO="Manual",$M201=1),$M201&gt;(ROW(PLE.lastrow)-ROW(PLE.firstrow))),0,IF(OFFSET(PLE!$G$14,$M201,CM$13)="",10^12,OFFSET(PLE!$G$14,$M201,CM$13))))</f>
        <v>1000000000000</v>
      </c>
    </row>
    <row r="202" spans="1:91" ht="13.2" x14ac:dyDescent="0.25">
      <c r="A202" s="9">
        <f t="shared" ca="1" si="11"/>
        <v>0</v>
      </c>
      <c r="B202" s="9" t="str">
        <f ca="1">OFFSET(ORÇAMENTO!C$15,ROW(B202)-ROW(B$15),0)</f>
        <v>S</v>
      </c>
      <c r="C202" s="9" t="str">
        <f ca="1">OFFSET(ORÇAMENTO!L$15,ROW(C202)-ROW(C$15),0)</f>
        <v/>
      </c>
      <c r="D202" s="145" t="str">
        <f ca="1">OFFSET(ORÇAMENTO!N$15,ROW(D202)-ROW(D$15),0)</f>
        <v>Serviço</v>
      </c>
      <c r="E202" s="205" t="str">
        <f ca="1">OFFSET(ORÇAMENTO!O$15,ROW(E202)-ROW(E$15),0)</f>
        <v>-</v>
      </c>
      <c r="F202" s="206" t="str">
        <f ca="1">OFFSET(ORÇAMENTO!R$15,ROW(F202)-ROW(F$15),0)</f>
        <v>(abra o arquivo 'Referência 05-2024.xls)</v>
      </c>
      <c r="G202" s="207" t="str">
        <f ca="1">IF($D202&lt;&gt;"Serviço","",OFFSET(ORÇAMENTO!S$15,ROW(G202)-ROW(G$15),0))</f>
        <v>-</v>
      </c>
      <c r="H202" s="151">
        <f ca="1">IF($D202&lt;&gt;"Serviço",0,IF(ACOMPANHAMENTO="BM",ROUND(OFFSET(ORÇAMENTO!AJ$15,ROW(H202)-ROW(H$15),0),15-13*ORÇAMENTO!$AF$7),SUMPRODUCT(($Q$12:$AI$12&lt;&gt;"")*ROUND($Q202:$AI202,15-13*ORÇAMENTO!$AF$7))))</f>
        <v>53.55</v>
      </c>
      <c r="I202" s="650"/>
      <c r="K202" s="208"/>
      <c r="L202" s="209" t="s">
        <v>257</v>
      </c>
      <c r="M202" s="210">
        <f ca="1">IF($D202&lt;&gt;"Serviço","",IF(AUTOEVENTO="manual",$A202,IF(ISERROR(MATCH($A202,$A$15:OFFSET($A202,-1,0),0)),MAX($M$15:OFFSET(M202,-1,0))+1,INDEX($M$15:OFFSET(M202,-1,0),MATCH($A202,$A$15:OFFSET($A202,-1,0),0)))))</f>
        <v>0</v>
      </c>
      <c r="N202" s="211" t="str">
        <f ca="1">IF($D202&lt;&gt;"Serviço","",IF(AUTOEVENTO="Manual",IF($A202=0,"&lt;-- defina o número do agrupador",OFFSET(EVENTOS!$D$14,$A202,0)),OFFSET($F$15,$A202,0)))</f>
        <v>&lt;-- defina o número do agrupador</v>
      </c>
      <c r="O202" s="212"/>
      <c r="Q202" s="212"/>
      <c r="R202" s="213"/>
      <c r="S202" s="213"/>
      <c r="T202" s="213"/>
      <c r="U202" s="213"/>
      <c r="V202" s="213"/>
      <c r="W202" s="213"/>
      <c r="X202" s="213"/>
      <c r="Y202" s="213"/>
      <c r="Z202" s="214"/>
      <c r="AA202" s="213"/>
      <c r="AB202" s="213"/>
      <c r="AC202" s="213"/>
      <c r="AD202" s="213"/>
      <c r="AE202" s="213"/>
      <c r="AF202" s="213"/>
      <c r="AG202" s="213"/>
      <c r="AH202" s="214"/>
      <c r="AJ202" s="631">
        <f ca="1">IF(AND($D202="Serviço",AJ$12&lt;&gt;0,$H202&gt;0,OR(AUTOEVENTO&lt;&gt;"manual",$M202&lt;&gt;1)),ROUND(OFFSET($P202,0,AJ$13),15-13*ORÇAMENTO!$AF$7)/$H202*OFFSET(ORÇAMENTO!$X$15,ROW(AJ202)-ROW(AJ$15),0),0)</f>
        <v>0</v>
      </c>
      <c r="AK202" s="632">
        <f ca="1">IF(AND($D202="Serviço",AK$12&lt;&gt;0,$H202&gt;0,OR(AUTOEVENTO&lt;&gt;"manual",$M202&lt;&gt;1)),ROUND(OFFSET($P202,0,AK$13),15-13*ORÇAMENTO!$AF$7)/$H202*OFFSET(ORÇAMENTO!$X$15,ROW(AK202)-ROW(AK$15),0),0)</f>
        <v>0</v>
      </c>
      <c r="AL202" s="632">
        <f ca="1">IF(AND($D202="Serviço",AL$12&lt;&gt;0,$H202&gt;0,OR(AUTOEVENTO&lt;&gt;"manual",$M202&lt;&gt;1)),ROUND(OFFSET($P202,0,AL$13),15-13*ORÇAMENTO!$AF$7)/$H202*OFFSET(ORÇAMENTO!$X$15,ROW(AL202)-ROW(AL$15),0),0)</f>
        <v>0</v>
      </c>
      <c r="AM202" s="632">
        <f ca="1">IF(AND($D202="Serviço",AM$12&lt;&gt;0,$H202&gt;0,OR(AUTOEVENTO&lt;&gt;"manual",$M202&lt;&gt;1)),ROUND(OFFSET($P202,0,AM$13),15-13*ORÇAMENTO!$AF$7)/$H202*OFFSET(ORÇAMENTO!$X$15,ROW(AM202)-ROW(AM$15),0),0)</f>
        <v>0</v>
      </c>
      <c r="AN202" s="632">
        <f ca="1">IF(AND($D202="Serviço",AN$12&lt;&gt;0,$H202&gt;0,OR(AUTOEVENTO&lt;&gt;"manual",$M202&lt;&gt;1)),ROUND(OFFSET($P202,0,AN$13),15-13*ORÇAMENTO!$AF$7)/$H202*OFFSET(ORÇAMENTO!$X$15,ROW(AN202)-ROW(AN$15),0),0)</f>
        <v>0</v>
      </c>
      <c r="AO202" s="632">
        <f ca="1">IF(AND($D202="Serviço",AO$12&lt;&gt;0,$H202&gt;0,OR(AUTOEVENTO&lt;&gt;"manual",$M202&lt;&gt;1)),ROUND(OFFSET($P202,0,AO$13),15-13*ORÇAMENTO!$AF$7)/$H202*OFFSET(ORÇAMENTO!$X$15,ROW(AO202)-ROW(AO$15),0),0)</f>
        <v>0</v>
      </c>
      <c r="AP202" s="632">
        <f ca="1">IF(AND($D202="Serviço",AP$12&lt;&gt;0,$H202&gt;0,OR(AUTOEVENTO&lt;&gt;"manual",$M202&lt;&gt;1)),ROUND(OFFSET($P202,0,AP$13),15-13*ORÇAMENTO!$AF$7)/$H202*OFFSET(ORÇAMENTO!$X$15,ROW(AP202)-ROW(AP$15),0),0)</f>
        <v>0</v>
      </c>
      <c r="AQ202" s="632">
        <f ca="1">IF(AND($D202="Serviço",AQ$12&lt;&gt;0,$H202&gt;0,OR(AUTOEVENTO&lt;&gt;"manual",$M202&lt;&gt;1)),ROUND(OFFSET($P202,0,AQ$13),15-13*ORÇAMENTO!$AF$7)/$H202*OFFSET(ORÇAMENTO!$X$15,ROW(AQ202)-ROW(AQ$15),0),0)</f>
        <v>0</v>
      </c>
      <c r="AR202" s="632">
        <f ca="1">IF(AND($D202="Serviço",AR$12&lt;&gt;0,$H202&gt;0,OR(AUTOEVENTO&lt;&gt;"manual",$M202&lt;&gt;1)),ROUND(OFFSET($P202,0,AR$13),15-13*ORÇAMENTO!$AF$7)/$H202*OFFSET(ORÇAMENTO!$X$15,ROW(AR202)-ROW(AR$15),0),0)</f>
        <v>0</v>
      </c>
      <c r="AS202" s="633">
        <f ca="1">IF(AND($D202="Serviço",AS$12&lt;&gt;0,$H202&gt;0,OR(AUTOEVENTO&lt;&gt;"manual",$M202&lt;&gt;1)),ROUND(OFFSET($P202,0,AS$13),15-13*ORÇAMENTO!$AF$7)/$H202*OFFSET(ORÇAMENTO!$X$15,ROW(AS202)-ROW(AS$15),0),0)</f>
        <v>0</v>
      </c>
      <c r="AT202" s="632">
        <f ca="1">IF(AND($D202="Serviço",AT$12&lt;&gt;0,$H202&gt;0,OR(AUTOEVENTO&lt;&gt;"manual",$M202&lt;&gt;1)),ROUND(OFFSET($P202,0,AT$13),15-13*ORÇAMENTO!$AF$7)/$H202*OFFSET(ORÇAMENTO!$X$15,ROW(AT202)-ROW(AT$15),0),0)</f>
        <v>0</v>
      </c>
      <c r="AU202" s="632">
        <f ca="1">IF(AND($D202="Serviço",AU$12&lt;&gt;0,$H202&gt;0,OR(AUTOEVENTO&lt;&gt;"manual",$M202&lt;&gt;1)),ROUND(OFFSET($P202,0,AU$13),15-13*ORÇAMENTO!$AF$7)/$H202*OFFSET(ORÇAMENTO!$X$15,ROW(AU202)-ROW(AU$15),0),0)</f>
        <v>0</v>
      </c>
      <c r="AV202" s="632">
        <f ca="1">IF(AND($D202="Serviço",AV$12&lt;&gt;0,$H202&gt;0,OR(AUTOEVENTO&lt;&gt;"manual",$M202&lt;&gt;1)),ROUND(OFFSET($P202,0,AV$13),15-13*ORÇAMENTO!$AF$7)/$H202*OFFSET(ORÇAMENTO!$X$15,ROW(AV202)-ROW(AV$15),0),0)</f>
        <v>0</v>
      </c>
      <c r="AW202" s="632">
        <f ca="1">IF(AND($D202="Serviço",AW$12&lt;&gt;0,$H202&gt;0,OR(AUTOEVENTO&lt;&gt;"manual",$M202&lt;&gt;1)),ROUND(OFFSET($P202,0,AW$13),15-13*ORÇAMENTO!$AF$7)/$H202*OFFSET(ORÇAMENTO!$X$15,ROW(AW202)-ROW(AW$15),0),0)</f>
        <v>0</v>
      </c>
      <c r="AX202" s="632">
        <f ca="1">IF(AND($D202="Serviço",AX$12&lt;&gt;0,$H202&gt;0,OR(AUTOEVENTO&lt;&gt;"manual",$M202&lt;&gt;1)),ROUND(OFFSET($P202,0,AX$13),15-13*ORÇAMENTO!$AF$7)/$H202*OFFSET(ORÇAMENTO!$X$15,ROW(AX202)-ROW(AX$15),0),0)</f>
        <v>0</v>
      </c>
      <c r="AY202" s="632">
        <f ca="1">IF(AND($D202="Serviço",AY$12&lt;&gt;0,$H202&gt;0,OR(AUTOEVENTO&lt;&gt;"manual",$M202&lt;&gt;1)),ROUND(OFFSET($P202,0,AY$13),15-13*ORÇAMENTO!$AF$7)/$H202*OFFSET(ORÇAMENTO!$X$15,ROW(AY202)-ROW(AY$15),0),0)</f>
        <v>0</v>
      </c>
      <c r="AZ202" s="632">
        <f ca="1">IF(AND($D202="Serviço",AZ$12&lt;&gt;0,$H202&gt;0,OR(AUTOEVENTO&lt;&gt;"manual",$M202&lt;&gt;1)),ROUND(OFFSET($P202,0,AZ$13),15-13*ORÇAMENTO!$AF$7)/$H202*OFFSET(ORÇAMENTO!$X$15,ROW(AZ202)-ROW(AZ$15),0),0)</f>
        <v>0</v>
      </c>
      <c r="BA202" s="633">
        <f ca="1">IF(AND($D202="Serviço",BA$12&lt;&gt;0,$H202&gt;0,OR(AUTOEVENTO&lt;&gt;"manual",$M202&lt;&gt;1)),ROUND(OFFSET($P202,0,BA$13),15-13*ORÇAMENTO!$AF$7)/$H202*OFFSET(ORÇAMENTO!$X$15,ROW(BA202)-ROW(BA$15),0),0)</f>
        <v>0</v>
      </c>
      <c r="BC202" s="215">
        <f ca="1">IF($D202&lt;&gt;"Serviço",0,IF(AND(AUTOEVENTO="Manual",$M202=1),0,IF(OFFSET(CRONOPLE!$F$14,$M202,BC$13)="",10^12,OFFSET(CRONOPLE!$F$14,$M202,BC$13))))</f>
        <v>1000000000000</v>
      </c>
      <c r="BD202" s="215">
        <f ca="1">IF($D202&lt;&gt;"Serviço",0,IF(AND(AUTOEVENTO="Manual",$M202=1),0,IF(OFFSET(CRONOPLE!$F$14,$M202,BD$13)="",10^12,OFFSET(CRONOPLE!$F$14,$M202,BD$13))))</f>
        <v>1000000000000</v>
      </c>
      <c r="BE202" s="215">
        <f ca="1">IF($D202&lt;&gt;"Serviço",0,IF(AND(AUTOEVENTO="Manual",$M202=1),0,IF(OFFSET(CRONOPLE!$F$14,$M202,BE$13)="",10^12,OFFSET(CRONOPLE!$F$14,$M202,BE$13))))</f>
        <v>1000000000000</v>
      </c>
      <c r="BF202" s="215">
        <f ca="1">IF($D202&lt;&gt;"Serviço",0,IF(AND(AUTOEVENTO="Manual",$M202=1),0,IF(OFFSET(CRONOPLE!$F$14,$M202,BF$13)="",10^12,OFFSET(CRONOPLE!$F$14,$M202,BF$13))))</f>
        <v>1000000000000</v>
      </c>
      <c r="BG202" s="215">
        <f ca="1">IF($D202&lt;&gt;"Serviço",0,IF(AND(AUTOEVENTO="Manual",$M202=1),0,IF(OFFSET(CRONOPLE!$F$14,$M202,BG$13)="",10^12,OFFSET(CRONOPLE!$F$14,$M202,BG$13))))</f>
        <v>1000000000000</v>
      </c>
      <c r="BH202" s="215">
        <f ca="1">IF($D202&lt;&gt;"Serviço",0,IF(AND(AUTOEVENTO="Manual",$M202=1),0,IF(OFFSET(CRONOPLE!$F$14,$M202,BH$13)="",10^12,OFFSET(CRONOPLE!$F$14,$M202,BH$13))))</f>
        <v>1000000000000</v>
      </c>
      <c r="BI202" s="215">
        <f ca="1">IF($D202&lt;&gt;"Serviço",0,IF(AND(AUTOEVENTO="Manual",$M202=1),0,IF(OFFSET(CRONOPLE!$F$14,$M202,BI$13)="",10^12,OFFSET(CRONOPLE!$F$14,$M202,BI$13))))</f>
        <v>1000000000000</v>
      </c>
      <c r="BJ202" s="215">
        <f ca="1">IF($D202&lt;&gt;"Serviço",0,IF(AND(AUTOEVENTO="Manual",$M202=1),0,IF(OFFSET(CRONOPLE!$F$14,$M202,BJ$13)="",10^12,OFFSET(CRONOPLE!$F$14,$M202,BJ$13))))</f>
        <v>1000000000000</v>
      </c>
      <c r="BK202" s="215">
        <f ca="1">IF($D202&lt;&gt;"Serviço",0,IF(AND(AUTOEVENTO="Manual",$M202=1),0,IF(OFFSET(CRONOPLE!$F$14,$M202,BK$13)="",10^12,OFFSET(CRONOPLE!$F$14,$M202,BK$13))))</f>
        <v>1000000000000</v>
      </c>
      <c r="BL202" s="215">
        <f ca="1">IF($D202&lt;&gt;"Serviço",0,IF(AND(AUTOEVENTO="Manual",$M202=1),0,IF(OFFSET(CRONOPLE!$F$14,$M202,BL$13)="",10^12,OFFSET(CRONOPLE!$F$14,$M202,BL$13))))</f>
        <v>1000000000000</v>
      </c>
      <c r="BM202" s="215">
        <f ca="1">IF($D202&lt;&gt;"Serviço",0,IF(AND(AUTOEVENTO="Manual",$M202=1),0,IF(OFFSET(CRONOPLE!$F$14,$M202,BM$13)="",10^12,OFFSET(CRONOPLE!$F$14,$M202,BM$13))))</f>
        <v>1000000000000</v>
      </c>
      <c r="BN202" s="215">
        <f ca="1">IF($D202&lt;&gt;"Serviço",0,IF(AND(AUTOEVENTO="Manual",$M202=1),0,IF(OFFSET(CRONOPLE!$F$14,$M202,BN$13)="",10^12,OFFSET(CRONOPLE!$F$14,$M202,BN$13))))</f>
        <v>1000000000000</v>
      </c>
      <c r="BO202" s="215">
        <f ca="1">IF($D202&lt;&gt;"Serviço",0,IF(AND(AUTOEVENTO="Manual",$M202=1),0,IF(OFFSET(CRONOPLE!$F$14,$M202,BO$13)="",10^12,OFFSET(CRONOPLE!$F$14,$M202,BO$13))))</f>
        <v>1000000000000</v>
      </c>
      <c r="BP202" s="215">
        <f ca="1">IF($D202&lt;&gt;"Serviço",0,IF(AND(AUTOEVENTO="Manual",$M202=1),0,IF(OFFSET(CRONOPLE!$F$14,$M202,BP$13)="",10^12,OFFSET(CRONOPLE!$F$14,$M202,BP$13))))</f>
        <v>1000000000000</v>
      </c>
      <c r="BQ202" s="215">
        <f ca="1">IF($D202&lt;&gt;"Serviço",0,IF(AND(AUTOEVENTO="Manual",$M202=1),0,IF(OFFSET(CRONOPLE!$F$14,$M202,BQ$13)="",10^12,OFFSET(CRONOPLE!$F$14,$M202,BQ$13))))</f>
        <v>1000000000000</v>
      </c>
      <c r="BR202" s="215">
        <f ca="1">IF($D202&lt;&gt;"Serviço",0,IF(AND(AUTOEVENTO="Manual",$M202=1),0,IF(OFFSET(CRONOPLE!$F$14,$M202,BR$13)="",10^12,OFFSET(CRONOPLE!$F$14,$M202,BR$13))))</f>
        <v>1000000000000</v>
      </c>
      <c r="BS202" s="215">
        <f ca="1">IF($D202&lt;&gt;"Serviço",0,IF(AND(AUTOEVENTO="Manual",$M202=1),0,IF(OFFSET(CRONOPLE!$F$14,$M202,BS$13)="",10^12,OFFSET(CRONOPLE!$F$14,$M202,BS$13))))</f>
        <v>1000000000000</v>
      </c>
      <c r="BT202" s="215">
        <f ca="1">IF($D202&lt;&gt;"Serviço",0,IF(AND(AUTOEVENTO="Manual",$M202=1),0,IF(OFFSET(CRONOPLE!$F$14,$M202,BT$13)="",10^12,OFFSET(CRONOPLE!$F$14,$M202,BT$13))))</f>
        <v>1000000000000</v>
      </c>
      <c r="BV202" s="216">
        <f ca="1">IF($D202&lt;&gt;"Serviço",0,IF(OR(AND(AUTOEVENTO="Manual",$M202=1),$M202&gt;(ROW(PLE.lastrow)-ROW(PLE.firstrow))),0,IF(OFFSET(PLE!$G$14,$M202,BV$13)="",10^12,OFFSET(PLE!$G$14,$M202,BV$13))))</f>
        <v>1000000000000</v>
      </c>
      <c r="BW202" s="216">
        <f ca="1">IF($D202&lt;&gt;"Serviço",0,IF(OR(AND(AUTOEVENTO="Manual",$M202=1),$M202&gt;(ROW(PLE.lastrow)-ROW(PLE.firstrow))),0,IF(OFFSET(PLE!$G$14,$M202,BW$13)="",10^12,OFFSET(PLE!$G$14,$M202,BW$13))))</f>
        <v>1000000000000</v>
      </c>
      <c r="BX202" s="216">
        <f ca="1">IF($D202&lt;&gt;"Serviço",0,IF(OR(AND(AUTOEVENTO="Manual",$M202=1),$M202&gt;(ROW(PLE.lastrow)-ROW(PLE.firstrow))),0,IF(OFFSET(PLE!$G$14,$M202,BX$13)="",10^12,OFFSET(PLE!$G$14,$M202,BX$13))))</f>
        <v>1000000000000</v>
      </c>
      <c r="BY202" s="216">
        <f ca="1">IF($D202&lt;&gt;"Serviço",0,IF(OR(AND(AUTOEVENTO="Manual",$M202=1),$M202&gt;(ROW(PLE.lastrow)-ROW(PLE.firstrow))),0,IF(OFFSET(PLE!$G$14,$M202,BY$13)="",10^12,OFFSET(PLE!$G$14,$M202,BY$13))))</f>
        <v>1000000000000</v>
      </c>
      <c r="BZ202" s="216">
        <f ca="1">IF($D202&lt;&gt;"Serviço",0,IF(OR(AND(AUTOEVENTO="Manual",$M202=1),$M202&gt;(ROW(PLE.lastrow)-ROW(PLE.firstrow))),0,IF(OFFSET(PLE!$G$14,$M202,BZ$13)="",10^12,OFFSET(PLE!$G$14,$M202,BZ$13))))</f>
        <v>1000000000000</v>
      </c>
      <c r="CA202" s="216">
        <f ca="1">IF($D202&lt;&gt;"Serviço",0,IF(OR(AND(AUTOEVENTO="Manual",$M202=1),$M202&gt;(ROW(PLE.lastrow)-ROW(PLE.firstrow))),0,IF(OFFSET(PLE!$G$14,$M202,CA$13)="",10^12,OFFSET(PLE!$G$14,$M202,CA$13))))</f>
        <v>1000000000000</v>
      </c>
      <c r="CB202" s="216">
        <f ca="1">IF($D202&lt;&gt;"Serviço",0,IF(OR(AND(AUTOEVENTO="Manual",$M202=1),$M202&gt;(ROW(PLE.lastrow)-ROW(PLE.firstrow))),0,IF(OFFSET(PLE!$G$14,$M202,CB$13)="",10^12,OFFSET(PLE!$G$14,$M202,CB$13))))</f>
        <v>1000000000000</v>
      </c>
      <c r="CC202" s="216">
        <f ca="1">IF($D202&lt;&gt;"Serviço",0,IF(OR(AND(AUTOEVENTO="Manual",$M202=1),$M202&gt;(ROW(PLE.lastrow)-ROW(PLE.firstrow))),0,IF(OFFSET(PLE!$G$14,$M202,CC$13)="",10^12,OFFSET(PLE!$G$14,$M202,CC$13))))</f>
        <v>1000000000000</v>
      </c>
      <c r="CD202" s="216">
        <f ca="1">IF($D202&lt;&gt;"Serviço",0,IF(OR(AND(AUTOEVENTO="Manual",$M202=1),$M202&gt;(ROW(PLE.lastrow)-ROW(PLE.firstrow))),0,IF(OFFSET(PLE!$G$14,$M202,CD$13)="",10^12,OFFSET(PLE!$G$14,$M202,CD$13))))</f>
        <v>1000000000000</v>
      </c>
      <c r="CE202" s="216">
        <f ca="1">IF($D202&lt;&gt;"Serviço",0,IF(OR(AND(AUTOEVENTO="Manual",$M202=1),$M202&gt;(ROW(PLE.lastrow)-ROW(PLE.firstrow))),0,IF(OFFSET(PLE!$G$14,$M202,CE$13)="",10^12,OFFSET(PLE!$G$14,$M202,CE$13))))</f>
        <v>1000000000000</v>
      </c>
      <c r="CF202" s="216">
        <f ca="1">IF($D202&lt;&gt;"Serviço",0,IF(OR(AND(AUTOEVENTO="Manual",$M202=1),$M202&gt;(ROW(PLE.lastrow)-ROW(PLE.firstrow))),0,IF(OFFSET(PLE!$G$14,$M202,CF$13)="",10^12,OFFSET(PLE!$G$14,$M202,CF$13))))</f>
        <v>1000000000000</v>
      </c>
      <c r="CG202" s="216">
        <f ca="1">IF($D202&lt;&gt;"Serviço",0,IF(OR(AND(AUTOEVENTO="Manual",$M202=1),$M202&gt;(ROW(PLE.lastrow)-ROW(PLE.firstrow))),0,IF(OFFSET(PLE!$G$14,$M202,CG$13)="",10^12,OFFSET(PLE!$G$14,$M202,CG$13))))</f>
        <v>1000000000000</v>
      </c>
      <c r="CH202" s="216">
        <f ca="1">IF($D202&lt;&gt;"Serviço",0,IF(OR(AND(AUTOEVENTO="Manual",$M202=1),$M202&gt;(ROW(PLE.lastrow)-ROW(PLE.firstrow))),0,IF(OFFSET(PLE!$G$14,$M202,CH$13)="",10^12,OFFSET(PLE!$G$14,$M202,CH$13))))</f>
        <v>1000000000000</v>
      </c>
      <c r="CI202" s="216">
        <f ca="1">IF($D202&lt;&gt;"Serviço",0,IF(OR(AND(AUTOEVENTO="Manual",$M202=1),$M202&gt;(ROW(PLE.lastrow)-ROW(PLE.firstrow))),0,IF(OFFSET(PLE!$G$14,$M202,CI$13)="",10^12,OFFSET(PLE!$G$14,$M202,CI$13))))</f>
        <v>1000000000000</v>
      </c>
      <c r="CJ202" s="216">
        <f ca="1">IF($D202&lt;&gt;"Serviço",0,IF(OR(AND(AUTOEVENTO="Manual",$M202=1),$M202&gt;(ROW(PLE.lastrow)-ROW(PLE.firstrow))),0,IF(OFFSET(PLE!$G$14,$M202,CJ$13)="",10^12,OFFSET(PLE!$G$14,$M202,CJ$13))))</f>
        <v>1000000000000</v>
      </c>
      <c r="CK202" s="216">
        <f ca="1">IF($D202&lt;&gt;"Serviço",0,IF(OR(AND(AUTOEVENTO="Manual",$M202=1),$M202&gt;(ROW(PLE.lastrow)-ROW(PLE.firstrow))),0,IF(OFFSET(PLE!$G$14,$M202,CK$13)="",10^12,OFFSET(PLE!$G$14,$M202,CK$13))))</f>
        <v>1000000000000</v>
      </c>
      <c r="CL202" s="216">
        <f ca="1">IF($D202&lt;&gt;"Serviço",0,IF(OR(AND(AUTOEVENTO="Manual",$M202=1),$M202&gt;(ROW(PLE.lastrow)-ROW(PLE.firstrow))),0,IF(OFFSET(PLE!$G$14,$M202,CL$13)="",10^12,OFFSET(PLE!$G$14,$M202,CL$13))))</f>
        <v>1000000000000</v>
      </c>
      <c r="CM202" s="216">
        <f ca="1">IF($D202&lt;&gt;"Serviço",0,IF(OR(AND(AUTOEVENTO="Manual",$M202=1),$M202&gt;(ROW(PLE.lastrow)-ROW(PLE.firstrow))),0,IF(OFFSET(PLE!$G$14,$M202,CM$13)="",10^12,OFFSET(PLE!$G$14,$M202,CM$13))))</f>
        <v>1000000000000</v>
      </c>
    </row>
    <row r="203" spans="1:91" ht="13.2" x14ac:dyDescent="0.25">
      <c r="A203" s="9">
        <f t="shared" ca="1" si="11"/>
        <v>0</v>
      </c>
      <c r="B203" s="9" t="str">
        <f ca="1">OFFSET(ORÇAMENTO!C$15,ROW(B203)-ROW(B$15),0)</f>
        <v>S</v>
      </c>
      <c r="C203" s="9" t="str">
        <f ca="1">OFFSET(ORÇAMENTO!L$15,ROW(C203)-ROW(C$15),0)</f>
        <v/>
      </c>
      <c r="D203" s="145" t="str">
        <f ca="1">OFFSET(ORÇAMENTO!N$15,ROW(D203)-ROW(D$15),0)</f>
        <v>Serviço</v>
      </c>
      <c r="E203" s="205" t="str">
        <f ca="1">OFFSET(ORÇAMENTO!O$15,ROW(E203)-ROW(E$15),0)</f>
        <v>-</v>
      </c>
      <c r="F203" s="206" t="str">
        <f ca="1">OFFSET(ORÇAMENTO!R$15,ROW(F203)-ROW(F$15),0)</f>
        <v>(abra o arquivo 'Referência 05-2024.xls)</v>
      </c>
      <c r="G203" s="207" t="str">
        <f ca="1">IF($D203&lt;&gt;"Serviço","",OFFSET(ORÇAMENTO!S$15,ROW(G203)-ROW(G$15),0))</f>
        <v>-</v>
      </c>
      <c r="H203" s="151">
        <f ca="1">IF($D203&lt;&gt;"Serviço",0,IF(ACOMPANHAMENTO="BM",ROUND(OFFSET(ORÇAMENTO!AJ$15,ROW(H203)-ROW(H$15),0),15-13*ORÇAMENTO!$AF$7),SUMPRODUCT(($Q$12:$AI$12&lt;&gt;"")*ROUND($Q203:$AI203,15-13*ORÇAMENTO!$AF$7))))</f>
        <v>12.6</v>
      </c>
      <c r="I203" s="650"/>
      <c r="K203" s="208"/>
      <c r="L203" s="209" t="s">
        <v>257</v>
      </c>
      <c r="M203" s="210">
        <f ca="1">IF($D203&lt;&gt;"Serviço","",IF(AUTOEVENTO="manual",$A203,IF(ISERROR(MATCH($A203,$A$15:OFFSET($A203,-1,0),0)),MAX($M$15:OFFSET(M203,-1,0))+1,INDEX($M$15:OFFSET(M203,-1,0),MATCH($A203,$A$15:OFFSET($A203,-1,0),0)))))</f>
        <v>0</v>
      </c>
      <c r="N203" s="211" t="str">
        <f ca="1">IF($D203&lt;&gt;"Serviço","",IF(AUTOEVENTO="Manual",IF($A203=0,"&lt;-- defina o número do agrupador",OFFSET(EVENTOS!$D$14,$A203,0)),OFFSET($F$15,$A203,0)))</f>
        <v>&lt;-- defina o número do agrupador</v>
      </c>
      <c r="O203" s="212"/>
      <c r="Q203" s="212"/>
      <c r="R203" s="213"/>
      <c r="S203" s="213"/>
      <c r="T203" s="213"/>
      <c r="U203" s="213"/>
      <c r="V203" s="213"/>
      <c r="W203" s="213"/>
      <c r="X203" s="213"/>
      <c r="Y203" s="213"/>
      <c r="Z203" s="214"/>
      <c r="AA203" s="213"/>
      <c r="AB203" s="213"/>
      <c r="AC203" s="213"/>
      <c r="AD203" s="213"/>
      <c r="AE203" s="213"/>
      <c r="AF203" s="213"/>
      <c r="AG203" s="213"/>
      <c r="AH203" s="214"/>
      <c r="AJ203" s="631">
        <f ca="1">IF(AND($D203="Serviço",AJ$12&lt;&gt;0,$H203&gt;0,OR(AUTOEVENTO&lt;&gt;"manual",$M203&lt;&gt;1)),ROUND(OFFSET($P203,0,AJ$13),15-13*ORÇAMENTO!$AF$7)/$H203*OFFSET(ORÇAMENTO!$X$15,ROW(AJ203)-ROW(AJ$15),0),0)</f>
        <v>0</v>
      </c>
      <c r="AK203" s="632">
        <f ca="1">IF(AND($D203="Serviço",AK$12&lt;&gt;0,$H203&gt;0,OR(AUTOEVENTO&lt;&gt;"manual",$M203&lt;&gt;1)),ROUND(OFFSET($P203,0,AK$13),15-13*ORÇAMENTO!$AF$7)/$H203*OFFSET(ORÇAMENTO!$X$15,ROW(AK203)-ROW(AK$15),0),0)</f>
        <v>0</v>
      </c>
      <c r="AL203" s="632">
        <f ca="1">IF(AND($D203="Serviço",AL$12&lt;&gt;0,$H203&gt;0,OR(AUTOEVENTO&lt;&gt;"manual",$M203&lt;&gt;1)),ROUND(OFFSET($P203,0,AL$13),15-13*ORÇAMENTO!$AF$7)/$H203*OFFSET(ORÇAMENTO!$X$15,ROW(AL203)-ROW(AL$15),0),0)</f>
        <v>0</v>
      </c>
      <c r="AM203" s="632">
        <f ca="1">IF(AND($D203="Serviço",AM$12&lt;&gt;0,$H203&gt;0,OR(AUTOEVENTO&lt;&gt;"manual",$M203&lt;&gt;1)),ROUND(OFFSET($P203,0,AM$13),15-13*ORÇAMENTO!$AF$7)/$H203*OFFSET(ORÇAMENTO!$X$15,ROW(AM203)-ROW(AM$15),0),0)</f>
        <v>0</v>
      </c>
      <c r="AN203" s="632">
        <f ca="1">IF(AND($D203="Serviço",AN$12&lt;&gt;0,$H203&gt;0,OR(AUTOEVENTO&lt;&gt;"manual",$M203&lt;&gt;1)),ROUND(OFFSET($P203,0,AN$13),15-13*ORÇAMENTO!$AF$7)/$H203*OFFSET(ORÇAMENTO!$X$15,ROW(AN203)-ROW(AN$15),0),0)</f>
        <v>0</v>
      </c>
      <c r="AO203" s="632">
        <f ca="1">IF(AND($D203="Serviço",AO$12&lt;&gt;0,$H203&gt;0,OR(AUTOEVENTO&lt;&gt;"manual",$M203&lt;&gt;1)),ROUND(OFFSET($P203,0,AO$13),15-13*ORÇAMENTO!$AF$7)/$H203*OFFSET(ORÇAMENTO!$X$15,ROW(AO203)-ROW(AO$15),0),0)</f>
        <v>0</v>
      </c>
      <c r="AP203" s="632">
        <f ca="1">IF(AND($D203="Serviço",AP$12&lt;&gt;0,$H203&gt;0,OR(AUTOEVENTO&lt;&gt;"manual",$M203&lt;&gt;1)),ROUND(OFFSET($P203,0,AP$13),15-13*ORÇAMENTO!$AF$7)/$H203*OFFSET(ORÇAMENTO!$X$15,ROW(AP203)-ROW(AP$15),0),0)</f>
        <v>0</v>
      </c>
      <c r="AQ203" s="632">
        <f ca="1">IF(AND($D203="Serviço",AQ$12&lt;&gt;0,$H203&gt;0,OR(AUTOEVENTO&lt;&gt;"manual",$M203&lt;&gt;1)),ROUND(OFFSET($P203,0,AQ$13),15-13*ORÇAMENTO!$AF$7)/$H203*OFFSET(ORÇAMENTO!$X$15,ROW(AQ203)-ROW(AQ$15),0),0)</f>
        <v>0</v>
      </c>
      <c r="AR203" s="632">
        <f ca="1">IF(AND($D203="Serviço",AR$12&lt;&gt;0,$H203&gt;0,OR(AUTOEVENTO&lt;&gt;"manual",$M203&lt;&gt;1)),ROUND(OFFSET($P203,0,AR$13),15-13*ORÇAMENTO!$AF$7)/$H203*OFFSET(ORÇAMENTO!$X$15,ROW(AR203)-ROW(AR$15),0),0)</f>
        <v>0</v>
      </c>
      <c r="AS203" s="633">
        <f ca="1">IF(AND($D203="Serviço",AS$12&lt;&gt;0,$H203&gt;0,OR(AUTOEVENTO&lt;&gt;"manual",$M203&lt;&gt;1)),ROUND(OFFSET($P203,0,AS$13),15-13*ORÇAMENTO!$AF$7)/$H203*OFFSET(ORÇAMENTO!$X$15,ROW(AS203)-ROW(AS$15),0),0)</f>
        <v>0</v>
      </c>
      <c r="AT203" s="632">
        <f ca="1">IF(AND($D203="Serviço",AT$12&lt;&gt;0,$H203&gt;0,OR(AUTOEVENTO&lt;&gt;"manual",$M203&lt;&gt;1)),ROUND(OFFSET($P203,0,AT$13),15-13*ORÇAMENTO!$AF$7)/$H203*OFFSET(ORÇAMENTO!$X$15,ROW(AT203)-ROW(AT$15),0),0)</f>
        <v>0</v>
      </c>
      <c r="AU203" s="632">
        <f ca="1">IF(AND($D203="Serviço",AU$12&lt;&gt;0,$H203&gt;0,OR(AUTOEVENTO&lt;&gt;"manual",$M203&lt;&gt;1)),ROUND(OFFSET($P203,0,AU$13),15-13*ORÇAMENTO!$AF$7)/$H203*OFFSET(ORÇAMENTO!$X$15,ROW(AU203)-ROW(AU$15),0),0)</f>
        <v>0</v>
      </c>
      <c r="AV203" s="632">
        <f ca="1">IF(AND($D203="Serviço",AV$12&lt;&gt;0,$H203&gt;0,OR(AUTOEVENTO&lt;&gt;"manual",$M203&lt;&gt;1)),ROUND(OFFSET($P203,0,AV$13),15-13*ORÇAMENTO!$AF$7)/$H203*OFFSET(ORÇAMENTO!$X$15,ROW(AV203)-ROW(AV$15),0),0)</f>
        <v>0</v>
      </c>
      <c r="AW203" s="632">
        <f ca="1">IF(AND($D203="Serviço",AW$12&lt;&gt;0,$H203&gt;0,OR(AUTOEVENTO&lt;&gt;"manual",$M203&lt;&gt;1)),ROUND(OFFSET($P203,0,AW$13),15-13*ORÇAMENTO!$AF$7)/$H203*OFFSET(ORÇAMENTO!$X$15,ROW(AW203)-ROW(AW$15),0),0)</f>
        <v>0</v>
      </c>
      <c r="AX203" s="632">
        <f ca="1">IF(AND($D203="Serviço",AX$12&lt;&gt;0,$H203&gt;0,OR(AUTOEVENTO&lt;&gt;"manual",$M203&lt;&gt;1)),ROUND(OFFSET($P203,0,AX$13),15-13*ORÇAMENTO!$AF$7)/$H203*OFFSET(ORÇAMENTO!$X$15,ROW(AX203)-ROW(AX$15),0),0)</f>
        <v>0</v>
      </c>
      <c r="AY203" s="632">
        <f ca="1">IF(AND($D203="Serviço",AY$12&lt;&gt;0,$H203&gt;0,OR(AUTOEVENTO&lt;&gt;"manual",$M203&lt;&gt;1)),ROUND(OFFSET($P203,0,AY$13),15-13*ORÇAMENTO!$AF$7)/$H203*OFFSET(ORÇAMENTO!$X$15,ROW(AY203)-ROW(AY$15),0),0)</f>
        <v>0</v>
      </c>
      <c r="AZ203" s="632">
        <f ca="1">IF(AND($D203="Serviço",AZ$12&lt;&gt;0,$H203&gt;0,OR(AUTOEVENTO&lt;&gt;"manual",$M203&lt;&gt;1)),ROUND(OFFSET($P203,0,AZ$13),15-13*ORÇAMENTO!$AF$7)/$H203*OFFSET(ORÇAMENTO!$X$15,ROW(AZ203)-ROW(AZ$15),0),0)</f>
        <v>0</v>
      </c>
      <c r="BA203" s="633">
        <f ca="1">IF(AND($D203="Serviço",BA$12&lt;&gt;0,$H203&gt;0,OR(AUTOEVENTO&lt;&gt;"manual",$M203&lt;&gt;1)),ROUND(OFFSET($P203,0,BA$13),15-13*ORÇAMENTO!$AF$7)/$H203*OFFSET(ORÇAMENTO!$X$15,ROW(BA203)-ROW(BA$15),0),0)</f>
        <v>0</v>
      </c>
      <c r="BC203" s="215">
        <f ca="1">IF($D203&lt;&gt;"Serviço",0,IF(AND(AUTOEVENTO="Manual",$M203=1),0,IF(OFFSET(CRONOPLE!$F$14,$M203,BC$13)="",10^12,OFFSET(CRONOPLE!$F$14,$M203,BC$13))))</f>
        <v>1000000000000</v>
      </c>
      <c r="BD203" s="215">
        <f ca="1">IF($D203&lt;&gt;"Serviço",0,IF(AND(AUTOEVENTO="Manual",$M203=1),0,IF(OFFSET(CRONOPLE!$F$14,$M203,BD$13)="",10^12,OFFSET(CRONOPLE!$F$14,$M203,BD$13))))</f>
        <v>1000000000000</v>
      </c>
      <c r="BE203" s="215">
        <f ca="1">IF($D203&lt;&gt;"Serviço",0,IF(AND(AUTOEVENTO="Manual",$M203=1),0,IF(OFFSET(CRONOPLE!$F$14,$M203,BE$13)="",10^12,OFFSET(CRONOPLE!$F$14,$M203,BE$13))))</f>
        <v>1000000000000</v>
      </c>
      <c r="BF203" s="215">
        <f ca="1">IF($D203&lt;&gt;"Serviço",0,IF(AND(AUTOEVENTO="Manual",$M203=1),0,IF(OFFSET(CRONOPLE!$F$14,$M203,BF$13)="",10^12,OFFSET(CRONOPLE!$F$14,$M203,BF$13))))</f>
        <v>1000000000000</v>
      </c>
      <c r="BG203" s="215">
        <f ca="1">IF($D203&lt;&gt;"Serviço",0,IF(AND(AUTOEVENTO="Manual",$M203=1),0,IF(OFFSET(CRONOPLE!$F$14,$M203,BG$13)="",10^12,OFFSET(CRONOPLE!$F$14,$M203,BG$13))))</f>
        <v>1000000000000</v>
      </c>
      <c r="BH203" s="215">
        <f ca="1">IF($D203&lt;&gt;"Serviço",0,IF(AND(AUTOEVENTO="Manual",$M203=1),0,IF(OFFSET(CRONOPLE!$F$14,$M203,BH$13)="",10^12,OFFSET(CRONOPLE!$F$14,$M203,BH$13))))</f>
        <v>1000000000000</v>
      </c>
      <c r="BI203" s="215">
        <f ca="1">IF($D203&lt;&gt;"Serviço",0,IF(AND(AUTOEVENTO="Manual",$M203=1),0,IF(OFFSET(CRONOPLE!$F$14,$M203,BI$13)="",10^12,OFFSET(CRONOPLE!$F$14,$M203,BI$13))))</f>
        <v>1000000000000</v>
      </c>
      <c r="BJ203" s="215">
        <f ca="1">IF($D203&lt;&gt;"Serviço",0,IF(AND(AUTOEVENTO="Manual",$M203=1),0,IF(OFFSET(CRONOPLE!$F$14,$M203,BJ$13)="",10^12,OFFSET(CRONOPLE!$F$14,$M203,BJ$13))))</f>
        <v>1000000000000</v>
      </c>
      <c r="BK203" s="215">
        <f ca="1">IF($D203&lt;&gt;"Serviço",0,IF(AND(AUTOEVENTO="Manual",$M203=1),0,IF(OFFSET(CRONOPLE!$F$14,$M203,BK$13)="",10^12,OFFSET(CRONOPLE!$F$14,$M203,BK$13))))</f>
        <v>1000000000000</v>
      </c>
      <c r="BL203" s="215">
        <f ca="1">IF($D203&lt;&gt;"Serviço",0,IF(AND(AUTOEVENTO="Manual",$M203=1),0,IF(OFFSET(CRONOPLE!$F$14,$M203,BL$13)="",10^12,OFFSET(CRONOPLE!$F$14,$M203,BL$13))))</f>
        <v>1000000000000</v>
      </c>
      <c r="BM203" s="215">
        <f ca="1">IF($D203&lt;&gt;"Serviço",0,IF(AND(AUTOEVENTO="Manual",$M203=1),0,IF(OFFSET(CRONOPLE!$F$14,$M203,BM$13)="",10^12,OFFSET(CRONOPLE!$F$14,$M203,BM$13))))</f>
        <v>1000000000000</v>
      </c>
      <c r="BN203" s="215">
        <f ca="1">IF($D203&lt;&gt;"Serviço",0,IF(AND(AUTOEVENTO="Manual",$M203=1),0,IF(OFFSET(CRONOPLE!$F$14,$M203,BN$13)="",10^12,OFFSET(CRONOPLE!$F$14,$M203,BN$13))))</f>
        <v>1000000000000</v>
      </c>
      <c r="BO203" s="215">
        <f ca="1">IF($D203&lt;&gt;"Serviço",0,IF(AND(AUTOEVENTO="Manual",$M203=1),0,IF(OFFSET(CRONOPLE!$F$14,$M203,BO$13)="",10^12,OFFSET(CRONOPLE!$F$14,$M203,BO$13))))</f>
        <v>1000000000000</v>
      </c>
      <c r="BP203" s="215">
        <f ca="1">IF($D203&lt;&gt;"Serviço",0,IF(AND(AUTOEVENTO="Manual",$M203=1),0,IF(OFFSET(CRONOPLE!$F$14,$M203,BP$13)="",10^12,OFFSET(CRONOPLE!$F$14,$M203,BP$13))))</f>
        <v>1000000000000</v>
      </c>
      <c r="BQ203" s="215">
        <f ca="1">IF($D203&lt;&gt;"Serviço",0,IF(AND(AUTOEVENTO="Manual",$M203=1),0,IF(OFFSET(CRONOPLE!$F$14,$M203,BQ$13)="",10^12,OFFSET(CRONOPLE!$F$14,$M203,BQ$13))))</f>
        <v>1000000000000</v>
      </c>
      <c r="BR203" s="215">
        <f ca="1">IF($D203&lt;&gt;"Serviço",0,IF(AND(AUTOEVENTO="Manual",$M203=1),0,IF(OFFSET(CRONOPLE!$F$14,$M203,BR$13)="",10^12,OFFSET(CRONOPLE!$F$14,$M203,BR$13))))</f>
        <v>1000000000000</v>
      </c>
      <c r="BS203" s="215">
        <f ca="1">IF($D203&lt;&gt;"Serviço",0,IF(AND(AUTOEVENTO="Manual",$M203=1),0,IF(OFFSET(CRONOPLE!$F$14,$M203,BS$13)="",10^12,OFFSET(CRONOPLE!$F$14,$M203,BS$13))))</f>
        <v>1000000000000</v>
      </c>
      <c r="BT203" s="215">
        <f ca="1">IF($D203&lt;&gt;"Serviço",0,IF(AND(AUTOEVENTO="Manual",$M203=1),0,IF(OFFSET(CRONOPLE!$F$14,$M203,BT$13)="",10^12,OFFSET(CRONOPLE!$F$14,$M203,BT$13))))</f>
        <v>1000000000000</v>
      </c>
      <c r="BV203" s="216">
        <f ca="1">IF($D203&lt;&gt;"Serviço",0,IF(OR(AND(AUTOEVENTO="Manual",$M203=1),$M203&gt;(ROW(PLE.lastrow)-ROW(PLE.firstrow))),0,IF(OFFSET(PLE!$G$14,$M203,BV$13)="",10^12,OFFSET(PLE!$G$14,$M203,BV$13))))</f>
        <v>1000000000000</v>
      </c>
      <c r="BW203" s="216">
        <f ca="1">IF($D203&lt;&gt;"Serviço",0,IF(OR(AND(AUTOEVENTO="Manual",$M203=1),$M203&gt;(ROW(PLE.lastrow)-ROW(PLE.firstrow))),0,IF(OFFSET(PLE!$G$14,$M203,BW$13)="",10^12,OFFSET(PLE!$G$14,$M203,BW$13))))</f>
        <v>1000000000000</v>
      </c>
      <c r="BX203" s="216">
        <f ca="1">IF($D203&lt;&gt;"Serviço",0,IF(OR(AND(AUTOEVENTO="Manual",$M203=1),$M203&gt;(ROW(PLE.lastrow)-ROW(PLE.firstrow))),0,IF(OFFSET(PLE!$G$14,$M203,BX$13)="",10^12,OFFSET(PLE!$G$14,$M203,BX$13))))</f>
        <v>1000000000000</v>
      </c>
      <c r="BY203" s="216">
        <f ca="1">IF($D203&lt;&gt;"Serviço",0,IF(OR(AND(AUTOEVENTO="Manual",$M203=1),$M203&gt;(ROW(PLE.lastrow)-ROW(PLE.firstrow))),0,IF(OFFSET(PLE!$G$14,$M203,BY$13)="",10^12,OFFSET(PLE!$G$14,$M203,BY$13))))</f>
        <v>1000000000000</v>
      </c>
      <c r="BZ203" s="216">
        <f ca="1">IF($D203&lt;&gt;"Serviço",0,IF(OR(AND(AUTOEVENTO="Manual",$M203=1),$M203&gt;(ROW(PLE.lastrow)-ROW(PLE.firstrow))),0,IF(OFFSET(PLE!$G$14,$M203,BZ$13)="",10^12,OFFSET(PLE!$G$14,$M203,BZ$13))))</f>
        <v>1000000000000</v>
      </c>
      <c r="CA203" s="216">
        <f ca="1">IF($D203&lt;&gt;"Serviço",0,IF(OR(AND(AUTOEVENTO="Manual",$M203=1),$M203&gt;(ROW(PLE.lastrow)-ROW(PLE.firstrow))),0,IF(OFFSET(PLE!$G$14,$M203,CA$13)="",10^12,OFFSET(PLE!$G$14,$M203,CA$13))))</f>
        <v>1000000000000</v>
      </c>
      <c r="CB203" s="216">
        <f ca="1">IF($D203&lt;&gt;"Serviço",0,IF(OR(AND(AUTOEVENTO="Manual",$M203=1),$M203&gt;(ROW(PLE.lastrow)-ROW(PLE.firstrow))),0,IF(OFFSET(PLE!$G$14,$M203,CB$13)="",10^12,OFFSET(PLE!$G$14,$M203,CB$13))))</f>
        <v>1000000000000</v>
      </c>
      <c r="CC203" s="216">
        <f ca="1">IF($D203&lt;&gt;"Serviço",0,IF(OR(AND(AUTOEVENTO="Manual",$M203=1),$M203&gt;(ROW(PLE.lastrow)-ROW(PLE.firstrow))),0,IF(OFFSET(PLE!$G$14,$M203,CC$13)="",10^12,OFFSET(PLE!$G$14,$M203,CC$13))))</f>
        <v>1000000000000</v>
      </c>
      <c r="CD203" s="216">
        <f ca="1">IF($D203&lt;&gt;"Serviço",0,IF(OR(AND(AUTOEVENTO="Manual",$M203=1),$M203&gt;(ROW(PLE.lastrow)-ROW(PLE.firstrow))),0,IF(OFFSET(PLE!$G$14,$M203,CD$13)="",10^12,OFFSET(PLE!$G$14,$M203,CD$13))))</f>
        <v>1000000000000</v>
      </c>
      <c r="CE203" s="216">
        <f ca="1">IF($D203&lt;&gt;"Serviço",0,IF(OR(AND(AUTOEVENTO="Manual",$M203=1),$M203&gt;(ROW(PLE.lastrow)-ROW(PLE.firstrow))),0,IF(OFFSET(PLE!$G$14,$M203,CE$13)="",10^12,OFFSET(PLE!$G$14,$M203,CE$13))))</f>
        <v>1000000000000</v>
      </c>
      <c r="CF203" s="216">
        <f ca="1">IF($D203&lt;&gt;"Serviço",0,IF(OR(AND(AUTOEVENTO="Manual",$M203=1),$M203&gt;(ROW(PLE.lastrow)-ROW(PLE.firstrow))),0,IF(OFFSET(PLE!$G$14,$M203,CF$13)="",10^12,OFFSET(PLE!$G$14,$M203,CF$13))))</f>
        <v>1000000000000</v>
      </c>
      <c r="CG203" s="216">
        <f ca="1">IF($D203&lt;&gt;"Serviço",0,IF(OR(AND(AUTOEVENTO="Manual",$M203=1),$M203&gt;(ROW(PLE.lastrow)-ROW(PLE.firstrow))),0,IF(OFFSET(PLE!$G$14,$M203,CG$13)="",10^12,OFFSET(PLE!$G$14,$M203,CG$13))))</f>
        <v>1000000000000</v>
      </c>
      <c r="CH203" s="216">
        <f ca="1">IF($D203&lt;&gt;"Serviço",0,IF(OR(AND(AUTOEVENTO="Manual",$M203=1),$M203&gt;(ROW(PLE.lastrow)-ROW(PLE.firstrow))),0,IF(OFFSET(PLE!$G$14,$M203,CH$13)="",10^12,OFFSET(PLE!$G$14,$M203,CH$13))))</f>
        <v>1000000000000</v>
      </c>
      <c r="CI203" s="216">
        <f ca="1">IF($D203&lt;&gt;"Serviço",0,IF(OR(AND(AUTOEVENTO="Manual",$M203=1),$M203&gt;(ROW(PLE.lastrow)-ROW(PLE.firstrow))),0,IF(OFFSET(PLE!$G$14,$M203,CI$13)="",10^12,OFFSET(PLE!$G$14,$M203,CI$13))))</f>
        <v>1000000000000</v>
      </c>
      <c r="CJ203" s="216">
        <f ca="1">IF($D203&lt;&gt;"Serviço",0,IF(OR(AND(AUTOEVENTO="Manual",$M203=1),$M203&gt;(ROW(PLE.lastrow)-ROW(PLE.firstrow))),0,IF(OFFSET(PLE!$G$14,$M203,CJ$13)="",10^12,OFFSET(PLE!$G$14,$M203,CJ$13))))</f>
        <v>1000000000000</v>
      </c>
      <c r="CK203" s="216">
        <f ca="1">IF($D203&lt;&gt;"Serviço",0,IF(OR(AND(AUTOEVENTO="Manual",$M203=1),$M203&gt;(ROW(PLE.lastrow)-ROW(PLE.firstrow))),0,IF(OFFSET(PLE!$G$14,$M203,CK$13)="",10^12,OFFSET(PLE!$G$14,$M203,CK$13))))</f>
        <v>1000000000000</v>
      </c>
      <c r="CL203" s="216">
        <f ca="1">IF($D203&lt;&gt;"Serviço",0,IF(OR(AND(AUTOEVENTO="Manual",$M203=1),$M203&gt;(ROW(PLE.lastrow)-ROW(PLE.firstrow))),0,IF(OFFSET(PLE!$G$14,$M203,CL$13)="",10^12,OFFSET(PLE!$G$14,$M203,CL$13))))</f>
        <v>1000000000000</v>
      </c>
      <c r="CM203" s="216">
        <f ca="1">IF($D203&lt;&gt;"Serviço",0,IF(OR(AND(AUTOEVENTO="Manual",$M203=1),$M203&gt;(ROW(PLE.lastrow)-ROW(PLE.firstrow))),0,IF(OFFSET(PLE!$G$14,$M203,CM$13)="",10^12,OFFSET(PLE!$G$14,$M203,CM$13))))</f>
        <v>1000000000000</v>
      </c>
    </row>
    <row r="204" spans="1:91" ht="13.2" x14ac:dyDescent="0.25">
      <c r="A204" s="9">
        <f t="shared" ca="1" si="11"/>
        <v>0</v>
      </c>
      <c r="B204" s="9" t="str">
        <f ca="1">OFFSET(ORÇAMENTO!C$15,ROW(B204)-ROW(B$15),0)</f>
        <v>S</v>
      </c>
      <c r="C204" s="9" t="str">
        <f ca="1">OFFSET(ORÇAMENTO!L$15,ROW(C204)-ROW(C$15),0)</f>
        <v/>
      </c>
      <c r="D204" s="145" t="str">
        <f ca="1">OFFSET(ORÇAMENTO!N$15,ROW(D204)-ROW(D$15),0)</f>
        <v>Serviço</v>
      </c>
      <c r="E204" s="205" t="str">
        <f ca="1">OFFSET(ORÇAMENTO!O$15,ROW(E204)-ROW(E$15),0)</f>
        <v>-</v>
      </c>
      <c r="F204" s="206" t="str">
        <f ca="1">OFFSET(ORÇAMENTO!R$15,ROW(F204)-ROW(F$15),0)</f>
        <v>(abra o arquivo 'Referência 05-2024.xls)</v>
      </c>
      <c r="G204" s="207" t="str">
        <f ca="1">IF($D204&lt;&gt;"Serviço","",OFFSET(ORÇAMENTO!S$15,ROW(G204)-ROW(G$15),0))</f>
        <v>-</v>
      </c>
      <c r="H204" s="151">
        <f ca="1">IF($D204&lt;&gt;"Serviço",0,IF(ACOMPANHAMENTO="BM",ROUND(OFFSET(ORÇAMENTO!AJ$15,ROW(H204)-ROW(H$15),0),15-13*ORÇAMENTO!$AF$7),SUMPRODUCT(($Q$12:$AI$12&lt;&gt;"")*ROUND($Q204:$AI204,15-13*ORÇAMENTO!$AF$7))))</f>
        <v>2.4</v>
      </c>
      <c r="I204" s="650"/>
      <c r="K204" s="208"/>
      <c r="L204" s="209" t="s">
        <v>257</v>
      </c>
      <c r="M204" s="210">
        <f ca="1">IF($D204&lt;&gt;"Serviço","",IF(AUTOEVENTO="manual",$A204,IF(ISERROR(MATCH($A204,$A$15:OFFSET($A204,-1,0),0)),MAX($M$15:OFFSET(M204,-1,0))+1,INDEX($M$15:OFFSET(M204,-1,0),MATCH($A204,$A$15:OFFSET($A204,-1,0),0)))))</f>
        <v>0</v>
      </c>
      <c r="N204" s="211" t="str">
        <f ca="1">IF($D204&lt;&gt;"Serviço","",IF(AUTOEVENTO="Manual",IF($A204=0,"&lt;-- defina o número do agrupador",OFFSET(EVENTOS!$D$14,$A204,0)),OFFSET($F$15,$A204,0)))</f>
        <v>&lt;-- defina o número do agrupador</v>
      </c>
      <c r="O204" s="212"/>
      <c r="Q204" s="212"/>
      <c r="R204" s="213"/>
      <c r="S204" s="213"/>
      <c r="T204" s="213"/>
      <c r="U204" s="213"/>
      <c r="V204" s="213"/>
      <c r="W204" s="213"/>
      <c r="X204" s="213"/>
      <c r="Y204" s="213"/>
      <c r="Z204" s="214"/>
      <c r="AA204" s="213"/>
      <c r="AB204" s="213"/>
      <c r="AC204" s="213"/>
      <c r="AD204" s="213"/>
      <c r="AE204" s="213"/>
      <c r="AF204" s="213"/>
      <c r="AG204" s="213"/>
      <c r="AH204" s="214"/>
      <c r="AJ204" s="631">
        <f ca="1">IF(AND($D204="Serviço",AJ$12&lt;&gt;0,$H204&gt;0,OR(AUTOEVENTO&lt;&gt;"manual",$M204&lt;&gt;1)),ROUND(OFFSET($P204,0,AJ$13),15-13*ORÇAMENTO!$AF$7)/$H204*OFFSET(ORÇAMENTO!$X$15,ROW(AJ204)-ROW(AJ$15),0),0)</f>
        <v>0</v>
      </c>
      <c r="AK204" s="632">
        <f ca="1">IF(AND($D204="Serviço",AK$12&lt;&gt;0,$H204&gt;0,OR(AUTOEVENTO&lt;&gt;"manual",$M204&lt;&gt;1)),ROUND(OFFSET($P204,0,AK$13),15-13*ORÇAMENTO!$AF$7)/$H204*OFFSET(ORÇAMENTO!$X$15,ROW(AK204)-ROW(AK$15),0),0)</f>
        <v>0</v>
      </c>
      <c r="AL204" s="632">
        <f ca="1">IF(AND($D204="Serviço",AL$12&lt;&gt;0,$H204&gt;0,OR(AUTOEVENTO&lt;&gt;"manual",$M204&lt;&gt;1)),ROUND(OFFSET($P204,0,AL$13),15-13*ORÇAMENTO!$AF$7)/$H204*OFFSET(ORÇAMENTO!$X$15,ROW(AL204)-ROW(AL$15),0),0)</f>
        <v>0</v>
      </c>
      <c r="AM204" s="632">
        <f ca="1">IF(AND($D204="Serviço",AM$12&lt;&gt;0,$H204&gt;0,OR(AUTOEVENTO&lt;&gt;"manual",$M204&lt;&gt;1)),ROUND(OFFSET($P204,0,AM$13),15-13*ORÇAMENTO!$AF$7)/$H204*OFFSET(ORÇAMENTO!$X$15,ROW(AM204)-ROW(AM$15),0),0)</f>
        <v>0</v>
      </c>
      <c r="AN204" s="632">
        <f ca="1">IF(AND($D204="Serviço",AN$12&lt;&gt;0,$H204&gt;0,OR(AUTOEVENTO&lt;&gt;"manual",$M204&lt;&gt;1)),ROUND(OFFSET($P204,0,AN$13),15-13*ORÇAMENTO!$AF$7)/$H204*OFFSET(ORÇAMENTO!$X$15,ROW(AN204)-ROW(AN$15),0),0)</f>
        <v>0</v>
      </c>
      <c r="AO204" s="632">
        <f ca="1">IF(AND($D204="Serviço",AO$12&lt;&gt;0,$H204&gt;0,OR(AUTOEVENTO&lt;&gt;"manual",$M204&lt;&gt;1)),ROUND(OFFSET($P204,0,AO$13),15-13*ORÇAMENTO!$AF$7)/$H204*OFFSET(ORÇAMENTO!$X$15,ROW(AO204)-ROW(AO$15),0),0)</f>
        <v>0</v>
      </c>
      <c r="AP204" s="632">
        <f ca="1">IF(AND($D204="Serviço",AP$12&lt;&gt;0,$H204&gt;0,OR(AUTOEVENTO&lt;&gt;"manual",$M204&lt;&gt;1)),ROUND(OFFSET($P204,0,AP$13),15-13*ORÇAMENTO!$AF$7)/$H204*OFFSET(ORÇAMENTO!$X$15,ROW(AP204)-ROW(AP$15),0),0)</f>
        <v>0</v>
      </c>
      <c r="AQ204" s="632">
        <f ca="1">IF(AND($D204="Serviço",AQ$12&lt;&gt;0,$H204&gt;0,OR(AUTOEVENTO&lt;&gt;"manual",$M204&lt;&gt;1)),ROUND(OFFSET($P204,0,AQ$13),15-13*ORÇAMENTO!$AF$7)/$H204*OFFSET(ORÇAMENTO!$X$15,ROW(AQ204)-ROW(AQ$15),0),0)</f>
        <v>0</v>
      </c>
      <c r="AR204" s="632">
        <f ca="1">IF(AND($D204="Serviço",AR$12&lt;&gt;0,$H204&gt;0,OR(AUTOEVENTO&lt;&gt;"manual",$M204&lt;&gt;1)),ROUND(OFFSET($P204,0,AR$13),15-13*ORÇAMENTO!$AF$7)/$H204*OFFSET(ORÇAMENTO!$X$15,ROW(AR204)-ROW(AR$15),0),0)</f>
        <v>0</v>
      </c>
      <c r="AS204" s="633">
        <f ca="1">IF(AND($D204="Serviço",AS$12&lt;&gt;0,$H204&gt;0,OR(AUTOEVENTO&lt;&gt;"manual",$M204&lt;&gt;1)),ROUND(OFFSET($P204,0,AS$13),15-13*ORÇAMENTO!$AF$7)/$H204*OFFSET(ORÇAMENTO!$X$15,ROW(AS204)-ROW(AS$15),0),0)</f>
        <v>0</v>
      </c>
      <c r="AT204" s="632">
        <f ca="1">IF(AND($D204="Serviço",AT$12&lt;&gt;0,$H204&gt;0,OR(AUTOEVENTO&lt;&gt;"manual",$M204&lt;&gt;1)),ROUND(OFFSET($P204,0,AT$13),15-13*ORÇAMENTO!$AF$7)/$H204*OFFSET(ORÇAMENTO!$X$15,ROW(AT204)-ROW(AT$15),0),0)</f>
        <v>0</v>
      </c>
      <c r="AU204" s="632">
        <f ca="1">IF(AND($D204="Serviço",AU$12&lt;&gt;0,$H204&gt;0,OR(AUTOEVENTO&lt;&gt;"manual",$M204&lt;&gt;1)),ROUND(OFFSET($P204,0,AU$13),15-13*ORÇAMENTO!$AF$7)/$H204*OFFSET(ORÇAMENTO!$X$15,ROW(AU204)-ROW(AU$15),0),0)</f>
        <v>0</v>
      </c>
      <c r="AV204" s="632">
        <f ca="1">IF(AND($D204="Serviço",AV$12&lt;&gt;0,$H204&gt;0,OR(AUTOEVENTO&lt;&gt;"manual",$M204&lt;&gt;1)),ROUND(OFFSET($P204,0,AV$13),15-13*ORÇAMENTO!$AF$7)/$H204*OFFSET(ORÇAMENTO!$X$15,ROW(AV204)-ROW(AV$15),0),0)</f>
        <v>0</v>
      </c>
      <c r="AW204" s="632">
        <f ca="1">IF(AND($D204="Serviço",AW$12&lt;&gt;0,$H204&gt;0,OR(AUTOEVENTO&lt;&gt;"manual",$M204&lt;&gt;1)),ROUND(OFFSET($P204,0,AW$13),15-13*ORÇAMENTO!$AF$7)/$H204*OFFSET(ORÇAMENTO!$X$15,ROW(AW204)-ROW(AW$15),0),0)</f>
        <v>0</v>
      </c>
      <c r="AX204" s="632">
        <f ca="1">IF(AND($D204="Serviço",AX$12&lt;&gt;0,$H204&gt;0,OR(AUTOEVENTO&lt;&gt;"manual",$M204&lt;&gt;1)),ROUND(OFFSET($P204,0,AX$13),15-13*ORÇAMENTO!$AF$7)/$H204*OFFSET(ORÇAMENTO!$X$15,ROW(AX204)-ROW(AX$15),0),0)</f>
        <v>0</v>
      </c>
      <c r="AY204" s="632">
        <f ca="1">IF(AND($D204="Serviço",AY$12&lt;&gt;0,$H204&gt;0,OR(AUTOEVENTO&lt;&gt;"manual",$M204&lt;&gt;1)),ROUND(OFFSET($P204,0,AY$13),15-13*ORÇAMENTO!$AF$7)/$H204*OFFSET(ORÇAMENTO!$X$15,ROW(AY204)-ROW(AY$15),0),0)</f>
        <v>0</v>
      </c>
      <c r="AZ204" s="632">
        <f ca="1">IF(AND($D204="Serviço",AZ$12&lt;&gt;0,$H204&gt;0,OR(AUTOEVENTO&lt;&gt;"manual",$M204&lt;&gt;1)),ROUND(OFFSET($P204,0,AZ$13),15-13*ORÇAMENTO!$AF$7)/$H204*OFFSET(ORÇAMENTO!$X$15,ROW(AZ204)-ROW(AZ$15),0),0)</f>
        <v>0</v>
      </c>
      <c r="BA204" s="633">
        <f ca="1">IF(AND($D204="Serviço",BA$12&lt;&gt;0,$H204&gt;0,OR(AUTOEVENTO&lt;&gt;"manual",$M204&lt;&gt;1)),ROUND(OFFSET($P204,0,BA$13),15-13*ORÇAMENTO!$AF$7)/$H204*OFFSET(ORÇAMENTO!$X$15,ROW(BA204)-ROW(BA$15),0),0)</f>
        <v>0</v>
      </c>
      <c r="BC204" s="215">
        <f ca="1">IF($D204&lt;&gt;"Serviço",0,IF(AND(AUTOEVENTO="Manual",$M204=1),0,IF(OFFSET(CRONOPLE!$F$14,$M204,BC$13)="",10^12,OFFSET(CRONOPLE!$F$14,$M204,BC$13))))</f>
        <v>1000000000000</v>
      </c>
      <c r="BD204" s="215">
        <f ca="1">IF($D204&lt;&gt;"Serviço",0,IF(AND(AUTOEVENTO="Manual",$M204=1),0,IF(OFFSET(CRONOPLE!$F$14,$M204,BD$13)="",10^12,OFFSET(CRONOPLE!$F$14,$M204,BD$13))))</f>
        <v>1000000000000</v>
      </c>
      <c r="BE204" s="215">
        <f ca="1">IF($D204&lt;&gt;"Serviço",0,IF(AND(AUTOEVENTO="Manual",$M204=1),0,IF(OFFSET(CRONOPLE!$F$14,$M204,BE$13)="",10^12,OFFSET(CRONOPLE!$F$14,$M204,BE$13))))</f>
        <v>1000000000000</v>
      </c>
      <c r="BF204" s="215">
        <f ca="1">IF($D204&lt;&gt;"Serviço",0,IF(AND(AUTOEVENTO="Manual",$M204=1),0,IF(OFFSET(CRONOPLE!$F$14,$M204,BF$13)="",10^12,OFFSET(CRONOPLE!$F$14,$M204,BF$13))))</f>
        <v>1000000000000</v>
      </c>
      <c r="BG204" s="215">
        <f ca="1">IF($D204&lt;&gt;"Serviço",0,IF(AND(AUTOEVENTO="Manual",$M204=1),0,IF(OFFSET(CRONOPLE!$F$14,$M204,BG$13)="",10^12,OFFSET(CRONOPLE!$F$14,$M204,BG$13))))</f>
        <v>1000000000000</v>
      </c>
      <c r="BH204" s="215">
        <f ca="1">IF($D204&lt;&gt;"Serviço",0,IF(AND(AUTOEVENTO="Manual",$M204=1),0,IF(OFFSET(CRONOPLE!$F$14,$M204,BH$13)="",10^12,OFFSET(CRONOPLE!$F$14,$M204,BH$13))))</f>
        <v>1000000000000</v>
      </c>
      <c r="BI204" s="215">
        <f ca="1">IF($D204&lt;&gt;"Serviço",0,IF(AND(AUTOEVENTO="Manual",$M204=1),0,IF(OFFSET(CRONOPLE!$F$14,$M204,BI$13)="",10^12,OFFSET(CRONOPLE!$F$14,$M204,BI$13))))</f>
        <v>1000000000000</v>
      </c>
      <c r="BJ204" s="215">
        <f ca="1">IF($D204&lt;&gt;"Serviço",0,IF(AND(AUTOEVENTO="Manual",$M204=1),0,IF(OFFSET(CRONOPLE!$F$14,$M204,BJ$13)="",10^12,OFFSET(CRONOPLE!$F$14,$M204,BJ$13))))</f>
        <v>1000000000000</v>
      </c>
      <c r="BK204" s="215">
        <f ca="1">IF($D204&lt;&gt;"Serviço",0,IF(AND(AUTOEVENTO="Manual",$M204=1),0,IF(OFFSET(CRONOPLE!$F$14,$M204,BK$13)="",10^12,OFFSET(CRONOPLE!$F$14,$M204,BK$13))))</f>
        <v>1000000000000</v>
      </c>
      <c r="BL204" s="215">
        <f ca="1">IF($D204&lt;&gt;"Serviço",0,IF(AND(AUTOEVENTO="Manual",$M204=1),0,IF(OFFSET(CRONOPLE!$F$14,$M204,BL$13)="",10^12,OFFSET(CRONOPLE!$F$14,$M204,BL$13))))</f>
        <v>1000000000000</v>
      </c>
      <c r="BM204" s="215">
        <f ca="1">IF($D204&lt;&gt;"Serviço",0,IF(AND(AUTOEVENTO="Manual",$M204=1),0,IF(OFFSET(CRONOPLE!$F$14,$M204,BM$13)="",10^12,OFFSET(CRONOPLE!$F$14,$M204,BM$13))))</f>
        <v>1000000000000</v>
      </c>
      <c r="BN204" s="215">
        <f ca="1">IF($D204&lt;&gt;"Serviço",0,IF(AND(AUTOEVENTO="Manual",$M204=1),0,IF(OFFSET(CRONOPLE!$F$14,$M204,BN$13)="",10^12,OFFSET(CRONOPLE!$F$14,$M204,BN$13))))</f>
        <v>1000000000000</v>
      </c>
      <c r="BO204" s="215">
        <f ca="1">IF($D204&lt;&gt;"Serviço",0,IF(AND(AUTOEVENTO="Manual",$M204=1),0,IF(OFFSET(CRONOPLE!$F$14,$M204,BO$13)="",10^12,OFFSET(CRONOPLE!$F$14,$M204,BO$13))))</f>
        <v>1000000000000</v>
      </c>
      <c r="BP204" s="215">
        <f ca="1">IF($D204&lt;&gt;"Serviço",0,IF(AND(AUTOEVENTO="Manual",$M204=1),0,IF(OFFSET(CRONOPLE!$F$14,$M204,BP$13)="",10^12,OFFSET(CRONOPLE!$F$14,$M204,BP$13))))</f>
        <v>1000000000000</v>
      </c>
      <c r="BQ204" s="215">
        <f ca="1">IF($D204&lt;&gt;"Serviço",0,IF(AND(AUTOEVENTO="Manual",$M204=1),0,IF(OFFSET(CRONOPLE!$F$14,$M204,BQ$13)="",10^12,OFFSET(CRONOPLE!$F$14,$M204,BQ$13))))</f>
        <v>1000000000000</v>
      </c>
      <c r="BR204" s="215">
        <f ca="1">IF($D204&lt;&gt;"Serviço",0,IF(AND(AUTOEVENTO="Manual",$M204=1),0,IF(OFFSET(CRONOPLE!$F$14,$M204,BR$13)="",10^12,OFFSET(CRONOPLE!$F$14,$M204,BR$13))))</f>
        <v>1000000000000</v>
      </c>
      <c r="BS204" s="215">
        <f ca="1">IF($D204&lt;&gt;"Serviço",0,IF(AND(AUTOEVENTO="Manual",$M204=1),0,IF(OFFSET(CRONOPLE!$F$14,$M204,BS$13)="",10^12,OFFSET(CRONOPLE!$F$14,$M204,BS$13))))</f>
        <v>1000000000000</v>
      </c>
      <c r="BT204" s="215">
        <f ca="1">IF($D204&lt;&gt;"Serviço",0,IF(AND(AUTOEVENTO="Manual",$M204=1),0,IF(OFFSET(CRONOPLE!$F$14,$M204,BT$13)="",10^12,OFFSET(CRONOPLE!$F$14,$M204,BT$13))))</f>
        <v>1000000000000</v>
      </c>
      <c r="BV204" s="216">
        <f ca="1">IF($D204&lt;&gt;"Serviço",0,IF(OR(AND(AUTOEVENTO="Manual",$M204=1),$M204&gt;(ROW(PLE.lastrow)-ROW(PLE.firstrow))),0,IF(OFFSET(PLE!$G$14,$M204,BV$13)="",10^12,OFFSET(PLE!$G$14,$M204,BV$13))))</f>
        <v>1000000000000</v>
      </c>
      <c r="BW204" s="216">
        <f ca="1">IF($D204&lt;&gt;"Serviço",0,IF(OR(AND(AUTOEVENTO="Manual",$M204=1),$M204&gt;(ROW(PLE.lastrow)-ROW(PLE.firstrow))),0,IF(OFFSET(PLE!$G$14,$M204,BW$13)="",10^12,OFFSET(PLE!$G$14,$M204,BW$13))))</f>
        <v>1000000000000</v>
      </c>
      <c r="BX204" s="216">
        <f ca="1">IF($D204&lt;&gt;"Serviço",0,IF(OR(AND(AUTOEVENTO="Manual",$M204=1),$M204&gt;(ROW(PLE.lastrow)-ROW(PLE.firstrow))),0,IF(OFFSET(PLE!$G$14,$M204,BX$13)="",10^12,OFFSET(PLE!$G$14,$M204,BX$13))))</f>
        <v>1000000000000</v>
      </c>
      <c r="BY204" s="216">
        <f ca="1">IF($D204&lt;&gt;"Serviço",0,IF(OR(AND(AUTOEVENTO="Manual",$M204=1),$M204&gt;(ROW(PLE.lastrow)-ROW(PLE.firstrow))),0,IF(OFFSET(PLE!$G$14,$M204,BY$13)="",10^12,OFFSET(PLE!$G$14,$M204,BY$13))))</f>
        <v>1000000000000</v>
      </c>
      <c r="BZ204" s="216">
        <f ca="1">IF($D204&lt;&gt;"Serviço",0,IF(OR(AND(AUTOEVENTO="Manual",$M204=1),$M204&gt;(ROW(PLE.lastrow)-ROW(PLE.firstrow))),0,IF(OFFSET(PLE!$G$14,$M204,BZ$13)="",10^12,OFFSET(PLE!$G$14,$M204,BZ$13))))</f>
        <v>1000000000000</v>
      </c>
      <c r="CA204" s="216">
        <f ca="1">IF($D204&lt;&gt;"Serviço",0,IF(OR(AND(AUTOEVENTO="Manual",$M204=1),$M204&gt;(ROW(PLE.lastrow)-ROW(PLE.firstrow))),0,IF(OFFSET(PLE!$G$14,$M204,CA$13)="",10^12,OFFSET(PLE!$G$14,$M204,CA$13))))</f>
        <v>1000000000000</v>
      </c>
      <c r="CB204" s="216">
        <f ca="1">IF($D204&lt;&gt;"Serviço",0,IF(OR(AND(AUTOEVENTO="Manual",$M204=1),$M204&gt;(ROW(PLE.lastrow)-ROW(PLE.firstrow))),0,IF(OFFSET(PLE!$G$14,$M204,CB$13)="",10^12,OFFSET(PLE!$G$14,$M204,CB$13))))</f>
        <v>1000000000000</v>
      </c>
      <c r="CC204" s="216">
        <f ca="1">IF($D204&lt;&gt;"Serviço",0,IF(OR(AND(AUTOEVENTO="Manual",$M204=1),$M204&gt;(ROW(PLE.lastrow)-ROW(PLE.firstrow))),0,IF(OFFSET(PLE!$G$14,$M204,CC$13)="",10^12,OFFSET(PLE!$G$14,$M204,CC$13))))</f>
        <v>1000000000000</v>
      </c>
      <c r="CD204" s="216">
        <f ca="1">IF($D204&lt;&gt;"Serviço",0,IF(OR(AND(AUTOEVENTO="Manual",$M204=1),$M204&gt;(ROW(PLE.lastrow)-ROW(PLE.firstrow))),0,IF(OFFSET(PLE!$G$14,$M204,CD$13)="",10^12,OFFSET(PLE!$G$14,$M204,CD$13))))</f>
        <v>1000000000000</v>
      </c>
      <c r="CE204" s="216">
        <f ca="1">IF($D204&lt;&gt;"Serviço",0,IF(OR(AND(AUTOEVENTO="Manual",$M204=1),$M204&gt;(ROW(PLE.lastrow)-ROW(PLE.firstrow))),0,IF(OFFSET(PLE!$G$14,$M204,CE$13)="",10^12,OFFSET(PLE!$G$14,$M204,CE$13))))</f>
        <v>1000000000000</v>
      </c>
      <c r="CF204" s="216">
        <f ca="1">IF($D204&lt;&gt;"Serviço",0,IF(OR(AND(AUTOEVENTO="Manual",$M204=1),$M204&gt;(ROW(PLE.lastrow)-ROW(PLE.firstrow))),0,IF(OFFSET(PLE!$G$14,$M204,CF$13)="",10^12,OFFSET(PLE!$G$14,$M204,CF$13))))</f>
        <v>1000000000000</v>
      </c>
      <c r="CG204" s="216">
        <f ca="1">IF($D204&lt;&gt;"Serviço",0,IF(OR(AND(AUTOEVENTO="Manual",$M204=1),$M204&gt;(ROW(PLE.lastrow)-ROW(PLE.firstrow))),0,IF(OFFSET(PLE!$G$14,$M204,CG$13)="",10^12,OFFSET(PLE!$G$14,$M204,CG$13))))</f>
        <v>1000000000000</v>
      </c>
      <c r="CH204" s="216">
        <f ca="1">IF($D204&lt;&gt;"Serviço",0,IF(OR(AND(AUTOEVENTO="Manual",$M204=1),$M204&gt;(ROW(PLE.lastrow)-ROW(PLE.firstrow))),0,IF(OFFSET(PLE!$G$14,$M204,CH$13)="",10^12,OFFSET(PLE!$G$14,$M204,CH$13))))</f>
        <v>1000000000000</v>
      </c>
      <c r="CI204" s="216">
        <f ca="1">IF($D204&lt;&gt;"Serviço",0,IF(OR(AND(AUTOEVENTO="Manual",$M204=1),$M204&gt;(ROW(PLE.lastrow)-ROW(PLE.firstrow))),0,IF(OFFSET(PLE!$G$14,$M204,CI$13)="",10^12,OFFSET(PLE!$G$14,$M204,CI$13))))</f>
        <v>1000000000000</v>
      </c>
      <c r="CJ204" s="216">
        <f ca="1">IF($D204&lt;&gt;"Serviço",0,IF(OR(AND(AUTOEVENTO="Manual",$M204=1),$M204&gt;(ROW(PLE.lastrow)-ROW(PLE.firstrow))),0,IF(OFFSET(PLE!$G$14,$M204,CJ$13)="",10^12,OFFSET(PLE!$G$14,$M204,CJ$13))))</f>
        <v>1000000000000</v>
      </c>
      <c r="CK204" s="216">
        <f ca="1">IF($D204&lt;&gt;"Serviço",0,IF(OR(AND(AUTOEVENTO="Manual",$M204=1),$M204&gt;(ROW(PLE.lastrow)-ROW(PLE.firstrow))),0,IF(OFFSET(PLE!$G$14,$M204,CK$13)="",10^12,OFFSET(PLE!$G$14,$M204,CK$13))))</f>
        <v>1000000000000</v>
      </c>
      <c r="CL204" s="216">
        <f ca="1">IF($D204&lt;&gt;"Serviço",0,IF(OR(AND(AUTOEVENTO="Manual",$M204=1),$M204&gt;(ROW(PLE.lastrow)-ROW(PLE.firstrow))),0,IF(OFFSET(PLE!$G$14,$M204,CL$13)="",10^12,OFFSET(PLE!$G$14,$M204,CL$13))))</f>
        <v>1000000000000</v>
      </c>
      <c r="CM204" s="216">
        <f ca="1">IF($D204&lt;&gt;"Serviço",0,IF(OR(AND(AUTOEVENTO="Manual",$M204=1),$M204&gt;(ROW(PLE.lastrow)-ROW(PLE.firstrow))),0,IF(OFFSET(PLE!$G$14,$M204,CM$13)="",10^12,OFFSET(PLE!$G$14,$M204,CM$13))))</f>
        <v>1000000000000</v>
      </c>
    </row>
    <row r="205" spans="1:91" ht="13.2" x14ac:dyDescent="0.25">
      <c r="A205" s="9">
        <f t="shared" ca="1" si="11"/>
        <v>0</v>
      </c>
      <c r="B205" s="9" t="str">
        <f ca="1">OFFSET(ORÇAMENTO!C$15,ROW(B205)-ROW(B$15),0)</f>
        <v>S</v>
      </c>
      <c r="C205" s="9" t="str">
        <f ca="1">OFFSET(ORÇAMENTO!L$15,ROW(C205)-ROW(C$15),0)</f>
        <v/>
      </c>
      <c r="D205" s="145" t="str">
        <f ca="1">OFFSET(ORÇAMENTO!N$15,ROW(D205)-ROW(D$15),0)</f>
        <v>Serviço</v>
      </c>
      <c r="E205" s="205" t="str">
        <f ca="1">OFFSET(ORÇAMENTO!O$15,ROW(E205)-ROW(E$15),0)</f>
        <v>-</v>
      </c>
      <c r="F205" s="206" t="str">
        <f ca="1">OFFSET(ORÇAMENTO!R$15,ROW(F205)-ROW(F$15),0)</f>
        <v>(abra o arquivo 'Referência 05-2024.xls)</v>
      </c>
      <c r="G205" s="207" t="str">
        <f ca="1">IF($D205&lt;&gt;"Serviço","",OFFSET(ORÇAMENTO!S$15,ROW(G205)-ROW(G$15),0))</f>
        <v>-</v>
      </c>
      <c r="H205" s="151">
        <f ca="1">IF($D205&lt;&gt;"Serviço",0,IF(ACOMPANHAMENTO="BM",ROUND(OFFSET(ORÇAMENTO!AJ$15,ROW(H205)-ROW(H$15),0),15-13*ORÇAMENTO!$AF$7),SUMPRODUCT(($Q$12:$AI$12&lt;&gt;"")*ROUND($Q205:$AI205,15-13*ORÇAMENTO!$AF$7))))</f>
        <v>20.16</v>
      </c>
      <c r="I205" s="650"/>
      <c r="K205" s="208"/>
      <c r="L205" s="209" t="s">
        <v>257</v>
      </c>
      <c r="M205" s="210">
        <f ca="1">IF($D205&lt;&gt;"Serviço","",IF(AUTOEVENTO="manual",$A205,IF(ISERROR(MATCH($A205,$A$15:OFFSET($A205,-1,0),0)),MAX($M$15:OFFSET(M205,-1,0))+1,INDEX($M$15:OFFSET(M205,-1,0),MATCH($A205,$A$15:OFFSET($A205,-1,0),0)))))</f>
        <v>0</v>
      </c>
      <c r="N205" s="211" t="str">
        <f ca="1">IF($D205&lt;&gt;"Serviço","",IF(AUTOEVENTO="Manual",IF($A205=0,"&lt;-- defina o número do agrupador",OFFSET(EVENTOS!$D$14,$A205,0)),OFFSET($F$15,$A205,0)))</f>
        <v>&lt;-- defina o número do agrupador</v>
      </c>
      <c r="O205" s="212"/>
      <c r="Q205" s="212"/>
      <c r="R205" s="213"/>
      <c r="S205" s="213"/>
      <c r="T205" s="213"/>
      <c r="U205" s="213"/>
      <c r="V205" s="213"/>
      <c r="W205" s="213"/>
      <c r="X205" s="213"/>
      <c r="Y205" s="213"/>
      <c r="Z205" s="214"/>
      <c r="AA205" s="213"/>
      <c r="AB205" s="213"/>
      <c r="AC205" s="213"/>
      <c r="AD205" s="213"/>
      <c r="AE205" s="213"/>
      <c r="AF205" s="213"/>
      <c r="AG205" s="213"/>
      <c r="AH205" s="214"/>
      <c r="AJ205" s="631">
        <f ca="1">IF(AND($D205="Serviço",AJ$12&lt;&gt;0,$H205&gt;0,OR(AUTOEVENTO&lt;&gt;"manual",$M205&lt;&gt;1)),ROUND(OFFSET($P205,0,AJ$13),15-13*ORÇAMENTO!$AF$7)/$H205*OFFSET(ORÇAMENTO!$X$15,ROW(AJ205)-ROW(AJ$15),0),0)</f>
        <v>0</v>
      </c>
      <c r="AK205" s="632">
        <f ca="1">IF(AND($D205="Serviço",AK$12&lt;&gt;0,$H205&gt;0,OR(AUTOEVENTO&lt;&gt;"manual",$M205&lt;&gt;1)),ROUND(OFFSET($P205,0,AK$13),15-13*ORÇAMENTO!$AF$7)/$H205*OFFSET(ORÇAMENTO!$X$15,ROW(AK205)-ROW(AK$15),0),0)</f>
        <v>0</v>
      </c>
      <c r="AL205" s="632">
        <f ca="1">IF(AND($D205="Serviço",AL$12&lt;&gt;0,$H205&gt;0,OR(AUTOEVENTO&lt;&gt;"manual",$M205&lt;&gt;1)),ROUND(OFFSET($P205,0,AL$13),15-13*ORÇAMENTO!$AF$7)/$H205*OFFSET(ORÇAMENTO!$X$15,ROW(AL205)-ROW(AL$15),0),0)</f>
        <v>0</v>
      </c>
      <c r="AM205" s="632">
        <f ca="1">IF(AND($D205="Serviço",AM$12&lt;&gt;0,$H205&gt;0,OR(AUTOEVENTO&lt;&gt;"manual",$M205&lt;&gt;1)),ROUND(OFFSET($P205,0,AM$13),15-13*ORÇAMENTO!$AF$7)/$H205*OFFSET(ORÇAMENTO!$X$15,ROW(AM205)-ROW(AM$15),0),0)</f>
        <v>0</v>
      </c>
      <c r="AN205" s="632">
        <f ca="1">IF(AND($D205="Serviço",AN$12&lt;&gt;0,$H205&gt;0,OR(AUTOEVENTO&lt;&gt;"manual",$M205&lt;&gt;1)),ROUND(OFFSET($P205,0,AN$13),15-13*ORÇAMENTO!$AF$7)/$H205*OFFSET(ORÇAMENTO!$X$15,ROW(AN205)-ROW(AN$15),0),0)</f>
        <v>0</v>
      </c>
      <c r="AO205" s="632">
        <f ca="1">IF(AND($D205="Serviço",AO$12&lt;&gt;0,$H205&gt;0,OR(AUTOEVENTO&lt;&gt;"manual",$M205&lt;&gt;1)),ROUND(OFFSET($P205,0,AO$13),15-13*ORÇAMENTO!$AF$7)/$H205*OFFSET(ORÇAMENTO!$X$15,ROW(AO205)-ROW(AO$15),0),0)</f>
        <v>0</v>
      </c>
      <c r="AP205" s="632">
        <f ca="1">IF(AND($D205="Serviço",AP$12&lt;&gt;0,$H205&gt;0,OR(AUTOEVENTO&lt;&gt;"manual",$M205&lt;&gt;1)),ROUND(OFFSET($P205,0,AP$13),15-13*ORÇAMENTO!$AF$7)/$H205*OFFSET(ORÇAMENTO!$X$15,ROW(AP205)-ROW(AP$15),0),0)</f>
        <v>0</v>
      </c>
      <c r="AQ205" s="632">
        <f ca="1">IF(AND($D205="Serviço",AQ$12&lt;&gt;0,$H205&gt;0,OR(AUTOEVENTO&lt;&gt;"manual",$M205&lt;&gt;1)),ROUND(OFFSET($P205,0,AQ$13),15-13*ORÇAMENTO!$AF$7)/$H205*OFFSET(ORÇAMENTO!$X$15,ROW(AQ205)-ROW(AQ$15),0),0)</f>
        <v>0</v>
      </c>
      <c r="AR205" s="632">
        <f ca="1">IF(AND($D205="Serviço",AR$12&lt;&gt;0,$H205&gt;0,OR(AUTOEVENTO&lt;&gt;"manual",$M205&lt;&gt;1)),ROUND(OFFSET($P205,0,AR$13),15-13*ORÇAMENTO!$AF$7)/$H205*OFFSET(ORÇAMENTO!$X$15,ROW(AR205)-ROW(AR$15),0),0)</f>
        <v>0</v>
      </c>
      <c r="AS205" s="633">
        <f ca="1">IF(AND($D205="Serviço",AS$12&lt;&gt;0,$H205&gt;0,OR(AUTOEVENTO&lt;&gt;"manual",$M205&lt;&gt;1)),ROUND(OFFSET($P205,0,AS$13),15-13*ORÇAMENTO!$AF$7)/$H205*OFFSET(ORÇAMENTO!$X$15,ROW(AS205)-ROW(AS$15),0),0)</f>
        <v>0</v>
      </c>
      <c r="AT205" s="632">
        <f ca="1">IF(AND($D205="Serviço",AT$12&lt;&gt;0,$H205&gt;0,OR(AUTOEVENTO&lt;&gt;"manual",$M205&lt;&gt;1)),ROUND(OFFSET($P205,0,AT$13),15-13*ORÇAMENTO!$AF$7)/$H205*OFFSET(ORÇAMENTO!$X$15,ROW(AT205)-ROW(AT$15),0),0)</f>
        <v>0</v>
      </c>
      <c r="AU205" s="632">
        <f ca="1">IF(AND($D205="Serviço",AU$12&lt;&gt;0,$H205&gt;0,OR(AUTOEVENTO&lt;&gt;"manual",$M205&lt;&gt;1)),ROUND(OFFSET($P205,0,AU$13),15-13*ORÇAMENTO!$AF$7)/$H205*OFFSET(ORÇAMENTO!$X$15,ROW(AU205)-ROW(AU$15),0),0)</f>
        <v>0</v>
      </c>
      <c r="AV205" s="632">
        <f ca="1">IF(AND($D205="Serviço",AV$12&lt;&gt;0,$H205&gt;0,OR(AUTOEVENTO&lt;&gt;"manual",$M205&lt;&gt;1)),ROUND(OFFSET($P205,0,AV$13),15-13*ORÇAMENTO!$AF$7)/$H205*OFFSET(ORÇAMENTO!$X$15,ROW(AV205)-ROW(AV$15),0),0)</f>
        <v>0</v>
      </c>
      <c r="AW205" s="632">
        <f ca="1">IF(AND($D205="Serviço",AW$12&lt;&gt;0,$H205&gt;0,OR(AUTOEVENTO&lt;&gt;"manual",$M205&lt;&gt;1)),ROUND(OFFSET($P205,0,AW$13),15-13*ORÇAMENTO!$AF$7)/$H205*OFFSET(ORÇAMENTO!$X$15,ROW(AW205)-ROW(AW$15),0),0)</f>
        <v>0</v>
      </c>
      <c r="AX205" s="632">
        <f ca="1">IF(AND($D205="Serviço",AX$12&lt;&gt;0,$H205&gt;0,OR(AUTOEVENTO&lt;&gt;"manual",$M205&lt;&gt;1)),ROUND(OFFSET($P205,0,AX$13),15-13*ORÇAMENTO!$AF$7)/$H205*OFFSET(ORÇAMENTO!$X$15,ROW(AX205)-ROW(AX$15),0),0)</f>
        <v>0</v>
      </c>
      <c r="AY205" s="632">
        <f ca="1">IF(AND($D205="Serviço",AY$12&lt;&gt;0,$H205&gt;0,OR(AUTOEVENTO&lt;&gt;"manual",$M205&lt;&gt;1)),ROUND(OFFSET($P205,0,AY$13),15-13*ORÇAMENTO!$AF$7)/$H205*OFFSET(ORÇAMENTO!$X$15,ROW(AY205)-ROW(AY$15),0),0)</f>
        <v>0</v>
      </c>
      <c r="AZ205" s="632">
        <f ca="1">IF(AND($D205="Serviço",AZ$12&lt;&gt;0,$H205&gt;0,OR(AUTOEVENTO&lt;&gt;"manual",$M205&lt;&gt;1)),ROUND(OFFSET($P205,0,AZ$13),15-13*ORÇAMENTO!$AF$7)/$H205*OFFSET(ORÇAMENTO!$X$15,ROW(AZ205)-ROW(AZ$15),0),0)</f>
        <v>0</v>
      </c>
      <c r="BA205" s="633">
        <f ca="1">IF(AND($D205="Serviço",BA$12&lt;&gt;0,$H205&gt;0,OR(AUTOEVENTO&lt;&gt;"manual",$M205&lt;&gt;1)),ROUND(OFFSET($P205,0,BA$13),15-13*ORÇAMENTO!$AF$7)/$H205*OFFSET(ORÇAMENTO!$X$15,ROW(BA205)-ROW(BA$15),0),0)</f>
        <v>0</v>
      </c>
      <c r="BC205" s="215">
        <f ca="1">IF($D205&lt;&gt;"Serviço",0,IF(AND(AUTOEVENTO="Manual",$M205=1),0,IF(OFFSET(CRONOPLE!$F$14,$M205,BC$13)="",10^12,OFFSET(CRONOPLE!$F$14,$M205,BC$13))))</f>
        <v>1000000000000</v>
      </c>
      <c r="BD205" s="215">
        <f ca="1">IF($D205&lt;&gt;"Serviço",0,IF(AND(AUTOEVENTO="Manual",$M205=1),0,IF(OFFSET(CRONOPLE!$F$14,$M205,BD$13)="",10^12,OFFSET(CRONOPLE!$F$14,$M205,BD$13))))</f>
        <v>1000000000000</v>
      </c>
      <c r="BE205" s="215">
        <f ca="1">IF($D205&lt;&gt;"Serviço",0,IF(AND(AUTOEVENTO="Manual",$M205=1),0,IF(OFFSET(CRONOPLE!$F$14,$M205,BE$13)="",10^12,OFFSET(CRONOPLE!$F$14,$M205,BE$13))))</f>
        <v>1000000000000</v>
      </c>
      <c r="BF205" s="215">
        <f ca="1">IF($D205&lt;&gt;"Serviço",0,IF(AND(AUTOEVENTO="Manual",$M205=1),0,IF(OFFSET(CRONOPLE!$F$14,$M205,BF$13)="",10^12,OFFSET(CRONOPLE!$F$14,$M205,BF$13))))</f>
        <v>1000000000000</v>
      </c>
      <c r="BG205" s="215">
        <f ca="1">IF($D205&lt;&gt;"Serviço",0,IF(AND(AUTOEVENTO="Manual",$M205=1),0,IF(OFFSET(CRONOPLE!$F$14,$M205,BG$13)="",10^12,OFFSET(CRONOPLE!$F$14,$M205,BG$13))))</f>
        <v>1000000000000</v>
      </c>
      <c r="BH205" s="215">
        <f ca="1">IF($D205&lt;&gt;"Serviço",0,IF(AND(AUTOEVENTO="Manual",$M205=1),0,IF(OFFSET(CRONOPLE!$F$14,$M205,BH$13)="",10^12,OFFSET(CRONOPLE!$F$14,$M205,BH$13))))</f>
        <v>1000000000000</v>
      </c>
      <c r="BI205" s="215">
        <f ca="1">IF($D205&lt;&gt;"Serviço",0,IF(AND(AUTOEVENTO="Manual",$M205=1),0,IF(OFFSET(CRONOPLE!$F$14,$M205,BI$13)="",10^12,OFFSET(CRONOPLE!$F$14,$M205,BI$13))))</f>
        <v>1000000000000</v>
      </c>
      <c r="BJ205" s="215">
        <f ca="1">IF($D205&lt;&gt;"Serviço",0,IF(AND(AUTOEVENTO="Manual",$M205=1),0,IF(OFFSET(CRONOPLE!$F$14,$M205,BJ$13)="",10^12,OFFSET(CRONOPLE!$F$14,$M205,BJ$13))))</f>
        <v>1000000000000</v>
      </c>
      <c r="BK205" s="215">
        <f ca="1">IF($D205&lt;&gt;"Serviço",0,IF(AND(AUTOEVENTO="Manual",$M205=1),0,IF(OFFSET(CRONOPLE!$F$14,$M205,BK$13)="",10^12,OFFSET(CRONOPLE!$F$14,$M205,BK$13))))</f>
        <v>1000000000000</v>
      </c>
      <c r="BL205" s="215">
        <f ca="1">IF($D205&lt;&gt;"Serviço",0,IF(AND(AUTOEVENTO="Manual",$M205=1),0,IF(OFFSET(CRONOPLE!$F$14,$M205,BL$13)="",10^12,OFFSET(CRONOPLE!$F$14,$M205,BL$13))))</f>
        <v>1000000000000</v>
      </c>
      <c r="BM205" s="215">
        <f ca="1">IF($D205&lt;&gt;"Serviço",0,IF(AND(AUTOEVENTO="Manual",$M205=1),0,IF(OFFSET(CRONOPLE!$F$14,$M205,BM$13)="",10^12,OFFSET(CRONOPLE!$F$14,$M205,BM$13))))</f>
        <v>1000000000000</v>
      </c>
      <c r="BN205" s="215">
        <f ca="1">IF($D205&lt;&gt;"Serviço",0,IF(AND(AUTOEVENTO="Manual",$M205=1),0,IF(OFFSET(CRONOPLE!$F$14,$M205,BN$13)="",10^12,OFFSET(CRONOPLE!$F$14,$M205,BN$13))))</f>
        <v>1000000000000</v>
      </c>
      <c r="BO205" s="215">
        <f ca="1">IF($D205&lt;&gt;"Serviço",0,IF(AND(AUTOEVENTO="Manual",$M205=1),0,IF(OFFSET(CRONOPLE!$F$14,$M205,BO$13)="",10^12,OFFSET(CRONOPLE!$F$14,$M205,BO$13))))</f>
        <v>1000000000000</v>
      </c>
      <c r="BP205" s="215">
        <f ca="1">IF($D205&lt;&gt;"Serviço",0,IF(AND(AUTOEVENTO="Manual",$M205=1),0,IF(OFFSET(CRONOPLE!$F$14,$M205,BP$13)="",10^12,OFFSET(CRONOPLE!$F$14,$M205,BP$13))))</f>
        <v>1000000000000</v>
      </c>
      <c r="BQ205" s="215">
        <f ca="1">IF($D205&lt;&gt;"Serviço",0,IF(AND(AUTOEVENTO="Manual",$M205=1),0,IF(OFFSET(CRONOPLE!$F$14,$M205,BQ$13)="",10^12,OFFSET(CRONOPLE!$F$14,$M205,BQ$13))))</f>
        <v>1000000000000</v>
      </c>
      <c r="BR205" s="215">
        <f ca="1">IF($D205&lt;&gt;"Serviço",0,IF(AND(AUTOEVENTO="Manual",$M205=1),0,IF(OFFSET(CRONOPLE!$F$14,$M205,BR$13)="",10^12,OFFSET(CRONOPLE!$F$14,$M205,BR$13))))</f>
        <v>1000000000000</v>
      </c>
      <c r="BS205" s="215">
        <f ca="1">IF($D205&lt;&gt;"Serviço",0,IF(AND(AUTOEVENTO="Manual",$M205=1),0,IF(OFFSET(CRONOPLE!$F$14,$M205,BS$13)="",10^12,OFFSET(CRONOPLE!$F$14,$M205,BS$13))))</f>
        <v>1000000000000</v>
      </c>
      <c r="BT205" s="215">
        <f ca="1">IF($D205&lt;&gt;"Serviço",0,IF(AND(AUTOEVENTO="Manual",$M205=1),0,IF(OFFSET(CRONOPLE!$F$14,$M205,BT$13)="",10^12,OFFSET(CRONOPLE!$F$14,$M205,BT$13))))</f>
        <v>1000000000000</v>
      </c>
      <c r="BV205" s="216">
        <f ca="1">IF($D205&lt;&gt;"Serviço",0,IF(OR(AND(AUTOEVENTO="Manual",$M205=1),$M205&gt;(ROW(PLE.lastrow)-ROW(PLE.firstrow))),0,IF(OFFSET(PLE!$G$14,$M205,BV$13)="",10^12,OFFSET(PLE!$G$14,$M205,BV$13))))</f>
        <v>1000000000000</v>
      </c>
      <c r="BW205" s="216">
        <f ca="1">IF($D205&lt;&gt;"Serviço",0,IF(OR(AND(AUTOEVENTO="Manual",$M205=1),$M205&gt;(ROW(PLE.lastrow)-ROW(PLE.firstrow))),0,IF(OFFSET(PLE!$G$14,$M205,BW$13)="",10^12,OFFSET(PLE!$G$14,$M205,BW$13))))</f>
        <v>1000000000000</v>
      </c>
      <c r="BX205" s="216">
        <f ca="1">IF($D205&lt;&gt;"Serviço",0,IF(OR(AND(AUTOEVENTO="Manual",$M205=1),$M205&gt;(ROW(PLE.lastrow)-ROW(PLE.firstrow))),0,IF(OFFSET(PLE!$G$14,$M205,BX$13)="",10^12,OFFSET(PLE!$G$14,$M205,BX$13))))</f>
        <v>1000000000000</v>
      </c>
      <c r="BY205" s="216">
        <f ca="1">IF($D205&lt;&gt;"Serviço",0,IF(OR(AND(AUTOEVENTO="Manual",$M205=1),$M205&gt;(ROW(PLE.lastrow)-ROW(PLE.firstrow))),0,IF(OFFSET(PLE!$G$14,$M205,BY$13)="",10^12,OFFSET(PLE!$G$14,$M205,BY$13))))</f>
        <v>1000000000000</v>
      </c>
      <c r="BZ205" s="216">
        <f ca="1">IF($D205&lt;&gt;"Serviço",0,IF(OR(AND(AUTOEVENTO="Manual",$M205=1),$M205&gt;(ROW(PLE.lastrow)-ROW(PLE.firstrow))),0,IF(OFFSET(PLE!$G$14,$M205,BZ$13)="",10^12,OFFSET(PLE!$G$14,$M205,BZ$13))))</f>
        <v>1000000000000</v>
      </c>
      <c r="CA205" s="216">
        <f ca="1">IF($D205&lt;&gt;"Serviço",0,IF(OR(AND(AUTOEVENTO="Manual",$M205=1),$M205&gt;(ROW(PLE.lastrow)-ROW(PLE.firstrow))),0,IF(OFFSET(PLE!$G$14,$M205,CA$13)="",10^12,OFFSET(PLE!$G$14,$M205,CA$13))))</f>
        <v>1000000000000</v>
      </c>
      <c r="CB205" s="216">
        <f ca="1">IF($D205&lt;&gt;"Serviço",0,IF(OR(AND(AUTOEVENTO="Manual",$M205=1),$M205&gt;(ROW(PLE.lastrow)-ROW(PLE.firstrow))),0,IF(OFFSET(PLE!$G$14,$M205,CB$13)="",10^12,OFFSET(PLE!$G$14,$M205,CB$13))))</f>
        <v>1000000000000</v>
      </c>
      <c r="CC205" s="216">
        <f ca="1">IF($D205&lt;&gt;"Serviço",0,IF(OR(AND(AUTOEVENTO="Manual",$M205=1),$M205&gt;(ROW(PLE.lastrow)-ROW(PLE.firstrow))),0,IF(OFFSET(PLE!$G$14,$M205,CC$13)="",10^12,OFFSET(PLE!$G$14,$M205,CC$13))))</f>
        <v>1000000000000</v>
      </c>
      <c r="CD205" s="216">
        <f ca="1">IF($D205&lt;&gt;"Serviço",0,IF(OR(AND(AUTOEVENTO="Manual",$M205=1),$M205&gt;(ROW(PLE.lastrow)-ROW(PLE.firstrow))),0,IF(OFFSET(PLE!$G$14,$M205,CD$13)="",10^12,OFFSET(PLE!$G$14,$M205,CD$13))))</f>
        <v>1000000000000</v>
      </c>
      <c r="CE205" s="216">
        <f ca="1">IF($D205&lt;&gt;"Serviço",0,IF(OR(AND(AUTOEVENTO="Manual",$M205=1),$M205&gt;(ROW(PLE.lastrow)-ROW(PLE.firstrow))),0,IF(OFFSET(PLE!$G$14,$M205,CE$13)="",10^12,OFFSET(PLE!$G$14,$M205,CE$13))))</f>
        <v>1000000000000</v>
      </c>
      <c r="CF205" s="216">
        <f ca="1">IF($D205&lt;&gt;"Serviço",0,IF(OR(AND(AUTOEVENTO="Manual",$M205=1),$M205&gt;(ROW(PLE.lastrow)-ROW(PLE.firstrow))),0,IF(OFFSET(PLE!$G$14,$M205,CF$13)="",10^12,OFFSET(PLE!$G$14,$M205,CF$13))))</f>
        <v>1000000000000</v>
      </c>
      <c r="CG205" s="216">
        <f ca="1">IF($D205&lt;&gt;"Serviço",0,IF(OR(AND(AUTOEVENTO="Manual",$M205=1),$M205&gt;(ROW(PLE.lastrow)-ROW(PLE.firstrow))),0,IF(OFFSET(PLE!$G$14,$M205,CG$13)="",10^12,OFFSET(PLE!$G$14,$M205,CG$13))))</f>
        <v>1000000000000</v>
      </c>
      <c r="CH205" s="216">
        <f ca="1">IF($D205&lt;&gt;"Serviço",0,IF(OR(AND(AUTOEVENTO="Manual",$M205=1),$M205&gt;(ROW(PLE.lastrow)-ROW(PLE.firstrow))),0,IF(OFFSET(PLE!$G$14,$M205,CH$13)="",10^12,OFFSET(PLE!$G$14,$M205,CH$13))))</f>
        <v>1000000000000</v>
      </c>
      <c r="CI205" s="216">
        <f ca="1">IF($D205&lt;&gt;"Serviço",0,IF(OR(AND(AUTOEVENTO="Manual",$M205=1),$M205&gt;(ROW(PLE.lastrow)-ROW(PLE.firstrow))),0,IF(OFFSET(PLE!$G$14,$M205,CI$13)="",10^12,OFFSET(PLE!$G$14,$M205,CI$13))))</f>
        <v>1000000000000</v>
      </c>
      <c r="CJ205" s="216">
        <f ca="1">IF($D205&lt;&gt;"Serviço",0,IF(OR(AND(AUTOEVENTO="Manual",$M205=1),$M205&gt;(ROW(PLE.lastrow)-ROW(PLE.firstrow))),0,IF(OFFSET(PLE!$G$14,$M205,CJ$13)="",10^12,OFFSET(PLE!$G$14,$M205,CJ$13))))</f>
        <v>1000000000000</v>
      </c>
      <c r="CK205" s="216">
        <f ca="1">IF($D205&lt;&gt;"Serviço",0,IF(OR(AND(AUTOEVENTO="Manual",$M205=1),$M205&gt;(ROW(PLE.lastrow)-ROW(PLE.firstrow))),0,IF(OFFSET(PLE!$G$14,$M205,CK$13)="",10^12,OFFSET(PLE!$G$14,$M205,CK$13))))</f>
        <v>1000000000000</v>
      </c>
      <c r="CL205" s="216">
        <f ca="1">IF($D205&lt;&gt;"Serviço",0,IF(OR(AND(AUTOEVENTO="Manual",$M205=1),$M205&gt;(ROW(PLE.lastrow)-ROW(PLE.firstrow))),0,IF(OFFSET(PLE!$G$14,$M205,CL$13)="",10^12,OFFSET(PLE!$G$14,$M205,CL$13))))</f>
        <v>1000000000000</v>
      </c>
      <c r="CM205" s="216">
        <f ca="1">IF($D205&lt;&gt;"Serviço",0,IF(OR(AND(AUTOEVENTO="Manual",$M205=1),$M205&gt;(ROW(PLE.lastrow)-ROW(PLE.firstrow))),0,IF(OFFSET(PLE!$G$14,$M205,CM$13)="",10^12,OFFSET(PLE!$G$14,$M205,CM$13))))</f>
        <v>1000000000000</v>
      </c>
    </row>
    <row r="206" spans="1:91" ht="13.2" x14ac:dyDescent="0.25">
      <c r="A206" s="9">
        <f t="shared" ca="1" si="11"/>
        <v>0</v>
      </c>
      <c r="B206" s="9" t="str">
        <f ca="1">OFFSET(ORÇAMENTO!C$15,ROW(B206)-ROW(B$15),0)</f>
        <v>S</v>
      </c>
      <c r="C206" s="9" t="str">
        <f ca="1">OFFSET(ORÇAMENTO!L$15,ROW(C206)-ROW(C$15),0)</f>
        <v/>
      </c>
      <c r="D206" s="145" t="str">
        <f ca="1">OFFSET(ORÇAMENTO!N$15,ROW(D206)-ROW(D$15),0)</f>
        <v>Serviço</v>
      </c>
      <c r="E206" s="205" t="str">
        <f ca="1">OFFSET(ORÇAMENTO!O$15,ROW(E206)-ROW(E$15),0)</f>
        <v>-</v>
      </c>
      <c r="F206" s="206" t="str">
        <f ca="1">OFFSET(ORÇAMENTO!R$15,ROW(F206)-ROW(F$15),0)</f>
        <v>(abra o arquivo 'Referência 05-2024.xls)</v>
      </c>
      <c r="G206" s="207" t="str">
        <f ca="1">IF($D206&lt;&gt;"Serviço","",OFFSET(ORÇAMENTO!S$15,ROW(G206)-ROW(G$15),0))</f>
        <v>-</v>
      </c>
      <c r="H206" s="151">
        <f ca="1">IF($D206&lt;&gt;"Serviço",0,IF(ACOMPANHAMENTO="BM",ROUND(OFFSET(ORÇAMENTO!AJ$15,ROW(H206)-ROW(H$15),0),15-13*ORÇAMENTO!$AF$7),SUMPRODUCT(($Q$12:$AI$12&lt;&gt;"")*ROUND($Q206:$AI206,15-13*ORÇAMENTO!$AF$7))))</f>
        <v>3.36</v>
      </c>
      <c r="I206" s="650"/>
      <c r="K206" s="208"/>
      <c r="L206" s="209" t="s">
        <v>257</v>
      </c>
      <c r="M206" s="210">
        <f ca="1">IF($D206&lt;&gt;"Serviço","",IF(AUTOEVENTO="manual",$A206,IF(ISERROR(MATCH($A206,$A$15:OFFSET($A206,-1,0),0)),MAX($M$15:OFFSET(M206,-1,0))+1,INDEX($M$15:OFFSET(M206,-1,0),MATCH($A206,$A$15:OFFSET($A206,-1,0),0)))))</f>
        <v>0</v>
      </c>
      <c r="N206" s="211" t="str">
        <f ca="1">IF($D206&lt;&gt;"Serviço","",IF(AUTOEVENTO="Manual",IF($A206=0,"&lt;-- defina o número do agrupador",OFFSET(EVENTOS!$D$14,$A206,0)),OFFSET($F$15,$A206,0)))</f>
        <v>&lt;-- defina o número do agrupador</v>
      </c>
      <c r="O206" s="212"/>
      <c r="Q206" s="212"/>
      <c r="R206" s="213"/>
      <c r="S206" s="213"/>
      <c r="T206" s="213"/>
      <c r="U206" s="213"/>
      <c r="V206" s="213"/>
      <c r="W206" s="213"/>
      <c r="X206" s="213"/>
      <c r="Y206" s="213"/>
      <c r="Z206" s="214"/>
      <c r="AA206" s="213"/>
      <c r="AB206" s="213"/>
      <c r="AC206" s="213"/>
      <c r="AD206" s="213"/>
      <c r="AE206" s="213"/>
      <c r="AF206" s="213"/>
      <c r="AG206" s="213"/>
      <c r="AH206" s="214"/>
      <c r="AJ206" s="631">
        <f ca="1">IF(AND($D206="Serviço",AJ$12&lt;&gt;0,$H206&gt;0,OR(AUTOEVENTO&lt;&gt;"manual",$M206&lt;&gt;1)),ROUND(OFFSET($P206,0,AJ$13),15-13*ORÇAMENTO!$AF$7)/$H206*OFFSET(ORÇAMENTO!$X$15,ROW(AJ206)-ROW(AJ$15),0),0)</f>
        <v>0</v>
      </c>
      <c r="AK206" s="632">
        <f ca="1">IF(AND($D206="Serviço",AK$12&lt;&gt;0,$H206&gt;0,OR(AUTOEVENTO&lt;&gt;"manual",$M206&lt;&gt;1)),ROUND(OFFSET($P206,0,AK$13),15-13*ORÇAMENTO!$AF$7)/$H206*OFFSET(ORÇAMENTO!$X$15,ROW(AK206)-ROW(AK$15),0),0)</f>
        <v>0</v>
      </c>
      <c r="AL206" s="632">
        <f ca="1">IF(AND($D206="Serviço",AL$12&lt;&gt;0,$H206&gt;0,OR(AUTOEVENTO&lt;&gt;"manual",$M206&lt;&gt;1)),ROUND(OFFSET($P206,0,AL$13),15-13*ORÇAMENTO!$AF$7)/$H206*OFFSET(ORÇAMENTO!$X$15,ROW(AL206)-ROW(AL$15),0),0)</f>
        <v>0</v>
      </c>
      <c r="AM206" s="632">
        <f ca="1">IF(AND($D206="Serviço",AM$12&lt;&gt;0,$H206&gt;0,OR(AUTOEVENTO&lt;&gt;"manual",$M206&lt;&gt;1)),ROUND(OFFSET($P206,0,AM$13),15-13*ORÇAMENTO!$AF$7)/$H206*OFFSET(ORÇAMENTO!$X$15,ROW(AM206)-ROW(AM$15),0),0)</f>
        <v>0</v>
      </c>
      <c r="AN206" s="632">
        <f ca="1">IF(AND($D206="Serviço",AN$12&lt;&gt;0,$H206&gt;0,OR(AUTOEVENTO&lt;&gt;"manual",$M206&lt;&gt;1)),ROUND(OFFSET($P206,0,AN$13),15-13*ORÇAMENTO!$AF$7)/$H206*OFFSET(ORÇAMENTO!$X$15,ROW(AN206)-ROW(AN$15),0),0)</f>
        <v>0</v>
      </c>
      <c r="AO206" s="632">
        <f ca="1">IF(AND($D206="Serviço",AO$12&lt;&gt;0,$H206&gt;0,OR(AUTOEVENTO&lt;&gt;"manual",$M206&lt;&gt;1)),ROUND(OFFSET($P206,0,AO$13),15-13*ORÇAMENTO!$AF$7)/$H206*OFFSET(ORÇAMENTO!$X$15,ROW(AO206)-ROW(AO$15),0),0)</f>
        <v>0</v>
      </c>
      <c r="AP206" s="632">
        <f ca="1">IF(AND($D206="Serviço",AP$12&lt;&gt;0,$H206&gt;0,OR(AUTOEVENTO&lt;&gt;"manual",$M206&lt;&gt;1)),ROUND(OFFSET($P206,0,AP$13),15-13*ORÇAMENTO!$AF$7)/$H206*OFFSET(ORÇAMENTO!$X$15,ROW(AP206)-ROW(AP$15),0),0)</f>
        <v>0</v>
      </c>
      <c r="AQ206" s="632">
        <f ca="1">IF(AND($D206="Serviço",AQ$12&lt;&gt;0,$H206&gt;0,OR(AUTOEVENTO&lt;&gt;"manual",$M206&lt;&gt;1)),ROUND(OFFSET($P206,0,AQ$13),15-13*ORÇAMENTO!$AF$7)/$H206*OFFSET(ORÇAMENTO!$X$15,ROW(AQ206)-ROW(AQ$15),0),0)</f>
        <v>0</v>
      </c>
      <c r="AR206" s="632">
        <f ca="1">IF(AND($D206="Serviço",AR$12&lt;&gt;0,$H206&gt;0,OR(AUTOEVENTO&lt;&gt;"manual",$M206&lt;&gt;1)),ROUND(OFFSET($P206,0,AR$13),15-13*ORÇAMENTO!$AF$7)/$H206*OFFSET(ORÇAMENTO!$X$15,ROW(AR206)-ROW(AR$15),0),0)</f>
        <v>0</v>
      </c>
      <c r="AS206" s="633">
        <f ca="1">IF(AND($D206="Serviço",AS$12&lt;&gt;0,$H206&gt;0,OR(AUTOEVENTO&lt;&gt;"manual",$M206&lt;&gt;1)),ROUND(OFFSET($P206,0,AS$13),15-13*ORÇAMENTO!$AF$7)/$H206*OFFSET(ORÇAMENTO!$X$15,ROW(AS206)-ROW(AS$15),0),0)</f>
        <v>0</v>
      </c>
      <c r="AT206" s="632">
        <f ca="1">IF(AND($D206="Serviço",AT$12&lt;&gt;0,$H206&gt;0,OR(AUTOEVENTO&lt;&gt;"manual",$M206&lt;&gt;1)),ROUND(OFFSET($P206,0,AT$13),15-13*ORÇAMENTO!$AF$7)/$H206*OFFSET(ORÇAMENTO!$X$15,ROW(AT206)-ROW(AT$15),0),0)</f>
        <v>0</v>
      </c>
      <c r="AU206" s="632">
        <f ca="1">IF(AND($D206="Serviço",AU$12&lt;&gt;0,$H206&gt;0,OR(AUTOEVENTO&lt;&gt;"manual",$M206&lt;&gt;1)),ROUND(OFFSET($P206,0,AU$13),15-13*ORÇAMENTO!$AF$7)/$H206*OFFSET(ORÇAMENTO!$X$15,ROW(AU206)-ROW(AU$15),0),0)</f>
        <v>0</v>
      </c>
      <c r="AV206" s="632">
        <f ca="1">IF(AND($D206="Serviço",AV$12&lt;&gt;0,$H206&gt;0,OR(AUTOEVENTO&lt;&gt;"manual",$M206&lt;&gt;1)),ROUND(OFFSET($P206,0,AV$13),15-13*ORÇAMENTO!$AF$7)/$H206*OFFSET(ORÇAMENTO!$X$15,ROW(AV206)-ROW(AV$15),0),0)</f>
        <v>0</v>
      </c>
      <c r="AW206" s="632">
        <f ca="1">IF(AND($D206="Serviço",AW$12&lt;&gt;0,$H206&gt;0,OR(AUTOEVENTO&lt;&gt;"manual",$M206&lt;&gt;1)),ROUND(OFFSET($P206,0,AW$13),15-13*ORÇAMENTO!$AF$7)/$H206*OFFSET(ORÇAMENTO!$X$15,ROW(AW206)-ROW(AW$15),0),0)</f>
        <v>0</v>
      </c>
      <c r="AX206" s="632">
        <f ca="1">IF(AND($D206="Serviço",AX$12&lt;&gt;0,$H206&gt;0,OR(AUTOEVENTO&lt;&gt;"manual",$M206&lt;&gt;1)),ROUND(OFFSET($P206,0,AX$13),15-13*ORÇAMENTO!$AF$7)/$H206*OFFSET(ORÇAMENTO!$X$15,ROW(AX206)-ROW(AX$15),0),0)</f>
        <v>0</v>
      </c>
      <c r="AY206" s="632">
        <f ca="1">IF(AND($D206="Serviço",AY$12&lt;&gt;0,$H206&gt;0,OR(AUTOEVENTO&lt;&gt;"manual",$M206&lt;&gt;1)),ROUND(OFFSET($P206,0,AY$13),15-13*ORÇAMENTO!$AF$7)/$H206*OFFSET(ORÇAMENTO!$X$15,ROW(AY206)-ROW(AY$15),0),0)</f>
        <v>0</v>
      </c>
      <c r="AZ206" s="632">
        <f ca="1">IF(AND($D206="Serviço",AZ$12&lt;&gt;0,$H206&gt;0,OR(AUTOEVENTO&lt;&gt;"manual",$M206&lt;&gt;1)),ROUND(OFFSET($P206,0,AZ$13),15-13*ORÇAMENTO!$AF$7)/$H206*OFFSET(ORÇAMENTO!$X$15,ROW(AZ206)-ROW(AZ$15),0),0)</f>
        <v>0</v>
      </c>
      <c r="BA206" s="633">
        <f ca="1">IF(AND($D206="Serviço",BA$12&lt;&gt;0,$H206&gt;0,OR(AUTOEVENTO&lt;&gt;"manual",$M206&lt;&gt;1)),ROUND(OFFSET($P206,0,BA$13),15-13*ORÇAMENTO!$AF$7)/$H206*OFFSET(ORÇAMENTO!$X$15,ROW(BA206)-ROW(BA$15),0),0)</f>
        <v>0</v>
      </c>
      <c r="BC206" s="215">
        <f ca="1">IF($D206&lt;&gt;"Serviço",0,IF(AND(AUTOEVENTO="Manual",$M206=1),0,IF(OFFSET(CRONOPLE!$F$14,$M206,BC$13)="",10^12,OFFSET(CRONOPLE!$F$14,$M206,BC$13))))</f>
        <v>1000000000000</v>
      </c>
      <c r="BD206" s="215">
        <f ca="1">IF($D206&lt;&gt;"Serviço",0,IF(AND(AUTOEVENTO="Manual",$M206=1),0,IF(OFFSET(CRONOPLE!$F$14,$M206,BD$13)="",10^12,OFFSET(CRONOPLE!$F$14,$M206,BD$13))))</f>
        <v>1000000000000</v>
      </c>
      <c r="BE206" s="215">
        <f ca="1">IF($D206&lt;&gt;"Serviço",0,IF(AND(AUTOEVENTO="Manual",$M206=1),0,IF(OFFSET(CRONOPLE!$F$14,$M206,BE$13)="",10^12,OFFSET(CRONOPLE!$F$14,$M206,BE$13))))</f>
        <v>1000000000000</v>
      </c>
      <c r="BF206" s="215">
        <f ca="1">IF($D206&lt;&gt;"Serviço",0,IF(AND(AUTOEVENTO="Manual",$M206=1),0,IF(OFFSET(CRONOPLE!$F$14,$M206,BF$13)="",10^12,OFFSET(CRONOPLE!$F$14,$M206,BF$13))))</f>
        <v>1000000000000</v>
      </c>
      <c r="BG206" s="215">
        <f ca="1">IF($D206&lt;&gt;"Serviço",0,IF(AND(AUTOEVENTO="Manual",$M206=1),0,IF(OFFSET(CRONOPLE!$F$14,$M206,BG$13)="",10^12,OFFSET(CRONOPLE!$F$14,$M206,BG$13))))</f>
        <v>1000000000000</v>
      </c>
      <c r="BH206" s="215">
        <f ca="1">IF($D206&lt;&gt;"Serviço",0,IF(AND(AUTOEVENTO="Manual",$M206=1),0,IF(OFFSET(CRONOPLE!$F$14,$M206,BH$13)="",10^12,OFFSET(CRONOPLE!$F$14,$M206,BH$13))))</f>
        <v>1000000000000</v>
      </c>
      <c r="BI206" s="215">
        <f ca="1">IF($D206&lt;&gt;"Serviço",0,IF(AND(AUTOEVENTO="Manual",$M206=1),0,IF(OFFSET(CRONOPLE!$F$14,$M206,BI$13)="",10^12,OFFSET(CRONOPLE!$F$14,$M206,BI$13))))</f>
        <v>1000000000000</v>
      </c>
      <c r="BJ206" s="215">
        <f ca="1">IF($D206&lt;&gt;"Serviço",0,IF(AND(AUTOEVENTO="Manual",$M206=1),0,IF(OFFSET(CRONOPLE!$F$14,$M206,BJ$13)="",10^12,OFFSET(CRONOPLE!$F$14,$M206,BJ$13))))</f>
        <v>1000000000000</v>
      </c>
      <c r="BK206" s="215">
        <f ca="1">IF($D206&lt;&gt;"Serviço",0,IF(AND(AUTOEVENTO="Manual",$M206=1),0,IF(OFFSET(CRONOPLE!$F$14,$M206,BK$13)="",10^12,OFFSET(CRONOPLE!$F$14,$M206,BK$13))))</f>
        <v>1000000000000</v>
      </c>
      <c r="BL206" s="215">
        <f ca="1">IF($D206&lt;&gt;"Serviço",0,IF(AND(AUTOEVENTO="Manual",$M206=1),0,IF(OFFSET(CRONOPLE!$F$14,$M206,BL$13)="",10^12,OFFSET(CRONOPLE!$F$14,$M206,BL$13))))</f>
        <v>1000000000000</v>
      </c>
      <c r="BM206" s="215">
        <f ca="1">IF($D206&lt;&gt;"Serviço",0,IF(AND(AUTOEVENTO="Manual",$M206=1),0,IF(OFFSET(CRONOPLE!$F$14,$M206,BM$13)="",10^12,OFFSET(CRONOPLE!$F$14,$M206,BM$13))))</f>
        <v>1000000000000</v>
      </c>
      <c r="BN206" s="215">
        <f ca="1">IF($D206&lt;&gt;"Serviço",0,IF(AND(AUTOEVENTO="Manual",$M206=1),0,IF(OFFSET(CRONOPLE!$F$14,$M206,BN$13)="",10^12,OFFSET(CRONOPLE!$F$14,$M206,BN$13))))</f>
        <v>1000000000000</v>
      </c>
      <c r="BO206" s="215">
        <f ca="1">IF($D206&lt;&gt;"Serviço",0,IF(AND(AUTOEVENTO="Manual",$M206=1),0,IF(OFFSET(CRONOPLE!$F$14,$M206,BO$13)="",10^12,OFFSET(CRONOPLE!$F$14,$M206,BO$13))))</f>
        <v>1000000000000</v>
      </c>
      <c r="BP206" s="215">
        <f ca="1">IF($D206&lt;&gt;"Serviço",0,IF(AND(AUTOEVENTO="Manual",$M206=1),0,IF(OFFSET(CRONOPLE!$F$14,$M206,BP$13)="",10^12,OFFSET(CRONOPLE!$F$14,$M206,BP$13))))</f>
        <v>1000000000000</v>
      </c>
      <c r="BQ206" s="215">
        <f ca="1">IF($D206&lt;&gt;"Serviço",0,IF(AND(AUTOEVENTO="Manual",$M206=1),0,IF(OFFSET(CRONOPLE!$F$14,$M206,BQ$13)="",10^12,OFFSET(CRONOPLE!$F$14,$M206,BQ$13))))</f>
        <v>1000000000000</v>
      </c>
      <c r="BR206" s="215">
        <f ca="1">IF($D206&lt;&gt;"Serviço",0,IF(AND(AUTOEVENTO="Manual",$M206=1),0,IF(OFFSET(CRONOPLE!$F$14,$M206,BR$13)="",10^12,OFFSET(CRONOPLE!$F$14,$M206,BR$13))))</f>
        <v>1000000000000</v>
      </c>
      <c r="BS206" s="215">
        <f ca="1">IF($D206&lt;&gt;"Serviço",0,IF(AND(AUTOEVENTO="Manual",$M206=1),0,IF(OFFSET(CRONOPLE!$F$14,$M206,BS$13)="",10^12,OFFSET(CRONOPLE!$F$14,$M206,BS$13))))</f>
        <v>1000000000000</v>
      </c>
      <c r="BT206" s="215">
        <f ca="1">IF($D206&lt;&gt;"Serviço",0,IF(AND(AUTOEVENTO="Manual",$M206=1),0,IF(OFFSET(CRONOPLE!$F$14,$M206,BT$13)="",10^12,OFFSET(CRONOPLE!$F$14,$M206,BT$13))))</f>
        <v>1000000000000</v>
      </c>
      <c r="BV206" s="216">
        <f ca="1">IF($D206&lt;&gt;"Serviço",0,IF(OR(AND(AUTOEVENTO="Manual",$M206=1),$M206&gt;(ROW(PLE.lastrow)-ROW(PLE.firstrow))),0,IF(OFFSET(PLE!$G$14,$M206,BV$13)="",10^12,OFFSET(PLE!$G$14,$M206,BV$13))))</f>
        <v>1000000000000</v>
      </c>
      <c r="BW206" s="216">
        <f ca="1">IF($D206&lt;&gt;"Serviço",0,IF(OR(AND(AUTOEVENTO="Manual",$M206=1),$M206&gt;(ROW(PLE.lastrow)-ROW(PLE.firstrow))),0,IF(OFFSET(PLE!$G$14,$M206,BW$13)="",10^12,OFFSET(PLE!$G$14,$M206,BW$13))))</f>
        <v>1000000000000</v>
      </c>
      <c r="BX206" s="216">
        <f ca="1">IF($D206&lt;&gt;"Serviço",0,IF(OR(AND(AUTOEVENTO="Manual",$M206=1),$M206&gt;(ROW(PLE.lastrow)-ROW(PLE.firstrow))),0,IF(OFFSET(PLE!$G$14,$M206,BX$13)="",10^12,OFFSET(PLE!$G$14,$M206,BX$13))))</f>
        <v>1000000000000</v>
      </c>
      <c r="BY206" s="216">
        <f ca="1">IF($D206&lt;&gt;"Serviço",0,IF(OR(AND(AUTOEVENTO="Manual",$M206=1),$M206&gt;(ROW(PLE.lastrow)-ROW(PLE.firstrow))),0,IF(OFFSET(PLE!$G$14,$M206,BY$13)="",10^12,OFFSET(PLE!$G$14,$M206,BY$13))))</f>
        <v>1000000000000</v>
      </c>
      <c r="BZ206" s="216">
        <f ca="1">IF($D206&lt;&gt;"Serviço",0,IF(OR(AND(AUTOEVENTO="Manual",$M206=1),$M206&gt;(ROW(PLE.lastrow)-ROW(PLE.firstrow))),0,IF(OFFSET(PLE!$G$14,$M206,BZ$13)="",10^12,OFFSET(PLE!$G$14,$M206,BZ$13))))</f>
        <v>1000000000000</v>
      </c>
      <c r="CA206" s="216">
        <f ca="1">IF($D206&lt;&gt;"Serviço",0,IF(OR(AND(AUTOEVENTO="Manual",$M206=1),$M206&gt;(ROW(PLE.lastrow)-ROW(PLE.firstrow))),0,IF(OFFSET(PLE!$G$14,$M206,CA$13)="",10^12,OFFSET(PLE!$G$14,$M206,CA$13))))</f>
        <v>1000000000000</v>
      </c>
      <c r="CB206" s="216">
        <f ca="1">IF($D206&lt;&gt;"Serviço",0,IF(OR(AND(AUTOEVENTO="Manual",$M206=1),$M206&gt;(ROW(PLE.lastrow)-ROW(PLE.firstrow))),0,IF(OFFSET(PLE!$G$14,$M206,CB$13)="",10^12,OFFSET(PLE!$G$14,$M206,CB$13))))</f>
        <v>1000000000000</v>
      </c>
      <c r="CC206" s="216">
        <f ca="1">IF($D206&lt;&gt;"Serviço",0,IF(OR(AND(AUTOEVENTO="Manual",$M206=1),$M206&gt;(ROW(PLE.lastrow)-ROW(PLE.firstrow))),0,IF(OFFSET(PLE!$G$14,$M206,CC$13)="",10^12,OFFSET(PLE!$G$14,$M206,CC$13))))</f>
        <v>1000000000000</v>
      </c>
      <c r="CD206" s="216">
        <f ca="1">IF($D206&lt;&gt;"Serviço",0,IF(OR(AND(AUTOEVENTO="Manual",$M206=1),$M206&gt;(ROW(PLE.lastrow)-ROW(PLE.firstrow))),0,IF(OFFSET(PLE!$G$14,$M206,CD$13)="",10^12,OFFSET(PLE!$G$14,$M206,CD$13))))</f>
        <v>1000000000000</v>
      </c>
      <c r="CE206" s="216">
        <f ca="1">IF($D206&lt;&gt;"Serviço",0,IF(OR(AND(AUTOEVENTO="Manual",$M206=1),$M206&gt;(ROW(PLE.lastrow)-ROW(PLE.firstrow))),0,IF(OFFSET(PLE!$G$14,$M206,CE$13)="",10^12,OFFSET(PLE!$G$14,$M206,CE$13))))</f>
        <v>1000000000000</v>
      </c>
      <c r="CF206" s="216">
        <f ca="1">IF($D206&lt;&gt;"Serviço",0,IF(OR(AND(AUTOEVENTO="Manual",$M206=1),$M206&gt;(ROW(PLE.lastrow)-ROW(PLE.firstrow))),0,IF(OFFSET(PLE!$G$14,$M206,CF$13)="",10^12,OFFSET(PLE!$G$14,$M206,CF$13))))</f>
        <v>1000000000000</v>
      </c>
      <c r="CG206" s="216">
        <f ca="1">IF($D206&lt;&gt;"Serviço",0,IF(OR(AND(AUTOEVENTO="Manual",$M206=1),$M206&gt;(ROW(PLE.lastrow)-ROW(PLE.firstrow))),0,IF(OFFSET(PLE!$G$14,$M206,CG$13)="",10^12,OFFSET(PLE!$G$14,$M206,CG$13))))</f>
        <v>1000000000000</v>
      </c>
      <c r="CH206" s="216">
        <f ca="1">IF($D206&lt;&gt;"Serviço",0,IF(OR(AND(AUTOEVENTO="Manual",$M206=1),$M206&gt;(ROW(PLE.lastrow)-ROW(PLE.firstrow))),0,IF(OFFSET(PLE!$G$14,$M206,CH$13)="",10^12,OFFSET(PLE!$G$14,$M206,CH$13))))</f>
        <v>1000000000000</v>
      </c>
      <c r="CI206" s="216">
        <f ca="1">IF($D206&lt;&gt;"Serviço",0,IF(OR(AND(AUTOEVENTO="Manual",$M206=1),$M206&gt;(ROW(PLE.lastrow)-ROW(PLE.firstrow))),0,IF(OFFSET(PLE!$G$14,$M206,CI$13)="",10^12,OFFSET(PLE!$G$14,$M206,CI$13))))</f>
        <v>1000000000000</v>
      </c>
      <c r="CJ206" s="216">
        <f ca="1">IF($D206&lt;&gt;"Serviço",0,IF(OR(AND(AUTOEVENTO="Manual",$M206=1),$M206&gt;(ROW(PLE.lastrow)-ROW(PLE.firstrow))),0,IF(OFFSET(PLE!$G$14,$M206,CJ$13)="",10^12,OFFSET(PLE!$G$14,$M206,CJ$13))))</f>
        <v>1000000000000</v>
      </c>
      <c r="CK206" s="216">
        <f ca="1">IF($D206&lt;&gt;"Serviço",0,IF(OR(AND(AUTOEVENTO="Manual",$M206=1),$M206&gt;(ROW(PLE.lastrow)-ROW(PLE.firstrow))),0,IF(OFFSET(PLE!$G$14,$M206,CK$13)="",10^12,OFFSET(PLE!$G$14,$M206,CK$13))))</f>
        <v>1000000000000</v>
      </c>
      <c r="CL206" s="216">
        <f ca="1">IF($D206&lt;&gt;"Serviço",0,IF(OR(AND(AUTOEVENTO="Manual",$M206=1),$M206&gt;(ROW(PLE.lastrow)-ROW(PLE.firstrow))),0,IF(OFFSET(PLE!$G$14,$M206,CL$13)="",10^12,OFFSET(PLE!$G$14,$M206,CL$13))))</f>
        <v>1000000000000</v>
      </c>
      <c r="CM206" s="216">
        <f ca="1">IF($D206&lt;&gt;"Serviço",0,IF(OR(AND(AUTOEVENTO="Manual",$M206=1),$M206&gt;(ROW(PLE.lastrow)-ROW(PLE.firstrow))),0,IF(OFFSET(PLE!$G$14,$M206,CM$13)="",10^12,OFFSET(PLE!$G$14,$M206,CM$13))))</f>
        <v>1000000000000</v>
      </c>
    </row>
    <row r="207" spans="1:91" ht="13.2" x14ac:dyDescent="0.25">
      <c r="A207" s="9">
        <f t="shared" ref="A207:A270" ca="1" si="12">IF(AUTOEVENTO="Manual",IF(K207&lt;&gt;"",MIN(VALUE(LEFT(K207,FIND(".",K207)-1)),COUNTA(EVENTOS.Lista)),0),IF(OR($B207&gt;AUTOEVENTO,$B207="S",$B207=0),SUBSTITUTE(OFFSET($A207,-1,0),IF($D207="Serviço",".",""),""),ROW(A207)-ROW($A$15)&amp;"."))</f>
        <v>0</v>
      </c>
      <c r="B207" s="9" t="str">
        <f ca="1">OFFSET(ORÇAMENTO!C$15,ROW(B207)-ROW(B$15),0)</f>
        <v>S</v>
      </c>
      <c r="C207" s="9" t="str">
        <f ca="1">OFFSET(ORÇAMENTO!L$15,ROW(C207)-ROW(C$15),0)</f>
        <v/>
      </c>
      <c r="D207" s="145" t="str">
        <f ca="1">OFFSET(ORÇAMENTO!N$15,ROW(D207)-ROW(D$15),0)</f>
        <v>Serviço</v>
      </c>
      <c r="E207" s="205" t="str">
        <f ca="1">OFFSET(ORÇAMENTO!O$15,ROW(E207)-ROW(E$15),0)</f>
        <v>-</v>
      </c>
      <c r="F207" s="206" t="str">
        <f ca="1">OFFSET(ORÇAMENTO!R$15,ROW(F207)-ROW(F$15),0)</f>
        <v>(abra o arquivo 'Referência 05-2024.xls)</v>
      </c>
      <c r="G207" s="207" t="str">
        <f ca="1">IF($D207&lt;&gt;"Serviço","",OFFSET(ORÇAMENTO!S$15,ROW(G207)-ROW(G$15),0))</f>
        <v>-</v>
      </c>
      <c r="H207" s="151">
        <f ca="1">IF($D207&lt;&gt;"Serviço",0,IF(ACOMPANHAMENTO="BM",ROUND(OFFSET(ORÇAMENTO!AJ$15,ROW(H207)-ROW(H$15),0),15-13*ORÇAMENTO!$AF$7),SUMPRODUCT(($Q$12:$AI$12&lt;&gt;"")*ROUND($Q207:$AI207,15-13*ORÇAMENTO!$AF$7))))</f>
        <v>15.54</v>
      </c>
      <c r="I207" s="650"/>
      <c r="K207" s="208"/>
      <c r="L207" s="209" t="s">
        <v>257</v>
      </c>
      <c r="M207" s="210">
        <f ca="1">IF($D207&lt;&gt;"Serviço","",IF(AUTOEVENTO="manual",$A207,IF(ISERROR(MATCH($A207,$A$15:OFFSET($A207,-1,0),0)),MAX($M$15:OFFSET(M207,-1,0))+1,INDEX($M$15:OFFSET(M207,-1,0),MATCH($A207,$A$15:OFFSET($A207,-1,0),0)))))</f>
        <v>0</v>
      </c>
      <c r="N207" s="211" t="str">
        <f ca="1">IF($D207&lt;&gt;"Serviço","",IF(AUTOEVENTO="Manual",IF($A207=0,"&lt;-- defina o número do agrupador",OFFSET(EVENTOS!$D$14,$A207,0)),OFFSET($F$15,$A207,0)))</f>
        <v>&lt;-- defina o número do agrupador</v>
      </c>
      <c r="O207" s="212"/>
      <c r="Q207" s="212"/>
      <c r="R207" s="213"/>
      <c r="S207" s="213"/>
      <c r="T207" s="213"/>
      <c r="U207" s="213"/>
      <c r="V207" s="213"/>
      <c r="W207" s="213"/>
      <c r="X207" s="213"/>
      <c r="Y207" s="213"/>
      <c r="Z207" s="214"/>
      <c r="AA207" s="213"/>
      <c r="AB207" s="213"/>
      <c r="AC207" s="213"/>
      <c r="AD207" s="213"/>
      <c r="AE207" s="213"/>
      <c r="AF207" s="213"/>
      <c r="AG207" s="213"/>
      <c r="AH207" s="214"/>
      <c r="AJ207" s="631">
        <f ca="1">IF(AND($D207="Serviço",AJ$12&lt;&gt;0,$H207&gt;0,OR(AUTOEVENTO&lt;&gt;"manual",$M207&lt;&gt;1)),ROUND(OFFSET($P207,0,AJ$13),15-13*ORÇAMENTO!$AF$7)/$H207*OFFSET(ORÇAMENTO!$X$15,ROW(AJ207)-ROW(AJ$15),0),0)</f>
        <v>0</v>
      </c>
      <c r="AK207" s="632">
        <f ca="1">IF(AND($D207="Serviço",AK$12&lt;&gt;0,$H207&gt;0,OR(AUTOEVENTO&lt;&gt;"manual",$M207&lt;&gt;1)),ROUND(OFFSET($P207,0,AK$13),15-13*ORÇAMENTO!$AF$7)/$H207*OFFSET(ORÇAMENTO!$X$15,ROW(AK207)-ROW(AK$15),0),0)</f>
        <v>0</v>
      </c>
      <c r="AL207" s="632">
        <f ca="1">IF(AND($D207="Serviço",AL$12&lt;&gt;0,$H207&gt;0,OR(AUTOEVENTO&lt;&gt;"manual",$M207&lt;&gt;1)),ROUND(OFFSET($P207,0,AL$13),15-13*ORÇAMENTO!$AF$7)/$H207*OFFSET(ORÇAMENTO!$X$15,ROW(AL207)-ROW(AL$15),0),0)</f>
        <v>0</v>
      </c>
      <c r="AM207" s="632">
        <f ca="1">IF(AND($D207="Serviço",AM$12&lt;&gt;0,$H207&gt;0,OR(AUTOEVENTO&lt;&gt;"manual",$M207&lt;&gt;1)),ROUND(OFFSET($P207,0,AM$13),15-13*ORÇAMENTO!$AF$7)/$H207*OFFSET(ORÇAMENTO!$X$15,ROW(AM207)-ROW(AM$15),0),0)</f>
        <v>0</v>
      </c>
      <c r="AN207" s="632">
        <f ca="1">IF(AND($D207="Serviço",AN$12&lt;&gt;0,$H207&gt;0,OR(AUTOEVENTO&lt;&gt;"manual",$M207&lt;&gt;1)),ROUND(OFFSET($P207,0,AN$13),15-13*ORÇAMENTO!$AF$7)/$H207*OFFSET(ORÇAMENTO!$X$15,ROW(AN207)-ROW(AN$15),0),0)</f>
        <v>0</v>
      </c>
      <c r="AO207" s="632">
        <f ca="1">IF(AND($D207="Serviço",AO$12&lt;&gt;0,$H207&gt;0,OR(AUTOEVENTO&lt;&gt;"manual",$M207&lt;&gt;1)),ROUND(OFFSET($P207,0,AO$13),15-13*ORÇAMENTO!$AF$7)/$H207*OFFSET(ORÇAMENTO!$X$15,ROW(AO207)-ROW(AO$15),0),0)</f>
        <v>0</v>
      </c>
      <c r="AP207" s="632">
        <f ca="1">IF(AND($D207="Serviço",AP$12&lt;&gt;0,$H207&gt;0,OR(AUTOEVENTO&lt;&gt;"manual",$M207&lt;&gt;1)),ROUND(OFFSET($P207,0,AP$13),15-13*ORÇAMENTO!$AF$7)/$H207*OFFSET(ORÇAMENTO!$X$15,ROW(AP207)-ROW(AP$15),0),0)</f>
        <v>0</v>
      </c>
      <c r="AQ207" s="632">
        <f ca="1">IF(AND($D207="Serviço",AQ$12&lt;&gt;0,$H207&gt;0,OR(AUTOEVENTO&lt;&gt;"manual",$M207&lt;&gt;1)),ROUND(OFFSET($P207,0,AQ$13),15-13*ORÇAMENTO!$AF$7)/$H207*OFFSET(ORÇAMENTO!$X$15,ROW(AQ207)-ROW(AQ$15),0),0)</f>
        <v>0</v>
      </c>
      <c r="AR207" s="632">
        <f ca="1">IF(AND($D207="Serviço",AR$12&lt;&gt;0,$H207&gt;0,OR(AUTOEVENTO&lt;&gt;"manual",$M207&lt;&gt;1)),ROUND(OFFSET($P207,0,AR$13),15-13*ORÇAMENTO!$AF$7)/$H207*OFFSET(ORÇAMENTO!$X$15,ROW(AR207)-ROW(AR$15),0),0)</f>
        <v>0</v>
      </c>
      <c r="AS207" s="633">
        <f ca="1">IF(AND($D207="Serviço",AS$12&lt;&gt;0,$H207&gt;0,OR(AUTOEVENTO&lt;&gt;"manual",$M207&lt;&gt;1)),ROUND(OFFSET($P207,0,AS$13),15-13*ORÇAMENTO!$AF$7)/$H207*OFFSET(ORÇAMENTO!$X$15,ROW(AS207)-ROW(AS$15),0),0)</f>
        <v>0</v>
      </c>
      <c r="AT207" s="632">
        <f ca="1">IF(AND($D207="Serviço",AT$12&lt;&gt;0,$H207&gt;0,OR(AUTOEVENTO&lt;&gt;"manual",$M207&lt;&gt;1)),ROUND(OFFSET($P207,0,AT$13),15-13*ORÇAMENTO!$AF$7)/$H207*OFFSET(ORÇAMENTO!$X$15,ROW(AT207)-ROW(AT$15),0),0)</f>
        <v>0</v>
      </c>
      <c r="AU207" s="632">
        <f ca="1">IF(AND($D207="Serviço",AU$12&lt;&gt;0,$H207&gt;0,OR(AUTOEVENTO&lt;&gt;"manual",$M207&lt;&gt;1)),ROUND(OFFSET($P207,0,AU$13),15-13*ORÇAMENTO!$AF$7)/$H207*OFFSET(ORÇAMENTO!$X$15,ROW(AU207)-ROW(AU$15),0),0)</f>
        <v>0</v>
      </c>
      <c r="AV207" s="632">
        <f ca="1">IF(AND($D207="Serviço",AV$12&lt;&gt;0,$H207&gt;0,OR(AUTOEVENTO&lt;&gt;"manual",$M207&lt;&gt;1)),ROUND(OFFSET($P207,0,AV$13),15-13*ORÇAMENTO!$AF$7)/$H207*OFFSET(ORÇAMENTO!$X$15,ROW(AV207)-ROW(AV$15),0),0)</f>
        <v>0</v>
      </c>
      <c r="AW207" s="632">
        <f ca="1">IF(AND($D207="Serviço",AW$12&lt;&gt;0,$H207&gt;0,OR(AUTOEVENTO&lt;&gt;"manual",$M207&lt;&gt;1)),ROUND(OFFSET($P207,0,AW$13),15-13*ORÇAMENTO!$AF$7)/$H207*OFFSET(ORÇAMENTO!$X$15,ROW(AW207)-ROW(AW$15),0),0)</f>
        <v>0</v>
      </c>
      <c r="AX207" s="632">
        <f ca="1">IF(AND($D207="Serviço",AX$12&lt;&gt;0,$H207&gt;0,OR(AUTOEVENTO&lt;&gt;"manual",$M207&lt;&gt;1)),ROUND(OFFSET($P207,0,AX$13),15-13*ORÇAMENTO!$AF$7)/$H207*OFFSET(ORÇAMENTO!$X$15,ROW(AX207)-ROW(AX$15),0),0)</f>
        <v>0</v>
      </c>
      <c r="AY207" s="632">
        <f ca="1">IF(AND($D207="Serviço",AY$12&lt;&gt;0,$H207&gt;0,OR(AUTOEVENTO&lt;&gt;"manual",$M207&lt;&gt;1)),ROUND(OFFSET($P207,0,AY$13),15-13*ORÇAMENTO!$AF$7)/$H207*OFFSET(ORÇAMENTO!$X$15,ROW(AY207)-ROW(AY$15),0),0)</f>
        <v>0</v>
      </c>
      <c r="AZ207" s="632">
        <f ca="1">IF(AND($D207="Serviço",AZ$12&lt;&gt;0,$H207&gt;0,OR(AUTOEVENTO&lt;&gt;"manual",$M207&lt;&gt;1)),ROUND(OFFSET($P207,0,AZ$13),15-13*ORÇAMENTO!$AF$7)/$H207*OFFSET(ORÇAMENTO!$X$15,ROW(AZ207)-ROW(AZ$15),0),0)</f>
        <v>0</v>
      </c>
      <c r="BA207" s="633">
        <f ca="1">IF(AND($D207="Serviço",BA$12&lt;&gt;0,$H207&gt;0,OR(AUTOEVENTO&lt;&gt;"manual",$M207&lt;&gt;1)),ROUND(OFFSET($P207,0,BA$13),15-13*ORÇAMENTO!$AF$7)/$H207*OFFSET(ORÇAMENTO!$X$15,ROW(BA207)-ROW(BA$15),0),0)</f>
        <v>0</v>
      </c>
      <c r="BC207" s="215">
        <f ca="1">IF($D207&lt;&gt;"Serviço",0,IF(AND(AUTOEVENTO="Manual",$M207=1),0,IF(OFFSET(CRONOPLE!$F$14,$M207,BC$13)="",10^12,OFFSET(CRONOPLE!$F$14,$M207,BC$13))))</f>
        <v>1000000000000</v>
      </c>
      <c r="BD207" s="215">
        <f ca="1">IF($D207&lt;&gt;"Serviço",0,IF(AND(AUTOEVENTO="Manual",$M207=1),0,IF(OFFSET(CRONOPLE!$F$14,$M207,BD$13)="",10^12,OFFSET(CRONOPLE!$F$14,$M207,BD$13))))</f>
        <v>1000000000000</v>
      </c>
      <c r="BE207" s="215">
        <f ca="1">IF($D207&lt;&gt;"Serviço",0,IF(AND(AUTOEVENTO="Manual",$M207=1),0,IF(OFFSET(CRONOPLE!$F$14,$M207,BE$13)="",10^12,OFFSET(CRONOPLE!$F$14,$M207,BE$13))))</f>
        <v>1000000000000</v>
      </c>
      <c r="BF207" s="215">
        <f ca="1">IF($D207&lt;&gt;"Serviço",0,IF(AND(AUTOEVENTO="Manual",$M207=1),0,IF(OFFSET(CRONOPLE!$F$14,$M207,BF$13)="",10^12,OFFSET(CRONOPLE!$F$14,$M207,BF$13))))</f>
        <v>1000000000000</v>
      </c>
      <c r="BG207" s="215">
        <f ca="1">IF($D207&lt;&gt;"Serviço",0,IF(AND(AUTOEVENTO="Manual",$M207=1),0,IF(OFFSET(CRONOPLE!$F$14,$M207,BG$13)="",10^12,OFFSET(CRONOPLE!$F$14,$M207,BG$13))))</f>
        <v>1000000000000</v>
      </c>
      <c r="BH207" s="215">
        <f ca="1">IF($D207&lt;&gt;"Serviço",0,IF(AND(AUTOEVENTO="Manual",$M207=1),0,IF(OFFSET(CRONOPLE!$F$14,$M207,BH$13)="",10^12,OFFSET(CRONOPLE!$F$14,$M207,BH$13))))</f>
        <v>1000000000000</v>
      </c>
      <c r="BI207" s="215">
        <f ca="1">IF($D207&lt;&gt;"Serviço",0,IF(AND(AUTOEVENTO="Manual",$M207=1),0,IF(OFFSET(CRONOPLE!$F$14,$M207,BI$13)="",10^12,OFFSET(CRONOPLE!$F$14,$M207,BI$13))))</f>
        <v>1000000000000</v>
      </c>
      <c r="BJ207" s="215">
        <f ca="1">IF($D207&lt;&gt;"Serviço",0,IF(AND(AUTOEVENTO="Manual",$M207=1),0,IF(OFFSET(CRONOPLE!$F$14,$M207,BJ$13)="",10^12,OFFSET(CRONOPLE!$F$14,$M207,BJ$13))))</f>
        <v>1000000000000</v>
      </c>
      <c r="BK207" s="215">
        <f ca="1">IF($D207&lt;&gt;"Serviço",0,IF(AND(AUTOEVENTO="Manual",$M207=1),0,IF(OFFSET(CRONOPLE!$F$14,$M207,BK$13)="",10^12,OFFSET(CRONOPLE!$F$14,$M207,BK$13))))</f>
        <v>1000000000000</v>
      </c>
      <c r="BL207" s="215">
        <f ca="1">IF($D207&lt;&gt;"Serviço",0,IF(AND(AUTOEVENTO="Manual",$M207=1),0,IF(OFFSET(CRONOPLE!$F$14,$M207,BL$13)="",10^12,OFFSET(CRONOPLE!$F$14,$M207,BL$13))))</f>
        <v>1000000000000</v>
      </c>
      <c r="BM207" s="215">
        <f ca="1">IF($D207&lt;&gt;"Serviço",0,IF(AND(AUTOEVENTO="Manual",$M207=1),0,IF(OFFSET(CRONOPLE!$F$14,$M207,BM$13)="",10^12,OFFSET(CRONOPLE!$F$14,$M207,BM$13))))</f>
        <v>1000000000000</v>
      </c>
      <c r="BN207" s="215">
        <f ca="1">IF($D207&lt;&gt;"Serviço",0,IF(AND(AUTOEVENTO="Manual",$M207=1),0,IF(OFFSET(CRONOPLE!$F$14,$M207,BN$13)="",10^12,OFFSET(CRONOPLE!$F$14,$M207,BN$13))))</f>
        <v>1000000000000</v>
      </c>
      <c r="BO207" s="215">
        <f ca="1">IF($D207&lt;&gt;"Serviço",0,IF(AND(AUTOEVENTO="Manual",$M207=1),0,IF(OFFSET(CRONOPLE!$F$14,$M207,BO$13)="",10^12,OFFSET(CRONOPLE!$F$14,$M207,BO$13))))</f>
        <v>1000000000000</v>
      </c>
      <c r="BP207" s="215">
        <f ca="1">IF($D207&lt;&gt;"Serviço",0,IF(AND(AUTOEVENTO="Manual",$M207=1),0,IF(OFFSET(CRONOPLE!$F$14,$M207,BP$13)="",10^12,OFFSET(CRONOPLE!$F$14,$M207,BP$13))))</f>
        <v>1000000000000</v>
      </c>
      <c r="BQ207" s="215">
        <f ca="1">IF($D207&lt;&gt;"Serviço",0,IF(AND(AUTOEVENTO="Manual",$M207=1),0,IF(OFFSET(CRONOPLE!$F$14,$M207,BQ$13)="",10^12,OFFSET(CRONOPLE!$F$14,$M207,BQ$13))))</f>
        <v>1000000000000</v>
      </c>
      <c r="BR207" s="215">
        <f ca="1">IF($D207&lt;&gt;"Serviço",0,IF(AND(AUTOEVENTO="Manual",$M207=1),0,IF(OFFSET(CRONOPLE!$F$14,$M207,BR$13)="",10^12,OFFSET(CRONOPLE!$F$14,$M207,BR$13))))</f>
        <v>1000000000000</v>
      </c>
      <c r="BS207" s="215">
        <f ca="1">IF($D207&lt;&gt;"Serviço",0,IF(AND(AUTOEVENTO="Manual",$M207=1),0,IF(OFFSET(CRONOPLE!$F$14,$M207,BS$13)="",10^12,OFFSET(CRONOPLE!$F$14,$M207,BS$13))))</f>
        <v>1000000000000</v>
      </c>
      <c r="BT207" s="215">
        <f ca="1">IF($D207&lt;&gt;"Serviço",0,IF(AND(AUTOEVENTO="Manual",$M207=1),0,IF(OFFSET(CRONOPLE!$F$14,$M207,BT$13)="",10^12,OFFSET(CRONOPLE!$F$14,$M207,BT$13))))</f>
        <v>1000000000000</v>
      </c>
      <c r="BV207" s="216">
        <f ca="1">IF($D207&lt;&gt;"Serviço",0,IF(OR(AND(AUTOEVENTO="Manual",$M207=1),$M207&gt;(ROW(PLE.lastrow)-ROW(PLE.firstrow))),0,IF(OFFSET(PLE!$G$14,$M207,BV$13)="",10^12,OFFSET(PLE!$G$14,$M207,BV$13))))</f>
        <v>1000000000000</v>
      </c>
      <c r="BW207" s="216">
        <f ca="1">IF($D207&lt;&gt;"Serviço",0,IF(OR(AND(AUTOEVENTO="Manual",$M207=1),$M207&gt;(ROW(PLE.lastrow)-ROW(PLE.firstrow))),0,IF(OFFSET(PLE!$G$14,$M207,BW$13)="",10^12,OFFSET(PLE!$G$14,$M207,BW$13))))</f>
        <v>1000000000000</v>
      </c>
      <c r="BX207" s="216">
        <f ca="1">IF($D207&lt;&gt;"Serviço",0,IF(OR(AND(AUTOEVENTO="Manual",$M207=1),$M207&gt;(ROW(PLE.lastrow)-ROW(PLE.firstrow))),0,IF(OFFSET(PLE!$G$14,$M207,BX$13)="",10^12,OFFSET(PLE!$G$14,$M207,BX$13))))</f>
        <v>1000000000000</v>
      </c>
      <c r="BY207" s="216">
        <f ca="1">IF($D207&lt;&gt;"Serviço",0,IF(OR(AND(AUTOEVENTO="Manual",$M207=1),$M207&gt;(ROW(PLE.lastrow)-ROW(PLE.firstrow))),0,IF(OFFSET(PLE!$G$14,$M207,BY$13)="",10^12,OFFSET(PLE!$G$14,$M207,BY$13))))</f>
        <v>1000000000000</v>
      </c>
      <c r="BZ207" s="216">
        <f ca="1">IF($D207&lt;&gt;"Serviço",0,IF(OR(AND(AUTOEVENTO="Manual",$M207=1),$M207&gt;(ROW(PLE.lastrow)-ROW(PLE.firstrow))),0,IF(OFFSET(PLE!$G$14,$M207,BZ$13)="",10^12,OFFSET(PLE!$G$14,$M207,BZ$13))))</f>
        <v>1000000000000</v>
      </c>
      <c r="CA207" s="216">
        <f ca="1">IF($D207&lt;&gt;"Serviço",0,IF(OR(AND(AUTOEVENTO="Manual",$M207=1),$M207&gt;(ROW(PLE.lastrow)-ROW(PLE.firstrow))),0,IF(OFFSET(PLE!$G$14,$M207,CA$13)="",10^12,OFFSET(PLE!$G$14,$M207,CA$13))))</f>
        <v>1000000000000</v>
      </c>
      <c r="CB207" s="216">
        <f ca="1">IF($D207&lt;&gt;"Serviço",0,IF(OR(AND(AUTOEVENTO="Manual",$M207=1),$M207&gt;(ROW(PLE.lastrow)-ROW(PLE.firstrow))),0,IF(OFFSET(PLE!$G$14,$M207,CB$13)="",10^12,OFFSET(PLE!$G$14,$M207,CB$13))))</f>
        <v>1000000000000</v>
      </c>
      <c r="CC207" s="216">
        <f ca="1">IF($D207&lt;&gt;"Serviço",0,IF(OR(AND(AUTOEVENTO="Manual",$M207=1),$M207&gt;(ROW(PLE.lastrow)-ROW(PLE.firstrow))),0,IF(OFFSET(PLE!$G$14,$M207,CC$13)="",10^12,OFFSET(PLE!$G$14,$M207,CC$13))))</f>
        <v>1000000000000</v>
      </c>
      <c r="CD207" s="216">
        <f ca="1">IF($D207&lt;&gt;"Serviço",0,IF(OR(AND(AUTOEVENTO="Manual",$M207=1),$M207&gt;(ROW(PLE.lastrow)-ROW(PLE.firstrow))),0,IF(OFFSET(PLE!$G$14,$M207,CD$13)="",10^12,OFFSET(PLE!$G$14,$M207,CD$13))))</f>
        <v>1000000000000</v>
      </c>
      <c r="CE207" s="216">
        <f ca="1">IF($D207&lt;&gt;"Serviço",0,IF(OR(AND(AUTOEVENTO="Manual",$M207=1),$M207&gt;(ROW(PLE.lastrow)-ROW(PLE.firstrow))),0,IF(OFFSET(PLE!$G$14,$M207,CE$13)="",10^12,OFFSET(PLE!$G$14,$M207,CE$13))))</f>
        <v>1000000000000</v>
      </c>
      <c r="CF207" s="216">
        <f ca="1">IF($D207&lt;&gt;"Serviço",0,IF(OR(AND(AUTOEVENTO="Manual",$M207=1),$M207&gt;(ROW(PLE.lastrow)-ROW(PLE.firstrow))),0,IF(OFFSET(PLE!$G$14,$M207,CF$13)="",10^12,OFFSET(PLE!$G$14,$M207,CF$13))))</f>
        <v>1000000000000</v>
      </c>
      <c r="CG207" s="216">
        <f ca="1">IF($D207&lt;&gt;"Serviço",0,IF(OR(AND(AUTOEVENTO="Manual",$M207=1),$M207&gt;(ROW(PLE.lastrow)-ROW(PLE.firstrow))),0,IF(OFFSET(PLE!$G$14,$M207,CG$13)="",10^12,OFFSET(PLE!$G$14,$M207,CG$13))))</f>
        <v>1000000000000</v>
      </c>
      <c r="CH207" s="216">
        <f ca="1">IF($D207&lt;&gt;"Serviço",0,IF(OR(AND(AUTOEVENTO="Manual",$M207=1),$M207&gt;(ROW(PLE.lastrow)-ROW(PLE.firstrow))),0,IF(OFFSET(PLE!$G$14,$M207,CH$13)="",10^12,OFFSET(PLE!$G$14,$M207,CH$13))))</f>
        <v>1000000000000</v>
      </c>
      <c r="CI207" s="216">
        <f ca="1">IF($D207&lt;&gt;"Serviço",0,IF(OR(AND(AUTOEVENTO="Manual",$M207=1),$M207&gt;(ROW(PLE.lastrow)-ROW(PLE.firstrow))),0,IF(OFFSET(PLE!$G$14,$M207,CI$13)="",10^12,OFFSET(PLE!$G$14,$M207,CI$13))))</f>
        <v>1000000000000</v>
      </c>
      <c r="CJ207" s="216">
        <f ca="1">IF($D207&lt;&gt;"Serviço",0,IF(OR(AND(AUTOEVENTO="Manual",$M207=1),$M207&gt;(ROW(PLE.lastrow)-ROW(PLE.firstrow))),0,IF(OFFSET(PLE!$G$14,$M207,CJ$13)="",10^12,OFFSET(PLE!$G$14,$M207,CJ$13))))</f>
        <v>1000000000000</v>
      </c>
      <c r="CK207" s="216">
        <f ca="1">IF($D207&lt;&gt;"Serviço",0,IF(OR(AND(AUTOEVENTO="Manual",$M207=1),$M207&gt;(ROW(PLE.lastrow)-ROW(PLE.firstrow))),0,IF(OFFSET(PLE!$G$14,$M207,CK$13)="",10^12,OFFSET(PLE!$G$14,$M207,CK$13))))</f>
        <v>1000000000000</v>
      </c>
      <c r="CL207" s="216">
        <f ca="1">IF($D207&lt;&gt;"Serviço",0,IF(OR(AND(AUTOEVENTO="Manual",$M207=1),$M207&gt;(ROW(PLE.lastrow)-ROW(PLE.firstrow))),0,IF(OFFSET(PLE!$G$14,$M207,CL$13)="",10^12,OFFSET(PLE!$G$14,$M207,CL$13))))</f>
        <v>1000000000000</v>
      </c>
      <c r="CM207" s="216">
        <f ca="1">IF($D207&lt;&gt;"Serviço",0,IF(OR(AND(AUTOEVENTO="Manual",$M207=1),$M207&gt;(ROW(PLE.lastrow)-ROW(PLE.firstrow))),0,IF(OFFSET(PLE!$G$14,$M207,CM$13)="",10^12,OFFSET(PLE!$G$14,$M207,CM$13))))</f>
        <v>1000000000000</v>
      </c>
    </row>
    <row r="208" spans="1:91" ht="13.2" x14ac:dyDescent="0.25">
      <c r="A208" s="9">
        <f t="shared" ca="1" si="12"/>
        <v>0</v>
      </c>
      <c r="B208" s="9" t="str">
        <f ca="1">OFFSET(ORÇAMENTO!C$15,ROW(B208)-ROW(B$15),0)</f>
        <v>S</v>
      </c>
      <c r="C208" s="9" t="str">
        <f ca="1">OFFSET(ORÇAMENTO!L$15,ROW(C208)-ROW(C$15),0)</f>
        <v/>
      </c>
      <c r="D208" s="145" t="str">
        <f ca="1">OFFSET(ORÇAMENTO!N$15,ROW(D208)-ROW(D$15),0)</f>
        <v>Serviço</v>
      </c>
      <c r="E208" s="205" t="str">
        <f ca="1">OFFSET(ORÇAMENTO!O$15,ROW(E208)-ROW(E$15),0)</f>
        <v>-</v>
      </c>
      <c r="F208" s="206" t="str">
        <f ca="1">OFFSET(ORÇAMENTO!R$15,ROW(F208)-ROW(F$15),0)</f>
        <v>(abra o arquivo 'Referência 05-2024.xls)</v>
      </c>
      <c r="G208" s="207" t="str">
        <f ca="1">IF($D208&lt;&gt;"Serviço","",OFFSET(ORÇAMENTO!S$15,ROW(G208)-ROW(G$15),0))</f>
        <v>-</v>
      </c>
      <c r="H208" s="151">
        <f ca="1">IF($D208&lt;&gt;"Serviço",0,IF(ACOMPANHAMENTO="BM",ROUND(OFFSET(ORÇAMENTO!AJ$15,ROW(H208)-ROW(H$15),0),15-13*ORÇAMENTO!$AF$7),SUMPRODUCT(($Q$12:$AI$12&lt;&gt;"")*ROUND($Q208:$AI208,15-13*ORÇAMENTO!$AF$7))))</f>
        <v>16.8</v>
      </c>
      <c r="I208" s="650"/>
      <c r="K208" s="208"/>
      <c r="L208" s="209" t="s">
        <v>257</v>
      </c>
      <c r="M208" s="210">
        <f ca="1">IF($D208&lt;&gt;"Serviço","",IF(AUTOEVENTO="manual",$A208,IF(ISERROR(MATCH($A208,$A$15:OFFSET($A208,-1,0),0)),MAX($M$15:OFFSET(M208,-1,0))+1,INDEX($M$15:OFFSET(M208,-1,0),MATCH($A208,$A$15:OFFSET($A208,-1,0),0)))))</f>
        <v>0</v>
      </c>
      <c r="N208" s="211" t="str">
        <f ca="1">IF($D208&lt;&gt;"Serviço","",IF(AUTOEVENTO="Manual",IF($A208=0,"&lt;-- defina o número do agrupador",OFFSET(EVENTOS!$D$14,$A208,0)),OFFSET($F$15,$A208,0)))</f>
        <v>&lt;-- defina o número do agrupador</v>
      </c>
      <c r="O208" s="212"/>
      <c r="Q208" s="212"/>
      <c r="R208" s="213"/>
      <c r="S208" s="213"/>
      <c r="T208" s="213"/>
      <c r="U208" s="213"/>
      <c r="V208" s="213"/>
      <c r="W208" s="213"/>
      <c r="X208" s="213"/>
      <c r="Y208" s="213"/>
      <c r="Z208" s="214"/>
      <c r="AA208" s="213"/>
      <c r="AB208" s="213"/>
      <c r="AC208" s="213"/>
      <c r="AD208" s="213"/>
      <c r="AE208" s="213"/>
      <c r="AF208" s="213"/>
      <c r="AG208" s="213"/>
      <c r="AH208" s="214"/>
      <c r="AJ208" s="631">
        <f ca="1">IF(AND($D208="Serviço",AJ$12&lt;&gt;0,$H208&gt;0,OR(AUTOEVENTO&lt;&gt;"manual",$M208&lt;&gt;1)),ROUND(OFFSET($P208,0,AJ$13),15-13*ORÇAMENTO!$AF$7)/$H208*OFFSET(ORÇAMENTO!$X$15,ROW(AJ208)-ROW(AJ$15),0),0)</f>
        <v>0</v>
      </c>
      <c r="AK208" s="632">
        <f ca="1">IF(AND($D208="Serviço",AK$12&lt;&gt;0,$H208&gt;0,OR(AUTOEVENTO&lt;&gt;"manual",$M208&lt;&gt;1)),ROUND(OFFSET($P208,0,AK$13),15-13*ORÇAMENTO!$AF$7)/$H208*OFFSET(ORÇAMENTO!$X$15,ROW(AK208)-ROW(AK$15),0),0)</f>
        <v>0</v>
      </c>
      <c r="AL208" s="632">
        <f ca="1">IF(AND($D208="Serviço",AL$12&lt;&gt;0,$H208&gt;0,OR(AUTOEVENTO&lt;&gt;"manual",$M208&lt;&gt;1)),ROUND(OFFSET($P208,0,AL$13),15-13*ORÇAMENTO!$AF$7)/$H208*OFFSET(ORÇAMENTO!$X$15,ROW(AL208)-ROW(AL$15),0),0)</f>
        <v>0</v>
      </c>
      <c r="AM208" s="632">
        <f ca="1">IF(AND($D208="Serviço",AM$12&lt;&gt;0,$H208&gt;0,OR(AUTOEVENTO&lt;&gt;"manual",$M208&lt;&gt;1)),ROUND(OFFSET($P208,0,AM$13),15-13*ORÇAMENTO!$AF$7)/$H208*OFFSET(ORÇAMENTO!$X$15,ROW(AM208)-ROW(AM$15),0),0)</f>
        <v>0</v>
      </c>
      <c r="AN208" s="632">
        <f ca="1">IF(AND($D208="Serviço",AN$12&lt;&gt;0,$H208&gt;0,OR(AUTOEVENTO&lt;&gt;"manual",$M208&lt;&gt;1)),ROUND(OFFSET($P208,0,AN$13),15-13*ORÇAMENTO!$AF$7)/$H208*OFFSET(ORÇAMENTO!$X$15,ROW(AN208)-ROW(AN$15),0),0)</f>
        <v>0</v>
      </c>
      <c r="AO208" s="632">
        <f ca="1">IF(AND($D208="Serviço",AO$12&lt;&gt;0,$H208&gt;0,OR(AUTOEVENTO&lt;&gt;"manual",$M208&lt;&gt;1)),ROUND(OFFSET($P208,0,AO$13),15-13*ORÇAMENTO!$AF$7)/$H208*OFFSET(ORÇAMENTO!$X$15,ROW(AO208)-ROW(AO$15),0),0)</f>
        <v>0</v>
      </c>
      <c r="AP208" s="632">
        <f ca="1">IF(AND($D208="Serviço",AP$12&lt;&gt;0,$H208&gt;0,OR(AUTOEVENTO&lt;&gt;"manual",$M208&lt;&gt;1)),ROUND(OFFSET($P208,0,AP$13),15-13*ORÇAMENTO!$AF$7)/$H208*OFFSET(ORÇAMENTO!$X$15,ROW(AP208)-ROW(AP$15),0),0)</f>
        <v>0</v>
      </c>
      <c r="AQ208" s="632">
        <f ca="1">IF(AND($D208="Serviço",AQ$12&lt;&gt;0,$H208&gt;0,OR(AUTOEVENTO&lt;&gt;"manual",$M208&lt;&gt;1)),ROUND(OFFSET($P208,0,AQ$13),15-13*ORÇAMENTO!$AF$7)/$H208*OFFSET(ORÇAMENTO!$X$15,ROW(AQ208)-ROW(AQ$15),0),0)</f>
        <v>0</v>
      </c>
      <c r="AR208" s="632">
        <f ca="1">IF(AND($D208="Serviço",AR$12&lt;&gt;0,$H208&gt;0,OR(AUTOEVENTO&lt;&gt;"manual",$M208&lt;&gt;1)),ROUND(OFFSET($P208,0,AR$13),15-13*ORÇAMENTO!$AF$7)/$H208*OFFSET(ORÇAMENTO!$X$15,ROW(AR208)-ROW(AR$15),0),0)</f>
        <v>0</v>
      </c>
      <c r="AS208" s="633">
        <f ca="1">IF(AND($D208="Serviço",AS$12&lt;&gt;0,$H208&gt;0,OR(AUTOEVENTO&lt;&gt;"manual",$M208&lt;&gt;1)),ROUND(OFFSET($P208,0,AS$13),15-13*ORÇAMENTO!$AF$7)/$H208*OFFSET(ORÇAMENTO!$X$15,ROW(AS208)-ROW(AS$15),0),0)</f>
        <v>0</v>
      </c>
      <c r="AT208" s="632">
        <f ca="1">IF(AND($D208="Serviço",AT$12&lt;&gt;0,$H208&gt;0,OR(AUTOEVENTO&lt;&gt;"manual",$M208&lt;&gt;1)),ROUND(OFFSET($P208,0,AT$13),15-13*ORÇAMENTO!$AF$7)/$H208*OFFSET(ORÇAMENTO!$X$15,ROW(AT208)-ROW(AT$15),0),0)</f>
        <v>0</v>
      </c>
      <c r="AU208" s="632">
        <f ca="1">IF(AND($D208="Serviço",AU$12&lt;&gt;0,$H208&gt;0,OR(AUTOEVENTO&lt;&gt;"manual",$M208&lt;&gt;1)),ROUND(OFFSET($P208,0,AU$13),15-13*ORÇAMENTO!$AF$7)/$H208*OFFSET(ORÇAMENTO!$X$15,ROW(AU208)-ROW(AU$15),0),0)</f>
        <v>0</v>
      </c>
      <c r="AV208" s="632">
        <f ca="1">IF(AND($D208="Serviço",AV$12&lt;&gt;0,$H208&gt;0,OR(AUTOEVENTO&lt;&gt;"manual",$M208&lt;&gt;1)),ROUND(OFFSET($P208,0,AV$13),15-13*ORÇAMENTO!$AF$7)/$H208*OFFSET(ORÇAMENTO!$X$15,ROW(AV208)-ROW(AV$15),0),0)</f>
        <v>0</v>
      </c>
      <c r="AW208" s="632">
        <f ca="1">IF(AND($D208="Serviço",AW$12&lt;&gt;0,$H208&gt;0,OR(AUTOEVENTO&lt;&gt;"manual",$M208&lt;&gt;1)),ROUND(OFFSET($P208,0,AW$13),15-13*ORÇAMENTO!$AF$7)/$H208*OFFSET(ORÇAMENTO!$X$15,ROW(AW208)-ROW(AW$15),0),0)</f>
        <v>0</v>
      </c>
      <c r="AX208" s="632">
        <f ca="1">IF(AND($D208="Serviço",AX$12&lt;&gt;0,$H208&gt;0,OR(AUTOEVENTO&lt;&gt;"manual",$M208&lt;&gt;1)),ROUND(OFFSET($P208,0,AX$13),15-13*ORÇAMENTO!$AF$7)/$H208*OFFSET(ORÇAMENTO!$X$15,ROW(AX208)-ROW(AX$15),0),0)</f>
        <v>0</v>
      </c>
      <c r="AY208" s="632">
        <f ca="1">IF(AND($D208="Serviço",AY$12&lt;&gt;0,$H208&gt;0,OR(AUTOEVENTO&lt;&gt;"manual",$M208&lt;&gt;1)),ROUND(OFFSET($P208,0,AY$13),15-13*ORÇAMENTO!$AF$7)/$H208*OFFSET(ORÇAMENTO!$X$15,ROW(AY208)-ROW(AY$15),0),0)</f>
        <v>0</v>
      </c>
      <c r="AZ208" s="632">
        <f ca="1">IF(AND($D208="Serviço",AZ$12&lt;&gt;0,$H208&gt;0,OR(AUTOEVENTO&lt;&gt;"manual",$M208&lt;&gt;1)),ROUND(OFFSET($P208,0,AZ$13),15-13*ORÇAMENTO!$AF$7)/$H208*OFFSET(ORÇAMENTO!$X$15,ROW(AZ208)-ROW(AZ$15),0),0)</f>
        <v>0</v>
      </c>
      <c r="BA208" s="633">
        <f ca="1">IF(AND($D208="Serviço",BA$12&lt;&gt;0,$H208&gt;0,OR(AUTOEVENTO&lt;&gt;"manual",$M208&lt;&gt;1)),ROUND(OFFSET($P208,0,BA$13),15-13*ORÇAMENTO!$AF$7)/$H208*OFFSET(ORÇAMENTO!$X$15,ROW(BA208)-ROW(BA$15),0),0)</f>
        <v>0</v>
      </c>
      <c r="BC208" s="215">
        <f ca="1">IF($D208&lt;&gt;"Serviço",0,IF(AND(AUTOEVENTO="Manual",$M208=1),0,IF(OFFSET(CRONOPLE!$F$14,$M208,BC$13)="",10^12,OFFSET(CRONOPLE!$F$14,$M208,BC$13))))</f>
        <v>1000000000000</v>
      </c>
      <c r="BD208" s="215">
        <f ca="1">IF($D208&lt;&gt;"Serviço",0,IF(AND(AUTOEVENTO="Manual",$M208=1),0,IF(OFFSET(CRONOPLE!$F$14,$M208,BD$13)="",10^12,OFFSET(CRONOPLE!$F$14,$M208,BD$13))))</f>
        <v>1000000000000</v>
      </c>
      <c r="BE208" s="215">
        <f ca="1">IF($D208&lt;&gt;"Serviço",0,IF(AND(AUTOEVENTO="Manual",$M208=1),0,IF(OFFSET(CRONOPLE!$F$14,$M208,BE$13)="",10^12,OFFSET(CRONOPLE!$F$14,$M208,BE$13))))</f>
        <v>1000000000000</v>
      </c>
      <c r="BF208" s="215">
        <f ca="1">IF($D208&lt;&gt;"Serviço",0,IF(AND(AUTOEVENTO="Manual",$M208=1),0,IF(OFFSET(CRONOPLE!$F$14,$M208,BF$13)="",10^12,OFFSET(CRONOPLE!$F$14,$M208,BF$13))))</f>
        <v>1000000000000</v>
      </c>
      <c r="BG208" s="215">
        <f ca="1">IF($D208&lt;&gt;"Serviço",0,IF(AND(AUTOEVENTO="Manual",$M208=1),0,IF(OFFSET(CRONOPLE!$F$14,$M208,BG$13)="",10^12,OFFSET(CRONOPLE!$F$14,$M208,BG$13))))</f>
        <v>1000000000000</v>
      </c>
      <c r="BH208" s="215">
        <f ca="1">IF($D208&lt;&gt;"Serviço",0,IF(AND(AUTOEVENTO="Manual",$M208=1),0,IF(OFFSET(CRONOPLE!$F$14,$M208,BH$13)="",10^12,OFFSET(CRONOPLE!$F$14,$M208,BH$13))))</f>
        <v>1000000000000</v>
      </c>
      <c r="BI208" s="215">
        <f ca="1">IF($D208&lt;&gt;"Serviço",0,IF(AND(AUTOEVENTO="Manual",$M208=1),0,IF(OFFSET(CRONOPLE!$F$14,$M208,BI$13)="",10^12,OFFSET(CRONOPLE!$F$14,$M208,BI$13))))</f>
        <v>1000000000000</v>
      </c>
      <c r="BJ208" s="215">
        <f ca="1">IF($D208&lt;&gt;"Serviço",0,IF(AND(AUTOEVENTO="Manual",$M208=1),0,IF(OFFSET(CRONOPLE!$F$14,$M208,BJ$13)="",10^12,OFFSET(CRONOPLE!$F$14,$M208,BJ$13))))</f>
        <v>1000000000000</v>
      </c>
      <c r="BK208" s="215">
        <f ca="1">IF($D208&lt;&gt;"Serviço",0,IF(AND(AUTOEVENTO="Manual",$M208=1),0,IF(OFFSET(CRONOPLE!$F$14,$M208,BK$13)="",10^12,OFFSET(CRONOPLE!$F$14,$M208,BK$13))))</f>
        <v>1000000000000</v>
      </c>
      <c r="BL208" s="215">
        <f ca="1">IF($D208&lt;&gt;"Serviço",0,IF(AND(AUTOEVENTO="Manual",$M208=1),0,IF(OFFSET(CRONOPLE!$F$14,$M208,BL$13)="",10^12,OFFSET(CRONOPLE!$F$14,$M208,BL$13))))</f>
        <v>1000000000000</v>
      </c>
      <c r="BM208" s="215">
        <f ca="1">IF($D208&lt;&gt;"Serviço",0,IF(AND(AUTOEVENTO="Manual",$M208=1),0,IF(OFFSET(CRONOPLE!$F$14,$M208,BM$13)="",10^12,OFFSET(CRONOPLE!$F$14,$M208,BM$13))))</f>
        <v>1000000000000</v>
      </c>
      <c r="BN208" s="215">
        <f ca="1">IF($D208&lt;&gt;"Serviço",0,IF(AND(AUTOEVENTO="Manual",$M208=1),0,IF(OFFSET(CRONOPLE!$F$14,$M208,BN$13)="",10^12,OFFSET(CRONOPLE!$F$14,$M208,BN$13))))</f>
        <v>1000000000000</v>
      </c>
      <c r="BO208" s="215">
        <f ca="1">IF($D208&lt;&gt;"Serviço",0,IF(AND(AUTOEVENTO="Manual",$M208=1),0,IF(OFFSET(CRONOPLE!$F$14,$M208,BO$13)="",10^12,OFFSET(CRONOPLE!$F$14,$M208,BO$13))))</f>
        <v>1000000000000</v>
      </c>
      <c r="BP208" s="215">
        <f ca="1">IF($D208&lt;&gt;"Serviço",0,IF(AND(AUTOEVENTO="Manual",$M208=1),0,IF(OFFSET(CRONOPLE!$F$14,$M208,BP$13)="",10^12,OFFSET(CRONOPLE!$F$14,$M208,BP$13))))</f>
        <v>1000000000000</v>
      </c>
      <c r="BQ208" s="215">
        <f ca="1">IF($D208&lt;&gt;"Serviço",0,IF(AND(AUTOEVENTO="Manual",$M208=1),0,IF(OFFSET(CRONOPLE!$F$14,$M208,BQ$13)="",10^12,OFFSET(CRONOPLE!$F$14,$M208,BQ$13))))</f>
        <v>1000000000000</v>
      </c>
      <c r="BR208" s="215">
        <f ca="1">IF($D208&lt;&gt;"Serviço",0,IF(AND(AUTOEVENTO="Manual",$M208=1),0,IF(OFFSET(CRONOPLE!$F$14,$M208,BR$13)="",10^12,OFFSET(CRONOPLE!$F$14,$M208,BR$13))))</f>
        <v>1000000000000</v>
      </c>
      <c r="BS208" s="215">
        <f ca="1">IF($D208&lt;&gt;"Serviço",0,IF(AND(AUTOEVENTO="Manual",$M208=1),0,IF(OFFSET(CRONOPLE!$F$14,$M208,BS$13)="",10^12,OFFSET(CRONOPLE!$F$14,$M208,BS$13))))</f>
        <v>1000000000000</v>
      </c>
      <c r="BT208" s="215">
        <f ca="1">IF($D208&lt;&gt;"Serviço",0,IF(AND(AUTOEVENTO="Manual",$M208=1),0,IF(OFFSET(CRONOPLE!$F$14,$M208,BT$13)="",10^12,OFFSET(CRONOPLE!$F$14,$M208,BT$13))))</f>
        <v>1000000000000</v>
      </c>
      <c r="BV208" s="216">
        <f ca="1">IF($D208&lt;&gt;"Serviço",0,IF(OR(AND(AUTOEVENTO="Manual",$M208=1),$M208&gt;(ROW(PLE.lastrow)-ROW(PLE.firstrow))),0,IF(OFFSET(PLE!$G$14,$M208,BV$13)="",10^12,OFFSET(PLE!$G$14,$M208,BV$13))))</f>
        <v>1000000000000</v>
      </c>
      <c r="BW208" s="216">
        <f ca="1">IF($D208&lt;&gt;"Serviço",0,IF(OR(AND(AUTOEVENTO="Manual",$M208=1),$M208&gt;(ROW(PLE.lastrow)-ROW(PLE.firstrow))),0,IF(OFFSET(PLE!$G$14,$M208,BW$13)="",10^12,OFFSET(PLE!$G$14,$M208,BW$13))))</f>
        <v>1000000000000</v>
      </c>
      <c r="BX208" s="216">
        <f ca="1">IF($D208&lt;&gt;"Serviço",0,IF(OR(AND(AUTOEVENTO="Manual",$M208=1),$M208&gt;(ROW(PLE.lastrow)-ROW(PLE.firstrow))),0,IF(OFFSET(PLE!$G$14,$M208,BX$13)="",10^12,OFFSET(PLE!$G$14,$M208,BX$13))))</f>
        <v>1000000000000</v>
      </c>
      <c r="BY208" s="216">
        <f ca="1">IF($D208&lt;&gt;"Serviço",0,IF(OR(AND(AUTOEVENTO="Manual",$M208=1),$M208&gt;(ROW(PLE.lastrow)-ROW(PLE.firstrow))),0,IF(OFFSET(PLE!$G$14,$M208,BY$13)="",10^12,OFFSET(PLE!$G$14,$M208,BY$13))))</f>
        <v>1000000000000</v>
      </c>
      <c r="BZ208" s="216">
        <f ca="1">IF($D208&lt;&gt;"Serviço",0,IF(OR(AND(AUTOEVENTO="Manual",$M208=1),$M208&gt;(ROW(PLE.lastrow)-ROW(PLE.firstrow))),0,IF(OFFSET(PLE!$G$14,$M208,BZ$13)="",10^12,OFFSET(PLE!$G$14,$M208,BZ$13))))</f>
        <v>1000000000000</v>
      </c>
      <c r="CA208" s="216">
        <f ca="1">IF($D208&lt;&gt;"Serviço",0,IF(OR(AND(AUTOEVENTO="Manual",$M208=1),$M208&gt;(ROW(PLE.lastrow)-ROW(PLE.firstrow))),0,IF(OFFSET(PLE!$G$14,$M208,CA$13)="",10^12,OFFSET(PLE!$G$14,$M208,CA$13))))</f>
        <v>1000000000000</v>
      </c>
      <c r="CB208" s="216">
        <f ca="1">IF($D208&lt;&gt;"Serviço",0,IF(OR(AND(AUTOEVENTO="Manual",$M208=1),$M208&gt;(ROW(PLE.lastrow)-ROW(PLE.firstrow))),0,IF(OFFSET(PLE!$G$14,$M208,CB$13)="",10^12,OFFSET(PLE!$G$14,$M208,CB$13))))</f>
        <v>1000000000000</v>
      </c>
      <c r="CC208" s="216">
        <f ca="1">IF($D208&lt;&gt;"Serviço",0,IF(OR(AND(AUTOEVENTO="Manual",$M208=1),$M208&gt;(ROW(PLE.lastrow)-ROW(PLE.firstrow))),0,IF(OFFSET(PLE!$G$14,$M208,CC$13)="",10^12,OFFSET(PLE!$G$14,$M208,CC$13))))</f>
        <v>1000000000000</v>
      </c>
      <c r="CD208" s="216">
        <f ca="1">IF($D208&lt;&gt;"Serviço",0,IF(OR(AND(AUTOEVENTO="Manual",$M208=1),$M208&gt;(ROW(PLE.lastrow)-ROW(PLE.firstrow))),0,IF(OFFSET(PLE!$G$14,$M208,CD$13)="",10^12,OFFSET(PLE!$G$14,$M208,CD$13))))</f>
        <v>1000000000000</v>
      </c>
      <c r="CE208" s="216">
        <f ca="1">IF($D208&lt;&gt;"Serviço",0,IF(OR(AND(AUTOEVENTO="Manual",$M208=1),$M208&gt;(ROW(PLE.lastrow)-ROW(PLE.firstrow))),0,IF(OFFSET(PLE!$G$14,$M208,CE$13)="",10^12,OFFSET(PLE!$G$14,$M208,CE$13))))</f>
        <v>1000000000000</v>
      </c>
      <c r="CF208" s="216">
        <f ca="1">IF($D208&lt;&gt;"Serviço",0,IF(OR(AND(AUTOEVENTO="Manual",$M208=1),$M208&gt;(ROW(PLE.lastrow)-ROW(PLE.firstrow))),0,IF(OFFSET(PLE!$G$14,$M208,CF$13)="",10^12,OFFSET(PLE!$G$14,$M208,CF$13))))</f>
        <v>1000000000000</v>
      </c>
      <c r="CG208" s="216">
        <f ca="1">IF($D208&lt;&gt;"Serviço",0,IF(OR(AND(AUTOEVENTO="Manual",$M208=1),$M208&gt;(ROW(PLE.lastrow)-ROW(PLE.firstrow))),0,IF(OFFSET(PLE!$G$14,$M208,CG$13)="",10^12,OFFSET(PLE!$G$14,$M208,CG$13))))</f>
        <v>1000000000000</v>
      </c>
      <c r="CH208" s="216">
        <f ca="1">IF($D208&lt;&gt;"Serviço",0,IF(OR(AND(AUTOEVENTO="Manual",$M208=1),$M208&gt;(ROW(PLE.lastrow)-ROW(PLE.firstrow))),0,IF(OFFSET(PLE!$G$14,$M208,CH$13)="",10^12,OFFSET(PLE!$G$14,$M208,CH$13))))</f>
        <v>1000000000000</v>
      </c>
      <c r="CI208" s="216">
        <f ca="1">IF($D208&lt;&gt;"Serviço",0,IF(OR(AND(AUTOEVENTO="Manual",$M208=1),$M208&gt;(ROW(PLE.lastrow)-ROW(PLE.firstrow))),0,IF(OFFSET(PLE!$G$14,$M208,CI$13)="",10^12,OFFSET(PLE!$G$14,$M208,CI$13))))</f>
        <v>1000000000000</v>
      </c>
      <c r="CJ208" s="216">
        <f ca="1">IF($D208&lt;&gt;"Serviço",0,IF(OR(AND(AUTOEVENTO="Manual",$M208=1),$M208&gt;(ROW(PLE.lastrow)-ROW(PLE.firstrow))),0,IF(OFFSET(PLE!$G$14,$M208,CJ$13)="",10^12,OFFSET(PLE!$G$14,$M208,CJ$13))))</f>
        <v>1000000000000</v>
      </c>
      <c r="CK208" s="216">
        <f ca="1">IF($D208&lt;&gt;"Serviço",0,IF(OR(AND(AUTOEVENTO="Manual",$M208=1),$M208&gt;(ROW(PLE.lastrow)-ROW(PLE.firstrow))),0,IF(OFFSET(PLE!$G$14,$M208,CK$13)="",10^12,OFFSET(PLE!$G$14,$M208,CK$13))))</f>
        <v>1000000000000</v>
      </c>
      <c r="CL208" s="216">
        <f ca="1">IF($D208&lt;&gt;"Serviço",0,IF(OR(AND(AUTOEVENTO="Manual",$M208=1),$M208&gt;(ROW(PLE.lastrow)-ROW(PLE.firstrow))),0,IF(OFFSET(PLE!$G$14,$M208,CL$13)="",10^12,OFFSET(PLE!$G$14,$M208,CL$13))))</f>
        <v>1000000000000</v>
      </c>
      <c r="CM208" s="216">
        <f ca="1">IF($D208&lt;&gt;"Serviço",0,IF(OR(AND(AUTOEVENTO="Manual",$M208=1),$M208&gt;(ROW(PLE.lastrow)-ROW(PLE.firstrow))),0,IF(OFFSET(PLE!$G$14,$M208,CM$13)="",10^12,OFFSET(PLE!$G$14,$M208,CM$13))))</f>
        <v>1000000000000</v>
      </c>
    </row>
    <row r="209" spans="1:91" ht="13.2" x14ac:dyDescent="0.25">
      <c r="A209" s="9">
        <f t="shared" ca="1" si="12"/>
        <v>0</v>
      </c>
      <c r="B209" s="9" t="str">
        <f ca="1">OFFSET(ORÇAMENTO!C$15,ROW(B209)-ROW(B$15),0)</f>
        <v>S</v>
      </c>
      <c r="C209" s="9" t="str">
        <f ca="1">OFFSET(ORÇAMENTO!L$15,ROW(C209)-ROW(C$15),0)</f>
        <v/>
      </c>
      <c r="D209" s="145" t="str">
        <f ca="1">OFFSET(ORÇAMENTO!N$15,ROW(D209)-ROW(D$15),0)</f>
        <v>Serviço</v>
      </c>
      <c r="E209" s="205" t="str">
        <f ca="1">OFFSET(ORÇAMENTO!O$15,ROW(E209)-ROW(E$15),0)</f>
        <v>-</v>
      </c>
      <c r="F209" s="206" t="str">
        <f ca="1">OFFSET(ORÇAMENTO!R$15,ROW(F209)-ROW(F$15),0)</f>
        <v>(abra o arquivo 'Referência 05-2024.xls)</v>
      </c>
      <c r="G209" s="207" t="str">
        <f ca="1">IF($D209&lt;&gt;"Serviço","",OFFSET(ORÇAMENTO!S$15,ROW(G209)-ROW(G$15),0))</f>
        <v>-</v>
      </c>
      <c r="H209" s="151">
        <f ca="1">IF($D209&lt;&gt;"Serviço",0,IF(ACOMPANHAMENTO="BM",ROUND(OFFSET(ORÇAMENTO!AJ$15,ROW(H209)-ROW(H$15),0),15-13*ORÇAMENTO!$AF$7),SUMPRODUCT(($Q$12:$AI$12&lt;&gt;"")*ROUND($Q209:$AI209,15-13*ORÇAMENTO!$AF$7))))</f>
        <v>2.73</v>
      </c>
      <c r="I209" s="650"/>
      <c r="K209" s="208"/>
      <c r="L209" s="209" t="s">
        <v>257</v>
      </c>
      <c r="M209" s="210">
        <f ca="1">IF($D209&lt;&gt;"Serviço","",IF(AUTOEVENTO="manual",$A209,IF(ISERROR(MATCH($A209,$A$15:OFFSET($A209,-1,0),0)),MAX($M$15:OFFSET(M209,-1,0))+1,INDEX($M$15:OFFSET(M209,-1,0),MATCH($A209,$A$15:OFFSET($A209,-1,0),0)))))</f>
        <v>0</v>
      </c>
      <c r="N209" s="211" t="str">
        <f ca="1">IF($D209&lt;&gt;"Serviço","",IF(AUTOEVENTO="Manual",IF($A209=0,"&lt;-- defina o número do agrupador",OFFSET(EVENTOS!$D$14,$A209,0)),OFFSET($F$15,$A209,0)))</f>
        <v>&lt;-- defina o número do agrupador</v>
      </c>
      <c r="O209" s="212"/>
      <c r="Q209" s="212"/>
      <c r="R209" s="213"/>
      <c r="S209" s="213"/>
      <c r="T209" s="213"/>
      <c r="U209" s="213"/>
      <c r="V209" s="213"/>
      <c r="W209" s="213"/>
      <c r="X209" s="213"/>
      <c r="Y209" s="213"/>
      <c r="Z209" s="214"/>
      <c r="AA209" s="213"/>
      <c r="AB209" s="213"/>
      <c r="AC209" s="213"/>
      <c r="AD209" s="213"/>
      <c r="AE209" s="213"/>
      <c r="AF209" s="213"/>
      <c r="AG209" s="213"/>
      <c r="AH209" s="214"/>
      <c r="AJ209" s="631">
        <f ca="1">IF(AND($D209="Serviço",AJ$12&lt;&gt;0,$H209&gt;0,OR(AUTOEVENTO&lt;&gt;"manual",$M209&lt;&gt;1)),ROUND(OFFSET($P209,0,AJ$13),15-13*ORÇAMENTO!$AF$7)/$H209*OFFSET(ORÇAMENTO!$X$15,ROW(AJ209)-ROW(AJ$15),0),0)</f>
        <v>0</v>
      </c>
      <c r="AK209" s="632">
        <f ca="1">IF(AND($D209="Serviço",AK$12&lt;&gt;0,$H209&gt;0,OR(AUTOEVENTO&lt;&gt;"manual",$M209&lt;&gt;1)),ROUND(OFFSET($P209,0,AK$13),15-13*ORÇAMENTO!$AF$7)/$H209*OFFSET(ORÇAMENTO!$X$15,ROW(AK209)-ROW(AK$15),0),0)</f>
        <v>0</v>
      </c>
      <c r="AL209" s="632">
        <f ca="1">IF(AND($D209="Serviço",AL$12&lt;&gt;0,$H209&gt;0,OR(AUTOEVENTO&lt;&gt;"manual",$M209&lt;&gt;1)),ROUND(OFFSET($P209,0,AL$13),15-13*ORÇAMENTO!$AF$7)/$H209*OFFSET(ORÇAMENTO!$X$15,ROW(AL209)-ROW(AL$15),0),0)</f>
        <v>0</v>
      </c>
      <c r="AM209" s="632">
        <f ca="1">IF(AND($D209="Serviço",AM$12&lt;&gt;0,$H209&gt;0,OR(AUTOEVENTO&lt;&gt;"manual",$M209&lt;&gt;1)),ROUND(OFFSET($P209,0,AM$13),15-13*ORÇAMENTO!$AF$7)/$H209*OFFSET(ORÇAMENTO!$X$15,ROW(AM209)-ROW(AM$15),0),0)</f>
        <v>0</v>
      </c>
      <c r="AN209" s="632">
        <f ca="1">IF(AND($D209="Serviço",AN$12&lt;&gt;0,$H209&gt;0,OR(AUTOEVENTO&lt;&gt;"manual",$M209&lt;&gt;1)),ROUND(OFFSET($P209,0,AN$13),15-13*ORÇAMENTO!$AF$7)/$H209*OFFSET(ORÇAMENTO!$X$15,ROW(AN209)-ROW(AN$15),0),0)</f>
        <v>0</v>
      </c>
      <c r="AO209" s="632">
        <f ca="1">IF(AND($D209="Serviço",AO$12&lt;&gt;0,$H209&gt;0,OR(AUTOEVENTO&lt;&gt;"manual",$M209&lt;&gt;1)),ROUND(OFFSET($P209,0,AO$13),15-13*ORÇAMENTO!$AF$7)/$H209*OFFSET(ORÇAMENTO!$X$15,ROW(AO209)-ROW(AO$15),0),0)</f>
        <v>0</v>
      </c>
      <c r="AP209" s="632">
        <f ca="1">IF(AND($D209="Serviço",AP$12&lt;&gt;0,$H209&gt;0,OR(AUTOEVENTO&lt;&gt;"manual",$M209&lt;&gt;1)),ROUND(OFFSET($P209,0,AP$13),15-13*ORÇAMENTO!$AF$7)/$H209*OFFSET(ORÇAMENTO!$X$15,ROW(AP209)-ROW(AP$15),0),0)</f>
        <v>0</v>
      </c>
      <c r="AQ209" s="632">
        <f ca="1">IF(AND($D209="Serviço",AQ$12&lt;&gt;0,$H209&gt;0,OR(AUTOEVENTO&lt;&gt;"manual",$M209&lt;&gt;1)),ROUND(OFFSET($P209,0,AQ$13),15-13*ORÇAMENTO!$AF$7)/$H209*OFFSET(ORÇAMENTO!$X$15,ROW(AQ209)-ROW(AQ$15),0),0)</f>
        <v>0</v>
      </c>
      <c r="AR209" s="632">
        <f ca="1">IF(AND($D209="Serviço",AR$12&lt;&gt;0,$H209&gt;0,OR(AUTOEVENTO&lt;&gt;"manual",$M209&lt;&gt;1)),ROUND(OFFSET($P209,0,AR$13),15-13*ORÇAMENTO!$AF$7)/$H209*OFFSET(ORÇAMENTO!$X$15,ROW(AR209)-ROW(AR$15),0),0)</f>
        <v>0</v>
      </c>
      <c r="AS209" s="633">
        <f ca="1">IF(AND($D209="Serviço",AS$12&lt;&gt;0,$H209&gt;0,OR(AUTOEVENTO&lt;&gt;"manual",$M209&lt;&gt;1)),ROUND(OFFSET($P209,0,AS$13),15-13*ORÇAMENTO!$AF$7)/$H209*OFFSET(ORÇAMENTO!$X$15,ROW(AS209)-ROW(AS$15),0),0)</f>
        <v>0</v>
      </c>
      <c r="AT209" s="632">
        <f ca="1">IF(AND($D209="Serviço",AT$12&lt;&gt;0,$H209&gt;0,OR(AUTOEVENTO&lt;&gt;"manual",$M209&lt;&gt;1)),ROUND(OFFSET($P209,0,AT$13),15-13*ORÇAMENTO!$AF$7)/$H209*OFFSET(ORÇAMENTO!$X$15,ROW(AT209)-ROW(AT$15),0),0)</f>
        <v>0</v>
      </c>
      <c r="AU209" s="632">
        <f ca="1">IF(AND($D209="Serviço",AU$12&lt;&gt;0,$H209&gt;0,OR(AUTOEVENTO&lt;&gt;"manual",$M209&lt;&gt;1)),ROUND(OFFSET($P209,0,AU$13),15-13*ORÇAMENTO!$AF$7)/$H209*OFFSET(ORÇAMENTO!$X$15,ROW(AU209)-ROW(AU$15),0),0)</f>
        <v>0</v>
      </c>
      <c r="AV209" s="632">
        <f ca="1">IF(AND($D209="Serviço",AV$12&lt;&gt;0,$H209&gt;0,OR(AUTOEVENTO&lt;&gt;"manual",$M209&lt;&gt;1)),ROUND(OFFSET($P209,0,AV$13),15-13*ORÇAMENTO!$AF$7)/$H209*OFFSET(ORÇAMENTO!$X$15,ROW(AV209)-ROW(AV$15),0),0)</f>
        <v>0</v>
      </c>
      <c r="AW209" s="632">
        <f ca="1">IF(AND($D209="Serviço",AW$12&lt;&gt;0,$H209&gt;0,OR(AUTOEVENTO&lt;&gt;"manual",$M209&lt;&gt;1)),ROUND(OFFSET($P209,0,AW$13),15-13*ORÇAMENTO!$AF$7)/$H209*OFFSET(ORÇAMENTO!$X$15,ROW(AW209)-ROW(AW$15),0),0)</f>
        <v>0</v>
      </c>
      <c r="AX209" s="632">
        <f ca="1">IF(AND($D209="Serviço",AX$12&lt;&gt;0,$H209&gt;0,OR(AUTOEVENTO&lt;&gt;"manual",$M209&lt;&gt;1)),ROUND(OFFSET($P209,0,AX$13),15-13*ORÇAMENTO!$AF$7)/$H209*OFFSET(ORÇAMENTO!$X$15,ROW(AX209)-ROW(AX$15),0),0)</f>
        <v>0</v>
      </c>
      <c r="AY209" s="632">
        <f ca="1">IF(AND($D209="Serviço",AY$12&lt;&gt;0,$H209&gt;0,OR(AUTOEVENTO&lt;&gt;"manual",$M209&lt;&gt;1)),ROUND(OFFSET($P209,0,AY$13),15-13*ORÇAMENTO!$AF$7)/$H209*OFFSET(ORÇAMENTO!$X$15,ROW(AY209)-ROW(AY$15),0),0)</f>
        <v>0</v>
      </c>
      <c r="AZ209" s="632">
        <f ca="1">IF(AND($D209="Serviço",AZ$12&lt;&gt;0,$H209&gt;0,OR(AUTOEVENTO&lt;&gt;"manual",$M209&lt;&gt;1)),ROUND(OFFSET($P209,0,AZ$13),15-13*ORÇAMENTO!$AF$7)/$H209*OFFSET(ORÇAMENTO!$X$15,ROW(AZ209)-ROW(AZ$15),0),0)</f>
        <v>0</v>
      </c>
      <c r="BA209" s="633">
        <f ca="1">IF(AND($D209="Serviço",BA$12&lt;&gt;0,$H209&gt;0,OR(AUTOEVENTO&lt;&gt;"manual",$M209&lt;&gt;1)),ROUND(OFFSET($P209,0,BA$13),15-13*ORÇAMENTO!$AF$7)/$H209*OFFSET(ORÇAMENTO!$X$15,ROW(BA209)-ROW(BA$15),0),0)</f>
        <v>0</v>
      </c>
      <c r="BC209" s="215">
        <f ca="1">IF($D209&lt;&gt;"Serviço",0,IF(AND(AUTOEVENTO="Manual",$M209=1),0,IF(OFFSET(CRONOPLE!$F$14,$M209,BC$13)="",10^12,OFFSET(CRONOPLE!$F$14,$M209,BC$13))))</f>
        <v>1000000000000</v>
      </c>
      <c r="BD209" s="215">
        <f ca="1">IF($D209&lt;&gt;"Serviço",0,IF(AND(AUTOEVENTO="Manual",$M209=1),0,IF(OFFSET(CRONOPLE!$F$14,$M209,BD$13)="",10^12,OFFSET(CRONOPLE!$F$14,$M209,BD$13))))</f>
        <v>1000000000000</v>
      </c>
      <c r="BE209" s="215">
        <f ca="1">IF($D209&lt;&gt;"Serviço",0,IF(AND(AUTOEVENTO="Manual",$M209=1),0,IF(OFFSET(CRONOPLE!$F$14,$M209,BE$13)="",10^12,OFFSET(CRONOPLE!$F$14,$M209,BE$13))))</f>
        <v>1000000000000</v>
      </c>
      <c r="BF209" s="215">
        <f ca="1">IF($D209&lt;&gt;"Serviço",0,IF(AND(AUTOEVENTO="Manual",$M209=1),0,IF(OFFSET(CRONOPLE!$F$14,$M209,BF$13)="",10^12,OFFSET(CRONOPLE!$F$14,$M209,BF$13))))</f>
        <v>1000000000000</v>
      </c>
      <c r="BG209" s="215">
        <f ca="1">IF($D209&lt;&gt;"Serviço",0,IF(AND(AUTOEVENTO="Manual",$M209=1),0,IF(OFFSET(CRONOPLE!$F$14,$M209,BG$13)="",10^12,OFFSET(CRONOPLE!$F$14,$M209,BG$13))))</f>
        <v>1000000000000</v>
      </c>
      <c r="BH209" s="215">
        <f ca="1">IF($D209&lt;&gt;"Serviço",0,IF(AND(AUTOEVENTO="Manual",$M209=1),0,IF(OFFSET(CRONOPLE!$F$14,$M209,BH$13)="",10^12,OFFSET(CRONOPLE!$F$14,$M209,BH$13))))</f>
        <v>1000000000000</v>
      </c>
      <c r="BI209" s="215">
        <f ca="1">IF($D209&lt;&gt;"Serviço",0,IF(AND(AUTOEVENTO="Manual",$M209=1),0,IF(OFFSET(CRONOPLE!$F$14,$M209,BI$13)="",10^12,OFFSET(CRONOPLE!$F$14,$M209,BI$13))))</f>
        <v>1000000000000</v>
      </c>
      <c r="BJ209" s="215">
        <f ca="1">IF($D209&lt;&gt;"Serviço",0,IF(AND(AUTOEVENTO="Manual",$M209=1),0,IF(OFFSET(CRONOPLE!$F$14,$M209,BJ$13)="",10^12,OFFSET(CRONOPLE!$F$14,$M209,BJ$13))))</f>
        <v>1000000000000</v>
      </c>
      <c r="BK209" s="215">
        <f ca="1">IF($D209&lt;&gt;"Serviço",0,IF(AND(AUTOEVENTO="Manual",$M209=1),0,IF(OFFSET(CRONOPLE!$F$14,$M209,BK$13)="",10^12,OFFSET(CRONOPLE!$F$14,$M209,BK$13))))</f>
        <v>1000000000000</v>
      </c>
      <c r="BL209" s="215">
        <f ca="1">IF($D209&lt;&gt;"Serviço",0,IF(AND(AUTOEVENTO="Manual",$M209=1),0,IF(OFFSET(CRONOPLE!$F$14,$M209,BL$13)="",10^12,OFFSET(CRONOPLE!$F$14,$M209,BL$13))))</f>
        <v>1000000000000</v>
      </c>
      <c r="BM209" s="215">
        <f ca="1">IF($D209&lt;&gt;"Serviço",0,IF(AND(AUTOEVENTO="Manual",$M209=1),0,IF(OFFSET(CRONOPLE!$F$14,$M209,BM$13)="",10^12,OFFSET(CRONOPLE!$F$14,$M209,BM$13))))</f>
        <v>1000000000000</v>
      </c>
      <c r="BN209" s="215">
        <f ca="1">IF($D209&lt;&gt;"Serviço",0,IF(AND(AUTOEVENTO="Manual",$M209=1),0,IF(OFFSET(CRONOPLE!$F$14,$M209,BN$13)="",10^12,OFFSET(CRONOPLE!$F$14,$M209,BN$13))))</f>
        <v>1000000000000</v>
      </c>
      <c r="BO209" s="215">
        <f ca="1">IF($D209&lt;&gt;"Serviço",0,IF(AND(AUTOEVENTO="Manual",$M209=1),0,IF(OFFSET(CRONOPLE!$F$14,$M209,BO$13)="",10^12,OFFSET(CRONOPLE!$F$14,$M209,BO$13))))</f>
        <v>1000000000000</v>
      </c>
      <c r="BP209" s="215">
        <f ca="1">IF($D209&lt;&gt;"Serviço",0,IF(AND(AUTOEVENTO="Manual",$M209=1),0,IF(OFFSET(CRONOPLE!$F$14,$M209,BP$13)="",10^12,OFFSET(CRONOPLE!$F$14,$M209,BP$13))))</f>
        <v>1000000000000</v>
      </c>
      <c r="BQ209" s="215">
        <f ca="1">IF($D209&lt;&gt;"Serviço",0,IF(AND(AUTOEVENTO="Manual",$M209=1),0,IF(OFFSET(CRONOPLE!$F$14,$M209,BQ$13)="",10^12,OFFSET(CRONOPLE!$F$14,$M209,BQ$13))))</f>
        <v>1000000000000</v>
      </c>
      <c r="BR209" s="215">
        <f ca="1">IF($D209&lt;&gt;"Serviço",0,IF(AND(AUTOEVENTO="Manual",$M209=1),0,IF(OFFSET(CRONOPLE!$F$14,$M209,BR$13)="",10^12,OFFSET(CRONOPLE!$F$14,$M209,BR$13))))</f>
        <v>1000000000000</v>
      </c>
      <c r="BS209" s="215">
        <f ca="1">IF($D209&lt;&gt;"Serviço",0,IF(AND(AUTOEVENTO="Manual",$M209=1),0,IF(OFFSET(CRONOPLE!$F$14,$M209,BS$13)="",10^12,OFFSET(CRONOPLE!$F$14,$M209,BS$13))))</f>
        <v>1000000000000</v>
      </c>
      <c r="BT209" s="215">
        <f ca="1">IF($D209&lt;&gt;"Serviço",0,IF(AND(AUTOEVENTO="Manual",$M209=1),0,IF(OFFSET(CRONOPLE!$F$14,$M209,BT$13)="",10^12,OFFSET(CRONOPLE!$F$14,$M209,BT$13))))</f>
        <v>1000000000000</v>
      </c>
      <c r="BV209" s="216">
        <f ca="1">IF($D209&lt;&gt;"Serviço",0,IF(OR(AND(AUTOEVENTO="Manual",$M209=1),$M209&gt;(ROW(PLE.lastrow)-ROW(PLE.firstrow))),0,IF(OFFSET(PLE!$G$14,$M209,BV$13)="",10^12,OFFSET(PLE!$G$14,$M209,BV$13))))</f>
        <v>1000000000000</v>
      </c>
      <c r="BW209" s="216">
        <f ca="1">IF($D209&lt;&gt;"Serviço",0,IF(OR(AND(AUTOEVENTO="Manual",$M209=1),$M209&gt;(ROW(PLE.lastrow)-ROW(PLE.firstrow))),0,IF(OFFSET(PLE!$G$14,$M209,BW$13)="",10^12,OFFSET(PLE!$G$14,$M209,BW$13))))</f>
        <v>1000000000000</v>
      </c>
      <c r="BX209" s="216">
        <f ca="1">IF($D209&lt;&gt;"Serviço",0,IF(OR(AND(AUTOEVENTO="Manual",$M209=1),$M209&gt;(ROW(PLE.lastrow)-ROW(PLE.firstrow))),0,IF(OFFSET(PLE!$G$14,$M209,BX$13)="",10^12,OFFSET(PLE!$G$14,$M209,BX$13))))</f>
        <v>1000000000000</v>
      </c>
      <c r="BY209" s="216">
        <f ca="1">IF($D209&lt;&gt;"Serviço",0,IF(OR(AND(AUTOEVENTO="Manual",$M209=1),$M209&gt;(ROW(PLE.lastrow)-ROW(PLE.firstrow))),0,IF(OFFSET(PLE!$G$14,$M209,BY$13)="",10^12,OFFSET(PLE!$G$14,$M209,BY$13))))</f>
        <v>1000000000000</v>
      </c>
      <c r="BZ209" s="216">
        <f ca="1">IF($D209&lt;&gt;"Serviço",0,IF(OR(AND(AUTOEVENTO="Manual",$M209=1),$M209&gt;(ROW(PLE.lastrow)-ROW(PLE.firstrow))),0,IF(OFFSET(PLE!$G$14,$M209,BZ$13)="",10^12,OFFSET(PLE!$G$14,$M209,BZ$13))))</f>
        <v>1000000000000</v>
      </c>
      <c r="CA209" s="216">
        <f ca="1">IF($D209&lt;&gt;"Serviço",0,IF(OR(AND(AUTOEVENTO="Manual",$M209=1),$M209&gt;(ROW(PLE.lastrow)-ROW(PLE.firstrow))),0,IF(OFFSET(PLE!$G$14,$M209,CA$13)="",10^12,OFFSET(PLE!$G$14,$M209,CA$13))))</f>
        <v>1000000000000</v>
      </c>
      <c r="CB209" s="216">
        <f ca="1">IF($D209&lt;&gt;"Serviço",0,IF(OR(AND(AUTOEVENTO="Manual",$M209=1),$M209&gt;(ROW(PLE.lastrow)-ROW(PLE.firstrow))),0,IF(OFFSET(PLE!$G$14,$M209,CB$13)="",10^12,OFFSET(PLE!$G$14,$M209,CB$13))))</f>
        <v>1000000000000</v>
      </c>
      <c r="CC209" s="216">
        <f ca="1">IF($D209&lt;&gt;"Serviço",0,IF(OR(AND(AUTOEVENTO="Manual",$M209=1),$M209&gt;(ROW(PLE.lastrow)-ROW(PLE.firstrow))),0,IF(OFFSET(PLE!$G$14,$M209,CC$13)="",10^12,OFFSET(PLE!$G$14,$M209,CC$13))))</f>
        <v>1000000000000</v>
      </c>
      <c r="CD209" s="216">
        <f ca="1">IF($D209&lt;&gt;"Serviço",0,IF(OR(AND(AUTOEVENTO="Manual",$M209=1),$M209&gt;(ROW(PLE.lastrow)-ROW(PLE.firstrow))),0,IF(OFFSET(PLE!$G$14,$M209,CD$13)="",10^12,OFFSET(PLE!$G$14,$M209,CD$13))))</f>
        <v>1000000000000</v>
      </c>
      <c r="CE209" s="216">
        <f ca="1">IF($D209&lt;&gt;"Serviço",0,IF(OR(AND(AUTOEVENTO="Manual",$M209=1),$M209&gt;(ROW(PLE.lastrow)-ROW(PLE.firstrow))),0,IF(OFFSET(PLE!$G$14,$M209,CE$13)="",10^12,OFFSET(PLE!$G$14,$M209,CE$13))))</f>
        <v>1000000000000</v>
      </c>
      <c r="CF209" s="216">
        <f ca="1">IF($D209&lt;&gt;"Serviço",0,IF(OR(AND(AUTOEVENTO="Manual",$M209=1),$M209&gt;(ROW(PLE.lastrow)-ROW(PLE.firstrow))),0,IF(OFFSET(PLE!$G$14,$M209,CF$13)="",10^12,OFFSET(PLE!$G$14,$M209,CF$13))))</f>
        <v>1000000000000</v>
      </c>
      <c r="CG209" s="216">
        <f ca="1">IF($D209&lt;&gt;"Serviço",0,IF(OR(AND(AUTOEVENTO="Manual",$M209=1),$M209&gt;(ROW(PLE.lastrow)-ROW(PLE.firstrow))),0,IF(OFFSET(PLE!$G$14,$M209,CG$13)="",10^12,OFFSET(PLE!$G$14,$M209,CG$13))))</f>
        <v>1000000000000</v>
      </c>
      <c r="CH209" s="216">
        <f ca="1">IF($D209&lt;&gt;"Serviço",0,IF(OR(AND(AUTOEVENTO="Manual",$M209=1),$M209&gt;(ROW(PLE.lastrow)-ROW(PLE.firstrow))),0,IF(OFFSET(PLE!$G$14,$M209,CH$13)="",10^12,OFFSET(PLE!$G$14,$M209,CH$13))))</f>
        <v>1000000000000</v>
      </c>
      <c r="CI209" s="216">
        <f ca="1">IF($D209&lt;&gt;"Serviço",0,IF(OR(AND(AUTOEVENTO="Manual",$M209=1),$M209&gt;(ROW(PLE.lastrow)-ROW(PLE.firstrow))),0,IF(OFFSET(PLE!$G$14,$M209,CI$13)="",10^12,OFFSET(PLE!$G$14,$M209,CI$13))))</f>
        <v>1000000000000</v>
      </c>
      <c r="CJ209" s="216">
        <f ca="1">IF($D209&lt;&gt;"Serviço",0,IF(OR(AND(AUTOEVENTO="Manual",$M209=1),$M209&gt;(ROW(PLE.lastrow)-ROW(PLE.firstrow))),0,IF(OFFSET(PLE!$G$14,$M209,CJ$13)="",10^12,OFFSET(PLE!$G$14,$M209,CJ$13))))</f>
        <v>1000000000000</v>
      </c>
      <c r="CK209" s="216">
        <f ca="1">IF($D209&lt;&gt;"Serviço",0,IF(OR(AND(AUTOEVENTO="Manual",$M209=1),$M209&gt;(ROW(PLE.lastrow)-ROW(PLE.firstrow))),0,IF(OFFSET(PLE!$G$14,$M209,CK$13)="",10^12,OFFSET(PLE!$G$14,$M209,CK$13))))</f>
        <v>1000000000000</v>
      </c>
      <c r="CL209" s="216">
        <f ca="1">IF($D209&lt;&gt;"Serviço",0,IF(OR(AND(AUTOEVENTO="Manual",$M209=1),$M209&gt;(ROW(PLE.lastrow)-ROW(PLE.firstrow))),0,IF(OFFSET(PLE!$G$14,$M209,CL$13)="",10^12,OFFSET(PLE!$G$14,$M209,CL$13))))</f>
        <v>1000000000000</v>
      </c>
      <c r="CM209" s="216">
        <f ca="1">IF($D209&lt;&gt;"Serviço",0,IF(OR(AND(AUTOEVENTO="Manual",$M209=1),$M209&gt;(ROW(PLE.lastrow)-ROW(PLE.firstrow))),0,IF(OFFSET(PLE!$G$14,$M209,CM$13)="",10^12,OFFSET(PLE!$G$14,$M209,CM$13))))</f>
        <v>1000000000000</v>
      </c>
    </row>
    <row r="210" spans="1:91" ht="13.2" x14ac:dyDescent="0.25">
      <c r="A210" s="9">
        <f t="shared" ca="1" si="12"/>
        <v>0</v>
      </c>
      <c r="B210" s="9">
        <f ca="1">OFFSET(ORÇAMENTO!C$15,ROW(B210)-ROW(B$15),0)</f>
        <v>3</v>
      </c>
      <c r="C210" s="9" t="str">
        <f ca="1">OFFSET(ORÇAMENTO!L$15,ROW(C210)-ROW(C$15),0)</f>
        <v>F</v>
      </c>
      <c r="D210" s="145" t="str">
        <f ca="1">OFFSET(ORÇAMENTO!N$15,ROW(D210)-ROW(D$15),0)</f>
        <v>Nível 3</v>
      </c>
      <c r="E210" s="205" t="str">
        <f ca="1">OFFSET(ORÇAMENTO!O$15,ROW(E210)-ROW(E$15),0)</f>
        <v>1.6.5.</v>
      </c>
      <c r="F210" s="206" t="str">
        <f ca="1">OFFSET(ORÇAMENTO!R$15,ROW(F210)-ROW(F$15),0)</f>
        <v>VIDROS</v>
      </c>
      <c r="G210" s="207" t="str">
        <f ca="1">IF($D210&lt;&gt;"Serviço","",OFFSET(ORÇAMENTO!S$15,ROW(G210)-ROW(G$15),0))</f>
        <v/>
      </c>
      <c r="H210" s="151">
        <f ca="1">IF($D210&lt;&gt;"Serviço",0,IF(ACOMPANHAMENTO="BM",ROUND(OFFSET(ORÇAMENTO!AJ$15,ROW(H210)-ROW(H$15),0),15-13*ORÇAMENTO!$AF$7),SUMPRODUCT(($Q$12:$AI$12&lt;&gt;"")*ROUND($Q210:$AI210,15-13*ORÇAMENTO!$AF$7))))</f>
        <v>0</v>
      </c>
      <c r="I210" s="650"/>
      <c r="K210" s="208"/>
      <c r="L210" s="209" t="s">
        <v>257</v>
      </c>
      <c r="M210" s="210" t="str">
        <f ca="1">IF($D210&lt;&gt;"Serviço","",IF(AUTOEVENTO="manual",$A210,IF(ISERROR(MATCH($A210,$A$15:OFFSET($A210,-1,0),0)),MAX($M$15:OFFSET(M210,-1,0))+1,INDEX($M$15:OFFSET(M210,-1,0),MATCH($A210,$A$15:OFFSET($A210,-1,0),0)))))</f>
        <v/>
      </c>
      <c r="N210" s="211" t="str">
        <f ca="1">IF($D210&lt;&gt;"Serviço","",IF(AUTOEVENTO="Manual",IF($A210=0,"&lt;-- defina o número do agrupador",OFFSET(EVENTOS!$D$14,$A210,0)),OFFSET($F$15,$A210,0)))</f>
        <v/>
      </c>
      <c r="O210" s="212"/>
      <c r="Q210" s="212"/>
      <c r="R210" s="213"/>
      <c r="S210" s="213"/>
      <c r="T210" s="213"/>
      <c r="U210" s="213"/>
      <c r="V210" s="213"/>
      <c r="W210" s="213"/>
      <c r="X210" s="213"/>
      <c r="Y210" s="213"/>
      <c r="Z210" s="214"/>
      <c r="AA210" s="213"/>
      <c r="AB210" s="213"/>
      <c r="AC210" s="213"/>
      <c r="AD210" s="213"/>
      <c r="AE210" s="213"/>
      <c r="AF210" s="213"/>
      <c r="AG210" s="213"/>
      <c r="AH210" s="214"/>
      <c r="AJ210" s="631">
        <f ca="1">IF(AND($D210="Serviço",AJ$12&lt;&gt;0,$H210&gt;0,OR(AUTOEVENTO&lt;&gt;"manual",$M210&lt;&gt;1)),ROUND(OFFSET($P210,0,AJ$13),15-13*ORÇAMENTO!$AF$7)/$H210*OFFSET(ORÇAMENTO!$X$15,ROW(AJ210)-ROW(AJ$15),0),0)</f>
        <v>0</v>
      </c>
      <c r="AK210" s="632">
        <f ca="1">IF(AND($D210="Serviço",AK$12&lt;&gt;0,$H210&gt;0,OR(AUTOEVENTO&lt;&gt;"manual",$M210&lt;&gt;1)),ROUND(OFFSET($P210,0,AK$13),15-13*ORÇAMENTO!$AF$7)/$H210*OFFSET(ORÇAMENTO!$X$15,ROW(AK210)-ROW(AK$15),0),0)</f>
        <v>0</v>
      </c>
      <c r="AL210" s="632">
        <f ca="1">IF(AND($D210="Serviço",AL$12&lt;&gt;0,$H210&gt;0,OR(AUTOEVENTO&lt;&gt;"manual",$M210&lt;&gt;1)),ROUND(OFFSET($P210,0,AL$13),15-13*ORÇAMENTO!$AF$7)/$H210*OFFSET(ORÇAMENTO!$X$15,ROW(AL210)-ROW(AL$15),0),0)</f>
        <v>0</v>
      </c>
      <c r="AM210" s="632">
        <f ca="1">IF(AND($D210="Serviço",AM$12&lt;&gt;0,$H210&gt;0,OR(AUTOEVENTO&lt;&gt;"manual",$M210&lt;&gt;1)),ROUND(OFFSET($P210,0,AM$13),15-13*ORÇAMENTO!$AF$7)/$H210*OFFSET(ORÇAMENTO!$X$15,ROW(AM210)-ROW(AM$15),0),0)</f>
        <v>0</v>
      </c>
      <c r="AN210" s="632">
        <f ca="1">IF(AND($D210="Serviço",AN$12&lt;&gt;0,$H210&gt;0,OR(AUTOEVENTO&lt;&gt;"manual",$M210&lt;&gt;1)),ROUND(OFFSET($P210,0,AN$13),15-13*ORÇAMENTO!$AF$7)/$H210*OFFSET(ORÇAMENTO!$X$15,ROW(AN210)-ROW(AN$15),0),0)</f>
        <v>0</v>
      </c>
      <c r="AO210" s="632">
        <f ca="1">IF(AND($D210="Serviço",AO$12&lt;&gt;0,$H210&gt;0,OR(AUTOEVENTO&lt;&gt;"manual",$M210&lt;&gt;1)),ROUND(OFFSET($P210,0,AO$13),15-13*ORÇAMENTO!$AF$7)/$H210*OFFSET(ORÇAMENTO!$X$15,ROW(AO210)-ROW(AO$15),0),0)</f>
        <v>0</v>
      </c>
      <c r="AP210" s="632">
        <f ca="1">IF(AND($D210="Serviço",AP$12&lt;&gt;0,$H210&gt;0,OR(AUTOEVENTO&lt;&gt;"manual",$M210&lt;&gt;1)),ROUND(OFFSET($P210,0,AP$13),15-13*ORÇAMENTO!$AF$7)/$H210*OFFSET(ORÇAMENTO!$X$15,ROW(AP210)-ROW(AP$15),0),0)</f>
        <v>0</v>
      </c>
      <c r="AQ210" s="632">
        <f ca="1">IF(AND($D210="Serviço",AQ$12&lt;&gt;0,$H210&gt;0,OR(AUTOEVENTO&lt;&gt;"manual",$M210&lt;&gt;1)),ROUND(OFFSET($P210,0,AQ$13),15-13*ORÇAMENTO!$AF$7)/$H210*OFFSET(ORÇAMENTO!$X$15,ROW(AQ210)-ROW(AQ$15),0),0)</f>
        <v>0</v>
      </c>
      <c r="AR210" s="632">
        <f ca="1">IF(AND($D210="Serviço",AR$12&lt;&gt;0,$H210&gt;0,OR(AUTOEVENTO&lt;&gt;"manual",$M210&lt;&gt;1)),ROUND(OFFSET($P210,0,AR$13),15-13*ORÇAMENTO!$AF$7)/$H210*OFFSET(ORÇAMENTO!$X$15,ROW(AR210)-ROW(AR$15),0),0)</f>
        <v>0</v>
      </c>
      <c r="AS210" s="633">
        <f ca="1">IF(AND($D210="Serviço",AS$12&lt;&gt;0,$H210&gt;0,OR(AUTOEVENTO&lt;&gt;"manual",$M210&lt;&gt;1)),ROUND(OFFSET($P210,0,AS$13),15-13*ORÇAMENTO!$AF$7)/$H210*OFFSET(ORÇAMENTO!$X$15,ROW(AS210)-ROW(AS$15),0),0)</f>
        <v>0</v>
      </c>
      <c r="AT210" s="632">
        <f ca="1">IF(AND($D210="Serviço",AT$12&lt;&gt;0,$H210&gt;0,OR(AUTOEVENTO&lt;&gt;"manual",$M210&lt;&gt;1)),ROUND(OFFSET($P210,0,AT$13),15-13*ORÇAMENTO!$AF$7)/$H210*OFFSET(ORÇAMENTO!$X$15,ROW(AT210)-ROW(AT$15),0),0)</f>
        <v>0</v>
      </c>
      <c r="AU210" s="632">
        <f ca="1">IF(AND($D210="Serviço",AU$12&lt;&gt;0,$H210&gt;0,OR(AUTOEVENTO&lt;&gt;"manual",$M210&lt;&gt;1)),ROUND(OFFSET($P210,0,AU$13),15-13*ORÇAMENTO!$AF$7)/$H210*OFFSET(ORÇAMENTO!$X$15,ROW(AU210)-ROW(AU$15),0),0)</f>
        <v>0</v>
      </c>
      <c r="AV210" s="632">
        <f ca="1">IF(AND($D210="Serviço",AV$12&lt;&gt;0,$H210&gt;0,OR(AUTOEVENTO&lt;&gt;"manual",$M210&lt;&gt;1)),ROUND(OFFSET($P210,0,AV$13),15-13*ORÇAMENTO!$AF$7)/$H210*OFFSET(ORÇAMENTO!$X$15,ROW(AV210)-ROW(AV$15),0),0)</f>
        <v>0</v>
      </c>
      <c r="AW210" s="632">
        <f ca="1">IF(AND($D210="Serviço",AW$12&lt;&gt;0,$H210&gt;0,OR(AUTOEVENTO&lt;&gt;"manual",$M210&lt;&gt;1)),ROUND(OFFSET($P210,0,AW$13),15-13*ORÇAMENTO!$AF$7)/$H210*OFFSET(ORÇAMENTO!$X$15,ROW(AW210)-ROW(AW$15),0),0)</f>
        <v>0</v>
      </c>
      <c r="AX210" s="632">
        <f ca="1">IF(AND($D210="Serviço",AX$12&lt;&gt;0,$H210&gt;0,OR(AUTOEVENTO&lt;&gt;"manual",$M210&lt;&gt;1)),ROUND(OFFSET($P210,0,AX$13),15-13*ORÇAMENTO!$AF$7)/$H210*OFFSET(ORÇAMENTO!$X$15,ROW(AX210)-ROW(AX$15),0),0)</f>
        <v>0</v>
      </c>
      <c r="AY210" s="632">
        <f ca="1">IF(AND($D210="Serviço",AY$12&lt;&gt;0,$H210&gt;0,OR(AUTOEVENTO&lt;&gt;"manual",$M210&lt;&gt;1)),ROUND(OFFSET($P210,0,AY$13),15-13*ORÇAMENTO!$AF$7)/$H210*OFFSET(ORÇAMENTO!$X$15,ROW(AY210)-ROW(AY$15),0),0)</f>
        <v>0</v>
      </c>
      <c r="AZ210" s="632">
        <f ca="1">IF(AND($D210="Serviço",AZ$12&lt;&gt;0,$H210&gt;0,OR(AUTOEVENTO&lt;&gt;"manual",$M210&lt;&gt;1)),ROUND(OFFSET($P210,0,AZ$13),15-13*ORÇAMENTO!$AF$7)/$H210*OFFSET(ORÇAMENTO!$X$15,ROW(AZ210)-ROW(AZ$15),0),0)</f>
        <v>0</v>
      </c>
      <c r="BA210" s="633">
        <f ca="1">IF(AND($D210="Serviço",BA$12&lt;&gt;0,$H210&gt;0,OR(AUTOEVENTO&lt;&gt;"manual",$M210&lt;&gt;1)),ROUND(OFFSET($P210,0,BA$13),15-13*ORÇAMENTO!$AF$7)/$H210*OFFSET(ORÇAMENTO!$X$15,ROW(BA210)-ROW(BA$15),0),0)</f>
        <v>0</v>
      </c>
      <c r="BC210" s="215">
        <f ca="1">IF($D210&lt;&gt;"Serviço",0,IF(AND(AUTOEVENTO="Manual",$M210=1),0,IF(OFFSET(CRONOPLE!$F$14,$M210,BC$13)="",10^12,OFFSET(CRONOPLE!$F$14,$M210,BC$13))))</f>
        <v>0</v>
      </c>
      <c r="BD210" s="215">
        <f ca="1">IF($D210&lt;&gt;"Serviço",0,IF(AND(AUTOEVENTO="Manual",$M210=1),0,IF(OFFSET(CRONOPLE!$F$14,$M210,BD$13)="",10^12,OFFSET(CRONOPLE!$F$14,$M210,BD$13))))</f>
        <v>0</v>
      </c>
      <c r="BE210" s="215">
        <f ca="1">IF($D210&lt;&gt;"Serviço",0,IF(AND(AUTOEVENTO="Manual",$M210=1),0,IF(OFFSET(CRONOPLE!$F$14,$M210,BE$13)="",10^12,OFFSET(CRONOPLE!$F$14,$M210,BE$13))))</f>
        <v>0</v>
      </c>
      <c r="BF210" s="215">
        <f ca="1">IF($D210&lt;&gt;"Serviço",0,IF(AND(AUTOEVENTO="Manual",$M210=1),0,IF(OFFSET(CRONOPLE!$F$14,$M210,BF$13)="",10^12,OFFSET(CRONOPLE!$F$14,$M210,BF$13))))</f>
        <v>0</v>
      </c>
      <c r="BG210" s="215">
        <f ca="1">IF($D210&lt;&gt;"Serviço",0,IF(AND(AUTOEVENTO="Manual",$M210=1),0,IF(OFFSET(CRONOPLE!$F$14,$M210,BG$13)="",10^12,OFFSET(CRONOPLE!$F$14,$M210,BG$13))))</f>
        <v>0</v>
      </c>
      <c r="BH210" s="215">
        <f ca="1">IF($D210&lt;&gt;"Serviço",0,IF(AND(AUTOEVENTO="Manual",$M210=1),0,IF(OFFSET(CRONOPLE!$F$14,$M210,BH$13)="",10^12,OFFSET(CRONOPLE!$F$14,$M210,BH$13))))</f>
        <v>0</v>
      </c>
      <c r="BI210" s="215">
        <f ca="1">IF($D210&lt;&gt;"Serviço",0,IF(AND(AUTOEVENTO="Manual",$M210=1),0,IF(OFFSET(CRONOPLE!$F$14,$M210,BI$13)="",10^12,OFFSET(CRONOPLE!$F$14,$M210,BI$13))))</f>
        <v>0</v>
      </c>
      <c r="BJ210" s="215">
        <f ca="1">IF($D210&lt;&gt;"Serviço",0,IF(AND(AUTOEVENTO="Manual",$M210=1),0,IF(OFFSET(CRONOPLE!$F$14,$M210,BJ$13)="",10^12,OFFSET(CRONOPLE!$F$14,$M210,BJ$13))))</f>
        <v>0</v>
      </c>
      <c r="BK210" s="215">
        <f ca="1">IF($D210&lt;&gt;"Serviço",0,IF(AND(AUTOEVENTO="Manual",$M210=1),0,IF(OFFSET(CRONOPLE!$F$14,$M210,BK$13)="",10^12,OFFSET(CRONOPLE!$F$14,$M210,BK$13))))</f>
        <v>0</v>
      </c>
      <c r="BL210" s="215">
        <f ca="1">IF($D210&lt;&gt;"Serviço",0,IF(AND(AUTOEVENTO="Manual",$M210=1),0,IF(OFFSET(CRONOPLE!$F$14,$M210,BL$13)="",10^12,OFFSET(CRONOPLE!$F$14,$M210,BL$13))))</f>
        <v>0</v>
      </c>
      <c r="BM210" s="215">
        <f ca="1">IF($D210&lt;&gt;"Serviço",0,IF(AND(AUTOEVENTO="Manual",$M210=1),0,IF(OFFSET(CRONOPLE!$F$14,$M210,BM$13)="",10^12,OFFSET(CRONOPLE!$F$14,$M210,BM$13))))</f>
        <v>0</v>
      </c>
      <c r="BN210" s="215">
        <f ca="1">IF($D210&lt;&gt;"Serviço",0,IF(AND(AUTOEVENTO="Manual",$M210=1),0,IF(OFFSET(CRONOPLE!$F$14,$M210,BN$13)="",10^12,OFFSET(CRONOPLE!$F$14,$M210,BN$13))))</f>
        <v>0</v>
      </c>
      <c r="BO210" s="215">
        <f ca="1">IF($D210&lt;&gt;"Serviço",0,IF(AND(AUTOEVENTO="Manual",$M210=1),0,IF(OFFSET(CRONOPLE!$F$14,$M210,BO$13)="",10^12,OFFSET(CRONOPLE!$F$14,$M210,BO$13))))</f>
        <v>0</v>
      </c>
      <c r="BP210" s="215">
        <f ca="1">IF($D210&lt;&gt;"Serviço",0,IF(AND(AUTOEVENTO="Manual",$M210=1),0,IF(OFFSET(CRONOPLE!$F$14,$M210,BP$13)="",10^12,OFFSET(CRONOPLE!$F$14,$M210,BP$13))))</f>
        <v>0</v>
      </c>
      <c r="BQ210" s="215">
        <f ca="1">IF($D210&lt;&gt;"Serviço",0,IF(AND(AUTOEVENTO="Manual",$M210=1),0,IF(OFFSET(CRONOPLE!$F$14,$M210,BQ$13)="",10^12,OFFSET(CRONOPLE!$F$14,$M210,BQ$13))))</f>
        <v>0</v>
      </c>
      <c r="BR210" s="215">
        <f ca="1">IF($D210&lt;&gt;"Serviço",0,IF(AND(AUTOEVENTO="Manual",$M210=1),0,IF(OFFSET(CRONOPLE!$F$14,$M210,BR$13)="",10^12,OFFSET(CRONOPLE!$F$14,$M210,BR$13))))</f>
        <v>0</v>
      </c>
      <c r="BS210" s="215">
        <f ca="1">IF($D210&lt;&gt;"Serviço",0,IF(AND(AUTOEVENTO="Manual",$M210=1),0,IF(OFFSET(CRONOPLE!$F$14,$M210,BS$13)="",10^12,OFFSET(CRONOPLE!$F$14,$M210,BS$13))))</f>
        <v>0</v>
      </c>
      <c r="BT210" s="215">
        <f ca="1">IF($D210&lt;&gt;"Serviço",0,IF(AND(AUTOEVENTO="Manual",$M210=1),0,IF(OFFSET(CRONOPLE!$F$14,$M210,BT$13)="",10^12,OFFSET(CRONOPLE!$F$14,$M210,BT$13))))</f>
        <v>0</v>
      </c>
      <c r="BV210" s="216">
        <f ca="1">IF($D210&lt;&gt;"Serviço",0,IF(OR(AND(AUTOEVENTO="Manual",$M210=1),$M210&gt;(ROW(PLE.lastrow)-ROW(PLE.firstrow))),0,IF(OFFSET(PLE!$G$14,$M210,BV$13)="",10^12,OFFSET(PLE!$G$14,$M210,BV$13))))</f>
        <v>0</v>
      </c>
      <c r="BW210" s="216">
        <f ca="1">IF($D210&lt;&gt;"Serviço",0,IF(OR(AND(AUTOEVENTO="Manual",$M210=1),$M210&gt;(ROW(PLE.lastrow)-ROW(PLE.firstrow))),0,IF(OFFSET(PLE!$G$14,$M210,BW$13)="",10^12,OFFSET(PLE!$G$14,$M210,BW$13))))</f>
        <v>0</v>
      </c>
      <c r="BX210" s="216">
        <f ca="1">IF($D210&lt;&gt;"Serviço",0,IF(OR(AND(AUTOEVENTO="Manual",$M210=1),$M210&gt;(ROW(PLE.lastrow)-ROW(PLE.firstrow))),0,IF(OFFSET(PLE!$G$14,$M210,BX$13)="",10^12,OFFSET(PLE!$G$14,$M210,BX$13))))</f>
        <v>0</v>
      </c>
      <c r="BY210" s="216">
        <f ca="1">IF($D210&lt;&gt;"Serviço",0,IF(OR(AND(AUTOEVENTO="Manual",$M210=1),$M210&gt;(ROW(PLE.lastrow)-ROW(PLE.firstrow))),0,IF(OFFSET(PLE!$G$14,$M210,BY$13)="",10^12,OFFSET(PLE!$G$14,$M210,BY$13))))</f>
        <v>0</v>
      </c>
      <c r="BZ210" s="216">
        <f ca="1">IF($D210&lt;&gt;"Serviço",0,IF(OR(AND(AUTOEVENTO="Manual",$M210=1),$M210&gt;(ROW(PLE.lastrow)-ROW(PLE.firstrow))),0,IF(OFFSET(PLE!$G$14,$M210,BZ$13)="",10^12,OFFSET(PLE!$G$14,$M210,BZ$13))))</f>
        <v>0</v>
      </c>
      <c r="CA210" s="216">
        <f ca="1">IF($D210&lt;&gt;"Serviço",0,IF(OR(AND(AUTOEVENTO="Manual",$M210=1),$M210&gt;(ROW(PLE.lastrow)-ROW(PLE.firstrow))),0,IF(OFFSET(PLE!$G$14,$M210,CA$13)="",10^12,OFFSET(PLE!$G$14,$M210,CA$13))))</f>
        <v>0</v>
      </c>
      <c r="CB210" s="216">
        <f ca="1">IF($D210&lt;&gt;"Serviço",0,IF(OR(AND(AUTOEVENTO="Manual",$M210=1),$M210&gt;(ROW(PLE.lastrow)-ROW(PLE.firstrow))),0,IF(OFFSET(PLE!$G$14,$M210,CB$13)="",10^12,OFFSET(PLE!$G$14,$M210,CB$13))))</f>
        <v>0</v>
      </c>
      <c r="CC210" s="216">
        <f ca="1">IF($D210&lt;&gt;"Serviço",0,IF(OR(AND(AUTOEVENTO="Manual",$M210=1),$M210&gt;(ROW(PLE.lastrow)-ROW(PLE.firstrow))),0,IF(OFFSET(PLE!$G$14,$M210,CC$13)="",10^12,OFFSET(PLE!$G$14,$M210,CC$13))))</f>
        <v>0</v>
      </c>
      <c r="CD210" s="216">
        <f ca="1">IF($D210&lt;&gt;"Serviço",0,IF(OR(AND(AUTOEVENTO="Manual",$M210=1),$M210&gt;(ROW(PLE.lastrow)-ROW(PLE.firstrow))),0,IF(OFFSET(PLE!$G$14,$M210,CD$13)="",10^12,OFFSET(PLE!$G$14,$M210,CD$13))))</f>
        <v>0</v>
      </c>
      <c r="CE210" s="216">
        <f ca="1">IF($D210&lt;&gt;"Serviço",0,IF(OR(AND(AUTOEVENTO="Manual",$M210=1),$M210&gt;(ROW(PLE.lastrow)-ROW(PLE.firstrow))),0,IF(OFFSET(PLE!$G$14,$M210,CE$13)="",10^12,OFFSET(PLE!$G$14,$M210,CE$13))))</f>
        <v>0</v>
      </c>
      <c r="CF210" s="216">
        <f ca="1">IF($D210&lt;&gt;"Serviço",0,IF(OR(AND(AUTOEVENTO="Manual",$M210=1),$M210&gt;(ROW(PLE.lastrow)-ROW(PLE.firstrow))),0,IF(OFFSET(PLE!$G$14,$M210,CF$13)="",10^12,OFFSET(PLE!$G$14,$M210,CF$13))))</f>
        <v>0</v>
      </c>
      <c r="CG210" s="216">
        <f ca="1">IF($D210&lt;&gt;"Serviço",0,IF(OR(AND(AUTOEVENTO="Manual",$M210=1),$M210&gt;(ROW(PLE.lastrow)-ROW(PLE.firstrow))),0,IF(OFFSET(PLE!$G$14,$M210,CG$13)="",10^12,OFFSET(PLE!$G$14,$M210,CG$13))))</f>
        <v>0</v>
      </c>
      <c r="CH210" s="216">
        <f ca="1">IF($D210&lt;&gt;"Serviço",0,IF(OR(AND(AUTOEVENTO="Manual",$M210=1),$M210&gt;(ROW(PLE.lastrow)-ROW(PLE.firstrow))),0,IF(OFFSET(PLE!$G$14,$M210,CH$13)="",10^12,OFFSET(PLE!$G$14,$M210,CH$13))))</f>
        <v>0</v>
      </c>
      <c r="CI210" s="216">
        <f ca="1">IF($D210&lt;&gt;"Serviço",0,IF(OR(AND(AUTOEVENTO="Manual",$M210=1),$M210&gt;(ROW(PLE.lastrow)-ROW(PLE.firstrow))),0,IF(OFFSET(PLE!$G$14,$M210,CI$13)="",10^12,OFFSET(PLE!$G$14,$M210,CI$13))))</f>
        <v>0</v>
      </c>
      <c r="CJ210" s="216">
        <f ca="1">IF($D210&lt;&gt;"Serviço",0,IF(OR(AND(AUTOEVENTO="Manual",$M210=1),$M210&gt;(ROW(PLE.lastrow)-ROW(PLE.firstrow))),0,IF(OFFSET(PLE!$G$14,$M210,CJ$13)="",10^12,OFFSET(PLE!$G$14,$M210,CJ$13))))</f>
        <v>0</v>
      </c>
      <c r="CK210" s="216">
        <f ca="1">IF($D210&lt;&gt;"Serviço",0,IF(OR(AND(AUTOEVENTO="Manual",$M210=1),$M210&gt;(ROW(PLE.lastrow)-ROW(PLE.firstrow))),0,IF(OFFSET(PLE!$G$14,$M210,CK$13)="",10^12,OFFSET(PLE!$G$14,$M210,CK$13))))</f>
        <v>0</v>
      </c>
      <c r="CL210" s="216">
        <f ca="1">IF($D210&lt;&gt;"Serviço",0,IF(OR(AND(AUTOEVENTO="Manual",$M210=1),$M210&gt;(ROW(PLE.lastrow)-ROW(PLE.firstrow))),0,IF(OFFSET(PLE!$G$14,$M210,CL$13)="",10^12,OFFSET(PLE!$G$14,$M210,CL$13))))</f>
        <v>0</v>
      </c>
      <c r="CM210" s="216">
        <f ca="1">IF($D210&lt;&gt;"Serviço",0,IF(OR(AND(AUTOEVENTO="Manual",$M210=1),$M210&gt;(ROW(PLE.lastrow)-ROW(PLE.firstrow))),0,IF(OFFSET(PLE!$G$14,$M210,CM$13)="",10^12,OFFSET(PLE!$G$14,$M210,CM$13))))</f>
        <v>0</v>
      </c>
    </row>
    <row r="211" spans="1:91" ht="13.2" x14ac:dyDescent="0.25">
      <c r="A211" s="9">
        <f t="shared" ca="1" si="12"/>
        <v>0</v>
      </c>
      <c r="B211" s="9" t="str">
        <f ca="1">OFFSET(ORÇAMENTO!C$15,ROW(B211)-ROW(B$15),0)</f>
        <v>S</v>
      </c>
      <c r="C211" s="9" t="str">
        <f ca="1">OFFSET(ORÇAMENTO!L$15,ROW(C211)-ROW(C$15),0)</f>
        <v/>
      </c>
      <c r="D211" s="145" t="str">
        <f ca="1">OFFSET(ORÇAMENTO!N$15,ROW(D211)-ROW(D$15),0)</f>
        <v>Serviço</v>
      </c>
      <c r="E211" s="205" t="str">
        <f ca="1">OFFSET(ORÇAMENTO!O$15,ROW(E211)-ROW(E$15),0)</f>
        <v>-</v>
      </c>
      <c r="F211" s="206" t="str">
        <f ca="1">OFFSET(ORÇAMENTO!R$15,ROW(F211)-ROW(F$15),0)</f>
        <v>(abra o arquivo 'Referência 05-2024.xls)</v>
      </c>
      <c r="G211" s="207" t="str">
        <f ca="1">IF($D211&lt;&gt;"Serviço","",OFFSET(ORÇAMENTO!S$15,ROW(G211)-ROW(G$15),0))</f>
        <v>-</v>
      </c>
      <c r="H211" s="151">
        <f ca="1">IF($D211&lt;&gt;"Serviço",0,IF(ACOMPANHAMENTO="BM",ROUND(OFFSET(ORÇAMENTO!AJ$15,ROW(H211)-ROW(H$15),0),15-13*ORÇAMENTO!$AF$7),SUMPRODUCT(($Q$12:$AI$12&lt;&gt;"")*ROUND($Q211:$AI211,15-13*ORÇAMENTO!$AF$7))))</f>
        <v>6.65</v>
      </c>
      <c r="I211" s="650"/>
      <c r="K211" s="208"/>
      <c r="L211" s="209" t="s">
        <v>257</v>
      </c>
      <c r="M211" s="210">
        <f ca="1">IF($D211&lt;&gt;"Serviço","",IF(AUTOEVENTO="manual",$A211,IF(ISERROR(MATCH($A211,$A$15:OFFSET($A211,-1,0),0)),MAX($M$15:OFFSET(M211,-1,0))+1,INDEX($M$15:OFFSET(M211,-1,0),MATCH($A211,$A$15:OFFSET($A211,-1,0),0)))))</f>
        <v>0</v>
      </c>
      <c r="N211" s="211" t="str">
        <f ca="1">IF($D211&lt;&gt;"Serviço","",IF(AUTOEVENTO="Manual",IF($A211=0,"&lt;-- defina o número do agrupador",OFFSET(EVENTOS!$D$14,$A211,0)),OFFSET($F$15,$A211,0)))</f>
        <v>&lt;-- defina o número do agrupador</v>
      </c>
      <c r="O211" s="212"/>
      <c r="Q211" s="212"/>
      <c r="R211" s="213"/>
      <c r="S211" s="213"/>
      <c r="T211" s="213"/>
      <c r="U211" s="213"/>
      <c r="V211" s="213"/>
      <c r="W211" s="213"/>
      <c r="X211" s="213"/>
      <c r="Y211" s="213"/>
      <c r="Z211" s="214"/>
      <c r="AA211" s="213"/>
      <c r="AB211" s="213"/>
      <c r="AC211" s="213"/>
      <c r="AD211" s="213"/>
      <c r="AE211" s="213"/>
      <c r="AF211" s="213"/>
      <c r="AG211" s="213"/>
      <c r="AH211" s="214"/>
      <c r="AJ211" s="631">
        <f ca="1">IF(AND($D211="Serviço",AJ$12&lt;&gt;0,$H211&gt;0,OR(AUTOEVENTO&lt;&gt;"manual",$M211&lt;&gt;1)),ROUND(OFFSET($P211,0,AJ$13),15-13*ORÇAMENTO!$AF$7)/$H211*OFFSET(ORÇAMENTO!$X$15,ROW(AJ211)-ROW(AJ$15),0),0)</f>
        <v>0</v>
      </c>
      <c r="AK211" s="632">
        <f ca="1">IF(AND($D211="Serviço",AK$12&lt;&gt;0,$H211&gt;0,OR(AUTOEVENTO&lt;&gt;"manual",$M211&lt;&gt;1)),ROUND(OFFSET($P211,0,AK$13),15-13*ORÇAMENTO!$AF$7)/$H211*OFFSET(ORÇAMENTO!$X$15,ROW(AK211)-ROW(AK$15),0),0)</f>
        <v>0</v>
      </c>
      <c r="AL211" s="632">
        <f ca="1">IF(AND($D211="Serviço",AL$12&lt;&gt;0,$H211&gt;0,OR(AUTOEVENTO&lt;&gt;"manual",$M211&lt;&gt;1)),ROUND(OFFSET($P211,0,AL$13),15-13*ORÇAMENTO!$AF$7)/$H211*OFFSET(ORÇAMENTO!$X$15,ROW(AL211)-ROW(AL$15),0),0)</f>
        <v>0</v>
      </c>
      <c r="AM211" s="632">
        <f ca="1">IF(AND($D211="Serviço",AM$12&lt;&gt;0,$H211&gt;0,OR(AUTOEVENTO&lt;&gt;"manual",$M211&lt;&gt;1)),ROUND(OFFSET($P211,0,AM$13),15-13*ORÇAMENTO!$AF$7)/$H211*OFFSET(ORÇAMENTO!$X$15,ROW(AM211)-ROW(AM$15),0),0)</f>
        <v>0</v>
      </c>
      <c r="AN211" s="632">
        <f ca="1">IF(AND($D211="Serviço",AN$12&lt;&gt;0,$H211&gt;0,OR(AUTOEVENTO&lt;&gt;"manual",$M211&lt;&gt;1)),ROUND(OFFSET($P211,0,AN$13),15-13*ORÇAMENTO!$AF$7)/$H211*OFFSET(ORÇAMENTO!$X$15,ROW(AN211)-ROW(AN$15),0),0)</f>
        <v>0</v>
      </c>
      <c r="AO211" s="632">
        <f ca="1">IF(AND($D211="Serviço",AO$12&lt;&gt;0,$H211&gt;0,OR(AUTOEVENTO&lt;&gt;"manual",$M211&lt;&gt;1)),ROUND(OFFSET($P211,0,AO$13),15-13*ORÇAMENTO!$AF$7)/$H211*OFFSET(ORÇAMENTO!$X$15,ROW(AO211)-ROW(AO$15),0),0)</f>
        <v>0</v>
      </c>
      <c r="AP211" s="632">
        <f ca="1">IF(AND($D211="Serviço",AP$12&lt;&gt;0,$H211&gt;0,OR(AUTOEVENTO&lt;&gt;"manual",$M211&lt;&gt;1)),ROUND(OFFSET($P211,0,AP$13),15-13*ORÇAMENTO!$AF$7)/$H211*OFFSET(ORÇAMENTO!$X$15,ROW(AP211)-ROW(AP$15),0),0)</f>
        <v>0</v>
      </c>
      <c r="AQ211" s="632">
        <f ca="1">IF(AND($D211="Serviço",AQ$12&lt;&gt;0,$H211&gt;0,OR(AUTOEVENTO&lt;&gt;"manual",$M211&lt;&gt;1)),ROUND(OFFSET($P211,0,AQ$13),15-13*ORÇAMENTO!$AF$7)/$H211*OFFSET(ORÇAMENTO!$X$15,ROW(AQ211)-ROW(AQ$15),0),0)</f>
        <v>0</v>
      </c>
      <c r="AR211" s="632">
        <f ca="1">IF(AND($D211="Serviço",AR$12&lt;&gt;0,$H211&gt;0,OR(AUTOEVENTO&lt;&gt;"manual",$M211&lt;&gt;1)),ROUND(OFFSET($P211,0,AR$13),15-13*ORÇAMENTO!$AF$7)/$H211*OFFSET(ORÇAMENTO!$X$15,ROW(AR211)-ROW(AR$15),0),0)</f>
        <v>0</v>
      </c>
      <c r="AS211" s="633">
        <f ca="1">IF(AND($D211="Serviço",AS$12&lt;&gt;0,$H211&gt;0,OR(AUTOEVENTO&lt;&gt;"manual",$M211&lt;&gt;1)),ROUND(OFFSET($P211,0,AS$13),15-13*ORÇAMENTO!$AF$7)/$H211*OFFSET(ORÇAMENTO!$X$15,ROW(AS211)-ROW(AS$15),0),0)</f>
        <v>0</v>
      </c>
      <c r="AT211" s="632">
        <f ca="1">IF(AND($D211="Serviço",AT$12&lt;&gt;0,$H211&gt;0,OR(AUTOEVENTO&lt;&gt;"manual",$M211&lt;&gt;1)),ROUND(OFFSET($P211,0,AT$13),15-13*ORÇAMENTO!$AF$7)/$H211*OFFSET(ORÇAMENTO!$X$15,ROW(AT211)-ROW(AT$15),0),0)</f>
        <v>0</v>
      </c>
      <c r="AU211" s="632">
        <f ca="1">IF(AND($D211="Serviço",AU$12&lt;&gt;0,$H211&gt;0,OR(AUTOEVENTO&lt;&gt;"manual",$M211&lt;&gt;1)),ROUND(OFFSET($P211,0,AU$13),15-13*ORÇAMENTO!$AF$7)/$H211*OFFSET(ORÇAMENTO!$X$15,ROW(AU211)-ROW(AU$15),0),0)</f>
        <v>0</v>
      </c>
      <c r="AV211" s="632">
        <f ca="1">IF(AND($D211="Serviço",AV$12&lt;&gt;0,$H211&gt;0,OR(AUTOEVENTO&lt;&gt;"manual",$M211&lt;&gt;1)),ROUND(OFFSET($P211,0,AV$13),15-13*ORÇAMENTO!$AF$7)/$H211*OFFSET(ORÇAMENTO!$X$15,ROW(AV211)-ROW(AV$15),0),0)</f>
        <v>0</v>
      </c>
      <c r="AW211" s="632">
        <f ca="1">IF(AND($D211="Serviço",AW$12&lt;&gt;0,$H211&gt;0,OR(AUTOEVENTO&lt;&gt;"manual",$M211&lt;&gt;1)),ROUND(OFFSET($P211,0,AW$13),15-13*ORÇAMENTO!$AF$7)/$H211*OFFSET(ORÇAMENTO!$X$15,ROW(AW211)-ROW(AW$15),0),0)</f>
        <v>0</v>
      </c>
      <c r="AX211" s="632">
        <f ca="1">IF(AND($D211="Serviço",AX$12&lt;&gt;0,$H211&gt;0,OR(AUTOEVENTO&lt;&gt;"manual",$M211&lt;&gt;1)),ROUND(OFFSET($P211,0,AX$13),15-13*ORÇAMENTO!$AF$7)/$H211*OFFSET(ORÇAMENTO!$X$15,ROW(AX211)-ROW(AX$15),0),0)</f>
        <v>0</v>
      </c>
      <c r="AY211" s="632">
        <f ca="1">IF(AND($D211="Serviço",AY$12&lt;&gt;0,$H211&gt;0,OR(AUTOEVENTO&lt;&gt;"manual",$M211&lt;&gt;1)),ROUND(OFFSET($P211,0,AY$13),15-13*ORÇAMENTO!$AF$7)/$H211*OFFSET(ORÇAMENTO!$X$15,ROW(AY211)-ROW(AY$15),0),0)</f>
        <v>0</v>
      </c>
      <c r="AZ211" s="632">
        <f ca="1">IF(AND($D211="Serviço",AZ$12&lt;&gt;0,$H211&gt;0,OR(AUTOEVENTO&lt;&gt;"manual",$M211&lt;&gt;1)),ROUND(OFFSET($P211,0,AZ$13),15-13*ORÇAMENTO!$AF$7)/$H211*OFFSET(ORÇAMENTO!$X$15,ROW(AZ211)-ROW(AZ$15),0),0)</f>
        <v>0</v>
      </c>
      <c r="BA211" s="633">
        <f ca="1">IF(AND($D211="Serviço",BA$12&lt;&gt;0,$H211&gt;0,OR(AUTOEVENTO&lt;&gt;"manual",$M211&lt;&gt;1)),ROUND(OFFSET($P211,0,BA$13),15-13*ORÇAMENTO!$AF$7)/$H211*OFFSET(ORÇAMENTO!$X$15,ROW(BA211)-ROW(BA$15),0),0)</f>
        <v>0</v>
      </c>
      <c r="BC211" s="215">
        <f ca="1">IF($D211&lt;&gt;"Serviço",0,IF(AND(AUTOEVENTO="Manual",$M211=1),0,IF(OFFSET(CRONOPLE!$F$14,$M211,BC$13)="",10^12,OFFSET(CRONOPLE!$F$14,$M211,BC$13))))</f>
        <v>1000000000000</v>
      </c>
      <c r="BD211" s="215">
        <f ca="1">IF($D211&lt;&gt;"Serviço",0,IF(AND(AUTOEVENTO="Manual",$M211=1),0,IF(OFFSET(CRONOPLE!$F$14,$M211,BD$13)="",10^12,OFFSET(CRONOPLE!$F$14,$M211,BD$13))))</f>
        <v>1000000000000</v>
      </c>
      <c r="BE211" s="215">
        <f ca="1">IF($D211&lt;&gt;"Serviço",0,IF(AND(AUTOEVENTO="Manual",$M211=1),0,IF(OFFSET(CRONOPLE!$F$14,$M211,BE$13)="",10^12,OFFSET(CRONOPLE!$F$14,$M211,BE$13))))</f>
        <v>1000000000000</v>
      </c>
      <c r="BF211" s="215">
        <f ca="1">IF($D211&lt;&gt;"Serviço",0,IF(AND(AUTOEVENTO="Manual",$M211=1),0,IF(OFFSET(CRONOPLE!$F$14,$M211,BF$13)="",10^12,OFFSET(CRONOPLE!$F$14,$M211,BF$13))))</f>
        <v>1000000000000</v>
      </c>
      <c r="BG211" s="215">
        <f ca="1">IF($D211&lt;&gt;"Serviço",0,IF(AND(AUTOEVENTO="Manual",$M211=1),0,IF(OFFSET(CRONOPLE!$F$14,$M211,BG$13)="",10^12,OFFSET(CRONOPLE!$F$14,$M211,BG$13))))</f>
        <v>1000000000000</v>
      </c>
      <c r="BH211" s="215">
        <f ca="1">IF($D211&lt;&gt;"Serviço",0,IF(AND(AUTOEVENTO="Manual",$M211=1),0,IF(OFFSET(CRONOPLE!$F$14,$M211,BH$13)="",10^12,OFFSET(CRONOPLE!$F$14,$M211,BH$13))))</f>
        <v>1000000000000</v>
      </c>
      <c r="BI211" s="215">
        <f ca="1">IF($D211&lt;&gt;"Serviço",0,IF(AND(AUTOEVENTO="Manual",$M211=1),0,IF(OFFSET(CRONOPLE!$F$14,$M211,BI$13)="",10^12,OFFSET(CRONOPLE!$F$14,$M211,BI$13))))</f>
        <v>1000000000000</v>
      </c>
      <c r="BJ211" s="215">
        <f ca="1">IF($D211&lt;&gt;"Serviço",0,IF(AND(AUTOEVENTO="Manual",$M211=1),0,IF(OFFSET(CRONOPLE!$F$14,$M211,BJ$13)="",10^12,OFFSET(CRONOPLE!$F$14,$M211,BJ$13))))</f>
        <v>1000000000000</v>
      </c>
      <c r="BK211" s="215">
        <f ca="1">IF($D211&lt;&gt;"Serviço",0,IF(AND(AUTOEVENTO="Manual",$M211=1),0,IF(OFFSET(CRONOPLE!$F$14,$M211,BK$13)="",10^12,OFFSET(CRONOPLE!$F$14,$M211,BK$13))))</f>
        <v>1000000000000</v>
      </c>
      <c r="BL211" s="215">
        <f ca="1">IF($D211&lt;&gt;"Serviço",0,IF(AND(AUTOEVENTO="Manual",$M211=1),0,IF(OFFSET(CRONOPLE!$F$14,$M211,BL$13)="",10^12,OFFSET(CRONOPLE!$F$14,$M211,BL$13))))</f>
        <v>1000000000000</v>
      </c>
      <c r="BM211" s="215">
        <f ca="1">IF($D211&lt;&gt;"Serviço",0,IF(AND(AUTOEVENTO="Manual",$M211=1),0,IF(OFFSET(CRONOPLE!$F$14,$M211,BM$13)="",10^12,OFFSET(CRONOPLE!$F$14,$M211,BM$13))))</f>
        <v>1000000000000</v>
      </c>
      <c r="BN211" s="215">
        <f ca="1">IF($D211&lt;&gt;"Serviço",0,IF(AND(AUTOEVENTO="Manual",$M211=1),0,IF(OFFSET(CRONOPLE!$F$14,$M211,BN$13)="",10^12,OFFSET(CRONOPLE!$F$14,$M211,BN$13))))</f>
        <v>1000000000000</v>
      </c>
      <c r="BO211" s="215">
        <f ca="1">IF($D211&lt;&gt;"Serviço",0,IF(AND(AUTOEVENTO="Manual",$M211=1),0,IF(OFFSET(CRONOPLE!$F$14,$M211,BO$13)="",10^12,OFFSET(CRONOPLE!$F$14,$M211,BO$13))))</f>
        <v>1000000000000</v>
      </c>
      <c r="BP211" s="215">
        <f ca="1">IF($D211&lt;&gt;"Serviço",0,IF(AND(AUTOEVENTO="Manual",$M211=1),0,IF(OFFSET(CRONOPLE!$F$14,$M211,BP$13)="",10^12,OFFSET(CRONOPLE!$F$14,$M211,BP$13))))</f>
        <v>1000000000000</v>
      </c>
      <c r="BQ211" s="215">
        <f ca="1">IF($D211&lt;&gt;"Serviço",0,IF(AND(AUTOEVENTO="Manual",$M211=1),0,IF(OFFSET(CRONOPLE!$F$14,$M211,BQ$13)="",10^12,OFFSET(CRONOPLE!$F$14,$M211,BQ$13))))</f>
        <v>1000000000000</v>
      </c>
      <c r="BR211" s="215">
        <f ca="1">IF($D211&lt;&gt;"Serviço",0,IF(AND(AUTOEVENTO="Manual",$M211=1),0,IF(OFFSET(CRONOPLE!$F$14,$M211,BR$13)="",10^12,OFFSET(CRONOPLE!$F$14,$M211,BR$13))))</f>
        <v>1000000000000</v>
      </c>
      <c r="BS211" s="215">
        <f ca="1">IF($D211&lt;&gt;"Serviço",0,IF(AND(AUTOEVENTO="Manual",$M211=1),0,IF(OFFSET(CRONOPLE!$F$14,$M211,BS$13)="",10^12,OFFSET(CRONOPLE!$F$14,$M211,BS$13))))</f>
        <v>1000000000000</v>
      </c>
      <c r="BT211" s="215">
        <f ca="1">IF($D211&lt;&gt;"Serviço",0,IF(AND(AUTOEVENTO="Manual",$M211=1),0,IF(OFFSET(CRONOPLE!$F$14,$M211,BT$13)="",10^12,OFFSET(CRONOPLE!$F$14,$M211,BT$13))))</f>
        <v>1000000000000</v>
      </c>
      <c r="BV211" s="216">
        <f ca="1">IF($D211&lt;&gt;"Serviço",0,IF(OR(AND(AUTOEVENTO="Manual",$M211=1),$M211&gt;(ROW(PLE.lastrow)-ROW(PLE.firstrow))),0,IF(OFFSET(PLE!$G$14,$M211,BV$13)="",10^12,OFFSET(PLE!$G$14,$M211,BV$13))))</f>
        <v>1000000000000</v>
      </c>
      <c r="BW211" s="216">
        <f ca="1">IF($D211&lt;&gt;"Serviço",0,IF(OR(AND(AUTOEVENTO="Manual",$M211=1),$M211&gt;(ROW(PLE.lastrow)-ROW(PLE.firstrow))),0,IF(OFFSET(PLE!$G$14,$M211,BW$13)="",10^12,OFFSET(PLE!$G$14,$M211,BW$13))))</f>
        <v>1000000000000</v>
      </c>
      <c r="BX211" s="216">
        <f ca="1">IF($D211&lt;&gt;"Serviço",0,IF(OR(AND(AUTOEVENTO="Manual",$M211=1),$M211&gt;(ROW(PLE.lastrow)-ROW(PLE.firstrow))),0,IF(OFFSET(PLE!$G$14,$M211,BX$13)="",10^12,OFFSET(PLE!$G$14,$M211,BX$13))))</f>
        <v>1000000000000</v>
      </c>
      <c r="BY211" s="216">
        <f ca="1">IF($D211&lt;&gt;"Serviço",0,IF(OR(AND(AUTOEVENTO="Manual",$M211=1),$M211&gt;(ROW(PLE.lastrow)-ROW(PLE.firstrow))),0,IF(OFFSET(PLE!$G$14,$M211,BY$13)="",10^12,OFFSET(PLE!$G$14,$M211,BY$13))))</f>
        <v>1000000000000</v>
      </c>
      <c r="BZ211" s="216">
        <f ca="1">IF($D211&lt;&gt;"Serviço",0,IF(OR(AND(AUTOEVENTO="Manual",$M211=1),$M211&gt;(ROW(PLE.lastrow)-ROW(PLE.firstrow))),0,IF(OFFSET(PLE!$G$14,$M211,BZ$13)="",10^12,OFFSET(PLE!$G$14,$M211,BZ$13))))</f>
        <v>1000000000000</v>
      </c>
      <c r="CA211" s="216">
        <f ca="1">IF($D211&lt;&gt;"Serviço",0,IF(OR(AND(AUTOEVENTO="Manual",$M211=1),$M211&gt;(ROW(PLE.lastrow)-ROW(PLE.firstrow))),0,IF(OFFSET(PLE!$G$14,$M211,CA$13)="",10^12,OFFSET(PLE!$G$14,$M211,CA$13))))</f>
        <v>1000000000000</v>
      </c>
      <c r="CB211" s="216">
        <f ca="1">IF($D211&lt;&gt;"Serviço",0,IF(OR(AND(AUTOEVENTO="Manual",$M211=1),$M211&gt;(ROW(PLE.lastrow)-ROW(PLE.firstrow))),0,IF(OFFSET(PLE!$G$14,$M211,CB$13)="",10^12,OFFSET(PLE!$G$14,$M211,CB$13))))</f>
        <v>1000000000000</v>
      </c>
      <c r="CC211" s="216">
        <f ca="1">IF($D211&lt;&gt;"Serviço",0,IF(OR(AND(AUTOEVENTO="Manual",$M211=1),$M211&gt;(ROW(PLE.lastrow)-ROW(PLE.firstrow))),0,IF(OFFSET(PLE!$G$14,$M211,CC$13)="",10^12,OFFSET(PLE!$G$14,$M211,CC$13))))</f>
        <v>1000000000000</v>
      </c>
      <c r="CD211" s="216">
        <f ca="1">IF($D211&lt;&gt;"Serviço",0,IF(OR(AND(AUTOEVENTO="Manual",$M211=1),$M211&gt;(ROW(PLE.lastrow)-ROW(PLE.firstrow))),0,IF(OFFSET(PLE!$G$14,$M211,CD$13)="",10^12,OFFSET(PLE!$G$14,$M211,CD$13))))</f>
        <v>1000000000000</v>
      </c>
      <c r="CE211" s="216">
        <f ca="1">IF($D211&lt;&gt;"Serviço",0,IF(OR(AND(AUTOEVENTO="Manual",$M211=1),$M211&gt;(ROW(PLE.lastrow)-ROW(PLE.firstrow))),0,IF(OFFSET(PLE!$G$14,$M211,CE$13)="",10^12,OFFSET(PLE!$G$14,$M211,CE$13))))</f>
        <v>1000000000000</v>
      </c>
      <c r="CF211" s="216">
        <f ca="1">IF($D211&lt;&gt;"Serviço",0,IF(OR(AND(AUTOEVENTO="Manual",$M211=1),$M211&gt;(ROW(PLE.lastrow)-ROW(PLE.firstrow))),0,IF(OFFSET(PLE!$G$14,$M211,CF$13)="",10^12,OFFSET(PLE!$G$14,$M211,CF$13))))</f>
        <v>1000000000000</v>
      </c>
      <c r="CG211" s="216">
        <f ca="1">IF($D211&lt;&gt;"Serviço",0,IF(OR(AND(AUTOEVENTO="Manual",$M211=1),$M211&gt;(ROW(PLE.lastrow)-ROW(PLE.firstrow))),0,IF(OFFSET(PLE!$G$14,$M211,CG$13)="",10^12,OFFSET(PLE!$G$14,$M211,CG$13))))</f>
        <v>1000000000000</v>
      </c>
      <c r="CH211" s="216">
        <f ca="1">IF($D211&lt;&gt;"Serviço",0,IF(OR(AND(AUTOEVENTO="Manual",$M211=1),$M211&gt;(ROW(PLE.lastrow)-ROW(PLE.firstrow))),0,IF(OFFSET(PLE!$G$14,$M211,CH$13)="",10^12,OFFSET(PLE!$G$14,$M211,CH$13))))</f>
        <v>1000000000000</v>
      </c>
      <c r="CI211" s="216">
        <f ca="1">IF($D211&lt;&gt;"Serviço",0,IF(OR(AND(AUTOEVENTO="Manual",$M211=1),$M211&gt;(ROW(PLE.lastrow)-ROW(PLE.firstrow))),0,IF(OFFSET(PLE!$G$14,$M211,CI$13)="",10^12,OFFSET(PLE!$G$14,$M211,CI$13))))</f>
        <v>1000000000000</v>
      </c>
      <c r="CJ211" s="216">
        <f ca="1">IF($D211&lt;&gt;"Serviço",0,IF(OR(AND(AUTOEVENTO="Manual",$M211=1),$M211&gt;(ROW(PLE.lastrow)-ROW(PLE.firstrow))),0,IF(OFFSET(PLE!$G$14,$M211,CJ$13)="",10^12,OFFSET(PLE!$G$14,$M211,CJ$13))))</f>
        <v>1000000000000</v>
      </c>
      <c r="CK211" s="216">
        <f ca="1">IF($D211&lt;&gt;"Serviço",0,IF(OR(AND(AUTOEVENTO="Manual",$M211=1),$M211&gt;(ROW(PLE.lastrow)-ROW(PLE.firstrow))),0,IF(OFFSET(PLE!$G$14,$M211,CK$13)="",10^12,OFFSET(PLE!$G$14,$M211,CK$13))))</f>
        <v>1000000000000</v>
      </c>
      <c r="CL211" s="216">
        <f ca="1">IF($D211&lt;&gt;"Serviço",0,IF(OR(AND(AUTOEVENTO="Manual",$M211=1),$M211&gt;(ROW(PLE.lastrow)-ROW(PLE.firstrow))),0,IF(OFFSET(PLE!$G$14,$M211,CL$13)="",10^12,OFFSET(PLE!$G$14,$M211,CL$13))))</f>
        <v>1000000000000</v>
      </c>
      <c r="CM211" s="216">
        <f ca="1">IF($D211&lt;&gt;"Serviço",0,IF(OR(AND(AUTOEVENTO="Manual",$M211=1),$M211&gt;(ROW(PLE.lastrow)-ROW(PLE.firstrow))),0,IF(OFFSET(PLE!$G$14,$M211,CM$13)="",10^12,OFFSET(PLE!$G$14,$M211,CM$13))))</f>
        <v>1000000000000</v>
      </c>
    </row>
    <row r="212" spans="1:91" ht="13.2" x14ac:dyDescent="0.25">
      <c r="A212" s="9">
        <f t="shared" ca="1" si="12"/>
        <v>0</v>
      </c>
      <c r="B212" s="9">
        <f ca="1">OFFSET(ORÇAMENTO!C$15,ROW(B212)-ROW(B$15),0)</f>
        <v>3</v>
      </c>
      <c r="C212" s="9" t="str">
        <f ca="1">OFFSET(ORÇAMENTO!L$15,ROW(C212)-ROW(C$15),0)</f>
        <v>F</v>
      </c>
      <c r="D212" s="145" t="str">
        <f ca="1">OFFSET(ORÇAMENTO!N$15,ROW(D212)-ROW(D$15),0)</f>
        <v>Nível 3</v>
      </c>
      <c r="E212" s="205" t="str">
        <f ca="1">OFFSET(ORÇAMENTO!O$15,ROW(E212)-ROW(E$15),0)</f>
        <v>1.6.6.</v>
      </c>
      <c r="F212" s="206" t="str">
        <f ca="1">OFFSET(ORÇAMENTO!R$15,ROW(F212)-ROW(F$15),0)</f>
        <v>ESQUADRIA - GERAL</v>
      </c>
      <c r="G212" s="207" t="str">
        <f ca="1">IF($D212&lt;&gt;"Serviço","",OFFSET(ORÇAMENTO!S$15,ROW(G212)-ROW(G$15),0))</f>
        <v/>
      </c>
      <c r="H212" s="151">
        <f ca="1">IF($D212&lt;&gt;"Serviço",0,IF(ACOMPANHAMENTO="BM",ROUND(OFFSET(ORÇAMENTO!AJ$15,ROW(H212)-ROW(H$15),0),15-13*ORÇAMENTO!$AF$7),SUMPRODUCT(($Q$12:$AI$12&lt;&gt;"")*ROUND($Q212:$AI212,15-13*ORÇAMENTO!$AF$7))))</f>
        <v>0</v>
      </c>
      <c r="I212" s="650"/>
      <c r="K212" s="208"/>
      <c r="L212" s="209" t="s">
        <v>257</v>
      </c>
      <c r="M212" s="210" t="str">
        <f ca="1">IF($D212&lt;&gt;"Serviço","",IF(AUTOEVENTO="manual",$A212,IF(ISERROR(MATCH($A212,$A$15:OFFSET($A212,-1,0),0)),MAX($M$15:OFFSET(M212,-1,0))+1,INDEX($M$15:OFFSET(M212,-1,0),MATCH($A212,$A$15:OFFSET($A212,-1,0),0)))))</f>
        <v/>
      </c>
      <c r="N212" s="211" t="str">
        <f ca="1">IF($D212&lt;&gt;"Serviço","",IF(AUTOEVENTO="Manual",IF($A212=0,"&lt;-- defina o número do agrupador",OFFSET(EVENTOS!$D$14,$A212,0)),OFFSET($F$15,$A212,0)))</f>
        <v/>
      </c>
      <c r="O212" s="212"/>
      <c r="Q212" s="212"/>
      <c r="R212" s="213"/>
      <c r="S212" s="213"/>
      <c r="T212" s="213"/>
      <c r="U212" s="213"/>
      <c r="V212" s="213"/>
      <c r="W212" s="213"/>
      <c r="X212" s="213"/>
      <c r="Y212" s="213"/>
      <c r="Z212" s="214"/>
      <c r="AA212" s="213"/>
      <c r="AB212" s="213"/>
      <c r="AC212" s="213"/>
      <c r="AD212" s="213"/>
      <c r="AE212" s="213"/>
      <c r="AF212" s="213"/>
      <c r="AG212" s="213"/>
      <c r="AH212" s="214"/>
      <c r="AJ212" s="631">
        <f ca="1">IF(AND($D212="Serviço",AJ$12&lt;&gt;0,$H212&gt;0,OR(AUTOEVENTO&lt;&gt;"manual",$M212&lt;&gt;1)),ROUND(OFFSET($P212,0,AJ$13),15-13*ORÇAMENTO!$AF$7)/$H212*OFFSET(ORÇAMENTO!$X$15,ROW(AJ212)-ROW(AJ$15),0),0)</f>
        <v>0</v>
      </c>
      <c r="AK212" s="632">
        <f ca="1">IF(AND($D212="Serviço",AK$12&lt;&gt;0,$H212&gt;0,OR(AUTOEVENTO&lt;&gt;"manual",$M212&lt;&gt;1)),ROUND(OFFSET($P212,0,AK$13),15-13*ORÇAMENTO!$AF$7)/$H212*OFFSET(ORÇAMENTO!$X$15,ROW(AK212)-ROW(AK$15),0),0)</f>
        <v>0</v>
      </c>
      <c r="AL212" s="632">
        <f ca="1">IF(AND($D212="Serviço",AL$12&lt;&gt;0,$H212&gt;0,OR(AUTOEVENTO&lt;&gt;"manual",$M212&lt;&gt;1)),ROUND(OFFSET($P212,0,AL$13),15-13*ORÇAMENTO!$AF$7)/$H212*OFFSET(ORÇAMENTO!$X$15,ROW(AL212)-ROW(AL$15),0),0)</f>
        <v>0</v>
      </c>
      <c r="AM212" s="632">
        <f ca="1">IF(AND($D212="Serviço",AM$12&lt;&gt;0,$H212&gt;0,OR(AUTOEVENTO&lt;&gt;"manual",$M212&lt;&gt;1)),ROUND(OFFSET($P212,0,AM$13),15-13*ORÇAMENTO!$AF$7)/$H212*OFFSET(ORÇAMENTO!$X$15,ROW(AM212)-ROW(AM$15),0),0)</f>
        <v>0</v>
      </c>
      <c r="AN212" s="632">
        <f ca="1">IF(AND($D212="Serviço",AN$12&lt;&gt;0,$H212&gt;0,OR(AUTOEVENTO&lt;&gt;"manual",$M212&lt;&gt;1)),ROUND(OFFSET($P212,0,AN$13),15-13*ORÇAMENTO!$AF$7)/$H212*OFFSET(ORÇAMENTO!$X$15,ROW(AN212)-ROW(AN$15),0),0)</f>
        <v>0</v>
      </c>
      <c r="AO212" s="632">
        <f ca="1">IF(AND($D212="Serviço",AO$12&lt;&gt;0,$H212&gt;0,OR(AUTOEVENTO&lt;&gt;"manual",$M212&lt;&gt;1)),ROUND(OFFSET($P212,0,AO$13),15-13*ORÇAMENTO!$AF$7)/$H212*OFFSET(ORÇAMENTO!$X$15,ROW(AO212)-ROW(AO$15),0),0)</f>
        <v>0</v>
      </c>
      <c r="AP212" s="632">
        <f ca="1">IF(AND($D212="Serviço",AP$12&lt;&gt;0,$H212&gt;0,OR(AUTOEVENTO&lt;&gt;"manual",$M212&lt;&gt;1)),ROUND(OFFSET($P212,0,AP$13),15-13*ORÇAMENTO!$AF$7)/$H212*OFFSET(ORÇAMENTO!$X$15,ROW(AP212)-ROW(AP$15),0),0)</f>
        <v>0</v>
      </c>
      <c r="AQ212" s="632">
        <f ca="1">IF(AND($D212="Serviço",AQ$12&lt;&gt;0,$H212&gt;0,OR(AUTOEVENTO&lt;&gt;"manual",$M212&lt;&gt;1)),ROUND(OFFSET($P212,0,AQ$13),15-13*ORÇAMENTO!$AF$7)/$H212*OFFSET(ORÇAMENTO!$X$15,ROW(AQ212)-ROW(AQ$15),0),0)</f>
        <v>0</v>
      </c>
      <c r="AR212" s="632">
        <f ca="1">IF(AND($D212="Serviço",AR$12&lt;&gt;0,$H212&gt;0,OR(AUTOEVENTO&lt;&gt;"manual",$M212&lt;&gt;1)),ROUND(OFFSET($P212,0,AR$13),15-13*ORÇAMENTO!$AF$7)/$H212*OFFSET(ORÇAMENTO!$X$15,ROW(AR212)-ROW(AR$15),0),0)</f>
        <v>0</v>
      </c>
      <c r="AS212" s="633">
        <f ca="1">IF(AND($D212="Serviço",AS$12&lt;&gt;0,$H212&gt;0,OR(AUTOEVENTO&lt;&gt;"manual",$M212&lt;&gt;1)),ROUND(OFFSET($P212,0,AS$13),15-13*ORÇAMENTO!$AF$7)/$H212*OFFSET(ORÇAMENTO!$X$15,ROW(AS212)-ROW(AS$15),0),0)</f>
        <v>0</v>
      </c>
      <c r="AT212" s="632">
        <f ca="1">IF(AND($D212="Serviço",AT$12&lt;&gt;0,$H212&gt;0,OR(AUTOEVENTO&lt;&gt;"manual",$M212&lt;&gt;1)),ROUND(OFFSET($P212,0,AT$13),15-13*ORÇAMENTO!$AF$7)/$H212*OFFSET(ORÇAMENTO!$X$15,ROW(AT212)-ROW(AT$15),0),0)</f>
        <v>0</v>
      </c>
      <c r="AU212" s="632">
        <f ca="1">IF(AND($D212="Serviço",AU$12&lt;&gt;0,$H212&gt;0,OR(AUTOEVENTO&lt;&gt;"manual",$M212&lt;&gt;1)),ROUND(OFFSET($P212,0,AU$13),15-13*ORÇAMENTO!$AF$7)/$H212*OFFSET(ORÇAMENTO!$X$15,ROW(AU212)-ROW(AU$15),0),0)</f>
        <v>0</v>
      </c>
      <c r="AV212" s="632">
        <f ca="1">IF(AND($D212="Serviço",AV$12&lt;&gt;0,$H212&gt;0,OR(AUTOEVENTO&lt;&gt;"manual",$M212&lt;&gt;1)),ROUND(OFFSET($P212,0,AV$13),15-13*ORÇAMENTO!$AF$7)/$H212*OFFSET(ORÇAMENTO!$X$15,ROW(AV212)-ROW(AV$15),0),0)</f>
        <v>0</v>
      </c>
      <c r="AW212" s="632">
        <f ca="1">IF(AND($D212="Serviço",AW$12&lt;&gt;0,$H212&gt;0,OR(AUTOEVENTO&lt;&gt;"manual",$M212&lt;&gt;1)),ROUND(OFFSET($P212,0,AW$13),15-13*ORÇAMENTO!$AF$7)/$H212*OFFSET(ORÇAMENTO!$X$15,ROW(AW212)-ROW(AW$15),0),0)</f>
        <v>0</v>
      </c>
      <c r="AX212" s="632">
        <f ca="1">IF(AND($D212="Serviço",AX$12&lt;&gt;0,$H212&gt;0,OR(AUTOEVENTO&lt;&gt;"manual",$M212&lt;&gt;1)),ROUND(OFFSET($P212,0,AX$13),15-13*ORÇAMENTO!$AF$7)/$H212*OFFSET(ORÇAMENTO!$X$15,ROW(AX212)-ROW(AX$15),0),0)</f>
        <v>0</v>
      </c>
      <c r="AY212" s="632">
        <f ca="1">IF(AND($D212="Serviço",AY$12&lt;&gt;0,$H212&gt;0,OR(AUTOEVENTO&lt;&gt;"manual",$M212&lt;&gt;1)),ROUND(OFFSET($P212,0,AY$13),15-13*ORÇAMENTO!$AF$7)/$H212*OFFSET(ORÇAMENTO!$X$15,ROW(AY212)-ROW(AY$15),0),0)</f>
        <v>0</v>
      </c>
      <c r="AZ212" s="632">
        <f ca="1">IF(AND($D212="Serviço",AZ$12&lt;&gt;0,$H212&gt;0,OR(AUTOEVENTO&lt;&gt;"manual",$M212&lt;&gt;1)),ROUND(OFFSET($P212,0,AZ$13),15-13*ORÇAMENTO!$AF$7)/$H212*OFFSET(ORÇAMENTO!$X$15,ROW(AZ212)-ROW(AZ$15),0),0)</f>
        <v>0</v>
      </c>
      <c r="BA212" s="633">
        <f ca="1">IF(AND($D212="Serviço",BA$12&lt;&gt;0,$H212&gt;0,OR(AUTOEVENTO&lt;&gt;"manual",$M212&lt;&gt;1)),ROUND(OFFSET($P212,0,BA$13),15-13*ORÇAMENTO!$AF$7)/$H212*OFFSET(ORÇAMENTO!$X$15,ROW(BA212)-ROW(BA$15),0),0)</f>
        <v>0</v>
      </c>
      <c r="BC212" s="215">
        <f ca="1">IF($D212&lt;&gt;"Serviço",0,IF(AND(AUTOEVENTO="Manual",$M212=1),0,IF(OFFSET(CRONOPLE!$F$14,$M212,BC$13)="",10^12,OFFSET(CRONOPLE!$F$14,$M212,BC$13))))</f>
        <v>0</v>
      </c>
      <c r="BD212" s="215">
        <f ca="1">IF($D212&lt;&gt;"Serviço",0,IF(AND(AUTOEVENTO="Manual",$M212=1),0,IF(OFFSET(CRONOPLE!$F$14,$M212,BD$13)="",10^12,OFFSET(CRONOPLE!$F$14,$M212,BD$13))))</f>
        <v>0</v>
      </c>
      <c r="BE212" s="215">
        <f ca="1">IF($D212&lt;&gt;"Serviço",0,IF(AND(AUTOEVENTO="Manual",$M212=1),0,IF(OFFSET(CRONOPLE!$F$14,$M212,BE$13)="",10^12,OFFSET(CRONOPLE!$F$14,$M212,BE$13))))</f>
        <v>0</v>
      </c>
      <c r="BF212" s="215">
        <f ca="1">IF($D212&lt;&gt;"Serviço",0,IF(AND(AUTOEVENTO="Manual",$M212=1),0,IF(OFFSET(CRONOPLE!$F$14,$M212,BF$13)="",10^12,OFFSET(CRONOPLE!$F$14,$M212,BF$13))))</f>
        <v>0</v>
      </c>
      <c r="BG212" s="215">
        <f ca="1">IF($D212&lt;&gt;"Serviço",0,IF(AND(AUTOEVENTO="Manual",$M212=1),0,IF(OFFSET(CRONOPLE!$F$14,$M212,BG$13)="",10^12,OFFSET(CRONOPLE!$F$14,$M212,BG$13))))</f>
        <v>0</v>
      </c>
      <c r="BH212" s="215">
        <f ca="1">IF($D212&lt;&gt;"Serviço",0,IF(AND(AUTOEVENTO="Manual",$M212=1),0,IF(OFFSET(CRONOPLE!$F$14,$M212,BH$13)="",10^12,OFFSET(CRONOPLE!$F$14,$M212,BH$13))))</f>
        <v>0</v>
      </c>
      <c r="BI212" s="215">
        <f ca="1">IF($D212&lt;&gt;"Serviço",0,IF(AND(AUTOEVENTO="Manual",$M212=1),0,IF(OFFSET(CRONOPLE!$F$14,$M212,BI$13)="",10^12,OFFSET(CRONOPLE!$F$14,$M212,BI$13))))</f>
        <v>0</v>
      </c>
      <c r="BJ212" s="215">
        <f ca="1">IF($D212&lt;&gt;"Serviço",0,IF(AND(AUTOEVENTO="Manual",$M212=1),0,IF(OFFSET(CRONOPLE!$F$14,$M212,BJ$13)="",10^12,OFFSET(CRONOPLE!$F$14,$M212,BJ$13))))</f>
        <v>0</v>
      </c>
      <c r="BK212" s="215">
        <f ca="1">IF($D212&lt;&gt;"Serviço",0,IF(AND(AUTOEVENTO="Manual",$M212=1),0,IF(OFFSET(CRONOPLE!$F$14,$M212,BK$13)="",10^12,OFFSET(CRONOPLE!$F$14,$M212,BK$13))))</f>
        <v>0</v>
      </c>
      <c r="BL212" s="215">
        <f ca="1">IF($D212&lt;&gt;"Serviço",0,IF(AND(AUTOEVENTO="Manual",$M212=1),0,IF(OFFSET(CRONOPLE!$F$14,$M212,BL$13)="",10^12,OFFSET(CRONOPLE!$F$14,$M212,BL$13))))</f>
        <v>0</v>
      </c>
      <c r="BM212" s="215">
        <f ca="1">IF($D212&lt;&gt;"Serviço",0,IF(AND(AUTOEVENTO="Manual",$M212=1),0,IF(OFFSET(CRONOPLE!$F$14,$M212,BM$13)="",10^12,OFFSET(CRONOPLE!$F$14,$M212,BM$13))))</f>
        <v>0</v>
      </c>
      <c r="BN212" s="215">
        <f ca="1">IF($D212&lt;&gt;"Serviço",0,IF(AND(AUTOEVENTO="Manual",$M212=1),0,IF(OFFSET(CRONOPLE!$F$14,$M212,BN$13)="",10^12,OFFSET(CRONOPLE!$F$14,$M212,BN$13))))</f>
        <v>0</v>
      </c>
      <c r="BO212" s="215">
        <f ca="1">IF($D212&lt;&gt;"Serviço",0,IF(AND(AUTOEVENTO="Manual",$M212=1),0,IF(OFFSET(CRONOPLE!$F$14,$M212,BO$13)="",10^12,OFFSET(CRONOPLE!$F$14,$M212,BO$13))))</f>
        <v>0</v>
      </c>
      <c r="BP212" s="215">
        <f ca="1">IF($D212&lt;&gt;"Serviço",0,IF(AND(AUTOEVENTO="Manual",$M212=1),0,IF(OFFSET(CRONOPLE!$F$14,$M212,BP$13)="",10^12,OFFSET(CRONOPLE!$F$14,$M212,BP$13))))</f>
        <v>0</v>
      </c>
      <c r="BQ212" s="215">
        <f ca="1">IF($D212&lt;&gt;"Serviço",0,IF(AND(AUTOEVENTO="Manual",$M212=1),0,IF(OFFSET(CRONOPLE!$F$14,$M212,BQ$13)="",10^12,OFFSET(CRONOPLE!$F$14,$M212,BQ$13))))</f>
        <v>0</v>
      </c>
      <c r="BR212" s="215">
        <f ca="1">IF($D212&lt;&gt;"Serviço",0,IF(AND(AUTOEVENTO="Manual",$M212=1),0,IF(OFFSET(CRONOPLE!$F$14,$M212,BR$13)="",10^12,OFFSET(CRONOPLE!$F$14,$M212,BR$13))))</f>
        <v>0</v>
      </c>
      <c r="BS212" s="215">
        <f ca="1">IF($D212&lt;&gt;"Serviço",0,IF(AND(AUTOEVENTO="Manual",$M212=1),0,IF(OFFSET(CRONOPLE!$F$14,$M212,BS$13)="",10^12,OFFSET(CRONOPLE!$F$14,$M212,BS$13))))</f>
        <v>0</v>
      </c>
      <c r="BT212" s="215">
        <f ca="1">IF($D212&lt;&gt;"Serviço",0,IF(AND(AUTOEVENTO="Manual",$M212=1),0,IF(OFFSET(CRONOPLE!$F$14,$M212,BT$13)="",10^12,OFFSET(CRONOPLE!$F$14,$M212,BT$13))))</f>
        <v>0</v>
      </c>
      <c r="BV212" s="216">
        <f ca="1">IF($D212&lt;&gt;"Serviço",0,IF(OR(AND(AUTOEVENTO="Manual",$M212=1),$M212&gt;(ROW(PLE.lastrow)-ROW(PLE.firstrow))),0,IF(OFFSET(PLE!$G$14,$M212,BV$13)="",10^12,OFFSET(PLE!$G$14,$M212,BV$13))))</f>
        <v>0</v>
      </c>
      <c r="BW212" s="216">
        <f ca="1">IF($D212&lt;&gt;"Serviço",0,IF(OR(AND(AUTOEVENTO="Manual",$M212=1),$M212&gt;(ROW(PLE.lastrow)-ROW(PLE.firstrow))),0,IF(OFFSET(PLE!$G$14,$M212,BW$13)="",10^12,OFFSET(PLE!$G$14,$M212,BW$13))))</f>
        <v>0</v>
      </c>
      <c r="BX212" s="216">
        <f ca="1">IF($D212&lt;&gt;"Serviço",0,IF(OR(AND(AUTOEVENTO="Manual",$M212=1),$M212&gt;(ROW(PLE.lastrow)-ROW(PLE.firstrow))),0,IF(OFFSET(PLE!$G$14,$M212,BX$13)="",10^12,OFFSET(PLE!$G$14,$M212,BX$13))))</f>
        <v>0</v>
      </c>
      <c r="BY212" s="216">
        <f ca="1">IF($D212&lt;&gt;"Serviço",0,IF(OR(AND(AUTOEVENTO="Manual",$M212=1),$M212&gt;(ROW(PLE.lastrow)-ROW(PLE.firstrow))),0,IF(OFFSET(PLE!$G$14,$M212,BY$13)="",10^12,OFFSET(PLE!$G$14,$M212,BY$13))))</f>
        <v>0</v>
      </c>
      <c r="BZ212" s="216">
        <f ca="1">IF($D212&lt;&gt;"Serviço",0,IF(OR(AND(AUTOEVENTO="Manual",$M212=1),$M212&gt;(ROW(PLE.lastrow)-ROW(PLE.firstrow))),0,IF(OFFSET(PLE!$G$14,$M212,BZ$13)="",10^12,OFFSET(PLE!$G$14,$M212,BZ$13))))</f>
        <v>0</v>
      </c>
      <c r="CA212" s="216">
        <f ca="1">IF($D212&lt;&gt;"Serviço",0,IF(OR(AND(AUTOEVENTO="Manual",$M212=1),$M212&gt;(ROW(PLE.lastrow)-ROW(PLE.firstrow))),0,IF(OFFSET(PLE!$G$14,$M212,CA$13)="",10^12,OFFSET(PLE!$G$14,$M212,CA$13))))</f>
        <v>0</v>
      </c>
      <c r="CB212" s="216">
        <f ca="1">IF($D212&lt;&gt;"Serviço",0,IF(OR(AND(AUTOEVENTO="Manual",$M212=1),$M212&gt;(ROW(PLE.lastrow)-ROW(PLE.firstrow))),0,IF(OFFSET(PLE!$G$14,$M212,CB$13)="",10^12,OFFSET(PLE!$G$14,$M212,CB$13))))</f>
        <v>0</v>
      </c>
      <c r="CC212" s="216">
        <f ca="1">IF($D212&lt;&gt;"Serviço",0,IF(OR(AND(AUTOEVENTO="Manual",$M212=1),$M212&gt;(ROW(PLE.lastrow)-ROW(PLE.firstrow))),0,IF(OFFSET(PLE!$G$14,$M212,CC$13)="",10^12,OFFSET(PLE!$G$14,$M212,CC$13))))</f>
        <v>0</v>
      </c>
      <c r="CD212" s="216">
        <f ca="1">IF($D212&lt;&gt;"Serviço",0,IF(OR(AND(AUTOEVENTO="Manual",$M212=1),$M212&gt;(ROW(PLE.lastrow)-ROW(PLE.firstrow))),0,IF(OFFSET(PLE!$G$14,$M212,CD$13)="",10^12,OFFSET(PLE!$G$14,$M212,CD$13))))</f>
        <v>0</v>
      </c>
      <c r="CE212" s="216">
        <f ca="1">IF($D212&lt;&gt;"Serviço",0,IF(OR(AND(AUTOEVENTO="Manual",$M212=1),$M212&gt;(ROW(PLE.lastrow)-ROW(PLE.firstrow))),0,IF(OFFSET(PLE!$G$14,$M212,CE$13)="",10^12,OFFSET(PLE!$G$14,$M212,CE$13))))</f>
        <v>0</v>
      </c>
      <c r="CF212" s="216">
        <f ca="1">IF($D212&lt;&gt;"Serviço",0,IF(OR(AND(AUTOEVENTO="Manual",$M212=1),$M212&gt;(ROW(PLE.lastrow)-ROW(PLE.firstrow))),0,IF(OFFSET(PLE!$G$14,$M212,CF$13)="",10^12,OFFSET(PLE!$G$14,$M212,CF$13))))</f>
        <v>0</v>
      </c>
      <c r="CG212" s="216">
        <f ca="1">IF($D212&lt;&gt;"Serviço",0,IF(OR(AND(AUTOEVENTO="Manual",$M212=1),$M212&gt;(ROW(PLE.lastrow)-ROW(PLE.firstrow))),0,IF(OFFSET(PLE!$G$14,$M212,CG$13)="",10^12,OFFSET(PLE!$G$14,$M212,CG$13))))</f>
        <v>0</v>
      </c>
      <c r="CH212" s="216">
        <f ca="1">IF($D212&lt;&gt;"Serviço",0,IF(OR(AND(AUTOEVENTO="Manual",$M212=1),$M212&gt;(ROW(PLE.lastrow)-ROW(PLE.firstrow))),0,IF(OFFSET(PLE!$G$14,$M212,CH$13)="",10^12,OFFSET(PLE!$G$14,$M212,CH$13))))</f>
        <v>0</v>
      </c>
      <c r="CI212" s="216">
        <f ca="1">IF($D212&lt;&gt;"Serviço",0,IF(OR(AND(AUTOEVENTO="Manual",$M212=1),$M212&gt;(ROW(PLE.lastrow)-ROW(PLE.firstrow))),0,IF(OFFSET(PLE!$G$14,$M212,CI$13)="",10^12,OFFSET(PLE!$G$14,$M212,CI$13))))</f>
        <v>0</v>
      </c>
      <c r="CJ212" s="216">
        <f ca="1">IF($D212&lt;&gt;"Serviço",0,IF(OR(AND(AUTOEVENTO="Manual",$M212=1),$M212&gt;(ROW(PLE.lastrow)-ROW(PLE.firstrow))),0,IF(OFFSET(PLE!$G$14,$M212,CJ$13)="",10^12,OFFSET(PLE!$G$14,$M212,CJ$13))))</f>
        <v>0</v>
      </c>
      <c r="CK212" s="216">
        <f ca="1">IF($D212&lt;&gt;"Serviço",0,IF(OR(AND(AUTOEVENTO="Manual",$M212=1),$M212&gt;(ROW(PLE.lastrow)-ROW(PLE.firstrow))),0,IF(OFFSET(PLE!$G$14,$M212,CK$13)="",10^12,OFFSET(PLE!$G$14,$M212,CK$13))))</f>
        <v>0</v>
      </c>
      <c r="CL212" s="216">
        <f ca="1">IF($D212&lt;&gt;"Serviço",0,IF(OR(AND(AUTOEVENTO="Manual",$M212=1),$M212&gt;(ROW(PLE.lastrow)-ROW(PLE.firstrow))),0,IF(OFFSET(PLE!$G$14,$M212,CL$13)="",10^12,OFFSET(PLE!$G$14,$M212,CL$13))))</f>
        <v>0</v>
      </c>
      <c r="CM212" s="216">
        <f ca="1">IF($D212&lt;&gt;"Serviço",0,IF(OR(AND(AUTOEVENTO="Manual",$M212=1),$M212&gt;(ROW(PLE.lastrow)-ROW(PLE.firstrow))),0,IF(OFFSET(PLE!$G$14,$M212,CM$13)="",10^12,OFFSET(PLE!$G$14,$M212,CM$13))))</f>
        <v>0</v>
      </c>
    </row>
    <row r="213" spans="1:91" ht="13.2" x14ac:dyDescent="0.25">
      <c r="A213" s="9">
        <f t="shared" ca="1" si="12"/>
        <v>0</v>
      </c>
      <c r="B213" s="9" t="str">
        <f ca="1">OFFSET(ORÇAMENTO!C$15,ROW(B213)-ROW(B$15),0)</f>
        <v>S</v>
      </c>
      <c r="C213" s="9" t="str">
        <f ca="1">OFFSET(ORÇAMENTO!L$15,ROW(C213)-ROW(C$15),0)</f>
        <v/>
      </c>
      <c r="D213" s="145" t="str">
        <f ca="1">OFFSET(ORÇAMENTO!N$15,ROW(D213)-ROW(D$15),0)</f>
        <v>Serviço</v>
      </c>
      <c r="E213" s="205" t="str">
        <f ca="1">OFFSET(ORÇAMENTO!O$15,ROW(E213)-ROW(E$15),0)</f>
        <v>-</v>
      </c>
      <c r="F213" s="206" t="str">
        <f ca="1">OFFSET(ORÇAMENTO!R$15,ROW(F213)-ROW(F$15),0)</f>
        <v>(abra o arquivo 'Referência 05-2024.xls)</v>
      </c>
      <c r="G213" s="207" t="str">
        <f ca="1">IF($D213&lt;&gt;"Serviço","",OFFSET(ORÇAMENTO!S$15,ROW(G213)-ROW(G$15),0))</f>
        <v>-</v>
      </c>
      <c r="H213" s="151">
        <f ca="1">IF($D213&lt;&gt;"Serviço",0,IF(ACOMPANHAMENTO="BM",ROUND(OFFSET(ORÇAMENTO!AJ$15,ROW(H213)-ROW(H$15),0),15-13*ORÇAMENTO!$AF$7),SUMPRODUCT(($Q$12:$AI$12&lt;&gt;"")*ROUND($Q213:$AI213,15-13*ORÇAMENTO!$AF$7))))</f>
        <v>10.94</v>
      </c>
      <c r="I213" s="650"/>
      <c r="K213" s="208"/>
      <c r="L213" s="209" t="s">
        <v>257</v>
      </c>
      <c r="M213" s="210">
        <f ca="1">IF($D213&lt;&gt;"Serviço","",IF(AUTOEVENTO="manual",$A213,IF(ISERROR(MATCH($A213,$A$15:OFFSET($A213,-1,0),0)),MAX($M$15:OFFSET(M213,-1,0))+1,INDEX($M$15:OFFSET(M213,-1,0),MATCH($A213,$A$15:OFFSET($A213,-1,0),0)))))</f>
        <v>0</v>
      </c>
      <c r="N213" s="211" t="str">
        <f ca="1">IF($D213&lt;&gt;"Serviço","",IF(AUTOEVENTO="Manual",IF($A213=0,"&lt;-- defina o número do agrupador",OFFSET(EVENTOS!$D$14,$A213,0)),OFFSET($F$15,$A213,0)))</f>
        <v>&lt;-- defina o número do agrupador</v>
      </c>
      <c r="O213" s="212"/>
      <c r="Q213" s="212"/>
      <c r="R213" s="213"/>
      <c r="S213" s="213"/>
      <c r="T213" s="213"/>
      <c r="U213" s="213"/>
      <c r="V213" s="213"/>
      <c r="W213" s="213"/>
      <c r="X213" s="213"/>
      <c r="Y213" s="213"/>
      <c r="Z213" s="214"/>
      <c r="AA213" s="213"/>
      <c r="AB213" s="213"/>
      <c r="AC213" s="213"/>
      <c r="AD213" s="213"/>
      <c r="AE213" s="213"/>
      <c r="AF213" s="213"/>
      <c r="AG213" s="213"/>
      <c r="AH213" s="214"/>
      <c r="AJ213" s="631">
        <f ca="1">IF(AND($D213="Serviço",AJ$12&lt;&gt;0,$H213&gt;0,OR(AUTOEVENTO&lt;&gt;"manual",$M213&lt;&gt;1)),ROUND(OFFSET($P213,0,AJ$13),15-13*ORÇAMENTO!$AF$7)/$H213*OFFSET(ORÇAMENTO!$X$15,ROW(AJ213)-ROW(AJ$15),0),0)</f>
        <v>0</v>
      </c>
      <c r="AK213" s="632">
        <f ca="1">IF(AND($D213="Serviço",AK$12&lt;&gt;0,$H213&gt;0,OR(AUTOEVENTO&lt;&gt;"manual",$M213&lt;&gt;1)),ROUND(OFFSET($P213,0,AK$13),15-13*ORÇAMENTO!$AF$7)/$H213*OFFSET(ORÇAMENTO!$X$15,ROW(AK213)-ROW(AK$15),0),0)</f>
        <v>0</v>
      </c>
      <c r="AL213" s="632">
        <f ca="1">IF(AND($D213="Serviço",AL$12&lt;&gt;0,$H213&gt;0,OR(AUTOEVENTO&lt;&gt;"manual",$M213&lt;&gt;1)),ROUND(OFFSET($P213,0,AL$13),15-13*ORÇAMENTO!$AF$7)/$H213*OFFSET(ORÇAMENTO!$X$15,ROW(AL213)-ROW(AL$15),0),0)</f>
        <v>0</v>
      </c>
      <c r="AM213" s="632">
        <f ca="1">IF(AND($D213="Serviço",AM$12&lt;&gt;0,$H213&gt;0,OR(AUTOEVENTO&lt;&gt;"manual",$M213&lt;&gt;1)),ROUND(OFFSET($P213,0,AM$13),15-13*ORÇAMENTO!$AF$7)/$H213*OFFSET(ORÇAMENTO!$X$15,ROW(AM213)-ROW(AM$15),0),0)</f>
        <v>0</v>
      </c>
      <c r="AN213" s="632">
        <f ca="1">IF(AND($D213="Serviço",AN$12&lt;&gt;0,$H213&gt;0,OR(AUTOEVENTO&lt;&gt;"manual",$M213&lt;&gt;1)),ROUND(OFFSET($P213,0,AN$13),15-13*ORÇAMENTO!$AF$7)/$H213*OFFSET(ORÇAMENTO!$X$15,ROW(AN213)-ROW(AN$15),0),0)</f>
        <v>0</v>
      </c>
      <c r="AO213" s="632">
        <f ca="1">IF(AND($D213="Serviço",AO$12&lt;&gt;0,$H213&gt;0,OR(AUTOEVENTO&lt;&gt;"manual",$M213&lt;&gt;1)),ROUND(OFFSET($P213,0,AO$13),15-13*ORÇAMENTO!$AF$7)/$H213*OFFSET(ORÇAMENTO!$X$15,ROW(AO213)-ROW(AO$15),0),0)</f>
        <v>0</v>
      </c>
      <c r="AP213" s="632">
        <f ca="1">IF(AND($D213="Serviço",AP$12&lt;&gt;0,$H213&gt;0,OR(AUTOEVENTO&lt;&gt;"manual",$M213&lt;&gt;1)),ROUND(OFFSET($P213,0,AP$13),15-13*ORÇAMENTO!$AF$7)/$H213*OFFSET(ORÇAMENTO!$X$15,ROW(AP213)-ROW(AP$15),0),0)</f>
        <v>0</v>
      </c>
      <c r="AQ213" s="632">
        <f ca="1">IF(AND($D213="Serviço",AQ$12&lt;&gt;0,$H213&gt;0,OR(AUTOEVENTO&lt;&gt;"manual",$M213&lt;&gt;1)),ROUND(OFFSET($P213,0,AQ$13),15-13*ORÇAMENTO!$AF$7)/$H213*OFFSET(ORÇAMENTO!$X$15,ROW(AQ213)-ROW(AQ$15),0),0)</f>
        <v>0</v>
      </c>
      <c r="AR213" s="632">
        <f ca="1">IF(AND($D213="Serviço",AR$12&lt;&gt;0,$H213&gt;0,OR(AUTOEVENTO&lt;&gt;"manual",$M213&lt;&gt;1)),ROUND(OFFSET($P213,0,AR$13),15-13*ORÇAMENTO!$AF$7)/$H213*OFFSET(ORÇAMENTO!$X$15,ROW(AR213)-ROW(AR$15),0),0)</f>
        <v>0</v>
      </c>
      <c r="AS213" s="633">
        <f ca="1">IF(AND($D213="Serviço",AS$12&lt;&gt;0,$H213&gt;0,OR(AUTOEVENTO&lt;&gt;"manual",$M213&lt;&gt;1)),ROUND(OFFSET($P213,0,AS$13),15-13*ORÇAMENTO!$AF$7)/$H213*OFFSET(ORÇAMENTO!$X$15,ROW(AS213)-ROW(AS$15),0),0)</f>
        <v>0</v>
      </c>
      <c r="AT213" s="632">
        <f ca="1">IF(AND($D213="Serviço",AT$12&lt;&gt;0,$H213&gt;0,OR(AUTOEVENTO&lt;&gt;"manual",$M213&lt;&gt;1)),ROUND(OFFSET($P213,0,AT$13),15-13*ORÇAMENTO!$AF$7)/$H213*OFFSET(ORÇAMENTO!$X$15,ROW(AT213)-ROW(AT$15),0),0)</f>
        <v>0</v>
      </c>
      <c r="AU213" s="632">
        <f ca="1">IF(AND($D213="Serviço",AU$12&lt;&gt;0,$H213&gt;0,OR(AUTOEVENTO&lt;&gt;"manual",$M213&lt;&gt;1)),ROUND(OFFSET($P213,0,AU$13),15-13*ORÇAMENTO!$AF$7)/$H213*OFFSET(ORÇAMENTO!$X$15,ROW(AU213)-ROW(AU$15),0),0)</f>
        <v>0</v>
      </c>
      <c r="AV213" s="632">
        <f ca="1">IF(AND($D213="Serviço",AV$12&lt;&gt;0,$H213&gt;0,OR(AUTOEVENTO&lt;&gt;"manual",$M213&lt;&gt;1)),ROUND(OFFSET($P213,0,AV$13),15-13*ORÇAMENTO!$AF$7)/$H213*OFFSET(ORÇAMENTO!$X$15,ROW(AV213)-ROW(AV$15),0),0)</f>
        <v>0</v>
      </c>
      <c r="AW213" s="632">
        <f ca="1">IF(AND($D213="Serviço",AW$12&lt;&gt;0,$H213&gt;0,OR(AUTOEVENTO&lt;&gt;"manual",$M213&lt;&gt;1)),ROUND(OFFSET($P213,0,AW$13),15-13*ORÇAMENTO!$AF$7)/$H213*OFFSET(ORÇAMENTO!$X$15,ROW(AW213)-ROW(AW$15),0),0)</f>
        <v>0</v>
      </c>
      <c r="AX213" s="632">
        <f ca="1">IF(AND($D213="Serviço",AX$12&lt;&gt;0,$H213&gt;0,OR(AUTOEVENTO&lt;&gt;"manual",$M213&lt;&gt;1)),ROUND(OFFSET($P213,0,AX$13),15-13*ORÇAMENTO!$AF$7)/$H213*OFFSET(ORÇAMENTO!$X$15,ROW(AX213)-ROW(AX$15),0),0)</f>
        <v>0</v>
      </c>
      <c r="AY213" s="632">
        <f ca="1">IF(AND($D213="Serviço",AY$12&lt;&gt;0,$H213&gt;0,OR(AUTOEVENTO&lt;&gt;"manual",$M213&lt;&gt;1)),ROUND(OFFSET($P213,0,AY$13),15-13*ORÇAMENTO!$AF$7)/$H213*OFFSET(ORÇAMENTO!$X$15,ROW(AY213)-ROW(AY$15),0),0)</f>
        <v>0</v>
      </c>
      <c r="AZ213" s="632">
        <f ca="1">IF(AND($D213="Serviço",AZ$12&lt;&gt;0,$H213&gt;0,OR(AUTOEVENTO&lt;&gt;"manual",$M213&lt;&gt;1)),ROUND(OFFSET($P213,0,AZ$13),15-13*ORÇAMENTO!$AF$7)/$H213*OFFSET(ORÇAMENTO!$X$15,ROW(AZ213)-ROW(AZ$15),0),0)</f>
        <v>0</v>
      </c>
      <c r="BA213" s="633">
        <f ca="1">IF(AND($D213="Serviço",BA$12&lt;&gt;0,$H213&gt;0,OR(AUTOEVENTO&lt;&gt;"manual",$M213&lt;&gt;1)),ROUND(OFFSET($P213,0,BA$13),15-13*ORÇAMENTO!$AF$7)/$H213*OFFSET(ORÇAMENTO!$X$15,ROW(BA213)-ROW(BA$15),0),0)</f>
        <v>0</v>
      </c>
      <c r="BC213" s="215">
        <f ca="1">IF($D213&lt;&gt;"Serviço",0,IF(AND(AUTOEVENTO="Manual",$M213=1),0,IF(OFFSET(CRONOPLE!$F$14,$M213,BC$13)="",10^12,OFFSET(CRONOPLE!$F$14,$M213,BC$13))))</f>
        <v>1000000000000</v>
      </c>
      <c r="BD213" s="215">
        <f ca="1">IF($D213&lt;&gt;"Serviço",0,IF(AND(AUTOEVENTO="Manual",$M213=1),0,IF(OFFSET(CRONOPLE!$F$14,$M213,BD$13)="",10^12,OFFSET(CRONOPLE!$F$14,$M213,BD$13))))</f>
        <v>1000000000000</v>
      </c>
      <c r="BE213" s="215">
        <f ca="1">IF($D213&lt;&gt;"Serviço",0,IF(AND(AUTOEVENTO="Manual",$M213=1),0,IF(OFFSET(CRONOPLE!$F$14,$M213,BE$13)="",10^12,OFFSET(CRONOPLE!$F$14,$M213,BE$13))))</f>
        <v>1000000000000</v>
      </c>
      <c r="BF213" s="215">
        <f ca="1">IF($D213&lt;&gt;"Serviço",0,IF(AND(AUTOEVENTO="Manual",$M213=1),0,IF(OFFSET(CRONOPLE!$F$14,$M213,BF$13)="",10^12,OFFSET(CRONOPLE!$F$14,$M213,BF$13))))</f>
        <v>1000000000000</v>
      </c>
      <c r="BG213" s="215">
        <f ca="1">IF($D213&lt;&gt;"Serviço",0,IF(AND(AUTOEVENTO="Manual",$M213=1),0,IF(OFFSET(CRONOPLE!$F$14,$M213,BG$13)="",10^12,OFFSET(CRONOPLE!$F$14,$M213,BG$13))))</f>
        <v>1000000000000</v>
      </c>
      <c r="BH213" s="215">
        <f ca="1">IF($D213&lt;&gt;"Serviço",0,IF(AND(AUTOEVENTO="Manual",$M213=1),0,IF(OFFSET(CRONOPLE!$F$14,$M213,BH$13)="",10^12,OFFSET(CRONOPLE!$F$14,$M213,BH$13))))</f>
        <v>1000000000000</v>
      </c>
      <c r="BI213" s="215">
        <f ca="1">IF($D213&lt;&gt;"Serviço",0,IF(AND(AUTOEVENTO="Manual",$M213=1),0,IF(OFFSET(CRONOPLE!$F$14,$M213,BI$13)="",10^12,OFFSET(CRONOPLE!$F$14,$M213,BI$13))))</f>
        <v>1000000000000</v>
      </c>
      <c r="BJ213" s="215">
        <f ca="1">IF($D213&lt;&gt;"Serviço",0,IF(AND(AUTOEVENTO="Manual",$M213=1),0,IF(OFFSET(CRONOPLE!$F$14,$M213,BJ$13)="",10^12,OFFSET(CRONOPLE!$F$14,$M213,BJ$13))))</f>
        <v>1000000000000</v>
      </c>
      <c r="BK213" s="215">
        <f ca="1">IF($D213&lt;&gt;"Serviço",0,IF(AND(AUTOEVENTO="Manual",$M213=1),0,IF(OFFSET(CRONOPLE!$F$14,$M213,BK$13)="",10^12,OFFSET(CRONOPLE!$F$14,$M213,BK$13))))</f>
        <v>1000000000000</v>
      </c>
      <c r="BL213" s="215">
        <f ca="1">IF($D213&lt;&gt;"Serviço",0,IF(AND(AUTOEVENTO="Manual",$M213=1),0,IF(OFFSET(CRONOPLE!$F$14,$M213,BL$13)="",10^12,OFFSET(CRONOPLE!$F$14,$M213,BL$13))))</f>
        <v>1000000000000</v>
      </c>
      <c r="BM213" s="215">
        <f ca="1">IF($D213&lt;&gt;"Serviço",0,IF(AND(AUTOEVENTO="Manual",$M213=1),0,IF(OFFSET(CRONOPLE!$F$14,$M213,BM$13)="",10^12,OFFSET(CRONOPLE!$F$14,$M213,BM$13))))</f>
        <v>1000000000000</v>
      </c>
      <c r="BN213" s="215">
        <f ca="1">IF($D213&lt;&gt;"Serviço",0,IF(AND(AUTOEVENTO="Manual",$M213=1),0,IF(OFFSET(CRONOPLE!$F$14,$M213,BN$13)="",10^12,OFFSET(CRONOPLE!$F$14,$M213,BN$13))))</f>
        <v>1000000000000</v>
      </c>
      <c r="BO213" s="215">
        <f ca="1">IF($D213&lt;&gt;"Serviço",0,IF(AND(AUTOEVENTO="Manual",$M213=1),0,IF(OFFSET(CRONOPLE!$F$14,$M213,BO$13)="",10^12,OFFSET(CRONOPLE!$F$14,$M213,BO$13))))</f>
        <v>1000000000000</v>
      </c>
      <c r="BP213" s="215">
        <f ca="1">IF($D213&lt;&gt;"Serviço",0,IF(AND(AUTOEVENTO="Manual",$M213=1),0,IF(OFFSET(CRONOPLE!$F$14,$M213,BP$13)="",10^12,OFFSET(CRONOPLE!$F$14,$M213,BP$13))))</f>
        <v>1000000000000</v>
      </c>
      <c r="BQ213" s="215">
        <f ca="1">IF($D213&lt;&gt;"Serviço",0,IF(AND(AUTOEVENTO="Manual",$M213=1),0,IF(OFFSET(CRONOPLE!$F$14,$M213,BQ$13)="",10^12,OFFSET(CRONOPLE!$F$14,$M213,BQ$13))))</f>
        <v>1000000000000</v>
      </c>
      <c r="BR213" s="215">
        <f ca="1">IF($D213&lt;&gt;"Serviço",0,IF(AND(AUTOEVENTO="Manual",$M213=1),0,IF(OFFSET(CRONOPLE!$F$14,$M213,BR$13)="",10^12,OFFSET(CRONOPLE!$F$14,$M213,BR$13))))</f>
        <v>1000000000000</v>
      </c>
      <c r="BS213" s="215">
        <f ca="1">IF($D213&lt;&gt;"Serviço",0,IF(AND(AUTOEVENTO="Manual",$M213=1),0,IF(OFFSET(CRONOPLE!$F$14,$M213,BS$13)="",10^12,OFFSET(CRONOPLE!$F$14,$M213,BS$13))))</f>
        <v>1000000000000</v>
      </c>
      <c r="BT213" s="215">
        <f ca="1">IF($D213&lt;&gt;"Serviço",0,IF(AND(AUTOEVENTO="Manual",$M213=1),0,IF(OFFSET(CRONOPLE!$F$14,$M213,BT$13)="",10^12,OFFSET(CRONOPLE!$F$14,$M213,BT$13))))</f>
        <v>1000000000000</v>
      </c>
      <c r="BV213" s="216">
        <f ca="1">IF($D213&lt;&gt;"Serviço",0,IF(OR(AND(AUTOEVENTO="Manual",$M213=1),$M213&gt;(ROW(PLE.lastrow)-ROW(PLE.firstrow))),0,IF(OFFSET(PLE!$G$14,$M213,BV$13)="",10^12,OFFSET(PLE!$G$14,$M213,BV$13))))</f>
        <v>1000000000000</v>
      </c>
      <c r="BW213" s="216">
        <f ca="1">IF($D213&lt;&gt;"Serviço",0,IF(OR(AND(AUTOEVENTO="Manual",$M213=1),$M213&gt;(ROW(PLE.lastrow)-ROW(PLE.firstrow))),0,IF(OFFSET(PLE!$G$14,$M213,BW$13)="",10^12,OFFSET(PLE!$G$14,$M213,BW$13))))</f>
        <v>1000000000000</v>
      </c>
      <c r="BX213" s="216">
        <f ca="1">IF($D213&lt;&gt;"Serviço",0,IF(OR(AND(AUTOEVENTO="Manual",$M213=1),$M213&gt;(ROW(PLE.lastrow)-ROW(PLE.firstrow))),0,IF(OFFSET(PLE!$G$14,$M213,BX$13)="",10^12,OFFSET(PLE!$G$14,$M213,BX$13))))</f>
        <v>1000000000000</v>
      </c>
      <c r="BY213" s="216">
        <f ca="1">IF($D213&lt;&gt;"Serviço",0,IF(OR(AND(AUTOEVENTO="Manual",$M213=1),$M213&gt;(ROW(PLE.lastrow)-ROW(PLE.firstrow))),0,IF(OFFSET(PLE!$G$14,$M213,BY$13)="",10^12,OFFSET(PLE!$G$14,$M213,BY$13))))</f>
        <v>1000000000000</v>
      </c>
      <c r="BZ213" s="216">
        <f ca="1">IF($D213&lt;&gt;"Serviço",0,IF(OR(AND(AUTOEVENTO="Manual",$M213=1),$M213&gt;(ROW(PLE.lastrow)-ROW(PLE.firstrow))),0,IF(OFFSET(PLE!$G$14,$M213,BZ$13)="",10^12,OFFSET(PLE!$G$14,$M213,BZ$13))))</f>
        <v>1000000000000</v>
      </c>
      <c r="CA213" s="216">
        <f ca="1">IF($D213&lt;&gt;"Serviço",0,IF(OR(AND(AUTOEVENTO="Manual",$M213=1),$M213&gt;(ROW(PLE.lastrow)-ROW(PLE.firstrow))),0,IF(OFFSET(PLE!$G$14,$M213,CA$13)="",10^12,OFFSET(PLE!$G$14,$M213,CA$13))))</f>
        <v>1000000000000</v>
      </c>
      <c r="CB213" s="216">
        <f ca="1">IF($D213&lt;&gt;"Serviço",0,IF(OR(AND(AUTOEVENTO="Manual",$M213=1),$M213&gt;(ROW(PLE.lastrow)-ROW(PLE.firstrow))),0,IF(OFFSET(PLE!$G$14,$M213,CB$13)="",10^12,OFFSET(PLE!$G$14,$M213,CB$13))))</f>
        <v>1000000000000</v>
      </c>
      <c r="CC213" s="216">
        <f ca="1">IF($D213&lt;&gt;"Serviço",0,IF(OR(AND(AUTOEVENTO="Manual",$M213=1),$M213&gt;(ROW(PLE.lastrow)-ROW(PLE.firstrow))),0,IF(OFFSET(PLE!$G$14,$M213,CC$13)="",10^12,OFFSET(PLE!$G$14,$M213,CC$13))))</f>
        <v>1000000000000</v>
      </c>
      <c r="CD213" s="216">
        <f ca="1">IF($D213&lt;&gt;"Serviço",0,IF(OR(AND(AUTOEVENTO="Manual",$M213=1),$M213&gt;(ROW(PLE.lastrow)-ROW(PLE.firstrow))),0,IF(OFFSET(PLE!$G$14,$M213,CD$13)="",10^12,OFFSET(PLE!$G$14,$M213,CD$13))))</f>
        <v>1000000000000</v>
      </c>
      <c r="CE213" s="216">
        <f ca="1">IF($D213&lt;&gt;"Serviço",0,IF(OR(AND(AUTOEVENTO="Manual",$M213=1),$M213&gt;(ROW(PLE.lastrow)-ROW(PLE.firstrow))),0,IF(OFFSET(PLE!$G$14,$M213,CE$13)="",10^12,OFFSET(PLE!$G$14,$M213,CE$13))))</f>
        <v>1000000000000</v>
      </c>
      <c r="CF213" s="216">
        <f ca="1">IF($D213&lt;&gt;"Serviço",0,IF(OR(AND(AUTOEVENTO="Manual",$M213=1),$M213&gt;(ROW(PLE.lastrow)-ROW(PLE.firstrow))),0,IF(OFFSET(PLE!$G$14,$M213,CF$13)="",10^12,OFFSET(PLE!$G$14,$M213,CF$13))))</f>
        <v>1000000000000</v>
      </c>
      <c r="CG213" s="216">
        <f ca="1">IF($D213&lt;&gt;"Serviço",0,IF(OR(AND(AUTOEVENTO="Manual",$M213=1),$M213&gt;(ROW(PLE.lastrow)-ROW(PLE.firstrow))),0,IF(OFFSET(PLE!$G$14,$M213,CG$13)="",10^12,OFFSET(PLE!$G$14,$M213,CG$13))))</f>
        <v>1000000000000</v>
      </c>
      <c r="CH213" s="216">
        <f ca="1">IF($D213&lt;&gt;"Serviço",0,IF(OR(AND(AUTOEVENTO="Manual",$M213=1),$M213&gt;(ROW(PLE.lastrow)-ROW(PLE.firstrow))),0,IF(OFFSET(PLE!$G$14,$M213,CH$13)="",10^12,OFFSET(PLE!$G$14,$M213,CH$13))))</f>
        <v>1000000000000</v>
      </c>
      <c r="CI213" s="216">
        <f ca="1">IF($D213&lt;&gt;"Serviço",0,IF(OR(AND(AUTOEVENTO="Manual",$M213=1),$M213&gt;(ROW(PLE.lastrow)-ROW(PLE.firstrow))),0,IF(OFFSET(PLE!$G$14,$M213,CI$13)="",10^12,OFFSET(PLE!$G$14,$M213,CI$13))))</f>
        <v>1000000000000</v>
      </c>
      <c r="CJ213" s="216">
        <f ca="1">IF($D213&lt;&gt;"Serviço",0,IF(OR(AND(AUTOEVENTO="Manual",$M213=1),$M213&gt;(ROW(PLE.lastrow)-ROW(PLE.firstrow))),0,IF(OFFSET(PLE!$G$14,$M213,CJ$13)="",10^12,OFFSET(PLE!$G$14,$M213,CJ$13))))</f>
        <v>1000000000000</v>
      </c>
      <c r="CK213" s="216">
        <f ca="1">IF($D213&lt;&gt;"Serviço",0,IF(OR(AND(AUTOEVENTO="Manual",$M213=1),$M213&gt;(ROW(PLE.lastrow)-ROW(PLE.firstrow))),0,IF(OFFSET(PLE!$G$14,$M213,CK$13)="",10^12,OFFSET(PLE!$G$14,$M213,CK$13))))</f>
        <v>1000000000000</v>
      </c>
      <c r="CL213" s="216">
        <f ca="1">IF($D213&lt;&gt;"Serviço",0,IF(OR(AND(AUTOEVENTO="Manual",$M213=1),$M213&gt;(ROW(PLE.lastrow)-ROW(PLE.firstrow))),0,IF(OFFSET(PLE!$G$14,$M213,CL$13)="",10^12,OFFSET(PLE!$G$14,$M213,CL$13))))</f>
        <v>1000000000000</v>
      </c>
      <c r="CM213" s="216">
        <f ca="1">IF($D213&lt;&gt;"Serviço",0,IF(OR(AND(AUTOEVENTO="Manual",$M213=1),$M213&gt;(ROW(PLE.lastrow)-ROW(PLE.firstrow))),0,IF(OFFSET(PLE!$G$14,$M213,CM$13)="",10^12,OFFSET(PLE!$G$14,$M213,CM$13))))</f>
        <v>1000000000000</v>
      </c>
    </row>
    <row r="214" spans="1:91" ht="13.2" x14ac:dyDescent="0.25">
      <c r="A214" s="9">
        <f t="shared" ca="1" si="12"/>
        <v>0</v>
      </c>
      <c r="B214" s="9" t="str">
        <f ca="1">OFFSET(ORÇAMENTO!C$15,ROW(B214)-ROW(B$15),0)</f>
        <v>S</v>
      </c>
      <c r="C214" s="9" t="str">
        <f ca="1">OFFSET(ORÇAMENTO!L$15,ROW(C214)-ROW(C$15),0)</f>
        <v/>
      </c>
      <c r="D214" s="145" t="str">
        <f ca="1">OFFSET(ORÇAMENTO!N$15,ROW(D214)-ROW(D$15),0)</f>
        <v>Serviço</v>
      </c>
      <c r="E214" s="205" t="str">
        <f ca="1">OFFSET(ORÇAMENTO!O$15,ROW(E214)-ROW(E$15),0)</f>
        <v>-</v>
      </c>
      <c r="F214" s="206" t="str">
        <f ca="1">OFFSET(ORÇAMENTO!R$15,ROW(F214)-ROW(F$15),0)</f>
        <v>(abra o arquivo 'Referência 05-2024.xls)</v>
      </c>
      <c r="G214" s="207" t="str">
        <f ca="1">IF($D214&lt;&gt;"Serviço","",OFFSET(ORÇAMENTO!S$15,ROW(G214)-ROW(G$15),0))</f>
        <v>-</v>
      </c>
      <c r="H214" s="151">
        <f ca="1">IF($D214&lt;&gt;"Serviço",0,IF(ACOMPANHAMENTO="BM",ROUND(OFFSET(ORÇAMENTO!AJ$15,ROW(H214)-ROW(H$15),0),15-13*ORÇAMENTO!$AF$7),SUMPRODUCT(($Q$12:$AI$12&lt;&gt;"")*ROUND($Q214:$AI214,15-13*ORÇAMENTO!$AF$7))))</f>
        <v>9.92</v>
      </c>
      <c r="I214" s="650"/>
      <c r="K214" s="208"/>
      <c r="L214" s="209" t="s">
        <v>257</v>
      </c>
      <c r="M214" s="210">
        <f ca="1">IF($D214&lt;&gt;"Serviço","",IF(AUTOEVENTO="manual",$A214,IF(ISERROR(MATCH($A214,$A$15:OFFSET($A214,-1,0),0)),MAX($M$15:OFFSET(M214,-1,0))+1,INDEX($M$15:OFFSET(M214,-1,0),MATCH($A214,$A$15:OFFSET($A214,-1,0),0)))))</f>
        <v>0</v>
      </c>
      <c r="N214" s="211" t="str">
        <f ca="1">IF($D214&lt;&gt;"Serviço","",IF(AUTOEVENTO="Manual",IF($A214=0,"&lt;-- defina o número do agrupador",OFFSET(EVENTOS!$D$14,$A214,0)),OFFSET($F$15,$A214,0)))</f>
        <v>&lt;-- defina o número do agrupador</v>
      </c>
      <c r="O214" s="212"/>
      <c r="Q214" s="212"/>
      <c r="R214" s="213"/>
      <c r="S214" s="213"/>
      <c r="T214" s="213"/>
      <c r="U214" s="213"/>
      <c r="V214" s="213"/>
      <c r="W214" s="213"/>
      <c r="X214" s="213"/>
      <c r="Y214" s="213"/>
      <c r="Z214" s="214"/>
      <c r="AA214" s="213"/>
      <c r="AB214" s="213"/>
      <c r="AC214" s="213"/>
      <c r="AD214" s="213"/>
      <c r="AE214" s="213"/>
      <c r="AF214" s="213"/>
      <c r="AG214" s="213"/>
      <c r="AH214" s="214"/>
      <c r="AJ214" s="631">
        <f ca="1">IF(AND($D214="Serviço",AJ$12&lt;&gt;0,$H214&gt;0,OR(AUTOEVENTO&lt;&gt;"manual",$M214&lt;&gt;1)),ROUND(OFFSET($P214,0,AJ$13),15-13*ORÇAMENTO!$AF$7)/$H214*OFFSET(ORÇAMENTO!$X$15,ROW(AJ214)-ROW(AJ$15),0),0)</f>
        <v>0</v>
      </c>
      <c r="AK214" s="632">
        <f ca="1">IF(AND($D214="Serviço",AK$12&lt;&gt;0,$H214&gt;0,OR(AUTOEVENTO&lt;&gt;"manual",$M214&lt;&gt;1)),ROUND(OFFSET($P214,0,AK$13),15-13*ORÇAMENTO!$AF$7)/$H214*OFFSET(ORÇAMENTO!$X$15,ROW(AK214)-ROW(AK$15),0),0)</f>
        <v>0</v>
      </c>
      <c r="AL214" s="632">
        <f ca="1">IF(AND($D214="Serviço",AL$12&lt;&gt;0,$H214&gt;0,OR(AUTOEVENTO&lt;&gt;"manual",$M214&lt;&gt;1)),ROUND(OFFSET($P214,0,AL$13),15-13*ORÇAMENTO!$AF$7)/$H214*OFFSET(ORÇAMENTO!$X$15,ROW(AL214)-ROW(AL$15),0),0)</f>
        <v>0</v>
      </c>
      <c r="AM214" s="632">
        <f ca="1">IF(AND($D214="Serviço",AM$12&lt;&gt;0,$H214&gt;0,OR(AUTOEVENTO&lt;&gt;"manual",$M214&lt;&gt;1)),ROUND(OFFSET($P214,0,AM$13),15-13*ORÇAMENTO!$AF$7)/$H214*OFFSET(ORÇAMENTO!$X$15,ROW(AM214)-ROW(AM$15),0),0)</f>
        <v>0</v>
      </c>
      <c r="AN214" s="632">
        <f ca="1">IF(AND($D214="Serviço",AN$12&lt;&gt;0,$H214&gt;0,OR(AUTOEVENTO&lt;&gt;"manual",$M214&lt;&gt;1)),ROUND(OFFSET($P214,0,AN$13),15-13*ORÇAMENTO!$AF$7)/$H214*OFFSET(ORÇAMENTO!$X$15,ROW(AN214)-ROW(AN$15),0),0)</f>
        <v>0</v>
      </c>
      <c r="AO214" s="632">
        <f ca="1">IF(AND($D214="Serviço",AO$12&lt;&gt;0,$H214&gt;0,OR(AUTOEVENTO&lt;&gt;"manual",$M214&lt;&gt;1)),ROUND(OFFSET($P214,0,AO$13),15-13*ORÇAMENTO!$AF$7)/$H214*OFFSET(ORÇAMENTO!$X$15,ROW(AO214)-ROW(AO$15),0),0)</f>
        <v>0</v>
      </c>
      <c r="AP214" s="632">
        <f ca="1">IF(AND($D214="Serviço",AP$12&lt;&gt;0,$H214&gt;0,OR(AUTOEVENTO&lt;&gt;"manual",$M214&lt;&gt;1)),ROUND(OFFSET($P214,0,AP$13),15-13*ORÇAMENTO!$AF$7)/$H214*OFFSET(ORÇAMENTO!$X$15,ROW(AP214)-ROW(AP$15),0),0)</f>
        <v>0</v>
      </c>
      <c r="AQ214" s="632">
        <f ca="1">IF(AND($D214="Serviço",AQ$12&lt;&gt;0,$H214&gt;0,OR(AUTOEVENTO&lt;&gt;"manual",$M214&lt;&gt;1)),ROUND(OFFSET($P214,0,AQ$13),15-13*ORÇAMENTO!$AF$7)/$H214*OFFSET(ORÇAMENTO!$X$15,ROW(AQ214)-ROW(AQ$15),0),0)</f>
        <v>0</v>
      </c>
      <c r="AR214" s="632">
        <f ca="1">IF(AND($D214="Serviço",AR$12&lt;&gt;0,$H214&gt;0,OR(AUTOEVENTO&lt;&gt;"manual",$M214&lt;&gt;1)),ROUND(OFFSET($P214,0,AR$13),15-13*ORÇAMENTO!$AF$7)/$H214*OFFSET(ORÇAMENTO!$X$15,ROW(AR214)-ROW(AR$15),0),0)</f>
        <v>0</v>
      </c>
      <c r="AS214" s="633">
        <f ca="1">IF(AND($D214="Serviço",AS$12&lt;&gt;0,$H214&gt;0,OR(AUTOEVENTO&lt;&gt;"manual",$M214&lt;&gt;1)),ROUND(OFFSET($P214,0,AS$13),15-13*ORÇAMENTO!$AF$7)/$H214*OFFSET(ORÇAMENTO!$X$15,ROW(AS214)-ROW(AS$15),0),0)</f>
        <v>0</v>
      </c>
      <c r="AT214" s="632">
        <f ca="1">IF(AND($D214="Serviço",AT$12&lt;&gt;0,$H214&gt;0,OR(AUTOEVENTO&lt;&gt;"manual",$M214&lt;&gt;1)),ROUND(OFFSET($P214,0,AT$13),15-13*ORÇAMENTO!$AF$7)/$H214*OFFSET(ORÇAMENTO!$X$15,ROW(AT214)-ROW(AT$15),0),0)</f>
        <v>0</v>
      </c>
      <c r="AU214" s="632">
        <f ca="1">IF(AND($D214="Serviço",AU$12&lt;&gt;0,$H214&gt;0,OR(AUTOEVENTO&lt;&gt;"manual",$M214&lt;&gt;1)),ROUND(OFFSET($P214,0,AU$13),15-13*ORÇAMENTO!$AF$7)/$H214*OFFSET(ORÇAMENTO!$X$15,ROW(AU214)-ROW(AU$15),0),0)</f>
        <v>0</v>
      </c>
      <c r="AV214" s="632">
        <f ca="1">IF(AND($D214="Serviço",AV$12&lt;&gt;0,$H214&gt;0,OR(AUTOEVENTO&lt;&gt;"manual",$M214&lt;&gt;1)),ROUND(OFFSET($P214,0,AV$13),15-13*ORÇAMENTO!$AF$7)/$H214*OFFSET(ORÇAMENTO!$X$15,ROW(AV214)-ROW(AV$15),0),0)</f>
        <v>0</v>
      </c>
      <c r="AW214" s="632">
        <f ca="1">IF(AND($D214="Serviço",AW$12&lt;&gt;0,$H214&gt;0,OR(AUTOEVENTO&lt;&gt;"manual",$M214&lt;&gt;1)),ROUND(OFFSET($P214,0,AW$13),15-13*ORÇAMENTO!$AF$7)/$H214*OFFSET(ORÇAMENTO!$X$15,ROW(AW214)-ROW(AW$15),0),0)</f>
        <v>0</v>
      </c>
      <c r="AX214" s="632">
        <f ca="1">IF(AND($D214="Serviço",AX$12&lt;&gt;0,$H214&gt;0,OR(AUTOEVENTO&lt;&gt;"manual",$M214&lt;&gt;1)),ROUND(OFFSET($P214,0,AX$13),15-13*ORÇAMENTO!$AF$7)/$H214*OFFSET(ORÇAMENTO!$X$15,ROW(AX214)-ROW(AX$15),0),0)</f>
        <v>0</v>
      </c>
      <c r="AY214" s="632">
        <f ca="1">IF(AND($D214="Serviço",AY$12&lt;&gt;0,$H214&gt;0,OR(AUTOEVENTO&lt;&gt;"manual",$M214&lt;&gt;1)),ROUND(OFFSET($P214,0,AY$13),15-13*ORÇAMENTO!$AF$7)/$H214*OFFSET(ORÇAMENTO!$X$15,ROW(AY214)-ROW(AY$15),0),0)</f>
        <v>0</v>
      </c>
      <c r="AZ214" s="632">
        <f ca="1">IF(AND($D214="Serviço",AZ$12&lt;&gt;0,$H214&gt;0,OR(AUTOEVENTO&lt;&gt;"manual",$M214&lt;&gt;1)),ROUND(OFFSET($P214,0,AZ$13),15-13*ORÇAMENTO!$AF$7)/$H214*OFFSET(ORÇAMENTO!$X$15,ROW(AZ214)-ROW(AZ$15),0),0)</f>
        <v>0</v>
      </c>
      <c r="BA214" s="633">
        <f ca="1">IF(AND($D214="Serviço",BA$12&lt;&gt;0,$H214&gt;0,OR(AUTOEVENTO&lt;&gt;"manual",$M214&lt;&gt;1)),ROUND(OFFSET($P214,0,BA$13),15-13*ORÇAMENTO!$AF$7)/$H214*OFFSET(ORÇAMENTO!$X$15,ROW(BA214)-ROW(BA$15),0),0)</f>
        <v>0</v>
      </c>
      <c r="BC214" s="215">
        <f ca="1">IF($D214&lt;&gt;"Serviço",0,IF(AND(AUTOEVENTO="Manual",$M214=1),0,IF(OFFSET(CRONOPLE!$F$14,$M214,BC$13)="",10^12,OFFSET(CRONOPLE!$F$14,$M214,BC$13))))</f>
        <v>1000000000000</v>
      </c>
      <c r="BD214" s="215">
        <f ca="1">IF($D214&lt;&gt;"Serviço",0,IF(AND(AUTOEVENTO="Manual",$M214=1),0,IF(OFFSET(CRONOPLE!$F$14,$M214,BD$13)="",10^12,OFFSET(CRONOPLE!$F$14,$M214,BD$13))))</f>
        <v>1000000000000</v>
      </c>
      <c r="BE214" s="215">
        <f ca="1">IF($D214&lt;&gt;"Serviço",0,IF(AND(AUTOEVENTO="Manual",$M214=1),0,IF(OFFSET(CRONOPLE!$F$14,$M214,BE$13)="",10^12,OFFSET(CRONOPLE!$F$14,$M214,BE$13))))</f>
        <v>1000000000000</v>
      </c>
      <c r="BF214" s="215">
        <f ca="1">IF($D214&lt;&gt;"Serviço",0,IF(AND(AUTOEVENTO="Manual",$M214=1),0,IF(OFFSET(CRONOPLE!$F$14,$M214,BF$13)="",10^12,OFFSET(CRONOPLE!$F$14,$M214,BF$13))))</f>
        <v>1000000000000</v>
      </c>
      <c r="BG214" s="215">
        <f ca="1">IF($D214&lt;&gt;"Serviço",0,IF(AND(AUTOEVENTO="Manual",$M214=1),0,IF(OFFSET(CRONOPLE!$F$14,$M214,BG$13)="",10^12,OFFSET(CRONOPLE!$F$14,$M214,BG$13))))</f>
        <v>1000000000000</v>
      </c>
      <c r="BH214" s="215">
        <f ca="1">IF($D214&lt;&gt;"Serviço",0,IF(AND(AUTOEVENTO="Manual",$M214=1),0,IF(OFFSET(CRONOPLE!$F$14,$M214,BH$13)="",10^12,OFFSET(CRONOPLE!$F$14,$M214,BH$13))))</f>
        <v>1000000000000</v>
      </c>
      <c r="BI214" s="215">
        <f ca="1">IF($D214&lt;&gt;"Serviço",0,IF(AND(AUTOEVENTO="Manual",$M214=1),0,IF(OFFSET(CRONOPLE!$F$14,$M214,BI$13)="",10^12,OFFSET(CRONOPLE!$F$14,$M214,BI$13))))</f>
        <v>1000000000000</v>
      </c>
      <c r="BJ214" s="215">
        <f ca="1">IF($D214&lt;&gt;"Serviço",0,IF(AND(AUTOEVENTO="Manual",$M214=1),0,IF(OFFSET(CRONOPLE!$F$14,$M214,BJ$13)="",10^12,OFFSET(CRONOPLE!$F$14,$M214,BJ$13))))</f>
        <v>1000000000000</v>
      </c>
      <c r="BK214" s="215">
        <f ca="1">IF($D214&lt;&gt;"Serviço",0,IF(AND(AUTOEVENTO="Manual",$M214=1),0,IF(OFFSET(CRONOPLE!$F$14,$M214,BK$13)="",10^12,OFFSET(CRONOPLE!$F$14,$M214,BK$13))))</f>
        <v>1000000000000</v>
      </c>
      <c r="BL214" s="215">
        <f ca="1">IF($D214&lt;&gt;"Serviço",0,IF(AND(AUTOEVENTO="Manual",$M214=1),0,IF(OFFSET(CRONOPLE!$F$14,$M214,BL$13)="",10^12,OFFSET(CRONOPLE!$F$14,$M214,BL$13))))</f>
        <v>1000000000000</v>
      </c>
      <c r="BM214" s="215">
        <f ca="1">IF($D214&lt;&gt;"Serviço",0,IF(AND(AUTOEVENTO="Manual",$M214=1),0,IF(OFFSET(CRONOPLE!$F$14,$M214,BM$13)="",10^12,OFFSET(CRONOPLE!$F$14,$M214,BM$13))))</f>
        <v>1000000000000</v>
      </c>
      <c r="BN214" s="215">
        <f ca="1">IF($D214&lt;&gt;"Serviço",0,IF(AND(AUTOEVENTO="Manual",$M214=1),0,IF(OFFSET(CRONOPLE!$F$14,$M214,BN$13)="",10^12,OFFSET(CRONOPLE!$F$14,$M214,BN$13))))</f>
        <v>1000000000000</v>
      </c>
      <c r="BO214" s="215">
        <f ca="1">IF($D214&lt;&gt;"Serviço",0,IF(AND(AUTOEVENTO="Manual",$M214=1),0,IF(OFFSET(CRONOPLE!$F$14,$M214,BO$13)="",10^12,OFFSET(CRONOPLE!$F$14,$M214,BO$13))))</f>
        <v>1000000000000</v>
      </c>
      <c r="BP214" s="215">
        <f ca="1">IF($D214&lt;&gt;"Serviço",0,IF(AND(AUTOEVENTO="Manual",$M214=1),0,IF(OFFSET(CRONOPLE!$F$14,$M214,BP$13)="",10^12,OFFSET(CRONOPLE!$F$14,$M214,BP$13))))</f>
        <v>1000000000000</v>
      </c>
      <c r="BQ214" s="215">
        <f ca="1">IF($D214&lt;&gt;"Serviço",0,IF(AND(AUTOEVENTO="Manual",$M214=1),0,IF(OFFSET(CRONOPLE!$F$14,$M214,BQ$13)="",10^12,OFFSET(CRONOPLE!$F$14,$M214,BQ$13))))</f>
        <v>1000000000000</v>
      </c>
      <c r="BR214" s="215">
        <f ca="1">IF($D214&lt;&gt;"Serviço",0,IF(AND(AUTOEVENTO="Manual",$M214=1),0,IF(OFFSET(CRONOPLE!$F$14,$M214,BR$13)="",10^12,OFFSET(CRONOPLE!$F$14,$M214,BR$13))))</f>
        <v>1000000000000</v>
      </c>
      <c r="BS214" s="215">
        <f ca="1">IF($D214&lt;&gt;"Serviço",0,IF(AND(AUTOEVENTO="Manual",$M214=1),0,IF(OFFSET(CRONOPLE!$F$14,$M214,BS$13)="",10^12,OFFSET(CRONOPLE!$F$14,$M214,BS$13))))</f>
        <v>1000000000000</v>
      </c>
      <c r="BT214" s="215">
        <f ca="1">IF($D214&lt;&gt;"Serviço",0,IF(AND(AUTOEVENTO="Manual",$M214=1),0,IF(OFFSET(CRONOPLE!$F$14,$M214,BT$13)="",10^12,OFFSET(CRONOPLE!$F$14,$M214,BT$13))))</f>
        <v>1000000000000</v>
      </c>
      <c r="BV214" s="216">
        <f ca="1">IF($D214&lt;&gt;"Serviço",0,IF(OR(AND(AUTOEVENTO="Manual",$M214=1),$M214&gt;(ROW(PLE.lastrow)-ROW(PLE.firstrow))),0,IF(OFFSET(PLE!$G$14,$M214,BV$13)="",10^12,OFFSET(PLE!$G$14,$M214,BV$13))))</f>
        <v>1000000000000</v>
      </c>
      <c r="BW214" s="216">
        <f ca="1">IF($D214&lt;&gt;"Serviço",0,IF(OR(AND(AUTOEVENTO="Manual",$M214=1),$M214&gt;(ROW(PLE.lastrow)-ROW(PLE.firstrow))),0,IF(OFFSET(PLE!$G$14,$M214,BW$13)="",10^12,OFFSET(PLE!$G$14,$M214,BW$13))))</f>
        <v>1000000000000</v>
      </c>
      <c r="BX214" s="216">
        <f ca="1">IF($D214&lt;&gt;"Serviço",0,IF(OR(AND(AUTOEVENTO="Manual",$M214=1),$M214&gt;(ROW(PLE.lastrow)-ROW(PLE.firstrow))),0,IF(OFFSET(PLE!$G$14,$M214,BX$13)="",10^12,OFFSET(PLE!$G$14,$M214,BX$13))))</f>
        <v>1000000000000</v>
      </c>
      <c r="BY214" s="216">
        <f ca="1">IF($D214&lt;&gt;"Serviço",0,IF(OR(AND(AUTOEVENTO="Manual",$M214=1),$M214&gt;(ROW(PLE.lastrow)-ROW(PLE.firstrow))),0,IF(OFFSET(PLE!$G$14,$M214,BY$13)="",10^12,OFFSET(PLE!$G$14,$M214,BY$13))))</f>
        <v>1000000000000</v>
      </c>
      <c r="BZ214" s="216">
        <f ca="1">IF($D214&lt;&gt;"Serviço",0,IF(OR(AND(AUTOEVENTO="Manual",$M214=1),$M214&gt;(ROW(PLE.lastrow)-ROW(PLE.firstrow))),0,IF(OFFSET(PLE!$G$14,$M214,BZ$13)="",10^12,OFFSET(PLE!$G$14,$M214,BZ$13))))</f>
        <v>1000000000000</v>
      </c>
      <c r="CA214" s="216">
        <f ca="1">IF($D214&lt;&gt;"Serviço",0,IF(OR(AND(AUTOEVENTO="Manual",$M214=1),$M214&gt;(ROW(PLE.lastrow)-ROW(PLE.firstrow))),0,IF(OFFSET(PLE!$G$14,$M214,CA$13)="",10^12,OFFSET(PLE!$G$14,$M214,CA$13))))</f>
        <v>1000000000000</v>
      </c>
      <c r="CB214" s="216">
        <f ca="1">IF($D214&lt;&gt;"Serviço",0,IF(OR(AND(AUTOEVENTO="Manual",$M214=1),$M214&gt;(ROW(PLE.lastrow)-ROW(PLE.firstrow))),0,IF(OFFSET(PLE!$G$14,$M214,CB$13)="",10^12,OFFSET(PLE!$G$14,$M214,CB$13))))</f>
        <v>1000000000000</v>
      </c>
      <c r="CC214" s="216">
        <f ca="1">IF($D214&lt;&gt;"Serviço",0,IF(OR(AND(AUTOEVENTO="Manual",$M214=1),$M214&gt;(ROW(PLE.lastrow)-ROW(PLE.firstrow))),0,IF(OFFSET(PLE!$G$14,$M214,CC$13)="",10^12,OFFSET(PLE!$G$14,$M214,CC$13))))</f>
        <v>1000000000000</v>
      </c>
      <c r="CD214" s="216">
        <f ca="1">IF($D214&lt;&gt;"Serviço",0,IF(OR(AND(AUTOEVENTO="Manual",$M214=1),$M214&gt;(ROW(PLE.lastrow)-ROW(PLE.firstrow))),0,IF(OFFSET(PLE!$G$14,$M214,CD$13)="",10^12,OFFSET(PLE!$G$14,$M214,CD$13))))</f>
        <v>1000000000000</v>
      </c>
      <c r="CE214" s="216">
        <f ca="1">IF($D214&lt;&gt;"Serviço",0,IF(OR(AND(AUTOEVENTO="Manual",$M214=1),$M214&gt;(ROW(PLE.lastrow)-ROW(PLE.firstrow))),0,IF(OFFSET(PLE!$G$14,$M214,CE$13)="",10^12,OFFSET(PLE!$G$14,$M214,CE$13))))</f>
        <v>1000000000000</v>
      </c>
      <c r="CF214" s="216">
        <f ca="1">IF($D214&lt;&gt;"Serviço",0,IF(OR(AND(AUTOEVENTO="Manual",$M214=1),$M214&gt;(ROW(PLE.lastrow)-ROW(PLE.firstrow))),0,IF(OFFSET(PLE!$G$14,$M214,CF$13)="",10^12,OFFSET(PLE!$G$14,$M214,CF$13))))</f>
        <v>1000000000000</v>
      </c>
      <c r="CG214" s="216">
        <f ca="1">IF($D214&lt;&gt;"Serviço",0,IF(OR(AND(AUTOEVENTO="Manual",$M214=1),$M214&gt;(ROW(PLE.lastrow)-ROW(PLE.firstrow))),0,IF(OFFSET(PLE!$G$14,$M214,CG$13)="",10^12,OFFSET(PLE!$G$14,$M214,CG$13))))</f>
        <v>1000000000000</v>
      </c>
      <c r="CH214" s="216">
        <f ca="1">IF($D214&lt;&gt;"Serviço",0,IF(OR(AND(AUTOEVENTO="Manual",$M214=1),$M214&gt;(ROW(PLE.lastrow)-ROW(PLE.firstrow))),0,IF(OFFSET(PLE!$G$14,$M214,CH$13)="",10^12,OFFSET(PLE!$G$14,$M214,CH$13))))</f>
        <v>1000000000000</v>
      </c>
      <c r="CI214" s="216">
        <f ca="1">IF($D214&lt;&gt;"Serviço",0,IF(OR(AND(AUTOEVENTO="Manual",$M214=1),$M214&gt;(ROW(PLE.lastrow)-ROW(PLE.firstrow))),0,IF(OFFSET(PLE!$G$14,$M214,CI$13)="",10^12,OFFSET(PLE!$G$14,$M214,CI$13))))</f>
        <v>1000000000000</v>
      </c>
      <c r="CJ214" s="216">
        <f ca="1">IF($D214&lt;&gt;"Serviço",0,IF(OR(AND(AUTOEVENTO="Manual",$M214=1),$M214&gt;(ROW(PLE.lastrow)-ROW(PLE.firstrow))),0,IF(OFFSET(PLE!$G$14,$M214,CJ$13)="",10^12,OFFSET(PLE!$G$14,$M214,CJ$13))))</f>
        <v>1000000000000</v>
      </c>
      <c r="CK214" s="216">
        <f ca="1">IF($D214&lt;&gt;"Serviço",0,IF(OR(AND(AUTOEVENTO="Manual",$M214=1),$M214&gt;(ROW(PLE.lastrow)-ROW(PLE.firstrow))),0,IF(OFFSET(PLE!$G$14,$M214,CK$13)="",10^12,OFFSET(PLE!$G$14,$M214,CK$13))))</f>
        <v>1000000000000</v>
      </c>
      <c r="CL214" s="216">
        <f ca="1">IF($D214&lt;&gt;"Serviço",0,IF(OR(AND(AUTOEVENTO="Manual",$M214=1),$M214&gt;(ROW(PLE.lastrow)-ROW(PLE.firstrow))),0,IF(OFFSET(PLE!$G$14,$M214,CL$13)="",10^12,OFFSET(PLE!$G$14,$M214,CL$13))))</f>
        <v>1000000000000</v>
      </c>
      <c r="CM214" s="216">
        <f ca="1">IF($D214&lt;&gt;"Serviço",0,IF(OR(AND(AUTOEVENTO="Manual",$M214=1),$M214&gt;(ROW(PLE.lastrow)-ROW(PLE.firstrow))),0,IF(OFFSET(PLE!$G$14,$M214,CM$13)="",10^12,OFFSET(PLE!$G$14,$M214,CM$13))))</f>
        <v>1000000000000</v>
      </c>
    </row>
    <row r="215" spans="1:91" ht="13.2" x14ac:dyDescent="0.25">
      <c r="A215" s="9">
        <f t="shared" ca="1" si="12"/>
        <v>0</v>
      </c>
      <c r="B215" s="9" t="str">
        <f ca="1">OFFSET(ORÇAMENTO!C$15,ROW(B215)-ROW(B$15),0)</f>
        <v>S</v>
      </c>
      <c r="C215" s="9" t="str">
        <f ca="1">OFFSET(ORÇAMENTO!L$15,ROW(C215)-ROW(C$15),0)</f>
        <v/>
      </c>
      <c r="D215" s="145" t="str">
        <f ca="1">OFFSET(ORÇAMENTO!N$15,ROW(D215)-ROW(D$15),0)</f>
        <v>Serviço</v>
      </c>
      <c r="E215" s="205" t="str">
        <f ca="1">OFFSET(ORÇAMENTO!O$15,ROW(E215)-ROW(E$15),0)</f>
        <v>-</v>
      </c>
      <c r="F215" s="206" t="str">
        <f ca="1">OFFSET(ORÇAMENTO!R$15,ROW(F215)-ROW(F$15),0)</f>
        <v>(abra o arquivo 'Referência 05-2024.xls)</v>
      </c>
      <c r="G215" s="207" t="str">
        <f ca="1">IF($D215&lt;&gt;"Serviço","",OFFSET(ORÇAMENTO!S$15,ROW(G215)-ROW(G$15),0))</f>
        <v>-</v>
      </c>
      <c r="H215" s="151">
        <f ca="1">IF($D215&lt;&gt;"Serviço",0,IF(ACOMPANHAMENTO="BM",ROUND(OFFSET(ORÇAMENTO!AJ$15,ROW(H215)-ROW(H$15),0),15-13*ORÇAMENTO!$AF$7),SUMPRODUCT(($Q$12:$AI$12&lt;&gt;"")*ROUND($Q215:$AI215,15-13*ORÇAMENTO!$AF$7))))</f>
        <v>34.69</v>
      </c>
      <c r="I215" s="650"/>
      <c r="K215" s="208"/>
      <c r="L215" s="209" t="s">
        <v>257</v>
      </c>
      <c r="M215" s="210">
        <f ca="1">IF($D215&lt;&gt;"Serviço","",IF(AUTOEVENTO="manual",$A215,IF(ISERROR(MATCH($A215,$A$15:OFFSET($A215,-1,0),0)),MAX($M$15:OFFSET(M215,-1,0))+1,INDEX($M$15:OFFSET(M215,-1,0),MATCH($A215,$A$15:OFFSET($A215,-1,0),0)))))</f>
        <v>0</v>
      </c>
      <c r="N215" s="211" t="str">
        <f ca="1">IF($D215&lt;&gt;"Serviço","",IF(AUTOEVENTO="Manual",IF($A215=0,"&lt;-- defina o número do agrupador",OFFSET(EVENTOS!$D$14,$A215,0)),OFFSET($F$15,$A215,0)))</f>
        <v>&lt;-- defina o número do agrupador</v>
      </c>
      <c r="O215" s="212"/>
      <c r="Q215" s="212"/>
      <c r="R215" s="213"/>
      <c r="S215" s="213"/>
      <c r="T215" s="213"/>
      <c r="U215" s="213"/>
      <c r="V215" s="213"/>
      <c r="W215" s="213"/>
      <c r="X215" s="213"/>
      <c r="Y215" s="213"/>
      <c r="Z215" s="214"/>
      <c r="AA215" s="213"/>
      <c r="AB215" s="213"/>
      <c r="AC215" s="213"/>
      <c r="AD215" s="213"/>
      <c r="AE215" s="213"/>
      <c r="AF215" s="213"/>
      <c r="AG215" s="213"/>
      <c r="AH215" s="214"/>
      <c r="AJ215" s="631">
        <f ca="1">IF(AND($D215="Serviço",AJ$12&lt;&gt;0,$H215&gt;0,OR(AUTOEVENTO&lt;&gt;"manual",$M215&lt;&gt;1)),ROUND(OFFSET($P215,0,AJ$13),15-13*ORÇAMENTO!$AF$7)/$H215*OFFSET(ORÇAMENTO!$X$15,ROW(AJ215)-ROW(AJ$15),0),0)</f>
        <v>0</v>
      </c>
      <c r="AK215" s="632">
        <f ca="1">IF(AND($D215="Serviço",AK$12&lt;&gt;0,$H215&gt;0,OR(AUTOEVENTO&lt;&gt;"manual",$M215&lt;&gt;1)),ROUND(OFFSET($P215,0,AK$13),15-13*ORÇAMENTO!$AF$7)/$H215*OFFSET(ORÇAMENTO!$X$15,ROW(AK215)-ROW(AK$15),0),0)</f>
        <v>0</v>
      </c>
      <c r="AL215" s="632">
        <f ca="1">IF(AND($D215="Serviço",AL$12&lt;&gt;0,$H215&gt;0,OR(AUTOEVENTO&lt;&gt;"manual",$M215&lt;&gt;1)),ROUND(OFFSET($P215,0,AL$13),15-13*ORÇAMENTO!$AF$7)/$H215*OFFSET(ORÇAMENTO!$X$15,ROW(AL215)-ROW(AL$15),0),0)</f>
        <v>0</v>
      </c>
      <c r="AM215" s="632">
        <f ca="1">IF(AND($D215="Serviço",AM$12&lt;&gt;0,$H215&gt;0,OR(AUTOEVENTO&lt;&gt;"manual",$M215&lt;&gt;1)),ROUND(OFFSET($P215,0,AM$13),15-13*ORÇAMENTO!$AF$7)/$H215*OFFSET(ORÇAMENTO!$X$15,ROW(AM215)-ROW(AM$15),0),0)</f>
        <v>0</v>
      </c>
      <c r="AN215" s="632">
        <f ca="1">IF(AND($D215="Serviço",AN$12&lt;&gt;0,$H215&gt;0,OR(AUTOEVENTO&lt;&gt;"manual",$M215&lt;&gt;1)),ROUND(OFFSET($P215,0,AN$13),15-13*ORÇAMENTO!$AF$7)/$H215*OFFSET(ORÇAMENTO!$X$15,ROW(AN215)-ROW(AN$15),0),0)</f>
        <v>0</v>
      </c>
      <c r="AO215" s="632">
        <f ca="1">IF(AND($D215="Serviço",AO$12&lt;&gt;0,$H215&gt;0,OR(AUTOEVENTO&lt;&gt;"manual",$M215&lt;&gt;1)),ROUND(OFFSET($P215,0,AO$13),15-13*ORÇAMENTO!$AF$7)/$H215*OFFSET(ORÇAMENTO!$X$15,ROW(AO215)-ROW(AO$15),0),0)</f>
        <v>0</v>
      </c>
      <c r="AP215" s="632">
        <f ca="1">IF(AND($D215="Serviço",AP$12&lt;&gt;0,$H215&gt;0,OR(AUTOEVENTO&lt;&gt;"manual",$M215&lt;&gt;1)),ROUND(OFFSET($P215,0,AP$13),15-13*ORÇAMENTO!$AF$7)/$H215*OFFSET(ORÇAMENTO!$X$15,ROW(AP215)-ROW(AP$15),0),0)</f>
        <v>0</v>
      </c>
      <c r="AQ215" s="632">
        <f ca="1">IF(AND($D215="Serviço",AQ$12&lt;&gt;0,$H215&gt;0,OR(AUTOEVENTO&lt;&gt;"manual",$M215&lt;&gt;1)),ROUND(OFFSET($P215,0,AQ$13),15-13*ORÇAMENTO!$AF$7)/$H215*OFFSET(ORÇAMENTO!$X$15,ROW(AQ215)-ROW(AQ$15),0),0)</f>
        <v>0</v>
      </c>
      <c r="AR215" s="632">
        <f ca="1">IF(AND($D215="Serviço",AR$12&lt;&gt;0,$H215&gt;0,OR(AUTOEVENTO&lt;&gt;"manual",$M215&lt;&gt;1)),ROUND(OFFSET($P215,0,AR$13),15-13*ORÇAMENTO!$AF$7)/$H215*OFFSET(ORÇAMENTO!$X$15,ROW(AR215)-ROW(AR$15),0),0)</f>
        <v>0</v>
      </c>
      <c r="AS215" s="633">
        <f ca="1">IF(AND($D215="Serviço",AS$12&lt;&gt;0,$H215&gt;0,OR(AUTOEVENTO&lt;&gt;"manual",$M215&lt;&gt;1)),ROUND(OFFSET($P215,0,AS$13),15-13*ORÇAMENTO!$AF$7)/$H215*OFFSET(ORÇAMENTO!$X$15,ROW(AS215)-ROW(AS$15),0),0)</f>
        <v>0</v>
      </c>
      <c r="AT215" s="632">
        <f ca="1">IF(AND($D215="Serviço",AT$12&lt;&gt;0,$H215&gt;0,OR(AUTOEVENTO&lt;&gt;"manual",$M215&lt;&gt;1)),ROUND(OFFSET($P215,0,AT$13),15-13*ORÇAMENTO!$AF$7)/$H215*OFFSET(ORÇAMENTO!$X$15,ROW(AT215)-ROW(AT$15),0),0)</f>
        <v>0</v>
      </c>
      <c r="AU215" s="632">
        <f ca="1">IF(AND($D215="Serviço",AU$12&lt;&gt;0,$H215&gt;0,OR(AUTOEVENTO&lt;&gt;"manual",$M215&lt;&gt;1)),ROUND(OFFSET($P215,0,AU$13),15-13*ORÇAMENTO!$AF$7)/$H215*OFFSET(ORÇAMENTO!$X$15,ROW(AU215)-ROW(AU$15),0),0)</f>
        <v>0</v>
      </c>
      <c r="AV215" s="632">
        <f ca="1">IF(AND($D215="Serviço",AV$12&lt;&gt;0,$H215&gt;0,OR(AUTOEVENTO&lt;&gt;"manual",$M215&lt;&gt;1)),ROUND(OFFSET($P215,0,AV$13),15-13*ORÇAMENTO!$AF$7)/$H215*OFFSET(ORÇAMENTO!$X$15,ROW(AV215)-ROW(AV$15),0),0)</f>
        <v>0</v>
      </c>
      <c r="AW215" s="632">
        <f ca="1">IF(AND($D215="Serviço",AW$12&lt;&gt;0,$H215&gt;0,OR(AUTOEVENTO&lt;&gt;"manual",$M215&lt;&gt;1)),ROUND(OFFSET($P215,0,AW$13),15-13*ORÇAMENTO!$AF$7)/$H215*OFFSET(ORÇAMENTO!$X$15,ROW(AW215)-ROW(AW$15),0),0)</f>
        <v>0</v>
      </c>
      <c r="AX215" s="632">
        <f ca="1">IF(AND($D215="Serviço",AX$12&lt;&gt;0,$H215&gt;0,OR(AUTOEVENTO&lt;&gt;"manual",$M215&lt;&gt;1)),ROUND(OFFSET($P215,0,AX$13),15-13*ORÇAMENTO!$AF$7)/$H215*OFFSET(ORÇAMENTO!$X$15,ROW(AX215)-ROW(AX$15),0),0)</f>
        <v>0</v>
      </c>
      <c r="AY215" s="632">
        <f ca="1">IF(AND($D215="Serviço",AY$12&lt;&gt;0,$H215&gt;0,OR(AUTOEVENTO&lt;&gt;"manual",$M215&lt;&gt;1)),ROUND(OFFSET($P215,0,AY$13),15-13*ORÇAMENTO!$AF$7)/$H215*OFFSET(ORÇAMENTO!$X$15,ROW(AY215)-ROW(AY$15),0),0)</f>
        <v>0</v>
      </c>
      <c r="AZ215" s="632">
        <f ca="1">IF(AND($D215="Serviço",AZ$12&lt;&gt;0,$H215&gt;0,OR(AUTOEVENTO&lt;&gt;"manual",$M215&lt;&gt;1)),ROUND(OFFSET($P215,0,AZ$13),15-13*ORÇAMENTO!$AF$7)/$H215*OFFSET(ORÇAMENTO!$X$15,ROW(AZ215)-ROW(AZ$15),0),0)</f>
        <v>0</v>
      </c>
      <c r="BA215" s="633">
        <f ca="1">IF(AND($D215="Serviço",BA$12&lt;&gt;0,$H215&gt;0,OR(AUTOEVENTO&lt;&gt;"manual",$M215&lt;&gt;1)),ROUND(OFFSET($P215,0,BA$13),15-13*ORÇAMENTO!$AF$7)/$H215*OFFSET(ORÇAMENTO!$X$15,ROW(BA215)-ROW(BA$15),0),0)</f>
        <v>0</v>
      </c>
      <c r="BC215" s="215">
        <f ca="1">IF($D215&lt;&gt;"Serviço",0,IF(AND(AUTOEVENTO="Manual",$M215=1),0,IF(OFFSET(CRONOPLE!$F$14,$M215,BC$13)="",10^12,OFFSET(CRONOPLE!$F$14,$M215,BC$13))))</f>
        <v>1000000000000</v>
      </c>
      <c r="BD215" s="215">
        <f ca="1">IF($D215&lt;&gt;"Serviço",0,IF(AND(AUTOEVENTO="Manual",$M215=1),0,IF(OFFSET(CRONOPLE!$F$14,$M215,BD$13)="",10^12,OFFSET(CRONOPLE!$F$14,$M215,BD$13))))</f>
        <v>1000000000000</v>
      </c>
      <c r="BE215" s="215">
        <f ca="1">IF($D215&lt;&gt;"Serviço",0,IF(AND(AUTOEVENTO="Manual",$M215=1),0,IF(OFFSET(CRONOPLE!$F$14,$M215,BE$13)="",10^12,OFFSET(CRONOPLE!$F$14,$M215,BE$13))))</f>
        <v>1000000000000</v>
      </c>
      <c r="BF215" s="215">
        <f ca="1">IF($D215&lt;&gt;"Serviço",0,IF(AND(AUTOEVENTO="Manual",$M215=1),0,IF(OFFSET(CRONOPLE!$F$14,$M215,BF$13)="",10^12,OFFSET(CRONOPLE!$F$14,$M215,BF$13))))</f>
        <v>1000000000000</v>
      </c>
      <c r="BG215" s="215">
        <f ca="1">IF($D215&lt;&gt;"Serviço",0,IF(AND(AUTOEVENTO="Manual",$M215=1),0,IF(OFFSET(CRONOPLE!$F$14,$M215,BG$13)="",10^12,OFFSET(CRONOPLE!$F$14,$M215,BG$13))))</f>
        <v>1000000000000</v>
      </c>
      <c r="BH215" s="215">
        <f ca="1">IF($D215&lt;&gt;"Serviço",0,IF(AND(AUTOEVENTO="Manual",$M215=1),0,IF(OFFSET(CRONOPLE!$F$14,$M215,BH$13)="",10^12,OFFSET(CRONOPLE!$F$14,$M215,BH$13))))</f>
        <v>1000000000000</v>
      </c>
      <c r="BI215" s="215">
        <f ca="1">IF($D215&lt;&gt;"Serviço",0,IF(AND(AUTOEVENTO="Manual",$M215=1),0,IF(OFFSET(CRONOPLE!$F$14,$M215,BI$13)="",10^12,OFFSET(CRONOPLE!$F$14,$M215,BI$13))))</f>
        <v>1000000000000</v>
      </c>
      <c r="BJ215" s="215">
        <f ca="1">IF($D215&lt;&gt;"Serviço",0,IF(AND(AUTOEVENTO="Manual",$M215=1),0,IF(OFFSET(CRONOPLE!$F$14,$M215,BJ$13)="",10^12,OFFSET(CRONOPLE!$F$14,$M215,BJ$13))))</f>
        <v>1000000000000</v>
      </c>
      <c r="BK215" s="215">
        <f ca="1">IF($D215&lt;&gt;"Serviço",0,IF(AND(AUTOEVENTO="Manual",$M215=1),0,IF(OFFSET(CRONOPLE!$F$14,$M215,BK$13)="",10^12,OFFSET(CRONOPLE!$F$14,$M215,BK$13))))</f>
        <v>1000000000000</v>
      </c>
      <c r="BL215" s="215">
        <f ca="1">IF($D215&lt;&gt;"Serviço",0,IF(AND(AUTOEVENTO="Manual",$M215=1),0,IF(OFFSET(CRONOPLE!$F$14,$M215,BL$13)="",10^12,OFFSET(CRONOPLE!$F$14,$M215,BL$13))))</f>
        <v>1000000000000</v>
      </c>
      <c r="BM215" s="215">
        <f ca="1">IF($D215&lt;&gt;"Serviço",0,IF(AND(AUTOEVENTO="Manual",$M215=1),0,IF(OFFSET(CRONOPLE!$F$14,$M215,BM$13)="",10^12,OFFSET(CRONOPLE!$F$14,$M215,BM$13))))</f>
        <v>1000000000000</v>
      </c>
      <c r="BN215" s="215">
        <f ca="1">IF($D215&lt;&gt;"Serviço",0,IF(AND(AUTOEVENTO="Manual",$M215=1),0,IF(OFFSET(CRONOPLE!$F$14,$M215,BN$13)="",10^12,OFFSET(CRONOPLE!$F$14,$M215,BN$13))))</f>
        <v>1000000000000</v>
      </c>
      <c r="BO215" s="215">
        <f ca="1">IF($D215&lt;&gt;"Serviço",0,IF(AND(AUTOEVENTO="Manual",$M215=1),0,IF(OFFSET(CRONOPLE!$F$14,$M215,BO$13)="",10^12,OFFSET(CRONOPLE!$F$14,$M215,BO$13))))</f>
        <v>1000000000000</v>
      </c>
      <c r="BP215" s="215">
        <f ca="1">IF($D215&lt;&gt;"Serviço",0,IF(AND(AUTOEVENTO="Manual",$M215=1),0,IF(OFFSET(CRONOPLE!$F$14,$M215,BP$13)="",10^12,OFFSET(CRONOPLE!$F$14,$M215,BP$13))))</f>
        <v>1000000000000</v>
      </c>
      <c r="BQ215" s="215">
        <f ca="1">IF($D215&lt;&gt;"Serviço",0,IF(AND(AUTOEVENTO="Manual",$M215=1),0,IF(OFFSET(CRONOPLE!$F$14,$M215,BQ$13)="",10^12,OFFSET(CRONOPLE!$F$14,$M215,BQ$13))))</f>
        <v>1000000000000</v>
      </c>
      <c r="BR215" s="215">
        <f ca="1">IF($D215&lt;&gt;"Serviço",0,IF(AND(AUTOEVENTO="Manual",$M215=1),0,IF(OFFSET(CRONOPLE!$F$14,$M215,BR$13)="",10^12,OFFSET(CRONOPLE!$F$14,$M215,BR$13))))</f>
        <v>1000000000000</v>
      </c>
      <c r="BS215" s="215">
        <f ca="1">IF($D215&lt;&gt;"Serviço",0,IF(AND(AUTOEVENTO="Manual",$M215=1),0,IF(OFFSET(CRONOPLE!$F$14,$M215,BS$13)="",10^12,OFFSET(CRONOPLE!$F$14,$M215,BS$13))))</f>
        <v>1000000000000</v>
      </c>
      <c r="BT215" s="215">
        <f ca="1">IF($D215&lt;&gt;"Serviço",0,IF(AND(AUTOEVENTO="Manual",$M215=1),0,IF(OFFSET(CRONOPLE!$F$14,$M215,BT$13)="",10^12,OFFSET(CRONOPLE!$F$14,$M215,BT$13))))</f>
        <v>1000000000000</v>
      </c>
      <c r="BV215" s="216">
        <f ca="1">IF($D215&lt;&gt;"Serviço",0,IF(OR(AND(AUTOEVENTO="Manual",$M215=1),$M215&gt;(ROW(PLE.lastrow)-ROW(PLE.firstrow))),0,IF(OFFSET(PLE!$G$14,$M215,BV$13)="",10^12,OFFSET(PLE!$G$14,$M215,BV$13))))</f>
        <v>1000000000000</v>
      </c>
      <c r="BW215" s="216">
        <f ca="1">IF($D215&lt;&gt;"Serviço",0,IF(OR(AND(AUTOEVENTO="Manual",$M215=1),$M215&gt;(ROW(PLE.lastrow)-ROW(PLE.firstrow))),0,IF(OFFSET(PLE!$G$14,$M215,BW$13)="",10^12,OFFSET(PLE!$G$14,$M215,BW$13))))</f>
        <v>1000000000000</v>
      </c>
      <c r="BX215" s="216">
        <f ca="1">IF($D215&lt;&gt;"Serviço",0,IF(OR(AND(AUTOEVENTO="Manual",$M215=1),$M215&gt;(ROW(PLE.lastrow)-ROW(PLE.firstrow))),0,IF(OFFSET(PLE!$G$14,$M215,BX$13)="",10^12,OFFSET(PLE!$G$14,$M215,BX$13))))</f>
        <v>1000000000000</v>
      </c>
      <c r="BY215" s="216">
        <f ca="1">IF($D215&lt;&gt;"Serviço",0,IF(OR(AND(AUTOEVENTO="Manual",$M215=1),$M215&gt;(ROW(PLE.lastrow)-ROW(PLE.firstrow))),0,IF(OFFSET(PLE!$G$14,$M215,BY$13)="",10^12,OFFSET(PLE!$G$14,$M215,BY$13))))</f>
        <v>1000000000000</v>
      </c>
      <c r="BZ215" s="216">
        <f ca="1">IF($D215&lt;&gt;"Serviço",0,IF(OR(AND(AUTOEVENTO="Manual",$M215=1),$M215&gt;(ROW(PLE.lastrow)-ROW(PLE.firstrow))),0,IF(OFFSET(PLE!$G$14,$M215,BZ$13)="",10^12,OFFSET(PLE!$G$14,$M215,BZ$13))))</f>
        <v>1000000000000</v>
      </c>
      <c r="CA215" s="216">
        <f ca="1">IF($D215&lt;&gt;"Serviço",0,IF(OR(AND(AUTOEVENTO="Manual",$M215=1),$M215&gt;(ROW(PLE.lastrow)-ROW(PLE.firstrow))),0,IF(OFFSET(PLE!$G$14,$M215,CA$13)="",10^12,OFFSET(PLE!$G$14,$M215,CA$13))))</f>
        <v>1000000000000</v>
      </c>
      <c r="CB215" s="216">
        <f ca="1">IF($D215&lt;&gt;"Serviço",0,IF(OR(AND(AUTOEVENTO="Manual",$M215=1),$M215&gt;(ROW(PLE.lastrow)-ROW(PLE.firstrow))),0,IF(OFFSET(PLE!$G$14,$M215,CB$13)="",10^12,OFFSET(PLE!$G$14,$M215,CB$13))))</f>
        <v>1000000000000</v>
      </c>
      <c r="CC215" s="216">
        <f ca="1">IF($D215&lt;&gt;"Serviço",0,IF(OR(AND(AUTOEVENTO="Manual",$M215=1),$M215&gt;(ROW(PLE.lastrow)-ROW(PLE.firstrow))),0,IF(OFFSET(PLE!$G$14,$M215,CC$13)="",10^12,OFFSET(PLE!$G$14,$M215,CC$13))))</f>
        <v>1000000000000</v>
      </c>
      <c r="CD215" s="216">
        <f ca="1">IF($D215&lt;&gt;"Serviço",0,IF(OR(AND(AUTOEVENTO="Manual",$M215=1),$M215&gt;(ROW(PLE.lastrow)-ROW(PLE.firstrow))),0,IF(OFFSET(PLE!$G$14,$M215,CD$13)="",10^12,OFFSET(PLE!$G$14,$M215,CD$13))))</f>
        <v>1000000000000</v>
      </c>
      <c r="CE215" s="216">
        <f ca="1">IF($D215&lt;&gt;"Serviço",0,IF(OR(AND(AUTOEVENTO="Manual",$M215=1),$M215&gt;(ROW(PLE.lastrow)-ROW(PLE.firstrow))),0,IF(OFFSET(PLE!$G$14,$M215,CE$13)="",10^12,OFFSET(PLE!$G$14,$M215,CE$13))))</f>
        <v>1000000000000</v>
      </c>
      <c r="CF215" s="216">
        <f ca="1">IF($D215&lt;&gt;"Serviço",0,IF(OR(AND(AUTOEVENTO="Manual",$M215=1),$M215&gt;(ROW(PLE.lastrow)-ROW(PLE.firstrow))),0,IF(OFFSET(PLE!$G$14,$M215,CF$13)="",10^12,OFFSET(PLE!$G$14,$M215,CF$13))))</f>
        <v>1000000000000</v>
      </c>
      <c r="CG215" s="216">
        <f ca="1">IF($D215&lt;&gt;"Serviço",0,IF(OR(AND(AUTOEVENTO="Manual",$M215=1),$M215&gt;(ROW(PLE.lastrow)-ROW(PLE.firstrow))),0,IF(OFFSET(PLE!$G$14,$M215,CG$13)="",10^12,OFFSET(PLE!$G$14,$M215,CG$13))))</f>
        <v>1000000000000</v>
      </c>
      <c r="CH215" s="216">
        <f ca="1">IF($D215&lt;&gt;"Serviço",0,IF(OR(AND(AUTOEVENTO="Manual",$M215=1),$M215&gt;(ROW(PLE.lastrow)-ROW(PLE.firstrow))),0,IF(OFFSET(PLE!$G$14,$M215,CH$13)="",10^12,OFFSET(PLE!$G$14,$M215,CH$13))))</f>
        <v>1000000000000</v>
      </c>
      <c r="CI215" s="216">
        <f ca="1">IF($D215&lt;&gt;"Serviço",0,IF(OR(AND(AUTOEVENTO="Manual",$M215=1),$M215&gt;(ROW(PLE.lastrow)-ROW(PLE.firstrow))),0,IF(OFFSET(PLE!$G$14,$M215,CI$13)="",10^12,OFFSET(PLE!$G$14,$M215,CI$13))))</f>
        <v>1000000000000</v>
      </c>
      <c r="CJ215" s="216">
        <f ca="1">IF($D215&lt;&gt;"Serviço",0,IF(OR(AND(AUTOEVENTO="Manual",$M215=1),$M215&gt;(ROW(PLE.lastrow)-ROW(PLE.firstrow))),0,IF(OFFSET(PLE!$G$14,$M215,CJ$13)="",10^12,OFFSET(PLE!$G$14,$M215,CJ$13))))</f>
        <v>1000000000000</v>
      </c>
      <c r="CK215" s="216">
        <f ca="1">IF($D215&lt;&gt;"Serviço",0,IF(OR(AND(AUTOEVENTO="Manual",$M215=1),$M215&gt;(ROW(PLE.lastrow)-ROW(PLE.firstrow))),0,IF(OFFSET(PLE!$G$14,$M215,CK$13)="",10^12,OFFSET(PLE!$G$14,$M215,CK$13))))</f>
        <v>1000000000000</v>
      </c>
      <c r="CL215" s="216">
        <f ca="1">IF($D215&lt;&gt;"Serviço",0,IF(OR(AND(AUTOEVENTO="Manual",$M215=1),$M215&gt;(ROW(PLE.lastrow)-ROW(PLE.firstrow))),0,IF(OFFSET(PLE!$G$14,$M215,CL$13)="",10^12,OFFSET(PLE!$G$14,$M215,CL$13))))</f>
        <v>1000000000000</v>
      </c>
      <c r="CM215" s="216">
        <f ca="1">IF($D215&lt;&gt;"Serviço",0,IF(OR(AND(AUTOEVENTO="Manual",$M215=1),$M215&gt;(ROW(PLE.lastrow)-ROW(PLE.firstrow))),0,IF(OFFSET(PLE!$G$14,$M215,CM$13)="",10^12,OFFSET(PLE!$G$14,$M215,CM$13))))</f>
        <v>1000000000000</v>
      </c>
    </row>
    <row r="216" spans="1:91" ht="13.2" x14ac:dyDescent="0.25">
      <c r="A216" s="9">
        <f t="shared" ca="1" si="12"/>
        <v>0</v>
      </c>
      <c r="B216" s="9" t="str">
        <f ca="1">OFFSET(ORÇAMENTO!C$15,ROW(B216)-ROW(B$15),0)</f>
        <v>S</v>
      </c>
      <c r="C216" s="9" t="str">
        <f ca="1">OFFSET(ORÇAMENTO!L$15,ROW(C216)-ROW(C$15),0)</f>
        <v/>
      </c>
      <c r="D216" s="145" t="str">
        <f ca="1">OFFSET(ORÇAMENTO!N$15,ROW(D216)-ROW(D$15),0)</f>
        <v>Serviço</v>
      </c>
      <c r="E216" s="205" t="str">
        <f ca="1">OFFSET(ORÇAMENTO!O$15,ROW(E216)-ROW(E$15),0)</f>
        <v>-</v>
      </c>
      <c r="F216" s="206" t="str">
        <f ca="1">OFFSET(ORÇAMENTO!R$15,ROW(F216)-ROW(F$15),0)</f>
        <v>(abra o arquivo 'Referência 05-2024.xls)</v>
      </c>
      <c r="G216" s="207" t="str">
        <f ca="1">IF($D216&lt;&gt;"Serviço","",OFFSET(ORÇAMENTO!S$15,ROW(G216)-ROW(G$15),0))</f>
        <v>-</v>
      </c>
      <c r="H216" s="151">
        <f ca="1">IF($D216&lt;&gt;"Serviço",0,IF(ACOMPANHAMENTO="BM",ROUND(OFFSET(ORÇAMENTO!AJ$15,ROW(H216)-ROW(H$15),0),15-13*ORÇAMENTO!$AF$7),SUMPRODUCT(($Q$12:$AI$12&lt;&gt;"")*ROUND($Q216:$AI216,15-13*ORÇAMENTO!$AF$7))))</f>
        <v>104.15</v>
      </c>
      <c r="I216" s="650"/>
      <c r="K216" s="208"/>
      <c r="L216" s="209" t="s">
        <v>257</v>
      </c>
      <c r="M216" s="210">
        <f ca="1">IF($D216&lt;&gt;"Serviço","",IF(AUTOEVENTO="manual",$A216,IF(ISERROR(MATCH($A216,$A$15:OFFSET($A216,-1,0),0)),MAX($M$15:OFFSET(M216,-1,0))+1,INDEX($M$15:OFFSET(M216,-1,0),MATCH($A216,$A$15:OFFSET($A216,-1,0),0)))))</f>
        <v>0</v>
      </c>
      <c r="N216" s="211" t="str">
        <f ca="1">IF($D216&lt;&gt;"Serviço","",IF(AUTOEVENTO="Manual",IF($A216=0,"&lt;-- defina o número do agrupador",OFFSET(EVENTOS!$D$14,$A216,0)),OFFSET($F$15,$A216,0)))</f>
        <v>&lt;-- defina o número do agrupador</v>
      </c>
      <c r="O216" s="212"/>
      <c r="Q216" s="212"/>
      <c r="R216" s="213"/>
      <c r="S216" s="213"/>
      <c r="T216" s="213"/>
      <c r="U216" s="213"/>
      <c r="V216" s="213"/>
      <c r="W216" s="213"/>
      <c r="X216" s="213"/>
      <c r="Y216" s="213"/>
      <c r="Z216" s="214"/>
      <c r="AA216" s="213"/>
      <c r="AB216" s="213"/>
      <c r="AC216" s="213"/>
      <c r="AD216" s="213"/>
      <c r="AE216" s="213"/>
      <c r="AF216" s="213"/>
      <c r="AG216" s="213"/>
      <c r="AH216" s="214"/>
      <c r="AJ216" s="631">
        <f ca="1">IF(AND($D216="Serviço",AJ$12&lt;&gt;0,$H216&gt;0,OR(AUTOEVENTO&lt;&gt;"manual",$M216&lt;&gt;1)),ROUND(OFFSET($P216,0,AJ$13),15-13*ORÇAMENTO!$AF$7)/$H216*OFFSET(ORÇAMENTO!$X$15,ROW(AJ216)-ROW(AJ$15),0),0)</f>
        <v>0</v>
      </c>
      <c r="AK216" s="632">
        <f ca="1">IF(AND($D216="Serviço",AK$12&lt;&gt;0,$H216&gt;0,OR(AUTOEVENTO&lt;&gt;"manual",$M216&lt;&gt;1)),ROUND(OFFSET($P216,0,AK$13),15-13*ORÇAMENTO!$AF$7)/$H216*OFFSET(ORÇAMENTO!$X$15,ROW(AK216)-ROW(AK$15),0),0)</f>
        <v>0</v>
      </c>
      <c r="AL216" s="632">
        <f ca="1">IF(AND($D216="Serviço",AL$12&lt;&gt;0,$H216&gt;0,OR(AUTOEVENTO&lt;&gt;"manual",$M216&lt;&gt;1)),ROUND(OFFSET($P216,0,AL$13),15-13*ORÇAMENTO!$AF$7)/$H216*OFFSET(ORÇAMENTO!$X$15,ROW(AL216)-ROW(AL$15),0),0)</f>
        <v>0</v>
      </c>
      <c r="AM216" s="632">
        <f ca="1">IF(AND($D216="Serviço",AM$12&lt;&gt;0,$H216&gt;0,OR(AUTOEVENTO&lt;&gt;"manual",$M216&lt;&gt;1)),ROUND(OFFSET($P216,0,AM$13),15-13*ORÇAMENTO!$AF$7)/$H216*OFFSET(ORÇAMENTO!$X$15,ROW(AM216)-ROW(AM$15),0),0)</f>
        <v>0</v>
      </c>
      <c r="AN216" s="632">
        <f ca="1">IF(AND($D216="Serviço",AN$12&lt;&gt;0,$H216&gt;0,OR(AUTOEVENTO&lt;&gt;"manual",$M216&lt;&gt;1)),ROUND(OFFSET($P216,0,AN$13),15-13*ORÇAMENTO!$AF$7)/$H216*OFFSET(ORÇAMENTO!$X$15,ROW(AN216)-ROW(AN$15),0),0)</f>
        <v>0</v>
      </c>
      <c r="AO216" s="632">
        <f ca="1">IF(AND($D216="Serviço",AO$12&lt;&gt;0,$H216&gt;0,OR(AUTOEVENTO&lt;&gt;"manual",$M216&lt;&gt;1)),ROUND(OFFSET($P216,0,AO$13),15-13*ORÇAMENTO!$AF$7)/$H216*OFFSET(ORÇAMENTO!$X$15,ROW(AO216)-ROW(AO$15),0),0)</f>
        <v>0</v>
      </c>
      <c r="AP216" s="632">
        <f ca="1">IF(AND($D216="Serviço",AP$12&lt;&gt;0,$H216&gt;0,OR(AUTOEVENTO&lt;&gt;"manual",$M216&lt;&gt;1)),ROUND(OFFSET($P216,0,AP$13),15-13*ORÇAMENTO!$AF$7)/$H216*OFFSET(ORÇAMENTO!$X$15,ROW(AP216)-ROW(AP$15),0),0)</f>
        <v>0</v>
      </c>
      <c r="AQ216" s="632">
        <f ca="1">IF(AND($D216="Serviço",AQ$12&lt;&gt;0,$H216&gt;0,OR(AUTOEVENTO&lt;&gt;"manual",$M216&lt;&gt;1)),ROUND(OFFSET($P216,0,AQ$13),15-13*ORÇAMENTO!$AF$7)/$H216*OFFSET(ORÇAMENTO!$X$15,ROW(AQ216)-ROW(AQ$15),0),0)</f>
        <v>0</v>
      </c>
      <c r="AR216" s="632">
        <f ca="1">IF(AND($D216="Serviço",AR$12&lt;&gt;0,$H216&gt;0,OR(AUTOEVENTO&lt;&gt;"manual",$M216&lt;&gt;1)),ROUND(OFFSET($P216,0,AR$13),15-13*ORÇAMENTO!$AF$7)/$H216*OFFSET(ORÇAMENTO!$X$15,ROW(AR216)-ROW(AR$15),0),0)</f>
        <v>0</v>
      </c>
      <c r="AS216" s="633">
        <f ca="1">IF(AND($D216="Serviço",AS$12&lt;&gt;0,$H216&gt;0,OR(AUTOEVENTO&lt;&gt;"manual",$M216&lt;&gt;1)),ROUND(OFFSET($P216,0,AS$13),15-13*ORÇAMENTO!$AF$7)/$H216*OFFSET(ORÇAMENTO!$X$15,ROW(AS216)-ROW(AS$15),0),0)</f>
        <v>0</v>
      </c>
      <c r="AT216" s="632">
        <f ca="1">IF(AND($D216="Serviço",AT$12&lt;&gt;0,$H216&gt;0,OR(AUTOEVENTO&lt;&gt;"manual",$M216&lt;&gt;1)),ROUND(OFFSET($P216,0,AT$13),15-13*ORÇAMENTO!$AF$7)/$H216*OFFSET(ORÇAMENTO!$X$15,ROW(AT216)-ROW(AT$15),0),0)</f>
        <v>0</v>
      </c>
      <c r="AU216" s="632">
        <f ca="1">IF(AND($D216="Serviço",AU$12&lt;&gt;0,$H216&gt;0,OR(AUTOEVENTO&lt;&gt;"manual",$M216&lt;&gt;1)),ROUND(OFFSET($P216,0,AU$13),15-13*ORÇAMENTO!$AF$7)/$H216*OFFSET(ORÇAMENTO!$X$15,ROW(AU216)-ROW(AU$15),0),0)</f>
        <v>0</v>
      </c>
      <c r="AV216" s="632">
        <f ca="1">IF(AND($D216="Serviço",AV$12&lt;&gt;0,$H216&gt;0,OR(AUTOEVENTO&lt;&gt;"manual",$M216&lt;&gt;1)),ROUND(OFFSET($P216,0,AV$13),15-13*ORÇAMENTO!$AF$7)/$H216*OFFSET(ORÇAMENTO!$X$15,ROW(AV216)-ROW(AV$15),0),0)</f>
        <v>0</v>
      </c>
      <c r="AW216" s="632">
        <f ca="1">IF(AND($D216="Serviço",AW$12&lt;&gt;0,$H216&gt;0,OR(AUTOEVENTO&lt;&gt;"manual",$M216&lt;&gt;1)),ROUND(OFFSET($P216,0,AW$13),15-13*ORÇAMENTO!$AF$7)/$H216*OFFSET(ORÇAMENTO!$X$15,ROW(AW216)-ROW(AW$15),0),0)</f>
        <v>0</v>
      </c>
      <c r="AX216" s="632">
        <f ca="1">IF(AND($D216="Serviço",AX$12&lt;&gt;0,$H216&gt;0,OR(AUTOEVENTO&lt;&gt;"manual",$M216&lt;&gt;1)),ROUND(OFFSET($P216,0,AX$13),15-13*ORÇAMENTO!$AF$7)/$H216*OFFSET(ORÇAMENTO!$X$15,ROW(AX216)-ROW(AX$15),0),0)</f>
        <v>0</v>
      </c>
      <c r="AY216" s="632">
        <f ca="1">IF(AND($D216="Serviço",AY$12&lt;&gt;0,$H216&gt;0,OR(AUTOEVENTO&lt;&gt;"manual",$M216&lt;&gt;1)),ROUND(OFFSET($P216,0,AY$13),15-13*ORÇAMENTO!$AF$7)/$H216*OFFSET(ORÇAMENTO!$X$15,ROW(AY216)-ROW(AY$15),0),0)</f>
        <v>0</v>
      </c>
      <c r="AZ216" s="632">
        <f ca="1">IF(AND($D216="Serviço",AZ$12&lt;&gt;0,$H216&gt;0,OR(AUTOEVENTO&lt;&gt;"manual",$M216&lt;&gt;1)),ROUND(OFFSET($P216,0,AZ$13),15-13*ORÇAMENTO!$AF$7)/$H216*OFFSET(ORÇAMENTO!$X$15,ROW(AZ216)-ROW(AZ$15),0),0)</f>
        <v>0</v>
      </c>
      <c r="BA216" s="633">
        <f ca="1">IF(AND($D216="Serviço",BA$12&lt;&gt;0,$H216&gt;0,OR(AUTOEVENTO&lt;&gt;"manual",$M216&lt;&gt;1)),ROUND(OFFSET($P216,0,BA$13),15-13*ORÇAMENTO!$AF$7)/$H216*OFFSET(ORÇAMENTO!$X$15,ROW(BA216)-ROW(BA$15),0),0)</f>
        <v>0</v>
      </c>
      <c r="BC216" s="215">
        <f ca="1">IF($D216&lt;&gt;"Serviço",0,IF(AND(AUTOEVENTO="Manual",$M216=1),0,IF(OFFSET(CRONOPLE!$F$14,$M216,BC$13)="",10^12,OFFSET(CRONOPLE!$F$14,$M216,BC$13))))</f>
        <v>1000000000000</v>
      </c>
      <c r="BD216" s="215">
        <f ca="1">IF($D216&lt;&gt;"Serviço",0,IF(AND(AUTOEVENTO="Manual",$M216=1),0,IF(OFFSET(CRONOPLE!$F$14,$M216,BD$13)="",10^12,OFFSET(CRONOPLE!$F$14,$M216,BD$13))))</f>
        <v>1000000000000</v>
      </c>
      <c r="BE216" s="215">
        <f ca="1">IF($D216&lt;&gt;"Serviço",0,IF(AND(AUTOEVENTO="Manual",$M216=1),0,IF(OFFSET(CRONOPLE!$F$14,$M216,BE$13)="",10^12,OFFSET(CRONOPLE!$F$14,$M216,BE$13))))</f>
        <v>1000000000000</v>
      </c>
      <c r="BF216" s="215">
        <f ca="1">IF($D216&lt;&gt;"Serviço",0,IF(AND(AUTOEVENTO="Manual",$M216=1),0,IF(OFFSET(CRONOPLE!$F$14,$M216,BF$13)="",10^12,OFFSET(CRONOPLE!$F$14,$M216,BF$13))))</f>
        <v>1000000000000</v>
      </c>
      <c r="BG216" s="215">
        <f ca="1">IF($D216&lt;&gt;"Serviço",0,IF(AND(AUTOEVENTO="Manual",$M216=1),0,IF(OFFSET(CRONOPLE!$F$14,$M216,BG$13)="",10^12,OFFSET(CRONOPLE!$F$14,$M216,BG$13))))</f>
        <v>1000000000000</v>
      </c>
      <c r="BH216" s="215">
        <f ca="1">IF($D216&lt;&gt;"Serviço",0,IF(AND(AUTOEVENTO="Manual",$M216=1),0,IF(OFFSET(CRONOPLE!$F$14,$M216,BH$13)="",10^12,OFFSET(CRONOPLE!$F$14,$M216,BH$13))))</f>
        <v>1000000000000</v>
      </c>
      <c r="BI216" s="215">
        <f ca="1">IF($D216&lt;&gt;"Serviço",0,IF(AND(AUTOEVENTO="Manual",$M216=1),0,IF(OFFSET(CRONOPLE!$F$14,$M216,BI$13)="",10^12,OFFSET(CRONOPLE!$F$14,$M216,BI$13))))</f>
        <v>1000000000000</v>
      </c>
      <c r="BJ216" s="215">
        <f ca="1">IF($D216&lt;&gt;"Serviço",0,IF(AND(AUTOEVENTO="Manual",$M216=1),0,IF(OFFSET(CRONOPLE!$F$14,$M216,BJ$13)="",10^12,OFFSET(CRONOPLE!$F$14,$M216,BJ$13))))</f>
        <v>1000000000000</v>
      </c>
      <c r="BK216" s="215">
        <f ca="1">IF($D216&lt;&gt;"Serviço",0,IF(AND(AUTOEVENTO="Manual",$M216=1),0,IF(OFFSET(CRONOPLE!$F$14,$M216,BK$13)="",10^12,OFFSET(CRONOPLE!$F$14,$M216,BK$13))))</f>
        <v>1000000000000</v>
      </c>
      <c r="BL216" s="215">
        <f ca="1">IF($D216&lt;&gt;"Serviço",0,IF(AND(AUTOEVENTO="Manual",$M216=1),0,IF(OFFSET(CRONOPLE!$F$14,$M216,BL$13)="",10^12,OFFSET(CRONOPLE!$F$14,$M216,BL$13))))</f>
        <v>1000000000000</v>
      </c>
      <c r="BM216" s="215">
        <f ca="1">IF($D216&lt;&gt;"Serviço",0,IF(AND(AUTOEVENTO="Manual",$M216=1),0,IF(OFFSET(CRONOPLE!$F$14,$M216,BM$13)="",10^12,OFFSET(CRONOPLE!$F$14,$M216,BM$13))))</f>
        <v>1000000000000</v>
      </c>
      <c r="BN216" s="215">
        <f ca="1">IF($D216&lt;&gt;"Serviço",0,IF(AND(AUTOEVENTO="Manual",$M216=1),0,IF(OFFSET(CRONOPLE!$F$14,$M216,BN$13)="",10^12,OFFSET(CRONOPLE!$F$14,$M216,BN$13))))</f>
        <v>1000000000000</v>
      </c>
      <c r="BO216" s="215">
        <f ca="1">IF($D216&lt;&gt;"Serviço",0,IF(AND(AUTOEVENTO="Manual",$M216=1),0,IF(OFFSET(CRONOPLE!$F$14,$M216,BO$13)="",10^12,OFFSET(CRONOPLE!$F$14,$M216,BO$13))))</f>
        <v>1000000000000</v>
      </c>
      <c r="BP216" s="215">
        <f ca="1">IF($D216&lt;&gt;"Serviço",0,IF(AND(AUTOEVENTO="Manual",$M216=1),0,IF(OFFSET(CRONOPLE!$F$14,$M216,BP$13)="",10^12,OFFSET(CRONOPLE!$F$14,$M216,BP$13))))</f>
        <v>1000000000000</v>
      </c>
      <c r="BQ216" s="215">
        <f ca="1">IF($D216&lt;&gt;"Serviço",0,IF(AND(AUTOEVENTO="Manual",$M216=1),0,IF(OFFSET(CRONOPLE!$F$14,$M216,BQ$13)="",10^12,OFFSET(CRONOPLE!$F$14,$M216,BQ$13))))</f>
        <v>1000000000000</v>
      </c>
      <c r="BR216" s="215">
        <f ca="1">IF($D216&lt;&gt;"Serviço",0,IF(AND(AUTOEVENTO="Manual",$M216=1),0,IF(OFFSET(CRONOPLE!$F$14,$M216,BR$13)="",10^12,OFFSET(CRONOPLE!$F$14,$M216,BR$13))))</f>
        <v>1000000000000</v>
      </c>
      <c r="BS216" s="215">
        <f ca="1">IF($D216&lt;&gt;"Serviço",0,IF(AND(AUTOEVENTO="Manual",$M216=1),0,IF(OFFSET(CRONOPLE!$F$14,$M216,BS$13)="",10^12,OFFSET(CRONOPLE!$F$14,$M216,BS$13))))</f>
        <v>1000000000000</v>
      </c>
      <c r="BT216" s="215">
        <f ca="1">IF($D216&lt;&gt;"Serviço",0,IF(AND(AUTOEVENTO="Manual",$M216=1),0,IF(OFFSET(CRONOPLE!$F$14,$M216,BT$13)="",10^12,OFFSET(CRONOPLE!$F$14,$M216,BT$13))))</f>
        <v>1000000000000</v>
      </c>
      <c r="BV216" s="216">
        <f ca="1">IF($D216&lt;&gt;"Serviço",0,IF(OR(AND(AUTOEVENTO="Manual",$M216=1),$M216&gt;(ROW(PLE.lastrow)-ROW(PLE.firstrow))),0,IF(OFFSET(PLE!$G$14,$M216,BV$13)="",10^12,OFFSET(PLE!$G$14,$M216,BV$13))))</f>
        <v>1000000000000</v>
      </c>
      <c r="BW216" s="216">
        <f ca="1">IF($D216&lt;&gt;"Serviço",0,IF(OR(AND(AUTOEVENTO="Manual",$M216=1),$M216&gt;(ROW(PLE.lastrow)-ROW(PLE.firstrow))),0,IF(OFFSET(PLE!$G$14,$M216,BW$13)="",10^12,OFFSET(PLE!$G$14,$M216,BW$13))))</f>
        <v>1000000000000</v>
      </c>
      <c r="BX216" s="216">
        <f ca="1">IF($D216&lt;&gt;"Serviço",0,IF(OR(AND(AUTOEVENTO="Manual",$M216=1),$M216&gt;(ROW(PLE.lastrow)-ROW(PLE.firstrow))),0,IF(OFFSET(PLE!$G$14,$M216,BX$13)="",10^12,OFFSET(PLE!$G$14,$M216,BX$13))))</f>
        <v>1000000000000</v>
      </c>
      <c r="BY216" s="216">
        <f ca="1">IF($D216&lt;&gt;"Serviço",0,IF(OR(AND(AUTOEVENTO="Manual",$M216=1),$M216&gt;(ROW(PLE.lastrow)-ROW(PLE.firstrow))),0,IF(OFFSET(PLE!$G$14,$M216,BY$13)="",10^12,OFFSET(PLE!$G$14,$M216,BY$13))))</f>
        <v>1000000000000</v>
      </c>
      <c r="BZ216" s="216">
        <f ca="1">IF($D216&lt;&gt;"Serviço",0,IF(OR(AND(AUTOEVENTO="Manual",$M216=1),$M216&gt;(ROW(PLE.lastrow)-ROW(PLE.firstrow))),0,IF(OFFSET(PLE!$G$14,$M216,BZ$13)="",10^12,OFFSET(PLE!$G$14,$M216,BZ$13))))</f>
        <v>1000000000000</v>
      </c>
      <c r="CA216" s="216">
        <f ca="1">IF($D216&lt;&gt;"Serviço",0,IF(OR(AND(AUTOEVENTO="Manual",$M216=1),$M216&gt;(ROW(PLE.lastrow)-ROW(PLE.firstrow))),0,IF(OFFSET(PLE!$G$14,$M216,CA$13)="",10^12,OFFSET(PLE!$G$14,$M216,CA$13))))</f>
        <v>1000000000000</v>
      </c>
      <c r="CB216" s="216">
        <f ca="1">IF($D216&lt;&gt;"Serviço",0,IF(OR(AND(AUTOEVENTO="Manual",$M216=1),$M216&gt;(ROW(PLE.lastrow)-ROW(PLE.firstrow))),0,IF(OFFSET(PLE!$G$14,$M216,CB$13)="",10^12,OFFSET(PLE!$G$14,$M216,CB$13))))</f>
        <v>1000000000000</v>
      </c>
      <c r="CC216" s="216">
        <f ca="1">IF($D216&lt;&gt;"Serviço",0,IF(OR(AND(AUTOEVENTO="Manual",$M216=1),$M216&gt;(ROW(PLE.lastrow)-ROW(PLE.firstrow))),0,IF(OFFSET(PLE!$G$14,$M216,CC$13)="",10^12,OFFSET(PLE!$G$14,$M216,CC$13))))</f>
        <v>1000000000000</v>
      </c>
      <c r="CD216" s="216">
        <f ca="1">IF($D216&lt;&gt;"Serviço",0,IF(OR(AND(AUTOEVENTO="Manual",$M216=1),$M216&gt;(ROW(PLE.lastrow)-ROW(PLE.firstrow))),0,IF(OFFSET(PLE!$G$14,$M216,CD$13)="",10^12,OFFSET(PLE!$G$14,$M216,CD$13))))</f>
        <v>1000000000000</v>
      </c>
      <c r="CE216" s="216">
        <f ca="1">IF($D216&lt;&gt;"Serviço",0,IF(OR(AND(AUTOEVENTO="Manual",$M216=1),$M216&gt;(ROW(PLE.lastrow)-ROW(PLE.firstrow))),0,IF(OFFSET(PLE!$G$14,$M216,CE$13)="",10^12,OFFSET(PLE!$G$14,$M216,CE$13))))</f>
        <v>1000000000000</v>
      </c>
      <c r="CF216" s="216">
        <f ca="1">IF($D216&lt;&gt;"Serviço",0,IF(OR(AND(AUTOEVENTO="Manual",$M216=1),$M216&gt;(ROW(PLE.lastrow)-ROW(PLE.firstrow))),0,IF(OFFSET(PLE!$G$14,$M216,CF$13)="",10^12,OFFSET(PLE!$G$14,$M216,CF$13))))</f>
        <v>1000000000000</v>
      </c>
      <c r="CG216" s="216">
        <f ca="1">IF($D216&lt;&gt;"Serviço",0,IF(OR(AND(AUTOEVENTO="Manual",$M216=1),$M216&gt;(ROW(PLE.lastrow)-ROW(PLE.firstrow))),0,IF(OFFSET(PLE!$G$14,$M216,CG$13)="",10^12,OFFSET(PLE!$G$14,$M216,CG$13))))</f>
        <v>1000000000000</v>
      </c>
      <c r="CH216" s="216">
        <f ca="1">IF($D216&lt;&gt;"Serviço",0,IF(OR(AND(AUTOEVENTO="Manual",$M216=1),$M216&gt;(ROW(PLE.lastrow)-ROW(PLE.firstrow))),0,IF(OFFSET(PLE!$G$14,$M216,CH$13)="",10^12,OFFSET(PLE!$G$14,$M216,CH$13))))</f>
        <v>1000000000000</v>
      </c>
      <c r="CI216" s="216">
        <f ca="1">IF($D216&lt;&gt;"Serviço",0,IF(OR(AND(AUTOEVENTO="Manual",$M216=1),$M216&gt;(ROW(PLE.lastrow)-ROW(PLE.firstrow))),0,IF(OFFSET(PLE!$G$14,$M216,CI$13)="",10^12,OFFSET(PLE!$G$14,$M216,CI$13))))</f>
        <v>1000000000000</v>
      </c>
      <c r="CJ216" s="216">
        <f ca="1">IF($D216&lt;&gt;"Serviço",0,IF(OR(AND(AUTOEVENTO="Manual",$M216=1),$M216&gt;(ROW(PLE.lastrow)-ROW(PLE.firstrow))),0,IF(OFFSET(PLE!$G$14,$M216,CJ$13)="",10^12,OFFSET(PLE!$G$14,$M216,CJ$13))))</f>
        <v>1000000000000</v>
      </c>
      <c r="CK216" s="216">
        <f ca="1">IF($D216&lt;&gt;"Serviço",0,IF(OR(AND(AUTOEVENTO="Manual",$M216=1),$M216&gt;(ROW(PLE.lastrow)-ROW(PLE.firstrow))),0,IF(OFFSET(PLE!$G$14,$M216,CK$13)="",10^12,OFFSET(PLE!$G$14,$M216,CK$13))))</f>
        <v>1000000000000</v>
      </c>
      <c r="CL216" s="216">
        <f ca="1">IF($D216&lt;&gt;"Serviço",0,IF(OR(AND(AUTOEVENTO="Manual",$M216=1),$M216&gt;(ROW(PLE.lastrow)-ROW(PLE.firstrow))),0,IF(OFFSET(PLE!$G$14,$M216,CL$13)="",10^12,OFFSET(PLE!$G$14,$M216,CL$13))))</f>
        <v>1000000000000</v>
      </c>
      <c r="CM216" s="216">
        <f ca="1">IF($D216&lt;&gt;"Serviço",0,IF(OR(AND(AUTOEVENTO="Manual",$M216=1),$M216&gt;(ROW(PLE.lastrow)-ROW(PLE.firstrow))),0,IF(OFFSET(PLE!$G$14,$M216,CM$13)="",10^12,OFFSET(PLE!$G$14,$M216,CM$13))))</f>
        <v>1000000000000</v>
      </c>
    </row>
    <row r="217" spans="1:91" ht="13.2" x14ac:dyDescent="0.25">
      <c r="A217" s="9">
        <f t="shared" ca="1" si="12"/>
        <v>0</v>
      </c>
      <c r="B217" s="9" t="str">
        <f ca="1">OFFSET(ORÇAMENTO!C$15,ROW(B217)-ROW(B$15),0)</f>
        <v>S</v>
      </c>
      <c r="C217" s="9" t="str">
        <f ca="1">OFFSET(ORÇAMENTO!L$15,ROW(C217)-ROW(C$15),0)</f>
        <v/>
      </c>
      <c r="D217" s="145" t="str">
        <f ca="1">OFFSET(ORÇAMENTO!N$15,ROW(D217)-ROW(D$15),0)</f>
        <v>Serviço</v>
      </c>
      <c r="E217" s="205" t="str">
        <f ca="1">OFFSET(ORÇAMENTO!O$15,ROW(E217)-ROW(E$15),0)</f>
        <v>-</v>
      </c>
      <c r="F217" s="206" t="str">
        <f ca="1">OFFSET(ORÇAMENTO!R$15,ROW(F217)-ROW(F$15),0)</f>
        <v>(abra o arquivo 'Referência 05-2024.xls)</v>
      </c>
      <c r="G217" s="207" t="str">
        <f ca="1">IF($D217&lt;&gt;"Serviço","",OFFSET(ORÇAMENTO!S$15,ROW(G217)-ROW(G$15),0))</f>
        <v>-</v>
      </c>
      <c r="H217" s="151">
        <f ca="1">IF($D217&lt;&gt;"Serviço",0,IF(ACOMPANHAMENTO="BM",ROUND(OFFSET(ORÇAMENTO!AJ$15,ROW(H217)-ROW(H$15),0),15-13*ORÇAMENTO!$AF$7),SUMPRODUCT(($Q$12:$AI$12&lt;&gt;"")*ROUND($Q217:$AI217,15-13*ORÇAMENTO!$AF$7))))</f>
        <v>151.6</v>
      </c>
      <c r="I217" s="650"/>
      <c r="K217" s="208"/>
      <c r="L217" s="209" t="s">
        <v>257</v>
      </c>
      <c r="M217" s="210">
        <f ca="1">IF($D217&lt;&gt;"Serviço","",IF(AUTOEVENTO="manual",$A217,IF(ISERROR(MATCH($A217,$A$15:OFFSET($A217,-1,0),0)),MAX($M$15:OFFSET(M217,-1,0))+1,INDEX($M$15:OFFSET(M217,-1,0),MATCH($A217,$A$15:OFFSET($A217,-1,0),0)))))</f>
        <v>0</v>
      </c>
      <c r="N217" s="211" t="str">
        <f ca="1">IF($D217&lt;&gt;"Serviço","",IF(AUTOEVENTO="Manual",IF($A217=0,"&lt;-- defina o número do agrupador",OFFSET(EVENTOS!$D$14,$A217,0)),OFFSET($F$15,$A217,0)))</f>
        <v>&lt;-- defina o número do agrupador</v>
      </c>
      <c r="O217" s="212"/>
      <c r="Q217" s="212"/>
      <c r="R217" s="213"/>
      <c r="S217" s="213"/>
      <c r="T217" s="213"/>
      <c r="U217" s="213"/>
      <c r="V217" s="213"/>
      <c r="W217" s="213"/>
      <c r="X217" s="213"/>
      <c r="Y217" s="213"/>
      <c r="Z217" s="214"/>
      <c r="AA217" s="213"/>
      <c r="AB217" s="213"/>
      <c r="AC217" s="213"/>
      <c r="AD217" s="213"/>
      <c r="AE217" s="213"/>
      <c r="AF217" s="213"/>
      <c r="AG217" s="213"/>
      <c r="AH217" s="214"/>
      <c r="AJ217" s="631">
        <f ca="1">IF(AND($D217="Serviço",AJ$12&lt;&gt;0,$H217&gt;0,OR(AUTOEVENTO&lt;&gt;"manual",$M217&lt;&gt;1)),ROUND(OFFSET($P217,0,AJ$13),15-13*ORÇAMENTO!$AF$7)/$H217*OFFSET(ORÇAMENTO!$X$15,ROW(AJ217)-ROW(AJ$15),0),0)</f>
        <v>0</v>
      </c>
      <c r="AK217" s="632">
        <f ca="1">IF(AND($D217="Serviço",AK$12&lt;&gt;0,$H217&gt;0,OR(AUTOEVENTO&lt;&gt;"manual",$M217&lt;&gt;1)),ROUND(OFFSET($P217,0,AK$13),15-13*ORÇAMENTO!$AF$7)/$H217*OFFSET(ORÇAMENTO!$X$15,ROW(AK217)-ROW(AK$15),0),0)</f>
        <v>0</v>
      </c>
      <c r="AL217" s="632">
        <f ca="1">IF(AND($D217="Serviço",AL$12&lt;&gt;0,$H217&gt;0,OR(AUTOEVENTO&lt;&gt;"manual",$M217&lt;&gt;1)),ROUND(OFFSET($P217,0,AL$13),15-13*ORÇAMENTO!$AF$7)/$H217*OFFSET(ORÇAMENTO!$X$15,ROW(AL217)-ROW(AL$15),0),0)</f>
        <v>0</v>
      </c>
      <c r="AM217" s="632">
        <f ca="1">IF(AND($D217="Serviço",AM$12&lt;&gt;0,$H217&gt;0,OR(AUTOEVENTO&lt;&gt;"manual",$M217&lt;&gt;1)),ROUND(OFFSET($P217,0,AM$13),15-13*ORÇAMENTO!$AF$7)/$H217*OFFSET(ORÇAMENTO!$X$15,ROW(AM217)-ROW(AM$15),0),0)</f>
        <v>0</v>
      </c>
      <c r="AN217" s="632">
        <f ca="1">IF(AND($D217="Serviço",AN$12&lt;&gt;0,$H217&gt;0,OR(AUTOEVENTO&lt;&gt;"manual",$M217&lt;&gt;1)),ROUND(OFFSET($P217,0,AN$13),15-13*ORÇAMENTO!$AF$7)/$H217*OFFSET(ORÇAMENTO!$X$15,ROW(AN217)-ROW(AN$15),0),0)</f>
        <v>0</v>
      </c>
      <c r="AO217" s="632">
        <f ca="1">IF(AND($D217="Serviço",AO$12&lt;&gt;0,$H217&gt;0,OR(AUTOEVENTO&lt;&gt;"manual",$M217&lt;&gt;1)),ROUND(OFFSET($P217,0,AO$13),15-13*ORÇAMENTO!$AF$7)/$H217*OFFSET(ORÇAMENTO!$X$15,ROW(AO217)-ROW(AO$15),0),0)</f>
        <v>0</v>
      </c>
      <c r="AP217" s="632">
        <f ca="1">IF(AND($D217="Serviço",AP$12&lt;&gt;0,$H217&gt;0,OR(AUTOEVENTO&lt;&gt;"manual",$M217&lt;&gt;1)),ROUND(OFFSET($P217,0,AP$13),15-13*ORÇAMENTO!$AF$7)/$H217*OFFSET(ORÇAMENTO!$X$15,ROW(AP217)-ROW(AP$15),0),0)</f>
        <v>0</v>
      </c>
      <c r="AQ217" s="632">
        <f ca="1">IF(AND($D217="Serviço",AQ$12&lt;&gt;0,$H217&gt;0,OR(AUTOEVENTO&lt;&gt;"manual",$M217&lt;&gt;1)),ROUND(OFFSET($P217,0,AQ$13),15-13*ORÇAMENTO!$AF$7)/$H217*OFFSET(ORÇAMENTO!$X$15,ROW(AQ217)-ROW(AQ$15),0),0)</f>
        <v>0</v>
      </c>
      <c r="AR217" s="632">
        <f ca="1">IF(AND($D217="Serviço",AR$12&lt;&gt;0,$H217&gt;0,OR(AUTOEVENTO&lt;&gt;"manual",$M217&lt;&gt;1)),ROUND(OFFSET($P217,0,AR$13),15-13*ORÇAMENTO!$AF$7)/$H217*OFFSET(ORÇAMENTO!$X$15,ROW(AR217)-ROW(AR$15),0),0)</f>
        <v>0</v>
      </c>
      <c r="AS217" s="633">
        <f ca="1">IF(AND($D217="Serviço",AS$12&lt;&gt;0,$H217&gt;0,OR(AUTOEVENTO&lt;&gt;"manual",$M217&lt;&gt;1)),ROUND(OFFSET($P217,0,AS$13),15-13*ORÇAMENTO!$AF$7)/$H217*OFFSET(ORÇAMENTO!$X$15,ROW(AS217)-ROW(AS$15),0),0)</f>
        <v>0</v>
      </c>
      <c r="AT217" s="632">
        <f ca="1">IF(AND($D217="Serviço",AT$12&lt;&gt;0,$H217&gt;0,OR(AUTOEVENTO&lt;&gt;"manual",$M217&lt;&gt;1)),ROUND(OFFSET($P217,0,AT$13),15-13*ORÇAMENTO!$AF$7)/$H217*OFFSET(ORÇAMENTO!$X$15,ROW(AT217)-ROW(AT$15),0),0)</f>
        <v>0</v>
      </c>
      <c r="AU217" s="632">
        <f ca="1">IF(AND($D217="Serviço",AU$12&lt;&gt;0,$H217&gt;0,OR(AUTOEVENTO&lt;&gt;"manual",$M217&lt;&gt;1)),ROUND(OFFSET($P217,0,AU$13),15-13*ORÇAMENTO!$AF$7)/$H217*OFFSET(ORÇAMENTO!$X$15,ROW(AU217)-ROW(AU$15),0),0)</f>
        <v>0</v>
      </c>
      <c r="AV217" s="632">
        <f ca="1">IF(AND($D217="Serviço",AV$12&lt;&gt;0,$H217&gt;0,OR(AUTOEVENTO&lt;&gt;"manual",$M217&lt;&gt;1)),ROUND(OFFSET($P217,0,AV$13),15-13*ORÇAMENTO!$AF$7)/$H217*OFFSET(ORÇAMENTO!$X$15,ROW(AV217)-ROW(AV$15),0),0)</f>
        <v>0</v>
      </c>
      <c r="AW217" s="632">
        <f ca="1">IF(AND($D217="Serviço",AW$12&lt;&gt;0,$H217&gt;0,OR(AUTOEVENTO&lt;&gt;"manual",$M217&lt;&gt;1)),ROUND(OFFSET($P217,0,AW$13),15-13*ORÇAMENTO!$AF$7)/$H217*OFFSET(ORÇAMENTO!$X$15,ROW(AW217)-ROW(AW$15),0),0)</f>
        <v>0</v>
      </c>
      <c r="AX217" s="632">
        <f ca="1">IF(AND($D217="Serviço",AX$12&lt;&gt;0,$H217&gt;0,OR(AUTOEVENTO&lt;&gt;"manual",$M217&lt;&gt;1)),ROUND(OFFSET($P217,0,AX$13),15-13*ORÇAMENTO!$AF$7)/$H217*OFFSET(ORÇAMENTO!$X$15,ROW(AX217)-ROW(AX$15),0),0)</f>
        <v>0</v>
      </c>
      <c r="AY217" s="632">
        <f ca="1">IF(AND($D217="Serviço",AY$12&lt;&gt;0,$H217&gt;0,OR(AUTOEVENTO&lt;&gt;"manual",$M217&lt;&gt;1)),ROUND(OFFSET($P217,0,AY$13),15-13*ORÇAMENTO!$AF$7)/$H217*OFFSET(ORÇAMENTO!$X$15,ROW(AY217)-ROW(AY$15),0),0)</f>
        <v>0</v>
      </c>
      <c r="AZ217" s="632">
        <f ca="1">IF(AND($D217="Serviço",AZ$12&lt;&gt;0,$H217&gt;0,OR(AUTOEVENTO&lt;&gt;"manual",$M217&lt;&gt;1)),ROUND(OFFSET($P217,0,AZ$13),15-13*ORÇAMENTO!$AF$7)/$H217*OFFSET(ORÇAMENTO!$X$15,ROW(AZ217)-ROW(AZ$15),0),0)</f>
        <v>0</v>
      </c>
      <c r="BA217" s="633">
        <f ca="1">IF(AND($D217="Serviço",BA$12&lt;&gt;0,$H217&gt;0,OR(AUTOEVENTO&lt;&gt;"manual",$M217&lt;&gt;1)),ROUND(OFFSET($P217,0,BA$13),15-13*ORÇAMENTO!$AF$7)/$H217*OFFSET(ORÇAMENTO!$X$15,ROW(BA217)-ROW(BA$15),0),0)</f>
        <v>0</v>
      </c>
      <c r="BC217" s="215">
        <f ca="1">IF($D217&lt;&gt;"Serviço",0,IF(AND(AUTOEVENTO="Manual",$M217=1),0,IF(OFFSET(CRONOPLE!$F$14,$M217,BC$13)="",10^12,OFFSET(CRONOPLE!$F$14,$M217,BC$13))))</f>
        <v>1000000000000</v>
      </c>
      <c r="BD217" s="215">
        <f ca="1">IF($D217&lt;&gt;"Serviço",0,IF(AND(AUTOEVENTO="Manual",$M217=1),0,IF(OFFSET(CRONOPLE!$F$14,$M217,BD$13)="",10^12,OFFSET(CRONOPLE!$F$14,$M217,BD$13))))</f>
        <v>1000000000000</v>
      </c>
      <c r="BE217" s="215">
        <f ca="1">IF($D217&lt;&gt;"Serviço",0,IF(AND(AUTOEVENTO="Manual",$M217=1),0,IF(OFFSET(CRONOPLE!$F$14,$M217,BE$13)="",10^12,OFFSET(CRONOPLE!$F$14,$M217,BE$13))))</f>
        <v>1000000000000</v>
      </c>
      <c r="BF217" s="215">
        <f ca="1">IF($D217&lt;&gt;"Serviço",0,IF(AND(AUTOEVENTO="Manual",$M217=1),0,IF(OFFSET(CRONOPLE!$F$14,$M217,BF$13)="",10^12,OFFSET(CRONOPLE!$F$14,$M217,BF$13))))</f>
        <v>1000000000000</v>
      </c>
      <c r="BG217" s="215">
        <f ca="1">IF($D217&lt;&gt;"Serviço",0,IF(AND(AUTOEVENTO="Manual",$M217=1),0,IF(OFFSET(CRONOPLE!$F$14,$M217,BG$13)="",10^12,OFFSET(CRONOPLE!$F$14,$M217,BG$13))))</f>
        <v>1000000000000</v>
      </c>
      <c r="BH217" s="215">
        <f ca="1">IF($D217&lt;&gt;"Serviço",0,IF(AND(AUTOEVENTO="Manual",$M217=1),0,IF(OFFSET(CRONOPLE!$F$14,$M217,BH$13)="",10^12,OFFSET(CRONOPLE!$F$14,$M217,BH$13))))</f>
        <v>1000000000000</v>
      </c>
      <c r="BI217" s="215">
        <f ca="1">IF($D217&lt;&gt;"Serviço",0,IF(AND(AUTOEVENTO="Manual",$M217=1),0,IF(OFFSET(CRONOPLE!$F$14,$M217,BI$13)="",10^12,OFFSET(CRONOPLE!$F$14,$M217,BI$13))))</f>
        <v>1000000000000</v>
      </c>
      <c r="BJ217" s="215">
        <f ca="1">IF($D217&lt;&gt;"Serviço",0,IF(AND(AUTOEVENTO="Manual",$M217=1),0,IF(OFFSET(CRONOPLE!$F$14,$M217,BJ$13)="",10^12,OFFSET(CRONOPLE!$F$14,$M217,BJ$13))))</f>
        <v>1000000000000</v>
      </c>
      <c r="BK217" s="215">
        <f ca="1">IF($D217&lt;&gt;"Serviço",0,IF(AND(AUTOEVENTO="Manual",$M217=1),0,IF(OFFSET(CRONOPLE!$F$14,$M217,BK$13)="",10^12,OFFSET(CRONOPLE!$F$14,$M217,BK$13))))</f>
        <v>1000000000000</v>
      </c>
      <c r="BL217" s="215">
        <f ca="1">IF($D217&lt;&gt;"Serviço",0,IF(AND(AUTOEVENTO="Manual",$M217=1),0,IF(OFFSET(CRONOPLE!$F$14,$M217,BL$13)="",10^12,OFFSET(CRONOPLE!$F$14,$M217,BL$13))))</f>
        <v>1000000000000</v>
      </c>
      <c r="BM217" s="215">
        <f ca="1">IF($D217&lt;&gt;"Serviço",0,IF(AND(AUTOEVENTO="Manual",$M217=1),0,IF(OFFSET(CRONOPLE!$F$14,$M217,BM$13)="",10^12,OFFSET(CRONOPLE!$F$14,$M217,BM$13))))</f>
        <v>1000000000000</v>
      </c>
      <c r="BN217" s="215">
        <f ca="1">IF($D217&lt;&gt;"Serviço",0,IF(AND(AUTOEVENTO="Manual",$M217=1),0,IF(OFFSET(CRONOPLE!$F$14,$M217,BN$13)="",10^12,OFFSET(CRONOPLE!$F$14,$M217,BN$13))))</f>
        <v>1000000000000</v>
      </c>
      <c r="BO217" s="215">
        <f ca="1">IF($D217&lt;&gt;"Serviço",0,IF(AND(AUTOEVENTO="Manual",$M217=1),0,IF(OFFSET(CRONOPLE!$F$14,$M217,BO$13)="",10^12,OFFSET(CRONOPLE!$F$14,$M217,BO$13))))</f>
        <v>1000000000000</v>
      </c>
      <c r="BP217" s="215">
        <f ca="1">IF($D217&lt;&gt;"Serviço",0,IF(AND(AUTOEVENTO="Manual",$M217=1),0,IF(OFFSET(CRONOPLE!$F$14,$M217,BP$13)="",10^12,OFFSET(CRONOPLE!$F$14,$M217,BP$13))))</f>
        <v>1000000000000</v>
      </c>
      <c r="BQ217" s="215">
        <f ca="1">IF($D217&lt;&gt;"Serviço",0,IF(AND(AUTOEVENTO="Manual",$M217=1),0,IF(OFFSET(CRONOPLE!$F$14,$M217,BQ$13)="",10^12,OFFSET(CRONOPLE!$F$14,$M217,BQ$13))))</f>
        <v>1000000000000</v>
      </c>
      <c r="BR217" s="215">
        <f ca="1">IF($D217&lt;&gt;"Serviço",0,IF(AND(AUTOEVENTO="Manual",$M217=1),0,IF(OFFSET(CRONOPLE!$F$14,$M217,BR$13)="",10^12,OFFSET(CRONOPLE!$F$14,$M217,BR$13))))</f>
        <v>1000000000000</v>
      </c>
      <c r="BS217" s="215">
        <f ca="1">IF($D217&lt;&gt;"Serviço",0,IF(AND(AUTOEVENTO="Manual",$M217=1),0,IF(OFFSET(CRONOPLE!$F$14,$M217,BS$13)="",10^12,OFFSET(CRONOPLE!$F$14,$M217,BS$13))))</f>
        <v>1000000000000</v>
      </c>
      <c r="BT217" s="215">
        <f ca="1">IF($D217&lt;&gt;"Serviço",0,IF(AND(AUTOEVENTO="Manual",$M217=1),0,IF(OFFSET(CRONOPLE!$F$14,$M217,BT$13)="",10^12,OFFSET(CRONOPLE!$F$14,$M217,BT$13))))</f>
        <v>1000000000000</v>
      </c>
      <c r="BV217" s="216">
        <f ca="1">IF($D217&lt;&gt;"Serviço",0,IF(OR(AND(AUTOEVENTO="Manual",$M217=1),$M217&gt;(ROW(PLE.lastrow)-ROW(PLE.firstrow))),0,IF(OFFSET(PLE!$G$14,$M217,BV$13)="",10^12,OFFSET(PLE!$G$14,$M217,BV$13))))</f>
        <v>1000000000000</v>
      </c>
      <c r="BW217" s="216">
        <f ca="1">IF($D217&lt;&gt;"Serviço",0,IF(OR(AND(AUTOEVENTO="Manual",$M217=1),$M217&gt;(ROW(PLE.lastrow)-ROW(PLE.firstrow))),0,IF(OFFSET(PLE!$G$14,$M217,BW$13)="",10^12,OFFSET(PLE!$G$14,$M217,BW$13))))</f>
        <v>1000000000000</v>
      </c>
      <c r="BX217" s="216">
        <f ca="1">IF($D217&lt;&gt;"Serviço",0,IF(OR(AND(AUTOEVENTO="Manual",$M217=1),$M217&gt;(ROW(PLE.lastrow)-ROW(PLE.firstrow))),0,IF(OFFSET(PLE!$G$14,$M217,BX$13)="",10^12,OFFSET(PLE!$G$14,$M217,BX$13))))</f>
        <v>1000000000000</v>
      </c>
      <c r="BY217" s="216">
        <f ca="1">IF($D217&lt;&gt;"Serviço",0,IF(OR(AND(AUTOEVENTO="Manual",$M217=1),$M217&gt;(ROW(PLE.lastrow)-ROW(PLE.firstrow))),0,IF(OFFSET(PLE!$G$14,$M217,BY$13)="",10^12,OFFSET(PLE!$G$14,$M217,BY$13))))</f>
        <v>1000000000000</v>
      </c>
      <c r="BZ217" s="216">
        <f ca="1">IF($D217&lt;&gt;"Serviço",0,IF(OR(AND(AUTOEVENTO="Manual",$M217=1),$M217&gt;(ROW(PLE.lastrow)-ROW(PLE.firstrow))),0,IF(OFFSET(PLE!$G$14,$M217,BZ$13)="",10^12,OFFSET(PLE!$G$14,$M217,BZ$13))))</f>
        <v>1000000000000</v>
      </c>
      <c r="CA217" s="216">
        <f ca="1">IF($D217&lt;&gt;"Serviço",0,IF(OR(AND(AUTOEVENTO="Manual",$M217=1),$M217&gt;(ROW(PLE.lastrow)-ROW(PLE.firstrow))),0,IF(OFFSET(PLE!$G$14,$M217,CA$13)="",10^12,OFFSET(PLE!$G$14,$M217,CA$13))))</f>
        <v>1000000000000</v>
      </c>
      <c r="CB217" s="216">
        <f ca="1">IF($D217&lt;&gt;"Serviço",0,IF(OR(AND(AUTOEVENTO="Manual",$M217=1),$M217&gt;(ROW(PLE.lastrow)-ROW(PLE.firstrow))),0,IF(OFFSET(PLE!$G$14,$M217,CB$13)="",10^12,OFFSET(PLE!$G$14,$M217,CB$13))))</f>
        <v>1000000000000</v>
      </c>
      <c r="CC217" s="216">
        <f ca="1">IF($D217&lt;&gt;"Serviço",0,IF(OR(AND(AUTOEVENTO="Manual",$M217=1),$M217&gt;(ROW(PLE.lastrow)-ROW(PLE.firstrow))),0,IF(OFFSET(PLE!$G$14,$M217,CC$13)="",10^12,OFFSET(PLE!$G$14,$M217,CC$13))))</f>
        <v>1000000000000</v>
      </c>
      <c r="CD217" s="216">
        <f ca="1">IF($D217&lt;&gt;"Serviço",0,IF(OR(AND(AUTOEVENTO="Manual",$M217=1),$M217&gt;(ROW(PLE.lastrow)-ROW(PLE.firstrow))),0,IF(OFFSET(PLE!$G$14,$M217,CD$13)="",10^12,OFFSET(PLE!$G$14,$M217,CD$13))))</f>
        <v>1000000000000</v>
      </c>
      <c r="CE217" s="216">
        <f ca="1">IF($D217&lt;&gt;"Serviço",0,IF(OR(AND(AUTOEVENTO="Manual",$M217=1),$M217&gt;(ROW(PLE.lastrow)-ROW(PLE.firstrow))),0,IF(OFFSET(PLE!$G$14,$M217,CE$13)="",10^12,OFFSET(PLE!$G$14,$M217,CE$13))))</f>
        <v>1000000000000</v>
      </c>
      <c r="CF217" s="216">
        <f ca="1">IF($D217&lt;&gt;"Serviço",0,IF(OR(AND(AUTOEVENTO="Manual",$M217=1),$M217&gt;(ROW(PLE.lastrow)-ROW(PLE.firstrow))),0,IF(OFFSET(PLE!$G$14,$M217,CF$13)="",10^12,OFFSET(PLE!$G$14,$M217,CF$13))))</f>
        <v>1000000000000</v>
      </c>
      <c r="CG217" s="216">
        <f ca="1">IF($D217&lt;&gt;"Serviço",0,IF(OR(AND(AUTOEVENTO="Manual",$M217=1),$M217&gt;(ROW(PLE.lastrow)-ROW(PLE.firstrow))),0,IF(OFFSET(PLE!$G$14,$M217,CG$13)="",10^12,OFFSET(PLE!$G$14,$M217,CG$13))))</f>
        <v>1000000000000</v>
      </c>
      <c r="CH217" s="216">
        <f ca="1">IF($D217&lt;&gt;"Serviço",0,IF(OR(AND(AUTOEVENTO="Manual",$M217=1),$M217&gt;(ROW(PLE.lastrow)-ROW(PLE.firstrow))),0,IF(OFFSET(PLE!$G$14,$M217,CH$13)="",10^12,OFFSET(PLE!$G$14,$M217,CH$13))))</f>
        <v>1000000000000</v>
      </c>
      <c r="CI217" s="216">
        <f ca="1">IF($D217&lt;&gt;"Serviço",0,IF(OR(AND(AUTOEVENTO="Manual",$M217=1),$M217&gt;(ROW(PLE.lastrow)-ROW(PLE.firstrow))),0,IF(OFFSET(PLE!$G$14,$M217,CI$13)="",10^12,OFFSET(PLE!$G$14,$M217,CI$13))))</f>
        <v>1000000000000</v>
      </c>
      <c r="CJ217" s="216">
        <f ca="1">IF($D217&lt;&gt;"Serviço",0,IF(OR(AND(AUTOEVENTO="Manual",$M217=1),$M217&gt;(ROW(PLE.lastrow)-ROW(PLE.firstrow))),0,IF(OFFSET(PLE!$G$14,$M217,CJ$13)="",10^12,OFFSET(PLE!$G$14,$M217,CJ$13))))</f>
        <v>1000000000000</v>
      </c>
      <c r="CK217" s="216">
        <f ca="1">IF($D217&lt;&gt;"Serviço",0,IF(OR(AND(AUTOEVENTO="Manual",$M217=1),$M217&gt;(ROW(PLE.lastrow)-ROW(PLE.firstrow))),0,IF(OFFSET(PLE!$G$14,$M217,CK$13)="",10^12,OFFSET(PLE!$G$14,$M217,CK$13))))</f>
        <v>1000000000000</v>
      </c>
      <c r="CL217" s="216">
        <f ca="1">IF($D217&lt;&gt;"Serviço",0,IF(OR(AND(AUTOEVENTO="Manual",$M217=1),$M217&gt;(ROW(PLE.lastrow)-ROW(PLE.firstrow))),0,IF(OFFSET(PLE!$G$14,$M217,CL$13)="",10^12,OFFSET(PLE!$G$14,$M217,CL$13))))</f>
        <v>1000000000000</v>
      </c>
      <c r="CM217" s="216">
        <f ca="1">IF($D217&lt;&gt;"Serviço",0,IF(OR(AND(AUTOEVENTO="Manual",$M217=1),$M217&gt;(ROW(PLE.lastrow)-ROW(PLE.firstrow))),0,IF(OFFSET(PLE!$G$14,$M217,CM$13)="",10^12,OFFSET(PLE!$G$14,$M217,CM$13))))</f>
        <v>1000000000000</v>
      </c>
    </row>
    <row r="218" spans="1:91" ht="13.2" x14ac:dyDescent="0.25">
      <c r="A218" s="9">
        <f t="shared" ca="1" si="12"/>
        <v>0</v>
      </c>
      <c r="B218" s="9" t="str">
        <f ca="1">OFFSET(ORÇAMENTO!C$15,ROW(B218)-ROW(B$15),0)</f>
        <v>S</v>
      </c>
      <c r="C218" s="9" t="str">
        <f ca="1">OFFSET(ORÇAMENTO!L$15,ROW(C218)-ROW(C$15),0)</f>
        <v/>
      </c>
      <c r="D218" s="145" t="str">
        <f ca="1">OFFSET(ORÇAMENTO!N$15,ROW(D218)-ROW(D$15),0)</f>
        <v>Serviço</v>
      </c>
      <c r="E218" s="205" t="str">
        <f ca="1">OFFSET(ORÇAMENTO!O$15,ROW(E218)-ROW(E$15),0)</f>
        <v>-</v>
      </c>
      <c r="F218" s="206" t="str">
        <f ca="1">OFFSET(ORÇAMENTO!R$15,ROW(F218)-ROW(F$15),0)</f>
        <v>(abra o arquivo 'Referência 05-2024.xls)</v>
      </c>
      <c r="G218" s="207" t="str">
        <f ca="1">IF($D218&lt;&gt;"Serviço","",OFFSET(ORÇAMENTO!S$15,ROW(G218)-ROW(G$15),0))</f>
        <v>-</v>
      </c>
      <c r="H218" s="151">
        <f ca="1">IF($D218&lt;&gt;"Serviço",0,IF(ACOMPANHAMENTO="BM",ROUND(OFFSET(ORÇAMENTO!AJ$15,ROW(H218)-ROW(H$15),0),15-13*ORÇAMENTO!$AF$7),SUMPRODUCT(($Q$12:$AI$12&lt;&gt;"")*ROUND($Q218:$AI218,15-13*ORÇAMENTO!$AF$7))))</f>
        <v>104.15</v>
      </c>
      <c r="I218" s="650"/>
      <c r="K218" s="208"/>
      <c r="L218" s="209" t="s">
        <v>257</v>
      </c>
      <c r="M218" s="210">
        <f ca="1">IF($D218&lt;&gt;"Serviço","",IF(AUTOEVENTO="manual",$A218,IF(ISERROR(MATCH($A218,$A$15:OFFSET($A218,-1,0),0)),MAX($M$15:OFFSET(M218,-1,0))+1,INDEX($M$15:OFFSET(M218,-1,0),MATCH($A218,$A$15:OFFSET($A218,-1,0),0)))))</f>
        <v>0</v>
      </c>
      <c r="N218" s="211" t="str">
        <f ca="1">IF($D218&lt;&gt;"Serviço","",IF(AUTOEVENTO="Manual",IF($A218=0,"&lt;-- defina o número do agrupador",OFFSET(EVENTOS!$D$14,$A218,0)),OFFSET($F$15,$A218,0)))</f>
        <v>&lt;-- defina o número do agrupador</v>
      </c>
      <c r="O218" s="212"/>
      <c r="Q218" s="212"/>
      <c r="R218" s="213"/>
      <c r="S218" s="213"/>
      <c r="T218" s="213"/>
      <c r="U218" s="213"/>
      <c r="V218" s="213"/>
      <c r="W218" s="213"/>
      <c r="X218" s="213"/>
      <c r="Y218" s="213"/>
      <c r="Z218" s="214"/>
      <c r="AA218" s="213"/>
      <c r="AB218" s="213"/>
      <c r="AC218" s="213"/>
      <c r="AD218" s="213"/>
      <c r="AE218" s="213"/>
      <c r="AF218" s="213"/>
      <c r="AG218" s="213"/>
      <c r="AH218" s="214"/>
      <c r="AJ218" s="631">
        <f ca="1">IF(AND($D218="Serviço",AJ$12&lt;&gt;0,$H218&gt;0,OR(AUTOEVENTO&lt;&gt;"manual",$M218&lt;&gt;1)),ROUND(OFFSET($P218,0,AJ$13),15-13*ORÇAMENTO!$AF$7)/$H218*OFFSET(ORÇAMENTO!$X$15,ROW(AJ218)-ROW(AJ$15),0),0)</f>
        <v>0</v>
      </c>
      <c r="AK218" s="632">
        <f ca="1">IF(AND($D218="Serviço",AK$12&lt;&gt;0,$H218&gt;0,OR(AUTOEVENTO&lt;&gt;"manual",$M218&lt;&gt;1)),ROUND(OFFSET($P218,0,AK$13),15-13*ORÇAMENTO!$AF$7)/$H218*OFFSET(ORÇAMENTO!$X$15,ROW(AK218)-ROW(AK$15),0),0)</f>
        <v>0</v>
      </c>
      <c r="AL218" s="632">
        <f ca="1">IF(AND($D218="Serviço",AL$12&lt;&gt;0,$H218&gt;0,OR(AUTOEVENTO&lt;&gt;"manual",$M218&lt;&gt;1)),ROUND(OFFSET($P218,0,AL$13),15-13*ORÇAMENTO!$AF$7)/$H218*OFFSET(ORÇAMENTO!$X$15,ROW(AL218)-ROW(AL$15),0),0)</f>
        <v>0</v>
      </c>
      <c r="AM218" s="632">
        <f ca="1">IF(AND($D218="Serviço",AM$12&lt;&gt;0,$H218&gt;0,OR(AUTOEVENTO&lt;&gt;"manual",$M218&lt;&gt;1)),ROUND(OFFSET($P218,0,AM$13),15-13*ORÇAMENTO!$AF$7)/$H218*OFFSET(ORÇAMENTO!$X$15,ROW(AM218)-ROW(AM$15),0),0)</f>
        <v>0</v>
      </c>
      <c r="AN218" s="632">
        <f ca="1">IF(AND($D218="Serviço",AN$12&lt;&gt;0,$H218&gt;0,OR(AUTOEVENTO&lt;&gt;"manual",$M218&lt;&gt;1)),ROUND(OFFSET($P218,0,AN$13),15-13*ORÇAMENTO!$AF$7)/$H218*OFFSET(ORÇAMENTO!$X$15,ROW(AN218)-ROW(AN$15),0),0)</f>
        <v>0</v>
      </c>
      <c r="AO218" s="632">
        <f ca="1">IF(AND($D218="Serviço",AO$12&lt;&gt;0,$H218&gt;0,OR(AUTOEVENTO&lt;&gt;"manual",$M218&lt;&gt;1)),ROUND(OFFSET($P218,0,AO$13),15-13*ORÇAMENTO!$AF$7)/$H218*OFFSET(ORÇAMENTO!$X$15,ROW(AO218)-ROW(AO$15),0),0)</f>
        <v>0</v>
      </c>
      <c r="AP218" s="632">
        <f ca="1">IF(AND($D218="Serviço",AP$12&lt;&gt;0,$H218&gt;0,OR(AUTOEVENTO&lt;&gt;"manual",$M218&lt;&gt;1)),ROUND(OFFSET($P218,0,AP$13),15-13*ORÇAMENTO!$AF$7)/$H218*OFFSET(ORÇAMENTO!$X$15,ROW(AP218)-ROW(AP$15),0),0)</f>
        <v>0</v>
      </c>
      <c r="AQ218" s="632">
        <f ca="1">IF(AND($D218="Serviço",AQ$12&lt;&gt;0,$H218&gt;0,OR(AUTOEVENTO&lt;&gt;"manual",$M218&lt;&gt;1)),ROUND(OFFSET($P218,0,AQ$13),15-13*ORÇAMENTO!$AF$7)/$H218*OFFSET(ORÇAMENTO!$X$15,ROW(AQ218)-ROW(AQ$15),0),0)</f>
        <v>0</v>
      </c>
      <c r="AR218" s="632">
        <f ca="1">IF(AND($D218="Serviço",AR$12&lt;&gt;0,$H218&gt;0,OR(AUTOEVENTO&lt;&gt;"manual",$M218&lt;&gt;1)),ROUND(OFFSET($P218,0,AR$13),15-13*ORÇAMENTO!$AF$7)/$H218*OFFSET(ORÇAMENTO!$X$15,ROW(AR218)-ROW(AR$15),0),0)</f>
        <v>0</v>
      </c>
      <c r="AS218" s="633">
        <f ca="1">IF(AND($D218="Serviço",AS$12&lt;&gt;0,$H218&gt;0,OR(AUTOEVENTO&lt;&gt;"manual",$M218&lt;&gt;1)),ROUND(OFFSET($P218,0,AS$13),15-13*ORÇAMENTO!$AF$7)/$H218*OFFSET(ORÇAMENTO!$X$15,ROW(AS218)-ROW(AS$15),0),0)</f>
        <v>0</v>
      </c>
      <c r="AT218" s="632">
        <f ca="1">IF(AND($D218="Serviço",AT$12&lt;&gt;0,$H218&gt;0,OR(AUTOEVENTO&lt;&gt;"manual",$M218&lt;&gt;1)),ROUND(OFFSET($P218,0,AT$13),15-13*ORÇAMENTO!$AF$7)/$H218*OFFSET(ORÇAMENTO!$X$15,ROW(AT218)-ROW(AT$15),0),0)</f>
        <v>0</v>
      </c>
      <c r="AU218" s="632">
        <f ca="1">IF(AND($D218="Serviço",AU$12&lt;&gt;0,$H218&gt;0,OR(AUTOEVENTO&lt;&gt;"manual",$M218&lt;&gt;1)),ROUND(OFFSET($P218,0,AU$13),15-13*ORÇAMENTO!$AF$7)/$H218*OFFSET(ORÇAMENTO!$X$15,ROW(AU218)-ROW(AU$15),0),0)</f>
        <v>0</v>
      </c>
      <c r="AV218" s="632">
        <f ca="1">IF(AND($D218="Serviço",AV$12&lt;&gt;0,$H218&gt;0,OR(AUTOEVENTO&lt;&gt;"manual",$M218&lt;&gt;1)),ROUND(OFFSET($P218,0,AV$13),15-13*ORÇAMENTO!$AF$7)/$H218*OFFSET(ORÇAMENTO!$X$15,ROW(AV218)-ROW(AV$15),0),0)</f>
        <v>0</v>
      </c>
      <c r="AW218" s="632">
        <f ca="1">IF(AND($D218="Serviço",AW$12&lt;&gt;0,$H218&gt;0,OR(AUTOEVENTO&lt;&gt;"manual",$M218&lt;&gt;1)),ROUND(OFFSET($P218,0,AW$13),15-13*ORÇAMENTO!$AF$7)/$H218*OFFSET(ORÇAMENTO!$X$15,ROW(AW218)-ROW(AW$15),0),0)</f>
        <v>0</v>
      </c>
      <c r="AX218" s="632">
        <f ca="1">IF(AND($D218="Serviço",AX$12&lt;&gt;0,$H218&gt;0,OR(AUTOEVENTO&lt;&gt;"manual",$M218&lt;&gt;1)),ROUND(OFFSET($P218,0,AX$13),15-13*ORÇAMENTO!$AF$7)/$H218*OFFSET(ORÇAMENTO!$X$15,ROW(AX218)-ROW(AX$15),0),0)</f>
        <v>0</v>
      </c>
      <c r="AY218" s="632">
        <f ca="1">IF(AND($D218="Serviço",AY$12&lt;&gt;0,$H218&gt;0,OR(AUTOEVENTO&lt;&gt;"manual",$M218&lt;&gt;1)),ROUND(OFFSET($P218,0,AY$13),15-13*ORÇAMENTO!$AF$7)/$H218*OFFSET(ORÇAMENTO!$X$15,ROW(AY218)-ROW(AY$15),0),0)</f>
        <v>0</v>
      </c>
      <c r="AZ218" s="632">
        <f ca="1">IF(AND($D218="Serviço",AZ$12&lt;&gt;0,$H218&gt;0,OR(AUTOEVENTO&lt;&gt;"manual",$M218&lt;&gt;1)),ROUND(OFFSET($P218,0,AZ$13),15-13*ORÇAMENTO!$AF$7)/$H218*OFFSET(ORÇAMENTO!$X$15,ROW(AZ218)-ROW(AZ$15),0),0)</f>
        <v>0</v>
      </c>
      <c r="BA218" s="633">
        <f ca="1">IF(AND($D218="Serviço",BA$12&lt;&gt;0,$H218&gt;0,OR(AUTOEVENTO&lt;&gt;"manual",$M218&lt;&gt;1)),ROUND(OFFSET($P218,0,BA$13),15-13*ORÇAMENTO!$AF$7)/$H218*OFFSET(ORÇAMENTO!$X$15,ROW(BA218)-ROW(BA$15),0),0)</f>
        <v>0</v>
      </c>
      <c r="BC218" s="215">
        <f ca="1">IF($D218&lt;&gt;"Serviço",0,IF(AND(AUTOEVENTO="Manual",$M218=1),0,IF(OFFSET(CRONOPLE!$F$14,$M218,BC$13)="",10^12,OFFSET(CRONOPLE!$F$14,$M218,BC$13))))</f>
        <v>1000000000000</v>
      </c>
      <c r="BD218" s="215">
        <f ca="1">IF($D218&lt;&gt;"Serviço",0,IF(AND(AUTOEVENTO="Manual",$M218=1),0,IF(OFFSET(CRONOPLE!$F$14,$M218,BD$13)="",10^12,OFFSET(CRONOPLE!$F$14,$M218,BD$13))))</f>
        <v>1000000000000</v>
      </c>
      <c r="BE218" s="215">
        <f ca="1">IF($D218&lt;&gt;"Serviço",0,IF(AND(AUTOEVENTO="Manual",$M218=1),0,IF(OFFSET(CRONOPLE!$F$14,$M218,BE$13)="",10^12,OFFSET(CRONOPLE!$F$14,$M218,BE$13))))</f>
        <v>1000000000000</v>
      </c>
      <c r="BF218" s="215">
        <f ca="1">IF($D218&lt;&gt;"Serviço",0,IF(AND(AUTOEVENTO="Manual",$M218=1),0,IF(OFFSET(CRONOPLE!$F$14,$M218,BF$13)="",10^12,OFFSET(CRONOPLE!$F$14,$M218,BF$13))))</f>
        <v>1000000000000</v>
      </c>
      <c r="BG218" s="215">
        <f ca="1">IF($D218&lt;&gt;"Serviço",0,IF(AND(AUTOEVENTO="Manual",$M218=1),0,IF(OFFSET(CRONOPLE!$F$14,$M218,BG$13)="",10^12,OFFSET(CRONOPLE!$F$14,$M218,BG$13))))</f>
        <v>1000000000000</v>
      </c>
      <c r="BH218" s="215">
        <f ca="1">IF($D218&lt;&gt;"Serviço",0,IF(AND(AUTOEVENTO="Manual",$M218=1),0,IF(OFFSET(CRONOPLE!$F$14,$M218,BH$13)="",10^12,OFFSET(CRONOPLE!$F$14,$M218,BH$13))))</f>
        <v>1000000000000</v>
      </c>
      <c r="BI218" s="215">
        <f ca="1">IF($D218&lt;&gt;"Serviço",0,IF(AND(AUTOEVENTO="Manual",$M218=1),0,IF(OFFSET(CRONOPLE!$F$14,$M218,BI$13)="",10^12,OFFSET(CRONOPLE!$F$14,$M218,BI$13))))</f>
        <v>1000000000000</v>
      </c>
      <c r="BJ218" s="215">
        <f ca="1">IF($D218&lt;&gt;"Serviço",0,IF(AND(AUTOEVENTO="Manual",$M218=1),0,IF(OFFSET(CRONOPLE!$F$14,$M218,BJ$13)="",10^12,OFFSET(CRONOPLE!$F$14,$M218,BJ$13))))</f>
        <v>1000000000000</v>
      </c>
      <c r="BK218" s="215">
        <f ca="1">IF($D218&lt;&gt;"Serviço",0,IF(AND(AUTOEVENTO="Manual",$M218=1),0,IF(OFFSET(CRONOPLE!$F$14,$M218,BK$13)="",10^12,OFFSET(CRONOPLE!$F$14,$M218,BK$13))))</f>
        <v>1000000000000</v>
      </c>
      <c r="BL218" s="215">
        <f ca="1">IF($D218&lt;&gt;"Serviço",0,IF(AND(AUTOEVENTO="Manual",$M218=1),0,IF(OFFSET(CRONOPLE!$F$14,$M218,BL$13)="",10^12,OFFSET(CRONOPLE!$F$14,$M218,BL$13))))</f>
        <v>1000000000000</v>
      </c>
      <c r="BM218" s="215">
        <f ca="1">IF($D218&lt;&gt;"Serviço",0,IF(AND(AUTOEVENTO="Manual",$M218=1),0,IF(OFFSET(CRONOPLE!$F$14,$M218,BM$13)="",10^12,OFFSET(CRONOPLE!$F$14,$M218,BM$13))))</f>
        <v>1000000000000</v>
      </c>
      <c r="BN218" s="215">
        <f ca="1">IF($D218&lt;&gt;"Serviço",0,IF(AND(AUTOEVENTO="Manual",$M218=1),0,IF(OFFSET(CRONOPLE!$F$14,$M218,BN$13)="",10^12,OFFSET(CRONOPLE!$F$14,$M218,BN$13))))</f>
        <v>1000000000000</v>
      </c>
      <c r="BO218" s="215">
        <f ca="1">IF($D218&lt;&gt;"Serviço",0,IF(AND(AUTOEVENTO="Manual",$M218=1),0,IF(OFFSET(CRONOPLE!$F$14,$M218,BO$13)="",10^12,OFFSET(CRONOPLE!$F$14,$M218,BO$13))))</f>
        <v>1000000000000</v>
      </c>
      <c r="BP218" s="215">
        <f ca="1">IF($D218&lt;&gt;"Serviço",0,IF(AND(AUTOEVENTO="Manual",$M218=1),0,IF(OFFSET(CRONOPLE!$F$14,$M218,BP$13)="",10^12,OFFSET(CRONOPLE!$F$14,$M218,BP$13))))</f>
        <v>1000000000000</v>
      </c>
      <c r="BQ218" s="215">
        <f ca="1">IF($D218&lt;&gt;"Serviço",0,IF(AND(AUTOEVENTO="Manual",$M218=1),0,IF(OFFSET(CRONOPLE!$F$14,$M218,BQ$13)="",10^12,OFFSET(CRONOPLE!$F$14,$M218,BQ$13))))</f>
        <v>1000000000000</v>
      </c>
      <c r="BR218" s="215">
        <f ca="1">IF($D218&lt;&gt;"Serviço",0,IF(AND(AUTOEVENTO="Manual",$M218=1),0,IF(OFFSET(CRONOPLE!$F$14,$M218,BR$13)="",10^12,OFFSET(CRONOPLE!$F$14,$M218,BR$13))))</f>
        <v>1000000000000</v>
      </c>
      <c r="BS218" s="215">
        <f ca="1">IF($D218&lt;&gt;"Serviço",0,IF(AND(AUTOEVENTO="Manual",$M218=1),0,IF(OFFSET(CRONOPLE!$F$14,$M218,BS$13)="",10^12,OFFSET(CRONOPLE!$F$14,$M218,BS$13))))</f>
        <v>1000000000000</v>
      </c>
      <c r="BT218" s="215">
        <f ca="1">IF($D218&lt;&gt;"Serviço",0,IF(AND(AUTOEVENTO="Manual",$M218=1),0,IF(OFFSET(CRONOPLE!$F$14,$M218,BT$13)="",10^12,OFFSET(CRONOPLE!$F$14,$M218,BT$13))))</f>
        <v>1000000000000</v>
      </c>
      <c r="BV218" s="216">
        <f ca="1">IF($D218&lt;&gt;"Serviço",0,IF(OR(AND(AUTOEVENTO="Manual",$M218=1),$M218&gt;(ROW(PLE.lastrow)-ROW(PLE.firstrow))),0,IF(OFFSET(PLE!$G$14,$M218,BV$13)="",10^12,OFFSET(PLE!$G$14,$M218,BV$13))))</f>
        <v>1000000000000</v>
      </c>
      <c r="BW218" s="216">
        <f ca="1">IF($D218&lt;&gt;"Serviço",0,IF(OR(AND(AUTOEVENTO="Manual",$M218=1),$M218&gt;(ROW(PLE.lastrow)-ROW(PLE.firstrow))),0,IF(OFFSET(PLE!$G$14,$M218,BW$13)="",10^12,OFFSET(PLE!$G$14,$M218,BW$13))))</f>
        <v>1000000000000</v>
      </c>
      <c r="BX218" s="216">
        <f ca="1">IF($D218&lt;&gt;"Serviço",0,IF(OR(AND(AUTOEVENTO="Manual",$M218=1),$M218&gt;(ROW(PLE.lastrow)-ROW(PLE.firstrow))),0,IF(OFFSET(PLE!$G$14,$M218,BX$13)="",10^12,OFFSET(PLE!$G$14,$M218,BX$13))))</f>
        <v>1000000000000</v>
      </c>
      <c r="BY218" s="216">
        <f ca="1">IF($D218&lt;&gt;"Serviço",0,IF(OR(AND(AUTOEVENTO="Manual",$M218=1),$M218&gt;(ROW(PLE.lastrow)-ROW(PLE.firstrow))),0,IF(OFFSET(PLE!$G$14,$M218,BY$13)="",10^12,OFFSET(PLE!$G$14,$M218,BY$13))))</f>
        <v>1000000000000</v>
      </c>
      <c r="BZ218" s="216">
        <f ca="1">IF($D218&lt;&gt;"Serviço",0,IF(OR(AND(AUTOEVENTO="Manual",$M218=1),$M218&gt;(ROW(PLE.lastrow)-ROW(PLE.firstrow))),0,IF(OFFSET(PLE!$G$14,$M218,BZ$13)="",10^12,OFFSET(PLE!$G$14,$M218,BZ$13))))</f>
        <v>1000000000000</v>
      </c>
      <c r="CA218" s="216">
        <f ca="1">IF($D218&lt;&gt;"Serviço",0,IF(OR(AND(AUTOEVENTO="Manual",$M218=1),$M218&gt;(ROW(PLE.lastrow)-ROW(PLE.firstrow))),0,IF(OFFSET(PLE!$G$14,$M218,CA$13)="",10^12,OFFSET(PLE!$G$14,$M218,CA$13))))</f>
        <v>1000000000000</v>
      </c>
      <c r="CB218" s="216">
        <f ca="1">IF($D218&lt;&gt;"Serviço",0,IF(OR(AND(AUTOEVENTO="Manual",$M218=1),$M218&gt;(ROW(PLE.lastrow)-ROW(PLE.firstrow))),0,IF(OFFSET(PLE!$G$14,$M218,CB$13)="",10^12,OFFSET(PLE!$G$14,$M218,CB$13))))</f>
        <v>1000000000000</v>
      </c>
      <c r="CC218" s="216">
        <f ca="1">IF($D218&lt;&gt;"Serviço",0,IF(OR(AND(AUTOEVENTO="Manual",$M218=1),$M218&gt;(ROW(PLE.lastrow)-ROW(PLE.firstrow))),0,IF(OFFSET(PLE!$G$14,$M218,CC$13)="",10^12,OFFSET(PLE!$G$14,$M218,CC$13))))</f>
        <v>1000000000000</v>
      </c>
      <c r="CD218" s="216">
        <f ca="1">IF($D218&lt;&gt;"Serviço",0,IF(OR(AND(AUTOEVENTO="Manual",$M218=1),$M218&gt;(ROW(PLE.lastrow)-ROW(PLE.firstrow))),0,IF(OFFSET(PLE!$G$14,$M218,CD$13)="",10^12,OFFSET(PLE!$G$14,$M218,CD$13))))</f>
        <v>1000000000000</v>
      </c>
      <c r="CE218" s="216">
        <f ca="1">IF($D218&lt;&gt;"Serviço",0,IF(OR(AND(AUTOEVENTO="Manual",$M218=1),$M218&gt;(ROW(PLE.lastrow)-ROW(PLE.firstrow))),0,IF(OFFSET(PLE!$G$14,$M218,CE$13)="",10^12,OFFSET(PLE!$G$14,$M218,CE$13))))</f>
        <v>1000000000000</v>
      </c>
      <c r="CF218" s="216">
        <f ca="1">IF($D218&lt;&gt;"Serviço",0,IF(OR(AND(AUTOEVENTO="Manual",$M218=1),$M218&gt;(ROW(PLE.lastrow)-ROW(PLE.firstrow))),0,IF(OFFSET(PLE!$G$14,$M218,CF$13)="",10^12,OFFSET(PLE!$G$14,$M218,CF$13))))</f>
        <v>1000000000000</v>
      </c>
      <c r="CG218" s="216">
        <f ca="1">IF($D218&lt;&gt;"Serviço",0,IF(OR(AND(AUTOEVENTO="Manual",$M218=1),$M218&gt;(ROW(PLE.lastrow)-ROW(PLE.firstrow))),0,IF(OFFSET(PLE!$G$14,$M218,CG$13)="",10^12,OFFSET(PLE!$G$14,$M218,CG$13))))</f>
        <v>1000000000000</v>
      </c>
      <c r="CH218" s="216">
        <f ca="1">IF($D218&lt;&gt;"Serviço",0,IF(OR(AND(AUTOEVENTO="Manual",$M218=1),$M218&gt;(ROW(PLE.lastrow)-ROW(PLE.firstrow))),0,IF(OFFSET(PLE!$G$14,$M218,CH$13)="",10^12,OFFSET(PLE!$G$14,$M218,CH$13))))</f>
        <v>1000000000000</v>
      </c>
      <c r="CI218" s="216">
        <f ca="1">IF($D218&lt;&gt;"Serviço",0,IF(OR(AND(AUTOEVENTO="Manual",$M218=1),$M218&gt;(ROW(PLE.lastrow)-ROW(PLE.firstrow))),0,IF(OFFSET(PLE!$G$14,$M218,CI$13)="",10^12,OFFSET(PLE!$G$14,$M218,CI$13))))</f>
        <v>1000000000000</v>
      </c>
      <c r="CJ218" s="216">
        <f ca="1">IF($D218&lt;&gt;"Serviço",0,IF(OR(AND(AUTOEVENTO="Manual",$M218=1),$M218&gt;(ROW(PLE.lastrow)-ROW(PLE.firstrow))),0,IF(OFFSET(PLE!$G$14,$M218,CJ$13)="",10^12,OFFSET(PLE!$G$14,$M218,CJ$13))))</f>
        <v>1000000000000</v>
      </c>
      <c r="CK218" s="216">
        <f ca="1">IF($D218&lt;&gt;"Serviço",0,IF(OR(AND(AUTOEVENTO="Manual",$M218=1),$M218&gt;(ROW(PLE.lastrow)-ROW(PLE.firstrow))),0,IF(OFFSET(PLE!$G$14,$M218,CK$13)="",10^12,OFFSET(PLE!$G$14,$M218,CK$13))))</f>
        <v>1000000000000</v>
      </c>
      <c r="CL218" s="216">
        <f ca="1">IF($D218&lt;&gt;"Serviço",0,IF(OR(AND(AUTOEVENTO="Manual",$M218=1),$M218&gt;(ROW(PLE.lastrow)-ROW(PLE.firstrow))),0,IF(OFFSET(PLE!$G$14,$M218,CL$13)="",10^12,OFFSET(PLE!$G$14,$M218,CL$13))))</f>
        <v>1000000000000</v>
      </c>
      <c r="CM218" s="216">
        <f ca="1">IF($D218&lt;&gt;"Serviço",0,IF(OR(AND(AUTOEVENTO="Manual",$M218=1),$M218&gt;(ROW(PLE.lastrow)-ROW(PLE.firstrow))),0,IF(OFFSET(PLE!$G$14,$M218,CM$13)="",10^12,OFFSET(PLE!$G$14,$M218,CM$13))))</f>
        <v>1000000000000</v>
      </c>
    </row>
    <row r="219" spans="1:91" ht="13.2" x14ac:dyDescent="0.25">
      <c r="A219" s="9">
        <f t="shared" ca="1" si="12"/>
        <v>0</v>
      </c>
      <c r="B219" s="9">
        <f ca="1">OFFSET(ORÇAMENTO!C$15,ROW(B219)-ROW(B$15),0)</f>
        <v>2</v>
      </c>
      <c r="C219" s="9" t="str">
        <f ca="1">OFFSET(ORÇAMENTO!L$15,ROW(C219)-ROW(C$15),0)</f>
        <v>F</v>
      </c>
      <c r="D219" s="145" t="str">
        <f ca="1">OFFSET(ORÇAMENTO!N$15,ROW(D219)-ROW(D$15),0)</f>
        <v>Nível 2</v>
      </c>
      <c r="E219" s="205" t="str">
        <f ca="1">OFFSET(ORÇAMENTO!O$15,ROW(E219)-ROW(E$15),0)</f>
        <v>1.7.</v>
      </c>
      <c r="F219" s="206" t="str">
        <f ca="1">OFFSET(ORÇAMENTO!R$15,ROW(F219)-ROW(F$15),0)</f>
        <v>SISTEMAS DE COBERTURA</v>
      </c>
      <c r="G219" s="207" t="str">
        <f ca="1">IF($D219&lt;&gt;"Serviço","",OFFSET(ORÇAMENTO!S$15,ROW(G219)-ROW(G$15),0))</f>
        <v/>
      </c>
      <c r="H219" s="151">
        <f ca="1">IF($D219&lt;&gt;"Serviço",0,IF(ACOMPANHAMENTO="BM",ROUND(OFFSET(ORÇAMENTO!AJ$15,ROW(H219)-ROW(H$15),0),15-13*ORÇAMENTO!$AF$7),SUMPRODUCT(($Q$12:$AI$12&lt;&gt;"")*ROUND($Q219:$AI219,15-13*ORÇAMENTO!$AF$7))))</f>
        <v>0</v>
      </c>
      <c r="I219" s="650"/>
      <c r="K219" s="208"/>
      <c r="L219" s="209" t="s">
        <v>257</v>
      </c>
      <c r="M219" s="210" t="str">
        <f ca="1">IF($D219&lt;&gt;"Serviço","",IF(AUTOEVENTO="manual",$A219,IF(ISERROR(MATCH($A219,$A$15:OFFSET($A219,-1,0),0)),MAX($M$15:OFFSET(M219,-1,0))+1,INDEX($M$15:OFFSET(M219,-1,0),MATCH($A219,$A$15:OFFSET($A219,-1,0),0)))))</f>
        <v/>
      </c>
      <c r="N219" s="211" t="str">
        <f ca="1">IF($D219&lt;&gt;"Serviço","",IF(AUTOEVENTO="Manual",IF($A219=0,"&lt;-- defina o número do agrupador",OFFSET(EVENTOS!$D$14,$A219,0)),OFFSET($F$15,$A219,0)))</f>
        <v/>
      </c>
      <c r="O219" s="212"/>
      <c r="Q219" s="212"/>
      <c r="R219" s="213"/>
      <c r="S219" s="213"/>
      <c r="T219" s="213"/>
      <c r="U219" s="213"/>
      <c r="V219" s="213"/>
      <c r="W219" s="213"/>
      <c r="X219" s="213"/>
      <c r="Y219" s="213"/>
      <c r="Z219" s="214"/>
      <c r="AA219" s="213"/>
      <c r="AB219" s="213"/>
      <c r="AC219" s="213"/>
      <c r="AD219" s="213"/>
      <c r="AE219" s="213"/>
      <c r="AF219" s="213"/>
      <c r="AG219" s="213"/>
      <c r="AH219" s="214"/>
      <c r="AJ219" s="631">
        <f ca="1">IF(AND($D219="Serviço",AJ$12&lt;&gt;0,$H219&gt;0,OR(AUTOEVENTO&lt;&gt;"manual",$M219&lt;&gt;1)),ROUND(OFFSET($P219,0,AJ$13),15-13*ORÇAMENTO!$AF$7)/$H219*OFFSET(ORÇAMENTO!$X$15,ROW(AJ219)-ROW(AJ$15),0),0)</f>
        <v>0</v>
      </c>
      <c r="AK219" s="632">
        <f ca="1">IF(AND($D219="Serviço",AK$12&lt;&gt;0,$H219&gt;0,OR(AUTOEVENTO&lt;&gt;"manual",$M219&lt;&gt;1)),ROUND(OFFSET($P219,0,AK$13),15-13*ORÇAMENTO!$AF$7)/$H219*OFFSET(ORÇAMENTO!$X$15,ROW(AK219)-ROW(AK$15),0),0)</f>
        <v>0</v>
      </c>
      <c r="AL219" s="632">
        <f ca="1">IF(AND($D219="Serviço",AL$12&lt;&gt;0,$H219&gt;0,OR(AUTOEVENTO&lt;&gt;"manual",$M219&lt;&gt;1)),ROUND(OFFSET($P219,0,AL$13),15-13*ORÇAMENTO!$AF$7)/$H219*OFFSET(ORÇAMENTO!$X$15,ROW(AL219)-ROW(AL$15),0),0)</f>
        <v>0</v>
      </c>
      <c r="AM219" s="632">
        <f ca="1">IF(AND($D219="Serviço",AM$12&lt;&gt;0,$H219&gt;0,OR(AUTOEVENTO&lt;&gt;"manual",$M219&lt;&gt;1)),ROUND(OFFSET($P219,0,AM$13),15-13*ORÇAMENTO!$AF$7)/$H219*OFFSET(ORÇAMENTO!$X$15,ROW(AM219)-ROW(AM$15),0),0)</f>
        <v>0</v>
      </c>
      <c r="AN219" s="632">
        <f ca="1">IF(AND($D219="Serviço",AN$12&lt;&gt;0,$H219&gt;0,OR(AUTOEVENTO&lt;&gt;"manual",$M219&lt;&gt;1)),ROUND(OFFSET($P219,0,AN$13),15-13*ORÇAMENTO!$AF$7)/$H219*OFFSET(ORÇAMENTO!$X$15,ROW(AN219)-ROW(AN$15),0),0)</f>
        <v>0</v>
      </c>
      <c r="AO219" s="632">
        <f ca="1">IF(AND($D219="Serviço",AO$12&lt;&gt;0,$H219&gt;0,OR(AUTOEVENTO&lt;&gt;"manual",$M219&lt;&gt;1)),ROUND(OFFSET($P219,0,AO$13),15-13*ORÇAMENTO!$AF$7)/$H219*OFFSET(ORÇAMENTO!$X$15,ROW(AO219)-ROW(AO$15),0),0)</f>
        <v>0</v>
      </c>
      <c r="AP219" s="632">
        <f ca="1">IF(AND($D219="Serviço",AP$12&lt;&gt;0,$H219&gt;0,OR(AUTOEVENTO&lt;&gt;"manual",$M219&lt;&gt;1)),ROUND(OFFSET($P219,0,AP$13),15-13*ORÇAMENTO!$AF$7)/$H219*OFFSET(ORÇAMENTO!$X$15,ROW(AP219)-ROW(AP$15),0),0)</f>
        <v>0</v>
      </c>
      <c r="AQ219" s="632">
        <f ca="1">IF(AND($D219="Serviço",AQ$12&lt;&gt;0,$H219&gt;0,OR(AUTOEVENTO&lt;&gt;"manual",$M219&lt;&gt;1)),ROUND(OFFSET($P219,0,AQ$13),15-13*ORÇAMENTO!$AF$7)/$H219*OFFSET(ORÇAMENTO!$X$15,ROW(AQ219)-ROW(AQ$15),0),0)</f>
        <v>0</v>
      </c>
      <c r="AR219" s="632">
        <f ca="1">IF(AND($D219="Serviço",AR$12&lt;&gt;0,$H219&gt;0,OR(AUTOEVENTO&lt;&gt;"manual",$M219&lt;&gt;1)),ROUND(OFFSET($P219,0,AR$13),15-13*ORÇAMENTO!$AF$7)/$H219*OFFSET(ORÇAMENTO!$X$15,ROW(AR219)-ROW(AR$15),0),0)</f>
        <v>0</v>
      </c>
      <c r="AS219" s="633">
        <f ca="1">IF(AND($D219="Serviço",AS$12&lt;&gt;0,$H219&gt;0,OR(AUTOEVENTO&lt;&gt;"manual",$M219&lt;&gt;1)),ROUND(OFFSET($P219,0,AS$13),15-13*ORÇAMENTO!$AF$7)/$H219*OFFSET(ORÇAMENTO!$X$15,ROW(AS219)-ROW(AS$15),0),0)</f>
        <v>0</v>
      </c>
      <c r="AT219" s="632">
        <f ca="1">IF(AND($D219="Serviço",AT$12&lt;&gt;0,$H219&gt;0,OR(AUTOEVENTO&lt;&gt;"manual",$M219&lt;&gt;1)),ROUND(OFFSET($P219,0,AT$13),15-13*ORÇAMENTO!$AF$7)/$H219*OFFSET(ORÇAMENTO!$X$15,ROW(AT219)-ROW(AT$15),0),0)</f>
        <v>0</v>
      </c>
      <c r="AU219" s="632">
        <f ca="1">IF(AND($D219="Serviço",AU$12&lt;&gt;0,$H219&gt;0,OR(AUTOEVENTO&lt;&gt;"manual",$M219&lt;&gt;1)),ROUND(OFFSET($P219,0,AU$13),15-13*ORÇAMENTO!$AF$7)/$H219*OFFSET(ORÇAMENTO!$X$15,ROW(AU219)-ROW(AU$15),0),0)</f>
        <v>0</v>
      </c>
      <c r="AV219" s="632">
        <f ca="1">IF(AND($D219="Serviço",AV$12&lt;&gt;0,$H219&gt;0,OR(AUTOEVENTO&lt;&gt;"manual",$M219&lt;&gt;1)),ROUND(OFFSET($P219,0,AV$13),15-13*ORÇAMENTO!$AF$7)/$H219*OFFSET(ORÇAMENTO!$X$15,ROW(AV219)-ROW(AV$15),0),0)</f>
        <v>0</v>
      </c>
      <c r="AW219" s="632">
        <f ca="1">IF(AND($D219="Serviço",AW$12&lt;&gt;0,$H219&gt;0,OR(AUTOEVENTO&lt;&gt;"manual",$M219&lt;&gt;1)),ROUND(OFFSET($P219,0,AW$13),15-13*ORÇAMENTO!$AF$7)/$H219*OFFSET(ORÇAMENTO!$X$15,ROW(AW219)-ROW(AW$15),0),0)</f>
        <v>0</v>
      </c>
      <c r="AX219" s="632">
        <f ca="1">IF(AND($D219="Serviço",AX$12&lt;&gt;0,$H219&gt;0,OR(AUTOEVENTO&lt;&gt;"manual",$M219&lt;&gt;1)),ROUND(OFFSET($P219,0,AX$13),15-13*ORÇAMENTO!$AF$7)/$H219*OFFSET(ORÇAMENTO!$X$15,ROW(AX219)-ROW(AX$15),0),0)</f>
        <v>0</v>
      </c>
      <c r="AY219" s="632">
        <f ca="1">IF(AND($D219="Serviço",AY$12&lt;&gt;0,$H219&gt;0,OR(AUTOEVENTO&lt;&gt;"manual",$M219&lt;&gt;1)),ROUND(OFFSET($P219,0,AY$13),15-13*ORÇAMENTO!$AF$7)/$H219*OFFSET(ORÇAMENTO!$X$15,ROW(AY219)-ROW(AY$15),0),0)</f>
        <v>0</v>
      </c>
      <c r="AZ219" s="632">
        <f ca="1">IF(AND($D219="Serviço",AZ$12&lt;&gt;0,$H219&gt;0,OR(AUTOEVENTO&lt;&gt;"manual",$M219&lt;&gt;1)),ROUND(OFFSET($P219,0,AZ$13),15-13*ORÇAMENTO!$AF$7)/$H219*OFFSET(ORÇAMENTO!$X$15,ROW(AZ219)-ROW(AZ$15),0),0)</f>
        <v>0</v>
      </c>
      <c r="BA219" s="633">
        <f ca="1">IF(AND($D219="Serviço",BA$12&lt;&gt;0,$H219&gt;0,OR(AUTOEVENTO&lt;&gt;"manual",$M219&lt;&gt;1)),ROUND(OFFSET($P219,0,BA$13),15-13*ORÇAMENTO!$AF$7)/$H219*OFFSET(ORÇAMENTO!$X$15,ROW(BA219)-ROW(BA$15),0),0)</f>
        <v>0</v>
      </c>
      <c r="BC219" s="215">
        <f ca="1">IF($D219&lt;&gt;"Serviço",0,IF(AND(AUTOEVENTO="Manual",$M219=1),0,IF(OFFSET(CRONOPLE!$F$14,$M219,BC$13)="",10^12,OFFSET(CRONOPLE!$F$14,$M219,BC$13))))</f>
        <v>0</v>
      </c>
      <c r="BD219" s="215">
        <f ca="1">IF($D219&lt;&gt;"Serviço",0,IF(AND(AUTOEVENTO="Manual",$M219=1),0,IF(OFFSET(CRONOPLE!$F$14,$M219,BD$13)="",10^12,OFFSET(CRONOPLE!$F$14,$M219,BD$13))))</f>
        <v>0</v>
      </c>
      <c r="BE219" s="215">
        <f ca="1">IF($D219&lt;&gt;"Serviço",0,IF(AND(AUTOEVENTO="Manual",$M219=1),0,IF(OFFSET(CRONOPLE!$F$14,$M219,BE$13)="",10^12,OFFSET(CRONOPLE!$F$14,$M219,BE$13))))</f>
        <v>0</v>
      </c>
      <c r="BF219" s="215">
        <f ca="1">IF($D219&lt;&gt;"Serviço",0,IF(AND(AUTOEVENTO="Manual",$M219=1),0,IF(OFFSET(CRONOPLE!$F$14,$M219,BF$13)="",10^12,OFFSET(CRONOPLE!$F$14,$M219,BF$13))))</f>
        <v>0</v>
      </c>
      <c r="BG219" s="215">
        <f ca="1">IF($D219&lt;&gt;"Serviço",0,IF(AND(AUTOEVENTO="Manual",$M219=1),0,IF(OFFSET(CRONOPLE!$F$14,$M219,BG$13)="",10^12,OFFSET(CRONOPLE!$F$14,$M219,BG$13))))</f>
        <v>0</v>
      </c>
      <c r="BH219" s="215">
        <f ca="1">IF($D219&lt;&gt;"Serviço",0,IF(AND(AUTOEVENTO="Manual",$M219=1),0,IF(OFFSET(CRONOPLE!$F$14,$M219,BH$13)="",10^12,OFFSET(CRONOPLE!$F$14,$M219,BH$13))))</f>
        <v>0</v>
      </c>
      <c r="BI219" s="215">
        <f ca="1">IF($D219&lt;&gt;"Serviço",0,IF(AND(AUTOEVENTO="Manual",$M219=1),0,IF(OFFSET(CRONOPLE!$F$14,$M219,BI$13)="",10^12,OFFSET(CRONOPLE!$F$14,$M219,BI$13))))</f>
        <v>0</v>
      </c>
      <c r="BJ219" s="215">
        <f ca="1">IF($D219&lt;&gt;"Serviço",0,IF(AND(AUTOEVENTO="Manual",$M219=1),0,IF(OFFSET(CRONOPLE!$F$14,$M219,BJ$13)="",10^12,OFFSET(CRONOPLE!$F$14,$M219,BJ$13))))</f>
        <v>0</v>
      </c>
      <c r="BK219" s="215">
        <f ca="1">IF($D219&lt;&gt;"Serviço",0,IF(AND(AUTOEVENTO="Manual",$M219=1),0,IF(OFFSET(CRONOPLE!$F$14,$M219,BK$13)="",10^12,OFFSET(CRONOPLE!$F$14,$M219,BK$13))))</f>
        <v>0</v>
      </c>
      <c r="BL219" s="215">
        <f ca="1">IF($D219&lt;&gt;"Serviço",0,IF(AND(AUTOEVENTO="Manual",$M219=1),0,IF(OFFSET(CRONOPLE!$F$14,$M219,BL$13)="",10^12,OFFSET(CRONOPLE!$F$14,$M219,BL$13))))</f>
        <v>0</v>
      </c>
      <c r="BM219" s="215">
        <f ca="1">IF($D219&lt;&gt;"Serviço",0,IF(AND(AUTOEVENTO="Manual",$M219=1),0,IF(OFFSET(CRONOPLE!$F$14,$M219,BM$13)="",10^12,OFFSET(CRONOPLE!$F$14,$M219,BM$13))))</f>
        <v>0</v>
      </c>
      <c r="BN219" s="215">
        <f ca="1">IF($D219&lt;&gt;"Serviço",0,IF(AND(AUTOEVENTO="Manual",$M219=1),0,IF(OFFSET(CRONOPLE!$F$14,$M219,BN$13)="",10^12,OFFSET(CRONOPLE!$F$14,$M219,BN$13))))</f>
        <v>0</v>
      </c>
      <c r="BO219" s="215">
        <f ca="1">IF($D219&lt;&gt;"Serviço",0,IF(AND(AUTOEVENTO="Manual",$M219=1),0,IF(OFFSET(CRONOPLE!$F$14,$M219,BO$13)="",10^12,OFFSET(CRONOPLE!$F$14,$M219,BO$13))))</f>
        <v>0</v>
      </c>
      <c r="BP219" s="215">
        <f ca="1">IF($D219&lt;&gt;"Serviço",0,IF(AND(AUTOEVENTO="Manual",$M219=1),0,IF(OFFSET(CRONOPLE!$F$14,$M219,BP$13)="",10^12,OFFSET(CRONOPLE!$F$14,$M219,BP$13))))</f>
        <v>0</v>
      </c>
      <c r="BQ219" s="215">
        <f ca="1">IF($D219&lt;&gt;"Serviço",0,IF(AND(AUTOEVENTO="Manual",$M219=1),0,IF(OFFSET(CRONOPLE!$F$14,$M219,BQ$13)="",10^12,OFFSET(CRONOPLE!$F$14,$M219,BQ$13))))</f>
        <v>0</v>
      </c>
      <c r="BR219" s="215">
        <f ca="1">IF($D219&lt;&gt;"Serviço",0,IF(AND(AUTOEVENTO="Manual",$M219=1),0,IF(OFFSET(CRONOPLE!$F$14,$M219,BR$13)="",10^12,OFFSET(CRONOPLE!$F$14,$M219,BR$13))))</f>
        <v>0</v>
      </c>
      <c r="BS219" s="215">
        <f ca="1">IF($D219&lt;&gt;"Serviço",0,IF(AND(AUTOEVENTO="Manual",$M219=1),0,IF(OFFSET(CRONOPLE!$F$14,$M219,BS$13)="",10^12,OFFSET(CRONOPLE!$F$14,$M219,BS$13))))</f>
        <v>0</v>
      </c>
      <c r="BT219" s="215">
        <f ca="1">IF($D219&lt;&gt;"Serviço",0,IF(AND(AUTOEVENTO="Manual",$M219=1),0,IF(OFFSET(CRONOPLE!$F$14,$M219,BT$13)="",10^12,OFFSET(CRONOPLE!$F$14,$M219,BT$13))))</f>
        <v>0</v>
      </c>
      <c r="BV219" s="216">
        <f ca="1">IF($D219&lt;&gt;"Serviço",0,IF(OR(AND(AUTOEVENTO="Manual",$M219=1),$M219&gt;(ROW(PLE.lastrow)-ROW(PLE.firstrow))),0,IF(OFFSET(PLE!$G$14,$M219,BV$13)="",10^12,OFFSET(PLE!$G$14,$M219,BV$13))))</f>
        <v>0</v>
      </c>
      <c r="BW219" s="216">
        <f ca="1">IF($D219&lt;&gt;"Serviço",0,IF(OR(AND(AUTOEVENTO="Manual",$M219=1),$M219&gt;(ROW(PLE.lastrow)-ROW(PLE.firstrow))),0,IF(OFFSET(PLE!$G$14,$M219,BW$13)="",10^12,OFFSET(PLE!$G$14,$M219,BW$13))))</f>
        <v>0</v>
      </c>
      <c r="BX219" s="216">
        <f ca="1">IF($D219&lt;&gt;"Serviço",0,IF(OR(AND(AUTOEVENTO="Manual",$M219=1),$M219&gt;(ROW(PLE.lastrow)-ROW(PLE.firstrow))),0,IF(OFFSET(PLE!$G$14,$M219,BX$13)="",10^12,OFFSET(PLE!$G$14,$M219,BX$13))))</f>
        <v>0</v>
      </c>
      <c r="BY219" s="216">
        <f ca="1">IF($D219&lt;&gt;"Serviço",0,IF(OR(AND(AUTOEVENTO="Manual",$M219=1),$M219&gt;(ROW(PLE.lastrow)-ROW(PLE.firstrow))),0,IF(OFFSET(PLE!$G$14,$M219,BY$13)="",10^12,OFFSET(PLE!$G$14,$M219,BY$13))))</f>
        <v>0</v>
      </c>
      <c r="BZ219" s="216">
        <f ca="1">IF($D219&lt;&gt;"Serviço",0,IF(OR(AND(AUTOEVENTO="Manual",$M219=1),$M219&gt;(ROW(PLE.lastrow)-ROW(PLE.firstrow))),0,IF(OFFSET(PLE!$G$14,$M219,BZ$13)="",10^12,OFFSET(PLE!$G$14,$M219,BZ$13))))</f>
        <v>0</v>
      </c>
      <c r="CA219" s="216">
        <f ca="1">IF($D219&lt;&gt;"Serviço",0,IF(OR(AND(AUTOEVENTO="Manual",$M219=1),$M219&gt;(ROW(PLE.lastrow)-ROW(PLE.firstrow))),0,IF(OFFSET(PLE!$G$14,$M219,CA$13)="",10^12,OFFSET(PLE!$G$14,$M219,CA$13))))</f>
        <v>0</v>
      </c>
      <c r="CB219" s="216">
        <f ca="1">IF($D219&lt;&gt;"Serviço",0,IF(OR(AND(AUTOEVENTO="Manual",$M219=1),$M219&gt;(ROW(PLE.lastrow)-ROW(PLE.firstrow))),0,IF(OFFSET(PLE!$G$14,$M219,CB$13)="",10^12,OFFSET(PLE!$G$14,$M219,CB$13))))</f>
        <v>0</v>
      </c>
      <c r="CC219" s="216">
        <f ca="1">IF($D219&lt;&gt;"Serviço",0,IF(OR(AND(AUTOEVENTO="Manual",$M219=1),$M219&gt;(ROW(PLE.lastrow)-ROW(PLE.firstrow))),0,IF(OFFSET(PLE!$G$14,$M219,CC$13)="",10^12,OFFSET(PLE!$G$14,$M219,CC$13))))</f>
        <v>0</v>
      </c>
      <c r="CD219" s="216">
        <f ca="1">IF($D219&lt;&gt;"Serviço",0,IF(OR(AND(AUTOEVENTO="Manual",$M219=1),$M219&gt;(ROW(PLE.lastrow)-ROW(PLE.firstrow))),0,IF(OFFSET(PLE!$G$14,$M219,CD$13)="",10^12,OFFSET(PLE!$G$14,$M219,CD$13))))</f>
        <v>0</v>
      </c>
      <c r="CE219" s="216">
        <f ca="1">IF($D219&lt;&gt;"Serviço",0,IF(OR(AND(AUTOEVENTO="Manual",$M219=1),$M219&gt;(ROW(PLE.lastrow)-ROW(PLE.firstrow))),0,IF(OFFSET(PLE!$G$14,$M219,CE$13)="",10^12,OFFSET(PLE!$G$14,$M219,CE$13))))</f>
        <v>0</v>
      </c>
      <c r="CF219" s="216">
        <f ca="1">IF($D219&lt;&gt;"Serviço",0,IF(OR(AND(AUTOEVENTO="Manual",$M219=1),$M219&gt;(ROW(PLE.lastrow)-ROW(PLE.firstrow))),0,IF(OFFSET(PLE!$G$14,$M219,CF$13)="",10^12,OFFSET(PLE!$G$14,$M219,CF$13))))</f>
        <v>0</v>
      </c>
      <c r="CG219" s="216">
        <f ca="1">IF($D219&lt;&gt;"Serviço",0,IF(OR(AND(AUTOEVENTO="Manual",$M219=1),$M219&gt;(ROW(PLE.lastrow)-ROW(PLE.firstrow))),0,IF(OFFSET(PLE!$G$14,$M219,CG$13)="",10^12,OFFSET(PLE!$G$14,$M219,CG$13))))</f>
        <v>0</v>
      </c>
      <c r="CH219" s="216">
        <f ca="1">IF($D219&lt;&gt;"Serviço",0,IF(OR(AND(AUTOEVENTO="Manual",$M219=1),$M219&gt;(ROW(PLE.lastrow)-ROW(PLE.firstrow))),0,IF(OFFSET(PLE!$G$14,$M219,CH$13)="",10^12,OFFSET(PLE!$G$14,$M219,CH$13))))</f>
        <v>0</v>
      </c>
      <c r="CI219" s="216">
        <f ca="1">IF($D219&lt;&gt;"Serviço",0,IF(OR(AND(AUTOEVENTO="Manual",$M219=1),$M219&gt;(ROW(PLE.lastrow)-ROW(PLE.firstrow))),0,IF(OFFSET(PLE!$G$14,$M219,CI$13)="",10^12,OFFSET(PLE!$G$14,$M219,CI$13))))</f>
        <v>0</v>
      </c>
      <c r="CJ219" s="216">
        <f ca="1">IF($D219&lt;&gt;"Serviço",0,IF(OR(AND(AUTOEVENTO="Manual",$M219=1),$M219&gt;(ROW(PLE.lastrow)-ROW(PLE.firstrow))),0,IF(OFFSET(PLE!$G$14,$M219,CJ$13)="",10^12,OFFSET(PLE!$G$14,$M219,CJ$13))))</f>
        <v>0</v>
      </c>
      <c r="CK219" s="216">
        <f ca="1">IF($D219&lt;&gt;"Serviço",0,IF(OR(AND(AUTOEVENTO="Manual",$M219=1),$M219&gt;(ROW(PLE.lastrow)-ROW(PLE.firstrow))),0,IF(OFFSET(PLE!$G$14,$M219,CK$13)="",10^12,OFFSET(PLE!$G$14,$M219,CK$13))))</f>
        <v>0</v>
      </c>
      <c r="CL219" s="216">
        <f ca="1">IF($D219&lt;&gt;"Serviço",0,IF(OR(AND(AUTOEVENTO="Manual",$M219=1),$M219&gt;(ROW(PLE.lastrow)-ROW(PLE.firstrow))),0,IF(OFFSET(PLE!$G$14,$M219,CL$13)="",10^12,OFFSET(PLE!$G$14,$M219,CL$13))))</f>
        <v>0</v>
      </c>
      <c r="CM219" s="216">
        <f ca="1">IF($D219&lt;&gt;"Serviço",0,IF(OR(AND(AUTOEVENTO="Manual",$M219=1),$M219&gt;(ROW(PLE.lastrow)-ROW(PLE.firstrow))),0,IF(OFFSET(PLE!$G$14,$M219,CM$13)="",10^12,OFFSET(PLE!$G$14,$M219,CM$13))))</f>
        <v>0</v>
      </c>
    </row>
    <row r="220" spans="1:91" ht="13.2" x14ac:dyDescent="0.25">
      <c r="A220" s="9">
        <f t="shared" ca="1" si="12"/>
        <v>0</v>
      </c>
      <c r="B220" s="9">
        <f ca="1">OFFSET(ORÇAMENTO!C$15,ROW(B220)-ROW(B$15),0)</f>
        <v>3</v>
      </c>
      <c r="C220" s="9" t="str">
        <f ca="1">OFFSET(ORÇAMENTO!L$15,ROW(C220)-ROW(C$15),0)</f>
        <v>F</v>
      </c>
      <c r="D220" s="145" t="str">
        <f ca="1">OFFSET(ORÇAMENTO!N$15,ROW(D220)-ROW(D$15),0)</f>
        <v>Nível 3</v>
      </c>
      <c r="E220" s="205" t="str">
        <f ca="1">OFFSET(ORÇAMENTO!O$15,ROW(E220)-ROW(E$15),0)</f>
        <v>1.7.1.</v>
      </c>
      <c r="F220" s="206" t="str">
        <f ca="1">OFFSET(ORÇAMENTO!R$15,ROW(F220)-ROW(F$15),0)</f>
        <v>EDIFICAÇÃO</v>
      </c>
      <c r="G220" s="207" t="str">
        <f ca="1">IF($D220&lt;&gt;"Serviço","",OFFSET(ORÇAMENTO!S$15,ROW(G220)-ROW(G$15),0))</f>
        <v/>
      </c>
      <c r="H220" s="151">
        <f ca="1">IF($D220&lt;&gt;"Serviço",0,IF(ACOMPANHAMENTO="BM",ROUND(OFFSET(ORÇAMENTO!AJ$15,ROW(H220)-ROW(H$15),0),15-13*ORÇAMENTO!$AF$7),SUMPRODUCT(($Q$12:$AI$12&lt;&gt;"")*ROUND($Q220:$AI220,15-13*ORÇAMENTO!$AF$7))))</f>
        <v>0</v>
      </c>
      <c r="I220" s="650"/>
      <c r="K220" s="208"/>
      <c r="L220" s="209" t="s">
        <v>257</v>
      </c>
      <c r="M220" s="210" t="str">
        <f ca="1">IF($D220&lt;&gt;"Serviço","",IF(AUTOEVENTO="manual",$A220,IF(ISERROR(MATCH($A220,$A$15:OFFSET($A220,-1,0),0)),MAX($M$15:OFFSET(M220,-1,0))+1,INDEX($M$15:OFFSET(M220,-1,0),MATCH($A220,$A$15:OFFSET($A220,-1,0),0)))))</f>
        <v/>
      </c>
      <c r="N220" s="211" t="str">
        <f ca="1">IF($D220&lt;&gt;"Serviço","",IF(AUTOEVENTO="Manual",IF($A220=0,"&lt;-- defina o número do agrupador",OFFSET(EVENTOS!$D$14,$A220,0)),OFFSET($F$15,$A220,0)))</f>
        <v/>
      </c>
      <c r="O220" s="212"/>
      <c r="Q220" s="212"/>
      <c r="R220" s="213"/>
      <c r="S220" s="213"/>
      <c r="T220" s="213"/>
      <c r="U220" s="213"/>
      <c r="V220" s="213"/>
      <c r="W220" s="213"/>
      <c r="X220" s="213"/>
      <c r="Y220" s="213"/>
      <c r="Z220" s="214"/>
      <c r="AA220" s="213"/>
      <c r="AB220" s="213"/>
      <c r="AC220" s="213"/>
      <c r="AD220" s="213"/>
      <c r="AE220" s="213"/>
      <c r="AF220" s="213"/>
      <c r="AG220" s="213"/>
      <c r="AH220" s="214"/>
      <c r="AJ220" s="631">
        <f ca="1">IF(AND($D220="Serviço",AJ$12&lt;&gt;0,$H220&gt;0,OR(AUTOEVENTO&lt;&gt;"manual",$M220&lt;&gt;1)),ROUND(OFFSET($P220,0,AJ$13),15-13*ORÇAMENTO!$AF$7)/$H220*OFFSET(ORÇAMENTO!$X$15,ROW(AJ220)-ROW(AJ$15),0),0)</f>
        <v>0</v>
      </c>
      <c r="AK220" s="632">
        <f ca="1">IF(AND($D220="Serviço",AK$12&lt;&gt;0,$H220&gt;0,OR(AUTOEVENTO&lt;&gt;"manual",$M220&lt;&gt;1)),ROUND(OFFSET($P220,0,AK$13),15-13*ORÇAMENTO!$AF$7)/$H220*OFFSET(ORÇAMENTO!$X$15,ROW(AK220)-ROW(AK$15),0),0)</f>
        <v>0</v>
      </c>
      <c r="AL220" s="632">
        <f ca="1">IF(AND($D220="Serviço",AL$12&lt;&gt;0,$H220&gt;0,OR(AUTOEVENTO&lt;&gt;"manual",$M220&lt;&gt;1)),ROUND(OFFSET($P220,0,AL$13),15-13*ORÇAMENTO!$AF$7)/$H220*OFFSET(ORÇAMENTO!$X$15,ROW(AL220)-ROW(AL$15),0),0)</f>
        <v>0</v>
      </c>
      <c r="AM220" s="632">
        <f ca="1">IF(AND($D220="Serviço",AM$12&lt;&gt;0,$H220&gt;0,OR(AUTOEVENTO&lt;&gt;"manual",$M220&lt;&gt;1)),ROUND(OFFSET($P220,0,AM$13),15-13*ORÇAMENTO!$AF$7)/$H220*OFFSET(ORÇAMENTO!$X$15,ROW(AM220)-ROW(AM$15),0),0)</f>
        <v>0</v>
      </c>
      <c r="AN220" s="632">
        <f ca="1">IF(AND($D220="Serviço",AN$12&lt;&gt;0,$H220&gt;0,OR(AUTOEVENTO&lt;&gt;"manual",$M220&lt;&gt;1)),ROUND(OFFSET($P220,0,AN$13),15-13*ORÇAMENTO!$AF$7)/$H220*OFFSET(ORÇAMENTO!$X$15,ROW(AN220)-ROW(AN$15),0),0)</f>
        <v>0</v>
      </c>
      <c r="AO220" s="632">
        <f ca="1">IF(AND($D220="Serviço",AO$12&lt;&gt;0,$H220&gt;0,OR(AUTOEVENTO&lt;&gt;"manual",$M220&lt;&gt;1)),ROUND(OFFSET($P220,0,AO$13),15-13*ORÇAMENTO!$AF$7)/$H220*OFFSET(ORÇAMENTO!$X$15,ROW(AO220)-ROW(AO$15),0),0)</f>
        <v>0</v>
      </c>
      <c r="AP220" s="632">
        <f ca="1">IF(AND($D220="Serviço",AP$12&lt;&gt;0,$H220&gt;0,OR(AUTOEVENTO&lt;&gt;"manual",$M220&lt;&gt;1)),ROUND(OFFSET($P220,0,AP$13),15-13*ORÇAMENTO!$AF$7)/$H220*OFFSET(ORÇAMENTO!$X$15,ROW(AP220)-ROW(AP$15),0),0)</f>
        <v>0</v>
      </c>
      <c r="AQ220" s="632">
        <f ca="1">IF(AND($D220="Serviço",AQ$12&lt;&gt;0,$H220&gt;0,OR(AUTOEVENTO&lt;&gt;"manual",$M220&lt;&gt;1)),ROUND(OFFSET($P220,0,AQ$13),15-13*ORÇAMENTO!$AF$7)/$H220*OFFSET(ORÇAMENTO!$X$15,ROW(AQ220)-ROW(AQ$15),0),0)</f>
        <v>0</v>
      </c>
      <c r="AR220" s="632">
        <f ca="1">IF(AND($D220="Serviço",AR$12&lt;&gt;0,$H220&gt;0,OR(AUTOEVENTO&lt;&gt;"manual",$M220&lt;&gt;1)),ROUND(OFFSET($P220,0,AR$13),15-13*ORÇAMENTO!$AF$7)/$H220*OFFSET(ORÇAMENTO!$X$15,ROW(AR220)-ROW(AR$15),0),0)</f>
        <v>0</v>
      </c>
      <c r="AS220" s="633">
        <f ca="1">IF(AND($D220="Serviço",AS$12&lt;&gt;0,$H220&gt;0,OR(AUTOEVENTO&lt;&gt;"manual",$M220&lt;&gt;1)),ROUND(OFFSET($P220,0,AS$13),15-13*ORÇAMENTO!$AF$7)/$H220*OFFSET(ORÇAMENTO!$X$15,ROW(AS220)-ROW(AS$15),0),0)</f>
        <v>0</v>
      </c>
      <c r="AT220" s="632">
        <f ca="1">IF(AND($D220="Serviço",AT$12&lt;&gt;0,$H220&gt;0,OR(AUTOEVENTO&lt;&gt;"manual",$M220&lt;&gt;1)),ROUND(OFFSET($P220,0,AT$13),15-13*ORÇAMENTO!$AF$7)/$H220*OFFSET(ORÇAMENTO!$X$15,ROW(AT220)-ROW(AT$15),0),0)</f>
        <v>0</v>
      </c>
      <c r="AU220" s="632">
        <f ca="1">IF(AND($D220="Serviço",AU$12&lt;&gt;0,$H220&gt;0,OR(AUTOEVENTO&lt;&gt;"manual",$M220&lt;&gt;1)),ROUND(OFFSET($P220,0,AU$13),15-13*ORÇAMENTO!$AF$7)/$H220*OFFSET(ORÇAMENTO!$X$15,ROW(AU220)-ROW(AU$15),0),0)</f>
        <v>0</v>
      </c>
      <c r="AV220" s="632">
        <f ca="1">IF(AND($D220="Serviço",AV$12&lt;&gt;0,$H220&gt;0,OR(AUTOEVENTO&lt;&gt;"manual",$M220&lt;&gt;1)),ROUND(OFFSET($P220,0,AV$13),15-13*ORÇAMENTO!$AF$7)/$H220*OFFSET(ORÇAMENTO!$X$15,ROW(AV220)-ROW(AV$15),0),0)</f>
        <v>0</v>
      </c>
      <c r="AW220" s="632">
        <f ca="1">IF(AND($D220="Serviço",AW$12&lt;&gt;0,$H220&gt;0,OR(AUTOEVENTO&lt;&gt;"manual",$M220&lt;&gt;1)),ROUND(OFFSET($P220,0,AW$13),15-13*ORÇAMENTO!$AF$7)/$H220*OFFSET(ORÇAMENTO!$X$15,ROW(AW220)-ROW(AW$15),0),0)</f>
        <v>0</v>
      </c>
      <c r="AX220" s="632">
        <f ca="1">IF(AND($D220="Serviço",AX$12&lt;&gt;0,$H220&gt;0,OR(AUTOEVENTO&lt;&gt;"manual",$M220&lt;&gt;1)),ROUND(OFFSET($P220,0,AX$13),15-13*ORÇAMENTO!$AF$7)/$H220*OFFSET(ORÇAMENTO!$X$15,ROW(AX220)-ROW(AX$15),0),0)</f>
        <v>0</v>
      </c>
      <c r="AY220" s="632">
        <f ca="1">IF(AND($D220="Serviço",AY$12&lt;&gt;0,$H220&gt;0,OR(AUTOEVENTO&lt;&gt;"manual",$M220&lt;&gt;1)),ROUND(OFFSET($P220,0,AY$13),15-13*ORÇAMENTO!$AF$7)/$H220*OFFSET(ORÇAMENTO!$X$15,ROW(AY220)-ROW(AY$15),0),0)</f>
        <v>0</v>
      </c>
      <c r="AZ220" s="632">
        <f ca="1">IF(AND($D220="Serviço",AZ$12&lt;&gt;0,$H220&gt;0,OR(AUTOEVENTO&lt;&gt;"manual",$M220&lt;&gt;1)),ROUND(OFFSET($P220,0,AZ$13),15-13*ORÇAMENTO!$AF$7)/$H220*OFFSET(ORÇAMENTO!$X$15,ROW(AZ220)-ROW(AZ$15),0),0)</f>
        <v>0</v>
      </c>
      <c r="BA220" s="633">
        <f ca="1">IF(AND($D220="Serviço",BA$12&lt;&gt;0,$H220&gt;0,OR(AUTOEVENTO&lt;&gt;"manual",$M220&lt;&gt;1)),ROUND(OFFSET($P220,0,BA$13),15-13*ORÇAMENTO!$AF$7)/$H220*OFFSET(ORÇAMENTO!$X$15,ROW(BA220)-ROW(BA$15),0),0)</f>
        <v>0</v>
      </c>
      <c r="BC220" s="215">
        <f ca="1">IF($D220&lt;&gt;"Serviço",0,IF(AND(AUTOEVENTO="Manual",$M220=1),0,IF(OFFSET(CRONOPLE!$F$14,$M220,BC$13)="",10^12,OFFSET(CRONOPLE!$F$14,$M220,BC$13))))</f>
        <v>0</v>
      </c>
      <c r="BD220" s="215">
        <f ca="1">IF($D220&lt;&gt;"Serviço",0,IF(AND(AUTOEVENTO="Manual",$M220=1),0,IF(OFFSET(CRONOPLE!$F$14,$M220,BD$13)="",10^12,OFFSET(CRONOPLE!$F$14,$M220,BD$13))))</f>
        <v>0</v>
      </c>
      <c r="BE220" s="215">
        <f ca="1">IF($D220&lt;&gt;"Serviço",0,IF(AND(AUTOEVENTO="Manual",$M220=1),0,IF(OFFSET(CRONOPLE!$F$14,$M220,BE$13)="",10^12,OFFSET(CRONOPLE!$F$14,$M220,BE$13))))</f>
        <v>0</v>
      </c>
      <c r="BF220" s="215">
        <f ca="1">IF($D220&lt;&gt;"Serviço",0,IF(AND(AUTOEVENTO="Manual",$M220=1),0,IF(OFFSET(CRONOPLE!$F$14,$M220,BF$13)="",10^12,OFFSET(CRONOPLE!$F$14,$M220,BF$13))))</f>
        <v>0</v>
      </c>
      <c r="BG220" s="215">
        <f ca="1">IF($D220&lt;&gt;"Serviço",0,IF(AND(AUTOEVENTO="Manual",$M220=1),0,IF(OFFSET(CRONOPLE!$F$14,$M220,BG$13)="",10^12,OFFSET(CRONOPLE!$F$14,$M220,BG$13))))</f>
        <v>0</v>
      </c>
      <c r="BH220" s="215">
        <f ca="1">IF($D220&lt;&gt;"Serviço",0,IF(AND(AUTOEVENTO="Manual",$M220=1),0,IF(OFFSET(CRONOPLE!$F$14,$M220,BH$13)="",10^12,OFFSET(CRONOPLE!$F$14,$M220,BH$13))))</f>
        <v>0</v>
      </c>
      <c r="BI220" s="215">
        <f ca="1">IF($D220&lt;&gt;"Serviço",0,IF(AND(AUTOEVENTO="Manual",$M220=1),0,IF(OFFSET(CRONOPLE!$F$14,$M220,BI$13)="",10^12,OFFSET(CRONOPLE!$F$14,$M220,BI$13))))</f>
        <v>0</v>
      </c>
      <c r="BJ220" s="215">
        <f ca="1">IF($D220&lt;&gt;"Serviço",0,IF(AND(AUTOEVENTO="Manual",$M220=1),0,IF(OFFSET(CRONOPLE!$F$14,$M220,BJ$13)="",10^12,OFFSET(CRONOPLE!$F$14,$M220,BJ$13))))</f>
        <v>0</v>
      </c>
      <c r="BK220" s="215">
        <f ca="1">IF($D220&lt;&gt;"Serviço",0,IF(AND(AUTOEVENTO="Manual",$M220=1),0,IF(OFFSET(CRONOPLE!$F$14,$M220,BK$13)="",10^12,OFFSET(CRONOPLE!$F$14,$M220,BK$13))))</f>
        <v>0</v>
      </c>
      <c r="BL220" s="215">
        <f ca="1">IF($D220&lt;&gt;"Serviço",0,IF(AND(AUTOEVENTO="Manual",$M220=1),0,IF(OFFSET(CRONOPLE!$F$14,$M220,BL$13)="",10^12,OFFSET(CRONOPLE!$F$14,$M220,BL$13))))</f>
        <v>0</v>
      </c>
      <c r="BM220" s="215">
        <f ca="1">IF($D220&lt;&gt;"Serviço",0,IF(AND(AUTOEVENTO="Manual",$M220=1),0,IF(OFFSET(CRONOPLE!$F$14,$M220,BM$13)="",10^12,OFFSET(CRONOPLE!$F$14,$M220,BM$13))))</f>
        <v>0</v>
      </c>
      <c r="BN220" s="215">
        <f ca="1">IF($D220&lt;&gt;"Serviço",0,IF(AND(AUTOEVENTO="Manual",$M220=1),0,IF(OFFSET(CRONOPLE!$F$14,$M220,BN$13)="",10^12,OFFSET(CRONOPLE!$F$14,$M220,BN$13))))</f>
        <v>0</v>
      </c>
      <c r="BO220" s="215">
        <f ca="1">IF($D220&lt;&gt;"Serviço",0,IF(AND(AUTOEVENTO="Manual",$M220=1),0,IF(OFFSET(CRONOPLE!$F$14,$M220,BO$13)="",10^12,OFFSET(CRONOPLE!$F$14,$M220,BO$13))))</f>
        <v>0</v>
      </c>
      <c r="BP220" s="215">
        <f ca="1">IF($D220&lt;&gt;"Serviço",0,IF(AND(AUTOEVENTO="Manual",$M220=1),0,IF(OFFSET(CRONOPLE!$F$14,$M220,BP$13)="",10^12,OFFSET(CRONOPLE!$F$14,$M220,BP$13))))</f>
        <v>0</v>
      </c>
      <c r="BQ220" s="215">
        <f ca="1">IF($D220&lt;&gt;"Serviço",0,IF(AND(AUTOEVENTO="Manual",$M220=1),0,IF(OFFSET(CRONOPLE!$F$14,$M220,BQ$13)="",10^12,OFFSET(CRONOPLE!$F$14,$M220,BQ$13))))</f>
        <v>0</v>
      </c>
      <c r="BR220" s="215">
        <f ca="1">IF($D220&lt;&gt;"Serviço",0,IF(AND(AUTOEVENTO="Manual",$M220=1),0,IF(OFFSET(CRONOPLE!$F$14,$M220,BR$13)="",10^12,OFFSET(CRONOPLE!$F$14,$M220,BR$13))))</f>
        <v>0</v>
      </c>
      <c r="BS220" s="215">
        <f ca="1">IF($D220&lt;&gt;"Serviço",0,IF(AND(AUTOEVENTO="Manual",$M220=1),0,IF(OFFSET(CRONOPLE!$F$14,$M220,BS$13)="",10^12,OFFSET(CRONOPLE!$F$14,$M220,BS$13))))</f>
        <v>0</v>
      </c>
      <c r="BT220" s="215">
        <f ca="1">IF($D220&lt;&gt;"Serviço",0,IF(AND(AUTOEVENTO="Manual",$M220=1),0,IF(OFFSET(CRONOPLE!$F$14,$M220,BT$13)="",10^12,OFFSET(CRONOPLE!$F$14,$M220,BT$13))))</f>
        <v>0</v>
      </c>
      <c r="BV220" s="216">
        <f ca="1">IF($D220&lt;&gt;"Serviço",0,IF(OR(AND(AUTOEVENTO="Manual",$M220=1),$M220&gt;(ROW(PLE.lastrow)-ROW(PLE.firstrow))),0,IF(OFFSET(PLE!$G$14,$M220,BV$13)="",10^12,OFFSET(PLE!$G$14,$M220,BV$13))))</f>
        <v>0</v>
      </c>
      <c r="BW220" s="216">
        <f ca="1">IF($D220&lt;&gt;"Serviço",0,IF(OR(AND(AUTOEVENTO="Manual",$M220=1),$M220&gt;(ROW(PLE.lastrow)-ROW(PLE.firstrow))),0,IF(OFFSET(PLE!$G$14,$M220,BW$13)="",10^12,OFFSET(PLE!$G$14,$M220,BW$13))))</f>
        <v>0</v>
      </c>
      <c r="BX220" s="216">
        <f ca="1">IF($D220&lt;&gt;"Serviço",0,IF(OR(AND(AUTOEVENTO="Manual",$M220=1),$M220&gt;(ROW(PLE.lastrow)-ROW(PLE.firstrow))),0,IF(OFFSET(PLE!$G$14,$M220,BX$13)="",10^12,OFFSET(PLE!$G$14,$M220,BX$13))))</f>
        <v>0</v>
      </c>
      <c r="BY220" s="216">
        <f ca="1">IF($D220&lt;&gt;"Serviço",0,IF(OR(AND(AUTOEVENTO="Manual",$M220=1),$M220&gt;(ROW(PLE.lastrow)-ROW(PLE.firstrow))),0,IF(OFFSET(PLE!$G$14,$M220,BY$13)="",10^12,OFFSET(PLE!$G$14,$M220,BY$13))))</f>
        <v>0</v>
      </c>
      <c r="BZ220" s="216">
        <f ca="1">IF($D220&lt;&gt;"Serviço",0,IF(OR(AND(AUTOEVENTO="Manual",$M220=1),$M220&gt;(ROW(PLE.lastrow)-ROW(PLE.firstrow))),0,IF(OFFSET(PLE!$G$14,$M220,BZ$13)="",10^12,OFFSET(PLE!$G$14,$M220,BZ$13))))</f>
        <v>0</v>
      </c>
      <c r="CA220" s="216">
        <f ca="1">IF($D220&lt;&gt;"Serviço",0,IF(OR(AND(AUTOEVENTO="Manual",$M220=1),$M220&gt;(ROW(PLE.lastrow)-ROW(PLE.firstrow))),0,IF(OFFSET(PLE!$G$14,$M220,CA$13)="",10^12,OFFSET(PLE!$G$14,$M220,CA$13))))</f>
        <v>0</v>
      </c>
      <c r="CB220" s="216">
        <f ca="1">IF($D220&lt;&gt;"Serviço",0,IF(OR(AND(AUTOEVENTO="Manual",$M220=1),$M220&gt;(ROW(PLE.lastrow)-ROW(PLE.firstrow))),0,IF(OFFSET(PLE!$G$14,$M220,CB$13)="",10^12,OFFSET(PLE!$G$14,$M220,CB$13))))</f>
        <v>0</v>
      </c>
      <c r="CC220" s="216">
        <f ca="1">IF($D220&lt;&gt;"Serviço",0,IF(OR(AND(AUTOEVENTO="Manual",$M220=1),$M220&gt;(ROW(PLE.lastrow)-ROW(PLE.firstrow))),0,IF(OFFSET(PLE!$G$14,$M220,CC$13)="",10^12,OFFSET(PLE!$G$14,$M220,CC$13))))</f>
        <v>0</v>
      </c>
      <c r="CD220" s="216">
        <f ca="1">IF($D220&lt;&gt;"Serviço",0,IF(OR(AND(AUTOEVENTO="Manual",$M220=1),$M220&gt;(ROW(PLE.lastrow)-ROW(PLE.firstrow))),0,IF(OFFSET(PLE!$G$14,$M220,CD$13)="",10^12,OFFSET(PLE!$G$14,$M220,CD$13))))</f>
        <v>0</v>
      </c>
      <c r="CE220" s="216">
        <f ca="1">IF($D220&lt;&gt;"Serviço",0,IF(OR(AND(AUTOEVENTO="Manual",$M220=1),$M220&gt;(ROW(PLE.lastrow)-ROW(PLE.firstrow))),0,IF(OFFSET(PLE!$G$14,$M220,CE$13)="",10^12,OFFSET(PLE!$G$14,$M220,CE$13))))</f>
        <v>0</v>
      </c>
      <c r="CF220" s="216">
        <f ca="1">IF($D220&lt;&gt;"Serviço",0,IF(OR(AND(AUTOEVENTO="Manual",$M220=1),$M220&gt;(ROW(PLE.lastrow)-ROW(PLE.firstrow))),0,IF(OFFSET(PLE!$G$14,$M220,CF$13)="",10^12,OFFSET(PLE!$G$14,$M220,CF$13))))</f>
        <v>0</v>
      </c>
      <c r="CG220" s="216">
        <f ca="1">IF($D220&lt;&gt;"Serviço",0,IF(OR(AND(AUTOEVENTO="Manual",$M220=1),$M220&gt;(ROW(PLE.lastrow)-ROW(PLE.firstrow))),0,IF(OFFSET(PLE!$G$14,$M220,CG$13)="",10^12,OFFSET(PLE!$G$14,$M220,CG$13))))</f>
        <v>0</v>
      </c>
      <c r="CH220" s="216">
        <f ca="1">IF($D220&lt;&gt;"Serviço",0,IF(OR(AND(AUTOEVENTO="Manual",$M220=1),$M220&gt;(ROW(PLE.lastrow)-ROW(PLE.firstrow))),0,IF(OFFSET(PLE!$G$14,$M220,CH$13)="",10^12,OFFSET(PLE!$G$14,$M220,CH$13))))</f>
        <v>0</v>
      </c>
      <c r="CI220" s="216">
        <f ca="1">IF($D220&lt;&gt;"Serviço",0,IF(OR(AND(AUTOEVENTO="Manual",$M220=1),$M220&gt;(ROW(PLE.lastrow)-ROW(PLE.firstrow))),0,IF(OFFSET(PLE!$G$14,$M220,CI$13)="",10^12,OFFSET(PLE!$G$14,$M220,CI$13))))</f>
        <v>0</v>
      </c>
      <c r="CJ220" s="216">
        <f ca="1">IF($D220&lt;&gt;"Serviço",0,IF(OR(AND(AUTOEVENTO="Manual",$M220=1),$M220&gt;(ROW(PLE.lastrow)-ROW(PLE.firstrow))),0,IF(OFFSET(PLE!$G$14,$M220,CJ$13)="",10^12,OFFSET(PLE!$G$14,$M220,CJ$13))))</f>
        <v>0</v>
      </c>
      <c r="CK220" s="216">
        <f ca="1">IF($D220&lt;&gt;"Serviço",0,IF(OR(AND(AUTOEVENTO="Manual",$M220=1),$M220&gt;(ROW(PLE.lastrow)-ROW(PLE.firstrow))),0,IF(OFFSET(PLE!$G$14,$M220,CK$13)="",10^12,OFFSET(PLE!$G$14,$M220,CK$13))))</f>
        <v>0</v>
      </c>
      <c r="CL220" s="216">
        <f ca="1">IF($D220&lt;&gt;"Serviço",0,IF(OR(AND(AUTOEVENTO="Manual",$M220=1),$M220&gt;(ROW(PLE.lastrow)-ROW(PLE.firstrow))),0,IF(OFFSET(PLE!$G$14,$M220,CL$13)="",10^12,OFFSET(PLE!$G$14,$M220,CL$13))))</f>
        <v>0</v>
      </c>
      <c r="CM220" s="216">
        <f ca="1">IF($D220&lt;&gt;"Serviço",0,IF(OR(AND(AUTOEVENTO="Manual",$M220=1),$M220&gt;(ROW(PLE.lastrow)-ROW(PLE.firstrow))),0,IF(OFFSET(PLE!$G$14,$M220,CM$13)="",10^12,OFFSET(PLE!$G$14,$M220,CM$13))))</f>
        <v>0</v>
      </c>
    </row>
    <row r="221" spans="1:91" ht="13.2" x14ac:dyDescent="0.25">
      <c r="A221" s="9">
        <f t="shared" ca="1" si="12"/>
        <v>0</v>
      </c>
      <c r="B221" s="9" t="str">
        <f ca="1">OFFSET(ORÇAMENTO!C$15,ROW(B221)-ROW(B$15),0)</f>
        <v>S</v>
      </c>
      <c r="C221" s="9" t="str">
        <f ca="1">OFFSET(ORÇAMENTO!L$15,ROW(C221)-ROW(C$15),0)</f>
        <v/>
      </c>
      <c r="D221" s="145" t="str">
        <f ca="1">OFFSET(ORÇAMENTO!N$15,ROW(D221)-ROW(D$15),0)</f>
        <v>Serviço</v>
      </c>
      <c r="E221" s="205" t="str">
        <f ca="1">OFFSET(ORÇAMENTO!O$15,ROW(E221)-ROW(E$15),0)</f>
        <v>-</v>
      </c>
      <c r="F221" s="206" t="str">
        <f ca="1">OFFSET(ORÇAMENTO!R$15,ROW(F221)-ROW(F$15),0)</f>
        <v>(abra o arquivo 'Referência 05-2024.xls)</v>
      </c>
      <c r="G221" s="207" t="str">
        <f ca="1">IF($D221&lt;&gt;"Serviço","",OFFSET(ORÇAMENTO!S$15,ROW(G221)-ROW(G$15),0))</f>
        <v>-</v>
      </c>
      <c r="H221" s="151">
        <f ca="1">IF($D221&lt;&gt;"Serviço",0,IF(ACOMPANHAMENTO="BM",ROUND(OFFSET(ORÇAMENTO!AJ$15,ROW(H221)-ROW(H$15),0),15-13*ORÇAMENTO!$AF$7),SUMPRODUCT(($Q$12:$AI$12&lt;&gt;"")*ROUND($Q221:$AI221,15-13*ORÇAMENTO!$AF$7))))</f>
        <v>1858.82</v>
      </c>
      <c r="I221" s="650"/>
      <c r="K221" s="208"/>
      <c r="L221" s="209" t="s">
        <v>257</v>
      </c>
      <c r="M221" s="210">
        <f ca="1">IF($D221&lt;&gt;"Serviço","",IF(AUTOEVENTO="manual",$A221,IF(ISERROR(MATCH($A221,$A$15:OFFSET($A221,-1,0),0)),MAX($M$15:OFFSET(M221,-1,0))+1,INDEX($M$15:OFFSET(M221,-1,0),MATCH($A221,$A$15:OFFSET($A221,-1,0),0)))))</f>
        <v>0</v>
      </c>
      <c r="N221" s="211" t="str">
        <f ca="1">IF($D221&lt;&gt;"Serviço","",IF(AUTOEVENTO="Manual",IF($A221=0,"&lt;-- defina o número do agrupador",OFFSET(EVENTOS!$D$14,$A221,0)),OFFSET($F$15,$A221,0)))</f>
        <v>&lt;-- defina o número do agrupador</v>
      </c>
      <c r="O221" s="212"/>
      <c r="Q221" s="212"/>
      <c r="R221" s="213"/>
      <c r="S221" s="213"/>
      <c r="T221" s="213"/>
      <c r="U221" s="213"/>
      <c r="V221" s="213"/>
      <c r="W221" s="213"/>
      <c r="X221" s="213"/>
      <c r="Y221" s="213"/>
      <c r="Z221" s="214"/>
      <c r="AA221" s="213"/>
      <c r="AB221" s="213"/>
      <c r="AC221" s="213"/>
      <c r="AD221" s="213"/>
      <c r="AE221" s="213"/>
      <c r="AF221" s="213"/>
      <c r="AG221" s="213"/>
      <c r="AH221" s="214"/>
      <c r="AJ221" s="631">
        <f ca="1">IF(AND($D221="Serviço",AJ$12&lt;&gt;0,$H221&gt;0,OR(AUTOEVENTO&lt;&gt;"manual",$M221&lt;&gt;1)),ROUND(OFFSET($P221,0,AJ$13),15-13*ORÇAMENTO!$AF$7)/$H221*OFFSET(ORÇAMENTO!$X$15,ROW(AJ221)-ROW(AJ$15),0),0)</f>
        <v>0</v>
      </c>
      <c r="AK221" s="632">
        <f ca="1">IF(AND($D221="Serviço",AK$12&lt;&gt;0,$H221&gt;0,OR(AUTOEVENTO&lt;&gt;"manual",$M221&lt;&gt;1)),ROUND(OFFSET($P221,0,AK$13),15-13*ORÇAMENTO!$AF$7)/$H221*OFFSET(ORÇAMENTO!$X$15,ROW(AK221)-ROW(AK$15),0),0)</f>
        <v>0</v>
      </c>
      <c r="AL221" s="632">
        <f ca="1">IF(AND($D221="Serviço",AL$12&lt;&gt;0,$H221&gt;0,OR(AUTOEVENTO&lt;&gt;"manual",$M221&lt;&gt;1)),ROUND(OFFSET($P221,0,AL$13),15-13*ORÇAMENTO!$AF$7)/$H221*OFFSET(ORÇAMENTO!$X$15,ROW(AL221)-ROW(AL$15),0),0)</f>
        <v>0</v>
      </c>
      <c r="AM221" s="632">
        <f ca="1">IF(AND($D221="Serviço",AM$12&lt;&gt;0,$H221&gt;0,OR(AUTOEVENTO&lt;&gt;"manual",$M221&lt;&gt;1)),ROUND(OFFSET($P221,0,AM$13),15-13*ORÇAMENTO!$AF$7)/$H221*OFFSET(ORÇAMENTO!$X$15,ROW(AM221)-ROW(AM$15),0),0)</f>
        <v>0</v>
      </c>
      <c r="AN221" s="632">
        <f ca="1">IF(AND($D221="Serviço",AN$12&lt;&gt;0,$H221&gt;0,OR(AUTOEVENTO&lt;&gt;"manual",$M221&lt;&gt;1)),ROUND(OFFSET($P221,0,AN$13),15-13*ORÇAMENTO!$AF$7)/$H221*OFFSET(ORÇAMENTO!$X$15,ROW(AN221)-ROW(AN$15),0),0)</f>
        <v>0</v>
      </c>
      <c r="AO221" s="632">
        <f ca="1">IF(AND($D221="Serviço",AO$12&lt;&gt;0,$H221&gt;0,OR(AUTOEVENTO&lt;&gt;"manual",$M221&lt;&gt;1)),ROUND(OFFSET($P221,0,AO$13),15-13*ORÇAMENTO!$AF$7)/$H221*OFFSET(ORÇAMENTO!$X$15,ROW(AO221)-ROW(AO$15),0),0)</f>
        <v>0</v>
      </c>
      <c r="AP221" s="632">
        <f ca="1">IF(AND($D221="Serviço",AP$12&lt;&gt;0,$H221&gt;0,OR(AUTOEVENTO&lt;&gt;"manual",$M221&lt;&gt;1)),ROUND(OFFSET($P221,0,AP$13),15-13*ORÇAMENTO!$AF$7)/$H221*OFFSET(ORÇAMENTO!$X$15,ROW(AP221)-ROW(AP$15),0),0)</f>
        <v>0</v>
      </c>
      <c r="AQ221" s="632">
        <f ca="1">IF(AND($D221="Serviço",AQ$12&lt;&gt;0,$H221&gt;0,OR(AUTOEVENTO&lt;&gt;"manual",$M221&lt;&gt;1)),ROUND(OFFSET($P221,0,AQ$13),15-13*ORÇAMENTO!$AF$7)/$H221*OFFSET(ORÇAMENTO!$X$15,ROW(AQ221)-ROW(AQ$15),0),0)</f>
        <v>0</v>
      </c>
      <c r="AR221" s="632">
        <f ca="1">IF(AND($D221="Serviço",AR$12&lt;&gt;0,$H221&gt;0,OR(AUTOEVENTO&lt;&gt;"manual",$M221&lt;&gt;1)),ROUND(OFFSET($P221,0,AR$13),15-13*ORÇAMENTO!$AF$7)/$H221*OFFSET(ORÇAMENTO!$X$15,ROW(AR221)-ROW(AR$15),0),0)</f>
        <v>0</v>
      </c>
      <c r="AS221" s="633">
        <f ca="1">IF(AND($D221="Serviço",AS$12&lt;&gt;0,$H221&gt;0,OR(AUTOEVENTO&lt;&gt;"manual",$M221&lt;&gt;1)),ROUND(OFFSET($P221,0,AS$13),15-13*ORÇAMENTO!$AF$7)/$H221*OFFSET(ORÇAMENTO!$X$15,ROW(AS221)-ROW(AS$15),0),0)</f>
        <v>0</v>
      </c>
      <c r="AT221" s="632">
        <f ca="1">IF(AND($D221="Serviço",AT$12&lt;&gt;0,$H221&gt;0,OR(AUTOEVENTO&lt;&gt;"manual",$M221&lt;&gt;1)),ROUND(OFFSET($P221,0,AT$13),15-13*ORÇAMENTO!$AF$7)/$H221*OFFSET(ORÇAMENTO!$X$15,ROW(AT221)-ROW(AT$15),0),0)</f>
        <v>0</v>
      </c>
      <c r="AU221" s="632">
        <f ca="1">IF(AND($D221="Serviço",AU$12&lt;&gt;0,$H221&gt;0,OR(AUTOEVENTO&lt;&gt;"manual",$M221&lt;&gt;1)),ROUND(OFFSET($P221,0,AU$13),15-13*ORÇAMENTO!$AF$7)/$H221*OFFSET(ORÇAMENTO!$X$15,ROW(AU221)-ROW(AU$15),0),0)</f>
        <v>0</v>
      </c>
      <c r="AV221" s="632">
        <f ca="1">IF(AND($D221="Serviço",AV$12&lt;&gt;0,$H221&gt;0,OR(AUTOEVENTO&lt;&gt;"manual",$M221&lt;&gt;1)),ROUND(OFFSET($P221,0,AV$13),15-13*ORÇAMENTO!$AF$7)/$H221*OFFSET(ORÇAMENTO!$X$15,ROW(AV221)-ROW(AV$15),0),0)</f>
        <v>0</v>
      </c>
      <c r="AW221" s="632">
        <f ca="1">IF(AND($D221="Serviço",AW$12&lt;&gt;0,$H221&gt;0,OR(AUTOEVENTO&lt;&gt;"manual",$M221&lt;&gt;1)),ROUND(OFFSET($P221,0,AW$13),15-13*ORÇAMENTO!$AF$7)/$H221*OFFSET(ORÇAMENTO!$X$15,ROW(AW221)-ROW(AW$15),0),0)</f>
        <v>0</v>
      </c>
      <c r="AX221" s="632">
        <f ca="1">IF(AND($D221="Serviço",AX$12&lt;&gt;0,$H221&gt;0,OR(AUTOEVENTO&lt;&gt;"manual",$M221&lt;&gt;1)),ROUND(OFFSET($P221,0,AX$13),15-13*ORÇAMENTO!$AF$7)/$H221*OFFSET(ORÇAMENTO!$X$15,ROW(AX221)-ROW(AX$15),0),0)</f>
        <v>0</v>
      </c>
      <c r="AY221" s="632">
        <f ca="1">IF(AND($D221="Serviço",AY$12&lt;&gt;0,$H221&gt;0,OR(AUTOEVENTO&lt;&gt;"manual",$M221&lt;&gt;1)),ROUND(OFFSET($P221,0,AY$13),15-13*ORÇAMENTO!$AF$7)/$H221*OFFSET(ORÇAMENTO!$X$15,ROW(AY221)-ROW(AY$15),0),0)</f>
        <v>0</v>
      </c>
      <c r="AZ221" s="632">
        <f ca="1">IF(AND($D221="Serviço",AZ$12&lt;&gt;0,$H221&gt;0,OR(AUTOEVENTO&lt;&gt;"manual",$M221&lt;&gt;1)),ROUND(OFFSET($P221,0,AZ$13),15-13*ORÇAMENTO!$AF$7)/$H221*OFFSET(ORÇAMENTO!$X$15,ROW(AZ221)-ROW(AZ$15),0),0)</f>
        <v>0</v>
      </c>
      <c r="BA221" s="633">
        <f ca="1">IF(AND($D221="Serviço",BA$12&lt;&gt;0,$H221&gt;0,OR(AUTOEVENTO&lt;&gt;"manual",$M221&lt;&gt;1)),ROUND(OFFSET($P221,0,BA$13),15-13*ORÇAMENTO!$AF$7)/$H221*OFFSET(ORÇAMENTO!$X$15,ROW(BA221)-ROW(BA$15),0),0)</f>
        <v>0</v>
      </c>
      <c r="BC221" s="215">
        <f ca="1">IF($D221&lt;&gt;"Serviço",0,IF(AND(AUTOEVENTO="Manual",$M221=1),0,IF(OFFSET(CRONOPLE!$F$14,$M221,BC$13)="",10^12,OFFSET(CRONOPLE!$F$14,$M221,BC$13))))</f>
        <v>1000000000000</v>
      </c>
      <c r="BD221" s="215">
        <f ca="1">IF($D221&lt;&gt;"Serviço",0,IF(AND(AUTOEVENTO="Manual",$M221=1),0,IF(OFFSET(CRONOPLE!$F$14,$M221,BD$13)="",10^12,OFFSET(CRONOPLE!$F$14,$M221,BD$13))))</f>
        <v>1000000000000</v>
      </c>
      <c r="BE221" s="215">
        <f ca="1">IF($D221&lt;&gt;"Serviço",0,IF(AND(AUTOEVENTO="Manual",$M221=1),0,IF(OFFSET(CRONOPLE!$F$14,$M221,BE$13)="",10^12,OFFSET(CRONOPLE!$F$14,$M221,BE$13))))</f>
        <v>1000000000000</v>
      </c>
      <c r="BF221" s="215">
        <f ca="1">IF($D221&lt;&gt;"Serviço",0,IF(AND(AUTOEVENTO="Manual",$M221=1),0,IF(OFFSET(CRONOPLE!$F$14,$M221,BF$13)="",10^12,OFFSET(CRONOPLE!$F$14,$M221,BF$13))))</f>
        <v>1000000000000</v>
      </c>
      <c r="BG221" s="215">
        <f ca="1">IF($D221&lt;&gt;"Serviço",0,IF(AND(AUTOEVENTO="Manual",$M221=1),0,IF(OFFSET(CRONOPLE!$F$14,$M221,BG$13)="",10^12,OFFSET(CRONOPLE!$F$14,$M221,BG$13))))</f>
        <v>1000000000000</v>
      </c>
      <c r="BH221" s="215">
        <f ca="1">IF($D221&lt;&gt;"Serviço",0,IF(AND(AUTOEVENTO="Manual",$M221=1),0,IF(OFFSET(CRONOPLE!$F$14,$M221,BH$13)="",10^12,OFFSET(CRONOPLE!$F$14,$M221,BH$13))))</f>
        <v>1000000000000</v>
      </c>
      <c r="BI221" s="215">
        <f ca="1">IF($D221&lt;&gt;"Serviço",0,IF(AND(AUTOEVENTO="Manual",$M221=1),0,IF(OFFSET(CRONOPLE!$F$14,$M221,BI$13)="",10^12,OFFSET(CRONOPLE!$F$14,$M221,BI$13))))</f>
        <v>1000000000000</v>
      </c>
      <c r="BJ221" s="215">
        <f ca="1">IF($D221&lt;&gt;"Serviço",0,IF(AND(AUTOEVENTO="Manual",$M221=1),0,IF(OFFSET(CRONOPLE!$F$14,$M221,BJ$13)="",10^12,OFFSET(CRONOPLE!$F$14,$M221,BJ$13))))</f>
        <v>1000000000000</v>
      </c>
      <c r="BK221" s="215">
        <f ca="1">IF($D221&lt;&gt;"Serviço",0,IF(AND(AUTOEVENTO="Manual",$M221=1),0,IF(OFFSET(CRONOPLE!$F$14,$M221,BK$13)="",10^12,OFFSET(CRONOPLE!$F$14,$M221,BK$13))))</f>
        <v>1000000000000</v>
      </c>
      <c r="BL221" s="215">
        <f ca="1">IF($D221&lt;&gt;"Serviço",0,IF(AND(AUTOEVENTO="Manual",$M221=1),0,IF(OFFSET(CRONOPLE!$F$14,$M221,BL$13)="",10^12,OFFSET(CRONOPLE!$F$14,$M221,BL$13))))</f>
        <v>1000000000000</v>
      </c>
      <c r="BM221" s="215">
        <f ca="1">IF($D221&lt;&gt;"Serviço",0,IF(AND(AUTOEVENTO="Manual",$M221=1),0,IF(OFFSET(CRONOPLE!$F$14,$M221,BM$13)="",10^12,OFFSET(CRONOPLE!$F$14,$M221,BM$13))))</f>
        <v>1000000000000</v>
      </c>
      <c r="BN221" s="215">
        <f ca="1">IF($D221&lt;&gt;"Serviço",0,IF(AND(AUTOEVENTO="Manual",$M221=1),0,IF(OFFSET(CRONOPLE!$F$14,$M221,BN$13)="",10^12,OFFSET(CRONOPLE!$F$14,$M221,BN$13))))</f>
        <v>1000000000000</v>
      </c>
      <c r="BO221" s="215">
        <f ca="1">IF($D221&lt;&gt;"Serviço",0,IF(AND(AUTOEVENTO="Manual",$M221=1),0,IF(OFFSET(CRONOPLE!$F$14,$M221,BO$13)="",10^12,OFFSET(CRONOPLE!$F$14,$M221,BO$13))))</f>
        <v>1000000000000</v>
      </c>
      <c r="BP221" s="215">
        <f ca="1">IF($D221&lt;&gt;"Serviço",0,IF(AND(AUTOEVENTO="Manual",$M221=1),0,IF(OFFSET(CRONOPLE!$F$14,$M221,BP$13)="",10^12,OFFSET(CRONOPLE!$F$14,$M221,BP$13))))</f>
        <v>1000000000000</v>
      </c>
      <c r="BQ221" s="215">
        <f ca="1">IF($D221&lt;&gt;"Serviço",0,IF(AND(AUTOEVENTO="Manual",$M221=1),0,IF(OFFSET(CRONOPLE!$F$14,$M221,BQ$13)="",10^12,OFFSET(CRONOPLE!$F$14,$M221,BQ$13))))</f>
        <v>1000000000000</v>
      </c>
      <c r="BR221" s="215">
        <f ca="1">IF($D221&lt;&gt;"Serviço",0,IF(AND(AUTOEVENTO="Manual",$M221=1),0,IF(OFFSET(CRONOPLE!$F$14,$M221,BR$13)="",10^12,OFFSET(CRONOPLE!$F$14,$M221,BR$13))))</f>
        <v>1000000000000</v>
      </c>
      <c r="BS221" s="215">
        <f ca="1">IF($D221&lt;&gt;"Serviço",0,IF(AND(AUTOEVENTO="Manual",$M221=1),0,IF(OFFSET(CRONOPLE!$F$14,$M221,BS$13)="",10^12,OFFSET(CRONOPLE!$F$14,$M221,BS$13))))</f>
        <v>1000000000000</v>
      </c>
      <c r="BT221" s="215">
        <f ca="1">IF($D221&lt;&gt;"Serviço",0,IF(AND(AUTOEVENTO="Manual",$M221=1),0,IF(OFFSET(CRONOPLE!$F$14,$M221,BT$13)="",10^12,OFFSET(CRONOPLE!$F$14,$M221,BT$13))))</f>
        <v>1000000000000</v>
      </c>
      <c r="BV221" s="216">
        <f ca="1">IF($D221&lt;&gt;"Serviço",0,IF(OR(AND(AUTOEVENTO="Manual",$M221=1),$M221&gt;(ROW(PLE.lastrow)-ROW(PLE.firstrow))),0,IF(OFFSET(PLE!$G$14,$M221,BV$13)="",10^12,OFFSET(PLE!$G$14,$M221,BV$13))))</f>
        <v>1000000000000</v>
      </c>
      <c r="BW221" s="216">
        <f ca="1">IF($D221&lt;&gt;"Serviço",0,IF(OR(AND(AUTOEVENTO="Manual",$M221=1),$M221&gt;(ROW(PLE.lastrow)-ROW(PLE.firstrow))),0,IF(OFFSET(PLE!$G$14,$M221,BW$13)="",10^12,OFFSET(PLE!$G$14,$M221,BW$13))))</f>
        <v>1000000000000</v>
      </c>
      <c r="BX221" s="216">
        <f ca="1">IF($D221&lt;&gt;"Serviço",0,IF(OR(AND(AUTOEVENTO="Manual",$M221=1),$M221&gt;(ROW(PLE.lastrow)-ROW(PLE.firstrow))),0,IF(OFFSET(PLE!$G$14,$M221,BX$13)="",10^12,OFFSET(PLE!$G$14,$M221,BX$13))))</f>
        <v>1000000000000</v>
      </c>
      <c r="BY221" s="216">
        <f ca="1">IF($D221&lt;&gt;"Serviço",0,IF(OR(AND(AUTOEVENTO="Manual",$M221=1),$M221&gt;(ROW(PLE.lastrow)-ROW(PLE.firstrow))),0,IF(OFFSET(PLE!$G$14,$M221,BY$13)="",10^12,OFFSET(PLE!$G$14,$M221,BY$13))))</f>
        <v>1000000000000</v>
      </c>
      <c r="BZ221" s="216">
        <f ca="1">IF($D221&lt;&gt;"Serviço",0,IF(OR(AND(AUTOEVENTO="Manual",$M221=1),$M221&gt;(ROW(PLE.lastrow)-ROW(PLE.firstrow))),0,IF(OFFSET(PLE!$G$14,$M221,BZ$13)="",10^12,OFFSET(PLE!$G$14,$M221,BZ$13))))</f>
        <v>1000000000000</v>
      </c>
      <c r="CA221" s="216">
        <f ca="1">IF($D221&lt;&gt;"Serviço",0,IF(OR(AND(AUTOEVENTO="Manual",$M221=1),$M221&gt;(ROW(PLE.lastrow)-ROW(PLE.firstrow))),0,IF(OFFSET(PLE!$G$14,$M221,CA$13)="",10^12,OFFSET(PLE!$G$14,$M221,CA$13))))</f>
        <v>1000000000000</v>
      </c>
      <c r="CB221" s="216">
        <f ca="1">IF($D221&lt;&gt;"Serviço",0,IF(OR(AND(AUTOEVENTO="Manual",$M221=1),$M221&gt;(ROW(PLE.lastrow)-ROW(PLE.firstrow))),0,IF(OFFSET(PLE!$G$14,$M221,CB$13)="",10^12,OFFSET(PLE!$G$14,$M221,CB$13))))</f>
        <v>1000000000000</v>
      </c>
      <c r="CC221" s="216">
        <f ca="1">IF($D221&lt;&gt;"Serviço",0,IF(OR(AND(AUTOEVENTO="Manual",$M221=1),$M221&gt;(ROW(PLE.lastrow)-ROW(PLE.firstrow))),0,IF(OFFSET(PLE!$G$14,$M221,CC$13)="",10^12,OFFSET(PLE!$G$14,$M221,CC$13))))</f>
        <v>1000000000000</v>
      </c>
      <c r="CD221" s="216">
        <f ca="1">IF($D221&lt;&gt;"Serviço",0,IF(OR(AND(AUTOEVENTO="Manual",$M221=1),$M221&gt;(ROW(PLE.lastrow)-ROW(PLE.firstrow))),0,IF(OFFSET(PLE!$G$14,$M221,CD$13)="",10^12,OFFSET(PLE!$G$14,$M221,CD$13))))</f>
        <v>1000000000000</v>
      </c>
      <c r="CE221" s="216">
        <f ca="1">IF($D221&lt;&gt;"Serviço",0,IF(OR(AND(AUTOEVENTO="Manual",$M221=1),$M221&gt;(ROW(PLE.lastrow)-ROW(PLE.firstrow))),0,IF(OFFSET(PLE!$G$14,$M221,CE$13)="",10^12,OFFSET(PLE!$G$14,$M221,CE$13))))</f>
        <v>1000000000000</v>
      </c>
      <c r="CF221" s="216">
        <f ca="1">IF($D221&lt;&gt;"Serviço",0,IF(OR(AND(AUTOEVENTO="Manual",$M221=1),$M221&gt;(ROW(PLE.lastrow)-ROW(PLE.firstrow))),0,IF(OFFSET(PLE!$G$14,$M221,CF$13)="",10^12,OFFSET(PLE!$G$14,$M221,CF$13))))</f>
        <v>1000000000000</v>
      </c>
      <c r="CG221" s="216">
        <f ca="1">IF($D221&lt;&gt;"Serviço",0,IF(OR(AND(AUTOEVENTO="Manual",$M221=1),$M221&gt;(ROW(PLE.lastrow)-ROW(PLE.firstrow))),0,IF(OFFSET(PLE!$G$14,$M221,CG$13)="",10^12,OFFSET(PLE!$G$14,$M221,CG$13))))</f>
        <v>1000000000000</v>
      </c>
      <c r="CH221" s="216">
        <f ca="1">IF($D221&lt;&gt;"Serviço",0,IF(OR(AND(AUTOEVENTO="Manual",$M221=1),$M221&gt;(ROW(PLE.lastrow)-ROW(PLE.firstrow))),0,IF(OFFSET(PLE!$G$14,$M221,CH$13)="",10^12,OFFSET(PLE!$G$14,$M221,CH$13))))</f>
        <v>1000000000000</v>
      </c>
      <c r="CI221" s="216">
        <f ca="1">IF($D221&lt;&gt;"Serviço",0,IF(OR(AND(AUTOEVENTO="Manual",$M221=1),$M221&gt;(ROW(PLE.lastrow)-ROW(PLE.firstrow))),0,IF(OFFSET(PLE!$G$14,$M221,CI$13)="",10^12,OFFSET(PLE!$G$14,$M221,CI$13))))</f>
        <v>1000000000000</v>
      </c>
      <c r="CJ221" s="216">
        <f ca="1">IF($D221&lt;&gt;"Serviço",0,IF(OR(AND(AUTOEVENTO="Manual",$M221=1),$M221&gt;(ROW(PLE.lastrow)-ROW(PLE.firstrow))),0,IF(OFFSET(PLE!$G$14,$M221,CJ$13)="",10^12,OFFSET(PLE!$G$14,$M221,CJ$13))))</f>
        <v>1000000000000</v>
      </c>
      <c r="CK221" s="216">
        <f ca="1">IF($D221&lt;&gt;"Serviço",0,IF(OR(AND(AUTOEVENTO="Manual",$M221=1),$M221&gt;(ROW(PLE.lastrow)-ROW(PLE.firstrow))),0,IF(OFFSET(PLE!$G$14,$M221,CK$13)="",10^12,OFFSET(PLE!$G$14,$M221,CK$13))))</f>
        <v>1000000000000</v>
      </c>
      <c r="CL221" s="216">
        <f ca="1">IF($D221&lt;&gt;"Serviço",0,IF(OR(AND(AUTOEVENTO="Manual",$M221=1),$M221&gt;(ROW(PLE.lastrow)-ROW(PLE.firstrow))),0,IF(OFFSET(PLE!$G$14,$M221,CL$13)="",10^12,OFFSET(PLE!$G$14,$M221,CL$13))))</f>
        <v>1000000000000</v>
      </c>
      <c r="CM221" s="216">
        <f ca="1">IF($D221&lt;&gt;"Serviço",0,IF(OR(AND(AUTOEVENTO="Manual",$M221=1),$M221&gt;(ROW(PLE.lastrow)-ROW(PLE.firstrow))),0,IF(OFFSET(PLE!$G$14,$M221,CM$13)="",10^12,OFFSET(PLE!$G$14,$M221,CM$13))))</f>
        <v>1000000000000</v>
      </c>
    </row>
    <row r="222" spans="1:91" ht="13.2" x14ac:dyDescent="0.25">
      <c r="A222" s="9">
        <f t="shared" ca="1" si="12"/>
        <v>0</v>
      </c>
      <c r="B222" s="9" t="str">
        <f ca="1">OFFSET(ORÇAMENTO!C$15,ROW(B222)-ROW(B$15),0)</f>
        <v>S</v>
      </c>
      <c r="C222" s="9" t="str">
        <f ca="1">OFFSET(ORÇAMENTO!L$15,ROW(C222)-ROW(C$15),0)</f>
        <v/>
      </c>
      <c r="D222" s="145" t="str">
        <f ca="1">OFFSET(ORÇAMENTO!N$15,ROW(D222)-ROW(D$15),0)</f>
        <v>Serviço</v>
      </c>
      <c r="E222" s="205" t="str">
        <f ca="1">OFFSET(ORÇAMENTO!O$15,ROW(E222)-ROW(E$15),0)</f>
        <v>-</v>
      </c>
      <c r="F222" s="206" t="str">
        <f ca="1">OFFSET(ORÇAMENTO!R$15,ROW(F222)-ROW(F$15),0)</f>
        <v>(abra o arquivo 'Referência 05-2024.xls)</v>
      </c>
      <c r="G222" s="207" t="str">
        <f ca="1">IF($D222&lt;&gt;"Serviço","",OFFSET(ORÇAMENTO!S$15,ROW(G222)-ROW(G$15),0))</f>
        <v>-</v>
      </c>
      <c r="H222" s="151">
        <f ca="1">IF($D222&lt;&gt;"Serviço",0,IF(ACOMPANHAMENTO="BM",ROUND(OFFSET(ORÇAMENTO!AJ$15,ROW(H222)-ROW(H$15),0),15-13*ORÇAMENTO!$AF$7),SUMPRODUCT(($Q$12:$AI$12&lt;&gt;"")*ROUND($Q222:$AI222,15-13*ORÇAMENTO!$AF$7))))</f>
        <v>9.3699999999999992</v>
      </c>
      <c r="I222" s="650"/>
      <c r="K222" s="208"/>
      <c r="L222" s="209" t="s">
        <v>257</v>
      </c>
      <c r="M222" s="210">
        <f ca="1">IF($D222&lt;&gt;"Serviço","",IF(AUTOEVENTO="manual",$A222,IF(ISERROR(MATCH($A222,$A$15:OFFSET($A222,-1,0),0)),MAX($M$15:OFFSET(M222,-1,0))+1,INDEX($M$15:OFFSET(M222,-1,0),MATCH($A222,$A$15:OFFSET($A222,-1,0),0)))))</f>
        <v>0</v>
      </c>
      <c r="N222" s="211" t="str">
        <f ca="1">IF($D222&lt;&gt;"Serviço","",IF(AUTOEVENTO="Manual",IF($A222=0,"&lt;-- defina o número do agrupador",OFFSET(EVENTOS!$D$14,$A222,0)),OFFSET($F$15,$A222,0)))</f>
        <v>&lt;-- defina o número do agrupador</v>
      </c>
      <c r="O222" s="212"/>
      <c r="Q222" s="212"/>
      <c r="R222" s="213"/>
      <c r="S222" s="213"/>
      <c r="T222" s="213"/>
      <c r="U222" s="213"/>
      <c r="V222" s="213"/>
      <c r="W222" s="213"/>
      <c r="X222" s="213"/>
      <c r="Y222" s="213"/>
      <c r="Z222" s="214"/>
      <c r="AA222" s="213"/>
      <c r="AB222" s="213"/>
      <c r="AC222" s="213"/>
      <c r="AD222" s="213"/>
      <c r="AE222" s="213"/>
      <c r="AF222" s="213"/>
      <c r="AG222" s="213"/>
      <c r="AH222" s="214"/>
      <c r="AJ222" s="631">
        <f ca="1">IF(AND($D222="Serviço",AJ$12&lt;&gt;0,$H222&gt;0,OR(AUTOEVENTO&lt;&gt;"manual",$M222&lt;&gt;1)),ROUND(OFFSET($P222,0,AJ$13),15-13*ORÇAMENTO!$AF$7)/$H222*OFFSET(ORÇAMENTO!$X$15,ROW(AJ222)-ROW(AJ$15),0),0)</f>
        <v>0</v>
      </c>
      <c r="AK222" s="632">
        <f ca="1">IF(AND($D222="Serviço",AK$12&lt;&gt;0,$H222&gt;0,OR(AUTOEVENTO&lt;&gt;"manual",$M222&lt;&gt;1)),ROUND(OFFSET($P222,0,AK$13),15-13*ORÇAMENTO!$AF$7)/$H222*OFFSET(ORÇAMENTO!$X$15,ROW(AK222)-ROW(AK$15),0),0)</f>
        <v>0</v>
      </c>
      <c r="AL222" s="632">
        <f ca="1">IF(AND($D222="Serviço",AL$12&lt;&gt;0,$H222&gt;0,OR(AUTOEVENTO&lt;&gt;"manual",$M222&lt;&gt;1)),ROUND(OFFSET($P222,0,AL$13),15-13*ORÇAMENTO!$AF$7)/$H222*OFFSET(ORÇAMENTO!$X$15,ROW(AL222)-ROW(AL$15),0),0)</f>
        <v>0</v>
      </c>
      <c r="AM222" s="632">
        <f ca="1">IF(AND($D222="Serviço",AM$12&lt;&gt;0,$H222&gt;0,OR(AUTOEVENTO&lt;&gt;"manual",$M222&lt;&gt;1)),ROUND(OFFSET($P222,0,AM$13),15-13*ORÇAMENTO!$AF$7)/$H222*OFFSET(ORÇAMENTO!$X$15,ROW(AM222)-ROW(AM$15),0),0)</f>
        <v>0</v>
      </c>
      <c r="AN222" s="632">
        <f ca="1">IF(AND($D222="Serviço",AN$12&lt;&gt;0,$H222&gt;0,OR(AUTOEVENTO&lt;&gt;"manual",$M222&lt;&gt;1)),ROUND(OFFSET($P222,0,AN$13),15-13*ORÇAMENTO!$AF$7)/$H222*OFFSET(ORÇAMENTO!$X$15,ROW(AN222)-ROW(AN$15),0),0)</f>
        <v>0</v>
      </c>
      <c r="AO222" s="632">
        <f ca="1">IF(AND($D222="Serviço",AO$12&lt;&gt;0,$H222&gt;0,OR(AUTOEVENTO&lt;&gt;"manual",$M222&lt;&gt;1)),ROUND(OFFSET($P222,0,AO$13),15-13*ORÇAMENTO!$AF$7)/$H222*OFFSET(ORÇAMENTO!$X$15,ROW(AO222)-ROW(AO$15),0),0)</f>
        <v>0</v>
      </c>
      <c r="AP222" s="632">
        <f ca="1">IF(AND($D222="Serviço",AP$12&lt;&gt;0,$H222&gt;0,OR(AUTOEVENTO&lt;&gt;"manual",$M222&lt;&gt;1)),ROUND(OFFSET($P222,0,AP$13),15-13*ORÇAMENTO!$AF$7)/$H222*OFFSET(ORÇAMENTO!$X$15,ROW(AP222)-ROW(AP$15),0),0)</f>
        <v>0</v>
      </c>
      <c r="AQ222" s="632">
        <f ca="1">IF(AND($D222="Serviço",AQ$12&lt;&gt;0,$H222&gt;0,OR(AUTOEVENTO&lt;&gt;"manual",$M222&lt;&gt;1)),ROUND(OFFSET($P222,0,AQ$13),15-13*ORÇAMENTO!$AF$7)/$H222*OFFSET(ORÇAMENTO!$X$15,ROW(AQ222)-ROW(AQ$15),0),0)</f>
        <v>0</v>
      </c>
      <c r="AR222" s="632">
        <f ca="1">IF(AND($D222="Serviço",AR$12&lt;&gt;0,$H222&gt;0,OR(AUTOEVENTO&lt;&gt;"manual",$M222&lt;&gt;1)),ROUND(OFFSET($P222,0,AR$13),15-13*ORÇAMENTO!$AF$7)/$H222*OFFSET(ORÇAMENTO!$X$15,ROW(AR222)-ROW(AR$15),0),0)</f>
        <v>0</v>
      </c>
      <c r="AS222" s="633">
        <f ca="1">IF(AND($D222="Serviço",AS$12&lt;&gt;0,$H222&gt;0,OR(AUTOEVENTO&lt;&gt;"manual",$M222&lt;&gt;1)),ROUND(OFFSET($P222,0,AS$13),15-13*ORÇAMENTO!$AF$7)/$H222*OFFSET(ORÇAMENTO!$X$15,ROW(AS222)-ROW(AS$15),0),0)</f>
        <v>0</v>
      </c>
      <c r="AT222" s="632">
        <f ca="1">IF(AND($D222="Serviço",AT$12&lt;&gt;0,$H222&gt;0,OR(AUTOEVENTO&lt;&gt;"manual",$M222&lt;&gt;1)),ROUND(OFFSET($P222,0,AT$13),15-13*ORÇAMENTO!$AF$7)/$H222*OFFSET(ORÇAMENTO!$X$15,ROW(AT222)-ROW(AT$15),0),0)</f>
        <v>0</v>
      </c>
      <c r="AU222" s="632">
        <f ca="1">IF(AND($D222="Serviço",AU$12&lt;&gt;0,$H222&gt;0,OR(AUTOEVENTO&lt;&gt;"manual",$M222&lt;&gt;1)),ROUND(OFFSET($P222,0,AU$13),15-13*ORÇAMENTO!$AF$7)/$H222*OFFSET(ORÇAMENTO!$X$15,ROW(AU222)-ROW(AU$15),0),0)</f>
        <v>0</v>
      </c>
      <c r="AV222" s="632">
        <f ca="1">IF(AND($D222="Serviço",AV$12&lt;&gt;0,$H222&gt;0,OR(AUTOEVENTO&lt;&gt;"manual",$M222&lt;&gt;1)),ROUND(OFFSET($P222,0,AV$13),15-13*ORÇAMENTO!$AF$7)/$H222*OFFSET(ORÇAMENTO!$X$15,ROW(AV222)-ROW(AV$15),0),0)</f>
        <v>0</v>
      </c>
      <c r="AW222" s="632">
        <f ca="1">IF(AND($D222="Serviço",AW$12&lt;&gt;0,$H222&gt;0,OR(AUTOEVENTO&lt;&gt;"manual",$M222&lt;&gt;1)),ROUND(OFFSET($P222,0,AW$13),15-13*ORÇAMENTO!$AF$7)/$H222*OFFSET(ORÇAMENTO!$X$15,ROW(AW222)-ROW(AW$15),0),0)</f>
        <v>0</v>
      </c>
      <c r="AX222" s="632">
        <f ca="1">IF(AND($D222="Serviço",AX$12&lt;&gt;0,$H222&gt;0,OR(AUTOEVENTO&lt;&gt;"manual",$M222&lt;&gt;1)),ROUND(OFFSET($P222,0,AX$13),15-13*ORÇAMENTO!$AF$7)/$H222*OFFSET(ORÇAMENTO!$X$15,ROW(AX222)-ROW(AX$15),0),0)</f>
        <v>0</v>
      </c>
      <c r="AY222" s="632">
        <f ca="1">IF(AND($D222="Serviço",AY$12&lt;&gt;0,$H222&gt;0,OR(AUTOEVENTO&lt;&gt;"manual",$M222&lt;&gt;1)),ROUND(OFFSET($P222,0,AY$13),15-13*ORÇAMENTO!$AF$7)/$H222*OFFSET(ORÇAMENTO!$X$15,ROW(AY222)-ROW(AY$15),0),0)</f>
        <v>0</v>
      </c>
      <c r="AZ222" s="632">
        <f ca="1">IF(AND($D222="Serviço",AZ$12&lt;&gt;0,$H222&gt;0,OR(AUTOEVENTO&lt;&gt;"manual",$M222&lt;&gt;1)),ROUND(OFFSET($P222,0,AZ$13),15-13*ORÇAMENTO!$AF$7)/$H222*OFFSET(ORÇAMENTO!$X$15,ROW(AZ222)-ROW(AZ$15),0),0)</f>
        <v>0</v>
      </c>
      <c r="BA222" s="633">
        <f ca="1">IF(AND($D222="Serviço",BA$12&lt;&gt;0,$H222&gt;0,OR(AUTOEVENTO&lt;&gt;"manual",$M222&lt;&gt;1)),ROUND(OFFSET($P222,0,BA$13),15-13*ORÇAMENTO!$AF$7)/$H222*OFFSET(ORÇAMENTO!$X$15,ROW(BA222)-ROW(BA$15),0),0)</f>
        <v>0</v>
      </c>
      <c r="BC222" s="215">
        <f ca="1">IF($D222&lt;&gt;"Serviço",0,IF(AND(AUTOEVENTO="Manual",$M222=1),0,IF(OFFSET(CRONOPLE!$F$14,$M222,BC$13)="",10^12,OFFSET(CRONOPLE!$F$14,$M222,BC$13))))</f>
        <v>1000000000000</v>
      </c>
      <c r="BD222" s="215">
        <f ca="1">IF($D222&lt;&gt;"Serviço",0,IF(AND(AUTOEVENTO="Manual",$M222=1),0,IF(OFFSET(CRONOPLE!$F$14,$M222,BD$13)="",10^12,OFFSET(CRONOPLE!$F$14,$M222,BD$13))))</f>
        <v>1000000000000</v>
      </c>
      <c r="BE222" s="215">
        <f ca="1">IF($D222&lt;&gt;"Serviço",0,IF(AND(AUTOEVENTO="Manual",$M222=1),0,IF(OFFSET(CRONOPLE!$F$14,$M222,BE$13)="",10^12,OFFSET(CRONOPLE!$F$14,$M222,BE$13))))</f>
        <v>1000000000000</v>
      </c>
      <c r="BF222" s="215">
        <f ca="1">IF($D222&lt;&gt;"Serviço",0,IF(AND(AUTOEVENTO="Manual",$M222=1),0,IF(OFFSET(CRONOPLE!$F$14,$M222,BF$13)="",10^12,OFFSET(CRONOPLE!$F$14,$M222,BF$13))))</f>
        <v>1000000000000</v>
      </c>
      <c r="BG222" s="215">
        <f ca="1">IF($D222&lt;&gt;"Serviço",0,IF(AND(AUTOEVENTO="Manual",$M222=1),0,IF(OFFSET(CRONOPLE!$F$14,$M222,BG$13)="",10^12,OFFSET(CRONOPLE!$F$14,$M222,BG$13))))</f>
        <v>1000000000000</v>
      </c>
      <c r="BH222" s="215">
        <f ca="1">IF($D222&lt;&gt;"Serviço",0,IF(AND(AUTOEVENTO="Manual",$M222=1),0,IF(OFFSET(CRONOPLE!$F$14,$M222,BH$13)="",10^12,OFFSET(CRONOPLE!$F$14,$M222,BH$13))))</f>
        <v>1000000000000</v>
      </c>
      <c r="BI222" s="215">
        <f ca="1">IF($D222&lt;&gt;"Serviço",0,IF(AND(AUTOEVENTO="Manual",$M222=1),0,IF(OFFSET(CRONOPLE!$F$14,$M222,BI$13)="",10^12,OFFSET(CRONOPLE!$F$14,$M222,BI$13))))</f>
        <v>1000000000000</v>
      </c>
      <c r="BJ222" s="215">
        <f ca="1">IF($D222&lt;&gt;"Serviço",0,IF(AND(AUTOEVENTO="Manual",$M222=1),0,IF(OFFSET(CRONOPLE!$F$14,$M222,BJ$13)="",10^12,OFFSET(CRONOPLE!$F$14,$M222,BJ$13))))</f>
        <v>1000000000000</v>
      </c>
      <c r="BK222" s="215">
        <f ca="1">IF($D222&lt;&gt;"Serviço",0,IF(AND(AUTOEVENTO="Manual",$M222=1),0,IF(OFFSET(CRONOPLE!$F$14,$M222,BK$13)="",10^12,OFFSET(CRONOPLE!$F$14,$M222,BK$13))))</f>
        <v>1000000000000</v>
      </c>
      <c r="BL222" s="215">
        <f ca="1">IF($D222&lt;&gt;"Serviço",0,IF(AND(AUTOEVENTO="Manual",$M222=1),0,IF(OFFSET(CRONOPLE!$F$14,$M222,BL$13)="",10^12,OFFSET(CRONOPLE!$F$14,$M222,BL$13))))</f>
        <v>1000000000000</v>
      </c>
      <c r="BM222" s="215">
        <f ca="1">IF($D222&lt;&gt;"Serviço",0,IF(AND(AUTOEVENTO="Manual",$M222=1),0,IF(OFFSET(CRONOPLE!$F$14,$M222,BM$13)="",10^12,OFFSET(CRONOPLE!$F$14,$M222,BM$13))))</f>
        <v>1000000000000</v>
      </c>
      <c r="BN222" s="215">
        <f ca="1">IF($D222&lt;&gt;"Serviço",0,IF(AND(AUTOEVENTO="Manual",$M222=1),0,IF(OFFSET(CRONOPLE!$F$14,$M222,BN$13)="",10^12,OFFSET(CRONOPLE!$F$14,$M222,BN$13))))</f>
        <v>1000000000000</v>
      </c>
      <c r="BO222" s="215">
        <f ca="1">IF($D222&lt;&gt;"Serviço",0,IF(AND(AUTOEVENTO="Manual",$M222=1),0,IF(OFFSET(CRONOPLE!$F$14,$M222,BO$13)="",10^12,OFFSET(CRONOPLE!$F$14,$M222,BO$13))))</f>
        <v>1000000000000</v>
      </c>
      <c r="BP222" s="215">
        <f ca="1">IF($D222&lt;&gt;"Serviço",0,IF(AND(AUTOEVENTO="Manual",$M222=1),0,IF(OFFSET(CRONOPLE!$F$14,$M222,BP$13)="",10^12,OFFSET(CRONOPLE!$F$14,$M222,BP$13))))</f>
        <v>1000000000000</v>
      </c>
      <c r="BQ222" s="215">
        <f ca="1">IF($D222&lt;&gt;"Serviço",0,IF(AND(AUTOEVENTO="Manual",$M222=1),0,IF(OFFSET(CRONOPLE!$F$14,$M222,BQ$13)="",10^12,OFFSET(CRONOPLE!$F$14,$M222,BQ$13))))</f>
        <v>1000000000000</v>
      </c>
      <c r="BR222" s="215">
        <f ca="1">IF($D222&lt;&gt;"Serviço",0,IF(AND(AUTOEVENTO="Manual",$M222=1),0,IF(OFFSET(CRONOPLE!$F$14,$M222,BR$13)="",10^12,OFFSET(CRONOPLE!$F$14,$M222,BR$13))))</f>
        <v>1000000000000</v>
      </c>
      <c r="BS222" s="215">
        <f ca="1">IF($D222&lt;&gt;"Serviço",0,IF(AND(AUTOEVENTO="Manual",$M222=1),0,IF(OFFSET(CRONOPLE!$F$14,$M222,BS$13)="",10^12,OFFSET(CRONOPLE!$F$14,$M222,BS$13))))</f>
        <v>1000000000000</v>
      </c>
      <c r="BT222" s="215">
        <f ca="1">IF($D222&lt;&gt;"Serviço",0,IF(AND(AUTOEVENTO="Manual",$M222=1),0,IF(OFFSET(CRONOPLE!$F$14,$M222,BT$13)="",10^12,OFFSET(CRONOPLE!$F$14,$M222,BT$13))))</f>
        <v>1000000000000</v>
      </c>
      <c r="BV222" s="216">
        <f ca="1">IF($D222&lt;&gt;"Serviço",0,IF(OR(AND(AUTOEVENTO="Manual",$M222=1),$M222&gt;(ROW(PLE.lastrow)-ROW(PLE.firstrow))),0,IF(OFFSET(PLE!$G$14,$M222,BV$13)="",10^12,OFFSET(PLE!$G$14,$M222,BV$13))))</f>
        <v>1000000000000</v>
      </c>
      <c r="BW222" s="216">
        <f ca="1">IF($D222&lt;&gt;"Serviço",0,IF(OR(AND(AUTOEVENTO="Manual",$M222=1),$M222&gt;(ROW(PLE.lastrow)-ROW(PLE.firstrow))),0,IF(OFFSET(PLE!$G$14,$M222,BW$13)="",10^12,OFFSET(PLE!$G$14,$M222,BW$13))))</f>
        <v>1000000000000</v>
      </c>
      <c r="BX222" s="216">
        <f ca="1">IF($D222&lt;&gt;"Serviço",0,IF(OR(AND(AUTOEVENTO="Manual",$M222=1),$M222&gt;(ROW(PLE.lastrow)-ROW(PLE.firstrow))),0,IF(OFFSET(PLE!$G$14,$M222,BX$13)="",10^12,OFFSET(PLE!$G$14,$M222,BX$13))))</f>
        <v>1000000000000</v>
      </c>
      <c r="BY222" s="216">
        <f ca="1">IF($D222&lt;&gt;"Serviço",0,IF(OR(AND(AUTOEVENTO="Manual",$M222=1),$M222&gt;(ROW(PLE.lastrow)-ROW(PLE.firstrow))),0,IF(OFFSET(PLE!$G$14,$M222,BY$13)="",10^12,OFFSET(PLE!$G$14,$M222,BY$13))))</f>
        <v>1000000000000</v>
      </c>
      <c r="BZ222" s="216">
        <f ca="1">IF($D222&lt;&gt;"Serviço",0,IF(OR(AND(AUTOEVENTO="Manual",$M222=1),$M222&gt;(ROW(PLE.lastrow)-ROW(PLE.firstrow))),0,IF(OFFSET(PLE!$G$14,$M222,BZ$13)="",10^12,OFFSET(PLE!$G$14,$M222,BZ$13))))</f>
        <v>1000000000000</v>
      </c>
      <c r="CA222" s="216">
        <f ca="1">IF($D222&lt;&gt;"Serviço",0,IF(OR(AND(AUTOEVENTO="Manual",$M222=1),$M222&gt;(ROW(PLE.lastrow)-ROW(PLE.firstrow))),0,IF(OFFSET(PLE!$G$14,$M222,CA$13)="",10^12,OFFSET(PLE!$G$14,$M222,CA$13))))</f>
        <v>1000000000000</v>
      </c>
      <c r="CB222" s="216">
        <f ca="1">IF($D222&lt;&gt;"Serviço",0,IF(OR(AND(AUTOEVENTO="Manual",$M222=1),$M222&gt;(ROW(PLE.lastrow)-ROW(PLE.firstrow))),0,IF(OFFSET(PLE!$G$14,$M222,CB$13)="",10^12,OFFSET(PLE!$G$14,$M222,CB$13))))</f>
        <v>1000000000000</v>
      </c>
      <c r="CC222" s="216">
        <f ca="1">IF($D222&lt;&gt;"Serviço",0,IF(OR(AND(AUTOEVENTO="Manual",$M222=1),$M222&gt;(ROW(PLE.lastrow)-ROW(PLE.firstrow))),0,IF(OFFSET(PLE!$G$14,$M222,CC$13)="",10^12,OFFSET(PLE!$G$14,$M222,CC$13))))</f>
        <v>1000000000000</v>
      </c>
      <c r="CD222" s="216">
        <f ca="1">IF($D222&lt;&gt;"Serviço",0,IF(OR(AND(AUTOEVENTO="Manual",$M222=1),$M222&gt;(ROW(PLE.lastrow)-ROW(PLE.firstrow))),0,IF(OFFSET(PLE!$G$14,$M222,CD$13)="",10^12,OFFSET(PLE!$G$14,$M222,CD$13))))</f>
        <v>1000000000000</v>
      </c>
      <c r="CE222" s="216">
        <f ca="1">IF($D222&lt;&gt;"Serviço",0,IF(OR(AND(AUTOEVENTO="Manual",$M222=1),$M222&gt;(ROW(PLE.lastrow)-ROW(PLE.firstrow))),0,IF(OFFSET(PLE!$G$14,$M222,CE$13)="",10^12,OFFSET(PLE!$G$14,$M222,CE$13))))</f>
        <v>1000000000000</v>
      </c>
      <c r="CF222" s="216">
        <f ca="1">IF($D222&lt;&gt;"Serviço",0,IF(OR(AND(AUTOEVENTO="Manual",$M222=1),$M222&gt;(ROW(PLE.lastrow)-ROW(PLE.firstrow))),0,IF(OFFSET(PLE!$G$14,$M222,CF$13)="",10^12,OFFSET(PLE!$G$14,$M222,CF$13))))</f>
        <v>1000000000000</v>
      </c>
      <c r="CG222" s="216">
        <f ca="1">IF($D222&lt;&gt;"Serviço",0,IF(OR(AND(AUTOEVENTO="Manual",$M222=1),$M222&gt;(ROW(PLE.lastrow)-ROW(PLE.firstrow))),0,IF(OFFSET(PLE!$G$14,$M222,CG$13)="",10^12,OFFSET(PLE!$G$14,$M222,CG$13))))</f>
        <v>1000000000000</v>
      </c>
      <c r="CH222" s="216">
        <f ca="1">IF($D222&lt;&gt;"Serviço",0,IF(OR(AND(AUTOEVENTO="Manual",$M222=1),$M222&gt;(ROW(PLE.lastrow)-ROW(PLE.firstrow))),0,IF(OFFSET(PLE!$G$14,$M222,CH$13)="",10^12,OFFSET(PLE!$G$14,$M222,CH$13))))</f>
        <v>1000000000000</v>
      </c>
      <c r="CI222" s="216">
        <f ca="1">IF($D222&lt;&gt;"Serviço",0,IF(OR(AND(AUTOEVENTO="Manual",$M222=1),$M222&gt;(ROW(PLE.lastrow)-ROW(PLE.firstrow))),0,IF(OFFSET(PLE!$G$14,$M222,CI$13)="",10^12,OFFSET(PLE!$G$14,$M222,CI$13))))</f>
        <v>1000000000000</v>
      </c>
      <c r="CJ222" s="216">
        <f ca="1">IF($D222&lt;&gt;"Serviço",0,IF(OR(AND(AUTOEVENTO="Manual",$M222=1),$M222&gt;(ROW(PLE.lastrow)-ROW(PLE.firstrow))),0,IF(OFFSET(PLE!$G$14,$M222,CJ$13)="",10^12,OFFSET(PLE!$G$14,$M222,CJ$13))))</f>
        <v>1000000000000</v>
      </c>
      <c r="CK222" s="216">
        <f ca="1">IF($D222&lt;&gt;"Serviço",0,IF(OR(AND(AUTOEVENTO="Manual",$M222=1),$M222&gt;(ROW(PLE.lastrow)-ROW(PLE.firstrow))),0,IF(OFFSET(PLE!$G$14,$M222,CK$13)="",10^12,OFFSET(PLE!$G$14,$M222,CK$13))))</f>
        <v>1000000000000</v>
      </c>
      <c r="CL222" s="216">
        <f ca="1">IF($D222&lt;&gt;"Serviço",0,IF(OR(AND(AUTOEVENTO="Manual",$M222=1),$M222&gt;(ROW(PLE.lastrow)-ROW(PLE.firstrow))),0,IF(OFFSET(PLE!$G$14,$M222,CL$13)="",10^12,OFFSET(PLE!$G$14,$M222,CL$13))))</f>
        <v>1000000000000</v>
      </c>
      <c r="CM222" s="216">
        <f ca="1">IF($D222&lt;&gt;"Serviço",0,IF(OR(AND(AUTOEVENTO="Manual",$M222=1),$M222&gt;(ROW(PLE.lastrow)-ROW(PLE.firstrow))),0,IF(OFFSET(PLE!$G$14,$M222,CM$13)="",10^12,OFFSET(PLE!$G$14,$M222,CM$13))))</f>
        <v>1000000000000</v>
      </c>
    </row>
    <row r="223" spans="1:91" ht="13.2" x14ac:dyDescent="0.25">
      <c r="A223" s="9">
        <f t="shared" ca="1" si="12"/>
        <v>0</v>
      </c>
      <c r="B223" s="9" t="str">
        <f ca="1">OFFSET(ORÇAMENTO!C$15,ROW(B223)-ROW(B$15),0)</f>
        <v>S</v>
      </c>
      <c r="C223" s="9" t="str">
        <f ca="1">OFFSET(ORÇAMENTO!L$15,ROW(C223)-ROW(C$15),0)</f>
        <v/>
      </c>
      <c r="D223" s="145" t="str">
        <f ca="1">OFFSET(ORÇAMENTO!N$15,ROW(D223)-ROW(D$15),0)</f>
        <v>Serviço</v>
      </c>
      <c r="E223" s="205" t="str">
        <f ca="1">OFFSET(ORÇAMENTO!O$15,ROW(E223)-ROW(E$15),0)</f>
        <v>-</v>
      </c>
      <c r="F223" s="206" t="str">
        <f ca="1">OFFSET(ORÇAMENTO!R$15,ROW(F223)-ROW(F$15),0)</f>
        <v>(abra o arquivo 'Referência 05-2024.xls)</v>
      </c>
      <c r="G223" s="207" t="str">
        <f ca="1">IF($D223&lt;&gt;"Serviço","",OFFSET(ORÇAMENTO!S$15,ROW(G223)-ROW(G$15),0))</f>
        <v>-</v>
      </c>
      <c r="H223" s="151">
        <f ca="1">IF($D223&lt;&gt;"Serviço",0,IF(ACOMPANHAMENTO="BM",ROUND(OFFSET(ORÇAMENTO!AJ$15,ROW(H223)-ROW(H$15),0),15-13*ORÇAMENTO!$AF$7),SUMPRODUCT(($Q$12:$AI$12&lt;&gt;"")*ROUND($Q223:$AI223,15-13*ORÇAMENTO!$AF$7))))</f>
        <v>88.71</v>
      </c>
      <c r="I223" s="650"/>
      <c r="K223" s="208"/>
      <c r="L223" s="209" t="s">
        <v>257</v>
      </c>
      <c r="M223" s="210">
        <f ca="1">IF($D223&lt;&gt;"Serviço","",IF(AUTOEVENTO="manual",$A223,IF(ISERROR(MATCH($A223,$A$15:OFFSET($A223,-1,0),0)),MAX($M$15:OFFSET(M223,-1,0))+1,INDEX($M$15:OFFSET(M223,-1,0),MATCH($A223,$A$15:OFFSET($A223,-1,0),0)))))</f>
        <v>0</v>
      </c>
      <c r="N223" s="211" t="str">
        <f ca="1">IF($D223&lt;&gt;"Serviço","",IF(AUTOEVENTO="Manual",IF($A223=0,"&lt;-- defina o número do agrupador",OFFSET(EVENTOS!$D$14,$A223,0)),OFFSET($F$15,$A223,0)))</f>
        <v>&lt;-- defina o número do agrupador</v>
      </c>
      <c r="O223" s="212"/>
      <c r="Q223" s="212"/>
      <c r="R223" s="213"/>
      <c r="S223" s="213"/>
      <c r="T223" s="213"/>
      <c r="U223" s="213"/>
      <c r="V223" s="213"/>
      <c r="W223" s="213"/>
      <c r="X223" s="213"/>
      <c r="Y223" s="213"/>
      <c r="Z223" s="214"/>
      <c r="AA223" s="213"/>
      <c r="AB223" s="213"/>
      <c r="AC223" s="213"/>
      <c r="AD223" s="213"/>
      <c r="AE223" s="213"/>
      <c r="AF223" s="213"/>
      <c r="AG223" s="213"/>
      <c r="AH223" s="214"/>
      <c r="AJ223" s="631">
        <f ca="1">IF(AND($D223="Serviço",AJ$12&lt;&gt;0,$H223&gt;0,OR(AUTOEVENTO&lt;&gt;"manual",$M223&lt;&gt;1)),ROUND(OFFSET($P223,0,AJ$13),15-13*ORÇAMENTO!$AF$7)/$H223*OFFSET(ORÇAMENTO!$X$15,ROW(AJ223)-ROW(AJ$15),0),0)</f>
        <v>0</v>
      </c>
      <c r="AK223" s="632">
        <f ca="1">IF(AND($D223="Serviço",AK$12&lt;&gt;0,$H223&gt;0,OR(AUTOEVENTO&lt;&gt;"manual",$M223&lt;&gt;1)),ROUND(OFFSET($P223,0,AK$13),15-13*ORÇAMENTO!$AF$7)/$H223*OFFSET(ORÇAMENTO!$X$15,ROW(AK223)-ROW(AK$15),0),0)</f>
        <v>0</v>
      </c>
      <c r="AL223" s="632">
        <f ca="1">IF(AND($D223="Serviço",AL$12&lt;&gt;0,$H223&gt;0,OR(AUTOEVENTO&lt;&gt;"manual",$M223&lt;&gt;1)),ROUND(OFFSET($P223,0,AL$13),15-13*ORÇAMENTO!$AF$7)/$H223*OFFSET(ORÇAMENTO!$X$15,ROW(AL223)-ROW(AL$15),0),0)</f>
        <v>0</v>
      </c>
      <c r="AM223" s="632">
        <f ca="1">IF(AND($D223="Serviço",AM$12&lt;&gt;0,$H223&gt;0,OR(AUTOEVENTO&lt;&gt;"manual",$M223&lt;&gt;1)),ROUND(OFFSET($P223,0,AM$13),15-13*ORÇAMENTO!$AF$7)/$H223*OFFSET(ORÇAMENTO!$X$15,ROW(AM223)-ROW(AM$15),0),0)</f>
        <v>0</v>
      </c>
      <c r="AN223" s="632">
        <f ca="1">IF(AND($D223="Serviço",AN$12&lt;&gt;0,$H223&gt;0,OR(AUTOEVENTO&lt;&gt;"manual",$M223&lt;&gt;1)),ROUND(OFFSET($P223,0,AN$13),15-13*ORÇAMENTO!$AF$7)/$H223*OFFSET(ORÇAMENTO!$X$15,ROW(AN223)-ROW(AN$15),0),0)</f>
        <v>0</v>
      </c>
      <c r="AO223" s="632">
        <f ca="1">IF(AND($D223="Serviço",AO$12&lt;&gt;0,$H223&gt;0,OR(AUTOEVENTO&lt;&gt;"manual",$M223&lt;&gt;1)),ROUND(OFFSET($P223,0,AO$13),15-13*ORÇAMENTO!$AF$7)/$H223*OFFSET(ORÇAMENTO!$X$15,ROW(AO223)-ROW(AO$15),0),0)</f>
        <v>0</v>
      </c>
      <c r="AP223" s="632">
        <f ca="1">IF(AND($D223="Serviço",AP$12&lt;&gt;0,$H223&gt;0,OR(AUTOEVENTO&lt;&gt;"manual",$M223&lt;&gt;1)),ROUND(OFFSET($P223,0,AP$13),15-13*ORÇAMENTO!$AF$7)/$H223*OFFSET(ORÇAMENTO!$X$15,ROW(AP223)-ROW(AP$15),0),0)</f>
        <v>0</v>
      </c>
      <c r="AQ223" s="632">
        <f ca="1">IF(AND($D223="Serviço",AQ$12&lt;&gt;0,$H223&gt;0,OR(AUTOEVENTO&lt;&gt;"manual",$M223&lt;&gt;1)),ROUND(OFFSET($P223,0,AQ$13),15-13*ORÇAMENTO!$AF$7)/$H223*OFFSET(ORÇAMENTO!$X$15,ROW(AQ223)-ROW(AQ$15),0),0)</f>
        <v>0</v>
      </c>
      <c r="AR223" s="632">
        <f ca="1">IF(AND($D223="Serviço",AR$12&lt;&gt;0,$H223&gt;0,OR(AUTOEVENTO&lt;&gt;"manual",$M223&lt;&gt;1)),ROUND(OFFSET($P223,0,AR$13),15-13*ORÇAMENTO!$AF$7)/$H223*OFFSET(ORÇAMENTO!$X$15,ROW(AR223)-ROW(AR$15),0),0)</f>
        <v>0</v>
      </c>
      <c r="AS223" s="633">
        <f ca="1">IF(AND($D223="Serviço",AS$12&lt;&gt;0,$H223&gt;0,OR(AUTOEVENTO&lt;&gt;"manual",$M223&lt;&gt;1)),ROUND(OFFSET($P223,0,AS$13),15-13*ORÇAMENTO!$AF$7)/$H223*OFFSET(ORÇAMENTO!$X$15,ROW(AS223)-ROW(AS$15),0),0)</f>
        <v>0</v>
      </c>
      <c r="AT223" s="632">
        <f ca="1">IF(AND($D223="Serviço",AT$12&lt;&gt;0,$H223&gt;0,OR(AUTOEVENTO&lt;&gt;"manual",$M223&lt;&gt;1)),ROUND(OFFSET($P223,0,AT$13),15-13*ORÇAMENTO!$AF$7)/$H223*OFFSET(ORÇAMENTO!$X$15,ROW(AT223)-ROW(AT$15),0),0)</f>
        <v>0</v>
      </c>
      <c r="AU223" s="632">
        <f ca="1">IF(AND($D223="Serviço",AU$12&lt;&gt;0,$H223&gt;0,OR(AUTOEVENTO&lt;&gt;"manual",$M223&lt;&gt;1)),ROUND(OFFSET($P223,0,AU$13),15-13*ORÇAMENTO!$AF$7)/$H223*OFFSET(ORÇAMENTO!$X$15,ROW(AU223)-ROW(AU$15),0),0)</f>
        <v>0</v>
      </c>
      <c r="AV223" s="632">
        <f ca="1">IF(AND($D223="Serviço",AV$12&lt;&gt;0,$H223&gt;0,OR(AUTOEVENTO&lt;&gt;"manual",$M223&lt;&gt;1)),ROUND(OFFSET($P223,0,AV$13),15-13*ORÇAMENTO!$AF$7)/$H223*OFFSET(ORÇAMENTO!$X$15,ROW(AV223)-ROW(AV$15),0),0)</f>
        <v>0</v>
      </c>
      <c r="AW223" s="632">
        <f ca="1">IF(AND($D223="Serviço",AW$12&lt;&gt;0,$H223&gt;0,OR(AUTOEVENTO&lt;&gt;"manual",$M223&lt;&gt;1)),ROUND(OFFSET($P223,0,AW$13),15-13*ORÇAMENTO!$AF$7)/$H223*OFFSET(ORÇAMENTO!$X$15,ROW(AW223)-ROW(AW$15),0),0)</f>
        <v>0</v>
      </c>
      <c r="AX223" s="632">
        <f ca="1">IF(AND($D223="Serviço",AX$12&lt;&gt;0,$H223&gt;0,OR(AUTOEVENTO&lt;&gt;"manual",$M223&lt;&gt;1)),ROUND(OFFSET($P223,0,AX$13),15-13*ORÇAMENTO!$AF$7)/$H223*OFFSET(ORÇAMENTO!$X$15,ROW(AX223)-ROW(AX$15),0),0)</f>
        <v>0</v>
      </c>
      <c r="AY223" s="632">
        <f ca="1">IF(AND($D223="Serviço",AY$12&lt;&gt;0,$H223&gt;0,OR(AUTOEVENTO&lt;&gt;"manual",$M223&lt;&gt;1)),ROUND(OFFSET($P223,0,AY$13),15-13*ORÇAMENTO!$AF$7)/$H223*OFFSET(ORÇAMENTO!$X$15,ROW(AY223)-ROW(AY$15),0),0)</f>
        <v>0</v>
      </c>
      <c r="AZ223" s="632">
        <f ca="1">IF(AND($D223="Serviço",AZ$12&lt;&gt;0,$H223&gt;0,OR(AUTOEVENTO&lt;&gt;"manual",$M223&lt;&gt;1)),ROUND(OFFSET($P223,0,AZ$13),15-13*ORÇAMENTO!$AF$7)/$H223*OFFSET(ORÇAMENTO!$X$15,ROW(AZ223)-ROW(AZ$15),0),0)</f>
        <v>0</v>
      </c>
      <c r="BA223" s="633">
        <f ca="1">IF(AND($D223="Serviço",BA$12&lt;&gt;0,$H223&gt;0,OR(AUTOEVENTO&lt;&gt;"manual",$M223&lt;&gt;1)),ROUND(OFFSET($P223,0,BA$13),15-13*ORÇAMENTO!$AF$7)/$H223*OFFSET(ORÇAMENTO!$X$15,ROW(BA223)-ROW(BA$15),0),0)</f>
        <v>0</v>
      </c>
      <c r="BC223" s="215">
        <f ca="1">IF($D223&lt;&gt;"Serviço",0,IF(AND(AUTOEVENTO="Manual",$M223=1),0,IF(OFFSET(CRONOPLE!$F$14,$M223,BC$13)="",10^12,OFFSET(CRONOPLE!$F$14,$M223,BC$13))))</f>
        <v>1000000000000</v>
      </c>
      <c r="BD223" s="215">
        <f ca="1">IF($D223&lt;&gt;"Serviço",0,IF(AND(AUTOEVENTO="Manual",$M223=1),0,IF(OFFSET(CRONOPLE!$F$14,$M223,BD$13)="",10^12,OFFSET(CRONOPLE!$F$14,$M223,BD$13))))</f>
        <v>1000000000000</v>
      </c>
      <c r="BE223" s="215">
        <f ca="1">IF($D223&lt;&gt;"Serviço",0,IF(AND(AUTOEVENTO="Manual",$M223=1),0,IF(OFFSET(CRONOPLE!$F$14,$M223,BE$13)="",10^12,OFFSET(CRONOPLE!$F$14,$M223,BE$13))))</f>
        <v>1000000000000</v>
      </c>
      <c r="BF223" s="215">
        <f ca="1">IF($D223&lt;&gt;"Serviço",0,IF(AND(AUTOEVENTO="Manual",$M223=1),0,IF(OFFSET(CRONOPLE!$F$14,$M223,BF$13)="",10^12,OFFSET(CRONOPLE!$F$14,$M223,BF$13))))</f>
        <v>1000000000000</v>
      </c>
      <c r="BG223" s="215">
        <f ca="1">IF($D223&lt;&gt;"Serviço",0,IF(AND(AUTOEVENTO="Manual",$M223=1),0,IF(OFFSET(CRONOPLE!$F$14,$M223,BG$13)="",10^12,OFFSET(CRONOPLE!$F$14,$M223,BG$13))))</f>
        <v>1000000000000</v>
      </c>
      <c r="BH223" s="215">
        <f ca="1">IF($D223&lt;&gt;"Serviço",0,IF(AND(AUTOEVENTO="Manual",$M223=1),0,IF(OFFSET(CRONOPLE!$F$14,$M223,BH$13)="",10^12,OFFSET(CRONOPLE!$F$14,$M223,BH$13))))</f>
        <v>1000000000000</v>
      </c>
      <c r="BI223" s="215">
        <f ca="1">IF($D223&lt;&gt;"Serviço",0,IF(AND(AUTOEVENTO="Manual",$M223=1),0,IF(OFFSET(CRONOPLE!$F$14,$M223,BI$13)="",10^12,OFFSET(CRONOPLE!$F$14,$M223,BI$13))))</f>
        <v>1000000000000</v>
      </c>
      <c r="BJ223" s="215">
        <f ca="1">IF($D223&lt;&gt;"Serviço",0,IF(AND(AUTOEVENTO="Manual",$M223=1),0,IF(OFFSET(CRONOPLE!$F$14,$M223,BJ$13)="",10^12,OFFSET(CRONOPLE!$F$14,$M223,BJ$13))))</f>
        <v>1000000000000</v>
      </c>
      <c r="BK223" s="215">
        <f ca="1">IF($D223&lt;&gt;"Serviço",0,IF(AND(AUTOEVENTO="Manual",$M223=1),0,IF(OFFSET(CRONOPLE!$F$14,$M223,BK$13)="",10^12,OFFSET(CRONOPLE!$F$14,$M223,BK$13))))</f>
        <v>1000000000000</v>
      </c>
      <c r="BL223" s="215">
        <f ca="1">IF($D223&lt;&gt;"Serviço",0,IF(AND(AUTOEVENTO="Manual",$M223=1),0,IF(OFFSET(CRONOPLE!$F$14,$M223,BL$13)="",10^12,OFFSET(CRONOPLE!$F$14,$M223,BL$13))))</f>
        <v>1000000000000</v>
      </c>
      <c r="BM223" s="215">
        <f ca="1">IF($D223&lt;&gt;"Serviço",0,IF(AND(AUTOEVENTO="Manual",$M223=1),0,IF(OFFSET(CRONOPLE!$F$14,$M223,BM$13)="",10^12,OFFSET(CRONOPLE!$F$14,$M223,BM$13))))</f>
        <v>1000000000000</v>
      </c>
      <c r="BN223" s="215">
        <f ca="1">IF($D223&lt;&gt;"Serviço",0,IF(AND(AUTOEVENTO="Manual",$M223=1),0,IF(OFFSET(CRONOPLE!$F$14,$M223,BN$13)="",10^12,OFFSET(CRONOPLE!$F$14,$M223,BN$13))))</f>
        <v>1000000000000</v>
      </c>
      <c r="BO223" s="215">
        <f ca="1">IF($D223&lt;&gt;"Serviço",0,IF(AND(AUTOEVENTO="Manual",$M223=1),0,IF(OFFSET(CRONOPLE!$F$14,$M223,BO$13)="",10^12,OFFSET(CRONOPLE!$F$14,$M223,BO$13))))</f>
        <v>1000000000000</v>
      </c>
      <c r="BP223" s="215">
        <f ca="1">IF($D223&lt;&gt;"Serviço",0,IF(AND(AUTOEVENTO="Manual",$M223=1),0,IF(OFFSET(CRONOPLE!$F$14,$M223,BP$13)="",10^12,OFFSET(CRONOPLE!$F$14,$M223,BP$13))))</f>
        <v>1000000000000</v>
      </c>
      <c r="BQ223" s="215">
        <f ca="1">IF($D223&lt;&gt;"Serviço",0,IF(AND(AUTOEVENTO="Manual",$M223=1),0,IF(OFFSET(CRONOPLE!$F$14,$M223,BQ$13)="",10^12,OFFSET(CRONOPLE!$F$14,$M223,BQ$13))))</f>
        <v>1000000000000</v>
      </c>
      <c r="BR223" s="215">
        <f ca="1">IF($D223&lt;&gt;"Serviço",0,IF(AND(AUTOEVENTO="Manual",$M223=1),0,IF(OFFSET(CRONOPLE!$F$14,$M223,BR$13)="",10^12,OFFSET(CRONOPLE!$F$14,$M223,BR$13))))</f>
        <v>1000000000000</v>
      </c>
      <c r="BS223" s="215">
        <f ca="1">IF($D223&lt;&gt;"Serviço",0,IF(AND(AUTOEVENTO="Manual",$M223=1),0,IF(OFFSET(CRONOPLE!$F$14,$M223,BS$13)="",10^12,OFFSET(CRONOPLE!$F$14,$M223,BS$13))))</f>
        <v>1000000000000</v>
      </c>
      <c r="BT223" s="215">
        <f ca="1">IF($D223&lt;&gt;"Serviço",0,IF(AND(AUTOEVENTO="Manual",$M223=1),0,IF(OFFSET(CRONOPLE!$F$14,$M223,BT$13)="",10^12,OFFSET(CRONOPLE!$F$14,$M223,BT$13))))</f>
        <v>1000000000000</v>
      </c>
      <c r="BV223" s="216">
        <f ca="1">IF($D223&lt;&gt;"Serviço",0,IF(OR(AND(AUTOEVENTO="Manual",$M223=1),$M223&gt;(ROW(PLE.lastrow)-ROW(PLE.firstrow))),0,IF(OFFSET(PLE!$G$14,$M223,BV$13)="",10^12,OFFSET(PLE!$G$14,$M223,BV$13))))</f>
        <v>1000000000000</v>
      </c>
      <c r="BW223" s="216">
        <f ca="1">IF($D223&lt;&gt;"Serviço",0,IF(OR(AND(AUTOEVENTO="Manual",$M223=1),$M223&gt;(ROW(PLE.lastrow)-ROW(PLE.firstrow))),0,IF(OFFSET(PLE!$G$14,$M223,BW$13)="",10^12,OFFSET(PLE!$G$14,$M223,BW$13))))</f>
        <v>1000000000000</v>
      </c>
      <c r="BX223" s="216">
        <f ca="1">IF($D223&lt;&gt;"Serviço",0,IF(OR(AND(AUTOEVENTO="Manual",$M223=1),$M223&gt;(ROW(PLE.lastrow)-ROW(PLE.firstrow))),0,IF(OFFSET(PLE!$G$14,$M223,BX$13)="",10^12,OFFSET(PLE!$G$14,$M223,BX$13))))</f>
        <v>1000000000000</v>
      </c>
      <c r="BY223" s="216">
        <f ca="1">IF($D223&lt;&gt;"Serviço",0,IF(OR(AND(AUTOEVENTO="Manual",$M223=1),$M223&gt;(ROW(PLE.lastrow)-ROW(PLE.firstrow))),0,IF(OFFSET(PLE!$G$14,$M223,BY$13)="",10^12,OFFSET(PLE!$G$14,$M223,BY$13))))</f>
        <v>1000000000000</v>
      </c>
      <c r="BZ223" s="216">
        <f ca="1">IF($D223&lt;&gt;"Serviço",0,IF(OR(AND(AUTOEVENTO="Manual",$M223=1),$M223&gt;(ROW(PLE.lastrow)-ROW(PLE.firstrow))),0,IF(OFFSET(PLE!$G$14,$M223,BZ$13)="",10^12,OFFSET(PLE!$G$14,$M223,BZ$13))))</f>
        <v>1000000000000</v>
      </c>
      <c r="CA223" s="216">
        <f ca="1">IF($D223&lt;&gt;"Serviço",0,IF(OR(AND(AUTOEVENTO="Manual",$M223=1),$M223&gt;(ROW(PLE.lastrow)-ROW(PLE.firstrow))),0,IF(OFFSET(PLE!$G$14,$M223,CA$13)="",10^12,OFFSET(PLE!$G$14,$M223,CA$13))))</f>
        <v>1000000000000</v>
      </c>
      <c r="CB223" s="216">
        <f ca="1">IF($D223&lt;&gt;"Serviço",0,IF(OR(AND(AUTOEVENTO="Manual",$M223=1),$M223&gt;(ROW(PLE.lastrow)-ROW(PLE.firstrow))),0,IF(OFFSET(PLE!$G$14,$M223,CB$13)="",10^12,OFFSET(PLE!$G$14,$M223,CB$13))))</f>
        <v>1000000000000</v>
      </c>
      <c r="CC223" s="216">
        <f ca="1">IF($D223&lt;&gt;"Serviço",0,IF(OR(AND(AUTOEVENTO="Manual",$M223=1),$M223&gt;(ROW(PLE.lastrow)-ROW(PLE.firstrow))),0,IF(OFFSET(PLE!$G$14,$M223,CC$13)="",10^12,OFFSET(PLE!$G$14,$M223,CC$13))))</f>
        <v>1000000000000</v>
      </c>
      <c r="CD223" s="216">
        <f ca="1">IF($D223&lt;&gt;"Serviço",0,IF(OR(AND(AUTOEVENTO="Manual",$M223=1),$M223&gt;(ROW(PLE.lastrow)-ROW(PLE.firstrow))),0,IF(OFFSET(PLE!$G$14,$M223,CD$13)="",10^12,OFFSET(PLE!$G$14,$M223,CD$13))))</f>
        <v>1000000000000</v>
      </c>
      <c r="CE223" s="216">
        <f ca="1">IF($D223&lt;&gt;"Serviço",0,IF(OR(AND(AUTOEVENTO="Manual",$M223=1),$M223&gt;(ROW(PLE.lastrow)-ROW(PLE.firstrow))),0,IF(OFFSET(PLE!$G$14,$M223,CE$13)="",10^12,OFFSET(PLE!$G$14,$M223,CE$13))))</f>
        <v>1000000000000</v>
      </c>
      <c r="CF223" s="216">
        <f ca="1">IF($D223&lt;&gt;"Serviço",0,IF(OR(AND(AUTOEVENTO="Manual",$M223=1),$M223&gt;(ROW(PLE.lastrow)-ROW(PLE.firstrow))),0,IF(OFFSET(PLE!$G$14,$M223,CF$13)="",10^12,OFFSET(PLE!$G$14,$M223,CF$13))))</f>
        <v>1000000000000</v>
      </c>
      <c r="CG223" s="216">
        <f ca="1">IF($D223&lt;&gt;"Serviço",0,IF(OR(AND(AUTOEVENTO="Manual",$M223=1),$M223&gt;(ROW(PLE.lastrow)-ROW(PLE.firstrow))),0,IF(OFFSET(PLE!$G$14,$M223,CG$13)="",10^12,OFFSET(PLE!$G$14,$M223,CG$13))))</f>
        <v>1000000000000</v>
      </c>
      <c r="CH223" s="216">
        <f ca="1">IF($D223&lt;&gt;"Serviço",0,IF(OR(AND(AUTOEVENTO="Manual",$M223=1),$M223&gt;(ROW(PLE.lastrow)-ROW(PLE.firstrow))),0,IF(OFFSET(PLE!$G$14,$M223,CH$13)="",10^12,OFFSET(PLE!$G$14,$M223,CH$13))))</f>
        <v>1000000000000</v>
      </c>
      <c r="CI223" s="216">
        <f ca="1">IF($D223&lt;&gt;"Serviço",0,IF(OR(AND(AUTOEVENTO="Manual",$M223=1),$M223&gt;(ROW(PLE.lastrow)-ROW(PLE.firstrow))),0,IF(OFFSET(PLE!$G$14,$M223,CI$13)="",10^12,OFFSET(PLE!$G$14,$M223,CI$13))))</f>
        <v>1000000000000</v>
      </c>
      <c r="CJ223" s="216">
        <f ca="1">IF($D223&lt;&gt;"Serviço",0,IF(OR(AND(AUTOEVENTO="Manual",$M223=1),$M223&gt;(ROW(PLE.lastrow)-ROW(PLE.firstrow))),0,IF(OFFSET(PLE!$G$14,$M223,CJ$13)="",10^12,OFFSET(PLE!$G$14,$M223,CJ$13))))</f>
        <v>1000000000000</v>
      </c>
      <c r="CK223" s="216">
        <f ca="1">IF($D223&lt;&gt;"Serviço",0,IF(OR(AND(AUTOEVENTO="Manual",$M223=1),$M223&gt;(ROW(PLE.lastrow)-ROW(PLE.firstrow))),0,IF(OFFSET(PLE!$G$14,$M223,CK$13)="",10^12,OFFSET(PLE!$G$14,$M223,CK$13))))</f>
        <v>1000000000000</v>
      </c>
      <c r="CL223" s="216">
        <f ca="1">IF($D223&lt;&gt;"Serviço",0,IF(OR(AND(AUTOEVENTO="Manual",$M223=1),$M223&gt;(ROW(PLE.lastrow)-ROW(PLE.firstrow))),0,IF(OFFSET(PLE!$G$14,$M223,CL$13)="",10^12,OFFSET(PLE!$G$14,$M223,CL$13))))</f>
        <v>1000000000000</v>
      </c>
      <c r="CM223" s="216">
        <f ca="1">IF($D223&lt;&gt;"Serviço",0,IF(OR(AND(AUTOEVENTO="Manual",$M223=1),$M223&gt;(ROW(PLE.lastrow)-ROW(PLE.firstrow))),0,IF(OFFSET(PLE!$G$14,$M223,CM$13)="",10^12,OFFSET(PLE!$G$14,$M223,CM$13))))</f>
        <v>1000000000000</v>
      </c>
    </row>
    <row r="224" spans="1:91" ht="13.2" x14ac:dyDescent="0.25">
      <c r="A224" s="9">
        <f t="shared" ca="1" si="12"/>
        <v>0</v>
      </c>
      <c r="B224" s="9" t="str">
        <f ca="1">OFFSET(ORÇAMENTO!C$15,ROW(B224)-ROW(B$15),0)</f>
        <v>S</v>
      </c>
      <c r="C224" s="9" t="str">
        <f ca="1">OFFSET(ORÇAMENTO!L$15,ROW(C224)-ROW(C$15),0)</f>
        <v/>
      </c>
      <c r="D224" s="145" t="str">
        <f ca="1">OFFSET(ORÇAMENTO!N$15,ROW(D224)-ROW(D$15),0)</f>
        <v>Serviço</v>
      </c>
      <c r="E224" s="205" t="str">
        <f ca="1">OFFSET(ORÇAMENTO!O$15,ROW(E224)-ROW(E$15),0)</f>
        <v>-</v>
      </c>
      <c r="F224" s="206" t="str">
        <f ca="1">OFFSET(ORÇAMENTO!R$15,ROW(F224)-ROW(F$15),0)</f>
        <v>(abra o arquivo 'Referência 05-2024.xls)</v>
      </c>
      <c r="G224" s="207" t="str">
        <f ca="1">IF($D224&lt;&gt;"Serviço","",OFFSET(ORÇAMENTO!S$15,ROW(G224)-ROW(G$15),0))</f>
        <v>-</v>
      </c>
      <c r="H224" s="151">
        <f ca="1">IF($D224&lt;&gt;"Serviço",0,IF(ACOMPANHAMENTO="BM",ROUND(OFFSET(ORÇAMENTO!AJ$15,ROW(H224)-ROW(H$15),0),15-13*ORÇAMENTO!$AF$7),SUMPRODUCT(($Q$12:$AI$12&lt;&gt;"")*ROUND($Q224:$AI224,15-13*ORÇAMENTO!$AF$7))))</f>
        <v>64.599999999999994</v>
      </c>
      <c r="I224" s="650"/>
      <c r="K224" s="208"/>
      <c r="L224" s="209" t="s">
        <v>257</v>
      </c>
      <c r="M224" s="210">
        <f ca="1">IF($D224&lt;&gt;"Serviço","",IF(AUTOEVENTO="manual",$A224,IF(ISERROR(MATCH($A224,$A$15:OFFSET($A224,-1,0),0)),MAX($M$15:OFFSET(M224,-1,0))+1,INDEX($M$15:OFFSET(M224,-1,0),MATCH($A224,$A$15:OFFSET($A224,-1,0),0)))))</f>
        <v>0</v>
      </c>
      <c r="N224" s="211" t="str">
        <f ca="1">IF($D224&lt;&gt;"Serviço","",IF(AUTOEVENTO="Manual",IF($A224=0,"&lt;-- defina o número do agrupador",OFFSET(EVENTOS!$D$14,$A224,0)),OFFSET($F$15,$A224,0)))</f>
        <v>&lt;-- defina o número do agrupador</v>
      </c>
      <c r="O224" s="212"/>
      <c r="Q224" s="212"/>
      <c r="R224" s="213"/>
      <c r="S224" s="213"/>
      <c r="T224" s="213"/>
      <c r="U224" s="213"/>
      <c r="V224" s="213"/>
      <c r="W224" s="213"/>
      <c r="X224" s="213"/>
      <c r="Y224" s="213"/>
      <c r="Z224" s="214"/>
      <c r="AA224" s="213"/>
      <c r="AB224" s="213"/>
      <c r="AC224" s="213"/>
      <c r="AD224" s="213"/>
      <c r="AE224" s="213"/>
      <c r="AF224" s="213"/>
      <c r="AG224" s="213"/>
      <c r="AH224" s="214"/>
      <c r="AJ224" s="631">
        <f ca="1">IF(AND($D224="Serviço",AJ$12&lt;&gt;0,$H224&gt;0,OR(AUTOEVENTO&lt;&gt;"manual",$M224&lt;&gt;1)),ROUND(OFFSET($P224,0,AJ$13),15-13*ORÇAMENTO!$AF$7)/$H224*OFFSET(ORÇAMENTO!$X$15,ROW(AJ224)-ROW(AJ$15),0),0)</f>
        <v>0</v>
      </c>
      <c r="AK224" s="632">
        <f ca="1">IF(AND($D224="Serviço",AK$12&lt;&gt;0,$H224&gt;0,OR(AUTOEVENTO&lt;&gt;"manual",$M224&lt;&gt;1)),ROUND(OFFSET($P224,0,AK$13),15-13*ORÇAMENTO!$AF$7)/$H224*OFFSET(ORÇAMENTO!$X$15,ROW(AK224)-ROW(AK$15),0),0)</f>
        <v>0</v>
      </c>
      <c r="AL224" s="632">
        <f ca="1">IF(AND($D224="Serviço",AL$12&lt;&gt;0,$H224&gt;0,OR(AUTOEVENTO&lt;&gt;"manual",$M224&lt;&gt;1)),ROUND(OFFSET($P224,0,AL$13),15-13*ORÇAMENTO!$AF$7)/$H224*OFFSET(ORÇAMENTO!$X$15,ROW(AL224)-ROW(AL$15),0),0)</f>
        <v>0</v>
      </c>
      <c r="AM224" s="632">
        <f ca="1">IF(AND($D224="Serviço",AM$12&lt;&gt;0,$H224&gt;0,OR(AUTOEVENTO&lt;&gt;"manual",$M224&lt;&gt;1)),ROUND(OFFSET($P224,0,AM$13),15-13*ORÇAMENTO!$AF$7)/$H224*OFFSET(ORÇAMENTO!$X$15,ROW(AM224)-ROW(AM$15),0),0)</f>
        <v>0</v>
      </c>
      <c r="AN224" s="632">
        <f ca="1">IF(AND($D224="Serviço",AN$12&lt;&gt;0,$H224&gt;0,OR(AUTOEVENTO&lt;&gt;"manual",$M224&lt;&gt;1)),ROUND(OFFSET($P224,0,AN$13),15-13*ORÇAMENTO!$AF$7)/$H224*OFFSET(ORÇAMENTO!$X$15,ROW(AN224)-ROW(AN$15),0),0)</f>
        <v>0</v>
      </c>
      <c r="AO224" s="632">
        <f ca="1">IF(AND($D224="Serviço",AO$12&lt;&gt;0,$H224&gt;0,OR(AUTOEVENTO&lt;&gt;"manual",$M224&lt;&gt;1)),ROUND(OFFSET($P224,0,AO$13),15-13*ORÇAMENTO!$AF$7)/$H224*OFFSET(ORÇAMENTO!$X$15,ROW(AO224)-ROW(AO$15),0),0)</f>
        <v>0</v>
      </c>
      <c r="AP224" s="632">
        <f ca="1">IF(AND($D224="Serviço",AP$12&lt;&gt;0,$H224&gt;0,OR(AUTOEVENTO&lt;&gt;"manual",$M224&lt;&gt;1)),ROUND(OFFSET($P224,0,AP$13),15-13*ORÇAMENTO!$AF$7)/$H224*OFFSET(ORÇAMENTO!$X$15,ROW(AP224)-ROW(AP$15),0),0)</f>
        <v>0</v>
      </c>
      <c r="AQ224" s="632">
        <f ca="1">IF(AND($D224="Serviço",AQ$12&lt;&gt;0,$H224&gt;0,OR(AUTOEVENTO&lt;&gt;"manual",$M224&lt;&gt;1)),ROUND(OFFSET($P224,0,AQ$13),15-13*ORÇAMENTO!$AF$7)/$H224*OFFSET(ORÇAMENTO!$X$15,ROW(AQ224)-ROW(AQ$15),0),0)</f>
        <v>0</v>
      </c>
      <c r="AR224" s="632">
        <f ca="1">IF(AND($D224="Serviço",AR$12&lt;&gt;0,$H224&gt;0,OR(AUTOEVENTO&lt;&gt;"manual",$M224&lt;&gt;1)),ROUND(OFFSET($P224,0,AR$13),15-13*ORÇAMENTO!$AF$7)/$H224*OFFSET(ORÇAMENTO!$X$15,ROW(AR224)-ROW(AR$15),0),0)</f>
        <v>0</v>
      </c>
      <c r="AS224" s="633">
        <f ca="1">IF(AND($D224="Serviço",AS$12&lt;&gt;0,$H224&gt;0,OR(AUTOEVENTO&lt;&gt;"manual",$M224&lt;&gt;1)),ROUND(OFFSET($P224,0,AS$13),15-13*ORÇAMENTO!$AF$7)/$H224*OFFSET(ORÇAMENTO!$X$15,ROW(AS224)-ROW(AS$15),0),0)</f>
        <v>0</v>
      </c>
      <c r="AT224" s="632">
        <f ca="1">IF(AND($D224="Serviço",AT$12&lt;&gt;0,$H224&gt;0,OR(AUTOEVENTO&lt;&gt;"manual",$M224&lt;&gt;1)),ROUND(OFFSET($P224,0,AT$13),15-13*ORÇAMENTO!$AF$7)/$H224*OFFSET(ORÇAMENTO!$X$15,ROW(AT224)-ROW(AT$15),0),0)</f>
        <v>0</v>
      </c>
      <c r="AU224" s="632">
        <f ca="1">IF(AND($D224="Serviço",AU$12&lt;&gt;0,$H224&gt;0,OR(AUTOEVENTO&lt;&gt;"manual",$M224&lt;&gt;1)),ROUND(OFFSET($P224,0,AU$13),15-13*ORÇAMENTO!$AF$7)/$H224*OFFSET(ORÇAMENTO!$X$15,ROW(AU224)-ROW(AU$15),0),0)</f>
        <v>0</v>
      </c>
      <c r="AV224" s="632">
        <f ca="1">IF(AND($D224="Serviço",AV$12&lt;&gt;0,$H224&gt;0,OR(AUTOEVENTO&lt;&gt;"manual",$M224&lt;&gt;1)),ROUND(OFFSET($P224,0,AV$13),15-13*ORÇAMENTO!$AF$7)/$H224*OFFSET(ORÇAMENTO!$X$15,ROW(AV224)-ROW(AV$15),0),0)</f>
        <v>0</v>
      </c>
      <c r="AW224" s="632">
        <f ca="1">IF(AND($D224="Serviço",AW$12&lt;&gt;0,$H224&gt;0,OR(AUTOEVENTO&lt;&gt;"manual",$M224&lt;&gt;1)),ROUND(OFFSET($P224,0,AW$13),15-13*ORÇAMENTO!$AF$7)/$H224*OFFSET(ORÇAMENTO!$X$15,ROW(AW224)-ROW(AW$15),0),0)</f>
        <v>0</v>
      </c>
      <c r="AX224" s="632">
        <f ca="1">IF(AND($D224="Serviço",AX$12&lt;&gt;0,$H224&gt;0,OR(AUTOEVENTO&lt;&gt;"manual",$M224&lt;&gt;1)),ROUND(OFFSET($P224,0,AX$13),15-13*ORÇAMENTO!$AF$7)/$H224*OFFSET(ORÇAMENTO!$X$15,ROW(AX224)-ROW(AX$15),0),0)</f>
        <v>0</v>
      </c>
      <c r="AY224" s="632">
        <f ca="1">IF(AND($D224="Serviço",AY$12&lt;&gt;0,$H224&gt;0,OR(AUTOEVENTO&lt;&gt;"manual",$M224&lt;&gt;1)),ROUND(OFFSET($P224,0,AY$13),15-13*ORÇAMENTO!$AF$7)/$H224*OFFSET(ORÇAMENTO!$X$15,ROW(AY224)-ROW(AY$15),0),0)</f>
        <v>0</v>
      </c>
      <c r="AZ224" s="632">
        <f ca="1">IF(AND($D224="Serviço",AZ$12&lt;&gt;0,$H224&gt;0,OR(AUTOEVENTO&lt;&gt;"manual",$M224&lt;&gt;1)),ROUND(OFFSET($P224,0,AZ$13),15-13*ORÇAMENTO!$AF$7)/$H224*OFFSET(ORÇAMENTO!$X$15,ROW(AZ224)-ROW(AZ$15),0),0)</f>
        <v>0</v>
      </c>
      <c r="BA224" s="633">
        <f ca="1">IF(AND($D224="Serviço",BA$12&lt;&gt;0,$H224&gt;0,OR(AUTOEVENTO&lt;&gt;"manual",$M224&lt;&gt;1)),ROUND(OFFSET($P224,0,BA$13),15-13*ORÇAMENTO!$AF$7)/$H224*OFFSET(ORÇAMENTO!$X$15,ROW(BA224)-ROW(BA$15),0),0)</f>
        <v>0</v>
      </c>
      <c r="BC224" s="215">
        <f ca="1">IF($D224&lt;&gt;"Serviço",0,IF(AND(AUTOEVENTO="Manual",$M224=1),0,IF(OFFSET(CRONOPLE!$F$14,$M224,BC$13)="",10^12,OFFSET(CRONOPLE!$F$14,$M224,BC$13))))</f>
        <v>1000000000000</v>
      </c>
      <c r="BD224" s="215">
        <f ca="1">IF($D224&lt;&gt;"Serviço",0,IF(AND(AUTOEVENTO="Manual",$M224=1),0,IF(OFFSET(CRONOPLE!$F$14,$M224,BD$13)="",10^12,OFFSET(CRONOPLE!$F$14,$M224,BD$13))))</f>
        <v>1000000000000</v>
      </c>
      <c r="BE224" s="215">
        <f ca="1">IF($D224&lt;&gt;"Serviço",0,IF(AND(AUTOEVENTO="Manual",$M224=1),0,IF(OFFSET(CRONOPLE!$F$14,$M224,BE$13)="",10^12,OFFSET(CRONOPLE!$F$14,$M224,BE$13))))</f>
        <v>1000000000000</v>
      </c>
      <c r="BF224" s="215">
        <f ca="1">IF($D224&lt;&gt;"Serviço",0,IF(AND(AUTOEVENTO="Manual",$M224=1),0,IF(OFFSET(CRONOPLE!$F$14,$M224,BF$13)="",10^12,OFFSET(CRONOPLE!$F$14,$M224,BF$13))))</f>
        <v>1000000000000</v>
      </c>
      <c r="BG224" s="215">
        <f ca="1">IF($D224&lt;&gt;"Serviço",0,IF(AND(AUTOEVENTO="Manual",$M224=1),0,IF(OFFSET(CRONOPLE!$F$14,$M224,BG$13)="",10^12,OFFSET(CRONOPLE!$F$14,$M224,BG$13))))</f>
        <v>1000000000000</v>
      </c>
      <c r="BH224" s="215">
        <f ca="1">IF($D224&lt;&gt;"Serviço",0,IF(AND(AUTOEVENTO="Manual",$M224=1),0,IF(OFFSET(CRONOPLE!$F$14,$M224,BH$13)="",10^12,OFFSET(CRONOPLE!$F$14,$M224,BH$13))))</f>
        <v>1000000000000</v>
      </c>
      <c r="BI224" s="215">
        <f ca="1">IF($D224&lt;&gt;"Serviço",0,IF(AND(AUTOEVENTO="Manual",$M224=1),0,IF(OFFSET(CRONOPLE!$F$14,$M224,BI$13)="",10^12,OFFSET(CRONOPLE!$F$14,$M224,BI$13))))</f>
        <v>1000000000000</v>
      </c>
      <c r="BJ224" s="215">
        <f ca="1">IF($D224&lt;&gt;"Serviço",0,IF(AND(AUTOEVENTO="Manual",$M224=1),0,IF(OFFSET(CRONOPLE!$F$14,$M224,BJ$13)="",10^12,OFFSET(CRONOPLE!$F$14,$M224,BJ$13))))</f>
        <v>1000000000000</v>
      </c>
      <c r="BK224" s="215">
        <f ca="1">IF($D224&lt;&gt;"Serviço",0,IF(AND(AUTOEVENTO="Manual",$M224=1),0,IF(OFFSET(CRONOPLE!$F$14,$M224,BK$13)="",10^12,OFFSET(CRONOPLE!$F$14,$M224,BK$13))))</f>
        <v>1000000000000</v>
      </c>
      <c r="BL224" s="215">
        <f ca="1">IF($D224&lt;&gt;"Serviço",0,IF(AND(AUTOEVENTO="Manual",$M224=1),0,IF(OFFSET(CRONOPLE!$F$14,$M224,BL$13)="",10^12,OFFSET(CRONOPLE!$F$14,$M224,BL$13))))</f>
        <v>1000000000000</v>
      </c>
      <c r="BM224" s="215">
        <f ca="1">IF($D224&lt;&gt;"Serviço",0,IF(AND(AUTOEVENTO="Manual",$M224=1),0,IF(OFFSET(CRONOPLE!$F$14,$M224,BM$13)="",10^12,OFFSET(CRONOPLE!$F$14,$M224,BM$13))))</f>
        <v>1000000000000</v>
      </c>
      <c r="BN224" s="215">
        <f ca="1">IF($D224&lt;&gt;"Serviço",0,IF(AND(AUTOEVENTO="Manual",$M224=1),0,IF(OFFSET(CRONOPLE!$F$14,$M224,BN$13)="",10^12,OFFSET(CRONOPLE!$F$14,$M224,BN$13))))</f>
        <v>1000000000000</v>
      </c>
      <c r="BO224" s="215">
        <f ca="1">IF($D224&lt;&gt;"Serviço",0,IF(AND(AUTOEVENTO="Manual",$M224=1),0,IF(OFFSET(CRONOPLE!$F$14,$M224,BO$13)="",10^12,OFFSET(CRONOPLE!$F$14,$M224,BO$13))))</f>
        <v>1000000000000</v>
      </c>
      <c r="BP224" s="215">
        <f ca="1">IF($D224&lt;&gt;"Serviço",0,IF(AND(AUTOEVENTO="Manual",$M224=1),0,IF(OFFSET(CRONOPLE!$F$14,$M224,BP$13)="",10^12,OFFSET(CRONOPLE!$F$14,$M224,BP$13))))</f>
        <v>1000000000000</v>
      </c>
      <c r="BQ224" s="215">
        <f ca="1">IF($D224&lt;&gt;"Serviço",0,IF(AND(AUTOEVENTO="Manual",$M224=1),0,IF(OFFSET(CRONOPLE!$F$14,$M224,BQ$13)="",10^12,OFFSET(CRONOPLE!$F$14,$M224,BQ$13))))</f>
        <v>1000000000000</v>
      </c>
      <c r="BR224" s="215">
        <f ca="1">IF($D224&lt;&gt;"Serviço",0,IF(AND(AUTOEVENTO="Manual",$M224=1),0,IF(OFFSET(CRONOPLE!$F$14,$M224,BR$13)="",10^12,OFFSET(CRONOPLE!$F$14,$M224,BR$13))))</f>
        <v>1000000000000</v>
      </c>
      <c r="BS224" s="215">
        <f ca="1">IF($D224&lt;&gt;"Serviço",0,IF(AND(AUTOEVENTO="Manual",$M224=1),0,IF(OFFSET(CRONOPLE!$F$14,$M224,BS$13)="",10^12,OFFSET(CRONOPLE!$F$14,$M224,BS$13))))</f>
        <v>1000000000000</v>
      </c>
      <c r="BT224" s="215">
        <f ca="1">IF($D224&lt;&gt;"Serviço",0,IF(AND(AUTOEVENTO="Manual",$M224=1),0,IF(OFFSET(CRONOPLE!$F$14,$M224,BT$13)="",10^12,OFFSET(CRONOPLE!$F$14,$M224,BT$13))))</f>
        <v>1000000000000</v>
      </c>
      <c r="BV224" s="216">
        <f ca="1">IF($D224&lt;&gt;"Serviço",0,IF(OR(AND(AUTOEVENTO="Manual",$M224=1),$M224&gt;(ROW(PLE.lastrow)-ROW(PLE.firstrow))),0,IF(OFFSET(PLE!$G$14,$M224,BV$13)="",10^12,OFFSET(PLE!$G$14,$M224,BV$13))))</f>
        <v>1000000000000</v>
      </c>
      <c r="BW224" s="216">
        <f ca="1">IF($D224&lt;&gt;"Serviço",0,IF(OR(AND(AUTOEVENTO="Manual",$M224=1),$M224&gt;(ROW(PLE.lastrow)-ROW(PLE.firstrow))),0,IF(OFFSET(PLE!$G$14,$M224,BW$13)="",10^12,OFFSET(PLE!$G$14,$M224,BW$13))))</f>
        <v>1000000000000</v>
      </c>
      <c r="BX224" s="216">
        <f ca="1">IF($D224&lt;&gt;"Serviço",0,IF(OR(AND(AUTOEVENTO="Manual",$M224=1),$M224&gt;(ROW(PLE.lastrow)-ROW(PLE.firstrow))),0,IF(OFFSET(PLE!$G$14,$M224,BX$13)="",10^12,OFFSET(PLE!$G$14,$M224,BX$13))))</f>
        <v>1000000000000</v>
      </c>
      <c r="BY224" s="216">
        <f ca="1">IF($D224&lt;&gt;"Serviço",0,IF(OR(AND(AUTOEVENTO="Manual",$M224=1),$M224&gt;(ROW(PLE.lastrow)-ROW(PLE.firstrow))),0,IF(OFFSET(PLE!$G$14,$M224,BY$13)="",10^12,OFFSET(PLE!$G$14,$M224,BY$13))))</f>
        <v>1000000000000</v>
      </c>
      <c r="BZ224" s="216">
        <f ca="1">IF($D224&lt;&gt;"Serviço",0,IF(OR(AND(AUTOEVENTO="Manual",$M224=1),$M224&gt;(ROW(PLE.lastrow)-ROW(PLE.firstrow))),0,IF(OFFSET(PLE!$G$14,$M224,BZ$13)="",10^12,OFFSET(PLE!$G$14,$M224,BZ$13))))</f>
        <v>1000000000000</v>
      </c>
      <c r="CA224" s="216">
        <f ca="1">IF($D224&lt;&gt;"Serviço",0,IF(OR(AND(AUTOEVENTO="Manual",$M224=1),$M224&gt;(ROW(PLE.lastrow)-ROW(PLE.firstrow))),0,IF(OFFSET(PLE!$G$14,$M224,CA$13)="",10^12,OFFSET(PLE!$G$14,$M224,CA$13))))</f>
        <v>1000000000000</v>
      </c>
      <c r="CB224" s="216">
        <f ca="1">IF($D224&lt;&gt;"Serviço",0,IF(OR(AND(AUTOEVENTO="Manual",$M224=1),$M224&gt;(ROW(PLE.lastrow)-ROW(PLE.firstrow))),0,IF(OFFSET(PLE!$G$14,$M224,CB$13)="",10^12,OFFSET(PLE!$G$14,$M224,CB$13))))</f>
        <v>1000000000000</v>
      </c>
      <c r="CC224" s="216">
        <f ca="1">IF($D224&lt;&gt;"Serviço",0,IF(OR(AND(AUTOEVENTO="Manual",$M224=1),$M224&gt;(ROW(PLE.lastrow)-ROW(PLE.firstrow))),0,IF(OFFSET(PLE!$G$14,$M224,CC$13)="",10^12,OFFSET(PLE!$G$14,$M224,CC$13))))</f>
        <v>1000000000000</v>
      </c>
      <c r="CD224" s="216">
        <f ca="1">IF($D224&lt;&gt;"Serviço",0,IF(OR(AND(AUTOEVENTO="Manual",$M224=1),$M224&gt;(ROW(PLE.lastrow)-ROW(PLE.firstrow))),0,IF(OFFSET(PLE!$G$14,$M224,CD$13)="",10^12,OFFSET(PLE!$G$14,$M224,CD$13))))</f>
        <v>1000000000000</v>
      </c>
      <c r="CE224" s="216">
        <f ca="1">IF($D224&lt;&gt;"Serviço",0,IF(OR(AND(AUTOEVENTO="Manual",$M224=1),$M224&gt;(ROW(PLE.lastrow)-ROW(PLE.firstrow))),0,IF(OFFSET(PLE!$G$14,$M224,CE$13)="",10^12,OFFSET(PLE!$G$14,$M224,CE$13))))</f>
        <v>1000000000000</v>
      </c>
      <c r="CF224" s="216">
        <f ca="1">IF($D224&lt;&gt;"Serviço",0,IF(OR(AND(AUTOEVENTO="Manual",$M224=1),$M224&gt;(ROW(PLE.lastrow)-ROW(PLE.firstrow))),0,IF(OFFSET(PLE!$G$14,$M224,CF$13)="",10^12,OFFSET(PLE!$G$14,$M224,CF$13))))</f>
        <v>1000000000000</v>
      </c>
      <c r="CG224" s="216">
        <f ca="1">IF($D224&lt;&gt;"Serviço",0,IF(OR(AND(AUTOEVENTO="Manual",$M224=1),$M224&gt;(ROW(PLE.lastrow)-ROW(PLE.firstrow))),0,IF(OFFSET(PLE!$G$14,$M224,CG$13)="",10^12,OFFSET(PLE!$G$14,$M224,CG$13))))</f>
        <v>1000000000000</v>
      </c>
      <c r="CH224" s="216">
        <f ca="1">IF($D224&lt;&gt;"Serviço",0,IF(OR(AND(AUTOEVENTO="Manual",$M224=1),$M224&gt;(ROW(PLE.lastrow)-ROW(PLE.firstrow))),0,IF(OFFSET(PLE!$G$14,$M224,CH$13)="",10^12,OFFSET(PLE!$G$14,$M224,CH$13))))</f>
        <v>1000000000000</v>
      </c>
      <c r="CI224" s="216">
        <f ca="1">IF($D224&lt;&gt;"Serviço",0,IF(OR(AND(AUTOEVENTO="Manual",$M224=1),$M224&gt;(ROW(PLE.lastrow)-ROW(PLE.firstrow))),0,IF(OFFSET(PLE!$G$14,$M224,CI$13)="",10^12,OFFSET(PLE!$G$14,$M224,CI$13))))</f>
        <v>1000000000000</v>
      </c>
      <c r="CJ224" s="216">
        <f ca="1">IF($D224&lt;&gt;"Serviço",0,IF(OR(AND(AUTOEVENTO="Manual",$M224=1),$M224&gt;(ROW(PLE.lastrow)-ROW(PLE.firstrow))),0,IF(OFFSET(PLE!$G$14,$M224,CJ$13)="",10^12,OFFSET(PLE!$G$14,$M224,CJ$13))))</f>
        <v>1000000000000</v>
      </c>
      <c r="CK224" s="216">
        <f ca="1">IF($D224&lt;&gt;"Serviço",0,IF(OR(AND(AUTOEVENTO="Manual",$M224=1),$M224&gt;(ROW(PLE.lastrow)-ROW(PLE.firstrow))),0,IF(OFFSET(PLE!$G$14,$M224,CK$13)="",10^12,OFFSET(PLE!$G$14,$M224,CK$13))))</f>
        <v>1000000000000</v>
      </c>
      <c r="CL224" s="216">
        <f ca="1">IF($D224&lt;&gt;"Serviço",0,IF(OR(AND(AUTOEVENTO="Manual",$M224=1),$M224&gt;(ROW(PLE.lastrow)-ROW(PLE.firstrow))),0,IF(OFFSET(PLE!$G$14,$M224,CL$13)="",10^12,OFFSET(PLE!$G$14,$M224,CL$13))))</f>
        <v>1000000000000</v>
      </c>
      <c r="CM224" s="216">
        <f ca="1">IF($D224&lt;&gt;"Serviço",0,IF(OR(AND(AUTOEVENTO="Manual",$M224=1),$M224&gt;(ROW(PLE.lastrow)-ROW(PLE.firstrow))),0,IF(OFFSET(PLE!$G$14,$M224,CM$13)="",10^12,OFFSET(PLE!$G$14,$M224,CM$13))))</f>
        <v>1000000000000</v>
      </c>
    </row>
    <row r="225" spans="1:91" ht="13.2" x14ac:dyDescent="0.25">
      <c r="A225" s="9">
        <f t="shared" ca="1" si="12"/>
        <v>0</v>
      </c>
      <c r="B225" s="9" t="str">
        <f ca="1">OFFSET(ORÇAMENTO!C$15,ROW(B225)-ROW(B$15),0)</f>
        <v>S</v>
      </c>
      <c r="C225" s="9" t="str">
        <f ca="1">OFFSET(ORÇAMENTO!L$15,ROW(C225)-ROW(C$15),0)</f>
        <v/>
      </c>
      <c r="D225" s="145" t="str">
        <f ca="1">OFFSET(ORÇAMENTO!N$15,ROW(D225)-ROW(D$15),0)</f>
        <v>Serviço</v>
      </c>
      <c r="E225" s="205" t="str">
        <f ca="1">OFFSET(ORÇAMENTO!O$15,ROW(E225)-ROW(E$15),0)</f>
        <v>-</v>
      </c>
      <c r="F225" s="206" t="str">
        <f ca="1">OFFSET(ORÇAMENTO!R$15,ROW(F225)-ROW(F$15),0)</f>
        <v>(abra o arquivo 'Referência 05-2024.xls)</v>
      </c>
      <c r="G225" s="207" t="str">
        <f ca="1">IF($D225&lt;&gt;"Serviço","",OFFSET(ORÇAMENTO!S$15,ROW(G225)-ROW(G$15),0))</f>
        <v>-</v>
      </c>
      <c r="H225" s="151">
        <f ca="1">IF($D225&lt;&gt;"Serviço",0,IF(ACOMPANHAMENTO="BM",ROUND(OFFSET(ORÇAMENTO!AJ$15,ROW(H225)-ROW(H$15),0),15-13*ORÇAMENTO!$AF$7),SUMPRODUCT(($Q$12:$AI$12&lt;&gt;"")*ROUND($Q225:$AI225,15-13*ORÇAMENTO!$AF$7))))</f>
        <v>63.2</v>
      </c>
      <c r="I225" s="650"/>
      <c r="K225" s="208"/>
      <c r="L225" s="209" t="s">
        <v>257</v>
      </c>
      <c r="M225" s="210">
        <f ca="1">IF($D225&lt;&gt;"Serviço","",IF(AUTOEVENTO="manual",$A225,IF(ISERROR(MATCH($A225,$A$15:OFFSET($A225,-1,0),0)),MAX($M$15:OFFSET(M225,-1,0))+1,INDEX($M$15:OFFSET(M225,-1,0),MATCH($A225,$A$15:OFFSET($A225,-1,0),0)))))</f>
        <v>0</v>
      </c>
      <c r="N225" s="211" t="str">
        <f ca="1">IF($D225&lt;&gt;"Serviço","",IF(AUTOEVENTO="Manual",IF($A225=0,"&lt;-- defina o número do agrupador",OFFSET(EVENTOS!$D$14,$A225,0)),OFFSET($F$15,$A225,0)))</f>
        <v>&lt;-- defina o número do agrupador</v>
      </c>
      <c r="O225" s="212"/>
      <c r="Q225" s="212"/>
      <c r="R225" s="213"/>
      <c r="S225" s="213"/>
      <c r="T225" s="213"/>
      <c r="U225" s="213"/>
      <c r="V225" s="213"/>
      <c r="W225" s="213"/>
      <c r="X225" s="213"/>
      <c r="Y225" s="213"/>
      <c r="Z225" s="214"/>
      <c r="AA225" s="213"/>
      <c r="AB225" s="213"/>
      <c r="AC225" s="213"/>
      <c r="AD225" s="213"/>
      <c r="AE225" s="213"/>
      <c r="AF225" s="213"/>
      <c r="AG225" s="213"/>
      <c r="AH225" s="214"/>
      <c r="AJ225" s="631">
        <f ca="1">IF(AND($D225="Serviço",AJ$12&lt;&gt;0,$H225&gt;0,OR(AUTOEVENTO&lt;&gt;"manual",$M225&lt;&gt;1)),ROUND(OFFSET($P225,0,AJ$13),15-13*ORÇAMENTO!$AF$7)/$H225*OFFSET(ORÇAMENTO!$X$15,ROW(AJ225)-ROW(AJ$15),0),0)</f>
        <v>0</v>
      </c>
      <c r="AK225" s="632">
        <f ca="1">IF(AND($D225="Serviço",AK$12&lt;&gt;0,$H225&gt;0,OR(AUTOEVENTO&lt;&gt;"manual",$M225&lt;&gt;1)),ROUND(OFFSET($P225,0,AK$13),15-13*ORÇAMENTO!$AF$7)/$H225*OFFSET(ORÇAMENTO!$X$15,ROW(AK225)-ROW(AK$15),0),0)</f>
        <v>0</v>
      </c>
      <c r="AL225" s="632">
        <f ca="1">IF(AND($D225="Serviço",AL$12&lt;&gt;0,$H225&gt;0,OR(AUTOEVENTO&lt;&gt;"manual",$M225&lt;&gt;1)),ROUND(OFFSET($P225,0,AL$13),15-13*ORÇAMENTO!$AF$7)/$H225*OFFSET(ORÇAMENTO!$X$15,ROW(AL225)-ROW(AL$15),0),0)</f>
        <v>0</v>
      </c>
      <c r="AM225" s="632">
        <f ca="1">IF(AND($D225="Serviço",AM$12&lt;&gt;0,$H225&gt;0,OR(AUTOEVENTO&lt;&gt;"manual",$M225&lt;&gt;1)),ROUND(OFFSET($P225,0,AM$13),15-13*ORÇAMENTO!$AF$7)/$H225*OFFSET(ORÇAMENTO!$X$15,ROW(AM225)-ROW(AM$15),0),0)</f>
        <v>0</v>
      </c>
      <c r="AN225" s="632">
        <f ca="1">IF(AND($D225="Serviço",AN$12&lt;&gt;0,$H225&gt;0,OR(AUTOEVENTO&lt;&gt;"manual",$M225&lt;&gt;1)),ROUND(OFFSET($P225,0,AN$13),15-13*ORÇAMENTO!$AF$7)/$H225*OFFSET(ORÇAMENTO!$X$15,ROW(AN225)-ROW(AN$15),0),0)</f>
        <v>0</v>
      </c>
      <c r="AO225" s="632">
        <f ca="1">IF(AND($D225="Serviço",AO$12&lt;&gt;0,$H225&gt;0,OR(AUTOEVENTO&lt;&gt;"manual",$M225&lt;&gt;1)),ROUND(OFFSET($P225,0,AO$13),15-13*ORÇAMENTO!$AF$7)/$H225*OFFSET(ORÇAMENTO!$X$15,ROW(AO225)-ROW(AO$15),0),0)</f>
        <v>0</v>
      </c>
      <c r="AP225" s="632">
        <f ca="1">IF(AND($D225="Serviço",AP$12&lt;&gt;0,$H225&gt;0,OR(AUTOEVENTO&lt;&gt;"manual",$M225&lt;&gt;1)),ROUND(OFFSET($P225,0,AP$13),15-13*ORÇAMENTO!$AF$7)/$H225*OFFSET(ORÇAMENTO!$X$15,ROW(AP225)-ROW(AP$15),0),0)</f>
        <v>0</v>
      </c>
      <c r="AQ225" s="632">
        <f ca="1">IF(AND($D225="Serviço",AQ$12&lt;&gt;0,$H225&gt;0,OR(AUTOEVENTO&lt;&gt;"manual",$M225&lt;&gt;1)),ROUND(OFFSET($P225,0,AQ$13),15-13*ORÇAMENTO!$AF$7)/$H225*OFFSET(ORÇAMENTO!$X$15,ROW(AQ225)-ROW(AQ$15),0),0)</f>
        <v>0</v>
      </c>
      <c r="AR225" s="632">
        <f ca="1">IF(AND($D225="Serviço",AR$12&lt;&gt;0,$H225&gt;0,OR(AUTOEVENTO&lt;&gt;"manual",$M225&lt;&gt;1)),ROUND(OFFSET($P225,0,AR$13),15-13*ORÇAMENTO!$AF$7)/$H225*OFFSET(ORÇAMENTO!$X$15,ROW(AR225)-ROW(AR$15),0),0)</f>
        <v>0</v>
      </c>
      <c r="AS225" s="633">
        <f ca="1">IF(AND($D225="Serviço",AS$12&lt;&gt;0,$H225&gt;0,OR(AUTOEVENTO&lt;&gt;"manual",$M225&lt;&gt;1)),ROUND(OFFSET($P225,0,AS$13),15-13*ORÇAMENTO!$AF$7)/$H225*OFFSET(ORÇAMENTO!$X$15,ROW(AS225)-ROW(AS$15),0),0)</f>
        <v>0</v>
      </c>
      <c r="AT225" s="632">
        <f ca="1">IF(AND($D225="Serviço",AT$12&lt;&gt;0,$H225&gt;0,OR(AUTOEVENTO&lt;&gt;"manual",$M225&lt;&gt;1)),ROUND(OFFSET($P225,0,AT$13),15-13*ORÇAMENTO!$AF$7)/$H225*OFFSET(ORÇAMENTO!$X$15,ROW(AT225)-ROW(AT$15),0),0)</f>
        <v>0</v>
      </c>
      <c r="AU225" s="632">
        <f ca="1">IF(AND($D225="Serviço",AU$12&lt;&gt;0,$H225&gt;0,OR(AUTOEVENTO&lt;&gt;"manual",$M225&lt;&gt;1)),ROUND(OFFSET($P225,0,AU$13),15-13*ORÇAMENTO!$AF$7)/$H225*OFFSET(ORÇAMENTO!$X$15,ROW(AU225)-ROW(AU$15),0),0)</f>
        <v>0</v>
      </c>
      <c r="AV225" s="632">
        <f ca="1">IF(AND($D225="Serviço",AV$12&lt;&gt;0,$H225&gt;0,OR(AUTOEVENTO&lt;&gt;"manual",$M225&lt;&gt;1)),ROUND(OFFSET($P225,0,AV$13),15-13*ORÇAMENTO!$AF$7)/$H225*OFFSET(ORÇAMENTO!$X$15,ROW(AV225)-ROW(AV$15),0),0)</f>
        <v>0</v>
      </c>
      <c r="AW225" s="632">
        <f ca="1">IF(AND($D225="Serviço",AW$12&lt;&gt;0,$H225&gt;0,OR(AUTOEVENTO&lt;&gt;"manual",$M225&lt;&gt;1)),ROUND(OFFSET($P225,0,AW$13),15-13*ORÇAMENTO!$AF$7)/$H225*OFFSET(ORÇAMENTO!$X$15,ROW(AW225)-ROW(AW$15),0),0)</f>
        <v>0</v>
      </c>
      <c r="AX225" s="632">
        <f ca="1">IF(AND($D225="Serviço",AX$12&lt;&gt;0,$H225&gt;0,OR(AUTOEVENTO&lt;&gt;"manual",$M225&lt;&gt;1)),ROUND(OFFSET($P225,0,AX$13),15-13*ORÇAMENTO!$AF$7)/$H225*OFFSET(ORÇAMENTO!$X$15,ROW(AX225)-ROW(AX$15),0),0)</f>
        <v>0</v>
      </c>
      <c r="AY225" s="632">
        <f ca="1">IF(AND($D225="Serviço",AY$12&lt;&gt;0,$H225&gt;0,OR(AUTOEVENTO&lt;&gt;"manual",$M225&lt;&gt;1)),ROUND(OFFSET($P225,0,AY$13),15-13*ORÇAMENTO!$AF$7)/$H225*OFFSET(ORÇAMENTO!$X$15,ROW(AY225)-ROW(AY$15),0),0)</f>
        <v>0</v>
      </c>
      <c r="AZ225" s="632">
        <f ca="1">IF(AND($D225="Serviço",AZ$12&lt;&gt;0,$H225&gt;0,OR(AUTOEVENTO&lt;&gt;"manual",$M225&lt;&gt;1)),ROUND(OFFSET($P225,0,AZ$13),15-13*ORÇAMENTO!$AF$7)/$H225*OFFSET(ORÇAMENTO!$X$15,ROW(AZ225)-ROW(AZ$15),0),0)</f>
        <v>0</v>
      </c>
      <c r="BA225" s="633">
        <f ca="1">IF(AND($D225="Serviço",BA$12&lt;&gt;0,$H225&gt;0,OR(AUTOEVENTO&lt;&gt;"manual",$M225&lt;&gt;1)),ROUND(OFFSET($P225,0,BA$13),15-13*ORÇAMENTO!$AF$7)/$H225*OFFSET(ORÇAMENTO!$X$15,ROW(BA225)-ROW(BA$15),0),0)</f>
        <v>0</v>
      </c>
      <c r="BC225" s="215">
        <f ca="1">IF($D225&lt;&gt;"Serviço",0,IF(AND(AUTOEVENTO="Manual",$M225=1),0,IF(OFFSET(CRONOPLE!$F$14,$M225,BC$13)="",10^12,OFFSET(CRONOPLE!$F$14,$M225,BC$13))))</f>
        <v>1000000000000</v>
      </c>
      <c r="BD225" s="215">
        <f ca="1">IF($D225&lt;&gt;"Serviço",0,IF(AND(AUTOEVENTO="Manual",$M225=1),0,IF(OFFSET(CRONOPLE!$F$14,$M225,BD$13)="",10^12,OFFSET(CRONOPLE!$F$14,$M225,BD$13))))</f>
        <v>1000000000000</v>
      </c>
      <c r="BE225" s="215">
        <f ca="1">IF($D225&lt;&gt;"Serviço",0,IF(AND(AUTOEVENTO="Manual",$M225=1),0,IF(OFFSET(CRONOPLE!$F$14,$M225,BE$13)="",10^12,OFFSET(CRONOPLE!$F$14,$M225,BE$13))))</f>
        <v>1000000000000</v>
      </c>
      <c r="BF225" s="215">
        <f ca="1">IF($D225&lt;&gt;"Serviço",0,IF(AND(AUTOEVENTO="Manual",$M225=1),0,IF(OFFSET(CRONOPLE!$F$14,$M225,BF$13)="",10^12,OFFSET(CRONOPLE!$F$14,$M225,BF$13))))</f>
        <v>1000000000000</v>
      </c>
      <c r="BG225" s="215">
        <f ca="1">IF($D225&lt;&gt;"Serviço",0,IF(AND(AUTOEVENTO="Manual",$M225=1),0,IF(OFFSET(CRONOPLE!$F$14,$M225,BG$13)="",10^12,OFFSET(CRONOPLE!$F$14,$M225,BG$13))))</f>
        <v>1000000000000</v>
      </c>
      <c r="BH225" s="215">
        <f ca="1">IF($D225&lt;&gt;"Serviço",0,IF(AND(AUTOEVENTO="Manual",$M225=1),0,IF(OFFSET(CRONOPLE!$F$14,$M225,BH$13)="",10^12,OFFSET(CRONOPLE!$F$14,$M225,BH$13))))</f>
        <v>1000000000000</v>
      </c>
      <c r="BI225" s="215">
        <f ca="1">IF($D225&lt;&gt;"Serviço",0,IF(AND(AUTOEVENTO="Manual",$M225=1),0,IF(OFFSET(CRONOPLE!$F$14,$M225,BI$13)="",10^12,OFFSET(CRONOPLE!$F$14,$M225,BI$13))))</f>
        <v>1000000000000</v>
      </c>
      <c r="BJ225" s="215">
        <f ca="1">IF($D225&lt;&gt;"Serviço",0,IF(AND(AUTOEVENTO="Manual",$M225=1),0,IF(OFFSET(CRONOPLE!$F$14,$M225,BJ$13)="",10^12,OFFSET(CRONOPLE!$F$14,$M225,BJ$13))))</f>
        <v>1000000000000</v>
      </c>
      <c r="BK225" s="215">
        <f ca="1">IF($D225&lt;&gt;"Serviço",0,IF(AND(AUTOEVENTO="Manual",$M225=1),0,IF(OFFSET(CRONOPLE!$F$14,$M225,BK$13)="",10^12,OFFSET(CRONOPLE!$F$14,$M225,BK$13))))</f>
        <v>1000000000000</v>
      </c>
      <c r="BL225" s="215">
        <f ca="1">IF($D225&lt;&gt;"Serviço",0,IF(AND(AUTOEVENTO="Manual",$M225=1),0,IF(OFFSET(CRONOPLE!$F$14,$M225,BL$13)="",10^12,OFFSET(CRONOPLE!$F$14,$M225,BL$13))))</f>
        <v>1000000000000</v>
      </c>
      <c r="BM225" s="215">
        <f ca="1">IF($D225&lt;&gt;"Serviço",0,IF(AND(AUTOEVENTO="Manual",$M225=1),0,IF(OFFSET(CRONOPLE!$F$14,$M225,BM$13)="",10^12,OFFSET(CRONOPLE!$F$14,$M225,BM$13))))</f>
        <v>1000000000000</v>
      </c>
      <c r="BN225" s="215">
        <f ca="1">IF($D225&lt;&gt;"Serviço",0,IF(AND(AUTOEVENTO="Manual",$M225=1),0,IF(OFFSET(CRONOPLE!$F$14,$M225,BN$13)="",10^12,OFFSET(CRONOPLE!$F$14,$M225,BN$13))))</f>
        <v>1000000000000</v>
      </c>
      <c r="BO225" s="215">
        <f ca="1">IF($D225&lt;&gt;"Serviço",0,IF(AND(AUTOEVENTO="Manual",$M225=1),0,IF(OFFSET(CRONOPLE!$F$14,$M225,BO$13)="",10^12,OFFSET(CRONOPLE!$F$14,$M225,BO$13))))</f>
        <v>1000000000000</v>
      </c>
      <c r="BP225" s="215">
        <f ca="1">IF($D225&lt;&gt;"Serviço",0,IF(AND(AUTOEVENTO="Manual",$M225=1),0,IF(OFFSET(CRONOPLE!$F$14,$M225,BP$13)="",10^12,OFFSET(CRONOPLE!$F$14,$M225,BP$13))))</f>
        <v>1000000000000</v>
      </c>
      <c r="BQ225" s="215">
        <f ca="1">IF($D225&lt;&gt;"Serviço",0,IF(AND(AUTOEVENTO="Manual",$M225=1),0,IF(OFFSET(CRONOPLE!$F$14,$M225,BQ$13)="",10^12,OFFSET(CRONOPLE!$F$14,$M225,BQ$13))))</f>
        <v>1000000000000</v>
      </c>
      <c r="BR225" s="215">
        <f ca="1">IF($D225&lt;&gt;"Serviço",0,IF(AND(AUTOEVENTO="Manual",$M225=1),0,IF(OFFSET(CRONOPLE!$F$14,$M225,BR$13)="",10^12,OFFSET(CRONOPLE!$F$14,$M225,BR$13))))</f>
        <v>1000000000000</v>
      </c>
      <c r="BS225" s="215">
        <f ca="1">IF($D225&lt;&gt;"Serviço",0,IF(AND(AUTOEVENTO="Manual",$M225=1),0,IF(OFFSET(CRONOPLE!$F$14,$M225,BS$13)="",10^12,OFFSET(CRONOPLE!$F$14,$M225,BS$13))))</f>
        <v>1000000000000</v>
      </c>
      <c r="BT225" s="215">
        <f ca="1">IF($D225&lt;&gt;"Serviço",0,IF(AND(AUTOEVENTO="Manual",$M225=1),0,IF(OFFSET(CRONOPLE!$F$14,$M225,BT$13)="",10^12,OFFSET(CRONOPLE!$F$14,$M225,BT$13))))</f>
        <v>1000000000000</v>
      </c>
      <c r="BV225" s="216">
        <f ca="1">IF($D225&lt;&gt;"Serviço",0,IF(OR(AND(AUTOEVENTO="Manual",$M225=1),$M225&gt;(ROW(PLE.lastrow)-ROW(PLE.firstrow))),0,IF(OFFSET(PLE!$G$14,$M225,BV$13)="",10^12,OFFSET(PLE!$G$14,$M225,BV$13))))</f>
        <v>1000000000000</v>
      </c>
      <c r="BW225" s="216">
        <f ca="1">IF($D225&lt;&gt;"Serviço",0,IF(OR(AND(AUTOEVENTO="Manual",$M225=1),$M225&gt;(ROW(PLE.lastrow)-ROW(PLE.firstrow))),0,IF(OFFSET(PLE!$G$14,$M225,BW$13)="",10^12,OFFSET(PLE!$G$14,$M225,BW$13))))</f>
        <v>1000000000000</v>
      </c>
      <c r="BX225" s="216">
        <f ca="1">IF($D225&lt;&gt;"Serviço",0,IF(OR(AND(AUTOEVENTO="Manual",$M225=1),$M225&gt;(ROW(PLE.lastrow)-ROW(PLE.firstrow))),0,IF(OFFSET(PLE!$G$14,$M225,BX$13)="",10^12,OFFSET(PLE!$G$14,$M225,BX$13))))</f>
        <v>1000000000000</v>
      </c>
      <c r="BY225" s="216">
        <f ca="1">IF($D225&lt;&gt;"Serviço",0,IF(OR(AND(AUTOEVENTO="Manual",$M225=1),$M225&gt;(ROW(PLE.lastrow)-ROW(PLE.firstrow))),0,IF(OFFSET(PLE!$G$14,$M225,BY$13)="",10^12,OFFSET(PLE!$G$14,$M225,BY$13))))</f>
        <v>1000000000000</v>
      </c>
      <c r="BZ225" s="216">
        <f ca="1">IF($D225&lt;&gt;"Serviço",0,IF(OR(AND(AUTOEVENTO="Manual",$M225=1),$M225&gt;(ROW(PLE.lastrow)-ROW(PLE.firstrow))),0,IF(OFFSET(PLE!$G$14,$M225,BZ$13)="",10^12,OFFSET(PLE!$G$14,$M225,BZ$13))))</f>
        <v>1000000000000</v>
      </c>
      <c r="CA225" s="216">
        <f ca="1">IF($D225&lt;&gt;"Serviço",0,IF(OR(AND(AUTOEVENTO="Manual",$M225=1),$M225&gt;(ROW(PLE.lastrow)-ROW(PLE.firstrow))),0,IF(OFFSET(PLE!$G$14,$M225,CA$13)="",10^12,OFFSET(PLE!$G$14,$M225,CA$13))))</f>
        <v>1000000000000</v>
      </c>
      <c r="CB225" s="216">
        <f ca="1">IF($D225&lt;&gt;"Serviço",0,IF(OR(AND(AUTOEVENTO="Manual",$M225=1),$M225&gt;(ROW(PLE.lastrow)-ROW(PLE.firstrow))),0,IF(OFFSET(PLE!$G$14,$M225,CB$13)="",10^12,OFFSET(PLE!$G$14,$M225,CB$13))))</f>
        <v>1000000000000</v>
      </c>
      <c r="CC225" s="216">
        <f ca="1">IF($D225&lt;&gt;"Serviço",0,IF(OR(AND(AUTOEVENTO="Manual",$M225=1),$M225&gt;(ROW(PLE.lastrow)-ROW(PLE.firstrow))),0,IF(OFFSET(PLE!$G$14,$M225,CC$13)="",10^12,OFFSET(PLE!$G$14,$M225,CC$13))))</f>
        <v>1000000000000</v>
      </c>
      <c r="CD225" s="216">
        <f ca="1">IF($D225&lt;&gt;"Serviço",0,IF(OR(AND(AUTOEVENTO="Manual",$M225=1),$M225&gt;(ROW(PLE.lastrow)-ROW(PLE.firstrow))),0,IF(OFFSET(PLE!$G$14,$M225,CD$13)="",10^12,OFFSET(PLE!$G$14,$M225,CD$13))))</f>
        <v>1000000000000</v>
      </c>
      <c r="CE225" s="216">
        <f ca="1">IF($D225&lt;&gt;"Serviço",0,IF(OR(AND(AUTOEVENTO="Manual",$M225=1),$M225&gt;(ROW(PLE.lastrow)-ROW(PLE.firstrow))),0,IF(OFFSET(PLE!$G$14,$M225,CE$13)="",10^12,OFFSET(PLE!$G$14,$M225,CE$13))))</f>
        <v>1000000000000</v>
      </c>
      <c r="CF225" s="216">
        <f ca="1">IF($D225&lt;&gt;"Serviço",0,IF(OR(AND(AUTOEVENTO="Manual",$M225=1),$M225&gt;(ROW(PLE.lastrow)-ROW(PLE.firstrow))),0,IF(OFFSET(PLE!$G$14,$M225,CF$13)="",10^12,OFFSET(PLE!$G$14,$M225,CF$13))))</f>
        <v>1000000000000</v>
      </c>
      <c r="CG225" s="216">
        <f ca="1">IF($D225&lt;&gt;"Serviço",0,IF(OR(AND(AUTOEVENTO="Manual",$M225=1),$M225&gt;(ROW(PLE.lastrow)-ROW(PLE.firstrow))),0,IF(OFFSET(PLE!$G$14,$M225,CG$13)="",10^12,OFFSET(PLE!$G$14,$M225,CG$13))))</f>
        <v>1000000000000</v>
      </c>
      <c r="CH225" s="216">
        <f ca="1">IF($D225&lt;&gt;"Serviço",0,IF(OR(AND(AUTOEVENTO="Manual",$M225=1),$M225&gt;(ROW(PLE.lastrow)-ROW(PLE.firstrow))),0,IF(OFFSET(PLE!$G$14,$M225,CH$13)="",10^12,OFFSET(PLE!$G$14,$M225,CH$13))))</f>
        <v>1000000000000</v>
      </c>
      <c r="CI225" s="216">
        <f ca="1">IF($D225&lt;&gt;"Serviço",0,IF(OR(AND(AUTOEVENTO="Manual",$M225=1),$M225&gt;(ROW(PLE.lastrow)-ROW(PLE.firstrow))),0,IF(OFFSET(PLE!$G$14,$M225,CI$13)="",10^12,OFFSET(PLE!$G$14,$M225,CI$13))))</f>
        <v>1000000000000</v>
      </c>
      <c r="CJ225" s="216">
        <f ca="1">IF($D225&lt;&gt;"Serviço",0,IF(OR(AND(AUTOEVENTO="Manual",$M225=1),$M225&gt;(ROW(PLE.lastrow)-ROW(PLE.firstrow))),0,IF(OFFSET(PLE!$G$14,$M225,CJ$13)="",10^12,OFFSET(PLE!$G$14,$M225,CJ$13))))</f>
        <v>1000000000000</v>
      </c>
      <c r="CK225" s="216">
        <f ca="1">IF($D225&lt;&gt;"Serviço",0,IF(OR(AND(AUTOEVENTO="Manual",$M225=1),$M225&gt;(ROW(PLE.lastrow)-ROW(PLE.firstrow))),0,IF(OFFSET(PLE!$G$14,$M225,CK$13)="",10^12,OFFSET(PLE!$G$14,$M225,CK$13))))</f>
        <v>1000000000000</v>
      </c>
      <c r="CL225" s="216">
        <f ca="1">IF($D225&lt;&gt;"Serviço",0,IF(OR(AND(AUTOEVENTO="Manual",$M225=1),$M225&gt;(ROW(PLE.lastrow)-ROW(PLE.firstrow))),0,IF(OFFSET(PLE!$G$14,$M225,CL$13)="",10^12,OFFSET(PLE!$G$14,$M225,CL$13))))</f>
        <v>1000000000000</v>
      </c>
      <c r="CM225" s="216">
        <f ca="1">IF($D225&lt;&gt;"Serviço",0,IF(OR(AND(AUTOEVENTO="Manual",$M225=1),$M225&gt;(ROW(PLE.lastrow)-ROW(PLE.firstrow))),0,IF(OFFSET(PLE!$G$14,$M225,CM$13)="",10^12,OFFSET(PLE!$G$14,$M225,CM$13))))</f>
        <v>1000000000000</v>
      </c>
    </row>
    <row r="226" spans="1:91" ht="13.2" x14ac:dyDescent="0.25">
      <c r="A226" s="9">
        <f t="shared" ca="1" si="12"/>
        <v>0</v>
      </c>
      <c r="B226" s="9" t="str">
        <f ca="1">OFFSET(ORÇAMENTO!C$15,ROW(B226)-ROW(B$15),0)</f>
        <v>S</v>
      </c>
      <c r="C226" s="9" t="str">
        <f ca="1">OFFSET(ORÇAMENTO!L$15,ROW(C226)-ROW(C$15),0)</f>
        <v/>
      </c>
      <c r="D226" s="145" t="str">
        <f ca="1">OFFSET(ORÇAMENTO!N$15,ROW(D226)-ROW(D$15),0)</f>
        <v>Serviço</v>
      </c>
      <c r="E226" s="205" t="str">
        <f ca="1">OFFSET(ORÇAMENTO!O$15,ROW(E226)-ROW(E$15),0)</f>
        <v>-</v>
      </c>
      <c r="F226" s="206" t="str">
        <f ca="1">OFFSET(ORÇAMENTO!R$15,ROW(F226)-ROW(F$15),0)</f>
        <v>(abra o arquivo 'Referência 05-2024.xls)</v>
      </c>
      <c r="G226" s="207" t="str">
        <f ca="1">IF($D226&lt;&gt;"Serviço","",OFFSET(ORÇAMENTO!S$15,ROW(G226)-ROW(G$15),0))</f>
        <v>-</v>
      </c>
      <c r="H226" s="151">
        <f ca="1">IF($D226&lt;&gt;"Serviço",0,IF(ACOMPANHAMENTO="BM",ROUND(OFFSET(ORÇAMENTO!AJ$15,ROW(H226)-ROW(H$15),0),15-13*ORÇAMENTO!$AF$7),SUMPRODUCT(($Q$12:$AI$12&lt;&gt;"")*ROUND($Q226:$AI226,15-13*ORÇAMENTO!$AF$7))))</f>
        <v>20.9</v>
      </c>
      <c r="I226" s="650"/>
      <c r="K226" s="208"/>
      <c r="L226" s="209" t="s">
        <v>257</v>
      </c>
      <c r="M226" s="210">
        <f ca="1">IF($D226&lt;&gt;"Serviço","",IF(AUTOEVENTO="manual",$A226,IF(ISERROR(MATCH($A226,$A$15:OFFSET($A226,-1,0),0)),MAX($M$15:OFFSET(M226,-1,0))+1,INDEX($M$15:OFFSET(M226,-1,0),MATCH($A226,$A$15:OFFSET($A226,-1,0),0)))))</f>
        <v>0</v>
      </c>
      <c r="N226" s="211" t="str">
        <f ca="1">IF($D226&lt;&gt;"Serviço","",IF(AUTOEVENTO="Manual",IF($A226=0,"&lt;-- defina o número do agrupador",OFFSET(EVENTOS!$D$14,$A226,0)),OFFSET($F$15,$A226,0)))</f>
        <v>&lt;-- defina o número do agrupador</v>
      </c>
      <c r="O226" s="212"/>
      <c r="Q226" s="212"/>
      <c r="R226" s="213"/>
      <c r="S226" s="213"/>
      <c r="T226" s="213"/>
      <c r="U226" s="213"/>
      <c r="V226" s="213"/>
      <c r="W226" s="213"/>
      <c r="X226" s="213"/>
      <c r="Y226" s="213"/>
      <c r="Z226" s="214"/>
      <c r="AA226" s="213"/>
      <c r="AB226" s="213"/>
      <c r="AC226" s="213"/>
      <c r="AD226" s="213"/>
      <c r="AE226" s="213"/>
      <c r="AF226" s="213"/>
      <c r="AG226" s="213"/>
      <c r="AH226" s="214"/>
      <c r="AJ226" s="631">
        <f ca="1">IF(AND($D226="Serviço",AJ$12&lt;&gt;0,$H226&gt;0,OR(AUTOEVENTO&lt;&gt;"manual",$M226&lt;&gt;1)),ROUND(OFFSET($P226,0,AJ$13),15-13*ORÇAMENTO!$AF$7)/$H226*OFFSET(ORÇAMENTO!$X$15,ROW(AJ226)-ROW(AJ$15),0),0)</f>
        <v>0</v>
      </c>
      <c r="AK226" s="632">
        <f ca="1">IF(AND($D226="Serviço",AK$12&lt;&gt;0,$H226&gt;0,OR(AUTOEVENTO&lt;&gt;"manual",$M226&lt;&gt;1)),ROUND(OFFSET($P226,0,AK$13),15-13*ORÇAMENTO!$AF$7)/$H226*OFFSET(ORÇAMENTO!$X$15,ROW(AK226)-ROW(AK$15),0),0)</f>
        <v>0</v>
      </c>
      <c r="AL226" s="632">
        <f ca="1">IF(AND($D226="Serviço",AL$12&lt;&gt;0,$H226&gt;0,OR(AUTOEVENTO&lt;&gt;"manual",$M226&lt;&gt;1)),ROUND(OFFSET($P226,0,AL$13),15-13*ORÇAMENTO!$AF$7)/$H226*OFFSET(ORÇAMENTO!$X$15,ROW(AL226)-ROW(AL$15),0),0)</f>
        <v>0</v>
      </c>
      <c r="AM226" s="632">
        <f ca="1">IF(AND($D226="Serviço",AM$12&lt;&gt;0,$H226&gt;0,OR(AUTOEVENTO&lt;&gt;"manual",$M226&lt;&gt;1)),ROUND(OFFSET($P226,0,AM$13),15-13*ORÇAMENTO!$AF$7)/$H226*OFFSET(ORÇAMENTO!$X$15,ROW(AM226)-ROW(AM$15),0),0)</f>
        <v>0</v>
      </c>
      <c r="AN226" s="632">
        <f ca="1">IF(AND($D226="Serviço",AN$12&lt;&gt;0,$H226&gt;0,OR(AUTOEVENTO&lt;&gt;"manual",$M226&lt;&gt;1)),ROUND(OFFSET($P226,0,AN$13),15-13*ORÇAMENTO!$AF$7)/$H226*OFFSET(ORÇAMENTO!$X$15,ROW(AN226)-ROW(AN$15),0),0)</f>
        <v>0</v>
      </c>
      <c r="AO226" s="632">
        <f ca="1">IF(AND($D226="Serviço",AO$12&lt;&gt;0,$H226&gt;0,OR(AUTOEVENTO&lt;&gt;"manual",$M226&lt;&gt;1)),ROUND(OFFSET($P226,0,AO$13),15-13*ORÇAMENTO!$AF$7)/$H226*OFFSET(ORÇAMENTO!$X$15,ROW(AO226)-ROW(AO$15),0),0)</f>
        <v>0</v>
      </c>
      <c r="AP226" s="632">
        <f ca="1">IF(AND($D226="Serviço",AP$12&lt;&gt;0,$H226&gt;0,OR(AUTOEVENTO&lt;&gt;"manual",$M226&lt;&gt;1)),ROUND(OFFSET($P226,0,AP$13),15-13*ORÇAMENTO!$AF$7)/$H226*OFFSET(ORÇAMENTO!$X$15,ROW(AP226)-ROW(AP$15),0),0)</f>
        <v>0</v>
      </c>
      <c r="AQ226" s="632">
        <f ca="1">IF(AND($D226="Serviço",AQ$12&lt;&gt;0,$H226&gt;0,OR(AUTOEVENTO&lt;&gt;"manual",$M226&lt;&gt;1)),ROUND(OFFSET($P226,0,AQ$13),15-13*ORÇAMENTO!$AF$7)/$H226*OFFSET(ORÇAMENTO!$X$15,ROW(AQ226)-ROW(AQ$15),0),0)</f>
        <v>0</v>
      </c>
      <c r="AR226" s="632">
        <f ca="1">IF(AND($D226="Serviço",AR$12&lt;&gt;0,$H226&gt;0,OR(AUTOEVENTO&lt;&gt;"manual",$M226&lt;&gt;1)),ROUND(OFFSET($P226,0,AR$13),15-13*ORÇAMENTO!$AF$7)/$H226*OFFSET(ORÇAMENTO!$X$15,ROW(AR226)-ROW(AR$15),0),0)</f>
        <v>0</v>
      </c>
      <c r="AS226" s="633">
        <f ca="1">IF(AND($D226="Serviço",AS$12&lt;&gt;0,$H226&gt;0,OR(AUTOEVENTO&lt;&gt;"manual",$M226&lt;&gt;1)),ROUND(OFFSET($P226,0,AS$13),15-13*ORÇAMENTO!$AF$7)/$H226*OFFSET(ORÇAMENTO!$X$15,ROW(AS226)-ROW(AS$15),0),0)</f>
        <v>0</v>
      </c>
      <c r="AT226" s="632">
        <f ca="1">IF(AND($D226="Serviço",AT$12&lt;&gt;0,$H226&gt;0,OR(AUTOEVENTO&lt;&gt;"manual",$M226&lt;&gt;1)),ROUND(OFFSET($P226,0,AT$13),15-13*ORÇAMENTO!$AF$7)/$H226*OFFSET(ORÇAMENTO!$X$15,ROW(AT226)-ROW(AT$15),0),0)</f>
        <v>0</v>
      </c>
      <c r="AU226" s="632">
        <f ca="1">IF(AND($D226="Serviço",AU$12&lt;&gt;0,$H226&gt;0,OR(AUTOEVENTO&lt;&gt;"manual",$M226&lt;&gt;1)),ROUND(OFFSET($P226,0,AU$13),15-13*ORÇAMENTO!$AF$7)/$H226*OFFSET(ORÇAMENTO!$X$15,ROW(AU226)-ROW(AU$15),0),0)</f>
        <v>0</v>
      </c>
      <c r="AV226" s="632">
        <f ca="1">IF(AND($D226="Serviço",AV$12&lt;&gt;0,$H226&gt;0,OR(AUTOEVENTO&lt;&gt;"manual",$M226&lt;&gt;1)),ROUND(OFFSET($P226,0,AV$13),15-13*ORÇAMENTO!$AF$7)/$H226*OFFSET(ORÇAMENTO!$X$15,ROW(AV226)-ROW(AV$15),0),0)</f>
        <v>0</v>
      </c>
      <c r="AW226" s="632">
        <f ca="1">IF(AND($D226="Serviço",AW$12&lt;&gt;0,$H226&gt;0,OR(AUTOEVENTO&lt;&gt;"manual",$M226&lt;&gt;1)),ROUND(OFFSET($P226,0,AW$13),15-13*ORÇAMENTO!$AF$7)/$H226*OFFSET(ORÇAMENTO!$X$15,ROW(AW226)-ROW(AW$15),0),0)</f>
        <v>0</v>
      </c>
      <c r="AX226" s="632">
        <f ca="1">IF(AND($D226="Serviço",AX$12&lt;&gt;0,$H226&gt;0,OR(AUTOEVENTO&lt;&gt;"manual",$M226&lt;&gt;1)),ROUND(OFFSET($P226,0,AX$13),15-13*ORÇAMENTO!$AF$7)/$H226*OFFSET(ORÇAMENTO!$X$15,ROW(AX226)-ROW(AX$15),0),0)</f>
        <v>0</v>
      </c>
      <c r="AY226" s="632">
        <f ca="1">IF(AND($D226="Serviço",AY$12&lt;&gt;0,$H226&gt;0,OR(AUTOEVENTO&lt;&gt;"manual",$M226&lt;&gt;1)),ROUND(OFFSET($P226,0,AY$13),15-13*ORÇAMENTO!$AF$7)/$H226*OFFSET(ORÇAMENTO!$X$15,ROW(AY226)-ROW(AY$15),0),0)</f>
        <v>0</v>
      </c>
      <c r="AZ226" s="632">
        <f ca="1">IF(AND($D226="Serviço",AZ$12&lt;&gt;0,$H226&gt;0,OR(AUTOEVENTO&lt;&gt;"manual",$M226&lt;&gt;1)),ROUND(OFFSET($P226,0,AZ$13),15-13*ORÇAMENTO!$AF$7)/$H226*OFFSET(ORÇAMENTO!$X$15,ROW(AZ226)-ROW(AZ$15),0),0)</f>
        <v>0</v>
      </c>
      <c r="BA226" s="633">
        <f ca="1">IF(AND($D226="Serviço",BA$12&lt;&gt;0,$H226&gt;0,OR(AUTOEVENTO&lt;&gt;"manual",$M226&lt;&gt;1)),ROUND(OFFSET($P226,0,BA$13),15-13*ORÇAMENTO!$AF$7)/$H226*OFFSET(ORÇAMENTO!$X$15,ROW(BA226)-ROW(BA$15),0),0)</f>
        <v>0</v>
      </c>
      <c r="BC226" s="215">
        <f ca="1">IF($D226&lt;&gt;"Serviço",0,IF(AND(AUTOEVENTO="Manual",$M226=1),0,IF(OFFSET(CRONOPLE!$F$14,$M226,BC$13)="",10^12,OFFSET(CRONOPLE!$F$14,$M226,BC$13))))</f>
        <v>1000000000000</v>
      </c>
      <c r="BD226" s="215">
        <f ca="1">IF($D226&lt;&gt;"Serviço",0,IF(AND(AUTOEVENTO="Manual",$M226=1),0,IF(OFFSET(CRONOPLE!$F$14,$M226,BD$13)="",10^12,OFFSET(CRONOPLE!$F$14,$M226,BD$13))))</f>
        <v>1000000000000</v>
      </c>
      <c r="BE226" s="215">
        <f ca="1">IF($D226&lt;&gt;"Serviço",0,IF(AND(AUTOEVENTO="Manual",$M226=1),0,IF(OFFSET(CRONOPLE!$F$14,$M226,BE$13)="",10^12,OFFSET(CRONOPLE!$F$14,$M226,BE$13))))</f>
        <v>1000000000000</v>
      </c>
      <c r="BF226" s="215">
        <f ca="1">IF($D226&lt;&gt;"Serviço",0,IF(AND(AUTOEVENTO="Manual",$M226=1),0,IF(OFFSET(CRONOPLE!$F$14,$M226,BF$13)="",10^12,OFFSET(CRONOPLE!$F$14,$M226,BF$13))))</f>
        <v>1000000000000</v>
      </c>
      <c r="BG226" s="215">
        <f ca="1">IF($D226&lt;&gt;"Serviço",0,IF(AND(AUTOEVENTO="Manual",$M226=1),0,IF(OFFSET(CRONOPLE!$F$14,$M226,BG$13)="",10^12,OFFSET(CRONOPLE!$F$14,$M226,BG$13))))</f>
        <v>1000000000000</v>
      </c>
      <c r="BH226" s="215">
        <f ca="1">IF($D226&lt;&gt;"Serviço",0,IF(AND(AUTOEVENTO="Manual",$M226=1),0,IF(OFFSET(CRONOPLE!$F$14,$M226,BH$13)="",10^12,OFFSET(CRONOPLE!$F$14,$M226,BH$13))))</f>
        <v>1000000000000</v>
      </c>
      <c r="BI226" s="215">
        <f ca="1">IF($D226&lt;&gt;"Serviço",0,IF(AND(AUTOEVENTO="Manual",$M226=1),0,IF(OFFSET(CRONOPLE!$F$14,$M226,BI$13)="",10^12,OFFSET(CRONOPLE!$F$14,$M226,BI$13))))</f>
        <v>1000000000000</v>
      </c>
      <c r="BJ226" s="215">
        <f ca="1">IF($D226&lt;&gt;"Serviço",0,IF(AND(AUTOEVENTO="Manual",$M226=1),0,IF(OFFSET(CRONOPLE!$F$14,$M226,BJ$13)="",10^12,OFFSET(CRONOPLE!$F$14,$M226,BJ$13))))</f>
        <v>1000000000000</v>
      </c>
      <c r="BK226" s="215">
        <f ca="1">IF($D226&lt;&gt;"Serviço",0,IF(AND(AUTOEVENTO="Manual",$M226=1),0,IF(OFFSET(CRONOPLE!$F$14,$M226,BK$13)="",10^12,OFFSET(CRONOPLE!$F$14,$M226,BK$13))))</f>
        <v>1000000000000</v>
      </c>
      <c r="BL226" s="215">
        <f ca="1">IF($D226&lt;&gt;"Serviço",0,IF(AND(AUTOEVENTO="Manual",$M226=1),0,IF(OFFSET(CRONOPLE!$F$14,$M226,BL$13)="",10^12,OFFSET(CRONOPLE!$F$14,$M226,BL$13))))</f>
        <v>1000000000000</v>
      </c>
      <c r="BM226" s="215">
        <f ca="1">IF($D226&lt;&gt;"Serviço",0,IF(AND(AUTOEVENTO="Manual",$M226=1),0,IF(OFFSET(CRONOPLE!$F$14,$M226,BM$13)="",10^12,OFFSET(CRONOPLE!$F$14,$M226,BM$13))))</f>
        <v>1000000000000</v>
      </c>
      <c r="BN226" s="215">
        <f ca="1">IF($D226&lt;&gt;"Serviço",0,IF(AND(AUTOEVENTO="Manual",$M226=1),0,IF(OFFSET(CRONOPLE!$F$14,$M226,BN$13)="",10^12,OFFSET(CRONOPLE!$F$14,$M226,BN$13))))</f>
        <v>1000000000000</v>
      </c>
      <c r="BO226" s="215">
        <f ca="1">IF($D226&lt;&gt;"Serviço",0,IF(AND(AUTOEVENTO="Manual",$M226=1),0,IF(OFFSET(CRONOPLE!$F$14,$M226,BO$13)="",10^12,OFFSET(CRONOPLE!$F$14,$M226,BO$13))))</f>
        <v>1000000000000</v>
      </c>
      <c r="BP226" s="215">
        <f ca="1">IF($D226&lt;&gt;"Serviço",0,IF(AND(AUTOEVENTO="Manual",$M226=1),0,IF(OFFSET(CRONOPLE!$F$14,$M226,BP$13)="",10^12,OFFSET(CRONOPLE!$F$14,$M226,BP$13))))</f>
        <v>1000000000000</v>
      </c>
      <c r="BQ226" s="215">
        <f ca="1">IF($D226&lt;&gt;"Serviço",0,IF(AND(AUTOEVENTO="Manual",$M226=1),0,IF(OFFSET(CRONOPLE!$F$14,$M226,BQ$13)="",10^12,OFFSET(CRONOPLE!$F$14,$M226,BQ$13))))</f>
        <v>1000000000000</v>
      </c>
      <c r="BR226" s="215">
        <f ca="1">IF($D226&lt;&gt;"Serviço",0,IF(AND(AUTOEVENTO="Manual",$M226=1),0,IF(OFFSET(CRONOPLE!$F$14,$M226,BR$13)="",10^12,OFFSET(CRONOPLE!$F$14,$M226,BR$13))))</f>
        <v>1000000000000</v>
      </c>
      <c r="BS226" s="215">
        <f ca="1">IF($D226&lt;&gt;"Serviço",0,IF(AND(AUTOEVENTO="Manual",$M226=1),0,IF(OFFSET(CRONOPLE!$F$14,$M226,BS$13)="",10^12,OFFSET(CRONOPLE!$F$14,$M226,BS$13))))</f>
        <v>1000000000000</v>
      </c>
      <c r="BT226" s="215">
        <f ca="1">IF($D226&lt;&gt;"Serviço",0,IF(AND(AUTOEVENTO="Manual",$M226=1),0,IF(OFFSET(CRONOPLE!$F$14,$M226,BT$13)="",10^12,OFFSET(CRONOPLE!$F$14,$M226,BT$13))))</f>
        <v>1000000000000</v>
      </c>
      <c r="BV226" s="216">
        <f ca="1">IF($D226&lt;&gt;"Serviço",0,IF(OR(AND(AUTOEVENTO="Manual",$M226=1),$M226&gt;(ROW(PLE.lastrow)-ROW(PLE.firstrow))),0,IF(OFFSET(PLE!$G$14,$M226,BV$13)="",10^12,OFFSET(PLE!$G$14,$M226,BV$13))))</f>
        <v>1000000000000</v>
      </c>
      <c r="BW226" s="216">
        <f ca="1">IF($D226&lt;&gt;"Serviço",0,IF(OR(AND(AUTOEVENTO="Manual",$M226=1),$M226&gt;(ROW(PLE.lastrow)-ROW(PLE.firstrow))),0,IF(OFFSET(PLE!$G$14,$M226,BW$13)="",10^12,OFFSET(PLE!$G$14,$M226,BW$13))))</f>
        <v>1000000000000</v>
      </c>
      <c r="BX226" s="216">
        <f ca="1">IF($D226&lt;&gt;"Serviço",0,IF(OR(AND(AUTOEVENTO="Manual",$M226=1),$M226&gt;(ROW(PLE.lastrow)-ROW(PLE.firstrow))),0,IF(OFFSET(PLE!$G$14,$M226,BX$13)="",10^12,OFFSET(PLE!$G$14,$M226,BX$13))))</f>
        <v>1000000000000</v>
      </c>
      <c r="BY226" s="216">
        <f ca="1">IF($D226&lt;&gt;"Serviço",0,IF(OR(AND(AUTOEVENTO="Manual",$M226=1),$M226&gt;(ROW(PLE.lastrow)-ROW(PLE.firstrow))),0,IF(OFFSET(PLE!$G$14,$M226,BY$13)="",10^12,OFFSET(PLE!$G$14,$M226,BY$13))))</f>
        <v>1000000000000</v>
      </c>
      <c r="BZ226" s="216">
        <f ca="1">IF($D226&lt;&gt;"Serviço",0,IF(OR(AND(AUTOEVENTO="Manual",$M226=1),$M226&gt;(ROW(PLE.lastrow)-ROW(PLE.firstrow))),0,IF(OFFSET(PLE!$G$14,$M226,BZ$13)="",10^12,OFFSET(PLE!$G$14,$M226,BZ$13))))</f>
        <v>1000000000000</v>
      </c>
      <c r="CA226" s="216">
        <f ca="1">IF($D226&lt;&gt;"Serviço",0,IF(OR(AND(AUTOEVENTO="Manual",$M226=1),$M226&gt;(ROW(PLE.lastrow)-ROW(PLE.firstrow))),0,IF(OFFSET(PLE!$G$14,$M226,CA$13)="",10^12,OFFSET(PLE!$G$14,$M226,CA$13))))</f>
        <v>1000000000000</v>
      </c>
      <c r="CB226" s="216">
        <f ca="1">IF($D226&lt;&gt;"Serviço",0,IF(OR(AND(AUTOEVENTO="Manual",$M226=1),$M226&gt;(ROW(PLE.lastrow)-ROW(PLE.firstrow))),0,IF(OFFSET(PLE!$G$14,$M226,CB$13)="",10^12,OFFSET(PLE!$G$14,$M226,CB$13))))</f>
        <v>1000000000000</v>
      </c>
      <c r="CC226" s="216">
        <f ca="1">IF($D226&lt;&gt;"Serviço",0,IF(OR(AND(AUTOEVENTO="Manual",$M226=1),$M226&gt;(ROW(PLE.lastrow)-ROW(PLE.firstrow))),0,IF(OFFSET(PLE!$G$14,$M226,CC$13)="",10^12,OFFSET(PLE!$G$14,$M226,CC$13))))</f>
        <v>1000000000000</v>
      </c>
      <c r="CD226" s="216">
        <f ca="1">IF($D226&lt;&gt;"Serviço",0,IF(OR(AND(AUTOEVENTO="Manual",$M226=1),$M226&gt;(ROW(PLE.lastrow)-ROW(PLE.firstrow))),0,IF(OFFSET(PLE!$G$14,$M226,CD$13)="",10^12,OFFSET(PLE!$G$14,$M226,CD$13))))</f>
        <v>1000000000000</v>
      </c>
      <c r="CE226" s="216">
        <f ca="1">IF($D226&lt;&gt;"Serviço",0,IF(OR(AND(AUTOEVENTO="Manual",$M226=1),$M226&gt;(ROW(PLE.lastrow)-ROW(PLE.firstrow))),0,IF(OFFSET(PLE!$G$14,$M226,CE$13)="",10^12,OFFSET(PLE!$G$14,$M226,CE$13))))</f>
        <v>1000000000000</v>
      </c>
      <c r="CF226" s="216">
        <f ca="1">IF($D226&lt;&gt;"Serviço",0,IF(OR(AND(AUTOEVENTO="Manual",$M226=1),$M226&gt;(ROW(PLE.lastrow)-ROW(PLE.firstrow))),0,IF(OFFSET(PLE!$G$14,$M226,CF$13)="",10^12,OFFSET(PLE!$G$14,$M226,CF$13))))</f>
        <v>1000000000000</v>
      </c>
      <c r="CG226" s="216">
        <f ca="1">IF($D226&lt;&gt;"Serviço",0,IF(OR(AND(AUTOEVENTO="Manual",$M226=1),$M226&gt;(ROW(PLE.lastrow)-ROW(PLE.firstrow))),0,IF(OFFSET(PLE!$G$14,$M226,CG$13)="",10^12,OFFSET(PLE!$G$14,$M226,CG$13))))</f>
        <v>1000000000000</v>
      </c>
      <c r="CH226" s="216">
        <f ca="1">IF($D226&lt;&gt;"Serviço",0,IF(OR(AND(AUTOEVENTO="Manual",$M226=1),$M226&gt;(ROW(PLE.lastrow)-ROW(PLE.firstrow))),0,IF(OFFSET(PLE!$G$14,$M226,CH$13)="",10^12,OFFSET(PLE!$G$14,$M226,CH$13))))</f>
        <v>1000000000000</v>
      </c>
      <c r="CI226" s="216">
        <f ca="1">IF($D226&lt;&gt;"Serviço",0,IF(OR(AND(AUTOEVENTO="Manual",$M226=1),$M226&gt;(ROW(PLE.lastrow)-ROW(PLE.firstrow))),0,IF(OFFSET(PLE!$G$14,$M226,CI$13)="",10^12,OFFSET(PLE!$G$14,$M226,CI$13))))</f>
        <v>1000000000000</v>
      </c>
      <c r="CJ226" s="216">
        <f ca="1">IF($D226&lt;&gt;"Serviço",0,IF(OR(AND(AUTOEVENTO="Manual",$M226=1),$M226&gt;(ROW(PLE.lastrow)-ROW(PLE.firstrow))),0,IF(OFFSET(PLE!$G$14,$M226,CJ$13)="",10^12,OFFSET(PLE!$G$14,$M226,CJ$13))))</f>
        <v>1000000000000</v>
      </c>
      <c r="CK226" s="216">
        <f ca="1">IF($D226&lt;&gt;"Serviço",0,IF(OR(AND(AUTOEVENTO="Manual",$M226=1),$M226&gt;(ROW(PLE.lastrow)-ROW(PLE.firstrow))),0,IF(OFFSET(PLE!$G$14,$M226,CK$13)="",10^12,OFFSET(PLE!$G$14,$M226,CK$13))))</f>
        <v>1000000000000</v>
      </c>
      <c r="CL226" s="216">
        <f ca="1">IF($D226&lt;&gt;"Serviço",0,IF(OR(AND(AUTOEVENTO="Manual",$M226=1),$M226&gt;(ROW(PLE.lastrow)-ROW(PLE.firstrow))),0,IF(OFFSET(PLE!$G$14,$M226,CL$13)="",10^12,OFFSET(PLE!$G$14,$M226,CL$13))))</f>
        <v>1000000000000</v>
      </c>
      <c r="CM226" s="216">
        <f ca="1">IF($D226&lt;&gt;"Serviço",0,IF(OR(AND(AUTOEVENTO="Manual",$M226=1),$M226&gt;(ROW(PLE.lastrow)-ROW(PLE.firstrow))),0,IF(OFFSET(PLE!$G$14,$M226,CM$13)="",10^12,OFFSET(PLE!$G$14,$M226,CM$13))))</f>
        <v>1000000000000</v>
      </c>
    </row>
    <row r="227" spans="1:91" ht="13.2" x14ac:dyDescent="0.25">
      <c r="A227" s="9">
        <f t="shared" ca="1" si="12"/>
        <v>0</v>
      </c>
      <c r="B227" s="9" t="str">
        <f ca="1">OFFSET(ORÇAMENTO!C$15,ROW(B227)-ROW(B$15),0)</f>
        <v>S</v>
      </c>
      <c r="C227" s="9" t="str">
        <f ca="1">OFFSET(ORÇAMENTO!L$15,ROW(C227)-ROW(C$15),0)</f>
        <v/>
      </c>
      <c r="D227" s="145" t="str">
        <f ca="1">OFFSET(ORÇAMENTO!N$15,ROW(D227)-ROW(D$15),0)</f>
        <v>Serviço</v>
      </c>
      <c r="E227" s="205" t="str">
        <f ca="1">OFFSET(ORÇAMENTO!O$15,ROW(E227)-ROW(E$15),0)</f>
        <v>-</v>
      </c>
      <c r="F227" s="206" t="str">
        <f ca="1">OFFSET(ORÇAMENTO!R$15,ROW(F227)-ROW(F$15),0)</f>
        <v>(abra o arquivo 'Referência 05-2024.xls)</v>
      </c>
      <c r="G227" s="207" t="str">
        <f ca="1">IF($D227&lt;&gt;"Serviço","",OFFSET(ORÇAMENTO!S$15,ROW(G227)-ROW(G$15),0))</f>
        <v>-</v>
      </c>
      <c r="H227" s="151">
        <f ca="1">IF($D227&lt;&gt;"Serviço",0,IF(ACOMPANHAMENTO="BM",ROUND(OFFSET(ORÇAMENTO!AJ$15,ROW(H227)-ROW(H$15),0),15-13*ORÇAMENTO!$AF$7),SUMPRODUCT(($Q$12:$AI$12&lt;&gt;"")*ROUND($Q227:$AI227,15-13*ORÇAMENTO!$AF$7))))</f>
        <v>190.78</v>
      </c>
      <c r="I227" s="650"/>
      <c r="K227" s="208"/>
      <c r="L227" s="209" t="s">
        <v>257</v>
      </c>
      <c r="M227" s="210">
        <f ca="1">IF($D227&lt;&gt;"Serviço","",IF(AUTOEVENTO="manual",$A227,IF(ISERROR(MATCH($A227,$A$15:OFFSET($A227,-1,0),0)),MAX($M$15:OFFSET(M227,-1,0))+1,INDEX($M$15:OFFSET(M227,-1,0),MATCH($A227,$A$15:OFFSET($A227,-1,0),0)))))</f>
        <v>0</v>
      </c>
      <c r="N227" s="211" t="str">
        <f ca="1">IF($D227&lt;&gt;"Serviço","",IF(AUTOEVENTO="Manual",IF($A227=0,"&lt;-- defina o número do agrupador",OFFSET(EVENTOS!$D$14,$A227,0)),OFFSET($F$15,$A227,0)))</f>
        <v>&lt;-- defina o número do agrupador</v>
      </c>
      <c r="O227" s="212"/>
      <c r="Q227" s="212"/>
      <c r="R227" s="213"/>
      <c r="S227" s="213"/>
      <c r="T227" s="213"/>
      <c r="U227" s="213"/>
      <c r="V227" s="213"/>
      <c r="W227" s="213"/>
      <c r="X227" s="213"/>
      <c r="Y227" s="213"/>
      <c r="Z227" s="214"/>
      <c r="AA227" s="213"/>
      <c r="AB227" s="213"/>
      <c r="AC227" s="213"/>
      <c r="AD227" s="213"/>
      <c r="AE227" s="213"/>
      <c r="AF227" s="213"/>
      <c r="AG227" s="213"/>
      <c r="AH227" s="214"/>
      <c r="AJ227" s="631">
        <f ca="1">IF(AND($D227="Serviço",AJ$12&lt;&gt;0,$H227&gt;0,OR(AUTOEVENTO&lt;&gt;"manual",$M227&lt;&gt;1)),ROUND(OFFSET($P227,0,AJ$13),15-13*ORÇAMENTO!$AF$7)/$H227*OFFSET(ORÇAMENTO!$X$15,ROW(AJ227)-ROW(AJ$15),0),0)</f>
        <v>0</v>
      </c>
      <c r="AK227" s="632">
        <f ca="1">IF(AND($D227="Serviço",AK$12&lt;&gt;0,$H227&gt;0,OR(AUTOEVENTO&lt;&gt;"manual",$M227&lt;&gt;1)),ROUND(OFFSET($P227,0,AK$13),15-13*ORÇAMENTO!$AF$7)/$H227*OFFSET(ORÇAMENTO!$X$15,ROW(AK227)-ROW(AK$15),0),0)</f>
        <v>0</v>
      </c>
      <c r="AL227" s="632">
        <f ca="1">IF(AND($D227="Serviço",AL$12&lt;&gt;0,$H227&gt;0,OR(AUTOEVENTO&lt;&gt;"manual",$M227&lt;&gt;1)),ROUND(OFFSET($P227,0,AL$13),15-13*ORÇAMENTO!$AF$7)/$H227*OFFSET(ORÇAMENTO!$X$15,ROW(AL227)-ROW(AL$15),0),0)</f>
        <v>0</v>
      </c>
      <c r="AM227" s="632">
        <f ca="1">IF(AND($D227="Serviço",AM$12&lt;&gt;0,$H227&gt;0,OR(AUTOEVENTO&lt;&gt;"manual",$M227&lt;&gt;1)),ROUND(OFFSET($P227,0,AM$13),15-13*ORÇAMENTO!$AF$7)/$H227*OFFSET(ORÇAMENTO!$X$15,ROW(AM227)-ROW(AM$15),0),0)</f>
        <v>0</v>
      </c>
      <c r="AN227" s="632">
        <f ca="1">IF(AND($D227="Serviço",AN$12&lt;&gt;0,$H227&gt;0,OR(AUTOEVENTO&lt;&gt;"manual",$M227&lt;&gt;1)),ROUND(OFFSET($P227,0,AN$13),15-13*ORÇAMENTO!$AF$7)/$H227*OFFSET(ORÇAMENTO!$X$15,ROW(AN227)-ROW(AN$15),0),0)</f>
        <v>0</v>
      </c>
      <c r="AO227" s="632">
        <f ca="1">IF(AND($D227="Serviço",AO$12&lt;&gt;0,$H227&gt;0,OR(AUTOEVENTO&lt;&gt;"manual",$M227&lt;&gt;1)),ROUND(OFFSET($P227,0,AO$13),15-13*ORÇAMENTO!$AF$7)/$H227*OFFSET(ORÇAMENTO!$X$15,ROW(AO227)-ROW(AO$15),0),0)</f>
        <v>0</v>
      </c>
      <c r="AP227" s="632">
        <f ca="1">IF(AND($D227="Serviço",AP$12&lt;&gt;0,$H227&gt;0,OR(AUTOEVENTO&lt;&gt;"manual",$M227&lt;&gt;1)),ROUND(OFFSET($P227,0,AP$13),15-13*ORÇAMENTO!$AF$7)/$H227*OFFSET(ORÇAMENTO!$X$15,ROW(AP227)-ROW(AP$15),0),0)</f>
        <v>0</v>
      </c>
      <c r="AQ227" s="632">
        <f ca="1">IF(AND($D227="Serviço",AQ$12&lt;&gt;0,$H227&gt;0,OR(AUTOEVENTO&lt;&gt;"manual",$M227&lt;&gt;1)),ROUND(OFFSET($P227,0,AQ$13),15-13*ORÇAMENTO!$AF$7)/$H227*OFFSET(ORÇAMENTO!$X$15,ROW(AQ227)-ROW(AQ$15),0),0)</f>
        <v>0</v>
      </c>
      <c r="AR227" s="632">
        <f ca="1">IF(AND($D227="Serviço",AR$12&lt;&gt;0,$H227&gt;0,OR(AUTOEVENTO&lt;&gt;"manual",$M227&lt;&gt;1)),ROUND(OFFSET($P227,0,AR$13),15-13*ORÇAMENTO!$AF$7)/$H227*OFFSET(ORÇAMENTO!$X$15,ROW(AR227)-ROW(AR$15),0),0)</f>
        <v>0</v>
      </c>
      <c r="AS227" s="633">
        <f ca="1">IF(AND($D227="Serviço",AS$12&lt;&gt;0,$H227&gt;0,OR(AUTOEVENTO&lt;&gt;"manual",$M227&lt;&gt;1)),ROUND(OFFSET($P227,0,AS$13),15-13*ORÇAMENTO!$AF$7)/$H227*OFFSET(ORÇAMENTO!$X$15,ROW(AS227)-ROW(AS$15),0),0)</f>
        <v>0</v>
      </c>
      <c r="AT227" s="632">
        <f ca="1">IF(AND($D227="Serviço",AT$12&lt;&gt;0,$H227&gt;0,OR(AUTOEVENTO&lt;&gt;"manual",$M227&lt;&gt;1)),ROUND(OFFSET($P227,0,AT$13),15-13*ORÇAMENTO!$AF$7)/$H227*OFFSET(ORÇAMENTO!$X$15,ROW(AT227)-ROW(AT$15),0),0)</f>
        <v>0</v>
      </c>
      <c r="AU227" s="632">
        <f ca="1">IF(AND($D227="Serviço",AU$12&lt;&gt;0,$H227&gt;0,OR(AUTOEVENTO&lt;&gt;"manual",$M227&lt;&gt;1)),ROUND(OFFSET($P227,0,AU$13),15-13*ORÇAMENTO!$AF$7)/$H227*OFFSET(ORÇAMENTO!$X$15,ROW(AU227)-ROW(AU$15),0),0)</f>
        <v>0</v>
      </c>
      <c r="AV227" s="632">
        <f ca="1">IF(AND($D227="Serviço",AV$12&lt;&gt;0,$H227&gt;0,OR(AUTOEVENTO&lt;&gt;"manual",$M227&lt;&gt;1)),ROUND(OFFSET($P227,0,AV$13),15-13*ORÇAMENTO!$AF$7)/$H227*OFFSET(ORÇAMENTO!$X$15,ROW(AV227)-ROW(AV$15),0),0)</f>
        <v>0</v>
      </c>
      <c r="AW227" s="632">
        <f ca="1">IF(AND($D227="Serviço",AW$12&lt;&gt;0,$H227&gt;0,OR(AUTOEVENTO&lt;&gt;"manual",$M227&lt;&gt;1)),ROUND(OFFSET($P227,0,AW$13),15-13*ORÇAMENTO!$AF$7)/$H227*OFFSET(ORÇAMENTO!$X$15,ROW(AW227)-ROW(AW$15),0),0)</f>
        <v>0</v>
      </c>
      <c r="AX227" s="632">
        <f ca="1">IF(AND($D227="Serviço",AX$12&lt;&gt;0,$H227&gt;0,OR(AUTOEVENTO&lt;&gt;"manual",$M227&lt;&gt;1)),ROUND(OFFSET($P227,0,AX$13),15-13*ORÇAMENTO!$AF$7)/$H227*OFFSET(ORÇAMENTO!$X$15,ROW(AX227)-ROW(AX$15),0),0)</f>
        <v>0</v>
      </c>
      <c r="AY227" s="632">
        <f ca="1">IF(AND($D227="Serviço",AY$12&lt;&gt;0,$H227&gt;0,OR(AUTOEVENTO&lt;&gt;"manual",$M227&lt;&gt;1)),ROUND(OFFSET($P227,0,AY$13),15-13*ORÇAMENTO!$AF$7)/$H227*OFFSET(ORÇAMENTO!$X$15,ROW(AY227)-ROW(AY$15),0),0)</f>
        <v>0</v>
      </c>
      <c r="AZ227" s="632">
        <f ca="1">IF(AND($D227="Serviço",AZ$12&lt;&gt;0,$H227&gt;0,OR(AUTOEVENTO&lt;&gt;"manual",$M227&lt;&gt;1)),ROUND(OFFSET($P227,0,AZ$13),15-13*ORÇAMENTO!$AF$7)/$H227*OFFSET(ORÇAMENTO!$X$15,ROW(AZ227)-ROW(AZ$15),0),0)</f>
        <v>0</v>
      </c>
      <c r="BA227" s="633">
        <f ca="1">IF(AND($D227="Serviço",BA$12&lt;&gt;0,$H227&gt;0,OR(AUTOEVENTO&lt;&gt;"manual",$M227&lt;&gt;1)),ROUND(OFFSET($P227,0,BA$13),15-13*ORÇAMENTO!$AF$7)/$H227*OFFSET(ORÇAMENTO!$X$15,ROW(BA227)-ROW(BA$15),0),0)</f>
        <v>0</v>
      </c>
      <c r="BC227" s="215">
        <f ca="1">IF($D227&lt;&gt;"Serviço",0,IF(AND(AUTOEVENTO="Manual",$M227=1),0,IF(OFFSET(CRONOPLE!$F$14,$M227,BC$13)="",10^12,OFFSET(CRONOPLE!$F$14,$M227,BC$13))))</f>
        <v>1000000000000</v>
      </c>
      <c r="BD227" s="215">
        <f ca="1">IF($D227&lt;&gt;"Serviço",0,IF(AND(AUTOEVENTO="Manual",$M227=1),0,IF(OFFSET(CRONOPLE!$F$14,$M227,BD$13)="",10^12,OFFSET(CRONOPLE!$F$14,$M227,BD$13))))</f>
        <v>1000000000000</v>
      </c>
      <c r="BE227" s="215">
        <f ca="1">IF($D227&lt;&gt;"Serviço",0,IF(AND(AUTOEVENTO="Manual",$M227=1),0,IF(OFFSET(CRONOPLE!$F$14,$M227,BE$13)="",10^12,OFFSET(CRONOPLE!$F$14,$M227,BE$13))))</f>
        <v>1000000000000</v>
      </c>
      <c r="BF227" s="215">
        <f ca="1">IF($D227&lt;&gt;"Serviço",0,IF(AND(AUTOEVENTO="Manual",$M227=1),0,IF(OFFSET(CRONOPLE!$F$14,$M227,BF$13)="",10^12,OFFSET(CRONOPLE!$F$14,$M227,BF$13))))</f>
        <v>1000000000000</v>
      </c>
      <c r="BG227" s="215">
        <f ca="1">IF($D227&lt;&gt;"Serviço",0,IF(AND(AUTOEVENTO="Manual",$M227=1),0,IF(OFFSET(CRONOPLE!$F$14,$M227,BG$13)="",10^12,OFFSET(CRONOPLE!$F$14,$M227,BG$13))))</f>
        <v>1000000000000</v>
      </c>
      <c r="BH227" s="215">
        <f ca="1">IF($D227&lt;&gt;"Serviço",0,IF(AND(AUTOEVENTO="Manual",$M227=1),0,IF(OFFSET(CRONOPLE!$F$14,$M227,BH$13)="",10^12,OFFSET(CRONOPLE!$F$14,$M227,BH$13))))</f>
        <v>1000000000000</v>
      </c>
      <c r="BI227" s="215">
        <f ca="1">IF($D227&lt;&gt;"Serviço",0,IF(AND(AUTOEVENTO="Manual",$M227=1),0,IF(OFFSET(CRONOPLE!$F$14,$M227,BI$13)="",10^12,OFFSET(CRONOPLE!$F$14,$M227,BI$13))))</f>
        <v>1000000000000</v>
      </c>
      <c r="BJ227" s="215">
        <f ca="1">IF($D227&lt;&gt;"Serviço",0,IF(AND(AUTOEVENTO="Manual",$M227=1),0,IF(OFFSET(CRONOPLE!$F$14,$M227,BJ$13)="",10^12,OFFSET(CRONOPLE!$F$14,$M227,BJ$13))))</f>
        <v>1000000000000</v>
      </c>
      <c r="BK227" s="215">
        <f ca="1">IF($D227&lt;&gt;"Serviço",0,IF(AND(AUTOEVENTO="Manual",$M227=1),0,IF(OFFSET(CRONOPLE!$F$14,$M227,BK$13)="",10^12,OFFSET(CRONOPLE!$F$14,$M227,BK$13))))</f>
        <v>1000000000000</v>
      </c>
      <c r="BL227" s="215">
        <f ca="1">IF($D227&lt;&gt;"Serviço",0,IF(AND(AUTOEVENTO="Manual",$M227=1),0,IF(OFFSET(CRONOPLE!$F$14,$M227,BL$13)="",10^12,OFFSET(CRONOPLE!$F$14,$M227,BL$13))))</f>
        <v>1000000000000</v>
      </c>
      <c r="BM227" s="215">
        <f ca="1">IF($D227&lt;&gt;"Serviço",0,IF(AND(AUTOEVENTO="Manual",$M227=1),0,IF(OFFSET(CRONOPLE!$F$14,$M227,BM$13)="",10^12,OFFSET(CRONOPLE!$F$14,$M227,BM$13))))</f>
        <v>1000000000000</v>
      </c>
      <c r="BN227" s="215">
        <f ca="1">IF($D227&lt;&gt;"Serviço",0,IF(AND(AUTOEVENTO="Manual",$M227=1),0,IF(OFFSET(CRONOPLE!$F$14,$M227,BN$13)="",10^12,OFFSET(CRONOPLE!$F$14,$M227,BN$13))))</f>
        <v>1000000000000</v>
      </c>
      <c r="BO227" s="215">
        <f ca="1">IF($D227&lt;&gt;"Serviço",0,IF(AND(AUTOEVENTO="Manual",$M227=1),0,IF(OFFSET(CRONOPLE!$F$14,$M227,BO$13)="",10^12,OFFSET(CRONOPLE!$F$14,$M227,BO$13))))</f>
        <v>1000000000000</v>
      </c>
      <c r="BP227" s="215">
        <f ca="1">IF($D227&lt;&gt;"Serviço",0,IF(AND(AUTOEVENTO="Manual",$M227=1),0,IF(OFFSET(CRONOPLE!$F$14,$M227,BP$13)="",10^12,OFFSET(CRONOPLE!$F$14,$M227,BP$13))))</f>
        <v>1000000000000</v>
      </c>
      <c r="BQ227" s="215">
        <f ca="1">IF($D227&lt;&gt;"Serviço",0,IF(AND(AUTOEVENTO="Manual",$M227=1),0,IF(OFFSET(CRONOPLE!$F$14,$M227,BQ$13)="",10^12,OFFSET(CRONOPLE!$F$14,$M227,BQ$13))))</f>
        <v>1000000000000</v>
      </c>
      <c r="BR227" s="215">
        <f ca="1">IF($D227&lt;&gt;"Serviço",0,IF(AND(AUTOEVENTO="Manual",$M227=1),0,IF(OFFSET(CRONOPLE!$F$14,$M227,BR$13)="",10^12,OFFSET(CRONOPLE!$F$14,$M227,BR$13))))</f>
        <v>1000000000000</v>
      </c>
      <c r="BS227" s="215">
        <f ca="1">IF($D227&lt;&gt;"Serviço",0,IF(AND(AUTOEVENTO="Manual",$M227=1),0,IF(OFFSET(CRONOPLE!$F$14,$M227,BS$13)="",10^12,OFFSET(CRONOPLE!$F$14,$M227,BS$13))))</f>
        <v>1000000000000</v>
      </c>
      <c r="BT227" s="215">
        <f ca="1">IF($D227&lt;&gt;"Serviço",0,IF(AND(AUTOEVENTO="Manual",$M227=1),0,IF(OFFSET(CRONOPLE!$F$14,$M227,BT$13)="",10^12,OFFSET(CRONOPLE!$F$14,$M227,BT$13))))</f>
        <v>1000000000000</v>
      </c>
      <c r="BV227" s="216">
        <f ca="1">IF($D227&lt;&gt;"Serviço",0,IF(OR(AND(AUTOEVENTO="Manual",$M227=1),$M227&gt;(ROW(PLE.lastrow)-ROW(PLE.firstrow))),0,IF(OFFSET(PLE!$G$14,$M227,BV$13)="",10^12,OFFSET(PLE!$G$14,$M227,BV$13))))</f>
        <v>1000000000000</v>
      </c>
      <c r="BW227" s="216">
        <f ca="1">IF($D227&lt;&gt;"Serviço",0,IF(OR(AND(AUTOEVENTO="Manual",$M227=1),$M227&gt;(ROW(PLE.lastrow)-ROW(PLE.firstrow))),0,IF(OFFSET(PLE!$G$14,$M227,BW$13)="",10^12,OFFSET(PLE!$G$14,$M227,BW$13))))</f>
        <v>1000000000000</v>
      </c>
      <c r="BX227" s="216">
        <f ca="1">IF($D227&lt;&gt;"Serviço",0,IF(OR(AND(AUTOEVENTO="Manual",$M227=1),$M227&gt;(ROW(PLE.lastrow)-ROW(PLE.firstrow))),0,IF(OFFSET(PLE!$G$14,$M227,BX$13)="",10^12,OFFSET(PLE!$G$14,$M227,BX$13))))</f>
        <v>1000000000000</v>
      </c>
      <c r="BY227" s="216">
        <f ca="1">IF($D227&lt;&gt;"Serviço",0,IF(OR(AND(AUTOEVENTO="Manual",$M227=1),$M227&gt;(ROW(PLE.lastrow)-ROW(PLE.firstrow))),0,IF(OFFSET(PLE!$G$14,$M227,BY$13)="",10^12,OFFSET(PLE!$G$14,$M227,BY$13))))</f>
        <v>1000000000000</v>
      </c>
      <c r="BZ227" s="216">
        <f ca="1">IF($D227&lt;&gt;"Serviço",0,IF(OR(AND(AUTOEVENTO="Manual",$M227=1),$M227&gt;(ROW(PLE.lastrow)-ROW(PLE.firstrow))),0,IF(OFFSET(PLE!$G$14,$M227,BZ$13)="",10^12,OFFSET(PLE!$G$14,$M227,BZ$13))))</f>
        <v>1000000000000</v>
      </c>
      <c r="CA227" s="216">
        <f ca="1">IF($D227&lt;&gt;"Serviço",0,IF(OR(AND(AUTOEVENTO="Manual",$M227=1),$M227&gt;(ROW(PLE.lastrow)-ROW(PLE.firstrow))),0,IF(OFFSET(PLE!$G$14,$M227,CA$13)="",10^12,OFFSET(PLE!$G$14,$M227,CA$13))))</f>
        <v>1000000000000</v>
      </c>
      <c r="CB227" s="216">
        <f ca="1">IF($D227&lt;&gt;"Serviço",0,IF(OR(AND(AUTOEVENTO="Manual",$M227=1),$M227&gt;(ROW(PLE.lastrow)-ROW(PLE.firstrow))),0,IF(OFFSET(PLE!$G$14,$M227,CB$13)="",10^12,OFFSET(PLE!$G$14,$M227,CB$13))))</f>
        <v>1000000000000</v>
      </c>
      <c r="CC227" s="216">
        <f ca="1">IF($D227&lt;&gt;"Serviço",0,IF(OR(AND(AUTOEVENTO="Manual",$M227=1),$M227&gt;(ROW(PLE.lastrow)-ROW(PLE.firstrow))),0,IF(OFFSET(PLE!$G$14,$M227,CC$13)="",10^12,OFFSET(PLE!$G$14,$M227,CC$13))))</f>
        <v>1000000000000</v>
      </c>
      <c r="CD227" s="216">
        <f ca="1">IF($D227&lt;&gt;"Serviço",0,IF(OR(AND(AUTOEVENTO="Manual",$M227=1),$M227&gt;(ROW(PLE.lastrow)-ROW(PLE.firstrow))),0,IF(OFFSET(PLE!$G$14,$M227,CD$13)="",10^12,OFFSET(PLE!$G$14,$M227,CD$13))))</f>
        <v>1000000000000</v>
      </c>
      <c r="CE227" s="216">
        <f ca="1">IF($D227&lt;&gt;"Serviço",0,IF(OR(AND(AUTOEVENTO="Manual",$M227=1),$M227&gt;(ROW(PLE.lastrow)-ROW(PLE.firstrow))),0,IF(OFFSET(PLE!$G$14,$M227,CE$13)="",10^12,OFFSET(PLE!$G$14,$M227,CE$13))))</f>
        <v>1000000000000</v>
      </c>
      <c r="CF227" s="216">
        <f ca="1">IF($D227&lt;&gt;"Serviço",0,IF(OR(AND(AUTOEVENTO="Manual",$M227=1),$M227&gt;(ROW(PLE.lastrow)-ROW(PLE.firstrow))),0,IF(OFFSET(PLE!$G$14,$M227,CF$13)="",10^12,OFFSET(PLE!$G$14,$M227,CF$13))))</f>
        <v>1000000000000</v>
      </c>
      <c r="CG227" s="216">
        <f ca="1">IF($D227&lt;&gt;"Serviço",0,IF(OR(AND(AUTOEVENTO="Manual",$M227=1),$M227&gt;(ROW(PLE.lastrow)-ROW(PLE.firstrow))),0,IF(OFFSET(PLE!$G$14,$M227,CG$13)="",10^12,OFFSET(PLE!$G$14,$M227,CG$13))))</f>
        <v>1000000000000</v>
      </c>
      <c r="CH227" s="216">
        <f ca="1">IF($D227&lt;&gt;"Serviço",0,IF(OR(AND(AUTOEVENTO="Manual",$M227=1),$M227&gt;(ROW(PLE.lastrow)-ROW(PLE.firstrow))),0,IF(OFFSET(PLE!$G$14,$M227,CH$13)="",10^12,OFFSET(PLE!$G$14,$M227,CH$13))))</f>
        <v>1000000000000</v>
      </c>
      <c r="CI227" s="216">
        <f ca="1">IF($D227&lt;&gt;"Serviço",0,IF(OR(AND(AUTOEVENTO="Manual",$M227=1),$M227&gt;(ROW(PLE.lastrow)-ROW(PLE.firstrow))),0,IF(OFFSET(PLE!$G$14,$M227,CI$13)="",10^12,OFFSET(PLE!$G$14,$M227,CI$13))))</f>
        <v>1000000000000</v>
      </c>
      <c r="CJ227" s="216">
        <f ca="1">IF($D227&lt;&gt;"Serviço",0,IF(OR(AND(AUTOEVENTO="Manual",$M227=1),$M227&gt;(ROW(PLE.lastrow)-ROW(PLE.firstrow))),0,IF(OFFSET(PLE!$G$14,$M227,CJ$13)="",10^12,OFFSET(PLE!$G$14,$M227,CJ$13))))</f>
        <v>1000000000000</v>
      </c>
      <c r="CK227" s="216">
        <f ca="1">IF($D227&lt;&gt;"Serviço",0,IF(OR(AND(AUTOEVENTO="Manual",$M227=1),$M227&gt;(ROW(PLE.lastrow)-ROW(PLE.firstrow))),0,IF(OFFSET(PLE!$G$14,$M227,CK$13)="",10^12,OFFSET(PLE!$G$14,$M227,CK$13))))</f>
        <v>1000000000000</v>
      </c>
      <c r="CL227" s="216">
        <f ca="1">IF($D227&lt;&gt;"Serviço",0,IF(OR(AND(AUTOEVENTO="Manual",$M227=1),$M227&gt;(ROW(PLE.lastrow)-ROW(PLE.firstrow))),0,IF(OFFSET(PLE!$G$14,$M227,CL$13)="",10^12,OFFSET(PLE!$G$14,$M227,CL$13))))</f>
        <v>1000000000000</v>
      </c>
      <c r="CM227" s="216">
        <f ca="1">IF($D227&lt;&gt;"Serviço",0,IF(OR(AND(AUTOEVENTO="Manual",$M227=1),$M227&gt;(ROW(PLE.lastrow)-ROW(PLE.firstrow))),0,IF(OFFSET(PLE!$G$14,$M227,CM$13)="",10^12,OFFSET(PLE!$G$14,$M227,CM$13))))</f>
        <v>1000000000000</v>
      </c>
    </row>
    <row r="228" spans="1:91" ht="13.2" x14ac:dyDescent="0.25">
      <c r="A228" s="9">
        <f t="shared" ca="1" si="12"/>
        <v>0</v>
      </c>
      <c r="B228" s="9" t="str">
        <f ca="1">OFFSET(ORÇAMENTO!C$15,ROW(B228)-ROW(B$15),0)</f>
        <v>S</v>
      </c>
      <c r="C228" s="9" t="str">
        <f ca="1">OFFSET(ORÇAMENTO!L$15,ROW(C228)-ROW(C$15),0)</f>
        <v/>
      </c>
      <c r="D228" s="145" t="str">
        <f ca="1">OFFSET(ORÇAMENTO!N$15,ROW(D228)-ROW(D$15),0)</f>
        <v>Serviço</v>
      </c>
      <c r="E228" s="205" t="str">
        <f ca="1">OFFSET(ORÇAMENTO!O$15,ROW(E228)-ROW(E$15),0)</f>
        <v>-</v>
      </c>
      <c r="F228" s="206" t="str">
        <f ca="1">OFFSET(ORÇAMENTO!R$15,ROW(F228)-ROW(F$15),0)</f>
        <v>(abra o arquivo 'Referência 05-2024.xls)</v>
      </c>
      <c r="G228" s="207" t="str">
        <f ca="1">IF($D228&lt;&gt;"Serviço","",OFFSET(ORÇAMENTO!S$15,ROW(G228)-ROW(G$15),0))</f>
        <v>-</v>
      </c>
      <c r="H228" s="151">
        <f ca="1">IF($D228&lt;&gt;"Serviço",0,IF(ACOMPANHAMENTO="BM",ROUND(OFFSET(ORÇAMENTO!AJ$15,ROW(H228)-ROW(H$15),0),15-13*ORÇAMENTO!$AF$7),SUMPRODUCT(($Q$12:$AI$12&lt;&gt;"")*ROUND($Q228:$AI228,15-13*ORÇAMENTO!$AF$7))))</f>
        <v>74.16</v>
      </c>
      <c r="I228" s="650"/>
      <c r="K228" s="208"/>
      <c r="L228" s="209" t="s">
        <v>257</v>
      </c>
      <c r="M228" s="210">
        <f ca="1">IF($D228&lt;&gt;"Serviço","",IF(AUTOEVENTO="manual",$A228,IF(ISERROR(MATCH($A228,$A$15:OFFSET($A228,-1,0),0)),MAX($M$15:OFFSET(M228,-1,0))+1,INDEX($M$15:OFFSET(M228,-1,0),MATCH($A228,$A$15:OFFSET($A228,-1,0),0)))))</f>
        <v>0</v>
      </c>
      <c r="N228" s="211" t="str">
        <f ca="1">IF($D228&lt;&gt;"Serviço","",IF(AUTOEVENTO="Manual",IF($A228=0,"&lt;-- defina o número do agrupador",OFFSET(EVENTOS!$D$14,$A228,0)),OFFSET($F$15,$A228,0)))</f>
        <v>&lt;-- defina o número do agrupador</v>
      </c>
      <c r="O228" s="212"/>
      <c r="Q228" s="212"/>
      <c r="R228" s="213"/>
      <c r="S228" s="213"/>
      <c r="T228" s="213"/>
      <c r="U228" s="213"/>
      <c r="V228" s="213"/>
      <c r="W228" s="213"/>
      <c r="X228" s="213"/>
      <c r="Y228" s="213"/>
      <c r="Z228" s="214"/>
      <c r="AA228" s="213"/>
      <c r="AB228" s="213"/>
      <c r="AC228" s="213"/>
      <c r="AD228" s="213"/>
      <c r="AE228" s="213"/>
      <c r="AF228" s="213"/>
      <c r="AG228" s="213"/>
      <c r="AH228" s="214"/>
      <c r="AJ228" s="631">
        <f ca="1">IF(AND($D228="Serviço",AJ$12&lt;&gt;0,$H228&gt;0,OR(AUTOEVENTO&lt;&gt;"manual",$M228&lt;&gt;1)),ROUND(OFFSET($P228,0,AJ$13),15-13*ORÇAMENTO!$AF$7)/$H228*OFFSET(ORÇAMENTO!$X$15,ROW(AJ228)-ROW(AJ$15),0),0)</f>
        <v>0</v>
      </c>
      <c r="AK228" s="632">
        <f ca="1">IF(AND($D228="Serviço",AK$12&lt;&gt;0,$H228&gt;0,OR(AUTOEVENTO&lt;&gt;"manual",$M228&lt;&gt;1)),ROUND(OFFSET($P228,0,AK$13),15-13*ORÇAMENTO!$AF$7)/$H228*OFFSET(ORÇAMENTO!$X$15,ROW(AK228)-ROW(AK$15),0),0)</f>
        <v>0</v>
      </c>
      <c r="AL228" s="632">
        <f ca="1">IF(AND($D228="Serviço",AL$12&lt;&gt;0,$H228&gt;0,OR(AUTOEVENTO&lt;&gt;"manual",$M228&lt;&gt;1)),ROUND(OFFSET($P228,0,AL$13),15-13*ORÇAMENTO!$AF$7)/$H228*OFFSET(ORÇAMENTO!$X$15,ROW(AL228)-ROW(AL$15),0),0)</f>
        <v>0</v>
      </c>
      <c r="AM228" s="632">
        <f ca="1">IF(AND($D228="Serviço",AM$12&lt;&gt;0,$H228&gt;0,OR(AUTOEVENTO&lt;&gt;"manual",$M228&lt;&gt;1)),ROUND(OFFSET($P228,0,AM$13),15-13*ORÇAMENTO!$AF$7)/$H228*OFFSET(ORÇAMENTO!$X$15,ROW(AM228)-ROW(AM$15),0),0)</f>
        <v>0</v>
      </c>
      <c r="AN228" s="632">
        <f ca="1">IF(AND($D228="Serviço",AN$12&lt;&gt;0,$H228&gt;0,OR(AUTOEVENTO&lt;&gt;"manual",$M228&lt;&gt;1)),ROUND(OFFSET($P228,0,AN$13),15-13*ORÇAMENTO!$AF$7)/$H228*OFFSET(ORÇAMENTO!$X$15,ROW(AN228)-ROW(AN$15),0),0)</f>
        <v>0</v>
      </c>
      <c r="AO228" s="632">
        <f ca="1">IF(AND($D228="Serviço",AO$12&lt;&gt;0,$H228&gt;0,OR(AUTOEVENTO&lt;&gt;"manual",$M228&lt;&gt;1)),ROUND(OFFSET($P228,0,AO$13),15-13*ORÇAMENTO!$AF$7)/$H228*OFFSET(ORÇAMENTO!$X$15,ROW(AO228)-ROW(AO$15),0),0)</f>
        <v>0</v>
      </c>
      <c r="AP228" s="632">
        <f ca="1">IF(AND($D228="Serviço",AP$12&lt;&gt;0,$H228&gt;0,OR(AUTOEVENTO&lt;&gt;"manual",$M228&lt;&gt;1)),ROUND(OFFSET($P228,0,AP$13),15-13*ORÇAMENTO!$AF$7)/$H228*OFFSET(ORÇAMENTO!$X$15,ROW(AP228)-ROW(AP$15),0),0)</f>
        <v>0</v>
      </c>
      <c r="AQ228" s="632">
        <f ca="1">IF(AND($D228="Serviço",AQ$12&lt;&gt;0,$H228&gt;0,OR(AUTOEVENTO&lt;&gt;"manual",$M228&lt;&gt;1)),ROUND(OFFSET($P228,0,AQ$13),15-13*ORÇAMENTO!$AF$7)/$H228*OFFSET(ORÇAMENTO!$X$15,ROW(AQ228)-ROW(AQ$15),0),0)</f>
        <v>0</v>
      </c>
      <c r="AR228" s="632">
        <f ca="1">IF(AND($D228="Serviço",AR$12&lt;&gt;0,$H228&gt;0,OR(AUTOEVENTO&lt;&gt;"manual",$M228&lt;&gt;1)),ROUND(OFFSET($P228,0,AR$13),15-13*ORÇAMENTO!$AF$7)/$H228*OFFSET(ORÇAMENTO!$X$15,ROW(AR228)-ROW(AR$15),0),0)</f>
        <v>0</v>
      </c>
      <c r="AS228" s="633">
        <f ca="1">IF(AND($D228="Serviço",AS$12&lt;&gt;0,$H228&gt;0,OR(AUTOEVENTO&lt;&gt;"manual",$M228&lt;&gt;1)),ROUND(OFFSET($P228,0,AS$13),15-13*ORÇAMENTO!$AF$7)/$H228*OFFSET(ORÇAMENTO!$X$15,ROW(AS228)-ROW(AS$15),0),0)</f>
        <v>0</v>
      </c>
      <c r="AT228" s="632">
        <f ca="1">IF(AND($D228="Serviço",AT$12&lt;&gt;0,$H228&gt;0,OR(AUTOEVENTO&lt;&gt;"manual",$M228&lt;&gt;1)),ROUND(OFFSET($P228,0,AT$13),15-13*ORÇAMENTO!$AF$7)/$H228*OFFSET(ORÇAMENTO!$X$15,ROW(AT228)-ROW(AT$15),0),0)</f>
        <v>0</v>
      </c>
      <c r="AU228" s="632">
        <f ca="1">IF(AND($D228="Serviço",AU$12&lt;&gt;0,$H228&gt;0,OR(AUTOEVENTO&lt;&gt;"manual",$M228&lt;&gt;1)),ROUND(OFFSET($P228,0,AU$13),15-13*ORÇAMENTO!$AF$7)/$H228*OFFSET(ORÇAMENTO!$X$15,ROW(AU228)-ROW(AU$15),0),0)</f>
        <v>0</v>
      </c>
      <c r="AV228" s="632">
        <f ca="1">IF(AND($D228="Serviço",AV$12&lt;&gt;0,$H228&gt;0,OR(AUTOEVENTO&lt;&gt;"manual",$M228&lt;&gt;1)),ROUND(OFFSET($P228,0,AV$13),15-13*ORÇAMENTO!$AF$7)/$H228*OFFSET(ORÇAMENTO!$X$15,ROW(AV228)-ROW(AV$15),0),0)</f>
        <v>0</v>
      </c>
      <c r="AW228" s="632">
        <f ca="1">IF(AND($D228="Serviço",AW$12&lt;&gt;0,$H228&gt;0,OR(AUTOEVENTO&lt;&gt;"manual",$M228&lt;&gt;1)),ROUND(OFFSET($P228,0,AW$13),15-13*ORÇAMENTO!$AF$7)/$H228*OFFSET(ORÇAMENTO!$X$15,ROW(AW228)-ROW(AW$15),0),0)</f>
        <v>0</v>
      </c>
      <c r="AX228" s="632">
        <f ca="1">IF(AND($D228="Serviço",AX$12&lt;&gt;0,$H228&gt;0,OR(AUTOEVENTO&lt;&gt;"manual",$M228&lt;&gt;1)),ROUND(OFFSET($P228,0,AX$13),15-13*ORÇAMENTO!$AF$7)/$H228*OFFSET(ORÇAMENTO!$X$15,ROW(AX228)-ROW(AX$15),0),0)</f>
        <v>0</v>
      </c>
      <c r="AY228" s="632">
        <f ca="1">IF(AND($D228="Serviço",AY$12&lt;&gt;0,$H228&gt;0,OR(AUTOEVENTO&lt;&gt;"manual",$M228&lt;&gt;1)),ROUND(OFFSET($P228,0,AY$13),15-13*ORÇAMENTO!$AF$7)/$H228*OFFSET(ORÇAMENTO!$X$15,ROW(AY228)-ROW(AY$15),0),0)</f>
        <v>0</v>
      </c>
      <c r="AZ228" s="632">
        <f ca="1">IF(AND($D228="Serviço",AZ$12&lt;&gt;0,$H228&gt;0,OR(AUTOEVENTO&lt;&gt;"manual",$M228&lt;&gt;1)),ROUND(OFFSET($P228,0,AZ$13),15-13*ORÇAMENTO!$AF$7)/$H228*OFFSET(ORÇAMENTO!$X$15,ROW(AZ228)-ROW(AZ$15),0),0)</f>
        <v>0</v>
      </c>
      <c r="BA228" s="633">
        <f ca="1">IF(AND($D228="Serviço",BA$12&lt;&gt;0,$H228&gt;0,OR(AUTOEVENTO&lt;&gt;"manual",$M228&lt;&gt;1)),ROUND(OFFSET($P228,0,BA$13),15-13*ORÇAMENTO!$AF$7)/$H228*OFFSET(ORÇAMENTO!$X$15,ROW(BA228)-ROW(BA$15),0),0)</f>
        <v>0</v>
      </c>
      <c r="BC228" s="215">
        <f ca="1">IF($D228&lt;&gt;"Serviço",0,IF(AND(AUTOEVENTO="Manual",$M228=1),0,IF(OFFSET(CRONOPLE!$F$14,$M228,BC$13)="",10^12,OFFSET(CRONOPLE!$F$14,$M228,BC$13))))</f>
        <v>1000000000000</v>
      </c>
      <c r="BD228" s="215">
        <f ca="1">IF($D228&lt;&gt;"Serviço",0,IF(AND(AUTOEVENTO="Manual",$M228=1),0,IF(OFFSET(CRONOPLE!$F$14,$M228,BD$13)="",10^12,OFFSET(CRONOPLE!$F$14,$M228,BD$13))))</f>
        <v>1000000000000</v>
      </c>
      <c r="BE228" s="215">
        <f ca="1">IF($D228&lt;&gt;"Serviço",0,IF(AND(AUTOEVENTO="Manual",$M228=1),0,IF(OFFSET(CRONOPLE!$F$14,$M228,BE$13)="",10^12,OFFSET(CRONOPLE!$F$14,$M228,BE$13))))</f>
        <v>1000000000000</v>
      </c>
      <c r="BF228" s="215">
        <f ca="1">IF($D228&lt;&gt;"Serviço",0,IF(AND(AUTOEVENTO="Manual",$M228=1),0,IF(OFFSET(CRONOPLE!$F$14,$M228,BF$13)="",10^12,OFFSET(CRONOPLE!$F$14,$M228,BF$13))))</f>
        <v>1000000000000</v>
      </c>
      <c r="BG228" s="215">
        <f ca="1">IF($D228&lt;&gt;"Serviço",0,IF(AND(AUTOEVENTO="Manual",$M228=1),0,IF(OFFSET(CRONOPLE!$F$14,$M228,BG$13)="",10^12,OFFSET(CRONOPLE!$F$14,$M228,BG$13))))</f>
        <v>1000000000000</v>
      </c>
      <c r="BH228" s="215">
        <f ca="1">IF($D228&lt;&gt;"Serviço",0,IF(AND(AUTOEVENTO="Manual",$M228=1),0,IF(OFFSET(CRONOPLE!$F$14,$M228,BH$13)="",10^12,OFFSET(CRONOPLE!$F$14,$M228,BH$13))))</f>
        <v>1000000000000</v>
      </c>
      <c r="BI228" s="215">
        <f ca="1">IF($D228&lt;&gt;"Serviço",0,IF(AND(AUTOEVENTO="Manual",$M228=1),0,IF(OFFSET(CRONOPLE!$F$14,$M228,BI$13)="",10^12,OFFSET(CRONOPLE!$F$14,$M228,BI$13))))</f>
        <v>1000000000000</v>
      </c>
      <c r="BJ228" s="215">
        <f ca="1">IF($D228&lt;&gt;"Serviço",0,IF(AND(AUTOEVENTO="Manual",$M228=1),0,IF(OFFSET(CRONOPLE!$F$14,$M228,BJ$13)="",10^12,OFFSET(CRONOPLE!$F$14,$M228,BJ$13))))</f>
        <v>1000000000000</v>
      </c>
      <c r="BK228" s="215">
        <f ca="1">IF($D228&lt;&gt;"Serviço",0,IF(AND(AUTOEVENTO="Manual",$M228=1),0,IF(OFFSET(CRONOPLE!$F$14,$M228,BK$13)="",10^12,OFFSET(CRONOPLE!$F$14,$M228,BK$13))))</f>
        <v>1000000000000</v>
      </c>
      <c r="BL228" s="215">
        <f ca="1">IF($D228&lt;&gt;"Serviço",0,IF(AND(AUTOEVENTO="Manual",$M228=1),0,IF(OFFSET(CRONOPLE!$F$14,$M228,BL$13)="",10^12,OFFSET(CRONOPLE!$F$14,$M228,BL$13))))</f>
        <v>1000000000000</v>
      </c>
      <c r="BM228" s="215">
        <f ca="1">IF($D228&lt;&gt;"Serviço",0,IF(AND(AUTOEVENTO="Manual",$M228=1),0,IF(OFFSET(CRONOPLE!$F$14,$M228,BM$13)="",10^12,OFFSET(CRONOPLE!$F$14,$M228,BM$13))))</f>
        <v>1000000000000</v>
      </c>
      <c r="BN228" s="215">
        <f ca="1">IF($D228&lt;&gt;"Serviço",0,IF(AND(AUTOEVENTO="Manual",$M228=1),0,IF(OFFSET(CRONOPLE!$F$14,$M228,BN$13)="",10^12,OFFSET(CRONOPLE!$F$14,$M228,BN$13))))</f>
        <v>1000000000000</v>
      </c>
      <c r="BO228" s="215">
        <f ca="1">IF($D228&lt;&gt;"Serviço",0,IF(AND(AUTOEVENTO="Manual",$M228=1),0,IF(OFFSET(CRONOPLE!$F$14,$M228,BO$13)="",10^12,OFFSET(CRONOPLE!$F$14,$M228,BO$13))))</f>
        <v>1000000000000</v>
      </c>
      <c r="BP228" s="215">
        <f ca="1">IF($D228&lt;&gt;"Serviço",0,IF(AND(AUTOEVENTO="Manual",$M228=1),0,IF(OFFSET(CRONOPLE!$F$14,$M228,BP$13)="",10^12,OFFSET(CRONOPLE!$F$14,$M228,BP$13))))</f>
        <v>1000000000000</v>
      </c>
      <c r="BQ228" s="215">
        <f ca="1">IF($D228&lt;&gt;"Serviço",0,IF(AND(AUTOEVENTO="Manual",$M228=1),0,IF(OFFSET(CRONOPLE!$F$14,$M228,BQ$13)="",10^12,OFFSET(CRONOPLE!$F$14,$M228,BQ$13))))</f>
        <v>1000000000000</v>
      </c>
      <c r="BR228" s="215">
        <f ca="1">IF($D228&lt;&gt;"Serviço",0,IF(AND(AUTOEVENTO="Manual",$M228=1),0,IF(OFFSET(CRONOPLE!$F$14,$M228,BR$13)="",10^12,OFFSET(CRONOPLE!$F$14,$M228,BR$13))))</f>
        <v>1000000000000</v>
      </c>
      <c r="BS228" s="215">
        <f ca="1">IF($D228&lt;&gt;"Serviço",0,IF(AND(AUTOEVENTO="Manual",$M228=1),0,IF(OFFSET(CRONOPLE!$F$14,$M228,BS$13)="",10^12,OFFSET(CRONOPLE!$F$14,$M228,BS$13))))</f>
        <v>1000000000000</v>
      </c>
      <c r="BT228" s="215">
        <f ca="1">IF($D228&lt;&gt;"Serviço",0,IF(AND(AUTOEVENTO="Manual",$M228=1),0,IF(OFFSET(CRONOPLE!$F$14,$M228,BT$13)="",10^12,OFFSET(CRONOPLE!$F$14,$M228,BT$13))))</f>
        <v>1000000000000</v>
      </c>
      <c r="BV228" s="216">
        <f ca="1">IF($D228&lt;&gt;"Serviço",0,IF(OR(AND(AUTOEVENTO="Manual",$M228=1),$M228&gt;(ROW(PLE.lastrow)-ROW(PLE.firstrow))),0,IF(OFFSET(PLE!$G$14,$M228,BV$13)="",10^12,OFFSET(PLE!$G$14,$M228,BV$13))))</f>
        <v>1000000000000</v>
      </c>
      <c r="BW228" s="216">
        <f ca="1">IF($D228&lt;&gt;"Serviço",0,IF(OR(AND(AUTOEVENTO="Manual",$M228=1),$M228&gt;(ROW(PLE.lastrow)-ROW(PLE.firstrow))),0,IF(OFFSET(PLE!$G$14,$M228,BW$13)="",10^12,OFFSET(PLE!$G$14,$M228,BW$13))))</f>
        <v>1000000000000</v>
      </c>
      <c r="BX228" s="216">
        <f ca="1">IF($D228&lt;&gt;"Serviço",0,IF(OR(AND(AUTOEVENTO="Manual",$M228=1),$M228&gt;(ROW(PLE.lastrow)-ROW(PLE.firstrow))),0,IF(OFFSET(PLE!$G$14,$M228,BX$13)="",10^12,OFFSET(PLE!$G$14,$M228,BX$13))))</f>
        <v>1000000000000</v>
      </c>
      <c r="BY228" s="216">
        <f ca="1">IF($D228&lt;&gt;"Serviço",0,IF(OR(AND(AUTOEVENTO="Manual",$M228=1),$M228&gt;(ROW(PLE.lastrow)-ROW(PLE.firstrow))),0,IF(OFFSET(PLE!$G$14,$M228,BY$13)="",10^12,OFFSET(PLE!$G$14,$M228,BY$13))))</f>
        <v>1000000000000</v>
      </c>
      <c r="BZ228" s="216">
        <f ca="1">IF($D228&lt;&gt;"Serviço",0,IF(OR(AND(AUTOEVENTO="Manual",$M228=1),$M228&gt;(ROW(PLE.lastrow)-ROW(PLE.firstrow))),0,IF(OFFSET(PLE!$G$14,$M228,BZ$13)="",10^12,OFFSET(PLE!$G$14,$M228,BZ$13))))</f>
        <v>1000000000000</v>
      </c>
      <c r="CA228" s="216">
        <f ca="1">IF($D228&lt;&gt;"Serviço",0,IF(OR(AND(AUTOEVENTO="Manual",$M228=1),$M228&gt;(ROW(PLE.lastrow)-ROW(PLE.firstrow))),0,IF(OFFSET(PLE!$G$14,$M228,CA$13)="",10^12,OFFSET(PLE!$G$14,$M228,CA$13))))</f>
        <v>1000000000000</v>
      </c>
      <c r="CB228" s="216">
        <f ca="1">IF($D228&lt;&gt;"Serviço",0,IF(OR(AND(AUTOEVENTO="Manual",$M228=1),$M228&gt;(ROW(PLE.lastrow)-ROW(PLE.firstrow))),0,IF(OFFSET(PLE!$G$14,$M228,CB$13)="",10^12,OFFSET(PLE!$G$14,$M228,CB$13))))</f>
        <v>1000000000000</v>
      </c>
      <c r="CC228" s="216">
        <f ca="1">IF($D228&lt;&gt;"Serviço",0,IF(OR(AND(AUTOEVENTO="Manual",$M228=1),$M228&gt;(ROW(PLE.lastrow)-ROW(PLE.firstrow))),0,IF(OFFSET(PLE!$G$14,$M228,CC$13)="",10^12,OFFSET(PLE!$G$14,$M228,CC$13))))</f>
        <v>1000000000000</v>
      </c>
      <c r="CD228" s="216">
        <f ca="1">IF($D228&lt;&gt;"Serviço",0,IF(OR(AND(AUTOEVENTO="Manual",$M228=1),$M228&gt;(ROW(PLE.lastrow)-ROW(PLE.firstrow))),0,IF(OFFSET(PLE!$G$14,$M228,CD$13)="",10^12,OFFSET(PLE!$G$14,$M228,CD$13))))</f>
        <v>1000000000000</v>
      </c>
      <c r="CE228" s="216">
        <f ca="1">IF($D228&lt;&gt;"Serviço",0,IF(OR(AND(AUTOEVENTO="Manual",$M228=1),$M228&gt;(ROW(PLE.lastrow)-ROW(PLE.firstrow))),0,IF(OFFSET(PLE!$G$14,$M228,CE$13)="",10^12,OFFSET(PLE!$G$14,$M228,CE$13))))</f>
        <v>1000000000000</v>
      </c>
      <c r="CF228" s="216">
        <f ca="1">IF($D228&lt;&gt;"Serviço",0,IF(OR(AND(AUTOEVENTO="Manual",$M228=1),$M228&gt;(ROW(PLE.lastrow)-ROW(PLE.firstrow))),0,IF(OFFSET(PLE!$G$14,$M228,CF$13)="",10^12,OFFSET(PLE!$G$14,$M228,CF$13))))</f>
        <v>1000000000000</v>
      </c>
      <c r="CG228" s="216">
        <f ca="1">IF($D228&lt;&gt;"Serviço",0,IF(OR(AND(AUTOEVENTO="Manual",$M228=1),$M228&gt;(ROW(PLE.lastrow)-ROW(PLE.firstrow))),0,IF(OFFSET(PLE!$G$14,$M228,CG$13)="",10^12,OFFSET(PLE!$G$14,$M228,CG$13))))</f>
        <v>1000000000000</v>
      </c>
      <c r="CH228" s="216">
        <f ca="1">IF($D228&lt;&gt;"Serviço",0,IF(OR(AND(AUTOEVENTO="Manual",$M228=1),$M228&gt;(ROW(PLE.lastrow)-ROW(PLE.firstrow))),0,IF(OFFSET(PLE!$G$14,$M228,CH$13)="",10^12,OFFSET(PLE!$G$14,$M228,CH$13))))</f>
        <v>1000000000000</v>
      </c>
      <c r="CI228" s="216">
        <f ca="1">IF($D228&lt;&gt;"Serviço",0,IF(OR(AND(AUTOEVENTO="Manual",$M228=1),$M228&gt;(ROW(PLE.lastrow)-ROW(PLE.firstrow))),0,IF(OFFSET(PLE!$G$14,$M228,CI$13)="",10^12,OFFSET(PLE!$G$14,$M228,CI$13))))</f>
        <v>1000000000000</v>
      </c>
      <c r="CJ228" s="216">
        <f ca="1">IF($D228&lt;&gt;"Serviço",0,IF(OR(AND(AUTOEVENTO="Manual",$M228=1),$M228&gt;(ROW(PLE.lastrow)-ROW(PLE.firstrow))),0,IF(OFFSET(PLE!$G$14,$M228,CJ$13)="",10^12,OFFSET(PLE!$G$14,$M228,CJ$13))))</f>
        <v>1000000000000</v>
      </c>
      <c r="CK228" s="216">
        <f ca="1">IF($D228&lt;&gt;"Serviço",0,IF(OR(AND(AUTOEVENTO="Manual",$M228=1),$M228&gt;(ROW(PLE.lastrow)-ROW(PLE.firstrow))),0,IF(OFFSET(PLE!$G$14,$M228,CK$13)="",10^12,OFFSET(PLE!$G$14,$M228,CK$13))))</f>
        <v>1000000000000</v>
      </c>
      <c r="CL228" s="216">
        <f ca="1">IF($D228&lt;&gt;"Serviço",0,IF(OR(AND(AUTOEVENTO="Manual",$M228=1),$M228&gt;(ROW(PLE.lastrow)-ROW(PLE.firstrow))),0,IF(OFFSET(PLE!$G$14,$M228,CL$13)="",10^12,OFFSET(PLE!$G$14,$M228,CL$13))))</f>
        <v>1000000000000</v>
      </c>
      <c r="CM228" s="216">
        <f ca="1">IF($D228&lt;&gt;"Serviço",0,IF(OR(AND(AUTOEVENTO="Manual",$M228=1),$M228&gt;(ROW(PLE.lastrow)-ROW(PLE.firstrow))),0,IF(OFFSET(PLE!$G$14,$M228,CM$13)="",10^12,OFFSET(PLE!$G$14,$M228,CM$13))))</f>
        <v>1000000000000</v>
      </c>
    </row>
    <row r="229" spans="1:91" ht="13.2" x14ac:dyDescent="0.25">
      <c r="A229" s="9">
        <f t="shared" ca="1" si="12"/>
        <v>0</v>
      </c>
      <c r="B229" s="9" t="str">
        <f ca="1">OFFSET(ORÇAMENTO!C$15,ROW(B229)-ROW(B$15),0)</f>
        <v>S</v>
      </c>
      <c r="C229" s="9" t="str">
        <f ca="1">OFFSET(ORÇAMENTO!L$15,ROW(C229)-ROW(C$15),0)</f>
        <v/>
      </c>
      <c r="D229" s="145" t="str">
        <f ca="1">OFFSET(ORÇAMENTO!N$15,ROW(D229)-ROW(D$15),0)</f>
        <v>Serviço</v>
      </c>
      <c r="E229" s="205" t="str">
        <f ca="1">OFFSET(ORÇAMENTO!O$15,ROW(E229)-ROW(E$15),0)</f>
        <v>-</v>
      </c>
      <c r="F229" s="206" t="str">
        <f ca="1">OFFSET(ORÇAMENTO!R$15,ROW(F229)-ROW(F$15),0)</f>
        <v>(abra o arquivo 'Referência 05-2024.xls)</v>
      </c>
      <c r="G229" s="207" t="str">
        <f ca="1">IF($D229&lt;&gt;"Serviço","",OFFSET(ORÇAMENTO!S$15,ROW(G229)-ROW(G$15),0))</f>
        <v>-</v>
      </c>
      <c r="H229" s="151">
        <f ca="1">IF($D229&lt;&gt;"Serviço",0,IF(ACOMPANHAMENTO="BM",ROUND(OFFSET(ORÇAMENTO!AJ$15,ROW(H229)-ROW(H$15),0),15-13*ORÇAMENTO!$AF$7),SUMPRODUCT(($Q$12:$AI$12&lt;&gt;"")*ROUND($Q229:$AI229,15-13*ORÇAMENTO!$AF$7))))</f>
        <v>157.49</v>
      </c>
      <c r="I229" s="650"/>
      <c r="K229" s="208"/>
      <c r="L229" s="209" t="s">
        <v>257</v>
      </c>
      <c r="M229" s="210">
        <f ca="1">IF($D229&lt;&gt;"Serviço","",IF(AUTOEVENTO="manual",$A229,IF(ISERROR(MATCH($A229,$A$15:OFFSET($A229,-1,0),0)),MAX($M$15:OFFSET(M229,-1,0))+1,INDEX($M$15:OFFSET(M229,-1,0),MATCH($A229,$A$15:OFFSET($A229,-1,0),0)))))</f>
        <v>0</v>
      </c>
      <c r="N229" s="211" t="str">
        <f ca="1">IF($D229&lt;&gt;"Serviço","",IF(AUTOEVENTO="Manual",IF($A229=0,"&lt;-- defina o número do agrupador",OFFSET(EVENTOS!$D$14,$A229,0)),OFFSET($F$15,$A229,0)))</f>
        <v>&lt;-- defina o número do agrupador</v>
      </c>
      <c r="O229" s="212"/>
      <c r="Q229" s="212"/>
      <c r="R229" s="213"/>
      <c r="S229" s="213"/>
      <c r="T229" s="213"/>
      <c r="U229" s="213"/>
      <c r="V229" s="213"/>
      <c r="W229" s="213"/>
      <c r="X229" s="213"/>
      <c r="Y229" s="213"/>
      <c r="Z229" s="214"/>
      <c r="AA229" s="213"/>
      <c r="AB229" s="213"/>
      <c r="AC229" s="213"/>
      <c r="AD229" s="213"/>
      <c r="AE229" s="213"/>
      <c r="AF229" s="213"/>
      <c r="AG229" s="213"/>
      <c r="AH229" s="214"/>
      <c r="AJ229" s="631">
        <f ca="1">IF(AND($D229="Serviço",AJ$12&lt;&gt;0,$H229&gt;0,OR(AUTOEVENTO&lt;&gt;"manual",$M229&lt;&gt;1)),ROUND(OFFSET($P229,0,AJ$13),15-13*ORÇAMENTO!$AF$7)/$H229*OFFSET(ORÇAMENTO!$X$15,ROW(AJ229)-ROW(AJ$15),0),0)</f>
        <v>0</v>
      </c>
      <c r="AK229" s="632">
        <f ca="1">IF(AND($D229="Serviço",AK$12&lt;&gt;0,$H229&gt;0,OR(AUTOEVENTO&lt;&gt;"manual",$M229&lt;&gt;1)),ROUND(OFFSET($P229,0,AK$13),15-13*ORÇAMENTO!$AF$7)/$H229*OFFSET(ORÇAMENTO!$X$15,ROW(AK229)-ROW(AK$15),0),0)</f>
        <v>0</v>
      </c>
      <c r="AL229" s="632">
        <f ca="1">IF(AND($D229="Serviço",AL$12&lt;&gt;0,$H229&gt;0,OR(AUTOEVENTO&lt;&gt;"manual",$M229&lt;&gt;1)),ROUND(OFFSET($P229,0,AL$13),15-13*ORÇAMENTO!$AF$7)/$H229*OFFSET(ORÇAMENTO!$X$15,ROW(AL229)-ROW(AL$15),0),0)</f>
        <v>0</v>
      </c>
      <c r="AM229" s="632">
        <f ca="1">IF(AND($D229="Serviço",AM$12&lt;&gt;0,$H229&gt;0,OR(AUTOEVENTO&lt;&gt;"manual",$M229&lt;&gt;1)),ROUND(OFFSET($P229,0,AM$13),15-13*ORÇAMENTO!$AF$7)/$H229*OFFSET(ORÇAMENTO!$X$15,ROW(AM229)-ROW(AM$15),0),0)</f>
        <v>0</v>
      </c>
      <c r="AN229" s="632">
        <f ca="1">IF(AND($D229="Serviço",AN$12&lt;&gt;0,$H229&gt;0,OR(AUTOEVENTO&lt;&gt;"manual",$M229&lt;&gt;1)),ROUND(OFFSET($P229,0,AN$13),15-13*ORÇAMENTO!$AF$7)/$H229*OFFSET(ORÇAMENTO!$X$15,ROW(AN229)-ROW(AN$15),0),0)</f>
        <v>0</v>
      </c>
      <c r="AO229" s="632">
        <f ca="1">IF(AND($D229="Serviço",AO$12&lt;&gt;0,$H229&gt;0,OR(AUTOEVENTO&lt;&gt;"manual",$M229&lt;&gt;1)),ROUND(OFFSET($P229,0,AO$13),15-13*ORÇAMENTO!$AF$7)/$H229*OFFSET(ORÇAMENTO!$X$15,ROW(AO229)-ROW(AO$15),0),0)</f>
        <v>0</v>
      </c>
      <c r="AP229" s="632">
        <f ca="1">IF(AND($D229="Serviço",AP$12&lt;&gt;0,$H229&gt;0,OR(AUTOEVENTO&lt;&gt;"manual",$M229&lt;&gt;1)),ROUND(OFFSET($P229,0,AP$13),15-13*ORÇAMENTO!$AF$7)/$H229*OFFSET(ORÇAMENTO!$X$15,ROW(AP229)-ROW(AP$15),0),0)</f>
        <v>0</v>
      </c>
      <c r="AQ229" s="632">
        <f ca="1">IF(AND($D229="Serviço",AQ$12&lt;&gt;0,$H229&gt;0,OR(AUTOEVENTO&lt;&gt;"manual",$M229&lt;&gt;1)),ROUND(OFFSET($P229,0,AQ$13),15-13*ORÇAMENTO!$AF$7)/$H229*OFFSET(ORÇAMENTO!$X$15,ROW(AQ229)-ROW(AQ$15),0),0)</f>
        <v>0</v>
      </c>
      <c r="AR229" s="632">
        <f ca="1">IF(AND($D229="Serviço",AR$12&lt;&gt;0,$H229&gt;0,OR(AUTOEVENTO&lt;&gt;"manual",$M229&lt;&gt;1)),ROUND(OFFSET($P229,0,AR$13),15-13*ORÇAMENTO!$AF$7)/$H229*OFFSET(ORÇAMENTO!$X$15,ROW(AR229)-ROW(AR$15),0),0)</f>
        <v>0</v>
      </c>
      <c r="AS229" s="633">
        <f ca="1">IF(AND($D229="Serviço",AS$12&lt;&gt;0,$H229&gt;0,OR(AUTOEVENTO&lt;&gt;"manual",$M229&lt;&gt;1)),ROUND(OFFSET($P229,0,AS$13),15-13*ORÇAMENTO!$AF$7)/$H229*OFFSET(ORÇAMENTO!$X$15,ROW(AS229)-ROW(AS$15),0),0)</f>
        <v>0</v>
      </c>
      <c r="AT229" s="632">
        <f ca="1">IF(AND($D229="Serviço",AT$12&lt;&gt;0,$H229&gt;0,OR(AUTOEVENTO&lt;&gt;"manual",$M229&lt;&gt;1)),ROUND(OFFSET($P229,0,AT$13),15-13*ORÇAMENTO!$AF$7)/$H229*OFFSET(ORÇAMENTO!$X$15,ROW(AT229)-ROW(AT$15),0),0)</f>
        <v>0</v>
      </c>
      <c r="AU229" s="632">
        <f ca="1">IF(AND($D229="Serviço",AU$12&lt;&gt;0,$H229&gt;0,OR(AUTOEVENTO&lt;&gt;"manual",$M229&lt;&gt;1)),ROUND(OFFSET($P229,0,AU$13),15-13*ORÇAMENTO!$AF$7)/$H229*OFFSET(ORÇAMENTO!$X$15,ROW(AU229)-ROW(AU$15),0),0)</f>
        <v>0</v>
      </c>
      <c r="AV229" s="632">
        <f ca="1">IF(AND($D229="Serviço",AV$12&lt;&gt;0,$H229&gt;0,OR(AUTOEVENTO&lt;&gt;"manual",$M229&lt;&gt;1)),ROUND(OFFSET($P229,0,AV$13),15-13*ORÇAMENTO!$AF$7)/$H229*OFFSET(ORÇAMENTO!$X$15,ROW(AV229)-ROW(AV$15),0),0)</f>
        <v>0</v>
      </c>
      <c r="AW229" s="632">
        <f ca="1">IF(AND($D229="Serviço",AW$12&lt;&gt;0,$H229&gt;0,OR(AUTOEVENTO&lt;&gt;"manual",$M229&lt;&gt;1)),ROUND(OFFSET($P229,0,AW$13),15-13*ORÇAMENTO!$AF$7)/$H229*OFFSET(ORÇAMENTO!$X$15,ROW(AW229)-ROW(AW$15),0),0)</f>
        <v>0</v>
      </c>
      <c r="AX229" s="632">
        <f ca="1">IF(AND($D229="Serviço",AX$12&lt;&gt;0,$H229&gt;0,OR(AUTOEVENTO&lt;&gt;"manual",$M229&lt;&gt;1)),ROUND(OFFSET($P229,0,AX$13),15-13*ORÇAMENTO!$AF$7)/$H229*OFFSET(ORÇAMENTO!$X$15,ROW(AX229)-ROW(AX$15),0),0)</f>
        <v>0</v>
      </c>
      <c r="AY229" s="632">
        <f ca="1">IF(AND($D229="Serviço",AY$12&lt;&gt;0,$H229&gt;0,OR(AUTOEVENTO&lt;&gt;"manual",$M229&lt;&gt;1)),ROUND(OFFSET($P229,0,AY$13),15-13*ORÇAMENTO!$AF$7)/$H229*OFFSET(ORÇAMENTO!$X$15,ROW(AY229)-ROW(AY$15),0),0)</f>
        <v>0</v>
      </c>
      <c r="AZ229" s="632">
        <f ca="1">IF(AND($D229="Serviço",AZ$12&lt;&gt;0,$H229&gt;0,OR(AUTOEVENTO&lt;&gt;"manual",$M229&lt;&gt;1)),ROUND(OFFSET($P229,0,AZ$13),15-13*ORÇAMENTO!$AF$7)/$H229*OFFSET(ORÇAMENTO!$X$15,ROW(AZ229)-ROW(AZ$15),0),0)</f>
        <v>0</v>
      </c>
      <c r="BA229" s="633">
        <f ca="1">IF(AND($D229="Serviço",BA$12&lt;&gt;0,$H229&gt;0,OR(AUTOEVENTO&lt;&gt;"manual",$M229&lt;&gt;1)),ROUND(OFFSET($P229,0,BA$13),15-13*ORÇAMENTO!$AF$7)/$H229*OFFSET(ORÇAMENTO!$X$15,ROW(BA229)-ROW(BA$15),0),0)</f>
        <v>0</v>
      </c>
      <c r="BC229" s="215">
        <f ca="1">IF($D229&lt;&gt;"Serviço",0,IF(AND(AUTOEVENTO="Manual",$M229=1),0,IF(OFFSET(CRONOPLE!$F$14,$M229,BC$13)="",10^12,OFFSET(CRONOPLE!$F$14,$M229,BC$13))))</f>
        <v>1000000000000</v>
      </c>
      <c r="BD229" s="215">
        <f ca="1">IF($D229&lt;&gt;"Serviço",0,IF(AND(AUTOEVENTO="Manual",$M229=1),0,IF(OFFSET(CRONOPLE!$F$14,$M229,BD$13)="",10^12,OFFSET(CRONOPLE!$F$14,$M229,BD$13))))</f>
        <v>1000000000000</v>
      </c>
      <c r="BE229" s="215">
        <f ca="1">IF($D229&lt;&gt;"Serviço",0,IF(AND(AUTOEVENTO="Manual",$M229=1),0,IF(OFFSET(CRONOPLE!$F$14,$M229,BE$13)="",10^12,OFFSET(CRONOPLE!$F$14,$M229,BE$13))))</f>
        <v>1000000000000</v>
      </c>
      <c r="BF229" s="215">
        <f ca="1">IF($D229&lt;&gt;"Serviço",0,IF(AND(AUTOEVENTO="Manual",$M229=1),0,IF(OFFSET(CRONOPLE!$F$14,$M229,BF$13)="",10^12,OFFSET(CRONOPLE!$F$14,$M229,BF$13))))</f>
        <v>1000000000000</v>
      </c>
      <c r="BG229" s="215">
        <f ca="1">IF($D229&lt;&gt;"Serviço",0,IF(AND(AUTOEVENTO="Manual",$M229=1),0,IF(OFFSET(CRONOPLE!$F$14,$M229,BG$13)="",10^12,OFFSET(CRONOPLE!$F$14,$M229,BG$13))))</f>
        <v>1000000000000</v>
      </c>
      <c r="BH229" s="215">
        <f ca="1">IF($D229&lt;&gt;"Serviço",0,IF(AND(AUTOEVENTO="Manual",$M229=1),0,IF(OFFSET(CRONOPLE!$F$14,$M229,BH$13)="",10^12,OFFSET(CRONOPLE!$F$14,$M229,BH$13))))</f>
        <v>1000000000000</v>
      </c>
      <c r="BI229" s="215">
        <f ca="1">IF($D229&lt;&gt;"Serviço",0,IF(AND(AUTOEVENTO="Manual",$M229=1),0,IF(OFFSET(CRONOPLE!$F$14,$M229,BI$13)="",10^12,OFFSET(CRONOPLE!$F$14,$M229,BI$13))))</f>
        <v>1000000000000</v>
      </c>
      <c r="BJ229" s="215">
        <f ca="1">IF($D229&lt;&gt;"Serviço",0,IF(AND(AUTOEVENTO="Manual",$M229=1),0,IF(OFFSET(CRONOPLE!$F$14,$M229,BJ$13)="",10^12,OFFSET(CRONOPLE!$F$14,$M229,BJ$13))))</f>
        <v>1000000000000</v>
      </c>
      <c r="BK229" s="215">
        <f ca="1">IF($D229&lt;&gt;"Serviço",0,IF(AND(AUTOEVENTO="Manual",$M229=1),0,IF(OFFSET(CRONOPLE!$F$14,$M229,BK$13)="",10^12,OFFSET(CRONOPLE!$F$14,$M229,BK$13))))</f>
        <v>1000000000000</v>
      </c>
      <c r="BL229" s="215">
        <f ca="1">IF($D229&lt;&gt;"Serviço",0,IF(AND(AUTOEVENTO="Manual",$M229=1),0,IF(OFFSET(CRONOPLE!$F$14,$M229,BL$13)="",10^12,OFFSET(CRONOPLE!$F$14,$M229,BL$13))))</f>
        <v>1000000000000</v>
      </c>
      <c r="BM229" s="215">
        <f ca="1">IF($D229&lt;&gt;"Serviço",0,IF(AND(AUTOEVENTO="Manual",$M229=1),0,IF(OFFSET(CRONOPLE!$F$14,$M229,BM$13)="",10^12,OFFSET(CRONOPLE!$F$14,$M229,BM$13))))</f>
        <v>1000000000000</v>
      </c>
      <c r="BN229" s="215">
        <f ca="1">IF($D229&lt;&gt;"Serviço",0,IF(AND(AUTOEVENTO="Manual",$M229=1),0,IF(OFFSET(CRONOPLE!$F$14,$M229,BN$13)="",10^12,OFFSET(CRONOPLE!$F$14,$M229,BN$13))))</f>
        <v>1000000000000</v>
      </c>
      <c r="BO229" s="215">
        <f ca="1">IF($D229&lt;&gt;"Serviço",0,IF(AND(AUTOEVENTO="Manual",$M229=1),0,IF(OFFSET(CRONOPLE!$F$14,$M229,BO$13)="",10^12,OFFSET(CRONOPLE!$F$14,$M229,BO$13))))</f>
        <v>1000000000000</v>
      </c>
      <c r="BP229" s="215">
        <f ca="1">IF($D229&lt;&gt;"Serviço",0,IF(AND(AUTOEVENTO="Manual",$M229=1),0,IF(OFFSET(CRONOPLE!$F$14,$M229,BP$13)="",10^12,OFFSET(CRONOPLE!$F$14,$M229,BP$13))))</f>
        <v>1000000000000</v>
      </c>
      <c r="BQ229" s="215">
        <f ca="1">IF($D229&lt;&gt;"Serviço",0,IF(AND(AUTOEVENTO="Manual",$M229=1),0,IF(OFFSET(CRONOPLE!$F$14,$M229,BQ$13)="",10^12,OFFSET(CRONOPLE!$F$14,$M229,BQ$13))))</f>
        <v>1000000000000</v>
      </c>
      <c r="BR229" s="215">
        <f ca="1">IF($D229&lt;&gt;"Serviço",0,IF(AND(AUTOEVENTO="Manual",$M229=1),0,IF(OFFSET(CRONOPLE!$F$14,$M229,BR$13)="",10^12,OFFSET(CRONOPLE!$F$14,$M229,BR$13))))</f>
        <v>1000000000000</v>
      </c>
      <c r="BS229" s="215">
        <f ca="1">IF($D229&lt;&gt;"Serviço",0,IF(AND(AUTOEVENTO="Manual",$M229=1),0,IF(OFFSET(CRONOPLE!$F$14,$M229,BS$13)="",10^12,OFFSET(CRONOPLE!$F$14,$M229,BS$13))))</f>
        <v>1000000000000</v>
      </c>
      <c r="BT229" s="215">
        <f ca="1">IF($D229&lt;&gt;"Serviço",0,IF(AND(AUTOEVENTO="Manual",$M229=1),0,IF(OFFSET(CRONOPLE!$F$14,$M229,BT$13)="",10^12,OFFSET(CRONOPLE!$F$14,$M229,BT$13))))</f>
        <v>1000000000000</v>
      </c>
      <c r="BV229" s="216">
        <f ca="1">IF($D229&lt;&gt;"Serviço",0,IF(OR(AND(AUTOEVENTO="Manual",$M229=1),$M229&gt;(ROW(PLE.lastrow)-ROW(PLE.firstrow))),0,IF(OFFSET(PLE!$G$14,$M229,BV$13)="",10^12,OFFSET(PLE!$G$14,$M229,BV$13))))</f>
        <v>1000000000000</v>
      </c>
      <c r="BW229" s="216">
        <f ca="1">IF($D229&lt;&gt;"Serviço",0,IF(OR(AND(AUTOEVENTO="Manual",$M229=1),$M229&gt;(ROW(PLE.lastrow)-ROW(PLE.firstrow))),0,IF(OFFSET(PLE!$G$14,$M229,BW$13)="",10^12,OFFSET(PLE!$G$14,$M229,BW$13))))</f>
        <v>1000000000000</v>
      </c>
      <c r="BX229" s="216">
        <f ca="1">IF($D229&lt;&gt;"Serviço",0,IF(OR(AND(AUTOEVENTO="Manual",$M229=1),$M229&gt;(ROW(PLE.lastrow)-ROW(PLE.firstrow))),0,IF(OFFSET(PLE!$G$14,$M229,BX$13)="",10^12,OFFSET(PLE!$G$14,$M229,BX$13))))</f>
        <v>1000000000000</v>
      </c>
      <c r="BY229" s="216">
        <f ca="1">IF($D229&lt;&gt;"Serviço",0,IF(OR(AND(AUTOEVENTO="Manual",$M229=1),$M229&gt;(ROW(PLE.lastrow)-ROW(PLE.firstrow))),0,IF(OFFSET(PLE!$G$14,$M229,BY$13)="",10^12,OFFSET(PLE!$G$14,$M229,BY$13))))</f>
        <v>1000000000000</v>
      </c>
      <c r="BZ229" s="216">
        <f ca="1">IF($D229&lt;&gt;"Serviço",0,IF(OR(AND(AUTOEVENTO="Manual",$M229=1),$M229&gt;(ROW(PLE.lastrow)-ROW(PLE.firstrow))),0,IF(OFFSET(PLE!$G$14,$M229,BZ$13)="",10^12,OFFSET(PLE!$G$14,$M229,BZ$13))))</f>
        <v>1000000000000</v>
      </c>
      <c r="CA229" s="216">
        <f ca="1">IF($D229&lt;&gt;"Serviço",0,IF(OR(AND(AUTOEVENTO="Manual",$M229=1),$M229&gt;(ROW(PLE.lastrow)-ROW(PLE.firstrow))),0,IF(OFFSET(PLE!$G$14,$M229,CA$13)="",10^12,OFFSET(PLE!$G$14,$M229,CA$13))))</f>
        <v>1000000000000</v>
      </c>
      <c r="CB229" s="216">
        <f ca="1">IF($D229&lt;&gt;"Serviço",0,IF(OR(AND(AUTOEVENTO="Manual",$M229=1),$M229&gt;(ROW(PLE.lastrow)-ROW(PLE.firstrow))),0,IF(OFFSET(PLE!$G$14,$M229,CB$13)="",10^12,OFFSET(PLE!$G$14,$M229,CB$13))))</f>
        <v>1000000000000</v>
      </c>
      <c r="CC229" s="216">
        <f ca="1">IF($D229&lt;&gt;"Serviço",0,IF(OR(AND(AUTOEVENTO="Manual",$M229=1),$M229&gt;(ROW(PLE.lastrow)-ROW(PLE.firstrow))),0,IF(OFFSET(PLE!$G$14,$M229,CC$13)="",10^12,OFFSET(PLE!$G$14,$M229,CC$13))))</f>
        <v>1000000000000</v>
      </c>
      <c r="CD229" s="216">
        <f ca="1">IF($D229&lt;&gt;"Serviço",0,IF(OR(AND(AUTOEVENTO="Manual",$M229=1),$M229&gt;(ROW(PLE.lastrow)-ROW(PLE.firstrow))),0,IF(OFFSET(PLE!$G$14,$M229,CD$13)="",10^12,OFFSET(PLE!$G$14,$M229,CD$13))))</f>
        <v>1000000000000</v>
      </c>
      <c r="CE229" s="216">
        <f ca="1">IF($D229&lt;&gt;"Serviço",0,IF(OR(AND(AUTOEVENTO="Manual",$M229=1),$M229&gt;(ROW(PLE.lastrow)-ROW(PLE.firstrow))),0,IF(OFFSET(PLE!$G$14,$M229,CE$13)="",10^12,OFFSET(PLE!$G$14,$M229,CE$13))))</f>
        <v>1000000000000</v>
      </c>
      <c r="CF229" s="216">
        <f ca="1">IF($D229&lt;&gt;"Serviço",0,IF(OR(AND(AUTOEVENTO="Manual",$M229=1),$M229&gt;(ROW(PLE.lastrow)-ROW(PLE.firstrow))),0,IF(OFFSET(PLE!$G$14,$M229,CF$13)="",10^12,OFFSET(PLE!$G$14,$M229,CF$13))))</f>
        <v>1000000000000</v>
      </c>
      <c r="CG229" s="216">
        <f ca="1">IF($D229&lt;&gt;"Serviço",0,IF(OR(AND(AUTOEVENTO="Manual",$M229=1),$M229&gt;(ROW(PLE.lastrow)-ROW(PLE.firstrow))),0,IF(OFFSET(PLE!$G$14,$M229,CG$13)="",10^12,OFFSET(PLE!$G$14,$M229,CG$13))))</f>
        <v>1000000000000</v>
      </c>
      <c r="CH229" s="216">
        <f ca="1">IF($D229&lt;&gt;"Serviço",0,IF(OR(AND(AUTOEVENTO="Manual",$M229=1),$M229&gt;(ROW(PLE.lastrow)-ROW(PLE.firstrow))),0,IF(OFFSET(PLE!$G$14,$M229,CH$13)="",10^12,OFFSET(PLE!$G$14,$M229,CH$13))))</f>
        <v>1000000000000</v>
      </c>
      <c r="CI229" s="216">
        <f ca="1">IF($D229&lt;&gt;"Serviço",0,IF(OR(AND(AUTOEVENTO="Manual",$M229=1),$M229&gt;(ROW(PLE.lastrow)-ROW(PLE.firstrow))),0,IF(OFFSET(PLE!$G$14,$M229,CI$13)="",10^12,OFFSET(PLE!$G$14,$M229,CI$13))))</f>
        <v>1000000000000</v>
      </c>
      <c r="CJ229" s="216">
        <f ca="1">IF($D229&lt;&gt;"Serviço",0,IF(OR(AND(AUTOEVENTO="Manual",$M229=1),$M229&gt;(ROW(PLE.lastrow)-ROW(PLE.firstrow))),0,IF(OFFSET(PLE!$G$14,$M229,CJ$13)="",10^12,OFFSET(PLE!$G$14,$M229,CJ$13))))</f>
        <v>1000000000000</v>
      </c>
      <c r="CK229" s="216">
        <f ca="1">IF($D229&lt;&gt;"Serviço",0,IF(OR(AND(AUTOEVENTO="Manual",$M229=1),$M229&gt;(ROW(PLE.lastrow)-ROW(PLE.firstrow))),0,IF(OFFSET(PLE!$G$14,$M229,CK$13)="",10^12,OFFSET(PLE!$G$14,$M229,CK$13))))</f>
        <v>1000000000000</v>
      </c>
      <c r="CL229" s="216">
        <f ca="1">IF($D229&lt;&gt;"Serviço",0,IF(OR(AND(AUTOEVENTO="Manual",$M229=1),$M229&gt;(ROW(PLE.lastrow)-ROW(PLE.firstrow))),0,IF(OFFSET(PLE!$G$14,$M229,CL$13)="",10^12,OFFSET(PLE!$G$14,$M229,CL$13))))</f>
        <v>1000000000000</v>
      </c>
      <c r="CM229" s="216">
        <f ca="1">IF($D229&lt;&gt;"Serviço",0,IF(OR(AND(AUTOEVENTO="Manual",$M229=1),$M229&gt;(ROW(PLE.lastrow)-ROW(PLE.firstrow))),0,IF(OFFSET(PLE!$G$14,$M229,CM$13)="",10^12,OFFSET(PLE!$G$14,$M229,CM$13))))</f>
        <v>1000000000000</v>
      </c>
    </row>
    <row r="230" spans="1:91" ht="13.2" x14ac:dyDescent="0.25">
      <c r="A230" s="9">
        <f t="shared" ca="1" si="12"/>
        <v>0</v>
      </c>
      <c r="B230" s="9" t="str">
        <f ca="1">OFFSET(ORÇAMENTO!C$15,ROW(B230)-ROW(B$15),0)</f>
        <v>S</v>
      </c>
      <c r="C230" s="9" t="str">
        <f ca="1">OFFSET(ORÇAMENTO!L$15,ROW(C230)-ROW(C$15),0)</f>
        <v/>
      </c>
      <c r="D230" s="145" t="str">
        <f ca="1">OFFSET(ORÇAMENTO!N$15,ROW(D230)-ROW(D$15),0)</f>
        <v>Serviço</v>
      </c>
      <c r="E230" s="205" t="str">
        <f ca="1">OFFSET(ORÇAMENTO!O$15,ROW(E230)-ROW(E$15),0)</f>
        <v>-</v>
      </c>
      <c r="F230" s="206" t="str">
        <f ca="1">OFFSET(ORÇAMENTO!R$15,ROW(F230)-ROW(F$15),0)</f>
        <v>(abra o arquivo 'Referência 05-2024.xls)</v>
      </c>
      <c r="G230" s="207" t="str">
        <f ca="1">IF($D230&lt;&gt;"Serviço","",OFFSET(ORÇAMENTO!S$15,ROW(G230)-ROW(G$15),0))</f>
        <v>-</v>
      </c>
      <c r="H230" s="151">
        <f ca="1">IF($D230&lt;&gt;"Serviço",0,IF(ACOMPANHAMENTO="BM",ROUND(OFFSET(ORÇAMENTO!AJ$15,ROW(H230)-ROW(H$15),0),15-13*ORÇAMENTO!$AF$7),SUMPRODUCT(($Q$12:$AI$12&lt;&gt;"")*ROUND($Q230:$AI230,15-13*ORÇAMENTO!$AF$7))))</f>
        <v>307.08999999999997</v>
      </c>
      <c r="I230" s="650"/>
      <c r="K230" s="208"/>
      <c r="L230" s="209" t="s">
        <v>257</v>
      </c>
      <c r="M230" s="210">
        <f ca="1">IF($D230&lt;&gt;"Serviço","",IF(AUTOEVENTO="manual",$A230,IF(ISERROR(MATCH($A230,$A$15:OFFSET($A230,-1,0),0)),MAX($M$15:OFFSET(M230,-1,0))+1,INDEX($M$15:OFFSET(M230,-1,0),MATCH($A230,$A$15:OFFSET($A230,-1,0),0)))))</f>
        <v>0</v>
      </c>
      <c r="N230" s="211" t="str">
        <f ca="1">IF($D230&lt;&gt;"Serviço","",IF(AUTOEVENTO="Manual",IF($A230=0,"&lt;-- defina o número do agrupador",OFFSET(EVENTOS!$D$14,$A230,0)),OFFSET($F$15,$A230,0)))</f>
        <v>&lt;-- defina o número do agrupador</v>
      </c>
      <c r="O230" s="212"/>
      <c r="Q230" s="212"/>
      <c r="R230" s="213"/>
      <c r="S230" s="213"/>
      <c r="T230" s="213"/>
      <c r="U230" s="213"/>
      <c r="V230" s="213"/>
      <c r="W230" s="213"/>
      <c r="X230" s="213"/>
      <c r="Y230" s="213"/>
      <c r="Z230" s="214"/>
      <c r="AA230" s="213"/>
      <c r="AB230" s="213"/>
      <c r="AC230" s="213"/>
      <c r="AD230" s="213"/>
      <c r="AE230" s="213"/>
      <c r="AF230" s="213"/>
      <c r="AG230" s="213"/>
      <c r="AH230" s="214"/>
      <c r="AJ230" s="631">
        <f ca="1">IF(AND($D230="Serviço",AJ$12&lt;&gt;0,$H230&gt;0,OR(AUTOEVENTO&lt;&gt;"manual",$M230&lt;&gt;1)),ROUND(OFFSET($P230,0,AJ$13),15-13*ORÇAMENTO!$AF$7)/$H230*OFFSET(ORÇAMENTO!$X$15,ROW(AJ230)-ROW(AJ$15),0),0)</f>
        <v>0</v>
      </c>
      <c r="AK230" s="632">
        <f ca="1">IF(AND($D230="Serviço",AK$12&lt;&gt;0,$H230&gt;0,OR(AUTOEVENTO&lt;&gt;"manual",$M230&lt;&gt;1)),ROUND(OFFSET($P230,0,AK$13),15-13*ORÇAMENTO!$AF$7)/$H230*OFFSET(ORÇAMENTO!$X$15,ROW(AK230)-ROW(AK$15),0),0)</f>
        <v>0</v>
      </c>
      <c r="AL230" s="632">
        <f ca="1">IF(AND($D230="Serviço",AL$12&lt;&gt;0,$H230&gt;0,OR(AUTOEVENTO&lt;&gt;"manual",$M230&lt;&gt;1)),ROUND(OFFSET($P230,0,AL$13),15-13*ORÇAMENTO!$AF$7)/$H230*OFFSET(ORÇAMENTO!$X$15,ROW(AL230)-ROW(AL$15),0),0)</f>
        <v>0</v>
      </c>
      <c r="AM230" s="632">
        <f ca="1">IF(AND($D230="Serviço",AM$12&lt;&gt;0,$H230&gt;0,OR(AUTOEVENTO&lt;&gt;"manual",$M230&lt;&gt;1)),ROUND(OFFSET($P230,0,AM$13),15-13*ORÇAMENTO!$AF$7)/$H230*OFFSET(ORÇAMENTO!$X$15,ROW(AM230)-ROW(AM$15),0),0)</f>
        <v>0</v>
      </c>
      <c r="AN230" s="632">
        <f ca="1">IF(AND($D230="Serviço",AN$12&lt;&gt;0,$H230&gt;0,OR(AUTOEVENTO&lt;&gt;"manual",$M230&lt;&gt;1)),ROUND(OFFSET($P230,0,AN$13),15-13*ORÇAMENTO!$AF$7)/$H230*OFFSET(ORÇAMENTO!$X$15,ROW(AN230)-ROW(AN$15),0),0)</f>
        <v>0</v>
      </c>
      <c r="AO230" s="632">
        <f ca="1">IF(AND($D230="Serviço",AO$12&lt;&gt;0,$H230&gt;0,OR(AUTOEVENTO&lt;&gt;"manual",$M230&lt;&gt;1)),ROUND(OFFSET($P230,0,AO$13),15-13*ORÇAMENTO!$AF$7)/$H230*OFFSET(ORÇAMENTO!$X$15,ROW(AO230)-ROW(AO$15),0),0)</f>
        <v>0</v>
      </c>
      <c r="AP230" s="632">
        <f ca="1">IF(AND($D230="Serviço",AP$12&lt;&gt;0,$H230&gt;0,OR(AUTOEVENTO&lt;&gt;"manual",$M230&lt;&gt;1)),ROUND(OFFSET($P230,0,AP$13),15-13*ORÇAMENTO!$AF$7)/$H230*OFFSET(ORÇAMENTO!$X$15,ROW(AP230)-ROW(AP$15),0),0)</f>
        <v>0</v>
      </c>
      <c r="AQ230" s="632">
        <f ca="1">IF(AND($D230="Serviço",AQ$12&lt;&gt;0,$H230&gt;0,OR(AUTOEVENTO&lt;&gt;"manual",$M230&lt;&gt;1)),ROUND(OFFSET($P230,0,AQ$13),15-13*ORÇAMENTO!$AF$7)/$H230*OFFSET(ORÇAMENTO!$X$15,ROW(AQ230)-ROW(AQ$15),0),0)</f>
        <v>0</v>
      </c>
      <c r="AR230" s="632">
        <f ca="1">IF(AND($D230="Serviço",AR$12&lt;&gt;0,$H230&gt;0,OR(AUTOEVENTO&lt;&gt;"manual",$M230&lt;&gt;1)),ROUND(OFFSET($P230,0,AR$13),15-13*ORÇAMENTO!$AF$7)/$H230*OFFSET(ORÇAMENTO!$X$15,ROW(AR230)-ROW(AR$15),0),0)</f>
        <v>0</v>
      </c>
      <c r="AS230" s="633">
        <f ca="1">IF(AND($D230="Serviço",AS$12&lt;&gt;0,$H230&gt;0,OR(AUTOEVENTO&lt;&gt;"manual",$M230&lt;&gt;1)),ROUND(OFFSET($P230,0,AS$13),15-13*ORÇAMENTO!$AF$7)/$H230*OFFSET(ORÇAMENTO!$X$15,ROW(AS230)-ROW(AS$15),0),0)</f>
        <v>0</v>
      </c>
      <c r="AT230" s="632">
        <f ca="1">IF(AND($D230="Serviço",AT$12&lt;&gt;0,$H230&gt;0,OR(AUTOEVENTO&lt;&gt;"manual",$M230&lt;&gt;1)),ROUND(OFFSET($P230,0,AT$13),15-13*ORÇAMENTO!$AF$7)/$H230*OFFSET(ORÇAMENTO!$X$15,ROW(AT230)-ROW(AT$15),0),0)</f>
        <v>0</v>
      </c>
      <c r="AU230" s="632">
        <f ca="1">IF(AND($D230="Serviço",AU$12&lt;&gt;0,$H230&gt;0,OR(AUTOEVENTO&lt;&gt;"manual",$M230&lt;&gt;1)),ROUND(OFFSET($P230,0,AU$13),15-13*ORÇAMENTO!$AF$7)/$H230*OFFSET(ORÇAMENTO!$X$15,ROW(AU230)-ROW(AU$15),0),0)</f>
        <v>0</v>
      </c>
      <c r="AV230" s="632">
        <f ca="1">IF(AND($D230="Serviço",AV$12&lt;&gt;0,$H230&gt;0,OR(AUTOEVENTO&lt;&gt;"manual",$M230&lt;&gt;1)),ROUND(OFFSET($P230,0,AV$13),15-13*ORÇAMENTO!$AF$7)/$H230*OFFSET(ORÇAMENTO!$X$15,ROW(AV230)-ROW(AV$15),0),0)</f>
        <v>0</v>
      </c>
      <c r="AW230" s="632">
        <f ca="1">IF(AND($D230="Serviço",AW$12&lt;&gt;0,$H230&gt;0,OR(AUTOEVENTO&lt;&gt;"manual",$M230&lt;&gt;1)),ROUND(OFFSET($P230,0,AW$13),15-13*ORÇAMENTO!$AF$7)/$H230*OFFSET(ORÇAMENTO!$X$15,ROW(AW230)-ROW(AW$15),0),0)</f>
        <v>0</v>
      </c>
      <c r="AX230" s="632">
        <f ca="1">IF(AND($D230="Serviço",AX$12&lt;&gt;0,$H230&gt;0,OR(AUTOEVENTO&lt;&gt;"manual",$M230&lt;&gt;1)),ROUND(OFFSET($P230,0,AX$13),15-13*ORÇAMENTO!$AF$7)/$H230*OFFSET(ORÇAMENTO!$X$15,ROW(AX230)-ROW(AX$15),0),0)</f>
        <v>0</v>
      </c>
      <c r="AY230" s="632">
        <f ca="1">IF(AND($D230="Serviço",AY$12&lt;&gt;0,$H230&gt;0,OR(AUTOEVENTO&lt;&gt;"manual",$M230&lt;&gt;1)),ROUND(OFFSET($P230,0,AY$13),15-13*ORÇAMENTO!$AF$7)/$H230*OFFSET(ORÇAMENTO!$X$15,ROW(AY230)-ROW(AY$15),0),0)</f>
        <v>0</v>
      </c>
      <c r="AZ230" s="632">
        <f ca="1">IF(AND($D230="Serviço",AZ$12&lt;&gt;0,$H230&gt;0,OR(AUTOEVENTO&lt;&gt;"manual",$M230&lt;&gt;1)),ROUND(OFFSET($P230,0,AZ$13),15-13*ORÇAMENTO!$AF$7)/$H230*OFFSET(ORÇAMENTO!$X$15,ROW(AZ230)-ROW(AZ$15),0),0)</f>
        <v>0</v>
      </c>
      <c r="BA230" s="633">
        <f ca="1">IF(AND($D230="Serviço",BA$12&lt;&gt;0,$H230&gt;0,OR(AUTOEVENTO&lt;&gt;"manual",$M230&lt;&gt;1)),ROUND(OFFSET($P230,0,BA$13),15-13*ORÇAMENTO!$AF$7)/$H230*OFFSET(ORÇAMENTO!$X$15,ROW(BA230)-ROW(BA$15),0),0)</f>
        <v>0</v>
      </c>
      <c r="BC230" s="215">
        <f ca="1">IF($D230&lt;&gt;"Serviço",0,IF(AND(AUTOEVENTO="Manual",$M230=1),0,IF(OFFSET(CRONOPLE!$F$14,$M230,BC$13)="",10^12,OFFSET(CRONOPLE!$F$14,$M230,BC$13))))</f>
        <v>1000000000000</v>
      </c>
      <c r="BD230" s="215">
        <f ca="1">IF($D230&lt;&gt;"Serviço",0,IF(AND(AUTOEVENTO="Manual",$M230=1),0,IF(OFFSET(CRONOPLE!$F$14,$M230,BD$13)="",10^12,OFFSET(CRONOPLE!$F$14,$M230,BD$13))))</f>
        <v>1000000000000</v>
      </c>
      <c r="BE230" s="215">
        <f ca="1">IF($D230&lt;&gt;"Serviço",0,IF(AND(AUTOEVENTO="Manual",$M230=1),0,IF(OFFSET(CRONOPLE!$F$14,$M230,BE$13)="",10^12,OFFSET(CRONOPLE!$F$14,$M230,BE$13))))</f>
        <v>1000000000000</v>
      </c>
      <c r="BF230" s="215">
        <f ca="1">IF($D230&lt;&gt;"Serviço",0,IF(AND(AUTOEVENTO="Manual",$M230=1),0,IF(OFFSET(CRONOPLE!$F$14,$M230,BF$13)="",10^12,OFFSET(CRONOPLE!$F$14,$M230,BF$13))))</f>
        <v>1000000000000</v>
      </c>
      <c r="BG230" s="215">
        <f ca="1">IF($D230&lt;&gt;"Serviço",0,IF(AND(AUTOEVENTO="Manual",$M230=1),0,IF(OFFSET(CRONOPLE!$F$14,$M230,BG$13)="",10^12,OFFSET(CRONOPLE!$F$14,$M230,BG$13))))</f>
        <v>1000000000000</v>
      </c>
      <c r="BH230" s="215">
        <f ca="1">IF($D230&lt;&gt;"Serviço",0,IF(AND(AUTOEVENTO="Manual",$M230=1),0,IF(OFFSET(CRONOPLE!$F$14,$M230,BH$13)="",10^12,OFFSET(CRONOPLE!$F$14,$M230,BH$13))))</f>
        <v>1000000000000</v>
      </c>
      <c r="BI230" s="215">
        <f ca="1">IF($D230&lt;&gt;"Serviço",0,IF(AND(AUTOEVENTO="Manual",$M230=1),0,IF(OFFSET(CRONOPLE!$F$14,$M230,BI$13)="",10^12,OFFSET(CRONOPLE!$F$14,$M230,BI$13))))</f>
        <v>1000000000000</v>
      </c>
      <c r="BJ230" s="215">
        <f ca="1">IF($D230&lt;&gt;"Serviço",0,IF(AND(AUTOEVENTO="Manual",$M230=1),0,IF(OFFSET(CRONOPLE!$F$14,$M230,BJ$13)="",10^12,OFFSET(CRONOPLE!$F$14,$M230,BJ$13))))</f>
        <v>1000000000000</v>
      </c>
      <c r="BK230" s="215">
        <f ca="1">IF($D230&lt;&gt;"Serviço",0,IF(AND(AUTOEVENTO="Manual",$M230=1),0,IF(OFFSET(CRONOPLE!$F$14,$M230,BK$13)="",10^12,OFFSET(CRONOPLE!$F$14,$M230,BK$13))))</f>
        <v>1000000000000</v>
      </c>
      <c r="BL230" s="215">
        <f ca="1">IF($D230&lt;&gt;"Serviço",0,IF(AND(AUTOEVENTO="Manual",$M230=1),0,IF(OFFSET(CRONOPLE!$F$14,$M230,BL$13)="",10^12,OFFSET(CRONOPLE!$F$14,$M230,BL$13))))</f>
        <v>1000000000000</v>
      </c>
      <c r="BM230" s="215">
        <f ca="1">IF($D230&lt;&gt;"Serviço",0,IF(AND(AUTOEVENTO="Manual",$M230=1),0,IF(OFFSET(CRONOPLE!$F$14,$M230,BM$13)="",10^12,OFFSET(CRONOPLE!$F$14,$M230,BM$13))))</f>
        <v>1000000000000</v>
      </c>
      <c r="BN230" s="215">
        <f ca="1">IF($D230&lt;&gt;"Serviço",0,IF(AND(AUTOEVENTO="Manual",$M230=1),0,IF(OFFSET(CRONOPLE!$F$14,$M230,BN$13)="",10^12,OFFSET(CRONOPLE!$F$14,$M230,BN$13))))</f>
        <v>1000000000000</v>
      </c>
      <c r="BO230" s="215">
        <f ca="1">IF($D230&lt;&gt;"Serviço",0,IF(AND(AUTOEVENTO="Manual",$M230=1),0,IF(OFFSET(CRONOPLE!$F$14,$M230,BO$13)="",10^12,OFFSET(CRONOPLE!$F$14,$M230,BO$13))))</f>
        <v>1000000000000</v>
      </c>
      <c r="BP230" s="215">
        <f ca="1">IF($D230&lt;&gt;"Serviço",0,IF(AND(AUTOEVENTO="Manual",$M230=1),0,IF(OFFSET(CRONOPLE!$F$14,$M230,BP$13)="",10^12,OFFSET(CRONOPLE!$F$14,$M230,BP$13))))</f>
        <v>1000000000000</v>
      </c>
      <c r="BQ230" s="215">
        <f ca="1">IF($D230&lt;&gt;"Serviço",0,IF(AND(AUTOEVENTO="Manual",$M230=1),0,IF(OFFSET(CRONOPLE!$F$14,$M230,BQ$13)="",10^12,OFFSET(CRONOPLE!$F$14,$M230,BQ$13))))</f>
        <v>1000000000000</v>
      </c>
      <c r="BR230" s="215">
        <f ca="1">IF($D230&lt;&gt;"Serviço",0,IF(AND(AUTOEVENTO="Manual",$M230=1),0,IF(OFFSET(CRONOPLE!$F$14,$M230,BR$13)="",10^12,OFFSET(CRONOPLE!$F$14,$M230,BR$13))))</f>
        <v>1000000000000</v>
      </c>
      <c r="BS230" s="215">
        <f ca="1">IF($D230&lt;&gt;"Serviço",0,IF(AND(AUTOEVENTO="Manual",$M230=1),0,IF(OFFSET(CRONOPLE!$F$14,$M230,BS$13)="",10^12,OFFSET(CRONOPLE!$F$14,$M230,BS$13))))</f>
        <v>1000000000000</v>
      </c>
      <c r="BT230" s="215">
        <f ca="1">IF($D230&lt;&gt;"Serviço",0,IF(AND(AUTOEVENTO="Manual",$M230=1),0,IF(OFFSET(CRONOPLE!$F$14,$M230,BT$13)="",10^12,OFFSET(CRONOPLE!$F$14,$M230,BT$13))))</f>
        <v>1000000000000</v>
      </c>
      <c r="BV230" s="216">
        <f ca="1">IF($D230&lt;&gt;"Serviço",0,IF(OR(AND(AUTOEVENTO="Manual",$M230=1),$M230&gt;(ROW(PLE.lastrow)-ROW(PLE.firstrow))),0,IF(OFFSET(PLE!$G$14,$M230,BV$13)="",10^12,OFFSET(PLE!$G$14,$M230,BV$13))))</f>
        <v>1000000000000</v>
      </c>
      <c r="BW230" s="216">
        <f ca="1">IF($D230&lt;&gt;"Serviço",0,IF(OR(AND(AUTOEVENTO="Manual",$M230=1),$M230&gt;(ROW(PLE.lastrow)-ROW(PLE.firstrow))),0,IF(OFFSET(PLE!$G$14,$M230,BW$13)="",10^12,OFFSET(PLE!$G$14,$M230,BW$13))))</f>
        <v>1000000000000</v>
      </c>
      <c r="BX230" s="216">
        <f ca="1">IF($D230&lt;&gt;"Serviço",0,IF(OR(AND(AUTOEVENTO="Manual",$M230=1),$M230&gt;(ROW(PLE.lastrow)-ROW(PLE.firstrow))),0,IF(OFFSET(PLE!$G$14,$M230,BX$13)="",10^12,OFFSET(PLE!$G$14,$M230,BX$13))))</f>
        <v>1000000000000</v>
      </c>
      <c r="BY230" s="216">
        <f ca="1">IF($D230&lt;&gt;"Serviço",0,IF(OR(AND(AUTOEVENTO="Manual",$M230=1),$M230&gt;(ROW(PLE.lastrow)-ROW(PLE.firstrow))),0,IF(OFFSET(PLE!$G$14,$M230,BY$13)="",10^12,OFFSET(PLE!$G$14,$M230,BY$13))))</f>
        <v>1000000000000</v>
      </c>
      <c r="BZ230" s="216">
        <f ca="1">IF($D230&lt;&gt;"Serviço",0,IF(OR(AND(AUTOEVENTO="Manual",$M230=1),$M230&gt;(ROW(PLE.lastrow)-ROW(PLE.firstrow))),0,IF(OFFSET(PLE!$G$14,$M230,BZ$13)="",10^12,OFFSET(PLE!$G$14,$M230,BZ$13))))</f>
        <v>1000000000000</v>
      </c>
      <c r="CA230" s="216">
        <f ca="1">IF($D230&lt;&gt;"Serviço",0,IF(OR(AND(AUTOEVENTO="Manual",$M230=1),$M230&gt;(ROW(PLE.lastrow)-ROW(PLE.firstrow))),0,IF(OFFSET(PLE!$G$14,$M230,CA$13)="",10^12,OFFSET(PLE!$G$14,$M230,CA$13))))</f>
        <v>1000000000000</v>
      </c>
      <c r="CB230" s="216">
        <f ca="1">IF($D230&lt;&gt;"Serviço",0,IF(OR(AND(AUTOEVENTO="Manual",$M230=1),$M230&gt;(ROW(PLE.lastrow)-ROW(PLE.firstrow))),0,IF(OFFSET(PLE!$G$14,$M230,CB$13)="",10^12,OFFSET(PLE!$G$14,$M230,CB$13))))</f>
        <v>1000000000000</v>
      </c>
      <c r="CC230" s="216">
        <f ca="1">IF($D230&lt;&gt;"Serviço",0,IF(OR(AND(AUTOEVENTO="Manual",$M230=1),$M230&gt;(ROW(PLE.lastrow)-ROW(PLE.firstrow))),0,IF(OFFSET(PLE!$G$14,$M230,CC$13)="",10^12,OFFSET(PLE!$G$14,$M230,CC$13))))</f>
        <v>1000000000000</v>
      </c>
      <c r="CD230" s="216">
        <f ca="1">IF($D230&lt;&gt;"Serviço",0,IF(OR(AND(AUTOEVENTO="Manual",$M230=1),$M230&gt;(ROW(PLE.lastrow)-ROW(PLE.firstrow))),0,IF(OFFSET(PLE!$G$14,$M230,CD$13)="",10^12,OFFSET(PLE!$G$14,$M230,CD$13))))</f>
        <v>1000000000000</v>
      </c>
      <c r="CE230" s="216">
        <f ca="1">IF($D230&lt;&gt;"Serviço",0,IF(OR(AND(AUTOEVENTO="Manual",$M230=1),$M230&gt;(ROW(PLE.lastrow)-ROW(PLE.firstrow))),0,IF(OFFSET(PLE!$G$14,$M230,CE$13)="",10^12,OFFSET(PLE!$G$14,$M230,CE$13))))</f>
        <v>1000000000000</v>
      </c>
      <c r="CF230" s="216">
        <f ca="1">IF($D230&lt;&gt;"Serviço",0,IF(OR(AND(AUTOEVENTO="Manual",$M230=1),$M230&gt;(ROW(PLE.lastrow)-ROW(PLE.firstrow))),0,IF(OFFSET(PLE!$G$14,$M230,CF$13)="",10^12,OFFSET(PLE!$G$14,$M230,CF$13))))</f>
        <v>1000000000000</v>
      </c>
      <c r="CG230" s="216">
        <f ca="1">IF($D230&lt;&gt;"Serviço",0,IF(OR(AND(AUTOEVENTO="Manual",$M230=1),$M230&gt;(ROW(PLE.lastrow)-ROW(PLE.firstrow))),0,IF(OFFSET(PLE!$G$14,$M230,CG$13)="",10^12,OFFSET(PLE!$G$14,$M230,CG$13))))</f>
        <v>1000000000000</v>
      </c>
      <c r="CH230" s="216">
        <f ca="1">IF($D230&lt;&gt;"Serviço",0,IF(OR(AND(AUTOEVENTO="Manual",$M230=1),$M230&gt;(ROW(PLE.lastrow)-ROW(PLE.firstrow))),0,IF(OFFSET(PLE!$G$14,$M230,CH$13)="",10^12,OFFSET(PLE!$G$14,$M230,CH$13))))</f>
        <v>1000000000000</v>
      </c>
      <c r="CI230" s="216">
        <f ca="1">IF($D230&lt;&gt;"Serviço",0,IF(OR(AND(AUTOEVENTO="Manual",$M230=1),$M230&gt;(ROW(PLE.lastrow)-ROW(PLE.firstrow))),0,IF(OFFSET(PLE!$G$14,$M230,CI$13)="",10^12,OFFSET(PLE!$G$14,$M230,CI$13))))</f>
        <v>1000000000000</v>
      </c>
      <c r="CJ230" s="216">
        <f ca="1">IF($D230&lt;&gt;"Serviço",0,IF(OR(AND(AUTOEVENTO="Manual",$M230=1),$M230&gt;(ROW(PLE.lastrow)-ROW(PLE.firstrow))),0,IF(OFFSET(PLE!$G$14,$M230,CJ$13)="",10^12,OFFSET(PLE!$G$14,$M230,CJ$13))))</f>
        <v>1000000000000</v>
      </c>
      <c r="CK230" s="216">
        <f ca="1">IF($D230&lt;&gt;"Serviço",0,IF(OR(AND(AUTOEVENTO="Manual",$M230=1),$M230&gt;(ROW(PLE.lastrow)-ROW(PLE.firstrow))),0,IF(OFFSET(PLE!$G$14,$M230,CK$13)="",10^12,OFFSET(PLE!$G$14,$M230,CK$13))))</f>
        <v>1000000000000</v>
      </c>
      <c r="CL230" s="216">
        <f ca="1">IF($D230&lt;&gt;"Serviço",0,IF(OR(AND(AUTOEVENTO="Manual",$M230=1),$M230&gt;(ROW(PLE.lastrow)-ROW(PLE.firstrow))),0,IF(OFFSET(PLE!$G$14,$M230,CL$13)="",10^12,OFFSET(PLE!$G$14,$M230,CL$13))))</f>
        <v>1000000000000</v>
      </c>
      <c r="CM230" s="216">
        <f ca="1">IF($D230&lt;&gt;"Serviço",0,IF(OR(AND(AUTOEVENTO="Manual",$M230=1),$M230&gt;(ROW(PLE.lastrow)-ROW(PLE.firstrow))),0,IF(OFFSET(PLE!$G$14,$M230,CM$13)="",10^12,OFFSET(PLE!$G$14,$M230,CM$13))))</f>
        <v>1000000000000</v>
      </c>
    </row>
    <row r="231" spans="1:91" ht="13.2" x14ac:dyDescent="0.25">
      <c r="A231" s="9">
        <f t="shared" ca="1" si="12"/>
        <v>0</v>
      </c>
      <c r="B231" s="9" t="str">
        <f ca="1">OFFSET(ORÇAMENTO!C$15,ROW(B231)-ROW(B$15),0)</f>
        <v>S</v>
      </c>
      <c r="C231" s="9" t="str">
        <f ca="1">OFFSET(ORÇAMENTO!L$15,ROW(C231)-ROW(C$15),0)</f>
        <v/>
      </c>
      <c r="D231" s="145" t="str">
        <f ca="1">OFFSET(ORÇAMENTO!N$15,ROW(D231)-ROW(D$15),0)</f>
        <v>Serviço</v>
      </c>
      <c r="E231" s="205" t="str">
        <f ca="1">OFFSET(ORÇAMENTO!O$15,ROW(E231)-ROW(E$15),0)</f>
        <v>-</v>
      </c>
      <c r="F231" s="206" t="str">
        <f ca="1">OFFSET(ORÇAMENTO!R$15,ROW(F231)-ROW(F$15),0)</f>
        <v>(abra o arquivo 'Referência 05-2024.xls)</v>
      </c>
      <c r="G231" s="207" t="str">
        <f ca="1">IF($D231&lt;&gt;"Serviço","",OFFSET(ORÇAMENTO!S$15,ROW(G231)-ROW(G$15),0))</f>
        <v>-</v>
      </c>
      <c r="H231" s="151">
        <f ca="1">IF($D231&lt;&gt;"Serviço",0,IF(ACOMPANHAMENTO="BM",ROUND(OFFSET(ORÇAMENTO!AJ$15,ROW(H231)-ROW(H$15),0),15-13*ORÇAMENTO!$AF$7),SUMPRODUCT(($Q$12:$AI$12&lt;&gt;"")*ROUND($Q231:$AI231,15-13*ORÇAMENTO!$AF$7))))</f>
        <v>421.05</v>
      </c>
      <c r="I231" s="650"/>
      <c r="K231" s="208"/>
      <c r="L231" s="209" t="s">
        <v>257</v>
      </c>
      <c r="M231" s="210">
        <f ca="1">IF($D231&lt;&gt;"Serviço","",IF(AUTOEVENTO="manual",$A231,IF(ISERROR(MATCH($A231,$A$15:OFFSET($A231,-1,0),0)),MAX($M$15:OFFSET(M231,-1,0))+1,INDEX($M$15:OFFSET(M231,-1,0),MATCH($A231,$A$15:OFFSET($A231,-1,0),0)))))</f>
        <v>0</v>
      </c>
      <c r="N231" s="211" t="str">
        <f ca="1">IF($D231&lt;&gt;"Serviço","",IF(AUTOEVENTO="Manual",IF($A231=0,"&lt;-- defina o número do agrupador",OFFSET(EVENTOS!$D$14,$A231,0)),OFFSET($F$15,$A231,0)))</f>
        <v>&lt;-- defina o número do agrupador</v>
      </c>
      <c r="O231" s="212"/>
      <c r="Q231" s="212"/>
      <c r="R231" s="213"/>
      <c r="S231" s="213"/>
      <c r="T231" s="213"/>
      <c r="U231" s="213"/>
      <c r="V231" s="213"/>
      <c r="W231" s="213"/>
      <c r="X231" s="213"/>
      <c r="Y231" s="213"/>
      <c r="Z231" s="214"/>
      <c r="AA231" s="213"/>
      <c r="AB231" s="213"/>
      <c r="AC231" s="213"/>
      <c r="AD231" s="213"/>
      <c r="AE231" s="213"/>
      <c r="AF231" s="213"/>
      <c r="AG231" s="213"/>
      <c r="AH231" s="214"/>
      <c r="AJ231" s="631">
        <f ca="1">IF(AND($D231="Serviço",AJ$12&lt;&gt;0,$H231&gt;0,OR(AUTOEVENTO&lt;&gt;"manual",$M231&lt;&gt;1)),ROUND(OFFSET($P231,0,AJ$13),15-13*ORÇAMENTO!$AF$7)/$H231*OFFSET(ORÇAMENTO!$X$15,ROW(AJ231)-ROW(AJ$15),0),0)</f>
        <v>0</v>
      </c>
      <c r="AK231" s="632">
        <f ca="1">IF(AND($D231="Serviço",AK$12&lt;&gt;0,$H231&gt;0,OR(AUTOEVENTO&lt;&gt;"manual",$M231&lt;&gt;1)),ROUND(OFFSET($P231,0,AK$13),15-13*ORÇAMENTO!$AF$7)/$H231*OFFSET(ORÇAMENTO!$X$15,ROW(AK231)-ROW(AK$15),0),0)</f>
        <v>0</v>
      </c>
      <c r="AL231" s="632">
        <f ca="1">IF(AND($D231="Serviço",AL$12&lt;&gt;0,$H231&gt;0,OR(AUTOEVENTO&lt;&gt;"manual",$M231&lt;&gt;1)),ROUND(OFFSET($P231,0,AL$13),15-13*ORÇAMENTO!$AF$7)/$H231*OFFSET(ORÇAMENTO!$X$15,ROW(AL231)-ROW(AL$15),0),0)</f>
        <v>0</v>
      </c>
      <c r="AM231" s="632">
        <f ca="1">IF(AND($D231="Serviço",AM$12&lt;&gt;0,$H231&gt;0,OR(AUTOEVENTO&lt;&gt;"manual",$M231&lt;&gt;1)),ROUND(OFFSET($P231,0,AM$13),15-13*ORÇAMENTO!$AF$7)/$H231*OFFSET(ORÇAMENTO!$X$15,ROW(AM231)-ROW(AM$15),0),0)</f>
        <v>0</v>
      </c>
      <c r="AN231" s="632">
        <f ca="1">IF(AND($D231="Serviço",AN$12&lt;&gt;0,$H231&gt;0,OR(AUTOEVENTO&lt;&gt;"manual",$M231&lt;&gt;1)),ROUND(OFFSET($P231,0,AN$13),15-13*ORÇAMENTO!$AF$7)/$H231*OFFSET(ORÇAMENTO!$X$15,ROW(AN231)-ROW(AN$15),0),0)</f>
        <v>0</v>
      </c>
      <c r="AO231" s="632">
        <f ca="1">IF(AND($D231="Serviço",AO$12&lt;&gt;0,$H231&gt;0,OR(AUTOEVENTO&lt;&gt;"manual",$M231&lt;&gt;1)),ROUND(OFFSET($P231,0,AO$13),15-13*ORÇAMENTO!$AF$7)/$H231*OFFSET(ORÇAMENTO!$X$15,ROW(AO231)-ROW(AO$15),0),0)</f>
        <v>0</v>
      </c>
      <c r="AP231" s="632">
        <f ca="1">IF(AND($D231="Serviço",AP$12&lt;&gt;0,$H231&gt;0,OR(AUTOEVENTO&lt;&gt;"manual",$M231&lt;&gt;1)),ROUND(OFFSET($P231,0,AP$13),15-13*ORÇAMENTO!$AF$7)/$H231*OFFSET(ORÇAMENTO!$X$15,ROW(AP231)-ROW(AP$15),0),0)</f>
        <v>0</v>
      </c>
      <c r="AQ231" s="632">
        <f ca="1">IF(AND($D231="Serviço",AQ$12&lt;&gt;0,$H231&gt;0,OR(AUTOEVENTO&lt;&gt;"manual",$M231&lt;&gt;1)),ROUND(OFFSET($P231,0,AQ$13),15-13*ORÇAMENTO!$AF$7)/$H231*OFFSET(ORÇAMENTO!$X$15,ROW(AQ231)-ROW(AQ$15),0),0)</f>
        <v>0</v>
      </c>
      <c r="AR231" s="632">
        <f ca="1">IF(AND($D231="Serviço",AR$12&lt;&gt;0,$H231&gt;0,OR(AUTOEVENTO&lt;&gt;"manual",$M231&lt;&gt;1)),ROUND(OFFSET($P231,0,AR$13),15-13*ORÇAMENTO!$AF$7)/$H231*OFFSET(ORÇAMENTO!$X$15,ROW(AR231)-ROW(AR$15),0),0)</f>
        <v>0</v>
      </c>
      <c r="AS231" s="633">
        <f ca="1">IF(AND($D231="Serviço",AS$12&lt;&gt;0,$H231&gt;0,OR(AUTOEVENTO&lt;&gt;"manual",$M231&lt;&gt;1)),ROUND(OFFSET($P231,0,AS$13),15-13*ORÇAMENTO!$AF$7)/$H231*OFFSET(ORÇAMENTO!$X$15,ROW(AS231)-ROW(AS$15),0),0)</f>
        <v>0</v>
      </c>
      <c r="AT231" s="632">
        <f ca="1">IF(AND($D231="Serviço",AT$12&lt;&gt;0,$H231&gt;0,OR(AUTOEVENTO&lt;&gt;"manual",$M231&lt;&gt;1)),ROUND(OFFSET($P231,0,AT$13),15-13*ORÇAMENTO!$AF$7)/$H231*OFFSET(ORÇAMENTO!$X$15,ROW(AT231)-ROW(AT$15),0),0)</f>
        <v>0</v>
      </c>
      <c r="AU231" s="632">
        <f ca="1">IF(AND($D231="Serviço",AU$12&lt;&gt;0,$H231&gt;0,OR(AUTOEVENTO&lt;&gt;"manual",$M231&lt;&gt;1)),ROUND(OFFSET($P231,0,AU$13),15-13*ORÇAMENTO!$AF$7)/$H231*OFFSET(ORÇAMENTO!$X$15,ROW(AU231)-ROW(AU$15),0),0)</f>
        <v>0</v>
      </c>
      <c r="AV231" s="632">
        <f ca="1">IF(AND($D231="Serviço",AV$12&lt;&gt;0,$H231&gt;0,OR(AUTOEVENTO&lt;&gt;"manual",$M231&lt;&gt;1)),ROUND(OFFSET($P231,0,AV$13),15-13*ORÇAMENTO!$AF$7)/$H231*OFFSET(ORÇAMENTO!$X$15,ROW(AV231)-ROW(AV$15),0),0)</f>
        <v>0</v>
      </c>
      <c r="AW231" s="632">
        <f ca="1">IF(AND($D231="Serviço",AW$12&lt;&gt;0,$H231&gt;0,OR(AUTOEVENTO&lt;&gt;"manual",$M231&lt;&gt;1)),ROUND(OFFSET($P231,0,AW$13),15-13*ORÇAMENTO!$AF$7)/$H231*OFFSET(ORÇAMENTO!$X$15,ROW(AW231)-ROW(AW$15),0),0)</f>
        <v>0</v>
      </c>
      <c r="AX231" s="632">
        <f ca="1">IF(AND($D231="Serviço",AX$12&lt;&gt;0,$H231&gt;0,OR(AUTOEVENTO&lt;&gt;"manual",$M231&lt;&gt;1)),ROUND(OFFSET($P231,0,AX$13),15-13*ORÇAMENTO!$AF$7)/$H231*OFFSET(ORÇAMENTO!$X$15,ROW(AX231)-ROW(AX$15),0),0)</f>
        <v>0</v>
      </c>
      <c r="AY231" s="632">
        <f ca="1">IF(AND($D231="Serviço",AY$12&lt;&gt;0,$H231&gt;0,OR(AUTOEVENTO&lt;&gt;"manual",$M231&lt;&gt;1)),ROUND(OFFSET($P231,0,AY$13),15-13*ORÇAMENTO!$AF$7)/$H231*OFFSET(ORÇAMENTO!$X$15,ROW(AY231)-ROW(AY$15),0),0)</f>
        <v>0</v>
      </c>
      <c r="AZ231" s="632">
        <f ca="1">IF(AND($D231="Serviço",AZ$12&lt;&gt;0,$H231&gt;0,OR(AUTOEVENTO&lt;&gt;"manual",$M231&lt;&gt;1)),ROUND(OFFSET($P231,0,AZ$13),15-13*ORÇAMENTO!$AF$7)/$H231*OFFSET(ORÇAMENTO!$X$15,ROW(AZ231)-ROW(AZ$15),0),0)</f>
        <v>0</v>
      </c>
      <c r="BA231" s="633">
        <f ca="1">IF(AND($D231="Serviço",BA$12&lt;&gt;0,$H231&gt;0,OR(AUTOEVENTO&lt;&gt;"manual",$M231&lt;&gt;1)),ROUND(OFFSET($P231,0,BA$13),15-13*ORÇAMENTO!$AF$7)/$H231*OFFSET(ORÇAMENTO!$X$15,ROW(BA231)-ROW(BA$15),0),0)</f>
        <v>0</v>
      </c>
      <c r="BC231" s="215">
        <f ca="1">IF($D231&lt;&gt;"Serviço",0,IF(AND(AUTOEVENTO="Manual",$M231=1),0,IF(OFFSET(CRONOPLE!$F$14,$M231,BC$13)="",10^12,OFFSET(CRONOPLE!$F$14,$M231,BC$13))))</f>
        <v>1000000000000</v>
      </c>
      <c r="BD231" s="215">
        <f ca="1">IF($D231&lt;&gt;"Serviço",0,IF(AND(AUTOEVENTO="Manual",$M231=1),0,IF(OFFSET(CRONOPLE!$F$14,$M231,BD$13)="",10^12,OFFSET(CRONOPLE!$F$14,$M231,BD$13))))</f>
        <v>1000000000000</v>
      </c>
      <c r="BE231" s="215">
        <f ca="1">IF($D231&lt;&gt;"Serviço",0,IF(AND(AUTOEVENTO="Manual",$M231=1),0,IF(OFFSET(CRONOPLE!$F$14,$M231,BE$13)="",10^12,OFFSET(CRONOPLE!$F$14,$M231,BE$13))))</f>
        <v>1000000000000</v>
      </c>
      <c r="BF231" s="215">
        <f ca="1">IF($D231&lt;&gt;"Serviço",0,IF(AND(AUTOEVENTO="Manual",$M231=1),0,IF(OFFSET(CRONOPLE!$F$14,$M231,BF$13)="",10^12,OFFSET(CRONOPLE!$F$14,$M231,BF$13))))</f>
        <v>1000000000000</v>
      </c>
      <c r="BG231" s="215">
        <f ca="1">IF($D231&lt;&gt;"Serviço",0,IF(AND(AUTOEVENTO="Manual",$M231=1),0,IF(OFFSET(CRONOPLE!$F$14,$M231,BG$13)="",10^12,OFFSET(CRONOPLE!$F$14,$M231,BG$13))))</f>
        <v>1000000000000</v>
      </c>
      <c r="BH231" s="215">
        <f ca="1">IF($D231&lt;&gt;"Serviço",0,IF(AND(AUTOEVENTO="Manual",$M231=1),0,IF(OFFSET(CRONOPLE!$F$14,$M231,BH$13)="",10^12,OFFSET(CRONOPLE!$F$14,$M231,BH$13))))</f>
        <v>1000000000000</v>
      </c>
      <c r="BI231" s="215">
        <f ca="1">IF($D231&lt;&gt;"Serviço",0,IF(AND(AUTOEVENTO="Manual",$M231=1),0,IF(OFFSET(CRONOPLE!$F$14,$M231,BI$13)="",10^12,OFFSET(CRONOPLE!$F$14,$M231,BI$13))))</f>
        <v>1000000000000</v>
      </c>
      <c r="BJ231" s="215">
        <f ca="1">IF($D231&lt;&gt;"Serviço",0,IF(AND(AUTOEVENTO="Manual",$M231=1),0,IF(OFFSET(CRONOPLE!$F$14,$M231,BJ$13)="",10^12,OFFSET(CRONOPLE!$F$14,$M231,BJ$13))))</f>
        <v>1000000000000</v>
      </c>
      <c r="BK231" s="215">
        <f ca="1">IF($D231&lt;&gt;"Serviço",0,IF(AND(AUTOEVENTO="Manual",$M231=1),0,IF(OFFSET(CRONOPLE!$F$14,$M231,BK$13)="",10^12,OFFSET(CRONOPLE!$F$14,$M231,BK$13))))</f>
        <v>1000000000000</v>
      </c>
      <c r="BL231" s="215">
        <f ca="1">IF($D231&lt;&gt;"Serviço",0,IF(AND(AUTOEVENTO="Manual",$M231=1),0,IF(OFFSET(CRONOPLE!$F$14,$M231,BL$13)="",10^12,OFFSET(CRONOPLE!$F$14,$M231,BL$13))))</f>
        <v>1000000000000</v>
      </c>
      <c r="BM231" s="215">
        <f ca="1">IF($D231&lt;&gt;"Serviço",0,IF(AND(AUTOEVENTO="Manual",$M231=1),0,IF(OFFSET(CRONOPLE!$F$14,$M231,BM$13)="",10^12,OFFSET(CRONOPLE!$F$14,$M231,BM$13))))</f>
        <v>1000000000000</v>
      </c>
      <c r="BN231" s="215">
        <f ca="1">IF($D231&lt;&gt;"Serviço",0,IF(AND(AUTOEVENTO="Manual",$M231=1),0,IF(OFFSET(CRONOPLE!$F$14,$M231,BN$13)="",10^12,OFFSET(CRONOPLE!$F$14,$M231,BN$13))))</f>
        <v>1000000000000</v>
      </c>
      <c r="BO231" s="215">
        <f ca="1">IF($D231&lt;&gt;"Serviço",0,IF(AND(AUTOEVENTO="Manual",$M231=1),0,IF(OFFSET(CRONOPLE!$F$14,$M231,BO$13)="",10^12,OFFSET(CRONOPLE!$F$14,$M231,BO$13))))</f>
        <v>1000000000000</v>
      </c>
      <c r="BP231" s="215">
        <f ca="1">IF($D231&lt;&gt;"Serviço",0,IF(AND(AUTOEVENTO="Manual",$M231=1),0,IF(OFFSET(CRONOPLE!$F$14,$M231,BP$13)="",10^12,OFFSET(CRONOPLE!$F$14,$M231,BP$13))))</f>
        <v>1000000000000</v>
      </c>
      <c r="BQ231" s="215">
        <f ca="1">IF($D231&lt;&gt;"Serviço",0,IF(AND(AUTOEVENTO="Manual",$M231=1),0,IF(OFFSET(CRONOPLE!$F$14,$M231,BQ$13)="",10^12,OFFSET(CRONOPLE!$F$14,$M231,BQ$13))))</f>
        <v>1000000000000</v>
      </c>
      <c r="BR231" s="215">
        <f ca="1">IF($D231&lt;&gt;"Serviço",0,IF(AND(AUTOEVENTO="Manual",$M231=1),0,IF(OFFSET(CRONOPLE!$F$14,$M231,BR$13)="",10^12,OFFSET(CRONOPLE!$F$14,$M231,BR$13))))</f>
        <v>1000000000000</v>
      </c>
      <c r="BS231" s="215">
        <f ca="1">IF($D231&lt;&gt;"Serviço",0,IF(AND(AUTOEVENTO="Manual",$M231=1),0,IF(OFFSET(CRONOPLE!$F$14,$M231,BS$13)="",10^12,OFFSET(CRONOPLE!$F$14,$M231,BS$13))))</f>
        <v>1000000000000</v>
      </c>
      <c r="BT231" s="215">
        <f ca="1">IF($D231&lt;&gt;"Serviço",0,IF(AND(AUTOEVENTO="Manual",$M231=1),0,IF(OFFSET(CRONOPLE!$F$14,$M231,BT$13)="",10^12,OFFSET(CRONOPLE!$F$14,$M231,BT$13))))</f>
        <v>1000000000000</v>
      </c>
      <c r="BV231" s="216">
        <f ca="1">IF($D231&lt;&gt;"Serviço",0,IF(OR(AND(AUTOEVENTO="Manual",$M231=1),$M231&gt;(ROW(PLE.lastrow)-ROW(PLE.firstrow))),0,IF(OFFSET(PLE!$G$14,$M231,BV$13)="",10^12,OFFSET(PLE!$G$14,$M231,BV$13))))</f>
        <v>1000000000000</v>
      </c>
      <c r="BW231" s="216">
        <f ca="1">IF($D231&lt;&gt;"Serviço",0,IF(OR(AND(AUTOEVENTO="Manual",$M231=1),$M231&gt;(ROW(PLE.lastrow)-ROW(PLE.firstrow))),0,IF(OFFSET(PLE!$G$14,$M231,BW$13)="",10^12,OFFSET(PLE!$G$14,$M231,BW$13))))</f>
        <v>1000000000000</v>
      </c>
      <c r="BX231" s="216">
        <f ca="1">IF($D231&lt;&gt;"Serviço",0,IF(OR(AND(AUTOEVENTO="Manual",$M231=1),$M231&gt;(ROW(PLE.lastrow)-ROW(PLE.firstrow))),0,IF(OFFSET(PLE!$G$14,$M231,BX$13)="",10^12,OFFSET(PLE!$G$14,$M231,BX$13))))</f>
        <v>1000000000000</v>
      </c>
      <c r="BY231" s="216">
        <f ca="1">IF($D231&lt;&gt;"Serviço",0,IF(OR(AND(AUTOEVENTO="Manual",$M231=1),$M231&gt;(ROW(PLE.lastrow)-ROW(PLE.firstrow))),0,IF(OFFSET(PLE!$G$14,$M231,BY$13)="",10^12,OFFSET(PLE!$G$14,$M231,BY$13))))</f>
        <v>1000000000000</v>
      </c>
      <c r="BZ231" s="216">
        <f ca="1">IF($D231&lt;&gt;"Serviço",0,IF(OR(AND(AUTOEVENTO="Manual",$M231=1),$M231&gt;(ROW(PLE.lastrow)-ROW(PLE.firstrow))),0,IF(OFFSET(PLE!$G$14,$M231,BZ$13)="",10^12,OFFSET(PLE!$G$14,$M231,BZ$13))))</f>
        <v>1000000000000</v>
      </c>
      <c r="CA231" s="216">
        <f ca="1">IF($D231&lt;&gt;"Serviço",0,IF(OR(AND(AUTOEVENTO="Manual",$M231=1),$M231&gt;(ROW(PLE.lastrow)-ROW(PLE.firstrow))),0,IF(OFFSET(PLE!$G$14,$M231,CA$13)="",10^12,OFFSET(PLE!$G$14,$M231,CA$13))))</f>
        <v>1000000000000</v>
      </c>
      <c r="CB231" s="216">
        <f ca="1">IF($D231&lt;&gt;"Serviço",0,IF(OR(AND(AUTOEVENTO="Manual",$M231=1),$M231&gt;(ROW(PLE.lastrow)-ROW(PLE.firstrow))),0,IF(OFFSET(PLE!$G$14,$M231,CB$13)="",10^12,OFFSET(PLE!$G$14,$M231,CB$13))))</f>
        <v>1000000000000</v>
      </c>
      <c r="CC231" s="216">
        <f ca="1">IF($D231&lt;&gt;"Serviço",0,IF(OR(AND(AUTOEVENTO="Manual",$M231=1),$M231&gt;(ROW(PLE.lastrow)-ROW(PLE.firstrow))),0,IF(OFFSET(PLE!$G$14,$M231,CC$13)="",10^12,OFFSET(PLE!$G$14,$M231,CC$13))))</f>
        <v>1000000000000</v>
      </c>
      <c r="CD231" s="216">
        <f ca="1">IF($D231&lt;&gt;"Serviço",0,IF(OR(AND(AUTOEVENTO="Manual",$M231=1),$M231&gt;(ROW(PLE.lastrow)-ROW(PLE.firstrow))),0,IF(OFFSET(PLE!$G$14,$M231,CD$13)="",10^12,OFFSET(PLE!$G$14,$M231,CD$13))))</f>
        <v>1000000000000</v>
      </c>
      <c r="CE231" s="216">
        <f ca="1">IF($D231&lt;&gt;"Serviço",0,IF(OR(AND(AUTOEVENTO="Manual",$M231=1),$M231&gt;(ROW(PLE.lastrow)-ROW(PLE.firstrow))),0,IF(OFFSET(PLE!$G$14,$M231,CE$13)="",10^12,OFFSET(PLE!$G$14,$M231,CE$13))))</f>
        <v>1000000000000</v>
      </c>
      <c r="CF231" s="216">
        <f ca="1">IF($D231&lt;&gt;"Serviço",0,IF(OR(AND(AUTOEVENTO="Manual",$M231=1),$M231&gt;(ROW(PLE.lastrow)-ROW(PLE.firstrow))),0,IF(OFFSET(PLE!$G$14,$M231,CF$13)="",10^12,OFFSET(PLE!$G$14,$M231,CF$13))))</f>
        <v>1000000000000</v>
      </c>
      <c r="CG231" s="216">
        <f ca="1">IF($D231&lt;&gt;"Serviço",0,IF(OR(AND(AUTOEVENTO="Manual",$M231=1),$M231&gt;(ROW(PLE.lastrow)-ROW(PLE.firstrow))),0,IF(OFFSET(PLE!$G$14,$M231,CG$13)="",10^12,OFFSET(PLE!$G$14,$M231,CG$13))))</f>
        <v>1000000000000</v>
      </c>
      <c r="CH231" s="216">
        <f ca="1">IF($D231&lt;&gt;"Serviço",0,IF(OR(AND(AUTOEVENTO="Manual",$M231=1),$M231&gt;(ROW(PLE.lastrow)-ROW(PLE.firstrow))),0,IF(OFFSET(PLE!$G$14,$M231,CH$13)="",10^12,OFFSET(PLE!$G$14,$M231,CH$13))))</f>
        <v>1000000000000</v>
      </c>
      <c r="CI231" s="216">
        <f ca="1">IF($D231&lt;&gt;"Serviço",0,IF(OR(AND(AUTOEVENTO="Manual",$M231=1),$M231&gt;(ROW(PLE.lastrow)-ROW(PLE.firstrow))),0,IF(OFFSET(PLE!$G$14,$M231,CI$13)="",10^12,OFFSET(PLE!$G$14,$M231,CI$13))))</f>
        <v>1000000000000</v>
      </c>
      <c r="CJ231" s="216">
        <f ca="1">IF($D231&lt;&gt;"Serviço",0,IF(OR(AND(AUTOEVENTO="Manual",$M231=1),$M231&gt;(ROW(PLE.lastrow)-ROW(PLE.firstrow))),0,IF(OFFSET(PLE!$G$14,$M231,CJ$13)="",10^12,OFFSET(PLE!$G$14,$M231,CJ$13))))</f>
        <v>1000000000000</v>
      </c>
      <c r="CK231" s="216">
        <f ca="1">IF($D231&lt;&gt;"Serviço",0,IF(OR(AND(AUTOEVENTO="Manual",$M231=1),$M231&gt;(ROW(PLE.lastrow)-ROW(PLE.firstrow))),0,IF(OFFSET(PLE!$G$14,$M231,CK$13)="",10^12,OFFSET(PLE!$G$14,$M231,CK$13))))</f>
        <v>1000000000000</v>
      </c>
      <c r="CL231" s="216">
        <f ca="1">IF($D231&lt;&gt;"Serviço",0,IF(OR(AND(AUTOEVENTO="Manual",$M231=1),$M231&gt;(ROW(PLE.lastrow)-ROW(PLE.firstrow))),0,IF(OFFSET(PLE!$G$14,$M231,CL$13)="",10^12,OFFSET(PLE!$G$14,$M231,CL$13))))</f>
        <v>1000000000000</v>
      </c>
      <c r="CM231" s="216">
        <f ca="1">IF($D231&lt;&gt;"Serviço",0,IF(OR(AND(AUTOEVENTO="Manual",$M231=1),$M231&gt;(ROW(PLE.lastrow)-ROW(PLE.firstrow))),0,IF(OFFSET(PLE!$G$14,$M231,CM$13)="",10^12,OFFSET(PLE!$G$14,$M231,CM$13))))</f>
        <v>1000000000000</v>
      </c>
    </row>
    <row r="232" spans="1:91" ht="13.2" x14ac:dyDescent="0.25">
      <c r="A232" s="9">
        <f t="shared" ca="1" si="12"/>
        <v>0</v>
      </c>
      <c r="B232" s="9" t="str">
        <f ca="1">OFFSET(ORÇAMENTO!C$15,ROW(B232)-ROW(B$15),0)</f>
        <v>S</v>
      </c>
      <c r="C232" s="9" t="str">
        <f ca="1">OFFSET(ORÇAMENTO!L$15,ROW(C232)-ROW(C$15),0)</f>
        <v/>
      </c>
      <c r="D232" s="145" t="str">
        <f ca="1">OFFSET(ORÇAMENTO!N$15,ROW(D232)-ROW(D$15),0)</f>
        <v>Serviço</v>
      </c>
      <c r="E232" s="205" t="str">
        <f ca="1">OFFSET(ORÇAMENTO!O$15,ROW(E232)-ROW(E$15),0)</f>
        <v>-</v>
      </c>
      <c r="F232" s="206" t="str">
        <f ca="1">OFFSET(ORÇAMENTO!R$15,ROW(F232)-ROW(F$15),0)</f>
        <v>(abra o arquivo 'Referência 05-2024.xls)</v>
      </c>
      <c r="G232" s="207" t="str">
        <f ca="1">IF($D232&lt;&gt;"Serviço","",OFFSET(ORÇAMENTO!S$15,ROW(G232)-ROW(G$15),0))</f>
        <v>-</v>
      </c>
      <c r="H232" s="151">
        <f ca="1">IF($D232&lt;&gt;"Serviço",0,IF(ACOMPANHAMENTO="BM",ROUND(OFFSET(ORÇAMENTO!AJ$15,ROW(H232)-ROW(H$15),0),15-13*ORÇAMENTO!$AF$7),SUMPRODUCT(($Q$12:$AI$12&lt;&gt;"")*ROUND($Q232:$AI232,15-13*ORÇAMENTO!$AF$7))))</f>
        <v>206.8</v>
      </c>
      <c r="I232" s="650"/>
      <c r="K232" s="208"/>
      <c r="L232" s="209" t="s">
        <v>257</v>
      </c>
      <c r="M232" s="210">
        <f ca="1">IF($D232&lt;&gt;"Serviço","",IF(AUTOEVENTO="manual",$A232,IF(ISERROR(MATCH($A232,$A$15:OFFSET($A232,-1,0),0)),MAX($M$15:OFFSET(M232,-1,0))+1,INDEX($M$15:OFFSET(M232,-1,0),MATCH($A232,$A$15:OFFSET($A232,-1,0),0)))))</f>
        <v>0</v>
      </c>
      <c r="N232" s="211" t="str">
        <f ca="1">IF($D232&lt;&gt;"Serviço","",IF(AUTOEVENTO="Manual",IF($A232=0,"&lt;-- defina o número do agrupador",OFFSET(EVENTOS!$D$14,$A232,0)),OFFSET($F$15,$A232,0)))</f>
        <v>&lt;-- defina o número do agrupador</v>
      </c>
      <c r="O232" s="212"/>
      <c r="Q232" s="212"/>
      <c r="R232" s="213"/>
      <c r="S232" s="213"/>
      <c r="T232" s="213"/>
      <c r="U232" s="213"/>
      <c r="V232" s="213"/>
      <c r="W232" s="213"/>
      <c r="X232" s="213"/>
      <c r="Y232" s="213"/>
      <c r="Z232" s="214"/>
      <c r="AA232" s="213"/>
      <c r="AB232" s="213"/>
      <c r="AC232" s="213"/>
      <c r="AD232" s="213"/>
      <c r="AE232" s="213"/>
      <c r="AF232" s="213"/>
      <c r="AG232" s="213"/>
      <c r="AH232" s="214"/>
      <c r="AJ232" s="631">
        <f ca="1">IF(AND($D232="Serviço",AJ$12&lt;&gt;0,$H232&gt;0,OR(AUTOEVENTO&lt;&gt;"manual",$M232&lt;&gt;1)),ROUND(OFFSET($P232,0,AJ$13),15-13*ORÇAMENTO!$AF$7)/$H232*OFFSET(ORÇAMENTO!$X$15,ROW(AJ232)-ROW(AJ$15),0),0)</f>
        <v>0</v>
      </c>
      <c r="AK232" s="632">
        <f ca="1">IF(AND($D232="Serviço",AK$12&lt;&gt;0,$H232&gt;0,OR(AUTOEVENTO&lt;&gt;"manual",$M232&lt;&gt;1)),ROUND(OFFSET($P232,0,AK$13),15-13*ORÇAMENTO!$AF$7)/$H232*OFFSET(ORÇAMENTO!$X$15,ROW(AK232)-ROW(AK$15),0),0)</f>
        <v>0</v>
      </c>
      <c r="AL232" s="632">
        <f ca="1">IF(AND($D232="Serviço",AL$12&lt;&gt;0,$H232&gt;0,OR(AUTOEVENTO&lt;&gt;"manual",$M232&lt;&gt;1)),ROUND(OFFSET($P232,0,AL$13),15-13*ORÇAMENTO!$AF$7)/$H232*OFFSET(ORÇAMENTO!$X$15,ROW(AL232)-ROW(AL$15),0),0)</f>
        <v>0</v>
      </c>
      <c r="AM232" s="632">
        <f ca="1">IF(AND($D232="Serviço",AM$12&lt;&gt;0,$H232&gt;0,OR(AUTOEVENTO&lt;&gt;"manual",$M232&lt;&gt;1)),ROUND(OFFSET($P232,0,AM$13),15-13*ORÇAMENTO!$AF$7)/$H232*OFFSET(ORÇAMENTO!$X$15,ROW(AM232)-ROW(AM$15),0),0)</f>
        <v>0</v>
      </c>
      <c r="AN232" s="632">
        <f ca="1">IF(AND($D232="Serviço",AN$12&lt;&gt;0,$H232&gt;0,OR(AUTOEVENTO&lt;&gt;"manual",$M232&lt;&gt;1)),ROUND(OFFSET($P232,0,AN$13),15-13*ORÇAMENTO!$AF$7)/$H232*OFFSET(ORÇAMENTO!$X$15,ROW(AN232)-ROW(AN$15),0),0)</f>
        <v>0</v>
      </c>
      <c r="AO232" s="632">
        <f ca="1">IF(AND($D232="Serviço",AO$12&lt;&gt;0,$H232&gt;0,OR(AUTOEVENTO&lt;&gt;"manual",$M232&lt;&gt;1)),ROUND(OFFSET($P232,0,AO$13),15-13*ORÇAMENTO!$AF$7)/$H232*OFFSET(ORÇAMENTO!$X$15,ROW(AO232)-ROW(AO$15),0),0)</f>
        <v>0</v>
      </c>
      <c r="AP232" s="632">
        <f ca="1">IF(AND($D232="Serviço",AP$12&lt;&gt;0,$H232&gt;0,OR(AUTOEVENTO&lt;&gt;"manual",$M232&lt;&gt;1)),ROUND(OFFSET($P232,0,AP$13),15-13*ORÇAMENTO!$AF$7)/$H232*OFFSET(ORÇAMENTO!$X$15,ROW(AP232)-ROW(AP$15),0),0)</f>
        <v>0</v>
      </c>
      <c r="AQ232" s="632">
        <f ca="1">IF(AND($D232="Serviço",AQ$12&lt;&gt;0,$H232&gt;0,OR(AUTOEVENTO&lt;&gt;"manual",$M232&lt;&gt;1)),ROUND(OFFSET($P232,0,AQ$13),15-13*ORÇAMENTO!$AF$7)/$H232*OFFSET(ORÇAMENTO!$X$15,ROW(AQ232)-ROW(AQ$15),0),0)</f>
        <v>0</v>
      </c>
      <c r="AR232" s="632">
        <f ca="1">IF(AND($D232="Serviço",AR$12&lt;&gt;0,$H232&gt;0,OR(AUTOEVENTO&lt;&gt;"manual",$M232&lt;&gt;1)),ROUND(OFFSET($P232,0,AR$13),15-13*ORÇAMENTO!$AF$7)/$H232*OFFSET(ORÇAMENTO!$X$15,ROW(AR232)-ROW(AR$15),0),0)</f>
        <v>0</v>
      </c>
      <c r="AS232" s="633">
        <f ca="1">IF(AND($D232="Serviço",AS$12&lt;&gt;0,$H232&gt;0,OR(AUTOEVENTO&lt;&gt;"manual",$M232&lt;&gt;1)),ROUND(OFFSET($P232,0,AS$13),15-13*ORÇAMENTO!$AF$7)/$H232*OFFSET(ORÇAMENTO!$X$15,ROW(AS232)-ROW(AS$15),0),0)</f>
        <v>0</v>
      </c>
      <c r="AT232" s="632">
        <f ca="1">IF(AND($D232="Serviço",AT$12&lt;&gt;0,$H232&gt;0,OR(AUTOEVENTO&lt;&gt;"manual",$M232&lt;&gt;1)),ROUND(OFFSET($P232,0,AT$13),15-13*ORÇAMENTO!$AF$7)/$H232*OFFSET(ORÇAMENTO!$X$15,ROW(AT232)-ROW(AT$15),0),0)</f>
        <v>0</v>
      </c>
      <c r="AU232" s="632">
        <f ca="1">IF(AND($D232="Serviço",AU$12&lt;&gt;0,$H232&gt;0,OR(AUTOEVENTO&lt;&gt;"manual",$M232&lt;&gt;1)),ROUND(OFFSET($P232,0,AU$13),15-13*ORÇAMENTO!$AF$7)/$H232*OFFSET(ORÇAMENTO!$X$15,ROW(AU232)-ROW(AU$15),0),0)</f>
        <v>0</v>
      </c>
      <c r="AV232" s="632">
        <f ca="1">IF(AND($D232="Serviço",AV$12&lt;&gt;0,$H232&gt;0,OR(AUTOEVENTO&lt;&gt;"manual",$M232&lt;&gt;1)),ROUND(OFFSET($P232,0,AV$13),15-13*ORÇAMENTO!$AF$7)/$H232*OFFSET(ORÇAMENTO!$X$15,ROW(AV232)-ROW(AV$15),0),0)</f>
        <v>0</v>
      </c>
      <c r="AW232" s="632">
        <f ca="1">IF(AND($D232="Serviço",AW$12&lt;&gt;0,$H232&gt;0,OR(AUTOEVENTO&lt;&gt;"manual",$M232&lt;&gt;1)),ROUND(OFFSET($P232,0,AW$13),15-13*ORÇAMENTO!$AF$7)/$H232*OFFSET(ORÇAMENTO!$X$15,ROW(AW232)-ROW(AW$15),0),0)</f>
        <v>0</v>
      </c>
      <c r="AX232" s="632">
        <f ca="1">IF(AND($D232="Serviço",AX$12&lt;&gt;0,$H232&gt;0,OR(AUTOEVENTO&lt;&gt;"manual",$M232&lt;&gt;1)),ROUND(OFFSET($P232,0,AX$13),15-13*ORÇAMENTO!$AF$7)/$H232*OFFSET(ORÇAMENTO!$X$15,ROW(AX232)-ROW(AX$15),0),0)</f>
        <v>0</v>
      </c>
      <c r="AY232" s="632">
        <f ca="1">IF(AND($D232="Serviço",AY$12&lt;&gt;0,$H232&gt;0,OR(AUTOEVENTO&lt;&gt;"manual",$M232&lt;&gt;1)),ROUND(OFFSET($P232,0,AY$13),15-13*ORÇAMENTO!$AF$7)/$H232*OFFSET(ORÇAMENTO!$X$15,ROW(AY232)-ROW(AY$15),0),0)</f>
        <v>0</v>
      </c>
      <c r="AZ232" s="632">
        <f ca="1">IF(AND($D232="Serviço",AZ$12&lt;&gt;0,$H232&gt;0,OR(AUTOEVENTO&lt;&gt;"manual",$M232&lt;&gt;1)),ROUND(OFFSET($P232,0,AZ$13),15-13*ORÇAMENTO!$AF$7)/$H232*OFFSET(ORÇAMENTO!$X$15,ROW(AZ232)-ROW(AZ$15),0),0)</f>
        <v>0</v>
      </c>
      <c r="BA232" s="633">
        <f ca="1">IF(AND($D232="Serviço",BA$12&lt;&gt;0,$H232&gt;0,OR(AUTOEVENTO&lt;&gt;"manual",$M232&lt;&gt;1)),ROUND(OFFSET($P232,0,BA$13),15-13*ORÇAMENTO!$AF$7)/$H232*OFFSET(ORÇAMENTO!$X$15,ROW(BA232)-ROW(BA$15),0),0)</f>
        <v>0</v>
      </c>
      <c r="BC232" s="215">
        <f ca="1">IF($D232&lt;&gt;"Serviço",0,IF(AND(AUTOEVENTO="Manual",$M232=1),0,IF(OFFSET(CRONOPLE!$F$14,$M232,BC$13)="",10^12,OFFSET(CRONOPLE!$F$14,$M232,BC$13))))</f>
        <v>1000000000000</v>
      </c>
      <c r="BD232" s="215">
        <f ca="1">IF($D232&lt;&gt;"Serviço",0,IF(AND(AUTOEVENTO="Manual",$M232=1),0,IF(OFFSET(CRONOPLE!$F$14,$M232,BD$13)="",10^12,OFFSET(CRONOPLE!$F$14,$M232,BD$13))))</f>
        <v>1000000000000</v>
      </c>
      <c r="BE232" s="215">
        <f ca="1">IF($D232&lt;&gt;"Serviço",0,IF(AND(AUTOEVENTO="Manual",$M232=1),0,IF(OFFSET(CRONOPLE!$F$14,$M232,BE$13)="",10^12,OFFSET(CRONOPLE!$F$14,$M232,BE$13))))</f>
        <v>1000000000000</v>
      </c>
      <c r="BF232" s="215">
        <f ca="1">IF($D232&lt;&gt;"Serviço",0,IF(AND(AUTOEVENTO="Manual",$M232=1),0,IF(OFFSET(CRONOPLE!$F$14,$M232,BF$13)="",10^12,OFFSET(CRONOPLE!$F$14,$M232,BF$13))))</f>
        <v>1000000000000</v>
      </c>
      <c r="BG232" s="215">
        <f ca="1">IF($D232&lt;&gt;"Serviço",0,IF(AND(AUTOEVENTO="Manual",$M232=1),0,IF(OFFSET(CRONOPLE!$F$14,$M232,BG$13)="",10^12,OFFSET(CRONOPLE!$F$14,$M232,BG$13))))</f>
        <v>1000000000000</v>
      </c>
      <c r="BH232" s="215">
        <f ca="1">IF($D232&lt;&gt;"Serviço",0,IF(AND(AUTOEVENTO="Manual",$M232=1),0,IF(OFFSET(CRONOPLE!$F$14,$M232,BH$13)="",10^12,OFFSET(CRONOPLE!$F$14,$M232,BH$13))))</f>
        <v>1000000000000</v>
      </c>
      <c r="BI232" s="215">
        <f ca="1">IF($D232&lt;&gt;"Serviço",0,IF(AND(AUTOEVENTO="Manual",$M232=1),0,IF(OFFSET(CRONOPLE!$F$14,$M232,BI$13)="",10^12,OFFSET(CRONOPLE!$F$14,$M232,BI$13))))</f>
        <v>1000000000000</v>
      </c>
      <c r="BJ232" s="215">
        <f ca="1">IF($D232&lt;&gt;"Serviço",0,IF(AND(AUTOEVENTO="Manual",$M232=1),0,IF(OFFSET(CRONOPLE!$F$14,$M232,BJ$13)="",10^12,OFFSET(CRONOPLE!$F$14,$M232,BJ$13))))</f>
        <v>1000000000000</v>
      </c>
      <c r="BK232" s="215">
        <f ca="1">IF($D232&lt;&gt;"Serviço",0,IF(AND(AUTOEVENTO="Manual",$M232=1),0,IF(OFFSET(CRONOPLE!$F$14,$M232,BK$13)="",10^12,OFFSET(CRONOPLE!$F$14,$M232,BK$13))))</f>
        <v>1000000000000</v>
      </c>
      <c r="BL232" s="215">
        <f ca="1">IF($D232&lt;&gt;"Serviço",0,IF(AND(AUTOEVENTO="Manual",$M232=1),0,IF(OFFSET(CRONOPLE!$F$14,$M232,BL$13)="",10^12,OFFSET(CRONOPLE!$F$14,$M232,BL$13))))</f>
        <v>1000000000000</v>
      </c>
      <c r="BM232" s="215">
        <f ca="1">IF($D232&lt;&gt;"Serviço",0,IF(AND(AUTOEVENTO="Manual",$M232=1),0,IF(OFFSET(CRONOPLE!$F$14,$M232,BM$13)="",10^12,OFFSET(CRONOPLE!$F$14,$M232,BM$13))))</f>
        <v>1000000000000</v>
      </c>
      <c r="BN232" s="215">
        <f ca="1">IF($D232&lt;&gt;"Serviço",0,IF(AND(AUTOEVENTO="Manual",$M232=1),0,IF(OFFSET(CRONOPLE!$F$14,$M232,BN$13)="",10^12,OFFSET(CRONOPLE!$F$14,$M232,BN$13))))</f>
        <v>1000000000000</v>
      </c>
      <c r="BO232" s="215">
        <f ca="1">IF($D232&lt;&gt;"Serviço",0,IF(AND(AUTOEVENTO="Manual",$M232=1),0,IF(OFFSET(CRONOPLE!$F$14,$M232,BO$13)="",10^12,OFFSET(CRONOPLE!$F$14,$M232,BO$13))))</f>
        <v>1000000000000</v>
      </c>
      <c r="BP232" s="215">
        <f ca="1">IF($D232&lt;&gt;"Serviço",0,IF(AND(AUTOEVENTO="Manual",$M232=1),0,IF(OFFSET(CRONOPLE!$F$14,$M232,BP$13)="",10^12,OFFSET(CRONOPLE!$F$14,$M232,BP$13))))</f>
        <v>1000000000000</v>
      </c>
      <c r="BQ232" s="215">
        <f ca="1">IF($D232&lt;&gt;"Serviço",0,IF(AND(AUTOEVENTO="Manual",$M232=1),0,IF(OFFSET(CRONOPLE!$F$14,$M232,BQ$13)="",10^12,OFFSET(CRONOPLE!$F$14,$M232,BQ$13))))</f>
        <v>1000000000000</v>
      </c>
      <c r="BR232" s="215">
        <f ca="1">IF($D232&lt;&gt;"Serviço",0,IF(AND(AUTOEVENTO="Manual",$M232=1),0,IF(OFFSET(CRONOPLE!$F$14,$M232,BR$13)="",10^12,OFFSET(CRONOPLE!$F$14,$M232,BR$13))))</f>
        <v>1000000000000</v>
      </c>
      <c r="BS232" s="215">
        <f ca="1">IF($D232&lt;&gt;"Serviço",0,IF(AND(AUTOEVENTO="Manual",$M232=1),0,IF(OFFSET(CRONOPLE!$F$14,$M232,BS$13)="",10^12,OFFSET(CRONOPLE!$F$14,$M232,BS$13))))</f>
        <v>1000000000000</v>
      </c>
      <c r="BT232" s="215">
        <f ca="1">IF($D232&lt;&gt;"Serviço",0,IF(AND(AUTOEVENTO="Manual",$M232=1),0,IF(OFFSET(CRONOPLE!$F$14,$M232,BT$13)="",10^12,OFFSET(CRONOPLE!$F$14,$M232,BT$13))))</f>
        <v>1000000000000</v>
      </c>
      <c r="BV232" s="216">
        <f ca="1">IF($D232&lt;&gt;"Serviço",0,IF(OR(AND(AUTOEVENTO="Manual",$M232=1),$M232&gt;(ROW(PLE.lastrow)-ROW(PLE.firstrow))),0,IF(OFFSET(PLE!$G$14,$M232,BV$13)="",10^12,OFFSET(PLE!$G$14,$M232,BV$13))))</f>
        <v>1000000000000</v>
      </c>
      <c r="BW232" s="216">
        <f ca="1">IF($D232&lt;&gt;"Serviço",0,IF(OR(AND(AUTOEVENTO="Manual",$M232=1),$M232&gt;(ROW(PLE.lastrow)-ROW(PLE.firstrow))),0,IF(OFFSET(PLE!$G$14,$M232,BW$13)="",10^12,OFFSET(PLE!$G$14,$M232,BW$13))))</f>
        <v>1000000000000</v>
      </c>
      <c r="BX232" s="216">
        <f ca="1">IF($D232&lt;&gt;"Serviço",0,IF(OR(AND(AUTOEVENTO="Manual",$M232=1),$M232&gt;(ROW(PLE.lastrow)-ROW(PLE.firstrow))),0,IF(OFFSET(PLE!$G$14,$M232,BX$13)="",10^12,OFFSET(PLE!$G$14,$M232,BX$13))))</f>
        <v>1000000000000</v>
      </c>
      <c r="BY232" s="216">
        <f ca="1">IF($D232&lt;&gt;"Serviço",0,IF(OR(AND(AUTOEVENTO="Manual",$M232=1),$M232&gt;(ROW(PLE.lastrow)-ROW(PLE.firstrow))),0,IF(OFFSET(PLE!$G$14,$M232,BY$13)="",10^12,OFFSET(PLE!$G$14,$M232,BY$13))))</f>
        <v>1000000000000</v>
      </c>
      <c r="BZ232" s="216">
        <f ca="1">IF($D232&lt;&gt;"Serviço",0,IF(OR(AND(AUTOEVENTO="Manual",$M232=1),$M232&gt;(ROW(PLE.lastrow)-ROW(PLE.firstrow))),0,IF(OFFSET(PLE!$G$14,$M232,BZ$13)="",10^12,OFFSET(PLE!$G$14,$M232,BZ$13))))</f>
        <v>1000000000000</v>
      </c>
      <c r="CA232" s="216">
        <f ca="1">IF($D232&lt;&gt;"Serviço",0,IF(OR(AND(AUTOEVENTO="Manual",$M232=1),$M232&gt;(ROW(PLE.lastrow)-ROW(PLE.firstrow))),0,IF(OFFSET(PLE!$G$14,$M232,CA$13)="",10^12,OFFSET(PLE!$G$14,$M232,CA$13))))</f>
        <v>1000000000000</v>
      </c>
      <c r="CB232" s="216">
        <f ca="1">IF($D232&lt;&gt;"Serviço",0,IF(OR(AND(AUTOEVENTO="Manual",$M232=1),$M232&gt;(ROW(PLE.lastrow)-ROW(PLE.firstrow))),0,IF(OFFSET(PLE!$G$14,$M232,CB$13)="",10^12,OFFSET(PLE!$G$14,$M232,CB$13))))</f>
        <v>1000000000000</v>
      </c>
      <c r="CC232" s="216">
        <f ca="1">IF($D232&lt;&gt;"Serviço",0,IF(OR(AND(AUTOEVENTO="Manual",$M232=1),$M232&gt;(ROW(PLE.lastrow)-ROW(PLE.firstrow))),0,IF(OFFSET(PLE!$G$14,$M232,CC$13)="",10^12,OFFSET(PLE!$G$14,$M232,CC$13))))</f>
        <v>1000000000000</v>
      </c>
      <c r="CD232" s="216">
        <f ca="1">IF($D232&lt;&gt;"Serviço",0,IF(OR(AND(AUTOEVENTO="Manual",$M232=1),$M232&gt;(ROW(PLE.lastrow)-ROW(PLE.firstrow))),0,IF(OFFSET(PLE!$G$14,$M232,CD$13)="",10^12,OFFSET(PLE!$G$14,$M232,CD$13))))</f>
        <v>1000000000000</v>
      </c>
      <c r="CE232" s="216">
        <f ca="1">IF($D232&lt;&gt;"Serviço",0,IF(OR(AND(AUTOEVENTO="Manual",$M232=1),$M232&gt;(ROW(PLE.lastrow)-ROW(PLE.firstrow))),0,IF(OFFSET(PLE!$G$14,$M232,CE$13)="",10^12,OFFSET(PLE!$G$14,$M232,CE$13))))</f>
        <v>1000000000000</v>
      </c>
      <c r="CF232" s="216">
        <f ca="1">IF($D232&lt;&gt;"Serviço",0,IF(OR(AND(AUTOEVENTO="Manual",$M232=1),$M232&gt;(ROW(PLE.lastrow)-ROW(PLE.firstrow))),0,IF(OFFSET(PLE!$G$14,$M232,CF$13)="",10^12,OFFSET(PLE!$G$14,$M232,CF$13))))</f>
        <v>1000000000000</v>
      </c>
      <c r="CG232" s="216">
        <f ca="1">IF($D232&lt;&gt;"Serviço",0,IF(OR(AND(AUTOEVENTO="Manual",$M232=1),$M232&gt;(ROW(PLE.lastrow)-ROW(PLE.firstrow))),0,IF(OFFSET(PLE!$G$14,$M232,CG$13)="",10^12,OFFSET(PLE!$G$14,$M232,CG$13))))</f>
        <v>1000000000000</v>
      </c>
      <c r="CH232" s="216">
        <f ca="1">IF($D232&lt;&gt;"Serviço",0,IF(OR(AND(AUTOEVENTO="Manual",$M232=1),$M232&gt;(ROW(PLE.lastrow)-ROW(PLE.firstrow))),0,IF(OFFSET(PLE!$G$14,$M232,CH$13)="",10^12,OFFSET(PLE!$G$14,$M232,CH$13))))</f>
        <v>1000000000000</v>
      </c>
      <c r="CI232" s="216">
        <f ca="1">IF($D232&lt;&gt;"Serviço",0,IF(OR(AND(AUTOEVENTO="Manual",$M232=1),$M232&gt;(ROW(PLE.lastrow)-ROW(PLE.firstrow))),0,IF(OFFSET(PLE!$G$14,$M232,CI$13)="",10^12,OFFSET(PLE!$G$14,$M232,CI$13))))</f>
        <v>1000000000000</v>
      </c>
      <c r="CJ232" s="216">
        <f ca="1">IF($D232&lt;&gt;"Serviço",0,IF(OR(AND(AUTOEVENTO="Manual",$M232=1),$M232&gt;(ROW(PLE.lastrow)-ROW(PLE.firstrow))),0,IF(OFFSET(PLE!$G$14,$M232,CJ$13)="",10^12,OFFSET(PLE!$G$14,$M232,CJ$13))))</f>
        <v>1000000000000</v>
      </c>
      <c r="CK232" s="216">
        <f ca="1">IF($D232&lt;&gt;"Serviço",0,IF(OR(AND(AUTOEVENTO="Manual",$M232=1),$M232&gt;(ROW(PLE.lastrow)-ROW(PLE.firstrow))),0,IF(OFFSET(PLE!$G$14,$M232,CK$13)="",10^12,OFFSET(PLE!$G$14,$M232,CK$13))))</f>
        <v>1000000000000</v>
      </c>
      <c r="CL232" s="216">
        <f ca="1">IF($D232&lt;&gt;"Serviço",0,IF(OR(AND(AUTOEVENTO="Manual",$M232=1),$M232&gt;(ROW(PLE.lastrow)-ROW(PLE.firstrow))),0,IF(OFFSET(PLE!$G$14,$M232,CL$13)="",10^12,OFFSET(PLE!$G$14,$M232,CL$13))))</f>
        <v>1000000000000</v>
      </c>
      <c r="CM232" s="216">
        <f ca="1">IF($D232&lt;&gt;"Serviço",0,IF(OR(AND(AUTOEVENTO="Manual",$M232=1),$M232&gt;(ROW(PLE.lastrow)-ROW(PLE.firstrow))),0,IF(OFFSET(PLE!$G$14,$M232,CM$13)="",10^12,OFFSET(PLE!$G$14,$M232,CM$13))))</f>
        <v>1000000000000</v>
      </c>
    </row>
    <row r="233" spans="1:91" ht="13.2" x14ac:dyDescent="0.25">
      <c r="A233" s="9">
        <f t="shared" ca="1" si="12"/>
        <v>0</v>
      </c>
      <c r="B233" s="9" t="str">
        <f ca="1">OFFSET(ORÇAMENTO!C$15,ROW(B233)-ROW(B$15),0)</f>
        <v>S</v>
      </c>
      <c r="C233" s="9" t="str">
        <f ca="1">OFFSET(ORÇAMENTO!L$15,ROW(C233)-ROW(C$15),0)</f>
        <v/>
      </c>
      <c r="D233" s="145" t="str">
        <f ca="1">OFFSET(ORÇAMENTO!N$15,ROW(D233)-ROW(D$15),0)</f>
        <v>Serviço</v>
      </c>
      <c r="E233" s="205" t="str">
        <f ca="1">OFFSET(ORÇAMENTO!O$15,ROW(E233)-ROW(E$15),0)</f>
        <v>-</v>
      </c>
      <c r="F233" s="206" t="str">
        <f ca="1">OFFSET(ORÇAMENTO!R$15,ROW(F233)-ROW(F$15),0)</f>
        <v>(abra o arquivo 'Referência 05-2024.xls)</v>
      </c>
      <c r="G233" s="207" t="str">
        <f ca="1">IF($D233&lt;&gt;"Serviço","",OFFSET(ORÇAMENTO!S$15,ROW(G233)-ROW(G$15),0))</f>
        <v>-</v>
      </c>
      <c r="H233" s="151">
        <f ca="1">IF($D233&lt;&gt;"Serviço",0,IF(ACOMPANHAMENTO="BM",ROUND(OFFSET(ORÇAMENTO!AJ$15,ROW(H233)-ROW(H$15),0),15-13*ORÇAMENTO!$AF$7),SUMPRODUCT(($Q$12:$AI$12&lt;&gt;"")*ROUND($Q233:$AI233,15-13*ORÇAMENTO!$AF$7))))</f>
        <v>268.45999999999998</v>
      </c>
      <c r="I233" s="650"/>
      <c r="K233" s="208"/>
      <c r="L233" s="209" t="s">
        <v>257</v>
      </c>
      <c r="M233" s="210">
        <f ca="1">IF($D233&lt;&gt;"Serviço","",IF(AUTOEVENTO="manual",$A233,IF(ISERROR(MATCH($A233,$A$15:OFFSET($A233,-1,0),0)),MAX($M$15:OFFSET(M233,-1,0))+1,INDEX($M$15:OFFSET(M233,-1,0),MATCH($A233,$A$15:OFFSET($A233,-1,0),0)))))</f>
        <v>0</v>
      </c>
      <c r="N233" s="211" t="str">
        <f ca="1">IF($D233&lt;&gt;"Serviço","",IF(AUTOEVENTO="Manual",IF($A233=0,"&lt;-- defina o número do agrupador",OFFSET(EVENTOS!$D$14,$A233,0)),OFFSET($F$15,$A233,0)))</f>
        <v>&lt;-- defina o número do agrupador</v>
      </c>
      <c r="O233" s="212"/>
      <c r="Q233" s="212"/>
      <c r="R233" s="213"/>
      <c r="S233" s="213"/>
      <c r="T233" s="213"/>
      <c r="U233" s="213"/>
      <c r="V233" s="213"/>
      <c r="W233" s="213"/>
      <c r="X233" s="213"/>
      <c r="Y233" s="213"/>
      <c r="Z233" s="214"/>
      <c r="AA233" s="213"/>
      <c r="AB233" s="213"/>
      <c r="AC233" s="213"/>
      <c r="AD233" s="213"/>
      <c r="AE233" s="213"/>
      <c r="AF233" s="213"/>
      <c r="AG233" s="213"/>
      <c r="AH233" s="214"/>
      <c r="AJ233" s="631">
        <f ca="1">IF(AND($D233="Serviço",AJ$12&lt;&gt;0,$H233&gt;0,OR(AUTOEVENTO&lt;&gt;"manual",$M233&lt;&gt;1)),ROUND(OFFSET($P233,0,AJ$13),15-13*ORÇAMENTO!$AF$7)/$H233*OFFSET(ORÇAMENTO!$X$15,ROW(AJ233)-ROW(AJ$15),0),0)</f>
        <v>0</v>
      </c>
      <c r="AK233" s="632">
        <f ca="1">IF(AND($D233="Serviço",AK$12&lt;&gt;0,$H233&gt;0,OR(AUTOEVENTO&lt;&gt;"manual",$M233&lt;&gt;1)),ROUND(OFFSET($P233,0,AK$13),15-13*ORÇAMENTO!$AF$7)/$H233*OFFSET(ORÇAMENTO!$X$15,ROW(AK233)-ROW(AK$15),0),0)</f>
        <v>0</v>
      </c>
      <c r="AL233" s="632">
        <f ca="1">IF(AND($D233="Serviço",AL$12&lt;&gt;0,$H233&gt;0,OR(AUTOEVENTO&lt;&gt;"manual",$M233&lt;&gt;1)),ROUND(OFFSET($P233,0,AL$13),15-13*ORÇAMENTO!$AF$7)/$H233*OFFSET(ORÇAMENTO!$X$15,ROW(AL233)-ROW(AL$15),0),0)</f>
        <v>0</v>
      </c>
      <c r="AM233" s="632">
        <f ca="1">IF(AND($D233="Serviço",AM$12&lt;&gt;0,$H233&gt;0,OR(AUTOEVENTO&lt;&gt;"manual",$M233&lt;&gt;1)),ROUND(OFFSET($P233,0,AM$13),15-13*ORÇAMENTO!$AF$7)/$H233*OFFSET(ORÇAMENTO!$X$15,ROW(AM233)-ROW(AM$15),0),0)</f>
        <v>0</v>
      </c>
      <c r="AN233" s="632">
        <f ca="1">IF(AND($D233="Serviço",AN$12&lt;&gt;0,$H233&gt;0,OR(AUTOEVENTO&lt;&gt;"manual",$M233&lt;&gt;1)),ROUND(OFFSET($P233,0,AN$13),15-13*ORÇAMENTO!$AF$7)/$H233*OFFSET(ORÇAMENTO!$X$15,ROW(AN233)-ROW(AN$15),0),0)</f>
        <v>0</v>
      </c>
      <c r="AO233" s="632">
        <f ca="1">IF(AND($D233="Serviço",AO$12&lt;&gt;0,$H233&gt;0,OR(AUTOEVENTO&lt;&gt;"manual",$M233&lt;&gt;1)),ROUND(OFFSET($P233,0,AO$13),15-13*ORÇAMENTO!$AF$7)/$H233*OFFSET(ORÇAMENTO!$X$15,ROW(AO233)-ROW(AO$15),0),0)</f>
        <v>0</v>
      </c>
      <c r="AP233" s="632">
        <f ca="1">IF(AND($D233="Serviço",AP$12&lt;&gt;0,$H233&gt;0,OR(AUTOEVENTO&lt;&gt;"manual",$M233&lt;&gt;1)),ROUND(OFFSET($P233,0,AP$13),15-13*ORÇAMENTO!$AF$7)/$H233*OFFSET(ORÇAMENTO!$X$15,ROW(AP233)-ROW(AP$15),0),0)</f>
        <v>0</v>
      </c>
      <c r="AQ233" s="632">
        <f ca="1">IF(AND($D233="Serviço",AQ$12&lt;&gt;0,$H233&gt;0,OR(AUTOEVENTO&lt;&gt;"manual",$M233&lt;&gt;1)),ROUND(OFFSET($P233,0,AQ$13),15-13*ORÇAMENTO!$AF$7)/$H233*OFFSET(ORÇAMENTO!$X$15,ROW(AQ233)-ROW(AQ$15),0),0)</f>
        <v>0</v>
      </c>
      <c r="AR233" s="632">
        <f ca="1">IF(AND($D233="Serviço",AR$12&lt;&gt;0,$H233&gt;0,OR(AUTOEVENTO&lt;&gt;"manual",$M233&lt;&gt;1)),ROUND(OFFSET($P233,0,AR$13),15-13*ORÇAMENTO!$AF$7)/$H233*OFFSET(ORÇAMENTO!$X$15,ROW(AR233)-ROW(AR$15),0),0)</f>
        <v>0</v>
      </c>
      <c r="AS233" s="633">
        <f ca="1">IF(AND($D233="Serviço",AS$12&lt;&gt;0,$H233&gt;0,OR(AUTOEVENTO&lt;&gt;"manual",$M233&lt;&gt;1)),ROUND(OFFSET($P233,0,AS$13),15-13*ORÇAMENTO!$AF$7)/$H233*OFFSET(ORÇAMENTO!$X$15,ROW(AS233)-ROW(AS$15),0),0)</f>
        <v>0</v>
      </c>
      <c r="AT233" s="632">
        <f ca="1">IF(AND($D233="Serviço",AT$12&lt;&gt;0,$H233&gt;0,OR(AUTOEVENTO&lt;&gt;"manual",$M233&lt;&gt;1)),ROUND(OFFSET($P233,0,AT$13),15-13*ORÇAMENTO!$AF$7)/$H233*OFFSET(ORÇAMENTO!$X$15,ROW(AT233)-ROW(AT$15),0),0)</f>
        <v>0</v>
      </c>
      <c r="AU233" s="632">
        <f ca="1">IF(AND($D233="Serviço",AU$12&lt;&gt;0,$H233&gt;0,OR(AUTOEVENTO&lt;&gt;"manual",$M233&lt;&gt;1)),ROUND(OFFSET($P233,0,AU$13),15-13*ORÇAMENTO!$AF$7)/$H233*OFFSET(ORÇAMENTO!$X$15,ROW(AU233)-ROW(AU$15),0),0)</f>
        <v>0</v>
      </c>
      <c r="AV233" s="632">
        <f ca="1">IF(AND($D233="Serviço",AV$12&lt;&gt;0,$H233&gt;0,OR(AUTOEVENTO&lt;&gt;"manual",$M233&lt;&gt;1)),ROUND(OFFSET($P233,0,AV$13),15-13*ORÇAMENTO!$AF$7)/$H233*OFFSET(ORÇAMENTO!$X$15,ROW(AV233)-ROW(AV$15),0),0)</f>
        <v>0</v>
      </c>
      <c r="AW233" s="632">
        <f ca="1">IF(AND($D233="Serviço",AW$12&lt;&gt;0,$H233&gt;0,OR(AUTOEVENTO&lt;&gt;"manual",$M233&lt;&gt;1)),ROUND(OFFSET($P233,0,AW$13),15-13*ORÇAMENTO!$AF$7)/$H233*OFFSET(ORÇAMENTO!$X$15,ROW(AW233)-ROW(AW$15),0),0)</f>
        <v>0</v>
      </c>
      <c r="AX233" s="632">
        <f ca="1">IF(AND($D233="Serviço",AX$12&lt;&gt;0,$H233&gt;0,OR(AUTOEVENTO&lt;&gt;"manual",$M233&lt;&gt;1)),ROUND(OFFSET($P233,0,AX$13),15-13*ORÇAMENTO!$AF$7)/$H233*OFFSET(ORÇAMENTO!$X$15,ROW(AX233)-ROW(AX$15),0),0)</f>
        <v>0</v>
      </c>
      <c r="AY233" s="632">
        <f ca="1">IF(AND($D233="Serviço",AY$12&lt;&gt;0,$H233&gt;0,OR(AUTOEVENTO&lt;&gt;"manual",$M233&lt;&gt;1)),ROUND(OFFSET($P233,0,AY$13),15-13*ORÇAMENTO!$AF$7)/$H233*OFFSET(ORÇAMENTO!$X$15,ROW(AY233)-ROW(AY$15),0),0)</f>
        <v>0</v>
      </c>
      <c r="AZ233" s="632">
        <f ca="1">IF(AND($D233="Serviço",AZ$12&lt;&gt;0,$H233&gt;0,OR(AUTOEVENTO&lt;&gt;"manual",$M233&lt;&gt;1)),ROUND(OFFSET($P233,0,AZ$13),15-13*ORÇAMENTO!$AF$7)/$H233*OFFSET(ORÇAMENTO!$X$15,ROW(AZ233)-ROW(AZ$15),0),0)</f>
        <v>0</v>
      </c>
      <c r="BA233" s="633">
        <f ca="1">IF(AND($D233="Serviço",BA$12&lt;&gt;0,$H233&gt;0,OR(AUTOEVENTO&lt;&gt;"manual",$M233&lt;&gt;1)),ROUND(OFFSET($P233,0,BA$13),15-13*ORÇAMENTO!$AF$7)/$H233*OFFSET(ORÇAMENTO!$X$15,ROW(BA233)-ROW(BA$15),0),0)</f>
        <v>0</v>
      </c>
      <c r="BC233" s="215">
        <f ca="1">IF($D233&lt;&gt;"Serviço",0,IF(AND(AUTOEVENTO="Manual",$M233=1),0,IF(OFFSET(CRONOPLE!$F$14,$M233,BC$13)="",10^12,OFFSET(CRONOPLE!$F$14,$M233,BC$13))))</f>
        <v>1000000000000</v>
      </c>
      <c r="BD233" s="215">
        <f ca="1">IF($D233&lt;&gt;"Serviço",0,IF(AND(AUTOEVENTO="Manual",$M233=1),0,IF(OFFSET(CRONOPLE!$F$14,$M233,BD$13)="",10^12,OFFSET(CRONOPLE!$F$14,$M233,BD$13))))</f>
        <v>1000000000000</v>
      </c>
      <c r="BE233" s="215">
        <f ca="1">IF($D233&lt;&gt;"Serviço",0,IF(AND(AUTOEVENTO="Manual",$M233=1),0,IF(OFFSET(CRONOPLE!$F$14,$M233,BE$13)="",10^12,OFFSET(CRONOPLE!$F$14,$M233,BE$13))))</f>
        <v>1000000000000</v>
      </c>
      <c r="BF233" s="215">
        <f ca="1">IF($D233&lt;&gt;"Serviço",0,IF(AND(AUTOEVENTO="Manual",$M233=1),0,IF(OFFSET(CRONOPLE!$F$14,$M233,BF$13)="",10^12,OFFSET(CRONOPLE!$F$14,$M233,BF$13))))</f>
        <v>1000000000000</v>
      </c>
      <c r="BG233" s="215">
        <f ca="1">IF($D233&lt;&gt;"Serviço",0,IF(AND(AUTOEVENTO="Manual",$M233=1),0,IF(OFFSET(CRONOPLE!$F$14,$M233,BG$13)="",10^12,OFFSET(CRONOPLE!$F$14,$M233,BG$13))))</f>
        <v>1000000000000</v>
      </c>
      <c r="BH233" s="215">
        <f ca="1">IF($D233&lt;&gt;"Serviço",0,IF(AND(AUTOEVENTO="Manual",$M233=1),0,IF(OFFSET(CRONOPLE!$F$14,$M233,BH$13)="",10^12,OFFSET(CRONOPLE!$F$14,$M233,BH$13))))</f>
        <v>1000000000000</v>
      </c>
      <c r="BI233" s="215">
        <f ca="1">IF($D233&lt;&gt;"Serviço",0,IF(AND(AUTOEVENTO="Manual",$M233=1),0,IF(OFFSET(CRONOPLE!$F$14,$M233,BI$13)="",10^12,OFFSET(CRONOPLE!$F$14,$M233,BI$13))))</f>
        <v>1000000000000</v>
      </c>
      <c r="BJ233" s="215">
        <f ca="1">IF($D233&lt;&gt;"Serviço",0,IF(AND(AUTOEVENTO="Manual",$M233=1),0,IF(OFFSET(CRONOPLE!$F$14,$M233,BJ$13)="",10^12,OFFSET(CRONOPLE!$F$14,$M233,BJ$13))))</f>
        <v>1000000000000</v>
      </c>
      <c r="BK233" s="215">
        <f ca="1">IF($D233&lt;&gt;"Serviço",0,IF(AND(AUTOEVENTO="Manual",$M233=1),0,IF(OFFSET(CRONOPLE!$F$14,$M233,BK$13)="",10^12,OFFSET(CRONOPLE!$F$14,$M233,BK$13))))</f>
        <v>1000000000000</v>
      </c>
      <c r="BL233" s="215">
        <f ca="1">IF($D233&lt;&gt;"Serviço",0,IF(AND(AUTOEVENTO="Manual",$M233=1),0,IF(OFFSET(CRONOPLE!$F$14,$M233,BL$13)="",10^12,OFFSET(CRONOPLE!$F$14,$M233,BL$13))))</f>
        <v>1000000000000</v>
      </c>
      <c r="BM233" s="215">
        <f ca="1">IF($D233&lt;&gt;"Serviço",0,IF(AND(AUTOEVENTO="Manual",$M233=1),0,IF(OFFSET(CRONOPLE!$F$14,$M233,BM$13)="",10^12,OFFSET(CRONOPLE!$F$14,$M233,BM$13))))</f>
        <v>1000000000000</v>
      </c>
      <c r="BN233" s="215">
        <f ca="1">IF($D233&lt;&gt;"Serviço",0,IF(AND(AUTOEVENTO="Manual",$M233=1),0,IF(OFFSET(CRONOPLE!$F$14,$M233,BN$13)="",10^12,OFFSET(CRONOPLE!$F$14,$M233,BN$13))))</f>
        <v>1000000000000</v>
      </c>
      <c r="BO233" s="215">
        <f ca="1">IF($D233&lt;&gt;"Serviço",0,IF(AND(AUTOEVENTO="Manual",$M233=1),0,IF(OFFSET(CRONOPLE!$F$14,$M233,BO$13)="",10^12,OFFSET(CRONOPLE!$F$14,$M233,BO$13))))</f>
        <v>1000000000000</v>
      </c>
      <c r="BP233" s="215">
        <f ca="1">IF($D233&lt;&gt;"Serviço",0,IF(AND(AUTOEVENTO="Manual",$M233=1),0,IF(OFFSET(CRONOPLE!$F$14,$M233,BP$13)="",10^12,OFFSET(CRONOPLE!$F$14,$M233,BP$13))))</f>
        <v>1000000000000</v>
      </c>
      <c r="BQ233" s="215">
        <f ca="1">IF($D233&lt;&gt;"Serviço",0,IF(AND(AUTOEVENTO="Manual",$M233=1),0,IF(OFFSET(CRONOPLE!$F$14,$M233,BQ$13)="",10^12,OFFSET(CRONOPLE!$F$14,$M233,BQ$13))))</f>
        <v>1000000000000</v>
      </c>
      <c r="BR233" s="215">
        <f ca="1">IF($D233&lt;&gt;"Serviço",0,IF(AND(AUTOEVENTO="Manual",$M233=1),0,IF(OFFSET(CRONOPLE!$F$14,$M233,BR$13)="",10^12,OFFSET(CRONOPLE!$F$14,$M233,BR$13))))</f>
        <v>1000000000000</v>
      </c>
      <c r="BS233" s="215">
        <f ca="1">IF($D233&lt;&gt;"Serviço",0,IF(AND(AUTOEVENTO="Manual",$M233=1),0,IF(OFFSET(CRONOPLE!$F$14,$M233,BS$13)="",10^12,OFFSET(CRONOPLE!$F$14,$M233,BS$13))))</f>
        <v>1000000000000</v>
      </c>
      <c r="BT233" s="215">
        <f ca="1">IF($D233&lt;&gt;"Serviço",0,IF(AND(AUTOEVENTO="Manual",$M233=1),0,IF(OFFSET(CRONOPLE!$F$14,$M233,BT$13)="",10^12,OFFSET(CRONOPLE!$F$14,$M233,BT$13))))</f>
        <v>1000000000000</v>
      </c>
      <c r="BV233" s="216">
        <f ca="1">IF($D233&lt;&gt;"Serviço",0,IF(OR(AND(AUTOEVENTO="Manual",$M233=1),$M233&gt;(ROW(PLE.lastrow)-ROW(PLE.firstrow))),0,IF(OFFSET(PLE!$G$14,$M233,BV$13)="",10^12,OFFSET(PLE!$G$14,$M233,BV$13))))</f>
        <v>1000000000000</v>
      </c>
      <c r="BW233" s="216">
        <f ca="1">IF($D233&lt;&gt;"Serviço",0,IF(OR(AND(AUTOEVENTO="Manual",$M233=1),$M233&gt;(ROW(PLE.lastrow)-ROW(PLE.firstrow))),0,IF(OFFSET(PLE!$G$14,$M233,BW$13)="",10^12,OFFSET(PLE!$G$14,$M233,BW$13))))</f>
        <v>1000000000000</v>
      </c>
      <c r="BX233" s="216">
        <f ca="1">IF($D233&lt;&gt;"Serviço",0,IF(OR(AND(AUTOEVENTO="Manual",$M233=1),$M233&gt;(ROW(PLE.lastrow)-ROW(PLE.firstrow))),0,IF(OFFSET(PLE!$G$14,$M233,BX$13)="",10^12,OFFSET(PLE!$G$14,$M233,BX$13))))</f>
        <v>1000000000000</v>
      </c>
      <c r="BY233" s="216">
        <f ca="1">IF($D233&lt;&gt;"Serviço",0,IF(OR(AND(AUTOEVENTO="Manual",$M233=1),$M233&gt;(ROW(PLE.lastrow)-ROW(PLE.firstrow))),0,IF(OFFSET(PLE!$G$14,$M233,BY$13)="",10^12,OFFSET(PLE!$G$14,$M233,BY$13))))</f>
        <v>1000000000000</v>
      </c>
      <c r="BZ233" s="216">
        <f ca="1">IF($D233&lt;&gt;"Serviço",0,IF(OR(AND(AUTOEVENTO="Manual",$M233=1),$M233&gt;(ROW(PLE.lastrow)-ROW(PLE.firstrow))),0,IF(OFFSET(PLE!$G$14,$M233,BZ$13)="",10^12,OFFSET(PLE!$G$14,$M233,BZ$13))))</f>
        <v>1000000000000</v>
      </c>
      <c r="CA233" s="216">
        <f ca="1">IF($D233&lt;&gt;"Serviço",0,IF(OR(AND(AUTOEVENTO="Manual",$M233=1),$M233&gt;(ROW(PLE.lastrow)-ROW(PLE.firstrow))),0,IF(OFFSET(PLE!$G$14,$M233,CA$13)="",10^12,OFFSET(PLE!$G$14,$M233,CA$13))))</f>
        <v>1000000000000</v>
      </c>
      <c r="CB233" s="216">
        <f ca="1">IF($D233&lt;&gt;"Serviço",0,IF(OR(AND(AUTOEVENTO="Manual",$M233=1),$M233&gt;(ROW(PLE.lastrow)-ROW(PLE.firstrow))),0,IF(OFFSET(PLE!$G$14,$M233,CB$13)="",10^12,OFFSET(PLE!$G$14,$M233,CB$13))))</f>
        <v>1000000000000</v>
      </c>
      <c r="CC233" s="216">
        <f ca="1">IF($D233&lt;&gt;"Serviço",0,IF(OR(AND(AUTOEVENTO="Manual",$M233=1),$M233&gt;(ROW(PLE.lastrow)-ROW(PLE.firstrow))),0,IF(OFFSET(PLE!$G$14,$M233,CC$13)="",10^12,OFFSET(PLE!$G$14,$M233,CC$13))))</f>
        <v>1000000000000</v>
      </c>
      <c r="CD233" s="216">
        <f ca="1">IF($D233&lt;&gt;"Serviço",0,IF(OR(AND(AUTOEVENTO="Manual",$M233=1),$M233&gt;(ROW(PLE.lastrow)-ROW(PLE.firstrow))),0,IF(OFFSET(PLE!$G$14,$M233,CD$13)="",10^12,OFFSET(PLE!$G$14,$M233,CD$13))))</f>
        <v>1000000000000</v>
      </c>
      <c r="CE233" s="216">
        <f ca="1">IF($D233&lt;&gt;"Serviço",0,IF(OR(AND(AUTOEVENTO="Manual",$M233=1),$M233&gt;(ROW(PLE.lastrow)-ROW(PLE.firstrow))),0,IF(OFFSET(PLE!$G$14,$M233,CE$13)="",10^12,OFFSET(PLE!$G$14,$M233,CE$13))))</f>
        <v>1000000000000</v>
      </c>
      <c r="CF233" s="216">
        <f ca="1">IF($D233&lt;&gt;"Serviço",0,IF(OR(AND(AUTOEVENTO="Manual",$M233=1),$M233&gt;(ROW(PLE.lastrow)-ROW(PLE.firstrow))),0,IF(OFFSET(PLE!$G$14,$M233,CF$13)="",10^12,OFFSET(PLE!$G$14,$M233,CF$13))))</f>
        <v>1000000000000</v>
      </c>
      <c r="CG233" s="216">
        <f ca="1">IF($D233&lt;&gt;"Serviço",0,IF(OR(AND(AUTOEVENTO="Manual",$M233=1),$M233&gt;(ROW(PLE.lastrow)-ROW(PLE.firstrow))),0,IF(OFFSET(PLE!$G$14,$M233,CG$13)="",10^12,OFFSET(PLE!$G$14,$M233,CG$13))))</f>
        <v>1000000000000</v>
      </c>
      <c r="CH233" s="216">
        <f ca="1">IF($D233&lt;&gt;"Serviço",0,IF(OR(AND(AUTOEVENTO="Manual",$M233=1),$M233&gt;(ROW(PLE.lastrow)-ROW(PLE.firstrow))),0,IF(OFFSET(PLE!$G$14,$M233,CH$13)="",10^12,OFFSET(PLE!$G$14,$M233,CH$13))))</f>
        <v>1000000000000</v>
      </c>
      <c r="CI233" s="216">
        <f ca="1">IF($D233&lt;&gt;"Serviço",0,IF(OR(AND(AUTOEVENTO="Manual",$M233=1),$M233&gt;(ROW(PLE.lastrow)-ROW(PLE.firstrow))),0,IF(OFFSET(PLE!$G$14,$M233,CI$13)="",10^12,OFFSET(PLE!$G$14,$M233,CI$13))))</f>
        <v>1000000000000</v>
      </c>
      <c r="CJ233" s="216">
        <f ca="1">IF($D233&lt;&gt;"Serviço",0,IF(OR(AND(AUTOEVENTO="Manual",$M233=1),$M233&gt;(ROW(PLE.lastrow)-ROW(PLE.firstrow))),0,IF(OFFSET(PLE!$G$14,$M233,CJ$13)="",10^12,OFFSET(PLE!$G$14,$M233,CJ$13))))</f>
        <v>1000000000000</v>
      </c>
      <c r="CK233" s="216">
        <f ca="1">IF($D233&lt;&gt;"Serviço",0,IF(OR(AND(AUTOEVENTO="Manual",$M233=1),$M233&gt;(ROW(PLE.lastrow)-ROW(PLE.firstrow))),0,IF(OFFSET(PLE!$G$14,$M233,CK$13)="",10^12,OFFSET(PLE!$G$14,$M233,CK$13))))</f>
        <v>1000000000000</v>
      </c>
      <c r="CL233" s="216">
        <f ca="1">IF($D233&lt;&gt;"Serviço",0,IF(OR(AND(AUTOEVENTO="Manual",$M233=1),$M233&gt;(ROW(PLE.lastrow)-ROW(PLE.firstrow))),0,IF(OFFSET(PLE!$G$14,$M233,CL$13)="",10^12,OFFSET(PLE!$G$14,$M233,CL$13))))</f>
        <v>1000000000000</v>
      </c>
      <c r="CM233" s="216">
        <f ca="1">IF($D233&lt;&gt;"Serviço",0,IF(OR(AND(AUTOEVENTO="Manual",$M233=1),$M233&gt;(ROW(PLE.lastrow)-ROW(PLE.firstrow))),0,IF(OFFSET(PLE!$G$14,$M233,CM$13)="",10^12,OFFSET(PLE!$G$14,$M233,CM$13))))</f>
        <v>1000000000000</v>
      </c>
    </row>
    <row r="234" spans="1:91" ht="13.2" x14ac:dyDescent="0.25">
      <c r="A234" s="9">
        <f t="shared" ca="1" si="12"/>
        <v>0</v>
      </c>
      <c r="B234" s="9">
        <f ca="1">OFFSET(ORÇAMENTO!C$15,ROW(B234)-ROW(B$15),0)</f>
        <v>3</v>
      </c>
      <c r="C234" s="9" t="str">
        <f ca="1">OFFSET(ORÇAMENTO!L$15,ROW(C234)-ROW(C$15),0)</f>
        <v>F</v>
      </c>
      <c r="D234" s="145" t="str">
        <f ca="1">OFFSET(ORÇAMENTO!N$15,ROW(D234)-ROW(D$15),0)</f>
        <v>Nível 3</v>
      </c>
      <c r="E234" s="205" t="str">
        <f ca="1">OFFSET(ORÇAMENTO!O$15,ROW(E234)-ROW(E$15),0)</f>
        <v>1.7.2.</v>
      </c>
      <c r="F234" s="206" t="str">
        <f ca="1">OFFSET(ORÇAMENTO!R$15,ROW(F234)-ROW(F$15),0)</f>
        <v>QUADRA</v>
      </c>
      <c r="G234" s="207" t="str">
        <f ca="1">IF($D234&lt;&gt;"Serviço","",OFFSET(ORÇAMENTO!S$15,ROW(G234)-ROW(G$15),0))</f>
        <v/>
      </c>
      <c r="H234" s="151">
        <f ca="1">IF($D234&lt;&gt;"Serviço",0,IF(ACOMPANHAMENTO="BM",ROUND(OFFSET(ORÇAMENTO!AJ$15,ROW(H234)-ROW(H$15),0),15-13*ORÇAMENTO!$AF$7),SUMPRODUCT(($Q$12:$AI$12&lt;&gt;"")*ROUND($Q234:$AI234,15-13*ORÇAMENTO!$AF$7))))</f>
        <v>0</v>
      </c>
      <c r="I234" s="650"/>
      <c r="K234" s="208"/>
      <c r="L234" s="209" t="s">
        <v>257</v>
      </c>
      <c r="M234" s="210" t="str">
        <f ca="1">IF($D234&lt;&gt;"Serviço","",IF(AUTOEVENTO="manual",$A234,IF(ISERROR(MATCH($A234,$A$15:OFFSET($A234,-1,0),0)),MAX($M$15:OFFSET(M234,-1,0))+1,INDEX($M$15:OFFSET(M234,-1,0),MATCH($A234,$A$15:OFFSET($A234,-1,0),0)))))</f>
        <v/>
      </c>
      <c r="N234" s="211" t="str">
        <f ca="1">IF($D234&lt;&gt;"Serviço","",IF(AUTOEVENTO="Manual",IF($A234=0,"&lt;-- defina o número do agrupador",OFFSET(EVENTOS!$D$14,$A234,0)),OFFSET($F$15,$A234,0)))</f>
        <v/>
      </c>
      <c r="O234" s="212"/>
      <c r="Q234" s="212"/>
      <c r="R234" s="213"/>
      <c r="S234" s="213"/>
      <c r="T234" s="213"/>
      <c r="U234" s="213"/>
      <c r="V234" s="213"/>
      <c r="W234" s="213"/>
      <c r="X234" s="213"/>
      <c r="Y234" s="213"/>
      <c r="Z234" s="214"/>
      <c r="AA234" s="213"/>
      <c r="AB234" s="213"/>
      <c r="AC234" s="213"/>
      <c r="AD234" s="213"/>
      <c r="AE234" s="213"/>
      <c r="AF234" s="213"/>
      <c r="AG234" s="213"/>
      <c r="AH234" s="214"/>
      <c r="AJ234" s="631">
        <f ca="1">IF(AND($D234="Serviço",AJ$12&lt;&gt;0,$H234&gt;0,OR(AUTOEVENTO&lt;&gt;"manual",$M234&lt;&gt;1)),ROUND(OFFSET($P234,0,AJ$13),15-13*ORÇAMENTO!$AF$7)/$H234*OFFSET(ORÇAMENTO!$X$15,ROW(AJ234)-ROW(AJ$15),0),0)</f>
        <v>0</v>
      </c>
      <c r="AK234" s="632">
        <f ca="1">IF(AND($D234="Serviço",AK$12&lt;&gt;0,$H234&gt;0,OR(AUTOEVENTO&lt;&gt;"manual",$M234&lt;&gt;1)),ROUND(OFFSET($P234,0,AK$13),15-13*ORÇAMENTO!$AF$7)/$H234*OFFSET(ORÇAMENTO!$X$15,ROW(AK234)-ROW(AK$15),0),0)</f>
        <v>0</v>
      </c>
      <c r="AL234" s="632">
        <f ca="1">IF(AND($D234="Serviço",AL$12&lt;&gt;0,$H234&gt;0,OR(AUTOEVENTO&lt;&gt;"manual",$M234&lt;&gt;1)),ROUND(OFFSET($P234,0,AL$13),15-13*ORÇAMENTO!$AF$7)/$H234*OFFSET(ORÇAMENTO!$X$15,ROW(AL234)-ROW(AL$15),0),0)</f>
        <v>0</v>
      </c>
      <c r="AM234" s="632">
        <f ca="1">IF(AND($D234="Serviço",AM$12&lt;&gt;0,$H234&gt;0,OR(AUTOEVENTO&lt;&gt;"manual",$M234&lt;&gt;1)),ROUND(OFFSET($P234,0,AM$13),15-13*ORÇAMENTO!$AF$7)/$H234*OFFSET(ORÇAMENTO!$X$15,ROW(AM234)-ROW(AM$15),0),0)</f>
        <v>0</v>
      </c>
      <c r="AN234" s="632">
        <f ca="1">IF(AND($D234="Serviço",AN$12&lt;&gt;0,$H234&gt;0,OR(AUTOEVENTO&lt;&gt;"manual",$M234&lt;&gt;1)),ROUND(OFFSET($P234,0,AN$13),15-13*ORÇAMENTO!$AF$7)/$H234*OFFSET(ORÇAMENTO!$X$15,ROW(AN234)-ROW(AN$15),0),0)</f>
        <v>0</v>
      </c>
      <c r="AO234" s="632">
        <f ca="1">IF(AND($D234="Serviço",AO$12&lt;&gt;0,$H234&gt;0,OR(AUTOEVENTO&lt;&gt;"manual",$M234&lt;&gt;1)),ROUND(OFFSET($P234,0,AO$13),15-13*ORÇAMENTO!$AF$7)/$H234*OFFSET(ORÇAMENTO!$X$15,ROW(AO234)-ROW(AO$15),0),0)</f>
        <v>0</v>
      </c>
      <c r="AP234" s="632">
        <f ca="1">IF(AND($D234="Serviço",AP$12&lt;&gt;0,$H234&gt;0,OR(AUTOEVENTO&lt;&gt;"manual",$M234&lt;&gt;1)),ROUND(OFFSET($P234,0,AP$13),15-13*ORÇAMENTO!$AF$7)/$H234*OFFSET(ORÇAMENTO!$X$15,ROW(AP234)-ROW(AP$15),0),0)</f>
        <v>0</v>
      </c>
      <c r="AQ234" s="632">
        <f ca="1">IF(AND($D234="Serviço",AQ$12&lt;&gt;0,$H234&gt;0,OR(AUTOEVENTO&lt;&gt;"manual",$M234&lt;&gt;1)),ROUND(OFFSET($P234,0,AQ$13),15-13*ORÇAMENTO!$AF$7)/$H234*OFFSET(ORÇAMENTO!$X$15,ROW(AQ234)-ROW(AQ$15),0),0)</f>
        <v>0</v>
      </c>
      <c r="AR234" s="632">
        <f ca="1">IF(AND($D234="Serviço",AR$12&lt;&gt;0,$H234&gt;0,OR(AUTOEVENTO&lt;&gt;"manual",$M234&lt;&gt;1)),ROUND(OFFSET($P234,0,AR$13),15-13*ORÇAMENTO!$AF$7)/$H234*OFFSET(ORÇAMENTO!$X$15,ROW(AR234)-ROW(AR$15),0),0)</f>
        <v>0</v>
      </c>
      <c r="AS234" s="633">
        <f ca="1">IF(AND($D234="Serviço",AS$12&lt;&gt;0,$H234&gt;0,OR(AUTOEVENTO&lt;&gt;"manual",$M234&lt;&gt;1)),ROUND(OFFSET($P234,0,AS$13),15-13*ORÇAMENTO!$AF$7)/$H234*OFFSET(ORÇAMENTO!$X$15,ROW(AS234)-ROW(AS$15),0),0)</f>
        <v>0</v>
      </c>
      <c r="AT234" s="632">
        <f ca="1">IF(AND($D234="Serviço",AT$12&lt;&gt;0,$H234&gt;0,OR(AUTOEVENTO&lt;&gt;"manual",$M234&lt;&gt;1)),ROUND(OFFSET($P234,0,AT$13),15-13*ORÇAMENTO!$AF$7)/$H234*OFFSET(ORÇAMENTO!$X$15,ROW(AT234)-ROW(AT$15),0),0)</f>
        <v>0</v>
      </c>
      <c r="AU234" s="632">
        <f ca="1">IF(AND($D234="Serviço",AU$12&lt;&gt;0,$H234&gt;0,OR(AUTOEVENTO&lt;&gt;"manual",$M234&lt;&gt;1)),ROUND(OFFSET($P234,0,AU$13),15-13*ORÇAMENTO!$AF$7)/$H234*OFFSET(ORÇAMENTO!$X$15,ROW(AU234)-ROW(AU$15),0),0)</f>
        <v>0</v>
      </c>
      <c r="AV234" s="632">
        <f ca="1">IF(AND($D234="Serviço",AV$12&lt;&gt;0,$H234&gt;0,OR(AUTOEVENTO&lt;&gt;"manual",$M234&lt;&gt;1)),ROUND(OFFSET($P234,0,AV$13),15-13*ORÇAMENTO!$AF$7)/$H234*OFFSET(ORÇAMENTO!$X$15,ROW(AV234)-ROW(AV$15),0),0)</f>
        <v>0</v>
      </c>
      <c r="AW234" s="632">
        <f ca="1">IF(AND($D234="Serviço",AW$12&lt;&gt;0,$H234&gt;0,OR(AUTOEVENTO&lt;&gt;"manual",$M234&lt;&gt;1)),ROUND(OFFSET($P234,0,AW$13),15-13*ORÇAMENTO!$AF$7)/$H234*OFFSET(ORÇAMENTO!$X$15,ROW(AW234)-ROW(AW$15),0),0)</f>
        <v>0</v>
      </c>
      <c r="AX234" s="632">
        <f ca="1">IF(AND($D234="Serviço",AX$12&lt;&gt;0,$H234&gt;0,OR(AUTOEVENTO&lt;&gt;"manual",$M234&lt;&gt;1)),ROUND(OFFSET($P234,0,AX$13),15-13*ORÇAMENTO!$AF$7)/$H234*OFFSET(ORÇAMENTO!$X$15,ROW(AX234)-ROW(AX$15),0),0)</f>
        <v>0</v>
      </c>
      <c r="AY234" s="632">
        <f ca="1">IF(AND($D234="Serviço",AY$12&lt;&gt;0,$H234&gt;0,OR(AUTOEVENTO&lt;&gt;"manual",$M234&lt;&gt;1)),ROUND(OFFSET($P234,0,AY$13),15-13*ORÇAMENTO!$AF$7)/$H234*OFFSET(ORÇAMENTO!$X$15,ROW(AY234)-ROW(AY$15),0),0)</f>
        <v>0</v>
      </c>
      <c r="AZ234" s="632">
        <f ca="1">IF(AND($D234="Serviço",AZ$12&lt;&gt;0,$H234&gt;0,OR(AUTOEVENTO&lt;&gt;"manual",$M234&lt;&gt;1)),ROUND(OFFSET($P234,0,AZ$13),15-13*ORÇAMENTO!$AF$7)/$H234*OFFSET(ORÇAMENTO!$X$15,ROW(AZ234)-ROW(AZ$15),0),0)</f>
        <v>0</v>
      </c>
      <c r="BA234" s="633">
        <f ca="1">IF(AND($D234="Serviço",BA$12&lt;&gt;0,$H234&gt;0,OR(AUTOEVENTO&lt;&gt;"manual",$M234&lt;&gt;1)),ROUND(OFFSET($P234,0,BA$13),15-13*ORÇAMENTO!$AF$7)/$H234*OFFSET(ORÇAMENTO!$X$15,ROW(BA234)-ROW(BA$15),0),0)</f>
        <v>0</v>
      </c>
      <c r="BC234" s="215">
        <f ca="1">IF($D234&lt;&gt;"Serviço",0,IF(AND(AUTOEVENTO="Manual",$M234=1),0,IF(OFFSET(CRONOPLE!$F$14,$M234,BC$13)="",10^12,OFFSET(CRONOPLE!$F$14,$M234,BC$13))))</f>
        <v>0</v>
      </c>
      <c r="BD234" s="215">
        <f ca="1">IF($D234&lt;&gt;"Serviço",0,IF(AND(AUTOEVENTO="Manual",$M234=1),0,IF(OFFSET(CRONOPLE!$F$14,$M234,BD$13)="",10^12,OFFSET(CRONOPLE!$F$14,$M234,BD$13))))</f>
        <v>0</v>
      </c>
      <c r="BE234" s="215">
        <f ca="1">IF($D234&lt;&gt;"Serviço",0,IF(AND(AUTOEVENTO="Manual",$M234=1),0,IF(OFFSET(CRONOPLE!$F$14,$M234,BE$13)="",10^12,OFFSET(CRONOPLE!$F$14,$M234,BE$13))))</f>
        <v>0</v>
      </c>
      <c r="BF234" s="215">
        <f ca="1">IF($D234&lt;&gt;"Serviço",0,IF(AND(AUTOEVENTO="Manual",$M234=1),0,IF(OFFSET(CRONOPLE!$F$14,$M234,BF$13)="",10^12,OFFSET(CRONOPLE!$F$14,$M234,BF$13))))</f>
        <v>0</v>
      </c>
      <c r="BG234" s="215">
        <f ca="1">IF($D234&lt;&gt;"Serviço",0,IF(AND(AUTOEVENTO="Manual",$M234=1),0,IF(OFFSET(CRONOPLE!$F$14,$M234,BG$13)="",10^12,OFFSET(CRONOPLE!$F$14,$M234,BG$13))))</f>
        <v>0</v>
      </c>
      <c r="BH234" s="215">
        <f ca="1">IF($D234&lt;&gt;"Serviço",0,IF(AND(AUTOEVENTO="Manual",$M234=1),0,IF(OFFSET(CRONOPLE!$F$14,$M234,BH$13)="",10^12,OFFSET(CRONOPLE!$F$14,$M234,BH$13))))</f>
        <v>0</v>
      </c>
      <c r="BI234" s="215">
        <f ca="1">IF($D234&lt;&gt;"Serviço",0,IF(AND(AUTOEVENTO="Manual",$M234=1),0,IF(OFFSET(CRONOPLE!$F$14,$M234,BI$13)="",10^12,OFFSET(CRONOPLE!$F$14,$M234,BI$13))))</f>
        <v>0</v>
      </c>
      <c r="BJ234" s="215">
        <f ca="1">IF($D234&lt;&gt;"Serviço",0,IF(AND(AUTOEVENTO="Manual",$M234=1),0,IF(OFFSET(CRONOPLE!$F$14,$M234,BJ$13)="",10^12,OFFSET(CRONOPLE!$F$14,$M234,BJ$13))))</f>
        <v>0</v>
      </c>
      <c r="BK234" s="215">
        <f ca="1">IF($D234&lt;&gt;"Serviço",0,IF(AND(AUTOEVENTO="Manual",$M234=1),0,IF(OFFSET(CRONOPLE!$F$14,$M234,BK$13)="",10^12,OFFSET(CRONOPLE!$F$14,$M234,BK$13))))</f>
        <v>0</v>
      </c>
      <c r="BL234" s="215">
        <f ca="1">IF($D234&lt;&gt;"Serviço",0,IF(AND(AUTOEVENTO="Manual",$M234=1),0,IF(OFFSET(CRONOPLE!$F$14,$M234,BL$13)="",10^12,OFFSET(CRONOPLE!$F$14,$M234,BL$13))))</f>
        <v>0</v>
      </c>
      <c r="BM234" s="215">
        <f ca="1">IF($D234&lt;&gt;"Serviço",0,IF(AND(AUTOEVENTO="Manual",$M234=1),0,IF(OFFSET(CRONOPLE!$F$14,$M234,BM$13)="",10^12,OFFSET(CRONOPLE!$F$14,$M234,BM$13))))</f>
        <v>0</v>
      </c>
      <c r="BN234" s="215">
        <f ca="1">IF($D234&lt;&gt;"Serviço",0,IF(AND(AUTOEVENTO="Manual",$M234=1),0,IF(OFFSET(CRONOPLE!$F$14,$M234,BN$13)="",10^12,OFFSET(CRONOPLE!$F$14,$M234,BN$13))))</f>
        <v>0</v>
      </c>
      <c r="BO234" s="215">
        <f ca="1">IF($D234&lt;&gt;"Serviço",0,IF(AND(AUTOEVENTO="Manual",$M234=1),0,IF(OFFSET(CRONOPLE!$F$14,$M234,BO$13)="",10^12,OFFSET(CRONOPLE!$F$14,$M234,BO$13))))</f>
        <v>0</v>
      </c>
      <c r="BP234" s="215">
        <f ca="1">IF($D234&lt;&gt;"Serviço",0,IF(AND(AUTOEVENTO="Manual",$M234=1),0,IF(OFFSET(CRONOPLE!$F$14,$M234,BP$13)="",10^12,OFFSET(CRONOPLE!$F$14,$M234,BP$13))))</f>
        <v>0</v>
      </c>
      <c r="BQ234" s="215">
        <f ca="1">IF($D234&lt;&gt;"Serviço",0,IF(AND(AUTOEVENTO="Manual",$M234=1),0,IF(OFFSET(CRONOPLE!$F$14,$M234,BQ$13)="",10^12,OFFSET(CRONOPLE!$F$14,$M234,BQ$13))))</f>
        <v>0</v>
      </c>
      <c r="BR234" s="215">
        <f ca="1">IF($D234&lt;&gt;"Serviço",0,IF(AND(AUTOEVENTO="Manual",$M234=1),0,IF(OFFSET(CRONOPLE!$F$14,$M234,BR$13)="",10^12,OFFSET(CRONOPLE!$F$14,$M234,BR$13))))</f>
        <v>0</v>
      </c>
      <c r="BS234" s="215">
        <f ca="1">IF($D234&lt;&gt;"Serviço",0,IF(AND(AUTOEVENTO="Manual",$M234=1),0,IF(OFFSET(CRONOPLE!$F$14,$M234,BS$13)="",10^12,OFFSET(CRONOPLE!$F$14,$M234,BS$13))))</f>
        <v>0</v>
      </c>
      <c r="BT234" s="215">
        <f ca="1">IF($D234&lt;&gt;"Serviço",0,IF(AND(AUTOEVENTO="Manual",$M234=1),0,IF(OFFSET(CRONOPLE!$F$14,$M234,BT$13)="",10^12,OFFSET(CRONOPLE!$F$14,$M234,BT$13))))</f>
        <v>0</v>
      </c>
      <c r="BV234" s="216">
        <f ca="1">IF($D234&lt;&gt;"Serviço",0,IF(OR(AND(AUTOEVENTO="Manual",$M234=1),$M234&gt;(ROW(PLE.lastrow)-ROW(PLE.firstrow))),0,IF(OFFSET(PLE!$G$14,$M234,BV$13)="",10^12,OFFSET(PLE!$G$14,$M234,BV$13))))</f>
        <v>0</v>
      </c>
      <c r="BW234" s="216">
        <f ca="1">IF($D234&lt;&gt;"Serviço",0,IF(OR(AND(AUTOEVENTO="Manual",$M234=1),$M234&gt;(ROW(PLE.lastrow)-ROW(PLE.firstrow))),0,IF(OFFSET(PLE!$G$14,$M234,BW$13)="",10^12,OFFSET(PLE!$G$14,$M234,BW$13))))</f>
        <v>0</v>
      </c>
      <c r="BX234" s="216">
        <f ca="1">IF($D234&lt;&gt;"Serviço",0,IF(OR(AND(AUTOEVENTO="Manual",$M234=1),$M234&gt;(ROW(PLE.lastrow)-ROW(PLE.firstrow))),0,IF(OFFSET(PLE!$G$14,$M234,BX$13)="",10^12,OFFSET(PLE!$G$14,$M234,BX$13))))</f>
        <v>0</v>
      </c>
      <c r="BY234" s="216">
        <f ca="1">IF($D234&lt;&gt;"Serviço",0,IF(OR(AND(AUTOEVENTO="Manual",$M234=1),$M234&gt;(ROW(PLE.lastrow)-ROW(PLE.firstrow))),0,IF(OFFSET(PLE!$G$14,$M234,BY$13)="",10^12,OFFSET(PLE!$G$14,$M234,BY$13))))</f>
        <v>0</v>
      </c>
      <c r="BZ234" s="216">
        <f ca="1">IF($D234&lt;&gt;"Serviço",0,IF(OR(AND(AUTOEVENTO="Manual",$M234=1),$M234&gt;(ROW(PLE.lastrow)-ROW(PLE.firstrow))),0,IF(OFFSET(PLE!$G$14,$M234,BZ$13)="",10^12,OFFSET(PLE!$G$14,$M234,BZ$13))))</f>
        <v>0</v>
      </c>
      <c r="CA234" s="216">
        <f ca="1">IF($D234&lt;&gt;"Serviço",0,IF(OR(AND(AUTOEVENTO="Manual",$M234=1),$M234&gt;(ROW(PLE.lastrow)-ROW(PLE.firstrow))),0,IF(OFFSET(PLE!$G$14,$M234,CA$13)="",10^12,OFFSET(PLE!$G$14,$M234,CA$13))))</f>
        <v>0</v>
      </c>
      <c r="CB234" s="216">
        <f ca="1">IF($D234&lt;&gt;"Serviço",0,IF(OR(AND(AUTOEVENTO="Manual",$M234=1),$M234&gt;(ROW(PLE.lastrow)-ROW(PLE.firstrow))),0,IF(OFFSET(PLE!$G$14,$M234,CB$13)="",10^12,OFFSET(PLE!$G$14,$M234,CB$13))))</f>
        <v>0</v>
      </c>
      <c r="CC234" s="216">
        <f ca="1">IF($D234&lt;&gt;"Serviço",0,IF(OR(AND(AUTOEVENTO="Manual",$M234=1),$M234&gt;(ROW(PLE.lastrow)-ROW(PLE.firstrow))),0,IF(OFFSET(PLE!$G$14,$M234,CC$13)="",10^12,OFFSET(PLE!$G$14,$M234,CC$13))))</f>
        <v>0</v>
      </c>
      <c r="CD234" s="216">
        <f ca="1">IF($D234&lt;&gt;"Serviço",0,IF(OR(AND(AUTOEVENTO="Manual",$M234=1),$M234&gt;(ROW(PLE.lastrow)-ROW(PLE.firstrow))),0,IF(OFFSET(PLE!$G$14,$M234,CD$13)="",10^12,OFFSET(PLE!$G$14,$M234,CD$13))))</f>
        <v>0</v>
      </c>
      <c r="CE234" s="216">
        <f ca="1">IF($D234&lt;&gt;"Serviço",0,IF(OR(AND(AUTOEVENTO="Manual",$M234=1),$M234&gt;(ROW(PLE.lastrow)-ROW(PLE.firstrow))),0,IF(OFFSET(PLE!$G$14,$M234,CE$13)="",10^12,OFFSET(PLE!$G$14,$M234,CE$13))))</f>
        <v>0</v>
      </c>
      <c r="CF234" s="216">
        <f ca="1">IF($D234&lt;&gt;"Serviço",0,IF(OR(AND(AUTOEVENTO="Manual",$M234=1),$M234&gt;(ROW(PLE.lastrow)-ROW(PLE.firstrow))),0,IF(OFFSET(PLE!$G$14,$M234,CF$13)="",10^12,OFFSET(PLE!$G$14,$M234,CF$13))))</f>
        <v>0</v>
      </c>
      <c r="CG234" s="216">
        <f ca="1">IF($D234&lt;&gt;"Serviço",0,IF(OR(AND(AUTOEVENTO="Manual",$M234=1),$M234&gt;(ROW(PLE.lastrow)-ROW(PLE.firstrow))),0,IF(OFFSET(PLE!$G$14,$M234,CG$13)="",10^12,OFFSET(PLE!$G$14,$M234,CG$13))))</f>
        <v>0</v>
      </c>
      <c r="CH234" s="216">
        <f ca="1">IF($D234&lt;&gt;"Serviço",0,IF(OR(AND(AUTOEVENTO="Manual",$M234=1),$M234&gt;(ROW(PLE.lastrow)-ROW(PLE.firstrow))),0,IF(OFFSET(PLE!$G$14,$M234,CH$13)="",10^12,OFFSET(PLE!$G$14,$M234,CH$13))))</f>
        <v>0</v>
      </c>
      <c r="CI234" s="216">
        <f ca="1">IF($D234&lt;&gt;"Serviço",0,IF(OR(AND(AUTOEVENTO="Manual",$M234=1),$M234&gt;(ROW(PLE.lastrow)-ROW(PLE.firstrow))),0,IF(OFFSET(PLE!$G$14,$M234,CI$13)="",10^12,OFFSET(PLE!$G$14,$M234,CI$13))))</f>
        <v>0</v>
      </c>
      <c r="CJ234" s="216">
        <f ca="1">IF($D234&lt;&gt;"Serviço",0,IF(OR(AND(AUTOEVENTO="Manual",$M234=1),$M234&gt;(ROW(PLE.lastrow)-ROW(PLE.firstrow))),0,IF(OFFSET(PLE!$G$14,$M234,CJ$13)="",10^12,OFFSET(PLE!$G$14,$M234,CJ$13))))</f>
        <v>0</v>
      </c>
      <c r="CK234" s="216">
        <f ca="1">IF($D234&lt;&gt;"Serviço",0,IF(OR(AND(AUTOEVENTO="Manual",$M234=1),$M234&gt;(ROW(PLE.lastrow)-ROW(PLE.firstrow))),0,IF(OFFSET(PLE!$G$14,$M234,CK$13)="",10^12,OFFSET(PLE!$G$14,$M234,CK$13))))</f>
        <v>0</v>
      </c>
      <c r="CL234" s="216">
        <f ca="1">IF($D234&lt;&gt;"Serviço",0,IF(OR(AND(AUTOEVENTO="Manual",$M234=1),$M234&gt;(ROW(PLE.lastrow)-ROW(PLE.firstrow))),0,IF(OFFSET(PLE!$G$14,$M234,CL$13)="",10^12,OFFSET(PLE!$G$14,$M234,CL$13))))</f>
        <v>0</v>
      </c>
      <c r="CM234" s="216">
        <f ca="1">IF($D234&lt;&gt;"Serviço",0,IF(OR(AND(AUTOEVENTO="Manual",$M234=1),$M234&gt;(ROW(PLE.lastrow)-ROW(PLE.firstrow))),0,IF(OFFSET(PLE!$G$14,$M234,CM$13)="",10^12,OFFSET(PLE!$G$14,$M234,CM$13))))</f>
        <v>0</v>
      </c>
    </row>
    <row r="235" spans="1:91" ht="13.2" x14ac:dyDescent="0.25">
      <c r="A235" s="9">
        <f t="shared" ca="1" si="12"/>
        <v>0</v>
      </c>
      <c r="B235" s="9" t="str">
        <f ca="1">OFFSET(ORÇAMENTO!C$15,ROW(B235)-ROW(B$15),0)</f>
        <v>S</v>
      </c>
      <c r="C235" s="9" t="str">
        <f ca="1">OFFSET(ORÇAMENTO!L$15,ROW(C235)-ROW(C$15),0)</f>
        <v/>
      </c>
      <c r="D235" s="145" t="str">
        <f ca="1">OFFSET(ORÇAMENTO!N$15,ROW(D235)-ROW(D$15),0)</f>
        <v>Serviço</v>
      </c>
      <c r="E235" s="205" t="str">
        <f ca="1">OFFSET(ORÇAMENTO!O$15,ROW(E235)-ROW(E$15),0)</f>
        <v>-</v>
      </c>
      <c r="F235" s="206" t="str">
        <f ca="1">OFFSET(ORÇAMENTO!R$15,ROW(F235)-ROW(F$15),0)</f>
        <v>(abra o arquivo 'Referência 05-2024.xls)</v>
      </c>
      <c r="G235" s="207" t="str">
        <f ca="1">IF($D235&lt;&gt;"Serviço","",OFFSET(ORÇAMENTO!S$15,ROW(G235)-ROW(G$15),0))</f>
        <v>-</v>
      </c>
      <c r="H235" s="151">
        <f ca="1">IF($D235&lt;&gt;"Serviço",0,IF(ACOMPANHAMENTO="BM",ROUND(OFFSET(ORÇAMENTO!AJ$15,ROW(H235)-ROW(H$15),0),15-13*ORÇAMENTO!$AF$7),SUMPRODUCT(($Q$12:$AI$12&lt;&gt;"")*ROUND($Q235:$AI235,15-13*ORÇAMENTO!$AF$7))))</f>
        <v>724.81</v>
      </c>
      <c r="I235" s="650"/>
      <c r="K235" s="208"/>
      <c r="L235" s="209" t="s">
        <v>257</v>
      </c>
      <c r="M235" s="210">
        <f ca="1">IF($D235&lt;&gt;"Serviço","",IF(AUTOEVENTO="manual",$A235,IF(ISERROR(MATCH($A235,$A$15:OFFSET($A235,-1,0),0)),MAX($M$15:OFFSET(M235,-1,0))+1,INDEX($M$15:OFFSET(M235,-1,0),MATCH($A235,$A$15:OFFSET($A235,-1,0),0)))))</f>
        <v>0</v>
      </c>
      <c r="N235" s="211" t="str">
        <f ca="1">IF($D235&lt;&gt;"Serviço","",IF(AUTOEVENTO="Manual",IF($A235=0,"&lt;-- defina o número do agrupador",OFFSET(EVENTOS!$D$14,$A235,0)),OFFSET($F$15,$A235,0)))</f>
        <v>&lt;-- defina o número do agrupador</v>
      </c>
      <c r="O235" s="212"/>
      <c r="Q235" s="212"/>
      <c r="R235" s="213"/>
      <c r="S235" s="213"/>
      <c r="T235" s="213"/>
      <c r="U235" s="213"/>
      <c r="V235" s="213"/>
      <c r="W235" s="213"/>
      <c r="X235" s="213"/>
      <c r="Y235" s="213"/>
      <c r="Z235" s="214"/>
      <c r="AA235" s="213"/>
      <c r="AB235" s="213"/>
      <c r="AC235" s="213"/>
      <c r="AD235" s="213"/>
      <c r="AE235" s="213"/>
      <c r="AF235" s="213"/>
      <c r="AG235" s="213"/>
      <c r="AH235" s="214"/>
      <c r="AJ235" s="631">
        <f ca="1">IF(AND($D235="Serviço",AJ$12&lt;&gt;0,$H235&gt;0,OR(AUTOEVENTO&lt;&gt;"manual",$M235&lt;&gt;1)),ROUND(OFFSET($P235,0,AJ$13),15-13*ORÇAMENTO!$AF$7)/$H235*OFFSET(ORÇAMENTO!$X$15,ROW(AJ235)-ROW(AJ$15),0),0)</f>
        <v>0</v>
      </c>
      <c r="AK235" s="632">
        <f ca="1">IF(AND($D235="Serviço",AK$12&lt;&gt;0,$H235&gt;0,OR(AUTOEVENTO&lt;&gt;"manual",$M235&lt;&gt;1)),ROUND(OFFSET($P235,0,AK$13),15-13*ORÇAMENTO!$AF$7)/$H235*OFFSET(ORÇAMENTO!$X$15,ROW(AK235)-ROW(AK$15),0),0)</f>
        <v>0</v>
      </c>
      <c r="AL235" s="632">
        <f ca="1">IF(AND($D235="Serviço",AL$12&lt;&gt;0,$H235&gt;0,OR(AUTOEVENTO&lt;&gt;"manual",$M235&lt;&gt;1)),ROUND(OFFSET($P235,0,AL$13),15-13*ORÇAMENTO!$AF$7)/$H235*OFFSET(ORÇAMENTO!$X$15,ROW(AL235)-ROW(AL$15),0),0)</f>
        <v>0</v>
      </c>
      <c r="AM235" s="632">
        <f ca="1">IF(AND($D235="Serviço",AM$12&lt;&gt;0,$H235&gt;0,OR(AUTOEVENTO&lt;&gt;"manual",$M235&lt;&gt;1)),ROUND(OFFSET($P235,0,AM$13),15-13*ORÇAMENTO!$AF$7)/$H235*OFFSET(ORÇAMENTO!$X$15,ROW(AM235)-ROW(AM$15),0),0)</f>
        <v>0</v>
      </c>
      <c r="AN235" s="632">
        <f ca="1">IF(AND($D235="Serviço",AN$12&lt;&gt;0,$H235&gt;0,OR(AUTOEVENTO&lt;&gt;"manual",$M235&lt;&gt;1)),ROUND(OFFSET($P235,0,AN$13),15-13*ORÇAMENTO!$AF$7)/$H235*OFFSET(ORÇAMENTO!$X$15,ROW(AN235)-ROW(AN$15),0),0)</f>
        <v>0</v>
      </c>
      <c r="AO235" s="632">
        <f ca="1">IF(AND($D235="Serviço",AO$12&lt;&gt;0,$H235&gt;0,OR(AUTOEVENTO&lt;&gt;"manual",$M235&lt;&gt;1)),ROUND(OFFSET($P235,0,AO$13),15-13*ORÇAMENTO!$AF$7)/$H235*OFFSET(ORÇAMENTO!$X$15,ROW(AO235)-ROW(AO$15),0),0)</f>
        <v>0</v>
      </c>
      <c r="AP235" s="632">
        <f ca="1">IF(AND($D235="Serviço",AP$12&lt;&gt;0,$H235&gt;0,OR(AUTOEVENTO&lt;&gt;"manual",$M235&lt;&gt;1)),ROUND(OFFSET($P235,0,AP$13),15-13*ORÇAMENTO!$AF$7)/$H235*OFFSET(ORÇAMENTO!$X$15,ROW(AP235)-ROW(AP$15),0),0)</f>
        <v>0</v>
      </c>
      <c r="AQ235" s="632">
        <f ca="1">IF(AND($D235="Serviço",AQ$12&lt;&gt;0,$H235&gt;0,OR(AUTOEVENTO&lt;&gt;"manual",$M235&lt;&gt;1)),ROUND(OFFSET($P235,0,AQ$13),15-13*ORÇAMENTO!$AF$7)/$H235*OFFSET(ORÇAMENTO!$X$15,ROW(AQ235)-ROW(AQ$15),0),0)</f>
        <v>0</v>
      </c>
      <c r="AR235" s="632">
        <f ca="1">IF(AND($D235="Serviço",AR$12&lt;&gt;0,$H235&gt;0,OR(AUTOEVENTO&lt;&gt;"manual",$M235&lt;&gt;1)),ROUND(OFFSET($P235,0,AR$13),15-13*ORÇAMENTO!$AF$7)/$H235*OFFSET(ORÇAMENTO!$X$15,ROW(AR235)-ROW(AR$15),0),0)</f>
        <v>0</v>
      </c>
      <c r="AS235" s="633">
        <f ca="1">IF(AND($D235="Serviço",AS$12&lt;&gt;0,$H235&gt;0,OR(AUTOEVENTO&lt;&gt;"manual",$M235&lt;&gt;1)),ROUND(OFFSET($P235,0,AS$13),15-13*ORÇAMENTO!$AF$7)/$H235*OFFSET(ORÇAMENTO!$X$15,ROW(AS235)-ROW(AS$15),0),0)</f>
        <v>0</v>
      </c>
      <c r="AT235" s="632">
        <f ca="1">IF(AND($D235="Serviço",AT$12&lt;&gt;0,$H235&gt;0,OR(AUTOEVENTO&lt;&gt;"manual",$M235&lt;&gt;1)),ROUND(OFFSET($P235,0,AT$13),15-13*ORÇAMENTO!$AF$7)/$H235*OFFSET(ORÇAMENTO!$X$15,ROW(AT235)-ROW(AT$15),0),0)</f>
        <v>0</v>
      </c>
      <c r="AU235" s="632">
        <f ca="1">IF(AND($D235="Serviço",AU$12&lt;&gt;0,$H235&gt;0,OR(AUTOEVENTO&lt;&gt;"manual",$M235&lt;&gt;1)),ROUND(OFFSET($P235,0,AU$13),15-13*ORÇAMENTO!$AF$7)/$H235*OFFSET(ORÇAMENTO!$X$15,ROW(AU235)-ROW(AU$15),0),0)</f>
        <v>0</v>
      </c>
      <c r="AV235" s="632">
        <f ca="1">IF(AND($D235="Serviço",AV$12&lt;&gt;0,$H235&gt;0,OR(AUTOEVENTO&lt;&gt;"manual",$M235&lt;&gt;1)),ROUND(OFFSET($P235,0,AV$13),15-13*ORÇAMENTO!$AF$7)/$H235*OFFSET(ORÇAMENTO!$X$15,ROW(AV235)-ROW(AV$15),0),0)</f>
        <v>0</v>
      </c>
      <c r="AW235" s="632">
        <f ca="1">IF(AND($D235="Serviço",AW$12&lt;&gt;0,$H235&gt;0,OR(AUTOEVENTO&lt;&gt;"manual",$M235&lt;&gt;1)),ROUND(OFFSET($P235,0,AW$13),15-13*ORÇAMENTO!$AF$7)/$H235*OFFSET(ORÇAMENTO!$X$15,ROW(AW235)-ROW(AW$15),0),0)</f>
        <v>0</v>
      </c>
      <c r="AX235" s="632">
        <f ca="1">IF(AND($D235="Serviço",AX$12&lt;&gt;0,$H235&gt;0,OR(AUTOEVENTO&lt;&gt;"manual",$M235&lt;&gt;1)),ROUND(OFFSET($P235,0,AX$13),15-13*ORÇAMENTO!$AF$7)/$H235*OFFSET(ORÇAMENTO!$X$15,ROW(AX235)-ROW(AX$15),0),0)</f>
        <v>0</v>
      </c>
      <c r="AY235" s="632">
        <f ca="1">IF(AND($D235="Serviço",AY$12&lt;&gt;0,$H235&gt;0,OR(AUTOEVENTO&lt;&gt;"manual",$M235&lt;&gt;1)),ROUND(OFFSET($P235,0,AY$13),15-13*ORÇAMENTO!$AF$7)/$H235*OFFSET(ORÇAMENTO!$X$15,ROW(AY235)-ROW(AY$15),0),0)</f>
        <v>0</v>
      </c>
      <c r="AZ235" s="632">
        <f ca="1">IF(AND($D235="Serviço",AZ$12&lt;&gt;0,$H235&gt;0,OR(AUTOEVENTO&lt;&gt;"manual",$M235&lt;&gt;1)),ROUND(OFFSET($P235,0,AZ$13),15-13*ORÇAMENTO!$AF$7)/$H235*OFFSET(ORÇAMENTO!$X$15,ROW(AZ235)-ROW(AZ$15),0),0)</f>
        <v>0</v>
      </c>
      <c r="BA235" s="633">
        <f ca="1">IF(AND($D235="Serviço",BA$12&lt;&gt;0,$H235&gt;0,OR(AUTOEVENTO&lt;&gt;"manual",$M235&lt;&gt;1)),ROUND(OFFSET($P235,0,BA$13),15-13*ORÇAMENTO!$AF$7)/$H235*OFFSET(ORÇAMENTO!$X$15,ROW(BA235)-ROW(BA$15),0),0)</f>
        <v>0</v>
      </c>
      <c r="BC235" s="215">
        <f ca="1">IF($D235&lt;&gt;"Serviço",0,IF(AND(AUTOEVENTO="Manual",$M235=1),0,IF(OFFSET(CRONOPLE!$F$14,$M235,BC$13)="",10^12,OFFSET(CRONOPLE!$F$14,$M235,BC$13))))</f>
        <v>1000000000000</v>
      </c>
      <c r="BD235" s="215">
        <f ca="1">IF($D235&lt;&gt;"Serviço",0,IF(AND(AUTOEVENTO="Manual",$M235=1),0,IF(OFFSET(CRONOPLE!$F$14,$M235,BD$13)="",10^12,OFFSET(CRONOPLE!$F$14,$M235,BD$13))))</f>
        <v>1000000000000</v>
      </c>
      <c r="BE235" s="215">
        <f ca="1">IF($D235&lt;&gt;"Serviço",0,IF(AND(AUTOEVENTO="Manual",$M235=1),0,IF(OFFSET(CRONOPLE!$F$14,$M235,BE$13)="",10^12,OFFSET(CRONOPLE!$F$14,$M235,BE$13))))</f>
        <v>1000000000000</v>
      </c>
      <c r="BF235" s="215">
        <f ca="1">IF($D235&lt;&gt;"Serviço",0,IF(AND(AUTOEVENTO="Manual",$M235=1),0,IF(OFFSET(CRONOPLE!$F$14,$M235,BF$13)="",10^12,OFFSET(CRONOPLE!$F$14,$M235,BF$13))))</f>
        <v>1000000000000</v>
      </c>
      <c r="BG235" s="215">
        <f ca="1">IF($D235&lt;&gt;"Serviço",0,IF(AND(AUTOEVENTO="Manual",$M235=1),0,IF(OFFSET(CRONOPLE!$F$14,$M235,BG$13)="",10^12,OFFSET(CRONOPLE!$F$14,$M235,BG$13))))</f>
        <v>1000000000000</v>
      </c>
      <c r="BH235" s="215">
        <f ca="1">IF($D235&lt;&gt;"Serviço",0,IF(AND(AUTOEVENTO="Manual",$M235=1),0,IF(OFFSET(CRONOPLE!$F$14,$M235,BH$13)="",10^12,OFFSET(CRONOPLE!$F$14,$M235,BH$13))))</f>
        <v>1000000000000</v>
      </c>
      <c r="BI235" s="215">
        <f ca="1">IF($D235&lt;&gt;"Serviço",0,IF(AND(AUTOEVENTO="Manual",$M235=1),0,IF(OFFSET(CRONOPLE!$F$14,$M235,BI$13)="",10^12,OFFSET(CRONOPLE!$F$14,$M235,BI$13))))</f>
        <v>1000000000000</v>
      </c>
      <c r="BJ235" s="215">
        <f ca="1">IF($D235&lt;&gt;"Serviço",0,IF(AND(AUTOEVENTO="Manual",$M235=1),0,IF(OFFSET(CRONOPLE!$F$14,$M235,BJ$13)="",10^12,OFFSET(CRONOPLE!$F$14,$M235,BJ$13))))</f>
        <v>1000000000000</v>
      </c>
      <c r="BK235" s="215">
        <f ca="1">IF($D235&lt;&gt;"Serviço",0,IF(AND(AUTOEVENTO="Manual",$M235=1),0,IF(OFFSET(CRONOPLE!$F$14,$M235,BK$13)="",10^12,OFFSET(CRONOPLE!$F$14,$M235,BK$13))))</f>
        <v>1000000000000</v>
      </c>
      <c r="BL235" s="215">
        <f ca="1">IF($D235&lt;&gt;"Serviço",0,IF(AND(AUTOEVENTO="Manual",$M235=1),0,IF(OFFSET(CRONOPLE!$F$14,$M235,BL$13)="",10^12,OFFSET(CRONOPLE!$F$14,$M235,BL$13))))</f>
        <v>1000000000000</v>
      </c>
      <c r="BM235" s="215">
        <f ca="1">IF($D235&lt;&gt;"Serviço",0,IF(AND(AUTOEVENTO="Manual",$M235=1),0,IF(OFFSET(CRONOPLE!$F$14,$M235,BM$13)="",10^12,OFFSET(CRONOPLE!$F$14,$M235,BM$13))))</f>
        <v>1000000000000</v>
      </c>
      <c r="BN235" s="215">
        <f ca="1">IF($D235&lt;&gt;"Serviço",0,IF(AND(AUTOEVENTO="Manual",$M235=1),0,IF(OFFSET(CRONOPLE!$F$14,$M235,BN$13)="",10^12,OFFSET(CRONOPLE!$F$14,$M235,BN$13))))</f>
        <v>1000000000000</v>
      </c>
      <c r="BO235" s="215">
        <f ca="1">IF($D235&lt;&gt;"Serviço",0,IF(AND(AUTOEVENTO="Manual",$M235=1),0,IF(OFFSET(CRONOPLE!$F$14,$M235,BO$13)="",10^12,OFFSET(CRONOPLE!$F$14,$M235,BO$13))))</f>
        <v>1000000000000</v>
      </c>
      <c r="BP235" s="215">
        <f ca="1">IF($D235&lt;&gt;"Serviço",0,IF(AND(AUTOEVENTO="Manual",$M235=1),0,IF(OFFSET(CRONOPLE!$F$14,$M235,BP$13)="",10^12,OFFSET(CRONOPLE!$F$14,$M235,BP$13))))</f>
        <v>1000000000000</v>
      </c>
      <c r="BQ235" s="215">
        <f ca="1">IF($D235&lt;&gt;"Serviço",0,IF(AND(AUTOEVENTO="Manual",$M235=1),0,IF(OFFSET(CRONOPLE!$F$14,$M235,BQ$13)="",10^12,OFFSET(CRONOPLE!$F$14,$M235,BQ$13))))</f>
        <v>1000000000000</v>
      </c>
      <c r="BR235" s="215">
        <f ca="1">IF($D235&lt;&gt;"Serviço",0,IF(AND(AUTOEVENTO="Manual",$M235=1),0,IF(OFFSET(CRONOPLE!$F$14,$M235,BR$13)="",10^12,OFFSET(CRONOPLE!$F$14,$M235,BR$13))))</f>
        <v>1000000000000</v>
      </c>
      <c r="BS235" s="215">
        <f ca="1">IF($D235&lt;&gt;"Serviço",0,IF(AND(AUTOEVENTO="Manual",$M235=1),0,IF(OFFSET(CRONOPLE!$F$14,$M235,BS$13)="",10^12,OFFSET(CRONOPLE!$F$14,$M235,BS$13))))</f>
        <v>1000000000000</v>
      </c>
      <c r="BT235" s="215">
        <f ca="1">IF($D235&lt;&gt;"Serviço",0,IF(AND(AUTOEVENTO="Manual",$M235=1),0,IF(OFFSET(CRONOPLE!$F$14,$M235,BT$13)="",10^12,OFFSET(CRONOPLE!$F$14,$M235,BT$13))))</f>
        <v>1000000000000</v>
      </c>
      <c r="BV235" s="216">
        <f ca="1">IF($D235&lt;&gt;"Serviço",0,IF(OR(AND(AUTOEVENTO="Manual",$M235=1),$M235&gt;(ROW(PLE.lastrow)-ROW(PLE.firstrow))),0,IF(OFFSET(PLE!$G$14,$M235,BV$13)="",10^12,OFFSET(PLE!$G$14,$M235,BV$13))))</f>
        <v>1000000000000</v>
      </c>
      <c r="BW235" s="216">
        <f ca="1">IF($D235&lt;&gt;"Serviço",0,IF(OR(AND(AUTOEVENTO="Manual",$M235=1),$M235&gt;(ROW(PLE.lastrow)-ROW(PLE.firstrow))),0,IF(OFFSET(PLE!$G$14,$M235,BW$13)="",10^12,OFFSET(PLE!$G$14,$M235,BW$13))))</f>
        <v>1000000000000</v>
      </c>
      <c r="BX235" s="216">
        <f ca="1">IF($D235&lt;&gt;"Serviço",0,IF(OR(AND(AUTOEVENTO="Manual",$M235=1),$M235&gt;(ROW(PLE.lastrow)-ROW(PLE.firstrow))),0,IF(OFFSET(PLE!$G$14,$M235,BX$13)="",10^12,OFFSET(PLE!$G$14,$M235,BX$13))))</f>
        <v>1000000000000</v>
      </c>
      <c r="BY235" s="216">
        <f ca="1">IF($D235&lt;&gt;"Serviço",0,IF(OR(AND(AUTOEVENTO="Manual",$M235=1),$M235&gt;(ROW(PLE.lastrow)-ROW(PLE.firstrow))),0,IF(OFFSET(PLE!$G$14,$M235,BY$13)="",10^12,OFFSET(PLE!$G$14,$M235,BY$13))))</f>
        <v>1000000000000</v>
      </c>
      <c r="BZ235" s="216">
        <f ca="1">IF($D235&lt;&gt;"Serviço",0,IF(OR(AND(AUTOEVENTO="Manual",$M235=1),$M235&gt;(ROW(PLE.lastrow)-ROW(PLE.firstrow))),0,IF(OFFSET(PLE!$G$14,$M235,BZ$13)="",10^12,OFFSET(PLE!$G$14,$M235,BZ$13))))</f>
        <v>1000000000000</v>
      </c>
      <c r="CA235" s="216">
        <f ca="1">IF($D235&lt;&gt;"Serviço",0,IF(OR(AND(AUTOEVENTO="Manual",$M235=1),$M235&gt;(ROW(PLE.lastrow)-ROW(PLE.firstrow))),0,IF(OFFSET(PLE!$G$14,$M235,CA$13)="",10^12,OFFSET(PLE!$G$14,$M235,CA$13))))</f>
        <v>1000000000000</v>
      </c>
      <c r="CB235" s="216">
        <f ca="1">IF($D235&lt;&gt;"Serviço",0,IF(OR(AND(AUTOEVENTO="Manual",$M235=1),$M235&gt;(ROW(PLE.lastrow)-ROW(PLE.firstrow))),0,IF(OFFSET(PLE!$G$14,$M235,CB$13)="",10^12,OFFSET(PLE!$G$14,$M235,CB$13))))</f>
        <v>1000000000000</v>
      </c>
      <c r="CC235" s="216">
        <f ca="1">IF($D235&lt;&gt;"Serviço",0,IF(OR(AND(AUTOEVENTO="Manual",$M235=1),$M235&gt;(ROW(PLE.lastrow)-ROW(PLE.firstrow))),0,IF(OFFSET(PLE!$G$14,$M235,CC$13)="",10^12,OFFSET(PLE!$G$14,$M235,CC$13))))</f>
        <v>1000000000000</v>
      </c>
      <c r="CD235" s="216">
        <f ca="1">IF($D235&lt;&gt;"Serviço",0,IF(OR(AND(AUTOEVENTO="Manual",$M235=1),$M235&gt;(ROW(PLE.lastrow)-ROW(PLE.firstrow))),0,IF(OFFSET(PLE!$G$14,$M235,CD$13)="",10^12,OFFSET(PLE!$G$14,$M235,CD$13))))</f>
        <v>1000000000000</v>
      </c>
      <c r="CE235" s="216">
        <f ca="1">IF($D235&lt;&gt;"Serviço",0,IF(OR(AND(AUTOEVENTO="Manual",$M235=1),$M235&gt;(ROW(PLE.lastrow)-ROW(PLE.firstrow))),0,IF(OFFSET(PLE!$G$14,$M235,CE$13)="",10^12,OFFSET(PLE!$G$14,$M235,CE$13))))</f>
        <v>1000000000000</v>
      </c>
      <c r="CF235" s="216">
        <f ca="1">IF($D235&lt;&gt;"Serviço",0,IF(OR(AND(AUTOEVENTO="Manual",$M235=1),$M235&gt;(ROW(PLE.lastrow)-ROW(PLE.firstrow))),0,IF(OFFSET(PLE!$G$14,$M235,CF$13)="",10^12,OFFSET(PLE!$G$14,$M235,CF$13))))</f>
        <v>1000000000000</v>
      </c>
      <c r="CG235" s="216">
        <f ca="1">IF($D235&lt;&gt;"Serviço",0,IF(OR(AND(AUTOEVENTO="Manual",$M235=1),$M235&gt;(ROW(PLE.lastrow)-ROW(PLE.firstrow))),0,IF(OFFSET(PLE!$G$14,$M235,CG$13)="",10^12,OFFSET(PLE!$G$14,$M235,CG$13))))</f>
        <v>1000000000000</v>
      </c>
      <c r="CH235" s="216">
        <f ca="1">IF($D235&lt;&gt;"Serviço",0,IF(OR(AND(AUTOEVENTO="Manual",$M235=1),$M235&gt;(ROW(PLE.lastrow)-ROW(PLE.firstrow))),0,IF(OFFSET(PLE!$G$14,$M235,CH$13)="",10^12,OFFSET(PLE!$G$14,$M235,CH$13))))</f>
        <v>1000000000000</v>
      </c>
      <c r="CI235" s="216">
        <f ca="1">IF($D235&lt;&gt;"Serviço",0,IF(OR(AND(AUTOEVENTO="Manual",$M235=1),$M235&gt;(ROW(PLE.lastrow)-ROW(PLE.firstrow))),0,IF(OFFSET(PLE!$G$14,$M235,CI$13)="",10^12,OFFSET(PLE!$G$14,$M235,CI$13))))</f>
        <v>1000000000000</v>
      </c>
      <c r="CJ235" s="216">
        <f ca="1">IF($D235&lt;&gt;"Serviço",0,IF(OR(AND(AUTOEVENTO="Manual",$M235=1),$M235&gt;(ROW(PLE.lastrow)-ROW(PLE.firstrow))),0,IF(OFFSET(PLE!$G$14,$M235,CJ$13)="",10^12,OFFSET(PLE!$G$14,$M235,CJ$13))))</f>
        <v>1000000000000</v>
      </c>
      <c r="CK235" s="216">
        <f ca="1">IF($D235&lt;&gt;"Serviço",0,IF(OR(AND(AUTOEVENTO="Manual",$M235=1),$M235&gt;(ROW(PLE.lastrow)-ROW(PLE.firstrow))),0,IF(OFFSET(PLE!$G$14,$M235,CK$13)="",10^12,OFFSET(PLE!$G$14,$M235,CK$13))))</f>
        <v>1000000000000</v>
      </c>
      <c r="CL235" s="216">
        <f ca="1">IF($D235&lt;&gt;"Serviço",0,IF(OR(AND(AUTOEVENTO="Manual",$M235=1),$M235&gt;(ROW(PLE.lastrow)-ROW(PLE.firstrow))),0,IF(OFFSET(PLE!$G$14,$M235,CL$13)="",10^12,OFFSET(PLE!$G$14,$M235,CL$13))))</f>
        <v>1000000000000</v>
      </c>
      <c r="CM235" s="216">
        <f ca="1">IF($D235&lt;&gt;"Serviço",0,IF(OR(AND(AUTOEVENTO="Manual",$M235=1),$M235&gt;(ROW(PLE.lastrow)-ROW(PLE.firstrow))),0,IF(OFFSET(PLE!$G$14,$M235,CM$13)="",10^12,OFFSET(PLE!$G$14,$M235,CM$13))))</f>
        <v>1000000000000</v>
      </c>
    </row>
    <row r="236" spans="1:91" ht="13.2" x14ac:dyDescent="0.25">
      <c r="A236" s="9">
        <f t="shared" ca="1" si="12"/>
        <v>0</v>
      </c>
      <c r="B236" s="9" t="str">
        <f ca="1">OFFSET(ORÇAMENTO!C$15,ROW(B236)-ROW(B$15),0)</f>
        <v>S</v>
      </c>
      <c r="C236" s="9" t="str">
        <f ca="1">OFFSET(ORÇAMENTO!L$15,ROW(C236)-ROW(C$15),0)</f>
        <v/>
      </c>
      <c r="D236" s="145" t="str">
        <f ca="1">OFFSET(ORÇAMENTO!N$15,ROW(D236)-ROW(D$15),0)</f>
        <v>Serviço</v>
      </c>
      <c r="E236" s="205" t="str">
        <f ca="1">OFFSET(ORÇAMENTO!O$15,ROW(E236)-ROW(E$15),0)</f>
        <v>-</v>
      </c>
      <c r="F236" s="206" t="str">
        <f ca="1">OFFSET(ORÇAMENTO!R$15,ROW(F236)-ROW(F$15),0)</f>
        <v>(abra o arquivo 'Referência 05-2024.xls)</v>
      </c>
      <c r="G236" s="207" t="str">
        <f ca="1">IF($D236&lt;&gt;"Serviço","",OFFSET(ORÇAMENTO!S$15,ROW(G236)-ROW(G$15),0))</f>
        <v>-</v>
      </c>
      <c r="H236" s="151">
        <f ca="1">IF($D236&lt;&gt;"Serviço",0,IF(ACOMPANHAMENTO="BM",ROUND(OFFSET(ORÇAMENTO!AJ$15,ROW(H236)-ROW(H$15),0),15-13*ORÇAMENTO!$AF$7),SUMPRODUCT(($Q$12:$AI$12&lt;&gt;"")*ROUND($Q236:$AI236,15-13*ORÇAMENTO!$AF$7))))</f>
        <v>32.299999999999997</v>
      </c>
      <c r="I236" s="650"/>
      <c r="K236" s="208"/>
      <c r="L236" s="209" t="s">
        <v>257</v>
      </c>
      <c r="M236" s="210">
        <f ca="1">IF($D236&lt;&gt;"Serviço","",IF(AUTOEVENTO="manual",$A236,IF(ISERROR(MATCH($A236,$A$15:OFFSET($A236,-1,0),0)),MAX($M$15:OFFSET(M236,-1,0))+1,INDEX($M$15:OFFSET(M236,-1,0),MATCH($A236,$A$15:OFFSET($A236,-1,0),0)))))</f>
        <v>0</v>
      </c>
      <c r="N236" s="211" t="str">
        <f ca="1">IF($D236&lt;&gt;"Serviço","",IF(AUTOEVENTO="Manual",IF($A236=0,"&lt;-- defina o número do agrupador",OFFSET(EVENTOS!$D$14,$A236,0)),OFFSET($F$15,$A236,0)))</f>
        <v>&lt;-- defina o número do agrupador</v>
      </c>
      <c r="O236" s="212"/>
      <c r="Q236" s="212"/>
      <c r="R236" s="213"/>
      <c r="S236" s="213"/>
      <c r="T236" s="213"/>
      <c r="U236" s="213"/>
      <c r="V236" s="213"/>
      <c r="W236" s="213"/>
      <c r="X236" s="213"/>
      <c r="Y236" s="213"/>
      <c r="Z236" s="214"/>
      <c r="AA236" s="213"/>
      <c r="AB236" s="213"/>
      <c r="AC236" s="213"/>
      <c r="AD236" s="213"/>
      <c r="AE236" s="213"/>
      <c r="AF236" s="213"/>
      <c r="AG236" s="213"/>
      <c r="AH236" s="214"/>
      <c r="AJ236" s="631">
        <f ca="1">IF(AND($D236="Serviço",AJ$12&lt;&gt;0,$H236&gt;0,OR(AUTOEVENTO&lt;&gt;"manual",$M236&lt;&gt;1)),ROUND(OFFSET($P236,0,AJ$13),15-13*ORÇAMENTO!$AF$7)/$H236*OFFSET(ORÇAMENTO!$X$15,ROW(AJ236)-ROW(AJ$15),0),0)</f>
        <v>0</v>
      </c>
      <c r="AK236" s="632">
        <f ca="1">IF(AND($D236="Serviço",AK$12&lt;&gt;0,$H236&gt;0,OR(AUTOEVENTO&lt;&gt;"manual",$M236&lt;&gt;1)),ROUND(OFFSET($P236,0,AK$13),15-13*ORÇAMENTO!$AF$7)/$H236*OFFSET(ORÇAMENTO!$X$15,ROW(AK236)-ROW(AK$15),0),0)</f>
        <v>0</v>
      </c>
      <c r="AL236" s="632">
        <f ca="1">IF(AND($D236="Serviço",AL$12&lt;&gt;0,$H236&gt;0,OR(AUTOEVENTO&lt;&gt;"manual",$M236&lt;&gt;1)),ROUND(OFFSET($P236,0,AL$13),15-13*ORÇAMENTO!$AF$7)/$H236*OFFSET(ORÇAMENTO!$X$15,ROW(AL236)-ROW(AL$15),0),0)</f>
        <v>0</v>
      </c>
      <c r="AM236" s="632">
        <f ca="1">IF(AND($D236="Serviço",AM$12&lt;&gt;0,$H236&gt;0,OR(AUTOEVENTO&lt;&gt;"manual",$M236&lt;&gt;1)),ROUND(OFFSET($P236,0,AM$13),15-13*ORÇAMENTO!$AF$7)/$H236*OFFSET(ORÇAMENTO!$X$15,ROW(AM236)-ROW(AM$15),0),0)</f>
        <v>0</v>
      </c>
      <c r="AN236" s="632">
        <f ca="1">IF(AND($D236="Serviço",AN$12&lt;&gt;0,$H236&gt;0,OR(AUTOEVENTO&lt;&gt;"manual",$M236&lt;&gt;1)),ROUND(OFFSET($P236,0,AN$13),15-13*ORÇAMENTO!$AF$7)/$H236*OFFSET(ORÇAMENTO!$X$15,ROW(AN236)-ROW(AN$15),0),0)</f>
        <v>0</v>
      </c>
      <c r="AO236" s="632">
        <f ca="1">IF(AND($D236="Serviço",AO$12&lt;&gt;0,$H236&gt;0,OR(AUTOEVENTO&lt;&gt;"manual",$M236&lt;&gt;1)),ROUND(OFFSET($P236,0,AO$13),15-13*ORÇAMENTO!$AF$7)/$H236*OFFSET(ORÇAMENTO!$X$15,ROW(AO236)-ROW(AO$15),0),0)</f>
        <v>0</v>
      </c>
      <c r="AP236" s="632">
        <f ca="1">IF(AND($D236="Serviço",AP$12&lt;&gt;0,$H236&gt;0,OR(AUTOEVENTO&lt;&gt;"manual",$M236&lt;&gt;1)),ROUND(OFFSET($P236,0,AP$13),15-13*ORÇAMENTO!$AF$7)/$H236*OFFSET(ORÇAMENTO!$X$15,ROW(AP236)-ROW(AP$15),0),0)</f>
        <v>0</v>
      </c>
      <c r="AQ236" s="632">
        <f ca="1">IF(AND($D236="Serviço",AQ$12&lt;&gt;0,$H236&gt;0,OR(AUTOEVENTO&lt;&gt;"manual",$M236&lt;&gt;1)),ROUND(OFFSET($P236,0,AQ$13),15-13*ORÇAMENTO!$AF$7)/$H236*OFFSET(ORÇAMENTO!$X$15,ROW(AQ236)-ROW(AQ$15),0),0)</f>
        <v>0</v>
      </c>
      <c r="AR236" s="632">
        <f ca="1">IF(AND($D236="Serviço",AR$12&lt;&gt;0,$H236&gt;0,OR(AUTOEVENTO&lt;&gt;"manual",$M236&lt;&gt;1)),ROUND(OFFSET($P236,0,AR$13),15-13*ORÇAMENTO!$AF$7)/$H236*OFFSET(ORÇAMENTO!$X$15,ROW(AR236)-ROW(AR$15),0),0)</f>
        <v>0</v>
      </c>
      <c r="AS236" s="633">
        <f ca="1">IF(AND($D236="Serviço",AS$12&lt;&gt;0,$H236&gt;0,OR(AUTOEVENTO&lt;&gt;"manual",$M236&lt;&gt;1)),ROUND(OFFSET($P236,0,AS$13),15-13*ORÇAMENTO!$AF$7)/$H236*OFFSET(ORÇAMENTO!$X$15,ROW(AS236)-ROW(AS$15),0),0)</f>
        <v>0</v>
      </c>
      <c r="AT236" s="632">
        <f ca="1">IF(AND($D236="Serviço",AT$12&lt;&gt;0,$H236&gt;0,OR(AUTOEVENTO&lt;&gt;"manual",$M236&lt;&gt;1)),ROUND(OFFSET($P236,0,AT$13),15-13*ORÇAMENTO!$AF$7)/$H236*OFFSET(ORÇAMENTO!$X$15,ROW(AT236)-ROW(AT$15),0),0)</f>
        <v>0</v>
      </c>
      <c r="AU236" s="632">
        <f ca="1">IF(AND($D236="Serviço",AU$12&lt;&gt;0,$H236&gt;0,OR(AUTOEVENTO&lt;&gt;"manual",$M236&lt;&gt;1)),ROUND(OFFSET($P236,0,AU$13),15-13*ORÇAMENTO!$AF$7)/$H236*OFFSET(ORÇAMENTO!$X$15,ROW(AU236)-ROW(AU$15),0),0)</f>
        <v>0</v>
      </c>
      <c r="AV236" s="632">
        <f ca="1">IF(AND($D236="Serviço",AV$12&lt;&gt;0,$H236&gt;0,OR(AUTOEVENTO&lt;&gt;"manual",$M236&lt;&gt;1)),ROUND(OFFSET($P236,0,AV$13),15-13*ORÇAMENTO!$AF$7)/$H236*OFFSET(ORÇAMENTO!$X$15,ROW(AV236)-ROW(AV$15),0),0)</f>
        <v>0</v>
      </c>
      <c r="AW236" s="632">
        <f ca="1">IF(AND($D236="Serviço",AW$12&lt;&gt;0,$H236&gt;0,OR(AUTOEVENTO&lt;&gt;"manual",$M236&lt;&gt;1)),ROUND(OFFSET($P236,0,AW$13),15-13*ORÇAMENTO!$AF$7)/$H236*OFFSET(ORÇAMENTO!$X$15,ROW(AW236)-ROW(AW$15),0),0)</f>
        <v>0</v>
      </c>
      <c r="AX236" s="632">
        <f ca="1">IF(AND($D236="Serviço",AX$12&lt;&gt;0,$H236&gt;0,OR(AUTOEVENTO&lt;&gt;"manual",$M236&lt;&gt;1)),ROUND(OFFSET($P236,0,AX$13),15-13*ORÇAMENTO!$AF$7)/$H236*OFFSET(ORÇAMENTO!$X$15,ROW(AX236)-ROW(AX$15),0),0)</f>
        <v>0</v>
      </c>
      <c r="AY236" s="632">
        <f ca="1">IF(AND($D236="Serviço",AY$12&lt;&gt;0,$H236&gt;0,OR(AUTOEVENTO&lt;&gt;"manual",$M236&lt;&gt;1)),ROUND(OFFSET($P236,0,AY$13),15-13*ORÇAMENTO!$AF$7)/$H236*OFFSET(ORÇAMENTO!$X$15,ROW(AY236)-ROW(AY$15),0),0)</f>
        <v>0</v>
      </c>
      <c r="AZ236" s="632">
        <f ca="1">IF(AND($D236="Serviço",AZ$12&lt;&gt;0,$H236&gt;0,OR(AUTOEVENTO&lt;&gt;"manual",$M236&lt;&gt;1)),ROUND(OFFSET($P236,0,AZ$13),15-13*ORÇAMENTO!$AF$7)/$H236*OFFSET(ORÇAMENTO!$X$15,ROW(AZ236)-ROW(AZ$15),0),0)</f>
        <v>0</v>
      </c>
      <c r="BA236" s="633">
        <f ca="1">IF(AND($D236="Serviço",BA$12&lt;&gt;0,$H236&gt;0,OR(AUTOEVENTO&lt;&gt;"manual",$M236&lt;&gt;1)),ROUND(OFFSET($P236,0,BA$13),15-13*ORÇAMENTO!$AF$7)/$H236*OFFSET(ORÇAMENTO!$X$15,ROW(BA236)-ROW(BA$15),0),0)</f>
        <v>0</v>
      </c>
      <c r="BC236" s="215">
        <f ca="1">IF($D236&lt;&gt;"Serviço",0,IF(AND(AUTOEVENTO="Manual",$M236=1),0,IF(OFFSET(CRONOPLE!$F$14,$M236,BC$13)="",10^12,OFFSET(CRONOPLE!$F$14,$M236,BC$13))))</f>
        <v>1000000000000</v>
      </c>
      <c r="BD236" s="215">
        <f ca="1">IF($D236&lt;&gt;"Serviço",0,IF(AND(AUTOEVENTO="Manual",$M236=1),0,IF(OFFSET(CRONOPLE!$F$14,$M236,BD$13)="",10^12,OFFSET(CRONOPLE!$F$14,$M236,BD$13))))</f>
        <v>1000000000000</v>
      </c>
      <c r="BE236" s="215">
        <f ca="1">IF($D236&lt;&gt;"Serviço",0,IF(AND(AUTOEVENTO="Manual",$M236=1),0,IF(OFFSET(CRONOPLE!$F$14,$M236,BE$13)="",10^12,OFFSET(CRONOPLE!$F$14,$M236,BE$13))))</f>
        <v>1000000000000</v>
      </c>
      <c r="BF236" s="215">
        <f ca="1">IF($D236&lt;&gt;"Serviço",0,IF(AND(AUTOEVENTO="Manual",$M236=1),0,IF(OFFSET(CRONOPLE!$F$14,$M236,BF$13)="",10^12,OFFSET(CRONOPLE!$F$14,$M236,BF$13))))</f>
        <v>1000000000000</v>
      </c>
      <c r="BG236" s="215">
        <f ca="1">IF($D236&lt;&gt;"Serviço",0,IF(AND(AUTOEVENTO="Manual",$M236=1),0,IF(OFFSET(CRONOPLE!$F$14,$M236,BG$13)="",10^12,OFFSET(CRONOPLE!$F$14,$M236,BG$13))))</f>
        <v>1000000000000</v>
      </c>
      <c r="BH236" s="215">
        <f ca="1">IF($D236&lt;&gt;"Serviço",0,IF(AND(AUTOEVENTO="Manual",$M236=1),0,IF(OFFSET(CRONOPLE!$F$14,$M236,BH$13)="",10^12,OFFSET(CRONOPLE!$F$14,$M236,BH$13))))</f>
        <v>1000000000000</v>
      </c>
      <c r="BI236" s="215">
        <f ca="1">IF($D236&lt;&gt;"Serviço",0,IF(AND(AUTOEVENTO="Manual",$M236=1),0,IF(OFFSET(CRONOPLE!$F$14,$M236,BI$13)="",10^12,OFFSET(CRONOPLE!$F$14,$M236,BI$13))))</f>
        <v>1000000000000</v>
      </c>
      <c r="BJ236" s="215">
        <f ca="1">IF($D236&lt;&gt;"Serviço",0,IF(AND(AUTOEVENTO="Manual",$M236=1),0,IF(OFFSET(CRONOPLE!$F$14,$M236,BJ$13)="",10^12,OFFSET(CRONOPLE!$F$14,$M236,BJ$13))))</f>
        <v>1000000000000</v>
      </c>
      <c r="BK236" s="215">
        <f ca="1">IF($D236&lt;&gt;"Serviço",0,IF(AND(AUTOEVENTO="Manual",$M236=1),0,IF(OFFSET(CRONOPLE!$F$14,$M236,BK$13)="",10^12,OFFSET(CRONOPLE!$F$14,$M236,BK$13))))</f>
        <v>1000000000000</v>
      </c>
      <c r="BL236" s="215">
        <f ca="1">IF($D236&lt;&gt;"Serviço",0,IF(AND(AUTOEVENTO="Manual",$M236=1),0,IF(OFFSET(CRONOPLE!$F$14,$M236,BL$13)="",10^12,OFFSET(CRONOPLE!$F$14,$M236,BL$13))))</f>
        <v>1000000000000</v>
      </c>
      <c r="BM236" s="215">
        <f ca="1">IF($D236&lt;&gt;"Serviço",0,IF(AND(AUTOEVENTO="Manual",$M236=1),0,IF(OFFSET(CRONOPLE!$F$14,$M236,BM$13)="",10^12,OFFSET(CRONOPLE!$F$14,$M236,BM$13))))</f>
        <v>1000000000000</v>
      </c>
      <c r="BN236" s="215">
        <f ca="1">IF($D236&lt;&gt;"Serviço",0,IF(AND(AUTOEVENTO="Manual",$M236=1),0,IF(OFFSET(CRONOPLE!$F$14,$M236,BN$13)="",10^12,OFFSET(CRONOPLE!$F$14,$M236,BN$13))))</f>
        <v>1000000000000</v>
      </c>
      <c r="BO236" s="215">
        <f ca="1">IF($D236&lt;&gt;"Serviço",0,IF(AND(AUTOEVENTO="Manual",$M236=1),0,IF(OFFSET(CRONOPLE!$F$14,$M236,BO$13)="",10^12,OFFSET(CRONOPLE!$F$14,$M236,BO$13))))</f>
        <v>1000000000000</v>
      </c>
      <c r="BP236" s="215">
        <f ca="1">IF($D236&lt;&gt;"Serviço",0,IF(AND(AUTOEVENTO="Manual",$M236=1),0,IF(OFFSET(CRONOPLE!$F$14,$M236,BP$13)="",10^12,OFFSET(CRONOPLE!$F$14,$M236,BP$13))))</f>
        <v>1000000000000</v>
      </c>
      <c r="BQ236" s="215">
        <f ca="1">IF($D236&lt;&gt;"Serviço",0,IF(AND(AUTOEVENTO="Manual",$M236=1),0,IF(OFFSET(CRONOPLE!$F$14,$M236,BQ$13)="",10^12,OFFSET(CRONOPLE!$F$14,$M236,BQ$13))))</f>
        <v>1000000000000</v>
      </c>
      <c r="BR236" s="215">
        <f ca="1">IF($D236&lt;&gt;"Serviço",0,IF(AND(AUTOEVENTO="Manual",$M236=1),0,IF(OFFSET(CRONOPLE!$F$14,$M236,BR$13)="",10^12,OFFSET(CRONOPLE!$F$14,$M236,BR$13))))</f>
        <v>1000000000000</v>
      </c>
      <c r="BS236" s="215">
        <f ca="1">IF($D236&lt;&gt;"Serviço",0,IF(AND(AUTOEVENTO="Manual",$M236=1),0,IF(OFFSET(CRONOPLE!$F$14,$M236,BS$13)="",10^12,OFFSET(CRONOPLE!$F$14,$M236,BS$13))))</f>
        <v>1000000000000</v>
      </c>
      <c r="BT236" s="215">
        <f ca="1">IF($D236&lt;&gt;"Serviço",0,IF(AND(AUTOEVENTO="Manual",$M236=1),0,IF(OFFSET(CRONOPLE!$F$14,$M236,BT$13)="",10^12,OFFSET(CRONOPLE!$F$14,$M236,BT$13))))</f>
        <v>1000000000000</v>
      </c>
      <c r="BV236" s="216">
        <f ca="1">IF($D236&lt;&gt;"Serviço",0,IF(OR(AND(AUTOEVENTO="Manual",$M236=1),$M236&gt;(ROW(PLE.lastrow)-ROW(PLE.firstrow))),0,IF(OFFSET(PLE!$G$14,$M236,BV$13)="",10^12,OFFSET(PLE!$G$14,$M236,BV$13))))</f>
        <v>1000000000000</v>
      </c>
      <c r="BW236" s="216">
        <f ca="1">IF($D236&lt;&gt;"Serviço",0,IF(OR(AND(AUTOEVENTO="Manual",$M236=1),$M236&gt;(ROW(PLE.lastrow)-ROW(PLE.firstrow))),0,IF(OFFSET(PLE!$G$14,$M236,BW$13)="",10^12,OFFSET(PLE!$G$14,$M236,BW$13))))</f>
        <v>1000000000000</v>
      </c>
      <c r="BX236" s="216">
        <f ca="1">IF($D236&lt;&gt;"Serviço",0,IF(OR(AND(AUTOEVENTO="Manual",$M236=1),$M236&gt;(ROW(PLE.lastrow)-ROW(PLE.firstrow))),0,IF(OFFSET(PLE!$G$14,$M236,BX$13)="",10^12,OFFSET(PLE!$G$14,$M236,BX$13))))</f>
        <v>1000000000000</v>
      </c>
      <c r="BY236" s="216">
        <f ca="1">IF($D236&lt;&gt;"Serviço",0,IF(OR(AND(AUTOEVENTO="Manual",$M236=1),$M236&gt;(ROW(PLE.lastrow)-ROW(PLE.firstrow))),0,IF(OFFSET(PLE!$G$14,$M236,BY$13)="",10^12,OFFSET(PLE!$G$14,$M236,BY$13))))</f>
        <v>1000000000000</v>
      </c>
      <c r="BZ236" s="216">
        <f ca="1">IF($D236&lt;&gt;"Serviço",0,IF(OR(AND(AUTOEVENTO="Manual",$M236=1),$M236&gt;(ROW(PLE.lastrow)-ROW(PLE.firstrow))),0,IF(OFFSET(PLE!$G$14,$M236,BZ$13)="",10^12,OFFSET(PLE!$G$14,$M236,BZ$13))))</f>
        <v>1000000000000</v>
      </c>
      <c r="CA236" s="216">
        <f ca="1">IF($D236&lt;&gt;"Serviço",0,IF(OR(AND(AUTOEVENTO="Manual",$M236=1),$M236&gt;(ROW(PLE.lastrow)-ROW(PLE.firstrow))),0,IF(OFFSET(PLE!$G$14,$M236,CA$13)="",10^12,OFFSET(PLE!$G$14,$M236,CA$13))))</f>
        <v>1000000000000</v>
      </c>
      <c r="CB236" s="216">
        <f ca="1">IF($D236&lt;&gt;"Serviço",0,IF(OR(AND(AUTOEVENTO="Manual",$M236=1),$M236&gt;(ROW(PLE.lastrow)-ROW(PLE.firstrow))),0,IF(OFFSET(PLE!$G$14,$M236,CB$13)="",10^12,OFFSET(PLE!$G$14,$M236,CB$13))))</f>
        <v>1000000000000</v>
      </c>
      <c r="CC236" s="216">
        <f ca="1">IF($D236&lt;&gt;"Serviço",0,IF(OR(AND(AUTOEVENTO="Manual",$M236=1),$M236&gt;(ROW(PLE.lastrow)-ROW(PLE.firstrow))),0,IF(OFFSET(PLE!$G$14,$M236,CC$13)="",10^12,OFFSET(PLE!$G$14,$M236,CC$13))))</f>
        <v>1000000000000</v>
      </c>
      <c r="CD236" s="216">
        <f ca="1">IF($D236&lt;&gt;"Serviço",0,IF(OR(AND(AUTOEVENTO="Manual",$M236=1),$M236&gt;(ROW(PLE.lastrow)-ROW(PLE.firstrow))),0,IF(OFFSET(PLE!$G$14,$M236,CD$13)="",10^12,OFFSET(PLE!$G$14,$M236,CD$13))))</f>
        <v>1000000000000</v>
      </c>
      <c r="CE236" s="216">
        <f ca="1">IF($D236&lt;&gt;"Serviço",0,IF(OR(AND(AUTOEVENTO="Manual",$M236=1),$M236&gt;(ROW(PLE.lastrow)-ROW(PLE.firstrow))),0,IF(OFFSET(PLE!$G$14,$M236,CE$13)="",10^12,OFFSET(PLE!$G$14,$M236,CE$13))))</f>
        <v>1000000000000</v>
      </c>
      <c r="CF236" s="216">
        <f ca="1">IF($D236&lt;&gt;"Serviço",0,IF(OR(AND(AUTOEVENTO="Manual",$M236=1),$M236&gt;(ROW(PLE.lastrow)-ROW(PLE.firstrow))),0,IF(OFFSET(PLE!$G$14,$M236,CF$13)="",10^12,OFFSET(PLE!$G$14,$M236,CF$13))))</f>
        <v>1000000000000</v>
      </c>
      <c r="CG236" s="216">
        <f ca="1">IF($D236&lt;&gt;"Serviço",0,IF(OR(AND(AUTOEVENTO="Manual",$M236=1),$M236&gt;(ROW(PLE.lastrow)-ROW(PLE.firstrow))),0,IF(OFFSET(PLE!$G$14,$M236,CG$13)="",10^12,OFFSET(PLE!$G$14,$M236,CG$13))))</f>
        <v>1000000000000</v>
      </c>
      <c r="CH236" s="216">
        <f ca="1">IF($D236&lt;&gt;"Serviço",0,IF(OR(AND(AUTOEVENTO="Manual",$M236=1),$M236&gt;(ROW(PLE.lastrow)-ROW(PLE.firstrow))),0,IF(OFFSET(PLE!$G$14,$M236,CH$13)="",10^12,OFFSET(PLE!$G$14,$M236,CH$13))))</f>
        <v>1000000000000</v>
      </c>
      <c r="CI236" s="216">
        <f ca="1">IF($D236&lt;&gt;"Serviço",0,IF(OR(AND(AUTOEVENTO="Manual",$M236=1),$M236&gt;(ROW(PLE.lastrow)-ROW(PLE.firstrow))),0,IF(OFFSET(PLE!$G$14,$M236,CI$13)="",10^12,OFFSET(PLE!$G$14,$M236,CI$13))))</f>
        <v>1000000000000</v>
      </c>
      <c r="CJ236" s="216">
        <f ca="1">IF($D236&lt;&gt;"Serviço",0,IF(OR(AND(AUTOEVENTO="Manual",$M236=1),$M236&gt;(ROW(PLE.lastrow)-ROW(PLE.firstrow))),0,IF(OFFSET(PLE!$G$14,$M236,CJ$13)="",10^12,OFFSET(PLE!$G$14,$M236,CJ$13))))</f>
        <v>1000000000000</v>
      </c>
      <c r="CK236" s="216">
        <f ca="1">IF($D236&lt;&gt;"Serviço",0,IF(OR(AND(AUTOEVENTO="Manual",$M236=1),$M236&gt;(ROW(PLE.lastrow)-ROW(PLE.firstrow))),0,IF(OFFSET(PLE!$G$14,$M236,CK$13)="",10^12,OFFSET(PLE!$G$14,$M236,CK$13))))</f>
        <v>1000000000000</v>
      </c>
      <c r="CL236" s="216">
        <f ca="1">IF($D236&lt;&gt;"Serviço",0,IF(OR(AND(AUTOEVENTO="Manual",$M236=1),$M236&gt;(ROW(PLE.lastrow)-ROW(PLE.firstrow))),0,IF(OFFSET(PLE!$G$14,$M236,CL$13)="",10^12,OFFSET(PLE!$G$14,$M236,CL$13))))</f>
        <v>1000000000000</v>
      </c>
      <c r="CM236" s="216">
        <f ca="1">IF($D236&lt;&gt;"Serviço",0,IF(OR(AND(AUTOEVENTO="Manual",$M236=1),$M236&gt;(ROW(PLE.lastrow)-ROW(PLE.firstrow))),0,IF(OFFSET(PLE!$G$14,$M236,CM$13)="",10^12,OFFSET(PLE!$G$14,$M236,CM$13))))</f>
        <v>1000000000000</v>
      </c>
    </row>
    <row r="237" spans="1:91" ht="13.2" x14ac:dyDescent="0.25">
      <c r="A237" s="9">
        <f t="shared" ca="1" si="12"/>
        <v>0</v>
      </c>
      <c r="B237" s="9" t="str">
        <f ca="1">OFFSET(ORÇAMENTO!C$15,ROW(B237)-ROW(B$15),0)</f>
        <v>S</v>
      </c>
      <c r="C237" s="9" t="str">
        <f ca="1">OFFSET(ORÇAMENTO!L$15,ROW(C237)-ROW(C$15),0)</f>
        <v/>
      </c>
      <c r="D237" s="145" t="str">
        <f ca="1">OFFSET(ORÇAMENTO!N$15,ROW(D237)-ROW(D$15),0)</f>
        <v>Serviço</v>
      </c>
      <c r="E237" s="205" t="str">
        <f ca="1">OFFSET(ORÇAMENTO!O$15,ROW(E237)-ROW(E$15),0)</f>
        <v>-</v>
      </c>
      <c r="F237" s="206" t="str">
        <f ca="1">OFFSET(ORÇAMENTO!R$15,ROW(F237)-ROW(F$15),0)</f>
        <v>(abra o arquivo 'Referência 05-2024.xls)</v>
      </c>
      <c r="G237" s="207" t="str">
        <f ca="1">IF($D237&lt;&gt;"Serviço","",OFFSET(ORÇAMENTO!S$15,ROW(G237)-ROW(G$15),0))</f>
        <v>-</v>
      </c>
      <c r="H237" s="151">
        <f ca="1">IF($D237&lt;&gt;"Serviço",0,IF(ACOMPANHAMENTO="BM",ROUND(OFFSET(ORÇAMENTO!AJ$15,ROW(H237)-ROW(H$15),0),15-13*ORÇAMENTO!$AF$7),SUMPRODUCT(($Q$12:$AI$12&lt;&gt;"")*ROUND($Q237:$AI237,15-13*ORÇAMENTO!$AF$7))))</f>
        <v>632.70000000000005</v>
      </c>
      <c r="I237" s="650"/>
      <c r="K237" s="208"/>
      <c r="L237" s="209" t="s">
        <v>257</v>
      </c>
      <c r="M237" s="210">
        <f ca="1">IF($D237&lt;&gt;"Serviço","",IF(AUTOEVENTO="manual",$A237,IF(ISERROR(MATCH($A237,$A$15:OFFSET($A237,-1,0),0)),MAX($M$15:OFFSET(M237,-1,0))+1,INDEX($M$15:OFFSET(M237,-1,0),MATCH($A237,$A$15:OFFSET($A237,-1,0),0)))))</f>
        <v>0</v>
      </c>
      <c r="N237" s="211" t="str">
        <f ca="1">IF($D237&lt;&gt;"Serviço","",IF(AUTOEVENTO="Manual",IF($A237=0,"&lt;-- defina o número do agrupador",OFFSET(EVENTOS!$D$14,$A237,0)),OFFSET($F$15,$A237,0)))</f>
        <v>&lt;-- defina o número do agrupador</v>
      </c>
      <c r="O237" s="212"/>
      <c r="Q237" s="212"/>
      <c r="R237" s="213"/>
      <c r="S237" s="213"/>
      <c r="T237" s="213"/>
      <c r="U237" s="213"/>
      <c r="V237" s="213"/>
      <c r="W237" s="213"/>
      <c r="X237" s="213"/>
      <c r="Y237" s="213"/>
      <c r="Z237" s="214"/>
      <c r="AA237" s="213"/>
      <c r="AB237" s="213"/>
      <c r="AC237" s="213"/>
      <c r="AD237" s="213"/>
      <c r="AE237" s="213"/>
      <c r="AF237" s="213"/>
      <c r="AG237" s="213"/>
      <c r="AH237" s="214"/>
      <c r="AJ237" s="631">
        <f ca="1">IF(AND($D237="Serviço",AJ$12&lt;&gt;0,$H237&gt;0,OR(AUTOEVENTO&lt;&gt;"manual",$M237&lt;&gt;1)),ROUND(OFFSET($P237,0,AJ$13),15-13*ORÇAMENTO!$AF$7)/$H237*OFFSET(ORÇAMENTO!$X$15,ROW(AJ237)-ROW(AJ$15),0),0)</f>
        <v>0</v>
      </c>
      <c r="AK237" s="632">
        <f ca="1">IF(AND($D237="Serviço",AK$12&lt;&gt;0,$H237&gt;0,OR(AUTOEVENTO&lt;&gt;"manual",$M237&lt;&gt;1)),ROUND(OFFSET($P237,0,AK$13),15-13*ORÇAMENTO!$AF$7)/$H237*OFFSET(ORÇAMENTO!$X$15,ROW(AK237)-ROW(AK$15),0),0)</f>
        <v>0</v>
      </c>
      <c r="AL237" s="632">
        <f ca="1">IF(AND($D237="Serviço",AL$12&lt;&gt;0,$H237&gt;0,OR(AUTOEVENTO&lt;&gt;"manual",$M237&lt;&gt;1)),ROUND(OFFSET($P237,0,AL$13),15-13*ORÇAMENTO!$AF$7)/$H237*OFFSET(ORÇAMENTO!$X$15,ROW(AL237)-ROW(AL$15),0),0)</f>
        <v>0</v>
      </c>
      <c r="AM237" s="632">
        <f ca="1">IF(AND($D237="Serviço",AM$12&lt;&gt;0,$H237&gt;0,OR(AUTOEVENTO&lt;&gt;"manual",$M237&lt;&gt;1)),ROUND(OFFSET($P237,0,AM$13),15-13*ORÇAMENTO!$AF$7)/$H237*OFFSET(ORÇAMENTO!$X$15,ROW(AM237)-ROW(AM$15),0),0)</f>
        <v>0</v>
      </c>
      <c r="AN237" s="632">
        <f ca="1">IF(AND($D237="Serviço",AN$12&lt;&gt;0,$H237&gt;0,OR(AUTOEVENTO&lt;&gt;"manual",$M237&lt;&gt;1)),ROUND(OFFSET($P237,0,AN$13),15-13*ORÇAMENTO!$AF$7)/$H237*OFFSET(ORÇAMENTO!$X$15,ROW(AN237)-ROW(AN$15),0),0)</f>
        <v>0</v>
      </c>
      <c r="AO237" s="632">
        <f ca="1">IF(AND($D237="Serviço",AO$12&lt;&gt;0,$H237&gt;0,OR(AUTOEVENTO&lt;&gt;"manual",$M237&lt;&gt;1)),ROUND(OFFSET($P237,0,AO$13),15-13*ORÇAMENTO!$AF$7)/$H237*OFFSET(ORÇAMENTO!$X$15,ROW(AO237)-ROW(AO$15),0),0)</f>
        <v>0</v>
      </c>
      <c r="AP237" s="632">
        <f ca="1">IF(AND($D237="Serviço",AP$12&lt;&gt;0,$H237&gt;0,OR(AUTOEVENTO&lt;&gt;"manual",$M237&lt;&gt;1)),ROUND(OFFSET($P237,0,AP$13),15-13*ORÇAMENTO!$AF$7)/$H237*OFFSET(ORÇAMENTO!$X$15,ROW(AP237)-ROW(AP$15),0),0)</f>
        <v>0</v>
      </c>
      <c r="AQ237" s="632">
        <f ca="1">IF(AND($D237="Serviço",AQ$12&lt;&gt;0,$H237&gt;0,OR(AUTOEVENTO&lt;&gt;"manual",$M237&lt;&gt;1)),ROUND(OFFSET($P237,0,AQ$13),15-13*ORÇAMENTO!$AF$7)/$H237*OFFSET(ORÇAMENTO!$X$15,ROW(AQ237)-ROW(AQ$15),0),0)</f>
        <v>0</v>
      </c>
      <c r="AR237" s="632">
        <f ca="1">IF(AND($D237="Serviço",AR$12&lt;&gt;0,$H237&gt;0,OR(AUTOEVENTO&lt;&gt;"manual",$M237&lt;&gt;1)),ROUND(OFFSET($P237,0,AR$13),15-13*ORÇAMENTO!$AF$7)/$H237*OFFSET(ORÇAMENTO!$X$15,ROW(AR237)-ROW(AR$15),0),0)</f>
        <v>0</v>
      </c>
      <c r="AS237" s="633">
        <f ca="1">IF(AND($D237="Serviço",AS$12&lt;&gt;0,$H237&gt;0,OR(AUTOEVENTO&lt;&gt;"manual",$M237&lt;&gt;1)),ROUND(OFFSET($P237,0,AS$13),15-13*ORÇAMENTO!$AF$7)/$H237*OFFSET(ORÇAMENTO!$X$15,ROW(AS237)-ROW(AS$15),0),0)</f>
        <v>0</v>
      </c>
      <c r="AT237" s="632">
        <f ca="1">IF(AND($D237="Serviço",AT$12&lt;&gt;0,$H237&gt;0,OR(AUTOEVENTO&lt;&gt;"manual",$M237&lt;&gt;1)),ROUND(OFFSET($P237,0,AT$13),15-13*ORÇAMENTO!$AF$7)/$H237*OFFSET(ORÇAMENTO!$X$15,ROW(AT237)-ROW(AT$15),0),0)</f>
        <v>0</v>
      </c>
      <c r="AU237" s="632">
        <f ca="1">IF(AND($D237="Serviço",AU$12&lt;&gt;0,$H237&gt;0,OR(AUTOEVENTO&lt;&gt;"manual",$M237&lt;&gt;1)),ROUND(OFFSET($P237,0,AU$13),15-13*ORÇAMENTO!$AF$7)/$H237*OFFSET(ORÇAMENTO!$X$15,ROW(AU237)-ROW(AU$15),0),0)</f>
        <v>0</v>
      </c>
      <c r="AV237" s="632">
        <f ca="1">IF(AND($D237="Serviço",AV$12&lt;&gt;0,$H237&gt;0,OR(AUTOEVENTO&lt;&gt;"manual",$M237&lt;&gt;1)),ROUND(OFFSET($P237,0,AV$13),15-13*ORÇAMENTO!$AF$7)/$H237*OFFSET(ORÇAMENTO!$X$15,ROW(AV237)-ROW(AV$15),0),0)</f>
        <v>0</v>
      </c>
      <c r="AW237" s="632">
        <f ca="1">IF(AND($D237="Serviço",AW$12&lt;&gt;0,$H237&gt;0,OR(AUTOEVENTO&lt;&gt;"manual",$M237&lt;&gt;1)),ROUND(OFFSET($P237,0,AW$13),15-13*ORÇAMENTO!$AF$7)/$H237*OFFSET(ORÇAMENTO!$X$15,ROW(AW237)-ROW(AW$15),0),0)</f>
        <v>0</v>
      </c>
      <c r="AX237" s="632">
        <f ca="1">IF(AND($D237="Serviço",AX$12&lt;&gt;0,$H237&gt;0,OR(AUTOEVENTO&lt;&gt;"manual",$M237&lt;&gt;1)),ROUND(OFFSET($P237,0,AX$13),15-13*ORÇAMENTO!$AF$7)/$H237*OFFSET(ORÇAMENTO!$X$15,ROW(AX237)-ROW(AX$15),0),0)</f>
        <v>0</v>
      </c>
      <c r="AY237" s="632">
        <f ca="1">IF(AND($D237="Serviço",AY$12&lt;&gt;0,$H237&gt;0,OR(AUTOEVENTO&lt;&gt;"manual",$M237&lt;&gt;1)),ROUND(OFFSET($P237,0,AY$13),15-13*ORÇAMENTO!$AF$7)/$H237*OFFSET(ORÇAMENTO!$X$15,ROW(AY237)-ROW(AY$15),0),0)</f>
        <v>0</v>
      </c>
      <c r="AZ237" s="632">
        <f ca="1">IF(AND($D237="Serviço",AZ$12&lt;&gt;0,$H237&gt;0,OR(AUTOEVENTO&lt;&gt;"manual",$M237&lt;&gt;1)),ROUND(OFFSET($P237,0,AZ$13),15-13*ORÇAMENTO!$AF$7)/$H237*OFFSET(ORÇAMENTO!$X$15,ROW(AZ237)-ROW(AZ$15),0),0)</f>
        <v>0</v>
      </c>
      <c r="BA237" s="633">
        <f ca="1">IF(AND($D237="Serviço",BA$12&lt;&gt;0,$H237&gt;0,OR(AUTOEVENTO&lt;&gt;"manual",$M237&lt;&gt;1)),ROUND(OFFSET($P237,0,BA$13),15-13*ORÇAMENTO!$AF$7)/$H237*OFFSET(ORÇAMENTO!$X$15,ROW(BA237)-ROW(BA$15),0),0)</f>
        <v>0</v>
      </c>
      <c r="BC237" s="215">
        <f ca="1">IF($D237&lt;&gt;"Serviço",0,IF(AND(AUTOEVENTO="Manual",$M237=1),0,IF(OFFSET(CRONOPLE!$F$14,$M237,BC$13)="",10^12,OFFSET(CRONOPLE!$F$14,$M237,BC$13))))</f>
        <v>1000000000000</v>
      </c>
      <c r="BD237" s="215">
        <f ca="1">IF($D237&lt;&gt;"Serviço",0,IF(AND(AUTOEVENTO="Manual",$M237=1),0,IF(OFFSET(CRONOPLE!$F$14,$M237,BD$13)="",10^12,OFFSET(CRONOPLE!$F$14,$M237,BD$13))))</f>
        <v>1000000000000</v>
      </c>
      <c r="BE237" s="215">
        <f ca="1">IF($D237&lt;&gt;"Serviço",0,IF(AND(AUTOEVENTO="Manual",$M237=1),0,IF(OFFSET(CRONOPLE!$F$14,$M237,BE$13)="",10^12,OFFSET(CRONOPLE!$F$14,$M237,BE$13))))</f>
        <v>1000000000000</v>
      </c>
      <c r="BF237" s="215">
        <f ca="1">IF($D237&lt;&gt;"Serviço",0,IF(AND(AUTOEVENTO="Manual",$M237=1),0,IF(OFFSET(CRONOPLE!$F$14,$M237,BF$13)="",10^12,OFFSET(CRONOPLE!$F$14,$M237,BF$13))))</f>
        <v>1000000000000</v>
      </c>
      <c r="BG237" s="215">
        <f ca="1">IF($D237&lt;&gt;"Serviço",0,IF(AND(AUTOEVENTO="Manual",$M237=1),0,IF(OFFSET(CRONOPLE!$F$14,$M237,BG$13)="",10^12,OFFSET(CRONOPLE!$F$14,$M237,BG$13))))</f>
        <v>1000000000000</v>
      </c>
      <c r="BH237" s="215">
        <f ca="1">IF($D237&lt;&gt;"Serviço",0,IF(AND(AUTOEVENTO="Manual",$M237=1),0,IF(OFFSET(CRONOPLE!$F$14,$M237,BH$13)="",10^12,OFFSET(CRONOPLE!$F$14,$M237,BH$13))))</f>
        <v>1000000000000</v>
      </c>
      <c r="BI237" s="215">
        <f ca="1">IF($D237&lt;&gt;"Serviço",0,IF(AND(AUTOEVENTO="Manual",$M237=1),0,IF(OFFSET(CRONOPLE!$F$14,$M237,BI$13)="",10^12,OFFSET(CRONOPLE!$F$14,$M237,BI$13))))</f>
        <v>1000000000000</v>
      </c>
      <c r="BJ237" s="215">
        <f ca="1">IF($D237&lt;&gt;"Serviço",0,IF(AND(AUTOEVENTO="Manual",$M237=1),0,IF(OFFSET(CRONOPLE!$F$14,$M237,BJ$13)="",10^12,OFFSET(CRONOPLE!$F$14,$M237,BJ$13))))</f>
        <v>1000000000000</v>
      </c>
      <c r="BK237" s="215">
        <f ca="1">IF($D237&lt;&gt;"Serviço",0,IF(AND(AUTOEVENTO="Manual",$M237=1),0,IF(OFFSET(CRONOPLE!$F$14,$M237,BK$13)="",10^12,OFFSET(CRONOPLE!$F$14,$M237,BK$13))))</f>
        <v>1000000000000</v>
      </c>
      <c r="BL237" s="215">
        <f ca="1">IF($D237&lt;&gt;"Serviço",0,IF(AND(AUTOEVENTO="Manual",$M237=1),0,IF(OFFSET(CRONOPLE!$F$14,$M237,BL$13)="",10^12,OFFSET(CRONOPLE!$F$14,$M237,BL$13))))</f>
        <v>1000000000000</v>
      </c>
      <c r="BM237" s="215">
        <f ca="1">IF($D237&lt;&gt;"Serviço",0,IF(AND(AUTOEVENTO="Manual",$M237=1),0,IF(OFFSET(CRONOPLE!$F$14,$M237,BM$13)="",10^12,OFFSET(CRONOPLE!$F$14,$M237,BM$13))))</f>
        <v>1000000000000</v>
      </c>
      <c r="BN237" s="215">
        <f ca="1">IF($D237&lt;&gt;"Serviço",0,IF(AND(AUTOEVENTO="Manual",$M237=1),0,IF(OFFSET(CRONOPLE!$F$14,$M237,BN$13)="",10^12,OFFSET(CRONOPLE!$F$14,$M237,BN$13))))</f>
        <v>1000000000000</v>
      </c>
      <c r="BO237" s="215">
        <f ca="1">IF($D237&lt;&gt;"Serviço",0,IF(AND(AUTOEVENTO="Manual",$M237=1),0,IF(OFFSET(CRONOPLE!$F$14,$M237,BO$13)="",10^12,OFFSET(CRONOPLE!$F$14,$M237,BO$13))))</f>
        <v>1000000000000</v>
      </c>
      <c r="BP237" s="215">
        <f ca="1">IF($D237&lt;&gt;"Serviço",0,IF(AND(AUTOEVENTO="Manual",$M237=1),0,IF(OFFSET(CRONOPLE!$F$14,$M237,BP$13)="",10^12,OFFSET(CRONOPLE!$F$14,$M237,BP$13))))</f>
        <v>1000000000000</v>
      </c>
      <c r="BQ237" s="215">
        <f ca="1">IF($D237&lt;&gt;"Serviço",0,IF(AND(AUTOEVENTO="Manual",$M237=1),0,IF(OFFSET(CRONOPLE!$F$14,$M237,BQ$13)="",10^12,OFFSET(CRONOPLE!$F$14,$M237,BQ$13))))</f>
        <v>1000000000000</v>
      </c>
      <c r="BR237" s="215">
        <f ca="1">IF($D237&lt;&gt;"Serviço",0,IF(AND(AUTOEVENTO="Manual",$M237=1),0,IF(OFFSET(CRONOPLE!$F$14,$M237,BR$13)="",10^12,OFFSET(CRONOPLE!$F$14,$M237,BR$13))))</f>
        <v>1000000000000</v>
      </c>
      <c r="BS237" s="215">
        <f ca="1">IF($D237&lt;&gt;"Serviço",0,IF(AND(AUTOEVENTO="Manual",$M237=1),0,IF(OFFSET(CRONOPLE!$F$14,$M237,BS$13)="",10^12,OFFSET(CRONOPLE!$F$14,$M237,BS$13))))</f>
        <v>1000000000000</v>
      </c>
      <c r="BT237" s="215">
        <f ca="1">IF($D237&lt;&gt;"Serviço",0,IF(AND(AUTOEVENTO="Manual",$M237=1),0,IF(OFFSET(CRONOPLE!$F$14,$M237,BT$13)="",10^12,OFFSET(CRONOPLE!$F$14,$M237,BT$13))))</f>
        <v>1000000000000</v>
      </c>
      <c r="BV237" s="216">
        <f ca="1">IF($D237&lt;&gt;"Serviço",0,IF(OR(AND(AUTOEVENTO="Manual",$M237=1),$M237&gt;(ROW(PLE.lastrow)-ROW(PLE.firstrow))),0,IF(OFFSET(PLE!$G$14,$M237,BV$13)="",10^12,OFFSET(PLE!$G$14,$M237,BV$13))))</f>
        <v>1000000000000</v>
      </c>
      <c r="BW237" s="216">
        <f ca="1">IF($D237&lt;&gt;"Serviço",0,IF(OR(AND(AUTOEVENTO="Manual",$M237=1),$M237&gt;(ROW(PLE.lastrow)-ROW(PLE.firstrow))),0,IF(OFFSET(PLE!$G$14,$M237,BW$13)="",10^12,OFFSET(PLE!$G$14,$M237,BW$13))))</f>
        <v>1000000000000</v>
      </c>
      <c r="BX237" s="216">
        <f ca="1">IF($D237&lt;&gt;"Serviço",0,IF(OR(AND(AUTOEVENTO="Manual",$M237=1),$M237&gt;(ROW(PLE.lastrow)-ROW(PLE.firstrow))),0,IF(OFFSET(PLE!$G$14,$M237,BX$13)="",10^12,OFFSET(PLE!$G$14,$M237,BX$13))))</f>
        <v>1000000000000</v>
      </c>
      <c r="BY237" s="216">
        <f ca="1">IF($D237&lt;&gt;"Serviço",0,IF(OR(AND(AUTOEVENTO="Manual",$M237=1),$M237&gt;(ROW(PLE.lastrow)-ROW(PLE.firstrow))),0,IF(OFFSET(PLE!$G$14,$M237,BY$13)="",10^12,OFFSET(PLE!$G$14,$M237,BY$13))))</f>
        <v>1000000000000</v>
      </c>
      <c r="BZ237" s="216">
        <f ca="1">IF($D237&lt;&gt;"Serviço",0,IF(OR(AND(AUTOEVENTO="Manual",$M237=1),$M237&gt;(ROW(PLE.lastrow)-ROW(PLE.firstrow))),0,IF(OFFSET(PLE!$G$14,$M237,BZ$13)="",10^12,OFFSET(PLE!$G$14,$M237,BZ$13))))</f>
        <v>1000000000000</v>
      </c>
      <c r="CA237" s="216">
        <f ca="1">IF($D237&lt;&gt;"Serviço",0,IF(OR(AND(AUTOEVENTO="Manual",$M237=1),$M237&gt;(ROW(PLE.lastrow)-ROW(PLE.firstrow))),0,IF(OFFSET(PLE!$G$14,$M237,CA$13)="",10^12,OFFSET(PLE!$G$14,$M237,CA$13))))</f>
        <v>1000000000000</v>
      </c>
      <c r="CB237" s="216">
        <f ca="1">IF($D237&lt;&gt;"Serviço",0,IF(OR(AND(AUTOEVENTO="Manual",$M237=1),$M237&gt;(ROW(PLE.lastrow)-ROW(PLE.firstrow))),0,IF(OFFSET(PLE!$G$14,$M237,CB$13)="",10^12,OFFSET(PLE!$G$14,$M237,CB$13))))</f>
        <v>1000000000000</v>
      </c>
      <c r="CC237" s="216">
        <f ca="1">IF($D237&lt;&gt;"Serviço",0,IF(OR(AND(AUTOEVENTO="Manual",$M237=1),$M237&gt;(ROW(PLE.lastrow)-ROW(PLE.firstrow))),0,IF(OFFSET(PLE!$G$14,$M237,CC$13)="",10^12,OFFSET(PLE!$G$14,$M237,CC$13))))</f>
        <v>1000000000000</v>
      </c>
      <c r="CD237" s="216">
        <f ca="1">IF($D237&lt;&gt;"Serviço",0,IF(OR(AND(AUTOEVENTO="Manual",$M237=1),$M237&gt;(ROW(PLE.lastrow)-ROW(PLE.firstrow))),0,IF(OFFSET(PLE!$G$14,$M237,CD$13)="",10^12,OFFSET(PLE!$G$14,$M237,CD$13))))</f>
        <v>1000000000000</v>
      </c>
      <c r="CE237" s="216">
        <f ca="1">IF($D237&lt;&gt;"Serviço",0,IF(OR(AND(AUTOEVENTO="Manual",$M237=1),$M237&gt;(ROW(PLE.lastrow)-ROW(PLE.firstrow))),0,IF(OFFSET(PLE!$G$14,$M237,CE$13)="",10^12,OFFSET(PLE!$G$14,$M237,CE$13))))</f>
        <v>1000000000000</v>
      </c>
      <c r="CF237" s="216">
        <f ca="1">IF($D237&lt;&gt;"Serviço",0,IF(OR(AND(AUTOEVENTO="Manual",$M237=1),$M237&gt;(ROW(PLE.lastrow)-ROW(PLE.firstrow))),0,IF(OFFSET(PLE!$G$14,$M237,CF$13)="",10^12,OFFSET(PLE!$G$14,$M237,CF$13))))</f>
        <v>1000000000000</v>
      </c>
      <c r="CG237" s="216">
        <f ca="1">IF($D237&lt;&gt;"Serviço",0,IF(OR(AND(AUTOEVENTO="Manual",$M237=1),$M237&gt;(ROW(PLE.lastrow)-ROW(PLE.firstrow))),0,IF(OFFSET(PLE!$G$14,$M237,CG$13)="",10^12,OFFSET(PLE!$G$14,$M237,CG$13))))</f>
        <v>1000000000000</v>
      </c>
      <c r="CH237" s="216">
        <f ca="1">IF($D237&lt;&gt;"Serviço",0,IF(OR(AND(AUTOEVENTO="Manual",$M237=1),$M237&gt;(ROW(PLE.lastrow)-ROW(PLE.firstrow))),0,IF(OFFSET(PLE!$G$14,$M237,CH$13)="",10^12,OFFSET(PLE!$G$14,$M237,CH$13))))</f>
        <v>1000000000000</v>
      </c>
      <c r="CI237" s="216">
        <f ca="1">IF($D237&lt;&gt;"Serviço",0,IF(OR(AND(AUTOEVENTO="Manual",$M237=1),$M237&gt;(ROW(PLE.lastrow)-ROW(PLE.firstrow))),0,IF(OFFSET(PLE!$G$14,$M237,CI$13)="",10^12,OFFSET(PLE!$G$14,$M237,CI$13))))</f>
        <v>1000000000000</v>
      </c>
      <c r="CJ237" s="216">
        <f ca="1">IF($D237&lt;&gt;"Serviço",0,IF(OR(AND(AUTOEVENTO="Manual",$M237=1),$M237&gt;(ROW(PLE.lastrow)-ROW(PLE.firstrow))),0,IF(OFFSET(PLE!$G$14,$M237,CJ$13)="",10^12,OFFSET(PLE!$G$14,$M237,CJ$13))))</f>
        <v>1000000000000</v>
      </c>
      <c r="CK237" s="216">
        <f ca="1">IF($D237&lt;&gt;"Serviço",0,IF(OR(AND(AUTOEVENTO="Manual",$M237=1),$M237&gt;(ROW(PLE.lastrow)-ROW(PLE.firstrow))),0,IF(OFFSET(PLE!$G$14,$M237,CK$13)="",10^12,OFFSET(PLE!$G$14,$M237,CK$13))))</f>
        <v>1000000000000</v>
      </c>
      <c r="CL237" s="216">
        <f ca="1">IF($D237&lt;&gt;"Serviço",0,IF(OR(AND(AUTOEVENTO="Manual",$M237=1),$M237&gt;(ROW(PLE.lastrow)-ROW(PLE.firstrow))),0,IF(OFFSET(PLE!$G$14,$M237,CL$13)="",10^12,OFFSET(PLE!$G$14,$M237,CL$13))))</f>
        <v>1000000000000</v>
      </c>
      <c r="CM237" s="216">
        <f ca="1">IF($D237&lt;&gt;"Serviço",0,IF(OR(AND(AUTOEVENTO="Manual",$M237=1),$M237&gt;(ROW(PLE.lastrow)-ROW(PLE.firstrow))),0,IF(OFFSET(PLE!$G$14,$M237,CM$13)="",10^12,OFFSET(PLE!$G$14,$M237,CM$13))))</f>
        <v>1000000000000</v>
      </c>
    </row>
    <row r="238" spans="1:91" ht="13.2" x14ac:dyDescent="0.25">
      <c r="A238" s="9">
        <f t="shared" ca="1" si="12"/>
        <v>0</v>
      </c>
      <c r="B238" s="9">
        <f ca="1">OFFSET(ORÇAMENTO!C$15,ROW(B238)-ROW(B$15),0)</f>
        <v>2</v>
      </c>
      <c r="C238" s="9" t="str">
        <f ca="1">OFFSET(ORÇAMENTO!L$15,ROW(C238)-ROW(C$15),0)</f>
        <v>F</v>
      </c>
      <c r="D238" s="145" t="str">
        <f ca="1">OFFSET(ORÇAMENTO!N$15,ROW(D238)-ROW(D$15),0)</f>
        <v>Nível 2</v>
      </c>
      <c r="E238" s="205" t="str">
        <f ca="1">OFFSET(ORÇAMENTO!O$15,ROW(E238)-ROW(E$15),0)</f>
        <v>1.8.</v>
      </c>
      <c r="F238" s="206" t="str">
        <f ca="1">OFFSET(ORÇAMENTO!R$15,ROW(F238)-ROW(F$15),0)</f>
        <v xml:space="preserve">IMPERMEABILIZAÇÃO </v>
      </c>
      <c r="G238" s="207" t="str">
        <f ca="1">IF($D238&lt;&gt;"Serviço","",OFFSET(ORÇAMENTO!S$15,ROW(G238)-ROW(G$15),0))</f>
        <v/>
      </c>
      <c r="H238" s="151">
        <f ca="1">IF($D238&lt;&gt;"Serviço",0,IF(ACOMPANHAMENTO="BM",ROUND(OFFSET(ORÇAMENTO!AJ$15,ROW(H238)-ROW(H$15),0),15-13*ORÇAMENTO!$AF$7),SUMPRODUCT(($Q$12:$AI$12&lt;&gt;"")*ROUND($Q238:$AI238,15-13*ORÇAMENTO!$AF$7))))</f>
        <v>0</v>
      </c>
      <c r="I238" s="650"/>
      <c r="K238" s="208"/>
      <c r="L238" s="209" t="s">
        <v>257</v>
      </c>
      <c r="M238" s="210" t="str">
        <f ca="1">IF($D238&lt;&gt;"Serviço","",IF(AUTOEVENTO="manual",$A238,IF(ISERROR(MATCH($A238,$A$15:OFFSET($A238,-1,0),0)),MAX($M$15:OFFSET(M238,-1,0))+1,INDEX($M$15:OFFSET(M238,-1,0),MATCH($A238,$A$15:OFFSET($A238,-1,0),0)))))</f>
        <v/>
      </c>
      <c r="N238" s="211" t="str">
        <f ca="1">IF($D238&lt;&gt;"Serviço","",IF(AUTOEVENTO="Manual",IF($A238=0,"&lt;-- defina o número do agrupador",OFFSET(EVENTOS!$D$14,$A238,0)),OFFSET($F$15,$A238,0)))</f>
        <v/>
      </c>
      <c r="O238" s="212"/>
      <c r="Q238" s="212"/>
      <c r="R238" s="213"/>
      <c r="S238" s="213"/>
      <c r="T238" s="213"/>
      <c r="U238" s="213"/>
      <c r="V238" s="213"/>
      <c r="W238" s="213"/>
      <c r="X238" s="213"/>
      <c r="Y238" s="213"/>
      <c r="Z238" s="214"/>
      <c r="AA238" s="213"/>
      <c r="AB238" s="213"/>
      <c r="AC238" s="213"/>
      <c r="AD238" s="213"/>
      <c r="AE238" s="213"/>
      <c r="AF238" s="213"/>
      <c r="AG238" s="213"/>
      <c r="AH238" s="214"/>
      <c r="AJ238" s="631">
        <f ca="1">IF(AND($D238="Serviço",AJ$12&lt;&gt;0,$H238&gt;0,OR(AUTOEVENTO&lt;&gt;"manual",$M238&lt;&gt;1)),ROUND(OFFSET($P238,0,AJ$13),15-13*ORÇAMENTO!$AF$7)/$H238*OFFSET(ORÇAMENTO!$X$15,ROW(AJ238)-ROW(AJ$15),0),0)</f>
        <v>0</v>
      </c>
      <c r="AK238" s="632">
        <f ca="1">IF(AND($D238="Serviço",AK$12&lt;&gt;0,$H238&gt;0,OR(AUTOEVENTO&lt;&gt;"manual",$M238&lt;&gt;1)),ROUND(OFFSET($P238,0,AK$13),15-13*ORÇAMENTO!$AF$7)/$H238*OFFSET(ORÇAMENTO!$X$15,ROW(AK238)-ROW(AK$15),0),0)</f>
        <v>0</v>
      </c>
      <c r="AL238" s="632">
        <f ca="1">IF(AND($D238="Serviço",AL$12&lt;&gt;0,$H238&gt;0,OR(AUTOEVENTO&lt;&gt;"manual",$M238&lt;&gt;1)),ROUND(OFFSET($P238,0,AL$13),15-13*ORÇAMENTO!$AF$7)/$H238*OFFSET(ORÇAMENTO!$X$15,ROW(AL238)-ROW(AL$15),0),0)</f>
        <v>0</v>
      </c>
      <c r="AM238" s="632">
        <f ca="1">IF(AND($D238="Serviço",AM$12&lt;&gt;0,$H238&gt;0,OR(AUTOEVENTO&lt;&gt;"manual",$M238&lt;&gt;1)),ROUND(OFFSET($P238,0,AM$13),15-13*ORÇAMENTO!$AF$7)/$H238*OFFSET(ORÇAMENTO!$X$15,ROW(AM238)-ROW(AM$15),0),0)</f>
        <v>0</v>
      </c>
      <c r="AN238" s="632">
        <f ca="1">IF(AND($D238="Serviço",AN$12&lt;&gt;0,$H238&gt;0,OR(AUTOEVENTO&lt;&gt;"manual",$M238&lt;&gt;1)),ROUND(OFFSET($P238,0,AN$13),15-13*ORÇAMENTO!$AF$7)/$H238*OFFSET(ORÇAMENTO!$X$15,ROW(AN238)-ROW(AN$15),0),0)</f>
        <v>0</v>
      </c>
      <c r="AO238" s="632">
        <f ca="1">IF(AND($D238="Serviço",AO$12&lt;&gt;0,$H238&gt;0,OR(AUTOEVENTO&lt;&gt;"manual",$M238&lt;&gt;1)),ROUND(OFFSET($P238,0,AO$13),15-13*ORÇAMENTO!$AF$7)/$H238*OFFSET(ORÇAMENTO!$X$15,ROW(AO238)-ROW(AO$15),0),0)</f>
        <v>0</v>
      </c>
      <c r="AP238" s="632">
        <f ca="1">IF(AND($D238="Serviço",AP$12&lt;&gt;0,$H238&gt;0,OR(AUTOEVENTO&lt;&gt;"manual",$M238&lt;&gt;1)),ROUND(OFFSET($P238,0,AP$13),15-13*ORÇAMENTO!$AF$7)/$H238*OFFSET(ORÇAMENTO!$X$15,ROW(AP238)-ROW(AP$15),0),0)</f>
        <v>0</v>
      </c>
      <c r="AQ238" s="632">
        <f ca="1">IF(AND($D238="Serviço",AQ$12&lt;&gt;0,$H238&gt;0,OR(AUTOEVENTO&lt;&gt;"manual",$M238&lt;&gt;1)),ROUND(OFFSET($P238,0,AQ$13),15-13*ORÇAMENTO!$AF$7)/$H238*OFFSET(ORÇAMENTO!$X$15,ROW(AQ238)-ROW(AQ$15),0),0)</f>
        <v>0</v>
      </c>
      <c r="AR238" s="632">
        <f ca="1">IF(AND($D238="Serviço",AR$12&lt;&gt;0,$H238&gt;0,OR(AUTOEVENTO&lt;&gt;"manual",$M238&lt;&gt;1)),ROUND(OFFSET($P238,0,AR$13),15-13*ORÇAMENTO!$AF$7)/$H238*OFFSET(ORÇAMENTO!$X$15,ROW(AR238)-ROW(AR$15),0),0)</f>
        <v>0</v>
      </c>
      <c r="AS238" s="633">
        <f ca="1">IF(AND($D238="Serviço",AS$12&lt;&gt;0,$H238&gt;0,OR(AUTOEVENTO&lt;&gt;"manual",$M238&lt;&gt;1)),ROUND(OFFSET($P238,0,AS$13),15-13*ORÇAMENTO!$AF$7)/$H238*OFFSET(ORÇAMENTO!$X$15,ROW(AS238)-ROW(AS$15),0),0)</f>
        <v>0</v>
      </c>
      <c r="AT238" s="632">
        <f ca="1">IF(AND($D238="Serviço",AT$12&lt;&gt;0,$H238&gt;0,OR(AUTOEVENTO&lt;&gt;"manual",$M238&lt;&gt;1)),ROUND(OFFSET($P238,0,AT$13),15-13*ORÇAMENTO!$AF$7)/$H238*OFFSET(ORÇAMENTO!$X$15,ROW(AT238)-ROW(AT$15),0),0)</f>
        <v>0</v>
      </c>
      <c r="AU238" s="632">
        <f ca="1">IF(AND($D238="Serviço",AU$12&lt;&gt;0,$H238&gt;0,OR(AUTOEVENTO&lt;&gt;"manual",$M238&lt;&gt;1)),ROUND(OFFSET($P238,0,AU$13),15-13*ORÇAMENTO!$AF$7)/$H238*OFFSET(ORÇAMENTO!$X$15,ROW(AU238)-ROW(AU$15),0),0)</f>
        <v>0</v>
      </c>
      <c r="AV238" s="632">
        <f ca="1">IF(AND($D238="Serviço",AV$12&lt;&gt;0,$H238&gt;0,OR(AUTOEVENTO&lt;&gt;"manual",$M238&lt;&gt;1)),ROUND(OFFSET($P238,0,AV$13),15-13*ORÇAMENTO!$AF$7)/$H238*OFFSET(ORÇAMENTO!$X$15,ROW(AV238)-ROW(AV$15),0),0)</f>
        <v>0</v>
      </c>
      <c r="AW238" s="632">
        <f ca="1">IF(AND($D238="Serviço",AW$12&lt;&gt;0,$H238&gt;0,OR(AUTOEVENTO&lt;&gt;"manual",$M238&lt;&gt;1)),ROUND(OFFSET($P238,0,AW$13),15-13*ORÇAMENTO!$AF$7)/$H238*OFFSET(ORÇAMENTO!$X$15,ROW(AW238)-ROW(AW$15),0),0)</f>
        <v>0</v>
      </c>
      <c r="AX238" s="632">
        <f ca="1">IF(AND($D238="Serviço",AX$12&lt;&gt;0,$H238&gt;0,OR(AUTOEVENTO&lt;&gt;"manual",$M238&lt;&gt;1)),ROUND(OFFSET($P238,0,AX$13),15-13*ORÇAMENTO!$AF$7)/$H238*OFFSET(ORÇAMENTO!$X$15,ROW(AX238)-ROW(AX$15),0),0)</f>
        <v>0</v>
      </c>
      <c r="AY238" s="632">
        <f ca="1">IF(AND($D238="Serviço",AY$12&lt;&gt;0,$H238&gt;0,OR(AUTOEVENTO&lt;&gt;"manual",$M238&lt;&gt;1)),ROUND(OFFSET($P238,0,AY$13),15-13*ORÇAMENTO!$AF$7)/$H238*OFFSET(ORÇAMENTO!$X$15,ROW(AY238)-ROW(AY$15),0),0)</f>
        <v>0</v>
      </c>
      <c r="AZ238" s="632">
        <f ca="1">IF(AND($D238="Serviço",AZ$12&lt;&gt;0,$H238&gt;0,OR(AUTOEVENTO&lt;&gt;"manual",$M238&lt;&gt;1)),ROUND(OFFSET($P238,0,AZ$13),15-13*ORÇAMENTO!$AF$7)/$H238*OFFSET(ORÇAMENTO!$X$15,ROW(AZ238)-ROW(AZ$15),0),0)</f>
        <v>0</v>
      </c>
      <c r="BA238" s="633">
        <f ca="1">IF(AND($D238="Serviço",BA$12&lt;&gt;0,$H238&gt;0,OR(AUTOEVENTO&lt;&gt;"manual",$M238&lt;&gt;1)),ROUND(OFFSET($P238,0,BA$13),15-13*ORÇAMENTO!$AF$7)/$H238*OFFSET(ORÇAMENTO!$X$15,ROW(BA238)-ROW(BA$15),0),0)</f>
        <v>0</v>
      </c>
      <c r="BC238" s="215">
        <f ca="1">IF($D238&lt;&gt;"Serviço",0,IF(AND(AUTOEVENTO="Manual",$M238=1),0,IF(OFFSET(CRONOPLE!$F$14,$M238,BC$13)="",10^12,OFFSET(CRONOPLE!$F$14,$M238,BC$13))))</f>
        <v>0</v>
      </c>
      <c r="BD238" s="215">
        <f ca="1">IF($D238&lt;&gt;"Serviço",0,IF(AND(AUTOEVENTO="Manual",$M238=1),0,IF(OFFSET(CRONOPLE!$F$14,$M238,BD$13)="",10^12,OFFSET(CRONOPLE!$F$14,$M238,BD$13))))</f>
        <v>0</v>
      </c>
      <c r="BE238" s="215">
        <f ca="1">IF($D238&lt;&gt;"Serviço",0,IF(AND(AUTOEVENTO="Manual",$M238=1),0,IF(OFFSET(CRONOPLE!$F$14,$M238,BE$13)="",10^12,OFFSET(CRONOPLE!$F$14,$M238,BE$13))))</f>
        <v>0</v>
      </c>
      <c r="BF238" s="215">
        <f ca="1">IF($D238&lt;&gt;"Serviço",0,IF(AND(AUTOEVENTO="Manual",$M238=1),0,IF(OFFSET(CRONOPLE!$F$14,$M238,BF$13)="",10^12,OFFSET(CRONOPLE!$F$14,$M238,BF$13))))</f>
        <v>0</v>
      </c>
      <c r="BG238" s="215">
        <f ca="1">IF($D238&lt;&gt;"Serviço",0,IF(AND(AUTOEVENTO="Manual",$M238=1),0,IF(OFFSET(CRONOPLE!$F$14,$M238,BG$13)="",10^12,OFFSET(CRONOPLE!$F$14,$M238,BG$13))))</f>
        <v>0</v>
      </c>
      <c r="BH238" s="215">
        <f ca="1">IF($D238&lt;&gt;"Serviço",0,IF(AND(AUTOEVENTO="Manual",$M238=1),0,IF(OFFSET(CRONOPLE!$F$14,$M238,BH$13)="",10^12,OFFSET(CRONOPLE!$F$14,$M238,BH$13))))</f>
        <v>0</v>
      </c>
      <c r="BI238" s="215">
        <f ca="1">IF($D238&lt;&gt;"Serviço",0,IF(AND(AUTOEVENTO="Manual",$M238=1),0,IF(OFFSET(CRONOPLE!$F$14,$M238,BI$13)="",10^12,OFFSET(CRONOPLE!$F$14,$M238,BI$13))))</f>
        <v>0</v>
      </c>
      <c r="BJ238" s="215">
        <f ca="1">IF($D238&lt;&gt;"Serviço",0,IF(AND(AUTOEVENTO="Manual",$M238=1),0,IF(OFFSET(CRONOPLE!$F$14,$M238,BJ$13)="",10^12,OFFSET(CRONOPLE!$F$14,$M238,BJ$13))))</f>
        <v>0</v>
      </c>
      <c r="BK238" s="215">
        <f ca="1">IF($D238&lt;&gt;"Serviço",0,IF(AND(AUTOEVENTO="Manual",$M238=1),0,IF(OFFSET(CRONOPLE!$F$14,$M238,BK$13)="",10^12,OFFSET(CRONOPLE!$F$14,$M238,BK$13))))</f>
        <v>0</v>
      </c>
      <c r="BL238" s="215">
        <f ca="1">IF($D238&lt;&gt;"Serviço",0,IF(AND(AUTOEVENTO="Manual",$M238=1),0,IF(OFFSET(CRONOPLE!$F$14,$M238,BL$13)="",10^12,OFFSET(CRONOPLE!$F$14,$M238,BL$13))))</f>
        <v>0</v>
      </c>
      <c r="BM238" s="215">
        <f ca="1">IF($D238&lt;&gt;"Serviço",0,IF(AND(AUTOEVENTO="Manual",$M238=1),0,IF(OFFSET(CRONOPLE!$F$14,$M238,BM$13)="",10^12,OFFSET(CRONOPLE!$F$14,$M238,BM$13))))</f>
        <v>0</v>
      </c>
      <c r="BN238" s="215">
        <f ca="1">IF($D238&lt;&gt;"Serviço",0,IF(AND(AUTOEVENTO="Manual",$M238=1),0,IF(OFFSET(CRONOPLE!$F$14,$M238,BN$13)="",10^12,OFFSET(CRONOPLE!$F$14,$M238,BN$13))))</f>
        <v>0</v>
      </c>
      <c r="BO238" s="215">
        <f ca="1">IF($D238&lt;&gt;"Serviço",0,IF(AND(AUTOEVENTO="Manual",$M238=1),0,IF(OFFSET(CRONOPLE!$F$14,$M238,BO$13)="",10^12,OFFSET(CRONOPLE!$F$14,$M238,BO$13))))</f>
        <v>0</v>
      </c>
      <c r="BP238" s="215">
        <f ca="1">IF($D238&lt;&gt;"Serviço",0,IF(AND(AUTOEVENTO="Manual",$M238=1),0,IF(OFFSET(CRONOPLE!$F$14,$M238,BP$13)="",10^12,OFFSET(CRONOPLE!$F$14,$M238,BP$13))))</f>
        <v>0</v>
      </c>
      <c r="BQ238" s="215">
        <f ca="1">IF($D238&lt;&gt;"Serviço",0,IF(AND(AUTOEVENTO="Manual",$M238=1),0,IF(OFFSET(CRONOPLE!$F$14,$M238,BQ$13)="",10^12,OFFSET(CRONOPLE!$F$14,$M238,BQ$13))))</f>
        <v>0</v>
      </c>
      <c r="BR238" s="215">
        <f ca="1">IF($D238&lt;&gt;"Serviço",0,IF(AND(AUTOEVENTO="Manual",$M238=1),0,IF(OFFSET(CRONOPLE!$F$14,$M238,BR$13)="",10^12,OFFSET(CRONOPLE!$F$14,$M238,BR$13))))</f>
        <v>0</v>
      </c>
      <c r="BS238" s="215">
        <f ca="1">IF($D238&lt;&gt;"Serviço",0,IF(AND(AUTOEVENTO="Manual",$M238=1),0,IF(OFFSET(CRONOPLE!$F$14,$M238,BS$13)="",10^12,OFFSET(CRONOPLE!$F$14,$M238,BS$13))))</f>
        <v>0</v>
      </c>
      <c r="BT238" s="215">
        <f ca="1">IF($D238&lt;&gt;"Serviço",0,IF(AND(AUTOEVENTO="Manual",$M238=1),0,IF(OFFSET(CRONOPLE!$F$14,$M238,BT$13)="",10^12,OFFSET(CRONOPLE!$F$14,$M238,BT$13))))</f>
        <v>0</v>
      </c>
      <c r="BV238" s="216">
        <f ca="1">IF($D238&lt;&gt;"Serviço",0,IF(OR(AND(AUTOEVENTO="Manual",$M238=1),$M238&gt;(ROW(PLE.lastrow)-ROW(PLE.firstrow))),0,IF(OFFSET(PLE!$G$14,$M238,BV$13)="",10^12,OFFSET(PLE!$G$14,$M238,BV$13))))</f>
        <v>0</v>
      </c>
      <c r="BW238" s="216">
        <f ca="1">IF($D238&lt;&gt;"Serviço",0,IF(OR(AND(AUTOEVENTO="Manual",$M238=1),$M238&gt;(ROW(PLE.lastrow)-ROW(PLE.firstrow))),0,IF(OFFSET(PLE!$G$14,$M238,BW$13)="",10^12,OFFSET(PLE!$G$14,$M238,BW$13))))</f>
        <v>0</v>
      </c>
      <c r="BX238" s="216">
        <f ca="1">IF($D238&lt;&gt;"Serviço",0,IF(OR(AND(AUTOEVENTO="Manual",$M238=1),$M238&gt;(ROW(PLE.lastrow)-ROW(PLE.firstrow))),0,IF(OFFSET(PLE!$G$14,$M238,BX$13)="",10^12,OFFSET(PLE!$G$14,$M238,BX$13))))</f>
        <v>0</v>
      </c>
      <c r="BY238" s="216">
        <f ca="1">IF($D238&lt;&gt;"Serviço",0,IF(OR(AND(AUTOEVENTO="Manual",$M238=1),$M238&gt;(ROW(PLE.lastrow)-ROW(PLE.firstrow))),0,IF(OFFSET(PLE!$G$14,$M238,BY$13)="",10^12,OFFSET(PLE!$G$14,$M238,BY$13))))</f>
        <v>0</v>
      </c>
      <c r="BZ238" s="216">
        <f ca="1">IF($D238&lt;&gt;"Serviço",0,IF(OR(AND(AUTOEVENTO="Manual",$M238=1),$M238&gt;(ROW(PLE.lastrow)-ROW(PLE.firstrow))),0,IF(OFFSET(PLE!$G$14,$M238,BZ$13)="",10^12,OFFSET(PLE!$G$14,$M238,BZ$13))))</f>
        <v>0</v>
      </c>
      <c r="CA238" s="216">
        <f ca="1">IF($D238&lt;&gt;"Serviço",0,IF(OR(AND(AUTOEVENTO="Manual",$M238=1),$M238&gt;(ROW(PLE.lastrow)-ROW(PLE.firstrow))),0,IF(OFFSET(PLE!$G$14,$M238,CA$13)="",10^12,OFFSET(PLE!$G$14,$M238,CA$13))))</f>
        <v>0</v>
      </c>
      <c r="CB238" s="216">
        <f ca="1">IF($D238&lt;&gt;"Serviço",0,IF(OR(AND(AUTOEVENTO="Manual",$M238=1),$M238&gt;(ROW(PLE.lastrow)-ROW(PLE.firstrow))),0,IF(OFFSET(PLE!$G$14,$M238,CB$13)="",10^12,OFFSET(PLE!$G$14,$M238,CB$13))))</f>
        <v>0</v>
      </c>
      <c r="CC238" s="216">
        <f ca="1">IF($D238&lt;&gt;"Serviço",0,IF(OR(AND(AUTOEVENTO="Manual",$M238=1),$M238&gt;(ROW(PLE.lastrow)-ROW(PLE.firstrow))),0,IF(OFFSET(PLE!$G$14,$M238,CC$13)="",10^12,OFFSET(PLE!$G$14,$M238,CC$13))))</f>
        <v>0</v>
      </c>
      <c r="CD238" s="216">
        <f ca="1">IF($D238&lt;&gt;"Serviço",0,IF(OR(AND(AUTOEVENTO="Manual",$M238=1),$M238&gt;(ROW(PLE.lastrow)-ROW(PLE.firstrow))),0,IF(OFFSET(PLE!$G$14,$M238,CD$13)="",10^12,OFFSET(PLE!$G$14,$M238,CD$13))))</f>
        <v>0</v>
      </c>
      <c r="CE238" s="216">
        <f ca="1">IF($D238&lt;&gt;"Serviço",0,IF(OR(AND(AUTOEVENTO="Manual",$M238=1),$M238&gt;(ROW(PLE.lastrow)-ROW(PLE.firstrow))),0,IF(OFFSET(PLE!$G$14,$M238,CE$13)="",10^12,OFFSET(PLE!$G$14,$M238,CE$13))))</f>
        <v>0</v>
      </c>
      <c r="CF238" s="216">
        <f ca="1">IF($D238&lt;&gt;"Serviço",0,IF(OR(AND(AUTOEVENTO="Manual",$M238=1),$M238&gt;(ROW(PLE.lastrow)-ROW(PLE.firstrow))),0,IF(OFFSET(PLE!$G$14,$M238,CF$13)="",10^12,OFFSET(PLE!$G$14,$M238,CF$13))))</f>
        <v>0</v>
      </c>
      <c r="CG238" s="216">
        <f ca="1">IF($D238&lt;&gt;"Serviço",0,IF(OR(AND(AUTOEVENTO="Manual",$M238=1),$M238&gt;(ROW(PLE.lastrow)-ROW(PLE.firstrow))),0,IF(OFFSET(PLE!$G$14,$M238,CG$13)="",10^12,OFFSET(PLE!$G$14,$M238,CG$13))))</f>
        <v>0</v>
      </c>
      <c r="CH238" s="216">
        <f ca="1">IF($D238&lt;&gt;"Serviço",0,IF(OR(AND(AUTOEVENTO="Manual",$M238=1),$M238&gt;(ROW(PLE.lastrow)-ROW(PLE.firstrow))),0,IF(OFFSET(PLE!$G$14,$M238,CH$13)="",10^12,OFFSET(PLE!$G$14,$M238,CH$13))))</f>
        <v>0</v>
      </c>
      <c r="CI238" s="216">
        <f ca="1">IF($D238&lt;&gt;"Serviço",0,IF(OR(AND(AUTOEVENTO="Manual",$M238=1),$M238&gt;(ROW(PLE.lastrow)-ROW(PLE.firstrow))),0,IF(OFFSET(PLE!$G$14,$M238,CI$13)="",10^12,OFFSET(PLE!$G$14,$M238,CI$13))))</f>
        <v>0</v>
      </c>
      <c r="CJ238" s="216">
        <f ca="1">IF($D238&lt;&gt;"Serviço",0,IF(OR(AND(AUTOEVENTO="Manual",$M238=1),$M238&gt;(ROW(PLE.lastrow)-ROW(PLE.firstrow))),0,IF(OFFSET(PLE!$G$14,$M238,CJ$13)="",10^12,OFFSET(PLE!$G$14,$M238,CJ$13))))</f>
        <v>0</v>
      </c>
      <c r="CK238" s="216">
        <f ca="1">IF($D238&lt;&gt;"Serviço",0,IF(OR(AND(AUTOEVENTO="Manual",$M238=1),$M238&gt;(ROW(PLE.lastrow)-ROW(PLE.firstrow))),0,IF(OFFSET(PLE!$G$14,$M238,CK$13)="",10^12,OFFSET(PLE!$G$14,$M238,CK$13))))</f>
        <v>0</v>
      </c>
      <c r="CL238" s="216">
        <f ca="1">IF($D238&lt;&gt;"Serviço",0,IF(OR(AND(AUTOEVENTO="Manual",$M238=1),$M238&gt;(ROW(PLE.lastrow)-ROW(PLE.firstrow))),0,IF(OFFSET(PLE!$G$14,$M238,CL$13)="",10^12,OFFSET(PLE!$G$14,$M238,CL$13))))</f>
        <v>0</v>
      </c>
      <c r="CM238" s="216">
        <f ca="1">IF($D238&lt;&gt;"Serviço",0,IF(OR(AND(AUTOEVENTO="Manual",$M238=1),$M238&gt;(ROW(PLE.lastrow)-ROW(PLE.firstrow))),0,IF(OFFSET(PLE!$G$14,$M238,CM$13)="",10^12,OFFSET(PLE!$G$14,$M238,CM$13))))</f>
        <v>0</v>
      </c>
    </row>
    <row r="239" spans="1:91" ht="13.2" x14ac:dyDescent="0.25">
      <c r="A239" s="9">
        <f t="shared" ca="1" si="12"/>
        <v>0</v>
      </c>
      <c r="B239" s="9" t="str">
        <f ca="1">OFFSET(ORÇAMENTO!C$15,ROW(B239)-ROW(B$15),0)</f>
        <v>S</v>
      </c>
      <c r="C239" s="9" t="str">
        <f ca="1">OFFSET(ORÇAMENTO!L$15,ROW(C239)-ROW(C$15),0)</f>
        <v/>
      </c>
      <c r="D239" s="145" t="str">
        <f ca="1">OFFSET(ORÇAMENTO!N$15,ROW(D239)-ROW(D$15),0)</f>
        <v>Serviço</v>
      </c>
      <c r="E239" s="205" t="str">
        <f ca="1">OFFSET(ORÇAMENTO!O$15,ROW(E239)-ROW(E$15),0)</f>
        <v>-</v>
      </c>
      <c r="F239" s="206" t="str">
        <f ca="1">OFFSET(ORÇAMENTO!R$15,ROW(F239)-ROW(F$15),0)</f>
        <v>(abra o arquivo 'Referência 05-2024.xls)</v>
      </c>
      <c r="G239" s="207" t="str">
        <f ca="1">IF($D239&lt;&gt;"Serviço","",OFFSET(ORÇAMENTO!S$15,ROW(G239)-ROW(G$15),0))</f>
        <v>-</v>
      </c>
      <c r="H239" s="151">
        <f ca="1">IF($D239&lt;&gt;"Serviço",0,IF(ACOMPANHAMENTO="BM",ROUND(OFFSET(ORÇAMENTO!AJ$15,ROW(H239)-ROW(H$15),0),15-13*ORÇAMENTO!$AF$7),SUMPRODUCT(($Q$12:$AI$12&lt;&gt;"")*ROUND($Q239:$AI239,15-13*ORÇAMENTO!$AF$7))))</f>
        <v>1078.06</v>
      </c>
      <c r="I239" s="650"/>
      <c r="K239" s="208"/>
      <c r="L239" s="209" t="s">
        <v>257</v>
      </c>
      <c r="M239" s="210">
        <f ca="1">IF($D239&lt;&gt;"Serviço","",IF(AUTOEVENTO="manual",$A239,IF(ISERROR(MATCH($A239,$A$15:OFFSET($A239,-1,0),0)),MAX($M$15:OFFSET(M239,-1,0))+1,INDEX($M$15:OFFSET(M239,-1,0),MATCH($A239,$A$15:OFFSET($A239,-1,0),0)))))</f>
        <v>0</v>
      </c>
      <c r="N239" s="211" t="str">
        <f ca="1">IF($D239&lt;&gt;"Serviço","",IF(AUTOEVENTO="Manual",IF($A239=0,"&lt;-- defina o número do agrupador",OFFSET(EVENTOS!$D$14,$A239,0)),OFFSET($F$15,$A239,0)))</f>
        <v>&lt;-- defina o número do agrupador</v>
      </c>
      <c r="O239" s="212"/>
      <c r="Q239" s="212"/>
      <c r="R239" s="213"/>
      <c r="S239" s="213"/>
      <c r="T239" s="213"/>
      <c r="U239" s="213"/>
      <c r="V239" s="213"/>
      <c r="W239" s="213"/>
      <c r="X239" s="213"/>
      <c r="Y239" s="213"/>
      <c r="Z239" s="214"/>
      <c r="AA239" s="213"/>
      <c r="AB239" s="213"/>
      <c r="AC239" s="213"/>
      <c r="AD239" s="213"/>
      <c r="AE239" s="213"/>
      <c r="AF239" s="213"/>
      <c r="AG239" s="213"/>
      <c r="AH239" s="214"/>
      <c r="AJ239" s="631">
        <f ca="1">IF(AND($D239="Serviço",AJ$12&lt;&gt;0,$H239&gt;0,OR(AUTOEVENTO&lt;&gt;"manual",$M239&lt;&gt;1)),ROUND(OFFSET($P239,0,AJ$13),15-13*ORÇAMENTO!$AF$7)/$H239*OFFSET(ORÇAMENTO!$X$15,ROW(AJ239)-ROW(AJ$15),0),0)</f>
        <v>0</v>
      </c>
      <c r="AK239" s="632">
        <f ca="1">IF(AND($D239="Serviço",AK$12&lt;&gt;0,$H239&gt;0,OR(AUTOEVENTO&lt;&gt;"manual",$M239&lt;&gt;1)),ROUND(OFFSET($P239,0,AK$13),15-13*ORÇAMENTO!$AF$7)/$H239*OFFSET(ORÇAMENTO!$X$15,ROW(AK239)-ROW(AK$15),0),0)</f>
        <v>0</v>
      </c>
      <c r="AL239" s="632">
        <f ca="1">IF(AND($D239="Serviço",AL$12&lt;&gt;0,$H239&gt;0,OR(AUTOEVENTO&lt;&gt;"manual",$M239&lt;&gt;1)),ROUND(OFFSET($P239,0,AL$13),15-13*ORÇAMENTO!$AF$7)/$H239*OFFSET(ORÇAMENTO!$X$15,ROW(AL239)-ROW(AL$15),0),0)</f>
        <v>0</v>
      </c>
      <c r="AM239" s="632">
        <f ca="1">IF(AND($D239="Serviço",AM$12&lt;&gt;0,$H239&gt;0,OR(AUTOEVENTO&lt;&gt;"manual",$M239&lt;&gt;1)),ROUND(OFFSET($P239,0,AM$13),15-13*ORÇAMENTO!$AF$7)/$H239*OFFSET(ORÇAMENTO!$X$15,ROW(AM239)-ROW(AM$15),0),0)</f>
        <v>0</v>
      </c>
      <c r="AN239" s="632">
        <f ca="1">IF(AND($D239="Serviço",AN$12&lt;&gt;0,$H239&gt;0,OR(AUTOEVENTO&lt;&gt;"manual",$M239&lt;&gt;1)),ROUND(OFFSET($P239,0,AN$13),15-13*ORÇAMENTO!$AF$7)/$H239*OFFSET(ORÇAMENTO!$X$15,ROW(AN239)-ROW(AN$15),0),0)</f>
        <v>0</v>
      </c>
      <c r="AO239" s="632">
        <f ca="1">IF(AND($D239="Serviço",AO$12&lt;&gt;0,$H239&gt;0,OR(AUTOEVENTO&lt;&gt;"manual",$M239&lt;&gt;1)),ROUND(OFFSET($P239,0,AO$13),15-13*ORÇAMENTO!$AF$7)/$H239*OFFSET(ORÇAMENTO!$X$15,ROW(AO239)-ROW(AO$15),0),0)</f>
        <v>0</v>
      </c>
      <c r="AP239" s="632">
        <f ca="1">IF(AND($D239="Serviço",AP$12&lt;&gt;0,$H239&gt;0,OR(AUTOEVENTO&lt;&gt;"manual",$M239&lt;&gt;1)),ROUND(OFFSET($P239,0,AP$13),15-13*ORÇAMENTO!$AF$7)/$H239*OFFSET(ORÇAMENTO!$X$15,ROW(AP239)-ROW(AP$15),0),0)</f>
        <v>0</v>
      </c>
      <c r="AQ239" s="632">
        <f ca="1">IF(AND($D239="Serviço",AQ$12&lt;&gt;0,$H239&gt;0,OR(AUTOEVENTO&lt;&gt;"manual",$M239&lt;&gt;1)),ROUND(OFFSET($P239,0,AQ$13),15-13*ORÇAMENTO!$AF$7)/$H239*OFFSET(ORÇAMENTO!$X$15,ROW(AQ239)-ROW(AQ$15),0),0)</f>
        <v>0</v>
      </c>
      <c r="AR239" s="632">
        <f ca="1">IF(AND($D239="Serviço",AR$12&lt;&gt;0,$H239&gt;0,OR(AUTOEVENTO&lt;&gt;"manual",$M239&lt;&gt;1)),ROUND(OFFSET($P239,0,AR$13),15-13*ORÇAMENTO!$AF$7)/$H239*OFFSET(ORÇAMENTO!$X$15,ROW(AR239)-ROW(AR$15),0),0)</f>
        <v>0</v>
      </c>
      <c r="AS239" s="633">
        <f ca="1">IF(AND($D239="Serviço",AS$12&lt;&gt;0,$H239&gt;0,OR(AUTOEVENTO&lt;&gt;"manual",$M239&lt;&gt;1)),ROUND(OFFSET($P239,0,AS$13),15-13*ORÇAMENTO!$AF$7)/$H239*OFFSET(ORÇAMENTO!$X$15,ROW(AS239)-ROW(AS$15),0),0)</f>
        <v>0</v>
      </c>
      <c r="AT239" s="632">
        <f ca="1">IF(AND($D239="Serviço",AT$12&lt;&gt;0,$H239&gt;0,OR(AUTOEVENTO&lt;&gt;"manual",$M239&lt;&gt;1)),ROUND(OFFSET($P239,0,AT$13),15-13*ORÇAMENTO!$AF$7)/$H239*OFFSET(ORÇAMENTO!$X$15,ROW(AT239)-ROW(AT$15),0),0)</f>
        <v>0</v>
      </c>
      <c r="AU239" s="632">
        <f ca="1">IF(AND($D239="Serviço",AU$12&lt;&gt;0,$H239&gt;0,OR(AUTOEVENTO&lt;&gt;"manual",$M239&lt;&gt;1)),ROUND(OFFSET($P239,0,AU$13),15-13*ORÇAMENTO!$AF$7)/$H239*OFFSET(ORÇAMENTO!$X$15,ROW(AU239)-ROW(AU$15),0),0)</f>
        <v>0</v>
      </c>
      <c r="AV239" s="632">
        <f ca="1">IF(AND($D239="Serviço",AV$12&lt;&gt;0,$H239&gt;0,OR(AUTOEVENTO&lt;&gt;"manual",$M239&lt;&gt;1)),ROUND(OFFSET($P239,0,AV$13),15-13*ORÇAMENTO!$AF$7)/$H239*OFFSET(ORÇAMENTO!$X$15,ROW(AV239)-ROW(AV$15),0),0)</f>
        <v>0</v>
      </c>
      <c r="AW239" s="632">
        <f ca="1">IF(AND($D239="Serviço",AW$12&lt;&gt;0,$H239&gt;0,OR(AUTOEVENTO&lt;&gt;"manual",$M239&lt;&gt;1)),ROUND(OFFSET($P239,0,AW$13),15-13*ORÇAMENTO!$AF$7)/$H239*OFFSET(ORÇAMENTO!$X$15,ROW(AW239)-ROW(AW$15),0),0)</f>
        <v>0</v>
      </c>
      <c r="AX239" s="632">
        <f ca="1">IF(AND($D239="Serviço",AX$12&lt;&gt;0,$H239&gt;0,OR(AUTOEVENTO&lt;&gt;"manual",$M239&lt;&gt;1)),ROUND(OFFSET($P239,0,AX$13),15-13*ORÇAMENTO!$AF$7)/$H239*OFFSET(ORÇAMENTO!$X$15,ROW(AX239)-ROW(AX$15),0),0)</f>
        <v>0</v>
      </c>
      <c r="AY239" s="632">
        <f ca="1">IF(AND($D239="Serviço",AY$12&lt;&gt;0,$H239&gt;0,OR(AUTOEVENTO&lt;&gt;"manual",$M239&lt;&gt;1)),ROUND(OFFSET($P239,0,AY$13),15-13*ORÇAMENTO!$AF$7)/$H239*OFFSET(ORÇAMENTO!$X$15,ROW(AY239)-ROW(AY$15),0),0)</f>
        <v>0</v>
      </c>
      <c r="AZ239" s="632">
        <f ca="1">IF(AND($D239="Serviço",AZ$12&lt;&gt;0,$H239&gt;0,OR(AUTOEVENTO&lt;&gt;"manual",$M239&lt;&gt;1)),ROUND(OFFSET($P239,0,AZ$13),15-13*ORÇAMENTO!$AF$7)/$H239*OFFSET(ORÇAMENTO!$X$15,ROW(AZ239)-ROW(AZ$15),0),0)</f>
        <v>0</v>
      </c>
      <c r="BA239" s="633">
        <f ca="1">IF(AND($D239="Serviço",BA$12&lt;&gt;0,$H239&gt;0,OR(AUTOEVENTO&lt;&gt;"manual",$M239&lt;&gt;1)),ROUND(OFFSET($P239,0,BA$13),15-13*ORÇAMENTO!$AF$7)/$H239*OFFSET(ORÇAMENTO!$X$15,ROW(BA239)-ROW(BA$15),0),0)</f>
        <v>0</v>
      </c>
      <c r="BC239" s="215">
        <f ca="1">IF($D239&lt;&gt;"Serviço",0,IF(AND(AUTOEVENTO="Manual",$M239=1),0,IF(OFFSET(CRONOPLE!$F$14,$M239,BC$13)="",10^12,OFFSET(CRONOPLE!$F$14,$M239,BC$13))))</f>
        <v>1000000000000</v>
      </c>
      <c r="BD239" s="215">
        <f ca="1">IF($D239&lt;&gt;"Serviço",0,IF(AND(AUTOEVENTO="Manual",$M239=1),0,IF(OFFSET(CRONOPLE!$F$14,$M239,BD$13)="",10^12,OFFSET(CRONOPLE!$F$14,$M239,BD$13))))</f>
        <v>1000000000000</v>
      </c>
      <c r="BE239" s="215">
        <f ca="1">IF($D239&lt;&gt;"Serviço",0,IF(AND(AUTOEVENTO="Manual",$M239=1),0,IF(OFFSET(CRONOPLE!$F$14,$M239,BE$13)="",10^12,OFFSET(CRONOPLE!$F$14,$M239,BE$13))))</f>
        <v>1000000000000</v>
      </c>
      <c r="BF239" s="215">
        <f ca="1">IF($D239&lt;&gt;"Serviço",0,IF(AND(AUTOEVENTO="Manual",$M239=1),0,IF(OFFSET(CRONOPLE!$F$14,$M239,BF$13)="",10^12,OFFSET(CRONOPLE!$F$14,$M239,BF$13))))</f>
        <v>1000000000000</v>
      </c>
      <c r="BG239" s="215">
        <f ca="1">IF($D239&lt;&gt;"Serviço",0,IF(AND(AUTOEVENTO="Manual",$M239=1),0,IF(OFFSET(CRONOPLE!$F$14,$M239,BG$13)="",10^12,OFFSET(CRONOPLE!$F$14,$M239,BG$13))))</f>
        <v>1000000000000</v>
      </c>
      <c r="BH239" s="215">
        <f ca="1">IF($D239&lt;&gt;"Serviço",0,IF(AND(AUTOEVENTO="Manual",$M239=1),0,IF(OFFSET(CRONOPLE!$F$14,$M239,BH$13)="",10^12,OFFSET(CRONOPLE!$F$14,$M239,BH$13))))</f>
        <v>1000000000000</v>
      </c>
      <c r="BI239" s="215">
        <f ca="1">IF($D239&lt;&gt;"Serviço",0,IF(AND(AUTOEVENTO="Manual",$M239=1),0,IF(OFFSET(CRONOPLE!$F$14,$M239,BI$13)="",10^12,OFFSET(CRONOPLE!$F$14,$M239,BI$13))))</f>
        <v>1000000000000</v>
      </c>
      <c r="BJ239" s="215">
        <f ca="1">IF($D239&lt;&gt;"Serviço",0,IF(AND(AUTOEVENTO="Manual",$M239=1),0,IF(OFFSET(CRONOPLE!$F$14,$M239,BJ$13)="",10^12,OFFSET(CRONOPLE!$F$14,$M239,BJ$13))))</f>
        <v>1000000000000</v>
      </c>
      <c r="BK239" s="215">
        <f ca="1">IF($D239&lt;&gt;"Serviço",0,IF(AND(AUTOEVENTO="Manual",$M239=1),0,IF(OFFSET(CRONOPLE!$F$14,$M239,BK$13)="",10^12,OFFSET(CRONOPLE!$F$14,$M239,BK$13))))</f>
        <v>1000000000000</v>
      </c>
      <c r="BL239" s="215">
        <f ca="1">IF($D239&lt;&gt;"Serviço",0,IF(AND(AUTOEVENTO="Manual",$M239=1),0,IF(OFFSET(CRONOPLE!$F$14,$M239,BL$13)="",10^12,OFFSET(CRONOPLE!$F$14,$M239,BL$13))))</f>
        <v>1000000000000</v>
      </c>
      <c r="BM239" s="215">
        <f ca="1">IF($D239&lt;&gt;"Serviço",0,IF(AND(AUTOEVENTO="Manual",$M239=1),0,IF(OFFSET(CRONOPLE!$F$14,$M239,BM$13)="",10^12,OFFSET(CRONOPLE!$F$14,$M239,BM$13))))</f>
        <v>1000000000000</v>
      </c>
      <c r="BN239" s="215">
        <f ca="1">IF($D239&lt;&gt;"Serviço",0,IF(AND(AUTOEVENTO="Manual",$M239=1),0,IF(OFFSET(CRONOPLE!$F$14,$M239,BN$13)="",10^12,OFFSET(CRONOPLE!$F$14,$M239,BN$13))))</f>
        <v>1000000000000</v>
      </c>
      <c r="BO239" s="215">
        <f ca="1">IF($D239&lt;&gt;"Serviço",0,IF(AND(AUTOEVENTO="Manual",$M239=1),0,IF(OFFSET(CRONOPLE!$F$14,$M239,BO$13)="",10^12,OFFSET(CRONOPLE!$F$14,$M239,BO$13))))</f>
        <v>1000000000000</v>
      </c>
      <c r="BP239" s="215">
        <f ca="1">IF($D239&lt;&gt;"Serviço",0,IF(AND(AUTOEVENTO="Manual",$M239=1),0,IF(OFFSET(CRONOPLE!$F$14,$M239,BP$13)="",10^12,OFFSET(CRONOPLE!$F$14,$M239,BP$13))))</f>
        <v>1000000000000</v>
      </c>
      <c r="BQ239" s="215">
        <f ca="1">IF($D239&lt;&gt;"Serviço",0,IF(AND(AUTOEVENTO="Manual",$M239=1),0,IF(OFFSET(CRONOPLE!$F$14,$M239,BQ$13)="",10^12,OFFSET(CRONOPLE!$F$14,$M239,BQ$13))))</f>
        <v>1000000000000</v>
      </c>
      <c r="BR239" s="215">
        <f ca="1">IF($D239&lt;&gt;"Serviço",0,IF(AND(AUTOEVENTO="Manual",$M239=1),0,IF(OFFSET(CRONOPLE!$F$14,$M239,BR$13)="",10^12,OFFSET(CRONOPLE!$F$14,$M239,BR$13))))</f>
        <v>1000000000000</v>
      </c>
      <c r="BS239" s="215">
        <f ca="1">IF($D239&lt;&gt;"Serviço",0,IF(AND(AUTOEVENTO="Manual",$M239=1),0,IF(OFFSET(CRONOPLE!$F$14,$M239,BS$13)="",10^12,OFFSET(CRONOPLE!$F$14,$M239,BS$13))))</f>
        <v>1000000000000</v>
      </c>
      <c r="BT239" s="215">
        <f ca="1">IF($D239&lt;&gt;"Serviço",0,IF(AND(AUTOEVENTO="Manual",$M239=1),0,IF(OFFSET(CRONOPLE!$F$14,$M239,BT$13)="",10^12,OFFSET(CRONOPLE!$F$14,$M239,BT$13))))</f>
        <v>1000000000000</v>
      </c>
      <c r="BV239" s="216">
        <f ca="1">IF($D239&lt;&gt;"Serviço",0,IF(OR(AND(AUTOEVENTO="Manual",$M239=1),$M239&gt;(ROW(PLE.lastrow)-ROW(PLE.firstrow))),0,IF(OFFSET(PLE!$G$14,$M239,BV$13)="",10^12,OFFSET(PLE!$G$14,$M239,BV$13))))</f>
        <v>1000000000000</v>
      </c>
      <c r="BW239" s="216">
        <f ca="1">IF($D239&lt;&gt;"Serviço",0,IF(OR(AND(AUTOEVENTO="Manual",$M239=1),$M239&gt;(ROW(PLE.lastrow)-ROW(PLE.firstrow))),0,IF(OFFSET(PLE!$G$14,$M239,BW$13)="",10^12,OFFSET(PLE!$G$14,$M239,BW$13))))</f>
        <v>1000000000000</v>
      </c>
      <c r="BX239" s="216">
        <f ca="1">IF($D239&lt;&gt;"Serviço",0,IF(OR(AND(AUTOEVENTO="Manual",$M239=1),$M239&gt;(ROW(PLE.lastrow)-ROW(PLE.firstrow))),0,IF(OFFSET(PLE!$G$14,$M239,BX$13)="",10^12,OFFSET(PLE!$G$14,$M239,BX$13))))</f>
        <v>1000000000000</v>
      </c>
      <c r="BY239" s="216">
        <f ca="1">IF($D239&lt;&gt;"Serviço",0,IF(OR(AND(AUTOEVENTO="Manual",$M239=1),$M239&gt;(ROW(PLE.lastrow)-ROW(PLE.firstrow))),0,IF(OFFSET(PLE!$G$14,$M239,BY$13)="",10^12,OFFSET(PLE!$G$14,$M239,BY$13))))</f>
        <v>1000000000000</v>
      </c>
      <c r="BZ239" s="216">
        <f ca="1">IF($D239&lt;&gt;"Serviço",0,IF(OR(AND(AUTOEVENTO="Manual",$M239=1),$M239&gt;(ROW(PLE.lastrow)-ROW(PLE.firstrow))),0,IF(OFFSET(PLE!$G$14,$M239,BZ$13)="",10^12,OFFSET(PLE!$G$14,$M239,BZ$13))))</f>
        <v>1000000000000</v>
      </c>
      <c r="CA239" s="216">
        <f ca="1">IF($D239&lt;&gt;"Serviço",0,IF(OR(AND(AUTOEVENTO="Manual",$M239=1),$M239&gt;(ROW(PLE.lastrow)-ROW(PLE.firstrow))),0,IF(OFFSET(PLE!$G$14,$M239,CA$13)="",10^12,OFFSET(PLE!$G$14,$M239,CA$13))))</f>
        <v>1000000000000</v>
      </c>
      <c r="CB239" s="216">
        <f ca="1">IF($D239&lt;&gt;"Serviço",0,IF(OR(AND(AUTOEVENTO="Manual",$M239=1),$M239&gt;(ROW(PLE.lastrow)-ROW(PLE.firstrow))),0,IF(OFFSET(PLE!$G$14,$M239,CB$13)="",10^12,OFFSET(PLE!$G$14,$M239,CB$13))))</f>
        <v>1000000000000</v>
      </c>
      <c r="CC239" s="216">
        <f ca="1">IF($D239&lt;&gt;"Serviço",0,IF(OR(AND(AUTOEVENTO="Manual",$M239=1),$M239&gt;(ROW(PLE.lastrow)-ROW(PLE.firstrow))),0,IF(OFFSET(PLE!$G$14,$M239,CC$13)="",10^12,OFFSET(PLE!$G$14,$M239,CC$13))))</f>
        <v>1000000000000</v>
      </c>
      <c r="CD239" s="216">
        <f ca="1">IF($D239&lt;&gt;"Serviço",0,IF(OR(AND(AUTOEVENTO="Manual",$M239=1),$M239&gt;(ROW(PLE.lastrow)-ROW(PLE.firstrow))),0,IF(OFFSET(PLE!$G$14,$M239,CD$13)="",10^12,OFFSET(PLE!$G$14,$M239,CD$13))))</f>
        <v>1000000000000</v>
      </c>
      <c r="CE239" s="216">
        <f ca="1">IF($D239&lt;&gt;"Serviço",0,IF(OR(AND(AUTOEVENTO="Manual",$M239=1),$M239&gt;(ROW(PLE.lastrow)-ROW(PLE.firstrow))),0,IF(OFFSET(PLE!$G$14,$M239,CE$13)="",10^12,OFFSET(PLE!$G$14,$M239,CE$13))))</f>
        <v>1000000000000</v>
      </c>
      <c r="CF239" s="216">
        <f ca="1">IF($D239&lt;&gt;"Serviço",0,IF(OR(AND(AUTOEVENTO="Manual",$M239=1),$M239&gt;(ROW(PLE.lastrow)-ROW(PLE.firstrow))),0,IF(OFFSET(PLE!$G$14,$M239,CF$13)="",10^12,OFFSET(PLE!$G$14,$M239,CF$13))))</f>
        <v>1000000000000</v>
      </c>
      <c r="CG239" s="216">
        <f ca="1">IF($D239&lt;&gt;"Serviço",0,IF(OR(AND(AUTOEVENTO="Manual",$M239=1),$M239&gt;(ROW(PLE.lastrow)-ROW(PLE.firstrow))),0,IF(OFFSET(PLE!$G$14,$M239,CG$13)="",10^12,OFFSET(PLE!$G$14,$M239,CG$13))))</f>
        <v>1000000000000</v>
      </c>
      <c r="CH239" s="216">
        <f ca="1">IF($D239&lt;&gt;"Serviço",0,IF(OR(AND(AUTOEVENTO="Manual",$M239=1),$M239&gt;(ROW(PLE.lastrow)-ROW(PLE.firstrow))),0,IF(OFFSET(PLE!$G$14,$M239,CH$13)="",10^12,OFFSET(PLE!$G$14,$M239,CH$13))))</f>
        <v>1000000000000</v>
      </c>
      <c r="CI239" s="216">
        <f ca="1">IF($D239&lt;&gt;"Serviço",0,IF(OR(AND(AUTOEVENTO="Manual",$M239=1),$M239&gt;(ROW(PLE.lastrow)-ROW(PLE.firstrow))),0,IF(OFFSET(PLE!$G$14,$M239,CI$13)="",10^12,OFFSET(PLE!$G$14,$M239,CI$13))))</f>
        <v>1000000000000</v>
      </c>
      <c r="CJ239" s="216">
        <f ca="1">IF($D239&lt;&gt;"Serviço",0,IF(OR(AND(AUTOEVENTO="Manual",$M239=1),$M239&gt;(ROW(PLE.lastrow)-ROW(PLE.firstrow))),0,IF(OFFSET(PLE!$G$14,$M239,CJ$13)="",10^12,OFFSET(PLE!$G$14,$M239,CJ$13))))</f>
        <v>1000000000000</v>
      </c>
      <c r="CK239" s="216">
        <f ca="1">IF($D239&lt;&gt;"Serviço",0,IF(OR(AND(AUTOEVENTO="Manual",$M239=1),$M239&gt;(ROW(PLE.lastrow)-ROW(PLE.firstrow))),0,IF(OFFSET(PLE!$G$14,$M239,CK$13)="",10^12,OFFSET(PLE!$G$14,$M239,CK$13))))</f>
        <v>1000000000000</v>
      </c>
      <c r="CL239" s="216">
        <f ca="1">IF($D239&lt;&gt;"Serviço",0,IF(OR(AND(AUTOEVENTO="Manual",$M239=1),$M239&gt;(ROW(PLE.lastrow)-ROW(PLE.firstrow))),0,IF(OFFSET(PLE!$G$14,$M239,CL$13)="",10^12,OFFSET(PLE!$G$14,$M239,CL$13))))</f>
        <v>1000000000000</v>
      </c>
      <c r="CM239" s="216">
        <f ca="1">IF($D239&lt;&gt;"Serviço",0,IF(OR(AND(AUTOEVENTO="Manual",$M239=1),$M239&gt;(ROW(PLE.lastrow)-ROW(PLE.firstrow))),0,IF(OFFSET(PLE!$G$14,$M239,CM$13)="",10^12,OFFSET(PLE!$G$14,$M239,CM$13))))</f>
        <v>1000000000000</v>
      </c>
    </row>
    <row r="240" spans="1:91" ht="13.2" x14ac:dyDescent="0.25">
      <c r="A240" s="9">
        <f t="shared" ca="1" si="12"/>
        <v>0</v>
      </c>
      <c r="B240" s="9" t="str">
        <f ca="1">OFFSET(ORÇAMENTO!C$15,ROW(B240)-ROW(B$15),0)</f>
        <v>S</v>
      </c>
      <c r="C240" s="9" t="str">
        <f ca="1">OFFSET(ORÇAMENTO!L$15,ROW(C240)-ROW(C$15),0)</f>
        <v/>
      </c>
      <c r="D240" s="145" t="str">
        <f ca="1">OFFSET(ORÇAMENTO!N$15,ROW(D240)-ROW(D$15),0)</f>
        <v>Serviço</v>
      </c>
      <c r="E240" s="205" t="str">
        <f ca="1">OFFSET(ORÇAMENTO!O$15,ROW(E240)-ROW(E$15),0)</f>
        <v>-</v>
      </c>
      <c r="F240" s="206" t="str">
        <f ca="1">OFFSET(ORÇAMENTO!R$15,ROW(F240)-ROW(F$15),0)</f>
        <v>(abra o arquivo 'Referência 05-2024.xls)</v>
      </c>
      <c r="G240" s="207" t="str">
        <f ca="1">IF($D240&lt;&gt;"Serviço","",OFFSET(ORÇAMENTO!S$15,ROW(G240)-ROW(G$15),0))</f>
        <v>-</v>
      </c>
      <c r="H240" s="151">
        <f ca="1">IF($D240&lt;&gt;"Serviço",0,IF(ACOMPANHAMENTO="BM",ROUND(OFFSET(ORÇAMENTO!AJ$15,ROW(H240)-ROW(H$15),0),15-13*ORÇAMENTO!$AF$7),SUMPRODUCT(($Q$12:$AI$12&lt;&gt;"")*ROUND($Q240:$AI240,15-13*ORÇAMENTO!$AF$7))))</f>
        <v>60.03</v>
      </c>
      <c r="I240" s="650"/>
      <c r="K240" s="208"/>
      <c r="L240" s="209" t="s">
        <v>257</v>
      </c>
      <c r="M240" s="210">
        <f ca="1">IF($D240&lt;&gt;"Serviço","",IF(AUTOEVENTO="manual",$A240,IF(ISERROR(MATCH($A240,$A$15:OFFSET($A240,-1,0),0)),MAX($M$15:OFFSET(M240,-1,0))+1,INDEX($M$15:OFFSET(M240,-1,0),MATCH($A240,$A$15:OFFSET($A240,-1,0),0)))))</f>
        <v>0</v>
      </c>
      <c r="N240" s="211" t="str">
        <f ca="1">IF($D240&lt;&gt;"Serviço","",IF(AUTOEVENTO="Manual",IF($A240=0,"&lt;-- defina o número do agrupador",OFFSET(EVENTOS!$D$14,$A240,0)),OFFSET($F$15,$A240,0)))</f>
        <v>&lt;-- defina o número do agrupador</v>
      </c>
      <c r="O240" s="212"/>
      <c r="Q240" s="212"/>
      <c r="R240" s="213"/>
      <c r="S240" s="213"/>
      <c r="T240" s="213"/>
      <c r="U240" s="213"/>
      <c r="V240" s="213"/>
      <c r="W240" s="213"/>
      <c r="X240" s="213"/>
      <c r="Y240" s="213"/>
      <c r="Z240" s="214"/>
      <c r="AA240" s="213"/>
      <c r="AB240" s="213"/>
      <c r="AC240" s="213"/>
      <c r="AD240" s="213"/>
      <c r="AE240" s="213"/>
      <c r="AF240" s="213"/>
      <c r="AG240" s="213"/>
      <c r="AH240" s="214"/>
      <c r="AJ240" s="631">
        <f ca="1">IF(AND($D240="Serviço",AJ$12&lt;&gt;0,$H240&gt;0,OR(AUTOEVENTO&lt;&gt;"manual",$M240&lt;&gt;1)),ROUND(OFFSET($P240,0,AJ$13),15-13*ORÇAMENTO!$AF$7)/$H240*OFFSET(ORÇAMENTO!$X$15,ROW(AJ240)-ROW(AJ$15),0),0)</f>
        <v>0</v>
      </c>
      <c r="AK240" s="632">
        <f ca="1">IF(AND($D240="Serviço",AK$12&lt;&gt;0,$H240&gt;0,OR(AUTOEVENTO&lt;&gt;"manual",$M240&lt;&gt;1)),ROUND(OFFSET($P240,0,AK$13),15-13*ORÇAMENTO!$AF$7)/$H240*OFFSET(ORÇAMENTO!$X$15,ROW(AK240)-ROW(AK$15),0),0)</f>
        <v>0</v>
      </c>
      <c r="AL240" s="632">
        <f ca="1">IF(AND($D240="Serviço",AL$12&lt;&gt;0,$H240&gt;0,OR(AUTOEVENTO&lt;&gt;"manual",$M240&lt;&gt;1)),ROUND(OFFSET($P240,0,AL$13),15-13*ORÇAMENTO!$AF$7)/$H240*OFFSET(ORÇAMENTO!$X$15,ROW(AL240)-ROW(AL$15),0),0)</f>
        <v>0</v>
      </c>
      <c r="AM240" s="632">
        <f ca="1">IF(AND($D240="Serviço",AM$12&lt;&gt;0,$H240&gt;0,OR(AUTOEVENTO&lt;&gt;"manual",$M240&lt;&gt;1)),ROUND(OFFSET($P240,0,AM$13),15-13*ORÇAMENTO!$AF$7)/$H240*OFFSET(ORÇAMENTO!$X$15,ROW(AM240)-ROW(AM$15),0),0)</f>
        <v>0</v>
      </c>
      <c r="AN240" s="632">
        <f ca="1">IF(AND($D240="Serviço",AN$12&lt;&gt;0,$H240&gt;0,OR(AUTOEVENTO&lt;&gt;"manual",$M240&lt;&gt;1)),ROUND(OFFSET($P240,0,AN$13),15-13*ORÇAMENTO!$AF$7)/$H240*OFFSET(ORÇAMENTO!$X$15,ROW(AN240)-ROW(AN$15),0),0)</f>
        <v>0</v>
      </c>
      <c r="AO240" s="632">
        <f ca="1">IF(AND($D240="Serviço",AO$12&lt;&gt;0,$H240&gt;0,OR(AUTOEVENTO&lt;&gt;"manual",$M240&lt;&gt;1)),ROUND(OFFSET($P240,0,AO$13),15-13*ORÇAMENTO!$AF$7)/$H240*OFFSET(ORÇAMENTO!$X$15,ROW(AO240)-ROW(AO$15),0),0)</f>
        <v>0</v>
      </c>
      <c r="AP240" s="632">
        <f ca="1">IF(AND($D240="Serviço",AP$12&lt;&gt;0,$H240&gt;0,OR(AUTOEVENTO&lt;&gt;"manual",$M240&lt;&gt;1)),ROUND(OFFSET($P240,0,AP$13),15-13*ORÇAMENTO!$AF$7)/$H240*OFFSET(ORÇAMENTO!$X$15,ROW(AP240)-ROW(AP$15),0),0)</f>
        <v>0</v>
      </c>
      <c r="AQ240" s="632">
        <f ca="1">IF(AND($D240="Serviço",AQ$12&lt;&gt;0,$H240&gt;0,OR(AUTOEVENTO&lt;&gt;"manual",$M240&lt;&gt;1)),ROUND(OFFSET($P240,0,AQ$13),15-13*ORÇAMENTO!$AF$7)/$H240*OFFSET(ORÇAMENTO!$X$15,ROW(AQ240)-ROW(AQ$15),0),0)</f>
        <v>0</v>
      </c>
      <c r="AR240" s="632">
        <f ca="1">IF(AND($D240="Serviço",AR$12&lt;&gt;0,$H240&gt;0,OR(AUTOEVENTO&lt;&gt;"manual",$M240&lt;&gt;1)),ROUND(OFFSET($P240,0,AR$13),15-13*ORÇAMENTO!$AF$7)/$H240*OFFSET(ORÇAMENTO!$X$15,ROW(AR240)-ROW(AR$15),0),0)</f>
        <v>0</v>
      </c>
      <c r="AS240" s="633">
        <f ca="1">IF(AND($D240="Serviço",AS$12&lt;&gt;0,$H240&gt;0,OR(AUTOEVENTO&lt;&gt;"manual",$M240&lt;&gt;1)),ROUND(OFFSET($P240,0,AS$13),15-13*ORÇAMENTO!$AF$7)/$H240*OFFSET(ORÇAMENTO!$X$15,ROW(AS240)-ROW(AS$15),0),0)</f>
        <v>0</v>
      </c>
      <c r="AT240" s="632">
        <f ca="1">IF(AND($D240="Serviço",AT$12&lt;&gt;0,$H240&gt;0,OR(AUTOEVENTO&lt;&gt;"manual",$M240&lt;&gt;1)),ROUND(OFFSET($P240,0,AT$13),15-13*ORÇAMENTO!$AF$7)/$H240*OFFSET(ORÇAMENTO!$X$15,ROW(AT240)-ROW(AT$15),0),0)</f>
        <v>0</v>
      </c>
      <c r="AU240" s="632">
        <f ca="1">IF(AND($D240="Serviço",AU$12&lt;&gt;0,$H240&gt;0,OR(AUTOEVENTO&lt;&gt;"manual",$M240&lt;&gt;1)),ROUND(OFFSET($P240,0,AU$13),15-13*ORÇAMENTO!$AF$7)/$H240*OFFSET(ORÇAMENTO!$X$15,ROW(AU240)-ROW(AU$15),0),0)</f>
        <v>0</v>
      </c>
      <c r="AV240" s="632">
        <f ca="1">IF(AND($D240="Serviço",AV$12&lt;&gt;0,$H240&gt;0,OR(AUTOEVENTO&lt;&gt;"manual",$M240&lt;&gt;1)),ROUND(OFFSET($P240,0,AV$13),15-13*ORÇAMENTO!$AF$7)/$H240*OFFSET(ORÇAMENTO!$X$15,ROW(AV240)-ROW(AV$15),0),0)</f>
        <v>0</v>
      </c>
      <c r="AW240" s="632">
        <f ca="1">IF(AND($D240="Serviço",AW$12&lt;&gt;0,$H240&gt;0,OR(AUTOEVENTO&lt;&gt;"manual",$M240&lt;&gt;1)),ROUND(OFFSET($P240,0,AW$13),15-13*ORÇAMENTO!$AF$7)/$H240*OFFSET(ORÇAMENTO!$X$15,ROW(AW240)-ROW(AW$15),0),0)</f>
        <v>0</v>
      </c>
      <c r="AX240" s="632">
        <f ca="1">IF(AND($D240="Serviço",AX$12&lt;&gt;0,$H240&gt;0,OR(AUTOEVENTO&lt;&gt;"manual",$M240&lt;&gt;1)),ROUND(OFFSET($P240,0,AX$13),15-13*ORÇAMENTO!$AF$7)/$H240*OFFSET(ORÇAMENTO!$X$15,ROW(AX240)-ROW(AX$15),0),0)</f>
        <v>0</v>
      </c>
      <c r="AY240" s="632">
        <f ca="1">IF(AND($D240="Serviço",AY$12&lt;&gt;0,$H240&gt;0,OR(AUTOEVENTO&lt;&gt;"manual",$M240&lt;&gt;1)),ROUND(OFFSET($P240,0,AY$13),15-13*ORÇAMENTO!$AF$7)/$H240*OFFSET(ORÇAMENTO!$X$15,ROW(AY240)-ROW(AY$15),0),0)</f>
        <v>0</v>
      </c>
      <c r="AZ240" s="632">
        <f ca="1">IF(AND($D240="Serviço",AZ$12&lt;&gt;0,$H240&gt;0,OR(AUTOEVENTO&lt;&gt;"manual",$M240&lt;&gt;1)),ROUND(OFFSET($P240,0,AZ$13),15-13*ORÇAMENTO!$AF$7)/$H240*OFFSET(ORÇAMENTO!$X$15,ROW(AZ240)-ROW(AZ$15),0),0)</f>
        <v>0</v>
      </c>
      <c r="BA240" s="633">
        <f ca="1">IF(AND($D240="Serviço",BA$12&lt;&gt;0,$H240&gt;0,OR(AUTOEVENTO&lt;&gt;"manual",$M240&lt;&gt;1)),ROUND(OFFSET($P240,0,BA$13),15-13*ORÇAMENTO!$AF$7)/$H240*OFFSET(ORÇAMENTO!$X$15,ROW(BA240)-ROW(BA$15),0),0)</f>
        <v>0</v>
      </c>
      <c r="BC240" s="215">
        <f ca="1">IF($D240&lt;&gt;"Serviço",0,IF(AND(AUTOEVENTO="Manual",$M240=1),0,IF(OFFSET(CRONOPLE!$F$14,$M240,BC$13)="",10^12,OFFSET(CRONOPLE!$F$14,$M240,BC$13))))</f>
        <v>1000000000000</v>
      </c>
      <c r="BD240" s="215">
        <f ca="1">IF($D240&lt;&gt;"Serviço",0,IF(AND(AUTOEVENTO="Manual",$M240=1),0,IF(OFFSET(CRONOPLE!$F$14,$M240,BD$13)="",10^12,OFFSET(CRONOPLE!$F$14,$M240,BD$13))))</f>
        <v>1000000000000</v>
      </c>
      <c r="BE240" s="215">
        <f ca="1">IF($D240&lt;&gt;"Serviço",0,IF(AND(AUTOEVENTO="Manual",$M240=1),0,IF(OFFSET(CRONOPLE!$F$14,$M240,BE$13)="",10^12,OFFSET(CRONOPLE!$F$14,$M240,BE$13))))</f>
        <v>1000000000000</v>
      </c>
      <c r="BF240" s="215">
        <f ca="1">IF($D240&lt;&gt;"Serviço",0,IF(AND(AUTOEVENTO="Manual",$M240=1),0,IF(OFFSET(CRONOPLE!$F$14,$M240,BF$13)="",10^12,OFFSET(CRONOPLE!$F$14,$M240,BF$13))))</f>
        <v>1000000000000</v>
      </c>
      <c r="BG240" s="215">
        <f ca="1">IF($D240&lt;&gt;"Serviço",0,IF(AND(AUTOEVENTO="Manual",$M240=1),0,IF(OFFSET(CRONOPLE!$F$14,$M240,BG$13)="",10^12,OFFSET(CRONOPLE!$F$14,$M240,BG$13))))</f>
        <v>1000000000000</v>
      </c>
      <c r="BH240" s="215">
        <f ca="1">IF($D240&lt;&gt;"Serviço",0,IF(AND(AUTOEVENTO="Manual",$M240=1),0,IF(OFFSET(CRONOPLE!$F$14,$M240,BH$13)="",10^12,OFFSET(CRONOPLE!$F$14,$M240,BH$13))))</f>
        <v>1000000000000</v>
      </c>
      <c r="BI240" s="215">
        <f ca="1">IF($D240&lt;&gt;"Serviço",0,IF(AND(AUTOEVENTO="Manual",$M240=1),0,IF(OFFSET(CRONOPLE!$F$14,$M240,BI$13)="",10^12,OFFSET(CRONOPLE!$F$14,$M240,BI$13))))</f>
        <v>1000000000000</v>
      </c>
      <c r="BJ240" s="215">
        <f ca="1">IF($D240&lt;&gt;"Serviço",0,IF(AND(AUTOEVENTO="Manual",$M240=1),0,IF(OFFSET(CRONOPLE!$F$14,$M240,BJ$13)="",10^12,OFFSET(CRONOPLE!$F$14,$M240,BJ$13))))</f>
        <v>1000000000000</v>
      </c>
      <c r="BK240" s="215">
        <f ca="1">IF($D240&lt;&gt;"Serviço",0,IF(AND(AUTOEVENTO="Manual",$M240=1),0,IF(OFFSET(CRONOPLE!$F$14,$M240,BK$13)="",10^12,OFFSET(CRONOPLE!$F$14,$M240,BK$13))))</f>
        <v>1000000000000</v>
      </c>
      <c r="BL240" s="215">
        <f ca="1">IF($D240&lt;&gt;"Serviço",0,IF(AND(AUTOEVENTO="Manual",$M240=1),0,IF(OFFSET(CRONOPLE!$F$14,$M240,BL$13)="",10^12,OFFSET(CRONOPLE!$F$14,$M240,BL$13))))</f>
        <v>1000000000000</v>
      </c>
      <c r="BM240" s="215">
        <f ca="1">IF($D240&lt;&gt;"Serviço",0,IF(AND(AUTOEVENTO="Manual",$M240=1),0,IF(OFFSET(CRONOPLE!$F$14,$M240,BM$13)="",10^12,OFFSET(CRONOPLE!$F$14,$M240,BM$13))))</f>
        <v>1000000000000</v>
      </c>
      <c r="BN240" s="215">
        <f ca="1">IF($D240&lt;&gt;"Serviço",0,IF(AND(AUTOEVENTO="Manual",$M240=1),0,IF(OFFSET(CRONOPLE!$F$14,$M240,BN$13)="",10^12,OFFSET(CRONOPLE!$F$14,$M240,BN$13))))</f>
        <v>1000000000000</v>
      </c>
      <c r="BO240" s="215">
        <f ca="1">IF($D240&lt;&gt;"Serviço",0,IF(AND(AUTOEVENTO="Manual",$M240=1),0,IF(OFFSET(CRONOPLE!$F$14,$M240,BO$13)="",10^12,OFFSET(CRONOPLE!$F$14,$M240,BO$13))))</f>
        <v>1000000000000</v>
      </c>
      <c r="BP240" s="215">
        <f ca="1">IF($D240&lt;&gt;"Serviço",0,IF(AND(AUTOEVENTO="Manual",$M240=1),0,IF(OFFSET(CRONOPLE!$F$14,$M240,BP$13)="",10^12,OFFSET(CRONOPLE!$F$14,$M240,BP$13))))</f>
        <v>1000000000000</v>
      </c>
      <c r="BQ240" s="215">
        <f ca="1">IF($D240&lt;&gt;"Serviço",0,IF(AND(AUTOEVENTO="Manual",$M240=1),0,IF(OFFSET(CRONOPLE!$F$14,$M240,BQ$13)="",10^12,OFFSET(CRONOPLE!$F$14,$M240,BQ$13))))</f>
        <v>1000000000000</v>
      </c>
      <c r="BR240" s="215">
        <f ca="1">IF($D240&lt;&gt;"Serviço",0,IF(AND(AUTOEVENTO="Manual",$M240=1),0,IF(OFFSET(CRONOPLE!$F$14,$M240,BR$13)="",10^12,OFFSET(CRONOPLE!$F$14,$M240,BR$13))))</f>
        <v>1000000000000</v>
      </c>
      <c r="BS240" s="215">
        <f ca="1">IF($D240&lt;&gt;"Serviço",0,IF(AND(AUTOEVENTO="Manual",$M240=1),0,IF(OFFSET(CRONOPLE!$F$14,$M240,BS$13)="",10^12,OFFSET(CRONOPLE!$F$14,$M240,BS$13))))</f>
        <v>1000000000000</v>
      </c>
      <c r="BT240" s="215">
        <f ca="1">IF($D240&lt;&gt;"Serviço",0,IF(AND(AUTOEVENTO="Manual",$M240=1),0,IF(OFFSET(CRONOPLE!$F$14,$M240,BT$13)="",10^12,OFFSET(CRONOPLE!$F$14,$M240,BT$13))))</f>
        <v>1000000000000</v>
      </c>
      <c r="BV240" s="216">
        <f ca="1">IF($D240&lt;&gt;"Serviço",0,IF(OR(AND(AUTOEVENTO="Manual",$M240=1),$M240&gt;(ROW(PLE.lastrow)-ROW(PLE.firstrow))),0,IF(OFFSET(PLE!$G$14,$M240,BV$13)="",10^12,OFFSET(PLE!$G$14,$M240,BV$13))))</f>
        <v>1000000000000</v>
      </c>
      <c r="BW240" s="216">
        <f ca="1">IF($D240&lt;&gt;"Serviço",0,IF(OR(AND(AUTOEVENTO="Manual",$M240=1),$M240&gt;(ROW(PLE.lastrow)-ROW(PLE.firstrow))),0,IF(OFFSET(PLE!$G$14,$M240,BW$13)="",10^12,OFFSET(PLE!$G$14,$M240,BW$13))))</f>
        <v>1000000000000</v>
      </c>
      <c r="BX240" s="216">
        <f ca="1">IF($D240&lt;&gt;"Serviço",0,IF(OR(AND(AUTOEVENTO="Manual",$M240=1),$M240&gt;(ROW(PLE.lastrow)-ROW(PLE.firstrow))),0,IF(OFFSET(PLE!$G$14,$M240,BX$13)="",10^12,OFFSET(PLE!$G$14,$M240,BX$13))))</f>
        <v>1000000000000</v>
      </c>
      <c r="BY240" s="216">
        <f ca="1">IF($D240&lt;&gt;"Serviço",0,IF(OR(AND(AUTOEVENTO="Manual",$M240=1),$M240&gt;(ROW(PLE.lastrow)-ROW(PLE.firstrow))),0,IF(OFFSET(PLE!$G$14,$M240,BY$13)="",10^12,OFFSET(PLE!$G$14,$M240,BY$13))))</f>
        <v>1000000000000</v>
      </c>
      <c r="BZ240" s="216">
        <f ca="1">IF($D240&lt;&gt;"Serviço",0,IF(OR(AND(AUTOEVENTO="Manual",$M240=1),$M240&gt;(ROW(PLE.lastrow)-ROW(PLE.firstrow))),0,IF(OFFSET(PLE!$G$14,$M240,BZ$13)="",10^12,OFFSET(PLE!$G$14,$M240,BZ$13))))</f>
        <v>1000000000000</v>
      </c>
      <c r="CA240" s="216">
        <f ca="1">IF($D240&lt;&gt;"Serviço",0,IF(OR(AND(AUTOEVENTO="Manual",$M240=1),$M240&gt;(ROW(PLE.lastrow)-ROW(PLE.firstrow))),0,IF(OFFSET(PLE!$G$14,$M240,CA$13)="",10^12,OFFSET(PLE!$G$14,$M240,CA$13))))</f>
        <v>1000000000000</v>
      </c>
      <c r="CB240" s="216">
        <f ca="1">IF($D240&lt;&gt;"Serviço",0,IF(OR(AND(AUTOEVENTO="Manual",$M240=1),$M240&gt;(ROW(PLE.lastrow)-ROW(PLE.firstrow))),0,IF(OFFSET(PLE!$G$14,$M240,CB$13)="",10^12,OFFSET(PLE!$G$14,$M240,CB$13))))</f>
        <v>1000000000000</v>
      </c>
      <c r="CC240" s="216">
        <f ca="1">IF($D240&lt;&gt;"Serviço",0,IF(OR(AND(AUTOEVENTO="Manual",$M240=1),$M240&gt;(ROW(PLE.lastrow)-ROW(PLE.firstrow))),0,IF(OFFSET(PLE!$G$14,$M240,CC$13)="",10^12,OFFSET(PLE!$G$14,$M240,CC$13))))</f>
        <v>1000000000000</v>
      </c>
      <c r="CD240" s="216">
        <f ca="1">IF($D240&lt;&gt;"Serviço",0,IF(OR(AND(AUTOEVENTO="Manual",$M240=1),$M240&gt;(ROW(PLE.lastrow)-ROW(PLE.firstrow))),0,IF(OFFSET(PLE!$G$14,$M240,CD$13)="",10^12,OFFSET(PLE!$G$14,$M240,CD$13))))</f>
        <v>1000000000000</v>
      </c>
      <c r="CE240" s="216">
        <f ca="1">IF($D240&lt;&gt;"Serviço",0,IF(OR(AND(AUTOEVENTO="Manual",$M240=1),$M240&gt;(ROW(PLE.lastrow)-ROW(PLE.firstrow))),0,IF(OFFSET(PLE!$G$14,$M240,CE$13)="",10^12,OFFSET(PLE!$G$14,$M240,CE$13))))</f>
        <v>1000000000000</v>
      </c>
      <c r="CF240" s="216">
        <f ca="1">IF($D240&lt;&gt;"Serviço",0,IF(OR(AND(AUTOEVENTO="Manual",$M240=1),$M240&gt;(ROW(PLE.lastrow)-ROW(PLE.firstrow))),0,IF(OFFSET(PLE!$G$14,$M240,CF$13)="",10^12,OFFSET(PLE!$G$14,$M240,CF$13))))</f>
        <v>1000000000000</v>
      </c>
      <c r="CG240" s="216">
        <f ca="1">IF($D240&lt;&gt;"Serviço",0,IF(OR(AND(AUTOEVENTO="Manual",$M240=1),$M240&gt;(ROW(PLE.lastrow)-ROW(PLE.firstrow))),0,IF(OFFSET(PLE!$G$14,$M240,CG$13)="",10^12,OFFSET(PLE!$G$14,$M240,CG$13))))</f>
        <v>1000000000000</v>
      </c>
      <c r="CH240" s="216">
        <f ca="1">IF($D240&lt;&gt;"Serviço",0,IF(OR(AND(AUTOEVENTO="Manual",$M240=1),$M240&gt;(ROW(PLE.lastrow)-ROW(PLE.firstrow))),0,IF(OFFSET(PLE!$G$14,$M240,CH$13)="",10^12,OFFSET(PLE!$G$14,$M240,CH$13))))</f>
        <v>1000000000000</v>
      </c>
      <c r="CI240" s="216">
        <f ca="1">IF($D240&lt;&gt;"Serviço",0,IF(OR(AND(AUTOEVENTO="Manual",$M240=1),$M240&gt;(ROW(PLE.lastrow)-ROW(PLE.firstrow))),0,IF(OFFSET(PLE!$G$14,$M240,CI$13)="",10^12,OFFSET(PLE!$G$14,$M240,CI$13))))</f>
        <v>1000000000000</v>
      </c>
      <c r="CJ240" s="216">
        <f ca="1">IF($D240&lt;&gt;"Serviço",0,IF(OR(AND(AUTOEVENTO="Manual",$M240=1),$M240&gt;(ROW(PLE.lastrow)-ROW(PLE.firstrow))),0,IF(OFFSET(PLE!$G$14,$M240,CJ$13)="",10^12,OFFSET(PLE!$G$14,$M240,CJ$13))))</f>
        <v>1000000000000</v>
      </c>
      <c r="CK240" s="216">
        <f ca="1">IF($D240&lt;&gt;"Serviço",0,IF(OR(AND(AUTOEVENTO="Manual",$M240=1),$M240&gt;(ROW(PLE.lastrow)-ROW(PLE.firstrow))),0,IF(OFFSET(PLE!$G$14,$M240,CK$13)="",10^12,OFFSET(PLE!$G$14,$M240,CK$13))))</f>
        <v>1000000000000</v>
      </c>
      <c r="CL240" s="216">
        <f ca="1">IF($D240&lt;&gt;"Serviço",0,IF(OR(AND(AUTOEVENTO="Manual",$M240=1),$M240&gt;(ROW(PLE.lastrow)-ROW(PLE.firstrow))),0,IF(OFFSET(PLE!$G$14,$M240,CL$13)="",10^12,OFFSET(PLE!$G$14,$M240,CL$13))))</f>
        <v>1000000000000</v>
      </c>
      <c r="CM240" s="216">
        <f ca="1">IF($D240&lt;&gt;"Serviço",0,IF(OR(AND(AUTOEVENTO="Manual",$M240=1),$M240&gt;(ROW(PLE.lastrow)-ROW(PLE.firstrow))),0,IF(OFFSET(PLE!$G$14,$M240,CM$13)="",10^12,OFFSET(PLE!$G$14,$M240,CM$13))))</f>
        <v>1000000000000</v>
      </c>
    </row>
    <row r="241" spans="1:91" ht="13.2" x14ac:dyDescent="0.25">
      <c r="A241" s="9">
        <f t="shared" ca="1" si="12"/>
        <v>0</v>
      </c>
      <c r="B241" s="9" t="str">
        <f ca="1">OFFSET(ORÇAMENTO!C$15,ROW(B241)-ROW(B$15),0)</f>
        <v>S</v>
      </c>
      <c r="C241" s="9" t="str">
        <f ca="1">OFFSET(ORÇAMENTO!L$15,ROW(C241)-ROW(C$15),0)</f>
        <v/>
      </c>
      <c r="D241" s="145" t="str">
        <f ca="1">OFFSET(ORÇAMENTO!N$15,ROW(D241)-ROW(D$15),0)</f>
        <v>Serviço</v>
      </c>
      <c r="E241" s="205" t="str">
        <f ca="1">OFFSET(ORÇAMENTO!O$15,ROW(E241)-ROW(E$15),0)</f>
        <v>-</v>
      </c>
      <c r="F241" s="206" t="str">
        <f ca="1">OFFSET(ORÇAMENTO!R$15,ROW(F241)-ROW(F$15),0)</f>
        <v>(abra o arquivo 'Referência 05-2024.xls)</v>
      </c>
      <c r="G241" s="207" t="str">
        <f ca="1">IF($D241&lt;&gt;"Serviço","",OFFSET(ORÇAMENTO!S$15,ROW(G241)-ROW(G$15),0))</f>
        <v>-</v>
      </c>
      <c r="H241" s="151">
        <f ca="1">IF($D241&lt;&gt;"Serviço",0,IF(ACOMPANHAMENTO="BM",ROUND(OFFSET(ORÇAMENTO!AJ$15,ROW(H241)-ROW(H$15),0),15-13*ORÇAMENTO!$AF$7),SUMPRODUCT(($Q$12:$AI$12&lt;&gt;"")*ROUND($Q241:$AI241,15-13*ORÇAMENTO!$AF$7))))</f>
        <v>197.46</v>
      </c>
      <c r="I241" s="650"/>
      <c r="K241" s="208"/>
      <c r="L241" s="209" t="s">
        <v>257</v>
      </c>
      <c r="M241" s="210">
        <f ca="1">IF($D241&lt;&gt;"Serviço","",IF(AUTOEVENTO="manual",$A241,IF(ISERROR(MATCH($A241,$A$15:OFFSET($A241,-1,0),0)),MAX($M$15:OFFSET(M241,-1,0))+1,INDEX($M$15:OFFSET(M241,-1,0),MATCH($A241,$A$15:OFFSET($A241,-1,0),0)))))</f>
        <v>0</v>
      </c>
      <c r="N241" s="211" t="str">
        <f ca="1">IF($D241&lt;&gt;"Serviço","",IF(AUTOEVENTO="Manual",IF($A241=0,"&lt;-- defina o número do agrupador",OFFSET(EVENTOS!$D$14,$A241,0)),OFFSET($F$15,$A241,0)))</f>
        <v>&lt;-- defina o número do agrupador</v>
      </c>
      <c r="O241" s="212"/>
      <c r="Q241" s="212"/>
      <c r="R241" s="213"/>
      <c r="S241" s="213"/>
      <c r="T241" s="213"/>
      <c r="U241" s="213"/>
      <c r="V241" s="213"/>
      <c r="W241" s="213"/>
      <c r="X241" s="213"/>
      <c r="Y241" s="213"/>
      <c r="Z241" s="214"/>
      <c r="AA241" s="213"/>
      <c r="AB241" s="213"/>
      <c r="AC241" s="213"/>
      <c r="AD241" s="213"/>
      <c r="AE241" s="213"/>
      <c r="AF241" s="213"/>
      <c r="AG241" s="213"/>
      <c r="AH241" s="214"/>
      <c r="AJ241" s="631">
        <f ca="1">IF(AND($D241="Serviço",AJ$12&lt;&gt;0,$H241&gt;0,OR(AUTOEVENTO&lt;&gt;"manual",$M241&lt;&gt;1)),ROUND(OFFSET($P241,0,AJ$13),15-13*ORÇAMENTO!$AF$7)/$H241*OFFSET(ORÇAMENTO!$X$15,ROW(AJ241)-ROW(AJ$15),0),0)</f>
        <v>0</v>
      </c>
      <c r="AK241" s="632">
        <f ca="1">IF(AND($D241="Serviço",AK$12&lt;&gt;0,$H241&gt;0,OR(AUTOEVENTO&lt;&gt;"manual",$M241&lt;&gt;1)),ROUND(OFFSET($P241,0,AK$13),15-13*ORÇAMENTO!$AF$7)/$H241*OFFSET(ORÇAMENTO!$X$15,ROW(AK241)-ROW(AK$15),0),0)</f>
        <v>0</v>
      </c>
      <c r="AL241" s="632">
        <f ca="1">IF(AND($D241="Serviço",AL$12&lt;&gt;0,$H241&gt;0,OR(AUTOEVENTO&lt;&gt;"manual",$M241&lt;&gt;1)),ROUND(OFFSET($P241,0,AL$13),15-13*ORÇAMENTO!$AF$7)/$H241*OFFSET(ORÇAMENTO!$X$15,ROW(AL241)-ROW(AL$15),0),0)</f>
        <v>0</v>
      </c>
      <c r="AM241" s="632">
        <f ca="1">IF(AND($D241="Serviço",AM$12&lt;&gt;0,$H241&gt;0,OR(AUTOEVENTO&lt;&gt;"manual",$M241&lt;&gt;1)),ROUND(OFFSET($P241,0,AM$13),15-13*ORÇAMENTO!$AF$7)/$H241*OFFSET(ORÇAMENTO!$X$15,ROW(AM241)-ROW(AM$15),0),0)</f>
        <v>0</v>
      </c>
      <c r="AN241" s="632">
        <f ca="1">IF(AND($D241="Serviço",AN$12&lt;&gt;0,$H241&gt;0,OR(AUTOEVENTO&lt;&gt;"manual",$M241&lt;&gt;1)),ROUND(OFFSET($P241,0,AN$13),15-13*ORÇAMENTO!$AF$7)/$H241*OFFSET(ORÇAMENTO!$X$15,ROW(AN241)-ROW(AN$15),0),0)</f>
        <v>0</v>
      </c>
      <c r="AO241" s="632">
        <f ca="1">IF(AND($D241="Serviço",AO$12&lt;&gt;0,$H241&gt;0,OR(AUTOEVENTO&lt;&gt;"manual",$M241&lt;&gt;1)),ROUND(OFFSET($P241,0,AO$13),15-13*ORÇAMENTO!$AF$7)/$H241*OFFSET(ORÇAMENTO!$X$15,ROW(AO241)-ROW(AO$15),0),0)</f>
        <v>0</v>
      </c>
      <c r="AP241" s="632">
        <f ca="1">IF(AND($D241="Serviço",AP$12&lt;&gt;0,$H241&gt;0,OR(AUTOEVENTO&lt;&gt;"manual",$M241&lt;&gt;1)),ROUND(OFFSET($P241,0,AP$13),15-13*ORÇAMENTO!$AF$7)/$H241*OFFSET(ORÇAMENTO!$X$15,ROW(AP241)-ROW(AP$15),0),0)</f>
        <v>0</v>
      </c>
      <c r="AQ241" s="632">
        <f ca="1">IF(AND($D241="Serviço",AQ$12&lt;&gt;0,$H241&gt;0,OR(AUTOEVENTO&lt;&gt;"manual",$M241&lt;&gt;1)),ROUND(OFFSET($P241,0,AQ$13),15-13*ORÇAMENTO!$AF$7)/$H241*OFFSET(ORÇAMENTO!$X$15,ROW(AQ241)-ROW(AQ$15),0),0)</f>
        <v>0</v>
      </c>
      <c r="AR241" s="632">
        <f ca="1">IF(AND($D241="Serviço",AR$12&lt;&gt;0,$H241&gt;0,OR(AUTOEVENTO&lt;&gt;"manual",$M241&lt;&gt;1)),ROUND(OFFSET($P241,0,AR$13),15-13*ORÇAMENTO!$AF$7)/$H241*OFFSET(ORÇAMENTO!$X$15,ROW(AR241)-ROW(AR$15),0),0)</f>
        <v>0</v>
      </c>
      <c r="AS241" s="633">
        <f ca="1">IF(AND($D241="Serviço",AS$12&lt;&gt;0,$H241&gt;0,OR(AUTOEVENTO&lt;&gt;"manual",$M241&lt;&gt;1)),ROUND(OFFSET($P241,0,AS$13),15-13*ORÇAMENTO!$AF$7)/$H241*OFFSET(ORÇAMENTO!$X$15,ROW(AS241)-ROW(AS$15),0),0)</f>
        <v>0</v>
      </c>
      <c r="AT241" s="632">
        <f ca="1">IF(AND($D241="Serviço",AT$12&lt;&gt;0,$H241&gt;0,OR(AUTOEVENTO&lt;&gt;"manual",$M241&lt;&gt;1)),ROUND(OFFSET($P241,0,AT$13),15-13*ORÇAMENTO!$AF$7)/$H241*OFFSET(ORÇAMENTO!$X$15,ROW(AT241)-ROW(AT$15),0),0)</f>
        <v>0</v>
      </c>
      <c r="AU241" s="632">
        <f ca="1">IF(AND($D241="Serviço",AU$12&lt;&gt;0,$H241&gt;0,OR(AUTOEVENTO&lt;&gt;"manual",$M241&lt;&gt;1)),ROUND(OFFSET($P241,0,AU$13),15-13*ORÇAMENTO!$AF$7)/$H241*OFFSET(ORÇAMENTO!$X$15,ROW(AU241)-ROW(AU$15),0),0)</f>
        <v>0</v>
      </c>
      <c r="AV241" s="632">
        <f ca="1">IF(AND($D241="Serviço",AV$12&lt;&gt;0,$H241&gt;0,OR(AUTOEVENTO&lt;&gt;"manual",$M241&lt;&gt;1)),ROUND(OFFSET($P241,0,AV$13),15-13*ORÇAMENTO!$AF$7)/$H241*OFFSET(ORÇAMENTO!$X$15,ROW(AV241)-ROW(AV$15),0),0)</f>
        <v>0</v>
      </c>
      <c r="AW241" s="632">
        <f ca="1">IF(AND($D241="Serviço",AW$12&lt;&gt;0,$H241&gt;0,OR(AUTOEVENTO&lt;&gt;"manual",$M241&lt;&gt;1)),ROUND(OFFSET($P241,0,AW$13),15-13*ORÇAMENTO!$AF$7)/$H241*OFFSET(ORÇAMENTO!$X$15,ROW(AW241)-ROW(AW$15),0),0)</f>
        <v>0</v>
      </c>
      <c r="AX241" s="632">
        <f ca="1">IF(AND($D241="Serviço",AX$12&lt;&gt;0,$H241&gt;0,OR(AUTOEVENTO&lt;&gt;"manual",$M241&lt;&gt;1)),ROUND(OFFSET($P241,0,AX$13),15-13*ORÇAMENTO!$AF$7)/$H241*OFFSET(ORÇAMENTO!$X$15,ROW(AX241)-ROW(AX$15),0),0)</f>
        <v>0</v>
      </c>
      <c r="AY241" s="632">
        <f ca="1">IF(AND($D241="Serviço",AY$12&lt;&gt;0,$H241&gt;0,OR(AUTOEVENTO&lt;&gt;"manual",$M241&lt;&gt;1)),ROUND(OFFSET($P241,0,AY$13),15-13*ORÇAMENTO!$AF$7)/$H241*OFFSET(ORÇAMENTO!$X$15,ROW(AY241)-ROW(AY$15),0),0)</f>
        <v>0</v>
      </c>
      <c r="AZ241" s="632">
        <f ca="1">IF(AND($D241="Serviço",AZ$12&lt;&gt;0,$H241&gt;0,OR(AUTOEVENTO&lt;&gt;"manual",$M241&lt;&gt;1)),ROUND(OFFSET($P241,0,AZ$13),15-13*ORÇAMENTO!$AF$7)/$H241*OFFSET(ORÇAMENTO!$X$15,ROW(AZ241)-ROW(AZ$15),0),0)</f>
        <v>0</v>
      </c>
      <c r="BA241" s="633">
        <f ca="1">IF(AND($D241="Serviço",BA$12&lt;&gt;0,$H241&gt;0,OR(AUTOEVENTO&lt;&gt;"manual",$M241&lt;&gt;1)),ROUND(OFFSET($P241,0,BA$13),15-13*ORÇAMENTO!$AF$7)/$H241*OFFSET(ORÇAMENTO!$X$15,ROW(BA241)-ROW(BA$15),0),0)</f>
        <v>0</v>
      </c>
      <c r="BC241" s="215">
        <f ca="1">IF($D241&lt;&gt;"Serviço",0,IF(AND(AUTOEVENTO="Manual",$M241=1),0,IF(OFFSET(CRONOPLE!$F$14,$M241,BC$13)="",10^12,OFFSET(CRONOPLE!$F$14,$M241,BC$13))))</f>
        <v>1000000000000</v>
      </c>
      <c r="BD241" s="215">
        <f ca="1">IF($D241&lt;&gt;"Serviço",0,IF(AND(AUTOEVENTO="Manual",$M241=1),0,IF(OFFSET(CRONOPLE!$F$14,$M241,BD$13)="",10^12,OFFSET(CRONOPLE!$F$14,$M241,BD$13))))</f>
        <v>1000000000000</v>
      </c>
      <c r="BE241" s="215">
        <f ca="1">IF($D241&lt;&gt;"Serviço",0,IF(AND(AUTOEVENTO="Manual",$M241=1),0,IF(OFFSET(CRONOPLE!$F$14,$M241,BE$13)="",10^12,OFFSET(CRONOPLE!$F$14,$M241,BE$13))))</f>
        <v>1000000000000</v>
      </c>
      <c r="BF241" s="215">
        <f ca="1">IF($D241&lt;&gt;"Serviço",0,IF(AND(AUTOEVENTO="Manual",$M241=1),0,IF(OFFSET(CRONOPLE!$F$14,$M241,BF$13)="",10^12,OFFSET(CRONOPLE!$F$14,$M241,BF$13))))</f>
        <v>1000000000000</v>
      </c>
      <c r="BG241" s="215">
        <f ca="1">IF($D241&lt;&gt;"Serviço",0,IF(AND(AUTOEVENTO="Manual",$M241=1),0,IF(OFFSET(CRONOPLE!$F$14,$M241,BG$13)="",10^12,OFFSET(CRONOPLE!$F$14,$M241,BG$13))))</f>
        <v>1000000000000</v>
      </c>
      <c r="BH241" s="215">
        <f ca="1">IF($D241&lt;&gt;"Serviço",0,IF(AND(AUTOEVENTO="Manual",$M241=1),0,IF(OFFSET(CRONOPLE!$F$14,$M241,BH$13)="",10^12,OFFSET(CRONOPLE!$F$14,$M241,BH$13))))</f>
        <v>1000000000000</v>
      </c>
      <c r="BI241" s="215">
        <f ca="1">IF($D241&lt;&gt;"Serviço",0,IF(AND(AUTOEVENTO="Manual",$M241=1),0,IF(OFFSET(CRONOPLE!$F$14,$M241,BI$13)="",10^12,OFFSET(CRONOPLE!$F$14,$M241,BI$13))))</f>
        <v>1000000000000</v>
      </c>
      <c r="BJ241" s="215">
        <f ca="1">IF($D241&lt;&gt;"Serviço",0,IF(AND(AUTOEVENTO="Manual",$M241=1),0,IF(OFFSET(CRONOPLE!$F$14,$M241,BJ$13)="",10^12,OFFSET(CRONOPLE!$F$14,$M241,BJ$13))))</f>
        <v>1000000000000</v>
      </c>
      <c r="BK241" s="215">
        <f ca="1">IF($D241&lt;&gt;"Serviço",0,IF(AND(AUTOEVENTO="Manual",$M241=1),0,IF(OFFSET(CRONOPLE!$F$14,$M241,BK$13)="",10^12,OFFSET(CRONOPLE!$F$14,$M241,BK$13))))</f>
        <v>1000000000000</v>
      </c>
      <c r="BL241" s="215">
        <f ca="1">IF($D241&lt;&gt;"Serviço",0,IF(AND(AUTOEVENTO="Manual",$M241=1),0,IF(OFFSET(CRONOPLE!$F$14,$M241,BL$13)="",10^12,OFFSET(CRONOPLE!$F$14,$M241,BL$13))))</f>
        <v>1000000000000</v>
      </c>
      <c r="BM241" s="215">
        <f ca="1">IF($D241&lt;&gt;"Serviço",0,IF(AND(AUTOEVENTO="Manual",$M241=1),0,IF(OFFSET(CRONOPLE!$F$14,$M241,BM$13)="",10^12,OFFSET(CRONOPLE!$F$14,$M241,BM$13))))</f>
        <v>1000000000000</v>
      </c>
      <c r="BN241" s="215">
        <f ca="1">IF($D241&lt;&gt;"Serviço",0,IF(AND(AUTOEVENTO="Manual",$M241=1),0,IF(OFFSET(CRONOPLE!$F$14,$M241,BN$13)="",10^12,OFFSET(CRONOPLE!$F$14,$M241,BN$13))))</f>
        <v>1000000000000</v>
      </c>
      <c r="BO241" s="215">
        <f ca="1">IF($D241&lt;&gt;"Serviço",0,IF(AND(AUTOEVENTO="Manual",$M241=1),0,IF(OFFSET(CRONOPLE!$F$14,$M241,BO$13)="",10^12,OFFSET(CRONOPLE!$F$14,$M241,BO$13))))</f>
        <v>1000000000000</v>
      </c>
      <c r="BP241" s="215">
        <f ca="1">IF($D241&lt;&gt;"Serviço",0,IF(AND(AUTOEVENTO="Manual",$M241=1),0,IF(OFFSET(CRONOPLE!$F$14,$M241,BP$13)="",10^12,OFFSET(CRONOPLE!$F$14,$M241,BP$13))))</f>
        <v>1000000000000</v>
      </c>
      <c r="BQ241" s="215">
        <f ca="1">IF($D241&lt;&gt;"Serviço",0,IF(AND(AUTOEVENTO="Manual",$M241=1),0,IF(OFFSET(CRONOPLE!$F$14,$M241,BQ$13)="",10^12,OFFSET(CRONOPLE!$F$14,$M241,BQ$13))))</f>
        <v>1000000000000</v>
      </c>
      <c r="BR241" s="215">
        <f ca="1">IF($D241&lt;&gt;"Serviço",0,IF(AND(AUTOEVENTO="Manual",$M241=1),0,IF(OFFSET(CRONOPLE!$F$14,$M241,BR$13)="",10^12,OFFSET(CRONOPLE!$F$14,$M241,BR$13))))</f>
        <v>1000000000000</v>
      </c>
      <c r="BS241" s="215">
        <f ca="1">IF($D241&lt;&gt;"Serviço",0,IF(AND(AUTOEVENTO="Manual",$M241=1),0,IF(OFFSET(CRONOPLE!$F$14,$M241,BS$13)="",10^12,OFFSET(CRONOPLE!$F$14,$M241,BS$13))))</f>
        <v>1000000000000</v>
      </c>
      <c r="BT241" s="215">
        <f ca="1">IF($D241&lt;&gt;"Serviço",0,IF(AND(AUTOEVENTO="Manual",$M241=1),0,IF(OFFSET(CRONOPLE!$F$14,$M241,BT$13)="",10^12,OFFSET(CRONOPLE!$F$14,$M241,BT$13))))</f>
        <v>1000000000000</v>
      </c>
      <c r="BV241" s="216">
        <f ca="1">IF($D241&lt;&gt;"Serviço",0,IF(OR(AND(AUTOEVENTO="Manual",$M241=1),$M241&gt;(ROW(PLE.lastrow)-ROW(PLE.firstrow))),0,IF(OFFSET(PLE!$G$14,$M241,BV$13)="",10^12,OFFSET(PLE!$G$14,$M241,BV$13))))</f>
        <v>1000000000000</v>
      </c>
      <c r="BW241" s="216">
        <f ca="1">IF($D241&lt;&gt;"Serviço",0,IF(OR(AND(AUTOEVENTO="Manual",$M241=1),$M241&gt;(ROW(PLE.lastrow)-ROW(PLE.firstrow))),0,IF(OFFSET(PLE!$G$14,$M241,BW$13)="",10^12,OFFSET(PLE!$G$14,$M241,BW$13))))</f>
        <v>1000000000000</v>
      </c>
      <c r="BX241" s="216">
        <f ca="1">IF($D241&lt;&gt;"Serviço",0,IF(OR(AND(AUTOEVENTO="Manual",$M241=1),$M241&gt;(ROW(PLE.lastrow)-ROW(PLE.firstrow))),0,IF(OFFSET(PLE!$G$14,$M241,BX$13)="",10^12,OFFSET(PLE!$G$14,$M241,BX$13))))</f>
        <v>1000000000000</v>
      </c>
      <c r="BY241" s="216">
        <f ca="1">IF($D241&lt;&gt;"Serviço",0,IF(OR(AND(AUTOEVENTO="Manual",$M241=1),$M241&gt;(ROW(PLE.lastrow)-ROW(PLE.firstrow))),0,IF(OFFSET(PLE!$G$14,$M241,BY$13)="",10^12,OFFSET(PLE!$G$14,$M241,BY$13))))</f>
        <v>1000000000000</v>
      </c>
      <c r="BZ241" s="216">
        <f ca="1">IF($D241&lt;&gt;"Serviço",0,IF(OR(AND(AUTOEVENTO="Manual",$M241=1),$M241&gt;(ROW(PLE.lastrow)-ROW(PLE.firstrow))),0,IF(OFFSET(PLE!$G$14,$M241,BZ$13)="",10^12,OFFSET(PLE!$G$14,$M241,BZ$13))))</f>
        <v>1000000000000</v>
      </c>
      <c r="CA241" s="216">
        <f ca="1">IF($D241&lt;&gt;"Serviço",0,IF(OR(AND(AUTOEVENTO="Manual",$M241=1),$M241&gt;(ROW(PLE.lastrow)-ROW(PLE.firstrow))),0,IF(OFFSET(PLE!$G$14,$M241,CA$13)="",10^12,OFFSET(PLE!$G$14,$M241,CA$13))))</f>
        <v>1000000000000</v>
      </c>
      <c r="CB241" s="216">
        <f ca="1">IF($D241&lt;&gt;"Serviço",0,IF(OR(AND(AUTOEVENTO="Manual",$M241=1),$M241&gt;(ROW(PLE.lastrow)-ROW(PLE.firstrow))),0,IF(OFFSET(PLE!$G$14,$M241,CB$13)="",10^12,OFFSET(PLE!$G$14,$M241,CB$13))))</f>
        <v>1000000000000</v>
      </c>
      <c r="CC241" s="216">
        <f ca="1">IF($D241&lt;&gt;"Serviço",0,IF(OR(AND(AUTOEVENTO="Manual",$M241=1),$M241&gt;(ROW(PLE.lastrow)-ROW(PLE.firstrow))),0,IF(OFFSET(PLE!$G$14,$M241,CC$13)="",10^12,OFFSET(PLE!$G$14,$M241,CC$13))))</f>
        <v>1000000000000</v>
      </c>
      <c r="CD241" s="216">
        <f ca="1">IF($D241&lt;&gt;"Serviço",0,IF(OR(AND(AUTOEVENTO="Manual",$M241=1),$M241&gt;(ROW(PLE.lastrow)-ROW(PLE.firstrow))),0,IF(OFFSET(PLE!$G$14,$M241,CD$13)="",10^12,OFFSET(PLE!$G$14,$M241,CD$13))))</f>
        <v>1000000000000</v>
      </c>
      <c r="CE241" s="216">
        <f ca="1">IF($D241&lt;&gt;"Serviço",0,IF(OR(AND(AUTOEVENTO="Manual",$M241=1),$M241&gt;(ROW(PLE.lastrow)-ROW(PLE.firstrow))),0,IF(OFFSET(PLE!$G$14,$M241,CE$13)="",10^12,OFFSET(PLE!$G$14,$M241,CE$13))))</f>
        <v>1000000000000</v>
      </c>
      <c r="CF241" s="216">
        <f ca="1">IF($D241&lt;&gt;"Serviço",0,IF(OR(AND(AUTOEVENTO="Manual",$M241=1),$M241&gt;(ROW(PLE.lastrow)-ROW(PLE.firstrow))),0,IF(OFFSET(PLE!$G$14,$M241,CF$13)="",10^12,OFFSET(PLE!$G$14,$M241,CF$13))))</f>
        <v>1000000000000</v>
      </c>
      <c r="CG241" s="216">
        <f ca="1">IF($D241&lt;&gt;"Serviço",0,IF(OR(AND(AUTOEVENTO="Manual",$M241=1),$M241&gt;(ROW(PLE.lastrow)-ROW(PLE.firstrow))),0,IF(OFFSET(PLE!$G$14,$M241,CG$13)="",10^12,OFFSET(PLE!$G$14,$M241,CG$13))))</f>
        <v>1000000000000</v>
      </c>
      <c r="CH241" s="216">
        <f ca="1">IF($D241&lt;&gt;"Serviço",0,IF(OR(AND(AUTOEVENTO="Manual",$M241=1),$M241&gt;(ROW(PLE.lastrow)-ROW(PLE.firstrow))),0,IF(OFFSET(PLE!$G$14,$M241,CH$13)="",10^12,OFFSET(PLE!$G$14,$M241,CH$13))))</f>
        <v>1000000000000</v>
      </c>
      <c r="CI241" s="216">
        <f ca="1">IF($D241&lt;&gt;"Serviço",0,IF(OR(AND(AUTOEVENTO="Manual",$M241=1),$M241&gt;(ROW(PLE.lastrow)-ROW(PLE.firstrow))),0,IF(OFFSET(PLE!$G$14,$M241,CI$13)="",10^12,OFFSET(PLE!$G$14,$M241,CI$13))))</f>
        <v>1000000000000</v>
      </c>
      <c r="CJ241" s="216">
        <f ca="1">IF($D241&lt;&gt;"Serviço",0,IF(OR(AND(AUTOEVENTO="Manual",$M241=1),$M241&gt;(ROW(PLE.lastrow)-ROW(PLE.firstrow))),0,IF(OFFSET(PLE!$G$14,$M241,CJ$13)="",10^12,OFFSET(PLE!$G$14,$M241,CJ$13))))</f>
        <v>1000000000000</v>
      </c>
      <c r="CK241" s="216">
        <f ca="1">IF($D241&lt;&gt;"Serviço",0,IF(OR(AND(AUTOEVENTO="Manual",$M241=1),$M241&gt;(ROW(PLE.lastrow)-ROW(PLE.firstrow))),0,IF(OFFSET(PLE!$G$14,$M241,CK$13)="",10^12,OFFSET(PLE!$G$14,$M241,CK$13))))</f>
        <v>1000000000000</v>
      </c>
      <c r="CL241" s="216">
        <f ca="1">IF($D241&lt;&gt;"Serviço",0,IF(OR(AND(AUTOEVENTO="Manual",$M241=1),$M241&gt;(ROW(PLE.lastrow)-ROW(PLE.firstrow))),0,IF(OFFSET(PLE!$G$14,$M241,CL$13)="",10^12,OFFSET(PLE!$G$14,$M241,CL$13))))</f>
        <v>1000000000000</v>
      </c>
      <c r="CM241" s="216">
        <f ca="1">IF($D241&lt;&gt;"Serviço",0,IF(OR(AND(AUTOEVENTO="Manual",$M241=1),$M241&gt;(ROW(PLE.lastrow)-ROW(PLE.firstrow))),0,IF(OFFSET(PLE!$G$14,$M241,CM$13)="",10^12,OFFSET(PLE!$G$14,$M241,CM$13))))</f>
        <v>1000000000000</v>
      </c>
    </row>
    <row r="242" spans="1:91" ht="13.2" x14ac:dyDescent="0.25">
      <c r="A242" s="9">
        <f t="shared" ca="1" si="12"/>
        <v>0</v>
      </c>
      <c r="B242" s="9" t="str">
        <f ca="1">OFFSET(ORÇAMENTO!C$15,ROW(B242)-ROW(B$15),0)</f>
        <v>S</v>
      </c>
      <c r="C242" s="9" t="str">
        <f ca="1">OFFSET(ORÇAMENTO!L$15,ROW(C242)-ROW(C$15),0)</f>
        <v/>
      </c>
      <c r="D242" s="145" t="str">
        <f ca="1">OFFSET(ORÇAMENTO!N$15,ROW(D242)-ROW(D$15),0)</f>
        <v>Serviço</v>
      </c>
      <c r="E242" s="205" t="str">
        <f ca="1">OFFSET(ORÇAMENTO!O$15,ROW(E242)-ROW(E$15),0)</f>
        <v>-</v>
      </c>
      <c r="F242" s="206" t="str">
        <f ca="1">OFFSET(ORÇAMENTO!R$15,ROW(F242)-ROW(F$15),0)</f>
        <v>(abra o arquivo 'Referência 05-2024.xls)</v>
      </c>
      <c r="G242" s="207" t="str">
        <f ca="1">IF($D242&lt;&gt;"Serviço","",OFFSET(ORÇAMENTO!S$15,ROW(G242)-ROW(G$15),0))</f>
        <v>-</v>
      </c>
      <c r="H242" s="151">
        <f ca="1">IF($D242&lt;&gt;"Serviço",0,IF(ACOMPANHAMENTO="BM",ROUND(OFFSET(ORÇAMENTO!AJ$15,ROW(H242)-ROW(H$15),0),15-13*ORÇAMENTO!$AF$7),SUMPRODUCT(($Q$12:$AI$12&lt;&gt;"")*ROUND($Q242:$AI242,15-13*ORÇAMENTO!$AF$7))))</f>
        <v>29.4</v>
      </c>
      <c r="I242" s="650"/>
      <c r="K242" s="208"/>
      <c r="L242" s="209" t="s">
        <v>257</v>
      </c>
      <c r="M242" s="210">
        <f ca="1">IF($D242&lt;&gt;"Serviço","",IF(AUTOEVENTO="manual",$A242,IF(ISERROR(MATCH($A242,$A$15:OFFSET($A242,-1,0),0)),MAX($M$15:OFFSET(M242,-1,0))+1,INDEX($M$15:OFFSET(M242,-1,0),MATCH($A242,$A$15:OFFSET($A242,-1,0),0)))))</f>
        <v>0</v>
      </c>
      <c r="N242" s="211" t="str">
        <f ca="1">IF($D242&lt;&gt;"Serviço","",IF(AUTOEVENTO="Manual",IF($A242=0,"&lt;-- defina o número do agrupador",OFFSET(EVENTOS!$D$14,$A242,0)),OFFSET($F$15,$A242,0)))</f>
        <v>&lt;-- defina o número do agrupador</v>
      </c>
      <c r="O242" s="212"/>
      <c r="Q242" s="212"/>
      <c r="R242" s="213"/>
      <c r="S242" s="213"/>
      <c r="T242" s="213"/>
      <c r="U242" s="213"/>
      <c r="V242" s="213"/>
      <c r="W242" s="213"/>
      <c r="X242" s="213"/>
      <c r="Y242" s="213"/>
      <c r="Z242" s="214"/>
      <c r="AA242" s="213"/>
      <c r="AB242" s="213"/>
      <c r="AC242" s="213"/>
      <c r="AD242" s="213"/>
      <c r="AE242" s="213"/>
      <c r="AF242" s="213"/>
      <c r="AG242" s="213"/>
      <c r="AH242" s="214"/>
      <c r="AJ242" s="631">
        <f ca="1">IF(AND($D242="Serviço",AJ$12&lt;&gt;0,$H242&gt;0,OR(AUTOEVENTO&lt;&gt;"manual",$M242&lt;&gt;1)),ROUND(OFFSET($P242,0,AJ$13),15-13*ORÇAMENTO!$AF$7)/$H242*OFFSET(ORÇAMENTO!$X$15,ROW(AJ242)-ROW(AJ$15),0),0)</f>
        <v>0</v>
      </c>
      <c r="AK242" s="632">
        <f ca="1">IF(AND($D242="Serviço",AK$12&lt;&gt;0,$H242&gt;0,OR(AUTOEVENTO&lt;&gt;"manual",$M242&lt;&gt;1)),ROUND(OFFSET($P242,0,AK$13),15-13*ORÇAMENTO!$AF$7)/$H242*OFFSET(ORÇAMENTO!$X$15,ROW(AK242)-ROW(AK$15),0),0)</f>
        <v>0</v>
      </c>
      <c r="AL242" s="632">
        <f ca="1">IF(AND($D242="Serviço",AL$12&lt;&gt;0,$H242&gt;0,OR(AUTOEVENTO&lt;&gt;"manual",$M242&lt;&gt;1)),ROUND(OFFSET($P242,0,AL$13),15-13*ORÇAMENTO!$AF$7)/$H242*OFFSET(ORÇAMENTO!$X$15,ROW(AL242)-ROW(AL$15),0),0)</f>
        <v>0</v>
      </c>
      <c r="AM242" s="632">
        <f ca="1">IF(AND($D242="Serviço",AM$12&lt;&gt;0,$H242&gt;0,OR(AUTOEVENTO&lt;&gt;"manual",$M242&lt;&gt;1)),ROUND(OFFSET($P242,0,AM$13),15-13*ORÇAMENTO!$AF$7)/$H242*OFFSET(ORÇAMENTO!$X$15,ROW(AM242)-ROW(AM$15),0),0)</f>
        <v>0</v>
      </c>
      <c r="AN242" s="632">
        <f ca="1">IF(AND($D242="Serviço",AN$12&lt;&gt;0,$H242&gt;0,OR(AUTOEVENTO&lt;&gt;"manual",$M242&lt;&gt;1)),ROUND(OFFSET($P242,0,AN$13),15-13*ORÇAMENTO!$AF$7)/$H242*OFFSET(ORÇAMENTO!$X$15,ROW(AN242)-ROW(AN$15),0),0)</f>
        <v>0</v>
      </c>
      <c r="AO242" s="632">
        <f ca="1">IF(AND($D242="Serviço",AO$12&lt;&gt;0,$H242&gt;0,OR(AUTOEVENTO&lt;&gt;"manual",$M242&lt;&gt;1)),ROUND(OFFSET($P242,0,AO$13),15-13*ORÇAMENTO!$AF$7)/$H242*OFFSET(ORÇAMENTO!$X$15,ROW(AO242)-ROW(AO$15),0),0)</f>
        <v>0</v>
      </c>
      <c r="AP242" s="632">
        <f ca="1">IF(AND($D242="Serviço",AP$12&lt;&gt;0,$H242&gt;0,OR(AUTOEVENTO&lt;&gt;"manual",$M242&lt;&gt;1)),ROUND(OFFSET($P242,0,AP$13),15-13*ORÇAMENTO!$AF$7)/$H242*OFFSET(ORÇAMENTO!$X$15,ROW(AP242)-ROW(AP$15),0),0)</f>
        <v>0</v>
      </c>
      <c r="AQ242" s="632">
        <f ca="1">IF(AND($D242="Serviço",AQ$12&lt;&gt;0,$H242&gt;0,OR(AUTOEVENTO&lt;&gt;"manual",$M242&lt;&gt;1)),ROUND(OFFSET($P242,0,AQ$13),15-13*ORÇAMENTO!$AF$7)/$H242*OFFSET(ORÇAMENTO!$X$15,ROW(AQ242)-ROW(AQ$15),0),0)</f>
        <v>0</v>
      </c>
      <c r="AR242" s="632">
        <f ca="1">IF(AND($D242="Serviço",AR$12&lt;&gt;0,$H242&gt;0,OR(AUTOEVENTO&lt;&gt;"manual",$M242&lt;&gt;1)),ROUND(OFFSET($P242,0,AR$13),15-13*ORÇAMENTO!$AF$7)/$H242*OFFSET(ORÇAMENTO!$X$15,ROW(AR242)-ROW(AR$15),0),0)</f>
        <v>0</v>
      </c>
      <c r="AS242" s="633">
        <f ca="1">IF(AND($D242="Serviço",AS$12&lt;&gt;0,$H242&gt;0,OR(AUTOEVENTO&lt;&gt;"manual",$M242&lt;&gt;1)),ROUND(OFFSET($P242,0,AS$13),15-13*ORÇAMENTO!$AF$7)/$H242*OFFSET(ORÇAMENTO!$X$15,ROW(AS242)-ROW(AS$15),0),0)</f>
        <v>0</v>
      </c>
      <c r="AT242" s="632">
        <f ca="1">IF(AND($D242="Serviço",AT$12&lt;&gt;0,$H242&gt;0,OR(AUTOEVENTO&lt;&gt;"manual",$M242&lt;&gt;1)),ROUND(OFFSET($P242,0,AT$13),15-13*ORÇAMENTO!$AF$7)/$H242*OFFSET(ORÇAMENTO!$X$15,ROW(AT242)-ROW(AT$15),0),0)</f>
        <v>0</v>
      </c>
      <c r="AU242" s="632">
        <f ca="1">IF(AND($D242="Serviço",AU$12&lt;&gt;0,$H242&gt;0,OR(AUTOEVENTO&lt;&gt;"manual",$M242&lt;&gt;1)),ROUND(OFFSET($P242,0,AU$13),15-13*ORÇAMENTO!$AF$7)/$H242*OFFSET(ORÇAMENTO!$X$15,ROW(AU242)-ROW(AU$15),0),0)</f>
        <v>0</v>
      </c>
      <c r="AV242" s="632">
        <f ca="1">IF(AND($D242="Serviço",AV$12&lt;&gt;0,$H242&gt;0,OR(AUTOEVENTO&lt;&gt;"manual",$M242&lt;&gt;1)),ROUND(OFFSET($P242,0,AV$13),15-13*ORÇAMENTO!$AF$7)/$H242*OFFSET(ORÇAMENTO!$X$15,ROW(AV242)-ROW(AV$15),0),0)</f>
        <v>0</v>
      </c>
      <c r="AW242" s="632">
        <f ca="1">IF(AND($D242="Serviço",AW$12&lt;&gt;0,$H242&gt;0,OR(AUTOEVENTO&lt;&gt;"manual",$M242&lt;&gt;1)),ROUND(OFFSET($P242,0,AW$13),15-13*ORÇAMENTO!$AF$7)/$H242*OFFSET(ORÇAMENTO!$X$15,ROW(AW242)-ROW(AW$15),0),0)</f>
        <v>0</v>
      </c>
      <c r="AX242" s="632">
        <f ca="1">IF(AND($D242="Serviço",AX$12&lt;&gt;0,$H242&gt;0,OR(AUTOEVENTO&lt;&gt;"manual",$M242&lt;&gt;1)),ROUND(OFFSET($P242,0,AX$13),15-13*ORÇAMENTO!$AF$7)/$H242*OFFSET(ORÇAMENTO!$X$15,ROW(AX242)-ROW(AX$15),0),0)</f>
        <v>0</v>
      </c>
      <c r="AY242" s="632">
        <f ca="1">IF(AND($D242="Serviço",AY$12&lt;&gt;0,$H242&gt;0,OR(AUTOEVENTO&lt;&gt;"manual",$M242&lt;&gt;1)),ROUND(OFFSET($P242,0,AY$13),15-13*ORÇAMENTO!$AF$7)/$H242*OFFSET(ORÇAMENTO!$X$15,ROW(AY242)-ROW(AY$15),0),0)</f>
        <v>0</v>
      </c>
      <c r="AZ242" s="632">
        <f ca="1">IF(AND($D242="Serviço",AZ$12&lt;&gt;0,$H242&gt;0,OR(AUTOEVENTO&lt;&gt;"manual",$M242&lt;&gt;1)),ROUND(OFFSET($P242,0,AZ$13),15-13*ORÇAMENTO!$AF$7)/$H242*OFFSET(ORÇAMENTO!$X$15,ROW(AZ242)-ROW(AZ$15),0),0)</f>
        <v>0</v>
      </c>
      <c r="BA242" s="633">
        <f ca="1">IF(AND($D242="Serviço",BA$12&lt;&gt;0,$H242&gt;0,OR(AUTOEVENTO&lt;&gt;"manual",$M242&lt;&gt;1)),ROUND(OFFSET($P242,0,BA$13),15-13*ORÇAMENTO!$AF$7)/$H242*OFFSET(ORÇAMENTO!$X$15,ROW(BA242)-ROW(BA$15),0),0)</f>
        <v>0</v>
      </c>
      <c r="BC242" s="215">
        <f ca="1">IF($D242&lt;&gt;"Serviço",0,IF(AND(AUTOEVENTO="Manual",$M242=1),0,IF(OFFSET(CRONOPLE!$F$14,$M242,BC$13)="",10^12,OFFSET(CRONOPLE!$F$14,$M242,BC$13))))</f>
        <v>1000000000000</v>
      </c>
      <c r="BD242" s="215">
        <f ca="1">IF($D242&lt;&gt;"Serviço",0,IF(AND(AUTOEVENTO="Manual",$M242=1),0,IF(OFFSET(CRONOPLE!$F$14,$M242,BD$13)="",10^12,OFFSET(CRONOPLE!$F$14,$M242,BD$13))))</f>
        <v>1000000000000</v>
      </c>
      <c r="BE242" s="215">
        <f ca="1">IF($D242&lt;&gt;"Serviço",0,IF(AND(AUTOEVENTO="Manual",$M242=1),0,IF(OFFSET(CRONOPLE!$F$14,$M242,BE$13)="",10^12,OFFSET(CRONOPLE!$F$14,$M242,BE$13))))</f>
        <v>1000000000000</v>
      </c>
      <c r="BF242" s="215">
        <f ca="1">IF($D242&lt;&gt;"Serviço",0,IF(AND(AUTOEVENTO="Manual",$M242=1),0,IF(OFFSET(CRONOPLE!$F$14,$M242,BF$13)="",10^12,OFFSET(CRONOPLE!$F$14,$M242,BF$13))))</f>
        <v>1000000000000</v>
      </c>
      <c r="BG242" s="215">
        <f ca="1">IF($D242&lt;&gt;"Serviço",0,IF(AND(AUTOEVENTO="Manual",$M242=1),0,IF(OFFSET(CRONOPLE!$F$14,$M242,BG$13)="",10^12,OFFSET(CRONOPLE!$F$14,$M242,BG$13))))</f>
        <v>1000000000000</v>
      </c>
      <c r="BH242" s="215">
        <f ca="1">IF($D242&lt;&gt;"Serviço",0,IF(AND(AUTOEVENTO="Manual",$M242=1),0,IF(OFFSET(CRONOPLE!$F$14,$M242,BH$13)="",10^12,OFFSET(CRONOPLE!$F$14,$M242,BH$13))))</f>
        <v>1000000000000</v>
      </c>
      <c r="BI242" s="215">
        <f ca="1">IF($D242&lt;&gt;"Serviço",0,IF(AND(AUTOEVENTO="Manual",$M242=1),0,IF(OFFSET(CRONOPLE!$F$14,$M242,BI$13)="",10^12,OFFSET(CRONOPLE!$F$14,$M242,BI$13))))</f>
        <v>1000000000000</v>
      </c>
      <c r="BJ242" s="215">
        <f ca="1">IF($D242&lt;&gt;"Serviço",0,IF(AND(AUTOEVENTO="Manual",$M242=1),0,IF(OFFSET(CRONOPLE!$F$14,$M242,BJ$13)="",10^12,OFFSET(CRONOPLE!$F$14,$M242,BJ$13))))</f>
        <v>1000000000000</v>
      </c>
      <c r="BK242" s="215">
        <f ca="1">IF($D242&lt;&gt;"Serviço",0,IF(AND(AUTOEVENTO="Manual",$M242=1),0,IF(OFFSET(CRONOPLE!$F$14,$M242,BK$13)="",10^12,OFFSET(CRONOPLE!$F$14,$M242,BK$13))))</f>
        <v>1000000000000</v>
      </c>
      <c r="BL242" s="215">
        <f ca="1">IF($D242&lt;&gt;"Serviço",0,IF(AND(AUTOEVENTO="Manual",$M242=1),0,IF(OFFSET(CRONOPLE!$F$14,$M242,BL$13)="",10^12,OFFSET(CRONOPLE!$F$14,$M242,BL$13))))</f>
        <v>1000000000000</v>
      </c>
      <c r="BM242" s="215">
        <f ca="1">IF($D242&lt;&gt;"Serviço",0,IF(AND(AUTOEVENTO="Manual",$M242=1),0,IF(OFFSET(CRONOPLE!$F$14,$M242,BM$13)="",10^12,OFFSET(CRONOPLE!$F$14,$M242,BM$13))))</f>
        <v>1000000000000</v>
      </c>
      <c r="BN242" s="215">
        <f ca="1">IF($D242&lt;&gt;"Serviço",0,IF(AND(AUTOEVENTO="Manual",$M242=1),0,IF(OFFSET(CRONOPLE!$F$14,$M242,BN$13)="",10^12,OFFSET(CRONOPLE!$F$14,$M242,BN$13))))</f>
        <v>1000000000000</v>
      </c>
      <c r="BO242" s="215">
        <f ca="1">IF($D242&lt;&gt;"Serviço",0,IF(AND(AUTOEVENTO="Manual",$M242=1),0,IF(OFFSET(CRONOPLE!$F$14,$M242,BO$13)="",10^12,OFFSET(CRONOPLE!$F$14,$M242,BO$13))))</f>
        <v>1000000000000</v>
      </c>
      <c r="BP242" s="215">
        <f ca="1">IF($D242&lt;&gt;"Serviço",0,IF(AND(AUTOEVENTO="Manual",$M242=1),0,IF(OFFSET(CRONOPLE!$F$14,$M242,BP$13)="",10^12,OFFSET(CRONOPLE!$F$14,$M242,BP$13))))</f>
        <v>1000000000000</v>
      </c>
      <c r="BQ242" s="215">
        <f ca="1">IF($D242&lt;&gt;"Serviço",0,IF(AND(AUTOEVENTO="Manual",$M242=1),0,IF(OFFSET(CRONOPLE!$F$14,$M242,BQ$13)="",10^12,OFFSET(CRONOPLE!$F$14,$M242,BQ$13))))</f>
        <v>1000000000000</v>
      </c>
      <c r="BR242" s="215">
        <f ca="1">IF($D242&lt;&gt;"Serviço",0,IF(AND(AUTOEVENTO="Manual",$M242=1),0,IF(OFFSET(CRONOPLE!$F$14,$M242,BR$13)="",10^12,OFFSET(CRONOPLE!$F$14,$M242,BR$13))))</f>
        <v>1000000000000</v>
      </c>
      <c r="BS242" s="215">
        <f ca="1">IF($D242&lt;&gt;"Serviço",0,IF(AND(AUTOEVENTO="Manual",$M242=1),0,IF(OFFSET(CRONOPLE!$F$14,$M242,BS$13)="",10^12,OFFSET(CRONOPLE!$F$14,$M242,BS$13))))</f>
        <v>1000000000000</v>
      </c>
      <c r="BT242" s="215">
        <f ca="1">IF($D242&lt;&gt;"Serviço",0,IF(AND(AUTOEVENTO="Manual",$M242=1),0,IF(OFFSET(CRONOPLE!$F$14,$M242,BT$13)="",10^12,OFFSET(CRONOPLE!$F$14,$M242,BT$13))))</f>
        <v>1000000000000</v>
      </c>
      <c r="BV242" s="216">
        <f ca="1">IF($D242&lt;&gt;"Serviço",0,IF(OR(AND(AUTOEVENTO="Manual",$M242=1),$M242&gt;(ROW(PLE.lastrow)-ROW(PLE.firstrow))),0,IF(OFFSET(PLE!$G$14,$M242,BV$13)="",10^12,OFFSET(PLE!$G$14,$M242,BV$13))))</f>
        <v>1000000000000</v>
      </c>
      <c r="BW242" s="216">
        <f ca="1">IF($D242&lt;&gt;"Serviço",0,IF(OR(AND(AUTOEVENTO="Manual",$M242=1),$M242&gt;(ROW(PLE.lastrow)-ROW(PLE.firstrow))),0,IF(OFFSET(PLE!$G$14,$M242,BW$13)="",10^12,OFFSET(PLE!$G$14,$M242,BW$13))))</f>
        <v>1000000000000</v>
      </c>
      <c r="BX242" s="216">
        <f ca="1">IF($D242&lt;&gt;"Serviço",0,IF(OR(AND(AUTOEVENTO="Manual",$M242=1),$M242&gt;(ROW(PLE.lastrow)-ROW(PLE.firstrow))),0,IF(OFFSET(PLE!$G$14,$M242,BX$13)="",10^12,OFFSET(PLE!$G$14,$M242,BX$13))))</f>
        <v>1000000000000</v>
      </c>
      <c r="BY242" s="216">
        <f ca="1">IF($D242&lt;&gt;"Serviço",0,IF(OR(AND(AUTOEVENTO="Manual",$M242=1),$M242&gt;(ROW(PLE.lastrow)-ROW(PLE.firstrow))),0,IF(OFFSET(PLE!$G$14,$M242,BY$13)="",10^12,OFFSET(PLE!$G$14,$M242,BY$13))))</f>
        <v>1000000000000</v>
      </c>
      <c r="BZ242" s="216">
        <f ca="1">IF($D242&lt;&gt;"Serviço",0,IF(OR(AND(AUTOEVENTO="Manual",$M242=1),$M242&gt;(ROW(PLE.lastrow)-ROW(PLE.firstrow))),0,IF(OFFSET(PLE!$G$14,$M242,BZ$13)="",10^12,OFFSET(PLE!$G$14,$M242,BZ$13))))</f>
        <v>1000000000000</v>
      </c>
      <c r="CA242" s="216">
        <f ca="1">IF($D242&lt;&gt;"Serviço",0,IF(OR(AND(AUTOEVENTO="Manual",$M242=1),$M242&gt;(ROW(PLE.lastrow)-ROW(PLE.firstrow))),0,IF(OFFSET(PLE!$G$14,$M242,CA$13)="",10^12,OFFSET(PLE!$G$14,$M242,CA$13))))</f>
        <v>1000000000000</v>
      </c>
      <c r="CB242" s="216">
        <f ca="1">IF($D242&lt;&gt;"Serviço",0,IF(OR(AND(AUTOEVENTO="Manual",$M242=1),$M242&gt;(ROW(PLE.lastrow)-ROW(PLE.firstrow))),0,IF(OFFSET(PLE!$G$14,$M242,CB$13)="",10^12,OFFSET(PLE!$G$14,$M242,CB$13))))</f>
        <v>1000000000000</v>
      </c>
      <c r="CC242" s="216">
        <f ca="1">IF($D242&lt;&gt;"Serviço",0,IF(OR(AND(AUTOEVENTO="Manual",$M242=1),$M242&gt;(ROW(PLE.lastrow)-ROW(PLE.firstrow))),0,IF(OFFSET(PLE!$G$14,$M242,CC$13)="",10^12,OFFSET(PLE!$G$14,$M242,CC$13))))</f>
        <v>1000000000000</v>
      </c>
      <c r="CD242" s="216">
        <f ca="1">IF($D242&lt;&gt;"Serviço",0,IF(OR(AND(AUTOEVENTO="Manual",$M242=1),$M242&gt;(ROW(PLE.lastrow)-ROW(PLE.firstrow))),0,IF(OFFSET(PLE!$G$14,$M242,CD$13)="",10^12,OFFSET(PLE!$G$14,$M242,CD$13))))</f>
        <v>1000000000000</v>
      </c>
      <c r="CE242" s="216">
        <f ca="1">IF($D242&lt;&gt;"Serviço",0,IF(OR(AND(AUTOEVENTO="Manual",$M242=1),$M242&gt;(ROW(PLE.lastrow)-ROW(PLE.firstrow))),0,IF(OFFSET(PLE!$G$14,$M242,CE$13)="",10^12,OFFSET(PLE!$G$14,$M242,CE$13))))</f>
        <v>1000000000000</v>
      </c>
      <c r="CF242" s="216">
        <f ca="1">IF($D242&lt;&gt;"Serviço",0,IF(OR(AND(AUTOEVENTO="Manual",$M242=1),$M242&gt;(ROW(PLE.lastrow)-ROW(PLE.firstrow))),0,IF(OFFSET(PLE!$G$14,$M242,CF$13)="",10^12,OFFSET(PLE!$G$14,$M242,CF$13))))</f>
        <v>1000000000000</v>
      </c>
      <c r="CG242" s="216">
        <f ca="1">IF($D242&lt;&gt;"Serviço",0,IF(OR(AND(AUTOEVENTO="Manual",$M242=1),$M242&gt;(ROW(PLE.lastrow)-ROW(PLE.firstrow))),0,IF(OFFSET(PLE!$G$14,$M242,CG$13)="",10^12,OFFSET(PLE!$G$14,$M242,CG$13))))</f>
        <v>1000000000000</v>
      </c>
      <c r="CH242" s="216">
        <f ca="1">IF($D242&lt;&gt;"Serviço",0,IF(OR(AND(AUTOEVENTO="Manual",$M242=1),$M242&gt;(ROW(PLE.lastrow)-ROW(PLE.firstrow))),0,IF(OFFSET(PLE!$G$14,$M242,CH$13)="",10^12,OFFSET(PLE!$G$14,$M242,CH$13))))</f>
        <v>1000000000000</v>
      </c>
      <c r="CI242" s="216">
        <f ca="1">IF($D242&lt;&gt;"Serviço",0,IF(OR(AND(AUTOEVENTO="Manual",$M242=1),$M242&gt;(ROW(PLE.lastrow)-ROW(PLE.firstrow))),0,IF(OFFSET(PLE!$G$14,$M242,CI$13)="",10^12,OFFSET(PLE!$G$14,$M242,CI$13))))</f>
        <v>1000000000000</v>
      </c>
      <c r="CJ242" s="216">
        <f ca="1">IF($D242&lt;&gt;"Serviço",0,IF(OR(AND(AUTOEVENTO="Manual",$M242=1),$M242&gt;(ROW(PLE.lastrow)-ROW(PLE.firstrow))),0,IF(OFFSET(PLE!$G$14,$M242,CJ$13)="",10^12,OFFSET(PLE!$G$14,$M242,CJ$13))))</f>
        <v>1000000000000</v>
      </c>
      <c r="CK242" s="216">
        <f ca="1">IF($D242&lt;&gt;"Serviço",0,IF(OR(AND(AUTOEVENTO="Manual",$M242=1),$M242&gt;(ROW(PLE.lastrow)-ROW(PLE.firstrow))),0,IF(OFFSET(PLE!$G$14,$M242,CK$13)="",10^12,OFFSET(PLE!$G$14,$M242,CK$13))))</f>
        <v>1000000000000</v>
      </c>
      <c r="CL242" s="216">
        <f ca="1">IF($D242&lt;&gt;"Serviço",0,IF(OR(AND(AUTOEVENTO="Manual",$M242=1),$M242&gt;(ROW(PLE.lastrow)-ROW(PLE.firstrow))),0,IF(OFFSET(PLE!$G$14,$M242,CL$13)="",10^12,OFFSET(PLE!$G$14,$M242,CL$13))))</f>
        <v>1000000000000</v>
      </c>
      <c r="CM242" s="216">
        <f ca="1">IF($D242&lt;&gt;"Serviço",0,IF(OR(AND(AUTOEVENTO="Manual",$M242=1),$M242&gt;(ROW(PLE.lastrow)-ROW(PLE.firstrow))),0,IF(OFFSET(PLE!$G$14,$M242,CM$13)="",10^12,OFFSET(PLE!$G$14,$M242,CM$13))))</f>
        <v>1000000000000</v>
      </c>
    </row>
    <row r="243" spans="1:91" ht="13.2" x14ac:dyDescent="0.25">
      <c r="A243" s="9">
        <f t="shared" ca="1" si="12"/>
        <v>0</v>
      </c>
      <c r="B243" s="9">
        <f ca="1">OFFSET(ORÇAMENTO!C$15,ROW(B243)-ROW(B$15),0)</f>
        <v>2</v>
      </c>
      <c r="C243" s="9" t="str">
        <f ca="1">OFFSET(ORÇAMENTO!L$15,ROW(C243)-ROW(C$15),0)</f>
        <v>F</v>
      </c>
      <c r="D243" s="145" t="str">
        <f ca="1">OFFSET(ORÇAMENTO!N$15,ROW(D243)-ROW(D$15),0)</f>
        <v>Nível 2</v>
      </c>
      <c r="E243" s="205" t="str">
        <f ca="1">OFFSET(ORÇAMENTO!O$15,ROW(E243)-ROW(E$15),0)</f>
        <v>1.9.</v>
      </c>
      <c r="F243" s="206" t="str">
        <f ca="1">OFFSET(ORÇAMENTO!R$15,ROW(F243)-ROW(F$15),0)</f>
        <v>REVESTIMENTOS INTERNO E EXTERNO</v>
      </c>
      <c r="G243" s="207" t="str">
        <f ca="1">IF($D243&lt;&gt;"Serviço","",OFFSET(ORÇAMENTO!S$15,ROW(G243)-ROW(G$15),0))</f>
        <v/>
      </c>
      <c r="H243" s="151">
        <f ca="1">IF($D243&lt;&gt;"Serviço",0,IF(ACOMPANHAMENTO="BM",ROUND(OFFSET(ORÇAMENTO!AJ$15,ROW(H243)-ROW(H$15),0),15-13*ORÇAMENTO!$AF$7),SUMPRODUCT(($Q$12:$AI$12&lt;&gt;"")*ROUND($Q243:$AI243,15-13*ORÇAMENTO!$AF$7))))</f>
        <v>0</v>
      </c>
      <c r="I243" s="650"/>
      <c r="K243" s="208"/>
      <c r="L243" s="209" t="s">
        <v>257</v>
      </c>
      <c r="M243" s="210" t="str">
        <f ca="1">IF($D243&lt;&gt;"Serviço","",IF(AUTOEVENTO="manual",$A243,IF(ISERROR(MATCH($A243,$A$15:OFFSET($A243,-1,0),0)),MAX($M$15:OFFSET(M243,-1,0))+1,INDEX($M$15:OFFSET(M243,-1,0),MATCH($A243,$A$15:OFFSET($A243,-1,0),0)))))</f>
        <v/>
      </c>
      <c r="N243" s="211" t="str">
        <f ca="1">IF($D243&lt;&gt;"Serviço","",IF(AUTOEVENTO="Manual",IF($A243=0,"&lt;-- defina o número do agrupador",OFFSET(EVENTOS!$D$14,$A243,0)),OFFSET($F$15,$A243,0)))</f>
        <v/>
      </c>
      <c r="O243" s="212"/>
      <c r="Q243" s="212"/>
      <c r="R243" s="213"/>
      <c r="S243" s="213"/>
      <c r="T243" s="213"/>
      <c r="U243" s="213"/>
      <c r="V243" s="213"/>
      <c r="W243" s="213"/>
      <c r="X243" s="213"/>
      <c r="Y243" s="213"/>
      <c r="Z243" s="214"/>
      <c r="AA243" s="213"/>
      <c r="AB243" s="213"/>
      <c r="AC243" s="213"/>
      <c r="AD243" s="213"/>
      <c r="AE243" s="213"/>
      <c r="AF243" s="213"/>
      <c r="AG243" s="213"/>
      <c r="AH243" s="214"/>
      <c r="AJ243" s="631">
        <f ca="1">IF(AND($D243="Serviço",AJ$12&lt;&gt;0,$H243&gt;0,OR(AUTOEVENTO&lt;&gt;"manual",$M243&lt;&gt;1)),ROUND(OFFSET($P243,0,AJ$13),15-13*ORÇAMENTO!$AF$7)/$H243*OFFSET(ORÇAMENTO!$X$15,ROW(AJ243)-ROW(AJ$15),0),0)</f>
        <v>0</v>
      </c>
      <c r="AK243" s="632">
        <f ca="1">IF(AND($D243="Serviço",AK$12&lt;&gt;0,$H243&gt;0,OR(AUTOEVENTO&lt;&gt;"manual",$M243&lt;&gt;1)),ROUND(OFFSET($P243,0,AK$13),15-13*ORÇAMENTO!$AF$7)/$H243*OFFSET(ORÇAMENTO!$X$15,ROW(AK243)-ROW(AK$15),0),0)</f>
        <v>0</v>
      </c>
      <c r="AL243" s="632">
        <f ca="1">IF(AND($D243="Serviço",AL$12&lt;&gt;0,$H243&gt;0,OR(AUTOEVENTO&lt;&gt;"manual",$M243&lt;&gt;1)),ROUND(OFFSET($P243,0,AL$13),15-13*ORÇAMENTO!$AF$7)/$H243*OFFSET(ORÇAMENTO!$X$15,ROW(AL243)-ROW(AL$15),0),0)</f>
        <v>0</v>
      </c>
      <c r="AM243" s="632">
        <f ca="1">IF(AND($D243="Serviço",AM$12&lt;&gt;0,$H243&gt;0,OR(AUTOEVENTO&lt;&gt;"manual",$M243&lt;&gt;1)),ROUND(OFFSET($P243,0,AM$13),15-13*ORÇAMENTO!$AF$7)/$H243*OFFSET(ORÇAMENTO!$X$15,ROW(AM243)-ROW(AM$15),0),0)</f>
        <v>0</v>
      </c>
      <c r="AN243" s="632">
        <f ca="1">IF(AND($D243="Serviço",AN$12&lt;&gt;0,$H243&gt;0,OR(AUTOEVENTO&lt;&gt;"manual",$M243&lt;&gt;1)),ROUND(OFFSET($P243,0,AN$13),15-13*ORÇAMENTO!$AF$7)/$H243*OFFSET(ORÇAMENTO!$X$15,ROW(AN243)-ROW(AN$15),0),0)</f>
        <v>0</v>
      </c>
      <c r="AO243" s="632">
        <f ca="1">IF(AND($D243="Serviço",AO$12&lt;&gt;0,$H243&gt;0,OR(AUTOEVENTO&lt;&gt;"manual",$M243&lt;&gt;1)),ROUND(OFFSET($P243,0,AO$13),15-13*ORÇAMENTO!$AF$7)/$H243*OFFSET(ORÇAMENTO!$X$15,ROW(AO243)-ROW(AO$15),0),0)</f>
        <v>0</v>
      </c>
      <c r="AP243" s="632">
        <f ca="1">IF(AND($D243="Serviço",AP$12&lt;&gt;0,$H243&gt;0,OR(AUTOEVENTO&lt;&gt;"manual",$M243&lt;&gt;1)),ROUND(OFFSET($P243,0,AP$13),15-13*ORÇAMENTO!$AF$7)/$H243*OFFSET(ORÇAMENTO!$X$15,ROW(AP243)-ROW(AP$15),0),0)</f>
        <v>0</v>
      </c>
      <c r="AQ243" s="632">
        <f ca="1">IF(AND($D243="Serviço",AQ$12&lt;&gt;0,$H243&gt;0,OR(AUTOEVENTO&lt;&gt;"manual",$M243&lt;&gt;1)),ROUND(OFFSET($P243,0,AQ$13),15-13*ORÇAMENTO!$AF$7)/$H243*OFFSET(ORÇAMENTO!$X$15,ROW(AQ243)-ROW(AQ$15),0),0)</f>
        <v>0</v>
      </c>
      <c r="AR243" s="632">
        <f ca="1">IF(AND($D243="Serviço",AR$12&lt;&gt;0,$H243&gt;0,OR(AUTOEVENTO&lt;&gt;"manual",$M243&lt;&gt;1)),ROUND(OFFSET($P243,0,AR$13),15-13*ORÇAMENTO!$AF$7)/$H243*OFFSET(ORÇAMENTO!$X$15,ROW(AR243)-ROW(AR$15),0),0)</f>
        <v>0</v>
      </c>
      <c r="AS243" s="633">
        <f ca="1">IF(AND($D243="Serviço",AS$12&lt;&gt;0,$H243&gt;0,OR(AUTOEVENTO&lt;&gt;"manual",$M243&lt;&gt;1)),ROUND(OFFSET($P243,0,AS$13),15-13*ORÇAMENTO!$AF$7)/$H243*OFFSET(ORÇAMENTO!$X$15,ROW(AS243)-ROW(AS$15),0),0)</f>
        <v>0</v>
      </c>
      <c r="AT243" s="632">
        <f ca="1">IF(AND($D243="Serviço",AT$12&lt;&gt;0,$H243&gt;0,OR(AUTOEVENTO&lt;&gt;"manual",$M243&lt;&gt;1)),ROUND(OFFSET($P243,0,AT$13),15-13*ORÇAMENTO!$AF$7)/$H243*OFFSET(ORÇAMENTO!$X$15,ROW(AT243)-ROW(AT$15),0),0)</f>
        <v>0</v>
      </c>
      <c r="AU243" s="632">
        <f ca="1">IF(AND($D243="Serviço",AU$12&lt;&gt;0,$H243&gt;0,OR(AUTOEVENTO&lt;&gt;"manual",$M243&lt;&gt;1)),ROUND(OFFSET($P243,0,AU$13),15-13*ORÇAMENTO!$AF$7)/$H243*OFFSET(ORÇAMENTO!$X$15,ROW(AU243)-ROW(AU$15),0),0)</f>
        <v>0</v>
      </c>
      <c r="AV243" s="632">
        <f ca="1">IF(AND($D243="Serviço",AV$12&lt;&gt;0,$H243&gt;0,OR(AUTOEVENTO&lt;&gt;"manual",$M243&lt;&gt;1)),ROUND(OFFSET($P243,0,AV$13),15-13*ORÇAMENTO!$AF$7)/$H243*OFFSET(ORÇAMENTO!$X$15,ROW(AV243)-ROW(AV$15),0),0)</f>
        <v>0</v>
      </c>
      <c r="AW243" s="632">
        <f ca="1">IF(AND($D243="Serviço",AW$12&lt;&gt;0,$H243&gt;0,OR(AUTOEVENTO&lt;&gt;"manual",$M243&lt;&gt;1)),ROUND(OFFSET($P243,0,AW$13),15-13*ORÇAMENTO!$AF$7)/$H243*OFFSET(ORÇAMENTO!$X$15,ROW(AW243)-ROW(AW$15),0),0)</f>
        <v>0</v>
      </c>
      <c r="AX243" s="632">
        <f ca="1">IF(AND($D243="Serviço",AX$12&lt;&gt;0,$H243&gt;0,OR(AUTOEVENTO&lt;&gt;"manual",$M243&lt;&gt;1)),ROUND(OFFSET($P243,0,AX$13),15-13*ORÇAMENTO!$AF$7)/$H243*OFFSET(ORÇAMENTO!$X$15,ROW(AX243)-ROW(AX$15),0),0)</f>
        <v>0</v>
      </c>
      <c r="AY243" s="632">
        <f ca="1">IF(AND($D243="Serviço",AY$12&lt;&gt;0,$H243&gt;0,OR(AUTOEVENTO&lt;&gt;"manual",$M243&lt;&gt;1)),ROUND(OFFSET($P243,0,AY$13),15-13*ORÇAMENTO!$AF$7)/$H243*OFFSET(ORÇAMENTO!$X$15,ROW(AY243)-ROW(AY$15),0),0)</f>
        <v>0</v>
      </c>
      <c r="AZ243" s="632">
        <f ca="1">IF(AND($D243="Serviço",AZ$12&lt;&gt;0,$H243&gt;0,OR(AUTOEVENTO&lt;&gt;"manual",$M243&lt;&gt;1)),ROUND(OFFSET($P243,0,AZ$13),15-13*ORÇAMENTO!$AF$7)/$H243*OFFSET(ORÇAMENTO!$X$15,ROW(AZ243)-ROW(AZ$15),0),0)</f>
        <v>0</v>
      </c>
      <c r="BA243" s="633">
        <f ca="1">IF(AND($D243="Serviço",BA$12&lt;&gt;0,$H243&gt;0,OR(AUTOEVENTO&lt;&gt;"manual",$M243&lt;&gt;1)),ROUND(OFFSET($P243,0,BA$13),15-13*ORÇAMENTO!$AF$7)/$H243*OFFSET(ORÇAMENTO!$X$15,ROW(BA243)-ROW(BA$15),0),0)</f>
        <v>0</v>
      </c>
      <c r="BC243" s="215">
        <f ca="1">IF($D243&lt;&gt;"Serviço",0,IF(AND(AUTOEVENTO="Manual",$M243=1),0,IF(OFFSET(CRONOPLE!$F$14,$M243,BC$13)="",10^12,OFFSET(CRONOPLE!$F$14,$M243,BC$13))))</f>
        <v>0</v>
      </c>
      <c r="BD243" s="215">
        <f ca="1">IF($D243&lt;&gt;"Serviço",0,IF(AND(AUTOEVENTO="Manual",$M243=1),0,IF(OFFSET(CRONOPLE!$F$14,$M243,BD$13)="",10^12,OFFSET(CRONOPLE!$F$14,$M243,BD$13))))</f>
        <v>0</v>
      </c>
      <c r="BE243" s="215">
        <f ca="1">IF($D243&lt;&gt;"Serviço",0,IF(AND(AUTOEVENTO="Manual",$M243=1),0,IF(OFFSET(CRONOPLE!$F$14,$M243,BE$13)="",10^12,OFFSET(CRONOPLE!$F$14,$M243,BE$13))))</f>
        <v>0</v>
      </c>
      <c r="BF243" s="215">
        <f ca="1">IF($D243&lt;&gt;"Serviço",0,IF(AND(AUTOEVENTO="Manual",$M243=1),0,IF(OFFSET(CRONOPLE!$F$14,$M243,BF$13)="",10^12,OFFSET(CRONOPLE!$F$14,$M243,BF$13))))</f>
        <v>0</v>
      </c>
      <c r="BG243" s="215">
        <f ca="1">IF($D243&lt;&gt;"Serviço",0,IF(AND(AUTOEVENTO="Manual",$M243=1),0,IF(OFFSET(CRONOPLE!$F$14,$M243,BG$13)="",10^12,OFFSET(CRONOPLE!$F$14,$M243,BG$13))))</f>
        <v>0</v>
      </c>
      <c r="BH243" s="215">
        <f ca="1">IF($D243&lt;&gt;"Serviço",0,IF(AND(AUTOEVENTO="Manual",$M243=1),0,IF(OFFSET(CRONOPLE!$F$14,$M243,BH$13)="",10^12,OFFSET(CRONOPLE!$F$14,$M243,BH$13))))</f>
        <v>0</v>
      </c>
      <c r="BI243" s="215">
        <f ca="1">IF($D243&lt;&gt;"Serviço",0,IF(AND(AUTOEVENTO="Manual",$M243=1),0,IF(OFFSET(CRONOPLE!$F$14,$M243,BI$13)="",10^12,OFFSET(CRONOPLE!$F$14,$M243,BI$13))))</f>
        <v>0</v>
      </c>
      <c r="BJ243" s="215">
        <f ca="1">IF($D243&lt;&gt;"Serviço",0,IF(AND(AUTOEVENTO="Manual",$M243=1),0,IF(OFFSET(CRONOPLE!$F$14,$M243,BJ$13)="",10^12,OFFSET(CRONOPLE!$F$14,$M243,BJ$13))))</f>
        <v>0</v>
      </c>
      <c r="BK243" s="215">
        <f ca="1">IF($D243&lt;&gt;"Serviço",0,IF(AND(AUTOEVENTO="Manual",$M243=1),0,IF(OFFSET(CRONOPLE!$F$14,$M243,BK$13)="",10^12,OFFSET(CRONOPLE!$F$14,$M243,BK$13))))</f>
        <v>0</v>
      </c>
      <c r="BL243" s="215">
        <f ca="1">IF($D243&lt;&gt;"Serviço",0,IF(AND(AUTOEVENTO="Manual",$M243=1),0,IF(OFFSET(CRONOPLE!$F$14,$M243,BL$13)="",10^12,OFFSET(CRONOPLE!$F$14,$M243,BL$13))))</f>
        <v>0</v>
      </c>
      <c r="BM243" s="215">
        <f ca="1">IF($D243&lt;&gt;"Serviço",0,IF(AND(AUTOEVENTO="Manual",$M243=1),0,IF(OFFSET(CRONOPLE!$F$14,$M243,BM$13)="",10^12,OFFSET(CRONOPLE!$F$14,$M243,BM$13))))</f>
        <v>0</v>
      </c>
      <c r="BN243" s="215">
        <f ca="1">IF($D243&lt;&gt;"Serviço",0,IF(AND(AUTOEVENTO="Manual",$M243=1),0,IF(OFFSET(CRONOPLE!$F$14,$M243,BN$13)="",10^12,OFFSET(CRONOPLE!$F$14,$M243,BN$13))))</f>
        <v>0</v>
      </c>
      <c r="BO243" s="215">
        <f ca="1">IF($D243&lt;&gt;"Serviço",0,IF(AND(AUTOEVENTO="Manual",$M243=1),0,IF(OFFSET(CRONOPLE!$F$14,$M243,BO$13)="",10^12,OFFSET(CRONOPLE!$F$14,$M243,BO$13))))</f>
        <v>0</v>
      </c>
      <c r="BP243" s="215">
        <f ca="1">IF($D243&lt;&gt;"Serviço",0,IF(AND(AUTOEVENTO="Manual",$M243=1),0,IF(OFFSET(CRONOPLE!$F$14,$M243,BP$13)="",10^12,OFFSET(CRONOPLE!$F$14,$M243,BP$13))))</f>
        <v>0</v>
      </c>
      <c r="BQ243" s="215">
        <f ca="1">IF($D243&lt;&gt;"Serviço",0,IF(AND(AUTOEVENTO="Manual",$M243=1),0,IF(OFFSET(CRONOPLE!$F$14,$M243,BQ$13)="",10^12,OFFSET(CRONOPLE!$F$14,$M243,BQ$13))))</f>
        <v>0</v>
      </c>
      <c r="BR243" s="215">
        <f ca="1">IF($D243&lt;&gt;"Serviço",0,IF(AND(AUTOEVENTO="Manual",$M243=1),0,IF(OFFSET(CRONOPLE!$F$14,$M243,BR$13)="",10^12,OFFSET(CRONOPLE!$F$14,$M243,BR$13))))</f>
        <v>0</v>
      </c>
      <c r="BS243" s="215">
        <f ca="1">IF($D243&lt;&gt;"Serviço",0,IF(AND(AUTOEVENTO="Manual",$M243=1),0,IF(OFFSET(CRONOPLE!$F$14,$M243,BS$13)="",10^12,OFFSET(CRONOPLE!$F$14,$M243,BS$13))))</f>
        <v>0</v>
      </c>
      <c r="BT243" s="215">
        <f ca="1">IF($D243&lt;&gt;"Serviço",0,IF(AND(AUTOEVENTO="Manual",$M243=1),0,IF(OFFSET(CRONOPLE!$F$14,$M243,BT$13)="",10^12,OFFSET(CRONOPLE!$F$14,$M243,BT$13))))</f>
        <v>0</v>
      </c>
      <c r="BV243" s="216">
        <f ca="1">IF($D243&lt;&gt;"Serviço",0,IF(OR(AND(AUTOEVENTO="Manual",$M243=1),$M243&gt;(ROW(PLE.lastrow)-ROW(PLE.firstrow))),0,IF(OFFSET(PLE!$G$14,$M243,BV$13)="",10^12,OFFSET(PLE!$G$14,$M243,BV$13))))</f>
        <v>0</v>
      </c>
      <c r="BW243" s="216">
        <f ca="1">IF($D243&lt;&gt;"Serviço",0,IF(OR(AND(AUTOEVENTO="Manual",$M243=1),$M243&gt;(ROW(PLE.lastrow)-ROW(PLE.firstrow))),0,IF(OFFSET(PLE!$G$14,$M243,BW$13)="",10^12,OFFSET(PLE!$G$14,$M243,BW$13))))</f>
        <v>0</v>
      </c>
      <c r="BX243" s="216">
        <f ca="1">IF($D243&lt;&gt;"Serviço",0,IF(OR(AND(AUTOEVENTO="Manual",$M243=1),$M243&gt;(ROW(PLE.lastrow)-ROW(PLE.firstrow))),0,IF(OFFSET(PLE!$G$14,$M243,BX$13)="",10^12,OFFSET(PLE!$G$14,$M243,BX$13))))</f>
        <v>0</v>
      </c>
      <c r="BY243" s="216">
        <f ca="1">IF($D243&lt;&gt;"Serviço",0,IF(OR(AND(AUTOEVENTO="Manual",$M243=1),$M243&gt;(ROW(PLE.lastrow)-ROW(PLE.firstrow))),0,IF(OFFSET(PLE!$G$14,$M243,BY$13)="",10^12,OFFSET(PLE!$G$14,$M243,BY$13))))</f>
        <v>0</v>
      </c>
      <c r="BZ243" s="216">
        <f ca="1">IF($D243&lt;&gt;"Serviço",0,IF(OR(AND(AUTOEVENTO="Manual",$M243=1),$M243&gt;(ROW(PLE.lastrow)-ROW(PLE.firstrow))),0,IF(OFFSET(PLE!$G$14,$M243,BZ$13)="",10^12,OFFSET(PLE!$G$14,$M243,BZ$13))))</f>
        <v>0</v>
      </c>
      <c r="CA243" s="216">
        <f ca="1">IF($D243&lt;&gt;"Serviço",0,IF(OR(AND(AUTOEVENTO="Manual",$M243=1),$M243&gt;(ROW(PLE.lastrow)-ROW(PLE.firstrow))),0,IF(OFFSET(PLE!$G$14,$M243,CA$13)="",10^12,OFFSET(PLE!$G$14,$M243,CA$13))))</f>
        <v>0</v>
      </c>
      <c r="CB243" s="216">
        <f ca="1">IF($D243&lt;&gt;"Serviço",0,IF(OR(AND(AUTOEVENTO="Manual",$M243=1),$M243&gt;(ROW(PLE.lastrow)-ROW(PLE.firstrow))),0,IF(OFFSET(PLE!$G$14,$M243,CB$13)="",10^12,OFFSET(PLE!$G$14,$M243,CB$13))))</f>
        <v>0</v>
      </c>
      <c r="CC243" s="216">
        <f ca="1">IF($D243&lt;&gt;"Serviço",0,IF(OR(AND(AUTOEVENTO="Manual",$M243=1),$M243&gt;(ROW(PLE.lastrow)-ROW(PLE.firstrow))),0,IF(OFFSET(PLE!$G$14,$M243,CC$13)="",10^12,OFFSET(PLE!$G$14,$M243,CC$13))))</f>
        <v>0</v>
      </c>
      <c r="CD243" s="216">
        <f ca="1">IF($D243&lt;&gt;"Serviço",0,IF(OR(AND(AUTOEVENTO="Manual",$M243=1),$M243&gt;(ROW(PLE.lastrow)-ROW(PLE.firstrow))),0,IF(OFFSET(PLE!$G$14,$M243,CD$13)="",10^12,OFFSET(PLE!$G$14,$M243,CD$13))))</f>
        <v>0</v>
      </c>
      <c r="CE243" s="216">
        <f ca="1">IF($D243&lt;&gt;"Serviço",0,IF(OR(AND(AUTOEVENTO="Manual",$M243=1),$M243&gt;(ROW(PLE.lastrow)-ROW(PLE.firstrow))),0,IF(OFFSET(PLE!$G$14,$M243,CE$13)="",10^12,OFFSET(PLE!$G$14,$M243,CE$13))))</f>
        <v>0</v>
      </c>
      <c r="CF243" s="216">
        <f ca="1">IF($D243&lt;&gt;"Serviço",0,IF(OR(AND(AUTOEVENTO="Manual",$M243=1),$M243&gt;(ROW(PLE.lastrow)-ROW(PLE.firstrow))),0,IF(OFFSET(PLE!$G$14,$M243,CF$13)="",10^12,OFFSET(PLE!$G$14,$M243,CF$13))))</f>
        <v>0</v>
      </c>
      <c r="CG243" s="216">
        <f ca="1">IF($D243&lt;&gt;"Serviço",0,IF(OR(AND(AUTOEVENTO="Manual",$M243=1),$M243&gt;(ROW(PLE.lastrow)-ROW(PLE.firstrow))),0,IF(OFFSET(PLE!$G$14,$M243,CG$13)="",10^12,OFFSET(PLE!$G$14,$M243,CG$13))))</f>
        <v>0</v>
      </c>
      <c r="CH243" s="216">
        <f ca="1">IF($D243&lt;&gt;"Serviço",0,IF(OR(AND(AUTOEVENTO="Manual",$M243=1),$M243&gt;(ROW(PLE.lastrow)-ROW(PLE.firstrow))),0,IF(OFFSET(PLE!$G$14,$M243,CH$13)="",10^12,OFFSET(PLE!$G$14,$M243,CH$13))))</f>
        <v>0</v>
      </c>
      <c r="CI243" s="216">
        <f ca="1">IF($D243&lt;&gt;"Serviço",0,IF(OR(AND(AUTOEVENTO="Manual",$M243=1),$M243&gt;(ROW(PLE.lastrow)-ROW(PLE.firstrow))),0,IF(OFFSET(PLE!$G$14,$M243,CI$13)="",10^12,OFFSET(PLE!$G$14,$M243,CI$13))))</f>
        <v>0</v>
      </c>
      <c r="CJ243" s="216">
        <f ca="1">IF($D243&lt;&gt;"Serviço",0,IF(OR(AND(AUTOEVENTO="Manual",$M243=1),$M243&gt;(ROW(PLE.lastrow)-ROW(PLE.firstrow))),0,IF(OFFSET(PLE!$G$14,$M243,CJ$13)="",10^12,OFFSET(PLE!$G$14,$M243,CJ$13))))</f>
        <v>0</v>
      </c>
      <c r="CK243" s="216">
        <f ca="1">IF($D243&lt;&gt;"Serviço",0,IF(OR(AND(AUTOEVENTO="Manual",$M243=1),$M243&gt;(ROW(PLE.lastrow)-ROW(PLE.firstrow))),0,IF(OFFSET(PLE!$G$14,$M243,CK$13)="",10^12,OFFSET(PLE!$G$14,$M243,CK$13))))</f>
        <v>0</v>
      </c>
      <c r="CL243" s="216">
        <f ca="1">IF($D243&lt;&gt;"Serviço",0,IF(OR(AND(AUTOEVENTO="Manual",$M243=1),$M243&gt;(ROW(PLE.lastrow)-ROW(PLE.firstrow))),0,IF(OFFSET(PLE!$G$14,$M243,CL$13)="",10^12,OFFSET(PLE!$G$14,$M243,CL$13))))</f>
        <v>0</v>
      </c>
      <c r="CM243" s="216">
        <f ca="1">IF($D243&lt;&gt;"Serviço",0,IF(OR(AND(AUTOEVENTO="Manual",$M243=1),$M243&gt;(ROW(PLE.lastrow)-ROW(PLE.firstrow))),0,IF(OFFSET(PLE!$G$14,$M243,CM$13)="",10^12,OFFSET(PLE!$G$14,$M243,CM$13))))</f>
        <v>0</v>
      </c>
    </row>
    <row r="244" spans="1:91" ht="13.2" x14ac:dyDescent="0.25">
      <c r="A244" s="9">
        <f t="shared" ca="1" si="12"/>
        <v>0</v>
      </c>
      <c r="B244" s="9">
        <f ca="1">OFFSET(ORÇAMENTO!C$15,ROW(B244)-ROW(B$15),0)</f>
        <v>3</v>
      </c>
      <c r="C244" s="9" t="str">
        <f ca="1">OFFSET(ORÇAMENTO!L$15,ROW(C244)-ROW(C$15),0)</f>
        <v>F</v>
      </c>
      <c r="D244" s="145" t="str">
        <f ca="1">OFFSET(ORÇAMENTO!N$15,ROW(D244)-ROW(D$15),0)</f>
        <v>Nível 3</v>
      </c>
      <c r="E244" s="205" t="str">
        <f ca="1">OFFSET(ORÇAMENTO!O$15,ROW(E244)-ROW(E$15),0)</f>
        <v>1.9.1.</v>
      </c>
      <c r="F244" s="206" t="str">
        <f ca="1">OFFSET(ORÇAMENTO!R$15,ROW(F244)-ROW(F$15),0)</f>
        <v>EDIFICAÇÃO</v>
      </c>
      <c r="G244" s="207" t="str">
        <f ca="1">IF($D244&lt;&gt;"Serviço","",OFFSET(ORÇAMENTO!S$15,ROW(G244)-ROW(G$15),0))</f>
        <v/>
      </c>
      <c r="H244" s="151">
        <f ca="1">IF($D244&lt;&gt;"Serviço",0,IF(ACOMPANHAMENTO="BM",ROUND(OFFSET(ORÇAMENTO!AJ$15,ROW(H244)-ROW(H$15),0),15-13*ORÇAMENTO!$AF$7),SUMPRODUCT(($Q$12:$AI$12&lt;&gt;"")*ROUND($Q244:$AI244,15-13*ORÇAMENTO!$AF$7))))</f>
        <v>0</v>
      </c>
      <c r="I244" s="650"/>
      <c r="K244" s="208"/>
      <c r="L244" s="209" t="s">
        <v>257</v>
      </c>
      <c r="M244" s="210" t="str">
        <f ca="1">IF($D244&lt;&gt;"Serviço","",IF(AUTOEVENTO="manual",$A244,IF(ISERROR(MATCH($A244,$A$15:OFFSET($A244,-1,0),0)),MAX($M$15:OFFSET(M244,-1,0))+1,INDEX($M$15:OFFSET(M244,-1,0),MATCH($A244,$A$15:OFFSET($A244,-1,0),0)))))</f>
        <v/>
      </c>
      <c r="N244" s="211" t="str">
        <f ca="1">IF($D244&lt;&gt;"Serviço","",IF(AUTOEVENTO="Manual",IF($A244=0,"&lt;-- defina o número do agrupador",OFFSET(EVENTOS!$D$14,$A244,0)),OFFSET($F$15,$A244,0)))</f>
        <v/>
      </c>
      <c r="O244" s="212"/>
      <c r="Q244" s="212"/>
      <c r="R244" s="213"/>
      <c r="S244" s="213"/>
      <c r="T244" s="213"/>
      <c r="U244" s="213"/>
      <c r="V244" s="213"/>
      <c r="W244" s="213"/>
      <c r="X244" s="213"/>
      <c r="Y244" s="213"/>
      <c r="Z244" s="214"/>
      <c r="AA244" s="213"/>
      <c r="AB244" s="213"/>
      <c r="AC244" s="213"/>
      <c r="AD244" s="213"/>
      <c r="AE244" s="213"/>
      <c r="AF244" s="213"/>
      <c r="AG244" s="213"/>
      <c r="AH244" s="214"/>
      <c r="AJ244" s="631">
        <f ca="1">IF(AND($D244="Serviço",AJ$12&lt;&gt;0,$H244&gt;0,OR(AUTOEVENTO&lt;&gt;"manual",$M244&lt;&gt;1)),ROUND(OFFSET($P244,0,AJ$13),15-13*ORÇAMENTO!$AF$7)/$H244*OFFSET(ORÇAMENTO!$X$15,ROW(AJ244)-ROW(AJ$15),0),0)</f>
        <v>0</v>
      </c>
      <c r="AK244" s="632">
        <f ca="1">IF(AND($D244="Serviço",AK$12&lt;&gt;0,$H244&gt;0,OR(AUTOEVENTO&lt;&gt;"manual",$M244&lt;&gt;1)),ROUND(OFFSET($P244,0,AK$13),15-13*ORÇAMENTO!$AF$7)/$H244*OFFSET(ORÇAMENTO!$X$15,ROW(AK244)-ROW(AK$15),0),0)</f>
        <v>0</v>
      </c>
      <c r="AL244" s="632">
        <f ca="1">IF(AND($D244="Serviço",AL$12&lt;&gt;0,$H244&gt;0,OR(AUTOEVENTO&lt;&gt;"manual",$M244&lt;&gt;1)),ROUND(OFFSET($P244,0,AL$13),15-13*ORÇAMENTO!$AF$7)/$H244*OFFSET(ORÇAMENTO!$X$15,ROW(AL244)-ROW(AL$15),0),0)</f>
        <v>0</v>
      </c>
      <c r="AM244" s="632">
        <f ca="1">IF(AND($D244="Serviço",AM$12&lt;&gt;0,$H244&gt;0,OR(AUTOEVENTO&lt;&gt;"manual",$M244&lt;&gt;1)),ROUND(OFFSET($P244,0,AM$13),15-13*ORÇAMENTO!$AF$7)/$H244*OFFSET(ORÇAMENTO!$X$15,ROW(AM244)-ROW(AM$15),0),0)</f>
        <v>0</v>
      </c>
      <c r="AN244" s="632">
        <f ca="1">IF(AND($D244="Serviço",AN$12&lt;&gt;0,$H244&gt;0,OR(AUTOEVENTO&lt;&gt;"manual",$M244&lt;&gt;1)),ROUND(OFFSET($P244,0,AN$13),15-13*ORÇAMENTO!$AF$7)/$H244*OFFSET(ORÇAMENTO!$X$15,ROW(AN244)-ROW(AN$15),0),0)</f>
        <v>0</v>
      </c>
      <c r="AO244" s="632">
        <f ca="1">IF(AND($D244="Serviço",AO$12&lt;&gt;0,$H244&gt;0,OR(AUTOEVENTO&lt;&gt;"manual",$M244&lt;&gt;1)),ROUND(OFFSET($P244,0,AO$13),15-13*ORÇAMENTO!$AF$7)/$H244*OFFSET(ORÇAMENTO!$X$15,ROW(AO244)-ROW(AO$15),0),0)</f>
        <v>0</v>
      </c>
      <c r="AP244" s="632">
        <f ca="1">IF(AND($D244="Serviço",AP$12&lt;&gt;0,$H244&gt;0,OR(AUTOEVENTO&lt;&gt;"manual",$M244&lt;&gt;1)),ROUND(OFFSET($P244,0,AP$13),15-13*ORÇAMENTO!$AF$7)/$H244*OFFSET(ORÇAMENTO!$X$15,ROW(AP244)-ROW(AP$15),0),0)</f>
        <v>0</v>
      </c>
      <c r="AQ244" s="632">
        <f ca="1">IF(AND($D244="Serviço",AQ$12&lt;&gt;0,$H244&gt;0,OR(AUTOEVENTO&lt;&gt;"manual",$M244&lt;&gt;1)),ROUND(OFFSET($P244,0,AQ$13),15-13*ORÇAMENTO!$AF$7)/$H244*OFFSET(ORÇAMENTO!$X$15,ROW(AQ244)-ROW(AQ$15),0),0)</f>
        <v>0</v>
      </c>
      <c r="AR244" s="632">
        <f ca="1">IF(AND($D244="Serviço",AR$12&lt;&gt;0,$H244&gt;0,OR(AUTOEVENTO&lt;&gt;"manual",$M244&lt;&gt;1)),ROUND(OFFSET($P244,0,AR$13),15-13*ORÇAMENTO!$AF$7)/$H244*OFFSET(ORÇAMENTO!$X$15,ROW(AR244)-ROW(AR$15),0),0)</f>
        <v>0</v>
      </c>
      <c r="AS244" s="633">
        <f ca="1">IF(AND($D244="Serviço",AS$12&lt;&gt;0,$H244&gt;0,OR(AUTOEVENTO&lt;&gt;"manual",$M244&lt;&gt;1)),ROUND(OFFSET($P244,0,AS$13),15-13*ORÇAMENTO!$AF$7)/$H244*OFFSET(ORÇAMENTO!$X$15,ROW(AS244)-ROW(AS$15),0),0)</f>
        <v>0</v>
      </c>
      <c r="AT244" s="632">
        <f ca="1">IF(AND($D244="Serviço",AT$12&lt;&gt;0,$H244&gt;0,OR(AUTOEVENTO&lt;&gt;"manual",$M244&lt;&gt;1)),ROUND(OFFSET($P244,0,AT$13),15-13*ORÇAMENTO!$AF$7)/$H244*OFFSET(ORÇAMENTO!$X$15,ROW(AT244)-ROW(AT$15),0),0)</f>
        <v>0</v>
      </c>
      <c r="AU244" s="632">
        <f ca="1">IF(AND($D244="Serviço",AU$12&lt;&gt;0,$H244&gt;0,OR(AUTOEVENTO&lt;&gt;"manual",$M244&lt;&gt;1)),ROUND(OFFSET($P244,0,AU$13),15-13*ORÇAMENTO!$AF$7)/$H244*OFFSET(ORÇAMENTO!$X$15,ROW(AU244)-ROW(AU$15),0),0)</f>
        <v>0</v>
      </c>
      <c r="AV244" s="632">
        <f ca="1">IF(AND($D244="Serviço",AV$12&lt;&gt;0,$H244&gt;0,OR(AUTOEVENTO&lt;&gt;"manual",$M244&lt;&gt;1)),ROUND(OFFSET($P244,0,AV$13),15-13*ORÇAMENTO!$AF$7)/$H244*OFFSET(ORÇAMENTO!$X$15,ROW(AV244)-ROW(AV$15),0),0)</f>
        <v>0</v>
      </c>
      <c r="AW244" s="632">
        <f ca="1">IF(AND($D244="Serviço",AW$12&lt;&gt;0,$H244&gt;0,OR(AUTOEVENTO&lt;&gt;"manual",$M244&lt;&gt;1)),ROUND(OFFSET($P244,0,AW$13),15-13*ORÇAMENTO!$AF$7)/$H244*OFFSET(ORÇAMENTO!$X$15,ROW(AW244)-ROW(AW$15),0),0)</f>
        <v>0</v>
      </c>
      <c r="AX244" s="632">
        <f ca="1">IF(AND($D244="Serviço",AX$12&lt;&gt;0,$H244&gt;0,OR(AUTOEVENTO&lt;&gt;"manual",$M244&lt;&gt;1)),ROUND(OFFSET($P244,0,AX$13),15-13*ORÇAMENTO!$AF$7)/$H244*OFFSET(ORÇAMENTO!$X$15,ROW(AX244)-ROW(AX$15),0),0)</f>
        <v>0</v>
      </c>
      <c r="AY244" s="632">
        <f ca="1">IF(AND($D244="Serviço",AY$12&lt;&gt;0,$H244&gt;0,OR(AUTOEVENTO&lt;&gt;"manual",$M244&lt;&gt;1)),ROUND(OFFSET($P244,0,AY$13),15-13*ORÇAMENTO!$AF$7)/$H244*OFFSET(ORÇAMENTO!$X$15,ROW(AY244)-ROW(AY$15),0),0)</f>
        <v>0</v>
      </c>
      <c r="AZ244" s="632">
        <f ca="1">IF(AND($D244="Serviço",AZ$12&lt;&gt;0,$H244&gt;0,OR(AUTOEVENTO&lt;&gt;"manual",$M244&lt;&gt;1)),ROUND(OFFSET($P244,0,AZ$13),15-13*ORÇAMENTO!$AF$7)/$H244*OFFSET(ORÇAMENTO!$X$15,ROW(AZ244)-ROW(AZ$15),0),0)</f>
        <v>0</v>
      </c>
      <c r="BA244" s="633">
        <f ca="1">IF(AND($D244="Serviço",BA$12&lt;&gt;0,$H244&gt;0,OR(AUTOEVENTO&lt;&gt;"manual",$M244&lt;&gt;1)),ROUND(OFFSET($P244,0,BA$13),15-13*ORÇAMENTO!$AF$7)/$H244*OFFSET(ORÇAMENTO!$X$15,ROW(BA244)-ROW(BA$15),0),0)</f>
        <v>0</v>
      </c>
      <c r="BC244" s="215">
        <f ca="1">IF($D244&lt;&gt;"Serviço",0,IF(AND(AUTOEVENTO="Manual",$M244=1),0,IF(OFFSET(CRONOPLE!$F$14,$M244,BC$13)="",10^12,OFFSET(CRONOPLE!$F$14,$M244,BC$13))))</f>
        <v>0</v>
      </c>
      <c r="BD244" s="215">
        <f ca="1">IF($D244&lt;&gt;"Serviço",0,IF(AND(AUTOEVENTO="Manual",$M244=1),0,IF(OFFSET(CRONOPLE!$F$14,$M244,BD$13)="",10^12,OFFSET(CRONOPLE!$F$14,$M244,BD$13))))</f>
        <v>0</v>
      </c>
      <c r="BE244" s="215">
        <f ca="1">IF($D244&lt;&gt;"Serviço",0,IF(AND(AUTOEVENTO="Manual",$M244=1),0,IF(OFFSET(CRONOPLE!$F$14,$M244,BE$13)="",10^12,OFFSET(CRONOPLE!$F$14,$M244,BE$13))))</f>
        <v>0</v>
      </c>
      <c r="BF244" s="215">
        <f ca="1">IF($D244&lt;&gt;"Serviço",0,IF(AND(AUTOEVENTO="Manual",$M244=1),0,IF(OFFSET(CRONOPLE!$F$14,$M244,BF$13)="",10^12,OFFSET(CRONOPLE!$F$14,$M244,BF$13))))</f>
        <v>0</v>
      </c>
      <c r="BG244" s="215">
        <f ca="1">IF($D244&lt;&gt;"Serviço",0,IF(AND(AUTOEVENTO="Manual",$M244=1),0,IF(OFFSET(CRONOPLE!$F$14,$M244,BG$13)="",10^12,OFFSET(CRONOPLE!$F$14,$M244,BG$13))))</f>
        <v>0</v>
      </c>
      <c r="BH244" s="215">
        <f ca="1">IF($D244&lt;&gt;"Serviço",0,IF(AND(AUTOEVENTO="Manual",$M244=1),0,IF(OFFSET(CRONOPLE!$F$14,$M244,BH$13)="",10^12,OFFSET(CRONOPLE!$F$14,$M244,BH$13))))</f>
        <v>0</v>
      </c>
      <c r="BI244" s="215">
        <f ca="1">IF($D244&lt;&gt;"Serviço",0,IF(AND(AUTOEVENTO="Manual",$M244=1),0,IF(OFFSET(CRONOPLE!$F$14,$M244,BI$13)="",10^12,OFFSET(CRONOPLE!$F$14,$M244,BI$13))))</f>
        <v>0</v>
      </c>
      <c r="BJ244" s="215">
        <f ca="1">IF($D244&lt;&gt;"Serviço",0,IF(AND(AUTOEVENTO="Manual",$M244=1),0,IF(OFFSET(CRONOPLE!$F$14,$M244,BJ$13)="",10^12,OFFSET(CRONOPLE!$F$14,$M244,BJ$13))))</f>
        <v>0</v>
      </c>
      <c r="BK244" s="215">
        <f ca="1">IF($D244&lt;&gt;"Serviço",0,IF(AND(AUTOEVENTO="Manual",$M244=1),0,IF(OFFSET(CRONOPLE!$F$14,$M244,BK$13)="",10^12,OFFSET(CRONOPLE!$F$14,$M244,BK$13))))</f>
        <v>0</v>
      </c>
      <c r="BL244" s="215">
        <f ca="1">IF($D244&lt;&gt;"Serviço",0,IF(AND(AUTOEVENTO="Manual",$M244=1),0,IF(OFFSET(CRONOPLE!$F$14,$M244,BL$13)="",10^12,OFFSET(CRONOPLE!$F$14,$M244,BL$13))))</f>
        <v>0</v>
      </c>
      <c r="BM244" s="215">
        <f ca="1">IF($D244&lt;&gt;"Serviço",0,IF(AND(AUTOEVENTO="Manual",$M244=1),0,IF(OFFSET(CRONOPLE!$F$14,$M244,BM$13)="",10^12,OFFSET(CRONOPLE!$F$14,$M244,BM$13))))</f>
        <v>0</v>
      </c>
      <c r="BN244" s="215">
        <f ca="1">IF($D244&lt;&gt;"Serviço",0,IF(AND(AUTOEVENTO="Manual",$M244=1),0,IF(OFFSET(CRONOPLE!$F$14,$M244,BN$13)="",10^12,OFFSET(CRONOPLE!$F$14,$M244,BN$13))))</f>
        <v>0</v>
      </c>
      <c r="BO244" s="215">
        <f ca="1">IF($D244&lt;&gt;"Serviço",0,IF(AND(AUTOEVENTO="Manual",$M244=1),0,IF(OFFSET(CRONOPLE!$F$14,$M244,BO$13)="",10^12,OFFSET(CRONOPLE!$F$14,$M244,BO$13))))</f>
        <v>0</v>
      </c>
      <c r="BP244" s="215">
        <f ca="1">IF($D244&lt;&gt;"Serviço",0,IF(AND(AUTOEVENTO="Manual",$M244=1),0,IF(OFFSET(CRONOPLE!$F$14,$M244,BP$13)="",10^12,OFFSET(CRONOPLE!$F$14,$M244,BP$13))))</f>
        <v>0</v>
      </c>
      <c r="BQ244" s="215">
        <f ca="1">IF($D244&lt;&gt;"Serviço",0,IF(AND(AUTOEVENTO="Manual",$M244=1),0,IF(OFFSET(CRONOPLE!$F$14,$M244,BQ$13)="",10^12,OFFSET(CRONOPLE!$F$14,$M244,BQ$13))))</f>
        <v>0</v>
      </c>
      <c r="BR244" s="215">
        <f ca="1">IF($D244&lt;&gt;"Serviço",0,IF(AND(AUTOEVENTO="Manual",$M244=1),0,IF(OFFSET(CRONOPLE!$F$14,$M244,BR$13)="",10^12,OFFSET(CRONOPLE!$F$14,$M244,BR$13))))</f>
        <v>0</v>
      </c>
      <c r="BS244" s="215">
        <f ca="1">IF($D244&lt;&gt;"Serviço",0,IF(AND(AUTOEVENTO="Manual",$M244=1),0,IF(OFFSET(CRONOPLE!$F$14,$M244,BS$13)="",10^12,OFFSET(CRONOPLE!$F$14,$M244,BS$13))))</f>
        <v>0</v>
      </c>
      <c r="BT244" s="215">
        <f ca="1">IF($D244&lt;&gt;"Serviço",0,IF(AND(AUTOEVENTO="Manual",$M244=1),0,IF(OFFSET(CRONOPLE!$F$14,$M244,BT$13)="",10^12,OFFSET(CRONOPLE!$F$14,$M244,BT$13))))</f>
        <v>0</v>
      </c>
      <c r="BV244" s="216">
        <f ca="1">IF($D244&lt;&gt;"Serviço",0,IF(OR(AND(AUTOEVENTO="Manual",$M244=1),$M244&gt;(ROW(PLE.lastrow)-ROW(PLE.firstrow))),0,IF(OFFSET(PLE!$G$14,$M244,BV$13)="",10^12,OFFSET(PLE!$G$14,$M244,BV$13))))</f>
        <v>0</v>
      </c>
      <c r="BW244" s="216">
        <f ca="1">IF($D244&lt;&gt;"Serviço",0,IF(OR(AND(AUTOEVENTO="Manual",$M244=1),$M244&gt;(ROW(PLE.lastrow)-ROW(PLE.firstrow))),0,IF(OFFSET(PLE!$G$14,$M244,BW$13)="",10^12,OFFSET(PLE!$G$14,$M244,BW$13))))</f>
        <v>0</v>
      </c>
      <c r="BX244" s="216">
        <f ca="1">IF($D244&lt;&gt;"Serviço",0,IF(OR(AND(AUTOEVENTO="Manual",$M244=1),$M244&gt;(ROW(PLE.lastrow)-ROW(PLE.firstrow))),0,IF(OFFSET(PLE!$G$14,$M244,BX$13)="",10^12,OFFSET(PLE!$G$14,$M244,BX$13))))</f>
        <v>0</v>
      </c>
      <c r="BY244" s="216">
        <f ca="1">IF($D244&lt;&gt;"Serviço",0,IF(OR(AND(AUTOEVENTO="Manual",$M244=1),$M244&gt;(ROW(PLE.lastrow)-ROW(PLE.firstrow))),0,IF(OFFSET(PLE!$G$14,$M244,BY$13)="",10^12,OFFSET(PLE!$G$14,$M244,BY$13))))</f>
        <v>0</v>
      </c>
      <c r="BZ244" s="216">
        <f ca="1">IF($D244&lt;&gt;"Serviço",0,IF(OR(AND(AUTOEVENTO="Manual",$M244=1),$M244&gt;(ROW(PLE.lastrow)-ROW(PLE.firstrow))),0,IF(OFFSET(PLE!$G$14,$M244,BZ$13)="",10^12,OFFSET(PLE!$G$14,$M244,BZ$13))))</f>
        <v>0</v>
      </c>
      <c r="CA244" s="216">
        <f ca="1">IF($D244&lt;&gt;"Serviço",0,IF(OR(AND(AUTOEVENTO="Manual",$M244=1),$M244&gt;(ROW(PLE.lastrow)-ROW(PLE.firstrow))),0,IF(OFFSET(PLE!$G$14,$M244,CA$13)="",10^12,OFFSET(PLE!$G$14,$M244,CA$13))))</f>
        <v>0</v>
      </c>
      <c r="CB244" s="216">
        <f ca="1">IF($D244&lt;&gt;"Serviço",0,IF(OR(AND(AUTOEVENTO="Manual",$M244=1),$M244&gt;(ROW(PLE.lastrow)-ROW(PLE.firstrow))),0,IF(OFFSET(PLE!$G$14,$M244,CB$13)="",10^12,OFFSET(PLE!$G$14,$M244,CB$13))))</f>
        <v>0</v>
      </c>
      <c r="CC244" s="216">
        <f ca="1">IF($D244&lt;&gt;"Serviço",0,IF(OR(AND(AUTOEVENTO="Manual",$M244=1),$M244&gt;(ROW(PLE.lastrow)-ROW(PLE.firstrow))),0,IF(OFFSET(PLE!$G$14,$M244,CC$13)="",10^12,OFFSET(PLE!$G$14,$M244,CC$13))))</f>
        <v>0</v>
      </c>
      <c r="CD244" s="216">
        <f ca="1">IF($D244&lt;&gt;"Serviço",0,IF(OR(AND(AUTOEVENTO="Manual",$M244=1),$M244&gt;(ROW(PLE.lastrow)-ROW(PLE.firstrow))),0,IF(OFFSET(PLE!$G$14,$M244,CD$13)="",10^12,OFFSET(PLE!$G$14,$M244,CD$13))))</f>
        <v>0</v>
      </c>
      <c r="CE244" s="216">
        <f ca="1">IF($D244&lt;&gt;"Serviço",0,IF(OR(AND(AUTOEVENTO="Manual",$M244=1),$M244&gt;(ROW(PLE.lastrow)-ROW(PLE.firstrow))),0,IF(OFFSET(PLE!$G$14,$M244,CE$13)="",10^12,OFFSET(PLE!$G$14,$M244,CE$13))))</f>
        <v>0</v>
      </c>
      <c r="CF244" s="216">
        <f ca="1">IF($D244&lt;&gt;"Serviço",0,IF(OR(AND(AUTOEVENTO="Manual",$M244=1),$M244&gt;(ROW(PLE.lastrow)-ROW(PLE.firstrow))),0,IF(OFFSET(PLE!$G$14,$M244,CF$13)="",10^12,OFFSET(PLE!$G$14,$M244,CF$13))))</f>
        <v>0</v>
      </c>
      <c r="CG244" s="216">
        <f ca="1">IF($D244&lt;&gt;"Serviço",0,IF(OR(AND(AUTOEVENTO="Manual",$M244=1),$M244&gt;(ROW(PLE.lastrow)-ROW(PLE.firstrow))),0,IF(OFFSET(PLE!$G$14,$M244,CG$13)="",10^12,OFFSET(PLE!$G$14,$M244,CG$13))))</f>
        <v>0</v>
      </c>
      <c r="CH244" s="216">
        <f ca="1">IF($D244&lt;&gt;"Serviço",0,IF(OR(AND(AUTOEVENTO="Manual",$M244=1),$M244&gt;(ROW(PLE.lastrow)-ROW(PLE.firstrow))),0,IF(OFFSET(PLE!$G$14,$M244,CH$13)="",10^12,OFFSET(PLE!$G$14,$M244,CH$13))))</f>
        <v>0</v>
      </c>
      <c r="CI244" s="216">
        <f ca="1">IF($D244&lt;&gt;"Serviço",0,IF(OR(AND(AUTOEVENTO="Manual",$M244=1),$M244&gt;(ROW(PLE.lastrow)-ROW(PLE.firstrow))),0,IF(OFFSET(PLE!$G$14,$M244,CI$13)="",10^12,OFFSET(PLE!$G$14,$M244,CI$13))))</f>
        <v>0</v>
      </c>
      <c r="CJ244" s="216">
        <f ca="1">IF($D244&lt;&gt;"Serviço",0,IF(OR(AND(AUTOEVENTO="Manual",$M244=1),$M244&gt;(ROW(PLE.lastrow)-ROW(PLE.firstrow))),0,IF(OFFSET(PLE!$G$14,$M244,CJ$13)="",10^12,OFFSET(PLE!$G$14,$M244,CJ$13))))</f>
        <v>0</v>
      </c>
      <c r="CK244" s="216">
        <f ca="1">IF($D244&lt;&gt;"Serviço",0,IF(OR(AND(AUTOEVENTO="Manual",$M244=1),$M244&gt;(ROW(PLE.lastrow)-ROW(PLE.firstrow))),0,IF(OFFSET(PLE!$G$14,$M244,CK$13)="",10^12,OFFSET(PLE!$G$14,$M244,CK$13))))</f>
        <v>0</v>
      </c>
      <c r="CL244" s="216">
        <f ca="1">IF($D244&lt;&gt;"Serviço",0,IF(OR(AND(AUTOEVENTO="Manual",$M244=1),$M244&gt;(ROW(PLE.lastrow)-ROW(PLE.firstrow))),0,IF(OFFSET(PLE!$G$14,$M244,CL$13)="",10^12,OFFSET(PLE!$G$14,$M244,CL$13))))</f>
        <v>0</v>
      </c>
      <c r="CM244" s="216">
        <f ca="1">IF($D244&lt;&gt;"Serviço",0,IF(OR(AND(AUTOEVENTO="Manual",$M244=1),$M244&gt;(ROW(PLE.lastrow)-ROW(PLE.firstrow))),0,IF(OFFSET(PLE!$G$14,$M244,CM$13)="",10^12,OFFSET(PLE!$G$14,$M244,CM$13))))</f>
        <v>0</v>
      </c>
    </row>
    <row r="245" spans="1:91" ht="13.2" x14ac:dyDescent="0.25">
      <c r="A245" s="9">
        <f t="shared" ca="1" si="12"/>
        <v>0</v>
      </c>
      <c r="B245" s="9" t="str">
        <f ca="1">OFFSET(ORÇAMENTO!C$15,ROW(B245)-ROW(B$15),0)</f>
        <v>S</v>
      </c>
      <c r="C245" s="9" t="str">
        <f ca="1">OFFSET(ORÇAMENTO!L$15,ROW(C245)-ROW(C$15),0)</f>
        <v/>
      </c>
      <c r="D245" s="145" t="str">
        <f ca="1">OFFSET(ORÇAMENTO!N$15,ROW(D245)-ROW(D$15),0)</f>
        <v>Serviço</v>
      </c>
      <c r="E245" s="205" t="str">
        <f ca="1">OFFSET(ORÇAMENTO!O$15,ROW(E245)-ROW(E$15),0)</f>
        <v>-</v>
      </c>
      <c r="F245" s="206" t="str">
        <f ca="1">OFFSET(ORÇAMENTO!R$15,ROW(F245)-ROW(F$15),0)</f>
        <v>(abra o arquivo 'Referência 05-2024.xls)</v>
      </c>
      <c r="G245" s="207" t="str">
        <f ca="1">IF($D245&lt;&gt;"Serviço","",OFFSET(ORÇAMENTO!S$15,ROW(G245)-ROW(G$15),0))</f>
        <v>-</v>
      </c>
      <c r="H245" s="151">
        <f ca="1">IF($D245&lt;&gt;"Serviço",0,IF(ACOMPANHAMENTO="BM",ROUND(OFFSET(ORÇAMENTO!AJ$15,ROW(H245)-ROW(H$15),0),15-13*ORÇAMENTO!$AF$7),SUMPRODUCT(($Q$12:$AI$12&lt;&gt;"")*ROUND($Q245:$AI245,15-13*ORÇAMENTO!$AF$7))))</f>
        <v>2179.6799999999998</v>
      </c>
      <c r="I245" s="650"/>
      <c r="K245" s="208"/>
      <c r="L245" s="209" t="s">
        <v>257</v>
      </c>
      <c r="M245" s="210">
        <f ca="1">IF($D245&lt;&gt;"Serviço","",IF(AUTOEVENTO="manual",$A245,IF(ISERROR(MATCH($A245,$A$15:OFFSET($A245,-1,0),0)),MAX($M$15:OFFSET(M245,-1,0))+1,INDEX($M$15:OFFSET(M245,-1,0),MATCH($A245,$A$15:OFFSET($A245,-1,0),0)))))</f>
        <v>0</v>
      </c>
      <c r="N245" s="211" t="str">
        <f ca="1">IF($D245&lt;&gt;"Serviço","",IF(AUTOEVENTO="Manual",IF($A245=0,"&lt;-- defina o número do agrupador",OFFSET(EVENTOS!$D$14,$A245,0)),OFFSET($F$15,$A245,0)))</f>
        <v>&lt;-- defina o número do agrupador</v>
      </c>
      <c r="O245" s="212"/>
      <c r="Q245" s="212"/>
      <c r="R245" s="213"/>
      <c r="S245" s="213"/>
      <c r="T245" s="213"/>
      <c r="U245" s="213"/>
      <c r="V245" s="213"/>
      <c r="W245" s="213"/>
      <c r="X245" s="213"/>
      <c r="Y245" s="213"/>
      <c r="Z245" s="214"/>
      <c r="AA245" s="213"/>
      <c r="AB245" s="213"/>
      <c r="AC245" s="213"/>
      <c r="AD245" s="213"/>
      <c r="AE245" s="213"/>
      <c r="AF245" s="213"/>
      <c r="AG245" s="213"/>
      <c r="AH245" s="214"/>
      <c r="AJ245" s="631">
        <f ca="1">IF(AND($D245="Serviço",AJ$12&lt;&gt;0,$H245&gt;0,OR(AUTOEVENTO&lt;&gt;"manual",$M245&lt;&gt;1)),ROUND(OFFSET($P245,0,AJ$13),15-13*ORÇAMENTO!$AF$7)/$H245*OFFSET(ORÇAMENTO!$X$15,ROW(AJ245)-ROW(AJ$15),0),0)</f>
        <v>0</v>
      </c>
      <c r="AK245" s="632">
        <f ca="1">IF(AND($D245="Serviço",AK$12&lt;&gt;0,$H245&gt;0,OR(AUTOEVENTO&lt;&gt;"manual",$M245&lt;&gt;1)),ROUND(OFFSET($P245,0,AK$13),15-13*ORÇAMENTO!$AF$7)/$H245*OFFSET(ORÇAMENTO!$X$15,ROW(AK245)-ROW(AK$15),0),0)</f>
        <v>0</v>
      </c>
      <c r="AL245" s="632">
        <f ca="1">IF(AND($D245="Serviço",AL$12&lt;&gt;0,$H245&gt;0,OR(AUTOEVENTO&lt;&gt;"manual",$M245&lt;&gt;1)),ROUND(OFFSET($P245,0,AL$13),15-13*ORÇAMENTO!$AF$7)/$H245*OFFSET(ORÇAMENTO!$X$15,ROW(AL245)-ROW(AL$15),0),0)</f>
        <v>0</v>
      </c>
      <c r="AM245" s="632">
        <f ca="1">IF(AND($D245="Serviço",AM$12&lt;&gt;0,$H245&gt;0,OR(AUTOEVENTO&lt;&gt;"manual",$M245&lt;&gt;1)),ROUND(OFFSET($P245,0,AM$13),15-13*ORÇAMENTO!$AF$7)/$H245*OFFSET(ORÇAMENTO!$X$15,ROW(AM245)-ROW(AM$15),0),0)</f>
        <v>0</v>
      </c>
      <c r="AN245" s="632">
        <f ca="1">IF(AND($D245="Serviço",AN$12&lt;&gt;0,$H245&gt;0,OR(AUTOEVENTO&lt;&gt;"manual",$M245&lt;&gt;1)),ROUND(OFFSET($P245,0,AN$13),15-13*ORÇAMENTO!$AF$7)/$H245*OFFSET(ORÇAMENTO!$X$15,ROW(AN245)-ROW(AN$15),0),0)</f>
        <v>0</v>
      </c>
      <c r="AO245" s="632">
        <f ca="1">IF(AND($D245="Serviço",AO$12&lt;&gt;0,$H245&gt;0,OR(AUTOEVENTO&lt;&gt;"manual",$M245&lt;&gt;1)),ROUND(OFFSET($P245,0,AO$13),15-13*ORÇAMENTO!$AF$7)/$H245*OFFSET(ORÇAMENTO!$X$15,ROW(AO245)-ROW(AO$15),0),0)</f>
        <v>0</v>
      </c>
      <c r="AP245" s="632">
        <f ca="1">IF(AND($D245="Serviço",AP$12&lt;&gt;0,$H245&gt;0,OR(AUTOEVENTO&lt;&gt;"manual",$M245&lt;&gt;1)),ROUND(OFFSET($P245,0,AP$13),15-13*ORÇAMENTO!$AF$7)/$H245*OFFSET(ORÇAMENTO!$X$15,ROW(AP245)-ROW(AP$15),0),0)</f>
        <v>0</v>
      </c>
      <c r="AQ245" s="632">
        <f ca="1">IF(AND($D245="Serviço",AQ$12&lt;&gt;0,$H245&gt;0,OR(AUTOEVENTO&lt;&gt;"manual",$M245&lt;&gt;1)),ROUND(OFFSET($P245,0,AQ$13),15-13*ORÇAMENTO!$AF$7)/$H245*OFFSET(ORÇAMENTO!$X$15,ROW(AQ245)-ROW(AQ$15),0),0)</f>
        <v>0</v>
      </c>
      <c r="AR245" s="632">
        <f ca="1">IF(AND($D245="Serviço",AR$12&lt;&gt;0,$H245&gt;0,OR(AUTOEVENTO&lt;&gt;"manual",$M245&lt;&gt;1)),ROUND(OFFSET($P245,0,AR$13),15-13*ORÇAMENTO!$AF$7)/$H245*OFFSET(ORÇAMENTO!$X$15,ROW(AR245)-ROW(AR$15),0),0)</f>
        <v>0</v>
      </c>
      <c r="AS245" s="633">
        <f ca="1">IF(AND($D245="Serviço",AS$12&lt;&gt;0,$H245&gt;0,OR(AUTOEVENTO&lt;&gt;"manual",$M245&lt;&gt;1)),ROUND(OFFSET($P245,0,AS$13),15-13*ORÇAMENTO!$AF$7)/$H245*OFFSET(ORÇAMENTO!$X$15,ROW(AS245)-ROW(AS$15),0),0)</f>
        <v>0</v>
      </c>
      <c r="AT245" s="632">
        <f ca="1">IF(AND($D245="Serviço",AT$12&lt;&gt;0,$H245&gt;0,OR(AUTOEVENTO&lt;&gt;"manual",$M245&lt;&gt;1)),ROUND(OFFSET($P245,0,AT$13),15-13*ORÇAMENTO!$AF$7)/$H245*OFFSET(ORÇAMENTO!$X$15,ROW(AT245)-ROW(AT$15),0),0)</f>
        <v>0</v>
      </c>
      <c r="AU245" s="632">
        <f ca="1">IF(AND($D245="Serviço",AU$12&lt;&gt;0,$H245&gt;0,OR(AUTOEVENTO&lt;&gt;"manual",$M245&lt;&gt;1)),ROUND(OFFSET($P245,0,AU$13),15-13*ORÇAMENTO!$AF$7)/$H245*OFFSET(ORÇAMENTO!$X$15,ROW(AU245)-ROW(AU$15),0),0)</f>
        <v>0</v>
      </c>
      <c r="AV245" s="632">
        <f ca="1">IF(AND($D245="Serviço",AV$12&lt;&gt;0,$H245&gt;0,OR(AUTOEVENTO&lt;&gt;"manual",$M245&lt;&gt;1)),ROUND(OFFSET($P245,0,AV$13),15-13*ORÇAMENTO!$AF$7)/$H245*OFFSET(ORÇAMENTO!$X$15,ROW(AV245)-ROW(AV$15),0),0)</f>
        <v>0</v>
      </c>
      <c r="AW245" s="632">
        <f ca="1">IF(AND($D245="Serviço",AW$12&lt;&gt;0,$H245&gt;0,OR(AUTOEVENTO&lt;&gt;"manual",$M245&lt;&gt;1)),ROUND(OFFSET($P245,0,AW$13),15-13*ORÇAMENTO!$AF$7)/$H245*OFFSET(ORÇAMENTO!$X$15,ROW(AW245)-ROW(AW$15),0),0)</f>
        <v>0</v>
      </c>
      <c r="AX245" s="632">
        <f ca="1">IF(AND($D245="Serviço",AX$12&lt;&gt;0,$H245&gt;0,OR(AUTOEVENTO&lt;&gt;"manual",$M245&lt;&gt;1)),ROUND(OFFSET($P245,0,AX$13),15-13*ORÇAMENTO!$AF$7)/$H245*OFFSET(ORÇAMENTO!$X$15,ROW(AX245)-ROW(AX$15),0),0)</f>
        <v>0</v>
      </c>
      <c r="AY245" s="632">
        <f ca="1">IF(AND($D245="Serviço",AY$12&lt;&gt;0,$H245&gt;0,OR(AUTOEVENTO&lt;&gt;"manual",$M245&lt;&gt;1)),ROUND(OFFSET($P245,0,AY$13),15-13*ORÇAMENTO!$AF$7)/$H245*OFFSET(ORÇAMENTO!$X$15,ROW(AY245)-ROW(AY$15),0),0)</f>
        <v>0</v>
      </c>
      <c r="AZ245" s="632">
        <f ca="1">IF(AND($D245="Serviço",AZ$12&lt;&gt;0,$H245&gt;0,OR(AUTOEVENTO&lt;&gt;"manual",$M245&lt;&gt;1)),ROUND(OFFSET($P245,0,AZ$13),15-13*ORÇAMENTO!$AF$7)/$H245*OFFSET(ORÇAMENTO!$X$15,ROW(AZ245)-ROW(AZ$15),0),0)</f>
        <v>0</v>
      </c>
      <c r="BA245" s="633">
        <f ca="1">IF(AND($D245="Serviço",BA$12&lt;&gt;0,$H245&gt;0,OR(AUTOEVENTO&lt;&gt;"manual",$M245&lt;&gt;1)),ROUND(OFFSET($P245,0,BA$13),15-13*ORÇAMENTO!$AF$7)/$H245*OFFSET(ORÇAMENTO!$X$15,ROW(BA245)-ROW(BA$15),0),0)</f>
        <v>0</v>
      </c>
      <c r="BC245" s="215">
        <f ca="1">IF($D245&lt;&gt;"Serviço",0,IF(AND(AUTOEVENTO="Manual",$M245=1),0,IF(OFFSET(CRONOPLE!$F$14,$M245,BC$13)="",10^12,OFFSET(CRONOPLE!$F$14,$M245,BC$13))))</f>
        <v>1000000000000</v>
      </c>
      <c r="BD245" s="215">
        <f ca="1">IF($D245&lt;&gt;"Serviço",0,IF(AND(AUTOEVENTO="Manual",$M245=1),0,IF(OFFSET(CRONOPLE!$F$14,$M245,BD$13)="",10^12,OFFSET(CRONOPLE!$F$14,$M245,BD$13))))</f>
        <v>1000000000000</v>
      </c>
      <c r="BE245" s="215">
        <f ca="1">IF($D245&lt;&gt;"Serviço",0,IF(AND(AUTOEVENTO="Manual",$M245=1),0,IF(OFFSET(CRONOPLE!$F$14,$M245,BE$13)="",10^12,OFFSET(CRONOPLE!$F$14,$M245,BE$13))))</f>
        <v>1000000000000</v>
      </c>
      <c r="BF245" s="215">
        <f ca="1">IF($D245&lt;&gt;"Serviço",0,IF(AND(AUTOEVENTO="Manual",$M245=1),0,IF(OFFSET(CRONOPLE!$F$14,$M245,BF$13)="",10^12,OFFSET(CRONOPLE!$F$14,$M245,BF$13))))</f>
        <v>1000000000000</v>
      </c>
      <c r="BG245" s="215">
        <f ca="1">IF($D245&lt;&gt;"Serviço",0,IF(AND(AUTOEVENTO="Manual",$M245=1),0,IF(OFFSET(CRONOPLE!$F$14,$M245,BG$13)="",10^12,OFFSET(CRONOPLE!$F$14,$M245,BG$13))))</f>
        <v>1000000000000</v>
      </c>
      <c r="BH245" s="215">
        <f ca="1">IF($D245&lt;&gt;"Serviço",0,IF(AND(AUTOEVENTO="Manual",$M245=1),0,IF(OFFSET(CRONOPLE!$F$14,$M245,BH$13)="",10^12,OFFSET(CRONOPLE!$F$14,$M245,BH$13))))</f>
        <v>1000000000000</v>
      </c>
      <c r="BI245" s="215">
        <f ca="1">IF($D245&lt;&gt;"Serviço",0,IF(AND(AUTOEVENTO="Manual",$M245=1),0,IF(OFFSET(CRONOPLE!$F$14,$M245,BI$13)="",10^12,OFFSET(CRONOPLE!$F$14,$M245,BI$13))))</f>
        <v>1000000000000</v>
      </c>
      <c r="BJ245" s="215">
        <f ca="1">IF($D245&lt;&gt;"Serviço",0,IF(AND(AUTOEVENTO="Manual",$M245=1),0,IF(OFFSET(CRONOPLE!$F$14,$M245,BJ$13)="",10^12,OFFSET(CRONOPLE!$F$14,$M245,BJ$13))))</f>
        <v>1000000000000</v>
      </c>
      <c r="BK245" s="215">
        <f ca="1">IF($D245&lt;&gt;"Serviço",0,IF(AND(AUTOEVENTO="Manual",$M245=1),0,IF(OFFSET(CRONOPLE!$F$14,$M245,BK$13)="",10^12,OFFSET(CRONOPLE!$F$14,$M245,BK$13))))</f>
        <v>1000000000000</v>
      </c>
      <c r="BL245" s="215">
        <f ca="1">IF($D245&lt;&gt;"Serviço",0,IF(AND(AUTOEVENTO="Manual",$M245=1),0,IF(OFFSET(CRONOPLE!$F$14,$M245,BL$13)="",10^12,OFFSET(CRONOPLE!$F$14,$M245,BL$13))))</f>
        <v>1000000000000</v>
      </c>
      <c r="BM245" s="215">
        <f ca="1">IF($D245&lt;&gt;"Serviço",0,IF(AND(AUTOEVENTO="Manual",$M245=1),0,IF(OFFSET(CRONOPLE!$F$14,$M245,BM$13)="",10^12,OFFSET(CRONOPLE!$F$14,$M245,BM$13))))</f>
        <v>1000000000000</v>
      </c>
      <c r="BN245" s="215">
        <f ca="1">IF($D245&lt;&gt;"Serviço",0,IF(AND(AUTOEVENTO="Manual",$M245=1),0,IF(OFFSET(CRONOPLE!$F$14,$M245,BN$13)="",10^12,OFFSET(CRONOPLE!$F$14,$M245,BN$13))))</f>
        <v>1000000000000</v>
      </c>
      <c r="BO245" s="215">
        <f ca="1">IF($D245&lt;&gt;"Serviço",0,IF(AND(AUTOEVENTO="Manual",$M245=1),0,IF(OFFSET(CRONOPLE!$F$14,$M245,BO$13)="",10^12,OFFSET(CRONOPLE!$F$14,$M245,BO$13))))</f>
        <v>1000000000000</v>
      </c>
      <c r="BP245" s="215">
        <f ca="1">IF($D245&lt;&gt;"Serviço",0,IF(AND(AUTOEVENTO="Manual",$M245=1),0,IF(OFFSET(CRONOPLE!$F$14,$M245,BP$13)="",10^12,OFFSET(CRONOPLE!$F$14,$M245,BP$13))))</f>
        <v>1000000000000</v>
      </c>
      <c r="BQ245" s="215">
        <f ca="1">IF($D245&lt;&gt;"Serviço",0,IF(AND(AUTOEVENTO="Manual",$M245=1),0,IF(OFFSET(CRONOPLE!$F$14,$M245,BQ$13)="",10^12,OFFSET(CRONOPLE!$F$14,$M245,BQ$13))))</f>
        <v>1000000000000</v>
      </c>
      <c r="BR245" s="215">
        <f ca="1">IF($D245&lt;&gt;"Serviço",0,IF(AND(AUTOEVENTO="Manual",$M245=1),0,IF(OFFSET(CRONOPLE!$F$14,$M245,BR$13)="",10^12,OFFSET(CRONOPLE!$F$14,$M245,BR$13))))</f>
        <v>1000000000000</v>
      </c>
      <c r="BS245" s="215">
        <f ca="1">IF($D245&lt;&gt;"Serviço",0,IF(AND(AUTOEVENTO="Manual",$M245=1),0,IF(OFFSET(CRONOPLE!$F$14,$M245,BS$13)="",10^12,OFFSET(CRONOPLE!$F$14,$M245,BS$13))))</f>
        <v>1000000000000</v>
      </c>
      <c r="BT245" s="215">
        <f ca="1">IF($D245&lt;&gt;"Serviço",0,IF(AND(AUTOEVENTO="Manual",$M245=1),0,IF(OFFSET(CRONOPLE!$F$14,$M245,BT$13)="",10^12,OFFSET(CRONOPLE!$F$14,$M245,BT$13))))</f>
        <v>1000000000000</v>
      </c>
      <c r="BV245" s="216">
        <f ca="1">IF($D245&lt;&gt;"Serviço",0,IF(OR(AND(AUTOEVENTO="Manual",$M245=1),$M245&gt;(ROW(PLE.lastrow)-ROW(PLE.firstrow))),0,IF(OFFSET(PLE!$G$14,$M245,BV$13)="",10^12,OFFSET(PLE!$G$14,$M245,BV$13))))</f>
        <v>1000000000000</v>
      </c>
      <c r="BW245" s="216">
        <f ca="1">IF($D245&lt;&gt;"Serviço",0,IF(OR(AND(AUTOEVENTO="Manual",$M245=1),$M245&gt;(ROW(PLE.lastrow)-ROW(PLE.firstrow))),0,IF(OFFSET(PLE!$G$14,$M245,BW$13)="",10^12,OFFSET(PLE!$G$14,$M245,BW$13))))</f>
        <v>1000000000000</v>
      </c>
      <c r="BX245" s="216">
        <f ca="1">IF($D245&lt;&gt;"Serviço",0,IF(OR(AND(AUTOEVENTO="Manual",$M245=1),$M245&gt;(ROW(PLE.lastrow)-ROW(PLE.firstrow))),0,IF(OFFSET(PLE!$G$14,$M245,BX$13)="",10^12,OFFSET(PLE!$G$14,$M245,BX$13))))</f>
        <v>1000000000000</v>
      </c>
      <c r="BY245" s="216">
        <f ca="1">IF($D245&lt;&gt;"Serviço",0,IF(OR(AND(AUTOEVENTO="Manual",$M245=1),$M245&gt;(ROW(PLE.lastrow)-ROW(PLE.firstrow))),0,IF(OFFSET(PLE!$G$14,$M245,BY$13)="",10^12,OFFSET(PLE!$G$14,$M245,BY$13))))</f>
        <v>1000000000000</v>
      </c>
      <c r="BZ245" s="216">
        <f ca="1">IF($D245&lt;&gt;"Serviço",0,IF(OR(AND(AUTOEVENTO="Manual",$M245=1),$M245&gt;(ROW(PLE.lastrow)-ROW(PLE.firstrow))),0,IF(OFFSET(PLE!$G$14,$M245,BZ$13)="",10^12,OFFSET(PLE!$G$14,$M245,BZ$13))))</f>
        <v>1000000000000</v>
      </c>
      <c r="CA245" s="216">
        <f ca="1">IF($D245&lt;&gt;"Serviço",0,IF(OR(AND(AUTOEVENTO="Manual",$M245=1),$M245&gt;(ROW(PLE.lastrow)-ROW(PLE.firstrow))),0,IF(OFFSET(PLE!$G$14,$M245,CA$13)="",10^12,OFFSET(PLE!$G$14,$M245,CA$13))))</f>
        <v>1000000000000</v>
      </c>
      <c r="CB245" s="216">
        <f ca="1">IF($D245&lt;&gt;"Serviço",0,IF(OR(AND(AUTOEVENTO="Manual",$M245=1),$M245&gt;(ROW(PLE.lastrow)-ROW(PLE.firstrow))),0,IF(OFFSET(PLE!$G$14,$M245,CB$13)="",10^12,OFFSET(PLE!$G$14,$M245,CB$13))))</f>
        <v>1000000000000</v>
      </c>
      <c r="CC245" s="216">
        <f ca="1">IF($D245&lt;&gt;"Serviço",0,IF(OR(AND(AUTOEVENTO="Manual",$M245=1),$M245&gt;(ROW(PLE.lastrow)-ROW(PLE.firstrow))),0,IF(OFFSET(PLE!$G$14,$M245,CC$13)="",10^12,OFFSET(PLE!$G$14,$M245,CC$13))))</f>
        <v>1000000000000</v>
      </c>
      <c r="CD245" s="216">
        <f ca="1">IF($D245&lt;&gt;"Serviço",0,IF(OR(AND(AUTOEVENTO="Manual",$M245=1),$M245&gt;(ROW(PLE.lastrow)-ROW(PLE.firstrow))),0,IF(OFFSET(PLE!$G$14,$M245,CD$13)="",10^12,OFFSET(PLE!$G$14,$M245,CD$13))))</f>
        <v>1000000000000</v>
      </c>
      <c r="CE245" s="216">
        <f ca="1">IF($D245&lt;&gt;"Serviço",0,IF(OR(AND(AUTOEVENTO="Manual",$M245=1),$M245&gt;(ROW(PLE.lastrow)-ROW(PLE.firstrow))),0,IF(OFFSET(PLE!$G$14,$M245,CE$13)="",10^12,OFFSET(PLE!$G$14,$M245,CE$13))))</f>
        <v>1000000000000</v>
      </c>
      <c r="CF245" s="216">
        <f ca="1">IF($D245&lt;&gt;"Serviço",0,IF(OR(AND(AUTOEVENTO="Manual",$M245=1),$M245&gt;(ROW(PLE.lastrow)-ROW(PLE.firstrow))),0,IF(OFFSET(PLE!$G$14,$M245,CF$13)="",10^12,OFFSET(PLE!$G$14,$M245,CF$13))))</f>
        <v>1000000000000</v>
      </c>
      <c r="CG245" s="216">
        <f ca="1">IF($D245&lt;&gt;"Serviço",0,IF(OR(AND(AUTOEVENTO="Manual",$M245=1),$M245&gt;(ROW(PLE.lastrow)-ROW(PLE.firstrow))),0,IF(OFFSET(PLE!$G$14,$M245,CG$13)="",10^12,OFFSET(PLE!$G$14,$M245,CG$13))))</f>
        <v>1000000000000</v>
      </c>
      <c r="CH245" s="216">
        <f ca="1">IF($D245&lt;&gt;"Serviço",0,IF(OR(AND(AUTOEVENTO="Manual",$M245=1),$M245&gt;(ROW(PLE.lastrow)-ROW(PLE.firstrow))),0,IF(OFFSET(PLE!$G$14,$M245,CH$13)="",10^12,OFFSET(PLE!$G$14,$M245,CH$13))))</f>
        <v>1000000000000</v>
      </c>
      <c r="CI245" s="216">
        <f ca="1">IF($D245&lt;&gt;"Serviço",0,IF(OR(AND(AUTOEVENTO="Manual",$M245=1),$M245&gt;(ROW(PLE.lastrow)-ROW(PLE.firstrow))),0,IF(OFFSET(PLE!$G$14,$M245,CI$13)="",10^12,OFFSET(PLE!$G$14,$M245,CI$13))))</f>
        <v>1000000000000</v>
      </c>
      <c r="CJ245" s="216">
        <f ca="1">IF($D245&lt;&gt;"Serviço",0,IF(OR(AND(AUTOEVENTO="Manual",$M245=1),$M245&gt;(ROW(PLE.lastrow)-ROW(PLE.firstrow))),0,IF(OFFSET(PLE!$G$14,$M245,CJ$13)="",10^12,OFFSET(PLE!$G$14,$M245,CJ$13))))</f>
        <v>1000000000000</v>
      </c>
      <c r="CK245" s="216">
        <f ca="1">IF($D245&lt;&gt;"Serviço",0,IF(OR(AND(AUTOEVENTO="Manual",$M245=1),$M245&gt;(ROW(PLE.lastrow)-ROW(PLE.firstrow))),0,IF(OFFSET(PLE!$G$14,$M245,CK$13)="",10^12,OFFSET(PLE!$G$14,$M245,CK$13))))</f>
        <v>1000000000000</v>
      </c>
      <c r="CL245" s="216">
        <f ca="1">IF($D245&lt;&gt;"Serviço",0,IF(OR(AND(AUTOEVENTO="Manual",$M245=1),$M245&gt;(ROW(PLE.lastrow)-ROW(PLE.firstrow))),0,IF(OFFSET(PLE!$G$14,$M245,CL$13)="",10^12,OFFSET(PLE!$G$14,$M245,CL$13))))</f>
        <v>1000000000000</v>
      </c>
      <c r="CM245" s="216">
        <f ca="1">IF($D245&lt;&gt;"Serviço",0,IF(OR(AND(AUTOEVENTO="Manual",$M245=1),$M245&gt;(ROW(PLE.lastrow)-ROW(PLE.firstrow))),0,IF(OFFSET(PLE!$G$14,$M245,CM$13)="",10^12,OFFSET(PLE!$G$14,$M245,CM$13))))</f>
        <v>1000000000000</v>
      </c>
    </row>
    <row r="246" spans="1:91" ht="13.2" x14ac:dyDescent="0.25">
      <c r="A246" s="9">
        <f t="shared" ca="1" si="12"/>
        <v>0</v>
      </c>
      <c r="B246" s="9" t="str">
        <f ca="1">OFFSET(ORÇAMENTO!C$15,ROW(B246)-ROW(B$15),0)</f>
        <v>S</v>
      </c>
      <c r="C246" s="9" t="str">
        <f ca="1">OFFSET(ORÇAMENTO!L$15,ROW(C246)-ROW(C$15),0)</f>
        <v/>
      </c>
      <c r="D246" s="145" t="str">
        <f ca="1">OFFSET(ORÇAMENTO!N$15,ROW(D246)-ROW(D$15),0)</f>
        <v>Serviço</v>
      </c>
      <c r="E246" s="205" t="str">
        <f ca="1">OFFSET(ORÇAMENTO!O$15,ROW(E246)-ROW(E$15),0)</f>
        <v>-</v>
      </c>
      <c r="F246" s="206" t="str">
        <f ca="1">OFFSET(ORÇAMENTO!R$15,ROW(F246)-ROW(F$15),0)</f>
        <v>(abra o arquivo 'Referência 05-2024.xls)</v>
      </c>
      <c r="G246" s="207" t="str">
        <f ca="1">IF($D246&lt;&gt;"Serviço","",OFFSET(ORÇAMENTO!S$15,ROW(G246)-ROW(G$15),0))</f>
        <v>-</v>
      </c>
      <c r="H246" s="151">
        <f ca="1">IF($D246&lt;&gt;"Serviço",0,IF(ACOMPANHAMENTO="BM",ROUND(OFFSET(ORÇAMENTO!AJ$15,ROW(H246)-ROW(H$15),0),15-13*ORÇAMENTO!$AF$7),SUMPRODUCT(($Q$12:$AI$12&lt;&gt;"")*ROUND($Q246:$AI246,15-13*ORÇAMENTO!$AF$7))))</f>
        <v>1734.95</v>
      </c>
      <c r="I246" s="650"/>
      <c r="K246" s="208"/>
      <c r="L246" s="209" t="s">
        <v>257</v>
      </c>
      <c r="M246" s="210">
        <f ca="1">IF($D246&lt;&gt;"Serviço","",IF(AUTOEVENTO="manual",$A246,IF(ISERROR(MATCH($A246,$A$15:OFFSET($A246,-1,0),0)),MAX($M$15:OFFSET(M246,-1,0))+1,INDEX($M$15:OFFSET(M246,-1,0),MATCH($A246,$A$15:OFFSET($A246,-1,0),0)))))</f>
        <v>0</v>
      </c>
      <c r="N246" s="211" t="str">
        <f ca="1">IF($D246&lt;&gt;"Serviço","",IF(AUTOEVENTO="Manual",IF($A246=0,"&lt;-- defina o número do agrupador",OFFSET(EVENTOS!$D$14,$A246,0)),OFFSET($F$15,$A246,0)))</f>
        <v>&lt;-- defina o número do agrupador</v>
      </c>
      <c r="O246" s="212"/>
      <c r="Q246" s="212"/>
      <c r="R246" s="213"/>
      <c r="S246" s="213"/>
      <c r="T246" s="213"/>
      <c r="U246" s="213"/>
      <c r="V246" s="213"/>
      <c r="W246" s="213"/>
      <c r="X246" s="213"/>
      <c r="Y246" s="213"/>
      <c r="Z246" s="214"/>
      <c r="AA246" s="213"/>
      <c r="AB246" s="213"/>
      <c r="AC246" s="213"/>
      <c r="AD246" s="213"/>
      <c r="AE246" s="213"/>
      <c r="AF246" s="213"/>
      <c r="AG246" s="213"/>
      <c r="AH246" s="214"/>
      <c r="AJ246" s="631">
        <f ca="1">IF(AND($D246="Serviço",AJ$12&lt;&gt;0,$H246&gt;0,OR(AUTOEVENTO&lt;&gt;"manual",$M246&lt;&gt;1)),ROUND(OFFSET($P246,0,AJ$13),15-13*ORÇAMENTO!$AF$7)/$H246*OFFSET(ORÇAMENTO!$X$15,ROW(AJ246)-ROW(AJ$15),0),0)</f>
        <v>0</v>
      </c>
      <c r="AK246" s="632">
        <f ca="1">IF(AND($D246="Serviço",AK$12&lt;&gt;0,$H246&gt;0,OR(AUTOEVENTO&lt;&gt;"manual",$M246&lt;&gt;1)),ROUND(OFFSET($P246,0,AK$13),15-13*ORÇAMENTO!$AF$7)/$H246*OFFSET(ORÇAMENTO!$X$15,ROW(AK246)-ROW(AK$15),0),0)</f>
        <v>0</v>
      </c>
      <c r="AL246" s="632">
        <f ca="1">IF(AND($D246="Serviço",AL$12&lt;&gt;0,$H246&gt;0,OR(AUTOEVENTO&lt;&gt;"manual",$M246&lt;&gt;1)),ROUND(OFFSET($P246,0,AL$13),15-13*ORÇAMENTO!$AF$7)/$H246*OFFSET(ORÇAMENTO!$X$15,ROW(AL246)-ROW(AL$15),0),0)</f>
        <v>0</v>
      </c>
      <c r="AM246" s="632">
        <f ca="1">IF(AND($D246="Serviço",AM$12&lt;&gt;0,$H246&gt;0,OR(AUTOEVENTO&lt;&gt;"manual",$M246&lt;&gt;1)),ROUND(OFFSET($P246,0,AM$13),15-13*ORÇAMENTO!$AF$7)/$H246*OFFSET(ORÇAMENTO!$X$15,ROW(AM246)-ROW(AM$15),0),0)</f>
        <v>0</v>
      </c>
      <c r="AN246" s="632">
        <f ca="1">IF(AND($D246="Serviço",AN$12&lt;&gt;0,$H246&gt;0,OR(AUTOEVENTO&lt;&gt;"manual",$M246&lt;&gt;1)),ROUND(OFFSET($P246,0,AN$13),15-13*ORÇAMENTO!$AF$7)/$H246*OFFSET(ORÇAMENTO!$X$15,ROW(AN246)-ROW(AN$15),0),0)</f>
        <v>0</v>
      </c>
      <c r="AO246" s="632">
        <f ca="1">IF(AND($D246="Serviço",AO$12&lt;&gt;0,$H246&gt;0,OR(AUTOEVENTO&lt;&gt;"manual",$M246&lt;&gt;1)),ROUND(OFFSET($P246,0,AO$13),15-13*ORÇAMENTO!$AF$7)/$H246*OFFSET(ORÇAMENTO!$X$15,ROW(AO246)-ROW(AO$15),0),0)</f>
        <v>0</v>
      </c>
      <c r="AP246" s="632">
        <f ca="1">IF(AND($D246="Serviço",AP$12&lt;&gt;0,$H246&gt;0,OR(AUTOEVENTO&lt;&gt;"manual",$M246&lt;&gt;1)),ROUND(OFFSET($P246,0,AP$13),15-13*ORÇAMENTO!$AF$7)/$H246*OFFSET(ORÇAMENTO!$X$15,ROW(AP246)-ROW(AP$15),0),0)</f>
        <v>0</v>
      </c>
      <c r="AQ246" s="632">
        <f ca="1">IF(AND($D246="Serviço",AQ$12&lt;&gt;0,$H246&gt;0,OR(AUTOEVENTO&lt;&gt;"manual",$M246&lt;&gt;1)),ROUND(OFFSET($P246,0,AQ$13),15-13*ORÇAMENTO!$AF$7)/$H246*OFFSET(ORÇAMENTO!$X$15,ROW(AQ246)-ROW(AQ$15),0),0)</f>
        <v>0</v>
      </c>
      <c r="AR246" s="632">
        <f ca="1">IF(AND($D246="Serviço",AR$12&lt;&gt;0,$H246&gt;0,OR(AUTOEVENTO&lt;&gt;"manual",$M246&lt;&gt;1)),ROUND(OFFSET($P246,0,AR$13),15-13*ORÇAMENTO!$AF$7)/$H246*OFFSET(ORÇAMENTO!$X$15,ROW(AR246)-ROW(AR$15),0),0)</f>
        <v>0</v>
      </c>
      <c r="AS246" s="633">
        <f ca="1">IF(AND($D246="Serviço",AS$12&lt;&gt;0,$H246&gt;0,OR(AUTOEVENTO&lt;&gt;"manual",$M246&lt;&gt;1)),ROUND(OFFSET($P246,0,AS$13),15-13*ORÇAMENTO!$AF$7)/$H246*OFFSET(ORÇAMENTO!$X$15,ROW(AS246)-ROW(AS$15),0),0)</f>
        <v>0</v>
      </c>
      <c r="AT246" s="632">
        <f ca="1">IF(AND($D246="Serviço",AT$12&lt;&gt;0,$H246&gt;0,OR(AUTOEVENTO&lt;&gt;"manual",$M246&lt;&gt;1)),ROUND(OFFSET($P246,0,AT$13),15-13*ORÇAMENTO!$AF$7)/$H246*OFFSET(ORÇAMENTO!$X$15,ROW(AT246)-ROW(AT$15),0),0)</f>
        <v>0</v>
      </c>
      <c r="AU246" s="632">
        <f ca="1">IF(AND($D246="Serviço",AU$12&lt;&gt;0,$H246&gt;0,OR(AUTOEVENTO&lt;&gt;"manual",$M246&lt;&gt;1)),ROUND(OFFSET($P246,0,AU$13),15-13*ORÇAMENTO!$AF$7)/$H246*OFFSET(ORÇAMENTO!$X$15,ROW(AU246)-ROW(AU$15),0),0)</f>
        <v>0</v>
      </c>
      <c r="AV246" s="632">
        <f ca="1">IF(AND($D246="Serviço",AV$12&lt;&gt;0,$H246&gt;0,OR(AUTOEVENTO&lt;&gt;"manual",$M246&lt;&gt;1)),ROUND(OFFSET($P246,0,AV$13),15-13*ORÇAMENTO!$AF$7)/$H246*OFFSET(ORÇAMENTO!$X$15,ROW(AV246)-ROW(AV$15),0),0)</f>
        <v>0</v>
      </c>
      <c r="AW246" s="632">
        <f ca="1">IF(AND($D246="Serviço",AW$12&lt;&gt;0,$H246&gt;0,OR(AUTOEVENTO&lt;&gt;"manual",$M246&lt;&gt;1)),ROUND(OFFSET($P246,0,AW$13),15-13*ORÇAMENTO!$AF$7)/$H246*OFFSET(ORÇAMENTO!$X$15,ROW(AW246)-ROW(AW$15),0),0)</f>
        <v>0</v>
      </c>
      <c r="AX246" s="632">
        <f ca="1">IF(AND($D246="Serviço",AX$12&lt;&gt;0,$H246&gt;0,OR(AUTOEVENTO&lt;&gt;"manual",$M246&lt;&gt;1)),ROUND(OFFSET($P246,0,AX$13),15-13*ORÇAMENTO!$AF$7)/$H246*OFFSET(ORÇAMENTO!$X$15,ROW(AX246)-ROW(AX$15),0),0)</f>
        <v>0</v>
      </c>
      <c r="AY246" s="632">
        <f ca="1">IF(AND($D246="Serviço",AY$12&lt;&gt;0,$H246&gt;0,OR(AUTOEVENTO&lt;&gt;"manual",$M246&lt;&gt;1)),ROUND(OFFSET($P246,0,AY$13),15-13*ORÇAMENTO!$AF$7)/$H246*OFFSET(ORÇAMENTO!$X$15,ROW(AY246)-ROW(AY$15),0),0)</f>
        <v>0</v>
      </c>
      <c r="AZ246" s="632">
        <f ca="1">IF(AND($D246="Serviço",AZ$12&lt;&gt;0,$H246&gt;0,OR(AUTOEVENTO&lt;&gt;"manual",$M246&lt;&gt;1)),ROUND(OFFSET($P246,0,AZ$13),15-13*ORÇAMENTO!$AF$7)/$H246*OFFSET(ORÇAMENTO!$X$15,ROW(AZ246)-ROW(AZ$15),0),0)</f>
        <v>0</v>
      </c>
      <c r="BA246" s="633">
        <f ca="1">IF(AND($D246="Serviço",BA$12&lt;&gt;0,$H246&gt;0,OR(AUTOEVENTO&lt;&gt;"manual",$M246&lt;&gt;1)),ROUND(OFFSET($P246,0,BA$13),15-13*ORÇAMENTO!$AF$7)/$H246*OFFSET(ORÇAMENTO!$X$15,ROW(BA246)-ROW(BA$15),0),0)</f>
        <v>0</v>
      </c>
      <c r="BC246" s="215">
        <f ca="1">IF($D246&lt;&gt;"Serviço",0,IF(AND(AUTOEVENTO="Manual",$M246=1),0,IF(OFFSET(CRONOPLE!$F$14,$M246,BC$13)="",10^12,OFFSET(CRONOPLE!$F$14,$M246,BC$13))))</f>
        <v>1000000000000</v>
      </c>
      <c r="BD246" s="215">
        <f ca="1">IF($D246&lt;&gt;"Serviço",0,IF(AND(AUTOEVENTO="Manual",$M246=1),0,IF(OFFSET(CRONOPLE!$F$14,$M246,BD$13)="",10^12,OFFSET(CRONOPLE!$F$14,$M246,BD$13))))</f>
        <v>1000000000000</v>
      </c>
      <c r="BE246" s="215">
        <f ca="1">IF($D246&lt;&gt;"Serviço",0,IF(AND(AUTOEVENTO="Manual",$M246=1),0,IF(OFFSET(CRONOPLE!$F$14,$M246,BE$13)="",10^12,OFFSET(CRONOPLE!$F$14,$M246,BE$13))))</f>
        <v>1000000000000</v>
      </c>
      <c r="BF246" s="215">
        <f ca="1">IF($D246&lt;&gt;"Serviço",0,IF(AND(AUTOEVENTO="Manual",$M246=1),0,IF(OFFSET(CRONOPLE!$F$14,$M246,BF$13)="",10^12,OFFSET(CRONOPLE!$F$14,$M246,BF$13))))</f>
        <v>1000000000000</v>
      </c>
      <c r="BG246" s="215">
        <f ca="1">IF($D246&lt;&gt;"Serviço",0,IF(AND(AUTOEVENTO="Manual",$M246=1),0,IF(OFFSET(CRONOPLE!$F$14,$M246,BG$13)="",10^12,OFFSET(CRONOPLE!$F$14,$M246,BG$13))))</f>
        <v>1000000000000</v>
      </c>
      <c r="BH246" s="215">
        <f ca="1">IF($D246&lt;&gt;"Serviço",0,IF(AND(AUTOEVENTO="Manual",$M246=1),0,IF(OFFSET(CRONOPLE!$F$14,$M246,BH$13)="",10^12,OFFSET(CRONOPLE!$F$14,$M246,BH$13))))</f>
        <v>1000000000000</v>
      </c>
      <c r="BI246" s="215">
        <f ca="1">IF($D246&lt;&gt;"Serviço",0,IF(AND(AUTOEVENTO="Manual",$M246=1),0,IF(OFFSET(CRONOPLE!$F$14,$M246,BI$13)="",10^12,OFFSET(CRONOPLE!$F$14,$M246,BI$13))))</f>
        <v>1000000000000</v>
      </c>
      <c r="BJ246" s="215">
        <f ca="1">IF($D246&lt;&gt;"Serviço",0,IF(AND(AUTOEVENTO="Manual",$M246=1),0,IF(OFFSET(CRONOPLE!$F$14,$M246,BJ$13)="",10^12,OFFSET(CRONOPLE!$F$14,$M246,BJ$13))))</f>
        <v>1000000000000</v>
      </c>
      <c r="BK246" s="215">
        <f ca="1">IF($D246&lt;&gt;"Serviço",0,IF(AND(AUTOEVENTO="Manual",$M246=1),0,IF(OFFSET(CRONOPLE!$F$14,$M246,BK$13)="",10^12,OFFSET(CRONOPLE!$F$14,$M246,BK$13))))</f>
        <v>1000000000000</v>
      </c>
      <c r="BL246" s="215">
        <f ca="1">IF($D246&lt;&gt;"Serviço",0,IF(AND(AUTOEVENTO="Manual",$M246=1),0,IF(OFFSET(CRONOPLE!$F$14,$M246,BL$13)="",10^12,OFFSET(CRONOPLE!$F$14,$M246,BL$13))))</f>
        <v>1000000000000</v>
      </c>
      <c r="BM246" s="215">
        <f ca="1">IF($D246&lt;&gt;"Serviço",0,IF(AND(AUTOEVENTO="Manual",$M246=1),0,IF(OFFSET(CRONOPLE!$F$14,$M246,BM$13)="",10^12,OFFSET(CRONOPLE!$F$14,$M246,BM$13))))</f>
        <v>1000000000000</v>
      </c>
      <c r="BN246" s="215">
        <f ca="1">IF($D246&lt;&gt;"Serviço",0,IF(AND(AUTOEVENTO="Manual",$M246=1),0,IF(OFFSET(CRONOPLE!$F$14,$M246,BN$13)="",10^12,OFFSET(CRONOPLE!$F$14,$M246,BN$13))))</f>
        <v>1000000000000</v>
      </c>
      <c r="BO246" s="215">
        <f ca="1">IF($D246&lt;&gt;"Serviço",0,IF(AND(AUTOEVENTO="Manual",$M246=1),0,IF(OFFSET(CRONOPLE!$F$14,$M246,BO$13)="",10^12,OFFSET(CRONOPLE!$F$14,$M246,BO$13))))</f>
        <v>1000000000000</v>
      </c>
      <c r="BP246" s="215">
        <f ca="1">IF($D246&lt;&gt;"Serviço",0,IF(AND(AUTOEVENTO="Manual",$M246=1),0,IF(OFFSET(CRONOPLE!$F$14,$M246,BP$13)="",10^12,OFFSET(CRONOPLE!$F$14,$M246,BP$13))))</f>
        <v>1000000000000</v>
      </c>
      <c r="BQ246" s="215">
        <f ca="1">IF($D246&lt;&gt;"Serviço",0,IF(AND(AUTOEVENTO="Manual",$M246=1),0,IF(OFFSET(CRONOPLE!$F$14,$M246,BQ$13)="",10^12,OFFSET(CRONOPLE!$F$14,$M246,BQ$13))))</f>
        <v>1000000000000</v>
      </c>
      <c r="BR246" s="215">
        <f ca="1">IF($D246&lt;&gt;"Serviço",0,IF(AND(AUTOEVENTO="Manual",$M246=1),0,IF(OFFSET(CRONOPLE!$F$14,$M246,BR$13)="",10^12,OFFSET(CRONOPLE!$F$14,$M246,BR$13))))</f>
        <v>1000000000000</v>
      </c>
      <c r="BS246" s="215">
        <f ca="1">IF($D246&lt;&gt;"Serviço",0,IF(AND(AUTOEVENTO="Manual",$M246=1),0,IF(OFFSET(CRONOPLE!$F$14,$M246,BS$13)="",10^12,OFFSET(CRONOPLE!$F$14,$M246,BS$13))))</f>
        <v>1000000000000</v>
      </c>
      <c r="BT246" s="215">
        <f ca="1">IF($D246&lt;&gt;"Serviço",0,IF(AND(AUTOEVENTO="Manual",$M246=1),0,IF(OFFSET(CRONOPLE!$F$14,$M246,BT$13)="",10^12,OFFSET(CRONOPLE!$F$14,$M246,BT$13))))</f>
        <v>1000000000000</v>
      </c>
      <c r="BV246" s="216">
        <f ca="1">IF($D246&lt;&gt;"Serviço",0,IF(OR(AND(AUTOEVENTO="Manual",$M246=1),$M246&gt;(ROW(PLE.lastrow)-ROW(PLE.firstrow))),0,IF(OFFSET(PLE!$G$14,$M246,BV$13)="",10^12,OFFSET(PLE!$G$14,$M246,BV$13))))</f>
        <v>1000000000000</v>
      </c>
      <c r="BW246" s="216">
        <f ca="1">IF($D246&lt;&gt;"Serviço",0,IF(OR(AND(AUTOEVENTO="Manual",$M246=1),$M246&gt;(ROW(PLE.lastrow)-ROW(PLE.firstrow))),0,IF(OFFSET(PLE!$G$14,$M246,BW$13)="",10^12,OFFSET(PLE!$G$14,$M246,BW$13))))</f>
        <v>1000000000000</v>
      </c>
      <c r="BX246" s="216">
        <f ca="1">IF($D246&lt;&gt;"Serviço",0,IF(OR(AND(AUTOEVENTO="Manual",$M246=1),$M246&gt;(ROW(PLE.lastrow)-ROW(PLE.firstrow))),0,IF(OFFSET(PLE!$G$14,$M246,BX$13)="",10^12,OFFSET(PLE!$G$14,$M246,BX$13))))</f>
        <v>1000000000000</v>
      </c>
      <c r="BY246" s="216">
        <f ca="1">IF($D246&lt;&gt;"Serviço",0,IF(OR(AND(AUTOEVENTO="Manual",$M246=1),$M246&gt;(ROW(PLE.lastrow)-ROW(PLE.firstrow))),0,IF(OFFSET(PLE!$G$14,$M246,BY$13)="",10^12,OFFSET(PLE!$G$14,$M246,BY$13))))</f>
        <v>1000000000000</v>
      </c>
      <c r="BZ246" s="216">
        <f ca="1">IF($D246&lt;&gt;"Serviço",0,IF(OR(AND(AUTOEVENTO="Manual",$M246=1),$M246&gt;(ROW(PLE.lastrow)-ROW(PLE.firstrow))),0,IF(OFFSET(PLE!$G$14,$M246,BZ$13)="",10^12,OFFSET(PLE!$G$14,$M246,BZ$13))))</f>
        <v>1000000000000</v>
      </c>
      <c r="CA246" s="216">
        <f ca="1">IF($D246&lt;&gt;"Serviço",0,IF(OR(AND(AUTOEVENTO="Manual",$M246=1),$M246&gt;(ROW(PLE.lastrow)-ROW(PLE.firstrow))),0,IF(OFFSET(PLE!$G$14,$M246,CA$13)="",10^12,OFFSET(PLE!$G$14,$M246,CA$13))))</f>
        <v>1000000000000</v>
      </c>
      <c r="CB246" s="216">
        <f ca="1">IF($D246&lt;&gt;"Serviço",0,IF(OR(AND(AUTOEVENTO="Manual",$M246=1),$M246&gt;(ROW(PLE.lastrow)-ROW(PLE.firstrow))),0,IF(OFFSET(PLE!$G$14,$M246,CB$13)="",10^12,OFFSET(PLE!$G$14,$M246,CB$13))))</f>
        <v>1000000000000</v>
      </c>
      <c r="CC246" s="216">
        <f ca="1">IF($D246&lt;&gt;"Serviço",0,IF(OR(AND(AUTOEVENTO="Manual",$M246=1),$M246&gt;(ROW(PLE.lastrow)-ROW(PLE.firstrow))),0,IF(OFFSET(PLE!$G$14,$M246,CC$13)="",10^12,OFFSET(PLE!$G$14,$M246,CC$13))))</f>
        <v>1000000000000</v>
      </c>
      <c r="CD246" s="216">
        <f ca="1">IF($D246&lt;&gt;"Serviço",0,IF(OR(AND(AUTOEVENTO="Manual",$M246=1),$M246&gt;(ROW(PLE.lastrow)-ROW(PLE.firstrow))),0,IF(OFFSET(PLE!$G$14,$M246,CD$13)="",10^12,OFFSET(PLE!$G$14,$M246,CD$13))))</f>
        <v>1000000000000</v>
      </c>
      <c r="CE246" s="216">
        <f ca="1">IF($D246&lt;&gt;"Serviço",0,IF(OR(AND(AUTOEVENTO="Manual",$M246=1),$M246&gt;(ROW(PLE.lastrow)-ROW(PLE.firstrow))),0,IF(OFFSET(PLE!$G$14,$M246,CE$13)="",10^12,OFFSET(PLE!$G$14,$M246,CE$13))))</f>
        <v>1000000000000</v>
      </c>
      <c r="CF246" s="216">
        <f ca="1">IF($D246&lt;&gt;"Serviço",0,IF(OR(AND(AUTOEVENTO="Manual",$M246=1),$M246&gt;(ROW(PLE.lastrow)-ROW(PLE.firstrow))),0,IF(OFFSET(PLE!$G$14,$M246,CF$13)="",10^12,OFFSET(PLE!$G$14,$M246,CF$13))))</f>
        <v>1000000000000</v>
      </c>
      <c r="CG246" s="216">
        <f ca="1">IF($D246&lt;&gt;"Serviço",0,IF(OR(AND(AUTOEVENTO="Manual",$M246=1),$M246&gt;(ROW(PLE.lastrow)-ROW(PLE.firstrow))),0,IF(OFFSET(PLE!$G$14,$M246,CG$13)="",10^12,OFFSET(PLE!$G$14,$M246,CG$13))))</f>
        <v>1000000000000</v>
      </c>
      <c r="CH246" s="216">
        <f ca="1">IF($D246&lt;&gt;"Serviço",0,IF(OR(AND(AUTOEVENTO="Manual",$M246=1),$M246&gt;(ROW(PLE.lastrow)-ROW(PLE.firstrow))),0,IF(OFFSET(PLE!$G$14,$M246,CH$13)="",10^12,OFFSET(PLE!$G$14,$M246,CH$13))))</f>
        <v>1000000000000</v>
      </c>
      <c r="CI246" s="216">
        <f ca="1">IF($D246&lt;&gt;"Serviço",0,IF(OR(AND(AUTOEVENTO="Manual",$M246=1),$M246&gt;(ROW(PLE.lastrow)-ROW(PLE.firstrow))),0,IF(OFFSET(PLE!$G$14,$M246,CI$13)="",10^12,OFFSET(PLE!$G$14,$M246,CI$13))))</f>
        <v>1000000000000</v>
      </c>
      <c r="CJ246" s="216">
        <f ca="1">IF($D246&lt;&gt;"Serviço",0,IF(OR(AND(AUTOEVENTO="Manual",$M246=1),$M246&gt;(ROW(PLE.lastrow)-ROW(PLE.firstrow))),0,IF(OFFSET(PLE!$G$14,$M246,CJ$13)="",10^12,OFFSET(PLE!$G$14,$M246,CJ$13))))</f>
        <v>1000000000000</v>
      </c>
      <c r="CK246" s="216">
        <f ca="1">IF($D246&lt;&gt;"Serviço",0,IF(OR(AND(AUTOEVENTO="Manual",$M246=1),$M246&gt;(ROW(PLE.lastrow)-ROW(PLE.firstrow))),0,IF(OFFSET(PLE!$G$14,$M246,CK$13)="",10^12,OFFSET(PLE!$G$14,$M246,CK$13))))</f>
        <v>1000000000000</v>
      </c>
      <c r="CL246" s="216">
        <f ca="1">IF($D246&lt;&gt;"Serviço",0,IF(OR(AND(AUTOEVENTO="Manual",$M246=1),$M246&gt;(ROW(PLE.lastrow)-ROW(PLE.firstrow))),0,IF(OFFSET(PLE!$G$14,$M246,CL$13)="",10^12,OFFSET(PLE!$G$14,$M246,CL$13))))</f>
        <v>1000000000000</v>
      </c>
      <c r="CM246" s="216">
        <f ca="1">IF($D246&lt;&gt;"Serviço",0,IF(OR(AND(AUTOEVENTO="Manual",$M246=1),$M246&gt;(ROW(PLE.lastrow)-ROW(PLE.firstrow))),0,IF(OFFSET(PLE!$G$14,$M246,CM$13)="",10^12,OFFSET(PLE!$G$14,$M246,CM$13))))</f>
        <v>1000000000000</v>
      </c>
    </row>
    <row r="247" spans="1:91" ht="13.2" x14ac:dyDescent="0.25">
      <c r="A247" s="9">
        <f t="shared" ca="1" si="12"/>
        <v>0</v>
      </c>
      <c r="B247" s="9" t="str">
        <f ca="1">OFFSET(ORÇAMENTO!C$15,ROW(B247)-ROW(B$15),0)</f>
        <v>S</v>
      </c>
      <c r="C247" s="9" t="str">
        <f ca="1">OFFSET(ORÇAMENTO!L$15,ROW(C247)-ROW(C$15),0)</f>
        <v/>
      </c>
      <c r="D247" s="145" t="str">
        <f ca="1">OFFSET(ORÇAMENTO!N$15,ROW(D247)-ROW(D$15),0)</f>
        <v>Serviço</v>
      </c>
      <c r="E247" s="205" t="str">
        <f ca="1">OFFSET(ORÇAMENTO!O$15,ROW(E247)-ROW(E$15),0)</f>
        <v>-</v>
      </c>
      <c r="F247" s="206" t="str">
        <f ca="1">OFFSET(ORÇAMENTO!R$15,ROW(F247)-ROW(F$15),0)</f>
        <v>(abra o arquivo 'Referência 05-2024.xls)</v>
      </c>
      <c r="G247" s="207" t="str">
        <f ca="1">IF($D247&lt;&gt;"Serviço","",OFFSET(ORÇAMENTO!S$15,ROW(G247)-ROW(G$15),0))</f>
        <v>-</v>
      </c>
      <c r="H247" s="151">
        <f ca="1">IF($D247&lt;&gt;"Serviço",0,IF(ACOMPANHAMENTO="BM",ROUND(OFFSET(ORÇAMENTO!AJ$15,ROW(H247)-ROW(H$15),0),15-13*ORÇAMENTO!$AF$7),SUMPRODUCT(($Q$12:$AI$12&lt;&gt;"")*ROUND($Q247:$AI247,15-13*ORÇAMENTO!$AF$7))))</f>
        <v>1119.23</v>
      </c>
      <c r="I247" s="650"/>
      <c r="K247" s="208"/>
      <c r="L247" s="209" t="s">
        <v>257</v>
      </c>
      <c r="M247" s="210">
        <f ca="1">IF($D247&lt;&gt;"Serviço","",IF(AUTOEVENTO="manual",$A247,IF(ISERROR(MATCH($A247,$A$15:OFFSET($A247,-1,0),0)),MAX($M$15:OFFSET(M247,-1,0))+1,INDEX($M$15:OFFSET(M247,-1,0),MATCH($A247,$A$15:OFFSET($A247,-1,0),0)))))</f>
        <v>0</v>
      </c>
      <c r="N247" s="211" t="str">
        <f ca="1">IF($D247&lt;&gt;"Serviço","",IF(AUTOEVENTO="Manual",IF($A247=0,"&lt;-- defina o número do agrupador",OFFSET(EVENTOS!$D$14,$A247,0)),OFFSET($F$15,$A247,0)))</f>
        <v>&lt;-- defina o número do agrupador</v>
      </c>
      <c r="O247" s="212"/>
      <c r="Q247" s="212"/>
      <c r="R247" s="213"/>
      <c r="S247" s="213"/>
      <c r="T247" s="213"/>
      <c r="U247" s="213"/>
      <c r="V247" s="213"/>
      <c r="W247" s="213"/>
      <c r="X247" s="213"/>
      <c r="Y247" s="213"/>
      <c r="Z247" s="214"/>
      <c r="AA247" s="213"/>
      <c r="AB247" s="213"/>
      <c r="AC247" s="213"/>
      <c r="AD247" s="213"/>
      <c r="AE247" s="213"/>
      <c r="AF247" s="213"/>
      <c r="AG247" s="213"/>
      <c r="AH247" s="214"/>
      <c r="AJ247" s="631">
        <f ca="1">IF(AND($D247="Serviço",AJ$12&lt;&gt;0,$H247&gt;0,OR(AUTOEVENTO&lt;&gt;"manual",$M247&lt;&gt;1)),ROUND(OFFSET($P247,0,AJ$13),15-13*ORÇAMENTO!$AF$7)/$H247*OFFSET(ORÇAMENTO!$X$15,ROW(AJ247)-ROW(AJ$15),0),0)</f>
        <v>0</v>
      </c>
      <c r="AK247" s="632">
        <f ca="1">IF(AND($D247="Serviço",AK$12&lt;&gt;0,$H247&gt;0,OR(AUTOEVENTO&lt;&gt;"manual",$M247&lt;&gt;1)),ROUND(OFFSET($P247,0,AK$13),15-13*ORÇAMENTO!$AF$7)/$H247*OFFSET(ORÇAMENTO!$X$15,ROW(AK247)-ROW(AK$15),0),0)</f>
        <v>0</v>
      </c>
      <c r="AL247" s="632">
        <f ca="1">IF(AND($D247="Serviço",AL$12&lt;&gt;0,$H247&gt;0,OR(AUTOEVENTO&lt;&gt;"manual",$M247&lt;&gt;1)),ROUND(OFFSET($P247,0,AL$13),15-13*ORÇAMENTO!$AF$7)/$H247*OFFSET(ORÇAMENTO!$X$15,ROW(AL247)-ROW(AL$15),0),0)</f>
        <v>0</v>
      </c>
      <c r="AM247" s="632">
        <f ca="1">IF(AND($D247="Serviço",AM$12&lt;&gt;0,$H247&gt;0,OR(AUTOEVENTO&lt;&gt;"manual",$M247&lt;&gt;1)),ROUND(OFFSET($P247,0,AM$13),15-13*ORÇAMENTO!$AF$7)/$H247*OFFSET(ORÇAMENTO!$X$15,ROW(AM247)-ROW(AM$15),0),0)</f>
        <v>0</v>
      </c>
      <c r="AN247" s="632">
        <f ca="1">IF(AND($D247="Serviço",AN$12&lt;&gt;0,$H247&gt;0,OR(AUTOEVENTO&lt;&gt;"manual",$M247&lt;&gt;1)),ROUND(OFFSET($P247,0,AN$13),15-13*ORÇAMENTO!$AF$7)/$H247*OFFSET(ORÇAMENTO!$X$15,ROW(AN247)-ROW(AN$15),0),0)</f>
        <v>0</v>
      </c>
      <c r="AO247" s="632">
        <f ca="1">IF(AND($D247="Serviço",AO$12&lt;&gt;0,$H247&gt;0,OR(AUTOEVENTO&lt;&gt;"manual",$M247&lt;&gt;1)),ROUND(OFFSET($P247,0,AO$13),15-13*ORÇAMENTO!$AF$7)/$H247*OFFSET(ORÇAMENTO!$X$15,ROW(AO247)-ROW(AO$15),0),0)</f>
        <v>0</v>
      </c>
      <c r="AP247" s="632">
        <f ca="1">IF(AND($D247="Serviço",AP$12&lt;&gt;0,$H247&gt;0,OR(AUTOEVENTO&lt;&gt;"manual",$M247&lt;&gt;1)),ROUND(OFFSET($P247,0,AP$13),15-13*ORÇAMENTO!$AF$7)/$H247*OFFSET(ORÇAMENTO!$X$15,ROW(AP247)-ROW(AP$15),0),0)</f>
        <v>0</v>
      </c>
      <c r="AQ247" s="632">
        <f ca="1">IF(AND($D247="Serviço",AQ$12&lt;&gt;0,$H247&gt;0,OR(AUTOEVENTO&lt;&gt;"manual",$M247&lt;&gt;1)),ROUND(OFFSET($P247,0,AQ$13),15-13*ORÇAMENTO!$AF$7)/$H247*OFFSET(ORÇAMENTO!$X$15,ROW(AQ247)-ROW(AQ$15),0),0)</f>
        <v>0</v>
      </c>
      <c r="AR247" s="632">
        <f ca="1">IF(AND($D247="Serviço",AR$12&lt;&gt;0,$H247&gt;0,OR(AUTOEVENTO&lt;&gt;"manual",$M247&lt;&gt;1)),ROUND(OFFSET($P247,0,AR$13),15-13*ORÇAMENTO!$AF$7)/$H247*OFFSET(ORÇAMENTO!$X$15,ROW(AR247)-ROW(AR$15),0),0)</f>
        <v>0</v>
      </c>
      <c r="AS247" s="633">
        <f ca="1">IF(AND($D247="Serviço",AS$12&lt;&gt;0,$H247&gt;0,OR(AUTOEVENTO&lt;&gt;"manual",$M247&lt;&gt;1)),ROUND(OFFSET($P247,0,AS$13),15-13*ORÇAMENTO!$AF$7)/$H247*OFFSET(ORÇAMENTO!$X$15,ROW(AS247)-ROW(AS$15),0),0)</f>
        <v>0</v>
      </c>
      <c r="AT247" s="632">
        <f ca="1">IF(AND($D247="Serviço",AT$12&lt;&gt;0,$H247&gt;0,OR(AUTOEVENTO&lt;&gt;"manual",$M247&lt;&gt;1)),ROUND(OFFSET($P247,0,AT$13),15-13*ORÇAMENTO!$AF$7)/$H247*OFFSET(ORÇAMENTO!$X$15,ROW(AT247)-ROW(AT$15),0),0)</f>
        <v>0</v>
      </c>
      <c r="AU247" s="632">
        <f ca="1">IF(AND($D247="Serviço",AU$12&lt;&gt;0,$H247&gt;0,OR(AUTOEVENTO&lt;&gt;"manual",$M247&lt;&gt;1)),ROUND(OFFSET($P247,0,AU$13),15-13*ORÇAMENTO!$AF$7)/$H247*OFFSET(ORÇAMENTO!$X$15,ROW(AU247)-ROW(AU$15),0),0)</f>
        <v>0</v>
      </c>
      <c r="AV247" s="632">
        <f ca="1">IF(AND($D247="Serviço",AV$12&lt;&gt;0,$H247&gt;0,OR(AUTOEVENTO&lt;&gt;"manual",$M247&lt;&gt;1)),ROUND(OFFSET($P247,0,AV$13),15-13*ORÇAMENTO!$AF$7)/$H247*OFFSET(ORÇAMENTO!$X$15,ROW(AV247)-ROW(AV$15),0),0)</f>
        <v>0</v>
      </c>
      <c r="AW247" s="632">
        <f ca="1">IF(AND($D247="Serviço",AW$12&lt;&gt;0,$H247&gt;0,OR(AUTOEVENTO&lt;&gt;"manual",$M247&lt;&gt;1)),ROUND(OFFSET($P247,0,AW$13),15-13*ORÇAMENTO!$AF$7)/$H247*OFFSET(ORÇAMENTO!$X$15,ROW(AW247)-ROW(AW$15),0),0)</f>
        <v>0</v>
      </c>
      <c r="AX247" s="632">
        <f ca="1">IF(AND($D247="Serviço",AX$12&lt;&gt;0,$H247&gt;0,OR(AUTOEVENTO&lt;&gt;"manual",$M247&lt;&gt;1)),ROUND(OFFSET($P247,0,AX$13),15-13*ORÇAMENTO!$AF$7)/$H247*OFFSET(ORÇAMENTO!$X$15,ROW(AX247)-ROW(AX$15),0),0)</f>
        <v>0</v>
      </c>
      <c r="AY247" s="632">
        <f ca="1">IF(AND($D247="Serviço",AY$12&lt;&gt;0,$H247&gt;0,OR(AUTOEVENTO&lt;&gt;"manual",$M247&lt;&gt;1)),ROUND(OFFSET($P247,0,AY$13),15-13*ORÇAMENTO!$AF$7)/$H247*OFFSET(ORÇAMENTO!$X$15,ROW(AY247)-ROW(AY$15),0),0)</f>
        <v>0</v>
      </c>
      <c r="AZ247" s="632">
        <f ca="1">IF(AND($D247="Serviço",AZ$12&lt;&gt;0,$H247&gt;0,OR(AUTOEVENTO&lt;&gt;"manual",$M247&lt;&gt;1)),ROUND(OFFSET($P247,0,AZ$13),15-13*ORÇAMENTO!$AF$7)/$H247*OFFSET(ORÇAMENTO!$X$15,ROW(AZ247)-ROW(AZ$15),0),0)</f>
        <v>0</v>
      </c>
      <c r="BA247" s="633">
        <f ca="1">IF(AND($D247="Serviço",BA$12&lt;&gt;0,$H247&gt;0,OR(AUTOEVENTO&lt;&gt;"manual",$M247&lt;&gt;1)),ROUND(OFFSET($P247,0,BA$13),15-13*ORÇAMENTO!$AF$7)/$H247*OFFSET(ORÇAMENTO!$X$15,ROW(BA247)-ROW(BA$15),0),0)</f>
        <v>0</v>
      </c>
      <c r="BC247" s="215">
        <f ca="1">IF($D247&lt;&gt;"Serviço",0,IF(AND(AUTOEVENTO="Manual",$M247=1),0,IF(OFFSET(CRONOPLE!$F$14,$M247,BC$13)="",10^12,OFFSET(CRONOPLE!$F$14,$M247,BC$13))))</f>
        <v>1000000000000</v>
      </c>
      <c r="BD247" s="215">
        <f ca="1">IF($D247&lt;&gt;"Serviço",0,IF(AND(AUTOEVENTO="Manual",$M247=1),0,IF(OFFSET(CRONOPLE!$F$14,$M247,BD$13)="",10^12,OFFSET(CRONOPLE!$F$14,$M247,BD$13))))</f>
        <v>1000000000000</v>
      </c>
      <c r="BE247" s="215">
        <f ca="1">IF($D247&lt;&gt;"Serviço",0,IF(AND(AUTOEVENTO="Manual",$M247=1),0,IF(OFFSET(CRONOPLE!$F$14,$M247,BE$13)="",10^12,OFFSET(CRONOPLE!$F$14,$M247,BE$13))))</f>
        <v>1000000000000</v>
      </c>
      <c r="BF247" s="215">
        <f ca="1">IF($D247&lt;&gt;"Serviço",0,IF(AND(AUTOEVENTO="Manual",$M247=1),0,IF(OFFSET(CRONOPLE!$F$14,$M247,BF$13)="",10^12,OFFSET(CRONOPLE!$F$14,$M247,BF$13))))</f>
        <v>1000000000000</v>
      </c>
      <c r="BG247" s="215">
        <f ca="1">IF($D247&lt;&gt;"Serviço",0,IF(AND(AUTOEVENTO="Manual",$M247=1),0,IF(OFFSET(CRONOPLE!$F$14,$M247,BG$13)="",10^12,OFFSET(CRONOPLE!$F$14,$M247,BG$13))))</f>
        <v>1000000000000</v>
      </c>
      <c r="BH247" s="215">
        <f ca="1">IF($D247&lt;&gt;"Serviço",0,IF(AND(AUTOEVENTO="Manual",$M247=1),0,IF(OFFSET(CRONOPLE!$F$14,$M247,BH$13)="",10^12,OFFSET(CRONOPLE!$F$14,$M247,BH$13))))</f>
        <v>1000000000000</v>
      </c>
      <c r="BI247" s="215">
        <f ca="1">IF($D247&lt;&gt;"Serviço",0,IF(AND(AUTOEVENTO="Manual",$M247=1),0,IF(OFFSET(CRONOPLE!$F$14,$M247,BI$13)="",10^12,OFFSET(CRONOPLE!$F$14,$M247,BI$13))))</f>
        <v>1000000000000</v>
      </c>
      <c r="BJ247" s="215">
        <f ca="1">IF($D247&lt;&gt;"Serviço",0,IF(AND(AUTOEVENTO="Manual",$M247=1),0,IF(OFFSET(CRONOPLE!$F$14,$M247,BJ$13)="",10^12,OFFSET(CRONOPLE!$F$14,$M247,BJ$13))))</f>
        <v>1000000000000</v>
      </c>
      <c r="BK247" s="215">
        <f ca="1">IF($D247&lt;&gt;"Serviço",0,IF(AND(AUTOEVENTO="Manual",$M247=1),0,IF(OFFSET(CRONOPLE!$F$14,$M247,BK$13)="",10^12,OFFSET(CRONOPLE!$F$14,$M247,BK$13))))</f>
        <v>1000000000000</v>
      </c>
      <c r="BL247" s="215">
        <f ca="1">IF($D247&lt;&gt;"Serviço",0,IF(AND(AUTOEVENTO="Manual",$M247=1),0,IF(OFFSET(CRONOPLE!$F$14,$M247,BL$13)="",10^12,OFFSET(CRONOPLE!$F$14,$M247,BL$13))))</f>
        <v>1000000000000</v>
      </c>
      <c r="BM247" s="215">
        <f ca="1">IF($D247&lt;&gt;"Serviço",0,IF(AND(AUTOEVENTO="Manual",$M247=1),0,IF(OFFSET(CRONOPLE!$F$14,$M247,BM$13)="",10^12,OFFSET(CRONOPLE!$F$14,$M247,BM$13))))</f>
        <v>1000000000000</v>
      </c>
      <c r="BN247" s="215">
        <f ca="1">IF($D247&lt;&gt;"Serviço",0,IF(AND(AUTOEVENTO="Manual",$M247=1),0,IF(OFFSET(CRONOPLE!$F$14,$M247,BN$13)="",10^12,OFFSET(CRONOPLE!$F$14,$M247,BN$13))))</f>
        <v>1000000000000</v>
      </c>
      <c r="BO247" s="215">
        <f ca="1">IF($D247&lt;&gt;"Serviço",0,IF(AND(AUTOEVENTO="Manual",$M247=1),0,IF(OFFSET(CRONOPLE!$F$14,$M247,BO$13)="",10^12,OFFSET(CRONOPLE!$F$14,$M247,BO$13))))</f>
        <v>1000000000000</v>
      </c>
      <c r="BP247" s="215">
        <f ca="1">IF($D247&lt;&gt;"Serviço",0,IF(AND(AUTOEVENTO="Manual",$M247=1),0,IF(OFFSET(CRONOPLE!$F$14,$M247,BP$13)="",10^12,OFFSET(CRONOPLE!$F$14,$M247,BP$13))))</f>
        <v>1000000000000</v>
      </c>
      <c r="BQ247" s="215">
        <f ca="1">IF($D247&lt;&gt;"Serviço",0,IF(AND(AUTOEVENTO="Manual",$M247=1),0,IF(OFFSET(CRONOPLE!$F$14,$M247,BQ$13)="",10^12,OFFSET(CRONOPLE!$F$14,$M247,BQ$13))))</f>
        <v>1000000000000</v>
      </c>
      <c r="BR247" s="215">
        <f ca="1">IF($D247&lt;&gt;"Serviço",0,IF(AND(AUTOEVENTO="Manual",$M247=1),0,IF(OFFSET(CRONOPLE!$F$14,$M247,BR$13)="",10^12,OFFSET(CRONOPLE!$F$14,$M247,BR$13))))</f>
        <v>1000000000000</v>
      </c>
      <c r="BS247" s="215">
        <f ca="1">IF($D247&lt;&gt;"Serviço",0,IF(AND(AUTOEVENTO="Manual",$M247=1),0,IF(OFFSET(CRONOPLE!$F$14,$M247,BS$13)="",10^12,OFFSET(CRONOPLE!$F$14,$M247,BS$13))))</f>
        <v>1000000000000</v>
      </c>
      <c r="BT247" s="215">
        <f ca="1">IF($D247&lt;&gt;"Serviço",0,IF(AND(AUTOEVENTO="Manual",$M247=1),0,IF(OFFSET(CRONOPLE!$F$14,$M247,BT$13)="",10^12,OFFSET(CRONOPLE!$F$14,$M247,BT$13))))</f>
        <v>1000000000000</v>
      </c>
      <c r="BV247" s="216">
        <f ca="1">IF($D247&lt;&gt;"Serviço",0,IF(OR(AND(AUTOEVENTO="Manual",$M247=1),$M247&gt;(ROW(PLE.lastrow)-ROW(PLE.firstrow))),0,IF(OFFSET(PLE!$G$14,$M247,BV$13)="",10^12,OFFSET(PLE!$G$14,$M247,BV$13))))</f>
        <v>1000000000000</v>
      </c>
      <c r="BW247" s="216">
        <f ca="1">IF($D247&lt;&gt;"Serviço",0,IF(OR(AND(AUTOEVENTO="Manual",$M247=1),$M247&gt;(ROW(PLE.lastrow)-ROW(PLE.firstrow))),0,IF(OFFSET(PLE!$G$14,$M247,BW$13)="",10^12,OFFSET(PLE!$G$14,$M247,BW$13))))</f>
        <v>1000000000000</v>
      </c>
      <c r="BX247" s="216">
        <f ca="1">IF($D247&lt;&gt;"Serviço",0,IF(OR(AND(AUTOEVENTO="Manual",$M247=1),$M247&gt;(ROW(PLE.lastrow)-ROW(PLE.firstrow))),0,IF(OFFSET(PLE!$G$14,$M247,BX$13)="",10^12,OFFSET(PLE!$G$14,$M247,BX$13))))</f>
        <v>1000000000000</v>
      </c>
      <c r="BY247" s="216">
        <f ca="1">IF($D247&lt;&gt;"Serviço",0,IF(OR(AND(AUTOEVENTO="Manual",$M247=1),$M247&gt;(ROW(PLE.lastrow)-ROW(PLE.firstrow))),0,IF(OFFSET(PLE!$G$14,$M247,BY$13)="",10^12,OFFSET(PLE!$G$14,$M247,BY$13))))</f>
        <v>1000000000000</v>
      </c>
      <c r="BZ247" s="216">
        <f ca="1">IF($D247&lt;&gt;"Serviço",0,IF(OR(AND(AUTOEVENTO="Manual",$M247=1),$M247&gt;(ROW(PLE.lastrow)-ROW(PLE.firstrow))),0,IF(OFFSET(PLE!$G$14,$M247,BZ$13)="",10^12,OFFSET(PLE!$G$14,$M247,BZ$13))))</f>
        <v>1000000000000</v>
      </c>
      <c r="CA247" s="216">
        <f ca="1">IF($D247&lt;&gt;"Serviço",0,IF(OR(AND(AUTOEVENTO="Manual",$M247=1),$M247&gt;(ROW(PLE.lastrow)-ROW(PLE.firstrow))),0,IF(OFFSET(PLE!$G$14,$M247,CA$13)="",10^12,OFFSET(PLE!$G$14,$M247,CA$13))))</f>
        <v>1000000000000</v>
      </c>
      <c r="CB247" s="216">
        <f ca="1">IF($D247&lt;&gt;"Serviço",0,IF(OR(AND(AUTOEVENTO="Manual",$M247=1),$M247&gt;(ROW(PLE.lastrow)-ROW(PLE.firstrow))),0,IF(OFFSET(PLE!$G$14,$M247,CB$13)="",10^12,OFFSET(PLE!$G$14,$M247,CB$13))))</f>
        <v>1000000000000</v>
      </c>
      <c r="CC247" s="216">
        <f ca="1">IF($D247&lt;&gt;"Serviço",0,IF(OR(AND(AUTOEVENTO="Manual",$M247=1),$M247&gt;(ROW(PLE.lastrow)-ROW(PLE.firstrow))),0,IF(OFFSET(PLE!$G$14,$M247,CC$13)="",10^12,OFFSET(PLE!$G$14,$M247,CC$13))))</f>
        <v>1000000000000</v>
      </c>
      <c r="CD247" s="216">
        <f ca="1">IF($D247&lt;&gt;"Serviço",0,IF(OR(AND(AUTOEVENTO="Manual",$M247=1),$M247&gt;(ROW(PLE.lastrow)-ROW(PLE.firstrow))),0,IF(OFFSET(PLE!$G$14,$M247,CD$13)="",10^12,OFFSET(PLE!$G$14,$M247,CD$13))))</f>
        <v>1000000000000</v>
      </c>
      <c r="CE247" s="216">
        <f ca="1">IF($D247&lt;&gt;"Serviço",0,IF(OR(AND(AUTOEVENTO="Manual",$M247=1),$M247&gt;(ROW(PLE.lastrow)-ROW(PLE.firstrow))),0,IF(OFFSET(PLE!$G$14,$M247,CE$13)="",10^12,OFFSET(PLE!$G$14,$M247,CE$13))))</f>
        <v>1000000000000</v>
      </c>
      <c r="CF247" s="216">
        <f ca="1">IF($D247&lt;&gt;"Serviço",0,IF(OR(AND(AUTOEVENTO="Manual",$M247=1),$M247&gt;(ROW(PLE.lastrow)-ROW(PLE.firstrow))),0,IF(OFFSET(PLE!$G$14,$M247,CF$13)="",10^12,OFFSET(PLE!$G$14,$M247,CF$13))))</f>
        <v>1000000000000</v>
      </c>
      <c r="CG247" s="216">
        <f ca="1">IF($D247&lt;&gt;"Serviço",0,IF(OR(AND(AUTOEVENTO="Manual",$M247=1),$M247&gt;(ROW(PLE.lastrow)-ROW(PLE.firstrow))),0,IF(OFFSET(PLE!$G$14,$M247,CG$13)="",10^12,OFFSET(PLE!$G$14,$M247,CG$13))))</f>
        <v>1000000000000</v>
      </c>
      <c r="CH247" s="216">
        <f ca="1">IF($D247&lt;&gt;"Serviço",0,IF(OR(AND(AUTOEVENTO="Manual",$M247=1),$M247&gt;(ROW(PLE.lastrow)-ROW(PLE.firstrow))),0,IF(OFFSET(PLE!$G$14,$M247,CH$13)="",10^12,OFFSET(PLE!$G$14,$M247,CH$13))))</f>
        <v>1000000000000</v>
      </c>
      <c r="CI247" s="216">
        <f ca="1">IF($D247&lt;&gt;"Serviço",0,IF(OR(AND(AUTOEVENTO="Manual",$M247=1),$M247&gt;(ROW(PLE.lastrow)-ROW(PLE.firstrow))),0,IF(OFFSET(PLE!$G$14,$M247,CI$13)="",10^12,OFFSET(PLE!$G$14,$M247,CI$13))))</f>
        <v>1000000000000</v>
      </c>
      <c r="CJ247" s="216">
        <f ca="1">IF($D247&lt;&gt;"Serviço",0,IF(OR(AND(AUTOEVENTO="Manual",$M247=1),$M247&gt;(ROW(PLE.lastrow)-ROW(PLE.firstrow))),0,IF(OFFSET(PLE!$G$14,$M247,CJ$13)="",10^12,OFFSET(PLE!$G$14,$M247,CJ$13))))</f>
        <v>1000000000000</v>
      </c>
      <c r="CK247" s="216">
        <f ca="1">IF($D247&lt;&gt;"Serviço",0,IF(OR(AND(AUTOEVENTO="Manual",$M247=1),$M247&gt;(ROW(PLE.lastrow)-ROW(PLE.firstrow))),0,IF(OFFSET(PLE!$G$14,$M247,CK$13)="",10^12,OFFSET(PLE!$G$14,$M247,CK$13))))</f>
        <v>1000000000000</v>
      </c>
      <c r="CL247" s="216">
        <f ca="1">IF($D247&lt;&gt;"Serviço",0,IF(OR(AND(AUTOEVENTO="Manual",$M247=1),$M247&gt;(ROW(PLE.lastrow)-ROW(PLE.firstrow))),0,IF(OFFSET(PLE!$G$14,$M247,CL$13)="",10^12,OFFSET(PLE!$G$14,$M247,CL$13))))</f>
        <v>1000000000000</v>
      </c>
      <c r="CM247" s="216">
        <f ca="1">IF($D247&lt;&gt;"Serviço",0,IF(OR(AND(AUTOEVENTO="Manual",$M247=1),$M247&gt;(ROW(PLE.lastrow)-ROW(PLE.firstrow))),0,IF(OFFSET(PLE!$G$14,$M247,CM$13)="",10^12,OFFSET(PLE!$G$14,$M247,CM$13))))</f>
        <v>1000000000000</v>
      </c>
    </row>
    <row r="248" spans="1:91" ht="13.2" x14ac:dyDescent="0.25">
      <c r="A248" s="9">
        <f t="shared" ca="1" si="12"/>
        <v>0</v>
      </c>
      <c r="B248" s="9" t="str">
        <f ca="1">OFFSET(ORÇAMENTO!C$15,ROW(B248)-ROW(B$15),0)</f>
        <v>S</v>
      </c>
      <c r="C248" s="9" t="str">
        <f ca="1">OFFSET(ORÇAMENTO!L$15,ROW(C248)-ROW(C$15),0)</f>
        <v/>
      </c>
      <c r="D248" s="145" t="str">
        <f ca="1">OFFSET(ORÇAMENTO!N$15,ROW(D248)-ROW(D$15),0)</f>
        <v>Serviço</v>
      </c>
      <c r="E248" s="205" t="str">
        <f ca="1">OFFSET(ORÇAMENTO!O$15,ROW(E248)-ROW(E$15),0)</f>
        <v>-</v>
      </c>
      <c r="F248" s="206" t="str">
        <f ca="1">OFFSET(ORÇAMENTO!R$15,ROW(F248)-ROW(F$15),0)</f>
        <v>(abra o arquivo 'Referência 05-2024.xls)</v>
      </c>
      <c r="G248" s="207" t="str">
        <f ca="1">IF($D248&lt;&gt;"Serviço","",OFFSET(ORÇAMENTO!S$15,ROW(G248)-ROW(G$15),0))</f>
        <v>-</v>
      </c>
      <c r="H248" s="151">
        <f ca="1">IF($D248&lt;&gt;"Serviço",0,IF(ACOMPANHAMENTO="BM",ROUND(OFFSET(ORÇAMENTO!AJ$15,ROW(H248)-ROW(H$15),0),15-13*ORÇAMENTO!$AF$7),SUMPRODUCT(($Q$12:$AI$12&lt;&gt;"")*ROUND($Q248:$AI248,15-13*ORÇAMENTO!$AF$7))))</f>
        <v>615.72</v>
      </c>
      <c r="I248" s="650"/>
      <c r="K248" s="208"/>
      <c r="L248" s="209" t="s">
        <v>257</v>
      </c>
      <c r="M248" s="210">
        <f ca="1">IF($D248&lt;&gt;"Serviço","",IF(AUTOEVENTO="manual",$A248,IF(ISERROR(MATCH($A248,$A$15:OFFSET($A248,-1,0),0)),MAX($M$15:OFFSET(M248,-1,0))+1,INDEX($M$15:OFFSET(M248,-1,0),MATCH($A248,$A$15:OFFSET($A248,-1,0),0)))))</f>
        <v>0</v>
      </c>
      <c r="N248" s="211" t="str">
        <f ca="1">IF($D248&lt;&gt;"Serviço","",IF(AUTOEVENTO="Manual",IF($A248=0,"&lt;-- defina o número do agrupador",OFFSET(EVENTOS!$D$14,$A248,0)),OFFSET($F$15,$A248,0)))</f>
        <v>&lt;-- defina o número do agrupador</v>
      </c>
      <c r="O248" s="212"/>
      <c r="Q248" s="212"/>
      <c r="R248" s="213"/>
      <c r="S248" s="213"/>
      <c r="T248" s="213"/>
      <c r="U248" s="213"/>
      <c r="V248" s="213"/>
      <c r="W248" s="213"/>
      <c r="X248" s="213"/>
      <c r="Y248" s="213"/>
      <c r="Z248" s="214"/>
      <c r="AA248" s="213"/>
      <c r="AB248" s="213"/>
      <c r="AC248" s="213"/>
      <c r="AD248" s="213"/>
      <c r="AE248" s="213"/>
      <c r="AF248" s="213"/>
      <c r="AG248" s="213"/>
      <c r="AH248" s="214"/>
      <c r="AJ248" s="631">
        <f ca="1">IF(AND($D248="Serviço",AJ$12&lt;&gt;0,$H248&gt;0,OR(AUTOEVENTO&lt;&gt;"manual",$M248&lt;&gt;1)),ROUND(OFFSET($P248,0,AJ$13),15-13*ORÇAMENTO!$AF$7)/$H248*OFFSET(ORÇAMENTO!$X$15,ROW(AJ248)-ROW(AJ$15),0),0)</f>
        <v>0</v>
      </c>
      <c r="AK248" s="632">
        <f ca="1">IF(AND($D248="Serviço",AK$12&lt;&gt;0,$H248&gt;0,OR(AUTOEVENTO&lt;&gt;"manual",$M248&lt;&gt;1)),ROUND(OFFSET($P248,0,AK$13),15-13*ORÇAMENTO!$AF$7)/$H248*OFFSET(ORÇAMENTO!$X$15,ROW(AK248)-ROW(AK$15),0),0)</f>
        <v>0</v>
      </c>
      <c r="AL248" s="632">
        <f ca="1">IF(AND($D248="Serviço",AL$12&lt;&gt;0,$H248&gt;0,OR(AUTOEVENTO&lt;&gt;"manual",$M248&lt;&gt;1)),ROUND(OFFSET($P248,0,AL$13),15-13*ORÇAMENTO!$AF$7)/$H248*OFFSET(ORÇAMENTO!$X$15,ROW(AL248)-ROW(AL$15),0),0)</f>
        <v>0</v>
      </c>
      <c r="AM248" s="632">
        <f ca="1">IF(AND($D248="Serviço",AM$12&lt;&gt;0,$H248&gt;0,OR(AUTOEVENTO&lt;&gt;"manual",$M248&lt;&gt;1)),ROUND(OFFSET($P248,0,AM$13),15-13*ORÇAMENTO!$AF$7)/$H248*OFFSET(ORÇAMENTO!$X$15,ROW(AM248)-ROW(AM$15),0),0)</f>
        <v>0</v>
      </c>
      <c r="AN248" s="632">
        <f ca="1">IF(AND($D248="Serviço",AN$12&lt;&gt;0,$H248&gt;0,OR(AUTOEVENTO&lt;&gt;"manual",$M248&lt;&gt;1)),ROUND(OFFSET($P248,0,AN$13),15-13*ORÇAMENTO!$AF$7)/$H248*OFFSET(ORÇAMENTO!$X$15,ROW(AN248)-ROW(AN$15),0),0)</f>
        <v>0</v>
      </c>
      <c r="AO248" s="632">
        <f ca="1">IF(AND($D248="Serviço",AO$12&lt;&gt;0,$H248&gt;0,OR(AUTOEVENTO&lt;&gt;"manual",$M248&lt;&gt;1)),ROUND(OFFSET($P248,0,AO$13),15-13*ORÇAMENTO!$AF$7)/$H248*OFFSET(ORÇAMENTO!$X$15,ROW(AO248)-ROW(AO$15),0),0)</f>
        <v>0</v>
      </c>
      <c r="AP248" s="632">
        <f ca="1">IF(AND($D248="Serviço",AP$12&lt;&gt;0,$H248&gt;0,OR(AUTOEVENTO&lt;&gt;"manual",$M248&lt;&gt;1)),ROUND(OFFSET($P248,0,AP$13),15-13*ORÇAMENTO!$AF$7)/$H248*OFFSET(ORÇAMENTO!$X$15,ROW(AP248)-ROW(AP$15),0),0)</f>
        <v>0</v>
      </c>
      <c r="AQ248" s="632">
        <f ca="1">IF(AND($D248="Serviço",AQ$12&lt;&gt;0,$H248&gt;0,OR(AUTOEVENTO&lt;&gt;"manual",$M248&lt;&gt;1)),ROUND(OFFSET($P248,0,AQ$13),15-13*ORÇAMENTO!$AF$7)/$H248*OFFSET(ORÇAMENTO!$X$15,ROW(AQ248)-ROW(AQ$15),0),0)</f>
        <v>0</v>
      </c>
      <c r="AR248" s="632">
        <f ca="1">IF(AND($D248="Serviço",AR$12&lt;&gt;0,$H248&gt;0,OR(AUTOEVENTO&lt;&gt;"manual",$M248&lt;&gt;1)),ROUND(OFFSET($P248,0,AR$13),15-13*ORÇAMENTO!$AF$7)/$H248*OFFSET(ORÇAMENTO!$X$15,ROW(AR248)-ROW(AR$15),0),0)</f>
        <v>0</v>
      </c>
      <c r="AS248" s="633">
        <f ca="1">IF(AND($D248="Serviço",AS$12&lt;&gt;0,$H248&gt;0,OR(AUTOEVENTO&lt;&gt;"manual",$M248&lt;&gt;1)),ROUND(OFFSET($P248,0,AS$13),15-13*ORÇAMENTO!$AF$7)/$H248*OFFSET(ORÇAMENTO!$X$15,ROW(AS248)-ROW(AS$15),0),0)</f>
        <v>0</v>
      </c>
      <c r="AT248" s="632">
        <f ca="1">IF(AND($D248="Serviço",AT$12&lt;&gt;0,$H248&gt;0,OR(AUTOEVENTO&lt;&gt;"manual",$M248&lt;&gt;1)),ROUND(OFFSET($P248,0,AT$13),15-13*ORÇAMENTO!$AF$7)/$H248*OFFSET(ORÇAMENTO!$X$15,ROW(AT248)-ROW(AT$15),0),0)</f>
        <v>0</v>
      </c>
      <c r="AU248" s="632">
        <f ca="1">IF(AND($D248="Serviço",AU$12&lt;&gt;0,$H248&gt;0,OR(AUTOEVENTO&lt;&gt;"manual",$M248&lt;&gt;1)),ROUND(OFFSET($P248,0,AU$13),15-13*ORÇAMENTO!$AF$7)/$H248*OFFSET(ORÇAMENTO!$X$15,ROW(AU248)-ROW(AU$15),0),0)</f>
        <v>0</v>
      </c>
      <c r="AV248" s="632">
        <f ca="1">IF(AND($D248="Serviço",AV$12&lt;&gt;0,$H248&gt;0,OR(AUTOEVENTO&lt;&gt;"manual",$M248&lt;&gt;1)),ROUND(OFFSET($P248,0,AV$13),15-13*ORÇAMENTO!$AF$7)/$H248*OFFSET(ORÇAMENTO!$X$15,ROW(AV248)-ROW(AV$15),0),0)</f>
        <v>0</v>
      </c>
      <c r="AW248" s="632">
        <f ca="1">IF(AND($D248="Serviço",AW$12&lt;&gt;0,$H248&gt;0,OR(AUTOEVENTO&lt;&gt;"manual",$M248&lt;&gt;1)),ROUND(OFFSET($P248,0,AW$13),15-13*ORÇAMENTO!$AF$7)/$H248*OFFSET(ORÇAMENTO!$X$15,ROW(AW248)-ROW(AW$15),0),0)</f>
        <v>0</v>
      </c>
      <c r="AX248" s="632">
        <f ca="1">IF(AND($D248="Serviço",AX$12&lt;&gt;0,$H248&gt;0,OR(AUTOEVENTO&lt;&gt;"manual",$M248&lt;&gt;1)),ROUND(OFFSET($P248,0,AX$13),15-13*ORÇAMENTO!$AF$7)/$H248*OFFSET(ORÇAMENTO!$X$15,ROW(AX248)-ROW(AX$15),0),0)</f>
        <v>0</v>
      </c>
      <c r="AY248" s="632">
        <f ca="1">IF(AND($D248="Serviço",AY$12&lt;&gt;0,$H248&gt;0,OR(AUTOEVENTO&lt;&gt;"manual",$M248&lt;&gt;1)),ROUND(OFFSET($P248,0,AY$13),15-13*ORÇAMENTO!$AF$7)/$H248*OFFSET(ORÇAMENTO!$X$15,ROW(AY248)-ROW(AY$15),0),0)</f>
        <v>0</v>
      </c>
      <c r="AZ248" s="632">
        <f ca="1">IF(AND($D248="Serviço",AZ$12&lt;&gt;0,$H248&gt;0,OR(AUTOEVENTO&lt;&gt;"manual",$M248&lt;&gt;1)),ROUND(OFFSET($P248,0,AZ$13),15-13*ORÇAMENTO!$AF$7)/$H248*OFFSET(ORÇAMENTO!$X$15,ROW(AZ248)-ROW(AZ$15),0),0)</f>
        <v>0</v>
      </c>
      <c r="BA248" s="633">
        <f ca="1">IF(AND($D248="Serviço",BA$12&lt;&gt;0,$H248&gt;0,OR(AUTOEVENTO&lt;&gt;"manual",$M248&lt;&gt;1)),ROUND(OFFSET($P248,0,BA$13),15-13*ORÇAMENTO!$AF$7)/$H248*OFFSET(ORÇAMENTO!$X$15,ROW(BA248)-ROW(BA$15),0),0)</f>
        <v>0</v>
      </c>
      <c r="BC248" s="215">
        <f ca="1">IF($D248&lt;&gt;"Serviço",0,IF(AND(AUTOEVENTO="Manual",$M248=1),0,IF(OFFSET(CRONOPLE!$F$14,$M248,BC$13)="",10^12,OFFSET(CRONOPLE!$F$14,$M248,BC$13))))</f>
        <v>1000000000000</v>
      </c>
      <c r="BD248" s="215">
        <f ca="1">IF($D248&lt;&gt;"Serviço",0,IF(AND(AUTOEVENTO="Manual",$M248=1),0,IF(OFFSET(CRONOPLE!$F$14,$M248,BD$13)="",10^12,OFFSET(CRONOPLE!$F$14,$M248,BD$13))))</f>
        <v>1000000000000</v>
      </c>
      <c r="BE248" s="215">
        <f ca="1">IF($D248&lt;&gt;"Serviço",0,IF(AND(AUTOEVENTO="Manual",$M248=1),0,IF(OFFSET(CRONOPLE!$F$14,$M248,BE$13)="",10^12,OFFSET(CRONOPLE!$F$14,$M248,BE$13))))</f>
        <v>1000000000000</v>
      </c>
      <c r="BF248" s="215">
        <f ca="1">IF($D248&lt;&gt;"Serviço",0,IF(AND(AUTOEVENTO="Manual",$M248=1),0,IF(OFFSET(CRONOPLE!$F$14,$M248,BF$13)="",10^12,OFFSET(CRONOPLE!$F$14,$M248,BF$13))))</f>
        <v>1000000000000</v>
      </c>
      <c r="BG248" s="215">
        <f ca="1">IF($D248&lt;&gt;"Serviço",0,IF(AND(AUTOEVENTO="Manual",$M248=1),0,IF(OFFSET(CRONOPLE!$F$14,$M248,BG$13)="",10^12,OFFSET(CRONOPLE!$F$14,$M248,BG$13))))</f>
        <v>1000000000000</v>
      </c>
      <c r="BH248" s="215">
        <f ca="1">IF($D248&lt;&gt;"Serviço",0,IF(AND(AUTOEVENTO="Manual",$M248=1),0,IF(OFFSET(CRONOPLE!$F$14,$M248,BH$13)="",10^12,OFFSET(CRONOPLE!$F$14,$M248,BH$13))))</f>
        <v>1000000000000</v>
      </c>
      <c r="BI248" s="215">
        <f ca="1">IF($D248&lt;&gt;"Serviço",0,IF(AND(AUTOEVENTO="Manual",$M248=1),0,IF(OFFSET(CRONOPLE!$F$14,$M248,BI$13)="",10^12,OFFSET(CRONOPLE!$F$14,$M248,BI$13))))</f>
        <v>1000000000000</v>
      </c>
      <c r="BJ248" s="215">
        <f ca="1">IF($D248&lt;&gt;"Serviço",0,IF(AND(AUTOEVENTO="Manual",$M248=1),0,IF(OFFSET(CRONOPLE!$F$14,$M248,BJ$13)="",10^12,OFFSET(CRONOPLE!$F$14,$M248,BJ$13))))</f>
        <v>1000000000000</v>
      </c>
      <c r="BK248" s="215">
        <f ca="1">IF($D248&lt;&gt;"Serviço",0,IF(AND(AUTOEVENTO="Manual",$M248=1),0,IF(OFFSET(CRONOPLE!$F$14,$M248,BK$13)="",10^12,OFFSET(CRONOPLE!$F$14,$M248,BK$13))))</f>
        <v>1000000000000</v>
      </c>
      <c r="BL248" s="215">
        <f ca="1">IF($D248&lt;&gt;"Serviço",0,IF(AND(AUTOEVENTO="Manual",$M248=1),0,IF(OFFSET(CRONOPLE!$F$14,$M248,BL$13)="",10^12,OFFSET(CRONOPLE!$F$14,$M248,BL$13))))</f>
        <v>1000000000000</v>
      </c>
      <c r="BM248" s="215">
        <f ca="1">IF($D248&lt;&gt;"Serviço",0,IF(AND(AUTOEVENTO="Manual",$M248=1),0,IF(OFFSET(CRONOPLE!$F$14,$M248,BM$13)="",10^12,OFFSET(CRONOPLE!$F$14,$M248,BM$13))))</f>
        <v>1000000000000</v>
      </c>
      <c r="BN248" s="215">
        <f ca="1">IF($D248&lt;&gt;"Serviço",0,IF(AND(AUTOEVENTO="Manual",$M248=1),0,IF(OFFSET(CRONOPLE!$F$14,$M248,BN$13)="",10^12,OFFSET(CRONOPLE!$F$14,$M248,BN$13))))</f>
        <v>1000000000000</v>
      </c>
      <c r="BO248" s="215">
        <f ca="1">IF($D248&lt;&gt;"Serviço",0,IF(AND(AUTOEVENTO="Manual",$M248=1),0,IF(OFFSET(CRONOPLE!$F$14,$M248,BO$13)="",10^12,OFFSET(CRONOPLE!$F$14,$M248,BO$13))))</f>
        <v>1000000000000</v>
      </c>
      <c r="BP248" s="215">
        <f ca="1">IF($D248&lt;&gt;"Serviço",0,IF(AND(AUTOEVENTO="Manual",$M248=1),0,IF(OFFSET(CRONOPLE!$F$14,$M248,BP$13)="",10^12,OFFSET(CRONOPLE!$F$14,$M248,BP$13))))</f>
        <v>1000000000000</v>
      </c>
      <c r="BQ248" s="215">
        <f ca="1">IF($D248&lt;&gt;"Serviço",0,IF(AND(AUTOEVENTO="Manual",$M248=1),0,IF(OFFSET(CRONOPLE!$F$14,$M248,BQ$13)="",10^12,OFFSET(CRONOPLE!$F$14,$M248,BQ$13))))</f>
        <v>1000000000000</v>
      </c>
      <c r="BR248" s="215">
        <f ca="1">IF($D248&lt;&gt;"Serviço",0,IF(AND(AUTOEVENTO="Manual",$M248=1),0,IF(OFFSET(CRONOPLE!$F$14,$M248,BR$13)="",10^12,OFFSET(CRONOPLE!$F$14,$M248,BR$13))))</f>
        <v>1000000000000</v>
      </c>
      <c r="BS248" s="215">
        <f ca="1">IF($D248&lt;&gt;"Serviço",0,IF(AND(AUTOEVENTO="Manual",$M248=1),0,IF(OFFSET(CRONOPLE!$F$14,$M248,BS$13)="",10^12,OFFSET(CRONOPLE!$F$14,$M248,BS$13))))</f>
        <v>1000000000000</v>
      </c>
      <c r="BT248" s="215">
        <f ca="1">IF($D248&lt;&gt;"Serviço",0,IF(AND(AUTOEVENTO="Manual",$M248=1),0,IF(OFFSET(CRONOPLE!$F$14,$M248,BT$13)="",10^12,OFFSET(CRONOPLE!$F$14,$M248,BT$13))))</f>
        <v>1000000000000</v>
      </c>
      <c r="BV248" s="216">
        <f ca="1">IF($D248&lt;&gt;"Serviço",0,IF(OR(AND(AUTOEVENTO="Manual",$M248=1),$M248&gt;(ROW(PLE.lastrow)-ROW(PLE.firstrow))),0,IF(OFFSET(PLE!$G$14,$M248,BV$13)="",10^12,OFFSET(PLE!$G$14,$M248,BV$13))))</f>
        <v>1000000000000</v>
      </c>
      <c r="BW248" s="216">
        <f ca="1">IF($D248&lt;&gt;"Serviço",0,IF(OR(AND(AUTOEVENTO="Manual",$M248=1),$M248&gt;(ROW(PLE.lastrow)-ROW(PLE.firstrow))),0,IF(OFFSET(PLE!$G$14,$M248,BW$13)="",10^12,OFFSET(PLE!$G$14,$M248,BW$13))))</f>
        <v>1000000000000</v>
      </c>
      <c r="BX248" s="216">
        <f ca="1">IF($D248&lt;&gt;"Serviço",0,IF(OR(AND(AUTOEVENTO="Manual",$M248=1),$M248&gt;(ROW(PLE.lastrow)-ROW(PLE.firstrow))),0,IF(OFFSET(PLE!$G$14,$M248,BX$13)="",10^12,OFFSET(PLE!$G$14,$M248,BX$13))))</f>
        <v>1000000000000</v>
      </c>
      <c r="BY248" s="216">
        <f ca="1">IF($D248&lt;&gt;"Serviço",0,IF(OR(AND(AUTOEVENTO="Manual",$M248=1),$M248&gt;(ROW(PLE.lastrow)-ROW(PLE.firstrow))),0,IF(OFFSET(PLE!$G$14,$M248,BY$13)="",10^12,OFFSET(PLE!$G$14,$M248,BY$13))))</f>
        <v>1000000000000</v>
      </c>
      <c r="BZ248" s="216">
        <f ca="1">IF($D248&lt;&gt;"Serviço",0,IF(OR(AND(AUTOEVENTO="Manual",$M248=1),$M248&gt;(ROW(PLE.lastrow)-ROW(PLE.firstrow))),0,IF(OFFSET(PLE!$G$14,$M248,BZ$13)="",10^12,OFFSET(PLE!$G$14,$M248,BZ$13))))</f>
        <v>1000000000000</v>
      </c>
      <c r="CA248" s="216">
        <f ca="1">IF($D248&lt;&gt;"Serviço",0,IF(OR(AND(AUTOEVENTO="Manual",$M248=1),$M248&gt;(ROW(PLE.lastrow)-ROW(PLE.firstrow))),0,IF(OFFSET(PLE!$G$14,$M248,CA$13)="",10^12,OFFSET(PLE!$G$14,$M248,CA$13))))</f>
        <v>1000000000000</v>
      </c>
      <c r="CB248" s="216">
        <f ca="1">IF($D248&lt;&gt;"Serviço",0,IF(OR(AND(AUTOEVENTO="Manual",$M248=1),$M248&gt;(ROW(PLE.lastrow)-ROW(PLE.firstrow))),0,IF(OFFSET(PLE!$G$14,$M248,CB$13)="",10^12,OFFSET(PLE!$G$14,$M248,CB$13))))</f>
        <v>1000000000000</v>
      </c>
      <c r="CC248" s="216">
        <f ca="1">IF($D248&lt;&gt;"Serviço",0,IF(OR(AND(AUTOEVENTO="Manual",$M248=1),$M248&gt;(ROW(PLE.lastrow)-ROW(PLE.firstrow))),0,IF(OFFSET(PLE!$G$14,$M248,CC$13)="",10^12,OFFSET(PLE!$G$14,$M248,CC$13))))</f>
        <v>1000000000000</v>
      </c>
      <c r="CD248" s="216">
        <f ca="1">IF($D248&lt;&gt;"Serviço",0,IF(OR(AND(AUTOEVENTO="Manual",$M248=1),$M248&gt;(ROW(PLE.lastrow)-ROW(PLE.firstrow))),0,IF(OFFSET(PLE!$G$14,$M248,CD$13)="",10^12,OFFSET(PLE!$G$14,$M248,CD$13))))</f>
        <v>1000000000000</v>
      </c>
      <c r="CE248" s="216">
        <f ca="1">IF($D248&lt;&gt;"Serviço",0,IF(OR(AND(AUTOEVENTO="Manual",$M248=1),$M248&gt;(ROW(PLE.lastrow)-ROW(PLE.firstrow))),0,IF(OFFSET(PLE!$G$14,$M248,CE$13)="",10^12,OFFSET(PLE!$G$14,$M248,CE$13))))</f>
        <v>1000000000000</v>
      </c>
      <c r="CF248" s="216">
        <f ca="1">IF($D248&lt;&gt;"Serviço",0,IF(OR(AND(AUTOEVENTO="Manual",$M248=1),$M248&gt;(ROW(PLE.lastrow)-ROW(PLE.firstrow))),0,IF(OFFSET(PLE!$G$14,$M248,CF$13)="",10^12,OFFSET(PLE!$G$14,$M248,CF$13))))</f>
        <v>1000000000000</v>
      </c>
      <c r="CG248" s="216">
        <f ca="1">IF($D248&lt;&gt;"Serviço",0,IF(OR(AND(AUTOEVENTO="Manual",$M248=1),$M248&gt;(ROW(PLE.lastrow)-ROW(PLE.firstrow))),0,IF(OFFSET(PLE!$G$14,$M248,CG$13)="",10^12,OFFSET(PLE!$G$14,$M248,CG$13))))</f>
        <v>1000000000000</v>
      </c>
      <c r="CH248" s="216">
        <f ca="1">IF($D248&lt;&gt;"Serviço",0,IF(OR(AND(AUTOEVENTO="Manual",$M248=1),$M248&gt;(ROW(PLE.lastrow)-ROW(PLE.firstrow))),0,IF(OFFSET(PLE!$G$14,$M248,CH$13)="",10^12,OFFSET(PLE!$G$14,$M248,CH$13))))</f>
        <v>1000000000000</v>
      </c>
      <c r="CI248" s="216">
        <f ca="1">IF($D248&lt;&gt;"Serviço",0,IF(OR(AND(AUTOEVENTO="Manual",$M248=1),$M248&gt;(ROW(PLE.lastrow)-ROW(PLE.firstrow))),0,IF(OFFSET(PLE!$G$14,$M248,CI$13)="",10^12,OFFSET(PLE!$G$14,$M248,CI$13))))</f>
        <v>1000000000000</v>
      </c>
      <c r="CJ248" s="216">
        <f ca="1">IF($D248&lt;&gt;"Serviço",0,IF(OR(AND(AUTOEVENTO="Manual",$M248=1),$M248&gt;(ROW(PLE.lastrow)-ROW(PLE.firstrow))),0,IF(OFFSET(PLE!$G$14,$M248,CJ$13)="",10^12,OFFSET(PLE!$G$14,$M248,CJ$13))))</f>
        <v>1000000000000</v>
      </c>
      <c r="CK248" s="216">
        <f ca="1">IF($D248&lt;&gt;"Serviço",0,IF(OR(AND(AUTOEVENTO="Manual",$M248=1),$M248&gt;(ROW(PLE.lastrow)-ROW(PLE.firstrow))),0,IF(OFFSET(PLE!$G$14,$M248,CK$13)="",10^12,OFFSET(PLE!$G$14,$M248,CK$13))))</f>
        <v>1000000000000</v>
      </c>
      <c r="CL248" s="216">
        <f ca="1">IF($D248&lt;&gt;"Serviço",0,IF(OR(AND(AUTOEVENTO="Manual",$M248=1),$M248&gt;(ROW(PLE.lastrow)-ROW(PLE.firstrow))),0,IF(OFFSET(PLE!$G$14,$M248,CL$13)="",10^12,OFFSET(PLE!$G$14,$M248,CL$13))))</f>
        <v>1000000000000</v>
      </c>
      <c r="CM248" s="216">
        <f ca="1">IF($D248&lt;&gt;"Serviço",0,IF(OR(AND(AUTOEVENTO="Manual",$M248=1),$M248&gt;(ROW(PLE.lastrow)-ROW(PLE.firstrow))),0,IF(OFFSET(PLE!$G$14,$M248,CM$13)="",10^12,OFFSET(PLE!$G$14,$M248,CM$13))))</f>
        <v>1000000000000</v>
      </c>
    </row>
    <row r="249" spans="1:91" ht="13.2" x14ac:dyDescent="0.25">
      <c r="A249" s="9">
        <f t="shared" ca="1" si="12"/>
        <v>0</v>
      </c>
      <c r="B249" s="9" t="str">
        <f ca="1">OFFSET(ORÇAMENTO!C$15,ROW(B249)-ROW(B$15),0)</f>
        <v>S</v>
      </c>
      <c r="C249" s="9" t="str">
        <f ca="1">OFFSET(ORÇAMENTO!L$15,ROW(C249)-ROW(C$15),0)</f>
        <v/>
      </c>
      <c r="D249" s="145" t="str">
        <f ca="1">OFFSET(ORÇAMENTO!N$15,ROW(D249)-ROW(D$15),0)</f>
        <v>Serviço</v>
      </c>
      <c r="E249" s="205" t="str">
        <f ca="1">OFFSET(ORÇAMENTO!O$15,ROW(E249)-ROW(E$15),0)</f>
        <v>-</v>
      </c>
      <c r="F249" s="206" t="str">
        <f ca="1">OFFSET(ORÇAMENTO!R$15,ROW(F249)-ROW(F$15),0)</f>
        <v>(abra o arquivo 'Referência 05-2024.xls)</v>
      </c>
      <c r="G249" s="207" t="str">
        <f ca="1">IF($D249&lt;&gt;"Serviço","",OFFSET(ORÇAMENTO!S$15,ROW(G249)-ROW(G$15),0))</f>
        <v>-</v>
      </c>
      <c r="H249" s="151">
        <f ca="1">IF($D249&lt;&gt;"Serviço",0,IF(ACOMPANHAMENTO="BM",ROUND(OFFSET(ORÇAMENTO!AJ$15,ROW(H249)-ROW(H$15),0),15-13*ORÇAMENTO!$AF$7),SUMPRODUCT(($Q$12:$AI$12&lt;&gt;"")*ROUND($Q249:$AI249,15-13*ORÇAMENTO!$AF$7))))</f>
        <v>398.09</v>
      </c>
      <c r="I249" s="650"/>
      <c r="K249" s="208"/>
      <c r="L249" s="209" t="s">
        <v>257</v>
      </c>
      <c r="M249" s="210">
        <f ca="1">IF($D249&lt;&gt;"Serviço","",IF(AUTOEVENTO="manual",$A249,IF(ISERROR(MATCH($A249,$A$15:OFFSET($A249,-1,0),0)),MAX($M$15:OFFSET(M249,-1,0))+1,INDEX($M$15:OFFSET(M249,-1,0),MATCH($A249,$A$15:OFFSET($A249,-1,0),0)))))</f>
        <v>0</v>
      </c>
      <c r="N249" s="211" t="str">
        <f ca="1">IF($D249&lt;&gt;"Serviço","",IF(AUTOEVENTO="Manual",IF($A249=0,"&lt;-- defina o número do agrupador",OFFSET(EVENTOS!$D$14,$A249,0)),OFFSET($F$15,$A249,0)))</f>
        <v>&lt;-- defina o número do agrupador</v>
      </c>
      <c r="O249" s="212"/>
      <c r="Q249" s="212"/>
      <c r="R249" s="213"/>
      <c r="S249" s="213"/>
      <c r="T249" s="213"/>
      <c r="U249" s="213"/>
      <c r="V249" s="213"/>
      <c r="W249" s="213"/>
      <c r="X249" s="213"/>
      <c r="Y249" s="213"/>
      <c r="Z249" s="214"/>
      <c r="AA249" s="213"/>
      <c r="AB249" s="213"/>
      <c r="AC249" s="213"/>
      <c r="AD249" s="213"/>
      <c r="AE249" s="213"/>
      <c r="AF249" s="213"/>
      <c r="AG249" s="213"/>
      <c r="AH249" s="214"/>
      <c r="AJ249" s="631">
        <f ca="1">IF(AND($D249="Serviço",AJ$12&lt;&gt;0,$H249&gt;0,OR(AUTOEVENTO&lt;&gt;"manual",$M249&lt;&gt;1)),ROUND(OFFSET($P249,0,AJ$13),15-13*ORÇAMENTO!$AF$7)/$H249*OFFSET(ORÇAMENTO!$X$15,ROW(AJ249)-ROW(AJ$15),0),0)</f>
        <v>0</v>
      </c>
      <c r="AK249" s="632">
        <f ca="1">IF(AND($D249="Serviço",AK$12&lt;&gt;0,$H249&gt;0,OR(AUTOEVENTO&lt;&gt;"manual",$M249&lt;&gt;1)),ROUND(OFFSET($P249,0,AK$13),15-13*ORÇAMENTO!$AF$7)/$H249*OFFSET(ORÇAMENTO!$X$15,ROW(AK249)-ROW(AK$15),0),0)</f>
        <v>0</v>
      </c>
      <c r="AL249" s="632">
        <f ca="1">IF(AND($D249="Serviço",AL$12&lt;&gt;0,$H249&gt;0,OR(AUTOEVENTO&lt;&gt;"manual",$M249&lt;&gt;1)),ROUND(OFFSET($P249,0,AL$13),15-13*ORÇAMENTO!$AF$7)/$H249*OFFSET(ORÇAMENTO!$X$15,ROW(AL249)-ROW(AL$15),0),0)</f>
        <v>0</v>
      </c>
      <c r="AM249" s="632">
        <f ca="1">IF(AND($D249="Serviço",AM$12&lt;&gt;0,$H249&gt;0,OR(AUTOEVENTO&lt;&gt;"manual",$M249&lt;&gt;1)),ROUND(OFFSET($P249,0,AM$13),15-13*ORÇAMENTO!$AF$7)/$H249*OFFSET(ORÇAMENTO!$X$15,ROW(AM249)-ROW(AM$15),0),0)</f>
        <v>0</v>
      </c>
      <c r="AN249" s="632">
        <f ca="1">IF(AND($D249="Serviço",AN$12&lt;&gt;0,$H249&gt;0,OR(AUTOEVENTO&lt;&gt;"manual",$M249&lt;&gt;1)),ROUND(OFFSET($P249,0,AN$13),15-13*ORÇAMENTO!$AF$7)/$H249*OFFSET(ORÇAMENTO!$X$15,ROW(AN249)-ROW(AN$15),0),0)</f>
        <v>0</v>
      </c>
      <c r="AO249" s="632">
        <f ca="1">IF(AND($D249="Serviço",AO$12&lt;&gt;0,$H249&gt;0,OR(AUTOEVENTO&lt;&gt;"manual",$M249&lt;&gt;1)),ROUND(OFFSET($P249,0,AO$13),15-13*ORÇAMENTO!$AF$7)/$H249*OFFSET(ORÇAMENTO!$X$15,ROW(AO249)-ROW(AO$15),0),0)</f>
        <v>0</v>
      </c>
      <c r="AP249" s="632">
        <f ca="1">IF(AND($D249="Serviço",AP$12&lt;&gt;0,$H249&gt;0,OR(AUTOEVENTO&lt;&gt;"manual",$M249&lt;&gt;1)),ROUND(OFFSET($P249,0,AP$13),15-13*ORÇAMENTO!$AF$7)/$H249*OFFSET(ORÇAMENTO!$X$15,ROW(AP249)-ROW(AP$15),0),0)</f>
        <v>0</v>
      </c>
      <c r="AQ249" s="632">
        <f ca="1">IF(AND($D249="Serviço",AQ$12&lt;&gt;0,$H249&gt;0,OR(AUTOEVENTO&lt;&gt;"manual",$M249&lt;&gt;1)),ROUND(OFFSET($P249,0,AQ$13),15-13*ORÇAMENTO!$AF$7)/$H249*OFFSET(ORÇAMENTO!$X$15,ROW(AQ249)-ROW(AQ$15),0),0)</f>
        <v>0</v>
      </c>
      <c r="AR249" s="632">
        <f ca="1">IF(AND($D249="Serviço",AR$12&lt;&gt;0,$H249&gt;0,OR(AUTOEVENTO&lt;&gt;"manual",$M249&lt;&gt;1)),ROUND(OFFSET($P249,0,AR$13),15-13*ORÇAMENTO!$AF$7)/$H249*OFFSET(ORÇAMENTO!$X$15,ROW(AR249)-ROW(AR$15),0),0)</f>
        <v>0</v>
      </c>
      <c r="AS249" s="633">
        <f ca="1">IF(AND($D249="Serviço",AS$12&lt;&gt;0,$H249&gt;0,OR(AUTOEVENTO&lt;&gt;"manual",$M249&lt;&gt;1)),ROUND(OFFSET($P249,0,AS$13),15-13*ORÇAMENTO!$AF$7)/$H249*OFFSET(ORÇAMENTO!$X$15,ROW(AS249)-ROW(AS$15),0),0)</f>
        <v>0</v>
      </c>
      <c r="AT249" s="632">
        <f ca="1">IF(AND($D249="Serviço",AT$12&lt;&gt;0,$H249&gt;0,OR(AUTOEVENTO&lt;&gt;"manual",$M249&lt;&gt;1)),ROUND(OFFSET($P249,0,AT$13),15-13*ORÇAMENTO!$AF$7)/$H249*OFFSET(ORÇAMENTO!$X$15,ROW(AT249)-ROW(AT$15),0),0)</f>
        <v>0</v>
      </c>
      <c r="AU249" s="632">
        <f ca="1">IF(AND($D249="Serviço",AU$12&lt;&gt;0,$H249&gt;0,OR(AUTOEVENTO&lt;&gt;"manual",$M249&lt;&gt;1)),ROUND(OFFSET($P249,0,AU$13),15-13*ORÇAMENTO!$AF$7)/$H249*OFFSET(ORÇAMENTO!$X$15,ROW(AU249)-ROW(AU$15),0),0)</f>
        <v>0</v>
      </c>
      <c r="AV249" s="632">
        <f ca="1">IF(AND($D249="Serviço",AV$12&lt;&gt;0,$H249&gt;0,OR(AUTOEVENTO&lt;&gt;"manual",$M249&lt;&gt;1)),ROUND(OFFSET($P249,0,AV$13),15-13*ORÇAMENTO!$AF$7)/$H249*OFFSET(ORÇAMENTO!$X$15,ROW(AV249)-ROW(AV$15),0),0)</f>
        <v>0</v>
      </c>
      <c r="AW249" s="632">
        <f ca="1">IF(AND($D249="Serviço",AW$12&lt;&gt;0,$H249&gt;0,OR(AUTOEVENTO&lt;&gt;"manual",$M249&lt;&gt;1)),ROUND(OFFSET($P249,0,AW$13),15-13*ORÇAMENTO!$AF$7)/$H249*OFFSET(ORÇAMENTO!$X$15,ROW(AW249)-ROW(AW$15),0),0)</f>
        <v>0</v>
      </c>
      <c r="AX249" s="632">
        <f ca="1">IF(AND($D249="Serviço",AX$12&lt;&gt;0,$H249&gt;0,OR(AUTOEVENTO&lt;&gt;"manual",$M249&lt;&gt;1)),ROUND(OFFSET($P249,0,AX$13),15-13*ORÇAMENTO!$AF$7)/$H249*OFFSET(ORÇAMENTO!$X$15,ROW(AX249)-ROW(AX$15),0),0)</f>
        <v>0</v>
      </c>
      <c r="AY249" s="632">
        <f ca="1">IF(AND($D249="Serviço",AY$12&lt;&gt;0,$H249&gt;0,OR(AUTOEVENTO&lt;&gt;"manual",$M249&lt;&gt;1)),ROUND(OFFSET($P249,0,AY$13),15-13*ORÇAMENTO!$AF$7)/$H249*OFFSET(ORÇAMENTO!$X$15,ROW(AY249)-ROW(AY$15),0),0)</f>
        <v>0</v>
      </c>
      <c r="AZ249" s="632">
        <f ca="1">IF(AND($D249="Serviço",AZ$12&lt;&gt;0,$H249&gt;0,OR(AUTOEVENTO&lt;&gt;"manual",$M249&lt;&gt;1)),ROUND(OFFSET($P249,0,AZ$13),15-13*ORÇAMENTO!$AF$7)/$H249*OFFSET(ORÇAMENTO!$X$15,ROW(AZ249)-ROW(AZ$15),0),0)</f>
        <v>0</v>
      </c>
      <c r="BA249" s="633">
        <f ca="1">IF(AND($D249="Serviço",BA$12&lt;&gt;0,$H249&gt;0,OR(AUTOEVENTO&lt;&gt;"manual",$M249&lt;&gt;1)),ROUND(OFFSET($P249,0,BA$13),15-13*ORÇAMENTO!$AF$7)/$H249*OFFSET(ORÇAMENTO!$X$15,ROW(BA249)-ROW(BA$15),0),0)</f>
        <v>0</v>
      </c>
      <c r="BC249" s="215">
        <f ca="1">IF($D249&lt;&gt;"Serviço",0,IF(AND(AUTOEVENTO="Manual",$M249=1),0,IF(OFFSET(CRONOPLE!$F$14,$M249,BC$13)="",10^12,OFFSET(CRONOPLE!$F$14,$M249,BC$13))))</f>
        <v>1000000000000</v>
      </c>
      <c r="BD249" s="215">
        <f ca="1">IF($D249&lt;&gt;"Serviço",0,IF(AND(AUTOEVENTO="Manual",$M249=1),0,IF(OFFSET(CRONOPLE!$F$14,$M249,BD$13)="",10^12,OFFSET(CRONOPLE!$F$14,$M249,BD$13))))</f>
        <v>1000000000000</v>
      </c>
      <c r="BE249" s="215">
        <f ca="1">IF($D249&lt;&gt;"Serviço",0,IF(AND(AUTOEVENTO="Manual",$M249=1),0,IF(OFFSET(CRONOPLE!$F$14,$M249,BE$13)="",10^12,OFFSET(CRONOPLE!$F$14,$M249,BE$13))))</f>
        <v>1000000000000</v>
      </c>
      <c r="BF249" s="215">
        <f ca="1">IF($D249&lt;&gt;"Serviço",0,IF(AND(AUTOEVENTO="Manual",$M249=1),0,IF(OFFSET(CRONOPLE!$F$14,$M249,BF$13)="",10^12,OFFSET(CRONOPLE!$F$14,$M249,BF$13))))</f>
        <v>1000000000000</v>
      </c>
      <c r="BG249" s="215">
        <f ca="1">IF($D249&lt;&gt;"Serviço",0,IF(AND(AUTOEVENTO="Manual",$M249=1),0,IF(OFFSET(CRONOPLE!$F$14,$M249,BG$13)="",10^12,OFFSET(CRONOPLE!$F$14,$M249,BG$13))))</f>
        <v>1000000000000</v>
      </c>
      <c r="BH249" s="215">
        <f ca="1">IF($D249&lt;&gt;"Serviço",0,IF(AND(AUTOEVENTO="Manual",$M249=1),0,IF(OFFSET(CRONOPLE!$F$14,$M249,BH$13)="",10^12,OFFSET(CRONOPLE!$F$14,$M249,BH$13))))</f>
        <v>1000000000000</v>
      </c>
      <c r="BI249" s="215">
        <f ca="1">IF($D249&lt;&gt;"Serviço",0,IF(AND(AUTOEVENTO="Manual",$M249=1),0,IF(OFFSET(CRONOPLE!$F$14,$M249,BI$13)="",10^12,OFFSET(CRONOPLE!$F$14,$M249,BI$13))))</f>
        <v>1000000000000</v>
      </c>
      <c r="BJ249" s="215">
        <f ca="1">IF($D249&lt;&gt;"Serviço",0,IF(AND(AUTOEVENTO="Manual",$M249=1),0,IF(OFFSET(CRONOPLE!$F$14,$M249,BJ$13)="",10^12,OFFSET(CRONOPLE!$F$14,$M249,BJ$13))))</f>
        <v>1000000000000</v>
      </c>
      <c r="BK249" s="215">
        <f ca="1">IF($D249&lt;&gt;"Serviço",0,IF(AND(AUTOEVENTO="Manual",$M249=1),0,IF(OFFSET(CRONOPLE!$F$14,$M249,BK$13)="",10^12,OFFSET(CRONOPLE!$F$14,$M249,BK$13))))</f>
        <v>1000000000000</v>
      </c>
      <c r="BL249" s="215">
        <f ca="1">IF($D249&lt;&gt;"Serviço",0,IF(AND(AUTOEVENTO="Manual",$M249=1),0,IF(OFFSET(CRONOPLE!$F$14,$M249,BL$13)="",10^12,OFFSET(CRONOPLE!$F$14,$M249,BL$13))))</f>
        <v>1000000000000</v>
      </c>
      <c r="BM249" s="215">
        <f ca="1">IF($D249&lt;&gt;"Serviço",0,IF(AND(AUTOEVENTO="Manual",$M249=1),0,IF(OFFSET(CRONOPLE!$F$14,$M249,BM$13)="",10^12,OFFSET(CRONOPLE!$F$14,$M249,BM$13))))</f>
        <v>1000000000000</v>
      </c>
      <c r="BN249" s="215">
        <f ca="1">IF($D249&lt;&gt;"Serviço",0,IF(AND(AUTOEVENTO="Manual",$M249=1),0,IF(OFFSET(CRONOPLE!$F$14,$M249,BN$13)="",10^12,OFFSET(CRONOPLE!$F$14,$M249,BN$13))))</f>
        <v>1000000000000</v>
      </c>
      <c r="BO249" s="215">
        <f ca="1">IF($D249&lt;&gt;"Serviço",0,IF(AND(AUTOEVENTO="Manual",$M249=1),0,IF(OFFSET(CRONOPLE!$F$14,$M249,BO$13)="",10^12,OFFSET(CRONOPLE!$F$14,$M249,BO$13))))</f>
        <v>1000000000000</v>
      </c>
      <c r="BP249" s="215">
        <f ca="1">IF($D249&lt;&gt;"Serviço",0,IF(AND(AUTOEVENTO="Manual",$M249=1),0,IF(OFFSET(CRONOPLE!$F$14,$M249,BP$13)="",10^12,OFFSET(CRONOPLE!$F$14,$M249,BP$13))))</f>
        <v>1000000000000</v>
      </c>
      <c r="BQ249" s="215">
        <f ca="1">IF($D249&lt;&gt;"Serviço",0,IF(AND(AUTOEVENTO="Manual",$M249=1),0,IF(OFFSET(CRONOPLE!$F$14,$M249,BQ$13)="",10^12,OFFSET(CRONOPLE!$F$14,$M249,BQ$13))))</f>
        <v>1000000000000</v>
      </c>
      <c r="BR249" s="215">
        <f ca="1">IF($D249&lt;&gt;"Serviço",0,IF(AND(AUTOEVENTO="Manual",$M249=1),0,IF(OFFSET(CRONOPLE!$F$14,$M249,BR$13)="",10^12,OFFSET(CRONOPLE!$F$14,$M249,BR$13))))</f>
        <v>1000000000000</v>
      </c>
      <c r="BS249" s="215">
        <f ca="1">IF($D249&lt;&gt;"Serviço",0,IF(AND(AUTOEVENTO="Manual",$M249=1),0,IF(OFFSET(CRONOPLE!$F$14,$M249,BS$13)="",10^12,OFFSET(CRONOPLE!$F$14,$M249,BS$13))))</f>
        <v>1000000000000</v>
      </c>
      <c r="BT249" s="215">
        <f ca="1">IF($D249&lt;&gt;"Serviço",0,IF(AND(AUTOEVENTO="Manual",$M249=1),0,IF(OFFSET(CRONOPLE!$F$14,$M249,BT$13)="",10^12,OFFSET(CRONOPLE!$F$14,$M249,BT$13))))</f>
        <v>1000000000000</v>
      </c>
      <c r="BV249" s="216">
        <f ca="1">IF($D249&lt;&gt;"Serviço",0,IF(OR(AND(AUTOEVENTO="Manual",$M249=1),$M249&gt;(ROW(PLE.lastrow)-ROW(PLE.firstrow))),0,IF(OFFSET(PLE!$G$14,$M249,BV$13)="",10^12,OFFSET(PLE!$G$14,$M249,BV$13))))</f>
        <v>1000000000000</v>
      </c>
      <c r="BW249" s="216">
        <f ca="1">IF($D249&lt;&gt;"Serviço",0,IF(OR(AND(AUTOEVENTO="Manual",$M249=1),$M249&gt;(ROW(PLE.lastrow)-ROW(PLE.firstrow))),0,IF(OFFSET(PLE!$G$14,$M249,BW$13)="",10^12,OFFSET(PLE!$G$14,$M249,BW$13))))</f>
        <v>1000000000000</v>
      </c>
      <c r="BX249" s="216">
        <f ca="1">IF($D249&lt;&gt;"Serviço",0,IF(OR(AND(AUTOEVENTO="Manual",$M249=1),$M249&gt;(ROW(PLE.lastrow)-ROW(PLE.firstrow))),0,IF(OFFSET(PLE!$G$14,$M249,BX$13)="",10^12,OFFSET(PLE!$G$14,$M249,BX$13))))</f>
        <v>1000000000000</v>
      </c>
      <c r="BY249" s="216">
        <f ca="1">IF($D249&lt;&gt;"Serviço",0,IF(OR(AND(AUTOEVENTO="Manual",$M249=1),$M249&gt;(ROW(PLE.lastrow)-ROW(PLE.firstrow))),0,IF(OFFSET(PLE!$G$14,$M249,BY$13)="",10^12,OFFSET(PLE!$G$14,$M249,BY$13))))</f>
        <v>1000000000000</v>
      </c>
      <c r="BZ249" s="216">
        <f ca="1">IF($D249&lt;&gt;"Serviço",0,IF(OR(AND(AUTOEVENTO="Manual",$M249=1),$M249&gt;(ROW(PLE.lastrow)-ROW(PLE.firstrow))),0,IF(OFFSET(PLE!$G$14,$M249,BZ$13)="",10^12,OFFSET(PLE!$G$14,$M249,BZ$13))))</f>
        <v>1000000000000</v>
      </c>
      <c r="CA249" s="216">
        <f ca="1">IF($D249&lt;&gt;"Serviço",0,IF(OR(AND(AUTOEVENTO="Manual",$M249=1),$M249&gt;(ROW(PLE.lastrow)-ROW(PLE.firstrow))),0,IF(OFFSET(PLE!$G$14,$M249,CA$13)="",10^12,OFFSET(PLE!$G$14,$M249,CA$13))))</f>
        <v>1000000000000</v>
      </c>
      <c r="CB249" s="216">
        <f ca="1">IF($D249&lt;&gt;"Serviço",0,IF(OR(AND(AUTOEVENTO="Manual",$M249=1),$M249&gt;(ROW(PLE.lastrow)-ROW(PLE.firstrow))),0,IF(OFFSET(PLE!$G$14,$M249,CB$13)="",10^12,OFFSET(PLE!$G$14,$M249,CB$13))))</f>
        <v>1000000000000</v>
      </c>
      <c r="CC249" s="216">
        <f ca="1">IF($D249&lt;&gt;"Serviço",0,IF(OR(AND(AUTOEVENTO="Manual",$M249=1),$M249&gt;(ROW(PLE.lastrow)-ROW(PLE.firstrow))),0,IF(OFFSET(PLE!$G$14,$M249,CC$13)="",10^12,OFFSET(PLE!$G$14,$M249,CC$13))))</f>
        <v>1000000000000</v>
      </c>
      <c r="CD249" s="216">
        <f ca="1">IF($D249&lt;&gt;"Serviço",0,IF(OR(AND(AUTOEVENTO="Manual",$M249=1),$M249&gt;(ROW(PLE.lastrow)-ROW(PLE.firstrow))),0,IF(OFFSET(PLE!$G$14,$M249,CD$13)="",10^12,OFFSET(PLE!$G$14,$M249,CD$13))))</f>
        <v>1000000000000</v>
      </c>
      <c r="CE249" s="216">
        <f ca="1">IF($D249&lt;&gt;"Serviço",0,IF(OR(AND(AUTOEVENTO="Manual",$M249=1),$M249&gt;(ROW(PLE.lastrow)-ROW(PLE.firstrow))),0,IF(OFFSET(PLE!$G$14,$M249,CE$13)="",10^12,OFFSET(PLE!$G$14,$M249,CE$13))))</f>
        <v>1000000000000</v>
      </c>
      <c r="CF249" s="216">
        <f ca="1">IF($D249&lt;&gt;"Serviço",0,IF(OR(AND(AUTOEVENTO="Manual",$M249=1),$M249&gt;(ROW(PLE.lastrow)-ROW(PLE.firstrow))),0,IF(OFFSET(PLE!$G$14,$M249,CF$13)="",10^12,OFFSET(PLE!$G$14,$M249,CF$13))))</f>
        <v>1000000000000</v>
      </c>
      <c r="CG249" s="216">
        <f ca="1">IF($D249&lt;&gt;"Serviço",0,IF(OR(AND(AUTOEVENTO="Manual",$M249=1),$M249&gt;(ROW(PLE.lastrow)-ROW(PLE.firstrow))),0,IF(OFFSET(PLE!$G$14,$M249,CG$13)="",10^12,OFFSET(PLE!$G$14,$M249,CG$13))))</f>
        <v>1000000000000</v>
      </c>
      <c r="CH249" s="216">
        <f ca="1">IF($D249&lt;&gt;"Serviço",0,IF(OR(AND(AUTOEVENTO="Manual",$M249=1),$M249&gt;(ROW(PLE.lastrow)-ROW(PLE.firstrow))),0,IF(OFFSET(PLE!$G$14,$M249,CH$13)="",10^12,OFFSET(PLE!$G$14,$M249,CH$13))))</f>
        <v>1000000000000</v>
      </c>
      <c r="CI249" s="216">
        <f ca="1">IF($D249&lt;&gt;"Serviço",0,IF(OR(AND(AUTOEVENTO="Manual",$M249=1),$M249&gt;(ROW(PLE.lastrow)-ROW(PLE.firstrow))),0,IF(OFFSET(PLE!$G$14,$M249,CI$13)="",10^12,OFFSET(PLE!$G$14,$M249,CI$13))))</f>
        <v>1000000000000</v>
      </c>
      <c r="CJ249" s="216">
        <f ca="1">IF($D249&lt;&gt;"Serviço",0,IF(OR(AND(AUTOEVENTO="Manual",$M249=1),$M249&gt;(ROW(PLE.lastrow)-ROW(PLE.firstrow))),0,IF(OFFSET(PLE!$G$14,$M249,CJ$13)="",10^12,OFFSET(PLE!$G$14,$M249,CJ$13))))</f>
        <v>1000000000000</v>
      </c>
      <c r="CK249" s="216">
        <f ca="1">IF($D249&lt;&gt;"Serviço",0,IF(OR(AND(AUTOEVENTO="Manual",$M249=1),$M249&gt;(ROW(PLE.lastrow)-ROW(PLE.firstrow))),0,IF(OFFSET(PLE!$G$14,$M249,CK$13)="",10^12,OFFSET(PLE!$G$14,$M249,CK$13))))</f>
        <v>1000000000000</v>
      </c>
      <c r="CL249" s="216">
        <f ca="1">IF($D249&lt;&gt;"Serviço",0,IF(OR(AND(AUTOEVENTO="Manual",$M249=1),$M249&gt;(ROW(PLE.lastrow)-ROW(PLE.firstrow))),0,IF(OFFSET(PLE!$G$14,$M249,CL$13)="",10^12,OFFSET(PLE!$G$14,$M249,CL$13))))</f>
        <v>1000000000000</v>
      </c>
      <c r="CM249" s="216">
        <f ca="1">IF($D249&lt;&gt;"Serviço",0,IF(OR(AND(AUTOEVENTO="Manual",$M249=1),$M249&gt;(ROW(PLE.lastrow)-ROW(PLE.firstrow))),0,IF(OFFSET(PLE!$G$14,$M249,CM$13)="",10^12,OFFSET(PLE!$G$14,$M249,CM$13))))</f>
        <v>1000000000000</v>
      </c>
    </row>
    <row r="250" spans="1:91" ht="13.2" x14ac:dyDescent="0.25">
      <c r="A250" s="9">
        <f t="shared" ca="1" si="12"/>
        <v>0</v>
      </c>
      <c r="B250" s="9" t="str">
        <f ca="1">OFFSET(ORÇAMENTO!C$15,ROW(B250)-ROW(B$15),0)</f>
        <v>S</v>
      </c>
      <c r="C250" s="9" t="str">
        <f ca="1">OFFSET(ORÇAMENTO!L$15,ROW(C250)-ROW(C$15),0)</f>
        <v/>
      </c>
      <c r="D250" s="145" t="str">
        <f ca="1">OFFSET(ORÇAMENTO!N$15,ROW(D250)-ROW(D$15),0)</f>
        <v>Serviço</v>
      </c>
      <c r="E250" s="205" t="str">
        <f ca="1">OFFSET(ORÇAMENTO!O$15,ROW(E250)-ROW(E$15),0)</f>
        <v>-</v>
      </c>
      <c r="F250" s="206" t="str">
        <f ca="1">OFFSET(ORÇAMENTO!R$15,ROW(F250)-ROW(F$15),0)</f>
        <v>(abra o arquivo 'Referência 05-2024.xls)</v>
      </c>
      <c r="G250" s="207" t="str">
        <f ca="1">IF($D250&lt;&gt;"Serviço","",OFFSET(ORÇAMENTO!S$15,ROW(G250)-ROW(G$15),0))</f>
        <v>-</v>
      </c>
      <c r="H250" s="151">
        <f ca="1">IF($D250&lt;&gt;"Serviço",0,IF(ACOMPANHAMENTO="BM",ROUND(OFFSET(ORÇAMENTO!AJ$15,ROW(H250)-ROW(H$15),0),15-13*ORÇAMENTO!$AF$7),SUMPRODUCT(($Q$12:$AI$12&lt;&gt;"")*ROUND($Q250:$AI250,15-13*ORÇAMENTO!$AF$7))))</f>
        <v>162.05000000000001</v>
      </c>
      <c r="I250" s="650"/>
      <c r="K250" s="208"/>
      <c r="L250" s="209" t="s">
        <v>257</v>
      </c>
      <c r="M250" s="210">
        <f ca="1">IF($D250&lt;&gt;"Serviço","",IF(AUTOEVENTO="manual",$A250,IF(ISERROR(MATCH($A250,$A$15:OFFSET($A250,-1,0),0)),MAX($M$15:OFFSET(M250,-1,0))+1,INDEX($M$15:OFFSET(M250,-1,0),MATCH($A250,$A$15:OFFSET($A250,-1,0),0)))))</f>
        <v>0</v>
      </c>
      <c r="N250" s="211" t="str">
        <f ca="1">IF($D250&lt;&gt;"Serviço","",IF(AUTOEVENTO="Manual",IF($A250=0,"&lt;-- defina o número do agrupador",OFFSET(EVENTOS!$D$14,$A250,0)),OFFSET($F$15,$A250,0)))</f>
        <v>&lt;-- defina o número do agrupador</v>
      </c>
      <c r="O250" s="212"/>
      <c r="Q250" s="212"/>
      <c r="R250" s="213"/>
      <c r="S250" s="213"/>
      <c r="T250" s="213"/>
      <c r="U250" s="213"/>
      <c r="V250" s="213"/>
      <c r="W250" s="213"/>
      <c r="X250" s="213"/>
      <c r="Y250" s="213"/>
      <c r="Z250" s="214"/>
      <c r="AA250" s="213"/>
      <c r="AB250" s="213"/>
      <c r="AC250" s="213"/>
      <c r="AD250" s="213"/>
      <c r="AE250" s="213"/>
      <c r="AF250" s="213"/>
      <c r="AG250" s="213"/>
      <c r="AH250" s="214"/>
      <c r="AJ250" s="631">
        <f ca="1">IF(AND($D250="Serviço",AJ$12&lt;&gt;0,$H250&gt;0,OR(AUTOEVENTO&lt;&gt;"manual",$M250&lt;&gt;1)),ROUND(OFFSET($P250,0,AJ$13),15-13*ORÇAMENTO!$AF$7)/$H250*OFFSET(ORÇAMENTO!$X$15,ROW(AJ250)-ROW(AJ$15),0),0)</f>
        <v>0</v>
      </c>
      <c r="AK250" s="632">
        <f ca="1">IF(AND($D250="Serviço",AK$12&lt;&gt;0,$H250&gt;0,OR(AUTOEVENTO&lt;&gt;"manual",$M250&lt;&gt;1)),ROUND(OFFSET($P250,0,AK$13),15-13*ORÇAMENTO!$AF$7)/$H250*OFFSET(ORÇAMENTO!$X$15,ROW(AK250)-ROW(AK$15),0),0)</f>
        <v>0</v>
      </c>
      <c r="AL250" s="632">
        <f ca="1">IF(AND($D250="Serviço",AL$12&lt;&gt;0,$H250&gt;0,OR(AUTOEVENTO&lt;&gt;"manual",$M250&lt;&gt;1)),ROUND(OFFSET($P250,0,AL$13),15-13*ORÇAMENTO!$AF$7)/$H250*OFFSET(ORÇAMENTO!$X$15,ROW(AL250)-ROW(AL$15),0),0)</f>
        <v>0</v>
      </c>
      <c r="AM250" s="632">
        <f ca="1">IF(AND($D250="Serviço",AM$12&lt;&gt;0,$H250&gt;0,OR(AUTOEVENTO&lt;&gt;"manual",$M250&lt;&gt;1)),ROUND(OFFSET($P250,0,AM$13),15-13*ORÇAMENTO!$AF$7)/$H250*OFFSET(ORÇAMENTO!$X$15,ROW(AM250)-ROW(AM$15),0),0)</f>
        <v>0</v>
      </c>
      <c r="AN250" s="632">
        <f ca="1">IF(AND($D250="Serviço",AN$12&lt;&gt;0,$H250&gt;0,OR(AUTOEVENTO&lt;&gt;"manual",$M250&lt;&gt;1)),ROUND(OFFSET($P250,0,AN$13),15-13*ORÇAMENTO!$AF$7)/$H250*OFFSET(ORÇAMENTO!$X$15,ROW(AN250)-ROW(AN$15),0),0)</f>
        <v>0</v>
      </c>
      <c r="AO250" s="632">
        <f ca="1">IF(AND($D250="Serviço",AO$12&lt;&gt;0,$H250&gt;0,OR(AUTOEVENTO&lt;&gt;"manual",$M250&lt;&gt;1)),ROUND(OFFSET($P250,0,AO$13),15-13*ORÇAMENTO!$AF$7)/$H250*OFFSET(ORÇAMENTO!$X$15,ROW(AO250)-ROW(AO$15),0),0)</f>
        <v>0</v>
      </c>
      <c r="AP250" s="632">
        <f ca="1">IF(AND($D250="Serviço",AP$12&lt;&gt;0,$H250&gt;0,OR(AUTOEVENTO&lt;&gt;"manual",$M250&lt;&gt;1)),ROUND(OFFSET($P250,0,AP$13),15-13*ORÇAMENTO!$AF$7)/$H250*OFFSET(ORÇAMENTO!$X$15,ROW(AP250)-ROW(AP$15),0),0)</f>
        <v>0</v>
      </c>
      <c r="AQ250" s="632">
        <f ca="1">IF(AND($D250="Serviço",AQ$12&lt;&gt;0,$H250&gt;0,OR(AUTOEVENTO&lt;&gt;"manual",$M250&lt;&gt;1)),ROUND(OFFSET($P250,0,AQ$13),15-13*ORÇAMENTO!$AF$7)/$H250*OFFSET(ORÇAMENTO!$X$15,ROW(AQ250)-ROW(AQ$15),0),0)</f>
        <v>0</v>
      </c>
      <c r="AR250" s="632">
        <f ca="1">IF(AND($D250="Serviço",AR$12&lt;&gt;0,$H250&gt;0,OR(AUTOEVENTO&lt;&gt;"manual",$M250&lt;&gt;1)),ROUND(OFFSET($P250,0,AR$13),15-13*ORÇAMENTO!$AF$7)/$H250*OFFSET(ORÇAMENTO!$X$15,ROW(AR250)-ROW(AR$15),0),0)</f>
        <v>0</v>
      </c>
      <c r="AS250" s="633">
        <f ca="1">IF(AND($D250="Serviço",AS$12&lt;&gt;0,$H250&gt;0,OR(AUTOEVENTO&lt;&gt;"manual",$M250&lt;&gt;1)),ROUND(OFFSET($P250,0,AS$13),15-13*ORÇAMENTO!$AF$7)/$H250*OFFSET(ORÇAMENTO!$X$15,ROW(AS250)-ROW(AS$15),0),0)</f>
        <v>0</v>
      </c>
      <c r="AT250" s="632">
        <f ca="1">IF(AND($D250="Serviço",AT$12&lt;&gt;0,$H250&gt;0,OR(AUTOEVENTO&lt;&gt;"manual",$M250&lt;&gt;1)),ROUND(OFFSET($P250,0,AT$13),15-13*ORÇAMENTO!$AF$7)/$H250*OFFSET(ORÇAMENTO!$X$15,ROW(AT250)-ROW(AT$15),0),0)</f>
        <v>0</v>
      </c>
      <c r="AU250" s="632">
        <f ca="1">IF(AND($D250="Serviço",AU$12&lt;&gt;0,$H250&gt;0,OR(AUTOEVENTO&lt;&gt;"manual",$M250&lt;&gt;1)),ROUND(OFFSET($P250,0,AU$13),15-13*ORÇAMENTO!$AF$7)/$H250*OFFSET(ORÇAMENTO!$X$15,ROW(AU250)-ROW(AU$15),0),0)</f>
        <v>0</v>
      </c>
      <c r="AV250" s="632">
        <f ca="1">IF(AND($D250="Serviço",AV$12&lt;&gt;0,$H250&gt;0,OR(AUTOEVENTO&lt;&gt;"manual",$M250&lt;&gt;1)),ROUND(OFFSET($P250,0,AV$13),15-13*ORÇAMENTO!$AF$7)/$H250*OFFSET(ORÇAMENTO!$X$15,ROW(AV250)-ROW(AV$15),0),0)</f>
        <v>0</v>
      </c>
      <c r="AW250" s="632">
        <f ca="1">IF(AND($D250="Serviço",AW$12&lt;&gt;0,$H250&gt;0,OR(AUTOEVENTO&lt;&gt;"manual",$M250&lt;&gt;1)),ROUND(OFFSET($P250,0,AW$13),15-13*ORÇAMENTO!$AF$7)/$H250*OFFSET(ORÇAMENTO!$X$15,ROW(AW250)-ROW(AW$15),0),0)</f>
        <v>0</v>
      </c>
      <c r="AX250" s="632">
        <f ca="1">IF(AND($D250="Serviço",AX$12&lt;&gt;0,$H250&gt;0,OR(AUTOEVENTO&lt;&gt;"manual",$M250&lt;&gt;1)),ROUND(OFFSET($P250,0,AX$13),15-13*ORÇAMENTO!$AF$7)/$H250*OFFSET(ORÇAMENTO!$X$15,ROW(AX250)-ROW(AX$15),0),0)</f>
        <v>0</v>
      </c>
      <c r="AY250" s="632">
        <f ca="1">IF(AND($D250="Serviço",AY$12&lt;&gt;0,$H250&gt;0,OR(AUTOEVENTO&lt;&gt;"manual",$M250&lt;&gt;1)),ROUND(OFFSET($P250,0,AY$13),15-13*ORÇAMENTO!$AF$7)/$H250*OFFSET(ORÇAMENTO!$X$15,ROW(AY250)-ROW(AY$15),0),0)</f>
        <v>0</v>
      </c>
      <c r="AZ250" s="632">
        <f ca="1">IF(AND($D250="Serviço",AZ$12&lt;&gt;0,$H250&gt;0,OR(AUTOEVENTO&lt;&gt;"manual",$M250&lt;&gt;1)),ROUND(OFFSET($P250,0,AZ$13),15-13*ORÇAMENTO!$AF$7)/$H250*OFFSET(ORÇAMENTO!$X$15,ROW(AZ250)-ROW(AZ$15),0),0)</f>
        <v>0</v>
      </c>
      <c r="BA250" s="633">
        <f ca="1">IF(AND($D250="Serviço",BA$12&lt;&gt;0,$H250&gt;0,OR(AUTOEVENTO&lt;&gt;"manual",$M250&lt;&gt;1)),ROUND(OFFSET($P250,0,BA$13),15-13*ORÇAMENTO!$AF$7)/$H250*OFFSET(ORÇAMENTO!$X$15,ROW(BA250)-ROW(BA$15),0),0)</f>
        <v>0</v>
      </c>
      <c r="BC250" s="215">
        <f ca="1">IF($D250&lt;&gt;"Serviço",0,IF(AND(AUTOEVENTO="Manual",$M250=1),0,IF(OFFSET(CRONOPLE!$F$14,$M250,BC$13)="",10^12,OFFSET(CRONOPLE!$F$14,$M250,BC$13))))</f>
        <v>1000000000000</v>
      </c>
      <c r="BD250" s="215">
        <f ca="1">IF($D250&lt;&gt;"Serviço",0,IF(AND(AUTOEVENTO="Manual",$M250=1),0,IF(OFFSET(CRONOPLE!$F$14,$M250,BD$13)="",10^12,OFFSET(CRONOPLE!$F$14,$M250,BD$13))))</f>
        <v>1000000000000</v>
      </c>
      <c r="BE250" s="215">
        <f ca="1">IF($D250&lt;&gt;"Serviço",0,IF(AND(AUTOEVENTO="Manual",$M250=1),0,IF(OFFSET(CRONOPLE!$F$14,$M250,BE$13)="",10^12,OFFSET(CRONOPLE!$F$14,$M250,BE$13))))</f>
        <v>1000000000000</v>
      </c>
      <c r="BF250" s="215">
        <f ca="1">IF($D250&lt;&gt;"Serviço",0,IF(AND(AUTOEVENTO="Manual",$M250=1),0,IF(OFFSET(CRONOPLE!$F$14,$M250,BF$13)="",10^12,OFFSET(CRONOPLE!$F$14,$M250,BF$13))))</f>
        <v>1000000000000</v>
      </c>
      <c r="BG250" s="215">
        <f ca="1">IF($D250&lt;&gt;"Serviço",0,IF(AND(AUTOEVENTO="Manual",$M250=1),0,IF(OFFSET(CRONOPLE!$F$14,$M250,BG$13)="",10^12,OFFSET(CRONOPLE!$F$14,$M250,BG$13))))</f>
        <v>1000000000000</v>
      </c>
      <c r="BH250" s="215">
        <f ca="1">IF($D250&lt;&gt;"Serviço",0,IF(AND(AUTOEVENTO="Manual",$M250=1),0,IF(OFFSET(CRONOPLE!$F$14,$M250,BH$13)="",10^12,OFFSET(CRONOPLE!$F$14,$M250,BH$13))))</f>
        <v>1000000000000</v>
      </c>
      <c r="BI250" s="215">
        <f ca="1">IF($D250&lt;&gt;"Serviço",0,IF(AND(AUTOEVENTO="Manual",$M250=1),0,IF(OFFSET(CRONOPLE!$F$14,$M250,BI$13)="",10^12,OFFSET(CRONOPLE!$F$14,$M250,BI$13))))</f>
        <v>1000000000000</v>
      </c>
      <c r="BJ250" s="215">
        <f ca="1">IF($D250&lt;&gt;"Serviço",0,IF(AND(AUTOEVENTO="Manual",$M250=1),0,IF(OFFSET(CRONOPLE!$F$14,$M250,BJ$13)="",10^12,OFFSET(CRONOPLE!$F$14,$M250,BJ$13))))</f>
        <v>1000000000000</v>
      </c>
      <c r="BK250" s="215">
        <f ca="1">IF($D250&lt;&gt;"Serviço",0,IF(AND(AUTOEVENTO="Manual",$M250=1),0,IF(OFFSET(CRONOPLE!$F$14,$M250,BK$13)="",10^12,OFFSET(CRONOPLE!$F$14,$M250,BK$13))))</f>
        <v>1000000000000</v>
      </c>
      <c r="BL250" s="215">
        <f ca="1">IF($D250&lt;&gt;"Serviço",0,IF(AND(AUTOEVENTO="Manual",$M250=1),0,IF(OFFSET(CRONOPLE!$F$14,$M250,BL$13)="",10^12,OFFSET(CRONOPLE!$F$14,$M250,BL$13))))</f>
        <v>1000000000000</v>
      </c>
      <c r="BM250" s="215">
        <f ca="1">IF($D250&lt;&gt;"Serviço",0,IF(AND(AUTOEVENTO="Manual",$M250=1),0,IF(OFFSET(CRONOPLE!$F$14,$M250,BM$13)="",10^12,OFFSET(CRONOPLE!$F$14,$M250,BM$13))))</f>
        <v>1000000000000</v>
      </c>
      <c r="BN250" s="215">
        <f ca="1">IF($D250&lt;&gt;"Serviço",0,IF(AND(AUTOEVENTO="Manual",$M250=1),0,IF(OFFSET(CRONOPLE!$F$14,$M250,BN$13)="",10^12,OFFSET(CRONOPLE!$F$14,$M250,BN$13))))</f>
        <v>1000000000000</v>
      </c>
      <c r="BO250" s="215">
        <f ca="1">IF($D250&lt;&gt;"Serviço",0,IF(AND(AUTOEVENTO="Manual",$M250=1),0,IF(OFFSET(CRONOPLE!$F$14,$M250,BO$13)="",10^12,OFFSET(CRONOPLE!$F$14,$M250,BO$13))))</f>
        <v>1000000000000</v>
      </c>
      <c r="BP250" s="215">
        <f ca="1">IF($D250&lt;&gt;"Serviço",0,IF(AND(AUTOEVENTO="Manual",$M250=1),0,IF(OFFSET(CRONOPLE!$F$14,$M250,BP$13)="",10^12,OFFSET(CRONOPLE!$F$14,$M250,BP$13))))</f>
        <v>1000000000000</v>
      </c>
      <c r="BQ250" s="215">
        <f ca="1">IF($D250&lt;&gt;"Serviço",0,IF(AND(AUTOEVENTO="Manual",$M250=1),0,IF(OFFSET(CRONOPLE!$F$14,$M250,BQ$13)="",10^12,OFFSET(CRONOPLE!$F$14,$M250,BQ$13))))</f>
        <v>1000000000000</v>
      </c>
      <c r="BR250" s="215">
        <f ca="1">IF($D250&lt;&gt;"Serviço",0,IF(AND(AUTOEVENTO="Manual",$M250=1),0,IF(OFFSET(CRONOPLE!$F$14,$M250,BR$13)="",10^12,OFFSET(CRONOPLE!$F$14,$M250,BR$13))))</f>
        <v>1000000000000</v>
      </c>
      <c r="BS250" s="215">
        <f ca="1">IF($D250&lt;&gt;"Serviço",0,IF(AND(AUTOEVENTO="Manual",$M250=1),0,IF(OFFSET(CRONOPLE!$F$14,$M250,BS$13)="",10^12,OFFSET(CRONOPLE!$F$14,$M250,BS$13))))</f>
        <v>1000000000000</v>
      </c>
      <c r="BT250" s="215">
        <f ca="1">IF($D250&lt;&gt;"Serviço",0,IF(AND(AUTOEVENTO="Manual",$M250=1),0,IF(OFFSET(CRONOPLE!$F$14,$M250,BT$13)="",10^12,OFFSET(CRONOPLE!$F$14,$M250,BT$13))))</f>
        <v>1000000000000</v>
      </c>
      <c r="BV250" s="216">
        <f ca="1">IF($D250&lt;&gt;"Serviço",0,IF(OR(AND(AUTOEVENTO="Manual",$M250=1),$M250&gt;(ROW(PLE.lastrow)-ROW(PLE.firstrow))),0,IF(OFFSET(PLE!$G$14,$M250,BV$13)="",10^12,OFFSET(PLE!$G$14,$M250,BV$13))))</f>
        <v>1000000000000</v>
      </c>
      <c r="BW250" s="216">
        <f ca="1">IF($D250&lt;&gt;"Serviço",0,IF(OR(AND(AUTOEVENTO="Manual",$M250=1),$M250&gt;(ROW(PLE.lastrow)-ROW(PLE.firstrow))),0,IF(OFFSET(PLE!$G$14,$M250,BW$13)="",10^12,OFFSET(PLE!$G$14,$M250,BW$13))))</f>
        <v>1000000000000</v>
      </c>
      <c r="BX250" s="216">
        <f ca="1">IF($D250&lt;&gt;"Serviço",0,IF(OR(AND(AUTOEVENTO="Manual",$M250=1),$M250&gt;(ROW(PLE.lastrow)-ROW(PLE.firstrow))),0,IF(OFFSET(PLE!$G$14,$M250,BX$13)="",10^12,OFFSET(PLE!$G$14,$M250,BX$13))))</f>
        <v>1000000000000</v>
      </c>
      <c r="BY250" s="216">
        <f ca="1">IF($D250&lt;&gt;"Serviço",0,IF(OR(AND(AUTOEVENTO="Manual",$M250=1),$M250&gt;(ROW(PLE.lastrow)-ROW(PLE.firstrow))),0,IF(OFFSET(PLE!$G$14,$M250,BY$13)="",10^12,OFFSET(PLE!$G$14,$M250,BY$13))))</f>
        <v>1000000000000</v>
      </c>
      <c r="BZ250" s="216">
        <f ca="1">IF($D250&lt;&gt;"Serviço",0,IF(OR(AND(AUTOEVENTO="Manual",$M250=1),$M250&gt;(ROW(PLE.lastrow)-ROW(PLE.firstrow))),0,IF(OFFSET(PLE!$G$14,$M250,BZ$13)="",10^12,OFFSET(PLE!$G$14,$M250,BZ$13))))</f>
        <v>1000000000000</v>
      </c>
      <c r="CA250" s="216">
        <f ca="1">IF($D250&lt;&gt;"Serviço",0,IF(OR(AND(AUTOEVENTO="Manual",$M250=1),$M250&gt;(ROW(PLE.lastrow)-ROW(PLE.firstrow))),0,IF(OFFSET(PLE!$G$14,$M250,CA$13)="",10^12,OFFSET(PLE!$G$14,$M250,CA$13))))</f>
        <v>1000000000000</v>
      </c>
      <c r="CB250" s="216">
        <f ca="1">IF($D250&lt;&gt;"Serviço",0,IF(OR(AND(AUTOEVENTO="Manual",$M250=1),$M250&gt;(ROW(PLE.lastrow)-ROW(PLE.firstrow))),0,IF(OFFSET(PLE!$G$14,$M250,CB$13)="",10^12,OFFSET(PLE!$G$14,$M250,CB$13))))</f>
        <v>1000000000000</v>
      </c>
      <c r="CC250" s="216">
        <f ca="1">IF($D250&lt;&gt;"Serviço",0,IF(OR(AND(AUTOEVENTO="Manual",$M250=1),$M250&gt;(ROW(PLE.lastrow)-ROW(PLE.firstrow))),0,IF(OFFSET(PLE!$G$14,$M250,CC$13)="",10^12,OFFSET(PLE!$G$14,$M250,CC$13))))</f>
        <v>1000000000000</v>
      </c>
      <c r="CD250" s="216">
        <f ca="1">IF($D250&lt;&gt;"Serviço",0,IF(OR(AND(AUTOEVENTO="Manual",$M250=1),$M250&gt;(ROW(PLE.lastrow)-ROW(PLE.firstrow))),0,IF(OFFSET(PLE!$G$14,$M250,CD$13)="",10^12,OFFSET(PLE!$G$14,$M250,CD$13))))</f>
        <v>1000000000000</v>
      </c>
      <c r="CE250" s="216">
        <f ca="1">IF($D250&lt;&gt;"Serviço",0,IF(OR(AND(AUTOEVENTO="Manual",$M250=1),$M250&gt;(ROW(PLE.lastrow)-ROW(PLE.firstrow))),0,IF(OFFSET(PLE!$G$14,$M250,CE$13)="",10^12,OFFSET(PLE!$G$14,$M250,CE$13))))</f>
        <v>1000000000000</v>
      </c>
      <c r="CF250" s="216">
        <f ca="1">IF($D250&lt;&gt;"Serviço",0,IF(OR(AND(AUTOEVENTO="Manual",$M250=1),$M250&gt;(ROW(PLE.lastrow)-ROW(PLE.firstrow))),0,IF(OFFSET(PLE!$G$14,$M250,CF$13)="",10^12,OFFSET(PLE!$G$14,$M250,CF$13))))</f>
        <v>1000000000000</v>
      </c>
      <c r="CG250" s="216">
        <f ca="1">IF($D250&lt;&gt;"Serviço",0,IF(OR(AND(AUTOEVENTO="Manual",$M250=1),$M250&gt;(ROW(PLE.lastrow)-ROW(PLE.firstrow))),0,IF(OFFSET(PLE!$G$14,$M250,CG$13)="",10^12,OFFSET(PLE!$G$14,$M250,CG$13))))</f>
        <v>1000000000000</v>
      </c>
      <c r="CH250" s="216">
        <f ca="1">IF($D250&lt;&gt;"Serviço",0,IF(OR(AND(AUTOEVENTO="Manual",$M250=1),$M250&gt;(ROW(PLE.lastrow)-ROW(PLE.firstrow))),0,IF(OFFSET(PLE!$G$14,$M250,CH$13)="",10^12,OFFSET(PLE!$G$14,$M250,CH$13))))</f>
        <v>1000000000000</v>
      </c>
      <c r="CI250" s="216">
        <f ca="1">IF($D250&lt;&gt;"Serviço",0,IF(OR(AND(AUTOEVENTO="Manual",$M250=1),$M250&gt;(ROW(PLE.lastrow)-ROW(PLE.firstrow))),0,IF(OFFSET(PLE!$G$14,$M250,CI$13)="",10^12,OFFSET(PLE!$G$14,$M250,CI$13))))</f>
        <v>1000000000000</v>
      </c>
      <c r="CJ250" s="216">
        <f ca="1">IF($D250&lt;&gt;"Serviço",0,IF(OR(AND(AUTOEVENTO="Manual",$M250=1),$M250&gt;(ROW(PLE.lastrow)-ROW(PLE.firstrow))),0,IF(OFFSET(PLE!$G$14,$M250,CJ$13)="",10^12,OFFSET(PLE!$G$14,$M250,CJ$13))))</f>
        <v>1000000000000</v>
      </c>
      <c r="CK250" s="216">
        <f ca="1">IF($D250&lt;&gt;"Serviço",0,IF(OR(AND(AUTOEVENTO="Manual",$M250=1),$M250&gt;(ROW(PLE.lastrow)-ROW(PLE.firstrow))),0,IF(OFFSET(PLE!$G$14,$M250,CK$13)="",10^12,OFFSET(PLE!$G$14,$M250,CK$13))))</f>
        <v>1000000000000</v>
      </c>
      <c r="CL250" s="216">
        <f ca="1">IF($D250&lt;&gt;"Serviço",0,IF(OR(AND(AUTOEVENTO="Manual",$M250=1),$M250&gt;(ROW(PLE.lastrow)-ROW(PLE.firstrow))),0,IF(OFFSET(PLE!$G$14,$M250,CL$13)="",10^12,OFFSET(PLE!$G$14,$M250,CL$13))))</f>
        <v>1000000000000</v>
      </c>
      <c r="CM250" s="216">
        <f ca="1">IF($D250&lt;&gt;"Serviço",0,IF(OR(AND(AUTOEVENTO="Manual",$M250=1),$M250&gt;(ROW(PLE.lastrow)-ROW(PLE.firstrow))),0,IF(OFFSET(PLE!$G$14,$M250,CM$13)="",10^12,OFFSET(PLE!$G$14,$M250,CM$13))))</f>
        <v>1000000000000</v>
      </c>
    </row>
    <row r="251" spans="1:91" ht="13.2" x14ac:dyDescent="0.25">
      <c r="A251" s="9">
        <f t="shared" ca="1" si="12"/>
        <v>0</v>
      </c>
      <c r="B251" s="9" t="str">
        <f ca="1">OFFSET(ORÇAMENTO!C$15,ROW(B251)-ROW(B$15),0)</f>
        <v>S</v>
      </c>
      <c r="C251" s="9" t="str">
        <f ca="1">OFFSET(ORÇAMENTO!L$15,ROW(C251)-ROW(C$15),0)</f>
        <v/>
      </c>
      <c r="D251" s="145" t="str">
        <f ca="1">OFFSET(ORÇAMENTO!N$15,ROW(D251)-ROW(D$15),0)</f>
        <v>Serviço</v>
      </c>
      <c r="E251" s="205" t="str">
        <f ca="1">OFFSET(ORÇAMENTO!O$15,ROW(E251)-ROW(E$15),0)</f>
        <v>-</v>
      </c>
      <c r="F251" s="206" t="str">
        <f ca="1">OFFSET(ORÇAMENTO!R$15,ROW(F251)-ROW(F$15),0)</f>
        <v>(abra o arquivo 'Referência 05-2024.xls)</v>
      </c>
      <c r="G251" s="207" t="str">
        <f ca="1">IF($D251&lt;&gt;"Serviço","",OFFSET(ORÇAMENTO!S$15,ROW(G251)-ROW(G$15),0))</f>
        <v>-</v>
      </c>
      <c r="H251" s="151">
        <f ca="1">IF($D251&lt;&gt;"Serviço",0,IF(ACOMPANHAMENTO="BM",ROUND(OFFSET(ORÇAMENTO!AJ$15,ROW(H251)-ROW(H$15),0),15-13*ORÇAMENTO!$AF$7),SUMPRODUCT(($Q$12:$AI$12&lt;&gt;"")*ROUND($Q251:$AI251,15-13*ORÇAMENTO!$AF$7))))</f>
        <v>41.38</v>
      </c>
      <c r="I251" s="650"/>
      <c r="K251" s="208"/>
      <c r="L251" s="209" t="s">
        <v>257</v>
      </c>
      <c r="M251" s="210">
        <f ca="1">IF($D251&lt;&gt;"Serviço","",IF(AUTOEVENTO="manual",$A251,IF(ISERROR(MATCH($A251,$A$15:OFFSET($A251,-1,0),0)),MAX($M$15:OFFSET(M251,-1,0))+1,INDEX($M$15:OFFSET(M251,-1,0),MATCH($A251,$A$15:OFFSET($A251,-1,0),0)))))</f>
        <v>0</v>
      </c>
      <c r="N251" s="211" t="str">
        <f ca="1">IF($D251&lt;&gt;"Serviço","",IF(AUTOEVENTO="Manual",IF($A251=0,"&lt;-- defina o número do agrupador",OFFSET(EVENTOS!$D$14,$A251,0)),OFFSET($F$15,$A251,0)))</f>
        <v>&lt;-- defina o número do agrupador</v>
      </c>
      <c r="O251" s="212"/>
      <c r="Q251" s="212"/>
      <c r="R251" s="213"/>
      <c r="S251" s="213"/>
      <c r="T251" s="213"/>
      <c r="U251" s="213"/>
      <c r="V251" s="213"/>
      <c r="W251" s="213"/>
      <c r="X251" s="213"/>
      <c r="Y251" s="213"/>
      <c r="Z251" s="214"/>
      <c r="AA251" s="213"/>
      <c r="AB251" s="213"/>
      <c r="AC251" s="213"/>
      <c r="AD251" s="213"/>
      <c r="AE251" s="213"/>
      <c r="AF251" s="213"/>
      <c r="AG251" s="213"/>
      <c r="AH251" s="214"/>
      <c r="AJ251" s="631">
        <f ca="1">IF(AND($D251="Serviço",AJ$12&lt;&gt;0,$H251&gt;0,OR(AUTOEVENTO&lt;&gt;"manual",$M251&lt;&gt;1)),ROUND(OFFSET($P251,0,AJ$13),15-13*ORÇAMENTO!$AF$7)/$H251*OFFSET(ORÇAMENTO!$X$15,ROW(AJ251)-ROW(AJ$15),0),0)</f>
        <v>0</v>
      </c>
      <c r="AK251" s="632">
        <f ca="1">IF(AND($D251="Serviço",AK$12&lt;&gt;0,$H251&gt;0,OR(AUTOEVENTO&lt;&gt;"manual",$M251&lt;&gt;1)),ROUND(OFFSET($P251,0,AK$13),15-13*ORÇAMENTO!$AF$7)/$H251*OFFSET(ORÇAMENTO!$X$15,ROW(AK251)-ROW(AK$15),0),0)</f>
        <v>0</v>
      </c>
      <c r="AL251" s="632">
        <f ca="1">IF(AND($D251="Serviço",AL$12&lt;&gt;0,$H251&gt;0,OR(AUTOEVENTO&lt;&gt;"manual",$M251&lt;&gt;1)),ROUND(OFFSET($P251,0,AL$13),15-13*ORÇAMENTO!$AF$7)/$H251*OFFSET(ORÇAMENTO!$X$15,ROW(AL251)-ROW(AL$15),0),0)</f>
        <v>0</v>
      </c>
      <c r="AM251" s="632">
        <f ca="1">IF(AND($D251="Serviço",AM$12&lt;&gt;0,$H251&gt;0,OR(AUTOEVENTO&lt;&gt;"manual",$M251&lt;&gt;1)),ROUND(OFFSET($P251,0,AM$13),15-13*ORÇAMENTO!$AF$7)/$H251*OFFSET(ORÇAMENTO!$X$15,ROW(AM251)-ROW(AM$15),0),0)</f>
        <v>0</v>
      </c>
      <c r="AN251" s="632">
        <f ca="1">IF(AND($D251="Serviço",AN$12&lt;&gt;0,$H251&gt;0,OR(AUTOEVENTO&lt;&gt;"manual",$M251&lt;&gt;1)),ROUND(OFFSET($P251,0,AN$13),15-13*ORÇAMENTO!$AF$7)/$H251*OFFSET(ORÇAMENTO!$X$15,ROW(AN251)-ROW(AN$15),0),0)</f>
        <v>0</v>
      </c>
      <c r="AO251" s="632">
        <f ca="1">IF(AND($D251="Serviço",AO$12&lt;&gt;0,$H251&gt;0,OR(AUTOEVENTO&lt;&gt;"manual",$M251&lt;&gt;1)),ROUND(OFFSET($P251,0,AO$13),15-13*ORÇAMENTO!$AF$7)/$H251*OFFSET(ORÇAMENTO!$X$15,ROW(AO251)-ROW(AO$15),0),0)</f>
        <v>0</v>
      </c>
      <c r="AP251" s="632">
        <f ca="1">IF(AND($D251="Serviço",AP$12&lt;&gt;0,$H251&gt;0,OR(AUTOEVENTO&lt;&gt;"manual",$M251&lt;&gt;1)),ROUND(OFFSET($P251,0,AP$13),15-13*ORÇAMENTO!$AF$7)/$H251*OFFSET(ORÇAMENTO!$X$15,ROW(AP251)-ROW(AP$15),0),0)</f>
        <v>0</v>
      </c>
      <c r="AQ251" s="632">
        <f ca="1">IF(AND($D251="Serviço",AQ$12&lt;&gt;0,$H251&gt;0,OR(AUTOEVENTO&lt;&gt;"manual",$M251&lt;&gt;1)),ROUND(OFFSET($P251,0,AQ$13),15-13*ORÇAMENTO!$AF$7)/$H251*OFFSET(ORÇAMENTO!$X$15,ROW(AQ251)-ROW(AQ$15),0),0)</f>
        <v>0</v>
      </c>
      <c r="AR251" s="632">
        <f ca="1">IF(AND($D251="Serviço",AR$12&lt;&gt;0,$H251&gt;0,OR(AUTOEVENTO&lt;&gt;"manual",$M251&lt;&gt;1)),ROUND(OFFSET($P251,0,AR$13),15-13*ORÇAMENTO!$AF$7)/$H251*OFFSET(ORÇAMENTO!$X$15,ROW(AR251)-ROW(AR$15),0),0)</f>
        <v>0</v>
      </c>
      <c r="AS251" s="633">
        <f ca="1">IF(AND($D251="Serviço",AS$12&lt;&gt;0,$H251&gt;0,OR(AUTOEVENTO&lt;&gt;"manual",$M251&lt;&gt;1)),ROUND(OFFSET($P251,0,AS$13),15-13*ORÇAMENTO!$AF$7)/$H251*OFFSET(ORÇAMENTO!$X$15,ROW(AS251)-ROW(AS$15),0),0)</f>
        <v>0</v>
      </c>
      <c r="AT251" s="632">
        <f ca="1">IF(AND($D251="Serviço",AT$12&lt;&gt;0,$H251&gt;0,OR(AUTOEVENTO&lt;&gt;"manual",$M251&lt;&gt;1)),ROUND(OFFSET($P251,0,AT$13),15-13*ORÇAMENTO!$AF$7)/$H251*OFFSET(ORÇAMENTO!$X$15,ROW(AT251)-ROW(AT$15),0),0)</f>
        <v>0</v>
      </c>
      <c r="AU251" s="632">
        <f ca="1">IF(AND($D251="Serviço",AU$12&lt;&gt;0,$H251&gt;0,OR(AUTOEVENTO&lt;&gt;"manual",$M251&lt;&gt;1)),ROUND(OFFSET($P251,0,AU$13),15-13*ORÇAMENTO!$AF$7)/$H251*OFFSET(ORÇAMENTO!$X$15,ROW(AU251)-ROW(AU$15),0),0)</f>
        <v>0</v>
      </c>
      <c r="AV251" s="632">
        <f ca="1">IF(AND($D251="Serviço",AV$12&lt;&gt;0,$H251&gt;0,OR(AUTOEVENTO&lt;&gt;"manual",$M251&lt;&gt;1)),ROUND(OFFSET($P251,0,AV$13),15-13*ORÇAMENTO!$AF$7)/$H251*OFFSET(ORÇAMENTO!$X$15,ROW(AV251)-ROW(AV$15),0),0)</f>
        <v>0</v>
      </c>
      <c r="AW251" s="632">
        <f ca="1">IF(AND($D251="Serviço",AW$12&lt;&gt;0,$H251&gt;0,OR(AUTOEVENTO&lt;&gt;"manual",$M251&lt;&gt;1)),ROUND(OFFSET($P251,0,AW$13),15-13*ORÇAMENTO!$AF$7)/$H251*OFFSET(ORÇAMENTO!$X$15,ROW(AW251)-ROW(AW$15),0),0)</f>
        <v>0</v>
      </c>
      <c r="AX251" s="632">
        <f ca="1">IF(AND($D251="Serviço",AX$12&lt;&gt;0,$H251&gt;0,OR(AUTOEVENTO&lt;&gt;"manual",$M251&lt;&gt;1)),ROUND(OFFSET($P251,0,AX$13),15-13*ORÇAMENTO!$AF$7)/$H251*OFFSET(ORÇAMENTO!$X$15,ROW(AX251)-ROW(AX$15),0),0)</f>
        <v>0</v>
      </c>
      <c r="AY251" s="632">
        <f ca="1">IF(AND($D251="Serviço",AY$12&lt;&gt;0,$H251&gt;0,OR(AUTOEVENTO&lt;&gt;"manual",$M251&lt;&gt;1)),ROUND(OFFSET($P251,0,AY$13),15-13*ORÇAMENTO!$AF$7)/$H251*OFFSET(ORÇAMENTO!$X$15,ROW(AY251)-ROW(AY$15),0),0)</f>
        <v>0</v>
      </c>
      <c r="AZ251" s="632">
        <f ca="1">IF(AND($D251="Serviço",AZ$12&lt;&gt;0,$H251&gt;0,OR(AUTOEVENTO&lt;&gt;"manual",$M251&lt;&gt;1)),ROUND(OFFSET($P251,0,AZ$13),15-13*ORÇAMENTO!$AF$7)/$H251*OFFSET(ORÇAMENTO!$X$15,ROW(AZ251)-ROW(AZ$15),0),0)</f>
        <v>0</v>
      </c>
      <c r="BA251" s="633">
        <f ca="1">IF(AND($D251="Serviço",BA$12&lt;&gt;0,$H251&gt;0,OR(AUTOEVENTO&lt;&gt;"manual",$M251&lt;&gt;1)),ROUND(OFFSET($P251,0,BA$13),15-13*ORÇAMENTO!$AF$7)/$H251*OFFSET(ORÇAMENTO!$X$15,ROW(BA251)-ROW(BA$15),0),0)</f>
        <v>0</v>
      </c>
      <c r="BC251" s="215">
        <f ca="1">IF($D251&lt;&gt;"Serviço",0,IF(AND(AUTOEVENTO="Manual",$M251=1),0,IF(OFFSET(CRONOPLE!$F$14,$M251,BC$13)="",10^12,OFFSET(CRONOPLE!$F$14,$M251,BC$13))))</f>
        <v>1000000000000</v>
      </c>
      <c r="BD251" s="215">
        <f ca="1">IF($D251&lt;&gt;"Serviço",0,IF(AND(AUTOEVENTO="Manual",$M251=1),0,IF(OFFSET(CRONOPLE!$F$14,$M251,BD$13)="",10^12,OFFSET(CRONOPLE!$F$14,$M251,BD$13))))</f>
        <v>1000000000000</v>
      </c>
      <c r="BE251" s="215">
        <f ca="1">IF($D251&lt;&gt;"Serviço",0,IF(AND(AUTOEVENTO="Manual",$M251=1),0,IF(OFFSET(CRONOPLE!$F$14,$M251,BE$13)="",10^12,OFFSET(CRONOPLE!$F$14,$M251,BE$13))))</f>
        <v>1000000000000</v>
      </c>
      <c r="BF251" s="215">
        <f ca="1">IF($D251&lt;&gt;"Serviço",0,IF(AND(AUTOEVENTO="Manual",$M251=1),0,IF(OFFSET(CRONOPLE!$F$14,$M251,BF$13)="",10^12,OFFSET(CRONOPLE!$F$14,$M251,BF$13))))</f>
        <v>1000000000000</v>
      </c>
      <c r="BG251" s="215">
        <f ca="1">IF($D251&lt;&gt;"Serviço",0,IF(AND(AUTOEVENTO="Manual",$M251=1),0,IF(OFFSET(CRONOPLE!$F$14,$M251,BG$13)="",10^12,OFFSET(CRONOPLE!$F$14,$M251,BG$13))))</f>
        <v>1000000000000</v>
      </c>
      <c r="BH251" s="215">
        <f ca="1">IF($D251&lt;&gt;"Serviço",0,IF(AND(AUTOEVENTO="Manual",$M251=1),0,IF(OFFSET(CRONOPLE!$F$14,$M251,BH$13)="",10^12,OFFSET(CRONOPLE!$F$14,$M251,BH$13))))</f>
        <v>1000000000000</v>
      </c>
      <c r="BI251" s="215">
        <f ca="1">IF($D251&lt;&gt;"Serviço",0,IF(AND(AUTOEVENTO="Manual",$M251=1),0,IF(OFFSET(CRONOPLE!$F$14,$M251,BI$13)="",10^12,OFFSET(CRONOPLE!$F$14,$M251,BI$13))))</f>
        <v>1000000000000</v>
      </c>
      <c r="BJ251" s="215">
        <f ca="1">IF($D251&lt;&gt;"Serviço",0,IF(AND(AUTOEVENTO="Manual",$M251=1),0,IF(OFFSET(CRONOPLE!$F$14,$M251,BJ$13)="",10^12,OFFSET(CRONOPLE!$F$14,$M251,BJ$13))))</f>
        <v>1000000000000</v>
      </c>
      <c r="BK251" s="215">
        <f ca="1">IF($D251&lt;&gt;"Serviço",0,IF(AND(AUTOEVENTO="Manual",$M251=1),0,IF(OFFSET(CRONOPLE!$F$14,$M251,BK$13)="",10^12,OFFSET(CRONOPLE!$F$14,$M251,BK$13))))</f>
        <v>1000000000000</v>
      </c>
      <c r="BL251" s="215">
        <f ca="1">IF($D251&lt;&gt;"Serviço",0,IF(AND(AUTOEVENTO="Manual",$M251=1),0,IF(OFFSET(CRONOPLE!$F$14,$M251,BL$13)="",10^12,OFFSET(CRONOPLE!$F$14,$M251,BL$13))))</f>
        <v>1000000000000</v>
      </c>
      <c r="BM251" s="215">
        <f ca="1">IF($D251&lt;&gt;"Serviço",0,IF(AND(AUTOEVENTO="Manual",$M251=1),0,IF(OFFSET(CRONOPLE!$F$14,$M251,BM$13)="",10^12,OFFSET(CRONOPLE!$F$14,$M251,BM$13))))</f>
        <v>1000000000000</v>
      </c>
      <c r="BN251" s="215">
        <f ca="1">IF($D251&lt;&gt;"Serviço",0,IF(AND(AUTOEVENTO="Manual",$M251=1),0,IF(OFFSET(CRONOPLE!$F$14,$M251,BN$13)="",10^12,OFFSET(CRONOPLE!$F$14,$M251,BN$13))))</f>
        <v>1000000000000</v>
      </c>
      <c r="BO251" s="215">
        <f ca="1">IF($D251&lt;&gt;"Serviço",0,IF(AND(AUTOEVENTO="Manual",$M251=1),0,IF(OFFSET(CRONOPLE!$F$14,$M251,BO$13)="",10^12,OFFSET(CRONOPLE!$F$14,$M251,BO$13))))</f>
        <v>1000000000000</v>
      </c>
      <c r="BP251" s="215">
        <f ca="1">IF($D251&lt;&gt;"Serviço",0,IF(AND(AUTOEVENTO="Manual",$M251=1),0,IF(OFFSET(CRONOPLE!$F$14,$M251,BP$13)="",10^12,OFFSET(CRONOPLE!$F$14,$M251,BP$13))))</f>
        <v>1000000000000</v>
      </c>
      <c r="BQ251" s="215">
        <f ca="1">IF($D251&lt;&gt;"Serviço",0,IF(AND(AUTOEVENTO="Manual",$M251=1),0,IF(OFFSET(CRONOPLE!$F$14,$M251,BQ$13)="",10^12,OFFSET(CRONOPLE!$F$14,$M251,BQ$13))))</f>
        <v>1000000000000</v>
      </c>
      <c r="BR251" s="215">
        <f ca="1">IF($D251&lt;&gt;"Serviço",0,IF(AND(AUTOEVENTO="Manual",$M251=1),0,IF(OFFSET(CRONOPLE!$F$14,$M251,BR$13)="",10^12,OFFSET(CRONOPLE!$F$14,$M251,BR$13))))</f>
        <v>1000000000000</v>
      </c>
      <c r="BS251" s="215">
        <f ca="1">IF($D251&lt;&gt;"Serviço",0,IF(AND(AUTOEVENTO="Manual",$M251=1),0,IF(OFFSET(CRONOPLE!$F$14,$M251,BS$13)="",10^12,OFFSET(CRONOPLE!$F$14,$M251,BS$13))))</f>
        <v>1000000000000</v>
      </c>
      <c r="BT251" s="215">
        <f ca="1">IF($D251&lt;&gt;"Serviço",0,IF(AND(AUTOEVENTO="Manual",$M251=1),0,IF(OFFSET(CRONOPLE!$F$14,$M251,BT$13)="",10^12,OFFSET(CRONOPLE!$F$14,$M251,BT$13))))</f>
        <v>1000000000000</v>
      </c>
      <c r="BV251" s="216">
        <f ca="1">IF($D251&lt;&gt;"Serviço",0,IF(OR(AND(AUTOEVENTO="Manual",$M251=1),$M251&gt;(ROW(PLE.lastrow)-ROW(PLE.firstrow))),0,IF(OFFSET(PLE!$G$14,$M251,BV$13)="",10^12,OFFSET(PLE!$G$14,$M251,BV$13))))</f>
        <v>1000000000000</v>
      </c>
      <c r="BW251" s="216">
        <f ca="1">IF($D251&lt;&gt;"Serviço",0,IF(OR(AND(AUTOEVENTO="Manual",$M251=1),$M251&gt;(ROW(PLE.lastrow)-ROW(PLE.firstrow))),0,IF(OFFSET(PLE!$G$14,$M251,BW$13)="",10^12,OFFSET(PLE!$G$14,$M251,BW$13))))</f>
        <v>1000000000000</v>
      </c>
      <c r="BX251" s="216">
        <f ca="1">IF($D251&lt;&gt;"Serviço",0,IF(OR(AND(AUTOEVENTO="Manual",$M251=1),$M251&gt;(ROW(PLE.lastrow)-ROW(PLE.firstrow))),0,IF(OFFSET(PLE!$G$14,$M251,BX$13)="",10^12,OFFSET(PLE!$G$14,$M251,BX$13))))</f>
        <v>1000000000000</v>
      </c>
      <c r="BY251" s="216">
        <f ca="1">IF($D251&lt;&gt;"Serviço",0,IF(OR(AND(AUTOEVENTO="Manual",$M251=1),$M251&gt;(ROW(PLE.lastrow)-ROW(PLE.firstrow))),0,IF(OFFSET(PLE!$G$14,$M251,BY$13)="",10^12,OFFSET(PLE!$G$14,$M251,BY$13))))</f>
        <v>1000000000000</v>
      </c>
      <c r="BZ251" s="216">
        <f ca="1">IF($D251&lt;&gt;"Serviço",0,IF(OR(AND(AUTOEVENTO="Manual",$M251=1),$M251&gt;(ROW(PLE.lastrow)-ROW(PLE.firstrow))),0,IF(OFFSET(PLE!$G$14,$M251,BZ$13)="",10^12,OFFSET(PLE!$G$14,$M251,BZ$13))))</f>
        <v>1000000000000</v>
      </c>
      <c r="CA251" s="216">
        <f ca="1">IF($D251&lt;&gt;"Serviço",0,IF(OR(AND(AUTOEVENTO="Manual",$M251=1),$M251&gt;(ROW(PLE.lastrow)-ROW(PLE.firstrow))),0,IF(OFFSET(PLE!$G$14,$M251,CA$13)="",10^12,OFFSET(PLE!$G$14,$M251,CA$13))))</f>
        <v>1000000000000</v>
      </c>
      <c r="CB251" s="216">
        <f ca="1">IF($D251&lt;&gt;"Serviço",0,IF(OR(AND(AUTOEVENTO="Manual",$M251=1),$M251&gt;(ROW(PLE.lastrow)-ROW(PLE.firstrow))),0,IF(OFFSET(PLE!$G$14,$M251,CB$13)="",10^12,OFFSET(PLE!$G$14,$M251,CB$13))))</f>
        <v>1000000000000</v>
      </c>
      <c r="CC251" s="216">
        <f ca="1">IF($D251&lt;&gt;"Serviço",0,IF(OR(AND(AUTOEVENTO="Manual",$M251=1),$M251&gt;(ROW(PLE.lastrow)-ROW(PLE.firstrow))),0,IF(OFFSET(PLE!$G$14,$M251,CC$13)="",10^12,OFFSET(PLE!$G$14,$M251,CC$13))))</f>
        <v>1000000000000</v>
      </c>
      <c r="CD251" s="216">
        <f ca="1">IF($D251&lt;&gt;"Serviço",0,IF(OR(AND(AUTOEVENTO="Manual",$M251=1),$M251&gt;(ROW(PLE.lastrow)-ROW(PLE.firstrow))),0,IF(OFFSET(PLE!$G$14,$M251,CD$13)="",10^12,OFFSET(PLE!$G$14,$M251,CD$13))))</f>
        <v>1000000000000</v>
      </c>
      <c r="CE251" s="216">
        <f ca="1">IF($D251&lt;&gt;"Serviço",0,IF(OR(AND(AUTOEVENTO="Manual",$M251=1),$M251&gt;(ROW(PLE.lastrow)-ROW(PLE.firstrow))),0,IF(OFFSET(PLE!$G$14,$M251,CE$13)="",10^12,OFFSET(PLE!$G$14,$M251,CE$13))))</f>
        <v>1000000000000</v>
      </c>
      <c r="CF251" s="216">
        <f ca="1">IF($D251&lt;&gt;"Serviço",0,IF(OR(AND(AUTOEVENTO="Manual",$M251=1),$M251&gt;(ROW(PLE.lastrow)-ROW(PLE.firstrow))),0,IF(OFFSET(PLE!$G$14,$M251,CF$13)="",10^12,OFFSET(PLE!$G$14,$M251,CF$13))))</f>
        <v>1000000000000</v>
      </c>
      <c r="CG251" s="216">
        <f ca="1">IF($D251&lt;&gt;"Serviço",0,IF(OR(AND(AUTOEVENTO="Manual",$M251=1),$M251&gt;(ROW(PLE.lastrow)-ROW(PLE.firstrow))),0,IF(OFFSET(PLE!$G$14,$M251,CG$13)="",10^12,OFFSET(PLE!$G$14,$M251,CG$13))))</f>
        <v>1000000000000</v>
      </c>
      <c r="CH251" s="216">
        <f ca="1">IF($D251&lt;&gt;"Serviço",0,IF(OR(AND(AUTOEVENTO="Manual",$M251=1),$M251&gt;(ROW(PLE.lastrow)-ROW(PLE.firstrow))),0,IF(OFFSET(PLE!$G$14,$M251,CH$13)="",10^12,OFFSET(PLE!$G$14,$M251,CH$13))))</f>
        <v>1000000000000</v>
      </c>
      <c r="CI251" s="216">
        <f ca="1">IF($D251&lt;&gt;"Serviço",0,IF(OR(AND(AUTOEVENTO="Manual",$M251=1),$M251&gt;(ROW(PLE.lastrow)-ROW(PLE.firstrow))),0,IF(OFFSET(PLE!$G$14,$M251,CI$13)="",10^12,OFFSET(PLE!$G$14,$M251,CI$13))))</f>
        <v>1000000000000</v>
      </c>
      <c r="CJ251" s="216">
        <f ca="1">IF($D251&lt;&gt;"Serviço",0,IF(OR(AND(AUTOEVENTO="Manual",$M251=1),$M251&gt;(ROW(PLE.lastrow)-ROW(PLE.firstrow))),0,IF(OFFSET(PLE!$G$14,$M251,CJ$13)="",10^12,OFFSET(PLE!$G$14,$M251,CJ$13))))</f>
        <v>1000000000000</v>
      </c>
      <c r="CK251" s="216">
        <f ca="1">IF($D251&lt;&gt;"Serviço",0,IF(OR(AND(AUTOEVENTO="Manual",$M251=1),$M251&gt;(ROW(PLE.lastrow)-ROW(PLE.firstrow))),0,IF(OFFSET(PLE!$G$14,$M251,CK$13)="",10^12,OFFSET(PLE!$G$14,$M251,CK$13))))</f>
        <v>1000000000000</v>
      </c>
      <c r="CL251" s="216">
        <f ca="1">IF($D251&lt;&gt;"Serviço",0,IF(OR(AND(AUTOEVENTO="Manual",$M251=1),$M251&gt;(ROW(PLE.lastrow)-ROW(PLE.firstrow))),0,IF(OFFSET(PLE!$G$14,$M251,CL$13)="",10^12,OFFSET(PLE!$G$14,$M251,CL$13))))</f>
        <v>1000000000000</v>
      </c>
      <c r="CM251" s="216">
        <f ca="1">IF($D251&lt;&gt;"Serviço",0,IF(OR(AND(AUTOEVENTO="Manual",$M251=1),$M251&gt;(ROW(PLE.lastrow)-ROW(PLE.firstrow))),0,IF(OFFSET(PLE!$G$14,$M251,CM$13)="",10^12,OFFSET(PLE!$G$14,$M251,CM$13))))</f>
        <v>1000000000000</v>
      </c>
    </row>
    <row r="252" spans="1:91" ht="13.2" x14ac:dyDescent="0.25">
      <c r="A252" s="9">
        <f t="shared" ca="1" si="12"/>
        <v>0</v>
      </c>
      <c r="B252" s="9" t="str">
        <f ca="1">OFFSET(ORÇAMENTO!C$15,ROW(B252)-ROW(B$15),0)</f>
        <v>S</v>
      </c>
      <c r="C252" s="9" t="str">
        <f ca="1">OFFSET(ORÇAMENTO!L$15,ROW(C252)-ROW(C$15),0)</f>
        <v/>
      </c>
      <c r="D252" s="145" t="str">
        <f ca="1">OFFSET(ORÇAMENTO!N$15,ROW(D252)-ROW(D$15),0)</f>
        <v>Serviço</v>
      </c>
      <c r="E252" s="205" t="str">
        <f ca="1">OFFSET(ORÇAMENTO!O$15,ROW(E252)-ROW(E$15),0)</f>
        <v>-</v>
      </c>
      <c r="F252" s="206" t="str">
        <f ca="1">OFFSET(ORÇAMENTO!R$15,ROW(F252)-ROW(F$15),0)</f>
        <v>(abra o arquivo 'Referência 05-2024.xls)</v>
      </c>
      <c r="G252" s="207" t="str">
        <f ca="1">IF($D252&lt;&gt;"Serviço","",OFFSET(ORÇAMENTO!S$15,ROW(G252)-ROW(G$15),0))</f>
        <v>-</v>
      </c>
      <c r="H252" s="151">
        <f ca="1">IF($D252&lt;&gt;"Serviço",0,IF(ACOMPANHAMENTO="BM",ROUND(OFFSET(ORÇAMENTO!AJ$15,ROW(H252)-ROW(H$15),0),15-13*ORÇAMENTO!$AF$7),SUMPRODUCT(($Q$12:$AI$12&lt;&gt;"")*ROUND($Q252:$AI252,15-13*ORÇAMENTO!$AF$7))))</f>
        <v>149.4</v>
      </c>
      <c r="I252" s="650"/>
      <c r="K252" s="208"/>
      <c r="L252" s="209" t="s">
        <v>257</v>
      </c>
      <c r="M252" s="210">
        <f ca="1">IF($D252&lt;&gt;"Serviço","",IF(AUTOEVENTO="manual",$A252,IF(ISERROR(MATCH($A252,$A$15:OFFSET($A252,-1,0),0)),MAX($M$15:OFFSET(M252,-1,0))+1,INDEX($M$15:OFFSET(M252,-1,0),MATCH($A252,$A$15:OFFSET($A252,-1,0),0)))))</f>
        <v>0</v>
      </c>
      <c r="N252" s="211" t="str">
        <f ca="1">IF($D252&lt;&gt;"Serviço","",IF(AUTOEVENTO="Manual",IF($A252=0,"&lt;-- defina o número do agrupador",OFFSET(EVENTOS!$D$14,$A252,0)),OFFSET($F$15,$A252,0)))</f>
        <v>&lt;-- defina o número do agrupador</v>
      </c>
      <c r="O252" s="212"/>
      <c r="Q252" s="212"/>
      <c r="R252" s="213"/>
      <c r="S252" s="213"/>
      <c r="T252" s="213"/>
      <c r="U252" s="213"/>
      <c r="V252" s="213"/>
      <c r="W252" s="213"/>
      <c r="X252" s="213"/>
      <c r="Y252" s="213"/>
      <c r="Z252" s="214"/>
      <c r="AA252" s="213"/>
      <c r="AB252" s="213"/>
      <c r="AC252" s="213"/>
      <c r="AD252" s="213"/>
      <c r="AE252" s="213"/>
      <c r="AF252" s="213"/>
      <c r="AG252" s="213"/>
      <c r="AH252" s="214"/>
      <c r="AJ252" s="631">
        <f ca="1">IF(AND($D252="Serviço",AJ$12&lt;&gt;0,$H252&gt;0,OR(AUTOEVENTO&lt;&gt;"manual",$M252&lt;&gt;1)),ROUND(OFFSET($P252,0,AJ$13),15-13*ORÇAMENTO!$AF$7)/$H252*OFFSET(ORÇAMENTO!$X$15,ROW(AJ252)-ROW(AJ$15),0),0)</f>
        <v>0</v>
      </c>
      <c r="AK252" s="632">
        <f ca="1">IF(AND($D252="Serviço",AK$12&lt;&gt;0,$H252&gt;0,OR(AUTOEVENTO&lt;&gt;"manual",$M252&lt;&gt;1)),ROUND(OFFSET($P252,0,AK$13),15-13*ORÇAMENTO!$AF$7)/$H252*OFFSET(ORÇAMENTO!$X$15,ROW(AK252)-ROW(AK$15),0),0)</f>
        <v>0</v>
      </c>
      <c r="AL252" s="632">
        <f ca="1">IF(AND($D252="Serviço",AL$12&lt;&gt;0,$H252&gt;0,OR(AUTOEVENTO&lt;&gt;"manual",$M252&lt;&gt;1)),ROUND(OFFSET($P252,0,AL$13),15-13*ORÇAMENTO!$AF$7)/$H252*OFFSET(ORÇAMENTO!$X$15,ROW(AL252)-ROW(AL$15),0),0)</f>
        <v>0</v>
      </c>
      <c r="AM252" s="632">
        <f ca="1">IF(AND($D252="Serviço",AM$12&lt;&gt;0,$H252&gt;0,OR(AUTOEVENTO&lt;&gt;"manual",$M252&lt;&gt;1)),ROUND(OFFSET($P252,0,AM$13),15-13*ORÇAMENTO!$AF$7)/$H252*OFFSET(ORÇAMENTO!$X$15,ROW(AM252)-ROW(AM$15),0),0)</f>
        <v>0</v>
      </c>
      <c r="AN252" s="632">
        <f ca="1">IF(AND($D252="Serviço",AN$12&lt;&gt;0,$H252&gt;0,OR(AUTOEVENTO&lt;&gt;"manual",$M252&lt;&gt;1)),ROUND(OFFSET($P252,0,AN$13),15-13*ORÇAMENTO!$AF$7)/$H252*OFFSET(ORÇAMENTO!$X$15,ROW(AN252)-ROW(AN$15),0),0)</f>
        <v>0</v>
      </c>
      <c r="AO252" s="632">
        <f ca="1">IF(AND($D252="Serviço",AO$12&lt;&gt;0,$H252&gt;0,OR(AUTOEVENTO&lt;&gt;"manual",$M252&lt;&gt;1)),ROUND(OFFSET($P252,0,AO$13),15-13*ORÇAMENTO!$AF$7)/$H252*OFFSET(ORÇAMENTO!$X$15,ROW(AO252)-ROW(AO$15),0),0)</f>
        <v>0</v>
      </c>
      <c r="AP252" s="632">
        <f ca="1">IF(AND($D252="Serviço",AP$12&lt;&gt;0,$H252&gt;0,OR(AUTOEVENTO&lt;&gt;"manual",$M252&lt;&gt;1)),ROUND(OFFSET($P252,0,AP$13),15-13*ORÇAMENTO!$AF$7)/$H252*OFFSET(ORÇAMENTO!$X$15,ROW(AP252)-ROW(AP$15),0),0)</f>
        <v>0</v>
      </c>
      <c r="AQ252" s="632">
        <f ca="1">IF(AND($D252="Serviço",AQ$12&lt;&gt;0,$H252&gt;0,OR(AUTOEVENTO&lt;&gt;"manual",$M252&lt;&gt;1)),ROUND(OFFSET($P252,0,AQ$13),15-13*ORÇAMENTO!$AF$7)/$H252*OFFSET(ORÇAMENTO!$X$15,ROW(AQ252)-ROW(AQ$15),0),0)</f>
        <v>0</v>
      </c>
      <c r="AR252" s="632">
        <f ca="1">IF(AND($D252="Serviço",AR$12&lt;&gt;0,$H252&gt;0,OR(AUTOEVENTO&lt;&gt;"manual",$M252&lt;&gt;1)),ROUND(OFFSET($P252,0,AR$13),15-13*ORÇAMENTO!$AF$7)/$H252*OFFSET(ORÇAMENTO!$X$15,ROW(AR252)-ROW(AR$15),0),0)</f>
        <v>0</v>
      </c>
      <c r="AS252" s="633">
        <f ca="1">IF(AND($D252="Serviço",AS$12&lt;&gt;0,$H252&gt;0,OR(AUTOEVENTO&lt;&gt;"manual",$M252&lt;&gt;1)),ROUND(OFFSET($P252,0,AS$13),15-13*ORÇAMENTO!$AF$7)/$H252*OFFSET(ORÇAMENTO!$X$15,ROW(AS252)-ROW(AS$15),0),0)</f>
        <v>0</v>
      </c>
      <c r="AT252" s="632">
        <f ca="1">IF(AND($D252="Serviço",AT$12&lt;&gt;0,$H252&gt;0,OR(AUTOEVENTO&lt;&gt;"manual",$M252&lt;&gt;1)),ROUND(OFFSET($P252,0,AT$13),15-13*ORÇAMENTO!$AF$7)/$H252*OFFSET(ORÇAMENTO!$X$15,ROW(AT252)-ROW(AT$15),0),0)</f>
        <v>0</v>
      </c>
      <c r="AU252" s="632">
        <f ca="1">IF(AND($D252="Serviço",AU$12&lt;&gt;0,$H252&gt;0,OR(AUTOEVENTO&lt;&gt;"manual",$M252&lt;&gt;1)),ROUND(OFFSET($P252,0,AU$13),15-13*ORÇAMENTO!$AF$7)/$H252*OFFSET(ORÇAMENTO!$X$15,ROW(AU252)-ROW(AU$15),0),0)</f>
        <v>0</v>
      </c>
      <c r="AV252" s="632">
        <f ca="1">IF(AND($D252="Serviço",AV$12&lt;&gt;0,$H252&gt;0,OR(AUTOEVENTO&lt;&gt;"manual",$M252&lt;&gt;1)),ROUND(OFFSET($P252,0,AV$13),15-13*ORÇAMENTO!$AF$7)/$H252*OFFSET(ORÇAMENTO!$X$15,ROW(AV252)-ROW(AV$15),0),0)</f>
        <v>0</v>
      </c>
      <c r="AW252" s="632">
        <f ca="1">IF(AND($D252="Serviço",AW$12&lt;&gt;0,$H252&gt;0,OR(AUTOEVENTO&lt;&gt;"manual",$M252&lt;&gt;1)),ROUND(OFFSET($P252,0,AW$13),15-13*ORÇAMENTO!$AF$7)/$H252*OFFSET(ORÇAMENTO!$X$15,ROW(AW252)-ROW(AW$15),0),0)</f>
        <v>0</v>
      </c>
      <c r="AX252" s="632">
        <f ca="1">IF(AND($D252="Serviço",AX$12&lt;&gt;0,$H252&gt;0,OR(AUTOEVENTO&lt;&gt;"manual",$M252&lt;&gt;1)),ROUND(OFFSET($P252,0,AX$13),15-13*ORÇAMENTO!$AF$7)/$H252*OFFSET(ORÇAMENTO!$X$15,ROW(AX252)-ROW(AX$15),0),0)</f>
        <v>0</v>
      </c>
      <c r="AY252" s="632">
        <f ca="1">IF(AND($D252="Serviço",AY$12&lt;&gt;0,$H252&gt;0,OR(AUTOEVENTO&lt;&gt;"manual",$M252&lt;&gt;1)),ROUND(OFFSET($P252,0,AY$13),15-13*ORÇAMENTO!$AF$7)/$H252*OFFSET(ORÇAMENTO!$X$15,ROW(AY252)-ROW(AY$15),0),0)</f>
        <v>0</v>
      </c>
      <c r="AZ252" s="632">
        <f ca="1">IF(AND($D252="Serviço",AZ$12&lt;&gt;0,$H252&gt;0,OR(AUTOEVENTO&lt;&gt;"manual",$M252&lt;&gt;1)),ROUND(OFFSET($P252,0,AZ$13),15-13*ORÇAMENTO!$AF$7)/$H252*OFFSET(ORÇAMENTO!$X$15,ROW(AZ252)-ROW(AZ$15),0),0)</f>
        <v>0</v>
      </c>
      <c r="BA252" s="633">
        <f ca="1">IF(AND($D252="Serviço",BA$12&lt;&gt;0,$H252&gt;0,OR(AUTOEVENTO&lt;&gt;"manual",$M252&lt;&gt;1)),ROUND(OFFSET($P252,0,BA$13),15-13*ORÇAMENTO!$AF$7)/$H252*OFFSET(ORÇAMENTO!$X$15,ROW(BA252)-ROW(BA$15),0),0)</f>
        <v>0</v>
      </c>
      <c r="BC252" s="215">
        <f ca="1">IF($D252&lt;&gt;"Serviço",0,IF(AND(AUTOEVENTO="Manual",$M252=1),0,IF(OFFSET(CRONOPLE!$F$14,$M252,BC$13)="",10^12,OFFSET(CRONOPLE!$F$14,$M252,BC$13))))</f>
        <v>1000000000000</v>
      </c>
      <c r="BD252" s="215">
        <f ca="1">IF($D252&lt;&gt;"Serviço",0,IF(AND(AUTOEVENTO="Manual",$M252=1),0,IF(OFFSET(CRONOPLE!$F$14,$M252,BD$13)="",10^12,OFFSET(CRONOPLE!$F$14,$M252,BD$13))))</f>
        <v>1000000000000</v>
      </c>
      <c r="BE252" s="215">
        <f ca="1">IF($D252&lt;&gt;"Serviço",0,IF(AND(AUTOEVENTO="Manual",$M252=1),0,IF(OFFSET(CRONOPLE!$F$14,$M252,BE$13)="",10^12,OFFSET(CRONOPLE!$F$14,$M252,BE$13))))</f>
        <v>1000000000000</v>
      </c>
      <c r="BF252" s="215">
        <f ca="1">IF($D252&lt;&gt;"Serviço",0,IF(AND(AUTOEVENTO="Manual",$M252=1),0,IF(OFFSET(CRONOPLE!$F$14,$M252,BF$13)="",10^12,OFFSET(CRONOPLE!$F$14,$M252,BF$13))))</f>
        <v>1000000000000</v>
      </c>
      <c r="BG252" s="215">
        <f ca="1">IF($D252&lt;&gt;"Serviço",0,IF(AND(AUTOEVENTO="Manual",$M252=1),0,IF(OFFSET(CRONOPLE!$F$14,$M252,BG$13)="",10^12,OFFSET(CRONOPLE!$F$14,$M252,BG$13))))</f>
        <v>1000000000000</v>
      </c>
      <c r="BH252" s="215">
        <f ca="1">IF($D252&lt;&gt;"Serviço",0,IF(AND(AUTOEVENTO="Manual",$M252=1),0,IF(OFFSET(CRONOPLE!$F$14,$M252,BH$13)="",10^12,OFFSET(CRONOPLE!$F$14,$M252,BH$13))))</f>
        <v>1000000000000</v>
      </c>
      <c r="BI252" s="215">
        <f ca="1">IF($D252&lt;&gt;"Serviço",0,IF(AND(AUTOEVENTO="Manual",$M252=1),0,IF(OFFSET(CRONOPLE!$F$14,$M252,BI$13)="",10^12,OFFSET(CRONOPLE!$F$14,$M252,BI$13))))</f>
        <v>1000000000000</v>
      </c>
      <c r="BJ252" s="215">
        <f ca="1">IF($D252&lt;&gt;"Serviço",0,IF(AND(AUTOEVENTO="Manual",$M252=1),0,IF(OFFSET(CRONOPLE!$F$14,$M252,BJ$13)="",10^12,OFFSET(CRONOPLE!$F$14,$M252,BJ$13))))</f>
        <v>1000000000000</v>
      </c>
      <c r="BK252" s="215">
        <f ca="1">IF($D252&lt;&gt;"Serviço",0,IF(AND(AUTOEVENTO="Manual",$M252=1),0,IF(OFFSET(CRONOPLE!$F$14,$M252,BK$13)="",10^12,OFFSET(CRONOPLE!$F$14,$M252,BK$13))))</f>
        <v>1000000000000</v>
      </c>
      <c r="BL252" s="215">
        <f ca="1">IF($D252&lt;&gt;"Serviço",0,IF(AND(AUTOEVENTO="Manual",$M252=1),0,IF(OFFSET(CRONOPLE!$F$14,$M252,BL$13)="",10^12,OFFSET(CRONOPLE!$F$14,$M252,BL$13))))</f>
        <v>1000000000000</v>
      </c>
      <c r="BM252" s="215">
        <f ca="1">IF($D252&lt;&gt;"Serviço",0,IF(AND(AUTOEVENTO="Manual",$M252=1),0,IF(OFFSET(CRONOPLE!$F$14,$M252,BM$13)="",10^12,OFFSET(CRONOPLE!$F$14,$M252,BM$13))))</f>
        <v>1000000000000</v>
      </c>
      <c r="BN252" s="215">
        <f ca="1">IF($D252&lt;&gt;"Serviço",0,IF(AND(AUTOEVENTO="Manual",$M252=1),0,IF(OFFSET(CRONOPLE!$F$14,$M252,BN$13)="",10^12,OFFSET(CRONOPLE!$F$14,$M252,BN$13))))</f>
        <v>1000000000000</v>
      </c>
      <c r="BO252" s="215">
        <f ca="1">IF($D252&lt;&gt;"Serviço",0,IF(AND(AUTOEVENTO="Manual",$M252=1),0,IF(OFFSET(CRONOPLE!$F$14,$M252,BO$13)="",10^12,OFFSET(CRONOPLE!$F$14,$M252,BO$13))))</f>
        <v>1000000000000</v>
      </c>
      <c r="BP252" s="215">
        <f ca="1">IF($D252&lt;&gt;"Serviço",0,IF(AND(AUTOEVENTO="Manual",$M252=1),0,IF(OFFSET(CRONOPLE!$F$14,$M252,BP$13)="",10^12,OFFSET(CRONOPLE!$F$14,$M252,BP$13))))</f>
        <v>1000000000000</v>
      </c>
      <c r="BQ252" s="215">
        <f ca="1">IF($D252&lt;&gt;"Serviço",0,IF(AND(AUTOEVENTO="Manual",$M252=1),0,IF(OFFSET(CRONOPLE!$F$14,$M252,BQ$13)="",10^12,OFFSET(CRONOPLE!$F$14,$M252,BQ$13))))</f>
        <v>1000000000000</v>
      </c>
      <c r="BR252" s="215">
        <f ca="1">IF($D252&lt;&gt;"Serviço",0,IF(AND(AUTOEVENTO="Manual",$M252=1),0,IF(OFFSET(CRONOPLE!$F$14,$M252,BR$13)="",10^12,OFFSET(CRONOPLE!$F$14,$M252,BR$13))))</f>
        <v>1000000000000</v>
      </c>
      <c r="BS252" s="215">
        <f ca="1">IF($D252&lt;&gt;"Serviço",0,IF(AND(AUTOEVENTO="Manual",$M252=1),0,IF(OFFSET(CRONOPLE!$F$14,$M252,BS$13)="",10^12,OFFSET(CRONOPLE!$F$14,$M252,BS$13))))</f>
        <v>1000000000000</v>
      </c>
      <c r="BT252" s="215">
        <f ca="1">IF($D252&lt;&gt;"Serviço",0,IF(AND(AUTOEVENTO="Manual",$M252=1),0,IF(OFFSET(CRONOPLE!$F$14,$M252,BT$13)="",10^12,OFFSET(CRONOPLE!$F$14,$M252,BT$13))))</f>
        <v>1000000000000</v>
      </c>
      <c r="BV252" s="216">
        <f ca="1">IF($D252&lt;&gt;"Serviço",0,IF(OR(AND(AUTOEVENTO="Manual",$M252=1),$M252&gt;(ROW(PLE.lastrow)-ROW(PLE.firstrow))),0,IF(OFFSET(PLE!$G$14,$M252,BV$13)="",10^12,OFFSET(PLE!$G$14,$M252,BV$13))))</f>
        <v>1000000000000</v>
      </c>
      <c r="BW252" s="216">
        <f ca="1">IF($D252&lt;&gt;"Serviço",0,IF(OR(AND(AUTOEVENTO="Manual",$M252=1),$M252&gt;(ROW(PLE.lastrow)-ROW(PLE.firstrow))),0,IF(OFFSET(PLE!$G$14,$M252,BW$13)="",10^12,OFFSET(PLE!$G$14,$M252,BW$13))))</f>
        <v>1000000000000</v>
      </c>
      <c r="BX252" s="216">
        <f ca="1">IF($D252&lt;&gt;"Serviço",0,IF(OR(AND(AUTOEVENTO="Manual",$M252=1),$M252&gt;(ROW(PLE.lastrow)-ROW(PLE.firstrow))),0,IF(OFFSET(PLE!$G$14,$M252,BX$13)="",10^12,OFFSET(PLE!$G$14,$M252,BX$13))))</f>
        <v>1000000000000</v>
      </c>
      <c r="BY252" s="216">
        <f ca="1">IF($D252&lt;&gt;"Serviço",0,IF(OR(AND(AUTOEVENTO="Manual",$M252=1),$M252&gt;(ROW(PLE.lastrow)-ROW(PLE.firstrow))),0,IF(OFFSET(PLE!$G$14,$M252,BY$13)="",10^12,OFFSET(PLE!$G$14,$M252,BY$13))))</f>
        <v>1000000000000</v>
      </c>
      <c r="BZ252" s="216">
        <f ca="1">IF($D252&lt;&gt;"Serviço",0,IF(OR(AND(AUTOEVENTO="Manual",$M252=1),$M252&gt;(ROW(PLE.lastrow)-ROW(PLE.firstrow))),0,IF(OFFSET(PLE!$G$14,$M252,BZ$13)="",10^12,OFFSET(PLE!$G$14,$M252,BZ$13))))</f>
        <v>1000000000000</v>
      </c>
      <c r="CA252" s="216">
        <f ca="1">IF($D252&lt;&gt;"Serviço",0,IF(OR(AND(AUTOEVENTO="Manual",$M252=1),$M252&gt;(ROW(PLE.lastrow)-ROW(PLE.firstrow))),0,IF(OFFSET(PLE!$G$14,$M252,CA$13)="",10^12,OFFSET(PLE!$G$14,$M252,CA$13))))</f>
        <v>1000000000000</v>
      </c>
      <c r="CB252" s="216">
        <f ca="1">IF($D252&lt;&gt;"Serviço",0,IF(OR(AND(AUTOEVENTO="Manual",$M252=1),$M252&gt;(ROW(PLE.lastrow)-ROW(PLE.firstrow))),0,IF(OFFSET(PLE!$G$14,$M252,CB$13)="",10^12,OFFSET(PLE!$G$14,$M252,CB$13))))</f>
        <v>1000000000000</v>
      </c>
      <c r="CC252" s="216">
        <f ca="1">IF($D252&lt;&gt;"Serviço",0,IF(OR(AND(AUTOEVENTO="Manual",$M252=1),$M252&gt;(ROW(PLE.lastrow)-ROW(PLE.firstrow))),0,IF(OFFSET(PLE!$G$14,$M252,CC$13)="",10^12,OFFSET(PLE!$G$14,$M252,CC$13))))</f>
        <v>1000000000000</v>
      </c>
      <c r="CD252" s="216">
        <f ca="1">IF($D252&lt;&gt;"Serviço",0,IF(OR(AND(AUTOEVENTO="Manual",$M252=1),$M252&gt;(ROW(PLE.lastrow)-ROW(PLE.firstrow))),0,IF(OFFSET(PLE!$G$14,$M252,CD$13)="",10^12,OFFSET(PLE!$G$14,$M252,CD$13))))</f>
        <v>1000000000000</v>
      </c>
      <c r="CE252" s="216">
        <f ca="1">IF($D252&lt;&gt;"Serviço",0,IF(OR(AND(AUTOEVENTO="Manual",$M252=1),$M252&gt;(ROW(PLE.lastrow)-ROW(PLE.firstrow))),0,IF(OFFSET(PLE!$G$14,$M252,CE$13)="",10^12,OFFSET(PLE!$G$14,$M252,CE$13))))</f>
        <v>1000000000000</v>
      </c>
      <c r="CF252" s="216">
        <f ca="1">IF($D252&lt;&gt;"Serviço",0,IF(OR(AND(AUTOEVENTO="Manual",$M252=1),$M252&gt;(ROW(PLE.lastrow)-ROW(PLE.firstrow))),0,IF(OFFSET(PLE!$G$14,$M252,CF$13)="",10^12,OFFSET(PLE!$G$14,$M252,CF$13))))</f>
        <v>1000000000000</v>
      </c>
      <c r="CG252" s="216">
        <f ca="1">IF($D252&lt;&gt;"Serviço",0,IF(OR(AND(AUTOEVENTO="Manual",$M252=1),$M252&gt;(ROW(PLE.lastrow)-ROW(PLE.firstrow))),0,IF(OFFSET(PLE!$G$14,$M252,CG$13)="",10^12,OFFSET(PLE!$G$14,$M252,CG$13))))</f>
        <v>1000000000000</v>
      </c>
      <c r="CH252" s="216">
        <f ca="1">IF($D252&lt;&gt;"Serviço",0,IF(OR(AND(AUTOEVENTO="Manual",$M252=1),$M252&gt;(ROW(PLE.lastrow)-ROW(PLE.firstrow))),0,IF(OFFSET(PLE!$G$14,$M252,CH$13)="",10^12,OFFSET(PLE!$G$14,$M252,CH$13))))</f>
        <v>1000000000000</v>
      </c>
      <c r="CI252" s="216">
        <f ca="1">IF($D252&lt;&gt;"Serviço",0,IF(OR(AND(AUTOEVENTO="Manual",$M252=1),$M252&gt;(ROW(PLE.lastrow)-ROW(PLE.firstrow))),0,IF(OFFSET(PLE!$G$14,$M252,CI$13)="",10^12,OFFSET(PLE!$G$14,$M252,CI$13))))</f>
        <v>1000000000000</v>
      </c>
      <c r="CJ252" s="216">
        <f ca="1">IF($D252&lt;&gt;"Serviço",0,IF(OR(AND(AUTOEVENTO="Manual",$M252=1),$M252&gt;(ROW(PLE.lastrow)-ROW(PLE.firstrow))),0,IF(OFFSET(PLE!$G$14,$M252,CJ$13)="",10^12,OFFSET(PLE!$G$14,$M252,CJ$13))))</f>
        <v>1000000000000</v>
      </c>
      <c r="CK252" s="216">
        <f ca="1">IF($D252&lt;&gt;"Serviço",0,IF(OR(AND(AUTOEVENTO="Manual",$M252=1),$M252&gt;(ROW(PLE.lastrow)-ROW(PLE.firstrow))),0,IF(OFFSET(PLE!$G$14,$M252,CK$13)="",10^12,OFFSET(PLE!$G$14,$M252,CK$13))))</f>
        <v>1000000000000</v>
      </c>
      <c r="CL252" s="216">
        <f ca="1">IF($D252&lt;&gt;"Serviço",0,IF(OR(AND(AUTOEVENTO="Manual",$M252=1),$M252&gt;(ROW(PLE.lastrow)-ROW(PLE.firstrow))),0,IF(OFFSET(PLE!$G$14,$M252,CL$13)="",10^12,OFFSET(PLE!$G$14,$M252,CL$13))))</f>
        <v>1000000000000</v>
      </c>
      <c r="CM252" s="216">
        <f ca="1">IF($D252&lt;&gt;"Serviço",0,IF(OR(AND(AUTOEVENTO="Manual",$M252=1),$M252&gt;(ROW(PLE.lastrow)-ROW(PLE.firstrow))),0,IF(OFFSET(PLE!$G$14,$M252,CM$13)="",10^12,OFFSET(PLE!$G$14,$M252,CM$13))))</f>
        <v>1000000000000</v>
      </c>
    </row>
    <row r="253" spans="1:91" ht="13.2" x14ac:dyDescent="0.25">
      <c r="A253" s="9">
        <f t="shared" ca="1" si="12"/>
        <v>0</v>
      </c>
      <c r="B253" s="9" t="str">
        <f ca="1">OFFSET(ORÇAMENTO!C$15,ROW(B253)-ROW(B$15),0)</f>
        <v>S</v>
      </c>
      <c r="C253" s="9" t="str">
        <f ca="1">OFFSET(ORÇAMENTO!L$15,ROW(C253)-ROW(C$15),0)</f>
        <v/>
      </c>
      <c r="D253" s="145" t="str">
        <f ca="1">OFFSET(ORÇAMENTO!N$15,ROW(D253)-ROW(D$15),0)</f>
        <v>Serviço</v>
      </c>
      <c r="E253" s="205" t="str">
        <f ca="1">OFFSET(ORÇAMENTO!O$15,ROW(E253)-ROW(E$15),0)</f>
        <v>-</v>
      </c>
      <c r="F253" s="206" t="str">
        <f ca="1">OFFSET(ORÇAMENTO!R$15,ROW(F253)-ROW(F$15),0)</f>
        <v>(abra o arquivo 'Referência 05-2024.xls)</v>
      </c>
      <c r="G253" s="207" t="str">
        <f ca="1">IF($D253&lt;&gt;"Serviço","",OFFSET(ORÇAMENTO!S$15,ROW(G253)-ROW(G$15),0))</f>
        <v>-</v>
      </c>
      <c r="H253" s="151">
        <f ca="1">IF($D253&lt;&gt;"Serviço",0,IF(ACOMPANHAMENTO="BM",ROUND(OFFSET(ORÇAMENTO!AJ$15,ROW(H253)-ROW(H$15),0),15-13*ORÇAMENTO!$AF$7),SUMPRODUCT(($Q$12:$AI$12&lt;&gt;"")*ROUND($Q253:$AI253,15-13*ORÇAMENTO!$AF$7))))</f>
        <v>338.11</v>
      </c>
      <c r="I253" s="650"/>
      <c r="K253" s="208"/>
      <c r="L253" s="209" t="s">
        <v>257</v>
      </c>
      <c r="M253" s="210">
        <f ca="1">IF($D253&lt;&gt;"Serviço","",IF(AUTOEVENTO="manual",$A253,IF(ISERROR(MATCH($A253,$A$15:OFFSET($A253,-1,0),0)),MAX($M$15:OFFSET(M253,-1,0))+1,INDEX($M$15:OFFSET(M253,-1,0),MATCH($A253,$A$15:OFFSET($A253,-1,0),0)))))</f>
        <v>0</v>
      </c>
      <c r="N253" s="211" t="str">
        <f ca="1">IF($D253&lt;&gt;"Serviço","",IF(AUTOEVENTO="Manual",IF($A253=0,"&lt;-- defina o número do agrupador",OFFSET(EVENTOS!$D$14,$A253,0)),OFFSET($F$15,$A253,0)))</f>
        <v>&lt;-- defina o número do agrupador</v>
      </c>
      <c r="O253" s="212"/>
      <c r="Q253" s="212"/>
      <c r="R253" s="213"/>
      <c r="S253" s="213"/>
      <c r="T253" s="213"/>
      <c r="U253" s="213"/>
      <c r="V253" s="213"/>
      <c r="W253" s="213"/>
      <c r="X253" s="213"/>
      <c r="Y253" s="213"/>
      <c r="Z253" s="214"/>
      <c r="AA253" s="213"/>
      <c r="AB253" s="213"/>
      <c r="AC253" s="213"/>
      <c r="AD253" s="213"/>
      <c r="AE253" s="213"/>
      <c r="AF253" s="213"/>
      <c r="AG253" s="213"/>
      <c r="AH253" s="214"/>
      <c r="AJ253" s="631">
        <f ca="1">IF(AND($D253="Serviço",AJ$12&lt;&gt;0,$H253&gt;0,OR(AUTOEVENTO&lt;&gt;"manual",$M253&lt;&gt;1)),ROUND(OFFSET($P253,0,AJ$13),15-13*ORÇAMENTO!$AF$7)/$H253*OFFSET(ORÇAMENTO!$X$15,ROW(AJ253)-ROW(AJ$15),0),0)</f>
        <v>0</v>
      </c>
      <c r="AK253" s="632">
        <f ca="1">IF(AND($D253="Serviço",AK$12&lt;&gt;0,$H253&gt;0,OR(AUTOEVENTO&lt;&gt;"manual",$M253&lt;&gt;1)),ROUND(OFFSET($P253,0,AK$13),15-13*ORÇAMENTO!$AF$7)/$H253*OFFSET(ORÇAMENTO!$X$15,ROW(AK253)-ROW(AK$15),0),0)</f>
        <v>0</v>
      </c>
      <c r="AL253" s="632">
        <f ca="1">IF(AND($D253="Serviço",AL$12&lt;&gt;0,$H253&gt;0,OR(AUTOEVENTO&lt;&gt;"manual",$M253&lt;&gt;1)),ROUND(OFFSET($P253,0,AL$13),15-13*ORÇAMENTO!$AF$7)/$H253*OFFSET(ORÇAMENTO!$X$15,ROW(AL253)-ROW(AL$15),0),0)</f>
        <v>0</v>
      </c>
      <c r="AM253" s="632">
        <f ca="1">IF(AND($D253="Serviço",AM$12&lt;&gt;0,$H253&gt;0,OR(AUTOEVENTO&lt;&gt;"manual",$M253&lt;&gt;1)),ROUND(OFFSET($P253,0,AM$13),15-13*ORÇAMENTO!$AF$7)/$H253*OFFSET(ORÇAMENTO!$X$15,ROW(AM253)-ROW(AM$15),0),0)</f>
        <v>0</v>
      </c>
      <c r="AN253" s="632">
        <f ca="1">IF(AND($D253="Serviço",AN$12&lt;&gt;0,$H253&gt;0,OR(AUTOEVENTO&lt;&gt;"manual",$M253&lt;&gt;1)),ROUND(OFFSET($P253,0,AN$13),15-13*ORÇAMENTO!$AF$7)/$H253*OFFSET(ORÇAMENTO!$X$15,ROW(AN253)-ROW(AN$15),0),0)</f>
        <v>0</v>
      </c>
      <c r="AO253" s="632">
        <f ca="1">IF(AND($D253="Serviço",AO$12&lt;&gt;0,$H253&gt;0,OR(AUTOEVENTO&lt;&gt;"manual",$M253&lt;&gt;1)),ROUND(OFFSET($P253,0,AO$13),15-13*ORÇAMENTO!$AF$7)/$H253*OFFSET(ORÇAMENTO!$X$15,ROW(AO253)-ROW(AO$15),0),0)</f>
        <v>0</v>
      </c>
      <c r="AP253" s="632">
        <f ca="1">IF(AND($D253="Serviço",AP$12&lt;&gt;0,$H253&gt;0,OR(AUTOEVENTO&lt;&gt;"manual",$M253&lt;&gt;1)),ROUND(OFFSET($P253,0,AP$13),15-13*ORÇAMENTO!$AF$7)/$H253*OFFSET(ORÇAMENTO!$X$15,ROW(AP253)-ROW(AP$15),0),0)</f>
        <v>0</v>
      </c>
      <c r="AQ253" s="632">
        <f ca="1">IF(AND($D253="Serviço",AQ$12&lt;&gt;0,$H253&gt;0,OR(AUTOEVENTO&lt;&gt;"manual",$M253&lt;&gt;1)),ROUND(OFFSET($P253,0,AQ$13),15-13*ORÇAMENTO!$AF$7)/$H253*OFFSET(ORÇAMENTO!$X$15,ROW(AQ253)-ROW(AQ$15),0),0)</f>
        <v>0</v>
      </c>
      <c r="AR253" s="632">
        <f ca="1">IF(AND($D253="Serviço",AR$12&lt;&gt;0,$H253&gt;0,OR(AUTOEVENTO&lt;&gt;"manual",$M253&lt;&gt;1)),ROUND(OFFSET($P253,0,AR$13),15-13*ORÇAMENTO!$AF$7)/$H253*OFFSET(ORÇAMENTO!$X$15,ROW(AR253)-ROW(AR$15),0),0)</f>
        <v>0</v>
      </c>
      <c r="AS253" s="633">
        <f ca="1">IF(AND($D253="Serviço",AS$12&lt;&gt;0,$H253&gt;0,OR(AUTOEVENTO&lt;&gt;"manual",$M253&lt;&gt;1)),ROUND(OFFSET($P253,0,AS$13),15-13*ORÇAMENTO!$AF$7)/$H253*OFFSET(ORÇAMENTO!$X$15,ROW(AS253)-ROW(AS$15),0),0)</f>
        <v>0</v>
      </c>
      <c r="AT253" s="632">
        <f ca="1">IF(AND($D253="Serviço",AT$12&lt;&gt;0,$H253&gt;0,OR(AUTOEVENTO&lt;&gt;"manual",$M253&lt;&gt;1)),ROUND(OFFSET($P253,0,AT$13),15-13*ORÇAMENTO!$AF$7)/$H253*OFFSET(ORÇAMENTO!$X$15,ROW(AT253)-ROW(AT$15),0),0)</f>
        <v>0</v>
      </c>
      <c r="AU253" s="632">
        <f ca="1">IF(AND($D253="Serviço",AU$12&lt;&gt;0,$H253&gt;0,OR(AUTOEVENTO&lt;&gt;"manual",$M253&lt;&gt;1)),ROUND(OFFSET($P253,0,AU$13),15-13*ORÇAMENTO!$AF$7)/$H253*OFFSET(ORÇAMENTO!$X$15,ROW(AU253)-ROW(AU$15),0),0)</f>
        <v>0</v>
      </c>
      <c r="AV253" s="632">
        <f ca="1">IF(AND($D253="Serviço",AV$12&lt;&gt;0,$H253&gt;0,OR(AUTOEVENTO&lt;&gt;"manual",$M253&lt;&gt;1)),ROUND(OFFSET($P253,0,AV$13),15-13*ORÇAMENTO!$AF$7)/$H253*OFFSET(ORÇAMENTO!$X$15,ROW(AV253)-ROW(AV$15),0),0)</f>
        <v>0</v>
      </c>
      <c r="AW253" s="632">
        <f ca="1">IF(AND($D253="Serviço",AW$12&lt;&gt;0,$H253&gt;0,OR(AUTOEVENTO&lt;&gt;"manual",$M253&lt;&gt;1)),ROUND(OFFSET($P253,0,AW$13),15-13*ORÇAMENTO!$AF$7)/$H253*OFFSET(ORÇAMENTO!$X$15,ROW(AW253)-ROW(AW$15),0),0)</f>
        <v>0</v>
      </c>
      <c r="AX253" s="632">
        <f ca="1">IF(AND($D253="Serviço",AX$12&lt;&gt;0,$H253&gt;0,OR(AUTOEVENTO&lt;&gt;"manual",$M253&lt;&gt;1)),ROUND(OFFSET($P253,0,AX$13),15-13*ORÇAMENTO!$AF$7)/$H253*OFFSET(ORÇAMENTO!$X$15,ROW(AX253)-ROW(AX$15),0),0)</f>
        <v>0</v>
      </c>
      <c r="AY253" s="632">
        <f ca="1">IF(AND($D253="Serviço",AY$12&lt;&gt;0,$H253&gt;0,OR(AUTOEVENTO&lt;&gt;"manual",$M253&lt;&gt;1)),ROUND(OFFSET($P253,0,AY$13),15-13*ORÇAMENTO!$AF$7)/$H253*OFFSET(ORÇAMENTO!$X$15,ROW(AY253)-ROW(AY$15),0),0)</f>
        <v>0</v>
      </c>
      <c r="AZ253" s="632">
        <f ca="1">IF(AND($D253="Serviço",AZ$12&lt;&gt;0,$H253&gt;0,OR(AUTOEVENTO&lt;&gt;"manual",$M253&lt;&gt;1)),ROUND(OFFSET($P253,0,AZ$13),15-13*ORÇAMENTO!$AF$7)/$H253*OFFSET(ORÇAMENTO!$X$15,ROW(AZ253)-ROW(AZ$15),0),0)</f>
        <v>0</v>
      </c>
      <c r="BA253" s="633">
        <f ca="1">IF(AND($D253="Serviço",BA$12&lt;&gt;0,$H253&gt;0,OR(AUTOEVENTO&lt;&gt;"manual",$M253&lt;&gt;1)),ROUND(OFFSET($P253,0,BA$13),15-13*ORÇAMENTO!$AF$7)/$H253*OFFSET(ORÇAMENTO!$X$15,ROW(BA253)-ROW(BA$15),0),0)</f>
        <v>0</v>
      </c>
      <c r="BC253" s="215">
        <f ca="1">IF($D253&lt;&gt;"Serviço",0,IF(AND(AUTOEVENTO="Manual",$M253=1),0,IF(OFFSET(CRONOPLE!$F$14,$M253,BC$13)="",10^12,OFFSET(CRONOPLE!$F$14,$M253,BC$13))))</f>
        <v>1000000000000</v>
      </c>
      <c r="BD253" s="215">
        <f ca="1">IF($D253&lt;&gt;"Serviço",0,IF(AND(AUTOEVENTO="Manual",$M253=1),0,IF(OFFSET(CRONOPLE!$F$14,$M253,BD$13)="",10^12,OFFSET(CRONOPLE!$F$14,$M253,BD$13))))</f>
        <v>1000000000000</v>
      </c>
      <c r="BE253" s="215">
        <f ca="1">IF($D253&lt;&gt;"Serviço",0,IF(AND(AUTOEVENTO="Manual",$M253=1),0,IF(OFFSET(CRONOPLE!$F$14,$M253,BE$13)="",10^12,OFFSET(CRONOPLE!$F$14,$M253,BE$13))))</f>
        <v>1000000000000</v>
      </c>
      <c r="BF253" s="215">
        <f ca="1">IF($D253&lt;&gt;"Serviço",0,IF(AND(AUTOEVENTO="Manual",$M253=1),0,IF(OFFSET(CRONOPLE!$F$14,$M253,BF$13)="",10^12,OFFSET(CRONOPLE!$F$14,$M253,BF$13))))</f>
        <v>1000000000000</v>
      </c>
      <c r="BG253" s="215">
        <f ca="1">IF($D253&lt;&gt;"Serviço",0,IF(AND(AUTOEVENTO="Manual",$M253=1),0,IF(OFFSET(CRONOPLE!$F$14,$M253,BG$13)="",10^12,OFFSET(CRONOPLE!$F$14,$M253,BG$13))))</f>
        <v>1000000000000</v>
      </c>
      <c r="BH253" s="215">
        <f ca="1">IF($D253&lt;&gt;"Serviço",0,IF(AND(AUTOEVENTO="Manual",$M253=1),0,IF(OFFSET(CRONOPLE!$F$14,$M253,BH$13)="",10^12,OFFSET(CRONOPLE!$F$14,$M253,BH$13))))</f>
        <v>1000000000000</v>
      </c>
      <c r="BI253" s="215">
        <f ca="1">IF($D253&lt;&gt;"Serviço",0,IF(AND(AUTOEVENTO="Manual",$M253=1),0,IF(OFFSET(CRONOPLE!$F$14,$M253,BI$13)="",10^12,OFFSET(CRONOPLE!$F$14,$M253,BI$13))))</f>
        <v>1000000000000</v>
      </c>
      <c r="BJ253" s="215">
        <f ca="1">IF($D253&lt;&gt;"Serviço",0,IF(AND(AUTOEVENTO="Manual",$M253=1),0,IF(OFFSET(CRONOPLE!$F$14,$M253,BJ$13)="",10^12,OFFSET(CRONOPLE!$F$14,$M253,BJ$13))))</f>
        <v>1000000000000</v>
      </c>
      <c r="BK253" s="215">
        <f ca="1">IF($D253&lt;&gt;"Serviço",0,IF(AND(AUTOEVENTO="Manual",$M253=1),0,IF(OFFSET(CRONOPLE!$F$14,$M253,BK$13)="",10^12,OFFSET(CRONOPLE!$F$14,$M253,BK$13))))</f>
        <v>1000000000000</v>
      </c>
      <c r="BL253" s="215">
        <f ca="1">IF($D253&lt;&gt;"Serviço",0,IF(AND(AUTOEVENTO="Manual",$M253=1),0,IF(OFFSET(CRONOPLE!$F$14,$M253,BL$13)="",10^12,OFFSET(CRONOPLE!$F$14,$M253,BL$13))))</f>
        <v>1000000000000</v>
      </c>
      <c r="BM253" s="215">
        <f ca="1">IF($D253&lt;&gt;"Serviço",0,IF(AND(AUTOEVENTO="Manual",$M253=1),0,IF(OFFSET(CRONOPLE!$F$14,$M253,BM$13)="",10^12,OFFSET(CRONOPLE!$F$14,$M253,BM$13))))</f>
        <v>1000000000000</v>
      </c>
      <c r="BN253" s="215">
        <f ca="1">IF($D253&lt;&gt;"Serviço",0,IF(AND(AUTOEVENTO="Manual",$M253=1),0,IF(OFFSET(CRONOPLE!$F$14,$M253,BN$13)="",10^12,OFFSET(CRONOPLE!$F$14,$M253,BN$13))))</f>
        <v>1000000000000</v>
      </c>
      <c r="BO253" s="215">
        <f ca="1">IF($D253&lt;&gt;"Serviço",0,IF(AND(AUTOEVENTO="Manual",$M253=1),0,IF(OFFSET(CRONOPLE!$F$14,$M253,BO$13)="",10^12,OFFSET(CRONOPLE!$F$14,$M253,BO$13))))</f>
        <v>1000000000000</v>
      </c>
      <c r="BP253" s="215">
        <f ca="1">IF($D253&lt;&gt;"Serviço",0,IF(AND(AUTOEVENTO="Manual",$M253=1),0,IF(OFFSET(CRONOPLE!$F$14,$M253,BP$13)="",10^12,OFFSET(CRONOPLE!$F$14,$M253,BP$13))))</f>
        <v>1000000000000</v>
      </c>
      <c r="BQ253" s="215">
        <f ca="1">IF($D253&lt;&gt;"Serviço",0,IF(AND(AUTOEVENTO="Manual",$M253=1),0,IF(OFFSET(CRONOPLE!$F$14,$M253,BQ$13)="",10^12,OFFSET(CRONOPLE!$F$14,$M253,BQ$13))))</f>
        <v>1000000000000</v>
      </c>
      <c r="BR253" s="215">
        <f ca="1">IF($D253&lt;&gt;"Serviço",0,IF(AND(AUTOEVENTO="Manual",$M253=1),0,IF(OFFSET(CRONOPLE!$F$14,$M253,BR$13)="",10^12,OFFSET(CRONOPLE!$F$14,$M253,BR$13))))</f>
        <v>1000000000000</v>
      </c>
      <c r="BS253" s="215">
        <f ca="1">IF($D253&lt;&gt;"Serviço",0,IF(AND(AUTOEVENTO="Manual",$M253=1),0,IF(OFFSET(CRONOPLE!$F$14,$M253,BS$13)="",10^12,OFFSET(CRONOPLE!$F$14,$M253,BS$13))))</f>
        <v>1000000000000</v>
      </c>
      <c r="BT253" s="215">
        <f ca="1">IF($D253&lt;&gt;"Serviço",0,IF(AND(AUTOEVENTO="Manual",$M253=1),0,IF(OFFSET(CRONOPLE!$F$14,$M253,BT$13)="",10^12,OFFSET(CRONOPLE!$F$14,$M253,BT$13))))</f>
        <v>1000000000000</v>
      </c>
      <c r="BV253" s="216">
        <f ca="1">IF($D253&lt;&gt;"Serviço",0,IF(OR(AND(AUTOEVENTO="Manual",$M253=1),$M253&gt;(ROW(PLE.lastrow)-ROW(PLE.firstrow))),0,IF(OFFSET(PLE!$G$14,$M253,BV$13)="",10^12,OFFSET(PLE!$G$14,$M253,BV$13))))</f>
        <v>1000000000000</v>
      </c>
      <c r="BW253" s="216">
        <f ca="1">IF($D253&lt;&gt;"Serviço",0,IF(OR(AND(AUTOEVENTO="Manual",$M253=1),$M253&gt;(ROW(PLE.lastrow)-ROW(PLE.firstrow))),0,IF(OFFSET(PLE!$G$14,$M253,BW$13)="",10^12,OFFSET(PLE!$G$14,$M253,BW$13))))</f>
        <v>1000000000000</v>
      </c>
      <c r="BX253" s="216">
        <f ca="1">IF($D253&lt;&gt;"Serviço",0,IF(OR(AND(AUTOEVENTO="Manual",$M253=1),$M253&gt;(ROW(PLE.lastrow)-ROW(PLE.firstrow))),0,IF(OFFSET(PLE!$G$14,$M253,BX$13)="",10^12,OFFSET(PLE!$G$14,$M253,BX$13))))</f>
        <v>1000000000000</v>
      </c>
      <c r="BY253" s="216">
        <f ca="1">IF($D253&lt;&gt;"Serviço",0,IF(OR(AND(AUTOEVENTO="Manual",$M253=1),$M253&gt;(ROW(PLE.lastrow)-ROW(PLE.firstrow))),0,IF(OFFSET(PLE!$G$14,$M253,BY$13)="",10^12,OFFSET(PLE!$G$14,$M253,BY$13))))</f>
        <v>1000000000000</v>
      </c>
      <c r="BZ253" s="216">
        <f ca="1">IF($D253&lt;&gt;"Serviço",0,IF(OR(AND(AUTOEVENTO="Manual",$M253=1),$M253&gt;(ROW(PLE.lastrow)-ROW(PLE.firstrow))),0,IF(OFFSET(PLE!$G$14,$M253,BZ$13)="",10^12,OFFSET(PLE!$G$14,$M253,BZ$13))))</f>
        <v>1000000000000</v>
      </c>
      <c r="CA253" s="216">
        <f ca="1">IF($D253&lt;&gt;"Serviço",0,IF(OR(AND(AUTOEVENTO="Manual",$M253=1),$M253&gt;(ROW(PLE.lastrow)-ROW(PLE.firstrow))),0,IF(OFFSET(PLE!$G$14,$M253,CA$13)="",10^12,OFFSET(PLE!$G$14,$M253,CA$13))))</f>
        <v>1000000000000</v>
      </c>
      <c r="CB253" s="216">
        <f ca="1">IF($D253&lt;&gt;"Serviço",0,IF(OR(AND(AUTOEVENTO="Manual",$M253=1),$M253&gt;(ROW(PLE.lastrow)-ROW(PLE.firstrow))),0,IF(OFFSET(PLE!$G$14,$M253,CB$13)="",10^12,OFFSET(PLE!$G$14,$M253,CB$13))))</f>
        <v>1000000000000</v>
      </c>
      <c r="CC253" s="216">
        <f ca="1">IF($D253&lt;&gt;"Serviço",0,IF(OR(AND(AUTOEVENTO="Manual",$M253=1),$M253&gt;(ROW(PLE.lastrow)-ROW(PLE.firstrow))),0,IF(OFFSET(PLE!$G$14,$M253,CC$13)="",10^12,OFFSET(PLE!$G$14,$M253,CC$13))))</f>
        <v>1000000000000</v>
      </c>
      <c r="CD253" s="216">
        <f ca="1">IF($D253&lt;&gt;"Serviço",0,IF(OR(AND(AUTOEVENTO="Manual",$M253=1),$M253&gt;(ROW(PLE.lastrow)-ROW(PLE.firstrow))),0,IF(OFFSET(PLE!$G$14,$M253,CD$13)="",10^12,OFFSET(PLE!$G$14,$M253,CD$13))))</f>
        <v>1000000000000</v>
      </c>
      <c r="CE253" s="216">
        <f ca="1">IF($D253&lt;&gt;"Serviço",0,IF(OR(AND(AUTOEVENTO="Manual",$M253=1),$M253&gt;(ROW(PLE.lastrow)-ROW(PLE.firstrow))),0,IF(OFFSET(PLE!$G$14,$M253,CE$13)="",10^12,OFFSET(PLE!$G$14,$M253,CE$13))))</f>
        <v>1000000000000</v>
      </c>
      <c r="CF253" s="216">
        <f ca="1">IF($D253&lt;&gt;"Serviço",0,IF(OR(AND(AUTOEVENTO="Manual",$M253=1),$M253&gt;(ROW(PLE.lastrow)-ROW(PLE.firstrow))),0,IF(OFFSET(PLE!$G$14,$M253,CF$13)="",10^12,OFFSET(PLE!$G$14,$M253,CF$13))))</f>
        <v>1000000000000</v>
      </c>
      <c r="CG253" s="216">
        <f ca="1">IF($D253&lt;&gt;"Serviço",0,IF(OR(AND(AUTOEVENTO="Manual",$M253=1),$M253&gt;(ROW(PLE.lastrow)-ROW(PLE.firstrow))),0,IF(OFFSET(PLE!$G$14,$M253,CG$13)="",10^12,OFFSET(PLE!$G$14,$M253,CG$13))))</f>
        <v>1000000000000</v>
      </c>
      <c r="CH253" s="216">
        <f ca="1">IF($D253&lt;&gt;"Serviço",0,IF(OR(AND(AUTOEVENTO="Manual",$M253=1),$M253&gt;(ROW(PLE.lastrow)-ROW(PLE.firstrow))),0,IF(OFFSET(PLE!$G$14,$M253,CH$13)="",10^12,OFFSET(PLE!$G$14,$M253,CH$13))))</f>
        <v>1000000000000</v>
      </c>
      <c r="CI253" s="216">
        <f ca="1">IF($D253&lt;&gt;"Serviço",0,IF(OR(AND(AUTOEVENTO="Manual",$M253=1),$M253&gt;(ROW(PLE.lastrow)-ROW(PLE.firstrow))),0,IF(OFFSET(PLE!$G$14,$M253,CI$13)="",10^12,OFFSET(PLE!$G$14,$M253,CI$13))))</f>
        <v>1000000000000</v>
      </c>
      <c r="CJ253" s="216">
        <f ca="1">IF($D253&lt;&gt;"Serviço",0,IF(OR(AND(AUTOEVENTO="Manual",$M253=1),$M253&gt;(ROW(PLE.lastrow)-ROW(PLE.firstrow))),0,IF(OFFSET(PLE!$G$14,$M253,CJ$13)="",10^12,OFFSET(PLE!$G$14,$M253,CJ$13))))</f>
        <v>1000000000000</v>
      </c>
      <c r="CK253" s="216">
        <f ca="1">IF($D253&lt;&gt;"Serviço",0,IF(OR(AND(AUTOEVENTO="Manual",$M253=1),$M253&gt;(ROW(PLE.lastrow)-ROW(PLE.firstrow))),0,IF(OFFSET(PLE!$G$14,$M253,CK$13)="",10^12,OFFSET(PLE!$G$14,$M253,CK$13))))</f>
        <v>1000000000000</v>
      </c>
      <c r="CL253" s="216">
        <f ca="1">IF($D253&lt;&gt;"Serviço",0,IF(OR(AND(AUTOEVENTO="Manual",$M253=1),$M253&gt;(ROW(PLE.lastrow)-ROW(PLE.firstrow))),0,IF(OFFSET(PLE!$G$14,$M253,CL$13)="",10^12,OFFSET(PLE!$G$14,$M253,CL$13))))</f>
        <v>1000000000000</v>
      </c>
      <c r="CM253" s="216">
        <f ca="1">IF($D253&lt;&gt;"Serviço",0,IF(OR(AND(AUTOEVENTO="Manual",$M253=1),$M253&gt;(ROW(PLE.lastrow)-ROW(PLE.firstrow))),0,IF(OFFSET(PLE!$G$14,$M253,CM$13)="",10^12,OFFSET(PLE!$G$14,$M253,CM$13))))</f>
        <v>1000000000000</v>
      </c>
    </row>
    <row r="254" spans="1:91" ht="13.2" x14ac:dyDescent="0.25">
      <c r="A254" s="9">
        <f t="shared" ca="1" si="12"/>
        <v>0</v>
      </c>
      <c r="B254" s="9" t="str">
        <f ca="1">OFFSET(ORÇAMENTO!C$15,ROW(B254)-ROW(B$15),0)</f>
        <v>S</v>
      </c>
      <c r="C254" s="9" t="str">
        <f ca="1">OFFSET(ORÇAMENTO!L$15,ROW(C254)-ROW(C$15),0)</f>
        <v/>
      </c>
      <c r="D254" s="145" t="str">
        <f ca="1">OFFSET(ORÇAMENTO!N$15,ROW(D254)-ROW(D$15),0)</f>
        <v>Serviço</v>
      </c>
      <c r="E254" s="205" t="str">
        <f ca="1">OFFSET(ORÇAMENTO!O$15,ROW(E254)-ROW(E$15),0)</f>
        <v>-</v>
      </c>
      <c r="F254" s="206" t="str">
        <f ca="1">OFFSET(ORÇAMENTO!R$15,ROW(F254)-ROW(F$15),0)</f>
        <v>(abra o arquivo 'Referência 05-2024.xls)</v>
      </c>
      <c r="G254" s="207" t="str">
        <f ca="1">IF($D254&lt;&gt;"Serviço","",OFFSET(ORÇAMENTO!S$15,ROW(G254)-ROW(G$15),0))</f>
        <v>-</v>
      </c>
      <c r="H254" s="151">
        <f ca="1">IF($D254&lt;&gt;"Serviço",0,IF(ACOMPANHAMENTO="BM",ROUND(OFFSET(ORÇAMENTO!AJ$15,ROW(H254)-ROW(H$15),0),15-13*ORÇAMENTO!$AF$7),SUMPRODUCT(($Q$12:$AI$12&lt;&gt;"")*ROUND($Q254:$AI254,15-13*ORÇAMENTO!$AF$7))))</f>
        <v>646.49</v>
      </c>
      <c r="I254" s="650"/>
      <c r="K254" s="208"/>
      <c r="L254" s="209" t="s">
        <v>257</v>
      </c>
      <c r="M254" s="210">
        <f ca="1">IF($D254&lt;&gt;"Serviço","",IF(AUTOEVENTO="manual",$A254,IF(ISERROR(MATCH($A254,$A$15:OFFSET($A254,-1,0),0)),MAX($M$15:OFFSET(M254,-1,0))+1,INDEX($M$15:OFFSET(M254,-1,0),MATCH($A254,$A$15:OFFSET($A254,-1,0),0)))))</f>
        <v>0</v>
      </c>
      <c r="N254" s="211" t="str">
        <f ca="1">IF($D254&lt;&gt;"Serviço","",IF(AUTOEVENTO="Manual",IF($A254=0,"&lt;-- defina o número do agrupador",OFFSET(EVENTOS!$D$14,$A254,0)),OFFSET($F$15,$A254,0)))</f>
        <v>&lt;-- defina o número do agrupador</v>
      </c>
      <c r="O254" s="212"/>
      <c r="Q254" s="212"/>
      <c r="R254" s="213"/>
      <c r="S254" s="213"/>
      <c r="T254" s="213"/>
      <c r="U254" s="213"/>
      <c r="V254" s="213"/>
      <c r="W254" s="213"/>
      <c r="X254" s="213"/>
      <c r="Y254" s="213"/>
      <c r="Z254" s="214"/>
      <c r="AA254" s="213"/>
      <c r="AB254" s="213"/>
      <c r="AC254" s="213"/>
      <c r="AD254" s="213"/>
      <c r="AE254" s="213"/>
      <c r="AF254" s="213"/>
      <c r="AG254" s="213"/>
      <c r="AH254" s="214"/>
      <c r="AJ254" s="631">
        <f ca="1">IF(AND($D254="Serviço",AJ$12&lt;&gt;0,$H254&gt;0,OR(AUTOEVENTO&lt;&gt;"manual",$M254&lt;&gt;1)),ROUND(OFFSET($P254,0,AJ$13),15-13*ORÇAMENTO!$AF$7)/$H254*OFFSET(ORÇAMENTO!$X$15,ROW(AJ254)-ROW(AJ$15),0),0)</f>
        <v>0</v>
      </c>
      <c r="AK254" s="632">
        <f ca="1">IF(AND($D254="Serviço",AK$12&lt;&gt;0,$H254&gt;0,OR(AUTOEVENTO&lt;&gt;"manual",$M254&lt;&gt;1)),ROUND(OFFSET($P254,0,AK$13),15-13*ORÇAMENTO!$AF$7)/$H254*OFFSET(ORÇAMENTO!$X$15,ROW(AK254)-ROW(AK$15),0),0)</f>
        <v>0</v>
      </c>
      <c r="AL254" s="632">
        <f ca="1">IF(AND($D254="Serviço",AL$12&lt;&gt;0,$H254&gt;0,OR(AUTOEVENTO&lt;&gt;"manual",$M254&lt;&gt;1)),ROUND(OFFSET($P254,0,AL$13),15-13*ORÇAMENTO!$AF$7)/$H254*OFFSET(ORÇAMENTO!$X$15,ROW(AL254)-ROW(AL$15),0),0)</f>
        <v>0</v>
      </c>
      <c r="AM254" s="632">
        <f ca="1">IF(AND($D254="Serviço",AM$12&lt;&gt;0,$H254&gt;0,OR(AUTOEVENTO&lt;&gt;"manual",$M254&lt;&gt;1)),ROUND(OFFSET($P254,0,AM$13),15-13*ORÇAMENTO!$AF$7)/$H254*OFFSET(ORÇAMENTO!$X$15,ROW(AM254)-ROW(AM$15),0),0)</f>
        <v>0</v>
      </c>
      <c r="AN254" s="632">
        <f ca="1">IF(AND($D254="Serviço",AN$12&lt;&gt;0,$H254&gt;0,OR(AUTOEVENTO&lt;&gt;"manual",$M254&lt;&gt;1)),ROUND(OFFSET($P254,0,AN$13),15-13*ORÇAMENTO!$AF$7)/$H254*OFFSET(ORÇAMENTO!$X$15,ROW(AN254)-ROW(AN$15),0),0)</f>
        <v>0</v>
      </c>
      <c r="AO254" s="632">
        <f ca="1">IF(AND($D254="Serviço",AO$12&lt;&gt;0,$H254&gt;0,OR(AUTOEVENTO&lt;&gt;"manual",$M254&lt;&gt;1)),ROUND(OFFSET($P254,0,AO$13),15-13*ORÇAMENTO!$AF$7)/$H254*OFFSET(ORÇAMENTO!$X$15,ROW(AO254)-ROW(AO$15),0),0)</f>
        <v>0</v>
      </c>
      <c r="AP254" s="632">
        <f ca="1">IF(AND($D254="Serviço",AP$12&lt;&gt;0,$H254&gt;0,OR(AUTOEVENTO&lt;&gt;"manual",$M254&lt;&gt;1)),ROUND(OFFSET($P254,0,AP$13),15-13*ORÇAMENTO!$AF$7)/$H254*OFFSET(ORÇAMENTO!$X$15,ROW(AP254)-ROW(AP$15),0),0)</f>
        <v>0</v>
      </c>
      <c r="AQ254" s="632">
        <f ca="1">IF(AND($D254="Serviço",AQ$12&lt;&gt;0,$H254&gt;0,OR(AUTOEVENTO&lt;&gt;"manual",$M254&lt;&gt;1)),ROUND(OFFSET($P254,0,AQ$13),15-13*ORÇAMENTO!$AF$7)/$H254*OFFSET(ORÇAMENTO!$X$15,ROW(AQ254)-ROW(AQ$15),0),0)</f>
        <v>0</v>
      </c>
      <c r="AR254" s="632">
        <f ca="1">IF(AND($D254="Serviço",AR$12&lt;&gt;0,$H254&gt;0,OR(AUTOEVENTO&lt;&gt;"manual",$M254&lt;&gt;1)),ROUND(OFFSET($P254,0,AR$13),15-13*ORÇAMENTO!$AF$7)/$H254*OFFSET(ORÇAMENTO!$X$15,ROW(AR254)-ROW(AR$15),0),0)</f>
        <v>0</v>
      </c>
      <c r="AS254" s="633">
        <f ca="1">IF(AND($D254="Serviço",AS$12&lt;&gt;0,$H254&gt;0,OR(AUTOEVENTO&lt;&gt;"manual",$M254&lt;&gt;1)),ROUND(OFFSET($P254,0,AS$13),15-13*ORÇAMENTO!$AF$7)/$H254*OFFSET(ORÇAMENTO!$X$15,ROW(AS254)-ROW(AS$15),0),0)</f>
        <v>0</v>
      </c>
      <c r="AT254" s="632">
        <f ca="1">IF(AND($D254="Serviço",AT$12&lt;&gt;0,$H254&gt;0,OR(AUTOEVENTO&lt;&gt;"manual",$M254&lt;&gt;1)),ROUND(OFFSET($P254,0,AT$13),15-13*ORÇAMENTO!$AF$7)/$H254*OFFSET(ORÇAMENTO!$X$15,ROW(AT254)-ROW(AT$15),0),0)</f>
        <v>0</v>
      </c>
      <c r="AU254" s="632">
        <f ca="1">IF(AND($D254="Serviço",AU$12&lt;&gt;0,$H254&gt;0,OR(AUTOEVENTO&lt;&gt;"manual",$M254&lt;&gt;1)),ROUND(OFFSET($P254,0,AU$13),15-13*ORÇAMENTO!$AF$7)/$H254*OFFSET(ORÇAMENTO!$X$15,ROW(AU254)-ROW(AU$15),0),0)</f>
        <v>0</v>
      </c>
      <c r="AV254" s="632">
        <f ca="1">IF(AND($D254="Serviço",AV$12&lt;&gt;0,$H254&gt;0,OR(AUTOEVENTO&lt;&gt;"manual",$M254&lt;&gt;1)),ROUND(OFFSET($P254,0,AV$13),15-13*ORÇAMENTO!$AF$7)/$H254*OFFSET(ORÇAMENTO!$X$15,ROW(AV254)-ROW(AV$15),0),0)</f>
        <v>0</v>
      </c>
      <c r="AW254" s="632">
        <f ca="1">IF(AND($D254="Serviço",AW$12&lt;&gt;0,$H254&gt;0,OR(AUTOEVENTO&lt;&gt;"manual",$M254&lt;&gt;1)),ROUND(OFFSET($P254,0,AW$13),15-13*ORÇAMENTO!$AF$7)/$H254*OFFSET(ORÇAMENTO!$X$15,ROW(AW254)-ROW(AW$15),0),0)</f>
        <v>0</v>
      </c>
      <c r="AX254" s="632">
        <f ca="1">IF(AND($D254="Serviço",AX$12&lt;&gt;0,$H254&gt;0,OR(AUTOEVENTO&lt;&gt;"manual",$M254&lt;&gt;1)),ROUND(OFFSET($P254,0,AX$13),15-13*ORÇAMENTO!$AF$7)/$H254*OFFSET(ORÇAMENTO!$X$15,ROW(AX254)-ROW(AX$15),0),0)</f>
        <v>0</v>
      </c>
      <c r="AY254" s="632">
        <f ca="1">IF(AND($D254="Serviço",AY$12&lt;&gt;0,$H254&gt;0,OR(AUTOEVENTO&lt;&gt;"manual",$M254&lt;&gt;1)),ROUND(OFFSET($P254,0,AY$13),15-13*ORÇAMENTO!$AF$7)/$H254*OFFSET(ORÇAMENTO!$X$15,ROW(AY254)-ROW(AY$15),0),0)</f>
        <v>0</v>
      </c>
      <c r="AZ254" s="632">
        <f ca="1">IF(AND($D254="Serviço",AZ$12&lt;&gt;0,$H254&gt;0,OR(AUTOEVENTO&lt;&gt;"manual",$M254&lt;&gt;1)),ROUND(OFFSET($P254,0,AZ$13),15-13*ORÇAMENTO!$AF$7)/$H254*OFFSET(ORÇAMENTO!$X$15,ROW(AZ254)-ROW(AZ$15),0),0)</f>
        <v>0</v>
      </c>
      <c r="BA254" s="633">
        <f ca="1">IF(AND($D254="Serviço",BA$12&lt;&gt;0,$H254&gt;0,OR(AUTOEVENTO&lt;&gt;"manual",$M254&lt;&gt;1)),ROUND(OFFSET($P254,0,BA$13),15-13*ORÇAMENTO!$AF$7)/$H254*OFFSET(ORÇAMENTO!$X$15,ROW(BA254)-ROW(BA$15),0),0)</f>
        <v>0</v>
      </c>
      <c r="BC254" s="215">
        <f ca="1">IF($D254&lt;&gt;"Serviço",0,IF(AND(AUTOEVENTO="Manual",$M254=1),0,IF(OFFSET(CRONOPLE!$F$14,$M254,BC$13)="",10^12,OFFSET(CRONOPLE!$F$14,$M254,BC$13))))</f>
        <v>1000000000000</v>
      </c>
      <c r="BD254" s="215">
        <f ca="1">IF($D254&lt;&gt;"Serviço",0,IF(AND(AUTOEVENTO="Manual",$M254=1),0,IF(OFFSET(CRONOPLE!$F$14,$M254,BD$13)="",10^12,OFFSET(CRONOPLE!$F$14,$M254,BD$13))))</f>
        <v>1000000000000</v>
      </c>
      <c r="BE254" s="215">
        <f ca="1">IF($D254&lt;&gt;"Serviço",0,IF(AND(AUTOEVENTO="Manual",$M254=1),0,IF(OFFSET(CRONOPLE!$F$14,$M254,BE$13)="",10^12,OFFSET(CRONOPLE!$F$14,$M254,BE$13))))</f>
        <v>1000000000000</v>
      </c>
      <c r="BF254" s="215">
        <f ca="1">IF($D254&lt;&gt;"Serviço",0,IF(AND(AUTOEVENTO="Manual",$M254=1),0,IF(OFFSET(CRONOPLE!$F$14,$M254,BF$13)="",10^12,OFFSET(CRONOPLE!$F$14,$M254,BF$13))))</f>
        <v>1000000000000</v>
      </c>
      <c r="BG254" s="215">
        <f ca="1">IF($D254&lt;&gt;"Serviço",0,IF(AND(AUTOEVENTO="Manual",$M254=1),0,IF(OFFSET(CRONOPLE!$F$14,$M254,BG$13)="",10^12,OFFSET(CRONOPLE!$F$14,$M254,BG$13))))</f>
        <v>1000000000000</v>
      </c>
      <c r="BH254" s="215">
        <f ca="1">IF($D254&lt;&gt;"Serviço",0,IF(AND(AUTOEVENTO="Manual",$M254=1),0,IF(OFFSET(CRONOPLE!$F$14,$M254,BH$13)="",10^12,OFFSET(CRONOPLE!$F$14,$M254,BH$13))))</f>
        <v>1000000000000</v>
      </c>
      <c r="BI254" s="215">
        <f ca="1">IF($D254&lt;&gt;"Serviço",0,IF(AND(AUTOEVENTO="Manual",$M254=1),0,IF(OFFSET(CRONOPLE!$F$14,$M254,BI$13)="",10^12,OFFSET(CRONOPLE!$F$14,$M254,BI$13))))</f>
        <v>1000000000000</v>
      </c>
      <c r="BJ254" s="215">
        <f ca="1">IF($D254&lt;&gt;"Serviço",0,IF(AND(AUTOEVENTO="Manual",$M254=1),0,IF(OFFSET(CRONOPLE!$F$14,$M254,BJ$13)="",10^12,OFFSET(CRONOPLE!$F$14,$M254,BJ$13))))</f>
        <v>1000000000000</v>
      </c>
      <c r="BK254" s="215">
        <f ca="1">IF($D254&lt;&gt;"Serviço",0,IF(AND(AUTOEVENTO="Manual",$M254=1),0,IF(OFFSET(CRONOPLE!$F$14,$M254,BK$13)="",10^12,OFFSET(CRONOPLE!$F$14,$M254,BK$13))))</f>
        <v>1000000000000</v>
      </c>
      <c r="BL254" s="215">
        <f ca="1">IF($D254&lt;&gt;"Serviço",0,IF(AND(AUTOEVENTO="Manual",$M254=1),0,IF(OFFSET(CRONOPLE!$F$14,$M254,BL$13)="",10^12,OFFSET(CRONOPLE!$F$14,$M254,BL$13))))</f>
        <v>1000000000000</v>
      </c>
      <c r="BM254" s="215">
        <f ca="1">IF($D254&lt;&gt;"Serviço",0,IF(AND(AUTOEVENTO="Manual",$M254=1),0,IF(OFFSET(CRONOPLE!$F$14,$M254,BM$13)="",10^12,OFFSET(CRONOPLE!$F$14,$M254,BM$13))))</f>
        <v>1000000000000</v>
      </c>
      <c r="BN254" s="215">
        <f ca="1">IF($D254&lt;&gt;"Serviço",0,IF(AND(AUTOEVENTO="Manual",$M254=1),0,IF(OFFSET(CRONOPLE!$F$14,$M254,BN$13)="",10^12,OFFSET(CRONOPLE!$F$14,$M254,BN$13))))</f>
        <v>1000000000000</v>
      </c>
      <c r="BO254" s="215">
        <f ca="1">IF($D254&lt;&gt;"Serviço",0,IF(AND(AUTOEVENTO="Manual",$M254=1),0,IF(OFFSET(CRONOPLE!$F$14,$M254,BO$13)="",10^12,OFFSET(CRONOPLE!$F$14,$M254,BO$13))))</f>
        <v>1000000000000</v>
      </c>
      <c r="BP254" s="215">
        <f ca="1">IF($D254&lt;&gt;"Serviço",0,IF(AND(AUTOEVENTO="Manual",$M254=1),0,IF(OFFSET(CRONOPLE!$F$14,$M254,BP$13)="",10^12,OFFSET(CRONOPLE!$F$14,$M254,BP$13))))</f>
        <v>1000000000000</v>
      </c>
      <c r="BQ254" s="215">
        <f ca="1">IF($D254&lt;&gt;"Serviço",0,IF(AND(AUTOEVENTO="Manual",$M254=1),0,IF(OFFSET(CRONOPLE!$F$14,$M254,BQ$13)="",10^12,OFFSET(CRONOPLE!$F$14,$M254,BQ$13))))</f>
        <v>1000000000000</v>
      </c>
      <c r="BR254" s="215">
        <f ca="1">IF($D254&lt;&gt;"Serviço",0,IF(AND(AUTOEVENTO="Manual",$M254=1),0,IF(OFFSET(CRONOPLE!$F$14,$M254,BR$13)="",10^12,OFFSET(CRONOPLE!$F$14,$M254,BR$13))))</f>
        <v>1000000000000</v>
      </c>
      <c r="BS254" s="215">
        <f ca="1">IF($D254&lt;&gt;"Serviço",0,IF(AND(AUTOEVENTO="Manual",$M254=1),0,IF(OFFSET(CRONOPLE!$F$14,$M254,BS$13)="",10^12,OFFSET(CRONOPLE!$F$14,$M254,BS$13))))</f>
        <v>1000000000000</v>
      </c>
      <c r="BT254" s="215">
        <f ca="1">IF($D254&lt;&gt;"Serviço",0,IF(AND(AUTOEVENTO="Manual",$M254=1),0,IF(OFFSET(CRONOPLE!$F$14,$M254,BT$13)="",10^12,OFFSET(CRONOPLE!$F$14,$M254,BT$13))))</f>
        <v>1000000000000</v>
      </c>
      <c r="BV254" s="216">
        <f ca="1">IF($D254&lt;&gt;"Serviço",0,IF(OR(AND(AUTOEVENTO="Manual",$M254=1),$M254&gt;(ROW(PLE.lastrow)-ROW(PLE.firstrow))),0,IF(OFFSET(PLE!$G$14,$M254,BV$13)="",10^12,OFFSET(PLE!$G$14,$M254,BV$13))))</f>
        <v>1000000000000</v>
      </c>
      <c r="BW254" s="216">
        <f ca="1">IF($D254&lt;&gt;"Serviço",0,IF(OR(AND(AUTOEVENTO="Manual",$M254=1),$M254&gt;(ROW(PLE.lastrow)-ROW(PLE.firstrow))),0,IF(OFFSET(PLE!$G$14,$M254,BW$13)="",10^12,OFFSET(PLE!$G$14,$M254,BW$13))))</f>
        <v>1000000000000</v>
      </c>
      <c r="BX254" s="216">
        <f ca="1">IF($D254&lt;&gt;"Serviço",0,IF(OR(AND(AUTOEVENTO="Manual",$M254=1),$M254&gt;(ROW(PLE.lastrow)-ROW(PLE.firstrow))),0,IF(OFFSET(PLE!$G$14,$M254,BX$13)="",10^12,OFFSET(PLE!$G$14,$M254,BX$13))))</f>
        <v>1000000000000</v>
      </c>
      <c r="BY254" s="216">
        <f ca="1">IF($D254&lt;&gt;"Serviço",0,IF(OR(AND(AUTOEVENTO="Manual",$M254=1),$M254&gt;(ROW(PLE.lastrow)-ROW(PLE.firstrow))),0,IF(OFFSET(PLE!$G$14,$M254,BY$13)="",10^12,OFFSET(PLE!$G$14,$M254,BY$13))))</f>
        <v>1000000000000</v>
      </c>
      <c r="BZ254" s="216">
        <f ca="1">IF($D254&lt;&gt;"Serviço",0,IF(OR(AND(AUTOEVENTO="Manual",$M254=1),$M254&gt;(ROW(PLE.lastrow)-ROW(PLE.firstrow))),0,IF(OFFSET(PLE!$G$14,$M254,BZ$13)="",10^12,OFFSET(PLE!$G$14,$M254,BZ$13))))</f>
        <v>1000000000000</v>
      </c>
      <c r="CA254" s="216">
        <f ca="1">IF($D254&lt;&gt;"Serviço",0,IF(OR(AND(AUTOEVENTO="Manual",$M254=1),$M254&gt;(ROW(PLE.lastrow)-ROW(PLE.firstrow))),0,IF(OFFSET(PLE!$G$14,$M254,CA$13)="",10^12,OFFSET(PLE!$G$14,$M254,CA$13))))</f>
        <v>1000000000000</v>
      </c>
      <c r="CB254" s="216">
        <f ca="1">IF($D254&lt;&gt;"Serviço",0,IF(OR(AND(AUTOEVENTO="Manual",$M254=1),$M254&gt;(ROW(PLE.lastrow)-ROW(PLE.firstrow))),0,IF(OFFSET(PLE!$G$14,$M254,CB$13)="",10^12,OFFSET(PLE!$G$14,$M254,CB$13))))</f>
        <v>1000000000000</v>
      </c>
      <c r="CC254" s="216">
        <f ca="1">IF($D254&lt;&gt;"Serviço",0,IF(OR(AND(AUTOEVENTO="Manual",$M254=1),$M254&gt;(ROW(PLE.lastrow)-ROW(PLE.firstrow))),0,IF(OFFSET(PLE!$G$14,$M254,CC$13)="",10^12,OFFSET(PLE!$G$14,$M254,CC$13))))</f>
        <v>1000000000000</v>
      </c>
      <c r="CD254" s="216">
        <f ca="1">IF($D254&lt;&gt;"Serviço",0,IF(OR(AND(AUTOEVENTO="Manual",$M254=1),$M254&gt;(ROW(PLE.lastrow)-ROW(PLE.firstrow))),0,IF(OFFSET(PLE!$G$14,$M254,CD$13)="",10^12,OFFSET(PLE!$G$14,$M254,CD$13))))</f>
        <v>1000000000000</v>
      </c>
      <c r="CE254" s="216">
        <f ca="1">IF($D254&lt;&gt;"Serviço",0,IF(OR(AND(AUTOEVENTO="Manual",$M254=1),$M254&gt;(ROW(PLE.lastrow)-ROW(PLE.firstrow))),0,IF(OFFSET(PLE!$G$14,$M254,CE$13)="",10^12,OFFSET(PLE!$G$14,$M254,CE$13))))</f>
        <v>1000000000000</v>
      </c>
      <c r="CF254" s="216">
        <f ca="1">IF($D254&lt;&gt;"Serviço",0,IF(OR(AND(AUTOEVENTO="Manual",$M254=1),$M254&gt;(ROW(PLE.lastrow)-ROW(PLE.firstrow))),0,IF(OFFSET(PLE!$G$14,$M254,CF$13)="",10^12,OFFSET(PLE!$G$14,$M254,CF$13))))</f>
        <v>1000000000000</v>
      </c>
      <c r="CG254" s="216">
        <f ca="1">IF($D254&lt;&gt;"Serviço",0,IF(OR(AND(AUTOEVENTO="Manual",$M254=1),$M254&gt;(ROW(PLE.lastrow)-ROW(PLE.firstrow))),0,IF(OFFSET(PLE!$G$14,$M254,CG$13)="",10^12,OFFSET(PLE!$G$14,$M254,CG$13))))</f>
        <v>1000000000000</v>
      </c>
      <c r="CH254" s="216">
        <f ca="1">IF($D254&lt;&gt;"Serviço",0,IF(OR(AND(AUTOEVENTO="Manual",$M254=1),$M254&gt;(ROW(PLE.lastrow)-ROW(PLE.firstrow))),0,IF(OFFSET(PLE!$G$14,$M254,CH$13)="",10^12,OFFSET(PLE!$G$14,$M254,CH$13))))</f>
        <v>1000000000000</v>
      </c>
      <c r="CI254" s="216">
        <f ca="1">IF($D254&lt;&gt;"Serviço",0,IF(OR(AND(AUTOEVENTO="Manual",$M254=1),$M254&gt;(ROW(PLE.lastrow)-ROW(PLE.firstrow))),0,IF(OFFSET(PLE!$G$14,$M254,CI$13)="",10^12,OFFSET(PLE!$G$14,$M254,CI$13))))</f>
        <v>1000000000000</v>
      </c>
      <c r="CJ254" s="216">
        <f ca="1">IF($D254&lt;&gt;"Serviço",0,IF(OR(AND(AUTOEVENTO="Manual",$M254=1),$M254&gt;(ROW(PLE.lastrow)-ROW(PLE.firstrow))),0,IF(OFFSET(PLE!$G$14,$M254,CJ$13)="",10^12,OFFSET(PLE!$G$14,$M254,CJ$13))))</f>
        <v>1000000000000</v>
      </c>
      <c r="CK254" s="216">
        <f ca="1">IF($D254&lt;&gt;"Serviço",0,IF(OR(AND(AUTOEVENTO="Manual",$M254=1),$M254&gt;(ROW(PLE.lastrow)-ROW(PLE.firstrow))),0,IF(OFFSET(PLE!$G$14,$M254,CK$13)="",10^12,OFFSET(PLE!$G$14,$M254,CK$13))))</f>
        <v>1000000000000</v>
      </c>
      <c r="CL254" s="216">
        <f ca="1">IF($D254&lt;&gt;"Serviço",0,IF(OR(AND(AUTOEVENTO="Manual",$M254=1),$M254&gt;(ROW(PLE.lastrow)-ROW(PLE.firstrow))),0,IF(OFFSET(PLE!$G$14,$M254,CL$13)="",10^12,OFFSET(PLE!$G$14,$M254,CL$13))))</f>
        <v>1000000000000</v>
      </c>
      <c r="CM254" s="216">
        <f ca="1">IF($D254&lt;&gt;"Serviço",0,IF(OR(AND(AUTOEVENTO="Manual",$M254=1),$M254&gt;(ROW(PLE.lastrow)-ROW(PLE.firstrow))),0,IF(OFFSET(PLE!$G$14,$M254,CM$13)="",10^12,OFFSET(PLE!$G$14,$M254,CM$13))))</f>
        <v>1000000000000</v>
      </c>
    </row>
    <row r="255" spans="1:91" ht="13.2" x14ac:dyDescent="0.25">
      <c r="A255" s="9">
        <f t="shared" ca="1" si="12"/>
        <v>0</v>
      </c>
      <c r="B255" s="9" t="str">
        <f ca="1">OFFSET(ORÇAMENTO!C$15,ROW(B255)-ROW(B$15),0)</f>
        <v>S</v>
      </c>
      <c r="C255" s="9" t="str">
        <f ca="1">OFFSET(ORÇAMENTO!L$15,ROW(C255)-ROW(C$15),0)</f>
        <v/>
      </c>
      <c r="D255" s="145" t="str">
        <f ca="1">OFFSET(ORÇAMENTO!N$15,ROW(D255)-ROW(D$15),0)</f>
        <v>Serviço</v>
      </c>
      <c r="E255" s="205" t="str">
        <f ca="1">OFFSET(ORÇAMENTO!O$15,ROW(E255)-ROW(E$15),0)</f>
        <v>-</v>
      </c>
      <c r="F255" s="206" t="str">
        <f ca="1">OFFSET(ORÇAMENTO!R$15,ROW(F255)-ROW(F$15),0)</f>
        <v>(abra o arquivo 'Referência 05-2024.xls)</v>
      </c>
      <c r="G255" s="207" t="str">
        <f ca="1">IF($D255&lt;&gt;"Serviço","",OFFSET(ORÇAMENTO!S$15,ROW(G255)-ROW(G$15),0))</f>
        <v>-</v>
      </c>
      <c r="H255" s="151">
        <f ca="1">IF($D255&lt;&gt;"Serviço",0,IF(ACOMPANHAMENTO="BM",ROUND(OFFSET(ORÇAMENTO!AJ$15,ROW(H255)-ROW(H$15),0),15-13*ORÇAMENTO!$AF$7),SUMPRODUCT(($Q$12:$AI$12&lt;&gt;"")*ROUND($Q255:$AI255,15-13*ORÇAMENTO!$AF$7))))</f>
        <v>254.88</v>
      </c>
      <c r="I255" s="650"/>
      <c r="K255" s="208"/>
      <c r="L255" s="209" t="s">
        <v>257</v>
      </c>
      <c r="M255" s="210">
        <f ca="1">IF($D255&lt;&gt;"Serviço","",IF(AUTOEVENTO="manual",$A255,IF(ISERROR(MATCH($A255,$A$15:OFFSET($A255,-1,0),0)),MAX($M$15:OFFSET(M255,-1,0))+1,INDEX($M$15:OFFSET(M255,-1,0),MATCH($A255,$A$15:OFFSET($A255,-1,0),0)))))</f>
        <v>0</v>
      </c>
      <c r="N255" s="211" t="str">
        <f ca="1">IF($D255&lt;&gt;"Serviço","",IF(AUTOEVENTO="Manual",IF($A255=0,"&lt;-- defina o número do agrupador",OFFSET(EVENTOS!$D$14,$A255,0)),OFFSET($F$15,$A255,0)))</f>
        <v>&lt;-- defina o número do agrupador</v>
      </c>
      <c r="O255" s="212"/>
      <c r="Q255" s="212"/>
      <c r="R255" s="213"/>
      <c r="S255" s="213"/>
      <c r="T255" s="213"/>
      <c r="U255" s="213"/>
      <c r="V255" s="213"/>
      <c r="W255" s="213"/>
      <c r="X255" s="213"/>
      <c r="Y255" s="213"/>
      <c r="Z255" s="214"/>
      <c r="AA255" s="213"/>
      <c r="AB255" s="213"/>
      <c r="AC255" s="213"/>
      <c r="AD255" s="213"/>
      <c r="AE255" s="213"/>
      <c r="AF255" s="213"/>
      <c r="AG255" s="213"/>
      <c r="AH255" s="214"/>
      <c r="AJ255" s="631">
        <f ca="1">IF(AND($D255="Serviço",AJ$12&lt;&gt;0,$H255&gt;0,OR(AUTOEVENTO&lt;&gt;"manual",$M255&lt;&gt;1)),ROUND(OFFSET($P255,0,AJ$13),15-13*ORÇAMENTO!$AF$7)/$H255*OFFSET(ORÇAMENTO!$X$15,ROW(AJ255)-ROW(AJ$15),0),0)</f>
        <v>0</v>
      </c>
      <c r="AK255" s="632">
        <f ca="1">IF(AND($D255="Serviço",AK$12&lt;&gt;0,$H255&gt;0,OR(AUTOEVENTO&lt;&gt;"manual",$M255&lt;&gt;1)),ROUND(OFFSET($P255,0,AK$13),15-13*ORÇAMENTO!$AF$7)/$H255*OFFSET(ORÇAMENTO!$X$15,ROW(AK255)-ROW(AK$15),0),0)</f>
        <v>0</v>
      </c>
      <c r="AL255" s="632">
        <f ca="1">IF(AND($D255="Serviço",AL$12&lt;&gt;0,$H255&gt;0,OR(AUTOEVENTO&lt;&gt;"manual",$M255&lt;&gt;1)),ROUND(OFFSET($P255,0,AL$13),15-13*ORÇAMENTO!$AF$7)/$H255*OFFSET(ORÇAMENTO!$X$15,ROW(AL255)-ROW(AL$15),0),0)</f>
        <v>0</v>
      </c>
      <c r="AM255" s="632">
        <f ca="1">IF(AND($D255="Serviço",AM$12&lt;&gt;0,$H255&gt;0,OR(AUTOEVENTO&lt;&gt;"manual",$M255&lt;&gt;1)),ROUND(OFFSET($P255,0,AM$13),15-13*ORÇAMENTO!$AF$7)/$H255*OFFSET(ORÇAMENTO!$X$15,ROW(AM255)-ROW(AM$15),0),0)</f>
        <v>0</v>
      </c>
      <c r="AN255" s="632">
        <f ca="1">IF(AND($D255="Serviço",AN$12&lt;&gt;0,$H255&gt;0,OR(AUTOEVENTO&lt;&gt;"manual",$M255&lt;&gt;1)),ROUND(OFFSET($P255,0,AN$13),15-13*ORÇAMENTO!$AF$7)/$H255*OFFSET(ORÇAMENTO!$X$15,ROW(AN255)-ROW(AN$15),0),0)</f>
        <v>0</v>
      </c>
      <c r="AO255" s="632">
        <f ca="1">IF(AND($D255="Serviço",AO$12&lt;&gt;0,$H255&gt;0,OR(AUTOEVENTO&lt;&gt;"manual",$M255&lt;&gt;1)),ROUND(OFFSET($P255,0,AO$13),15-13*ORÇAMENTO!$AF$7)/$H255*OFFSET(ORÇAMENTO!$X$15,ROW(AO255)-ROW(AO$15),0),0)</f>
        <v>0</v>
      </c>
      <c r="AP255" s="632">
        <f ca="1">IF(AND($D255="Serviço",AP$12&lt;&gt;0,$H255&gt;0,OR(AUTOEVENTO&lt;&gt;"manual",$M255&lt;&gt;1)),ROUND(OFFSET($P255,0,AP$13),15-13*ORÇAMENTO!$AF$7)/$H255*OFFSET(ORÇAMENTO!$X$15,ROW(AP255)-ROW(AP$15),0),0)</f>
        <v>0</v>
      </c>
      <c r="AQ255" s="632">
        <f ca="1">IF(AND($D255="Serviço",AQ$12&lt;&gt;0,$H255&gt;0,OR(AUTOEVENTO&lt;&gt;"manual",$M255&lt;&gt;1)),ROUND(OFFSET($P255,0,AQ$13),15-13*ORÇAMENTO!$AF$7)/$H255*OFFSET(ORÇAMENTO!$X$15,ROW(AQ255)-ROW(AQ$15),0),0)</f>
        <v>0</v>
      </c>
      <c r="AR255" s="632">
        <f ca="1">IF(AND($D255="Serviço",AR$12&lt;&gt;0,$H255&gt;0,OR(AUTOEVENTO&lt;&gt;"manual",$M255&lt;&gt;1)),ROUND(OFFSET($P255,0,AR$13),15-13*ORÇAMENTO!$AF$7)/$H255*OFFSET(ORÇAMENTO!$X$15,ROW(AR255)-ROW(AR$15),0),0)</f>
        <v>0</v>
      </c>
      <c r="AS255" s="633">
        <f ca="1">IF(AND($D255="Serviço",AS$12&lt;&gt;0,$H255&gt;0,OR(AUTOEVENTO&lt;&gt;"manual",$M255&lt;&gt;1)),ROUND(OFFSET($P255,0,AS$13),15-13*ORÇAMENTO!$AF$7)/$H255*OFFSET(ORÇAMENTO!$X$15,ROW(AS255)-ROW(AS$15),0),0)</f>
        <v>0</v>
      </c>
      <c r="AT255" s="632">
        <f ca="1">IF(AND($D255="Serviço",AT$12&lt;&gt;0,$H255&gt;0,OR(AUTOEVENTO&lt;&gt;"manual",$M255&lt;&gt;1)),ROUND(OFFSET($P255,0,AT$13),15-13*ORÇAMENTO!$AF$7)/$H255*OFFSET(ORÇAMENTO!$X$15,ROW(AT255)-ROW(AT$15),0),0)</f>
        <v>0</v>
      </c>
      <c r="AU255" s="632">
        <f ca="1">IF(AND($D255="Serviço",AU$12&lt;&gt;0,$H255&gt;0,OR(AUTOEVENTO&lt;&gt;"manual",$M255&lt;&gt;1)),ROUND(OFFSET($P255,0,AU$13),15-13*ORÇAMENTO!$AF$7)/$H255*OFFSET(ORÇAMENTO!$X$15,ROW(AU255)-ROW(AU$15),0),0)</f>
        <v>0</v>
      </c>
      <c r="AV255" s="632">
        <f ca="1">IF(AND($D255="Serviço",AV$12&lt;&gt;0,$H255&gt;0,OR(AUTOEVENTO&lt;&gt;"manual",$M255&lt;&gt;1)),ROUND(OFFSET($P255,0,AV$13),15-13*ORÇAMENTO!$AF$7)/$H255*OFFSET(ORÇAMENTO!$X$15,ROW(AV255)-ROW(AV$15),0),0)</f>
        <v>0</v>
      </c>
      <c r="AW255" s="632">
        <f ca="1">IF(AND($D255="Serviço",AW$12&lt;&gt;0,$H255&gt;0,OR(AUTOEVENTO&lt;&gt;"manual",$M255&lt;&gt;1)),ROUND(OFFSET($P255,0,AW$13),15-13*ORÇAMENTO!$AF$7)/$H255*OFFSET(ORÇAMENTO!$X$15,ROW(AW255)-ROW(AW$15),0),0)</f>
        <v>0</v>
      </c>
      <c r="AX255" s="632">
        <f ca="1">IF(AND($D255="Serviço",AX$12&lt;&gt;0,$H255&gt;0,OR(AUTOEVENTO&lt;&gt;"manual",$M255&lt;&gt;1)),ROUND(OFFSET($P255,0,AX$13),15-13*ORÇAMENTO!$AF$7)/$H255*OFFSET(ORÇAMENTO!$X$15,ROW(AX255)-ROW(AX$15),0),0)</f>
        <v>0</v>
      </c>
      <c r="AY255" s="632">
        <f ca="1">IF(AND($D255="Serviço",AY$12&lt;&gt;0,$H255&gt;0,OR(AUTOEVENTO&lt;&gt;"manual",$M255&lt;&gt;1)),ROUND(OFFSET($P255,0,AY$13),15-13*ORÇAMENTO!$AF$7)/$H255*OFFSET(ORÇAMENTO!$X$15,ROW(AY255)-ROW(AY$15),0),0)</f>
        <v>0</v>
      </c>
      <c r="AZ255" s="632">
        <f ca="1">IF(AND($D255="Serviço",AZ$12&lt;&gt;0,$H255&gt;0,OR(AUTOEVENTO&lt;&gt;"manual",$M255&lt;&gt;1)),ROUND(OFFSET($P255,0,AZ$13),15-13*ORÇAMENTO!$AF$7)/$H255*OFFSET(ORÇAMENTO!$X$15,ROW(AZ255)-ROW(AZ$15),0),0)</f>
        <v>0</v>
      </c>
      <c r="BA255" s="633">
        <f ca="1">IF(AND($D255="Serviço",BA$12&lt;&gt;0,$H255&gt;0,OR(AUTOEVENTO&lt;&gt;"manual",$M255&lt;&gt;1)),ROUND(OFFSET($P255,0,BA$13),15-13*ORÇAMENTO!$AF$7)/$H255*OFFSET(ORÇAMENTO!$X$15,ROW(BA255)-ROW(BA$15),0),0)</f>
        <v>0</v>
      </c>
      <c r="BC255" s="215">
        <f ca="1">IF($D255&lt;&gt;"Serviço",0,IF(AND(AUTOEVENTO="Manual",$M255=1),0,IF(OFFSET(CRONOPLE!$F$14,$M255,BC$13)="",10^12,OFFSET(CRONOPLE!$F$14,$M255,BC$13))))</f>
        <v>1000000000000</v>
      </c>
      <c r="BD255" s="215">
        <f ca="1">IF($D255&lt;&gt;"Serviço",0,IF(AND(AUTOEVENTO="Manual",$M255=1),0,IF(OFFSET(CRONOPLE!$F$14,$M255,BD$13)="",10^12,OFFSET(CRONOPLE!$F$14,$M255,BD$13))))</f>
        <v>1000000000000</v>
      </c>
      <c r="BE255" s="215">
        <f ca="1">IF($D255&lt;&gt;"Serviço",0,IF(AND(AUTOEVENTO="Manual",$M255=1),0,IF(OFFSET(CRONOPLE!$F$14,$M255,BE$13)="",10^12,OFFSET(CRONOPLE!$F$14,$M255,BE$13))))</f>
        <v>1000000000000</v>
      </c>
      <c r="BF255" s="215">
        <f ca="1">IF($D255&lt;&gt;"Serviço",0,IF(AND(AUTOEVENTO="Manual",$M255=1),0,IF(OFFSET(CRONOPLE!$F$14,$M255,BF$13)="",10^12,OFFSET(CRONOPLE!$F$14,$M255,BF$13))))</f>
        <v>1000000000000</v>
      </c>
      <c r="BG255" s="215">
        <f ca="1">IF($D255&lt;&gt;"Serviço",0,IF(AND(AUTOEVENTO="Manual",$M255=1),0,IF(OFFSET(CRONOPLE!$F$14,$M255,BG$13)="",10^12,OFFSET(CRONOPLE!$F$14,$M255,BG$13))))</f>
        <v>1000000000000</v>
      </c>
      <c r="BH255" s="215">
        <f ca="1">IF($D255&lt;&gt;"Serviço",0,IF(AND(AUTOEVENTO="Manual",$M255=1),0,IF(OFFSET(CRONOPLE!$F$14,$M255,BH$13)="",10^12,OFFSET(CRONOPLE!$F$14,$M255,BH$13))))</f>
        <v>1000000000000</v>
      </c>
      <c r="BI255" s="215">
        <f ca="1">IF($D255&lt;&gt;"Serviço",0,IF(AND(AUTOEVENTO="Manual",$M255=1),0,IF(OFFSET(CRONOPLE!$F$14,$M255,BI$13)="",10^12,OFFSET(CRONOPLE!$F$14,$M255,BI$13))))</f>
        <v>1000000000000</v>
      </c>
      <c r="BJ255" s="215">
        <f ca="1">IF($D255&lt;&gt;"Serviço",0,IF(AND(AUTOEVENTO="Manual",$M255=1),0,IF(OFFSET(CRONOPLE!$F$14,$M255,BJ$13)="",10^12,OFFSET(CRONOPLE!$F$14,$M255,BJ$13))))</f>
        <v>1000000000000</v>
      </c>
      <c r="BK255" s="215">
        <f ca="1">IF($D255&lt;&gt;"Serviço",0,IF(AND(AUTOEVENTO="Manual",$M255=1),0,IF(OFFSET(CRONOPLE!$F$14,$M255,BK$13)="",10^12,OFFSET(CRONOPLE!$F$14,$M255,BK$13))))</f>
        <v>1000000000000</v>
      </c>
      <c r="BL255" s="215">
        <f ca="1">IF($D255&lt;&gt;"Serviço",0,IF(AND(AUTOEVENTO="Manual",$M255=1),0,IF(OFFSET(CRONOPLE!$F$14,$M255,BL$13)="",10^12,OFFSET(CRONOPLE!$F$14,$M255,BL$13))))</f>
        <v>1000000000000</v>
      </c>
      <c r="BM255" s="215">
        <f ca="1">IF($D255&lt;&gt;"Serviço",0,IF(AND(AUTOEVENTO="Manual",$M255=1),0,IF(OFFSET(CRONOPLE!$F$14,$M255,BM$13)="",10^12,OFFSET(CRONOPLE!$F$14,$M255,BM$13))))</f>
        <v>1000000000000</v>
      </c>
      <c r="BN255" s="215">
        <f ca="1">IF($D255&lt;&gt;"Serviço",0,IF(AND(AUTOEVENTO="Manual",$M255=1),0,IF(OFFSET(CRONOPLE!$F$14,$M255,BN$13)="",10^12,OFFSET(CRONOPLE!$F$14,$M255,BN$13))))</f>
        <v>1000000000000</v>
      </c>
      <c r="BO255" s="215">
        <f ca="1">IF($D255&lt;&gt;"Serviço",0,IF(AND(AUTOEVENTO="Manual",$M255=1),0,IF(OFFSET(CRONOPLE!$F$14,$M255,BO$13)="",10^12,OFFSET(CRONOPLE!$F$14,$M255,BO$13))))</f>
        <v>1000000000000</v>
      </c>
      <c r="BP255" s="215">
        <f ca="1">IF($D255&lt;&gt;"Serviço",0,IF(AND(AUTOEVENTO="Manual",$M255=1),0,IF(OFFSET(CRONOPLE!$F$14,$M255,BP$13)="",10^12,OFFSET(CRONOPLE!$F$14,$M255,BP$13))))</f>
        <v>1000000000000</v>
      </c>
      <c r="BQ255" s="215">
        <f ca="1">IF($D255&lt;&gt;"Serviço",0,IF(AND(AUTOEVENTO="Manual",$M255=1),0,IF(OFFSET(CRONOPLE!$F$14,$M255,BQ$13)="",10^12,OFFSET(CRONOPLE!$F$14,$M255,BQ$13))))</f>
        <v>1000000000000</v>
      </c>
      <c r="BR255" s="215">
        <f ca="1">IF($D255&lt;&gt;"Serviço",0,IF(AND(AUTOEVENTO="Manual",$M255=1),0,IF(OFFSET(CRONOPLE!$F$14,$M255,BR$13)="",10^12,OFFSET(CRONOPLE!$F$14,$M255,BR$13))))</f>
        <v>1000000000000</v>
      </c>
      <c r="BS255" s="215">
        <f ca="1">IF($D255&lt;&gt;"Serviço",0,IF(AND(AUTOEVENTO="Manual",$M255=1),0,IF(OFFSET(CRONOPLE!$F$14,$M255,BS$13)="",10^12,OFFSET(CRONOPLE!$F$14,$M255,BS$13))))</f>
        <v>1000000000000</v>
      </c>
      <c r="BT255" s="215">
        <f ca="1">IF($D255&lt;&gt;"Serviço",0,IF(AND(AUTOEVENTO="Manual",$M255=1),0,IF(OFFSET(CRONOPLE!$F$14,$M255,BT$13)="",10^12,OFFSET(CRONOPLE!$F$14,$M255,BT$13))))</f>
        <v>1000000000000</v>
      </c>
      <c r="BV255" s="216">
        <f ca="1">IF($D255&lt;&gt;"Serviço",0,IF(OR(AND(AUTOEVENTO="Manual",$M255=1),$M255&gt;(ROW(PLE.lastrow)-ROW(PLE.firstrow))),0,IF(OFFSET(PLE!$G$14,$M255,BV$13)="",10^12,OFFSET(PLE!$G$14,$M255,BV$13))))</f>
        <v>1000000000000</v>
      </c>
      <c r="BW255" s="216">
        <f ca="1">IF($D255&lt;&gt;"Serviço",0,IF(OR(AND(AUTOEVENTO="Manual",$M255=1),$M255&gt;(ROW(PLE.lastrow)-ROW(PLE.firstrow))),0,IF(OFFSET(PLE!$G$14,$M255,BW$13)="",10^12,OFFSET(PLE!$G$14,$M255,BW$13))))</f>
        <v>1000000000000</v>
      </c>
      <c r="BX255" s="216">
        <f ca="1">IF($D255&lt;&gt;"Serviço",0,IF(OR(AND(AUTOEVENTO="Manual",$M255=1),$M255&gt;(ROW(PLE.lastrow)-ROW(PLE.firstrow))),0,IF(OFFSET(PLE!$G$14,$M255,BX$13)="",10^12,OFFSET(PLE!$G$14,$M255,BX$13))))</f>
        <v>1000000000000</v>
      </c>
      <c r="BY255" s="216">
        <f ca="1">IF($D255&lt;&gt;"Serviço",0,IF(OR(AND(AUTOEVENTO="Manual",$M255=1),$M255&gt;(ROW(PLE.lastrow)-ROW(PLE.firstrow))),0,IF(OFFSET(PLE!$G$14,$M255,BY$13)="",10^12,OFFSET(PLE!$G$14,$M255,BY$13))))</f>
        <v>1000000000000</v>
      </c>
      <c r="BZ255" s="216">
        <f ca="1">IF($D255&lt;&gt;"Serviço",0,IF(OR(AND(AUTOEVENTO="Manual",$M255=1),$M255&gt;(ROW(PLE.lastrow)-ROW(PLE.firstrow))),0,IF(OFFSET(PLE!$G$14,$M255,BZ$13)="",10^12,OFFSET(PLE!$G$14,$M255,BZ$13))))</f>
        <v>1000000000000</v>
      </c>
      <c r="CA255" s="216">
        <f ca="1">IF($D255&lt;&gt;"Serviço",0,IF(OR(AND(AUTOEVENTO="Manual",$M255=1),$M255&gt;(ROW(PLE.lastrow)-ROW(PLE.firstrow))),0,IF(OFFSET(PLE!$G$14,$M255,CA$13)="",10^12,OFFSET(PLE!$G$14,$M255,CA$13))))</f>
        <v>1000000000000</v>
      </c>
      <c r="CB255" s="216">
        <f ca="1">IF($D255&lt;&gt;"Serviço",0,IF(OR(AND(AUTOEVENTO="Manual",$M255=1),$M255&gt;(ROW(PLE.lastrow)-ROW(PLE.firstrow))),0,IF(OFFSET(PLE!$G$14,$M255,CB$13)="",10^12,OFFSET(PLE!$G$14,$M255,CB$13))))</f>
        <v>1000000000000</v>
      </c>
      <c r="CC255" s="216">
        <f ca="1">IF($D255&lt;&gt;"Serviço",0,IF(OR(AND(AUTOEVENTO="Manual",$M255=1),$M255&gt;(ROW(PLE.lastrow)-ROW(PLE.firstrow))),0,IF(OFFSET(PLE!$G$14,$M255,CC$13)="",10^12,OFFSET(PLE!$G$14,$M255,CC$13))))</f>
        <v>1000000000000</v>
      </c>
      <c r="CD255" s="216">
        <f ca="1">IF($D255&lt;&gt;"Serviço",0,IF(OR(AND(AUTOEVENTO="Manual",$M255=1),$M255&gt;(ROW(PLE.lastrow)-ROW(PLE.firstrow))),0,IF(OFFSET(PLE!$G$14,$M255,CD$13)="",10^12,OFFSET(PLE!$G$14,$M255,CD$13))))</f>
        <v>1000000000000</v>
      </c>
      <c r="CE255" s="216">
        <f ca="1">IF($D255&lt;&gt;"Serviço",0,IF(OR(AND(AUTOEVENTO="Manual",$M255=1),$M255&gt;(ROW(PLE.lastrow)-ROW(PLE.firstrow))),0,IF(OFFSET(PLE!$G$14,$M255,CE$13)="",10^12,OFFSET(PLE!$G$14,$M255,CE$13))))</f>
        <v>1000000000000</v>
      </c>
      <c r="CF255" s="216">
        <f ca="1">IF($D255&lt;&gt;"Serviço",0,IF(OR(AND(AUTOEVENTO="Manual",$M255=1),$M255&gt;(ROW(PLE.lastrow)-ROW(PLE.firstrow))),0,IF(OFFSET(PLE!$G$14,$M255,CF$13)="",10^12,OFFSET(PLE!$G$14,$M255,CF$13))))</f>
        <v>1000000000000</v>
      </c>
      <c r="CG255" s="216">
        <f ca="1">IF($D255&lt;&gt;"Serviço",0,IF(OR(AND(AUTOEVENTO="Manual",$M255=1),$M255&gt;(ROW(PLE.lastrow)-ROW(PLE.firstrow))),0,IF(OFFSET(PLE!$G$14,$M255,CG$13)="",10^12,OFFSET(PLE!$G$14,$M255,CG$13))))</f>
        <v>1000000000000</v>
      </c>
      <c r="CH255" s="216">
        <f ca="1">IF($D255&lt;&gt;"Serviço",0,IF(OR(AND(AUTOEVENTO="Manual",$M255=1),$M255&gt;(ROW(PLE.lastrow)-ROW(PLE.firstrow))),0,IF(OFFSET(PLE!$G$14,$M255,CH$13)="",10^12,OFFSET(PLE!$G$14,$M255,CH$13))))</f>
        <v>1000000000000</v>
      </c>
      <c r="CI255" s="216">
        <f ca="1">IF($D255&lt;&gt;"Serviço",0,IF(OR(AND(AUTOEVENTO="Manual",$M255=1),$M255&gt;(ROW(PLE.lastrow)-ROW(PLE.firstrow))),0,IF(OFFSET(PLE!$G$14,$M255,CI$13)="",10^12,OFFSET(PLE!$G$14,$M255,CI$13))))</f>
        <v>1000000000000</v>
      </c>
      <c r="CJ255" s="216">
        <f ca="1">IF($D255&lt;&gt;"Serviço",0,IF(OR(AND(AUTOEVENTO="Manual",$M255=1),$M255&gt;(ROW(PLE.lastrow)-ROW(PLE.firstrow))),0,IF(OFFSET(PLE!$G$14,$M255,CJ$13)="",10^12,OFFSET(PLE!$G$14,$M255,CJ$13))))</f>
        <v>1000000000000</v>
      </c>
      <c r="CK255" s="216">
        <f ca="1">IF($D255&lt;&gt;"Serviço",0,IF(OR(AND(AUTOEVENTO="Manual",$M255=1),$M255&gt;(ROW(PLE.lastrow)-ROW(PLE.firstrow))),0,IF(OFFSET(PLE!$G$14,$M255,CK$13)="",10^12,OFFSET(PLE!$G$14,$M255,CK$13))))</f>
        <v>1000000000000</v>
      </c>
      <c r="CL255" s="216">
        <f ca="1">IF($D255&lt;&gt;"Serviço",0,IF(OR(AND(AUTOEVENTO="Manual",$M255=1),$M255&gt;(ROW(PLE.lastrow)-ROW(PLE.firstrow))),0,IF(OFFSET(PLE!$G$14,$M255,CL$13)="",10^12,OFFSET(PLE!$G$14,$M255,CL$13))))</f>
        <v>1000000000000</v>
      </c>
      <c r="CM255" s="216">
        <f ca="1">IF($D255&lt;&gt;"Serviço",0,IF(OR(AND(AUTOEVENTO="Manual",$M255=1),$M255&gt;(ROW(PLE.lastrow)-ROW(PLE.firstrow))),0,IF(OFFSET(PLE!$G$14,$M255,CM$13)="",10^12,OFFSET(PLE!$G$14,$M255,CM$13))))</f>
        <v>1000000000000</v>
      </c>
    </row>
    <row r="256" spans="1:91" ht="13.2" x14ac:dyDescent="0.25">
      <c r="A256" s="9">
        <f t="shared" ca="1" si="12"/>
        <v>0</v>
      </c>
      <c r="B256" s="9">
        <f ca="1">OFFSET(ORÇAMENTO!C$15,ROW(B256)-ROW(B$15),0)</f>
        <v>3</v>
      </c>
      <c r="C256" s="9" t="str">
        <f ca="1">OFFSET(ORÇAMENTO!L$15,ROW(C256)-ROW(C$15),0)</f>
        <v>F</v>
      </c>
      <c r="D256" s="145" t="str">
        <f ca="1">OFFSET(ORÇAMENTO!N$15,ROW(D256)-ROW(D$15),0)</f>
        <v>Nível 3</v>
      </c>
      <c r="E256" s="205" t="str">
        <f ca="1">OFFSET(ORÇAMENTO!O$15,ROW(E256)-ROW(E$15),0)</f>
        <v>1.9.2.</v>
      </c>
      <c r="F256" s="206" t="str">
        <f ca="1">OFFSET(ORÇAMENTO!R$15,ROW(F256)-ROW(F$15),0)</f>
        <v>MURETA</v>
      </c>
      <c r="G256" s="207" t="str">
        <f ca="1">IF($D256&lt;&gt;"Serviço","",OFFSET(ORÇAMENTO!S$15,ROW(G256)-ROW(G$15),0))</f>
        <v/>
      </c>
      <c r="H256" s="151">
        <f ca="1">IF($D256&lt;&gt;"Serviço",0,IF(ACOMPANHAMENTO="BM",ROUND(OFFSET(ORÇAMENTO!AJ$15,ROW(H256)-ROW(H$15),0),15-13*ORÇAMENTO!$AF$7),SUMPRODUCT(($Q$12:$AI$12&lt;&gt;"")*ROUND($Q256:$AI256,15-13*ORÇAMENTO!$AF$7))))</f>
        <v>0</v>
      </c>
      <c r="I256" s="650"/>
      <c r="K256" s="208"/>
      <c r="L256" s="209" t="s">
        <v>257</v>
      </c>
      <c r="M256" s="210" t="str">
        <f ca="1">IF($D256&lt;&gt;"Serviço","",IF(AUTOEVENTO="manual",$A256,IF(ISERROR(MATCH($A256,$A$15:OFFSET($A256,-1,0),0)),MAX($M$15:OFFSET(M256,-1,0))+1,INDEX($M$15:OFFSET(M256,-1,0),MATCH($A256,$A$15:OFFSET($A256,-1,0),0)))))</f>
        <v/>
      </c>
      <c r="N256" s="211" t="str">
        <f ca="1">IF($D256&lt;&gt;"Serviço","",IF(AUTOEVENTO="Manual",IF($A256=0,"&lt;-- defina o número do agrupador",OFFSET(EVENTOS!$D$14,$A256,0)),OFFSET($F$15,$A256,0)))</f>
        <v/>
      </c>
      <c r="O256" s="212"/>
      <c r="Q256" s="212"/>
      <c r="R256" s="213"/>
      <c r="S256" s="213"/>
      <c r="T256" s="213"/>
      <c r="U256" s="213"/>
      <c r="V256" s="213"/>
      <c r="W256" s="213"/>
      <c r="X256" s="213"/>
      <c r="Y256" s="213"/>
      <c r="Z256" s="214"/>
      <c r="AA256" s="213"/>
      <c r="AB256" s="213"/>
      <c r="AC256" s="213"/>
      <c r="AD256" s="213"/>
      <c r="AE256" s="213"/>
      <c r="AF256" s="213"/>
      <c r="AG256" s="213"/>
      <c r="AH256" s="214"/>
      <c r="AJ256" s="631">
        <f ca="1">IF(AND($D256="Serviço",AJ$12&lt;&gt;0,$H256&gt;0,OR(AUTOEVENTO&lt;&gt;"manual",$M256&lt;&gt;1)),ROUND(OFFSET($P256,0,AJ$13),15-13*ORÇAMENTO!$AF$7)/$H256*OFFSET(ORÇAMENTO!$X$15,ROW(AJ256)-ROW(AJ$15),0),0)</f>
        <v>0</v>
      </c>
      <c r="AK256" s="632">
        <f ca="1">IF(AND($D256="Serviço",AK$12&lt;&gt;0,$H256&gt;0,OR(AUTOEVENTO&lt;&gt;"manual",$M256&lt;&gt;1)),ROUND(OFFSET($P256,0,AK$13),15-13*ORÇAMENTO!$AF$7)/$H256*OFFSET(ORÇAMENTO!$X$15,ROW(AK256)-ROW(AK$15),0),0)</f>
        <v>0</v>
      </c>
      <c r="AL256" s="632">
        <f ca="1">IF(AND($D256="Serviço",AL$12&lt;&gt;0,$H256&gt;0,OR(AUTOEVENTO&lt;&gt;"manual",$M256&lt;&gt;1)),ROUND(OFFSET($P256,0,AL$13),15-13*ORÇAMENTO!$AF$7)/$H256*OFFSET(ORÇAMENTO!$X$15,ROW(AL256)-ROW(AL$15),0),0)</f>
        <v>0</v>
      </c>
      <c r="AM256" s="632">
        <f ca="1">IF(AND($D256="Serviço",AM$12&lt;&gt;0,$H256&gt;0,OR(AUTOEVENTO&lt;&gt;"manual",$M256&lt;&gt;1)),ROUND(OFFSET($P256,0,AM$13),15-13*ORÇAMENTO!$AF$7)/$H256*OFFSET(ORÇAMENTO!$X$15,ROW(AM256)-ROW(AM$15),0),0)</f>
        <v>0</v>
      </c>
      <c r="AN256" s="632">
        <f ca="1">IF(AND($D256="Serviço",AN$12&lt;&gt;0,$H256&gt;0,OR(AUTOEVENTO&lt;&gt;"manual",$M256&lt;&gt;1)),ROUND(OFFSET($P256,0,AN$13),15-13*ORÇAMENTO!$AF$7)/$H256*OFFSET(ORÇAMENTO!$X$15,ROW(AN256)-ROW(AN$15),0),0)</f>
        <v>0</v>
      </c>
      <c r="AO256" s="632">
        <f ca="1">IF(AND($D256="Serviço",AO$12&lt;&gt;0,$H256&gt;0,OR(AUTOEVENTO&lt;&gt;"manual",$M256&lt;&gt;1)),ROUND(OFFSET($P256,0,AO$13),15-13*ORÇAMENTO!$AF$7)/$H256*OFFSET(ORÇAMENTO!$X$15,ROW(AO256)-ROW(AO$15),0),0)</f>
        <v>0</v>
      </c>
      <c r="AP256" s="632">
        <f ca="1">IF(AND($D256="Serviço",AP$12&lt;&gt;0,$H256&gt;0,OR(AUTOEVENTO&lt;&gt;"manual",$M256&lt;&gt;1)),ROUND(OFFSET($P256,0,AP$13),15-13*ORÇAMENTO!$AF$7)/$H256*OFFSET(ORÇAMENTO!$X$15,ROW(AP256)-ROW(AP$15),0),0)</f>
        <v>0</v>
      </c>
      <c r="AQ256" s="632">
        <f ca="1">IF(AND($D256="Serviço",AQ$12&lt;&gt;0,$H256&gt;0,OR(AUTOEVENTO&lt;&gt;"manual",$M256&lt;&gt;1)),ROUND(OFFSET($P256,0,AQ$13),15-13*ORÇAMENTO!$AF$7)/$H256*OFFSET(ORÇAMENTO!$X$15,ROW(AQ256)-ROW(AQ$15),0),0)</f>
        <v>0</v>
      </c>
      <c r="AR256" s="632">
        <f ca="1">IF(AND($D256="Serviço",AR$12&lt;&gt;0,$H256&gt;0,OR(AUTOEVENTO&lt;&gt;"manual",$M256&lt;&gt;1)),ROUND(OFFSET($P256,0,AR$13),15-13*ORÇAMENTO!$AF$7)/$H256*OFFSET(ORÇAMENTO!$X$15,ROW(AR256)-ROW(AR$15),0),0)</f>
        <v>0</v>
      </c>
      <c r="AS256" s="633">
        <f ca="1">IF(AND($D256="Serviço",AS$12&lt;&gt;0,$H256&gt;0,OR(AUTOEVENTO&lt;&gt;"manual",$M256&lt;&gt;1)),ROUND(OFFSET($P256,0,AS$13),15-13*ORÇAMENTO!$AF$7)/$H256*OFFSET(ORÇAMENTO!$X$15,ROW(AS256)-ROW(AS$15),0),0)</f>
        <v>0</v>
      </c>
      <c r="AT256" s="632">
        <f ca="1">IF(AND($D256="Serviço",AT$12&lt;&gt;0,$H256&gt;0,OR(AUTOEVENTO&lt;&gt;"manual",$M256&lt;&gt;1)),ROUND(OFFSET($P256,0,AT$13),15-13*ORÇAMENTO!$AF$7)/$H256*OFFSET(ORÇAMENTO!$X$15,ROW(AT256)-ROW(AT$15),0),0)</f>
        <v>0</v>
      </c>
      <c r="AU256" s="632">
        <f ca="1">IF(AND($D256="Serviço",AU$12&lt;&gt;0,$H256&gt;0,OR(AUTOEVENTO&lt;&gt;"manual",$M256&lt;&gt;1)),ROUND(OFFSET($P256,0,AU$13),15-13*ORÇAMENTO!$AF$7)/$H256*OFFSET(ORÇAMENTO!$X$15,ROW(AU256)-ROW(AU$15),0),0)</f>
        <v>0</v>
      </c>
      <c r="AV256" s="632">
        <f ca="1">IF(AND($D256="Serviço",AV$12&lt;&gt;0,$H256&gt;0,OR(AUTOEVENTO&lt;&gt;"manual",$M256&lt;&gt;1)),ROUND(OFFSET($P256,0,AV$13),15-13*ORÇAMENTO!$AF$7)/$H256*OFFSET(ORÇAMENTO!$X$15,ROW(AV256)-ROW(AV$15),0),0)</f>
        <v>0</v>
      </c>
      <c r="AW256" s="632">
        <f ca="1">IF(AND($D256="Serviço",AW$12&lt;&gt;0,$H256&gt;0,OR(AUTOEVENTO&lt;&gt;"manual",$M256&lt;&gt;1)),ROUND(OFFSET($P256,0,AW$13),15-13*ORÇAMENTO!$AF$7)/$H256*OFFSET(ORÇAMENTO!$X$15,ROW(AW256)-ROW(AW$15),0),0)</f>
        <v>0</v>
      </c>
      <c r="AX256" s="632">
        <f ca="1">IF(AND($D256="Serviço",AX$12&lt;&gt;0,$H256&gt;0,OR(AUTOEVENTO&lt;&gt;"manual",$M256&lt;&gt;1)),ROUND(OFFSET($P256,0,AX$13),15-13*ORÇAMENTO!$AF$7)/$H256*OFFSET(ORÇAMENTO!$X$15,ROW(AX256)-ROW(AX$15),0),0)</f>
        <v>0</v>
      </c>
      <c r="AY256" s="632">
        <f ca="1">IF(AND($D256="Serviço",AY$12&lt;&gt;0,$H256&gt;0,OR(AUTOEVENTO&lt;&gt;"manual",$M256&lt;&gt;1)),ROUND(OFFSET($P256,0,AY$13),15-13*ORÇAMENTO!$AF$7)/$H256*OFFSET(ORÇAMENTO!$X$15,ROW(AY256)-ROW(AY$15),0),0)</f>
        <v>0</v>
      </c>
      <c r="AZ256" s="632">
        <f ca="1">IF(AND($D256="Serviço",AZ$12&lt;&gt;0,$H256&gt;0,OR(AUTOEVENTO&lt;&gt;"manual",$M256&lt;&gt;1)),ROUND(OFFSET($P256,0,AZ$13),15-13*ORÇAMENTO!$AF$7)/$H256*OFFSET(ORÇAMENTO!$X$15,ROW(AZ256)-ROW(AZ$15),0),0)</f>
        <v>0</v>
      </c>
      <c r="BA256" s="633">
        <f ca="1">IF(AND($D256="Serviço",BA$12&lt;&gt;0,$H256&gt;0,OR(AUTOEVENTO&lt;&gt;"manual",$M256&lt;&gt;1)),ROUND(OFFSET($P256,0,BA$13),15-13*ORÇAMENTO!$AF$7)/$H256*OFFSET(ORÇAMENTO!$X$15,ROW(BA256)-ROW(BA$15),0),0)</f>
        <v>0</v>
      </c>
      <c r="BC256" s="215">
        <f ca="1">IF($D256&lt;&gt;"Serviço",0,IF(AND(AUTOEVENTO="Manual",$M256=1),0,IF(OFFSET(CRONOPLE!$F$14,$M256,BC$13)="",10^12,OFFSET(CRONOPLE!$F$14,$M256,BC$13))))</f>
        <v>0</v>
      </c>
      <c r="BD256" s="215">
        <f ca="1">IF($D256&lt;&gt;"Serviço",0,IF(AND(AUTOEVENTO="Manual",$M256=1),0,IF(OFFSET(CRONOPLE!$F$14,$M256,BD$13)="",10^12,OFFSET(CRONOPLE!$F$14,$M256,BD$13))))</f>
        <v>0</v>
      </c>
      <c r="BE256" s="215">
        <f ca="1">IF($D256&lt;&gt;"Serviço",0,IF(AND(AUTOEVENTO="Manual",$M256=1),0,IF(OFFSET(CRONOPLE!$F$14,$M256,BE$13)="",10^12,OFFSET(CRONOPLE!$F$14,$M256,BE$13))))</f>
        <v>0</v>
      </c>
      <c r="BF256" s="215">
        <f ca="1">IF($D256&lt;&gt;"Serviço",0,IF(AND(AUTOEVENTO="Manual",$M256=1),0,IF(OFFSET(CRONOPLE!$F$14,$M256,BF$13)="",10^12,OFFSET(CRONOPLE!$F$14,$M256,BF$13))))</f>
        <v>0</v>
      </c>
      <c r="BG256" s="215">
        <f ca="1">IF($D256&lt;&gt;"Serviço",0,IF(AND(AUTOEVENTO="Manual",$M256=1),0,IF(OFFSET(CRONOPLE!$F$14,$M256,BG$13)="",10^12,OFFSET(CRONOPLE!$F$14,$M256,BG$13))))</f>
        <v>0</v>
      </c>
      <c r="BH256" s="215">
        <f ca="1">IF($D256&lt;&gt;"Serviço",0,IF(AND(AUTOEVENTO="Manual",$M256=1),0,IF(OFFSET(CRONOPLE!$F$14,$M256,BH$13)="",10^12,OFFSET(CRONOPLE!$F$14,$M256,BH$13))))</f>
        <v>0</v>
      </c>
      <c r="BI256" s="215">
        <f ca="1">IF($D256&lt;&gt;"Serviço",0,IF(AND(AUTOEVENTO="Manual",$M256=1),0,IF(OFFSET(CRONOPLE!$F$14,$M256,BI$13)="",10^12,OFFSET(CRONOPLE!$F$14,$M256,BI$13))))</f>
        <v>0</v>
      </c>
      <c r="BJ256" s="215">
        <f ca="1">IF($D256&lt;&gt;"Serviço",0,IF(AND(AUTOEVENTO="Manual",$M256=1),0,IF(OFFSET(CRONOPLE!$F$14,$M256,BJ$13)="",10^12,OFFSET(CRONOPLE!$F$14,$M256,BJ$13))))</f>
        <v>0</v>
      </c>
      <c r="BK256" s="215">
        <f ca="1">IF($D256&lt;&gt;"Serviço",0,IF(AND(AUTOEVENTO="Manual",$M256=1),0,IF(OFFSET(CRONOPLE!$F$14,$M256,BK$13)="",10^12,OFFSET(CRONOPLE!$F$14,$M256,BK$13))))</f>
        <v>0</v>
      </c>
      <c r="BL256" s="215">
        <f ca="1">IF($D256&lt;&gt;"Serviço",0,IF(AND(AUTOEVENTO="Manual",$M256=1),0,IF(OFFSET(CRONOPLE!$F$14,$M256,BL$13)="",10^12,OFFSET(CRONOPLE!$F$14,$M256,BL$13))))</f>
        <v>0</v>
      </c>
      <c r="BM256" s="215">
        <f ca="1">IF($D256&lt;&gt;"Serviço",0,IF(AND(AUTOEVENTO="Manual",$M256=1),0,IF(OFFSET(CRONOPLE!$F$14,$M256,BM$13)="",10^12,OFFSET(CRONOPLE!$F$14,$M256,BM$13))))</f>
        <v>0</v>
      </c>
      <c r="BN256" s="215">
        <f ca="1">IF($D256&lt;&gt;"Serviço",0,IF(AND(AUTOEVENTO="Manual",$M256=1),0,IF(OFFSET(CRONOPLE!$F$14,$M256,BN$13)="",10^12,OFFSET(CRONOPLE!$F$14,$M256,BN$13))))</f>
        <v>0</v>
      </c>
      <c r="BO256" s="215">
        <f ca="1">IF($D256&lt;&gt;"Serviço",0,IF(AND(AUTOEVENTO="Manual",$M256=1),0,IF(OFFSET(CRONOPLE!$F$14,$M256,BO$13)="",10^12,OFFSET(CRONOPLE!$F$14,$M256,BO$13))))</f>
        <v>0</v>
      </c>
      <c r="BP256" s="215">
        <f ca="1">IF($D256&lt;&gt;"Serviço",0,IF(AND(AUTOEVENTO="Manual",$M256=1),0,IF(OFFSET(CRONOPLE!$F$14,$M256,BP$13)="",10^12,OFFSET(CRONOPLE!$F$14,$M256,BP$13))))</f>
        <v>0</v>
      </c>
      <c r="BQ256" s="215">
        <f ca="1">IF($D256&lt;&gt;"Serviço",0,IF(AND(AUTOEVENTO="Manual",$M256=1),0,IF(OFFSET(CRONOPLE!$F$14,$M256,BQ$13)="",10^12,OFFSET(CRONOPLE!$F$14,$M256,BQ$13))))</f>
        <v>0</v>
      </c>
      <c r="BR256" s="215">
        <f ca="1">IF($D256&lt;&gt;"Serviço",0,IF(AND(AUTOEVENTO="Manual",$M256=1),0,IF(OFFSET(CRONOPLE!$F$14,$M256,BR$13)="",10^12,OFFSET(CRONOPLE!$F$14,$M256,BR$13))))</f>
        <v>0</v>
      </c>
      <c r="BS256" s="215">
        <f ca="1">IF($D256&lt;&gt;"Serviço",0,IF(AND(AUTOEVENTO="Manual",$M256=1),0,IF(OFFSET(CRONOPLE!$F$14,$M256,BS$13)="",10^12,OFFSET(CRONOPLE!$F$14,$M256,BS$13))))</f>
        <v>0</v>
      </c>
      <c r="BT256" s="215">
        <f ca="1">IF($D256&lt;&gt;"Serviço",0,IF(AND(AUTOEVENTO="Manual",$M256=1),0,IF(OFFSET(CRONOPLE!$F$14,$M256,BT$13)="",10^12,OFFSET(CRONOPLE!$F$14,$M256,BT$13))))</f>
        <v>0</v>
      </c>
      <c r="BV256" s="216">
        <f ca="1">IF($D256&lt;&gt;"Serviço",0,IF(OR(AND(AUTOEVENTO="Manual",$M256=1),$M256&gt;(ROW(PLE.lastrow)-ROW(PLE.firstrow))),0,IF(OFFSET(PLE!$G$14,$M256,BV$13)="",10^12,OFFSET(PLE!$G$14,$M256,BV$13))))</f>
        <v>0</v>
      </c>
      <c r="BW256" s="216">
        <f ca="1">IF($D256&lt;&gt;"Serviço",0,IF(OR(AND(AUTOEVENTO="Manual",$M256=1),$M256&gt;(ROW(PLE.lastrow)-ROW(PLE.firstrow))),0,IF(OFFSET(PLE!$G$14,$M256,BW$13)="",10^12,OFFSET(PLE!$G$14,$M256,BW$13))))</f>
        <v>0</v>
      </c>
      <c r="BX256" s="216">
        <f ca="1">IF($D256&lt;&gt;"Serviço",0,IF(OR(AND(AUTOEVENTO="Manual",$M256=1),$M256&gt;(ROW(PLE.lastrow)-ROW(PLE.firstrow))),0,IF(OFFSET(PLE!$G$14,$M256,BX$13)="",10^12,OFFSET(PLE!$G$14,$M256,BX$13))))</f>
        <v>0</v>
      </c>
      <c r="BY256" s="216">
        <f ca="1">IF($D256&lt;&gt;"Serviço",0,IF(OR(AND(AUTOEVENTO="Manual",$M256=1),$M256&gt;(ROW(PLE.lastrow)-ROW(PLE.firstrow))),0,IF(OFFSET(PLE!$G$14,$M256,BY$13)="",10^12,OFFSET(PLE!$G$14,$M256,BY$13))))</f>
        <v>0</v>
      </c>
      <c r="BZ256" s="216">
        <f ca="1">IF($D256&lt;&gt;"Serviço",0,IF(OR(AND(AUTOEVENTO="Manual",$M256=1),$M256&gt;(ROW(PLE.lastrow)-ROW(PLE.firstrow))),0,IF(OFFSET(PLE!$G$14,$M256,BZ$13)="",10^12,OFFSET(PLE!$G$14,$M256,BZ$13))))</f>
        <v>0</v>
      </c>
      <c r="CA256" s="216">
        <f ca="1">IF($D256&lt;&gt;"Serviço",0,IF(OR(AND(AUTOEVENTO="Manual",$M256=1),$M256&gt;(ROW(PLE.lastrow)-ROW(PLE.firstrow))),0,IF(OFFSET(PLE!$G$14,$M256,CA$13)="",10^12,OFFSET(PLE!$G$14,$M256,CA$13))))</f>
        <v>0</v>
      </c>
      <c r="CB256" s="216">
        <f ca="1">IF($D256&lt;&gt;"Serviço",0,IF(OR(AND(AUTOEVENTO="Manual",$M256=1),$M256&gt;(ROW(PLE.lastrow)-ROW(PLE.firstrow))),0,IF(OFFSET(PLE!$G$14,$M256,CB$13)="",10^12,OFFSET(PLE!$G$14,$M256,CB$13))))</f>
        <v>0</v>
      </c>
      <c r="CC256" s="216">
        <f ca="1">IF($D256&lt;&gt;"Serviço",0,IF(OR(AND(AUTOEVENTO="Manual",$M256=1),$M256&gt;(ROW(PLE.lastrow)-ROW(PLE.firstrow))),0,IF(OFFSET(PLE!$G$14,$M256,CC$13)="",10^12,OFFSET(PLE!$G$14,$M256,CC$13))))</f>
        <v>0</v>
      </c>
      <c r="CD256" s="216">
        <f ca="1">IF($D256&lt;&gt;"Serviço",0,IF(OR(AND(AUTOEVENTO="Manual",$M256=1),$M256&gt;(ROW(PLE.lastrow)-ROW(PLE.firstrow))),0,IF(OFFSET(PLE!$G$14,$M256,CD$13)="",10^12,OFFSET(PLE!$G$14,$M256,CD$13))))</f>
        <v>0</v>
      </c>
      <c r="CE256" s="216">
        <f ca="1">IF($D256&lt;&gt;"Serviço",0,IF(OR(AND(AUTOEVENTO="Manual",$M256=1),$M256&gt;(ROW(PLE.lastrow)-ROW(PLE.firstrow))),0,IF(OFFSET(PLE!$G$14,$M256,CE$13)="",10^12,OFFSET(PLE!$G$14,$M256,CE$13))))</f>
        <v>0</v>
      </c>
      <c r="CF256" s="216">
        <f ca="1">IF($D256&lt;&gt;"Serviço",0,IF(OR(AND(AUTOEVENTO="Manual",$M256=1),$M256&gt;(ROW(PLE.lastrow)-ROW(PLE.firstrow))),0,IF(OFFSET(PLE!$G$14,$M256,CF$13)="",10^12,OFFSET(PLE!$G$14,$M256,CF$13))))</f>
        <v>0</v>
      </c>
      <c r="CG256" s="216">
        <f ca="1">IF($D256&lt;&gt;"Serviço",0,IF(OR(AND(AUTOEVENTO="Manual",$M256=1),$M256&gt;(ROW(PLE.lastrow)-ROW(PLE.firstrow))),0,IF(OFFSET(PLE!$G$14,$M256,CG$13)="",10^12,OFFSET(PLE!$G$14,$M256,CG$13))))</f>
        <v>0</v>
      </c>
      <c r="CH256" s="216">
        <f ca="1">IF($D256&lt;&gt;"Serviço",0,IF(OR(AND(AUTOEVENTO="Manual",$M256=1),$M256&gt;(ROW(PLE.lastrow)-ROW(PLE.firstrow))),0,IF(OFFSET(PLE!$G$14,$M256,CH$13)="",10^12,OFFSET(PLE!$G$14,$M256,CH$13))))</f>
        <v>0</v>
      </c>
      <c r="CI256" s="216">
        <f ca="1">IF($D256&lt;&gt;"Serviço",0,IF(OR(AND(AUTOEVENTO="Manual",$M256=1),$M256&gt;(ROW(PLE.lastrow)-ROW(PLE.firstrow))),0,IF(OFFSET(PLE!$G$14,$M256,CI$13)="",10^12,OFFSET(PLE!$G$14,$M256,CI$13))))</f>
        <v>0</v>
      </c>
      <c r="CJ256" s="216">
        <f ca="1">IF($D256&lt;&gt;"Serviço",0,IF(OR(AND(AUTOEVENTO="Manual",$M256=1),$M256&gt;(ROW(PLE.lastrow)-ROW(PLE.firstrow))),0,IF(OFFSET(PLE!$G$14,$M256,CJ$13)="",10^12,OFFSET(PLE!$G$14,$M256,CJ$13))))</f>
        <v>0</v>
      </c>
      <c r="CK256" s="216">
        <f ca="1">IF($D256&lt;&gt;"Serviço",0,IF(OR(AND(AUTOEVENTO="Manual",$M256=1),$M256&gt;(ROW(PLE.lastrow)-ROW(PLE.firstrow))),0,IF(OFFSET(PLE!$G$14,$M256,CK$13)="",10^12,OFFSET(PLE!$G$14,$M256,CK$13))))</f>
        <v>0</v>
      </c>
      <c r="CL256" s="216">
        <f ca="1">IF($D256&lt;&gt;"Serviço",0,IF(OR(AND(AUTOEVENTO="Manual",$M256=1),$M256&gt;(ROW(PLE.lastrow)-ROW(PLE.firstrow))),0,IF(OFFSET(PLE!$G$14,$M256,CL$13)="",10^12,OFFSET(PLE!$G$14,$M256,CL$13))))</f>
        <v>0</v>
      </c>
      <c r="CM256" s="216">
        <f ca="1">IF($D256&lt;&gt;"Serviço",0,IF(OR(AND(AUTOEVENTO="Manual",$M256=1),$M256&gt;(ROW(PLE.lastrow)-ROW(PLE.firstrow))),0,IF(OFFSET(PLE!$G$14,$M256,CM$13)="",10^12,OFFSET(PLE!$G$14,$M256,CM$13))))</f>
        <v>0</v>
      </c>
    </row>
    <row r="257" spans="1:91" ht="13.2" x14ac:dyDescent="0.25">
      <c r="A257" s="9">
        <f t="shared" ca="1" si="12"/>
        <v>0</v>
      </c>
      <c r="B257" s="9" t="str">
        <f ca="1">OFFSET(ORÇAMENTO!C$15,ROW(B257)-ROW(B$15),0)</f>
        <v>S</v>
      </c>
      <c r="C257" s="9" t="str">
        <f ca="1">OFFSET(ORÇAMENTO!L$15,ROW(C257)-ROW(C$15),0)</f>
        <v/>
      </c>
      <c r="D257" s="145" t="str">
        <f ca="1">OFFSET(ORÇAMENTO!N$15,ROW(D257)-ROW(D$15),0)</f>
        <v>Serviço</v>
      </c>
      <c r="E257" s="205" t="str">
        <f ca="1">OFFSET(ORÇAMENTO!O$15,ROW(E257)-ROW(E$15),0)</f>
        <v>-</v>
      </c>
      <c r="F257" s="206" t="str">
        <f ca="1">OFFSET(ORÇAMENTO!R$15,ROW(F257)-ROW(F$15),0)</f>
        <v>(abra o arquivo 'Referência 05-2024.xls)</v>
      </c>
      <c r="G257" s="207" t="str">
        <f ca="1">IF($D257&lt;&gt;"Serviço","",OFFSET(ORÇAMENTO!S$15,ROW(G257)-ROW(G$15),0))</f>
        <v>-</v>
      </c>
      <c r="H257" s="151">
        <f ca="1">IF($D257&lt;&gt;"Serviço",0,IF(ACOMPANHAMENTO="BM",ROUND(OFFSET(ORÇAMENTO!AJ$15,ROW(H257)-ROW(H$15),0),15-13*ORÇAMENTO!$AF$7),SUMPRODUCT(($Q$12:$AI$12&lt;&gt;"")*ROUND($Q257:$AI257,15-13*ORÇAMENTO!$AF$7))))</f>
        <v>1298.68</v>
      </c>
      <c r="I257" s="650"/>
      <c r="K257" s="208"/>
      <c r="L257" s="209" t="s">
        <v>257</v>
      </c>
      <c r="M257" s="210">
        <f ca="1">IF($D257&lt;&gt;"Serviço","",IF(AUTOEVENTO="manual",$A257,IF(ISERROR(MATCH($A257,$A$15:OFFSET($A257,-1,0),0)),MAX($M$15:OFFSET(M257,-1,0))+1,INDEX($M$15:OFFSET(M257,-1,0),MATCH($A257,$A$15:OFFSET($A257,-1,0),0)))))</f>
        <v>0</v>
      </c>
      <c r="N257" s="211" t="str">
        <f ca="1">IF($D257&lt;&gt;"Serviço","",IF(AUTOEVENTO="Manual",IF($A257=0,"&lt;-- defina o número do agrupador",OFFSET(EVENTOS!$D$14,$A257,0)),OFFSET($F$15,$A257,0)))</f>
        <v>&lt;-- defina o número do agrupador</v>
      </c>
      <c r="O257" s="212"/>
      <c r="Q257" s="212"/>
      <c r="R257" s="213"/>
      <c r="S257" s="213"/>
      <c r="T257" s="213"/>
      <c r="U257" s="213"/>
      <c r="V257" s="213"/>
      <c r="W257" s="213"/>
      <c r="X257" s="213"/>
      <c r="Y257" s="213"/>
      <c r="Z257" s="214"/>
      <c r="AA257" s="213"/>
      <c r="AB257" s="213"/>
      <c r="AC257" s="213"/>
      <c r="AD257" s="213"/>
      <c r="AE257" s="213"/>
      <c r="AF257" s="213"/>
      <c r="AG257" s="213"/>
      <c r="AH257" s="214"/>
      <c r="AJ257" s="631">
        <f ca="1">IF(AND($D257="Serviço",AJ$12&lt;&gt;0,$H257&gt;0,OR(AUTOEVENTO&lt;&gt;"manual",$M257&lt;&gt;1)),ROUND(OFFSET($P257,0,AJ$13),15-13*ORÇAMENTO!$AF$7)/$H257*OFFSET(ORÇAMENTO!$X$15,ROW(AJ257)-ROW(AJ$15),0),0)</f>
        <v>0</v>
      </c>
      <c r="AK257" s="632">
        <f ca="1">IF(AND($D257="Serviço",AK$12&lt;&gt;0,$H257&gt;0,OR(AUTOEVENTO&lt;&gt;"manual",$M257&lt;&gt;1)),ROUND(OFFSET($P257,0,AK$13),15-13*ORÇAMENTO!$AF$7)/$H257*OFFSET(ORÇAMENTO!$X$15,ROW(AK257)-ROW(AK$15),0),0)</f>
        <v>0</v>
      </c>
      <c r="AL257" s="632">
        <f ca="1">IF(AND($D257="Serviço",AL$12&lt;&gt;0,$H257&gt;0,OR(AUTOEVENTO&lt;&gt;"manual",$M257&lt;&gt;1)),ROUND(OFFSET($P257,0,AL$13),15-13*ORÇAMENTO!$AF$7)/$H257*OFFSET(ORÇAMENTO!$X$15,ROW(AL257)-ROW(AL$15),0),0)</f>
        <v>0</v>
      </c>
      <c r="AM257" s="632">
        <f ca="1">IF(AND($D257="Serviço",AM$12&lt;&gt;0,$H257&gt;0,OR(AUTOEVENTO&lt;&gt;"manual",$M257&lt;&gt;1)),ROUND(OFFSET($P257,0,AM$13),15-13*ORÇAMENTO!$AF$7)/$H257*OFFSET(ORÇAMENTO!$X$15,ROW(AM257)-ROW(AM$15),0),0)</f>
        <v>0</v>
      </c>
      <c r="AN257" s="632">
        <f ca="1">IF(AND($D257="Serviço",AN$12&lt;&gt;0,$H257&gt;0,OR(AUTOEVENTO&lt;&gt;"manual",$M257&lt;&gt;1)),ROUND(OFFSET($P257,0,AN$13),15-13*ORÇAMENTO!$AF$7)/$H257*OFFSET(ORÇAMENTO!$X$15,ROW(AN257)-ROW(AN$15),0),0)</f>
        <v>0</v>
      </c>
      <c r="AO257" s="632">
        <f ca="1">IF(AND($D257="Serviço",AO$12&lt;&gt;0,$H257&gt;0,OR(AUTOEVENTO&lt;&gt;"manual",$M257&lt;&gt;1)),ROUND(OFFSET($P257,0,AO$13),15-13*ORÇAMENTO!$AF$7)/$H257*OFFSET(ORÇAMENTO!$X$15,ROW(AO257)-ROW(AO$15),0),0)</f>
        <v>0</v>
      </c>
      <c r="AP257" s="632">
        <f ca="1">IF(AND($D257="Serviço",AP$12&lt;&gt;0,$H257&gt;0,OR(AUTOEVENTO&lt;&gt;"manual",$M257&lt;&gt;1)),ROUND(OFFSET($P257,0,AP$13),15-13*ORÇAMENTO!$AF$7)/$H257*OFFSET(ORÇAMENTO!$X$15,ROW(AP257)-ROW(AP$15),0),0)</f>
        <v>0</v>
      </c>
      <c r="AQ257" s="632">
        <f ca="1">IF(AND($D257="Serviço",AQ$12&lt;&gt;0,$H257&gt;0,OR(AUTOEVENTO&lt;&gt;"manual",$M257&lt;&gt;1)),ROUND(OFFSET($P257,0,AQ$13),15-13*ORÇAMENTO!$AF$7)/$H257*OFFSET(ORÇAMENTO!$X$15,ROW(AQ257)-ROW(AQ$15),0),0)</f>
        <v>0</v>
      </c>
      <c r="AR257" s="632">
        <f ca="1">IF(AND($D257="Serviço",AR$12&lt;&gt;0,$H257&gt;0,OR(AUTOEVENTO&lt;&gt;"manual",$M257&lt;&gt;1)),ROUND(OFFSET($P257,0,AR$13),15-13*ORÇAMENTO!$AF$7)/$H257*OFFSET(ORÇAMENTO!$X$15,ROW(AR257)-ROW(AR$15),0),0)</f>
        <v>0</v>
      </c>
      <c r="AS257" s="633">
        <f ca="1">IF(AND($D257="Serviço",AS$12&lt;&gt;0,$H257&gt;0,OR(AUTOEVENTO&lt;&gt;"manual",$M257&lt;&gt;1)),ROUND(OFFSET($P257,0,AS$13),15-13*ORÇAMENTO!$AF$7)/$H257*OFFSET(ORÇAMENTO!$X$15,ROW(AS257)-ROW(AS$15),0),0)</f>
        <v>0</v>
      </c>
      <c r="AT257" s="632">
        <f ca="1">IF(AND($D257="Serviço",AT$12&lt;&gt;0,$H257&gt;0,OR(AUTOEVENTO&lt;&gt;"manual",$M257&lt;&gt;1)),ROUND(OFFSET($P257,0,AT$13),15-13*ORÇAMENTO!$AF$7)/$H257*OFFSET(ORÇAMENTO!$X$15,ROW(AT257)-ROW(AT$15),0),0)</f>
        <v>0</v>
      </c>
      <c r="AU257" s="632">
        <f ca="1">IF(AND($D257="Serviço",AU$12&lt;&gt;0,$H257&gt;0,OR(AUTOEVENTO&lt;&gt;"manual",$M257&lt;&gt;1)),ROUND(OFFSET($P257,0,AU$13),15-13*ORÇAMENTO!$AF$7)/$H257*OFFSET(ORÇAMENTO!$X$15,ROW(AU257)-ROW(AU$15),0),0)</f>
        <v>0</v>
      </c>
      <c r="AV257" s="632">
        <f ca="1">IF(AND($D257="Serviço",AV$12&lt;&gt;0,$H257&gt;0,OR(AUTOEVENTO&lt;&gt;"manual",$M257&lt;&gt;1)),ROUND(OFFSET($P257,0,AV$13),15-13*ORÇAMENTO!$AF$7)/$H257*OFFSET(ORÇAMENTO!$X$15,ROW(AV257)-ROW(AV$15),0),0)</f>
        <v>0</v>
      </c>
      <c r="AW257" s="632">
        <f ca="1">IF(AND($D257="Serviço",AW$12&lt;&gt;0,$H257&gt;0,OR(AUTOEVENTO&lt;&gt;"manual",$M257&lt;&gt;1)),ROUND(OFFSET($P257,0,AW$13),15-13*ORÇAMENTO!$AF$7)/$H257*OFFSET(ORÇAMENTO!$X$15,ROW(AW257)-ROW(AW$15),0),0)</f>
        <v>0</v>
      </c>
      <c r="AX257" s="632">
        <f ca="1">IF(AND($D257="Serviço",AX$12&lt;&gt;0,$H257&gt;0,OR(AUTOEVENTO&lt;&gt;"manual",$M257&lt;&gt;1)),ROUND(OFFSET($P257,0,AX$13),15-13*ORÇAMENTO!$AF$7)/$H257*OFFSET(ORÇAMENTO!$X$15,ROW(AX257)-ROW(AX$15),0),0)</f>
        <v>0</v>
      </c>
      <c r="AY257" s="632">
        <f ca="1">IF(AND($D257="Serviço",AY$12&lt;&gt;0,$H257&gt;0,OR(AUTOEVENTO&lt;&gt;"manual",$M257&lt;&gt;1)),ROUND(OFFSET($P257,0,AY$13),15-13*ORÇAMENTO!$AF$7)/$H257*OFFSET(ORÇAMENTO!$X$15,ROW(AY257)-ROW(AY$15),0),0)</f>
        <v>0</v>
      </c>
      <c r="AZ257" s="632">
        <f ca="1">IF(AND($D257="Serviço",AZ$12&lt;&gt;0,$H257&gt;0,OR(AUTOEVENTO&lt;&gt;"manual",$M257&lt;&gt;1)),ROUND(OFFSET($P257,0,AZ$13),15-13*ORÇAMENTO!$AF$7)/$H257*OFFSET(ORÇAMENTO!$X$15,ROW(AZ257)-ROW(AZ$15),0),0)</f>
        <v>0</v>
      </c>
      <c r="BA257" s="633">
        <f ca="1">IF(AND($D257="Serviço",BA$12&lt;&gt;0,$H257&gt;0,OR(AUTOEVENTO&lt;&gt;"manual",$M257&lt;&gt;1)),ROUND(OFFSET($P257,0,BA$13),15-13*ORÇAMENTO!$AF$7)/$H257*OFFSET(ORÇAMENTO!$X$15,ROW(BA257)-ROW(BA$15),0),0)</f>
        <v>0</v>
      </c>
      <c r="BC257" s="215">
        <f ca="1">IF($D257&lt;&gt;"Serviço",0,IF(AND(AUTOEVENTO="Manual",$M257=1),0,IF(OFFSET(CRONOPLE!$F$14,$M257,BC$13)="",10^12,OFFSET(CRONOPLE!$F$14,$M257,BC$13))))</f>
        <v>1000000000000</v>
      </c>
      <c r="BD257" s="215">
        <f ca="1">IF($D257&lt;&gt;"Serviço",0,IF(AND(AUTOEVENTO="Manual",$M257=1),0,IF(OFFSET(CRONOPLE!$F$14,$M257,BD$13)="",10^12,OFFSET(CRONOPLE!$F$14,$M257,BD$13))))</f>
        <v>1000000000000</v>
      </c>
      <c r="BE257" s="215">
        <f ca="1">IF($D257&lt;&gt;"Serviço",0,IF(AND(AUTOEVENTO="Manual",$M257=1),0,IF(OFFSET(CRONOPLE!$F$14,$M257,BE$13)="",10^12,OFFSET(CRONOPLE!$F$14,$M257,BE$13))))</f>
        <v>1000000000000</v>
      </c>
      <c r="BF257" s="215">
        <f ca="1">IF($D257&lt;&gt;"Serviço",0,IF(AND(AUTOEVENTO="Manual",$M257=1),0,IF(OFFSET(CRONOPLE!$F$14,$M257,BF$13)="",10^12,OFFSET(CRONOPLE!$F$14,$M257,BF$13))))</f>
        <v>1000000000000</v>
      </c>
      <c r="BG257" s="215">
        <f ca="1">IF($D257&lt;&gt;"Serviço",0,IF(AND(AUTOEVENTO="Manual",$M257=1),0,IF(OFFSET(CRONOPLE!$F$14,$M257,BG$13)="",10^12,OFFSET(CRONOPLE!$F$14,$M257,BG$13))))</f>
        <v>1000000000000</v>
      </c>
      <c r="BH257" s="215">
        <f ca="1">IF($D257&lt;&gt;"Serviço",0,IF(AND(AUTOEVENTO="Manual",$M257=1),0,IF(OFFSET(CRONOPLE!$F$14,$M257,BH$13)="",10^12,OFFSET(CRONOPLE!$F$14,$M257,BH$13))))</f>
        <v>1000000000000</v>
      </c>
      <c r="BI257" s="215">
        <f ca="1">IF($D257&lt;&gt;"Serviço",0,IF(AND(AUTOEVENTO="Manual",$M257=1),0,IF(OFFSET(CRONOPLE!$F$14,$M257,BI$13)="",10^12,OFFSET(CRONOPLE!$F$14,$M257,BI$13))))</f>
        <v>1000000000000</v>
      </c>
      <c r="BJ257" s="215">
        <f ca="1">IF($D257&lt;&gt;"Serviço",0,IF(AND(AUTOEVENTO="Manual",$M257=1),0,IF(OFFSET(CRONOPLE!$F$14,$M257,BJ$13)="",10^12,OFFSET(CRONOPLE!$F$14,$M257,BJ$13))))</f>
        <v>1000000000000</v>
      </c>
      <c r="BK257" s="215">
        <f ca="1">IF($D257&lt;&gt;"Serviço",0,IF(AND(AUTOEVENTO="Manual",$M257=1),0,IF(OFFSET(CRONOPLE!$F$14,$M257,BK$13)="",10^12,OFFSET(CRONOPLE!$F$14,$M257,BK$13))))</f>
        <v>1000000000000</v>
      </c>
      <c r="BL257" s="215">
        <f ca="1">IF($D257&lt;&gt;"Serviço",0,IF(AND(AUTOEVENTO="Manual",$M257=1),0,IF(OFFSET(CRONOPLE!$F$14,$M257,BL$13)="",10^12,OFFSET(CRONOPLE!$F$14,$M257,BL$13))))</f>
        <v>1000000000000</v>
      </c>
      <c r="BM257" s="215">
        <f ca="1">IF($D257&lt;&gt;"Serviço",0,IF(AND(AUTOEVENTO="Manual",$M257=1),0,IF(OFFSET(CRONOPLE!$F$14,$M257,BM$13)="",10^12,OFFSET(CRONOPLE!$F$14,$M257,BM$13))))</f>
        <v>1000000000000</v>
      </c>
      <c r="BN257" s="215">
        <f ca="1">IF($D257&lt;&gt;"Serviço",0,IF(AND(AUTOEVENTO="Manual",$M257=1),0,IF(OFFSET(CRONOPLE!$F$14,$M257,BN$13)="",10^12,OFFSET(CRONOPLE!$F$14,$M257,BN$13))))</f>
        <v>1000000000000</v>
      </c>
      <c r="BO257" s="215">
        <f ca="1">IF($D257&lt;&gt;"Serviço",0,IF(AND(AUTOEVENTO="Manual",$M257=1),0,IF(OFFSET(CRONOPLE!$F$14,$M257,BO$13)="",10^12,OFFSET(CRONOPLE!$F$14,$M257,BO$13))))</f>
        <v>1000000000000</v>
      </c>
      <c r="BP257" s="215">
        <f ca="1">IF($D257&lt;&gt;"Serviço",0,IF(AND(AUTOEVENTO="Manual",$M257=1),0,IF(OFFSET(CRONOPLE!$F$14,$M257,BP$13)="",10^12,OFFSET(CRONOPLE!$F$14,$M257,BP$13))))</f>
        <v>1000000000000</v>
      </c>
      <c r="BQ257" s="215">
        <f ca="1">IF($D257&lt;&gt;"Serviço",0,IF(AND(AUTOEVENTO="Manual",$M257=1),0,IF(OFFSET(CRONOPLE!$F$14,$M257,BQ$13)="",10^12,OFFSET(CRONOPLE!$F$14,$M257,BQ$13))))</f>
        <v>1000000000000</v>
      </c>
      <c r="BR257" s="215">
        <f ca="1">IF($D257&lt;&gt;"Serviço",0,IF(AND(AUTOEVENTO="Manual",$M257=1),0,IF(OFFSET(CRONOPLE!$F$14,$M257,BR$13)="",10^12,OFFSET(CRONOPLE!$F$14,$M257,BR$13))))</f>
        <v>1000000000000</v>
      </c>
      <c r="BS257" s="215">
        <f ca="1">IF($D257&lt;&gt;"Serviço",0,IF(AND(AUTOEVENTO="Manual",$M257=1),0,IF(OFFSET(CRONOPLE!$F$14,$M257,BS$13)="",10^12,OFFSET(CRONOPLE!$F$14,$M257,BS$13))))</f>
        <v>1000000000000</v>
      </c>
      <c r="BT257" s="215">
        <f ca="1">IF($D257&lt;&gt;"Serviço",0,IF(AND(AUTOEVENTO="Manual",$M257=1),0,IF(OFFSET(CRONOPLE!$F$14,$M257,BT$13)="",10^12,OFFSET(CRONOPLE!$F$14,$M257,BT$13))))</f>
        <v>1000000000000</v>
      </c>
      <c r="BV257" s="216">
        <f ca="1">IF($D257&lt;&gt;"Serviço",0,IF(OR(AND(AUTOEVENTO="Manual",$M257=1),$M257&gt;(ROW(PLE.lastrow)-ROW(PLE.firstrow))),0,IF(OFFSET(PLE!$G$14,$M257,BV$13)="",10^12,OFFSET(PLE!$G$14,$M257,BV$13))))</f>
        <v>1000000000000</v>
      </c>
      <c r="BW257" s="216">
        <f ca="1">IF($D257&lt;&gt;"Serviço",0,IF(OR(AND(AUTOEVENTO="Manual",$M257=1),$M257&gt;(ROW(PLE.lastrow)-ROW(PLE.firstrow))),0,IF(OFFSET(PLE!$G$14,$M257,BW$13)="",10^12,OFFSET(PLE!$G$14,$M257,BW$13))))</f>
        <v>1000000000000</v>
      </c>
      <c r="BX257" s="216">
        <f ca="1">IF($D257&lt;&gt;"Serviço",0,IF(OR(AND(AUTOEVENTO="Manual",$M257=1),$M257&gt;(ROW(PLE.lastrow)-ROW(PLE.firstrow))),0,IF(OFFSET(PLE!$G$14,$M257,BX$13)="",10^12,OFFSET(PLE!$G$14,$M257,BX$13))))</f>
        <v>1000000000000</v>
      </c>
      <c r="BY257" s="216">
        <f ca="1">IF($D257&lt;&gt;"Serviço",0,IF(OR(AND(AUTOEVENTO="Manual",$M257=1),$M257&gt;(ROW(PLE.lastrow)-ROW(PLE.firstrow))),0,IF(OFFSET(PLE!$G$14,$M257,BY$13)="",10^12,OFFSET(PLE!$G$14,$M257,BY$13))))</f>
        <v>1000000000000</v>
      </c>
      <c r="BZ257" s="216">
        <f ca="1">IF($D257&lt;&gt;"Serviço",0,IF(OR(AND(AUTOEVENTO="Manual",$M257=1),$M257&gt;(ROW(PLE.lastrow)-ROW(PLE.firstrow))),0,IF(OFFSET(PLE!$G$14,$M257,BZ$13)="",10^12,OFFSET(PLE!$G$14,$M257,BZ$13))))</f>
        <v>1000000000000</v>
      </c>
      <c r="CA257" s="216">
        <f ca="1">IF($D257&lt;&gt;"Serviço",0,IF(OR(AND(AUTOEVENTO="Manual",$M257=1),$M257&gt;(ROW(PLE.lastrow)-ROW(PLE.firstrow))),0,IF(OFFSET(PLE!$G$14,$M257,CA$13)="",10^12,OFFSET(PLE!$G$14,$M257,CA$13))))</f>
        <v>1000000000000</v>
      </c>
      <c r="CB257" s="216">
        <f ca="1">IF($D257&lt;&gt;"Serviço",0,IF(OR(AND(AUTOEVENTO="Manual",$M257=1),$M257&gt;(ROW(PLE.lastrow)-ROW(PLE.firstrow))),0,IF(OFFSET(PLE!$G$14,$M257,CB$13)="",10^12,OFFSET(PLE!$G$14,$M257,CB$13))))</f>
        <v>1000000000000</v>
      </c>
      <c r="CC257" s="216">
        <f ca="1">IF($D257&lt;&gt;"Serviço",0,IF(OR(AND(AUTOEVENTO="Manual",$M257=1),$M257&gt;(ROW(PLE.lastrow)-ROW(PLE.firstrow))),0,IF(OFFSET(PLE!$G$14,$M257,CC$13)="",10^12,OFFSET(PLE!$G$14,$M257,CC$13))))</f>
        <v>1000000000000</v>
      </c>
      <c r="CD257" s="216">
        <f ca="1">IF($D257&lt;&gt;"Serviço",0,IF(OR(AND(AUTOEVENTO="Manual",$M257=1),$M257&gt;(ROW(PLE.lastrow)-ROW(PLE.firstrow))),0,IF(OFFSET(PLE!$G$14,$M257,CD$13)="",10^12,OFFSET(PLE!$G$14,$M257,CD$13))))</f>
        <v>1000000000000</v>
      </c>
      <c r="CE257" s="216">
        <f ca="1">IF($D257&lt;&gt;"Serviço",0,IF(OR(AND(AUTOEVENTO="Manual",$M257=1),$M257&gt;(ROW(PLE.lastrow)-ROW(PLE.firstrow))),0,IF(OFFSET(PLE!$G$14,$M257,CE$13)="",10^12,OFFSET(PLE!$G$14,$M257,CE$13))))</f>
        <v>1000000000000</v>
      </c>
      <c r="CF257" s="216">
        <f ca="1">IF($D257&lt;&gt;"Serviço",0,IF(OR(AND(AUTOEVENTO="Manual",$M257=1),$M257&gt;(ROW(PLE.lastrow)-ROW(PLE.firstrow))),0,IF(OFFSET(PLE!$G$14,$M257,CF$13)="",10^12,OFFSET(PLE!$G$14,$M257,CF$13))))</f>
        <v>1000000000000</v>
      </c>
      <c r="CG257" s="216">
        <f ca="1">IF($D257&lt;&gt;"Serviço",0,IF(OR(AND(AUTOEVENTO="Manual",$M257=1),$M257&gt;(ROW(PLE.lastrow)-ROW(PLE.firstrow))),0,IF(OFFSET(PLE!$G$14,$M257,CG$13)="",10^12,OFFSET(PLE!$G$14,$M257,CG$13))))</f>
        <v>1000000000000</v>
      </c>
      <c r="CH257" s="216">
        <f ca="1">IF($D257&lt;&gt;"Serviço",0,IF(OR(AND(AUTOEVENTO="Manual",$M257=1),$M257&gt;(ROW(PLE.lastrow)-ROW(PLE.firstrow))),0,IF(OFFSET(PLE!$G$14,$M257,CH$13)="",10^12,OFFSET(PLE!$G$14,$M257,CH$13))))</f>
        <v>1000000000000</v>
      </c>
      <c r="CI257" s="216">
        <f ca="1">IF($D257&lt;&gt;"Serviço",0,IF(OR(AND(AUTOEVENTO="Manual",$M257=1),$M257&gt;(ROW(PLE.lastrow)-ROW(PLE.firstrow))),0,IF(OFFSET(PLE!$G$14,$M257,CI$13)="",10^12,OFFSET(PLE!$G$14,$M257,CI$13))))</f>
        <v>1000000000000</v>
      </c>
      <c r="CJ257" s="216">
        <f ca="1">IF($D257&lt;&gt;"Serviço",0,IF(OR(AND(AUTOEVENTO="Manual",$M257=1),$M257&gt;(ROW(PLE.lastrow)-ROW(PLE.firstrow))),0,IF(OFFSET(PLE!$G$14,$M257,CJ$13)="",10^12,OFFSET(PLE!$G$14,$M257,CJ$13))))</f>
        <v>1000000000000</v>
      </c>
      <c r="CK257" s="216">
        <f ca="1">IF($D257&lt;&gt;"Serviço",0,IF(OR(AND(AUTOEVENTO="Manual",$M257=1),$M257&gt;(ROW(PLE.lastrow)-ROW(PLE.firstrow))),0,IF(OFFSET(PLE!$G$14,$M257,CK$13)="",10^12,OFFSET(PLE!$G$14,$M257,CK$13))))</f>
        <v>1000000000000</v>
      </c>
      <c r="CL257" s="216">
        <f ca="1">IF($D257&lt;&gt;"Serviço",0,IF(OR(AND(AUTOEVENTO="Manual",$M257=1),$M257&gt;(ROW(PLE.lastrow)-ROW(PLE.firstrow))),0,IF(OFFSET(PLE!$G$14,$M257,CL$13)="",10^12,OFFSET(PLE!$G$14,$M257,CL$13))))</f>
        <v>1000000000000</v>
      </c>
      <c r="CM257" s="216">
        <f ca="1">IF($D257&lt;&gt;"Serviço",0,IF(OR(AND(AUTOEVENTO="Manual",$M257=1),$M257&gt;(ROW(PLE.lastrow)-ROW(PLE.firstrow))),0,IF(OFFSET(PLE!$G$14,$M257,CM$13)="",10^12,OFFSET(PLE!$G$14,$M257,CM$13))))</f>
        <v>1000000000000</v>
      </c>
    </row>
    <row r="258" spans="1:91" ht="13.2" x14ac:dyDescent="0.25">
      <c r="A258" s="9">
        <f t="shared" ca="1" si="12"/>
        <v>0</v>
      </c>
      <c r="B258" s="9" t="str">
        <f ca="1">OFFSET(ORÇAMENTO!C$15,ROW(B258)-ROW(B$15),0)</f>
        <v>S</v>
      </c>
      <c r="C258" s="9" t="str">
        <f ca="1">OFFSET(ORÇAMENTO!L$15,ROW(C258)-ROW(C$15),0)</f>
        <v/>
      </c>
      <c r="D258" s="145" t="str">
        <f ca="1">OFFSET(ORÇAMENTO!N$15,ROW(D258)-ROW(D$15),0)</f>
        <v>Serviço</v>
      </c>
      <c r="E258" s="205" t="str">
        <f ca="1">OFFSET(ORÇAMENTO!O$15,ROW(E258)-ROW(E$15),0)</f>
        <v>-</v>
      </c>
      <c r="F258" s="206" t="str">
        <f ca="1">OFFSET(ORÇAMENTO!R$15,ROW(F258)-ROW(F$15),0)</f>
        <v>(abra o arquivo 'Referência 05-2024.xls)</v>
      </c>
      <c r="G258" s="207" t="str">
        <f ca="1">IF($D258&lt;&gt;"Serviço","",OFFSET(ORÇAMENTO!S$15,ROW(G258)-ROW(G$15),0))</f>
        <v>-</v>
      </c>
      <c r="H258" s="151">
        <f ca="1">IF($D258&lt;&gt;"Serviço",0,IF(ACOMPANHAMENTO="BM",ROUND(OFFSET(ORÇAMENTO!AJ$15,ROW(H258)-ROW(H$15),0),15-13*ORÇAMENTO!$AF$7),SUMPRODUCT(($Q$12:$AI$12&lt;&gt;"")*ROUND($Q258:$AI258,15-13*ORÇAMENTO!$AF$7))))</f>
        <v>1298.68</v>
      </c>
      <c r="I258" s="650"/>
      <c r="K258" s="208"/>
      <c r="L258" s="209" t="s">
        <v>257</v>
      </c>
      <c r="M258" s="210">
        <f ca="1">IF($D258&lt;&gt;"Serviço","",IF(AUTOEVENTO="manual",$A258,IF(ISERROR(MATCH($A258,$A$15:OFFSET($A258,-1,0),0)),MAX($M$15:OFFSET(M258,-1,0))+1,INDEX($M$15:OFFSET(M258,-1,0),MATCH($A258,$A$15:OFFSET($A258,-1,0),0)))))</f>
        <v>0</v>
      </c>
      <c r="N258" s="211" t="str">
        <f ca="1">IF($D258&lt;&gt;"Serviço","",IF(AUTOEVENTO="Manual",IF($A258=0,"&lt;-- defina o número do agrupador",OFFSET(EVENTOS!$D$14,$A258,0)),OFFSET($F$15,$A258,0)))</f>
        <v>&lt;-- defina o número do agrupador</v>
      </c>
      <c r="O258" s="212"/>
      <c r="Q258" s="212"/>
      <c r="R258" s="213"/>
      <c r="S258" s="213"/>
      <c r="T258" s="213"/>
      <c r="U258" s="213"/>
      <c r="V258" s="213"/>
      <c r="W258" s="213"/>
      <c r="X258" s="213"/>
      <c r="Y258" s="213"/>
      <c r="Z258" s="214"/>
      <c r="AA258" s="213"/>
      <c r="AB258" s="213"/>
      <c r="AC258" s="213"/>
      <c r="AD258" s="213"/>
      <c r="AE258" s="213"/>
      <c r="AF258" s="213"/>
      <c r="AG258" s="213"/>
      <c r="AH258" s="214"/>
      <c r="AJ258" s="631">
        <f ca="1">IF(AND($D258="Serviço",AJ$12&lt;&gt;0,$H258&gt;0,OR(AUTOEVENTO&lt;&gt;"manual",$M258&lt;&gt;1)),ROUND(OFFSET($P258,0,AJ$13),15-13*ORÇAMENTO!$AF$7)/$H258*OFFSET(ORÇAMENTO!$X$15,ROW(AJ258)-ROW(AJ$15),0),0)</f>
        <v>0</v>
      </c>
      <c r="AK258" s="632">
        <f ca="1">IF(AND($D258="Serviço",AK$12&lt;&gt;0,$H258&gt;0,OR(AUTOEVENTO&lt;&gt;"manual",$M258&lt;&gt;1)),ROUND(OFFSET($P258,0,AK$13),15-13*ORÇAMENTO!$AF$7)/$H258*OFFSET(ORÇAMENTO!$X$15,ROW(AK258)-ROW(AK$15),0),0)</f>
        <v>0</v>
      </c>
      <c r="AL258" s="632">
        <f ca="1">IF(AND($D258="Serviço",AL$12&lt;&gt;0,$H258&gt;0,OR(AUTOEVENTO&lt;&gt;"manual",$M258&lt;&gt;1)),ROUND(OFFSET($P258,0,AL$13),15-13*ORÇAMENTO!$AF$7)/$H258*OFFSET(ORÇAMENTO!$X$15,ROW(AL258)-ROW(AL$15),0),0)</f>
        <v>0</v>
      </c>
      <c r="AM258" s="632">
        <f ca="1">IF(AND($D258="Serviço",AM$12&lt;&gt;0,$H258&gt;0,OR(AUTOEVENTO&lt;&gt;"manual",$M258&lt;&gt;1)),ROUND(OFFSET($P258,0,AM$13),15-13*ORÇAMENTO!$AF$7)/$H258*OFFSET(ORÇAMENTO!$X$15,ROW(AM258)-ROW(AM$15),0),0)</f>
        <v>0</v>
      </c>
      <c r="AN258" s="632">
        <f ca="1">IF(AND($D258="Serviço",AN$12&lt;&gt;0,$H258&gt;0,OR(AUTOEVENTO&lt;&gt;"manual",$M258&lt;&gt;1)),ROUND(OFFSET($P258,0,AN$13),15-13*ORÇAMENTO!$AF$7)/$H258*OFFSET(ORÇAMENTO!$X$15,ROW(AN258)-ROW(AN$15),0),0)</f>
        <v>0</v>
      </c>
      <c r="AO258" s="632">
        <f ca="1">IF(AND($D258="Serviço",AO$12&lt;&gt;0,$H258&gt;0,OR(AUTOEVENTO&lt;&gt;"manual",$M258&lt;&gt;1)),ROUND(OFFSET($P258,0,AO$13),15-13*ORÇAMENTO!$AF$7)/$H258*OFFSET(ORÇAMENTO!$X$15,ROW(AO258)-ROW(AO$15),0),0)</f>
        <v>0</v>
      </c>
      <c r="AP258" s="632">
        <f ca="1">IF(AND($D258="Serviço",AP$12&lt;&gt;0,$H258&gt;0,OR(AUTOEVENTO&lt;&gt;"manual",$M258&lt;&gt;1)),ROUND(OFFSET($P258,0,AP$13),15-13*ORÇAMENTO!$AF$7)/$H258*OFFSET(ORÇAMENTO!$X$15,ROW(AP258)-ROW(AP$15),0),0)</f>
        <v>0</v>
      </c>
      <c r="AQ258" s="632">
        <f ca="1">IF(AND($D258="Serviço",AQ$12&lt;&gt;0,$H258&gt;0,OR(AUTOEVENTO&lt;&gt;"manual",$M258&lt;&gt;1)),ROUND(OFFSET($P258,0,AQ$13),15-13*ORÇAMENTO!$AF$7)/$H258*OFFSET(ORÇAMENTO!$X$15,ROW(AQ258)-ROW(AQ$15),0),0)</f>
        <v>0</v>
      </c>
      <c r="AR258" s="632">
        <f ca="1">IF(AND($D258="Serviço",AR$12&lt;&gt;0,$H258&gt;0,OR(AUTOEVENTO&lt;&gt;"manual",$M258&lt;&gt;1)),ROUND(OFFSET($P258,0,AR$13),15-13*ORÇAMENTO!$AF$7)/$H258*OFFSET(ORÇAMENTO!$X$15,ROW(AR258)-ROW(AR$15),0),0)</f>
        <v>0</v>
      </c>
      <c r="AS258" s="633">
        <f ca="1">IF(AND($D258="Serviço",AS$12&lt;&gt;0,$H258&gt;0,OR(AUTOEVENTO&lt;&gt;"manual",$M258&lt;&gt;1)),ROUND(OFFSET($P258,0,AS$13),15-13*ORÇAMENTO!$AF$7)/$H258*OFFSET(ORÇAMENTO!$X$15,ROW(AS258)-ROW(AS$15),0),0)</f>
        <v>0</v>
      </c>
      <c r="AT258" s="632">
        <f ca="1">IF(AND($D258="Serviço",AT$12&lt;&gt;0,$H258&gt;0,OR(AUTOEVENTO&lt;&gt;"manual",$M258&lt;&gt;1)),ROUND(OFFSET($P258,0,AT$13),15-13*ORÇAMENTO!$AF$7)/$H258*OFFSET(ORÇAMENTO!$X$15,ROW(AT258)-ROW(AT$15),0),0)</f>
        <v>0</v>
      </c>
      <c r="AU258" s="632">
        <f ca="1">IF(AND($D258="Serviço",AU$12&lt;&gt;0,$H258&gt;0,OR(AUTOEVENTO&lt;&gt;"manual",$M258&lt;&gt;1)),ROUND(OFFSET($P258,0,AU$13),15-13*ORÇAMENTO!$AF$7)/$H258*OFFSET(ORÇAMENTO!$X$15,ROW(AU258)-ROW(AU$15),0),0)</f>
        <v>0</v>
      </c>
      <c r="AV258" s="632">
        <f ca="1">IF(AND($D258="Serviço",AV$12&lt;&gt;0,$H258&gt;0,OR(AUTOEVENTO&lt;&gt;"manual",$M258&lt;&gt;1)),ROUND(OFFSET($P258,0,AV$13),15-13*ORÇAMENTO!$AF$7)/$H258*OFFSET(ORÇAMENTO!$X$15,ROW(AV258)-ROW(AV$15),0),0)</f>
        <v>0</v>
      </c>
      <c r="AW258" s="632">
        <f ca="1">IF(AND($D258="Serviço",AW$12&lt;&gt;0,$H258&gt;0,OR(AUTOEVENTO&lt;&gt;"manual",$M258&lt;&gt;1)),ROUND(OFFSET($P258,0,AW$13),15-13*ORÇAMENTO!$AF$7)/$H258*OFFSET(ORÇAMENTO!$X$15,ROW(AW258)-ROW(AW$15),0),0)</f>
        <v>0</v>
      </c>
      <c r="AX258" s="632">
        <f ca="1">IF(AND($D258="Serviço",AX$12&lt;&gt;0,$H258&gt;0,OR(AUTOEVENTO&lt;&gt;"manual",$M258&lt;&gt;1)),ROUND(OFFSET($P258,0,AX$13),15-13*ORÇAMENTO!$AF$7)/$H258*OFFSET(ORÇAMENTO!$X$15,ROW(AX258)-ROW(AX$15),0),0)</f>
        <v>0</v>
      </c>
      <c r="AY258" s="632">
        <f ca="1">IF(AND($D258="Serviço",AY$12&lt;&gt;0,$H258&gt;0,OR(AUTOEVENTO&lt;&gt;"manual",$M258&lt;&gt;1)),ROUND(OFFSET($P258,0,AY$13),15-13*ORÇAMENTO!$AF$7)/$H258*OFFSET(ORÇAMENTO!$X$15,ROW(AY258)-ROW(AY$15),0),0)</f>
        <v>0</v>
      </c>
      <c r="AZ258" s="632">
        <f ca="1">IF(AND($D258="Serviço",AZ$12&lt;&gt;0,$H258&gt;0,OR(AUTOEVENTO&lt;&gt;"manual",$M258&lt;&gt;1)),ROUND(OFFSET($P258,0,AZ$13),15-13*ORÇAMENTO!$AF$7)/$H258*OFFSET(ORÇAMENTO!$X$15,ROW(AZ258)-ROW(AZ$15),0),0)</f>
        <v>0</v>
      </c>
      <c r="BA258" s="633">
        <f ca="1">IF(AND($D258="Serviço",BA$12&lt;&gt;0,$H258&gt;0,OR(AUTOEVENTO&lt;&gt;"manual",$M258&lt;&gt;1)),ROUND(OFFSET($P258,0,BA$13),15-13*ORÇAMENTO!$AF$7)/$H258*OFFSET(ORÇAMENTO!$X$15,ROW(BA258)-ROW(BA$15),0),0)</f>
        <v>0</v>
      </c>
      <c r="BC258" s="215">
        <f ca="1">IF($D258&lt;&gt;"Serviço",0,IF(AND(AUTOEVENTO="Manual",$M258=1),0,IF(OFFSET(CRONOPLE!$F$14,$M258,BC$13)="",10^12,OFFSET(CRONOPLE!$F$14,$M258,BC$13))))</f>
        <v>1000000000000</v>
      </c>
      <c r="BD258" s="215">
        <f ca="1">IF($D258&lt;&gt;"Serviço",0,IF(AND(AUTOEVENTO="Manual",$M258=1),0,IF(OFFSET(CRONOPLE!$F$14,$M258,BD$13)="",10^12,OFFSET(CRONOPLE!$F$14,$M258,BD$13))))</f>
        <v>1000000000000</v>
      </c>
      <c r="BE258" s="215">
        <f ca="1">IF($D258&lt;&gt;"Serviço",0,IF(AND(AUTOEVENTO="Manual",$M258=1),0,IF(OFFSET(CRONOPLE!$F$14,$M258,BE$13)="",10^12,OFFSET(CRONOPLE!$F$14,$M258,BE$13))))</f>
        <v>1000000000000</v>
      </c>
      <c r="BF258" s="215">
        <f ca="1">IF($D258&lt;&gt;"Serviço",0,IF(AND(AUTOEVENTO="Manual",$M258=1),0,IF(OFFSET(CRONOPLE!$F$14,$M258,BF$13)="",10^12,OFFSET(CRONOPLE!$F$14,$M258,BF$13))))</f>
        <v>1000000000000</v>
      </c>
      <c r="BG258" s="215">
        <f ca="1">IF($D258&lt;&gt;"Serviço",0,IF(AND(AUTOEVENTO="Manual",$M258=1),0,IF(OFFSET(CRONOPLE!$F$14,$M258,BG$13)="",10^12,OFFSET(CRONOPLE!$F$14,$M258,BG$13))))</f>
        <v>1000000000000</v>
      </c>
      <c r="BH258" s="215">
        <f ca="1">IF($D258&lt;&gt;"Serviço",0,IF(AND(AUTOEVENTO="Manual",$M258=1),0,IF(OFFSET(CRONOPLE!$F$14,$M258,BH$13)="",10^12,OFFSET(CRONOPLE!$F$14,$M258,BH$13))))</f>
        <v>1000000000000</v>
      </c>
      <c r="BI258" s="215">
        <f ca="1">IF($D258&lt;&gt;"Serviço",0,IF(AND(AUTOEVENTO="Manual",$M258=1),0,IF(OFFSET(CRONOPLE!$F$14,$M258,BI$13)="",10^12,OFFSET(CRONOPLE!$F$14,$M258,BI$13))))</f>
        <v>1000000000000</v>
      </c>
      <c r="BJ258" s="215">
        <f ca="1">IF($D258&lt;&gt;"Serviço",0,IF(AND(AUTOEVENTO="Manual",$M258=1),0,IF(OFFSET(CRONOPLE!$F$14,$M258,BJ$13)="",10^12,OFFSET(CRONOPLE!$F$14,$M258,BJ$13))))</f>
        <v>1000000000000</v>
      </c>
      <c r="BK258" s="215">
        <f ca="1">IF($D258&lt;&gt;"Serviço",0,IF(AND(AUTOEVENTO="Manual",$M258=1),0,IF(OFFSET(CRONOPLE!$F$14,$M258,BK$13)="",10^12,OFFSET(CRONOPLE!$F$14,$M258,BK$13))))</f>
        <v>1000000000000</v>
      </c>
      <c r="BL258" s="215">
        <f ca="1">IF($D258&lt;&gt;"Serviço",0,IF(AND(AUTOEVENTO="Manual",$M258=1),0,IF(OFFSET(CRONOPLE!$F$14,$M258,BL$13)="",10^12,OFFSET(CRONOPLE!$F$14,$M258,BL$13))))</f>
        <v>1000000000000</v>
      </c>
      <c r="BM258" s="215">
        <f ca="1">IF($D258&lt;&gt;"Serviço",0,IF(AND(AUTOEVENTO="Manual",$M258=1),0,IF(OFFSET(CRONOPLE!$F$14,$M258,BM$13)="",10^12,OFFSET(CRONOPLE!$F$14,$M258,BM$13))))</f>
        <v>1000000000000</v>
      </c>
      <c r="BN258" s="215">
        <f ca="1">IF($D258&lt;&gt;"Serviço",0,IF(AND(AUTOEVENTO="Manual",$M258=1),0,IF(OFFSET(CRONOPLE!$F$14,$M258,BN$13)="",10^12,OFFSET(CRONOPLE!$F$14,$M258,BN$13))))</f>
        <v>1000000000000</v>
      </c>
      <c r="BO258" s="215">
        <f ca="1">IF($D258&lt;&gt;"Serviço",0,IF(AND(AUTOEVENTO="Manual",$M258=1),0,IF(OFFSET(CRONOPLE!$F$14,$M258,BO$13)="",10^12,OFFSET(CRONOPLE!$F$14,$M258,BO$13))))</f>
        <v>1000000000000</v>
      </c>
      <c r="BP258" s="215">
        <f ca="1">IF($D258&lt;&gt;"Serviço",0,IF(AND(AUTOEVENTO="Manual",$M258=1),0,IF(OFFSET(CRONOPLE!$F$14,$M258,BP$13)="",10^12,OFFSET(CRONOPLE!$F$14,$M258,BP$13))))</f>
        <v>1000000000000</v>
      </c>
      <c r="BQ258" s="215">
        <f ca="1">IF($D258&lt;&gt;"Serviço",0,IF(AND(AUTOEVENTO="Manual",$M258=1),0,IF(OFFSET(CRONOPLE!$F$14,$M258,BQ$13)="",10^12,OFFSET(CRONOPLE!$F$14,$M258,BQ$13))))</f>
        <v>1000000000000</v>
      </c>
      <c r="BR258" s="215">
        <f ca="1">IF($D258&lt;&gt;"Serviço",0,IF(AND(AUTOEVENTO="Manual",$M258=1),0,IF(OFFSET(CRONOPLE!$F$14,$M258,BR$13)="",10^12,OFFSET(CRONOPLE!$F$14,$M258,BR$13))))</f>
        <v>1000000000000</v>
      </c>
      <c r="BS258" s="215">
        <f ca="1">IF($D258&lt;&gt;"Serviço",0,IF(AND(AUTOEVENTO="Manual",$M258=1),0,IF(OFFSET(CRONOPLE!$F$14,$M258,BS$13)="",10^12,OFFSET(CRONOPLE!$F$14,$M258,BS$13))))</f>
        <v>1000000000000</v>
      </c>
      <c r="BT258" s="215">
        <f ca="1">IF($D258&lt;&gt;"Serviço",0,IF(AND(AUTOEVENTO="Manual",$M258=1),0,IF(OFFSET(CRONOPLE!$F$14,$M258,BT$13)="",10^12,OFFSET(CRONOPLE!$F$14,$M258,BT$13))))</f>
        <v>1000000000000</v>
      </c>
      <c r="BV258" s="216">
        <f ca="1">IF($D258&lt;&gt;"Serviço",0,IF(OR(AND(AUTOEVENTO="Manual",$M258=1),$M258&gt;(ROW(PLE.lastrow)-ROW(PLE.firstrow))),0,IF(OFFSET(PLE!$G$14,$M258,BV$13)="",10^12,OFFSET(PLE!$G$14,$M258,BV$13))))</f>
        <v>1000000000000</v>
      </c>
      <c r="BW258" s="216">
        <f ca="1">IF($D258&lt;&gt;"Serviço",0,IF(OR(AND(AUTOEVENTO="Manual",$M258=1),$M258&gt;(ROW(PLE.lastrow)-ROW(PLE.firstrow))),0,IF(OFFSET(PLE!$G$14,$M258,BW$13)="",10^12,OFFSET(PLE!$G$14,$M258,BW$13))))</f>
        <v>1000000000000</v>
      </c>
      <c r="BX258" s="216">
        <f ca="1">IF($D258&lt;&gt;"Serviço",0,IF(OR(AND(AUTOEVENTO="Manual",$M258=1),$M258&gt;(ROW(PLE.lastrow)-ROW(PLE.firstrow))),0,IF(OFFSET(PLE!$G$14,$M258,BX$13)="",10^12,OFFSET(PLE!$G$14,$M258,BX$13))))</f>
        <v>1000000000000</v>
      </c>
      <c r="BY258" s="216">
        <f ca="1">IF($D258&lt;&gt;"Serviço",0,IF(OR(AND(AUTOEVENTO="Manual",$M258=1),$M258&gt;(ROW(PLE.lastrow)-ROW(PLE.firstrow))),0,IF(OFFSET(PLE!$G$14,$M258,BY$13)="",10^12,OFFSET(PLE!$G$14,$M258,BY$13))))</f>
        <v>1000000000000</v>
      </c>
      <c r="BZ258" s="216">
        <f ca="1">IF($D258&lt;&gt;"Serviço",0,IF(OR(AND(AUTOEVENTO="Manual",$M258=1),$M258&gt;(ROW(PLE.lastrow)-ROW(PLE.firstrow))),0,IF(OFFSET(PLE!$G$14,$M258,BZ$13)="",10^12,OFFSET(PLE!$G$14,$M258,BZ$13))))</f>
        <v>1000000000000</v>
      </c>
      <c r="CA258" s="216">
        <f ca="1">IF($D258&lt;&gt;"Serviço",0,IF(OR(AND(AUTOEVENTO="Manual",$M258=1),$M258&gt;(ROW(PLE.lastrow)-ROW(PLE.firstrow))),0,IF(OFFSET(PLE!$G$14,$M258,CA$13)="",10^12,OFFSET(PLE!$G$14,$M258,CA$13))))</f>
        <v>1000000000000</v>
      </c>
      <c r="CB258" s="216">
        <f ca="1">IF($D258&lt;&gt;"Serviço",0,IF(OR(AND(AUTOEVENTO="Manual",$M258=1),$M258&gt;(ROW(PLE.lastrow)-ROW(PLE.firstrow))),0,IF(OFFSET(PLE!$G$14,$M258,CB$13)="",10^12,OFFSET(PLE!$G$14,$M258,CB$13))))</f>
        <v>1000000000000</v>
      </c>
      <c r="CC258" s="216">
        <f ca="1">IF($D258&lt;&gt;"Serviço",0,IF(OR(AND(AUTOEVENTO="Manual",$M258=1),$M258&gt;(ROW(PLE.lastrow)-ROW(PLE.firstrow))),0,IF(OFFSET(PLE!$G$14,$M258,CC$13)="",10^12,OFFSET(PLE!$G$14,$M258,CC$13))))</f>
        <v>1000000000000</v>
      </c>
      <c r="CD258" s="216">
        <f ca="1">IF($D258&lt;&gt;"Serviço",0,IF(OR(AND(AUTOEVENTO="Manual",$M258=1),$M258&gt;(ROW(PLE.lastrow)-ROW(PLE.firstrow))),0,IF(OFFSET(PLE!$G$14,$M258,CD$13)="",10^12,OFFSET(PLE!$G$14,$M258,CD$13))))</f>
        <v>1000000000000</v>
      </c>
      <c r="CE258" s="216">
        <f ca="1">IF($D258&lt;&gt;"Serviço",0,IF(OR(AND(AUTOEVENTO="Manual",$M258=1),$M258&gt;(ROW(PLE.lastrow)-ROW(PLE.firstrow))),0,IF(OFFSET(PLE!$G$14,$M258,CE$13)="",10^12,OFFSET(PLE!$G$14,$M258,CE$13))))</f>
        <v>1000000000000</v>
      </c>
      <c r="CF258" s="216">
        <f ca="1">IF($D258&lt;&gt;"Serviço",0,IF(OR(AND(AUTOEVENTO="Manual",$M258=1),$M258&gt;(ROW(PLE.lastrow)-ROW(PLE.firstrow))),0,IF(OFFSET(PLE!$G$14,$M258,CF$13)="",10^12,OFFSET(PLE!$G$14,$M258,CF$13))))</f>
        <v>1000000000000</v>
      </c>
      <c r="CG258" s="216">
        <f ca="1">IF($D258&lt;&gt;"Serviço",0,IF(OR(AND(AUTOEVENTO="Manual",$M258=1),$M258&gt;(ROW(PLE.lastrow)-ROW(PLE.firstrow))),0,IF(OFFSET(PLE!$G$14,$M258,CG$13)="",10^12,OFFSET(PLE!$G$14,$M258,CG$13))))</f>
        <v>1000000000000</v>
      </c>
      <c r="CH258" s="216">
        <f ca="1">IF($D258&lt;&gt;"Serviço",0,IF(OR(AND(AUTOEVENTO="Manual",$M258=1),$M258&gt;(ROW(PLE.lastrow)-ROW(PLE.firstrow))),0,IF(OFFSET(PLE!$G$14,$M258,CH$13)="",10^12,OFFSET(PLE!$G$14,$M258,CH$13))))</f>
        <v>1000000000000</v>
      </c>
      <c r="CI258" s="216">
        <f ca="1">IF($D258&lt;&gt;"Serviço",0,IF(OR(AND(AUTOEVENTO="Manual",$M258=1),$M258&gt;(ROW(PLE.lastrow)-ROW(PLE.firstrow))),0,IF(OFFSET(PLE!$G$14,$M258,CI$13)="",10^12,OFFSET(PLE!$G$14,$M258,CI$13))))</f>
        <v>1000000000000</v>
      </c>
      <c r="CJ258" s="216">
        <f ca="1">IF($D258&lt;&gt;"Serviço",0,IF(OR(AND(AUTOEVENTO="Manual",$M258=1),$M258&gt;(ROW(PLE.lastrow)-ROW(PLE.firstrow))),0,IF(OFFSET(PLE!$G$14,$M258,CJ$13)="",10^12,OFFSET(PLE!$G$14,$M258,CJ$13))))</f>
        <v>1000000000000</v>
      </c>
      <c r="CK258" s="216">
        <f ca="1">IF($D258&lt;&gt;"Serviço",0,IF(OR(AND(AUTOEVENTO="Manual",$M258=1),$M258&gt;(ROW(PLE.lastrow)-ROW(PLE.firstrow))),0,IF(OFFSET(PLE!$G$14,$M258,CK$13)="",10^12,OFFSET(PLE!$G$14,$M258,CK$13))))</f>
        <v>1000000000000</v>
      </c>
      <c r="CL258" s="216">
        <f ca="1">IF($D258&lt;&gt;"Serviço",0,IF(OR(AND(AUTOEVENTO="Manual",$M258=1),$M258&gt;(ROW(PLE.lastrow)-ROW(PLE.firstrow))),0,IF(OFFSET(PLE!$G$14,$M258,CL$13)="",10^12,OFFSET(PLE!$G$14,$M258,CL$13))))</f>
        <v>1000000000000</v>
      </c>
      <c r="CM258" s="216">
        <f ca="1">IF($D258&lt;&gt;"Serviço",0,IF(OR(AND(AUTOEVENTO="Manual",$M258=1),$M258&gt;(ROW(PLE.lastrow)-ROW(PLE.firstrow))),0,IF(OFFSET(PLE!$G$14,$M258,CM$13)="",10^12,OFFSET(PLE!$G$14,$M258,CM$13))))</f>
        <v>1000000000000</v>
      </c>
    </row>
    <row r="259" spans="1:91" ht="13.2" x14ac:dyDescent="0.25">
      <c r="A259" s="9">
        <f t="shared" ca="1" si="12"/>
        <v>0</v>
      </c>
      <c r="B259" s="9">
        <f ca="1">OFFSET(ORÇAMENTO!C$15,ROW(B259)-ROW(B$15),0)</f>
        <v>2</v>
      </c>
      <c r="C259" s="9" t="str">
        <f ca="1">OFFSET(ORÇAMENTO!L$15,ROW(C259)-ROW(C$15),0)</f>
        <v>F</v>
      </c>
      <c r="D259" s="145" t="str">
        <f ca="1">OFFSET(ORÇAMENTO!N$15,ROW(D259)-ROW(D$15),0)</f>
        <v>Nível 2</v>
      </c>
      <c r="E259" s="205" t="str">
        <f ca="1">OFFSET(ORÇAMENTO!O$15,ROW(E259)-ROW(E$15),0)</f>
        <v>1.10.</v>
      </c>
      <c r="F259" s="206" t="str">
        <f ca="1">OFFSET(ORÇAMENTO!R$15,ROW(F259)-ROW(F$15),0)</f>
        <v>SISTEMAS DE PISOS</v>
      </c>
      <c r="G259" s="207" t="str">
        <f ca="1">IF($D259&lt;&gt;"Serviço","",OFFSET(ORÇAMENTO!S$15,ROW(G259)-ROW(G$15),0))</f>
        <v/>
      </c>
      <c r="H259" s="151">
        <f ca="1">IF($D259&lt;&gt;"Serviço",0,IF(ACOMPANHAMENTO="BM",ROUND(OFFSET(ORÇAMENTO!AJ$15,ROW(H259)-ROW(H$15),0),15-13*ORÇAMENTO!$AF$7),SUMPRODUCT(($Q$12:$AI$12&lt;&gt;"")*ROUND($Q259:$AI259,15-13*ORÇAMENTO!$AF$7))))</f>
        <v>0</v>
      </c>
      <c r="I259" s="650"/>
      <c r="K259" s="208"/>
      <c r="L259" s="209" t="s">
        <v>257</v>
      </c>
      <c r="M259" s="210" t="str">
        <f ca="1">IF($D259&lt;&gt;"Serviço","",IF(AUTOEVENTO="manual",$A259,IF(ISERROR(MATCH($A259,$A$15:OFFSET($A259,-1,0),0)),MAX($M$15:OFFSET(M259,-1,0))+1,INDEX($M$15:OFFSET(M259,-1,0),MATCH($A259,$A$15:OFFSET($A259,-1,0),0)))))</f>
        <v/>
      </c>
      <c r="N259" s="211" t="str">
        <f ca="1">IF($D259&lt;&gt;"Serviço","",IF(AUTOEVENTO="Manual",IF($A259=0,"&lt;-- defina o número do agrupador",OFFSET(EVENTOS!$D$14,$A259,0)),OFFSET($F$15,$A259,0)))</f>
        <v/>
      </c>
      <c r="O259" s="212"/>
      <c r="Q259" s="212"/>
      <c r="R259" s="213"/>
      <c r="S259" s="213"/>
      <c r="T259" s="213"/>
      <c r="U259" s="213"/>
      <c r="V259" s="213"/>
      <c r="W259" s="213"/>
      <c r="X259" s="213"/>
      <c r="Y259" s="213"/>
      <c r="Z259" s="214"/>
      <c r="AA259" s="213"/>
      <c r="AB259" s="213"/>
      <c r="AC259" s="213"/>
      <c r="AD259" s="213"/>
      <c r="AE259" s="213"/>
      <c r="AF259" s="213"/>
      <c r="AG259" s="213"/>
      <c r="AH259" s="214"/>
      <c r="AJ259" s="631">
        <f ca="1">IF(AND($D259="Serviço",AJ$12&lt;&gt;0,$H259&gt;0,OR(AUTOEVENTO&lt;&gt;"manual",$M259&lt;&gt;1)),ROUND(OFFSET($P259,0,AJ$13),15-13*ORÇAMENTO!$AF$7)/$H259*OFFSET(ORÇAMENTO!$X$15,ROW(AJ259)-ROW(AJ$15),0),0)</f>
        <v>0</v>
      </c>
      <c r="AK259" s="632">
        <f ca="1">IF(AND($D259="Serviço",AK$12&lt;&gt;0,$H259&gt;0,OR(AUTOEVENTO&lt;&gt;"manual",$M259&lt;&gt;1)),ROUND(OFFSET($P259,0,AK$13),15-13*ORÇAMENTO!$AF$7)/$H259*OFFSET(ORÇAMENTO!$X$15,ROW(AK259)-ROW(AK$15),0),0)</f>
        <v>0</v>
      </c>
      <c r="AL259" s="632">
        <f ca="1">IF(AND($D259="Serviço",AL$12&lt;&gt;0,$H259&gt;0,OR(AUTOEVENTO&lt;&gt;"manual",$M259&lt;&gt;1)),ROUND(OFFSET($P259,0,AL$13),15-13*ORÇAMENTO!$AF$7)/$H259*OFFSET(ORÇAMENTO!$X$15,ROW(AL259)-ROW(AL$15),0),0)</f>
        <v>0</v>
      </c>
      <c r="AM259" s="632">
        <f ca="1">IF(AND($D259="Serviço",AM$12&lt;&gt;0,$H259&gt;0,OR(AUTOEVENTO&lt;&gt;"manual",$M259&lt;&gt;1)),ROUND(OFFSET($P259,0,AM$13),15-13*ORÇAMENTO!$AF$7)/$H259*OFFSET(ORÇAMENTO!$X$15,ROW(AM259)-ROW(AM$15),0),0)</f>
        <v>0</v>
      </c>
      <c r="AN259" s="632">
        <f ca="1">IF(AND($D259="Serviço",AN$12&lt;&gt;0,$H259&gt;0,OR(AUTOEVENTO&lt;&gt;"manual",$M259&lt;&gt;1)),ROUND(OFFSET($P259,0,AN$13),15-13*ORÇAMENTO!$AF$7)/$H259*OFFSET(ORÇAMENTO!$X$15,ROW(AN259)-ROW(AN$15),0),0)</f>
        <v>0</v>
      </c>
      <c r="AO259" s="632">
        <f ca="1">IF(AND($D259="Serviço",AO$12&lt;&gt;0,$H259&gt;0,OR(AUTOEVENTO&lt;&gt;"manual",$M259&lt;&gt;1)),ROUND(OFFSET($P259,0,AO$13),15-13*ORÇAMENTO!$AF$7)/$H259*OFFSET(ORÇAMENTO!$X$15,ROW(AO259)-ROW(AO$15),0),0)</f>
        <v>0</v>
      </c>
      <c r="AP259" s="632">
        <f ca="1">IF(AND($D259="Serviço",AP$12&lt;&gt;0,$H259&gt;0,OR(AUTOEVENTO&lt;&gt;"manual",$M259&lt;&gt;1)),ROUND(OFFSET($P259,0,AP$13),15-13*ORÇAMENTO!$AF$7)/$H259*OFFSET(ORÇAMENTO!$X$15,ROW(AP259)-ROW(AP$15),0),0)</f>
        <v>0</v>
      </c>
      <c r="AQ259" s="632">
        <f ca="1">IF(AND($D259="Serviço",AQ$12&lt;&gt;0,$H259&gt;0,OR(AUTOEVENTO&lt;&gt;"manual",$M259&lt;&gt;1)),ROUND(OFFSET($P259,0,AQ$13),15-13*ORÇAMENTO!$AF$7)/$H259*OFFSET(ORÇAMENTO!$X$15,ROW(AQ259)-ROW(AQ$15),0),0)</f>
        <v>0</v>
      </c>
      <c r="AR259" s="632">
        <f ca="1">IF(AND($D259="Serviço",AR$12&lt;&gt;0,$H259&gt;0,OR(AUTOEVENTO&lt;&gt;"manual",$M259&lt;&gt;1)),ROUND(OFFSET($P259,0,AR$13),15-13*ORÇAMENTO!$AF$7)/$H259*OFFSET(ORÇAMENTO!$X$15,ROW(AR259)-ROW(AR$15),0),0)</f>
        <v>0</v>
      </c>
      <c r="AS259" s="633">
        <f ca="1">IF(AND($D259="Serviço",AS$12&lt;&gt;0,$H259&gt;0,OR(AUTOEVENTO&lt;&gt;"manual",$M259&lt;&gt;1)),ROUND(OFFSET($P259,0,AS$13),15-13*ORÇAMENTO!$AF$7)/$H259*OFFSET(ORÇAMENTO!$X$15,ROW(AS259)-ROW(AS$15),0),0)</f>
        <v>0</v>
      </c>
      <c r="AT259" s="632">
        <f ca="1">IF(AND($D259="Serviço",AT$12&lt;&gt;0,$H259&gt;0,OR(AUTOEVENTO&lt;&gt;"manual",$M259&lt;&gt;1)),ROUND(OFFSET($P259,0,AT$13),15-13*ORÇAMENTO!$AF$7)/$H259*OFFSET(ORÇAMENTO!$X$15,ROW(AT259)-ROW(AT$15),0),0)</f>
        <v>0</v>
      </c>
      <c r="AU259" s="632">
        <f ca="1">IF(AND($D259="Serviço",AU$12&lt;&gt;0,$H259&gt;0,OR(AUTOEVENTO&lt;&gt;"manual",$M259&lt;&gt;1)),ROUND(OFFSET($P259,0,AU$13),15-13*ORÇAMENTO!$AF$7)/$H259*OFFSET(ORÇAMENTO!$X$15,ROW(AU259)-ROW(AU$15),0),0)</f>
        <v>0</v>
      </c>
      <c r="AV259" s="632">
        <f ca="1">IF(AND($D259="Serviço",AV$12&lt;&gt;0,$H259&gt;0,OR(AUTOEVENTO&lt;&gt;"manual",$M259&lt;&gt;1)),ROUND(OFFSET($P259,0,AV$13),15-13*ORÇAMENTO!$AF$7)/$H259*OFFSET(ORÇAMENTO!$X$15,ROW(AV259)-ROW(AV$15),0),0)</f>
        <v>0</v>
      </c>
      <c r="AW259" s="632">
        <f ca="1">IF(AND($D259="Serviço",AW$12&lt;&gt;0,$H259&gt;0,OR(AUTOEVENTO&lt;&gt;"manual",$M259&lt;&gt;1)),ROUND(OFFSET($P259,0,AW$13),15-13*ORÇAMENTO!$AF$7)/$H259*OFFSET(ORÇAMENTO!$X$15,ROW(AW259)-ROW(AW$15),0),0)</f>
        <v>0</v>
      </c>
      <c r="AX259" s="632">
        <f ca="1">IF(AND($D259="Serviço",AX$12&lt;&gt;0,$H259&gt;0,OR(AUTOEVENTO&lt;&gt;"manual",$M259&lt;&gt;1)),ROUND(OFFSET($P259,0,AX$13),15-13*ORÇAMENTO!$AF$7)/$H259*OFFSET(ORÇAMENTO!$X$15,ROW(AX259)-ROW(AX$15),0),0)</f>
        <v>0</v>
      </c>
      <c r="AY259" s="632">
        <f ca="1">IF(AND($D259="Serviço",AY$12&lt;&gt;0,$H259&gt;0,OR(AUTOEVENTO&lt;&gt;"manual",$M259&lt;&gt;1)),ROUND(OFFSET($P259,0,AY$13),15-13*ORÇAMENTO!$AF$7)/$H259*OFFSET(ORÇAMENTO!$X$15,ROW(AY259)-ROW(AY$15),0),0)</f>
        <v>0</v>
      </c>
      <c r="AZ259" s="632">
        <f ca="1">IF(AND($D259="Serviço",AZ$12&lt;&gt;0,$H259&gt;0,OR(AUTOEVENTO&lt;&gt;"manual",$M259&lt;&gt;1)),ROUND(OFFSET($P259,0,AZ$13),15-13*ORÇAMENTO!$AF$7)/$H259*OFFSET(ORÇAMENTO!$X$15,ROW(AZ259)-ROW(AZ$15),0),0)</f>
        <v>0</v>
      </c>
      <c r="BA259" s="633">
        <f ca="1">IF(AND($D259="Serviço",BA$12&lt;&gt;0,$H259&gt;0,OR(AUTOEVENTO&lt;&gt;"manual",$M259&lt;&gt;1)),ROUND(OFFSET($P259,0,BA$13),15-13*ORÇAMENTO!$AF$7)/$H259*OFFSET(ORÇAMENTO!$X$15,ROW(BA259)-ROW(BA$15),0),0)</f>
        <v>0</v>
      </c>
      <c r="BC259" s="215">
        <f ca="1">IF($D259&lt;&gt;"Serviço",0,IF(AND(AUTOEVENTO="Manual",$M259=1),0,IF(OFFSET(CRONOPLE!$F$14,$M259,BC$13)="",10^12,OFFSET(CRONOPLE!$F$14,$M259,BC$13))))</f>
        <v>0</v>
      </c>
      <c r="BD259" s="215">
        <f ca="1">IF($D259&lt;&gt;"Serviço",0,IF(AND(AUTOEVENTO="Manual",$M259=1),0,IF(OFFSET(CRONOPLE!$F$14,$M259,BD$13)="",10^12,OFFSET(CRONOPLE!$F$14,$M259,BD$13))))</f>
        <v>0</v>
      </c>
      <c r="BE259" s="215">
        <f ca="1">IF($D259&lt;&gt;"Serviço",0,IF(AND(AUTOEVENTO="Manual",$M259=1),0,IF(OFFSET(CRONOPLE!$F$14,$M259,BE$13)="",10^12,OFFSET(CRONOPLE!$F$14,$M259,BE$13))))</f>
        <v>0</v>
      </c>
      <c r="BF259" s="215">
        <f ca="1">IF($D259&lt;&gt;"Serviço",0,IF(AND(AUTOEVENTO="Manual",$M259=1),0,IF(OFFSET(CRONOPLE!$F$14,$M259,BF$13)="",10^12,OFFSET(CRONOPLE!$F$14,$M259,BF$13))))</f>
        <v>0</v>
      </c>
      <c r="BG259" s="215">
        <f ca="1">IF($D259&lt;&gt;"Serviço",0,IF(AND(AUTOEVENTO="Manual",$M259=1),0,IF(OFFSET(CRONOPLE!$F$14,$M259,BG$13)="",10^12,OFFSET(CRONOPLE!$F$14,$M259,BG$13))))</f>
        <v>0</v>
      </c>
      <c r="BH259" s="215">
        <f ca="1">IF($D259&lt;&gt;"Serviço",0,IF(AND(AUTOEVENTO="Manual",$M259=1),0,IF(OFFSET(CRONOPLE!$F$14,$M259,BH$13)="",10^12,OFFSET(CRONOPLE!$F$14,$M259,BH$13))))</f>
        <v>0</v>
      </c>
      <c r="BI259" s="215">
        <f ca="1">IF($D259&lt;&gt;"Serviço",0,IF(AND(AUTOEVENTO="Manual",$M259=1),0,IF(OFFSET(CRONOPLE!$F$14,$M259,BI$13)="",10^12,OFFSET(CRONOPLE!$F$14,$M259,BI$13))))</f>
        <v>0</v>
      </c>
      <c r="BJ259" s="215">
        <f ca="1">IF($D259&lt;&gt;"Serviço",0,IF(AND(AUTOEVENTO="Manual",$M259=1),0,IF(OFFSET(CRONOPLE!$F$14,$M259,BJ$13)="",10^12,OFFSET(CRONOPLE!$F$14,$M259,BJ$13))))</f>
        <v>0</v>
      </c>
      <c r="BK259" s="215">
        <f ca="1">IF($D259&lt;&gt;"Serviço",0,IF(AND(AUTOEVENTO="Manual",$M259=1),0,IF(OFFSET(CRONOPLE!$F$14,$M259,BK$13)="",10^12,OFFSET(CRONOPLE!$F$14,$M259,BK$13))))</f>
        <v>0</v>
      </c>
      <c r="BL259" s="215">
        <f ca="1">IF($D259&lt;&gt;"Serviço",0,IF(AND(AUTOEVENTO="Manual",$M259=1),0,IF(OFFSET(CRONOPLE!$F$14,$M259,BL$13)="",10^12,OFFSET(CRONOPLE!$F$14,$M259,BL$13))))</f>
        <v>0</v>
      </c>
      <c r="BM259" s="215">
        <f ca="1">IF($D259&lt;&gt;"Serviço",0,IF(AND(AUTOEVENTO="Manual",$M259=1),0,IF(OFFSET(CRONOPLE!$F$14,$M259,BM$13)="",10^12,OFFSET(CRONOPLE!$F$14,$M259,BM$13))))</f>
        <v>0</v>
      </c>
      <c r="BN259" s="215">
        <f ca="1">IF($D259&lt;&gt;"Serviço",0,IF(AND(AUTOEVENTO="Manual",$M259=1),0,IF(OFFSET(CRONOPLE!$F$14,$M259,BN$13)="",10^12,OFFSET(CRONOPLE!$F$14,$M259,BN$13))))</f>
        <v>0</v>
      </c>
      <c r="BO259" s="215">
        <f ca="1">IF($D259&lt;&gt;"Serviço",0,IF(AND(AUTOEVENTO="Manual",$M259=1),0,IF(OFFSET(CRONOPLE!$F$14,$M259,BO$13)="",10^12,OFFSET(CRONOPLE!$F$14,$M259,BO$13))))</f>
        <v>0</v>
      </c>
      <c r="BP259" s="215">
        <f ca="1">IF($D259&lt;&gt;"Serviço",0,IF(AND(AUTOEVENTO="Manual",$M259=1),0,IF(OFFSET(CRONOPLE!$F$14,$M259,BP$13)="",10^12,OFFSET(CRONOPLE!$F$14,$M259,BP$13))))</f>
        <v>0</v>
      </c>
      <c r="BQ259" s="215">
        <f ca="1">IF($D259&lt;&gt;"Serviço",0,IF(AND(AUTOEVENTO="Manual",$M259=1),0,IF(OFFSET(CRONOPLE!$F$14,$M259,BQ$13)="",10^12,OFFSET(CRONOPLE!$F$14,$M259,BQ$13))))</f>
        <v>0</v>
      </c>
      <c r="BR259" s="215">
        <f ca="1">IF($D259&lt;&gt;"Serviço",0,IF(AND(AUTOEVENTO="Manual",$M259=1),0,IF(OFFSET(CRONOPLE!$F$14,$M259,BR$13)="",10^12,OFFSET(CRONOPLE!$F$14,$M259,BR$13))))</f>
        <v>0</v>
      </c>
      <c r="BS259" s="215">
        <f ca="1">IF($D259&lt;&gt;"Serviço",0,IF(AND(AUTOEVENTO="Manual",$M259=1),0,IF(OFFSET(CRONOPLE!$F$14,$M259,BS$13)="",10^12,OFFSET(CRONOPLE!$F$14,$M259,BS$13))))</f>
        <v>0</v>
      </c>
      <c r="BT259" s="215">
        <f ca="1">IF($D259&lt;&gt;"Serviço",0,IF(AND(AUTOEVENTO="Manual",$M259=1),0,IF(OFFSET(CRONOPLE!$F$14,$M259,BT$13)="",10^12,OFFSET(CRONOPLE!$F$14,$M259,BT$13))))</f>
        <v>0</v>
      </c>
      <c r="BV259" s="216">
        <f ca="1">IF($D259&lt;&gt;"Serviço",0,IF(OR(AND(AUTOEVENTO="Manual",$M259=1),$M259&gt;(ROW(PLE.lastrow)-ROW(PLE.firstrow))),0,IF(OFFSET(PLE!$G$14,$M259,BV$13)="",10^12,OFFSET(PLE!$G$14,$M259,BV$13))))</f>
        <v>0</v>
      </c>
      <c r="BW259" s="216">
        <f ca="1">IF($D259&lt;&gt;"Serviço",0,IF(OR(AND(AUTOEVENTO="Manual",$M259=1),$M259&gt;(ROW(PLE.lastrow)-ROW(PLE.firstrow))),0,IF(OFFSET(PLE!$G$14,$M259,BW$13)="",10^12,OFFSET(PLE!$G$14,$M259,BW$13))))</f>
        <v>0</v>
      </c>
      <c r="BX259" s="216">
        <f ca="1">IF($D259&lt;&gt;"Serviço",0,IF(OR(AND(AUTOEVENTO="Manual",$M259=1),$M259&gt;(ROW(PLE.lastrow)-ROW(PLE.firstrow))),0,IF(OFFSET(PLE!$G$14,$M259,BX$13)="",10^12,OFFSET(PLE!$G$14,$M259,BX$13))))</f>
        <v>0</v>
      </c>
      <c r="BY259" s="216">
        <f ca="1">IF($D259&lt;&gt;"Serviço",0,IF(OR(AND(AUTOEVENTO="Manual",$M259=1),$M259&gt;(ROW(PLE.lastrow)-ROW(PLE.firstrow))),0,IF(OFFSET(PLE!$G$14,$M259,BY$13)="",10^12,OFFSET(PLE!$G$14,$M259,BY$13))))</f>
        <v>0</v>
      </c>
      <c r="BZ259" s="216">
        <f ca="1">IF($D259&lt;&gt;"Serviço",0,IF(OR(AND(AUTOEVENTO="Manual",$M259=1),$M259&gt;(ROW(PLE.lastrow)-ROW(PLE.firstrow))),0,IF(OFFSET(PLE!$G$14,$M259,BZ$13)="",10^12,OFFSET(PLE!$G$14,$M259,BZ$13))))</f>
        <v>0</v>
      </c>
      <c r="CA259" s="216">
        <f ca="1">IF($D259&lt;&gt;"Serviço",0,IF(OR(AND(AUTOEVENTO="Manual",$M259=1),$M259&gt;(ROW(PLE.lastrow)-ROW(PLE.firstrow))),0,IF(OFFSET(PLE!$G$14,$M259,CA$13)="",10^12,OFFSET(PLE!$G$14,$M259,CA$13))))</f>
        <v>0</v>
      </c>
      <c r="CB259" s="216">
        <f ca="1">IF($D259&lt;&gt;"Serviço",0,IF(OR(AND(AUTOEVENTO="Manual",$M259=1),$M259&gt;(ROW(PLE.lastrow)-ROW(PLE.firstrow))),0,IF(OFFSET(PLE!$G$14,$M259,CB$13)="",10^12,OFFSET(PLE!$G$14,$M259,CB$13))))</f>
        <v>0</v>
      </c>
      <c r="CC259" s="216">
        <f ca="1">IF($D259&lt;&gt;"Serviço",0,IF(OR(AND(AUTOEVENTO="Manual",$M259=1),$M259&gt;(ROW(PLE.lastrow)-ROW(PLE.firstrow))),0,IF(OFFSET(PLE!$G$14,$M259,CC$13)="",10^12,OFFSET(PLE!$G$14,$M259,CC$13))))</f>
        <v>0</v>
      </c>
      <c r="CD259" s="216">
        <f ca="1">IF($D259&lt;&gt;"Serviço",0,IF(OR(AND(AUTOEVENTO="Manual",$M259=1),$M259&gt;(ROW(PLE.lastrow)-ROW(PLE.firstrow))),0,IF(OFFSET(PLE!$G$14,$M259,CD$13)="",10^12,OFFSET(PLE!$G$14,$M259,CD$13))))</f>
        <v>0</v>
      </c>
      <c r="CE259" s="216">
        <f ca="1">IF($D259&lt;&gt;"Serviço",0,IF(OR(AND(AUTOEVENTO="Manual",$M259=1),$M259&gt;(ROW(PLE.lastrow)-ROW(PLE.firstrow))),0,IF(OFFSET(PLE!$G$14,$M259,CE$13)="",10^12,OFFSET(PLE!$G$14,$M259,CE$13))))</f>
        <v>0</v>
      </c>
      <c r="CF259" s="216">
        <f ca="1">IF($D259&lt;&gt;"Serviço",0,IF(OR(AND(AUTOEVENTO="Manual",$M259=1),$M259&gt;(ROW(PLE.lastrow)-ROW(PLE.firstrow))),0,IF(OFFSET(PLE!$G$14,$M259,CF$13)="",10^12,OFFSET(PLE!$G$14,$M259,CF$13))))</f>
        <v>0</v>
      </c>
      <c r="CG259" s="216">
        <f ca="1">IF($D259&lt;&gt;"Serviço",0,IF(OR(AND(AUTOEVENTO="Manual",$M259=1),$M259&gt;(ROW(PLE.lastrow)-ROW(PLE.firstrow))),0,IF(OFFSET(PLE!$G$14,$M259,CG$13)="",10^12,OFFSET(PLE!$G$14,$M259,CG$13))))</f>
        <v>0</v>
      </c>
      <c r="CH259" s="216">
        <f ca="1">IF($D259&lt;&gt;"Serviço",0,IF(OR(AND(AUTOEVENTO="Manual",$M259=1),$M259&gt;(ROW(PLE.lastrow)-ROW(PLE.firstrow))),0,IF(OFFSET(PLE!$G$14,$M259,CH$13)="",10^12,OFFSET(PLE!$G$14,$M259,CH$13))))</f>
        <v>0</v>
      </c>
      <c r="CI259" s="216">
        <f ca="1">IF($D259&lt;&gt;"Serviço",0,IF(OR(AND(AUTOEVENTO="Manual",$M259=1),$M259&gt;(ROW(PLE.lastrow)-ROW(PLE.firstrow))),0,IF(OFFSET(PLE!$G$14,$M259,CI$13)="",10^12,OFFSET(PLE!$G$14,$M259,CI$13))))</f>
        <v>0</v>
      </c>
      <c r="CJ259" s="216">
        <f ca="1">IF($D259&lt;&gt;"Serviço",0,IF(OR(AND(AUTOEVENTO="Manual",$M259=1),$M259&gt;(ROW(PLE.lastrow)-ROW(PLE.firstrow))),0,IF(OFFSET(PLE!$G$14,$M259,CJ$13)="",10^12,OFFSET(PLE!$G$14,$M259,CJ$13))))</f>
        <v>0</v>
      </c>
      <c r="CK259" s="216">
        <f ca="1">IF($D259&lt;&gt;"Serviço",0,IF(OR(AND(AUTOEVENTO="Manual",$M259=1),$M259&gt;(ROW(PLE.lastrow)-ROW(PLE.firstrow))),0,IF(OFFSET(PLE!$G$14,$M259,CK$13)="",10^12,OFFSET(PLE!$G$14,$M259,CK$13))))</f>
        <v>0</v>
      </c>
      <c r="CL259" s="216">
        <f ca="1">IF($D259&lt;&gt;"Serviço",0,IF(OR(AND(AUTOEVENTO="Manual",$M259=1),$M259&gt;(ROW(PLE.lastrow)-ROW(PLE.firstrow))),0,IF(OFFSET(PLE!$G$14,$M259,CL$13)="",10^12,OFFSET(PLE!$G$14,$M259,CL$13))))</f>
        <v>0</v>
      </c>
      <c r="CM259" s="216">
        <f ca="1">IF($D259&lt;&gt;"Serviço",0,IF(OR(AND(AUTOEVENTO="Manual",$M259=1),$M259&gt;(ROW(PLE.lastrow)-ROW(PLE.firstrow))),0,IF(OFFSET(PLE!$G$14,$M259,CM$13)="",10^12,OFFSET(PLE!$G$14,$M259,CM$13))))</f>
        <v>0</v>
      </c>
    </row>
    <row r="260" spans="1:91" ht="13.2" x14ac:dyDescent="0.25">
      <c r="A260" s="9">
        <f t="shared" ca="1" si="12"/>
        <v>0</v>
      </c>
      <c r="B260" s="9">
        <f ca="1">OFFSET(ORÇAMENTO!C$15,ROW(B260)-ROW(B$15),0)</f>
        <v>3</v>
      </c>
      <c r="C260" s="9" t="str">
        <f ca="1">OFFSET(ORÇAMENTO!L$15,ROW(C260)-ROW(C$15),0)</f>
        <v>F</v>
      </c>
      <c r="D260" s="145" t="str">
        <f ca="1">OFFSET(ORÇAMENTO!N$15,ROW(D260)-ROW(D$15),0)</f>
        <v>Nível 3</v>
      </c>
      <c r="E260" s="205" t="str">
        <f ca="1">OFFSET(ORÇAMENTO!O$15,ROW(E260)-ROW(E$15),0)</f>
        <v>1.10.1.</v>
      </c>
      <c r="F260" s="206" t="str">
        <f ca="1">OFFSET(ORÇAMENTO!R$15,ROW(F260)-ROW(F$15),0)</f>
        <v>PAVIMENTAÇÃO INTERNA</v>
      </c>
      <c r="G260" s="207" t="str">
        <f ca="1">IF($D260&lt;&gt;"Serviço","",OFFSET(ORÇAMENTO!S$15,ROW(G260)-ROW(G$15),0))</f>
        <v/>
      </c>
      <c r="H260" s="151">
        <f ca="1">IF($D260&lt;&gt;"Serviço",0,IF(ACOMPANHAMENTO="BM",ROUND(OFFSET(ORÇAMENTO!AJ$15,ROW(H260)-ROW(H$15),0),15-13*ORÇAMENTO!$AF$7),SUMPRODUCT(($Q$12:$AI$12&lt;&gt;"")*ROUND($Q260:$AI260,15-13*ORÇAMENTO!$AF$7))))</f>
        <v>0</v>
      </c>
      <c r="I260" s="650"/>
      <c r="K260" s="208"/>
      <c r="L260" s="209" t="s">
        <v>257</v>
      </c>
      <c r="M260" s="210" t="str">
        <f ca="1">IF($D260&lt;&gt;"Serviço","",IF(AUTOEVENTO="manual",$A260,IF(ISERROR(MATCH($A260,$A$15:OFFSET($A260,-1,0),0)),MAX($M$15:OFFSET(M260,-1,0))+1,INDEX($M$15:OFFSET(M260,-1,0),MATCH($A260,$A$15:OFFSET($A260,-1,0),0)))))</f>
        <v/>
      </c>
      <c r="N260" s="211" t="str">
        <f ca="1">IF($D260&lt;&gt;"Serviço","",IF(AUTOEVENTO="Manual",IF($A260=0,"&lt;-- defina o número do agrupador",OFFSET(EVENTOS!$D$14,$A260,0)),OFFSET($F$15,$A260,0)))</f>
        <v/>
      </c>
      <c r="O260" s="212"/>
      <c r="Q260" s="212"/>
      <c r="R260" s="213"/>
      <c r="S260" s="213"/>
      <c r="T260" s="213"/>
      <c r="U260" s="213"/>
      <c r="V260" s="213"/>
      <c r="W260" s="213"/>
      <c r="X260" s="213"/>
      <c r="Y260" s="213"/>
      <c r="Z260" s="214"/>
      <c r="AA260" s="213"/>
      <c r="AB260" s="213"/>
      <c r="AC260" s="213"/>
      <c r="AD260" s="213"/>
      <c r="AE260" s="213"/>
      <c r="AF260" s="213"/>
      <c r="AG260" s="213"/>
      <c r="AH260" s="214"/>
      <c r="AJ260" s="631">
        <f ca="1">IF(AND($D260="Serviço",AJ$12&lt;&gt;0,$H260&gt;0,OR(AUTOEVENTO&lt;&gt;"manual",$M260&lt;&gt;1)),ROUND(OFFSET($P260,0,AJ$13),15-13*ORÇAMENTO!$AF$7)/$H260*OFFSET(ORÇAMENTO!$X$15,ROW(AJ260)-ROW(AJ$15),0),0)</f>
        <v>0</v>
      </c>
      <c r="AK260" s="632">
        <f ca="1">IF(AND($D260="Serviço",AK$12&lt;&gt;0,$H260&gt;0,OR(AUTOEVENTO&lt;&gt;"manual",$M260&lt;&gt;1)),ROUND(OFFSET($P260,0,AK$13),15-13*ORÇAMENTO!$AF$7)/$H260*OFFSET(ORÇAMENTO!$X$15,ROW(AK260)-ROW(AK$15),0),0)</f>
        <v>0</v>
      </c>
      <c r="AL260" s="632">
        <f ca="1">IF(AND($D260="Serviço",AL$12&lt;&gt;0,$H260&gt;0,OR(AUTOEVENTO&lt;&gt;"manual",$M260&lt;&gt;1)),ROUND(OFFSET($P260,0,AL$13),15-13*ORÇAMENTO!$AF$7)/$H260*OFFSET(ORÇAMENTO!$X$15,ROW(AL260)-ROW(AL$15),0),0)</f>
        <v>0</v>
      </c>
      <c r="AM260" s="632">
        <f ca="1">IF(AND($D260="Serviço",AM$12&lt;&gt;0,$H260&gt;0,OR(AUTOEVENTO&lt;&gt;"manual",$M260&lt;&gt;1)),ROUND(OFFSET($P260,0,AM$13),15-13*ORÇAMENTO!$AF$7)/$H260*OFFSET(ORÇAMENTO!$X$15,ROW(AM260)-ROW(AM$15),0),0)</f>
        <v>0</v>
      </c>
      <c r="AN260" s="632">
        <f ca="1">IF(AND($D260="Serviço",AN$12&lt;&gt;0,$H260&gt;0,OR(AUTOEVENTO&lt;&gt;"manual",$M260&lt;&gt;1)),ROUND(OFFSET($P260,0,AN$13),15-13*ORÇAMENTO!$AF$7)/$H260*OFFSET(ORÇAMENTO!$X$15,ROW(AN260)-ROW(AN$15),0),0)</f>
        <v>0</v>
      </c>
      <c r="AO260" s="632">
        <f ca="1">IF(AND($D260="Serviço",AO$12&lt;&gt;0,$H260&gt;0,OR(AUTOEVENTO&lt;&gt;"manual",$M260&lt;&gt;1)),ROUND(OFFSET($P260,0,AO$13),15-13*ORÇAMENTO!$AF$7)/$H260*OFFSET(ORÇAMENTO!$X$15,ROW(AO260)-ROW(AO$15),0),0)</f>
        <v>0</v>
      </c>
      <c r="AP260" s="632">
        <f ca="1">IF(AND($D260="Serviço",AP$12&lt;&gt;0,$H260&gt;0,OR(AUTOEVENTO&lt;&gt;"manual",$M260&lt;&gt;1)),ROUND(OFFSET($P260,0,AP$13),15-13*ORÇAMENTO!$AF$7)/$H260*OFFSET(ORÇAMENTO!$X$15,ROW(AP260)-ROW(AP$15),0),0)</f>
        <v>0</v>
      </c>
      <c r="AQ260" s="632">
        <f ca="1">IF(AND($D260="Serviço",AQ$12&lt;&gt;0,$H260&gt;0,OR(AUTOEVENTO&lt;&gt;"manual",$M260&lt;&gt;1)),ROUND(OFFSET($P260,0,AQ$13),15-13*ORÇAMENTO!$AF$7)/$H260*OFFSET(ORÇAMENTO!$X$15,ROW(AQ260)-ROW(AQ$15),0),0)</f>
        <v>0</v>
      </c>
      <c r="AR260" s="632">
        <f ca="1">IF(AND($D260="Serviço",AR$12&lt;&gt;0,$H260&gt;0,OR(AUTOEVENTO&lt;&gt;"manual",$M260&lt;&gt;1)),ROUND(OFFSET($P260,0,AR$13),15-13*ORÇAMENTO!$AF$7)/$H260*OFFSET(ORÇAMENTO!$X$15,ROW(AR260)-ROW(AR$15),0),0)</f>
        <v>0</v>
      </c>
      <c r="AS260" s="633">
        <f ca="1">IF(AND($D260="Serviço",AS$12&lt;&gt;0,$H260&gt;0,OR(AUTOEVENTO&lt;&gt;"manual",$M260&lt;&gt;1)),ROUND(OFFSET($P260,0,AS$13),15-13*ORÇAMENTO!$AF$7)/$H260*OFFSET(ORÇAMENTO!$X$15,ROW(AS260)-ROW(AS$15),0),0)</f>
        <v>0</v>
      </c>
      <c r="AT260" s="632">
        <f ca="1">IF(AND($D260="Serviço",AT$12&lt;&gt;0,$H260&gt;0,OR(AUTOEVENTO&lt;&gt;"manual",$M260&lt;&gt;1)),ROUND(OFFSET($P260,0,AT$13),15-13*ORÇAMENTO!$AF$7)/$H260*OFFSET(ORÇAMENTO!$X$15,ROW(AT260)-ROW(AT$15),0),0)</f>
        <v>0</v>
      </c>
      <c r="AU260" s="632">
        <f ca="1">IF(AND($D260="Serviço",AU$12&lt;&gt;0,$H260&gt;0,OR(AUTOEVENTO&lt;&gt;"manual",$M260&lt;&gt;1)),ROUND(OFFSET($P260,0,AU$13),15-13*ORÇAMENTO!$AF$7)/$H260*OFFSET(ORÇAMENTO!$X$15,ROW(AU260)-ROW(AU$15),0),0)</f>
        <v>0</v>
      </c>
      <c r="AV260" s="632">
        <f ca="1">IF(AND($D260="Serviço",AV$12&lt;&gt;0,$H260&gt;0,OR(AUTOEVENTO&lt;&gt;"manual",$M260&lt;&gt;1)),ROUND(OFFSET($P260,0,AV$13),15-13*ORÇAMENTO!$AF$7)/$H260*OFFSET(ORÇAMENTO!$X$15,ROW(AV260)-ROW(AV$15),0),0)</f>
        <v>0</v>
      </c>
      <c r="AW260" s="632">
        <f ca="1">IF(AND($D260="Serviço",AW$12&lt;&gt;0,$H260&gt;0,OR(AUTOEVENTO&lt;&gt;"manual",$M260&lt;&gt;1)),ROUND(OFFSET($P260,0,AW$13),15-13*ORÇAMENTO!$AF$7)/$H260*OFFSET(ORÇAMENTO!$X$15,ROW(AW260)-ROW(AW$15),0),0)</f>
        <v>0</v>
      </c>
      <c r="AX260" s="632">
        <f ca="1">IF(AND($D260="Serviço",AX$12&lt;&gt;0,$H260&gt;0,OR(AUTOEVENTO&lt;&gt;"manual",$M260&lt;&gt;1)),ROUND(OFFSET($P260,0,AX$13),15-13*ORÇAMENTO!$AF$7)/$H260*OFFSET(ORÇAMENTO!$X$15,ROW(AX260)-ROW(AX$15),0),0)</f>
        <v>0</v>
      </c>
      <c r="AY260" s="632">
        <f ca="1">IF(AND($D260="Serviço",AY$12&lt;&gt;0,$H260&gt;0,OR(AUTOEVENTO&lt;&gt;"manual",$M260&lt;&gt;1)),ROUND(OFFSET($P260,0,AY$13),15-13*ORÇAMENTO!$AF$7)/$H260*OFFSET(ORÇAMENTO!$X$15,ROW(AY260)-ROW(AY$15),0),0)</f>
        <v>0</v>
      </c>
      <c r="AZ260" s="632">
        <f ca="1">IF(AND($D260="Serviço",AZ$12&lt;&gt;0,$H260&gt;0,OR(AUTOEVENTO&lt;&gt;"manual",$M260&lt;&gt;1)),ROUND(OFFSET($P260,0,AZ$13),15-13*ORÇAMENTO!$AF$7)/$H260*OFFSET(ORÇAMENTO!$X$15,ROW(AZ260)-ROW(AZ$15),0),0)</f>
        <v>0</v>
      </c>
      <c r="BA260" s="633">
        <f ca="1">IF(AND($D260="Serviço",BA$12&lt;&gt;0,$H260&gt;0,OR(AUTOEVENTO&lt;&gt;"manual",$M260&lt;&gt;1)),ROUND(OFFSET($P260,0,BA$13),15-13*ORÇAMENTO!$AF$7)/$H260*OFFSET(ORÇAMENTO!$X$15,ROW(BA260)-ROW(BA$15),0),0)</f>
        <v>0</v>
      </c>
      <c r="BC260" s="215">
        <f ca="1">IF($D260&lt;&gt;"Serviço",0,IF(AND(AUTOEVENTO="Manual",$M260=1),0,IF(OFFSET(CRONOPLE!$F$14,$M260,BC$13)="",10^12,OFFSET(CRONOPLE!$F$14,$M260,BC$13))))</f>
        <v>0</v>
      </c>
      <c r="BD260" s="215">
        <f ca="1">IF($D260&lt;&gt;"Serviço",0,IF(AND(AUTOEVENTO="Manual",$M260=1),0,IF(OFFSET(CRONOPLE!$F$14,$M260,BD$13)="",10^12,OFFSET(CRONOPLE!$F$14,$M260,BD$13))))</f>
        <v>0</v>
      </c>
      <c r="BE260" s="215">
        <f ca="1">IF($D260&lt;&gt;"Serviço",0,IF(AND(AUTOEVENTO="Manual",$M260=1),0,IF(OFFSET(CRONOPLE!$F$14,$M260,BE$13)="",10^12,OFFSET(CRONOPLE!$F$14,$M260,BE$13))))</f>
        <v>0</v>
      </c>
      <c r="BF260" s="215">
        <f ca="1">IF($D260&lt;&gt;"Serviço",0,IF(AND(AUTOEVENTO="Manual",$M260=1),0,IF(OFFSET(CRONOPLE!$F$14,$M260,BF$13)="",10^12,OFFSET(CRONOPLE!$F$14,$M260,BF$13))))</f>
        <v>0</v>
      </c>
      <c r="BG260" s="215">
        <f ca="1">IF($D260&lt;&gt;"Serviço",0,IF(AND(AUTOEVENTO="Manual",$M260=1),0,IF(OFFSET(CRONOPLE!$F$14,$M260,BG$13)="",10^12,OFFSET(CRONOPLE!$F$14,$M260,BG$13))))</f>
        <v>0</v>
      </c>
      <c r="BH260" s="215">
        <f ca="1">IF($D260&lt;&gt;"Serviço",0,IF(AND(AUTOEVENTO="Manual",$M260=1),0,IF(OFFSET(CRONOPLE!$F$14,$M260,BH$13)="",10^12,OFFSET(CRONOPLE!$F$14,$M260,BH$13))))</f>
        <v>0</v>
      </c>
      <c r="BI260" s="215">
        <f ca="1">IF($D260&lt;&gt;"Serviço",0,IF(AND(AUTOEVENTO="Manual",$M260=1),0,IF(OFFSET(CRONOPLE!$F$14,$M260,BI$13)="",10^12,OFFSET(CRONOPLE!$F$14,$M260,BI$13))))</f>
        <v>0</v>
      </c>
      <c r="BJ260" s="215">
        <f ca="1">IF($D260&lt;&gt;"Serviço",0,IF(AND(AUTOEVENTO="Manual",$M260=1),0,IF(OFFSET(CRONOPLE!$F$14,$M260,BJ$13)="",10^12,OFFSET(CRONOPLE!$F$14,$M260,BJ$13))))</f>
        <v>0</v>
      </c>
      <c r="BK260" s="215">
        <f ca="1">IF($D260&lt;&gt;"Serviço",0,IF(AND(AUTOEVENTO="Manual",$M260=1),0,IF(OFFSET(CRONOPLE!$F$14,$M260,BK$13)="",10^12,OFFSET(CRONOPLE!$F$14,$M260,BK$13))))</f>
        <v>0</v>
      </c>
      <c r="BL260" s="215">
        <f ca="1">IF($D260&lt;&gt;"Serviço",0,IF(AND(AUTOEVENTO="Manual",$M260=1),0,IF(OFFSET(CRONOPLE!$F$14,$M260,BL$13)="",10^12,OFFSET(CRONOPLE!$F$14,$M260,BL$13))))</f>
        <v>0</v>
      </c>
      <c r="BM260" s="215">
        <f ca="1">IF($D260&lt;&gt;"Serviço",0,IF(AND(AUTOEVENTO="Manual",$M260=1),0,IF(OFFSET(CRONOPLE!$F$14,$M260,BM$13)="",10^12,OFFSET(CRONOPLE!$F$14,$M260,BM$13))))</f>
        <v>0</v>
      </c>
      <c r="BN260" s="215">
        <f ca="1">IF($D260&lt;&gt;"Serviço",0,IF(AND(AUTOEVENTO="Manual",$M260=1),0,IF(OFFSET(CRONOPLE!$F$14,$M260,BN$13)="",10^12,OFFSET(CRONOPLE!$F$14,$M260,BN$13))))</f>
        <v>0</v>
      </c>
      <c r="BO260" s="215">
        <f ca="1">IF($D260&lt;&gt;"Serviço",0,IF(AND(AUTOEVENTO="Manual",$M260=1),0,IF(OFFSET(CRONOPLE!$F$14,$M260,BO$13)="",10^12,OFFSET(CRONOPLE!$F$14,$M260,BO$13))))</f>
        <v>0</v>
      </c>
      <c r="BP260" s="215">
        <f ca="1">IF($D260&lt;&gt;"Serviço",0,IF(AND(AUTOEVENTO="Manual",$M260=1),0,IF(OFFSET(CRONOPLE!$F$14,$M260,BP$13)="",10^12,OFFSET(CRONOPLE!$F$14,$M260,BP$13))))</f>
        <v>0</v>
      </c>
      <c r="BQ260" s="215">
        <f ca="1">IF($D260&lt;&gt;"Serviço",0,IF(AND(AUTOEVENTO="Manual",$M260=1),0,IF(OFFSET(CRONOPLE!$F$14,$M260,BQ$13)="",10^12,OFFSET(CRONOPLE!$F$14,$M260,BQ$13))))</f>
        <v>0</v>
      </c>
      <c r="BR260" s="215">
        <f ca="1">IF($D260&lt;&gt;"Serviço",0,IF(AND(AUTOEVENTO="Manual",$M260=1),0,IF(OFFSET(CRONOPLE!$F$14,$M260,BR$13)="",10^12,OFFSET(CRONOPLE!$F$14,$M260,BR$13))))</f>
        <v>0</v>
      </c>
      <c r="BS260" s="215">
        <f ca="1">IF($D260&lt;&gt;"Serviço",0,IF(AND(AUTOEVENTO="Manual",$M260=1),0,IF(OFFSET(CRONOPLE!$F$14,$M260,BS$13)="",10^12,OFFSET(CRONOPLE!$F$14,$M260,BS$13))))</f>
        <v>0</v>
      </c>
      <c r="BT260" s="215">
        <f ca="1">IF($D260&lt;&gt;"Serviço",0,IF(AND(AUTOEVENTO="Manual",$M260=1),0,IF(OFFSET(CRONOPLE!$F$14,$M260,BT$13)="",10^12,OFFSET(CRONOPLE!$F$14,$M260,BT$13))))</f>
        <v>0</v>
      </c>
      <c r="BV260" s="216">
        <f ca="1">IF($D260&lt;&gt;"Serviço",0,IF(OR(AND(AUTOEVENTO="Manual",$M260=1),$M260&gt;(ROW(PLE.lastrow)-ROW(PLE.firstrow))),0,IF(OFFSET(PLE!$G$14,$M260,BV$13)="",10^12,OFFSET(PLE!$G$14,$M260,BV$13))))</f>
        <v>0</v>
      </c>
      <c r="BW260" s="216">
        <f ca="1">IF($D260&lt;&gt;"Serviço",0,IF(OR(AND(AUTOEVENTO="Manual",$M260=1),$M260&gt;(ROW(PLE.lastrow)-ROW(PLE.firstrow))),0,IF(OFFSET(PLE!$G$14,$M260,BW$13)="",10^12,OFFSET(PLE!$G$14,$M260,BW$13))))</f>
        <v>0</v>
      </c>
      <c r="BX260" s="216">
        <f ca="1">IF($D260&lt;&gt;"Serviço",0,IF(OR(AND(AUTOEVENTO="Manual",$M260=1),$M260&gt;(ROW(PLE.lastrow)-ROW(PLE.firstrow))),0,IF(OFFSET(PLE!$G$14,$M260,BX$13)="",10^12,OFFSET(PLE!$G$14,$M260,BX$13))))</f>
        <v>0</v>
      </c>
      <c r="BY260" s="216">
        <f ca="1">IF($D260&lt;&gt;"Serviço",0,IF(OR(AND(AUTOEVENTO="Manual",$M260=1),$M260&gt;(ROW(PLE.lastrow)-ROW(PLE.firstrow))),0,IF(OFFSET(PLE!$G$14,$M260,BY$13)="",10^12,OFFSET(PLE!$G$14,$M260,BY$13))))</f>
        <v>0</v>
      </c>
      <c r="BZ260" s="216">
        <f ca="1">IF($D260&lt;&gt;"Serviço",0,IF(OR(AND(AUTOEVENTO="Manual",$M260=1),$M260&gt;(ROW(PLE.lastrow)-ROW(PLE.firstrow))),0,IF(OFFSET(PLE!$G$14,$M260,BZ$13)="",10^12,OFFSET(PLE!$G$14,$M260,BZ$13))))</f>
        <v>0</v>
      </c>
      <c r="CA260" s="216">
        <f ca="1">IF($D260&lt;&gt;"Serviço",0,IF(OR(AND(AUTOEVENTO="Manual",$M260=1),$M260&gt;(ROW(PLE.lastrow)-ROW(PLE.firstrow))),0,IF(OFFSET(PLE!$G$14,$M260,CA$13)="",10^12,OFFSET(PLE!$G$14,$M260,CA$13))))</f>
        <v>0</v>
      </c>
      <c r="CB260" s="216">
        <f ca="1">IF($D260&lt;&gt;"Serviço",0,IF(OR(AND(AUTOEVENTO="Manual",$M260=1),$M260&gt;(ROW(PLE.lastrow)-ROW(PLE.firstrow))),0,IF(OFFSET(PLE!$G$14,$M260,CB$13)="",10^12,OFFSET(PLE!$G$14,$M260,CB$13))))</f>
        <v>0</v>
      </c>
      <c r="CC260" s="216">
        <f ca="1">IF($D260&lt;&gt;"Serviço",0,IF(OR(AND(AUTOEVENTO="Manual",$M260=1),$M260&gt;(ROW(PLE.lastrow)-ROW(PLE.firstrow))),0,IF(OFFSET(PLE!$G$14,$M260,CC$13)="",10^12,OFFSET(PLE!$G$14,$M260,CC$13))))</f>
        <v>0</v>
      </c>
      <c r="CD260" s="216">
        <f ca="1">IF($D260&lt;&gt;"Serviço",0,IF(OR(AND(AUTOEVENTO="Manual",$M260=1),$M260&gt;(ROW(PLE.lastrow)-ROW(PLE.firstrow))),0,IF(OFFSET(PLE!$G$14,$M260,CD$13)="",10^12,OFFSET(PLE!$G$14,$M260,CD$13))))</f>
        <v>0</v>
      </c>
      <c r="CE260" s="216">
        <f ca="1">IF($D260&lt;&gt;"Serviço",0,IF(OR(AND(AUTOEVENTO="Manual",$M260=1),$M260&gt;(ROW(PLE.lastrow)-ROW(PLE.firstrow))),0,IF(OFFSET(PLE!$G$14,$M260,CE$13)="",10^12,OFFSET(PLE!$G$14,$M260,CE$13))))</f>
        <v>0</v>
      </c>
      <c r="CF260" s="216">
        <f ca="1">IF($D260&lt;&gt;"Serviço",0,IF(OR(AND(AUTOEVENTO="Manual",$M260=1),$M260&gt;(ROW(PLE.lastrow)-ROW(PLE.firstrow))),0,IF(OFFSET(PLE!$G$14,$M260,CF$13)="",10^12,OFFSET(PLE!$G$14,$M260,CF$13))))</f>
        <v>0</v>
      </c>
      <c r="CG260" s="216">
        <f ca="1">IF($D260&lt;&gt;"Serviço",0,IF(OR(AND(AUTOEVENTO="Manual",$M260=1),$M260&gt;(ROW(PLE.lastrow)-ROW(PLE.firstrow))),0,IF(OFFSET(PLE!$G$14,$M260,CG$13)="",10^12,OFFSET(PLE!$G$14,$M260,CG$13))))</f>
        <v>0</v>
      </c>
      <c r="CH260" s="216">
        <f ca="1">IF($D260&lt;&gt;"Serviço",0,IF(OR(AND(AUTOEVENTO="Manual",$M260=1),$M260&gt;(ROW(PLE.lastrow)-ROW(PLE.firstrow))),0,IF(OFFSET(PLE!$G$14,$M260,CH$13)="",10^12,OFFSET(PLE!$G$14,$M260,CH$13))))</f>
        <v>0</v>
      </c>
      <c r="CI260" s="216">
        <f ca="1">IF($D260&lt;&gt;"Serviço",0,IF(OR(AND(AUTOEVENTO="Manual",$M260=1),$M260&gt;(ROW(PLE.lastrow)-ROW(PLE.firstrow))),0,IF(OFFSET(PLE!$G$14,$M260,CI$13)="",10^12,OFFSET(PLE!$G$14,$M260,CI$13))))</f>
        <v>0</v>
      </c>
      <c r="CJ260" s="216">
        <f ca="1">IF($D260&lt;&gt;"Serviço",0,IF(OR(AND(AUTOEVENTO="Manual",$M260=1),$M260&gt;(ROW(PLE.lastrow)-ROW(PLE.firstrow))),0,IF(OFFSET(PLE!$G$14,$M260,CJ$13)="",10^12,OFFSET(PLE!$G$14,$M260,CJ$13))))</f>
        <v>0</v>
      </c>
      <c r="CK260" s="216">
        <f ca="1">IF($D260&lt;&gt;"Serviço",0,IF(OR(AND(AUTOEVENTO="Manual",$M260=1),$M260&gt;(ROW(PLE.lastrow)-ROW(PLE.firstrow))),0,IF(OFFSET(PLE!$G$14,$M260,CK$13)="",10^12,OFFSET(PLE!$G$14,$M260,CK$13))))</f>
        <v>0</v>
      </c>
      <c r="CL260" s="216">
        <f ca="1">IF($D260&lt;&gt;"Serviço",0,IF(OR(AND(AUTOEVENTO="Manual",$M260=1),$M260&gt;(ROW(PLE.lastrow)-ROW(PLE.firstrow))),0,IF(OFFSET(PLE!$G$14,$M260,CL$13)="",10^12,OFFSET(PLE!$G$14,$M260,CL$13))))</f>
        <v>0</v>
      </c>
      <c r="CM260" s="216">
        <f ca="1">IF($D260&lt;&gt;"Serviço",0,IF(OR(AND(AUTOEVENTO="Manual",$M260=1),$M260&gt;(ROW(PLE.lastrow)-ROW(PLE.firstrow))),0,IF(OFFSET(PLE!$G$14,$M260,CM$13)="",10^12,OFFSET(PLE!$G$14,$M260,CM$13))))</f>
        <v>0</v>
      </c>
    </row>
    <row r="261" spans="1:91" ht="13.2" x14ac:dyDescent="0.25">
      <c r="A261" s="9">
        <f t="shared" ca="1" si="12"/>
        <v>0</v>
      </c>
      <c r="B261" s="9" t="str">
        <f ca="1">OFFSET(ORÇAMENTO!C$15,ROW(B261)-ROW(B$15),0)</f>
        <v>S</v>
      </c>
      <c r="C261" s="9" t="str">
        <f ca="1">OFFSET(ORÇAMENTO!L$15,ROW(C261)-ROW(C$15),0)</f>
        <v/>
      </c>
      <c r="D261" s="145" t="str">
        <f ca="1">OFFSET(ORÇAMENTO!N$15,ROW(D261)-ROW(D$15),0)</f>
        <v>Serviço</v>
      </c>
      <c r="E261" s="205" t="str">
        <f ca="1">OFFSET(ORÇAMENTO!O$15,ROW(E261)-ROW(E$15),0)</f>
        <v>-</v>
      </c>
      <c r="F261" s="206" t="str">
        <f ca="1">OFFSET(ORÇAMENTO!R$15,ROW(F261)-ROW(F$15),0)</f>
        <v>(abra o arquivo 'Referência 05-2024.xls)</v>
      </c>
      <c r="G261" s="207" t="str">
        <f ca="1">IF($D261&lt;&gt;"Serviço","",OFFSET(ORÇAMENTO!S$15,ROW(G261)-ROW(G$15),0))</f>
        <v>-</v>
      </c>
      <c r="H261" s="151">
        <f ca="1">IF($D261&lt;&gt;"Serviço",0,IF(ACOMPANHAMENTO="BM",ROUND(OFFSET(ORÇAMENTO!AJ$15,ROW(H261)-ROW(H$15),0),15-13*ORÇAMENTO!$AF$7),SUMPRODUCT(($Q$12:$AI$12&lt;&gt;"")*ROUND($Q261:$AI261,15-13*ORÇAMENTO!$AF$7))))</f>
        <v>1780.58</v>
      </c>
      <c r="I261" s="650"/>
      <c r="K261" s="208"/>
      <c r="L261" s="209" t="s">
        <v>257</v>
      </c>
      <c r="M261" s="210">
        <f ca="1">IF($D261&lt;&gt;"Serviço","",IF(AUTOEVENTO="manual",$A261,IF(ISERROR(MATCH($A261,$A$15:OFFSET($A261,-1,0),0)),MAX($M$15:OFFSET(M261,-1,0))+1,INDEX($M$15:OFFSET(M261,-1,0),MATCH($A261,$A$15:OFFSET($A261,-1,0),0)))))</f>
        <v>0</v>
      </c>
      <c r="N261" s="211" t="str">
        <f ca="1">IF($D261&lt;&gt;"Serviço","",IF(AUTOEVENTO="Manual",IF($A261=0,"&lt;-- defina o número do agrupador",OFFSET(EVENTOS!$D$14,$A261,0)),OFFSET($F$15,$A261,0)))</f>
        <v>&lt;-- defina o número do agrupador</v>
      </c>
      <c r="O261" s="212"/>
      <c r="Q261" s="212"/>
      <c r="R261" s="213"/>
      <c r="S261" s="213"/>
      <c r="T261" s="213"/>
      <c r="U261" s="213"/>
      <c r="V261" s="213"/>
      <c r="W261" s="213"/>
      <c r="X261" s="213"/>
      <c r="Y261" s="213"/>
      <c r="Z261" s="214"/>
      <c r="AA261" s="213"/>
      <c r="AB261" s="213"/>
      <c r="AC261" s="213"/>
      <c r="AD261" s="213"/>
      <c r="AE261" s="213"/>
      <c r="AF261" s="213"/>
      <c r="AG261" s="213"/>
      <c r="AH261" s="214"/>
      <c r="AJ261" s="631">
        <f ca="1">IF(AND($D261="Serviço",AJ$12&lt;&gt;0,$H261&gt;0,OR(AUTOEVENTO&lt;&gt;"manual",$M261&lt;&gt;1)),ROUND(OFFSET($P261,0,AJ$13),15-13*ORÇAMENTO!$AF$7)/$H261*OFFSET(ORÇAMENTO!$X$15,ROW(AJ261)-ROW(AJ$15),0),0)</f>
        <v>0</v>
      </c>
      <c r="AK261" s="632">
        <f ca="1">IF(AND($D261="Serviço",AK$12&lt;&gt;0,$H261&gt;0,OR(AUTOEVENTO&lt;&gt;"manual",$M261&lt;&gt;1)),ROUND(OFFSET($P261,0,AK$13),15-13*ORÇAMENTO!$AF$7)/$H261*OFFSET(ORÇAMENTO!$X$15,ROW(AK261)-ROW(AK$15),0),0)</f>
        <v>0</v>
      </c>
      <c r="AL261" s="632">
        <f ca="1">IF(AND($D261="Serviço",AL$12&lt;&gt;0,$H261&gt;0,OR(AUTOEVENTO&lt;&gt;"manual",$M261&lt;&gt;1)),ROUND(OFFSET($P261,0,AL$13),15-13*ORÇAMENTO!$AF$7)/$H261*OFFSET(ORÇAMENTO!$X$15,ROW(AL261)-ROW(AL$15),0),0)</f>
        <v>0</v>
      </c>
      <c r="AM261" s="632">
        <f ca="1">IF(AND($D261="Serviço",AM$12&lt;&gt;0,$H261&gt;0,OR(AUTOEVENTO&lt;&gt;"manual",$M261&lt;&gt;1)),ROUND(OFFSET($P261,0,AM$13),15-13*ORÇAMENTO!$AF$7)/$H261*OFFSET(ORÇAMENTO!$X$15,ROW(AM261)-ROW(AM$15),0),0)</f>
        <v>0</v>
      </c>
      <c r="AN261" s="632">
        <f ca="1">IF(AND($D261="Serviço",AN$12&lt;&gt;0,$H261&gt;0,OR(AUTOEVENTO&lt;&gt;"manual",$M261&lt;&gt;1)),ROUND(OFFSET($P261,0,AN$13),15-13*ORÇAMENTO!$AF$7)/$H261*OFFSET(ORÇAMENTO!$X$15,ROW(AN261)-ROW(AN$15),0),0)</f>
        <v>0</v>
      </c>
      <c r="AO261" s="632">
        <f ca="1">IF(AND($D261="Serviço",AO$12&lt;&gt;0,$H261&gt;0,OR(AUTOEVENTO&lt;&gt;"manual",$M261&lt;&gt;1)),ROUND(OFFSET($P261,0,AO$13),15-13*ORÇAMENTO!$AF$7)/$H261*OFFSET(ORÇAMENTO!$X$15,ROW(AO261)-ROW(AO$15),0),0)</f>
        <v>0</v>
      </c>
      <c r="AP261" s="632">
        <f ca="1">IF(AND($D261="Serviço",AP$12&lt;&gt;0,$H261&gt;0,OR(AUTOEVENTO&lt;&gt;"manual",$M261&lt;&gt;1)),ROUND(OFFSET($P261,0,AP$13),15-13*ORÇAMENTO!$AF$7)/$H261*OFFSET(ORÇAMENTO!$X$15,ROW(AP261)-ROW(AP$15),0),0)</f>
        <v>0</v>
      </c>
      <c r="AQ261" s="632">
        <f ca="1">IF(AND($D261="Serviço",AQ$12&lt;&gt;0,$H261&gt;0,OR(AUTOEVENTO&lt;&gt;"manual",$M261&lt;&gt;1)),ROUND(OFFSET($P261,0,AQ$13),15-13*ORÇAMENTO!$AF$7)/$H261*OFFSET(ORÇAMENTO!$X$15,ROW(AQ261)-ROW(AQ$15),0),0)</f>
        <v>0</v>
      </c>
      <c r="AR261" s="632">
        <f ca="1">IF(AND($D261="Serviço",AR$12&lt;&gt;0,$H261&gt;0,OR(AUTOEVENTO&lt;&gt;"manual",$M261&lt;&gt;1)),ROUND(OFFSET($P261,0,AR$13),15-13*ORÇAMENTO!$AF$7)/$H261*OFFSET(ORÇAMENTO!$X$15,ROW(AR261)-ROW(AR$15),0),0)</f>
        <v>0</v>
      </c>
      <c r="AS261" s="633">
        <f ca="1">IF(AND($D261="Serviço",AS$12&lt;&gt;0,$H261&gt;0,OR(AUTOEVENTO&lt;&gt;"manual",$M261&lt;&gt;1)),ROUND(OFFSET($P261,0,AS$13),15-13*ORÇAMENTO!$AF$7)/$H261*OFFSET(ORÇAMENTO!$X$15,ROW(AS261)-ROW(AS$15),0),0)</f>
        <v>0</v>
      </c>
      <c r="AT261" s="632">
        <f ca="1">IF(AND($D261="Serviço",AT$12&lt;&gt;0,$H261&gt;0,OR(AUTOEVENTO&lt;&gt;"manual",$M261&lt;&gt;1)),ROUND(OFFSET($P261,0,AT$13),15-13*ORÇAMENTO!$AF$7)/$H261*OFFSET(ORÇAMENTO!$X$15,ROW(AT261)-ROW(AT$15),0),0)</f>
        <v>0</v>
      </c>
      <c r="AU261" s="632">
        <f ca="1">IF(AND($D261="Serviço",AU$12&lt;&gt;0,$H261&gt;0,OR(AUTOEVENTO&lt;&gt;"manual",$M261&lt;&gt;1)),ROUND(OFFSET($P261,0,AU$13),15-13*ORÇAMENTO!$AF$7)/$H261*OFFSET(ORÇAMENTO!$X$15,ROW(AU261)-ROW(AU$15),0),0)</f>
        <v>0</v>
      </c>
      <c r="AV261" s="632">
        <f ca="1">IF(AND($D261="Serviço",AV$12&lt;&gt;0,$H261&gt;0,OR(AUTOEVENTO&lt;&gt;"manual",$M261&lt;&gt;1)),ROUND(OFFSET($P261,0,AV$13),15-13*ORÇAMENTO!$AF$7)/$H261*OFFSET(ORÇAMENTO!$X$15,ROW(AV261)-ROW(AV$15),0),0)</f>
        <v>0</v>
      </c>
      <c r="AW261" s="632">
        <f ca="1">IF(AND($D261="Serviço",AW$12&lt;&gt;0,$H261&gt;0,OR(AUTOEVENTO&lt;&gt;"manual",$M261&lt;&gt;1)),ROUND(OFFSET($P261,0,AW$13),15-13*ORÇAMENTO!$AF$7)/$H261*OFFSET(ORÇAMENTO!$X$15,ROW(AW261)-ROW(AW$15),0),0)</f>
        <v>0</v>
      </c>
      <c r="AX261" s="632">
        <f ca="1">IF(AND($D261="Serviço",AX$12&lt;&gt;0,$H261&gt;0,OR(AUTOEVENTO&lt;&gt;"manual",$M261&lt;&gt;1)),ROUND(OFFSET($P261,0,AX$13),15-13*ORÇAMENTO!$AF$7)/$H261*OFFSET(ORÇAMENTO!$X$15,ROW(AX261)-ROW(AX$15),0),0)</f>
        <v>0</v>
      </c>
      <c r="AY261" s="632">
        <f ca="1">IF(AND($D261="Serviço",AY$12&lt;&gt;0,$H261&gt;0,OR(AUTOEVENTO&lt;&gt;"manual",$M261&lt;&gt;1)),ROUND(OFFSET($P261,0,AY$13),15-13*ORÇAMENTO!$AF$7)/$H261*OFFSET(ORÇAMENTO!$X$15,ROW(AY261)-ROW(AY$15),0),0)</f>
        <v>0</v>
      </c>
      <c r="AZ261" s="632">
        <f ca="1">IF(AND($D261="Serviço",AZ$12&lt;&gt;0,$H261&gt;0,OR(AUTOEVENTO&lt;&gt;"manual",$M261&lt;&gt;1)),ROUND(OFFSET($P261,0,AZ$13),15-13*ORÇAMENTO!$AF$7)/$H261*OFFSET(ORÇAMENTO!$X$15,ROW(AZ261)-ROW(AZ$15),0),0)</f>
        <v>0</v>
      </c>
      <c r="BA261" s="633">
        <f ca="1">IF(AND($D261="Serviço",BA$12&lt;&gt;0,$H261&gt;0,OR(AUTOEVENTO&lt;&gt;"manual",$M261&lt;&gt;1)),ROUND(OFFSET($P261,0,BA$13),15-13*ORÇAMENTO!$AF$7)/$H261*OFFSET(ORÇAMENTO!$X$15,ROW(BA261)-ROW(BA$15),0),0)</f>
        <v>0</v>
      </c>
      <c r="BC261" s="215">
        <f ca="1">IF($D261&lt;&gt;"Serviço",0,IF(AND(AUTOEVENTO="Manual",$M261=1),0,IF(OFFSET(CRONOPLE!$F$14,$M261,BC$13)="",10^12,OFFSET(CRONOPLE!$F$14,$M261,BC$13))))</f>
        <v>1000000000000</v>
      </c>
      <c r="BD261" s="215">
        <f ca="1">IF($D261&lt;&gt;"Serviço",0,IF(AND(AUTOEVENTO="Manual",$M261=1),0,IF(OFFSET(CRONOPLE!$F$14,$M261,BD$13)="",10^12,OFFSET(CRONOPLE!$F$14,$M261,BD$13))))</f>
        <v>1000000000000</v>
      </c>
      <c r="BE261" s="215">
        <f ca="1">IF($D261&lt;&gt;"Serviço",0,IF(AND(AUTOEVENTO="Manual",$M261=1),0,IF(OFFSET(CRONOPLE!$F$14,$M261,BE$13)="",10^12,OFFSET(CRONOPLE!$F$14,$M261,BE$13))))</f>
        <v>1000000000000</v>
      </c>
      <c r="BF261" s="215">
        <f ca="1">IF($D261&lt;&gt;"Serviço",0,IF(AND(AUTOEVENTO="Manual",$M261=1),0,IF(OFFSET(CRONOPLE!$F$14,$M261,BF$13)="",10^12,OFFSET(CRONOPLE!$F$14,$M261,BF$13))))</f>
        <v>1000000000000</v>
      </c>
      <c r="BG261" s="215">
        <f ca="1">IF($D261&lt;&gt;"Serviço",0,IF(AND(AUTOEVENTO="Manual",$M261=1),0,IF(OFFSET(CRONOPLE!$F$14,$M261,BG$13)="",10^12,OFFSET(CRONOPLE!$F$14,$M261,BG$13))))</f>
        <v>1000000000000</v>
      </c>
      <c r="BH261" s="215">
        <f ca="1">IF($D261&lt;&gt;"Serviço",0,IF(AND(AUTOEVENTO="Manual",$M261=1),0,IF(OFFSET(CRONOPLE!$F$14,$M261,BH$13)="",10^12,OFFSET(CRONOPLE!$F$14,$M261,BH$13))))</f>
        <v>1000000000000</v>
      </c>
      <c r="BI261" s="215">
        <f ca="1">IF($D261&lt;&gt;"Serviço",0,IF(AND(AUTOEVENTO="Manual",$M261=1),0,IF(OFFSET(CRONOPLE!$F$14,$M261,BI$13)="",10^12,OFFSET(CRONOPLE!$F$14,$M261,BI$13))))</f>
        <v>1000000000000</v>
      </c>
      <c r="BJ261" s="215">
        <f ca="1">IF($D261&lt;&gt;"Serviço",0,IF(AND(AUTOEVENTO="Manual",$M261=1),0,IF(OFFSET(CRONOPLE!$F$14,$M261,BJ$13)="",10^12,OFFSET(CRONOPLE!$F$14,$M261,BJ$13))))</f>
        <v>1000000000000</v>
      </c>
      <c r="BK261" s="215">
        <f ca="1">IF($D261&lt;&gt;"Serviço",0,IF(AND(AUTOEVENTO="Manual",$M261=1),0,IF(OFFSET(CRONOPLE!$F$14,$M261,BK$13)="",10^12,OFFSET(CRONOPLE!$F$14,$M261,BK$13))))</f>
        <v>1000000000000</v>
      </c>
      <c r="BL261" s="215">
        <f ca="1">IF($D261&lt;&gt;"Serviço",0,IF(AND(AUTOEVENTO="Manual",$M261=1),0,IF(OFFSET(CRONOPLE!$F$14,$M261,BL$13)="",10^12,OFFSET(CRONOPLE!$F$14,$M261,BL$13))))</f>
        <v>1000000000000</v>
      </c>
      <c r="BM261" s="215">
        <f ca="1">IF($D261&lt;&gt;"Serviço",0,IF(AND(AUTOEVENTO="Manual",$M261=1),0,IF(OFFSET(CRONOPLE!$F$14,$M261,BM$13)="",10^12,OFFSET(CRONOPLE!$F$14,$M261,BM$13))))</f>
        <v>1000000000000</v>
      </c>
      <c r="BN261" s="215">
        <f ca="1">IF($D261&lt;&gt;"Serviço",0,IF(AND(AUTOEVENTO="Manual",$M261=1),0,IF(OFFSET(CRONOPLE!$F$14,$M261,BN$13)="",10^12,OFFSET(CRONOPLE!$F$14,$M261,BN$13))))</f>
        <v>1000000000000</v>
      </c>
      <c r="BO261" s="215">
        <f ca="1">IF($D261&lt;&gt;"Serviço",0,IF(AND(AUTOEVENTO="Manual",$M261=1),0,IF(OFFSET(CRONOPLE!$F$14,$M261,BO$13)="",10^12,OFFSET(CRONOPLE!$F$14,$M261,BO$13))))</f>
        <v>1000000000000</v>
      </c>
      <c r="BP261" s="215">
        <f ca="1">IF($D261&lt;&gt;"Serviço",0,IF(AND(AUTOEVENTO="Manual",$M261=1),0,IF(OFFSET(CRONOPLE!$F$14,$M261,BP$13)="",10^12,OFFSET(CRONOPLE!$F$14,$M261,BP$13))))</f>
        <v>1000000000000</v>
      </c>
      <c r="BQ261" s="215">
        <f ca="1">IF($D261&lt;&gt;"Serviço",0,IF(AND(AUTOEVENTO="Manual",$M261=1),0,IF(OFFSET(CRONOPLE!$F$14,$M261,BQ$13)="",10^12,OFFSET(CRONOPLE!$F$14,$M261,BQ$13))))</f>
        <v>1000000000000</v>
      </c>
      <c r="BR261" s="215">
        <f ca="1">IF($D261&lt;&gt;"Serviço",0,IF(AND(AUTOEVENTO="Manual",$M261=1),0,IF(OFFSET(CRONOPLE!$F$14,$M261,BR$13)="",10^12,OFFSET(CRONOPLE!$F$14,$M261,BR$13))))</f>
        <v>1000000000000</v>
      </c>
      <c r="BS261" s="215">
        <f ca="1">IF($D261&lt;&gt;"Serviço",0,IF(AND(AUTOEVENTO="Manual",$M261=1),0,IF(OFFSET(CRONOPLE!$F$14,$M261,BS$13)="",10^12,OFFSET(CRONOPLE!$F$14,$M261,BS$13))))</f>
        <v>1000000000000</v>
      </c>
      <c r="BT261" s="215">
        <f ca="1">IF($D261&lt;&gt;"Serviço",0,IF(AND(AUTOEVENTO="Manual",$M261=1),0,IF(OFFSET(CRONOPLE!$F$14,$M261,BT$13)="",10^12,OFFSET(CRONOPLE!$F$14,$M261,BT$13))))</f>
        <v>1000000000000</v>
      </c>
      <c r="BV261" s="216">
        <f ca="1">IF($D261&lt;&gt;"Serviço",0,IF(OR(AND(AUTOEVENTO="Manual",$M261=1),$M261&gt;(ROW(PLE.lastrow)-ROW(PLE.firstrow))),0,IF(OFFSET(PLE!$G$14,$M261,BV$13)="",10^12,OFFSET(PLE!$G$14,$M261,BV$13))))</f>
        <v>1000000000000</v>
      </c>
      <c r="BW261" s="216">
        <f ca="1">IF($D261&lt;&gt;"Serviço",0,IF(OR(AND(AUTOEVENTO="Manual",$M261=1),$M261&gt;(ROW(PLE.lastrow)-ROW(PLE.firstrow))),0,IF(OFFSET(PLE!$G$14,$M261,BW$13)="",10^12,OFFSET(PLE!$G$14,$M261,BW$13))))</f>
        <v>1000000000000</v>
      </c>
      <c r="BX261" s="216">
        <f ca="1">IF($D261&lt;&gt;"Serviço",0,IF(OR(AND(AUTOEVENTO="Manual",$M261=1),$M261&gt;(ROW(PLE.lastrow)-ROW(PLE.firstrow))),0,IF(OFFSET(PLE!$G$14,$M261,BX$13)="",10^12,OFFSET(PLE!$G$14,$M261,BX$13))))</f>
        <v>1000000000000</v>
      </c>
      <c r="BY261" s="216">
        <f ca="1">IF($D261&lt;&gt;"Serviço",0,IF(OR(AND(AUTOEVENTO="Manual",$M261=1),$M261&gt;(ROW(PLE.lastrow)-ROW(PLE.firstrow))),0,IF(OFFSET(PLE!$G$14,$M261,BY$13)="",10^12,OFFSET(PLE!$G$14,$M261,BY$13))))</f>
        <v>1000000000000</v>
      </c>
      <c r="BZ261" s="216">
        <f ca="1">IF($D261&lt;&gt;"Serviço",0,IF(OR(AND(AUTOEVENTO="Manual",$M261=1),$M261&gt;(ROW(PLE.lastrow)-ROW(PLE.firstrow))),0,IF(OFFSET(PLE!$G$14,$M261,BZ$13)="",10^12,OFFSET(PLE!$G$14,$M261,BZ$13))))</f>
        <v>1000000000000</v>
      </c>
      <c r="CA261" s="216">
        <f ca="1">IF($D261&lt;&gt;"Serviço",0,IF(OR(AND(AUTOEVENTO="Manual",$M261=1),$M261&gt;(ROW(PLE.lastrow)-ROW(PLE.firstrow))),0,IF(OFFSET(PLE!$G$14,$M261,CA$13)="",10^12,OFFSET(PLE!$G$14,$M261,CA$13))))</f>
        <v>1000000000000</v>
      </c>
      <c r="CB261" s="216">
        <f ca="1">IF($D261&lt;&gt;"Serviço",0,IF(OR(AND(AUTOEVENTO="Manual",$M261=1),$M261&gt;(ROW(PLE.lastrow)-ROW(PLE.firstrow))),0,IF(OFFSET(PLE!$G$14,$M261,CB$13)="",10^12,OFFSET(PLE!$G$14,$M261,CB$13))))</f>
        <v>1000000000000</v>
      </c>
      <c r="CC261" s="216">
        <f ca="1">IF($D261&lt;&gt;"Serviço",0,IF(OR(AND(AUTOEVENTO="Manual",$M261=1),$M261&gt;(ROW(PLE.lastrow)-ROW(PLE.firstrow))),0,IF(OFFSET(PLE!$G$14,$M261,CC$13)="",10^12,OFFSET(PLE!$G$14,$M261,CC$13))))</f>
        <v>1000000000000</v>
      </c>
      <c r="CD261" s="216">
        <f ca="1">IF($D261&lt;&gt;"Serviço",0,IF(OR(AND(AUTOEVENTO="Manual",$M261=1),$M261&gt;(ROW(PLE.lastrow)-ROW(PLE.firstrow))),0,IF(OFFSET(PLE!$G$14,$M261,CD$13)="",10^12,OFFSET(PLE!$G$14,$M261,CD$13))))</f>
        <v>1000000000000</v>
      </c>
      <c r="CE261" s="216">
        <f ca="1">IF($D261&lt;&gt;"Serviço",0,IF(OR(AND(AUTOEVENTO="Manual",$M261=1),$M261&gt;(ROW(PLE.lastrow)-ROW(PLE.firstrow))),0,IF(OFFSET(PLE!$G$14,$M261,CE$13)="",10^12,OFFSET(PLE!$G$14,$M261,CE$13))))</f>
        <v>1000000000000</v>
      </c>
      <c r="CF261" s="216">
        <f ca="1">IF($D261&lt;&gt;"Serviço",0,IF(OR(AND(AUTOEVENTO="Manual",$M261=1),$M261&gt;(ROW(PLE.lastrow)-ROW(PLE.firstrow))),0,IF(OFFSET(PLE!$G$14,$M261,CF$13)="",10^12,OFFSET(PLE!$G$14,$M261,CF$13))))</f>
        <v>1000000000000</v>
      </c>
      <c r="CG261" s="216">
        <f ca="1">IF($D261&lt;&gt;"Serviço",0,IF(OR(AND(AUTOEVENTO="Manual",$M261=1),$M261&gt;(ROW(PLE.lastrow)-ROW(PLE.firstrow))),0,IF(OFFSET(PLE!$G$14,$M261,CG$13)="",10^12,OFFSET(PLE!$G$14,$M261,CG$13))))</f>
        <v>1000000000000</v>
      </c>
      <c r="CH261" s="216">
        <f ca="1">IF($D261&lt;&gt;"Serviço",0,IF(OR(AND(AUTOEVENTO="Manual",$M261=1),$M261&gt;(ROW(PLE.lastrow)-ROW(PLE.firstrow))),0,IF(OFFSET(PLE!$G$14,$M261,CH$13)="",10^12,OFFSET(PLE!$G$14,$M261,CH$13))))</f>
        <v>1000000000000</v>
      </c>
      <c r="CI261" s="216">
        <f ca="1">IF($D261&lt;&gt;"Serviço",0,IF(OR(AND(AUTOEVENTO="Manual",$M261=1),$M261&gt;(ROW(PLE.lastrow)-ROW(PLE.firstrow))),0,IF(OFFSET(PLE!$G$14,$M261,CI$13)="",10^12,OFFSET(PLE!$G$14,$M261,CI$13))))</f>
        <v>1000000000000</v>
      </c>
      <c r="CJ261" s="216">
        <f ca="1">IF($D261&lt;&gt;"Serviço",0,IF(OR(AND(AUTOEVENTO="Manual",$M261=1),$M261&gt;(ROW(PLE.lastrow)-ROW(PLE.firstrow))),0,IF(OFFSET(PLE!$G$14,$M261,CJ$13)="",10^12,OFFSET(PLE!$G$14,$M261,CJ$13))))</f>
        <v>1000000000000</v>
      </c>
      <c r="CK261" s="216">
        <f ca="1">IF($D261&lt;&gt;"Serviço",0,IF(OR(AND(AUTOEVENTO="Manual",$M261=1),$M261&gt;(ROW(PLE.lastrow)-ROW(PLE.firstrow))),0,IF(OFFSET(PLE!$G$14,$M261,CK$13)="",10^12,OFFSET(PLE!$G$14,$M261,CK$13))))</f>
        <v>1000000000000</v>
      </c>
      <c r="CL261" s="216">
        <f ca="1">IF($D261&lt;&gt;"Serviço",0,IF(OR(AND(AUTOEVENTO="Manual",$M261=1),$M261&gt;(ROW(PLE.lastrow)-ROW(PLE.firstrow))),0,IF(OFFSET(PLE!$G$14,$M261,CL$13)="",10^12,OFFSET(PLE!$G$14,$M261,CL$13))))</f>
        <v>1000000000000</v>
      </c>
      <c r="CM261" s="216">
        <f ca="1">IF($D261&lt;&gt;"Serviço",0,IF(OR(AND(AUTOEVENTO="Manual",$M261=1),$M261&gt;(ROW(PLE.lastrow)-ROW(PLE.firstrow))),0,IF(OFFSET(PLE!$G$14,$M261,CM$13)="",10^12,OFFSET(PLE!$G$14,$M261,CM$13))))</f>
        <v>1000000000000</v>
      </c>
    </row>
    <row r="262" spans="1:91" ht="13.2" x14ac:dyDescent="0.25">
      <c r="A262" s="9">
        <f t="shared" ca="1" si="12"/>
        <v>0</v>
      </c>
      <c r="B262" s="9" t="str">
        <f ca="1">OFFSET(ORÇAMENTO!C$15,ROW(B262)-ROW(B$15),0)</f>
        <v>S</v>
      </c>
      <c r="C262" s="9" t="str">
        <f ca="1">OFFSET(ORÇAMENTO!L$15,ROW(C262)-ROW(C$15),0)</f>
        <v/>
      </c>
      <c r="D262" s="145" t="str">
        <f ca="1">OFFSET(ORÇAMENTO!N$15,ROW(D262)-ROW(D$15),0)</f>
        <v>Serviço</v>
      </c>
      <c r="E262" s="205" t="str">
        <f ca="1">OFFSET(ORÇAMENTO!O$15,ROW(E262)-ROW(E$15),0)</f>
        <v>-</v>
      </c>
      <c r="F262" s="206" t="str">
        <f ca="1">OFFSET(ORÇAMENTO!R$15,ROW(F262)-ROW(F$15),0)</f>
        <v>(abra o arquivo 'Referência 05-2024.xls)</v>
      </c>
      <c r="G262" s="207" t="str">
        <f ca="1">IF($D262&lt;&gt;"Serviço","",OFFSET(ORÇAMENTO!S$15,ROW(G262)-ROW(G$15),0))</f>
        <v>-</v>
      </c>
      <c r="H262" s="151">
        <f ca="1">IF($D262&lt;&gt;"Serviço",0,IF(ACOMPANHAMENTO="BM",ROUND(OFFSET(ORÇAMENTO!AJ$15,ROW(H262)-ROW(H$15),0),15-13*ORÇAMENTO!$AF$7),SUMPRODUCT(($Q$12:$AI$12&lt;&gt;"")*ROUND($Q262:$AI262,15-13*ORÇAMENTO!$AF$7))))</f>
        <v>256.23</v>
      </c>
      <c r="I262" s="650"/>
      <c r="K262" s="208"/>
      <c r="L262" s="209" t="s">
        <v>257</v>
      </c>
      <c r="M262" s="210">
        <f ca="1">IF($D262&lt;&gt;"Serviço","",IF(AUTOEVENTO="manual",$A262,IF(ISERROR(MATCH($A262,$A$15:OFFSET($A262,-1,0),0)),MAX($M$15:OFFSET(M262,-1,0))+1,INDEX($M$15:OFFSET(M262,-1,0),MATCH($A262,$A$15:OFFSET($A262,-1,0),0)))))</f>
        <v>0</v>
      </c>
      <c r="N262" s="211" t="str">
        <f ca="1">IF($D262&lt;&gt;"Serviço","",IF(AUTOEVENTO="Manual",IF($A262=0,"&lt;-- defina o número do agrupador",OFFSET(EVENTOS!$D$14,$A262,0)),OFFSET($F$15,$A262,0)))</f>
        <v>&lt;-- defina o número do agrupador</v>
      </c>
      <c r="O262" s="212"/>
      <c r="Q262" s="212"/>
      <c r="R262" s="213"/>
      <c r="S262" s="213"/>
      <c r="T262" s="213"/>
      <c r="U262" s="213"/>
      <c r="V262" s="213"/>
      <c r="W262" s="213"/>
      <c r="X262" s="213"/>
      <c r="Y262" s="213"/>
      <c r="Z262" s="214"/>
      <c r="AA262" s="213"/>
      <c r="AB262" s="213"/>
      <c r="AC262" s="213"/>
      <c r="AD262" s="213"/>
      <c r="AE262" s="213"/>
      <c r="AF262" s="213"/>
      <c r="AG262" s="213"/>
      <c r="AH262" s="214"/>
      <c r="AJ262" s="631">
        <f ca="1">IF(AND($D262="Serviço",AJ$12&lt;&gt;0,$H262&gt;0,OR(AUTOEVENTO&lt;&gt;"manual",$M262&lt;&gt;1)),ROUND(OFFSET($P262,0,AJ$13),15-13*ORÇAMENTO!$AF$7)/$H262*OFFSET(ORÇAMENTO!$X$15,ROW(AJ262)-ROW(AJ$15),0),0)</f>
        <v>0</v>
      </c>
      <c r="AK262" s="632">
        <f ca="1">IF(AND($D262="Serviço",AK$12&lt;&gt;0,$H262&gt;0,OR(AUTOEVENTO&lt;&gt;"manual",$M262&lt;&gt;1)),ROUND(OFFSET($P262,0,AK$13),15-13*ORÇAMENTO!$AF$7)/$H262*OFFSET(ORÇAMENTO!$X$15,ROW(AK262)-ROW(AK$15),0),0)</f>
        <v>0</v>
      </c>
      <c r="AL262" s="632">
        <f ca="1">IF(AND($D262="Serviço",AL$12&lt;&gt;0,$H262&gt;0,OR(AUTOEVENTO&lt;&gt;"manual",$M262&lt;&gt;1)),ROUND(OFFSET($P262,0,AL$13),15-13*ORÇAMENTO!$AF$7)/$H262*OFFSET(ORÇAMENTO!$X$15,ROW(AL262)-ROW(AL$15),0),0)</f>
        <v>0</v>
      </c>
      <c r="AM262" s="632">
        <f ca="1">IF(AND($D262="Serviço",AM$12&lt;&gt;0,$H262&gt;0,OR(AUTOEVENTO&lt;&gt;"manual",$M262&lt;&gt;1)),ROUND(OFFSET($P262,0,AM$13),15-13*ORÇAMENTO!$AF$7)/$H262*OFFSET(ORÇAMENTO!$X$15,ROW(AM262)-ROW(AM$15),0),0)</f>
        <v>0</v>
      </c>
      <c r="AN262" s="632">
        <f ca="1">IF(AND($D262="Serviço",AN$12&lt;&gt;0,$H262&gt;0,OR(AUTOEVENTO&lt;&gt;"manual",$M262&lt;&gt;1)),ROUND(OFFSET($P262,0,AN$13),15-13*ORÇAMENTO!$AF$7)/$H262*OFFSET(ORÇAMENTO!$X$15,ROW(AN262)-ROW(AN$15),0),0)</f>
        <v>0</v>
      </c>
      <c r="AO262" s="632">
        <f ca="1">IF(AND($D262="Serviço",AO$12&lt;&gt;0,$H262&gt;0,OR(AUTOEVENTO&lt;&gt;"manual",$M262&lt;&gt;1)),ROUND(OFFSET($P262,0,AO$13),15-13*ORÇAMENTO!$AF$7)/$H262*OFFSET(ORÇAMENTO!$X$15,ROW(AO262)-ROW(AO$15),0),0)</f>
        <v>0</v>
      </c>
      <c r="AP262" s="632">
        <f ca="1">IF(AND($D262="Serviço",AP$12&lt;&gt;0,$H262&gt;0,OR(AUTOEVENTO&lt;&gt;"manual",$M262&lt;&gt;1)),ROUND(OFFSET($P262,0,AP$13),15-13*ORÇAMENTO!$AF$7)/$H262*OFFSET(ORÇAMENTO!$X$15,ROW(AP262)-ROW(AP$15),0),0)</f>
        <v>0</v>
      </c>
      <c r="AQ262" s="632">
        <f ca="1">IF(AND($D262="Serviço",AQ$12&lt;&gt;0,$H262&gt;0,OR(AUTOEVENTO&lt;&gt;"manual",$M262&lt;&gt;1)),ROUND(OFFSET($P262,0,AQ$13),15-13*ORÇAMENTO!$AF$7)/$H262*OFFSET(ORÇAMENTO!$X$15,ROW(AQ262)-ROW(AQ$15),0),0)</f>
        <v>0</v>
      </c>
      <c r="AR262" s="632">
        <f ca="1">IF(AND($D262="Serviço",AR$12&lt;&gt;0,$H262&gt;0,OR(AUTOEVENTO&lt;&gt;"manual",$M262&lt;&gt;1)),ROUND(OFFSET($P262,0,AR$13),15-13*ORÇAMENTO!$AF$7)/$H262*OFFSET(ORÇAMENTO!$X$15,ROW(AR262)-ROW(AR$15),0),0)</f>
        <v>0</v>
      </c>
      <c r="AS262" s="633">
        <f ca="1">IF(AND($D262="Serviço",AS$12&lt;&gt;0,$H262&gt;0,OR(AUTOEVENTO&lt;&gt;"manual",$M262&lt;&gt;1)),ROUND(OFFSET($P262,0,AS$13),15-13*ORÇAMENTO!$AF$7)/$H262*OFFSET(ORÇAMENTO!$X$15,ROW(AS262)-ROW(AS$15),0),0)</f>
        <v>0</v>
      </c>
      <c r="AT262" s="632">
        <f ca="1">IF(AND($D262="Serviço",AT$12&lt;&gt;0,$H262&gt;0,OR(AUTOEVENTO&lt;&gt;"manual",$M262&lt;&gt;1)),ROUND(OFFSET($P262,0,AT$13),15-13*ORÇAMENTO!$AF$7)/$H262*OFFSET(ORÇAMENTO!$X$15,ROW(AT262)-ROW(AT$15),0),0)</f>
        <v>0</v>
      </c>
      <c r="AU262" s="632">
        <f ca="1">IF(AND($D262="Serviço",AU$12&lt;&gt;0,$H262&gt;0,OR(AUTOEVENTO&lt;&gt;"manual",$M262&lt;&gt;1)),ROUND(OFFSET($P262,0,AU$13),15-13*ORÇAMENTO!$AF$7)/$H262*OFFSET(ORÇAMENTO!$X$15,ROW(AU262)-ROW(AU$15),0),0)</f>
        <v>0</v>
      </c>
      <c r="AV262" s="632">
        <f ca="1">IF(AND($D262="Serviço",AV$12&lt;&gt;0,$H262&gt;0,OR(AUTOEVENTO&lt;&gt;"manual",$M262&lt;&gt;1)),ROUND(OFFSET($P262,0,AV$13),15-13*ORÇAMENTO!$AF$7)/$H262*OFFSET(ORÇAMENTO!$X$15,ROW(AV262)-ROW(AV$15),0),0)</f>
        <v>0</v>
      </c>
      <c r="AW262" s="632">
        <f ca="1">IF(AND($D262="Serviço",AW$12&lt;&gt;0,$H262&gt;0,OR(AUTOEVENTO&lt;&gt;"manual",$M262&lt;&gt;1)),ROUND(OFFSET($P262,0,AW$13),15-13*ORÇAMENTO!$AF$7)/$H262*OFFSET(ORÇAMENTO!$X$15,ROW(AW262)-ROW(AW$15),0),0)</f>
        <v>0</v>
      </c>
      <c r="AX262" s="632">
        <f ca="1">IF(AND($D262="Serviço",AX$12&lt;&gt;0,$H262&gt;0,OR(AUTOEVENTO&lt;&gt;"manual",$M262&lt;&gt;1)),ROUND(OFFSET($P262,0,AX$13),15-13*ORÇAMENTO!$AF$7)/$H262*OFFSET(ORÇAMENTO!$X$15,ROW(AX262)-ROW(AX$15),0),0)</f>
        <v>0</v>
      </c>
      <c r="AY262" s="632">
        <f ca="1">IF(AND($D262="Serviço",AY$12&lt;&gt;0,$H262&gt;0,OR(AUTOEVENTO&lt;&gt;"manual",$M262&lt;&gt;1)),ROUND(OFFSET($P262,0,AY$13),15-13*ORÇAMENTO!$AF$7)/$H262*OFFSET(ORÇAMENTO!$X$15,ROW(AY262)-ROW(AY$15),0),0)</f>
        <v>0</v>
      </c>
      <c r="AZ262" s="632">
        <f ca="1">IF(AND($D262="Serviço",AZ$12&lt;&gt;0,$H262&gt;0,OR(AUTOEVENTO&lt;&gt;"manual",$M262&lt;&gt;1)),ROUND(OFFSET($P262,0,AZ$13),15-13*ORÇAMENTO!$AF$7)/$H262*OFFSET(ORÇAMENTO!$X$15,ROW(AZ262)-ROW(AZ$15),0),0)</f>
        <v>0</v>
      </c>
      <c r="BA262" s="633">
        <f ca="1">IF(AND($D262="Serviço",BA$12&lt;&gt;0,$H262&gt;0,OR(AUTOEVENTO&lt;&gt;"manual",$M262&lt;&gt;1)),ROUND(OFFSET($P262,0,BA$13),15-13*ORÇAMENTO!$AF$7)/$H262*OFFSET(ORÇAMENTO!$X$15,ROW(BA262)-ROW(BA$15),0),0)</f>
        <v>0</v>
      </c>
      <c r="BC262" s="215">
        <f ca="1">IF($D262&lt;&gt;"Serviço",0,IF(AND(AUTOEVENTO="Manual",$M262=1),0,IF(OFFSET(CRONOPLE!$F$14,$M262,BC$13)="",10^12,OFFSET(CRONOPLE!$F$14,$M262,BC$13))))</f>
        <v>1000000000000</v>
      </c>
      <c r="BD262" s="215">
        <f ca="1">IF($D262&lt;&gt;"Serviço",0,IF(AND(AUTOEVENTO="Manual",$M262=1),0,IF(OFFSET(CRONOPLE!$F$14,$M262,BD$13)="",10^12,OFFSET(CRONOPLE!$F$14,$M262,BD$13))))</f>
        <v>1000000000000</v>
      </c>
      <c r="BE262" s="215">
        <f ca="1">IF($D262&lt;&gt;"Serviço",0,IF(AND(AUTOEVENTO="Manual",$M262=1),0,IF(OFFSET(CRONOPLE!$F$14,$M262,BE$13)="",10^12,OFFSET(CRONOPLE!$F$14,$M262,BE$13))))</f>
        <v>1000000000000</v>
      </c>
      <c r="BF262" s="215">
        <f ca="1">IF($D262&lt;&gt;"Serviço",0,IF(AND(AUTOEVENTO="Manual",$M262=1),0,IF(OFFSET(CRONOPLE!$F$14,$M262,BF$13)="",10^12,OFFSET(CRONOPLE!$F$14,$M262,BF$13))))</f>
        <v>1000000000000</v>
      </c>
      <c r="BG262" s="215">
        <f ca="1">IF($D262&lt;&gt;"Serviço",0,IF(AND(AUTOEVENTO="Manual",$M262=1),0,IF(OFFSET(CRONOPLE!$F$14,$M262,BG$13)="",10^12,OFFSET(CRONOPLE!$F$14,$M262,BG$13))))</f>
        <v>1000000000000</v>
      </c>
      <c r="BH262" s="215">
        <f ca="1">IF($D262&lt;&gt;"Serviço",0,IF(AND(AUTOEVENTO="Manual",$M262=1),0,IF(OFFSET(CRONOPLE!$F$14,$M262,BH$13)="",10^12,OFFSET(CRONOPLE!$F$14,$M262,BH$13))))</f>
        <v>1000000000000</v>
      </c>
      <c r="BI262" s="215">
        <f ca="1">IF($D262&lt;&gt;"Serviço",0,IF(AND(AUTOEVENTO="Manual",$M262=1),0,IF(OFFSET(CRONOPLE!$F$14,$M262,BI$13)="",10^12,OFFSET(CRONOPLE!$F$14,$M262,BI$13))))</f>
        <v>1000000000000</v>
      </c>
      <c r="BJ262" s="215">
        <f ca="1">IF($D262&lt;&gt;"Serviço",0,IF(AND(AUTOEVENTO="Manual",$M262=1),0,IF(OFFSET(CRONOPLE!$F$14,$M262,BJ$13)="",10^12,OFFSET(CRONOPLE!$F$14,$M262,BJ$13))))</f>
        <v>1000000000000</v>
      </c>
      <c r="BK262" s="215">
        <f ca="1">IF($D262&lt;&gt;"Serviço",0,IF(AND(AUTOEVENTO="Manual",$M262=1),0,IF(OFFSET(CRONOPLE!$F$14,$M262,BK$13)="",10^12,OFFSET(CRONOPLE!$F$14,$M262,BK$13))))</f>
        <v>1000000000000</v>
      </c>
      <c r="BL262" s="215">
        <f ca="1">IF($D262&lt;&gt;"Serviço",0,IF(AND(AUTOEVENTO="Manual",$M262=1),0,IF(OFFSET(CRONOPLE!$F$14,$M262,BL$13)="",10^12,OFFSET(CRONOPLE!$F$14,$M262,BL$13))))</f>
        <v>1000000000000</v>
      </c>
      <c r="BM262" s="215">
        <f ca="1">IF($D262&lt;&gt;"Serviço",0,IF(AND(AUTOEVENTO="Manual",$M262=1),0,IF(OFFSET(CRONOPLE!$F$14,$M262,BM$13)="",10^12,OFFSET(CRONOPLE!$F$14,$M262,BM$13))))</f>
        <v>1000000000000</v>
      </c>
      <c r="BN262" s="215">
        <f ca="1">IF($D262&lt;&gt;"Serviço",0,IF(AND(AUTOEVENTO="Manual",$M262=1),0,IF(OFFSET(CRONOPLE!$F$14,$M262,BN$13)="",10^12,OFFSET(CRONOPLE!$F$14,$M262,BN$13))))</f>
        <v>1000000000000</v>
      </c>
      <c r="BO262" s="215">
        <f ca="1">IF($D262&lt;&gt;"Serviço",0,IF(AND(AUTOEVENTO="Manual",$M262=1),0,IF(OFFSET(CRONOPLE!$F$14,$M262,BO$13)="",10^12,OFFSET(CRONOPLE!$F$14,$M262,BO$13))))</f>
        <v>1000000000000</v>
      </c>
      <c r="BP262" s="215">
        <f ca="1">IF($D262&lt;&gt;"Serviço",0,IF(AND(AUTOEVENTO="Manual",$M262=1),0,IF(OFFSET(CRONOPLE!$F$14,$M262,BP$13)="",10^12,OFFSET(CRONOPLE!$F$14,$M262,BP$13))))</f>
        <v>1000000000000</v>
      </c>
      <c r="BQ262" s="215">
        <f ca="1">IF($D262&lt;&gt;"Serviço",0,IF(AND(AUTOEVENTO="Manual",$M262=1),0,IF(OFFSET(CRONOPLE!$F$14,$M262,BQ$13)="",10^12,OFFSET(CRONOPLE!$F$14,$M262,BQ$13))))</f>
        <v>1000000000000</v>
      </c>
      <c r="BR262" s="215">
        <f ca="1">IF($D262&lt;&gt;"Serviço",0,IF(AND(AUTOEVENTO="Manual",$M262=1),0,IF(OFFSET(CRONOPLE!$F$14,$M262,BR$13)="",10^12,OFFSET(CRONOPLE!$F$14,$M262,BR$13))))</f>
        <v>1000000000000</v>
      </c>
      <c r="BS262" s="215">
        <f ca="1">IF($D262&lt;&gt;"Serviço",0,IF(AND(AUTOEVENTO="Manual",$M262=1),0,IF(OFFSET(CRONOPLE!$F$14,$M262,BS$13)="",10^12,OFFSET(CRONOPLE!$F$14,$M262,BS$13))))</f>
        <v>1000000000000</v>
      </c>
      <c r="BT262" s="215">
        <f ca="1">IF($D262&lt;&gt;"Serviço",0,IF(AND(AUTOEVENTO="Manual",$M262=1),0,IF(OFFSET(CRONOPLE!$F$14,$M262,BT$13)="",10^12,OFFSET(CRONOPLE!$F$14,$M262,BT$13))))</f>
        <v>1000000000000</v>
      </c>
      <c r="BV262" s="216">
        <f ca="1">IF($D262&lt;&gt;"Serviço",0,IF(OR(AND(AUTOEVENTO="Manual",$M262=1),$M262&gt;(ROW(PLE.lastrow)-ROW(PLE.firstrow))),0,IF(OFFSET(PLE!$G$14,$M262,BV$13)="",10^12,OFFSET(PLE!$G$14,$M262,BV$13))))</f>
        <v>1000000000000</v>
      </c>
      <c r="BW262" s="216">
        <f ca="1">IF($D262&lt;&gt;"Serviço",0,IF(OR(AND(AUTOEVENTO="Manual",$M262=1),$M262&gt;(ROW(PLE.lastrow)-ROW(PLE.firstrow))),0,IF(OFFSET(PLE!$G$14,$M262,BW$13)="",10^12,OFFSET(PLE!$G$14,$M262,BW$13))))</f>
        <v>1000000000000</v>
      </c>
      <c r="BX262" s="216">
        <f ca="1">IF($D262&lt;&gt;"Serviço",0,IF(OR(AND(AUTOEVENTO="Manual",$M262=1),$M262&gt;(ROW(PLE.lastrow)-ROW(PLE.firstrow))),0,IF(OFFSET(PLE!$G$14,$M262,BX$13)="",10^12,OFFSET(PLE!$G$14,$M262,BX$13))))</f>
        <v>1000000000000</v>
      </c>
      <c r="BY262" s="216">
        <f ca="1">IF($D262&lt;&gt;"Serviço",0,IF(OR(AND(AUTOEVENTO="Manual",$M262=1),$M262&gt;(ROW(PLE.lastrow)-ROW(PLE.firstrow))),0,IF(OFFSET(PLE!$G$14,$M262,BY$13)="",10^12,OFFSET(PLE!$G$14,$M262,BY$13))))</f>
        <v>1000000000000</v>
      </c>
      <c r="BZ262" s="216">
        <f ca="1">IF($D262&lt;&gt;"Serviço",0,IF(OR(AND(AUTOEVENTO="Manual",$M262=1),$M262&gt;(ROW(PLE.lastrow)-ROW(PLE.firstrow))),0,IF(OFFSET(PLE!$G$14,$M262,BZ$13)="",10^12,OFFSET(PLE!$G$14,$M262,BZ$13))))</f>
        <v>1000000000000</v>
      </c>
      <c r="CA262" s="216">
        <f ca="1">IF($D262&lt;&gt;"Serviço",0,IF(OR(AND(AUTOEVENTO="Manual",$M262=1),$M262&gt;(ROW(PLE.lastrow)-ROW(PLE.firstrow))),0,IF(OFFSET(PLE!$G$14,$M262,CA$13)="",10^12,OFFSET(PLE!$G$14,$M262,CA$13))))</f>
        <v>1000000000000</v>
      </c>
      <c r="CB262" s="216">
        <f ca="1">IF($D262&lt;&gt;"Serviço",0,IF(OR(AND(AUTOEVENTO="Manual",$M262=1),$M262&gt;(ROW(PLE.lastrow)-ROW(PLE.firstrow))),0,IF(OFFSET(PLE!$G$14,$M262,CB$13)="",10^12,OFFSET(PLE!$G$14,$M262,CB$13))))</f>
        <v>1000000000000</v>
      </c>
      <c r="CC262" s="216">
        <f ca="1">IF($D262&lt;&gt;"Serviço",0,IF(OR(AND(AUTOEVENTO="Manual",$M262=1),$M262&gt;(ROW(PLE.lastrow)-ROW(PLE.firstrow))),0,IF(OFFSET(PLE!$G$14,$M262,CC$13)="",10^12,OFFSET(PLE!$G$14,$M262,CC$13))))</f>
        <v>1000000000000</v>
      </c>
      <c r="CD262" s="216">
        <f ca="1">IF($D262&lt;&gt;"Serviço",0,IF(OR(AND(AUTOEVENTO="Manual",$M262=1),$M262&gt;(ROW(PLE.lastrow)-ROW(PLE.firstrow))),0,IF(OFFSET(PLE!$G$14,$M262,CD$13)="",10^12,OFFSET(PLE!$G$14,$M262,CD$13))))</f>
        <v>1000000000000</v>
      </c>
      <c r="CE262" s="216">
        <f ca="1">IF($D262&lt;&gt;"Serviço",0,IF(OR(AND(AUTOEVENTO="Manual",$M262=1),$M262&gt;(ROW(PLE.lastrow)-ROW(PLE.firstrow))),0,IF(OFFSET(PLE!$G$14,$M262,CE$13)="",10^12,OFFSET(PLE!$G$14,$M262,CE$13))))</f>
        <v>1000000000000</v>
      </c>
      <c r="CF262" s="216">
        <f ca="1">IF($D262&lt;&gt;"Serviço",0,IF(OR(AND(AUTOEVENTO="Manual",$M262=1),$M262&gt;(ROW(PLE.lastrow)-ROW(PLE.firstrow))),0,IF(OFFSET(PLE!$G$14,$M262,CF$13)="",10^12,OFFSET(PLE!$G$14,$M262,CF$13))))</f>
        <v>1000000000000</v>
      </c>
      <c r="CG262" s="216">
        <f ca="1">IF($D262&lt;&gt;"Serviço",0,IF(OR(AND(AUTOEVENTO="Manual",$M262=1),$M262&gt;(ROW(PLE.lastrow)-ROW(PLE.firstrow))),0,IF(OFFSET(PLE!$G$14,$M262,CG$13)="",10^12,OFFSET(PLE!$G$14,$M262,CG$13))))</f>
        <v>1000000000000</v>
      </c>
      <c r="CH262" s="216">
        <f ca="1">IF($D262&lt;&gt;"Serviço",0,IF(OR(AND(AUTOEVENTO="Manual",$M262=1),$M262&gt;(ROW(PLE.lastrow)-ROW(PLE.firstrow))),0,IF(OFFSET(PLE!$G$14,$M262,CH$13)="",10^12,OFFSET(PLE!$G$14,$M262,CH$13))))</f>
        <v>1000000000000</v>
      </c>
      <c r="CI262" s="216">
        <f ca="1">IF($D262&lt;&gt;"Serviço",0,IF(OR(AND(AUTOEVENTO="Manual",$M262=1),$M262&gt;(ROW(PLE.lastrow)-ROW(PLE.firstrow))),0,IF(OFFSET(PLE!$G$14,$M262,CI$13)="",10^12,OFFSET(PLE!$G$14,$M262,CI$13))))</f>
        <v>1000000000000</v>
      </c>
      <c r="CJ262" s="216">
        <f ca="1">IF($D262&lt;&gt;"Serviço",0,IF(OR(AND(AUTOEVENTO="Manual",$M262=1),$M262&gt;(ROW(PLE.lastrow)-ROW(PLE.firstrow))),0,IF(OFFSET(PLE!$G$14,$M262,CJ$13)="",10^12,OFFSET(PLE!$G$14,$M262,CJ$13))))</f>
        <v>1000000000000</v>
      </c>
      <c r="CK262" s="216">
        <f ca="1">IF($D262&lt;&gt;"Serviço",0,IF(OR(AND(AUTOEVENTO="Manual",$M262=1),$M262&gt;(ROW(PLE.lastrow)-ROW(PLE.firstrow))),0,IF(OFFSET(PLE!$G$14,$M262,CK$13)="",10^12,OFFSET(PLE!$G$14,$M262,CK$13))))</f>
        <v>1000000000000</v>
      </c>
      <c r="CL262" s="216">
        <f ca="1">IF($D262&lt;&gt;"Serviço",0,IF(OR(AND(AUTOEVENTO="Manual",$M262=1),$M262&gt;(ROW(PLE.lastrow)-ROW(PLE.firstrow))),0,IF(OFFSET(PLE!$G$14,$M262,CL$13)="",10^12,OFFSET(PLE!$G$14,$M262,CL$13))))</f>
        <v>1000000000000</v>
      </c>
      <c r="CM262" s="216">
        <f ca="1">IF($D262&lt;&gt;"Serviço",0,IF(OR(AND(AUTOEVENTO="Manual",$M262=1),$M262&gt;(ROW(PLE.lastrow)-ROW(PLE.firstrow))),0,IF(OFFSET(PLE!$G$14,$M262,CM$13)="",10^12,OFFSET(PLE!$G$14,$M262,CM$13))))</f>
        <v>1000000000000</v>
      </c>
    </row>
    <row r="263" spans="1:91" ht="13.2" x14ac:dyDescent="0.25">
      <c r="A263" s="9">
        <f t="shared" ca="1" si="12"/>
        <v>0</v>
      </c>
      <c r="B263" s="9" t="str">
        <f ca="1">OFFSET(ORÇAMENTO!C$15,ROW(B263)-ROW(B$15),0)</f>
        <v>S</v>
      </c>
      <c r="C263" s="9" t="str">
        <f ca="1">OFFSET(ORÇAMENTO!L$15,ROW(C263)-ROW(C$15),0)</f>
        <v/>
      </c>
      <c r="D263" s="145" t="str">
        <f ca="1">OFFSET(ORÇAMENTO!N$15,ROW(D263)-ROW(D$15),0)</f>
        <v>Serviço</v>
      </c>
      <c r="E263" s="205" t="str">
        <f ca="1">OFFSET(ORÇAMENTO!O$15,ROW(E263)-ROW(E$15),0)</f>
        <v>-</v>
      </c>
      <c r="F263" s="206" t="str">
        <f ca="1">OFFSET(ORÇAMENTO!R$15,ROW(F263)-ROW(F$15),0)</f>
        <v>(abra o arquivo 'Referência 05-2024.xls)</v>
      </c>
      <c r="G263" s="207" t="str">
        <f ca="1">IF($D263&lt;&gt;"Serviço","",OFFSET(ORÇAMENTO!S$15,ROW(G263)-ROW(G$15),0))</f>
        <v>-</v>
      </c>
      <c r="H263" s="151">
        <f ca="1">IF($D263&lt;&gt;"Serviço",0,IF(ACOMPANHAMENTO="BM",ROUND(OFFSET(ORÇAMENTO!AJ$15,ROW(H263)-ROW(H$15),0),15-13*ORÇAMENTO!$AF$7),SUMPRODUCT(($Q$12:$AI$12&lt;&gt;"")*ROUND($Q263:$AI263,15-13*ORÇAMENTO!$AF$7))))</f>
        <v>1780.58</v>
      </c>
      <c r="I263" s="650"/>
      <c r="K263" s="208"/>
      <c r="L263" s="209" t="s">
        <v>257</v>
      </c>
      <c r="M263" s="210">
        <f ca="1">IF($D263&lt;&gt;"Serviço","",IF(AUTOEVENTO="manual",$A263,IF(ISERROR(MATCH($A263,$A$15:OFFSET($A263,-1,0),0)),MAX($M$15:OFFSET(M263,-1,0))+1,INDEX($M$15:OFFSET(M263,-1,0),MATCH($A263,$A$15:OFFSET($A263,-1,0),0)))))</f>
        <v>0</v>
      </c>
      <c r="N263" s="211" t="str">
        <f ca="1">IF($D263&lt;&gt;"Serviço","",IF(AUTOEVENTO="Manual",IF($A263=0,"&lt;-- defina o número do agrupador",OFFSET(EVENTOS!$D$14,$A263,0)),OFFSET($F$15,$A263,0)))</f>
        <v>&lt;-- defina o número do agrupador</v>
      </c>
      <c r="O263" s="212"/>
      <c r="Q263" s="212"/>
      <c r="R263" s="213"/>
      <c r="S263" s="213"/>
      <c r="T263" s="213"/>
      <c r="U263" s="213"/>
      <c r="V263" s="213"/>
      <c r="W263" s="213"/>
      <c r="X263" s="213"/>
      <c r="Y263" s="213"/>
      <c r="Z263" s="214"/>
      <c r="AA263" s="213"/>
      <c r="AB263" s="213"/>
      <c r="AC263" s="213"/>
      <c r="AD263" s="213"/>
      <c r="AE263" s="213"/>
      <c r="AF263" s="213"/>
      <c r="AG263" s="213"/>
      <c r="AH263" s="214"/>
      <c r="AJ263" s="631">
        <f ca="1">IF(AND($D263="Serviço",AJ$12&lt;&gt;0,$H263&gt;0,OR(AUTOEVENTO&lt;&gt;"manual",$M263&lt;&gt;1)),ROUND(OFFSET($P263,0,AJ$13),15-13*ORÇAMENTO!$AF$7)/$H263*OFFSET(ORÇAMENTO!$X$15,ROW(AJ263)-ROW(AJ$15),0),0)</f>
        <v>0</v>
      </c>
      <c r="AK263" s="632">
        <f ca="1">IF(AND($D263="Serviço",AK$12&lt;&gt;0,$H263&gt;0,OR(AUTOEVENTO&lt;&gt;"manual",$M263&lt;&gt;1)),ROUND(OFFSET($P263,0,AK$13),15-13*ORÇAMENTO!$AF$7)/$H263*OFFSET(ORÇAMENTO!$X$15,ROW(AK263)-ROW(AK$15),0),0)</f>
        <v>0</v>
      </c>
      <c r="AL263" s="632">
        <f ca="1">IF(AND($D263="Serviço",AL$12&lt;&gt;0,$H263&gt;0,OR(AUTOEVENTO&lt;&gt;"manual",$M263&lt;&gt;1)),ROUND(OFFSET($P263,0,AL$13),15-13*ORÇAMENTO!$AF$7)/$H263*OFFSET(ORÇAMENTO!$X$15,ROW(AL263)-ROW(AL$15),0),0)</f>
        <v>0</v>
      </c>
      <c r="AM263" s="632">
        <f ca="1">IF(AND($D263="Serviço",AM$12&lt;&gt;0,$H263&gt;0,OR(AUTOEVENTO&lt;&gt;"manual",$M263&lt;&gt;1)),ROUND(OFFSET($P263,0,AM$13),15-13*ORÇAMENTO!$AF$7)/$H263*OFFSET(ORÇAMENTO!$X$15,ROW(AM263)-ROW(AM$15),0),0)</f>
        <v>0</v>
      </c>
      <c r="AN263" s="632">
        <f ca="1">IF(AND($D263="Serviço",AN$12&lt;&gt;0,$H263&gt;0,OR(AUTOEVENTO&lt;&gt;"manual",$M263&lt;&gt;1)),ROUND(OFFSET($P263,0,AN$13),15-13*ORÇAMENTO!$AF$7)/$H263*OFFSET(ORÇAMENTO!$X$15,ROW(AN263)-ROW(AN$15),0),0)</f>
        <v>0</v>
      </c>
      <c r="AO263" s="632">
        <f ca="1">IF(AND($D263="Serviço",AO$12&lt;&gt;0,$H263&gt;0,OR(AUTOEVENTO&lt;&gt;"manual",$M263&lt;&gt;1)),ROUND(OFFSET($P263,0,AO$13),15-13*ORÇAMENTO!$AF$7)/$H263*OFFSET(ORÇAMENTO!$X$15,ROW(AO263)-ROW(AO$15),0),0)</f>
        <v>0</v>
      </c>
      <c r="AP263" s="632">
        <f ca="1">IF(AND($D263="Serviço",AP$12&lt;&gt;0,$H263&gt;0,OR(AUTOEVENTO&lt;&gt;"manual",$M263&lt;&gt;1)),ROUND(OFFSET($P263,0,AP$13),15-13*ORÇAMENTO!$AF$7)/$H263*OFFSET(ORÇAMENTO!$X$15,ROW(AP263)-ROW(AP$15),0),0)</f>
        <v>0</v>
      </c>
      <c r="AQ263" s="632">
        <f ca="1">IF(AND($D263="Serviço",AQ$12&lt;&gt;0,$H263&gt;0,OR(AUTOEVENTO&lt;&gt;"manual",$M263&lt;&gt;1)),ROUND(OFFSET($P263,0,AQ$13),15-13*ORÇAMENTO!$AF$7)/$H263*OFFSET(ORÇAMENTO!$X$15,ROW(AQ263)-ROW(AQ$15),0),0)</f>
        <v>0</v>
      </c>
      <c r="AR263" s="632">
        <f ca="1">IF(AND($D263="Serviço",AR$12&lt;&gt;0,$H263&gt;0,OR(AUTOEVENTO&lt;&gt;"manual",$M263&lt;&gt;1)),ROUND(OFFSET($P263,0,AR$13),15-13*ORÇAMENTO!$AF$7)/$H263*OFFSET(ORÇAMENTO!$X$15,ROW(AR263)-ROW(AR$15),0),0)</f>
        <v>0</v>
      </c>
      <c r="AS263" s="633">
        <f ca="1">IF(AND($D263="Serviço",AS$12&lt;&gt;0,$H263&gt;0,OR(AUTOEVENTO&lt;&gt;"manual",$M263&lt;&gt;1)),ROUND(OFFSET($P263,0,AS$13),15-13*ORÇAMENTO!$AF$7)/$H263*OFFSET(ORÇAMENTO!$X$15,ROW(AS263)-ROW(AS$15),0),0)</f>
        <v>0</v>
      </c>
      <c r="AT263" s="632">
        <f ca="1">IF(AND($D263="Serviço",AT$12&lt;&gt;0,$H263&gt;0,OR(AUTOEVENTO&lt;&gt;"manual",$M263&lt;&gt;1)),ROUND(OFFSET($P263,0,AT$13),15-13*ORÇAMENTO!$AF$7)/$H263*OFFSET(ORÇAMENTO!$X$15,ROW(AT263)-ROW(AT$15),0),0)</f>
        <v>0</v>
      </c>
      <c r="AU263" s="632">
        <f ca="1">IF(AND($D263="Serviço",AU$12&lt;&gt;0,$H263&gt;0,OR(AUTOEVENTO&lt;&gt;"manual",$M263&lt;&gt;1)),ROUND(OFFSET($P263,0,AU$13),15-13*ORÇAMENTO!$AF$7)/$H263*OFFSET(ORÇAMENTO!$X$15,ROW(AU263)-ROW(AU$15),0),0)</f>
        <v>0</v>
      </c>
      <c r="AV263" s="632">
        <f ca="1">IF(AND($D263="Serviço",AV$12&lt;&gt;0,$H263&gt;0,OR(AUTOEVENTO&lt;&gt;"manual",$M263&lt;&gt;1)),ROUND(OFFSET($P263,0,AV$13),15-13*ORÇAMENTO!$AF$7)/$H263*OFFSET(ORÇAMENTO!$X$15,ROW(AV263)-ROW(AV$15),0),0)</f>
        <v>0</v>
      </c>
      <c r="AW263" s="632">
        <f ca="1">IF(AND($D263="Serviço",AW$12&lt;&gt;0,$H263&gt;0,OR(AUTOEVENTO&lt;&gt;"manual",$M263&lt;&gt;1)),ROUND(OFFSET($P263,0,AW$13),15-13*ORÇAMENTO!$AF$7)/$H263*OFFSET(ORÇAMENTO!$X$15,ROW(AW263)-ROW(AW$15),0),0)</f>
        <v>0</v>
      </c>
      <c r="AX263" s="632">
        <f ca="1">IF(AND($D263="Serviço",AX$12&lt;&gt;0,$H263&gt;0,OR(AUTOEVENTO&lt;&gt;"manual",$M263&lt;&gt;1)),ROUND(OFFSET($P263,0,AX$13),15-13*ORÇAMENTO!$AF$7)/$H263*OFFSET(ORÇAMENTO!$X$15,ROW(AX263)-ROW(AX$15),0),0)</f>
        <v>0</v>
      </c>
      <c r="AY263" s="632">
        <f ca="1">IF(AND($D263="Serviço",AY$12&lt;&gt;0,$H263&gt;0,OR(AUTOEVENTO&lt;&gt;"manual",$M263&lt;&gt;1)),ROUND(OFFSET($P263,0,AY$13),15-13*ORÇAMENTO!$AF$7)/$H263*OFFSET(ORÇAMENTO!$X$15,ROW(AY263)-ROW(AY$15),0),0)</f>
        <v>0</v>
      </c>
      <c r="AZ263" s="632">
        <f ca="1">IF(AND($D263="Serviço",AZ$12&lt;&gt;0,$H263&gt;0,OR(AUTOEVENTO&lt;&gt;"manual",$M263&lt;&gt;1)),ROUND(OFFSET($P263,0,AZ$13),15-13*ORÇAMENTO!$AF$7)/$H263*OFFSET(ORÇAMENTO!$X$15,ROW(AZ263)-ROW(AZ$15),0),0)</f>
        <v>0</v>
      </c>
      <c r="BA263" s="633">
        <f ca="1">IF(AND($D263="Serviço",BA$12&lt;&gt;0,$H263&gt;0,OR(AUTOEVENTO&lt;&gt;"manual",$M263&lt;&gt;1)),ROUND(OFFSET($P263,0,BA$13),15-13*ORÇAMENTO!$AF$7)/$H263*OFFSET(ORÇAMENTO!$X$15,ROW(BA263)-ROW(BA$15),0),0)</f>
        <v>0</v>
      </c>
      <c r="BC263" s="215">
        <f ca="1">IF($D263&lt;&gt;"Serviço",0,IF(AND(AUTOEVENTO="Manual",$M263=1),0,IF(OFFSET(CRONOPLE!$F$14,$M263,BC$13)="",10^12,OFFSET(CRONOPLE!$F$14,$M263,BC$13))))</f>
        <v>1000000000000</v>
      </c>
      <c r="BD263" s="215">
        <f ca="1">IF($D263&lt;&gt;"Serviço",0,IF(AND(AUTOEVENTO="Manual",$M263=1),0,IF(OFFSET(CRONOPLE!$F$14,$M263,BD$13)="",10^12,OFFSET(CRONOPLE!$F$14,$M263,BD$13))))</f>
        <v>1000000000000</v>
      </c>
      <c r="BE263" s="215">
        <f ca="1">IF($D263&lt;&gt;"Serviço",0,IF(AND(AUTOEVENTO="Manual",$M263=1),0,IF(OFFSET(CRONOPLE!$F$14,$M263,BE$13)="",10^12,OFFSET(CRONOPLE!$F$14,$M263,BE$13))))</f>
        <v>1000000000000</v>
      </c>
      <c r="BF263" s="215">
        <f ca="1">IF($D263&lt;&gt;"Serviço",0,IF(AND(AUTOEVENTO="Manual",$M263=1),0,IF(OFFSET(CRONOPLE!$F$14,$M263,BF$13)="",10^12,OFFSET(CRONOPLE!$F$14,$M263,BF$13))))</f>
        <v>1000000000000</v>
      </c>
      <c r="BG263" s="215">
        <f ca="1">IF($D263&lt;&gt;"Serviço",0,IF(AND(AUTOEVENTO="Manual",$M263=1),0,IF(OFFSET(CRONOPLE!$F$14,$M263,BG$13)="",10^12,OFFSET(CRONOPLE!$F$14,$M263,BG$13))))</f>
        <v>1000000000000</v>
      </c>
      <c r="BH263" s="215">
        <f ca="1">IF($D263&lt;&gt;"Serviço",0,IF(AND(AUTOEVENTO="Manual",$M263=1),0,IF(OFFSET(CRONOPLE!$F$14,$M263,BH$13)="",10^12,OFFSET(CRONOPLE!$F$14,$M263,BH$13))))</f>
        <v>1000000000000</v>
      </c>
      <c r="BI263" s="215">
        <f ca="1">IF($D263&lt;&gt;"Serviço",0,IF(AND(AUTOEVENTO="Manual",$M263=1),0,IF(OFFSET(CRONOPLE!$F$14,$M263,BI$13)="",10^12,OFFSET(CRONOPLE!$F$14,$M263,BI$13))))</f>
        <v>1000000000000</v>
      </c>
      <c r="BJ263" s="215">
        <f ca="1">IF($D263&lt;&gt;"Serviço",0,IF(AND(AUTOEVENTO="Manual",$M263=1),0,IF(OFFSET(CRONOPLE!$F$14,$M263,BJ$13)="",10^12,OFFSET(CRONOPLE!$F$14,$M263,BJ$13))))</f>
        <v>1000000000000</v>
      </c>
      <c r="BK263" s="215">
        <f ca="1">IF($D263&lt;&gt;"Serviço",0,IF(AND(AUTOEVENTO="Manual",$M263=1),0,IF(OFFSET(CRONOPLE!$F$14,$M263,BK$13)="",10^12,OFFSET(CRONOPLE!$F$14,$M263,BK$13))))</f>
        <v>1000000000000</v>
      </c>
      <c r="BL263" s="215">
        <f ca="1">IF($D263&lt;&gt;"Serviço",0,IF(AND(AUTOEVENTO="Manual",$M263=1),0,IF(OFFSET(CRONOPLE!$F$14,$M263,BL$13)="",10^12,OFFSET(CRONOPLE!$F$14,$M263,BL$13))))</f>
        <v>1000000000000</v>
      </c>
      <c r="BM263" s="215">
        <f ca="1">IF($D263&lt;&gt;"Serviço",0,IF(AND(AUTOEVENTO="Manual",$M263=1),0,IF(OFFSET(CRONOPLE!$F$14,$M263,BM$13)="",10^12,OFFSET(CRONOPLE!$F$14,$M263,BM$13))))</f>
        <v>1000000000000</v>
      </c>
      <c r="BN263" s="215">
        <f ca="1">IF($D263&lt;&gt;"Serviço",0,IF(AND(AUTOEVENTO="Manual",$M263=1),0,IF(OFFSET(CRONOPLE!$F$14,$M263,BN$13)="",10^12,OFFSET(CRONOPLE!$F$14,$M263,BN$13))))</f>
        <v>1000000000000</v>
      </c>
      <c r="BO263" s="215">
        <f ca="1">IF($D263&lt;&gt;"Serviço",0,IF(AND(AUTOEVENTO="Manual",$M263=1),0,IF(OFFSET(CRONOPLE!$F$14,$M263,BO$13)="",10^12,OFFSET(CRONOPLE!$F$14,$M263,BO$13))))</f>
        <v>1000000000000</v>
      </c>
      <c r="BP263" s="215">
        <f ca="1">IF($D263&lt;&gt;"Serviço",0,IF(AND(AUTOEVENTO="Manual",$M263=1),0,IF(OFFSET(CRONOPLE!$F$14,$M263,BP$13)="",10^12,OFFSET(CRONOPLE!$F$14,$M263,BP$13))))</f>
        <v>1000000000000</v>
      </c>
      <c r="BQ263" s="215">
        <f ca="1">IF($D263&lt;&gt;"Serviço",0,IF(AND(AUTOEVENTO="Manual",$M263=1),0,IF(OFFSET(CRONOPLE!$F$14,$M263,BQ$13)="",10^12,OFFSET(CRONOPLE!$F$14,$M263,BQ$13))))</f>
        <v>1000000000000</v>
      </c>
      <c r="BR263" s="215">
        <f ca="1">IF($D263&lt;&gt;"Serviço",0,IF(AND(AUTOEVENTO="Manual",$M263=1),0,IF(OFFSET(CRONOPLE!$F$14,$M263,BR$13)="",10^12,OFFSET(CRONOPLE!$F$14,$M263,BR$13))))</f>
        <v>1000000000000</v>
      </c>
      <c r="BS263" s="215">
        <f ca="1">IF($D263&lt;&gt;"Serviço",0,IF(AND(AUTOEVENTO="Manual",$M263=1),0,IF(OFFSET(CRONOPLE!$F$14,$M263,BS$13)="",10^12,OFFSET(CRONOPLE!$F$14,$M263,BS$13))))</f>
        <v>1000000000000</v>
      </c>
      <c r="BT263" s="215">
        <f ca="1">IF($D263&lt;&gt;"Serviço",0,IF(AND(AUTOEVENTO="Manual",$M263=1),0,IF(OFFSET(CRONOPLE!$F$14,$M263,BT$13)="",10^12,OFFSET(CRONOPLE!$F$14,$M263,BT$13))))</f>
        <v>1000000000000</v>
      </c>
      <c r="BV263" s="216">
        <f ca="1">IF($D263&lt;&gt;"Serviço",0,IF(OR(AND(AUTOEVENTO="Manual",$M263=1),$M263&gt;(ROW(PLE.lastrow)-ROW(PLE.firstrow))),0,IF(OFFSET(PLE!$G$14,$M263,BV$13)="",10^12,OFFSET(PLE!$G$14,$M263,BV$13))))</f>
        <v>1000000000000</v>
      </c>
      <c r="BW263" s="216">
        <f ca="1">IF($D263&lt;&gt;"Serviço",0,IF(OR(AND(AUTOEVENTO="Manual",$M263=1),$M263&gt;(ROW(PLE.lastrow)-ROW(PLE.firstrow))),0,IF(OFFSET(PLE!$G$14,$M263,BW$13)="",10^12,OFFSET(PLE!$G$14,$M263,BW$13))))</f>
        <v>1000000000000</v>
      </c>
      <c r="BX263" s="216">
        <f ca="1">IF($D263&lt;&gt;"Serviço",0,IF(OR(AND(AUTOEVENTO="Manual",$M263=1),$M263&gt;(ROW(PLE.lastrow)-ROW(PLE.firstrow))),0,IF(OFFSET(PLE!$G$14,$M263,BX$13)="",10^12,OFFSET(PLE!$G$14,$M263,BX$13))))</f>
        <v>1000000000000</v>
      </c>
      <c r="BY263" s="216">
        <f ca="1">IF($D263&lt;&gt;"Serviço",0,IF(OR(AND(AUTOEVENTO="Manual",$M263=1),$M263&gt;(ROW(PLE.lastrow)-ROW(PLE.firstrow))),0,IF(OFFSET(PLE!$G$14,$M263,BY$13)="",10^12,OFFSET(PLE!$G$14,$M263,BY$13))))</f>
        <v>1000000000000</v>
      </c>
      <c r="BZ263" s="216">
        <f ca="1">IF($D263&lt;&gt;"Serviço",0,IF(OR(AND(AUTOEVENTO="Manual",$M263=1),$M263&gt;(ROW(PLE.lastrow)-ROW(PLE.firstrow))),0,IF(OFFSET(PLE!$G$14,$M263,BZ$13)="",10^12,OFFSET(PLE!$G$14,$M263,BZ$13))))</f>
        <v>1000000000000</v>
      </c>
      <c r="CA263" s="216">
        <f ca="1">IF($D263&lt;&gt;"Serviço",0,IF(OR(AND(AUTOEVENTO="Manual",$M263=1),$M263&gt;(ROW(PLE.lastrow)-ROW(PLE.firstrow))),0,IF(OFFSET(PLE!$G$14,$M263,CA$13)="",10^12,OFFSET(PLE!$G$14,$M263,CA$13))))</f>
        <v>1000000000000</v>
      </c>
      <c r="CB263" s="216">
        <f ca="1">IF($D263&lt;&gt;"Serviço",0,IF(OR(AND(AUTOEVENTO="Manual",$M263=1),$M263&gt;(ROW(PLE.lastrow)-ROW(PLE.firstrow))),0,IF(OFFSET(PLE!$G$14,$M263,CB$13)="",10^12,OFFSET(PLE!$G$14,$M263,CB$13))))</f>
        <v>1000000000000</v>
      </c>
      <c r="CC263" s="216">
        <f ca="1">IF($D263&lt;&gt;"Serviço",0,IF(OR(AND(AUTOEVENTO="Manual",$M263=1),$M263&gt;(ROW(PLE.lastrow)-ROW(PLE.firstrow))),0,IF(OFFSET(PLE!$G$14,$M263,CC$13)="",10^12,OFFSET(PLE!$G$14,$M263,CC$13))))</f>
        <v>1000000000000</v>
      </c>
      <c r="CD263" s="216">
        <f ca="1">IF($D263&lt;&gt;"Serviço",0,IF(OR(AND(AUTOEVENTO="Manual",$M263=1),$M263&gt;(ROW(PLE.lastrow)-ROW(PLE.firstrow))),0,IF(OFFSET(PLE!$G$14,$M263,CD$13)="",10^12,OFFSET(PLE!$G$14,$M263,CD$13))))</f>
        <v>1000000000000</v>
      </c>
      <c r="CE263" s="216">
        <f ca="1">IF($D263&lt;&gt;"Serviço",0,IF(OR(AND(AUTOEVENTO="Manual",$M263=1),$M263&gt;(ROW(PLE.lastrow)-ROW(PLE.firstrow))),0,IF(OFFSET(PLE!$G$14,$M263,CE$13)="",10^12,OFFSET(PLE!$G$14,$M263,CE$13))))</f>
        <v>1000000000000</v>
      </c>
      <c r="CF263" s="216">
        <f ca="1">IF($D263&lt;&gt;"Serviço",0,IF(OR(AND(AUTOEVENTO="Manual",$M263=1),$M263&gt;(ROW(PLE.lastrow)-ROW(PLE.firstrow))),0,IF(OFFSET(PLE!$G$14,$M263,CF$13)="",10^12,OFFSET(PLE!$G$14,$M263,CF$13))))</f>
        <v>1000000000000</v>
      </c>
      <c r="CG263" s="216">
        <f ca="1">IF($D263&lt;&gt;"Serviço",0,IF(OR(AND(AUTOEVENTO="Manual",$M263=1),$M263&gt;(ROW(PLE.lastrow)-ROW(PLE.firstrow))),0,IF(OFFSET(PLE!$G$14,$M263,CG$13)="",10^12,OFFSET(PLE!$G$14,$M263,CG$13))))</f>
        <v>1000000000000</v>
      </c>
      <c r="CH263" s="216">
        <f ca="1">IF($D263&lt;&gt;"Serviço",0,IF(OR(AND(AUTOEVENTO="Manual",$M263=1),$M263&gt;(ROW(PLE.lastrow)-ROW(PLE.firstrow))),0,IF(OFFSET(PLE!$G$14,$M263,CH$13)="",10^12,OFFSET(PLE!$G$14,$M263,CH$13))))</f>
        <v>1000000000000</v>
      </c>
      <c r="CI263" s="216">
        <f ca="1">IF($D263&lt;&gt;"Serviço",0,IF(OR(AND(AUTOEVENTO="Manual",$M263=1),$M263&gt;(ROW(PLE.lastrow)-ROW(PLE.firstrow))),0,IF(OFFSET(PLE!$G$14,$M263,CI$13)="",10^12,OFFSET(PLE!$G$14,$M263,CI$13))))</f>
        <v>1000000000000</v>
      </c>
      <c r="CJ263" s="216">
        <f ca="1">IF($D263&lt;&gt;"Serviço",0,IF(OR(AND(AUTOEVENTO="Manual",$M263=1),$M263&gt;(ROW(PLE.lastrow)-ROW(PLE.firstrow))),0,IF(OFFSET(PLE!$G$14,$M263,CJ$13)="",10^12,OFFSET(PLE!$G$14,$M263,CJ$13))))</f>
        <v>1000000000000</v>
      </c>
      <c r="CK263" s="216">
        <f ca="1">IF($D263&lt;&gt;"Serviço",0,IF(OR(AND(AUTOEVENTO="Manual",$M263=1),$M263&gt;(ROW(PLE.lastrow)-ROW(PLE.firstrow))),0,IF(OFFSET(PLE!$G$14,$M263,CK$13)="",10^12,OFFSET(PLE!$G$14,$M263,CK$13))))</f>
        <v>1000000000000</v>
      </c>
      <c r="CL263" s="216">
        <f ca="1">IF($D263&lt;&gt;"Serviço",0,IF(OR(AND(AUTOEVENTO="Manual",$M263=1),$M263&gt;(ROW(PLE.lastrow)-ROW(PLE.firstrow))),0,IF(OFFSET(PLE!$G$14,$M263,CL$13)="",10^12,OFFSET(PLE!$G$14,$M263,CL$13))))</f>
        <v>1000000000000</v>
      </c>
      <c r="CM263" s="216">
        <f ca="1">IF($D263&lt;&gt;"Serviço",0,IF(OR(AND(AUTOEVENTO="Manual",$M263=1),$M263&gt;(ROW(PLE.lastrow)-ROW(PLE.firstrow))),0,IF(OFFSET(PLE!$G$14,$M263,CM$13)="",10^12,OFFSET(PLE!$G$14,$M263,CM$13))))</f>
        <v>1000000000000</v>
      </c>
    </row>
    <row r="264" spans="1:91" ht="13.2" x14ac:dyDescent="0.25">
      <c r="A264" s="9">
        <f t="shared" ca="1" si="12"/>
        <v>0</v>
      </c>
      <c r="B264" s="9" t="str">
        <f ca="1">OFFSET(ORÇAMENTO!C$15,ROW(B264)-ROW(B$15),0)</f>
        <v>S</v>
      </c>
      <c r="C264" s="9" t="str">
        <f ca="1">OFFSET(ORÇAMENTO!L$15,ROW(C264)-ROW(C$15),0)</f>
        <v/>
      </c>
      <c r="D264" s="145" t="str">
        <f ca="1">OFFSET(ORÇAMENTO!N$15,ROW(D264)-ROW(D$15),0)</f>
        <v>Serviço</v>
      </c>
      <c r="E264" s="205" t="str">
        <f ca="1">OFFSET(ORÇAMENTO!O$15,ROW(E264)-ROW(E$15),0)</f>
        <v>-</v>
      </c>
      <c r="F264" s="206" t="str">
        <f ca="1">OFFSET(ORÇAMENTO!R$15,ROW(F264)-ROW(F$15),0)</f>
        <v>(abra o arquivo 'Referência 05-2024.xls)</v>
      </c>
      <c r="G264" s="207" t="str">
        <f ca="1">IF($D264&lt;&gt;"Serviço","",OFFSET(ORÇAMENTO!S$15,ROW(G264)-ROW(G$15),0))</f>
        <v>-</v>
      </c>
      <c r="H264" s="151">
        <f ca="1">IF($D264&lt;&gt;"Serviço",0,IF(ACOMPANHAMENTO="BM",ROUND(OFFSET(ORÇAMENTO!AJ$15,ROW(H264)-ROW(H$15),0),15-13*ORÇAMENTO!$AF$7),SUMPRODUCT(($Q$12:$AI$12&lt;&gt;"")*ROUND($Q264:$AI264,15-13*ORÇAMENTO!$AF$7))))</f>
        <v>256.23</v>
      </c>
      <c r="I264" s="650"/>
      <c r="K264" s="208"/>
      <c r="L264" s="209" t="s">
        <v>257</v>
      </c>
      <c r="M264" s="210">
        <f ca="1">IF($D264&lt;&gt;"Serviço","",IF(AUTOEVENTO="manual",$A264,IF(ISERROR(MATCH($A264,$A$15:OFFSET($A264,-1,0),0)),MAX($M$15:OFFSET(M264,-1,0))+1,INDEX($M$15:OFFSET(M264,-1,0),MATCH($A264,$A$15:OFFSET($A264,-1,0),0)))))</f>
        <v>0</v>
      </c>
      <c r="N264" s="211" t="str">
        <f ca="1">IF($D264&lt;&gt;"Serviço","",IF(AUTOEVENTO="Manual",IF($A264=0,"&lt;-- defina o número do agrupador",OFFSET(EVENTOS!$D$14,$A264,0)),OFFSET($F$15,$A264,0)))</f>
        <v>&lt;-- defina o número do agrupador</v>
      </c>
      <c r="O264" s="212"/>
      <c r="Q264" s="212"/>
      <c r="R264" s="213"/>
      <c r="S264" s="213"/>
      <c r="T264" s="213"/>
      <c r="U264" s="213"/>
      <c r="V264" s="213"/>
      <c r="W264" s="213"/>
      <c r="X264" s="213"/>
      <c r="Y264" s="213"/>
      <c r="Z264" s="214"/>
      <c r="AA264" s="213"/>
      <c r="AB264" s="213"/>
      <c r="AC264" s="213"/>
      <c r="AD264" s="213"/>
      <c r="AE264" s="213"/>
      <c r="AF264" s="213"/>
      <c r="AG264" s="213"/>
      <c r="AH264" s="214"/>
      <c r="AJ264" s="631">
        <f ca="1">IF(AND($D264="Serviço",AJ$12&lt;&gt;0,$H264&gt;0,OR(AUTOEVENTO&lt;&gt;"manual",$M264&lt;&gt;1)),ROUND(OFFSET($P264,0,AJ$13),15-13*ORÇAMENTO!$AF$7)/$H264*OFFSET(ORÇAMENTO!$X$15,ROW(AJ264)-ROW(AJ$15),0),0)</f>
        <v>0</v>
      </c>
      <c r="AK264" s="632">
        <f ca="1">IF(AND($D264="Serviço",AK$12&lt;&gt;0,$H264&gt;0,OR(AUTOEVENTO&lt;&gt;"manual",$M264&lt;&gt;1)),ROUND(OFFSET($P264,0,AK$13),15-13*ORÇAMENTO!$AF$7)/$H264*OFFSET(ORÇAMENTO!$X$15,ROW(AK264)-ROW(AK$15),0),0)</f>
        <v>0</v>
      </c>
      <c r="AL264" s="632">
        <f ca="1">IF(AND($D264="Serviço",AL$12&lt;&gt;0,$H264&gt;0,OR(AUTOEVENTO&lt;&gt;"manual",$M264&lt;&gt;1)),ROUND(OFFSET($P264,0,AL$13),15-13*ORÇAMENTO!$AF$7)/$H264*OFFSET(ORÇAMENTO!$X$15,ROW(AL264)-ROW(AL$15),0),0)</f>
        <v>0</v>
      </c>
      <c r="AM264" s="632">
        <f ca="1">IF(AND($D264="Serviço",AM$12&lt;&gt;0,$H264&gt;0,OR(AUTOEVENTO&lt;&gt;"manual",$M264&lt;&gt;1)),ROUND(OFFSET($P264,0,AM$13),15-13*ORÇAMENTO!$AF$7)/$H264*OFFSET(ORÇAMENTO!$X$15,ROW(AM264)-ROW(AM$15),0),0)</f>
        <v>0</v>
      </c>
      <c r="AN264" s="632">
        <f ca="1">IF(AND($D264="Serviço",AN$12&lt;&gt;0,$H264&gt;0,OR(AUTOEVENTO&lt;&gt;"manual",$M264&lt;&gt;1)),ROUND(OFFSET($P264,0,AN$13),15-13*ORÇAMENTO!$AF$7)/$H264*OFFSET(ORÇAMENTO!$X$15,ROW(AN264)-ROW(AN$15),0),0)</f>
        <v>0</v>
      </c>
      <c r="AO264" s="632">
        <f ca="1">IF(AND($D264="Serviço",AO$12&lt;&gt;0,$H264&gt;0,OR(AUTOEVENTO&lt;&gt;"manual",$M264&lt;&gt;1)),ROUND(OFFSET($P264,0,AO$13),15-13*ORÇAMENTO!$AF$7)/$H264*OFFSET(ORÇAMENTO!$X$15,ROW(AO264)-ROW(AO$15),0),0)</f>
        <v>0</v>
      </c>
      <c r="AP264" s="632">
        <f ca="1">IF(AND($D264="Serviço",AP$12&lt;&gt;0,$H264&gt;0,OR(AUTOEVENTO&lt;&gt;"manual",$M264&lt;&gt;1)),ROUND(OFFSET($P264,0,AP$13),15-13*ORÇAMENTO!$AF$7)/$H264*OFFSET(ORÇAMENTO!$X$15,ROW(AP264)-ROW(AP$15),0),0)</f>
        <v>0</v>
      </c>
      <c r="AQ264" s="632">
        <f ca="1">IF(AND($D264="Serviço",AQ$12&lt;&gt;0,$H264&gt;0,OR(AUTOEVENTO&lt;&gt;"manual",$M264&lt;&gt;1)),ROUND(OFFSET($P264,0,AQ$13),15-13*ORÇAMENTO!$AF$7)/$H264*OFFSET(ORÇAMENTO!$X$15,ROW(AQ264)-ROW(AQ$15),0),0)</f>
        <v>0</v>
      </c>
      <c r="AR264" s="632">
        <f ca="1">IF(AND($D264="Serviço",AR$12&lt;&gt;0,$H264&gt;0,OR(AUTOEVENTO&lt;&gt;"manual",$M264&lt;&gt;1)),ROUND(OFFSET($P264,0,AR$13),15-13*ORÇAMENTO!$AF$7)/$H264*OFFSET(ORÇAMENTO!$X$15,ROW(AR264)-ROW(AR$15),0),0)</f>
        <v>0</v>
      </c>
      <c r="AS264" s="633">
        <f ca="1">IF(AND($D264="Serviço",AS$12&lt;&gt;0,$H264&gt;0,OR(AUTOEVENTO&lt;&gt;"manual",$M264&lt;&gt;1)),ROUND(OFFSET($P264,0,AS$13),15-13*ORÇAMENTO!$AF$7)/$H264*OFFSET(ORÇAMENTO!$X$15,ROW(AS264)-ROW(AS$15),0),0)</f>
        <v>0</v>
      </c>
      <c r="AT264" s="632">
        <f ca="1">IF(AND($D264="Serviço",AT$12&lt;&gt;0,$H264&gt;0,OR(AUTOEVENTO&lt;&gt;"manual",$M264&lt;&gt;1)),ROUND(OFFSET($P264,0,AT$13),15-13*ORÇAMENTO!$AF$7)/$H264*OFFSET(ORÇAMENTO!$X$15,ROW(AT264)-ROW(AT$15),0),0)</f>
        <v>0</v>
      </c>
      <c r="AU264" s="632">
        <f ca="1">IF(AND($D264="Serviço",AU$12&lt;&gt;0,$H264&gt;0,OR(AUTOEVENTO&lt;&gt;"manual",$M264&lt;&gt;1)),ROUND(OFFSET($P264,0,AU$13),15-13*ORÇAMENTO!$AF$7)/$H264*OFFSET(ORÇAMENTO!$X$15,ROW(AU264)-ROW(AU$15),0),0)</f>
        <v>0</v>
      </c>
      <c r="AV264" s="632">
        <f ca="1">IF(AND($D264="Serviço",AV$12&lt;&gt;0,$H264&gt;0,OR(AUTOEVENTO&lt;&gt;"manual",$M264&lt;&gt;1)),ROUND(OFFSET($P264,0,AV$13),15-13*ORÇAMENTO!$AF$7)/$H264*OFFSET(ORÇAMENTO!$X$15,ROW(AV264)-ROW(AV$15),0),0)</f>
        <v>0</v>
      </c>
      <c r="AW264" s="632">
        <f ca="1">IF(AND($D264="Serviço",AW$12&lt;&gt;0,$H264&gt;0,OR(AUTOEVENTO&lt;&gt;"manual",$M264&lt;&gt;1)),ROUND(OFFSET($P264,0,AW$13),15-13*ORÇAMENTO!$AF$7)/$H264*OFFSET(ORÇAMENTO!$X$15,ROW(AW264)-ROW(AW$15),0),0)</f>
        <v>0</v>
      </c>
      <c r="AX264" s="632">
        <f ca="1">IF(AND($D264="Serviço",AX$12&lt;&gt;0,$H264&gt;0,OR(AUTOEVENTO&lt;&gt;"manual",$M264&lt;&gt;1)),ROUND(OFFSET($P264,0,AX$13),15-13*ORÇAMENTO!$AF$7)/$H264*OFFSET(ORÇAMENTO!$X$15,ROW(AX264)-ROW(AX$15),0),0)</f>
        <v>0</v>
      </c>
      <c r="AY264" s="632">
        <f ca="1">IF(AND($D264="Serviço",AY$12&lt;&gt;0,$H264&gt;0,OR(AUTOEVENTO&lt;&gt;"manual",$M264&lt;&gt;1)),ROUND(OFFSET($P264,0,AY$13),15-13*ORÇAMENTO!$AF$7)/$H264*OFFSET(ORÇAMENTO!$X$15,ROW(AY264)-ROW(AY$15),0),0)</f>
        <v>0</v>
      </c>
      <c r="AZ264" s="632">
        <f ca="1">IF(AND($D264="Serviço",AZ$12&lt;&gt;0,$H264&gt;0,OR(AUTOEVENTO&lt;&gt;"manual",$M264&lt;&gt;1)),ROUND(OFFSET($P264,0,AZ$13),15-13*ORÇAMENTO!$AF$7)/$H264*OFFSET(ORÇAMENTO!$X$15,ROW(AZ264)-ROW(AZ$15),0),0)</f>
        <v>0</v>
      </c>
      <c r="BA264" s="633">
        <f ca="1">IF(AND($D264="Serviço",BA$12&lt;&gt;0,$H264&gt;0,OR(AUTOEVENTO&lt;&gt;"manual",$M264&lt;&gt;1)),ROUND(OFFSET($P264,0,BA$13),15-13*ORÇAMENTO!$AF$7)/$H264*OFFSET(ORÇAMENTO!$X$15,ROW(BA264)-ROW(BA$15),0),0)</f>
        <v>0</v>
      </c>
      <c r="BC264" s="215">
        <f ca="1">IF($D264&lt;&gt;"Serviço",0,IF(AND(AUTOEVENTO="Manual",$M264=1),0,IF(OFFSET(CRONOPLE!$F$14,$M264,BC$13)="",10^12,OFFSET(CRONOPLE!$F$14,$M264,BC$13))))</f>
        <v>1000000000000</v>
      </c>
      <c r="BD264" s="215">
        <f ca="1">IF($D264&lt;&gt;"Serviço",0,IF(AND(AUTOEVENTO="Manual",$M264=1),0,IF(OFFSET(CRONOPLE!$F$14,$M264,BD$13)="",10^12,OFFSET(CRONOPLE!$F$14,$M264,BD$13))))</f>
        <v>1000000000000</v>
      </c>
      <c r="BE264" s="215">
        <f ca="1">IF($D264&lt;&gt;"Serviço",0,IF(AND(AUTOEVENTO="Manual",$M264=1),0,IF(OFFSET(CRONOPLE!$F$14,$M264,BE$13)="",10^12,OFFSET(CRONOPLE!$F$14,$M264,BE$13))))</f>
        <v>1000000000000</v>
      </c>
      <c r="BF264" s="215">
        <f ca="1">IF($D264&lt;&gt;"Serviço",0,IF(AND(AUTOEVENTO="Manual",$M264=1),0,IF(OFFSET(CRONOPLE!$F$14,$M264,BF$13)="",10^12,OFFSET(CRONOPLE!$F$14,$M264,BF$13))))</f>
        <v>1000000000000</v>
      </c>
      <c r="BG264" s="215">
        <f ca="1">IF($D264&lt;&gt;"Serviço",0,IF(AND(AUTOEVENTO="Manual",$M264=1),0,IF(OFFSET(CRONOPLE!$F$14,$M264,BG$13)="",10^12,OFFSET(CRONOPLE!$F$14,$M264,BG$13))))</f>
        <v>1000000000000</v>
      </c>
      <c r="BH264" s="215">
        <f ca="1">IF($D264&lt;&gt;"Serviço",0,IF(AND(AUTOEVENTO="Manual",$M264=1),0,IF(OFFSET(CRONOPLE!$F$14,$M264,BH$13)="",10^12,OFFSET(CRONOPLE!$F$14,$M264,BH$13))))</f>
        <v>1000000000000</v>
      </c>
      <c r="BI264" s="215">
        <f ca="1">IF($D264&lt;&gt;"Serviço",0,IF(AND(AUTOEVENTO="Manual",$M264=1),0,IF(OFFSET(CRONOPLE!$F$14,$M264,BI$13)="",10^12,OFFSET(CRONOPLE!$F$14,$M264,BI$13))))</f>
        <v>1000000000000</v>
      </c>
      <c r="BJ264" s="215">
        <f ca="1">IF($D264&lt;&gt;"Serviço",0,IF(AND(AUTOEVENTO="Manual",$M264=1),0,IF(OFFSET(CRONOPLE!$F$14,$M264,BJ$13)="",10^12,OFFSET(CRONOPLE!$F$14,$M264,BJ$13))))</f>
        <v>1000000000000</v>
      </c>
      <c r="BK264" s="215">
        <f ca="1">IF($D264&lt;&gt;"Serviço",0,IF(AND(AUTOEVENTO="Manual",$M264=1),0,IF(OFFSET(CRONOPLE!$F$14,$M264,BK$13)="",10^12,OFFSET(CRONOPLE!$F$14,$M264,BK$13))))</f>
        <v>1000000000000</v>
      </c>
      <c r="BL264" s="215">
        <f ca="1">IF($D264&lt;&gt;"Serviço",0,IF(AND(AUTOEVENTO="Manual",$M264=1),0,IF(OFFSET(CRONOPLE!$F$14,$M264,BL$13)="",10^12,OFFSET(CRONOPLE!$F$14,$M264,BL$13))))</f>
        <v>1000000000000</v>
      </c>
      <c r="BM264" s="215">
        <f ca="1">IF($D264&lt;&gt;"Serviço",0,IF(AND(AUTOEVENTO="Manual",$M264=1),0,IF(OFFSET(CRONOPLE!$F$14,$M264,BM$13)="",10^12,OFFSET(CRONOPLE!$F$14,$M264,BM$13))))</f>
        <v>1000000000000</v>
      </c>
      <c r="BN264" s="215">
        <f ca="1">IF($D264&lt;&gt;"Serviço",0,IF(AND(AUTOEVENTO="Manual",$M264=1),0,IF(OFFSET(CRONOPLE!$F$14,$M264,BN$13)="",10^12,OFFSET(CRONOPLE!$F$14,$M264,BN$13))))</f>
        <v>1000000000000</v>
      </c>
      <c r="BO264" s="215">
        <f ca="1">IF($D264&lt;&gt;"Serviço",0,IF(AND(AUTOEVENTO="Manual",$M264=1),0,IF(OFFSET(CRONOPLE!$F$14,$M264,BO$13)="",10^12,OFFSET(CRONOPLE!$F$14,$M264,BO$13))))</f>
        <v>1000000000000</v>
      </c>
      <c r="BP264" s="215">
        <f ca="1">IF($D264&lt;&gt;"Serviço",0,IF(AND(AUTOEVENTO="Manual",$M264=1),0,IF(OFFSET(CRONOPLE!$F$14,$M264,BP$13)="",10^12,OFFSET(CRONOPLE!$F$14,$M264,BP$13))))</f>
        <v>1000000000000</v>
      </c>
      <c r="BQ264" s="215">
        <f ca="1">IF($D264&lt;&gt;"Serviço",0,IF(AND(AUTOEVENTO="Manual",$M264=1),0,IF(OFFSET(CRONOPLE!$F$14,$M264,BQ$13)="",10^12,OFFSET(CRONOPLE!$F$14,$M264,BQ$13))))</f>
        <v>1000000000000</v>
      </c>
      <c r="BR264" s="215">
        <f ca="1">IF($D264&lt;&gt;"Serviço",0,IF(AND(AUTOEVENTO="Manual",$M264=1),0,IF(OFFSET(CRONOPLE!$F$14,$M264,BR$13)="",10^12,OFFSET(CRONOPLE!$F$14,$M264,BR$13))))</f>
        <v>1000000000000</v>
      </c>
      <c r="BS264" s="215">
        <f ca="1">IF($D264&lt;&gt;"Serviço",0,IF(AND(AUTOEVENTO="Manual",$M264=1),0,IF(OFFSET(CRONOPLE!$F$14,$M264,BS$13)="",10^12,OFFSET(CRONOPLE!$F$14,$M264,BS$13))))</f>
        <v>1000000000000</v>
      </c>
      <c r="BT264" s="215">
        <f ca="1">IF($D264&lt;&gt;"Serviço",0,IF(AND(AUTOEVENTO="Manual",$M264=1),0,IF(OFFSET(CRONOPLE!$F$14,$M264,BT$13)="",10^12,OFFSET(CRONOPLE!$F$14,$M264,BT$13))))</f>
        <v>1000000000000</v>
      </c>
      <c r="BV264" s="216">
        <f ca="1">IF($D264&lt;&gt;"Serviço",0,IF(OR(AND(AUTOEVENTO="Manual",$M264=1),$M264&gt;(ROW(PLE.lastrow)-ROW(PLE.firstrow))),0,IF(OFFSET(PLE!$G$14,$M264,BV$13)="",10^12,OFFSET(PLE!$G$14,$M264,BV$13))))</f>
        <v>1000000000000</v>
      </c>
      <c r="BW264" s="216">
        <f ca="1">IF($D264&lt;&gt;"Serviço",0,IF(OR(AND(AUTOEVENTO="Manual",$M264=1),$M264&gt;(ROW(PLE.lastrow)-ROW(PLE.firstrow))),0,IF(OFFSET(PLE!$G$14,$M264,BW$13)="",10^12,OFFSET(PLE!$G$14,$M264,BW$13))))</f>
        <v>1000000000000</v>
      </c>
      <c r="BX264" s="216">
        <f ca="1">IF($D264&lt;&gt;"Serviço",0,IF(OR(AND(AUTOEVENTO="Manual",$M264=1),$M264&gt;(ROW(PLE.lastrow)-ROW(PLE.firstrow))),0,IF(OFFSET(PLE!$G$14,$M264,BX$13)="",10^12,OFFSET(PLE!$G$14,$M264,BX$13))))</f>
        <v>1000000000000</v>
      </c>
      <c r="BY264" s="216">
        <f ca="1">IF($D264&lt;&gt;"Serviço",0,IF(OR(AND(AUTOEVENTO="Manual",$M264=1),$M264&gt;(ROW(PLE.lastrow)-ROW(PLE.firstrow))),0,IF(OFFSET(PLE!$G$14,$M264,BY$13)="",10^12,OFFSET(PLE!$G$14,$M264,BY$13))))</f>
        <v>1000000000000</v>
      </c>
      <c r="BZ264" s="216">
        <f ca="1">IF($D264&lt;&gt;"Serviço",0,IF(OR(AND(AUTOEVENTO="Manual",$M264=1),$M264&gt;(ROW(PLE.lastrow)-ROW(PLE.firstrow))),0,IF(OFFSET(PLE!$G$14,$M264,BZ$13)="",10^12,OFFSET(PLE!$G$14,$M264,BZ$13))))</f>
        <v>1000000000000</v>
      </c>
      <c r="CA264" s="216">
        <f ca="1">IF($D264&lt;&gt;"Serviço",0,IF(OR(AND(AUTOEVENTO="Manual",$M264=1),$M264&gt;(ROW(PLE.lastrow)-ROW(PLE.firstrow))),0,IF(OFFSET(PLE!$G$14,$M264,CA$13)="",10^12,OFFSET(PLE!$G$14,$M264,CA$13))))</f>
        <v>1000000000000</v>
      </c>
      <c r="CB264" s="216">
        <f ca="1">IF($D264&lt;&gt;"Serviço",0,IF(OR(AND(AUTOEVENTO="Manual",$M264=1),$M264&gt;(ROW(PLE.lastrow)-ROW(PLE.firstrow))),0,IF(OFFSET(PLE!$G$14,$M264,CB$13)="",10^12,OFFSET(PLE!$G$14,$M264,CB$13))))</f>
        <v>1000000000000</v>
      </c>
      <c r="CC264" s="216">
        <f ca="1">IF($D264&lt;&gt;"Serviço",0,IF(OR(AND(AUTOEVENTO="Manual",$M264=1),$M264&gt;(ROW(PLE.lastrow)-ROW(PLE.firstrow))),0,IF(OFFSET(PLE!$G$14,$M264,CC$13)="",10^12,OFFSET(PLE!$G$14,$M264,CC$13))))</f>
        <v>1000000000000</v>
      </c>
      <c r="CD264" s="216">
        <f ca="1">IF($D264&lt;&gt;"Serviço",0,IF(OR(AND(AUTOEVENTO="Manual",$M264=1),$M264&gt;(ROW(PLE.lastrow)-ROW(PLE.firstrow))),0,IF(OFFSET(PLE!$G$14,$M264,CD$13)="",10^12,OFFSET(PLE!$G$14,$M264,CD$13))))</f>
        <v>1000000000000</v>
      </c>
      <c r="CE264" s="216">
        <f ca="1">IF($D264&lt;&gt;"Serviço",0,IF(OR(AND(AUTOEVENTO="Manual",$M264=1),$M264&gt;(ROW(PLE.lastrow)-ROW(PLE.firstrow))),0,IF(OFFSET(PLE!$G$14,$M264,CE$13)="",10^12,OFFSET(PLE!$G$14,$M264,CE$13))))</f>
        <v>1000000000000</v>
      </c>
      <c r="CF264" s="216">
        <f ca="1">IF($D264&lt;&gt;"Serviço",0,IF(OR(AND(AUTOEVENTO="Manual",$M264=1),$M264&gt;(ROW(PLE.lastrow)-ROW(PLE.firstrow))),0,IF(OFFSET(PLE!$G$14,$M264,CF$13)="",10^12,OFFSET(PLE!$G$14,$M264,CF$13))))</f>
        <v>1000000000000</v>
      </c>
      <c r="CG264" s="216">
        <f ca="1">IF($D264&lt;&gt;"Serviço",0,IF(OR(AND(AUTOEVENTO="Manual",$M264=1),$M264&gt;(ROW(PLE.lastrow)-ROW(PLE.firstrow))),0,IF(OFFSET(PLE!$G$14,$M264,CG$13)="",10^12,OFFSET(PLE!$G$14,$M264,CG$13))))</f>
        <v>1000000000000</v>
      </c>
      <c r="CH264" s="216">
        <f ca="1">IF($D264&lt;&gt;"Serviço",0,IF(OR(AND(AUTOEVENTO="Manual",$M264=1),$M264&gt;(ROW(PLE.lastrow)-ROW(PLE.firstrow))),0,IF(OFFSET(PLE!$G$14,$M264,CH$13)="",10^12,OFFSET(PLE!$G$14,$M264,CH$13))))</f>
        <v>1000000000000</v>
      </c>
      <c r="CI264" s="216">
        <f ca="1">IF($D264&lt;&gt;"Serviço",0,IF(OR(AND(AUTOEVENTO="Manual",$M264=1),$M264&gt;(ROW(PLE.lastrow)-ROW(PLE.firstrow))),0,IF(OFFSET(PLE!$G$14,$M264,CI$13)="",10^12,OFFSET(PLE!$G$14,$M264,CI$13))))</f>
        <v>1000000000000</v>
      </c>
      <c r="CJ264" s="216">
        <f ca="1">IF($D264&lt;&gt;"Serviço",0,IF(OR(AND(AUTOEVENTO="Manual",$M264=1),$M264&gt;(ROW(PLE.lastrow)-ROW(PLE.firstrow))),0,IF(OFFSET(PLE!$G$14,$M264,CJ$13)="",10^12,OFFSET(PLE!$G$14,$M264,CJ$13))))</f>
        <v>1000000000000</v>
      </c>
      <c r="CK264" s="216">
        <f ca="1">IF($D264&lt;&gt;"Serviço",0,IF(OR(AND(AUTOEVENTO="Manual",$M264=1),$M264&gt;(ROW(PLE.lastrow)-ROW(PLE.firstrow))),0,IF(OFFSET(PLE!$G$14,$M264,CK$13)="",10^12,OFFSET(PLE!$G$14,$M264,CK$13))))</f>
        <v>1000000000000</v>
      </c>
      <c r="CL264" s="216">
        <f ca="1">IF($D264&lt;&gt;"Serviço",0,IF(OR(AND(AUTOEVENTO="Manual",$M264=1),$M264&gt;(ROW(PLE.lastrow)-ROW(PLE.firstrow))),0,IF(OFFSET(PLE!$G$14,$M264,CL$13)="",10^12,OFFSET(PLE!$G$14,$M264,CL$13))))</f>
        <v>1000000000000</v>
      </c>
      <c r="CM264" s="216">
        <f ca="1">IF($D264&lt;&gt;"Serviço",0,IF(OR(AND(AUTOEVENTO="Manual",$M264=1),$M264&gt;(ROW(PLE.lastrow)-ROW(PLE.firstrow))),0,IF(OFFSET(PLE!$G$14,$M264,CM$13)="",10^12,OFFSET(PLE!$G$14,$M264,CM$13))))</f>
        <v>1000000000000</v>
      </c>
    </row>
    <row r="265" spans="1:91" ht="13.2" x14ac:dyDescent="0.25">
      <c r="A265" s="9">
        <f t="shared" ca="1" si="12"/>
        <v>0</v>
      </c>
      <c r="B265" s="9" t="str">
        <f ca="1">OFFSET(ORÇAMENTO!C$15,ROW(B265)-ROW(B$15),0)</f>
        <v>S</v>
      </c>
      <c r="C265" s="9" t="str">
        <f ca="1">OFFSET(ORÇAMENTO!L$15,ROW(C265)-ROW(C$15),0)</f>
        <v/>
      </c>
      <c r="D265" s="145" t="str">
        <f ca="1">OFFSET(ORÇAMENTO!N$15,ROW(D265)-ROW(D$15),0)</f>
        <v>Serviço</v>
      </c>
      <c r="E265" s="205" t="str">
        <f ca="1">OFFSET(ORÇAMENTO!O$15,ROW(E265)-ROW(E$15),0)</f>
        <v>-</v>
      </c>
      <c r="F265" s="206" t="str">
        <f ca="1">OFFSET(ORÇAMENTO!R$15,ROW(F265)-ROW(F$15),0)</f>
        <v>(abra o arquivo 'Referência 05-2024.xls)</v>
      </c>
      <c r="G265" s="207" t="str">
        <f ca="1">IF($D265&lt;&gt;"Serviço","",OFFSET(ORÇAMENTO!S$15,ROW(G265)-ROW(G$15),0))</f>
        <v>-</v>
      </c>
      <c r="H265" s="151">
        <f ca="1">IF($D265&lt;&gt;"Serviço",0,IF(ACOMPANHAMENTO="BM",ROUND(OFFSET(ORÇAMENTO!AJ$15,ROW(H265)-ROW(H$15),0),15-13*ORÇAMENTO!$AF$7),SUMPRODUCT(($Q$12:$AI$12&lt;&gt;"")*ROUND($Q265:$AI265,15-13*ORÇAMENTO!$AF$7))))</f>
        <v>16.059999999999999</v>
      </c>
      <c r="I265" s="650"/>
      <c r="K265" s="208"/>
      <c r="L265" s="209" t="s">
        <v>257</v>
      </c>
      <c r="M265" s="210">
        <f ca="1">IF($D265&lt;&gt;"Serviço","",IF(AUTOEVENTO="manual",$A265,IF(ISERROR(MATCH($A265,$A$15:OFFSET($A265,-1,0),0)),MAX($M$15:OFFSET(M265,-1,0))+1,INDEX($M$15:OFFSET(M265,-1,0),MATCH($A265,$A$15:OFFSET($A265,-1,0),0)))))</f>
        <v>0</v>
      </c>
      <c r="N265" s="211" t="str">
        <f ca="1">IF($D265&lt;&gt;"Serviço","",IF(AUTOEVENTO="Manual",IF($A265=0,"&lt;-- defina o número do agrupador",OFFSET(EVENTOS!$D$14,$A265,0)),OFFSET($F$15,$A265,0)))</f>
        <v>&lt;-- defina o número do agrupador</v>
      </c>
      <c r="O265" s="212"/>
      <c r="Q265" s="212"/>
      <c r="R265" s="213"/>
      <c r="S265" s="213"/>
      <c r="T265" s="213"/>
      <c r="U265" s="213"/>
      <c r="V265" s="213"/>
      <c r="W265" s="213"/>
      <c r="X265" s="213"/>
      <c r="Y265" s="213"/>
      <c r="Z265" s="214"/>
      <c r="AA265" s="213"/>
      <c r="AB265" s="213"/>
      <c r="AC265" s="213"/>
      <c r="AD265" s="213"/>
      <c r="AE265" s="213"/>
      <c r="AF265" s="213"/>
      <c r="AG265" s="213"/>
      <c r="AH265" s="214"/>
      <c r="AJ265" s="631">
        <f ca="1">IF(AND($D265="Serviço",AJ$12&lt;&gt;0,$H265&gt;0,OR(AUTOEVENTO&lt;&gt;"manual",$M265&lt;&gt;1)),ROUND(OFFSET($P265,0,AJ$13),15-13*ORÇAMENTO!$AF$7)/$H265*OFFSET(ORÇAMENTO!$X$15,ROW(AJ265)-ROW(AJ$15),0),0)</f>
        <v>0</v>
      </c>
      <c r="AK265" s="632">
        <f ca="1">IF(AND($D265="Serviço",AK$12&lt;&gt;0,$H265&gt;0,OR(AUTOEVENTO&lt;&gt;"manual",$M265&lt;&gt;1)),ROUND(OFFSET($P265,0,AK$13),15-13*ORÇAMENTO!$AF$7)/$H265*OFFSET(ORÇAMENTO!$X$15,ROW(AK265)-ROW(AK$15),0),0)</f>
        <v>0</v>
      </c>
      <c r="AL265" s="632">
        <f ca="1">IF(AND($D265="Serviço",AL$12&lt;&gt;0,$H265&gt;0,OR(AUTOEVENTO&lt;&gt;"manual",$M265&lt;&gt;1)),ROUND(OFFSET($P265,0,AL$13),15-13*ORÇAMENTO!$AF$7)/$H265*OFFSET(ORÇAMENTO!$X$15,ROW(AL265)-ROW(AL$15),0),0)</f>
        <v>0</v>
      </c>
      <c r="AM265" s="632">
        <f ca="1">IF(AND($D265="Serviço",AM$12&lt;&gt;0,$H265&gt;0,OR(AUTOEVENTO&lt;&gt;"manual",$M265&lt;&gt;1)),ROUND(OFFSET($P265,0,AM$13),15-13*ORÇAMENTO!$AF$7)/$H265*OFFSET(ORÇAMENTO!$X$15,ROW(AM265)-ROW(AM$15),0),0)</f>
        <v>0</v>
      </c>
      <c r="AN265" s="632">
        <f ca="1">IF(AND($D265="Serviço",AN$12&lt;&gt;0,$H265&gt;0,OR(AUTOEVENTO&lt;&gt;"manual",$M265&lt;&gt;1)),ROUND(OFFSET($P265,0,AN$13),15-13*ORÇAMENTO!$AF$7)/$H265*OFFSET(ORÇAMENTO!$X$15,ROW(AN265)-ROW(AN$15),0),0)</f>
        <v>0</v>
      </c>
      <c r="AO265" s="632">
        <f ca="1">IF(AND($D265="Serviço",AO$12&lt;&gt;0,$H265&gt;0,OR(AUTOEVENTO&lt;&gt;"manual",$M265&lt;&gt;1)),ROUND(OFFSET($P265,0,AO$13),15-13*ORÇAMENTO!$AF$7)/$H265*OFFSET(ORÇAMENTO!$X$15,ROW(AO265)-ROW(AO$15),0),0)</f>
        <v>0</v>
      </c>
      <c r="AP265" s="632">
        <f ca="1">IF(AND($D265="Serviço",AP$12&lt;&gt;0,$H265&gt;0,OR(AUTOEVENTO&lt;&gt;"manual",$M265&lt;&gt;1)),ROUND(OFFSET($P265,0,AP$13),15-13*ORÇAMENTO!$AF$7)/$H265*OFFSET(ORÇAMENTO!$X$15,ROW(AP265)-ROW(AP$15),0),0)</f>
        <v>0</v>
      </c>
      <c r="AQ265" s="632">
        <f ca="1">IF(AND($D265="Serviço",AQ$12&lt;&gt;0,$H265&gt;0,OR(AUTOEVENTO&lt;&gt;"manual",$M265&lt;&gt;1)),ROUND(OFFSET($P265,0,AQ$13),15-13*ORÇAMENTO!$AF$7)/$H265*OFFSET(ORÇAMENTO!$X$15,ROW(AQ265)-ROW(AQ$15),0),0)</f>
        <v>0</v>
      </c>
      <c r="AR265" s="632">
        <f ca="1">IF(AND($D265="Serviço",AR$12&lt;&gt;0,$H265&gt;0,OR(AUTOEVENTO&lt;&gt;"manual",$M265&lt;&gt;1)),ROUND(OFFSET($P265,0,AR$13),15-13*ORÇAMENTO!$AF$7)/$H265*OFFSET(ORÇAMENTO!$X$15,ROW(AR265)-ROW(AR$15),0),0)</f>
        <v>0</v>
      </c>
      <c r="AS265" s="633">
        <f ca="1">IF(AND($D265="Serviço",AS$12&lt;&gt;0,$H265&gt;0,OR(AUTOEVENTO&lt;&gt;"manual",$M265&lt;&gt;1)),ROUND(OFFSET($P265,0,AS$13),15-13*ORÇAMENTO!$AF$7)/$H265*OFFSET(ORÇAMENTO!$X$15,ROW(AS265)-ROW(AS$15),0),0)</f>
        <v>0</v>
      </c>
      <c r="AT265" s="632">
        <f ca="1">IF(AND($D265="Serviço",AT$12&lt;&gt;0,$H265&gt;0,OR(AUTOEVENTO&lt;&gt;"manual",$M265&lt;&gt;1)),ROUND(OFFSET($P265,0,AT$13),15-13*ORÇAMENTO!$AF$7)/$H265*OFFSET(ORÇAMENTO!$X$15,ROW(AT265)-ROW(AT$15),0),0)</f>
        <v>0</v>
      </c>
      <c r="AU265" s="632">
        <f ca="1">IF(AND($D265="Serviço",AU$12&lt;&gt;0,$H265&gt;0,OR(AUTOEVENTO&lt;&gt;"manual",$M265&lt;&gt;1)),ROUND(OFFSET($P265,0,AU$13),15-13*ORÇAMENTO!$AF$7)/$H265*OFFSET(ORÇAMENTO!$X$15,ROW(AU265)-ROW(AU$15),0),0)</f>
        <v>0</v>
      </c>
      <c r="AV265" s="632">
        <f ca="1">IF(AND($D265="Serviço",AV$12&lt;&gt;0,$H265&gt;0,OR(AUTOEVENTO&lt;&gt;"manual",$M265&lt;&gt;1)),ROUND(OFFSET($P265,0,AV$13),15-13*ORÇAMENTO!$AF$7)/$H265*OFFSET(ORÇAMENTO!$X$15,ROW(AV265)-ROW(AV$15),0),0)</f>
        <v>0</v>
      </c>
      <c r="AW265" s="632">
        <f ca="1">IF(AND($D265="Serviço",AW$12&lt;&gt;0,$H265&gt;0,OR(AUTOEVENTO&lt;&gt;"manual",$M265&lt;&gt;1)),ROUND(OFFSET($P265,0,AW$13),15-13*ORÇAMENTO!$AF$7)/$H265*OFFSET(ORÇAMENTO!$X$15,ROW(AW265)-ROW(AW$15),0),0)</f>
        <v>0</v>
      </c>
      <c r="AX265" s="632">
        <f ca="1">IF(AND($D265="Serviço",AX$12&lt;&gt;0,$H265&gt;0,OR(AUTOEVENTO&lt;&gt;"manual",$M265&lt;&gt;1)),ROUND(OFFSET($P265,0,AX$13),15-13*ORÇAMENTO!$AF$7)/$H265*OFFSET(ORÇAMENTO!$X$15,ROW(AX265)-ROW(AX$15),0),0)</f>
        <v>0</v>
      </c>
      <c r="AY265" s="632">
        <f ca="1">IF(AND($D265="Serviço",AY$12&lt;&gt;0,$H265&gt;0,OR(AUTOEVENTO&lt;&gt;"manual",$M265&lt;&gt;1)),ROUND(OFFSET($P265,0,AY$13),15-13*ORÇAMENTO!$AF$7)/$H265*OFFSET(ORÇAMENTO!$X$15,ROW(AY265)-ROW(AY$15),0),0)</f>
        <v>0</v>
      </c>
      <c r="AZ265" s="632">
        <f ca="1">IF(AND($D265="Serviço",AZ$12&lt;&gt;0,$H265&gt;0,OR(AUTOEVENTO&lt;&gt;"manual",$M265&lt;&gt;1)),ROUND(OFFSET($P265,0,AZ$13),15-13*ORÇAMENTO!$AF$7)/$H265*OFFSET(ORÇAMENTO!$X$15,ROW(AZ265)-ROW(AZ$15),0),0)</f>
        <v>0</v>
      </c>
      <c r="BA265" s="633">
        <f ca="1">IF(AND($D265="Serviço",BA$12&lt;&gt;0,$H265&gt;0,OR(AUTOEVENTO&lt;&gt;"manual",$M265&lt;&gt;1)),ROUND(OFFSET($P265,0,BA$13),15-13*ORÇAMENTO!$AF$7)/$H265*OFFSET(ORÇAMENTO!$X$15,ROW(BA265)-ROW(BA$15),0),0)</f>
        <v>0</v>
      </c>
      <c r="BC265" s="215">
        <f ca="1">IF($D265&lt;&gt;"Serviço",0,IF(AND(AUTOEVENTO="Manual",$M265=1),0,IF(OFFSET(CRONOPLE!$F$14,$M265,BC$13)="",10^12,OFFSET(CRONOPLE!$F$14,$M265,BC$13))))</f>
        <v>1000000000000</v>
      </c>
      <c r="BD265" s="215">
        <f ca="1">IF($D265&lt;&gt;"Serviço",0,IF(AND(AUTOEVENTO="Manual",$M265=1),0,IF(OFFSET(CRONOPLE!$F$14,$M265,BD$13)="",10^12,OFFSET(CRONOPLE!$F$14,$M265,BD$13))))</f>
        <v>1000000000000</v>
      </c>
      <c r="BE265" s="215">
        <f ca="1">IF($D265&lt;&gt;"Serviço",0,IF(AND(AUTOEVENTO="Manual",$M265=1),0,IF(OFFSET(CRONOPLE!$F$14,$M265,BE$13)="",10^12,OFFSET(CRONOPLE!$F$14,$M265,BE$13))))</f>
        <v>1000000000000</v>
      </c>
      <c r="BF265" s="215">
        <f ca="1">IF($D265&lt;&gt;"Serviço",0,IF(AND(AUTOEVENTO="Manual",$M265=1),0,IF(OFFSET(CRONOPLE!$F$14,$M265,BF$13)="",10^12,OFFSET(CRONOPLE!$F$14,$M265,BF$13))))</f>
        <v>1000000000000</v>
      </c>
      <c r="BG265" s="215">
        <f ca="1">IF($D265&lt;&gt;"Serviço",0,IF(AND(AUTOEVENTO="Manual",$M265=1),0,IF(OFFSET(CRONOPLE!$F$14,$M265,BG$13)="",10^12,OFFSET(CRONOPLE!$F$14,$M265,BG$13))))</f>
        <v>1000000000000</v>
      </c>
      <c r="BH265" s="215">
        <f ca="1">IF($D265&lt;&gt;"Serviço",0,IF(AND(AUTOEVENTO="Manual",$M265=1),0,IF(OFFSET(CRONOPLE!$F$14,$M265,BH$13)="",10^12,OFFSET(CRONOPLE!$F$14,$M265,BH$13))))</f>
        <v>1000000000000</v>
      </c>
      <c r="BI265" s="215">
        <f ca="1">IF($D265&lt;&gt;"Serviço",0,IF(AND(AUTOEVENTO="Manual",$M265=1),0,IF(OFFSET(CRONOPLE!$F$14,$M265,BI$13)="",10^12,OFFSET(CRONOPLE!$F$14,$M265,BI$13))))</f>
        <v>1000000000000</v>
      </c>
      <c r="BJ265" s="215">
        <f ca="1">IF($D265&lt;&gt;"Serviço",0,IF(AND(AUTOEVENTO="Manual",$M265=1),0,IF(OFFSET(CRONOPLE!$F$14,$M265,BJ$13)="",10^12,OFFSET(CRONOPLE!$F$14,$M265,BJ$13))))</f>
        <v>1000000000000</v>
      </c>
      <c r="BK265" s="215">
        <f ca="1">IF($D265&lt;&gt;"Serviço",0,IF(AND(AUTOEVENTO="Manual",$M265=1),0,IF(OFFSET(CRONOPLE!$F$14,$M265,BK$13)="",10^12,OFFSET(CRONOPLE!$F$14,$M265,BK$13))))</f>
        <v>1000000000000</v>
      </c>
      <c r="BL265" s="215">
        <f ca="1">IF($D265&lt;&gt;"Serviço",0,IF(AND(AUTOEVENTO="Manual",$M265=1),0,IF(OFFSET(CRONOPLE!$F$14,$M265,BL$13)="",10^12,OFFSET(CRONOPLE!$F$14,$M265,BL$13))))</f>
        <v>1000000000000</v>
      </c>
      <c r="BM265" s="215">
        <f ca="1">IF($D265&lt;&gt;"Serviço",0,IF(AND(AUTOEVENTO="Manual",$M265=1),0,IF(OFFSET(CRONOPLE!$F$14,$M265,BM$13)="",10^12,OFFSET(CRONOPLE!$F$14,$M265,BM$13))))</f>
        <v>1000000000000</v>
      </c>
      <c r="BN265" s="215">
        <f ca="1">IF($D265&lt;&gt;"Serviço",0,IF(AND(AUTOEVENTO="Manual",$M265=1),0,IF(OFFSET(CRONOPLE!$F$14,$M265,BN$13)="",10^12,OFFSET(CRONOPLE!$F$14,$M265,BN$13))))</f>
        <v>1000000000000</v>
      </c>
      <c r="BO265" s="215">
        <f ca="1">IF($D265&lt;&gt;"Serviço",0,IF(AND(AUTOEVENTO="Manual",$M265=1),0,IF(OFFSET(CRONOPLE!$F$14,$M265,BO$13)="",10^12,OFFSET(CRONOPLE!$F$14,$M265,BO$13))))</f>
        <v>1000000000000</v>
      </c>
      <c r="BP265" s="215">
        <f ca="1">IF($D265&lt;&gt;"Serviço",0,IF(AND(AUTOEVENTO="Manual",$M265=1),0,IF(OFFSET(CRONOPLE!$F$14,$M265,BP$13)="",10^12,OFFSET(CRONOPLE!$F$14,$M265,BP$13))))</f>
        <v>1000000000000</v>
      </c>
      <c r="BQ265" s="215">
        <f ca="1">IF($D265&lt;&gt;"Serviço",0,IF(AND(AUTOEVENTO="Manual",$M265=1),0,IF(OFFSET(CRONOPLE!$F$14,$M265,BQ$13)="",10^12,OFFSET(CRONOPLE!$F$14,$M265,BQ$13))))</f>
        <v>1000000000000</v>
      </c>
      <c r="BR265" s="215">
        <f ca="1">IF($D265&lt;&gt;"Serviço",0,IF(AND(AUTOEVENTO="Manual",$M265=1),0,IF(OFFSET(CRONOPLE!$F$14,$M265,BR$13)="",10^12,OFFSET(CRONOPLE!$F$14,$M265,BR$13))))</f>
        <v>1000000000000</v>
      </c>
      <c r="BS265" s="215">
        <f ca="1">IF($D265&lt;&gt;"Serviço",0,IF(AND(AUTOEVENTO="Manual",$M265=1),0,IF(OFFSET(CRONOPLE!$F$14,$M265,BS$13)="",10^12,OFFSET(CRONOPLE!$F$14,$M265,BS$13))))</f>
        <v>1000000000000</v>
      </c>
      <c r="BT265" s="215">
        <f ca="1">IF($D265&lt;&gt;"Serviço",0,IF(AND(AUTOEVENTO="Manual",$M265=1),0,IF(OFFSET(CRONOPLE!$F$14,$M265,BT$13)="",10^12,OFFSET(CRONOPLE!$F$14,$M265,BT$13))))</f>
        <v>1000000000000</v>
      </c>
      <c r="BV265" s="216">
        <f ca="1">IF($D265&lt;&gt;"Serviço",0,IF(OR(AND(AUTOEVENTO="Manual",$M265=1),$M265&gt;(ROW(PLE.lastrow)-ROW(PLE.firstrow))),0,IF(OFFSET(PLE!$G$14,$M265,BV$13)="",10^12,OFFSET(PLE!$G$14,$M265,BV$13))))</f>
        <v>1000000000000</v>
      </c>
      <c r="BW265" s="216">
        <f ca="1">IF($D265&lt;&gt;"Serviço",0,IF(OR(AND(AUTOEVENTO="Manual",$M265=1),$M265&gt;(ROW(PLE.lastrow)-ROW(PLE.firstrow))),0,IF(OFFSET(PLE!$G$14,$M265,BW$13)="",10^12,OFFSET(PLE!$G$14,$M265,BW$13))))</f>
        <v>1000000000000</v>
      </c>
      <c r="BX265" s="216">
        <f ca="1">IF($D265&lt;&gt;"Serviço",0,IF(OR(AND(AUTOEVENTO="Manual",$M265=1),$M265&gt;(ROW(PLE.lastrow)-ROW(PLE.firstrow))),0,IF(OFFSET(PLE!$G$14,$M265,BX$13)="",10^12,OFFSET(PLE!$G$14,$M265,BX$13))))</f>
        <v>1000000000000</v>
      </c>
      <c r="BY265" s="216">
        <f ca="1">IF($D265&lt;&gt;"Serviço",0,IF(OR(AND(AUTOEVENTO="Manual",$M265=1),$M265&gt;(ROW(PLE.lastrow)-ROW(PLE.firstrow))),0,IF(OFFSET(PLE!$G$14,$M265,BY$13)="",10^12,OFFSET(PLE!$G$14,$M265,BY$13))))</f>
        <v>1000000000000</v>
      </c>
      <c r="BZ265" s="216">
        <f ca="1">IF($D265&lt;&gt;"Serviço",0,IF(OR(AND(AUTOEVENTO="Manual",$M265=1),$M265&gt;(ROW(PLE.lastrow)-ROW(PLE.firstrow))),0,IF(OFFSET(PLE!$G$14,$M265,BZ$13)="",10^12,OFFSET(PLE!$G$14,$M265,BZ$13))))</f>
        <v>1000000000000</v>
      </c>
      <c r="CA265" s="216">
        <f ca="1">IF($D265&lt;&gt;"Serviço",0,IF(OR(AND(AUTOEVENTO="Manual",$M265=1),$M265&gt;(ROW(PLE.lastrow)-ROW(PLE.firstrow))),0,IF(OFFSET(PLE!$G$14,$M265,CA$13)="",10^12,OFFSET(PLE!$G$14,$M265,CA$13))))</f>
        <v>1000000000000</v>
      </c>
      <c r="CB265" s="216">
        <f ca="1">IF($D265&lt;&gt;"Serviço",0,IF(OR(AND(AUTOEVENTO="Manual",$M265=1),$M265&gt;(ROW(PLE.lastrow)-ROW(PLE.firstrow))),0,IF(OFFSET(PLE!$G$14,$M265,CB$13)="",10^12,OFFSET(PLE!$G$14,$M265,CB$13))))</f>
        <v>1000000000000</v>
      </c>
      <c r="CC265" s="216">
        <f ca="1">IF($D265&lt;&gt;"Serviço",0,IF(OR(AND(AUTOEVENTO="Manual",$M265=1),$M265&gt;(ROW(PLE.lastrow)-ROW(PLE.firstrow))),0,IF(OFFSET(PLE!$G$14,$M265,CC$13)="",10^12,OFFSET(PLE!$G$14,$M265,CC$13))))</f>
        <v>1000000000000</v>
      </c>
      <c r="CD265" s="216">
        <f ca="1">IF($D265&lt;&gt;"Serviço",0,IF(OR(AND(AUTOEVENTO="Manual",$M265=1),$M265&gt;(ROW(PLE.lastrow)-ROW(PLE.firstrow))),0,IF(OFFSET(PLE!$G$14,$M265,CD$13)="",10^12,OFFSET(PLE!$G$14,$M265,CD$13))))</f>
        <v>1000000000000</v>
      </c>
      <c r="CE265" s="216">
        <f ca="1">IF($D265&lt;&gt;"Serviço",0,IF(OR(AND(AUTOEVENTO="Manual",$M265=1),$M265&gt;(ROW(PLE.lastrow)-ROW(PLE.firstrow))),0,IF(OFFSET(PLE!$G$14,$M265,CE$13)="",10^12,OFFSET(PLE!$G$14,$M265,CE$13))))</f>
        <v>1000000000000</v>
      </c>
      <c r="CF265" s="216">
        <f ca="1">IF($D265&lt;&gt;"Serviço",0,IF(OR(AND(AUTOEVENTO="Manual",$M265=1),$M265&gt;(ROW(PLE.lastrow)-ROW(PLE.firstrow))),0,IF(OFFSET(PLE!$G$14,$M265,CF$13)="",10^12,OFFSET(PLE!$G$14,$M265,CF$13))))</f>
        <v>1000000000000</v>
      </c>
      <c r="CG265" s="216">
        <f ca="1">IF($D265&lt;&gt;"Serviço",0,IF(OR(AND(AUTOEVENTO="Manual",$M265=1),$M265&gt;(ROW(PLE.lastrow)-ROW(PLE.firstrow))),0,IF(OFFSET(PLE!$G$14,$M265,CG$13)="",10^12,OFFSET(PLE!$G$14,$M265,CG$13))))</f>
        <v>1000000000000</v>
      </c>
      <c r="CH265" s="216">
        <f ca="1">IF($D265&lt;&gt;"Serviço",0,IF(OR(AND(AUTOEVENTO="Manual",$M265=1),$M265&gt;(ROW(PLE.lastrow)-ROW(PLE.firstrow))),0,IF(OFFSET(PLE!$G$14,$M265,CH$13)="",10^12,OFFSET(PLE!$G$14,$M265,CH$13))))</f>
        <v>1000000000000</v>
      </c>
      <c r="CI265" s="216">
        <f ca="1">IF($D265&lt;&gt;"Serviço",0,IF(OR(AND(AUTOEVENTO="Manual",$M265=1),$M265&gt;(ROW(PLE.lastrow)-ROW(PLE.firstrow))),0,IF(OFFSET(PLE!$G$14,$M265,CI$13)="",10^12,OFFSET(PLE!$G$14,$M265,CI$13))))</f>
        <v>1000000000000</v>
      </c>
      <c r="CJ265" s="216">
        <f ca="1">IF($D265&lt;&gt;"Serviço",0,IF(OR(AND(AUTOEVENTO="Manual",$M265=1),$M265&gt;(ROW(PLE.lastrow)-ROW(PLE.firstrow))),0,IF(OFFSET(PLE!$G$14,$M265,CJ$13)="",10^12,OFFSET(PLE!$G$14,$M265,CJ$13))))</f>
        <v>1000000000000</v>
      </c>
      <c r="CK265" s="216">
        <f ca="1">IF($D265&lt;&gt;"Serviço",0,IF(OR(AND(AUTOEVENTO="Manual",$M265=1),$M265&gt;(ROW(PLE.lastrow)-ROW(PLE.firstrow))),0,IF(OFFSET(PLE!$G$14,$M265,CK$13)="",10^12,OFFSET(PLE!$G$14,$M265,CK$13))))</f>
        <v>1000000000000</v>
      </c>
      <c r="CL265" s="216">
        <f ca="1">IF($D265&lt;&gt;"Serviço",0,IF(OR(AND(AUTOEVENTO="Manual",$M265=1),$M265&gt;(ROW(PLE.lastrow)-ROW(PLE.firstrow))),0,IF(OFFSET(PLE!$G$14,$M265,CL$13)="",10^12,OFFSET(PLE!$G$14,$M265,CL$13))))</f>
        <v>1000000000000</v>
      </c>
      <c r="CM265" s="216">
        <f ca="1">IF($D265&lt;&gt;"Serviço",0,IF(OR(AND(AUTOEVENTO="Manual",$M265=1),$M265&gt;(ROW(PLE.lastrow)-ROW(PLE.firstrow))),0,IF(OFFSET(PLE!$G$14,$M265,CM$13)="",10^12,OFFSET(PLE!$G$14,$M265,CM$13))))</f>
        <v>1000000000000</v>
      </c>
    </row>
    <row r="266" spans="1:91" ht="13.2" x14ac:dyDescent="0.25">
      <c r="A266" s="9">
        <f t="shared" ca="1" si="12"/>
        <v>0</v>
      </c>
      <c r="B266" s="9" t="str">
        <f ca="1">OFFSET(ORÇAMENTO!C$15,ROW(B266)-ROW(B$15),0)</f>
        <v>S</v>
      </c>
      <c r="C266" s="9" t="str">
        <f ca="1">OFFSET(ORÇAMENTO!L$15,ROW(C266)-ROW(C$15),0)</f>
        <v/>
      </c>
      <c r="D266" s="145" t="str">
        <f ca="1">OFFSET(ORÇAMENTO!N$15,ROW(D266)-ROW(D$15),0)</f>
        <v>Serviço</v>
      </c>
      <c r="E266" s="205" t="str">
        <f ca="1">OFFSET(ORÇAMENTO!O$15,ROW(E266)-ROW(E$15),0)</f>
        <v>-</v>
      </c>
      <c r="F266" s="206" t="str">
        <f ca="1">OFFSET(ORÇAMENTO!R$15,ROW(F266)-ROW(F$15),0)</f>
        <v>(abra o arquivo 'Referência 05-2024.xls)</v>
      </c>
      <c r="G266" s="207" t="str">
        <f ca="1">IF($D266&lt;&gt;"Serviço","",OFFSET(ORÇAMENTO!S$15,ROW(G266)-ROW(G$15),0))</f>
        <v>-</v>
      </c>
      <c r="H266" s="151">
        <f ca="1">IF($D266&lt;&gt;"Serviço",0,IF(ACOMPANHAMENTO="BM",ROUND(OFFSET(ORÇAMENTO!AJ$15,ROW(H266)-ROW(H$15),0),15-13*ORÇAMENTO!$AF$7),SUMPRODUCT(($Q$12:$AI$12&lt;&gt;"")*ROUND($Q266:$AI266,15-13*ORÇAMENTO!$AF$7))))</f>
        <v>391.29</v>
      </c>
      <c r="I266" s="650"/>
      <c r="K266" s="208"/>
      <c r="L266" s="209" t="s">
        <v>257</v>
      </c>
      <c r="M266" s="210">
        <f ca="1">IF($D266&lt;&gt;"Serviço","",IF(AUTOEVENTO="manual",$A266,IF(ISERROR(MATCH($A266,$A$15:OFFSET($A266,-1,0),0)),MAX($M$15:OFFSET(M266,-1,0))+1,INDEX($M$15:OFFSET(M266,-1,0),MATCH($A266,$A$15:OFFSET($A266,-1,0),0)))))</f>
        <v>0</v>
      </c>
      <c r="N266" s="211" t="str">
        <f ca="1">IF($D266&lt;&gt;"Serviço","",IF(AUTOEVENTO="Manual",IF($A266=0,"&lt;-- defina o número do agrupador",OFFSET(EVENTOS!$D$14,$A266,0)),OFFSET($F$15,$A266,0)))</f>
        <v>&lt;-- defina o número do agrupador</v>
      </c>
      <c r="O266" s="212"/>
      <c r="Q266" s="212"/>
      <c r="R266" s="213"/>
      <c r="S266" s="213"/>
      <c r="T266" s="213"/>
      <c r="U266" s="213"/>
      <c r="V266" s="213"/>
      <c r="W266" s="213"/>
      <c r="X266" s="213"/>
      <c r="Y266" s="213"/>
      <c r="Z266" s="214"/>
      <c r="AA266" s="213"/>
      <c r="AB266" s="213"/>
      <c r="AC266" s="213"/>
      <c r="AD266" s="213"/>
      <c r="AE266" s="213"/>
      <c r="AF266" s="213"/>
      <c r="AG266" s="213"/>
      <c r="AH266" s="214"/>
      <c r="AJ266" s="631">
        <f ca="1">IF(AND($D266="Serviço",AJ$12&lt;&gt;0,$H266&gt;0,OR(AUTOEVENTO&lt;&gt;"manual",$M266&lt;&gt;1)),ROUND(OFFSET($P266,0,AJ$13),15-13*ORÇAMENTO!$AF$7)/$H266*OFFSET(ORÇAMENTO!$X$15,ROW(AJ266)-ROW(AJ$15),0),0)</f>
        <v>0</v>
      </c>
      <c r="AK266" s="632">
        <f ca="1">IF(AND($D266="Serviço",AK$12&lt;&gt;0,$H266&gt;0,OR(AUTOEVENTO&lt;&gt;"manual",$M266&lt;&gt;1)),ROUND(OFFSET($P266,0,AK$13),15-13*ORÇAMENTO!$AF$7)/$H266*OFFSET(ORÇAMENTO!$X$15,ROW(AK266)-ROW(AK$15),0),0)</f>
        <v>0</v>
      </c>
      <c r="AL266" s="632">
        <f ca="1">IF(AND($D266="Serviço",AL$12&lt;&gt;0,$H266&gt;0,OR(AUTOEVENTO&lt;&gt;"manual",$M266&lt;&gt;1)),ROUND(OFFSET($P266,0,AL$13),15-13*ORÇAMENTO!$AF$7)/$H266*OFFSET(ORÇAMENTO!$X$15,ROW(AL266)-ROW(AL$15),0),0)</f>
        <v>0</v>
      </c>
      <c r="AM266" s="632">
        <f ca="1">IF(AND($D266="Serviço",AM$12&lt;&gt;0,$H266&gt;0,OR(AUTOEVENTO&lt;&gt;"manual",$M266&lt;&gt;1)),ROUND(OFFSET($P266,0,AM$13),15-13*ORÇAMENTO!$AF$7)/$H266*OFFSET(ORÇAMENTO!$X$15,ROW(AM266)-ROW(AM$15),0),0)</f>
        <v>0</v>
      </c>
      <c r="AN266" s="632">
        <f ca="1">IF(AND($D266="Serviço",AN$12&lt;&gt;0,$H266&gt;0,OR(AUTOEVENTO&lt;&gt;"manual",$M266&lt;&gt;1)),ROUND(OFFSET($P266,0,AN$13),15-13*ORÇAMENTO!$AF$7)/$H266*OFFSET(ORÇAMENTO!$X$15,ROW(AN266)-ROW(AN$15),0),0)</f>
        <v>0</v>
      </c>
      <c r="AO266" s="632">
        <f ca="1">IF(AND($D266="Serviço",AO$12&lt;&gt;0,$H266&gt;0,OR(AUTOEVENTO&lt;&gt;"manual",$M266&lt;&gt;1)),ROUND(OFFSET($P266,0,AO$13),15-13*ORÇAMENTO!$AF$7)/$H266*OFFSET(ORÇAMENTO!$X$15,ROW(AO266)-ROW(AO$15),0),0)</f>
        <v>0</v>
      </c>
      <c r="AP266" s="632">
        <f ca="1">IF(AND($D266="Serviço",AP$12&lt;&gt;0,$H266&gt;0,OR(AUTOEVENTO&lt;&gt;"manual",$M266&lt;&gt;1)),ROUND(OFFSET($P266,0,AP$13),15-13*ORÇAMENTO!$AF$7)/$H266*OFFSET(ORÇAMENTO!$X$15,ROW(AP266)-ROW(AP$15),0),0)</f>
        <v>0</v>
      </c>
      <c r="AQ266" s="632">
        <f ca="1">IF(AND($D266="Serviço",AQ$12&lt;&gt;0,$H266&gt;0,OR(AUTOEVENTO&lt;&gt;"manual",$M266&lt;&gt;1)),ROUND(OFFSET($P266,0,AQ$13),15-13*ORÇAMENTO!$AF$7)/$H266*OFFSET(ORÇAMENTO!$X$15,ROW(AQ266)-ROW(AQ$15),0),0)</f>
        <v>0</v>
      </c>
      <c r="AR266" s="632">
        <f ca="1">IF(AND($D266="Serviço",AR$12&lt;&gt;0,$H266&gt;0,OR(AUTOEVENTO&lt;&gt;"manual",$M266&lt;&gt;1)),ROUND(OFFSET($P266,0,AR$13),15-13*ORÇAMENTO!$AF$7)/$H266*OFFSET(ORÇAMENTO!$X$15,ROW(AR266)-ROW(AR$15),0),0)</f>
        <v>0</v>
      </c>
      <c r="AS266" s="633">
        <f ca="1">IF(AND($D266="Serviço",AS$12&lt;&gt;0,$H266&gt;0,OR(AUTOEVENTO&lt;&gt;"manual",$M266&lt;&gt;1)),ROUND(OFFSET($P266,0,AS$13),15-13*ORÇAMENTO!$AF$7)/$H266*OFFSET(ORÇAMENTO!$X$15,ROW(AS266)-ROW(AS$15),0),0)</f>
        <v>0</v>
      </c>
      <c r="AT266" s="632">
        <f ca="1">IF(AND($D266="Serviço",AT$12&lt;&gt;0,$H266&gt;0,OR(AUTOEVENTO&lt;&gt;"manual",$M266&lt;&gt;1)),ROUND(OFFSET($P266,0,AT$13),15-13*ORÇAMENTO!$AF$7)/$H266*OFFSET(ORÇAMENTO!$X$15,ROW(AT266)-ROW(AT$15),0),0)</f>
        <v>0</v>
      </c>
      <c r="AU266" s="632">
        <f ca="1">IF(AND($D266="Serviço",AU$12&lt;&gt;0,$H266&gt;0,OR(AUTOEVENTO&lt;&gt;"manual",$M266&lt;&gt;1)),ROUND(OFFSET($P266,0,AU$13),15-13*ORÇAMENTO!$AF$7)/$H266*OFFSET(ORÇAMENTO!$X$15,ROW(AU266)-ROW(AU$15),0),0)</f>
        <v>0</v>
      </c>
      <c r="AV266" s="632">
        <f ca="1">IF(AND($D266="Serviço",AV$12&lt;&gt;0,$H266&gt;0,OR(AUTOEVENTO&lt;&gt;"manual",$M266&lt;&gt;1)),ROUND(OFFSET($P266,0,AV$13),15-13*ORÇAMENTO!$AF$7)/$H266*OFFSET(ORÇAMENTO!$X$15,ROW(AV266)-ROW(AV$15),0),0)</f>
        <v>0</v>
      </c>
      <c r="AW266" s="632">
        <f ca="1">IF(AND($D266="Serviço",AW$12&lt;&gt;0,$H266&gt;0,OR(AUTOEVENTO&lt;&gt;"manual",$M266&lt;&gt;1)),ROUND(OFFSET($P266,0,AW$13),15-13*ORÇAMENTO!$AF$7)/$H266*OFFSET(ORÇAMENTO!$X$15,ROW(AW266)-ROW(AW$15),0),0)</f>
        <v>0</v>
      </c>
      <c r="AX266" s="632">
        <f ca="1">IF(AND($D266="Serviço",AX$12&lt;&gt;0,$H266&gt;0,OR(AUTOEVENTO&lt;&gt;"manual",$M266&lt;&gt;1)),ROUND(OFFSET($P266,0,AX$13),15-13*ORÇAMENTO!$AF$7)/$H266*OFFSET(ORÇAMENTO!$X$15,ROW(AX266)-ROW(AX$15),0),0)</f>
        <v>0</v>
      </c>
      <c r="AY266" s="632">
        <f ca="1">IF(AND($D266="Serviço",AY$12&lt;&gt;0,$H266&gt;0,OR(AUTOEVENTO&lt;&gt;"manual",$M266&lt;&gt;1)),ROUND(OFFSET($P266,0,AY$13),15-13*ORÇAMENTO!$AF$7)/$H266*OFFSET(ORÇAMENTO!$X$15,ROW(AY266)-ROW(AY$15),0),0)</f>
        <v>0</v>
      </c>
      <c r="AZ266" s="632">
        <f ca="1">IF(AND($D266="Serviço",AZ$12&lt;&gt;0,$H266&gt;0,OR(AUTOEVENTO&lt;&gt;"manual",$M266&lt;&gt;1)),ROUND(OFFSET($P266,0,AZ$13),15-13*ORÇAMENTO!$AF$7)/$H266*OFFSET(ORÇAMENTO!$X$15,ROW(AZ266)-ROW(AZ$15),0),0)</f>
        <v>0</v>
      </c>
      <c r="BA266" s="633">
        <f ca="1">IF(AND($D266="Serviço",BA$12&lt;&gt;0,$H266&gt;0,OR(AUTOEVENTO&lt;&gt;"manual",$M266&lt;&gt;1)),ROUND(OFFSET($P266,0,BA$13),15-13*ORÇAMENTO!$AF$7)/$H266*OFFSET(ORÇAMENTO!$X$15,ROW(BA266)-ROW(BA$15),0),0)</f>
        <v>0</v>
      </c>
      <c r="BC266" s="215">
        <f ca="1">IF($D266&lt;&gt;"Serviço",0,IF(AND(AUTOEVENTO="Manual",$M266=1),0,IF(OFFSET(CRONOPLE!$F$14,$M266,BC$13)="",10^12,OFFSET(CRONOPLE!$F$14,$M266,BC$13))))</f>
        <v>1000000000000</v>
      </c>
      <c r="BD266" s="215">
        <f ca="1">IF($D266&lt;&gt;"Serviço",0,IF(AND(AUTOEVENTO="Manual",$M266=1),0,IF(OFFSET(CRONOPLE!$F$14,$M266,BD$13)="",10^12,OFFSET(CRONOPLE!$F$14,$M266,BD$13))))</f>
        <v>1000000000000</v>
      </c>
      <c r="BE266" s="215">
        <f ca="1">IF($D266&lt;&gt;"Serviço",0,IF(AND(AUTOEVENTO="Manual",$M266=1),0,IF(OFFSET(CRONOPLE!$F$14,$M266,BE$13)="",10^12,OFFSET(CRONOPLE!$F$14,$M266,BE$13))))</f>
        <v>1000000000000</v>
      </c>
      <c r="BF266" s="215">
        <f ca="1">IF($D266&lt;&gt;"Serviço",0,IF(AND(AUTOEVENTO="Manual",$M266=1),0,IF(OFFSET(CRONOPLE!$F$14,$M266,BF$13)="",10^12,OFFSET(CRONOPLE!$F$14,$M266,BF$13))))</f>
        <v>1000000000000</v>
      </c>
      <c r="BG266" s="215">
        <f ca="1">IF($D266&lt;&gt;"Serviço",0,IF(AND(AUTOEVENTO="Manual",$M266=1),0,IF(OFFSET(CRONOPLE!$F$14,$M266,BG$13)="",10^12,OFFSET(CRONOPLE!$F$14,$M266,BG$13))))</f>
        <v>1000000000000</v>
      </c>
      <c r="BH266" s="215">
        <f ca="1">IF($D266&lt;&gt;"Serviço",0,IF(AND(AUTOEVENTO="Manual",$M266=1),0,IF(OFFSET(CRONOPLE!$F$14,$M266,BH$13)="",10^12,OFFSET(CRONOPLE!$F$14,$M266,BH$13))))</f>
        <v>1000000000000</v>
      </c>
      <c r="BI266" s="215">
        <f ca="1">IF($D266&lt;&gt;"Serviço",0,IF(AND(AUTOEVENTO="Manual",$M266=1),0,IF(OFFSET(CRONOPLE!$F$14,$M266,BI$13)="",10^12,OFFSET(CRONOPLE!$F$14,$M266,BI$13))))</f>
        <v>1000000000000</v>
      </c>
      <c r="BJ266" s="215">
        <f ca="1">IF($D266&lt;&gt;"Serviço",0,IF(AND(AUTOEVENTO="Manual",$M266=1),0,IF(OFFSET(CRONOPLE!$F$14,$M266,BJ$13)="",10^12,OFFSET(CRONOPLE!$F$14,$M266,BJ$13))))</f>
        <v>1000000000000</v>
      </c>
      <c r="BK266" s="215">
        <f ca="1">IF($D266&lt;&gt;"Serviço",0,IF(AND(AUTOEVENTO="Manual",$M266=1),0,IF(OFFSET(CRONOPLE!$F$14,$M266,BK$13)="",10^12,OFFSET(CRONOPLE!$F$14,$M266,BK$13))))</f>
        <v>1000000000000</v>
      </c>
      <c r="BL266" s="215">
        <f ca="1">IF($D266&lt;&gt;"Serviço",0,IF(AND(AUTOEVENTO="Manual",$M266=1),0,IF(OFFSET(CRONOPLE!$F$14,$M266,BL$13)="",10^12,OFFSET(CRONOPLE!$F$14,$M266,BL$13))))</f>
        <v>1000000000000</v>
      </c>
      <c r="BM266" s="215">
        <f ca="1">IF($D266&lt;&gt;"Serviço",0,IF(AND(AUTOEVENTO="Manual",$M266=1),0,IF(OFFSET(CRONOPLE!$F$14,$M266,BM$13)="",10^12,OFFSET(CRONOPLE!$F$14,$M266,BM$13))))</f>
        <v>1000000000000</v>
      </c>
      <c r="BN266" s="215">
        <f ca="1">IF($D266&lt;&gt;"Serviço",0,IF(AND(AUTOEVENTO="Manual",$M266=1),0,IF(OFFSET(CRONOPLE!$F$14,$M266,BN$13)="",10^12,OFFSET(CRONOPLE!$F$14,$M266,BN$13))))</f>
        <v>1000000000000</v>
      </c>
      <c r="BO266" s="215">
        <f ca="1">IF($D266&lt;&gt;"Serviço",0,IF(AND(AUTOEVENTO="Manual",$M266=1),0,IF(OFFSET(CRONOPLE!$F$14,$M266,BO$13)="",10^12,OFFSET(CRONOPLE!$F$14,$M266,BO$13))))</f>
        <v>1000000000000</v>
      </c>
      <c r="BP266" s="215">
        <f ca="1">IF($D266&lt;&gt;"Serviço",0,IF(AND(AUTOEVENTO="Manual",$M266=1),0,IF(OFFSET(CRONOPLE!$F$14,$M266,BP$13)="",10^12,OFFSET(CRONOPLE!$F$14,$M266,BP$13))))</f>
        <v>1000000000000</v>
      </c>
      <c r="BQ266" s="215">
        <f ca="1">IF($D266&lt;&gt;"Serviço",0,IF(AND(AUTOEVENTO="Manual",$M266=1),0,IF(OFFSET(CRONOPLE!$F$14,$M266,BQ$13)="",10^12,OFFSET(CRONOPLE!$F$14,$M266,BQ$13))))</f>
        <v>1000000000000</v>
      </c>
      <c r="BR266" s="215">
        <f ca="1">IF($D266&lt;&gt;"Serviço",0,IF(AND(AUTOEVENTO="Manual",$M266=1),0,IF(OFFSET(CRONOPLE!$F$14,$M266,BR$13)="",10^12,OFFSET(CRONOPLE!$F$14,$M266,BR$13))))</f>
        <v>1000000000000</v>
      </c>
      <c r="BS266" s="215">
        <f ca="1">IF($D266&lt;&gt;"Serviço",0,IF(AND(AUTOEVENTO="Manual",$M266=1),0,IF(OFFSET(CRONOPLE!$F$14,$M266,BS$13)="",10^12,OFFSET(CRONOPLE!$F$14,$M266,BS$13))))</f>
        <v>1000000000000</v>
      </c>
      <c r="BT266" s="215">
        <f ca="1">IF($D266&lt;&gt;"Serviço",0,IF(AND(AUTOEVENTO="Manual",$M266=1),0,IF(OFFSET(CRONOPLE!$F$14,$M266,BT$13)="",10^12,OFFSET(CRONOPLE!$F$14,$M266,BT$13))))</f>
        <v>1000000000000</v>
      </c>
      <c r="BV266" s="216">
        <f ca="1">IF($D266&lt;&gt;"Serviço",0,IF(OR(AND(AUTOEVENTO="Manual",$M266=1),$M266&gt;(ROW(PLE.lastrow)-ROW(PLE.firstrow))),0,IF(OFFSET(PLE!$G$14,$M266,BV$13)="",10^12,OFFSET(PLE!$G$14,$M266,BV$13))))</f>
        <v>1000000000000</v>
      </c>
      <c r="BW266" s="216">
        <f ca="1">IF($D266&lt;&gt;"Serviço",0,IF(OR(AND(AUTOEVENTO="Manual",$M266=1),$M266&gt;(ROW(PLE.lastrow)-ROW(PLE.firstrow))),0,IF(OFFSET(PLE!$G$14,$M266,BW$13)="",10^12,OFFSET(PLE!$G$14,$M266,BW$13))))</f>
        <v>1000000000000</v>
      </c>
      <c r="BX266" s="216">
        <f ca="1">IF($D266&lt;&gt;"Serviço",0,IF(OR(AND(AUTOEVENTO="Manual",$M266=1),$M266&gt;(ROW(PLE.lastrow)-ROW(PLE.firstrow))),0,IF(OFFSET(PLE!$G$14,$M266,BX$13)="",10^12,OFFSET(PLE!$G$14,$M266,BX$13))))</f>
        <v>1000000000000</v>
      </c>
      <c r="BY266" s="216">
        <f ca="1">IF($D266&lt;&gt;"Serviço",0,IF(OR(AND(AUTOEVENTO="Manual",$M266=1),$M266&gt;(ROW(PLE.lastrow)-ROW(PLE.firstrow))),0,IF(OFFSET(PLE!$G$14,$M266,BY$13)="",10^12,OFFSET(PLE!$G$14,$M266,BY$13))))</f>
        <v>1000000000000</v>
      </c>
      <c r="BZ266" s="216">
        <f ca="1">IF($D266&lt;&gt;"Serviço",0,IF(OR(AND(AUTOEVENTO="Manual",$M266=1),$M266&gt;(ROW(PLE.lastrow)-ROW(PLE.firstrow))),0,IF(OFFSET(PLE!$G$14,$M266,BZ$13)="",10^12,OFFSET(PLE!$G$14,$M266,BZ$13))))</f>
        <v>1000000000000</v>
      </c>
      <c r="CA266" s="216">
        <f ca="1">IF($D266&lt;&gt;"Serviço",0,IF(OR(AND(AUTOEVENTO="Manual",$M266=1),$M266&gt;(ROW(PLE.lastrow)-ROW(PLE.firstrow))),0,IF(OFFSET(PLE!$G$14,$M266,CA$13)="",10^12,OFFSET(PLE!$G$14,$M266,CA$13))))</f>
        <v>1000000000000</v>
      </c>
      <c r="CB266" s="216">
        <f ca="1">IF($D266&lt;&gt;"Serviço",0,IF(OR(AND(AUTOEVENTO="Manual",$M266=1),$M266&gt;(ROW(PLE.lastrow)-ROW(PLE.firstrow))),0,IF(OFFSET(PLE!$G$14,$M266,CB$13)="",10^12,OFFSET(PLE!$G$14,$M266,CB$13))))</f>
        <v>1000000000000</v>
      </c>
      <c r="CC266" s="216">
        <f ca="1">IF($D266&lt;&gt;"Serviço",0,IF(OR(AND(AUTOEVENTO="Manual",$M266=1),$M266&gt;(ROW(PLE.lastrow)-ROW(PLE.firstrow))),0,IF(OFFSET(PLE!$G$14,$M266,CC$13)="",10^12,OFFSET(PLE!$G$14,$M266,CC$13))))</f>
        <v>1000000000000</v>
      </c>
      <c r="CD266" s="216">
        <f ca="1">IF($D266&lt;&gt;"Serviço",0,IF(OR(AND(AUTOEVENTO="Manual",$M266=1),$M266&gt;(ROW(PLE.lastrow)-ROW(PLE.firstrow))),0,IF(OFFSET(PLE!$G$14,$M266,CD$13)="",10^12,OFFSET(PLE!$G$14,$M266,CD$13))))</f>
        <v>1000000000000</v>
      </c>
      <c r="CE266" s="216">
        <f ca="1">IF($D266&lt;&gt;"Serviço",0,IF(OR(AND(AUTOEVENTO="Manual",$M266=1),$M266&gt;(ROW(PLE.lastrow)-ROW(PLE.firstrow))),0,IF(OFFSET(PLE!$G$14,$M266,CE$13)="",10^12,OFFSET(PLE!$G$14,$M266,CE$13))))</f>
        <v>1000000000000</v>
      </c>
      <c r="CF266" s="216">
        <f ca="1">IF($D266&lt;&gt;"Serviço",0,IF(OR(AND(AUTOEVENTO="Manual",$M266=1),$M266&gt;(ROW(PLE.lastrow)-ROW(PLE.firstrow))),0,IF(OFFSET(PLE!$G$14,$M266,CF$13)="",10^12,OFFSET(PLE!$G$14,$M266,CF$13))))</f>
        <v>1000000000000</v>
      </c>
      <c r="CG266" s="216">
        <f ca="1">IF($D266&lt;&gt;"Serviço",0,IF(OR(AND(AUTOEVENTO="Manual",$M266=1),$M266&gt;(ROW(PLE.lastrow)-ROW(PLE.firstrow))),0,IF(OFFSET(PLE!$G$14,$M266,CG$13)="",10^12,OFFSET(PLE!$G$14,$M266,CG$13))))</f>
        <v>1000000000000</v>
      </c>
      <c r="CH266" s="216">
        <f ca="1">IF($D266&lt;&gt;"Serviço",0,IF(OR(AND(AUTOEVENTO="Manual",$M266=1),$M266&gt;(ROW(PLE.lastrow)-ROW(PLE.firstrow))),0,IF(OFFSET(PLE!$G$14,$M266,CH$13)="",10^12,OFFSET(PLE!$G$14,$M266,CH$13))))</f>
        <v>1000000000000</v>
      </c>
      <c r="CI266" s="216">
        <f ca="1">IF($D266&lt;&gt;"Serviço",0,IF(OR(AND(AUTOEVENTO="Manual",$M266=1),$M266&gt;(ROW(PLE.lastrow)-ROW(PLE.firstrow))),0,IF(OFFSET(PLE!$G$14,$M266,CI$13)="",10^12,OFFSET(PLE!$G$14,$M266,CI$13))))</f>
        <v>1000000000000</v>
      </c>
      <c r="CJ266" s="216">
        <f ca="1">IF($D266&lt;&gt;"Serviço",0,IF(OR(AND(AUTOEVENTO="Manual",$M266=1),$M266&gt;(ROW(PLE.lastrow)-ROW(PLE.firstrow))),0,IF(OFFSET(PLE!$G$14,$M266,CJ$13)="",10^12,OFFSET(PLE!$G$14,$M266,CJ$13))))</f>
        <v>1000000000000</v>
      </c>
      <c r="CK266" s="216">
        <f ca="1">IF($D266&lt;&gt;"Serviço",0,IF(OR(AND(AUTOEVENTO="Manual",$M266=1),$M266&gt;(ROW(PLE.lastrow)-ROW(PLE.firstrow))),0,IF(OFFSET(PLE!$G$14,$M266,CK$13)="",10^12,OFFSET(PLE!$G$14,$M266,CK$13))))</f>
        <v>1000000000000</v>
      </c>
      <c r="CL266" s="216">
        <f ca="1">IF($D266&lt;&gt;"Serviço",0,IF(OR(AND(AUTOEVENTO="Manual",$M266=1),$M266&gt;(ROW(PLE.lastrow)-ROW(PLE.firstrow))),0,IF(OFFSET(PLE!$G$14,$M266,CL$13)="",10^12,OFFSET(PLE!$G$14,$M266,CL$13))))</f>
        <v>1000000000000</v>
      </c>
      <c r="CM266" s="216">
        <f ca="1">IF($D266&lt;&gt;"Serviço",0,IF(OR(AND(AUTOEVENTO="Manual",$M266=1),$M266&gt;(ROW(PLE.lastrow)-ROW(PLE.firstrow))),0,IF(OFFSET(PLE!$G$14,$M266,CM$13)="",10^12,OFFSET(PLE!$G$14,$M266,CM$13))))</f>
        <v>1000000000000</v>
      </c>
    </row>
    <row r="267" spans="1:91" ht="13.2" x14ac:dyDescent="0.25">
      <c r="A267" s="9">
        <f t="shared" ca="1" si="12"/>
        <v>0</v>
      </c>
      <c r="B267" s="9" t="str">
        <f ca="1">OFFSET(ORÇAMENTO!C$15,ROW(B267)-ROW(B$15),0)</f>
        <v>S</v>
      </c>
      <c r="C267" s="9" t="str">
        <f ca="1">OFFSET(ORÇAMENTO!L$15,ROW(C267)-ROW(C$15),0)</f>
        <v/>
      </c>
      <c r="D267" s="145" t="str">
        <f ca="1">OFFSET(ORÇAMENTO!N$15,ROW(D267)-ROW(D$15),0)</f>
        <v>Serviço</v>
      </c>
      <c r="E267" s="205" t="str">
        <f ca="1">OFFSET(ORÇAMENTO!O$15,ROW(E267)-ROW(E$15),0)</f>
        <v>-</v>
      </c>
      <c r="F267" s="206" t="str">
        <f ca="1">OFFSET(ORÇAMENTO!R$15,ROW(F267)-ROW(F$15),0)</f>
        <v>(abra o arquivo 'Referência 05-2024.xls)</v>
      </c>
      <c r="G267" s="207" t="str">
        <f ca="1">IF($D267&lt;&gt;"Serviço","",OFFSET(ORÇAMENTO!S$15,ROW(G267)-ROW(G$15),0))</f>
        <v>-</v>
      </c>
      <c r="H267" s="151">
        <f ca="1">IF($D267&lt;&gt;"Serviço",0,IF(ACOMPANHAMENTO="BM",ROUND(OFFSET(ORÇAMENTO!AJ$15,ROW(H267)-ROW(H$15),0),15-13*ORÇAMENTO!$AF$7),SUMPRODUCT(($Q$12:$AI$12&lt;&gt;"")*ROUND($Q267:$AI267,15-13*ORÇAMENTO!$AF$7))))</f>
        <v>12.89</v>
      </c>
      <c r="I267" s="650"/>
      <c r="K267" s="208"/>
      <c r="L267" s="209" t="s">
        <v>257</v>
      </c>
      <c r="M267" s="210">
        <f ca="1">IF($D267&lt;&gt;"Serviço","",IF(AUTOEVENTO="manual",$A267,IF(ISERROR(MATCH($A267,$A$15:OFFSET($A267,-1,0),0)),MAX($M$15:OFFSET(M267,-1,0))+1,INDEX($M$15:OFFSET(M267,-1,0),MATCH($A267,$A$15:OFFSET($A267,-1,0),0)))))</f>
        <v>0</v>
      </c>
      <c r="N267" s="211" t="str">
        <f ca="1">IF($D267&lt;&gt;"Serviço","",IF(AUTOEVENTO="Manual",IF($A267=0,"&lt;-- defina o número do agrupador",OFFSET(EVENTOS!$D$14,$A267,0)),OFFSET($F$15,$A267,0)))</f>
        <v>&lt;-- defina o número do agrupador</v>
      </c>
      <c r="O267" s="212"/>
      <c r="Q267" s="212"/>
      <c r="R267" s="213"/>
      <c r="S267" s="213"/>
      <c r="T267" s="213"/>
      <c r="U267" s="213"/>
      <c r="V267" s="213"/>
      <c r="W267" s="213"/>
      <c r="X267" s="213"/>
      <c r="Y267" s="213"/>
      <c r="Z267" s="214"/>
      <c r="AA267" s="213"/>
      <c r="AB267" s="213"/>
      <c r="AC267" s="213"/>
      <c r="AD267" s="213"/>
      <c r="AE267" s="213"/>
      <c r="AF267" s="213"/>
      <c r="AG267" s="213"/>
      <c r="AH267" s="214"/>
      <c r="AJ267" s="631">
        <f ca="1">IF(AND($D267="Serviço",AJ$12&lt;&gt;0,$H267&gt;0,OR(AUTOEVENTO&lt;&gt;"manual",$M267&lt;&gt;1)),ROUND(OFFSET($P267,0,AJ$13),15-13*ORÇAMENTO!$AF$7)/$H267*OFFSET(ORÇAMENTO!$X$15,ROW(AJ267)-ROW(AJ$15),0),0)</f>
        <v>0</v>
      </c>
      <c r="AK267" s="632">
        <f ca="1">IF(AND($D267="Serviço",AK$12&lt;&gt;0,$H267&gt;0,OR(AUTOEVENTO&lt;&gt;"manual",$M267&lt;&gt;1)),ROUND(OFFSET($P267,0,AK$13),15-13*ORÇAMENTO!$AF$7)/$H267*OFFSET(ORÇAMENTO!$X$15,ROW(AK267)-ROW(AK$15),0),0)</f>
        <v>0</v>
      </c>
      <c r="AL267" s="632">
        <f ca="1">IF(AND($D267="Serviço",AL$12&lt;&gt;0,$H267&gt;0,OR(AUTOEVENTO&lt;&gt;"manual",$M267&lt;&gt;1)),ROUND(OFFSET($P267,0,AL$13),15-13*ORÇAMENTO!$AF$7)/$H267*OFFSET(ORÇAMENTO!$X$15,ROW(AL267)-ROW(AL$15),0),0)</f>
        <v>0</v>
      </c>
      <c r="AM267" s="632">
        <f ca="1">IF(AND($D267="Serviço",AM$12&lt;&gt;0,$H267&gt;0,OR(AUTOEVENTO&lt;&gt;"manual",$M267&lt;&gt;1)),ROUND(OFFSET($P267,0,AM$13),15-13*ORÇAMENTO!$AF$7)/$H267*OFFSET(ORÇAMENTO!$X$15,ROW(AM267)-ROW(AM$15),0),0)</f>
        <v>0</v>
      </c>
      <c r="AN267" s="632">
        <f ca="1">IF(AND($D267="Serviço",AN$12&lt;&gt;0,$H267&gt;0,OR(AUTOEVENTO&lt;&gt;"manual",$M267&lt;&gt;1)),ROUND(OFFSET($P267,0,AN$13),15-13*ORÇAMENTO!$AF$7)/$H267*OFFSET(ORÇAMENTO!$X$15,ROW(AN267)-ROW(AN$15),0),0)</f>
        <v>0</v>
      </c>
      <c r="AO267" s="632">
        <f ca="1">IF(AND($D267="Serviço",AO$12&lt;&gt;0,$H267&gt;0,OR(AUTOEVENTO&lt;&gt;"manual",$M267&lt;&gt;1)),ROUND(OFFSET($P267,0,AO$13),15-13*ORÇAMENTO!$AF$7)/$H267*OFFSET(ORÇAMENTO!$X$15,ROW(AO267)-ROW(AO$15),0),0)</f>
        <v>0</v>
      </c>
      <c r="AP267" s="632">
        <f ca="1">IF(AND($D267="Serviço",AP$12&lt;&gt;0,$H267&gt;0,OR(AUTOEVENTO&lt;&gt;"manual",$M267&lt;&gt;1)),ROUND(OFFSET($P267,0,AP$13),15-13*ORÇAMENTO!$AF$7)/$H267*OFFSET(ORÇAMENTO!$X$15,ROW(AP267)-ROW(AP$15),0),0)</f>
        <v>0</v>
      </c>
      <c r="AQ267" s="632">
        <f ca="1">IF(AND($D267="Serviço",AQ$12&lt;&gt;0,$H267&gt;0,OR(AUTOEVENTO&lt;&gt;"manual",$M267&lt;&gt;1)),ROUND(OFFSET($P267,0,AQ$13),15-13*ORÇAMENTO!$AF$7)/$H267*OFFSET(ORÇAMENTO!$X$15,ROW(AQ267)-ROW(AQ$15),0),0)</f>
        <v>0</v>
      </c>
      <c r="AR267" s="632">
        <f ca="1">IF(AND($D267="Serviço",AR$12&lt;&gt;0,$H267&gt;0,OR(AUTOEVENTO&lt;&gt;"manual",$M267&lt;&gt;1)),ROUND(OFFSET($P267,0,AR$13),15-13*ORÇAMENTO!$AF$7)/$H267*OFFSET(ORÇAMENTO!$X$15,ROW(AR267)-ROW(AR$15),0),0)</f>
        <v>0</v>
      </c>
      <c r="AS267" s="633">
        <f ca="1">IF(AND($D267="Serviço",AS$12&lt;&gt;0,$H267&gt;0,OR(AUTOEVENTO&lt;&gt;"manual",$M267&lt;&gt;1)),ROUND(OFFSET($P267,0,AS$13),15-13*ORÇAMENTO!$AF$7)/$H267*OFFSET(ORÇAMENTO!$X$15,ROW(AS267)-ROW(AS$15),0),0)</f>
        <v>0</v>
      </c>
      <c r="AT267" s="632">
        <f ca="1">IF(AND($D267="Serviço",AT$12&lt;&gt;0,$H267&gt;0,OR(AUTOEVENTO&lt;&gt;"manual",$M267&lt;&gt;1)),ROUND(OFFSET($P267,0,AT$13),15-13*ORÇAMENTO!$AF$7)/$H267*OFFSET(ORÇAMENTO!$X$15,ROW(AT267)-ROW(AT$15),0),0)</f>
        <v>0</v>
      </c>
      <c r="AU267" s="632">
        <f ca="1">IF(AND($D267="Serviço",AU$12&lt;&gt;0,$H267&gt;0,OR(AUTOEVENTO&lt;&gt;"manual",$M267&lt;&gt;1)),ROUND(OFFSET($P267,0,AU$13),15-13*ORÇAMENTO!$AF$7)/$H267*OFFSET(ORÇAMENTO!$X$15,ROW(AU267)-ROW(AU$15),0),0)</f>
        <v>0</v>
      </c>
      <c r="AV267" s="632">
        <f ca="1">IF(AND($D267="Serviço",AV$12&lt;&gt;0,$H267&gt;0,OR(AUTOEVENTO&lt;&gt;"manual",$M267&lt;&gt;1)),ROUND(OFFSET($P267,0,AV$13),15-13*ORÇAMENTO!$AF$7)/$H267*OFFSET(ORÇAMENTO!$X$15,ROW(AV267)-ROW(AV$15),0),0)</f>
        <v>0</v>
      </c>
      <c r="AW267" s="632">
        <f ca="1">IF(AND($D267="Serviço",AW$12&lt;&gt;0,$H267&gt;0,OR(AUTOEVENTO&lt;&gt;"manual",$M267&lt;&gt;1)),ROUND(OFFSET($P267,0,AW$13),15-13*ORÇAMENTO!$AF$7)/$H267*OFFSET(ORÇAMENTO!$X$15,ROW(AW267)-ROW(AW$15),0),0)</f>
        <v>0</v>
      </c>
      <c r="AX267" s="632">
        <f ca="1">IF(AND($D267="Serviço",AX$12&lt;&gt;0,$H267&gt;0,OR(AUTOEVENTO&lt;&gt;"manual",$M267&lt;&gt;1)),ROUND(OFFSET($P267,0,AX$13),15-13*ORÇAMENTO!$AF$7)/$H267*OFFSET(ORÇAMENTO!$X$15,ROW(AX267)-ROW(AX$15),0),0)</f>
        <v>0</v>
      </c>
      <c r="AY267" s="632">
        <f ca="1">IF(AND($D267="Serviço",AY$12&lt;&gt;0,$H267&gt;0,OR(AUTOEVENTO&lt;&gt;"manual",$M267&lt;&gt;1)),ROUND(OFFSET($P267,0,AY$13),15-13*ORÇAMENTO!$AF$7)/$H267*OFFSET(ORÇAMENTO!$X$15,ROW(AY267)-ROW(AY$15),0),0)</f>
        <v>0</v>
      </c>
      <c r="AZ267" s="632">
        <f ca="1">IF(AND($D267="Serviço",AZ$12&lt;&gt;0,$H267&gt;0,OR(AUTOEVENTO&lt;&gt;"manual",$M267&lt;&gt;1)),ROUND(OFFSET($P267,0,AZ$13),15-13*ORÇAMENTO!$AF$7)/$H267*OFFSET(ORÇAMENTO!$X$15,ROW(AZ267)-ROW(AZ$15),0),0)</f>
        <v>0</v>
      </c>
      <c r="BA267" s="633">
        <f ca="1">IF(AND($D267="Serviço",BA$12&lt;&gt;0,$H267&gt;0,OR(AUTOEVENTO&lt;&gt;"manual",$M267&lt;&gt;1)),ROUND(OFFSET($P267,0,BA$13),15-13*ORÇAMENTO!$AF$7)/$H267*OFFSET(ORÇAMENTO!$X$15,ROW(BA267)-ROW(BA$15),0),0)</f>
        <v>0</v>
      </c>
      <c r="BC267" s="215">
        <f ca="1">IF($D267&lt;&gt;"Serviço",0,IF(AND(AUTOEVENTO="Manual",$M267=1),0,IF(OFFSET(CRONOPLE!$F$14,$M267,BC$13)="",10^12,OFFSET(CRONOPLE!$F$14,$M267,BC$13))))</f>
        <v>1000000000000</v>
      </c>
      <c r="BD267" s="215">
        <f ca="1">IF($D267&lt;&gt;"Serviço",0,IF(AND(AUTOEVENTO="Manual",$M267=1),0,IF(OFFSET(CRONOPLE!$F$14,$M267,BD$13)="",10^12,OFFSET(CRONOPLE!$F$14,$M267,BD$13))))</f>
        <v>1000000000000</v>
      </c>
      <c r="BE267" s="215">
        <f ca="1">IF($D267&lt;&gt;"Serviço",0,IF(AND(AUTOEVENTO="Manual",$M267=1),0,IF(OFFSET(CRONOPLE!$F$14,$M267,BE$13)="",10^12,OFFSET(CRONOPLE!$F$14,$M267,BE$13))))</f>
        <v>1000000000000</v>
      </c>
      <c r="BF267" s="215">
        <f ca="1">IF($D267&lt;&gt;"Serviço",0,IF(AND(AUTOEVENTO="Manual",$M267=1),0,IF(OFFSET(CRONOPLE!$F$14,$M267,BF$13)="",10^12,OFFSET(CRONOPLE!$F$14,$M267,BF$13))))</f>
        <v>1000000000000</v>
      </c>
      <c r="BG267" s="215">
        <f ca="1">IF($D267&lt;&gt;"Serviço",0,IF(AND(AUTOEVENTO="Manual",$M267=1),0,IF(OFFSET(CRONOPLE!$F$14,$M267,BG$13)="",10^12,OFFSET(CRONOPLE!$F$14,$M267,BG$13))))</f>
        <v>1000000000000</v>
      </c>
      <c r="BH267" s="215">
        <f ca="1">IF($D267&lt;&gt;"Serviço",0,IF(AND(AUTOEVENTO="Manual",$M267=1),0,IF(OFFSET(CRONOPLE!$F$14,$M267,BH$13)="",10^12,OFFSET(CRONOPLE!$F$14,$M267,BH$13))))</f>
        <v>1000000000000</v>
      </c>
      <c r="BI267" s="215">
        <f ca="1">IF($D267&lt;&gt;"Serviço",0,IF(AND(AUTOEVENTO="Manual",$M267=1),0,IF(OFFSET(CRONOPLE!$F$14,$M267,BI$13)="",10^12,OFFSET(CRONOPLE!$F$14,$M267,BI$13))))</f>
        <v>1000000000000</v>
      </c>
      <c r="BJ267" s="215">
        <f ca="1">IF($D267&lt;&gt;"Serviço",0,IF(AND(AUTOEVENTO="Manual",$M267=1),0,IF(OFFSET(CRONOPLE!$F$14,$M267,BJ$13)="",10^12,OFFSET(CRONOPLE!$F$14,$M267,BJ$13))))</f>
        <v>1000000000000</v>
      </c>
      <c r="BK267" s="215">
        <f ca="1">IF($D267&lt;&gt;"Serviço",0,IF(AND(AUTOEVENTO="Manual",$M267=1),0,IF(OFFSET(CRONOPLE!$F$14,$M267,BK$13)="",10^12,OFFSET(CRONOPLE!$F$14,$M267,BK$13))))</f>
        <v>1000000000000</v>
      </c>
      <c r="BL267" s="215">
        <f ca="1">IF($D267&lt;&gt;"Serviço",0,IF(AND(AUTOEVENTO="Manual",$M267=1),0,IF(OFFSET(CRONOPLE!$F$14,$M267,BL$13)="",10^12,OFFSET(CRONOPLE!$F$14,$M267,BL$13))))</f>
        <v>1000000000000</v>
      </c>
      <c r="BM267" s="215">
        <f ca="1">IF($D267&lt;&gt;"Serviço",0,IF(AND(AUTOEVENTO="Manual",$M267=1),0,IF(OFFSET(CRONOPLE!$F$14,$M267,BM$13)="",10^12,OFFSET(CRONOPLE!$F$14,$M267,BM$13))))</f>
        <v>1000000000000</v>
      </c>
      <c r="BN267" s="215">
        <f ca="1">IF($D267&lt;&gt;"Serviço",0,IF(AND(AUTOEVENTO="Manual",$M267=1),0,IF(OFFSET(CRONOPLE!$F$14,$M267,BN$13)="",10^12,OFFSET(CRONOPLE!$F$14,$M267,BN$13))))</f>
        <v>1000000000000</v>
      </c>
      <c r="BO267" s="215">
        <f ca="1">IF($D267&lt;&gt;"Serviço",0,IF(AND(AUTOEVENTO="Manual",$M267=1),0,IF(OFFSET(CRONOPLE!$F$14,$M267,BO$13)="",10^12,OFFSET(CRONOPLE!$F$14,$M267,BO$13))))</f>
        <v>1000000000000</v>
      </c>
      <c r="BP267" s="215">
        <f ca="1">IF($D267&lt;&gt;"Serviço",0,IF(AND(AUTOEVENTO="Manual",$M267=1),0,IF(OFFSET(CRONOPLE!$F$14,$M267,BP$13)="",10^12,OFFSET(CRONOPLE!$F$14,$M267,BP$13))))</f>
        <v>1000000000000</v>
      </c>
      <c r="BQ267" s="215">
        <f ca="1">IF($D267&lt;&gt;"Serviço",0,IF(AND(AUTOEVENTO="Manual",$M267=1),0,IF(OFFSET(CRONOPLE!$F$14,$M267,BQ$13)="",10^12,OFFSET(CRONOPLE!$F$14,$M267,BQ$13))))</f>
        <v>1000000000000</v>
      </c>
      <c r="BR267" s="215">
        <f ca="1">IF($D267&lt;&gt;"Serviço",0,IF(AND(AUTOEVENTO="Manual",$M267=1),0,IF(OFFSET(CRONOPLE!$F$14,$M267,BR$13)="",10^12,OFFSET(CRONOPLE!$F$14,$M267,BR$13))))</f>
        <v>1000000000000</v>
      </c>
      <c r="BS267" s="215">
        <f ca="1">IF($D267&lt;&gt;"Serviço",0,IF(AND(AUTOEVENTO="Manual",$M267=1),0,IF(OFFSET(CRONOPLE!$F$14,$M267,BS$13)="",10^12,OFFSET(CRONOPLE!$F$14,$M267,BS$13))))</f>
        <v>1000000000000</v>
      </c>
      <c r="BT267" s="215">
        <f ca="1">IF($D267&lt;&gt;"Serviço",0,IF(AND(AUTOEVENTO="Manual",$M267=1),0,IF(OFFSET(CRONOPLE!$F$14,$M267,BT$13)="",10^12,OFFSET(CRONOPLE!$F$14,$M267,BT$13))))</f>
        <v>1000000000000</v>
      </c>
      <c r="BV267" s="216">
        <f ca="1">IF($D267&lt;&gt;"Serviço",0,IF(OR(AND(AUTOEVENTO="Manual",$M267=1),$M267&gt;(ROW(PLE.lastrow)-ROW(PLE.firstrow))),0,IF(OFFSET(PLE!$G$14,$M267,BV$13)="",10^12,OFFSET(PLE!$G$14,$M267,BV$13))))</f>
        <v>1000000000000</v>
      </c>
      <c r="BW267" s="216">
        <f ca="1">IF($D267&lt;&gt;"Serviço",0,IF(OR(AND(AUTOEVENTO="Manual",$M267=1),$M267&gt;(ROW(PLE.lastrow)-ROW(PLE.firstrow))),0,IF(OFFSET(PLE!$G$14,$M267,BW$13)="",10^12,OFFSET(PLE!$G$14,$M267,BW$13))))</f>
        <v>1000000000000</v>
      </c>
      <c r="BX267" s="216">
        <f ca="1">IF($D267&lt;&gt;"Serviço",0,IF(OR(AND(AUTOEVENTO="Manual",$M267=1),$M267&gt;(ROW(PLE.lastrow)-ROW(PLE.firstrow))),0,IF(OFFSET(PLE!$G$14,$M267,BX$13)="",10^12,OFFSET(PLE!$G$14,$M267,BX$13))))</f>
        <v>1000000000000</v>
      </c>
      <c r="BY267" s="216">
        <f ca="1">IF($D267&lt;&gt;"Serviço",0,IF(OR(AND(AUTOEVENTO="Manual",$M267=1),$M267&gt;(ROW(PLE.lastrow)-ROW(PLE.firstrow))),0,IF(OFFSET(PLE!$G$14,$M267,BY$13)="",10^12,OFFSET(PLE!$G$14,$M267,BY$13))))</f>
        <v>1000000000000</v>
      </c>
      <c r="BZ267" s="216">
        <f ca="1">IF($D267&lt;&gt;"Serviço",0,IF(OR(AND(AUTOEVENTO="Manual",$M267=1),$M267&gt;(ROW(PLE.lastrow)-ROW(PLE.firstrow))),0,IF(OFFSET(PLE!$G$14,$M267,BZ$13)="",10^12,OFFSET(PLE!$G$14,$M267,BZ$13))))</f>
        <v>1000000000000</v>
      </c>
      <c r="CA267" s="216">
        <f ca="1">IF($D267&lt;&gt;"Serviço",0,IF(OR(AND(AUTOEVENTO="Manual",$M267=1),$M267&gt;(ROW(PLE.lastrow)-ROW(PLE.firstrow))),0,IF(OFFSET(PLE!$G$14,$M267,CA$13)="",10^12,OFFSET(PLE!$G$14,$M267,CA$13))))</f>
        <v>1000000000000</v>
      </c>
      <c r="CB267" s="216">
        <f ca="1">IF($D267&lt;&gt;"Serviço",0,IF(OR(AND(AUTOEVENTO="Manual",$M267=1),$M267&gt;(ROW(PLE.lastrow)-ROW(PLE.firstrow))),0,IF(OFFSET(PLE!$G$14,$M267,CB$13)="",10^12,OFFSET(PLE!$G$14,$M267,CB$13))))</f>
        <v>1000000000000</v>
      </c>
      <c r="CC267" s="216">
        <f ca="1">IF($D267&lt;&gt;"Serviço",0,IF(OR(AND(AUTOEVENTO="Manual",$M267=1),$M267&gt;(ROW(PLE.lastrow)-ROW(PLE.firstrow))),0,IF(OFFSET(PLE!$G$14,$M267,CC$13)="",10^12,OFFSET(PLE!$G$14,$M267,CC$13))))</f>
        <v>1000000000000</v>
      </c>
      <c r="CD267" s="216">
        <f ca="1">IF($D267&lt;&gt;"Serviço",0,IF(OR(AND(AUTOEVENTO="Manual",$M267=1),$M267&gt;(ROW(PLE.lastrow)-ROW(PLE.firstrow))),0,IF(OFFSET(PLE!$G$14,$M267,CD$13)="",10^12,OFFSET(PLE!$G$14,$M267,CD$13))))</f>
        <v>1000000000000</v>
      </c>
      <c r="CE267" s="216">
        <f ca="1">IF($D267&lt;&gt;"Serviço",0,IF(OR(AND(AUTOEVENTO="Manual",$M267=1),$M267&gt;(ROW(PLE.lastrow)-ROW(PLE.firstrow))),0,IF(OFFSET(PLE!$G$14,$M267,CE$13)="",10^12,OFFSET(PLE!$G$14,$M267,CE$13))))</f>
        <v>1000000000000</v>
      </c>
      <c r="CF267" s="216">
        <f ca="1">IF($D267&lt;&gt;"Serviço",0,IF(OR(AND(AUTOEVENTO="Manual",$M267=1),$M267&gt;(ROW(PLE.lastrow)-ROW(PLE.firstrow))),0,IF(OFFSET(PLE!$G$14,$M267,CF$13)="",10^12,OFFSET(PLE!$G$14,$M267,CF$13))))</f>
        <v>1000000000000</v>
      </c>
      <c r="CG267" s="216">
        <f ca="1">IF($D267&lt;&gt;"Serviço",0,IF(OR(AND(AUTOEVENTO="Manual",$M267=1),$M267&gt;(ROW(PLE.lastrow)-ROW(PLE.firstrow))),0,IF(OFFSET(PLE!$G$14,$M267,CG$13)="",10^12,OFFSET(PLE!$G$14,$M267,CG$13))))</f>
        <v>1000000000000</v>
      </c>
      <c r="CH267" s="216">
        <f ca="1">IF($D267&lt;&gt;"Serviço",0,IF(OR(AND(AUTOEVENTO="Manual",$M267=1),$M267&gt;(ROW(PLE.lastrow)-ROW(PLE.firstrow))),0,IF(OFFSET(PLE!$G$14,$M267,CH$13)="",10^12,OFFSET(PLE!$G$14,$M267,CH$13))))</f>
        <v>1000000000000</v>
      </c>
      <c r="CI267" s="216">
        <f ca="1">IF($D267&lt;&gt;"Serviço",0,IF(OR(AND(AUTOEVENTO="Manual",$M267=1),$M267&gt;(ROW(PLE.lastrow)-ROW(PLE.firstrow))),0,IF(OFFSET(PLE!$G$14,$M267,CI$13)="",10^12,OFFSET(PLE!$G$14,$M267,CI$13))))</f>
        <v>1000000000000</v>
      </c>
      <c r="CJ267" s="216">
        <f ca="1">IF($D267&lt;&gt;"Serviço",0,IF(OR(AND(AUTOEVENTO="Manual",$M267=1),$M267&gt;(ROW(PLE.lastrow)-ROW(PLE.firstrow))),0,IF(OFFSET(PLE!$G$14,$M267,CJ$13)="",10^12,OFFSET(PLE!$G$14,$M267,CJ$13))))</f>
        <v>1000000000000</v>
      </c>
      <c r="CK267" s="216">
        <f ca="1">IF($D267&lt;&gt;"Serviço",0,IF(OR(AND(AUTOEVENTO="Manual",$M267=1),$M267&gt;(ROW(PLE.lastrow)-ROW(PLE.firstrow))),0,IF(OFFSET(PLE!$G$14,$M267,CK$13)="",10^12,OFFSET(PLE!$G$14,$M267,CK$13))))</f>
        <v>1000000000000</v>
      </c>
      <c r="CL267" s="216">
        <f ca="1">IF($D267&lt;&gt;"Serviço",0,IF(OR(AND(AUTOEVENTO="Manual",$M267=1),$M267&gt;(ROW(PLE.lastrow)-ROW(PLE.firstrow))),0,IF(OFFSET(PLE!$G$14,$M267,CL$13)="",10^12,OFFSET(PLE!$G$14,$M267,CL$13))))</f>
        <v>1000000000000</v>
      </c>
      <c r="CM267" s="216">
        <f ca="1">IF($D267&lt;&gt;"Serviço",0,IF(OR(AND(AUTOEVENTO="Manual",$M267=1),$M267&gt;(ROW(PLE.lastrow)-ROW(PLE.firstrow))),0,IF(OFFSET(PLE!$G$14,$M267,CM$13)="",10^12,OFFSET(PLE!$G$14,$M267,CM$13))))</f>
        <v>1000000000000</v>
      </c>
    </row>
    <row r="268" spans="1:91" ht="13.2" x14ac:dyDescent="0.25">
      <c r="A268" s="9">
        <f t="shared" ca="1" si="12"/>
        <v>0</v>
      </c>
      <c r="B268" s="9" t="str">
        <f ca="1">OFFSET(ORÇAMENTO!C$15,ROW(B268)-ROW(B$15),0)</f>
        <v>S</v>
      </c>
      <c r="C268" s="9" t="str">
        <f ca="1">OFFSET(ORÇAMENTO!L$15,ROW(C268)-ROW(C$15),0)</f>
        <v/>
      </c>
      <c r="D268" s="145" t="str">
        <f ca="1">OFFSET(ORÇAMENTO!N$15,ROW(D268)-ROW(D$15),0)</f>
        <v>Serviço</v>
      </c>
      <c r="E268" s="205" t="str">
        <f ca="1">OFFSET(ORÇAMENTO!O$15,ROW(E268)-ROW(E$15),0)</f>
        <v>-</v>
      </c>
      <c r="F268" s="206" t="str">
        <f ca="1">OFFSET(ORÇAMENTO!R$15,ROW(F268)-ROW(F$15),0)</f>
        <v>(abra o arquivo 'Referência 05-2024.xls)</v>
      </c>
      <c r="G268" s="207" t="str">
        <f ca="1">IF($D268&lt;&gt;"Serviço","",OFFSET(ORÇAMENTO!S$15,ROW(G268)-ROW(G$15),0))</f>
        <v>-</v>
      </c>
      <c r="H268" s="151">
        <f ca="1">IF($D268&lt;&gt;"Serviço",0,IF(ACOMPANHAMENTO="BM",ROUND(OFFSET(ORÇAMENTO!AJ$15,ROW(H268)-ROW(H$15),0),15-13*ORÇAMENTO!$AF$7),SUMPRODUCT(($Q$12:$AI$12&lt;&gt;"")*ROUND($Q268:$AI268,15-13*ORÇAMENTO!$AF$7))))</f>
        <v>48.6</v>
      </c>
      <c r="I268" s="650"/>
      <c r="K268" s="208"/>
      <c r="L268" s="209" t="s">
        <v>257</v>
      </c>
      <c r="M268" s="210">
        <f ca="1">IF($D268&lt;&gt;"Serviço","",IF(AUTOEVENTO="manual",$A268,IF(ISERROR(MATCH($A268,$A$15:OFFSET($A268,-1,0),0)),MAX($M$15:OFFSET(M268,-1,0))+1,INDEX($M$15:OFFSET(M268,-1,0),MATCH($A268,$A$15:OFFSET($A268,-1,0),0)))))</f>
        <v>0</v>
      </c>
      <c r="N268" s="211" t="str">
        <f ca="1">IF($D268&lt;&gt;"Serviço","",IF(AUTOEVENTO="Manual",IF($A268=0,"&lt;-- defina o número do agrupador",OFFSET(EVENTOS!$D$14,$A268,0)),OFFSET($F$15,$A268,0)))</f>
        <v>&lt;-- defina o número do agrupador</v>
      </c>
      <c r="O268" s="212"/>
      <c r="Q268" s="212"/>
      <c r="R268" s="213"/>
      <c r="S268" s="213"/>
      <c r="T268" s="213"/>
      <c r="U268" s="213"/>
      <c r="V268" s="213"/>
      <c r="W268" s="213"/>
      <c r="X268" s="213"/>
      <c r="Y268" s="213"/>
      <c r="Z268" s="214"/>
      <c r="AA268" s="213"/>
      <c r="AB268" s="213"/>
      <c r="AC268" s="213"/>
      <c r="AD268" s="213"/>
      <c r="AE268" s="213"/>
      <c r="AF268" s="213"/>
      <c r="AG268" s="213"/>
      <c r="AH268" s="214"/>
      <c r="AJ268" s="631">
        <f ca="1">IF(AND($D268="Serviço",AJ$12&lt;&gt;0,$H268&gt;0,OR(AUTOEVENTO&lt;&gt;"manual",$M268&lt;&gt;1)),ROUND(OFFSET($P268,0,AJ$13),15-13*ORÇAMENTO!$AF$7)/$H268*OFFSET(ORÇAMENTO!$X$15,ROW(AJ268)-ROW(AJ$15),0),0)</f>
        <v>0</v>
      </c>
      <c r="AK268" s="632">
        <f ca="1">IF(AND($D268="Serviço",AK$12&lt;&gt;0,$H268&gt;0,OR(AUTOEVENTO&lt;&gt;"manual",$M268&lt;&gt;1)),ROUND(OFFSET($P268,0,AK$13),15-13*ORÇAMENTO!$AF$7)/$H268*OFFSET(ORÇAMENTO!$X$15,ROW(AK268)-ROW(AK$15),0),0)</f>
        <v>0</v>
      </c>
      <c r="AL268" s="632">
        <f ca="1">IF(AND($D268="Serviço",AL$12&lt;&gt;0,$H268&gt;0,OR(AUTOEVENTO&lt;&gt;"manual",$M268&lt;&gt;1)),ROUND(OFFSET($P268,0,AL$13),15-13*ORÇAMENTO!$AF$7)/$H268*OFFSET(ORÇAMENTO!$X$15,ROW(AL268)-ROW(AL$15),0),0)</f>
        <v>0</v>
      </c>
      <c r="AM268" s="632">
        <f ca="1">IF(AND($D268="Serviço",AM$12&lt;&gt;0,$H268&gt;0,OR(AUTOEVENTO&lt;&gt;"manual",$M268&lt;&gt;1)),ROUND(OFFSET($P268,0,AM$13),15-13*ORÇAMENTO!$AF$7)/$H268*OFFSET(ORÇAMENTO!$X$15,ROW(AM268)-ROW(AM$15),0),0)</f>
        <v>0</v>
      </c>
      <c r="AN268" s="632">
        <f ca="1">IF(AND($D268="Serviço",AN$12&lt;&gt;0,$H268&gt;0,OR(AUTOEVENTO&lt;&gt;"manual",$M268&lt;&gt;1)),ROUND(OFFSET($P268,0,AN$13),15-13*ORÇAMENTO!$AF$7)/$H268*OFFSET(ORÇAMENTO!$X$15,ROW(AN268)-ROW(AN$15),0),0)</f>
        <v>0</v>
      </c>
      <c r="AO268" s="632">
        <f ca="1">IF(AND($D268="Serviço",AO$12&lt;&gt;0,$H268&gt;0,OR(AUTOEVENTO&lt;&gt;"manual",$M268&lt;&gt;1)),ROUND(OFFSET($P268,0,AO$13),15-13*ORÇAMENTO!$AF$7)/$H268*OFFSET(ORÇAMENTO!$X$15,ROW(AO268)-ROW(AO$15),0),0)</f>
        <v>0</v>
      </c>
      <c r="AP268" s="632">
        <f ca="1">IF(AND($D268="Serviço",AP$12&lt;&gt;0,$H268&gt;0,OR(AUTOEVENTO&lt;&gt;"manual",$M268&lt;&gt;1)),ROUND(OFFSET($P268,0,AP$13),15-13*ORÇAMENTO!$AF$7)/$H268*OFFSET(ORÇAMENTO!$X$15,ROW(AP268)-ROW(AP$15),0),0)</f>
        <v>0</v>
      </c>
      <c r="AQ268" s="632">
        <f ca="1">IF(AND($D268="Serviço",AQ$12&lt;&gt;0,$H268&gt;0,OR(AUTOEVENTO&lt;&gt;"manual",$M268&lt;&gt;1)),ROUND(OFFSET($P268,0,AQ$13),15-13*ORÇAMENTO!$AF$7)/$H268*OFFSET(ORÇAMENTO!$X$15,ROW(AQ268)-ROW(AQ$15),0),0)</f>
        <v>0</v>
      </c>
      <c r="AR268" s="632">
        <f ca="1">IF(AND($D268="Serviço",AR$12&lt;&gt;0,$H268&gt;0,OR(AUTOEVENTO&lt;&gt;"manual",$M268&lt;&gt;1)),ROUND(OFFSET($P268,0,AR$13),15-13*ORÇAMENTO!$AF$7)/$H268*OFFSET(ORÇAMENTO!$X$15,ROW(AR268)-ROW(AR$15),0),0)</f>
        <v>0</v>
      </c>
      <c r="AS268" s="633">
        <f ca="1">IF(AND($D268="Serviço",AS$12&lt;&gt;0,$H268&gt;0,OR(AUTOEVENTO&lt;&gt;"manual",$M268&lt;&gt;1)),ROUND(OFFSET($P268,0,AS$13),15-13*ORÇAMENTO!$AF$7)/$H268*OFFSET(ORÇAMENTO!$X$15,ROW(AS268)-ROW(AS$15),0),0)</f>
        <v>0</v>
      </c>
      <c r="AT268" s="632">
        <f ca="1">IF(AND($D268="Serviço",AT$12&lt;&gt;0,$H268&gt;0,OR(AUTOEVENTO&lt;&gt;"manual",$M268&lt;&gt;1)),ROUND(OFFSET($P268,0,AT$13),15-13*ORÇAMENTO!$AF$7)/$H268*OFFSET(ORÇAMENTO!$X$15,ROW(AT268)-ROW(AT$15),0),0)</f>
        <v>0</v>
      </c>
      <c r="AU268" s="632">
        <f ca="1">IF(AND($D268="Serviço",AU$12&lt;&gt;0,$H268&gt;0,OR(AUTOEVENTO&lt;&gt;"manual",$M268&lt;&gt;1)),ROUND(OFFSET($P268,0,AU$13),15-13*ORÇAMENTO!$AF$7)/$H268*OFFSET(ORÇAMENTO!$X$15,ROW(AU268)-ROW(AU$15),0),0)</f>
        <v>0</v>
      </c>
      <c r="AV268" s="632">
        <f ca="1">IF(AND($D268="Serviço",AV$12&lt;&gt;0,$H268&gt;0,OR(AUTOEVENTO&lt;&gt;"manual",$M268&lt;&gt;1)),ROUND(OFFSET($P268,0,AV$13),15-13*ORÇAMENTO!$AF$7)/$H268*OFFSET(ORÇAMENTO!$X$15,ROW(AV268)-ROW(AV$15),0),0)</f>
        <v>0</v>
      </c>
      <c r="AW268" s="632">
        <f ca="1">IF(AND($D268="Serviço",AW$12&lt;&gt;0,$H268&gt;0,OR(AUTOEVENTO&lt;&gt;"manual",$M268&lt;&gt;1)),ROUND(OFFSET($P268,0,AW$13),15-13*ORÇAMENTO!$AF$7)/$H268*OFFSET(ORÇAMENTO!$X$15,ROW(AW268)-ROW(AW$15),0),0)</f>
        <v>0</v>
      </c>
      <c r="AX268" s="632">
        <f ca="1">IF(AND($D268="Serviço",AX$12&lt;&gt;0,$H268&gt;0,OR(AUTOEVENTO&lt;&gt;"manual",$M268&lt;&gt;1)),ROUND(OFFSET($P268,0,AX$13),15-13*ORÇAMENTO!$AF$7)/$H268*OFFSET(ORÇAMENTO!$X$15,ROW(AX268)-ROW(AX$15),0),0)</f>
        <v>0</v>
      </c>
      <c r="AY268" s="632">
        <f ca="1">IF(AND($D268="Serviço",AY$12&lt;&gt;0,$H268&gt;0,OR(AUTOEVENTO&lt;&gt;"manual",$M268&lt;&gt;1)),ROUND(OFFSET($P268,0,AY$13),15-13*ORÇAMENTO!$AF$7)/$H268*OFFSET(ORÇAMENTO!$X$15,ROW(AY268)-ROW(AY$15),0),0)</f>
        <v>0</v>
      </c>
      <c r="AZ268" s="632">
        <f ca="1">IF(AND($D268="Serviço",AZ$12&lt;&gt;0,$H268&gt;0,OR(AUTOEVENTO&lt;&gt;"manual",$M268&lt;&gt;1)),ROUND(OFFSET($P268,0,AZ$13),15-13*ORÇAMENTO!$AF$7)/$H268*OFFSET(ORÇAMENTO!$X$15,ROW(AZ268)-ROW(AZ$15),0),0)</f>
        <v>0</v>
      </c>
      <c r="BA268" s="633">
        <f ca="1">IF(AND($D268="Serviço",BA$12&lt;&gt;0,$H268&gt;0,OR(AUTOEVENTO&lt;&gt;"manual",$M268&lt;&gt;1)),ROUND(OFFSET($P268,0,BA$13),15-13*ORÇAMENTO!$AF$7)/$H268*OFFSET(ORÇAMENTO!$X$15,ROW(BA268)-ROW(BA$15),0),0)</f>
        <v>0</v>
      </c>
      <c r="BC268" s="215">
        <f ca="1">IF($D268&lt;&gt;"Serviço",0,IF(AND(AUTOEVENTO="Manual",$M268=1),0,IF(OFFSET(CRONOPLE!$F$14,$M268,BC$13)="",10^12,OFFSET(CRONOPLE!$F$14,$M268,BC$13))))</f>
        <v>1000000000000</v>
      </c>
      <c r="BD268" s="215">
        <f ca="1">IF($D268&lt;&gt;"Serviço",0,IF(AND(AUTOEVENTO="Manual",$M268=1),0,IF(OFFSET(CRONOPLE!$F$14,$M268,BD$13)="",10^12,OFFSET(CRONOPLE!$F$14,$M268,BD$13))))</f>
        <v>1000000000000</v>
      </c>
      <c r="BE268" s="215">
        <f ca="1">IF($D268&lt;&gt;"Serviço",0,IF(AND(AUTOEVENTO="Manual",$M268=1),0,IF(OFFSET(CRONOPLE!$F$14,$M268,BE$13)="",10^12,OFFSET(CRONOPLE!$F$14,$M268,BE$13))))</f>
        <v>1000000000000</v>
      </c>
      <c r="BF268" s="215">
        <f ca="1">IF($D268&lt;&gt;"Serviço",0,IF(AND(AUTOEVENTO="Manual",$M268=1),0,IF(OFFSET(CRONOPLE!$F$14,$M268,BF$13)="",10^12,OFFSET(CRONOPLE!$F$14,$M268,BF$13))))</f>
        <v>1000000000000</v>
      </c>
      <c r="BG268" s="215">
        <f ca="1">IF($D268&lt;&gt;"Serviço",0,IF(AND(AUTOEVENTO="Manual",$M268=1),0,IF(OFFSET(CRONOPLE!$F$14,$M268,BG$13)="",10^12,OFFSET(CRONOPLE!$F$14,$M268,BG$13))))</f>
        <v>1000000000000</v>
      </c>
      <c r="BH268" s="215">
        <f ca="1">IF($D268&lt;&gt;"Serviço",0,IF(AND(AUTOEVENTO="Manual",$M268=1),0,IF(OFFSET(CRONOPLE!$F$14,$M268,BH$13)="",10^12,OFFSET(CRONOPLE!$F$14,$M268,BH$13))))</f>
        <v>1000000000000</v>
      </c>
      <c r="BI268" s="215">
        <f ca="1">IF($D268&lt;&gt;"Serviço",0,IF(AND(AUTOEVENTO="Manual",$M268=1),0,IF(OFFSET(CRONOPLE!$F$14,$M268,BI$13)="",10^12,OFFSET(CRONOPLE!$F$14,$M268,BI$13))))</f>
        <v>1000000000000</v>
      </c>
      <c r="BJ268" s="215">
        <f ca="1">IF($D268&lt;&gt;"Serviço",0,IF(AND(AUTOEVENTO="Manual",$M268=1),0,IF(OFFSET(CRONOPLE!$F$14,$M268,BJ$13)="",10^12,OFFSET(CRONOPLE!$F$14,$M268,BJ$13))))</f>
        <v>1000000000000</v>
      </c>
      <c r="BK268" s="215">
        <f ca="1">IF($D268&lt;&gt;"Serviço",0,IF(AND(AUTOEVENTO="Manual",$M268=1),0,IF(OFFSET(CRONOPLE!$F$14,$M268,BK$13)="",10^12,OFFSET(CRONOPLE!$F$14,$M268,BK$13))))</f>
        <v>1000000000000</v>
      </c>
      <c r="BL268" s="215">
        <f ca="1">IF($D268&lt;&gt;"Serviço",0,IF(AND(AUTOEVENTO="Manual",$M268=1),0,IF(OFFSET(CRONOPLE!$F$14,$M268,BL$13)="",10^12,OFFSET(CRONOPLE!$F$14,$M268,BL$13))))</f>
        <v>1000000000000</v>
      </c>
      <c r="BM268" s="215">
        <f ca="1">IF($D268&lt;&gt;"Serviço",0,IF(AND(AUTOEVENTO="Manual",$M268=1),0,IF(OFFSET(CRONOPLE!$F$14,$M268,BM$13)="",10^12,OFFSET(CRONOPLE!$F$14,$M268,BM$13))))</f>
        <v>1000000000000</v>
      </c>
      <c r="BN268" s="215">
        <f ca="1">IF($D268&lt;&gt;"Serviço",0,IF(AND(AUTOEVENTO="Manual",$M268=1),0,IF(OFFSET(CRONOPLE!$F$14,$M268,BN$13)="",10^12,OFFSET(CRONOPLE!$F$14,$M268,BN$13))))</f>
        <v>1000000000000</v>
      </c>
      <c r="BO268" s="215">
        <f ca="1">IF($D268&lt;&gt;"Serviço",0,IF(AND(AUTOEVENTO="Manual",$M268=1),0,IF(OFFSET(CRONOPLE!$F$14,$M268,BO$13)="",10^12,OFFSET(CRONOPLE!$F$14,$M268,BO$13))))</f>
        <v>1000000000000</v>
      </c>
      <c r="BP268" s="215">
        <f ca="1">IF($D268&lt;&gt;"Serviço",0,IF(AND(AUTOEVENTO="Manual",$M268=1),0,IF(OFFSET(CRONOPLE!$F$14,$M268,BP$13)="",10^12,OFFSET(CRONOPLE!$F$14,$M268,BP$13))))</f>
        <v>1000000000000</v>
      </c>
      <c r="BQ268" s="215">
        <f ca="1">IF($D268&lt;&gt;"Serviço",0,IF(AND(AUTOEVENTO="Manual",$M268=1),0,IF(OFFSET(CRONOPLE!$F$14,$M268,BQ$13)="",10^12,OFFSET(CRONOPLE!$F$14,$M268,BQ$13))))</f>
        <v>1000000000000</v>
      </c>
      <c r="BR268" s="215">
        <f ca="1">IF($D268&lt;&gt;"Serviço",0,IF(AND(AUTOEVENTO="Manual",$M268=1),0,IF(OFFSET(CRONOPLE!$F$14,$M268,BR$13)="",10^12,OFFSET(CRONOPLE!$F$14,$M268,BR$13))))</f>
        <v>1000000000000</v>
      </c>
      <c r="BS268" s="215">
        <f ca="1">IF($D268&lt;&gt;"Serviço",0,IF(AND(AUTOEVENTO="Manual",$M268=1),0,IF(OFFSET(CRONOPLE!$F$14,$M268,BS$13)="",10^12,OFFSET(CRONOPLE!$F$14,$M268,BS$13))))</f>
        <v>1000000000000</v>
      </c>
      <c r="BT268" s="215">
        <f ca="1">IF($D268&lt;&gt;"Serviço",0,IF(AND(AUTOEVENTO="Manual",$M268=1),0,IF(OFFSET(CRONOPLE!$F$14,$M268,BT$13)="",10^12,OFFSET(CRONOPLE!$F$14,$M268,BT$13))))</f>
        <v>1000000000000</v>
      </c>
      <c r="BV268" s="216">
        <f ca="1">IF($D268&lt;&gt;"Serviço",0,IF(OR(AND(AUTOEVENTO="Manual",$M268=1),$M268&gt;(ROW(PLE.lastrow)-ROW(PLE.firstrow))),0,IF(OFFSET(PLE!$G$14,$M268,BV$13)="",10^12,OFFSET(PLE!$G$14,$M268,BV$13))))</f>
        <v>1000000000000</v>
      </c>
      <c r="BW268" s="216">
        <f ca="1">IF($D268&lt;&gt;"Serviço",0,IF(OR(AND(AUTOEVENTO="Manual",$M268=1),$M268&gt;(ROW(PLE.lastrow)-ROW(PLE.firstrow))),0,IF(OFFSET(PLE!$G$14,$M268,BW$13)="",10^12,OFFSET(PLE!$G$14,$M268,BW$13))))</f>
        <v>1000000000000</v>
      </c>
      <c r="BX268" s="216">
        <f ca="1">IF($D268&lt;&gt;"Serviço",0,IF(OR(AND(AUTOEVENTO="Manual",$M268=1),$M268&gt;(ROW(PLE.lastrow)-ROW(PLE.firstrow))),0,IF(OFFSET(PLE!$G$14,$M268,BX$13)="",10^12,OFFSET(PLE!$G$14,$M268,BX$13))))</f>
        <v>1000000000000</v>
      </c>
      <c r="BY268" s="216">
        <f ca="1">IF($D268&lt;&gt;"Serviço",0,IF(OR(AND(AUTOEVENTO="Manual",$M268=1),$M268&gt;(ROW(PLE.lastrow)-ROW(PLE.firstrow))),0,IF(OFFSET(PLE!$G$14,$M268,BY$13)="",10^12,OFFSET(PLE!$G$14,$M268,BY$13))))</f>
        <v>1000000000000</v>
      </c>
      <c r="BZ268" s="216">
        <f ca="1">IF($D268&lt;&gt;"Serviço",0,IF(OR(AND(AUTOEVENTO="Manual",$M268=1),$M268&gt;(ROW(PLE.lastrow)-ROW(PLE.firstrow))),0,IF(OFFSET(PLE!$G$14,$M268,BZ$13)="",10^12,OFFSET(PLE!$G$14,$M268,BZ$13))))</f>
        <v>1000000000000</v>
      </c>
      <c r="CA268" s="216">
        <f ca="1">IF($D268&lt;&gt;"Serviço",0,IF(OR(AND(AUTOEVENTO="Manual",$M268=1),$M268&gt;(ROW(PLE.lastrow)-ROW(PLE.firstrow))),0,IF(OFFSET(PLE!$G$14,$M268,CA$13)="",10^12,OFFSET(PLE!$G$14,$M268,CA$13))))</f>
        <v>1000000000000</v>
      </c>
      <c r="CB268" s="216">
        <f ca="1">IF($D268&lt;&gt;"Serviço",0,IF(OR(AND(AUTOEVENTO="Manual",$M268=1),$M268&gt;(ROW(PLE.lastrow)-ROW(PLE.firstrow))),0,IF(OFFSET(PLE!$G$14,$M268,CB$13)="",10^12,OFFSET(PLE!$G$14,$M268,CB$13))))</f>
        <v>1000000000000</v>
      </c>
      <c r="CC268" s="216">
        <f ca="1">IF($D268&lt;&gt;"Serviço",0,IF(OR(AND(AUTOEVENTO="Manual",$M268=1),$M268&gt;(ROW(PLE.lastrow)-ROW(PLE.firstrow))),0,IF(OFFSET(PLE!$G$14,$M268,CC$13)="",10^12,OFFSET(PLE!$G$14,$M268,CC$13))))</f>
        <v>1000000000000</v>
      </c>
      <c r="CD268" s="216">
        <f ca="1">IF($D268&lt;&gt;"Serviço",0,IF(OR(AND(AUTOEVENTO="Manual",$M268=1),$M268&gt;(ROW(PLE.lastrow)-ROW(PLE.firstrow))),0,IF(OFFSET(PLE!$G$14,$M268,CD$13)="",10^12,OFFSET(PLE!$G$14,$M268,CD$13))))</f>
        <v>1000000000000</v>
      </c>
      <c r="CE268" s="216">
        <f ca="1">IF($D268&lt;&gt;"Serviço",0,IF(OR(AND(AUTOEVENTO="Manual",$M268=1),$M268&gt;(ROW(PLE.lastrow)-ROW(PLE.firstrow))),0,IF(OFFSET(PLE!$G$14,$M268,CE$13)="",10^12,OFFSET(PLE!$G$14,$M268,CE$13))))</f>
        <v>1000000000000</v>
      </c>
      <c r="CF268" s="216">
        <f ca="1">IF($D268&lt;&gt;"Serviço",0,IF(OR(AND(AUTOEVENTO="Manual",$M268=1),$M268&gt;(ROW(PLE.lastrow)-ROW(PLE.firstrow))),0,IF(OFFSET(PLE!$G$14,$M268,CF$13)="",10^12,OFFSET(PLE!$G$14,$M268,CF$13))))</f>
        <v>1000000000000</v>
      </c>
      <c r="CG268" s="216">
        <f ca="1">IF($D268&lt;&gt;"Serviço",0,IF(OR(AND(AUTOEVENTO="Manual",$M268=1),$M268&gt;(ROW(PLE.lastrow)-ROW(PLE.firstrow))),0,IF(OFFSET(PLE!$G$14,$M268,CG$13)="",10^12,OFFSET(PLE!$G$14,$M268,CG$13))))</f>
        <v>1000000000000</v>
      </c>
      <c r="CH268" s="216">
        <f ca="1">IF($D268&lt;&gt;"Serviço",0,IF(OR(AND(AUTOEVENTO="Manual",$M268=1),$M268&gt;(ROW(PLE.lastrow)-ROW(PLE.firstrow))),0,IF(OFFSET(PLE!$G$14,$M268,CH$13)="",10^12,OFFSET(PLE!$G$14,$M268,CH$13))))</f>
        <v>1000000000000</v>
      </c>
      <c r="CI268" s="216">
        <f ca="1">IF($D268&lt;&gt;"Serviço",0,IF(OR(AND(AUTOEVENTO="Manual",$M268=1),$M268&gt;(ROW(PLE.lastrow)-ROW(PLE.firstrow))),0,IF(OFFSET(PLE!$G$14,$M268,CI$13)="",10^12,OFFSET(PLE!$G$14,$M268,CI$13))))</f>
        <v>1000000000000</v>
      </c>
      <c r="CJ268" s="216">
        <f ca="1">IF($D268&lt;&gt;"Serviço",0,IF(OR(AND(AUTOEVENTO="Manual",$M268=1),$M268&gt;(ROW(PLE.lastrow)-ROW(PLE.firstrow))),0,IF(OFFSET(PLE!$G$14,$M268,CJ$13)="",10^12,OFFSET(PLE!$G$14,$M268,CJ$13))))</f>
        <v>1000000000000</v>
      </c>
      <c r="CK268" s="216">
        <f ca="1">IF($D268&lt;&gt;"Serviço",0,IF(OR(AND(AUTOEVENTO="Manual",$M268=1),$M268&gt;(ROW(PLE.lastrow)-ROW(PLE.firstrow))),0,IF(OFFSET(PLE!$G$14,$M268,CK$13)="",10^12,OFFSET(PLE!$G$14,$M268,CK$13))))</f>
        <v>1000000000000</v>
      </c>
      <c r="CL268" s="216">
        <f ca="1">IF($D268&lt;&gt;"Serviço",0,IF(OR(AND(AUTOEVENTO="Manual",$M268=1),$M268&gt;(ROW(PLE.lastrow)-ROW(PLE.firstrow))),0,IF(OFFSET(PLE!$G$14,$M268,CL$13)="",10^12,OFFSET(PLE!$G$14,$M268,CL$13))))</f>
        <v>1000000000000</v>
      </c>
      <c r="CM268" s="216">
        <f ca="1">IF($D268&lt;&gt;"Serviço",0,IF(OR(AND(AUTOEVENTO="Manual",$M268=1),$M268&gt;(ROW(PLE.lastrow)-ROW(PLE.firstrow))),0,IF(OFFSET(PLE!$G$14,$M268,CM$13)="",10^12,OFFSET(PLE!$G$14,$M268,CM$13))))</f>
        <v>1000000000000</v>
      </c>
    </row>
    <row r="269" spans="1:91" ht="13.2" x14ac:dyDescent="0.25">
      <c r="A269" s="9">
        <f t="shared" ca="1" si="12"/>
        <v>0</v>
      </c>
      <c r="B269" s="9">
        <f ca="1">OFFSET(ORÇAMENTO!C$15,ROW(B269)-ROW(B$15),0)</f>
        <v>3</v>
      </c>
      <c r="C269" s="9" t="str">
        <f ca="1">OFFSET(ORÇAMENTO!L$15,ROW(C269)-ROW(C$15),0)</f>
        <v>F</v>
      </c>
      <c r="D269" s="145" t="str">
        <f ca="1">OFFSET(ORÇAMENTO!N$15,ROW(D269)-ROW(D$15),0)</f>
        <v>Nível 3</v>
      </c>
      <c r="E269" s="205" t="str">
        <f ca="1">OFFSET(ORÇAMENTO!O$15,ROW(E269)-ROW(E$15),0)</f>
        <v>1.10.2.</v>
      </c>
      <c r="F269" s="206" t="str">
        <f ca="1">OFFSET(ORÇAMENTO!R$15,ROW(F269)-ROW(F$15),0)</f>
        <v>PAVIMENTAÇÃO EXTERNA</v>
      </c>
      <c r="G269" s="207" t="str">
        <f ca="1">IF($D269&lt;&gt;"Serviço","",OFFSET(ORÇAMENTO!S$15,ROW(G269)-ROW(G$15),0))</f>
        <v/>
      </c>
      <c r="H269" s="151">
        <f ca="1">IF($D269&lt;&gt;"Serviço",0,IF(ACOMPANHAMENTO="BM",ROUND(OFFSET(ORÇAMENTO!AJ$15,ROW(H269)-ROW(H$15),0),15-13*ORÇAMENTO!$AF$7),SUMPRODUCT(($Q$12:$AI$12&lt;&gt;"")*ROUND($Q269:$AI269,15-13*ORÇAMENTO!$AF$7))))</f>
        <v>0</v>
      </c>
      <c r="I269" s="650"/>
      <c r="K269" s="208"/>
      <c r="L269" s="209" t="s">
        <v>257</v>
      </c>
      <c r="M269" s="210" t="str">
        <f ca="1">IF($D269&lt;&gt;"Serviço","",IF(AUTOEVENTO="manual",$A269,IF(ISERROR(MATCH($A269,$A$15:OFFSET($A269,-1,0),0)),MAX($M$15:OFFSET(M269,-1,0))+1,INDEX($M$15:OFFSET(M269,-1,0),MATCH($A269,$A$15:OFFSET($A269,-1,0),0)))))</f>
        <v/>
      </c>
      <c r="N269" s="211" t="str">
        <f ca="1">IF($D269&lt;&gt;"Serviço","",IF(AUTOEVENTO="Manual",IF($A269=0,"&lt;-- defina o número do agrupador",OFFSET(EVENTOS!$D$14,$A269,0)),OFFSET($F$15,$A269,0)))</f>
        <v/>
      </c>
      <c r="O269" s="212"/>
      <c r="Q269" s="212"/>
      <c r="R269" s="213"/>
      <c r="S269" s="213"/>
      <c r="T269" s="213"/>
      <c r="U269" s="213"/>
      <c r="V269" s="213"/>
      <c r="W269" s="213"/>
      <c r="X269" s="213"/>
      <c r="Y269" s="213"/>
      <c r="Z269" s="214"/>
      <c r="AA269" s="213"/>
      <c r="AB269" s="213"/>
      <c r="AC269" s="213"/>
      <c r="AD269" s="213"/>
      <c r="AE269" s="213"/>
      <c r="AF269" s="213"/>
      <c r="AG269" s="213"/>
      <c r="AH269" s="214"/>
      <c r="AJ269" s="631">
        <f ca="1">IF(AND($D269="Serviço",AJ$12&lt;&gt;0,$H269&gt;0,OR(AUTOEVENTO&lt;&gt;"manual",$M269&lt;&gt;1)),ROUND(OFFSET($P269,0,AJ$13),15-13*ORÇAMENTO!$AF$7)/$H269*OFFSET(ORÇAMENTO!$X$15,ROW(AJ269)-ROW(AJ$15),0),0)</f>
        <v>0</v>
      </c>
      <c r="AK269" s="632">
        <f ca="1">IF(AND($D269="Serviço",AK$12&lt;&gt;0,$H269&gt;0,OR(AUTOEVENTO&lt;&gt;"manual",$M269&lt;&gt;1)),ROUND(OFFSET($P269,0,AK$13),15-13*ORÇAMENTO!$AF$7)/$H269*OFFSET(ORÇAMENTO!$X$15,ROW(AK269)-ROW(AK$15),0),0)</f>
        <v>0</v>
      </c>
      <c r="AL269" s="632">
        <f ca="1">IF(AND($D269="Serviço",AL$12&lt;&gt;0,$H269&gt;0,OR(AUTOEVENTO&lt;&gt;"manual",$M269&lt;&gt;1)),ROUND(OFFSET($P269,0,AL$13),15-13*ORÇAMENTO!$AF$7)/$H269*OFFSET(ORÇAMENTO!$X$15,ROW(AL269)-ROW(AL$15),0),0)</f>
        <v>0</v>
      </c>
      <c r="AM269" s="632">
        <f ca="1">IF(AND($D269="Serviço",AM$12&lt;&gt;0,$H269&gt;0,OR(AUTOEVENTO&lt;&gt;"manual",$M269&lt;&gt;1)),ROUND(OFFSET($P269,0,AM$13),15-13*ORÇAMENTO!$AF$7)/$H269*OFFSET(ORÇAMENTO!$X$15,ROW(AM269)-ROW(AM$15),0),0)</f>
        <v>0</v>
      </c>
      <c r="AN269" s="632">
        <f ca="1">IF(AND($D269="Serviço",AN$12&lt;&gt;0,$H269&gt;0,OR(AUTOEVENTO&lt;&gt;"manual",$M269&lt;&gt;1)),ROUND(OFFSET($P269,0,AN$13),15-13*ORÇAMENTO!$AF$7)/$H269*OFFSET(ORÇAMENTO!$X$15,ROW(AN269)-ROW(AN$15),0),0)</f>
        <v>0</v>
      </c>
      <c r="AO269" s="632">
        <f ca="1">IF(AND($D269="Serviço",AO$12&lt;&gt;0,$H269&gt;0,OR(AUTOEVENTO&lt;&gt;"manual",$M269&lt;&gt;1)),ROUND(OFFSET($P269,0,AO$13),15-13*ORÇAMENTO!$AF$7)/$H269*OFFSET(ORÇAMENTO!$X$15,ROW(AO269)-ROW(AO$15),0),0)</f>
        <v>0</v>
      </c>
      <c r="AP269" s="632">
        <f ca="1">IF(AND($D269="Serviço",AP$12&lt;&gt;0,$H269&gt;0,OR(AUTOEVENTO&lt;&gt;"manual",$M269&lt;&gt;1)),ROUND(OFFSET($P269,0,AP$13),15-13*ORÇAMENTO!$AF$7)/$H269*OFFSET(ORÇAMENTO!$X$15,ROW(AP269)-ROW(AP$15),0),0)</f>
        <v>0</v>
      </c>
      <c r="AQ269" s="632">
        <f ca="1">IF(AND($D269="Serviço",AQ$12&lt;&gt;0,$H269&gt;0,OR(AUTOEVENTO&lt;&gt;"manual",$M269&lt;&gt;1)),ROUND(OFFSET($P269,0,AQ$13),15-13*ORÇAMENTO!$AF$7)/$H269*OFFSET(ORÇAMENTO!$X$15,ROW(AQ269)-ROW(AQ$15),0),0)</f>
        <v>0</v>
      </c>
      <c r="AR269" s="632">
        <f ca="1">IF(AND($D269="Serviço",AR$12&lt;&gt;0,$H269&gt;0,OR(AUTOEVENTO&lt;&gt;"manual",$M269&lt;&gt;1)),ROUND(OFFSET($P269,0,AR$13),15-13*ORÇAMENTO!$AF$7)/$H269*OFFSET(ORÇAMENTO!$X$15,ROW(AR269)-ROW(AR$15),0),0)</f>
        <v>0</v>
      </c>
      <c r="AS269" s="633">
        <f ca="1">IF(AND($D269="Serviço",AS$12&lt;&gt;0,$H269&gt;0,OR(AUTOEVENTO&lt;&gt;"manual",$M269&lt;&gt;1)),ROUND(OFFSET($P269,0,AS$13),15-13*ORÇAMENTO!$AF$7)/$H269*OFFSET(ORÇAMENTO!$X$15,ROW(AS269)-ROW(AS$15),0),0)</f>
        <v>0</v>
      </c>
      <c r="AT269" s="632">
        <f ca="1">IF(AND($D269="Serviço",AT$12&lt;&gt;0,$H269&gt;0,OR(AUTOEVENTO&lt;&gt;"manual",$M269&lt;&gt;1)),ROUND(OFFSET($P269,0,AT$13),15-13*ORÇAMENTO!$AF$7)/$H269*OFFSET(ORÇAMENTO!$X$15,ROW(AT269)-ROW(AT$15),0),0)</f>
        <v>0</v>
      </c>
      <c r="AU269" s="632">
        <f ca="1">IF(AND($D269="Serviço",AU$12&lt;&gt;0,$H269&gt;0,OR(AUTOEVENTO&lt;&gt;"manual",$M269&lt;&gt;1)),ROUND(OFFSET($P269,0,AU$13),15-13*ORÇAMENTO!$AF$7)/$H269*OFFSET(ORÇAMENTO!$X$15,ROW(AU269)-ROW(AU$15),0),0)</f>
        <v>0</v>
      </c>
      <c r="AV269" s="632">
        <f ca="1">IF(AND($D269="Serviço",AV$12&lt;&gt;0,$H269&gt;0,OR(AUTOEVENTO&lt;&gt;"manual",$M269&lt;&gt;1)),ROUND(OFFSET($P269,0,AV$13),15-13*ORÇAMENTO!$AF$7)/$H269*OFFSET(ORÇAMENTO!$X$15,ROW(AV269)-ROW(AV$15),0),0)</f>
        <v>0</v>
      </c>
      <c r="AW269" s="632">
        <f ca="1">IF(AND($D269="Serviço",AW$12&lt;&gt;0,$H269&gt;0,OR(AUTOEVENTO&lt;&gt;"manual",$M269&lt;&gt;1)),ROUND(OFFSET($P269,0,AW$13),15-13*ORÇAMENTO!$AF$7)/$H269*OFFSET(ORÇAMENTO!$X$15,ROW(AW269)-ROW(AW$15),0),0)</f>
        <v>0</v>
      </c>
      <c r="AX269" s="632">
        <f ca="1">IF(AND($D269="Serviço",AX$12&lt;&gt;0,$H269&gt;0,OR(AUTOEVENTO&lt;&gt;"manual",$M269&lt;&gt;1)),ROUND(OFFSET($P269,0,AX$13),15-13*ORÇAMENTO!$AF$7)/$H269*OFFSET(ORÇAMENTO!$X$15,ROW(AX269)-ROW(AX$15),0),0)</f>
        <v>0</v>
      </c>
      <c r="AY269" s="632">
        <f ca="1">IF(AND($D269="Serviço",AY$12&lt;&gt;0,$H269&gt;0,OR(AUTOEVENTO&lt;&gt;"manual",$M269&lt;&gt;1)),ROUND(OFFSET($P269,0,AY$13),15-13*ORÇAMENTO!$AF$7)/$H269*OFFSET(ORÇAMENTO!$X$15,ROW(AY269)-ROW(AY$15),0),0)</f>
        <v>0</v>
      </c>
      <c r="AZ269" s="632">
        <f ca="1">IF(AND($D269="Serviço",AZ$12&lt;&gt;0,$H269&gt;0,OR(AUTOEVENTO&lt;&gt;"manual",$M269&lt;&gt;1)),ROUND(OFFSET($P269,0,AZ$13),15-13*ORÇAMENTO!$AF$7)/$H269*OFFSET(ORÇAMENTO!$X$15,ROW(AZ269)-ROW(AZ$15),0),0)</f>
        <v>0</v>
      </c>
      <c r="BA269" s="633">
        <f ca="1">IF(AND($D269="Serviço",BA$12&lt;&gt;0,$H269&gt;0,OR(AUTOEVENTO&lt;&gt;"manual",$M269&lt;&gt;1)),ROUND(OFFSET($P269,0,BA$13),15-13*ORÇAMENTO!$AF$7)/$H269*OFFSET(ORÇAMENTO!$X$15,ROW(BA269)-ROW(BA$15),0),0)</f>
        <v>0</v>
      </c>
      <c r="BC269" s="215">
        <f ca="1">IF($D269&lt;&gt;"Serviço",0,IF(AND(AUTOEVENTO="Manual",$M269=1),0,IF(OFFSET(CRONOPLE!$F$14,$M269,BC$13)="",10^12,OFFSET(CRONOPLE!$F$14,$M269,BC$13))))</f>
        <v>0</v>
      </c>
      <c r="BD269" s="215">
        <f ca="1">IF($D269&lt;&gt;"Serviço",0,IF(AND(AUTOEVENTO="Manual",$M269=1),0,IF(OFFSET(CRONOPLE!$F$14,$M269,BD$13)="",10^12,OFFSET(CRONOPLE!$F$14,$M269,BD$13))))</f>
        <v>0</v>
      </c>
      <c r="BE269" s="215">
        <f ca="1">IF($D269&lt;&gt;"Serviço",0,IF(AND(AUTOEVENTO="Manual",$M269=1),0,IF(OFFSET(CRONOPLE!$F$14,$M269,BE$13)="",10^12,OFFSET(CRONOPLE!$F$14,$M269,BE$13))))</f>
        <v>0</v>
      </c>
      <c r="BF269" s="215">
        <f ca="1">IF($D269&lt;&gt;"Serviço",0,IF(AND(AUTOEVENTO="Manual",$M269=1),0,IF(OFFSET(CRONOPLE!$F$14,$M269,BF$13)="",10^12,OFFSET(CRONOPLE!$F$14,$M269,BF$13))))</f>
        <v>0</v>
      </c>
      <c r="BG269" s="215">
        <f ca="1">IF($D269&lt;&gt;"Serviço",0,IF(AND(AUTOEVENTO="Manual",$M269=1),0,IF(OFFSET(CRONOPLE!$F$14,$M269,BG$13)="",10^12,OFFSET(CRONOPLE!$F$14,$M269,BG$13))))</f>
        <v>0</v>
      </c>
      <c r="BH269" s="215">
        <f ca="1">IF($D269&lt;&gt;"Serviço",0,IF(AND(AUTOEVENTO="Manual",$M269=1),0,IF(OFFSET(CRONOPLE!$F$14,$M269,BH$13)="",10^12,OFFSET(CRONOPLE!$F$14,$M269,BH$13))))</f>
        <v>0</v>
      </c>
      <c r="BI269" s="215">
        <f ca="1">IF($D269&lt;&gt;"Serviço",0,IF(AND(AUTOEVENTO="Manual",$M269=1),0,IF(OFFSET(CRONOPLE!$F$14,$M269,BI$13)="",10^12,OFFSET(CRONOPLE!$F$14,$M269,BI$13))))</f>
        <v>0</v>
      </c>
      <c r="BJ269" s="215">
        <f ca="1">IF($D269&lt;&gt;"Serviço",0,IF(AND(AUTOEVENTO="Manual",$M269=1),0,IF(OFFSET(CRONOPLE!$F$14,$M269,BJ$13)="",10^12,OFFSET(CRONOPLE!$F$14,$M269,BJ$13))))</f>
        <v>0</v>
      </c>
      <c r="BK269" s="215">
        <f ca="1">IF($D269&lt;&gt;"Serviço",0,IF(AND(AUTOEVENTO="Manual",$M269=1),0,IF(OFFSET(CRONOPLE!$F$14,$M269,BK$13)="",10^12,OFFSET(CRONOPLE!$F$14,$M269,BK$13))))</f>
        <v>0</v>
      </c>
      <c r="BL269" s="215">
        <f ca="1">IF($D269&lt;&gt;"Serviço",0,IF(AND(AUTOEVENTO="Manual",$M269=1),0,IF(OFFSET(CRONOPLE!$F$14,$M269,BL$13)="",10^12,OFFSET(CRONOPLE!$F$14,$M269,BL$13))))</f>
        <v>0</v>
      </c>
      <c r="BM269" s="215">
        <f ca="1">IF($D269&lt;&gt;"Serviço",0,IF(AND(AUTOEVENTO="Manual",$M269=1),0,IF(OFFSET(CRONOPLE!$F$14,$M269,BM$13)="",10^12,OFFSET(CRONOPLE!$F$14,$M269,BM$13))))</f>
        <v>0</v>
      </c>
      <c r="BN269" s="215">
        <f ca="1">IF($D269&lt;&gt;"Serviço",0,IF(AND(AUTOEVENTO="Manual",$M269=1),0,IF(OFFSET(CRONOPLE!$F$14,$M269,BN$13)="",10^12,OFFSET(CRONOPLE!$F$14,$M269,BN$13))))</f>
        <v>0</v>
      </c>
      <c r="BO269" s="215">
        <f ca="1">IF($D269&lt;&gt;"Serviço",0,IF(AND(AUTOEVENTO="Manual",$M269=1),0,IF(OFFSET(CRONOPLE!$F$14,$M269,BO$13)="",10^12,OFFSET(CRONOPLE!$F$14,$M269,BO$13))))</f>
        <v>0</v>
      </c>
      <c r="BP269" s="215">
        <f ca="1">IF($D269&lt;&gt;"Serviço",0,IF(AND(AUTOEVENTO="Manual",$M269=1),0,IF(OFFSET(CRONOPLE!$F$14,$M269,BP$13)="",10^12,OFFSET(CRONOPLE!$F$14,$M269,BP$13))))</f>
        <v>0</v>
      </c>
      <c r="BQ269" s="215">
        <f ca="1">IF($D269&lt;&gt;"Serviço",0,IF(AND(AUTOEVENTO="Manual",$M269=1),0,IF(OFFSET(CRONOPLE!$F$14,$M269,BQ$13)="",10^12,OFFSET(CRONOPLE!$F$14,$M269,BQ$13))))</f>
        <v>0</v>
      </c>
      <c r="BR269" s="215">
        <f ca="1">IF($D269&lt;&gt;"Serviço",0,IF(AND(AUTOEVENTO="Manual",$M269=1),0,IF(OFFSET(CRONOPLE!$F$14,$M269,BR$13)="",10^12,OFFSET(CRONOPLE!$F$14,$M269,BR$13))))</f>
        <v>0</v>
      </c>
      <c r="BS269" s="215">
        <f ca="1">IF($D269&lt;&gt;"Serviço",0,IF(AND(AUTOEVENTO="Manual",$M269=1),0,IF(OFFSET(CRONOPLE!$F$14,$M269,BS$13)="",10^12,OFFSET(CRONOPLE!$F$14,$M269,BS$13))))</f>
        <v>0</v>
      </c>
      <c r="BT269" s="215">
        <f ca="1">IF($D269&lt;&gt;"Serviço",0,IF(AND(AUTOEVENTO="Manual",$M269=1),0,IF(OFFSET(CRONOPLE!$F$14,$M269,BT$13)="",10^12,OFFSET(CRONOPLE!$F$14,$M269,BT$13))))</f>
        <v>0</v>
      </c>
      <c r="BV269" s="216">
        <f ca="1">IF($D269&lt;&gt;"Serviço",0,IF(OR(AND(AUTOEVENTO="Manual",$M269=1),$M269&gt;(ROW(PLE.lastrow)-ROW(PLE.firstrow))),0,IF(OFFSET(PLE!$G$14,$M269,BV$13)="",10^12,OFFSET(PLE!$G$14,$M269,BV$13))))</f>
        <v>0</v>
      </c>
      <c r="BW269" s="216">
        <f ca="1">IF($D269&lt;&gt;"Serviço",0,IF(OR(AND(AUTOEVENTO="Manual",$M269=1),$M269&gt;(ROW(PLE.lastrow)-ROW(PLE.firstrow))),0,IF(OFFSET(PLE!$G$14,$M269,BW$13)="",10^12,OFFSET(PLE!$G$14,$M269,BW$13))))</f>
        <v>0</v>
      </c>
      <c r="BX269" s="216">
        <f ca="1">IF($D269&lt;&gt;"Serviço",0,IF(OR(AND(AUTOEVENTO="Manual",$M269=1),$M269&gt;(ROW(PLE.lastrow)-ROW(PLE.firstrow))),0,IF(OFFSET(PLE!$G$14,$M269,BX$13)="",10^12,OFFSET(PLE!$G$14,$M269,BX$13))))</f>
        <v>0</v>
      </c>
      <c r="BY269" s="216">
        <f ca="1">IF($D269&lt;&gt;"Serviço",0,IF(OR(AND(AUTOEVENTO="Manual",$M269=1),$M269&gt;(ROW(PLE.lastrow)-ROW(PLE.firstrow))),0,IF(OFFSET(PLE!$G$14,$M269,BY$13)="",10^12,OFFSET(PLE!$G$14,$M269,BY$13))))</f>
        <v>0</v>
      </c>
      <c r="BZ269" s="216">
        <f ca="1">IF($D269&lt;&gt;"Serviço",0,IF(OR(AND(AUTOEVENTO="Manual",$M269=1),$M269&gt;(ROW(PLE.lastrow)-ROW(PLE.firstrow))),0,IF(OFFSET(PLE!$G$14,$M269,BZ$13)="",10^12,OFFSET(PLE!$G$14,$M269,BZ$13))))</f>
        <v>0</v>
      </c>
      <c r="CA269" s="216">
        <f ca="1">IF($D269&lt;&gt;"Serviço",0,IF(OR(AND(AUTOEVENTO="Manual",$M269=1),$M269&gt;(ROW(PLE.lastrow)-ROW(PLE.firstrow))),0,IF(OFFSET(PLE!$G$14,$M269,CA$13)="",10^12,OFFSET(PLE!$G$14,$M269,CA$13))))</f>
        <v>0</v>
      </c>
      <c r="CB269" s="216">
        <f ca="1">IF($D269&lt;&gt;"Serviço",0,IF(OR(AND(AUTOEVENTO="Manual",$M269=1),$M269&gt;(ROW(PLE.lastrow)-ROW(PLE.firstrow))),0,IF(OFFSET(PLE!$G$14,$M269,CB$13)="",10^12,OFFSET(PLE!$G$14,$M269,CB$13))))</f>
        <v>0</v>
      </c>
      <c r="CC269" s="216">
        <f ca="1">IF($D269&lt;&gt;"Serviço",0,IF(OR(AND(AUTOEVENTO="Manual",$M269=1),$M269&gt;(ROW(PLE.lastrow)-ROW(PLE.firstrow))),0,IF(OFFSET(PLE!$G$14,$M269,CC$13)="",10^12,OFFSET(PLE!$G$14,$M269,CC$13))))</f>
        <v>0</v>
      </c>
      <c r="CD269" s="216">
        <f ca="1">IF($D269&lt;&gt;"Serviço",0,IF(OR(AND(AUTOEVENTO="Manual",$M269=1),$M269&gt;(ROW(PLE.lastrow)-ROW(PLE.firstrow))),0,IF(OFFSET(PLE!$G$14,$M269,CD$13)="",10^12,OFFSET(PLE!$G$14,$M269,CD$13))))</f>
        <v>0</v>
      </c>
      <c r="CE269" s="216">
        <f ca="1">IF($D269&lt;&gt;"Serviço",0,IF(OR(AND(AUTOEVENTO="Manual",$M269=1),$M269&gt;(ROW(PLE.lastrow)-ROW(PLE.firstrow))),0,IF(OFFSET(PLE!$G$14,$M269,CE$13)="",10^12,OFFSET(PLE!$G$14,$M269,CE$13))))</f>
        <v>0</v>
      </c>
      <c r="CF269" s="216">
        <f ca="1">IF($D269&lt;&gt;"Serviço",0,IF(OR(AND(AUTOEVENTO="Manual",$M269=1),$M269&gt;(ROW(PLE.lastrow)-ROW(PLE.firstrow))),0,IF(OFFSET(PLE!$G$14,$M269,CF$13)="",10^12,OFFSET(PLE!$G$14,$M269,CF$13))))</f>
        <v>0</v>
      </c>
      <c r="CG269" s="216">
        <f ca="1">IF($D269&lt;&gt;"Serviço",0,IF(OR(AND(AUTOEVENTO="Manual",$M269=1),$M269&gt;(ROW(PLE.lastrow)-ROW(PLE.firstrow))),0,IF(OFFSET(PLE!$G$14,$M269,CG$13)="",10^12,OFFSET(PLE!$G$14,$M269,CG$13))))</f>
        <v>0</v>
      </c>
      <c r="CH269" s="216">
        <f ca="1">IF($D269&lt;&gt;"Serviço",0,IF(OR(AND(AUTOEVENTO="Manual",$M269=1),$M269&gt;(ROW(PLE.lastrow)-ROW(PLE.firstrow))),0,IF(OFFSET(PLE!$G$14,$M269,CH$13)="",10^12,OFFSET(PLE!$G$14,$M269,CH$13))))</f>
        <v>0</v>
      </c>
      <c r="CI269" s="216">
        <f ca="1">IF($D269&lt;&gt;"Serviço",0,IF(OR(AND(AUTOEVENTO="Manual",$M269=1),$M269&gt;(ROW(PLE.lastrow)-ROW(PLE.firstrow))),0,IF(OFFSET(PLE!$G$14,$M269,CI$13)="",10^12,OFFSET(PLE!$G$14,$M269,CI$13))))</f>
        <v>0</v>
      </c>
      <c r="CJ269" s="216">
        <f ca="1">IF($D269&lt;&gt;"Serviço",0,IF(OR(AND(AUTOEVENTO="Manual",$M269=1),$M269&gt;(ROW(PLE.lastrow)-ROW(PLE.firstrow))),0,IF(OFFSET(PLE!$G$14,$M269,CJ$13)="",10^12,OFFSET(PLE!$G$14,$M269,CJ$13))))</f>
        <v>0</v>
      </c>
      <c r="CK269" s="216">
        <f ca="1">IF($D269&lt;&gt;"Serviço",0,IF(OR(AND(AUTOEVENTO="Manual",$M269=1),$M269&gt;(ROW(PLE.lastrow)-ROW(PLE.firstrow))),0,IF(OFFSET(PLE!$G$14,$M269,CK$13)="",10^12,OFFSET(PLE!$G$14,$M269,CK$13))))</f>
        <v>0</v>
      </c>
      <c r="CL269" s="216">
        <f ca="1">IF($D269&lt;&gt;"Serviço",0,IF(OR(AND(AUTOEVENTO="Manual",$M269=1),$M269&gt;(ROW(PLE.lastrow)-ROW(PLE.firstrow))),0,IF(OFFSET(PLE!$G$14,$M269,CL$13)="",10^12,OFFSET(PLE!$G$14,$M269,CL$13))))</f>
        <v>0</v>
      </c>
      <c r="CM269" s="216">
        <f ca="1">IF($D269&lt;&gt;"Serviço",0,IF(OR(AND(AUTOEVENTO="Manual",$M269=1),$M269&gt;(ROW(PLE.lastrow)-ROW(PLE.firstrow))),0,IF(OFFSET(PLE!$G$14,$M269,CM$13)="",10^12,OFFSET(PLE!$G$14,$M269,CM$13))))</f>
        <v>0</v>
      </c>
    </row>
    <row r="270" spans="1:91" ht="13.2" x14ac:dyDescent="0.25">
      <c r="A270" s="9">
        <f t="shared" ca="1" si="12"/>
        <v>0</v>
      </c>
      <c r="B270" s="9" t="str">
        <f ca="1">OFFSET(ORÇAMENTO!C$15,ROW(B270)-ROW(B$15),0)</f>
        <v>S</v>
      </c>
      <c r="C270" s="9" t="str">
        <f ca="1">OFFSET(ORÇAMENTO!L$15,ROW(C270)-ROW(C$15),0)</f>
        <v/>
      </c>
      <c r="D270" s="145" t="str">
        <f ca="1">OFFSET(ORÇAMENTO!N$15,ROW(D270)-ROW(D$15),0)</f>
        <v>Serviço</v>
      </c>
      <c r="E270" s="205" t="str">
        <f ca="1">OFFSET(ORÇAMENTO!O$15,ROW(E270)-ROW(E$15),0)</f>
        <v>-</v>
      </c>
      <c r="F270" s="206" t="str">
        <f ca="1">OFFSET(ORÇAMENTO!R$15,ROW(F270)-ROW(F$15),0)</f>
        <v>(abra o arquivo 'Referência 05-2024.xls)</v>
      </c>
      <c r="G270" s="207" t="str">
        <f ca="1">IF($D270&lt;&gt;"Serviço","",OFFSET(ORÇAMENTO!S$15,ROW(G270)-ROW(G$15),0))</f>
        <v>-</v>
      </c>
      <c r="H270" s="151">
        <f ca="1">IF($D270&lt;&gt;"Serviço",0,IF(ACOMPANHAMENTO="BM",ROUND(OFFSET(ORÇAMENTO!AJ$15,ROW(H270)-ROW(H$15),0),15-13*ORÇAMENTO!$AF$7),SUMPRODUCT(($Q$12:$AI$12&lt;&gt;"")*ROUND($Q270:$AI270,15-13*ORÇAMENTO!$AF$7))))</f>
        <v>57.24</v>
      </c>
      <c r="I270" s="650"/>
      <c r="K270" s="208"/>
      <c r="L270" s="209" t="s">
        <v>257</v>
      </c>
      <c r="M270" s="210">
        <f ca="1">IF($D270&lt;&gt;"Serviço","",IF(AUTOEVENTO="manual",$A270,IF(ISERROR(MATCH($A270,$A$15:OFFSET($A270,-1,0),0)),MAX($M$15:OFFSET(M270,-1,0))+1,INDEX($M$15:OFFSET(M270,-1,0),MATCH($A270,$A$15:OFFSET($A270,-1,0),0)))))</f>
        <v>0</v>
      </c>
      <c r="N270" s="211" t="str">
        <f ca="1">IF($D270&lt;&gt;"Serviço","",IF(AUTOEVENTO="Manual",IF($A270=0,"&lt;-- defina o número do agrupador",OFFSET(EVENTOS!$D$14,$A270,0)),OFFSET($F$15,$A270,0)))</f>
        <v>&lt;-- defina o número do agrupador</v>
      </c>
      <c r="O270" s="212"/>
      <c r="Q270" s="212"/>
      <c r="R270" s="213"/>
      <c r="S270" s="213"/>
      <c r="T270" s="213"/>
      <c r="U270" s="213"/>
      <c r="V270" s="213"/>
      <c r="W270" s="213"/>
      <c r="X270" s="213"/>
      <c r="Y270" s="213"/>
      <c r="Z270" s="214"/>
      <c r="AA270" s="213"/>
      <c r="AB270" s="213"/>
      <c r="AC270" s="213"/>
      <c r="AD270" s="213"/>
      <c r="AE270" s="213"/>
      <c r="AF270" s="213"/>
      <c r="AG270" s="213"/>
      <c r="AH270" s="214"/>
      <c r="AJ270" s="631">
        <f ca="1">IF(AND($D270="Serviço",AJ$12&lt;&gt;0,$H270&gt;0,OR(AUTOEVENTO&lt;&gt;"manual",$M270&lt;&gt;1)),ROUND(OFFSET($P270,0,AJ$13),15-13*ORÇAMENTO!$AF$7)/$H270*OFFSET(ORÇAMENTO!$X$15,ROW(AJ270)-ROW(AJ$15),0),0)</f>
        <v>0</v>
      </c>
      <c r="AK270" s="632">
        <f ca="1">IF(AND($D270="Serviço",AK$12&lt;&gt;0,$H270&gt;0,OR(AUTOEVENTO&lt;&gt;"manual",$M270&lt;&gt;1)),ROUND(OFFSET($P270,0,AK$13),15-13*ORÇAMENTO!$AF$7)/$H270*OFFSET(ORÇAMENTO!$X$15,ROW(AK270)-ROW(AK$15),0),0)</f>
        <v>0</v>
      </c>
      <c r="AL270" s="632">
        <f ca="1">IF(AND($D270="Serviço",AL$12&lt;&gt;0,$H270&gt;0,OR(AUTOEVENTO&lt;&gt;"manual",$M270&lt;&gt;1)),ROUND(OFFSET($P270,0,AL$13),15-13*ORÇAMENTO!$AF$7)/$H270*OFFSET(ORÇAMENTO!$X$15,ROW(AL270)-ROW(AL$15),0),0)</f>
        <v>0</v>
      </c>
      <c r="AM270" s="632">
        <f ca="1">IF(AND($D270="Serviço",AM$12&lt;&gt;0,$H270&gt;0,OR(AUTOEVENTO&lt;&gt;"manual",$M270&lt;&gt;1)),ROUND(OFFSET($P270,0,AM$13),15-13*ORÇAMENTO!$AF$7)/$H270*OFFSET(ORÇAMENTO!$X$15,ROW(AM270)-ROW(AM$15),0),0)</f>
        <v>0</v>
      </c>
      <c r="AN270" s="632">
        <f ca="1">IF(AND($D270="Serviço",AN$12&lt;&gt;0,$H270&gt;0,OR(AUTOEVENTO&lt;&gt;"manual",$M270&lt;&gt;1)),ROUND(OFFSET($P270,0,AN$13),15-13*ORÇAMENTO!$AF$7)/$H270*OFFSET(ORÇAMENTO!$X$15,ROW(AN270)-ROW(AN$15),0),0)</f>
        <v>0</v>
      </c>
      <c r="AO270" s="632">
        <f ca="1">IF(AND($D270="Serviço",AO$12&lt;&gt;0,$H270&gt;0,OR(AUTOEVENTO&lt;&gt;"manual",$M270&lt;&gt;1)),ROUND(OFFSET($P270,0,AO$13),15-13*ORÇAMENTO!$AF$7)/$H270*OFFSET(ORÇAMENTO!$X$15,ROW(AO270)-ROW(AO$15),0),0)</f>
        <v>0</v>
      </c>
      <c r="AP270" s="632">
        <f ca="1">IF(AND($D270="Serviço",AP$12&lt;&gt;0,$H270&gt;0,OR(AUTOEVENTO&lt;&gt;"manual",$M270&lt;&gt;1)),ROUND(OFFSET($P270,0,AP$13),15-13*ORÇAMENTO!$AF$7)/$H270*OFFSET(ORÇAMENTO!$X$15,ROW(AP270)-ROW(AP$15),0),0)</f>
        <v>0</v>
      </c>
      <c r="AQ270" s="632">
        <f ca="1">IF(AND($D270="Serviço",AQ$12&lt;&gt;0,$H270&gt;0,OR(AUTOEVENTO&lt;&gt;"manual",$M270&lt;&gt;1)),ROUND(OFFSET($P270,0,AQ$13),15-13*ORÇAMENTO!$AF$7)/$H270*OFFSET(ORÇAMENTO!$X$15,ROW(AQ270)-ROW(AQ$15),0),0)</f>
        <v>0</v>
      </c>
      <c r="AR270" s="632">
        <f ca="1">IF(AND($D270="Serviço",AR$12&lt;&gt;0,$H270&gt;0,OR(AUTOEVENTO&lt;&gt;"manual",$M270&lt;&gt;1)),ROUND(OFFSET($P270,0,AR$13),15-13*ORÇAMENTO!$AF$7)/$H270*OFFSET(ORÇAMENTO!$X$15,ROW(AR270)-ROW(AR$15),0),0)</f>
        <v>0</v>
      </c>
      <c r="AS270" s="633">
        <f ca="1">IF(AND($D270="Serviço",AS$12&lt;&gt;0,$H270&gt;0,OR(AUTOEVENTO&lt;&gt;"manual",$M270&lt;&gt;1)),ROUND(OFFSET($P270,0,AS$13),15-13*ORÇAMENTO!$AF$7)/$H270*OFFSET(ORÇAMENTO!$X$15,ROW(AS270)-ROW(AS$15),0),0)</f>
        <v>0</v>
      </c>
      <c r="AT270" s="632">
        <f ca="1">IF(AND($D270="Serviço",AT$12&lt;&gt;0,$H270&gt;0,OR(AUTOEVENTO&lt;&gt;"manual",$M270&lt;&gt;1)),ROUND(OFFSET($P270,0,AT$13),15-13*ORÇAMENTO!$AF$7)/$H270*OFFSET(ORÇAMENTO!$X$15,ROW(AT270)-ROW(AT$15),0),0)</f>
        <v>0</v>
      </c>
      <c r="AU270" s="632">
        <f ca="1">IF(AND($D270="Serviço",AU$12&lt;&gt;0,$H270&gt;0,OR(AUTOEVENTO&lt;&gt;"manual",$M270&lt;&gt;1)),ROUND(OFFSET($P270,0,AU$13),15-13*ORÇAMENTO!$AF$7)/$H270*OFFSET(ORÇAMENTO!$X$15,ROW(AU270)-ROW(AU$15),0),0)</f>
        <v>0</v>
      </c>
      <c r="AV270" s="632">
        <f ca="1">IF(AND($D270="Serviço",AV$12&lt;&gt;0,$H270&gt;0,OR(AUTOEVENTO&lt;&gt;"manual",$M270&lt;&gt;1)),ROUND(OFFSET($P270,0,AV$13),15-13*ORÇAMENTO!$AF$7)/$H270*OFFSET(ORÇAMENTO!$X$15,ROW(AV270)-ROW(AV$15),0),0)</f>
        <v>0</v>
      </c>
      <c r="AW270" s="632">
        <f ca="1">IF(AND($D270="Serviço",AW$12&lt;&gt;0,$H270&gt;0,OR(AUTOEVENTO&lt;&gt;"manual",$M270&lt;&gt;1)),ROUND(OFFSET($P270,0,AW$13),15-13*ORÇAMENTO!$AF$7)/$H270*OFFSET(ORÇAMENTO!$X$15,ROW(AW270)-ROW(AW$15),0),0)</f>
        <v>0</v>
      </c>
      <c r="AX270" s="632">
        <f ca="1">IF(AND($D270="Serviço",AX$12&lt;&gt;0,$H270&gt;0,OR(AUTOEVENTO&lt;&gt;"manual",$M270&lt;&gt;1)),ROUND(OFFSET($P270,0,AX$13),15-13*ORÇAMENTO!$AF$7)/$H270*OFFSET(ORÇAMENTO!$X$15,ROW(AX270)-ROW(AX$15),0),0)</f>
        <v>0</v>
      </c>
      <c r="AY270" s="632">
        <f ca="1">IF(AND($D270="Serviço",AY$12&lt;&gt;0,$H270&gt;0,OR(AUTOEVENTO&lt;&gt;"manual",$M270&lt;&gt;1)),ROUND(OFFSET($P270,0,AY$13),15-13*ORÇAMENTO!$AF$7)/$H270*OFFSET(ORÇAMENTO!$X$15,ROW(AY270)-ROW(AY$15),0),0)</f>
        <v>0</v>
      </c>
      <c r="AZ270" s="632">
        <f ca="1">IF(AND($D270="Serviço",AZ$12&lt;&gt;0,$H270&gt;0,OR(AUTOEVENTO&lt;&gt;"manual",$M270&lt;&gt;1)),ROUND(OFFSET($P270,0,AZ$13),15-13*ORÇAMENTO!$AF$7)/$H270*OFFSET(ORÇAMENTO!$X$15,ROW(AZ270)-ROW(AZ$15),0),0)</f>
        <v>0</v>
      </c>
      <c r="BA270" s="633">
        <f ca="1">IF(AND($D270="Serviço",BA$12&lt;&gt;0,$H270&gt;0,OR(AUTOEVENTO&lt;&gt;"manual",$M270&lt;&gt;1)),ROUND(OFFSET($P270,0,BA$13),15-13*ORÇAMENTO!$AF$7)/$H270*OFFSET(ORÇAMENTO!$X$15,ROW(BA270)-ROW(BA$15),0),0)</f>
        <v>0</v>
      </c>
      <c r="BC270" s="215">
        <f ca="1">IF($D270&lt;&gt;"Serviço",0,IF(AND(AUTOEVENTO="Manual",$M270=1),0,IF(OFFSET(CRONOPLE!$F$14,$M270,BC$13)="",10^12,OFFSET(CRONOPLE!$F$14,$M270,BC$13))))</f>
        <v>1000000000000</v>
      </c>
      <c r="BD270" s="215">
        <f ca="1">IF($D270&lt;&gt;"Serviço",0,IF(AND(AUTOEVENTO="Manual",$M270=1),0,IF(OFFSET(CRONOPLE!$F$14,$M270,BD$13)="",10^12,OFFSET(CRONOPLE!$F$14,$M270,BD$13))))</f>
        <v>1000000000000</v>
      </c>
      <c r="BE270" s="215">
        <f ca="1">IF($D270&lt;&gt;"Serviço",0,IF(AND(AUTOEVENTO="Manual",$M270=1),0,IF(OFFSET(CRONOPLE!$F$14,$M270,BE$13)="",10^12,OFFSET(CRONOPLE!$F$14,$M270,BE$13))))</f>
        <v>1000000000000</v>
      </c>
      <c r="BF270" s="215">
        <f ca="1">IF($D270&lt;&gt;"Serviço",0,IF(AND(AUTOEVENTO="Manual",$M270=1),0,IF(OFFSET(CRONOPLE!$F$14,$M270,BF$13)="",10^12,OFFSET(CRONOPLE!$F$14,$M270,BF$13))))</f>
        <v>1000000000000</v>
      </c>
      <c r="BG270" s="215">
        <f ca="1">IF($D270&lt;&gt;"Serviço",0,IF(AND(AUTOEVENTO="Manual",$M270=1),0,IF(OFFSET(CRONOPLE!$F$14,$M270,BG$13)="",10^12,OFFSET(CRONOPLE!$F$14,$M270,BG$13))))</f>
        <v>1000000000000</v>
      </c>
      <c r="BH270" s="215">
        <f ca="1">IF($D270&lt;&gt;"Serviço",0,IF(AND(AUTOEVENTO="Manual",$M270=1),0,IF(OFFSET(CRONOPLE!$F$14,$M270,BH$13)="",10^12,OFFSET(CRONOPLE!$F$14,$M270,BH$13))))</f>
        <v>1000000000000</v>
      </c>
      <c r="BI270" s="215">
        <f ca="1">IF($D270&lt;&gt;"Serviço",0,IF(AND(AUTOEVENTO="Manual",$M270=1),0,IF(OFFSET(CRONOPLE!$F$14,$M270,BI$13)="",10^12,OFFSET(CRONOPLE!$F$14,$M270,BI$13))))</f>
        <v>1000000000000</v>
      </c>
      <c r="BJ270" s="215">
        <f ca="1">IF($D270&lt;&gt;"Serviço",0,IF(AND(AUTOEVENTO="Manual",$M270=1),0,IF(OFFSET(CRONOPLE!$F$14,$M270,BJ$13)="",10^12,OFFSET(CRONOPLE!$F$14,$M270,BJ$13))))</f>
        <v>1000000000000</v>
      </c>
      <c r="BK270" s="215">
        <f ca="1">IF($D270&lt;&gt;"Serviço",0,IF(AND(AUTOEVENTO="Manual",$M270=1),0,IF(OFFSET(CRONOPLE!$F$14,$M270,BK$13)="",10^12,OFFSET(CRONOPLE!$F$14,$M270,BK$13))))</f>
        <v>1000000000000</v>
      </c>
      <c r="BL270" s="215">
        <f ca="1">IF($D270&lt;&gt;"Serviço",0,IF(AND(AUTOEVENTO="Manual",$M270=1),0,IF(OFFSET(CRONOPLE!$F$14,$M270,BL$13)="",10^12,OFFSET(CRONOPLE!$F$14,$M270,BL$13))))</f>
        <v>1000000000000</v>
      </c>
      <c r="BM270" s="215">
        <f ca="1">IF($D270&lt;&gt;"Serviço",0,IF(AND(AUTOEVENTO="Manual",$M270=1),0,IF(OFFSET(CRONOPLE!$F$14,$M270,BM$13)="",10^12,OFFSET(CRONOPLE!$F$14,$M270,BM$13))))</f>
        <v>1000000000000</v>
      </c>
      <c r="BN270" s="215">
        <f ca="1">IF($D270&lt;&gt;"Serviço",0,IF(AND(AUTOEVENTO="Manual",$M270=1),0,IF(OFFSET(CRONOPLE!$F$14,$M270,BN$13)="",10^12,OFFSET(CRONOPLE!$F$14,$M270,BN$13))))</f>
        <v>1000000000000</v>
      </c>
      <c r="BO270" s="215">
        <f ca="1">IF($D270&lt;&gt;"Serviço",0,IF(AND(AUTOEVENTO="Manual",$M270=1),0,IF(OFFSET(CRONOPLE!$F$14,$M270,BO$13)="",10^12,OFFSET(CRONOPLE!$F$14,$M270,BO$13))))</f>
        <v>1000000000000</v>
      </c>
      <c r="BP270" s="215">
        <f ca="1">IF($D270&lt;&gt;"Serviço",0,IF(AND(AUTOEVENTO="Manual",$M270=1),0,IF(OFFSET(CRONOPLE!$F$14,$M270,BP$13)="",10^12,OFFSET(CRONOPLE!$F$14,$M270,BP$13))))</f>
        <v>1000000000000</v>
      </c>
      <c r="BQ270" s="215">
        <f ca="1">IF($D270&lt;&gt;"Serviço",0,IF(AND(AUTOEVENTO="Manual",$M270=1),0,IF(OFFSET(CRONOPLE!$F$14,$M270,BQ$13)="",10^12,OFFSET(CRONOPLE!$F$14,$M270,BQ$13))))</f>
        <v>1000000000000</v>
      </c>
      <c r="BR270" s="215">
        <f ca="1">IF($D270&lt;&gt;"Serviço",0,IF(AND(AUTOEVENTO="Manual",$M270=1),0,IF(OFFSET(CRONOPLE!$F$14,$M270,BR$13)="",10^12,OFFSET(CRONOPLE!$F$14,$M270,BR$13))))</f>
        <v>1000000000000</v>
      </c>
      <c r="BS270" s="215">
        <f ca="1">IF($D270&lt;&gt;"Serviço",0,IF(AND(AUTOEVENTO="Manual",$M270=1),0,IF(OFFSET(CRONOPLE!$F$14,$M270,BS$13)="",10^12,OFFSET(CRONOPLE!$F$14,$M270,BS$13))))</f>
        <v>1000000000000</v>
      </c>
      <c r="BT270" s="215">
        <f ca="1">IF($D270&lt;&gt;"Serviço",0,IF(AND(AUTOEVENTO="Manual",$M270=1),0,IF(OFFSET(CRONOPLE!$F$14,$M270,BT$13)="",10^12,OFFSET(CRONOPLE!$F$14,$M270,BT$13))))</f>
        <v>1000000000000</v>
      </c>
      <c r="BV270" s="216">
        <f ca="1">IF($D270&lt;&gt;"Serviço",0,IF(OR(AND(AUTOEVENTO="Manual",$M270=1),$M270&gt;(ROW(PLE.lastrow)-ROW(PLE.firstrow))),0,IF(OFFSET(PLE!$G$14,$M270,BV$13)="",10^12,OFFSET(PLE!$G$14,$M270,BV$13))))</f>
        <v>1000000000000</v>
      </c>
      <c r="BW270" s="216">
        <f ca="1">IF($D270&lt;&gt;"Serviço",0,IF(OR(AND(AUTOEVENTO="Manual",$M270=1),$M270&gt;(ROW(PLE.lastrow)-ROW(PLE.firstrow))),0,IF(OFFSET(PLE!$G$14,$M270,BW$13)="",10^12,OFFSET(PLE!$G$14,$M270,BW$13))))</f>
        <v>1000000000000</v>
      </c>
      <c r="BX270" s="216">
        <f ca="1">IF($D270&lt;&gt;"Serviço",0,IF(OR(AND(AUTOEVENTO="Manual",$M270=1),$M270&gt;(ROW(PLE.lastrow)-ROW(PLE.firstrow))),0,IF(OFFSET(PLE!$G$14,$M270,BX$13)="",10^12,OFFSET(PLE!$G$14,$M270,BX$13))))</f>
        <v>1000000000000</v>
      </c>
      <c r="BY270" s="216">
        <f ca="1">IF($D270&lt;&gt;"Serviço",0,IF(OR(AND(AUTOEVENTO="Manual",$M270=1),$M270&gt;(ROW(PLE.lastrow)-ROW(PLE.firstrow))),0,IF(OFFSET(PLE!$G$14,$M270,BY$13)="",10^12,OFFSET(PLE!$G$14,$M270,BY$13))))</f>
        <v>1000000000000</v>
      </c>
      <c r="BZ270" s="216">
        <f ca="1">IF($D270&lt;&gt;"Serviço",0,IF(OR(AND(AUTOEVENTO="Manual",$M270=1),$M270&gt;(ROW(PLE.lastrow)-ROW(PLE.firstrow))),0,IF(OFFSET(PLE!$G$14,$M270,BZ$13)="",10^12,OFFSET(PLE!$G$14,$M270,BZ$13))))</f>
        <v>1000000000000</v>
      </c>
      <c r="CA270" s="216">
        <f ca="1">IF($D270&lt;&gt;"Serviço",0,IF(OR(AND(AUTOEVENTO="Manual",$M270=1),$M270&gt;(ROW(PLE.lastrow)-ROW(PLE.firstrow))),0,IF(OFFSET(PLE!$G$14,$M270,CA$13)="",10^12,OFFSET(PLE!$G$14,$M270,CA$13))))</f>
        <v>1000000000000</v>
      </c>
      <c r="CB270" s="216">
        <f ca="1">IF($D270&lt;&gt;"Serviço",0,IF(OR(AND(AUTOEVENTO="Manual",$M270=1),$M270&gt;(ROW(PLE.lastrow)-ROW(PLE.firstrow))),0,IF(OFFSET(PLE!$G$14,$M270,CB$13)="",10^12,OFFSET(PLE!$G$14,$M270,CB$13))))</f>
        <v>1000000000000</v>
      </c>
      <c r="CC270" s="216">
        <f ca="1">IF($D270&lt;&gt;"Serviço",0,IF(OR(AND(AUTOEVENTO="Manual",$M270=1),$M270&gt;(ROW(PLE.lastrow)-ROW(PLE.firstrow))),0,IF(OFFSET(PLE!$G$14,$M270,CC$13)="",10^12,OFFSET(PLE!$G$14,$M270,CC$13))))</f>
        <v>1000000000000</v>
      </c>
      <c r="CD270" s="216">
        <f ca="1">IF($D270&lt;&gt;"Serviço",0,IF(OR(AND(AUTOEVENTO="Manual",$M270=1),$M270&gt;(ROW(PLE.lastrow)-ROW(PLE.firstrow))),0,IF(OFFSET(PLE!$G$14,$M270,CD$13)="",10^12,OFFSET(PLE!$G$14,$M270,CD$13))))</f>
        <v>1000000000000</v>
      </c>
      <c r="CE270" s="216">
        <f ca="1">IF($D270&lt;&gt;"Serviço",0,IF(OR(AND(AUTOEVENTO="Manual",$M270=1),$M270&gt;(ROW(PLE.lastrow)-ROW(PLE.firstrow))),0,IF(OFFSET(PLE!$G$14,$M270,CE$13)="",10^12,OFFSET(PLE!$G$14,$M270,CE$13))))</f>
        <v>1000000000000</v>
      </c>
      <c r="CF270" s="216">
        <f ca="1">IF($D270&lt;&gt;"Serviço",0,IF(OR(AND(AUTOEVENTO="Manual",$M270=1),$M270&gt;(ROW(PLE.lastrow)-ROW(PLE.firstrow))),0,IF(OFFSET(PLE!$G$14,$M270,CF$13)="",10^12,OFFSET(PLE!$G$14,$M270,CF$13))))</f>
        <v>1000000000000</v>
      </c>
      <c r="CG270" s="216">
        <f ca="1">IF($D270&lt;&gt;"Serviço",0,IF(OR(AND(AUTOEVENTO="Manual",$M270=1),$M270&gt;(ROW(PLE.lastrow)-ROW(PLE.firstrow))),0,IF(OFFSET(PLE!$G$14,$M270,CG$13)="",10^12,OFFSET(PLE!$G$14,$M270,CG$13))))</f>
        <v>1000000000000</v>
      </c>
      <c r="CH270" s="216">
        <f ca="1">IF($D270&lt;&gt;"Serviço",0,IF(OR(AND(AUTOEVENTO="Manual",$M270=1),$M270&gt;(ROW(PLE.lastrow)-ROW(PLE.firstrow))),0,IF(OFFSET(PLE!$G$14,$M270,CH$13)="",10^12,OFFSET(PLE!$G$14,$M270,CH$13))))</f>
        <v>1000000000000</v>
      </c>
      <c r="CI270" s="216">
        <f ca="1">IF($D270&lt;&gt;"Serviço",0,IF(OR(AND(AUTOEVENTO="Manual",$M270=1),$M270&gt;(ROW(PLE.lastrow)-ROW(PLE.firstrow))),0,IF(OFFSET(PLE!$G$14,$M270,CI$13)="",10^12,OFFSET(PLE!$G$14,$M270,CI$13))))</f>
        <v>1000000000000</v>
      </c>
      <c r="CJ270" s="216">
        <f ca="1">IF($D270&lt;&gt;"Serviço",0,IF(OR(AND(AUTOEVENTO="Manual",$M270=1),$M270&gt;(ROW(PLE.lastrow)-ROW(PLE.firstrow))),0,IF(OFFSET(PLE!$G$14,$M270,CJ$13)="",10^12,OFFSET(PLE!$G$14,$M270,CJ$13))))</f>
        <v>1000000000000</v>
      </c>
      <c r="CK270" s="216">
        <f ca="1">IF($D270&lt;&gt;"Serviço",0,IF(OR(AND(AUTOEVENTO="Manual",$M270=1),$M270&gt;(ROW(PLE.lastrow)-ROW(PLE.firstrow))),0,IF(OFFSET(PLE!$G$14,$M270,CK$13)="",10^12,OFFSET(PLE!$G$14,$M270,CK$13))))</f>
        <v>1000000000000</v>
      </c>
      <c r="CL270" s="216">
        <f ca="1">IF($D270&lt;&gt;"Serviço",0,IF(OR(AND(AUTOEVENTO="Manual",$M270=1),$M270&gt;(ROW(PLE.lastrow)-ROW(PLE.firstrow))),0,IF(OFFSET(PLE!$G$14,$M270,CL$13)="",10^12,OFFSET(PLE!$G$14,$M270,CL$13))))</f>
        <v>1000000000000</v>
      </c>
      <c r="CM270" s="216">
        <f ca="1">IF($D270&lt;&gt;"Serviço",0,IF(OR(AND(AUTOEVENTO="Manual",$M270=1),$M270&gt;(ROW(PLE.lastrow)-ROW(PLE.firstrow))),0,IF(OFFSET(PLE!$G$14,$M270,CM$13)="",10^12,OFFSET(PLE!$G$14,$M270,CM$13))))</f>
        <v>1000000000000</v>
      </c>
    </row>
    <row r="271" spans="1:91" ht="13.2" x14ac:dyDescent="0.25">
      <c r="A271" s="9">
        <f t="shared" ref="A271:A330" ca="1" si="13">IF(AUTOEVENTO="Manual",IF(K271&lt;&gt;"",MIN(VALUE(LEFT(K271,FIND(".",K271)-1)),COUNTA(EVENTOS.Lista)),0),IF(OR($B271&gt;AUTOEVENTO,$B271="S",$B271=0),SUBSTITUTE(OFFSET($A271,-1,0),IF($D271="Serviço",".",""),""),ROW(A271)-ROW($A$15)&amp;"."))</f>
        <v>0</v>
      </c>
      <c r="B271" s="9" t="str">
        <f ca="1">OFFSET(ORÇAMENTO!C$15,ROW(B271)-ROW(B$15),0)</f>
        <v>S</v>
      </c>
      <c r="C271" s="9" t="str">
        <f ca="1">OFFSET(ORÇAMENTO!L$15,ROW(C271)-ROW(C$15),0)</f>
        <v/>
      </c>
      <c r="D271" s="145" t="str">
        <f ca="1">OFFSET(ORÇAMENTO!N$15,ROW(D271)-ROW(D$15),0)</f>
        <v>Serviço</v>
      </c>
      <c r="E271" s="205" t="str">
        <f ca="1">OFFSET(ORÇAMENTO!O$15,ROW(E271)-ROW(E$15),0)</f>
        <v>-</v>
      </c>
      <c r="F271" s="206" t="str">
        <f ca="1">OFFSET(ORÇAMENTO!R$15,ROW(F271)-ROW(F$15),0)</f>
        <v>(abra o arquivo 'Referência 05-2024.xls)</v>
      </c>
      <c r="G271" s="207" t="str">
        <f ca="1">IF($D271&lt;&gt;"Serviço","",OFFSET(ORÇAMENTO!S$15,ROW(G271)-ROW(G$15),0))</f>
        <v>-</v>
      </c>
      <c r="H271" s="151">
        <f ca="1">IF($D271&lt;&gt;"Serviço",0,IF(ACOMPANHAMENTO="BM",ROUND(OFFSET(ORÇAMENTO!AJ$15,ROW(H271)-ROW(H$15),0),15-13*ORÇAMENTO!$AF$7),SUMPRODUCT(($Q$12:$AI$12&lt;&gt;"")*ROUND($Q271:$AI271,15-13*ORÇAMENTO!$AF$7))))</f>
        <v>156.84</v>
      </c>
      <c r="I271" s="650"/>
      <c r="K271" s="208"/>
      <c r="L271" s="209" t="s">
        <v>257</v>
      </c>
      <c r="M271" s="210">
        <f ca="1">IF($D271&lt;&gt;"Serviço","",IF(AUTOEVENTO="manual",$A271,IF(ISERROR(MATCH($A271,$A$15:OFFSET($A271,-1,0),0)),MAX($M$15:OFFSET(M271,-1,0))+1,INDEX($M$15:OFFSET(M271,-1,0),MATCH($A271,$A$15:OFFSET($A271,-1,0),0)))))</f>
        <v>0</v>
      </c>
      <c r="N271" s="211" t="str">
        <f ca="1">IF($D271&lt;&gt;"Serviço","",IF(AUTOEVENTO="Manual",IF($A271=0,"&lt;-- defina o número do agrupador",OFFSET(EVENTOS!$D$14,$A271,0)),OFFSET($F$15,$A271,0)))</f>
        <v>&lt;-- defina o número do agrupador</v>
      </c>
      <c r="O271" s="212"/>
      <c r="Q271" s="212"/>
      <c r="R271" s="213"/>
      <c r="S271" s="213"/>
      <c r="T271" s="213"/>
      <c r="U271" s="213"/>
      <c r="V271" s="213"/>
      <c r="W271" s="213"/>
      <c r="X271" s="213"/>
      <c r="Y271" s="213"/>
      <c r="Z271" s="214"/>
      <c r="AA271" s="213"/>
      <c r="AB271" s="213"/>
      <c r="AC271" s="213"/>
      <c r="AD271" s="213"/>
      <c r="AE271" s="213"/>
      <c r="AF271" s="213"/>
      <c r="AG271" s="213"/>
      <c r="AH271" s="214"/>
      <c r="AJ271" s="631">
        <f ca="1">IF(AND($D271="Serviço",AJ$12&lt;&gt;0,$H271&gt;0,OR(AUTOEVENTO&lt;&gt;"manual",$M271&lt;&gt;1)),ROUND(OFFSET($P271,0,AJ$13),15-13*ORÇAMENTO!$AF$7)/$H271*OFFSET(ORÇAMENTO!$X$15,ROW(AJ271)-ROW(AJ$15),0),0)</f>
        <v>0</v>
      </c>
      <c r="AK271" s="632">
        <f ca="1">IF(AND($D271="Serviço",AK$12&lt;&gt;0,$H271&gt;0,OR(AUTOEVENTO&lt;&gt;"manual",$M271&lt;&gt;1)),ROUND(OFFSET($P271,0,AK$13),15-13*ORÇAMENTO!$AF$7)/$H271*OFFSET(ORÇAMENTO!$X$15,ROW(AK271)-ROW(AK$15),0),0)</f>
        <v>0</v>
      </c>
      <c r="AL271" s="632">
        <f ca="1">IF(AND($D271="Serviço",AL$12&lt;&gt;0,$H271&gt;0,OR(AUTOEVENTO&lt;&gt;"manual",$M271&lt;&gt;1)),ROUND(OFFSET($P271,0,AL$13),15-13*ORÇAMENTO!$AF$7)/$H271*OFFSET(ORÇAMENTO!$X$15,ROW(AL271)-ROW(AL$15),0),0)</f>
        <v>0</v>
      </c>
      <c r="AM271" s="632">
        <f ca="1">IF(AND($D271="Serviço",AM$12&lt;&gt;0,$H271&gt;0,OR(AUTOEVENTO&lt;&gt;"manual",$M271&lt;&gt;1)),ROUND(OFFSET($P271,0,AM$13),15-13*ORÇAMENTO!$AF$7)/$H271*OFFSET(ORÇAMENTO!$X$15,ROW(AM271)-ROW(AM$15),0),0)</f>
        <v>0</v>
      </c>
      <c r="AN271" s="632">
        <f ca="1">IF(AND($D271="Serviço",AN$12&lt;&gt;0,$H271&gt;0,OR(AUTOEVENTO&lt;&gt;"manual",$M271&lt;&gt;1)),ROUND(OFFSET($P271,0,AN$13),15-13*ORÇAMENTO!$AF$7)/$H271*OFFSET(ORÇAMENTO!$X$15,ROW(AN271)-ROW(AN$15),0),0)</f>
        <v>0</v>
      </c>
      <c r="AO271" s="632">
        <f ca="1">IF(AND($D271="Serviço",AO$12&lt;&gt;0,$H271&gt;0,OR(AUTOEVENTO&lt;&gt;"manual",$M271&lt;&gt;1)),ROUND(OFFSET($P271,0,AO$13),15-13*ORÇAMENTO!$AF$7)/$H271*OFFSET(ORÇAMENTO!$X$15,ROW(AO271)-ROW(AO$15),0),0)</f>
        <v>0</v>
      </c>
      <c r="AP271" s="632">
        <f ca="1">IF(AND($D271="Serviço",AP$12&lt;&gt;0,$H271&gt;0,OR(AUTOEVENTO&lt;&gt;"manual",$M271&lt;&gt;1)),ROUND(OFFSET($P271,0,AP$13),15-13*ORÇAMENTO!$AF$7)/$H271*OFFSET(ORÇAMENTO!$X$15,ROW(AP271)-ROW(AP$15),0),0)</f>
        <v>0</v>
      </c>
      <c r="AQ271" s="632">
        <f ca="1">IF(AND($D271="Serviço",AQ$12&lt;&gt;0,$H271&gt;0,OR(AUTOEVENTO&lt;&gt;"manual",$M271&lt;&gt;1)),ROUND(OFFSET($P271,0,AQ$13),15-13*ORÇAMENTO!$AF$7)/$H271*OFFSET(ORÇAMENTO!$X$15,ROW(AQ271)-ROW(AQ$15),0),0)</f>
        <v>0</v>
      </c>
      <c r="AR271" s="632">
        <f ca="1">IF(AND($D271="Serviço",AR$12&lt;&gt;0,$H271&gt;0,OR(AUTOEVENTO&lt;&gt;"manual",$M271&lt;&gt;1)),ROUND(OFFSET($P271,0,AR$13),15-13*ORÇAMENTO!$AF$7)/$H271*OFFSET(ORÇAMENTO!$X$15,ROW(AR271)-ROW(AR$15),0),0)</f>
        <v>0</v>
      </c>
      <c r="AS271" s="633">
        <f ca="1">IF(AND($D271="Serviço",AS$12&lt;&gt;0,$H271&gt;0,OR(AUTOEVENTO&lt;&gt;"manual",$M271&lt;&gt;1)),ROUND(OFFSET($P271,0,AS$13),15-13*ORÇAMENTO!$AF$7)/$H271*OFFSET(ORÇAMENTO!$X$15,ROW(AS271)-ROW(AS$15),0),0)</f>
        <v>0</v>
      </c>
      <c r="AT271" s="632">
        <f ca="1">IF(AND($D271="Serviço",AT$12&lt;&gt;0,$H271&gt;0,OR(AUTOEVENTO&lt;&gt;"manual",$M271&lt;&gt;1)),ROUND(OFFSET($P271,0,AT$13),15-13*ORÇAMENTO!$AF$7)/$H271*OFFSET(ORÇAMENTO!$X$15,ROW(AT271)-ROW(AT$15),0),0)</f>
        <v>0</v>
      </c>
      <c r="AU271" s="632">
        <f ca="1">IF(AND($D271="Serviço",AU$12&lt;&gt;0,$H271&gt;0,OR(AUTOEVENTO&lt;&gt;"manual",$M271&lt;&gt;1)),ROUND(OFFSET($P271,0,AU$13),15-13*ORÇAMENTO!$AF$7)/$H271*OFFSET(ORÇAMENTO!$X$15,ROW(AU271)-ROW(AU$15),0),0)</f>
        <v>0</v>
      </c>
      <c r="AV271" s="632">
        <f ca="1">IF(AND($D271="Serviço",AV$12&lt;&gt;0,$H271&gt;0,OR(AUTOEVENTO&lt;&gt;"manual",$M271&lt;&gt;1)),ROUND(OFFSET($P271,0,AV$13),15-13*ORÇAMENTO!$AF$7)/$H271*OFFSET(ORÇAMENTO!$X$15,ROW(AV271)-ROW(AV$15),0),0)</f>
        <v>0</v>
      </c>
      <c r="AW271" s="632">
        <f ca="1">IF(AND($D271="Serviço",AW$12&lt;&gt;0,$H271&gt;0,OR(AUTOEVENTO&lt;&gt;"manual",$M271&lt;&gt;1)),ROUND(OFFSET($P271,0,AW$13),15-13*ORÇAMENTO!$AF$7)/$H271*OFFSET(ORÇAMENTO!$X$15,ROW(AW271)-ROW(AW$15),0),0)</f>
        <v>0</v>
      </c>
      <c r="AX271" s="632">
        <f ca="1">IF(AND($D271="Serviço",AX$12&lt;&gt;0,$H271&gt;0,OR(AUTOEVENTO&lt;&gt;"manual",$M271&lt;&gt;1)),ROUND(OFFSET($P271,0,AX$13),15-13*ORÇAMENTO!$AF$7)/$H271*OFFSET(ORÇAMENTO!$X$15,ROW(AX271)-ROW(AX$15),0),0)</f>
        <v>0</v>
      </c>
      <c r="AY271" s="632">
        <f ca="1">IF(AND($D271="Serviço",AY$12&lt;&gt;0,$H271&gt;0,OR(AUTOEVENTO&lt;&gt;"manual",$M271&lt;&gt;1)),ROUND(OFFSET($P271,0,AY$13),15-13*ORÇAMENTO!$AF$7)/$H271*OFFSET(ORÇAMENTO!$X$15,ROW(AY271)-ROW(AY$15),0),0)</f>
        <v>0</v>
      </c>
      <c r="AZ271" s="632">
        <f ca="1">IF(AND($D271="Serviço",AZ$12&lt;&gt;0,$H271&gt;0,OR(AUTOEVENTO&lt;&gt;"manual",$M271&lt;&gt;1)),ROUND(OFFSET($P271,0,AZ$13),15-13*ORÇAMENTO!$AF$7)/$H271*OFFSET(ORÇAMENTO!$X$15,ROW(AZ271)-ROW(AZ$15),0),0)</f>
        <v>0</v>
      </c>
      <c r="BA271" s="633">
        <f ca="1">IF(AND($D271="Serviço",BA$12&lt;&gt;0,$H271&gt;0,OR(AUTOEVENTO&lt;&gt;"manual",$M271&lt;&gt;1)),ROUND(OFFSET($P271,0,BA$13),15-13*ORÇAMENTO!$AF$7)/$H271*OFFSET(ORÇAMENTO!$X$15,ROW(BA271)-ROW(BA$15),0),0)</f>
        <v>0</v>
      </c>
      <c r="BC271" s="215">
        <f ca="1">IF($D271&lt;&gt;"Serviço",0,IF(AND(AUTOEVENTO="Manual",$M271=1),0,IF(OFFSET(CRONOPLE!$F$14,$M271,BC$13)="",10^12,OFFSET(CRONOPLE!$F$14,$M271,BC$13))))</f>
        <v>1000000000000</v>
      </c>
      <c r="BD271" s="215">
        <f ca="1">IF($D271&lt;&gt;"Serviço",0,IF(AND(AUTOEVENTO="Manual",$M271=1),0,IF(OFFSET(CRONOPLE!$F$14,$M271,BD$13)="",10^12,OFFSET(CRONOPLE!$F$14,$M271,BD$13))))</f>
        <v>1000000000000</v>
      </c>
      <c r="BE271" s="215">
        <f ca="1">IF($D271&lt;&gt;"Serviço",0,IF(AND(AUTOEVENTO="Manual",$M271=1),0,IF(OFFSET(CRONOPLE!$F$14,$M271,BE$13)="",10^12,OFFSET(CRONOPLE!$F$14,$M271,BE$13))))</f>
        <v>1000000000000</v>
      </c>
      <c r="BF271" s="215">
        <f ca="1">IF($D271&lt;&gt;"Serviço",0,IF(AND(AUTOEVENTO="Manual",$M271=1),0,IF(OFFSET(CRONOPLE!$F$14,$M271,BF$13)="",10^12,OFFSET(CRONOPLE!$F$14,$M271,BF$13))))</f>
        <v>1000000000000</v>
      </c>
      <c r="BG271" s="215">
        <f ca="1">IF($D271&lt;&gt;"Serviço",0,IF(AND(AUTOEVENTO="Manual",$M271=1),0,IF(OFFSET(CRONOPLE!$F$14,$M271,BG$13)="",10^12,OFFSET(CRONOPLE!$F$14,$M271,BG$13))))</f>
        <v>1000000000000</v>
      </c>
      <c r="BH271" s="215">
        <f ca="1">IF($D271&lt;&gt;"Serviço",0,IF(AND(AUTOEVENTO="Manual",$M271=1),0,IF(OFFSET(CRONOPLE!$F$14,$M271,BH$13)="",10^12,OFFSET(CRONOPLE!$F$14,$M271,BH$13))))</f>
        <v>1000000000000</v>
      </c>
      <c r="BI271" s="215">
        <f ca="1">IF($D271&lt;&gt;"Serviço",0,IF(AND(AUTOEVENTO="Manual",$M271=1),0,IF(OFFSET(CRONOPLE!$F$14,$M271,BI$13)="",10^12,OFFSET(CRONOPLE!$F$14,$M271,BI$13))))</f>
        <v>1000000000000</v>
      </c>
      <c r="BJ271" s="215">
        <f ca="1">IF($D271&lt;&gt;"Serviço",0,IF(AND(AUTOEVENTO="Manual",$M271=1),0,IF(OFFSET(CRONOPLE!$F$14,$M271,BJ$13)="",10^12,OFFSET(CRONOPLE!$F$14,$M271,BJ$13))))</f>
        <v>1000000000000</v>
      </c>
      <c r="BK271" s="215">
        <f ca="1">IF($D271&lt;&gt;"Serviço",0,IF(AND(AUTOEVENTO="Manual",$M271=1),0,IF(OFFSET(CRONOPLE!$F$14,$M271,BK$13)="",10^12,OFFSET(CRONOPLE!$F$14,$M271,BK$13))))</f>
        <v>1000000000000</v>
      </c>
      <c r="BL271" s="215">
        <f ca="1">IF($D271&lt;&gt;"Serviço",0,IF(AND(AUTOEVENTO="Manual",$M271=1),0,IF(OFFSET(CRONOPLE!$F$14,$M271,BL$13)="",10^12,OFFSET(CRONOPLE!$F$14,$M271,BL$13))))</f>
        <v>1000000000000</v>
      </c>
      <c r="BM271" s="215">
        <f ca="1">IF($D271&lt;&gt;"Serviço",0,IF(AND(AUTOEVENTO="Manual",$M271=1),0,IF(OFFSET(CRONOPLE!$F$14,$M271,BM$13)="",10^12,OFFSET(CRONOPLE!$F$14,$M271,BM$13))))</f>
        <v>1000000000000</v>
      </c>
      <c r="BN271" s="215">
        <f ca="1">IF($D271&lt;&gt;"Serviço",0,IF(AND(AUTOEVENTO="Manual",$M271=1),0,IF(OFFSET(CRONOPLE!$F$14,$M271,BN$13)="",10^12,OFFSET(CRONOPLE!$F$14,$M271,BN$13))))</f>
        <v>1000000000000</v>
      </c>
      <c r="BO271" s="215">
        <f ca="1">IF($D271&lt;&gt;"Serviço",0,IF(AND(AUTOEVENTO="Manual",$M271=1),0,IF(OFFSET(CRONOPLE!$F$14,$M271,BO$13)="",10^12,OFFSET(CRONOPLE!$F$14,$M271,BO$13))))</f>
        <v>1000000000000</v>
      </c>
      <c r="BP271" s="215">
        <f ca="1">IF($D271&lt;&gt;"Serviço",0,IF(AND(AUTOEVENTO="Manual",$M271=1),0,IF(OFFSET(CRONOPLE!$F$14,$M271,BP$13)="",10^12,OFFSET(CRONOPLE!$F$14,$M271,BP$13))))</f>
        <v>1000000000000</v>
      </c>
      <c r="BQ271" s="215">
        <f ca="1">IF($D271&lt;&gt;"Serviço",0,IF(AND(AUTOEVENTO="Manual",$M271=1),0,IF(OFFSET(CRONOPLE!$F$14,$M271,BQ$13)="",10^12,OFFSET(CRONOPLE!$F$14,$M271,BQ$13))))</f>
        <v>1000000000000</v>
      </c>
      <c r="BR271" s="215">
        <f ca="1">IF($D271&lt;&gt;"Serviço",0,IF(AND(AUTOEVENTO="Manual",$M271=1),0,IF(OFFSET(CRONOPLE!$F$14,$M271,BR$13)="",10^12,OFFSET(CRONOPLE!$F$14,$M271,BR$13))))</f>
        <v>1000000000000</v>
      </c>
      <c r="BS271" s="215">
        <f ca="1">IF($D271&lt;&gt;"Serviço",0,IF(AND(AUTOEVENTO="Manual",$M271=1),0,IF(OFFSET(CRONOPLE!$F$14,$M271,BS$13)="",10^12,OFFSET(CRONOPLE!$F$14,$M271,BS$13))))</f>
        <v>1000000000000</v>
      </c>
      <c r="BT271" s="215">
        <f ca="1">IF($D271&lt;&gt;"Serviço",0,IF(AND(AUTOEVENTO="Manual",$M271=1),0,IF(OFFSET(CRONOPLE!$F$14,$M271,BT$13)="",10^12,OFFSET(CRONOPLE!$F$14,$M271,BT$13))))</f>
        <v>1000000000000</v>
      </c>
      <c r="BV271" s="216">
        <f ca="1">IF($D271&lt;&gt;"Serviço",0,IF(OR(AND(AUTOEVENTO="Manual",$M271=1),$M271&gt;(ROW(PLE.lastrow)-ROW(PLE.firstrow))),0,IF(OFFSET(PLE!$G$14,$M271,BV$13)="",10^12,OFFSET(PLE!$G$14,$M271,BV$13))))</f>
        <v>1000000000000</v>
      </c>
      <c r="BW271" s="216">
        <f ca="1">IF($D271&lt;&gt;"Serviço",0,IF(OR(AND(AUTOEVENTO="Manual",$M271=1),$M271&gt;(ROW(PLE.lastrow)-ROW(PLE.firstrow))),0,IF(OFFSET(PLE!$G$14,$M271,BW$13)="",10^12,OFFSET(PLE!$G$14,$M271,BW$13))))</f>
        <v>1000000000000</v>
      </c>
      <c r="BX271" s="216">
        <f ca="1">IF($D271&lt;&gt;"Serviço",0,IF(OR(AND(AUTOEVENTO="Manual",$M271=1),$M271&gt;(ROW(PLE.lastrow)-ROW(PLE.firstrow))),0,IF(OFFSET(PLE!$G$14,$M271,BX$13)="",10^12,OFFSET(PLE!$G$14,$M271,BX$13))))</f>
        <v>1000000000000</v>
      </c>
      <c r="BY271" s="216">
        <f ca="1">IF($D271&lt;&gt;"Serviço",0,IF(OR(AND(AUTOEVENTO="Manual",$M271=1),$M271&gt;(ROW(PLE.lastrow)-ROW(PLE.firstrow))),0,IF(OFFSET(PLE!$G$14,$M271,BY$13)="",10^12,OFFSET(PLE!$G$14,$M271,BY$13))))</f>
        <v>1000000000000</v>
      </c>
      <c r="BZ271" s="216">
        <f ca="1">IF($D271&lt;&gt;"Serviço",0,IF(OR(AND(AUTOEVENTO="Manual",$M271=1),$M271&gt;(ROW(PLE.lastrow)-ROW(PLE.firstrow))),0,IF(OFFSET(PLE!$G$14,$M271,BZ$13)="",10^12,OFFSET(PLE!$G$14,$M271,BZ$13))))</f>
        <v>1000000000000</v>
      </c>
      <c r="CA271" s="216">
        <f ca="1">IF($D271&lt;&gt;"Serviço",0,IF(OR(AND(AUTOEVENTO="Manual",$M271=1),$M271&gt;(ROW(PLE.lastrow)-ROW(PLE.firstrow))),0,IF(OFFSET(PLE!$G$14,$M271,CA$13)="",10^12,OFFSET(PLE!$G$14,$M271,CA$13))))</f>
        <v>1000000000000</v>
      </c>
      <c r="CB271" s="216">
        <f ca="1">IF($D271&lt;&gt;"Serviço",0,IF(OR(AND(AUTOEVENTO="Manual",$M271=1),$M271&gt;(ROW(PLE.lastrow)-ROW(PLE.firstrow))),0,IF(OFFSET(PLE!$G$14,$M271,CB$13)="",10^12,OFFSET(PLE!$G$14,$M271,CB$13))))</f>
        <v>1000000000000</v>
      </c>
      <c r="CC271" s="216">
        <f ca="1">IF($D271&lt;&gt;"Serviço",0,IF(OR(AND(AUTOEVENTO="Manual",$M271=1),$M271&gt;(ROW(PLE.lastrow)-ROW(PLE.firstrow))),0,IF(OFFSET(PLE!$G$14,$M271,CC$13)="",10^12,OFFSET(PLE!$G$14,$M271,CC$13))))</f>
        <v>1000000000000</v>
      </c>
      <c r="CD271" s="216">
        <f ca="1">IF($D271&lt;&gt;"Serviço",0,IF(OR(AND(AUTOEVENTO="Manual",$M271=1),$M271&gt;(ROW(PLE.lastrow)-ROW(PLE.firstrow))),0,IF(OFFSET(PLE!$G$14,$M271,CD$13)="",10^12,OFFSET(PLE!$G$14,$M271,CD$13))))</f>
        <v>1000000000000</v>
      </c>
      <c r="CE271" s="216">
        <f ca="1">IF($D271&lt;&gt;"Serviço",0,IF(OR(AND(AUTOEVENTO="Manual",$M271=1),$M271&gt;(ROW(PLE.lastrow)-ROW(PLE.firstrow))),0,IF(OFFSET(PLE!$G$14,$M271,CE$13)="",10^12,OFFSET(PLE!$G$14,$M271,CE$13))))</f>
        <v>1000000000000</v>
      </c>
      <c r="CF271" s="216">
        <f ca="1">IF($D271&lt;&gt;"Serviço",0,IF(OR(AND(AUTOEVENTO="Manual",$M271=1),$M271&gt;(ROW(PLE.lastrow)-ROW(PLE.firstrow))),0,IF(OFFSET(PLE!$G$14,$M271,CF$13)="",10^12,OFFSET(PLE!$G$14,$M271,CF$13))))</f>
        <v>1000000000000</v>
      </c>
      <c r="CG271" s="216">
        <f ca="1">IF($D271&lt;&gt;"Serviço",0,IF(OR(AND(AUTOEVENTO="Manual",$M271=1),$M271&gt;(ROW(PLE.lastrow)-ROW(PLE.firstrow))),0,IF(OFFSET(PLE!$G$14,$M271,CG$13)="",10^12,OFFSET(PLE!$G$14,$M271,CG$13))))</f>
        <v>1000000000000</v>
      </c>
      <c r="CH271" s="216">
        <f ca="1">IF($D271&lt;&gt;"Serviço",0,IF(OR(AND(AUTOEVENTO="Manual",$M271=1),$M271&gt;(ROW(PLE.lastrow)-ROW(PLE.firstrow))),0,IF(OFFSET(PLE!$G$14,$M271,CH$13)="",10^12,OFFSET(PLE!$G$14,$M271,CH$13))))</f>
        <v>1000000000000</v>
      </c>
      <c r="CI271" s="216">
        <f ca="1">IF($D271&lt;&gt;"Serviço",0,IF(OR(AND(AUTOEVENTO="Manual",$M271=1),$M271&gt;(ROW(PLE.lastrow)-ROW(PLE.firstrow))),0,IF(OFFSET(PLE!$G$14,$M271,CI$13)="",10^12,OFFSET(PLE!$G$14,$M271,CI$13))))</f>
        <v>1000000000000</v>
      </c>
      <c r="CJ271" s="216">
        <f ca="1">IF($D271&lt;&gt;"Serviço",0,IF(OR(AND(AUTOEVENTO="Manual",$M271=1),$M271&gt;(ROW(PLE.lastrow)-ROW(PLE.firstrow))),0,IF(OFFSET(PLE!$G$14,$M271,CJ$13)="",10^12,OFFSET(PLE!$G$14,$M271,CJ$13))))</f>
        <v>1000000000000</v>
      </c>
      <c r="CK271" s="216">
        <f ca="1">IF($D271&lt;&gt;"Serviço",0,IF(OR(AND(AUTOEVENTO="Manual",$M271=1),$M271&gt;(ROW(PLE.lastrow)-ROW(PLE.firstrow))),0,IF(OFFSET(PLE!$G$14,$M271,CK$13)="",10^12,OFFSET(PLE!$G$14,$M271,CK$13))))</f>
        <v>1000000000000</v>
      </c>
      <c r="CL271" s="216">
        <f ca="1">IF($D271&lt;&gt;"Serviço",0,IF(OR(AND(AUTOEVENTO="Manual",$M271=1),$M271&gt;(ROW(PLE.lastrow)-ROW(PLE.firstrow))),0,IF(OFFSET(PLE!$G$14,$M271,CL$13)="",10^12,OFFSET(PLE!$G$14,$M271,CL$13))))</f>
        <v>1000000000000</v>
      </c>
      <c r="CM271" s="216">
        <f ca="1">IF($D271&lt;&gt;"Serviço",0,IF(OR(AND(AUTOEVENTO="Manual",$M271=1),$M271&gt;(ROW(PLE.lastrow)-ROW(PLE.firstrow))),0,IF(OFFSET(PLE!$G$14,$M271,CM$13)="",10^12,OFFSET(PLE!$G$14,$M271,CM$13))))</f>
        <v>1000000000000</v>
      </c>
    </row>
    <row r="272" spans="1:91" ht="13.2" x14ac:dyDescent="0.25">
      <c r="A272" s="9">
        <f t="shared" ca="1" si="13"/>
        <v>0</v>
      </c>
      <c r="B272" s="9" t="str">
        <f ca="1">OFFSET(ORÇAMENTO!C$15,ROW(B272)-ROW(B$15),0)</f>
        <v>S</v>
      </c>
      <c r="C272" s="9" t="str">
        <f ca="1">OFFSET(ORÇAMENTO!L$15,ROW(C272)-ROW(C$15),0)</f>
        <v/>
      </c>
      <c r="D272" s="145" t="str">
        <f ca="1">OFFSET(ORÇAMENTO!N$15,ROW(D272)-ROW(D$15),0)</f>
        <v>Serviço</v>
      </c>
      <c r="E272" s="205" t="str">
        <f ca="1">OFFSET(ORÇAMENTO!O$15,ROW(E272)-ROW(E$15),0)</f>
        <v>-</v>
      </c>
      <c r="F272" s="206" t="str">
        <f ca="1">OFFSET(ORÇAMENTO!R$15,ROW(F272)-ROW(F$15),0)</f>
        <v>(abra o arquivo 'Referência 05-2024.xls)</v>
      </c>
      <c r="G272" s="207" t="str">
        <f ca="1">IF($D272&lt;&gt;"Serviço","",OFFSET(ORÇAMENTO!S$15,ROW(G272)-ROW(G$15),0))</f>
        <v>-</v>
      </c>
      <c r="H272" s="151">
        <f ca="1">IF($D272&lt;&gt;"Serviço",0,IF(ACOMPANHAMENTO="BM",ROUND(OFFSET(ORÇAMENTO!AJ$15,ROW(H272)-ROW(H$15),0),15-13*ORÇAMENTO!$AF$7),SUMPRODUCT(($Q$12:$AI$12&lt;&gt;"")*ROUND($Q272:$AI272,15-13*ORÇAMENTO!$AF$7))))</f>
        <v>157.84</v>
      </c>
      <c r="I272" s="650"/>
      <c r="K272" s="208"/>
      <c r="L272" s="209" t="s">
        <v>257</v>
      </c>
      <c r="M272" s="210">
        <f ca="1">IF($D272&lt;&gt;"Serviço","",IF(AUTOEVENTO="manual",$A272,IF(ISERROR(MATCH($A272,$A$15:OFFSET($A272,-1,0),0)),MAX($M$15:OFFSET(M272,-1,0))+1,INDEX($M$15:OFFSET(M272,-1,0),MATCH($A272,$A$15:OFFSET($A272,-1,0),0)))))</f>
        <v>0</v>
      </c>
      <c r="N272" s="211" t="str">
        <f ca="1">IF($D272&lt;&gt;"Serviço","",IF(AUTOEVENTO="Manual",IF($A272=0,"&lt;-- defina o número do agrupador",OFFSET(EVENTOS!$D$14,$A272,0)),OFFSET($F$15,$A272,0)))</f>
        <v>&lt;-- defina o número do agrupador</v>
      </c>
      <c r="O272" s="212"/>
      <c r="Q272" s="212"/>
      <c r="R272" s="213"/>
      <c r="S272" s="213"/>
      <c r="T272" s="213"/>
      <c r="U272" s="213"/>
      <c r="V272" s="213"/>
      <c r="W272" s="213"/>
      <c r="X272" s="213"/>
      <c r="Y272" s="213"/>
      <c r="Z272" s="214"/>
      <c r="AA272" s="213"/>
      <c r="AB272" s="213"/>
      <c r="AC272" s="213"/>
      <c r="AD272" s="213"/>
      <c r="AE272" s="213"/>
      <c r="AF272" s="213"/>
      <c r="AG272" s="213"/>
      <c r="AH272" s="214"/>
      <c r="AJ272" s="631">
        <f ca="1">IF(AND($D272="Serviço",AJ$12&lt;&gt;0,$H272&gt;0,OR(AUTOEVENTO&lt;&gt;"manual",$M272&lt;&gt;1)),ROUND(OFFSET($P272,0,AJ$13),15-13*ORÇAMENTO!$AF$7)/$H272*OFFSET(ORÇAMENTO!$X$15,ROW(AJ272)-ROW(AJ$15),0),0)</f>
        <v>0</v>
      </c>
      <c r="AK272" s="632">
        <f ca="1">IF(AND($D272="Serviço",AK$12&lt;&gt;0,$H272&gt;0,OR(AUTOEVENTO&lt;&gt;"manual",$M272&lt;&gt;1)),ROUND(OFFSET($P272,0,AK$13),15-13*ORÇAMENTO!$AF$7)/$H272*OFFSET(ORÇAMENTO!$X$15,ROW(AK272)-ROW(AK$15),0),0)</f>
        <v>0</v>
      </c>
      <c r="AL272" s="632">
        <f ca="1">IF(AND($D272="Serviço",AL$12&lt;&gt;0,$H272&gt;0,OR(AUTOEVENTO&lt;&gt;"manual",$M272&lt;&gt;1)),ROUND(OFFSET($P272,0,AL$13),15-13*ORÇAMENTO!$AF$7)/$H272*OFFSET(ORÇAMENTO!$X$15,ROW(AL272)-ROW(AL$15),0),0)</f>
        <v>0</v>
      </c>
      <c r="AM272" s="632">
        <f ca="1">IF(AND($D272="Serviço",AM$12&lt;&gt;0,$H272&gt;0,OR(AUTOEVENTO&lt;&gt;"manual",$M272&lt;&gt;1)),ROUND(OFFSET($P272,0,AM$13),15-13*ORÇAMENTO!$AF$7)/$H272*OFFSET(ORÇAMENTO!$X$15,ROW(AM272)-ROW(AM$15),0),0)</f>
        <v>0</v>
      </c>
      <c r="AN272" s="632">
        <f ca="1">IF(AND($D272="Serviço",AN$12&lt;&gt;0,$H272&gt;0,OR(AUTOEVENTO&lt;&gt;"manual",$M272&lt;&gt;1)),ROUND(OFFSET($P272,0,AN$13),15-13*ORÇAMENTO!$AF$7)/$H272*OFFSET(ORÇAMENTO!$X$15,ROW(AN272)-ROW(AN$15),0),0)</f>
        <v>0</v>
      </c>
      <c r="AO272" s="632">
        <f ca="1">IF(AND($D272="Serviço",AO$12&lt;&gt;0,$H272&gt;0,OR(AUTOEVENTO&lt;&gt;"manual",$M272&lt;&gt;1)),ROUND(OFFSET($P272,0,AO$13),15-13*ORÇAMENTO!$AF$7)/$H272*OFFSET(ORÇAMENTO!$X$15,ROW(AO272)-ROW(AO$15),0),0)</f>
        <v>0</v>
      </c>
      <c r="AP272" s="632">
        <f ca="1">IF(AND($D272="Serviço",AP$12&lt;&gt;0,$H272&gt;0,OR(AUTOEVENTO&lt;&gt;"manual",$M272&lt;&gt;1)),ROUND(OFFSET($P272,0,AP$13),15-13*ORÇAMENTO!$AF$7)/$H272*OFFSET(ORÇAMENTO!$X$15,ROW(AP272)-ROW(AP$15),0),0)</f>
        <v>0</v>
      </c>
      <c r="AQ272" s="632">
        <f ca="1">IF(AND($D272="Serviço",AQ$12&lt;&gt;0,$H272&gt;0,OR(AUTOEVENTO&lt;&gt;"manual",$M272&lt;&gt;1)),ROUND(OFFSET($P272,0,AQ$13),15-13*ORÇAMENTO!$AF$7)/$H272*OFFSET(ORÇAMENTO!$X$15,ROW(AQ272)-ROW(AQ$15),0),0)</f>
        <v>0</v>
      </c>
      <c r="AR272" s="632">
        <f ca="1">IF(AND($D272="Serviço",AR$12&lt;&gt;0,$H272&gt;0,OR(AUTOEVENTO&lt;&gt;"manual",$M272&lt;&gt;1)),ROUND(OFFSET($P272,0,AR$13),15-13*ORÇAMENTO!$AF$7)/$H272*OFFSET(ORÇAMENTO!$X$15,ROW(AR272)-ROW(AR$15),0),0)</f>
        <v>0</v>
      </c>
      <c r="AS272" s="633">
        <f ca="1">IF(AND($D272="Serviço",AS$12&lt;&gt;0,$H272&gt;0,OR(AUTOEVENTO&lt;&gt;"manual",$M272&lt;&gt;1)),ROUND(OFFSET($P272,0,AS$13),15-13*ORÇAMENTO!$AF$7)/$H272*OFFSET(ORÇAMENTO!$X$15,ROW(AS272)-ROW(AS$15),0),0)</f>
        <v>0</v>
      </c>
      <c r="AT272" s="632">
        <f ca="1">IF(AND($D272="Serviço",AT$12&lt;&gt;0,$H272&gt;0,OR(AUTOEVENTO&lt;&gt;"manual",$M272&lt;&gt;1)),ROUND(OFFSET($P272,0,AT$13),15-13*ORÇAMENTO!$AF$7)/$H272*OFFSET(ORÇAMENTO!$X$15,ROW(AT272)-ROW(AT$15),0),0)</f>
        <v>0</v>
      </c>
      <c r="AU272" s="632">
        <f ca="1">IF(AND($D272="Serviço",AU$12&lt;&gt;0,$H272&gt;0,OR(AUTOEVENTO&lt;&gt;"manual",$M272&lt;&gt;1)),ROUND(OFFSET($P272,0,AU$13),15-13*ORÇAMENTO!$AF$7)/$H272*OFFSET(ORÇAMENTO!$X$15,ROW(AU272)-ROW(AU$15),0),0)</f>
        <v>0</v>
      </c>
      <c r="AV272" s="632">
        <f ca="1">IF(AND($D272="Serviço",AV$12&lt;&gt;0,$H272&gt;0,OR(AUTOEVENTO&lt;&gt;"manual",$M272&lt;&gt;1)),ROUND(OFFSET($P272,0,AV$13),15-13*ORÇAMENTO!$AF$7)/$H272*OFFSET(ORÇAMENTO!$X$15,ROW(AV272)-ROW(AV$15),0),0)</f>
        <v>0</v>
      </c>
      <c r="AW272" s="632">
        <f ca="1">IF(AND($D272="Serviço",AW$12&lt;&gt;0,$H272&gt;0,OR(AUTOEVENTO&lt;&gt;"manual",$M272&lt;&gt;1)),ROUND(OFFSET($P272,0,AW$13),15-13*ORÇAMENTO!$AF$7)/$H272*OFFSET(ORÇAMENTO!$X$15,ROW(AW272)-ROW(AW$15),0),0)</f>
        <v>0</v>
      </c>
      <c r="AX272" s="632">
        <f ca="1">IF(AND($D272="Serviço",AX$12&lt;&gt;0,$H272&gt;0,OR(AUTOEVENTO&lt;&gt;"manual",$M272&lt;&gt;1)),ROUND(OFFSET($P272,0,AX$13),15-13*ORÇAMENTO!$AF$7)/$H272*OFFSET(ORÇAMENTO!$X$15,ROW(AX272)-ROW(AX$15),0),0)</f>
        <v>0</v>
      </c>
      <c r="AY272" s="632">
        <f ca="1">IF(AND($D272="Serviço",AY$12&lt;&gt;0,$H272&gt;0,OR(AUTOEVENTO&lt;&gt;"manual",$M272&lt;&gt;1)),ROUND(OFFSET($P272,0,AY$13),15-13*ORÇAMENTO!$AF$7)/$H272*OFFSET(ORÇAMENTO!$X$15,ROW(AY272)-ROW(AY$15),0),0)</f>
        <v>0</v>
      </c>
      <c r="AZ272" s="632">
        <f ca="1">IF(AND($D272="Serviço",AZ$12&lt;&gt;0,$H272&gt;0,OR(AUTOEVENTO&lt;&gt;"manual",$M272&lt;&gt;1)),ROUND(OFFSET($P272,0,AZ$13),15-13*ORÇAMENTO!$AF$7)/$H272*OFFSET(ORÇAMENTO!$X$15,ROW(AZ272)-ROW(AZ$15),0),0)</f>
        <v>0</v>
      </c>
      <c r="BA272" s="633">
        <f ca="1">IF(AND($D272="Serviço",BA$12&lt;&gt;0,$H272&gt;0,OR(AUTOEVENTO&lt;&gt;"manual",$M272&lt;&gt;1)),ROUND(OFFSET($P272,0,BA$13),15-13*ORÇAMENTO!$AF$7)/$H272*OFFSET(ORÇAMENTO!$X$15,ROW(BA272)-ROW(BA$15),0),0)</f>
        <v>0</v>
      </c>
      <c r="BC272" s="215">
        <f ca="1">IF($D272&lt;&gt;"Serviço",0,IF(AND(AUTOEVENTO="Manual",$M272=1),0,IF(OFFSET(CRONOPLE!$F$14,$M272,BC$13)="",10^12,OFFSET(CRONOPLE!$F$14,$M272,BC$13))))</f>
        <v>1000000000000</v>
      </c>
      <c r="BD272" s="215">
        <f ca="1">IF($D272&lt;&gt;"Serviço",0,IF(AND(AUTOEVENTO="Manual",$M272=1),0,IF(OFFSET(CRONOPLE!$F$14,$M272,BD$13)="",10^12,OFFSET(CRONOPLE!$F$14,$M272,BD$13))))</f>
        <v>1000000000000</v>
      </c>
      <c r="BE272" s="215">
        <f ca="1">IF($D272&lt;&gt;"Serviço",0,IF(AND(AUTOEVENTO="Manual",$M272=1),0,IF(OFFSET(CRONOPLE!$F$14,$M272,BE$13)="",10^12,OFFSET(CRONOPLE!$F$14,$M272,BE$13))))</f>
        <v>1000000000000</v>
      </c>
      <c r="BF272" s="215">
        <f ca="1">IF($D272&lt;&gt;"Serviço",0,IF(AND(AUTOEVENTO="Manual",$M272=1),0,IF(OFFSET(CRONOPLE!$F$14,$M272,BF$13)="",10^12,OFFSET(CRONOPLE!$F$14,$M272,BF$13))))</f>
        <v>1000000000000</v>
      </c>
      <c r="BG272" s="215">
        <f ca="1">IF($D272&lt;&gt;"Serviço",0,IF(AND(AUTOEVENTO="Manual",$M272=1),0,IF(OFFSET(CRONOPLE!$F$14,$M272,BG$13)="",10^12,OFFSET(CRONOPLE!$F$14,$M272,BG$13))))</f>
        <v>1000000000000</v>
      </c>
      <c r="BH272" s="215">
        <f ca="1">IF($D272&lt;&gt;"Serviço",0,IF(AND(AUTOEVENTO="Manual",$M272=1),0,IF(OFFSET(CRONOPLE!$F$14,$M272,BH$13)="",10^12,OFFSET(CRONOPLE!$F$14,$M272,BH$13))))</f>
        <v>1000000000000</v>
      </c>
      <c r="BI272" s="215">
        <f ca="1">IF($D272&lt;&gt;"Serviço",0,IF(AND(AUTOEVENTO="Manual",$M272=1),0,IF(OFFSET(CRONOPLE!$F$14,$M272,BI$13)="",10^12,OFFSET(CRONOPLE!$F$14,$M272,BI$13))))</f>
        <v>1000000000000</v>
      </c>
      <c r="BJ272" s="215">
        <f ca="1">IF($D272&lt;&gt;"Serviço",0,IF(AND(AUTOEVENTO="Manual",$M272=1),0,IF(OFFSET(CRONOPLE!$F$14,$M272,BJ$13)="",10^12,OFFSET(CRONOPLE!$F$14,$M272,BJ$13))))</f>
        <v>1000000000000</v>
      </c>
      <c r="BK272" s="215">
        <f ca="1">IF($D272&lt;&gt;"Serviço",0,IF(AND(AUTOEVENTO="Manual",$M272=1),0,IF(OFFSET(CRONOPLE!$F$14,$M272,BK$13)="",10^12,OFFSET(CRONOPLE!$F$14,$M272,BK$13))))</f>
        <v>1000000000000</v>
      </c>
      <c r="BL272" s="215">
        <f ca="1">IF($D272&lt;&gt;"Serviço",0,IF(AND(AUTOEVENTO="Manual",$M272=1),0,IF(OFFSET(CRONOPLE!$F$14,$M272,BL$13)="",10^12,OFFSET(CRONOPLE!$F$14,$M272,BL$13))))</f>
        <v>1000000000000</v>
      </c>
      <c r="BM272" s="215">
        <f ca="1">IF($D272&lt;&gt;"Serviço",0,IF(AND(AUTOEVENTO="Manual",$M272=1),0,IF(OFFSET(CRONOPLE!$F$14,$M272,BM$13)="",10^12,OFFSET(CRONOPLE!$F$14,$M272,BM$13))))</f>
        <v>1000000000000</v>
      </c>
      <c r="BN272" s="215">
        <f ca="1">IF($D272&lt;&gt;"Serviço",0,IF(AND(AUTOEVENTO="Manual",$M272=1),0,IF(OFFSET(CRONOPLE!$F$14,$M272,BN$13)="",10^12,OFFSET(CRONOPLE!$F$14,$M272,BN$13))))</f>
        <v>1000000000000</v>
      </c>
      <c r="BO272" s="215">
        <f ca="1">IF($D272&lt;&gt;"Serviço",0,IF(AND(AUTOEVENTO="Manual",$M272=1),0,IF(OFFSET(CRONOPLE!$F$14,$M272,BO$13)="",10^12,OFFSET(CRONOPLE!$F$14,$M272,BO$13))))</f>
        <v>1000000000000</v>
      </c>
      <c r="BP272" s="215">
        <f ca="1">IF($D272&lt;&gt;"Serviço",0,IF(AND(AUTOEVENTO="Manual",$M272=1),0,IF(OFFSET(CRONOPLE!$F$14,$M272,BP$13)="",10^12,OFFSET(CRONOPLE!$F$14,$M272,BP$13))))</f>
        <v>1000000000000</v>
      </c>
      <c r="BQ272" s="215">
        <f ca="1">IF($D272&lt;&gt;"Serviço",0,IF(AND(AUTOEVENTO="Manual",$M272=1),0,IF(OFFSET(CRONOPLE!$F$14,$M272,BQ$13)="",10^12,OFFSET(CRONOPLE!$F$14,$M272,BQ$13))))</f>
        <v>1000000000000</v>
      </c>
      <c r="BR272" s="215">
        <f ca="1">IF($D272&lt;&gt;"Serviço",0,IF(AND(AUTOEVENTO="Manual",$M272=1),0,IF(OFFSET(CRONOPLE!$F$14,$M272,BR$13)="",10^12,OFFSET(CRONOPLE!$F$14,$M272,BR$13))))</f>
        <v>1000000000000</v>
      </c>
      <c r="BS272" s="215">
        <f ca="1">IF($D272&lt;&gt;"Serviço",0,IF(AND(AUTOEVENTO="Manual",$M272=1),0,IF(OFFSET(CRONOPLE!$F$14,$M272,BS$13)="",10^12,OFFSET(CRONOPLE!$F$14,$M272,BS$13))))</f>
        <v>1000000000000</v>
      </c>
      <c r="BT272" s="215">
        <f ca="1">IF($D272&lt;&gt;"Serviço",0,IF(AND(AUTOEVENTO="Manual",$M272=1),0,IF(OFFSET(CRONOPLE!$F$14,$M272,BT$13)="",10^12,OFFSET(CRONOPLE!$F$14,$M272,BT$13))))</f>
        <v>1000000000000</v>
      </c>
      <c r="BV272" s="216">
        <f ca="1">IF($D272&lt;&gt;"Serviço",0,IF(OR(AND(AUTOEVENTO="Manual",$M272=1),$M272&gt;(ROW(PLE.lastrow)-ROW(PLE.firstrow))),0,IF(OFFSET(PLE!$G$14,$M272,BV$13)="",10^12,OFFSET(PLE!$G$14,$M272,BV$13))))</f>
        <v>1000000000000</v>
      </c>
      <c r="BW272" s="216">
        <f ca="1">IF($D272&lt;&gt;"Serviço",0,IF(OR(AND(AUTOEVENTO="Manual",$M272=1),$M272&gt;(ROW(PLE.lastrow)-ROW(PLE.firstrow))),0,IF(OFFSET(PLE!$G$14,$M272,BW$13)="",10^12,OFFSET(PLE!$G$14,$M272,BW$13))))</f>
        <v>1000000000000</v>
      </c>
      <c r="BX272" s="216">
        <f ca="1">IF($D272&lt;&gt;"Serviço",0,IF(OR(AND(AUTOEVENTO="Manual",$M272=1),$M272&gt;(ROW(PLE.lastrow)-ROW(PLE.firstrow))),0,IF(OFFSET(PLE!$G$14,$M272,BX$13)="",10^12,OFFSET(PLE!$G$14,$M272,BX$13))))</f>
        <v>1000000000000</v>
      </c>
      <c r="BY272" s="216">
        <f ca="1">IF($D272&lt;&gt;"Serviço",0,IF(OR(AND(AUTOEVENTO="Manual",$M272=1),$M272&gt;(ROW(PLE.lastrow)-ROW(PLE.firstrow))),0,IF(OFFSET(PLE!$G$14,$M272,BY$13)="",10^12,OFFSET(PLE!$G$14,$M272,BY$13))))</f>
        <v>1000000000000</v>
      </c>
      <c r="BZ272" s="216">
        <f ca="1">IF($D272&lt;&gt;"Serviço",0,IF(OR(AND(AUTOEVENTO="Manual",$M272=1),$M272&gt;(ROW(PLE.lastrow)-ROW(PLE.firstrow))),0,IF(OFFSET(PLE!$G$14,$M272,BZ$13)="",10^12,OFFSET(PLE!$G$14,$M272,BZ$13))))</f>
        <v>1000000000000</v>
      </c>
      <c r="CA272" s="216">
        <f ca="1">IF($D272&lt;&gt;"Serviço",0,IF(OR(AND(AUTOEVENTO="Manual",$M272=1),$M272&gt;(ROW(PLE.lastrow)-ROW(PLE.firstrow))),0,IF(OFFSET(PLE!$G$14,$M272,CA$13)="",10^12,OFFSET(PLE!$G$14,$M272,CA$13))))</f>
        <v>1000000000000</v>
      </c>
      <c r="CB272" s="216">
        <f ca="1">IF($D272&lt;&gt;"Serviço",0,IF(OR(AND(AUTOEVENTO="Manual",$M272=1),$M272&gt;(ROW(PLE.lastrow)-ROW(PLE.firstrow))),0,IF(OFFSET(PLE!$G$14,$M272,CB$13)="",10^12,OFFSET(PLE!$G$14,$M272,CB$13))))</f>
        <v>1000000000000</v>
      </c>
      <c r="CC272" s="216">
        <f ca="1">IF($D272&lt;&gt;"Serviço",0,IF(OR(AND(AUTOEVENTO="Manual",$M272=1),$M272&gt;(ROW(PLE.lastrow)-ROW(PLE.firstrow))),0,IF(OFFSET(PLE!$G$14,$M272,CC$13)="",10^12,OFFSET(PLE!$G$14,$M272,CC$13))))</f>
        <v>1000000000000</v>
      </c>
      <c r="CD272" s="216">
        <f ca="1">IF($D272&lt;&gt;"Serviço",0,IF(OR(AND(AUTOEVENTO="Manual",$M272=1),$M272&gt;(ROW(PLE.lastrow)-ROW(PLE.firstrow))),0,IF(OFFSET(PLE!$G$14,$M272,CD$13)="",10^12,OFFSET(PLE!$G$14,$M272,CD$13))))</f>
        <v>1000000000000</v>
      </c>
      <c r="CE272" s="216">
        <f ca="1">IF($D272&lt;&gt;"Serviço",0,IF(OR(AND(AUTOEVENTO="Manual",$M272=1),$M272&gt;(ROW(PLE.lastrow)-ROW(PLE.firstrow))),0,IF(OFFSET(PLE!$G$14,$M272,CE$13)="",10^12,OFFSET(PLE!$G$14,$M272,CE$13))))</f>
        <v>1000000000000</v>
      </c>
      <c r="CF272" s="216">
        <f ca="1">IF($D272&lt;&gt;"Serviço",0,IF(OR(AND(AUTOEVENTO="Manual",$M272=1),$M272&gt;(ROW(PLE.lastrow)-ROW(PLE.firstrow))),0,IF(OFFSET(PLE!$G$14,$M272,CF$13)="",10^12,OFFSET(PLE!$G$14,$M272,CF$13))))</f>
        <v>1000000000000</v>
      </c>
      <c r="CG272" s="216">
        <f ca="1">IF($D272&lt;&gt;"Serviço",0,IF(OR(AND(AUTOEVENTO="Manual",$M272=1),$M272&gt;(ROW(PLE.lastrow)-ROW(PLE.firstrow))),0,IF(OFFSET(PLE!$G$14,$M272,CG$13)="",10^12,OFFSET(PLE!$G$14,$M272,CG$13))))</f>
        <v>1000000000000</v>
      </c>
      <c r="CH272" s="216">
        <f ca="1">IF($D272&lt;&gt;"Serviço",0,IF(OR(AND(AUTOEVENTO="Manual",$M272=1),$M272&gt;(ROW(PLE.lastrow)-ROW(PLE.firstrow))),0,IF(OFFSET(PLE!$G$14,$M272,CH$13)="",10^12,OFFSET(PLE!$G$14,$M272,CH$13))))</f>
        <v>1000000000000</v>
      </c>
      <c r="CI272" s="216">
        <f ca="1">IF($D272&lt;&gt;"Serviço",0,IF(OR(AND(AUTOEVENTO="Manual",$M272=1),$M272&gt;(ROW(PLE.lastrow)-ROW(PLE.firstrow))),0,IF(OFFSET(PLE!$G$14,$M272,CI$13)="",10^12,OFFSET(PLE!$G$14,$M272,CI$13))))</f>
        <v>1000000000000</v>
      </c>
      <c r="CJ272" s="216">
        <f ca="1">IF($D272&lt;&gt;"Serviço",0,IF(OR(AND(AUTOEVENTO="Manual",$M272=1),$M272&gt;(ROW(PLE.lastrow)-ROW(PLE.firstrow))),0,IF(OFFSET(PLE!$G$14,$M272,CJ$13)="",10^12,OFFSET(PLE!$G$14,$M272,CJ$13))))</f>
        <v>1000000000000</v>
      </c>
      <c r="CK272" s="216">
        <f ca="1">IF($D272&lt;&gt;"Serviço",0,IF(OR(AND(AUTOEVENTO="Manual",$M272=1),$M272&gt;(ROW(PLE.lastrow)-ROW(PLE.firstrow))),0,IF(OFFSET(PLE!$G$14,$M272,CK$13)="",10^12,OFFSET(PLE!$G$14,$M272,CK$13))))</f>
        <v>1000000000000</v>
      </c>
      <c r="CL272" s="216">
        <f ca="1">IF($D272&lt;&gt;"Serviço",0,IF(OR(AND(AUTOEVENTO="Manual",$M272=1),$M272&gt;(ROW(PLE.lastrow)-ROW(PLE.firstrow))),0,IF(OFFSET(PLE!$G$14,$M272,CL$13)="",10^12,OFFSET(PLE!$G$14,$M272,CL$13))))</f>
        <v>1000000000000</v>
      </c>
      <c r="CM272" s="216">
        <f ca="1">IF($D272&lt;&gt;"Serviço",0,IF(OR(AND(AUTOEVENTO="Manual",$M272=1),$M272&gt;(ROW(PLE.lastrow)-ROW(PLE.firstrow))),0,IF(OFFSET(PLE!$G$14,$M272,CM$13)="",10^12,OFFSET(PLE!$G$14,$M272,CM$13))))</f>
        <v>1000000000000</v>
      </c>
    </row>
    <row r="273" spans="1:91" ht="13.2" x14ac:dyDescent="0.25">
      <c r="A273" s="9">
        <f t="shared" ca="1" si="13"/>
        <v>0</v>
      </c>
      <c r="B273" s="9" t="str">
        <f ca="1">OFFSET(ORÇAMENTO!C$15,ROW(B273)-ROW(B$15),0)</f>
        <v>S</v>
      </c>
      <c r="C273" s="9" t="str">
        <f ca="1">OFFSET(ORÇAMENTO!L$15,ROW(C273)-ROW(C$15),0)</f>
        <v/>
      </c>
      <c r="D273" s="145" t="str">
        <f ca="1">OFFSET(ORÇAMENTO!N$15,ROW(D273)-ROW(D$15),0)</f>
        <v>Serviço</v>
      </c>
      <c r="E273" s="205" t="str">
        <f ca="1">OFFSET(ORÇAMENTO!O$15,ROW(E273)-ROW(E$15),0)</f>
        <v>-</v>
      </c>
      <c r="F273" s="206" t="str">
        <f ca="1">OFFSET(ORÇAMENTO!R$15,ROW(F273)-ROW(F$15),0)</f>
        <v>(abra o arquivo 'Referência 05-2024.xls)</v>
      </c>
      <c r="G273" s="207" t="str">
        <f ca="1">IF($D273&lt;&gt;"Serviço","",OFFSET(ORÇAMENTO!S$15,ROW(G273)-ROW(G$15),0))</f>
        <v>-</v>
      </c>
      <c r="H273" s="151">
        <f ca="1">IF($D273&lt;&gt;"Serviço",0,IF(ACOMPANHAMENTO="BM",ROUND(OFFSET(ORÇAMENTO!AJ$15,ROW(H273)-ROW(H$15),0),15-13*ORÇAMENTO!$AF$7),SUMPRODUCT(($Q$12:$AI$12&lt;&gt;"")*ROUND($Q273:$AI273,15-13*ORÇAMENTO!$AF$7))))</f>
        <v>416</v>
      </c>
      <c r="I273" s="650"/>
      <c r="K273" s="208"/>
      <c r="L273" s="209" t="s">
        <v>257</v>
      </c>
      <c r="M273" s="210">
        <f ca="1">IF($D273&lt;&gt;"Serviço","",IF(AUTOEVENTO="manual",$A273,IF(ISERROR(MATCH($A273,$A$15:OFFSET($A273,-1,0),0)),MAX($M$15:OFFSET(M273,-1,0))+1,INDEX($M$15:OFFSET(M273,-1,0),MATCH($A273,$A$15:OFFSET($A273,-1,0),0)))))</f>
        <v>0</v>
      </c>
      <c r="N273" s="211" t="str">
        <f ca="1">IF($D273&lt;&gt;"Serviço","",IF(AUTOEVENTO="Manual",IF($A273=0,"&lt;-- defina o número do agrupador",OFFSET(EVENTOS!$D$14,$A273,0)),OFFSET($F$15,$A273,0)))</f>
        <v>&lt;-- defina o número do agrupador</v>
      </c>
      <c r="O273" s="212"/>
      <c r="Q273" s="212"/>
      <c r="R273" s="213"/>
      <c r="S273" s="213"/>
      <c r="T273" s="213"/>
      <c r="U273" s="213"/>
      <c r="V273" s="213"/>
      <c r="W273" s="213"/>
      <c r="X273" s="213"/>
      <c r="Y273" s="213"/>
      <c r="Z273" s="214"/>
      <c r="AA273" s="213"/>
      <c r="AB273" s="213"/>
      <c r="AC273" s="213"/>
      <c r="AD273" s="213"/>
      <c r="AE273" s="213"/>
      <c r="AF273" s="213"/>
      <c r="AG273" s="213"/>
      <c r="AH273" s="214"/>
      <c r="AJ273" s="631">
        <f ca="1">IF(AND($D273="Serviço",AJ$12&lt;&gt;0,$H273&gt;0,OR(AUTOEVENTO&lt;&gt;"manual",$M273&lt;&gt;1)),ROUND(OFFSET($P273,0,AJ$13),15-13*ORÇAMENTO!$AF$7)/$H273*OFFSET(ORÇAMENTO!$X$15,ROW(AJ273)-ROW(AJ$15),0),0)</f>
        <v>0</v>
      </c>
      <c r="AK273" s="632">
        <f ca="1">IF(AND($D273="Serviço",AK$12&lt;&gt;0,$H273&gt;0,OR(AUTOEVENTO&lt;&gt;"manual",$M273&lt;&gt;1)),ROUND(OFFSET($P273,0,AK$13),15-13*ORÇAMENTO!$AF$7)/$H273*OFFSET(ORÇAMENTO!$X$15,ROW(AK273)-ROW(AK$15),0),0)</f>
        <v>0</v>
      </c>
      <c r="AL273" s="632">
        <f ca="1">IF(AND($D273="Serviço",AL$12&lt;&gt;0,$H273&gt;0,OR(AUTOEVENTO&lt;&gt;"manual",$M273&lt;&gt;1)),ROUND(OFFSET($P273,0,AL$13),15-13*ORÇAMENTO!$AF$7)/$H273*OFFSET(ORÇAMENTO!$X$15,ROW(AL273)-ROW(AL$15),0),0)</f>
        <v>0</v>
      </c>
      <c r="AM273" s="632">
        <f ca="1">IF(AND($D273="Serviço",AM$12&lt;&gt;0,$H273&gt;0,OR(AUTOEVENTO&lt;&gt;"manual",$M273&lt;&gt;1)),ROUND(OFFSET($P273,0,AM$13),15-13*ORÇAMENTO!$AF$7)/$H273*OFFSET(ORÇAMENTO!$X$15,ROW(AM273)-ROW(AM$15),0),0)</f>
        <v>0</v>
      </c>
      <c r="AN273" s="632">
        <f ca="1">IF(AND($D273="Serviço",AN$12&lt;&gt;0,$H273&gt;0,OR(AUTOEVENTO&lt;&gt;"manual",$M273&lt;&gt;1)),ROUND(OFFSET($P273,0,AN$13),15-13*ORÇAMENTO!$AF$7)/$H273*OFFSET(ORÇAMENTO!$X$15,ROW(AN273)-ROW(AN$15),0),0)</f>
        <v>0</v>
      </c>
      <c r="AO273" s="632">
        <f ca="1">IF(AND($D273="Serviço",AO$12&lt;&gt;0,$H273&gt;0,OR(AUTOEVENTO&lt;&gt;"manual",$M273&lt;&gt;1)),ROUND(OFFSET($P273,0,AO$13),15-13*ORÇAMENTO!$AF$7)/$H273*OFFSET(ORÇAMENTO!$X$15,ROW(AO273)-ROW(AO$15),0),0)</f>
        <v>0</v>
      </c>
      <c r="AP273" s="632">
        <f ca="1">IF(AND($D273="Serviço",AP$12&lt;&gt;0,$H273&gt;0,OR(AUTOEVENTO&lt;&gt;"manual",$M273&lt;&gt;1)),ROUND(OFFSET($P273,0,AP$13),15-13*ORÇAMENTO!$AF$7)/$H273*OFFSET(ORÇAMENTO!$X$15,ROW(AP273)-ROW(AP$15),0),0)</f>
        <v>0</v>
      </c>
      <c r="AQ273" s="632">
        <f ca="1">IF(AND($D273="Serviço",AQ$12&lt;&gt;0,$H273&gt;0,OR(AUTOEVENTO&lt;&gt;"manual",$M273&lt;&gt;1)),ROUND(OFFSET($P273,0,AQ$13),15-13*ORÇAMENTO!$AF$7)/$H273*OFFSET(ORÇAMENTO!$X$15,ROW(AQ273)-ROW(AQ$15),0),0)</f>
        <v>0</v>
      </c>
      <c r="AR273" s="632">
        <f ca="1">IF(AND($D273="Serviço",AR$12&lt;&gt;0,$H273&gt;0,OR(AUTOEVENTO&lt;&gt;"manual",$M273&lt;&gt;1)),ROUND(OFFSET($P273,0,AR$13),15-13*ORÇAMENTO!$AF$7)/$H273*OFFSET(ORÇAMENTO!$X$15,ROW(AR273)-ROW(AR$15),0),0)</f>
        <v>0</v>
      </c>
      <c r="AS273" s="633">
        <f ca="1">IF(AND($D273="Serviço",AS$12&lt;&gt;0,$H273&gt;0,OR(AUTOEVENTO&lt;&gt;"manual",$M273&lt;&gt;1)),ROUND(OFFSET($P273,0,AS$13),15-13*ORÇAMENTO!$AF$7)/$H273*OFFSET(ORÇAMENTO!$X$15,ROW(AS273)-ROW(AS$15),0),0)</f>
        <v>0</v>
      </c>
      <c r="AT273" s="632">
        <f ca="1">IF(AND($D273="Serviço",AT$12&lt;&gt;0,$H273&gt;0,OR(AUTOEVENTO&lt;&gt;"manual",$M273&lt;&gt;1)),ROUND(OFFSET($P273,0,AT$13),15-13*ORÇAMENTO!$AF$7)/$H273*OFFSET(ORÇAMENTO!$X$15,ROW(AT273)-ROW(AT$15),0),0)</f>
        <v>0</v>
      </c>
      <c r="AU273" s="632">
        <f ca="1">IF(AND($D273="Serviço",AU$12&lt;&gt;0,$H273&gt;0,OR(AUTOEVENTO&lt;&gt;"manual",$M273&lt;&gt;1)),ROUND(OFFSET($P273,0,AU$13),15-13*ORÇAMENTO!$AF$7)/$H273*OFFSET(ORÇAMENTO!$X$15,ROW(AU273)-ROW(AU$15),0),0)</f>
        <v>0</v>
      </c>
      <c r="AV273" s="632">
        <f ca="1">IF(AND($D273="Serviço",AV$12&lt;&gt;0,$H273&gt;0,OR(AUTOEVENTO&lt;&gt;"manual",$M273&lt;&gt;1)),ROUND(OFFSET($P273,0,AV$13),15-13*ORÇAMENTO!$AF$7)/$H273*OFFSET(ORÇAMENTO!$X$15,ROW(AV273)-ROW(AV$15),0),0)</f>
        <v>0</v>
      </c>
      <c r="AW273" s="632">
        <f ca="1">IF(AND($D273="Serviço",AW$12&lt;&gt;0,$H273&gt;0,OR(AUTOEVENTO&lt;&gt;"manual",$M273&lt;&gt;1)),ROUND(OFFSET($P273,0,AW$13),15-13*ORÇAMENTO!$AF$7)/$H273*OFFSET(ORÇAMENTO!$X$15,ROW(AW273)-ROW(AW$15),0),0)</f>
        <v>0</v>
      </c>
      <c r="AX273" s="632">
        <f ca="1">IF(AND($D273="Serviço",AX$12&lt;&gt;0,$H273&gt;0,OR(AUTOEVENTO&lt;&gt;"manual",$M273&lt;&gt;1)),ROUND(OFFSET($P273,0,AX$13),15-13*ORÇAMENTO!$AF$7)/$H273*OFFSET(ORÇAMENTO!$X$15,ROW(AX273)-ROW(AX$15),0),0)</f>
        <v>0</v>
      </c>
      <c r="AY273" s="632">
        <f ca="1">IF(AND($D273="Serviço",AY$12&lt;&gt;0,$H273&gt;0,OR(AUTOEVENTO&lt;&gt;"manual",$M273&lt;&gt;1)),ROUND(OFFSET($P273,0,AY$13),15-13*ORÇAMENTO!$AF$7)/$H273*OFFSET(ORÇAMENTO!$X$15,ROW(AY273)-ROW(AY$15),0),0)</f>
        <v>0</v>
      </c>
      <c r="AZ273" s="632">
        <f ca="1">IF(AND($D273="Serviço",AZ$12&lt;&gt;0,$H273&gt;0,OR(AUTOEVENTO&lt;&gt;"manual",$M273&lt;&gt;1)),ROUND(OFFSET($P273,0,AZ$13),15-13*ORÇAMENTO!$AF$7)/$H273*OFFSET(ORÇAMENTO!$X$15,ROW(AZ273)-ROW(AZ$15),0),0)</f>
        <v>0</v>
      </c>
      <c r="BA273" s="633">
        <f ca="1">IF(AND($D273="Serviço",BA$12&lt;&gt;0,$H273&gt;0,OR(AUTOEVENTO&lt;&gt;"manual",$M273&lt;&gt;1)),ROUND(OFFSET($P273,0,BA$13),15-13*ORÇAMENTO!$AF$7)/$H273*OFFSET(ORÇAMENTO!$X$15,ROW(BA273)-ROW(BA$15),0),0)</f>
        <v>0</v>
      </c>
      <c r="BC273" s="215">
        <f ca="1">IF($D273&lt;&gt;"Serviço",0,IF(AND(AUTOEVENTO="Manual",$M273=1),0,IF(OFFSET(CRONOPLE!$F$14,$M273,BC$13)="",10^12,OFFSET(CRONOPLE!$F$14,$M273,BC$13))))</f>
        <v>1000000000000</v>
      </c>
      <c r="BD273" s="215">
        <f ca="1">IF($D273&lt;&gt;"Serviço",0,IF(AND(AUTOEVENTO="Manual",$M273=1),0,IF(OFFSET(CRONOPLE!$F$14,$M273,BD$13)="",10^12,OFFSET(CRONOPLE!$F$14,$M273,BD$13))))</f>
        <v>1000000000000</v>
      </c>
      <c r="BE273" s="215">
        <f ca="1">IF($D273&lt;&gt;"Serviço",0,IF(AND(AUTOEVENTO="Manual",$M273=1),0,IF(OFFSET(CRONOPLE!$F$14,$M273,BE$13)="",10^12,OFFSET(CRONOPLE!$F$14,$M273,BE$13))))</f>
        <v>1000000000000</v>
      </c>
      <c r="BF273" s="215">
        <f ca="1">IF($D273&lt;&gt;"Serviço",0,IF(AND(AUTOEVENTO="Manual",$M273=1),0,IF(OFFSET(CRONOPLE!$F$14,$M273,BF$13)="",10^12,OFFSET(CRONOPLE!$F$14,$M273,BF$13))))</f>
        <v>1000000000000</v>
      </c>
      <c r="BG273" s="215">
        <f ca="1">IF($D273&lt;&gt;"Serviço",0,IF(AND(AUTOEVENTO="Manual",$M273=1),0,IF(OFFSET(CRONOPLE!$F$14,$M273,BG$13)="",10^12,OFFSET(CRONOPLE!$F$14,$M273,BG$13))))</f>
        <v>1000000000000</v>
      </c>
      <c r="BH273" s="215">
        <f ca="1">IF($D273&lt;&gt;"Serviço",0,IF(AND(AUTOEVENTO="Manual",$M273=1),0,IF(OFFSET(CRONOPLE!$F$14,$M273,BH$13)="",10^12,OFFSET(CRONOPLE!$F$14,$M273,BH$13))))</f>
        <v>1000000000000</v>
      </c>
      <c r="BI273" s="215">
        <f ca="1">IF($D273&lt;&gt;"Serviço",0,IF(AND(AUTOEVENTO="Manual",$M273=1),0,IF(OFFSET(CRONOPLE!$F$14,$M273,BI$13)="",10^12,OFFSET(CRONOPLE!$F$14,$M273,BI$13))))</f>
        <v>1000000000000</v>
      </c>
      <c r="BJ273" s="215">
        <f ca="1">IF($D273&lt;&gt;"Serviço",0,IF(AND(AUTOEVENTO="Manual",$M273=1),0,IF(OFFSET(CRONOPLE!$F$14,$M273,BJ$13)="",10^12,OFFSET(CRONOPLE!$F$14,$M273,BJ$13))))</f>
        <v>1000000000000</v>
      </c>
      <c r="BK273" s="215">
        <f ca="1">IF($D273&lt;&gt;"Serviço",0,IF(AND(AUTOEVENTO="Manual",$M273=1),0,IF(OFFSET(CRONOPLE!$F$14,$M273,BK$13)="",10^12,OFFSET(CRONOPLE!$F$14,$M273,BK$13))))</f>
        <v>1000000000000</v>
      </c>
      <c r="BL273" s="215">
        <f ca="1">IF($D273&lt;&gt;"Serviço",0,IF(AND(AUTOEVENTO="Manual",$M273=1),0,IF(OFFSET(CRONOPLE!$F$14,$M273,BL$13)="",10^12,OFFSET(CRONOPLE!$F$14,$M273,BL$13))))</f>
        <v>1000000000000</v>
      </c>
      <c r="BM273" s="215">
        <f ca="1">IF($D273&lt;&gt;"Serviço",0,IF(AND(AUTOEVENTO="Manual",$M273=1),0,IF(OFFSET(CRONOPLE!$F$14,$M273,BM$13)="",10^12,OFFSET(CRONOPLE!$F$14,$M273,BM$13))))</f>
        <v>1000000000000</v>
      </c>
      <c r="BN273" s="215">
        <f ca="1">IF($D273&lt;&gt;"Serviço",0,IF(AND(AUTOEVENTO="Manual",$M273=1),0,IF(OFFSET(CRONOPLE!$F$14,$M273,BN$13)="",10^12,OFFSET(CRONOPLE!$F$14,$M273,BN$13))))</f>
        <v>1000000000000</v>
      </c>
      <c r="BO273" s="215">
        <f ca="1">IF($D273&lt;&gt;"Serviço",0,IF(AND(AUTOEVENTO="Manual",$M273=1),0,IF(OFFSET(CRONOPLE!$F$14,$M273,BO$13)="",10^12,OFFSET(CRONOPLE!$F$14,$M273,BO$13))))</f>
        <v>1000000000000</v>
      </c>
      <c r="BP273" s="215">
        <f ca="1">IF($D273&lt;&gt;"Serviço",0,IF(AND(AUTOEVENTO="Manual",$M273=1),0,IF(OFFSET(CRONOPLE!$F$14,$M273,BP$13)="",10^12,OFFSET(CRONOPLE!$F$14,$M273,BP$13))))</f>
        <v>1000000000000</v>
      </c>
      <c r="BQ273" s="215">
        <f ca="1">IF($D273&lt;&gt;"Serviço",0,IF(AND(AUTOEVENTO="Manual",$M273=1),0,IF(OFFSET(CRONOPLE!$F$14,$M273,BQ$13)="",10^12,OFFSET(CRONOPLE!$F$14,$M273,BQ$13))))</f>
        <v>1000000000000</v>
      </c>
      <c r="BR273" s="215">
        <f ca="1">IF($D273&lt;&gt;"Serviço",0,IF(AND(AUTOEVENTO="Manual",$M273=1),0,IF(OFFSET(CRONOPLE!$F$14,$M273,BR$13)="",10^12,OFFSET(CRONOPLE!$F$14,$M273,BR$13))))</f>
        <v>1000000000000</v>
      </c>
      <c r="BS273" s="215">
        <f ca="1">IF($D273&lt;&gt;"Serviço",0,IF(AND(AUTOEVENTO="Manual",$M273=1),0,IF(OFFSET(CRONOPLE!$F$14,$M273,BS$13)="",10^12,OFFSET(CRONOPLE!$F$14,$M273,BS$13))))</f>
        <v>1000000000000</v>
      </c>
      <c r="BT273" s="215">
        <f ca="1">IF($D273&lt;&gt;"Serviço",0,IF(AND(AUTOEVENTO="Manual",$M273=1),0,IF(OFFSET(CRONOPLE!$F$14,$M273,BT$13)="",10^12,OFFSET(CRONOPLE!$F$14,$M273,BT$13))))</f>
        <v>1000000000000</v>
      </c>
      <c r="BV273" s="216">
        <f ca="1">IF($D273&lt;&gt;"Serviço",0,IF(OR(AND(AUTOEVENTO="Manual",$M273=1),$M273&gt;(ROW(PLE.lastrow)-ROW(PLE.firstrow))),0,IF(OFFSET(PLE!$G$14,$M273,BV$13)="",10^12,OFFSET(PLE!$G$14,$M273,BV$13))))</f>
        <v>1000000000000</v>
      </c>
      <c r="BW273" s="216">
        <f ca="1">IF($D273&lt;&gt;"Serviço",0,IF(OR(AND(AUTOEVENTO="Manual",$M273=1),$M273&gt;(ROW(PLE.lastrow)-ROW(PLE.firstrow))),0,IF(OFFSET(PLE!$G$14,$M273,BW$13)="",10^12,OFFSET(PLE!$G$14,$M273,BW$13))))</f>
        <v>1000000000000</v>
      </c>
      <c r="BX273" s="216">
        <f ca="1">IF($D273&lt;&gt;"Serviço",0,IF(OR(AND(AUTOEVENTO="Manual",$M273=1),$M273&gt;(ROW(PLE.lastrow)-ROW(PLE.firstrow))),0,IF(OFFSET(PLE!$G$14,$M273,BX$13)="",10^12,OFFSET(PLE!$G$14,$M273,BX$13))))</f>
        <v>1000000000000</v>
      </c>
      <c r="BY273" s="216">
        <f ca="1">IF($D273&lt;&gt;"Serviço",0,IF(OR(AND(AUTOEVENTO="Manual",$M273=1),$M273&gt;(ROW(PLE.lastrow)-ROW(PLE.firstrow))),0,IF(OFFSET(PLE!$G$14,$M273,BY$13)="",10^12,OFFSET(PLE!$G$14,$M273,BY$13))))</f>
        <v>1000000000000</v>
      </c>
      <c r="BZ273" s="216">
        <f ca="1">IF($D273&lt;&gt;"Serviço",0,IF(OR(AND(AUTOEVENTO="Manual",$M273=1),$M273&gt;(ROW(PLE.lastrow)-ROW(PLE.firstrow))),0,IF(OFFSET(PLE!$G$14,$M273,BZ$13)="",10^12,OFFSET(PLE!$G$14,$M273,BZ$13))))</f>
        <v>1000000000000</v>
      </c>
      <c r="CA273" s="216">
        <f ca="1">IF($D273&lt;&gt;"Serviço",0,IF(OR(AND(AUTOEVENTO="Manual",$M273=1),$M273&gt;(ROW(PLE.lastrow)-ROW(PLE.firstrow))),0,IF(OFFSET(PLE!$G$14,$M273,CA$13)="",10^12,OFFSET(PLE!$G$14,$M273,CA$13))))</f>
        <v>1000000000000</v>
      </c>
      <c r="CB273" s="216">
        <f ca="1">IF($D273&lt;&gt;"Serviço",0,IF(OR(AND(AUTOEVENTO="Manual",$M273=1),$M273&gt;(ROW(PLE.lastrow)-ROW(PLE.firstrow))),0,IF(OFFSET(PLE!$G$14,$M273,CB$13)="",10^12,OFFSET(PLE!$G$14,$M273,CB$13))))</f>
        <v>1000000000000</v>
      </c>
      <c r="CC273" s="216">
        <f ca="1">IF($D273&lt;&gt;"Serviço",0,IF(OR(AND(AUTOEVENTO="Manual",$M273=1),$M273&gt;(ROW(PLE.lastrow)-ROW(PLE.firstrow))),0,IF(OFFSET(PLE!$G$14,$M273,CC$13)="",10^12,OFFSET(PLE!$G$14,$M273,CC$13))))</f>
        <v>1000000000000</v>
      </c>
      <c r="CD273" s="216">
        <f ca="1">IF($D273&lt;&gt;"Serviço",0,IF(OR(AND(AUTOEVENTO="Manual",$M273=1),$M273&gt;(ROW(PLE.lastrow)-ROW(PLE.firstrow))),0,IF(OFFSET(PLE!$G$14,$M273,CD$13)="",10^12,OFFSET(PLE!$G$14,$M273,CD$13))))</f>
        <v>1000000000000</v>
      </c>
      <c r="CE273" s="216">
        <f ca="1">IF($D273&lt;&gt;"Serviço",0,IF(OR(AND(AUTOEVENTO="Manual",$M273=1),$M273&gt;(ROW(PLE.lastrow)-ROW(PLE.firstrow))),0,IF(OFFSET(PLE!$G$14,$M273,CE$13)="",10^12,OFFSET(PLE!$G$14,$M273,CE$13))))</f>
        <v>1000000000000</v>
      </c>
      <c r="CF273" s="216">
        <f ca="1">IF($D273&lt;&gt;"Serviço",0,IF(OR(AND(AUTOEVENTO="Manual",$M273=1),$M273&gt;(ROW(PLE.lastrow)-ROW(PLE.firstrow))),0,IF(OFFSET(PLE!$G$14,$M273,CF$13)="",10^12,OFFSET(PLE!$G$14,$M273,CF$13))))</f>
        <v>1000000000000</v>
      </c>
      <c r="CG273" s="216">
        <f ca="1">IF($D273&lt;&gt;"Serviço",0,IF(OR(AND(AUTOEVENTO="Manual",$M273=1),$M273&gt;(ROW(PLE.lastrow)-ROW(PLE.firstrow))),0,IF(OFFSET(PLE!$G$14,$M273,CG$13)="",10^12,OFFSET(PLE!$G$14,$M273,CG$13))))</f>
        <v>1000000000000</v>
      </c>
      <c r="CH273" s="216">
        <f ca="1">IF($D273&lt;&gt;"Serviço",0,IF(OR(AND(AUTOEVENTO="Manual",$M273=1),$M273&gt;(ROW(PLE.lastrow)-ROW(PLE.firstrow))),0,IF(OFFSET(PLE!$G$14,$M273,CH$13)="",10^12,OFFSET(PLE!$G$14,$M273,CH$13))))</f>
        <v>1000000000000</v>
      </c>
      <c r="CI273" s="216">
        <f ca="1">IF($D273&lt;&gt;"Serviço",0,IF(OR(AND(AUTOEVENTO="Manual",$M273=1),$M273&gt;(ROW(PLE.lastrow)-ROW(PLE.firstrow))),0,IF(OFFSET(PLE!$G$14,$M273,CI$13)="",10^12,OFFSET(PLE!$G$14,$M273,CI$13))))</f>
        <v>1000000000000</v>
      </c>
      <c r="CJ273" s="216">
        <f ca="1">IF($D273&lt;&gt;"Serviço",0,IF(OR(AND(AUTOEVENTO="Manual",$M273=1),$M273&gt;(ROW(PLE.lastrow)-ROW(PLE.firstrow))),0,IF(OFFSET(PLE!$G$14,$M273,CJ$13)="",10^12,OFFSET(PLE!$G$14,$M273,CJ$13))))</f>
        <v>1000000000000</v>
      </c>
      <c r="CK273" s="216">
        <f ca="1">IF($D273&lt;&gt;"Serviço",0,IF(OR(AND(AUTOEVENTO="Manual",$M273=1),$M273&gt;(ROW(PLE.lastrow)-ROW(PLE.firstrow))),0,IF(OFFSET(PLE!$G$14,$M273,CK$13)="",10^12,OFFSET(PLE!$G$14,$M273,CK$13))))</f>
        <v>1000000000000</v>
      </c>
      <c r="CL273" s="216">
        <f ca="1">IF($D273&lt;&gt;"Serviço",0,IF(OR(AND(AUTOEVENTO="Manual",$M273=1),$M273&gt;(ROW(PLE.lastrow)-ROW(PLE.firstrow))),0,IF(OFFSET(PLE!$G$14,$M273,CL$13)="",10^12,OFFSET(PLE!$G$14,$M273,CL$13))))</f>
        <v>1000000000000</v>
      </c>
      <c r="CM273" s="216">
        <f ca="1">IF($D273&lt;&gt;"Serviço",0,IF(OR(AND(AUTOEVENTO="Manual",$M273=1),$M273&gt;(ROW(PLE.lastrow)-ROW(PLE.firstrow))),0,IF(OFFSET(PLE!$G$14,$M273,CM$13)="",10^12,OFFSET(PLE!$G$14,$M273,CM$13))))</f>
        <v>1000000000000</v>
      </c>
    </row>
    <row r="274" spans="1:91" ht="13.2" x14ac:dyDescent="0.25">
      <c r="A274" s="9">
        <f t="shared" ca="1" si="13"/>
        <v>0</v>
      </c>
      <c r="B274" s="9" t="str">
        <f ca="1">OFFSET(ORÇAMENTO!C$15,ROW(B274)-ROW(B$15),0)</f>
        <v>S</v>
      </c>
      <c r="C274" s="9" t="str">
        <f ca="1">OFFSET(ORÇAMENTO!L$15,ROW(C274)-ROW(C$15),0)</f>
        <v/>
      </c>
      <c r="D274" s="145" t="str">
        <f ca="1">OFFSET(ORÇAMENTO!N$15,ROW(D274)-ROW(D$15),0)</f>
        <v>Serviço</v>
      </c>
      <c r="E274" s="205" t="str">
        <f ca="1">OFFSET(ORÇAMENTO!O$15,ROW(E274)-ROW(E$15),0)</f>
        <v>-</v>
      </c>
      <c r="F274" s="206" t="str">
        <f ca="1">OFFSET(ORÇAMENTO!R$15,ROW(F274)-ROW(F$15),0)</f>
        <v>(abra o arquivo 'Referência 05-2024.xls)</v>
      </c>
      <c r="G274" s="207" t="str">
        <f ca="1">IF($D274&lt;&gt;"Serviço","",OFFSET(ORÇAMENTO!S$15,ROW(G274)-ROW(G$15),0))</f>
        <v>-</v>
      </c>
      <c r="H274" s="151">
        <f ca="1">IF($D274&lt;&gt;"Serviço",0,IF(ACOMPANHAMENTO="BM",ROUND(OFFSET(ORÇAMENTO!AJ$15,ROW(H274)-ROW(H$15),0),15-13*ORÇAMENTO!$AF$7),SUMPRODUCT(($Q$12:$AI$12&lt;&gt;"")*ROUND($Q274:$AI274,15-13*ORÇAMENTO!$AF$7))))</f>
        <v>135.94999999999999</v>
      </c>
      <c r="I274" s="650"/>
      <c r="K274" s="208"/>
      <c r="L274" s="209" t="s">
        <v>257</v>
      </c>
      <c r="M274" s="210">
        <f ca="1">IF($D274&lt;&gt;"Serviço","",IF(AUTOEVENTO="manual",$A274,IF(ISERROR(MATCH($A274,$A$15:OFFSET($A274,-1,0),0)),MAX($M$15:OFFSET(M274,-1,0))+1,INDEX($M$15:OFFSET(M274,-1,0),MATCH($A274,$A$15:OFFSET($A274,-1,0),0)))))</f>
        <v>0</v>
      </c>
      <c r="N274" s="211" t="str">
        <f ca="1">IF($D274&lt;&gt;"Serviço","",IF(AUTOEVENTO="Manual",IF($A274=0,"&lt;-- defina o número do agrupador",OFFSET(EVENTOS!$D$14,$A274,0)),OFFSET($F$15,$A274,0)))</f>
        <v>&lt;-- defina o número do agrupador</v>
      </c>
      <c r="O274" s="212"/>
      <c r="Q274" s="212"/>
      <c r="R274" s="213"/>
      <c r="S274" s="213"/>
      <c r="T274" s="213"/>
      <c r="U274" s="213"/>
      <c r="V274" s="213"/>
      <c r="W274" s="213"/>
      <c r="X274" s="213"/>
      <c r="Y274" s="213"/>
      <c r="Z274" s="214"/>
      <c r="AA274" s="213"/>
      <c r="AB274" s="213"/>
      <c r="AC274" s="213"/>
      <c r="AD274" s="213"/>
      <c r="AE274" s="213"/>
      <c r="AF274" s="213"/>
      <c r="AG274" s="213"/>
      <c r="AH274" s="214"/>
      <c r="AJ274" s="631">
        <f ca="1">IF(AND($D274="Serviço",AJ$12&lt;&gt;0,$H274&gt;0,OR(AUTOEVENTO&lt;&gt;"manual",$M274&lt;&gt;1)),ROUND(OFFSET($P274,0,AJ$13),15-13*ORÇAMENTO!$AF$7)/$H274*OFFSET(ORÇAMENTO!$X$15,ROW(AJ274)-ROW(AJ$15),0),0)</f>
        <v>0</v>
      </c>
      <c r="AK274" s="632">
        <f ca="1">IF(AND($D274="Serviço",AK$12&lt;&gt;0,$H274&gt;0,OR(AUTOEVENTO&lt;&gt;"manual",$M274&lt;&gt;1)),ROUND(OFFSET($P274,0,AK$13),15-13*ORÇAMENTO!$AF$7)/$H274*OFFSET(ORÇAMENTO!$X$15,ROW(AK274)-ROW(AK$15),0),0)</f>
        <v>0</v>
      </c>
      <c r="AL274" s="632">
        <f ca="1">IF(AND($D274="Serviço",AL$12&lt;&gt;0,$H274&gt;0,OR(AUTOEVENTO&lt;&gt;"manual",$M274&lt;&gt;1)),ROUND(OFFSET($P274,0,AL$13),15-13*ORÇAMENTO!$AF$7)/$H274*OFFSET(ORÇAMENTO!$X$15,ROW(AL274)-ROW(AL$15),0),0)</f>
        <v>0</v>
      </c>
      <c r="AM274" s="632">
        <f ca="1">IF(AND($D274="Serviço",AM$12&lt;&gt;0,$H274&gt;0,OR(AUTOEVENTO&lt;&gt;"manual",$M274&lt;&gt;1)),ROUND(OFFSET($P274,0,AM$13),15-13*ORÇAMENTO!$AF$7)/$H274*OFFSET(ORÇAMENTO!$X$15,ROW(AM274)-ROW(AM$15),0),0)</f>
        <v>0</v>
      </c>
      <c r="AN274" s="632">
        <f ca="1">IF(AND($D274="Serviço",AN$12&lt;&gt;0,$H274&gt;0,OR(AUTOEVENTO&lt;&gt;"manual",$M274&lt;&gt;1)),ROUND(OFFSET($P274,0,AN$13),15-13*ORÇAMENTO!$AF$7)/$H274*OFFSET(ORÇAMENTO!$X$15,ROW(AN274)-ROW(AN$15),0),0)</f>
        <v>0</v>
      </c>
      <c r="AO274" s="632">
        <f ca="1">IF(AND($D274="Serviço",AO$12&lt;&gt;0,$H274&gt;0,OR(AUTOEVENTO&lt;&gt;"manual",$M274&lt;&gt;1)),ROUND(OFFSET($P274,0,AO$13),15-13*ORÇAMENTO!$AF$7)/$H274*OFFSET(ORÇAMENTO!$X$15,ROW(AO274)-ROW(AO$15),0),0)</f>
        <v>0</v>
      </c>
      <c r="AP274" s="632">
        <f ca="1">IF(AND($D274="Serviço",AP$12&lt;&gt;0,$H274&gt;0,OR(AUTOEVENTO&lt;&gt;"manual",$M274&lt;&gt;1)),ROUND(OFFSET($P274,0,AP$13),15-13*ORÇAMENTO!$AF$7)/$H274*OFFSET(ORÇAMENTO!$X$15,ROW(AP274)-ROW(AP$15),0),0)</f>
        <v>0</v>
      </c>
      <c r="AQ274" s="632">
        <f ca="1">IF(AND($D274="Serviço",AQ$12&lt;&gt;0,$H274&gt;0,OR(AUTOEVENTO&lt;&gt;"manual",$M274&lt;&gt;1)),ROUND(OFFSET($P274,0,AQ$13),15-13*ORÇAMENTO!$AF$7)/$H274*OFFSET(ORÇAMENTO!$X$15,ROW(AQ274)-ROW(AQ$15),0),0)</f>
        <v>0</v>
      </c>
      <c r="AR274" s="632">
        <f ca="1">IF(AND($D274="Serviço",AR$12&lt;&gt;0,$H274&gt;0,OR(AUTOEVENTO&lt;&gt;"manual",$M274&lt;&gt;1)),ROUND(OFFSET($P274,0,AR$13),15-13*ORÇAMENTO!$AF$7)/$H274*OFFSET(ORÇAMENTO!$X$15,ROW(AR274)-ROW(AR$15),0),0)</f>
        <v>0</v>
      </c>
      <c r="AS274" s="633">
        <f ca="1">IF(AND($D274="Serviço",AS$12&lt;&gt;0,$H274&gt;0,OR(AUTOEVENTO&lt;&gt;"manual",$M274&lt;&gt;1)),ROUND(OFFSET($P274,0,AS$13),15-13*ORÇAMENTO!$AF$7)/$H274*OFFSET(ORÇAMENTO!$X$15,ROW(AS274)-ROW(AS$15),0),0)</f>
        <v>0</v>
      </c>
      <c r="AT274" s="632">
        <f ca="1">IF(AND($D274="Serviço",AT$12&lt;&gt;0,$H274&gt;0,OR(AUTOEVENTO&lt;&gt;"manual",$M274&lt;&gt;1)),ROUND(OFFSET($P274,0,AT$13),15-13*ORÇAMENTO!$AF$7)/$H274*OFFSET(ORÇAMENTO!$X$15,ROW(AT274)-ROW(AT$15),0),0)</f>
        <v>0</v>
      </c>
      <c r="AU274" s="632">
        <f ca="1">IF(AND($D274="Serviço",AU$12&lt;&gt;0,$H274&gt;0,OR(AUTOEVENTO&lt;&gt;"manual",$M274&lt;&gt;1)),ROUND(OFFSET($P274,0,AU$13),15-13*ORÇAMENTO!$AF$7)/$H274*OFFSET(ORÇAMENTO!$X$15,ROW(AU274)-ROW(AU$15),0),0)</f>
        <v>0</v>
      </c>
      <c r="AV274" s="632">
        <f ca="1">IF(AND($D274="Serviço",AV$12&lt;&gt;0,$H274&gt;0,OR(AUTOEVENTO&lt;&gt;"manual",$M274&lt;&gt;1)),ROUND(OFFSET($P274,0,AV$13),15-13*ORÇAMENTO!$AF$7)/$H274*OFFSET(ORÇAMENTO!$X$15,ROW(AV274)-ROW(AV$15),0),0)</f>
        <v>0</v>
      </c>
      <c r="AW274" s="632">
        <f ca="1">IF(AND($D274="Serviço",AW$12&lt;&gt;0,$H274&gt;0,OR(AUTOEVENTO&lt;&gt;"manual",$M274&lt;&gt;1)),ROUND(OFFSET($P274,0,AW$13),15-13*ORÇAMENTO!$AF$7)/$H274*OFFSET(ORÇAMENTO!$X$15,ROW(AW274)-ROW(AW$15),0),0)</f>
        <v>0</v>
      </c>
      <c r="AX274" s="632">
        <f ca="1">IF(AND($D274="Serviço",AX$12&lt;&gt;0,$H274&gt;0,OR(AUTOEVENTO&lt;&gt;"manual",$M274&lt;&gt;1)),ROUND(OFFSET($P274,0,AX$13),15-13*ORÇAMENTO!$AF$7)/$H274*OFFSET(ORÇAMENTO!$X$15,ROW(AX274)-ROW(AX$15),0),0)</f>
        <v>0</v>
      </c>
      <c r="AY274" s="632">
        <f ca="1">IF(AND($D274="Serviço",AY$12&lt;&gt;0,$H274&gt;0,OR(AUTOEVENTO&lt;&gt;"manual",$M274&lt;&gt;1)),ROUND(OFFSET($P274,0,AY$13),15-13*ORÇAMENTO!$AF$7)/$H274*OFFSET(ORÇAMENTO!$X$15,ROW(AY274)-ROW(AY$15),0),0)</f>
        <v>0</v>
      </c>
      <c r="AZ274" s="632">
        <f ca="1">IF(AND($D274="Serviço",AZ$12&lt;&gt;0,$H274&gt;0,OR(AUTOEVENTO&lt;&gt;"manual",$M274&lt;&gt;1)),ROUND(OFFSET($P274,0,AZ$13),15-13*ORÇAMENTO!$AF$7)/$H274*OFFSET(ORÇAMENTO!$X$15,ROW(AZ274)-ROW(AZ$15),0),0)</f>
        <v>0</v>
      </c>
      <c r="BA274" s="633">
        <f ca="1">IF(AND($D274="Serviço",BA$12&lt;&gt;0,$H274&gt;0,OR(AUTOEVENTO&lt;&gt;"manual",$M274&lt;&gt;1)),ROUND(OFFSET($P274,0,BA$13),15-13*ORÇAMENTO!$AF$7)/$H274*OFFSET(ORÇAMENTO!$X$15,ROW(BA274)-ROW(BA$15),0),0)</f>
        <v>0</v>
      </c>
      <c r="BC274" s="215">
        <f ca="1">IF($D274&lt;&gt;"Serviço",0,IF(AND(AUTOEVENTO="Manual",$M274=1),0,IF(OFFSET(CRONOPLE!$F$14,$M274,BC$13)="",10^12,OFFSET(CRONOPLE!$F$14,$M274,BC$13))))</f>
        <v>1000000000000</v>
      </c>
      <c r="BD274" s="215">
        <f ca="1">IF($D274&lt;&gt;"Serviço",0,IF(AND(AUTOEVENTO="Manual",$M274=1),0,IF(OFFSET(CRONOPLE!$F$14,$M274,BD$13)="",10^12,OFFSET(CRONOPLE!$F$14,$M274,BD$13))))</f>
        <v>1000000000000</v>
      </c>
      <c r="BE274" s="215">
        <f ca="1">IF($D274&lt;&gt;"Serviço",0,IF(AND(AUTOEVENTO="Manual",$M274=1),0,IF(OFFSET(CRONOPLE!$F$14,$M274,BE$13)="",10^12,OFFSET(CRONOPLE!$F$14,$M274,BE$13))))</f>
        <v>1000000000000</v>
      </c>
      <c r="BF274" s="215">
        <f ca="1">IF($D274&lt;&gt;"Serviço",0,IF(AND(AUTOEVENTO="Manual",$M274=1),0,IF(OFFSET(CRONOPLE!$F$14,$M274,BF$13)="",10^12,OFFSET(CRONOPLE!$F$14,$M274,BF$13))))</f>
        <v>1000000000000</v>
      </c>
      <c r="BG274" s="215">
        <f ca="1">IF($D274&lt;&gt;"Serviço",0,IF(AND(AUTOEVENTO="Manual",$M274=1),0,IF(OFFSET(CRONOPLE!$F$14,$M274,BG$13)="",10^12,OFFSET(CRONOPLE!$F$14,$M274,BG$13))))</f>
        <v>1000000000000</v>
      </c>
      <c r="BH274" s="215">
        <f ca="1">IF($D274&lt;&gt;"Serviço",0,IF(AND(AUTOEVENTO="Manual",$M274=1),0,IF(OFFSET(CRONOPLE!$F$14,$M274,BH$13)="",10^12,OFFSET(CRONOPLE!$F$14,$M274,BH$13))))</f>
        <v>1000000000000</v>
      </c>
      <c r="BI274" s="215">
        <f ca="1">IF($D274&lt;&gt;"Serviço",0,IF(AND(AUTOEVENTO="Manual",$M274=1),0,IF(OFFSET(CRONOPLE!$F$14,$M274,BI$13)="",10^12,OFFSET(CRONOPLE!$F$14,$M274,BI$13))))</f>
        <v>1000000000000</v>
      </c>
      <c r="BJ274" s="215">
        <f ca="1">IF($D274&lt;&gt;"Serviço",0,IF(AND(AUTOEVENTO="Manual",$M274=1),0,IF(OFFSET(CRONOPLE!$F$14,$M274,BJ$13)="",10^12,OFFSET(CRONOPLE!$F$14,$M274,BJ$13))))</f>
        <v>1000000000000</v>
      </c>
      <c r="BK274" s="215">
        <f ca="1">IF($D274&lt;&gt;"Serviço",0,IF(AND(AUTOEVENTO="Manual",$M274=1),0,IF(OFFSET(CRONOPLE!$F$14,$M274,BK$13)="",10^12,OFFSET(CRONOPLE!$F$14,$M274,BK$13))))</f>
        <v>1000000000000</v>
      </c>
      <c r="BL274" s="215">
        <f ca="1">IF($D274&lt;&gt;"Serviço",0,IF(AND(AUTOEVENTO="Manual",$M274=1),0,IF(OFFSET(CRONOPLE!$F$14,$M274,BL$13)="",10^12,OFFSET(CRONOPLE!$F$14,$M274,BL$13))))</f>
        <v>1000000000000</v>
      </c>
      <c r="BM274" s="215">
        <f ca="1">IF($D274&lt;&gt;"Serviço",0,IF(AND(AUTOEVENTO="Manual",$M274=1),0,IF(OFFSET(CRONOPLE!$F$14,$M274,BM$13)="",10^12,OFFSET(CRONOPLE!$F$14,$M274,BM$13))))</f>
        <v>1000000000000</v>
      </c>
      <c r="BN274" s="215">
        <f ca="1">IF($D274&lt;&gt;"Serviço",0,IF(AND(AUTOEVENTO="Manual",$M274=1),0,IF(OFFSET(CRONOPLE!$F$14,$M274,BN$13)="",10^12,OFFSET(CRONOPLE!$F$14,$M274,BN$13))))</f>
        <v>1000000000000</v>
      </c>
      <c r="BO274" s="215">
        <f ca="1">IF($D274&lt;&gt;"Serviço",0,IF(AND(AUTOEVENTO="Manual",$M274=1),0,IF(OFFSET(CRONOPLE!$F$14,$M274,BO$13)="",10^12,OFFSET(CRONOPLE!$F$14,$M274,BO$13))))</f>
        <v>1000000000000</v>
      </c>
      <c r="BP274" s="215">
        <f ca="1">IF($D274&lt;&gt;"Serviço",0,IF(AND(AUTOEVENTO="Manual",$M274=1),0,IF(OFFSET(CRONOPLE!$F$14,$M274,BP$13)="",10^12,OFFSET(CRONOPLE!$F$14,$M274,BP$13))))</f>
        <v>1000000000000</v>
      </c>
      <c r="BQ274" s="215">
        <f ca="1">IF($D274&lt;&gt;"Serviço",0,IF(AND(AUTOEVENTO="Manual",$M274=1),0,IF(OFFSET(CRONOPLE!$F$14,$M274,BQ$13)="",10^12,OFFSET(CRONOPLE!$F$14,$M274,BQ$13))))</f>
        <v>1000000000000</v>
      </c>
      <c r="BR274" s="215">
        <f ca="1">IF($D274&lt;&gt;"Serviço",0,IF(AND(AUTOEVENTO="Manual",$M274=1),0,IF(OFFSET(CRONOPLE!$F$14,$M274,BR$13)="",10^12,OFFSET(CRONOPLE!$F$14,$M274,BR$13))))</f>
        <v>1000000000000</v>
      </c>
      <c r="BS274" s="215">
        <f ca="1">IF($D274&lt;&gt;"Serviço",0,IF(AND(AUTOEVENTO="Manual",$M274=1),0,IF(OFFSET(CRONOPLE!$F$14,$M274,BS$13)="",10^12,OFFSET(CRONOPLE!$F$14,$M274,BS$13))))</f>
        <v>1000000000000</v>
      </c>
      <c r="BT274" s="215">
        <f ca="1">IF($D274&lt;&gt;"Serviço",0,IF(AND(AUTOEVENTO="Manual",$M274=1),0,IF(OFFSET(CRONOPLE!$F$14,$M274,BT$13)="",10^12,OFFSET(CRONOPLE!$F$14,$M274,BT$13))))</f>
        <v>1000000000000</v>
      </c>
      <c r="BV274" s="216">
        <f ca="1">IF($D274&lt;&gt;"Serviço",0,IF(OR(AND(AUTOEVENTO="Manual",$M274=1),$M274&gt;(ROW(PLE.lastrow)-ROW(PLE.firstrow))),0,IF(OFFSET(PLE!$G$14,$M274,BV$13)="",10^12,OFFSET(PLE!$G$14,$M274,BV$13))))</f>
        <v>1000000000000</v>
      </c>
      <c r="BW274" s="216">
        <f ca="1">IF($D274&lt;&gt;"Serviço",0,IF(OR(AND(AUTOEVENTO="Manual",$M274=1),$M274&gt;(ROW(PLE.lastrow)-ROW(PLE.firstrow))),0,IF(OFFSET(PLE!$G$14,$M274,BW$13)="",10^12,OFFSET(PLE!$G$14,$M274,BW$13))))</f>
        <v>1000000000000</v>
      </c>
      <c r="BX274" s="216">
        <f ca="1">IF($D274&lt;&gt;"Serviço",0,IF(OR(AND(AUTOEVENTO="Manual",$M274=1),$M274&gt;(ROW(PLE.lastrow)-ROW(PLE.firstrow))),0,IF(OFFSET(PLE!$G$14,$M274,BX$13)="",10^12,OFFSET(PLE!$G$14,$M274,BX$13))))</f>
        <v>1000000000000</v>
      </c>
      <c r="BY274" s="216">
        <f ca="1">IF($D274&lt;&gt;"Serviço",0,IF(OR(AND(AUTOEVENTO="Manual",$M274=1),$M274&gt;(ROW(PLE.lastrow)-ROW(PLE.firstrow))),0,IF(OFFSET(PLE!$G$14,$M274,BY$13)="",10^12,OFFSET(PLE!$G$14,$M274,BY$13))))</f>
        <v>1000000000000</v>
      </c>
      <c r="BZ274" s="216">
        <f ca="1">IF($D274&lt;&gt;"Serviço",0,IF(OR(AND(AUTOEVENTO="Manual",$M274=1),$M274&gt;(ROW(PLE.lastrow)-ROW(PLE.firstrow))),0,IF(OFFSET(PLE!$G$14,$M274,BZ$13)="",10^12,OFFSET(PLE!$G$14,$M274,BZ$13))))</f>
        <v>1000000000000</v>
      </c>
      <c r="CA274" s="216">
        <f ca="1">IF($D274&lt;&gt;"Serviço",0,IF(OR(AND(AUTOEVENTO="Manual",$M274=1),$M274&gt;(ROW(PLE.lastrow)-ROW(PLE.firstrow))),0,IF(OFFSET(PLE!$G$14,$M274,CA$13)="",10^12,OFFSET(PLE!$G$14,$M274,CA$13))))</f>
        <v>1000000000000</v>
      </c>
      <c r="CB274" s="216">
        <f ca="1">IF($D274&lt;&gt;"Serviço",0,IF(OR(AND(AUTOEVENTO="Manual",$M274=1),$M274&gt;(ROW(PLE.lastrow)-ROW(PLE.firstrow))),0,IF(OFFSET(PLE!$G$14,$M274,CB$13)="",10^12,OFFSET(PLE!$G$14,$M274,CB$13))))</f>
        <v>1000000000000</v>
      </c>
      <c r="CC274" s="216">
        <f ca="1">IF($D274&lt;&gt;"Serviço",0,IF(OR(AND(AUTOEVENTO="Manual",$M274=1),$M274&gt;(ROW(PLE.lastrow)-ROW(PLE.firstrow))),0,IF(OFFSET(PLE!$G$14,$M274,CC$13)="",10^12,OFFSET(PLE!$G$14,$M274,CC$13))))</f>
        <v>1000000000000</v>
      </c>
      <c r="CD274" s="216">
        <f ca="1">IF($D274&lt;&gt;"Serviço",0,IF(OR(AND(AUTOEVENTO="Manual",$M274=1),$M274&gt;(ROW(PLE.lastrow)-ROW(PLE.firstrow))),0,IF(OFFSET(PLE!$G$14,$M274,CD$13)="",10^12,OFFSET(PLE!$G$14,$M274,CD$13))))</f>
        <v>1000000000000</v>
      </c>
      <c r="CE274" s="216">
        <f ca="1">IF($D274&lt;&gt;"Serviço",0,IF(OR(AND(AUTOEVENTO="Manual",$M274=1),$M274&gt;(ROW(PLE.lastrow)-ROW(PLE.firstrow))),0,IF(OFFSET(PLE!$G$14,$M274,CE$13)="",10^12,OFFSET(PLE!$G$14,$M274,CE$13))))</f>
        <v>1000000000000</v>
      </c>
      <c r="CF274" s="216">
        <f ca="1">IF($D274&lt;&gt;"Serviço",0,IF(OR(AND(AUTOEVENTO="Manual",$M274=1),$M274&gt;(ROW(PLE.lastrow)-ROW(PLE.firstrow))),0,IF(OFFSET(PLE!$G$14,$M274,CF$13)="",10^12,OFFSET(PLE!$G$14,$M274,CF$13))))</f>
        <v>1000000000000</v>
      </c>
      <c r="CG274" s="216">
        <f ca="1">IF($D274&lt;&gt;"Serviço",0,IF(OR(AND(AUTOEVENTO="Manual",$M274=1),$M274&gt;(ROW(PLE.lastrow)-ROW(PLE.firstrow))),0,IF(OFFSET(PLE!$G$14,$M274,CG$13)="",10^12,OFFSET(PLE!$G$14,$M274,CG$13))))</f>
        <v>1000000000000</v>
      </c>
      <c r="CH274" s="216">
        <f ca="1">IF($D274&lt;&gt;"Serviço",0,IF(OR(AND(AUTOEVENTO="Manual",$M274=1),$M274&gt;(ROW(PLE.lastrow)-ROW(PLE.firstrow))),0,IF(OFFSET(PLE!$G$14,$M274,CH$13)="",10^12,OFFSET(PLE!$G$14,$M274,CH$13))))</f>
        <v>1000000000000</v>
      </c>
      <c r="CI274" s="216">
        <f ca="1">IF($D274&lt;&gt;"Serviço",0,IF(OR(AND(AUTOEVENTO="Manual",$M274=1),$M274&gt;(ROW(PLE.lastrow)-ROW(PLE.firstrow))),0,IF(OFFSET(PLE!$G$14,$M274,CI$13)="",10^12,OFFSET(PLE!$G$14,$M274,CI$13))))</f>
        <v>1000000000000</v>
      </c>
      <c r="CJ274" s="216">
        <f ca="1">IF($D274&lt;&gt;"Serviço",0,IF(OR(AND(AUTOEVENTO="Manual",$M274=1),$M274&gt;(ROW(PLE.lastrow)-ROW(PLE.firstrow))),0,IF(OFFSET(PLE!$G$14,$M274,CJ$13)="",10^12,OFFSET(PLE!$G$14,$M274,CJ$13))))</f>
        <v>1000000000000</v>
      </c>
      <c r="CK274" s="216">
        <f ca="1">IF($D274&lt;&gt;"Serviço",0,IF(OR(AND(AUTOEVENTO="Manual",$M274=1),$M274&gt;(ROW(PLE.lastrow)-ROW(PLE.firstrow))),0,IF(OFFSET(PLE!$G$14,$M274,CK$13)="",10^12,OFFSET(PLE!$G$14,$M274,CK$13))))</f>
        <v>1000000000000</v>
      </c>
      <c r="CL274" s="216">
        <f ca="1">IF($D274&lt;&gt;"Serviço",0,IF(OR(AND(AUTOEVENTO="Manual",$M274=1),$M274&gt;(ROW(PLE.lastrow)-ROW(PLE.firstrow))),0,IF(OFFSET(PLE!$G$14,$M274,CL$13)="",10^12,OFFSET(PLE!$G$14,$M274,CL$13))))</f>
        <v>1000000000000</v>
      </c>
      <c r="CM274" s="216">
        <f ca="1">IF($D274&lt;&gt;"Serviço",0,IF(OR(AND(AUTOEVENTO="Manual",$M274=1),$M274&gt;(ROW(PLE.lastrow)-ROW(PLE.firstrow))),0,IF(OFFSET(PLE!$G$14,$M274,CM$13)="",10^12,OFFSET(PLE!$G$14,$M274,CM$13))))</f>
        <v>1000000000000</v>
      </c>
    </row>
    <row r="275" spans="1:91" ht="13.2" x14ac:dyDescent="0.25">
      <c r="A275" s="9">
        <f t="shared" ca="1" si="13"/>
        <v>0</v>
      </c>
      <c r="B275" s="9" t="str">
        <f ca="1">OFFSET(ORÇAMENTO!C$15,ROW(B275)-ROW(B$15),0)</f>
        <v>S</v>
      </c>
      <c r="C275" s="9" t="str">
        <f ca="1">OFFSET(ORÇAMENTO!L$15,ROW(C275)-ROW(C$15),0)</f>
        <v/>
      </c>
      <c r="D275" s="145" t="str">
        <f ca="1">OFFSET(ORÇAMENTO!N$15,ROW(D275)-ROW(D$15),0)</f>
        <v>Serviço</v>
      </c>
      <c r="E275" s="205" t="str">
        <f ca="1">OFFSET(ORÇAMENTO!O$15,ROW(E275)-ROW(E$15),0)</f>
        <v>-</v>
      </c>
      <c r="F275" s="206" t="str">
        <f ca="1">OFFSET(ORÇAMENTO!R$15,ROW(F275)-ROW(F$15),0)</f>
        <v>(abra o arquivo 'Referência 05-2024.xls)</v>
      </c>
      <c r="G275" s="207" t="str">
        <f ca="1">IF($D275&lt;&gt;"Serviço","",OFFSET(ORÇAMENTO!S$15,ROW(G275)-ROW(G$15),0))</f>
        <v>-</v>
      </c>
      <c r="H275" s="151">
        <f ca="1">IF($D275&lt;&gt;"Serviço",0,IF(ACOMPANHAMENTO="BM",ROUND(OFFSET(ORÇAMENTO!AJ$15,ROW(H275)-ROW(H$15),0),15-13*ORÇAMENTO!$AF$7),SUMPRODUCT(($Q$12:$AI$12&lt;&gt;"")*ROUND($Q275:$AI275,15-13*ORÇAMENTO!$AF$7))))</f>
        <v>95.12</v>
      </c>
      <c r="I275" s="650"/>
      <c r="K275" s="208"/>
      <c r="L275" s="209" t="s">
        <v>257</v>
      </c>
      <c r="M275" s="210">
        <f ca="1">IF($D275&lt;&gt;"Serviço","",IF(AUTOEVENTO="manual",$A275,IF(ISERROR(MATCH($A275,$A$15:OFFSET($A275,-1,0),0)),MAX($M$15:OFFSET(M275,-1,0))+1,INDEX($M$15:OFFSET(M275,-1,0),MATCH($A275,$A$15:OFFSET($A275,-1,0),0)))))</f>
        <v>0</v>
      </c>
      <c r="N275" s="211" t="str">
        <f ca="1">IF($D275&lt;&gt;"Serviço","",IF(AUTOEVENTO="Manual",IF($A275=0,"&lt;-- defina o número do agrupador",OFFSET(EVENTOS!$D$14,$A275,0)),OFFSET($F$15,$A275,0)))</f>
        <v>&lt;-- defina o número do agrupador</v>
      </c>
      <c r="O275" s="212"/>
      <c r="Q275" s="212"/>
      <c r="R275" s="213"/>
      <c r="S275" s="213"/>
      <c r="T275" s="213"/>
      <c r="U275" s="213"/>
      <c r="V275" s="213"/>
      <c r="W275" s="213"/>
      <c r="X275" s="213"/>
      <c r="Y275" s="213"/>
      <c r="Z275" s="214"/>
      <c r="AA275" s="213"/>
      <c r="AB275" s="213"/>
      <c r="AC275" s="213"/>
      <c r="AD275" s="213"/>
      <c r="AE275" s="213"/>
      <c r="AF275" s="213"/>
      <c r="AG275" s="213"/>
      <c r="AH275" s="214"/>
      <c r="AJ275" s="631">
        <f ca="1">IF(AND($D275="Serviço",AJ$12&lt;&gt;0,$H275&gt;0,OR(AUTOEVENTO&lt;&gt;"manual",$M275&lt;&gt;1)),ROUND(OFFSET($P275,0,AJ$13),15-13*ORÇAMENTO!$AF$7)/$H275*OFFSET(ORÇAMENTO!$X$15,ROW(AJ275)-ROW(AJ$15),0),0)</f>
        <v>0</v>
      </c>
      <c r="AK275" s="632">
        <f ca="1">IF(AND($D275="Serviço",AK$12&lt;&gt;0,$H275&gt;0,OR(AUTOEVENTO&lt;&gt;"manual",$M275&lt;&gt;1)),ROUND(OFFSET($P275,0,AK$13),15-13*ORÇAMENTO!$AF$7)/$H275*OFFSET(ORÇAMENTO!$X$15,ROW(AK275)-ROW(AK$15),0),0)</f>
        <v>0</v>
      </c>
      <c r="AL275" s="632">
        <f ca="1">IF(AND($D275="Serviço",AL$12&lt;&gt;0,$H275&gt;0,OR(AUTOEVENTO&lt;&gt;"manual",$M275&lt;&gt;1)),ROUND(OFFSET($P275,0,AL$13),15-13*ORÇAMENTO!$AF$7)/$H275*OFFSET(ORÇAMENTO!$X$15,ROW(AL275)-ROW(AL$15),0),0)</f>
        <v>0</v>
      </c>
      <c r="AM275" s="632">
        <f ca="1">IF(AND($D275="Serviço",AM$12&lt;&gt;0,$H275&gt;0,OR(AUTOEVENTO&lt;&gt;"manual",$M275&lt;&gt;1)),ROUND(OFFSET($P275,0,AM$13),15-13*ORÇAMENTO!$AF$7)/$H275*OFFSET(ORÇAMENTO!$X$15,ROW(AM275)-ROW(AM$15),0),0)</f>
        <v>0</v>
      </c>
      <c r="AN275" s="632">
        <f ca="1">IF(AND($D275="Serviço",AN$12&lt;&gt;0,$H275&gt;0,OR(AUTOEVENTO&lt;&gt;"manual",$M275&lt;&gt;1)),ROUND(OFFSET($P275,0,AN$13),15-13*ORÇAMENTO!$AF$7)/$H275*OFFSET(ORÇAMENTO!$X$15,ROW(AN275)-ROW(AN$15),0),0)</f>
        <v>0</v>
      </c>
      <c r="AO275" s="632">
        <f ca="1">IF(AND($D275="Serviço",AO$12&lt;&gt;0,$H275&gt;0,OR(AUTOEVENTO&lt;&gt;"manual",$M275&lt;&gt;1)),ROUND(OFFSET($P275,0,AO$13),15-13*ORÇAMENTO!$AF$7)/$H275*OFFSET(ORÇAMENTO!$X$15,ROW(AO275)-ROW(AO$15),0),0)</f>
        <v>0</v>
      </c>
      <c r="AP275" s="632">
        <f ca="1">IF(AND($D275="Serviço",AP$12&lt;&gt;0,$H275&gt;0,OR(AUTOEVENTO&lt;&gt;"manual",$M275&lt;&gt;1)),ROUND(OFFSET($P275,0,AP$13),15-13*ORÇAMENTO!$AF$7)/$H275*OFFSET(ORÇAMENTO!$X$15,ROW(AP275)-ROW(AP$15),0),0)</f>
        <v>0</v>
      </c>
      <c r="AQ275" s="632">
        <f ca="1">IF(AND($D275="Serviço",AQ$12&lt;&gt;0,$H275&gt;0,OR(AUTOEVENTO&lt;&gt;"manual",$M275&lt;&gt;1)),ROUND(OFFSET($P275,0,AQ$13),15-13*ORÇAMENTO!$AF$7)/$H275*OFFSET(ORÇAMENTO!$X$15,ROW(AQ275)-ROW(AQ$15),0),0)</f>
        <v>0</v>
      </c>
      <c r="AR275" s="632">
        <f ca="1">IF(AND($D275="Serviço",AR$12&lt;&gt;0,$H275&gt;0,OR(AUTOEVENTO&lt;&gt;"manual",$M275&lt;&gt;1)),ROUND(OFFSET($P275,0,AR$13),15-13*ORÇAMENTO!$AF$7)/$H275*OFFSET(ORÇAMENTO!$X$15,ROW(AR275)-ROW(AR$15),0),0)</f>
        <v>0</v>
      </c>
      <c r="AS275" s="633">
        <f ca="1">IF(AND($D275="Serviço",AS$12&lt;&gt;0,$H275&gt;0,OR(AUTOEVENTO&lt;&gt;"manual",$M275&lt;&gt;1)),ROUND(OFFSET($P275,0,AS$13),15-13*ORÇAMENTO!$AF$7)/$H275*OFFSET(ORÇAMENTO!$X$15,ROW(AS275)-ROW(AS$15),0),0)</f>
        <v>0</v>
      </c>
      <c r="AT275" s="632">
        <f ca="1">IF(AND($D275="Serviço",AT$12&lt;&gt;0,$H275&gt;0,OR(AUTOEVENTO&lt;&gt;"manual",$M275&lt;&gt;1)),ROUND(OFFSET($P275,0,AT$13),15-13*ORÇAMENTO!$AF$7)/$H275*OFFSET(ORÇAMENTO!$X$15,ROW(AT275)-ROW(AT$15),0),0)</f>
        <v>0</v>
      </c>
      <c r="AU275" s="632">
        <f ca="1">IF(AND($D275="Serviço",AU$12&lt;&gt;0,$H275&gt;0,OR(AUTOEVENTO&lt;&gt;"manual",$M275&lt;&gt;1)),ROUND(OFFSET($P275,0,AU$13),15-13*ORÇAMENTO!$AF$7)/$H275*OFFSET(ORÇAMENTO!$X$15,ROW(AU275)-ROW(AU$15),0),0)</f>
        <v>0</v>
      </c>
      <c r="AV275" s="632">
        <f ca="1">IF(AND($D275="Serviço",AV$12&lt;&gt;0,$H275&gt;0,OR(AUTOEVENTO&lt;&gt;"manual",$M275&lt;&gt;1)),ROUND(OFFSET($P275,0,AV$13),15-13*ORÇAMENTO!$AF$7)/$H275*OFFSET(ORÇAMENTO!$X$15,ROW(AV275)-ROW(AV$15),0),0)</f>
        <v>0</v>
      </c>
      <c r="AW275" s="632">
        <f ca="1">IF(AND($D275="Serviço",AW$12&lt;&gt;0,$H275&gt;0,OR(AUTOEVENTO&lt;&gt;"manual",$M275&lt;&gt;1)),ROUND(OFFSET($P275,0,AW$13),15-13*ORÇAMENTO!$AF$7)/$H275*OFFSET(ORÇAMENTO!$X$15,ROW(AW275)-ROW(AW$15),0),0)</f>
        <v>0</v>
      </c>
      <c r="AX275" s="632">
        <f ca="1">IF(AND($D275="Serviço",AX$12&lt;&gt;0,$H275&gt;0,OR(AUTOEVENTO&lt;&gt;"manual",$M275&lt;&gt;1)),ROUND(OFFSET($P275,0,AX$13),15-13*ORÇAMENTO!$AF$7)/$H275*OFFSET(ORÇAMENTO!$X$15,ROW(AX275)-ROW(AX$15),0),0)</f>
        <v>0</v>
      </c>
      <c r="AY275" s="632">
        <f ca="1">IF(AND($D275="Serviço",AY$12&lt;&gt;0,$H275&gt;0,OR(AUTOEVENTO&lt;&gt;"manual",$M275&lt;&gt;1)),ROUND(OFFSET($P275,0,AY$13),15-13*ORÇAMENTO!$AF$7)/$H275*OFFSET(ORÇAMENTO!$X$15,ROW(AY275)-ROW(AY$15),0),0)</f>
        <v>0</v>
      </c>
      <c r="AZ275" s="632">
        <f ca="1">IF(AND($D275="Serviço",AZ$12&lt;&gt;0,$H275&gt;0,OR(AUTOEVENTO&lt;&gt;"manual",$M275&lt;&gt;1)),ROUND(OFFSET($P275,0,AZ$13),15-13*ORÇAMENTO!$AF$7)/$H275*OFFSET(ORÇAMENTO!$X$15,ROW(AZ275)-ROW(AZ$15),0),0)</f>
        <v>0</v>
      </c>
      <c r="BA275" s="633">
        <f ca="1">IF(AND($D275="Serviço",BA$12&lt;&gt;0,$H275&gt;0,OR(AUTOEVENTO&lt;&gt;"manual",$M275&lt;&gt;1)),ROUND(OFFSET($P275,0,BA$13),15-13*ORÇAMENTO!$AF$7)/$H275*OFFSET(ORÇAMENTO!$X$15,ROW(BA275)-ROW(BA$15),0),0)</f>
        <v>0</v>
      </c>
      <c r="BC275" s="215">
        <f ca="1">IF($D275&lt;&gt;"Serviço",0,IF(AND(AUTOEVENTO="Manual",$M275=1),0,IF(OFFSET(CRONOPLE!$F$14,$M275,BC$13)="",10^12,OFFSET(CRONOPLE!$F$14,$M275,BC$13))))</f>
        <v>1000000000000</v>
      </c>
      <c r="BD275" s="215">
        <f ca="1">IF($D275&lt;&gt;"Serviço",0,IF(AND(AUTOEVENTO="Manual",$M275=1),0,IF(OFFSET(CRONOPLE!$F$14,$M275,BD$13)="",10^12,OFFSET(CRONOPLE!$F$14,$M275,BD$13))))</f>
        <v>1000000000000</v>
      </c>
      <c r="BE275" s="215">
        <f ca="1">IF($D275&lt;&gt;"Serviço",0,IF(AND(AUTOEVENTO="Manual",$M275=1),0,IF(OFFSET(CRONOPLE!$F$14,$M275,BE$13)="",10^12,OFFSET(CRONOPLE!$F$14,$M275,BE$13))))</f>
        <v>1000000000000</v>
      </c>
      <c r="BF275" s="215">
        <f ca="1">IF($D275&lt;&gt;"Serviço",0,IF(AND(AUTOEVENTO="Manual",$M275=1),0,IF(OFFSET(CRONOPLE!$F$14,$M275,BF$13)="",10^12,OFFSET(CRONOPLE!$F$14,$M275,BF$13))))</f>
        <v>1000000000000</v>
      </c>
      <c r="BG275" s="215">
        <f ca="1">IF($D275&lt;&gt;"Serviço",0,IF(AND(AUTOEVENTO="Manual",$M275=1),0,IF(OFFSET(CRONOPLE!$F$14,$M275,BG$13)="",10^12,OFFSET(CRONOPLE!$F$14,$M275,BG$13))))</f>
        <v>1000000000000</v>
      </c>
      <c r="BH275" s="215">
        <f ca="1">IF($D275&lt;&gt;"Serviço",0,IF(AND(AUTOEVENTO="Manual",$M275=1),0,IF(OFFSET(CRONOPLE!$F$14,$M275,BH$13)="",10^12,OFFSET(CRONOPLE!$F$14,$M275,BH$13))))</f>
        <v>1000000000000</v>
      </c>
      <c r="BI275" s="215">
        <f ca="1">IF($D275&lt;&gt;"Serviço",0,IF(AND(AUTOEVENTO="Manual",$M275=1),0,IF(OFFSET(CRONOPLE!$F$14,$M275,BI$13)="",10^12,OFFSET(CRONOPLE!$F$14,$M275,BI$13))))</f>
        <v>1000000000000</v>
      </c>
      <c r="BJ275" s="215">
        <f ca="1">IF($D275&lt;&gt;"Serviço",0,IF(AND(AUTOEVENTO="Manual",$M275=1),0,IF(OFFSET(CRONOPLE!$F$14,$M275,BJ$13)="",10^12,OFFSET(CRONOPLE!$F$14,$M275,BJ$13))))</f>
        <v>1000000000000</v>
      </c>
      <c r="BK275" s="215">
        <f ca="1">IF($D275&lt;&gt;"Serviço",0,IF(AND(AUTOEVENTO="Manual",$M275=1),0,IF(OFFSET(CRONOPLE!$F$14,$M275,BK$13)="",10^12,OFFSET(CRONOPLE!$F$14,$M275,BK$13))))</f>
        <v>1000000000000</v>
      </c>
      <c r="BL275" s="215">
        <f ca="1">IF($D275&lt;&gt;"Serviço",0,IF(AND(AUTOEVENTO="Manual",$M275=1),0,IF(OFFSET(CRONOPLE!$F$14,$M275,BL$13)="",10^12,OFFSET(CRONOPLE!$F$14,$M275,BL$13))))</f>
        <v>1000000000000</v>
      </c>
      <c r="BM275" s="215">
        <f ca="1">IF($D275&lt;&gt;"Serviço",0,IF(AND(AUTOEVENTO="Manual",$M275=1),0,IF(OFFSET(CRONOPLE!$F$14,$M275,BM$13)="",10^12,OFFSET(CRONOPLE!$F$14,$M275,BM$13))))</f>
        <v>1000000000000</v>
      </c>
      <c r="BN275" s="215">
        <f ca="1">IF($D275&lt;&gt;"Serviço",0,IF(AND(AUTOEVENTO="Manual",$M275=1),0,IF(OFFSET(CRONOPLE!$F$14,$M275,BN$13)="",10^12,OFFSET(CRONOPLE!$F$14,$M275,BN$13))))</f>
        <v>1000000000000</v>
      </c>
      <c r="BO275" s="215">
        <f ca="1">IF($D275&lt;&gt;"Serviço",0,IF(AND(AUTOEVENTO="Manual",$M275=1),0,IF(OFFSET(CRONOPLE!$F$14,$M275,BO$13)="",10^12,OFFSET(CRONOPLE!$F$14,$M275,BO$13))))</f>
        <v>1000000000000</v>
      </c>
      <c r="BP275" s="215">
        <f ca="1">IF($D275&lt;&gt;"Serviço",0,IF(AND(AUTOEVENTO="Manual",$M275=1),0,IF(OFFSET(CRONOPLE!$F$14,$M275,BP$13)="",10^12,OFFSET(CRONOPLE!$F$14,$M275,BP$13))))</f>
        <v>1000000000000</v>
      </c>
      <c r="BQ275" s="215">
        <f ca="1">IF($D275&lt;&gt;"Serviço",0,IF(AND(AUTOEVENTO="Manual",$M275=1),0,IF(OFFSET(CRONOPLE!$F$14,$M275,BQ$13)="",10^12,OFFSET(CRONOPLE!$F$14,$M275,BQ$13))))</f>
        <v>1000000000000</v>
      </c>
      <c r="BR275" s="215">
        <f ca="1">IF($D275&lt;&gt;"Serviço",0,IF(AND(AUTOEVENTO="Manual",$M275=1),0,IF(OFFSET(CRONOPLE!$F$14,$M275,BR$13)="",10^12,OFFSET(CRONOPLE!$F$14,$M275,BR$13))))</f>
        <v>1000000000000</v>
      </c>
      <c r="BS275" s="215">
        <f ca="1">IF($D275&lt;&gt;"Serviço",0,IF(AND(AUTOEVENTO="Manual",$M275=1),0,IF(OFFSET(CRONOPLE!$F$14,$M275,BS$13)="",10^12,OFFSET(CRONOPLE!$F$14,$M275,BS$13))))</f>
        <v>1000000000000</v>
      </c>
      <c r="BT275" s="215">
        <f ca="1">IF($D275&lt;&gt;"Serviço",0,IF(AND(AUTOEVENTO="Manual",$M275=1),0,IF(OFFSET(CRONOPLE!$F$14,$M275,BT$13)="",10^12,OFFSET(CRONOPLE!$F$14,$M275,BT$13))))</f>
        <v>1000000000000</v>
      </c>
      <c r="BV275" s="216">
        <f ca="1">IF($D275&lt;&gt;"Serviço",0,IF(OR(AND(AUTOEVENTO="Manual",$M275=1),$M275&gt;(ROW(PLE.lastrow)-ROW(PLE.firstrow))),0,IF(OFFSET(PLE!$G$14,$M275,BV$13)="",10^12,OFFSET(PLE!$G$14,$M275,BV$13))))</f>
        <v>1000000000000</v>
      </c>
      <c r="BW275" s="216">
        <f ca="1">IF($D275&lt;&gt;"Serviço",0,IF(OR(AND(AUTOEVENTO="Manual",$M275=1),$M275&gt;(ROW(PLE.lastrow)-ROW(PLE.firstrow))),0,IF(OFFSET(PLE!$G$14,$M275,BW$13)="",10^12,OFFSET(PLE!$G$14,$M275,BW$13))))</f>
        <v>1000000000000</v>
      </c>
      <c r="BX275" s="216">
        <f ca="1">IF($D275&lt;&gt;"Serviço",0,IF(OR(AND(AUTOEVENTO="Manual",$M275=1),$M275&gt;(ROW(PLE.lastrow)-ROW(PLE.firstrow))),0,IF(OFFSET(PLE!$G$14,$M275,BX$13)="",10^12,OFFSET(PLE!$G$14,$M275,BX$13))))</f>
        <v>1000000000000</v>
      </c>
      <c r="BY275" s="216">
        <f ca="1">IF($D275&lt;&gt;"Serviço",0,IF(OR(AND(AUTOEVENTO="Manual",$M275=1),$M275&gt;(ROW(PLE.lastrow)-ROW(PLE.firstrow))),0,IF(OFFSET(PLE!$G$14,$M275,BY$13)="",10^12,OFFSET(PLE!$G$14,$M275,BY$13))))</f>
        <v>1000000000000</v>
      </c>
      <c r="BZ275" s="216">
        <f ca="1">IF($D275&lt;&gt;"Serviço",0,IF(OR(AND(AUTOEVENTO="Manual",$M275=1),$M275&gt;(ROW(PLE.lastrow)-ROW(PLE.firstrow))),0,IF(OFFSET(PLE!$G$14,$M275,BZ$13)="",10^12,OFFSET(PLE!$G$14,$M275,BZ$13))))</f>
        <v>1000000000000</v>
      </c>
      <c r="CA275" s="216">
        <f ca="1">IF($D275&lt;&gt;"Serviço",0,IF(OR(AND(AUTOEVENTO="Manual",$M275=1),$M275&gt;(ROW(PLE.lastrow)-ROW(PLE.firstrow))),0,IF(OFFSET(PLE!$G$14,$M275,CA$13)="",10^12,OFFSET(PLE!$G$14,$M275,CA$13))))</f>
        <v>1000000000000</v>
      </c>
      <c r="CB275" s="216">
        <f ca="1">IF($D275&lt;&gt;"Serviço",0,IF(OR(AND(AUTOEVENTO="Manual",$M275=1),$M275&gt;(ROW(PLE.lastrow)-ROW(PLE.firstrow))),0,IF(OFFSET(PLE!$G$14,$M275,CB$13)="",10^12,OFFSET(PLE!$G$14,$M275,CB$13))))</f>
        <v>1000000000000</v>
      </c>
      <c r="CC275" s="216">
        <f ca="1">IF($D275&lt;&gt;"Serviço",0,IF(OR(AND(AUTOEVENTO="Manual",$M275=1),$M275&gt;(ROW(PLE.lastrow)-ROW(PLE.firstrow))),0,IF(OFFSET(PLE!$G$14,$M275,CC$13)="",10^12,OFFSET(PLE!$G$14,$M275,CC$13))))</f>
        <v>1000000000000</v>
      </c>
      <c r="CD275" s="216">
        <f ca="1">IF($D275&lt;&gt;"Serviço",0,IF(OR(AND(AUTOEVENTO="Manual",$M275=1),$M275&gt;(ROW(PLE.lastrow)-ROW(PLE.firstrow))),0,IF(OFFSET(PLE!$G$14,$M275,CD$13)="",10^12,OFFSET(PLE!$G$14,$M275,CD$13))))</f>
        <v>1000000000000</v>
      </c>
      <c r="CE275" s="216">
        <f ca="1">IF($D275&lt;&gt;"Serviço",0,IF(OR(AND(AUTOEVENTO="Manual",$M275=1),$M275&gt;(ROW(PLE.lastrow)-ROW(PLE.firstrow))),0,IF(OFFSET(PLE!$G$14,$M275,CE$13)="",10^12,OFFSET(PLE!$G$14,$M275,CE$13))))</f>
        <v>1000000000000</v>
      </c>
      <c r="CF275" s="216">
        <f ca="1">IF($D275&lt;&gt;"Serviço",0,IF(OR(AND(AUTOEVENTO="Manual",$M275=1),$M275&gt;(ROW(PLE.lastrow)-ROW(PLE.firstrow))),0,IF(OFFSET(PLE!$G$14,$M275,CF$13)="",10^12,OFFSET(PLE!$G$14,$M275,CF$13))))</f>
        <v>1000000000000</v>
      </c>
      <c r="CG275" s="216">
        <f ca="1">IF($D275&lt;&gt;"Serviço",0,IF(OR(AND(AUTOEVENTO="Manual",$M275=1),$M275&gt;(ROW(PLE.lastrow)-ROW(PLE.firstrow))),0,IF(OFFSET(PLE!$G$14,$M275,CG$13)="",10^12,OFFSET(PLE!$G$14,$M275,CG$13))))</f>
        <v>1000000000000</v>
      </c>
      <c r="CH275" s="216">
        <f ca="1">IF($D275&lt;&gt;"Serviço",0,IF(OR(AND(AUTOEVENTO="Manual",$M275=1),$M275&gt;(ROW(PLE.lastrow)-ROW(PLE.firstrow))),0,IF(OFFSET(PLE!$G$14,$M275,CH$13)="",10^12,OFFSET(PLE!$G$14,$M275,CH$13))))</f>
        <v>1000000000000</v>
      </c>
      <c r="CI275" s="216">
        <f ca="1">IF($D275&lt;&gt;"Serviço",0,IF(OR(AND(AUTOEVENTO="Manual",$M275=1),$M275&gt;(ROW(PLE.lastrow)-ROW(PLE.firstrow))),0,IF(OFFSET(PLE!$G$14,$M275,CI$13)="",10^12,OFFSET(PLE!$G$14,$M275,CI$13))))</f>
        <v>1000000000000</v>
      </c>
      <c r="CJ275" s="216">
        <f ca="1">IF($D275&lt;&gt;"Serviço",0,IF(OR(AND(AUTOEVENTO="Manual",$M275=1),$M275&gt;(ROW(PLE.lastrow)-ROW(PLE.firstrow))),0,IF(OFFSET(PLE!$G$14,$M275,CJ$13)="",10^12,OFFSET(PLE!$G$14,$M275,CJ$13))))</f>
        <v>1000000000000</v>
      </c>
      <c r="CK275" s="216">
        <f ca="1">IF($D275&lt;&gt;"Serviço",0,IF(OR(AND(AUTOEVENTO="Manual",$M275=1),$M275&gt;(ROW(PLE.lastrow)-ROW(PLE.firstrow))),0,IF(OFFSET(PLE!$G$14,$M275,CK$13)="",10^12,OFFSET(PLE!$G$14,$M275,CK$13))))</f>
        <v>1000000000000</v>
      </c>
      <c r="CL275" s="216">
        <f ca="1">IF($D275&lt;&gt;"Serviço",0,IF(OR(AND(AUTOEVENTO="Manual",$M275=1),$M275&gt;(ROW(PLE.lastrow)-ROW(PLE.firstrow))),0,IF(OFFSET(PLE!$G$14,$M275,CL$13)="",10^12,OFFSET(PLE!$G$14,$M275,CL$13))))</f>
        <v>1000000000000</v>
      </c>
      <c r="CM275" s="216">
        <f ca="1">IF($D275&lt;&gt;"Serviço",0,IF(OR(AND(AUTOEVENTO="Manual",$M275=1),$M275&gt;(ROW(PLE.lastrow)-ROW(PLE.firstrow))),0,IF(OFFSET(PLE!$G$14,$M275,CM$13)="",10^12,OFFSET(PLE!$G$14,$M275,CM$13))))</f>
        <v>1000000000000</v>
      </c>
    </row>
    <row r="276" spans="1:91" ht="13.2" x14ac:dyDescent="0.25">
      <c r="A276" s="9">
        <f t="shared" ca="1" si="13"/>
        <v>0</v>
      </c>
      <c r="B276" s="9" t="str">
        <f ca="1">OFFSET(ORÇAMENTO!C$15,ROW(B276)-ROW(B$15),0)</f>
        <v>S</v>
      </c>
      <c r="C276" s="9" t="str">
        <f ca="1">OFFSET(ORÇAMENTO!L$15,ROW(C276)-ROW(C$15),0)</f>
        <v/>
      </c>
      <c r="D276" s="145" t="str">
        <f ca="1">OFFSET(ORÇAMENTO!N$15,ROW(D276)-ROW(D$15),0)</f>
        <v>Serviço</v>
      </c>
      <c r="E276" s="205" t="str">
        <f ca="1">OFFSET(ORÇAMENTO!O$15,ROW(E276)-ROW(E$15),0)</f>
        <v>-</v>
      </c>
      <c r="F276" s="206" t="str">
        <f ca="1">OFFSET(ORÇAMENTO!R$15,ROW(F276)-ROW(F$15),0)</f>
        <v>(abra o arquivo 'Referência 05-2024.xls)</v>
      </c>
      <c r="G276" s="207" t="str">
        <f ca="1">IF($D276&lt;&gt;"Serviço","",OFFSET(ORÇAMENTO!S$15,ROW(G276)-ROW(G$15),0))</f>
        <v>-</v>
      </c>
      <c r="H276" s="151">
        <f ca="1">IF($D276&lt;&gt;"Serviço",0,IF(ACOMPANHAMENTO="BM",ROUND(OFFSET(ORÇAMENTO!AJ$15,ROW(H276)-ROW(H$15),0),15-13*ORÇAMENTO!$AF$7),SUMPRODUCT(($Q$12:$AI$12&lt;&gt;"")*ROUND($Q276:$AI276,15-13*ORÇAMENTO!$AF$7))))</f>
        <v>98.5</v>
      </c>
      <c r="I276" s="650"/>
      <c r="K276" s="208"/>
      <c r="L276" s="209" t="s">
        <v>257</v>
      </c>
      <c r="M276" s="210">
        <f ca="1">IF($D276&lt;&gt;"Serviço","",IF(AUTOEVENTO="manual",$A276,IF(ISERROR(MATCH($A276,$A$15:OFFSET($A276,-1,0),0)),MAX($M$15:OFFSET(M276,-1,0))+1,INDEX($M$15:OFFSET(M276,-1,0),MATCH($A276,$A$15:OFFSET($A276,-1,0),0)))))</f>
        <v>0</v>
      </c>
      <c r="N276" s="211" t="str">
        <f ca="1">IF($D276&lt;&gt;"Serviço","",IF(AUTOEVENTO="Manual",IF($A276=0,"&lt;-- defina o número do agrupador",OFFSET(EVENTOS!$D$14,$A276,0)),OFFSET($F$15,$A276,0)))</f>
        <v>&lt;-- defina o número do agrupador</v>
      </c>
      <c r="O276" s="212"/>
      <c r="Q276" s="212"/>
      <c r="R276" s="213"/>
      <c r="S276" s="213"/>
      <c r="T276" s="213"/>
      <c r="U276" s="213"/>
      <c r="V276" s="213"/>
      <c r="W276" s="213"/>
      <c r="X276" s="213"/>
      <c r="Y276" s="213"/>
      <c r="Z276" s="214"/>
      <c r="AA276" s="213"/>
      <c r="AB276" s="213"/>
      <c r="AC276" s="213"/>
      <c r="AD276" s="213"/>
      <c r="AE276" s="213"/>
      <c r="AF276" s="213"/>
      <c r="AG276" s="213"/>
      <c r="AH276" s="214"/>
      <c r="AJ276" s="631">
        <f ca="1">IF(AND($D276="Serviço",AJ$12&lt;&gt;0,$H276&gt;0,OR(AUTOEVENTO&lt;&gt;"manual",$M276&lt;&gt;1)),ROUND(OFFSET($P276,0,AJ$13),15-13*ORÇAMENTO!$AF$7)/$H276*OFFSET(ORÇAMENTO!$X$15,ROW(AJ276)-ROW(AJ$15),0),0)</f>
        <v>0</v>
      </c>
      <c r="AK276" s="632">
        <f ca="1">IF(AND($D276="Serviço",AK$12&lt;&gt;0,$H276&gt;0,OR(AUTOEVENTO&lt;&gt;"manual",$M276&lt;&gt;1)),ROUND(OFFSET($P276,0,AK$13),15-13*ORÇAMENTO!$AF$7)/$H276*OFFSET(ORÇAMENTO!$X$15,ROW(AK276)-ROW(AK$15),0),0)</f>
        <v>0</v>
      </c>
      <c r="AL276" s="632">
        <f ca="1">IF(AND($D276="Serviço",AL$12&lt;&gt;0,$H276&gt;0,OR(AUTOEVENTO&lt;&gt;"manual",$M276&lt;&gt;1)),ROUND(OFFSET($P276,0,AL$13),15-13*ORÇAMENTO!$AF$7)/$H276*OFFSET(ORÇAMENTO!$X$15,ROW(AL276)-ROW(AL$15),0),0)</f>
        <v>0</v>
      </c>
      <c r="AM276" s="632">
        <f ca="1">IF(AND($D276="Serviço",AM$12&lt;&gt;0,$H276&gt;0,OR(AUTOEVENTO&lt;&gt;"manual",$M276&lt;&gt;1)),ROUND(OFFSET($P276,0,AM$13),15-13*ORÇAMENTO!$AF$7)/$H276*OFFSET(ORÇAMENTO!$X$15,ROW(AM276)-ROW(AM$15),0),0)</f>
        <v>0</v>
      </c>
      <c r="AN276" s="632">
        <f ca="1">IF(AND($D276="Serviço",AN$12&lt;&gt;0,$H276&gt;0,OR(AUTOEVENTO&lt;&gt;"manual",$M276&lt;&gt;1)),ROUND(OFFSET($P276,0,AN$13),15-13*ORÇAMENTO!$AF$7)/$H276*OFFSET(ORÇAMENTO!$X$15,ROW(AN276)-ROW(AN$15),0),0)</f>
        <v>0</v>
      </c>
      <c r="AO276" s="632">
        <f ca="1">IF(AND($D276="Serviço",AO$12&lt;&gt;0,$H276&gt;0,OR(AUTOEVENTO&lt;&gt;"manual",$M276&lt;&gt;1)),ROUND(OFFSET($P276,0,AO$13),15-13*ORÇAMENTO!$AF$7)/$H276*OFFSET(ORÇAMENTO!$X$15,ROW(AO276)-ROW(AO$15),0),0)</f>
        <v>0</v>
      </c>
      <c r="AP276" s="632">
        <f ca="1">IF(AND($D276="Serviço",AP$12&lt;&gt;0,$H276&gt;0,OR(AUTOEVENTO&lt;&gt;"manual",$M276&lt;&gt;1)),ROUND(OFFSET($P276,0,AP$13),15-13*ORÇAMENTO!$AF$7)/$H276*OFFSET(ORÇAMENTO!$X$15,ROW(AP276)-ROW(AP$15),0),0)</f>
        <v>0</v>
      </c>
      <c r="AQ276" s="632">
        <f ca="1">IF(AND($D276="Serviço",AQ$12&lt;&gt;0,$H276&gt;0,OR(AUTOEVENTO&lt;&gt;"manual",$M276&lt;&gt;1)),ROUND(OFFSET($P276,0,AQ$13),15-13*ORÇAMENTO!$AF$7)/$H276*OFFSET(ORÇAMENTO!$X$15,ROW(AQ276)-ROW(AQ$15),0),0)</f>
        <v>0</v>
      </c>
      <c r="AR276" s="632">
        <f ca="1">IF(AND($D276="Serviço",AR$12&lt;&gt;0,$H276&gt;0,OR(AUTOEVENTO&lt;&gt;"manual",$M276&lt;&gt;1)),ROUND(OFFSET($P276,0,AR$13),15-13*ORÇAMENTO!$AF$7)/$H276*OFFSET(ORÇAMENTO!$X$15,ROW(AR276)-ROW(AR$15),0),0)</f>
        <v>0</v>
      </c>
      <c r="AS276" s="633">
        <f ca="1">IF(AND($D276="Serviço",AS$12&lt;&gt;0,$H276&gt;0,OR(AUTOEVENTO&lt;&gt;"manual",$M276&lt;&gt;1)),ROUND(OFFSET($P276,0,AS$13),15-13*ORÇAMENTO!$AF$7)/$H276*OFFSET(ORÇAMENTO!$X$15,ROW(AS276)-ROW(AS$15),0),0)</f>
        <v>0</v>
      </c>
      <c r="AT276" s="632">
        <f ca="1">IF(AND($D276="Serviço",AT$12&lt;&gt;0,$H276&gt;0,OR(AUTOEVENTO&lt;&gt;"manual",$M276&lt;&gt;1)),ROUND(OFFSET($P276,0,AT$13),15-13*ORÇAMENTO!$AF$7)/$H276*OFFSET(ORÇAMENTO!$X$15,ROW(AT276)-ROW(AT$15),0),0)</f>
        <v>0</v>
      </c>
      <c r="AU276" s="632">
        <f ca="1">IF(AND($D276="Serviço",AU$12&lt;&gt;0,$H276&gt;0,OR(AUTOEVENTO&lt;&gt;"manual",$M276&lt;&gt;1)),ROUND(OFFSET($P276,0,AU$13),15-13*ORÇAMENTO!$AF$7)/$H276*OFFSET(ORÇAMENTO!$X$15,ROW(AU276)-ROW(AU$15),0),0)</f>
        <v>0</v>
      </c>
      <c r="AV276" s="632">
        <f ca="1">IF(AND($D276="Serviço",AV$12&lt;&gt;0,$H276&gt;0,OR(AUTOEVENTO&lt;&gt;"manual",$M276&lt;&gt;1)),ROUND(OFFSET($P276,0,AV$13),15-13*ORÇAMENTO!$AF$7)/$H276*OFFSET(ORÇAMENTO!$X$15,ROW(AV276)-ROW(AV$15),0),0)</f>
        <v>0</v>
      </c>
      <c r="AW276" s="632">
        <f ca="1">IF(AND($D276="Serviço",AW$12&lt;&gt;0,$H276&gt;0,OR(AUTOEVENTO&lt;&gt;"manual",$M276&lt;&gt;1)),ROUND(OFFSET($P276,0,AW$13),15-13*ORÇAMENTO!$AF$7)/$H276*OFFSET(ORÇAMENTO!$X$15,ROW(AW276)-ROW(AW$15),0),0)</f>
        <v>0</v>
      </c>
      <c r="AX276" s="632">
        <f ca="1">IF(AND($D276="Serviço",AX$12&lt;&gt;0,$H276&gt;0,OR(AUTOEVENTO&lt;&gt;"manual",$M276&lt;&gt;1)),ROUND(OFFSET($P276,0,AX$13),15-13*ORÇAMENTO!$AF$7)/$H276*OFFSET(ORÇAMENTO!$X$15,ROW(AX276)-ROW(AX$15),0),0)</f>
        <v>0</v>
      </c>
      <c r="AY276" s="632">
        <f ca="1">IF(AND($D276="Serviço",AY$12&lt;&gt;0,$H276&gt;0,OR(AUTOEVENTO&lt;&gt;"manual",$M276&lt;&gt;1)),ROUND(OFFSET($P276,0,AY$13),15-13*ORÇAMENTO!$AF$7)/$H276*OFFSET(ORÇAMENTO!$X$15,ROW(AY276)-ROW(AY$15),0),0)</f>
        <v>0</v>
      </c>
      <c r="AZ276" s="632">
        <f ca="1">IF(AND($D276="Serviço",AZ$12&lt;&gt;0,$H276&gt;0,OR(AUTOEVENTO&lt;&gt;"manual",$M276&lt;&gt;1)),ROUND(OFFSET($P276,0,AZ$13),15-13*ORÇAMENTO!$AF$7)/$H276*OFFSET(ORÇAMENTO!$X$15,ROW(AZ276)-ROW(AZ$15),0),0)</f>
        <v>0</v>
      </c>
      <c r="BA276" s="633">
        <f ca="1">IF(AND($D276="Serviço",BA$12&lt;&gt;0,$H276&gt;0,OR(AUTOEVENTO&lt;&gt;"manual",$M276&lt;&gt;1)),ROUND(OFFSET($P276,0,BA$13),15-13*ORÇAMENTO!$AF$7)/$H276*OFFSET(ORÇAMENTO!$X$15,ROW(BA276)-ROW(BA$15),0),0)</f>
        <v>0</v>
      </c>
      <c r="BC276" s="215">
        <f ca="1">IF($D276&lt;&gt;"Serviço",0,IF(AND(AUTOEVENTO="Manual",$M276=1),0,IF(OFFSET(CRONOPLE!$F$14,$M276,BC$13)="",10^12,OFFSET(CRONOPLE!$F$14,$M276,BC$13))))</f>
        <v>1000000000000</v>
      </c>
      <c r="BD276" s="215">
        <f ca="1">IF($D276&lt;&gt;"Serviço",0,IF(AND(AUTOEVENTO="Manual",$M276=1),0,IF(OFFSET(CRONOPLE!$F$14,$M276,BD$13)="",10^12,OFFSET(CRONOPLE!$F$14,$M276,BD$13))))</f>
        <v>1000000000000</v>
      </c>
      <c r="BE276" s="215">
        <f ca="1">IF($D276&lt;&gt;"Serviço",0,IF(AND(AUTOEVENTO="Manual",$M276=1),0,IF(OFFSET(CRONOPLE!$F$14,$M276,BE$13)="",10^12,OFFSET(CRONOPLE!$F$14,$M276,BE$13))))</f>
        <v>1000000000000</v>
      </c>
      <c r="BF276" s="215">
        <f ca="1">IF($D276&lt;&gt;"Serviço",0,IF(AND(AUTOEVENTO="Manual",$M276=1),0,IF(OFFSET(CRONOPLE!$F$14,$M276,BF$13)="",10^12,OFFSET(CRONOPLE!$F$14,$M276,BF$13))))</f>
        <v>1000000000000</v>
      </c>
      <c r="BG276" s="215">
        <f ca="1">IF($D276&lt;&gt;"Serviço",0,IF(AND(AUTOEVENTO="Manual",$M276=1),0,IF(OFFSET(CRONOPLE!$F$14,$M276,BG$13)="",10^12,OFFSET(CRONOPLE!$F$14,$M276,BG$13))))</f>
        <v>1000000000000</v>
      </c>
      <c r="BH276" s="215">
        <f ca="1">IF($D276&lt;&gt;"Serviço",0,IF(AND(AUTOEVENTO="Manual",$M276=1),0,IF(OFFSET(CRONOPLE!$F$14,$M276,BH$13)="",10^12,OFFSET(CRONOPLE!$F$14,$M276,BH$13))))</f>
        <v>1000000000000</v>
      </c>
      <c r="BI276" s="215">
        <f ca="1">IF($D276&lt;&gt;"Serviço",0,IF(AND(AUTOEVENTO="Manual",$M276=1),0,IF(OFFSET(CRONOPLE!$F$14,$M276,BI$13)="",10^12,OFFSET(CRONOPLE!$F$14,$M276,BI$13))))</f>
        <v>1000000000000</v>
      </c>
      <c r="BJ276" s="215">
        <f ca="1">IF($D276&lt;&gt;"Serviço",0,IF(AND(AUTOEVENTO="Manual",$M276=1),0,IF(OFFSET(CRONOPLE!$F$14,$M276,BJ$13)="",10^12,OFFSET(CRONOPLE!$F$14,$M276,BJ$13))))</f>
        <v>1000000000000</v>
      </c>
      <c r="BK276" s="215">
        <f ca="1">IF($D276&lt;&gt;"Serviço",0,IF(AND(AUTOEVENTO="Manual",$M276=1),0,IF(OFFSET(CRONOPLE!$F$14,$M276,BK$13)="",10^12,OFFSET(CRONOPLE!$F$14,$M276,BK$13))))</f>
        <v>1000000000000</v>
      </c>
      <c r="BL276" s="215">
        <f ca="1">IF($D276&lt;&gt;"Serviço",0,IF(AND(AUTOEVENTO="Manual",$M276=1),0,IF(OFFSET(CRONOPLE!$F$14,$M276,BL$13)="",10^12,OFFSET(CRONOPLE!$F$14,$M276,BL$13))))</f>
        <v>1000000000000</v>
      </c>
      <c r="BM276" s="215">
        <f ca="1">IF($D276&lt;&gt;"Serviço",0,IF(AND(AUTOEVENTO="Manual",$M276=1),0,IF(OFFSET(CRONOPLE!$F$14,$M276,BM$13)="",10^12,OFFSET(CRONOPLE!$F$14,$M276,BM$13))))</f>
        <v>1000000000000</v>
      </c>
      <c r="BN276" s="215">
        <f ca="1">IF($D276&lt;&gt;"Serviço",0,IF(AND(AUTOEVENTO="Manual",$M276=1),0,IF(OFFSET(CRONOPLE!$F$14,$M276,BN$13)="",10^12,OFFSET(CRONOPLE!$F$14,$M276,BN$13))))</f>
        <v>1000000000000</v>
      </c>
      <c r="BO276" s="215">
        <f ca="1">IF($D276&lt;&gt;"Serviço",0,IF(AND(AUTOEVENTO="Manual",$M276=1),0,IF(OFFSET(CRONOPLE!$F$14,$M276,BO$13)="",10^12,OFFSET(CRONOPLE!$F$14,$M276,BO$13))))</f>
        <v>1000000000000</v>
      </c>
      <c r="BP276" s="215">
        <f ca="1">IF($D276&lt;&gt;"Serviço",0,IF(AND(AUTOEVENTO="Manual",$M276=1),0,IF(OFFSET(CRONOPLE!$F$14,$M276,BP$13)="",10^12,OFFSET(CRONOPLE!$F$14,$M276,BP$13))))</f>
        <v>1000000000000</v>
      </c>
      <c r="BQ276" s="215">
        <f ca="1">IF($D276&lt;&gt;"Serviço",0,IF(AND(AUTOEVENTO="Manual",$M276=1),0,IF(OFFSET(CRONOPLE!$F$14,$M276,BQ$13)="",10^12,OFFSET(CRONOPLE!$F$14,$M276,BQ$13))))</f>
        <v>1000000000000</v>
      </c>
      <c r="BR276" s="215">
        <f ca="1">IF($D276&lt;&gt;"Serviço",0,IF(AND(AUTOEVENTO="Manual",$M276=1),0,IF(OFFSET(CRONOPLE!$F$14,$M276,BR$13)="",10^12,OFFSET(CRONOPLE!$F$14,$M276,BR$13))))</f>
        <v>1000000000000</v>
      </c>
      <c r="BS276" s="215">
        <f ca="1">IF($D276&lt;&gt;"Serviço",0,IF(AND(AUTOEVENTO="Manual",$M276=1),0,IF(OFFSET(CRONOPLE!$F$14,$M276,BS$13)="",10^12,OFFSET(CRONOPLE!$F$14,$M276,BS$13))))</f>
        <v>1000000000000</v>
      </c>
      <c r="BT276" s="215">
        <f ca="1">IF($D276&lt;&gt;"Serviço",0,IF(AND(AUTOEVENTO="Manual",$M276=1),0,IF(OFFSET(CRONOPLE!$F$14,$M276,BT$13)="",10^12,OFFSET(CRONOPLE!$F$14,$M276,BT$13))))</f>
        <v>1000000000000</v>
      </c>
      <c r="BV276" s="216">
        <f ca="1">IF($D276&lt;&gt;"Serviço",0,IF(OR(AND(AUTOEVENTO="Manual",$M276=1),$M276&gt;(ROW(PLE.lastrow)-ROW(PLE.firstrow))),0,IF(OFFSET(PLE!$G$14,$M276,BV$13)="",10^12,OFFSET(PLE!$G$14,$M276,BV$13))))</f>
        <v>1000000000000</v>
      </c>
      <c r="BW276" s="216">
        <f ca="1">IF($D276&lt;&gt;"Serviço",0,IF(OR(AND(AUTOEVENTO="Manual",$M276=1),$M276&gt;(ROW(PLE.lastrow)-ROW(PLE.firstrow))),0,IF(OFFSET(PLE!$G$14,$M276,BW$13)="",10^12,OFFSET(PLE!$G$14,$M276,BW$13))))</f>
        <v>1000000000000</v>
      </c>
      <c r="BX276" s="216">
        <f ca="1">IF($D276&lt;&gt;"Serviço",0,IF(OR(AND(AUTOEVENTO="Manual",$M276=1),$M276&gt;(ROW(PLE.lastrow)-ROW(PLE.firstrow))),0,IF(OFFSET(PLE!$G$14,$M276,BX$13)="",10^12,OFFSET(PLE!$G$14,$M276,BX$13))))</f>
        <v>1000000000000</v>
      </c>
      <c r="BY276" s="216">
        <f ca="1">IF($D276&lt;&gt;"Serviço",0,IF(OR(AND(AUTOEVENTO="Manual",$M276=1),$M276&gt;(ROW(PLE.lastrow)-ROW(PLE.firstrow))),0,IF(OFFSET(PLE!$G$14,$M276,BY$13)="",10^12,OFFSET(PLE!$G$14,$M276,BY$13))))</f>
        <v>1000000000000</v>
      </c>
      <c r="BZ276" s="216">
        <f ca="1">IF($D276&lt;&gt;"Serviço",0,IF(OR(AND(AUTOEVENTO="Manual",$M276=1),$M276&gt;(ROW(PLE.lastrow)-ROW(PLE.firstrow))),0,IF(OFFSET(PLE!$G$14,$M276,BZ$13)="",10^12,OFFSET(PLE!$G$14,$M276,BZ$13))))</f>
        <v>1000000000000</v>
      </c>
      <c r="CA276" s="216">
        <f ca="1">IF($D276&lt;&gt;"Serviço",0,IF(OR(AND(AUTOEVENTO="Manual",$M276=1),$M276&gt;(ROW(PLE.lastrow)-ROW(PLE.firstrow))),0,IF(OFFSET(PLE!$G$14,$M276,CA$13)="",10^12,OFFSET(PLE!$G$14,$M276,CA$13))))</f>
        <v>1000000000000</v>
      </c>
      <c r="CB276" s="216">
        <f ca="1">IF($D276&lt;&gt;"Serviço",0,IF(OR(AND(AUTOEVENTO="Manual",$M276=1),$M276&gt;(ROW(PLE.lastrow)-ROW(PLE.firstrow))),0,IF(OFFSET(PLE!$G$14,$M276,CB$13)="",10^12,OFFSET(PLE!$G$14,$M276,CB$13))))</f>
        <v>1000000000000</v>
      </c>
      <c r="CC276" s="216">
        <f ca="1">IF($D276&lt;&gt;"Serviço",0,IF(OR(AND(AUTOEVENTO="Manual",$M276=1),$M276&gt;(ROW(PLE.lastrow)-ROW(PLE.firstrow))),0,IF(OFFSET(PLE!$G$14,$M276,CC$13)="",10^12,OFFSET(PLE!$G$14,$M276,CC$13))))</f>
        <v>1000000000000</v>
      </c>
      <c r="CD276" s="216">
        <f ca="1">IF($D276&lt;&gt;"Serviço",0,IF(OR(AND(AUTOEVENTO="Manual",$M276=1),$M276&gt;(ROW(PLE.lastrow)-ROW(PLE.firstrow))),0,IF(OFFSET(PLE!$G$14,$M276,CD$13)="",10^12,OFFSET(PLE!$G$14,$M276,CD$13))))</f>
        <v>1000000000000</v>
      </c>
      <c r="CE276" s="216">
        <f ca="1">IF($D276&lt;&gt;"Serviço",0,IF(OR(AND(AUTOEVENTO="Manual",$M276=1),$M276&gt;(ROW(PLE.lastrow)-ROW(PLE.firstrow))),0,IF(OFFSET(PLE!$G$14,$M276,CE$13)="",10^12,OFFSET(PLE!$G$14,$M276,CE$13))))</f>
        <v>1000000000000</v>
      </c>
      <c r="CF276" s="216">
        <f ca="1">IF($D276&lt;&gt;"Serviço",0,IF(OR(AND(AUTOEVENTO="Manual",$M276=1),$M276&gt;(ROW(PLE.lastrow)-ROW(PLE.firstrow))),0,IF(OFFSET(PLE!$G$14,$M276,CF$13)="",10^12,OFFSET(PLE!$G$14,$M276,CF$13))))</f>
        <v>1000000000000</v>
      </c>
      <c r="CG276" s="216">
        <f ca="1">IF($D276&lt;&gt;"Serviço",0,IF(OR(AND(AUTOEVENTO="Manual",$M276=1),$M276&gt;(ROW(PLE.lastrow)-ROW(PLE.firstrow))),0,IF(OFFSET(PLE!$G$14,$M276,CG$13)="",10^12,OFFSET(PLE!$G$14,$M276,CG$13))))</f>
        <v>1000000000000</v>
      </c>
      <c r="CH276" s="216">
        <f ca="1">IF($D276&lt;&gt;"Serviço",0,IF(OR(AND(AUTOEVENTO="Manual",$M276=1),$M276&gt;(ROW(PLE.lastrow)-ROW(PLE.firstrow))),0,IF(OFFSET(PLE!$G$14,$M276,CH$13)="",10^12,OFFSET(PLE!$G$14,$M276,CH$13))))</f>
        <v>1000000000000</v>
      </c>
      <c r="CI276" s="216">
        <f ca="1">IF($D276&lt;&gt;"Serviço",0,IF(OR(AND(AUTOEVENTO="Manual",$M276=1),$M276&gt;(ROW(PLE.lastrow)-ROW(PLE.firstrow))),0,IF(OFFSET(PLE!$G$14,$M276,CI$13)="",10^12,OFFSET(PLE!$G$14,$M276,CI$13))))</f>
        <v>1000000000000</v>
      </c>
      <c r="CJ276" s="216">
        <f ca="1">IF($D276&lt;&gt;"Serviço",0,IF(OR(AND(AUTOEVENTO="Manual",$M276=1),$M276&gt;(ROW(PLE.lastrow)-ROW(PLE.firstrow))),0,IF(OFFSET(PLE!$G$14,$M276,CJ$13)="",10^12,OFFSET(PLE!$G$14,$M276,CJ$13))))</f>
        <v>1000000000000</v>
      </c>
      <c r="CK276" s="216">
        <f ca="1">IF($D276&lt;&gt;"Serviço",0,IF(OR(AND(AUTOEVENTO="Manual",$M276=1),$M276&gt;(ROW(PLE.lastrow)-ROW(PLE.firstrow))),0,IF(OFFSET(PLE!$G$14,$M276,CK$13)="",10^12,OFFSET(PLE!$G$14,$M276,CK$13))))</f>
        <v>1000000000000</v>
      </c>
      <c r="CL276" s="216">
        <f ca="1">IF($D276&lt;&gt;"Serviço",0,IF(OR(AND(AUTOEVENTO="Manual",$M276=1),$M276&gt;(ROW(PLE.lastrow)-ROW(PLE.firstrow))),0,IF(OFFSET(PLE!$G$14,$M276,CL$13)="",10^12,OFFSET(PLE!$G$14,$M276,CL$13))))</f>
        <v>1000000000000</v>
      </c>
      <c r="CM276" s="216">
        <f ca="1">IF($D276&lt;&gt;"Serviço",0,IF(OR(AND(AUTOEVENTO="Manual",$M276=1),$M276&gt;(ROW(PLE.lastrow)-ROW(PLE.firstrow))),0,IF(OFFSET(PLE!$G$14,$M276,CM$13)="",10^12,OFFSET(PLE!$G$14,$M276,CM$13))))</f>
        <v>1000000000000</v>
      </c>
    </row>
    <row r="277" spans="1:91" ht="13.2" x14ac:dyDescent="0.25">
      <c r="A277" s="9">
        <f t="shared" ca="1" si="13"/>
        <v>0</v>
      </c>
      <c r="B277" s="9" t="str">
        <f ca="1">OFFSET(ORÇAMENTO!C$15,ROW(B277)-ROW(B$15),0)</f>
        <v>S</v>
      </c>
      <c r="C277" s="9" t="str">
        <f ca="1">OFFSET(ORÇAMENTO!L$15,ROW(C277)-ROW(C$15),0)</f>
        <v/>
      </c>
      <c r="D277" s="145" t="str">
        <f ca="1">OFFSET(ORÇAMENTO!N$15,ROW(D277)-ROW(D$15),0)</f>
        <v>Serviço</v>
      </c>
      <c r="E277" s="205" t="str">
        <f ca="1">OFFSET(ORÇAMENTO!O$15,ROW(E277)-ROW(E$15),0)</f>
        <v>-</v>
      </c>
      <c r="F277" s="206" t="str">
        <f ca="1">OFFSET(ORÇAMENTO!R$15,ROW(F277)-ROW(F$15),0)</f>
        <v>(abra o arquivo 'Referência 05-2024.xls)</v>
      </c>
      <c r="G277" s="207" t="str">
        <f ca="1">IF($D277&lt;&gt;"Serviço","",OFFSET(ORÇAMENTO!S$15,ROW(G277)-ROW(G$15),0))</f>
        <v>-</v>
      </c>
      <c r="H277" s="151">
        <f ca="1">IF($D277&lt;&gt;"Serviço",0,IF(ACOMPANHAMENTO="BM",ROUND(OFFSET(ORÇAMENTO!AJ$15,ROW(H277)-ROW(H$15),0),15-13*ORÇAMENTO!$AF$7),SUMPRODUCT(($Q$12:$AI$12&lt;&gt;"")*ROUND($Q277:$AI277,15-13*ORÇAMENTO!$AF$7))))</f>
        <v>29.5</v>
      </c>
      <c r="I277" s="650"/>
      <c r="K277" s="208"/>
      <c r="L277" s="209" t="s">
        <v>257</v>
      </c>
      <c r="M277" s="210">
        <f ca="1">IF($D277&lt;&gt;"Serviço","",IF(AUTOEVENTO="manual",$A277,IF(ISERROR(MATCH($A277,$A$15:OFFSET($A277,-1,0),0)),MAX($M$15:OFFSET(M277,-1,0))+1,INDEX($M$15:OFFSET(M277,-1,0),MATCH($A277,$A$15:OFFSET($A277,-1,0),0)))))</f>
        <v>0</v>
      </c>
      <c r="N277" s="211" t="str">
        <f ca="1">IF($D277&lt;&gt;"Serviço","",IF(AUTOEVENTO="Manual",IF($A277=0,"&lt;-- defina o número do agrupador",OFFSET(EVENTOS!$D$14,$A277,0)),OFFSET($F$15,$A277,0)))</f>
        <v>&lt;-- defina o número do agrupador</v>
      </c>
      <c r="O277" s="212"/>
      <c r="Q277" s="212"/>
      <c r="R277" s="213"/>
      <c r="S277" s="213"/>
      <c r="T277" s="213"/>
      <c r="U277" s="213"/>
      <c r="V277" s="213"/>
      <c r="W277" s="213"/>
      <c r="X277" s="213"/>
      <c r="Y277" s="213"/>
      <c r="Z277" s="214"/>
      <c r="AA277" s="213"/>
      <c r="AB277" s="213"/>
      <c r="AC277" s="213"/>
      <c r="AD277" s="213"/>
      <c r="AE277" s="213"/>
      <c r="AF277" s="213"/>
      <c r="AG277" s="213"/>
      <c r="AH277" s="214"/>
      <c r="AJ277" s="631">
        <f ca="1">IF(AND($D277="Serviço",AJ$12&lt;&gt;0,$H277&gt;0,OR(AUTOEVENTO&lt;&gt;"manual",$M277&lt;&gt;1)),ROUND(OFFSET($P277,0,AJ$13),15-13*ORÇAMENTO!$AF$7)/$H277*OFFSET(ORÇAMENTO!$X$15,ROW(AJ277)-ROW(AJ$15),0),0)</f>
        <v>0</v>
      </c>
      <c r="AK277" s="632">
        <f ca="1">IF(AND($D277="Serviço",AK$12&lt;&gt;0,$H277&gt;0,OR(AUTOEVENTO&lt;&gt;"manual",$M277&lt;&gt;1)),ROUND(OFFSET($P277,0,AK$13),15-13*ORÇAMENTO!$AF$7)/$H277*OFFSET(ORÇAMENTO!$X$15,ROW(AK277)-ROW(AK$15),0),0)</f>
        <v>0</v>
      </c>
      <c r="AL277" s="632">
        <f ca="1">IF(AND($D277="Serviço",AL$12&lt;&gt;0,$H277&gt;0,OR(AUTOEVENTO&lt;&gt;"manual",$M277&lt;&gt;1)),ROUND(OFFSET($P277,0,AL$13),15-13*ORÇAMENTO!$AF$7)/$H277*OFFSET(ORÇAMENTO!$X$15,ROW(AL277)-ROW(AL$15),0),0)</f>
        <v>0</v>
      </c>
      <c r="AM277" s="632">
        <f ca="1">IF(AND($D277="Serviço",AM$12&lt;&gt;0,$H277&gt;0,OR(AUTOEVENTO&lt;&gt;"manual",$M277&lt;&gt;1)),ROUND(OFFSET($P277,0,AM$13),15-13*ORÇAMENTO!$AF$7)/$H277*OFFSET(ORÇAMENTO!$X$15,ROW(AM277)-ROW(AM$15),0),0)</f>
        <v>0</v>
      </c>
      <c r="AN277" s="632">
        <f ca="1">IF(AND($D277="Serviço",AN$12&lt;&gt;0,$H277&gt;0,OR(AUTOEVENTO&lt;&gt;"manual",$M277&lt;&gt;1)),ROUND(OFFSET($P277,0,AN$13),15-13*ORÇAMENTO!$AF$7)/$H277*OFFSET(ORÇAMENTO!$X$15,ROW(AN277)-ROW(AN$15),0),0)</f>
        <v>0</v>
      </c>
      <c r="AO277" s="632">
        <f ca="1">IF(AND($D277="Serviço",AO$12&lt;&gt;0,$H277&gt;0,OR(AUTOEVENTO&lt;&gt;"manual",$M277&lt;&gt;1)),ROUND(OFFSET($P277,0,AO$13),15-13*ORÇAMENTO!$AF$7)/$H277*OFFSET(ORÇAMENTO!$X$15,ROW(AO277)-ROW(AO$15),0),0)</f>
        <v>0</v>
      </c>
      <c r="AP277" s="632">
        <f ca="1">IF(AND($D277="Serviço",AP$12&lt;&gt;0,$H277&gt;0,OR(AUTOEVENTO&lt;&gt;"manual",$M277&lt;&gt;1)),ROUND(OFFSET($P277,0,AP$13),15-13*ORÇAMENTO!$AF$7)/$H277*OFFSET(ORÇAMENTO!$X$15,ROW(AP277)-ROW(AP$15),0),0)</f>
        <v>0</v>
      </c>
      <c r="AQ277" s="632">
        <f ca="1">IF(AND($D277="Serviço",AQ$12&lt;&gt;0,$H277&gt;0,OR(AUTOEVENTO&lt;&gt;"manual",$M277&lt;&gt;1)),ROUND(OFFSET($P277,0,AQ$13),15-13*ORÇAMENTO!$AF$7)/$H277*OFFSET(ORÇAMENTO!$X$15,ROW(AQ277)-ROW(AQ$15),0),0)</f>
        <v>0</v>
      </c>
      <c r="AR277" s="632">
        <f ca="1">IF(AND($D277="Serviço",AR$12&lt;&gt;0,$H277&gt;0,OR(AUTOEVENTO&lt;&gt;"manual",$M277&lt;&gt;1)),ROUND(OFFSET($P277,0,AR$13),15-13*ORÇAMENTO!$AF$7)/$H277*OFFSET(ORÇAMENTO!$X$15,ROW(AR277)-ROW(AR$15),0),0)</f>
        <v>0</v>
      </c>
      <c r="AS277" s="633">
        <f ca="1">IF(AND($D277="Serviço",AS$12&lt;&gt;0,$H277&gt;0,OR(AUTOEVENTO&lt;&gt;"manual",$M277&lt;&gt;1)),ROUND(OFFSET($P277,0,AS$13),15-13*ORÇAMENTO!$AF$7)/$H277*OFFSET(ORÇAMENTO!$X$15,ROW(AS277)-ROW(AS$15),0),0)</f>
        <v>0</v>
      </c>
      <c r="AT277" s="632">
        <f ca="1">IF(AND($D277="Serviço",AT$12&lt;&gt;0,$H277&gt;0,OR(AUTOEVENTO&lt;&gt;"manual",$M277&lt;&gt;1)),ROUND(OFFSET($P277,0,AT$13),15-13*ORÇAMENTO!$AF$7)/$H277*OFFSET(ORÇAMENTO!$X$15,ROW(AT277)-ROW(AT$15),0),0)</f>
        <v>0</v>
      </c>
      <c r="AU277" s="632">
        <f ca="1">IF(AND($D277="Serviço",AU$12&lt;&gt;0,$H277&gt;0,OR(AUTOEVENTO&lt;&gt;"manual",$M277&lt;&gt;1)),ROUND(OFFSET($P277,0,AU$13),15-13*ORÇAMENTO!$AF$7)/$H277*OFFSET(ORÇAMENTO!$X$15,ROW(AU277)-ROW(AU$15),0),0)</f>
        <v>0</v>
      </c>
      <c r="AV277" s="632">
        <f ca="1">IF(AND($D277="Serviço",AV$12&lt;&gt;0,$H277&gt;0,OR(AUTOEVENTO&lt;&gt;"manual",$M277&lt;&gt;1)),ROUND(OFFSET($P277,0,AV$13),15-13*ORÇAMENTO!$AF$7)/$H277*OFFSET(ORÇAMENTO!$X$15,ROW(AV277)-ROW(AV$15),0),0)</f>
        <v>0</v>
      </c>
      <c r="AW277" s="632">
        <f ca="1">IF(AND($D277="Serviço",AW$12&lt;&gt;0,$H277&gt;0,OR(AUTOEVENTO&lt;&gt;"manual",$M277&lt;&gt;1)),ROUND(OFFSET($P277,0,AW$13),15-13*ORÇAMENTO!$AF$7)/$H277*OFFSET(ORÇAMENTO!$X$15,ROW(AW277)-ROW(AW$15),0),0)</f>
        <v>0</v>
      </c>
      <c r="AX277" s="632">
        <f ca="1">IF(AND($D277="Serviço",AX$12&lt;&gt;0,$H277&gt;0,OR(AUTOEVENTO&lt;&gt;"manual",$M277&lt;&gt;1)),ROUND(OFFSET($P277,0,AX$13),15-13*ORÇAMENTO!$AF$7)/$H277*OFFSET(ORÇAMENTO!$X$15,ROW(AX277)-ROW(AX$15),0),0)</f>
        <v>0</v>
      </c>
      <c r="AY277" s="632">
        <f ca="1">IF(AND($D277="Serviço",AY$12&lt;&gt;0,$H277&gt;0,OR(AUTOEVENTO&lt;&gt;"manual",$M277&lt;&gt;1)),ROUND(OFFSET($P277,0,AY$13),15-13*ORÇAMENTO!$AF$7)/$H277*OFFSET(ORÇAMENTO!$X$15,ROW(AY277)-ROW(AY$15),0),0)</f>
        <v>0</v>
      </c>
      <c r="AZ277" s="632">
        <f ca="1">IF(AND($D277="Serviço",AZ$12&lt;&gt;0,$H277&gt;0,OR(AUTOEVENTO&lt;&gt;"manual",$M277&lt;&gt;1)),ROUND(OFFSET($P277,0,AZ$13),15-13*ORÇAMENTO!$AF$7)/$H277*OFFSET(ORÇAMENTO!$X$15,ROW(AZ277)-ROW(AZ$15),0),0)</f>
        <v>0</v>
      </c>
      <c r="BA277" s="633">
        <f ca="1">IF(AND($D277="Serviço",BA$12&lt;&gt;0,$H277&gt;0,OR(AUTOEVENTO&lt;&gt;"manual",$M277&lt;&gt;1)),ROUND(OFFSET($P277,0,BA$13),15-13*ORÇAMENTO!$AF$7)/$H277*OFFSET(ORÇAMENTO!$X$15,ROW(BA277)-ROW(BA$15),0),0)</f>
        <v>0</v>
      </c>
      <c r="BC277" s="215">
        <f ca="1">IF($D277&lt;&gt;"Serviço",0,IF(AND(AUTOEVENTO="Manual",$M277=1),0,IF(OFFSET(CRONOPLE!$F$14,$M277,BC$13)="",10^12,OFFSET(CRONOPLE!$F$14,$M277,BC$13))))</f>
        <v>1000000000000</v>
      </c>
      <c r="BD277" s="215">
        <f ca="1">IF($D277&lt;&gt;"Serviço",0,IF(AND(AUTOEVENTO="Manual",$M277=1),0,IF(OFFSET(CRONOPLE!$F$14,$M277,BD$13)="",10^12,OFFSET(CRONOPLE!$F$14,$M277,BD$13))))</f>
        <v>1000000000000</v>
      </c>
      <c r="BE277" s="215">
        <f ca="1">IF($D277&lt;&gt;"Serviço",0,IF(AND(AUTOEVENTO="Manual",$M277=1),0,IF(OFFSET(CRONOPLE!$F$14,$M277,BE$13)="",10^12,OFFSET(CRONOPLE!$F$14,$M277,BE$13))))</f>
        <v>1000000000000</v>
      </c>
      <c r="BF277" s="215">
        <f ca="1">IF($D277&lt;&gt;"Serviço",0,IF(AND(AUTOEVENTO="Manual",$M277=1),0,IF(OFFSET(CRONOPLE!$F$14,$M277,BF$13)="",10^12,OFFSET(CRONOPLE!$F$14,$M277,BF$13))))</f>
        <v>1000000000000</v>
      </c>
      <c r="BG277" s="215">
        <f ca="1">IF($D277&lt;&gt;"Serviço",0,IF(AND(AUTOEVENTO="Manual",$M277=1),0,IF(OFFSET(CRONOPLE!$F$14,$M277,BG$13)="",10^12,OFFSET(CRONOPLE!$F$14,$M277,BG$13))))</f>
        <v>1000000000000</v>
      </c>
      <c r="BH277" s="215">
        <f ca="1">IF($D277&lt;&gt;"Serviço",0,IF(AND(AUTOEVENTO="Manual",$M277=1),0,IF(OFFSET(CRONOPLE!$F$14,$M277,BH$13)="",10^12,OFFSET(CRONOPLE!$F$14,$M277,BH$13))))</f>
        <v>1000000000000</v>
      </c>
      <c r="BI277" s="215">
        <f ca="1">IF($D277&lt;&gt;"Serviço",0,IF(AND(AUTOEVENTO="Manual",$M277=1),0,IF(OFFSET(CRONOPLE!$F$14,$M277,BI$13)="",10^12,OFFSET(CRONOPLE!$F$14,$M277,BI$13))))</f>
        <v>1000000000000</v>
      </c>
      <c r="BJ277" s="215">
        <f ca="1">IF($D277&lt;&gt;"Serviço",0,IF(AND(AUTOEVENTO="Manual",$M277=1),0,IF(OFFSET(CRONOPLE!$F$14,$M277,BJ$13)="",10^12,OFFSET(CRONOPLE!$F$14,$M277,BJ$13))))</f>
        <v>1000000000000</v>
      </c>
      <c r="BK277" s="215">
        <f ca="1">IF($D277&lt;&gt;"Serviço",0,IF(AND(AUTOEVENTO="Manual",$M277=1),0,IF(OFFSET(CRONOPLE!$F$14,$M277,BK$13)="",10^12,OFFSET(CRONOPLE!$F$14,$M277,BK$13))))</f>
        <v>1000000000000</v>
      </c>
      <c r="BL277" s="215">
        <f ca="1">IF($D277&lt;&gt;"Serviço",0,IF(AND(AUTOEVENTO="Manual",$M277=1),0,IF(OFFSET(CRONOPLE!$F$14,$M277,BL$13)="",10^12,OFFSET(CRONOPLE!$F$14,$M277,BL$13))))</f>
        <v>1000000000000</v>
      </c>
      <c r="BM277" s="215">
        <f ca="1">IF($D277&lt;&gt;"Serviço",0,IF(AND(AUTOEVENTO="Manual",$M277=1),0,IF(OFFSET(CRONOPLE!$F$14,$M277,BM$13)="",10^12,OFFSET(CRONOPLE!$F$14,$M277,BM$13))))</f>
        <v>1000000000000</v>
      </c>
      <c r="BN277" s="215">
        <f ca="1">IF($D277&lt;&gt;"Serviço",0,IF(AND(AUTOEVENTO="Manual",$M277=1),0,IF(OFFSET(CRONOPLE!$F$14,$M277,BN$13)="",10^12,OFFSET(CRONOPLE!$F$14,$M277,BN$13))))</f>
        <v>1000000000000</v>
      </c>
      <c r="BO277" s="215">
        <f ca="1">IF($D277&lt;&gt;"Serviço",0,IF(AND(AUTOEVENTO="Manual",$M277=1),0,IF(OFFSET(CRONOPLE!$F$14,$M277,BO$13)="",10^12,OFFSET(CRONOPLE!$F$14,$M277,BO$13))))</f>
        <v>1000000000000</v>
      </c>
      <c r="BP277" s="215">
        <f ca="1">IF($D277&lt;&gt;"Serviço",0,IF(AND(AUTOEVENTO="Manual",$M277=1),0,IF(OFFSET(CRONOPLE!$F$14,$M277,BP$13)="",10^12,OFFSET(CRONOPLE!$F$14,$M277,BP$13))))</f>
        <v>1000000000000</v>
      </c>
      <c r="BQ277" s="215">
        <f ca="1">IF($D277&lt;&gt;"Serviço",0,IF(AND(AUTOEVENTO="Manual",$M277=1),0,IF(OFFSET(CRONOPLE!$F$14,$M277,BQ$13)="",10^12,OFFSET(CRONOPLE!$F$14,$M277,BQ$13))))</f>
        <v>1000000000000</v>
      </c>
      <c r="BR277" s="215">
        <f ca="1">IF($D277&lt;&gt;"Serviço",0,IF(AND(AUTOEVENTO="Manual",$M277=1),0,IF(OFFSET(CRONOPLE!$F$14,$M277,BR$13)="",10^12,OFFSET(CRONOPLE!$F$14,$M277,BR$13))))</f>
        <v>1000000000000</v>
      </c>
      <c r="BS277" s="215">
        <f ca="1">IF($D277&lt;&gt;"Serviço",0,IF(AND(AUTOEVENTO="Manual",$M277=1),0,IF(OFFSET(CRONOPLE!$F$14,$M277,BS$13)="",10^12,OFFSET(CRONOPLE!$F$14,$M277,BS$13))))</f>
        <v>1000000000000</v>
      </c>
      <c r="BT277" s="215">
        <f ca="1">IF($D277&lt;&gt;"Serviço",0,IF(AND(AUTOEVENTO="Manual",$M277=1),0,IF(OFFSET(CRONOPLE!$F$14,$M277,BT$13)="",10^12,OFFSET(CRONOPLE!$F$14,$M277,BT$13))))</f>
        <v>1000000000000</v>
      </c>
      <c r="BV277" s="216">
        <f ca="1">IF($D277&lt;&gt;"Serviço",0,IF(OR(AND(AUTOEVENTO="Manual",$M277=1),$M277&gt;(ROW(PLE.lastrow)-ROW(PLE.firstrow))),0,IF(OFFSET(PLE!$G$14,$M277,BV$13)="",10^12,OFFSET(PLE!$G$14,$M277,BV$13))))</f>
        <v>1000000000000</v>
      </c>
      <c r="BW277" s="216">
        <f ca="1">IF($D277&lt;&gt;"Serviço",0,IF(OR(AND(AUTOEVENTO="Manual",$M277=1),$M277&gt;(ROW(PLE.lastrow)-ROW(PLE.firstrow))),0,IF(OFFSET(PLE!$G$14,$M277,BW$13)="",10^12,OFFSET(PLE!$G$14,$M277,BW$13))))</f>
        <v>1000000000000</v>
      </c>
      <c r="BX277" s="216">
        <f ca="1">IF($D277&lt;&gt;"Serviço",0,IF(OR(AND(AUTOEVENTO="Manual",$M277=1),$M277&gt;(ROW(PLE.lastrow)-ROW(PLE.firstrow))),0,IF(OFFSET(PLE!$G$14,$M277,BX$13)="",10^12,OFFSET(PLE!$G$14,$M277,BX$13))))</f>
        <v>1000000000000</v>
      </c>
      <c r="BY277" s="216">
        <f ca="1">IF($D277&lt;&gt;"Serviço",0,IF(OR(AND(AUTOEVENTO="Manual",$M277=1),$M277&gt;(ROW(PLE.lastrow)-ROW(PLE.firstrow))),0,IF(OFFSET(PLE!$G$14,$M277,BY$13)="",10^12,OFFSET(PLE!$G$14,$M277,BY$13))))</f>
        <v>1000000000000</v>
      </c>
      <c r="BZ277" s="216">
        <f ca="1">IF($D277&lt;&gt;"Serviço",0,IF(OR(AND(AUTOEVENTO="Manual",$M277=1),$M277&gt;(ROW(PLE.lastrow)-ROW(PLE.firstrow))),0,IF(OFFSET(PLE!$G$14,$M277,BZ$13)="",10^12,OFFSET(PLE!$G$14,$M277,BZ$13))))</f>
        <v>1000000000000</v>
      </c>
      <c r="CA277" s="216">
        <f ca="1">IF($D277&lt;&gt;"Serviço",0,IF(OR(AND(AUTOEVENTO="Manual",$M277=1),$M277&gt;(ROW(PLE.lastrow)-ROW(PLE.firstrow))),0,IF(OFFSET(PLE!$G$14,$M277,CA$13)="",10^12,OFFSET(PLE!$G$14,$M277,CA$13))))</f>
        <v>1000000000000</v>
      </c>
      <c r="CB277" s="216">
        <f ca="1">IF($D277&lt;&gt;"Serviço",0,IF(OR(AND(AUTOEVENTO="Manual",$M277=1),$M277&gt;(ROW(PLE.lastrow)-ROW(PLE.firstrow))),0,IF(OFFSET(PLE!$G$14,$M277,CB$13)="",10^12,OFFSET(PLE!$G$14,$M277,CB$13))))</f>
        <v>1000000000000</v>
      </c>
      <c r="CC277" s="216">
        <f ca="1">IF($D277&lt;&gt;"Serviço",0,IF(OR(AND(AUTOEVENTO="Manual",$M277=1),$M277&gt;(ROW(PLE.lastrow)-ROW(PLE.firstrow))),0,IF(OFFSET(PLE!$G$14,$M277,CC$13)="",10^12,OFFSET(PLE!$G$14,$M277,CC$13))))</f>
        <v>1000000000000</v>
      </c>
      <c r="CD277" s="216">
        <f ca="1">IF($D277&lt;&gt;"Serviço",0,IF(OR(AND(AUTOEVENTO="Manual",$M277=1),$M277&gt;(ROW(PLE.lastrow)-ROW(PLE.firstrow))),0,IF(OFFSET(PLE!$G$14,$M277,CD$13)="",10^12,OFFSET(PLE!$G$14,$M277,CD$13))))</f>
        <v>1000000000000</v>
      </c>
      <c r="CE277" s="216">
        <f ca="1">IF($D277&lt;&gt;"Serviço",0,IF(OR(AND(AUTOEVENTO="Manual",$M277=1),$M277&gt;(ROW(PLE.lastrow)-ROW(PLE.firstrow))),0,IF(OFFSET(PLE!$G$14,$M277,CE$13)="",10^12,OFFSET(PLE!$G$14,$M277,CE$13))))</f>
        <v>1000000000000</v>
      </c>
      <c r="CF277" s="216">
        <f ca="1">IF($D277&lt;&gt;"Serviço",0,IF(OR(AND(AUTOEVENTO="Manual",$M277=1),$M277&gt;(ROW(PLE.lastrow)-ROW(PLE.firstrow))),0,IF(OFFSET(PLE!$G$14,$M277,CF$13)="",10^12,OFFSET(PLE!$G$14,$M277,CF$13))))</f>
        <v>1000000000000</v>
      </c>
      <c r="CG277" s="216">
        <f ca="1">IF($D277&lt;&gt;"Serviço",0,IF(OR(AND(AUTOEVENTO="Manual",$M277=1),$M277&gt;(ROW(PLE.lastrow)-ROW(PLE.firstrow))),0,IF(OFFSET(PLE!$G$14,$M277,CG$13)="",10^12,OFFSET(PLE!$G$14,$M277,CG$13))))</f>
        <v>1000000000000</v>
      </c>
      <c r="CH277" s="216">
        <f ca="1">IF($D277&lt;&gt;"Serviço",0,IF(OR(AND(AUTOEVENTO="Manual",$M277=1),$M277&gt;(ROW(PLE.lastrow)-ROW(PLE.firstrow))),0,IF(OFFSET(PLE!$G$14,$M277,CH$13)="",10^12,OFFSET(PLE!$G$14,$M277,CH$13))))</f>
        <v>1000000000000</v>
      </c>
      <c r="CI277" s="216">
        <f ca="1">IF($D277&lt;&gt;"Serviço",0,IF(OR(AND(AUTOEVENTO="Manual",$M277=1),$M277&gt;(ROW(PLE.lastrow)-ROW(PLE.firstrow))),0,IF(OFFSET(PLE!$G$14,$M277,CI$13)="",10^12,OFFSET(PLE!$G$14,$M277,CI$13))))</f>
        <v>1000000000000</v>
      </c>
      <c r="CJ277" s="216">
        <f ca="1">IF($D277&lt;&gt;"Serviço",0,IF(OR(AND(AUTOEVENTO="Manual",$M277=1),$M277&gt;(ROW(PLE.lastrow)-ROW(PLE.firstrow))),0,IF(OFFSET(PLE!$G$14,$M277,CJ$13)="",10^12,OFFSET(PLE!$G$14,$M277,CJ$13))))</f>
        <v>1000000000000</v>
      </c>
      <c r="CK277" s="216">
        <f ca="1">IF($D277&lt;&gt;"Serviço",0,IF(OR(AND(AUTOEVENTO="Manual",$M277=1),$M277&gt;(ROW(PLE.lastrow)-ROW(PLE.firstrow))),0,IF(OFFSET(PLE!$G$14,$M277,CK$13)="",10^12,OFFSET(PLE!$G$14,$M277,CK$13))))</f>
        <v>1000000000000</v>
      </c>
      <c r="CL277" s="216">
        <f ca="1">IF($D277&lt;&gt;"Serviço",0,IF(OR(AND(AUTOEVENTO="Manual",$M277=1),$M277&gt;(ROW(PLE.lastrow)-ROW(PLE.firstrow))),0,IF(OFFSET(PLE!$G$14,$M277,CL$13)="",10^12,OFFSET(PLE!$G$14,$M277,CL$13))))</f>
        <v>1000000000000</v>
      </c>
      <c r="CM277" s="216">
        <f ca="1">IF($D277&lt;&gt;"Serviço",0,IF(OR(AND(AUTOEVENTO="Manual",$M277=1),$M277&gt;(ROW(PLE.lastrow)-ROW(PLE.firstrow))),0,IF(OFFSET(PLE!$G$14,$M277,CM$13)="",10^12,OFFSET(PLE!$G$14,$M277,CM$13))))</f>
        <v>1000000000000</v>
      </c>
    </row>
    <row r="278" spans="1:91" ht="13.2" x14ac:dyDescent="0.25">
      <c r="A278" s="9">
        <f t="shared" ca="1" si="13"/>
        <v>0</v>
      </c>
      <c r="B278" s="9" t="str">
        <f ca="1">OFFSET(ORÇAMENTO!C$15,ROW(B278)-ROW(B$15),0)</f>
        <v>S</v>
      </c>
      <c r="C278" s="9" t="str">
        <f ca="1">OFFSET(ORÇAMENTO!L$15,ROW(C278)-ROW(C$15),0)</f>
        <v/>
      </c>
      <c r="D278" s="145" t="str">
        <f ca="1">OFFSET(ORÇAMENTO!N$15,ROW(D278)-ROW(D$15),0)</f>
        <v>Serviço</v>
      </c>
      <c r="E278" s="205" t="str">
        <f ca="1">OFFSET(ORÇAMENTO!O$15,ROW(E278)-ROW(E$15),0)</f>
        <v>-</v>
      </c>
      <c r="F278" s="206" t="str">
        <f ca="1">OFFSET(ORÇAMENTO!R$15,ROW(F278)-ROW(F$15),0)</f>
        <v>(abra o arquivo 'Referência 05-2024.xls)</v>
      </c>
      <c r="G278" s="207" t="str">
        <f ca="1">IF($D278&lt;&gt;"Serviço","",OFFSET(ORÇAMENTO!S$15,ROW(G278)-ROW(G$15),0))</f>
        <v>-</v>
      </c>
      <c r="H278" s="151">
        <f ca="1">IF($D278&lt;&gt;"Serviço",0,IF(ACOMPANHAMENTO="BM",ROUND(OFFSET(ORÇAMENTO!AJ$15,ROW(H278)-ROW(H$15),0),15-13*ORÇAMENTO!$AF$7),SUMPRODUCT(($Q$12:$AI$12&lt;&gt;"")*ROUND($Q278:$AI278,15-13*ORÇAMENTO!$AF$7))))</f>
        <v>81</v>
      </c>
      <c r="I278" s="650"/>
      <c r="K278" s="208"/>
      <c r="L278" s="209" t="s">
        <v>257</v>
      </c>
      <c r="M278" s="210">
        <f ca="1">IF($D278&lt;&gt;"Serviço","",IF(AUTOEVENTO="manual",$A278,IF(ISERROR(MATCH($A278,$A$15:OFFSET($A278,-1,0),0)),MAX($M$15:OFFSET(M278,-1,0))+1,INDEX($M$15:OFFSET(M278,-1,0),MATCH($A278,$A$15:OFFSET($A278,-1,0),0)))))</f>
        <v>0</v>
      </c>
      <c r="N278" s="211" t="str">
        <f ca="1">IF($D278&lt;&gt;"Serviço","",IF(AUTOEVENTO="Manual",IF($A278=0,"&lt;-- defina o número do agrupador",OFFSET(EVENTOS!$D$14,$A278,0)),OFFSET($F$15,$A278,0)))</f>
        <v>&lt;-- defina o número do agrupador</v>
      </c>
      <c r="O278" s="212"/>
      <c r="Q278" s="212"/>
      <c r="R278" s="213"/>
      <c r="S278" s="213"/>
      <c r="T278" s="213"/>
      <c r="U278" s="213"/>
      <c r="V278" s="213"/>
      <c r="W278" s="213"/>
      <c r="X278" s="213"/>
      <c r="Y278" s="213"/>
      <c r="Z278" s="214"/>
      <c r="AA278" s="213"/>
      <c r="AB278" s="213"/>
      <c r="AC278" s="213"/>
      <c r="AD278" s="213"/>
      <c r="AE278" s="213"/>
      <c r="AF278" s="213"/>
      <c r="AG278" s="213"/>
      <c r="AH278" s="214"/>
      <c r="AJ278" s="631">
        <f ca="1">IF(AND($D278="Serviço",AJ$12&lt;&gt;0,$H278&gt;0,OR(AUTOEVENTO&lt;&gt;"manual",$M278&lt;&gt;1)),ROUND(OFFSET($P278,0,AJ$13),15-13*ORÇAMENTO!$AF$7)/$H278*OFFSET(ORÇAMENTO!$X$15,ROW(AJ278)-ROW(AJ$15),0),0)</f>
        <v>0</v>
      </c>
      <c r="AK278" s="632">
        <f ca="1">IF(AND($D278="Serviço",AK$12&lt;&gt;0,$H278&gt;0,OR(AUTOEVENTO&lt;&gt;"manual",$M278&lt;&gt;1)),ROUND(OFFSET($P278,0,AK$13),15-13*ORÇAMENTO!$AF$7)/$H278*OFFSET(ORÇAMENTO!$X$15,ROW(AK278)-ROW(AK$15),0),0)</f>
        <v>0</v>
      </c>
      <c r="AL278" s="632">
        <f ca="1">IF(AND($D278="Serviço",AL$12&lt;&gt;0,$H278&gt;0,OR(AUTOEVENTO&lt;&gt;"manual",$M278&lt;&gt;1)),ROUND(OFFSET($P278,0,AL$13),15-13*ORÇAMENTO!$AF$7)/$H278*OFFSET(ORÇAMENTO!$X$15,ROW(AL278)-ROW(AL$15),0),0)</f>
        <v>0</v>
      </c>
      <c r="AM278" s="632">
        <f ca="1">IF(AND($D278="Serviço",AM$12&lt;&gt;0,$H278&gt;0,OR(AUTOEVENTO&lt;&gt;"manual",$M278&lt;&gt;1)),ROUND(OFFSET($P278,0,AM$13),15-13*ORÇAMENTO!$AF$7)/$H278*OFFSET(ORÇAMENTO!$X$15,ROW(AM278)-ROW(AM$15),0),0)</f>
        <v>0</v>
      </c>
      <c r="AN278" s="632">
        <f ca="1">IF(AND($D278="Serviço",AN$12&lt;&gt;0,$H278&gt;0,OR(AUTOEVENTO&lt;&gt;"manual",$M278&lt;&gt;1)),ROUND(OFFSET($P278,0,AN$13),15-13*ORÇAMENTO!$AF$7)/$H278*OFFSET(ORÇAMENTO!$X$15,ROW(AN278)-ROW(AN$15),0),0)</f>
        <v>0</v>
      </c>
      <c r="AO278" s="632">
        <f ca="1">IF(AND($D278="Serviço",AO$12&lt;&gt;0,$H278&gt;0,OR(AUTOEVENTO&lt;&gt;"manual",$M278&lt;&gt;1)),ROUND(OFFSET($P278,0,AO$13),15-13*ORÇAMENTO!$AF$7)/$H278*OFFSET(ORÇAMENTO!$X$15,ROW(AO278)-ROW(AO$15),0),0)</f>
        <v>0</v>
      </c>
      <c r="AP278" s="632">
        <f ca="1">IF(AND($D278="Serviço",AP$12&lt;&gt;0,$H278&gt;0,OR(AUTOEVENTO&lt;&gt;"manual",$M278&lt;&gt;1)),ROUND(OFFSET($P278,0,AP$13),15-13*ORÇAMENTO!$AF$7)/$H278*OFFSET(ORÇAMENTO!$X$15,ROW(AP278)-ROW(AP$15),0),0)</f>
        <v>0</v>
      </c>
      <c r="AQ278" s="632">
        <f ca="1">IF(AND($D278="Serviço",AQ$12&lt;&gt;0,$H278&gt;0,OR(AUTOEVENTO&lt;&gt;"manual",$M278&lt;&gt;1)),ROUND(OFFSET($P278,0,AQ$13),15-13*ORÇAMENTO!$AF$7)/$H278*OFFSET(ORÇAMENTO!$X$15,ROW(AQ278)-ROW(AQ$15),0),0)</f>
        <v>0</v>
      </c>
      <c r="AR278" s="632">
        <f ca="1">IF(AND($D278="Serviço",AR$12&lt;&gt;0,$H278&gt;0,OR(AUTOEVENTO&lt;&gt;"manual",$M278&lt;&gt;1)),ROUND(OFFSET($P278,0,AR$13),15-13*ORÇAMENTO!$AF$7)/$H278*OFFSET(ORÇAMENTO!$X$15,ROW(AR278)-ROW(AR$15),0),0)</f>
        <v>0</v>
      </c>
      <c r="AS278" s="633">
        <f ca="1">IF(AND($D278="Serviço",AS$12&lt;&gt;0,$H278&gt;0,OR(AUTOEVENTO&lt;&gt;"manual",$M278&lt;&gt;1)),ROUND(OFFSET($P278,0,AS$13),15-13*ORÇAMENTO!$AF$7)/$H278*OFFSET(ORÇAMENTO!$X$15,ROW(AS278)-ROW(AS$15),0),0)</f>
        <v>0</v>
      </c>
      <c r="AT278" s="632">
        <f ca="1">IF(AND($D278="Serviço",AT$12&lt;&gt;0,$H278&gt;0,OR(AUTOEVENTO&lt;&gt;"manual",$M278&lt;&gt;1)),ROUND(OFFSET($P278,0,AT$13),15-13*ORÇAMENTO!$AF$7)/$H278*OFFSET(ORÇAMENTO!$X$15,ROW(AT278)-ROW(AT$15),0),0)</f>
        <v>0</v>
      </c>
      <c r="AU278" s="632">
        <f ca="1">IF(AND($D278="Serviço",AU$12&lt;&gt;0,$H278&gt;0,OR(AUTOEVENTO&lt;&gt;"manual",$M278&lt;&gt;1)),ROUND(OFFSET($P278,0,AU$13),15-13*ORÇAMENTO!$AF$7)/$H278*OFFSET(ORÇAMENTO!$X$15,ROW(AU278)-ROW(AU$15),0),0)</f>
        <v>0</v>
      </c>
      <c r="AV278" s="632">
        <f ca="1">IF(AND($D278="Serviço",AV$12&lt;&gt;0,$H278&gt;0,OR(AUTOEVENTO&lt;&gt;"manual",$M278&lt;&gt;1)),ROUND(OFFSET($P278,0,AV$13),15-13*ORÇAMENTO!$AF$7)/$H278*OFFSET(ORÇAMENTO!$X$15,ROW(AV278)-ROW(AV$15),0),0)</f>
        <v>0</v>
      </c>
      <c r="AW278" s="632">
        <f ca="1">IF(AND($D278="Serviço",AW$12&lt;&gt;0,$H278&gt;0,OR(AUTOEVENTO&lt;&gt;"manual",$M278&lt;&gt;1)),ROUND(OFFSET($P278,0,AW$13),15-13*ORÇAMENTO!$AF$7)/$H278*OFFSET(ORÇAMENTO!$X$15,ROW(AW278)-ROW(AW$15),0),0)</f>
        <v>0</v>
      </c>
      <c r="AX278" s="632">
        <f ca="1">IF(AND($D278="Serviço",AX$12&lt;&gt;0,$H278&gt;0,OR(AUTOEVENTO&lt;&gt;"manual",$M278&lt;&gt;1)),ROUND(OFFSET($P278,0,AX$13),15-13*ORÇAMENTO!$AF$7)/$H278*OFFSET(ORÇAMENTO!$X$15,ROW(AX278)-ROW(AX$15),0),0)</f>
        <v>0</v>
      </c>
      <c r="AY278" s="632">
        <f ca="1">IF(AND($D278="Serviço",AY$12&lt;&gt;0,$H278&gt;0,OR(AUTOEVENTO&lt;&gt;"manual",$M278&lt;&gt;1)),ROUND(OFFSET($P278,0,AY$13),15-13*ORÇAMENTO!$AF$7)/$H278*OFFSET(ORÇAMENTO!$X$15,ROW(AY278)-ROW(AY$15),0),0)</f>
        <v>0</v>
      </c>
      <c r="AZ278" s="632">
        <f ca="1">IF(AND($D278="Serviço",AZ$12&lt;&gt;0,$H278&gt;0,OR(AUTOEVENTO&lt;&gt;"manual",$M278&lt;&gt;1)),ROUND(OFFSET($P278,0,AZ$13),15-13*ORÇAMENTO!$AF$7)/$H278*OFFSET(ORÇAMENTO!$X$15,ROW(AZ278)-ROW(AZ$15),0),0)</f>
        <v>0</v>
      </c>
      <c r="BA278" s="633">
        <f ca="1">IF(AND($D278="Serviço",BA$12&lt;&gt;0,$H278&gt;0,OR(AUTOEVENTO&lt;&gt;"manual",$M278&lt;&gt;1)),ROUND(OFFSET($P278,0,BA$13),15-13*ORÇAMENTO!$AF$7)/$H278*OFFSET(ORÇAMENTO!$X$15,ROW(BA278)-ROW(BA$15),0),0)</f>
        <v>0</v>
      </c>
      <c r="BC278" s="215">
        <f ca="1">IF($D278&lt;&gt;"Serviço",0,IF(AND(AUTOEVENTO="Manual",$M278=1),0,IF(OFFSET(CRONOPLE!$F$14,$M278,BC$13)="",10^12,OFFSET(CRONOPLE!$F$14,$M278,BC$13))))</f>
        <v>1000000000000</v>
      </c>
      <c r="BD278" s="215">
        <f ca="1">IF($D278&lt;&gt;"Serviço",0,IF(AND(AUTOEVENTO="Manual",$M278=1),0,IF(OFFSET(CRONOPLE!$F$14,$M278,BD$13)="",10^12,OFFSET(CRONOPLE!$F$14,$M278,BD$13))))</f>
        <v>1000000000000</v>
      </c>
      <c r="BE278" s="215">
        <f ca="1">IF($D278&lt;&gt;"Serviço",0,IF(AND(AUTOEVENTO="Manual",$M278=1),0,IF(OFFSET(CRONOPLE!$F$14,$M278,BE$13)="",10^12,OFFSET(CRONOPLE!$F$14,$M278,BE$13))))</f>
        <v>1000000000000</v>
      </c>
      <c r="BF278" s="215">
        <f ca="1">IF($D278&lt;&gt;"Serviço",0,IF(AND(AUTOEVENTO="Manual",$M278=1),0,IF(OFFSET(CRONOPLE!$F$14,$M278,BF$13)="",10^12,OFFSET(CRONOPLE!$F$14,$M278,BF$13))))</f>
        <v>1000000000000</v>
      </c>
      <c r="BG278" s="215">
        <f ca="1">IF($D278&lt;&gt;"Serviço",0,IF(AND(AUTOEVENTO="Manual",$M278=1),0,IF(OFFSET(CRONOPLE!$F$14,$M278,BG$13)="",10^12,OFFSET(CRONOPLE!$F$14,$M278,BG$13))))</f>
        <v>1000000000000</v>
      </c>
      <c r="BH278" s="215">
        <f ca="1">IF($D278&lt;&gt;"Serviço",0,IF(AND(AUTOEVENTO="Manual",$M278=1),0,IF(OFFSET(CRONOPLE!$F$14,$M278,BH$13)="",10^12,OFFSET(CRONOPLE!$F$14,$M278,BH$13))))</f>
        <v>1000000000000</v>
      </c>
      <c r="BI278" s="215">
        <f ca="1">IF($D278&lt;&gt;"Serviço",0,IF(AND(AUTOEVENTO="Manual",$M278=1),0,IF(OFFSET(CRONOPLE!$F$14,$M278,BI$13)="",10^12,OFFSET(CRONOPLE!$F$14,$M278,BI$13))))</f>
        <v>1000000000000</v>
      </c>
      <c r="BJ278" s="215">
        <f ca="1">IF($D278&lt;&gt;"Serviço",0,IF(AND(AUTOEVENTO="Manual",$M278=1),0,IF(OFFSET(CRONOPLE!$F$14,$M278,BJ$13)="",10^12,OFFSET(CRONOPLE!$F$14,$M278,BJ$13))))</f>
        <v>1000000000000</v>
      </c>
      <c r="BK278" s="215">
        <f ca="1">IF($D278&lt;&gt;"Serviço",0,IF(AND(AUTOEVENTO="Manual",$M278=1),0,IF(OFFSET(CRONOPLE!$F$14,$M278,BK$13)="",10^12,OFFSET(CRONOPLE!$F$14,$M278,BK$13))))</f>
        <v>1000000000000</v>
      </c>
      <c r="BL278" s="215">
        <f ca="1">IF($D278&lt;&gt;"Serviço",0,IF(AND(AUTOEVENTO="Manual",$M278=1),0,IF(OFFSET(CRONOPLE!$F$14,$M278,BL$13)="",10^12,OFFSET(CRONOPLE!$F$14,$M278,BL$13))))</f>
        <v>1000000000000</v>
      </c>
      <c r="BM278" s="215">
        <f ca="1">IF($D278&lt;&gt;"Serviço",0,IF(AND(AUTOEVENTO="Manual",$M278=1),0,IF(OFFSET(CRONOPLE!$F$14,$M278,BM$13)="",10^12,OFFSET(CRONOPLE!$F$14,$M278,BM$13))))</f>
        <v>1000000000000</v>
      </c>
      <c r="BN278" s="215">
        <f ca="1">IF($D278&lt;&gt;"Serviço",0,IF(AND(AUTOEVENTO="Manual",$M278=1),0,IF(OFFSET(CRONOPLE!$F$14,$M278,BN$13)="",10^12,OFFSET(CRONOPLE!$F$14,$M278,BN$13))))</f>
        <v>1000000000000</v>
      </c>
      <c r="BO278" s="215">
        <f ca="1">IF($D278&lt;&gt;"Serviço",0,IF(AND(AUTOEVENTO="Manual",$M278=1),0,IF(OFFSET(CRONOPLE!$F$14,$M278,BO$13)="",10^12,OFFSET(CRONOPLE!$F$14,$M278,BO$13))))</f>
        <v>1000000000000</v>
      </c>
      <c r="BP278" s="215">
        <f ca="1">IF($D278&lt;&gt;"Serviço",0,IF(AND(AUTOEVENTO="Manual",$M278=1),0,IF(OFFSET(CRONOPLE!$F$14,$M278,BP$13)="",10^12,OFFSET(CRONOPLE!$F$14,$M278,BP$13))))</f>
        <v>1000000000000</v>
      </c>
      <c r="BQ278" s="215">
        <f ca="1">IF($D278&lt;&gt;"Serviço",0,IF(AND(AUTOEVENTO="Manual",$M278=1),0,IF(OFFSET(CRONOPLE!$F$14,$M278,BQ$13)="",10^12,OFFSET(CRONOPLE!$F$14,$M278,BQ$13))))</f>
        <v>1000000000000</v>
      </c>
      <c r="BR278" s="215">
        <f ca="1">IF($D278&lt;&gt;"Serviço",0,IF(AND(AUTOEVENTO="Manual",$M278=1),0,IF(OFFSET(CRONOPLE!$F$14,$M278,BR$13)="",10^12,OFFSET(CRONOPLE!$F$14,$M278,BR$13))))</f>
        <v>1000000000000</v>
      </c>
      <c r="BS278" s="215">
        <f ca="1">IF($D278&lt;&gt;"Serviço",0,IF(AND(AUTOEVENTO="Manual",$M278=1),0,IF(OFFSET(CRONOPLE!$F$14,$M278,BS$13)="",10^12,OFFSET(CRONOPLE!$F$14,$M278,BS$13))))</f>
        <v>1000000000000</v>
      </c>
      <c r="BT278" s="215">
        <f ca="1">IF($D278&lt;&gt;"Serviço",0,IF(AND(AUTOEVENTO="Manual",$M278=1),0,IF(OFFSET(CRONOPLE!$F$14,$M278,BT$13)="",10^12,OFFSET(CRONOPLE!$F$14,$M278,BT$13))))</f>
        <v>1000000000000</v>
      </c>
      <c r="BV278" s="216">
        <f ca="1">IF($D278&lt;&gt;"Serviço",0,IF(OR(AND(AUTOEVENTO="Manual",$M278=1),$M278&gt;(ROW(PLE.lastrow)-ROW(PLE.firstrow))),0,IF(OFFSET(PLE!$G$14,$M278,BV$13)="",10^12,OFFSET(PLE!$G$14,$M278,BV$13))))</f>
        <v>1000000000000</v>
      </c>
      <c r="BW278" s="216">
        <f ca="1">IF($D278&lt;&gt;"Serviço",0,IF(OR(AND(AUTOEVENTO="Manual",$M278=1),$M278&gt;(ROW(PLE.lastrow)-ROW(PLE.firstrow))),0,IF(OFFSET(PLE!$G$14,$M278,BW$13)="",10^12,OFFSET(PLE!$G$14,$M278,BW$13))))</f>
        <v>1000000000000</v>
      </c>
      <c r="BX278" s="216">
        <f ca="1">IF($D278&lt;&gt;"Serviço",0,IF(OR(AND(AUTOEVENTO="Manual",$M278=1),$M278&gt;(ROW(PLE.lastrow)-ROW(PLE.firstrow))),0,IF(OFFSET(PLE!$G$14,$M278,BX$13)="",10^12,OFFSET(PLE!$G$14,$M278,BX$13))))</f>
        <v>1000000000000</v>
      </c>
      <c r="BY278" s="216">
        <f ca="1">IF($D278&lt;&gt;"Serviço",0,IF(OR(AND(AUTOEVENTO="Manual",$M278=1),$M278&gt;(ROW(PLE.lastrow)-ROW(PLE.firstrow))),0,IF(OFFSET(PLE!$G$14,$M278,BY$13)="",10^12,OFFSET(PLE!$G$14,$M278,BY$13))))</f>
        <v>1000000000000</v>
      </c>
      <c r="BZ278" s="216">
        <f ca="1">IF($D278&lt;&gt;"Serviço",0,IF(OR(AND(AUTOEVENTO="Manual",$M278=1),$M278&gt;(ROW(PLE.lastrow)-ROW(PLE.firstrow))),0,IF(OFFSET(PLE!$G$14,$M278,BZ$13)="",10^12,OFFSET(PLE!$G$14,$M278,BZ$13))))</f>
        <v>1000000000000</v>
      </c>
      <c r="CA278" s="216">
        <f ca="1">IF($D278&lt;&gt;"Serviço",0,IF(OR(AND(AUTOEVENTO="Manual",$M278=1),$M278&gt;(ROW(PLE.lastrow)-ROW(PLE.firstrow))),0,IF(OFFSET(PLE!$G$14,$M278,CA$13)="",10^12,OFFSET(PLE!$G$14,$M278,CA$13))))</f>
        <v>1000000000000</v>
      </c>
      <c r="CB278" s="216">
        <f ca="1">IF($D278&lt;&gt;"Serviço",0,IF(OR(AND(AUTOEVENTO="Manual",$M278=1),$M278&gt;(ROW(PLE.lastrow)-ROW(PLE.firstrow))),0,IF(OFFSET(PLE!$G$14,$M278,CB$13)="",10^12,OFFSET(PLE!$G$14,$M278,CB$13))))</f>
        <v>1000000000000</v>
      </c>
      <c r="CC278" s="216">
        <f ca="1">IF($D278&lt;&gt;"Serviço",0,IF(OR(AND(AUTOEVENTO="Manual",$M278=1),$M278&gt;(ROW(PLE.lastrow)-ROW(PLE.firstrow))),0,IF(OFFSET(PLE!$G$14,$M278,CC$13)="",10^12,OFFSET(PLE!$G$14,$M278,CC$13))))</f>
        <v>1000000000000</v>
      </c>
      <c r="CD278" s="216">
        <f ca="1">IF($D278&lt;&gt;"Serviço",0,IF(OR(AND(AUTOEVENTO="Manual",$M278=1),$M278&gt;(ROW(PLE.lastrow)-ROW(PLE.firstrow))),0,IF(OFFSET(PLE!$G$14,$M278,CD$13)="",10^12,OFFSET(PLE!$G$14,$M278,CD$13))))</f>
        <v>1000000000000</v>
      </c>
      <c r="CE278" s="216">
        <f ca="1">IF($D278&lt;&gt;"Serviço",0,IF(OR(AND(AUTOEVENTO="Manual",$M278=1),$M278&gt;(ROW(PLE.lastrow)-ROW(PLE.firstrow))),0,IF(OFFSET(PLE!$G$14,$M278,CE$13)="",10^12,OFFSET(PLE!$G$14,$M278,CE$13))))</f>
        <v>1000000000000</v>
      </c>
      <c r="CF278" s="216">
        <f ca="1">IF($D278&lt;&gt;"Serviço",0,IF(OR(AND(AUTOEVENTO="Manual",$M278=1),$M278&gt;(ROW(PLE.lastrow)-ROW(PLE.firstrow))),0,IF(OFFSET(PLE!$G$14,$M278,CF$13)="",10^12,OFFSET(PLE!$G$14,$M278,CF$13))))</f>
        <v>1000000000000</v>
      </c>
      <c r="CG278" s="216">
        <f ca="1">IF($D278&lt;&gt;"Serviço",0,IF(OR(AND(AUTOEVENTO="Manual",$M278=1),$M278&gt;(ROW(PLE.lastrow)-ROW(PLE.firstrow))),0,IF(OFFSET(PLE!$G$14,$M278,CG$13)="",10^12,OFFSET(PLE!$G$14,$M278,CG$13))))</f>
        <v>1000000000000</v>
      </c>
      <c r="CH278" s="216">
        <f ca="1">IF($D278&lt;&gt;"Serviço",0,IF(OR(AND(AUTOEVENTO="Manual",$M278=1),$M278&gt;(ROW(PLE.lastrow)-ROW(PLE.firstrow))),0,IF(OFFSET(PLE!$G$14,$M278,CH$13)="",10^12,OFFSET(PLE!$G$14,$M278,CH$13))))</f>
        <v>1000000000000</v>
      </c>
      <c r="CI278" s="216">
        <f ca="1">IF($D278&lt;&gt;"Serviço",0,IF(OR(AND(AUTOEVENTO="Manual",$M278=1),$M278&gt;(ROW(PLE.lastrow)-ROW(PLE.firstrow))),0,IF(OFFSET(PLE!$G$14,$M278,CI$13)="",10^12,OFFSET(PLE!$G$14,$M278,CI$13))))</f>
        <v>1000000000000</v>
      </c>
      <c r="CJ278" s="216">
        <f ca="1">IF($D278&lt;&gt;"Serviço",0,IF(OR(AND(AUTOEVENTO="Manual",$M278=1),$M278&gt;(ROW(PLE.lastrow)-ROW(PLE.firstrow))),0,IF(OFFSET(PLE!$G$14,$M278,CJ$13)="",10^12,OFFSET(PLE!$G$14,$M278,CJ$13))))</f>
        <v>1000000000000</v>
      </c>
      <c r="CK278" s="216">
        <f ca="1">IF($D278&lt;&gt;"Serviço",0,IF(OR(AND(AUTOEVENTO="Manual",$M278=1),$M278&gt;(ROW(PLE.lastrow)-ROW(PLE.firstrow))),0,IF(OFFSET(PLE!$G$14,$M278,CK$13)="",10^12,OFFSET(PLE!$G$14,$M278,CK$13))))</f>
        <v>1000000000000</v>
      </c>
      <c r="CL278" s="216">
        <f ca="1">IF($D278&lt;&gt;"Serviço",0,IF(OR(AND(AUTOEVENTO="Manual",$M278=1),$M278&gt;(ROW(PLE.lastrow)-ROW(PLE.firstrow))),0,IF(OFFSET(PLE!$G$14,$M278,CL$13)="",10^12,OFFSET(PLE!$G$14,$M278,CL$13))))</f>
        <v>1000000000000</v>
      </c>
      <c r="CM278" s="216">
        <f ca="1">IF($D278&lt;&gt;"Serviço",0,IF(OR(AND(AUTOEVENTO="Manual",$M278=1),$M278&gt;(ROW(PLE.lastrow)-ROW(PLE.firstrow))),0,IF(OFFSET(PLE!$G$14,$M278,CM$13)="",10^12,OFFSET(PLE!$G$14,$M278,CM$13))))</f>
        <v>1000000000000</v>
      </c>
    </row>
    <row r="279" spans="1:91" ht="13.2" x14ac:dyDescent="0.25">
      <c r="A279" s="9">
        <f t="shared" ca="1" si="13"/>
        <v>0</v>
      </c>
      <c r="B279" s="9" t="str">
        <f ca="1">OFFSET(ORÇAMENTO!C$15,ROW(B279)-ROW(B$15),0)</f>
        <v>S</v>
      </c>
      <c r="C279" s="9" t="str">
        <f ca="1">OFFSET(ORÇAMENTO!L$15,ROW(C279)-ROW(C$15),0)</f>
        <v/>
      </c>
      <c r="D279" s="145" t="str">
        <f ca="1">OFFSET(ORÇAMENTO!N$15,ROW(D279)-ROW(D$15),0)</f>
        <v>Serviço</v>
      </c>
      <c r="E279" s="205" t="str">
        <f ca="1">OFFSET(ORÇAMENTO!O$15,ROW(E279)-ROW(E$15),0)</f>
        <v>-</v>
      </c>
      <c r="F279" s="206" t="str">
        <f ca="1">OFFSET(ORÇAMENTO!R$15,ROW(F279)-ROW(F$15),0)</f>
        <v>(abra o arquivo 'Referência 05-2024.xls)</v>
      </c>
      <c r="G279" s="207" t="str">
        <f ca="1">IF($D279&lt;&gt;"Serviço","",OFFSET(ORÇAMENTO!S$15,ROW(G279)-ROW(G$15),0))</f>
        <v>-</v>
      </c>
      <c r="H279" s="151">
        <f ca="1">IF($D279&lt;&gt;"Serviço",0,IF(ACOMPANHAMENTO="BM",ROUND(OFFSET(ORÇAMENTO!AJ$15,ROW(H279)-ROW(H$15),0),15-13*ORÇAMENTO!$AF$7),SUMPRODUCT(($Q$12:$AI$12&lt;&gt;"")*ROUND($Q279:$AI279,15-13*ORÇAMENTO!$AF$7))))</f>
        <v>13.55</v>
      </c>
      <c r="I279" s="650"/>
      <c r="K279" s="208"/>
      <c r="L279" s="209" t="s">
        <v>257</v>
      </c>
      <c r="M279" s="210">
        <f ca="1">IF($D279&lt;&gt;"Serviço","",IF(AUTOEVENTO="manual",$A279,IF(ISERROR(MATCH($A279,$A$15:OFFSET($A279,-1,0),0)),MAX($M$15:OFFSET(M279,-1,0))+1,INDEX($M$15:OFFSET(M279,-1,0),MATCH($A279,$A$15:OFFSET($A279,-1,0),0)))))</f>
        <v>0</v>
      </c>
      <c r="N279" s="211" t="str">
        <f ca="1">IF($D279&lt;&gt;"Serviço","",IF(AUTOEVENTO="Manual",IF($A279=0,"&lt;-- defina o número do agrupador",OFFSET(EVENTOS!$D$14,$A279,0)),OFFSET($F$15,$A279,0)))</f>
        <v>&lt;-- defina o número do agrupador</v>
      </c>
      <c r="O279" s="212"/>
      <c r="Q279" s="212"/>
      <c r="R279" s="213"/>
      <c r="S279" s="213"/>
      <c r="T279" s="213"/>
      <c r="U279" s="213"/>
      <c r="V279" s="213"/>
      <c r="W279" s="213"/>
      <c r="X279" s="213"/>
      <c r="Y279" s="213"/>
      <c r="Z279" s="214"/>
      <c r="AA279" s="213"/>
      <c r="AB279" s="213"/>
      <c r="AC279" s="213"/>
      <c r="AD279" s="213"/>
      <c r="AE279" s="213"/>
      <c r="AF279" s="213"/>
      <c r="AG279" s="213"/>
      <c r="AH279" s="214"/>
      <c r="AJ279" s="631">
        <f ca="1">IF(AND($D279="Serviço",AJ$12&lt;&gt;0,$H279&gt;0,OR(AUTOEVENTO&lt;&gt;"manual",$M279&lt;&gt;1)),ROUND(OFFSET($P279,0,AJ$13),15-13*ORÇAMENTO!$AF$7)/$H279*OFFSET(ORÇAMENTO!$X$15,ROW(AJ279)-ROW(AJ$15),0),0)</f>
        <v>0</v>
      </c>
      <c r="AK279" s="632">
        <f ca="1">IF(AND($D279="Serviço",AK$12&lt;&gt;0,$H279&gt;0,OR(AUTOEVENTO&lt;&gt;"manual",$M279&lt;&gt;1)),ROUND(OFFSET($P279,0,AK$13),15-13*ORÇAMENTO!$AF$7)/$H279*OFFSET(ORÇAMENTO!$X$15,ROW(AK279)-ROW(AK$15),0),0)</f>
        <v>0</v>
      </c>
      <c r="AL279" s="632">
        <f ca="1">IF(AND($D279="Serviço",AL$12&lt;&gt;0,$H279&gt;0,OR(AUTOEVENTO&lt;&gt;"manual",$M279&lt;&gt;1)),ROUND(OFFSET($P279,0,AL$13),15-13*ORÇAMENTO!$AF$7)/$H279*OFFSET(ORÇAMENTO!$X$15,ROW(AL279)-ROW(AL$15),0),0)</f>
        <v>0</v>
      </c>
      <c r="AM279" s="632">
        <f ca="1">IF(AND($D279="Serviço",AM$12&lt;&gt;0,$H279&gt;0,OR(AUTOEVENTO&lt;&gt;"manual",$M279&lt;&gt;1)),ROUND(OFFSET($P279,0,AM$13),15-13*ORÇAMENTO!$AF$7)/$H279*OFFSET(ORÇAMENTO!$X$15,ROW(AM279)-ROW(AM$15),0),0)</f>
        <v>0</v>
      </c>
      <c r="AN279" s="632">
        <f ca="1">IF(AND($D279="Serviço",AN$12&lt;&gt;0,$H279&gt;0,OR(AUTOEVENTO&lt;&gt;"manual",$M279&lt;&gt;1)),ROUND(OFFSET($P279,0,AN$13),15-13*ORÇAMENTO!$AF$7)/$H279*OFFSET(ORÇAMENTO!$X$15,ROW(AN279)-ROW(AN$15),0),0)</f>
        <v>0</v>
      </c>
      <c r="AO279" s="632">
        <f ca="1">IF(AND($D279="Serviço",AO$12&lt;&gt;0,$H279&gt;0,OR(AUTOEVENTO&lt;&gt;"manual",$M279&lt;&gt;1)),ROUND(OFFSET($P279,0,AO$13),15-13*ORÇAMENTO!$AF$7)/$H279*OFFSET(ORÇAMENTO!$X$15,ROW(AO279)-ROW(AO$15),0),0)</f>
        <v>0</v>
      </c>
      <c r="AP279" s="632">
        <f ca="1">IF(AND($D279="Serviço",AP$12&lt;&gt;0,$H279&gt;0,OR(AUTOEVENTO&lt;&gt;"manual",$M279&lt;&gt;1)),ROUND(OFFSET($P279,0,AP$13),15-13*ORÇAMENTO!$AF$7)/$H279*OFFSET(ORÇAMENTO!$X$15,ROW(AP279)-ROW(AP$15),0),0)</f>
        <v>0</v>
      </c>
      <c r="AQ279" s="632">
        <f ca="1">IF(AND($D279="Serviço",AQ$12&lt;&gt;0,$H279&gt;0,OR(AUTOEVENTO&lt;&gt;"manual",$M279&lt;&gt;1)),ROUND(OFFSET($P279,0,AQ$13),15-13*ORÇAMENTO!$AF$7)/$H279*OFFSET(ORÇAMENTO!$X$15,ROW(AQ279)-ROW(AQ$15),0),0)</f>
        <v>0</v>
      </c>
      <c r="AR279" s="632">
        <f ca="1">IF(AND($D279="Serviço",AR$12&lt;&gt;0,$H279&gt;0,OR(AUTOEVENTO&lt;&gt;"manual",$M279&lt;&gt;1)),ROUND(OFFSET($P279,0,AR$13),15-13*ORÇAMENTO!$AF$7)/$H279*OFFSET(ORÇAMENTO!$X$15,ROW(AR279)-ROW(AR$15),0),0)</f>
        <v>0</v>
      </c>
      <c r="AS279" s="633">
        <f ca="1">IF(AND($D279="Serviço",AS$12&lt;&gt;0,$H279&gt;0,OR(AUTOEVENTO&lt;&gt;"manual",$M279&lt;&gt;1)),ROUND(OFFSET($P279,0,AS$13),15-13*ORÇAMENTO!$AF$7)/$H279*OFFSET(ORÇAMENTO!$X$15,ROW(AS279)-ROW(AS$15),0),0)</f>
        <v>0</v>
      </c>
      <c r="AT279" s="632">
        <f ca="1">IF(AND($D279="Serviço",AT$12&lt;&gt;0,$H279&gt;0,OR(AUTOEVENTO&lt;&gt;"manual",$M279&lt;&gt;1)),ROUND(OFFSET($P279,0,AT$13),15-13*ORÇAMENTO!$AF$7)/$H279*OFFSET(ORÇAMENTO!$X$15,ROW(AT279)-ROW(AT$15),0),0)</f>
        <v>0</v>
      </c>
      <c r="AU279" s="632">
        <f ca="1">IF(AND($D279="Serviço",AU$12&lt;&gt;0,$H279&gt;0,OR(AUTOEVENTO&lt;&gt;"manual",$M279&lt;&gt;1)),ROUND(OFFSET($P279,0,AU$13),15-13*ORÇAMENTO!$AF$7)/$H279*OFFSET(ORÇAMENTO!$X$15,ROW(AU279)-ROW(AU$15),0),0)</f>
        <v>0</v>
      </c>
      <c r="AV279" s="632">
        <f ca="1">IF(AND($D279="Serviço",AV$12&lt;&gt;0,$H279&gt;0,OR(AUTOEVENTO&lt;&gt;"manual",$M279&lt;&gt;1)),ROUND(OFFSET($P279,0,AV$13),15-13*ORÇAMENTO!$AF$7)/$H279*OFFSET(ORÇAMENTO!$X$15,ROW(AV279)-ROW(AV$15),0),0)</f>
        <v>0</v>
      </c>
      <c r="AW279" s="632">
        <f ca="1">IF(AND($D279="Serviço",AW$12&lt;&gt;0,$H279&gt;0,OR(AUTOEVENTO&lt;&gt;"manual",$M279&lt;&gt;1)),ROUND(OFFSET($P279,0,AW$13),15-13*ORÇAMENTO!$AF$7)/$H279*OFFSET(ORÇAMENTO!$X$15,ROW(AW279)-ROW(AW$15),0),0)</f>
        <v>0</v>
      </c>
      <c r="AX279" s="632">
        <f ca="1">IF(AND($D279="Serviço",AX$12&lt;&gt;0,$H279&gt;0,OR(AUTOEVENTO&lt;&gt;"manual",$M279&lt;&gt;1)),ROUND(OFFSET($P279,0,AX$13),15-13*ORÇAMENTO!$AF$7)/$H279*OFFSET(ORÇAMENTO!$X$15,ROW(AX279)-ROW(AX$15),0),0)</f>
        <v>0</v>
      </c>
      <c r="AY279" s="632">
        <f ca="1">IF(AND($D279="Serviço",AY$12&lt;&gt;0,$H279&gt;0,OR(AUTOEVENTO&lt;&gt;"manual",$M279&lt;&gt;1)),ROUND(OFFSET($P279,0,AY$13),15-13*ORÇAMENTO!$AF$7)/$H279*OFFSET(ORÇAMENTO!$X$15,ROW(AY279)-ROW(AY$15),0),0)</f>
        <v>0</v>
      </c>
      <c r="AZ279" s="632">
        <f ca="1">IF(AND($D279="Serviço",AZ$12&lt;&gt;0,$H279&gt;0,OR(AUTOEVENTO&lt;&gt;"manual",$M279&lt;&gt;1)),ROUND(OFFSET($P279,0,AZ$13),15-13*ORÇAMENTO!$AF$7)/$H279*OFFSET(ORÇAMENTO!$X$15,ROW(AZ279)-ROW(AZ$15),0),0)</f>
        <v>0</v>
      </c>
      <c r="BA279" s="633">
        <f ca="1">IF(AND($D279="Serviço",BA$12&lt;&gt;0,$H279&gt;0,OR(AUTOEVENTO&lt;&gt;"manual",$M279&lt;&gt;1)),ROUND(OFFSET($P279,0,BA$13),15-13*ORÇAMENTO!$AF$7)/$H279*OFFSET(ORÇAMENTO!$X$15,ROW(BA279)-ROW(BA$15),0),0)</f>
        <v>0</v>
      </c>
      <c r="BC279" s="215">
        <f ca="1">IF($D279&lt;&gt;"Serviço",0,IF(AND(AUTOEVENTO="Manual",$M279=1),0,IF(OFFSET(CRONOPLE!$F$14,$M279,BC$13)="",10^12,OFFSET(CRONOPLE!$F$14,$M279,BC$13))))</f>
        <v>1000000000000</v>
      </c>
      <c r="BD279" s="215">
        <f ca="1">IF($D279&lt;&gt;"Serviço",0,IF(AND(AUTOEVENTO="Manual",$M279=1),0,IF(OFFSET(CRONOPLE!$F$14,$M279,BD$13)="",10^12,OFFSET(CRONOPLE!$F$14,$M279,BD$13))))</f>
        <v>1000000000000</v>
      </c>
      <c r="BE279" s="215">
        <f ca="1">IF($D279&lt;&gt;"Serviço",0,IF(AND(AUTOEVENTO="Manual",$M279=1),0,IF(OFFSET(CRONOPLE!$F$14,$M279,BE$13)="",10^12,OFFSET(CRONOPLE!$F$14,$M279,BE$13))))</f>
        <v>1000000000000</v>
      </c>
      <c r="BF279" s="215">
        <f ca="1">IF($D279&lt;&gt;"Serviço",0,IF(AND(AUTOEVENTO="Manual",$M279=1),0,IF(OFFSET(CRONOPLE!$F$14,$M279,BF$13)="",10^12,OFFSET(CRONOPLE!$F$14,$M279,BF$13))))</f>
        <v>1000000000000</v>
      </c>
      <c r="BG279" s="215">
        <f ca="1">IF($D279&lt;&gt;"Serviço",0,IF(AND(AUTOEVENTO="Manual",$M279=1),0,IF(OFFSET(CRONOPLE!$F$14,$M279,BG$13)="",10^12,OFFSET(CRONOPLE!$F$14,$M279,BG$13))))</f>
        <v>1000000000000</v>
      </c>
      <c r="BH279" s="215">
        <f ca="1">IF($D279&lt;&gt;"Serviço",0,IF(AND(AUTOEVENTO="Manual",$M279=1),0,IF(OFFSET(CRONOPLE!$F$14,$M279,BH$13)="",10^12,OFFSET(CRONOPLE!$F$14,$M279,BH$13))))</f>
        <v>1000000000000</v>
      </c>
      <c r="BI279" s="215">
        <f ca="1">IF($D279&lt;&gt;"Serviço",0,IF(AND(AUTOEVENTO="Manual",$M279=1),0,IF(OFFSET(CRONOPLE!$F$14,$M279,BI$13)="",10^12,OFFSET(CRONOPLE!$F$14,$M279,BI$13))))</f>
        <v>1000000000000</v>
      </c>
      <c r="BJ279" s="215">
        <f ca="1">IF($D279&lt;&gt;"Serviço",0,IF(AND(AUTOEVENTO="Manual",$M279=1),0,IF(OFFSET(CRONOPLE!$F$14,$M279,BJ$13)="",10^12,OFFSET(CRONOPLE!$F$14,$M279,BJ$13))))</f>
        <v>1000000000000</v>
      </c>
      <c r="BK279" s="215">
        <f ca="1">IF($D279&lt;&gt;"Serviço",0,IF(AND(AUTOEVENTO="Manual",$M279=1),0,IF(OFFSET(CRONOPLE!$F$14,$M279,BK$13)="",10^12,OFFSET(CRONOPLE!$F$14,$M279,BK$13))))</f>
        <v>1000000000000</v>
      </c>
      <c r="BL279" s="215">
        <f ca="1">IF($D279&lt;&gt;"Serviço",0,IF(AND(AUTOEVENTO="Manual",$M279=1),0,IF(OFFSET(CRONOPLE!$F$14,$M279,BL$13)="",10^12,OFFSET(CRONOPLE!$F$14,$M279,BL$13))))</f>
        <v>1000000000000</v>
      </c>
      <c r="BM279" s="215">
        <f ca="1">IF($D279&lt;&gt;"Serviço",0,IF(AND(AUTOEVENTO="Manual",$M279=1),0,IF(OFFSET(CRONOPLE!$F$14,$M279,BM$13)="",10^12,OFFSET(CRONOPLE!$F$14,$M279,BM$13))))</f>
        <v>1000000000000</v>
      </c>
      <c r="BN279" s="215">
        <f ca="1">IF($D279&lt;&gt;"Serviço",0,IF(AND(AUTOEVENTO="Manual",$M279=1),0,IF(OFFSET(CRONOPLE!$F$14,$M279,BN$13)="",10^12,OFFSET(CRONOPLE!$F$14,$M279,BN$13))))</f>
        <v>1000000000000</v>
      </c>
      <c r="BO279" s="215">
        <f ca="1">IF($D279&lt;&gt;"Serviço",0,IF(AND(AUTOEVENTO="Manual",$M279=1),0,IF(OFFSET(CRONOPLE!$F$14,$M279,BO$13)="",10^12,OFFSET(CRONOPLE!$F$14,$M279,BO$13))))</f>
        <v>1000000000000</v>
      </c>
      <c r="BP279" s="215">
        <f ca="1">IF($D279&lt;&gt;"Serviço",0,IF(AND(AUTOEVENTO="Manual",$M279=1),0,IF(OFFSET(CRONOPLE!$F$14,$M279,BP$13)="",10^12,OFFSET(CRONOPLE!$F$14,$M279,BP$13))))</f>
        <v>1000000000000</v>
      </c>
      <c r="BQ279" s="215">
        <f ca="1">IF($D279&lt;&gt;"Serviço",0,IF(AND(AUTOEVENTO="Manual",$M279=1),0,IF(OFFSET(CRONOPLE!$F$14,$M279,BQ$13)="",10^12,OFFSET(CRONOPLE!$F$14,$M279,BQ$13))))</f>
        <v>1000000000000</v>
      </c>
      <c r="BR279" s="215">
        <f ca="1">IF($D279&lt;&gt;"Serviço",0,IF(AND(AUTOEVENTO="Manual",$M279=1),0,IF(OFFSET(CRONOPLE!$F$14,$M279,BR$13)="",10^12,OFFSET(CRONOPLE!$F$14,$M279,BR$13))))</f>
        <v>1000000000000</v>
      </c>
      <c r="BS279" s="215">
        <f ca="1">IF($D279&lt;&gt;"Serviço",0,IF(AND(AUTOEVENTO="Manual",$M279=1),0,IF(OFFSET(CRONOPLE!$F$14,$M279,BS$13)="",10^12,OFFSET(CRONOPLE!$F$14,$M279,BS$13))))</f>
        <v>1000000000000</v>
      </c>
      <c r="BT279" s="215">
        <f ca="1">IF($D279&lt;&gt;"Serviço",0,IF(AND(AUTOEVENTO="Manual",$M279=1),0,IF(OFFSET(CRONOPLE!$F$14,$M279,BT$13)="",10^12,OFFSET(CRONOPLE!$F$14,$M279,BT$13))))</f>
        <v>1000000000000</v>
      </c>
      <c r="BV279" s="216">
        <f ca="1">IF($D279&lt;&gt;"Serviço",0,IF(OR(AND(AUTOEVENTO="Manual",$M279=1),$M279&gt;(ROW(PLE.lastrow)-ROW(PLE.firstrow))),0,IF(OFFSET(PLE!$G$14,$M279,BV$13)="",10^12,OFFSET(PLE!$G$14,$M279,BV$13))))</f>
        <v>1000000000000</v>
      </c>
      <c r="BW279" s="216">
        <f ca="1">IF($D279&lt;&gt;"Serviço",0,IF(OR(AND(AUTOEVENTO="Manual",$M279=1),$M279&gt;(ROW(PLE.lastrow)-ROW(PLE.firstrow))),0,IF(OFFSET(PLE!$G$14,$M279,BW$13)="",10^12,OFFSET(PLE!$G$14,$M279,BW$13))))</f>
        <v>1000000000000</v>
      </c>
      <c r="BX279" s="216">
        <f ca="1">IF($D279&lt;&gt;"Serviço",0,IF(OR(AND(AUTOEVENTO="Manual",$M279=1),$M279&gt;(ROW(PLE.lastrow)-ROW(PLE.firstrow))),0,IF(OFFSET(PLE!$G$14,$M279,BX$13)="",10^12,OFFSET(PLE!$G$14,$M279,BX$13))))</f>
        <v>1000000000000</v>
      </c>
      <c r="BY279" s="216">
        <f ca="1">IF($D279&lt;&gt;"Serviço",0,IF(OR(AND(AUTOEVENTO="Manual",$M279=1),$M279&gt;(ROW(PLE.lastrow)-ROW(PLE.firstrow))),0,IF(OFFSET(PLE!$G$14,$M279,BY$13)="",10^12,OFFSET(PLE!$G$14,$M279,BY$13))))</f>
        <v>1000000000000</v>
      </c>
      <c r="BZ279" s="216">
        <f ca="1">IF($D279&lt;&gt;"Serviço",0,IF(OR(AND(AUTOEVENTO="Manual",$M279=1),$M279&gt;(ROW(PLE.lastrow)-ROW(PLE.firstrow))),0,IF(OFFSET(PLE!$G$14,$M279,BZ$13)="",10^12,OFFSET(PLE!$G$14,$M279,BZ$13))))</f>
        <v>1000000000000</v>
      </c>
      <c r="CA279" s="216">
        <f ca="1">IF($D279&lt;&gt;"Serviço",0,IF(OR(AND(AUTOEVENTO="Manual",$M279=1),$M279&gt;(ROW(PLE.lastrow)-ROW(PLE.firstrow))),0,IF(OFFSET(PLE!$G$14,$M279,CA$13)="",10^12,OFFSET(PLE!$G$14,$M279,CA$13))))</f>
        <v>1000000000000</v>
      </c>
      <c r="CB279" s="216">
        <f ca="1">IF($D279&lt;&gt;"Serviço",0,IF(OR(AND(AUTOEVENTO="Manual",$M279=1),$M279&gt;(ROW(PLE.lastrow)-ROW(PLE.firstrow))),0,IF(OFFSET(PLE!$G$14,$M279,CB$13)="",10^12,OFFSET(PLE!$G$14,$M279,CB$13))))</f>
        <v>1000000000000</v>
      </c>
      <c r="CC279" s="216">
        <f ca="1">IF($D279&lt;&gt;"Serviço",0,IF(OR(AND(AUTOEVENTO="Manual",$M279=1),$M279&gt;(ROW(PLE.lastrow)-ROW(PLE.firstrow))),0,IF(OFFSET(PLE!$G$14,$M279,CC$13)="",10^12,OFFSET(PLE!$G$14,$M279,CC$13))))</f>
        <v>1000000000000</v>
      </c>
      <c r="CD279" s="216">
        <f ca="1">IF($D279&lt;&gt;"Serviço",0,IF(OR(AND(AUTOEVENTO="Manual",$M279=1),$M279&gt;(ROW(PLE.lastrow)-ROW(PLE.firstrow))),0,IF(OFFSET(PLE!$G$14,$M279,CD$13)="",10^12,OFFSET(PLE!$G$14,$M279,CD$13))))</f>
        <v>1000000000000</v>
      </c>
      <c r="CE279" s="216">
        <f ca="1">IF($D279&lt;&gt;"Serviço",0,IF(OR(AND(AUTOEVENTO="Manual",$M279=1),$M279&gt;(ROW(PLE.lastrow)-ROW(PLE.firstrow))),0,IF(OFFSET(PLE!$G$14,$M279,CE$13)="",10^12,OFFSET(PLE!$G$14,$M279,CE$13))))</f>
        <v>1000000000000</v>
      </c>
      <c r="CF279" s="216">
        <f ca="1">IF($D279&lt;&gt;"Serviço",0,IF(OR(AND(AUTOEVENTO="Manual",$M279=1),$M279&gt;(ROW(PLE.lastrow)-ROW(PLE.firstrow))),0,IF(OFFSET(PLE!$G$14,$M279,CF$13)="",10^12,OFFSET(PLE!$G$14,$M279,CF$13))))</f>
        <v>1000000000000</v>
      </c>
      <c r="CG279" s="216">
        <f ca="1">IF($D279&lt;&gt;"Serviço",0,IF(OR(AND(AUTOEVENTO="Manual",$M279=1),$M279&gt;(ROW(PLE.lastrow)-ROW(PLE.firstrow))),0,IF(OFFSET(PLE!$G$14,$M279,CG$13)="",10^12,OFFSET(PLE!$G$14,$M279,CG$13))))</f>
        <v>1000000000000</v>
      </c>
      <c r="CH279" s="216">
        <f ca="1">IF($D279&lt;&gt;"Serviço",0,IF(OR(AND(AUTOEVENTO="Manual",$M279=1),$M279&gt;(ROW(PLE.lastrow)-ROW(PLE.firstrow))),0,IF(OFFSET(PLE!$G$14,$M279,CH$13)="",10^12,OFFSET(PLE!$G$14,$M279,CH$13))))</f>
        <v>1000000000000</v>
      </c>
      <c r="CI279" s="216">
        <f ca="1">IF($D279&lt;&gt;"Serviço",0,IF(OR(AND(AUTOEVENTO="Manual",$M279=1),$M279&gt;(ROW(PLE.lastrow)-ROW(PLE.firstrow))),0,IF(OFFSET(PLE!$G$14,$M279,CI$13)="",10^12,OFFSET(PLE!$G$14,$M279,CI$13))))</f>
        <v>1000000000000</v>
      </c>
      <c r="CJ279" s="216">
        <f ca="1">IF($D279&lt;&gt;"Serviço",0,IF(OR(AND(AUTOEVENTO="Manual",$M279=1),$M279&gt;(ROW(PLE.lastrow)-ROW(PLE.firstrow))),0,IF(OFFSET(PLE!$G$14,$M279,CJ$13)="",10^12,OFFSET(PLE!$G$14,$M279,CJ$13))))</f>
        <v>1000000000000</v>
      </c>
      <c r="CK279" s="216">
        <f ca="1">IF($D279&lt;&gt;"Serviço",0,IF(OR(AND(AUTOEVENTO="Manual",$M279=1),$M279&gt;(ROW(PLE.lastrow)-ROW(PLE.firstrow))),0,IF(OFFSET(PLE!$G$14,$M279,CK$13)="",10^12,OFFSET(PLE!$G$14,$M279,CK$13))))</f>
        <v>1000000000000</v>
      </c>
      <c r="CL279" s="216">
        <f ca="1">IF($D279&lt;&gt;"Serviço",0,IF(OR(AND(AUTOEVENTO="Manual",$M279=1),$M279&gt;(ROW(PLE.lastrow)-ROW(PLE.firstrow))),0,IF(OFFSET(PLE!$G$14,$M279,CL$13)="",10^12,OFFSET(PLE!$G$14,$M279,CL$13))))</f>
        <v>1000000000000</v>
      </c>
      <c r="CM279" s="216">
        <f ca="1">IF($D279&lt;&gt;"Serviço",0,IF(OR(AND(AUTOEVENTO="Manual",$M279=1),$M279&gt;(ROW(PLE.lastrow)-ROW(PLE.firstrow))),0,IF(OFFSET(PLE!$G$14,$M279,CM$13)="",10^12,OFFSET(PLE!$G$14,$M279,CM$13))))</f>
        <v>1000000000000</v>
      </c>
    </row>
    <row r="280" spans="1:91" ht="13.2" x14ac:dyDescent="0.25">
      <c r="A280" s="9">
        <f t="shared" ca="1" si="13"/>
        <v>0</v>
      </c>
      <c r="B280" s="9" t="str">
        <f ca="1">OFFSET(ORÇAMENTO!C$15,ROW(B280)-ROW(B$15),0)</f>
        <v>S</v>
      </c>
      <c r="C280" s="9" t="str">
        <f ca="1">OFFSET(ORÇAMENTO!L$15,ROW(C280)-ROW(C$15),0)</f>
        <v/>
      </c>
      <c r="D280" s="145" t="str">
        <f ca="1">OFFSET(ORÇAMENTO!N$15,ROW(D280)-ROW(D$15),0)</f>
        <v>Serviço</v>
      </c>
      <c r="E280" s="205" t="str">
        <f ca="1">OFFSET(ORÇAMENTO!O$15,ROW(E280)-ROW(E$15),0)</f>
        <v>-</v>
      </c>
      <c r="F280" s="206" t="str">
        <f ca="1">OFFSET(ORÇAMENTO!R$15,ROW(F280)-ROW(F$15),0)</f>
        <v>(abra o arquivo 'Referência 05-2024.xls)</v>
      </c>
      <c r="G280" s="207" t="str">
        <f ca="1">IF($D280&lt;&gt;"Serviço","",OFFSET(ORÇAMENTO!S$15,ROW(G280)-ROW(G$15),0))</f>
        <v>-</v>
      </c>
      <c r="H280" s="151">
        <f ca="1">IF($D280&lt;&gt;"Serviço",0,IF(ACOMPANHAMENTO="BM",ROUND(OFFSET(ORÇAMENTO!AJ$15,ROW(H280)-ROW(H$15),0),15-13*ORÇAMENTO!$AF$7),SUMPRODUCT(($Q$12:$AI$12&lt;&gt;"")*ROUND($Q280:$AI280,15-13*ORÇAMENTO!$AF$7))))</f>
        <v>1006.41</v>
      </c>
      <c r="I280" s="650"/>
      <c r="K280" s="208"/>
      <c r="L280" s="209" t="s">
        <v>257</v>
      </c>
      <c r="M280" s="210">
        <f ca="1">IF($D280&lt;&gt;"Serviço","",IF(AUTOEVENTO="manual",$A280,IF(ISERROR(MATCH($A280,$A$15:OFFSET($A280,-1,0),0)),MAX($M$15:OFFSET(M280,-1,0))+1,INDEX($M$15:OFFSET(M280,-1,0),MATCH($A280,$A$15:OFFSET($A280,-1,0),0)))))</f>
        <v>0</v>
      </c>
      <c r="N280" s="211" t="str">
        <f ca="1">IF($D280&lt;&gt;"Serviço","",IF(AUTOEVENTO="Manual",IF($A280=0,"&lt;-- defina o número do agrupador",OFFSET(EVENTOS!$D$14,$A280,0)),OFFSET($F$15,$A280,0)))</f>
        <v>&lt;-- defina o número do agrupador</v>
      </c>
      <c r="O280" s="212"/>
      <c r="Q280" s="212"/>
      <c r="R280" s="213"/>
      <c r="S280" s="213"/>
      <c r="T280" s="213"/>
      <c r="U280" s="213"/>
      <c r="V280" s="213"/>
      <c r="W280" s="213"/>
      <c r="X280" s="213"/>
      <c r="Y280" s="213"/>
      <c r="Z280" s="214"/>
      <c r="AA280" s="213"/>
      <c r="AB280" s="213"/>
      <c r="AC280" s="213"/>
      <c r="AD280" s="213"/>
      <c r="AE280" s="213"/>
      <c r="AF280" s="213"/>
      <c r="AG280" s="213"/>
      <c r="AH280" s="214"/>
      <c r="AJ280" s="631">
        <f ca="1">IF(AND($D280="Serviço",AJ$12&lt;&gt;0,$H280&gt;0,OR(AUTOEVENTO&lt;&gt;"manual",$M280&lt;&gt;1)),ROUND(OFFSET($P280,0,AJ$13),15-13*ORÇAMENTO!$AF$7)/$H280*OFFSET(ORÇAMENTO!$X$15,ROW(AJ280)-ROW(AJ$15),0),0)</f>
        <v>0</v>
      </c>
      <c r="AK280" s="632">
        <f ca="1">IF(AND($D280="Serviço",AK$12&lt;&gt;0,$H280&gt;0,OR(AUTOEVENTO&lt;&gt;"manual",$M280&lt;&gt;1)),ROUND(OFFSET($P280,0,AK$13),15-13*ORÇAMENTO!$AF$7)/$H280*OFFSET(ORÇAMENTO!$X$15,ROW(AK280)-ROW(AK$15),0),0)</f>
        <v>0</v>
      </c>
      <c r="AL280" s="632">
        <f ca="1">IF(AND($D280="Serviço",AL$12&lt;&gt;0,$H280&gt;0,OR(AUTOEVENTO&lt;&gt;"manual",$M280&lt;&gt;1)),ROUND(OFFSET($P280,0,AL$13),15-13*ORÇAMENTO!$AF$7)/$H280*OFFSET(ORÇAMENTO!$X$15,ROW(AL280)-ROW(AL$15),0),0)</f>
        <v>0</v>
      </c>
      <c r="AM280" s="632">
        <f ca="1">IF(AND($D280="Serviço",AM$12&lt;&gt;0,$H280&gt;0,OR(AUTOEVENTO&lt;&gt;"manual",$M280&lt;&gt;1)),ROUND(OFFSET($P280,0,AM$13),15-13*ORÇAMENTO!$AF$7)/$H280*OFFSET(ORÇAMENTO!$X$15,ROW(AM280)-ROW(AM$15),0),0)</f>
        <v>0</v>
      </c>
      <c r="AN280" s="632">
        <f ca="1">IF(AND($D280="Serviço",AN$12&lt;&gt;0,$H280&gt;0,OR(AUTOEVENTO&lt;&gt;"manual",$M280&lt;&gt;1)),ROUND(OFFSET($P280,0,AN$13),15-13*ORÇAMENTO!$AF$7)/$H280*OFFSET(ORÇAMENTO!$X$15,ROW(AN280)-ROW(AN$15),0),0)</f>
        <v>0</v>
      </c>
      <c r="AO280" s="632">
        <f ca="1">IF(AND($D280="Serviço",AO$12&lt;&gt;0,$H280&gt;0,OR(AUTOEVENTO&lt;&gt;"manual",$M280&lt;&gt;1)),ROUND(OFFSET($P280,0,AO$13),15-13*ORÇAMENTO!$AF$7)/$H280*OFFSET(ORÇAMENTO!$X$15,ROW(AO280)-ROW(AO$15),0),0)</f>
        <v>0</v>
      </c>
      <c r="AP280" s="632">
        <f ca="1">IF(AND($D280="Serviço",AP$12&lt;&gt;0,$H280&gt;0,OR(AUTOEVENTO&lt;&gt;"manual",$M280&lt;&gt;1)),ROUND(OFFSET($P280,0,AP$13),15-13*ORÇAMENTO!$AF$7)/$H280*OFFSET(ORÇAMENTO!$X$15,ROW(AP280)-ROW(AP$15),0),0)</f>
        <v>0</v>
      </c>
      <c r="AQ280" s="632">
        <f ca="1">IF(AND($D280="Serviço",AQ$12&lt;&gt;0,$H280&gt;0,OR(AUTOEVENTO&lt;&gt;"manual",$M280&lt;&gt;1)),ROUND(OFFSET($P280,0,AQ$13),15-13*ORÇAMENTO!$AF$7)/$H280*OFFSET(ORÇAMENTO!$X$15,ROW(AQ280)-ROW(AQ$15),0),0)</f>
        <v>0</v>
      </c>
      <c r="AR280" s="632">
        <f ca="1">IF(AND($D280="Serviço",AR$12&lt;&gt;0,$H280&gt;0,OR(AUTOEVENTO&lt;&gt;"manual",$M280&lt;&gt;1)),ROUND(OFFSET($P280,0,AR$13),15-13*ORÇAMENTO!$AF$7)/$H280*OFFSET(ORÇAMENTO!$X$15,ROW(AR280)-ROW(AR$15),0),0)</f>
        <v>0</v>
      </c>
      <c r="AS280" s="633">
        <f ca="1">IF(AND($D280="Serviço",AS$12&lt;&gt;0,$H280&gt;0,OR(AUTOEVENTO&lt;&gt;"manual",$M280&lt;&gt;1)),ROUND(OFFSET($P280,0,AS$13),15-13*ORÇAMENTO!$AF$7)/$H280*OFFSET(ORÇAMENTO!$X$15,ROW(AS280)-ROW(AS$15),0),0)</f>
        <v>0</v>
      </c>
      <c r="AT280" s="632">
        <f ca="1">IF(AND($D280="Serviço",AT$12&lt;&gt;0,$H280&gt;0,OR(AUTOEVENTO&lt;&gt;"manual",$M280&lt;&gt;1)),ROUND(OFFSET($P280,0,AT$13),15-13*ORÇAMENTO!$AF$7)/$H280*OFFSET(ORÇAMENTO!$X$15,ROW(AT280)-ROW(AT$15),0),0)</f>
        <v>0</v>
      </c>
      <c r="AU280" s="632">
        <f ca="1">IF(AND($D280="Serviço",AU$12&lt;&gt;0,$H280&gt;0,OR(AUTOEVENTO&lt;&gt;"manual",$M280&lt;&gt;1)),ROUND(OFFSET($P280,0,AU$13),15-13*ORÇAMENTO!$AF$7)/$H280*OFFSET(ORÇAMENTO!$X$15,ROW(AU280)-ROW(AU$15),0),0)</f>
        <v>0</v>
      </c>
      <c r="AV280" s="632">
        <f ca="1">IF(AND($D280="Serviço",AV$12&lt;&gt;0,$H280&gt;0,OR(AUTOEVENTO&lt;&gt;"manual",$M280&lt;&gt;1)),ROUND(OFFSET($P280,0,AV$13),15-13*ORÇAMENTO!$AF$7)/$H280*OFFSET(ORÇAMENTO!$X$15,ROW(AV280)-ROW(AV$15),0),0)</f>
        <v>0</v>
      </c>
      <c r="AW280" s="632">
        <f ca="1">IF(AND($D280="Serviço",AW$12&lt;&gt;0,$H280&gt;0,OR(AUTOEVENTO&lt;&gt;"manual",$M280&lt;&gt;1)),ROUND(OFFSET($P280,0,AW$13),15-13*ORÇAMENTO!$AF$7)/$H280*OFFSET(ORÇAMENTO!$X$15,ROW(AW280)-ROW(AW$15),0),0)</f>
        <v>0</v>
      </c>
      <c r="AX280" s="632">
        <f ca="1">IF(AND($D280="Serviço",AX$12&lt;&gt;0,$H280&gt;0,OR(AUTOEVENTO&lt;&gt;"manual",$M280&lt;&gt;1)),ROUND(OFFSET($P280,0,AX$13),15-13*ORÇAMENTO!$AF$7)/$H280*OFFSET(ORÇAMENTO!$X$15,ROW(AX280)-ROW(AX$15),0),0)</f>
        <v>0</v>
      </c>
      <c r="AY280" s="632">
        <f ca="1">IF(AND($D280="Serviço",AY$12&lt;&gt;0,$H280&gt;0,OR(AUTOEVENTO&lt;&gt;"manual",$M280&lt;&gt;1)),ROUND(OFFSET($P280,0,AY$13),15-13*ORÇAMENTO!$AF$7)/$H280*OFFSET(ORÇAMENTO!$X$15,ROW(AY280)-ROW(AY$15),0),0)</f>
        <v>0</v>
      </c>
      <c r="AZ280" s="632">
        <f ca="1">IF(AND($D280="Serviço",AZ$12&lt;&gt;0,$H280&gt;0,OR(AUTOEVENTO&lt;&gt;"manual",$M280&lt;&gt;1)),ROUND(OFFSET($P280,0,AZ$13),15-13*ORÇAMENTO!$AF$7)/$H280*OFFSET(ORÇAMENTO!$X$15,ROW(AZ280)-ROW(AZ$15),0),0)</f>
        <v>0</v>
      </c>
      <c r="BA280" s="633">
        <f ca="1">IF(AND($D280="Serviço",BA$12&lt;&gt;0,$H280&gt;0,OR(AUTOEVENTO&lt;&gt;"manual",$M280&lt;&gt;1)),ROUND(OFFSET($P280,0,BA$13),15-13*ORÇAMENTO!$AF$7)/$H280*OFFSET(ORÇAMENTO!$X$15,ROW(BA280)-ROW(BA$15),0),0)</f>
        <v>0</v>
      </c>
      <c r="BC280" s="215">
        <f ca="1">IF($D280&lt;&gt;"Serviço",0,IF(AND(AUTOEVENTO="Manual",$M280=1),0,IF(OFFSET(CRONOPLE!$F$14,$M280,BC$13)="",10^12,OFFSET(CRONOPLE!$F$14,$M280,BC$13))))</f>
        <v>1000000000000</v>
      </c>
      <c r="BD280" s="215">
        <f ca="1">IF($D280&lt;&gt;"Serviço",0,IF(AND(AUTOEVENTO="Manual",$M280=1),0,IF(OFFSET(CRONOPLE!$F$14,$M280,BD$13)="",10^12,OFFSET(CRONOPLE!$F$14,$M280,BD$13))))</f>
        <v>1000000000000</v>
      </c>
      <c r="BE280" s="215">
        <f ca="1">IF($D280&lt;&gt;"Serviço",0,IF(AND(AUTOEVENTO="Manual",$M280=1),0,IF(OFFSET(CRONOPLE!$F$14,$M280,BE$13)="",10^12,OFFSET(CRONOPLE!$F$14,$M280,BE$13))))</f>
        <v>1000000000000</v>
      </c>
      <c r="BF280" s="215">
        <f ca="1">IF($D280&lt;&gt;"Serviço",0,IF(AND(AUTOEVENTO="Manual",$M280=1),0,IF(OFFSET(CRONOPLE!$F$14,$M280,BF$13)="",10^12,OFFSET(CRONOPLE!$F$14,$M280,BF$13))))</f>
        <v>1000000000000</v>
      </c>
      <c r="BG280" s="215">
        <f ca="1">IF($D280&lt;&gt;"Serviço",0,IF(AND(AUTOEVENTO="Manual",$M280=1),0,IF(OFFSET(CRONOPLE!$F$14,$M280,BG$13)="",10^12,OFFSET(CRONOPLE!$F$14,$M280,BG$13))))</f>
        <v>1000000000000</v>
      </c>
      <c r="BH280" s="215">
        <f ca="1">IF($D280&lt;&gt;"Serviço",0,IF(AND(AUTOEVENTO="Manual",$M280=1),0,IF(OFFSET(CRONOPLE!$F$14,$M280,BH$13)="",10^12,OFFSET(CRONOPLE!$F$14,$M280,BH$13))))</f>
        <v>1000000000000</v>
      </c>
      <c r="BI280" s="215">
        <f ca="1">IF($D280&lt;&gt;"Serviço",0,IF(AND(AUTOEVENTO="Manual",$M280=1),0,IF(OFFSET(CRONOPLE!$F$14,$M280,BI$13)="",10^12,OFFSET(CRONOPLE!$F$14,$M280,BI$13))))</f>
        <v>1000000000000</v>
      </c>
      <c r="BJ280" s="215">
        <f ca="1">IF($D280&lt;&gt;"Serviço",0,IF(AND(AUTOEVENTO="Manual",$M280=1),0,IF(OFFSET(CRONOPLE!$F$14,$M280,BJ$13)="",10^12,OFFSET(CRONOPLE!$F$14,$M280,BJ$13))))</f>
        <v>1000000000000</v>
      </c>
      <c r="BK280" s="215">
        <f ca="1">IF($D280&lt;&gt;"Serviço",0,IF(AND(AUTOEVENTO="Manual",$M280=1),0,IF(OFFSET(CRONOPLE!$F$14,$M280,BK$13)="",10^12,OFFSET(CRONOPLE!$F$14,$M280,BK$13))))</f>
        <v>1000000000000</v>
      </c>
      <c r="BL280" s="215">
        <f ca="1">IF($D280&lt;&gt;"Serviço",0,IF(AND(AUTOEVENTO="Manual",$M280=1),0,IF(OFFSET(CRONOPLE!$F$14,$M280,BL$13)="",10^12,OFFSET(CRONOPLE!$F$14,$M280,BL$13))))</f>
        <v>1000000000000</v>
      </c>
      <c r="BM280" s="215">
        <f ca="1">IF($D280&lt;&gt;"Serviço",0,IF(AND(AUTOEVENTO="Manual",$M280=1),0,IF(OFFSET(CRONOPLE!$F$14,$M280,BM$13)="",10^12,OFFSET(CRONOPLE!$F$14,$M280,BM$13))))</f>
        <v>1000000000000</v>
      </c>
      <c r="BN280" s="215">
        <f ca="1">IF($D280&lt;&gt;"Serviço",0,IF(AND(AUTOEVENTO="Manual",$M280=1),0,IF(OFFSET(CRONOPLE!$F$14,$M280,BN$13)="",10^12,OFFSET(CRONOPLE!$F$14,$M280,BN$13))))</f>
        <v>1000000000000</v>
      </c>
      <c r="BO280" s="215">
        <f ca="1">IF($D280&lt;&gt;"Serviço",0,IF(AND(AUTOEVENTO="Manual",$M280=1),0,IF(OFFSET(CRONOPLE!$F$14,$M280,BO$13)="",10^12,OFFSET(CRONOPLE!$F$14,$M280,BO$13))))</f>
        <v>1000000000000</v>
      </c>
      <c r="BP280" s="215">
        <f ca="1">IF($D280&lt;&gt;"Serviço",0,IF(AND(AUTOEVENTO="Manual",$M280=1),0,IF(OFFSET(CRONOPLE!$F$14,$M280,BP$13)="",10^12,OFFSET(CRONOPLE!$F$14,$M280,BP$13))))</f>
        <v>1000000000000</v>
      </c>
      <c r="BQ280" s="215">
        <f ca="1">IF($D280&lt;&gt;"Serviço",0,IF(AND(AUTOEVENTO="Manual",$M280=1),0,IF(OFFSET(CRONOPLE!$F$14,$M280,BQ$13)="",10^12,OFFSET(CRONOPLE!$F$14,$M280,BQ$13))))</f>
        <v>1000000000000</v>
      </c>
      <c r="BR280" s="215">
        <f ca="1">IF($D280&lt;&gt;"Serviço",0,IF(AND(AUTOEVENTO="Manual",$M280=1),0,IF(OFFSET(CRONOPLE!$F$14,$M280,BR$13)="",10^12,OFFSET(CRONOPLE!$F$14,$M280,BR$13))))</f>
        <v>1000000000000</v>
      </c>
      <c r="BS280" s="215">
        <f ca="1">IF($D280&lt;&gt;"Serviço",0,IF(AND(AUTOEVENTO="Manual",$M280=1),0,IF(OFFSET(CRONOPLE!$F$14,$M280,BS$13)="",10^12,OFFSET(CRONOPLE!$F$14,$M280,BS$13))))</f>
        <v>1000000000000</v>
      </c>
      <c r="BT280" s="215">
        <f ca="1">IF($D280&lt;&gt;"Serviço",0,IF(AND(AUTOEVENTO="Manual",$M280=1),0,IF(OFFSET(CRONOPLE!$F$14,$M280,BT$13)="",10^12,OFFSET(CRONOPLE!$F$14,$M280,BT$13))))</f>
        <v>1000000000000</v>
      </c>
      <c r="BV280" s="216">
        <f ca="1">IF($D280&lt;&gt;"Serviço",0,IF(OR(AND(AUTOEVENTO="Manual",$M280=1),$M280&gt;(ROW(PLE.lastrow)-ROW(PLE.firstrow))),0,IF(OFFSET(PLE!$G$14,$M280,BV$13)="",10^12,OFFSET(PLE!$G$14,$M280,BV$13))))</f>
        <v>1000000000000</v>
      </c>
      <c r="BW280" s="216">
        <f ca="1">IF($D280&lt;&gt;"Serviço",0,IF(OR(AND(AUTOEVENTO="Manual",$M280=1),$M280&gt;(ROW(PLE.lastrow)-ROW(PLE.firstrow))),0,IF(OFFSET(PLE!$G$14,$M280,BW$13)="",10^12,OFFSET(PLE!$G$14,$M280,BW$13))))</f>
        <v>1000000000000</v>
      </c>
      <c r="BX280" s="216">
        <f ca="1">IF($D280&lt;&gt;"Serviço",0,IF(OR(AND(AUTOEVENTO="Manual",$M280=1),$M280&gt;(ROW(PLE.lastrow)-ROW(PLE.firstrow))),0,IF(OFFSET(PLE!$G$14,$M280,BX$13)="",10^12,OFFSET(PLE!$G$14,$M280,BX$13))))</f>
        <v>1000000000000</v>
      </c>
      <c r="BY280" s="216">
        <f ca="1">IF($D280&lt;&gt;"Serviço",0,IF(OR(AND(AUTOEVENTO="Manual",$M280=1),$M280&gt;(ROW(PLE.lastrow)-ROW(PLE.firstrow))),0,IF(OFFSET(PLE!$G$14,$M280,BY$13)="",10^12,OFFSET(PLE!$G$14,$M280,BY$13))))</f>
        <v>1000000000000</v>
      </c>
      <c r="BZ280" s="216">
        <f ca="1">IF($D280&lt;&gt;"Serviço",0,IF(OR(AND(AUTOEVENTO="Manual",$M280=1),$M280&gt;(ROW(PLE.lastrow)-ROW(PLE.firstrow))),0,IF(OFFSET(PLE!$G$14,$M280,BZ$13)="",10^12,OFFSET(PLE!$G$14,$M280,BZ$13))))</f>
        <v>1000000000000</v>
      </c>
      <c r="CA280" s="216">
        <f ca="1">IF($D280&lt;&gt;"Serviço",0,IF(OR(AND(AUTOEVENTO="Manual",$M280=1),$M280&gt;(ROW(PLE.lastrow)-ROW(PLE.firstrow))),0,IF(OFFSET(PLE!$G$14,$M280,CA$13)="",10^12,OFFSET(PLE!$G$14,$M280,CA$13))))</f>
        <v>1000000000000</v>
      </c>
      <c r="CB280" s="216">
        <f ca="1">IF($D280&lt;&gt;"Serviço",0,IF(OR(AND(AUTOEVENTO="Manual",$M280=1),$M280&gt;(ROW(PLE.lastrow)-ROW(PLE.firstrow))),0,IF(OFFSET(PLE!$G$14,$M280,CB$13)="",10^12,OFFSET(PLE!$G$14,$M280,CB$13))))</f>
        <v>1000000000000</v>
      </c>
      <c r="CC280" s="216">
        <f ca="1">IF($D280&lt;&gt;"Serviço",0,IF(OR(AND(AUTOEVENTO="Manual",$M280=1),$M280&gt;(ROW(PLE.lastrow)-ROW(PLE.firstrow))),0,IF(OFFSET(PLE!$G$14,$M280,CC$13)="",10^12,OFFSET(PLE!$G$14,$M280,CC$13))))</f>
        <v>1000000000000</v>
      </c>
      <c r="CD280" s="216">
        <f ca="1">IF($D280&lt;&gt;"Serviço",0,IF(OR(AND(AUTOEVENTO="Manual",$M280=1),$M280&gt;(ROW(PLE.lastrow)-ROW(PLE.firstrow))),0,IF(OFFSET(PLE!$G$14,$M280,CD$13)="",10^12,OFFSET(PLE!$G$14,$M280,CD$13))))</f>
        <v>1000000000000</v>
      </c>
      <c r="CE280" s="216">
        <f ca="1">IF($D280&lt;&gt;"Serviço",0,IF(OR(AND(AUTOEVENTO="Manual",$M280=1),$M280&gt;(ROW(PLE.lastrow)-ROW(PLE.firstrow))),0,IF(OFFSET(PLE!$G$14,$M280,CE$13)="",10^12,OFFSET(PLE!$G$14,$M280,CE$13))))</f>
        <v>1000000000000</v>
      </c>
      <c r="CF280" s="216">
        <f ca="1">IF($D280&lt;&gt;"Serviço",0,IF(OR(AND(AUTOEVENTO="Manual",$M280=1),$M280&gt;(ROW(PLE.lastrow)-ROW(PLE.firstrow))),0,IF(OFFSET(PLE!$G$14,$M280,CF$13)="",10^12,OFFSET(PLE!$G$14,$M280,CF$13))))</f>
        <v>1000000000000</v>
      </c>
      <c r="CG280" s="216">
        <f ca="1">IF($D280&lt;&gt;"Serviço",0,IF(OR(AND(AUTOEVENTO="Manual",$M280=1),$M280&gt;(ROW(PLE.lastrow)-ROW(PLE.firstrow))),0,IF(OFFSET(PLE!$G$14,$M280,CG$13)="",10^12,OFFSET(PLE!$G$14,$M280,CG$13))))</f>
        <v>1000000000000</v>
      </c>
      <c r="CH280" s="216">
        <f ca="1">IF($D280&lt;&gt;"Serviço",0,IF(OR(AND(AUTOEVENTO="Manual",$M280=1),$M280&gt;(ROW(PLE.lastrow)-ROW(PLE.firstrow))),0,IF(OFFSET(PLE!$G$14,$M280,CH$13)="",10^12,OFFSET(PLE!$G$14,$M280,CH$13))))</f>
        <v>1000000000000</v>
      </c>
      <c r="CI280" s="216">
        <f ca="1">IF($D280&lt;&gt;"Serviço",0,IF(OR(AND(AUTOEVENTO="Manual",$M280=1),$M280&gt;(ROW(PLE.lastrow)-ROW(PLE.firstrow))),0,IF(OFFSET(PLE!$G$14,$M280,CI$13)="",10^12,OFFSET(PLE!$G$14,$M280,CI$13))))</f>
        <v>1000000000000</v>
      </c>
      <c r="CJ280" s="216">
        <f ca="1">IF($D280&lt;&gt;"Serviço",0,IF(OR(AND(AUTOEVENTO="Manual",$M280=1),$M280&gt;(ROW(PLE.lastrow)-ROW(PLE.firstrow))),0,IF(OFFSET(PLE!$G$14,$M280,CJ$13)="",10^12,OFFSET(PLE!$G$14,$M280,CJ$13))))</f>
        <v>1000000000000</v>
      </c>
      <c r="CK280" s="216">
        <f ca="1">IF($D280&lt;&gt;"Serviço",0,IF(OR(AND(AUTOEVENTO="Manual",$M280=1),$M280&gt;(ROW(PLE.lastrow)-ROW(PLE.firstrow))),0,IF(OFFSET(PLE!$G$14,$M280,CK$13)="",10^12,OFFSET(PLE!$G$14,$M280,CK$13))))</f>
        <v>1000000000000</v>
      </c>
      <c r="CL280" s="216">
        <f ca="1">IF($D280&lt;&gt;"Serviço",0,IF(OR(AND(AUTOEVENTO="Manual",$M280=1),$M280&gt;(ROW(PLE.lastrow)-ROW(PLE.firstrow))),0,IF(OFFSET(PLE!$G$14,$M280,CL$13)="",10^12,OFFSET(PLE!$G$14,$M280,CL$13))))</f>
        <v>1000000000000</v>
      </c>
      <c r="CM280" s="216">
        <f ca="1">IF($D280&lt;&gt;"Serviço",0,IF(OR(AND(AUTOEVENTO="Manual",$M280=1),$M280&gt;(ROW(PLE.lastrow)-ROW(PLE.firstrow))),0,IF(OFFSET(PLE!$G$14,$M280,CM$13)="",10^12,OFFSET(PLE!$G$14,$M280,CM$13))))</f>
        <v>1000000000000</v>
      </c>
    </row>
    <row r="281" spans="1:91" ht="13.2" x14ac:dyDescent="0.25">
      <c r="A281" s="9">
        <f t="shared" ca="1" si="13"/>
        <v>0</v>
      </c>
      <c r="B281" s="9" t="str">
        <f ca="1">OFFSET(ORÇAMENTO!C$15,ROW(B281)-ROW(B$15),0)</f>
        <v>S</v>
      </c>
      <c r="C281" s="9" t="str">
        <f ca="1">OFFSET(ORÇAMENTO!L$15,ROW(C281)-ROW(C$15),0)</f>
        <v/>
      </c>
      <c r="D281" s="145" t="str">
        <f ca="1">OFFSET(ORÇAMENTO!N$15,ROW(D281)-ROW(D$15),0)</f>
        <v>Serviço</v>
      </c>
      <c r="E281" s="205" t="str">
        <f ca="1">OFFSET(ORÇAMENTO!O$15,ROW(E281)-ROW(E$15),0)</f>
        <v>-</v>
      </c>
      <c r="F281" s="206" t="str">
        <f ca="1">OFFSET(ORÇAMENTO!R$15,ROW(F281)-ROW(F$15),0)</f>
        <v>(abra o arquivo 'Referência 05-2024.xls)</v>
      </c>
      <c r="G281" s="207" t="str">
        <f ca="1">IF($D281&lt;&gt;"Serviço","",OFFSET(ORÇAMENTO!S$15,ROW(G281)-ROW(G$15),0))</f>
        <v>-</v>
      </c>
      <c r="H281" s="151">
        <f ca="1">IF($D281&lt;&gt;"Serviço",0,IF(ACOMPANHAMENTO="BM",ROUND(OFFSET(ORÇAMENTO!AJ$15,ROW(H281)-ROW(H$15),0),15-13*ORÇAMENTO!$AF$7),SUMPRODUCT(($Q$12:$AI$12&lt;&gt;"")*ROUND($Q281:$AI281,15-13*ORÇAMENTO!$AF$7))))</f>
        <v>96.52</v>
      </c>
      <c r="I281" s="650"/>
      <c r="K281" s="208"/>
      <c r="L281" s="209" t="s">
        <v>257</v>
      </c>
      <c r="M281" s="210">
        <f ca="1">IF($D281&lt;&gt;"Serviço","",IF(AUTOEVENTO="manual",$A281,IF(ISERROR(MATCH($A281,$A$15:OFFSET($A281,-1,0),0)),MAX($M$15:OFFSET(M281,-1,0))+1,INDEX($M$15:OFFSET(M281,-1,0),MATCH($A281,$A$15:OFFSET($A281,-1,0),0)))))</f>
        <v>0</v>
      </c>
      <c r="N281" s="211" t="str">
        <f ca="1">IF($D281&lt;&gt;"Serviço","",IF(AUTOEVENTO="Manual",IF($A281=0,"&lt;-- defina o número do agrupador",OFFSET(EVENTOS!$D$14,$A281,0)),OFFSET($F$15,$A281,0)))</f>
        <v>&lt;-- defina o número do agrupador</v>
      </c>
      <c r="O281" s="212"/>
      <c r="Q281" s="212"/>
      <c r="R281" s="213"/>
      <c r="S281" s="213"/>
      <c r="T281" s="213"/>
      <c r="U281" s="213"/>
      <c r="V281" s="213"/>
      <c r="W281" s="213"/>
      <c r="X281" s="213"/>
      <c r="Y281" s="213"/>
      <c r="Z281" s="214"/>
      <c r="AA281" s="213"/>
      <c r="AB281" s="213"/>
      <c r="AC281" s="213"/>
      <c r="AD281" s="213"/>
      <c r="AE281" s="213"/>
      <c r="AF281" s="213"/>
      <c r="AG281" s="213"/>
      <c r="AH281" s="214"/>
      <c r="AJ281" s="631">
        <f ca="1">IF(AND($D281="Serviço",AJ$12&lt;&gt;0,$H281&gt;0,OR(AUTOEVENTO&lt;&gt;"manual",$M281&lt;&gt;1)),ROUND(OFFSET($P281,0,AJ$13),15-13*ORÇAMENTO!$AF$7)/$H281*OFFSET(ORÇAMENTO!$X$15,ROW(AJ281)-ROW(AJ$15),0),0)</f>
        <v>0</v>
      </c>
      <c r="AK281" s="632">
        <f ca="1">IF(AND($D281="Serviço",AK$12&lt;&gt;0,$H281&gt;0,OR(AUTOEVENTO&lt;&gt;"manual",$M281&lt;&gt;1)),ROUND(OFFSET($P281,0,AK$13),15-13*ORÇAMENTO!$AF$7)/$H281*OFFSET(ORÇAMENTO!$X$15,ROW(AK281)-ROW(AK$15),0),0)</f>
        <v>0</v>
      </c>
      <c r="AL281" s="632">
        <f ca="1">IF(AND($D281="Serviço",AL$12&lt;&gt;0,$H281&gt;0,OR(AUTOEVENTO&lt;&gt;"manual",$M281&lt;&gt;1)),ROUND(OFFSET($P281,0,AL$13),15-13*ORÇAMENTO!$AF$7)/$H281*OFFSET(ORÇAMENTO!$X$15,ROW(AL281)-ROW(AL$15),0),0)</f>
        <v>0</v>
      </c>
      <c r="AM281" s="632">
        <f ca="1">IF(AND($D281="Serviço",AM$12&lt;&gt;0,$H281&gt;0,OR(AUTOEVENTO&lt;&gt;"manual",$M281&lt;&gt;1)),ROUND(OFFSET($P281,0,AM$13),15-13*ORÇAMENTO!$AF$7)/$H281*OFFSET(ORÇAMENTO!$X$15,ROW(AM281)-ROW(AM$15),0),0)</f>
        <v>0</v>
      </c>
      <c r="AN281" s="632">
        <f ca="1">IF(AND($D281="Serviço",AN$12&lt;&gt;0,$H281&gt;0,OR(AUTOEVENTO&lt;&gt;"manual",$M281&lt;&gt;1)),ROUND(OFFSET($P281,0,AN$13),15-13*ORÇAMENTO!$AF$7)/$H281*OFFSET(ORÇAMENTO!$X$15,ROW(AN281)-ROW(AN$15),0),0)</f>
        <v>0</v>
      </c>
      <c r="AO281" s="632">
        <f ca="1">IF(AND($D281="Serviço",AO$12&lt;&gt;0,$H281&gt;0,OR(AUTOEVENTO&lt;&gt;"manual",$M281&lt;&gt;1)),ROUND(OFFSET($P281,0,AO$13),15-13*ORÇAMENTO!$AF$7)/$H281*OFFSET(ORÇAMENTO!$X$15,ROW(AO281)-ROW(AO$15),0),0)</f>
        <v>0</v>
      </c>
      <c r="AP281" s="632">
        <f ca="1">IF(AND($D281="Serviço",AP$12&lt;&gt;0,$H281&gt;0,OR(AUTOEVENTO&lt;&gt;"manual",$M281&lt;&gt;1)),ROUND(OFFSET($P281,0,AP$13),15-13*ORÇAMENTO!$AF$7)/$H281*OFFSET(ORÇAMENTO!$X$15,ROW(AP281)-ROW(AP$15),0),0)</f>
        <v>0</v>
      </c>
      <c r="AQ281" s="632">
        <f ca="1">IF(AND($D281="Serviço",AQ$12&lt;&gt;0,$H281&gt;0,OR(AUTOEVENTO&lt;&gt;"manual",$M281&lt;&gt;1)),ROUND(OFFSET($P281,0,AQ$13),15-13*ORÇAMENTO!$AF$7)/$H281*OFFSET(ORÇAMENTO!$X$15,ROW(AQ281)-ROW(AQ$15),0),0)</f>
        <v>0</v>
      </c>
      <c r="AR281" s="632">
        <f ca="1">IF(AND($D281="Serviço",AR$12&lt;&gt;0,$H281&gt;0,OR(AUTOEVENTO&lt;&gt;"manual",$M281&lt;&gt;1)),ROUND(OFFSET($P281,0,AR$13),15-13*ORÇAMENTO!$AF$7)/$H281*OFFSET(ORÇAMENTO!$X$15,ROW(AR281)-ROW(AR$15),0),0)</f>
        <v>0</v>
      </c>
      <c r="AS281" s="633">
        <f ca="1">IF(AND($D281="Serviço",AS$12&lt;&gt;0,$H281&gt;0,OR(AUTOEVENTO&lt;&gt;"manual",$M281&lt;&gt;1)),ROUND(OFFSET($P281,0,AS$13),15-13*ORÇAMENTO!$AF$7)/$H281*OFFSET(ORÇAMENTO!$X$15,ROW(AS281)-ROW(AS$15),0),0)</f>
        <v>0</v>
      </c>
      <c r="AT281" s="632">
        <f ca="1">IF(AND($D281="Serviço",AT$12&lt;&gt;0,$H281&gt;0,OR(AUTOEVENTO&lt;&gt;"manual",$M281&lt;&gt;1)),ROUND(OFFSET($P281,0,AT$13),15-13*ORÇAMENTO!$AF$7)/$H281*OFFSET(ORÇAMENTO!$X$15,ROW(AT281)-ROW(AT$15),0),0)</f>
        <v>0</v>
      </c>
      <c r="AU281" s="632">
        <f ca="1">IF(AND($D281="Serviço",AU$12&lt;&gt;0,$H281&gt;0,OR(AUTOEVENTO&lt;&gt;"manual",$M281&lt;&gt;1)),ROUND(OFFSET($P281,0,AU$13),15-13*ORÇAMENTO!$AF$7)/$H281*OFFSET(ORÇAMENTO!$X$15,ROW(AU281)-ROW(AU$15),0),0)</f>
        <v>0</v>
      </c>
      <c r="AV281" s="632">
        <f ca="1">IF(AND($D281="Serviço",AV$12&lt;&gt;0,$H281&gt;0,OR(AUTOEVENTO&lt;&gt;"manual",$M281&lt;&gt;1)),ROUND(OFFSET($P281,0,AV$13),15-13*ORÇAMENTO!$AF$7)/$H281*OFFSET(ORÇAMENTO!$X$15,ROW(AV281)-ROW(AV$15),0),0)</f>
        <v>0</v>
      </c>
      <c r="AW281" s="632">
        <f ca="1">IF(AND($D281="Serviço",AW$12&lt;&gt;0,$H281&gt;0,OR(AUTOEVENTO&lt;&gt;"manual",$M281&lt;&gt;1)),ROUND(OFFSET($P281,0,AW$13),15-13*ORÇAMENTO!$AF$7)/$H281*OFFSET(ORÇAMENTO!$X$15,ROW(AW281)-ROW(AW$15),0),0)</f>
        <v>0</v>
      </c>
      <c r="AX281" s="632">
        <f ca="1">IF(AND($D281="Serviço",AX$12&lt;&gt;0,$H281&gt;0,OR(AUTOEVENTO&lt;&gt;"manual",$M281&lt;&gt;1)),ROUND(OFFSET($P281,0,AX$13),15-13*ORÇAMENTO!$AF$7)/$H281*OFFSET(ORÇAMENTO!$X$15,ROW(AX281)-ROW(AX$15),0),0)</f>
        <v>0</v>
      </c>
      <c r="AY281" s="632">
        <f ca="1">IF(AND($D281="Serviço",AY$12&lt;&gt;0,$H281&gt;0,OR(AUTOEVENTO&lt;&gt;"manual",$M281&lt;&gt;1)),ROUND(OFFSET($P281,0,AY$13),15-13*ORÇAMENTO!$AF$7)/$H281*OFFSET(ORÇAMENTO!$X$15,ROW(AY281)-ROW(AY$15),0),0)</f>
        <v>0</v>
      </c>
      <c r="AZ281" s="632">
        <f ca="1">IF(AND($D281="Serviço",AZ$12&lt;&gt;0,$H281&gt;0,OR(AUTOEVENTO&lt;&gt;"manual",$M281&lt;&gt;1)),ROUND(OFFSET($P281,0,AZ$13),15-13*ORÇAMENTO!$AF$7)/$H281*OFFSET(ORÇAMENTO!$X$15,ROW(AZ281)-ROW(AZ$15),0),0)</f>
        <v>0</v>
      </c>
      <c r="BA281" s="633">
        <f ca="1">IF(AND($D281="Serviço",BA$12&lt;&gt;0,$H281&gt;0,OR(AUTOEVENTO&lt;&gt;"manual",$M281&lt;&gt;1)),ROUND(OFFSET($P281,0,BA$13),15-13*ORÇAMENTO!$AF$7)/$H281*OFFSET(ORÇAMENTO!$X$15,ROW(BA281)-ROW(BA$15),0),0)</f>
        <v>0</v>
      </c>
      <c r="BC281" s="215">
        <f ca="1">IF($D281&lt;&gt;"Serviço",0,IF(AND(AUTOEVENTO="Manual",$M281=1),0,IF(OFFSET(CRONOPLE!$F$14,$M281,BC$13)="",10^12,OFFSET(CRONOPLE!$F$14,$M281,BC$13))))</f>
        <v>1000000000000</v>
      </c>
      <c r="BD281" s="215">
        <f ca="1">IF($D281&lt;&gt;"Serviço",0,IF(AND(AUTOEVENTO="Manual",$M281=1),0,IF(OFFSET(CRONOPLE!$F$14,$M281,BD$13)="",10^12,OFFSET(CRONOPLE!$F$14,$M281,BD$13))))</f>
        <v>1000000000000</v>
      </c>
      <c r="BE281" s="215">
        <f ca="1">IF($D281&lt;&gt;"Serviço",0,IF(AND(AUTOEVENTO="Manual",$M281=1),0,IF(OFFSET(CRONOPLE!$F$14,$M281,BE$13)="",10^12,OFFSET(CRONOPLE!$F$14,$M281,BE$13))))</f>
        <v>1000000000000</v>
      </c>
      <c r="BF281" s="215">
        <f ca="1">IF($D281&lt;&gt;"Serviço",0,IF(AND(AUTOEVENTO="Manual",$M281=1),0,IF(OFFSET(CRONOPLE!$F$14,$M281,BF$13)="",10^12,OFFSET(CRONOPLE!$F$14,$M281,BF$13))))</f>
        <v>1000000000000</v>
      </c>
      <c r="BG281" s="215">
        <f ca="1">IF($D281&lt;&gt;"Serviço",0,IF(AND(AUTOEVENTO="Manual",$M281=1),0,IF(OFFSET(CRONOPLE!$F$14,$M281,BG$13)="",10^12,OFFSET(CRONOPLE!$F$14,$M281,BG$13))))</f>
        <v>1000000000000</v>
      </c>
      <c r="BH281" s="215">
        <f ca="1">IF($D281&lt;&gt;"Serviço",0,IF(AND(AUTOEVENTO="Manual",$M281=1),0,IF(OFFSET(CRONOPLE!$F$14,$M281,BH$13)="",10^12,OFFSET(CRONOPLE!$F$14,$M281,BH$13))))</f>
        <v>1000000000000</v>
      </c>
      <c r="BI281" s="215">
        <f ca="1">IF($D281&lt;&gt;"Serviço",0,IF(AND(AUTOEVENTO="Manual",$M281=1),0,IF(OFFSET(CRONOPLE!$F$14,$M281,BI$13)="",10^12,OFFSET(CRONOPLE!$F$14,$M281,BI$13))))</f>
        <v>1000000000000</v>
      </c>
      <c r="BJ281" s="215">
        <f ca="1">IF($D281&lt;&gt;"Serviço",0,IF(AND(AUTOEVENTO="Manual",$M281=1),0,IF(OFFSET(CRONOPLE!$F$14,$M281,BJ$13)="",10^12,OFFSET(CRONOPLE!$F$14,$M281,BJ$13))))</f>
        <v>1000000000000</v>
      </c>
      <c r="BK281" s="215">
        <f ca="1">IF($D281&lt;&gt;"Serviço",0,IF(AND(AUTOEVENTO="Manual",$M281=1),0,IF(OFFSET(CRONOPLE!$F$14,$M281,BK$13)="",10^12,OFFSET(CRONOPLE!$F$14,$M281,BK$13))))</f>
        <v>1000000000000</v>
      </c>
      <c r="BL281" s="215">
        <f ca="1">IF($D281&lt;&gt;"Serviço",0,IF(AND(AUTOEVENTO="Manual",$M281=1),0,IF(OFFSET(CRONOPLE!$F$14,$M281,BL$13)="",10^12,OFFSET(CRONOPLE!$F$14,$M281,BL$13))))</f>
        <v>1000000000000</v>
      </c>
      <c r="BM281" s="215">
        <f ca="1">IF($D281&lt;&gt;"Serviço",0,IF(AND(AUTOEVENTO="Manual",$M281=1),0,IF(OFFSET(CRONOPLE!$F$14,$M281,BM$13)="",10^12,OFFSET(CRONOPLE!$F$14,$M281,BM$13))))</f>
        <v>1000000000000</v>
      </c>
      <c r="BN281" s="215">
        <f ca="1">IF($D281&lt;&gt;"Serviço",0,IF(AND(AUTOEVENTO="Manual",$M281=1),0,IF(OFFSET(CRONOPLE!$F$14,$M281,BN$13)="",10^12,OFFSET(CRONOPLE!$F$14,$M281,BN$13))))</f>
        <v>1000000000000</v>
      </c>
      <c r="BO281" s="215">
        <f ca="1">IF($D281&lt;&gt;"Serviço",0,IF(AND(AUTOEVENTO="Manual",$M281=1),0,IF(OFFSET(CRONOPLE!$F$14,$M281,BO$13)="",10^12,OFFSET(CRONOPLE!$F$14,$M281,BO$13))))</f>
        <v>1000000000000</v>
      </c>
      <c r="BP281" s="215">
        <f ca="1">IF($D281&lt;&gt;"Serviço",0,IF(AND(AUTOEVENTO="Manual",$M281=1),0,IF(OFFSET(CRONOPLE!$F$14,$M281,BP$13)="",10^12,OFFSET(CRONOPLE!$F$14,$M281,BP$13))))</f>
        <v>1000000000000</v>
      </c>
      <c r="BQ281" s="215">
        <f ca="1">IF($D281&lt;&gt;"Serviço",0,IF(AND(AUTOEVENTO="Manual",$M281=1),0,IF(OFFSET(CRONOPLE!$F$14,$M281,BQ$13)="",10^12,OFFSET(CRONOPLE!$F$14,$M281,BQ$13))))</f>
        <v>1000000000000</v>
      </c>
      <c r="BR281" s="215">
        <f ca="1">IF($D281&lt;&gt;"Serviço",0,IF(AND(AUTOEVENTO="Manual",$M281=1),0,IF(OFFSET(CRONOPLE!$F$14,$M281,BR$13)="",10^12,OFFSET(CRONOPLE!$F$14,$M281,BR$13))))</f>
        <v>1000000000000</v>
      </c>
      <c r="BS281" s="215">
        <f ca="1">IF($D281&lt;&gt;"Serviço",0,IF(AND(AUTOEVENTO="Manual",$M281=1),0,IF(OFFSET(CRONOPLE!$F$14,$M281,BS$13)="",10^12,OFFSET(CRONOPLE!$F$14,$M281,BS$13))))</f>
        <v>1000000000000</v>
      </c>
      <c r="BT281" s="215">
        <f ca="1">IF($D281&lt;&gt;"Serviço",0,IF(AND(AUTOEVENTO="Manual",$M281=1),0,IF(OFFSET(CRONOPLE!$F$14,$M281,BT$13)="",10^12,OFFSET(CRONOPLE!$F$14,$M281,BT$13))))</f>
        <v>1000000000000</v>
      </c>
      <c r="BV281" s="216">
        <f ca="1">IF($D281&lt;&gt;"Serviço",0,IF(OR(AND(AUTOEVENTO="Manual",$M281=1),$M281&gt;(ROW(PLE.lastrow)-ROW(PLE.firstrow))),0,IF(OFFSET(PLE!$G$14,$M281,BV$13)="",10^12,OFFSET(PLE!$G$14,$M281,BV$13))))</f>
        <v>1000000000000</v>
      </c>
      <c r="BW281" s="216">
        <f ca="1">IF($D281&lt;&gt;"Serviço",0,IF(OR(AND(AUTOEVENTO="Manual",$M281=1),$M281&gt;(ROW(PLE.lastrow)-ROW(PLE.firstrow))),0,IF(OFFSET(PLE!$G$14,$M281,BW$13)="",10^12,OFFSET(PLE!$G$14,$M281,BW$13))))</f>
        <v>1000000000000</v>
      </c>
      <c r="BX281" s="216">
        <f ca="1">IF($D281&lt;&gt;"Serviço",0,IF(OR(AND(AUTOEVENTO="Manual",$M281=1),$M281&gt;(ROW(PLE.lastrow)-ROW(PLE.firstrow))),0,IF(OFFSET(PLE!$G$14,$M281,BX$13)="",10^12,OFFSET(PLE!$G$14,$M281,BX$13))))</f>
        <v>1000000000000</v>
      </c>
      <c r="BY281" s="216">
        <f ca="1">IF($D281&lt;&gt;"Serviço",0,IF(OR(AND(AUTOEVENTO="Manual",$M281=1),$M281&gt;(ROW(PLE.lastrow)-ROW(PLE.firstrow))),0,IF(OFFSET(PLE!$G$14,$M281,BY$13)="",10^12,OFFSET(PLE!$G$14,$M281,BY$13))))</f>
        <v>1000000000000</v>
      </c>
      <c r="BZ281" s="216">
        <f ca="1">IF($D281&lt;&gt;"Serviço",0,IF(OR(AND(AUTOEVENTO="Manual",$M281=1),$M281&gt;(ROW(PLE.lastrow)-ROW(PLE.firstrow))),0,IF(OFFSET(PLE!$G$14,$M281,BZ$13)="",10^12,OFFSET(PLE!$G$14,$M281,BZ$13))))</f>
        <v>1000000000000</v>
      </c>
      <c r="CA281" s="216">
        <f ca="1">IF($D281&lt;&gt;"Serviço",0,IF(OR(AND(AUTOEVENTO="Manual",$M281=1),$M281&gt;(ROW(PLE.lastrow)-ROW(PLE.firstrow))),0,IF(OFFSET(PLE!$G$14,$M281,CA$13)="",10^12,OFFSET(PLE!$G$14,$M281,CA$13))))</f>
        <v>1000000000000</v>
      </c>
      <c r="CB281" s="216">
        <f ca="1">IF($D281&lt;&gt;"Serviço",0,IF(OR(AND(AUTOEVENTO="Manual",$M281=1),$M281&gt;(ROW(PLE.lastrow)-ROW(PLE.firstrow))),0,IF(OFFSET(PLE!$G$14,$M281,CB$13)="",10^12,OFFSET(PLE!$G$14,$M281,CB$13))))</f>
        <v>1000000000000</v>
      </c>
      <c r="CC281" s="216">
        <f ca="1">IF($D281&lt;&gt;"Serviço",0,IF(OR(AND(AUTOEVENTO="Manual",$M281=1),$M281&gt;(ROW(PLE.lastrow)-ROW(PLE.firstrow))),0,IF(OFFSET(PLE!$G$14,$M281,CC$13)="",10^12,OFFSET(PLE!$G$14,$M281,CC$13))))</f>
        <v>1000000000000</v>
      </c>
      <c r="CD281" s="216">
        <f ca="1">IF($D281&lt;&gt;"Serviço",0,IF(OR(AND(AUTOEVENTO="Manual",$M281=1),$M281&gt;(ROW(PLE.lastrow)-ROW(PLE.firstrow))),0,IF(OFFSET(PLE!$G$14,$M281,CD$13)="",10^12,OFFSET(PLE!$G$14,$M281,CD$13))))</f>
        <v>1000000000000</v>
      </c>
      <c r="CE281" s="216">
        <f ca="1">IF($D281&lt;&gt;"Serviço",0,IF(OR(AND(AUTOEVENTO="Manual",$M281=1),$M281&gt;(ROW(PLE.lastrow)-ROW(PLE.firstrow))),0,IF(OFFSET(PLE!$G$14,$M281,CE$13)="",10^12,OFFSET(PLE!$G$14,$M281,CE$13))))</f>
        <v>1000000000000</v>
      </c>
      <c r="CF281" s="216">
        <f ca="1">IF($D281&lt;&gt;"Serviço",0,IF(OR(AND(AUTOEVENTO="Manual",$M281=1),$M281&gt;(ROW(PLE.lastrow)-ROW(PLE.firstrow))),0,IF(OFFSET(PLE!$G$14,$M281,CF$13)="",10^12,OFFSET(PLE!$G$14,$M281,CF$13))))</f>
        <v>1000000000000</v>
      </c>
      <c r="CG281" s="216">
        <f ca="1">IF($D281&lt;&gt;"Serviço",0,IF(OR(AND(AUTOEVENTO="Manual",$M281=1),$M281&gt;(ROW(PLE.lastrow)-ROW(PLE.firstrow))),0,IF(OFFSET(PLE!$G$14,$M281,CG$13)="",10^12,OFFSET(PLE!$G$14,$M281,CG$13))))</f>
        <v>1000000000000</v>
      </c>
      <c r="CH281" s="216">
        <f ca="1">IF($D281&lt;&gt;"Serviço",0,IF(OR(AND(AUTOEVENTO="Manual",$M281=1),$M281&gt;(ROW(PLE.lastrow)-ROW(PLE.firstrow))),0,IF(OFFSET(PLE!$G$14,$M281,CH$13)="",10^12,OFFSET(PLE!$G$14,$M281,CH$13))))</f>
        <v>1000000000000</v>
      </c>
      <c r="CI281" s="216">
        <f ca="1">IF($D281&lt;&gt;"Serviço",0,IF(OR(AND(AUTOEVENTO="Manual",$M281=1),$M281&gt;(ROW(PLE.lastrow)-ROW(PLE.firstrow))),0,IF(OFFSET(PLE!$G$14,$M281,CI$13)="",10^12,OFFSET(PLE!$G$14,$M281,CI$13))))</f>
        <v>1000000000000</v>
      </c>
      <c r="CJ281" s="216">
        <f ca="1">IF($D281&lt;&gt;"Serviço",0,IF(OR(AND(AUTOEVENTO="Manual",$M281=1),$M281&gt;(ROW(PLE.lastrow)-ROW(PLE.firstrow))),0,IF(OFFSET(PLE!$G$14,$M281,CJ$13)="",10^12,OFFSET(PLE!$G$14,$M281,CJ$13))))</f>
        <v>1000000000000</v>
      </c>
      <c r="CK281" s="216">
        <f ca="1">IF($D281&lt;&gt;"Serviço",0,IF(OR(AND(AUTOEVENTO="Manual",$M281=1),$M281&gt;(ROW(PLE.lastrow)-ROW(PLE.firstrow))),0,IF(OFFSET(PLE!$G$14,$M281,CK$13)="",10^12,OFFSET(PLE!$G$14,$M281,CK$13))))</f>
        <v>1000000000000</v>
      </c>
      <c r="CL281" s="216">
        <f ca="1">IF($D281&lt;&gt;"Serviço",0,IF(OR(AND(AUTOEVENTO="Manual",$M281=1),$M281&gt;(ROW(PLE.lastrow)-ROW(PLE.firstrow))),0,IF(OFFSET(PLE!$G$14,$M281,CL$13)="",10^12,OFFSET(PLE!$G$14,$M281,CL$13))))</f>
        <v>1000000000000</v>
      </c>
      <c r="CM281" s="216">
        <f ca="1">IF($D281&lt;&gt;"Serviço",0,IF(OR(AND(AUTOEVENTO="Manual",$M281=1),$M281&gt;(ROW(PLE.lastrow)-ROW(PLE.firstrow))),0,IF(OFFSET(PLE!$G$14,$M281,CM$13)="",10^12,OFFSET(PLE!$G$14,$M281,CM$13))))</f>
        <v>1000000000000</v>
      </c>
    </row>
    <row r="282" spans="1:91" ht="13.2" x14ac:dyDescent="0.25">
      <c r="A282" s="9">
        <f t="shared" ca="1" si="13"/>
        <v>0</v>
      </c>
      <c r="B282" s="9">
        <f ca="1">OFFSET(ORÇAMENTO!C$15,ROW(B282)-ROW(B$15),0)</f>
        <v>2</v>
      </c>
      <c r="C282" s="9" t="str">
        <f ca="1">OFFSET(ORÇAMENTO!L$15,ROW(C282)-ROW(C$15),0)</f>
        <v>F</v>
      </c>
      <c r="D282" s="145" t="str">
        <f ca="1">OFFSET(ORÇAMENTO!N$15,ROW(D282)-ROW(D$15),0)</f>
        <v>Nível 2</v>
      </c>
      <c r="E282" s="205" t="str">
        <f ca="1">OFFSET(ORÇAMENTO!O$15,ROW(E282)-ROW(E$15),0)</f>
        <v>1.11.</v>
      </c>
      <c r="F282" s="206" t="str">
        <f ca="1">OFFSET(ORÇAMENTO!R$15,ROW(F282)-ROW(F$15),0)</f>
        <v>PINTURAS E ACABAMENTOS</v>
      </c>
      <c r="G282" s="207" t="str">
        <f ca="1">IF($D282&lt;&gt;"Serviço","",OFFSET(ORÇAMENTO!S$15,ROW(G282)-ROW(G$15),0))</f>
        <v/>
      </c>
      <c r="H282" s="151">
        <f ca="1">IF($D282&lt;&gt;"Serviço",0,IF(ACOMPANHAMENTO="BM",ROUND(OFFSET(ORÇAMENTO!AJ$15,ROW(H282)-ROW(H$15),0),15-13*ORÇAMENTO!$AF$7),SUMPRODUCT(($Q$12:$AI$12&lt;&gt;"")*ROUND($Q282:$AI282,15-13*ORÇAMENTO!$AF$7))))</f>
        <v>0</v>
      </c>
      <c r="I282" s="650"/>
      <c r="K282" s="208"/>
      <c r="L282" s="209" t="s">
        <v>257</v>
      </c>
      <c r="M282" s="210" t="str">
        <f ca="1">IF($D282&lt;&gt;"Serviço","",IF(AUTOEVENTO="manual",$A282,IF(ISERROR(MATCH($A282,$A$15:OFFSET($A282,-1,0),0)),MAX($M$15:OFFSET(M282,-1,0))+1,INDEX($M$15:OFFSET(M282,-1,0),MATCH($A282,$A$15:OFFSET($A282,-1,0),0)))))</f>
        <v/>
      </c>
      <c r="N282" s="211" t="str">
        <f ca="1">IF($D282&lt;&gt;"Serviço","",IF(AUTOEVENTO="Manual",IF($A282=0,"&lt;-- defina o número do agrupador",OFFSET(EVENTOS!$D$14,$A282,0)),OFFSET($F$15,$A282,0)))</f>
        <v/>
      </c>
      <c r="O282" s="212"/>
      <c r="Q282" s="212"/>
      <c r="R282" s="213"/>
      <c r="S282" s="213"/>
      <c r="T282" s="213"/>
      <c r="U282" s="213"/>
      <c r="V282" s="213"/>
      <c r="W282" s="213"/>
      <c r="X282" s="213"/>
      <c r="Y282" s="213"/>
      <c r="Z282" s="214"/>
      <c r="AA282" s="213"/>
      <c r="AB282" s="213"/>
      <c r="AC282" s="213"/>
      <c r="AD282" s="213"/>
      <c r="AE282" s="213"/>
      <c r="AF282" s="213"/>
      <c r="AG282" s="213"/>
      <c r="AH282" s="214"/>
      <c r="AJ282" s="631">
        <f ca="1">IF(AND($D282="Serviço",AJ$12&lt;&gt;0,$H282&gt;0,OR(AUTOEVENTO&lt;&gt;"manual",$M282&lt;&gt;1)),ROUND(OFFSET($P282,0,AJ$13),15-13*ORÇAMENTO!$AF$7)/$H282*OFFSET(ORÇAMENTO!$X$15,ROW(AJ282)-ROW(AJ$15),0),0)</f>
        <v>0</v>
      </c>
      <c r="AK282" s="632">
        <f ca="1">IF(AND($D282="Serviço",AK$12&lt;&gt;0,$H282&gt;0,OR(AUTOEVENTO&lt;&gt;"manual",$M282&lt;&gt;1)),ROUND(OFFSET($P282,0,AK$13),15-13*ORÇAMENTO!$AF$7)/$H282*OFFSET(ORÇAMENTO!$X$15,ROW(AK282)-ROW(AK$15),0),0)</f>
        <v>0</v>
      </c>
      <c r="AL282" s="632">
        <f ca="1">IF(AND($D282="Serviço",AL$12&lt;&gt;0,$H282&gt;0,OR(AUTOEVENTO&lt;&gt;"manual",$M282&lt;&gt;1)),ROUND(OFFSET($P282,0,AL$13),15-13*ORÇAMENTO!$AF$7)/$H282*OFFSET(ORÇAMENTO!$X$15,ROW(AL282)-ROW(AL$15),0),0)</f>
        <v>0</v>
      </c>
      <c r="AM282" s="632">
        <f ca="1">IF(AND($D282="Serviço",AM$12&lt;&gt;0,$H282&gt;0,OR(AUTOEVENTO&lt;&gt;"manual",$M282&lt;&gt;1)),ROUND(OFFSET($P282,0,AM$13),15-13*ORÇAMENTO!$AF$7)/$H282*OFFSET(ORÇAMENTO!$X$15,ROW(AM282)-ROW(AM$15),0),0)</f>
        <v>0</v>
      </c>
      <c r="AN282" s="632">
        <f ca="1">IF(AND($D282="Serviço",AN$12&lt;&gt;0,$H282&gt;0,OR(AUTOEVENTO&lt;&gt;"manual",$M282&lt;&gt;1)),ROUND(OFFSET($P282,0,AN$13),15-13*ORÇAMENTO!$AF$7)/$H282*OFFSET(ORÇAMENTO!$X$15,ROW(AN282)-ROW(AN$15),0),0)</f>
        <v>0</v>
      </c>
      <c r="AO282" s="632">
        <f ca="1">IF(AND($D282="Serviço",AO$12&lt;&gt;0,$H282&gt;0,OR(AUTOEVENTO&lt;&gt;"manual",$M282&lt;&gt;1)),ROUND(OFFSET($P282,0,AO$13),15-13*ORÇAMENTO!$AF$7)/$H282*OFFSET(ORÇAMENTO!$X$15,ROW(AO282)-ROW(AO$15),0),0)</f>
        <v>0</v>
      </c>
      <c r="AP282" s="632">
        <f ca="1">IF(AND($D282="Serviço",AP$12&lt;&gt;0,$H282&gt;0,OR(AUTOEVENTO&lt;&gt;"manual",$M282&lt;&gt;1)),ROUND(OFFSET($P282,0,AP$13),15-13*ORÇAMENTO!$AF$7)/$H282*OFFSET(ORÇAMENTO!$X$15,ROW(AP282)-ROW(AP$15),0),0)</f>
        <v>0</v>
      </c>
      <c r="AQ282" s="632">
        <f ca="1">IF(AND($D282="Serviço",AQ$12&lt;&gt;0,$H282&gt;0,OR(AUTOEVENTO&lt;&gt;"manual",$M282&lt;&gt;1)),ROUND(OFFSET($P282,0,AQ$13),15-13*ORÇAMENTO!$AF$7)/$H282*OFFSET(ORÇAMENTO!$X$15,ROW(AQ282)-ROW(AQ$15),0),0)</f>
        <v>0</v>
      </c>
      <c r="AR282" s="632">
        <f ca="1">IF(AND($D282="Serviço",AR$12&lt;&gt;0,$H282&gt;0,OR(AUTOEVENTO&lt;&gt;"manual",$M282&lt;&gt;1)),ROUND(OFFSET($P282,0,AR$13),15-13*ORÇAMENTO!$AF$7)/$H282*OFFSET(ORÇAMENTO!$X$15,ROW(AR282)-ROW(AR$15),0),0)</f>
        <v>0</v>
      </c>
      <c r="AS282" s="633">
        <f ca="1">IF(AND($D282="Serviço",AS$12&lt;&gt;0,$H282&gt;0,OR(AUTOEVENTO&lt;&gt;"manual",$M282&lt;&gt;1)),ROUND(OFFSET($P282,0,AS$13),15-13*ORÇAMENTO!$AF$7)/$H282*OFFSET(ORÇAMENTO!$X$15,ROW(AS282)-ROW(AS$15),0),0)</f>
        <v>0</v>
      </c>
      <c r="AT282" s="632">
        <f ca="1">IF(AND($D282="Serviço",AT$12&lt;&gt;0,$H282&gt;0,OR(AUTOEVENTO&lt;&gt;"manual",$M282&lt;&gt;1)),ROUND(OFFSET($P282,0,AT$13),15-13*ORÇAMENTO!$AF$7)/$H282*OFFSET(ORÇAMENTO!$X$15,ROW(AT282)-ROW(AT$15),0),0)</f>
        <v>0</v>
      </c>
      <c r="AU282" s="632">
        <f ca="1">IF(AND($D282="Serviço",AU$12&lt;&gt;0,$H282&gt;0,OR(AUTOEVENTO&lt;&gt;"manual",$M282&lt;&gt;1)),ROUND(OFFSET($P282,0,AU$13),15-13*ORÇAMENTO!$AF$7)/$H282*OFFSET(ORÇAMENTO!$X$15,ROW(AU282)-ROW(AU$15),0),0)</f>
        <v>0</v>
      </c>
      <c r="AV282" s="632">
        <f ca="1">IF(AND($D282="Serviço",AV$12&lt;&gt;0,$H282&gt;0,OR(AUTOEVENTO&lt;&gt;"manual",$M282&lt;&gt;1)),ROUND(OFFSET($P282,0,AV$13),15-13*ORÇAMENTO!$AF$7)/$H282*OFFSET(ORÇAMENTO!$X$15,ROW(AV282)-ROW(AV$15),0),0)</f>
        <v>0</v>
      </c>
      <c r="AW282" s="632">
        <f ca="1">IF(AND($D282="Serviço",AW$12&lt;&gt;0,$H282&gt;0,OR(AUTOEVENTO&lt;&gt;"manual",$M282&lt;&gt;1)),ROUND(OFFSET($P282,0,AW$13),15-13*ORÇAMENTO!$AF$7)/$H282*OFFSET(ORÇAMENTO!$X$15,ROW(AW282)-ROW(AW$15),0),0)</f>
        <v>0</v>
      </c>
      <c r="AX282" s="632">
        <f ca="1">IF(AND($D282="Serviço",AX$12&lt;&gt;0,$H282&gt;0,OR(AUTOEVENTO&lt;&gt;"manual",$M282&lt;&gt;1)),ROUND(OFFSET($P282,0,AX$13),15-13*ORÇAMENTO!$AF$7)/$H282*OFFSET(ORÇAMENTO!$X$15,ROW(AX282)-ROW(AX$15),0),0)</f>
        <v>0</v>
      </c>
      <c r="AY282" s="632">
        <f ca="1">IF(AND($D282="Serviço",AY$12&lt;&gt;0,$H282&gt;0,OR(AUTOEVENTO&lt;&gt;"manual",$M282&lt;&gt;1)),ROUND(OFFSET($P282,0,AY$13),15-13*ORÇAMENTO!$AF$7)/$H282*OFFSET(ORÇAMENTO!$X$15,ROW(AY282)-ROW(AY$15),0),0)</f>
        <v>0</v>
      </c>
      <c r="AZ282" s="632">
        <f ca="1">IF(AND($D282="Serviço",AZ$12&lt;&gt;0,$H282&gt;0,OR(AUTOEVENTO&lt;&gt;"manual",$M282&lt;&gt;1)),ROUND(OFFSET($P282,0,AZ$13),15-13*ORÇAMENTO!$AF$7)/$H282*OFFSET(ORÇAMENTO!$X$15,ROW(AZ282)-ROW(AZ$15),0),0)</f>
        <v>0</v>
      </c>
      <c r="BA282" s="633">
        <f ca="1">IF(AND($D282="Serviço",BA$12&lt;&gt;0,$H282&gt;0,OR(AUTOEVENTO&lt;&gt;"manual",$M282&lt;&gt;1)),ROUND(OFFSET($P282,0,BA$13),15-13*ORÇAMENTO!$AF$7)/$H282*OFFSET(ORÇAMENTO!$X$15,ROW(BA282)-ROW(BA$15),0),0)</f>
        <v>0</v>
      </c>
      <c r="BC282" s="215">
        <f ca="1">IF($D282&lt;&gt;"Serviço",0,IF(AND(AUTOEVENTO="Manual",$M282=1),0,IF(OFFSET(CRONOPLE!$F$14,$M282,BC$13)="",10^12,OFFSET(CRONOPLE!$F$14,$M282,BC$13))))</f>
        <v>0</v>
      </c>
      <c r="BD282" s="215">
        <f ca="1">IF($D282&lt;&gt;"Serviço",0,IF(AND(AUTOEVENTO="Manual",$M282=1),0,IF(OFFSET(CRONOPLE!$F$14,$M282,BD$13)="",10^12,OFFSET(CRONOPLE!$F$14,$M282,BD$13))))</f>
        <v>0</v>
      </c>
      <c r="BE282" s="215">
        <f ca="1">IF($D282&lt;&gt;"Serviço",0,IF(AND(AUTOEVENTO="Manual",$M282=1),0,IF(OFFSET(CRONOPLE!$F$14,$M282,BE$13)="",10^12,OFFSET(CRONOPLE!$F$14,$M282,BE$13))))</f>
        <v>0</v>
      </c>
      <c r="BF282" s="215">
        <f ca="1">IF($D282&lt;&gt;"Serviço",0,IF(AND(AUTOEVENTO="Manual",$M282=1),0,IF(OFFSET(CRONOPLE!$F$14,$M282,BF$13)="",10^12,OFFSET(CRONOPLE!$F$14,$M282,BF$13))))</f>
        <v>0</v>
      </c>
      <c r="BG282" s="215">
        <f ca="1">IF($D282&lt;&gt;"Serviço",0,IF(AND(AUTOEVENTO="Manual",$M282=1),0,IF(OFFSET(CRONOPLE!$F$14,$M282,BG$13)="",10^12,OFFSET(CRONOPLE!$F$14,$M282,BG$13))))</f>
        <v>0</v>
      </c>
      <c r="BH282" s="215">
        <f ca="1">IF($D282&lt;&gt;"Serviço",0,IF(AND(AUTOEVENTO="Manual",$M282=1),0,IF(OFFSET(CRONOPLE!$F$14,$M282,BH$13)="",10^12,OFFSET(CRONOPLE!$F$14,$M282,BH$13))))</f>
        <v>0</v>
      </c>
      <c r="BI282" s="215">
        <f ca="1">IF($D282&lt;&gt;"Serviço",0,IF(AND(AUTOEVENTO="Manual",$M282=1),0,IF(OFFSET(CRONOPLE!$F$14,$M282,BI$13)="",10^12,OFFSET(CRONOPLE!$F$14,$M282,BI$13))))</f>
        <v>0</v>
      </c>
      <c r="BJ282" s="215">
        <f ca="1">IF($D282&lt;&gt;"Serviço",0,IF(AND(AUTOEVENTO="Manual",$M282=1),0,IF(OFFSET(CRONOPLE!$F$14,$M282,BJ$13)="",10^12,OFFSET(CRONOPLE!$F$14,$M282,BJ$13))))</f>
        <v>0</v>
      </c>
      <c r="BK282" s="215">
        <f ca="1">IF($D282&lt;&gt;"Serviço",0,IF(AND(AUTOEVENTO="Manual",$M282=1),0,IF(OFFSET(CRONOPLE!$F$14,$M282,BK$13)="",10^12,OFFSET(CRONOPLE!$F$14,$M282,BK$13))))</f>
        <v>0</v>
      </c>
      <c r="BL282" s="215">
        <f ca="1">IF($D282&lt;&gt;"Serviço",0,IF(AND(AUTOEVENTO="Manual",$M282=1),0,IF(OFFSET(CRONOPLE!$F$14,$M282,BL$13)="",10^12,OFFSET(CRONOPLE!$F$14,$M282,BL$13))))</f>
        <v>0</v>
      </c>
      <c r="BM282" s="215">
        <f ca="1">IF($D282&lt;&gt;"Serviço",0,IF(AND(AUTOEVENTO="Manual",$M282=1),0,IF(OFFSET(CRONOPLE!$F$14,$M282,BM$13)="",10^12,OFFSET(CRONOPLE!$F$14,$M282,BM$13))))</f>
        <v>0</v>
      </c>
      <c r="BN282" s="215">
        <f ca="1">IF($D282&lt;&gt;"Serviço",0,IF(AND(AUTOEVENTO="Manual",$M282=1),0,IF(OFFSET(CRONOPLE!$F$14,$M282,BN$13)="",10^12,OFFSET(CRONOPLE!$F$14,$M282,BN$13))))</f>
        <v>0</v>
      </c>
      <c r="BO282" s="215">
        <f ca="1">IF($D282&lt;&gt;"Serviço",0,IF(AND(AUTOEVENTO="Manual",$M282=1),0,IF(OFFSET(CRONOPLE!$F$14,$M282,BO$13)="",10^12,OFFSET(CRONOPLE!$F$14,$M282,BO$13))))</f>
        <v>0</v>
      </c>
      <c r="BP282" s="215">
        <f ca="1">IF($D282&lt;&gt;"Serviço",0,IF(AND(AUTOEVENTO="Manual",$M282=1),0,IF(OFFSET(CRONOPLE!$F$14,$M282,BP$13)="",10^12,OFFSET(CRONOPLE!$F$14,$M282,BP$13))))</f>
        <v>0</v>
      </c>
      <c r="BQ282" s="215">
        <f ca="1">IF($D282&lt;&gt;"Serviço",0,IF(AND(AUTOEVENTO="Manual",$M282=1),0,IF(OFFSET(CRONOPLE!$F$14,$M282,BQ$13)="",10^12,OFFSET(CRONOPLE!$F$14,$M282,BQ$13))))</f>
        <v>0</v>
      </c>
      <c r="BR282" s="215">
        <f ca="1">IF($D282&lt;&gt;"Serviço",0,IF(AND(AUTOEVENTO="Manual",$M282=1),0,IF(OFFSET(CRONOPLE!$F$14,$M282,BR$13)="",10^12,OFFSET(CRONOPLE!$F$14,$M282,BR$13))))</f>
        <v>0</v>
      </c>
      <c r="BS282" s="215">
        <f ca="1">IF($D282&lt;&gt;"Serviço",0,IF(AND(AUTOEVENTO="Manual",$M282=1),0,IF(OFFSET(CRONOPLE!$F$14,$M282,BS$13)="",10^12,OFFSET(CRONOPLE!$F$14,$M282,BS$13))))</f>
        <v>0</v>
      </c>
      <c r="BT282" s="215">
        <f ca="1">IF($D282&lt;&gt;"Serviço",0,IF(AND(AUTOEVENTO="Manual",$M282=1),0,IF(OFFSET(CRONOPLE!$F$14,$M282,BT$13)="",10^12,OFFSET(CRONOPLE!$F$14,$M282,BT$13))))</f>
        <v>0</v>
      </c>
      <c r="BV282" s="216">
        <f ca="1">IF($D282&lt;&gt;"Serviço",0,IF(OR(AND(AUTOEVENTO="Manual",$M282=1),$M282&gt;(ROW(PLE.lastrow)-ROW(PLE.firstrow))),0,IF(OFFSET(PLE!$G$14,$M282,BV$13)="",10^12,OFFSET(PLE!$G$14,$M282,BV$13))))</f>
        <v>0</v>
      </c>
      <c r="BW282" s="216">
        <f ca="1">IF($D282&lt;&gt;"Serviço",0,IF(OR(AND(AUTOEVENTO="Manual",$M282=1),$M282&gt;(ROW(PLE.lastrow)-ROW(PLE.firstrow))),0,IF(OFFSET(PLE!$G$14,$M282,BW$13)="",10^12,OFFSET(PLE!$G$14,$M282,BW$13))))</f>
        <v>0</v>
      </c>
      <c r="BX282" s="216">
        <f ca="1">IF($D282&lt;&gt;"Serviço",0,IF(OR(AND(AUTOEVENTO="Manual",$M282=1),$M282&gt;(ROW(PLE.lastrow)-ROW(PLE.firstrow))),0,IF(OFFSET(PLE!$G$14,$M282,BX$13)="",10^12,OFFSET(PLE!$G$14,$M282,BX$13))))</f>
        <v>0</v>
      </c>
      <c r="BY282" s="216">
        <f ca="1">IF($D282&lt;&gt;"Serviço",0,IF(OR(AND(AUTOEVENTO="Manual",$M282=1),$M282&gt;(ROW(PLE.lastrow)-ROW(PLE.firstrow))),0,IF(OFFSET(PLE!$G$14,$M282,BY$13)="",10^12,OFFSET(PLE!$G$14,$M282,BY$13))))</f>
        <v>0</v>
      </c>
      <c r="BZ282" s="216">
        <f ca="1">IF($D282&lt;&gt;"Serviço",0,IF(OR(AND(AUTOEVENTO="Manual",$M282=1),$M282&gt;(ROW(PLE.lastrow)-ROW(PLE.firstrow))),0,IF(OFFSET(PLE!$G$14,$M282,BZ$13)="",10^12,OFFSET(PLE!$G$14,$M282,BZ$13))))</f>
        <v>0</v>
      </c>
      <c r="CA282" s="216">
        <f ca="1">IF($D282&lt;&gt;"Serviço",0,IF(OR(AND(AUTOEVENTO="Manual",$M282=1),$M282&gt;(ROW(PLE.lastrow)-ROW(PLE.firstrow))),0,IF(OFFSET(PLE!$G$14,$M282,CA$13)="",10^12,OFFSET(PLE!$G$14,$M282,CA$13))))</f>
        <v>0</v>
      </c>
      <c r="CB282" s="216">
        <f ca="1">IF($D282&lt;&gt;"Serviço",0,IF(OR(AND(AUTOEVENTO="Manual",$M282=1),$M282&gt;(ROW(PLE.lastrow)-ROW(PLE.firstrow))),0,IF(OFFSET(PLE!$G$14,$M282,CB$13)="",10^12,OFFSET(PLE!$G$14,$M282,CB$13))))</f>
        <v>0</v>
      </c>
      <c r="CC282" s="216">
        <f ca="1">IF($D282&lt;&gt;"Serviço",0,IF(OR(AND(AUTOEVENTO="Manual",$M282=1),$M282&gt;(ROW(PLE.lastrow)-ROW(PLE.firstrow))),0,IF(OFFSET(PLE!$G$14,$M282,CC$13)="",10^12,OFFSET(PLE!$G$14,$M282,CC$13))))</f>
        <v>0</v>
      </c>
      <c r="CD282" s="216">
        <f ca="1">IF($D282&lt;&gt;"Serviço",0,IF(OR(AND(AUTOEVENTO="Manual",$M282=1),$M282&gt;(ROW(PLE.lastrow)-ROW(PLE.firstrow))),0,IF(OFFSET(PLE!$G$14,$M282,CD$13)="",10^12,OFFSET(PLE!$G$14,$M282,CD$13))))</f>
        <v>0</v>
      </c>
      <c r="CE282" s="216">
        <f ca="1">IF($D282&lt;&gt;"Serviço",0,IF(OR(AND(AUTOEVENTO="Manual",$M282=1),$M282&gt;(ROW(PLE.lastrow)-ROW(PLE.firstrow))),0,IF(OFFSET(PLE!$G$14,$M282,CE$13)="",10^12,OFFSET(PLE!$G$14,$M282,CE$13))))</f>
        <v>0</v>
      </c>
      <c r="CF282" s="216">
        <f ca="1">IF($D282&lt;&gt;"Serviço",0,IF(OR(AND(AUTOEVENTO="Manual",$M282=1),$M282&gt;(ROW(PLE.lastrow)-ROW(PLE.firstrow))),0,IF(OFFSET(PLE!$G$14,$M282,CF$13)="",10^12,OFFSET(PLE!$G$14,$M282,CF$13))))</f>
        <v>0</v>
      </c>
      <c r="CG282" s="216">
        <f ca="1">IF($D282&lt;&gt;"Serviço",0,IF(OR(AND(AUTOEVENTO="Manual",$M282=1),$M282&gt;(ROW(PLE.lastrow)-ROW(PLE.firstrow))),0,IF(OFFSET(PLE!$G$14,$M282,CG$13)="",10^12,OFFSET(PLE!$G$14,$M282,CG$13))))</f>
        <v>0</v>
      </c>
      <c r="CH282" s="216">
        <f ca="1">IF($D282&lt;&gt;"Serviço",0,IF(OR(AND(AUTOEVENTO="Manual",$M282=1),$M282&gt;(ROW(PLE.lastrow)-ROW(PLE.firstrow))),0,IF(OFFSET(PLE!$G$14,$M282,CH$13)="",10^12,OFFSET(PLE!$G$14,$M282,CH$13))))</f>
        <v>0</v>
      </c>
      <c r="CI282" s="216">
        <f ca="1">IF($D282&lt;&gt;"Serviço",0,IF(OR(AND(AUTOEVENTO="Manual",$M282=1),$M282&gt;(ROW(PLE.lastrow)-ROW(PLE.firstrow))),0,IF(OFFSET(PLE!$G$14,$M282,CI$13)="",10^12,OFFSET(PLE!$G$14,$M282,CI$13))))</f>
        <v>0</v>
      </c>
      <c r="CJ282" s="216">
        <f ca="1">IF($D282&lt;&gt;"Serviço",0,IF(OR(AND(AUTOEVENTO="Manual",$M282=1),$M282&gt;(ROW(PLE.lastrow)-ROW(PLE.firstrow))),0,IF(OFFSET(PLE!$G$14,$M282,CJ$13)="",10^12,OFFSET(PLE!$G$14,$M282,CJ$13))))</f>
        <v>0</v>
      </c>
      <c r="CK282" s="216">
        <f ca="1">IF($D282&lt;&gt;"Serviço",0,IF(OR(AND(AUTOEVENTO="Manual",$M282=1),$M282&gt;(ROW(PLE.lastrow)-ROW(PLE.firstrow))),0,IF(OFFSET(PLE!$G$14,$M282,CK$13)="",10^12,OFFSET(PLE!$G$14,$M282,CK$13))))</f>
        <v>0</v>
      </c>
      <c r="CL282" s="216">
        <f ca="1">IF($D282&lt;&gt;"Serviço",0,IF(OR(AND(AUTOEVENTO="Manual",$M282=1),$M282&gt;(ROW(PLE.lastrow)-ROW(PLE.firstrow))),0,IF(OFFSET(PLE!$G$14,$M282,CL$13)="",10^12,OFFSET(PLE!$G$14,$M282,CL$13))))</f>
        <v>0</v>
      </c>
      <c r="CM282" s="216">
        <f ca="1">IF($D282&lt;&gt;"Serviço",0,IF(OR(AND(AUTOEVENTO="Manual",$M282=1),$M282&gt;(ROW(PLE.lastrow)-ROW(PLE.firstrow))),0,IF(OFFSET(PLE!$G$14,$M282,CM$13)="",10^12,OFFSET(PLE!$G$14,$M282,CM$13))))</f>
        <v>0</v>
      </c>
    </row>
    <row r="283" spans="1:91" ht="13.2" x14ac:dyDescent="0.25">
      <c r="A283" s="9">
        <f t="shared" ca="1" si="13"/>
        <v>0</v>
      </c>
      <c r="B283" s="9">
        <f ca="1">OFFSET(ORÇAMENTO!C$15,ROW(B283)-ROW(B$15),0)</f>
        <v>3</v>
      </c>
      <c r="C283" s="9" t="str">
        <f ca="1">OFFSET(ORÇAMENTO!L$15,ROW(C283)-ROW(C$15),0)</f>
        <v>F</v>
      </c>
      <c r="D283" s="145" t="str">
        <f ca="1">OFFSET(ORÇAMENTO!N$15,ROW(D283)-ROW(D$15),0)</f>
        <v>Nível 3</v>
      </c>
      <c r="E283" s="205" t="str">
        <f ca="1">OFFSET(ORÇAMENTO!O$15,ROW(E283)-ROW(E$15),0)</f>
        <v>1.11.1.</v>
      </c>
      <c r="F283" s="206" t="str">
        <f ca="1">OFFSET(ORÇAMENTO!R$15,ROW(F283)-ROW(F$15),0)</f>
        <v>EDIFICAÇÃO</v>
      </c>
      <c r="G283" s="207" t="str">
        <f ca="1">IF($D283&lt;&gt;"Serviço","",OFFSET(ORÇAMENTO!S$15,ROW(G283)-ROW(G$15),0))</f>
        <v/>
      </c>
      <c r="H283" s="151">
        <f ca="1">IF($D283&lt;&gt;"Serviço",0,IF(ACOMPANHAMENTO="BM",ROUND(OFFSET(ORÇAMENTO!AJ$15,ROW(H283)-ROW(H$15),0),15-13*ORÇAMENTO!$AF$7),SUMPRODUCT(($Q$12:$AI$12&lt;&gt;"")*ROUND($Q283:$AI283,15-13*ORÇAMENTO!$AF$7))))</f>
        <v>0</v>
      </c>
      <c r="I283" s="650"/>
      <c r="K283" s="208"/>
      <c r="L283" s="209" t="s">
        <v>257</v>
      </c>
      <c r="M283" s="210" t="str">
        <f ca="1">IF($D283&lt;&gt;"Serviço","",IF(AUTOEVENTO="manual",$A283,IF(ISERROR(MATCH($A283,$A$15:OFFSET($A283,-1,0),0)),MAX($M$15:OFFSET(M283,-1,0))+1,INDEX($M$15:OFFSET(M283,-1,0),MATCH($A283,$A$15:OFFSET($A283,-1,0),0)))))</f>
        <v/>
      </c>
      <c r="N283" s="211" t="str">
        <f ca="1">IF($D283&lt;&gt;"Serviço","",IF(AUTOEVENTO="Manual",IF($A283=0,"&lt;-- defina o número do agrupador",OFFSET(EVENTOS!$D$14,$A283,0)),OFFSET($F$15,$A283,0)))</f>
        <v/>
      </c>
      <c r="O283" s="212"/>
      <c r="Q283" s="212"/>
      <c r="R283" s="213"/>
      <c r="S283" s="213"/>
      <c r="T283" s="213"/>
      <c r="U283" s="213"/>
      <c r="V283" s="213"/>
      <c r="W283" s="213"/>
      <c r="X283" s="213"/>
      <c r="Y283" s="213"/>
      <c r="Z283" s="214"/>
      <c r="AA283" s="213"/>
      <c r="AB283" s="213"/>
      <c r="AC283" s="213"/>
      <c r="AD283" s="213"/>
      <c r="AE283" s="213"/>
      <c r="AF283" s="213"/>
      <c r="AG283" s="213"/>
      <c r="AH283" s="214"/>
      <c r="AJ283" s="631">
        <f ca="1">IF(AND($D283="Serviço",AJ$12&lt;&gt;0,$H283&gt;0,OR(AUTOEVENTO&lt;&gt;"manual",$M283&lt;&gt;1)),ROUND(OFFSET($P283,0,AJ$13),15-13*ORÇAMENTO!$AF$7)/$H283*OFFSET(ORÇAMENTO!$X$15,ROW(AJ283)-ROW(AJ$15),0),0)</f>
        <v>0</v>
      </c>
      <c r="AK283" s="632">
        <f ca="1">IF(AND($D283="Serviço",AK$12&lt;&gt;0,$H283&gt;0,OR(AUTOEVENTO&lt;&gt;"manual",$M283&lt;&gt;1)),ROUND(OFFSET($P283,0,AK$13),15-13*ORÇAMENTO!$AF$7)/$H283*OFFSET(ORÇAMENTO!$X$15,ROW(AK283)-ROW(AK$15),0),0)</f>
        <v>0</v>
      </c>
      <c r="AL283" s="632">
        <f ca="1">IF(AND($D283="Serviço",AL$12&lt;&gt;0,$H283&gt;0,OR(AUTOEVENTO&lt;&gt;"manual",$M283&lt;&gt;1)),ROUND(OFFSET($P283,0,AL$13),15-13*ORÇAMENTO!$AF$7)/$H283*OFFSET(ORÇAMENTO!$X$15,ROW(AL283)-ROW(AL$15),0),0)</f>
        <v>0</v>
      </c>
      <c r="AM283" s="632">
        <f ca="1">IF(AND($D283="Serviço",AM$12&lt;&gt;0,$H283&gt;0,OR(AUTOEVENTO&lt;&gt;"manual",$M283&lt;&gt;1)),ROUND(OFFSET($P283,0,AM$13),15-13*ORÇAMENTO!$AF$7)/$H283*OFFSET(ORÇAMENTO!$X$15,ROW(AM283)-ROW(AM$15),0),0)</f>
        <v>0</v>
      </c>
      <c r="AN283" s="632">
        <f ca="1">IF(AND($D283="Serviço",AN$12&lt;&gt;0,$H283&gt;0,OR(AUTOEVENTO&lt;&gt;"manual",$M283&lt;&gt;1)),ROUND(OFFSET($P283,0,AN$13),15-13*ORÇAMENTO!$AF$7)/$H283*OFFSET(ORÇAMENTO!$X$15,ROW(AN283)-ROW(AN$15),0),0)</f>
        <v>0</v>
      </c>
      <c r="AO283" s="632">
        <f ca="1">IF(AND($D283="Serviço",AO$12&lt;&gt;0,$H283&gt;0,OR(AUTOEVENTO&lt;&gt;"manual",$M283&lt;&gt;1)),ROUND(OFFSET($P283,0,AO$13),15-13*ORÇAMENTO!$AF$7)/$H283*OFFSET(ORÇAMENTO!$X$15,ROW(AO283)-ROW(AO$15),0),0)</f>
        <v>0</v>
      </c>
      <c r="AP283" s="632">
        <f ca="1">IF(AND($D283="Serviço",AP$12&lt;&gt;0,$H283&gt;0,OR(AUTOEVENTO&lt;&gt;"manual",$M283&lt;&gt;1)),ROUND(OFFSET($P283,0,AP$13),15-13*ORÇAMENTO!$AF$7)/$H283*OFFSET(ORÇAMENTO!$X$15,ROW(AP283)-ROW(AP$15),0),0)</f>
        <v>0</v>
      </c>
      <c r="AQ283" s="632">
        <f ca="1">IF(AND($D283="Serviço",AQ$12&lt;&gt;0,$H283&gt;0,OR(AUTOEVENTO&lt;&gt;"manual",$M283&lt;&gt;1)),ROUND(OFFSET($P283,0,AQ$13),15-13*ORÇAMENTO!$AF$7)/$H283*OFFSET(ORÇAMENTO!$X$15,ROW(AQ283)-ROW(AQ$15),0),0)</f>
        <v>0</v>
      </c>
      <c r="AR283" s="632">
        <f ca="1">IF(AND($D283="Serviço",AR$12&lt;&gt;0,$H283&gt;0,OR(AUTOEVENTO&lt;&gt;"manual",$M283&lt;&gt;1)),ROUND(OFFSET($P283,0,AR$13),15-13*ORÇAMENTO!$AF$7)/$H283*OFFSET(ORÇAMENTO!$X$15,ROW(AR283)-ROW(AR$15),0),0)</f>
        <v>0</v>
      </c>
      <c r="AS283" s="633">
        <f ca="1">IF(AND($D283="Serviço",AS$12&lt;&gt;0,$H283&gt;0,OR(AUTOEVENTO&lt;&gt;"manual",$M283&lt;&gt;1)),ROUND(OFFSET($P283,0,AS$13),15-13*ORÇAMENTO!$AF$7)/$H283*OFFSET(ORÇAMENTO!$X$15,ROW(AS283)-ROW(AS$15),0),0)</f>
        <v>0</v>
      </c>
      <c r="AT283" s="632">
        <f ca="1">IF(AND($D283="Serviço",AT$12&lt;&gt;0,$H283&gt;0,OR(AUTOEVENTO&lt;&gt;"manual",$M283&lt;&gt;1)),ROUND(OFFSET($P283,0,AT$13),15-13*ORÇAMENTO!$AF$7)/$H283*OFFSET(ORÇAMENTO!$X$15,ROW(AT283)-ROW(AT$15),0),0)</f>
        <v>0</v>
      </c>
      <c r="AU283" s="632">
        <f ca="1">IF(AND($D283="Serviço",AU$12&lt;&gt;0,$H283&gt;0,OR(AUTOEVENTO&lt;&gt;"manual",$M283&lt;&gt;1)),ROUND(OFFSET($P283,0,AU$13),15-13*ORÇAMENTO!$AF$7)/$H283*OFFSET(ORÇAMENTO!$X$15,ROW(AU283)-ROW(AU$15),0),0)</f>
        <v>0</v>
      </c>
      <c r="AV283" s="632">
        <f ca="1">IF(AND($D283="Serviço",AV$12&lt;&gt;0,$H283&gt;0,OR(AUTOEVENTO&lt;&gt;"manual",$M283&lt;&gt;1)),ROUND(OFFSET($P283,0,AV$13),15-13*ORÇAMENTO!$AF$7)/$H283*OFFSET(ORÇAMENTO!$X$15,ROW(AV283)-ROW(AV$15),0),0)</f>
        <v>0</v>
      </c>
      <c r="AW283" s="632">
        <f ca="1">IF(AND($D283="Serviço",AW$12&lt;&gt;0,$H283&gt;0,OR(AUTOEVENTO&lt;&gt;"manual",$M283&lt;&gt;1)),ROUND(OFFSET($P283,0,AW$13),15-13*ORÇAMENTO!$AF$7)/$H283*OFFSET(ORÇAMENTO!$X$15,ROW(AW283)-ROW(AW$15),0),0)</f>
        <v>0</v>
      </c>
      <c r="AX283" s="632">
        <f ca="1">IF(AND($D283="Serviço",AX$12&lt;&gt;0,$H283&gt;0,OR(AUTOEVENTO&lt;&gt;"manual",$M283&lt;&gt;1)),ROUND(OFFSET($P283,0,AX$13),15-13*ORÇAMENTO!$AF$7)/$H283*OFFSET(ORÇAMENTO!$X$15,ROW(AX283)-ROW(AX$15),0),0)</f>
        <v>0</v>
      </c>
      <c r="AY283" s="632">
        <f ca="1">IF(AND($D283="Serviço",AY$12&lt;&gt;0,$H283&gt;0,OR(AUTOEVENTO&lt;&gt;"manual",$M283&lt;&gt;1)),ROUND(OFFSET($P283,0,AY$13),15-13*ORÇAMENTO!$AF$7)/$H283*OFFSET(ORÇAMENTO!$X$15,ROW(AY283)-ROW(AY$15),0),0)</f>
        <v>0</v>
      </c>
      <c r="AZ283" s="632">
        <f ca="1">IF(AND($D283="Serviço",AZ$12&lt;&gt;0,$H283&gt;0,OR(AUTOEVENTO&lt;&gt;"manual",$M283&lt;&gt;1)),ROUND(OFFSET($P283,0,AZ$13),15-13*ORÇAMENTO!$AF$7)/$H283*OFFSET(ORÇAMENTO!$X$15,ROW(AZ283)-ROW(AZ$15),0),0)</f>
        <v>0</v>
      </c>
      <c r="BA283" s="633">
        <f ca="1">IF(AND($D283="Serviço",BA$12&lt;&gt;0,$H283&gt;0,OR(AUTOEVENTO&lt;&gt;"manual",$M283&lt;&gt;1)),ROUND(OFFSET($P283,0,BA$13),15-13*ORÇAMENTO!$AF$7)/$H283*OFFSET(ORÇAMENTO!$X$15,ROW(BA283)-ROW(BA$15),0),0)</f>
        <v>0</v>
      </c>
      <c r="BC283" s="215">
        <f ca="1">IF($D283&lt;&gt;"Serviço",0,IF(AND(AUTOEVENTO="Manual",$M283=1),0,IF(OFFSET(CRONOPLE!$F$14,$M283,BC$13)="",10^12,OFFSET(CRONOPLE!$F$14,$M283,BC$13))))</f>
        <v>0</v>
      </c>
      <c r="BD283" s="215">
        <f ca="1">IF($D283&lt;&gt;"Serviço",0,IF(AND(AUTOEVENTO="Manual",$M283=1),0,IF(OFFSET(CRONOPLE!$F$14,$M283,BD$13)="",10^12,OFFSET(CRONOPLE!$F$14,$M283,BD$13))))</f>
        <v>0</v>
      </c>
      <c r="BE283" s="215">
        <f ca="1">IF($D283&lt;&gt;"Serviço",0,IF(AND(AUTOEVENTO="Manual",$M283=1),0,IF(OFFSET(CRONOPLE!$F$14,$M283,BE$13)="",10^12,OFFSET(CRONOPLE!$F$14,$M283,BE$13))))</f>
        <v>0</v>
      </c>
      <c r="BF283" s="215">
        <f ca="1">IF($D283&lt;&gt;"Serviço",0,IF(AND(AUTOEVENTO="Manual",$M283=1),0,IF(OFFSET(CRONOPLE!$F$14,$M283,BF$13)="",10^12,OFFSET(CRONOPLE!$F$14,$M283,BF$13))))</f>
        <v>0</v>
      </c>
      <c r="BG283" s="215">
        <f ca="1">IF($D283&lt;&gt;"Serviço",0,IF(AND(AUTOEVENTO="Manual",$M283=1),0,IF(OFFSET(CRONOPLE!$F$14,$M283,BG$13)="",10^12,OFFSET(CRONOPLE!$F$14,$M283,BG$13))))</f>
        <v>0</v>
      </c>
      <c r="BH283" s="215">
        <f ca="1">IF($D283&lt;&gt;"Serviço",0,IF(AND(AUTOEVENTO="Manual",$M283=1),0,IF(OFFSET(CRONOPLE!$F$14,$M283,BH$13)="",10^12,OFFSET(CRONOPLE!$F$14,$M283,BH$13))))</f>
        <v>0</v>
      </c>
      <c r="BI283" s="215">
        <f ca="1">IF($D283&lt;&gt;"Serviço",0,IF(AND(AUTOEVENTO="Manual",$M283=1),0,IF(OFFSET(CRONOPLE!$F$14,$M283,BI$13)="",10^12,OFFSET(CRONOPLE!$F$14,$M283,BI$13))))</f>
        <v>0</v>
      </c>
      <c r="BJ283" s="215">
        <f ca="1">IF($D283&lt;&gt;"Serviço",0,IF(AND(AUTOEVENTO="Manual",$M283=1),0,IF(OFFSET(CRONOPLE!$F$14,$M283,BJ$13)="",10^12,OFFSET(CRONOPLE!$F$14,$M283,BJ$13))))</f>
        <v>0</v>
      </c>
      <c r="BK283" s="215">
        <f ca="1">IF($D283&lt;&gt;"Serviço",0,IF(AND(AUTOEVENTO="Manual",$M283=1),0,IF(OFFSET(CRONOPLE!$F$14,$M283,BK$13)="",10^12,OFFSET(CRONOPLE!$F$14,$M283,BK$13))))</f>
        <v>0</v>
      </c>
      <c r="BL283" s="215">
        <f ca="1">IF($D283&lt;&gt;"Serviço",0,IF(AND(AUTOEVENTO="Manual",$M283=1),0,IF(OFFSET(CRONOPLE!$F$14,$M283,BL$13)="",10^12,OFFSET(CRONOPLE!$F$14,$M283,BL$13))))</f>
        <v>0</v>
      </c>
      <c r="BM283" s="215">
        <f ca="1">IF($D283&lt;&gt;"Serviço",0,IF(AND(AUTOEVENTO="Manual",$M283=1),0,IF(OFFSET(CRONOPLE!$F$14,$M283,BM$13)="",10^12,OFFSET(CRONOPLE!$F$14,$M283,BM$13))))</f>
        <v>0</v>
      </c>
      <c r="BN283" s="215">
        <f ca="1">IF($D283&lt;&gt;"Serviço",0,IF(AND(AUTOEVENTO="Manual",$M283=1),0,IF(OFFSET(CRONOPLE!$F$14,$M283,BN$13)="",10^12,OFFSET(CRONOPLE!$F$14,$M283,BN$13))))</f>
        <v>0</v>
      </c>
      <c r="BO283" s="215">
        <f ca="1">IF($D283&lt;&gt;"Serviço",0,IF(AND(AUTOEVENTO="Manual",$M283=1),0,IF(OFFSET(CRONOPLE!$F$14,$M283,BO$13)="",10^12,OFFSET(CRONOPLE!$F$14,$M283,BO$13))))</f>
        <v>0</v>
      </c>
      <c r="BP283" s="215">
        <f ca="1">IF($D283&lt;&gt;"Serviço",0,IF(AND(AUTOEVENTO="Manual",$M283=1),0,IF(OFFSET(CRONOPLE!$F$14,$M283,BP$13)="",10^12,OFFSET(CRONOPLE!$F$14,$M283,BP$13))))</f>
        <v>0</v>
      </c>
      <c r="BQ283" s="215">
        <f ca="1">IF($D283&lt;&gt;"Serviço",0,IF(AND(AUTOEVENTO="Manual",$M283=1),0,IF(OFFSET(CRONOPLE!$F$14,$M283,BQ$13)="",10^12,OFFSET(CRONOPLE!$F$14,$M283,BQ$13))))</f>
        <v>0</v>
      </c>
      <c r="BR283" s="215">
        <f ca="1">IF($D283&lt;&gt;"Serviço",0,IF(AND(AUTOEVENTO="Manual",$M283=1),0,IF(OFFSET(CRONOPLE!$F$14,$M283,BR$13)="",10^12,OFFSET(CRONOPLE!$F$14,$M283,BR$13))))</f>
        <v>0</v>
      </c>
      <c r="BS283" s="215">
        <f ca="1">IF($D283&lt;&gt;"Serviço",0,IF(AND(AUTOEVENTO="Manual",$M283=1),0,IF(OFFSET(CRONOPLE!$F$14,$M283,BS$13)="",10^12,OFFSET(CRONOPLE!$F$14,$M283,BS$13))))</f>
        <v>0</v>
      </c>
      <c r="BT283" s="215">
        <f ca="1">IF($D283&lt;&gt;"Serviço",0,IF(AND(AUTOEVENTO="Manual",$M283=1),0,IF(OFFSET(CRONOPLE!$F$14,$M283,BT$13)="",10^12,OFFSET(CRONOPLE!$F$14,$M283,BT$13))))</f>
        <v>0</v>
      </c>
      <c r="BV283" s="216">
        <f ca="1">IF($D283&lt;&gt;"Serviço",0,IF(OR(AND(AUTOEVENTO="Manual",$M283=1),$M283&gt;(ROW(PLE.lastrow)-ROW(PLE.firstrow))),0,IF(OFFSET(PLE!$G$14,$M283,BV$13)="",10^12,OFFSET(PLE!$G$14,$M283,BV$13))))</f>
        <v>0</v>
      </c>
      <c r="BW283" s="216">
        <f ca="1">IF($D283&lt;&gt;"Serviço",0,IF(OR(AND(AUTOEVENTO="Manual",$M283=1),$M283&gt;(ROW(PLE.lastrow)-ROW(PLE.firstrow))),0,IF(OFFSET(PLE!$G$14,$M283,BW$13)="",10^12,OFFSET(PLE!$G$14,$M283,BW$13))))</f>
        <v>0</v>
      </c>
      <c r="BX283" s="216">
        <f ca="1">IF($D283&lt;&gt;"Serviço",0,IF(OR(AND(AUTOEVENTO="Manual",$M283=1),$M283&gt;(ROW(PLE.lastrow)-ROW(PLE.firstrow))),0,IF(OFFSET(PLE!$G$14,$M283,BX$13)="",10^12,OFFSET(PLE!$G$14,$M283,BX$13))))</f>
        <v>0</v>
      </c>
      <c r="BY283" s="216">
        <f ca="1">IF($D283&lt;&gt;"Serviço",0,IF(OR(AND(AUTOEVENTO="Manual",$M283=1),$M283&gt;(ROW(PLE.lastrow)-ROW(PLE.firstrow))),0,IF(OFFSET(PLE!$G$14,$M283,BY$13)="",10^12,OFFSET(PLE!$G$14,$M283,BY$13))))</f>
        <v>0</v>
      </c>
      <c r="BZ283" s="216">
        <f ca="1">IF($D283&lt;&gt;"Serviço",0,IF(OR(AND(AUTOEVENTO="Manual",$M283=1),$M283&gt;(ROW(PLE.lastrow)-ROW(PLE.firstrow))),0,IF(OFFSET(PLE!$G$14,$M283,BZ$13)="",10^12,OFFSET(PLE!$G$14,$M283,BZ$13))))</f>
        <v>0</v>
      </c>
      <c r="CA283" s="216">
        <f ca="1">IF($D283&lt;&gt;"Serviço",0,IF(OR(AND(AUTOEVENTO="Manual",$M283=1),$M283&gt;(ROW(PLE.lastrow)-ROW(PLE.firstrow))),0,IF(OFFSET(PLE!$G$14,$M283,CA$13)="",10^12,OFFSET(PLE!$G$14,$M283,CA$13))))</f>
        <v>0</v>
      </c>
      <c r="CB283" s="216">
        <f ca="1">IF($D283&lt;&gt;"Serviço",0,IF(OR(AND(AUTOEVENTO="Manual",$M283=1),$M283&gt;(ROW(PLE.lastrow)-ROW(PLE.firstrow))),0,IF(OFFSET(PLE!$G$14,$M283,CB$13)="",10^12,OFFSET(PLE!$G$14,$M283,CB$13))))</f>
        <v>0</v>
      </c>
      <c r="CC283" s="216">
        <f ca="1">IF($D283&lt;&gt;"Serviço",0,IF(OR(AND(AUTOEVENTO="Manual",$M283=1),$M283&gt;(ROW(PLE.lastrow)-ROW(PLE.firstrow))),0,IF(OFFSET(PLE!$G$14,$M283,CC$13)="",10^12,OFFSET(PLE!$G$14,$M283,CC$13))))</f>
        <v>0</v>
      </c>
      <c r="CD283" s="216">
        <f ca="1">IF($D283&lt;&gt;"Serviço",0,IF(OR(AND(AUTOEVENTO="Manual",$M283=1),$M283&gt;(ROW(PLE.lastrow)-ROW(PLE.firstrow))),0,IF(OFFSET(PLE!$G$14,$M283,CD$13)="",10^12,OFFSET(PLE!$G$14,$M283,CD$13))))</f>
        <v>0</v>
      </c>
      <c r="CE283" s="216">
        <f ca="1">IF($D283&lt;&gt;"Serviço",0,IF(OR(AND(AUTOEVENTO="Manual",$M283=1),$M283&gt;(ROW(PLE.lastrow)-ROW(PLE.firstrow))),0,IF(OFFSET(PLE!$G$14,$M283,CE$13)="",10^12,OFFSET(PLE!$G$14,$M283,CE$13))))</f>
        <v>0</v>
      </c>
      <c r="CF283" s="216">
        <f ca="1">IF($D283&lt;&gt;"Serviço",0,IF(OR(AND(AUTOEVENTO="Manual",$M283=1),$M283&gt;(ROW(PLE.lastrow)-ROW(PLE.firstrow))),0,IF(OFFSET(PLE!$G$14,$M283,CF$13)="",10^12,OFFSET(PLE!$G$14,$M283,CF$13))))</f>
        <v>0</v>
      </c>
      <c r="CG283" s="216">
        <f ca="1">IF($D283&lt;&gt;"Serviço",0,IF(OR(AND(AUTOEVENTO="Manual",$M283=1),$M283&gt;(ROW(PLE.lastrow)-ROW(PLE.firstrow))),0,IF(OFFSET(PLE!$G$14,$M283,CG$13)="",10^12,OFFSET(PLE!$G$14,$M283,CG$13))))</f>
        <v>0</v>
      </c>
      <c r="CH283" s="216">
        <f ca="1">IF($D283&lt;&gt;"Serviço",0,IF(OR(AND(AUTOEVENTO="Manual",$M283=1),$M283&gt;(ROW(PLE.lastrow)-ROW(PLE.firstrow))),0,IF(OFFSET(PLE!$G$14,$M283,CH$13)="",10^12,OFFSET(PLE!$G$14,$M283,CH$13))))</f>
        <v>0</v>
      </c>
      <c r="CI283" s="216">
        <f ca="1">IF($D283&lt;&gt;"Serviço",0,IF(OR(AND(AUTOEVENTO="Manual",$M283=1),$M283&gt;(ROW(PLE.lastrow)-ROW(PLE.firstrow))),0,IF(OFFSET(PLE!$G$14,$M283,CI$13)="",10^12,OFFSET(PLE!$G$14,$M283,CI$13))))</f>
        <v>0</v>
      </c>
      <c r="CJ283" s="216">
        <f ca="1">IF($D283&lt;&gt;"Serviço",0,IF(OR(AND(AUTOEVENTO="Manual",$M283=1),$M283&gt;(ROW(PLE.lastrow)-ROW(PLE.firstrow))),0,IF(OFFSET(PLE!$G$14,$M283,CJ$13)="",10^12,OFFSET(PLE!$G$14,$M283,CJ$13))))</f>
        <v>0</v>
      </c>
      <c r="CK283" s="216">
        <f ca="1">IF($D283&lt;&gt;"Serviço",0,IF(OR(AND(AUTOEVENTO="Manual",$M283=1),$M283&gt;(ROW(PLE.lastrow)-ROW(PLE.firstrow))),0,IF(OFFSET(PLE!$G$14,$M283,CK$13)="",10^12,OFFSET(PLE!$G$14,$M283,CK$13))))</f>
        <v>0</v>
      </c>
      <c r="CL283" s="216">
        <f ca="1">IF($D283&lt;&gt;"Serviço",0,IF(OR(AND(AUTOEVENTO="Manual",$M283=1),$M283&gt;(ROW(PLE.lastrow)-ROW(PLE.firstrow))),0,IF(OFFSET(PLE!$G$14,$M283,CL$13)="",10^12,OFFSET(PLE!$G$14,$M283,CL$13))))</f>
        <v>0</v>
      </c>
      <c r="CM283" s="216">
        <f ca="1">IF($D283&lt;&gt;"Serviço",0,IF(OR(AND(AUTOEVENTO="Manual",$M283=1),$M283&gt;(ROW(PLE.lastrow)-ROW(PLE.firstrow))),0,IF(OFFSET(PLE!$G$14,$M283,CM$13)="",10^12,OFFSET(PLE!$G$14,$M283,CM$13))))</f>
        <v>0</v>
      </c>
    </row>
    <row r="284" spans="1:91" ht="13.2" x14ac:dyDescent="0.25">
      <c r="A284" s="9">
        <f t="shared" ca="1" si="13"/>
        <v>0</v>
      </c>
      <c r="B284" s="9" t="str">
        <f ca="1">OFFSET(ORÇAMENTO!C$15,ROW(B284)-ROW(B$15),0)</f>
        <v>S</v>
      </c>
      <c r="C284" s="9" t="str">
        <f ca="1">OFFSET(ORÇAMENTO!L$15,ROW(C284)-ROW(C$15),0)</f>
        <v/>
      </c>
      <c r="D284" s="145" t="str">
        <f ca="1">OFFSET(ORÇAMENTO!N$15,ROW(D284)-ROW(D$15),0)</f>
        <v>Serviço</v>
      </c>
      <c r="E284" s="205" t="str">
        <f ca="1">OFFSET(ORÇAMENTO!O$15,ROW(E284)-ROW(E$15),0)</f>
        <v>-</v>
      </c>
      <c r="F284" s="206" t="str">
        <f ca="1">OFFSET(ORÇAMENTO!R$15,ROW(F284)-ROW(F$15),0)</f>
        <v>(abra o arquivo 'Referência 05-2024.xls)</v>
      </c>
      <c r="G284" s="207" t="str">
        <f ca="1">IF($D284&lt;&gt;"Serviço","",OFFSET(ORÇAMENTO!S$15,ROW(G284)-ROW(G$15),0))</f>
        <v>-</v>
      </c>
      <c r="H284" s="151">
        <f ca="1">IF($D284&lt;&gt;"Serviço",0,IF(ACOMPANHAMENTO="BM",ROUND(OFFSET(ORÇAMENTO!AJ$15,ROW(H284)-ROW(H$15),0),15-13*ORÇAMENTO!$AF$7),SUMPRODUCT(($Q$12:$AI$12&lt;&gt;"")*ROUND($Q284:$AI284,15-13*ORÇAMENTO!$AF$7))))</f>
        <v>338.11</v>
      </c>
      <c r="I284" s="650"/>
      <c r="K284" s="208"/>
      <c r="L284" s="209" t="s">
        <v>257</v>
      </c>
      <c r="M284" s="210">
        <f ca="1">IF($D284&lt;&gt;"Serviço","",IF(AUTOEVENTO="manual",$A284,IF(ISERROR(MATCH($A284,$A$15:OFFSET($A284,-1,0),0)),MAX($M$15:OFFSET(M284,-1,0))+1,INDEX($M$15:OFFSET(M284,-1,0),MATCH($A284,$A$15:OFFSET($A284,-1,0),0)))))</f>
        <v>0</v>
      </c>
      <c r="N284" s="211" t="str">
        <f ca="1">IF($D284&lt;&gt;"Serviço","",IF(AUTOEVENTO="Manual",IF($A284=0,"&lt;-- defina o número do agrupador",OFFSET(EVENTOS!$D$14,$A284,0)),OFFSET($F$15,$A284,0)))</f>
        <v>&lt;-- defina o número do agrupador</v>
      </c>
      <c r="O284" s="212"/>
      <c r="Q284" s="212"/>
      <c r="R284" s="213"/>
      <c r="S284" s="213"/>
      <c r="T284" s="213"/>
      <c r="U284" s="213"/>
      <c r="V284" s="213"/>
      <c r="W284" s="213"/>
      <c r="X284" s="213"/>
      <c r="Y284" s="213"/>
      <c r="Z284" s="214"/>
      <c r="AA284" s="213"/>
      <c r="AB284" s="213"/>
      <c r="AC284" s="213"/>
      <c r="AD284" s="213"/>
      <c r="AE284" s="213"/>
      <c r="AF284" s="213"/>
      <c r="AG284" s="213"/>
      <c r="AH284" s="214"/>
      <c r="AJ284" s="631">
        <f ca="1">IF(AND($D284="Serviço",AJ$12&lt;&gt;0,$H284&gt;0,OR(AUTOEVENTO&lt;&gt;"manual",$M284&lt;&gt;1)),ROUND(OFFSET($P284,0,AJ$13),15-13*ORÇAMENTO!$AF$7)/$H284*OFFSET(ORÇAMENTO!$X$15,ROW(AJ284)-ROW(AJ$15),0),0)</f>
        <v>0</v>
      </c>
      <c r="AK284" s="632">
        <f ca="1">IF(AND($D284="Serviço",AK$12&lt;&gt;0,$H284&gt;0,OR(AUTOEVENTO&lt;&gt;"manual",$M284&lt;&gt;1)),ROUND(OFFSET($P284,0,AK$13),15-13*ORÇAMENTO!$AF$7)/$H284*OFFSET(ORÇAMENTO!$X$15,ROW(AK284)-ROW(AK$15),0),0)</f>
        <v>0</v>
      </c>
      <c r="AL284" s="632">
        <f ca="1">IF(AND($D284="Serviço",AL$12&lt;&gt;0,$H284&gt;0,OR(AUTOEVENTO&lt;&gt;"manual",$M284&lt;&gt;1)),ROUND(OFFSET($P284,0,AL$13),15-13*ORÇAMENTO!$AF$7)/$H284*OFFSET(ORÇAMENTO!$X$15,ROW(AL284)-ROW(AL$15),0),0)</f>
        <v>0</v>
      </c>
      <c r="AM284" s="632">
        <f ca="1">IF(AND($D284="Serviço",AM$12&lt;&gt;0,$H284&gt;0,OR(AUTOEVENTO&lt;&gt;"manual",$M284&lt;&gt;1)),ROUND(OFFSET($P284,0,AM$13),15-13*ORÇAMENTO!$AF$7)/$H284*OFFSET(ORÇAMENTO!$X$15,ROW(AM284)-ROW(AM$15),0),0)</f>
        <v>0</v>
      </c>
      <c r="AN284" s="632">
        <f ca="1">IF(AND($D284="Serviço",AN$12&lt;&gt;0,$H284&gt;0,OR(AUTOEVENTO&lt;&gt;"manual",$M284&lt;&gt;1)),ROUND(OFFSET($P284,0,AN$13),15-13*ORÇAMENTO!$AF$7)/$H284*OFFSET(ORÇAMENTO!$X$15,ROW(AN284)-ROW(AN$15),0),0)</f>
        <v>0</v>
      </c>
      <c r="AO284" s="632">
        <f ca="1">IF(AND($D284="Serviço",AO$12&lt;&gt;0,$H284&gt;0,OR(AUTOEVENTO&lt;&gt;"manual",$M284&lt;&gt;1)),ROUND(OFFSET($P284,0,AO$13),15-13*ORÇAMENTO!$AF$7)/$H284*OFFSET(ORÇAMENTO!$X$15,ROW(AO284)-ROW(AO$15),0),0)</f>
        <v>0</v>
      </c>
      <c r="AP284" s="632">
        <f ca="1">IF(AND($D284="Serviço",AP$12&lt;&gt;0,$H284&gt;0,OR(AUTOEVENTO&lt;&gt;"manual",$M284&lt;&gt;1)),ROUND(OFFSET($P284,0,AP$13),15-13*ORÇAMENTO!$AF$7)/$H284*OFFSET(ORÇAMENTO!$X$15,ROW(AP284)-ROW(AP$15),0),0)</f>
        <v>0</v>
      </c>
      <c r="AQ284" s="632">
        <f ca="1">IF(AND($D284="Serviço",AQ$12&lt;&gt;0,$H284&gt;0,OR(AUTOEVENTO&lt;&gt;"manual",$M284&lt;&gt;1)),ROUND(OFFSET($P284,0,AQ$13),15-13*ORÇAMENTO!$AF$7)/$H284*OFFSET(ORÇAMENTO!$X$15,ROW(AQ284)-ROW(AQ$15),0),0)</f>
        <v>0</v>
      </c>
      <c r="AR284" s="632">
        <f ca="1">IF(AND($D284="Serviço",AR$12&lt;&gt;0,$H284&gt;0,OR(AUTOEVENTO&lt;&gt;"manual",$M284&lt;&gt;1)),ROUND(OFFSET($P284,0,AR$13),15-13*ORÇAMENTO!$AF$7)/$H284*OFFSET(ORÇAMENTO!$X$15,ROW(AR284)-ROW(AR$15),0),0)</f>
        <v>0</v>
      </c>
      <c r="AS284" s="633">
        <f ca="1">IF(AND($D284="Serviço",AS$12&lt;&gt;0,$H284&gt;0,OR(AUTOEVENTO&lt;&gt;"manual",$M284&lt;&gt;1)),ROUND(OFFSET($P284,0,AS$13),15-13*ORÇAMENTO!$AF$7)/$H284*OFFSET(ORÇAMENTO!$X$15,ROW(AS284)-ROW(AS$15),0),0)</f>
        <v>0</v>
      </c>
      <c r="AT284" s="632">
        <f ca="1">IF(AND($D284="Serviço",AT$12&lt;&gt;0,$H284&gt;0,OR(AUTOEVENTO&lt;&gt;"manual",$M284&lt;&gt;1)),ROUND(OFFSET($P284,0,AT$13),15-13*ORÇAMENTO!$AF$7)/$H284*OFFSET(ORÇAMENTO!$X$15,ROW(AT284)-ROW(AT$15),0),0)</f>
        <v>0</v>
      </c>
      <c r="AU284" s="632">
        <f ca="1">IF(AND($D284="Serviço",AU$12&lt;&gt;0,$H284&gt;0,OR(AUTOEVENTO&lt;&gt;"manual",$M284&lt;&gt;1)),ROUND(OFFSET($P284,0,AU$13),15-13*ORÇAMENTO!$AF$7)/$H284*OFFSET(ORÇAMENTO!$X$15,ROW(AU284)-ROW(AU$15),0),0)</f>
        <v>0</v>
      </c>
      <c r="AV284" s="632">
        <f ca="1">IF(AND($D284="Serviço",AV$12&lt;&gt;0,$H284&gt;0,OR(AUTOEVENTO&lt;&gt;"manual",$M284&lt;&gt;1)),ROUND(OFFSET($P284,0,AV$13),15-13*ORÇAMENTO!$AF$7)/$H284*OFFSET(ORÇAMENTO!$X$15,ROW(AV284)-ROW(AV$15),0),0)</f>
        <v>0</v>
      </c>
      <c r="AW284" s="632">
        <f ca="1">IF(AND($D284="Serviço",AW$12&lt;&gt;0,$H284&gt;0,OR(AUTOEVENTO&lt;&gt;"manual",$M284&lt;&gt;1)),ROUND(OFFSET($P284,0,AW$13),15-13*ORÇAMENTO!$AF$7)/$H284*OFFSET(ORÇAMENTO!$X$15,ROW(AW284)-ROW(AW$15),0),0)</f>
        <v>0</v>
      </c>
      <c r="AX284" s="632">
        <f ca="1">IF(AND($D284="Serviço",AX$12&lt;&gt;0,$H284&gt;0,OR(AUTOEVENTO&lt;&gt;"manual",$M284&lt;&gt;1)),ROUND(OFFSET($P284,0,AX$13),15-13*ORÇAMENTO!$AF$7)/$H284*OFFSET(ORÇAMENTO!$X$15,ROW(AX284)-ROW(AX$15),0),0)</f>
        <v>0</v>
      </c>
      <c r="AY284" s="632">
        <f ca="1">IF(AND($D284="Serviço",AY$12&lt;&gt;0,$H284&gt;0,OR(AUTOEVENTO&lt;&gt;"manual",$M284&lt;&gt;1)),ROUND(OFFSET($P284,0,AY$13),15-13*ORÇAMENTO!$AF$7)/$H284*OFFSET(ORÇAMENTO!$X$15,ROW(AY284)-ROW(AY$15),0),0)</f>
        <v>0</v>
      </c>
      <c r="AZ284" s="632">
        <f ca="1">IF(AND($D284="Serviço",AZ$12&lt;&gt;0,$H284&gt;0,OR(AUTOEVENTO&lt;&gt;"manual",$M284&lt;&gt;1)),ROUND(OFFSET($P284,0,AZ$13),15-13*ORÇAMENTO!$AF$7)/$H284*OFFSET(ORÇAMENTO!$X$15,ROW(AZ284)-ROW(AZ$15),0),0)</f>
        <v>0</v>
      </c>
      <c r="BA284" s="633">
        <f ca="1">IF(AND($D284="Serviço",BA$12&lt;&gt;0,$H284&gt;0,OR(AUTOEVENTO&lt;&gt;"manual",$M284&lt;&gt;1)),ROUND(OFFSET($P284,0,BA$13),15-13*ORÇAMENTO!$AF$7)/$H284*OFFSET(ORÇAMENTO!$X$15,ROW(BA284)-ROW(BA$15),0),0)</f>
        <v>0</v>
      </c>
      <c r="BC284" s="215">
        <f ca="1">IF($D284&lt;&gt;"Serviço",0,IF(AND(AUTOEVENTO="Manual",$M284=1),0,IF(OFFSET(CRONOPLE!$F$14,$M284,BC$13)="",10^12,OFFSET(CRONOPLE!$F$14,$M284,BC$13))))</f>
        <v>1000000000000</v>
      </c>
      <c r="BD284" s="215">
        <f ca="1">IF($D284&lt;&gt;"Serviço",0,IF(AND(AUTOEVENTO="Manual",$M284=1),0,IF(OFFSET(CRONOPLE!$F$14,$M284,BD$13)="",10^12,OFFSET(CRONOPLE!$F$14,$M284,BD$13))))</f>
        <v>1000000000000</v>
      </c>
      <c r="BE284" s="215">
        <f ca="1">IF($D284&lt;&gt;"Serviço",0,IF(AND(AUTOEVENTO="Manual",$M284=1),0,IF(OFFSET(CRONOPLE!$F$14,$M284,BE$13)="",10^12,OFFSET(CRONOPLE!$F$14,$M284,BE$13))))</f>
        <v>1000000000000</v>
      </c>
      <c r="BF284" s="215">
        <f ca="1">IF($D284&lt;&gt;"Serviço",0,IF(AND(AUTOEVENTO="Manual",$M284=1),0,IF(OFFSET(CRONOPLE!$F$14,$M284,BF$13)="",10^12,OFFSET(CRONOPLE!$F$14,$M284,BF$13))))</f>
        <v>1000000000000</v>
      </c>
      <c r="BG284" s="215">
        <f ca="1">IF($D284&lt;&gt;"Serviço",0,IF(AND(AUTOEVENTO="Manual",$M284=1),0,IF(OFFSET(CRONOPLE!$F$14,$M284,BG$13)="",10^12,OFFSET(CRONOPLE!$F$14,$M284,BG$13))))</f>
        <v>1000000000000</v>
      </c>
      <c r="BH284" s="215">
        <f ca="1">IF($D284&lt;&gt;"Serviço",0,IF(AND(AUTOEVENTO="Manual",$M284=1),0,IF(OFFSET(CRONOPLE!$F$14,$M284,BH$13)="",10^12,OFFSET(CRONOPLE!$F$14,$M284,BH$13))))</f>
        <v>1000000000000</v>
      </c>
      <c r="BI284" s="215">
        <f ca="1">IF($D284&lt;&gt;"Serviço",0,IF(AND(AUTOEVENTO="Manual",$M284=1),0,IF(OFFSET(CRONOPLE!$F$14,$M284,BI$13)="",10^12,OFFSET(CRONOPLE!$F$14,$M284,BI$13))))</f>
        <v>1000000000000</v>
      </c>
      <c r="BJ284" s="215">
        <f ca="1">IF($D284&lt;&gt;"Serviço",0,IF(AND(AUTOEVENTO="Manual",$M284=1),0,IF(OFFSET(CRONOPLE!$F$14,$M284,BJ$13)="",10^12,OFFSET(CRONOPLE!$F$14,$M284,BJ$13))))</f>
        <v>1000000000000</v>
      </c>
      <c r="BK284" s="215">
        <f ca="1">IF($D284&lt;&gt;"Serviço",0,IF(AND(AUTOEVENTO="Manual",$M284=1),0,IF(OFFSET(CRONOPLE!$F$14,$M284,BK$13)="",10^12,OFFSET(CRONOPLE!$F$14,$M284,BK$13))))</f>
        <v>1000000000000</v>
      </c>
      <c r="BL284" s="215">
        <f ca="1">IF($D284&lt;&gt;"Serviço",0,IF(AND(AUTOEVENTO="Manual",$M284=1),0,IF(OFFSET(CRONOPLE!$F$14,$M284,BL$13)="",10^12,OFFSET(CRONOPLE!$F$14,$M284,BL$13))))</f>
        <v>1000000000000</v>
      </c>
      <c r="BM284" s="215">
        <f ca="1">IF($D284&lt;&gt;"Serviço",0,IF(AND(AUTOEVENTO="Manual",$M284=1),0,IF(OFFSET(CRONOPLE!$F$14,$M284,BM$13)="",10^12,OFFSET(CRONOPLE!$F$14,$M284,BM$13))))</f>
        <v>1000000000000</v>
      </c>
      <c r="BN284" s="215">
        <f ca="1">IF($D284&lt;&gt;"Serviço",0,IF(AND(AUTOEVENTO="Manual",$M284=1),0,IF(OFFSET(CRONOPLE!$F$14,$M284,BN$13)="",10^12,OFFSET(CRONOPLE!$F$14,$M284,BN$13))))</f>
        <v>1000000000000</v>
      </c>
      <c r="BO284" s="215">
        <f ca="1">IF($D284&lt;&gt;"Serviço",0,IF(AND(AUTOEVENTO="Manual",$M284=1),0,IF(OFFSET(CRONOPLE!$F$14,$M284,BO$13)="",10^12,OFFSET(CRONOPLE!$F$14,$M284,BO$13))))</f>
        <v>1000000000000</v>
      </c>
      <c r="BP284" s="215">
        <f ca="1">IF($D284&lt;&gt;"Serviço",0,IF(AND(AUTOEVENTO="Manual",$M284=1),0,IF(OFFSET(CRONOPLE!$F$14,$M284,BP$13)="",10^12,OFFSET(CRONOPLE!$F$14,$M284,BP$13))))</f>
        <v>1000000000000</v>
      </c>
      <c r="BQ284" s="215">
        <f ca="1">IF($D284&lt;&gt;"Serviço",0,IF(AND(AUTOEVENTO="Manual",$M284=1),0,IF(OFFSET(CRONOPLE!$F$14,$M284,BQ$13)="",10^12,OFFSET(CRONOPLE!$F$14,$M284,BQ$13))))</f>
        <v>1000000000000</v>
      </c>
      <c r="BR284" s="215">
        <f ca="1">IF($D284&lt;&gt;"Serviço",0,IF(AND(AUTOEVENTO="Manual",$M284=1),0,IF(OFFSET(CRONOPLE!$F$14,$M284,BR$13)="",10^12,OFFSET(CRONOPLE!$F$14,$M284,BR$13))))</f>
        <v>1000000000000</v>
      </c>
      <c r="BS284" s="215">
        <f ca="1">IF($D284&lt;&gt;"Serviço",0,IF(AND(AUTOEVENTO="Manual",$M284=1),0,IF(OFFSET(CRONOPLE!$F$14,$M284,BS$13)="",10^12,OFFSET(CRONOPLE!$F$14,$M284,BS$13))))</f>
        <v>1000000000000</v>
      </c>
      <c r="BT284" s="215">
        <f ca="1">IF($D284&lt;&gt;"Serviço",0,IF(AND(AUTOEVENTO="Manual",$M284=1),0,IF(OFFSET(CRONOPLE!$F$14,$M284,BT$13)="",10^12,OFFSET(CRONOPLE!$F$14,$M284,BT$13))))</f>
        <v>1000000000000</v>
      </c>
      <c r="BV284" s="216">
        <f ca="1">IF($D284&lt;&gt;"Serviço",0,IF(OR(AND(AUTOEVENTO="Manual",$M284=1),$M284&gt;(ROW(PLE.lastrow)-ROW(PLE.firstrow))),0,IF(OFFSET(PLE!$G$14,$M284,BV$13)="",10^12,OFFSET(PLE!$G$14,$M284,BV$13))))</f>
        <v>1000000000000</v>
      </c>
      <c r="BW284" s="216">
        <f ca="1">IF($D284&lt;&gt;"Serviço",0,IF(OR(AND(AUTOEVENTO="Manual",$M284=1),$M284&gt;(ROW(PLE.lastrow)-ROW(PLE.firstrow))),0,IF(OFFSET(PLE!$G$14,$M284,BW$13)="",10^12,OFFSET(PLE!$G$14,$M284,BW$13))))</f>
        <v>1000000000000</v>
      </c>
      <c r="BX284" s="216">
        <f ca="1">IF($D284&lt;&gt;"Serviço",0,IF(OR(AND(AUTOEVENTO="Manual",$M284=1),$M284&gt;(ROW(PLE.lastrow)-ROW(PLE.firstrow))),0,IF(OFFSET(PLE!$G$14,$M284,BX$13)="",10^12,OFFSET(PLE!$G$14,$M284,BX$13))))</f>
        <v>1000000000000</v>
      </c>
      <c r="BY284" s="216">
        <f ca="1">IF($D284&lt;&gt;"Serviço",0,IF(OR(AND(AUTOEVENTO="Manual",$M284=1),$M284&gt;(ROW(PLE.lastrow)-ROW(PLE.firstrow))),0,IF(OFFSET(PLE!$G$14,$M284,BY$13)="",10^12,OFFSET(PLE!$G$14,$M284,BY$13))))</f>
        <v>1000000000000</v>
      </c>
      <c r="BZ284" s="216">
        <f ca="1">IF($D284&lt;&gt;"Serviço",0,IF(OR(AND(AUTOEVENTO="Manual",$M284=1),$M284&gt;(ROW(PLE.lastrow)-ROW(PLE.firstrow))),0,IF(OFFSET(PLE!$G$14,$M284,BZ$13)="",10^12,OFFSET(PLE!$G$14,$M284,BZ$13))))</f>
        <v>1000000000000</v>
      </c>
      <c r="CA284" s="216">
        <f ca="1">IF($D284&lt;&gt;"Serviço",0,IF(OR(AND(AUTOEVENTO="Manual",$M284=1),$M284&gt;(ROW(PLE.lastrow)-ROW(PLE.firstrow))),0,IF(OFFSET(PLE!$G$14,$M284,CA$13)="",10^12,OFFSET(PLE!$G$14,$M284,CA$13))))</f>
        <v>1000000000000</v>
      </c>
      <c r="CB284" s="216">
        <f ca="1">IF($D284&lt;&gt;"Serviço",0,IF(OR(AND(AUTOEVENTO="Manual",$M284=1),$M284&gt;(ROW(PLE.lastrow)-ROW(PLE.firstrow))),0,IF(OFFSET(PLE!$G$14,$M284,CB$13)="",10^12,OFFSET(PLE!$G$14,$M284,CB$13))))</f>
        <v>1000000000000</v>
      </c>
      <c r="CC284" s="216">
        <f ca="1">IF($D284&lt;&gt;"Serviço",0,IF(OR(AND(AUTOEVENTO="Manual",$M284=1),$M284&gt;(ROW(PLE.lastrow)-ROW(PLE.firstrow))),0,IF(OFFSET(PLE!$G$14,$M284,CC$13)="",10^12,OFFSET(PLE!$G$14,$M284,CC$13))))</f>
        <v>1000000000000</v>
      </c>
      <c r="CD284" s="216">
        <f ca="1">IF($D284&lt;&gt;"Serviço",0,IF(OR(AND(AUTOEVENTO="Manual",$M284=1),$M284&gt;(ROW(PLE.lastrow)-ROW(PLE.firstrow))),0,IF(OFFSET(PLE!$G$14,$M284,CD$13)="",10^12,OFFSET(PLE!$G$14,$M284,CD$13))))</f>
        <v>1000000000000</v>
      </c>
      <c r="CE284" s="216">
        <f ca="1">IF($D284&lt;&gt;"Serviço",0,IF(OR(AND(AUTOEVENTO="Manual",$M284=1),$M284&gt;(ROW(PLE.lastrow)-ROW(PLE.firstrow))),0,IF(OFFSET(PLE!$G$14,$M284,CE$13)="",10^12,OFFSET(PLE!$G$14,$M284,CE$13))))</f>
        <v>1000000000000</v>
      </c>
      <c r="CF284" s="216">
        <f ca="1">IF($D284&lt;&gt;"Serviço",0,IF(OR(AND(AUTOEVENTO="Manual",$M284=1),$M284&gt;(ROW(PLE.lastrow)-ROW(PLE.firstrow))),0,IF(OFFSET(PLE!$G$14,$M284,CF$13)="",10^12,OFFSET(PLE!$G$14,$M284,CF$13))))</f>
        <v>1000000000000</v>
      </c>
      <c r="CG284" s="216">
        <f ca="1">IF($D284&lt;&gt;"Serviço",0,IF(OR(AND(AUTOEVENTO="Manual",$M284=1),$M284&gt;(ROW(PLE.lastrow)-ROW(PLE.firstrow))),0,IF(OFFSET(PLE!$G$14,$M284,CG$13)="",10^12,OFFSET(PLE!$G$14,$M284,CG$13))))</f>
        <v>1000000000000</v>
      </c>
      <c r="CH284" s="216">
        <f ca="1">IF($D284&lt;&gt;"Serviço",0,IF(OR(AND(AUTOEVENTO="Manual",$M284=1),$M284&gt;(ROW(PLE.lastrow)-ROW(PLE.firstrow))),0,IF(OFFSET(PLE!$G$14,$M284,CH$13)="",10^12,OFFSET(PLE!$G$14,$M284,CH$13))))</f>
        <v>1000000000000</v>
      </c>
      <c r="CI284" s="216">
        <f ca="1">IF($D284&lt;&gt;"Serviço",0,IF(OR(AND(AUTOEVENTO="Manual",$M284=1),$M284&gt;(ROW(PLE.lastrow)-ROW(PLE.firstrow))),0,IF(OFFSET(PLE!$G$14,$M284,CI$13)="",10^12,OFFSET(PLE!$G$14,$M284,CI$13))))</f>
        <v>1000000000000</v>
      </c>
      <c r="CJ284" s="216">
        <f ca="1">IF($D284&lt;&gt;"Serviço",0,IF(OR(AND(AUTOEVENTO="Manual",$M284=1),$M284&gt;(ROW(PLE.lastrow)-ROW(PLE.firstrow))),0,IF(OFFSET(PLE!$G$14,$M284,CJ$13)="",10^12,OFFSET(PLE!$G$14,$M284,CJ$13))))</f>
        <v>1000000000000</v>
      </c>
      <c r="CK284" s="216">
        <f ca="1">IF($D284&lt;&gt;"Serviço",0,IF(OR(AND(AUTOEVENTO="Manual",$M284=1),$M284&gt;(ROW(PLE.lastrow)-ROW(PLE.firstrow))),0,IF(OFFSET(PLE!$G$14,$M284,CK$13)="",10^12,OFFSET(PLE!$G$14,$M284,CK$13))))</f>
        <v>1000000000000</v>
      </c>
      <c r="CL284" s="216">
        <f ca="1">IF($D284&lt;&gt;"Serviço",0,IF(OR(AND(AUTOEVENTO="Manual",$M284=1),$M284&gt;(ROW(PLE.lastrow)-ROW(PLE.firstrow))),0,IF(OFFSET(PLE!$G$14,$M284,CL$13)="",10^12,OFFSET(PLE!$G$14,$M284,CL$13))))</f>
        <v>1000000000000</v>
      </c>
      <c r="CM284" s="216">
        <f ca="1">IF($D284&lt;&gt;"Serviço",0,IF(OR(AND(AUTOEVENTO="Manual",$M284=1),$M284&gt;(ROW(PLE.lastrow)-ROW(PLE.firstrow))),0,IF(OFFSET(PLE!$G$14,$M284,CM$13)="",10^12,OFFSET(PLE!$G$14,$M284,CM$13))))</f>
        <v>1000000000000</v>
      </c>
    </row>
    <row r="285" spans="1:91" ht="13.2" x14ac:dyDescent="0.25">
      <c r="A285" s="9">
        <f t="shared" ca="1" si="13"/>
        <v>0</v>
      </c>
      <c r="B285" s="9" t="str">
        <f ca="1">OFFSET(ORÇAMENTO!C$15,ROW(B285)-ROW(B$15),0)</f>
        <v>S</v>
      </c>
      <c r="C285" s="9" t="str">
        <f ca="1">OFFSET(ORÇAMENTO!L$15,ROW(C285)-ROW(C$15),0)</f>
        <v/>
      </c>
      <c r="D285" s="145" t="str">
        <f ca="1">OFFSET(ORÇAMENTO!N$15,ROW(D285)-ROW(D$15),0)</f>
        <v>Serviço</v>
      </c>
      <c r="E285" s="205" t="str">
        <f ca="1">OFFSET(ORÇAMENTO!O$15,ROW(E285)-ROW(E$15),0)</f>
        <v>-</v>
      </c>
      <c r="F285" s="206" t="str">
        <f ca="1">OFFSET(ORÇAMENTO!R$15,ROW(F285)-ROW(F$15),0)</f>
        <v>(abra o arquivo 'Referência 05-2024.xls)</v>
      </c>
      <c r="G285" s="207" t="str">
        <f ca="1">IF($D285&lt;&gt;"Serviço","",OFFSET(ORÇAMENTO!S$15,ROW(G285)-ROW(G$15),0))</f>
        <v>-</v>
      </c>
      <c r="H285" s="151">
        <f ca="1">IF($D285&lt;&gt;"Serviço",0,IF(ACOMPANHAMENTO="BM",ROUND(OFFSET(ORÇAMENTO!AJ$15,ROW(H285)-ROW(H$15),0),15-13*ORÇAMENTO!$AF$7),SUMPRODUCT(($Q$12:$AI$12&lt;&gt;"")*ROUND($Q285:$AI285,15-13*ORÇAMENTO!$AF$7))))</f>
        <v>895.48</v>
      </c>
      <c r="I285" s="650"/>
      <c r="K285" s="208"/>
      <c r="L285" s="209" t="s">
        <v>257</v>
      </c>
      <c r="M285" s="210">
        <f ca="1">IF($D285&lt;&gt;"Serviço","",IF(AUTOEVENTO="manual",$A285,IF(ISERROR(MATCH($A285,$A$15:OFFSET($A285,-1,0),0)),MAX($M$15:OFFSET(M285,-1,0))+1,INDEX($M$15:OFFSET(M285,-1,0),MATCH($A285,$A$15:OFFSET($A285,-1,0),0)))))</f>
        <v>0</v>
      </c>
      <c r="N285" s="211" t="str">
        <f ca="1">IF($D285&lt;&gt;"Serviço","",IF(AUTOEVENTO="Manual",IF($A285=0,"&lt;-- defina o número do agrupador",OFFSET(EVENTOS!$D$14,$A285,0)),OFFSET($F$15,$A285,0)))</f>
        <v>&lt;-- defina o número do agrupador</v>
      </c>
      <c r="O285" s="212"/>
      <c r="Q285" s="212"/>
      <c r="R285" s="213"/>
      <c r="S285" s="213"/>
      <c r="T285" s="213"/>
      <c r="U285" s="213"/>
      <c r="V285" s="213"/>
      <c r="W285" s="213"/>
      <c r="X285" s="213"/>
      <c r="Y285" s="213"/>
      <c r="Z285" s="214"/>
      <c r="AA285" s="213"/>
      <c r="AB285" s="213"/>
      <c r="AC285" s="213"/>
      <c r="AD285" s="213"/>
      <c r="AE285" s="213"/>
      <c r="AF285" s="213"/>
      <c r="AG285" s="213"/>
      <c r="AH285" s="214"/>
      <c r="AJ285" s="631">
        <f ca="1">IF(AND($D285="Serviço",AJ$12&lt;&gt;0,$H285&gt;0,OR(AUTOEVENTO&lt;&gt;"manual",$M285&lt;&gt;1)),ROUND(OFFSET($P285,0,AJ$13),15-13*ORÇAMENTO!$AF$7)/$H285*OFFSET(ORÇAMENTO!$X$15,ROW(AJ285)-ROW(AJ$15),0),0)</f>
        <v>0</v>
      </c>
      <c r="AK285" s="632">
        <f ca="1">IF(AND($D285="Serviço",AK$12&lt;&gt;0,$H285&gt;0,OR(AUTOEVENTO&lt;&gt;"manual",$M285&lt;&gt;1)),ROUND(OFFSET($P285,0,AK$13),15-13*ORÇAMENTO!$AF$7)/$H285*OFFSET(ORÇAMENTO!$X$15,ROW(AK285)-ROW(AK$15),0),0)</f>
        <v>0</v>
      </c>
      <c r="AL285" s="632">
        <f ca="1">IF(AND($D285="Serviço",AL$12&lt;&gt;0,$H285&gt;0,OR(AUTOEVENTO&lt;&gt;"manual",$M285&lt;&gt;1)),ROUND(OFFSET($P285,0,AL$13),15-13*ORÇAMENTO!$AF$7)/$H285*OFFSET(ORÇAMENTO!$X$15,ROW(AL285)-ROW(AL$15),0),0)</f>
        <v>0</v>
      </c>
      <c r="AM285" s="632">
        <f ca="1">IF(AND($D285="Serviço",AM$12&lt;&gt;0,$H285&gt;0,OR(AUTOEVENTO&lt;&gt;"manual",$M285&lt;&gt;1)),ROUND(OFFSET($P285,0,AM$13),15-13*ORÇAMENTO!$AF$7)/$H285*OFFSET(ORÇAMENTO!$X$15,ROW(AM285)-ROW(AM$15),0),0)</f>
        <v>0</v>
      </c>
      <c r="AN285" s="632">
        <f ca="1">IF(AND($D285="Serviço",AN$12&lt;&gt;0,$H285&gt;0,OR(AUTOEVENTO&lt;&gt;"manual",$M285&lt;&gt;1)),ROUND(OFFSET($P285,0,AN$13),15-13*ORÇAMENTO!$AF$7)/$H285*OFFSET(ORÇAMENTO!$X$15,ROW(AN285)-ROW(AN$15),0),0)</f>
        <v>0</v>
      </c>
      <c r="AO285" s="632">
        <f ca="1">IF(AND($D285="Serviço",AO$12&lt;&gt;0,$H285&gt;0,OR(AUTOEVENTO&lt;&gt;"manual",$M285&lt;&gt;1)),ROUND(OFFSET($P285,0,AO$13),15-13*ORÇAMENTO!$AF$7)/$H285*OFFSET(ORÇAMENTO!$X$15,ROW(AO285)-ROW(AO$15),0),0)</f>
        <v>0</v>
      </c>
      <c r="AP285" s="632">
        <f ca="1">IF(AND($D285="Serviço",AP$12&lt;&gt;0,$H285&gt;0,OR(AUTOEVENTO&lt;&gt;"manual",$M285&lt;&gt;1)),ROUND(OFFSET($P285,0,AP$13),15-13*ORÇAMENTO!$AF$7)/$H285*OFFSET(ORÇAMENTO!$X$15,ROW(AP285)-ROW(AP$15),0),0)</f>
        <v>0</v>
      </c>
      <c r="AQ285" s="632">
        <f ca="1">IF(AND($D285="Serviço",AQ$12&lt;&gt;0,$H285&gt;0,OR(AUTOEVENTO&lt;&gt;"manual",$M285&lt;&gt;1)),ROUND(OFFSET($P285,0,AQ$13),15-13*ORÇAMENTO!$AF$7)/$H285*OFFSET(ORÇAMENTO!$X$15,ROW(AQ285)-ROW(AQ$15),0),0)</f>
        <v>0</v>
      </c>
      <c r="AR285" s="632">
        <f ca="1">IF(AND($D285="Serviço",AR$12&lt;&gt;0,$H285&gt;0,OR(AUTOEVENTO&lt;&gt;"manual",$M285&lt;&gt;1)),ROUND(OFFSET($P285,0,AR$13),15-13*ORÇAMENTO!$AF$7)/$H285*OFFSET(ORÇAMENTO!$X$15,ROW(AR285)-ROW(AR$15),0),0)</f>
        <v>0</v>
      </c>
      <c r="AS285" s="633">
        <f ca="1">IF(AND($D285="Serviço",AS$12&lt;&gt;0,$H285&gt;0,OR(AUTOEVENTO&lt;&gt;"manual",$M285&lt;&gt;1)),ROUND(OFFSET($P285,0,AS$13),15-13*ORÇAMENTO!$AF$7)/$H285*OFFSET(ORÇAMENTO!$X$15,ROW(AS285)-ROW(AS$15),0),0)</f>
        <v>0</v>
      </c>
      <c r="AT285" s="632">
        <f ca="1">IF(AND($D285="Serviço",AT$12&lt;&gt;0,$H285&gt;0,OR(AUTOEVENTO&lt;&gt;"manual",$M285&lt;&gt;1)),ROUND(OFFSET($P285,0,AT$13),15-13*ORÇAMENTO!$AF$7)/$H285*OFFSET(ORÇAMENTO!$X$15,ROW(AT285)-ROW(AT$15),0),0)</f>
        <v>0</v>
      </c>
      <c r="AU285" s="632">
        <f ca="1">IF(AND($D285="Serviço",AU$12&lt;&gt;0,$H285&gt;0,OR(AUTOEVENTO&lt;&gt;"manual",$M285&lt;&gt;1)),ROUND(OFFSET($P285,0,AU$13),15-13*ORÇAMENTO!$AF$7)/$H285*OFFSET(ORÇAMENTO!$X$15,ROW(AU285)-ROW(AU$15),0),0)</f>
        <v>0</v>
      </c>
      <c r="AV285" s="632">
        <f ca="1">IF(AND($D285="Serviço",AV$12&lt;&gt;0,$H285&gt;0,OR(AUTOEVENTO&lt;&gt;"manual",$M285&lt;&gt;1)),ROUND(OFFSET($P285,0,AV$13),15-13*ORÇAMENTO!$AF$7)/$H285*OFFSET(ORÇAMENTO!$X$15,ROW(AV285)-ROW(AV$15),0),0)</f>
        <v>0</v>
      </c>
      <c r="AW285" s="632">
        <f ca="1">IF(AND($D285="Serviço",AW$12&lt;&gt;0,$H285&gt;0,OR(AUTOEVENTO&lt;&gt;"manual",$M285&lt;&gt;1)),ROUND(OFFSET($P285,0,AW$13),15-13*ORÇAMENTO!$AF$7)/$H285*OFFSET(ORÇAMENTO!$X$15,ROW(AW285)-ROW(AW$15),0),0)</f>
        <v>0</v>
      </c>
      <c r="AX285" s="632">
        <f ca="1">IF(AND($D285="Serviço",AX$12&lt;&gt;0,$H285&gt;0,OR(AUTOEVENTO&lt;&gt;"manual",$M285&lt;&gt;1)),ROUND(OFFSET($P285,0,AX$13),15-13*ORÇAMENTO!$AF$7)/$H285*OFFSET(ORÇAMENTO!$X$15,ROW(AX285)-ROW(AX$15),0),0)</f>
        <v>0</v>
      </c>
      <c r="AY285" s="632">
        <f ca="1">IF(AND($D285="Serviço",AY$12&lt;&gt;0,$H285&gt;0,OR(AUTOEVENTO&lt;&gt;"manual",$M285&lt;&gt;1)),ROUND(OFFSET($P285,0,AY$13),15-13*ORÇAMENTO!$AF$7)/$H285*OFFSET(ORÇAMENTO!$X$15,ROW(AY285)-ROW(AY$15),0),0)</f>
        <v>0</v>
      </c>
      <c r="AZ285" s="632">
        <f ca="1">IF(AND($D285="Serviço",AZ$12&lt;&gt;0,$H285&gt;0,OR(AUTOEVENTO&lt;&gt;"manual",$M285&lt;&gt;1)),ROUND(OFFSET($P285,0,AZ$13),15-13*ORÇAMENTO!$AF$7)/$H285*OFFSET(ORÇAMENTO!$X$15,ROW(AZ285)-ROW(AZ$15),0),0)</f>
        <v>0</v>
      </c>
      <c r="BA285" s="633">
        <f ca="1">IF(AND($D285="Serviço",BA$12&lt;&gt;0,$H285&gt;0,OR(AUTOEVENTO&lt;&gt;"manual",$M285&lt;&gt;1)),ROUND(OFFSET($P285,0,BA$13),15-13*ORÇAMENTO!$AF$7)/$H285*OFFSET(ORÇAMENTO!$X$15,ROW(BA285)-ROW(BA$15),0),0)</f>
        <v>0</v>
      </c>
      <c r="BC285" s="215">
        <f ca="1">IF($D285&lt;&gt;"Serviço",0,IF(AND(AUTOEVENTO="Manual",$M285=1),0,IF(OFFSET(CRONOPLE!$F$14,$M285,BC$13)="",10^12,OFFSET(CRONOPLE!$F$14,$M285,BC$13))))</f>
        <v>1000000000000</v>
      </c>
      <c r="BD285" s="215">
        <f ca="1">IF($D285&lt;&gt;"Serviço",0,IF(AND(AUTOEVENTO="Manual",$M285=1),0,IF(OFFSET(CRONOPLE!$F$14,$M285,BD$13)="",10^12,OFFSET(CRONOPLE!$F$14,$M285,BD$13))))</f>
        <v>1000000000000</v>
      </c>
      <c r="BE285" s="215">
        <f ca="1">IF($D285&lt;&gt;"Serviço",0,IF(AND(AUTOEVENTO="Manual",$M285=1),0,IF(OFFSET(CRONOPLE!$F$14,$M285,BE$13)="",10^12,OFFSET(CRONOPLE!$F$14,$M285,BE$13))))</f>
        <v>1000000000000</v>
      </c>
      <c r="BF285" s="215">
        <f ca="1">IF($D285&lt;&gt;"Serviço",0,IF(AND(AUTOEVENTO="Manual",$M285=1),0,IF(OFFSET(CRONOPLE!$F$14,$M285,BF$13)="",10^12,OFFSET(CRONOPLE!$F$14,$M285,BF$13))))</f>
        <v>1000000000000</v>
      </c>
      <c r="BG285" s="215">
        <f ca="1">IF($D285&lt;&gt;"Serviço",0,IF(AND(AUTOEVENTO="Manual",$M285=1),0,IF(OFFSET(CRONOPLE!$F$14,$M285,BG$13)="",10^12,OFFSET(CRONOPLE!$F$14,$M285,BG$13))))</f>
        <v>1000000000000</v>
      </c>
      <c r="BH285" s="215">
        <f ca="1">IF($D285&lt;&gt;"Serviço",0,IF(AND(AUTOEVENTO="Manual",$M285=1),0,IF(OFFSET(CRONOPLE!$F$14,$M285,BH$13)="",10^12,OFFSET(CRONOPLE!$F$14,$M285,BH$13))))</f>
        <v>1000000000000</v>
      </c>
      <c r="BI285" s="215">
        <f ca="1">IF($D285&lt;&gt;"Serviço",0,IF(AND(AUTOEVENTO="Manual",$M285=1),0,IF(OFFSET(CRONOPLE!$F$14,$M285,BI$13)="",10^12,OFFSET(CRONOPLE!$F$14,$M285,BI$13))))</f>
        <v>1000000000000</v>
      </c>
      <c r="BJ285" s="215">
        <f ca="1">IF($D285&lt;&gt;"Serviço",0,IF(AND(AUTOEVENTO="Manual",$M285=1),0,IF(OFFSET(CRONOPLE!$F$14,$M285,BJ$13)="",10^12,OFFSET(CRONOPLE!$F$14,$M285,BJ$13))))</f>
        <v>1000000000000</v>
      </c>
      <c r="BK285" s="215">
        <f ca="1">IF($D285&lt;&gt;"Serviço",0,IF(AND(AUTOEVENTO="Manual",$M285=1),0,IF(OFFSET(CRONOPLE!$F$14,$M285,BK$13)="",10^12,OFFSET(CRONOPLE!$F$14,$M285,BK$13))))</f>
        <v>1000000000000</v>
      </c>
      <c r="BL285" s="215">
        <f ca="1">IF($D285&lt;&gt;"Serviço",0,IF(AND(AUTOEVENTO="Manual",$M285=1),0,IF(OFFSET(CRONOPLE!$F$14,$M285,BL$13)="",10^12,OFFSET(CRONOPLE!$F$14,$M285,BL$13))))</f>
        <v>1000000000000</v>
      </c>
      <c r="BM285" s="215">
        <f ca="1">IF($D285&lt;&gt;"Serviço",0,IF(AND(AUTOEVENTO="Manual",$M285=1),0,IF(OFFSET(CRONOPLE!$F$14,$M285,BM$13)="",10^12,OFFSET(CRONOPLE!$F$14,$M285,BM$13))))</f>
        <v>1000000000000</v>
      </c>
      <c r="BN285" s="215">
        <f ca="1">IF($D285&lt;&gt;"Serviço",0,IF(AND(AUTOEVENTO="Manual",$M285=1),0,IF(OFFSET(CRONOPLE!$F$14,$M285,BN$13)="",10^12,OFFSET(CRONOPLE!$F$14,$M285,BN$13))))</f>
        <v>1000000000000</v>
      </c>
      <c r="BO285" s="215">
        <f ca="1">IF($D285&lt;&gt;"Serviço",0,IF(AND(AUTOEVENTO="Manual",$M285=1),0,IF(OFFSET(CRONOPLE!$F$14,$M285,BO$13)="",10^12,OFFSET(CRONOPLE!$F$14,$M285,BO$13))))</f>
        <v>1000000000000</v>
      </c>
      <c r="BP285" s="215">
        <f ca="1">IF($D285&lt;&gt;"Serviço",0,IF(AND(AUTOEVENTO="Manual",$M285=1),0,IF(OFFSET(CRONOPLE!$F$14,$M285,BP$13)="",10^12,OFFSET(CRONOPLE!$F$14,$M285,BP$13))))</f>
        <v>1000000000000</v>
      </c>
      <c r="BQ285" s="215">
        <f ca="1">IF($D285&lt;&gt;"Serviço",0,IF(AND(AUTOEVENTO="Manual",$M285=1),0,IF(OFFSET(CRONOPLE!$F$14,$M285,BQ$13)="",10^12,OFFSET(CRONOPLE!$F$14,$M285,BQ$13))))</f>
        <v>1000000000000</v>
      </c>
      <c r="BR285" s="215">
        <f ca="1">IF($D285&lt;&gt;"Serviço",0,IF(AND(AUTOEVENTO="Manual",$M285=1),0,IF(OFFSET(CRONOPLE!$F$14,$M285,BR$13)="",10^12,OFFSET(CRONOPLE!$F$14,$M285,BR$13))))</f>
        <v>1000000000000</v>
      </c>
      <c r="BS285" s="215">
        <f ca="1">IF($D285&lt;&gt;"Serviço",0,IF(AND(AUTOEVENTO="Manual",$M285=1),0,IF(OFFSET(CRONOPLE!$F$14,$M285,BS$13)="",10^12,OFFSET(CRONOPLE!$F$14,$M285,BS$13))))</f>
        <v>1000000000000</v>
      </c>
      <c r="BT285" s="215">
        <f ca="1">IF($D285&lt;&gt;"Serviço",0,IF(AND(AUTOEVENTO="Manual",$M285=1),0,IF(OFFSET(CRONOPLE!$F$14,$M285,BT$13)="",10^12,OFFSET(CRONOPLE!$F$14,$M285,BT$13))))</f>
        <v>1000000000000</v>
      </c>
      <c r="BV285" s="216">
        <f ca="1">IF($D285&lt;&gt;"Serviço",0,IF(OR(AND(AUTOEVENTO="Manual",$M285=1),$M285&gt;(ROW(PLE.lastrow)-ROW(PLE.firstrow))),0,IF(OFFSET(PLE!$G$14,$M285,BV$13)="",10^12,OFFSET(PLE!$G$14,$M285,BV$13))))</f>
        <v>1000000000000</v>
      </c>
      <c r="BW285" s="216">
        <f ca="1">IF($D285&lt;&gt;"Serviço",0,IF(OR(AND(AUTOEVENTO="Manual",$M285=1),$M285&gt;(ROW(PLE.lastrow)-ROW(PLE.firstrow))),0,IF(OFFSET(PLE!$G$14,$M285,BW$13)="",10^12,OFFSET(PLE!$G$14,$M285,BW$13))))</f>
        <v>1000000000000</v>
      </c>
      <c r="BX285" s="216">
        <f ca="1">IF($D285&lt;&gt;"Serviço",0,IF(OR(AND(AUTOEVENTO="Manual",$M285=1),$M285&gt;(ROW(PLE.lastrow)-ROW(PLE.firstrow))),0,IF(OFFSET(PLE!$G$14,$M285,BX$13)="",10^12,OFFSET(PLE!$G$14,$M285,BX$13))))</f>
        <v>1000000000000</v>
      </c>
      <c r="BY285" s="216">
        <f ca="1">IF($D285&lt;&gt;"Serviço",0,IF(OR(AND(AUTOEVENTO="Manual",$M285=1),$M285&gt;(ROW(PLE.lastrow)-ROW(PLE.firstrow))),0,IF(OFFSET(PLE!$G$14,$M285,BY$13)="",10^12,OFFSET(PLE!$G$14,$M285,BY$13))))</f>
        <v>1000000000000</v>
      </c>
      <c r="BZ285" s="216">
        <f ca="1">IF($D285&lt;&gt;"Serviço",0,IF(OR(AND(AUTOEVENTO="Manual",$M285=1),$M285&gt;(ROW(PLE.lastrow)-ROW(PLE.firstrow))),0,IF(OFFSET(PLE!$G$14,$M285,BZ$13)="",10^12,OFFSET(PLE!$G$14,$M285,BZ$13))))</f>
        <v>1000000000000</v>
      </c>
      <c r="CA285" s="216">
        <f ca="1">IF($D285&lt;&gt;"Serviço",0,IF(OR(AND(AUTOEVENTO="Manual",$M285=1),$M285&gt;(ROW(PLE.lastrow)-ROW(PLE.firstrow))),0,IF(OFFSET(PLE!$G$14,$M285,CA$13)="",10^12,OFFSET(PLE!$G$14,$M285,CA$13))))</f>
        <v>1000000000000</v>
      </c>
      <c r="CB285" s="216">
        <f ca="1">IF($D285&lt;&gt;"Serviço",0,IF(OR(AND(AUTOEVENTO="Manual",$M285=1),$M285&gt;(ROW(PLE.lastrow)-ROW(PLE.firstrow))),0,IF(OFFSET(PLE!$G$14,$M285,CB$13)="",10^12,OFFSET(PLE!$G$14,$M285,CB$13))))</f>
        <v>1000000000000</v>
      </c>
      <c r="CC285" s="216">
        <f ca="1">IF($D285&lt;&gt;"Serviço",0,IF(OR(AND(AUTOEVENTO="Manual",$M285=1),$M285&gt;(ROW(PLE.lastrow)-ROW(PLE.firstrow))),0,IF(OFFSET(PLE!$G$14,$M285,CC$13)="",10^12,OFFSET(PLE!$G$14,$M285,CC$13))))</f>
        <v>1000000000000</v>
      </c>
      <c r="CD285" s="216">
        <f ca="1">IF($D285&lt;&gt;"Serviço",0,IF(OR(AND(AUTOEVENTO="Manual",$M285=1),$M285&gt;(ROW(PLE.lastrow)-ROW(PLE.firstrow))),0,IF(OFFSET(PLE!$G$14,$M285,CD$13)="",10^12,OFFSET(PLE!$G$14,$M285,CD$13))))</f>
        <v>1000000000000</v>
      </c>
      <c r="CE285" s="216">
        <f ca="1">IF($D285&lt;&gt;"Serviço",0,IF(OR(AND(AUTOEVENTO="Manual",$M285=1),$M285&gt;(ROW(PLE.lastrow)-ROW(PLE.firstrow))),0,IF(OFFSET(PLE!$G$14,$M285,CE$13)="",10^12,OFFSET(PLE!$G$14,$M285,CE$13))))</f>
        <v>1000000000000</v>
      </c>
      <c r="CF285" s="216">
        <f ca="1">IF($D285&lt;&gt;"Serviço",0,IF(OR(AND(AUTOEVENTO="Manual",$M285=1),$M285&gt;(ROW(PLE.lastrow)-ROW(PLE.firstrow))),0,IF(OFFSET(PLE!$G$14,$M285,CF$13)="",10^12,OFFSET(PLE!$G$14,$M285,CF$13))))</f>
        <v>1000000000000</v>
      </c>
      <c r="CG285" s="216">
        <f ca="1">IF($D285&lt;&gt;"Serviço",0,IF(OR(AND(AUTOEVENTO="Manual",$M285=1),$M285&gt;(ROW(PLE.lastrow)-ROW(PLE.firstrow))),0,IF(OFFSET(PLE!$G$14,$M285,CG$13)="",10^12,OFFSET(PLE!$G$14,$M285,CG$13))))</f>
        <v>1000000000000</v>
      </c>
      <c r="CH285" s="216">
        <f ca="1">IF($D285&lt;&gt;"Serviço",0,IF(OR(AND(AUTOEVENTO="Manual",$M285=1),$M285&gt;(ROW(PLE.lastrow)-ROW(PLE.firstrow))),0,IF(OFFSET(PLE!$G$14,$M285,CH$13)="",10^12,OFFSET(PLE!$G$14,$M285,CH$13))))</f>
        <v>1000000000000</v>
      </c>
      <c r="CI285" s="216">
        <f ca="1">IF($D285&lt;&gt;"Serviço",0,IF(OR(AND(AUTOEVENTO="Manual",$M285=1),$M285&gt;(ROW(PLE.lastrow)-ROW(PLE.firstrow))),0,IF(OFFSET(PLE!$G$14,$M285,CI$13)="",10^12,OFFSET(PLE!$G$14,$M285,CI$13))))</f>
        <v>1000000000000</v>
      </c>
      <c r="CJ285" s="216">
        <f ca="1">IF($D285&lt;&gt;"Serviço",0,IF(OR(AND(AUTOEVENTO="Manual",$M285=1),$M285&gt;(ROW(PLE.lastrow)-ROW(PLE.firstrow))),0,IF(OFFSET(PLE!$G$14,$M285,CJ$13)="",10^12,OFFSET(PLE!$G$14,$M285,CJ$13))))</f>
        <v>1000000000000</v>
      </c>
      <c r="CK285" s="216">
        <f ca="1">IF($D285&lt;&gt;"Serviço",0,IF(OR(AND(AUTOEVENTO="Manual",$M285=1),$M285&gt;(ROW(PLE.lastrow)-ROW(PLE.firstrow))),0,IF(OFFSET(PLE!$G$14,$M285,CK$13)="",10^12,OFFSET(PLE!$G$14,$M285,CK$13))))</f>
        <v>1000000000000</v>
      </c>
      <c r="CL285" s="216">
        <f ca="1">IF($D285&lt;&gt;"Serviço",0,IF(OR(AND(AUTOEVENTO="Manual",$M285=1),$M285&gt;(ROW(PLE.lastrow)-ROW(PLE.firstrow))),0,IF(OFFSET(PLE!$G$14,$M285,CL$13)="",10^12,OFFSET(PLE!$G$14,$M285,CL$13))))</f>
        <v>1000000000000</v>
      </c>
      <c r="CM285" s="216">
        <f ca="1">IF($D285&lt;&gt;"Serviço",0,IF(OR(AND(AUTOEVENTO="Manual",$M285=1),$M285&gt;(ROW(PLE.lastrow)-ROW(PLE.firstrow))),0,IF(OFFSET(PLE!$G$14,$M285,CM$13)="",10^12,OFFSET(PLE!$G$14,$M285,CM$13))))</f>
        <v>1000000000000</v>
      </c>
    </row>
    <row r="286" spans="1:91" ht="13.2" x14ac:dyDescent="0.25">
      <c r="A286" s="9">
        <f t="shared" ca="1" si="13"/>
        <v>0</v>
      </c>
      <c r="B286" s="9" t="str">
        <f ca="1">OFFSET(ORÇAMENTO!C$15,ROW(B286)-ROW(B$15),0)</f>
        <v>S</v>
      </c>
      <c r="C286" s="9" t="str">
        <f ca="1">OFFSET(ORÇAMENTO!L$15,ROW(C286)-ROW(C$15),0)</f>
        <v/>
      </c>
      <c r="D286" s="145" t="str">
        <f ca="1">OFFSET(ORÇAMENTO!N$15,ROW(D286)-ROW(D$15),0)</f>
        <v>Serviço</v>
      </c>
      <c r="E286" s="205" t="str">
        <f ca="1">OFFSET(ORÇAMENTO!O$15,ROW(E286)-ROW(E$15),0)</f>
        <v>-</v>
      </c>
      <c r="F286" s="206" t="str">
        <f ca="1">OFFSET(ORÇAMENTO!R$15,ROW(F286)-ROW(F$15),0)</f>
        <v>(abra o arquivo 'Referência 05-2024.xls)</v>
      </c>
      <c r="G286" s="207" t="str">
        <f ca="1">IF($D286&lt;&gt;"Serviço","",OFFSET(ORÇAMENTO!S$15,ROW(G286)-ROW(G$15),0))</f>
        <v>-</v>
      </c>
      <c r="H286" s="151">
        <f ca="1">IF($D286&lt;&gt;"Serviço",0,IF(ACOMPANHAMENTO="BM",ROUND(OFFSET(ORÇAMENTO!AJ$15,ROW(H286)-ROW(H$15),0),15-13*ORÇAMENTO!$AF$7),SUMPRODUCT(($Q$12:$AI$12&lt;&gt;"")*ROUND($Q286:$AI286,15-13*ORÇAMENTO!$AF$7))))</f>
        <v>105.93</v>
      </c>
      <c r="I286" s="650"/>
      <c r="K286" s="208"/>
      <c r="L286" s="209" t="s">
        <v>257</v>
      </c>
      <c r="M286" s="210">
        <f ca="1">IF($D286&lt;&gt;"Serviço","",IF(AUTOEVENTO="manual",$A286,IF(ISERROR(MATCH($A286,$A$15:OFFSET($A286,-1,0),0)),MAX($M$15:OFFSET(M286,-1,0))+1,INDEX($M$15:OFFSET(M286,-1,0),MATCH($A286,$A$15:OFFSET($A286,-1,0),0)))))</f>
        <v>0</v>
      </c>
      <c r="N286" s="211" t="str">
        <f ca="1">IF($D286&lt;&gt;"Serviço","",IF(AUTOEVENTO="Manual",IF($A286=0,"&lt;-- defina o número do agrupador",OFFSET(EVENTOS!$D$14,$A286,0)),OFFSET($F$15,$A286,0)))</f>
        <v>&lt;-- defina o número do agrupador</v>
      </c>
      <c r="O286" s="212"/>
      <c r="Q286" s="212"/>
      <c r="R286" s="213"/>
      <c r="S286" s="213"/>
      <c r="T286" s="213"/>
      <c r="U286" s="213"/>
      <c r="V286" s="213"/>
      <c r="W286" s="213"/>
      <c r="X286" s="213"/>
      <c r="Y286" s="213"/>
      <c r="Z286" s="214"/>
      <c r="AA286" s="213"/>
      <c r="AB286" s="213"/>
      <c r="AC286" s="213"/>
      <c r="AD286" s="213"/>
      <c r="AE286" s="213"/>
      <c r="AF286" s="213"/>
      <c r="AG286" s="213"/>
      <c r="AH286" s="214"/>
      <c r="AJ286" s="631">
        <f ca="1">IF(AND($D286="Serviço",AJ$12&lt;&gt;0,$H286&gt;0,OR(AUTOEVENTO&lt;&gt;"manual",$M286&lt;&gt;1)),ROUND(OFFSET($P286,0,AJ$13),15-13*ORÇAMENTO!$AF$7)/$H286*OFFSET(ORÇAMENTO!$X$15,ROW(AJ286)-ROW(AJ$15),0),0)</f>
        <v>0</v>
      </c>
      <c r="AK286" s="632">
        <f ca="1">IF(AND($D286="Serviço",AK$12&lt;&gt;0,$H286&gt;0,OR(AUTOEVENTO&lt;&gt;"manual",$M286&lt;&gt;1)),ROUND(OFFSET($P286,0,AK$13),15-13*ORÇAMENTO!$AF$7)/$H286*OFFSET(ORÇAMENTO!$X$15,ROW(AK286)-ROW(AK$15),0),0)</f>
        <v>0</v>
      </c>
      <c r="AL286" s="632">
        <f ca="1">IF(AND($D286="Serviço",AL$12&lt;&gt;0,$H286&gt;0,OR(AUTOEVENTO&lt;&gt;"manual",$M286&lt;&gt;1)),ROUND(OFFSET($P286,0,AL$13),15-13*ORÇAMENTO!$AF$7)/$H286*OFFSET(ORÇAMENTO!$X$15,ROW(AL286)-ROW(AL$15),0),0)</f>
        <v>0</v>
      </c>
      <c r="AM286" s="632">
        <f ca="1">IF(AND($D286="Serviço",AM$12&lt;&gt;0,$H286&gt;0,OR(AUTOEVENTO&lt;&gt;"manual",$M286&lt;&gt;1)),ROUND(OFFSET($P286,0,AM$13),15-13*ORÇAMENTO!$AF$7)/$H286*OFFSET(ORÇAMENTO!$X$15,ROW(AM286)-ROW(AM$15),0),0)</f>
        <v>0</v>
      </c>
      <c r="AN286" s="632">
        <f ca="1">IF(AND($D286="Serviço",AN$12&lt;&gt;0,$H286&gt;0,OR(AUTOEVENTO&lt;&gt;"manual",$M286&lt;&gt;1)),ROUND(OFFSET($P286,0,AN$13),15-13*ORÇAMENTO!$AF$7)/$H286*OFFSET(ORÇAMENTO!$X$15,ROW(AN286)-ROW(AN$15),0),0)</f>
        <v>0</v>
      </c>
      <c r="AO286" s="632">
        <f ca="1">IF(AND($D286="Serviço",AO$12&lt;&gt;0,$H286&gt;0,OR(AUTOEVENTO&lt;&gt;"manual",$M286&lt;&gt;1)),ROUND(OFFSET($P286,0,AO$13),15-13*ORÇAMENTO!$AF$7)/$H286*OFFSET(ORÇAMENTO!$X$15,ROW(AO286)-ROW(AO$15),0),0)</f>
        <v>0</v>
      </c>
      <c r="AP286" s="632">
        <f ca="1">IF(AND($D286="Serviço",AP$12&lt;&gt;0,$H286&gt;0,OR(AUTOEVENTO&lt;&gt;"manual",$M286&lt;&gt;1)),ROUND(OFFSET($P286,0,AP$13),15-13*ORÇAMENTO!$AF$7)/$H286*OFFSET(ORÇAMENTO!$X$15,ROW(AP286)-ROW(AP$15),0),0)</f>
        <v>0</v>
      </c>
      <c r="AQ286" s="632">
        <f ca="1">IF(AND($D286="Serviço",AQ$12&lt;&gt;0,$H286&gt;0,OR(AUTOEVENTO&lt;&gt;"manual",$M286&lt;&gt;1)),ROUND(OFFSET($P286,0,AQ$13),15-13*ORÇAMENTO!$AF$7)/$H286*OFFSET(ORÇAMENTO!$X$15,ROW(AQ286)-ROW(AQ$15),0),0)</f>
        <v>0</v>
      </c>
      <c r="AR286" s="632">
        <f ca="1">IF(AND($D286="Serviço",AR$12&lt;&gt;0,$H286&gt;0,OR(AUTOEVENTO&lt;&gt;"manual",$M286&lt;&gt;1)),ROUND(OFFSET($P286,0,AR$13),15-13*ORÇAMENTO!$AF$7)/$H286*OFFSET(ORÇAMENTO!$X$15,ROW(AR286)-ROW(AR$15),0),0)</f>
        <v>0</v>
      </c>
      <c r="AS286" s="633">
        <f ca="1">IF(AND($D286="Serviço",AS$12&lt;&gt;0,$H286&gt;0,OR(AUTOEVENTO&lt;&gt;"manual",$M286&lt;&gt;1)),ROUND(OFFSET($P286,0,AS$13),15-13*ORÇAMENTO!$AF$7)/$H286*OFFSET(ORÇAMENTO!$X$15,ROW(AS286)-ROW(AS$15),0),0)</f>
        <v>0</v>
      </c>
      <c r="AT286" s="632">
        <f ca="1">IF(AND($D286="Serviço",AT$12&lt;&gt;0,$H286&gt;0,OR(AUTOEVENTO&lt;&gt;"manual",$M286&lt;&gt;1)),ROUND(OFFSET($P286,0,AT$13),15-13*ORÇAMENTO!$AF$7)/$H286*OFFSET(ORÇAMENTO!$X$15,ROW(AT286)-ROW(AT$15),0),0)</f>
        <v>0</v>
      </c>
      <c r="AU286" s="632">
        <f ca="1">IF(AND($D286="Serviço",AU$12&lt;&gt;0,$H286&gt;0,OR(AUTOEVENTO&lt;&gt;"manual",$M286&lt;&gt;1)),ROUND(OFFSET($P286,0,AU$13),15-13*ORÇAMENTO!$AF$7)/$H286*OFFSET(ORÇAMENTO!$X$15,ROW(AU286)-ROW(AU$15),0),0)</f>
        <v>0</v>
      </c>
      <c r="AV286" s="632">
        <f ca="1">IF(AND($D286="Serviço",AV$12&lt;&gt;0,$H286&gt;0,OR(AUTOEVENTO&lt;&gt;"manual",$M286&lt;&gt;1)),ROUND(OFFSET($P286,0,AV$13),15-13*ORÇAMENTO!$AF$7)/$H286*OFFSET(ORÇAMENTO!$X$15,ROW(AV286)-ROW(AV$15),0),0)</f>
        <v>0</v>
      </c>
      <c r="AW286" s="632">
        <f ca="1">IF(AND($D286="Serviço",AW$12&lt;&gt;0,$H286&gt;0,OR(AUTOEVENTO&lt;&gt;"manual",$M286&lt;&gt;1)),ROUND(OFFSET($P286,0,AW$13),15-13*ORÇAMENTO!$AF$7)/$H286*OFFSET(ORÇAMENTO!$X$15,ROW(AW286)-ROW(AW$15),0),0)</f>
        <v>0</v>
      </c>
      <c r="AX286" s="632">
        <f ca="1">IF(AND($D286="Serviço",AX$12&lt;&gt;0,$H286&gt;0,OR(AUTOEVENTO&lt;&gt;"manual",$M286&lt;&gt;1)),ROUND(OFFSET($P286,0,AX$13),15-13*ORÇAMENTO!$AF$7)/$H286*OFFSET(ORÇAMENTO!$X$15,ROW(AX286)-ROW(AX$15),0),0)</f>
        <v>0</v>
      </c>
      <c r="AY286" s="632">
        <f ca="1">IF(AND($D286="Serviço",AY$12&lt;&gt;0,$H286&gt;0,OR(AUTOEVENTO&lt;&gt;"manual",$M286&lt;&gt;1)),ROUND(OFFSET($P286,0,AY$13),15-13*ORÇAMENTO!$AF$7)/$H286*OFFSET(ORÇAMENTO!$X$15,ROW(AY286)-ROW(AY$15),0),0)</f>
        <v>0</v>
      </c>
      <c r="AZ286" s="632">
        <f ca="1">IF(AND($D286="Serviço",AZ$12&lt;&gt;0,$H286&gt;0,OR(AUTOEVENTO&lt;&gt;"manual",$M286&lt;&gt;1)),ROUND(OFFSET($P286,0,AZ$13),15-13*ORÇAMENTO!$AF$7)/$H286*OFFSET(ORÇAMENTO!$X$15,ROW(AZ286)-ROW(AZ$15),0),0)</f>
        <v>0</v>
      </c>
      <c r="BA286" s="633">
        <f ca="1">IF(AND($D286="Serviço",BA$12&lt;&gt;0,$H286&gt;0,OR(AUTOEVENTO&lt;&gt;"manual",$M286&lt;&gt;1)),ROUND(OFFSET($P286,0,BA$13),15-13*ORÇAMENTO!$AF$7)/$H286*OFFSET(ORÇAMENTO!$X$15,ROW(BA286)-ROW(BA$15),0),0)</f>
        <v>0</v>
      </c>
      <c r="BC286" s="215">
        <f ca="1">IF($D286&lt;&gt;"Serviço",0,IF(AND(AUTOEVENTO="Manual",$M286=1),0,IF(OFFSET(CRONOPLE!$F$14,$M286,BC$13)="",10^12,OFFSET(CRONOPLE!$F$14,$M286,BC$13))))</f>
        <v>1000000000000</v>
      </c>
      <c r="BD286" s="215">
        <f ca="1">IF($D286&lt;&gt;"Serviço",0,IF(AND(AUTOEVENTO="Manual",$M286=1),0,IF(OFFSET(CRONOPLE!$F$14,$M286,BD$13)="",10^12,OFFSET(CRONOPLE!$F$14,$M286,BD$13))))</f>
        <v>1000000000000</v>
      </c>
      <c r="BE286" s="215">
        <f ca="1">IF($D286&lt;&gt;"Serviço",0,IF(AND(AUTOEVENTO="Manual",$M286=1),0,IF(OFFSET(CRONOPLE!$F$14,$M286,BE$13)="",10^12,OFFSET(CRONOPLE!$F$14,$M286,BE$13))))</f>
        <v>1000000000000</v>
      </c>
      <c r="BF286" s="215">
        <f ca="1">IF($D286&lt;&gt;"Serviço",0,IF(AND(AUTOEVENTO="Manual",$M286=1),0,IF(OFFSET(CRONOPLE!$F$14,$M286,BF$13)="",10^12,OFFSET(CRONOPLE!$F$14,$M286,BF$13))))</f>
        <v>1000000000000</v>
      </c>
      <c r="BG286" s="215">
        <f ca="1">IF($D286&lt;&gt;"Serviço",0,IF(AND(AUTOEVENTO="Manual",$M286=1),0,IF(OFFSET(CRONOPLE!$F$14,$M286,BG$13)="",10^12,OFFSET(CRONOPLE!$F$14,$M286,BG$13))))</f>
        <v>1000000000000</v>
      </c>
      <c r="BH286" s="215">
        <f ca="1">IF($D286&lt;&gt;"Serviço",0,IF(AND(AUTOEVENTO="Manual",$M286=1),0,IF(OFFSET(CRONOPLE!$F$14,$M286,BH$13)="",10^12,OFFSET(CRONOPLE!$F$14,$M286,BH$13))))</f>
        <v>1000000000000</v>
      </c>
      <c r="BI286" s="215">
        <f ca="1">IF($D286&lt;&gt;"Serviço",0,IF(AND(AUTOEVENTO="Manual",$M286=1),0,IF(OFFSET(CRONOPLE!$F$14,$M286,BI$13)="",10^12,OFFSET(CRONOPLE!$F$14,$M286,BI$13))))</f>
        <v>1000000000000</v>
      </c>
      <c r="BJ286" s="215">
        <f ca="1">IF($D286&lt;&gt;"Serviço",0,IF(AND(AUTOEVENTO="Manual",$M286=1),0,IF(OFFSET(CRONOPLE!$F$14,$M286,BJ$13)="",10^12,OFFSET(CRONOPLE!$F$14,$M286,BJ$13))))</f>
        <v>1000000000000</v>
      </c>
      <c r="BK286" s="215">
        <f ca="1">IF($D286&lt;&gt;"Serviço",0,IF(AND(AUTOEVENTO="Manual",$M286=1),0,IF(OFFSET(CRONOPLE!$F$14,$M286,BK$13)="",10^12,OFFSET(CRONOPLE!$F$14,$M286,BK$13))))</f>
        <v>1000000000000</v>
      </c>
      <c r="BL286" s="215">
        <f ca="1">IF($D286&lt;&gt;"Serviço",0,IF(AND(AUTOEVENTO="Manual",$M286=1),0,IF(OFFSET(CRONOPLE!$F$14,$M286,BL$13)="",10^12,OFFSET(CRONOPLE!$F$14,$M286,BL$13))))</f>
        <v>1000000000000</v>
      </c>
      <c r="BM286" s="215">
        <f ca="1">IF($D286&lt;&gt;"Serviço",0,IF(AND(AUTOEVENTO="Manual",$M286=1),0,IF(OFFSET(CRONOPLE!$F$14,$M286,BM$13)="",10^12,OFFSET(CRONOPLE!$F$14,$M286,BM$13))))</f>
        <v>1000000000000</v>
      </c>
      <c r="BN286" s="215">
        <f ca="1">IF($D286&lt;&gt;"Serviço",0,IF(AND(AUTOEVENTO="Manual",$M286=1),0,IF(OFFSET(CRONOPLE!$F$14,$M286,BN$13)="",10^12,OFFSET(CRONOPLE!$F$14,$M286,BN$13))))</f>
        <v>1000000000000</v>
      </c>
      <c r="BO286" s="215">
        <f ca="1">IF($D286&lt;&gt;"Serviço",0,IF(AND(AUTOEVENTO="Manual",$M286=1),0,IF(OFFSET(CRONOPLE!$F$14,$M286,BO$13)="",10^12,OFFSET(CRONOPLE!$F$14,$M286,BO$13))))</f>
        <v>1000000000000</v>
      </c>
      <c r="BP286" s="215">
        <f ca="1">IF($D286&lt;&gt;"Serviço",0,IF(AND(AUTOEVENTO="Manual",$M286=1),0,IF(OFFSET(CRONOPLE!$F$14,$M286,BP$13)="",10^12,OFFSET(CRONOPLE!$F$14,$M286,BP$13))))</f>
        <v>1000000000000</v>
      </c>
      <c r="BQ286" s="215">
        <f ca="1">IF($D286&lt;&gt;"Serviço",0,IF(AND(AUTOEVENTO="Manual",$M286=1),0,IF(OFFSET(CRONOPLE!$F$14,$M286,BQ$13)="",10^12,OFFSET(CRONOPLE!$F$14,$M286,BQ$13))))</f>
        <v>1000000000000</v>
      </c>
      <c r="BR286" s="215">
        <f ca="1">IF($D286&lt;&gt;"Serviço",0,IF(AND(AUTOEVENTO="Manual",$M286=1),0,IF(OFFSET(CRONOPLE!$F$14,$M286,BR$13)="",10^12,OFFSET(CRONOPLE!$F$14,$M286,BR$13))))</f>
        <v>1000000000000</v>
      </c>
      <c r="BS286" s="215">
        <f ca="1">IF($D286&lt;&gt;"Serviço",0,IF(AND(AUTOEVENTO="Manual",$M286=1),0,IF(OFFSET(CRONOPLE!$F$14,$M286,BS$13)="",10^12,OFFSET(CRONOPLE!$F$14,$M286,BS$13))))</f>
        <v>1000000000000</v>
      </c>
      <c r="BT286" s="215">
        <f ca="1">IF($D286&lt;&gt;"Serviço",0,IF(AND(AUTOEVENTO="Manual",$M286=1),0,IF(OFFSET(CRONOPLE!$F$14,$M286,BT$13)="",10^12,OFFSET(CRONOPLE!$F$14,$M286,BT$13))))</f>
        <v>1000000000000</v>
      </c>
      <c r="BV286" s="216">
        <f ca="1">IF($D286&lt;&gt;"Serviço",0,IF(OR(AND(AUTOEVENTO="Manual",$M286=1),$M286&gt;(ROW(PLE.lastrow)-ROW(PLE.firstrow))),0,IF(OFFSET(PLE!$G$14,$M286,BV$13)="",10^12,OFFSET(PLE!$G$14,$M286,BV$13))))</f>
        <v>1000000000000</v>
      </c>
      <c r="BW286" s="216">
        <f ca="1">IF($D286&lt;&gt;"Serviço",0,IF(OR(AND(AUTOEVENTO="Manual",$M286=1),$M286&gt;(ROW(PLE.lastrow)-ROW(PLE.firstrow))),0,IF(OFFSET(PLE!$G$14,$M286,BW$13)="",10^12,OFFSET(PLE!$G$14,$M286,BW$13))))</f>
        <v>1000000000000</v>
      </c>
      <c r="BX286" s="216">
        <f ca="1">IF($D286&lt;&gt;"Serviço",0,IF(OR(AND(AUTOEVENTO="Manual",$M286=1),$M286&gt;(ROW(PLE.lastrow)-ROW(PLE.firstrow))),0,IF(OFFSET(PLE!$G$14,$M286,BX$13)="",10^12,OFFSET(PLE!$G$14,$M286,BX$13))))</f>
        <v>1000000000000</v>
      </c>
      <c r="BY286" s="216">
        <f ca="1">IF($D286&lt;&gt;"Serviço",0,IF(OR(AND(AUTOEVENTO="Manual",$M286=1),$M286&gt;(ROW(PLE.lastrow)-ROW(PLE.firstrow))),0,IF(OFFSET(PLE!$G$14,$M286,BY$13)="",10^12,OFFSET(PLE!$G$14,$M286,BY$13))))</f>
        <v>1000000000000</v>
      </c>
      <c r="BZ286" s="216">
        <f ca="1">IF($D286&lt;&gt;"Serviço",0,IF(OR(AND(AUTOEVENTO="Manual",$M286=1),$M286&gt;(ROW(PLE.lastrow)-ROW(PLE.firstrow))),0,IF(OFFSET(PLE!$G$14,$M286,BZ$13)="",10^12,OFFSET(PLE!$G$14,$M286,BZ$13))))</f>
        <v>1000000000000</v>
      </c>
      <c r="CA286" s="216">
        <f ca="1">IF($D286&lt;&gt;"Serviço",0,IF(OR(AND(AUTOEVENTO="Manual",$M286=1),$M286&gt;(ROW(PLE.lastrow)-ROW(PLE.firstrow))),0,IF(OFFSET(PLE!$G$14,$M286,CA$13)="",10^12,OFFSET(PLE!$G$14,$M286,CA$13))))</f>
        <v>1000000000000</v>
      </c>
      <c r="CB286" s="216">
        <f ca="1">IF($D286&lt;&gt;"Serviço",0,IF(OR(AND(AUTOEVENTO="Manual",$M286=1),$M286&gt;(ROW(PLE.lastrow)-ROW(PLE.firstrow))),0,IF(OFFSET(PLE!$G$14,$M286,CB$13)="",10^12,OFFSET(PLE!$G$14,$M286,CB$13))))</f>
        <v>1000000000000</v>
      </c>
      <c r="CC286" s="216">
        <f ca="1">IF($D286&lt;&gt;"Serviço",0,IF(OR(AND(AUTOEVENTO="Manual",$M286=1),$M286&gt;(ROW(PLE.lastrow)-ROW(PLE.firstrow))),0,IF(OFFSET(PLE!$G$14,$M286,CC$13)="",10^12,OFFSET(PLE!$G$14,$M286,CC$13))))</f>
        <v>1000000000000</v>
      </c>
      <c r="CD286" s="216">
        <f ca="1">IF($D286&lt;&gt;"Serviço",0,IF(OR(AND(AUTOEVENTO="Manual",$M286=1),$M286&gt;(ROW(PLE.lastrow)-ROW(PLE.firstrow))),0,IF(OFFSET(PLE!$G$14,$M286,CD$13)="",10^12,OFFSET(PLE!$G$14,$M286,CD$13))))</f>
        <v>1000000000000</v>
      </c>
      <c r="CE286" s="216">
        <f ca="1">IF($D286&lt;&gt;"Serviço",0,IF(OR(AND(AUTOEVENTO="Manual",$M286=1),$M286&gt;(ROW(PLE.lastrow)-ROW(PLE.firstrow))),0,IF(OFFSET(PLE!$G$14,$M286,CE$13)="",10^12,OFFSET(PLE!$G$14,$M286,CE$13))))</f>
        <v>1000000000000</v>
      </c>
      <c r="CF286" s="216">
        <f ca="1">IF($D286&lt;&gt;"Serviço",0,IF(OR(AND(AUTOEVENTO="Manual",$M286=1),$M286&gt;(ROW(PLE.lastrow)-ROW(PLE.firstrow))),0,IF(OFFSET(PLE!$G$14,$M286,CF$13)="",10^12,OFFSET(PLE!$G$14,$M286,CF$13))))</f>
        <v>1000000000000</v>
      </c>
      <c r="CG286" s="216">
        <f ca="1">IF($D286&lt;&gt;"Serviço",0,IF(OR(AND(AUTOEVENTO="Manual",$M286=1),$M286&gt;(ROW(PLE.lastrow)-ROW(PLE.firstrow))),0,IF(OFFSET(PLE!$G$14,$M286,CG$13)="",10^12,OFFSET(PLE!$G$14,$M286,CG$13))))</f>
        <v>1000000000000</v>
      </c>
      <c r="CH286" s="216">
        <f ca="1">IF($D286&lt;&gt;"Serviço",0,IF(OR(AND(AUTOEVENTO="Manual",$M286=1),$M286&gt;(ROW(PLE.lastrow)-ROW(PLE.firstrow))),0,IF(OFFSET(PLE!$G$14,$M286,CH$13)="",10^12,OFFSET(PLE!$G$14,$M286,CH$13))))</f>
        <v>1000000000000</v>
      </c>
      <c r="CI286" s="216">
        <f ca="1">IF($D286&lt;&gt;"Serviço",0,IF(OR(AND(AUTOEVENTO="Manual",$M286=1),$M286&gt;(ROW(PLE.lastrow)-ROW(PLE.firstrow))),0,IF(OFFSET(PLE!$G$14,$M286,CI$13)="",10^12,OFFSET(PLE!$G$14,$M286,CI$13))))</f>
        <v>1000000000000</v>
      </c>
      <c r="CJ286" s="216">
        <f ca="1">IF($D286&lt;&gt;"Serviço",0,IF(OR(AND(AUTOEVENTO="Manual",$M286=1),$M286&gt;(ROW(PLE.lastrow)-ROW(PLE.firstrow))),0,IF(OFFSET(PLE!$G$14,$M286,CJ$13)="",10^12,OFFSET(PLE!$G$14,$M286,CJ$13))))</f>
        <v>1000000000000</v>
      </c>
      <c r="CK286" s="216">
        <f ca="1">IF($D286&lt;&gt;"Serviço",0,IF(OR(AND(AUTOEVENTO="Manual",$M286=1),$M286&gt;(ROW(PLE.lastrow)-ROW(PLE.firstrow))),0,IF(OFFSET(PLE!$G$14,$M286,CK$13)="",10^12,OFFSET(PLE!$G$14,$M286,CK$13))))</f>
        <v>1000000000000</v>
      </c>
      <c r="CL286" s="216">
        <f ca="1">IF($D286&lt;&gt;"Serviço",0,IF(OR(AND(AUTOEVENTO="Manual",$M286=1),$M286&gt;(ROW(PLE.lastrow)-ROW(PLE.firstrow))),0,IF(OFFSET(PLE!$G$14,$M286,CL$13)="",10^12,OFFSET(PLE!$G$14,$M286,CL$13))))</f>
        <v>1000000000000</v>
      </c>
      <c r="CM286" s="216">
        <f ca="1">IF($D286&lt;&gt;"Serviço",0,IF(OR(AND(AUTOEVENTO="Manual",$M286=1),$M286&gt;(ROW(PLE.lastrow)-ROW(PLE.firstrow))),0,IF(OFFSET(PLE!$G$14,$M286,CM$13)="",10^12,OFFSET(PLE!$G$14,$M286,CM$13))))</f>
        <v>1000000000000</v>
      </c>
    </row>
    <row r="287" spans="1:91" ht="13.2" x14ac:dyDescent="0.25">
      <c r="A287" s="9">
        <f t="shared" ca="1" si="13"/>
        <v>0</v>
      </c>
      <c r="B287" s="9" t="str">
        <f ca="1">OFFSET(ORÇAMENTO!C$15,ROW(B287)-ROW(B$15),0)</f>
        <v>S</v>
      </c>
      <c r="C287" s="9" t="str">
        <f ca="1">OFFSET(ORÇAMENTO!L$15,ROW(C287)-ROW(C$15),0)</f>
        <v/>
      </c>
      <c r="D287" s="145" t="str">
        <f ca="1">OFFSET(ORÇAMENTO!N$15,ROW(D287)-ROW(D$15),0)</f>
        <v>Serviço</v>
      </c>
      <c r="E287" s="205" t="str">
        <f ca="1">OFFSET(ORÇAMENTO!O$15,ROW(E287)-ROW(E$15),0)</f>
        <v>-</v>
      </c>
      <c r="F287" s="206" t="str">
        <f ca="1">OFFSET(ORÇAMENTO!R$15,ROW(F287)-ROW(F$15),0)</f>
        <v>(abra o arquivo 'Referência 05-2024.xls)</v>
      </c>
      <c r="G287" s="207" t="str">
        <f ca="1">IF($D287&lt;&gt;"Serviço","",OFFSET(ORÇAMENTO!S$15,ROW(G287)-ROW(G$15),0))</f>
        <v>-</v>
      </c>
      <c r="H287" s="151">
        <f ca="1">IF($D287&lt;&gt;"Serviço",0,IF(ACOMPANHAMENTO="BM",ROUND(OFFSET(ORÇAMENTO!AJ$15,ROW(H287)-ROW(H$15),0),15-13*ORÇAMENTO!$AF$7),SUMPRODUCT(($Q$12:$AI$12&lt;&gt;"")*ROUND($Q287:$AI287,15-13*ORÇAMENTO!$AF$7))))</f>
        <v>484.46</v>
      </c>
      <c r="I287" s="650"/>
      <c r="K287" s="208"/>
      <c r="L287" s="209" t="s">
        <v>257</v>
      </c>
      <c r="M287" s="210">
        <f ca="1">IF($D287&lt;&gt;"Serviço","",IF(AUTOEVENTO="manual",$A287,IF(ISERROR(MATCH($A287,$A$15:OFFSET($A287,-1,0),0)),MAX($M$15:OFFSET(M287,-1,0))+1,INDEX($M$15:OFFSET(M287,-1,0),MATCH($A287,$A$15:OFFSET($A287,-1,0),0)))))</f>
        <v>0</v>
      </c>
      <c r="N287" s="211" t="str">
        <f ca="1">IF($D287&lt;&gt;"Serviço","",IF(AUTOEVENTO="Manual",IF($A287=0,"&lt;-- defina o número do agrupador",OFFSET(EVENTOS!$D$14,$A287,0)),OFFSET($F$15,$A287,0)))</f>
        <v>&lt;-- defina o número do agrupador</v>
      </c>
      <c r="O287" s="212"/>
      <c r="Q287" s="212"/>
      <c r="R287" s="213"/>
      <c r="S287" s="213"/>
      <c r="T287" s="213"/>
      <c r="U287" s="213"/>
      <c r="V287" s="213"/>
      <c r="W287" s="213"/>
      <c r="X287" s="213"/>
      <c r="Y287" s="213"/>
      <c r="Z287" s="214"/>
      <c r="AA287" s="213"/>
      <c r="AB287" s="213"/>
      <c r="AC287" s="213"/>
      <c r="AD287" s="213"/>
      <c r="AE287" s="213"/>
      <c r="AF287" s="213"/>
      <c r="AG287" s="213"/>
      <c r="AH287" s="214"/>
      <c r="AJ287" s="631">
        <f ca="1">IF(AND($D287="Serviço",AJ$12&lt;&gt;0,$H287&gt;0,OR(AUTOEVENTO&lt;&gt;"manual",$M287&lt;&gt;1)),ROUND(OFFSET($P287,0,AJ$13),15-13*ORÇAMENTO!$AF$7)/$H287*OFFSET(ORÇAMENTO!$X$15,ROW(AJ287)-ROW(AJ$15),0),0)</f>
        <v>0</v>
      </c>
      <c r="AK287" s="632">
        <f ca="1">IF(AND($D287="Serviço",AK$12&lt;&gt;0,$H287&gt;0,OR(AUTOEVENTO&lt;&gt;"manual",$M287&lt;&gt;1)),ROUND(OFFSET($P287,0,AK$13),15-13*ORÇAMENTO!$AF$7)/$H287*OFFSET(ORÇAMENTO!$X$15,ROW(AK287)-ROW(AK$15),0),0)</f>
        <v>0</v>
      </c>
      <c r="AL287" s="632">
        <f ca="1">IF(AND($D287="Serviço",AL$12&lt;&gt;0,$H287&gt;0,OR(AUTOEVENTO&lt;&gt;"manual",$M287&lt;&gt;1)),ROUND(OFFSET($P287,0,AL$13),15-13*ORÇAMENTO!$AF$7)/$H287*OFFSET(ORÇAMENTO!$X$15,ROW(AL287)-ROW(AL$15),0),0)</f>
        <v>0</v>
      </c>
      <c r="AM287" s="632">
        <f ca="1">IF(AND($D287="Serviço",AM$12&lt;&gt;0,$H287&gt;0,OR(AUTOEVENTO&lt;&gt;"manual",$M287&lt;&gt;1)),ROUND(OFFSET($P287,0,AM$13),15-13*ORÇAMENTO!$AF$7)/$H287*OFFSET(ORÇAMENTO!$X$15,ROW(AM287)-ROW(AM$15),0),0)</f>
        <v>0</v>
      </c>
      <c r="AN287" s="632">
        <f ca="1">IF(AND($D287="Serviço",AN$12&lt;&gt;0,$H287&gt;0,OR(AUTOEVENTO&lt;&gt;"manual",$M287&lt;&gt;1)),ROUND(OFFSET($P287,0,AN$13),15-13*ORÇAMENTO!$AF$7)/$H287*OFFSET(ORÇAMENTO!$X$15,ROW(AN287)-ROW(AN$15),0),0)</f>
        <v>0</v>
      </c>
      <c r="AO287" s="632">
        <f ca="1">IF(AND($D287="Serviço",AO$12&lt;&gt;0,$H287&gt;0,OR(AUTOEVENTO&lt;&gt;"manual",$M287&lt;&gt;1)),ROUND(OFFSET($P287,0,AO$13),15-13*ORÇAMENTO!$AF$7)/$H287*OFFSET(ORÇAMENTO!$X$15,ROW(AO287)-ROW(AO$15),0),0)</f>
        <v>0</v>
      </c>
      <c r="AP287" s="632">
        <f ca="1">IF(AND($D287="Serviço",AP$12&lt;&gt;0,$H287&gt;0,OR(AUTOEVENTO&lt;&gt;"manual",$M287&lt;&gt;1)),ROUND(OFFSET($P287,0,AP$13),15-13*ORÇAMENTO!$AF$7)/$H287*OFFSET(ORÇAMENTO!$X$15,ROW(AP287)-ROW(AP$15),0),0)</f>
        <v>0</v>
      </c>
      <c r="AQ287" s="632">
        <f ca="1">IF(AND($D287="Serviço",AQ$12&lt;&gt;0,$H287&gt;0,OR(AUTOEVENTO&lt;&gt;"manual",$M287&lt;&gt;1)),ROUND(OFFSET($P287,0,AQ$13),15-13*ORÇAMENTO!$AF$7)/$H287*OFFSET(ORÇAMENTO!$X$15,ROW(AQ287)-ROW(AQ$15),0),0)</f>
        <v>0</v>
      </c>
      <c r="AR287" s="632">
        <f ca="1">IF(AND($D287="Serviço",AR$12&lt;&gt;0,$H287&gt;0,OR(AUTOEVENTO&lt;&gt;"manual",$M287&lt;&gt;1)),ROUND(OFFSET($P287,0,AR$13),15-13*ORÇAMENTO!$AF$7)/$H287*OFFSET(ORÇAMENTO!$X$15,ROW(AR287)-ROW(AR$15),0),0)</f>
        <v>0</v>
      </c>
      <c r="AS287" s="633">
        <f ca="1">IF(AND($D287="Serviço",AS$12&lt;&gt;0,$H287&gt;0,OR(AUTOEVENTO&lt;&gt;"manual",$M287&lt;&gt;1)),ROUND(OFFSET($P287,0,AS$13),15-13*ORÇAMENTO!$AF$7)/$H287*OFFSET(ORÇAMENTO!$X$15,ROW(AS287)-ROW(AS$15),0),0)</f>
        <v>0</v>
      </c>
      <c r="AT287" s="632">
        <f ca="1">IF(AND($D287="Serviço",AT$12&lt;&gt;0,$H287&gt;0,OR(AUTOEVENTO&lt;&gt;"manual",$M287&lt;&gt;1)),ROUND(OFFSET($P287,0,AT$13),15-13*ORÇAMENTO!$AF$7)/$H287*OFFSET(ORÇAMENTO!$X$15,ROW(AT287)-ROW(AT$15),0),0)</f>
        <v>0</v>
      </c>
      <c r="AU287" s="632">
        <f ca="1">IF(AND($D287="Serviço",AU$12&lt;&gt;0,$H287&gt;0,OR(AUTOEVENTO&lt;&gt;"manual",$M287&lt;&gt;1)),ROUND(OFFSET($P287,0,AU$13),15-13*ORÇAMENTO!$AF$7)/$H287*OFFSET(ORÇAMENTO!$X$15,ROW(AU287)-ROW(AU$15),0),0)</f>
        <v>0</v>
      </c>
      <c r="AV287" s="632">
        <f ca="1">IF(AND($D287="Serviço",AV$12&lt;&gt;0,$H287&gt;0,OR(AUTOEVENTO&lt;&gt;"manual",$M287&lt;&gt;1)),ROUND(OFFSET($P287,0,AV$13),15-13*ORÇAMENTO!$AF$7)/$H287*OFFSET(ORÇAMENTO!$X$15,ROW(AV287)-ROW(AV$15),0),0)</f>
        <v>0</v>
      </c>
      <c r="AW287" s="632">
        <f ca="1">IF(AND($D287="Serviço",AW$12&lt;&gt;0,$H287&gt;0,OR(AUTOEVENTO&lt;&gt;"manual",$M287&lt;&gt;1)),ROUND(OFFSET($P287,0,AW$13),15-13*ORÇAMENTO!$AF$7)/$H287*OFFSET(ORÇAMENTO!$X$15,ROW(AW287)-ROW(AW$15),0),0)</f>
        <v>0</v>
      </c>
      <c r="AX287" s="632">
        <f ca="1">IF(AND($D287="Serviço",AX$12&lt;&gt;0,$H287&gt;0,OR(AUTOEVENTO&lt;&gt;"manual",$M287&lt;&gt;1)),ROUND(OFFSET($P287,0,AX$13),15-13*ORÇAMENTO!$AF$7)/$H287*OFFSET(ORÇAMENTO!$X$15,ROW(AX287)-ROW(AX$15),0),0)</f>
        <v>0</v>
      </c>
      <c r="AY287" s="632">
        <f ca="1">IF(AND($D287="Serviço",AY$12&lt;&gt;0,$H287&gt;0,OR(AUTOEVENTO&lt;&gt;"manual",$M287&lt;&gt;1)),ROUND(OFFSET($P287,0,AY$13),15-13*ORÇAMENTO!$AF$7)/$H287*OFFSET(ORÇAMENTO!$X$15,ROW(AY287)-ROW(AY$15),0),0)</f>
        <v>0</v>
      </c>
      <c r="AZ287" s="632">
        <f ca="1">IF(AND($D287="Serviço",AZ$12&lt;&gt;0,$H287&gt;0,OR(AUTOEVENTO&lt;&gt;"manual",$M287&lt;&gt;1)),ROUND(OFFSET($P287,0,AZ$13),15-13*ORÇAMENTO!$AF$7)/$H287*OFFSET(ORÇAMENTO!$X$15,ROW(AZ287)-ROW(AZ$15),0),0)</f>
        <v>0</v>
      </c>
      <c r="BA287" s="633">
        <f ca="1">IF(AND($D287="Serviço",BA$12&lt;&gt;0,$H287&gt;0,OR(AUTOEVENTO&lt;&gt;"manual",$M287&lt;&gt;1)),ROUND(OFFSET($P287,0,BA$13),15-13*ORÇAMENTO!$AF$7)/$H287*OFFSET(ORÇAMENTO!$X$15,ROW(BA287)-ROW(BA$15),0),0)</f>
        <v>0</v>
      </c>
      <c r="BC287" s="215">
        <f ca="1">IF($D287&lt;&gt;"Serviço",0,IF(AND(AUTOEVENTO="Manual",$M287=1),0,IF(OFFSET(CRONOPLE!$F$14,$M287,BC$13)="",10^12,OFFSET(CRONOPLE!$F$14,$M287,BC$13))))</f>
        <v>1000000000000</v>
      </c>
      <c r="BD287" s="215">
        <f ca="1">IF($D287&lt;&gt;"Serviço",0,IF(AND(AUTOEVENTO="Manual",$M287=1),0,IF(OFFSET(CRONOPLE!$F$14,$M287,BD$13)="",10^12,OFFSET(CRONOPLE!$F$14,$M287,BD$13))))</f>
        <v>1000000000000</v>
      </c>
      <c r="BE287" s="215">
        <f ca="1">IF($D287&lt;&gt;"Serviço",0,IF(AND(AUTOEVENTO="Manual",$M287=1),0,IF(OFFSET(CRONOPLE!$F$14,$M287,BE$13)="",10^12,OFFSET(CRONOPLE!$F$14,$M287,BE$13))))</f>
        <v>1000000000000</v>
      </c>
      <c r="BF287" s="215">
        <f ca="1">IF($D287&lt;&gt;"Serviço",0,IF(AND(AUTOEVENTO="Manual",$M287=1),0,IF(OFFSET(CRONOPLE!$F$14,$M287,BF$13)="",10^12,OFFSET(CRONOPLE!$F$14,$M287,BF$13))))</f>
        <v>1000000000000</v>
      </c>
      <c r="BG287" s="215">
        <f ca="1">IF($D287&lt;&gt;"Serviço",0,IF(AND(AUTOEVENTO="Manual",$M287=1),0,IF(OFFSET(CRONOPLE!$F$14,$M287,BG$13)="",10^12,OFFSET(CRONOPLE!$F$14,$M287,BG$13))))</f>
        <v>1000000000000</v>
      </c>
      <c r="BH287" s="215">
        <f ca="1">IF($D287&lt;&gt;"Serviço",0,IF(AND(AUTOEVENTO="Manual",$M287=1),0,IF(OFFSET(CRONOPLE!$F$14,$M287,BH$13)="",10^12,OFFSET(CRONOPLE!$F$14,$M287,BH$13))))</f>
        <v>1000000000000</v>
      </c>
      <c r="BI287" s="215">
        <f ca="1">IF($D287&lt;&gt;"Serviço",0,IF(AND(AUTOEVENTO="Manual",$M287=1),0,IF(OFFSET(CRONOPLE!$F$14,$M287,BI$13)="",10^12,OFFSET(CRONOPLE!$F$14,$M287,BI$13))))</f>
        <v>1000000000000</v>
      </c>
      <c r="BJ287" s="215">
        <f ca="1">IF($D287&lt;&gt;"Serviço",0,IF(AND(AUTOEVENTO="Manual",$M287=1),0,IF(OFFSET(CRONOPLE!$F$14,$M287,BJ$13)="",10^12,OFFSET(CRONOPLE!$F$14,$M287,BJ$13))))</f>
        <v>1000000000000</v>
      </c>
      <c r="BK287" s="215">
        <f ca="1">IF($D287&lt;&gt;"Serviço",0,IF(AND(AUTOEVENTO="Manual",$M287=1),0,IF(OFFSET(CRONOPLE!$F$14,$M287,BK$13)="",10^12,OFFSET(CRONOPLE!$F$14,$M287,BK$13))))</f>
        <v>1000000000000</v>
      </c>
      <c r="BL287" s="215">
        <f ca="1">IF($D287&lt;&gt;"Serviço",0,IF(AND(AUTOEVENTO="Manual",$M287=1),0,IF(OFFSET(CRONOPLE!$F$14,$M287,BL$13)="",10^12,OFFSET(CRONOPLE!$F$14,$M287,BL$13))))</f>
        <v>1000000000000</v>
      </c>
      <c r="BM287" s="215">
        <f ca="1">IF($D287&lt;&gt;"Serviço",0,IF(AND(AUTOEVENTO="Manual",$M287=1),0,IF(OFFSET(CRONOPLE!$F$14,$M287,BM$13)="",10^12,OFFSET(CRONOPLE!$F$14,$M287,BM$13))))</f>
        <v>1000000000000</v>
      </c>
      <c r="BN287" s="215">
        <f ca="1">IF($D287&lt;&gt;"Serviço",0,IF(AND(AUTOEVENTO="Manual",$M287=1),0,IF(OFFSET(CRONOPLE!$F$14,$M287,BN$13)="",10^12,OFFSET(CRONOPLE!$F$14,$M287,BN$13))))</f>
        <v>1000000000000</v>
      </c>
      <c r="BO287" s="215">
        <f ca="1">IF($D287&lt;&gt;"Serviço",0,IF(AND(AUTOEVENTO="Manual",$M287=1),0,IF(OFFSET(CRONOPLE!$F$14,$M287,BO$13)="",10^12,OFFSET(CRONOPLE!$F$14,$M287,BO$13))))</f>
        <v>1000000000000</v>
      </c>
      <c r="BP287" s="215">
        <f ca="1">IF($D287&lt;&gt;"Serviço",0,IF(AND(AUTOEVENTO="Manual",$M287=1),0,IF(OFFSET(CRONOPLE!$F$14,$M287,BP$13)="",10^12,OFFSET(CRONOPLE!$F$14,$M287,BP$13))))</f>
        <v>1000000000000</v>
      </c>
      <c r="BQ287" s="215">
        <f ca="1">IF($D287&lt;&gt;"Serviço",0,IF(AND(AUTOEVENTO="Manual",$M287=1),0,IF(OFFSET(CRONOPLE!$F$14,$M287,BQ$13)="",10^12,OFFSET(CRONOPLE!$F$14,$M287,BQ$13))))</f>
        <v>1000000000000</v>
      </c>
      <c r="BR287" s="215">
        <f ca="1">IF($D287&lt;&gt;"Serviço",0,IF(AND(AUTOEVENTO="Manual",$M287=1),0,IF(OFFSET(CRONOPLE!$F$14,$M287,BR$13)="",10^12,OFFSET(CRONOPLE!$F$14,$M287,BR$13))))</f>
        <v>1000000000000</v>
      </c>
      <c r="BS287" s="215">
        <f ca="1">IF($D287&lt;&gt;"Serviço",0,IF(AND(AUTOEVENTO="Manual",$M287=1),0,IF(OFFSET(CRONOPLE!$F$14,$M287,BS$13)="",10^12,OFFSET(CRONOPLE!$F$14,$M287,BS$13))))</f>
        <v>1000000000000</v>
      </c>
      <c r="BT287" s="215">
        <f ca="1">IF($D287&lt;&gt;"Serviço",0,IF(AND(AUTOEVENTO="Manual",$M287=1),0,IF(OFFSET(CRONOPLE!$F$14,$M287,BT$13)="",10^12,OFFSET(CRONOPLE!$F$14,$M287,BT$13))))</f>
        <v>1000000000000</v>
      </c>
      <c r="BV287" s="216">
        <f ca="1">IF($D287&lt;&gt;"Serviço",0,IF(OR(AND(AUTOEVENTO="Manual",$M287=1),$M287&gt;(ROW(PLE.lastrow)-ROW(PLE.firstrow))),0,IF(OFFSET(PLE!$G$14,$M287,BV$13)="",10^12,OFFSET(PLE!$G$14,$M287,BV$13))))</f>
        <v>1000000000000</v>
      </c>
      <c r="BW287" s="216">
        <f ca="1">IF($D287&lt;&gt;"Serviço",0,IF(OR(AND(AUTOEVENTO="Manual",$M287=1),$M287&gt;(ROW(PLE.lastrow)-ROW(PLE.firstrow))),0,IF(OFFSET(PLE!$G$14,$M287,BW$13)="",10^12,OFFSET(PLE!$G$14,$M287,BW$13))))</f>
        <v>1000000000000</v>
      </c>
      <c r="BX287" s="216">
        <f ca="1">IF($D287&lt;&gt;"Serviço",0,IF(OR(AND(AUTOEVENTO="Manual",$M287=1),$M287&gt;(ROW(PLE.lastrow)-ROW(PLE.firstrow))),0,IF(OFFSET(PLE!$G$14,$M287,BX$13)="",10^12,OFFSET(PLE!$G$14,$M287,BX$13))))</f>
        <v>1000000000000</v>
      </c>
      <c r="BY287" s="216">
        <f ca="1">IF($D287&lt;&gt;"Serviço",0,IF(OR(AND(AUTOEVENTO="Manual",$M287=1),$M287&gt;(ROW(PLE.lastrow)-ROW(PLE.firstrow))),0,IF(OFFSET(PLE!$G$14,$M287,BY$13)="",10^12,OFFSET(PLE!$G$14,$M287,BY$13))))</f>
        <v>1000000000000</v>
      </c>
      <c r="BZ287" s="216">
        <f ca="1">IF($D287&lt;&gt;"Serviço",0,IF(OR(AND(AUTOEVENTO="Manual",$M287=1),$M287&gt;(ROW(PLE.lastrow)-ROW(PLE.firstrow))),0,IF(OFFSET(PLE!$G$14,$M287,BZ$13)="",10^12,OFFSET(PLE!$G$14,$M287,BZ$13))))</f>
        <v>1000000000000</v>
      </c>
      <c r="CA287" s="216">
        <f ca="1">IF($D287&lt;&gt;"Serviço",0,IF(OR(AND(AUTOEVENTO="Manual",$M287=1),$M287&gt;(ROW(PLE.lastrow)-ROW(PLE.firstrow))),0,IF(OFFSET(PLE!$G$14,$M287,CA$13)="",10^12,OFFSET(PLE!$G$14,$M287,CA$13))))</f>
        <v>1000000000000</v>
      </c>
      <c r="CB287" s="216">
        <f ca="1">IF($D287&lt;&gt;"Serviço",0,IF(OR(AND(AUTOEVENTO="Manual",$M287=1),$M287&gt;(ROW(PLE.lastrow)-ROW(PLE.firstrow))),0,IF(OFFSET(PLE!$G$14,$M287,CB$13)="",10^12,OFFSET(PLE!$G$14,$M287,CB$13))))</f>
        <v>1000000000000</v>
      </c>
      <c r="CC287" s="216">
        <f ca="1">IF($D287&lt;&gt;"Serviço",0,IF(OR(AND(AUTOEVENTO="Manual",$M287=1),$M287&gt;(ROW(PLE.lastrow)-ROW(PLE.firstrow))),0,IF(OFFSET(PLE!$G$14,$M287,CC$13)="",10^12,OFFSET(PLE!$G$14,$M287,CC$13))))</f>
        <v>1000000000000</v>
      </c>
      <c r="CD287" s="216">
        <f ca="1">IF($D287&lt;&gt;"Serviço",0,IF(OR(AND(AUTOEVENTO="Manual",$M287=1),$M287&gt;(ROW(PLE.lastrow)-ROW(PLE.firstrow))),0,IF(OFFSET(PLE!$G$14,$M287,CD$13)="",10^12,OFFSET(PLE!$G$14,$M287,CD$13))))</f>
        <v>1000000000000</v>
      </c>
      <c r="CE287" s="216">
        <f ca="1">IF($D287&lt;&gt;"Serviço",0,IF(OR(AND(AUTOEVENTO="Manual",$M287=1),$M287&gt;(ROW(PLE.lastrow)-ROW(PLE.firstrow))),0,IF(OFFSET(PLE!$G$14,$M287,CE$13)="",10^12,OFFSET(PLE!$G$14,$M287,CE$13))))</f>
        <v>1000000000000</v>
      </c>
      <c r="CF287" s="216">
        <f ca="1">IF($D287&lt;&gt;"Serviço",0,IF(OR(AND(AUTOEVENTO="Manual",$M287=1),$M287&gt;(ROW(PLE.lastrow)-ROW(PLE.firstrow))),0,IF(OFFSET(PLE!$G$14,$M287,CF$13)="",10^12,OFFSET(PLE!$G$14,$M287,CF$13))))</f>
        <v>1000000000000</v>
      </c>
      <c r="CG287" s="216">
        <f ca="1">IF($D287&lt;&gt;"Serviço",0,IF(OR(AND(AUTOEVENTO="Manual",$M287=1),$M287&gt;(ROW(PLE.lastrow)-ROW(PLE.firstrow))),0,IF(OFFSET(PLE!$G$14,$M287,CG$13)="",10^12,OFFSET(PLE!$G$14,$M287,CG$13))))</f>
        <v>1000000000000</v>
      </c>
      <c r="CH287" s="216">
        <f ca="1">IF($D287&lt;&gt;"Serviço",0,IF(OR(AND(AUTOEVENTO="Manual",$M287=1),$M287&gt;(ROW(PLE.lastrow)-ROW(PLE.firstrow))),0,IF(OFFSET(PLE!$G$14,$M287,CH$13)="",10^12,OFFSET(PLE!$G$14,$M287,CH$13))))</f>
        <v>1000000000000</v>
      </c>
      <c r="CI287" s="216">
        <f ca="1">IF($D287&lt;&gt;"Serviço",0,IF(OR(AND(AUTOEVENTO="Manual",$M287=1),$M287&gt;(ROW(PLE.lastrow)-ROW(PLE.firstrow))),0,IF(OFFSET(PLE!$G$14,$M287,CI$13)="",10^12,OFFSET(PLE!$G$14,$M287,CI$13))))</f>
        <v>1000000000000</v>
      </c>
      <c r="CJ287" s="216">
        <f ca="1">IF($D287&lt;&gt;"Serviço",0,IF(OR(AND(AUTOEVENTO="Manual",$M287=1),$M287&gt;(ROW(PLE.lastrow)-ROW(PLE.firstrow))),0,IF(OFFSET(PLE!$G$14,$M287,CJ$13)="",10^12,OFFSET(PLE!$G$14,$M287,CJ$13))))</f>
        <v>1000000000000</v>
      </c>
      <c r="CK287" s="216">
        <f ca="1">IF($D287&lt;&gt;"Serviço",0,IF(OR(AND(AUTOEVENTO="Manual",$M287=1),$M287&gt;(ROW(PLE.lastrow)-ROW(PLE.firstrow))),0,IF(OFFSET(PLE!$G$14,$M287,CK$13)="",10^12,OFFSET(PLE!$G$14,$M287,CK$13))))</f>
        <v>1000000000000</v>
      </c>
      <c r="CL287" s="216">
        <f ca="1">IF($D287&lt;&gt;"Serviço",0,IF(OR(AND(AUTOEVENTO="Manual",$M287=1),$M287&gt;(ROW(PLE.lastrow)-ROW(PLE.firstrow))),0,IF(OFFSET(PLE!$G$14,$M287,CL$13)="",10^12,OFFSET(PLE!$G$14,$M287,CL$13))))</f>
        <v>1000000000000</v>
      </c>
      <c r="CM287" s="216">
        <f ca="1">IF($D287&lt;&gt;"Serviço",0,IF(OR(AND(AUTOEVENTO="Manual",$M287=1),$M287&gt;(ROW(PLE.lastrow)-ROW(PLE.firstrow))),0,IF(OFFSET(PLE!$G$14,$M287,CM$13)="",10^12,OFFSET(PLE!$G$14,$M287,CM$13))))</f>
        <v>1000000000000</v>
      </c>
    </row>
    <row r="288" spans="1:91" ht="13.2" x14ac:dyDescent="0.25">
      <c r="A288" s="9">
        <f t="shared" ca="1" si="13"/>
        <v>0</v>
      </c>
      <c r="B288" s="9" t="str">
        <f ca="1">OFFSET(ORÇAMENTO!C$15,ROW(B288)-ROW(B$15),0)</f>
        <v>S</v>
      </c>
      <c r="C288" s="9" t="str">
        <f ca="1">OFFSET(ORÇAMENTO!L$15,ROW(C288)-ROW(C$15),0)</f>
        <v/>
      </c>
      <c r="D288" s="145" t="str">
        <f ca="1">OFFSET(ORÇAMENTO!N$15,ROW(D288)-ROW(D$15),0)</f>
        <v>Serviço</v>
      </c>
      <c r="E288" s="205" t="str">
        <f ca="1">OFFSET(ORÇAMENTO!O$15,ROW(E288)-ROW(E$15),0)</f>
        <v>-</v>
      </c>
      <c r="F288" s="206" t="str">
        <f ca="1">OFFSET(ORÇAMENTO!R$15,ROW(F288)-ROW(F$15),0)</f>
        <v>(abra o arquivo 'Referência 05-2024.xls)</v>
      </c>
      <c r="G288" s="207" t="str">
        <f ca="1">IF($D288&lt;&gt;"Serviço","",OFFSET(ORÇAMENTO!S$15,ROW(G288)-ROW(G$15),0))</f>
        <v>-</v>
      </c>
      <c r="H288" s="151">
        <f ca="1">IF($D288&lt;&gt;"Serviço",0,IF(ACOMPANHAMENTO="BM",ROUND(OFFSET(ORÇAMENTO!AJ$15,ROW(H288)-ROW(H$15),0),15-13*ORÇAMENTO!$AF$7),SUMPRODUCT(($Q$12:$AI$12&lt;&gt;"")*ROUND($Q288:$AI288,15-13*ORÇAMENTO!$AF$7))))</f>
        <v>338.11</v>
      </c>
      <c r="I288" s="650"/>
      <c r="K288" s="208"/>
      <c r="L288" s="209" t="s">
        <v>257</v>
      </c>
      <c r="M288" s="210">
        <f ca="1">IF($D288&lt;&gt;"Serviço","",IF(AUTOEVENTO="manual",$A288,IF(ISERROR(MATCH($A288,$A$15:OFFSET($A288,-1,0),0)),MAX($M$15:OFFSET(M288,-1,0))+1,INDEX($M$15:OFFSET(M288,-1,0),MATCH($A288,$A$15:OFFSET($A288,-1,0),0)))))</f>
        <v>0</v>
      </c>
      <c r="N288" s="211" t="str">
        <f ca="1">IF($D288&lt;&gt;"Serviço","",IF(AUTOEVENTO="Manual",IF($A288=0,"&lt;-- defina o número do agrupador",OFFSET(EVENTOS!$D$14,$A288,0)),OFFSET($F$15,$A288,0)))</f>
        <v>&lt;-- defina o número do agrupador</v>
      </c>
      <c r="O288" s="212"/>
      <c r="Q288" s="212"/>
      <c r="R288" s="213"/>
      <c r="S288" s="213"/>
      <c r="T288" s="213"/>
      <c r="U288" s="213"/>
      <c r="V288" s="213"/>
      <c r="W288" s="213"/>
      <c r="X288" s="213"/>
      <c r="Y288" s="213"/>
      <c r="Z288" s="214"/>
      <c r="AA288" s="213"/>
      <c r="AB288" s="213"/>
      <c r="AC288" s="213"/>
      <c r="AD288" s="213"/>
      <c r="AE288" s="213"/>
      <c r="AF288" s="213"/>
      <c r="AG288" s="213"/>
      <c r="AH288" s="214"/>
      <c r="AJ288" s="631">
        <f ca="1">IF(AND($D288="Serviço",AJ$12&lt;&gt;0,$H288&gt;0,OR(AUTOEVENTO&lt;&gt;"manual",$M288&lt;&gt;1)),ROUND(OFFSET($P288,0,AJ$13),15-13*ORÇAMENTO!$AF$7)/$H288*OFFSET(ORÇAMENTO!$X$15,ROW(AJ288)-ROW(AJ$15),0),0)</f>
        <v>0</v>
      </c>
      <c r="AK288" s="632">
        <f ca="1">IF(AND($D288="Serviço",AK$12&lt;&gt;0,$H288&gt;0,OR(AUTOEVENTO&lt;&gt;"manual",$M288&lt;&gt;1)),ROUND(OFFSET($P288,0,AK$13),15-13*ORÇAMENTO!$AF$7)/$H288*OFFSET(ORÇAMENTO!$X$15,ROW(AK288)-ROW(AK$15),0),0)</f>
        <v>0</v>
      </c>
      <c r="AL288" s="632">
        <f ca="1">IF(AND($D288="Serviço",AL$12&lt;&gt;0,$H288&gt;0,OR(AUTOEVENTO&lt;&gt;"manual",$M288&lt;&gt;1)),ROUND(OFFSET($P288,0,AL$13),15-13*ORÇAMENTO!$AF$7)/$H288*OFFSET(ORÇAMENTO!$X$15,ROW(AL288)-ROW(AL$15),0),0)</f>
        <v>0</v>
      </c>
      <c r="AM288" s="632">
        <f ca="1">IF(AND($D288="Serviço",AM$12&lt;&gt;0,$H288&gt;0,OR(AUTOEVENTO&lt;&gt;"manual",$M288&lt;&gt;1)),ROUND(OFFSET($P288,0,AM$13),15-13*ORÇAMENTO!$AF$7)/$H288*OFFSET(ORÇAMENTO!$X$15,ROW(AM288)-ROW(AM$15),0),0)</f>
        <v>0</v>
      </c>
      <c r="AN288" s="632">
        <f ca="1">IF(AND($D288="Serviço",AN$12&lt;&gt;0,$H288&gt;0,OR(AUTOEVENTO&lt;&gt;"manual",$M288&lt;&gt;1)),ROUND(OFFSET($P288,0,AN$13),15-13*ORÇAMENTO!$AF$7)/$H288*OFFSET(ORÇAMENTO!$X$15,ROW(AN288)-ROW(AN$15),0),0)</f>
        <v>0</v>
      </c>
      <c r="AO288" s="632">
        <f ca="1">IF(AND($D288="Serviço",AO$12&lt;&gt;0,$H288&gt;0,OR(AUTOEVENTO&lt;&gt;"manual",$M288&lt;&gt;1)),ROUND(OFFSET($P288,0,AO$13),15-13*ORÇAMENTO!$AF$7)/$H288*OFFSET(ORÇAMENTO!$X$15,ROW(AO288)-ROW(AO$15),0),0)</f>
        <v>0</v>
      </c>
      <c r="AP288" s="632">
        <f ca="1">IF(AND($D288="Serviço",AP$12&lt;&gt;0,$H288&gt;0,OR(AUTOEVENTO&lt;&gt;"manual",$M288&lt;&gt;1)),ROUND(OFFSET($P288,0,AP$13),15-13*ORÇAMENTO!$AF$7)/$H288*OFFSET(ORÇAMENTO!$X$15,ROW(AP288)-ROW(AP$15),0),0)</f>
        <v>0</v>
      </c>
      <c r="AQ288" s="632">
        <f ca="1">IF(AND($D288="Serviço",AQ$12&lt;&gt;0,$H288&gt;0,OR(AUTOEVENTO&lt;&gt;"manual",$M288&lt;&gt;1)),ROUND(OFFSET($P288,0,AQ$13),15-13*ORÇAMENTO!$AF$7)/$H288*OFFSET(ORÇAMENTO!$X$15,ROW(AQ288)-ROW(AQ$15),0),0)</f>
        <v>0</v>
      </c>
      <c r="AR288" s="632">
        <f ca="1">IF(AND($D288="Serviço",AR$12&lt;&gt;0,$H288&gt;0,OR(AUTOEVENTO&lt;&gt;"manual",$M288&lt;&gt;1)),ROUND(OFFSET($P288,0,AR$13),15-13*ORÇAMENTO!$AF$7)/$H288*OFFSET(ORÇAMENTO!$X$15,ROW(AR288)-ROW(AR$15),0),0)</f>
        <v>0</v>
      </c>
      <c r="AS288" s="633">
        <f ca="1">IF(AND($D288="Serviço",AS$12&lt;&gt;0,$H288&gt;0,OR(AUTOEVENTO&lt;&gt;"manual",$M288&lt;&gt;1)),ROUND(OFFSET($P288,0,AS$13),15-13*ORÇAMENTO!$AF$7)/$H288*OFFSET(ORÇAMENTO!$X$15,ROW(AS288)-ROW(AS$15),0),0)</f>
        <v>0</v>
      </c>
      <c r="AT288" s="632">
        <f ca="1">IF(AND($D288="Serviço",AT$12&lt;&gt;0,$H288&gt;0,OR(AUTOEVENTO&lt;&gt;"manual",$M288&lt;&gt;1)),ROUND(OFFSET($P288,0,AT$13),15-13*ORÇAMENTO!$AF$7)/$H288*OFFSET(ORÇAMENTO!$X$15,ROW(AT288)-ROW(AT$15),0),0)</f>
        <v>0</v>
      </c>
      <c r="AU288" s="632">
        <f ca="1">IF(AND($D288="Serviço",AU$12&lt;&gt;0,$H288&gt;0,OR(AUTOEVENTO&lt;&gt;"manual",$M288&lt;&gt;1)),ROUND(OFFSET($P288,0,AU$13),15-13*ORÇAMENTO!$AF$7)/$H288*OFFSET(ORÇAMENTO!$X$15,ROW(AU288)-ROW(AU$15),0),0)</f>
        <v>0</v>
      </c>
      <c r="AV288" s="632">
        <f ca="1">IF(AND($D288="Serviço",AV$12&lt;&gt;0,$H288&gt;0,OR(AUTOEVENTO&lt;&gt;"manual",$M288&lt;&gt;1)),ROUND(OFFSET($P288,0,AV$13),15-13*ORÇAMENTO!$AF$7)/$H288*OFFSET(ORÇAMENTO!$X$15,ROW(AV288)-ROW(AV$15),0),0)</f>
        <v>0</v>
      </c>
      <c r="AW288" s="632">
        <f ca="1">IF(AND($D288="Serviço",AW$12&lt;&gt;0,$H288&gt;0,OR(AUTOEVENTO&lt;&gt;"manual",$M288&lt;&gt;1)),ROUND(OFFSET($P288,0,AW$13),15-13*ORÇAMENTO!$AF$7)/$H288*OFFSET(ORÇAMENTO!$X$15,ROW(AW288)-ROW(AW$15),0),0)</f>
        <v>0</v>
      </c>
      <c r="AX288" s="632">
        <f ca="1">IF(AND($D288="Serviço",AX$12&lt;&gt;0,$H288&gt;0,OR(AUTOEVENTO&lt;&gt;"manual",$M288&lt;&gt;1)),ROUND(OFFSET($P288,0,AX$13),15-13*ORÇAMENTO!$AF$7)/$H288*OFFSET(ORÇAMENTO!$X$15,ROW(AX288)-ROW(AX$15),0),0)</f>
        <v>0</v>
      </c>
      <c r="AY288" s="632">
        <f ca="1">IF(AND($D288="Serviço",AY$12&lt;&gt;0,$H288&gt;0,OR(AUTOEVENTO&lt;&gt;"manual",$M288&lt;&gt;1)),ROUND(OFFSET($P288,0,AY$13),15-13*ORÇAMENTO!$AF$7)/$H288*OFFSET(ORÇAMENTO!$X$15,ROW(AY288)-ROW(AY$15),0),0)</f>
        <v>0</v>
      </c>
      <c r="AZ288" s="632">
        <f ca="1">IF(AND($D288="Serviço",AZ$12&lt;&gt;0,$H288&gt;0,OR(AUTOEVENTO&lt;&gt;"manual",$M288&lt;&gt;1)),ROUND(OFFSET($P288,0,AZ$13),15-13*ORÇAMENTO!$AF$7)/$H288*OFFSET(ORÇAMENTO!$X$15,ROW(AZ288)-ROW(AZ$15),0),0)</f>
        <v>0</v>
      </c>
      <c r="BA288" s="633">
        <f ca="1">IF(AND($D288="Serviço",BA$12&lt;&gt;0,$H288&gt;0,OR(AUTOEVENTO&lt;&gt;"manual",$M288&lt;&gt;1)),ROUND(OFFSET($P288,0,BA$13),15-13*ORÇAMENTO!$AF$7)/$H288*OFFSET(ORÇAMENTO!$X$15,ROW(BA288)-ROW(BA$15),0),0)</f>
        <v>0</v>
      </c>
      <c r="BC288" s="215">
        <f ca="1">IF($D288&lt;&gt;"Serviço",0,IF(AND(AUTOEVENTO="Manual",$M288=1),0,IF(OFFSET(CRONOPLE!$F$14,$M288,BC$13)="",10^12,OFFSET(CRONOPLE!$F$14,$M288,BC$13))))</f>
        <v>1000000000000</v>
      </c>
      <c r="BD288" s="215">
        <f ca="1">IF($D288&lt;&gt;"Serviço",0,IF(AND(AUTOEVENTO="Manual",$M288=1),0,IF(OFFSET(CRONOPLE!$F$14,$M288,BD$13)="",10^12,OFFSET(CRONOPLE!$F$14,$M288,BD$13))))</f>
        <v>1000000000000</v>
      </c>
      <c r="BE288" s="215">
        <f ca="1">IF($D288&lt;&gt;"Serviço",0,IF(AND(AUTOEVENTO="Manual",$M288=1),0,IF(OFFSET(CRONOPLE!$F$14,$M288,BE$13)="",10^12,OFFSET(CRONOPLE!$F$14,$M288,BE$13))))</f>
        <v>1000000000000</v>
      </c>
      <c r="BF288" s="215">
        <f ca="1">IF($D288&lt;&gt;"Serviço",0,IF(AND(AUTOEVENTO="Manual",$M288=1),0,IF(OFFSET(CRONOPLE!$F$14,$M288,BF$13)="",10^12,OFFSET(CRONOPLE!$F$14,$M288,BF$13))))</f>
        <v>1000000000000</v>
      </c>
      <c r="BG288" s="215">
        <f ca="1">IF($D288&lt;&gt;"Serviço",0,IF(AND(AUTOEVENTO="Manual",$M288=1),0,IF(OFFSET(CRONOPLE!$F$14,$M288,BG$13)="",10^12,OFFSET(CRONOPLE!$F$14,$M288,BG$13))))</f>
        <v>1000000000000</v>
      </c>
      <c r="BH288" s="215">
        <f ca="1">IF($D288&lt;&gt;"Serviço",0,IF(AND(AUTOEVENTO="Manual",$M288=1),0,IF(OFFSET(CRONOPLE!$F$14,$M288,BH$13)="",10^12,OFFSET(CRONOPLE!$F$14,$M288,BH$13))))</f>
        <v>1000000000000</v>
      </c>
      <c r="BI288" s="215">
        <f ca="1">IF($D288&lt;&gt;"Serviço",0,IF(AND(AUTOEVENTO="Manual",$M288=1),0,IF(OFFSET(CRONOPLE!$F$14,$M288,BI$13)="",10^12,OFFSET(CRONOPLE!$F$14,$M288,BI$13))))</f>
        <v>1000000000000</v>
      </c>
      <c r="BJ288" s="215">
        <f ca="1">IF($D288&lt;&gt;"Serviço",0,IF(AND(AUTOEVENTO="Manual",$M288=1),0,IF(OFFSET(CRONOPLE!$F$14,$M288,BJ$13)="",10^12,OFFSET(CRONOPLE!$F$14,$M288,BJ$13))))</f>
        <v>1000000000000</v>
      </c>
      <c r="BK288" s="215">
        <f ca="1">IF($D288&lt;&gt;"Serviço",0,IF(AND(AUTOEVENTO="Manual",$M288=1),0,IF(OFFSET(CRONOPLE!$F$14,$M288,BK$13)="",10^12,OFFSET(CRONOPLE!$F$14,$M288,BK$13))))</f>
        <v>1000000000000</v>
      </c>
      <c r="BL288" s="215">
        <f ca="1">IF($D288&lt;&gt;"Serviço",0,IF(AND(AUTOEVENTO="Manual",$M288=1),0,IF(OFFSET(CRONOPLE!$F$14,$M288,BL$13)="",10^12,OFFSET(CRONOPLE!$F$14,$M288,BL$13))))</f>
        <v>1000000000000</v>
      </c>
      <c r="BM288" s="215">
        <f ca="1">IF($D288&lt;&gt;"Serviço",0,IF(AND(AUTOEVENTO="Manual",$M288=1),0,IF(OFFSET(CRONOPLE!$F$14,$M288,BM$13)="",10^12,OFFSET(CRONOPLE!$F$14,$M288,BM$13))))</f>
        <v>1000000000000</v>
      </c>
      <c r="BN288" s="215">
        <f ca="1">IF($D288&lt;&gt;"Serviço",0,IF(AND(AUTOEVENTO="Manual",$M288=1),0,IF(OFFSET(CRONOPLE!$F$14,$M288,BN$13)="",10^12,OFFSET(CRONOPLE!$F$14,$M288,BN$13))))</f>
        <v>1000000000000</v>
      </c>
      <c r="BO288" s="215">
        <f ca="1">IF($D288&lt;&gt;"Serviço",0,IF(AND(AUTOEVENTO="Manual",$M288=1),0,IF(OFFSET(CRONOPLE!$F$14,$M288,BO$13)="",10^12,OFFSET(CRONOPLE!$F$14,$M288,BO$13))))</f>
        <v>1000000000000</v>
      </c>
      <c r="BP288" s="215">
        <f ca="1">IF($D288&lt;&gt;"Serviço",0,IF(AND(AUTOEVENTO="Manual",$M288=1),0,IF(OFFSET(CRONOPLE!$F$14,$M288,BP$13)="",10^12,OFFSET(CRONOPLE!$F$14,$M288,BP$13))))</f>
        <v>1000000000000</v>
      </c>
      <c r="BQ288" s="215">
        <f ca="1">IF($D288&lt;&gt;"Serviço",0,IF(AND(AUTOEVENTO="Manual",$M288=1),0,IF(OFFSET(CRONOPLE!$F$14,$M288,BQ$13)="",10^12,OFFSET(CRONOPLE!$F$14,$M288,BQ$13))))</f>
        <v>1000000000000</v>
      </c>
      <c r="BR288" s="215">
        <f ca="1">IF($D288&lt;&gt;"Serviço",0,IF(AND(AUTOEVENTO="Manual",$M288=1),0,IF(OFFSET(CRONOPLE!$F$14,$M288,BR$13)="",10^12,OFFSET(CRONOPLE!$F$14,$M288,BR$13))))</f>
        <v>1000000000000</v>
      </c>
      <c r="BS288" s="215">
        <f ca="1">IF($D288&lt;&gt;"Serviço",0,IF(AND(AUTOEVENTO="Manual",$M288=1),0,IF(OFFSET(CRONOPLE!$F$14,$M288,BS$13)="",10^12,OFFSET(CRONOPLE!$F$14,$M288,BS$13))))</f>
        <v>1000000000000</v>
      </c>
      <c r="BT288" s="215">
        <f ca="1">IF($D288&lt;&gt;"Serviço",0,IF(AND(AUTOEVENTO="Manual",$M288=1),0,IF(OFFSET(CRONOPLE!$F$14,$M288,BT$13)="",10^12,OFFSET(CRONOPLE!$F$14,$M288,BT$13))))</f>
        <v>1000000000000</v>
      </c>
      <c r="BV288" s="216">
        <f ca="1">IF($D288&lt;&gt;"Serviço",0,IF(OR(AND(AUTOEVENTO="Manual",$M288=1),$M288&gt;(ROW(PLE.lastrow)-ROW(PLE.firstrow))),0,IF(OFFSET(PLE!$G$14,$M288,BV$13)="",10^12,OFFSET(PLE!$G$14,$M288,BV$13))))</f>
        <v>1000000000000</v>
      </c>
      <c r="BW288" s="216">
        <f ca="1">IF($D288&lt;&gt;"Serviço",0,IF(OR(AND(AUTOEVENTO="Manual",$M288=1),$M288&gt;(ROW(PLE.lastrow)-ROW(PLE.firstrow))),0,IF(OFFSET(PLE!$G$14,$M288,BW$13)="",10^12,OFFSET(PLE!$G$14,$M288,BW$13))))</f>
        <v>1000000000000</v>
      </c>
      <c r="BX288" s="216">
        <f ca="1">IF($D288&lt;&gt;"Serviço",0,IF(OR(AND(AUTOEVENTO="Manual",$M288=1),$M288&gt;(ROW(PLE.lastrow)-ROW(PLE.firstrow))),0,IF(OFFSET(PLE!$G$14,$M288,BX$13)="",10^12,OFFSET(PLE!$G$14,$M288,BX$13))))</f>
        <v>1000000000000</v>
      </c>
      <c r="BY288" s="216">
        <f ca="1">IF($D288&lt;&gt;"Serviço",0,IF(OR(AND(AUTOEVENTO="Manual",$M288=1),$M288&gt;(ROW(PLE.lastrow)-ROW(PLE.firstrow))),0,IF(OFFSET(PLE!$G$14,$M288,BY$13)="",10^12,OFFSET(PLE!$G$14,$M288,BY$13))))</f>
        <v>1000000000000</v>
      </c>
      <c r="BZ288" s="216">
        <f ca="1">IF($D288&lt;&gt;"Serviço",0,IF(OR(AND(AUTOEVENTO="Manual",$M288=1),$M288&gt;(ROW(PLE.lastrow)-ROW(PLE.firstrow))),0,IF(OFFSET(PLE!$G$14,$M288,BZ$13)="",10^12,OFFSET(PLE!$G$14,$M288,BZ$13))))</f>
        <v>1000000000000</v>
      </c>
      <c r="CA288" s="216">
        <f ca="1">IF($D288&lt;&gt;"Serviço",0,IF(OR(AND(AUTOEVENTO="Manual",$M288=1),$M288&gt;(ROW(PLE.lastrow)-ROW(PLE.firstrow))),0,IF(OFFSET(PLE!$G$14,$M288,CA$13)="",10^12,OFFSET(PLE!$G$14,$M288,CA$13))))</f>
        <v>1000000000000</v>
      </c>
      <c r="CB288" s="216">
        <f ca="1">IF($D288&lt;&gt;"Serviço",0,IF(OR(AND(AUTOEVENTO="Manual",$M288=1),$M288&gt;(ROW(PLE.lastrow)-ROW(PLE.firstrow))),0,IF(OFFSET(PLE!$G$14,$M288,CB$13)="",10^12,OFFSET(PLE!$G$14,$M288,CB$13))))</f>
        <v>1000000000000</v>
      </c>
      <c r="CC288" s="216">
        <f ca="1">IF($D288&lt;&gt;"Serviço",0,IF(OR(AND(AUTOEVENTO="Manual",$M288=1),$M288&gt;(ROW(PLE.lastrow)-ROW(PLE.firstrow))),0,IF(OFFSET(PLE!$G$14,$M288,CC$13)="",10^12,OFFSET(PLE!$G$14,$M288,CC$13))))</f>
        <v>1000000000000</v>
      </c>
      <c r="CD288" s="216">
        <f ca="1">IF($D288&lt;&gt;"Serviço",0,IF(OR(AND(AUTOEVENTO="Manual",$M288=1),$M288&gt;(ROW(PLE.lastrow)-ROW(PLE.firstrow))),0,IF(OFFSET(PLE!$G$14,$M288,CD$13)="",10^12,OFFSET(PLE!$G$14,$M288,CD$13))))</f>
        <v>1000000000000</v>
      </c>
      <c r="CE288" s="216">
        <f ca="1">IF($D288&lt;&gt;"Serviço",0,IF(OR(AND(AUTOEVENTO="Manual",$M288=1),$M288&gt;(ROW(PLE.lastrow)-ROW(PLE.firstrow))),0,IF(OFFSET(PLE!$G$14,$M288,CE$13)="",10^12,OFFSET(PLE!$G$14,$M288,CE$13))))</f>
        <v>1000000000000</v>
      </c>
      <c r="CF288" s="216">
        <f ca="1">IF($D288&lt;&gt;"Serviço",0,IF(OR(AND(AUTOEVENTO="Manual",$M288=1),$M288&gt;(ROW(PLE.lastrow)-ROW(PLE.firstrow))),0,IF(OFFSET(PLE!$G$14,$M288,CF$13)="",10^12,OFFSET(PLE!$G$14,$M288,CF$13))))</f>
        <v>1000000000000</v>
      </c>
      <c r="CG288" s="216">
        <f ca="1">IF($D288&lt;&gt;"Serviço",0,IF(OR(AND(AUTOEVENTO="Manual",$M288=1),$M288&gt;(ROW(PLE.lastrow)-ROW(PLE.firstrow))),0,IF(OFFSET(PLE!$G$14,$M288,CG$13)="",10^12,OFFSET(PLE!$G$14,$M288,CG$13))))</f>
        <v>1000000000000</v>
      </c>
      <c r="CH288" s="216">
        <f ca="1">IF($D288&lt;&gt;"Serviço",0,IF(OR(AND(AUTOEVENTO="Manual",$M288=1),$M288&gt;(ROW(PLE.lastrow)-ROW(PLE.firstrow))),0,IF(OFFSET(PLE!$G$14,$M288,CH$13)="",10^12,OFFSET(PLE!$G$14,$M288,CH$13))))</f>
        <v>1000000000000</v>
      </c>
      <c r="CI288" s="216">
        <f ca="1">IF($D288&lt;&gt;"Serviço",0,IF(OR(AND(AUTOEVENTO="Manual",$M288=1),$M288&gt;(ROW(PLE.lastrow)-ROW(PLE.firstrow))),0,IF(OFFSET(PLE!$G$14,$M288,CI$13)="",10^12,OFFSET(PLE!$G$14,$M288,CI$13))))</f>
        <v>1000000000000</v>
      </c>
      <c r="CJ288" s="216">
        <f ca="1">IF($D288&lt;&gt;"Serviço",0,IF(OR(AND(AUTOEVENTO="Manual",$M288=1),$M288&gt;(ROW(PLE.lastrow)-ROW(PLE.firstrow))),0,IF(OFFSET(PLE!$G$14,$M288,CJ$13)="",10^12,OFFSET(PLE!$G$14,$M288,CJ$13))))</f>
        <v>1000000000000</v>
      </c>
      <c r="CK288" s="216">
        <f ca="1">IF($D288&lt;&gt;"Serviço",0,IF(OR(AND(AUTOEVENTO="Manual",$M288=1),$M288&gt;(ROW(PLE.lastrow)-ROW(PLE.firstrow))),0,IF(OFFSET(PLE!$G$14,$M288,CK$13)="",10^12,OFFSET(PLE!$G$14,$M288,CK$13))))</f>
        <v>1000000000000</v>
      </c>
      <c r="CL288" s="216">
        <f ca="1">IF($D288&lt;&gt;"Serviço",0,IF(OR(AND(AUTOEVENTO="Manual",$M288=1),$M288&gt;(ROW(PLE.lastrow)-ROW(PLE.firstrow))),0,IF(OFFSET(PLE!$G$14,$M288,CL$13)="",10^12,OFFSET(PLE!$G$14,$M288,CL$13))))</f>
        <v>1000000000000</v>
      </c>
      <c r="CM288" s="216">
        <f ca="1">IF($D288&lt;&gt;"Serviço",0,IF(OR(AND(AUTOEVENTO="Manual",$M288=1),$M288&gt;(ROW(PLE.lastrow)-ROW(PLE.firstrow))),0,IF(OFFSET(PLE!$G$14,$M288,CM$13)="",10^12,OFFSET(PLE!$G$14,$M288,CM$13))))</f>
        <v>1000000000000</v>
      </c>
    </row>
    <row r="289" spans="1:91" ht="13.2" x14ac:dyDescent="0.25">
      <c r="A289" s="9">
        <f t="shared" ca="1" si="13"/>
        <v>0</v>
      </c>
      <c r="B289" s="9" t="str">
        <f ca="1">OFFSET(ORÇAMENTO!C$15,ROW(B289)-ROW(B$15),0)</f>
        <v>S</v>
      </c>
      <c r="C289" s="9" t="str">
        <f ca="1">OFFSET(ORÇAMENTO!L$15,ROW(C289)-ROW(C$15),0)</f>
        <v/>
      </c>
      <c r="D289" s="145" t="str">
        <f ca="1">OFFSET(ORÇAMENTO!N$15,ROW(D289)-ROW(D$15),0)</f>
        <v>Serviço</v>
      </c>
      <c r="E289" s="205" t="str">
        <f ca="1">OFFSET(ORÇAMENTO!O$15,ROW(E289)-ROW(E$15),0)</f>
        <v>-</v>
      </c>
      <c r="F289" s="206" t="str">
        <f ca="1">OFFSET(ORÇAMENTO!R$15,ROW(F289)-ROW(F$15),0)</f>
        <v>(abra o arquivo 'Referência 05-2024.xls)</v>
      </c>
      <c r="G289" s="207" t="str">
        <f ca="1">IF($D289&lt;&gt;"Serviço","",OFFSET(ORÇAMENTO!S$15,ROW(G289)-ROW(G$15),0))</f>
        <v>-</v>
      </c>
      <c r="H289" s="151">
        <f ca="1">IF($D289&lt;&gt;"Serviço",0,IF(ACOMPANHAMENTO="BM",ROUND(OFFSET(ORÇAMENTO!AJ$15,ROW(H289)-ROW(H$15),0),15-13*ORÇAMENTO!$AF$7),SUMPRODUCT(($Q$12:$AI$12&lt;&gt;"")*ROUND($Q289:$AI289,15-13*ORÇAMENTO!$AF$7))))</f>
        <v>212.58</v>
      </c>
      <c r="I289" s="650"/>
      <c r="K289" s="208"/>
      <c r="L289" s="209" t="s">
        <v>257</v>
      </c>
      <c r="M289" s="210">
        <f ca="1">IF($D289&lt;&gt;"Serviço","",IF(AUTOEVENTO="manual",$A289,IF(ISERROR(MATCH($A289,$A$15:OFFSET($A289,-1,0),0)),MAX($M$15:OFFSET(M289,-1,0))+1,INDEX($M$15:OFFSET(M289,-1,0),MATCH($A289,$A$15:OFFSET($A289,-1,0),0)))))</f>
        <v>0</v>
      </c>
      <c r="N289" s="211" t="str">
        <f ca="1">IF($D289&lt;&gt;"Serviço","",IF(AUTOEVENTO="Manual",IF($A289=0,"&lt;-- defina o número do agrupador",OFFSET(EVENTOS!$D$14,$A289,0)),OFFSET($F$15,$A289,0)))</f>
        <v>&lt;-- defina o número do agrupador</v>
      </c>
      <c r="O289" s="212"/>
      <c r="Q289" s="212"/>
      <c r="R289" s="213"/>
      <c r="S289" s="213"/>
      <c r="T289" s="213"/>
      <c r="U289" s="213"/>
      <c r="V289" s="213"/>
      <c r="W289" s="213"/>
      <c r="X289" s="213"/>
      <c r="Y289" s="213"/>
      <c r="Z289" s="214"/>
      <c r="AA289" s="213"/>
      <c r="AB289" s="213"/>
      <c r="AC289" s="213"/>
      <c r="AD289" s="213"/>
      <c r="AE289" s="213"/>
      <c r="AF289" s="213"/>
      <c r="AG289" s="213"/>
      <c r="AH289" s="214"/>
      <c r="AJ289" s="631">
        <f ca="1">IF(AND($D289="Serviço",AJ$12&lt;&gt;0,$H289&gt;0,OR(AUTOEVENTO&lt;&gt;"manual",$M289&lt;&gt;1)),ROUND(OFFSET($P289,0,AJ$13),15-13*ORÇAMENTO!$AF$7)/$H289*OFFSET(ORÇAMENTO!$X$15,ROW(AJ289)-ROW(AJ$15),0),0)</f>
        <v>0</v>
      </c>
      <c r="AK289" s="632">
        <f ca="1">IF(AND($D289="Serviço",AK$12&lt;&gt;0,$H289&gt;0,OR(AUTOEVENTO&lt;&gt;"manual",$M289&lt;&gt;1)),ROUND(OFFSET($P289,0,AK$13),15-13*ORÇAMENTO!$AF$7)/$H289*OFFSET(ORÇAMENTO!$X$15,ROW(AK289)-ROW(AK$15),0),0)</f>
        <v>0</v>
      </c>
      <c r="AL289" s="632">
        <f ca="1">IF(AND($D289="Serviço",AL$12&lt;&gt;0,$H289&gt;0,OR(AUTOEVENTO&lt;&gt;"manual",$M289&lt;&gt;1)),ROUND(OFFSET($P289,0,AL$13),15-13*ORÇAMENTO!$AF$7)/$H289*OFFSET(ORÇAMENTO!$X$15,ROW(AL289)-ROW(AL$15),0),0)</f>
        <v>0</v>
      </c>
      <c r="AM289" s="632">
        <f ca="1">IF(AND($D289="Serviço",AM$12&lt;&gt;0,$H289&gt;0,OR(AUTOEVENTO&lt;&gt;"manual",$M289&lt;&gt;1)),ROUND(OFFSET($P289,0,AM$13),15-13*ORÇAMENTO!$AF$7)/$H289*OFFSET(ORÇAMENTO!$X$15,ROW(AM289)-ROW(AM$15),0),0)</f>
        <v>0</v>
      </c>
      <c r="AN289" s="632">
        <f ca="1">IF(AND($D289="Serviço",AN$12&lt;&gt;0,$H289&gt;0,OR(AUTOEVENTO&lt;&gt;"manual",$M289&lt;&gt;1)),ROUND(OFFSET($P289,0,AN$13),15-13*ORÇAMENTO!$AF$7)/$H289*OFFSET(ORÇAMENTO!$X$15,ROW(AN289)-ROW(AN$15),0),0)</f>
        <v>0</v>
      </c>
      <c r="AO289" s="632">
        <f ca="1">IF(AND($D289="Serviço",AO$12&lt;&gt;0,$H289&gt;0,OR(AUTOEVENTO&lt;&gt;"manual",$M289&lt;&gt;1)),ROUND(OFFSET($P289,0,AO$13),15-13*ORÇAMENTO!$AF$7)/$H289*OFFSET(ORÇAMENTO!$X$15,ROW(AO289)-ROW(AO$15),0),0)</f>
        <v>0</v>
      </c>
      <c r="AP289" s="632">
        <f ca="1">IF(AND($D289="Serviço",AP$12&lt;&gt;0,$H289&gt;0,OR(AUTOEVENTO&lt;&gt;"manual",$M289&lt;&gt;1)),ROUND(OFFSET($P289,0,AP$13),15-13*ORÇAMENTO!$AF$7)/$H289*OFFSET(ORÇAMENTO!$X$15,ROW(AP289)-ROW(AP$15),0),0)</f>
        <v>0</v>
      </c>
      <c r="AQ289" s="632">
        <f ca="1">IF(AND($D289="Serviço",AQ$12&lt;&gt;0,$H289&gt;0,OR(AUTOEVENTO&lt;&gt;"manual",$M289&lt;&gt;1)),ROUND(OFFSET($P289,0,AQ$13),15-13*ORÇAMENTO!$AF$7)/$H289*OFFSET(ORÇAMENTO!$X$15,ROW(AQ289)-ROW(AQ$15),0),0)</f>
        <v>0</v>
      </c>
      <c r="AR289" s="632">
        <f ca="1">IF(AND($D289="Serviço",AR$12&lt;&gt;0,$H289&gt;0,OR(AUTOEVENTO&lt;&gt;"manual",$M289&lt;&gt;1)),ROUND(OFFSET($P289,0,AR$13),15-13*ORÇAMENTO!$AF$7)/$H289*OFFSET(ORÇAMENTO!$X$15,ROW(AR289)-ROW(AR$15),0),0)</f>
        <v>0</v>
      </c>
      <c r="AS289" s="633">
        <f ca="1">IF(AND($D289="Serviço",AS$12&lt;&gt;0,$H289&gt;0,OR(AUTOEVENTO&lt;&gt;"manual",$M289&lt;&gt;1)),ROUND(OFFSET($P289,0,AS$13),15-13*ORÇAMENTO!$AF$7)/$H289*OFFSET(ORÇAMENTO!$X$15,ROW(AS289)-ROW(AS$15),0),0)</f>
        <v>0</v>
      </c>
      <c r="AT289" s="632">
        <f ca="1">IF(AND($D289="Serviço",AT$12&lt;&gt;0,$H289&gt;0,OR(AUTOEVENTO&lt;&gt;"manual",$M289&lt;&gt;1)),ROUND(OFFSET($P289,0,AT$13),15-13*ORÇAMENTO!$AF$7)/$H289*OFFSET(ORÇAMENTO!$X$15,ROW(AT289)-ROW(AT$15),0),0)</f>
        <v>0</v>
      </c>
      <c r="AU289" s="632">
        <f ca="1">IF(AND($D289="Serviço",AU$12&lt;&gt;0,$H289&gt;0,OR(AUTOEVENTO&lt;&gt;"manual",$M289&lt;&gt;1)),ROUND(OFFSET($P289,0,AU$13),15-13*ORÇAMENTO!$AF$7)/$H289*OFFSET(ORÇAMENTO!$X$15,ROW(AU289)-ROW(AU$15),0),0)</f>
        <v>0</v>
      </c>
      <c r="AV289" s="632">
        <f ca="1">IF(AND($D289="Serviço",AV$12&lt;&gt;0,$H289&gt;0,OR(AUTOEVENTO&lt;&gt;"manual",$M289&lt;&gt;1)),ROUND(OFFSET($P289,0,AV$13),15-13*ORÇAMENTO!$AF$7)/$H289*OFFSET(ORÇAMENTO!$X$15,ROW(AV289)-ROW(AV$15),0),0)</f>
        <v>0</v>
      </c>
      <c r="AW289" s="632">
        <f ca="1">IF(AND($D289="Serviço",AW$12&lt;&gt;0,$H289&gt;0,OR(AUTOEVENTO&lt;&gt;"manual",$M289&lt;&gt;1)),ROUND(OFFSET($P289,0,AW$13),15-13*ORÇAMENTO!$AF$7)/$H289*OFFSET(ORÇAMENTO!$X$15,ROW(AW289)-ROW(AW$15),0),0)</f>
        <v>0</v>
      </c>
      <c r="AX289" s="632">
        <f ca="1">IF(AND($D289="Serviço",AX$12&lt;&gt;0,$H289&gt;0,OR(AUTOEVENTO&lt;&gt;"manual",$M289&lt;&gt;1)),ROUND(OFFSET($P289,0,AX$13),15-13*ORÇAMENTO!$AF$7)/$H289*OFFSET(ORÇAMENTO!$X$15,ROW(AX289)-ROW(AX$15),0),0)</f>
        <v>0</v>
      </c>
      <c r="AY289" s="632">
        <f ca="1">IF(AND($D289="Serviço",AY$12&lt;&gt;0,$H289&gt;0,OR(AUTOEVENTO&lt;&gt;"manual",$M289&lt;&gt;1)),ROUND(OFFSET($P289,0,AY$13),15-13*ORÇAMENTO!$AF$7)/$H289*OFFSET(ORÇAMENTO!$X$15,ROW(AY289)-ROW(AY$15),0),0)</f>
        <v>0</v>
      </c>
      <c r="AZ289" s="632">
        <f ca="1">IF(AND($D289="Serviço",AZ$12&lt;&gt;0,$H289&gt;0,OR(AUTOEVENTO&lt;&gt;"manual",$M289&lt;&gt;1)),ROUND(OFFSET($P289,0,AZ$13),15-13*ORÇAMENTO!$AF$7)/$H289*OFFSET(ORÇAMENTO!$X$15,ROW(AZ289)-ROW(AZ$15),0),0)</f>
        <v>0</v>
      </c>
      <c r="BA289" s="633">
        <f ca="1">IF(AND($D289="Serviço",BA$12&lt;&gt;0,$H289&gt;0,OR(AUTOEVENTO&lt;&gt;"manual",$M289&lt;&gt;1)),ROUND(OFFSET($P289,0,BA$13),15-13*ORÇAMENTO!$AF$7)/$H289*OFFSET(ORÇAMENTO!$X$15,ROW(BA289)-ROW(BA$15),0),0)</f>
        <v>0</v>
      </c>
      <c r="BC289" s="215">
        <f ca="1">IF($D289&lt;&gt;"Serviço",0,IF(AND(AUTOEVENTO="Manual",$M289=1),0,IF(OFFSET(CRONOPLE!$F$14,$M289,BC$13)="",10^12,OFFSET(CRONOPLE!$F$14,$M289,BC$13))))</f>
        <v>1000000000000</v>
      </c>
      <c r="BD289" s="215">
        <f ca="1">IF($D289&lt;&gt;"Serviço",0,IF(AND(AUTOEVENTO="Manual",$M289=1),0,IF(OFFSET(CRONOPLE!$F$14,$M289,BD$13)="",10^12,OFFSET(CRONOPLE!$F$14,$M289,BD$13))))</f>
        <v>1000000000000</v>
      </c>
      <c r="BE289" s="215">
        <f ca="1">IF($D289&lt;&gt;"Serviço",0,IF(AND(AUTOEVENTO="Manual",$M289=1),0,IF(OFFSET(CRONOPLE!$F$14,$M289,BE$13)="",10^12,OFFSET(CRONOPLE!$F$14,$M289,BE$13))))</f>
        <v>1000000000000</v>
      </c>
      <c r="BF289" s="215">
        <f ca="1">IF($D289&lt;&gt;"Serviço",0,IF(AND(AUTOEVENTO="Manual",$M289=1),0,IF(OFFSET(CRONOPLE!$F$14,$M289,BF$13)="",10^12,OFFSET(CRONOPLE!$F$14,$M289,BF$13))))</f>
        <v>1000000000000</v>
      </c>
      <c r="BG289" s="215">
        <f ca="1">IF($D289&lt;&gt;"Serviço",0,IF(AND(AUTOEVENTO="Manual",$M289=1),0,IF(OFFSET(CRONOPLE!$F$14,$M289,BG$13)="",10^12,OFFSET(CRONOPLE!$F$14,$M289,BG$13))))</f>
        <v>1000000000000</v>
      </c>
      <c r="BH289" s="215">
        <f ca="1">IF($D289&lt;&gt;"Serviço",0,IF(AND(AUTOEVENTO="Manual",$M289=1),0,IF(OFFSET(CRONOPLE!$F$14,$M289,BH$13)="",10^12,OFFSET(CRONOPLE!$F$14,$M289,BH$13))))</f>
        <v>1000000000000</v>
      </c>
      <c r="BI289" s="215">
        <f ca="1">IF($D289&lt;&gt;"Serviço",0,IF(AND(AUTOEVENTO="Manual",$M289=1),0,IF(OFFSET(CRONOPLE!$F$14,$M289,BI$13)="",10^12,OFFSET(CRONOPLE!$F$14,$M289,BI$13))))</f>
        <v>1000000000000</v>
      </c>
      <c r="BJ289" s="215">
        <f ca="1">IF($D289&lt;&gt;"Serviço",0,IF(AND(AUTOEVENTO="Manual",$M289=1),0,IF(OFFSET(CRONOPLE!$F$14,$M289,BJ$13)="",10^12,OFFSET(CRONOPLE!$F$14,$M289,BJ$13))))</f>
        <v>1000000000000</v>
      </c>
      <c r="BK289" s="215">
        <f ca="1">IF($D289&lt;&gt;"Serviço",0,IF(AND(AUTOEVENTO="Manual",$M289=1),0,IF(OFFSET(CRONOPLE!$F$14,$M289,BK$13)="",10^12,OFFSET(CRONOPLE!$F$14,$M289,BK$13))))</f>
        <v>1000000000000</v>
      </c>
      <c r="BL289" s="215">
        <f ca="1">IF($D289&lt;&gt;"Serviço",0,IF(AND(AUTOEVENTO="Manual",$M289=1),0,IF(OFFSET(CRONOPLE!$F$14,$M289,BL$13)="",10^12,OFFSET(CRONOPLE!$F$14,$M289,BL$13))))</f>
        <v>1000000000000</v>
      </c>
      <c r="BM289" s="215">
        <f ca="1">IF($D289&lt;&gt;"Serviço",0,IF(AND(AUTOEVENTO="Manual",$M289=1),0,IF(OFFSET(CRONOPLE!$F$14,$M289,BM$13)="",10^12,OFFSET(CRONOPLE!$F$14,$M289,BM$13))))</f>
        <v>1000000000000</v>
      </c>
      <c r="BN289" s="215">
        <f ca="1">IF($D289&lt;&gt;"Serviço",0,IF(AND(AUTOEVENTO="Manual",$M289=1),0,IF(OFFSET(CRONOPLE!$F$14,$M289,BN$13)="",10^12,OFFSET(CRONOPLE!$F$14,$M289,BN$13))))</f>
        <v>1000000000000</v>
      </c>
      <c r="BO289" s="215">
        <f ca="1">IF($D289&lt;&gt;"Serviço",0,IF(AND(AUTOEVENTO="Manual",$M289=1),0,IF(OFFSET(CRONOPLE!$F$14,$M289,BO$13)="",10^12,OFFSET(CRONOPLE!$F$14,$M289,BO$13))))</f>
        <v>1000000000000</v>
      </c>
      <c r="BP289" s="215">
        <f ca="1">IF($D289&lt;&gt;"Serviço",0,IF(AND(AUTOEVENTO="Manual",$M289=1),0,IF(OFFSET(CRONOPLE!$F$14,$M289,BP$13)="",10^12,OFFSET(CRONOPLE!$F$14,$M289,BP$13))))</f>
        <v>1000000000000</v>
      </c>
      <c r="BQ289" s="215">
        <f ca="1">IF($D289&lt;&gt;"Serviço",0,IF(AND(AUTOEVENTO="Manual",$M289=1),0,IF(OFFSET(CRONOPLE!$F$14,$M289,BQ$13)="",10^12,OFFSET(CRONOPLE!$F$14,$M289,BQ$13))))</f>
        <v>1000000000000</v>
      </c>
      <c r="BR289" s="215">
        <f ca="1">IF($D289&lt;&gt;"Serviço",0,IF(AND(AUTOEVENTO="Manual",$M289=1),0,IF(OFFSET(CRONOPLE!$F$14,$M289,BR$13)="",10^12,OFFSET(CRONOPLE!$F$14,$M289,BR$13))))</f>
        <v>1000000000000</v>
      </c>
      <c r="BS289" s="215">
        <f ca="1">IF($D289&lt;&gt;"Serviço",0,IF(AND(AUTOEVENTO="Manual",$M289=1),0,IF(OFFSET(CRONOPLE!$F$14,$M289,BS$13)="",10^12,OFFSET(CRONOPLE!$F$14,$M289,BS$13))))</f>
        <v>1000000000000</v>
      </c>
      <c r="BT289" s="215">
        <f ca="1">IF($D289&lt;&gt;"Serviço",0,IF(AND(AUTOEVENTO="Manual",$M289=1),0,IF(OFFSET(CRONOPLE!$F$14,$M289,BT$13)="",10^12,OFFSET(CRONOPLE!$F$14,$M289,BT$13))))</f>
        <v>1000000000000</v>
      </c>
      <c r="BV289" s="216">
        <f ca="1">IF($D289&lt;&gt;"Serviço",0,IF(OR(AND(AUTOEVENTO="Manual",$M289=1),$M289&gt;(ROW(PLE.lastrow)-ROW(PLE.firstrow))),0,IF(OFFSET(PLE!$G$14,$M289,BV$13)="",10^12,OFFSET(PLE!$G$14,$M289,BV$13))))</f>
        <v>1000000000000</v>
      </c>
      <c r="BW289" s="216">
        <f ca="1">IF($D289&lt;&gt;"Serviço",0,IF(OR(AND(AUTOEVENTO="Manual",$M289=1),$M289&gt;(ROW(PLE.lastrow)-ROW(PLE.firstrow))),0,IF(OFFSET(PLE!$G$14,$M289,BW$13)="",10^12,OFFSET(PLE!$G$14,$M289,BW$13))))</f>
        <v>1000000000000</v>
      </c>
      <c r="BX289" s="216">
        <f ca="1">IF($D289&lt;&gt;"Serviço",0,IF(OR(AND(AUTOEVENTO="Manual",$M289=1),$M289&gt;(ROW(PLE.lastrow)-ROW(PLE.firstrow))),0,IF(OFFSET(PLE!$G$14,$M289,BX$13)="",10^12,OFFSET(PLE!$G$14,$M289,BX$13))))</f>
        <v>1000000000000</v>
      </c>
      <c r="BY289" s="216">
        <f ca="1">IF($D289&lt;&gt;"Serviço",0,IF(OR(AND(AUTOEVENTO="Manual",$M289=1),$M289&gt;(ROW(PLE.lastrow)-ROW(PLE.firstrow))),0,IF(OFFSET(PLE!$G$14,$M289,BY$13)="",10^12,OFFSET(PLE!$G$14,$M289,BY$13))))</f>
        <v>1000000000000</v>
      </c>
      <c r="BZ289" s="216">
        <f ca="1">IF($D289&lt;&gt;"Serviço",0,IF(OR(AND(AUTOEVENTO="Manual",$M289=1),$M289&gt;(ROW(PLE.lastrow)-ROW(PLE.firstrow))),0,IF(OFFSET(PLE!$G$14,$M289,BZ$13)="",10^12,OFFSET(PLE!$G$14,$M289,BZ$13))))</f>
        <v>1000000000000</v>
      </c>
      <c r="CA289" s="216">
        <f ca="1">IF($D289&lt;&gt;"Serviço",0,IF(OR(AND(AUTOEVENTO="Manual",$M289=1),$M289&gt;(ROW(PLE.lastrow)-ROW(PLE.firstrow))),0,IF(OFFSET(PLE!$G$14,$M289,CA$13)="",10^12,OFFSET(PLE!$G$14,$M289,CA$13))))</f>
        <v>1000000000000</v>
      </c>
      <c r="CB289" s="216">
        <f ca="1">IF($D289&lt;&gt;"Serviço",0,IF(OR(AND(AUTOEVENTO="Manual",$M289=1),$M289&gt;(ROW(PLE.lastrow)-ROW(PLE.firstrow))),0,IF(OFFSET(PLE!$G$14,$M289,CB$13)="",10^12,OFFSET(PLE!$G$14,$M289,CB$13))))</f>
        <v>1000000000000</v>
      </c>
      <c r="CC289" s="216">
        <f ca="1">IF($D289&lt;&gt;"Serviço",0,IF(OR(AND(AUTOEVENTO="Manual",$M289=1),$M289&gt;(ROW(PLE.lastrow)-ROW(PLE.firstrow))),0,IF(OFFSET(PLE!$G$14,$M289,CC$13)="",10^12,OFFSET(PLE!$G$14,$M289,CC$13))))</f>
        <v>1000000000000</v>
      </c>
      <c r="CD289" s="216">
        <f ca="1">IF($D289&lt;&gt;"Serviço",0,IF(OR(AND(AUTOEVENTO="Manual",$M289=1),$M289&gt;(ROW(PLE.lastrow)-ROW(PLE.firstrow))),0,IF(OFFSET(PLE!$G$14,$M289,CD$13)="",10^12,OFFSET(PLE!$G$14,$M289,CD$13))))</f>
        <v>1000000000000</v>
      </c>
      <c r="CE289" s="216">
        <f ca="1">IF($D289&lt;&gt;"Serviço",0,IF(OR(AND(AUTOEVENTO="Manual",$M289=1),$M289&gt;(ROW(PLE.lastrow)-ROW(PLE.firstrow))),0,IF(OFFSET(PLE!$G$14,$M289,CE$13)="",10^12,OFFSET(PLE!$G$14,$M289,CE$13))))</f>
        <v>1000000000000</v>
      </c>
      <c r="CF289" s="216">
        <f ca="1">IF($D289&lt;&gt;"Serviço",0,IF(OR(AND(AUTOEVENTO="Manual",$M289=1),$M289&gt;(ROW(PLE.lastrow)-ROW(PLE.firstrow))),0,IF(OFFSET(PLE!$G$14,$M289,CF$13)="",10^12,OFFSET(PLE!$G$14,$M289,CF$13))))</f>
        <v>1000000000000</v>
      </c>
      <c r="CG289" s="216">
        <f ca="1">IF($D289&lt;&gt;"Serviço",0,IF(OR(AND(AUTOEVENTO="Manual",$M289=1),$M289&gt;(ROW(PLE.lastrow)-ROW(PLE.firstrow))),0,IF(OFFSET(PLE!$G$14,$M289,CG$13)="",10^12,OFFSET(PLE!$G$14,$M289,CG$13))))</f>
        <v>1000000000000</v>
      </c>
      <c r="CH289" s="216">
        <f ca="1">IF($D289&lt;&gt;"Serviço",0,IF(OR(AND(AUTOEVENTO="Manual",$M289=1),$M289&gt;(ROW(PLE.lastrow)-ROW(PLE.firstrow))),0,IF(OFFSET(PLE!$G$14,$M289,CH$13)="",10^12,OFFSET(PLE!$G$14,$M289,CH$13))))</f>
        <v>1000000000000</v>
      </c>
      <c r="CI289" s="216">
        <f ca="1">IF($D289&lt;&gt;"Serviço",0,IF(OR(AND(AUTOEVENTO="Manual",$M289=1),$M289&gt;(ROW(PLE.lastrow)-ROW(PLE.firstrow))),0,IF(OFFSET(PLE!$G$14,$M289,CI$13)="",10^12,OFFSET(PLE!$G$14,$M289,CI$13))))</f>
        <v>1000000000000</v>
      </c>
      <c r="CJ289" s="216">
        <f ca="1">IF($D289&lt;&gt;"Serviço",0,IF(OR(AND(AUTOEVENTO="Manual",$M289=1),$M289&gt;(ROW(PLE.lastrow)-ROW(PLE.firstrow))),0,IF(OFFSET(PLE!$G$14,$M289,CJ$13)="",10^12,OFFSET(PLE!$G$14,$M289,CJ$13))))</f>
        <v>1000000000000</v>
      </c>
      <c r="CK289" s="216">
        <f ca="1">IF($D289&lt;&gt;"Serviço",0,IF(OR(AND(AUTOEVENTO="Manual",$M289=1),$M289&gt;(ROW(PLE.lastrow)-ROW(PLE.firstrow))),0,IF(OFFSET(PLE!$G$14,$M289,CK$13)="",10^12,OFFSET(PLE!$G$14,$M289,CK$13))))</f>
        <v>1000000000000</v>
      </c>
      <c r="CL289" s="216">
        <f ca="1">IF($D289&lt;&gt;"Serviço",0,IF(OR(AND(AUTOEVENTO="Manual",$M289=1),$M289&gt;(ROW(PLE.lastrow)-ROW(PLE.firstrow))),0,IF(OFFSET(PLE!$G$14,$M289,CL$13)="",10^12,OFFSET(PLE!$G$14,$M289,CL$13))))</f>
        <v>1000000000000</v>
      </c>
      <c r="CM289" s="216">
        <f ca="1">IF($D289&lt;&gt;"Serviço",0,IF(OR(AND(AUTOEVENTO="Manual",$M289=1),$M289&gt;(ROW(PLE.lastrow)-ROW(PLE.firstrow))),0,IF(OFFSET(PLE!$G$14,$M289,CM$13)="",10^12,OFFSET(PLE!$G$14,$M289,CM$13))))</f>
        <v>1000000000000</v>
      </c>
    </row>
    <row r="290" spans="1:91" ht="13.2" x14ac:dyDescent="0.25">
      <c r="A290" s="9">
        <f t="shared" ca="1" si="13"/>
        <v>0</v>
      </c>
      <c r="B290" s="9" t="str">
        <f ca="1">OFFSET(ORÇAMENTO!C$15,ROW(B290)-ROW(B$15),0)</f>
        <v>S</v>
      </c>
      <c r="C290" s="9" t="str">
        <f ca="1">OFFSET(ORÇAMENTO!L$15,ROW(C290)-ROW(C$15),0)</f>
        <v/>
      </c>
      <c r="D290" s="145" t="str">
        <f ca="1">OFFSET(ORÇAMENTO!N$15,ROW(D290)-ROW(D$15),0)</f>
        <v>Serviço</v>
      </c>
      <c r="E290" s="205" t="str">
        <f ca="1">OFFSET(ORÇAMENTO!O$15,ROW(E290)-ROW(E$15),0)</f>
        <v>-</v>
      </c>
      <c r="F290" s="206" t="str">
        <f ca="1">OFFSET(ORÇAMENTO!R$15,ROW(F290)-ROW(F$15),0)</f>
        <v>(abra o arquivo 'Referência 05-2024.xls)</v>
      </c>
      <c r="G290" s="207" t="str">
        <f ca="1">IF($D290&lt;&gt;"Serviço","",OFFSET(ORÇAMENTO!S$15,ROW(G290)-ROW(G$15),0))</f>
        <v>-</v>
      </c>
      <c r="H290" s="151">
        <f ca="1">IF($D290&lt;&gt;"Serviço",0,IF(ACOMPANHAMENTO="BM",ROUND(OFFSET(ORÇAMENTO!AJ$15,ROW(H290)-ROW(H$15),0),15-13*ORÇAMENTO!$AF$7),SUMPRODUCT(($Q$12:$AI$12&lt;&gt;"")*ROUND($Q290:$AI290,15-13*ORÇAMENTO!$AF$7))))</f>
        <v>11.18</v>
      </c>
      <c r="I290" s="650"/>
      <c r="K290" s="208"/>
      <c r="L290" s="209" t="s">
        <v>257</v>
      </c>
      <c r="M290" s="210">
        <f ca="1">IF($D290&lt;&gt;"Serviço","",IF(AUTOEVENTO="manual",$A290,IF(ISERROR(MATCH($A290,$A$15:OFFSET($A290,-1,0),0)),MAX($M$15:OFFSET(M290,-1,0))+1,INDEX($M$15:OFFSET(M290,-1,0),MATCH($A290,$A$15:OFFSET($A290,-1,0),0)))))</f>
        <v>0</v>
      </c>
      <c r="N290" s="211" t="str">
        <f ca="1">IF($D290&lt;&gt;"Serviço","",IF(AUTOEVENTO="Manual",IF($A290=0,"&lt;-- defina o número do agrupador",OFFSET(EVENTOS!$D$14,$A290,0)),OFFSET($F$15,$A290,0)))</f>
        <v>&lt;-- defina o número do agrupador</v>
      </c>
      <c r="O290" s="212"/>
      <c r="Q290" s="212"/>
      <c r="R290" s="213"/>
      <c r="S290" s="213"/>
      <c r="T290" s="213"/>
      <c r="U290" s="213"/>
      <c r="V290" s="213"/>
      <c r="W290" s="213"/>
      <c r="X290" s="213"/>
      <c r="Y290" s="213"/>
      <c r="Z290" s="214"/>
      <c r="AA290" s="213"/>
      <c r="AB290" s="213"/>
      <c r="AC290" s="213"/>
      <c r="AD290" s="213"/>
      <c r="AE290" s="213"/>
      <c r="AF290" s="213"/>
      <c r="AG290" s="213"/>
      <c r="AH290" s="214"/>
      <c r="AJ290" s="631">
        <f ca="1">IF(AND($D290="Serviço",AJ$12&lt;&gt;0,$H290&gt;0,OR(AUTOEVENTO&lt;&gt;"manual",$M290&lt;&gt;1)),ROUND(OFFSET($P290,0,AJ$13),15-13*ORÇAMENTO!$AF$7)/$H290*OFFSET(ORÇAMENTO!$X$15,ROW(AJ290)-ROW(AJ$15),0),0)</f>
        <v>0</v>
      </c>
      <c r="AK290" s="632">
        <f ca="1">IF(AND($D290="Serviço",AK$12&lt;&gt;0,$H290&gt;0,OR(AUTOEVENTO&lt;&gt;"manual",$M290&lt;&gt;1)),ROUND(OFFSET($P290,0,AK$13),15-13*ORÇAMENTO!$AF$7)/$H290*OFFSET(ORÇAMENTO!$X$15,ROW(AK290)-ROW(AK$15),0),0)</f>
        <v>0</v>
      </c>
      <c r="AL290" s="632">
        <f ca="1">IF(AND($D290="Serviço",AL$12&lt;&gt;0,$H290&gt;0,OR(AUTOEVENTO&lt;&gt;"manual",$M290&lt;&gt;1)),ROUND(OFFSET($P290,0,AL$13),15-13*ORÇAMENTO!$AF$7)/$H290*OFFSET(ORÇAMENTO!$X$15,ROW(AL290)-ROW(AL$15),0),0)</f>
        <v>0</v>
      </c>
      <c r="AM290" s="632">
        <f ca="1">IF(AND($D290="Serviço",AM$12&lt;&gt;0,$H290&gt;0,OR(AUTOEVENTO&lt;&gt;"manual",$M290&lt;&gt;1)),ROUND(OFFSET($P290,0,AM$13),15-13*ORÇAMENTO!$AF$7)/$H290*OFFSET(ORÇAMENTO!$X$15,ROW(AM290)-ROW(AM$15),0),0)</f>
        <v>0</v>
      </c>
      <c r="AN290" s="632">
        <f ca="1">IF(AND($D290="Serviço",AN$12&lt;&gt;0,$H290&gt;0,OR(AUTOEVENTO&lt;&gt;"manual",$M290&lt;&gt;1)),ROUND(OFFSET($P290,0,AN$13),15-13*ORÇAMENTO!$AF$7)/$H290*OFFSET(ORÇAMENTO!$X$15,ROW(AN290)-ROW(AN$15),0),0)</f>
        <v>0</v>
      </c>
      <c r="AO290" s="632">
        <f ca="1">IF(AND($D290="Serviço",AO$12&lt;&gt;0,$H290&gt;0,OR(AUTOEVENTO&lt;&gt;"manual",$M290&lt;&gt;1)),ROUND(OFFSET($P290,0,AO$13),15-13*ORÇAMENTO!$AF$7)/$H290*OFFSET(ORÇAMENTO!$X$15,ROW(AO290)-ROW(AO$15),0),0)</f>
        <v>0</v>
      </c>
      <c r="AP290" s="632">
        <f ca="1">IF(AND($D290="Serviço",AP$12&lt;&gt;0,$H290&gt;0,OR(AUTOEVENTO&lt;&gt;"manual",$M290&lt;&gt;1)),ROUND(OFFSET($P290,0,AP$13),15-13*ORÇAMENTO!$AF$7)/$H290*OFFSET(ORÇAMENTO!$X$15,ROW(AP290)-ROW(AP$15),0),0)</f>
        <v>0</v>
      </c>
      <c r="AQ290" s="632">
        <f ca="1">IF(AND($D290="Serviço",AQ$12&lt;&gt;0,$H290&gt;0,OR(AUTOEVENTO&lt;&gt;"manual",$M290&lt;&gt;1)),ROUND(OFFSET($P290,0,AQ$13),15-13*ORÇAMENTO!$AF$7)/$H290*OFFSET(ORÇAMENTO!$X$15,ROW(AQ290)-ROW(AQ$15),0),0)</f>
        <v>0</v>
      </c>
      <c r="AR290" s="632">
        <f ca="1">IF(AND($D290="Serviço",AR$12&lt;&gt;0,$H290&gt;0,OR(AUTOEVENTO&lt;&gt;"manual",$M290&lt;&gt;1)),ROUND(OFFSET($P290,0,AR$13),15-13*ORÇAMENTO!$AF$7)/$H290*OFFSET(ORÇAMENTO!$X$15,ROW(AR290)-ROW(AR$15),0),0)</f>
        <v>0</v>
      </c>
      <c r="AS290" s="633">
        <f ca="1">IF(AND($D290="Serviço",AS$12&lt;&gt;0,$H290&gt;0,OR(AUTOEVENTO&lt;&gt;"manual",$M290&lt;&gt;1)),ROUND(OFFSET($P290,0,AS$13),15-13*ORÇAMENTO!$AF$7)/$H290*OFFSET(ORÇAMENTO!$X$15,ROW(AS290)-ROW(AS$15),0),0)</f>
        <v>0</v>
      </c>
      <c r="AT290" s="632">
        <f ca="1">IF(AND($D290="Serviço",AT$12&lt;&gt;0,$H290&gt;0,OR(AUTOEVENTO&lt;&gt;"manual",$M290&lt;&gt;1)),ROUND(OFFSET($P290,0,AT$13),15-13*ORÇAMENTO!$AF$7)/$H290*OFFSET(ORÇAMENTO!$X$15,ROW(AT290)-ROW(AT$15),0),0)</f>
        <v>0</v>
      </c>
      <c r="AU290" s="632">
        <f ca="1">IF(AND($D290="Serviço",AU$12&lt;&gt;0,$H290&gt;0,OR(AUTOEVENTO&lt;&gt;"manual",$M290&lt;&gt;1)),ROUND(OFFSET($P290,0,AU$13),15-13*ORÇAMENTO!$AF$7)/$H290*OFFSET(ORÇAMENTO!$X$15,ROW(AU290)-ROW(AU$15),0),0)</f>
        <v>0</v>
      </c>
      <c r="AV290" s="632">
        <f ca="1">IF(AND($D290="Serviço",AV$12&lt;&gt;0,$H290&gt;0,OR(AUTOEVENTO&lt;&gt;"manual",$M290&lt;&gt;1)),ROUND(OFFSET($P290,0,AV$13),15-13*ORÇAMENTO!$AF$7)/$H290*OFFSET(ORÇAMENTO!$X$15,ROW(AV290)-ROW(AV$15),0),0)</f>
        <v>0</v>
      </c>
      <c r="AW290" s="632">
        <f ca="1">IF(AND($D290="Serviço",AW$12&lt;&gt;0,$H290&gt;0,OR(AUTOEVENTO&lt;&gt;"manual",$M290&lt;&gt;1)),ROUND(OFFSET($P290,0,AW$13),15-13*ORÇAMENTO!$AF$7)/$H290*OFFSET(ORÇAMENTO!$X$15,ROW(AW290)-ROW(AW$15),0),0)</f>
        <v>0</v>
      </c>
      <c r="AX290" s="632">
        <f ca="1">IF(AND($D290="Serviço",AX$12&lt;&gt;0,$H290&gt;0,OR(AUTOEVENTO&lt;&gt;"manual",$M290&lt;&gt;1)),ROUND(OFFSET($P290,0,AX$13),15-13*ORÇAMENTO!$AF$7)/$H290*OFFSET(ORÇAMENTO!$X$15,ROW(AX290)-ROW(AX$15),0),0)</f>
        <v>0</v>
      </c>
      <c r="AY290" s="632">
        <f ca="1">IF(AND($D290="Serviço",AY$12&lt;&gt;0,$H290&gt;0,OR(AUTOEVENTO&lt;&gt;"manual",$M290&lt;&gt;1)),ROUND(OFFSET($P290,0,AY$13),15-13*ORÇAMENTO!$AF$7)/$H290*OFFSET(ORÇAMENTO!$X$15,ROW(AY290)-ROW(AY$15),0),0)</f>
        <v>0</v>
      </c>
      <c r="AZ290" s="632">
        <f ca="1">IF(AND($D290="Serviço",AZ$12&lt;&gt;0,$H290&gt;0,OR(AUTOEVENTO&lt;&gt;"manual",$M290&lt;&gt;1)),ROUND(OFFSET($P290,0,AZ$13),15-13*ORÇAMENTO!$AF$7)/$H290*OFFSET(ORÇAMENTO!$X$15,ROW(AZ290)-ROW(AZ$15),0),0)</f>
        <v>0</v>
      </c>
      <c r="BA290" s="633">
        <f ca="1">IF(AND($D290="Serviço",BA$12&lt;&gt;0,$H290&gt;0,OR(AUTOEVENTO&lt;&gt;"manual",$M290&lt;&gt;1)),ROUND(OFFSET($P290,0,BA$13),15-13*ORÇAMENTO!$AF$7)/$H290*OFFSET(ORÇAMENTO!$X$15,ROW(BA290)-ROW(BA$15),0),0)</f>
        <v>0</v>
      </c>
      <c r="BC290" s="215">
        <f ca="1">IF($D290&lt;&gt;"Serviço",0,IF(AND(AUTOEVENTO="Manual",$M290=1),0,IF(OFFSET(CRONOPLE!$F$14,$M290,BC$13)="",10^12,OFFSET(CRONOPLE!$F$14,$M290,BC$13))))</f>
        <v>1000000000000</v>
      </c>
      <c r="BD290" s="215">
        <f ca="1">IF($D290&lt;&gt;"Serviço",0,IF(AND(AUTOEVENTO="Manual",$M290=1),0,IF(OFFSET(CRONOPLE!$F$14,$M290,BD$13)="",10^12,OFFSET(CRONOPLE!$F$14,$M290,BD$13))))</f>
        <v>1000000000000</v>
      </c>
      <c r="BE290" s="215">
        <f ca="1">IF($D290&lt;&gt;"Serviço",0,IF(AND(AUTOEVENTO="Manual",$M290=1),0,IF(OFFSET(CRONOPLE!$F$14,$M290,BE$13)="",10^12,OFFSET(CRONOPLE!$F$14,$M290,BE$13))))</f>
        <v>1000000000000</v>
      </c>
      <c r="BF290" s="215">
        <f ca="1">IF($D290&lt;&gt;"Serviço",0,IF(AND(AUTOEVENTO="Manual",$M290=1),0,IF(OFFSET(CRONOPLE!$F$14,$M290,BF$13)="",10^12,OFFSET(CRONOPLE!$F$14,$M290,BF$13))))</f>
        <v>1000000000000</v>
      </c>
      <c r="BG290" s="215">
        <f ca="1">IF($D290&lt;&gt;"Serviço",0,IF(AND(AUTOEVENTO="Manual",$M290=1),0,IF(OFFSET(CRONOPLE!$F$14,$M290,BG$13)="",10^12,OFFSET(CRONOPLE!$F$14,$M290,BG$13))))</f>
        <v>1000000000000</v>
      </c>
      <c r="BH290" s="215">
        <f ca="1">IF($D290&lt;&gt;"Serviço",0,IF(AND(AUTOEVENTO="Manual",$M290=1),0,IF(OFFSET(CRONOPLE!$F$14,$M290,BH$13)="",10^12,OFFSET(CRONOPLE!$F$14,$M290,BH$13))))</f>
        <v>1000000000000</v>
      </c>
      <c r="BI290" s="215">
        <f ca="1">IF($D290&lt;&gt;"Serviço",0,IF(AND(AUTOEVENTO="Manual",$M290=1),0,IF(OFFSET(CRONOPLE!$F$14,$M290,BI$13)="",10^12,OFFSET(CRONOPLE!$F$14,$M290,BI$13))))</f>
        <v>1000000000000</v>
      </c>
      <c r="BJ290" s="215">
        <f ca="1">IF($D290&lt;&gt;"Serviço",0,IF(AND(AUTOEVENTO="Manual",$M290=1),0,IF(OFFSET(CRONOPLE!$F$14,$M290,BJ$13)="",10^12,OFFSET(CRONOPLE!$F$14,$M290,BJ$13))))</f>
        <v>1000000000000</v>
      </c>
      <c r="BK290" s="215">
        <f ca="1">IF($D290&lt;&gt;"Serviço",0,IF(AND(AUTOEVENTO="Manual",$M290=1),0,IF(OFFSET(CRONOPLE!$F$14,$M290,BK$13)="",10^12,OFFSET(CRONOPLE!$F$14,$M290,BK$13))))</f>
        <v>1000000000000</v>
      </c>
      <c r="BL290" s="215">
        <f ca="1">IF($D290&lt;&gt;"Serviço",0,IF(AND(AUTOEVENTO="Manual",$M290=1),0,IF(OFFSET(CRONOPLE!$F$14,$M290,BL$13)="",10^12,OFFSET(CRONOPLE!$F$14,$M290,BL$13))))</f>
        <v>1000000000000</v>
      </c>
      <c r="BM290" s="215">
        <f ca="1">IF($D290&lt;&gt;"Serviço",0,IF(AND(AUTOEVENTO="Manual",$M290=1),0,IF(OFFSET(CRONOPLE!$F$14,$M290,BM$13)="",10^12,OFFSET(CRONOPLE!$F$14,$M290,BM$13))))</f>
        <v>1000000000000</v>
      </c>
      <c r="BN290" s="215">
        <f ca="1">IF($D290&lt;&gt;"Serviço",0,IF(AND(AUTOEVENTO="Manual",$M290=1),0,IF(OFFSET(CRONOPLE!$F$14,$M290,BN$13)="",10^12,OFFSET(CRONOPLE!$F$14,$M290,BN$13))))</f>
        <v>1000000000000</v>
      </c>
      <c r="BO290" s="215">
        <f ca="1">IF($D290&lt;&gt;"Serviço",0,IF(AND(AUTOEVENTO="Manual",$M290=1),0,IF(OFFSET(CRONOPLE!$F$14,$M290,BO$13)="",10^12,OFFSET(CRONOPLE!$F$14,$M290,BO$13))))</f>
        <v>1000000000000</v>
      </c>
      <c r="BP290" s="215">
        <f ca="1">IF($D290&lt;&gt;"Serviço",0,IF(AND(AUTOEVENTO="Manual",$M290=1),0,IF(OFFSET(CRONOPLE!$F$14,$M290,BP$13)="",10^12,OFFSET(CRONOPLE!$F$14,$M290,BP$13))))</f>
        <v>1000000000000</v>
      </c>
      <c r="BQ290" s="215">
        <f ca="1">IF($D290&lt;&gt;"Serviço",0,IF(AND(AUTOEVENTO="Manual",$M290=1),0,IF(OFFSET(CRONOPLE!$F$14,$M290,BQ$13)="",10^12,OFFSET(CRONOPLE!$F$14,$M290,BQ$13))))</f>
        <v>1000000000000</v>
      </c>
      <c r="BR290" s="215">
        <f ca="1">IF($D290&lt;&gt;"Serviço",0,IF(AND(AUTOEVENTO="Manual",$M290=1),0,IF(OFFSET(CRONOPLE!$F$14,$M290,BR$13)="",10^12,OFFSET(CRONOPLE!$F$14,$M290,BR$13))))</f>
        <v>1000000000000</v>
      </c>
      <c r="BS290" s="215">
        <f ca="1">IF($D290&lt;&gt;"Serviço",0,IF(AND(AUTOEVENTO="Manual",$M290=1),0,IF(OFFSET(CRONOPLE!$F$14,$M290,BS$13)="",10^12,OFFSET(CRONOPLE!$F$14,$M290,BS$13))))</f>
        <v>1000000000000</v>
      </c>
      <c r="BT290" s="215">
        <f ca="1">IF($D290&lt;&gt;"Serviço",0,IF(AND(AUTOEVENTO="Manual",$M290=1),0,IF(OFFSET(CRONOPLE!$F$14,$M290,BT$13)="",10^12,OFFSET(CRONOPLE!$F$14,$M290,BT$13))))</f>
        <v>1000000000000</v>
      </c>
      <c r="BV290" s="216">
        <f ca="1">IF($D290&lt;&gt;"Serviço",0,IF(OR(AND(AUTOEVENTO="Manual",$M290=1),$M290&gt;(ROW(PLE.lastrow)-ROW(PLE.firstrow))),0,IF(OFFSET(PLE!$G$14,$M290,BV$13)="",10^12,OFFSET(PLE!$G$14,$M290,BV$13))))</f>
        <v>1000000000000</v>
      </c>
      <c r="BW290" s="216">
        <f ca="1">IF($D290&lt;&gt;"Serviço",0,IF(OR(AND(AUTOEVENTO="Manual",$M290=1),$M290&gt;(ROW(PLE.lastrow)-ROW(PLE.firstrow))),0,IF(OFFSET(PLE!$G$14,$M290,BW$13)="",10^12,OFFSET(PLE!$G$14,$M290,BW$13))))</f>
        <v>1000000000000</v>
      </c>
      <c r="BX290" s="216">
        <f ca="1">IF($D290&lt;&gt;"Serviço",0,IF(OR(AND(AUTOEVENTO="Manual",$M290=1),$M290&gt;(ROW(PLE.lastrow)-ROW(PLE.firstrow))),0,IF(OFFSET(PLE!$G$14,$M290,BX$13)="",10^12,OFFSET(PLE!$G$14,$M290,BX$13))))</f>
        <v>1000000000000</v>
      </c>
      <c r="BY290" s="216">
        <f ca="1">IF($D290&lt;&gt;"Serviço",0,IF(OR(AND(AUTOEVENTO="Manual",$M290=1),$M290&gt;(ROW(PLE.lastrow)-ROW(PLE.firstrow))),0,IF(OFFSET(PLE!$G$14,$M290,BY$13)="",10^12,OFFSET(PLE!$G$14,$M290,BY$13))))</f>
        <v>1000000000000</v>
      </c>
      <c r="BZ290" s="216">
        <f ca="1">IF($D290&lt;&gt;"Serviço",0,IF(OR(AND(AUTOEVENTO="Manual",$M290=1),$M290&gt;(ROW(PLE.lastrow)-ROW(PLE.firstrow))),0,IF(OFFSET(PLE!$G$14,$M290,BZ$13)="",10^12,OFFSET(PLE!$G$14,$M290,BZ$13))))</f>
        <v>1000000000000</v>
      </c>
      <c r="CA290" s="216">
        <f ca="1">IF($D290&lt;&gt;"Serviço",0,IF(OR(AND(AUTOEVENTO="Manual",$M290=1),$M290&gt;(ROW(PLE.lastrow)-ROW(PLE.firstrow))),0,IF(OFFSET(PLE!$G$14,$M290,CA$13)="",10^12,OFFSET(PLE!$G$14,$M290,CA$13))))</f>
        <v>1000000000000</v>
      </c>
      <c r="CB290" s="216">
        <f ca="1">IF($D290&lt;&gt;"Serviço",0,IF(OR(AND(AUTOEVENTO="Manual",$M290=1),$M290&gt;(ROW(PLE.lastrow)-ROW(PLE.firstrow))),0,IF(OFFSET(PLE!$G$14,$M290,CB$13)="",10^12,OFFSET(PLE!$G$14,$M290,CB$13))))</f>
        <v>1000000000000</v>
      </c>
      <c r="CC290" s="216">
        <f ca="1">IF($D290&lt;&gt;"Serviço",0,IF(OR(AND(AUTOEVENTO="Manual",$M290=1),$M290&gt;(ROW(PLE.lastrow)-ROW(PLE.firstrow))),0,IF(OFFSET(PLE!$G$14,$M290,CC$13)="",10^12,OFFSET(PLE!$G$14,$M290,CC$13))))</f>
        <v>1000000000000</v>
      </c>
      <c r="CD290" s="216">
        <f ca="1">IF($D290&lt;&gt;"Serviço",0,IF(OR(AND(AUTOEVENTO="Manual",$M290=1),$M290&gt;(ROW(PLE.lastrow)-ROW(PLE.firstrow))),0,IF(OFFSET(PLE!$G$14,$M290,CD$13)="",10^12,OFFSET(PLE!$G$14,$M290,CD$13))))</f>
        <v>1000000000000</v>
      </c>
      <c r="CE290" s="216">
        <f ca="1">IF($D290&lt;&gt;"Serviço",0,IF(OR(AND(AUTOEVENTO="Manual",$M290=1),$M290&gt;(ROW(PLE.lastrow)-ROW(PLE.firstrow))),0,IF(OFFSET(PLE!$G$14,$M290,CE$13)="",10^12,OFFSET(PLE!$G$14,$M290,CE$13))))</f>
        <v>1000000000000</v>
      </c>
      <c r="CF290" s="216">
        <f ca="1">IF($D290&lt;&gt;"Serviço",0,IF(OR(AND(AUTOEVENTO="Manual",$M290=1),$M290&gt;(ROW(PLE.lastrow)-ROW(PLE.firstrow))),0,IF(OFFSET(PLE!$G$14,$M290,CF$13)="",10^12,OFFSET(PLE!$G$14,$M290,CF$13))))</f>
        <v>1000000000000</v>
      </c>
      <c r="CG290" s="216">
        <f ca="1">IF($D290&lt;&gt;"Serviço",0,IF(OR(AND(AUTOEVENTO="Manual",$M290=1),$M290&gt;(ROW(PLE.lastrow)-ROW(PLE.firstrow))),0,IF(OFFSET(PLE!$G$14,$M290,CG$13)="",10^12,OFFSET(PLE!$G$14,$M290,CG$13))))</f>
        <v>1000000000000</v>
      </c>
      <c r="CH290" s="216">
        <f ca="1">IF($D290&lt;&gt;"Serviço",0,IF(OR(AND(AUTOEVENTO="Manual",$M290=1),$M290&gt;(ROW(PLE.lastrow)-ROW(PLE.firstrow))),0,IF(OFFSET(PLE!$G$14,$M290,CH$13)="",10^12,OFFSET(PLE!$G$14,$M290,CH$13))))</f>
        <v>1000000000000</v>
      </c>
      <c r="CI290" s="216">
        <f ca="1">IF($D290&lt;&gt;"Serviço",0,IF(OR(AND(AUTOEVENTO="Manual",$M290=1),$M290&gt;(ROW(PLE.lastrow)-ROW(PLE.firstrow))),0,IF(OFFSET(PLE!$G$14,$M290,CI$13)="",10^12,OFFSET(PLE!$G$14,$M290,CI$13))))</f>
        <v>1000000000000</v>
      </c>
      <c r="CJ290" s="216">
        <f ca="1">IF($D290&lt;&gt;"Serviço",0,IF(OR(AND(AUTOEVENTO="Manual",$M290=1),$M290&gt;(ROW(PLE.lastrow)-ROW(PLE.firstrow))),0,IF(OFFSET(PLE!$G$14,$M290,CJ$13)="",10^12,OFFSET(PLE!$G$14,$M290,CJ$13))))</f>
        <v>1000000000000</v>
      </c>
      <c r="CK290" s="216">
        <f ca="1">IF($D290&lt;&gt;"Serviço",0,IF(OR(AND(AUTOEVENTO="Manual",$M290=1),$M290&gt;(ROW(PLE.lastrow)-ROW(PLE.firstrow))),0,IF(OFFSET(PLE!$G$14,$M290,CK$13)="",10^12,OFFSET(PLE!$G$14,$M290,CK$13))))</f>
        <v>1000000000000</v>
      </c>
      <c r="CL290" s="216">
        <f ca="1">IF($D290&lt;&gt;"Serviço",0,IF(OR(AND(AUTOEVENTO="Manual",$M290=1),$M290&gt;(ROW(PLE.lastrow)-ROW(PLE.firstrow))),0,IF(OFFSET(PLE!$G$14,$M290,CL$13)="",10^12,OFFSET(PLE!$G$14,$M290,CL$13))))</f>
        <v>1000000000000</v>
      </c>
      <c r="CM290" s="216">
        <f ca="1">IF($D290&lt;&gt;"Serviço",0,IF(OR(AND(AUTOEVENTO="Manual",$M290=1),$M290&gt;(ROW(PLE.lastrow)-ROW(PLE.firstrow))),0,IF(OFFSET(PLE!$G$14,$M290,CM$13)="",10^12,OFFSET(PLE!$G$14,$M290,CM$13))))</f>
        <v>1000000000000</v>
      </c>
    </row>
    <row r="291" spans="1:91" ht="13.2" x14ac:dyDescent="0.25">
      <c r="A291" s="9">
        <f t="shared" ca="1" si="13"/>
        <v>0</v>
      </c>
      <c r="B291" s="9" t="str">
        <f ca="1">OFFSET(ORÇAMENTO!C$15,ROW(B291)-ROW(B$15),0)</f>
        <v>S</v>
      </c>
      <c r="C291" s="9" t="str">
        <f ca="1">OFFSET(ORÇAMENTO!L$15,ROW(C291)-ROW(C$15),0)</f>
        <v/>
      </c>
      <c r="D291" s="145" t="str">
        <f ca="1">OFFSET(ORÇAMENTO!N$15,ROW(D291)-ROW(D$15),0)</f>
        <v>Serviço</v>
      </c>
      <c r="E291" s="205" t="str">
        <f ca="1">OFFSET(ORÇAMENTO!O$15,ROW(E291)-ROW(E$15),0)</f>
        <v>-</v>
      </c>
      <c r="F291" s="206" t="str">
        <f ca="1">OFFSET(ORÇAMENTO!R$15,ROW(F291)-ROW(F$15),0)</f>
        <v>(abra o arquivo 'Referência 05-2024.xls)</v>
      </c>
      <c r="G291" s="207" t="str">
        <f ca="1">IF($D291&lt;&gt;"Serviço","",OFFSET(ORÇAMENTO!S$15,ROW(G291)-ROW(G$15),0))</f>
        <v>-</v>
      </c>
      <c r="H291" s="151">
        <f ca="1">IF($D291&lt;&gt;"Serviço",0,IF(ACOMPANHAMENTO="BM",ROUND(OFFSET(ORÇAMENTO!AJ$15,ROW(H291)-ROW(H$15),0),15-13*ORÇAMENTO!$AF$7),SUMPRODUCT(($Q$12:$AI$12&lt;&gt;"")*ROUND($Q291:$AI291,15-13*ORÇAMENTO!$AF$7))))</f>
        <v>105.93</v>
      </c>
      <c r="I291" s="650"/>
      <c r="K291" s="208"/>
      <c r="L291" s="209" t="s">
        <v>257</v>
      </c>
      <c r="M291" s="210">
        <f ca="1">IF($D291&lt;&gt;"Serviço","",IF(AUTOEVENTO="manual",$A291,IF(ISERROR(MATCH($A291,$A$15:OFFSET($A291,-1,0),0)),MAX($M$15:OFFSET(M291,-1,0))+1,INDEX($M$15:OFFSET(M291,-1,0),MATCH($A291,$A$15:OFFSET($A291,-1,0),0)))))</f>
        <v>0</v>
      </c>
      <c r="N291" s="211" t="str">
        <f ca="1">IF($D291&lt;&gt;"Serviço","",IF(AUTOEVENTO="Manual",IF($A291=0,"&lt;-- defina o número do agrupador",OFFSET(EVENTOS!$D$14,$A291,0)),OFFSET($F$15,$A291,0)))</f>
        <v>&lt;-- defina o número do agrupador</v>
      </c>
      <c r="O291" s="212"/>
      <c r="Q291" s="212"/>
      <c r="R291" s="213"/>
      <c r="S291" s="213"/>
      <c r="T291" s="213"/>
      <c r="U291" s="213"/>
      <c r="V291" s="213"/>
      <c r="W291" s="213"/>
      <c r="X291" s="213"/>
      <c r="Y291" s="213"/>
      <c r="Z291" s="214"/>
      <c r="AA291" s="213"/>
      <c r="AB291" s="213"/>
      <c r="AC291" s="213"/>
      <c r="AD291" s="213"/>
      <c r="AE291" s="213"/>
      <c r="AF291" s="213"/>
      <c r="AG291" s="213"/>
      <c r="AH291" s="214"/>
      <c r="AJ291" s="631">
        <f ca="1">IF(AND($D291="Serviço",AJ$12&lt;&gt;0,$H291&gt;0,OR(AUTOEVENTO&lt;&gt;"manual",$M291&lt;&gt;1)),ROUND(OFFSET($P291,0,AJ$13),15-13*ORÇAMENTO!$AF$7)/$H291*OFFSET(ORÇAMENTO!$X$15,ROW(AJ291)-ROW(AJ$15),0),0)</f>
        <v>0</v>
      </c>
      <c r="AK291" s="632">
        <f ca="1">IF(AND($D291="Serviço",AK$12&lt;&gt;0,$H291&gt;0,OR(AUTOEVENTO&lt;&gt;"manual",$M291&lt;&gt;1)),ROUND(OFFSET($P291,0,AK$13),15-13*ORÇAMENTO!$AF$7)/$H291*OFFSET(ORÇAMENTO!$X$15,ROW(AK291)-ROW(AK$15),0),0)</f>
        <v>0</v>
      </c>
      <c r="AL291" s="632">
        <f ca="1">IF(AND($D291="Serviço",AL$12&lt;&gt;0,$H291&gt;0,OR(AUTOEVENTO&lt;&gt;"manual",$M291&lt;&gt;1)),ROUND(OFFSET($P291,0,AL$13),15-13*ORÇAMENTO!$AF$7)/$H291*OFFSET(ORÇAMENTO!$X$15,ROW(AL291)-ROW(AL$15),0),0)</f>
        <v>0</v>
      </c>
      <c r="AM291" s="632">
        <f ca="1">IF(AND($D291="Serviço",AM$12&lt;&gt;0,$H291&gt;0,OR(AUTOEVENTO&lt;&gt;"manual",$M291&lt;&gt;1)),ROUND(OFFSET($P291,0,AM$13),15-13*ORÇAMENTO!$AF$7)/$H291*OFFSET(ORÇAMENTO!$X$15,ROW(AM291)-ROW(AM$15),0),0)</f>
        <v>0</v>
      </c>
      <c r="AN291" s="632">
        <f ca="1">IF(AND($D291="Serviço",AN$12&lt;&gt;0,$H291&gt;0,OR(AUTOEVENTO&lt;&gt;"manual",$M291&lt;&gt;1)),ROUND(OFFSET($P291,0,AN$13),15-13*ORÇAMENTO!$AF$7)/$H291*OFFSET(ORÇAMENTO!$X$15,ROW(AN291)-ROW(AN$15),0),0)</f>
        <v>0</v>
      </c>
      <c r="AO291" s="632">
        <f ca="1">IF(AND($D291="Serviço",AO$12&lt;&gt;0,$H291&gt;0,OR(AUTOEVENTO&lt;&gt;"manual",$M291&lt;&gt;1)),ROUND(OFFSET($P291,0,AO$13),15-13*ORÇAMENTO!$AF$7)/$H291*OFFSET(ORÇAMENTO!$X$15,ROW(AO291)-ROW(AO$15),0),0)</f>
        <v>0</v>
      </c>
      <c r="AP291" s="632">
        <f ca="1">IF(AND($D291="Serviço",AP$12&lt;&gt;0,$H291&gt;0,OR(AUTOEVENTO&lt;&gt;"manual",$M291&lt;&gt;1)),ROUND(OFFSET($P291,0,AP$13),15-13*ORÇAMENTO!$AF$7)/$H291*OFFSET(ORÇAMENTO!$X$15,ROW(AP291)-ROW(AP$15),0),0)</f>
        <v>0</v>
      </c>
      <c r="AQ291" s="632">
        <f ca="1">IF(AND($D291="Serviço",AQ$12&lt;&gt;0,$H291&gt;0,OR(AUTOEVENTO&lt;&gt;"manual",$M291&lt;&gt;1)),ROUND(OFFSET($P291,0,AQ$13),15-13*ORÇAMENTO!$AF$7)/$H291*OFFSET(ORÇAMENTO!$X$15,ROW(AQ291)-ROW(AQ$15),0),0)</f>
        <v>0</v>
      </c>
      <c r="AR291" s="632">
        <f ca="1">IF(AND($D291="Serviço",AR$12&lt;&gt;0,$H291&gt;0,OR(AUTOEVENTO&lt;&gt;"manual",$M291&lt;&gt;1)),ROUND(OFFSET($P291,0,AR$13),15-13*ORÇAMENTO!$AF$7)/$H291*OFFSET(ORÇAMENTO!$X$15,ROW(AR291)-ROW(AR$15),0),0)</f>
        <v>0</v>
      </c>
      <c r="AS291" s="633">
        <f ca="1">IF(AND($D291="Serviço",AS$12&lt;&gt;0,$H291&gt;0,OR(AUTOEVENTO&lt;&gt;"manual",$M291&lt;&gt;1)),ROUND(OFFSET($P291,0,AS$13),15-13*ORÇAMENTO!$AF$7)/$H291*OFFSET(ORÇAMENTO!$X$15,ROW(AS291)-ROW(AS$15),0),0)</f>
        <v>0</v>
      </c>
      <c r="AT291" s="632">
        <f ca="1">IF(AND($D291="Serviço",AT$12&lt;&gt;0,$H291&gt;0,OR(AUTOEVENTO&lt;&gt;"manual",$M291&lt;&gt;1)),ROUND(OFFSET($P291,0,AT$13),15-13*ORÇAMENTO!$AF$7)/$H291*OFFSET(ORÇAMENTO!$X$15,ROW(AT291)-ROW(AT$15),0),0)</f>
        <v>0</v>
      </c>
      <c r="AU291" s="632">
        <f ca="1">IF(AND($D291="Serviço",AU$12&lt;&gt;0,$H291&gt;0,OR(AUTOEVENTO&lt;&gt;"manual",$M291&lt;&gt;1)),ROUND(OFFSET($P291,0,AU$13),15-13*ORÇAMENTO!$AF$7)/$H291*OFFSET(ORÇAMENTO!$X$15,ROW(AU291)-ROW(AU$15),0),0)</f>
        <v>0</v>
      </c>
      <c r="AV291" s="632">
        <f ca="1">IF(AND($D291="Serviço",AV$12&lt;&gt;0,$H291&gt;0,OR(AUTOEVENTO&lt;&gt;"manual",$M291&lt;&gt;1)),ROUND(OFFSET($P291,0,AV$13),15-13*ORÇAMENTO!$AF$7)/$H291*OFFSET(ORÇAMENTO!$X$15,ROW(AV291)-ROW(AV$15),0),0)</f>
        <v>0</v>
      </c>
      <c r="AW291" s="632">
        <f ca="1">IF(AND($D291="Serviço",AW$12&lt;&gt;0,$H291&gt;0,OR(AUTOEVENTO&lt;&gt;"manual",$M291&lt;&gt;1)),ROUND(OFFSET($P291,0,AW$13),15-13*ORÇAMENTO!$AF$7)/$H291*OFFSET(ORÇAMENTO!$X$15,ROW(AW291)-ROW(AW$15),0),0)</f>
        <v>0</v>
      </c>
      <c r="AX291" s="632">
        <f ca="1">IF(AND($D291="Serviço",AX$12&lt;&gt;0,$H291&gt;0,OR(AUTOEVENTO&lt;&gt;"manual",$M291&lt;&gt;1)),ROUND(OFFSET($P291,0,AX$13),15-13*ORÇAMENTO!$AF$7)/$H291*OFFSET(ORÇAMENTO!$X$15,ROW(AX291)-ROW(AX$15),0),0)</f>
        <v>0</v>
      </c>
      <c r="AY291" s="632">
        <f ca="1">IF(AND($D291="Serviço",AY$12&lt;&gt;0,$H291&gt;0,OR(AUTOEVENTO&lt;&gt;"manual",$M291&lt;&gt;1)),ROUND(OFFSET($P291,0,AY$13),15-13*ORÇAMENTO!$AF$7)/$H291*OFFSET(ORÇAMENTO!$X$15,ROW(AY291)-ROW(AY$15),0),0)</f>
        <v>0</v>
      </c>
      <c r="AZ291" s="632">
        <f ca="1">IF(AND($D291="Serviço",AZ$12&lt;&gt;0,$H291&gt;0,OR(AUTOEVENTO&lt;&gt;"manual",$M291&lt;&gt;1)),ROUND(OFFSET($P291,0,AZ$13),15-13*ORÇAMENTO!$AF$7)/$H291*OFFSET(ORÇAMENTO!$X$15,ROW(AZ291)-ROW(AZ$15),0),0)</f>
        <v>0</v>
      </c>
      <c r="BA291" s="633">
        <f ca="1">IF(AND($D291="Serviço",BA$12&lt;&gt;0,$H291&gt;0,OR(AUTOEVENTO&lt;&gt;"manual",$M291&lt;&gt;1)),ROUND(OFFSET($P291,0,BA$13),15-13*ORÇAMENTO!$AF$7)/$H291*OFFSET(ORÇAMENTO!$X$15,ROW(BA291)-ROW(BA$15),0),0)</f>
        <v>0</v>
      </c>
      <c r="BC291" s="215">
        <f ca="1">IF($D291&lt;&gt;"Serviço",0,IF(AND(AUTOEVENTO="Manual",$M291=1),0,IF(OFFSET(CRONOPLE!$F$14,$M291,BC$13)="",10^12,OFFSET(CRONOPLE!$F$14,$M291,BC$13))))</f>
        <v>1000000000000</v>
      </c>
      <c r="BD291" s="215">
        <f ca="1">IF($D291&lt;&gt;"Serviço",0,IF(AND(AUTOEVENTO="Manual",$M291=1),0,IF(OFFSET(CRONOPLE!$F$14,$M291,BD$13)="",10^12,OFFSET(CRONOPLE!$F$14,$M291,BD$13))))</f>
        <v>1000000000000</v>
      </c>
      <c r="BE291" s="215">
        <f ca="1">IF($D291&lt;&gt;"Serviço",0,IF(AND(AUTOEVENTO="Manual",$M291=1),0,IF(OFFSET(CRONOPLE!$F$14,$M291,BE$13)="",10^12,OFFSET(CRONOPLE!$F$14,$M291,BE$13))))</f>
        <v>1000000000000</v>
      </c>
      <c r="BF291" s="215">
        <f ca="1">IF($D291&lt;&gt;"Serviço",0,IF(AND(AUTOEVENTO="Manual",$M291=1),0,IF(OFFSET(CRONOPLE!$F$14,$M291,BF$13)="",10^12,OFFSET(CRONOPLE!$F$14,$M291,BF$13))))</f>
        <v>1000000000000</v>
      </c>
      <c r="BG291" s="215">
        <f ca="1">IF($D291&lt;&gt;"Serviço",0,IF(AND(AUTOEVENTO="Manual",$M291=1),0,IF(OFFSET(CRONOPLE!$F$14,$M291,BG$13)="",10^12,OFFSET(CRONOPLE!$F$14,$M291,BG$13))))</f>
        <v>1000000000000</v>
      </c>
      <c r="BH291" s="215">
        <f ca="1">IF($D291&lt;&gt;"Serviço",0,IF(AND(AUTOEVENTO="Manual",$M291=1),0,IF(OFFSET(CRONOPLE!$F$14,$M291,BH$13)="",10^12,OFFSET(CRONOPLE!$F$14,$M291,BH$13))))</f>
        <v>1000000000000</v>
      </c>
      <c r="BI291" s="215">
        <f ca="1">IF($D291&lt;&gt;"Serviço",0,IF(AND(AUTOEVENTO="Manual",$M291=1),0,IF(OFFSET(CRONOPLE!$F$14,$M291,BI$13)="",10^12,OFFSET(CRONOPLE!$F$14,$M291,BI$13))))</f>
        <v>1000000000000</v>
      </c>
      <c r="BJ291" s="215">
        <f ca="1">IF($D291&lt;&gt;"Serviço",0,IF(AND(AUTOEVENTO="Manual",$M291=1),0,IF(OFFSET(CRONOPLE!$F$14,$M291,BJ$13)="",10^12,OFFSET(CRONOPLE!$F$14,$M291,BJ$13))))</f>
        <v>1000000000000</v>
      </c>
      <c r="BK291" s="215">
        <f ca="1">IF($D291&lt;&gt;"Serviço",0,IF(AND(AUTOEVENTO="Manual",$M291=1),0,IF(OFFSET(CRONOPLE!$F$14,$M291,BK$13)="",10^12,OFFSET(CRONOPLE!$F$14,$M291,BK$13))))</f>
        <v>1000000000000</v>
      </c>
      <c r="BL291" s="215">
        <f ca="1">IF($D291&lt;&gt;"Serviço",0,IF(AND(AUTOEVENTO="Manual",$M291=1),0,IF(OFFSET(CRONOPLE!$F$14,$M291,BL$13)="",10^12,OFFSET(CRONOPLE!$F$14,$M291,BL$13))))</f>
        <v>1000000000000</v>
      </c>
      <c r="BM291" s="215">
        <f ca="1">IF($D291&lt;&gt;"Serviço",0,IF(AND(AUTOEVENTO="Manual",$M291=1),0,IF(OFFSET(CRONOPLE!$F$14,$M291,BM$13)="",10^12,OFFSET(CRONOPLE!$F$14,$M291,BM$13))))</f>
        <v>1000000000000</v>
      </c>
      <c r="BN291" s="215">
        <f ca="1">IF($D291&lt;&gt;"Serviço",0,IF(AND(AUTOEVENTO="Manual",$M291=1),0,IF(OFFSET(CRONOPLE!$F$14,$M291,BN$13)="",10^12,OFFSET(CRONOPLE!$F$14,$M291,BN$13))))</f>
        <v>1000000000000</v>
      </c>
      <c r="BO291" s="215">
        <f ca="1">IF($D291&lt;&gt;"Serviço",0,IF(AND(AUTOEVENTO="Manual",$M291=1),0,IF(OFFSET(CRONOPLE!$F$14,$M291,BO$13)="",10^12,OFFSET(CRONOPLE!$F$14,$M291,BO$13))))</f>
        <v>1000000000000</v>
      </c>
      <c r="BP291" s="215">
        <f ca="1">IF($D291&lt;&gt;"Serviço",0,IF(AND(AUTOEVENTO="Manual",$M291=1),0,IF(OFFSET(CRONOPLE!$F$14,$M291,BP$13)="",10^12,OFFSET(CRONOPLE!$F$14,$M291,BP$13))))</f>
        <v>1000000000000</v>
      </c>
      <c r="BQ291" s="215">
        <f ca="1">IF($D291&lt;&gt;"Serviço",0,IF(AND(AUTOEVENTO="Manual",$M291=1),0,IF(OFFSET(CRONOPLE!$F$14,$M291,BQ$13)="",10^12,OFFSET(CRONOPLE!$F$14,$M291,BQ$13))))</f>
        <v>1000000000000</v>
      </c>
      <c r="BR291" s="215">
        <f ca="1">IF($D291&lt;&gt;"Serviço",0,IF(AND(AUTOEVENTO="Manual",$M291=1),0,IF(OFFSET(CRONOPLE!$F$14,$M291,BR$13)="",10^12,OFFSET(CRONOPLE!$F$14,$M291,BR$13))))</f>
        <v>1000000000000</v>
      </c>
      <c r="BS291" s="215">
        <f ca="1">IF($D291&lt;&gt;"Serviço",0,IF(AND(AUTOEVENTO="Manual",$M291=1),0,IF(OFFSET(CRONOPLE!$F$14,$M291,BS$13)="",10^12,OFFSET(CRONOPLE!$F$14,$M291,BS$13))))</f>
        <v>1000000000000</v>
      </c>
      <c r="BT291" s="215">
        <f ca="1">IF($D291&lt;&gt;"Serviço",0,IF(AND(AUTOEVENTO="Manual",$M291=1),0,IF(OFFSET(CRONOPLE!$F$14,$M291,BT$13)="",10^12,OFFSET(CRONOPLE!$F$14,$M291,BT$13))))</f>
        <v>1000000000000</v>
      </c>
      <c r="BV291" s="216">
        <f ca="1">IF($D291&lt;&gt;"Serviço",0,IF(OR(AND(AUTOEVENTO="Manual",$M291=1),$M291&gt;(ROW(PLE.lastrow)-ROW(PLE.firstrow))),0,IF(OFFSET(PLE!$G$14,$M291,BV$13)="",10^12,OFFSET(PLE!$G$14,$M291,BV$13))))</f>
        <v>1000000000000</v>
      </c>
      <c r="BW291" s="216">
        <f ca="1">IF($D291&lt;&gt;"Serviço",0,IF(OR(AND(AUTOEVENTO="Manual",$M291=1),$M291&gt;(ROW(PLE.lastrow)-ROW(PLE.firstrow))),0,IF(OFFSET(PLE!$G$14,$M291,BW$13)="",10^12,OFFSET(PLE!$G$14,$M291,BW$13))))</f>
        <v>1000000000000</v>
      </c>
      <c r="BX291" s="216">
        <f ca="1">IF($D291&lt;&gt;"Serviço",0,IF(OR(AND(AUTOEVENTO="Manual",$M291=1),$M291&gt;(ROW(PLE.lastrow)-ROW(PLE.firstrow))),0,IF(OFFSET(PLE!$G$14,$M291,BX$13)="",10^12,OFFSET(PLE!$G$14,$M291,BX$13))))</f>
        <v>1000000000000</v>
      </c>
      <c r="BY291" s="216">
        <f ca="1">IF($D291&lt;&gt;"Serviço",0,IF(OR(AND(AUTOEVENTO="Manual",$M291=1),$M291&gt;(ROW(PLE.lastrow)-ROW(PLE.firstrow))),0,IF(OFFSET(PLE!$G$14,$M291,BY$13)="",10^12,OFFSET(PLE!$G$14,$M291,BY$13))))</f>
        <v>1000000000000</v>
      </c>
      <c r="BZ291" s="216">
        <f ca="1">IF($D291&lt;&gt;"Serviço",0,IF(OR(AND(AUTOEVENTO="Manual",$M291=1),$M291&gt;(ROW(PLE.lastrow)-ROW(PLE.firstrow))),0,IF(OFFSET(PLE!$G$14,$M291,BZ$13)="",10^12,OFFSET(PLE!$G$14,$M291,BZ$13))))</f>
        <v>1000000000000</v>
      </c>
      <c r="CA291" s="216">
        <f ca="1">IF($D291&lt;&gt;"Serviço",0,IF(OR(AND(AUTOEVENTO="Manual",$M291=1),$M291&gt;(ROW(PLE.lastrow)-ROW(PLE.firstrow))),0,IF(OFFSET(PLE!$G$14,$M291,CA$13)="",10^12,OFFSET(PLE!$G$14,$M291,CA$13))))</f>
        <v>1000000000000</v>
      </c>
      <c r="CB291" s="216">
        <f ca="1">IF($D291&lt;&gt;"Serviço",0,IF(OR(AND(AUTOEVENTO="Manual",$M291=1),$M291&gt;(ROW(PLE.lastrow)-ROW(PLE.firstrow))),0,IF(OFFSET(PLE!$G$14,$M291,CB$13)="",10^12,OFFSET(PLE!$G$14,$M291,CB$13))))</f>
        <v>1000000000000</v>
      </c>
      <c r="CC291" s="216">
        <f ca="1">IF($D291&lt;&gt;"Serviço",0,IF(OR(AND(AUTOEVENTO="Manual",$M291=1),$M291&gt;(ROW(PLE.lastrow)-ROW(PLE.firstrow))),0,IF(OFFSET(PLE!$G$14,$M291,CC$13)="",10^12,OFFSET(PLE!$G$14,$M291,CC$13))))</f>
        <v>1000000000000</v>
      </c>
      <c r="CD291" s="216">
        <f ca="1">IF($D291&lt;&gt;"Serviço",0,IF(OR(AND(AUTOEVENTO="Manual",$M291=1),$M291&gt;(ROW(PLE.lastrow)-ROW(PLE.firstrow))),0,IF(OFFSET(PLE!$G$14,$M291,CD$13)="",10^12,OFFSET(PLE!$G$14,$M291,CD$13))))</f>
        <v>1000000000000</v>
      </c>
      <c r="CE291" s="216">
        <f ca="1">IF($D291&lt;&gt;"Serviço",0,IF(OR(AND(AUTOEVENTO="Manual",$M291=1),$M291&gt;(ROW(PLE.lastrow)-ROW(PLE.firstrow))),0,IF(OFFSET(PLE!$G$14,$M291,CE$13)="",10^12,OFFSET(PLE!$G$14,$M291,CE$13))))</f>
        <v>1000000000000</v>
      </c>
      <c r="CF291" s="216">
        <f ca="1">IF($D291&lt;&gt;"Serviço",0,IF(OR(AND(AUTOEVENTO="Manual",$M291=1),$M291&gt;(ROW(PLE.lastrow)-ROW(PLE.firstrow))),0,IF(OFFSET(PLE!$G$14,$M291,CF$13)="",10^12,OFFSET(PLE!$G$14,$M291,CF$13))))</f>
        <v>1000000000000</v>
      </c>
      <c r="CG291" s="216">
        <f ca="1">IF($D291&lt;&gt;"Serviço",0,IF(OR(AND(AUTOEVENTO="Manual",$M291=1),$M291&gt;(ROW(PLE.lastrow)-ROW(PLE.firstrow))),0,IF(OFFSET(PLE!$G$14,$M291,CG$13)="",10^12,OFFSET(PLE!$G$14,$M291,CG$13))))</f>
        <v>1000000000000</v>
      </c>
      <c r="CH291" s="216">
        <f ca="1">IF($D291&lt;&gt;"Serviço",0,IF(OR(AND(AUTOEVENTO="Manual",$M291=1),$M291&gt;(ROW(PLE.lastrow)-ROW(PLE.firstrow))),0,IF(OFFSET(PLE!$G$14,$M291,CH$13)="",10^12,OFFSET(PLE!$G$14,$M291,CH$13))))</f>
        <v>1000000000000</v>
      </c>
      <c r="CI291" s="216">
        <f ca="1">IF($D291&lt;&gt;"Serviço",0,IF(OR(AND(AUTOEVENTO="Manual",$M291=1),$M291&gt;(ROW(PLE.lastrow)-ROW(PLE.firstrow))),0,IF(OFFSET(PLE!$G$14,$M291,CI$13)="",10^12,OFFSET(PLE!$G$14,$M291,CI$13))))</f>
        <v>1000000000000</v>
      </c>
      <c r="CJ291" s="216">
        <f ca="1">IF($D291&lt;&gt;"Serviço",0,IF(OR(AND(AUTOEVENTO="Manual",$M291=1),$M291&gt;(ROW(PLE.lastrow)-ROW(PLE.firstrow))),0,IF(OFFSET(PLE!$G$14,$M291,CJ$13)="",10^12,OFFSET(PLE!$G$14,$M291,CJ$13))))</f>
        <v>1000000000000</v>
      </c>
      <c r="CK291" s="216">
        <f ca="1">IF($D291&lt;&gt;"Serviço",0,IF(OR(AND(AUTOEVENTO="Manual",$M291=1),$M291&gt;(ROW(PLE.lastrow)-ROW(PLE.firstrow))),0,IF(OFFSET(PLE!$G$14,$M291,CK$13)="",10^12,OFFSET(PLE!$G$14,$M291,CK$13))))</f>
        <v>1000000000000</v>
      </c>
      <c r="CL291" s="216">
        <f ca="1">IF($D291&lt;&gt;"Serviço",0,IF(OR(AND(AUTOEVENTO="Manual",$M291=1),$M291&gt;(ROW(PLE.lastrow)-ROW(PLE.firstrow))),0,IF(OFFSET(PLE!$G$14,$M291,CL$13)="",10^12,OFFSET(PLE!$G$14,$M291,CL$13))))</f>
        <v>1000000000000</v>
      </c>
      <c r="CM291" s="216">
        <f ca="1">IF($D291&lt;&gt;"Serviço",0,IF(OR(AND(AUTOEVENTO="Manual",$M291=1),$M291&gt;(ROW(PLE.lastrow)-ROW(PLE.firstrow))),0,IF(OFFSET(PLE!$G$14,$M291,CM$13)="",10^12,OFFSET(PLE!$G$14,$M291,CM$13))))</f>
        <v>1000000000000</v>
      </c>
    </row>
    <row r="292" spans="1:91" ht="13.2" x14ac:dyDescent="0.25">
      <c r="A292" s="9">
        <f t="shared" ca="1" si="13"/>
        <v>0</v>
      </c>
      <c r="B292" s="9" t="str">
        <f ca="1">OFFSET(ORÇAMENTO!C$15,ROW(B292)-ROW(B$15),0)</f>
        <v>S</v>
      </c>
      <c r="C292" s="9" t="str">
        <f ca="1">OFFSET(ORÇAMENTO!L$15,ROW(C292)-ROW(C$15),0)</f>
        <v/>
      </c>
      <c r="D292" s="145" t="str">
        <f ca="1">OFFSET(ORÇAMENTO!N$15,ROW(D292)-ROW(D$15),0)</f>
        <v>Serviço</v>
      </c>
      <c r="E292" s="205" t="str">
        <f ca="1">OFFSET(ORÇAMENTO!O$15,ROW(E292)-ROW(E$15),0)</f>
        <v>-</v>
      </c>
      <c r="F292" s="206" t="str">
        <f ca="1">OFFSET(ORÇAMENTO!R$15,ROW(F292)-ROW(F$15),0)</f>
        <v>(abra o arquivo 'Referência 05-2024.xls)</v>
      </c>
      <c r="G292" s="207" t="str">
        <f ca="1">IF($D292&lt;&gt;"Serviço","",OFFSET(ORÇAMENTO!S$15,ROW(G292)-ROW(G$15),0))</f>
        <v>-</v>
      </c>
      <c r="H292" s="151">
        <f ca="1">IF($D292&lt;&gt;"Serviço",0,IF(ACOMPANHAMENTO="BM",ROUND(OFFSET(ORÇAMENTO!AJ$15,ROW(H292)-ROW(H$15),0),15-13*ORÇAMENTO!$AF$7),SUMPRODUCT(($Q$12:$AI$12&lt;&gt;"")*ROUND($Q292:$AI292,15-13*ORÇAMENTO!$AF$7))))</f>
        <v>113.4</v>
      </c>
      <c r="I292" s="650"/>
      <c r="K292" s="208"/>
      <c r="L292" s="209" t="s">
        <v>257</v>
      </c>
      <c r="M292" s="210">
        <f ca="1">IF($D292&lt;&gt;"Serviço","",IF(AUTOEVENTO="manual",$A292,IF(ISERROR(MATCH($A292,$A$15:OFFSET($A292,-1,0),0)),MAX($M$15:OFFSET(M292,-1,0))+1,INDEX($M$15:OFFSET(M292,-1,0),MATCH($A292,$A$15:OFFSET($A292,-1,0),0)))))</f>
        <v>0</v>
      </c>
      <c r="N292" s="211" t="str">
        <f ca="1">IF($D292&lt;&gt;"Serviço","",IF(AUTOEVENTO="Manual",IF($A292=0,"&lt;-- defina o número do agrupador",OFFSET(EVENTOS!$D$14,$A292,0)),OFFSET($F$15,$A292,0)))</f>
        <v>&lt;-- defina o número do agrupador</v>
      </c>
      <c r="O292" s="212"/>
      <c r="Q292" s="212"/>
      <c r="R292" s="213"/>
      <c r="S292" s="213"/>
      <c r="T292" s="213"/>
      <c r="U292" s="213"/>
      <c r="V292" s="213"/>
      <c r="W292" s="213"/>
      <c r="X292" s="213"/>
      <c r="Y292" s="213"/>
      <c r="Z292" s="214"/>
      <c r="AA292" s="213"/>
      <c r="AB292" s="213"/>
      <c r="AC292" s="213"/>
      <c r="AD292" s="213"/>
      <c r="AE292" s="213"/>
      <c r="AF292" s="213"/>
      <c r="AG292" s="213"/>
      <c r="AH292" s="214"/>
      <c r="AJ292" s="631">
        <f ca="1">IF(AND($D292="Serviço",AJ$12&lt;&gt;0,$H292&gt;0,OR(AUTOEVENTO&lt;&gt;"manual",$M292&lt;&gt;1)),ROUND(OFFSET($P292,0,AJ$13),15-13*ORÇAMENTO!$AF$7)/$H292*OFFSET(ORÇAMENTO!$X$15,ROW(AJ292)-ROW(AJ$15),0),0)</f>
        <v>0</v>
      </c>
      <c r="AK292" s="632">
        <f ca="1">IF(AND($D292="Serviço",AK$12&lt;&gt;0,$H292&gt;0,OR(AUTOEVENTO&lt;&gt;"manual",$M292&lt;&gt;1)),ROUND(OFFSET($P292,0,AK$13),15-13*ORÇAMENTO!$AF$7)/$H292*OFFSET(ORÇAMENTO!$X$15,ROW(AK292)-ROW(AK$15),0),0)</f>
        <v>0</v>
      </c>
      <c r="AL292" s="632">
        <f ca="1">IF(AND($D292="Serviço",AL$12&lt;&gt;0,$H292&gt;0,OR(AUTOEVENTO&lt;&gt;"manual",$M292&lt;&gt;1)),ROUND(OFFSET($P292,0,AL$13),15-13*ORÇAMENTO!$AF$7)/$H292*OFFSET(ORÇAMENTO!$X$15,ROW(AL292)-ROW(AL$15),0),0)</f>
        <v>0</v>
      </c>
      <c r="AM292" s="632">
        <f ca="1">IF(AND($D292="Serviço",AM$12&lt;&gt;0,$H292&gt;0,OR(AUTOEVENTO&lt;&gt;"manual",$M292&lt;&gt;1)),ROUND(OFFSET($P292,0,AM$13),15-13*ORÇAMENTO!$AF$7)/$H292*OFFSET(ORÇAMENTO!$X$15,ROW(AM292)-ROW(AM$15),0),0)</f>
        <v>0</v>
      </c>
      <c r="AN292" s="632">
        <f ca="1">IF(AND($D292="Serviço",AN$12&lt;&gt;0,$H292&gt;0,OR(AUTOEVENTO&lt;&gt;"manual",$M292&lt;&gt;1)),ROUND(OFFSET($P292,0,AN$13),15-13*ORÇAMENTO!$AF$7)/$H292*OFFSET(ORÇAMENTO!$X$15,ROW(AN292)-ROW(AN$15),0),0)</f>
        <v>0</v>
      </c>
      <c r="AO292" s="632">
        <f ca="1">IF(AND($D292="Serviço",AO$12&lt;&gt;0,$H292&gt;0,OR(AUTOEVENTO&lt;&gt;"manual",$M292&lt;&gt;1)),ROUND(OFFSET($P292,0,AO$13),15-13*ORÇAMENTO!$AF$7)/$H292*OFFSET(ORÇAMENTO!$X$15,ROW(AO292)-ROW(AO$15),0),0)</f>
        <v>0</v>
      </c>
      <c r="AP292" s="632">
        <f ca="1">IF(AND($D292="Serviço",AP$12&lt;&gt;0,$H292&gt;0,OR(AUTOEVENTO&lt;&gt;"manual",$M292&lt;&gt;1)),ROUND(OFFSET($P292,0,AP$13),15-13*ORÇAMENTO!$AF$7)/$H292*OFFSET(ORÇAMENTO!$X$15,ROW(AP292)-ROW(AP$15),0),0)</f>
        <v>0</v>
      </c>
      <c r="AQ292" s="632">
        <f ca="1">IF(AND($D292="Serviço",AQ$12&lt;&gt;0,$H292&gt;0,OR(AUTOEVENTO&lt;&gt;"manual",$M292&lt;&gt;1)),ROUND(OFFSET($P292,0,AQ$13),15-13*ORÇAMENTO!$AF$7)/$H292*OFFSET(ORÇAMENTO!$X$15,ROW(AQ292)-ROW(AQ$15),0),0)</f>
        <v>0</v>
      </c>
      <c r="AR292" s="632">
        <f ca="1">IF(AND($D292="Serviço",AR$12&lt;&gt;0,$H292&gt;0,OR(AUTOEVENTO&lt;&gt;"manual",$M292&lt;&gt;1)),ROUND(OFFSET($P292,0,AR$13),15-13*ORÇAMENTO!$AF$7)/$H292*OFFSET(ORÇAMENTO!$X$15,ROW(AR292)-ROW(AR$15),0),0)</f>
        <v>0</v>
      </c>
      <c r="AS292" s="633">
        <f ca="1">IF(AND($D292="Serviço",AS$12&lt;&gt;0,$H292&gt;0,OR(AUTOEVENTO&lt;&gt;"manual",$M292&lt;&gt;1)),ROUND(OFFSET($P292,0,AS$13),15-13*ORÇAMENTO!$AF$7)/$H292*OFFSET(ORÇAMENTO!$X$15,ROW(AS292)-ROW(AS$15),0),0)</f>
        <v>0</v>
      </c>
      <c r="AT292" s="632">
        <f ca="1">IF(AND($D292="Serviço",AT$12&lt;&gt;0,$H292&gt;0,OR(AUTOEVENTO&lt;&gt;"manual",$M292&lt;&gt;1)),ROUND(OFFSET($P292,0,AT$13),15-13*ORÇAMENTO!$AF$7)/$H292*OFFSET(ORÇAMENTO!$X$15,ROW(AT292)-ROW(AT$15),0),0)</f>
        <v>0</v>
      </c>
      <c r="AU292" s="632">
        <f ca="1">IF(AND($D292="Serviço",AU$12&lt;&gt;0,$H292&gt;0,OR(AUTOEVENTO&lt;&gt;"manual",$M292&lt;&gt;1)),ROUND(OFFSET($P292,0,AU$13),15-13*ORÇAMENTO!$AF$7)/$H292*OFFSET(ORÇAMENTO!$X$15,ROW(AU292)-ROW(AU$15),0),0)</f>
        <v>0</v>
      </c>
      <c r="AV292" s="632">
        <f ca="1">IF(AND($D292="Serviço",AV$12&lt;&gt;0,$H292&gt;0,OR(AUTOEVENTO&lt;&gt;"manual",$M292&lt;&gt;1)),ROUND(OFFSET($P292,0,AV$13),15-13*ORÇAMENTO!$AF$7)/$H292*OFFSET(ORÇAMENTO!$X$15,ROW(AV292)-ROW(AV$15),0),0)</f>
        <v>0</v>
      </c>
      <c r="AW292" s="632">
        <f ca="1">IF(AND($D292="Serviço",AW$12&lt;&gt;0,$H292&gt;0,OR(AUTOEVENTO&lt;&gt;"manual",$M292&lt;&gt;1)),ROUND(OFFSET($P292,0,AW$13),15-13*ORÇAMENTO!$AF$7)/$H292*OFFSET(ORÇAMENTO!$X$15,ROW(AW292)-ROW(AW$15),0),0)</f>
        <v>0</v>
      </c>
      <c r="AX292" s="632">
        <f ca="1">IF(AND($D292="Serviço",AX$12&lt;&gt;0,$H292&gt;0,OR(AUTOEVENTO&lt;&gt;"manual",$M292&lt;&gt;1)),ROUND(OFFSET($P292,0,AX$13),15-13*ORÇAMENTO!$AF$7)/$H292*OFFSET(ORÇAMENTO!$X$15,ROW(AX292)-ROW(AX$15),0),0)</f>
        <v>0</v>
      </c>
      <c r="AY292" s="632">
        <f ca="1">IF(AND($D292="Serviço",AY$12&lt;&gt;0,$H292&gt;0,OR(AUTOEVENTO&lt;&gt;"manual",$M292&lt;&gt;1)),ROUND(OFFSET($P292,0,AY$13),15-13*ORÇAMENTO!$AF$7)/$H292*OFFSET(ORÇAMENTO!$X$15,ROW(AY292)-ROW(AY$15),0),0)</f>
        <v>0</v>
      </c>
      <c r="AZ292" s="632">
        <f ca="1">IF(AND($D292="Serviço",AZ$12&lt;&gt;0,$H292&gt;0,OR(AUTOEVENTO&lt;&gt;"manual",$M292&lt;&gt;1)),ROUND(OFFSET($P292,0,AZ$13),15-13*ORÇAMENTO!$AF$7)/$H292*OFFSET(ORÇAMENTO!$X$15,ROW(AZ292)-ROW(AZ$15),0),0)</f>
        <v>0</v>
      </c>
      <c r="BA292" s="633">
        <f ca="1">IF(AND($D292="Serviço",BA$12&lt;&gt;0,$H292&gt;0,OR(AUTOEVENTO&lt;&gt;"manual",$M292&lt;&gt;1)),ROUND(OFFSET($P292,0,BA$13),15-13*ORÇAMENTO!$AF$7)/$H292*OFFSET(ORÇAMENTO!$X$15,ROW(BA292)-ROW(BA$15),0),0)</f>
        <v>0</v>
      </c>
      <c r="BC292" s="215">
        <f ca="1">IF($D292&lt;&gt;"Serviço",0,IF(AND(AUTOEVENTO="Manual",$M292=1),0,IF(OFFSET(CRONOPLE!$F$14,$M292,BC$13)="",10^12,OFFSET(CRONOPLE!$F$14,$M292,BC$13))))</f>
        <v>1000000000000</v>
      </c>
      <c r="BD292" s="215">
        <f ca="1">IF($D292&lt;&gt;"Serviço",0,IF(AND(AUTOEVENTO="Manual",$M292=1),0,IF(OFFSET(CRONOPLE!$F$14,$M292,BD$13)="",10^12,OFFSET(CRONOPLE!$F$14,$M292,BD$13))))</f>
        <v>1000000000000</v>
      </c>
      <c r="BE292" s="215">
        <f ca="1">IF($D292&lt;&gt;"Serviço",0,IF(AND(AUTOEVENTO="Manual",$M292=1),0,IF(OFFSET(CRONOPLE!$F$14,$M292,BE$13)="",10^12,OFFSET(CRONOPLE!$F$14,$M292,BE$13))))</f>
        <v>1000000000000</v>
      </c>
      <c r="BF292" s="215">
        <f ca="1">IF($D292&lt;&gt;"Serviço",0,IF(AND(AUTOEVENTO="Manual",$M292=1),0,IF(OFFSET(CRONOPLE!$F$14,$M292,BF$13)="",10^12,OFFSET(CRONOPLE!$F$14,$M292,BF$13))))</f>
        <v>1000000000000</v>
      </c>
      <c r="BG292" s="215">
        <f ca="1">IF($D292&lt;&gt;"Serviço",0,IF(AND(AUTOEVENTO="Manual",$M292=1),0,IF(OFFSET(CRONOPLE!$F$14,$M292,BG$13)="",10^12,OFFSET(CRONOPLE!$F$14,$M292,BG$13))))</f>
        <v>1000000000000</v>
      </c>
      <c r="BH292" s="215">
        <f ca="1">IF($D292&lt;&gt;"Serviço",0,IF(AND(AUTOEVENTO="Manual",$M292=1),0,IF(OFFSET(CRONOPLE!$F$14,$M292,BH$13)="",10^12,OFFSET(CRONOPLE!$F$14,$M292,BH$13))))</f>
        <v>1000000000000</v>
      </c>
      <c r="BI292" s="215">
        <f ca="1">IF($D292&lt;&gt;"Serviço",0,IF(AND(AUTOEVENTO="Manual",$M292=1),0,IF(OFFSET(CRONOPLE!$F$14,$M292,BI$13)="",10^12,OFFSET(CRONOPLE!$F$14,$M292,BI$13))))</f>
        <v>1000000000000</v>
      </c>
      <c r="BJ292" s="215">
        <f ca="1">IF($D292&lt;&gt;"Serviço",0,IF(AND(AUTOEVENTO="Manual",$M292=1),0,IF(OFFSET(CRONOPLE!$F$14,$M292,BJ$13)="",10^12,OFFSET(CRONOPLE!$F$14,$M292,BJ$13))))</f>
        <v>1000000000000</v>
      </c>
      <c r="BK292" s="215">
        <f ca="1">IF($D292&lt;&gt;"Serviço",0,IF(AND(AUTOEVENTO="Manual",$M292=1),0,IF(OFFSET(CRONOPLE!$F$14,$M292,BK$13)="",10^12,OFFSET(CRONOPLE!$F$14,$M292,BK$13))))</f>
        <v>1000000000000</v>
      </c>
      <c r="BL292" s="215">
        <f ca="1">IF($D292&lt;&gt;"Serviço",0,IF(AND(AUTOEVENTO="Manual",$M292=1),0,IF(OFFSET(CRONOPLE!$F$14,$M292,BL$13)="",10^12,OFFSET(CRONOPLE!$F$14,$M292,BL$13))))</f>
        <v>1000000000000</v>
      </c>
      <c r="BM292" s="215">
        <f ca="1">IF($D292&lt;&gt;"Serviço",0,IF(AND(AUTOEVENTO="Manual",$M292=1),0,IF(OFFSET(CRONOPLE!$F$14,$M292,BM$13)="",10^12,OFFSET(CRONOPLE!$F$14,$M292,BM$13))))</f>
        <v>1000000000000</v>
      </c>
      <c r="BN292" s="215">
        <f ca="1">IF($D292&lt;&gt;"Serviço",0,IF(AND(AUTOEVENTO="Manual",$M292=1),0,IF(OFFSET(CRONOPLE!$F$14,$M292,BN$13)="",10^12,OFFSET(CRONOPLE!$F$14,$M292,BN$13))))</f>
        <v>1000000000000</v>
      </c>
      <c r="BO292" s="215">
        <f ca="1">IF($D292&lt;&gt;"Serviço",0,IF(AND(AUTOEVENTO="Manual",$M292=1),0,IF(OFFSET(CRONOPLE!$F$14,$M292,BO$13)="",10^12,OFFSET(CRONOPLE!$F$14,$M292,BO$13))))</f>
        <v>1000000000000</v>
      </c>
      <c r="BP292" s="215">
        <f ca="1">IF($D292&lt;&gt;"Serviço",0,IF(AND(AUTOEVENTO="Manual",$M292=1),0,IF(OFFSET(CRONOPLE!$F$14,$M292,BP$13)="",10^12,OFFSET(CRONOPLE!$F$14,$M292,BP$13))))</f>
        <v>1000000000000</v>
      </c>
      <c r="BQ292" s="215">
        <f ca="1">IF($D292&lt;&gt;"Serviço",0,IF(AND(AUTOEVENTO="Manual",$M292=1),0,IF(OFFSET(CRONOPLE!$F$14,$M292,BQ$13)="",10^12,OFFSET(CRONOPLE!$F$14,$M292,BQ$13))))</f>
        <v>1000000000000</v>
      </c>
      <c r="BR292" s="215">
        <f ca="1">IF($D292&lt;&gt;"Serviço",0,IF(AND(AUTOEVENTO="Manual",$M292=1),0,IF(OFFSET(CRONOPLE!$F$14,$M292,BR$13)="",10^12,OFFSET(CRONOPLE!$F$14,$M292,BR$13))))</f>
        <v>1000000000000</v>
      </c>
      <c r="BS292" s="215">
        <f ca="1">IF($D292&lt;&gt;"Serviço",0,IF(AND(AUTOEVENTO="Manual",$M292=1),0,IF(OFFSET(CRONOPLE!$F$14,$M292,BS$13)="",10^12,OFFSET(CRONOPLE!$F$14,$M292,BS$13))))</f>
        <v>1000000000000</v>
      </c>
      <c r="BT292" s="215">
        <f ca="1">IF($D292&lt;&gt;"Serviço",0,IF(AND(AUTOEVENTO="Manual",$M292=1),0,IF(OFFSET(CRONOPLE!$F$14,$M292,BT$13)="",10^12,OFFSET(CRONOPLE!$F$14,$M292,BT$13))))</f>
        <v>1000000000000</v>
      </c>
      <c r="BV292" s="216">
        <f ca="1">IF($D292&lt;&gt;"Serviço",0,IF(OR(AND(AUTOEVENTO="Manual",$M292=1),$M292&gt;(ROW(PLE.lastrow)-ROW(PLE.firstrow))),0,IF(OFFSET(PLE!$G$14,$M292,BV$13)="",10^12,OFFSET(PLE!$G$14,$M292,BV$13))))</f>
        <v>1000000000000</v>
      </c>
      <c r="BW292" s="216">
        <f ca="1">IF($D292&lt;&gt;"Serviço",0,IF(OR(AND(AUTOEVENTO="Manual",$M292=1),$M292&gt;(ROW(PLE.lastrow)-ROW(PLE.firstrow))),0,IF(OFFSET(PLE!$G$14,$M292,BW$13)="",10^12,OFFSET(PLE!$G$14,$M292,BW$13))))</f>
        <v>1000000000000</v>
      </c>
      <c r="BX292" s="216">
        <f ca="1">IF($D292&lt;&gt;"Serviço",0,IF(OR(AND(AUTOEVENTO="Manual",$M292=1),$M292&gt;(ROW(PLE.lastrow)-ROW(PLE.firstrow))),0,IF(OFFSET(PLE!$G$14,$M292,BX$13)="",10^12,OFFSET(PLE!$G$14,$M292,BX$13))))</f>
        <v>1000000000000</v>
      </c>
      <c r="BY292" s="216">
        <f ca="1">IF($D292&lt;&gt;"Serviço",0,IF(OR(AND(AUTOEVENTO="Manual",$M292=1),$M292&gt;(ROW(PLE.lastrow)-ROW(PLE.firstrow))),0,IF(OFFSET(PLE!$G$14,$M292,BY$13)="",10^12,OFFSET(PLE!$G$14,$M292,BY$13))))</f>
        <v>1000000000000</v>
      </c>
      <c r="BZ292" s="216">
        <f ca="1">IF($D292&lt;&gt;"Serviço",0,IF(OR(AND(AUTOEVENTO="Manual",$M292=1),$M292&gt;(ROW(PLE.lastrow)-ROW(PLE.firstrow))),0,IF(OFFSET(PLE!$G$14,$M292,BZ$13)="",10^12,OFFSET(PLE!$G$14,$M292,BZ$13))))</f>
        <v>1000000000000</v>
      </c>
      <c r="CA292" s="216">
        <f ca="1">IF($D292&lt;&gt;"Serviço",0,IF(OR(AND(AUTOEVENTO="Manual",$M292=1),$M292&gt;(ROW(PLE.lastrow)-ROW(PLE.firstrow))),0,IF(OFFSET(PLE!$G$14,$M292,CA$13)="",10^12,OFFSET(PLE!$G$14,$M292,CA$13))))</f>
        <v>1000000000000</v>
      </c>
      <c r="CB292" s="216">
        <f ca="1">IF($D292&lt;&gt;"Serviço",0,IF(OR(AND(AUTOEVENTO="Manual",$M292=1),$M292&gt;(ROW(PLE.lastrow)-ROW(PLE.firstrow))),0,IF(OFFSET(PLE!$G$14,$M292,CB$13)="",10^12,OFFSET(PLE!$G$14,$M292,CB$13))))</f>
        <v>1000000000000</v>
      </c>
      <c r="CC292" s="216">
        <f ca="1">IF($D292&lt;&gt;"Serviço",0,IF(OR(AND(AUTOEVENTO="Manual",$M292=1),$M292&gt;(ROW(PLE.lastrow)-ROW(PLE.firstrow))),0,IF(OFFSET(PLE!$G$14,$M292,CC$13)="",10^12,OFFSET(PLE!$G$14,$M292,CC$13))))</f>
        <v>1000000000000</v>
      </c>
      <c r="CD292" s="216">
        <f ca="1">IF($D292&lt;&gt;"Serviço",0,IF(OR(AND(AUTOEVENTO="Manual",$M292=1),$M292&gt;(ROW(PLE.lastrow)-ROW(PLE.firstrow))),0,IF(OFFSET(PLE!$G$14,$M292,CD$13)="",10^12,OFFSET(PLE!$G$14,$M292,CD$13))))</f>
        <v>1000000000000</v>
      </c>
      <c r="CE292" s="216">
        <f ca="1">IF($D292&lt;&gt;"Serviço",0,IF(OR(AND(AUTOEVENTO="Manual",$M292=1),$M292&gt;(ROW(PLE.lastrow)-ROW(PLE.firstrow))),0,IF(OFFSET(PLE!$G$14,$M292,CE$13)="",10^12,OFFSET(PLE!$G$14,$M292,CE$13))))</f>
        <v>1000000000000</v>
      </c>
      <c r="CF292" s="216">
        <f ca="1">IF($D292&lt;&gt;"Serviço",0,IF(OR(AND(AUTOEVENTO="Manual",$M292=1),$M292&gt;(ROW(PLE.lastrow)-ROW(PLE.firstrow))),0,IF(OFFSET(PLE!$G$14,$M292,CF$13)="",10^12,OFFSET(PLE!$G$14,$M292,CF$13))))</f>
        <v>1000000000000</v>
      </c>
      <c r="CG292" s="216">
        <f ca="1">IF($D292&lt;&gt;"Serviço",0,IF(OR(AND(AUTOEVENTO="Manual",$M292=1),$M292&gt;(ROW(PLE.lastrow)-ROW(PLE.firstrow))),0,IF(OFFSET(PLE!$G$14,$M292,CG$13)="",10^12,OFFSET(PLE!$G$14,$M292,CG$13))))</f>
        <v>1000000000000</v>
      </c>
      <c r="CH292" s="216">
        <f ca="1">IF($D292&lt;&gt;"Serviço",0,IF(OR(AND(AUTOEVENTO="Manual",$M292=1),$M292&gt;(ROW(PLE.lastrow)-ROW(PLE.firstrow))),0,IF(OFFSET(PLE!$G$14,$M292,CH$13)="",10^12,OFFSET(PLE!$G$14,$M292,CH$13))))</f>
        <v>1000000000000</v>
      </c>
      <c r="CI292" s="216">
        <f ca="1">IF($D292&lt;&gt;"Serviço",0,IF(OR(AND(AUTOEVENTO="Manual",$M292=1),$M292&gt;(ROW(PLE.lastrow)-ROW(PLE.firstrow))),0,IF(OFFSET(PLE!$G$14,$M292,CI$13)="",10^12,OFFSET(PLE!$G$14,$M292,CI$13))))</f>
        <v>1000000000000</v>
      </c>
      <c r="CJ292" s="216">
        <f ca="1">IF($D292&lt;&gt;"Serviço",0,IF(OR(AND(AUTOEVENTO="Manual",$M292=1),$M292&gt;(ROW(PLE.lastrow)-ROW(PLE.firstrow))),0,IF(OFFSET(PLE!$G$14,$M292,CJ$13)="",10^12,OFFSET(PLE!$G$14,$M292,CJ$13))))</f>
        <v>1000000000000</v>
      </c>
      <c r="CK292" s="216">
        <f ca="1">IF($D292&lt;&gt;"Serviço",0,IF(OR(AND(AUTOEVENTO="Manual",$M292=1),$M292&gt;(ROW(PLE.lastrow)-ROW(PLE.firstrow))),0,IF(OFFSET(PLE!$G$14,$M292,CK$13)="",10^12,OFFSET(PLE!$G$14,$M292,CK$13))))</f>
        <v>1000000000000</v>
      </c>
      <c r="CL292" s="216">
        <f ca="1">IF($D292&lt;&gt;"Serviço",0,IF(OR(AND(AUTOEVENTO="Manual",$M292=1),$M292&gt;(ROW(PLE.lastrow)-ROW(PLE.firstrow))),0,IF(OFFSET(PLE!$G$14,$M292,CL$13)="",10^12,OFFSET(PLE!$G$14,$M292,CL$13))))</f>
        <v>1000000000000</v>
      </c>
      <c r="CM292" s="216">
        <f ca="1">IF($D292&lt;&gt;"Serviço",0,IF(OR(AND(AUTOEVENTO="Manual",$M292=1),$M292&gt;(ROW(PLE.lastrow)-ROW(PLE.firstrow))),0,IF(OFFSET(PLE!$G$14,$M292,CM$13)="",10^12,OFFSET(PLE!$G$14,$M292,CM$13))))</f>
        <v>1000000000000</v>
      </c>
    </row>
    <row r="293" spans="1:91" ht="13.2" x14ac:dyDescent="0.25">
      <c r="A293" s="9">
        <f t="shared" ca="1" si="13"/>
        <v>0</v>
      </c>
      <c r="B293" s="9" t="str">
        <f ca="1">OFFSET(ORÇAMENTO!C$15,ROW(B293)-ROW(B$15),0)</f>
        <v>S</v>
      </c>
      <c r="C293" s="9" t="str">
        <f ca="1">OFFSET(ORÇAMENTO!L$15,ROW(C293)-ROW(C$15),0)</f>
        <v/>
      </c>
      <c r="D293" s="145" t="str">
        <f ca="1">OFFSET(ORÇAMENTO!N$15,ROW(D293)-ROW(D$15),0)</f>
        <v>Serviço</v>
      </c>
      <c r="E293" s="205" t="str">
        <f ca="1">OFFSET(ORÇAMENTO!O$15,ROW(E293)-ROW(E$15),0)</f>
        <v>-</v>
      </c>
      <c r="F293" s="206" t="str">
        <f ca="1">OFFSET(ORÇAMENTO!R$15,ROW(F293)-ROW(F$15),0)</f>
        <v>(abra o arquivo 'Referência 05-2024.xls)</v>
      </c>
      <c r="G293" s="207" t="str">
        <f ca="1">IF($D293&lt;&gt;"Serviço","",OFFSET(ORÇAMENTO!S$15,ROW(G293)-ROW(G$15),0))</f>
        <v>-</v>
      </c>
      <c r="H293" s="151">
        <f ca="1">IF($D293&lt;&gt;"Serviço",0,IF(ACOMPANHAMENTO="BM",ROUND(OFFSET(ORÇAMENTO!AJ$15,ROW(H293)-ROW(H$15),0),15-13*ORÇAMENTO!$AF$7),SUMPRODUCT(($Q$12:$AI$12&lt;&gt;"")*ROUND($Q293:$AI293,15-13*ORÇAMENTO!$AF$7))))</f>
        <v>16.88</v>
      </c>
      <c r="I293" s="650"/>
      <c r="K293" s="208"/>
      <c r="L293" s="209" t="s">
        <v>257</v>
      </c>
      <c r="M293" s="210">
        <f ca="1">IF($D293&lt;&gt;"Serviço","",IF(AUTOEVENTO="manual",$A293,IF(ISERROR(MATCH($A293,$A$15:OFFSET($A293,-1,0),0)),MAX($M$15:OFFSET(M293,-1,0))+1,INDEX($M$15:OFFSET(M293,-1,0),MATCH($A293,$A$15:OFFSET($A293,-1,0),0)))))</f>
        <v>0</v>
      </c>
      <c r="N293" s="211" t="str">
        <f ca="1">IF($D293&lt;&gt;"Serviço","",IF(AUTOEVENTO="Manual",IF($A293=0,"&lt;-- defina o número do agrupador",OFFSET(EVENTOS!$D$14,$A293,0)),OFFSET($F$15,$A293,0)))</f>
        <v>&lt;-- defina o número do agrupador</v>
      </c>
      <c r="O293" s="212"/>
      <c r="Q293" s="212"/>
      <c r="R293" s="213"/>
      <c r="S293" s="213"/>
      <c r="T293" s="213"/>
      <c r="U293" s="213"/>
      <c r="V293" s="213"/>
      <c r="W293" s="213"/>
      <c r="X293" s="213"/>
      <c r="Y293" s="213"/>
      <c r="Z293" s="214"/>
      <c r="AA293" s="213"/>
      <c r="AB293" s="213"/>
      <c r="AC293" s="213"/>
      <c r="AD293" s="213"/>
      <c r="AE293" s="213"/>
      <c r="AF293" s="213"/>
      <c r="AG293" s="213"/>
      <c r="AH293" s="214"/>
      <c r="AJ293" s="631">
        <f ca="1">IF(AND($D293="Serviço",AJ$12&lt;&gt;0,$H293&gt;0,OR(AUTOEVENTO&lt;&gt;"manual",$M293&lt;&gt;1)),ROUND(OFFSET($P293,0,AJ$13),15-13*ORÇAMENTO!$AF$7)/$H293*OFFSET(ORÇAMENTO!$X$15,ROW(AJ293)-ROW(AJ$15),0),0)</f>
        <v>0</v>
      </c>
      <c r="AK293" s="632">
        <f ca="1">IF(AND($D293="Serviço",AK$12&lt;&gt;0,$H293&gt;0,OR(AUTOEVENTO&lt;&gt;"manual",$M293&lt;&gt;1)),ROUND(OFFSET($P293,0,AK$13),15-13*ORÇAMENTO!$AF$7)/$H293*OFFSET(ORÇAMENTO!$X$15,ROW(AK293)-ROW(AK$15),0),0)</f>
        <v>0</v>
      </c>
      <c r="AL293" s="632">
        <f ca="1">IF(AND($D293="Serviço",AL$12&lt;&gt;0,$H293&gt;0,OR(AUTOEVENTO&lt;&gt;"manual",$M293&lt;&gt;1)),ROUND(OFFSET($P293,0,AL$13),15-13*ORÇAMENTO!$AF$7)/$H293*OFFSET(ORÇAMENTO!$X$15,ROW(AL293)-ROW(AL$15),0),0)</f>
        <v>0</v>
      </c>
      <c r="AM293" s="632">
        <f ca="1">IF(AND($D293="Serviço",AM$12&lt;&gt;0,$H293&gt;0,OR(AUTOEVENTO&lt;&gt;"manual",$M293&lt;&gt;1)),ROUND(OFFSET($P293,0,AM$13),15-13*ORÇAMENTO!$AF$7)/$H293*OFFSET(ORÇAMENTO!$X$15,ROW(AM293)-ROW(AM$15),0),0)</f>
        <v>0</v>
      </c>
      <c r="AN293" s="632">
        <f ca="1">IF(AND($D293="Serviço",AN$12&lt;&gt;0,$H293&gt;0,OR(AUTOEVENTO&lt;&gt;"manual",$M293&lt;&gt;1)),ROUND(OFFSET($P293,0,AN$13),15-13*ORÇAMENTO!$AF$7)/$H293*OFFSET(ORÇAMENTO!$X$15,ROW(AN293)-ROW(AN$15),0),0)</f>
        <v>0</v>
      </c>
      <c r="AO293" s="632">
        <f ca="1">IF(AND($D293="Serviço",AO$12&lt;&gt;0,$H293&gt;0,OR(AUTOEVENTO&lt;&gt;"manual",$M293&lt;&gt;1)),ROUND(OFFSET($P293,0,AO$13),15-13*ORÇAMENTO!$AF$7)/$H293*OFFSET(ORÇAMENTO!$X$15,ROW(AO293)-ROW(AO$15),0),0)</f>
        <v>0</v>
      </c>
      <c r="AP293" s="632">
        <f ca="1">IF(AND($D293="Serviço",AP$12&lt;&gt;0,$H293&gt;0,OR(AUTOEVENTO&lt;&gt;"manual",$M293&lt;&gt;1)),ROUND(OFFSET($P293,0,AP$13),15-13*ORÇAMENTO!$AF$7)/$H293*OFFSET(ORÇAMENTO!$X$15,ROW(AP293)-ROW(AP$15),0),0)</f>
        <v>0</v>
      </c>
      <c r="AQ293" s="632">
        <f ca="1">IF(AND($D293="Serviço",AQ$12&lt;&gt;0,$H293&gt;0,OR(AUTOEVENTO&lt;&gt;"manual",$M293&lt;&gt;1)),ROUND(OFFSET($P293,0,AQ$13),15-13*ORÇAMENTO!$AF$7)/$H293*OFFSET(ORÇAMENTO!$X$15,ROW(AQ293)-ROW(AQ$15),0),0)</f>
        <v>0</v>
      </c>
      <c r="AR293" s="632">
        <f ca="1">IF(AND($D293="Serviço",AR$12&lt;&gt;0,$H293&gt;0,OR(AUTOEVENTO&lt;&gt;"manual",$M293&lt;&gt;1)),ROUND(OFFSET($P293,0,AR$13),15-13*ORÇAMENTO!$AF$7)/$H293*OFFSET(ORÇAMENTO!$X$15,ROW(AR293)-ROW(AR$15),0),0)</f>
        <v>0</v>
      </c>
      <c r="AS293" s="633">
        <f ca="1">IF(AND($D293="Serviço",AS$12&lt;&gt;0,$H293&gt;0,OR(AUTOEVENTO&lt;&gt;"manual",$M293&lt;&gt;1)),ROUND(OFFSET($P293,0,AS$13),15-13*ORÇAMENTO!$AF$7)/$H293*OFFSET(ORÇAMENTO!$X$15,ROW(AS293)-ROW(AS$15),0),0)</f>
        <v>0</v>
      </c>
      <c r="AT293" s="632">
        <f ca="1">IF(AND($D293="Serviço",AT$12&lt;&gt;0,$H293&gt;0,OR(AUTOEVENTO&lt;&gt;"manual",$M293&lt;&gt;1)),ROUND(OFFSET($P293,0,AT$13),15-13*ORÇAMENTO!$AF$7)/$H293*OFFSET(ORÇAMENTO!$X$15,ROW(AT293)-ROW(AT$15),0),0)</f>
        <v>0</v>
      </c>
      <c r="AU293" s="632">
        <f ca="1">IF(AND($D293="Serviço",AU$12&lt;&gt;0,$H293&gt;0,OR(AUTOEVENTO&lt;&gt;"manual",$M293&lt;&gt;1)),ROUND(OFFSET($P293,0,AU$13),15-13*ORÇAMENTO!$AF$7)/$H293*OFFSET(ORÇAMENTO!$X$15,ROW(AU293)-ROW(AU$15),0),0)</f>
        <v>0</v>
      </c>
      <c r="AV293" s="632">
        <f ca="1">IF(AND($D293="Serviço",AV$12&lt;&gt;0,$H293&gt;0,OR(AUTOEVENTO&lt;&gt;"manual",$M293&lt;&gt;1)),ROUND(OFFSET($P293,0,AV$13),15-13*ORÇAMENTO!$AF$7)/$H293*OFFSET(ORÇAMENTO!$X$15,ROW(AV293)-ROW(AV$15),0),0)</f>
        <v>0</v>
      </c>
      <c r="AW293" s="632">
        <f ca="1">IF(AND($D293="Serviço",AW$12&lt;&gt;0,$H293&gt;0,OR(AUTOEVENTO&lt;&gt;"manual",$M293&lt;&gt;1)),ROUND(OFFSET($P293,0,AW$13),15-13*ORÇAMENTO!$AF$7)/$H293*OFFSET(ORÇAMENTO!$X$15,ROW(AW293)-ROW(AW$15),0),0)</f>
        <v>0</v>
      </c>
      <c r="AX293" s="632">
        <f ca="1">IF(AND($D293="Serviço",AX$12&lt;&gt;0,$H293&gt;0,OR(AUTOEVENTO&lt;&gt;"manual",$M293&lt;&gt;1)),ROUND(OFFSET($P293,0,AX$13),15-13*ORÇAMENTO!$AF$7)/$H293*OFFSET(ORÇAMENTO!$X$15,ROW(AX293)-ROW(AX$15),0),0)</f>
        <v>0</v>
      </c>
      <c r="AY293" s="632">
        <f ca="1">IF(AND($D293="Serviço",AY$12&lt;&gt;0,$H293&gt;0,OR(AUTOEVENTO&lt;&gt;"manual",$M293&lt;&gt;1)),ROUND(OFFSET($P293,0,AY$13),15-13*ORÇAMENTO!$AF$7)/$H293*OFFSET(ORÇAMENTO!$X$15,ROW(AY293)-ROW(AY$15),0),0)</f>
        <v>0</v>
      </c>
      <c r="AZ293" s="632">
        <f ca="1">IF(AND($D293="Serviço",AZ$12&lt;&gt;0,$H293&gt;0,OR(AUTOEVENTO&lt;&gt;"manual",$M293&lt;&gt;1)),ROUND(OFFSET($P293,0,AZ$13),15-13*ORÇAMENTO!$AF$7)/$H293*OFFSET(ORÇAMENTO!$X$15,ROW(AZ293)-ROW(AZ$15),0),0)</f>
        <v>0</v>
      </c>
      <c r="BA293" s="633">
        <f ca="1">IF(AND($D293="Serviço",BA$12&lt;&gt;0,$H293&gt;0,OR(AUTOEVENTO&lt;&gt;"manual",$M293&lt;&gt;1)),ROUND(OFFSET($P293,0,BA$13),15-13*ORÇAMENTO!$AF$7)/$H293*OFFSET(ORÇAMENTO!$X$15,ROW(BA293)-ROW(BA$15),0),0)</f>
        <v>0</v>
      </c>
      <c r="BC293" s="215">
        <f ca="1">IF($D293&lt;&gt;"Serviço",0,IF(AND(AUTOEVENTO="Manual",$M293=1),0,IF(OFFSET(CRONOPLE!$F$14,$M293,BC$13)="",10^12,OFFSET(CRONOPLE!$F$14,$M293,BC$13))))</f>
        <v>1000000000000</v>
      </c>
      <c r="BD293" s="215">
        <f ca="1">IF($D293&lt;&gt;"Serviço",0,IF(AND(AUTOEVENTO="Manual",$M293=1),0,IF(OFFSET(CRONOPLE!$F$14,$M293,BD$13)="",10^12,OFFSET(CRONOPLE!$F$14,$M293,BD$13))))</f>
        <v>1000000000000</v>
      </c>
      <c r="BE293" s="215">
        <f ca="1">IF($D293&lt;&gt;"Serviço",0,IF(AND(AUTOEVENTO="Manual",$M293=1),0,IF(OFFSET(CRONOPLE!$F$14,$M293,BE$13)="",10^12,OFFSET(CRONOPLE!$F$14,$M293,BE$13))))</f>
        <v>1000000000000</v>
      </c>
      <c r="BF293" s="215">
        <f ca="1">IF($D293&lt;&gt;"Serviço",0,IF(AND(AUTOEVENTO="Manual",$M293=1),0,IF(OFFSET(CRONOPLE!$F$14,$M293,BF$13)="",10^12,OFFSET(CRONOPLE!$F$14,$M293,BF$13))))</f>
        <v>1000000000000</v>
      </c>
      <c r="BG293" s="215">
        <f ca="1">IF($D293&lt;&gt;"Serviço",0,IF(AND(AUTOEVENTO="Manual",$M293=1),0,IF(OFFSET(CRONOPLE!$F$14,$M293,BG$13)="",10^12,OFFSET(CRONOPLE!$F$14,$M293,BG$13))))</f>
        <v>1000000000000</v>
      </c>
      <c r="BH293" s="215">
        <f ca="1">IF($D293&lt;&gt;"Serviço",0,IF(AND(AUTOEVENTO="Manual",$M293=1),0,IF(OFFSET(CRONOPLE!$F$14,$M293,BH$13)="",10^12,OFFSET(CRONOPLE!$F$14,$M293,BH$13))))</f>
        <v>1000000000000</v>
      </c>
      <c r="BI293" s="215">
        <f ca="1">IF($D293&lt;&gt;"Serviço",0,IF(AND(AUTOEVENTO="Manual",$M293=1),0,IF(OFFSET(CRONOPLE!$F$14,$M293,BI$13)="",10^12,OFFSET(CRONOPLE!$F$14,$M293,BI$13))))</f>
        <v>1000000000000</v>
      </c>
      <c r="BJ293" s="215">
        <f ca="1">IF($D293&lt;&gt;"Serviço",0,IF(AND(AUTOEVENTO="Manual",$M293=1),0,IF(OFFSET(CRONOPLE!$F$14,$M293,BJ$13)="",10^12,OFFSET(CRONOPLE!$F$14,$M293,BJ$13))))</f>
        <v>1000000000000</v>
      </c>
      <c r="BK293" s="215">
        <f ca="1">IF($D293&lt;&gt;"Serviço",0,IF(AND(AUTOEVENTO="Manual",$M293=1),0,IF(OFFSET(CRONOPLE!$F$14,$M293,BK$13)="",10^12,OFFSET(CRONOPLE!$F$14,$M293,BK$13))))</f>
        <v>1000000000000</v>
      </c>
      <c r="BL293" s="215">
        <f ca="1">IF($D293&lt;&gt;"Serviço",0,IF(AND(AUTOEVENTO="Manual",$M293=1),0,IF(OFFSET(CRONOPLE!$F$14,$M293,BL$13)="",10^12,OFFSET(CRONOPLE!$F$14,$M293,BL$13))))</f>
        <v>1000000000000</v>
      </c>
      <c r="BM293" s="215">
        <f ca="1">IF($D293&lt;&gt;"Serviço",0,IF(AND(AUTOEVENTO="Manual",$M293=1),0,IF(OFFSET(CRONOPLE!$F$14,$M293,BM$13)="",10^12,OFFSET(CRONOPLE!$F$14,$M293,BM$13))))</f>
        <v>1000000000000</v>
      </c>
      <c r="BN293" s="215">
        <f ca="1">IF($D293&lt;&gt;"Serviço",0,IF(AND(AUTOEVENTO="Manual",$M293=1),0,IF(OFFSET(CRONOPLE!$F$14,$M293,BN$13)="",10^12,OFFSET(CRONOPLE!$F$14,$M293,BN$13))))</f>
        <v>1000000000000</v>
      </c>
      <c r="BO293" s="215">
        <f ca="1">IF($D293&lt;&gt;"Serviço",0,IF(AND(AUTOEVENTO="Manual",$M293=1),0,IF(OFFSET(CRONOPLE!$F$14,$M293,BO$13)="",10^12,OFFSET(CRONOPLE!$F$14,$M293,BO$13))))</f>
        <v>1000000000000</v>
      </c>
      <c r="BP293" s="215">
        <f ca="1">IF($D293&lt;&gt;"Serviço",0,IF(AND(AUTOEVENTO="Manual",$M293=1),0,IF(OFFSET(CRONOPLE!$F$14,$M293,BP$13)="",10^12,OFFSET(CRONOPLE!$F$14,$M293,BP$13))))</f>
        <v>1000000000000</v>
      </c>
      <c r="BQ293" s="215">
        <f ca="1">IF($D293&lt;&gt;"Serviço",0,IF(AND(AUTOEVENTO="Manual",$M293=1),0,IF(OFFSET(CRONOPLE!$F$14,$M293,BQ$13)="",10^12,OFFSET(CRONOPLE!$F$14,$M293,BQ$13))))</f>
        <v>1000000000000</v>
      </c>
      <c r="BR293" s="215">
        <f ca="1">IF($D293&lt;&gt;"Serviço",0,IF(AND(AUTOEVENTO="Manual",$M293=1),0,IF(OFFSET(CRONOPLE!$F$14,$M293,BR$13)="",10^12,OFFSET(CRONOPLE!$F$14,$M293,BR$13))))</f>
        <v>1000000000000</v>
      </c>
      <c r="BS293" s="215">
        <f ca="1">IF($D293&lt;&gt;"Serviço",0,IF(AND(AUTOEVENTO="Manual",$M293=1),0,IF(OFFSET(CRONOPLE!$F$14,$M293,BS$13)="",10^12,OFFSET(CRONOPLE!$F$14,$M293,BS$13))))</f>
        <v>1000000000000</v>
      </c>
      <c r="BT293" s="215">
        <f ca="1">IF($D293&lt;&gt;"Serviço",0,IF(AND(AUTOEVENTO="Manual",$M293=1),0,IF(OFFSET(CRONOPLE!$F$14,$M293,BT$13)="",10^12,OFFSET(CRONOPLE!$F$14,$M293,BT$13))))</f>
        <v>1000000000000</v>
      </c>
      <c r="BV293" s="216">
        <f ca="1">IF($D293&lt;&gt;"Serviço",0,IF(OR(AND(AUTOEVENTO="Manual",$M293=1),$M293&gt;(ROW(PLE.lastrow)-ROW(PLE.firstrow))),0,IF(OFFSET(PLE!$G$14,$M293,BV$13)="",10^12,OFFSET(PLE!$G$14,$M293,BV$13))))</f>
        <v>1000000000000</v>
      </c>
      <c r="BW293" s="216">
        <f ca="1">IF($D293&lt;&gt;"Serviço",0,IF(OR(AND(AUTOEVENTO="Manual",$M293=1),$M293&gt;(ROW(PLE.lastrow)-ROW(PLE.firstrow))),0,IF(OFFSET(PLE!$G$14,$M293,BW$13)="",10^12,OFFSET(PLE!$G$14,$M293,BW$13))))</f>
        <v>1000000000000</v>
      </c>
      <c r="BX293" s="216">
        <f ca="1">IF($D293&lt;&gt;"Serviço",0,IF(OR(AND(AUTOEVENTO="Manual",$M293=1),$M293&gt;(ROW(PLE.lastrow)-ROW(PLE.firstrow))),0,IF(OFFSET(PLE!$G$14,$M293,BX$13)="",10^12,OFFSET(PLE!$G$14,$M293,BX$13))))</f>
        <v>1000000000000</v>
      </c>
      <c r="BY293" s="216">
        <f ca="1">IF($D293&lt;&gt;"Serviço",0,IF(OR(AND(AUTOEVENTO="Manual",$M293=1),$M293&gt;(ROW(PLE.lastrow)-ROW(PLE.firstrow))),0,IF(OFFSET(PLE!$G$14,$M293,BY$13)="",10^12,OFFSET(PLE!$G$14,$M293,BY$13))))</f>
        <v>1000000000000</v>
      </c>
      <c r="BZ293" s="216">
        <f ca="1">IF($D293&lt;&gt;"Serviço",0,IF(OR(AND(AUTOEVENTO="Manual",$M293=1),$M293&gt;(ROW(PLE.lastrow)-ROW(PLE.firstrow))),0,IF(OFFSET(PLE!$G$14,$M293,BZ$13)="",10^12,OFFSET(PLE!$G$14,$M293,BZ$13))))</f>
        <v>1000000000000</v>
      </c>
      <c r="CA293" s="216">
        <f ca="1">IF($D293&lt;&gt;"Serviço",0,IF(OR(AND(AUTOEVENTO="Manual",$M293=1),$M293&gt;(ROW(PLE.lastrow)-ROW(PLE.firstrow))),0,IF(OFFSET(PLE!$G$14,$M293,CA$13)="",10^12,OFFSET(PLE!$G$14,$M293,CA$13))))</f>
        <v>1000000000000</v>
      </c>
      <c r="CB293" s="216">
        <f ca="1">IF($D293&lt;&gt;"Serviço",0,IF(OR(AND(AUTOEVENTO="Manual",$M293=1),$M293&gt;(ROW(PLE.lastrow)-ROW(PLE.firstrow))),0,IF(OFFSET(PLE!$G$14,$M293,CB$13)="",10^12,OFFSET(PLE!$G$14,$M293,CB$13))))</f>
        <v>1000000000000</v>
      </c>
      <c r="CC293" s="216">
        <f ca="1">IF($D293&lt;&gt;"Serviço",0,IF(OR(AND(AUTOEVENTO="Manual",$M293=1),$M293&gt;(ROW(PLE.lastrow)-ROW(PLE.firstrow))),0,IF(OFFSET(PLE!$G$14,$M293,CC$13)="",10^12,OFFSET(PLE!$G$14,$M293,CC$13))))</f>
        <v>1000000000000</v>
      </c>
      <c r="CD293" s="216">
        <f ca="1">IF($D293&lt;&gt;"Serviço",0,IF(OR(AND(AUTOEVENTO="Manual",$M293=1),$M293&gt;(ROW(PLE.lastrow)-ROW(PLE.firstrow))),0,IF(OFFSET(PLE!$G$14,$M293,CD$13)="",10^12,OFFSET(PLE!$G$14,$M293,CD$13))))</f>
        <v>1000000000000</v>
      </c>
      <c r="CE293" s="216">
        <f ca="1">IF($D293&lt;&gt;"Serviço",0,IF(OR(AND(AUTOEVENTO="Manual",$M293=1),$M293&gt;(ROW(PLE.lastrow)-ROW(PLE.firstrow))),0,IF(OFFSET(PLE!$G$14,$M293,CE$13)="",10^12,OFFSET(PLE!$G$14,$M293,CE$13))))</f>
        <v>1000000000000</v>
      </c>
      <c r="CF293" s="216">
        <f ca="1">IF($D293&lt;&gt;"Serviço",0,IF(OR(AND(AUTOEVENTO="Manual",$M293=1),$M293&gt;(ROW(PLE.lastrow)-ROW(PLE.firstrow))),0,IF(OFFSET(PLE!$G$14,$M293,CF$13)="",10^12,OFFSET(PLE!$G$14,$M293,CF$13))))</f>
        <v>1000000000000</v>
      </c>
      <c r="CG293" s="216">
        <f ca="1">IF($D293&lt;&gt;"Serviço",0,IF(OR(AND(AUTOEVENTO="Manual",$M293=1),$M293&gt;(ROW(PLE.lastrow)-ROW(PLE.firstrow))),0,IF(OFFSET(PLE!$G$14,$M293,CG$13)="",10^12,OFFSET(PLE!$G$14,$M293,CG$13))))</f>
        <v>1000000000000</v>
      </c>
      <c r="CH293" s="216">
        <f ca="1">IF($D293&lt;&gt;"Serviço",0,IF(OR(AND(AUTOEVENTO="Manual",$M293=1),$M293&gt;(ROW(PLE.lastrow)-ROW(PLE.firstrow))),0,IF(OFFSET(PLE!$G$14,$M293,CH$13)="",10^12,OFFSET(PLE!$G$14,$M293,CH$13))))</f>
        <v>1000000000000</v>
      </c>
      <c r="CI293" s="216">
        <f ca="1">IF($D293&lt;&gt;"Serviço",0,IF(OR(AND(AUTOEVENTO="Manual",$M293=1),$M293&gt;(ROW(PLE.lastrow)-ROW(PLE.firstrow))),0,IF(OFFSET(PLE!$G$14,$M293,CI$13)="",10^12,OFFSET(PLE!$G$14,$M293,CI$13))))</f>
        <v>1000000000000</v>
      </c>
      <c r="CJ293" s="216">
        <f ca="1">IF($D293&lt;&gt;"Serviço",0,IF(OR(AND(AUTOEVENTO="Manual",$M293=1),$M293&gt;(ROW(PLE.lastrow)-ROW(PLE.firstrow))),0,IF(OFFSET(PLE!$G$14,$M293,CJ$13)="",10^12,OFFSET(PLE!$G$14,$M293,CJ$13))))</f>
        <v>1000000000000</v>
      </c>
      <c r="CK293" s="216">
        <f ca="1">IF($D293&lt;&gt;"Serviço",0,IF(OR(AND(AUTOEVENTO="Manual",$M293=1),$M293&gt;(ROW(PLE.lastrow)-ROW(PLE.firstrow))),0,IF(OFFSET(PLE!$G$14,$M293,CK$13)="",10^12,OFFSET(PLE!$G$14,$M293,CK$13))))</f>
        <v>1000000000000</v>
      </c>
      <c r="CL293" s="216">
        <f ca="1">IF($D293&lt;&gt;"Serviço",0,IF(OR(AND(AUTOEVENTO="Manual",$M293=1),$M293&gt;(ROW(PLE.lastrow)-ROW(PLE.firstrow))),0,IF(OFFSET(PLE!$G$14,$M293,CL$13)="",10^12,OFFSET(PLE!$G$14,$M293,CL$13))))</f>
        <v>1000000000000</v>
      </c>
      <c r="CM293" s="216">
        <f ca="1">IF($D293&lt;&gt;"Serviço",0,IF(OR(AND(AUTOEVENTO="Manual",$M293=1),$M293&gt;(ROW(PLE.lastrow)-ROW(PLE.firstrow))),0,IF(OFFSET(PLE!$G$14,$M293,CM$13)="",10^12,OFFSET(PLE!$G$14,$M293,CM$13))))</f>
        <v>1000000000000</v>
      </c>
    </row>
    <row r="294" spans="1:91" ht="13.2" x14ac:dyDescent="0.25">
      <c r="A294" s="9">
        <f t="shared" ca="1" si="13"/>
        <v>0</v>
      </c>
      <c r="B294" s="9" t="str">
        <f ca="1">OFFSET(ORÇAMENTO!C$15,ROW(B294)-ROW(B$15),0)</f>
        <v>S</v>
      </c>
      <c r="C294" s="9" t="str">
        <f ca="1">OFFSET(ORÇAMENTO!L$15,ROW(C294)-ROW(C$15),0)</f>
        <v/>
      </c>
      <c r="D294" s="145" t="str">
        <f ca="1">OFFSET(ORÇAMENTO!N$15,ROW(D294)-ROW(D$15),0)</f>
        <v>Serviço</v>
      </c>
      <c r="E294" s="205" t="str">
        <f ca="1">OFFSET(ORÇAMENTO!O$15,ROW(E294)-ROW(E$15),0)</f>
        <v>-</v>
      </c>
      <c r="F294" s="206" t="str">
        <f ca="1">OFFSET(ORÇAMENTO!R$15,ROW(F294)-ROW(F$15),0)</f>
        <v>(abra o arquivo 'Referência 05-2024.xls)</v>
      </c>
      <c r="G294" s="207" t="str">
        <f ca="1">IF($D294&lt;&gt;"Serviço","",OFFSET(ORÇAMENTO!S$15,ROW(G294)-ROW(G$15),0))</f>
        <v>-</v>
      </c>
      <c r="H294" s="151">
        <f ca="1">IF($D294&lt;&gt;"Serviço",0,IF(ACOMPANHAMENTO="BM",ROUND(OFFSET(ORÇAMENTO!AJ$15,ROW(H294)-ROW(H$15),0),15-13*ORÇAMENTO!$AF$7),SUMPRODUCT(($Q$12:$AI$12&lt;&gt;"")*ROUND($Q294:$AI294,15-13*ORÇAMENTO!$AF$7))))</f>
        <v>173.86</v>
      </c>
      <c r="I294" s="650"/>
      <c r="K294" s="208"/>
      <c r="L294" s="209" t="s">
        <v>257</v>
      </c>
      <c r="M294" s="210">
        <f ca="1">IF($D294&lt;&gt;"Serviço","",IF(AUTOEVENTO="manual",$A294,IF(ISERROR(MATCH($A294,$A$15:OFFSET($A294,-1,0),0)),MAX($M$15:OFFSET(M294,-1,0))+1,INDEX($M$15:OFFSET(M294,-1,0),MATCH($A294,$A$15:OFFSET($A294,-1,0),0)))))</f>
        <v>0</v>
      </c>
      <c r="N294" s="211" t="str">
        <f ca="1">IF($D294&lt;&gt;"Serviço","",IF(AUTOEVENTO="Manual",IF($A294=0,"&lt;-- defina o número do agrupador",OFFSET(EVENTOS!$D$14,$A294,0)),OFFSET($F$15,$A294,0)))</f>
        <v>&lt;-- defina o número do agrupador</v>
      </c>
      <c r="O294" s="212"/>
      <c r="Q294" s="212"/>
      <c r="R294" s="213"/>
      <c r="S294" s="213"/>
      <c r="T294" s="213"/>
      <c r="U294" s="213"/>
      <c r="V294" s="213"/>
      <c r="W294" s="213"/>
      <c r="X294" s="213"/>
      <c r="Y294" s="213"/>
      <c r="Z294" s="214"/>
      <c r="AA294" s="213"/>
      <c r="AB294" s="213"/>
      <c r="AC294" s="213"/>
      <c r="AD294" s="213"/>
      <c r="AE294" s="213"/>
      <c r="AF294" s="213"/>
      <c r="AG294" s="213"/>
      <c r="AH294" s="214"/>
      <c r="AJ294" s="631">
        <f ca="1">IF(AND($D294="Serviço",AJ$12&lt;&gt;0,$H294&gt;0,OR(AUTOEVENTO&lt;&gt;"manual",$M294&lt;&gt;1)),ROUND(OFFSET($P294,0,AJ$13),15-13*ORÇAMENTO!$AF$7)/$H294*OFFSET(ORÇAMENTO!$X$15,ROW(AJ294)-ROW(AJ$15),0),0)</f>
        <v>0</v>
      </c>
      <c r="AK294" s="632">
        <f ca="1">IF(AND($D294="Serviço",AK$12&lt;&gt;0,$H294&gt;0,OR(AUTOEVENTO&lt;&gt;"manual",$M294&lt;&gt;1)),ROUND(OFFSET($P294,0,AK$13),15-13*ORÇAMENTO!$AF$7)/$H294*OFFSET(ORÇAMENTO!$X$15,ROW(AK294)-ROW(AK$15),0),0)</f>
        <v>0</v>
      </c>
      <c r="AL294" s="632">
        <f ca="1">IF(AND($D294="Serviço",AL$12&lt;&gt;0,$H294&gt;0,OR(AUTOEVENTO&lt;&gt;"manual",$M294&lt;&gt;1)),ROUND(OFFSET($P294,0,AL$13),15-13*ORÇAMENTO!$AF$7)/$H294*OFFSET(ORÇAMENTO!$X$15,ROW(AL294)-ROW(AL$15),0),0)</f>
        <v>0</v>
      </c>
      <c r="AM294" s="632">
        <f ca="1">IF(AND($D294="Serviço",AM$12&lt;&gt;0,$H294&gt;0,OR(AUTOEVENTO&lt;&gt;"manual",$M294&lt;&gt;1)),ROUND(OFFSET($P294,0,AM$13),15-13*ORÇAMENTO!$AF$7)/$H294*OFFSET(ORÇAMENTO!$X$15,ROW(AM294)-ROW(AM$15),0),0)</f>
        <v>0</v>
      </c>
      <c r="AN294" s="632">
        <f ca="1">IF(AND($D294="Serviço",AN$12&lt;&gt;0,$H294&gt;0,OR(AUTOEVENTO&lt;&gt;"manual",$M294&lt;&gt;1)),ROUND(OFFSET($P294,0,AN$13),15-13*ORÇAMENTO!$AF$7)/$H294*OFFSET(ORÇAMENTO!$X$15,ROW(AN294)-ROW(AN$15),0),0)</f>
        <v>0</v>
      </c>
      <c r="AO294" s="632">
        <f ca="1">IF(AND($D294="Serviço",AO$12&lt;&gt;0,$H294&gt;0,OR(AUTOEVENTO&lt;&gt;"manual",$M294&lt;&gt;1)),ROUND(OFFSET($P294,0,AO$13),15-13*ORÇAMENTO!$AF$7)/$H294*OFFSET(ORÇAMENTO!$X$15,ROW(AO294)-ROW(AO$15),0),0)</f>
        <v>0</v>
      </c>
      <c r="AP294" s="632">
        <f ca="1">IF(AND($D294="Serviço",AP$12&lt;&gt;0,$H294&gt;0,OR(AUTOEVENTO&lt;&gt;"manual",$M294&lt;&gt;1)),ROUND(OFFSET($P294,0,AP$13),15-13*ORÇAMENTO!$AF$7)/$H294*OFFSET(ORÇAMENTO!$X$15,ROW(AP294)-ROW(AP$15),0),0)</f>
        <v>0</v>
      </c>
      <c r="AQ294" s="632">
        <f ca="1">IF(AND($D294="Serviço",AQ$12&lt;&gt;0,$H294&gt;0,OR(AUTOEVENTO&lt;&gt;"manual",$M294&lt;&gt;1)),ROUND(OFFSET($P294,0,AQ$13),15-13*ORÇAMENTO!$AF$7)/$H294*OFFSET(ORÇAMENTO!$X$15,ROW(AQ294)-ROW(AQ$15),0),0)</f>
        <v>0</v>
      </c>
      <c r="AR294" s="632">
        <f ca="1">IF(AND($D294="Serviço",AR$12&lt;&gt;0,$H294&gt;0,OR(AUTOEVENTO&lt;&gt;"manual",$M294&lt;&gt;1)),ROUND(OFFSET($P294,0,AR$13),15-13*ORÇAMENTO!$AF$7)/$H294*OFFSET(ORÇAMENTO!$X$15,ROW(AR294)-ROW(AR$15),0),0)</f>
        <v>0</v>
      </c>
      <c r="AS294" s="633">
        <f ca="1">IF(AND($D294="Serviço",AS$12&lt;&gt;0,$H294&gt;0,OR(AUTOEVENTO&lt;&gt;"manual",$M294&lt;&gt;1)),ROUND(OFFSET($P294,0,AS$13),15-13*ORÇAMENTO!$AF$7)/$H294*OFFSET(ORÇAMENTO!$X$15,ROW(AS294)-ROW(AS$15),0),0)</f>
        <v>0</v>
      </c>
      <c r="AT294" s="632">
        <f ca="1">IF(AND($D294="Serviço",AT$12&lt;&gt;0,$H294&gt;0,OR(AUTOEVENTO&lt;&gt;"manual",$M294&lt;&gt;1)),ROUND(OFFSET($P294,0,AT$13),15-13*ORÇAMENTO!$AF$7)/$H294*OFFSET(ORÇAMENTO!$X$15,ROW(AT294)-ROW(AT$15),0),0)</f>
        <v>0</v>
      </c>
      <c r="AU294" s="632">
        <f ca="1">IF(AND($D294="Serviço",AU$12&lt;&gt;0,$H294&gt;0,OR(AUTOEVENTO&lt;&gt;"manual",$M294&lt;&gt;1)),ROUND(OFFSET($P294,0,AU$13),15-13*ORÇAMENTO!$AF$7)/$H294*OFFSET(ORÇAMENTO!$X$15,ROW(AU294)-ROW(AU$15),0),0)</f>
        <v>0</v>
      </c>
      <c r="AV294" s="632">
        <f ca="1">IF(AND($D294="Serviço",AV$12&lt;&gt;0,$H294&gt;0,OR(AUTOEVENTO&lt;&gt;"manual",$M294&lt;&gt;1)),ROUND(OFFSET($P294,0,AV$13),15-13*ORÇAMENTO!$AF$7)/$H294*OFFSET(ORÇAMENTO!$X$15,ROW(AV294)-ROW(AV$15),0),0)</f>
        <v>0</v>
      </c>
      <c r="AW294" s="632">
        <f ca="1">IF(AND($D294="Serviço",AW$12&lt;&gt;0,$H294&gt;0,OR(AUTOEVENTO&lt;&gt;"manual",$M294&lt;&gt;1)),ROUND(OFFSET($P294,0,AW$13),15-13*ORÇAMENTO!$AF$7)/$H294*OFFSET(ORÇAMENTO!$X$15,ROW(AW294)-ROW(AW$15),0),0)</f>
        <v>0</v>
      </c>
      <c r="AX294" s="632">
        <f ca="1">IF(AND($D294="Serviço",AX$12&lt;&gt;0,$H294&gt;0,OR(AUTOEVENTO&lt;&gt;"manual",$M294&lt;&gt;1)),ROUND(OFFSET($P294,0,AX$13),15-13*ORÇAMENTO!$AF$7)/$H294*OFFSET(ORÇAMENTO!$X$15,ROW(AX294)-ROW(AX$15),0),0)</f>
        <v>0</v>
      </c>
      <c r="AY294" s="632">
        <f ca="1">IF(AND($D294="Serviço",AY$12&lt;&gt;0,$H294&gt;0,OR(AUTOEVENTO&lt;&gt;"manual",$M294&lt;&gt;1)),ROUND(OFFSET($P294,0,AY$13),15-13*ORÇAMENTO!$AF$7)/$H294*OFFSET(ORÇAMENTO!$X$15,ROW(AY294)-ROW(AY$15),0),0)</f>
        <v>0</v>
      </c>
      <c r="AZ294" s="632">
        <f ca="1">IF(AND($D294="Serviço",AZ$12&lt;&gt;0,$H294&gt;0,OR(AUTOEVENTO&lt;&gt;"manual",$M294&lt;&gt;1)),ROUND(OFFSET($P294,0,AZ$13),15-13*ORÇAMENTO!$AF$7)/$H294*OFFSET(ORÇAMENTO!$X$15,ROW(AZ294)-ROW(AZ$15),0),0)</f>
        <v>0</v>
      </c>
      <c r="BA294" s="633">
        <f ca="1">IF(AND($D294="Serviço",BA$12&lt;&gt;0,$H294&gt;0,OR(AUTOEVENTO&lt;&gt;"manual",$M294&lt;&gt;1)),ROUND(OFFSET($P294,0,BA$13),15-13*ORÇAMENTO!$AF$7)/$H294*OFFSET(ORÇAMENTO!$X$15,ROW(BA294)-ROW(BA$15),0),0)</f>
        <v>0</v>
      </c>
      <c r="BC294" s="215">
        <f ca="1">IF($D294&lt;&gt;"Serviço",0,IF(AND(AUTOEVENTO="Manual",$M294=1),0,IF(OFFSET(CRONOPLE!$F$14,$M294,BC$13)="",10^12,OFFSET(CRONOPLE!$F$14,$M294,BC$13))))</f>
        <v>1000000000000</v>
      </c>
      <c r="BD294" s="215">
        <f ca="1">IF($D294&lt;&gt;"Serviço",0,IF(AND(AUTOEVENTO="Manual",$M294=1),0,IF(OFFSET(CRONOPLE!$F$14,$M294,BD$13)="",10^12,OFFSET(CRONOPLE!$F$14,$M294,BD$13))))</f>
        <v>1000000000000</v>
      </c>
      <c r="BE294" s="215">
        <f ca="1">IF($D294&lt;&gt;"Serviço",0,IF(AND(AUTOEVENTO="Manual",$M294=1),0,IF(OFFSET(CRONOPLE!$F$14,$M294,BE$13)="",10^12,OFFSET(CRONOPLE!$F$14,$M294,BE$13))))</f>
        <v>1000000000000</v>
      </c>
      <c r="BF294" s="215">
        <f ca="1">IF($D294&lt;&gt;"Serviço",0,IF(AND(AUTOEVENTO="Manual",$M294=1),0,IF(OFFSET(CRONOPLE!$F$14,$M294,BF$13)="",10^12,OFFSET(CRONOPLE!$F$14,$M294,BF$13))))</f>
        <v>1000000000000</v>
      </c>
      <c r="BG294" s="215">
        <f ca="1">IF($D294&lt;&gt;"Serviço",0,IF(AND(AUTOEVENTO="Manual",$M294=1),0,IF(OFFSET(CRONOPLE!$F$14,$M294,BG$13)="",10^12,OFFSET(CRONOPLE!$F$14,$M294,BG$13))))</f>
        <v>1000000000000</v>
      </c>
      <c r="BH294" s="215">
        <f ca="1">IF($D294&lt;&gt;"Serviço",0,IF(AND(AUTOEVENTO="Manual",$M294=1),0,IF(OFFSET(CRONOPLE!$F$14,$M294,BH$13)="",10^12,OFFSET(CRONOPLE!$F$14,$M294,BH$13))))</f>
        <v>1000000000000</v>
      </c>
      <c r="BI294" s="215">
        <f ca="1">IF($D294&lt;&gt;"Serviço",0,IF(AND(AUTOEVENTO="Manual",$M294=1),0,IF(OFFSET(CRONOPLE!$F$14,$M294,BI$13)="",10^12,OFFSET(CRONOPLE!$F$14,$M294,BI$13))))</f>
        <v>1000000000000</v>
      </c>
      <c r="BJ294" s="215">
        <f ca="1">IF($D294&lt;&gt;"Serviço",0,IF(AND(AUTOEVENTO="Manual",$M294=1),0,IF(OFFSET(CRONOPLE!$F$14,$M294,BJ$13)="",10^12,OFFSET(CRONOPLE!$F$14,$M294,BJ$13))))</f>
        <v>1000000000000</v>
      </c>
      <c r="BK294" s="215">
        <f ca="1">IF($D294&lt;&gt;"Serviço",0,IF(AND(AUTOEVENTO="Manual",$M294=1),0,IF(OFFSET(CRONOPLE!$F$14,$M294,BK$13)="",10^12,OFFSET(CRONOPLE!$F$14,$M294,BK$13))))</f>
        <v>1000000000000</v>
      </c>
      <c r="BL294" s="215">
        <f ca="1">IF($D294&lt;&gt;"Serviço",0,IF(AND(AUTOEVENTO="Manual",$M294=1),0,IF(OFFSET(CRONOPLE!$F$14,$M294,BL$13)="",10^12,OFFSET(CRONOPLE!$F$14,$M294,BL$13))))</f>
        <v>1000000000000</v>
      </c>
      <c r="BM294" s="215">
        <f ca="1">IF($D294&lt;&gt;"Serviço",0,IF(AND(AUTOEVENTO="Manual",$M294=1),0,IF(OFFSET(CRONOPLE!$F$14,$M294,BM$13)="",10^12,OFFSET(CRONOPLE!$F$14,$M294,BM$13))))</f>
        <v>1000000000000</v>
      </c>
      <c r="BN294" s="215">
        <f ca="1">IF($D294&lt;&gt;"Serviço",0,IF(AND(AUTOEVENTO="Manual",$M294=1),0,IF(OFFSET(CRONOPLE!$F$14,$M294,BN$13)="",10^12,OFFSET(CRONOPLE!$F$14,$M294,BN$13))))</f>
        <v>1000000000000</v>
      </c>
      <c r="BO294" s="215">
        <f ca="1">IF($D294&lt;&gt;"Serviço",0,IF(AND(AUTOEVENTO="Manual",$M294=1),0,IF(OFFSET(CRONOPLE!$F$14,$M294,BO$13)="",10^12,OFFSET(CRONOPLE!$F$14,$M294,BO$13))))</f>
        <v>1000000000000</v>
      </c>
      <c r="BP294" s="215">
        <f ca="1">IF($D294&lt;&gt;"Serviço",0,IF(AND(AUTOEVENTO="Manual",$M294=1),0,IF(OFFSET(CRONOPLE!$F$14,$M294,BP$13)="",10^12,OFFSET(CRONOPLE!$F$14,$M294,BP$13))))</f>
        <v>1000000000000</v>
      </c>
      <c r="BQ294" s="215">
        <f ca="1">IF($D294&lt;&gt;"Serviço",0,IF(AND(AUTOEVENTO="Manual",$M294=1),0,IF(OFFSET(CRONOPLE!$F$14,$M294,BQ$13)="",10^12,OFFSET(CRONOPLE!$F$14,$M294,BQ$13))))</f>
        <v>1000000000000</v>
      </c>
      <c r="BR294" s="215">
        <f ca="1">IF($D294&lt;&gt;"Serviço",0,IF(AND(AUTOEVENTO="Manual",$M294=1),0,IF(OFFSET(CRONOPLE!$F$14,$M294,BR$13)="",10^12,OFFSET(CRONOPLE!$F$14,$M294,BR$13))))</f>
        <v>1000000000000</v>
      </c>
      <c r="BS294" s="215">
        <f ca="1">IF($D294&lt;&gt;"Serviço",0,IF(AND(AUTOEVENTO="Manual",$M294=1),0,IF(OFFSET(CRONOPLE!$F$14,$M294,BS$13)="",10^12,OFFSET(CRONOPLE!$F$14,$M294,BS$13))))</f>
        <v>1000000000000</v>
      </c>
      <c r="BT294" s="215">
        <f ca="1">IF($D294&lt;&gt;"Serviço",0,IF(AND(AUTOEVENTO="Manual",$M294=1),0,IF(OFFSET(CRONOPLE!$F$14,$M294,BT$13)="",10^12,OFFSET(CRONOPLE!$F$14,$M294,BT$13))))</f>
        <v>1000000000000</v>
      </c>
      <c r="BV294" s="216">
        <f ca="1">IF($D294&lt;&gt;"Serviço",0,IF(OR(AND(AUTOEVENTO="Manual",$M294=1),$M294&gt;(ROW(PLE.lastrow)-ROW(PLE.firstrow))),0,IF(OFFSET(PLE!$G$14,$M294,BV$13)="",10^12,OFFSET(PLE!$G$14,$M294,BV$13))))</f>
        <v>1000000000000</v>
      </c>
      <c r="BW294" s="216">
        <f ca="1">IF($D294&lt;&gt;"Serviço",0,IF(OR(AND(AUTOEVENTO="Manual",$M294=1),$M294&gt;(ROW(PLE.lastrow)-ROW(PLE.firstrow))),0,IF(OFFSET(PLE!$G$14,$M294,BW$13)="",10^12,OFFSET(PLE!$G$14,$M294,BW$13))))</f>
        <v>1000000000000</v>
      </c>
      <c r="BX294" s="216">
        <f ca="1">IF($D294&lt;&gt;"Serviço",0,IF(OR(AND(AUTOEVENTO="Manual",$M294=1),$M294&gt;(ROW(PLE.lastrow)-ROW(PLE.firstrow))),0,IF(OFFSET(PLE!$G$14,$M294,BX$13)="",10^12,OFFSET(PLE!$G$14,$M294,BX$13))))</f>
        <v>1000000000000</v>
      </c>
      <c r="BY294" s="216">
        <f ca="1">IF($D294&lt;&gt;"Serviço",0,IF(OR(AND(AUTOEVENTO="Manual",$M294=1),$M294&gt;(ROW(PLE.lastrow)-ROW(PLE.firstrow))),0,IF(OFFSET(PLE!$G$14,$M294,BY$13)="",10^12,OFFSET(PLE!$G$14,$M294,BY$13))))</f>
        <v>1000000000000</v>
      </c>
      <c r="BZ294" s="216">
        <f ca="1">IF($D294&lt;&gt;"Serviço",0,IF(OR(AND(AUTOEVENTO="Manual",$M294=1),$M294&gt;(ROW(PLE.lastrow)-ROW(PLE.firstrow))),0,IF(OFFSET(PLE!$G$14,$M294,BZ$13)="",10^12,OFFSET(PLE!$G$14,$M294,BZ$13))))</f>
        <v>1000000000000</v>
      </c>
      <c r="CA294" s="216">
        <f ca="1">IF($D294&lt;&gt;"Serviço",0,IF(OR(AND(AUTOEVENTO="Manual",$M294=1),$M294&gt;(ROW(PLE.lastrow)-ROW(PLE.firstrow))),0,IF(OFFSET(PLE!$G$14,$M294,CA$13)="",10^12,OFFSET(PLE!$G$14,$M294,CA$13))))</f>
        <v>1000000000000</v>
      </c>
      <c r="CB294" s="216">
        <f ca="1">IF($D294&lt;&gt;"Serviço",0,IF(OR(AND(AUTOEVENTO="Manual",$M294=1),$M294&gt;(ROW(PLE.lastrow)-ROW(PLE.firstrow))),0,IF(OFFSET(PLE!$G$14,$M294,CB$13)="",10^12,OFFSET(PLE!$G$14,$M294,CB$13))))</f>
        <v>1000000000000</v>
      </c>
      <c r="CC294" s="216">
        <f ca="1">IF($D294&lt;&gt;"Serviço",0,IF(OR(AND(AUTOEVENTO="Manual",$M294=1),$M294&gt;(ROW(PLE.lastrow)-ROW(PLE.firstrow))),0,IF(OFFSET(PLE!$G$14,$M294,CC$13)="",10^12,OFFSET(PLE!$G$14,$M294,CC$13))))</f>
        <v>1000000000000</v>
      </c>
      <c r="CD294" s="216">
        <f ca="1">IF($D294&lt;&gt;"Serviço",0,IF(OR(AND(AUTOEVENTO="Manual",$M294=1),$M294&gt;(ROW(PLE.lastrow)-ROW(PLE.firstrow))),0,IF(OFFSET(PLE!$G$14,$M294,CD$13)="",10^12,OFFSET(PLE!$G$14,$M294,CD$13))))</f>
        <v>1000000000000</v>
      </c>
      <c r="CE294" s="216">
        <f ca="1">IF($D294&lt;&gt;"Serviço",0,IF(OR(AND(AUTOEVENTO="Manual",$M294=1),$M294&gt;(ROW(PLE.lastrow)-ROW(PLE.firstrow))),0,IF(OFFSET(PLE!$G$14,$M294,CE$13)="",10^12,OFFSET(PLE!$G$14,$M294,CE$13))))</f>
        <v>1000000000000</v>
      </c>
      <c r="CF294" s="216">
        <f ca="1">IF($D294&lt;&gt;"Serviço",0,IF(OR(AND(AUTOEVENTO="Manual",$M294=1),$M294&gt;(ROW(PLE.lastrow)-ROW(PLE.firstrow))),0,IF(OFFSET(PLE!$G$14,$M294,CF$13)="",10^12,OFFSET(PLE!$G$14,$M294,CF$13))))</f>
        <v>1000000000000</v>
      </c>
      <c r="CG294" s="216">
        <f ca="1">IF($D294&lt;&gt;"Serviço",0,IF(OR(AND(AUTOEVENTO="Manual",$M294=1),$M294&gt;(ROW(PLE.lastrow)-ROW(PLE.firstrow))),0,IF(OFFSET(PLE!$G$14,$M294,CG$13)="",10^12,OFFSET(PLE!$G$14,$M294,CG$13))))</f>
        <v>1000000000000</v>
      </c>
      <c r="CH294" s="216">
        <f ca="1">IF($D294&lt;&gt;"Serviço",0,IF(OR(AND(AUTOEVENTO="Manual",$M294=1),$M294&gt;(ROW(PLE.lastrow)-ROW(PLE.firstrow))),0,IF(OFFSET(PLE!$G$14,$M294,CH$13)="",10^12,OFFSET(PLE!$G$14,$M294,CH$13))))</f>
        <v>1000000000000</v>
      </c>
      <c r="CI294" s="216">
        <f ca="1">IF($D294&lt;&gt;"Serviço",0,IF(OR(AND(AUTOEVENTO="Manual",$M294=1),$M294&gt;(ROW(PLE.lastrow)-ROW(PLE.firstrow))),0,IF(OFFSET(PLE!$G$14,$M294,CI$13)="",10^12,OFFSET(PLE!$G$14,$M294,CI$13))))</f>
        <v>1000000000000</v>
      </c>
      <c r="CJ294" s="216">
        <f ca="1">IF($D294&lt;&gt;"Serviço",0,IF(OR(AND(AUTOEVENTO="Manual",$M294=1),$M294&gt;(ROW(PLE.lastrow)-ROW(PLE.firstrow))),0,IF(OFFSET(PLE!$G$14,$M294,CJ$13)="",10^12,OFFSET(PLE!$G$14,$M294,CJ$13))))</f>
        <v>1000000000000</v>
      </c>
      <c r="CK294" s="216">
        <f ca="1">IF($D294&lt;&gt;"Serviço",0,IF(OR(AND(AUTOEVENTO="Manual",$M294=1),$M294&gt;(ROW(PLE.lastrow)-ROW(PLE.firstrow))),0,IF(OFFSET(PLE!$G$14,$M294,CK$13)="",10^12,OFFSET(PLE!$G$14,$M294,CK$13))))</f>
        <v>1000000000000</v>
      </c>
      <c r="CL294" s="216">
        <f ca="1">IF($D294&lt;&gt;"Serviço",0,IF(OR(AND(AUTOEVENTO="Manual",$M294=1),$M294&gt;(ROW(PLE.lastrow)-ROW(PLE.firstrow))),0,IF(OFFSET(PLE!$G$14,$M294,CL$13)="",10^12,OFFSET(PLE!$G$14,$M294,CL$13))))</f>
        <v>1000000000000</v>
      </c>
      <c r="CM294" s="216">
        <f ca="1">IF($D294&lt;&gt;"Serviço",0,IF(OR(AND(AUTOEVENTO="Manual",$M294=1),$M294&gt;(ROW(PLE.lastrow)-ROW(PLE.firstrow))),0,IF(OFFSET(PLE!$G$14,$M294,CM$13)="",10^12,OFFSET(PLE!$G$14,$M294,CM$13))))</f>
        <v>1000000000000</v>
      </c>
    </row>
    <row r="295" spans="1:91" ht="13.2" x14ac:dyDescent="0.25">
      <c r="A295" s="9">
        <f t="shared" ca="1" si="13"/>
        <v>0</v>
      </c>
      <c r="B295" s="9" t="str">
        <f ca="1">OFFSET(ORÇAMENTO!C$15,ROW(B295)-ROW(B$15),0)</f>
        <v>S</v>
      </c>
      <c r="C295" s="9" t="str">
        <f ca="1">OFFSET(ORÇAMENTO!L$15,ROW(C295)-ROW(C$15),0)</f>
        <v/>
      </c>
      <c r="D295" s="145" t="str">
        <f ca="1">OFFSET(ORÇAMENTO!N$15,ROW(D295)-ROW(D$15),0)</f>
        <v>Serviço</v>
      </c>
      <c r="E295" s="205" t="str">
        <f ca="1">OFFSET(ORÇAMENTO!O$15,ROW(E295)-ROW(E$15),0)</f>
        <v>-</v>
      </c>
      <c r="F295" s="206" t="str">
        <f ca="1">OFFSET(ORÇAMENTO!R$15,ROW(F295)-ROW(F$15),0)</f>
        <v>(abra o arquivo 'Referência 05-2024.xls)</v>
      </c>
      <c r="G295" s="207" t="str">
        <f ca="1">IF($D295&lt;&gt;"Serviço","",OFFSET(ORÇAMENTO!S$15,ROW(G295)-ROW(G$15),0))</f>
        <v>-</v>
      </c>
      <c r="H295" s="151">
        <f ca="1">IF($D295&lt;&gt;"Serviço",0,IF(ACOMPANHAMENTO="BM",ROUND(OFFSET(ORÇAMENTO!AJ$15,ROW(H295)-ROW(H$15),0),15-13*ORÇAMENTO!$AF$7),SUMPRODUCT(($Q$12:$AI$12&lt;&gt;"")*ROUND($Q295:$AI295,15-13*ORÇAMENTO!$AF$7))))</f>
        <v>269.72000000000003</v>
      </c>
      <c r="I295" s="650"/>
      <c r="K295" s="208"/>
      <c r="L295" s="209" t="s">
        <v>257</v>
      </c>
      <c r="M295" s="210">
        <f ca="1">IF($D295&lt;&gt;"Serviço","",IF(AUTOEVENTO="manual",$A295,IF(ISERROR(MATCH($A295,$A$15:OFFSET($A295,-1,0),0)),MAX($M$15:OFFSET(M295,-1,0))+1,INDEX($M$15:OFFSET(M295,-1,0),MATCH($A295,$A$15:OFFSET($A295,-1,0),0)))))</f>
        <v>0</v>
      </c>
      <c r="N295" s="211" t="str">
        <f ca="1">IF($D295&lt;&gt;"Serviço","",IF(AUTOEVENTO="Manual",IF($A295=0,"&lt;-- defina o número do agrupador",OFFSET(EVENTOS!$D$14,$A295,0)),OFFSET($F$15,$A295,0)))</f>
        <v>&lt;-- defina o número do agrupador</v>
      </c>
      <c r="O295" s="212"/>
      <c r="Q295" s="212"/>
      <c r="R295" s="213"/>
      <c r="S295" s="213"/>
      <c r="T295" s="213"/>
      <c r="U295" s="213"/>
      <c r="V295" s="213"/>
      <c r="W295" s="213"/>
      <c r="X295" s="213"/>
      <c r="Y295" s="213"/>
      <c r="Z295" s="214"/>
      <c r="AA295" s="213"/>
      <c r="AB295" s="213"/>
      <c r="AC295" s="213"/>
      <c r="AD295" s="213"/>
      <c r="AE295" s="213"/>
      <c r="AF295" s="213"/>
      <c r="AG295" s="213"/>
      <c r="AH295" s="214"/>
      <c r="AJ295" s="631">
        <f ca="1">IF(AND($D295="Serviço",AJ$12&lt;&gt;0,$H295&gt;0,OR(AUTOEVENTO&lt;&gt;"manual",$M295&lt;&gt;1)),ROUND(OFFSET($P295,0,AJ$13),15-13*ORÇAMENTO!$AF$7)/$H295*OFFSET(ORÇAMENTO!$X$15,ROW(AJ295)-ROW(AJ$15),0),0)</f>
        <v>0</v>
      </c>
      <c r="AK295" s="632">
        <f ca="1">IF(AND($D295="Serviço",AK$12&lt;&gt;0,$H295&gt;0,OR(AUTOEVENTO&lt;&gt;"manual",$M295&lt;&gt;1)),ROUND(OFFSET($P295,0,AK$13),15-13*ORÇAMENTO!$AF$7)/$H295*OFFSET(ORÇAMENTO!$X$15,ROW(AK295)-ROW(AK$15),0),0)</f>
        <v>0</v>
      </c>
      <c r="AL295" s="632">
        <f ca="1">IF(AND($D295="Serviço",AL$12&lt;&gt;0,$H295&gt;0,OR(AUTOEVENTO&lt;&gt;"manual",$M295&lt;&gt;1)),ROUND(OFFSET($P295,0,AL$13),15-13*ORÇAMENTO!$AF$7)/$H295*OFFSET(ORÇAMENTO!$X$15,ROW(AL295)-ROW(AL$15),0),0)</f>
        <v>0</v>
      </c>
      <c r="AM295" s="632">
        <f ca="1">IF(AND($D295="Serviço",AM$12&lt;&gt;0,$H295&gt;0,OR(AUTOEVENTO&lt;&gt;"manual",$M295&lt;&gt;1)),ROUND(OFFSET($P295,0,AM$13),15-13*ORÇAMENTO!$AF$7)/$H295*OFFSET(ORÇAMENTO!$X$15,ROW(AM295)-ROW(AM$15),0),0)</f>
        <v>0</v>
      </c>
      <c r="AN295" s="632">
        <f ca="1">IF(AND($D295="Serviço",AN$12&lt;&gt;0,$H295&gt;0,OR(AUTOEVENTO&lt;&gt;"manual",$M295&lt;&gt;1)),ROUND(OFFSET($P295,0,AN$13),15-13*ORÇAMENTO!$AF$7)/$H295*OFFSET(ORÇAMENTO!$X$15,ROW(AN295)-ROW(AN$15),0),0)</f>
        <v>0</v>
      </c>
      <c r="AO295" s="632">
        <f ca="1">IF(AND($D295="Serviço",AO$12&lt;&gt;0,$H295&gt;0,OR(AUTOEVENTO&lt;&gt;"manual",$M295&lt;&gt;1)),ROUND(OFFSET($P295,0,AO$13),15-13*ORÇAMENTO!$AF$7)/$H295*OFFSET(ORÇAMENTO!$X$15,ROW(AO295)-ROW(AO$15),0),0)</f>
        <v>0</v>
      </c>
      <c r="AP295" s="632">
        <f ca="1">IF(AND($D295="Serviço",AP$12&lt;&gt;0,$H295&gt;0,OR(AUTOEVENTO&lt;&gt;"manual",$M295&lt;&gt;1)),ROUND(OFFSET($P295,0,AP$13),15-13*ORÇAMENTO!$AF$7)/$H295*OFFSET(ORÇAMENTO!$X$15,ROW(AP295)-ROW(AP$15),0),0)</f>
        <v>0</v>
      </c>
      <c r="AQ295" s="632">
        <f ca="1">IF(AND($D295="Serviço",AQ$12&lt;&gt;0,$H295&gt;0,OR(AUTOEVENTO&lt;&gt;"manual",$M295&lt;&gt;1)),ROUND(OFFSET($P295,0,AQ$13),15-13*ORÇAMENTO!$AF$7)/$H295*OFFSET(ORÇAMENTO!$X$15,ROW(AQ295)-ROW(AQ$15),0),0)</f>
        <v>0</v>
      </c>
      <c r="AR295" s="632">
        <f ca="1">IF(AND($D295="Serviço",AR$12&lt;&gt;0,$H295&gt;0,OR(AUTOEVENTO&lt;&gt;"manual",$M295&lt;&gt;1)),ROUND(OFFSET($P295,0,AR$13),15-13*ORÇAMENTO!$AF$7)/$H295*OFFSET(ORÇAMENTO!$X$15,ROW(AR295)-ROW(AR$15),0),0)</f>
        <v>0</v>
      </c>
      <c r="AS295" s="633">
        <f ca="1">IF(AND($D295="Serviço",AS$12&lt;&gt;0,$H295&gt;0,OR(AUTOEVENTO&lt;&gt;"manual",$M295&lt;&gt;1)),ROUND(OFFSET($P295,0,AS$13),15-13*ORÇAMENTO!$AF$7)/$H295*OFFSET(ORÇAMENTO!$X$15,ROW(AS295)-ROW(AS$15),0),0)</f>
        <v>0</v>
      </c>
      <c r="AT295" s="632">
        <f ca="1">IF(AND($D295="Serviço",AT$12&lt;&gt;0,$H295&gt;0,OR(AUTOEVENTO&lt;&gt;"manual",$M295&lt;&gt;1)),ROUND(OFFSET($P295,0,AT$13),15-13*ORÇAMENTO!$AF$7)/$H295*OFFSET(ORÇAMENTO!$X$15,ROW(AT295)-ROW(AT$15),0),0)</f>
        <v>0</v>
      </c>
      <c r="AU295" s="632">
        <f ca="1">IF(AND($D295="Serviço",AU$12&lt;&gt;0,$H295&gt;0,OR(AUTOEVENTO&lt;&gt;"manual",$M295&lt;&gt;1)),ROUND(OFFSET($P295,0,AU$13),15-13*ORÇAMENTO!$AF$7)/$H295*OFFSET(ORÇAMENTO!$X$15,ROW(AU295)-ROW(AU$15),0),0)</f>
        <v>0</v>
      </c>
      <c r="AV295" s="632">
        <f ca="1">IF(AND($D295="Serviço",AV$12&lt;&gt;0,$H295&gt;0,OR(AUTOEVENTO&lt;&gt;"manual",$M295&lt;&gt;1)),ROUND(OFFSET($P295,0,AV$13),15-13*ORÇAMENTO!$AF$7)/$H295*OFFSET(ORÇAMENTO!$X$15,ROW(AV295)-ROW(AV$15),0),0)</f>
        <v>0</v>
      </c>
      <c r="AW295" s="632">
        <f ca="1">IF(AND($D295="Serviço",AW$12&lt;&gt;0,$H295&gt;0,OR(AUTOEVENTO&lt;&gt;"manual",$M295&lt;&gt;1)),ROUND(OFFSET($P295,0,AW$13),15-13*ORÇAMENTO!$AF$7)/$H295*OFFSET(ORÇAMENTO!$X$15,ROW(AW295)-ROW(AW$15),0),0)</f>
        <v>0</v>
      </c>
      <c r="AX295" s="632">
        <f ca="1">IF(AND($D295="Serviço",AX$12&lt;&gt;0,$H295&gt;0,OR(AUTOEVENTO&lt;&gt;"manual",$M295&lt;&gt;1)),ROUND(OFFSET($P295,0,AX$13),15-13*ORÇAMENTO!$AF$7)/$H295*OFFSET(ORÇAMENTO!$X$15,ROW(AX295)-ROW(AX$15),0),0)</f>
        <v>0</v>
      </c>
      <c r="AY295" s="632">
        <f ca="1">IF(AND($D295="Serviço",AY$12&lt;&gt;0,$H295&gt;0,OR(AUTOEVENTO&lt;&gt;"manual",$M295&lt;&gt;1)),ROUND(OFFSET($P295,0,AY$13),15-13*ORÇAMENTO!$AF$7)/$H295*OFFSET(ORÇAMENTO!$X$15,ROW(AY295)-ROW(AY$15),0),0)</f>
        <v>0</v>
      </c>
      <c r="AZ295" s="632">
        <f ca="1">IF(AND($D295="Serviço",AZ$12&lt;&gt;0,$H295&gt;0,OR(AUTOEVENTO&lt;&gt;"manual",$M295&lt;&gt;1)),ROUND(OFFSET($P295,0,AZ$13),15-13*ORÇAMENTO!$AF$7)/$H295*OFFSET(ORÇAMENTO!$X$15,ROW(AZ295)-ROW(AZ$15),0),0)</f>
        <v>0</v>
      </c>
      <c r="BA295" s="633">
        <f ca="1">IF(AND($D295="Serviço",BA$12&lt;&gt;0,$H295&gt;0,OR(AUTOEVENTO&lt;&gt;"manual",$M295&lt;&gt;1)),ROUND(OFFSET($P295,0,BA$13),15-13*ORÇAMENTO!$AF$7)/$H295*OFFSET(ORÇAMENTO!$X$15,ROW(BA295)-ROW(BA$15),0),0)</f>
        <v>0</v>
      </c>
      <c r="BC295" s="215">
        <f ca="1">IF($D295&lt;&gt;"Serviço",0,IF(AND(AUTOEVENTO="Manual",$M295=1),0,IF(OFFSET(CRONOPLE!$F$14,$M295,BC$13)="",10^12,OFFSET(CRONOPLE!$F$14,$M295,BC$13))))</f>
        <v>1000000000000</v>
      </c>
      <c r="BD295" s="215">
        <f ca="1">IF($D295&lt;&gt;"Serviço",0,IF(AND(AUTOEVENTO="Manual",$M295=1),0,IF(OFFSET(CRONOPLE!$F$14,$M295,BD$13)="",10^12,OFFSET(CRONOPLE!$F$14,$M295,BD$13))))</f>
        <v>1000000000000</v>
      </c>
      <c r="BE295" s="215">
        <f ca="1">IF($D295&lt;&gt;"Serviço",0,IF(AND(AUTOEVENTO="Manual",$M295=1),0,IF(OFFSET(CRONOPLE!$F$14,$M295,BE$13)="",10^12,OFFSET(CRONOPLE!$F$14,$M295,BE$13))))</f>
        <v>1000000000000</v>
      </c>
      <c r="BF295" s="215">
        <f ca="1">IF($D295&lt;&gt;"Serviço",0,IF(AND(AUTOEVENTO="Manual",$M295=1),0,IF(OFFSET(CRONOPLE!$F$14,$M295,BF$13)="",10^12,OFFSET(CRONOPLE!$F$14,$M295,BF$13))))</f>
        <v>1000000000000</v>
      </c>
      <c r="BG295" s="215">
        <f ca="1">IF($D295&lt;&gt;"Serviço",0,IF(AND(AUTOEVENTO="Manual",$M295=1),0,IF(OFFSET(CRONOPLE!$F$14,$M295,BG$13)="",10^12,OFFSET(CRONOPLE!$F$14,$M295,BG$13))))</f>
        <v>1000000000000</v>
      </c>
      <c r="BH295" s="215">
        <f ca="1">IF($D295&lt;&gt;"Serviço",0,IF(AND(AUTOEVENTO="Manual",$M295=1),0,IF(OFFSET(CRONOPLE!$F$14,$M295,BH$13)="",10^12,OFFSET(CRONOPLE!$F$14,$M295,BH$13))))</f>
        <v>1000000000000</v>
      </c>
      <c r="BI295" s="215">
        <f ca="1">IF($D295&lt;&gt;"Serviço",0,IF(AND(AUTOEVENTO="Manual",$M295=1),0,IF(OFFSET(CRONOPLE!$F$14,$M295,BI$13)="",10^12,OFFSET(CRONOPLE!$F$14,$M295,BI$13))))</f>
        <v>1000000000000</v>
      </c>
      <c r="BJ295" s="215">
        <f ca="1">IF($D295&lt;&gt;"Serviço",0,IF(AND(AUTOEVENTO="Manual",$M295=1),0,IF(OFFSET(CRONOPLE!$F$14,$M295,BJ$13)="",10^12,OFFSET(CRONOPLE!$F$14,$M295,BJ$13))))</f>
        <v>1000000000000</v>
      </c>
      <c r="BK295" s="215">
        <f ca="1">IF($D295&lt;&gt;"Serviço",0,IF(AND(AUTOEVENTO="Manual",$M295=1),0,IF(OFFSET(CRONOPLE!$F$14,$M295,BK$13)="",10^12,OFFSET(CRONOPLE!$F$14,$M295,BK$13))))</f>
        <v>1000000000000</v>
      </c>
      <c r="BL295" s="215">
        <f ca="1">IF($D295&lt;&gt;"Serviço",0,IF(AND(AUTOEVENTO="Manual",$M295=1),0,IF(OFFSET(CRONOPLE!$F$14,$M295,BL$13)="",10^12,OFFSET(CRONOPLE!$F$14,$M295,BL$13))))</f>
        <v>1000000000000</v>
      </c>
      <c r="BM295" s="215">
        <f ca="1">IF($D295&lt;&gt;"Serviço",0,IF(AND(AUTOEVENTO="Manual",$M295=1),0,IF(OFFSET(CRONOPLE!$F$14,$M295,BM$13)="",10^12,OFFSET(CRONOPLE!$F$14,$M295,BM$13))))</f>
        <v>1000000000000</v>
      </c>
      <c r="BN295" s="215">
        <f ca="1">IF($D295&lt;&gt;"Serviço",0,IF(AND(AUTOEVENTO="Manual",$M295=1),0,IF(OFFSET(CRONOPLE!$F$14,$M295,BN$13)="",10^12,OFFSET(CRONOPLE!$F$14,$M295,BN$13))))</f>
        <v>1000000000000</v>
      </c>
      <c r="BO295" s="215">
        <f ca="1">IF($D295&lt;&gt;"Serviço",0,IF(AND(AUTOEVENTO="Manual",$M295=1),0,IF(OFFSET(CRONOPLE!$F$14,$M295,BO$13)="",10^12,OFFSET(CRONOPLE!$F$14,$M295,BO$13))))</f>
        <v>1000000000000</v>
      </c>
      <c r="BP295" s="215">
        <f ca="1">IF($D295&lt;&gt;"Serviço",0,IF(AND(AUTOEVENTO="Manual",$M295=1),0,IF(OFFSET(CRONOPLE!$F$14,$M295,BP$13)="",10^12,OFFSET(CRONOPLE!$F$14,$M295,BP$13))))</f>
        <v>1000000000000</v>
      </c>
      <c r="BQ295" s="215">
        <f ca="1">IF($D295&lt;&gt;"Serviço",0,IF(AND(AUTOEVENTO="Manual",$M295=1),0,IF(OFFSET(CRONOPLE!$F$14,$M295,BQ$13)="",10^12,OFFSET(CRONOPLE!$F$14,$M295,BQ$13))))</f>
        <v>1000000000000</v>
      </c>
      <c r="BR295" s="215">
        <f ca="1">IF($D295&lt;&gt;"Serviço",0,IF(AND(AUTOEVENTO="Manual",$M295=1),0,IF(OFFSET(CRONOPLE!$F$14,$M295,BR$13)="",10^12,OFFSET(CRONOPLE!$F$14,$M295,BR$13))))</f>
        <v>1000000000000</v>
      </c>
      <c r="BS295" s="215">
        <f ca="1">IF($D295&lt;&gt;"Serviço",0,IF(AND(AUTOEVENTO="Manual",$M295=1),0,IF(OFFSET(CRONOPLE!$F$14,$M295,BS$13)="",10^12,OFFSET(CRONOPLE!$F$14,$M295,BS$13))))</f>
        <v>1000000000000</v>
      </c>
      <c r="BT295" s="215">
        <f ca="1">IF($D295&lt;&gt;"Serviço",0,IF(AND(AUTOEVENTO="Manual",$M295=1),0,IF(OFFSET(CRONOPLE!$F$14,$M295,BT$13)="",10^12,OFFSET(CRONOPLE!$F$14,$M295,BT$13))))</f>
        <v>1000000000000</v>
      </c>
      <c r="BV295" s="216">
        <f ca="1">IF($D295&lt;&gt;"Serviço",0,IF(OR(AND(AUTOEVENTO="Manual",$M295=1),$M295&gt;(ROW(PLE.lastrow)-ROW(PLE.firstrow))),0,IF(OFFSET(PLE!$G$14,$M295,BV$13)="",10^12,OFFSET(PLE!$G$14,$M295,BV$13))))</f>
        <v>1000000000000</v>
      </c>
      <c r="BW295" s="216">
        <f ca="1">IF($D295&lt;&gt;"Serviço",0,IF(OR(AND(AUTOEVENTO="Manual",$M295=1),$M295&gt;(ROW(PLE.lastrow)-ROW(PLE.firstrow))),0,IF(OFFSET(PLE!$G$14,$M295,BW$13)="",10^12,OFFSET(PLE!$G$14,$M295,BW$13))))</f>
        <v>1000000000000</v>
      </c>
      <c r="BX295" s="216">
        <f ca="1">IF($D295&lt;&gt;"Serviço",0,IF(OR(AND(AUTOEVENTO="Manual",$M295=1),$M295&gt;(ROW(PLE.lastrow)-ROW(PLE.firstrow))),0,IF(OFFSET(PLE!$G$14,$M295,BX$13)="",10^12,OFFSET(PLE!$G$14,$M295,BX$13))))</f>
        <v>1000000000000</v>
      </c>
      <c r="BY295" s="216">
        <f ca="1">IF($D295&lt;&gt;"Serviço",0,IF(OR(AND(AUTOEVENTO="Manual",$M295=1),$M295&gt;(ROW(PLE.lastrow)-ROW(PLE.firstrow))),0,IF(OFFSET(PLE!$G$14,$M295,BY$13)="",10^12,OFFSET(PLE!$G$14,$M295,BY$13))))</f>
        <v>1000000000000</v>
      </c>
      <c r="BZ295" s="216">
        <f ca="1">IF($D295&lt;&gt;"Serviço",0,IF(OR(AND(AUTOEVENTO="Manual",$M295=1),$M295&gt;(ROW(PLE.lastrow)-ROW(PLE.firstrow))),0,IF(OFFSET(PLE!$G$14,$M295,BZ$13)="",10^12,OFFSET(PLE!$G$14,$M295,BZ$13))))</f>
        <v>1000000000000</v>
      </c>
      <c r="CA295" s="216">
        <f ca="1">IF($D295&lt;&gt;"Serviço",0,IF(OR(AND(AUTOEVENTO="Manual",$M295=1),$M295&gt;(ROW(PLE.lastrow)-ROW(PLE.firstrow))),0,IF(OFFSET(PLE!$G$14,$M295,CA$13)="",10^12,OFFSET(PLE!$G$14,$M295,CA$13))))</f>
        <v>1000000000000</v>
      </c>
      <c r="CB295" s="216">
        <f ca="1">IF($D295&lt;&gt;"Serviço",0,IF(OR(AND(AUTOEVENTO="Manual",$M295=1),$M295&gt;(ROW(PLE.lastrow)-ROW(PLE.firstrow))),0,IF(OFFSET(PLE!$G$14,$M295,CB$13)="",10^12,OFFSET(PLE!$G$14,$M295,CB$13))))</f>
        <v>1000000000000</v>
      </c>
      <c r="CC295" s="216">
        <f ca="1">IF($D295&lt;&gt;"Serviço",0,IF(OR(AND(AUTOEVENTO="Manual",$M295=1),$M295&gt;(ROW(PLE.lastrow)-ROW(PLE.firstrow))),0,IF(OFFSET(PLE!$G$14,$M295,CC$13)="",10^12,OFFSET(PLE!$G$14,$M295,CC$13))))</f>
        <v>1000000000000</v>
      </c>
      <c r="CD295" s="216">
        <f ca="1">IF($D295&lt;&gt;"Serviço",0,IF(OR(AND(AUTOEVENTO="Manual",$M295=1),$M295&gt;(ROW(PLE.lastrow)-ROW(PLE.firstrow))),0,IF(OFFSET(PLE!$G$14,$M295,CD$13)="",10^12,OFFSET(PLE!$G$14,$M295,CD$13))))</f>
        <v>1000000000000</v>
      </c>
      <c r="CE295" s="216">
        <f ca="1">IF($D295&lt;&gt;"Serviço",0,IF(OR(AND(AUTOEVENTO="Manual",$M295=1),$M295&gt;(ROW(PLE.lastrow)-ROW(PLE.firstrow))),0,IF(OFFSET(PLE!$G$14,$M295,CE$13)="",10^12,OFFSET(PLE!$G$14,$M295,CE$13))))</f>
        <v>1000000000000</v>
      </c>
      <c r="CF295" s="216">
        <f ca="1">IF($D295&lt;&gt;"Serviço",0,IF(OR(AND(AUTOEVENTO="Manual",$M295=1),$M295&gt;(ROW(PLE.lastrow)-ROW(PLE.firstrow))),0,IF(OFFSET(PLE!$G$14,$M295,CF$13)="",10^12,OFFSET(PLE!$G$14,$M295,CF$13))))</f>
        <v>1000000000000</v>
      </c>
      <c r="CG295" s="216">
        <f ca="1">IF($D295&lt;&gt;"Serviço",0,IF(OR(AND(AUTOEVENTO="Manual",$M295=1),$M295&gt;(ROW(PLE.lastrow)-ROW(PLE.firstrow))),0,IF(OFFSET(PLE!$G$14,$M295,CG$13)="",10^12,OFFSET(PLE!$G$14,$M295,CG$13))))</f>
        <v>1000000000000</v>
      </c>
      <c r="CH295" s="216">
        <f ca="1">IF($D295&lt;&gt;"Serviço",0,IF(OR(AND(AUTOEVENTO="Manual",$M295=1),$M295&gt;(ROW(PLE.lastrow)-ROW(PLE.firstrow))),0,IF(OFFSET(PLE!$G$14,$M295,CH$13)="",10^12,OFFSET(PLE!$G$14,$M295,CH$13))))</f>
        <v>1000000000000</v>
      </c>
      <c r="CI295" s="216">
        <f ca="1">IF($D295&lt;&gt;"Serviço",0,IF(OR(AND(AUTOEVENTO="Manual",$M295=1),$M295&gt;(ROW(PLE.lastrow)-ROW(PLE.firstrow))),0,IF(OFFSET(PLE!$G$14,$M295,CI$13)="",10^12,OFFSET(PLE!$G$14,$M295,CI$13))))</f>
        <v>1000000000000</v>
      </c>
      <c r="CJ295" s="216">
        <f ca="1">IF($D295&lt;&gt;"Serviço",0,IF(OR(AND(AUTOEVENTO="Manual",$M295=1),$M295&gt;(ROW(PLE.lastrow)-ROW(PLE.firstrow))),0,IF(OFFSET(PLE!$G$14,$M295,CJ$13)="",10^12,OFFSET(PLE!$G$14,$M295,CJ$13))))</f>
        <v>1000000000000</v>
      </c>
      <c r="CK295" s="216">
        <f ca="1">IF($D295&lt;&gt;"Serviço",0,IF(OR(AND(AUTOEVENTO="Manual",$M295=1),$M295&gt;(ROW(PLE.lastrow)-ROW(PLE.firstrow))),0,IF(OFFSET(PLE!$G$14,$M295,CK$13)="",10^12,OFFSET(PLE!$G$14,$M295,CK$13))))</f>
        <v>1000000000000</v>
      </c>
      <c r="CL295" s="216">
        <f ca="1">IF($D295&lt;&gt;"Serviço",0,IF(OR(AND(AUTOEVENTO="Manual",$M295=1),$M295&gt;(ROW(PLE.lastrow)-ROW(PLE.firstrow))),0,IF(OFFSET(PLE!$G$14,$M295,CL$13)="",10^12,OFFSET(PLE!$G$14,$M295,CL$13))))</f>
        <v>1000000000000</v>
      </c>
      <c r="CM295" s="216">
        <f ca="1">IF($D295&lt;&gt;"Serviço",0,IF(OR(AND(AUTOEVENTO="Manual",$M295=1),$M295&gt;(ROW(PLE.lastrow)-ROW(PLE.firstrow))),0,IF(OFFSET(PLE!$G$14,$M295,CM$13)="",10^12,OFFSET(PLE!$G$14,$M295,CM$13))))</f>
        <v>1000000000000</v>
      </c>
    </row>
    <row r="296" spans="1:91" ht="13.2" x14ac:dyDescent="0.25">
      <c r="A296" s="9">
        <f t="shared" ca="1" si="13"/>
        <v>0</v>
      </c>
      <c r="B296" s="9" t="str">
        <f ca="1">OFFSET(ORÇAMENTO!C$15,ROW(B296)-ROW(B$15),0)</f>
        <v>S</v>
      </c>
      <c r="C296" s="9" t="str">
        <f ca="1">OFFSET(ORÇAMENTO!L$15,ROW(C296)-ROW(C$15),0)</f>
        <v/>
      </c>
      <c r="D296" s="145" t="str">
        <f ca="1">OFFSET(ORÇAMENTO!N$15,ROW(D296)-ROW(D$15),0)</f>
        <v>Serviço</v>
      </c>
      <c r="E296" s="205" t="str">
        <f ca="1">OFFSET(ORÇAMENTO!O$15,ROW(E296)-ROW(E$15),0)</f>
        <v>-</v>
      </c>
      <c r="F296" s="206" t="str">
        <f ca="1">OFFSET(ORÇAMENTO!R$15,ROW(F296)-ROW(F$15),0)</f>
        <v>(abra o arquivo 'Referência 05-2024.xls)</v>
      </c>
      <c r="G296" s="207" t="str">
        <f ca="1">IF($D296&lt;&gt;"Serviço","",OFFSET(ORÇAMENTO!S$15,ROW(G296)-ROW(G$15),0))</f>
        <v>-</v>
      </c>
      <c r="H296" s="151">
        <f ca="1">IF($D296&lt;&gt;"Serviço",0,IF(ACOMPANHAMENTO="BM",ROUND(OFFSET(ORÇAMENTO!AJ$15,ROW(H296)-ROW(H$15),0),15-13*ORÇAMENTO!$AF$7),SUMPRODUCT(($Q$12:$AI$12&lt;&gt;"")*ROUND($Q296:$AI296,15-13*ORÇAMENTO!$AF$7))))</f>
        <v>1173.21</v>
      </c>
      <c r="I296" s="650"/>
      <c r="K296" s="208"/>
      <c r="L296" s="209" t="s">
        <v>257</v>
      </c>
      <c r="M296" s="210">
        <f ca="1">IF($D296&lt;&gt;"Serviço","",IF(AUTOEVENTO="manual",$A296,IF(ISERROR(MATCH($A296,$A$15:OFFSET($A296,-1,0),0)),MAX($M$15:OFFSET(M296,-1,0))+1,INDEX($M$15:OFFSET(M296,-1,0),MATCH($A296,$A$15:OFFSET($A296,-1,0),0)))))</f>
        <v>0</v>
      </c>
      <c r="N296" s="211" t="str">
        <f ca="1">IF($D296&lt;&gt;"Serviço","",IF(AUTOEVENTO="Manual",IF($A296=0,"&lt;-- defina o número do agrupador",OFFSET(EVENTOS!$D$14,$A296,0)),OFFSET($F$15,$A296,0)))</f>
        <v>&lt;-- defina o número do agrupador</v>
      </c>
      <c r="O296" s="212"/>
      <c r="Q296" s="212"/>
      <c r="R296" s="213"/>
      <c r="S296" s="213"/>
      <c r="T296" s="213"/>
      <c r="U296" s="213"/>
      <c r="V296" s="213"/>
      <c r="W296" s="213"/>
      <c r="X296" s="213"/>
      <c r="Y296" s="213"/>
      <c r="Z296" s="214"/>
      <c r="AA296" s="213"/>
      <c r="AB296" s="213"/>
      <c r="AC296" s="213"/>
      <c r="AD296" s="213"/>
      <c r="AE296" s="213"/>
      <c r="AF296" s="213"/>
      <c r="AG296" s="213"/>
      <c r="AH296" s="214"/>
      <c r="AJ296" s="631">
        <f ca="1">IF(AND($D296="Serviço",AJ$12&lt;&gt;0,$H296&gt;0,OR(AUTOEVENTO&lt;&gt;"manual",$M296&lt;&gt;1)),ROUND(OFFSET($P296,0,AJ$13),15-13*ORÇAMENTO!$AF$7)/$H296*OFFSET(ORÇAMENTO!$X$15,ROW(AJ296)-ROW(AJ$15),0),0)</f>
        <v>0</v>
      </c>
      <c r="AK296" s="632">
        <f ca="1">IF(AND($D296="Serviço",AK$12&lt;&gt;0,$H296&gt;0,OR(AUTOEVENTO&lt;&gt;"manual",$M296&lt;&gt;1)),ROUND(OFFSET($P296,0,AK$13),15-13*ORÇAMENTO!$AF$7)/$H296*OFFSET(ORÇAMENTO!$X$15,ROW(AK296)-ROW(AK$15),0),0)</f>
        <v>0</v>
      </c>
      <c r="AL296" s="632">
        <f ca="1">IF(AND($D296="Serviço",AL$12&lt;&gt;0,$H296&gt;0,OR(AUTOEVENTO&lt;&gt;"manual",$M296&lt;&gt;1)),ROUND(OFFSET($P296,0,AL$13),15-13*ORÇAMENTO!$AF$7)/$H296*OFFSET(ORÇAMENTO!$X$15,ROW(AL296)-ROW(AL$15),0),0)</f>
        <v>0</v>
      </c>
      <c r="AM296" s="632">
        <f ca="1">IF(AND($D296="Serviço",AM$12&lt;&gt;0,$H296&gt;0,OR(AUTOEVENTO&lt;&gt;"manual",$M296&lt;&gt;1)),ROUND(OFFSET($P296,0,AM$13),15-13*ORÇAMENTO!$AF$7)/$H296*OFFSET(ORÇAMENTO!$X$15,ROW(AM296)-ROW(AM$15),0),0)</f>
        <v>0</v>
      </c>
      <c r="AN296" s="632">
        <f ca="1">IF(AND($D296="Serviço",AN$12&lt;&gt;0,$H296&gt;0,OR(AUTOEVENTO&lt;&gt;"manual",$M296&lt;&gt;1)),ROUND(OFFSET($P296,0,AN$13),15-13*ORÇAMENTO!$AF$7)/$H296*OFFSET(ORÇAMENTO!$X$15,ROW(AN296)-ROW(AN$15),0),0)</f>
        <v>0</v>
      </c>
      <c r="AO296" s="632">
        <f ca="1">IF(AND($D296="Serviço",AO$12&lt;&gt;0,$H296&gt;0,OR(AUTOEVENTO&lt;&gt;"manual",$M296&lt;&gt;1)),ROUND(OFFSET($P296,0,AO$13),15-13*ORÇAMENTO!$AF$7)/$H296*OFFSET(ORÇAMENTO!$X$15,ROW(AO296)-ROW(AO$15),0),0)</f>
        <v>0</v>
      </c>
      <c r="AP296" s="632">
        <f ca="1">IF(AND($D296="Serviço",AP$12&lt;&gt;0,$H296&gt;0,OR(AUTOEVENTO&lt;&gt;"manual",$M296&lt;&gt;1)),ROUND(OFFSET($P296,0,AP$13),15-13*ORÇAMENTO!$AF$7)/$H296*OFFSET(ORÇAMENTO!$X$15,ROW(AP296)-ROW(AP$15),0),0)</f>
        <v>0</v>
      </c>
      <c r="AQ296" s="632">
        <f ca="1">IF(AND($D296="Serviço",AQ$12&lt;&gt;0,$H296&gt;0,OR(AUTOEVENTO&lt;&gt;"manual",$M296&lt;&gt;1)),ROUND(OFFSET($P296,0,AQ$13),15-13*ORÇAMENTO!$AF$7)/$H296*OFFSET(ORÇAMENTO!$X$15,ROW(AQ296)-ROW(AQ$15),0),0)</f>
        <v>0</v>
      </c>
      <c r="AR296" s="632">
        <f ca="1">IF(AND($D296="Serviço",AR$12&lt;&gt;0,$H296&gt;0,OR(AUTOEVENTO&lt;&gt;"manual",$M296&lt;&gt;1)),ROUND(OFFSET($P296,0,AR$13),15-13*ORÇAMENTO!$AF$7)/$H296*OFFSET(ORÇAMENTO!$X$15,ROW(AR296)-ROW(AR$15),0),0)</f>
        <v>0</v>
      </c>
      <c r="AS296" s="633">
        <f ca="1">IF(AND($D296="Serviço",AS$12&lt;&gt;0,$H296&gt;0,OR(AUTOEVENTO&lt;&gt;"manual",$M296&lt;&gt;1)),ROUND(OFFSET($P296,0,AS$13),15-13*ORÇAMENTO!$AF$7)/$H296*OFFSET(ORÇAMENTO!$X$15,ROW(AS296)-ROW(AS$15),0),0)</f>
        <v>0</v>
      </c>
      <c r="AT296" s="632">
        <f ca="1">IF(AND($D296="Serviço",AT$12&lt;&gt;0,$H296&gt;0,OR(AUTOEVENTO&lt;&gt;"manual",$M296&lt;&gt;1)),ROUND(OFFSET($P296,0,AT$13),15-13*ORÇAMENTO!$AF$7)/$H296*OFFSET(ORÇAMENTO!$X$15,ROW(AT296)-ROW(AT$15),0),0)</f>
        <v>0</v>
      </c>
      <c r="AU296" s="632">
        <f ca="1">IF(AND($D296="Serviço",AU$12&lt;&gt;0,$H296&gt;0,OR(AUTOEVENTO&lt;&gt;"manual",$M296&lt;&gt;1)),ROUND(OFFSET($P296,0,AU$13),15-13*ORÇAMENTO!$AF$7)/$H296*OFFSET(ORÇAMENTO!$X$15,ROW(AU296)-ROW(AU$15),0),0)</f>
        <v>0</v>
      </c>
      <c r="AV296" s="632">
        <f ca="1">IF(AND($D296="Serviço",AV$12&lt;&gt;0,$H296&gt;0,OR(AUTOEVENTO&lt;&gt;"manual",$M296&lt;&gt;1)),ROUND(OFFSET($P296,0,AV$13),15-13*ORÇAMENTO!$AF$7)/$H296*OFFSET(ORÇAMENTO!$X$15,ROW(AV296)-ROW(AV$15),0),0)</f>
        <v>0</v>
      </c>
      <c r="AW296" s="632">
        <f ca="1">IF(AND($D296="Serviço",AW$12&lt;&gt;0,$H296&gt;0,OR(AUTOEVENTO&lt;&gt;"manual",$M296&lt;&gt;1)),ROUND(OFFSET($P296,0,AW$13),15-13*ORÇAMENTO!$AF$7)/$H296*OFFSET(ORÇAMENTO!$X$15,ROW(AW296)-ROW(AW$15),0),0)</f>
        <v>0</v>
      </c>
      <c r="AX296" s="632">
        <f ca="1">IF(AND($D296="Serviço",AX$12&lt;&gt;0,$H296&gt;0,OR(AUTOEVENTO&lt;&gt;"manual",$M296&lt;&gt;1)),ROUND(OFFSET($P296,0,AX$13),15-13*ORÇAMENTO!$AF$7)/$H296*OFFSET(ORÇAMENTO!$X$15,ROW(AX296)-ROW(AX$15),0),0)</f>
        <v>0</v>
      </c>
      <c r="AY296" s="632">
        <f ca="1">IF(AND($D296="Serviço",AY$12&lt;&gt;0,$H296&gt;0,OR(AUTOEVENTO&lt;&gt;"manual",$M296&lt;&gt;1)),ROUND(OFFSET($P296,0,AY$13),15-13*ORÇAMENTO!$AF$7)/$H296*OFFSET(ORÇAMENTO!$X$15,ROW(AY296)-ROW(AY$15),0),0)</f>
        <v>0</v>
      </c>
      <c r="AZ296" s="632">
        <f ca="1">IF(AND($D296="Serviço",AZ$12&lt;&gt;0,$H296&gt;0,OR(AUTOEVENTO&lt;&gt;"manual",$M296&lt;&gt;1)),ROUND(OFFSET($P296,0,AZ$13),15-13*ORÇAMENTO!$AF$7)/$H296*OFFSET(ORÇAMENTO!$X$15,ROW(AZ296)-ROW(AZ$15),0),0)</f>
        <v>0</v>
      </c>
      <c r="BA296" s="633">
        <f ca="1">IF(AND($D296="Serviço",BA$12&lt;&gt;0,$H296&gt;0,OR(AUTOEVENTO&lt;&gt;"manual",$M296&lt;&gt;1)),ROUND(OFFSET($P296,0,BA$13),15-13*ORÇAMENTO!$AF$7)/$H296*OFFSET(ORÇAMENTO!$X$15,ROW(BA296)-ROW(BA$15),0),0)</f>
        <v>0</v>
      </c>
      <c r="BC296" s="215">
        <f ca="1">IF($D296&lt;&gt;"Serviço",0,IF(AND(AUTOEVENTO="Manual",$M296=1),0,IF(OFFSET(CRONOPLE!$F$14,$M296,BC$13)="",10^12,OFFSET(CRONOPLE!$F$14,$M296,BC$13))))</f>
        <v>1000000000000</v>
      </c>
      <c r="BD296" s="215">
        <f ca="1">IF($D296&lt;&gt;"Serviço",0,IF(AND(AUTOEVENTO="Manual",$M296=1),0,IF(OFFSET(CRONOPLE!$F$14,$M296,BD$13)="",10^12,OFFSET(CRONOPLE!$F$14,$M296,BD$13))))</f>
        <v>1000000000000</v>
      </c>
      <c r="BE296" s="215">
        <f ca="1">IF($D296&lt;&gt;"Serviço",0,IF(AND(AUTOEVENTO="Manual",$M296=1),0,IF(OFFSET(CRONOPLE!$F$14,$M296,BE$13)="",10^12,OFFSET(CRONOPLE!$F$14,$M296,BE$13))))</f>
        <v>1000000000000</v>
      </c>
      <c r="BF296" s="215">
        <f ca="1">IF($D296&lt;&gt;"Serviço",0,IF(AND(AUTOEVENTO="Manual",$M296=1),0,IF(OFFSET(CRONOPLE!$F$14,$M296,BF$13)="",10^12,OFFSET(CRONOPLE!$F$14,$M296,BF$13))))</f>
        <v>1000000000000</v>
      </c>
      <c r="BG296" s="215">
        <f ca="1">IF($D296&lt;&gt;"Serviço",0,IF(AND(AUTOEVENTO="Manual",$M296=1),0,IF(OFFSET(CRONOPLE!$F$14,$M296,BG$13)="",10^12,OFFSET(CRONOPLE!$F$14,$M296,BG$13))))</f>
        <v>1000000000000</v>
      </c>
      <c r="BH296" s="215">
        <f ca="1">IF($D296&lt;&gt;"Serviço",0,IF(AND(AUTOEVENTO="Manual",$M296=1),0,IF(OFFSET(CRONOPLE!$F$14,$M296,BH$13)="",10^12,OFFSET(CRONOPLE!$F$14,$M296,BH$13))))</f>
        <v>1000000000000</v>
      </c>
      <c r="BI296" s="215">
        <f ca="1">IF($D296&lt;&gt;"Serviço",0,IF(AND(AUTOEVENTO="Manual",$M296=1),0,IF(OFFSET(CRONOPLE!$F$14,$M296,BI$13)="",10^12,OFFSET(CRONOPLE!$F$14,$M296,BI$13))))</f>
        <v>1000000000000</v>
      </c>
      <c r="BJ296" s="215">
        <f ca="1">IF($D296&lt;&gt;"Serviço",0,IF(AND(AUTOEVENTO="Manual",$M296=1),0,IF(OFFSET(CRONOPLE!$F$14,$M296,BJ$13)="",10^12,OFFSET(CRONOPLE!$F$14,$M296,BJ$13))))</f>
        <v>1000000000000</v>
      </c>
      <c r="BK296" s="215">
        <f ca="1">IF($D296&lt;&gt;"Serviço",0,IF(AND(AUTOEVENTO="Manual",$M296=1),0,IF(OFFSET(CRONOPLE!$F$14,$M296,BK$13)="",10^12,OFFSET(CRONOPLE!$F$14,$M296,BK$13))))</f>
        <v>1000000000000</v>
      </c>
      <c r="BL296" s="215">
        <f ca="1">IF($D296&lt;&gt;"Serviço",0,IF(AND(AUTOEVENTO="Manual",$M296=1),0,IF(OFFSET(CRONOPLE!$F$14,$M296,BL$13)="",10^12,OFFSET(CRONOPLE!$F$14,$M296,BL$13))))</f>
        <v>1000000000000</v>
      </c>
      <c r="BM296" s="215">
        <f ca="1">IF($D296&lt;&gt;"Serviço",0,IF(AND(AUTOEVENTO="Manual",$M296=1),0,IF(OFFSET(CRONOPLE!$F$14,$M296,BM$13)="",10^12,OFFSET(CRONOPLE!$F$14,$M296,BM$13))))</f>
        <v>1000000000000</v>
      </c>
      <c r="BN296" s="215">
        <f ca="1">IF($D296&lt;&gt;"Serviço",0,IF(AND(AUTOEVENTO="Manual",$M296=1),0,IF(OFFSET(CRONOPLE!$F$14,$M296,BN$13)="",10^12,OFFSET(CRONOPLE!$F$14,$M296,BN$13))))</f>
        <v>1000000000000</v>
      </c>
      <c r="BO296" s="215">
        <f ca="1">IF($D296&lt;&gt;"Serviço",0,IF(AND(AUTOEVENTO="Manual",$M296=1),0,IF(OFFSET(CRONOPLE!$F$14,$M296,BO$13)="",10^12,OFFSET(CRONOPLE!$F$14,$M296,BO$13))))</f>
        <v>1000000000000</v>
      </c>
      <c r="BP296" s="215">
        <f ca="1">IF($D296&lt;&gt;"Serviço",0,IF(AND(AUTOEVENTO="Manual",$M296=1),0,IF(OFFSET(CRONOPLE!$F$14,$M296,BP$13)="",10^12,OFFSET(CRONOPLE!$F$14,$M296,BP$13))))</f>
        <v>1000000000000</v>
      </c>
      <c r="BQ296" s="215">
        <f ca="1">IF($D296&lt;&gt;"Serviço",0,IF(AND(AUTOEVENTO="Manual",$M296=1),0,IF(OFFSET(CRONOPLE!$F$14,$M296,BQ$13)="",10^12,OFFSET(CRONOPLE!$F$14,$M296,BQ$13))))</f>
        <v>1000000000000</v>
      </c>
      <c r="BR296" s="215">
        <f ca="1">IF($D296&lt;&gt;"Serviço",0,IF(AND(AUTOEVENTO="Manual",$M296=1),0,IF(OFFSET(CRONOPLE!$F$14,$M296,BR$13)="",10^12,OFFSET(CRONOPLE!$F$14,$M296,BR$13))))</f>
        <v>1000000000000</v>
      </c>
      <c r="BS296" s="215">
        <f ca="1">IF($D296&lt;&gt;"Serviço",0,IF(AND(AUTOEVENTO="Manual",$M296=1),0,IF(OFFSET(CRONOPLE!$F$14,$M296,BS$13)="",10^12,OFFSET(CRONOPLE!$F$14,$M296,BS$13))))</f>
        <v>1000000000000</v>
      </c>
      <c r="BT296" s="215">
        <f ca="1">IF($D296&lt;&gt;"Serviço",0,IF(AND(AUTOEVENTO="Manual",$M296=1),0,IF(OFFSET(CRONOPLE!$F$14,$M296,BT$13)="",10^12,OFFSET(CRONOPLE!$F$14,$M296,BT$13))))</f>
        <v>1000000000000</v>
      </c>
      <c r="BV296" s="216">
        <f ca="1">IF($D296&lt;&gt;"Serviço",0,IF(OR(AND(AUTOEVENTO="Manual",$M296=1),$M296&gt;(ROW(PLE.lastrow)-ROW(PLE.firstrow))),0,IF(OFFSET(PLE!$G$14,$M296,BV$13)="",10^12,OFFSET(PLE!$G$14,$M296,BV$13))))</f>
        <v>1000000000000</v>
      </c>
      <c r="BW296" s="216">
        <f ca="1">IF($D296&lt;&gt;"Serviço",0,IF(OR(AND(AUTOEVENTO="Manual",$M296=1),$M296&gt;(ROW(PLE.lastrow)-ROW(PLE.firstrow))),0,IF(OFFSET(PLE!$G$14,$M296,BW$13)="",10^12,OFFSET(PLE!$G$14,$M296,BW$13))))</f>
        <v>1000000000000</v>
      </c>
      <c r="BX296" s="216">
        <f ca="1">IF($D296&lt;&gt;"Serviço",0,IF(OR(AND(AUTOEVENTO="Manual",$M296=1),$M296&gt;(ROW(PLE.lastrow)-ROW(PLE.firstrow))),0,IF(OFFSET(PLE!$G$14,$M296,BX$13)="",10^12,OFFSET(PLE!$G$14,$M296,BX$13))))</f>
        <v>1000000000000</v>
      </c>
      <c r="BY296" s="216">
        <f ca="1">IF($D296&lt;&gt;"Serviço",0,IF(OR(AND(AUTOEVENTO="Manual",$M296=1),$M296&gt;(ROW(PLE.lastrow)-ROW(PLE.firstrow))),0,IF(OFFSET(PLE!$G$14,$M296,BY$13)="",10^12,OFFSET(PLE!$G$14,$M296,BY$13))))</f>
        <v>1000000000000</v>
      </c>
      <c r="BZ296" s="216">
        <f ca="1">IF($D296&lt;&gt;"Serviço",0,IF(OR(AND(AUTOEVENTO="Manual",$M296=1),$M296&gt;(ROW(PLE.lastrow)-ROW(PLE.firstrow))),0,IF(OFFSET(PLE!$G$14,$M296,BZ$13)="",10^12,OFFSET(PLE!$G$14,$M296,BZ$13))))</f>
        <v>1000000000000</v>
      </c>
      <c r="CA296" s="216">
        <f ca="1">IF($D296&lt;&gt;"Serviço",0,IF(OR(AND(AUTOEVENTO="Manual",$M296=1),$M296&gt;(ROW(PLE.lastrow)-ROW(PLE.firstrow))),0,IF(OFFSET(PLE!$G$14,$M296,CA$13)="",10^12,OFFSET(PLE!$G$14,$M296,CA$13))))</f>
        <v>1000000000000</v>
      </c>
      <c r="CB296" s="216">
        <f ca="1">IF($D296&lt;&gt;"Serviço",0,IF(OR(AND(AUTOEVENTO="Manual",$M296=1),$M296&gt;(ROW(PLE.lastrow)-ROW(PLE.firstrow))),0,IF(OFFSET(PLE!$G$14,$M296,CB$13)="",10^12,OFFSET(PLE!$G$14,$M296,CB$13))))</f>
        <v>1000000000000</v>
      </c>
      <c r="CC296" s="216">
        <f ca="1">IF($D296&lt;&gt;"Serviço",0,IF(OR(AND(AUTOEVENTO="Manual",$M296=1),$M296&gt;(ROW(PLE.lastrow)-ROW(PLE.firstrow))),0,IF(OFFSET(PLE!$G$14,$M296,CC$13)="",10^12,OFFSET(PLE!$G$14,$M296,CC$13))))</f>
        <v>1000000000000</v>
      </c>
      <c r="CD296" s="216">
        <f ca="1">IF($D296&lt;&gt;"Serviço",0,IF(OR(AND(AUTOEVENTO="Manual",$M296=1),$M296&gt;(ROW(PLE.lastrow)-ROW(PLE.firstrow))),0,IF(OFFSET(PLE!$G$14,$M296,CD$13)="",10^12,OFFSET(PLE!$G$14,$M296,CD$13))))</f>
        <v>1000000000000</v>
      </c>
      <c r="CE296" s="216">
        <f ca="1">IF($D296&lt;&gt;"Serviço",0,IF(OR(AND(AUTOEVENTO="Manual",$M296=1),$M296&gt;(ROW(PLE.lastrow)-ROW(PLE.firstrow))),0,IF(OFFSET(PLE!$G$14,$M296,CE$13)="",10^12,OFFSET(PLE!$G$14,$M296,CE$13))))</f>
        <v>1000000000000</v>
      </c>
      <c r="CF296" s="216">
        <f ca="1">IF($D296&lt;&gt;"Serviço",0,IF(OR(AND(AUTOEVENTO="Manual",$M296=1),$M296&gt;(ROW(PLE.lastrow)-ROW(PLE.firstrow))),0,IF(OFFSET(PLE!$G$14,$M296,CF$13)="",10^12,OFFSET(PLE!$G$14,$M296,CF$13))))</f>
        <v>1000000000000</v>
      </c>
      <c r="CG296" s="216">
        <f ca="1">IF($D296&lt;&gt;"Serviço",0,IF(OR(AND(AUTOEVENTO="Manual",$M296=1),$M296&gt;(ROW(PLE.lastrow)-ROW(PLE.firstrow))),0,IF(OFFSET(PLE!$G$14,$M296,CG$13)="",10^12,OFFSET(PLE!$G$14,$M296,CG$13))))</f>
        <v>1000000000000</v>
      </c>
      <c r="CH296" s="216">
        <f ca="1">IF($D296&lt;&gt;"Serviço",0,IF(OR(AND(AUTOEVENTO="Manual",$M296=1),$M296&gt;(ROW(PLE.lastrow)-ROW(PLE.firstrow))),0,IF(OFFSET(PLE!$G$14,$M296,CH$13)="",10^12,OFFSET(PLE!$G$14,$M296,CH$13))))</f>
        <v>1000000000000</v>
      </c>
      <c r="CI296" s="216">
        <f ca="1">IF($D296&lt;&gt;"Serviço",0,IF(OR(AND(AUTOEVENTO="Manual",$M296=1),$M296&gt;(ROW(PLE.lastrow)-ROW(PLE.firstrow))),0,IF(OFFSET(PLE!$G$14,$M296,CI$13)="",10^12,OFFSET(PLE!$G$14,$M296,CI$13))))</f>
        <v>1000000000000</v>
      </c>
      <c r="CJ296" s="216">
        <f ca="1">IF($D296&lt;&gt;"Serviço",0,IF(OR(AND(AUTOEVENTO="Manual",$M296=1),$M296&gt;(ROW(PLE.lastrow)-ROW(PLE.firstrow))),0,IF(OFFSET(PLE!$G$14,$M296,CJ$13)="",10^12,OFFSET(PLE!$G$14,$M296,CJ$13))))</f>
        <v>1000000000000</v>
      </c>
      <c r="CK296" s="216">
        <f ca="1">IF($D296&lt;&gt;"Serviço",0,IF(OR(AND(AUTOEVENTO="Manual",$M296=1),$M296&gt;(ROW(PLE.lastrow)-ROW(PLE.firstrow))),0,IF(OFFSET(PLE!$G$14,$M296,CK$13)="",10^12,OFFSET(PLE!$G$14,$M296,CK$13))))</f>
        <v>1000000000000</v>
      </c>
      <c r="CL296" s="216">
        <f ca="1">IF($D296&lt;&gt;"Serviço",0,IF(OR(AND(AUTOEVENTO="Manual",$M296=1),$M296&gt;(ROW(PLE.lastrow)-ROW(PLE.firstrow))),0,IF(OFFSET(PLE!$G$14,$M296,CL$13)="",10^12,OFFSET(PLE!$G$14,$M296,CL$13))))</f>
        <v>1000000000000</v>
      </c>
      <c r="CM296" s="216">
        <f ca="1">IF($D296&lt;&gt;"Serviço",0,IF(OR(AND(AUTOEVENTO="Manual",$M296=1),$M296&gt;(ROW(PLE.lastrow)-ROW(PLE.firstrow))),0,IF(OFFSET(PLE!$G$14,$M296,CM$13)="",10^12,OFFSET(PLE!$G$14,$M296,CM$13))))</f>
        <v>1000000000000</v>
      </c>
    </row>
    <row r="297" spans="1:91" ht="13.2" x14ac:dyDescent="0.25">
      <c r="A297" s="9">
        <f t="shared" ca="1" si="13"/>
        <v>0</v>
      </c>
      <c r="B297" s="9" t="str">
        <f ca="1">OFFSET(ORÇAMENTO!C$15,ROW(B297)-ROW(B$15),0)</f>
        <v>S</v>
      </c>
      <c r="C297" s="9" t="str">
        <f ca="1">OFFSET(ORÇAMENTO!L$15,ROW(C297)-ROW(C$15),0)</f>
        <v/>
      </c>
      <c r="D297" s="145" t="str">
        <f ca="1">OFFSET(ORÇAMENTO!N$15,ROW(D297)-ROW(D$15),0)</f>
        <v>Serviço</v>
      </c>
      <c r="E297" s="205" t="str">
        <f ca="1">OFFSET(ORÇAMENTO!O$15,ROW(E297)-ROW(E$15),0)</f>
        <v>-</v>
      </c>
      <c r="F297" s="206" t="str">
        <f ca="1">OFFSET(ORÇAMENTO!R$15,ROW(F297)-ROW(F$15),0)</f>
        <v>(abra o arquivo 'Referência 05-2024.xls)</v>
      </c>
      <c r="G297" s="207" t="str">
        <f ca="1">IF($D297&lt;&gt;"Serviço","",OFFSET(ORÇAMENTO!S$15,ROW(G297)-ROW(G$15),0))</f>
        <v>-</v>
      </c>
      <c r="H297" s="151">
        <f ca="1">IF($D297&lt;&gt;"Serviço",0,IF(ACOMPANHAMENTO="BM",ROUND(OFFSET(ORÇAMENTO!AJ$15,ROW(H297)-ROW(H$15),0),15-13*ORÇAMENTO!$AF$7),SUMPRODUCT(($Q$12:$AI$12&lt;&gt;"")*ROUND($Q297:$AI297,15-13*ORÇAMENTO!$AF$7))))</f>
        <v>426.58</v>
      </c>
      <c r="I297" s="650"/>
      <c r="K297" s="208"/>
      <c r="L297" s="209" t="s">
        <v>257</v>
      </c>
      <c r="M297" s="210">
        <f ca="1">IF($D297&lt;&gt;"Serviço","",IF(AUTOEVENTO="manual",$A297,IF(ISERROR(MATCH($A297,$A$15:OFFSET($A297,-1,0),0)),MAX($M$15:OFFSET(M297,-1,0))+1,INDEX($M$15:OFFSET(M297,-1,0),MATCH($A297,$A$15:OFFSET($A297,-1,0),0)))))</f>
        <v>0</v>
      </c>
      <c r="N297" s="211" t="str">
        <f ca="1">IF($D297&lt;&gt;"Serviço","",IF(AUTOEVENTO="Manual",IF($A297=0,"&lt;-- defina o número do agrupador",OFFSET(EVENTOS!$D$14,$A297,0)),OFFSET($F$15,$A297,0)))</f>
        <v>&lt;-- defina o número do agrupador</v>
      </c>
      <c r="O297" s="212"/>
      <c r="Q297" s="212"/>
      <c r="R297" s="213"/>
      <c r="S297" s="213"/>
      <c r="T297" s="213"/>
      <c r="U297" s="213"/>
      <c r="V297" s="213"/>
      <c r="W297" s="213"/>
      <c r="X297" s="213"/>
      <c r="Y297" s="213"/>
      <c r="Z297" s="214"/>
      <c r="AA297" s="213"/>
      <c r="AB297" s="213"/>
      <c r="AC297" s="213"/>
      <c r="AD297" s="213"/>
      <c r="AE297" s="213"/>
      <c r="AF297" s="213"/>
      <c r="AG297" s="213"/>
      <c r="AH297" s="214"/>
      <c r="AJ297" s="631">
        <f ca="1">IF(AND($D297="Serviço",AJ$12&lt;&gt;0,$H297&gt;0,OR(AUTOEVENTO&lt;&gt;"manual",$M297&lt;&gt;1)),ROUND(OFFSET($P297,0,AJ$13),15-13*ORÇAMENTO!$AF$7)/$H297*OFFSET(ORÇAMENTO!$X$15,ROW(AJ297)-ROW(AJ$15),0),0)</f>
        <v>0</v>
      </c>
      <c r="AK297" s="632">
        <f ca="1">IF(AND($D297="Serviço",AK$12&lt;&gt;0,$H297&gt;0,OR(AUTOEVENTO&lt;&gt;"manual",$M297&lt;&gt;1)),ROUND(OFFSET($P297,0,AK$13),15-13*ORÇAMENTO!$AF$7)/$H297*OFFSET(ORÇAMENTO!$X$15,ROW(AK297)-ROW(AK$15),0),0)</f>
        <v>0</v>
      </c>
      <c r="AL297" s="632">
        <f ca="1">IF(AND($D297="Serviço",AL$12&lt;&gt;0,$H297&gt;0,OR(AUTOEVENTO&lt;&gt;"manual",$M297&lt;&gt;1)),ROUND(OFFSET($P297,0,AL$13),15-13*ORÇAMENTO!$AF$7)/$H297*OFFSET(ORÇAMENTO!$X$15,ROW(AL297)-ROW(AL$15),0),0)</f>
        <v>0</v>
      </c>
      <c r="AM297" s="632">
        <f ca="1">IF(AND($D297="Serviço",AM$12&lt;&gt;0,$H297&gt;0,OR(AUTOEVENTO&lt;&gt;"manual",$M297&lt;&gt;1)),ROUND(OFFSET($P297,0,AM$13),15-13*ORÇAMENTO!$AF$7)/$H297*OFFSET(ORÇAMENTO!$X$15,ROW(AM297)-ROW(AM$15),0),0)</f>
        <v>0</v>
      </c>
      <c r="AN297" s="632">
        <f ca="1">IF(AND($D297="Serviço",AN$12&lt;&gt;0,$H297&gt;0,OR(AUTOEVENTO&lt;&gt;"manual",$M297&lt;&gt;1)),ROUND(OFFSET($P297,0,AN$13),15-13*ORÇAMENTO!$AF$7)/$H297*OFFSET(ORÇAMENTO!$X$15,ROW(AN297)-ROW(AN$15),0),0)</f>
        <v>0</v>
      </c>
      <c r="AO297" s="632">
        <f ca="1">IF(AND($D297="Serviço",AO$12&lt;&gt;0,$H297&gt;0,OR(AUTOEVENTO&lt;&gt;"manual",$M297&lt;&gt;1)),ROUND(OFFSET($P297,0,AO$13),15-13*ORÇAMENTO!$AF$7)/$H297*OFFSET(ORÇAMENTO!$X$15,ROW(AO297)-ROW(AO$15),0),0)</f>
        <v>0</v>
      </c>
      <c r="AP297" s="632">
        <f ca="1">IF(AND($D297="Serviço",AP$12&lt;&gt;0,$H297&gt;0,OR(AUTOEVENTO&lt;&gt;"manual",$M297&lt;&gt;1)),ROUND(OFFSET($P297,0,AP$13),15-13*ORÇAMENTO!$AF$7)/$H297*OFFSET(ORÇAMENTO!$X$15,ROW(AP297)-ROW(AP$15),0),0)</f>
        <v>0</v>
      </c>
      <c r="AQ297" s="632">
        <f ca="1">IF(AND($D297="Serviço",AQ$12&lt;&gt;0,$H297&gt;0,OR(AUTOEVENTO&lt;&gt;"manual",$M297&lt;&gt;1)),ROUND(OFFSET($P297,0,AQ$13),15-13*ORÇAMENTO!$AF$7)/$H297*OFFSET(ORÇAMENTO!$X$15,ROW(AQ297)-ROW(AQ$15),0),0)</f>
        <v>0</v>
      </c>
      <c r="AR297" s="632">
        <f ca="1">IF(AND($D297="Serviço",AR$12&lt;&gt;0,$H297&gt;0,OR(AUTOEVENTO&lt;&gt;"manual",$M297&lt;&gt;1)),ROUND(OFFSET($P297,0,AR$13),15-13*ORÇAMENTO!$AF$7)/$H297*OFFSET(ORÇAMENTO!$X$15,ROW(AR297)-ROW(AR$15),0),0)</f>
        <v>0</v>
      </c>
      <c r="AS297" s="633">
        <f ca="1">IF(AND($D297="Serviço",AS$12&lt;&gt;0,$H297&gt;0,OR(AUTOEVENTO&lt;&gt;"manual",$M297&lt;&gt;1)),ROUND(OFFSET($P297,0,AS$13),15-13*ORÇAMENTO!$AF$7)/$H297*OFFSET(ORÇAMENTO!$X$15,ROW(AS297)-ROW(AS$15),0),0)</f>
        <v>0</v>
      </c>
      <c r="AT297" s="632">
        <f ca="1">IF(AND($D297="Serviço",AT$12&lt;&gt;0,$H297&gt;0,OR(AUTOEVENTO&lt;&gt;"manual",$M297&lt;&gt;1)),ROUND(OFFSET($P297,0,AT$13),15-13*ORÇAMENTO!$AF$7)/$H297*OFFSET(ORÇAMENTO!$X$15,ROW(AT297)-ROW(AT$15),0),0)</f>
        <v>0</v>
      </c>
      <c r="AU297" s="632">
        <f ca="1">IF(AND($D297="Serviço",AU$12&lt;&gt;0,$H297&gt;0,OR(AUTOEVENTO&lt;&gt;"manual",$M297&lt;&gt;1)),ROUND(OFFSET($P297,0,AU$13),15-13*ORÇAMENTO!$AF$7)/$H297*OFFSET(ORÇAMENTO!$X$15,ROW(AU297)-ROW(AU$15),0),0)</f>
        <v>0</v>
      </c>
      <c r="AV297" s="632">
        <f ca="1">IF(AND($D297="Serviço",AV$12&lt;&gt;0,$H297&gt;0,OR(AUTOEVENTO&lt;&gt;"manual",$M297&lt;&gt;1)),ROUND(OFFSET($P297,0,AV$13),15-13*ORÇAMENTO!$AF$7)/$H297*OFFSET(ORÇAMENTO!$X$15,ROW(AV297)-ROW(AV$15),0),0)</f>
        <v>0</v>
      </c>
      <c r="AW297" s="632">
        <f ca="1">IF(AND($D297="Serviço",AW$12&lt;&gt;0,$H297&gt;0,OR(AUTOEVENTO&lt;&gt;"manual",$M297&lt;&gt;1)),ROUND(OFFSET($P297,0,AW$13),15-13*ORÇAMENTO!$AF$7)/$H297*OFFSET(ORÇAMENTO!$X$15,ROW(AW297)-ROW(AW$15),0),0)</f>
        <v>0</v>
      </c>
      <c r="AX297" s="632">
        <f ca="1">IF(AND($D297="Serviço",AX$12&lt;&gt;0,$H297&gt;0,OR(AUTOEVENTO&lt;&gt;"manual",$M297&lt;&gt;1)),ROUND(OFFSET($P297,0,AX$13),15-13*ORÇAMENTO!$AF$7)/$H297*OFFSET(ORÇAMENTO!$X$15,ROW(AX297)-ROW(AX$15),0),0)</f>
        <v>0</v>
      </c>
      <c r="AY297" s="632">
        <f ca="1">IF(AND($D297="Serviço",AY$12&lt;&gt;0,$H297&gt;0,OR(AUTOEVENTO&lt;&gt;"manual",$M297&lt;&gt;1)),ROUND(OFFSET($P297,0,AY$13),15-13*ORÇAMENTO!$AF$7)/$H297*OFFSET(ORÇAMENTO!$X$15,ROW(AY297)-ROW(AY$15),0),0)</f>
        <v>0</v>
      </c>
      <c r="AZ297" s="632">
        <f ca="1">IF(AND($D297="Serviço",AZ$12&lt;&gt;0,$H297&gt;0,OR(AUTOEVENTO&lt;&gt;"manual",$M297&lt;&gt;1)),ROUND(OFFSET($P297,0,AZ$13),15-13*ORÇAMENTO!$AF$7)/$H297*OFFSET(ORÇAMENTO!$X$15,ROW(AZ297)-ROW(AZ$15),0),0)</f>
        <v>0</v>
      </c>
      <c r="BA297" s="633">
        <f ca="1">IF(AND($D297="Serviço",BA$12&lt;&gt;0,$H297&gt;0,OR(AUTOEVENTO&lt;&gt;"manual",$M297&lt;&gt;1)),ROUND(OFFSET($P297,0,BA$13),15-13*ORÇAMENTO!$AF$7)/$H297*OFFSET(ORÇAMENTO!$X$15,ROW(BA297)-ROW(BA$15),0),0)</f>
        <v>0</v>
      </c>
      <c r="BC297" s="215">
        <f ca="1">IF($D297&lt;&gt;"Serviço",0,IF(AND(AUTOEVENTO="Manual",$M297=1),0,IF(OFFSET(CRONOPLE!$F$14,$M297,BC$13)="",10^12,OFFSET(CRONOPLE!$F$14,$M297,BC$13))))</f>
        <v>1000000000000</v>
      </c>
      <c r="BD297" s="215">
        <f ca="1">IF($D297&lt;&gt;"Serviço",0,IF(AND(AUTOEVENTO="Manual",$M297=1),0,IF(OFFSET(CRONOPLE!$F$14,$M297,BD$13)="",10^12,OFFSET(CRONOPLE!$F$14,$M297,BD$13))))</f>
        <v>1000000000000</v>
      </c>
      <c r="BE297" s="215">
        <f ca="1">IF($D297&lt;&gt;"Serviço",0,IF(AND(AUTOEVENTO="Manual",$M297=1),0,IF(OFFSET(CRONOPLE!$F$14,$M297,BE$13)="",10^12,OFFSET(CRONOPLE!$F$14,$M297,BE$13))))</f>
        <v>1000000000000</v>
      </c>
      <c r="BF297" s="215">
        <f ca="1">IF($D297&lt;&gt;"Serviço",0,IF(AND(AUTOEVENTO="Manual",$M297=1),0,IF(OFFSET(CRONOPLE!$F$14,$M297,BF$13)="",10^12,OFFSET(CRONOPLE!$F$14,$M297,BF$13))))</f>
        <v>1000000000000</v>
      </c>
      <c r="BG297" s="215">
        <f ca="1">IF($D297&lt;&gt;"Serviço",0,IF(AND(AUTOEVENTO="Manual",$M297=1),0,IF(OFFSET(CRONOPLE!$F$14,$M297,BG$13)="",10^12,OFFSET(CRONOPLE!$F$14,$M297,BG$13))))</f>
        <v>1000000000000</v>
      </c>
      <c r="BH297" s="215">
        <f ca="1">IF($D297&lt;&gt;"Serviço",0,IF(AND(AUTOEVENTO="Manual",$M297=1),0,IF(OFFSET(CRONOPLE!$F$14,$M297,BH$13)="",10^12,OFFSET(CRONOPLE!$F$14,$M297,BH$13))))</f>
        <v>1000000000000</v>
      </c>
      <c r="BI297" s="215">
        <f ca="1">IF($D297&lt;&gt;"Serviço",0,IF(AND(AUTOEVENTO="Manual",$M297=1),0,IF(OFFSET(CRONOPLE!$F$14,$M297,BI$13)="",10^12,OFFSET(CRONOPLE!$F$14,$M297,BI$13))))</f>
        <v>1000000000000</v>
      </c>
      <c r="BJ297" s="215">
        <f ca="1">IF($D297&lt;&gt;"Serviço",0,IF(AND(AUTOEVENTO="Manual",$M297=1),0,IF(OFFSET(CRONOPLE!$F$14,$M297,BJ$13)="",10^12,OFFSET(CRONOPLE!$F$14,$M297,BJ$13))))</f>
        <v>1000000000000</v>
      </c>
      <c r="BK297" s="215">
        <f ca="1">IF($D297&lt;&gt;"Serviço",0,IF(AND(AUTOEVENTO="Manual",$M297=1),0,IF(OFFSET(CRONOPLE!$F$14,$M297,BK$13)="",10^12,OFFSET(CRONOPLE!$F$14,$M297,BK$13))))</f>
        <v>1000000000000</v>
      </c>
      <c r="BL297" s="215">
        <f ca="1">IF($D297&lt;&gt;"Serviço",0,IF(AND(AUTOEVENTO="Manual",$M297=1),0,IF(OFFSET(CRONOPLE!$F$14,$M297,BL$13)="",10^12,OFFSET(CRONOPLE!$F$14,$M297,BL$13))))</f>
        <v>1000000000000</v>
      </c>
      <c r="BM297" s="215">
        <f ca="1">IF($D297&lt;&gt;"Serviço",0,IF(AND(AUTOEVENTO="Manual",$M297=1),0,IF(OFFSET(CRONOPLE!$F$14,$M297,BM$13)="",10^12,OFFSET(CRONOPLE!$F$14,$M297,BM$13))))</f>
        <v>1000000000000</v>
      </c>
      <c r="BN297" s="215">
        <f ca="1">IF($D297&lt;&gt;"Serviço",0,IF(AND(AUTOEVENTO="Manual",$M297=1),0,IF(OFFSET(CRONOPLE!$F$14,$M297,BN$13)="",10^12,OFFSET(CRONOPLE!$F$14,$M297,BN$13))))</f>
        <v>1000000000000</v>
      </c>
      <c r="BO297" s="215">
        <f ca="1">IF($D297&lt;&gt;"Serviço",0,IF(AND(AUTOEVENTO="Manual",$M297=1),0,IF(OFFSET(CRONOPLE!$F$14,$M297,BO$13)="",10^12,OFFSET(CRONOPLE!$F$14,$M297,BO$13))))</f>
        <v>1000000000000</v>
      </c>
      <c r="BP297" s="215">
        <f ca="1">IF($D297&lt;&gt;"Serviço",0,IF(AND(AUTOEVENTO="Manual",$M297=1),0,IF(OFFSET(CRONOPLE!$F$14,$M297,BP$13)="",10^12,OFFSET(CRONOPLE!$F$14,$M297,BP$13))))</f>
        <v>1000000000000</v>
      </c>
      <c r="BQ297" s="215">
        <f ca="1">IF($D297&lt;&gt;"Serviço",0,IF(AND(AUTOEVENTO="Manual",$M297=1),0,IF(OFFSET(CRONOPLE!$F$14,$M297,BQ$13)="",10^12,OFFSET(CRONOPLE!$F$14,$M297,BQ$13))))</f>
        <v>1000000000000</v>
      </c>
      <c r="BR297" s="215">
        <f ca="1">IF($D297&lt;&gt;"Serviço",0,IF(AND(AUTOEVENTO="Manual",$M297=1),0,IF(OFFSET(CRONOPLE!$F$14,$M297,BR$13)="",10^12,OFFSET(CRONOPLE!$F$14,$M297,BR$13))))</f>
        <v>1000000000000</v>
      </c>
      <c r="BS297" s="215">
        <f ca="1">IF($D297&lt;&gt;"Serviço",0,IF(AND(AUTOEVENTO="Manual",$M297=1),0,IF(OFFSET(CRONOPLE!$F$14,$M297,BS$13)="",10^12,OFFSET(CRONOPLE!$F$14,$M297,BS$13))))</f>
        <v>1000000000000</v>
      </c>
      <c r="BT297" s="215">
        <f ca="1">IF($D297&lt;&gt;"Serviço",0,IF(AND(AUTOEVENTO="Manual",$M297=1),0,IF(OFFSET(CRONOPLE!$F$14,$M297,BT$13)="",10^12,OFFSET(CRONOPLE!$F$14,$M297,BT$13))))</f>
        <v>1000000000000</v>
      </c>
      <c r="BV297" s="216">
        <f ca="1">IF($D297&lt;&gt;"Serviço",0,IF(OR(AND(AUTOEVENTO="Manual",$M297=1),$M297&gt;(ROW(PLE.lastrow)-ROW(PLE.firstrow))),0,IF(OFFSET(PLE!$G$14,$M297,BV$13)="",10^12,OFFSET(PLE!$G$14,$M297,BV$13))))</f>
        <v>1000000000000</v>
      </c>
      <c r="BW297" s="216">
        <f ca="1">IF($D297&lt;&gt;"Serviço",0,IF(OR(AND(AUTOEVENTO="Manual",$M297=1),$M297&gt;(ROW(PLE.lastrow)-ROW(PLE.firstrow))),0,IF(OFFSET(PLE!$G$14,$M297,BW$13)="",10^12,OFFSET(PLE!$G$14,$M297,BW$13))))</f>
        <v>1000000000000</v>
      </c>
      <c r="BX297" s="216">
        <f ca="1">IF($D297&lt;&gt;"Serviço",0,IF(OR(AND(AUTOEVENTO="Manual",$M297=1),$M297&gt;(ROW(PLE.lastrow)-ROW(PLE.firstrow))),0,IF(OFFSET(PLE!$G$14,$M297,BX$13)="",10^12,OFFSET(PLE!$G$14,$M297,BX$13))))</f>
        <v>1000000000000</v>
      </c>
      <c r="BY297" s="216">
        <f ca="1">IF($D297&lt;&gt;"Serviço",0,IF(OR(AND(AUTOEVENTO="Manual",$M297=1),$M297&gt;(ROW(PLE.lastrow)-ROW(PLE.firstrow))),0,IF(OFFSET(PLE!$G$14,$M297,BY$13)="",10^12,OFFSET(PLE!$G$14,$M297,BY$13))))</f>
        <v>1000000000000</v>
      </c>
      <c r="BZ297" s="216">
        <f ca="1">IF($D297&lt;&gt;"Serviço",0,IF(OR(AND(AUTOEVENTO="Manual",$M297=1),$M297&gt;(ROW(PLE.lastrow)-ROW(PLE.firstrow))),0,IF(OFFSET(PLE!$G$14,$M297,BZ$13)="",10^12,OFFSET(PLE!$G$14,$M297,BZ$13))))</f>
        <v>1000000000000</v>
      </c>
      <c r="CA297" s="216">
        <f ca="1">IF($D297&lt;&gt;"Serviço",0,IF(OR(AND(AUTOEVENTO="Manual",$M297=1),$M297&gt;(ROW(PLE.lastrow)-ROW(PLE.firstrow))),0,IF(OFFSET(PLE!$G$14,$M297,CA$13)="",10^12,OFFSET(PLE!$G$14,$M297,CA$13))))</f>
        <v>1000000000000</v>
      </c>
      <c r="CB297" s="216">
        <f ca="1">IF($D297&lt;&gt;"Serviço",0,IF(OR(AND(AUTOEVENTO="Manual",$M297=1),$M297&gt;(ROW(PLE.lastrow)-ROW(PLE.firstrow))),0,IF(OFFSET(PLE!$G$14,$M297,CB$13)="",10^12,OFFSET(PLE!$G$14,$M297,CB$13))))</f>
        <v>1000000000000</v>
      </c>
      <c r="CC297" s="216">
        <f ca="1">IF($D297&lt;&gt;"Serviço",0,IF(OR(AND(AUTOEVENTO="Manual",$M297=1),$M297&gt;(ROW(PLE.lastrow)-ROW(PLE.firstrow))),0,IF(OFFSET(PLE!$G$14,$M297,CC$13)="",10^12,OFFSET(PLE!$G$14,$M297,CC$13))))</f>
        <v>1000000000000</v>
      </c>
      <c r="CD297" s="216">
        <f ca="1">IF($D297&lt;&gt;"Serviço",0,IF(OR(AND(AUTOEVENTO="Manual",$M297=1),$M297&gt;(ROW(PLE.lastrow)-ROW(PLE.firstrow))),0,IF(OFFSET(PLE!$G$14,$M297,CD$13)="",10^12,OFFSET(PLE!$G$14,$M297,CD$13))))</f>
        <v>1000000000000</v>
      </c>
      <c r="CE297" s="216">
        <f ca="1">IF($D297&lt;&gt;"Serviço",0,IF(OR(AND(AUTOEVENTO="Manual",$M297=1),$M297&gt;(ROW(PLE.lastrow)-ROW(PLE.firstrow))),0,IF(OFFSET(PLE!$G$14,$M297,CE$13)="",10^12,OFFSET(PLE!$G$14,$M297,CE$13))))</f>
        <v>1000000000000</v>
      </c>
      <c r="CF297" s="216">
        <f ca="1">IF($D297&lt;&gt;"Serviço",0,IF(OR(AND(AUTOEVENTO="Manual",$M297=1),$M297&gt;(ROW(PLE.lastrow)-ROW(PLE.firstrow))),0,IF(OFFSET(PLE!$G$14,$M297,CF$13)="",10^12,OFFSET(PLE!$G$14,$M297,CF$13))))</f>
        <v>1000000000000</v>
      </c>
      <c r="CG297" s="216">
        <f ca="1">IF($D297&lt;&gt;"Serviço",0,IF(OR(AND(AUTOEVENTO="Manual",$M297=1),$M297&gt;(ROW(PLE.lastrow)-ROW(PLE.firstrow))),0,IF(OFFSET(PLE!$G$14,$M297,CG$13)="",10^12,OFFSET(PLE!$G$14,$M297,CG$13))))</f>
        <v>1000000000000</v>
      </c>
      <c r="CH297" s="216">
        <f ca="1">IF($D297&lt;&gt;"Serviço",0,IF(OR(AND(AUTOEVENTO="Manual",$M297=1),$M297&gt;(ROW(PLE.lastrow)-ROW(PLE.firstrow))),0,IF(OFFSET(PLE!$G$14,$M297,CH$13)="",10^12,OFFSET(PLE!$G$14,$M297,CH$13))))</f>
        <v>1000000000000</v>
      </c>
      <c r="CI297" s="216">
        <f ca="1">IF($D297&lt;&gt;"Serviço",0,IF(OR(AND(AUTOEVENTO="Manual",$M297=1),$M297&gt;(ROW(PLE.lastrow)-ROW(PLE.firstrow))),0,IF(OFFSET(PLE!$G$14,$M297,CI$13)="",10^12,OFFSET(PLE!$G$14,$M297,CI$13))))</f>
        <v>1000000000000</v>
      </c>
      <c r="CJ297" s="216">
        <f ca="1">IF($D297&lt;&gt;"Serviço",0,IF(OR(AND(AUTOEVENTO="Manual",$M297=1),$M297&gt;(ROW(PLE.lastrow)-ROW(PLE.firstrow))),0,IF(OFFSET(PLE!$G$14,$M297,CJ$13)="",10^12,OFFSET(PLE!$G$14,$M297,CJ$13))))</f>
        <v>1000000000000</v>
      </c>
      <c r="CK297" s="216">
        <f ca="1">IF($D297&lt;&gt;"Serviço",0,IF(OR(AND(AUTOEVENTO="Manual",$M297=1),$M297&gt;(ROW(PLE.lastrow)-ROW(PLE.firstrow))),0,IF(OFFSET(PLE!$G$14,$M297,CK$13)="",10^12,OFFSET(PLE!$G$14,$M297,CK$13))))</f>
        <v>1000000000000</v>
      </c>
      <c r="CL297" s="216">
        <f ca="1">IF($D297&lt;&gt;"Serviço",0,IF(OR(AND(AUTOEVENTO="Manual",$M297=1),$M297&gt;(ROW(PLE.lastrow)-ROW(PLE.firstrow))),0,IF(OFFSET(PLE!$G$14,$M297,CL$13)="",10^12,OFFSET(PLE!$G$14,$M297,CL$13))))</f>
        <v>1000000000000</v>
      </c>
      <c r="CM297" s="216">
        <f ca="1">IF($D297&lt;&gt;"Serviço",0,IF(OR(AND(AUTOEVENTO="Manual",$M297=1),$M297&gt;(ROW(PLE.lastrow)-ROW(PLE.firstrow))),0,IF(OFFSET(PLE!$G$14,$M297,CM$13)="",10^12,OFFSET(PLE!$G$14,$M297,CM$13))))</f>
        <v>1000000000000</v>
      </c>
    </row>
    <row r="298" spans="1:91" ht="13.2" x14ac:dyDescent="0.25">
      <c r="A298" s="9">
        <f t="shared" ca="1" si="13"/>
        <v>0</v>
      </c>
      <c r="B298" s="9">
        <f ca="1">OFFSET(ORÇAMENTO!C$15,ROW(B298)-ROW(B$15),0)</f>
        <v>3</v>
      </c>
      <c r="C298" s="9" t="str">
        <f ca="1">OFFSET(ORÇAMENTO!L$15,ROW(C298)-ROW(C$15),0)</f>
        <v>F</v>
      </c>
      <c r="D298" s="145" t="str">
        <f ca="1">OFFSET(ORÇAMENTO!N$15,ROW(D298)-ROW(D$15),0)</f>
        <v>Nível 3</v>
      </c>
      <c r="E298" s="205" t="str">
        <f ca="1">OFFSET(ORÇAMENTO!O$15,ROW(E298)-ROW(E$15),0)</f>
        <v>1.11.2.</v>
      </c>
      <c r="F298" s="206" t="str">
        <f ca="1">OFFSET(ORÇAMENTO!R$15,ROW(F298)-ROW(F$15),0)</f>
        <v>MURETA</v>
      </c>
      <c r="G298" s="207" t="str">
        <f ca="1">IF($D298&lt;&gt;"Serviço","",OFFSET(ORÇAMENTO!S$15,ROW(G298)-ROW(G$15),0))</f>
        <v/>
      </c>
      <c r="H298" s="151">
        <f ca="1">IF($D298&lt;&gt;"Serviço",0,IF(ACOMPANHAMENTO="BM",ROUND(OFFSET(ORÇAMENTO!AJ$15,ROW(H298)-ROW(H$15),0),15-13*ORÇAMENTO!$AF$7),SUMPRODUCT(($Q$12:$AI$12&lt;&gt;"")*ROUND($Q298:$AI298,15-13*ORÇAMENTO!$AF$7))))</f>
        <v>0</v>
      </c>
      <c r="I298" s="650"/>
      <c r="K298" s="208"/>
      <c r="L298" s="209" t="s">
        <v>257</v>
      </c>
      <c r="M298" s="210" t="str">
        <f ca="1">IF($D298&lt;&gt;"Serviço","",IF(AUTOEVENTO="manual",$A298,IF(ISERROR(MATCH($A298,$A$15:OFFSET($A298,-1,0),0)),MAX($M$15:OFFSET(M298,-1,0))+1,INDEX($M$15:OFFSET(M298,-1,0),MATCH($A298,$A$15:OFFSET($A298,-1,0),0)))))</f>
        <v/>
      </c>
      <c r="N298" s="211" t="str">
        <f ca="1">IF($D298&lt;&gt;"Serviço","",IF(AUTOEVENTO="Manual",IF($A298=0,"&lt;-- defina o número do agrupador",OFFSET(EVENTOS!$D$14,$A298,0)),OFFSET($F$15,$A298,0)))</f>
        <v/>
      </c>
      <c r="O298" s="212"/>
      <c r="Q298" s="212"/>
      <c r="R298" s="213"/>
      <c r="S298" s="213"/>
      <c r="T298" s="213"/>
      <c r="U298" s="213"/>
      <c r="V298" s="213"/>
      <c r="W298" s="213"/>
      <c r="X298" s="213"/>
      <c r="Y298" s="213"/>
      <c r="Z298" s="214"/>
      <c r="AA298" s="213"/>
      <c r="AB298" s="213"/>
      <c r="AC298" s="213"/>
      <c r="AD298" s="213"/>
      <c r="AE298" s="213"/>
      <c r="AF298" s="213"/>
      <c r="AG298" s="213"/>
      <c r="AH298" s="214"/>
      <c r="AJ298" s="631">
        <f ca="1">IF(AND($D298="Serviço",AJ$12&lt;&gt;0,$H298&gt;0,OR(AUTOEVENTO&lt;&gt;"manual",$M298&lt;&gt;1)),ROUND(OFFSET($P298,0,AJ$13),15-13*ORÇAMENTO!$AF$7)/$H298*OFFSET(ORÇAMENTO!$X$15,ROW(AJ298)-ROW(AJ$15),0),0)</f>
        <v>0</v>
      </c>
      <c r="AK298" s="632">
        <f ca="1">IF(AND($D298="Serviço",AK$12&lt;&gt;0,$H298&gt;0,OR(AUTOEVENTO&lt;&gt;"manual",$M298&lt;&gt;1)),ROUND(OFFSET($P298,0,AK$13),15-13*ORÇAMENTO!$AF$7)/$H298*OFFSET(ORÇAMENTO!$X$15,ROW(AK298)-ROW(AK$15),0),0)</f>
        <v>0</v>
      </c>
      <c r="AL298" s="632">
        <f ca="1">IF(AND($D298="Serviço",AL$12&lt;&gt;0,$H298&gt;0,OR(AUTOEVENTO&lt;&gt;"manual",$M298&lt;&gt;1)),ROUND(OFFSET($P298,0,AL$13),15-13*ORÇAMENTO!$AF$7)/$H298*OFFSET(ORÇAMENTO!$X$15,ROW(AL298)-ROW(AL$15),0),0)</f>
        <v>0</v>
      </c>
      <c r="AM298" s="632">
        <f ca="1">IF(AND($D298="Serviço",AM$12&lt;&gt;0,$H298&gt;0,OR(AUTOEVENTO&lt;&gt;"manual",$M298&lt;&gt;1)),ROUND(OFFSET($P298,0,AM$13),15-13*ORÇAMENTO!$AF$7)/$H298*OFFSET(ORÇAMENTO!$X$15,ROW(AM298)-ROW(AM$15),0),0)</f>
        <v>0</v>
      </c>
      <c r="AN298" s="632">
        <f ca="1">IF(AND($D298="Serviço",AN$12&lt;&gt;0,$H298&gt;0,OR(AUTOEVENTO&lt;&gt;"manual",$M298&lt;&gt;1)),ROUND(OFFSET($P298,0,AN$13),15-13*ORÇAMENTO!$AF$7)/$H298*OFFSET(ORÇAMENTO!$X$15,ROW(AN298)-ROW(AN$15),0),0)</f>
        <v>0</v>
      </c>
      <c r="AO298" s="632">
        <f ca="1">IF(AND($D298="Serviço",AO$12&lt;&gt;0,$H298&gt;0,OR(AUTOEVENTO&lt;&gt;"manual",$M298&lt;&gt;1)),ROUND(OFFSET($P298,0,AO$13),15-13*ORÇAMENTO!$AF$7)/$H298*OFFSET(ORÇAMENTO!$X$15,ROW(AO298)-ROW(AO$15),0),0)</f>
        <v>0</v>
      </c>
      <c r="AP298" s="632">
        <f ca="1">IF(AND($D298="Serviço",AP$12&lt;&gt;0,$H298&gt;0,OR(AUTOEVENTO&lt;&gt;"manual",$M298&lt;&gt;1)),ROUND(OFFSET($P298,0,AP$13),15-13*ORÇAMENTO!$AF$7)/$H298*OFFSET(ORÇAMENTO!$X$15,ROW(AP298)-ROW(AP$15),0),0)</f>
        <v>0</v>
      </c>
      <c r="AQ298" s="632">
        <f ca="1">IF(AND($D298="Serviço",AQ$12&lt;&gt;0,$H298&gt;0,OR(AUTOEVENTO&lt;&gt;"manual",$M298&lt;&gt;1)),ROUND(OFFSET($P298,0,AQ$13),15-13*ORÇAMENTO!$AF$7)/$H298*OFFSET(ORÇAMENTO!$X$15,ROW(AQ298)-ROW(AQ$15),0),0)</f>
        <v>0</v>
      </c>
      <c r="AR298" s="632">
        <f ca="1">IF(AND($D298="Serviço",AR$12&lt;&gt;0,$H298&gt;0,OR(AUTOEVENTO&lt;&gt;"manual",$M298&lt;&gt;1)),ROUND(OFFSET($P298,0,AR$13),15-13*ORÇAMENTO!$AF$7)/$H298*OFFSET(ORÇAMENTO!$X$15,ROW(AR298)-ROW(AR$15),0),0)</f>
        <v>0</v>
      </c>
      <c r="AS298" s="633">
        <f ca="1">IF(AND($D298="Serviço",AS$12&lt;&gt;0,$H298&gt;0,OR(AUTOEVENTO&lt;&gt;"manual",$M298&lt;&gt;1)),ROUND(OFFSET($P298,0,AS$13),15-13*ORÇAMENTO!$AF$7)/$H298*OFFSET(ORÇAMENTO!$X$15,ROW(AS298)-ROW(AS$15),0),0)</f>
        <v>0</v>
      </c>
      <c r="AT298" s="632">
        <f ca="1">IF(AND($D298="Serviço",AT$12&lt;&gt;0,$H298&gt;0,OR(AUTOEVENTO&lt;&gt;"manual",$M298&lt;&gt;1)),ROUND(OFFSET($P298,0,AT$13),15-13*ORÇAMENTO!$AF$7)/$H298*OFFSET(ORÇAMENTO!$X$15,ROW(AT298)-ROW(AT$15),0),0)</f>
        <v>0</v>
      </c>
      <c r="AU298" s="632">
        <f ca="1">IF(AND($D298="Serviço",AU$12&lt;&gt;0,$H298&gt;0,OR(AUTOEVENTO&lt;&gt;"manual",$M298&lt;&gt;1)),ROUND(OFFSET($P298,0,AU$13),15-13*ORÇAMENTO!$AF$7)/$H298*OFFSET(ORÇAMENTO!$X$15,ROW(AU298)-ROW(AU$15),0),0)</f>
        <v>0</v>
      </c>
      <c r="AV298" s="632">
        <f ca="1">IF(AND($D298="Serviço",AV$12&lt;&gt;0,$H298&gt;0,OR(AUTOEVENTO&lt;&gt;"manual",$M298&lt;&gt;1)),ROUND(OFFSET($P298,0,AV$13),15-13*ORÇAMENTO!$AF$7)/$H298*OFFSET(ORÇAMENTO!$X$15,ROW(AV298)-ROW(AV$15),0),0)</f>
        <v>0</v>
      </c>
      <c r="AW298" s="632">
        <f ca="1">IF(AND($D298="Serviço",AW$12&lt;&gt;0,$H298&gt;0,OR(AUTOEVENTO&lt;&gt;"manual",$M298&lt;&gt;1)),ROUND(OFFSET($P298,0,AW$13),15-13*ORÇAMENTO!$AF$7)/$H298*OFFSET(ORÇAMENTO!$X$15,ROW(AW298)-ROW(AW$15),0),0)</f>
        <v>0</v>
      </c>
      <c r="AX298" s="632">
        <f ca="1">IF(AND($D298="Serviço",AX$12&lt;&gt;0,$H298&gt;0,OR(AUTOEVENTO&lt;&gt;"manual",$M298&lt;&gt;1)),ROUND(OFFSET($P298,0,AX$13),15-13*ORÇAMENTO!$AF$7)/$H298*OFFSET(ORÇAMENTO!$X$15,ROW(AX298)-ROW(AX$15),0),0)</f>
        <v>0</v>
      </c>
      <c r="AY298" s="632">
        <f ca="1">IF(AND($D298="Serviço",AY$12&lt;&gt;0,$H298&gt;0,OR(AUTOEVENTO&lt;&gt;"manual",$M298&lt;&gt;1)),ROUND(OFFSET($P298,0,AY$13),15-13*ORÇAMENTO!$AF$7)/$H298*OFFSET(ORÇAMENTO!$X$15,ROW(AY298)-ROW(AY$15),0),0)</f>
        <v>0</v>
      </c>
      <c r="AZ298" s="632">
        <f ca="1">IF(AND($D298="Serviço",AZ$12&lt;&gt;0,$H298&gt;0,OR(AUTOEVENTO&lt;&gt;"manual",$M298&lt;&gt;1)),ROUND(OFFSET($P298,0,AZ$13),15-13*ORÇAMENTO!$AF$7)/$H298*OFFSET(ORÇAMENTO!$X$15,ROW(AZ298)-ROW(AZ$15),0),0)</f>
        <v>0</v>
      </c>
      <c r="BA298" s="633">
        <f ca="1">IF(AND($D298="Serviço",BA$12&lt;&gt;0,$H298&gt;0,OR(AUTOEVENTO&lt;&gt;"manual",$M298&lt;&gt;1)),ROUND(OFFSET($P298,0,BA$13),15-13*ORÇAMENTO!$AF$7)/$H298*OFFSET(ORÇAMENTO!$X$15,ROW(BA298)-ROW(BA$15),0),0)</f>
        <v>0</v>
      </c>
      <c r="BC298" s="215">
        <f ca="1">IF($D298&lt;&gt;"Serviço",0,IF(AND(AUTOEVENTO="Manual",$M298=1),0,IF(OFFSET(CRONOPLE!$F$14,$M298,BC$13)="",10^12,OFFSET(CRONOPLE!$F$14,$M298,BC$13))))</f>
        <v>0</v>
      </c>
      <c r="BD298" s="215">
        <f ca="1">IF($D298&lt;&gt;"Serviço",0,IF(AND(AUTOEVENTO="Manual",$M298=1),0,IF(OFFSET(CRONOPLE!$F$14,$M298,BD$13)="",10^12,OFFSET(CRONOPLE!$F$14,$M298,BD$13))))</f>
        <v>0</v>
      </c>
      <c r="BE298" s="215">
        <f ca="1">IF($D298&lt;&gt;"Serviço",0,IF(AND(AUTOEVENTO="Manual",$M298=1),0,IF(OFFSET(CRONOPLE!$F$14,$M298,BE$13)="",10^12,OFFSET(CRONOPLE!$F$14,$M298,BE$13))))</f>
        <v>0</v>
      </c>
      <c r="BF298" s="215">
        <f ca="1">IF($D298&lt;&gt;"Serviço",0,IF(AND(AUTOEVENTO="Manual",$M298=1),0,IF(OFFSET(CRONOPLE!$F$14,$M298,BF$13)="",10^12,OFFSET(CRONOPLE!$F$14,$M298,BF$13))))</f>
        <v>0</v>
      </c>
      <c r="BG298" s="215">
        <f ca="1">IF($D298&lt;&gt;"Serviço",0,IF(AND(AUTOEVENTO="Manual",$M298=1),0,IF(OFFSET(CRONOPLE!$F$14,$M298,BG$13)="",10^12,OFFSET(CRONOPLE!$F$14,$M298,BG$13))))</f>
        <v>0</v>
      </c>
      <c r="BH298" s="215">
        <f ca="1">IF($D298&lt;&gt;"Serviço",0,IF(AND(AUTOEVENTO="Manual",$M298=1),0,IF(OFFSET(CRONOPLE!$F$14,$M298,BH$13)="",10^12,OFFSET(CRONOPLE!$F$14,$M298,BH$13))))</f>
        <v>0</v>
      </c>
      <c r="BI298" s="215">
        <f ca="1">IF($D298&lt;&gt;"Serviço",0,IF(AND(AUTOEVENTO="Manual",$M298=1),0,IF(OFFSET(CRONOPLE!$F$14,$M298,BI$13)="",10^12,OFFSET(CRONOPLE!$F$14,$M298,BI$13))))</f>
        <v>0</v>
      </c>
      <c r="BJ298" s="215">
        <f ca="1">IF($D298&lt;&gt;"Serviço",0,IF(AND(AUTOEVENTO="Manual",$M298=1),0,IF(OFFSET(CRONOPLE!$F$14,$M298,BJ$13)="",10^12,OFFSET(CRONOPLE!$F$14,$M298,BJ$13))))</f>
        <v>0</v>
      </c>
      <c r="BK298" s="215">
        <f ca="1">IF($D298&lt;&gt;"Serviço",0,IF(AND(AUTOEVENTO="Manual",$M298=1),0,IF(OFFSET(CRONOPLE!$F$14,$M298,BK$13)="",10^12,OFFSET(CRONOPLE!$F$14,$M298,BK$13))))</f>
        <v>0</v>
      </c>
      <c r="BL298" s="215">
        <f ca="1">IF($D298&lt;&gt;"Serviço",0,IF(AND(AUTOEVENTO="Manual",$M298=1),0,IF(OFFSET(CRONOPLE!$F$14,$M298,BL$13)="",10^12,OFFSET(CRONOPLE!$F$14,$M298,BL$13))))</f>
        <v>0</v>
      </c>
      <c r="BM298" s="215">
        <f ca="1">IF($D298&lt;&gt;"Serviço",0,IF(AND(AUTOEVENTO="Manual",$M298=1),0,IF(OFFSET(CRONOPLE!$F$14,$M298,BM$13)="",10^12,OFFSET(CRONOPLE!$F$14,$M298,BM$13))))</f>
        <v>0</v>
      </c>
      <c r="BN298" s="215">
        <f ca="1">IF($D298&lt;&gt;"Serviço",0,IF(AND(AUTOEVENTO="Manual",$M298=1),0,IF(OFFSET(CRONOPLE!$F$14,$M298,BN$13)="",10^12,OFFSET(CRONOPLE!$F$14,$M298,BN$13))))</f>
        <v>0</v>
      </c>
      <c r="BO298" s="215">
        <f ca="1">IF($D298&lt;&gt;"Serviço",0,IF(AND(AUTOEVENTO="Manual",$M298=1),0,IF(OFFSET(CRONOPLE!$F$14,$M298,BO$13)="",10^12,OFFSET(CRONOPLE!$F$14,$M298,BO$13))))</f>
        <v>0</v>
      </c>
      <c r="BP298" s="215">
        <f ca="1">IF($D298&lt;&gt;"Serviço",0,IF(AND(AUTOEVENTO="Manual",$M298=1),0,IF(OFFSET(CRONOPLE!$F$14,$M298,BP$13)="",10^12,OFFSET(CRONOPLE!$F$14,$M298,BP$13))))</f>
        <v>0</v>
      </c>
      <c r="BQ298" s="215">
        <f ca="1">IF($D298&lt;&gt;"Serviço",0,IF(AND(AUTOEVENTO="Manual",$M298=1),0,IF(OFFSET(CRONOPLE!$F$14,$M298,BQ$13)="",10^12,OFFSET(CRONOPLE!$F$14,$M298,BQ$13))))</f>
        <v>0</v>
      </c>
      <c r="BR298" s="215">
        <f ca="1">IF($D298&lt;&gt;"Serviço",0,IF(AND(AUTOEVENTO="Manual",$M298=1),0,IF(OFFSET(CRONOPLE!$F$14,$M298,BR$13)="",10^12,OFFSET(CRONOPLE!$F$14,$M298,BR$13))))</f>
        <v>0</v>
      </c>
      <c r="BS298" s="215">
        <f ca="1">IF($D298&lt;&gt;"Serviço",0,IF(AND(AUTOEVENTO="Manual",$M298=1),0,IF(OFFSET(CRONOPLE!$F$14,$M298,BS$13)="",10^12,OFFSET(CRONOPLE!$F$14,$M298,BS$13))))</f>
        <v>0</v>
      </c>
      <c r="BT298" s="215">
        <f ca="1">IF($D298&lt;&gt;"Serviço",0,IF(AND(AUTOEVENTO="Manual",$M298=1),0,IF(OFFSET(CRONOPLE!$F$14,$M298,BT$13)="",10^12,OFFSET(CRONOPLE!$F$14,$M298,BT$13))))</f>
        <v>0</v>
      </c>
      <c r="BV298" s="216">
        <f ca="1">IF($D298&lt;&gt;"Serviço",0,IF(OR(AND(AUTOEVENTO="Manual",$M298=1),$M298&gt;(ROW(PLE.lastrow)-ROW(PLE.firstrow))),0,IF(OFFSET(PLE!$G$14,$M298,BV$13)="",10^12,OFFSET(PLE!$G$14,$M298,BV$13))))</f>
        <v>0</v>
      </c>
      <c r="BW298" s="216">
        <f ca="1">IF($D298&lt;&gt;"Serviço",0,IF(OR(AND(AUTOEVENTO="Manual",$M298=1),$M298&gt;(ROW(PLE.lastrow)-ROW(PLE.firstrow))),0,IF(OFFSET(PLE!$G$14,$M298,BW$13)="",10^12,OFFSET(PLE!$G$14,$M298,BW$13))))</f>
        <v>0</v>
      </c>
      <c r="BX298" s="216">
        <f ca="1">IF($D298&lt;&gt;"Serviço",0,IF(OR(AND(AUTOEVENTO="Manual",$M298=1),$M298&gt;(ROW(PLE.lastrow)-ROW(PLE.firstrow))),0,IF(OFFSET(PLE!$G$14,$M298,BX$13)="",10^12,OFFSET(PLE!$G$14,$M298,BX$13))))</f>
        <v>0</v>
      </c>
      <c r="BY298" s="216">
        <f ca="1">IF($D298&lt;&gt;"Serviço",0,IF(OR(AND(AUTOEVENTO="Manual",$M298=1),$M298&gt;(ROW(PLE.lastrow)-ROW(PLE.firstrow))),0,IF(OFFSET(PLE!$G$14,$M298,BY$13)="",10^12,OFFSET(PLE!$G$14,$M298,BY$13))))</f>
        <v>0</v>
      </c>
      <c r="BZ298" s="216">
        <f ca="1">IF($D298&lt;&gt;"Serviço",0,IF(OR(AND(AUTOEVENTO="Manual",$M298=1),$M298&gt;(ROW(PLE.lastrow)-ROW(PLE.firstrow))),0,IF(OFFSET(PLE!$G$14,$M298,BZ$13)="",10^12,OFFSET(PLE!$G$14,$M298,BZ$13))))</f>
        <v>0</v>
      </c>
      <c r="CA298" s="216">
        <f ca="1">IF($D298&lt;&gt;"Serviço",0,IF(OR(AND(AUTOEVENTO="Manual",$M298=1),$M298&gt;(ROW(PLE.lastrow)-ROW(PLE.firstrow))),0,IF(OFFSET(PLE!$G$14,$M298,CA$13)="",10^12,OFFSET(PLE!$G$14,$M298,CA$13))))</f>
        <v>0</v>
      </c>
      <c r="CB298" s="216">
        <f ca="1">IF($D298&lt;&gt;"Serviço",0,IF(OR(AND(AUTOEVENTO="Manual",$M298=1),$M298&gt;(ROW(PLE.lastrow)-ROW(PLE.firstrow))),0,IF(OFFSET(PLE!$G$14,$M298,CB$13)="",10^12,OFFSET(PLE!$G$14,$M298,CB$13))))</f>
        <v>0</v>
      </c>
      <c r="CC298" s="216">
        <f ca="1">IF($D298&lt;&gt;"Serviço",0,IF(OR(AND(AUTOEVENTO="Manual",$M298=1),$M298&gt;(ROW(PLE.lastrow)-ROW(PLE.firstrow))),0,IF(OFFSET(PLE!$G$14,$M298,CC$13)="",10^12,OFFSET(PLE!$G$14,$M298,CC$13))))</f>
        <v>0</v>
      </c>
      <c r="CD298" s="216">
        <f ca="1">IF($D298&lt;&gt;"Serviço",0,IF(OR(AND(AUTOEVENTO="Manual",$M298=1),$M298&gt;(ROW(PLE.lastrow)-ROW(PLE.firstrow))),0,IF(OFFSET(PLE!$G$14,$M298,CD$13)="",10^12,OFFSET(PLE!$G$14,$M298,CD$13))))</f>
        <v>0</v>
      </c>
      <c r="CE298" s="216">
        <f ca="1">IF($D298&lt;&gt;"Serviço",0,IF(OR(AND(AUTOEVENTO="Manual",$M298=1),$M298&gt;(ROW(PLE.lastrow)-ROW(PLE.firstrow))),0,IF(OFFSET(PLE!$G$14,$M298,CE$13)="",10^12,OFFSET(PLE!$G$14,$M298,CE$13))))</f>
        <v>0</v>
      </c>
      <c r="CF298" s="216">
        <f ca="1">IF($D298&lt;&gt;"Serviço",0,IF(OR(AND(AUTOEVENTO="Manual",$M298=1),$M298&gt;(ROW(PLE.lastrow)-ROW(PLE.firstrow))),0,IF(OFFSET(PLE!$G$14,$M298,CF$13)="",10^12,OFFSET(PLE!$G$14,$M298,CF$13))))</f>
        <v>0</v>
      </c>
      <c r="CG298" s="216">
        <f ca="1">IF($D298&lt;&gt;"Serviço",0,IF(OR(AND(AUTOEVENTO="Manual",$M298=1),$M298&gt;(ROW(PLE.lastrow)-ROW(PLE.firstrow))),0,IF(OFFSET(PLE!$G$14,$M298,CG$13)="",10^12,OFFSET(PLE!$G$14,$M298,CG$13))))</f>
        <v>0</v>
      </c>
      <c r="CH298" s="216">
        <f ca="1">IF($D298&lt;&gt;"Serviço",0,IF(OR(AND(AUTOEVENTO="Manual",$M298=1),$M298&gt;(ROW(PLE.lastrow)-ROW(PLE.firstrow))),0,IF(OFFSET(PLE!$G$14,$M298,CH$13)="",10^12,OFFSET(PLE!$G$14,$M298,CH$13))))</f>
        <v>0</v>
      </c>
      <c r="CI298" s="216">
        <f ca="1">IF($D298&lt;&gt;"Serviço",0,IF(OR(AND(AUTOEVENTO="Manual",$M298=1),$M298&gt;(ROW(PLE.lastrow)-ROW(PLE.firstrow))),0,IF(OFFSET(PLE!$G$14,$M298,CI$13)="",10^12,OFFSET(PLE!$G$14,$M298,CI$13))))</f>
        <v>0</v>
      </c>
      <c r="CJ298" s="216">
        <f ca="1">IF($D298&lt;&gt;"Serviço",0,IF(OR(AND(AUTOEVENTO="Manual",$M298=1),$M298&gt;(ROW(PLE.lastrow)-ROW(PLE.firstrow))),0,IF(OFFSET(PLE!$G$14,$M298,CJ$13)="",10^12,OFFSET(PLE!$G$14,$M298,CJ$13))))</f>
        <v>0</v>
      </c>
      <c r="CK298" s="216">
        <f ca="1">IF($D298&lt;&gt;"Serviço",0,IF(OR(AND(AUTOEVENTO="Manual",$M298=1),$M298&gt;(ROW(PLE.lastrow)-ROW(PLE.firstrow))),0,IF(OFFSET(PLE!$G$14,$M298,CK$13)="",10^12,OFFSET(PLE!$G$14,$M298,CK$13))))</f>
        <v>0</v>
      </c>
      <c r="CL298" s="216">
        <f ca="1">IF($D298&lt;&gt;"Serviço",0,IF(OR(AND(AUTOEVENTO="Manual",$M298=1),$M298&gt;(ROW(PLE.lastrow)-ROW(PLE.firstrow))),0,IF(OFFSET(PLE!$G$14,$M298,CL$13)="",10^12,OFFSET(PLE!$G$14,$M298,CL$13))))</f>
        <v>0</v>
      </c>
      <c r="CM298" s="216">
        <f ca="1">IF($D298&lt;&gt;"Serviço",0,IF(OR(AND(AUTOEVENTO="Manual",$M298=1),$M298&gt;(ROW(PLE.lastrow)-ROW(PLE.firstrow))),0,IF(OFFSET(PLE!$G$14,$M298,CM$13)="",10^12,OFFSET(PLE!$G$14,$M298,CM$13))))</f>
        <v>0</v>
      </c>
    </row>
    <row r="299" spans="1:91" ht="13.2" x14ac:dyDescent="0.25">
      <c r="A299" s="9">
        <f t="shared" ca="1" si="13"/>
        <v>0</v>
      </c>
      <c r="B299" s="9" t="str">
        <f ca="1">OFFSET(ORÇAMENTO!C$15,ROW(B299)-ROW(B$15),0)</f>
        <v>S</v>
      </c>
      <c r="C299" s="9" t="str">
        <f ca="1">OFFSET(ORÇAMENTO!L$15,ROW(C299)-ROW(C$15),0)</f>
        <v/>
      </c>
      <c r="D299" s="145" t="str">
        <f ca="1">OFFSET(ORÇAMENTO!N$15,ROW(D299)-ROW(D$15),0)</f>
        <v>Serviço</v>
      </c>
      <c r="E299" s="205" t="str">
        <f ca="1">OFFSET(ORÇAMENTO!O$15,ROW(E299)-ROW(E$15),0)</f>
        <v>-</v>
      </c>
      <c r="F299" s="206" t="str">
        <f ca="1">OFFSET(ORÇAMENTO!R$15,ROW(F299)-ROW(F$15),0)</f>
        <v>(abra o arquivo 'Referência 05-2024.xls)</v>
      </c>
      <c r="G299" s="207" t="str">
        <f ca="1">IF($D299&lt;&gt;"Serviço","",OFFSET(ORÇAMENTO!S$15,ROW(G299)-ROW(G$15),0))</f>
        <v>-</v>
      </c>
      <c r="H299" s="151">
        <f ca="1">IF($D299&lt;&gt;"Serviço",0,IF(ACOMPANHAMENTO="BM",ROUND(OFFSET(ORÇAMENTO!AJ$15,ROW(H299)-ROW(H$15),0),15-13*ORÇAMENTO!$AF$7),SUMPRODUCT(($Q$12:$AI$12&lt;&gt;"")*ROUND($Q299:$AI299,15-13*ORÇAMENTO!$AF$7))))</f>
        <v>1201.4100000000001</v>
      </c>
      <c r="I299" s="650"/>
      <c r="K299" s="208"/>
      <c r="L299" s="209" t="s">
        <v>257</v>
      </c>
      <c r="M299" s="210">
        <f ca="1">IF($D299&lt;&gt;"Serviço","",IF(AUTOEVENTO="manual",$A299,IF(ISERROR(MATCH($A299,$A$15:OFFSET($A299,-1,0),0)),MAX($M$15:OFFSET(M299,-1,0))+1,INDEX($M$15:OFFSET(M299,-1,0),MATCH($A299,$A$15:OFFSET($A299,-1,0),0)))))</f>
        <v>0</v>
      </c>
      <c r="N299" s="211" t="str">
        <f ca="1">IF($D299&lt;&gt;"Serviço","",IF(AUTOEVENTO="Manual",IF($A299=0,"&lt;-- defina o número do agrupador",OFFSET(EVENTOS!$D$14,$A299,0)),OFFSET($F$15,$A299,0)))</f>
        <v>&lt;-- defina o número do agrupador</v>
      </c>
      <c r="O299" s="212"/>
      <c r="Q299" s="212"/>
      <c r="R299" s="213"/>
      <c r="S299" s="213"/>
      <c r="T299" s="213"/>
      <c r="U299" s="213"/>
      <c r="V299" s="213"/>
      <c r="W299" s="213"/>
      <c r="X299" s="213"/>
      <c r="Y299" s="213"/>
      <c r="Z299" s="214"/>
      <c r="AA299" s="213"/>
      <c r="AB299" s="213"/>
      <c r="AC299" s="213"/>
      <c r="AD299" s="213"/>
      <c r="AE299" s="213"/>
      <c r="AF299" s="213"/>
      <c r="AG299" s="213"/>
      <c r="AH299" s="214"/>
      <c r="AJ299" s="631">
        <f ca="1">IF(AND($D299="Serviço",AJ$12&lt;&gt;0,$H299&gt;0,OR(AUTOEVENTO&lt;&gt;"manual",$M299&lt;&gt;1)),ROUND(OFFSET($P299,0,AJ$13),15-13*ORÇAMENTO!$AF$7)/$H299*OFFSET(ORÇAMENTO!$X$15,ROW(AJ299)-ROW(AJ$15),0),0)</f>
        <v>0</v>
      </c>
      <c r="AK299" s="632">
        <f ca="1">IF(AND($D299="Serviço",AK$12&lt;&gt;0,$H299&gt;0,OR(AUTOEVENTO&lt;&gt;"manual",$M299&lt;&gt;1)),ROUND(OFFSET($P299,0,AK$13),15-13*ORÇAMENTO!$AF$7)/$H299*OFFSET(ORÇAMENTO!$X$15,ROW(AK299)-ROW(AK$15),0),0)</f>
        <v>0</v>
      </c>
      <c r="AL299" s="632">
        <f ca="1">IF(AND($D299="Serviço",AL$12&lt;&gt;0,$H299&gt;0,OR(AUTOEVENTO&lt;&gt;"manual",$M299&lt;&gt;1)),ROUND(OFFSET($P299,0,AL$13),15-13*ORÇAMENTO!$AF$7)/$H299*OFFSET(ORÇAMENTO!$X$15,ROW(AL299)-ROW(AL$15),0),0)</f>
        <v>0</v>
      </c>
      <c r="AM299" s="632">
        <f ca="1">IF(AND($D299="Serviço",AM$12&lt;&gt;0,$H299&gt;0,OR(AUTOEVENTO&lt;&gt;"manual",$M299&lt;&gt;1)),ROUND(OFFSET($P299,0,AM$13),15-13*ORÇAMENTO!$AF$7)/$H299*OFFSET(ORÇAMENTO!$X$15,ROW(AM299)-ROW(AM$15),0),0)</f>
        <v>0</v>
      </c>
      <c r="AN299" s="632">
        <f ca="1">IF(AND($D299="Serviço",AN$12&lt;&gt;0,$H299&gt;0,OR(AUTOEVENTO&lt;&gt;"manual",$M299&lt;&gt;1)),ROUND(OFFSET($P299,0,AN$13),15-13*ORÇAMENTO!$AF$7)/$H299*OFFSET(ORÇAMENTO!$X$15,ROW(AN299)-ROW(AN$15),0),0)</f>
        <v>0</v>
      </c>
      <c r="AO299" s="632">
        <f ca="1">IF(AND($D299="Serviço",AO$12&lt;&gt;0,$H299&gt;0,OR(AUTOEVENTO&lt;&gt;"manual",$M299&lt;&gt;1)),ROUND(OFFSET($P299,0,AO$13),15-13*ORÇAMENTO!$AF$7)/$H299*OFFSET(ORÇAMENTO!$X$15,ROW(AO299)-ROW(AO$15),0),0)</f>
        <v>0</v>
      </c>
      <c r="AP299" s="632">
        <f ca="1">IF(AND($D299="Serviço",AP$12&lt;&gt;0,$H299&gt;0,OR(AUTOEVENTO&lt;&gt;"manual",$M299&lt;&gt;1)),ROUND(OFFSET($P299,0,AP$13),15-13*ORÇAMENTO!$AF$7)/$H299*OFFSET(ORÇAMENTO!$X$15,ROW(AP299)-ROW(AP$15),0),0)</f>
        <v>0</v>
      </c>
      <c r="AQ299" s="632">
        <f ca="1">IF(AND($D299="Serviço",AQ$12&lt;&gt;0,$H299&gt;0,OR(AUTOEVENTO&lt;&gt;"manual",$M299&lt;&gt;1)),ROUND(OFFSET($P299,0,AQ$13),15-13*ORÇAMENTO!$AF$7)/$H299*OFFSET(ORÇAMENTO!$X$15,ROW(AQ299)-ROW(AQ$15),0),0)</f>
        <v>0</v>
      </c>
      <c r="AR299" s="632">
        <f ca="1">IF(AND($D299="Serviço",AR$12&lt;&gt;0,$H299&gt;0,OR(AUTOEVENTO&lt;&gt;"manual",$M299&lt;&gt;1)),ROUND(OFFSET($P299,0,AR$13),15-13*ORÇAMENTO!$AF$7)/$H299*OFFSET(ORÇAMENTO!$X$15,ROW(AR299)-ROW(AR$15),0),0)</f>
        <v>0</v>
      </c>
      <c r="AS299" s="633">
        <f ca="1">IF(AND($D299="Serviço",AS$12&lt;&gt;0,$H299&gt;0,OR(AUTOEVENTO&lt;&gt;"manual",$M299&lt;&gt;1)),ROUND(OFFSET($P299,0,AS$13),15-13*ORÇAMENTO!$AF$7)/$H299*OFFSET(ORÇAMENTO!$X$15,ROW(AS299)-ROW(AS$15),0),0)</f>
        <v>0</v>
      </c>
      <c r="AT299" s="632">
        <f ca="1">IF(AND($D299="Serviço",AT$12&lt;&gt;0,$H299&gt;0,OR(AUTOEVENTO&lt;&gt;"manual",$M299&lt;&gt;1)),ROUND(OFFSET($P299,0,AT$13),15-13*ORÇAMENTO!$AF$7)/$H299*OFFSET(ORÇAMENTO!$X$15,ROW(AT299)-ROW(AT$15),0),0)</f>
        <v>0</v>
      </c>
      <c r="AU299" s="632">
        <f ca="1">IF(AND($D299="Serviço",AU$12&lt;&gt;0,$H299&gt;0,OR(AUTOEVENTO&lt;&gt;"manual",$M299&lt;&gt;1)),ROUND(OFFSET($P299,0,AU$13),15-13*ORÇAMENTO!$AF$7)/$H299*OFFSET(ORÇAMENTO!$X$15,ROW(AU299)-ROW(AU$15),0),0)</f>
        <v>0</v>
      </c>
      <c r="AV299" s="632">
        <f ca="1">IF(AND($D299="Serviço",AV$12&lt;&gt;0,$H299&gt;0,OR(AUTOEVENTO&lt;&gt;"manual",$M299&lt;&gt;1)),ROUND(OFFSET($P299,0,AV$13),15-13*ORÇAMENTO!$AF$7)/$H299*OFFSET(ORÇAMENTO!$X$15,ROW(AV299)-ROW(AV$15),0),0)</f>
        <v>0</v>
      </c>
      <c r="AW299" s="632">
        <f ca="1">IF(AND($D299="Serviço",AW$12&lt;&gt;0,$H299&gt;0,OR(AUTOEVENTO&lt;&gt;"manual",$M299&lt;&gt;1)),ROUND(OFFSET($P299,0,AW$13),15-13*ORÇAMENTO!$AF$7)/$H299*OFFSET(ORÇAMENTO!$X$15,ROW(AW299)-ROW(AW$15),0),0)</f>
        <v>0</v>
      </c>
      <c r="AX299" s="632">
        <f ca="1">IF(AND($D299="Serviço",AX$12&lt;&gt;0,$H299&gt;0,OR(AUTOEVENTO&lt;&gt;"manual",$M299&lt;&gt;1)),ROUND(OFFSET($P299,0,AX$13),15-13*ORÇAMENTO!$AF$7)/$H299*OFFSET(ORÇAMENTO!$X$15,ROW(AX299)-ROW(AX$15),0),0)</f>
        <v>0</v>
      </c>
      <c r="AY299" s="632">
        <f ca="1">IF(AND($D299="Serviço",AY$12&lt;&gt;0,$H299&gt;0,OR(AUTOEVENTO&lt;&gt;"manual",$M299&lt;&gt;1)),ROUND(OFFSET($P299,0,AY$13),15-13*ORÇAMENTO!$AF$7)/$H299*OFFSET(ORÇAMENTO!$X$15,ROW(AY299)-ROW(AY$15),0),0)</f>
        <v>0</v>
      </c>
      <c r="AZ299" s="632">
        <f ca="1">IF(AND($D299="Serviço",AZ$12&lt;&gt;0,$H299&gt;0,OR(AUTOEVENTO&lt;&gt;"manual",$M299&lt;&gt;1)),ROUND(OFFSET($P299,0,AZ$13),15-13*ORÇAMENTO!$AF$7)/$H299*OFFSET(ORÇAMENTO!$X$15,ROW(AZ299)-ROW(AZ$15),0),0)</f>
        <v>0</v>
      </c>
      <c r="BA299" s="633">
        <f ca="1">IF(AND($D299="Serviço",BA$12&lt;&gt;0,$H299&gt;0,OR(AUTOEVENTO&lt;&gt;"manual",$M299&lt;&gt;1)),ROUND(OFFSET($P299,0,BA$13),15-13*ORÇAMENTO!$AF$7)/$H299*OFFSET(ORÇAMENTO!$X$15,ROW(BA299)-ROW(BA$15),0),0)</f>
        <v>0</v>
      </c>
      <c r="BC299" s="215">
        <f ca="1">IF($D299&lt;&gt;"Serviço",0,IF(AND(AUTOEVENTO="Manual",$M299=1),0,IF(OFFSET(CRONOPLE!$F$14,$M299,BC$13)="",10^12,OFFSET(CRONOPLE!$F$14,$M299,BC$13))))</f>
        <v>1000000000000</v>
      </c>
      <c r="BD299" s="215">
        <f ca="1">IF($D299&lt;&gt;"Serviço",0,IF(AND(AUTOEVENTO="Manual",$M299=1),0,IF(OFFSET(CRONOPLE!$F$14,$M299,BD$13)="",10^12,OFFSET(CRONOPLE!$F$14,$M299,BD$13))))</f>
        <v>1000000000000</v>
      </c>
      <c r="BE299" s="215">
        <f ca="1">IF($D299&lt;&gt;"Serviço",0,IF(AND(AUTOEVENTO="Manual",$M299=1),0,IF(OFFSET(CRONOPLE!$F$14,$M299,BE$13)="",10^12,OFFSET(CRONOPLE!$F$14,$M299,BE$13))))</f>
        <v>1000000000000</v>
      </c>
      <c r="BF299" s="215">
        <f ca="1">IF($D299&lt;&gt;"Serviço",0,IF(AND(AUTOEVENTO="Manual",$M299=1),0,IF(OFFSET(CRONOPLE!$F$14,$M299,BF$13)="",10^12,OFFSET(CRONOPLE!$F$14,$M299,BF$13))))</f>
        <v>1000000000000</v>
      </c>
      <c r="BG299" s="215">
        <f ca="1">IF($D299&lt;&gt;"Serviço",0,IF(AND(AUTOEVENTO="Manual",$M299=1),0,IF(OFFSET(CRONOPLE!$F$14,$M299,BG$13)="",10^12,OFFSET(CRONOPLE!$F$14,$M299,BG$13))))</f>
        <v>1000000000000</v>
      </c>
      <c r="BH299" s="215">
        <f ca="1">IF($D299&lt;&gt;"Serviço",0,IF(AND(AUTOEVENTO="Manual",$M299=1),0,IF(OFFSET(CRONOPLE!$F$14,$M299,BH$13)="",10^12,OFFSET(CRONOPLE!$F$14,$M299,BH$13))))</f>
        <v>1000000000000</v>
      </c>
      <c r="BI299" s="215">
        <f ca="1">IF($D299&lt;&gt;"Serviço",0,IF(AND(AUTOEVENTO="Manual",$M299=1),0,IF(OFFSET(CRONOPLE!$F$14,$M299,BI$13)="",10^12,OFFSET(CRONOPLE!$F$14,$M299,BI$13))))</f>
        <v>1000000000000</v>
      </c>
      <c r="BJ299" s="215">
        <f ca="1">IF($D299&lt;&gt;"Serviço",0,IF(AND(AUTOEVENTO="Manual",$M299=1),0,IF(OFFSET(CRONOPLE!$F$14,$M299,BJ$13)="",10^12,OFFSET(CRONOPLE!$F$14,$M299,BJ$13))))</f>
        <v>1000000000000</v>
      </c>
      <c r="BK299" s="215">
        <f ca="1">IF($D299&lt;&gt;"Serviço",0,IF(AND(AUTOEVENTO="Manual",$M299=1),0,IF(OFFSET(CRONOPLE!$F$14,$M299,BK$13)="",10^12,OFFSET(CRONOPLE!$F$14,$M299,BK$13))))</f>
        <v>1000000000000</v>
      </c>
      <c r="BL299" s="215">
        <f ca="1">IF($D299&lt;&gt;"Serviço",0,IF(AND(AUTOEVENTO="Manual",$M299=1),0,IF(OFFSET(CRONOPLE!$F$14,$M299,BL$13)="",10^12,OFFSET(CRONOPLE!$F$14,$M299,BL$13))))</f>
        <v>1000000000000</v>
      </c>
      <c r="BM299" s="215">
        <f ca="1">IF($D299&lt;&gt;"Serviço",0,IF(AND(AUTOEVENTO="Manual",$M299=1),0,IF(OFFSET(CRONOPLE!$F$14,$M299,BM$13)="",10^12,OFFSET(CRONOPLE!$F$14,$M299,BM$13))))</f>
        <v>1000000000000</v>
      </c>
      <c r="BN299" s="215">
        <f ca="1">IF($D299&lt;&gt;"Serviço",0,IF(AND(AUTOEVENTO="Manual",$M299=1),0,IF(OFFSET(CRONOPLE!$F$14,$M299,BN$13)="",10^12,OFFSET(CRONOPLE!$F$14,$M299,BN$13))))</f>
        <v>1000000000000</v>
      </c>
      <c r="BO299" s="215">
        <f ca="1">IF($D299&lt;&gt;"Serviço",0,IF(AND(AUTOEVENTO="Manual",$M299=1),0,IF(OFFSET(CRONOPLE!$F$14,$M299,BO$13)="",10^12,OFFSET(CRONOPLE!$F$14,$M299,BO$13))))</f>
        <v>1000000000000</v>
      </c>
      <c r="BP299" s="215">
        <f ca="1">IF($D299&lt;&gt;"Serviço",0,IF(AND(AUTOEVENTO="Manual",$M299=1),0,IF(OFFSET(CRONOPLE!$F$14,$M299,BP$13)="",10^12,OFFSET(CRONOPLE!$F$14,$M299,BP$13))))</f>
        <v>1000000000000</v>
      </c>
      <c r="BQ299" s="215">
        <f ca="1">IF($D299&lt;&gt;"Serviço",0,IF(AND(AUTOEVENTO="Manual",$M299=1),0,IF(OFFSET(CRONOPLE!$F$14,$M299,BQ$13)="",10^12,OFFSET(CRONOPLE!$F$14,$M299,BQ$13))))</f>
        <v>1000000000000</v>
      </c>
      <c r="BR299" s="215">
        <f ca="1">IF($D299&lt;&gt;"Serviço",0,IF(AND(AUTOEVENTO="Manual",$M299=1),0,IF(OFFSET(CRONOPLE!$F$14,$M299,BR$13)="",10^12,OFFSET(CRONOPLE!$F$14,$M299,BR$13))))</f>
        <v>1000000000000</v>
      </c>
      <c r="BS299" s="215">
        <f ca="1">IF($D299&lt;&gt;"Serviço",0,IF(AND(AUTOEVENTO="Manual",$M299=1),0,IF(OFFSET(CRONOPLE!$F$14,$M299,BS$13)="",10^12,OFFSET(CRONOPLE!$F$14,$M299,BS$13))))</f>
        <v>1000000000000</v>
      </c>
      <c r="BT299" s="215">
        <f ca="1">IF($D299&lt;&gt;"Serviço",0,IF(AND(AUTOEVENTO="Manual",$M299=1),0,IF(OFFSET(CRONOPLE!$F$14,$M299,BT$13)="",10^12,OFFSET(CRONOPLE!$F$14,$M299,BT$13))))</f>
        <v>1000000000000</v>
      </c>
      <c r="BV299" s="216">
        <f ca="1">IF($D299&lt;&gt;"Serviço",0,IF(OR(AND(AUTOEVENTO="Manual",$M299=1),$M299&gt;(ROW(PLE.lastrow)-ROW(PLE.firstrow))),0,IF(OFFSET(PLE!$G$14,$M299,BV$13)="",10^12,OFFSET(PLE!$G$14,$M299,BV$13))))</f>
        <v>1000000000000</v>
      </c>
      <c r="BW299" s="216">
        <f ca="1">IF($D299&lt;&gt;"Serviço",0,IF(OR(AND(AUTOEVENTO="Manual",$M299=1),$M299&gt;(ROW(PLE.lastrow)-ROW(PLE.firstrow))),0,IF(OFFSET(PLE!$G$14,$M299,BW$13)="",10^12,OFFSET(PLE!$G$14,$M299,BW$13))))</f>
        <v>1000000000000</v>
      </c>
      <c r="BX299" s="216">
        <f ca="1">IF($D299&lt;&gt;"Serviço",0,IF(OR(AND(AUTOEVENTO="Manual",$M299=1),$M299&gt;(ROW(PLE.lastrow)-ROW(PLE.firstrow))),0,IF(OFFSET(PLE!$G$14,$M299,BX$13)="",10^12,OFFSET(PLE!$G$14,$M299,BX$13))))</f>
        <v>1000000000000</v>
      </c>
      <c r="BY299" s="216">
        <f ca="1">IF($D299&lt;&gt;"Serviço",0,IF(OR(AND(AUTOEVENTO="Manual",$M299=1),$M299&gt;(ROW(PLE.lastrow)-ROW(PLE.firstrow))),0,IF(OFFSET(PLE!$G$14,$M299,BY$13)="",10^12,OFFSET(PLE!$G$14,$M299,BY$13))))</f>
        <v>1000000000000</v>
      </c>
      <c r="BZ299" s="216">
        <f ca="1">IF($D299&lt;&gt;"Serviço",0,IF(OR(AND(AUTOEVENTO="Manual",$M299=1),$M299&gt;(ROW(PLE.lastrow)-ROW(PLE.firstrow))),0,IF(OFFSET(PLE!$G$14,$M299,BZ$13)="",10^12,OFFSET(PLE!$G$14,$M299,BZ$13))))</f>
        <v>1000000000000</v>
      </c>
      <c r="CA299" s="216">
        <f ca="1">IF($D299&lt;&gt;"Serviço",0,IF(OR(AND(AUTOEVENTO="Manual",$M299=1),$M299&gt;(ROW(PLE.lastrow)-ROW(PLE.firstrow))),0,IF(OFFSET(PLE!$G$14,$M299,CA$13)="",10^12,OFFSET(PLE!$G$14,$M299,CA$13))))</f>
        <v>1000000000000</v>
      </c>
      <c r="CB299" s="216">
        <f ca="1">IF($D299&lt;&gt;"Serviço",0,IF(OR(AND(AUTOEVENTO="Manual",$M299=1),$M299&gt;(ROW(PLE.lastrow)-ROW(PLE.firstrow))),0,IF(OFFSET(PLE!$G$14,$M299,CB$13)="",10^12,OFFSET(PLE!$G$14,$M299,CB$13))))</f>
        <v>1000000000000</v>
      </c>
      <c r="CC299" s="216">
        <f ca="1">IF($D299&lt;&gt;"Serviço",0,IF(OR(AND(AUTOEVENTO="Manual",$M299=1),$M299&gt;(ROW(PLE.lastrow)-ROW(PLE.firstrow))),0,IF(OFFSET(PLE!$G$14,$M299,CC$13)="",10^12,OFFSET(PLE!$G$14,$M299,CC$13))))</f>
        <v>1000000000000</v>
      </c>
      <c r="CD299" s="216">
        <f ca="1">IF($D299&lt;&gt;"Serviço",0,IF(OR(AND(AUTOEVENTO="Manual",$M299=1),$M299&gt;(ROW(PLE.lastrow)-ROW(PLE.firstrow))),0,IF(OFFSET(PLE!$G$14,$M299,CD$13)="",10^12,OFFSET(PLE!$G$14,$M299,CD$13))))</f>
        <v>1000000000000</v>
      </c>
      <c r="CE299" s="216">
        <f ca="1">IF($D299&lt;&gt;"Serviço",0,IF(OR(AND(AUTOEVENTO="Manual",$M299=1),$M299&gt;(ROW(PLE.lastrow)-ROW(PLE.firstrow))),0,IF(OFFSET(PLE!$G$14,$M299,CE$13)="",10^12,OFFSET(PLE!$G$14,$M299,CE$13))))</f>
        <v>1000000000000</v>
      </c>
      <c r="CF299" s="216">
        <f ca="1">IF($D299&lt;&gt;"Serviço",0,IF(OR(AND(AUTOEVENTO="Manual",$M299=1),$M299&gt;(ROW(PLE.lastrow)-ROW(PLE.firstrow))),0,IF(OFFSET(PLE!$G$14,$M299,CF$13)="",10^12,OFFSET(PLE!$G$14,$M299,CF$13))))</f>
        <v>1000000000000</v>
      </c>
      <c r="CG299" s="216">
        <f ca="1">IF($D299&lt;&gt;"Serviço",0,IF(OR(AND(AUTOEVENTO="Manual",$M299=1),$M299&gt;(ROW(PLE.lastrow)-ROW(PLE.firstrow))),0,IF(OFFSET(PLE!$G$14,$M299,CG$13)="",10^12,OFFSET(PLE!$G$14,$M299,CG$13))))</f>
        <v>1000000000000</v>
      </c>
      <c r="CH299" s="216">
        <f ca="1">IF($D299&lt;&gt;"Serviço",0,IF(OR(AND(AUTOEVENTO="Manual",$M299=1),$M299&gt;(ROW(PLE.lastrow)-ROW(PLE.firstrow))),0,IF(OFFSET(PLE!$G$14,$M299,CH$13)="",10^12,OFFSET(PLE!$G$14,$M299,CH$13))))</f>
        <v>1000000000000</v>
      </c>
      <c r="CI299" s="216">
        <f ca="1">IF($D299&lt;&gt;"Serviço",0,IF(OR(AND(AUTOEVENTO="Manual",$M299=1),$M299&gt;(ROW(PLE.lastrow)-ROW(PLE.firstrow))),0,IF(OFFSET(PLE!$G$14,$M299,CI$13)="",10^12,OFFSET(PLE!$G$14,$M299,CI$13))))</f>
        <v>1000000000000</v>
      </c>
      <c r="CJ299" s="216">
        <f ca="1">IF($D299&lt;&gt;"Serviço",0,IF(OR(AND(AUTOEVENTO="Manual",$M299=1),$M299&gt;(ROW(PLE.lastrow)-ROW(PLE.firstrow))),0,IF(OFFSET(PLE!$G$14,$M299,CJ$13)="",10^12,OFFSET(PLE!$G$14,$M299,CJ$13))))</f>
        <v>1000000000000</v>
      </c>
      <c r="CK299" s="216">
        <f ca="1">IF($D299&lt;&gt;"Serviço",0,IF(OR(AND(AUTOEVENTO="Manual",$M299=1),$M299&gt;(ROW(PLE.lastrow)-ROW(PLE.firstrow))),0,IF(OFFSET(PLE!$G$14,$M299,CK$13)="",10^12,OFFSET(PLE!$G$14,$M299,CK$13))))</f>
        <v>1000000000000</v>
      </c>
      <c r="CL299" s="216">
        <f ca="1">IF($D299&lt;&gt;"Serviço",0,IF(OR(AND(AUTOEVENTO="Manual",$M299=1),$M299&gt;(ROW(PLE.lastrow)-ROW(PLE.firstrow))),0,IF(OFFSET(PLE!$G$14,$M299,CL$13)="",10^12,OFFSET(PLE!$G$14,$M299,CL$13))))</f>
        <v>1000000000000</v>
      </c>
      <c r="CM299" s="216">
        <f ca="1">IF($D299&lt;&gt;"Serviço",0,IF(OR(AND(AUTOEVENTO="Manual",$M299=1),$M299&gt;(ROW(PLE.lastrow)-ROW(PLE.firstrow))),0,IF(OFFSET(PLE!$G$14,$M299,CM$13)="",10^12,OFFSET(PLE!$G$14,$M299,CM$13))))</f>
        <v>1000000000000</v>
      </c>
    </row>
    <row r="300" spans="1:91" ht="13.2" x14ac:dyDescent="0.25">
      <c r="A300" s="9">
        <f t="shared" ca="1" si="13"/>
        <v>0</v>
      </c>
      <c r="B300" s="9" t="str">
        <f ca="1">OFFSET(ORÇAMENTO!C$15,ROW(B300)-ROW(B$15),0)</f>
        <v>S</v>
      </c>
      <c r="C300" s="9" t="str">
        <f ca="1">OFFSET(ORÇAMENTO!L$15,ROW(C300)-ROW(C$15),0)</f>
        <v/>
      </c>
      <c r="D300" s="145" t="str">
        <f ca="1">OFFSET(ORÇAMENTO!N$15,ROW(D300)-ROW(D$15),0)</f>
        <v>Serviço</v>
      </c>
      <c r="E300" s="205" t="str">
        <f ca="1">OFFSET(ORÇAMENTO!O$15,ROW(E300)-ROW(E$15),0)</f>
        <v>-</v>
      </c>
      <c r="F300" s="206" t="str">
        <f ca="1">OFFSET(ORÇAMENTO!R$15,ROW(F300)-ROW(F$15),0)</f>
        <v>(abra o arquivo 'Referência 05-2024.xls)</v>
      </c>
      <c r="G300" s="207" t="str">
        <f ca="1">IF($D300&lt;&gt;"Serviço","",OFFSET(ORÇAMENTO!S$15,ROW(G300)-ROW(G$15),0))</f>
        <v>-</v>
      </c>
      <c r="H300" s="151">
        <f ca="1">IF($D300&lt;&gt;"Serviço",0,IF(ACOMPANHAMENTO="BM",ROUND(OFFSET(ORÇAMENTO!AJ$15,ROW(H300)-ROW(H$15),0),15-13*ORÇAMENTO!$AF$7),SUMPRODUCT(($Q$12:$AI$12&lt;&gt;"")*ROUND($Q300:$AI300,15-13*ORÇAMENTO!$AF$7))))</f>
        <v>97.27</v>
      </c>
      <c r="I300" s="650"/>
      <c r="K300" s="208"/>
      <c r="L300" s="209" t="s">
        <v>257</v>
      </c>
      <c r="M300" s="210">
        <f ca="1">IF($D300&lt;&gt;"Serviço","",IF(AUTOEVENTO="manual",$A300,IF(ISERROR(MATCH($A300,$A$15:OFFSET($A300,-1,0),0)),MAX($M$15:OFFSET(M300,-1,0))+1,INDEX($M$15:OFFSET(M300,-1,0),MATCH($A300,$A$15:OFFSET($A300,-1,0),0)))))</f>
        <v>0</v>
      </c>
      <c r="N300" s="211" t="str">
        <f ca="1">IF($D300&lt;&gt;"Serviço","",IF(AUTOEVENTO="Manual",IF($A300=0,"&lt;-- defina o número do agrupador",OFFSET(EVENTOS!$D$14,$A300,0)),OFFSET($F$15,$A300,0)))</f>
        <v>&lt;-- defina o número do agrupador</v>
      </c>
      <c r="O300" s="212"/>
      <c r="Q300" s="212"/>
      <c r="R300" s="213"/>
      <c r="S300" s="213"/>
      <c r="T300" s="213"/>
      <c r="U300" s="213"/>
      <c r="V300" s="213"/>
      <c r="W300" s="213"/>
      <c r="X300" s="213"/>
      <c r="Y300" s="213"/>
      <c r="Z300" s="214"/>
      <c r="AA300" s="213"/>
      <c r="AB300" s="213"/>
      <c r="AC300" s="213"/>
      <c r="AD300" s="213"/>
      <c r="AE300" s="213"/>
      <c r="AF300" s="213"/>
      <c r="AG300" s="213"/>
      <c r="AH300" s="214"/>
      <c r="AJ300" s="631">
        <f ca="1">IF(AND($D300="Serviço",AJ$12&lt;&gt;0,$H300&gt;0,OR(AUTOEVENTO&lt;&gt;"manual",$M300&lt;&gt;1)),ROUND(OFFSET($P300,0,AJ$13),15-13*ORÇAMENTO!$AF$7)/$H300*OFFSET(ORÇAMENTO!$X$15,ROW(AJ300)-ROW(AJ$15),0),0)</f>
        <v>0</v>
      </c>
      <c r="AK300" s="632">
        <f ca="1">IF(AND($D300="Serviço",AK$12&lt;&gt;0,$H300&gt;0,OR(AUTOEVENTO&lt;&gt;"manual",$M300&lt;&gt;1)),ROUND(OFFSET($P300,0,AK$13),15-13*ORÇAMENTO!$AF$7)/$H300*OFFSET(ORÇAMENTO!$X$15,ROW(AK300)-ROW(AK$15),0),0)</f>
        <v>0</v>
      </c>
      <c r="AL300" s="632">
        <f ca="1">IF(AND($D300="Serviço",AL$12&lt;&gt;0,$H300&gt;0,OR(AUTOEVENTO&lt;&gt;"manual",$M300&lt;&gt;1)),ROUND(OFFSET($P300,0,AL$13),15-13*ORÇAMENTO!$AF$7)/$H300*OFFSET(ORÇAMENTO!$X$15,ROW(AL300)-ROW(AL$15),0),0)</f>
        <v>0</v>
      </c>
      <c r="AM300" s="632">
        <f ca="1">IF(AND($D300="Serviço",AM$12&lt;&gt;0,$H300&gt;0,OR(AUTOEVENTO&lt;&gt;"manual",$M300&lt;&gt;1)),ROUND(OFFSET($P300,0,AM$13),15-13*ORÇAMENTO!$AF$7)/$H300*OFFSET(ORÇAMENTO!$X$15,ROW(AM300)-ROW(AM$15),0),0)</f>
        <v>0</v>
      </c>
      <c r="AN300" s="632">
        <f ca="1">IF(AND($D300="Serviço",AN$12&lt;&gt;0,$H300&gt;0,OR(AUTOEVENTO&lt;&gt;"manual",$M300&lt;&gt;1)),ROUND(OFFSET($P300,0,AN$13),15-13*ORÇAMENTO!$AF$7)/$H300*OFFSET(ORÇAMENTO!$X$15,ROW(AN300)-ROW(AN$15),0),0)</f>
        <v>0</v>
      </c>
      <c r="AO300" s="632">
        <f ca="1">IF(AND($D300="Serviço",AO$12&lt;&gt;0,$H300&gt;0,OR(AUTOEVENTO&lt;&gt;"manual",$M300&lt;&gt;1)),ROUND(OFFSET($P300,0,AO$13),15-13*ORÇAMENTO!$AF$7)/$H300*OFFSET(ORÇAMENTO!$X$15,ROW(AO300)-ROW(AO$15),0),0)</f>
        <v>0</v>
      </c>
      <c r="AP300" s="632">
        <f ca="1">IF(AND($D300="Serviço",AP$12&lt;&gt;0,$H300&gt;0,OR(AUTOEVENTO&lt;&gt;"manual",$M300&lt;&gt;1)),ROUND(OFFSET($P300,0,AP$13),15-13*ORÇAMENTO!$AF$7)/$H300*OFFSET(ORÇAMENTO!$X$15,ROW(AP300)-ROW(AP$15),0),0)</f>
        <v>0</v>
      </c>
      <c r="AQ300" s="632">
        <f ca="1">IF(AND($D300="Serviço",AQ$12&lt;&gt;0,$H300&gt;0,OR(AUTOEVENTO&lt;&gt;"manual",$M300&lt;&gt;1)),ROUND(OFFSET($P300,0,AQ$13),15-13*ORÇAMENTO!$AF$7)/$H300*OFFSET(ORÇAMENTO!$X$15,ROW(AQ300)-ROW(AQ$15),0),0)</f>
        <v>0</v>
      </c>
      <c r="AR300" s="632">
        <f ca="1">IF(AND($D300="Serviço",AR$12&lt;&gt;0,$H300&gt;0,OR(AUTOEVENTO&lt;&gt;"manual",$M300&lt;&gt;1)),ROUND(OFFSET($P300,0,AR$13),15-13*ORÇAMENTO!$AF$7)/$H300*OFFSET(ORÇAMENTO!$X$15,ROW(AR300)-ROW(AR$15),0),0)</f>
        <v>0</v>
      </c>
      <c r="AS300" s="633">
        <f ca="1">IF(AND($D300="Serviço",AS$12&lt;&gt;0,$H300&gt;0,OR(AUTOEVENTO&lt;&gt;"manual",$M300&lt;&gt;1)),ROUND(OFFSET($P300,0,AS$13),15-13*ORÇAMENTO!$AF$7)/$H300*OFFSET(ORÇAMENTO!$X$15,ROW(AS300)-ROW(AS$15),0),0)</f>
        <v>0</v>
      </c>
      <c r="AT300" s="632">
        <f ca="1">IF(AND($D300="Serviço",AT$12&lt;&gt;0,$H300&gt;0,OR(AUTOEVENTO&lt;&gt;"manual",$M300&lt;&gt;1)),ROUND(OFFSET($P300,0,AT$13),15-13*ORÇAMENTO!$AF$7)/$H300*OFFSET(ORÇAMENTO!$X$15,ROW(AT300)-ROW(AT$15),0),0)</f>
        <v>0</v>
      </c>
      <c r="AU300" s="632">
        <f ca="1">IF(AND($D300="Serviço",AU$12&lt;&gt;0,$H300&gt;0,OR(AUTOEVENTO&lt;&gt;"manual",$M300&lt;&gt;1)),ROUND(OFFSET($P300,0,AU$13),15-13*ORÇAMENTO!$AF$7)/$H300*OFFSET(ORÇAMENTO!$X$15,ROW(AU300)-ROW(AU$15),0),0)</f>
        <v>0</v>
      </c>
      <c r="AV300" s="632">
        <f ca="1">IF(AND($D300="Serviço",AV$12&lt;&gt;0,$H300&gt;0,OR(AUTOEVENTO&lt;&gt;"manual",$M300&lt;&gt;1)),ROUND(OFFSET($P300,0,AV$13),15-13*ORÇAMENTO!$AF$7)/$H300*OFFSET(ORÇAMENTO!$X$15,ROW(AV300)-ROW(AV$15),0),0)</f>
        <v>0</v>
      </c>
      <c r="AW300" s="632">
        <f ca="1">IF(AND($D300="Serviço",AW$12&lt;&gt;0,$H300&gt;0,OR(AUTOEVENTO&lt;&gt;"manual",$M300&lt;&gt;1)),ROUND(OFFSET($P300,0,AW$13),15-13*ORÇAMENTO!$AF$7)/$H300*OFFSET(ORÇAMENTO!$X$15,ROW(AW300)-ROW(AW$15),0),0)</f>
        <v>0</v>
      </c>
      <c r="AX300" s="632">
        <f ca="1">IF(AND($D300="Serviço",AX$12&lt;&gt;0,$H300&gt;0,OR(AUTOEVENTO&lt;&gt;"manual",$M300&lt;&gt;1)),ROUND(OFFSET($P300,0,AX$13),15-13*ORÇAMENTO!$AF$7)/$H300*OFFSET(ORÇAMENTO!$X$15,ROW(AX300)-ROW(AX$15),0),0)</f>
        <v>0</v>
      </c>
      <c r="AY300" s="632">
        <f ca="1">IF(AND($D300="Serviço",AY$12&lt;&gt;0,$H300&gt;0,OR(AUTOEVENTO&lt;&gt;"manual",$M300&lt;&gt;1)),ROUND(OFFSET($P300,0,AY$13),15-13*ORÇAMENTO!$AF$7)/$H300*OFFSET(ORÇAMENTO!$X$15,ROW(AY300)-ROW(AY$15),0),0)</f>
        <v>0</v>
      </c>
      <c r="AZ300" s="632">
        <f ca="1">IF(AND($D300="Serviço",AZ$12&lt;&gt;0,$H300&gt;0,OR(AUTOEVENTO&lt;&gt;"manual",$M300&lt;&gt;1)),ROUND(OFFSET($P300,0,AZ$13),15-13*ORÇAMENTO!$AF$7)/$H300*OFFSET(ORÇAMENTO!$X$15,ROW(AZ300)-ROW(AZ$15),0),0)</f>
        <v>0</v>
      </c>
      <c r="BA300" s="633">
        <f ca="1">IF(AND($D300="Serviço",BA$12&lt;&gt;0,$H300&gt;0,OR(AUTOEVENTO&lt;&gt;"manual",$M300&lt;&gt;1)),ROUND(OFFSET($P300,0,BA$13),15-13*ORÇAMENTO!$AF$7)/$H300*OFFSET(ORÇAMENTO!$X$15,ROW(BA300)-ROW(BA$15),0),0)</f>
        <v>0</v>
      </c>
      <c r="BC300" s="215">
        <f ca="1">IF($D300&lt;&gt;"Serviço",0,IF(AND(AUTOEVENTO="Manual",$M300=1),0,IF(OFFSET(CRONOPLE!$F$14,$M300,BC$13)="",10^12,OFFSET(CRONOPLE!$F$14,$M300,BC$13))))</f>
        <v>1000000000000</v>
      </c>
      <c r="BD300" s="215">
        <f ca="1">IF($D300&lt;&gt;"Serviço",0,IF(AND(AUTOEVENTO="Manual",$M300=1),0,IF(OFFSET(CRONOPLE!$F$14,$M300,BD$13)="",10^12,OFFSET(CRONOPLE!$F$14,$M300,BD$13))))</f>
        <v>1000000000000</v>
      </c>
      <c r="BE300" s="215">
        <f ca="1">IF($D300&lt;&gt;"Serviço",0,IF(AND(AUTOEVENTO="Manual",$M300=1),0,IF(OFFSET(CRONOPLE!$F$14,$M300,BE$13)="",10^12,OFFSET(CRONOPLE!$F$14,$M300,BE$13))))</f>
        <v>1000000000000</v>
      </c>
      <c r="BF300" s="215">
        <f ca="1">IF($D300&lt;&gt;"Serviço",0,IF(AND(AUTOEVENTO="Manual",$M300=1),0,IF(OFFSET(CRONOPLE!$F$14,$M300,BF$13)="",10^12,OFFSET(CRONOPLE!$F$14,$M300,BF$13))))</f>
        <v>1000000000000</v>
      </c>
      <c r="BG300" s="215">
        <f ca="1">IF($D300&lt;&gt;"Serviço",0,IF(AND(AUTOEVENTO="Manual",$M300=1),0,IF(OFFSET(CRONOPLE!$F$14,$M300,BG$13)="",10^12,OFFSET(CRONOPLE!$F$14,$M300,BG$13))))</f>
        <v>1000000000000</v>
      </c>
      <c r="BH300" s="215">
        <f ca="1">IF($D300&lt;&gt;"Serviço",0,IF(AND(AUTOEVENTO="Manual",$M300=1),0,IF(OFFSET(CRONOPLE!$F$14,$M300,BH$13)="",10^12,OFFSET(CRONOPLE!$F$14,$M300,BH$13))))</f>
        <v>1000000000000</v>
      </c>
      <c r="BI300" s="215">
        <f ca="1">IF($D300&lt;&gt;"Serviço",0,IF(AND(AUTOEVENTO="Manual",$M300=1),0,IF(OFFSET(CRONOPLE!$F$14,$M300,BI$13)="",10^12,OFFSET(CRONOPLE!$F$14,$M300,BI$13))))</f>
        <v>1000000000000</v>
      </c>
      <c r="BJ300" s="215">
        <f ca="1">IF($D300&lt;&gt;"Serviço",0,IF(AND(AUTOEVENTO="Manual",$M300=1),0,IF(OFFSET(CRONOPLE!$F$14,$M300,BJ$13)="",10^12,OFFSET(CRONOPLE!$F$14,$M300,BJ$13))))</f>
        <v>1000000000000</v>
      </c>
      <c r="BK300" s="215">
        <f ca="1">IF($D300&lt;&gt;"Serviço",0,IF(AND(AUTOEVENTO="Manual",$M300=1),0,IF(OFFSET(CRONOPLE!$F$14,$M300,BK$13)="",10^12,OFFSET(CRONOPLE!$F$14,$M300,BK$13))))</f>
        <v>1000000000000</v>
      </c>
      <c r="BL300" s="215">
        <f ca="1">IF($D300&lt;&gt;"Serviço",0,IF(AND(AUTOEVENTO="Manual",$M300=1),0,IF(OFFSET(CRONOPLE!$F$14,$M300,BL$13)="",10^12,OFFSET(CRONOPLE!$F$14,$M300,BL$13))))</f>
        <v>1000000000000</v>
      </c>
      <c r="BM300" s="215">
        <f ca="1">IF($D300&lt;&gt;"Serviço",0,IF(AND(AUTOEVENTO="Manual",$M300=1),0,IF(OFFSET(CRONOPLE!$F$14,$M300,BM$13)="",10^12,OFFSET(CRONOPLE!$F$14,$M300,BM$13))))</f>
        <v>1000000000000</v>
      </c>
      <c r="BN300" s="215">
        <f ca="1">IF($D300&lt;&gt;"Serviço",0,IF(AND(AUTOEVENTO="Manual",$M300=1),0,IF(OFFSET(CRONOPLE!$F$14,$M300,BN$13)="",10^12,OFFSET(CRONOPLE!$F$14,$M300,BN$13))))</f>
        <v>1000000000000</v>
      </c>
      <c r="BO300" s="215">
        <f ca="1">IF($D300&lt;&gt;"Serviço",0,IF(AND(AUTOEVENTO="Manual",$M300=1),0,IF(OFFSET(CRONOPLE!$F$14,$M300,BO$13)="",10^12,OFFSET(CRONOPLE!$F$14,$M300,BO$13))))</f>
        <v>1000000000000</v>
      </c>
      <c r="BP300" s="215">
        <f ca="1">IF($D300&lt;&gt;"Serviço",0,IF(AND(AUTOEVENTO="Manual",$M300=1),0,IF(OFFSET(CRONOPLE!$F$14,$M300,BP$13)="",10^12,OFFSET(CRONOPLE!$F$14,$M300,BP$13))))</f>
        <v>1000000000000</v>
      </c>
      <c r="BQ300" s="215">
        <f ca="1">IF($D300&lt;&gt;"Serviço",0,IF(AND(AUTOEVENTO="Manual",$M300=1),0,IF(OFFSET(CRONOPLE!$F$14,$M300,BQ$13)="",10^12,OFFSET(CRONOPLE!$F$14,$M300,BQ$13))))</f>
        <v>1000000000000</v>
      </c>
      <c r="BR300" s="215">
        <f ca="1">IF($D300&lt;&gt;"Serviço",0,IF(AND(AUTOEVENTO="Manual",$M300=1),0,IF(OFFSET(CRONOPLE!$F$14,$M300,BR$13)="",10^12,OFFSET(CRONOPLE!$F$14,$M300,BR$13))))</f>
        <v>1000000000000</v>
      </c>
      <c r="BS300" s="215">
        <f ca="1">IF($D300&lt;&gt;"Serviço",0,IF(AND(AUTOEVENTO="Manual",$M300=1),0,IF(OFFSET(CRONOPLE!$F$14,$M300,BS$13)="",10^12,OFFSET(CRONOPLE!$F$14,$M300,BS$13))))</f>
        <v>1000000000000</v>
      </c>
      <c r="BT300" s="215">
        <f ca="1">IF($D300&lt;&gt;"Serviço",0,IF(AND(AUTOEVENTO="Manual",$M300=1),0,IF(OFFSET(CRONOPLE!$F$14,$M300,BT$13)="",10^12,OFFSET(CRONOPLE!$F$14,$M300,BT$13))))</f>
        <v>1000000000000</v>
      </c>
      <c r="BV300" s="216">
        <f ca="1">IF($D300&lt;&gt;"Serviço",0,IF(OR(AND(AUTOEVENTO="Manual",$M300=1),$M300&gt;(ROW(PLE.lastrow)-ROW(PLE.firstrow))),0,IF(OFFSET(PLE!$G$14,$M300,BV$13)="",10^12,OFFSET(PLE!$G$14,$M300,BV$13))))</f>
        <v>1000000000000</v>
      </c>
      <c r="BW300" s="216">
        <f ca="1">IF($D300&lt;&gt;"Serviço",0,IF(OR(AND(AUTOEVENTO="Manual",$M300=1),$M300&gt;(ROW(PLE.lastrow)-ROW(PLE.firstrow))),0,IF(OFFSET(PLE!$G$14,$M300,BW$13)="",10^12,OFFSET(PLE!$G$14,$M300,BW$13))))</f>
        <v>1000000000000</v>
      </c>
      <c r="BX300" s="216">
        <f ca="1">IF($D300&lt;&gt;"Serviço",0,IF(OR(AND(AUTOEVENTO="Manual",$M300=1),$M300&gt;(ROW(PLE.lastrow)-ROW(PLE.firstrow))),0,IF(OFFSET(PLE!$G$14,$M300,BX$13)="",10^12,OFFSET(PLE!$G$14,$M300,BX$13))))</f>
        <v>1000000000000</v>
      </c>
      <c r="BY300" s="216">
        <f ca="1">IF($D300&lt;&gt;"Serviço",0,IF(OR(AND(AUTOEVENTO="Manual",$M300=1),$M300&gt;(ROW(PLE.lastrow)-ROW(PLE.firstrow))),0,IF(OFFSET(PLE!$G$14,$M300,BY$13)="",10^12,OFFSET(PLE!$G$14,$M300,BY$13))))</f>
        <v>1000000000000</v>
      </c>
      <c r="BZ300" s="216">
        <f ca="1">IF($D300&lt;&gt;"Serviço",0,IF(OR(AND(AUTOEVENTO="Manual",$M300=1),$M300&gt;(ROW(PLE.lastrow)-ROW(PLE.firstrow))),0,IF(OFFSET(PLE!$G$14,$M300,BZ$13)="",10^12,OFFSET(PLE!$G$14,$M300,BZ$13))))</f>
        <v>1000000000000</v>
      </c>
      <c r="CA300" s="216">
        <f ca="1">IF($D300&lt;&gt;"Serviço",0,IF(OR(AND(AUTOEVENTO="Manual",$M300=1),$M300&gt;(ROW(PLE.lastrow)-ROW(PLE.firstrow))),0,IF(OFFSET(PLE!$G$14,$M300,CA$13)="",10^12,OFFSET(PLE!$G$14,$M300,CA$13))))</f>
        <v>1000000000000</v>
      </c>
      <c r="CB300" s="216">
        <f ca="1">IF($D300&lt;&gt;"Serviço",0,IF(OR(AND(AUTOEVENTO="Manual",$M300=1),$M300&gt;(ROW(PLE.lastrow)-ROW(PLE.firstrow))),0,IF(OFFSET(PLE!$G$14,$M300,CB$13)="",10^12,OFFSET(PLE!$G$14,$M300,CB$13))))</f>
        <v>1000000000000</v>
      </c>
      <c r="CC300" s="216">
        <f ca="1">IF($D300&lt;&gt;"Serviço",0,IF(OR(AND(AUTOEVENTO="Manual",$M300=1),$M300&gt;(ROW(PLE.lastrow)-ROW(PLE.firstrow))),0,IF(OFFSET(PLE!$G$14,$M300,CC$13)="",10^12,OFFSET(PLE!$G$14,$M300,CC$13))))</f>
        <v>1000000000000</v>
      </c>
      <c r="CD300" s="216">
        <f ca="1">IF($D300&lt;&gt;"Serviço",0,IF(OR(AND(AUTOEVENTO="Manual",$M300=1),$M300&gt;(ROW(PLE.lastrow)-ROW(PLE.firstrow))),0,IF(OFFSET(PLE!$G$14,$M300,CD$13)="",10^12,OFFSET(PLE!$G$14,$M300,CD$13))))</f>
        <v>1000000000000</v>
      </c>
      <c r="CE300" s="216">
        <f ca="1">IF($D300&lt;&gt;"Serviço",0,IF(OR(AND(AUTOEVENTO="Manual",$M300=1),$M300&gt;(ROW(PLE.lastrow)-ROW(PLE.firstrow))),0,IF(OFFSET(PLE!$G$14,$M300,CE$13)="",10^12,OFFSET(PLE!$G$14,$M300,CE$13))))</f>
        <v>1000000000000</v>
      </c>
      <c r="CF300" s="216">
        <f ca="1">IF($D300&lt;&gt;"Serviço",0,IF(OR(AND(AUTOEVENTO="Manual",$M300=1),$M300&gt;(ROW(PLE.lastrow)-ROW(PLE.firstrow))),0,IF(OFFSET(PLE!$G$14,$M300,CF$13)="",10^12,OFFSET(PLE!$G$14,$M300,CF$13))))</f>
        <v>1000000000000</v>
      </c>
      <c r="CG300" s="216">
        <f ca="1">IF($D300&lt;&gt;"Serviço",0,IF(OR(AND(AUTOEVENTO="Manual",$M300=1),$M300&gt;(ROW(PLE.lastrow)-ROW(PLE.firstrow))),0,IF(OFFSET(PLE!$G$14,$M300,CG$13)="",10^12,OFFSET(PLE!$G$14,$M300,CG$13))))</f>
        <v>1000000000000</v>
      </c>
      <c r="CH300" s="216">
        <f ca="1">IF($D300&lt;&gt;"Serviço",0,IF(OR(AND(AUTOEVENTO="Manual",$M300=1),$M300&gt;(ROW(PLE.lastrow)-ROW(PLE.firstrow))),0,IF(OFFSET(PLE!$G$14,$M300,CH$13)="",10^12,OFFSET(PLE!$G$14,$M300,CH$13))))</f>
        <v>1000000000000</v>
      </c>
      <c r="CI300" s="216">
        <f ca="1">IF($D300&lt;&gt;"Serviço",0,IF(OR(AND(AUTOEVENTO="Manual",$M300=1),$M300&gt;(ROW(PLE.lastrow)-ROW(PLE.firstrow))),0,IF(OFFSET(PLE!$G$14,$M300,CI$13)="",10^12,OFFSET(PLE!$G$14,$M300,CI$13))))</f>
        <v>1000000000000</v>
      </c>
      <c r="CJ300" s="216">
        <f ca="1">IF($D300&lt;&gt;"Serviço",0,IF(OR(AND(AUTOEVENTO="Manual",$M300=1),$M300&gt;(ROW(PLE.lastrow)-ROW(PLE.firstrow))),0,IF(OFFSET(PLE!$G$14,$M300,CJ$13)="",10^12,OFFSET(PLE!$G$14,$M300,CJ$13))))</f>
        <v>1000000000000</v>
      </c>
      <c r="CK300" s="216">
        <f ca="1">IF($D300&lt;&gt;"Serviço",0,IF(OR(AND(AUTOEVENTO="Manual",$M300=1),$M300&gt;(ROW(PLE.lastrow)-ROW(PLE.firstrow))),0,IF(OFFSET(PLE!$G$14,$M300,CK$13)="",10^12,OFFSET(PLE!$G$14,$M300,CK$13))))</f>
        <v>1000000000000</v>
      </c>
      <c r="CL300" s="216">
        <f ca="1">IF($D300&lt;&gt;"Serviço",0,IF(OR(AND(AUTOEVENTO="Manual",$M300=1),$M300&gt;(ROW(PLE.lastrow)-ROW(PLE.firstrow))),0,IF(OFFSET(PLE!$G$14,$M300,CL$13)="",10^12,OFFSET(PLE!$G$14,$M300,CL$13))))</f>
        <v>1000000000000</v>
      </c>
      <c r="CM300" s="216">
        <f ca="1">IF($D300&lt;&gt;"Serviço",0,IF(OR(AND(AUTOEVENTO="Manual",$M300=1),$M300&gt;(ROW(PLE.lastrow)-ROW(PLE.firstrow))),0,IF(OFFSET(PLE!$G$14,$M300,CM$13)="",10^12,OFFSET(PLE!$G$14,$M300,CM$13))))</f>
        <v>1000000000000</v>
      </c>
    </row>
    <row r="301" spans="1:91" ht="13.2" x14ac:dyDescent="0.25">
      <c r="A301" s="9">
        <f t="shared" ca="1" si="13"/>
        <v>0</v>
      </c>
      <c r="B301" s="9">
        <f ca="1">OFFSET(ORÇAMENTO!C$15,ROW(B301)-ROW(B$15),0)</f>
        <v>2</v>
      </c>
      <c r="C301" s="9" t="str">
        <f ca="1">OFFSET(ORÇAMENTO!L$15,ROW(C301)-ROW(C$15),0)</f>
        <v>F</v>
      </c>
      <c r="D301" s="145" t="str">
        <f ca="1">OFFSET(ORÇAMENTO!N$15,ROW(D301)-ROW(D$15),0)</f>
        <v>Nível 2</v>
      </c>
      <c r="E301" s="205" t="str">
        <f ca="1">OFFSET(ORÇAMENTO!O$15,ROW(E301)-ROW(E$15),0)</f>
        <v>1.12.</v>
      </c>
      <c r="F301" s="206" t="str">
        <f ca="1">OFFSET(ORÇAMENTO!R$15,ROW(F301)-ROW(F$15),0)</f>
        <v xml:space="preserve">INSTALAÇÃO HIDRÁULICA </v>
      </c>
      <c r="G301" s="207" t="str">
        <f ca="1">IF($D301&lt;&gt;"Serviço","",OFFSET(ORÇAMENTO!S$15,ROW(G301)-ROW(G$15),0))</f>
        <v/>
      </c>
      <c r="H301" s="151">
        <f ca="1">IF($D301&lt;&gt;"Serviço",0,IF(ACOMPANHAMENTO="BM",ROUND(OFFSET(ORÇAMENTO!AJ$15,ROW(H301)-ROW(H$15),0),15-13*ORÇAMENTO!$AF$7),SUMPRODUCT(($Q$12:$AI$12&lt;&gt;"")*ROUND($Q301:$AI301,15-13*ORÇAMENTO!$AF$7))))</f>
        <v>0</v>
      </c>
      <c r="I301" s="650"/>
      <c r="K301" s="208"/>
      <c r="L301" s="209" t="s">
        <v>257</v>
      </c>
      <c r="M301" s="210" t="str">
        <f ca="1">IF($D301&lt;&gt;"Serviço","",IF(AUTOEVENTO="manual",$A301,IF(ISERROR(MATCH($A301,$A$15:OFFSET($A301,-1,0),0)),MAX($M$15:OFFSET(M301,-1,0))+1,INDEX($M$15:OFFSET(M301,-1,0),MATCH($A301,$A$15:OFFSET($A301,-1,0),0)))))</f>
        <v/>
      </c>
      <c r="N301" s="211" t="str">
        <f ca="1">IF($D301&lt;&gt;"Serviço","",IF(AUTOEVENTO="Manual",IF($A301=0,"&lt;-- defina o número do agrupador",OFFSET(EVENTOS!$D$14,$A301,0)),OFFSET($F$15,$A301,0)))</f>
        <v/>
      </c>
      <c r="O301" s="212"/>
      <c r="Q301" s="212"/>
      <c r="R301" s="213"/>
      <c r="S301" s="213"/>
      <c r="T301" s="213"/>
      <c r="U301" s="213"/>
      <c r="V301" s="213"/>
      <c r="W301" s="213"/>
      <c r="X301" s="213"/>
      <c r="Y301" s="213"/>
      <c r="Z301" s="214"/>
      <c r="AA301" s="213"/>
      <c r="AB301" s="213"/>
      <c r="AC301" s="213"/>
      <c r="AD301" s="213"/>
      <c r="AE301" s="213"/>
      <c r="AF301" s="213"/>
      <c r="AG301" s="213"/>
      <c r="AH301" s="214"/>
      <c r="AJ301" s="631">
        <f ca="1">IF(AND($D301="Serviço",AJ$12&lt;&gt;0,$H301&gt;0,OR(AUTOEVENTO&lt;&gt;"manual",$M301&lt;&gt;1)),ROUND(OFFSET($P301,0,AJ$13),15-13*ORÇAMENTO!$AF$7)/$H301*OFFSET(ORÇAMENTO!$X$15,ROW(AJ301)-ROW(AJ$15),0),0)</f>
        <v>0</v>
      </c>
      <c r="AK301" s="632">
        <f ca="1">IF(AND($D301="Serviço",AK$12&lt;&gt;0,$H301&gt;0,OR(AUTOEVENTO&lt;&gt;"manual",$M301&lt;&gt;1)),ROUND(OFFSET($P301,0,AK$13),15-13*ORÇAMENTO!$AF$7)/$H301*OFFSET(ORÇAMENTO!$X$15,ROW(AK301)-ROW(AK$15),0),0)</f>
        <v>0</v>
      </c>
      <c r="AL301" s="632">
        <f ca="1">IF(AND($D301="Serviço",AL$12&lt;&gt;0,$H301&gt;0,OR(AUTOEVENTO&lt;&gt;"manual",$M301&lt;&gt;1)),ROUND(OFFSET($P301,0,AL$13),15-13*ORÇAMENTO!$AF$7)/$H301*OFFSET(ORÇAMENTO!$X$15,ROW(AL301)-ROW(AL$15),0),0)</f>
        <v>0</v>
      </c>
      <c r="AM301" s="632">
        <f ca="1">IF(AND($D301="Serviço",AM$12&lt;&gt;0,$H301&gt;0,OR(AUTOEVENTO&lt;&gt;"manual",$M301&lt;&gt;1)),ROUND(OFFSET($P301,0,AM$13),15-13*ORÇAMENTO!$AF$7)/$H301*OFFSET(ORÇAMENTO!$X$15,ROW(AM301)-ROW(AM$15),0),0)</f>
        <v>0</v>
      </c>
      <c r="AN301" s="632">
        <f ca="1">IF(AND($D301="Serviço",AN$12&lt;&gt;0,$H301&gt;0,OR(AUTOEVENTO&lt;&gt;"manual",$M301&lt;&gt;1)),ROUND(OFFSET($P301,0,AN$13),15-13*ORÇAMENTO!$AF$7)/$H301*OFFSET(ORÇAMENTO!$X$15,ROW(AN301)-ROW(AN$15),0),0)</f>
        <v>0</v>
      </c>
      <c r="AO301" s="632">
        <f ca="1">IF(AND($D301="Serviço",AO$12&lt;&gt;0,$H301&gt;0,OR(AUTOEVENTO&lt;&gt;"manual",$M301&lt;&gt;1)),ROUND(OFFSET($P301,0,AO$13),15-13*ORÇAMENTO!$AF$7)/$H301*OFFSET(ORÇAMENTO!$X$15,ROW(AO301)-ROW(AO$15),0),0)</f>
        <v>0</v>
      </c>
      <c r="AP301" s="632">
        <f ca="1">IF(AND($D301="Serviço",AP$12&lt;&gt;0,$H301&gt;0,OR(AUTOEVENTO&lt;&gt;"manual",$M301&lt;&gt;1)),ROUND(OFFSET($P301,0,AP$13),15-13*ORÇAMENTO!$AF$7)/$H301*OFFSET(ORÇAMENTO!$X$15,ROW(AP301)-ROW(AP$15),0),0)</f>
        <v>0</v>
      </c>
      <c r="AQ301" s="632">
        <f ca="1">IF(AND($D301="Serviço",AQ$12&lt;&gt;0,$H301&gt;0,OR(AUTOEVENTO&lt;&gt;"manual",$M301&lt;&gt;1)),ROUND(OFFSET($P301,0,AQ$13),15-13*ORÇAMENTO!$AF$7)/$H301*OFFSET(ORÇAMENTO!$X$15,ROW(AQ301)-ROW(AQ$15),0),0)</f>
        <v>0</v>
      </c>
      <c r="AR301" s="632">
        <f ca="1">IF(AND($D301="Serviço",AR$12&lt;&gt;0,$H301&gt;0,OR(AUTOEVENTO&lt;&gt;"manual",$M301&lt;&gt;1)),ROUND(OFFSET($P301,0,AR$13),15-13*ORÇAMENTO!$AF$7)/$H301*OFFSET(ORÇAMENTO!$X$15,ROW(AR301)-ROW(AR$15),0),0)</f>
        <v>0</v>
      </c>
      <c r="AS301" s="633">
        <f ca="1">IF(AND($D301="Serviço",AS$12&lt;&gt;0,$H301&gt;0,OR(AUTOEVENTO&lt;&gt;"manual",$M301&lt;&gt;1)),ROUND(OFFSET($P301,0,AS$13),15-13*ORÇAMENTO!$AF$7)/$H301*OFFSET(ORÇAMENTO!$X$15,ROW(AS301)-ROW(AS$15),0),0)</f>
        <v>0</v>
      </c>
      <c r="AT301" s="632">
        <f ca="1">IF(AND($D301="Serviço",AT$12&lt;&gt;0,$H301&gt;0,OR(AUTOEVENTO&lt;&gt;"manual",$M301&lt;&gt;1)),ROUND(OFFSET($P301,0,AT$13),15-13*ORÇAMENTO!$AF$7)/$H301*OFFSET(ORÇAMENTO!$X$15,ROW(AT301)-ROW(AT$15),0),0)</f>
        <v>0</v>
      </c>
      <c r="AU301" s="632">
        <f ca="1">IF(AND($D301="Serviço",AU$12&lt;&gt;0,$H301&gt;0,OR(AUTOEVENTO&lt;&gt;"manual",$M301&lt;&gt;1)),ROUND(OFFSET($P301,0,AU$13),15-13*ORÇAMENTO!$AF$7)/$H301*OFFSET(ORÇAMENTO!$X$15,ROW(AU301)-ROW(AU$15),0),0)</f>
        <v>0</v>
      </c>
      <c r="AV301" s="632">
        <f ca="1">IF(AND($D301="Serviço",AV$12&lt;&gt;0,$H301&gt;0,OR(AUTOEVENTO&lt;&gt;"manual",$M301&lt;&gt;1)),ROUND(OFFSET($P301,0,AV$13),15-13*ORÇAMENTO!$AF$7)/$H301*OFFSET(ORÇAMENTO!$X$15,ROW(AV301)-ROW(AV$15),0),0)</f>
        <v>0</v>
      </c>
      <c r="AW301" s="632">
        <f ca="1">IF(AND($D301="Serviço",AW$12&lt;&gt;0,$H301&gt;0,OR(AUTOEVENTO&lt;&gt;"manual",$M301&lt;&gt;1)),ROUND(OFFSET($P301,0,AW$13),15-13*ORÇAMENTO!$AF$7)/$H301*OFFSET(ORÇAMENTO!$X$15,ROW(AW301)-ROW(AW$15),0),0)</f>
        <v>0</v>
      </c>
      <c r="AX301" s="632">
        <f ca="1">IF(AND($D301="Serviço",AX$12&lt;&gt;0,$H301&gt;0,OR(AUTOEVENTO&lt;&gt;"manual",$M301&lt;&gt;1)),ROUND(OFFSET($P301,0,AX$13),15-13*ORÇAMENTO!$AF$7)/$H301*OFFSET(ORÇAMENTO!$X$15,ROW(AX301)-ROW(AX$15),0),0)</f>
        <v>0</v>
      </c>
      <c r="AY301" s="632">
        <f ca="1">IF(AND($D301="Serviço",AY$12&lt;&gt;0,$H301&gt;0,OR(AUTOEVENTO&lt;&gt;"manual",$M301&lt;&gt;1)),ROUND(OFFSET($P301,0,AY$13),15-13*ORÇAMENTO!$AF$7)/$H301*OFFSET(ORÇAMENTO!$X$15,ROW(AY301)-ROW(AY$15),0),0)</f>
        <v>0</v>
      </c>
      <c r="AZ301" s="632">
        <f ca="1">IF(AND($D301="Serviço",AZ$12&lt;&gt;0,$H301&gt;0,OR(AUTOEVENTO&lt;&gt;"manual",$M301&lt;&gt;1)),ROUND(OFFSET($P301,0,AZ$13),15-13*ORÇAMENTO!$AF$7)/$H301*OFFSET(ORÇAMENTO!$X$15,ROW(AZ301)-ROW(AZ$15),0),0)</f>
        <v>0</v>
      </c>
      <c r="BA301" s="633">
        <f ca="1">IF(AND($D301="Serviço",BA$12&lt;&gt;0,$H301&gt;0,OR(AUTOEVENTO&lt;&gt;"manual",$M301&lt;&gt;1)),ROUND(OFFSET($P301,0,BA$13),15-13*ORÇAMENTO!$AF$7)/$H301*OFFSET(ORÇAMENTO!$X$15,ROW(BA301)-ROW(BA$15),0),0)</f>
        <v>0</v>
      </c>
      <c r="BC301" s="215">
        <f ca="1">IF($D301&lt;&gt;"Serviço",0,IF(AND(AUTOEVENTO="Manual",$M301=1),0,IF(OFFSET(CRONOPLE!$F$14,$M301,BC$13)="",10^12,OFFSET(CRONOPLE!$F$14,$M301,BC$13))))</f>
        <v>0</v>
      </c>
      <c r="BD301" s="215">
        <f ca="1">IF($D301&lt;&gt;"Serviço",0,IF(AND(AUTOEVENTO="Manual",$M301=1),0,IF(OFFSET(CRONOPLE!$F$14,$M301,BD$13)="",10^12,OFFSET(CRONOPLE!$F$14,$M301,BD$13))))</f>
        <v>0</v>
      </c>
      <c r="BE301" s="215">
        <f ca="1">IF($D301&lt;&gt;"Serviço",0,IF(AND(AUTOEVENTO="Manual",$M301=1),0,IF(OFFSET(CRONOPLE!$F$14,$M301,BE$13)="",10^12,OFFSET(CRONOPLE!$F$14,$M301,BE$13))))</f>
        <v>0</v>
      </c>
      <c r="BF301" s="215">
        <f ca="1">IF($D301&lt;&gt;"Serviço",0,IF(AND(AUTOEVENTO="Manual",$M301=1),0,IF(OFFSET(CRONOPLE!$F$14,$M301,BF$13)="",10^12,OFFSET(CRONOPLE!$F$14,$M301,BF$13))))</f>
        <v>0</v>
      </c>
      <c r="BG301" s="215">
        <f ca="1">IF($D301&lt;&gt;"Serviço",0,IF(AND(AUTOEVENTO="Manual",$M301=1),0,IF(OFFSET(CRONOPLE!$F$14,$M301,BG$13)="",10^12,OFFSET(CRONOPLE!$F$14,$M301,BG$13))))</f>
        <v>0</v>
      </c>
      <c r="BH301" s="215">
        <f ca="1">IF($D301&lt;&gt;"Serviço",0,IF(AND(AUTOEVENTO="Manual",$M301=1),0,IF(OFFSET(CRONOPLE!$F$14,$M301,BH$13)="",10^12,OFFSET(CRONOPLE!$F$14,$M301,BH$13))))</f>
        <v>0</v>
      </c>
      <c r="BI301" s="215">
        <f ca="1">IF($D301&lt;&gt;"Serviço",0,IF(AND(AUTOEVENTO="Manual",$M301=1),0,IF(OFFSET(CRONOPLE!$F$14,$M301,BI$13)="",10^12,OFFSET(CRONOPLE!$F$14,$M301,BI$13))))</f>
        <v>0</v>
      </c>
      <c r="BJ301" s="215">
        <f ca="1">IF($D301&lt;&gt;"Serviço",0,IF(AND(AUTOEVENTO="Manual",$M301=1),0,IF(OFFSET(CRONOPLE!$F$14,$M301,BJ$13)="",10^12,OFFSET(CRONOPLE!$F$14,$M301,BJ$13))))</f>
        <v>0</v>
      </c>
      <c r="BK301" s="215">
        <f ca="1">IF($D301&lt;&gt;"Serviço",0,IF(AND(AUTOEVENTO="Manual",$M301=1),0,IF(OFFSET(CRONOPLE!$F$14,$M301,BK$13)="",10^12,OFFSET(CRONOPLE!$F$14,$M301,BK$13))))</f>
        <v>0</v>
      </c>
      <c r="BL301" s="215">
        <f ca="1">IF($D301&lt;&gt;"Serviço",0,IF(AND(AUTOEVENTO="Manual",$M301=1),0,IF(OFFSET(CRONOPLE!$F$14,$M301,BL$13)="",10^12,OFFSET(CRONOPLE!$F$14,$M301,BL$13))))</f>
        <v>0</v>
      </c>
      <c r="BM301" s="215">
        <f ca="1">IF($D301&lt;&gt;"Serviço",0,IF(AND(AUTOEVENTO="Manual",$M301=1),0,IF(OFFSET(CRONOPLE!$F$14,$M301,BM$13)="",10^12,OFFSET(CRONOPLE!$F$14,$M301,BM$13))))</f>
        <v>0</v>
      </c>
      <c r="BN301" s="215">
        <f ca="1">IF($D301&lt;&gt;"Serviço",0,IF(AND(AUTOEVENTO="Manual",$M301=1),0,IF(OFFSET(CRONOPLE!$F$14,$M301,BN$13)="",10^12,OFFSET(CRONOPLE!$F$14,$M301,BN$13))))</f>
        <v>0</v>
      </c>
      <c r="BO301" s="215">
        <f ca="1">IF($D301&lt;&gt;"Serviço",0,IF(AND(AUTOEVENTO="Manual",$M301=1),0,IF(OFFSET(CRONOPLE!$F$14,$M301,BO$13)="",10^12,OFFSET(CRONOPLE!$F$14,$M301,BO$13))))</f>
        <v>0</v>
      </c>
      <c r="BP301" s="215">
        <f ca="1">IF($D301&lt;&gt;"Serviço",0,IF(AND(AUTOEVENTO="Manual",$M301=1),0,IF(OFFSET(CRONOPLE!$F$14,$M301,BP$13)="",10^12,OFFSET(CRONOPLE!$F$14,$M301,BP$13))))</f>
        <v>0</v>
      </c>
      <c r="BQ301" s="215">
        <f ca="1">IF($D301&lt;&gt;"Serviço",0,IF(AND(AUTOEVENTO="Manual",$M301=1),0,IF(OFFSET(CRONOPLE!$F$14,$M301,BQ$13)="",10^12,OFFSET(CRONOPLE!$F$14,$M301,BQ$13))))</f>
        <v>0</v>
      </c>
      <c r="BR301" s="215">
        <f ca="1">IF($D301&lt;&gt;"Serviço",0,IF(AND(AUTOEVENTO="Manual",$M301=1),0,IF(OFFSET(CRONOPLE!$F$14,$M301,BR$13)="",10^12,OFFSET(CRONOPLE!$F$14,$M301,BR$13))))</f>
        <v>0</v>
      </c>
      <c r="BS301" s="215">
        <f ca="1">IF($D301&lt;&gt;"Serviço",0,IF(AND(AUTOEVENTO="Manual",$M301=1),0,IF(OFFSET(CRONOPLE!$F$14,$M301,BS$13)="",10^12,OFFSET(CRONOPLE!$F$14,$M301,BS$13))))</f>
        <v>0</v>
      </c>
      <c r="BT301" s="215">
        <f ca="1">IF($D301&lt;&gt;"Serviço",0,IF(AND(AUTOEVENTO="Manual",$M301=1),0,IF(OFFSET(CRONOPLE!$F$14,$M301,BT$13)="",10^12,OFFSET(CRONOPLE!$F$14,$M301,BT$13))))</f>
        <v>0</v>
      </c>
      <c r="BV301" s="216">
        <f ca="1">IF($D301&lt;&gt;"Serviço",0,IF(OR(AND(AUTOEVENTO="Manual",$M301=1),$M301&gt;(ROW(PLE.lastrow)-ROW(PLE.firstrow))),0,IF(OFFSET(PLE!$G$14,$M301,BV$13)="",10^12,OFFSET(PLE!$G$14,$M301,BV$13))))</f>
        <v>0</v>
      </c>
      <c r="BW301" s="216">
        <f ca="1">IF($D301&lt;&gt;"Serviço",0,IF(OR(AND(AUTOEVENTO="Manual",$M301=1),$M301&gt;(ROW(PLE.lastrow)-ROW(PLE.firstrow))),0,IF(OFFSET(PLE!$G$14,$M301,BW$13)="",10^12,OFFSET(PLE!$G$14,$M301,BW$13))))</f>
        <v>0</v>
      </c>
      <c r="BX301" s="216">
        <f ca="1">IF($D301&lt;&gt;"Serviço",0,IF(OR(AND(AUTOEVENTO="Manual",$M301=1),$M301&gt;(ROW(PLE.lastrow)-ROW(PLE.firstrow))),0,IF(OFFSET(PLE!$G$14,$M301,BX$13)="",10^12,OFFSET(PLE!$G$14,$M301,BX$13))))</f>
        <v>0</v>
      </c>
      <c r="BY301" s="216">
        <f ca="1">IF($D301&lt;&gt;"Serviço",0,IF(OR(AND(AUTOEVENTO="Manual",$M301=1),$M301&gt;(ROW(PLE.lastrow)-ROW(PLE.firstrow))),0,IF(OFFSET(PLE!$G$14,$M301,BY$13)="",10^12,OFFSET(PLE!$G$14,$M301,BY$13))))</f>
        <v>0</v>
      </c>
      <c r="BZ301" s="216">
        <f ca="1">IF($D301&lt;&gt;"Serviço",0,IF(OR(AND(AUTOEVENTO="Manual",$M301=1),$M301&gt;(ROW(PLE.lastrow)-ROW(PLE.firstrow))),0,IF(OFFSET(PLE!$G$14,$M301,BZ$13)="",10^12,OFFSET(PLE!$G$14,$M301,BZ$13))))</f>
        <v>0</v>
      </c>
      <c r="CA301" s="216">
        <f ca="1">IF($D301&lt;&gt;"Serviço",0,IF(OR(AND(AUTOEVENTO="Manual",$M301=1),$M301&gt;(ROW(PLE.lastrow)-ROW(PLE.firstrow))),0,IF(OFFSET(PLE!$G$14,$M301,CA$13)="",10^12,OFFSET(PLE!$G$14,$M301,CA$13))))</f>
        <v>0</v>
      </c>
      <c r="CB301" s="216">
        <f ca="1">IF($D301&lt;&gt;"Serviço",0,IF(OR(AND(AUTOEVENTO="Manual",$M301=1),$M301&gt;(ROW(PLE.lastrow)-ROW(PLE.firstrow))),0,IF(OFFSET(PLE!$G$14,$M301,CB$13)="",10^12,OFFSET(PLE!$G$14,$M301,CB$13))))</f>
        <v>0</v>
      </c>
      <c r="CC301" s="216">
        <f ca="1">IF($D301&lt;&gt;"Serviço",0,IF(OR(AND(AUTOEVENTO="Manual",$M301=1),$M301&gt;(ROW(PLE.lastrow)-ROW(PLE.firstrow))),0,IF(OFFSET(PLE!$G$14,$M301,CC$13)="",10^12,OFFSET(PLE!$G$14,$M301,CC$13))))</f>
        <v>0</v>
      </c>
      <c r="CD301" s="216">
        <f ca="1">IF($D301&lt;&gt;"Serviço",0,IF(OR(AND(AUTOEVENTO="Manual",$M301=1),$M301&gt;(ROW(PLE.lastrow)-ROW(PLE.firstrow))),0,IF(OFFSET(PLE!$G$14,$M301,CD$13)="",10^12,OFFSET(PLE!$G$14,$M301,CD$13))))</f>
        <v>0</v>
      </c>
      <c r="CE301" s="216">
        <f ca="1">IF($D301&lt;&gt;"Serviço",0,IF(OR(AND(AUTOEVENTO="Manual",$M301=1),$M301&gt;(ROW(PLE.lastrow)-ROW(PLE.firstrow))),0,IF(OFFSET(PLE!$G$14,$M301,CE$13)="",10^12,OFFSET(PLE!$G$14,$M301,CE$13))))</f>
        <v>0</v>
      </c>
      <c r="CF301" s="216">
        <f ca="1">IF($D301&lt;&gt;"Serviço",0,IF(OR(AND(AUTOEVENTO="Manual",$M301=1),$M301&gt;(ROW(PLE.lastrow)-ROW(PLE.firstrow))),0,IF(OFFSET(PLE!$G$14,$M301,CF$13)="",10^12,OFFSET(PLE!$G$14,$M301,CF$13))))</f>
        <v>0</v>
      </c>
      <c r="CG301" s="216">
        <f ca="1">IF($D301&lt;&gt;"Serviço",0,IF(OR(AND(AUTOEVENTO="Manual",$M301=1),$M301&gt;(ROW(PLE.lastrow)-ROW(PLE.firstrow))),0,IF(OFFSET(PLE!$G$14,$M301,CG$13)="",10^12,OFFSET(PLE!$G$14,$M301,CG$13))))</f>
        <v>0</v>
      </c>
      <c r="CH301" s="216">
        <f ca="1">IF($D301&lt;&gt;"Serviço",0,IF(OR(AND(AUTOEVENTO="Manual",$M301=1),$M301&gt;(ROW(PLE.lastrow)-ROW(PLE.firstrow))),0,IF(OFFSET(PLE!$G$14,$M301,CH$13)="",10^12,OFFSET(PLE!$G$14,$M301,CH$13))))</f>
        <v>0</v>
      </c>
      <c r="CI301" s="216">
        <f ca="1">IF($D301&lt;&gt;"Serviço",0,IF(OR(AND(AUTOEVENTO="Manual",$M301=1),$M301&gt;(ROW(PLE.lastrow)-ROW(PLE.firstrow))),0,IF(OFFSET(PLE!$G$14,$M301,CI$13)="",10^12,OFFSET(PLE!$G$14,$M301,CI$13))))</f>
        <v>0</v>
      </c>
      <c r="CJ301" s="216">
        <f ca="1">IF($D301&lt;&gt;"Serviço",0,IF(OR(AND(AUTOEVENTO="Manual",$M301=1),$M301&gt;(ROW(PLE.lastrow)-ROW(PLE.firstrow))),0,IF(OFFSET(PLE!$G$14,$M301,CJ$13)="",10^12,OFFSET(PLE!$G$14,$M301,CJ$13))))</f>
        <v>0</v>
      </c>
      <c r="CK301" s="216">
        <f ca="1">IF($D301&lt;&gt;"Serviço",0,IF(OR(AND(AUTOEVENTO="Manual",$M301=1),$M301&gt;(ROW(PLE.lastrow)-ROW(PLE.firstrow))),0,IF(OFFSET(PLE!$G$14,$M301,CK$13)="",10^12,OFFSET(PLE!$G$14,$M301,CK$13))))</f>
        <v>0</v>
      </c>
      <c r="CL301" s="216">
        <f ca="1">IF($D301&lt;&gt;"Serviço",0,IF(OR(AND(AUTOEVENTO="Manual",$M301=1),$M301&gt;(ROW(PLE.lastrow)-ROW(PLE.firstrow))),0,IF(OFFSET(PLE!$G$14,$M301,CL$13)="",10^12,OFFSET(PLE!$G$14,$M301,CL$13))))</f>
        <v>0</v>
      </c>
      <c r="CM301" s="216">
        <f ca="1">IF($D301&lt;&gt;"Serviço",0,IF(OR(AND(AUTOEVENTO="Manual",$M301=1),$M301&gt;(ROW(PLE.lastrow)-ROW(PLE.firstrow))),0,IF(OFFSET(PLE!$G$14,$M301,CM$13)="",10^12,OFFSET(PLE!$G$14,$M301,CM$13))))</f>
        <v>0</v>
      </c>
    </row>
    <row r="302" spans="1:91" ht="13.2" x14ac:dyDescent="0.25">
      <c r="A302" s="9">
        <f t="shared" ca="1" si="13"/>
        <v>0</v>
      </c>
      <c r="B302" s="9">
        <f ca="1">OFFSET(ORÇAMENTO!C$15,ROW(B302)-ROW(B$15),0)</f>
        <v>3</v>
      </c>
      <c r="C302" s="9" t="str">
        <f ca="1">OFFSET(ORÇAMENTO!L$15,ROW(C302)-ROW(C$15),0)</f>
        <v>F</v>
      </c>
      <c r="D302" s="145" t="str">
        <f ca="1">OFFSET(ORÇAMENTO!N$15,ROW(D302)-ROW(D$15),0)</f>
        <v>Nível 3</v>
      </c>
      <c r="E302" s="205" t="str">
        <f ca="1">OFFSET(ORÇAMENTO!O$15,ROW(E302)-ROW(E$15),0)</f>
        <v>1.12.1.</v>
      </c>
      <c r="F302" s="206" t="str">
        <f ca="1">OFFSET(ORÇAMENTO!R$15,ROW(F302)-ROW(F$15),0)</f>
        <v>TUBULAÇÕES E CONEXÕES DE PVC RÍGIDO</v>
      </c>
      <c r="G302" s="207" t="str">
        <f ca="1">IF($D302&lt;&gt;"Serviço","",OFFSET(ORÇAMENTO!S$15,ROW(G302)-ROW(G$15),0))</f>
        <v/>
      </c>
      <c r="H302" s="151">
        <f ca="1">IF($D302&lt;&gt;"Serviço",0,IF(ACOMPANHAMENTO="BM",ROUND(OFFSET(ORÇAMENTO!AJ$15,ROW(H302)-ROW(H$15),0),15-13*ORÇAMENTO!$AF$7),SUMPRODUCT(($Q$12:$AI$12&lt;&gt;"")*ROUND($Q302:$AI302,15-13*ORÇAMENTO!$AF$7))))</f>
        <v>0</v>
      </c>
      <c r="I302" s="650"/>
      <c r="K302" s="208"/>
      <c r="L302" s="209" t="s">
        <v>257</v>
      </c>
      <c r="M302" s="210" t="str">
        <f ca="1">IF($D302&lt;&gt;"Serviço","",IF(AUTOEVENTO="manual",$A302,IF(ISERROR(MATCH($A302,$A$15:OFFSET($A302,-1,0),0)),MAX($M$15:OFFSET(M302,-1,0))+1,INDEX($M$15:OFFSET(M302,-1,0),MATCH($A302,$A$15:OFFSET($A302,-1,0),0)))))</f>
        <v/>
      </c>
      <c r="N302" s="211" t="str">
        <f ca="1">IF($D302&lt;&gt;"Serviço","",IF(AUTOEVENTO="Manual",IF($A302=0,"&lt;-- defina o número do agrupador",OFFSET(EVENTOS!$D$14,$A302,0)),OFFSET($F$15,$A302,0)))</f>
        <v/>
      </c>
      <c r="O302" s="212"/>
      <c r="Q302" s="212"/>
      <c r="R302" s="213"/>
      <c r="S302" s="213"/>
      <c r="T302" s="213"/>
      <c r="U302" s="213"/>
      <c r="V302" s="213"/>
      <c r="W302" s="213"/>
      <c r="X302" s="213"/>
      <c r="Y302" s="213"/>
      <c r="Z302" s="214"/>
      <c r="AA302" s="213"/>
      <c r="AB302" s="213"/>
      <c r="AC302" s="213"/>
      <c r="AD302" s="213"/>
      <c r="AE302" s="213"/>
      <c r="AF302" s="213"/>
      <c r="AG302" s="213"/>
      <c r="AH302" s="214"/>
      <c r="AJ302" s="631">
        <f ca="1">IF(AND($D302="Serviço",AJ$12&lt;&gt;0,$H302&gt;0,OR(AUTOEVENTO&lt;&gt;"manual",$M302&lt;&gt;1)),ROUND(OFFSET($P302,0,AJ$13),15-13*ORÇAMENTO!$AF$7)/$H302*OFFSET(ORÇAMENTO!$X$15,ROW(AJ302)-ROW(AJ$15),0),0)</f>
        <v>0</v>
      </c>
      <c r="AK302" s="632">
        <f ca="1">IF(AND($D302="Serviço",AK$12&lt;&gt;0,$H302&gt;0,OR(AUTOEVENTO&lt;&gt;"manual",$M302&lt;&gt;1)),ROUND(OFFSET($P302,0,AK$13),15-13*ORÇAMENTO!$AF$7)/$H302*OFFSET(ORÇAMENTO!$X$15,ROW(AK302)-ROW(AK$15),0),0)</f>
        <v>0</v>
      </c>
      <c r="AL302" s="632">
        <f ca="1">IF(AND($D302="Serviço",AL$12&lt;&gt;0,$H302&gt;0,OR(AUTOEVENTO&lt;&gt;"manual",$M302&lt;&gt;1)),ROUND(OFFSET($P302,0,AL$13),15-13*ORÇAMENTO!$AF$7)/$H302*OFFSET(ORÇAMENTO!$X$15,ROW(AL302)-ROW(AL$15),0),0)</f>
        <v>0</v>
      </c>
      <c r="AM302" s="632">
        <f ca="1">IF(AND($D302="Serviço",AM$12&lt;&gt;0,$H302&gt;0,OR(AUTOEVENTO&lt;&gt;"manual",$M302&lt;&gt;1)),ROUND(OFFSET($P302,0,AM$13),15-13*ORÇAMENTO!$AF$7)/$H302*OFFSET(ORÇAMENTO!$X$15,ROW(AM302)-ROW(AM$15),0),0)</f>
        <v>0</v>
      </c>
      <c r="AN302" s="632">
        <f ca="1">IF(AND($D302="Serviço",AN$12&lt;&gt;0,$H302&gt;0,OR(AUTOEVENTO&lt;&gt;"manual",$M302&lt;&gt;1)),ROUND(OFFSET($P302,0,AN$13),15-13*ORÇAMENTO!$AF$7)/$H302*OFFSET(ORÇAMENTO!$X$15,ROW(AN302)-ROW(AN$15),0),0)</f>
        <v>0</v>
      </c>
      <c r="AO302" s="632">
        <f ca="1">IF(AND($D302="Serviço",AO$12&lt;&gt;0,$H302&gt;0,OR(AUTOEVENTO&lt;&gt;"manual",$M302&lt;&gt;1)),ROUND(OFFSET($P302,0,AO$13),15-13*ORÇAMENTO!$AF$7)/$H302*OFFSET(ORÇAMENTO!$X$15,ROW(AO302)-ROW(AO$15),0),0)</f>
        <v>0</v>
      </c>
      <c r="AP302" s="632">
        <f ca="1">IF(AND($D302="Serviço",AP$12&lt;&gt;0,$H302&gt;0,OR(AUTOEVENTO&lt;&gt;"manual",$M302&lt;&gt;1)),ROUND(OFFSET($P302,0,AP$13),15-13*ORÇAMENTO!$AF$7)/$H302*OFFSET(ORÇAMENTO!$X$15,ROW(AP302)-ROW(AP$15),0),0)</f>
        <v>0</v>
      </c>
      <c r="AQ302" s="632">
        <f ca="1">IF(AND($D302="Serviço",AQ$12&lt;&gt;0,$H302&gt;0,OR(AUTOEVENTO&lt;&gt;"manual",$M302&lt;&gt;1)),ROUND(OFFSET($P302,0,AQ$13),15-13*ORÇAMENTO!$AF$7)/$H302*OFFSET(ORÇAMENTO!$X$15,ROW(AQ302)-ROW(AQ$15),0),0)</f>
        <v>0</v>
      </c>
      <c r="AR302" s="632">
        <f ca="1">IF(AND($D302="Serviço",AR$12&lt;&gt;0,$H302&gt;0,OR(AUTOEVENTO&lt;&gt;"manual",$M302&lt;&gt;1)),ROUND(OFFSET($P302,0,AR$13),15-13*ORÇAMENTO!$AF$7)/$H302*OFFSET(ORÇAMENTO!$X$15,ROW(AR302)-ROW(AR$15),0),0)</f>
        <v>0</v>
      </c>
      <c r="AS302" s="633">
        <f ca="1">IF(AND($D302="Serviço",AS$12&lt;&gt;0,$H302&gt;0,OR(AUTOEVENTO&lt;&gt;"manual",$M302&lt;&gt;1)),ROUND(OFFSET($P302,0,AS$13),15-13*ORÇAMENTO!$AF$7)/$H302*OFFSET(ORÇAMENTO!$X$15,ROW(AS302)-ROW(AS$15),0),0)</f>
        <v>0</v>
      </c>
      <c r="AT302" s="632">
        <f ca="1">IF(AND($D302="Serviço",AT$12&lt;&gt;0,$H302&gt;0,OR(AUTOEVENTO&lt;&gt;"manual",$M302&lt;&gt;1)),ROUND(OFFSET($P302,0,AT$13),15-13*ORÇAMENTO!$AF$7)/$H302*OFFSET(ORÇAMENTO!$X$15,ROW(AT302)-ROW(AT$15),0),0)</f>
        <v>0</v>
      </c>
      <c r="AU302" s="632">
        <f ca="1">IF(AND($D302="Serviço",AU$12&lt;&gt;0,$H302&gt;0,OR(AUTOEVENTO&lt;&gt;"manual",$M302&lt;&gt;1)),ROUND(OFFSET($P302,0,AU$13),15-13*ORÇAMENTO!$AF$7)/$H302*OFFSET(ORÇAMENTO!$X$15,ROW(AU302)-ROW(AU$15),0),0)</f>
        <v>0</v>
      </c>
      <c r="AV302" s="632">
        <f ca="1">IF(AND($D302="Serviço",AV$12&lt;&gt;0,$H302&gt;0,OR(AUTOEVENTO&lt;&gt;"manual",$M302&lt;&gt;1)),ROUND(OFFSET($P302,0,AV$13),15-13*ORÇAMENTO!$AF$7)/$H302*OFFSET(ORÇAMENTO!$X$15,ROW(AV302)-ROW(AV$15),0),0)</f>
        <v>0</v>
      </c>
      <c r="AW302" s="632">
        <f ca="1">IF(AND($D302="Serviço",AW$12&lt;&gt;0,$H302&gt;0,OR(AUTOEVENTO&lt;&gt;"manual",$M302&lt;&gt;1)),ROUND(OFFSET($P302,0,AW$13),15-13*ORÇAMENTO!$AF$7)/$H302*OFFSET(ORÇAMENTO!$X$15,ROW(AW302)-ROW(AW$15),0),0)</f>
        <v>0</v>
      </c>
      <c r="AX302" s="632">
        <f ca="1">IF(AND($D302="Serviço",AX$12&lt;&gt;0,$H302&gt;0,OR(AUTOEVENTO&lt;&gt;"manual",$M302&lt;&gt;1)),ROUND(OFFSET($P302,0,AX$13),15-13*ORÇAMENTO!$AF$7)/$H302*OFFSET(ORÇAMENTO!$X$15,ROW(AX302)-ROW(AX$15),0),0)</f>
        <v>0</v>
      </c>
      <c r="AY302" s="632">
        <f ca="1">IF(AND($D302="Serviço",AY$12&lt;&gt;0,$H302&gt;0,OR(AUTOEVENTO&lt;&gt;"manual",$M302&lt;&gt;1)),ROUND(OFFSET($P302,0,AY$13),15-13*ORÇAMENTO!$AF$7)/$H302*OFFSET(ORÇAMENTO!$X$15,ROW(AY302)-ROW(AY$15),0),0)</f>
        <v>0</v>
      </c>
      <c r="AZ302" s="632">
        <f ca="1">IF(AND($D302="Serviço",AZ$12&lt;&gt;0,$H302&gt;0,OR(AUTOEVENTO&lt;&gt;"manual",$M302&lt;&gt;1)),ROUND(OFFSET($P302,0,AZ$13),15-13*ORÇAMENTO!$AF$7)/$H302*OFFSET(ORÇAMENTO!$X$15,ROW(AZ302)-ROW(AZ$15),0),0)</f>
        <v>0</v>
      </c>
      <c r="BA302" s="633">
        <f ca="1">IF(AND($D302="Serviço",BA$12&lt;&gt;0,$H302&gt;0,OR(AUTOEVENTO&lt;&gt;"manual",$M302&lt;&gt;1)),ROUND(OFFSET($P302,0,BA$13),15-13*ORÇAMENTO!$AF$7)/$H302*OFFSET(ORÇAMENTO!$X$15,ROW(BA302)-ROW(BA$15),0),0)</f>
        <v>0</v>
      </c>
      <c r="BC302" s="215">
        <f ca="1">IF($D302&lt;&gt;"Serviço",0,IF(AND(AUTOEVENTO="Manual",$M302=1),0,IF(OFFSET(CRONOPLE!$F$14,$M302,BC$13)="",10^12,OFFSET(CRONOPLE!$F$14,$M302,BC$13))))</f>
        <v>0</v>
      </c>
      <c r="BD302" s="215">
        <f ca="1">IF($D302&lt;&gt;"Serviço",0,IF(AND(AUTOEVENTO="Manual",$M302=1),0,IF(OFFSET(CRONOPLE!$F$14,$M302,BD$13)="",10^12,OFFSET(CRONOPLE!$F$14,$M302,BD$13))))</f>
        <v>0</v>
      </c>
      <c r="BE302" s="215">
        <f ca="1">IF($D302&lt;&gt;"Serviço",0,IF(AND(AUTOEVENTO="Manual",$M302=1),0,IF(OFFSET(CRONOPLE!$F$14,$M302,BE$13)="",10^12,OFFSET(CRONOPLE!$F$14,$M302,BE$13))))</f>
        <v>0</v>
      </c>
      <c r="BF302" s="215">
        <f ca="1">IF($D302&lt;&gt;"Serviço",0,IF(AND(AUTOEVENTO="Manual",$M302=1),0,IF(OFFSET(CRONOPLE!$F$14,$M302,BF$13)="",10^12,OFFSET(CRONOPLE!$F$14,$M302,BF$13))))</f>
        <v>0</v>
      </c>
      <c r="BG302" s="215">
        <f ca="1">IF($D302&lt;&gt;"Serviço",0,IF(AND(AUTOEVENTO="Manual",$M302=1),0,IF(OFFSET(CRONOPLE!$F$14,$M302,BG$13)="",10^12,OFFSET(CRONOPLE!$F$14,$M302,BG$13))))</f>
        <v>0</v>
      </c>
      <c r="BH302" s="215">
        <f ca="1">IF($D302&lt;&gt;"Serviço",0,IF(AND(AUTOEVENTO="Manual",$M302=1),0,IF(OFFSET(CRONOPLE!$F$14,$M302,BH$13)="",10^12,OFFSET(CRONOPLE!$F$14,$M302,BH$13))))</f>
        <v>0</v>
      </c>
      <c r="BI302" s="215">
        <f ca="1">IF($D302&lt;&gt;"Serviço",0,IF(AND(AUTOEVENTO="Manual",$M302=1),0,IF(OFFSET(CRONOPLE!$F$14,$M302,BI$13)="",10^12,OFFSET(CRONOPLE!$F$14,$M302,BI$13))))</f>
        <v>0</v>
      </c>
      <c r="BJ302" s="215">
        <f ca="1">IF($D302&lt;&gt;"Serviço",0,IF(AND(AUTOEVENTO="Manual",$M302=1),0,IF(OFFSET(CRONOPLE!$F$14,$M302,BJ$13)="",10^12,OFFSET(CRONOPLE!$F$14,$M302,BJ$13))))</f>
        <v>0</v>
      </c>
      <c r="BK302" s="215">
        <f ca="1">IF($D302&lt;&gt;"Serviço",0,IF(AND(AUTOEVENTO="Manual",$M302=1),0,IF(OFFSET(CRONOPLE!$F$14,$M302,BK$13)="",10^12,OFFSET(CRONOPLE!$F$14,$M302,BK$13))))</f>
        <v>0</v>
      </c>
      <c r="BL302" s="215">
        <f ca="1">IF($D302&lt;&gt;"Serviço",0,IF(AND(AUTOEVENTO="Manual",$M302=1),0,IF(OFFSET(CRONOPLE!$F$14,$M302,BL$13)="",10^12,OFFSET(CRONOPLE!$F$14,$M302,BL$13))))</f>
        <v>0</v>
      </c>
      <c r="BM302" s="215">
        <f ca="1">IF($D302&lt;&gt;"Serviço",0,IF(AND(AUTOEVENTO="Manual",$M302=1),0,IF(OFFSET(CRONOPLE!$F$14,$M302,BM$13)="",10^12,OFFSET(CRONOPLE!$F$14,$M302,BM$13))))</f>
        <v>0</v>
      </c>
      <c r="BN302" s="215">
        <f ca="1">IF($D302&lt;&gt;"Serviço",0,IF(AND(AUTOEVENTO="Manual",$M302=1),0,IF(OFFSET(CRONOPLE!$F$14,$M302,BN$13)="",10^12,OFFSET(CRONOPLE!$F$14,$M302,BN$13))))</f>
        <v>0</v>
      </c>
      <c r="BO302" s="215">
        <f ca="1">IF($D302&lt;&gt;"Serviço",0,IF(AND(AUTOEVENTO="Manual",$M302=1),0,IF(OFFSET(CRONOPLE!$F$14,$M302,BO$13)="",10^12,OFFSET(CRONOPLE!$F$14,$M302,BO$13))))</f>
        <v>0</v>
      </c>
      <c r="BP302" s="215">
        <f ca="1">IF($D302&lt;&gt;"Serviço",0,IF(AND(AUTOEVENTO="Manual",$M302=1),0,IF(OFFSET(CRONOPLE!$F$14,$M302,BP$13)="",10^12,OFFSET(CRONOPLE!$F$14,$M302,BP$13))))</f>
        <v>0</v>
      </c>
      <c r="BQ302" s="215">
        <f ca="1">IF($D302&lt;&gt;"Serviço",0,IF(AND(AUTOEVENTO="Manual",$M302=1),0,IF(OFFSET(CRONOPLE!$F$14,$M302,BQ$13)="",10^12,OFFSET(CRONOPLE!$F$14,$M302,BQ$13))))</f>
        <v>0</v>
      </c>
      <c r="BR302" s="215">
        <f ca="1">IF($D302&lt;&gt;"Serviço",0,IF(AND(AUTOEVENTO="Manual",$M302=1),0,IF(OFFSET(CRONOPLE!$F$14,$M302,BR$13)="",10^12,OFFSET(CRONOPLE!$F$14,$M302,BR$13))))</f>
        <v>0</v>
      </c>
      <c r="BS302" s="215">
        <f ca="1">IF($D302&lt;&gt;"Serviço",0,IF(AND(AUTOEVENTO="Manual",$M302=1),0,IF(OFFSET(CRONOPLE!$F$14,$M302,BS$13)="",10^12,OFFSET(CRONOPLE!$F$14,$M302,BS$13))))</f>
        <v>0</v>
      </c>
      <c r="BT302" s="215">
        <f ca="1">IF($D302&lt;&gt;"Serviço",0,IF(AND(AUTOEVENTO="Manual",$M302=1),0,IF(OFFSET(CRONOPLE!$F$14,$M302,BT$13)="",10^12,OFFSET(CRONOPLE!$F$14,$M302,BT$13))))</f>
        <v>0</v>
      </c>
      <c r="BV302" s="216">
        <f ca="1">IF($D302&lt;&gt;"Serviço",0,IF(OR(AND(AUTOEVENTO="Manual",$M302=1),$M302&gt;(ROW(PLE.lastrow)-ROW(PLE.firstrow))),0,IF(OFFSET(PLE!$G$14,$M302,BV$13)="",10^12,OFFSET(PLE!$G$14,$M302,BV$13))))</f>
        <v>0</v>
      </c>
      <c r="BW302" s="216">
        <f ca="1">IF($D302&lt;&gt;"Serviço",0,IF(OR(AND(AUTOEVENTO="Manual",$M302=1),$M302&gt;(ROW(PLE.lastrow)-ROW(PLE.firstrow))),0,IF(OFFSET(PLE!$G$14,$M302,BW$13)="",10^12,OFFSET(PLE!$G$14,$M302,BW$13))))</f>
        <v>0</v>
      </c>
      <c r="BX302" s="216">
        <f ca="1">IF($D302&lt;&gt;"Serviço",0,IF(OR(AND(AUTOEVENTO="Manual",$M302=1),$M302&gt;(ROW(PLE.lastrow)-ROW(PLE.firstrow))),0,IF(OFFSET(PLE!$G$14,$M302,BX$13)="",10^12,OFFSET(PLE!$G$14,$M302,BX$13))))</f>
        <v>0</v>
      </c>
      <c r="BY302" s="216">
        <f ca="1">IF($D302&lt;&gt;"Serviço",0,IF(OR(AND(AUTOEVENTO="Manual",$M302=1),$M302&gt;(ROW(PLE.lastrow)-ROW(PLE.firstrow))),0,IF(OFFSET(PLE!$G$14,$M302,BY$13)="",10^12,OFFSET(PLE!$G$14,$M302,BY$13))))</f>
        <v>0</v>
      </c>
      <c r="BZ302" s="216">
        <f ca="1">IF($D302&lt;&gt;"Serviço",0,IF(OR(AND(AUTOEVENTO="Manual",$M302=1),$M302&gt;(ROW(PLE.lastrow)-ROW(PLE.firstrow))),0,IF(OFFSET(PLE!$G$14,$M302,BZ$13)="",10^12,OFFSET(PLE!$G$14,$M302,BZ$13))))</f>
        <v>0</v>
      </c>
      <c r="CA302" s="216">
        <f ca="1">IF($D302&lt;&gt;"Serviço",0,IF(OR(AND(AUTOEVENTO="Manual",$M302=1),$M302&gt;(ROW(PLE.lastrow)-ROW(PLE.firstrow))),0,IF(OFFSET(PLE!$G$14,$M302,CA$13)="",10^12,OFFSET(PLE!$G$14,$M302,CA$13))))</f>
        <v>0</v>
      </c>
      <c r="CB302" s="216">
        <f ca="1">IF($D302&lt;&gt;"Serviço",0,IF(OR(AND(AUTOEVENTO="Manual",$M302=1),$M302&gt;(ROW(PLE.lastrow)-ROW(PLE.firstrow))),0,IF(OFFSET(PLE!$G$14,$M302,CB$13)="",10^12,OFFSET(PLE!$G$14,$M302,CB$13))))</f>
        <v>0</v>
      </c>
      <c r="CC302" s="216">
        <f ca="1">IF($D302&lt;&gt;"Serviço",0,IF(OR(AND(AUTOEVENTO="Manual",$M302=1),$M302&gt;(ROW(PLE.lastrow)-ROW(PLE.firstrow))),0,IF(OFFSET(PLE!$G$14,$M302,CC$13)="",10^12,OFFSET(PLE!$G$14,$M302,CC$13))))</f>
        <v>0</v>
      </c>
      <c r="CD302" s="216">
        <f ca="1">IF($D302&lt;&gt;"Serviço",0,IF(OR(AND(AUTOEVENTO="Manual",$M302=1),$M302&gt;(ROW(PLE.lastrow)-ROW(PLE.firstrow))),0,IF(OFFSET(PLE!$G$14,$M302,CD$13)="",10^12,OFFSET(PLE!$G$14,$M302,CD$13))))</f>
        <v>0</v>
      </c>
      <c r="CE302" s="216">
        <f ca="1">IF($D302&lt;&gt;"Serviço",0,IF(OR(AND(AUTOEVENTO="Manual",$M302=1),$M302&gt;(ROW(PLE.lastrow)-ROW(PLE.firstrow))),0,IF(OFFSET(PLE!$G$14,$M302,CE$13)="",10^12,OFFSET(PLE!$G$14,$M302,CE$13))))</f>
        <v>0</v>
      </c>
      <c r="CF302" s="216">
        <f ca="1">IF($D302&lt;&gt;"Serviço",0,IF(OR(AND(AUTOEVENTO="Manual",$M302=1),$M302&gt;(ROW(PLE.lastrow)-ROW(PLE.firstrow))),0,IF(OFFSET(PLE!$G$14,$M302,CF$13)="",10^12,OFFSET(PLE!$G$14,$M302,CF$13))))</f>
        <v>0</v>
      </c>
      <c r="CG302" s="216">
        <f ca="1">IF($D302&lt;&gt;"Serviço",0,IF(OR(AND(AUTOEVENTO="Manual",$M302=1),$M302&gt;(ROW(PLE.lastrow)-ROW(PLE.firstrow))),0,IF(OFFSET(PLE!$G$14,$M302,CG$13)="",10^12,OFFSET(PLE!$G$14,$M302,CG$13))))</f>
        <v>0</v>
      </c>
      <c r="CH302" s="216">
        <f ca="1">IF($D302&lt;&gt;"Serviço",0,IF(OR(AND(AUTOEVENTO="Manual",$M302=1),$M302&gt;(ROW(PLE.lastrow)-ROW(PLE.firstrow))),0,IF(OFFSET(PLE!$G$14,$M302,CH$13)="",10^12,OFFSET(PLE!$G$14,$M302,CH$13))))</f>
        <v>0</v>
      </c>
      <c r="CI302" s="216">
        <f ca="1">IF($D302&lt;&gt;"Serviço",0,IF(OR(AND(AUTOEVENTO="Manual",$M302=1),$M302&gt;(ROW(PLE.lastrow)-ROW(PLE.firstrow))),0,IF(OFFSET(PLE!$G$14,$M302,CI$13)="",10^12,OFFSET(PLE!$G$14,$M302,CI$13))))</f>
        <v>0</v>
      </c>
      <c r="CJ302" s="216">
        <f ca="1">IF($D302&lt;&gt;"Serviço",0,IF(OR(AND(AUTOEVENTO="Manual",$M302=1),$M302&gt;(ROW(PLE.lastrow)-ROW(PLE.firstrow))),0,IF(OFFSET(PLE!$G$14,$M302,CJ$13)="",10^12,OFFSET(PLE!$G$14,$M302,CJ$13))))</f>
        <v>0</v>
      </c>
      <c r="CK302" s="216">
        <f ca="1">IF($D302&lt;&gt;"Serviço",0,IF(OR(AND(AUTOEVENTO="Manual",$M302=1),$M302&gt;(ROW(PLE.lastrow)-ROW(PLE.firstrow))),0,IF(OFFSET(PLE!$G$14,$M302,CK$13)="",10^12,OFFSET(PLE!$G$14,$M302,CK$13))))</f>
        <v>0</v>
      </c>
      <c r="CL302" s="216">
        <f ca="1">IF($D302&lt;&gt;"Serviço",0,IF(OR(AND(AUTOEVENTO="Manual",$M302=1),$M302&gt;(ROW(PLE.lastrow)-ROW(PLE.firstrow))),0,IF(OFFSET(PLE!$G$14,$M302,CL$13)="",10^12,OFFSET(PLE!$G$14,$M302,CL$13))))</f>
        <v>0</v>
      </c>
      <c r="CM302" s="216">
        <f ca="1">IF($D302&lt;&gt;"Serviço",0,IF(OR(AND(AUTOEVENTO="Manual",$M302=1),$M302&gt;(ROW(PLE.lastrow)-ROW(PLE.firstrow))),0,IF(OFFSET(PLE!$G$14,$M302,CM$13)="",10^12,OFFSET(PLE!$G$14,$M302,CM$13))))</f>
        <v>0</v>
      </c>
    </row>
    <row r="303" spans="1:91" ht="13.2" x14ac:dyDescent="0.25">
      <c r="A303" s="9">
        <f t="shared" ca="1" si="13"/>
        <v>0</v>
      </c>
      <c r="B303" s="9" t="str">
        <f ca="1">OFFSET(ORÇAMENTO!C$15,ROW(B303)-ROW(B$15),0)</f>
        <v>S</v>
      </c>
      <c r="C303" s="9" t="str">
        <f ca="1">OFFSET(ORÇAMENTO!L$15,ROW(C303)-ROW(C$15),0)</f>
        <v/>
      </c>
      <c r="D303" s="145" t="str">
        <f ca="1">OFFSET(ORÇAMENTO!N$15,ROW(D303)-ROW(D$15),0)</f>
        <v>Serviço</v>
      </c>
      <c r="E303" s="205" t="str">
        <f ca="1">OFFSET(ORÇAMENTO!O$15,ROW(E303)-ROW(E$15),0)</f>
        <v>-</v>
      </c>
      <c r="F303" s="206" t="str">
        <f ca="1">OFFSET(ORÇAMENTO!R$15,ROW(F303)-ROW(F$15),0)</f>
        <v>(abra o arquivo 'Referência 05-2024.xls)</v>
      </c>
      <c r="G303" s="207" t="str">
        <f ca="1">IF($D303&lt;&gt;"Serviço","",OFFSET(ORÇAMENTO!S$15,ROW(G303)-ROW(G$15),0))</f>
        <v>-</v>
      </c>
      <c r="H303" s="151">
        <f ca="1">IF($D303&lt;&gt;"Serviço",0,IF(ACOMPANHAMENTO="BM",ROUND(OFFSET(ORÇAMENTO!AJ$15,ROW(H303)-ROW(H$15),0),15-13*ORÇAMENTO!$AF$7),SUMPRODUCT(($Q$12:$AI$12&lt;&gt;"")*ROUND($Q303:$AI303,15-13*ORÇAMENTO!$AF$7))))</f>
        <v>194.5</v>
      </c>
      <c r="I303" s="650"/>
      <c r="K303" s="208"/>
      <c r="L303" s="209" t="s">
        <v>257</v>
      </c>
      <c r="M303" s="210">
        <f ca="1">IF($D303&lt;&gt;"Serviço","",IF(AUTOEVENTO="manual",$A303,IF(ISERROR(MATCH($A303,$A$15:OFFSET($A303,-1,0),0)),MAX($M$15:OFFSET(M303,-1,0))+1,INDEX($M$15:OFFSET(M303,-1,0),MATCH($A303,$A$15:OFFSET($A303,-1,0),0)))))</f>
        <v>0</v>
      </c>
      <c r="N303" s="211" t="str">
        <f ca="1">IF($D303&lt;&gt;"Serviço","",IF(AUTOEVENTO="Manual",IF($A303=0,"&lt;-- defina o número do agrupador",OFFSET(EVENTOS!$D$14,$A303,0)),OFFSET($F$15,$A303,0)))</f>
        <v>&lt;-- defina o número do agrupador</v>
      </c>
      <c r="O303" s="212"/>
      <c r="Q303" s="212"/>
      <c r="R303" s="213"/>
      <c r="S303" s="213"/>
      <c r="T303" s="213"/>
      <c r="U303" s="213"/>
      <c r="V303" s="213"/>
      <c r="W303" s="213"/>
      <c r="X303" s="213"/>
      <c r="Y303" s="213"/>
      <c r="Z303" s="214"/>
      <c r="AA303" s="213"/>
      <c r="AB303" s="213"/>
      <c r="AC303" s="213"/>
      <c r="AD303" s="213"/>
      <c r="AE303" s="213"/>
      <c r="AF303" s="213"/>
      <c r="AG303" s="213"/>
      <c r="AH303" s="214"/>
      <c r="AJ303" s="631">
        <f ca="1">IF(AND($D303="Serviço",AJ$12&lt;&gt;0,$H303&gt;0,OR(AUTOEVENTO&lt;&gt;"manual",$M303&lt;&gt;1)),ROUND(OFFSET($P303,0,AJ$13),15-13*ORÇAMENTO!$AF$7)/$H303*OFFSET(ORÇAMENTO!$X$15,ROW(AJ303)-ROW(AJ$15),0),0)</f>
        <v>0</v>
      </c>
      <c r="AK303" s="632">
        <f ca="1">IF(AND($D303="Serviço",AK$12&lt;&gt;0,$H303&gt;0,OR(AUTOEVENTO&lt;&gt;"manual",$M303&lt;&gt;1)),ROUND(OFFSET($P303,0,AK$13),15-13*ORÇAMENTO!$AF$7)/$H303*OFFSET(ORÇAMENTO!$X$15,ROW(AK303)-ROW(AK$15),0),0)</f>
        <v>0</v>
      </c>
      <c r="AL303" s="632">
        <f ca="1">IF(AND($D303="Serviço",AL$12&lt;&gt;0,$H303&gt;0,OR(AUTOEVENTO&lt;&gt;"manual",$M303&lt;&gt;1)),ROUND(OFFSET($P303,0,AL$13),15-13*ORÇAMENTO!$AF$7)/$H303*OFFSET(ORÇAMENTO!$X$15,ROW(AL303)-ROW(AL$15),0),0)</f>
        <v>0</v>
      </c>
      <c r="AM303" s="632">
        <f ca="1">IF(AND($D303="Serviço",AM$12&lt;&gt;0,$H303&gt;0,OR(AUTOEVENTO&lt;&gt;"manual",$M303&lt;&gt;1)),ROUND(OFFSET($P303,0,AM$13),15-13*ORÇAMENTO!$AF$7)/$H303*OFFSET(ORÇAMENTO!$X$15,ROW(AM303)-ROW(AM$15),0),0)</f>
        <v>0</v>
      </c>
      <c r="AN303" s="632">
        <f ca="1">IF(AND($D303="Serviço",AN$12&lt;&gt;0,$H303&gt;0,OR(AUTOEVENTO&lt;&gt;"manual",$M303&lt;&gt;1)),ROUND(OFFSET($P303,0,AN$13),15-13*ORÇAMENTO!$AF$7)/$H303*OFFSET(ORÇAMENTO!$X$15,ROW(AN303)-ROW(AN$15),0),0)</f>
        <v>0</v>
      </c>
      <c r="AO303" s="632">
        <f ca="1">IF(AND($D303="Serviço",AO$12&lt;&gt;0,$H303&gt;0,OR(AUTOEVENTO&lt;&gt;"manual",$M303&lt;&gt;1)),ROUND(OFFSET($P303,0,AO$13),15-13*ORÇAMENTO!$AF$7)/$H303*OFFSET(ORÇAMENTO!$X$15,ROW(AO303)-ROW(AO$15),0),0)</f>
        <v>0</v>
      </c>
      <c r="AP303" s="632">
        <f ca="1">IF(AND($D303="Serviço",AP$12&lt;&gt;0,$H303&gt;0,OR(AUTOEVENTO&lt;&gt;"manual",$M303&lt;&gt;1)),ROUND(OFFSET($P303,0,AP$13),15-13*ORÇAMENTO!$AF$7)/$H303*OFFSET(ORÇAMENTO!$X$15,ROW(AP303)-ROW(AP$15),0),0)</f>
        <v>0</v>
      </c>
      <c r="AQ303" s="632">
        <f ca="1">IF(AND($D303="Serviço",AQ$12&lt;&gt;0,$H303&gt;0,OR(AUTOEVENTO&lt;&gt;"manual",$M303&lt;&gt;1)),ROUND(OFFSET($P303,0,AQ$13),15-13*ORÇAMENTO!$AF$7)/$H303*OFFSET(ORÇAMENTO!$X$15,ROW(AQ303)-ROW(AQ$15),0),0)</f>
        <v>0</v>
      </c>
      <c r="AR303" s="632">
        <f ca="1">IF(AND($D303="Serviço",AR$12&lt;&gt;0,$H303&gt;0,OR(AUTOEVENTO&lt;&gt;"manual",$M303&lt;&gt;1)),ROUND(OFFSET($P303,0,AR$13),15-13*ORÇAMENTO!$AF$7)/$H303*OFFSET(ORÇAMENTO!$X$15,ROW(AR303)-ROW(AR$15),0),0)</f>
        <v>0</v>
      </c>
      <c r="AS303" s="633">
        <f ca="1">IF(AND($D303="Serviço",AS$12&lt;&gt;0,$H303&gt;0,OR(AUTOEVENTO&lt;&gt;"manual",$M303&lt;&gt;1)),ROUND(OFFSET($P303,0,AS$13),15-13*ORÇAMENTO!$AF$7)/$H303*OFFSET(ORÇAMENTO!$X$15,ROW(AS303)-ROW(AS$15),0),0)</f>
        <v>0</v>
      </c>
      <c r="AT303" s="632">
        <f ca="1">IF(AND($D303="Serviço",AT$12&lt;&gt;0,$H303&gt;0,OR(AUTOEVENTO&lt;&gt;"manual",$M303&lt;&gt;1)),ROUND(OFFSET($P303,0,AT$13),15-13*ORÇAMENTO!$AF$7)/$H303*OFFSET(ORÇAMENTO!$X$15,ROW(AT303)-ROW(AT$15),0),0)</f>
        <v>0</v>
      </c>
      <c r="AU303" s="632">
        <f ca="1">IF(AND($D303="Serviço",AU$12&lt;&gt;0,$H303&gt;0,OR(AUTOEVENTO&lt;&gt;"manual",$M303&lt;&gt;1)),ROUND(OFFSET($P303,0,AU$13),15-13*ORÇAMENTO!$AF$7)/$H303*OFFSET(ORÇAMENTO!$X$15,ROW(AU303)-ROW(AU$15),0),0)</f>
        <v>0</v>
      </c>
      <c r="AV303" s="632">
        <f ca="1">IF(AND($D303="Serviço",AV$12&lt;&gt;0,$H303&gt;0,OR(AUTOEVENTO&lt;&gt;"manual",$M303&lt;&gt;1)),ROUND(OFFSET($P303,0,AV$13),15-13*ORÇAMENTO!$AF$7)/$H303*OFFSET(ORÇAMENTO!$X$15,ROW(AV303)-ROW(AV$15),0),0)</f>
        <v>0</v>
      </c>
      <c r="AW303" s="632">
        <f ca="1">IF(AND($D303="Serviço",AW$12&lt;&gt;0,$H303&gt;0,OR(AUTOEVENTO&lt;&gt;"manual",$M303&lt;&gt;1)),ROUND(OFFSET($P303,0,AW$13),15-13*ORÇAMENTO!$AF$7)/$H303*OFFSET(ORÇAMENTO!$X$15,ROW(AW303)-ROW(AW$15),0),0)</f>
        <v>0</v>
      </c>
      <c r="AX303" s="632">
        <f ca="1">IF(AND($D303="Serviço",AX$12&lt;&gt;0,$H303&gt;0,OR(AUTOEVENTO&lt;&gt;"manual",$M303&lt;&gt;1)),ROUND(OFFSET($P303,0,AX$13),15-13*ORÇAMENTO!$AF$7)/$H303*OFFSET(ORÇAMENTO!$X$15,ROW(AX303)-ROW(AX$15),0),0)</f>
        <v>0</v>
      </c>
      <c r="AY303" s="632">
        <f ca="1">IF(AND($D303="Serviço",AY$12&lt;&gt;0,$H303&gt;0,OR(AUTOEVENTO&lt;&gt;"manual",$M303&lt;&gt;1)),ROUND(OFFSET($P303,0,AY$13),15-13*ORÇAMENTO!$AF$7)/$H303*OFFSET(ORÇAMENTO!$X$15,ROW(AY303)-ROW(AY$15),0),0)</f>
        <v>0</v>
      </c>
      <c r="AZ303" s="632">
        <f ca="1">IF(AND($D303="Serviço",AZ$12&lt;&gt;0,$H303&gt;0,OR(AUTOEVENTO&lt;&gt;"manual",$M303&lt;&gt;1)),ROUND(OFFSET($P303,0,AZ$13),15-13*ORÇAMENTO!$AF$7)/$H303*OFFSET(ORÇAMENTO!$X$15,ROW(AZ303)-ROW(AZ$15),0),0)</f>
        <v>0</v>
      </c>
      <c r="BA303" s="633">
        <f ca="1">IF(AND($D303="Serviço",BA$12&lt;&gt;0,$H303&gt;0,OR(AUTOEVENTO&lt;&gt;"manual",$M303&lt;&gt;1)),ROUND(OFFSET($P303,0,BA$13),15-13*ORÇAMENTO!$AF$7)/$H303*OFFSET(ORÇAMENTO!$X$15,ROW(BA303)-ROW(BA$15),0),0)</f>
        <v>0</v>
      </c>
      <c r="BC303" s="215">
        <f ca="1">IF($D303&lt;&gt;"Serviço",0,IF(AND(AUTOEVENTO="Manual",$M303=1),0,IF(OFFSET(CRONOPLE!$F$14,$M303,BC$13)="",10^12,OFFSET(CRONOPLE!$F$14,$M303,BC$13))))</f>
        <v>1000000000000</v>
      </c>
      <c r="BD303" s="215">
        <f ca="1">IF($D303&lt;&gt;"Serviço",0,IF(AND(AUTOEVENTO="Manual",$M303=1),0,IF(OFFSET(CRONOPLE!$F$14,$M303,BD$13)="",10^12,OFFSET(CRONOPLE!$F$14,$M303,BD$13))))</f>
        <v>1000000000000</v>
      </c>
      <c r="BE303" s="215">
        <f ca="1">IF($D303&lt;&gt;"Serviço",0,IF(AND(AUTOEVENTO="Manual",$M303=1),0,IF(OFFSET(CRONOPLE!$F$14,$M303,BE$13)="",10^12,OFFSET(CRONOPLE!$F$14,$M303,BE$13))))</f>
        <v>1000000000000</v>
      </c>
      <c r="BF303" s="215">
        <f ca="1">IF($D303&lt;&gt;"Serviço",0,IF(AND(AUTOEVENTO="Manual",$M303=1),0,IF(OFFSET(CRONOPLE!$F$14,$M303,BF$13)="",10^12,OFFSET(CRONOPLE!$F$14,$M303,BF$13))))</f>
        <v>1000000000000</v>
      </c>
      <c r="BG303" s="215">
        <f ca="1">IF($D303&lt;&gt;"Serviço",0,IF(AND(AUTOEVENTO="Manual",$M303=1),0,IF(OFFSET(CRONOPLE!$F$14,$M303,BG$13)="",10^12,OFFSET(CRONOPLE!$F$14,$M303,BG$13))))</f>
        <v>1000000000000</v>
      </c>
      <c r="BH303" s="215">
        <f ca="1">IF($D303&lt;&gt;"Serviço",0,IF(AND(AUTOEVENTO="Manual",$M303=1),0,IF(OFFSET(CRONOPLE!$F$14,$M303,BH$13)="",10^12,OFFSET(CRONOPLE!$F$14,$M303,BH$13))))</f>
        <v>1000000000000</v>
      </c>
      <c r="BI303" s="215">
        <f ca="1">IF($D303&lt;&gt;"Serviço",0,IF(AND(AUTOEVENTO="Manual",$M303=1),0,IF(OFFSET(CRONOPLE!$F$14,$M303,BI$13)="",10^12,OFFSET(CRONOPLE!$F$14,$M303,BI$13))))</f>
        <v>1000000000000</v>
      </c>
      <c r="BJ303" s="215">
        <f ca="1">IF($D303&lt;&gt;"Serviço",0,IF(AND(AUTOEVENTO="Manual",$M303=1),0,IF(OFFSET(CRONOPLE!$F$14,$M303,BJ$13)="",10^12,OFFSET(CRONOPLE!$F$14,$M303,BJ$13))))</f>
        <v>1000000000000</v>
      </c>
      <c r="BK303" s="215">
        <f ca="1">IF($D303&lt;&gt;"Serviço",0,IF(AND(AUTOEVENTO="Manual",$M303=1),0,IF(OFFSET(CRONOPLE!$F$14,$M303,BK$13)="",10^12,OFFSET(CRONOPLE!$F$14,$M303,BK$13))))</f>
        <v>1000000000000</v>
      </c>
      <c r="BL303" s="215">
        <f ca="1">IF($D303&lt;&gt;"Serviço",0,IF(AND(AUTOEVENTO="Manual",$M303=1),0,IF(OFFSET(CRONOPLE!$F$14,$M303,BL$13)="",10^12,OFFSET(CRONOPLE!$F$14,$M303,BL$13))))</f>
        <v>1000000000000</v>
      </c>
      <c r="BM303" s="215">
        <f ca="1">IF($D303&lt;&gt;"Serviço",0,IF(AND(AUTOEVENTO="Manual",$M303=1),0,IF(OFFSET(CRONOPLE!$F$14,$M303,BM$13)="",10^12,OFFSET(CRONOPLE!$F$14,$M303,BM$13))))</f>
        <v>1000000000000</v>
      </c>
      <c r="BN303" s="215">
        <f ca="1">IF($D303&lt;&gt;"Serviço",0,IF(AND(AUTOEVENTO="Manual",$M303=1),0,IF(OFFSET(CRONOPLE!$F$14,$M303,BN$13)="",10^12,OFFSET(CRONOPLE!$F$14,$M303,BN$13))))</f>
        <v>1000000000000</v>
      </c>
      <c r="BO303" s="215">
        <f ca="1">IF($D303&lt;&gt;"Serviço",0,IF(AND(AUTOEVENTO="Manual",$M303=1),0,IF(OFFSET(CRONOPLE!$F$14,$M303,BO$13)="",10^12,OFFSET(CRONOPLE!$F$14,$M303,BO$13))))</f>
        <v>1000000000000</v>
      </c>
      <c r="BP303" s="215">
        <f ca="1">IF($D303&lt;&gt;"Serviço",0,IF(AND(AUTOEVENTO="Manual",$M303=1),0,IF(OFFSET(CRONOPLE!$F$14,$M303,BP$13)="",10^12,OFFSET(CRONOPLE!$F$14,$M303,BP$13))))</f>
        <v>1000000000000</v>
      </c>
      <c r="BQ303" s="215">
        <f ca="1">IF($D303&lt;&gt;"Serviço",0,IF(AND(AUTOEVENTO="Manual",$M303=1),0,IF(OFFSET(CRONOPLE!$F$14,$M303,BQ$13)="",10^12,OFFSET(CRONOPLE!$F$14,$M303,BQ$13))))</f>
        <v>1000000000000</v>
      </c>
      <c r="BR303" s="215">
        <f ca="1">IF($D303&lt;&gt;"Serviço",0,IF(AND(AUTOEVENTO="Manual",$M303=1),0,IF(OFFSET(CRONOPLE!$F$14,$M303,BR$13)="",10^12,OFFSET(CRONOPLE!$F$14,$M303,BR$13))))</f>
        <v>1000000000000</v>
      </c>
      <c r="BS303" s="215">
        <f ca="1">IF($D303&lt;&gt;"Serviço",0,IF(AND(AUTOEVENTO="Manual",$M303=1),0,IF(OFFSET(CRONOPLE!$F$14,$M303,BS$13)="",10^12,OFFSET(CRONOPLE!$F$14,$M303,BS$13))))</f>
        <v>1000000000000</v>
      </c>
      <c r="BT303" s="215">
        <f ca="1">IF($D303&lt;&gt;"Serviço",0,IF(AND(AUTOEVENTO="Manual",$M303=1),0,IF(OFFSET(CRONOPLE!$F$14,$M303,BT$13)="",10^12,OFFSET(CRONOPLE!$F$14,$M303,BT$13))))</f>
        <v>1000000000000</v>
      </c>
      <c r="BV303" s="216">
        <f ca="1">IF($D303&lt;&gt;"Serviço",0,IF(OR(AND(AUTOEVENTO="Manual",$M303=1),$M303&gt;(ROW(PLE.lastrow)-ROW(PLE.firstrow))),0,IF(OFFSET(PLE!$G$14,$M303,BV$13)="",10^12,OFFSET(PLE!$G$14,$M303,BV$13))))</f>
        <v>1000000000000</v>
      </c>
      <c r="BW303" s="216">
        <f ca="1">IF($D303&lt;&gt;"Serviço",0,IF(OR(AND(AUTOEVENTO="Manual",$M303=1),$M303&gt;(ROW(PLE.lastrow)-ROW(PLE.firstrow))),0,IF(OFFSET(PLE!$G$14,$M303,BW$13)="",10^12,OFFSET(PLE!$G$14,$M303,BW$13))))</f>
        <v>1000000000000</v>
      </c>
      <c r="BX303" s="216">
        <f ca="1">IF($D303&lt;&gt;"Serviço",0,IF(OR(AND(AUTOEVENTO="Manual",$M303=1),$M303&gt;(ROW(PLE.lastrow)-ROW(PLE.firstrow))),0,IF(OFFSET(PLE!$G$14,$M303,BX$13)="",10^12,OFFSET(PLE!$G$14,$M303,BX$13))))</f>
        <v>1000000000000</v>
      </c>
      <c r="BY303" s="216">
        <f ca="1">IF($D303&lt;&gt;"Serviço",0,IF(OR(AND(AUTOEVENTO="Manual",$M303=1),$M303&gt;(ROW(PLE.lastrow)-ROW(PLE.firstrow))),0,IF(OFFSET(PLE!$G$14,$M303,BY$13)="",10^12,OFFSET(PLE!$G$14,$M303,BY$13))))</f>
        <v>1000000000000</v>
      </c>
      <c r="BZ303" s="216">
        <f ca="1">IF($D303&lt;&gt;"Serviço",0,IF(OR(AND(AUTOEVENTO="Manual",$M303=1),$M303&gt;(ROW(PLE.lastrow)-ROW(PLE.firstrow))),0,IF(OFFSET(PLE!$G$14,$M303,BZ$13)="",10^12,OFFSET(PLE!$G$14,$M303,BZ$13))))</f>
        <v>1000000000000</v>
      </c>
      <c r="CA303" s="216">
        <f ca="1">IF($D303&lt;&gt;"Serviço",0,IF(OR(AND(AUTOEVENTO="Manual",$M303=1),$M303&gt;(ROW(PLE.lastrow)-ROW(PLE.firstrow))),0,IF(OFFSET(PLE!$G$14,$M303,CA$13)="",10^12,OFFSET(PLE!$G$14,$M303,CA$13))))</f>
        <v>1000000000000</v>
      </c>
      <c r="CB303" s="216">
        <f ca="1">IF($D303&lt;&gt;"Serviço",0,IF(OR(AND(AUTOEVENTO="Manual",$M303=1),$M303&gt;(ROW(PLE.lastrow)-ROW(PLE.firstrow))),0,IF(OFFSET(PLE!$G$14,$M303,CB$13)="",10^12,OFFSET(PLE!$G$14,$M303,CB$13))))</f>
        <v>1000000000000</v>
      </c>
      <c r="CC303" s="216">
        <f ca="1">IF($D303&lt;&gt;"Serviço",0,IF(OR(AND(AUTOEVENTO="Manual",$M303=1),$M303&gt;(ROW(PLE.lastrow)-ROW(PLE.firstrow))),0,IF(OFFSET(PLE!$G$14,$M303,CC$13)="",10^12,OFFSET(PLE!$G$14,$M303,CC$13))))</f>
        <v>1000000000000</v>
      </c>
      <c r="CD303" s="216">
        <f ca="1">IF($D303&lt;&gt;"Serviço",0,IF(OR(AND(AUTOEVENTO="Manual",$M303=1),$M303&gt;(ROW(PLE.lastrow)-ROW(PLE.firstrow))),0,IF(OFFSET(PLE!$G$14,$M303,CD$13)="",10^12,OFFSET(PLE!$G$14,$M303,CD$13))))</f>
        <v>1000000000000</v>
      </c>
      <c r="CE303" s="216">
        <f ca="1">IF($D303&lt;&gt;"Serviço",0,IF(OR(AND(AUTOEVENTO="Manual",$M303=1),$M303&gt;(ROW(PLE.lastrow)-ROW(PLE.firstrow))),0,IF(OFFSET(PLE!$G$14,$M303,CE$13)="",10^12,OFFSET(PLE!$G$14,$M303,CE$13))))</f>
        <v>1000000000000</v>
      </c>
      <c r="CF303" s="216">
        <f ca="1">IF($D303&lt;&gt;"Serviço",0,IF(OR(AND(AUTOEVENTO="Manual",$M303=1),$M303&gt;(ROW(PLE.lastrow)-ROW(PLE.firstrow))),0,IF(OFFSET(PLE!$G$14,$M303,CF$13)="",10^12,OFFSET(PLE!$G$14,$M303,CF$13))))</f>
        <v>1000000000000</v>
      </c>
      <c r="CG303" s="216">
        <f ca="1">IF($D303&lt;&gt;"Serviço",0,IF(OR(AND(AUTOEVENTO="Manual",$M303=1),$M303&gt;(ROW(PLE.lastrow)-ROW(PLE.firstrow))),0,IF(OFFSET(PLE!$G$14,$M303,CG$13)="",10^12,OFFSET(PLE!$G$14,$M303,CG$13))))</f>
        <v>1000000000000</v>
      </c>
      <c r="CH303" s="216">
        <f ca="1">IF($D303&lt;&gt;"Serviço",0,IF(OR(AND(AUTOEVENTO="Manual",$M303=1),$M303&gt;(ROW(PLE.lastrow)-ROW(PLE.firstrow))),0,IF(OFFSET(PLE!$G$14,$M303,CH$13)="",10^12,OFFSET(PLE!$G$14,$M303,CH$13))))</f>
        <v>1000000000000</v>
      </c>
      <c r="CI303" s="216">
        <f ca="1">IF($D303&lt;&gt;"Serviço",0,IF(OR(AND(AUTOEVENTO="Manual",$M303=1),$M303&gt;(ROW(PLE.lastrow)-ROW(PLE.firstrow))),0,IF(OFFSET(PLE!$G$14,$M303,CI$13)="",10^12,OFFSET(PLE!$G$14,$M303,CI$13))))</f>
        <v>1000000000000</v>
      </c>
      <c r="CJ303" s="216">
        <f ca="1">IF($D303&lt;&gt;"Serviço",0,IF(OR(AND(AUTOEVENTO="Manual",$M303=1),$M303&gt;(ROW(PLE.lastrow)-ROW(PLE.firstrow))),0,IF(OFFSET(PLE!$G$14,$M303,CJ$13)="",10^12,OFFSET(PLE!$G$14,$M303,CJ$13))))</f>
        <v>1000000000000</v>
      </c>
      <c r="CK303" s="216">
        <f ca="1">IF($D303&lt;&gt;"Serviço",0,IF(OR(AND(AUTOEVENTO="Manual",$M303=1),$M303&gt;(ROW(PLE.lastrow)-ROW(PLE.firstrow))),0,IF(OFFSET(PLE!$G$14,$M303,CK$13)="",10^12,OFFSET(PLE!$G$14,$M303,CK$13))))</f>
        <v>1000000000000</v>
      </c>
      <c r="CL303" s="216">
        <f ca="1">IF($D303&lt;&gt;"Serviço",0,IF(OR(AND(AUTOEVENTO="Manual",$M303=1),$M303&gt;(ROW(PLE.lastrow)-ROW(PLE.firstrow))),0,IF(OFFSET(PLE!$G$14,$M303,CL$13)="",10^12,OFFSET(PLE!$G$14,$M303,CL$13))))</f>
        <v>1000000000000</v>
      </c>
      <c r="CM303" s="216">
        <f ca="1">IF($D303&lt;&gt;"Serviço",0,IF(OR(AND(AUTOEVENTO="Manual",$M303=1),$M303&gt;(ROW(PLE.lastrow)-ROW(PLE.firstrow))),0,IF(OFFSET(PLE!$G$14,$M303,CM$13)="",10^12,OFFSET(PLE!$G$14,$M303,CM$13))))</f>
        <v>1000000000000</v>
      </c>
    </row>
    <row r="304" spans="1:91" ht="13.2" x14ac:dyDescent="0.25">
      <c r="A304" s="9">
        <f t="shared" ca="1" si="13"/>
        <v>0</v>
      </c>
      <c r="B304" s="9" t="str">
        <f ca="1">OFFSET(ORÇAMENTO!C$15,ROW(B304)-ROW(B$15),0)</f>
        <v>S</v>
      </c>
      <c r="C304" s="9" t="str">
        <f ca="1">OFFSET(ORÇAMENTO!L$15,ROW(C304)-ROW(C$15),0)</f>
        <v/>
      </c>
      <c r="D304" s="145" t="str">
        <f ca="1">OFFSET(ORÇAMENTO!N$15,ROW(D304)-ROW(D$15),0)</f>
        <v>Serviço</v>
      </c>
      <c r="E304" s="205" t="str">
        <f ca="1">OFFSET(ORÇAMENTO!O$15,ROW(E304)-ROW(E$15),0)</f>
        <v>-</v>
      </c>
      <c r="F304" s="206" t="str">
        <f ca="1">OFFSET(ORÇAMENTO!R$15,ROW(F304)-ROW(F$15),0)</f>
        <v>(abra o arquivo 'Referência 05-2024.xls)</v>
      </c>
      <c r="G304" s="207" t="str">
        <f ca="1">IF($D304&lt;&gt;"Serviço","",OFFSET(ORÇAMENTO!S$15,ROW(G304)-ROW(G$15),0))</f>
        <v>-</v>
      </c>
      <c r="H304" s="151">
        <f ca="1">IF($D304&lt;&gt;"Serviço",0,IF(ACOMPANHAMENTO="BM",ROUND(OFFSET(ORÇAMENTO!AJ$15,ROW(H304)-ROW(H$15),0),15-13*ORÇAMENTO!$AF$7),SUMPRODUCT(($Q$12:$AI$12&lt;&gt;"")*ROUND($Q304:$AI304,15-13*ORÇAMENTO!$AF$7))))</f>
        <v>105.97</v>
      </c>
      <c r="I304" s="650"/>
      <c r="K304" s="208"/>
      <c r="L304" s="209" t="s">
        <v>257</v>
      </c>
      <c r="M304" s="210">
        <f ca="1">IF($D304&lt;&gt;"Serviço","",IF(AUTOEVENTO="manual",$A304,IF(ISERROR(MATCH($A304,$A$15:OFFSET($A304,-1,0),0)),MAX($M$15:OFFSET(M304,-1,0))+1,INDEX($M$15:OFFSET(M304,-1,0),MATCH($A304,$A$15:OFFSET($A304,-1,0),0)))))</f>
        <v>0</v>
      </c>
      <c r="N304" s="211" t="str">
        <f ca="1">IF($D304&lt;&gt;"Serviço","",IF(AUTOEVENTO="Manual",IF($A304=0,"&lt;-- defina o número do agrupador",OFFSET(EVENTOS!$D$14,$A304,0)),OFFSET($F$15,$A304,0)))</f>
        <v>&lt;-- defina o número do agrupador</v>
      </c>
      <c r="O304" s="212"/>
      <c r="Q304" s="212"/>
      <c r="R304" s="213"/>
      <c r="S304" s="213"/>
      <c r="T304" s="213"/>
      <c r="U304" s="213"/>
      <c r="V304" s="213"/>
      <c r="W304" s="213"/>
      <c r="X304" s="213"/>
      <c r="Y304" s="213"/>
      <c r="Z304" s="214"/>
      <c r="AA304" s="213"/>
      <c r="AB304" s="213"/>
      <c r="AC304" s="213"/>
      <c r="AD304" s="213"/>
      <c r="AE304" s="213"/>
      <c r="AF304" s="213"/>
      <c r="AG304" s="213"/>
      <c r="AH304" s="214"/>
      <c r="AJ304" s="631">
        <f ca="1">IF(AND($D304="Serviço",AJ$12&lt;&gt;0,$H304&gt;0,OR(AUTOEVENTO&lt;&gt;"manual",$M304&lt;&gt;1)),ROUND(OFFSET($P304,0,AJ$13),15-13*ORÇAMENTO!$AF$7)/$H304*OFFSET(ORÇAMENTO!$X$15,ROW(AJ304)-ROW(AJ$15),0),0)</f>
        <v>0</v>
      </c>
      <c r="AK304" s="632">
        <f ca="1">IF(AND($D304="Serviço",AK$12&lt;&gt;0,$H304&gt;0,OR(AUTOEVENTO&lt;&gt;"manual",$M304&lt;&gt;1)),ROUND(OFFSET($P304,0,AK$13),15-13*ORÇAMENTO!$AF$7)/$H304*OFFSET(ORÇAMENTO!$X$15,ROW(AK304)-ROW(AK$15),0),0)</f>
        <v>0</v>
      </c>
      <c r="AL304" s="632">
        <f ca="1">IF(AND($D304="Serviço",AL$12&lt;&gt;0,$H304&gt;0,OR(AUTOEVENTO&lt;&gt;"manual",$M304&lt;&gt;1)),ROUND(OFFSET($P304,0,AL$13),15-13*ORÇAMENTO!$AF$7)/$H304*OFFSET(ORÇAMENTO!$X$15,ROW(AL304)-ROW(AL$15),0),0)</f>
        <v>0</v>
      </c>
      <c r="AM304" s="632">
        <f ca="1">IF(AND($D304="Serviço",AM$12&lt;&gt;0,$H304&gt;0,OR(AUTOEVENTO&lt;&gt;"manual",$M304&lt;&gt;1)),ROUND(OFFSET($P304,0,AM$13),15-13*ORÇAMENTO!$AF$7)/$H304*OFFSET(ORÇAMENTO!$X$15,ROW(AM304)-ROW(AM$15),0),0)</f>
        <v>0</v>
      </c>
      <c r="AN304" s="632">
        <f ca="1">IF(AND($D304="Serviço",AN$12&lt;&gt;0,$H304&gt;0,OR(AUTOEVENTO&lt;&gt;"manual",$M304&lt;&gt;1)),ROUND(OFFSET($P304,0,AN$13),15-13*ORÇAMENTO!$AF$7)/$H304*OFFSET(ORÇAMENTO!$X$15,ROW(AN304)-ROW(AN$15),0),0)</f>
        <v>0</v>
      </c>
      <c r="AO304" s="632">
        <f ca="1">IF(AND($D304="Serviço",AO$12&lt;&gt;0,$H304&gt;0,OR(AUTOEVENTO&lt;&gt;"manual",$M304&lt;&gt;1)),ROUND(OFFSET($P304,0,AO$13),15-13*ORÇAMENTO!$AF$7)/$H304*OFFSET(ORÇAMENTO!$X$15,ROW(AO304)-ROW(AO$15),0),0)</f>
        <v>0</v>
      </c>
      <c r="AP304" s="632">
        <f ca="1">IF(AND($D304="Serviço",AP$12&lt;&gt;0,$H304&gt;0,OR(AUTOEVENTO&lt;&gt;"manual",$M304&lt;&gt;1)),ROUND(OFFSET($P304,0,AP$13),15-13*ORÇAMENTO!$AF$7)/$H304*OFFSET(ORÇAMENTO!$X$15,ROW(AP304)-ROW(AP$15),0),0)</f>
        <v>0</v>
      </c>
      <c r="AQ304" s="632">
        <f ca="1">IF(AND($D304="Serviço",AQ$12&lt;&gt;0,$H304&gt;0,OR(AUTOEVENTO&lt;&gt;"manual",$M304&lt;&gt;1)),ROUND(OFFSET($P304,0,AQ$13),15-13*ORÇAMENTO!$AF$7)/$H304*OFFSET(ORÇAMENTO!$X$15,ROW(AQ304)-ROW(AQ$15),0),0)</f>
        <v>0</v>
      </c>
      <c r="AR304" s="632">
        <f ca="1">IF(AND($D304="Serviço",AR$12&lt;&gt;0,$H304&gt;0,OR(AUTOEVENTO&lt;&gt;"manual",$M304&lt;&gt;1)),ROUND(OFFSET($P304,0,AR$13),15-13*ORÇAMENTO!$AF$7)/$H304*OFFSET(ORÇAMENTO!$X$15,ROW(AR304)-ROW(AR$15),0),0)</f>
        <v>0</v>
      </c>
      <c r="AS304" s="633">
        <f ca="1">IF(AND($D304="Serviço",AS$12&lt;&gt;0,$H304&gt;0,OR(AUTOEVENTO&lt;&gt;"manual",$M304&lt;&gt;1)),ROUND(OFFSET($P304,0,AS$13),15-13*ORÇAMENTO!$AF$7)/$H304*OFFSET(ORÇAMENTO!$X$15,ROW(AS304)-ROW(AS$15),0),0)</f>
        <v>0</v>
      </c>
      <c r="AT304" s="632">
        <f ca="1">IF(AND($D304="Serviço",AT$12&lt;&gt;0,$H304&gt;0,OR(AUTOEVENTO&lt;&gt;"manual",$M304&lt;&gt;1)),ROUND(OFFSET($P304,0,AT$13),15-13*ORÇAMENTO!$AF$7)/$H304*OFFSET(ORÇAMENTO!$X$15,ROW(AT304)-ROW(AT$15),0),0)</f>
        <v>0</v>
      </c>
      <c r="AU304" s="632">
        <f ca="1">IF(AND($D304="Serviço",AU$12&lt;&gt;0,$H304&gt;0,OR(AUTOEVENTO&lt;&gt;"manual",$M304&lt;&gt;1)),ROUND(OFFSET($P304,0,AU$13),15-13*ORÇAMENTO!$AF$7)/$H304*OFFSET(ORÇAMENTO!$X$15,ROW(AU304)-ROW(AU$15),0),0)</f>
        <v>0</v>
      </c>
      <c r="AV304" s="632">
        <f ca="1">IF(AND($D304="Serviço",AV$12&lt;&gt;0,$H304&gt;0,OR(AUTOEVENTO&lt;&gt;"manual",$M304&lt;&gt;1)),ROUND(OFFSET($P304,0,AV$13),15-13*ORÇAMENTO!$AF$7)/$H304*OFFSET(ORÇAMENTO!$X$15,ROW(AV304)-ROW(AV$15),0),0)</f>
        <v>0</v>
      </c>
      <c r="AW304" s="632">
        <f ca="1">IF(AND($D304="Serviço",AW$12&lt;&gt;0,$H304&gt;0,OR(AUTOEVENTO&lt;&gt;"manual",$M304&lt;&gt;1)),ROUND(OFFSET($P304,0,AW$13),15-13*ORÇAMENTO!$AF$7)/$H304*OFFSET(ORÇAMENTO!$X$15,ROW(AW304)-ROW(AW$15),0),0)</f>
        <v>0</v>
      </c>
      <c r="AX304" s="632">
        <f ca="1">IF(AND($D304="Serviço",AX$12&lt;&gt;0,$H304&gt;0,OR(AUTOEVENTO&lt;&gt;"manual",$M304&lt;&gt;1)),ROUND(OFFSET($P304,0,AX$13),15-13*ORÇAMENTO!$AF$7)/$H304*OFFSET(ORÇAMENTO!$X$15,ROW(AX304)-ROW(AX$15),0),0)</f>
        <v>0</v>
      </c>
      <c r="AY304" s="632">
        <f ca="1">IF(AND($D304="Serviço",AY$12&lt;&gt;0,$H304&gt;0,OR(AUTOEVENTO&lt;&gt;"manual",$M304&lt;&gt;1)),ROUND(OFFSET($P304,0,AY$13),15-13*ORÇAMENTO!$AF$7)/$H304*OFFSET(ORÇAMENTO!$X$15,ROW(AY304)-ROW(AY$15),0),0)</f>
        <v>0</v>
      </c>
      <c r="AZ304" s="632">
        <f ca="1">IF(AND($D304="Serviço",AZ$12&lt;&gt;0,$H304&gt;0,OR(AUTOEVENTO&lt;&gt;"manual",$M304&lt;&gt;1)),ROUND(OFFSET($P304,0,AZ$13),15-13*ORÇAMENTO!$AF$7)/$H304*OFFSET(ORÇAMENTO!$X$15,ROW(AZ304)-ROW(AZ$15),0),0)</f>
        <v>0</v>
      </c>
      <c r="BA304" s="633">
        <f ca="1">IF(AND($D304="Serviço",BA$12&lt;&gt;0,$H304&gt;0,OR(AUTOEVENTO&lt;&gt;"manual",$M304&lt;&gt;1)),ROUND(OFFSET($P304,0,BA$13),15-13*ORÇAMENTO!$AF$7)/$H304*OFFSET(ORÇAMENTO!$X$15,ROW(BA304)-ROW(BA$15),0),0)</f>
        <v>0</v>
      </c>
      <c r="BC304" s="215">
        <f ca="1">IF($D304&lt;&gt;"Serviço",0,IF(AND(AUTOEVENTO="Manual",$M304=1),0,IF(OFFSET(CRONOPLE!$F$14,$M304,BC$13)="",10^12,OFFSET(CRONOPLE!$F$14,$M304,BC$13))))</f>
        <v>1000000000000</v>
      </c>
      <c r="BD304" s="215">
        <f ca="1">IF($D304&lt;&gt;"Serviço",0,IF(AND(AUTOEVENTO="Manual",$M304=1),0,IF(OFFSET(CRONOPLE!$F$14,$M304,BD$13)="",10^12,OFFSET(CRONOPLE!$F$14,$M304,BD$13))))</f>
        <v>1000000000000</v>
      </c>
      <c r="BE304" s="215">
        <f ca="1">IF($D304&lt;&gt;"Serviço",0,IF(AND(AUTOEVENTO="Manual",$M304=1),0,IF(OFFSET(CRONOPLE!$F$14,$M304,BE$13)="",10^12,OFFSET(CRONOPLE!$F$14,$M304,BE$13))))</f>
        <v>1000000000000</v>
      </c>
      <c r="BF304" s="215">
        <f ca="1">IF($D304&lt;&gt;"Serviço",0,IF(AND(AUTOEVENTO="Manual",$M304=1),0,IF(OFFSET(CRONOPLE!$F$14,$M304,BF$13)="",10^12,OFFSET(CRONOPLE!$F$14,$M304,BF$13))))</f>
        <v>1000000000000</v>
      </c>
      <c r="BG304" s="215">
        <f ca="1">IF($D304&lt;&gt;"Serviço",0,IF(AND(AUTOEVENTO="Manual",$M304=1),0,IF(OFFSET(CRONOPLE!$F$14,$M304,BG$13)="",10^12,OFFSET(CRONOPLE!$F$14,$M304,BG$13))))</f>
        <v>1000000000000</v>
      </c>
      <c r="BH304" s="215">
        <f ca="1">IF($D304&lt;&gt;"Serviço",0,IF(AND(AUTOEVENTO="Manual",$M304=1),0,IF(OFFSET(CRONOPLE!$F$14,$M304,BH$13)="",10^12,OFFSET(CRONOPLE!$F$14,$M304,BH$13))))</f>
        <v>1000000000000</v>
      </c>
      <c r="BI304" s="215">
        <f ca="1">IF($D304&lt;&gt;"Serviço",0,IF(AND(AUTOEVENTO="Manual",$M304=1),0,IF(OFFSET(CRONOPLE!$F$14,$M304,BI$13)="",10^12,OFFSET(CRONOPLE!$F$14,$M304,BI$13))))</f>
        <v>1000000000000</v>
      </c>
      <c r="BJ304" s="215">
        <f ca="1">IF($D304&lt;&gt;"Serviço",0,IF(AND(AUTOEVENTO="Manual",$M304=1),0,IF(OFFSET(CRONOPLE!$F$14,$M304,BJ$13)="",10^12,OFFSET(CRONOPLE!$F$14,$M304,BJ$13))))</f>
        <v>1000000000000</v>
      </c>
      <c r="BK304" s="215">
        <f ca="1">IF($D304&lt;&gt;"Serviço",0,IF(AND(AUTOEVENTO="Manual",$M304=1),0,IF(OFFSET(CRONOPLE!$F$14,$M304,BK$13)="",10^12,OFFSET(CRONOPLE!$F$14,$M304,BK$13))))</f>
        <v>1000000000000</v>
      </c>
      <c r="BL304" s="215">
        <f ca="1">IF($D304&lt;&gt;"Serviço",0,IF(AND(AUTOEVENTO="Manual",$M304=1),0,IF(OFFSET(CRONOPLE!$F$14,$M304,BL$13)="",10^12,OFFSET(CRONOPLE!$F$14,$M304,BL$13))))</f>
        <v>1000000000000</v>
      </c>
      <c r="BM304" s="215">
        <f ca="1">IF($D304&lt;&gt;"Serviço",0,IF(AND(AUTOEVENTO="Manual",$M304=1),0,IF(OFFSET(CRONOPLE!$F$14,$M304,BM$13)="",10^12,OFFSET(CRONOPLE!$F$14,$M304,BM$13))))</f>
        <v>1000000000000</v>
      </c>
      <c r="BN304" s="215">
        <f ca="1">IF($D304&lt;&gt;"Serviço",0,IF(AND(AUTOEVENTO="Manual",$M304=1),0,IF(OFFSET(CRONOPLE!$F$14,$M304,BN$13)="",10^12,OFFSET(CRONOPLE!$F$14,$M304,BN$13))))</f>
        <v>1000000000000</v>
      </c>
      <c r="BO304" s="215">
        <f ca="1">IF($D304&lt;&gt;"Serviço",0,IF(AND(AUTOEVENTO="Manual",$M304=1),0,IF(OFFSET(CRONOPLE!$F$14,$M304,BO$13)="",10^12,OFFSET(CRONOPLE!$F$14,$M304,BO$13))))</f>
        <v>1000000000000</v>
      </c>
      <c r="BP304" s="215">
        <f ca="1">IF($D304&lt;&gt;"Serviço",0,IF(AND(AUTOEVENTO="Manual",$M304=1),0,IF(OFFSET(CRONOPLE!$F$14,$M304,BP$13)="",10^12,OFFSET(CRONOPLE!$F$14,$M304,BP$13))))</f>
        <v>1000000000000</v>
      </c>
      <c r="BQ304" s="215">
        <f ca="1">IF($D304&lt;&gt;"Serviço",0,IF(AND(AUTOEVENTO="Manual",$M304=1),0,IF(OFFSET(CRONOPLE!$F$14,$M304,BQ$13)="",10^12,OFFSET(CRONOPLE!$F$14,$M304,BQ$13))))</f>
        <v>1000000000000</v>
      </c>
      <c r="BR304" s="215">
        <f ca="1">IF($D304&lt;&gt;"Serviço",0,IF(AND(AUTOEVENTO="Manual",$M304=1),0,IF(OFFSET(CRONOPLE!$F$14,$M304,BR$13)="",10^12,OFFSET(CRONOPLE!$F$14,$M304,BR$13))))</f>
        <v>1000000000000</v>
      </c>
      <c r="BS304" s="215">
        <f ca="1">IF($D304&lt;&gt;"Serviço",0,IF(AND(AUTOEVENTO="Manual",$M304=1),0,IF(OFFSET(CRONOPLE!$F$14,$M304,BS$13)="",10^12,OFFSET(CRONOPLE!$F$14,$M304,BS$13))))</f>
        <v>1000000000000</v>
      </c>
      <c r="BT304" s="215">
        <f ca="1">IF($D304&lt;&gt;"Serviço",0,IF(AND(AUTOEVENTO="Manual",$M304=1),0,IF(OFFSET(CRONOPLE!$F$14,$M304,BT$13)="",10^12,OFFSET(CRONOPLE!$F$14,$M304,BT$13))))</f>
        <v>1000000000000</v>
      </c>
      <c r="BV304" s="216">
        <f ca="1">IF($D304&lt;&gt;"Serviço",0,IF(OR(AND(AUTOEVENTO="Manual",$M304=1),$M304&gt;(ROW(PLE.lastrow)-ROW(PLE.firstrow))),0,IF(OFFSET(PLE!$G$14,$M304,BV$13)="",10^12,OFFSET(PLE!$G$14,$M304,BV$13))))</f>
        <v>1000000000000</v>
      </c>
      <c r="BW304" s="216">
        <f ca="1">IF($D304&lt;&gt;"Serviço",0,IF(OR(AND(AUTOEVENTO="Manual",$M304=1),$M304&gt;(ROW(PLE.lastrow)-ROW(PLE.firstrow))),0,IF(OFFSET(PLE!$G$14,$M304,BW$13)="",10^12,OFFSET(PLE!$G$14,$M304,BW$13))))</f>
        <v>1000000000000</v>
      </c>
      <c r="BX304" s="216">
        <f ca="1">IF($D304&lt;&gt;"Serviço",0,IF(OR(AND(AUTOEVENTO="Manual",$M304=1),$M304&gt;(ROW(PLE.lastrow)-ROW(PLE.firstrow))),0,IF(OFFSET(PLE!$G$14,$M304,BX$13)="",10^12,OFFSET(PLE!$G$14,$M304,BX$13))))</f>
        <v>1000000000000</v>
      </c>
      <c r="BY304" s="216">
        <f ca="1">IF($D304&lt;&gt;"Serviço",0,IF(OR(AND(AUTOEVENTO="Manual",$M304=1),$M304&gt;(ROW(PLE.lastrow)-ROW(PLE.firstrow))),0,IF(OFFSET(PLE!$G$14,$M304,BY$13)="",10^12,OFFSET(PLE!$G$14,$M304,BY$13))))</f>
        <v>1000000000000</v>
      </c>
      <c r="BZ304" s="216">
        <f ca="1">IF($D304&lt;&gt;"Serviço",0,IF(OR(AND(AUTOEVENTO="Manual",$M304=1),$M304&gt;(ROW(PLE.lastrow)-ROW(PLE.firstrow))),0,IF(OFFSET(PLE!$G$14,$M304,BZ$13)="",10^12,OFFSET(PLE!$G$14,$M304,BZ$13))))</f>
        <v>1000000000000</v>
      </c>
      <c r="CA304" s="216">
        <f ca="1">IF($D304&lt;&gt;"Serviço",0,IF(OR(AND(AUTOEVENTO="Manual",$M304=1),$M304&gt;(ROW(PLE.lastrow)-ROW(PLE.firstrow))),0,IF(OFFSET(PLE!$G$14,$M304,CA$13)="",10^12,OFFSET(PLE!$G$14,$M304,CA$13))))</f>
        <v>1000000000000</v>
      </c>
      <c r="CB304" s="216">
        <f ca="1">IF($D304&lt;&gt;"Serviço",0,IF(OR(AND(AUTOEVENTO="Manual",$M304=1),$M304&gt;(ROW(PLE.lastrow)-ROW(PLE.firstrow))),0,IF(OFFSET(PLE!$G$14,$M304,CB$13)="",10^12,OFFSET(PLE!$G$14,$M304,CB$13))))</f>
        <v>1000000000000</v>
      </c>
      <c r="CC304" s="216">
        <f ca="1">IF($D304&lt;&gt;"Serviço",0,IF(OR(AND(AUTOEVENTO="Manual",$M304=1),$M304&gt;(ROW(PLE.lastrow)-ROW(PLE.firstrow))),0,IF(OFFSET(PLE!$G$14,$M304,CC$13)="",10^12,OFFSET(PLE!$G$14,$M304,CC$13))))</f>
        <v>1000000000000</v>
      </c>
      <c r="CD304" s="216">
        <f ca="1">IF($D304&lt;&gt;"Serviço",0,IF(OR(AND(AUTOEVENTO="Manual",$M304=1),$M304&gt;(ROW(PLE.lastrow)-ROW(PLE.firstrow))),0,IF(OFFSET(PLE!$G$14,$M304,CD$13)="",10^12,OFFSET(PLE!$G$14,$M304,CD$13))))</f>
        <v>1000000000000</v>
      </c>
      <c r="CE304" s="216">
        <f ca="1">IF($D304&lt;&gt;"Serviço",0,IF(OR(AND(AUTOEVENTO="Manual",$M304=1),$M304&gt;(ROW(PLE.lastrow)-ROW(PLE.firstrow))),0,IF(OFFSET(PLE!$G$14,$M304,CE$13)="",10^12,OFFSET(PLE!$G$14,$M304,CE$13))))</f>
        <v>1000000000000</v>
      </c>
      <c r="CF304" s="216">
        <f ca="1">IF($D304&lt;&gt;"Serviço",0,IF(OR(AND(AUTOEVENTO="Manual",$M304=1),$M304&gt;(ROW(PLE.lastrow)-ROW(PLE.firstrow))),0,IF(OFFSET(PLE!$G$14,$M304,CF$13)="",10^12,OFFSET(PLE!$G$14,$M304,CF$13))))</f>
        <v>1000000000000</v>
      </c>
      <c r="CG304" s="216">
        <f ca="1">IF($D304&lt;&gt;"Serviço",0,IF(OR(AND(AUTOEVENTO="Manual",$M304=1),$M304&gt;(ROW(PLE.lastrow)-ROW(PLE.firstrow))),0,IF(OFFSET(PLE!$G$14,$M304,CG$13)="",10^12,OFFSET(PLE!$G$14,$M304,CG$13))))</f>
        <v>1000000000000</v>
      </c>
      <c r="CH304" s="216">
        <f ca="1">IF($D304&lt;&gt;"Serviço",0,IF(OR(AND(AUTOEVENTO="Manual",$M304=1),$M304&gt;(ROW(PLE.lastrow)-ROW(PLE.firstrow))),0,IF(OFFSET(PLE!$G$14,$M304,CH$13)="",10^12,OFFSET(PLE!$G$14,$M304,CH$13))))</f>
        <v>1000000000000</v>
      </c>
      <c r="CI304" s="216">
        <f ca="1">IF($D304&lt;&gt;"Serviço",0,IF(OR(AND(AUTOEVENTO="Manual",$M304=1),$M304&gt;(ROW(PLE.lastrow)-ROW(PLE.firstrow))),0,IF(OFFSET(PLE!$G$14,$M304,CI$13)="",10^12,OFFSET(PLE!$G$14,$M304,CI$13))))</f>
        <v>1000000000000</v>
      </c>
      <c r="CJ304" s="216">
        <f ca="1">IF($D304&lt;&gt;"Serviço",0,IF(OR(AND(AUTOEVENTO="Manual",$M304=1),$M304&gt;(ROW(PLE.lastrow)-ROW(PLE.firstrow))),0,IF(OFFSET(PLE!$G$14,$M304,CJ$13)="",10^12,OFFSET(PLE!$G$14,$M304,CJ$13))))</f>
        <v>1000000000000</v>
      </c>
      <c r="CK304" s="216">
        <f ca="1">IF($D304&lt;&gt;"Serviço",0,IF(OR(AND(AUTOEVENTO="Manual",$M304=1),$M304&gt;(ROW(PLE.lastrow)-ROW(PLE.firstrow))),0,IF(OFFSET(PLE!$G$14,$M304,CK$13)="",10^12,OFFSET(PLE!$G$14,$M304,CK$13))))</f>
        <v>1000000000000</v>
      </c>
      <c r="CL304" s="216">
        <f ca="1">IF($D304&lt;&gt;"Serviço",0,IF(OR(AND(AUTOEVENTO="Manual",$M304=1),$M304&gt;(ROW(PLE.lastrow)-ROW(PLE.firstrow))),0,IF(OFFSET(PLE!$G$14,$M304,CL$13)="",10^12,OFFSET(PLE!$G$14,$M304,CL$13))))</f>
        <v>1000000000000</v>
      </c>
      <c r="CM304" s="216">
        <f ca="1">IF($D304&lt;&gt;"Serviço",0,IF(OR(AND(AUTOEVENTO="Manual",$M304=1),$M304&gt;(ROW(PLE.lastrow)-ROW(PLE.firstrow))),0,IF(OFFSET(PLE!$G$14,$M304,CM$13)="",10^12,OFFSET(PLE!$G$14,$M304,CM$13))))</f>
        <v>1000000000000</v>
      </c>
    </row>
    <row r="305" spans="1:91" ht="13.2" x14ac:dyDescent="0.25">
      <c r="A305" s="9">
        <f t="shared" ca="1" si="13"/>
        <v>0</v>
      </c>
      <c r="B305" s="9" t="str">
        <f ca="1">OFFSET(ORÇAMENTO!C$15,ROW(B305)-ROW(B$15),0)</f>
        <v>S</v>
      </c>
      <c r="C305" s="9" t="str">
        <f ca="1">OFFSET(ORÇAMENTO!L$15,ROW(C305)-ROW(C$15),0)</f>
        <v/>
      </c>
      <c r="D305" s="145" t="str">
        <f ca="1">OFFSET(ORÇAMENTO!N$15,ROW(D305)-ROW(D$15),0)</f>
        <v>Serviço</v>
      </c>
      <c r="E305" s="205" t="str">
        <f ca="1">OFFSET(ORÇAMENTO!O$15,ROW(E305)-ROW(E$15),0)</f>
        <v>-</v>
      </c>
      <c r="F305" s="206" t="str">
        <f ca="1">OFFSET(ORÇAMENTO!R$15,ROW(F305)-ROW(F$15),0)</f>
        <v>(abra o arquivo 'Referência 05-2024.xls)</v>
      </c>
      <c r="G305" s="207" t="str">
        <f ca="1">IF($D305&lt;&gt;"Serviço","",OFFSET(ORÇAMENTO!S$15,ROW(G305)-ROW(G$15),0))</f>
        <v>-</v>
      </c>
      <c r="H305" s="151">
        <f ca="1">IF($D305&lt;&gt;"Serviço",0,IF(ACOMPANHAMENTO="BM",ROUND(OFFSET(ORÇAMENTO!AJ$15,ROW(H305)-ROW(H$15),0),15-13*ORÇAMENTO!$AF$7),SUMPRODUCT(($Q$12:$AI$12&lt;&gt;"")*ROUND($Q305:$AI305,15-13*ORÇAMENTO!$AF$7))))</f>
        <v>148.80000000000001</v>
      </c>
      <c r="I305" s="650"/>
      <c r="K305" s="208"/>
      <c r="L305" s="209" t="s">
        <v>257</v>
      </c>
      <c r="M305" s="210">
        <f ca="1">IF($D305&lt;&gt;"Serviço","",IF(AUTOEVENTO="manual",$A305,IF(ISERROR(MATCH($A305,$A$15:OFFSET($A305,-1,0),0)),MAX($M$15:OFFSET(M305,-1,0))+1,INDEX($M$15:OFFSET(M305,-1,0),MATCH($A305,$A$15:OFFSET($A305,-1,0),0)))))</f>
        <v>0</v>
      </c>
      <c r="N305" s="211" t="str">
        <f ca="1">IF($D305&lt;&gt;"Serviço","",IF(AUTOEVENTO="Manual",IF($A305=0,"&lt;-- defina o número do agrupador",OFFSET(EVENTOS!$D$14,$A305,0)),OFFSET($F$15,$A305,0)))</f>
        <v>&lt;-- defina o número do agrupador</v>
      </c>
      <c r="O305" s="212"/>
      <c r="Q305" s="212"/>
      <c r="R305" s="213"/>
      <c r="S305" s="213"/>
      <c r="T305" s="213"/>
      <c r="U305" s="213"/>
      <c r="V305" s="213"/>
      <c r="W305" s="213"/>
      <c r="X305" s="213"/>
      <c r="Y305" s="213"/>
      <c r="Z305" s="214"/>
      <c r="AA305" s="213"/>
      <c r="AB305" s="213"/>
      <c r="AC305" s="213"/>
      <c r="AD305" s="213"/>
      <c r="AE305" s="213"/>
      <c r="AF305" s="213"/>
      <c r="AG305" s="213"/>
      <c r="AH305" s="214"/>
      <c r="AJ305" s="631">
        <f ca="1">IF(AND($D305="Serviço",AJ$12&lt;&gt;0,$H305&gt;0,OR(AUTOEVENTO&lt;&gt;"manual",$M305&lt;&gt;1)),ROUND(OFFSET($P305,0,AJ$13),15-13*ORÇAMENTO!$AF$7)/$H305*OFFSET(ORÇAMENTO!$X$15,ROW(AJ305)-ROW(AJ$15),0),0)</f>
        <v>0</v>
      </c>
      <c r="AK305" s="632">
        <f ca="1">IF(AND($D305="Serviço",AK$12&lt;&gt;0,$H305&gt;0,OR(AUTOEVENTO&lt;&gt;"manual",$M305&lt;&gt;1)),ROUND(OFFSET($P305,0,AK$13),15-13*ORÇAMENTO!$AF$7)/$H305*OFFSET(ORÇAMENTO!$X$15,ROW(AK305)-ROW(AK$15),0),0)</f>
        <v>0</v>
      </c>
      <c r="AL305" s="632">
        <f ca="1">IF(AND($D305="Serviço",AL$12&lt;&gt;0,$H305&gt;0,OR(AUTOEVENTO&lt;&gt;"manual",$M305&lt;&gt;1)),ROUND(OFFSET($P305,0,AL$13),15-13*ORÇAMENTO!$AF$7)/$H305*OFFSET(ORÇAMENTO!$X$15,ROW(AL305)-ROW(AL$15),0),0)</f>
        <v>0</v>
      </c>
      <c r="AM305" s="632">
        <f ca="1">IF(AND($D305="Serviço",AM$12&lt;&gt;0,$H305&gt;0,OR(AUTOEVENTO&lt;&gt;"manual",$M305&lt;&gt;1)),ROUND(OFFSET($P305,0,AM$13),15-13*ORÇAMENTO!$AF$7)/$H305*OFFSET(ORÇAMENTO!$X$15,ROW(AM305)-ROW(AM$15),0),0)</f>
        <v>0</v>
      </c>
      <c r="AN305" s="632">
        <f ca="1">IF(AND($D305="Serviço",AN$12&lt;&gt;0,$H305&gt;0,OR(AUTOEVENTO&lt;&gt;"manual",$M305&lt;&gt;1)),ROUND(OFFSET($P305,0,AN$13),15-13*ORÇAMENTO!$AF$7)/$H305*OFFSET(ORÇAMENTO!$X$15,ROW(AN305)-ROW(AN$15),0),0)</f>
        <v>0</v>
      </c>
      <c r="AO305" s="632">
        <f ca="1">IF(AND($D305="Serviço",AO$12&lt;&gt;0,$H305&gt;0,OR(AUTOEVENTO&lt;&gt;"manual",$M305&lt;&gt;1)),ROUND(OFFSET($P305,0,AO$13),15-13*ORÇAMENTO!$AF$7)/$H305*OFFSET(ORÇAMENTO!$X$15,ROW(AO305)-ROW(AO$15),0),0)</f>
        <v>0</v>
      </c>
      <c r="AP305" s="632">
        <f ca="1">IF(AND($D305="Serviço",AP$12&lt;&gt;0,$H305&gt;0,OR(AUTOEVENTO&lt;&gt;"manual",$M305&lt;&gt;1)),ROUND(OFFSET($P305,0,AP$13),15-13*ORÇAMENTO!$AF$7)/$H305*OFFSET(ORÇAMENTO!$X$15,ROW(AP305)-ROW(AP$15),0),0)</f>
        <v>0</v>
      </c>
      <c r="AQ305" s="632">
        <f ca="1">IF(AND($D305="Serviço",AQ$12&lt;&gt;0,$H305&gt;0,OR(AUTOEVENTO&lt;&gt;"manual",$M305&lt;&gt;1)),ROUND(OFFSET($P305,0,AQ$13),15-13*ORÇAMENTO!$AF$7)/$H305*OFFSET(ORÇAMENTO!$X$15,ROW(AQ305)-ROW(AQ$15),0),0)</f>
        <v>0</v>
      </c>
      <c r="AR305" s="632">
        <f ca="1">IF(AND($D305="Serviço",AR$12&lt;&gt;0,$H305&gt;0,OR(AUTOEVENTO&lt;&gt;"manual",$M305&lt;&gt;1)),ROUND(OFFSET($P305,0,AR$13),15-13*ORÇAMENTO!$AF$7)/$H305*OFFSET(ORÇAMENTO!$X$15,ROW(AR305)-ROW(AR$15),0),0)</f>
        <v>0</v>
      </c>
      <c r="AS305" s="633">
        <f ca="1">IF(AND($D305="Serviço",AS$12&lt;&gt;0,$H305&gt;0,OR(AUTOEVENTO&lt;&gt;"manual",$M305&lt;&gt;1)),ROUND(OFFSET($P305,0,AS$13),15-13*ORÇAMENTO!$AF$7)/$H305*OFFSET(ORÇAMENTO!$X$15,ROW(AS305)-ROW(AS$15),0),0)</f>
        <v>0</v>
      </c>
      <c r="AT305" s="632">
        <f ca="1">IF(AND($D305="Serviço",AT$12&lt;&gt;0,$H305&gt;0,OR(AUTOEVENTO&lt;&gt;"manual",$M305&lt;&gt;1)),ROUND(OFFSET($P305,0,AT$13),15-13*ORÇAMENTO!$AF$7)/$H305*OFFSET(ORÇAMENTO!$X$15,ROW(AT305)-ROW(AT$15),0),0)</f>
        <v>0</v>
      </c>
      <c r="AU305" s="632">
        <f ca="1">IF(AND($D305="Serviço",AU$12&lt;&gt;0,$H305&gt;0,OR(AUTOEVENTO&lt;&gt;"manual",$M305&lt;&gt;1)),ROUND(OFFSET($P305,0,AU$13),15-13*ORÇAMENTO!$AF$7)/$H305*OFFSET(ORÇAMENTO!$X$15,ROW(AU305)-ROW(AU$15),0),0)</f>
        <v>0</v>
      </c>
      <c r="AV305" s="632">
        <f ca="1">IF(AND($D305="Serviço",AV$12&lt;&gt;0,$H305&gt;0,OR(AUTOEVENTO&lt;&gt;"manual",$M305&lt;&gt;1)),ROUND(OFFSET($P305,0,AV$13),15-13*ORÇAMENTO!$AF$7)/$H305*OFFSET(ORÇAMENTO!$X$15,ROW(AV305)-ROW(AV$15),0),0)</f>
        <v>0</v>
      </c>
      <c r="AW305" s="632">
        <f ca="1">IF(AND($D305="Serviço",AW$12&lt;&gt;0,$H305&gt;0,OR(AUTOEVENTO&lt;&gt;"manual",$M305&lt;&gt;1)),ROUND(OFFSET($P305,0,AW$13),15-13*ORÇAMENTO!$AF$7)/$H305*OFFSET(ORÇAMENTO!$X$15,ROW(AW305)-ROW(AW$15),0),0)</f>
        <v>0</v>
      </c>
      <c r="AX305" s="632">
        <f ca="1">IF(AND($D305="Serviço",AX$12&lt;&gt;0,$H305&gt;0,OR(AUTOEVENTO&lt;&gt;"manual",$M305&lt;&gt;1)),ROUND(OFFSET($P305,0,AX$13),15-13*ORÇAMENTO!$AF$7)/$H305*OFFSET(ORÇAMENTO!$X$15,ROW(AX305)-ROW(AX$15),0),0)</f>
        <v>0</v>
      </c>
      <c r="AY305" s="632">
        <f ca="1">IF(AND($D305="Serviço",AY$12&lt;&gt;0,$H305&gt;0,OR(AUTOEVENTO&lt;&gt;"manual",$M305&lt;&gt;1)),ROUND(OFFSET($P305,0,AY$13),15-13*ORÇAMENTO!$AF$7)/$H305*OFFSET(ORÇAMENTO!$X$15,ROW(AY305)-ROW(AY$15),0),0)</f>
        <v>0</v>
      </c>
      <c r="AZ305" s="632">
        <f ca="1">IF(AND($D305="Serviço",AZ$12&lt;&gt;0,$H305&gt;0,OR(AUTOEVENTO&lt;&gt;"manual",$M305&lt;&gt;1)),ROUND(OFFSET($P305,0,AZ$13),15-13*ORÇAMENTO!$AF$7)/$H305*OFFSET(ORÇAMENTO!$X$15,ROW(AZ305)-ROW(AZ$15),0),0)</f>
        <v>0</v>
      </c>
      <c r="BA305" s="633">
        <f ca="1">IF(AND($D305="Serviço",BA$12&lt;&gt;0,$H305&gt;0,OR(AUTOEVENTO&lt;&gt;"manual",$M305&lt;&gt;1)),ROUND(OFFSET($P305,0,BA$13),15-13*ORÇAMENTO!$AF$7)/$H305*OFFSET(ORÇAMENTO!$X$15,ROW(BA305)-ROW(BA$15),0),0)</f>
        <v>0</v>
      </c>
      <c r="BC305" s="215">
        <f ca="1">IF($D305&lt;&gt;"Serviço",0,IF(AND(AUTOEVENTO="Manual",$M305=1),0,IF(OFFSET(CRONOPLE!$F$14,$M305,BC$13)="",10^12,OFFSET(CRONOPLE!$F$14,$M305,BC$13))))</f>
        <v>1000000000000</v>
      </c>
      <c r="BD305" s="215">
        <f ca="1">IF($D305&lt;&gt;"Serviço",0,IF(AND(AUTOEVENTO="Manual",$M305=1),0,IF(OFFSET(CRONOPLE!$F$14,$M305,BD$13)="",10^12,OFFSET(CRONOPLE!$F$14,$M305,BD$13))))</f>
        <v>1000000000000</v>
      </c>
      <c r="BE305" s="215">
        <f ca="1">IF($D305&lt;&gt;"Serviço",0,IF(AND(AUTOEVENTO="Manual",$M305=1),0,IF(OFFSET(CRONOPLE!$F$14,$M305,BE$13)="",10^12,OFFSET(CRONOPLE!$F$14,$M305,BE$13))))</f>
        <v>1000000000000</v>
      </c>
      <c r="BF305" s="215">
        <f ca="1">IF($D305&lt;&gt;"Serviço",0,IF(AND(AUTOEVENTO="Manual",$M305=1),0,IF(OFFSET(CRONOPLE!$F$14,$M305,BF$13)="",10^12,OFFSET(CRONOPLE!$F$14,$M305,BF$13))))</f>
        <v>1000000000000</v>
      </c>
      <c r="BG305" s="215">
        <f ca="1">IF($D305&lt;&gt;"Serviço",0,IF(AND(AUTOEVENTO="Manual",$M305=1),0,IF(OFFSET(CRONOPLE!$F$14,$M305,BG$13)="",10^12,OFFSET(CRONOPLE!$F$14,$M305,BG$13))))</f>
        <v>1000000000000</v>
      </c>
      <c r="BH305" s="215">
        <f ca="1">IF($D305&lt;&gt;"Serviço",0,IF(AND(AUTOEVENTO="Manual",$M305=1),0,IF(OFFSET(CRONOPLE!$F$14,$M305,BH$13)="",10^12,OFFSET(CRONOPLE!$F$14,$M305,BH$13))))</f>
        <v>1000000000000</v>
      </c>
      <c r="BI305" s="215">
        <f ca="1">IF($D305&lt;&gt;"Serviço",0,IF(AND(AUTOEVENTO="Manual",$M305=1),0,IF(OFFSET(CRONOPLE!$F$14,$M305,BI$13)="",10^12,OFFSET(CRONOPLE!$F$14,$M305,BI$13))))</f>
        <v>1000000000000</v>
      </c>
      <c r="BJ305" s="215">
        <f ca="1">IF($D305&lt;&gt;"Serviço",0,IF(AND(AUTOEVENTO="Manual",$M305=1),0,IF(OFFSET(CRONOPLE!$F$14,$M305,BJ$13)="",10^12,OFFSET(CRONOPLE!$F$14,$M305,BJ$13))))</f>
        <v>1000000000000</v>
      </c>
      <c r="BK305" s="215">
        <f ca="1">IF($D305&lt;&gt;"Serviço",0,IF(AND(AUTOEVENTO="Manual",$M305=1),0,IF(OFFSET(CRONOPLE!$F$14,$M305,BK$13)="",10^12,OFFSET(CRONOPLE!$F$14,$M305,BK$13))))</f>
        <v>1000000000000</v>
      </c>
      <c r="BL305" s="215">
        <f ca="1">IF($D305&lt;&gt;"Serviço",0,IF(AND(AUTOEVENTO="Manual",$M305=1),0,IF(OFFSET(CRONOPLE!$F$14,$M305,BL$13)="",10^12,OFFSET(CRONOPLE!$F$14,$M305,BL$13))))</f>
        <v>1000000000000</v>
      </c>
      <c r="BM305" s="215">
        <f ca="1">IF($D305&lt;&gt;"Serviço",0,IF(AND(AUTOEVENTO="Manual",$M305=1),0,IF(OFFSET(CRONOPLE!$F$14,$M305,BM$13)="",10^12,OFFSET(CRONOPLE!$F$14,$M305,BM$13))))</f>
        <v>1000000000000</v>
      </c>
      <c r="BN305" s="215">
        <f ca="1">IF($D305&lt;&gt;"Serviço",0,IF(AND(AUTOEVENTO="Manual",$M305=1),0,IF(OFFSET(CRONOPLE!$F$14,$M305,BN$13)="",10^12,OFFSET(CRONOPLE!$F$14,$M305,BN$13))))</f>
        <v>1000000000000</v>
      </c>
      <c r="BO305" s="215">
        <f ca="1">IF($D305&lt;&gt;"Serviço",0,IF(AND(AUTOEVENTO="Manual",$M305=1),0,IF(OFFSET(CRONOPLE!$F$14,$M305,BO$13)="",10^12,OFFSET(CRONOPLE!$F$14,$M305,BO$13))))</f>
        <v>1000000000000</v>
      </c>
      <c r="BP305" s="215">
        <f ca="1">IF($D305&lt;&gt;"Serviço",0,IF(AND(AUTOEVENTO="Manual",$M305=1),0,IF(OFFSET(CRONOPLE!$F$14,$M305,BP$13)="",10^12,OFFSET(CRONOPLE!$F$14,$M305,BP$13))))</f>
        <v>1000000000000</v>
      </c>
      <c r="BQ305" s="215">
        <f ca="1">IF($D305&lt;&gt;"Serviço",0,IF(AND(AUTOEVENTO="Manual",$M305=1),0,IF(OFFSET(CRONOPLE!$F$14,$M305,BQ$13)="",10^12,OFFSET(CRONOPLE!$F$14,$M305,BQ$13))))</f>
        <v>1000000000000</v>
      </c>
      <c r="BR305" s="215">
        <f ca="1">IF($D305&lt;&gt;"Serviço",0,IF(AND(AUTOEVENTO="Manual",$M305=1),0,IF(OFFSET(CRONOPLE!$F$14,$M305,BR$13)="",10^12,OFFSET(CRONOPLE!$F$14,$M305,BR$13))))</f>
        <v>1000000000000</v>
      </c>
      <c r="BS305" s="215">
        <f ca="1">IF($D305&lt;&gt;"Serviço",0,IF(AND(AUTOEVENTO="Manual",$M305=1),0,IF(OFFSET(CRONOPLE!$F$14,$M305,BS$13)="",10^12,OFFSET(CRONOPLE!$F$14,$M305,BS$13))))</f>
        <v>1000000000000</v>
      </c>
      <c r="BT305" s="215">
        <f ca="1">IF($D305&lt;&gt;"Serviço",0,IF(AND(AUTOEVENTO="Manual",$M305=1),0,IF(OFFSET(CRONOPLE!$F$14,$M305,BT$13)="",10^12,OFFSET(CRONOPLE!$F$14,$M305,BT$13))))</f>
        <v>1000000000000</v>
      </c>
      <c r="BV305" s="216">
        <f ca="1">IF($D305&lt;&gt;"Serviço",0,IF(OR(AND(AUTOEVENTO="Manual",$M305=1),$M305&gt;(ROW(PLE.lastrow)-ROW(PLE.firstrow))),0,IF(OFFSET(PLE!$G$14,$M305,BV$13)="",10^12,OFFSET(PLE!$G$14,$M305,BV$13))))</f>
        <v>1000000000000</v>
      </c>
      <c r="BW305" s="216">
        <f ca="1">IF($D305&lt;&gt;"Serviço",0,IF(OR(AND(AUTOEVENTO="Manual",$M305=1),$M305&gt;(ROW(PLE.lastrow)-ROW(PLE.firstrow))),0,IF(OFFSET(PLE!$G$14,$M305,BW$13)="",10^12,OFFSET(PLE!$G$14,$M305,BW$13))))</f>
        <v>1000000000000</v>
      </c>
      <c r="BX305" s="216">
        <f ca="1">IF($D305&lt;&gt;"Serviço",0,IF(OR(AND(AUTOEVENTO="Manual",$M305=1),$M305&gt;(ROW(PLE.lastrow)-ROW(PLE.firstrow))),0,IF(OFFSET(PLE!$G$14,$M305,BX$13)="",10^12,OFFSET(PLE!$G$14,$M305,BX$13))))</f>
        <v>1000000000000</v>
      </c>
      <c r="BY305" s="216">
        <f ca="1">IF($D305&lt;&gt;"Serviço",0,IF(OR(AND(AUTOEVENTO="Manual",$M305=1),$M305&gt;(ROW(PLE.lastrow)-ROW(PLE.firstrow))),0,IF(OFFSET(PLE!$G$14,$M305,BY$13)="",10^12,OFFSET(PLE!$G$14,$M305,BY$13))))</f>
        <v>1000000000000</v>
      </c>
      <c r="BZ305" s="216">
        <f ca="1">IF($D305&lt;&gt;"Serviço",0,IF(OR(AND(AUTOEVENTO="Manual",$M305=1),$M305&gt;(ROW(PLE.lastrow)-ROW(PLE.firstrow))),0,IF(OFFSET(PLE!$G$14,$M305,BZ$13)="",10^12,OFFSET(PLE!$G$14,$M305,BZ$13))))</f>
        <v>1000000000000</v>
      </c>
      <c r="CA305" s="216">
        <f ca="1">IF($D305&lt;&gt;"Serviço",0,IF(OR(AND(AUTOEVENTO="Manual",$M305=1),$M305&gt;(ROW(PLE.lastrow)-ROW(PLE.firstrow))),0,IF(OFFSET(PLE!$G$14,$M305,CA$13)="",10^12,OFFSET(PLE!$G$14,$M305,CA$13))))</f>
        <v>1000000000000</v>
      </c>
      <c r="CB305" s="216">
        <f ca="1">IF($D305&lt;&gt;"Serviço",0,IF(OR(AND(AUTOEVENTO="Manual",$M305=1),$M305&gt;(ROW(PLE.lastrow)-ROW(PLE.firstrow))),0,IF(OFFSET(PLE!$G$14,$M305,CB$13)="",10^12,OFFSET(PLE!$G$14,$M305,CB$13))))</f>
        <v>1000000000000</v>
      </c>
      <c r="CC305" s="216">
        <f ca="1">IF($D305&lt;&gt;"Serviço",0,IF(OR(AND(AUTOEVENTO="Manual",$M305=1),$M305&gt;(ROW(PLE.lastrow)-ROW(PLE.firstrow))),0,IF(OFFSET(PLE!$G$14,$M305,CC$13)="",10^12,OFFSET(PLE!$G$14,$M305,CC$13))))</f>
        <v>1000000000000</v>
      </c>
      <c r="CD305" s="216">
        <f ca="1">IF($D305&lt;&gt;"Serviço",0,IF(OR(AND(AUTOEVENTO="Manual",$M305=1),$M305&gt;(ROW(PLE.lastrow)-ROW(PLE.firstrow))),0,IF(OFFSET(PLE!$G$14,$M305,CD$13)="",10^12,OFFSET(PLE!$G$14,$M305,CD$13))))</f>
        <v>1000000000000</v>
      </c>
      <c r="CE305" s="216">
        <f ca="1">IF($D305&lt;&gt;"Serviço",0,IF(OR(AND(AUTOEVENTO="Manual",$M305=1),$M305&gt;(ROW(PLE.lastrow)-ROW(PLE.firstrow))),0,IF(OFFSET(PLE!$G$14,$M305,CE$13)="",10^12,OFFSET(PLE!$G$14,$M305,CE$13))))</f>
        <v>1000000000000</v>
      </c>
      <c r="CF305" s="216">
        <f ca="1">IF($D305&lt;&gt;"Serviço",0,IF(OR(AND(AUTOEVENTO="Manual",$M305=1),$M305&gt;(ROW(PLE.lastrow)-ROW(PLE.firstrow))),0,IF(OFFSET(PLE!$G$14,$M305,CF$13)="",10^12,OFFSET(PLE!$G$14,$M305,CF$13))))</f>
        <v>1000000000000</v>
      </c>
      <c r="CG305" s="216">
        <f ca="1">IF($D305&lt;&gt;"Serviço",0,IF(OR(AND(AUTOEVENTO="Manual",$M305=1),$M305&gt;(ROW(PLE.lastrow)-ROW(PLE.firstrow))),0,IF(OFFSET(PLE!$G$14,$M305,CG$13)="",10^12,OFFSET(PLE!$G$14,$M305,CG$13))))</f>
        <v>1000000000000</v>
      </c>
      <c r="CH305" s="216">
        <f ca="1">IF($D305&lt;&gt;"Serviço",0,IF(OR(AND(AUTOEVENTO="Manual",$M305=1),$M305&gt;(ROW(PLE.lastrow)-ROW(PLE.firstrow))),0,IF(OFFSET(PLE!$G$14,$M305,CH$13)="",10^12,OFFSET(PLE!$G$14,$M305,CH$13))))</f>
        <v>1000000000000</v>
      </c>
      <c r="CI305" s="216">
        <f ca="1">IF($D305&lt;&gt;"Serviço",0,IF(OR(AND(AUTOEVENTO="Manual",$M305=1),$M305&gt;(ROW(PLE.lastrow)-ROW(PLE.firstrow))),0,IF(OFFSET(PLE!$G$14,$M305,CI$13)="",10^12,OFFSET(PLE!$G$14,$M305,CI$13))))</f>
        <v>1000000000000</v>
      </c>
      <c r="CJ305" s="216">
        <f ca="1">IF($D305&lt;&gt;"Serviço",0,IF(OR(AND(AUTOEVENTO="Manual",$M305=1),$M305&gt;(ROW(PLE.lastrow)-ROW(PLE.firstrow))),0,IF(OFFSET(PLE!$G$14,$M305,CJ$13)="",10^12,OFFSET(PLE!$G$14,$M305,CJ$13))))</f>
        <v>1000000000000</v>
      </c>
      <c r="CK305" s="216">
        <f ca="1">IF($D305&lt;&gt;"Serviço",0,IF(OR(AND(AUTOEVENTO="Manual",$M305=1),$M305&gt;(ROW(PLE.lastrow)-ROW(PLE.firstrow))),0,IF(OFFSET(PLE!$G$14,$M305,CK$13)="",10^12,OFFSET(PLE!$G$14,$M305,CK$13))))</f>
        <v>1000000000000</v>
      </c>
      <c r="CL305" s="216">
        <f ca="1">IF($D305&lt;&gt;"Serviço",0,IF(OR(AND(AUTOEVENTO="Manual",$M305=1),$M305&gt;(ROW(PLE.lastrow)-ROW(PLE.firstrow))),0,IF(OFFSET(PLE!$G$14,$M305,CL$13)="",10^12,OFFSET(PLE!$G$14,$M305,CL$13))))</f>
        <v>1000000000000</v>
      </c>
      <c r="CM305" s="216">
        <f ca="1">IF($D305&lt;&gt;"Serviço",0,IF(OR(AND(AUTOEVENTO="Manual",$M305=1),$M305&gt;(ROW(PLE.lastrow)-ROW(PLE.firstrow))),0,IF(OFFSET(PLE!$G$14,$M305,CM$13)="",10^12,OFFSET(PLE!$G$14,$M305,CM$13))))</f>
        <v>1000000000000</v>
      </c>
    </row>
    <row r="306" spans="1:91" ht="13.2" x14ac:dyDescent="0.25">
      <c r="A306" s="9">
        <f t="shared" ca="1" si="13"/>
        <v>0</v>
      </c>
      <c r="B306" s="9" t="str">
        <f ca="1">OFFSET(ORÇAMENTO!C$15,ROW(B306)-ROW(B$15),0)</f>
        <v>S</v>
      </c>
      <c r="C306" s="9" t="str">
        <f ca="1">OFFSET(ORÇAMENTO!L$15,ROW(C306)-ROW(C$15),0)</f>
        <v/>
      </c>
      <c r="D306" s="145" t="str">
        <f ca="1">OFFSET(ORÇAMENTO!N$15,ROW(D306)-ROW(D$15),0)</f>
        <v>Serviço</v>
      </c>
      <c r="E306" s="205" t="str">
        <f ca="1">OFFSET(ORÇAMENTO!O$15,ROW(E306)-ROW(E$15),0)</f>
        <v>-</v>
      </c>
      <c r="F306" s="206" t="str">
        <f ca="1">OFFSET(ORÇAMENTO!R$15,ROW(F306)-ROW(F$15),0)</f>
        <v>(abra o arquivo 'Referência 05-2024.xls)</v>
      </c>
      <c r="G306" s="207" t="str">
        <f ca="1">IF($D306&lt;&gt;"Serviço","",OFFSET(ORÇAMENTO!S$15,ROW(G306)-ROW(G$15),0))</f>
        <v>-</v>
      </c>
      <c r="H306" s="151">
        <f ca="1">IF($D306&lt;&gt;"Serviço",0,IF(ACOMPANHAMENTO="BM",ROUND(OFFSET(ORÇAMENTO!AJ$15,ROW(H306)-ROW(H$15),0),15-13*ORÇAMENTO!$AF$7),SUMPRODUCT(($Q$12:$AI$12&lt;&gt;"")*ROUND($Q306:$AI306,15-13*ORÇAMENTO!$AF$7))))</f>
        <v>132.16</v>
      </c>
      <c r="I306" s="650"/>
      <c r="K306" s="208"/>
      <c r="L306" s="209" t="s">
        <v>257</v>
      </c>
      <c r="M306" s="210">
        <f ca="1">IF($D306&lt;&gt;"Serviço","",IF(AUTOEVENTO="manual",$A306,IF(ISERROR(MATCH($A306,$A$15:OFFSET($A306,-1,0),0)),MAX($M$15:OFFSET(M306,-1,0))+1,INDEX($M$15:OFFSET(M306,-1,0),MATCH($A306,$A$15:OFFSET($A306,-1,0),0)))))</f>
        <v>0</v>
      </c>
      <c r="N306" s="211" t="str">
        <f ca="1">IF($D306&lt;&gt;"Serviço","",IF(AUTOEVENTO="Manual",IF($A306=0,"&lt;-- defina o número do agrupador",OFFSET(EVENTOS!$D$14,$A306,0)),OFFSET($F$15,$A306,0)))</f>
        <v>&lt;-- defina o número do agrupador</v>
      </c>
      <c r="O306" s="212"/>
      <c r="Q306" s="212"/>
      <c r="R306" s="213"/>
      <c r="S306" s="213"/>
      <c r="T306" s="213"/>
      <c r="U306" s="213"/>
      <c r="V306" s="213"/>
      <c r="W306" s="213"/>
      <c r="X306" s="213"/>
      <c r="Y306" s="213"/>
      <c r="Z306" s="214"/>
      <c r="AA306" s="213"/>
      <c r="AB306" s="213"/>
      <c r="AC306" s="213"/>
      <c r="AD306" s="213"/>
      <c r="AE306" s="213"/>
      <c r="AF306" s="213"/>
      <c r="AG306" s="213"/>
      <c r="AH306" s="214"/>
      <c r="AJ306" s="631">
        <f ca="1">IF(AND($D306="Serviço",AJ$12&lt;&gt;0,$H306&gt;0,OR(AUTOEVENTO&lt;&gt;"manual",$M306&lt;&gt;1)),ROUND(OFFSET($P306,0,AJ$13),15-13*ORÇAMENTO!$AF$7)/$H306*OFFSET(ORÇAMENTO!$X$15,ROW(AJ306)-ROW(AJ$15),0),0)</f>
        <v>0</v>
      </c>
      <c r="AK306" s="632">
        <f ca="1">IF(AND($D306="Serviço",AK$12&lt;&gt;0,$H306&gt;0,OR(AUTOEVENTO&lt;&gt;"manual",$M306&lt;&gt;1)),ROUND(OFFSET($P306,0,AK$13),15-13*ORÇAMENTO!$AF$7)/$H306*OFFSET(ORÇAMENTO!$X$15,ROW(AK306)-ROW(AK$15),0),0)</f>
        <v>0</v>
      </c>
      <c r="AL306" s="632">
        <f ca="1">IF(AND($D306="Serviço",AL$12&lt;&gt;0,$H306&gt;0,OR(AUTOEVENTO&lt;&gt;"manual",$M306&lt;&gt;1)),ROUND(OFFSET($P306,0,AL$13),15-13*ORÇAMENTO!$AF$7)/$H306*OFFSET(ORÇAMENTO!$X$15,ROW(AL306)-ROW(AL$15),0),0)</f>
        <v>0</v>
      </c>
      <c r="AM306" s="632">
        <f ca="1">IF(AND($D306="Serviço",AM$12&lt;&gt;0,$H306&gt;0,OR(AUTOEVENTO&lt;&gt;"manual",$M306&lt;&gt;1)),ROUND(OFFSET($P306,0,AM$13),15-13*ORÇAMENTO!$AF$7)/$H306*OFFSET(ORÇAMENTO!$X$15,ROW(AM306)-ROW(AM$15),0),0)</f>
        <v>0</v>
      </c>
      <c r="AN306" s="632">
        <f ca="1">IF(AND($D306="Serviço",AN$12&lt;&gt;0,$H306&gt;0,OR(AUTOEVENTO&lt;&gt;"manual",$M306&lt;&gt;1)),ROUND(OFFSET($P306,0,AN$13),15-13*ORÇAMENTO!$AF$7)/$H306*OFFSET(ORÇAMENTO!$X$15,ROW(AN306)-ROW(AN$15),0),0)</f>
        <v>0</v>
      </c>
      <c r="AO306" s="632">
        <f ca="1">IF(AND($D306="Serviço",AO$12&lt;&gt;0,$H306&gt;0,OR(AUTOEVENTO&lt;&gt;"manual",$M306&lt;&gt;1)),ROUND(OFFSET($P306,0,AO$13),15-13*ORÇAMENTO!$AF$7)/$H306*OFFSET(ORÇAMENTO!$X$15,ROW(AO306)-ROW(AO$15),0),0)</f>
        <v>0</v>
      </c>
      <c r="AP306" s="632">
        <f ca="1">IF(AND($D306="Serviço",AP$12&lt;&gt;0,$H306&gt;0,OR(AUTOEVENTO&lt;&gt;"manual",$M306&lt;&gt;1)),ROUND(OFFSET($P306,0,AP$13),15-13*ORÇAMENTO!$AF$7)/$H306*OFFSET(ORÇAMENTO!$X$15,ROW(AP306)-ROW(AP$15),0),0)</f>
        <v>0</v>
      </c>
      <c r="AQ306" s="632">
        <f ca="1">IF(AND($D306="Serviço",AQ$12&lt;&gt;0,$H306&gt;0,OR(AUTOEVENTO&lt;&gt;"manual",$M306&lt;&gt;1)),ROUND(OFFSET($P306,0,AQ$13),15-13*ORÇAMENTO!$AF$7)/$H306*OFFSET(ORÇAMENTO!$X$15,ROW(AQ306)-ROW(AQ$15),0),0)</f>
        <v>0</v>
      </c>
      <c r="AR306" s="632">
        <f ca="1">IF(AND($D306="Serviço",AR$12&lt;&gt;0,$H306&gt;0,OR(AUTOEVENTO&lt;&gt;"manual",$M306&lt;&gt;1)),ROUND(OFFSET($P306,0,AR$13),15-13*ORÇAMENTO!$AF$7)/$H306*OFFSET(ORÇAMENTO!$X$15,ROW(AR306)-ROW(AR$15),0),0)</f>
        <v>0</v>
      </c>
      <c r="AS306" s="633">
        <f ca="1">IF(AND($D306="Serviço",AS$12&lt;&gt;0,$H306&gt;0,OR(AUTOEVENTO&lt;&gt;"manual",$M306&lt;&gt;1)),ROUND(OFFSET($P306,0,AS$13),15-13*ORÇAMENTO!$AF$7)/$H306*OFFSET(ORÇAMENTO!$X$15,ROW(AS306)-ROW(AS$15),0),0)</f>
        <v>0</v>
      </c>
      <c r="AT306" s="632">
        <f ca="1">IF(AND($D306="Serviço",AT$12&lt;&gt;0,$H306&gt;0,OR(AUTOEVENTO&lt;&gt;"manual",$M306&lt;&gt;1)),ROUND(OFFSET($P306,0,AT$13),15-13*ORÇAMENTO!$AF$7)/$H306*OFFSET(ORÇAMENTO!$X$15,ROW(AT306)-ROW(AT$15),0),0)</f>
        <v>0</v>
      </c>
      <c r="AU306" s="632">
        <f ca="1">IF(AND($D306="Serviço",AU$12&lt;&gt;0,$H306&gt;0,OR(AUTOEVENTO&lt;&gt;"manual",$M306&lt;&gt;1)),ROUND(OFFSET($P306,0,AU$13),15-13*ORÇAMENTO!$AF$7)/$H306*OFFSET(ORÇAMENTO!$X$15,ROW(AU306)-ROW(AU$15),0),0)</f>
        <v>0</v>
      </c>
      <c r="AV306" s="632">
        <f ca="1">IF(AND($D306="Serviço",AV$12&lt;&gt;0,$H306&gt;0,OR(AUTOEVENTO&lt;&gt;"manual",$M306&lt;&gt;1)),ROUND(OFFSET($P306,0,AV$13),15-13*ORÇAMENTO!$AF$7)/$H306*OFFSET(ORÇAMENTO!$X$15,ROW(AV306)-ROW(AV$15),0),0)</f>
        <v>0</v>
      </c>
      <c r="AW306" s="632">
        <f ca="1">IF(AND($D306="Serviço",AW$12&lt;&gt;0,$H306&gt;0,OR(AUTOEVENTO&lt;&gt;"manual",$M306&lt;&gt;1)),ROUND(OFFSET($P306,0,AW$13),15-13*ORÇAMENTO!$AF$7)/$H306*OFFSET(ORÇAMENTO!$X$15,ROW(AW306)-ROW(AW$15),0),0)</f>
        <v>0</v>
      </c>
      <c r="AX306" s="632">
        <f ca="1">IF(AND($D306="Serviço",AX$12&lt;&gt;0,$H306&gt;0,OR(AUTOEVENTO&lt;&gt;"manual",$M306&lt;&gt;1)),ROUND(OFFSET($P306,0,AX$13),15-13*ORÇAMENTO!$AF$7)/$H306*OFFSET(ORÇAMENTO!$X$15,ROW(AX306)-ROW(AX$15),0),0)</f>
        <v>0</v>
      </c>
      <c r="AY306" s="632">
        <f ca="1">IF(AND($D306="Serviço",AY$12&lt;&gt;0,$H306&gt;0,OR(AUTOEVENTO&lt;&gt;"manual",$M306&lt;&gt;1)),ROUND(OFFSET($P306,0,AY$13),15-13*ORÇAMENTO!$AF$7)/$H306*OFFSET(ORÇAMENTO!$X$15,ROW(AY306)-ROW(AY$15),0),0)</f>
        <v>0</v>
      </c>
      <c r="AZ306" s="632">
        <f ca="1">IF(AND($D306="Serviço",AZ$12&lt;&gt;0,$H306&gt;0,OR(AUTOEVENTO&lt;&gt;"manual",$M306&lt;&gt;1)),ROUND(OFFSET($P306,0,AZ$13),15-13*ORÇAMENTO!$AF$7)/$H306*OFFSET(ORÇAMENTO!$X$15,ROW(AZ306)-ROW(AZ$15),0),0)</f>
        <v>0</v>
      </c>
      <c r="BA306" s="633">
        <f ca="1">IF(AND($D306="Serviço",BA$12&lt;&gt;0,$H306&gt;0,OR(AUTOEVENTO&lt;&gt;"manual",$M306&lt;&gt;1)),ROUND(OFFSET($P306,0,BA$13),15-13*ORÇAMENTO!$AF$7)/$H306*OFFSET(ORÇAMENTO!$X$15,ROW(BA306)-ROW(BA$15),0),0)</f>
        <v>0</v>
      </c>
      <c r="BC306" s="215">
        <f ca="1">IF($D306&lt;&gt;"Serviço",0,IF(AND(AUTOEVENTO="Manual",$M306=1),0,IF(OFFSET(CRONOPLE!$F$14,$M306,BC$13)="",10^12,OFFSET(CRONOPLE!$F$14,$M306,BC$13))))</f>
        <v>1000000000000</v>
      </c>
      <c r="BD306" s="215">
        <f ca="1">IF($D306&lt;&gt;"Serviço",0,IF(AND(AUTOEVENTO="Manual",$M306=1),0,IF(OFFSET(CRONOPLE!$F$14,$M306,BD$13)="",10^12,OFFSET(CRONOPLE!$F$14,$M306,BD$13))))</f>
        <v>1000000000000</v>
      </c>
      <c r="BE306" s="215">
        <f ca="1">IF($D306&lt;&gt;"Serviço",0,IF(AND(AUTOEVENTO="Manual",$M306=1),0,IF(OFFSET(CRONOPLE!$F$14,$M306,BE$13)="",10^12,OFFSET(CRONOPLE!$F$14,$M306,BE$13))))</f>
        <v>1000000000000</v>
      </c>
      <c r="BF306" s="215">
        <f ca="1">IF($D306&lt;&gt;"Serviço",0,IF(AND(AUTOEVENTO="Manual",$M306=1),0,IF(OFFSET(CRONOPLE!$F$14,$M306,BF$13)="",10^12,OFFSET(CRONOPLE!$F$14,$M306,BF$13))))</f>
        <v>1000000000000</v>
      </c>
      <c r="BG306" s="215">
        <f ca="1">IF($D306&lt;&gt;"Serviço",0,IF(AND(AUTOEVENTO="Manual",$M306=1),0,IF(OFFSET(CRONOPLE!$F$14,$M306,BG$13)="",10^12,OFFSET(CRONOPLE!$F$14,$M306,BG$13))))</f>
        <v>1000000000000</v>
      </c>
      <c r="BH306" s="215">
        <f ca="1">IF($D306&lt;&gt;"Serviço",0,IF(AND(AUTOEVENTO="Manual",$M306=1),0,IF(OFFSET(CRONOPLE!$F$14,$M306,BH$13)="",10^12,OFFSET(CRONOPLE!$F$14,$M306,BH$13))))</f>
        <v>1000000000000</v>
      </c>
      <c r="BI306" s="215">
        <f ca="1">IF($D306&lt;&gt;"Serviço",0,IF(AND(AUTOEVENTO="Manual",$M306=1),0,IF(OFFSET(CRONOPLE!$F$14,$M306,BI$13)="",10^12,OFFSET(CRONOPLE!$F$14,$M306,BI$13))))</f>
        <v>1000000000000</v>
      </c>
      <c r="BJ306" s="215">
        <f ca="1">IF($D306&lt;&gt;"Serviço",0,IF(AND(AUTOEVENTO="Manual",$M306=1),0,IF(OFFSET(CRONOPLE!$F$14,$M306,BJ$13)="",10^12,OFFSET(CRONOPLE!$F$14,$M306,BJ$13))))</f>
        <v>1000000000000</v>
      </c>
      <c r="BK306" s="215">
        <f ca="1">IF($D306&lt;&gt;"Serviço",0,IF(AND(AUTOEVENTO="Manual",$M306=1),0,IF(OFFSET(CRONOPLE!$F$14,$M306,BK$13)="",10^12,OFFSET(CRONOPLE!$F$14,$M306,BK$13))))</f>
        <v>1000000000000</v>
      </c>
      <c r="BL306" s="215">
        <f ca="1">IF($D306&lt;&gt;"Serviço",0,IF(AND(AUTOEVENTO="Manual",$M306=1),0,IF(OFFSET(CRONOPLE!$F$14,$M306,BL$13)="",10^12,OFFSET(CRONOPLE!$F$14,$M306,BL$13))))</f>
        <v>1000000000000</v>
      </c>
      <c r="BM306" s="215">
        <f ca="1">IF($D306&lt;&gt;"Serviço",0,IF(AND(AUTOEVENTO="Manual",$M306=1),0,IF(OFFSET(CRONOPLE!$F$14,$M306,BM$13)="",10^12,OFFSET(CRONOPLE!$F$14,$M306,BM$13))))</f>
        <v>1000000000000</v>
      </c>
      <c r="BN306" s="215">
        <f ca="1">IF($D306&lt;&gt;"Serviço",0,IF(AND(AUTOEVENTO="Manual",$M306=1),0,IF(OFFSET(CRONOPLE!$F$14,$M306,BN$13)="",10^12,OFFSET(CRONOPLE!$F$14,$M306,BN$13))))</f>
        <v>1000000000000</v>
      </c>
      <c r="BO306" s="215">
        <f ca="1">IF($D306&lt;&gt;"Serviço",0,IF(AND(AUTOEVENTO="Manual",$M306=1),0,IF(OFFSET(CRONOPLE!$F$14,$M306,BO$13)="",10^12,OFFSET(CRONOPLE!$F$14,$M306,BO$13))))</f>
        <v>1000000000000</v>
      </c>
      <c r="BP306" s="215">
        <f ca="1">IF($D306&lt;&gt;"Serviço",0,IF(AND(AUTOEVENTO="Manual",$M306=1),0,IF(OFFSET(CRONOPLE!$F$14,$M306,BP$13)="",10^12,OFFSET(CRONOPLE!$F$14,$M306,BP$13))))</f>
        <v>1000000000000</v>
      </c>
      <c r="BQ306" s="215">
        <f ca="1">IF($D306&lt;&gt;"Serviço",0,IF(AND(AUTOEVENTO="Manual",$M306=1),0,IF(OFFSET(CRONOPLE!$F$14,$M306,BQ$13)="",10^12,OFFSET(CRONOPLE!$F$14,$M306,BQ$13))))</f>
        <v>1000000000000</v>
      </c>
      <c r="BR306" s="215">
        <f ca="1">IF($D306&lt;&gt;"Serviço",0,IF(AND(AUTOEVENTO="Manual",$M306=1),0,IF(OFFSET(CRONOPLE!$F$14,$M306,BR$13)="",10^12,OFFSET(CRONOPLE!$F$14,$M306,BR$13))))</f>
        <v>1000000000000</v>
      </c>
      <c r="BS306" s="215">
        <f ca="1">IF($D306&lt;&gt;"Serviço",0,IF(AND(AUTOEVENTO="Manual",$M306=1),0,IF(OFFSET(CRONOPLE!$F$14,$M306,BS$13)="",10^12,OFFSET(CRONOPLE!$F$14,$M306,BS$13))))</f>
        <v>1000000000000</v>
      </c>
      <c r="BT306" s="215">
        <f ca="1">IF($D306&lt;&gt;"Serviço",0,IF(AND(AUTOEVENTO="Manual",$M306=1),0,IF(OFFSET(CRONOPLE!$F$14,$M306,BT$13)="",10^12,OFFSET(CRONOPLE!$F$14,$M306,BT$13))))</f>
        <v>1000000000000</v>
      </c>
      <c r="BV306" s="216">
        <f ca="1">IF($D306&lt;&gt;"Serviço",0,IF(OR(AND(AUTOEVENTO="Manual",$M306=1),$M306&gt;(ROW(PLE.lastrow)-ROW(PLE.firstrow))),0,IF(OFFSET(PLE!$G$14,$M306,BV$13)="",10^12,OFFSET(PLE!$G$14,$M306,BV$13))))</f>
        <v>1000000000000</v>
      </c>
      <c r="BW306" s="216">
        <f ca="1">IF($D306&lt;&gt;"Serviço",0,IF(OR(AND(AUTOEVENTO="Manual",$M306=1),$M306&gt;(ROW(PLE.lastrow)-ROW(PLE.firstrow))),0,IF(OFFSET(PLE!$G$14,$M306,BW$13)="",10^12,OFFSET(PLE!$G$14,$M306,BW$13))))</f>
        <v>1000000000000</v>
      </c>
      <c r="BX306" s="216">
        <f ca="1">IF($D306&lt;&gt;"Serviço",0,IF(OR(AND(AUTOEVENTO="Manual",$M306=1),$M306&gt;(ROW(PLE.lastrow)-ROW(PLE.firstrow))),0,IF(OFFSET(PLE!$G$14,$M306,BX$13)="",10^12,OFFSET(PLE!$G$14,$M306,BX$13))))</f>
        <v>1000000000000</v>
      </c>
      <c r="BY306" s="216">
        <f ca="1">IF($D306&lt;&gt;"Serviço",0,IF(OR(AND(AUTOEVENTO="Manual",$M306=1),$M306&gt;(ROW(PLE.lastrow)-ROW(PLE.firstrow))),0,IF(OFFSET(PLE!$G$14,$M306,BY$13)="",10^12,OFFSET(PLE!$G$14,$M306,BY$13))))</f>
        <v>1000000000000</v>
      </c>
      <c r="BZ306" s="216">
        <f ca="1">IF($D306&lt;&gt;"Serviço",0,IF(OR(AND(AUTOEVENTO="Manual",$M306=1),$M306&gt;(ROW(PLE.lastrow)-ROW(PLE.firstrow))),0,IF(OFFSET(PLE!$G$14,$M306,BZ$13)="",10^12,OFFSET(PLE!$G$14,$M306,BZ$13))))</f>
        <v>1000000000000</v>
      </c>
      <c r="CA306" s="216">
        <f ca="1">IF($D306&lt;&gt;"Serviço",0,IF(OR(AND(AUTOEVENTO="Manual",$M306=1),$M306&gt;(ROW(PLE.lastrow)-ROW(PLE.firstrow))),0,IF(OFFSET(PLE!$G$14,$M306,CA$13)="",10^12,OFFSET(PLE!$G$14,$M306,CA$13))))</f>
        <v>1000000000000</v>
      </c>
      <c r="CB306" s="216">
        <f ca="1">IF($D306&lt;&gt;"Serviço",0,IF(OR(AND(AUTOEVENTO="Manual",$M306=1),$M306&gt;(ROW(PLE.lastrow)-ROW(PLE.firstrow))),0,IF(OFFSET(PLE!$G$14,$M306,CB$13)="",10^12,OFFSET(PLE!$G$14,$M306,CB$13))))</f>
        <v>1000000000000</v>
      </c>
      <c r="CC306" s="216">
        <f ca="1">IF($D306&lt;&gt;"Serviço",0,IF(OR(AND(AUTOEVENTO="Manual",$M306=1),$M306&gt;(ROW(PLE.lastrow)-ROW(PLE.firstrow))),0,IF(OFFSET(PLE!$G$14,$M306,CC$13)="",10^12,OFFSET(PLE!$G$14,$M306,CC$13))))</f>
        <v>1000000000000</v>
      </c>
      <c r="CD306" s="216">
        <f ca="1">IF($D306&lt;&gt;"Serviço",0,IF(OR(AND(AUTOEVENTO="Manual",$M306=1),$M306&gt;(ROW(PLE.lastrow)-ROW(PLE.firstrow))),0,IF(OFFSET(PLE!$G$14,$M306,CD$13)="",10^12,OFFSET(PLE!$G$14,$M306,CD$13))))</f>
        <v>1000000000000</v>
      </c>
      <c r="CE306" s="216">
        <f ca="1">IF($D306&lt;&gt;"Serviço",0,IF(OR(AND(AUTOEVENTO="Manual",$M306=1),$M306&gt;(ROW(PLE.lastrow)-ROW(PLE.firstrow))),0,IF(OFFSET(PLE!$G$14,$M306,CE$13)="",10^12,OFFSET(PLE!$G$14,$M306,CE$13))))</f>
        <v>1000000000000</v>
      </c>
      <c r="CF306" s="216">
        <f ca="1">IF($D306&lt;&gt;"Serviço",0,IF(OR(AND(AUTOEVENTO="Manual",$M306=1),$M306&gt;(ROW(PLE.lastrow)-ROW(PLE.firstrow))),0,IF(OFFSET(PLE!$G$14,$M306,CF$13)="",10^12,OFFSET(PLE!$G$14,$M306,CF$13))))</f>
        <v>1000000000000</v>
      </c>
      <c r="CG306" s="216">
        <f ca="1">IF($D306&lt;&gt;"Serviço",0,IF(OR(AND(AUTOEVENTO="Manual",$M306=1),$M306&gt;(ROW(PLE.lastrow)-ROW(PLE.firstrow))),0,IF(OFFSET(PLE!$G$14,$M306,CG$13)="",10^12,OFFSET(PLE!$G$14,$M306,CG$13))))</f>
        <v>1000000000000</v>
      </c>
      <c r="CH306" s="216">
        <f ca="1">IF($D306&lt;&gt;"Serviço",0,IF(OR(AND(AUTOEVENTO="Manual",$M306=1),$M306&gt;(ROW(PLE.lastrow)-ROW(PLE.firstrow))),0,IF(OFFSET(PLE!$G$14,$M306,CH$13)="",10^12,OFFSET(PLE!$G$14,$M306,CH$13))))</f>
        <v>1000000000000</v>
      </c>
      <c r="CI306" s="216">
        <f ca="1">IF($D306&lt;&gt;"Serviço",0,IF(OR(AND(AUTOEVENTO="Manual",$M306=1),$M306&gt;(ROW(PLE.lastrow)-ROW(PLE.firstrow))),0,IF(OFFSET(PLE!$G$14,$M306,CI$13)="",10^12,OFFSET(PLE!$G$14,$M306,CI$13))))</f>
        <v>1000000000000</v>
      </c>
      <c r="CJ306" s="216">
        <f ca="1">IF($D306&lt;&gt;"Serviço",0,IF(OR(AND(AUTOEVENTO="Manual",$M306=1),$M306&gt;(ROW(PLE.lastrow)-ROW(PLE.firstrow))),0,IF(OFFSET(PLE!$G$14,$M306,CJ$13)="",10^12,OFFSET(PLE!$G$14,$M306,CJ$13))))</f>
        <v>1000000000000</v>
      </c>
      <c r="CK306" s="216">
        <f ca="1">IF($D306&lt;&gt;"Serviço",0,IF(OR(AND(AUTOEVENTO="Manual",$M306=1),$M306&gt;(ROW(PLE.lastrow)-ROW(PLE.firstrow))),0,IF(OFFSET(PLE!$G$14,$M306,CK$13)="",10^12,OFFSET(PLE!$G$14,$M306,CK$13))))</f>
        <v>1000000000000</v>
      </c>
      <c r="CL306" s="216">
        <f ca="1">IF($D306&lt;&gt;"Serviço",0,IF(OR(AND(AUTOEVENTO="Manual",$M306=1),$M306&gt;(ROW(PLE.lastrow)-ROW(PLE.firstrow))),0,IF(OFFSET(PLE!$G$14,$M306,CL$13)="",10^12,OFFSET(PLE!$G$14,$M306,CL$13))))</f>
        <v>1000000000000</v>
      </c>
      <c r="CM306" s="216">
        <f ca="1">IF($D306&lt;&gt;"Serviço",0,IF(OR(AND(AUTOEVENTO="Manual",$M306=1),$M306&gt;(ROW(PLE.lastrow)-ROW(PLE.firstrow))),0,IF(OFFSET(PLE!$G$14,$M306,CM$13)="",10^12,OFFSET(PLE!$G$14,$M306,CM$13))))</f>
        <v>1000000000000</v>
      </c>
    </row>
    <row r="307" spans="1:91" ht="13.2" x14ac:dyDescent="0.25">
      <c r="A307" s="9">
        <f t="shared" ca="1" si="13"/>
        <v>0</v>
      </c>
      <c r="B307" s="9" t="str">
        <f ca="1">OFFSET(ORÇAMENTO!C$15,ROW(B307)-ROW(B$15),0)</f>
        <v>S</v>
      </c>
      <c r="C307" s="9" t="str">
        <f ca="1">OFFSET(ORÇAMENTO!L$15,ROW(C307)-ROW(C$15),0)</f>
        <v/>
      </c>
      <c r="D307" s="145" t="str">
        <f ca="1">OFFSET(ORÇAMENTO!N$15,ROW(D307)-ROW(D$15),0)</f>
        <v>Serviço</v>
      </c>
      <c r="E307" s="205" t="str">
        <f ca="1">OFFSET(ORÇAMENTO!O$15,ROW(E307)-ROW(E$15),0)</f>
        <v>-</v>
      </c>
      <c r="F307" s="206" t="str">
        <f ca="1">OFFSET(ORÇAMENTO!R$15,ROW(F307)-ROW(F$15),0)</f>
        <v>(abra o arquivo 'Referência 05-2024.xls)</v>
      </c>
      <c r="G307" s="207" t="str">
        <f ca="1">IF($D307&lt;&gt;"Serviço","",OFFSET(ORÇAMENTO!S$15,ROW(G307)-ROW(G$15),0))</f>
        <v>-</v>
      </c>
      <c r="H307" s="151">
        <f ca="1">IF($D307&lt;&gt;"Serviço",0,IF(ACOMPANHAMENTO="BM",ROUND(OFFSET(ORÇAMENTO!AJ$15,ROW(H307)-ROW(H$15),0),15-13*ORÇAMENTO!$AF$7),SUMPRODUCT(($Q$12:$AI$12&lt;&gt;"")*ROUND($Q307:$AI307,15-13*ORÇAMENTO!$AF$7))))</f>
        <v>44.74</v>
      </c>
      <c r="I307" s="650"/>
      <c r="K307" s="208"/>
      <c r="L307" s="209" t="s">
        <v>257</v>
      </c>
      <c r="M307" s="210">
        <f ca="1">IF($D307&lt;&gt;"Serviço","",IF(AUTOEVENTO="manual",$A307,IF(ISERROR(MATCH($A307,$A$15:OFFSET($A307,-1,0),0)),MAX($M$15:OFFSET(M307,-1,0))+1,INDEX($M$15:OFFSET(M307,-1,0),MATCH($A307,$A$15:OFFSET($A307,-1,0),0)))))</f>
        <v>0</v>
      </c>
      <c r="N307" s="211" t="str">
        <f ca="1">IF($D307&lt;&gt;"Serviço","",IF(AUTOEVENTO="Manual",IF($A307=0,"&lt;-- defina o número do agrupador",OFFSET(EVENTOS!$D$14,$A307,0)),OFFSET($F$15,$A307,0)))</f>
        <v>&lt;-- defina o número do agrupador</v>
      </c>
      <c r="O307" s="212"/>
      <c r="Q307" s="212"/>
      <c r="R307" s="213"/>
      <c r="S307" s="213"/>
      <c r="T307" s="213"/>
      <c r="U307" s="213"/>
      <c r="V307" s="213"/>
      <c r="W307" s="213"/>
      <c r="X307" s="213"/>
      <c r="Y307" s="213"/>
      <c r="Z307" s="214"/>
      <c r="AA307" s="213"/>
      <c r="AB307" s="213"/>
      <c r="AC307" s="213"/>
      <c r="AD307" s="213"/>
      <c r="AE307" s="213"/>
      <c r="AF307" s="213"/>
      <c r="AG307" s="213"/>
      <c r="AH307" s="214"/>
      <c r="AJ307" s="631">
        <f ca="1">IF(AND($D307="Serviço",AJ$12&lt;&gt;0,$H307&gt;0,OR(AUTOEVENTO&lt;&gt;"manual",$M307&lt;&gt;1)),ROUND(OFFSET($P307,0,AJ$13),15-13*ORÇAMENTO!$AF$7)/$H307*OFFSET(ORÇAMENTO!$X$15,ROW(AJ307)-ROW(AJ$15),0),0)</f>
        <v>0</v>
      </c>
      <c r="AK307" s="632">
        <f ca="1">IF(AND($D307="Serviço",AK$12&lt;&gt;0,$H307&gt;0,OR(AUTOEVENTO&lt;&gt;"manual",$M307&lt;&gt;1)),ROUND(OFFSET($P307,0,AK$13),15-13*ORÇAMENTO!$AF$7)/$H307*OFFSET(ORÇAMENTO!$X$15,ROW(AK307)-ROW(AK$15),0),0)</f>
        <v>0</v>
      </c>
      <c r="AL307" s="632">
        <f ca="1">IF(AND($D307="Serviço",AL$12&lt;&gt;0,$H307&gt;0,OR(AUTOEVENTO&lt;&gt;"manual",$M307&lt;&gt;1)),ROUND(OFFSET($P307,0,AL$13),15-13*ORÇAMENTO!$AF$7)/$H307*OFFSET(ORÇAMENTO!$X$15,ROW(AL307)-ROW(AL$15),0),0)</f>
        <v>0</v>
      </c>
      <c r="AM307" s="632">
        <f ca="1">IF(AND($D307="Serviço",AM$12&lt;&gt;0,$H307&gt;0,OR(AUTOEVENTO&lt;&gt;"manual",$M307&lt;&gt;1)),ROUND(OFFSET($P307,0,AM$13),15-13*ORÇAMENTO!$AF$7)/$H307*OFFSET(ORÇAMENTO!$X$15,ROW(AM307)-ROW(AM$15),0),0)</f>
        <v>0</v>
      </c>
      <c r="AN307" s="632">
        <f ca="1">IF(AND($D307="Serviço",AN$12&lt;&gt;0,$H307&gt;0,OR(AUTOEVENTO&lt;&gt;"manual",$M307&lt;&gt;1)),ROUND(OFFSET($P307,0,AN$13),15-13*ORÇAMENTO!$AF$7)/$H307*OFFSET(ORÇAMENTO!$X$15,ROW(AN307)-ROW(AN$15),0),0)</f>
        <v>0</v>
      </c>
      <c r="AO307" s="632">
        <f ca="1">IF(AND($D307="Serviço",AO$12&lt;&gt;0,$H307&gt;0,OR(AUTOEVENTO&lt;&gt;"manual",$M307&lt;&gt;1)),ROUND(OFFSET($P307,0,AO$13),15-13*ORÇAMENTO!$AF$7)/$H307*OFFSET(ORÇAMENTO!$X$15,ROW(AO307)-ROW(AO$15),0),0)</f>
        <v>0</v>
      </c>
      <c r="AP307" s="632">
        <f ca="1">IF(AND($D307="Serviço",AP$12&lt;&gt;0,$H307&gt;0,OR(AUTOEVENTO&lt;&gt;"manual",$M307&lt;&gt;1)),ROUND(OFFSET($P307,0,AP$13),15-13*ORÇAMENTO!$AF$7)/$H307*OFFSET(ORÇAMENTO!$X$15,ROW(AP307)-ROW(AP$15),0),0)</f>
        <v>0</v>
      </c>
      <c r="AQ307" s="632">
        <f ca="1">IF(AND($D307="Serviço",AQ$12&lt;&gt;0,$H307&gt;0,OR(AUTOEVENTO&lt;&gt;"manual",$M307&lt;&gt;1)),ROUND(OFFSET($P307,0,AQ$13),15-13*ORÇAMENTO!$AF$7)/$H307*OFFSET(ORÇAMENTO!$X$15,ROW(AQ307)-ROW(AQ$15),0),0)</f>
        <v>0</v>
      </c>
      <c r="AR307" s="632">
        <f ca="1">IF(AND($D307="Serviço",AR$12&lt;&gt;0,$H307&gt;0,OR(AUTOEVENTO&lt;&gt;"manual",$M307&lt;&gt;1)),ROUND(OFFSET($P307,0,AR$13),15-13*ORÇAMENTO!$AF$7)/$H307*OFFSET(ORÇAMENTO!$X$15,ROW(AR307)-ROW(AR$15),0),0)</f>
        <v>0</v>
      </c>
      <c r="AS307" s="633">
        <f ca="1">IF(AND($D307="Serviço",AS$12&lt;&gt;0,$H307&gt;0,OR(AUTOEVENTO&lt;&gt;"manual",$M307&lt;&gt;1)),ROUND(OFFSET($P307,0,AS$13),15-13*ORÇAMENTO!$AF$7)/$H307*OFFSET(ORÇAMENTO!$X$15,ROW(AS307)-ROW(AS$15),0),0)</f>
        <v>0</v>
      </c>
      <c r="AT307" s="632">
        <f ca="1">IF(AND($D307="Serviço",AT$12&lt;&gt;0,$H307&gt;0,OR(AUTOEVENTO&lt;&gt;"manual",$M307&lt;&gt;1)),ROUND(OFFSET($P307,0,AT$13),15-13*ORÇAMENTO!$AF$7)/$H307*OFFSET(ORÇAMENTO!$X$15,ROW(AT307)-ROW(AT$15),0),0)</f>
        <v>0</v>
      </c>
      <c r="AU307" s="632">
        <f ca="1">IF(AND($D307="Serviço",AU$12&lt;&gt;0,$H307&gt;0,OR(AUTOEVENTO&lt;&gt;"manual",$M307&lt;&gt;1)),ROUND(OFFSET($P307,0,AU$13),15-13*ORÇAMENTO!$AF$7)/$H307*OFFSET(ORÇAMENTO!$X$15,ROW(AU307)-ROW(AU$15),0),0)</f>
        <v>0</v>
      </c>
      <c r="AV307" s="632">
        <f ca="1">IF(AND($D307="Serviço",AV$12&lt;&gt;0,$H307&gt;0,OR(AUTOEVENTO&lt;&gt;"manual",$M307&lt;&gt;1)),ROUND(OFFSET($P307,0,AV$13),15-13*ORÇAMENTO!$AF$7)/$H307*OFFSET(ORÇAMENTO!$X$15,ROW(AV307)-ROW(AV$15),0),0)</f>
        <v>0</v>
      </c>
      <c r="AW307" s="632">
        <f ca="1">IF(AND($D307="Serviço",AW$12&lt;&gt;0,$H307&gt;0,OR(AUTOEVENTO&lt;&gt;"manual",$M307&lt;&gt;1)),ROUND(OFFSET($P307,0,AW$13),15-13*ORÇAMENTO!$AF$7)/$H307*OFFSET(ORÇAMENTO!$X$15,ROW(AW307)-ROW(AW$15),0),0)</f>
        <v>0</v>
      </c>
      <c r="AX307" s="632">
        <f ca="1">IF(AND($D307="Serviço",AX$12&lt;&gt;0,$H307&gt;0,OR(AUTOEVENTO&lt;&gt;"manual",$M307&lt;&gt;1)),ROUND(OFFSET($P307,0,AX$13),15-13*ORÇAMENTO!$AF$7)/$H307*OFFSET(ORÇAMENTO!$X$15,ROW(AX307)-ROW(AX$15),0),0)</f>
        <v>0</v>
      </c>
      <c r="AY307" s="632">
        <f ca="1">IF(AND($D307="Serviço",AY$12&lt;&gt;0,$H307&gt;0,OR(AUTOEVENTO&lt;&gt;"manual",$M307&lt;&gt;1)),ROUND(OFFSET($P307,0,AY$13),15-13*ORÇAMENTO!$AF$7)/$H307*OFFSET(ORÇAMENTO!$X$15,ROW(AY307)-ROW(AY$15),0),0)</f>
        <v>0</v>
      </c>
      <c r="AZ307" s="632">
        <f ca="1">IF(AND($D307="Serviço",AZ$12&lt;&gt;0,$H307&gt;0,OR(AUTOEVENTO&lt;&gt;"manual",$M307&lt;&gt;1)),ROUND(OFFSET($P307,0,AZ$13),15-13*ORÇAMENTO!$AF$7)/$H307*OFFSET(ORÇAMENTO!$X$15,ROW(AZ307)-ROW(AZ$15),0),0)</f>
        <v>0</v>
      </c>
      <c r="BA307" s="633">
        <f ca="1">IF(AND($D307="Serviço",BA$12&lt;&gt;0,$H307&gt;0,OR(AUTOEVENTO&lt;&gt;"manual",$M307&lt;&gt;1)),ROUND(OFFSET($P307,0,BA$13),15-13*ORÇAMENTO!$AF$7)/$H307*OFFSET(ORÇAMENTO!$X$15,ROW(BA307)-ROW(BA$15),0),0)</f>
        <v>0</v>
      </c>
      <c r="BC307" s="215">
        <f ca="1">IF($D307&lt;&gt;"Serviço",0,IF(AND(AUTOEVENTO="Manual",$M307=1),0,IF(OFFSET(CRONOPLE!$F$14,$M307,BC$13)="",10^12,OFFSET(CRONOPLE!$F$14,$M307,BC$13))))</f>
        <v>1000000000000</v>
      </c>
      <c r="BD307" s="215">
        <f ca="1">IF($D307&lt;&gt;"Serviço",0,IF(AND(AUTOEVENTO="Manual",$M307=1),0,IF(OFFSET(CRONOPLE!$F$14,$M307,BD$13)="",10^12,OFFSET(CRONOPLE!$F$14,$M307,BD$13))))</f>
        <v>1000000000000</v>
      </c>
      <c r="BE307" s="215">
        <f ca="1">IF($D307&lt;&gt;"Serviço",0,IF(AND(AUTOEVENTO="Manual",$M307=1),0,IF(OFFSET(CRONOPLE!$F$14,$M307,BE$13)="",10^12,OFFSET(CRONOPLE!$F$14,$M307,BE$13))))</f>
        <v>1000000000000</v>
      </c>
      <c r="BF307" s="215">
        <f ca="1">IF($D307&lt;&gt;"Serviço",0,IF(AND(AUTOEVENTO="Manual",$M307=1),0,IF(OFFSET(CRONOPLE!$F$14,$M307,BF$13)="",10^12,OFFSET(CRONOPLE!$F$14,$M307,BF$13))))</f>
        <v>1000000000000</v>
      </c>
      <c r="BG307" s="215">
        <f ca="1">IF($D307&lt;&gt;"Serviço",0,IF(AND(AUTOEVENTO="Manual",$M307=1),0,IF(OFFSET(CRONOPLE!$F$14,$M307,BG$13)="",10^12,OFFSET(CRONOPLE!$F$14,$M307,BG$13))))</f>
        <v>1000000000000</v>
      </c>
      <c r="BH307" s="215">
        <f ca="1">IF($D307&lt;&gt;"Serviço",0,IF(AND(AUTOEVENTO="Manual",$M307=1),0,IF(OFFSET(CRONOPLE!$F$14,$M307,BH$13)="",10^12,OFFSET(CRONOPLE!$F$14,$M307,BH$13))))</f>
        <v>1000000000000</v>
      </c>
      <c r="BI307" s="215">
        <f ca="1">IF($D307&lt;&gt;"Serviço",0,IF(AND(AUTOEVENTO="Manual",$M307=1),0,IF(OFFSET(CRONOPLE!$F$14,$M307,BI$13)="",10^12,OFFSET(CRONOPLE!$F$14,$M307,BI$13))))</f>
        <v>1000000000000</v>
      </c>
      <c r="BJ307" s="215">
        <f ca="1">IF($D307&lt;&gt;"Serviço",0,IF(AND(AUTOEVENTO="Manual",$M307=1),0,IF(OFFSET(CRONOPLE!$F$14,$M307,BJ$13)="",10^12,OFFSET(CRONOPLE!$F$14,$M307,BJ$13))))</f>
        <v>1000000000000</v>
      </c>
      <c r="BK307" s="215">
        <f ca="1">IF($D307&lt;&gt;"Serviço",0,IF(AND(AUTOEVENTO="Manual",$M307=1),0,IF(OFFSET(CRONOPLE!$F$14,$M307,BK$13)="",10^12,OFFSET(CRONOPLE!$F$14,$M307,BK$13))))</f>
        <v>1000000000000</v>
      </c>
      <c r="BL307" s="215">
        <f ca="1">IF($D307&lt;&gt;"Serviço",0,IF(AND(AUTOEVENTO="Manual",$M307=1),0,IF(OFFSET(CRONOPLE!$F$14,$M307,BL$13)="",10^12,OFFSET(CRONOPLE!$F$14,$M307,BL$13))))</f>
        <v>1000000000000</v>
      </c>
      <c r="BM307" s="215">
        <f ca="1">IF($D307&lt;&gt;"Serviço",0,IF(AND(AUTOEVENTO="Manual",$M307=1),0,IF(OFFSET(CRONOPLE!$F$14,$M307,BM$13)="",10^12,OFFSET(CRONOPLE!$F$14,$M307,BM$13))))</f>
        <v>1000000000000</v>
      </c>
      <c r="BN307" s="215">
        <f ca="1">IF($D307&lt;&gt;"Serviço",0,IF(AND(AUTOEVENTO="Manual",$M307=1),0,IF(OFFSET(CRONOPLE!$F$14,$M307,BN$13)="",10^12,OFFSET(CRONOPLE!$F$14,$M307,BN$13))))</f>
        <v>1000000000000</v>
      </c>
      <c r="BO307" s="215">
        <f ca="1">IF($D307&lt;&gt;"Serviço",0,IF(AND(AUTOEVENTO="Manual",$M307=1),0,IF(OFFSET(CRONOPLE!$F$14,$M307,BO$13)="",10^12,OFFSET(CRONOPLE!$F$14,$M307,BO$13))))</f>
        <v>1000000000000</v>
      </c>
      <c r="BP307" s="215">
        <f ca="1">IF($D307&lt;&gt;"Serviço",0,IF(AND(AUTOEVENTO="Manual",$M307=1),0,IF(OFFSET(CRONOPLE!$F$14,$M307,BP$13)="",10^12,OFFSET(CRONOPLE!$F$14,$M307,BP$13))))</f>
        <v>1000000000000</v>
      </c>
      <c r="BQ307" s="215">
        <f ca="1">IF($D307&lt;&gt;"Serviço",0,IF(AND(AUTOEVENTO="Manual",$M307=1),0,IF(OFFSET(CRONOPLE!$F$14,$M307,BQ$13)="",10^12,OFFSET(CRONOPLE!$F$14,$M307,BQ$13))))</f>
        <v>1000000000000</v>
      </c>
      <c r="BR307" s="215">
        <f ca="1">IF($D307&lt;&gt;"Serviço",0,IF(AND(AUTOEVENTO="Manual",$M307=1),0,IF(OFFSET(CRONOPLE!$F$14,$M307,BR$13)="",10^12,OFFSET(CRONOPLE!$F$14,$M307,BR$13))))</f>
        <v>1000000000000</v>
      </c>
      <c r="BS307" s="215">
        <f ca="1">IF($D307&lt;&gt;"Serviço",0,IF(AND(AUTOEVENTO="Manual",$M307=1),0,IF(OFFSET(CRONOPLE!$F$14,$M307,BS$13)="",10^12,OFFSET(CRONOPLE!$F$14,$M307,BS$13))))</f>
        <v>1000000000000</v>
      </c>
      <c r="BT307" s="215">
        <f ca="1">IF($D307&lt;&gt;"Serviço",0,IF(AND(AUTOEVENTO="Manual",$M307=1),0,IF(OFFSET(CRONOPLE!$F$14,$M307,BT$13)="",10^12,OFFSET(CRONOPLE!$F$14,$M307,BT$13))))</f>
        <v>1000000000000</v>
      </c>
      <c r="BV307" s="216">
        <f ca="1">IF($D307&lt;&gt;"Serviço",0,IF(OR(AND(AUTOEVENTO="Manual",$M307=1),$M307&gt;(ROW(PLE.lastrow)-ROW(PLE.firstrow))),0,IF(OFFSET(PLE!$G$14,$M307,BV$13)="",10^12,OFFSET(PLE!$G$14,$M307,BV$13))))</f>
        <v>1000000000000</v>
      </c>
      <c r="BW307" s="216">
        <f ca="1">IF($D307&lt;&gt;"Serviço",0,IF(OR(AND(AUTOEVENTO="Manual",$M307=1),$M307&gt;(ROW(PLE.lastrow)-ROW(PLE.firstrow))),0,IF(OFFSET(PLE!$G$14,$M307,BW$13)="",10^12,OFFSET(PLE!$G$14,$M307,BW$13))))</f>
        <v>1000000000000</v>
      </c>
      <c r="BX307" s="216">
        <f ca="1">IF($D307&lt;&gt;"Serviço",0,IF(OR(AND(AUTOEVENTO="Manual",$M307=1),$M307&gt;(ROW(PLE.lastrow)-ROW(PLE.firstrow))),0,IF(OFFSET(PLE!$G$14,$M307,BX$13)="",10^12,OFFSET(PLE!$G$14,$M307,BX$13))))</f>
        <v>1000000000000</v>
      </c>
      <c r="BY307" s="216">
        <f ca="1">IF($D307&lt;&gt;"Serviço",0,IF(OR(AND(AUTOEVENTO="Manual",$M307=1),$M307&gt;(ROW(PLE.lastrow)-ROW(PLE.firstrow))),0,IF(OFFSET(PLE!$G$14,$M307,BY$13)="",10^12,OFFSET(PLE!$G$14,$M307,BY$13))))</f>
        <v>1000000000000</v>
      </c>
      <c r="BZ307" s="216">
        <f ca="1">IF($D307&lt;&gt;"Serviço",0,IF(OR(AND(AUTOEVENTO="Manual",$M307=1),$M307&gt;(ROW(PLE.lastrow)-ROW(PLE.firstrow))),0,IF(OFFSET(PLE!$G$14,$M307,BZ$13)="",10^12,OFFSET(PLE!$G$14,$M307,BZ$13))))</f>
        <v>1000000000000</v>
      </c>
      <c r="CA307" s="216">
        <f ca="1">IF($D307&lt;&gt;"Serviço",0,IF(OR(AND(AUTOEVENTO="Manual",$M307=1),$M307&gt;(ROW(PLE.lastrow)-ROW(PLE.firstrow))),0,IF(OFFSET(PLE!$G$14,$M307,CA$13)="",10^12,OFFSET(PLE!$G$14,$M307,CA$13))))</f>
        <v>1000000000000</v>
      </c>
      <c r="CB307" s="216">
        <f ca="1">IF($D307&lt;&gt;"Serviço",0,IF(OR(AND(AUTOEVENTO="Manual",$M307=1),$M307&gt;(ROW(PLE.lastrow)-ROW(PLE.firstrow))),0,IF(OFFSET(PLE!$G$14,$M307,CB$13)="",10^12,OFFSET(PLE!$G$14,$M307,CB$13))))</f>
        <v>1000000000000</v>
      </c>
      <c r="CC307" s="216">
        <f ca="1">IF($D307&lt;&gt;"Serviço",0,IF(OR(AND(AUTOEVENTO="Manual",$M307=1),$M307&gt;(ROW(PLE.lastrow)-ROW(PLE.firstrow))),0,IF(OFFSET(PLE!$G$14,$M307,CC$13)="",10^12,OFFSET(PLE!$G$14,$M307,CC$13))))</f>
        <v>1000000000000</v>
      </c>
      <c r="CD307" s="216">
        <f ca="1">IF($D307&lt;&gt;"Serviço",0,IF(OR(AND(AUTOEVENTO="Manual",$M307=1),$M307&gt;(ROW(PLE.lastrow)-ROW(PLE.firstrow))),0,IF(OFFSET(PLE!$G$14,$M307,CD$13)="",10^12,OFFSET(PLE!$G$14,$M307,CD$13))))</f>
        <v>1000000000000</v>
      </c>
      <c r="CE307" s="216">
        <f ca="1">IF($D307&lt;&gt;"Serviço",0,IF(OR(AND(AUTOEVENTO="Manual",$M307=1),$M307&gt;(ROW(PLE.lastrow)-ROW(PLE.firstrow))),0,IF(OFFSET(PLE!$G$14,$M307,CE$13)="",10^12,OFFSET(PLE!$G$14,$M307,CE$13))))</f>
        <v>1000000000000</v>
      </c>
      <c r="CF307" s="216">
        <f ca="1">IF($D307&lt;&gt;"Serviço",0,IF(OR(AND(AUTOEVENTO="Manual",$M307=1),$M307&gt;(ROW(PLE.lastrow)-ROW(PLE.firstrow))),0,IF(OFFSET(PLE!$G$14,$M307,CF$13)="",10^12,OFFSET(PLE!$G$14,$M307,CF$13))))</f>
        <v>1000000000000</v>
      </c>
      <c r="CG307" s="216">
        <f ca="1">IF($D307&lt;&gt;"Serviço",0,IF(OR(AND(AUTOEVENTO="Manual",$M307=1),$M307&gt;(ROW(PLE.lastrow)-ROW(PLE.firstrow))),0,IF(OFFSET(PLE!$G$14,$M307,CG$13)="",10^12,OFFSET(PLE!$G$14,$M307,CG$13))))</f>
        <v>1000000000000</v>
      </c>
      <c r="CH307" s="216">
        <f ca="1">IF($D307&lt;&gt;"Serviço",0,IF(OR(AND(AUTOEVENTO="Manual",$M307=1),$M307&gt;(ROW(PLE.lastrow)-ROW(PLE.firstrow))),0,IF(OFFSET(PLE!$G$14,$M307,CH$13)="",10^12,OFFSET(PLE!$G$14,$M307,CH$13))))</f>
        <v>1000000000000</v>
      </c>
      <c r="CI307" s="216">
        <f ca="1">IF($D307&lt;&gt;"Serviço",0,IF(OR(AND(AUTOEVENTO="Manual",$M307=1),$M307&gt;(ROW(PLE.lastrow)-ROW(PLE.firstrow))),0,IF(OFFSET(PLE!$G$14,$M307,CI$13)="",10^12,OFFSET(PLE!$G$14,$M307,CI$13))))</f>
        <v>1000000000000</v>
      </c>
      <c r="CJ307" s="216">
        <f ca="1">IF($D307&lt;&gt;"Serviço",0,IF(OR(AND(AUTOEVENTO="Manual",$M307=1),$M307&gt;(ROW(PLE.lastrow)-ROW(PLE.firstrow))),0,IF(OFFSET(PLE!$G$14,$M307,CJ$13)="",10^12,OFFSET(PLE!$G$14,$M307,CJ$13))))</f>
        <v>1000000000000</v>
      </c>
      <c r="CK307" s="216">
        <f ca="1">IF($D307&lt;&gt;"Serviço",0,IF(OR(AND(AUTOEVENTO="Manual",$M307=1),$M307&gt;(ROW(PLE.lastrow)-ROW(PLE.firstrow))),0,IF(OFFSET(PLE!$G$14,$M307,CK$13)="",10^12,OFFSET(PLE!$G$14,$M307,CK$13))))</f>
        <v>1000000000000</v>
      </c>
      <c r="CL307" s="216">
        <f ca="1">IF($D307&lt;&gt;"Serviço",0,IF(OR(AND(AUTOEVENTO="Manual",$M307=1),$M307&gt;(ROW(PLE.lastrow)-ROW(PLE.firstrow))),0,IF(OFFSET(PLE!$G$14,$M307,CL$13)="",10^12,OFFSET(PLE!$G$14,$M307,CL$13))))</f>
        <v>1000000000000</v>
      </c>
      <c r="CM307" s="216">
        <f ca="1">IF($D307&lt;&gt;"Serviço",0,IF(OR(AND(AUTOEVENTO="Manual",$M307=1),$M307&gt;(ROW(PLE.lastrow)-ROW(PLE.firstrow))),0,IF(OFFSET(PLE!$G$14,$M307,CM$13)="",10^12,OFFSET(PLE!$G$14,$M307,CM$13))))</f>
        <v>1000000000000</v>
      </c>
    </row>
    <row r="308" spans="1:91" ht="13.2" x14ac:dyDescent="0.25">
      <c r="A308" s="9">
        <f t="shared" ca="1" si="13"/>
        <v>0</v>
      </c>
      <c r="B308" s="9" t="str">
        <f ca="1">OFFSET(ORÇAMENTO!C$15,ROW(B308)-ROW(B$15),0)</f>
        <v>S</v>
      </c>
      <c r="C308" s="9" t="str">
        <f ca="1">OFFSET(ORÇAMENTO!L$15,ROW(C308)-ROW(C$15),0)</f>
        <v/>
      </c>
      <c r="D308" s="145" t="str">
        <f ca="1">OFFSET(ORÇAMENTO!N$15,ROW(D308)-ROW(D$15),0)</f>
        <v>Serviço</v>
      </c>
      <c r="E308" s="205" t="str">
        <f ca="1">OFFSET(ORÇAMENTO!O$15,ROW(E308)-ROW(E$15),0)</f>
        <v>-</v>
      </c>
      <c r="F308" s="206" t="str">
        <f ca="1">OFFSET(ORÇAMENTO!R$15,ROW(F308)-ROW(F$15),0)</f>
        <v>(abra o arquivo 'Referência 05-2024.xls)</v>
      </c>
      <c r="G308" s="207" t="str">
        <f ca="1">IF($D308&lt;&gt;"Serviço","",OFFSET(ORÇAMENTO!S$15,ROW(G308)-ROW(G$15),0))</f>
        <v>-</v>
      </c>
      <c r="H308" s="151">
        <f ca="1">IF($D308&lt;&gt;"Serviço",0,IF(ACOMPANHAMENTO="BM",ROUND(OFFSET(ORÇAMENTO!AJ$15,ROW(H308)-ROW(H$15),0),15-13*ORÇAMENTO!$AF$7),SUMPRODUCT(($Q$12:$AI$12&lt;&gt;"")*ROUND($Q308:$AI308,15-13*ORÇAMENTO!$AF$7))))</f>
        <v>25.63</v>
      </c>
      <c r="I308" s="650"/>
      <c r="K308" s="208"/>
      <c r="L308" s="209" t="s">
        <v>257</v>
      </c>
      <c r="M308" s="210">
        <f ca="1">IF($D308&lt;&gt;"Serviço","",IF(AUTOEVENTO="manual",$A308,IF(ISERROR(MATCH($A308,$A$15:OFFSET($A308,-1,0),0)),MAX($M$15:OFFSET(M308,-1,0))+1,INDEX($M$15:OFFSET(M308,-1,0),MATCH($A308,$A$15:OFFSET($A308,-1,0),0)))))</f>
        <v>0</v>
      </c>
      <c r="N308" s="211" t="str">
        <f ca="1">IF($D308&lt;&gt;"Serviço","",IF(AUTOEVENTO="Manual",IF($A308=0,"&lt;-- defina o número do agrupador",OFFSET(EVENTOS!$D$14,$A308,0)),OFFSET($F$15,$A308,0)))</f>
        <v>&lt;-- defina o número do agrupador</v>
      </c>
      <c r="O308" s="212"/>
      <c r="Q308" s="212"/>
      <c r="R308" s="213"/>
      <c r="S308" s="213"/>
      <c r="T308" s="213"/>
      <c r="U308" s="213"/>
      <c r="V308" s="213"/>
      <c r="W308" s="213"/>
      <c r="X308" s="213"/>
      <c r="Y308" s="213"/>
      <c r="Z308" s="214"/>
      <c r="AA308" s="213"/>
      <c r="AB308" s="213"/>
      <c r="AC308" s="213"/>
      <c r="AD308" s="213"/>
      <c r="AE308" s="213"/>
      <c r="AF308" s="213"/>
      <c r="AG308" s="213"/>
      <c r="AH308" s="214"/>
      <c r="AJ308" s="631">
        <f ca="1">IF(AND($D308="Serviço",AJ$12&lt;&gt;0,$H308&gt;0,OR(AUTOEVENTO&lt;&gt;"manual",$M308&lt;&gt;1)),ROUND(OFFSET($P308,0,AJ$13),15-13*ORÇAMENTO!$AF$7)/$H308*OFFSET(ORÇAMENTO!$X$15,ROW(AJ308)-ROW(AJ$15),0),0)</f>
        <v>0</v>
      </c>
      <c r="AK308" s="632">
        <f ca="1">IF(AND($D308="Serviço",AK$12&lt;&gt;0,$H308&gt;0,OR(AUTOEVENTO&lt;&gt;"manual",$M308&lt;&gt;1)),ROUND(OFFSET($P308,0,AK$13),15-13*ORÇAMENTO!$AF$7)/$H308*OFFSET(ORÇAMENTO!$X$15,ROW(AK308)-ROW(AK$15),0),0)</f>
        <v>0</v>
      </c>
      <c r="AL308" s="632">
        <f ca="1">IF(AND($D308="Serviço",AL$12&lt;&gt;0,$H308&gt;0,OR(AUTOEVENTO&lt;&gt;"manual",$M308&lt;&gt;1)),ROUND(OFFSET($P308,0,AL$13),15-13*ORÇAMENTO!$AF$7)/$H308*OFFSET(ORÇAMENTO!$X$15,ROW(AL308)-ROW(AL$15),0),0)</f>
        <v>0</v>
      </c>
      <c r="AM308" s="632">
        <f ca="1">IF(AND($D308="Serviço",AM$12&lt;&gt;0,$H308&gt;0,OR(AUTOEVENTO&lt;&gt;"manual",$M308&lt;&gt;1)),ROUND(OFFSET($P308,0,AM$13),15-13*ORÇAMENTO!$AF$7)/$H308*OFFSET(ORÇAMENTO!$X$15,ROW(AM308)-ROW(AM$15),0),0)</f>
        <v>0</v>
      </c>
      <c r="AN308" s="632">
        <f ca="1">IF(AND($D308="Serviço",AN$12&lt;&gt;0,$H308&gt;0,OR(AUTOEVENTO&lt;&gt;"manual",$M308&lt;&gt;1)),ROUND(OFFSET($P308,0,AN$13),15-13*ORÇAMENTO!$AF$7)/$H308*OFFSET(ORÇAMENTO!$X$15,ROW(AN308)-ROW(AN$15),0),0)</f>
        <v>0</v>
      </c>
      <c r="AO308" s="632">
        <f ca="1">IF(AND($D308="Serviço",AO$12&lt;&gt;0,$H308&gt;0,OR(AUTOEVENTO&lt;&gt;"manual",$M308&lt;&gt;1)),ROUND(OFFSET($P308,0,AO$13),15-13*ORÇAMENTO!$AF$7)/$H308*OFFSET(ORÇAMENTO!$X$15,ROW(AO308)-ROW(AO$15),0),0)</f>
        <v>0</v>
      </c>
      <c r="AP308" s="632">
        <f ca="1">IF(AND($D308="Serviço",AP$12&lt;&gt;0,$H308&gt;0,OR(AUTOEVENTO&lt;&gt;"manual",$M308&lt;&gt;1)),ROUND(OFFSET($P308,0,AP$13),15-13*ORÇAMENTO!$AF$7)/$H308*OFFSET(ORÇAMENTO!$X$15,ROW(AP308)-ROW(AP$15),0),0)</f>
        <v>0</v>
      </c>
      <c r="AQ308" s="632">
        <f ca="1">IF(AND($D308="Serviço",AQ$12&lt;&gt;0,$H308&gt;0,OR(AUTOEVENTO&lt;&gt;"manual",$M308&lt;&gt;1)),ROUND(OFFSET($P308,0,AQ$13),15-13*ORÇAMENTO!$AF$7)/$H308*OFFSET(ORÇAMENTO!$X$15,ROW(AQ308)-ROW(AQ$15),0),0)</f>
        <v>0</v>
      </c>
      <c r="AR308" s="632">
        <f ca="1">IF(AND($D308="Serviço",AR$12&lt;&gt;0,$H308&gt;0,OR(AUTOEVENTO&lt;&gt;"manual",$M308&lt;&gt;1)),ROUND(OFFSET($P308,0,AR$13),15-13*ORÇAMENTO!$AF$7)/$H308*OFFSET(ORÇAMENTO!$X$15,ROW(AR308)-ROW(AR$15),0),0)</f>
        <v>0</v>
      </c>
      <c r="AS308" s="633">
        <f ca="1">IF(AND($D308="Serviço",AS$12&lt;&gt;0,$H308&gt;0,OR(AUTOEVENTO&lt;&gt;"manual",$M308&lt;&gt;1)),ROUND(OFFSET($P308,0,AS$13),15-13*ORÇAMENTO!$AF$7)/$H308*OFFSET(ORÇAMENTO!$X$15,ROW(AS308)-ROW(AS$15),0),0)</f>
        <v>0</v>
      </c>
      <c r="AT308" s="632">
        <f ca="1">IF(AND($D308="Serviço",AT$12&lt;&gt;0,$H308&gt;0,OR(AUTOEVENTO&lt;&gt;"manual",$M308&lt;&gt;1)),ROUND(OFFSET($P308,0,AT$13),15-13*ORÇAMENTO!$AF$7)/$H308*OFFSET(ORÇAMENTO!$X$15,ROW(AT308)-ROW(AT$15),0),0)</f>
        <v>0</v>
      </c>
      <c r="AU308" s="632">
        <f ca="1">IF(AND($D308="Serviço",AU$12&lt;&gt;0,$H308&gt;0,OR(AUTOEVENTO&lt;&gt;"manual",$M308&lt;&gt;1)),ROUND(OFFSET($P308,0,AU$13),15-13*ORÇAMENTO!$AF$7)/$H308*OFFSET(ORÇAMENTO!$X$15,ROW(AU308)-ROW(AU$15),0),0)</f>
        <v>0</v>
      </c>
      <c r="AV308" s="632">
        <f ca="1">IF(AND($D308="Serviço",AV$12&lt;&gt;0,$H308&gt;0,OR(AUTOEVENTO&lt;&gt;"manual",$M308&lt;&gt;1)),ROUND(OFFSET($P308,0,AV$13),15-13*ORÇAMENTO!$AF$7)/$H308*OFFSET(ORÇAMENTO!$X$15,ROW(AV308)-ROW(AV$15),0),0)</f>
        <v>0</v>
      </c>
      <c r="AW308" s="632">
        <f ca="1">IF(AND($D308="Serviço",AW$12&lt;&gt;0,$H308&gt;0,OR(AUTOEVENTO&lt;&gt;"manual",$M308&lt;&gt;1)),ROUND(OFFSET($P308,0,AW$13),15-13*ORÇAMENTO!$AF$7)/$H308*OFFSET(ORÇAMENTO!$X$15,ROW(AW308)-ROW(AW$15),0),0)</f>
        <v>0</v>
      </c>
      <c r="AX308" s="632">
        <f ca="1">IF(AND($D308="Serviço",AX$12&lt;&gt;0,$H308&gt;0,OR(AUTOEVENTO&lt;&gt;"manual",$M308&lt;&gt;1)),ROUND(OFFSET($P308,0,AX$13),15-13*ORÇAMENTO!$AF$7)/$H308*OFFSET(ORÇAMENTO!$X$15,ROW(AX308)-ROW(AX$15),0),0)</f>
        <v>0</v>
      </c>
      <c r="AY308" s="632">
        <f ca="1">IF(AND($D308="Serviço",AY$12&lt;&gt;0,$H308&gt;0,OR(AUTOEVENTO&lt;&gt;"manual",$M308&lt;&gt;1)),ROUND(OFFSET($P308,0,AY$13),15-13*ORÇAMENTO!$AF$7)/$H308*OFFSET(ORÇAMENTO!$X$15,ROW(AY308)-ROW(AY$15),0),0)</f>
        <v>0</v>
      </c>
      <c r="AZ308" s="632">
        <f ca="1">IF(AND($D308="Serviço",AZ$12&lt;&gt;0,$H308&gt;0,OR(AUTOEVENTO&lt;&gt;"manual",$M308&lt;&gt;1)),ROUND(OFFSET($P308,0,AZ$13),15-13*ORÇAMENTO!$AF$7)/$H308*OFFSET(ORÇAMENTO!$X$15,ROW(AZ308)-ROW(AZ$15),0),0)</f>
        <v>0</v>
      </c>
      <c r="BA308" s="633">
        <f ca="1">IF(AND($D308="Serviço",BA$12&lt;&gt;0,$H308&gt;0,OR(AUTOEVENTO&lt;&gt;"manual",$M308&lt;&gt;1)),ROUND(OFFSET($P308,0,BA$13),15-13*ORÇAMENTO!$AF$7)/$H308*OFFSET(ORÇAMENTO!$X$15,ROW(BA308)-ROW(BA$15),0),0)</f>
        <v>0</v>
      </c>
      <c r="BC308" s="215">
        <f ca="1">IF($D308&lt;&gt;"Serviço",0,IF(AND(AUTOEVENTO="Manual",$M308=1),0,IF(OFFSET(CRONOPLE!$F$14,$M308,BC$13)="",10^12,OFFSET(CRONOPLE!$F$14,$M308,BC$13))))</f>
        <v>1000000000000</v>
      </c>
      <c r="BD308" s="215">
        <f ca="1">IF($D308&lt;&gt;"Serviço",0,IF(AND(AUTOEVENTO="Manual",$M308=1),0,IF(OFFSET(CRONOPLE!$F$14,$M308,BD$13)="",10^12,OFFSET(CRONOPLE!$F$14,$M308,BD$13))))</f>
        <v>1000000000000</v>
      </c>
      <c r="BE308" s="215">
        <f ca="1">IF($D308&lt;&gt;"Serviço",0,IF(AND(AUTOEVENTO="Manual",$M308=1),0,IF(OFFSET(CRONOPLE!$F$14,$M308,BE$13)="",10^12,OFFSET(CRONOPLE!$F$14,$M308,BE$13))))</f>
        <v>1000000000000</v>
      </c>
      <c r="BF308" s="215">
        <f ca="1">IF($D308&lt;&gt;"Serviço",0,IF(AND(AUTOEVENTO="Manual",$M308=1),0,IF(OFFSET(CRONOPLE!$F$14,$M308,BF$13)="",10^12,OFFSET(CRONOPLE!$F$14,$M308,BF$13))))</f>
        <v>1000000000000</v>
      </c>
      <c r="BG308" s="215">
        <f ca="1">IF($D308&lt;&gt;"Serviço",0,IF(AND(AUTOEVENTO="Manual",$M308=1),0,IF(OFFSET(CRONOPLE!$F$14,$M308,BG$13)="",10^12,OFFSET(CRONOPLE!$F$14,$M308,BG$13))))</f>
        <v>1000000000000</v>
      </c>
      <c r="BH308" s="215">
        <f ca="1">IF($D308&lt;&gt;"Serviço",0,IF(AND(AUTOEVENTO="Manual",$M308=1),0,IF(OFFSET(CRONOPLE!$F$14,$M308,BH$13)="",10^12,OFFSET(CRONOPLE!$F$14,$M308,BH$13))))</f>
        <v>1000000000000</v>
      </c>
      <c r="BI308" s="215">
        <f ca="1">IF($D308&lt;&gt;"Serviço",0,IF(AND(AUTOEVENTO="Manual",$M308=1),0,IF(OFFSET(CRONOPLE!$F$14,$M308,BI$13)="",10^12,OFFSET(CRONOPLE!$F$14,$M308,BI$13))))</f>
        <v>1000000000000</v>
      </c>
      <c r="BJ308" s="215">
        <f ca="1">IF($D308&lt;&gt;"Serviço",0,IF(AND(AUTOEVENTO="Manual",$M308=1),0,IF(OFFSET(CRONOPLE!$F$14,$M308,BJ$13)="",10^12,OFFSET(CRONOPLE!$F$14,$M308,BJ$13))))</f>
        <v>1000000000000</v>
      </c>
      <c r="BK308" s="215">
        <f ca="1">IF($D308&lt;&gt;"Serviço",0,IF(AND(AUTOEVENTO="Manual",$M308=1),0,IF(OFFSET(CRONOPLE!$F$14,$M308,BK$13)="",10^12,OFFSET(CRONOPLE!$F$14,$M308,BK$13))))</f>
        <v>1000000000000</v>
      </c>
      <c r="BL308" s="215">
        <f ca="1">IF($D308&lt;&gt;"Serviço",0,IF(AND(AUTOEVENTO="Manual",$M308=1),0,IF(OFFSET(CRONOPLE!$F$14,$M308,BL$13)="",10^12,OFFSET(CRONOPLE!$F$14,$M308,BL$13))))</f>
        <v>1000000000000</v>
      </c>
      <c r="BM308" s="215">
        <f ca="1">IF($D308&lt;&gt;"Serviço",0,IF(AND(AUTOEVENTO="Manual",$M308=1),0,IF(OFFSET(CRONOPLE!$F$14,$M308,BM$13)="",10^12,OFFSET(CRONOPLE!$F$14,$M308,BM$13))))</f>
        <v>1000000000000</v>
      </c>
      <c r="BN308" s="215">
        <f ca="1">IF($D308&lt;&gt;"Serviço",0,IF(AND(AUTOEVENTO="Manual",$M308=1),0,IF(OFFSET(CRONOPLE!$F$14,$M308,BN$13)="",10^12,OFFSET(CRONOPLE!$F$14,$M308,BN$13))))</f>
        <v>1000000000000</v>
      </c>
      <c r="BO308" s="215">
        <f ca="1">IF($D308&lt;&gt;"Serviço",0,IF(AND(AUTOEVENTO="Manual",$M308=1),0,IF(OFFSET(CRONOPLE!$F$14,$M308,BO$13)="",10^12,OFFSET(CRONOPLE!$F$14,$M308,BO$13))))</f>
        <v>1000000000000</v>
      </c>
      <c r="BP308" s="215">
        <f ca="1">IF($D308&lt;&gt;"Serviço",0,IF(AND(AUTOEVENTO="Manual",$M308=1),0,IF(OFFSET(CRONOPLE!$F$14,$M308,BP$13)="",10^12,OFFSET(CRONOPLE!$F$14,$M308,BP$13))))</f>
        <v>1000000000000</v>
      </c>
      <c r="BQ308" s="215">
        <f ca="1">IF($D308&lt;&gt;"Serviço",0,IF(AND(AUTOEVENTO="Manual",$M308=1),0,IF(OFFSET(CRONOPLE!$F$14,$M308,BQ$13)="",10^12,OFFSET(CRONOPLE!$F$14,$M308,BQ$13))))</f>
        <v>1000000000000</v>
      </c>
      <c r="BR308" s="215">
        <f ca="1">IF($D308&lt;&gt;"Serviço",0,IF(AND(AUTOEVENTO="Manual",$M308=1),0,IF(OFFSET(CRONOPLE!$F$14,$M308,BR$13)="",10^12,OFFSET(CRONOPLE!$F$14,$M308,BR$13))))</f>
        <v>1000000000000</v>
      </c>
      <c r="BS308" s="215">
        <f ca="1">IF($D308&lt;&gt;"Serviço",0,IF(AND(AUTOEVENTO="Manual",$M308=1),0,IF(OFFSET(CRONOPLE!$F$14,$M308,BS$13)="",10^12,OFFSET(CRONOPLE!$F$14,$M308,BS$13))))</f>
        <v>1000000000000</v>
      </c>
      <c r="BT308" s="215">
        <f ca="1">IF($D308&lt;&gt;"Serviço",0,IF(AND(AUTOEVENTO="Manual",$M308=1),0,IF(OFFSET(CRONOPLE!$F$14,$M308,BT$13)="",10^12,OFFSET(CRONOPLE!$F$14,$M308,BT$13))))</f>
        <v>1000000000000</v>
      </c>
      <c r="BV308" s="216">
        <f ca="1">IF($D308&lt;&gt;"Serviço",0,IF(OR(AND(AUTOEVENTO="Manual",$M308=1),$M308&gt;(ROW(PLE.lastrow)-ROW(PLE.firstrow))),0,IF(OFFSET(PLE!$G$14,$M308,BV$13)="",10^12,OFFSET(PLE!$G$14,$M308,BV$13))))</f>
        <v>1000000000000</v>
      </c>
      <c r="BW308" s="216">
        <f ca="1">IF($D308&lt;&gt;"Serviço",0,IF(OR(AND(AUTOEVENTO="Manual",$M308=1),$M308&gt;(ROW(PLE.lastrow)-ROW(PLE.firstrow))),0,IF(OFFSET(PLE!$G$14,$M308,BW$13)="",10^12,OFFSET(PLE!$G$14,$M308,BW$13))))</f>
        <v>1000000000000</v>
      </c>
      <c r="BX308" s="216">
        <f ca="1">IF($D308&lt;&gt;"Serviço",0,IF(OR(AND(AUTOEVENTO="Manual",$M308=1),$M308&gt;(ROW(PLE.lastrow)-ROW(PLE.firstrow))),0,IF(OFFSET(PLE!$G$14,$M308,BX$13)="",10^12,OFFSET(PLE!$G$14,$M308,BX$13))))</f>
        <v>1000000000000</v>
      </c>
      <c r="BY308" s="216">
        <f ca="1">IF($D308&lt;&gt;"Serviço",0,IF(OR(AND(AUTOEVENTO="Manual",$M308=1),$M308&gt;(ROW(PLE.lastrow)-ROW(PLE.firstrow))),0,IF(OFFSET(PLE!$G$14,$M308,BY$13)="",10^12,OFFSET(PLE!$G$14,$M308,BY$13))))</f>
        <v>1000000000000</v>
      </c>
      <c r="BZ308" s="216">
        <f ca="1">IF($D308&lt;&gt;"Serviço",0,IF(OR(AND(AUTOEVENTO="Manual",$M308=1),$M308&gt;(ROW(PLE.lastrow)-ROW(PLE.firstrow))),0,IF(OFFSET(PLE!$G$14,$M308,BZ$13)="",10^12,OFFSET(PLE!$G$14,$M308,BZ$13))))</f>
        <v>1000000000000</v>
      </c>
      <c r="CA308" s="216">
        <f ca="1">IF($D308&lt;&gt;"Serviço",0,IF(OR(AND(AUTOEVENTO="Manual",$M308=1),$M308&gt;(ROW(PLE.lastrow)-ROW(PLE.firstrow))),0,IF(OFFSET(PLE!$G$14,$M308,CA$13)="",10^12,OFFSET(PLE!$G$14,$M308,CA$13))))</f>
        <v>1000000000000</v>
      </c>
      <c r="CB308" s="216">
        <f ca="1">IF($D308&lt;&gt;"Serviço",0,IF(OR(AND(AUTOEVENTO="Manual",$M308=1),$M308&gt;(ROW(PLE.lastrow)-ROW(PLE.firstrow))),0,IF(OFFSET(PLE!$G$14,$M308,CB$13)="",10^12,OFFSET(PLE!$G$14,$M308,CB$13))))</f>
        <v>1000000000000</v>
      </c>
      <c r="CC308" s="216">
        <f ca="1">IF($D308&lt;&gt;"Serviço",0,IF(OR(AND(AUTOEVENTO="Manual",$M308=1),$M308&gt;(ROW(PLE.lastrow)-ROW(PLE.firstrow))),0,IF(OFFSET(PLE!$G$14,$M308,CC$13)="",10^12,OFFSET(PLE!$G$14,$M308,CC$13))))</f>
        <v>1000000000000</v>
      </c>
      <c r="CD308" s="216">
        <f ca="1">IF($D308&lt;&gt;"Serviço",0,IF(OR(AND(AUTOEVENTO="Manual",$M308=1),$M308&gt;(ROW(PLE.lastrow)-ROW(PLE.firstrow))),0,IF(OFFSET(PLE!$G$14,$M308,CD$13)="",10^12,OFFSET(PLE!$G$14,$M308,CD$13))))</f>
        <v>1000000000000</v>
      </c>
      <c r="CE308" s="216">
        <f ca="1">IF($D308&lt;&gt;"Serviço",0,IF(OR(AND(AUTOEVENTO="Manual",$M308=1),$M308&gt;(ROW(PLE.lastrow)-ROW(PLE.firstrow))),0,IF(OFFSET(PLE!$G$14,$M308,CE$13)="",10^12,OFFSET(PLE!$G$14,$M308,CE$13))))</f>
        <v>1000000000000</v>
      </c>
      <c r="CF308" s="216">
        <f ca="1">IF($D308&lt;&gt;"Serviço",0,IF(OR(AND(AUTOEVENTO="Manual",$M308=1),$M308&gt;(ROW(PLE.lastrow)-ROW(PLE.firstrow))),0,IF(OFFSET(PLE!$G$14,$M308,CF$13)="",10^12,OFFSET(PLE!$G$14,$M308,CF$13))))</f>
        <v>1000000000000</v>
      </c>
      <c r="CG308" s="216">
        <f ca="1">IF($D308&lt;&gt;"Serviço",0,IF(OR(AND(AUTOEVENTO="Manual",$M308=1),$M308&gt;(ROW(PLE.lastrow)-ROW(PLE.firstrow))),0,IF(OFFSET(PLE!$G$14,$M308,CG$13)="",10^12,OFFSET(PLE!$G$14,$M308,CG$13))))</f>
        <v>1000000000000</v>
      </c>
      <c r="CH308" s="216">
        <f ca="1">IF($D308&lt;&gt;"Serviço",0,IF(OR(AND(AUTOEVENTO="Manual",$M308=1),$M308&gt;(ROW(PLE.lastrow)-ROW(PLE.firstrow))),0,IF(OFFSET(PLE!$G$14,$M308,CH$13)="",10^12,OFFSET(PLE!$G$14,$M308,CH$13))))</f>
        <v>1000000000000</v>
      </c>
      <c r="CI308" s="216">
        <f ca="1">IF($D308&lt;&gt;"Serviço",0,IF(OR(AND(AUTOEVENTO="Manual",$M308=1),$M308&gt;(ROW(PLE.lastrow)-ROW(PLE.firstrow))),0,IF(OFFSET(PLE!$G$14,$M308,CI$13)="",10^12,OFFSET(PLE!$G$14,$M308,CI$13))))</f>
        <v>1000000000000</v>
      </c>
      <c r="CJ308" s="216">
        <f ca="1">IF($D308&lt;&gt;"Serviço",0,IF(OR(AND(AUTOEVENTO="Manual",$M308=1),$M308&gt;(ROW(PLE.lastrow)-ROW(PLE.firstrow))),0,IF(OFFSET(PLE!$G$14,$M308,CJ$13)="",10^12,OFFSET(PLE!$G$14,$M308,CJ$13))))</f>
        <v>1000000000000</v>
      </c>
      <c r="CK308" s="216">
        <f ca="1">IF($D308&lt;&gt;"Serviço",0,IF(OR(AND(AUTOEVENTO="Manual",$M308=1),$M308&gt;(ROW(PLE.lastrow)-ROW(PLE.firstrow))),0,IF(OFFSET(PLE!$G$14,$M308,CK$13)="",10^12,OFFSET(PLE!$G$14,$M308,CK$13))))</f>
        <v>1000000000000</v>
      </c>
      <c r="CL308" s="216">
        <f ca="1">IF($D308&lt;&gt;"Serviço",0,IF(OR(AND(AUTOEVENTO="Manual",$M308=1),$M308&gt;(ROW(PLE.lastrow)-ROW(PLE.firstrow))),0,IF(OFFSET(PLE!$G$14,$M308,CL$13)="",10^12,OFFSET(PLE!$G$14,$M308,CL$13))))</f>
        <v>1000000000000</v>
      </c>
      <c r="CM308" s="216">
        <f ca="1">IF($D308&lt;&gt;"Serviço",0,IF(OR(AND(AUTOEVENTO="Manual",$M308=1),$M308&gt;(ROW(PLE.lastrow)-ROW(PLE.firstrow))),0,IF(OFFSET(PLE!$G$14,$M308,CM$13)="",10^12,OFFSET(PLE!$G$14,$M308,CM$13))))</f>
        <v>1000000000000</v>
      </c>
    </row>
    <row r="309" spans="1:91" ht="13.2" x14ac:dyDescent="0.25">
      <c r="A309" s="9">
        <f t="shared" ca="1" si="13"/>
        <v>0</v>
      </c>
      <c r="B309" s="9" t="str">
        <f ca="1">OFFSET(ORÇAMENTO!C$15,ROW(B309)-ROW(B$15),0)</f>
        <v>S</v>
      </c>
      <c r="C309" s="9" t="str">
        <f ca="1">OFFSET(ORÇAMENTO!L$15,ROW(C309)-ROW(C$15),0)</f>
        <v/>
      </c>
      <c r="D309" s="145" t="str">
        <f ca="1">OFFSET(ORÇAMENTO!N$15,ROW(D309)-ROW(D$15),0)</f>
        <v>Serviço</v>
      </c>
      <c r="E309" s="205" t="str">
        <f ca="1">OFFSET(ORÇAMENTO!O$15,ROW(E309)-ROW(E$15),0)</f>
        <v>-</v>
      </c>
      <c r="F309" s="206" t="str">
        <f ca="1">OFFSET(ORÇAMENTO!R$15,ROW(F309)-ROW(F$15),0)</f>
        <v>(abra o arquivo 'Referência 05-2024.xls)</v>
      </c>
      <c r="G309" s="207" t="str">
        <f ca="1">IF($D309&lt;&gt;"Serviço","",OFFSET(ORÇAMENTO!S$15,ROW(G309)-ROW(G$15),0))</f>
        <v>-</v>
      </c>
      <c r="H309" s="151">
        <f ca="1">IF($D309&lt;&gt;"Serviço",0,IF(ACOMPANHAMENTO="BM",ROUND(OFFSET(ORÇAMENTO!AJ$15,ROW(H309)-ROW(H$15),0),15-13*ORÇAMENTO!$AF$7),SUMPRODUCT(($Q$12:$AI$12&lt;&gt;"")*ROUND($Q309:$AI309,15-13*ORÇAMENTO!$AF$7))))</f>
        <v>1</v>
      </c>
      <c r="I309" s="650"/>
      <c r="K309" s="208"/>
      <c r="L309" s="209" t="s">
        <v>257</v>
      </c>
      <c r="M309" s="210">
        <f ca="1">IF($D309&lt;&gt;"Serviço","",IF(AUTOEVENTO="manual",$A309,IF(ISERROR(MATCH($A309,$A$15:OFFSET($A309,-1,0),0)),MAX($M$15:OFFSET(M309,-1,0))+1,INDEX($M$15:OFFSET(M309,-1,0),MATCH($A309,$A$15:OFFSET($A309,-1,0),0)))))</f>
        <v>0</v>
      </c>
      <c r="N309" s="211" t="str">
        <f ca="1">IF($D309&lt;&gt;"Serviço","",IF(AUTOEVENTO="Manual",IF($A309=0,"&lt;-- defina o número do agrupador",OFFSET(EVENTOS!$D$14,$A309,0)),OFFSET($F$15,$A309,0)))</f>
        <v>&lt;-- defina o número do agrupador</v>
      </c>
      <c r="O309" s="212"/>
      <c r="Q309" s="212"/>
      <c r="R309" s="213"/>
      <c r="S309" s="213"/>
      <c r="T309" s="213"/>
      <c r="U309" s="213"/>
      <c r="V309" s="213"/>
      <c r="W309" s="213"/>
      <c r="X309" s="213"/>
      <c r="Y309" s="213"/>
      <c r="Z309" s="214"/>
      <c r="AA309" s="213"/>
      <c r="AB309" s="213"/>
      <c r="AC309" s="213"/>
      <c r="AD309" s="213"/>
      <c r="AE309" s="213"/>
      <c r="AF309" s="213"/>
      <c r="AG309" s="213"/>
      <c r="AH309" s="214"/>
      <c r="AJ309" s="631">
        <f ca="1">IF(AND($D309="Serviço",AJ$12&lt;&gt;0,$H309&gt;0,OR(AUTOEVENTO&lt;&gt;"manual",$M309&lt;&gt;1)),ROUND(OFFSET($P309,0,AJ$13),15-13*ORÇAMENTO!$AF$7)/$H309*OFFSET(ORÇAMENTO!$X$15,ROW(AJ309)-ROW(AJ$15),0),0)</f>
        <v>0</v>
      </c>
      <c r="AK309" s="632">
        <f ca="1">IF(AND($D309="Serviço",AK$12&lt;&gt;0,$H309&gt;0,OR(AUTOEVENTO&lt;&gt;"manual",$M309&lt;&gt;1)),ROUND(OFFSET($P309,0,AK$13),15-13*ORÇAMENTO!$AF$7)/$H309*OFFSET(ORÇAMENTO!$X$15,ROW(AK309)-ROW(AK$15),0),0)</f>
        <v>0</v>
      </c>
      <c r="AL309" s="632">
        <f ca="1">IF(AND($D309="Serviço",AL$12&lt;&gt;0,$H309&gt;0,OR(AUTOEVENTO&lt;&gt;"manual",$M309&lt;&gt;1)),ROUND(OFFSET($P309,0,AL$13),15-13*ORÇAMENTO!$AF$7)/$H309*OFFSET(ORÇAMENTO!$X$15,ROW(AL309)-ROW(AL$15),0),0)</f>
        <v>0</v>
      </c>
      <c r="AM309" s="632">
        <f ca="1">IF(AND($D309="Serviço",AM$12&lt;&gt;0,$H309&gt;0,OR(AUTOEVENTO&lt;&gt;"manual",$M309&lt;&gt;1)),ROUND(OFFSET($P309,0,AM$13),15-13*ORÇAMENTO!$AF$7)/$H309*OFFSET(ORÇAMENTO!$X$15,ROW(AM309)-ROW(AM$15),0),0)</f>
        <v>0</v>
      </c>
      <c r="AN309" s="632">
        <f ca="1">IF(AND($D309="Serviço",AN$12&lt;&gt;0,$H309&gt;0,OR(AUTOEVENTO&lt;&gt;"manual",$M309&lt;&gt;1)),ROUND(OFFSET($P309,0,AN$13),15-13*ORÇAMENTO!$AF$7)/$H309*OFFSET(ORÇAMENTO!$X$15,ROW(AN309)-ROW(AN$15),0),0)</f>
        <v>0</v>
      </c>
      <c r="AO309" s="632">
        <f ca="1">IF(AND($D309="Serviço",AO$12&lt;&gt;0,$H309&gt;0,OR(AUTOEVENTO&lt;&gt;"manual",$M309&lt;&gt;1)),ROUND(OFFSET($P309,0,AO$13),15-13*ORÇAMENTO!$AF$7)/$H309*OFFSET(ORÇAMENTO!$X$15,ROW(AO309)-ROW(AO$15),0),0)</f>
        <v>0</v>
      </c>
      <c r="AP309" s="632">
        <f ca="1">IF(AND($D309="Serviço",AP$12&lt;&gt;0,$H309&gt;0,OR(AUTOEVENTO&lt;&gt;"manual",$M309&lt;&gt;1)),ROUND(OFFSET($P309,0,AP$13),15-13*ORÇAMENTO!$AF$7)/$H309*OFFSET(ORÇAMENTO!$X$15,ROW(AP309)-ROW(AP$15),0),0)</f>
        <v>0</v>
      </c>
      <c r="AQ309" s="632">
        <f ca="1">IF(AND($D309="Serviço",AQ$12&lt;&gt;0,$H309&gt;0,OR(AUTOEVENTO&lt;&gt;"manual",$M309&lt;&gt;1)),ROUND(OFFSET($P309,0,AQ$13),15-13*ORÇAMENTO!$AF$7)/$H309*OFFSET(ORÇAMENTO!$X$15,ROW(AQ309)-ROW(AQ$15),0),0)</f>
        <v>0</v>
      </c>
      <c r="AR309" s="632">
        <f ca="1">IF(AND($D309="Serviço",AR$12&lt;&gt;0,$H309&gt;0,OR(AUTOEVENTO&lt;&gt;"manual",$M309&lt;&gt;1)),ROUND(OFFSET($P309,0,AR$13),15-13*ORÇAMENTO!$AF$7)/$H309*OFFSET(ORÇAMENTO!$X$15,ROW(AR309)-ROW(AR$15),0),0)</f>
        <v>0</v>
      </c>
      <c r="AS309" s="633">
        <f ca="1">IF(AND($D309="Serviço",AS$12&lt;&gt;0,$H309&gt;0,OR(AUTOEVENTO&lt;&gt;"manual",$M309&lt;&gt;1)),ROUND(OFFSET($P309,0,AS$13),15-13*ORÇAMENTO!$AF$7)/$H309*OFFSET(ORÇAMENTO!$X$15,ROW(AS309)-ROW(AS$15),0),0)</f>
        <v>0</v>
      </c>
      <c r="AT309" s="632">
        <f ca="1">IF(AND($D309="Serviço",AT$12&lt;&gt;0,$H309&gt;0,OR(AUTOEVENTO&lt;&gt;"manual",$M309&lt;&gt;1)),ROUND(OFFSET($P309,0,AT$13),15-13*ORÇAMENTO!$AF$7)/$H309*OFFSET(ORÇAMENTO!$X$15,ROW(AT309)-ROW(AT$15),0),0)</f>
        <v>0</v>
      </c>
      <c r="AU309" s="632">
        <f ca="1">IF(AND($D309="Serviço",AU$12&lt;&gt;0,$H309&gt;0,OR(AUTOEVENTO&lt;&gt;"manual",$M309&lt;&gt;1)),ROUND(OFFSET($P309,0,AU$13),15-13*ORÇAMENTO!$AF$7)/$H309*OFFSET(ORÇAMENTO!$X$15,ROW(AU309)-ROW(AU$15),0),0)</f>
        <v>0</v>
      </c>
      <c r="AV309" s="632">
        <f ca="1">IF(AND($D309="Serviço",AV$12&lt;&gt;0,$H309&gt;0,OR(AUTOEVENTO&lt;&gt;"manual",$M309&lt;&gt;1)),ROUND(OFFSET($P309,0,AV$13),15-13*ORÇAMENTO!$AF$7)/$H309*OFFSET(ORÇAMENTO!$X$15,ROW(AV309)-ROW(AV$15),0),0)</f>
        <v>0</v>
      </c>
      <c r="AW309" s="632">
        <f ca="1">IF(AND($D309="Serviço",AW$12&lt;&gt;0,$H309&gt;0,OR(AUTOEVENTO&lt;&gt;"manual",$M309&lt;&gt;1)),ROUND(OFFSET($P309,0,AW$13),15-13*ORÇAMENTO!$AF$7)/$H309*OFFSET(ORÇAMENTO!$X$15,ROW(AW309)-ROW(AW$15),0),0)</f>
        <v>0</v>
      </c>
      <c r="AX309" s="632">
        <f ca="1">IF(AND($D309="Serviço",AX$12&lt;&gt;0,$H309&gt;0,OR(AUTOEVENTO&lt;&gt;"manual",$M309&lt;&gt;1)),ROUND(OFFSET($P309,0,AX$13),15-13*ORÇAMENTO!$AF$7)/$H309*OFFSET(ORÇAMENTO!$X$15,ROW(AX309)-ROW(AX$15),0),0)</f>
        <v>0</v>
      </c>
      <c r="AY309" s="632">
        <f ca="1">IF(AND($D309="Serviço",AY$12&lt;&gt;0,$H309&gt;0,OR(AUTOEVENTO&lt;&gt;"manual",$M309&lt;&gt;1)),ROUND(OFFSET($P309,0,AY$13),15-13*ORÇAMENTO!$AF$7)/$H309*OFFSET(ORÇAMENTO!$X$15,ROW(AY309)-ROW(AY$15),0),0)</f>
        <v>0</v>
      </c>
      <c r="AZ309" s="632">
        <f ca="1">IF(AND($D309="Serviço",AZ$12&lt;&gt;0,$H309&gt;0,OR(AUTOEVENTO&lt;&gt;"manual",$M309&lt;&gt;1)),ROUND(OFFSET($P309,0,AZ$13),15-13*ORÇAMENTO!$AF$7)/$H309*OFFSET(ORÇAMENTO!$X$15,ROW(AZ309)-ROW(AZ$15),0),0)</f>
        <v>0</v>
      </c>
      <c r="BA309" s="633">
        <f ca="1">IF(AND($D309="Serviço",BA$12&lt;&gt;0,$H309&gt;0,OR(AUTOEVENTO&lt;&gt;"manual",$M309&lt;&gt;1)),ROUND(OFFSET($P309,0,BA$13),15-13*ORÇAMENTO!$AF$7)/$H309*OFFSET(ORÇAMENTO!$X$15,ROW(BA309)-ROW(BA$15),0),0)</f>
        <v>0</v>
      </c>
      <c r="BC309" s="215">
        <f ca="1">IF($D309&lt;&gt;"Serviço",0,IF(AND(AUTOEVENTO="Manual",$M309=1),0,IF(OFFSET(CRONOPLE!$F$14,$M309,BC$13)="",10^12,OFFSET(CRONOPLE!$F$14,$M309,BC$13))))</f>
        <v>1000000000000</v>
      </c>
      <c r="BD309" s="215">
        <f ca="1">IF($D309&lt;&gt;"Serviço",0,IF(AND(AUTOEVENTO="Manual",$M309=1),0,IF(OFFSET(CRONOPLE!$F$14,$M309,BD$13)="",10^12,OFFSET(CRONOPLE!$F$14,$M309,BD$13))))</f>
        <v>1000000000000</v>
      </c>
      <c r="BE309" s="215">
        <f ca="1">IF($D309&lt;&gt;"Serviço",0,IF(AND(AUTOEVENTO="Manual",$M309=1),0,IF(OFFSET(CRONOPLE!$F$14,$M309,BE$13)="",10^12,OFFSET(CRONOPLE!$F$14,$M309,BE$13))))</f>
        <v>1000000000000</v>
      </c>
      <c r="BF309" s="215">
        <f ca="1">IF($D309&lt;&gt;"Serviço",0,IF(AND(AUTOEVENTO="Manual",$M309=1),0,IF(OFFSET(CRONOPLE!$F$14,$M309,BF$13)="",10^12,OFFSET(CRONOPLE!$F$14,$M309,BF$13))))</f>
        <v>1000000000000</v>
      </c>
      <c r="BG309" s="215">
        <f ca="1">IF($D309&lt;&gt;"Serviço",0,IF(AND(AUTOEVENTO="Manual",$M309=1),0,IF(OFFSET(CRONOPLE!$F$14,$M309,BG$13)="",10^12,OFFSET(CRONOPLE!$F$14,$M309,BG$13))))</f>
        <v>1000000000000</v>
      </c>
      <c r="BH309" s="215">
        <f ca="1">IF($D309&lt;&gt;"Serviço",0,IF(AND(AUTOEVENTO="Manual",$M309=1),0,IF(OFFSET(CRONOPLE!$F$14,$M309,BH$13)="",10^12,OFFSET(CRONOPLE!$F$14,$M309,BH$13))))</f>
        <v>1000000000000</v>
      </c>
      <c r="BI309" s="215">
        <f ca="1">IF($D309&lt;&gt;"Serviço",0,IF(AND(AUTOEVENTO="Manual",$M309=1),0,IF(OFFSET(CRONOPLE!$F$14,$M309,BI$13)="",10^12,OFFSET(CRONOPLE!$F$14,$M309,BI$13))))</f>
        <v>1000000000000</v>
      </c>
      <c r="BJ309" s="215">
        <f ca="1">IF($D309&lt;&gt;"Serviço",0,IF(AND(AUTOEVENTO="Manual",$M309=1),0,IF(OFFSET(CRONOPLE!$F$14,$M309,BJ$13)="",10^12,OFFSET(CRONOPLE!$F$14,$M309,BJ$13))))</f>
        <v>1000000000000</v>
      </c>
      <c r="BK309" s="215">
        <f ca="1">IF($D309&lt;&gt;"Serviço",0,IF(AND(AUTOEVENTO="Manual",$M309=1),0,IF(OFFSET(CRONOPLE!$F$14,$M309,BK$13)="",10^12,OFFSET(CRONOPLE!$F$14,$M309,BK$13))))</f>
        <v>1000000000000</v>
      </c>
      <c r="BL309" s="215">
        <f ca="1">IF($D309&lt;&gt;"Serviço",0,IF(AND(AUTOEVENTO="Manual",$M309=1),0,IF(OFFSET(CRONOPLE!$F$14,$M309,BL$13)="",10^12,OFFSET(CRONOPLE!$F$14,$M309,BL$13))))</f>
        <v>1000000000000</v>
      </c>
      <c r="BM309" s="215">
        <f ca="1">IF($D309&lt;&gt;"Serviço",0,IF(AND(AUTOEVENTO="Manual",$M309=1),0,IF(OFFSET(CRONOPLE!$F$14,$M309,BM$13)="",10^12,OFFSET(CRONOPLE!$F$14,$M309,BM$13))))</f>
        <v>1000000000000</v>
      </c>
      <c r="BN309" s="215">
        <f ca="1">IF($D309&lt;&gt;"Serviço",0,IF(AND(AUTOEVENTO="Manual",$M309=1),0,IF(OFFSET(CRONOPLE!$F$14,$M309,BN$13)="",10^12,OFFSET(CRONOPLE!$F$14,$M309,BN$13))))</f>
        <v>1000000000000</v>
      </c>
      <c r="BO309" s="215">
        <f ca="1">IF($D309&lt;&gt;"Serviço",0,IF(AND(AUTOEVENTO="Manual",$M309=1),0,IF(OFFSET(CRONOPLE!$F$14,$M309,BO$13)="",10^12,OFFSET(CRONOPLE!$F$14,$M309,BO$13))))</f>
        <v>1000000000000</v>
      </c>
      <c r="BP309" s="215">
        <f ca="1">IF($D309&lt;&gt;"Serviço",0,IF(AND(AUTOEVENTO="Manual",$M309=1),0,IF(OFFSET(CRONOPLE!$F$14,$M309,BP$13)="",10^12,OFFSET(CRONOPLE!$F$14,$M309,BP$13))))</f>
        <v>1000000000000</v>
      </c>
      <c r="BQ309" s="215">
        <f ca="1">IF($D309&lt;&gt;"Serviço",0,IF(AND(AUTOEVENTO="Manual",$M309=1),0,IF(OFFSET(CRONOPLE!$F$14,$M309,BQ$13)="",10^12,OFFSET(CRONOPLE!$F$14,$M309,BQ$13))))</f>
        <v>1000000000000</v>
      </c>
      <c r="BR309" s="215">
        <f ca="1">IF($D309&lt;&gt;"Serviço",0,IF(AND(AUTOEVENTO="Manual",$M309=1),0,IF(OFFSET(CRONOPLE!$F$14,$M309,BR$13)="",10^12,OFFSET(CRONOPLE!$F$14,$M309,BR$13))))</f>
        <v>1000000000000</v>
      </c>
      <c r="BS309" s="215">
        <f ca="1">IF($D309&lt;&gt;"Serviço",0,IF(AND(AUTOEVENTO="Manual",$M309=1),0,IF(OFFSET(CRONOPLE!$F$14,$M309,BS$13)="",10^12,OFFSET(CRONOPLE!$F$14,$M309,BS$13))))</f>
        <v>1000000000000</v>
      </c>
      <c r="BT309" s="215">
        <f ca="1">IF($D309&lt;&gt;"Serviço",0,IF(AND(AUTOEVENTO="Manual",$M309=1),0,IF(OFFSET(CRONOPLE!$F$14,$M309,BT$13)="",10^12,OFFSET(CRONOPLE!$F$14,$M309,BT$13))))</f>
        <v>1000000000000</v>
      </c>
      <c r="BV309" s="216">
        <f ca="1">IF($D309&lt;&gt;"Serviço",0,IF(OR(AND(AUTOEVENTO="Manual",$M309=1),$M309&gt;(ROW(PLE.lastrow)-ROW(PLE.firstrow))),0,IF(OFFSET(PLE!$G$14,$M309,BV$13)="",10^12,OFFSET(PLE!$G$14,$M309,BV$13))))</f>
        <v>1000000000000</v>
      </c>
      <c r="BW309" s="216">
        <f ca="1">IF($D309&lt;&gt;"Serviço",0,IF(OR(AND(AUTOEVENTO="Manual",$M309=1),$M309&gt;(ROW(PLE.lastrow)-ROW(PLE.firstrow))),0,IF(OFFSET(PLE!$G$14,$M309,BW$13)="",10^12,OFFSET(PLE!$G$14,$M309,BW$13))))</f>
        <v>1000000000000</v>
      </c>
      <c r="BX309" s="216">
        <f ca="1">IF($D309&lt;&gt;"Serviço",0,IF(OR(AND(AUTOEVENTO="Manual",$M309=1),$M309&gt;(ROW(PLE.lastrow)-ROW(PLE.firstrow))),0,IF(OFFSET(PLE!$G$14,$M309,BX$13)="",10^12,OFFSET(PLE!$G$14,$M309,BX$13))))</f>
        <v>1000000000000</v>
      </c>
      <c r="BY309" s="216">
        <f ca="1">IF($D309&lt;&gt;"Serviço",0,IF(OR(AND(AUTOEVENTO="Manual",$M309=1),$M309&gt;(ROW(PLE.lastrow)-ROW(PLE.firstrow))),0,IF(OFFSET(PLE!$G$14,$M309,BY$13)="",10^12,OFFSET(PLE!$G$14,$M309,BY$13))))</f>
        <v>1000000000000</v>
      </c>
      <c r="BZ309" s="216">
        <f ca="1">IF($D309&lt;&gt;"Serviço",0,IF(OR(AND(AUTOEVENTO="Manual",$M309=1),$M309&gt;(ROW(PLE.lastrow)-ROW(PLE.firstrow))),0,IF(OFFSET(PLE!$G$14,$M309,BZ$13)="",10^12,OFFSET(PLE!$G$14,$M309,BZ$13))))</f>
        <v>1000000000000</v>
      </c>
      <c r="CA309" s="216">
        <f ca="1">IF($D309&lt;&gt;"Serviço",0,IF(OR(AND(AUTOEVENTO="Manual",$M309=1),$M309&gt;(ROW(PLE.lastrow)-ROW(PLE.firstrow))),0,IF(OFFSET(PLE!$G$14,$M309,CA$13)="",10^12,OFFSET(PLE!$G$14,$M309,CA$13))))</f>
        <v>1000000000000</v>
      </c>
      <c r="CB309" s="216">
        <f ca="1">IF($D309&lt;&gt;"Serviço",0,IF(OR(AND(AUTOEVENTO="Manual",$M309=1),$M309&gt;(ROW(PLE.lastrow)-ROW(PLE.firstrow))),0,IF(OFFSET(PLE!$G$14,$M309,CB$13)="",10^12,OFFSET(PLE!$G$14,$M309,CB$13))))</f>
        <v>1000000000000</v>
      </c>
      <c r="CC309" s="216">
        <f ca="1">IF($D309&lt;&gt;"Serviço",0,IF(OR(AND(AUTOEVENTO="Manual",$M309=1),$M309&gt;(ROW(PLE.lastrow)-ROW(PLE.firstrow))),0,IF(OFFSET(PLE!$G$14,$M309,CC$13)="",10^12,OFFSET(PLE!$G$14,$M309,CC$13))))</f>
        <v>1000000000000</v>
      </c>
      <c r="CD309" s="216">
        <f ca="1">IF($D309&lt;&gt;"Serviço",0,IF(OR(AND(AUTOEVENTO="Manual",$M309=1),$M309&gt;(ROW(PLE.lastrow)-ROW(PLE.firstrow))),0,IF(OFFSET(PLE!$G$14,$M309,CD$13)="",10^12,OFFSET(PLE!$G$14,$M309,CD$13))))</f>
        <v>1000000000000</v>
      </c>
      <c r="CE309" s="216">
        <f ca="1">IF($D309&lt;&gt;"Serviço",0,IF(OR(AND(AUTOEVENTO="Manual",$M309=1),$M309&gt;(ROW(PLE.lastrow)-ROW(PLE.firstrow))),0,IF(OFFSET(PLE!$G$14,$M309,CE$13)="",10^12,OFFSET(PLE!$G$14,$M309,CE$13))))</f>
        <v>1000000000000</v>
      </c>
      <c r="CF309" s="216">
        <f ca="1">IF($D309&lt;&gt;"Serviço",0,IF(OR(AND(AUTOEVENTO="Manual",$M309=1),$M309&gt;(ROW(PLE.lastrow)-ROW(PLE.firstrow))),0,IF(OFFSET(PLE!$G$14,$M309,CF$13)="",10^12,OFFSET(PLE!$G$14,$M309,CF$13))))</f>
        <v>1000000000000</v>
      </c>
      <c r="CG309" s="216">
        <f ca="1">IF($D309&lt;&gt;"Serviço",0,IF(OR(AND(AUTOEVENTO="Manual",$M309=1),$M309&gt;(ROW(PLE.lastrow)-ROW(PLE.firstrow))),0,IF(OFFSET(PLE!$G$14,$M309,CG$13)="",10^12,OFFSET(PLE!$G$14,$M309,CG$13))))</f>
        <v>1000000000000</v>
      </c>
      <c r="CH309" s="216">
        <f ca="1">IF($D309&lt;&gt;"Serviço",0,IF(OR(AND(AUTOEVENTO="Manual",$M309=1),$M309&gt;(ROW(PLE.lastrow)-ROW(PLE.firstrow))),0,IF(OFFSET(PLE!$G$14,$M309,CH$13)="",10^12,OFFSET(PLE!$G$14,$M309,CH$13))))</f>
        <v>1000000000000</v>
      </c>
      <c r="CI309" s="216">
        <f ca="1">IF($D309&lt;&gt;"Serviço",0,IF(OR(AND(AUTOEVENTO="Manual",$M309=1),$M309&gt;(ROW(PLE.lastrow)-ROW(PLE.firstrow))),0,IF(OFFSET(PLE!$G$14,$M309,CI$13)="",10^12,OFFSET(PLE!$G$14,$M309,CI$13))))</f>
        <v>1000000000000</v>
      </c>
      <c r="CJ309" s="216">
        <f ca="1">IF($D309&lt;&gt;"Serviço",0,IF(OR(AND(AUTOEVENTO="Manual",$M309=1),$M309&gt;(ROW(PLE.lastrow)-ROW(PLE.firstrow))),0,IF(OFFSET(PLE!$G$14,$M309,CJ$13)="",10^12,OFFSET(PLE!$G$14,$M309,CJ$13))))</f>
        <v>1000000000000</v>
      </c>
      <c r="CK309" s="216">
        <f ca="1">IF($D309&lt;&gt;"Serviço",0,IF(OR(AND(AUTOEVENTO="Manual",$M309=1),$M309&gt;(ROW(PLE.lastrow)-ROW(PLE.firstrow))),0,IF(OFFSET(PLE!$G$14,$M309,CK$13)="",10^12,OFFSET(PLE!$G$14,$M309,CK$13))))</f>
        <v>1000000000000</v>
      </c>
      <c r="CL309" s="216">
        <f ca="1">IF($D309&lt;&gt;"Serviço",0,IF(OR(AND(AUTOEVENTO="Manual",$M309=1),$M309&gt;(ROW(PLE.lastrow)-ROW(PLE.firstrow))),0,IF(OFFSET(PLE!$G$14,$M309,CL$13)="",10^12,OFFSET(PLE!$G$14,$M309,CL$13))))</f>
        <v>1000000000000</v>
      </c>
      <c r="CM309" s="216">
        <f ca="1">IF($D309&lt;&gt;"Serviço",0,IF(OR(AND(AUTOEVENTO="Manual",$M309=1),$M309&gt;(ROW(PLE.lastrow)-ROW(PLE.firstrow))),0,IF(OFFSET(PLE!$G$14,$M309,CM$13)="",10^12,OFFSET(PLE!$G$14,$M309,CM$13))))</f>
        <v>1000000000000</v>
      </c>
    </row>
    <row r="310" spans="1:91" ht="13.2" x14ac:dyDescent="0.25">
      <c r="A310" s="9">
        <f t="shared" ca="1" si="13"/>
        <v>0</v>
      </c>
      <c r="B310" s="9" t="str">
        <f ca="1">OFFSET(ORÇAMENTO!C$15,ROW(B310)-ROW(B$15),0)</f>
        <v>S</v>
      </c>
      <c r="C310" s="9" t="str">
        <f ca="1">OFFSET(ORÇAMENTO!L$15,ROW(C310)-ROW(C$15),0)</f>
        <v/>
      </c>
      <c r="D310" s="145" t="str">
        <f ca="1">OFFSET(ORÇAMENTO!N$15,ROW(D310)-ROW(D$15),0)</f>
        <v>Serviço</v>
      </c>
      <c r="E310" s="205" t="str">
        <f ca="1">OFFSET(ORÇAMENTO!O$15,ROW(E310)-ROW(E$15),0)</f>
        <v>-</v>
      </c>
      <c r="F310" s="206" t="str">
        <f ca="1">OFFSET(ORÇAMENTO!R$15,ROW(F310)-ROW(F$15),0)</f>
        <v>(abra o arquivo 'Referência 05-2024.xls)</v>
      </c>
      <c r="G310" s="207" t="str">
        <f ca="1">IF($D310&lt;&gt;"Serviço","",OFFSET(ORÇAMENTO!S$15,ROW(G310)-ROW(G$15),0))</f>
        <v>-</v>
      </c>
      <c r="H310" s="151">
        <f ca="1">IF($D310&lt;&gt;"Serviço",0,IF(ACOMPANHAMENTO="BM",ROUND(OFFSET(ORÇAMENTO!AJ$15,ROW(H310)-ROW(H$15),0),15-13*ORÇAMENTO!$AF$7),SUMPRODUCT(($Q$12:$AI$12&lt;&gt;"")*ROUND($Q310:$AI310,15-13*ORÇAMENTO!$AF$7))))</f>
        <v>1</v>
      </c>
      <c r="I310" s="650"/>
      <c r="K310" s="208"/>
      <c r="L310" s="209" t="s">
        <v>257</v>
      </c>
      <c r="M310" s="210">
        <f ca="1">IF($D310&lt;&gt;"Serviço","",IF(AUTOEVENTO="manual",$A310,IF(ISERROR(MATCH($A310,$A$15:OFFSET($A310,-1,0),0)),MAX($M$15:OFFSET(M310,-1,0))+1,INDEX($M$15:OFFSET(M310,-1,0),MATCH($A310,$A$15:OFFSET($A310,-1,0),0)))))</f>
        <v>0</v>
      </c>
      <c r="N310" s="211" t="str">
        <f ca="1">IF($D310&lt;&gt;"Serviço","",IF(AUTOEVENTO="Manual",IF($A310=0,"&lt;-- defina o número do agrupador",OFFSET(EVENTOS!$D$14,$A310,0)),OFFSET($F$15,$A310,0)))</f>
        <v>&lt;-- defina o número do agrupador</v>
      </c>
      <c r="O310" s="212"/>
      <c r="Q310" s="212"/>
      <c r="R310" s="213"/>
      <c r="S310" s="213"/>
      <c r="T310" s="213"/>
      <c r="U310" s="213"/>
      <c r="V310" s="213"/>
      <c r="W310" s="213"/>
      <c r="X310" s="213"/>
      <c r="Y310" s="213"/>
      <c r="Z310" s="214"/>
      <c r="AA310" s="213"/>
      <c r="AB310" s="213"/>
      <c r="AC310" s="213"/>
      <c r="AD310" s="213"/>
      <c r="AE310" s="213"/>
      <c r="AF310" s="213"/>
      <c r="AG310" s="213"/>
      <c r="AH310" s="214"/>
      <c r="AJ310" s="631">
        <f ca="1">IF(AND($D310="Serviço",AJ$12&lt;&gt;0,$H310&gt;0,OR(AUTOEVENTO&lt;&gt;"manual",$M310&lt;&gt;1)),ROUND(OFFSET($P310,0,AJ$13),15-13*ORÇAMENTO!$AF$7)/$H310*OFFSET(ORÇAMENTO!$X$15,ROW(AJ310)-ROW(AJ$15),0),0)</f>
        <v>0</v>
      </c>
      <c r="AK310" s="632">
        <f ca="1">IF(AND($D310="Serviço",AK$12&lt;&gt;0,$H310&gt;0,OR(AUTOEVENTO&lt;&gt;"manual",$M310&lt;&gt;1)),ROUND(OFFSET($P310,0,AK$13),15-13*ORÇAMENTO!$AF$7)/$H310*OFFSET(ORÇAMENTO!$X$15,ROW(AK310)-ROW(AK$15),0),0)</f>
        <v>0</v>
      </c>
      <c r="AL310" s="632">
        <f ca="1">IF(AND($D310="Serviço",AL$12&lt;&gt;0,$H310&gt;0,OR(AUTOEVENTO&lt;&gt;"manual",$M310&lt;&gt;1)),ROUND(OFFSET($P310,0,AL$13),15-13*ORÇAMENTO!$AF$7)/$H310*OFFSET(ORÇAMENTO!$X$15,ROW(AL310)-ROW(AL$15),0),0)</f>
        <v>0</v>
      </c>
      <c r="AM310" s="632">
        <f ca="1">IF(AND($D310="Serviço",AM$12&lt;&gt;0,$H310&gt;0,OR(AUTOEVENTO&lt;&gt;"manual",$M310&lt;&gt;1)),ROUND(OFFSET($P310,0,AM$13),15-13*ORÇAMENTO!$AF$7)/$H310*OFFSET(ORÇAMENTO!$X$15,ROW(AM310)-ROW(AM$15),0),0)</f>
        <v>0</v>
      </c>
      <c r="AN310" s="632">
        <f ca="1">IF(AND($D310="Serviço",AN$12&lt;&gt;0,$H310&gt;0,OR(AUTOEVENTO&lt;&gt;"manual",$M310&lt;&gt;1)),ROUND(OFFSET($P310,0,AN$13),15-13*ORÇAMENTO!$AF$7)/$H310*OFFSET(ORÇAMENTO!$X$15,ROW(AN310)-ROW(AN$15),0),0)</f>
        <v>0</v>
      </c>
      <c r="AO310" s="632">
        <f ca="1">IF(AND($D310="Serviço",AO$12&lt;&gt;0,$H310&gt;0,OR(AUTOEVENTO&lt;&gt;"manual",$M310&lt;&gt;1)),ROUND(OFFSET($P310,0,AO$13),15-13*ORÇAMENTO!$AF$7)/$H310*OFFSET(ORÇAMENTO!$X$15,ROW(AO310)-ROW(AO$15),0),0)</f>
        <v>0</v>
      </c>
      <c r="AP310" s="632">
        <f ca="1">IF(AND($D310="Serviço",AP$12&lt;&gt;0,$H310&gt;0,OR(AUTOEVENTO&lt;&gt;"manual",$M310&lt;&gt;1)),ROUND(OFFSET($P310,0,AP$13),15-13*ORÇAMENTO!$AF$7)/$H310*OFFSET(ORÇAMENTO!$X$15,ROW(AP310)-ROW(AP$15),0),0)</f>
        <v>0</v>
      </c>
      <c r="AQ310" s="632">
        <f ca="1">IF(AND($D310="Serviço",AQ$12&lt;&gt;0,$H310&gt;0,OR(AUTOEVENTO&lt;&gt;"manual",$M310&lt;&gt;1)),ROUND(OFFSET($P310,0,AQ$13),15-13*ORÇAMENTO!$AF$7)/$H310*OFFSET(ORÇAMENTO!$X$15,ROW(AQ310)-ROW(AQ$15),0),0)</f>
        <v>0</v>
      </c>
      <c r="AR310" s="632">
        <f ca="1">IF(AND($D310="Serviço",AR$12&lt;&gt;0,$H310&gt;0,OR(AUTOEVENTO&lt;&gt;"manual",$M310&lt;&gt;1)),ROUND(OFFSET($P310,0,AR$13),15-13*ORÇAMENTO!$AF$7)/$H310*OFFSET(ORÇAMENTO!$X$15,ROW(AR310)-ROW(AR$15),0),0)</f>
        <v>0</v>
      </c>
      <c r="AS310" s="633">
        <f ca="1">IF(AND($D310="Serviço",AS$12&lt;&gt;0,$H310&gt;0,OR(AUTOEVENTO&lt;&gt;"manual",$M310&lt;&gt;1)),ROUND(OFFSET($P310,0,AS$13),15-13*ORÇAMENTO!$AF$7)/$H310*OFFSET(ORÇAMENTO!$X$15,ROW(AS310)-ROW(AS$15),0),0)</f>
        <v>0</v>
      </c>
      <c r="AT310" s="632">
        <f ca="1">IF(AND($D310="Serviço",AT$12&lt;&gt;0,$H310&gt;0,OR(AUTOEVENTO&lt;&gt;"manual",$M310&lt;&gt;1)),ROUND(OFFSET($P310,0,AT$13),15-13*ORÇAMENTO!$AF$7)/$H310*OFFSET(ORÇAMENTO!$X$15,ROW(AT310)-ROW(AT$15),0),0)</f>
        <v>0</v>
      </c>
      <c r="AU310" s="632">
        <f ca="1">IF(AND($D310="Serviço",AU$12&lt;&gt;0,$H310&gt;0,OR(AUTOEVENTO&lt;&gt;"manual",$M310&lt;&gt;1)),ROUND(OFFSET($P310,0,AU$13),15-13*ORÇAMENTO!$AF$7)/$H310*OFFSET(ORÇAMENTO!$X$15,ROW(AU310)-ROW(AU$15),0),0)</f>
        <v>0</v>
      </c>
      <c r="AV310" s="632">
        <f ca="1">IF(AND($D310="Serviço",AV$12&lt;&gt;0,$H310&gt;0,OR(AUTOEVENTO&lt;&gt;"manual",$M310&lt;&gt;1)),ROUND(OFFSET($P310,0,AV$13),15-13*ORÇAMENTO!$AF$7)/$H310*OFFSET(ORÇAMENTO!$X$15,ROW(AV310)-ROW(AV$15),0),0)</f>
        <v>0</v>
      </c>
      <c r="AW310" s="632">
        <f ca="1">IF(AND($D310="Serviço",AW$12&lt;&gt;0,$H310&gt;0,OR(AUTOEVENTO&lt;&gt;"manual",$M310&lt;&gt;1)),ROUND(OFFSET($P310,0,AW$13),15-13*ORÇAMENTO!$AF$7)/$H310*OFFSET(ORÇAMENTO!$X$15,ROW(AW310)-ROW(AW$15),0),0)</f>
        <v>0</v>
      </c>
      <c r="AX310" s="632">
        <f ca="1">IF(AND($D310="Serviço",AX$12&lt;&gt;0,$H310&gt;0,OR(AUTOEVENTO&lt;&gt;"manual",$M310&lt;&gt;1)),ROUND(OFFSET($P310,0,AX$13),15-13*ORÇAMENTO!$AF$7)/$H310*OFFSET(ORÇAMENTO!$X$15,ROW(AX310)-ROW(AX$15),0),0)</f>
        <v>0</v>
      </c>
      <c r="AY310" s="632">
        <f ca="1">IF(AND($D310="Serviço",AY$12&lt;&gt;0,$H310&gt;0,OR(AUTOEVENTO&lt;&gt;"manual",$M310&lt;&gt;1)),ROUND(OFFSET($P310,0,AY$13),15-13*ORÇAMENTO!$AF$7)/$H310*OFFSET(ORÇAMENTO!$X$15,ROW(AY310)-ROW(AY$15),0),0)</f>
        <v>0</v>
      </c>
      <c r="AZ310" s="632">
        <f ca="1">IF(AND($D310="Serviço",AZ$12&lt;&gt;0,$H310&gt;0,OR(AUTOEVENTO&lt;&gt;"manual",$M310&lt;&gt;1)),ROUND(OFFSET($P310,0,AZ$13),15-13*ORÇAMENTO!$AF$7)/$H310*OFFSET(ORÇAMENTO!$X$15,ROW(AZ310)-ROW(AZ$15),0),0)</f>
        <v>0</v>
      </c>
      <c r="BA310" s="633">
        <f ca="1">IF(AND($D310="Serviço",BA$12&lt;&gt;0,$H310&gt;0,OR(AUTOEVENTO&lt;&gt;"manual",$M310&lt;&gt;1)),ROUND(OFFSET($P310,0,BA$13),15-13*ORÇAMENTO!$AF$7)/$H310*OFFSET(ORÇAMENTO!$X$15,ROW(BA310)-ROW(BA$15),0),0)</f>
        <v>0</v>
      </c>
      <c r="BC310" s="215">
        <f ca="1">IF($D310&lt;&gt;"Serviço",0,IF(AND(AUTOEVENTO="Manual",$M310=1),0,IF(OFFSET(CRONOPLE!$F$14,$M310,BC$13)="",10^12,OFFSET(CRONOPLE!$F$14,$M310,BC$13))))</f>
        <v>1000000000000</v>
      </c>
      <c r="BD310" s="215">
        <f ca="1">IF($D310&lt;&gt;"Serviço",0,IF(AND(AUTOEVENTO="Manual",$M310=1),0,IF(OFFSET(CRONOPLE!$F$14,$M310,BD$13)="",10^12,OFFSET(CRONOPLE!$F$14,$M310,BD$13))))</f>
        <v>1000000000000</v>
      </c>
      <c r="BE310" s="215">
        <f ca="1">IF($D310&lt;&gt;"Serviço",0,IF(AND(AUTOEVENTO="Manual",$M310=1),0,IF(OFFSET(CRONOPLE!$F$14,$M310,BE$13)="",10^12,OFFSET(CRONOPLE!$F$14,$M310,BE$13))))</f>
        <v>1000000000000</v>
      </c>
      <c r="BF310" s="215">
        <f ca="1">IF($D310&lt;&gt;"Serviço",0,IF(AND(AUTOEVENTO="Manual",$M310=1),0,IF(OFFSET(CRONOPLE!$F$14,$M310,BF$13)="",10^12,OFFSET(CRONOPLE!$F$14,$M310,BF$13))))</f>
        <v>1000000000000</v>
      </c>
      <c r="BG310" s="215">
        <f ca="1">IF($D310&lt;&gt;"Serviço",0,IF(AND(AUTOEVENTO="Manual",$M310=1),0,IF(OFFSET(CRONOPLE!$F$14,$M310,BG$13)="",10^12,OFFSET(CRONOPLE!$F$14,$M310,BG$13))))</f>
        <v>1000000000000</v>
      </c>
      <c r="BH310" s="215">
        <f ca="1">IF($D310&lt;&gt;"Serviço",0,IF(AND(AUTOEVENTO="Manual",$M310=1),0,IF(OFFSET(CRONOPLE!$F$14,$M310,BH$13)="",10^12,OFFSET(CRONOPLE!$F$14,$M310,BH$13))))</f>
        <v>1000000000000</v>
      </c>
      <c r="BI310" s="215">
        <f ca="1">IF($D310&lt;&gt;"Serviço",0,IF(AND(AUTOEVENTO="Manual",$M310=1),0,IF(OFFSET(CRONOPLE!$F$14,$M310,BI$13)="",10^12,OFFSET(CRONOPLE!$F$14,$M310,BI$13))))</f>
        <v>1000000000000</v>
      </c>
      <c r="BJ310" s="215">
        <f ca="1">IF($D310&lt;&gt;"Serviço",0,IF(AND(AUTOEVENTO="Manual",$M310=1),0,IF(OFFSET(CRONOPLE!$F$14,$M310,BJ$13)="",10^12,OFFSET(CRONOPLE!$F$14,$M310,BJ$13))))</f>
        <v>1000000000000</v>
      </c>
      <c r="BK310" s="215">
        <f ca="1">IF($D310&lt;&gt;"Serviço",0,IF(AND(AUTOEVENTO="Manual",$M310=1),0,IF(OFFSET(CRONOPLE!$F$14,$M310,BK$13)="",10^12,OFFSET(CRONOPLE!$F$14,$M310,BK$13))))</f>
        <v>1000000000000</v>
      </c>
      <c r="BL310" s="215">
        <f ca="1">IF($D310&lt;&gt;"Serviço",0,IF(AND(AUTOEVENTO="Manual",$M310=1),0,IF(OFFSET(CRONOPLE!$F$14,$M310,BL$13)="",10^12,OFFSET(CRONOPLE!$F$14,$M310,BL$13))))</f>
        <v>1000000000000</v>
      </c>
      <c r="BM310" s="215">
        <f ca="1">IF($D310&lt;&gt;"Serviço",0,IF(AND(AUTOEVENTO="Manual",$M310=1),0,IF(OFFSET(CRONOPLE!$F$14,$M310,BM$13)="",10^12,OFFSET(CRONOPLE!$F$14,$M310,BM$13))))</f>
        <v>1000000000000</v>
      </c>
      <c r="BN310" s="215">
        <f ca="1">IF($D310&lt;&gt;"Serviço",0,IF(AND(AUTOEVENTO="Manual",$M310=1),0,IF(OFFSET(CRONOPLE!$F$14,$M310,BN$13)="",10^12,OFFSET(CRONOPLE!$F$14,$M310,BN$13))))</f>
        <v>1000000000000</v>
      </c>
      <c r="BO310" s="215">
        <f ca="1">IF($D310&lt;&gt;"Serviço",0,IF(AND(AUTOEVENTO="Manual",$M310=1),0,IF(OFFSET(CRONOPLE!$F$14,$M310,BO$13)="",10^12,OFFSET(CRONOPLE!$F$14,$M310,BO$13))))</f>
        <v>1000000000000</v>
      </c>
      <c r="BP310" s="215">
        <f ca="1">IF($D310&lt;&gt;"Serviço",0,IF(AND(AUTOEVENTO="Manual",$M310=1),0,IF(OFFSET(CRONOPLE!$F$14,$M310,BP$13)="",10^12,OFFSET(CRONOPLE!$F$14,$M310,BP$13))))</f>
        <v>1000000000000</v>
      </c>
      <c r="BQ310" s="215">
        <f ca="1">IF($D310&lt;&gt;"Serviço",0,IF(AND(AUTOEVENTO="Manual",$M310=1),0,IF(OFFSET(CRONOPLE!$F$14,$M310,BQ$13)="",10^12,OFFSET(CRONOPLE!$F$14,$M310,BQ$13))))</f>
        <v>1000000000000</v>
      </c>
      <c r="BR310" s="215">
        <f ca="1">IF($D310&lt;&gt;"Serviço",0,IF(AND(AUTOEVENTO="Manual",$M310=1),0,IF(OFFSET(CRONOPLE!$F$14,$M310,BR$13)="",10^12,OFFSET(CRONOPLE!$F$14,$M310,BR$13))))</f>
        <v>1000000000000</v>
      </c>
      <c r="BS310" s="215">
        <f ca="1">IF($D310&lt;&gt;"Serviço",0,IF(AND(AUTOEVENTO="Manual",$M310=1),0,IF(OFFSET(CRONOPLE!$F$14,$M310,BS$13)="",10^12,OFFSET(CRONOPLE!$F$14,$M310,BS$13))))</f>
        <v>1000000000000</v>
      </c>
      <c r="BT310" s="215">
        <f ca="1">IF($D310&lt;&gt;"Serviço",0,IF(AND(AUTOEVENTO="Manual",$M310=1),0,IF(OFFSET(CRONOPLE!$F$14,$M310,BT$13)="",10^12,OFFSET(CRONOPLE!$F$14,$M310,BT$13))))</f>
        <v>1000000000000</v>
      </c>
      <c r="BV310" s="216">
        <f ca="1">IF($D310&lt;&gt;"Serviço",0,IF(OR(AND(AUTOEVENTO="Manual",$M310=1),$M310&gt;(ROW(PLE.lastrow)-ROW(PLE.firstrow))),0,IF(OFFSET(PLE!$G$14,$M310,BV$13)="",10^12,OFFSET(PLE!$G$14,$M310,BV$13))))</f>
        <v>1000000000000</v>
      </c>
      <c r="BW310" s="216">
        <f ca="1">IF($D310&lt;&gt;"Serviço",0,IF(OR(AND(AUTOEVENTO="Manual",$M310=1),$M310&gt;(ROW(PLE.lastrow)-ROW(PLE.firstrow))),0,IF(OFFSET(PLE!$G$14,$M310,BW$13)="",10^12,OFFSET(PLE!$G$14,$M310,BW$13))))</f>
        <v>1000000000000</v>
      </c>
      <c r="BX310" s="216">
        <f ca="1">IF($D310&lt;&gt;"Serviço",0,IF(OR(AND(AUTOEVENTO="Manual",$M310=1),$M310&gt;(ROW(PLE.lastrow)-ROW(PLE.firstrow))),0,IF(OFFSET(PLE!$G$14,$M310,BX$13)="",10^12,OFFSET(PLE!$G$14,$M310,BX$13))))</f>
        <v>1000000000000</v>
      </c>
      <c r="BY310" s="216">
        <f ca="1">IF($D310&lt;&gt;"Serviço",0,IF(OR(AND(AUTOEVENTO="Manual",$M310=1),$M310&gt;(ROW(PLE.lastrow)-ROW(PLE.firstrow))),0,IF(OFFSET(PLE!$G$14,$M310,BY$13)="",10^12,OFFSET(PLE!$G$14,$M310,BY$13))))</f>
        <v>1000000000000</v>
      </c>
      <c r="BZ310" s="216">
        <f ca="1">IF($D310&lt;&gt;"Serviço",0,IF(OR(AND(AUTOEVENTO="Manual",$M310=1),$M310&gt;(ROW(PLE.lastrow)-ROW(PLE.firstrow))),0,IF(OFFSET(PLE!$G$14,$M310,BZ$13)="",10^12,OFFSET(PLE!$G$14,$M310,BZ$13))))</f>
        <v>1000000000000</v>
      </c>
      <c r="CA310" s="216">
        <f ca="1">IF($D310&lt;&gt;"Serviço",0,IF(OR(AND(AUTOEVENTO="Manual",$M310=1),$M310&gt;(ROW(PLE.lastrow)-ROW(PLE.firstrow))),0,IF(OFFSET(PLE!$G$14,$M310,CA$13)="",10^12,OFFSET(PLE!$G$14,$M310,CA$13))))</f>
        <v>1000000000000</v>
      </c>
      <c r="CB310" s="216">
        <f ca="1">IF($D310&lt;&gt;"Serviço",0,IF(OR(AND(AUTOEVENTO="Manual",$M310=1),$M310&gt;(ROW(PLE.lastrow)-ROW(PLE.firstrow))),0,IF(OFFSET(PLE!$G$14,$M310,CB$13)="",10^12,OFFSET(PLE!$G$14,$M310,CB$13))))</f>
        <v>1000000000000</v>
      </c>
      <c r="CC310" s="216">
        <f ca="1">IF($D310&lt;&gt;"Serviço",0,IF(OR(AND(AUTOEVENTO="Manual",$M310=1),$M310&gt;(ROW(PLE.lastrow)-ROW(PLE.firstrow))),0,IF(OFFSET(PLE!$G$14,$M310,CC$13)="",10^12,OFFSET(PLE!$G$14,$M310,CC$13))))</f>
        <v>1000000000000</v>
      </c>
      <c r="CD310" s="216">
        <f ca="1">IF($D310&lt;&gt;"Serviço",0,IF(OR(AND(AUTOEVENTO="Manual",$M310=1),$M310&gt;(ROW(PLE.lastrow)-ROW(PLE.firstrow))),0,IF(OFFSET(PLE!$G$14,$M310,CD$13)="",10^12,OFFSET(PLE!$G$14,$M310,CD$13))))</f>
        <v>1000000000000</v>
      </c>
      <c r="CE310" s="216">
        <f ca="1">IF($D310&lt;&gt;"Serviço",0,IF(OR(AND(AUTOEVENTO="Manual",$M310=1),$M310&gt;(ROW(PLE.lastrow)-ROW(PLE.firstrow))),0,IF(OFFSET(PLE!$G$14,$M310,CE$13)="",10^12,OFFSET(PLE!$G$14,$M310,CE$13))))</f>
        <v>1000000000000</v>
      </c>
      <c r="CF310" s="216">
        <f ca="1">IF($D310&lt;&gt;"Serviço",0,IF(OR(AND(AUTOEVENTO="Manual",$M310=1),$M310&gt;(ROW(PLE.lastrow)-ROW(PLE.firstrow))),0,IF(OFFSET(PLE!$G$14,$M310,CF$13)="",10^12,OFFSET(PLE!$G$14,$M310,CF$13))))</f>
        <v>1000000000000</v>
      </c>
      <c r="CG310" s="216">
        <f ca="1">IF($D310&lt;&gt;"Serviço",0,IF(OR(AND(AUTOEVENTO="Manual",$M310=1),$M310&gt;(ROW(PLE.lastrow)-ROW(PLE.firstrow))),0,IF(OFFSET(PLE!$G$14,$M310,CG$13)="",10^12,OFFSET(PLE!$G$14,$M310,CG$13))))</f>
        <v>1000000000000</v>
      </c>
      <c r="CH310" s="216">
        <f ca="1">IF($D310&lt;&gt;"Serviço",0,IF(OR(AND(AUTOEVENTO="Manual",$M310=1),$M310&gt;(ROW(PLE.lastrow)-ROW(PLE.firstrow))),0,IF(OFFSET(PLE!$G$14,$M310,CH$13)="",10^12,OFFSET(PLE!$G$14,$M310,CH$13))))</f>
        <v>1000000000000</v>
      </c>
      <c r="CI310" s="216">
        <f ca="1">IF($D310&lt;&gt;"Serviço",0,IF(OR(AND(AUTOEVENTO="Manual",$M310=1),$M310&gt;(ROW(PLE.lastrow)-ROW(PLE.firstrow))),0,IF(OFFSET(PLE!$G$14,$M310,CI$13)="",10^12,OFFSET(PLE!$G$14,$M310,CI$13))))</f>
        <v>1000000000000</v>
      </c>
      <c r="CJ310" s="216">
        <f ca="1">IF($D310&lt;&gt;"Serviço",0,IF(OR(AND(AUTOEVENTO="Manual",$M310=1),$M310&gt;(ROW(PLE.lastrow)-ROW(PLE.firstrow))),0,IF(OFFSET(PLE!$G$14,$M310,CJ$13)="",10^12,OFFSET(PLE!$G$14,$M310,CJ$13))))</f>
        <v>1000000000000</v>
      </c>
      <c r="CK310" s="216">
        <f ca="1">IF($D310&lt;&gt;"Serviço",0,IF(OR(AND(AUTOEVENTO="Manual",$M310=1),$M310&gt;(ROW(PLE.lastrow)-ROW(PLE.firstrow))),0,IF(OFFSET(PLE!$G$14,$M310,CK$13)="",10^12,OFFSET(PLE!$G$14,$M310,CK$13))))</f>
        <v>1000000000000</v>
      </c>
      <c r="CL310" s="216">
        <f ca="1">IF($D310&lt;&gt;"Serviço",0,IF(OR(AND(AUTOEVENTO="Manual",$M310=1),$M310&gt;(ROW(PLE.lastrow)-ROW(PLE.firstrow))),0,IF(OFFSET(PLE!$G$14,$M310,CL$13)="",10^12,OFFSET(PLE!$G$14,$M310,CL$13))))</f>
        <v>1000000000000</v>
      </c>
      <c r="CM310" s="216">
        <f ca="1">IF($D310&lt;&gt;"Serviço",0,IF(OR(AND(AUTOEVENTO="Manual",$M310=1),$M310&gt;(ROW(PLE.lastrow)-ROW(PLE.firstrow))),0,IF(OFFSET(PLE!$G$14,$M310,CM$13)="",10^12,OFFSET(PLE!$G$14,$M310,CM$13))))</f>
        <v>1000000000000</v>
      </c>
    </row>
    <row r="311" spans="1:91" ht="13.2" x14ac:dyDescent="0.25">
      <c r="A311" s="9">
        <f t="shared" ca="1" si="13"/>
        <v>0</v>
      </c>
      <c r="B311" s="9" t="str">
        <f ca="1">OFFSET(ORÇAMENTO!C$15,ROW(B311)-ROW(B$15),0)</f>
        <v>S</v>
      </c>
      <c r="C311" s="9" t="str">
        <f ca="1">OFFSET(ORÇAMENTO!L$15,ROW(C311)-ROW(C$15),0)</f>
        <v/>
      </c>
      <c r="D311" s="145" t="str">
        <f ca="1">OFFSET(ORÇAMENTO!N$15,ROW(D311)-ROW(D$15),0)</f>
        <v>Serviço</v>
      </c>
      <c r="E311" s="205" t="str">
        <f ca="1">OFFSET(ORÇAMENTO!O$15,ROW(E311)-ROW(E$15),0)</f>
        <v>-</v>
      </c>
      <c r="F311" s="206" t="str">
        <f ca="1">OFFSET(ORÇAMENTO!R$15,ROW(F311)-ROW(F$15),0)</f>
        <v>(abra o arquivo 'Referência 05-2024.xls)</v>
      </c>
      <c r="G311" s="207" t="str">
        <f ca="1">IF($D311&lt;&gt;"Serviço","",OFFSET(ORÇAMENTO!S$15,ROW(G311)-ROW(G$15),0))</f>
        <v>-</v>
      </c>
      <c r="H311" s="151">
        <f ca="1">IF($D311&lt;&gt;"Serviço",0,IF(ACOMPANHAMENTO="BM",ROUND(OFFSET(ORÇAMENTO!AJ$15,ROW(H311)-ROW(H$15),0),15-13*ORÇAMENTO!$AF$7),SUMPRODUCT(($Q$12:$AI$12&lt;&gt;"")*ROUND($Q311:$AI311,15-13*ORÇAMENTO!$AF$7))))</f>
        <v>1</v>
      </c>
      <c r="I311" s="650"/>
      <c r="K311" s="208"/>
      <c r="L311" s="209" t="s">
        <v>257</v>
      </c>
      <c r="M311" s="210">
        <f ca="1">IF($D311&lt;&gt;"Serviço","",IF(AUTOEVENTO="manual",$A311,IF(ISERROR(MATCH($A311,$A$15:OFFSET($A311,-1,0),0)),MAX($M$15:OFFSET(M311,-1,0))+1,INDEX($M$15:OFFSET(M311,-1,0),MATCH($A311,$A$15:OFFSET($A311,-1,0),0)))))</f>
        <v>0</v>
      </c>
      <c r="N311" s="211" t="str">
        <f ca="1">IF($D311&lt;&gt;"Serviço","",IF(AUTOEVENTO="Manual",IF($A311=0,"&lt;-- defina o número do agrupador",OFFSET(EVENTOS!$D$14,$A311,0)),OFFSET($F$15,$A311,0)))</f>
        <v>&lt;-- defina o número do agrupador</v>
      </c>
      <c r="O311" s="212"/>
      <c r="Q311" s="212"/>
      <c r="R311" s="213"/>
      <c r="S311" s="213"/>
      <c r="T311" s="213"/>
      <c r="U311" s="213"/>
      <c r="V311" s="213"/>
      <c r="W311" s="213"/>
      <c r="X311" s="213"/>
      <c r="Y311" s="213"/>
      <c r="Z311" s="214"/>
      <c r="AA311" s="213"/>
      <c r="AB311" s="213"/>
      <c r="AC311" s="213"/>
      <c r="AD311" s="213"/>
      <c r="AE311" s="213"/>
      <c r="AF311" s="213"/>
      <c r="AG311" s="213"/>
      <c r="AH311" s="214"/>
      <c r="AJ311" s="631">
        <f ca="1">IF(AND($D311="Serviço",AJ$12&lt;&gt;0,$H311&gt;0,OR(AUTOEVENTO&lt;&gt;"manual",$M311&lt;&gt;1)),ROUND(OFFSET($P311,0,AJ$13),15-13*ORÇAMENTO!$AF$7)/$H311*OFFSET(ORÇAMENTO!$X$15,ROW(AJ311)-ROW(AJ$15),0),0)</f>
        <v>0</v>
      </c>
      <c r="AK311" s="632">
        <f ca="1">IF(AND($D311="Serviço",AK$12&lt;&gt;0,$H311&gt;0,OR(AUTOEVENTO&lt;&gt;"manual",$M311&lt;&gt;1)),ROUND(OFFSET($P311,0,AK$13),15-13*ORÇAMENTO!$AF$7)/$H311*OFFSET(ORÇAMENTO!$X$15,ROW(AK311)-ROW(AK$15),0),0)</f>
        <v>0</v>
      </c>
      <c r="AL311" s="632">
        <f ca="1">IF(AND($D311="Serviço",AL$12&lt;&gt;0,$H311&gt;0,OR(AUTOEVENTO&lt;&gt;"manual",$M311&lt;&gt;1)),ROUND(OFFSET($P311,0,AL$13),15-13*ORÇAMENTO!$AF$7)/$H311*OFFSET(ORÇAMENTO!$X$15,ROW(AL311)-ROW(AL$15),0),0)</f>
        <v>0</v>
      </c>
      <c r="AM311" s="632">
        <f ca="1">IF(AND($D311="Serviço",AM$12&lt;&gt;0,$H311&gt;0,OR(AUTOEVENTO&lt;&gt;"manual",$M311&lt;&gt;1)),ROUND(OFFSET($P311,0,AM$13),15-13*ORÇAMENTO!$AF$7)/$H311*OFFSET(ORÇAMENTO!$X$15,ROW(AM311)-ROW(AM$15),0),0)</f>
        <v>0</v>
      </c>
      <c r="AN311" s="632">
        <f ca="1">IF(AND($D311="Serviço",AN$12&lt;&gt;0,$H311&gt;0,OR(AUTOEVENTO&lt;&gt;"manual",$M311&lt;&gt;1)),ROUND(OFFSET($P311,0,AN$13),15-13*ORÇAMENTO!$AF$7)/$H311*OFFSET(ORÇAMENTO!$X$15,ROW(AN311)-ROW(AN$15),0),0)</f>
        <v>0</v>
      </c>
      <c r="AO311" s="632">
        <f ca="1">IF(AND($D311="Serviço",AO$12&lt;&gt;0,$H311&gt;0,OR(AUTOEVENTO&lt;&gt;"manual",$M311&lt;&gt;1)),ROUND(OFFSET($P311,0,AO$13),15-13*ORÇAMENTO!$AF$7)/$H311*OFFSET(ORÇAMENTO!$X$15,ROW(AO311)-ROW(AO$15),0),0)</f>
        <v>0</v>
      </c>
      <c r="AP311" s="632">
        <f ca="1">IF(AND($D311="Serviço",AP$12&lt;&gt;0,$H311&gt;0,OR(AUTOEVENTO&lt;&gt;"manual",$M311&lt;&gt;1)),ROUND(OFFSET($P311,0,AP$13),15-13*ORÇAMENTO!$AF$7)/$H311*OFFSET(ORÇAMENTO!$X$15,ROW(AP311)-ROW(AP$15),0),0)</f>
        <v>0</v>
      </c>
      <c r="AQ311" s="632">
        <f ca="1">IF(AND($D311="Serviço",AQ$12&lt;&gt;0,$H311&gt;0,OR(AUTOEVENTO&lt;&gt;"manual",$M311&lt;&gt;1)),ROUND(OFFSET($P311,0,AQ$13),15-13*ORÇAMENTO!$AF$7)/$H311*OFFSET(ORÇAMENTO!$X$15,ROW(AQ311)-ROW(AQ$15),0),0)</f>
        <v>0</v>
      </c>
      <c r="AR311" s="632">
        <f ca="1">IF(AND($D311="Serviço",AR$12&lt;&gt;0,$H311&gt;0,OR(AUTOEVENTO&lt;&gt;"manual",$M311&lt;&gt;1)),ROUND(OFFSET($P311,0,AR$13),15-13*ORÇAMENTO!$AF$7)/$H311*OFFSET(ORÇAMENTO!$X$15,ROW(AR311)-ROW(AR$15),0),0)</f>
        <v>0</v>
      </c>
      <c r="AS311" s="633">
        <f ca="1">IF(AND($D311="Serviço",AS$12&lt;&gt;0,$H311&gt;0,OR(AUTOEVENTO&lt;&gt;"manual",$M311&lt;&gt;1)),ROUND(OFFSET($P311,0,AS$13),15-13*ORÇAMENTO!$AF$7)/$H311*OFFSET(ORÇAMENTO!$X$15,ROW(AS311)-ROW(AS$15),0),0)</f>
        <v>0</v>
      </c>
      <c r="AT311" s="632">
        <f ca="1">IF(AND($D311="Serviço",AT$12&lt;&gt;0,$H311&gt;0,OR(AUTOEVENTO&lt;&gt;"manual",$M311&lt;&gt;1)),ROUND(OFFSET($P311,0,AT$13),15-13*ORÇAMENTO!$AF$7)/$H311*OFFSET(ORÇAMENTO!$X$15,ROW(AT311)-ROW(AT$15),0),0)</f>
        <v>0</v>
      </c>
      <c r="AU311" s="632">
        <f ca="1">IF(AND($D311="Serviço",AU$12&lt;&gt;0,$H311&gt;0,OR(AUTOEVENTO&lt;&gt;"manual",$M311&lt;&gt;1)),ROUND(OFFSET($P311,0,AU$13),15-13*ORÇAMENTO!$AF$7)/$H311*OFFSET(ORÇAMENTO!$X$15,ROW(AU311)-ROW(AU$15),0),0)</f>
        <v>0</v>
      </c>
      <c r="AV311" s="632">
        <f ca="1">IF(AND($D311="Serviço",AV$12&lt;&gt;0,$H311&gt;0,OR(AUTOEVENTO&lt;&gt;"manual",$M311&lt;&gt;1)),ROUND(OFFSET($P311,0,AV$13),15-13*ORÇAMENTO!$AF$7)/$H311*OFFSET(ORÇAMENTO!$X$15,ROW(AV311)-ROW(AV$15),0),0)</f>
        <v>0</v>
      </c>
      <c r="AW311" s="632">
        <f ca="1">IF(AND($D311="Serviço",AW$12&lt;&gt;0,$H311&gt;0,OR(AUTOEVENTO&lt;&gt;"manual",$M311&lt;&gt;1)),ROUND(OFFSET($P311,0,AW$13),15-13*ORÇAMENTO!$AF$7)/$H311*OFFSET(ORÇAMENTO!$X$15,ROW(AW311)-ROW(AW$15),0),0)</f>
        <v>0</v>
      </c>
      <c r="AX311" s="632">
        <f ca="1">IF(AND($D311="Serviço",AX$12&lt;&gt;0,$H311&gt;0,OR(AUTOEVENTO&lt;&gt;"manual",$M311&lt;&gt;1)),ROUND(OFFSET($P311,0,AX$13),15-13*ORÇAMENTO!$AF$7)/$H311*OFFSET(ORÇAMENTO!$X$15,ROW(AX311)-ROW(AX$15),0),0)</f>
        <v>0</v>
      </c>
      <c r="AY311" s="632">
        <f ca="1">IF(AND($D311="Serviço",AY$12&lt;&gt;0,$H311&gt;0,OR(AUTOEVENTO&lt;&gt;"manual",$M311&lt;&gt;1)),ROUND(OFFSET($P311,0,AY$13),15-13*ORÇAMENTO!$AF$7)/$H311*OFFSET(ORÇAMENTO!$X$15,ROW(AY311)-ROW(AY$15),0),0)</f>
        <v>0</v>
      </c>
      <c r="AZ311" s="632">
        <f ca="1">IF(AND($D311="Serviço",AZ$12&lt;&gt;0,$H311&gt;0,OR(AUTOEVENTO&lt;&gt;"manual",$M311&lt;&gt;1)),ROUND(OFFSET($P311,0,AZ$13),15-13*ORÇAMENTO!$AF$7)/$H311*OFFSET(ORÇAMENTO!$X$15,ROW(AZ311)-ROW(AZ$15),0),0)</f>
        <v>0</v>
      </c>
      <c r="BA311" s="633">
        <f ca="1">IF(AND($D311="Serviço",BA$12&lt;&gt;0,$H311&gt;0,OR(AUTOEVENTO&lt;&gt;"manual",$M311&lt;&gt;1)),ROUND(OFFSET($P311,0,BA$13),15-13*ORÇAMENTO!$AF$7)/$H311*OFFSET(ORÇAMENTO!$X$15,ROW(BA311)-ROW(BA$15),0),0)</f>
        <v>0</v>
      </c>
      <c r="BC311" s="215">
        <f ca="1">IF($D311&lt;&gt;"Serviço",0,IF(AND(AUTOEVENTO="Manual",$M311=1),0,IF(OFFSET(CRONOPLE!$F$14,$M311,BC$13)="",10^12,OFFSET(CRONOPLE!$F$14,$M311,BC$13))))</f>
        <v>1000000000000</v>
      </c>
      <c r="BD311" s="215">
        <f ca="1">IF($D311&lt;&gt;"Serviço",0,IF(AND(AUTOEVENTO="Manual",$M311=1),0,IF(OFFSET(CRONOPLE!$F$14,$M311,BD$13)="",10^12,OFFSET(CRONOPLE!$F$14,$M311,BD$13))))</f>
        <v>1000000000000</v>
      </c>
      <c r="BE311" s="215">
        <f ca="1">IF($D311&lt;&gt;"Serviço",0,IF(AND(AUTOEVENTO="Manual",$M311=1),0,IF(OFFSET(CRONOPLE!$F$14,$M311,BE$13)="",10^12,OFFSET(CRONOPLE!$F$14,$M311,BE$13))))</f>
        <v>1000000000000</v>
      </c>
      <c r="BF311" s="215">
        <f ca="1">IF($D311&lt;&gt;"Serviço",0,IF(AND(AUTOEVENTO="Manual",$M311=1),0,IF(OFFSET(CRONOPLE!$F$14,$M311,BF$13)="",10^12,OFFSET(CRONOPLE!$F$14,$M311,BF$13))))</f>
        <v>1000000000000</v>
      </c>
      <c r="BG311" s="215">
        <f ca="1">IF($D311&lt;&gt;"Serviço",0,IF(AND(AUTOEVENTO="Manual",$M311=1),0,IF(OFFSET(CRONOPLE!$F$14,$M311,BG$13)="",10^12,OFFSET(CRONOPLE!$F$14,$M311,BG$13))))</f>
        <v>1000000000000</v>
      </c>
      <c r="BH311" s="215">
        <f ca="1">IF($D311&lt;&gt;"Serviço",0,IF(AND(AUTOEVENTO="Manual",$M311=1),0,IF(OFFSET(CRONOPLE!$F$14,$M311,BH$13)="",10^12,OFFSET(CRONOPLE!$F$14,$M311,BH$13))))</f>
        <v>1000000000000</v>
      </c>
      <c r="BI311" s="215">
        <f ca="1">IF($D311&lt;&gt;"Serviço",0,IF(AND(AUTOEVENTO="Manual",$M311=1),0,IF(OFFSET(CRONOPLE!$F$14,$M311,BI$13)="",10^12,OFFSET(CRONOPLE!$F$14,$M311,BI$13))))</f>
        <v>1000000000000</v>
      </c>
      <c r="BJ311" s="215">
        <f ca="1">IF($D311&lt;&gt;"Serviço",0,IF(AND(AUTOEVENTO="Manual",$M311=1),0,IF(OFFSET(CRONOPLE!$F$14,$M311,BJ$13)="",10^12,OFFSET(CRONOPLE!$F$14,$M311,BJ$13))))</f>
        <v>1000000000000</v>
      </c>
      <c r="BK311" s="215">
        <f ca="1">IF($D311&lt;&gt;"Serviço",0,IF(AND(AUTOEVENTO="Manual",$M311=1),0,IF(OFFSET(CRONOPLE!$F$14,$M311,BK$13)="",10^12,OFFSET(CRONOPLE!$F$14,$M311,BK$13))))</f>
        <v>1000000000000</v>
      </c>
      <c r="BL311" s="215">
        <f ca="1">IF($D311&lt;&gt;"Serviço",0,IF(AND(AUTOEVENTO="Manual",$M311=1),0,IF(OFFSET(CRONOPLE!$F$14,$M311,BL$13)="",10^12,OFFSET(CRONOPLE!$F$14,$M311,BL$13))))</f>
        <v>1000000000000</v>
      </c>
      <c r="BM311" s="215">
        <f ca="1">IF($D311&lt;&gt;"Serviço",0,IF(AND(AUTOEVENTO="Manual",$M311=1),0,IF(OFFSET(CRONOPLE!$F$14,$M311,BM$13)="",10^12,OFFSET(CRONOPLE!$F$14,$M311,BM$13))))</f>
        <v>1000000000000</v>
      </c>
      <c r="BN311" s="215">
        <f ca="1">IF($D311&lt;&gt;"Serviço",0,IF(AND(AUTOEVENTO="Manual",$M311=1),0,IF(OFFSET(CRONOPLE!$F$14,$M311,BN$13)="",10^12,OFFSET(CRONOPLE!$F$14,$M311,BN$13))))</f>
        <v>1000000000000</v>
      </c>
      <c r="BO311" s="215">
        <f ca="1">IF($D311&lt;&gt;"Serviço",0,IF(AND(AUTOEVENTO="Manual",$M311=1),0,IF(OFFSET(CRONOPLE!$F$14,$M311,BO$13)="",10^12,OFFSET(CRONOPLE!$F$14,$M311,BO$13))))</f>
        <v>1000000000000</v>
      </c>
      <c r="BP311" s="215">
        <f ca="1">IF($D311&lt;&gt;"Serviço",0,IF(AND(AUTOEVENTO="Manual",$M311=1),0,IF(OFFSET(CRONOPLE!$F$14,$M311,BP$13)="",10^12,OFFSET(CRONOPLE!$F$14,$M311,BP$13))))</f>
        <v>1000000000000</v>
      </c>
      <c r="BQ311" s="215">
        <f ca="1">IF($D311&lt;&gt;"Serviço",0,IF(AND(AUTOEVENTO="Manual",$M311=1),0,IF(OFFSET(CRONOPLE!$F$14,$M311,BQ$13)="",10^12,OFFSET(CRONOPLE!$F$14,$M311,BQ$13))))</f>
        <v>1000000000000</v>
      </c>
      <c r="BR311" s="215">
        <f ca="1">IF($D311&lt;&gt;"Serviço",0,IF(AND(AUTOEVENTO="Manual",$M311=1),0,IF(OFFSET(CRONOPLE!$F$14,$M311,BR$13)="",10^12,OFFSET(CRONOPLE!$F$14,$M311,BR$13))))</f>
        <v>1000000000000</v>
      </c>
      <c r="BS311" s="215">
        <f ca="1">IF($D311&lt;&gt;"Serviço",0,IF(AND(AUTOEVENTO="Manual",$M311=1),0,IF(OFFSET(CRONOPLE!$F$14,$M311,BS$13)="",10^12,OFFSET(CRONOPLE!$F$14,$M311,BS$13))))</f>
        <v>1000000000000</v>
      </c>
      <c r="BT311" s="215">
        <f ca="1">IF($D311&lt;&gt;"Serviço",0,IF(AND(AUTOEVENTO="Manual",$M311=1),0,IF(OFFSET(CRONOPLE!$F$14,$M311,BT$13)="",10^12,OFFSET(CRONOPLE!$F$14,$M311,BT$13))))</f>
        <v>1000000000000</v>
      </c>
      <c r="BV311" s="216">
        <f ca="1">IF($D311&lt;&gt;"Serviço",0,IF(OR(AND(AUTOEVENTO="Manual",$M311=1),$M311&gt;(ROW(PLE.lastrow)-ROW(PLE.firstrow))),0,IF(OFFSET(PLE!$G$14,$M311,BV$13)="",10^12,OFFSET(PLE!$G$14,$M311,BV$13))))</f>
        <v>1000000000000</v>
      </c>
      <c r="BW311" s="216">
        <f ca="1">IF($D311&lt;&gt;"Serviço",0,IF(OR(AND(AUTOEVENTO="Manual",$M311=1),$M311&gt;(ROW(PLE.lastrow)-ROW(PLE.firstrow))),0,IF(OFFSET(PLE!$G$14,$M311,BW$13)="",10^12,OFFSET(PLE!$G$14,$M311,BW$13))))</f>
        <v>1000000000000</v>
      </c>
      <c r="BX311" s="216">
        <f ca="1">IF($D311&lt;&gt;"Serviço",0,IF(OR(AND(AUTOEVENTO="Manual",$M311=1),$M311&gt;(ROW(PLE.lastrow)-ROW(PLE.firstrow))),0,IF(OFFSET(PLE!$G$14,$M311,BX$13)="",10^12,OFFSET(PLE!$G$14,$M311,BX$13))))</f>
        <v>1000000000000</v>
      </c>
      <c r="BY311" s="216">
        <f ca="1">IF($D311&lt;&gt;"Serviço",0,IF(OR(AND(AUTOEVENTO="Manual",$M311=1),$M311&gt;(ROW(PLE.lastrow)-ROW(PLE.firstrow))),0,IF(OFFSET(PLE!$G$14,$M311,BY$13)="",10^12,OFFSET(PLE!$G$14,$M311,BY$13))))</f>
        <v>1000000000000</v>
      </c>
      <c r="BZ311" s="216">
        <f ca="1">IF($D311&lt;&gt;"Serviço",0,IF(OR(AND(AUTOEVENTO="Manual",$M311=1),$M311&gt;(ROW(PLE.lastrow)-ROW(PLE.firstrow))),0,IF(OFFSET(PLE!$G$14,$M311,BZ$13)="",10^12,OFFSET(PLE!$G$14,$M311,BZ$13))))</f>
        <v>1000000000000</v>
      </c>
      <c r="CA311" s="216">
        <f ca="1">IF($D311&lt;&gt;"Serviço",0,IF(OR(AND(AUTOEVENTO="Manual",$M311=1),$M311&gt;(ROW(PLE.lastrow)-ROW(PLE.firstrow))),0,IF(OFFSET(PLE!$G$14,$M311,CA$13)="",10^12,OFFSET(PLE!$G$14,$M311,CA$13))))</f>
        <v>1000000000000</v>
      </c>
      <c r="CB311" s="216">
        <f ca="1">IF($D311&lt;&gt;"Serviço",0,IF(OR(AND(AUTOEVENTO="Manual",$M311=1),$M311&gt;(ROW(PLE.lastrow)-ROW(PLE.firstrow))),0,IF(OFFSET(PLE!$G$14,$M311,CB$13)="",10^12,OFFSET(PLE!$G$14,$M311,CB$13))))</f>
        <v>1000000000000</v>
      </c>
      <c r="CC311" s="216">
        <f ca="1">IF($D311&lt;&gt;"Serviço",0,IF(OR(AND(AUTOEVENTO="Manual",$M311=1),$M311&gt;(ROW(PLE.lastrow)-ROW(PLE.firstrow))),0,IF(OFFSET(PLE!$G$14,$M311,CC$13)="",10^12,OFFSET(PLE!$G$14,$M311,CC$13))))</f>
        <v>1000000000000</v>
      </c>
      <c r="CD311" s="216">
        <f ca="1">IF($D311&lt;&gt;"Serviço",0,IF(OR(AND(AUTOEVENTO="Manual",$M311=1),$M311&gt;(ROW(PLE.lastrow)-ROW(PLE.firstrow))),0,IF(OFFSET(PLE!$G$14,$M311,CD$13)="",10^12,OFFSET(PLE!$G$14,$M311,CD$13))))</f>
        <v>1000000000000</v>
      </c>
      <c r="CE311" s="216">
        <f ca="1">IF($D311&lt;&gt;"Serviço",0,IF(OR(AND(AUTOEVENTO="Manual",$M311=1),$M311&gt;(ROW(PLE.lastrow)-ROW(PLE.firstrow))),0,IF(OFFSET(PLE!$G$14,$M311,CE$13)="",10^12,OFFSET(PLE!$G$14,$M311,CE$13))))</f>
        <v>1000000000000</v>
      </c>
      <c r="CF311" s="216">
        <f ca="1">IF($D311&lt;&gt;"Serviço",0,IF(OR(AND(AUTOEVENTO="Manual",$M311=1),$M311&gt;(ROW(PLE.lastrow)-ROW(PLE.firstrow))),0,IF(OFFSET(PLE!$G$14,$M311,CF$13)="",10^12,OFFSET(PLE!$G$14,$M311,CF$13))))</f>
        <v>1000000000000</v>
      </c>
      <c r="CG311" s="216">
        <f ca="1">IF($D311&lt;&gt;"Serviço",0,IF(OR(AND(AUTOEVENTO="Manual",$M311=1),$M311&gt;(ROW(PLE.lastrow)-ROW(PLE.firstrow))),0,IF(OFFSET(PLE!$G$14,$M311,CG$13)="",10^12,OFFSET(PLE!$G$14,$M311,CG$13))))</f>
        <v>1000000000000</v>
      </c>
      <c r="CH311" s="216">
        <f ca="1">IF($D311&lt;&gt;"Serviço",0,IF(OR(AND(AUTOEVENTO="Manual",$M311=1),$M311&gt;(ROW(PLE.lastrow)-ROW(PLE.firstrow))),0,IF(OFFSET(PLE!$G$14,$M311,CH$13)="",10^12,OFFSET(PLE!$G$14,$M311,CH$13))))</f>
        <v>1000000000000</v>
      </c>
      <c r="CI311" s="216">
        <f ca="1">IF($D311&lt;&gt;"Serviço",0,IF(OR(AND(AUTOEVENTO="Manual",$M311=1),$M311&gt;(ROW(PLE.lastrow)-ROW(PLE.firstrow))),0,IF(OFFSET(PLE!$G$14,$M311,CI$13)="",10^12,OFFSET(PLE!$G$14,$M311,CI$13))))</f>
        <v>1000000000000</v>
      </c>
      <c r="CJ311" s="216">
        <f ca="1">IF($D311&lt;&gt;"Serviço",0,IF(OR(AND(AUTOEVENTO="Manual",$M311=1),$M311&gt;(ROW(PLE.lastrow)-ROW(PLE.firstrow))),0,IF(OFFSET(PLE!$G$14,$M311,CJ$13)="",10^12,OFFSET(PLE!$G$14,$M311,CJ$13))))</f>
        <v>1000000000000</v>
      </c>
      <c r="CK311" s="216">
        <f ca="1">IF($D311&lt;&gt;"Serviço",0,IF(OR(AND(AUTOEVENTO="Manual",$M311=1),$M311&gt;(ROW(PLE.lastrow)-ROW(PLE.firstrow))),0,IF(OFFSET(PLE!$G$14,$M311,CK$13)="",10^12,OFFSET(PLE!$G$14,$M311,CK$13))))</f>
        <v>1000000000000</v>
      </c>
      <c r="CL311" s="216">
        <f ca="1">IF($D311&lt;&gt;"Serviço",0,IF(OR(AND(AUTOEVENTO="Manual",$M311=1),$M311&gt;(ROW(PLE.lastrow)-ROW(PLE.firstrow))),0,IF(OFFSET(PLE!$G$14,$M311,CL$13)="",10^12,OFFSET(PLE!$G$14,$M311,CL$13))))</f>
        <v>1000000000000</v>
      </c>
      <c r="CM311" s="216">
        <f ca="1">IF($D311&lt;&gt;"Serviço",0,IF(OR(AND(AUTOEVENTO="Manual",$M311=1),$M311&gt;(ROW(PLE.lastrow)-ROW(PLE.firstrow))),0,IF(OFFSET(PLE!$G$14,$M311,CM$13)="",10^12,OFFSET(PLE!$G$14,$M311,CM$13))))</f>
        <v>1000000000000</v>
      </c>
    </row>
    <row r="312" spans="1:91" ht="13.2" x14ac:dyDescent="0.25">
      <c r="A312" s="9">
        <f t="shared" ca="1" si="13"/>
        <v>0</v>
      </c>
      <c r="B312" s="9" t="str">
        <f ca="1">OFFSET(ORÇAMENTO!C$15,ROW(B312)-ROW(B$15),0)</f>
        <v>S</v>
      </c>
      <c r="C312" s="9" t="str">
        <f ca="1">OFFSET(ORÇAMENTO!L$15,ROW(C312)-ROW(C$15),0)</f>
        <v/>
      </c>
      <c r="D312" s="145" t="str">
        <f ca="1">OFFSET(ORÇAMENTO!N$15,ROW(D312)-ROW(D$15),0)</f>
        <v>Serviço</v>
      </c>
      <c r="E312" s="205" t="str">
        <f ca="1">OFFSET(ORÇAMENTO!O$15,ROW(E312)-ROW(E$15),0)</f>
        <v>-</v>
      </c>
      <c r="F312" s="206" t="str">
        <f ca="1">OFFSET(ORÇAMENTO!R$15,ROW(F312)-ROW(F$15),0)</f>
        <v>(abra o arquivo 'Referência 05-2024.xls)</v>
      </c>
      <c r="G312" s="207" t="str">
        <f ca="1">IF($D312&lt;&gt;"Serviço","",OFFSET(ORÇAMENTO!S$15,ROW(G312)-ROW(G$15),0))</f>
        <v>-</v>
      </c>
      <c r="H312" s="151">
        <f ca="1">IF($D312&lt;&gt;"Serviço",0,IF(ACOMPANHAMENTO="BM",ROUND(OFFSET(ORÇAMENTO!AJ$15,ROW(H312)-ROW(H$15),0),15-13*ORÇAMENTO!$AF$7),SUMPRODUCT(($Q$12:$AI$12&lt;&gt;"")*ROUND($Q312:$AI312,15-13*ORÇAMENTO!$AF$7))))</f>
        <v>58</v>
      </c>
      <c r="I312" s="650"/>
      <c r="K312" s="208"/>
      <c r="L312" s="209" t="s">
        <v>257</v>
      </c>
      <c r="M312" s="210">
        <f ca="1">IF($D312&lt;&gt;"Serviço","",IF(AUTOEVENTO="manual",$A312,IF(ISERROR(MATCH($A312,$A$15:OFFSET($A312,-1,0),0)),MAX($M$15:OFFSET(M312,-1,0))+1,INDEX($M$15:OFFSET(M312,-1,0),MATCH($A312,$A$15:OFFSET($A312,-1,0),0)))))</f>
        <v>0</v>
      </c>
      <c r="N312" s="211" t="str">
        <f ca="1">IF($D312&lt;&gt;"Serviço","",IF(AUTOEVENTO="Manual",IF($A312=0,"&lt;-- defina o número do agrupador",OFFSET(EVENTOS!$D$14,$A312,0)),OFFSET($F$15,$A312,0)))</f>
        <v>&lt;-- defina o número do agrupador</v>
      </c>
      <c r="O312" s="212"/>
      <c r="Q312" s="212"/>
      <c r="R312" s="213"/>
      <c r="S312" s="213"/>
      <c r="T312" s="213"/>
      <c r="U312" s="213"/>
      <c r="V312" s="213"/>
      <c r="W312" s="213"/>
      <c r="X312" s="213"/>
      <c r="Y312" s="213"/>
      <c r="Z312" s="214"/>
      <c r="AA312" s="213"/>
      <c r="AB312" s="213"/>
      <c r="AC312" s="213"/>
      <c r="AD312" s="213"/>
      <c r="AE312" s="213"/>
      <c r="AF312" s="213"/>
      <c r="AG312" s="213"/>
      <c r="AH312" s="214"/>
      <c r="AJ312" s="631">
        <f ca="1">IF(AND($D312="Serviço",AJ$12&lt;&gt;0,$H312&gt;0,OR(AUTOEVENTO&lt;&gt;"manual",$M312&lt;&gt;1)),ROUND(OFFSET($P312,0,AJ$13),15-13*ORÇAMENTO!$AF$7)/$H312*OFFSET(ORÇAMENTO!$X$15,ROW(AJ312)-ROW(AJ$15),0),0)</f>
        <v>0</v>
      </c>
      <c r="AK312" s="632">
        <f ca="1">IF(AND($D312="Serviço",AK$12&lt;&gt;0,$H312&gt;0,OR(AUTOEVENTO&lt;&gt;"manual",$M312&lt;&gt;1)),ROUND(OFFSET($P312,0,AK$13),15-13*ORÇAMENTO!$AF$7)/$H312*OFFSET(ORÇAMENTO!$X$15,ROW(AK312)-ROW(AK$15),0),0)</f>
        <v>0</v>
      </c>
      <c r="AL312" s="632">
        <f ca="1">IF(AND($D312="Serviço",AL$12&lt;&gt;0,$H312&gt;0,OR(AUTOEVENTO&lt;&gt;"manual",$M312&lt;&gt;1)),ROUND(OFFSET($P312,0,AL$13),15-13*ORÇAMENTO!$AF$7)/$H312*OFFSET(ORÇAMENTO!$X$15,ROW(AL312)-ROW(AL$15),0),0)</f>
        <v>0</v>
      </c>
      <c r="AM312" s="632">
        <f ca="1">IF(AND($D312="Serviço",AM$12&lt;&gt;0,$H312&gt;0,OR(AUTOEVENTO&lt;&gt;"manual",$M312&lt;&gt;1)),ROUND(OFFSET($P312,0,AM$13),15-13*ORÇAMENTO!$AF$7)/$H312*OFFSET(ORÇAMENTO!$X$15,ROW(AM312)-ROW(AM$15),0),0)</f>
        <v>0</v>
      </c>
      <c r="AN312" s="632">
        <f ca="1">IF(AND($D312="Serviço",AN$12&lt;&gt;0,$H312&gt;0,OR(AUTOEVENTO&lt;&gt;"manual",$M312&lt;&gt;1)),ROUND(OFFSET($P312,0,AN$13),15-13*ORÇAMENTO!$AF$7)/$H312*OFFSET(ORÇAMENTO!$X$15,ROW(AN312)-ROW(AN$15),0),0)</f>
        <v>0</v>
      </c>
      <c r="AO312" s="632">
        <f ca="1">IF(AND($D312="Serviço",AO$12&lt;&gt;0,$H312&gt;0,OR(AUTOEVENTO&lt;&gt;"manual",$M312&lt;&gt;1)),ROUND(OFFSET($P312,0,AO$13),15-13*ORÇAMENTO!$AF$7)/$H312*OFFSET(ORÇAMENTO!$X$15,ROW(AO312)-ROW(AO$15),0),0)</f>
        <v>0</v>
      </c>
      <c r="AP312" s="632">
        <f ca="1">IF(AND($D312="Serviço",AP$12&lt;&gt;0,$H312&gt;0,OR(AUTOEVENTO&lt;&gt;"manual",$M312&lt;&gt;1)),ROUND(OFFSET($P312,0,AP$13),15-13*ORÇAMENTO!$AF$7)/$H312*OFFSET(ORÇAMENTO!$X$15,ROW(AP312)-ROW(AP$15),0),0)</f>
        <v>0</v>
      </c>
      <c r="AQ312" s="632">
        <f ca="1">IF(AND($D312="Serviço",AQ$12&lt;&gt;0,$H312&gt;0,OR(AUTOEVENTO&lt;&gt;"manual",$M312&lt;&gt;1)),ROUND(OFFSET($P312,0,AQ$13),15-13*ORÇAMENTO!$AF$7)/$H312*OFFSET(ORÇAMENTO!$X$15,ROW(AQ312)-ROW(AQ$15),0),0)</f>
        <v>0</v>
      </c>
      <c r="AR312" s="632">
        <f ca="1">IF(AND($D312="Serviço",AR$12&lt;&gt;0,$H312&gt;0,OR(AUTOEVENTO&lt;&gt;"manual",$M312&lt;&gt;1)),ROUND(OFFSET($P312,0,AR$13),15-13*ORÇAMENTO!$AF$7)/$H312*OFFSET(ORÇAMENTO!$X$15,ROW(AR312)-ROW(AR$15),0),0)</f>
        <v>0</v>
      </c>
      <c r="AS312" s="633">
        <f ca="1">IF(AND($D312="Serviço",AS$12&lt;&gt;0,$H312&gt;0,OR(AUTOEVENTO&lt;&gt;"manual",$M312&lt;&gt;1)),ROUND(OFFSET($P312,0,AS$13),15-13*ORÇAMENTO!$AF$7)/$H312*OFFSET(ORÇAMENTO!$X$15,ROW(AS312)-ROW(AS$15),0),0)</f>
        <v>0</v>
      </c>
      <c r="AT312" s="632">
        <f ca="1">IF(AND($D312="Serviço",AT$12&lt;&gt;0,$H312&gt;0,OR(AUTOEVENTO&lt;&gt;"manual",$M312&lt;&gt;1)),ROUND(OFFSET($P312,0,AT$13),15-13*ORÇAMENTO!$AF$7)/$H312*OFFSET(ORÇAMENTO!$X$15,ROW(AT312)-ROW(AT$15),0),0)</f>
        <v>0</v>
      </c>
      <c r="AU312" s="632">
        <f ca="1">IF(AND($D312="Serviço",AU$12&lt;&gt;0,$H312&gt;0,OR(AUTOEVENTO&lt;&gt;"manual",$M312&lt;&gt;1)),ROUND(OFFSET($P312,0,AU$13),15-13*ORÇAMENTO!$AF$7)/$H312*OFFSET(ORÇAMENTO!$X$15,ROW(AU312)-ROW(AU$15),0),0)</f>
        <v>0</v>
      </c>
      <c r="AV312" s="632">
        <f ca="1">IF(AND($D312="Serviço",AV$12&lt;&gt;0,$H312&gt;0,OR(AUTOEVENTO&lt;&gt;"manual",$M312&lt;&gt;1)),ROUND(OFFSET($P312,0,AV$13),15-13*ORÇAMENTO!$AF$7)/$H312*OFFSET(ORÇAMENTO!$X$15,ROW(AV312)-ROW(AV$15),0),0)</f>
        <v>0</v>
      </c>
      <c r="AW312" s="632">
        <f ca="1">IF(AND($D312="Serviço",AW$12&lt;&gt;0,$H312&gt;0,OR(AUTOEVENTO&lt;&gt;"manual",$M312&lt;&gt;1)),ROUND(OFFSET($P312,0,AW$13),15-13*ORÇAMENTO!$AF$7)/$H312*OFFSET(ORÇAMENTO!$X$15,ROW(AW312)-ROW(AW$15),0),0)</f>
        <v>0</v>
      </c>
      <c r="AX312" s="632">
        <f ca="1">IF(AND($D312="Serviço",AX$12&lt;&gt;0,$H312&gt;0,OR(AUTOEVENTO&lt;&gt;"manual",$M312&lt;&gt;1)),ROUND(OFFSET($P312,0,AX$13),15-13*ORÇAMENTO!$AF$7)/$H312*OFFSET(ORÇAMENTO!$X$15,ROW(AX312)-ROW(AX$15),0),0)</f>
        <v>0</v>
      </c>
      <c r="AY312" s="632">
        <f ca="1">IF(AND($D312="Serviço",AY$12&lt;&gt;0,$H312&gt;0,OR(AUTOEVENTO&lt;&gt;"manual",$M312&lt;&gt;1)),ROUND(OFFSET($P312,0,AY$13),15-13*ORÇAMENTO!$AF$7)/$H312*OFFSET(ORÇAMENTO!$X$15,ROW(AY312)-ROW(AY$15),0),0)</f>
        <v>0</v>
      </c>
      <c r="AZ312" s="632">
        <f ca="1">IF(AND($D312="Serviço",AZ$12&lt;&gt;0,$H312&gt;0,OR(AUTOEVENTO&lt;&gt;"manual",$M312&lt;&gt;1)),ROUND(OFFSET($P312,0,AZ$13),15-13*ORÇAMENTO!$AF$7)/$H312*OFFSET(ORÇAMENTO!$X$15,ROW(AZ312)-ROW(AZ$15),0),0)</f>
        <v>0</v>
      </c>
      <c r="BA312" s="633">
        <f ca="1">IF(AND($D312="Serviço",BA$12&lt;&gt;0,$H312&gt;0,OR(AUTOEVENTO&lt;&gt;"manual",$M312&lt;&gt;1)),ROUND(OFFSET($P312,0,BA$13),15-13*ORÇAMENTO!$AF$7)/$H312*OFFSET(ORÇAMENTO!$X$15,ROW(BA312)-ROW(BA$15),0),0)</f>
        <v>0</v>
      </c>
      <c r="BC312" s="215">
        <f ca="1">IF($D312&lt;&gt;"Serviço",0,IF(AND(AUTOEVENTO="Manual",$M312=1),0,IF(OFFSET(CRONOPLE!$F$14,$M312,BC$13)="",10^12,OFFSET(CRONOPLE!$F$14,$M312,BC$13))))</f>
        <v>1000000000000</v>
      </c>
      <c r="BD312" s="215">
        <f ca="1">IF($D312&lt;&gt;"Serviço",0,IF(AND(AUTOEVENTO="Manual",$M312=1),0,IF(OFFSET(CRONOPLE!$F$14,$M312,BD$13)="",10^12,OFFSET(CRONOPLE!$F$14,$M312,BD$13))))</f>
        <v>1000000000000</v>
      </c>
      <c r="BE312" s="215">
        <f ca="1">IF($D312&lt;&gt;"Serviço",0,IF(AND(AUTOEVENTO="Manual",$M312=1),0,IF(OFFSET(CRONOPLE!$F$14,$M312,BE$13)="",10^12,OFFSET(CRONOPLE!$F$14,$M312,BE$13))))</f>
        <v>1000000000000</v>
      </c>
      <c r="BF312" s="215">
        <f ca="1">IF($D312&lt;&gt;"Serviço",0,IF(AND(AUTOEVENTO="Manual",$M312=1),0,IF(OFFSET(CRONOPLE!$F$14,$M312,BF$13)="",10^12,OFFSET(CRONOPLE!$F$14,$M312,BF$13))))</f>
        <v>1000000000000</v>
      </c>
      <c r="BG312" s="215">
        <f ca="1">IF($D312&lt;&gt;"Serviço",0,IF(AND(AUTOEVENTO="Manual",$M312=1),0,IF(OFFSET(CRONOPLE!$F$14,$M312,BG$13)="",10^12,OFFSET(CRONOPLE!$F$14,$M312,BG$13))))</f>
        <v>1000000000000</v>
      </c>
      <c r="BH312" s="215">
        <f ca="1">IF($D312&lt;&gt;"Serviço",0,IF(AND(AUTOEVENTO="Manual",$M312=1),0,IF(OFFSET(CRONOPLE!$F$14,$M312,BH$13)="",10^12,OFFSET(CRONOPLE!$F$14,$M312,BH$13))))</f>
        <v>1000000000000</v>
      </c>
      <c r="BI312" s="215">
        <f ca="1">IF($D312&lt;&gt;"Serviço",0,IF(AND(AUTOEVENTO="Manual",$M312=1),0,IF(OFFSET(CRONOPLE!$F$14,$M312,BI$13)="",10^12,OFFSET(CRONOPLE!$F$14,$M312,BI$13))))</f>
        <v>1000000000000</v>
      </c>
      <c r="BJ312" s="215">
        <f ca="1">IF($D312&lt;&gt;"Serviço",0,IF(AND(AUTOEVENTO="Manual",$M312=1),0,IF(OFFSET(CRONOPLE!$F$14,$M312,BJ$13)="",10^12,OFFSET(CRONOPLE!$F$14,$M312,BJ$13))))</f>
        <v>1000000000000</v>
      </c>
      <c r="BK312" s="215">
        <f ca="1">IF($D312&lt;&gt;"Serviço",0,IF(AND(AUTOEVENTO="Manual",$M312=1),0,IF(OFFSET(CRONOPLE!$F$14,$M312,BK$13)="",10^12,OFFSET(CRONOPLE!$F$14,$M312,BK$13))))</f>
        <v>1000000000000</v>
      </c>
      <c r="BL312" s="215">
        <f ca="1">IF($D312&lt;&gt;"Serviço",0,IF(AND(AUTOEVENTO="Manual",$M312=1),0,IF(OFFSET(CRONOPLE!$F$14,$M312,BL$13)="",10^12,OFFSET(CRONOPLE!$F$14,$M312,BL$13))))</f>
        <v>1000000000000</v>
      </c>
      <c r="BM312" s="215">
        <f ca="1">IF($D312&lt;&gt;"Serviço",0,IF(AND(AUTOEVENTO="Manual",$M312=1),0,IF(OFFSET(CRONOPLE!$F$14,$M312,BM$13)="",10^12,OFFSET(CRONOPLE!$F$14,$M312,BM$13))))</f>
        <v>1000000000000</v>
      </c>
      <c r="BN312" s="215">
        <f ca="1">IF($D312&lt;&gt;"Serviço",0,IF(AND(AUTOEVENTO="Manual",$M312=1),0,IF(OFFSET(CRONOPLE!$F$14,$M312,BN$13)="",10^12,OFFSET(CRONOPLE!$F$14,$M312,BN$13))))</f>
        <v>1000000000000</v>
      </c>
      <c r="BO312" s="215">
        <f ca="1">IF($D312&lt;&gt;"Serviço",0,IF(AND(AUTOEVENTO="Manual",$M312=1),0,IF(OFFSET(CRONOPLE!$F$14,$M312,BO$13)="",10^12,OFFSET(CRONOPLE!$F$14,$M312,BO$13))))</f>
        <v>1000000000000</v>
      </c>
      <c r="BP312" s="215">
        <f ca="1">IF($D312&lt;&gt;"Serviço",0,IF(AND(AUTOEVENTO="Manual",$M312=1),0,IF(OFFSET(CRONOPLE!$F$14,$M312,BP$13)="",10^12,OFFSET(CRONOPLE!$F$14,$M312,BP$13))))</f>
        <v>1000000000000</v>
      </c>
      <c r="BQ312" s="215">
        <f ca="1">IF($D312&lt;&gt;"Serviço",0,IF(AND(AUTOEVENTO="Manual",$M312=1),0,IF(OFFSET(CRONOPLE!$F$14,$M312,BQ$13)="",10^12,OFFSET(CRONOPLE!$F$14,$M312,BQ$13))))</f>
        <v>1000000000000</v>
      </c>
      <c r="BR312" s="215">
        <f ca="1">IF($D312&lt;&gt;"Serviço",0,IF(AND(AUTOEVENTO="Manual",$M312=1),0,IF(OFFSET(CRONOPLE!$F$14,$M312,BR$13)="",10^12,OFFSET(CRONOPLE!$F$14,$M312,BR$13))))</f>
        <v>1000000000000</v>
      </c>
      <c r="BS312" s="215">
        <f ca="1">IF($D312&lt;&gt;"Serviço",0,IF(AND(AUTOEVENTO="Manual",$M312=1),0,IF(OFFSET(CRONOPLE!$F$14,$M312,BS$13)="",10^12,OFFSET(CRONOPLE!$F$14,$M312,BS$13))))</f>
        <v>1000000000000</v>
      </c>
      <c r="BT312" s="215">
        <f ca="1">IF($D312&lt;&gt;"Serviço",0,IF(AND(AUTOEVENTO="Manual",$M312=1),0,IF(OFFSET(CRONOPLE!$F$14,$M312,BT$13)="",10^12,OFFSET(CRONOPLE!$F$14,$M312,BT$13))))</f>
        <v>1000000000000</v>
      </c>
      <c r="BV312" s="216">
        <f ca="1">IF($D312&lt;&gt;"Serviço",0,IF(OR(AND(AUTOEVENTO="Manual",$M312=1),$M312&gt;(ROW(PLE.lastrow)-ROW(PLE.firstrow))),0,IF(OFFSET(PLE!$G$14,$M312,BV$13)="",10^12,OFFSET(PLE!$G$14,$M312,BV$13))))</f>
        <v>1000000000000</v>
      </c>
      <c r="BW312" s="216">
        <f ca="1">IF($D312&lt;&gt;"Serviço",0,IF(OR(AND(AUTOEVENTO="Manual",$M312=1),$M312&gt;(ROW(PLE.lastrow)-ROW(PLE.firstrow))),0,IF(OFFSET(PLE!$G$14,$M312,BW$13)="",10^12,OFFSET(PLE!$G$14,$M312,BW$13))))</f>
        <v>1000000000000</v>
      </c>
      <c r="BX312" s="216">
        <f ca="1">IF($D312&lt;&gt;"Serviço",0,IF(OR(AND(AUTOEVENTO="Manual",$M312=1),$M312&gt;(ROW(PLE.lastrow)-ROW(PLE.firstrow))),0,IF(OFFSET(PLE!$G$14,$M312,BX$13)="",10^12,OFFSET(PLE!$G$14,$M312,BX$13))))</f>
        <v>1000000000000</v>
      </c>
      <c r="BY312" s="216">
        <f ca="1">IF($D312&lt;&gt;"Serviço",0,IF(OR(AND(AUTOEVENTO="Manual",$M312=1),$M312&gt;(ROW(PLE.lastrow)-ROW(PLE.firstrow))),0,IF(OFFSET(PLE!$G$14,$M312,BY$13)="",10^12,OFFSET(PLE!$G$14,$M312,BY$13))))</f>
        <v>1000000000000</v>
      </c>
      <c r="BZ312" s="216">
        <f ca="1">IF($D312&lt;&gt;"Serviço",0,IF(OR(AND(AUTOEVENTO="Manual",$M312=1),$M312&gt;(ROW(PLE.lastrow)-ROW(PLE.firstrow))),0,IF(OFFSET(PLE!$G$14,$M312,BZ$13)="",10^12,OFFSET(PLE!$G$14,$M312,BZ$13))))</f>
        <v>1000000000000</v>
      </c>
      <c r="CA312" s="216">
        <f ca="1">IF($D312&lt;&gt;"Serviço",0,IF(OR(AND(AUTOEVENTO="Manual",$M312=1),$M312&gt;(ROW(PLE.lastrow)-ROW(PLE.firstrow))),0,IF(OFFSET(PLE!$G$14,$M312,CA$13)="",10^12,OFFSET(PLE!$G$14,$M312,CA$13))))</f>
        <v>1000000000000</v>
      </c>
      <c r="CB312" s="216">
        <f ca="1">IF($D312&lt;&gt;"Serviço",0,IF(OR(AND(AUTOEVENTO="Manual",$M312=1),$M312&gt;(ROW(PLE.lastrow)-ROW(PLE.firstrow))),0,IF(OFFSET(PLE!$G$14,$M312,CB$13)="",10^12,OFFSET(PLE!$G$14,$M312,CB$13))))</f>
        <v>1000000000000</v>
      </c>
      <c r="CC312" s="216">
        <f ca="1">IF($D312&lt;&gt;"Serviço",0,IF(OR(AND(AUTOEVENTO="Manual",$M312=1),$M312&gt;(ROW(PLE.lastrow)-ROW(PLE.firstrow))),0,IF(OFFSET(PLE!$G$14,$M312,CC$13)="",10^12,OFFSET(PLE!$G$14,$M312,CC$13))))</f>
        <v>1000000000000</v>
      </c>
      <c r="CD312" s="216">
        <f ca="1">IF($D312&lt;&gt;"Serviço",0,IF(OR(AND(AUTOEVENTO="Manual",$M312=1),$M312&gt;(ROW(PLE.lastrow)-ROW(PLE.firstrow))),0,IF(OFFSET(PLE!$G$14,$M312,CD$13)="",10^12,OFFSET(PLE!$G$14,$M312,CD$13))))</f>
        <v>1000000000000</v>
      </c>
      <c r="CE312" s="216">
        <f ca="1">IF($D312&lt;&gt;"Serviço",0,IF(OR(AND(AUTOEVENTO="Manual",$M312=1),$M312&gt;(ROW(PLE.lastrow)-ROW(PLE.firstrow))),0,IF(OFFSET(PLE!$G$14,$M312,CE$13)="",10^12,OFFSET(PLE!$G$14,$M312,CE$13))))</f>
        <v>1000000000000</v>
      </c>
      <c r="CF312" s="216">
        <f ca="1">IF($D312&lt;&gt;"Serviço",0,IF(OR(AND(AUTOEVENTO="Manual",$M312=1),$M312&gt;(ROW(PLE.lastrow)-ROW(PLE.firstrow))),0,IF(OFFSET(PLE!$G$14,$M312,CF$13)="",10^12,OFFSET(PLE!$G$14,$M312,CF$13))))</f>
        <v>1000000000000</v>
      </c>
      <c r="CG312" s="216">
        <f ca="1">IF($D312&lt;&gt;"Serviço",0,IF(OR(AND(AUTOEVENTO="Manual",$M312=1),$M312&gt;(ROW(PLE.lastrow)-ROW(PLE.firstrow))),0,IF(OFFSET(PLE!$G$14,$M312,CG$13)="",10^12,OFFSET(PLE!$G$14,$M312,CG$13))))</f>
        <v>1000000000000</v>
      </c>
      <c r="CH312" s="216">
        <f ca="1">IF($D312&lt;&gt;"Serviço",0,IF(OR(AND(AUTOEVENTO="Manual",$M312=1),$M312&gt;(ROW(PLE.lastrow)-ROW(PLE.firstrow))),0,IF(OFFSET(PLE!$G$14,$M312,CH$13)="",10^12,OFFSET(PLE!$G$14,$M312,CH$13))))</f>
        <v>1000000000000</v>
      </c>
      <c r="CI312" s="216">
        <f ca="1">IF($D312&lt;&gt;"Serviço",0,IF(OR(AND(AUTOEVENTO="Manual",$M312=1),$M312&gt;(ROW(PLE.lastrow)-ROW(PLE.firstrow))),0,IF(OFFSET(PLE!$G$14,$M312,CI$13)="",10^12,OFFSET(PLE!$G$14,$M312,CI$13))))</f>
        <v>1000000000000</v>
      </c>
      <c r="CJ312" s="216">
        <f ca="1">IF($D312&lt;&gt;"Serviço",0,IF(OR(AND(AUTOEVENTO="Manual",$M312=1),$M312&gt;(ROW(PLE.lastrow)-ROW(PLE.firstrow))),0,IF(OFFSET(PLE!$G$14,$M312,CJ$13)="",10^12,OFFSET(PLE!$G$14,$M312,CJ$13))))</f>
        <v>1000000000000</v>
      </c>
      <c r="CK312" s="216">
        <f ca="1">IF($D312&lt;&gt;"Serviço",0,IF(OR(AND(AUTOEVENTO="Manual",$M312=1),$M312&gt;(ROW(PLE.lastrow)-ROW(PLE.firstrow))),0,IF(OFFSET(PLE!$G$14,$M312,CK$13)="",10^12,OFFSET(PLE!$G$14,$M312,CK$13))))</f>
        <v>1000000000000</v>
      </c>
      <c r="CL312" s="216">
        <f ca="1">IF($D312&lt;&gt;"Serviço",0,IF(OR(AND(AUTOEVENTO="Manual",$M312=1),$M312&gt;(ROW(PLE.lastrow)-ROW(PLE.firstrow))),0,IF(OFFSET(PLE!$G$14,$M312,CL$13)="",10^12,OFFSET(PLE!$G$14,$M312,CL$13))))</f>
        <v>1000000000000</v>
      </c>
      <c r="CM312" s="216">
        <f ca="1">IF($D312&lt;&gt;"Serviço",0,IF(OR(AND(AUTOEVENTO="Manual",$M312=1),$M312&gt;(ROW(PLE.lastrow)-ROW(PLE.firstrow))),0,IF(OFFSET(PLE!$G$14,$M312,CM$13)="",10^12,OFFSET(PLE!$G$14,$M312,CM$13))))</f>
        <v>1000000000000</v>
      </c>
    </row>
    <row r="313" spans="1:91" ht="13.2" x14ac:dyDescent="0.25">
      <c r="A313" s="9">
        <f t="shared" ca="1" si="13"/>
        <v>0</v>
      </c>
      <c r="B313" s="9" t="str">
        <f ca="1">OFFSET(ORÇAMENTO!C$15,ROW(B313)-ROW(B$15),0)</f>
        <v>S</v>
      </c>
      <c r="C313" s="9" t="str">
        <f ca="1">OFFSET(ORÇAMENTO!L$15,ROW(C313)-ROW(C$15),0)</f>
        <v/>
      </c>
      <c r="D313" s="145" t="str">
        <f ca="1">OFFSET(ORÇAMENTO!N$15,ROW(D313)-ROW(D$15),0)</f>
        <v>Serviço</v>
      </c>
      <c r="E313" s="205" t="str">
        <f ca="1">OFFSET(ORÇAMENTO!O$15,ROW(E313)-ROW(E$15),0)</f>
        <v>-</v>
      </c>
      <c r="F313" s="206" t="str">
        <f ca="1">OFFSET(ORÇAMENTO!R$15,ROW(F313)-ROW(F$15),0)</f>
        <v>(abra o arquivo 'Referência 05-2024.xls)</v>
      </c>
      <c r="G313" s="207" t="str">
        <f ca="1">IF($D313&lt;&gt;"Serviço","",OFFSET(ORÇAMENTO!S$15,ROW(G313)-ROW(G$15),0))</f>
        <v>-</v>
      </c>
      <c r="H313" s="151">
        <f ca="1">IF($D313&lt;&gt;"Serviço",0,IF(ACOMPANHAMENTO="BM",ROUND(OFFSET(ORÇAMENTO!AJ$15,ROW(H313)-ROW(H$15),0),15-13*ORÇAMENTO!$AF$7),SUMPRODUCT(($Q$12:$AI$12&lt;&gt;"")*ROUND($Q313:$AI313,15-13*ORÇAMENTO!$AF$7))))</f>
        <v>14</v>
      </c>
      <c r="I313" s="650"/>
      <c r="K313" s="208"/>
      <c r="L313" s="209" t="s">
        <v>257</v>
      </c>
      <c r="M313" s="210">
        <f ca="1">IF($D313&lt;&gt;"Serviço","",IF(AUTOEVENTO="manual",$A313,IF(ISERROR(MATCH($A313,$A$15:OFFSET($A313,-1,0),0)),MAX($M$15:OFFSET(M313,-1,0))+1,INDEX($M$15:OFFSET(M313,-1,0),MATCH($A313,$A$15:OFFSET($A313,-1,0),0)))))</f>
        <v>0</v>
      </c>
      <c r="N313" s="211" t="str">
        <f ca="1">IF($D313&lt;&gt;"Serviço","",IF(AUTOEVENTO="Manual",IF($A313=0,"&lt;-- defina o número do agrupador",OFFSET(EVENTOS!$D$14,$A313,0)),OFFSET($F$15,$A313,0)))</f>
        <v>&lt;-- defina o número do agrupador</v>
      </c>
      <c r="O313" s="212"/>
      <c r="Q313" s="212"/>
      <c r="R313" s="213"/>
      <c r="S313" s="213"/>
      <c r="T313" s="213"/>
      <c r="U313" s="213"/>
      <c r="V313" s="213"/>
      <c r="W313" s="213"/>
      <c r="X313" s="213"/>
      <c r="Y313" s="213"/>
      <c r="Z313" s="214"/>
      <c r="AA313" s="213"/>
      <c r="AB313" s="213"/>
      <c r="AC313" s="213"/>
      <c r="AD313" s="213"/>
      <c r="AE313" s="213"/>
      <c r="AF313" s="213"/>
      <c r="AG313" s="213"/>
      <c r="AH313" s="214"/>
      <c r="AJ313" s="631">
        <f ca="1">IF(AND($D313="Serviço",AJ$12&lt;&gt;0,$H313&gt;0,OR(AUTOEVENTO&lt;&gt;"manual",$M313&lt;&gt;1)),ROUND(OFFSET($P313,0,AJ$13),15-13*ORÇAMENTO!$AF$7)/$H313*OFFSET(ORÇAMENTO!$X$15,ROW(AJ313)-ROW(AJ$15),0),0)</f>
        <v>0</v>
      </c>
      <c r="AK313" s="632">
        <f ca="1">IF(AND($D313="Serviço",AK$12&lt;&gt;0,$H313&gt;0,OR(AUTOEVENTO&lt;&gt;"manual",$M313&lt;&gt;1)),ROUND(OFFSET($P313,0,AK$13),15-13*ORÇAMENTO!$AF$7)/$H313*OFFSET(ORÇAMENTO!$X$15,ROW(AK313)-ROW(AK$15),0),0)</f>
        <v>0</v>
      </c>
      <c r="AL313" s="632">
        <f ca="1">IF(AND($D313="Serviço",AL$12&lt;&gt;0,$H313&gt;0,OR(AUTOEVENTO&lt;&gt;"manual",$M313&lt;&gt;1)),ROUND(OFFSET($P313,0,AL$13),15-13*ORÇAMENTO!$AF$7)/$H313*OFFSET(ORÇAMENTO!$X$15,ROW(AL313)-ROW(AL$15),0),0)</f>
        <v>0</v>
      </c>
      <c r="AM313" s="632">
        <f ca="1">IF(AND($D313="Serviço",AM$12&lt;&gt;0,$H313&gt;0,OR(AUTOEVENTO&lt;&gt;"manual",$M313&lt;&gt;1)),ROUND(OFFSET($P313,0,AM$13),15-13*ORÇAMENTO!$AF$7)/$H313*OFFSET(ORÇAMENTO!$X$15,ROW(AM313)-ROW(AM$15),0),0)</f>
        <v>0</v>
      </c>
      <c r="AN313" s="632">
        <f ca="1">IF(AND($D313="Serviço",AN$12&lt;&gt;0,$H313&gt;0,OR(AUTOEVENTO&lt;&gt;"manual",$M313&lt;&gt;1)),ROUND(OFFSET($P313,0,AN$13),15-13*ORÇAMENTO!$AF$7)/$H313*OFFSET(ORÇAMENTO!$X$15,ROW(AN313)-ROW(AN$15),0),0)</f>
        <v>0</v>
      </c>
      <c r="AO313" s="632">
        <f ca="1">IF(AND($D313="Serviço",AO$12&lt;&gt;0,$H313&gt;0,OR(AUTOEVENTO&lt;&gt;"manual",$M313&lt;&gt;1)),ROUND(OFFSET($P313,0,AO$13),15-13*ORÇAMENTO!$AF$7)/$H313*OFFSET(ORÇAMENTO!$X$15,ROW(AO313)-ROW(AO$15),0),0)</f>
        <v>0</v>
      </c>
      <c r="AP313" s="632">
        <f ca="1">IF(AND($D313="Serviço",AP$12&lt;&gt;0,$H313&gt;0,OR(AUTOEVENTO&lt;&gt;"manual",$M313&lt;&gt;1)),ROUND(OFFSET($P313,0,AP$13),15-13*ORÇAMENTO!$AF$7)/$H313*OFFSET(ORÇAMENTO!$X$15,ROW(AP313)-ROW(AP$15),0),0)</f>
        <v>0</v>
      </c>
      <c r="AQ313" s="632">
        <f ca="1">IF(AND($D313="Serviço",AQ$12&lt;&gt;0,$H313&gt;0,OR(AUTOEVENTO&lt;&gt;"manual",$M313&lt;&gt;1)),ROUND(OFFSET($P313,0,AQ$13),15-13*ORÇAMENTO!$AF$7)/$H313*OFFSET(ORÇAMENTO!$X$15,ROW(AQ313)-ROW(AQ$15),0),0)</f>
        <v>0</v>
      </c>
      <c r="AR313" s="632">
        <f ca="1">IF(AND($D313="Serviço",AR$12&lt;&gt;0,$H313&gt;0,OR(AUTOEVENTO&lt;&gt;"manual",$M313&lt;&gt;1)),ROUND(OFFSET($P313,0,AR$13),15-13*ORÇAMENTO!$AF$7)/$H313*OFFSET(ORÇAMENTO!$X$15,ROW(AR313)-ROW(AR$15),0),0)</f>
        <v>0</v>
      </c>
      <c r="AS313" s="633">
        <f ca="1">IF(AND($D313="Serviço",AS$12&lt;&gt;0,$H313&gt;0,OR(AUTOEVENTO&lt;&gt;"manual",$M313&lt;&gt;1)),ROUND(OFFSET($P313,0,AS$13),15-13*ORÇAMENTO!$AF$7)/$H313*OFFSET(ORÇAMENTO!$X$15,ROW(AS313)-ROW(AS$15),0),0)</f>
        <v>0</v>
      </c>
      <c r="AT313" s="632">
        <f ca="1">IF(AND($D313="Serviço",AT$12&lt;&gt;0,$H313&gt;0,OR(AUTOEVENTO&lt;&gt;"manual",$M313&lt;&gt;1)),ROUND(OFFSET($P313,0,AT$13),15-13*ORÇAMENTO!$AF$7)/$H313*OFFSET(ORÇAMENTO!$X$15,ROW(AT313)-ROW(AT$15),0),0)</f>
        <v>0</v>
      </c>
      <c r="AU313" s="632">
        <f ca="1">IF(AND($D313="Serviço",AU$12&lt;&gt;0,$H313&gt;0,OR(AUTOEVENTO&lt;&gt;"manual",$M313&lt;&gt;1)),ROUND(OFFSET($P313,0,AU$13),15-13*ORÇAMENTO!$AF$7)/$H313*OFFSET(ORÇAMENTO!$X$15,ROW(AU313)-ROW(AU$15),0),0)</f>
        <v>0</v>
      </c>
      <c r="AV313" s="632">
        <f ca="1">IF(AND($D313="Serviço",AV$12&lt;&gt;0,$H313&gt;0,OR(AUTOEVENTO&lt;&gt;"manual",$M313&lt;&gt;1)),ROUND(OFFSET($P313,0,AV$13),15-13*ORÇAMENTO!$AF$7)/$H313*OFFSET(ORÇAMENTO!$X$15,ROW(AV313)-ROW(AV$15),0),0)</f>
        <v>0</v>
      </c>
      <c r="AW313" s="632">
        <f ca="1">IF(AND($D313="Serviço",AW$12&lt;&gt;0,$H313&gt;0,OR(AUTOEVENTO&lt;&gt;"manual",$M313&lt;&gt;1)),ROUND(OFFSET($P313,0,AW$13),15-13*ORÇAMENTO!$AF$7)/$H313*OFFSET(ORÇAMENTO!$X$15,ROW(AW313)-ROW(AW$15),0),0)</f>
        <v>0</v>
      </c>
      <c r="AX313" s="632">
        <f ca="1">IF(AND($D313="Serviço",AX$12&lt;&gt;0,$H313&gt;0,OR(AUTOEVENTO&lt;&gt;"manual",$M313&lt;&gt;1)),ROUND(OFFSET($P313,0,AX$13),15-13*ORÇAMENTO!$AF$7)/$H313*OFFSET(ORÇAMENTO!$X$15,ROW(AX313)-ROW(AX$15),0),0)</f>
        <v>0</v>
      </c>
      <c r="AY313" s="632">
        <f ca="1">IF(AND($D313="Serviço",AY$12&lt;&gt;0,$H313&gt;0,OR(AUTOEVENTO&lt;&gt;"manual",$M313&lt;&gt;1)),ROUND(OFFSET($P313,0,AY$13),15-13*ORÇAMENTO!$AF$7)/$H313*OFFSET(ORÇAMENTO!$X$15,ROW(AY313)-ROW(AY$15),0),0)</f>
        <v>0</v>
      </c>
      <c r="AZ313" s="632">
        <f ca="1">IF(AND($D313="Serviço",AZ$12&lt;&gt;0,$H313&gt;0,OR(AUTOEVENTO&lt;&gt;"manual",$M313&lt;&gt;1)),ROUND(OFFSET($P313,0,AZ$13),15-13*ORÇAMENTO!$AF$7)/$H313*OFFSET(ORÇAMENTO!$X$15,ROW(AZ313)-ROW(AZ$15),0),0)</f>
        <v>0</v>
      </c>
      <c r="BA313" s="633">
        <f ca="1">IF(AND($D313="Serviço",BA$12&lt;&gt;0,$H313&gt;0,OR(AUTOEVENTO&lt;&gt;"manual",$M313&lt;&gt;1)),ROUND(OFFSET($P313,0,BA$13),15-13*ORÇAMENTO!$AF$7)/$H313*OFFSET(ORÇAMENTO!$X$15,ROW(BA313)-ROW(BA$15),0),0)</f>
        <v>0</v>
      </c>
      <c r="BC313" s="215">
        <f ca="1">IF($D313&lt;&gt;"Serviço",0,IF(AND(AUTOEVENTO="Manual",$M313=1),0,IF(OFFSET(CRONOPLE!$F$14,$M313,BC$13)="",10^12,OFFSET(CRONOPLE!$F$14,$M313,BC$13))))</f>
        <v>1000000000000</v>
      </c>
      <c r="BD313" s="215">
        <f ca="1">IF($D313&lt;&gt;"Serviço",0,IF(AND(AUTOEVENTO="Manual",$M313=1),0,IF(OFFSET(CRONOPLE!$F$14,$M313,BD$13)="",10^12,OFFSET(CRONOPLE!$F$14,$M313,BD$13))))</f>
        <v>1000000000000</v>
      </c>
      <c r="BE313" s="215">
        <f ca="1">IF($D313&lt;&gt;"Serviço",0,IF(AND(AUTOEVENTO="Manual",$M313=1),0,IF(OFFSET(CRONOPLE!$F$14,$M313,BE$13)="",10^12,OFFSET(CRONOPLE!$F$14,$M313,BE$13))))</f>
        <v>1000000000000</v>
      </c>
      <c r="BF313" s="215">
        <f ca="1">IF($D313&lt;&gt;"Serviço",0,IF(AND(AUTOEVENTO="Manual",$M313=1),0,IF(OFFSET(CRONOPLE!$F$14,$M313,BF$13)="",10^12,OFFSET(CRONOPLE!$F$14,$M313,BF$13))))</f>
        <v>1000000000000</v>
      </c>
      <c r="BG313" s="215">
        <f ca="1">IF($D313&lt;&gt;"Serviço",0,IF(AND(AUTOEVENTO="Manual",$M313=1),0,IF(OFFSET(CRONOPLE!$F$14,$M313,BG$13)="",10^12,OFFSET(CRONOPLE!$F$14,$M313,BG$13))))</f>
        <v>1000000000000</v>
      </c>
      <c r="BH313" s="215">
        <f ca="1">IF($D313&lt;&gt;"Serviço",0,IF(AND(AUTOEVENTO="Manual",$M313=1),0,IF(OFFSET(CRONOPLE!$F$14,$M313,BH$13)="",10^12,OFFSET(CRONOPLE!$F$14,$M313,BH$13))))</f>
        <v>1000000000000</v>
      </c>
      <c r="BI313" s="215">
        <f ca="1">IF($D313&lt;&gt;"Serviço",0,IF(AND(AUTOEVENTO="Manual",$M313=1),0,IF(OFFSET(CRONOPLE!$F$14,$M313,BI$13)="",10^12,OFFSET(CRONOPLE!$F$14,$M313,BI$13))))</f>
        <v>1000000000000</v>
      </c>
      <c r="BJ313" s="215">
        <f ca="1">IF($D313&lt;&gt;"Serviço",0,IF(AND(AUTOEVENTO="Manual",$M313=1),0,IF(OFFSET(CRONOPLE!$F$14,$M313,BJ$13)="",10^12,OFFSET(CRONOPLE!$F$14,$M313,BJ$13))))</f>
        <v>1000000000000</v>
      </c>
      <c r="BK313" s="215">
        <f ca="1">IF($D313&lt;&gt;"Serviço",0,IF(AND(AUTOEVENTO="Manual",$M313=1),0,IF(OFFSET(CRONOPLE!$F$14,$M313,BK$13)="",10^12,OFFSET(CRONOPLE!$F$14,$M313,BK$13))))</f>
        <v>1000000000000</v>
      </c>
      <c r="BL313" s="215">
        <f ca="1">IF($D313&lt;&gt;"Serviço",0,IF(AND(AUTOEVENTO="Manual",$M313=1),0,IF(OFFSET(CRONOPLE!$F$14,$M313,BL$13)="",10^12,OFFSET(CRONOPLE!$F$14,$M313,BL$13))))</f>
        <v>1000000000000</v>
      </c>
      <c r="BM313" s="215">
        <f ca="1">IF($D313&lt;&gt;"Serviço",0,IF(AND(AUTOEVENTO="Manual",$M313=1),0,IF(OFFSET(CRONOPLE!$F$14,$M313,BM$13)="",10^12,OFFSET(CRONOPLE!$F$14,$M313,BM$13))))</f>
        <v>1000000000000</v>
      </c>
      <c r="BN313" s="215">
        <f ca="1">IF($D313&lt;&gt;"Serviço",0,IF(AND(AUTOEVENTO="Manual",$M313=1),0,IF(OFFSET(CRONOPLE!$F$14,$M313,BN$13)="",10^12,OFFSET(CRONOPLE!$F$14,$M313,BN$13))))</f>
        <v>1000000000000</v>
      </c>
      <c r="BO313" s="215">
        <f ca="1">IF($D313&lt;&gt;"Serviço",0,IF(AND(AUTOEVENTO="Manual",$M313=1),0,IF(OFFSET(CRONOPLE!$F$14,$M313,BO$13)="",10^12,OFFSET(CRONOPLE!$F$14,$M313,BO$13))))</f>
        <v>1000000000000</v>
      </c>
      <c r="BP313" s="215">
        <f ca="1">IF($D313&lt;&gt;"Serviço",0,IF(AND(AUTOEVENTO="Manual",$M313=1),0,IF(OFFSET(CRONOPLE!$F$14,$M313,BP$13)="",10^12,OFFSET(CRONOPLE!$F$14,$M313,BP$13))))</f>
        <v>1000000000000</v>
      </c>
      <c r="BQ313" s="215">
        <f ca="1">IF($D313&lt;&gt;"Serviço",0,IF(AND(AUTOEVENTO="Manual",$M313=1),0,IF(OFFSET(CRONOPLE!$F$14,$M313,BQ$13)="",10^12,OFFSET(CRONOPLE!$F$14,$M313,BQ$13))))</f>
        <v>1000000000000</v>
      </c>
      <c r="BR313" s="215">
        <f ca="1">IF($D313&lt;&gt;"Serviço",0,IF(AND(AUTOEVENTO="Manual",$M313=1),0,IF(OFFSET(CRONOPLE!$F$14,$M313,BR$13)="",10^12,OFFSET(CRONOPLE!$F$14,$M313,BR$13))))</f>
        <v>1000000000000</v>
      </c>
      <c r="BS313" s="215">
        <f ca="1">IF($D313&lt;&gt;"Serviço",0,IF(AND(AUTOEVENTO="Manual",$M313=1),0,IF(OFFSET(CRONOPLE!$F$14,$M313,BS$13)="",10^12,OFFSET(CRONOPLE!$F$14,$M313,BS$13))))</f>
        <v>1000000000000</v>
      </c>
      <c r="BT313" s="215">
        <f ca="1">IF($D313&lt;&gt;"Serviço",0,IF(AND(AUTOEVENTO="Manual",$M313=1),0,IF(OFFSET(CRONOPLE!$F$14,$M313,BT$13)="",10^12,OFFSET(CRONOPLE!$F$14,$M313,BT$13))))</f>
        <v>1000000000000</v>
      </c>
      <c r="BV313" s="216">
        <f ca="1">IF($D313&lt;&gt;"Serviço",0,IF(OR(AND(AUTOEVENTO="Manual",$M313=1),$M313&gt;(ROW(PLE.lastrow)-ROW(PLE.firstrow))),0,IF(OFFSET(PLE!$G$14,$M313,BV$13)="",10^12,OFFSET(PLE!$G$14,$M313,BV$13))))</f>
        <v>1000000000000</v>
      </c>
      <c r="BW313" s="216">
        <f ca="1">IF($D313&lt;&gt;"Serviço",0,IF(OR(AND(AUTOEVENTO="Manual",$M313=1),$M313&gt;(ROW(PLE.lastrow)-ROW(PLE.firstrow))),0,IF(OFFSET(PLE!$G$14,$M313,BW$13)="",10^12,OFFSET(PLE!$G$14,$M313,BW$13))))</f>
        <v>1000000000000</v>
      </c>
      <c r="BX313" s="216">
        <f ca="1">IF($D313&lt;&gt;"Serviço",0,IF(OR(AND(AUTOEVENTO="Manual",$M313=1),$M313&gt;(ROW(PLE.lastrow)-ROW(PLE.firstrow))),0,IF(OFFSET(PLE!$G$14,$M313,BX$13)="",10^12,OFFSET(PLE!$G$14,$M313,BX$13))))</f>
        <v>1000000000000</v>
      </c>
      <c r="BY313" s="216">
        <f ca="1">IF($D313&lt;&gt;"Serviço",0,IF(OR(AND(AUTOEVENTO="Manual",$M313=1),$M313&gt;(ROW(PLE.lastrow)-ROW(PLE.firstrow))),0,IF(OFFSET(PLE!$G$14,$M313,BY$13)="",10^12,OFFSET(PLE!$G$14,$M313,BY$13))))</f>
        <v>1000000000000</v>
      </c>
      <c r="BZ313" s="216">
        <f ca="1">IF($D313&lt;&gt;"Serviço",0,IF(OR(AND(AUTOEVENTO="Manual",$M313=1),$M313&gt;(ROW(PLE.lastrow)-ROW(PLE.firstrow))),0,IF(OFFSET(PLE!$G$14,$M313,BZ$13)="",10^12,OFFSET(PLE!$G$14,$M313,BZ$13))))</f>
        <v>1000000000000</v>
      </c>
      <c r="CA313" s="216">
        <f ca="1">IF($D313&lt;&gt;"Serviço",0,IF(OR(AND(AUTOEVENTO="Manual",$M313=1),$M313&gt;(ROW(PLE.lastrow)-ROW(PLE.firstrow))),0,IF(OFFSET(PLE!$G$14,$M313,CA$13)="",10^12,OFFSET(PLE!$G$14,$M313,CA$13))))</f>
        <v>1000000000000</v>
      </c>
      <c r="CB313" s="216">
        <f ca="1">IF($D313&lt;&gt;"Serviço",0,IF(OR(AND(AUTOEVENTO="Manual",$M313=1),$M313&gt;(ROW(PLE.lastrow)-ROW(PLE.firstrow))),0,IF(OFFSET(PLE!$G$14,$M313,CB$13)="",10^12,OFFSET(PLE!$G$14,$M313,CB$13))))</f>
        <v>1000000000000</v>
      </c>
      <c r="CC313" s="216">
        <f ca="1">IF($D313&lt;&gt;"Serviço",0,IF(OR(AND(AUTOEVENTO="Manual",$M313=1),$M313&gt;(ROW(PLE.lastrow)-ROW(PLE.firstrow))),0,IF(OFFSET(PLE!$G$14,$M313,CC$13)="",10^12,OFFSET(PLE!$G$14,$M313,CC$13))))</f>
        <v>1000000000000</v>
      </c>
      <c r="CD313" s="216">
        <f ca="1">IF($D313&lt;&gt;"Serviço",0,IF(OR(AND(AUTOEVENTO="Manual",$M313=1),$M313&gt;(ROW(PLE.lastrow)-ROW(PLE.firstrow))),0,IF(OFFSET(PLE!$G$14,$M313,CD$13)="",10^12,OFFSET(PLE!$G$14,$M313,CD$13))))</f>
        <v>1000000000000</v>
      </c>
      <c r="CE313" s="216">
        <f ca="1">IF($D313&lt;&gt;"Serviço",0,IF(OR(AND(AUTOEVENTO="Manual",$M313=1),$M313&gt;(ROW(PLE.lastrow)-ROW(PLE.firstrow))),0,IF(OFFSET(PLE!$G$14,$M313,CE$13)="",10^12,OFFSET(PLE!$G$14,$M313,CE$13))))</f>
        <v>1000000000000</v>
      </c>
      <c r="CF313" s="216">
        <f ca="1">IF($D313&lt;&gt;"Serviço",0,IF(OR(AND(AUTOEVENTO="Manual",$M313=1),$M313&gt;(ROW(PLE.lastrow)-ROW(PLE.firstrow))),0,IF(OFFSET(PLE!$G$14,$M313,CF$13)="",10^12,OFFSET(PLE!$G$14,$M313,CF$13))))</f>
        <v>1000000000000</v>
      </c>
      <c r="CG313" s="216">
        <f ca="1">IF($D313&lt;&gt;"Serviço",0,IF(OR(AND(AUTOEVENTO="Manual",$M313=1),$M313&gt;(ROW(PLE.lastrow)-ROW(PLE.firstrow))),0,IF(OFFSET(PLE!$G$14,$M313,CG$13)="",10^12,OFFSET(PLE!$G$14,$M313,CG$13))))</f>
        <v>1000000000000</v>
      </c>
      <c r="CH313" s="216">
        <f ca="1">IF($D313&lt;&gt;"Serviço",0,IF(OR(AND(AUTOEVENTO="Manual",$M313=1),$M313&gt;(ROW(PLE.lastrow)-ROW(PLE.firstrow))),0,IF(OFFSET(PLE!$G$14,$M313,CH$13)="",10^12,OFFSET(PLE!$G$14,$M313,CH$13))))</f>
        <v>1000000000000</v>
      </c>
      <c r="CI313" s="216">
        <f ca="1">IF($D313&lt;&gt;"Serviço",0,IF(OR(AND(AUTOEVENTO="Manual",$M313=1),$M313&gt;(ROW(PLE.lastrow)-ROW(PLE.firstrow))),0,IF(OFFSET(PLE!$G$14,$M313,CI$13)="",10^12,OFFSET(PLE!$G$14,$M313,CI$13))))</f>
        <v>1000000000000</v>
      </c>
      <c r="CJ313" s="216">
        <f ca="1">IF($D313&lt;&gt;"Serviço",0,IF(OR(AND(AUTOEVENTO="Manual",$M313=1),$M313&gt;(ROW(PLE.lastrow)-ROW(PLE.firstrow))),0,IF(OFFSET(PLE!$G$14,$M313,CJ$13)="",10^12,OFFSET(PLE!$G$14,$M313,CJ$13))))</f>
        <v>1000000000000</v>
      </c>
      <c r="CK313" s="216">
        <f ca="1">IF($D313&lt;&gt;"Serviço",0,IF(OR(AND(AUTOEVENTO="Manual",$M313=1),$M313&gt;(ROW(PLE.lastrow)-ROW(PLE.firstrow))),0,IF(OFFSET(PLE!$G$14,$M313,CK$13)="",10^12,OFFSET(PLE!$G$14,$M313,CK$13))))</f>
        <v>1000000000000</v>
      </c>
      <c r="CL313" s="216">
        <f ca="1">IF($D313&lt;&gt;"Serviço",0,IF(OR(AND(AUTOEVENTO="Manual",$M313=1),$M313&gt;(ROW(PLE.lastrow)-ROW(PLE.firstrow))),0,IF(OFFSET(PLE!$G$14,$M313,CL$13)="",10^12,OFFSET(PLE!$G$14,$M313,CL$13))))</f>
        <v>1000000000000</v>
      </c>
      <c r="CM313" s="216">
        <f ca="1">IF($D313&lt;&gt;"Serviço",0,IF(OR(AND(AUTOEVENTO="Manual",$M313=1),$M313&gt;(ROW(PLE.lastrow)-ROW(PLE.firstrow))),0,IF(OFFSET(PLE!$G$14,$M313,CM$13)="",10^12,OFFSET(PLE!$G$14,$M313,CM$13))))</f>
        <v>1000000000000</v>
      </c>
    </row>
    <row r="314" spans="1:91" ht="13.2" x14ac:dyDescent="0.25">
      <c r="A314" s="9">
        <f t="shared" ca="1" si="13"/>
        <v>0</v>
      </c>
      <c r="B314" s="9" t="str">
        <f ca="1">OFFSET(ORÇAMENTO!C$15,ROW(B314)-ROW(B$15),0)</f>
        <v>S</v>
      </c>
      <c r="C314" s="9" t="str">
        <f ca="1">OFFSET(ORÇAMENTO!L$15,ROW(C314)-ROW(C$15),0)</f>
        <v/>
      </c>
      <c r="D314" s="145" t="str">
        <f ca="1">OFFSET(ORÇAMENTO!N$15,ROW(D314)-ROW(D$15),0)</f>
        <v>Serviço</v>
      </c>
      <c r="E314" s="205" t="str">
        <f ca="1">OFFSET(ORÇAMENTO!O$15,ROW(E314)-ROW(E$15),0)</f>
        <v>-</v>
      </c>
      <c r="F314" s="206" t="str">
        <f ca="1">OFFSET(ORÇAMENTO!R$15,ROW(F314)-ROW(F$15),0)</f>
        <v>(abra o arquivo 'Referência 05-2024.xls)</v>
      </c>
      <c r="G314" s="207" t="str">
        <f ca="1">IF($D314&lt;&gt;"Serviço","",OFFSET(ORÇAMENTO!S$15,ROW(G314)-ROW(G$15),0))</f>
        <v>-</v>
      </c>
      <c r="H314" s="151">
        <f ca="1">IF($D314&lt;&gt;"Serviço",0,IF(ACOMPANHAMENTO="BM",ROUND(OFFSET(ORÇAMENTO!AJ$15,ROW(H314)-ROW(H$15),0),15-13*ORÇAMENTO!$AF$7),SUMPRODUCT(($Q$12:$AI$12&lt;&gt;"")*ROUND($Q314:$AI314,15-13*ORÇAMENTO!$AF$7))))</f>
        <v>38</v>
      </c>
      <c r="I314" s="650"/>
      <c r="K314" s="208"/>
      <c r="L314" s="209" t="s">
        <v>257</v>
      </c>
      <c r="M314" s="210">
        <f ca="1">IF($D314&lt;&gt;"Serviço","",IF(AUTOEVENTO="manual",$A314,IF(ISERROR(MATCH($A314,$A$15:OFFSET($A314,-1,0),0)),MAX($M$15:OFFSET(M314,-1,0))+1,INDEX($M$15:OFFSET(M314,-1,0),MATCH($A314,$A$15:OFFSET($A314,-1,0),0)))))</f>
        <v>0</v>
      </c>
      <c r="N314" s="211" t="str">
        <f ca="1">IF($D314&lt;&gt;"Serviço","",IF(AUTOEVENTO="Manual",IF($A314=0,"&lt;-- defina o número do agrupador",OFFSET(EVENTOS!$D$14,$A314,0)),OFFSET($F$15,$A314,0)))</f>
        <v>&lt;-- defina o número do agrupador</v>
      </c>
      <c r="O314" s="212"/>
      <c r="Q314" s="212"/>
      <c r="R314" s="213"/>
      <c r="S314" s="213"/>
      <c r="T314" s="213"/>
      <c r="U314" s="213"/>
      <c r="V314" s="213"/>
      <c r="W314" s="213"/>
      <c r="X314" s="213"/>
      <c r="Y314" s="213"/>
      <c r="Z314" s="214"/>
      <c r="AA314" s="213"/>
      <c r="AB314" s="213"/>
      <c r="AC314" s="213"/>
      <c r="AD314" s="213"/>
      <c r="AE314" s="213"/>
      <c r="AF314" s="213"/>
      <c r="AG314" s="213"/>
      <c r="AH314" s="214"/>
      <c r="AJ314" s="631">
        <f ca="1">IF(AND($D314="Serviço",AJ$12&lt;&gt;0,$H314&gt;0,OR(AUTOEVENTO&lt;&gt;"manual",$M314&lt;&gt;1)),ROUND(OFFSET($P314,0,AJ$13),15-13*ORÇAMENTO!$AF$7)/$H314*OFFSET(ORÇAMENTO!$X$15,ROW(AJ314)-ROW(AJ$15),0),0)</f>
        <v>0</v>
      </c>
      <c r="AK314" s="632">
        <f ca="1">IF(AND($D314="Serviço",AK$12&lt;&gt;0,$H314&gt;0,OR(AUTOEVENTO&lt;&gt;"manual",$M314&lt;&gt;1)),ROUND(OFFSET($P314,0,AK$13),15-13*ORÇAMENTO!$AF$7)/$H314*OFFSET(ORÇAMENTO!$X$15,ROW(AK314)-ROW(AK$15),0),0)</f>
        <v>0</v>
      </c>
      <c r="AL314" s="632">
        <f ca="1">IF(AND($D314="Serviço",AL$12&lt;&gt;0,$H314&gt;0,OR(AUTOEVENTO&lt;&gt;"manual",$M314&lt;&gt;1)),ROUND(OFFSET($P314,0,AL$13),15-13*ORÇAMENTO!$AF$7)/$H314*OFFSET(ORÇAMENTO!$X$15,ROW(AL314)-ROW(AL$15),0),0)</f>
        <v>0</v>
      </c>
      <c r="AM314" s="632">
        <f ca="1">IF(AND($D314="Serviço",AM$12&lt;&gt;0,$H314&gt;0,OR(AUTOEVENTO&lt;&gt;"manual",$M314&lt;&gt;1)),ROUND(OFFSET($P314,0,AM$13),15-13*ORÇAMENTO!$AF$7)/$H314*OFFSET(ORÇAMENTO!$X$15,ROW(AM314)-ROW(AM$15),0),0)</f>
        <v>0</v>
      </c>
      <c r="AN314" s="632">
        <f ca="1">IF(AND($D314="Serviço",AN$12&lt;&gt;0,$H314&gt;0,OR(AUTOEVENTO&lt;&gt;"manual",$M314&lt;&gt;1)),ROUND(OFFSET($P314,0,AN$13),15-13*ORÇAMENTO!$AF$7)/$H314*OFFSET(ORÇAMENTO!$X$15,ROW(AN314)-ROW(AN$15),0),0)</f>
        <v>0</v>
      </c>
      <c r="AO314" s="632">
        <f ca="1">IF(AND($D314="Serviço",AO$12&lt;&gt;0,$H314&gt;0,OR(AUTOEVENTO&lt;&gt;"manual",$M314&lt;&gt;1)),ROUND(OFFSET($P314,0,AO$13),15-13*ORÇAMENTO!$AF$7)/$H314*OFFSET(ORÇAMENTO!$X$15,ROW(AO314)-ROW(AO$15),0),0)</f>
        <v>0</v>
      </c>
      <c r="AP314" s="632">
        <f ca="1">IF(AND($D314="Serviço",AP$12&lt;&gt;0,$H314&gt;0,OR(AUTOEVENTO&lt;&gt;"manual",$M314&lt;&gt;1)),ROUND(OFFSET($P314,0,AP$13),15-13*ORÇAMENTO!$AF$7)/$H314*OFFSET(ORÇAMENTO!$X$15,ROW(AP314)-ROW(AP$15),0),0)</f>
        <v>0</v>
      </c>
      <c r="AQ314" s="632">
        <f ca="1">IF(AND($D314="Serviço",AQ$12&lt;&gt;0,$H314&gt;0,OR(AUTOEVENTO&lt;&gt;"manual",$M314&lt;&gt;1)),ROUND(OFFSET($P314,0,AQ$13),15-13*ORÇAMENTO!$AF$7)/$H314*OFFSET(ORÇAMENTO!$X$15,ROW(AQ314)-ROW(AQ$15),0),0)</f>
        <v>0</v>
      </c>
      <c r="AR314" s="632">
        <f ca="1">IF(AND($D314="Serviço",AR$12&lt;&gt;0,$H314&gt;0,OR(AUTOEVENTO&lt;&gt;"manual",$M314&lt;&gt;1)),ROUND(OFFSET($P314,0,AR$13),15-13*ORÇAMENTO!$AF$7)/$H314*OFFSET(ORÇAMENTO!$X$15,ROW(AR314)-ROW(AR$15),0),0)</f>
        <v>0</v>
      </c>
      <c r="AS314" s="633">
        <f ca="1">IF(AND($D314="Serviço",AS$12&lt;&gt;0,$H314&gt;0,OR(AUTOEVENTO&lt;&gt;"manual",$M314&lt;&gt;1)),ROUND(OFFSET($P314,0,AS$13),15-13*ORÇAMENTO!$AF$7)/$H314*OFFSET(ORÇAMENTO!$X$15,ROW(AS314)-ROW(AS$15),0),0)</f>
        <v>0</v>
      </c>
      <c r="AT314" s="632">
        <f ca="1">IF(AND($D314="Serviço",AT$12&lt;&gt;0,$H314&gt;0,OR(AUTOEVENTO&lt;&gt;"manual",$M314&lt;&gt;1)),ROUND(OFFSET($P314,0,AT$13),15-13*ORÇAMENTO!$AF$7)/$H314*OFFSET(ORÇAMENTO!$X$15,ROW(AT314)-ROW(AT$15),0),0)</f>
        <v>0</v>
      </c>
      <c r="AU314" s="632">
        <f ca="1">IF(AND($D314="Serviço",AU$12&lt;&gt;0,$H314&gt;0,OR(AUTOEVENTO&lt;&gt;"manual",$M314&lt;&gt;1)),ROUND(OFFSET($P314,0,AU$13),15-13*ORÇAMENTO!$AF$7)/$H314*OFFSET(ORÇAMENTO!$X$15,ROW(AU314)-ROW(AU$15),0),0)</f>
        <v>0</v>
      </c>
      <c r="AV314" s="632">
        <f ca="1">IF(AND($D314="Serviço",AV$12&lt;&gt;0,$H314&gt;0,OR(AUTOEVENTO&lt;&gt;"manual",$M314&lt;&gt;1)),ROUND(OFFSET($P314,0,AV$13),15-13*ORÇAMENTO!$AF$7)/$H314*OFFSET(ORÇAMENTO!$X$15,ROW(AV314)-ROW(AV$15),0),0)</f>
        <v>0</v>
      </c>
      <c r="AW314" s="632">
        <f ca="1">IF(AND($D314="Serviço",AW$12&lt;&gt;0,$H314&gt;0,OR(AUTOEVENTO&lt;&gt;"manual",$M314&lt;&gt;1)),ROUND(OFFSET($P314,0,AW$13),15-13*ORÇAMENTO!$AF$7)/$H314*OFFSET(ORÇAMENTO!$X$15,ROW(AW314)-ROW(AW$15),0),0)</f>
        <v>0</v>
      </c>
      <c r="AX314" s="632">
        <f ca="1">IF(AND($D314="Serviço",AX$12&lt;&gt;0,$H314&gt;0,OR(AUTOEVENTO&lt;&gt;"manual",$M314&lt;&gt;1)),ROUND(OFFSET($P314,0,AX$13),15-13*ORÇAMENTO!$AF$7)/$H314*OFFSET(ORÇAMENTO!$X$15,ROW(AX314)-ROW(AX$15),0),0)</f>
        <v>0</v>
      </c>
      <c r="AY314" s="632">
        <f ca="1">IF(AND($D314="Serviço",AY$12&lt;&gt;0,$H314&gt;0,OR(AUTOEVENTO&lt;&gt;"manual",$M314&lt;&gt;1)),ROUND(OFFSET($P314,0,AY$13),15-13*ORÇAMENTO!$AF$7)/$H314*OFFSET(ORÇAMENTO!$X$15,ROW(AY314)-ROW(AY$15),0),0)</f>
        <v>0</v>
      </c>
      <c r="AZ314" s="632">
        <f ca="1">IF(AND($D314="Serviço",AZ$12&lt;&gt;0,$H314&gt;0,OR(AUTOEVENTO&lt;&gt;"manual",$M314&lt;&gt;1)),ROUND(OFFSET($P314,0,AZ$13),15-13*ORÇAMENTO!$AF$7)/$H314*OFFSET(ORÇAMENTO!$X$15,ROW(AZ314)-ROW(AZ$15),0),0)</f>
        <v>0</v>
      </c>
      <c r="BA314" s="633">
        <f ca="1">IF(AND($D314="Serviço",BA$12&lt;&gt;0,$H314&gt;0,OR(AUTOEVENTO&lt;&gt;"manual",$M314&lt;&gt;1)),ROUND(OFFSET($P314,0,BA$13),15-13*ORÇAMENTO!$AF$7)/$H314*OFFSET(ORÇAMENTO!$X$15,ROW(BA314)-ROW(BA$15),0),0)</f>
        <v>0</v>
      </c>
      <c r="BC314" s="215">
        <f ca="1">IF($D314&lt;&gt;"Serviço",0,IF(AND(AUTOEVENTO="Manual",$M314=1),0,IF(OFFSET(CRONOPLE!$F$14,$M314,BC$13)="",10^12,OFFSET(CRONOPLE!$F$14,$M314,BC$13))))</f>
        <v>1000000000000</v>
      </c>
      <c r="BD314" s="215">
        <f ca="1">IF($D314&lt;&gt;"Serviço",0,IF(AND(AUTOEVENTO="Manual",$M314=1),0,IF(OFFSET(CRONOPLE!$F$14,$M314,BD$13)="",10^12,OFFSET(CRONOPLE!$F$14,$M314,BD$13))))</f>
        <v>1000000000000</v>
      </c>
      <c r="BE314" s="215">
        <f ca="1">IF($D314&lt;&gt;"Serviço",0,IF(AND(AUTOEVENTO="Manual",$M314=1),0,IF(OFFSET(CRONOPLE!$F$14,$M314,BE$13)="",10^12,OFFSET(CRONOPLE!$F$14,$M314,BE$13))))</f>
        <v>1000000000000</v>
      </c>
      <c r="BF314" s="215">
        <f ca="1">IF($D314&lt;&gt;"Serviço",0,IF(AND(AUTOEVENTO="Manual",$M314=1),0,IF(OFFSET(CRONOPLE!$F$14,$M314,BF$13)="",10^12,OFFSET(CRONOPLE!$F$14,$M314,BF$13))))</f>
        <v>1000000000000</v>
      </c>
      <c r="BG314" s="215">
        <f ca="1">IF($D314&lt;&gt;"Serviço",0,IF(AND(AUTOEVENTO="Manual",$M314=1),0,IF(OFFSET(CRONOPLE!$F$14,$M314,BG$13)="",10^12,OFFSET(CRONOPLE!$F$14,$M314,BG$13))))</f>
        <v>1000000000000</v>
      </c>
      <c r="BH314" s="215">
        <f ca="1">IF($D314&lt;&gt;"Serviço",0,IF(AND(AUTOEVENTO="Manual",$M314=1),0,IF(OFFSET(CRONOPLE!$F$14,$M314,BH$13)="",10^12,OFFSET(CRONOPLE!$F$14,$M314,BH$13))))</f>
        <v>1000000000000</v>
      </c>
      <c r="BI314" s="215">
        <f ca="1">IF($D314&lt;&gt;"Serviço",0,IF(AND(AUTOEVENTO="Manual",$M314=1),0,IF(OFFSET(CRONOPLE!$F$14,$M314,BI$13)="",10^12,OFFSET(CRONOPLE!$F$14,$M314,BI$13))))</f>
        <v>1000000000000</v>
      </c>
      <c r="BJ314" s="215">
        <f ca="1">IF($D314&lt;&gt;"Serviço",0,IF(AND(AUTOEVENTO="Manual",$M314=1),0,IF(OFFSET(CRONOPLE!$F$14,$M314,BJ$13)="",10^12,OFFSET(CRONOPLE!$F$14,$M314,BJ$13))))</f>
        <v>1000000000000</v>
      </c>
      <c r="BK314" s="215">
        <f ca="1">IF($D314&lt;&gt;"Serviço",0,IF(AND(AUTOEVENTO="Manual",$M314=1),0,IF(OFFSET(CRONOPLE!$F$14,$M314,BK$13)="",10^12,OFFSET(CRONOPLE!$F$14,$M314,BK$13))))</f>
        <v>1000000000000</v>
      </c>
      <c r="BL314" s="215">
        <f ca="1">IF($D314&lt;&gt;"Serviço",0,IF(AND(AUTOEVENTO="Manual",$M314=1),0,IF(OFFSET(CRONOPLE!$F$14,$M314,BL$13)="",10^12,OFFSET(CRONOPLE!$F$14,$M314,BL$13))))</f>
        <v>1000000000000</v>
      </c>
      <c r="BM314" s="215">
        <f ca="1">IF($D314&lt;&gt;"Serviço",0,IF(AND(AUTOEVENTO="Manual",$M314=1),0,IF(OFFSET(CRONOPLE!$F$14,$M314,BM$13)="",10^12,OFFSET(CRONOPLE!$F$14,$M314,BM$13))))</f>
        <v>1000000000000</v>
      </c>
      <c r="BN314" s="215">
        <f ca="1">IF($D314&lt;&gt;"Serviço",0,IF(AND(AUTOEVENTO="Manual",$M314=1),0,IF(OFFSET(CRONOPLE!$F$14,$M314,BN$13)="",10^12,OFFSET(CRONOPLE!$F$14,$M314,BN$13))))</f>
        <v>1000000000000</v>
      </c>
      <c r="BO314" s="215">
        <f ca="1">IF($D314&lt;&gt;"Serviço",0,IF(AND(AUTOEVENTO="Manual",$M314=1),0,IF(OFFSET(CRONOPLE!$F$14,$M314,BO$13)="",10^12,OFFSET(CRONOPLE!$F$14,$M314,BO$13))))</f>
        <v>1000000000000</v>
      </c>
      <c r="BP314" s="215">
        <f ca="1">IF($D314&lt;&gt;"Serviço",0,IF(AND(AUTOEVENTO="Manual",$M314=1),0,IF(OFFSET(CRONOPLE!$F$14,$M314,BP$13)="",10^12,OFFSET(CRONOPLE!$F$14,$M314,BP$13))))</f>
        <v>1000000000000</v>
      </c>
      <c r="BQ314" s="215">
        <f ca="1">IF($D314&lt;&gt;"Serviço",0,IF(AND(AUTOEVENTO="Manual",$M314=1),0,IF(OFFSET(CRONOPLE!$F$14,$M314,BQ$13)="",10^12,OFFSET(CRONOPLE!$F$14,$M314,BQ$13))))</f>
        <v>1000000000000</v>
      </c>
      <c r="BR314" s="215">
        <f ca="1">IF($D314&lt;&gt;"Serviço",0,IF(AND(AUTOEVENTO="Manual",$M314=1),0,IF(OFFSET(CRONOPLE!$F$14,$M314,BR$13)="",10^12,OFFSET(CRONOPLE!$F$14,$M314,BR$13))))</f>
        <v>1000000000000</v>
      </c>
      <c r="BS314" s="215">
        <f ca="1">IF($D314&lt;&gt;"Serviço",0,IF(AND(AUTOEVENTO="Manual",$M314=1),0,IF(OFFSET(CRONOPLE!$F$14,$M314,BS$13)="",10^12,OFFSET(CRONOPLE!$F$14,$M314,BS$13))))</f>
        <v>1000000000000</v>
      </c>
      <c r="BT314" s="215">
        <f ca="1">IF($D314&lt;&gt;"Serviço",0,IF(AND(AUTOEVENTO="Manual",$M314=1),0,IF(OFFSET(CRONOPLE!$F$14,$M314,BT$13)="",10^12,OFFSET(CRONOPLE!$F$14,$M314,BT$13))))</f>
        <v>1000000000000</v>
      </c>
      <c r="BV314" s="216">
        <f ca="1">IF($D314&lt;&gt;"Serviço",0,IF(OR(AND(AUTOEVENTO="Manual",$M314=1),$M314&gt;(ROW(PLE.lastrow)-ROW(PLE.firstrow))),0,IF(OFFSET(PLE!$G$14,$M314,BV$13)="",10^12,OFFSET(PLE!$G$14,$M314,BV$13))))</f>
        <v>1000000000000</v>
      </c>
      <c r="BW314" s="216">
        <f ca="1">IF($D314&lt;&gt;"Serviço",0,IF(OR(AND(AUTOEVENTO="Manual",$M314=1),$M314&gt;(ROW(PLE.lastrow)-ROW(PLE.firstrow))),0,IF(OFFSET(PLE!$G$14,$M314,BW$13)="",10^12,OFFSET(PLE!$G$14,$M314,BW$13))))</f>
        <v>1000000000000</v>
      </c>
      <c r="BX314" s="216">
        <f ca="1">IF($D314&lt;&gt;"Serviço",0,IF(OR(AND(AUTOEVENTO="Manual",$M314=1),$M314&gt;(ROW(PLE.lastrow)-ROW(PLE.firstrow))),0,IF(OFFSET(PLE!$G$14,$M314,BX$13)="",10^12,OFFSET(PLE!$G$14,$M314,BX$13))))</f>
        <v>1000000000000</v>
      </c>
      <c r="BY314" s="216">
        <f ca="1">IF($D314&lt;&gt;"Serviço",0,IF(OR(AND(AUTOEVENTO="Manual",$M314=1),$M314&gt;(ROW(PLE.lastrow)-ROW(PLE.firstrow))),0,IF(OFFSET(PLE!$G$14,$M314,BY$13)="",10^12,OFFSET(PLE!$G$14,$M314,BY$13))))</f>
        <v>1000000000000</v>
      </c>
      <c r="BZ314" s="216">
        <f ca="1">IF($D314&lt;&gt;"Serviço",0,IF(OR(AND(AUTOEVENTO="Manual",$M314=1),$M314&gt;(ROW(PLE.lastrow)-ROW(PLE.firstrow))),0,IF(OFFSET(PLE!$G$14,$M314,BZ$13)="",10^12,OFFSET(PLE!$G$14,$M314,BZ$13))))</f>
        <v>1000000000000</v>
      </c>
      <c r="CA314" s="216">
        <f ca="1">IF($D314&lt;&gt;"Serviço",0,IF(OR(AND(AUTOEVENTO="Manual",$M314=1),$M314&gt;(ROW(PLE.lastrow)-ROW(PLE.firstrow))),0,IF(OFFSET(PLE!$G$14,$M314,CA$13)="",10^12,OFFSET(PLE!$G$14,$M314,CA$13))))</f>
        <v>1000000000000</v>
      </c>
      <c r="CB314" s="216">
        <f ca="1">IF($D314&lt;&gt;"Serviço",0,IF(OR(AND(AUTOEVENTO="Manual",$M314=1),$M314&gt;(ROW(PLE.lastrow)-ROW(PLE.firstrow))),0,IF(OFFSET(PLE!$G$14,$M314,CB$13)="",10^12,OFFSET(PLE!$G$14,$M314,CB$13))))</f>
        <v>1000000000000</v>
      </c>
      <c r="CC314" s="216">
        <f ca="1">IF($D314&lt;&gt;"Serviço",0,IF(OR(AND(AUTOEVENTO="Manual",$M314=1),$M314&gt;(ROW(PLE.lastrow)-ROW(PLE.firstrow))),0,IF(OFFSET(PLE!$G$14,$M314,CC$13)="",10^12,OFFSET(PLE!$G$14,$M314,CC$13))))</f>
        <v>1000000000000</v>
      </c>
      <c r="CD314" s="216">
        <f ca="1">IF($D314&lt;&gt;"Serviço",0,IF(OR(AND(AUTOEVENTO="Manual",$M314=1),$M314&gt;(ROW(PLE.lastrow)-ROW(PLE.firstrow))),0,IF(OFFSET(PLE!$G$14,$M314,CD$13)="",10^12,OFFSET(PLE!$G$14,$M314,CD$13))))</f>
        <v>1000000000000</v>
      </c>
      <c r="CE314" s="216">
        <f ca="1">IF($D314&lt;&gt;"Serviço",0,IF(OR(AND(AUTOEVENTO="Manual",$M314=1),$M314&gt;(ROW(PLE.lastrow)-ROW(PLE.firstrow))),0,IF(OFFSET(PLE!$G$14,$M314,CE$13)="",10^12,OFFSET(PLE!$G$14,$M314,CE$13))))</f>
        <v>1000000000000</v>
      </c>
      <c r="CF314" s="216">
        <f ca="1">IF($D314&lt;&gt;"Serviço",0,IF(OR(AND(AUTOEVENTO="Manual",$M314=1),$M314&gt;(ROW(PLE.lastrow)-ROW(PLE.firstrow))),0,IF(OFFSET(PLE!$G$14,$M314,CF$13)="",10^12,OFFSET(PLE!$G$14,$M314,CF$13))))</f>
        <v>1000000000000</v>
      </c>
      <c r="CG314" s="216">
        <f ca="1">IF($D314&lt;&gt;"Serviço",0,IF(OR(AND(AUTOEVENTO="Manual",$M314=1),$M314&gt;(ROW(PLE.lastrow)-ROW(PLE.firstrow))),0,IF(OFFSET(PLE!$G$14,$M314,CG$13)="",10^12,OFFSET(PLE!$G$14,$M314,CG$13))))</f>
        <v>1000000000000</v>
      </c>
      <c r="CH314" s="216">
        <f ca="1">IF($D314&lt;&gt;"Serviço",0,IF(OR(AND(AUTOEVENTO="Manual",$M314=1),$M314&gt;(ROW(PLE.lastrow)-ROW(PLE.firstrow))),0,IF(OFFSET(PLE!$G$14,$M314,CH$13)="",10^12,OFFSET(PLE!$G$14,$M314,CH$13))))</f>
        <v>1000000000000</v>
      </c>
      <c r="CI314" s="216">
        <f ca="1">IF($D314&lt;&gt;"Serviço",0,IF(OR(AND(AUTOEVENTO="Manual",$M314=1),$M314&gt;(ROW(PLE.lastrow)-ROW(PLE.firstrow))),0,IF(OFFSET(PLE!$G$14,$M314,CI$13)="",10^12,OFFSET(PLE!$G$14,$M314,CI$13))))</f>
        <v>1000000000000</v>
      </c>
      <c r="CJ314" s="216">
        <f ca="1">IF($D314&lt;&gt;"Serviço",0,IF(OR(AND(AUTOEVENTO="Manual",$M314=1),$M314&gt;(ROW(PLE.lastrow)-ROW(PLE.firstrow))),0,IF(OFFSET(PLE!$G$14,$M314,CJ$13)="",10^12,OFFSET(PLE!$G$14,$M314,CJ$13))))</f>
        <v>1000000000000</v>
      </c>
      <c r="CK314" s="216">
        <f ca="1">IF($D314&lt;&gt;"Serviço",0,IF(OR(AND(AUTOEVENTO="Manual",$M314=1),$M314&gt;(ROW(PLE.lastrow)-ROW(PLE.firstrow))),0,IF(OFFSET(PLE!$G$14,$M314,CK$13)="",10^12,OFFSET(PLE!$G$14,$M314,CK$13))))</f>
        <v>1000000000000</v>
      </c>
      <c r="CL314" s="216">
        <f ca="1">IF($D314&lt;&gt;"Serviço",0,IF(OR(AND(AUTOEVENTO="Manual",$M314=1),$M314&gt;(ROW(PLE.lastrow)-ROW(PLE.firstrow))),0,IF(OFFSET(PLE!$G$14,$M314,CL$13)="",10^12,OFFSET(PLE!$G$14,$M314,CL$13))))</f>
        <v>1000000000000</v>
      </c>
      <c r="CM314" s="216">
        <f ca="1">IF($D314&lt;&gt;"Serviço",0,IF(OR(AND(AUTOEVENTO="Manual",$M314=1),$M314&gt;(ROW(PLE.lastrow)-ROW(PLE.firstrow))),0,IF(OFFSET(PLE!$G$14,$M314,CM$13)="",10^12,OFFSET(PLE!$G$14,$M314,CM$13))))</f>
        <v>1000000000000</v>
      </c>
    </row>
    <row r="315" spans="1:91" ht="13.2" x14ac:dyDescent="0.25">
      <c r="A315" s="9">
        <f t="shared" ca="1" si="13"/>
        <v>0</v>
      </c>
      <c r="B315" s="9" t="str">
        <f ca="1">OFFSET(ORÇAMENTO!C$15,ROW(B315)-ROW(B$15),0)</f>
        <v>S</v>
      </c>
      <c r="C315" s="9" t="str">
        <f ca="1">OFFSET(ORÇAMENTO!L$15,ROW(C315)-ROW(C$15),0)</f>
        <v/>
      </c>
      <c r="D315" s="145" t="str">
        <f ca="1">OFFSET(ORÇAMENTO!N$15,ROW(D315)-ROW(D$15),0)</f>
        <v>Serviço</v>
      </c>
      <c r="E315" s="205" t="str">
        <f ca="1">OFFSET(ORÇAMENTO!O$15,ROW(E315)-ROW(E$15),0)</f>
        <v>-</v>
      </c>
      <c r="F315" s="206" t="str">
        <f ca="1">OFFSET(ORÇAMENTO!R$15,ROW(F315)-ROW(F$15),0)</f>
        <v>(abra o arquivo 'Referência 05-2024.xls)</v>
      </c>
      <c r="G315" s="207" t="str">
        <f ca="1">IF($D315&lt;&gt;"Serviço","",OFFSET(ORÇAMENTO!S$15,ROW(G315)-ROW(G$15),0))</f>
        <v>-</v>
      </c>
      <c r="H315" s="151">
        <f ca="1">IF($D315&lt;&gt;"Serviço",0,IF(ACOMPANHAMENTO="BM",ROUND(OFFSET(ORÇAMENTO!AJ$15,ROW(H315)-ROW(H$15),0),15-13*ORÇAMENTO!$AF$7),SUMPRODUCT(($Q$12:$AI$12&lt;&gt;"")*ROUND($Q315:$AI315,15-13*ORÇAMENTO!$AF$7))))</f>
        <v>10</v>
      </c>
      <c r="I315" s="650"/>
      <c r="K315" s="208"/>
      <c r="L315" s="209" t="s">
        <v>257</v>
      </c>
      <c r="M315" s="210">
        <f ca="1">IF($D315&lt;&gt;"Serviço","",IF(AUTOEVENTO="manual",$A315,IF(ISERROR(MATCH($A315,$A$15:OFFSET($A315,-1,0),0)),MAX($M$15:OFFSET(M315,-1,0))+1,INDEX($M$15:OFFSET(M315,-1,0),MATCH($A315,$A$15:OFFSET($A315,-1,0),0)))))</f>
        <v>0</v>
      </c>
      <c r="N315" s="211" t="str">
        <f ca="1">IF($D315&lt;&gt;"Serviço","",IF(AUTOEVENTO="Manual",IF($A315=0,"&lt;-- defina o número do agrupador",OFFSET(EVENTOS!$D$14,$A315,0)),OFFSET($F$15,$A315,0)))</f>
        <v>&lt;-- defina o número do agrupador</v>
      </c>
      <c r="O315" s="212"/>
      <c r="Q315" s="212"/>
      <c r="R315" s="213"/>
      <c r="S315" s="213"/>
      <c r="T315" s="213"/>
      <c r="U315" s="213"/>
      <c r="V315" s="213"/>
      <c r="W315" s="213"/>
      <c r="X315" s="213"/>
      <c r="Y315" s="213"/>
      <c r="Z315" s="214"/>
      <c r="AA315" s="213"/>
      <c r="AB315" s="213"/>
      <c r="AC315" s="213"/>
      <c r="AD315" s="213"/>
      <c r="AE315" s="213"/>
      <c r="AF315" s="213"/>
      <c r="AG315" s="213"/>
      <c r="AH315" s="214"/>
      <c r="AJ315" s="631">
        <f ca="1">IF(AND($D315="Serviço",AJ$12&lt;&gt;0,$H315&gt;0,OR(AUTOEVENTO&lt;&gt;"manual",$M315&lt;&gt;1)),ROUND(OFFSET($P315,0,AJ$13),15-13*ORÇAMENTO!$AF$7)/$H315*OFFSET(ORÇAMENTO!$X$15,ROW(AJ315)-ROW(AJ$15),0),0)</f>
        <v>0</v>
      </c>
      <c r="AK315" s="632">
        <f ca="1">IF(AND($D315="Serviço",AK$12&lt;&gt;0,$H315&gt;0,OR(AUTOEVENTO&lt;&gt;"manual",$M315&lt;&gt;1)),ROUND(OFFSET($P315,0,AK$13),15-13*ORÇAMENTO!$AF$7)/$H315*OFFSET(ORÇAMENTO!$X$15,ROW(AK315)-ROW(AK$15),0),0)</f>
        <v>0</v>
      </c>
      <c r="AL315" s="632">
        <f ca="1">IF(AND($D315="Serviço",AL$12&lt;&gt;0,$H315&gt;0,OR(AUTOEVENTO&lt;&gt;"manual",$M315&lt;&gt;1)),ROUND(OFFSET($P315,0,AL$13),15-13*ORÇAMENTO!$AF$7)/$H315*OFFSET(ORÇAMENTO!$X$15,ROW(AL315)-ROW(AL$15),0),0)</f>
        <v>0</v>
      </c>
      <c r="AM315" s="632">
        <f ca="1">IF(AND($D315="Serviço",AM$12&lt;&gt;0,$H315&gt;0,OR(AUTOEVENTO&lt;&gt;"manual",$M315&lt;&gt;1)),ROUND(OFFSET($P315,0,AM$13),15-13*ORÇAMENTO!$AF$7)/$H315*OFFSET(ORÇAMENTO!$X$15,ROW(AM315)-ROW(AM$15),0),0)</f>
        <v>0</v>
      </c>
      <c r="AN315" s="632">
        <f ca="1">IF(AND($D315="Serviço",AN$12&lt;&gt;0,$H315&gt;0,OR(AUTOEVENTO&lt;&gt;"manual",$M315&lt;&gt;1)),ROUND(OFFSET($P315,0,AN$13),15-13*ORÇAMENTO!$AF$7)/$H315*OFFSET(ORÇAMENTO!$X$15,ROW(AN315)-ROW(AN$15),0),0)</f>
        <v>0</v>
      </c>
      <c r="AO315" s="632">
        <f ca="1">IF(AND($D315="Serviço",AO$12&lt;&gt;0,$H315&gt;0,OR(AUTOEVENTO&lt;&gt;"manual",$M315&lt;&gt;1)),ROUND(OFFSET($P315,0,AO$13),15-13*ORÇAMENTO!$AF$7)/$H315*OFFSET(ORÇAMENTO!$X$15,ROW(AO315)-ROW(AO$15),0),0)</f>
        <v>0</v>
      </c>
      <c r="AP315" s="632">
        <f ca="1">IF(AND($D315="Serviço",AP$12&lt;&gt;0,$H315&gt;0,OR(AUTOEVENTO&lt;&gt;"manual",$M315&lt;&gt;1)),ROUND(OFFSET($P315,0,AP$13),15-13*ORÇAMENTO!$AF$7)/$H315*OFFSET(ORÇAMENTO!$X$15,ROW(AP315)-ROW(AP$15),0),0)</f>
        <v>0</v>
      </c>
      <c r="AQ315" s="632">
        <f ca="1">IF(AND($D315="Serviço",AQ$12&lt;&gt;0,$H315&gt;0,OR(AUTOEVENTO&lt;&gt;"manual",$M315&lt;&gt;1)),ROUND(OFFSET($P315,0,AQ$13),15-13*ORÇAMENTO!$AF$7)/$H315*OFFSET(ORÇAMENTO!$X$15,ROW(AQ315)-ROW(AQ$15),0),0)</f>
        <v>0</v>
      </c>
      <c r="AR315" s="632">
        <f ca="1">IF(AND($D315="Serviço",AR$12&lt;&gt;0,$H315&gt;0,OR(AUTOEVENTO&lt;&gt;"manual",$M315&lt;&gt;1)),ROUND(OFFSET($P315,0,AR$13),15-13*ORÇAMENTO!$AF$7)/$H315*OFFSET(ORÇAMENTO!$X$15,ROW(AR315)-ROW(AR$15),0),0)</f>
        <v>0</v>
      </c>
      <c r="AS315" s="633">
        <f ca="1">IF(AND($D315="Serviço",AS$12&lt;&gt;0,$H315&gt;0,OR(AUTOEVENTO&lt;&gt;"manual",$M315&lt;&gt;1)),ROUND(OFFSET($P315,0,AS$13),15-13*ORÇAMENTO!$AF$7)/$H315*OFFSET(ORÇAMENTO!$X$15,ROW(AS315)-ROW(AS$15),0),0)</f>
        <v>0</v>
      </c>
      <c r="AT315" s="632">
        <f ca="1">IF(AND($D315="Serviço",AT$12&lt;&gt;0,$H315&gt;0,OR(AUTOEVENTO&lt;&gt;"manual",$M315&lt;&gt;1)),ROUND(OFFSET($P315,0,AT$13),15-13*ORÇAMENTO!$AF$7)/$H315*OFFSET(ORÇAMENTO!$X$15,ROW(AT315)-ROW(AT$15),0),0)</f>
        <v>0</v>
      </c>
      <c r="AU315" s="632">
        <f ca="1">IF(AND($D315="Serviço",AU$12&lt;&gt;0,$H315&gt;0,OR(AUTOEVENTO&lt;&gt;"manual",$M315&lt;&gt;1)),ROUND(OFFSET($P315,0,AU$13),15-13*ORÇAMENTO!$AF$7)/$H315*OFFSET(ORÇAMENTO!$X$15,ROW(AU315)-ROW(AU$15),0),0)</f>
        <v>0</v>
      </c>
      <c r="AV315" s="632">
        <f ca="1">IF(AND($D315="Serviço",AV$12&lt;&gt;0,$H315&gt;0,OR(AUTOEVENTO&lt;&gt;"manual",$M315&lt;&gt;1)),ROUND(OFFSET($P315,0,AV$13),15-13*ORÇAMENTO!$AF$7)/$H315*OFFSET(ORÇAMENTO!$X$15,ROW(AV315)-ROW(AV$15),0),0)</f>
        <v>0</v>
      </c>
      <c r="AW315" s="632">
        <f ca="1">IF(AND($D315="Serviço",AW$12&lt;&gt;0,$H315&gt;0,OR(AUTOEVENTO&lt;&gt;"manual",$M315&lt;&gt;1)),ROUND(OFFSET($P315,0,AW$13),15-13*ORÇAMENTO!$AF$7)/$H315*OFFSET(ORÇAMENTO!$X$15,ROW(AW315)-ROW(AW$15),0),0)</f>
        <v>0</v>
      </c>
      <c r="AX315" s="632">
        <f ca="1">IF(AND($D315="Serviço",AX$12&lt;&gt;0,$H315&gt;0,OR(AUTOEVENTO&lt;&gt;"manual",$M315&lt;&gt;1)),ROUND(OFFSET($P315,0,AX$13),15-13*ORÇAMENTO!$AF$7)/$H315*OFFSET(ORÇAMENTO!$X$15,ROW(AX315)-ROW(AX$15),0),0)</f>
        <v>0</v>
      </c>
      <c r="AY315" s="632">
        <f ca="1">IF(AND($D315="Serviço",AY$12&lt;&gt;0,$H315&gt;0,OR(AUTOEVENTO&lt;&gt;"manual",$M315&lt;&gt;1)),ROUND(OFFSET($P315,0,AY$13),15-13*ORÇAMENTO!$AF$7)/$H315*OFFSET(ORÇAMENTO!$X$15,ROW(AY315)-ROW(AY$15),0),0)</f>
        <v>0</v>
      </c>
      <c r="AZ315" s="632">
        <f ca="1">IF(AND($D315="Serviço",AZ$12&lt;&gt;0,$H315&gt;0,OR(AUTOEVENTO&lt;&gt;"manual",$M315&lt;&gt;1)),ROUND(OFFSET($P315,0,AZ$13),15-13*ORÇAMENTO!$AF$7)/$H315*OFFSET(ORÇAMENTO!$X$15,ROW(AZ315)-ROW(AZ$15),0),0)</f>
        <v>0</v>
      </c>
      <c r="BA315" s="633">
        <f ca="1">IF(AND($D315="Serviço",BA$12&lt;&gt;0,$H315&gt;0,OR(AUTOEVENTO&lt;&gt;"manual",$M315&lt;&gt;1)),ROUND(OFFSET($P315,0,BA$13),15-13*ORÇAMENTO!$AF$7)/$H315*OFFSET(ORÇAMENTO!$X$15,ROW(BA315)-ROW(BA$15),0),0)</f>
        <v>0</v>
      </c>
      <c r="BC315" s="215">
        <f ca="1">IF($D315&lt;&gt;"Serviço",0,IF(AND(AUTOEVENTO="Manual",$M315=1),0,IF(OFFSET(CRONOPLE!$F$14,$M315,BC$13)="",10^12,OFFSET(CRONOPLE!$F$14,$M315,BC$13))))</f>
        <v>1000000000000</v>
      </c>
      <c r="BD315" s="215">
        <f ca="1">IF($D315&lt;&gt;"Serviço",0,IF(AND(AUTOEVENTO="Manual",$M315=1),0,IF(OFFSET(CRONOPLE!$F$14,$M315,BD$13)="",10^12,OFFSET(CRONOPLE!$F$14,$M315,BD$13))))</f>
        <v>1000000000000</v>
      </c>
      <c r="BE315" s="215">
        <f ca="1">IF($D315&lt;&gt;"Serviço",0,IF(AND(AUTOEVENTO="Manual",$M315=1),0,IF(OFFSET(CRONOPLE!$F$14,$M315,BE$13)="",10^12,OFFSET(CRONOPLE!$F$14,$M315,BE$13))))</f>
        <v>1000000000000</v>
      </c>
      <c r="BF315" s="215">
        <f ca="1">IF($D315&lt;&gt;"Serviço",0,IF(AND(AUTOEVENTO="Manual",$M315=1),0,IF(OFFSET(CRONOPLE!$F$14,$M315,BF$13)="",10^12,OFFSET(CRONOPLE!$F$14,$M315,BF$13))))</f>
        <v>1000000000000</v>
      </c>
      <c r="BG315" s="215">
        <f ca="1">IF($D315&lt;&gt;"Serviço",0,IF(AND(AUTOEVENTO="Manual",$M315=1),0,IF(OFFSET(CRONOPLE!$F$14,$M315,BG$13)="",10^12,OFFSET(CRONOPLE!$F$14,$M315,BG$13))))</f>
        <v>1000000000000</v>
      </c>
      <c r="BH315" s="215">
        <f ca="1">IF($D315&lt;&gt;"Serviço",0,IF(AND(AUTOEVENTO="Manual",$M315=1),0,IF(OFFSET(CRONOPLE!$F$14,$M315,BH$13)="",10^12,OFFSET(CRONOPLE!$F$14,$M315,BH$13))))</f>
        <v>1000000000000</v>
      </c>
      <c r="BI315" s="215">
        <f ca="1">IF($D315&lt;&gt;"Serviço",0,IF(AND(AUTOEVENTO="Manual",$M315=1),0,IF(OFFSET(CRONOPLE!$F$14,$M315,BI$13)="",10^12,OFFSET(CRONOPLE!$F$14,$M315,BI$13))))</f>
        <v>1000000000000</v>
      </c>
      <c r="BJ315" s="215">
        <f ca="1">IF($D315&lt;&gt;"Serviço",0,IF(AND(AUTOEVENTO="Manual",$M315=1),0,IF(OFFSET(CRONOPLE!$F$14,$M315,BJ$13)="",10^12,OFFSET(CRONOPLE!$F$14,$M315,BJ$13))))</f>
        <v>1000000000000</v>
      </c>
      <c r="BK315" s="215">
        <f ca="1">IF($D315&lt;&gt;"Serviço",0,IF(AND(AUTOEVENTO="Manual",$M315=1),0,IF(OFFSET(CRONOPLE!$F$14,$M315,BK$13)="",10^12,OFFSET(CRONOPLE!$F$14,$M315,BK$13))))</f>
        <v>1000000000000</v>
      </c>
      <c r="BL315" s="215">
        <f ca="1">IF($D315&lt;&gt;"Serviço",0,IF(AND(AUTOEVENTO="Manual",$M315=1),0,IF(OFFSET(CRONOPLE!$F$14,$M315,BL$13)="",10^12,OFFSET(CRONOPLE!$F$14,$M315,BL$13))))</f>
        <v>1000000000000</v>
      </c>
      <c r="BM315" s="215">
        <f ca="1">IF($D315&lt;&gt;"Serviço",0,IF(AND(AUTOEVENTO="Manual",$M315=1),0,IF(OFFSET(CRONOPLE!$F$14,$M315,BM$13)="",10^12,OFFSET(CRONOPLE!$F$14,$M315,BM$13))))</f>
        <v>1000000000000</v>
      </c>
      <c r="BN315" s="215">
        <f ca="1">IF($D315&lt;&gt;"Serviço",0,IF(AND(AUTOEVENTO="Manual",$M315=1),0,IF(OFFSET(CRONOPLE!$F$14,$M315,BN$13)="",10^12,OFFSET(CRONOPLE!$F$14,$M315,BN$13))))</f>
        <v>1000000000000</v>
      </c>
      <c r="BO315" s="215">
        <f ca="1">IF($D315&lt;&gt;"Serviço",0,IF(AND(AUTOEVENTO="Manual",$M315=1),0,IF(OFFSET(CRONOPLE!$F$14,$M315,BO$13)="",10^12,OFFSET(CRONOPLE!$F$14,$M315,BO$13))))</f>
        <v>1000000000000</v>
      </c>
      <c r="BP315" s="215">
        <f ca="1">IF($D315&lt;&gt;"Serviço",0,IF(AND(AUTOEVENTO="Manual",$M315=1),0,IF(OFFSET(CRONOPLE!$F$14,$M315,BP$13)="",10^12,OFFSET(CRONOPLE!$F$14,$M315,BP$13))))</f>
        <v>1000000000000</v>
      </c>
      <c r="BQ315" s="215">
        <f ca="1">IF($D315&lt;&gt;"Serviço",0,IF(AND(AUTOEVENTO="Manual",$M315=1),0,IF(OFFSET(CRONOPLE!$F$14,$M315,BQ$13)="",10^12,OFFSET(CRONOPLE!$F$14,$M315,BQ$13))))</f>
        <v>1000000000000</v>
      </c>
      <c r="BR315" s="215">
        <f ca="1">IF($D315&lt;&gt;"Serviço",0,IF(AND(AUTOEVENTO="Manual",$M315=1),0,IF(OFFSET(CRONOPLE!$F$14,$M315,BR$13)="",10^12,OFFSET(CRONOPLE!$F$14,$M315,BR$13))))</f>
        <v>1000000000000</v>
      </c>
      <c r="BS315" s="215">
        <f ca="1">IF($D315&lt;&gt;"Serviço",0,IF(AND(AUTOEVENTO="Manual",$M315=1),0,IF(OFFSET(CRONOPLE!$F$14,$M315,BS$13)="",10^12,OFFSET(CRONOPLE!$F$14,$M315,BS$13))))</f>
        <v>1000000000000</v>
      </c>
      <c r="BT315" s="215">
        <f ca="1">IF($D315&lt;&gt;"Serviço",0,IF(AND(AUTOEVENTO="Manual",$M315=1),0,IF(OFFSET(CRONOPLE!$F$14,$M315,BT$13)="",10^12,OFFSET(CRONOPLE!$F$14,$M315,BT$13))))</f>
        <v>1000000000000</v>
      </c>
      <c r="BV315" s="216">
        <f ca="1">IF($D315&lt;&gt;"Serviço",0,IF(OR(AND(AUTOEVENTO="Manual",$M315=1),$M315&gt;(ROW(PLE.lastrow)-ROW(PLE.firstrow))),0,IF(OFFSET(PLE!$G$14,$M315,BV$13)="",10^12,OFFSET(PLE!$G$14,$M315,BV$13))))</f>
        <v>1000000000000</v>
      </c>
      <c r="BW315" s="216">
        <f ca="1">IF($D315&lt;&gt;"Serviço",0,IF(OR(AND(AUTOEVENTO="Manual",$M315=1),$M315&gt;(ROW(PLE.lastrow)-ROW(PLE.firstrow))),0,IF(OFFSET(PLE!$G$14,$M315,BW$13)="",10^12,OFFSET(PLE!$G$14,$M315,BW$13))))</f>
        <v>1000000000000</v>
      </c>
      <c r="BX315" s="216">
        <f ca="1">IF($D315&lt;&gt;"Serviço",0,IF(OR(AND(AUTOEVENTO="Manual",$M315=1),$M315&gt;(ROW(PLE.lastrow)-ROW(PLE.firstrow))),0,IF(OFFSET(PLE!$G$14,$M315,BX$13)="",10^12,OFFSET(PLE!$G$14,$M315,BX$13))))</f>
        <v>1000000000000</v>
      </c>
      <c r="BY315" s="216">
        <f ca="1">IF($D315&lt;&gt;"Serviço",0,IF(OR(AND(AUTOEVENTO="Manual",$M315=1),$M315&gt;(ROW(PLE.lastrow)-ROW(PLE.firstrow))),0,IF(OFFSET(PLE!$G$14,$M315,BY$13)="",10^12,OFFSET(PLE!$G$14,$M315,BY$13))))</f>
        <v>1000000000000</v>
      </c>
      <c r="BZ315" s="216">
        <f ca="1">IF($D315&lt;&gt;"Serviço",0,IF(OR(AND(AUTOEVENTO="Manual",$M315=1),$M315&gt;(ROW(PLE.lastrow)-ROW(PLE.firstrow))),0,IF(OFFSET(PLE!$G$14,$M315,BZ$13)="",10^12,OFFSET(PLE!$G$14,$M315,BZ$13))))</f>
        <v>1000000000000</v>
      </c>
      <c r="CA315" s="216">
        <f ca="1">IF($D315&lt;&gt;"Serviço",0,IF(OR(AND(AUTOEVENTO="Manual",$M315=1),$M315&gt;(ROW(PLE.lastrow)-ROW(PLE.firstrow))),0,IF(OFFSET(PLE!$G$14,$M315,CA$13)="",10^12,OFFSET(PLE!$G$14,$M315,CA$13))))</f>
        <v>1000000000000</v>
      </c>
      <c r="CB315" s="216">
        <f ca="1">IF($D315&lt;&gt;"Serviço",0,IF(OR(AND(AUTOEVENTO="Manual",$M315=1),$M315&gt;(ROW(PLE.lastrow)-ROW(PLE.firstrow))),0,IF(OFFSET(PLE!$G$14,$M315,CB$13)="",10^12,OFFSET(PLE!$G$14,$M315,CB$13))))</f>
        <v>1000000000000</v>
      </c>
      <c r="CC315" s="216">
        <f ca="1">IF($D315&lt;&gt;"Serviço",0,IF(OR(AND(AUTOEVENTO="Manual",$M315=1),$M315&gt;(ROW(PLE.lastrow)-ROW(PLE.firstrow))),0,IF(OFFSET(PLE!$G$14,$M315,CC$13)="",10^12,OFFSET(PLE!$G$14,$M315,CC$13))))</f>
        <v>1000000000000</v>
      </c>
      <c r="CD315" s="216">
        <f ca="1">IF($D315&lt;&gt;"Serviço",0,IF(OR(AND(AUTOEVENTO="Manual",$M315=1),$M315&gt;(ROW(PLE.lastrow)-ROW(PLE.firstrow))),0,IF(OFFSET(PLE!$G$14,$M315,CD$13)="",10^12,OFFSET(PLE!$G$14,$M315,CD$13))))</f>
        <v>1000000000000</v>
      </c>
      <c r="CE315" s="216">
        <f ca="1">IF($D315&lt;&gt;"Serviço",0,IF(OR(AND(AUTOEVENTO="Manual",$M315=1),$M315&gt;(ROW(PLE.lastrow)-ROW(PLE.firstrow))),0,IF(OFFSET(PLE!$G$14,$M315,CE$13)="",10^12,OFFSET(PLE!$G$14,$M315,CE$13))))</f>
        <v>1000000000000</v>
      </c>
      <c r="CF315" s="216">
        <f ca="1">IF($D315&lt;&gt;"Serviço",0,IF(OR(AND(AUTOEVENTO="Manual",$M315=1),$M315&gt;(ROW(PLE.lastrow)-ROW(PLE.firstrow))),0,IF(OFFSET(PLE!$G$14,$M315,CF$13)="",10^12,OFFSET(PLE!$G$14,$M315,CF$13))))</f>
        <v>1000000000000</v>
      </c>
      <c r="CG315" s="216">
        <f ca="1">IF($D315&lt;&gt;"Serviço",0,IF(OR(AND(AUTOEVENTO="Manual",$M315=1),$M315&gt;(ROW(PLE.lastrow)-ROW(PLE.firstrow))),0,IF(OFFSET(PLE!$G$14,$M315,CG$13)="",10^12,OFFSET(PLE!$G$14,$M315,CG$13))))</f>
        <v>1000000000000</v>
      </c>
      <c r="CH315" s="216">
        <f ca="1">IF($D315&lt;&gt;"Serviço",0,IF(OR(AND(AUTOEVENTO="Manual",$M315=1),$M315&gt;(ROW(PLE.lastrow)-ROW(PLE.firstrow))),0,IF(OFFSET(PLE!$G$14,$M315,CH$13)="",10^12,OFFSET(PLE!$G$14,$M315,CH$13))))</f>
        <v>1000000000000</v>
      </c>
      <c r="CI315" s="216">
        <f ca="1">IF($D315&lt;&gt;"Serviço",0,IF(OR(AND(AUTOEVENTO="Manual",$M315=1),$M315&gt;(ROW(PLE.lastrow)-ROW(PLE.firstrow))),0,IF(OFFSET(PLE!$G$14,$M315,CI$13)="",10^12,OFFSET(PLE!$G$14,$M315,CI$13))))</f>
        <v>1000000000000</v>
      </c>
      <c r="CJ315" s="216">
        <f ca="1">IF($D315&lt;&gt;"Serviço",0,IF(OR(AND(AUTOEVENTO="Manual",$M315=1),$M315&gt;(ROW(PLE.lastrow)-ROW(PLE.firstrow))),0,IF(OFFSET(PLE!$G$14,$M315,CJ$13)="",10^12,OFFSET(PLE!$G$14,$M315,CJ$13))))</f>
        <v>1000000000000</v>
      </c>
      <c r="CK315" s="216">
        <f ca="1">IF($D315&lt;&gt;"Serviço",0,IF(OR(AND(AUTOEVENTO="Manual",$M315=1),$M315&gt;(ROW(PLE.lastrow)-ROW(PLE.firstrow))),0,IF(OFFSET(PLE!$G$14,$M315,CK$13)="",10^12,OFFSET(PLE!$G$14,$M315,CK$13))))</f>
        <v>1000000000000</v>
      </c>
      <c r="CL315" s="216">
        <f ca="1">IF($D315&lt;&gt;"Serviço",0,IF(OR(AND(AUTOEVENTO="Manual",$M315=1),$M315&gt;(ROW(PLE.lastrow)-ROW(PLE.firstrow))),0,IF(OFFSET(PLE!$G$14,$M315,CL$13)="",10^12,OFFSET(PLE!$G$14,$M315,CL$13))))</f>
        <v>1000000000000</v>
      </c>
      <c r="CM315" s="216">
        <f ca="1">IF($D315&lt;&gt;"Serviço",0,IF(OR(AND(AUTOEVENTO="Manual",$M315=1),$M315&gt;(ROW(PLE.lastrow)-ROW(PLE.firstrow))),0,IF(OFFSET(PLE!$G$14,$M315,CM$13)="",10^12,OFFSET(PLE!$G$14,$M315,CM$13))))</f>
        <v>1000000000000</v>
      </c>
    </row>
    <row r="316" spans="1:91" ht="13.2" x14ac:dyDescent="0.25">
      <c r="A316" s="9">
        <f t="shared" ca="1" si="13"/>
        <v>0</v>
      </c>
      <c r="B316" s="9" t="str">
        <f ca="1">OFFSET(ORÇAMENTO!C$15,ROW(B316)-ROW(B$15),0)</f>
        <v>S</v>
      </c>
      <c r="C316" s="9" t="str">
        <f ca="1">OFFSET(ORÇAMENTO!L$15,ROW(C316)-ROW(C$15),0)</f>
        <v/>
      </c>
      <c r="D316" s="145" t="str">
        <f ca="1">OFFSET(ORÇAMENTO!N$15,ROW(D316)-ROW(D$15),0)</f>
        <v>Serviço</v>
      </c>
      <c r="E316" s="205" t="str">
        <f ca="1">OFFSET(ORÇAMENTO!O$15,ROW(E316)-ROW(E$15),0)</f>
        <v>-</v>
      </c>
      <c r="F316" s="206" t="str">
        <f ca="1">OFFSET(ORÇAMENTO!R$15,ROW(F316)-ROW(F$15),0)</f>
        <v>(abra o arquivo 'Referência 05-2024.xls)</v>
      </c>
      <c r="G316" s="207" t="str">
        <f ca="1">IF($D316&lt;&gt;"Serviço","",OFFSET(ORÇAMENTO!S$15,ROW(G316)-ROW(G$15),0))</f>
        <v>-</v>
      </c>
      <c r="H316" s="151">
        <f ca="1">IF($D316&lt;&gt;"Serviço",0,IF(ACOMPANHAMENTO="BM",ROUND(OFFSET(ORÇAMENTO!AJ$15,ROW(H316)-ROW(H$15),0),15-13*ORÇAMENTO!$AF$7),SUMPRODUCT(($Q$12:$AI$12&lt;&gt;"")*ROUND($Q316:$AI316,15-13*ORÇAMENTO!$AF$7))))</f>
        <v>3</v>
      </c>
      <c r="I316" s="650"/>
      <c r="K316" s="208"/>
      <c r="L316" s="209" t="s">
        <v>257</v>
      </c>
      <c r="M316" s="210">
        <f ca="1">IF($D316&lt;&gt;"Serviço","",IF(AUTOEVENTO="manual",$A316,IF(ISERROR(MATCH($A316,$A$15:OFFSET($A316,-1,0),0)),MAX($M$15:OFFSET(M316,-1,0))+1,INDEX($M$15:OFFSET(M316,-1,0),MATCH($A316,$A$15:OFFSET($A316,-1,0),0)))))</f>
        <v>0</v>
      </c>
      <c r="N316" s="211" t="str">
        <f ca="1">IF($D316&lt;&gt;"Serviço","",IF(AUTOEVENTO="Manual",IF($A316=0,"&lt;-- defina o número do agrupador",OFFSET(EVENTOS!$D$14,$A316,0)),OFFSET($F$15,$A316,0)))</f>
        <v>&lt;-- defina o número do agrupador</v>
      </c>
      <c r="O316" s="212"/>
      <c r="Q316" s="212"/>
      <c r="R316" s="213"/>
      <c r="S316" s="213"/>
      <c r="T316" s="213"/>
      <c r="U316" s="213"/>
      <c r="V316" s="213"/>
      <c r="W316" s="213"/>
      <c r="X316" s="213"/>
      <c r="Y316" s="213"/>
      <c r="Z316" s="214"/>
      <c r="AA316" s="213"/>
      <c r="AB316" s="213"/>
      <c r="AC316" s="213"/>
      <c r="AD316" s="213"/>
      <c r="AE316" s="213"/>
      <c r="AF316" s="213"/>
      <c r="AG316" s="213"/>
      <c r="AH316" s="214"/>
      <c r="AJ316" s="631">
        <f ca="1">IF(AND($D316="Serviço",AJ$12&lt;&gt;0,$H316&gt;0,OR(AUTOEVENTO&lt;&gt;"manual",$M316&lt;&gt;1)),ROUND(OFFSET($P316,0,AJ$13),15-13*ORÇAMENTO!$AF$7)/$H316*OFFSET(ORÇAMENTO!$X$15,ROW(AJ316)-ROW(AJ$15),0),0)</f>
        <v>0</v>
      </c>
      <c r="AK316" s="632">
        <f ca="1">IF(AND($D316="Serviço",AK$12&lt;&gt;0,$H316&gt;0,OR(AUTOEVENTO&lt;&gt;"manual",$M316&lt;&gt;1)),ROUND(OFFSET($P316,0,AK$13),15-13*ORÇAMENTO!$AF$7)/$H316*OFFSET(ORÇAMENTO!$X$15,ROW(AK316)-ROW(AK$15),0),0)</f>
        <v>0</v>
      </c>
      <c r="AL316" s="632">
        <f ca="1">IF(AND($D316="Serviço",AL$12&lt;&gt;0,$H316&gt;0,OR(AUTOEVENTO&lt;&gt;"manual",$M316&lt;&gt;1)),ROUND(OFFSET($P316,0,AL$13),15-13*ORÇAMENTO!$AF$7)/$H316*OFFSET(ORÇAMENTO!$X$15,ROW(AL316)-ROW(AL$15),0),0)</f>
        <v>0</v>
      </c>
      <c r="AM316" s="632">
        <f ca="1">IF(AND($D316="Serviço",AM$12&lt;&gt;0,$H316&gt;0,OR(AUTOEVENTO&lt;&gt;"manual",$M316&lt;&gt;1)),ROUND(OFFSET($P316,0,AM$13),15-13*ORÇAMENTO!$AF$7)/$H316*OFFSET(ORÇAMENTO!$X$15,ROW(AM316)-ROW(AM$15),0),0)</f>
        <v>0</v>
      </c>
      <c r="AN316" s="632">
        <f ca="1">IF(AND($D316="Serviço",AN$12&lt;&gt;0,$H316&gt;0,OR(AUTOEVENTO&lt;&gt;"manual",$M316&lt;&gt;1)),ROUND(OFFSET($P316,0,AN$13),15-13*ORÇAMENTO!$AF$7)/$H316*OFFSET(ORÇAMENTO!$X$15,ROW(AN316)-ROW(AN$15),0),0)</f>
        <v>0</v>
      </c>
      <c r="AO316" s="632">
        <f ca="1">IF(AND($D316="Serviço",AO$12&lt;&gt;0,$H316&gt;0,OR(AUTOEVENTO&lt;&gt;"manual",$M316&lt;&gt;1)),ROUND(OFFSET($P316,0,AO$13),15-13*ORÇAMENTO!$AF$7)/$H316*OFFSET(ORÇAMENTO!$X$15,ROW(AO316)-ROW(AO$15),0),0)</f>
        <v>0</v>
      </c>
      <c r="AP316" s="632">
        <f ca="1">IF(AND($D316="Serviço",AP$12&lt;&gt;0,$H316&gt;0,OR(AUTOEVENTO&lt;&gt;"manual",$M316&lt;&gt;1)),ROUND(OFFSET($P316,0,AP$13),15-13*ORÇAMENTO!$AF$7)/$H316*OFFSET(ORÇAMENTO!$X$15,ROW(AP316)-ROW(AP$15),0),0)</f>
        <v>0</v>
      </c>
      <c r="AQ316" s="632">
        <f ca="1">IF(AND($D316="Serviço",AQ$12&lt;&gt;0,$H316&gt;0,OR(AUTOEVENTO&lt;&gt;"manual",$M316&lt;&gt;1)),ROUND(OFFSET($P316,0,AQ$13),15-13*ORÇAMENTO!$AF$7)/$H316*OFFSET(ORÇAMENTO!$X$15,ROW(AQ316)-ROW(AQ$15),0),0)</f>
        <v>0</v>
      </c>
      <c r="AR316" s="632">
        <f ca="1">IF(AND($D316="Serviço",AR$12&lt;&gt;0,$H316&gt;0,OR(AUTOEVENTO&lt;&gt;"manual",$M316&lt;&gt;1)),ROUND(OFFSET($P316,0,AR$13),15-13*ORÇAMENTO!$AF$7)/$H316*OFFSET(ORÇAMENTO!$X$15,ROW(AR316)-ROW(AR$15),0),0)</f>
        <v>0</v>
      </c>
      <c r="AS316" s="633">
        <f ca="1">IF(AND($D316="Serviço",AS$12&lt;&gt;0,$H316&gt;0,OR(AUTOEVENTO&lt;&gt;"manual",$M316&lt;&gt;1)),ROUND(OFFSET($P316,0,AS$13),15-13*ORÇAMENTO!$AF$7)/$H316*OFFSET(ORÇAMENTO!$X$15,ROW(AS316)-ROW(AS$15),0),0)</f>
        <v>0</v>
      </c>
      <c r="AT316" s="632">
        <f ca="1">IF(AND($D316="Serviço",AT$12&lt;&gt;0,$H316&gt;0,OR(AUTOEVENTO&lt;&gt;"manual",$M316&lt;&gt;1)),ROUND(OFFSET($P316,0,AT$13),15-13*ORÇAMENTO!$AF$7)/$H316*OFFSET(ORÇAMENTO!$X$15,ROW(AT316)-ROW(AT$15),0),0)</f>
        <v>0</v>
      </c>
      <c r="AU316" s="632">
        <f ca="1">IF(AND($D316="Serviço",AU$12&lt;&gt;0,$H316&gt;0,OR(AUTOEVENTO&lt;&gt;"manual",$M316&lt;&gt;1)),ROUND(OFFSET($P316,0,AU$13),15-13*ORÇAMENTO!$AF$7)/$H316*OFFSET(ORÇAMENTO!$X$15,ROW(AU316)-ROW(AU$15),0),0)</f>
        <v>0</v>
      </c>
      <c r="AV316" s="632">
        <f ca="1">IF(AND($D316="Serviço",AV$12&lt;&gt;0,$H316&gt;0,OR(AUTOEVENTO&lt;&gt;"manual",$M316&lt;&gt;1)),ROUND(OFFSET($P316,0,AV$13),15-13*ORÇAMENTO!$AF$7)/$H316*OFFSET(ORÇAMENTO!$X$15,ROW(AV316)-ROW(AV$15),0),0)</f>
        <v>0</v>
      </c>
      <c r="AW316" s="632">
        <f ca="1">IF(AND($D316="Serviço",AW$12&lt;&gt;0,$H316&gt;0,OR(AUTOEVENTO&lt;&gt;"manual",$M316&lt;&gt;1)),ROUND(OFFSET($P316,0,AW$13),15-13*ORÇAMENTO!$AF$7)/$H316*OFFSET(ORÇAMENTO!$X$15,ROW(AW316)-ROW(AW$15),0),0)</f>
        <v>0</v>
      </c>
      <c r="AX316" s="632">
        <f ca="1">IF(AND($D316="Serviço",AX$12&lt;&gt;0,$H316&gt;0,OR(AUTOEVENTO&lt;&gt;"manual",$M316&lt;&gt;1)),ROUND(OFFSET($P316,0,AX$13),15-13*ORÇAMENTO!$AF$7)/$H316*OFFSET(ORÇAMENTO!$X$15,ROW(AX316)-ROW(AX$15),0),0)</f>
        <v>0</v>
      </c>
      <c r="AY316" s="632">
        <f ca="1">IF(AND($D316="Serviço",AY$12&lt;&gt;0,$H316&gt;0,OR(AUTOEVENTO&lt;&gt;"manual",$M316&lt;&gt;1)),ROUND(OFFSET($P316,0,AY$13),15-13*ORÇAMENTO!$AF$7)/$H316*OFFSET(ORÇAMENTO!$X$15,ROW(AY316)-ROW(AY$15),0),0)</f>
        <v>0</v>
      </c>
      <c r="AZ316" s="632">
        <f ca="1">IF(AND($D316="Serviço",AZ$12&lt;&gt;0,$H316&gt;0,OR(AUTOEVENTO&lt;&gt;"manual",$M316&lt;&gt;1)),ROUND(OFFSET($P316,0,AZ$13),15-13*ORÇAMENTO!$AF$7)/$H316*OFFSET(ORÇAMENTO!$X$15,ROW(AZ316)-ROW(AZ$15),0),0)</f>
        <v>0</v>
      </c>
      <c r="BA316" s="633">
        <f ca="1">IF(AND($D316="Serviço",BA$12&lt;&gt;0,$H316&gt;0,OR(AUTOEVENTO&lt;&gt;"manual",$M316&lt;&gt;1)),ROUND(OFFSET($P316,0,BA$13),15-13*ORÇAMENTO!$AF$7)/$H316*OFFSET(ORÇAMENTO!$X$15,ROW(BA316)-ROW(BA$15),0),0)</f>
        <v>0</v>
      </c>
      <c r="BC316" s="215">
        <f ca="1">IF($D316&lt;&gt;"Serviço",0,IF(AND(AUTOEVENTO="Manual",$M316=1),0,IF(OFFSET(CRONOPLE!$F$14,$M316,BC$13)="",10^12,OFFSET(CRONOPLE!$F$14,$M316,BC$13))))</f>
        <v>1000000000000</v>
      </c>
      <c r="BD316" s="215">
        <f ca="1">IF($D316&lt;&gt;"Serviço",0,IF(AND(AUTOEVENTO="Manual",$M316=1),0,IF(OFFSET(CRONOPLE!$F$14,$M316,BD$13)="",10^12,OFFSET(CRONOPLE!$F$14,$M316,BD$13))))</f>
        <v>1000000000000</v>
      </c>
      <c r="BE316" s="215">
        <f ca="1">IF($D316&lt;&gt;"Serviço",0,IF(AND(AUTOEVENTO="Manual",$M316=1),0,IF(OFFSET(CRONOPLE!$F$14,$M316,BE$13)="",10^12,OFFSET(CRONOPLE!$F$14,$M316,BE$13))))</f>
        <v>1000000000000</v>
      </c>
      <c r="BF316" s="215">
        <f ca="1">IF($D316&lt;&gt;"Serviço",0,IF(AND(AUTOEVENTO="Manual",$M316=1),0,IF(OFFSET(CRONOPLE!$F$14,$M316,BF$13)="",10^12,OFFSET(CRONOPLE!$F$14,$M316,BF$13))))</f>
        <v>1000000000000</v>
      </c>
      <c r="BG316" s="215">
        <f ca="1">IF($D316&lt;&gt;"Serviço",0,IF(AND(AUTOEVENTO="Manual",$M316=1),0,IF(OFFSET(CRONOPLE!$F$14,$M316,BG$13)="",10^12,OFFSET(CRONOPLE!$F$14,$M316,BG$13))))</f>
        <v>1000000000000</v>
      </c>
      <c r="BH316" s="215">
        <f ca="1">IF($D316&lt;&gt;"Serviço",0,IF(AND(AUTOEVENTO="Manual",$M316=1),0,IF(OFFSET(CRONOPLE!$F$14,$M316,BH$13)="",10^12,OFFSET(CRONOPLE!$F$14,$M316,BH$13))))</f>
        <v>1000000000000</v>
      </c>
      <c r="BI316" s="215">
        <f ca="1">IF($D316&lt;&gt;"Serviço",0,IF(AND(AUTOEVENTO="Manual",$M316=1),0,IF(OFFSET(CRONOPLE!$F$14,$M316,BI$13)="",10^12,OFFSET(CRONOPLE!$F$14,$M316,BI$13))))</f>
        <v>1000000000000</v>
      </c>
      <c r="BJ316" s="215">
        <f ca="1">IF($D316&lt;&gt;"Serviço",0,IF(AND(AUTOEVENTO="Manual",$M316=1),0,IF(OFFSET(CRONOPLE!$F$14,$M316,BJ$13)="",10^12,OFFSET(CRONOPLE!$F$14,$M316,BJ$13))))</f>
        <v>1000000000000</v>
      </c>
      <c r="BK316" s="215">
        <f ca="1">IF($D316&lt;&gt;"Serviço",0,IF(AND(AUTOEVENTO="Manual",$M316=1),0,IF(OFFSET(CRONOPLE!$F$14,$M316,BK$13)="",10^12,OFFSET(CRONOPLE!$F$14,$M316,BK$13))))</f>
        <v>1000000000000</v>
      </c>
      <c r="BL316" s="215">
        <f ca="1">IF($D316&lt;&gt;"Serviço",0,IF(AND(AUTOEVENTO="Manual",$M316=1),0,IF(OFFSET(CRONOPLE!$F$14,$M316,BL$13)="",10^12,OFFSET(CRONOPLE!$F$14,$M316,BL$13))))</f>
        <v>1000000000000</v>
      </c>
      <c r="BM316" s="215">
        <f ca="1">IF($D316&lt;&gt;"Serviço",0,IF(AND(AUTOEVENTO="Manual",$M316=1),0,IF(OFFSET(CRONOPLE!$F$14,$M316,BM$13)="",10^12,OFFSET(CRONOPLE!$F$14,$M316,BM$13))))</f>
        <v>1000000000000</v>
      </c>
      <c r="BN316" s="215">
        <f ca="1">IF($D316&lt;&gt;"Serviço",0,IF(AND(AUTOEVENTO="Manual",$M316=1),0,IF(OFFSET(CRONOPLE!$F$14,$M316,BN$13)="",10^12,OFFSET(CRONOPLE!$F$14,$M316,BN$13))))</f>
        <v>1000000000000</v>
      </c>
      <c r="BO316" s="215">
        <f ca="1">IF($D316&lt;&gt;"Serviço",0,IF(AND(AUTOEVENTO="Manual",$M316=1),0,IF(OFFSET(CRONOPLE!$F$14,$M316,BO$13)="",10^12,OFFSET(CRONOPLE!$F$14,$M316,BO$13))))</f>
        <v>1000000000000</v>
      </c>
      <c r="BP316" s="215">
        <f ca="1">IF($D316&lt;&gt;"Serviço",0,IF(AND(AUTOEVENTO="Manual",$M316=1),0,IF(OFFSET(CRONOPLE!$F$14,$M316,BP$13)="",10^12,OFFSET(CRONOPLE!$F$14,$M316,BP$13))))</f>
        <v>1000000000000</v>
      </c>
      <c r="BQ316" s="215">
        <f ca="1">IF($D316&lt;&gt;"Serviço",0,IF(AND(AUTOEVENTO="Manual",$M316=1),0,IF(OFFSET(CRONOPLE!$F$14,$M316,BQ$13)="",10^12,OFFSET(CRONOPLE!$F$14,$M316,BQ$13))))</f>
        <v>1000000000000</v>
      </c>
      <c r="BR316" s="215">
        <f ca="1">IF($D316&lt;&gt;"Serviço",0,IF(AND(AUTOEVENTO="Manual",$M316=1),0,IF(OFFSET(CRONOPLE!$F$14,$M316,BR$13)="",10^12,OFFSET(CRONOPLE!$F$14,$M316,BR$13))))</f>
        <v>1000000000000</v>
      </c>
      <c r="BS316" s="215">
        <f ca="1">IF($D316&lt;&gt;"Serviço",0,IF(AND(AUTOEVENTO="Manual",$M316=1),0,IF(OFFSET(CRONOPLE!$F$14,$M316,BS$13)="",10^12,OFFSET(CRONOPLE!$F$14,$M316,BS$13))))</f>
        <v>1000000000000</v>
      </c>
      <c r="BT316" s="215">
        <f ca="1">IF($D316&lt;&gt;"Serviço",0,IF(AND(AUTOEVENTO="Manual",$M316=1),0,IF(OFFSET(CRONOPLE!$F$14,$M316,BT$13)="",10^12,OFFSET(CRONOPLE!$F$14,$M316,BT$13))))</f>
        <v>1000000000000</v>
      </c>
      <c r="BV316" s="216">
        <f ca="1">IF($D316&lt;&gt;"Serviço",0,IF(OR(AND(AUTOEVENTO="Manual",$M316=1),$M316&gt;(ROW(PLE.lastrow)-ROW(PLE.firstrow))),0,IF(OFFSET(PLE!$G$14,$M316,BV$13)="",10^12,OFFSET(PLE!$G$14,$M316,BV$13))))</f>
        <v>1000000000000</v>
      </c>
      <c r="BW316" s="216">
        <f ca="1">IF($D316&lt;&gt;"Serviço",0,IF(OR(AND(AUTOEVENTO="Manual",$M316=1),$M316&gt;(ROW(PLE.lastrow)-ROW(PLE.firstrow))),0,IF(OFFSET(PLE!$G$14,$M316,BW$13)="",10^12,OFFSET(PLE!$G$14,$M316,BW$13))))</f>
        <v>1000000000000</v>
      </c>
      <c r="BX316" s="216">
        <f ca="1">IF($D316&lt;&gt;"Serviço",0,IF(OR(AND(AUTOEVENTO="Manual",$M316=1),$M316&gt;(ROW(PLE.lastrow)-ROW(PLE.firstrow))),0,IF(OFFSET(PLE!$G$14,$M316,BX$13)="",10^12,OFFSET(PLE!$G$14,$M316,BX$13))))</f>
        <v>1000000000000</v>
      </c>
      <c r="BY316" s="216">
        <f ca="1">IF($D316&lt;&gt;"Serviço",0,IF(OR(AND(AUTOEVENTO="Manual",$M316=1),$M316&gt;(ROW(PLE.lastrow)-ROW(PLE.firstrow))),0,IF(OFFSET(PLE!$G$14,$M316,BY$13)="",10^12,OFFSET(PLE!$G$14,$M316,BY$13))))</f>
        <v>1000000000000</v>
      </c>
      <c r="BZ316" s="216">
        <f ca="1">IF($D316&lt;&gt;"Serviço",0,IF(OR(AND(AUTOEVENTO="Manual",$M316=1),$M316&gt;(ROW(PLE.lastrow)-ROW(PLE.firstrow))),0,IF(OFFSET(PLE!$G$14,$M316,BZ$13)="",10^12,OFFSET(PLE!$G$14,$M316,BZ$13))))</f>
        <v>1000000000000</v>
      </c>
      <c r="CA316" s="216">
        <f ca="1">IF($D316&lt;&gt;"Serviço",0,IF(OR(AND(AUTOEVENTO="Manual",$M316=1),$M316&gt;(ROW(PLE.lastrow)-ROW(PLE.firstrow))),0,IF(OFFSET(PLE!$G$14,$M316,CA$13)="",10^12,OFFSET(PLE!$G$14,$M316,CA$13))))</f>
        <v>1000000000000</v>
      </c>
      <c r="CB316" s="216">
        <f ca="1">IF($D316&lt;&gt;"Serviço",0,IF(OR(AND(AUTOEVENTO="Manual",$M316=1),$M316&gt;(ROW(PLE.lastrow)-ROW(PLE.firstrow))),0,IF(OFFSET(PLE!$G$14,$M316,CB$13)="",10^12,OFFSET(PLE!$G$14,$M316,CB$13))))</f>
        <v>1000000000000</v>
      </c>
      <c r="CC316" s="216">
        <f ca="1">IF($D316&lt;&gt;"Serviço",0,IF(OR(AND(AUTOEVENTO="Manual",$M316=1),$M316&gt;(ROW(PLE.lastrow)-ROW(PLE.firstrow))),0,IF(OFFSET(PLE!$G$14,$M316,CC$13)="",10^12,OFFSET(PLE!$G$14,$M316,CC$13))))</f>
        <v>1000000000000</v>
      </c>
      <c r="CD316" s="216">
        <f ca="1">IF($D316&lt;&gt;"Serviço",0,IF(OR(AND(AUTOEVENTO="Manual",$M316=1),$M316&gt;(ROW(PLE.lastrow)-ROW(PLE.firstrow))),0,IF(OFFSET(PLE!$G$14,$M316,CD$13)="",10^12,OFFSET(PLE!$G$14,$M316,CD$13))))</f>
        <v>1000000000000</v>
      </c>
      <c r="CE316" s="216">
        <f ca="1">IF($D316&lt;&gt;"Serviço",0,IF(OR(AND(AUTOEVENTO="Manual",$M316=1),$M316&gt;(ROW(PLE.lastrow)-ROW(PLE.firstrow))),0,IF(OFFSET(PLE!$G$14,$M316,CE$13)="",10^12,OFFSET(PLE!$G$14,$M316,CE$13))))</f>
        <v>1000000000000</v>
      </c>
      <c r="CF316" s="216">
        <f ca="1">IF($D316&lt;&gt;"Serviço",0,IF(OR(AND(AUTOEVENTO="Manual",$M316=1),$M316&gt;(ROW(PLE.lastrow)-ROW(PLE.firstrow))),0,IF(OFFSET(PLE!$G$14,$M316,CF$13)="",10^12,OFFSET(PLE!$G$14,$M316,CF$13))))</f>
        <v>1000000000000</v>
      </c>
      <c r="CG316" s="216">
        <f ca="1">IF($D316&lt;&gt;"Serviço",0,IF(OR(AND(AUTOEVENTO="Manual",$M316=1),$M316&gt;(ROW(PLE.lastrow)-ROW(PLE.firstrow))),0,IF(OFFSET(PLE!$G$14,$M316,CG$13)="",10^12,OFFSET(PLE!$G$14,$M316,CG$13))))</f>
        <v>1000000000000</v>
      </c>
      <c r="CH316" s="216">
        <f ca="1">IF($D316&lt;&gt;"Serviço",0,IF(OR(AND(AUTOEVENTO="Manual",$M316=1),$M316&gt;(ROW(PLE.lastrow)-ROW(PLE.firstrow))),0,IF(OFFSET(PLE!$G$14,$M316,CH$13)="",10^12,OFFSET(PLE!$G$14,$M316,CH$13))))</f>
        <v>1000000000000</v>
      </c>
      <c r="CI316" s="216">
        <f ca="1">IF($D316&lt;&gt;"Serviço",0,IF(OR(AND(AUTOEVENTO="Manual",$M316=1),$M316&gt;(ROW(PLE.lastrow)-ROW(PLE.firstrow))),0,IF(OFFSET(PLE!$G$14,$M316,CI$13)="",10^12,OFFSET(PLE!$G$14,$M316,CI$13))))</f>
        <v>1000000000000</v>
      </c>
      <c r="CJ316" s="216">
        <f ca="1">IF($D316&lt;&gt;"Serviço",0,IF(OR(AND(AUTOEVENTO="Manual",$M316=1),$M316&gt;(ROW(PLE.lastrow)-ROW(PLE.firstrow))),0,IF(OFFSET(PLE!$G$14,$M316,CJ$13)="",10^12,OFFSET(PLE!$G$14,$M316,CJ$13))))</f>
        <v>1000000000000</v>
      </c>
      <c r="CK316" s="216">
        <f ca="1">IF($D316&lt;&gt;"Serviço",0,IF(OR(AND(AUTOEVENTO="Manual",$M316=1),$M316&gt;(ROW(PLE.lastrow)-ROW(PLE.firstrow))),0,IF(OFFSET(PLE!$G$14,$M316,CK$13)="",10^12,OFFSET(PLE!$G$14,$M316,CK$13))))</f>
        <v>1000000000000</v>
      </c>
      <c r="CL316" s="216">
        <f ca="1">IF($D316&lt;&gt;"Serviço",0,IF(OR(AND(AUTOEVENTO="Manual",$M316=1),$M316&gt;(ROW(PLE.lastrow)-ROW(PLE.firstrow))),0,IF(OFFSET(PLE!$G$14,$M316,CL$13)="",10^12,OFFSET(PLE!$G$14,$M316,CL$13))))</f>
        <v>1000000000000</v>
      </c>
      <c r="CM316" s="216">
        <f ca="1">IF($D316&lt;&gt;"Serviço",0,IF(OR(AND(AUTOEVENTO="Manual",$M316=1),$M316&gt;(ROW(PLE.lastrow)-ROW(PLE.firstrow))),0,IF(OFFSET(PLE!$G$14,$M316,CM$13)="",10^12,OFFSET(PLE!$G$14,$M316,CM$13))))</f>
        <v>1000000000000</v>
      </c>
    </row>
    <row r="317" spans="1:91" ht="13.2" x14ac:dyDescent="0.25">
      <c r="A317" s="9">
        <f t="shared" ca="1" si="13"/>
        <v>0</v>
      </c>
      <c r="B317" s="9" t="str">
        <f ca="1">OFFSET(ORÇAMENTO!C$15,ROW(B317)-ROW(B$15),0)</f>
        <v>S</v>
      </c>
      <c r="C317" s="9" t="str">
        <f ca="1">OFFSET(ORÇAMENTO!L$15,ROW(C317)-ROW(C$15),0)</f>
        <v/>
      </c>
      <c r="D317" s="145" t="str">
        <f ca="1">OFFSET(ORÇAMENTO!N$15,ROW(D317)-ROW(D$15),0)</f>
        <v>Serviço</v>
      </c>
      <c r="E317" s="205" t="str">
        <f ca="1">OFFSET(ORÇAMENTO!O$15,ROW(E317)-ROW(E$15),0)</f>
        <v>-</v>
      </c>
      <c r="F317" s="206" t="str">
        <f ca="1">OFFSET(ORÇAMENTO!R$15,ROW(F317)-ROW(F$15),0)</f>
        <v>(abra o arquivo 'Referência 05-2024.xls)</v>
      </c>
      <c r="G317" s="207" t="str">
        <f ca="1">IF($D317&lt;&gt;"Serviço","",OFFSET(ORÇAMENTO!S$15,ROW(G317)-ROW(G$15),0))</f>
        <v>-</v>
      </c>
      <c r="H317" s="151">
        <f ca="1">IF($D317&lt;&gt;"Serviço",0,IF(ACOMPANHAMENTO="BM",ROUND(OFFSET(ORÇAMENTO!AJ$15,ROW(H317)-ROW(H$15),0),15-13*ORÇAMENTO!$AF$7),SUMPRODUCT(($Q$12:$AI$12&lt;&gt;"")*ROUND($Q317:$AI317,15-13*ORÇAMENTO!$AF$7))))</f>
        <v>7</v>
      </c>
      <c r="I317" s="650"/>
      <c r="K317" s="208"/>
      <c r="L317" s="209" t="s">
        <v>257</v>
      </c>
      <c r="M317" s="210">
        <f ca="1">IF($D317&lt;&gt;"Serviço","",IF(AUTOEVENTO="manual",$A317,IF(ISERROR(MATCH($A317,$A$15:OFFSET($A317,-1,0),0)),MAX($M$15:OFFSET(M317,-1,0))+1,INDEX($M$15:OFFSET(M317,-1,0),MATCH($A317,$A$15:OFFSET($A317,-1,0),0)))))</f>
        <v>0</v>
      </c>
      <c r="N317" s="211" t="str">
        <f ca="1">IF($D317&lt;&gt;"Serviço","",IF(AUTOEVENTO="Manual",IF($A317=0,"&lt;-- defina o número do agrupador",OFFSET(EVENTOS!$D$14,$A317,0)),OFFSET($F$15,$A317,0)))</f>
        <v>&lt;-- defina o número do agrupador</v>
      </c>
      <c r="O317" s="212"/>
      <c r="Q317" s="212"/>
      <c r="R317" s="213"/>
      <c r="S317" s="213"/>
      <c r="T317" s="213"/>
      <c r="U317" s="213"/>
      <c r="V317" s="213"/>
      <c r="W317" s="213"/>
      <c r="X317" s="213"/>
      <c r="Y317" s="213"/>
      <c r="Z317" s="214"/>
      <c r="AA317" s="213"/>
      <c r="AB317" s="213"/>
      <c r="AC317" s="213"/>
      <c r="AD317" s="213"/>
      <c r="AE317" s="213"/>
      <c r="AF317" s="213"/>
      <c r="AG317" s="213"/>
      <c r="AH317" s="214"/>
      <c r="AJ317" s="631">
        <f ca="1">IF(AND($D317="Serviço",AJ$12&lt;&gt;0,$H317&gt;0,OR(AUTOEVENTO&lt;&gt;"manual",$M317&lt;&gt;1)),ROUND(OFFSET($P317,0,AJ$13),15-13*ORÇAMENTO!$AF$7)/$H317*OFFSET(ORÇAMENTO!$X$15,ROW(AJ317)-ROW(AJ$15),0),0)</f>
        <v>0</v>
      </c>
      <c r="AK317" s="632">
        <f ca="1">IF(AND($D317="Serviço",AK$12&lt;&gt;0,$H317&gt;0,OR(AUTOEVENTO&lt;&gt;"manual",$M317&lt;&gt;1)),ROUND(OFFSET($P317,0,AK$13),15-13*ORÇAMENTO!$AF$7)/$H317*OFFSET(ORÇAMENTO!$X$15,ROW(AK317)-ROW(AK$15),0),0)</f>
        <v>0</v>
      </c>
      <c r="AL317" s="632">
        <f ca="1">IF(AND($D317="Serviço",AL$12&lt;&gt;0,$H317&gt;0,OR(AUTOEVENTO&lt;&gt;"manual",$M317&lt;&gt;1)),ROUND(OFFSET($P317,0,AL$13),15-13*ORÇAMENTO!$AF$7)/$H317*OFFSET(ORÇAMENTO!$X$15,ROW(AL317)-ROW(AL$15),0),0)</f>
        <v>0</v>
      </c>
      <c r="AM317" s="632">
        <f ca="1">IF(AND($D317="Serviço",AM$12&lt;&gt;0,$H317&gt;0,OR(AUTOEVENTO&lt;&gt;"manual",$M317&lt;&gt;1)),ROUND(OFFSET($P317,0,AM$13),15-13*ORÇAMENTO!$AF$7)/$H317*OFFSET(ORÇAMENTO!$X$15,ROW(AM317)-ROW(AM$15),0),0)</f>
        <v>0</v>
      </c>
      <c r="AN317" s="632">
        <f ca="1">IF(AND($D317="Serviço",AN$12&lt;&gt;0,$H317&gt;0,OR(AUTOEVENTO&lt;&gt;"manual",$M317&lt;&gt;1)),ROUND(OFFSET($P317,0,AN$13),15-13*ORÇAMENTO!$AF$7)/$H317*OFFSET(ORÇAMENTO!$X$15,ROW(AN317)-ROW(AN$15),0),0)</f>
        <v>0</v>
      </c>
      <c r="AO317" s="632">
        <f ca="1">IF(AND($D317="Serviço",AO$12&lt;&gt;0,$H317&gt;0,OR(AUTOEVENTO&lt;&gt;"manual",$M317&lt;&gt;1)),ROUND(OFFSET($P317,0,AO$13),15-13*ORÇAMENTO!$AF$7)/$H317*OFFSET(ORÇAMENTO!$X$15,ROW(AO317)-ROW(AO$15),0),0)</f>
        <v>0</v>
      </c>
      <c r="AP317" s="632">
        <f ca="1">IF(AND($D317="Serviço",AP$12&lt;&gt;0,$H317&gt;0,OR(AUTOEVENTO&lt;&gt;"manual",$M317&lt;&gt;1)),ROUND(OFFSET($P317,0,AP$13),15-13*ORÇAMENTO!$AF$7)/$H317*OFFSET(ORÇAMENTO!$X$15,ROW(AP317)-ROW(AP$15),0),0)</f>
        <v>0</v>
      </c>
      <c r="AQ317" s="632">
        <f ca="1">IF(AND($D317="Serviço",AQ$12&lt;&gt;0,$H317&gt;0,OR(AUTOEVENTO&lt;&gt;"manual",$M317&lt;&gt;1)),ROUND(OFFSET($P317,0,AQ$13),15-13*ORÇAMENTO!$AF$7)/$H317*OFFSET(ORÇAMENTO!$X$15,ROW(AQ317)-ROW(AQ$15),0),0)</f>
        <v>0</v>
      </c>
      <c r="AR317" s="632">
        <f ca="1">IF(AND($D317="Serviço",AR$12&lt;&gt;0,$H317&gt;0,OR(AUTOEVENTO&lt;&gt;"manual",$M317&lt;&gt;1)),ROUND(OFFSET($P317,0,AR$13),15-13*ORÇAMENTO!$AF$7)/$H317*OFFSET(ORÇAMENTO!$X$15,ROW(AR317)-ROW(AR$15),0),0)</f>
        <v>0</v>
      </c>
      <c r="AS317" s="633">
        <f ca="1">IF(AND($D317="Serviço",AS$12&lt;&gt;0,$H317&gt;0,OR(AUTOEVENTO&lt;&gt;"manual",$M317&lt;&gt;1)),ROUND(OFFSET($P317,0,AS$13),15-13*ORÇAMENTO!$AF$7)/$H317*OFFSET(ORÇAMENTO!$X$15,ROW(AS317)-ROW(AS$15),0),0)</f>
        <v>0</v>
      </c>
      <c r="AT317" s="632">
        <f ca="1">IF(AND($D317="Serviço",AT$12&lt;&gt;0,$H317&gt;0,OR(AUTOEVENTO&lt;&gt;"manual",$M317&lt;&gt;1)),ROUND(OFFSET($P317,0,AT$13),15-13*ORÇAMENTO!$AF$7)/$H317*OFFSET(ORÇAMENTO!$X$15,ROW(AT317)-ROW(AT$15),0),0)</f>
        <v>0</v>
      </c>
      <c r="AU317" s="632">
        <f ca="1">IF(AND($D317="Serviço",AU$12&lt;&gt;0,$H317&gt;0,OR(AUTOEVENTO&lt;&gt;"manual",$M317&lt;&gt;1)),ROUND(OFFSET($P317,0,AU$13),15-13*ORÇAMENTO!$AF$7)/$H317*OFFSET(ORÇAMENTO!$X$15,ROW(AU317)-ROW(AU$15),0),0)</f>
        <v>0</v>
      </c>
      <c r="AV317" s="632">
        <f ca="1">IF(AND($D317="Serviço",AV$12&lt;&gt;0,$H317&gt;0,OR(AUTOEVENTO&lt;&gt;"manual",$M317&lt;&gt;1)),ROUND(OFFSET($P317,0,AV$13),15-13*ORÇAMENTO!$AF$7)/$H317*OFFSET(ORÇAMENTO!$X$15,ROW(AV317)-ROW(AV$15),0),0)</f>
        <v>0</v>
      </c>
      <c r="AW317" s="632">
        <f ca="1">IF(AND($D317="Serviço",AW$12&lt;&gt;0,$H317&gt;0,OR(AUTOEVENTO&lt;&gt;"manual",$M317&lt;&gt;1)),ROUND(OFFSET($P317,0,AW$13),15-13*ORÇAMENTO!$AF$7)/$H317*OFFSET(ORÇAMENTO!$X$15,ROW(AW317)-ROW(AW$15),0),0)</f>
        <v>0</v>
      </c>
      <c r="AX317" s="632">
        <f ca="1">IF(AND($D317="Serviço",AX$12&lt;&gt;0,$H317&gt;0,OR(AUTOEVENTO&lt;&gt;"manual",$M317&lt;&gt;1)),ROUND(OFFSET($P317,0,AX$13),15-13*ORÇAMENTO!$AF$7)/$H317*OFFSET(ORÇAMENTO!$X$15,ROW(AX317)-ROW(AX$15),0),0)</f>
        <v>0</v>
      </c>
      <c r="AY317" s="632">
        <f ca="1">IF(AND($D317="Serviço",AY$12&lt;&gt;0,$H317&gt;0,OR(AUTOEVENTO&lt;&gt;"manual",$M317&lt;&gt;1)),ROUND(OFFSET($P317,0,AY$13),15-13*ORÇAMENTO!$AF$7)/$H317*OFFSET(ORÇAMENTO!$X$15,ROW(AY317)-ROW(AY$15),0),0)</f>
        <v>0</v>
      </c>
      <c r="AZ317" s="632">
        <f ca="1">IF(AND($D317="Serviço",AZ$12&lt;&gt;0,$H317&gt;0,OR(AUTOEVENTO&lt;&gt;"manual",$M317&lt;&gt;1)),ROUND(OFFSET($P317,0,AZ$13),15-13*ORÇAMENTO!$AF$7)/$H317*OFFSET(ORÇAMENTO!$X$15,ROW(AZ317)-ROW(AZ$15),0),0)</f>
        <v>0</v>
      </c>
      <c r="BA317" s="633">
        <f ca="1">IF(AND($D317="Serviço",BA$12&lt;&gt;0,$H317&gt;0,OR(AUTOEVENTO&lt;&gt;"manual",$M317&lt;&gt;1)),ROUND(OFFSET($P317,0,BA$13),15-13*ORÇAMENTO!$AF$7)/$H317*OFFSET(ORÇAMENTO!$X$15,ROW(BA317)-ROW(BA$15),0),0)</f>
        <v>0</v>
      </c>
      <c r="BC317" s="215">
        <f ca="1">IF($D317&lt;&gt;"Serviço",0,IF(AND(AUTOEVENTO="Manual",$M317=1),0,IF(OFFSET(CRONOPLE!$F$14,$M317,BC$13)="",10^12,OFFSET(CRONOPLE!$F$14,$M317,BC$13))))</f>
        <v>1000000000000</v>
      </c>
      <c r="BD317" s="215">
        <f ca="1">IF($D317&lt;&gt;"Serviço",0,IF(AND(AUTOEVENTO="Manual",$M317=1),0,IF(OFFSET(CRONOPLE!$F$14,$M317,BD$13)="",10^12,OFFSET(CRONOPLE!$F$14,$M317,BD$13))))</f>
        <v>1000000000000</v>
      </c>
      <c r="BE317" s="215">
        <f ca="1">IF($D317&lt;&gt;"Serviço",0,IF(AND(AUTOEVENTO="Manual",$M317=1),0,IF(OFFSET(CRONOPLE!$F$14,$M317,BE$13)="",10^12,OFFSET(CRONOPLE!$F$14,$M317,BE$13))))</f>
        <v>1000000000000</v>
      </c>
      <c r="BF317" s="215">
        <f ca="1">IF($D317&lt;&gt;"Serviço",0,IF(AND(AUTOEVENTO="Manual",$M317=1),0,IF(OFFSET(CRONOPLE!$F$14,$M317,BF$13)="",10^12,OFFSET(CRONOPLE!$F$14,$M317,BF$13))))</f>
        <v>1000000000000</v>
      </c>
      <c r="BG317" s="215">
        <f ca="1">IF($D317&lt;&gt;"Serviço",0,IF(AND(AUTOEVENTO="Manual",$M317=1),0,IF(OFFSET(CRONOPLE!$F$14,$M317,BG$13)="",10^12,OFFSET(CRONOPLE!$F$14,$M317,BG$13))))</f>
        <v>1000000000000</v>
      </c>
      <c r="BH317" s="215">
        <f ca="1">IF($D317&lt;&gt;"Serviço",0,IF(AND(AUTOEVENTO="Manual",$M317=1),0,IF(OFFSET(CRONOPLE!$F$14,$M317,BH$13)="",10^12,OFFSET(CRONOPLE!$F$14,$M317,BH$13))))</f>
        <v>1000000000000</v>
      </c>
      <c r="BI317" s="215">
        <f ca="1">IF($D317&lt;&gt;"Serviço",0,IF(AND(AUTOEVENTO="Manual",$M317=1),0,IF(OFFSET(CRONOPLE!$F$14,$M317,BI$13)="",10^12,OFFSET(CRONOPLE!$F$14,$M317,BI$13))))</f>
        <v>1000000000000</v>
      </c>
      <c r="BJ317" s="215">
        <f ca="1">IF($D317&lt;&gt;"Serviço",0,IF(AND(AUTOEVENTO="Manual",$M317=1),0,IF(OFFSET(CRONOPLE!$F$14,$M317,BJ$13)="",10^12,OFFSET(CRONOPLE!$F$14,$M317,BJ$13))))</f>
        <v>1000000000000</v>
      </c>
      <c r="BK317" s="215">
        <f ca="1">IF($D317&lt;&gt;"Serviço",0,IF(AND(AUTOEVENTO="Manual",$M317=1),0,IF(OFFSET(CRONOPLE!$F$14,$M317,BK$13)="",10^12,OFFSET(CRONOPLE!$F$14,$M317,BK$13))))</f>
        <v>1000000000000</v>
      </c>
      <c r="BL317" s="215">
        <f ca="1">IF($D317&lt;&gt;"Serviço",0,IF(AND(AUTOEVENTO="Manual",$M317=1),0,IF(OFFSET(CRONOPLE!$F$14,$M317,BL$13)="",10^12,OFFSET(CRONOPLE!$F$14,$M317,BL$13))))</f>
        <v>1000000000000</v>
      </c>
      <c r="BM317" s="215">
        <f ca="1">IF($D317&lt;&gt;"Serviço",0,IF(AND(AUTOEVENTO="Manual",$M317=1),0,IF(OFFSET(CRONOPLE!$F$14,$M317,BM$13)="",10^12,OFFSET(CRONOPLE!$F$14,$M317,BM$13))))</f>
        <v>1000000000000</v>
      </c>
      <c r="BN317" s="215">
        <f ca="1">IF($D317&lt;&gt;"Serviço",0,IF(AND(AUTOEVENTO="Manual",$M317=1),0,IF(OFFSET(CRONOPLE!$F$14,$M317,BN$13)="",10^12,OFFSET(CRONOPLE!$F$14,$M317,BN$13))))</f>
        <v>1000000000000</v>
      </c>
      <c r="BO317" s="215">
        <f ca="1">IF($D317&lt;&gt;"Serviço",0,IF(AND(AUTOEVENTO="Manual",$M317=1),0,IF(OFFSET(CRONOPLE!$F$14,$M317,BO$13)="",10^12,OFFSET(CRONOPLE!$F$14,$M317,BO$13))))</f>
        <v>1000000000000</v>
      </c>
      <c r="BP317" s="215">
        <f ca="1">IF($D317&lt;&gt;"Serviço",0,IF(AND(AUTOEVENTO="Manual",$M317=1),0,IF(OFFSET(CRONOPLE!$F$14,$M317,BP$13)="",10^12,OFFSET(CRONOPLE!$F$14,$M317,BP$13))))</f>
        <v>1000000000000</v>
      </c>
      <c r="BQ317" s="215">
        <f ca="1">IF($D317&lt;&gt;"Serviço",0,IF(AND(AUTOEVENTO="Manual",$M317=1),0,IF(OFFSET(CRONOPLE!$F$14,$M317,BQ$13)="",10^12,OFFSET(CRONOPLE!$F$14,$M317,BQ$13))))</f>
        <v>1000000000000</v>
      </c>
      <c r="BR317" s="215">
        <f ca="1">IF($D317&lt;&gt;"Serviço",0,IF(AND(AUTOEVENTO="Manual",$M317=1),0,IF(OFFSET(CRONOPLE!$F$14,$M317,BR$13)="",10^12,OFFSET(CRONOPLE!$F$14,$M317,BR$13))))</f>
        <v>1000000000000</v>
      </c>
      <c r="BS317" s="215">
        <f ca="1">IF($D317&lt;&gt;"Serviço",0,IF(AND(AUTOEVENTO="Manual",$M317=1),0,IF(OFFSET(CRONOPLE!$F$14,$M317,BS$13)="",10^12,OFFSET(CRONOPLE!$F$14,$M317,BS$13))))</f>
        <v>1000000000000</v>
      </c>
      <c r="BT317" s="215">
        <f ca="1">IF($D317&lt;&gt;"Serviço",0,IF(AND(AUTOEVENTO="Manual",$M317=1),0,IF(OFFSET(CRONOPLE!$F$14,$M317,BT$13)="",10^12,OFFSET(CRONOPLE!$F$14,$M317,BT$13))))</f>
        <v>1000000000000</v>
      </c>
      <c r="BV317" s="216">
        <f ca="1">IF($D317&lt;&gt;"Serviço",0,IF(OR(AND(AUTOEVENTO="Manual",$M317=1),$M317&gt;(ROW(PLE.lastrow)-ROW(PLE.firstrow))),0,IF(OFFSET(PLE!$G$14,$M317,BV$13)="",10^12,OFFSET(PLE!$G$14,$M317,BV$13))))</f>
        <v>1000000000000</v>
      </c>
      <c r="BW317" s="216">
        <f ca="1">IF($D317&lt;&gt;"Serviço",0,IF(OR(AND(AUTOEVENTO="Manual",$M317=1),$M317&gt;(ROW(PLE.lastrow)-ROW(PLE.firstrow))),0,IF(OFFSET(PLE!$G$14,$M317,BW$13)="",10^12,OFFSET(PLE!$G$14,$M317,BW$13))))</f>
        <v>1000000000000</v>
      </c>
      <c r="BX317" s="216">
        <f ca="1">IF($D317&lt;&gt;"Serviço",0,IF(OR(AND(AUTOEVENTO="Manual",$M317=1),$M317&gt;(ROW(PLE.lastrow)-ROW(PLE.firstrow))),0,IF(OFFSET(PLE!$G$14,$M317,BX$13)="",10^12,OFFSET(PLE!$G$14,$M317,BX$13))))</f>
        <v>1000000000000</v>
      </c>
      <c r="BY317" s="216">
        <f ca="1">IF($D317&lt;&gt;"Serviço",0,IF(OR(AND(AUTOEVENTO="Manual",$M317=1),$M317&gt;(ROW(PLE.lastrow)-ROW(PLE.firstrow))),0,IF(OFFSET(PLE!$G$14,$M317,BY$13)="",10^12,OFFSET(PLE!$G$14,$M317,BY$13))))</f>
        <v>1000000000000</v>
      </c>
      <c r="BZ317" s="216">
        <f ca="1">IF($D317&lt;&gt;"Serviço",0,IF(OR(AND(AUTOEVENTO="Manual",$M317=1),$M317&gt;(ROW(PLE.lastrow)-ROW(PLE.firstrow))),0,IF(OFFSET(PLE!$G$14,$M317,BZ$13)="",10^12,OFFSET(PLE!$G$14,$M317,BZ$13))))</f>
        <v>1000000000000</v>
      </c>
      <c r="CA317" s="216">
        <f ca="1">IF($D317&lt;&gt;"Serviço",0,IF(OR(AND(AUTOEVENTO="Manual",$M317=1),$M317&gt;(ROW(PLE.lastrow)-ROW(PLE.firstrow))),0,IF(OFFSET(PLE!$G$14,$M317,CA$13)="",10^12,OFFSET(PLE!$G$14,$M317,CA$13))))</f>
        <v>1000000000000</v>
      </c>
      <c r="CB317" s="216">
        <f ca="1">IF($D317&lt;&gt;"Serviço",0,IF(OR(AND(AUTOEVENTO="Manual",$M317=1),$M317&gt;(ROW(PLE.lastrow)-ROW(PLE.firstrow))),0,IF(OFFSET(PLE!$G$14,$M317,CB$13)="",10^12,OFFSET(PLE!$G$14,$M317,CB$13))))</f>
        <v>1000000000000</v>
      </c>
      <c r="CC317" s="216">
        <f ca="1">IF($D317&lt;&gt;"Serviço",0,IF(OR(AND(AUTOEVENTO="Manual",$M317=1),$M317&gt;(ROW(PLE.lastrow)-ROW(PLE.firstrow))),0,IF(OFFSET(PLE!$G$14,$M317,CC$13)="",10^12,OFFSET(PLE!$G$14,$M317,CC$13))))</f>
        <v>1000000000000</v>
      </c>
      <c r="CD317" s="216">
        <f ca="1">IF($D317&lt;&gt;"Serviço",0,IF(OR(AND(AUTOEVENTO="Manual",$M317=1),$M317&gt;(ROW(PLE.lastrow)-ROW(PLE.firstrow))),0,IF(OFFSET(PLE!$G$14,$M317,CD$13)="",10^12,OFFSET(PLE!$G$14,$M317,CD$13))))</f>
        <v>1000000000000</v>
      </c>
      <c r="CE317" s="216">
        <f ca="1">IF($D317&lt;&gt;"Serviço",0,IF(OR(AND(AUTOEVENTO="Manual",$M317=1),$M317&gt;(ROW(PLE.lastrow)-ROW(PLE.firstrow))),0,IF(OFFSET(PLE!$G$14,$M317,CE$13)="",10^12,OFFSET(PLE!$G$14,$M317,CE$13))))</f>
        <v>1000000000000</v>
      </c>
      <c r="CF317" s="216">
        <f ca="1">IF($D317&lt;&gt;"Serviço",0,IF(OR(AND(AUTOEVENTO="Manual",$M317=1),$M317&gt;(ROW(PLE.lastrow)-ROW(PLE.firstrow))),0,IF(OFFSET(PLE!$G$14,$M317,CF$13)="",10^12,OFFSET(PLE!$G$14,$M317,CF$13))))</f>
        <v>1000000000000</v>
      </c>
      <c r="CG317" s="216">
        <f ca="1">IF($D317&lt;&gt;"Serviço",0,IF(OR(AND(AUTOEVENTO="Manual",$M317=1),$M317&gt;(ROW(PLE.lastrow)-ROW(PLE.firstrow))),0,IF(OFFSET(PLE!$G$14,$M317,CG$13)="",10^12,OFFSET(PLE!$G$14,$M317,CG$13))))</f>
        <v>1000000000000</v>
      </c>
      <c r="CH317" s="216">
        <f ca="1">IF($D317&lt;&gt;"Serviço",0,IF(OR(AND(AUTOEVENTO="Manual",$M317=1),$M317&gt;(ROW(PLE.lastrow)-ROW(PLE.firstrow))),0,IF(OFFSET(PLE!$G$14,$M317,CH$13)="",10^12,OFFSET(PLE!$G$14,$M317,CH$13))))</f>
        <v>1000000000000</v>
      </c>
      <c r="CI317" s="216">
        <f ca="1">IF($D317&lt;&gt;"Serviço",0,IF(OR(AND(AUTOEVENTO="Manual",$M317=1),$M317&gt;(ROW(PLE.lastrow)-ROW(PLE.firstrow))),0,IF(OFFSET(PLE!$G$14,$M317,CI$13)="",10^12,OFFSET(PLE!$G$14,$M317,CI$13))))</f>
        <v>1000000000000</v>
      </c>
      <c r="CJ317" s="216">
        <f ca="1">IF($D317&lt;&gt;"Serviço",0,IF(OR(AND(AUTOEVENTO="Manual",$M317=1),$M317&gt;(ROW(PLE.lastrow)-ROW(PLE.firstrow))),0,IF(OFFSET(PLE!$G$14,$M317,CJ$13)="",10^12,OFFSET(PLE!$G$14,$M317,CJ$13))))</f>
        <v>1000000000000</v>
      </c>
      <c r="CK317" s="216">
        <f ca="1">IF($D317&lt;&gt;"Serviço",0,IF(OR(AND(AUTOEVENTO="Manual",$M317=1),$M317&gt;(ROW(PLE.lastrow)-ROW(PLE.firstrow))),0,IF(OFFSET(PLE!$G$14,$M317,CK$13)="",10^12,OFFSET(PLE!$G$14,$M317,CK$13))))</f>
        <v>1000000000000</v>
      </c>
      <c r="CL317" s="216">
        <f ca="1">IF($D317&lt;&gt;"Serviço",0,IF(OR(AND(AUTOEVENTO="Manual",$M317=1),$M317&gt;(ROW(PLE.lastrow)-ROW(PLE.firstrow))),0,IF(OFFSET(PLE!$G$14,$M317,CL$13)="",10^12,OFFSET(PLE!$G$14,$M317,CL$13))))</f>
        <v>1000000000000</v>
      </c>
      <c r="CM317" s="216">
        <f ca="1">IF($D317&lt;&gt;"Serviço",0,IF(OR(AND(AUTOEVENTO="Manual",$M317=1),$M317&gt;(ROW(PLE.lastrow)-ROW(PLE.firstrow))),0,IF(OFFSET(PLE!$G$14,$M317,CM$13)="",10^12,OFFSET(PLE!$G$14,$M317,CM$13))))</f>
        <v>1000000000000</v>
      </c>
    </row>
    <row r="318" spans="1:91" ht="13.2" x14ac:dyDescent="0.25">
      <c r="A318" s="9">
        <f t="shared" ca="1" si="13"/>
        <v>0</v>
      </c>
      <c r="B318" s="9" t="str">
        <f ca="1">OFFSET(ORÇAMENTO!C$15,ROW(B318)-ROW(B$15),0)</f>
        <v>S</v>
      </c>
      <c r="C318" s="9" t="str">
        <f ca="1">OFFSET(ORÇAMENTO!L$15,ROW(C318)-ROW(C$15),0)</f>
        <v/>
      </c>
      <c r="D318" s="145" t="str">
        <f ca="1">OFFSET(ORÇAMENTO!N$15,ROW(D318)-ROW(D$15),0)</f>
        <v>Serviço</v>
      </c>
      <c r="E318" s="205" t="str">
        <f ca="1">OFFSET(ORÇAMENTO!O$15,ROW(E318)-ROW(E$15),0)</f>
        <v>-</v>
      </c>
      <c r="F318" s="206" t="str">
        <f ca="1">OFFSET(ORÇAMENTO!R$15,ROW(F318)-ROW(F$15),0)</f>
        <v>(abra o arquivo 'Referência 05-2024.xls)</v>
      </c>
      <c r="G318" s="207" t="str">
        <f ca="1">IF($D318&lt;&gt;"Serviço","",OFFSET(ORÇAMENTO!S$15,ROW(G318)-ROW(G$15),0))</f>
        <v>-</v>
      </c>
      <c r="H318" s="151">
        <f ca="1">IF($D318&lt;&gt;"Serviço",0,IF(ACOMPANHAMENTO="BM",ROUND(OFFSET(ORÇAMENTO!AJ$15,ROW(H318)-ROW(H$15),0),15-13*ORÇAMENTO!$AF$7),SUMPRODUCT(($Q$12:$AI$12&lt;&gt;"")*ROUND($Q318:$AI318,15-13*ORÇAMENTO!$AF$7))))</f>
        <v>1</v>
      </c>
      <c r="I318" s="650"/>
      <c r="K318" s="208"/>
      <c r="L318" s="209" t="s">
        <v>257</v>
      </c>
      <c r="M318" s="210">
        <f ca="1">IF($D318&lt;&gt;"Serviço","",IF(AUTOEVENTO="manual",$A318,IF(ISERROR(MATCH($A318,$A$15:OFFSET($A318,-1,0),0)),MAX($M$15:OFFSET(M318,-1,0))+1,INDEX($M$15:OFFSET(M318,-1,0),MATCH($A318,$A$15:OFFSET($A318,-1,0),0)))))</f>
        <v>0</v>
      </c>
      <c r="N318" s="211" t="str">
        <f ca="1">IF($D318&lt;&gt;"Serviço","",IF(AUTOEVENTO="Manual",IF($A318=0,"&lt;-- defina o número do agrupador",OFFSET(EVENTOS!$D$14,$A318,0)),OFFSET($F$15,$A318,0)))</f>
        <v>&lt;-- defina o número do agrupador</v>
      </c>
      <c r="O318" s="212"/>
      <c r="Q318" s="212"/>
      <c r="R318" s="213"/>
      <c r="S318" s="213"/>
      <c r="T318" s="213"/>
      <c r="U318" s="213"/>
      <c r="V318" s="213"/>
      <c r="W318" s="213"/>
      <c r="X318" s="213"/>
      <c r="Y318" s="213"/>
      <c r="Z318" s="214"/>
      <c r="AA318" s="213"/>
      <c r="AB318" s="213"/>
      <c r="AC318" s="213"/>
      <c r="AD318" s="213"/>
      <c r="AE318" s="213"/>
      <c r="AF318" s="213"/>
      <c r="AG318" s="213"/>
      <c r="AH318" s="214"/>
      <c r="AJ318" s="631">
        <f ca="1">IF(AND($D318="Serviço",AJ$12&lt;&gt;0,$H318&gt;0,OR(AUTOEVENTO&lt;&gt;"manual",$M318&lt;&gt;1)),ROUND(OFFSET($P318,0,AJ$13),15-13*ORÇAMENTO!$AF$7)/$H318*OFFSET(ORÇAMENTO!$X$15,ROW(AJ318)-ROW(AJ$15),0),0)</f>
        <v>0</v>
      </c>
      <c r="AK318" s="632">
        <f ca="1">IF(AND($D318="Serviço",AK$12&lt;&gt;0,$H318&gt;0,OR(AUTOEVENTO&lt;&gt;"manual",$M318&lt;&gt;1)),ROUND(OFFSET($P318,0,AK$13),15-13*ORÇAMENTO!$AF$7)/$H318*OFFSET(ORÇAMENTO!$X$15,ROW(AK318)-ROW(AK$15),0),0)</f>
        <v>0</v>
      </c>
      <c r="AL318" s="632">
        <f ca="1">IF(AND($D318="Serviço",AL$12&lt;&gt;0,$H318&gt;0,OR(AUTOEVENTO&lt;&gt;"manual",$M318&lt;&gt;1)),ROUND(OFFSET($P318,0,AL$13),15-13*ORÇAMENTO!$AF$7)/$H318*OFFSET(ORÇAMENTO!$X$15,ROW(AL318)-ROW(AL$15),0),0)</f>
        <v>0</v>
      </c>
      <c r="AM318" s="632">
        <f ca="1">IF(AND($D318="Serviço",AM$12&lt;&gt;0,$H318&gt;0,OR(AUTOEVENTO&lt;&gt;"manual",$M318&lt;&gt;1)),ROUND(OFFSET($P318,0,AM$13),15-13*ORÇAMENTO!$AF$7)/$H318*OFFSET(ORÇAMENTO!$X$15,ROW(AM318)-ROW(AM$15),0),0)</f>
        <v>0</v>
      </c>
      <c r="AN318" s="632">
        <f ca="1">IF(AND($D318="Serviço",AN$12&lt;&gt;0,$H318&gt;0,OR(AUTOEVENTO&lt;&gt;"manual",$M318&lt;&gt;1)),ROUND(OFFSET($P318,0,AN$13),15-13*ORÇAMENTO!$AF$7)/$H318*OFFSET(ORÇAMENTO!$X$15,ROW(AN318)-ROW(AN$15),0),0)</f>
        <v>0</v>
      </c>
      <c r="AO318" s="632">
        <f ca="1">IF(AND($D318="Serviço",AO$12&lt;&gt;0,$H318&gt;0,OR(AUTOEVENTO&lt;&gt;"manual",$M318&lt;&gt;1)),ROUND(OFFSET($P318,0,AO$13),15-13*ORÇAMENTO!$AF$7)/$H318*OFFSET(ORÇAMENTO!$X$15,ROW(AO318)-ROW(AO$15),0),0)</f>
        <v>0</v>
      </c>
      <c r="AP318" s="632">
        <f ca="1">IF(AND($D318="Serviço",AP$12&lt;&gt;0,$H318&gt;0,OR(AUTOEVENTO&lt;&gt;"manual",$M318&lt;&gt;1)),ROUND(OFFSET($P318,0,AP$13),15-13*ORÇAMENTO!$AF$7)/$H318*OFFSET(ORÇAMENTO!$X$15,ROW(AP318)-ROW(AP$15),0),0)</f>
        <v>0</v>
      </c>
      <c r="AQ318" s="632">
        <f ca="1">IF(AND($D318="Serviço",AQ$12&lt;&gt;0,$H318&gt;0,OR(AUTOEVENTO&lt;&gt;"manual",$M318&lt;&gt;1)),ROUND(OFFSET($P318,0,AQ$13),15-13*ORÇAMENTO!$AF$7)/$H318*OFFSET(ORÇAMENTO!$X$15,ROW(AQ318)-ROW(AQ$15),0),0)</f>
        <v>0</v>
      </c>
      <c r="AR318" s="632">
        <f ca="1">IF(AND($D318="Serviço",AR$12&lt;&gt;0,$H318&gt;0,OR(AUTOEVENTO&lt;&gt;"manual",$M318&lt;&gt;1)),ROUND(OFFSET($P318,0,AR$13),15-13*ORÇAMENTO!$AF$7)/$H318*OFFSET(ORÇAMENTO!$X$15,ROW(AR318)-ROW(AR$15),0),0)</f>
        <v>0</v>
      </c>
      <c r="AS318" s="633">
        <f ca="1">IF(AND($D318="Serviço",AS$12&lt;&gt;0,$H318&gt;0,OR(AUTOEVENTO&lt;&gt;"manual",$M318&lt;&gt;1)),ROUND(OFFSET($P318,0,AS$13),15-13*ORÇAMENTO!$AF$7)/$H318*OFFSET(ORÇAMENTO!$X$15,ROW(AS318)-ROW(AS$15),0),0)</f>
        <v>0</v>
      </c>
      <c r="AT318" s="632">
        <f ca="1">IF(AND($D318="Serviço",AT$12&lt;&gt;0,$H318&gt;0,OR(AUTOEVENTO&lt;&gt;"manual",$M318&lt;&gt;1)),ROUND(OFFSET($P318,0,AT$13),15-13*ORÇAMENTO!$AF$7)/$H318*OFFSET(ORÇAMENTO!$X$15,ROW(AT318)-ROW(AT$15),0),0)</f>
        <v>0</v>
      </c>
      <c r="AU318" s="632">
        <f ca="1">IF(AND($D318="Serviço",AU$12&lt;&gt;0,$H318&gt;0,OR(AUTOEVENTO&lt;&gt;"manual",$M318&lt;&gt;1)),ROUND(OFFSET($P318,0,AU$13),15-13*ORÇAMENTO!$AF$7)/$H318*OFFSET(ORÇAMENTO!$X$15,ROW(AU318)-ROW(AU$15),0),0)</f>
        <v>0</v>
      </c>
      <c r="AV318" s="632">
        <f ca="1">IF(AND($D318="Serviço",AV$12&lt;&gt;0,$H318&gt;0,OR(AUTOEVENTO&lt;&gt;"manual",$M318&lt;&gt;1)),ROUND(OFFSET($P318,0,AV$13),15-13*ORÇAMENTO!$AF$7)/$H318*OFFSET(ORÇAMENTO!$X$15,ROW(AV318)-ROW(AV$15),0),0)</f>
        <v>0</v>
      </c>
      <c r="AW318" s="632">
        <f ca="1">IF(AND($D318="Serviço",AW$12&lt;&gt;0,$H318&gt;0,OR(AUTOEVENTO&lt;&gt;"manual",$M318&lt;&gt;1)),ROUND(OFFSET($P318,0,AW$13),15-13*ORÇAMENTO!$AF$7)/$H318*OFFSET(ORÇAMENTO!$X$15,ROW(AW318)-ROW(AW$15),0),0)</f>
        <v>0</v>
      </c>
      <c r="AX318" s="632">
        <f ca="1">IF(AND($D318="Serviço",AX$12&lt;&gt;0,$H318&gt;0,OR(AUTOEVENTO&lt;&gt;"manual",$M318&lt;&gt;1)),ROUND(OFFSET($P318,0,AX$13),15-13*ORÇAMENTO!$AF$7)/$H318*OFFSET(ORÇAMENTO!$X$15,ROW(AX318)-ROW(AX$15),0),0)</f>
        <v>0</v>
      </c>
      <c r="AY318" s="632">
        <f ca="1">IF(AND($D318="Serviço",AY$12&lt;&gt;0,$H318&gt;0,OR(AUTOEVENTO&lt;&gt;"manual",$M318&lt;&gt;1)),ROUND(OFFSET($P318,0,AY$13),15-13*ORÇAMENTO!$AF$7)/$H318*OFFSET(ORÇAMENTO!$X$15,ROW(AY318)-ROW(AY$15),0),0)</f>
        <v>0</v>
      </c>
      <c r="AZ318" s="632">
        <f ca="1">IF(AND($D318="Serviço",AZ$12&lt;&gt;0,$H318&gt;0,OR(AUTOEVENTO&lt;&gt;"manual",$M318&lt;&gt;1)),ROUND(OFFSET($P318,0,AZ$13),15-13*ORÇAMENTO!$AF$7)/$H318*OFFSET(ORÇAMENTO!$X$15,ROW(AZ318)-ROW(AZ$15),0),0)</f>
        <v>0</v>
      </c>
      <c r="BA318" s="633">
        <f ca="1">IF(AND($D318="Serviço",BA$12&lt;&gt;0,$H318&gt;0,OR(AUTOEVENTO&lt;&gt;"manual",$M318&lt;&gt;1)),ROUND(OFFSET($P318,0,BA$13),15-13*ORÇAMENTO!$AF$7)/$H318*OFFSET(ORÇAMENTO!$X$15,ROW(BA318)-ROW(BA$15),0),0)</f>
        <v>0</v>
      </c>
      <c r="BC318" s="215">
        <f ca="1">IF($D318&lt;&gt;"Serviço",0,IF(AND(AUTOEVENTO="Manual",$M318=1),0,IF(OFFSET(CRONOPLE!$F$14,$M318,BC$13)="",10^12,OFFSET(CRONOPLE!$F$14,$M318,BC$13))))</f>
        <v>1000000000000</v>
      </c>
      <c r="BD318" s="215">
        <f ca="1">IF($D318&lt;&gt;"Serviço",0,IF(AND(AUTOEVENTO="Manual",$M318=1),0,IF(OFFSET(CRONOPLE!$F$14,$M318,BD$13)="",10^12,OFFSET(CRONOPLE!$F$14,$M318,BD$13))))</f>
        <v>1000000000000</v>
      </c>
      <c r="BE318" s="215">
        <f ca="1">IF($D318&lt;&gt;"Serviço",0,IF(AND(AUTOEVENTO="Manual",$M318=1),0,IF(OFFSET(CRONOPLE!$F$14,$M318,BE$13)="",10^12,OFFSET(CRONOPLE!$F$14,$M318,BE$13))))</f>
        <v>1000000000000</v>
      </c>
      <c r="BF318" s="215">
        <f ca="1">IF($D318&lt;&gt;"Serviço",0,IF(AND(AUTOEVENTO="Manual",$M318=1),0,IF(OFFSET(CRONOPLE!$F$14,$M318,BF$13)="",10^12,OFFSET(CRONOPLE!$F$14,$M318,BF$13))))</f>
        <v>1000000000000</v>
      </c>
      <c r="BG318" s="215">
        <f ca="1">IF($D318&lt;&gt;"Serviço",0,IF(AND(AUTOEVENTO="Manual",$M318=1),0,IF(OFFSET(CRONOPLE!$F$14,$M318,BG$13)="",10^12,OFFSET(CRONOPLE!$F$14,$M318,BG$13))))</f>
        <v>1000000000000</v>
      </c>
      <c r="BH318" s="215">
        <f ca="1">IF($D318&lt;&gt;"Serviço",0,IF(AND(AUTOEVENTO="Manual",$M318=1),0,IF(OFFSET(CRONOPLE!$F$14,$M318,BH$13)="",10^12,OFFSET(CRONOPLE!$F$14,$M318,BH$13))))</f>
        <v>1000000000000</v>
      </c>
      <c r="BI318" s="215">
        <f ca="1">IF($D318&lt;&gt;"Serviço",0,IF(AND(AUTOEVENTO="Manual",$M318=1),0,IF(OFFSET(CRONOPLE!$F$14,$M318,BI$13)="",10^12,OFFSET(CRONOPLE!$F$14,$M318,BI$13))))</f>
        <v>1000000000000</v>
      </c>
      <c r="BJ318" s="215">
        <f ca="1">IF($D318&lt;&gt;"Serviço",0,IF(AND(AUTOEVENTO="Manual",$M318=1),0,IF(OFFSET(CRONOPLE!$F$14,$M318,BJ$13)="",10^12,OFFSET(CRONOPLE!$F$14,$M318,BJ$13))))</f>
        <v>1000000000000</v>
      </c>
      <c r="BK318" s="215">
        <f ca="1">IF($D318&lt;&gt;"Serviço",0,IF(AND(AUTOEVENTO="Manual",$M318=1),0,IF(OFFSET(CRONOPLE!$F$14,$M318,BK$13)="",10^12,OFFSET(CRONOPLE!$F$14,$M318,BK$13))))</f>
        <v>1000000000000</v>
      </c>
      <c r="BL318" s="215">
        <f ca="1">IF($D318&lt;&gt;"Serviço",0,IF(AND(AUTOEVENTO="Manual",$M318=1),0,IF(OFFSET(CRONOPLE!$F$14,$M318,BL$13)="",10^12,OFFSET(CRONOPLE!$F$14,$M318,BL$13))))</f>
        <v>1000000000000</v>
      </c>
      <c r="BM318" s="215">
        <f ca="1">IF($D318&lt;&gt;"Serviço",0,IF(AND(AUTOEVENTO="Manual",$M318=1),0,IF(OFFSET(CRONOPLE!$F$14,$M318,BM$13)="",10^12,OFFSET(CRONOPLE!$F$14,$M318,BM$13))))</f>
        <v>1000000000000</v>
      </c>
      <c r="BN318" s="215">
        <f ca="1">IF($D318&lt;&gt;"Serviço",0,IF(AND(AUTOEVENTO="Manual",$M318=1),0,IF(OFFSET(CRONOPLE!$F$14,$M318,BN$13)="",10^12,OFFSET(CRONOPLE!$F$14,$M318,BN$13))))</f>
        <v>1000000000000</v>
      </c>
      <c r="BO318" s="215">
        <f ca="1">IF($D318&lt;&gt;"Serviço",0,IF(AND(AUTOEVENTO="Manual",$M318=1),0,IF(OFFSET(CRONOPLE!$F$14,$M318,BO$13)="",10^12,OFFSET(CRONOPLE!$F$14,$M318,BO$13))))</f>
        <v>1000000000000</v>
      </c>
      <c r="BP318" s="215">
        <f ca="1">IF($D318&lt;&gt;"Serviço",0,IF(AND(AUTOEVENTO="Manual",$M318=1),0,IF(OFFSET(CRONOPLE!$F$14,$M318,BP$13)="",10^12,OFFSET(CRONOPLE!$F$14,$M318,BP$13))))</f>
        <v>1000000000000</v>
      </c>
      <c r="BQ318" s="215">
        <f ca="1">IF($D318&lt;&gt;"Serviço",0,IF(AND(AUTOEVENTO="Manual",$M318=1),0,IF(OFFSET(CRONOPLE!$F$14,$M318,BQ$13)="",10^12,OFFSET(CRONOPLE!$F$14,$M318,BQ$13))))</f>
        <v>1000000000000</v>
      </c>
      <c r="BR318" s="215">
        <f ca="1">IF($D318&lt;&gt;"Serviço",0,IF(AND(AUTOEVENTO="Manual",$M318=1),0,IF(OFFSET(CRONOPLE!$F$14,$M318,BR$13)="",10^12,OFFSET(CRONOPLE!$F$14,$M318,BR$13))))</f>
        <v>1000000000000</v>
      </c>
      <c r="BS318" s="215">
        <f ca="1">IF($D318&lt;&gt;"Serviço",0,IF(AND(AUTOEVENTO="Manual",$M318=1),0,IF(OFFSET(CRONOPLE!$F$14,$M318,BS$13)="",10^12,OFFSET(CRONOPLE!$F$14,$M318,BS$13))))</f>
        <v>1000000000000</v>
      </c>
      <c r="BT318" s="215">
        <f ca="1">IF($D318&lt;&gt;"Serviço",0,IF(AND(AUTOEVENTO="Manual",$M318=1),0,IF(OFFSET(CRONOPLE!$F$14,$M318,BT$13)="",10^12,OFFSET(CRONOPLE!$F$14,$M318,BT$13))))</f>
        <v>1000000000000</v>
      </c>
      <c r="BV318" s="216">
        <f ca="1">IF($D318&lt;&gt;"Serviço",0,IF(OR(AND(AUTOEVENTO="Manual",$M318=1),$M318&gt;(ROW(PLE.lastrow)-ROW(PLE.firstrow))),0,IF(OFFSET(PLE!$G$14,$M318,BV$13)="",10^12,OFFSET(PLE!$G$14,$M318,BV$13))))</f>
        <v>1000000000000</v>
      </c>
      <c r="BW318" s="216">
        <f ca="1">IF($D318&lt;&gt;"Serviço",0,IF(OR(AND(AUTOEVENTO="Manual",$M318=1),$M318&gt;(ROW(PLE.lastrow)-ROW(PLE.firstrow))),0,IF(OFFSET(PLE!$G$14,$M318,BW$13)="",10^12,OFFSET(PLE!$G$14,$M318,BW$13))))</f>
        <v>1000000000000</v>
      </c>
      <c r="BX318" s="216">
        <f ca="1">IF($D318&lt;&gt;"Serviço",0,IF(OR(AND(AUTOEVENTO="Manual",$M318=1),$M318&gt;(ROW(PLE.lastrow)-ROW(PLE.firstrow))),0,IF(OFFSET(PLE!$G$14,$M318,BX$13)="",10^12,OFFSET(PLE!$G$14,$M318,BX$13))))</f>
        <v>1000000000000</v>
      </c>
      <c r="BY318" s="216">
        <f ca="1">IF($D318&lt;&gt;"Serviço",0,IF(OR(AND(AUTOEVENTO="Manual",$M318=1),$M318&gt;(ROW(PLE.lastrow)-ROW(PLE.firstrow))),0,IF(OFFSET(PLE!$G$14,$M318,BY$13)="",10^12,OFFSET(PLE!$G$14,$M318,BY$13))))</f>
        <v>1000000000000</v>
      </c>
      <c r="BZ318" s="216">
        <f ca="1">IF($D318&lt;&gt;"Serviço",0,IF(OR(AND(AUTOEVENTO="Manual",$M318=1),$M318&gt;(ROW(PLE.lastrow)-ROW(PLE.firstrow))),0,IF(OFFSET(PLE!$G$14,$M318,BZ$13)="",10^12,OFFSET(PLE!$G$14,$M318,BZ$13))))</f>
        <v>1000000000000</v>
      </c>
      <c r="CA318" s="216">
        <f ca="1">IF($D318&lt;&gt;"Serviço",0,IF(OR(AND(AUTOEVENTO="Manual",$M318=1),$M318&gt;(ROW(PLE.lastrow)-ROW(PLE.firstrow))),0,IF(OFFSET(PLE!$G$14,$M318,CA$13)="",10^12,OFFSET(PLE!$G$14,$M318,CA$13))))</f>
        <v>1000000000000</v>
      </c>
      <c r="CB318" s="216">
        <f ca="1">IF($D318&lt;&gt;"Serviço",0,IF(OR(AND(AUTOEVENTO="Manual",$M318=1),$M318&gt;(ROW(PLE.lastrow)-ROW(PLE.firstrow))),0,IF(OFFSET(PLE!$G$14,$M318,CB$13)="",10^12,OFFSET(PLE!$G$14,$M318,CB$13))))</f>
        <v>1000000000000</v>
      </c>
      <c r="CC318" s="216">
        <f ca="1">IF($D318&lt;&gt;"Serviço",0,IF(OR(AND(AUTOEVENTO="Manual",$M318=1),$M318&gt;(ROW(PLE.lastrow)-ROW(PLE.firstrow))),0,IF(OFFSET(PLE!$G$14,$M318,CC$13)="",10^12,OFFSET(PLE!$G$14,$M318,CC$13))))</f>
        <v>1000000000000</v>
      </c>
      <c r="CD318" s="216">
        <f ca="1">IF($D318&lt;&gt;"Serviço",0,IF(OR(AND(AUTOEVENTO="Manual",$M318=1),$M318&gt;(ROW(PLE.lastrow)-ROW(PLE.firstrow))),0,IF(OFFSET(PLE!$G$14,$M318,CD$13)="",10^12,OFFSET(PLE!$G$14,$M318,CD$13))))</f>
        <v>1000000000000</v>
      </c>
      <c r="CE318" s="216">
        <f ca="1">IF($D318&lt;&gt;"Serviço",0,IF(OR(AND(AUTOEVENTO="Manual",$M318=1),$M318&gt;(ROW(PLE.lastrow)-ROW(PLE.firstrow))),0,IF(OFFSET(PLE!$G$14,$M318,CE$13)="",10^12,OFFSET(PLE!$G$14,$M318,CE$13))))</f>
        <v>1000000000000</v>
      </c>
      <c r="CF318" s="216">
        <f ca="1">IF($D318&lt;&gt;"Serviço",0,IF(OR(AND(AUTOEVENTO="Manual",$M318=1),$M318&gt;(ROW(PLE.lastrow)-ROW(PLE.firstrow))),0,IF(OFFSET(PLE!$G$14,$M318,CF$13)="",10^12,OFFSET(PLE!$G$14,$M318,CF$13))))</f>
        <v>1000000000000</v>
      </c>
      <c r="CG318" s="216">
        <f ca="1">IF($D318&lt;&gt;"Serviço",0,IF(OR(AND(AUTOEVENTO="Manual",$M318=1),$M318&gt;(ROW(PLE.lastrow)-ROW(PLE.firstrow))),0,IF(OFFSET(PLE!$G$14,$M318,CG$13)="",10^12,OFFSET(PLE!$G$14,$M318,CG$13))))</f>
        <v>1000000000000</v>
      </c>
      <c r="CH318" s="216">
        <f ca="1">IF($D318&lt;&gt;"Serviço",0,IF(OR(AND(AUTOEVENTO="Manual",$M318=1),$M318&gt;(ROW(PLE.lastrow)-ROW(PLE.firstrow))),0,IF(OFFSET(PLE!$G$14,$M318,CH$13)="",10^12,OFFSET(PLE!$G$14,$M318,CH$13))))</f>
        <v>1000000000000</v>
      </c>
      <c r="CI318" s="216">
        <f ca="1">IF($D318&lt;&gt;"Serviço",0,IF(OR(AND(AUTOEVENTO="Manual",$M318=1),$M318&gt;(ROW(PLE.lastrow)-ROW(PLE.firstrow))),0,IF(OFFSET(PLE!$G$14,$M318,CI$13)="",10^12,OFFSET(PLE!$G$14,$M318,CI$13))))</f>
        <v>1000000000000</v>
      </c>
      <c r="CJ318" s="216">
        <f ca="1">IF($D318&lt;&gt;"Serviço",0,IF(OR(AND(AUTOEVENTO="Manual",$M318=1),$M318&gt;(ROW(PLE.lastrow)-ROW(PLE.firstrow))),0,IF(OFFSET(PLE!$G$14,$M318,CJ$13)="",10^12,OFFSET(PLE!$G$14,$M318,CJ$13))))</f>
        <v>1000000000000</v>
      </c>
      <c r="CK318" s="216">
        <f ca="1">IF($D318&lt;&gt;"Serviço",0,IF(OR(AND(AUTOEVENTO="Manual",$M318=1),$M318&gt;(ROW(PLE.lastrow)-ROW(PLE.firstrow))),0,IF(OFFSET(PLE!$G$14,$M318,CK$13)="",10^12,OFFSET(PLE!$G$14,$M318,CK$13))))</f>
        <v>1000000000000</v>
      </c>
      <c r="CL318" s="216">
        <f ca="1">IF($D318&lt;&gt;"Serviço",0,IF(OR(AND(AUTOEVENTO="Manual",$M318=1),$M318&gt;(ROW(PLE.lastrow)-ROW(PLE.firstrow))),0,IF(OFFSET(PLE!$G$14,$M318,CL$13)="",10^12,OFFSET(PLE!$G$14,$M318,CL$13))))</f>
        <v>1000000000000</v>
      </c>
      <c r="CM318" s="216">
        <f ca="1">IF($D318&lt;&gt;"Serviço",0,IF(OR(AND(AUTOEVENTO="Manual",$M318=1),$M318&gt;(ROW(PLE.lastrow)-ROW(PLE.firstrow))),0,IF(OFFSET(PLE!$G$14,$M318,CM$13)="",10^12,OFFSET(PLE!$G$14,$M318,CM$13))))</f>
        <v>1000000000000</v>
      </c>
    </row>
    <row r="319" spans="1:91" ht="13.2" x14ac:dyDescent="0.25">
      <c r="A319" s="9">
        <f t="shared" ca="1" si="13"/>
        <v>0</v>
      </c>
      <c r="B319" s="9" t="str">
        <f ca="1">OFFSET(ORÇAMENTO!C$15,ROW(B319)-ROW(B$15),0)</f>
        <v>S</v>
      </c>
      <c r="C319" s="9" t="str">
        <f ca="1">OFFSET(ORÇAMENTO!L$15,ROW(C319)-ROW(C$15),0)</f>
        <v/>
      </c>
      <c r="D319" s="145" t="str">
        <f ca="1">OFFSET(ORÇAMENTO!N$15,ROW(D319)-ROW(D$15),0)</f>
        <v>Serviço</v>
      </c>
      <c r="E319" s="205" t="str">
        <f ca="1">OFFSET(ORÇAMENTO!O$15,ROW(E319)-ROW(E$15),0)</f>
        <v>-</v>
      </c>
      <c r="F319" s="206" t="str">
        <f ca="1">OFFSET(ORÇAMENTO!R$15,ROW(F319)-ROW(F$15),0)</f>
        <v>(abra o arquivo 'Referência 05-2024.xls)</v>
      </c>
      <c r="G319" s="207" t="str">
        <f ca="1">IF($D319&lt;&gt;"Serviço","",OFFSET(ORÇAMENTO!S$15,ROW(G319)-ROW(G$15),0))</f>
        <v>-</v>
      </c>
      <c r="H319" s="151">
        <f ca="1">IF($D319&lt;&gt;"Serviço",0,IF(ACOMPANHAMENTO="BM",ROUND(OFFSET(ORÇAMENTO!AJ$15,ROW(H319)-ROW(H$15),0),15-13*ORÇAMENTO!$AF$7),SUMPRODUCT(($Q$12:$AI$12&lt;&gt;"")*ROUND($Q319:$AI319,15-13*ORÇAMENTO!$AF$7))))</f>
        <v>2</v>
      </c>
      <c r="I319" s="650"/>
      <c r="K319" s="208"/>
      <c r="L319" s="209" t="s">
        <v>257</v>
      </c>
      <c r="M319" s="210">
        <f ca="1">IF($D319&lt;&gt;"Serviço","",IF(AUTOEVENTO="manual",$A319,IF(ISERROR(MATCH($A319,$A$15:OFFSET($A319,-1,0),0)),MAX($M$15:OFFSET(M319,-1,0))+1,INDEX($M$15:OFFSET(M319,-1,0),MATCH($A319,$A$15:OFFSET($A319,-1,0),0)))))</f>
        <v>0</v>
      </c>
      <c r="N319" s="211" t="str">
        <f ca="1">IF($D319&lt;&gt;"Serviço","",IF(AUTOEVENTO="Manual",IF($A319=0,"&lt;-- defina o número do agrupador",OFFSET(EVENTOS!$D$14,$A319,0)),OFFSET($F$15,$A319,0)))</f>
        <v>&lt;-- defina o número do agrupador</v>
      </c>
      <c r="O319" s="212"/>
      <c r="Q319" s="212"/>
      <c r="R319" s="213"/>
      <c r="S319" s="213"/>
      <c r="T319" s="213"/>
      <c r="U319" s="213"/>
      <c r="V319" s="213"/>
      <c r="W319" s="213"/>
      <c r="X319" s="213"/>
      <c r="Y319" s="213"/>
      <c r="Z319" s="214"/>
      <c r="AA319" s="213"/>
      <c r="AB319" s="213"/>
      <c r="AC319" s="213"/>
      <c r="AD319" s="213"/>
      <c r="AE319" s="213"/>
      <c r="AF319" s="213"/>
      <c r="AG319" s="213"/>
      <c r="AH319" s="214"/>
      <c r="AJ319" s="631">
        <f ca="1">IF(AND($D319="Serviço",AJ$12&lt;&gt;0,$H319&gt;0,OR(AUTOEVENTO&lt;&gt;"manual",$M319&lt;&gt;1)),ROUND(OFFSET($P319,0,AJ$13),15-13*ORÇAMENTO!$AF$7)/$H319*OFFSET(ORÇAMENTO!$X$15,ROW(AJ319)-ROW(AJ$15),0),0)</f>
        <v>0</v>
      </c>
      <c r="AK319" s="632">
        <f ca="1">IF(AND($D319="Serviço",AK$12&lt;&gt;0,$H319&gt;0,OR(AUTOEVENTO&lt;&gt;"manual",$M319&lt;&gt;1)),ROUND(OFFSET($P319,0,AK$13),15-13*ORÇAMENTO!$AF$7)/$H319*OFFSET(ORÇAMENTO!$X$15,ROW(AK319)-ROW(AK$15),0),0)</f>
        <v>0</v>
      </c>
      <c r="AL319" s="632">
        <f ca="1">IF(AND($D319="Serviço",AL$12&lt;&gt;0,$H319&gt;0,OR(AUTOEVENTO&lt;&gt;"manual",$M319&lt;&gt;1)),ROUND(OFFSET($P319,0,AL$13),15-13*ORÇAMENTO!$AF$7)/$H319*OFFSET(ORÇAMENTO!$X$15,ROW(AL319)-ROW(AL$15),0),0)</f>
        <v>0</v>
      </c>
      <c r="AM319" s="632">
        <f ca="1">IF(AND($D319="Serviço",AM$12&lt;&gt;0,$H319&gt;0,OR(AUTOEVENTO&lt;&gt;"manual",$M319&lt;&gt;1)),ROUND(OFFSET($P319,0,AM$13),15-13*ORÇAMENTO!$AF$7)/$H319*OFFSET(ORÇAMENTO!$X$15,ROW(AM319)-ROW(AM$15),0),0)</f>
        <v>0</v>
      </c>
      <c r="AN319" s="632">
        <f ca="1">IF(AND($D319="Serviço",AN$12&lt;&gt;0,$H319&gt;0,OR(AUTOEVENTO&lt;&gt;"manual",$M319&lt;&gt;1)),ROUND(OFFSET($P319,0,AN$13),15-13*ORÇAMENTO!$AF$7)/$H319*OFFSET(ORÇAMENTO!$X$15,ROW(AN319)-ROW(AN$15),0),0)</f>
        <v>0</v>
      </c>
      <c r="AO319" s="632">
        <f ca="1">IF(AND($D319="Serviço",AO$12&lt;&gt;0,$H319&gt;0,OR(AUTOEVENTO&lt;&gt;"manual",$M319&lt;&gt;1)),ROUND(OFFSET($P319,0,AO$13),15-13*ORÇAMENTO!$AF$7)/$H319*OFFSET(ORÇAMENTO!$X$15,ROW(AO319)-ROW(AO$15),0),0)</f>
        <v>0</v>
      </c>
      <c r="AP319" s="632">
        <f ca="1">IF(AND($D319="Serviço",AP$12&lt;&gt;0,$H319&gt;0,OR(AUTOEVENTO&lt;&gt;"manual",$M319&lt;&gt;1)),ROUND(OFFSET($P319,0,AP$13),15-13*ORÇAMENTO!$AF$7)/$H319*OFFSET(ORÇAMENTO!$X$15,ROW(AP319)-ROW(AP$15),0),0)</f>
        <v>0</v>
      </c>
      <c r="AQ319" s="632">
        <f ca="1">IF(AND($D319="Serviço",AQ$12&lt;&gt;0,$H319&gt;0,OR(AUTOEVENTO&lt;&gt;"manual",$M319&lt;&gt;1)),ROUND(OFFSET($P319,0,AQ$13),15-13*ORÇAMENTO!$AF$7)/$H319*OFFSET(ORÇAMENTO!$X$15,ROW(AQ319)-ROW(AQ$15),0),0)</f>
        <v>0</v>
      </c>
      <c r="AR319" s="632">
        <f ca="1">IF(AND($D319="Serviço",AR$12&lt;&gt;0,$H319&gt;0,OR(AUTOEVENTO&lt;&gt;"manual",$M319&lt;&gt;1)),ROUND(OFFSET($P319,0,AR$13),15-13*ORÇAMENTO!$AF$7)/$H319*OFFSET(ORÇAMENTO!$X$15,ROW(AR319)-ROW(AR$15),0),0)</f>
        <v>0</v>
      </c>
      <c r="AS319" s="633">
        <f ca="1">IF(AND($D319="Serviço",AS$12&lt;&gt;0,$H319&gt;0,OR(AUTOEVENTO&lt;&gt;"manual",$M319&lt;&gt;1)),ROUND(OFFSET($P319,0,AS$13),15-13*ORÇAMENTO!$AF$7)/$H319*OFFSET(ORÇAMENTO!$X$15,ROW(AS319)-ROW(AS$15),0),0)</f>
        <v>0</v>
      </c>
      <c r="AT319" s="632">
        <f ca="1">IF(AND($D319="Serviço",AT$12&lt;&gt;0,$H319&gt;0,OR(AUTOEVENTO&lt;&gt;"manual",$M319&lt;&gt;1)),ROUND(OFFSET($P319,0,AT$13),15-13*ORÇAMENTO!$AF$7)/$H319*OFFSET(ORÇAMENTO!$X$15,ROW(AT319)-ROW(AT$15),0),0)</f>
        <v>0</v>
      </c>
      <c r="AU319" s="632">
        <f ca="1">IF(AND($D319="Serviço",AU$12&lt;&gt;0,$H319&gt;0,OR(AUTOEVENTO&lt;&gt;"manual",$M319&lt;&gt;1)),ROUND(OFFSET($P319,0,AU$13),15-13*ORÇAMENTO!$AF$7)/$H319*OFFSET(ORÇAMENTO!$X$15,ROW(AU319)-ROW(AU$15),0),0)</f>
        <v>0</v>
      </c>
      <c r="AV319" s="632">
        <f ca="1">IF(AND($D319="Serviço",AV$12&lt;&gt;0,$H319&gt;0,OR(AUTOEVENTO&lt;&gt;"manual",$M319&lt;&gt;1)),ROUND(OFFSET($P319,0,AV$13),15-13*ORÇAMENTO!$AF$7)/$H319*OFFSET(ORÇAMENTO!$X$15,ROW(AV319)-ROW(AV$15),0),0)</f>
        <v>0</v>
      </c>
      <c r="AW319" s="632">
        <f ca="1">IF(AND($D319="Serviço",AW$12&lt;&gt;0,$H319&gt;0,OR(AUTOEVENTO&lt;&gt;"manual",$M319&lt;&gt;1)),ROUND(OFFSET($P319,0,AW$13),15-13*ORÇAMENTO!$AF$7)/$H319*OFFSET(ORÇAMENTO!$X$15,ROW(AW319)-ROW(AW$15),0),0)</f>
        <v>0</v>
      </c>
      <c r="AX319" s="632">
        <f ca="1">IF(AND($D319="Serviço",AX$12&lt;&gt;0,$H319&gt;0,OR(AUTOEVENTO&lt;&gt;"manual",$M319&lt;&gt;1)),ROUND(OFFSET($P319,0,AX$13),15-13*ORÇAMENTO!$AF$7)/$H319*OFFSET(ORÇAMENTO!$X$15,ROW(AX319)-ROW(AX$15),0),0)</f>
        <v>0</v>
      </c>
      <c r="AY319" s="632">
        <f ca="1">IF(AND($D319="Serviço",AY$12&lt;&gt;0,$H319&gt;0,OR(AUTOEVENTO&lt;&gt;"manual",$M319&lt;&gt;1)),ROUND(OFFSET($P319,0,AY$13),15-13*ORÇAMENTO!$AF$7)/$H319*OFFSET(ORÇAMENTO!$X$15,ROW(AY319)-ROW(AY$15),0),0)</f>
        <v>0</v>
      </c>
      <c r="AZ319" s="632">
        <f ca="1">IF(AND($D319="Serviço",AZ$12&lt;&gt;0,$H319&gt;0,OR(AUTOEVENTO&lt;&gt;"manual",$M319&lt;&gt;1)),ROUND(OFFSET($P319,0,AZ$13),15-13*ORÇAMENTO!$AF$7)/$H319*OFFSET(ORÇAMENTO!$X$15,ROW(AZ319)-ROW(AZ$15),0),0)</f>
        <v>0</v>
      </c>
      <c r="BA319" s="633">
        <f ca="1">IF(AND($D319="Serviço",BA$12&lt;&gt;0,$H319&gt;0,OR(AUTOEVENTO&lt;&gt;"manual",$M319&lt;&gt;1)),ROUND(OFFSET($P319,0,BA$13),15-13*ORÇAMENTO!$AF$7)/$H319*OFFSET(ORÇAMENTO!$X$15,ROW(BA319)-ROW(BA$15),0),0)</f>
        <v>0</v>
      </c>
      <c r="BC319" s="215">
        <f ca="1">IF($D319&lt;&gt;"Serviço",0,IF(AND(AUTOEVENTO="Manual",$M319=1),0,IF(OFFSET(CRONOPLE!$F$14,$M319,BC$13)="",10^12,OFFSET(CRONOPLE!$F$14,$M319,BC$13))))</f>
        <v>1000000000000</v>
      </c>
      <c r="BD319" s="215">
        <f ca="1">IF($D319&lt;&gt;"Serviço",0,IF(AND(AUTOEVENTO="Manual",$M319=1),0,IF(OFFSET(CRONOPLE!$F$14,$M319,BD$13)="",10^12,OFFSET(CRONOPLE!$F$14,$M319,BD$13))))</f>
        <v>1000000000000</v>
      </c>
      <c r="BE319" s="215">
        <f ca="1">IF($D319&lt;&gt;"Serviço",0,IF(AND(AUTOEVENTO="Manual",$M319=1),0,IF(OFFSET(CRONOPLE!$F$14,$M319,BE$13)="",10^12,OFFSET(CRONOPLE!$F$14,$M319,BE$13))))</f>
        <v>1000000000000</v>
      </c>
      <c r="BF319" s="215">
        <f ca="1">IF($D319&lt;&gt;"Serviço",0,IF(AND(AUTOEVENTO="Manual",$M319=1),0,IF(OFFSET(CRONOPLE!$F$14,$M319,BF$13)="",10^12,OFFSET(CRONOPLE!$F$14,$M319,BF$13))))</f>
        <v>1000000000000</v>
      </c>
      <c r="BG319" s="215">
        <f ca="1">IF($D319&lt;&gt;"Serviço",0,IF(AND(AUTOEVENTO="Manual",$M319=1),0,IF(OFFSET(CRONOPLE!$F$14,$M319,BG$13)="",10^12,OFFSET(CRONOPLE!$F$14,$M319,BG$13))))</f>
        <v>1000000000000</v>
      </c>
      <c r="BH319" s="215">
        <f ca="1">IF($D319&lt;&gt;"Serviço",0,IF(AND(AUTOEVENTO="Manual",$M319=1),0,IF(OFFSET(CRONOPLE!$F$14,$M319,BH$13)="",10^12,OFFSET(CRONOPLE!$F$14,$M319,BH$13))))</f>
        <v>1000000000000</v>
      </c>
      <c r="BI319" s="215">
        <f ca="1">IF($D319&lt;&gt;"Serviço",0,IF(AND(AUTOEVENTO="Manual",$M319=1),0,IF(OFFSET(CRONOPLE!$F$14,$M319,BI$13)="",10^12,OFFSET(CRONOPLE!$F$14,$M319,BI$13))))</f>
        <v>1000000000000</v>
      </c>
      <c r="BJ319" s="215">
        <f ca="1">IF($D319&lt;&gt;"Serviço",0,IF(AND(AUTOEVENTO="Manual",$M319=1),0,IF(OFFSET(CRONOPLE!$F$14,$M319,BJ$13)="",10^12,OFFSET(CRONOPLE!$F$14,$M319,BJ$13))))</f>
        <v>1000000000000</v>
      </c>
      <c r="BK319" s="215">
        <f ca="1">IF($D319&lt;&gt;"Serviço",0,IF(AND(AUTOEVENTO="Manual",$M319=1),0,IF(OFFSET(CRONOPLE!$F$14,$M319,BK$13)="",10^12,OFFSET(CRONOPLE!$F$14,$M319,BK$13))))</f>
        <v>1000000000000</v>
      </c>
      <c r="BL319" s="215">
        <f ca="1">IF($D319&lt;&gt;"Serviço",0,IF(AND(AUTOEVENTO="Manual",$M319=1),0,IF(OFFSET(CRONOPLE!$F$14,$M319,BL$13)="",10^12,OFFSET(CRONOPLE!$F$14,$M319,BL$13))))</f>
        <v>1000000000000</v>
      </c>
      <c r="BM319" s="215">
        <f ca="1">IF($D319&lt;&gt;"Serviço",0,IF(AND(AUTOEVENTO="Manual",$M319=1),0,IF(OFFSET(CRONOPLE!$F$14,$M319,BM$13)="",10^12,OFFSET(CRONOPLE!$F$14,$M319,BM$13))))</f>
        <v>1000000000000</v>
      </c>
      <c r="BN319" s="215">
        <f ca="1">IF($D319&lt;&gt;"Serviço",0,IF(AND(AUTOEVENTO="Manual",$M319=1),0,IF(OFFSET(CRONOPLE!$F$14,$M319,BN$13)="",10^12,OFFSET(CRONOPLE!$F$14,$M319,BN$13))))</f>
        <v>1000000000000</v>
      </c>
      <c r="BO319" s="215">
        <f ca="1">IF($D319&lt;&gt;"Serviço",0,IF(AND(AUTOEVENTO="Manual",$M319=1),0,IF(OFFSET(CRONOPLE!$F$14,$M319,BO$13)="",10^12,OFFSET(CRONOPLE!$F$14,$M319,BO$13))))</f>
        <v>1000000000000</v>
      </c>
      <c r="BP319" s="215">
        <f ca="1">IF($D319&lt;&gt;"Serviço",0,IF(AND(AUTOEVENTO="Manual",$M319=1),0,IF(OFFSET(CRONOPLE!$F$14,$M319,BP$13)="",10^12,OFFSET(CRONOPLE!$F$14,$M319,BP$13))))</f>
        <v>1000000000000</v>
      </c>
      <c r="BQ319" s="215">
        <f ca="1">IF($D319&lt;&gt;"Serviço",0,IF(AND(AUTOEVENTO="Manual",$M319=1),0,IF(OFFSET(CRONOPLE!$F$14,$M319,BQ$13)="",10^12,OFFSET(CRONOPLE!$F$14,$M319,BQ$13))))</f>
        <v>1000000000000</v>
      </c>
      <c r="BR319" s="215">
        <f ca="1">IF($D319&lt;&gt;"Serviço",0,IF(AND(AUTOEVENTO="Manual",$M319=1),0,IF(OFFSET(CRONOPLE!$F$14,$M319,BR$13)="",10^12,OFFSET(CRONOPLE!$F$14,$M319,BR$13))))</f>
        <v>1000000000000</v>
      </c>
      <c r="BS319" s="215">
        <f ca="1">IF($D319&lt;&gt;"Serviço",0,IF(AND(AUTOEVENTO="Manual",$M319=1),0,IF(OFFSET(CRONOPLE!$F$14,$M319,BS$13)="",10^12,OFFSET(CRONOPLE!$F$14,$M319,BS$13))))</f>
        <v>1000000000000</v>
      </c>
      <c r="BT319" s="215">
        <f ca="1">IF($D319&lt;&gt;"Serviço",0,IF(AND(AUTOEVENTO="Manual",$M319=1),0,IF(OFFSET(CRONOPLE!$F$14,$M319,BT$13)="",10^12,OFFSET(CRONOPLE!$F$14,$M319,BT$13))))</f>
        <v>1000000000000</v>
      </c>
      <c r="BV319" s="216">
        <f ca="1">IF($D319&lt;&gt;"Serviço",0,IF(OR(AND(AUTOEVENTO="Manual",$M319=1),$M319&gt;(ROW(PLE.lastrow)-ROW(PLE.firstrow))),0,IF(OFFSET(PLE!$G$14,$M319,BV$13)="",10^12,OFFSET(PLE!$G$14,$M319,BV$13))))</f>
        <v>1000000000000</v>
      </c>
      <c r="BW319" s="216">
        <f ca="1">IF($D319&lt;&gt;"Serviço",0,IF(OR(AND(AUTOEVENTO="Manual",$M319=1),$M319&gt;(ROW(PLE.lastrow)-ROW(PLE.firstrow))),0,IF(OFFSET(PLE!$G$14,$M319,BW$13)="",10^12,OFFSET(PLE!$G$14,$M319,BW$13))))</f>
        <v>1000000000000</v>
      </c>
      <c r="BX319" s="216">
        <f ca="1">IF($D319&lt;&gt;"Serviço",0,IF(OR(AND(AUTOEVENTO="Manual",$M319=1),$M319&gt;(ROW(PLE.lastrow)-ROW(PLE.firstrow))),0,IF(OFFSET(PLE!$G$14,$M319,BX$13)="",10^12,OFFSET(PLE!$G$14,$M319,BX$13))))</f>
        <v>1000000000000</v>
      </c>
      <c r="BY319" s="216">
        <f ca="1">IF($D319&lt;&gt;"Serviço",0,IF(OR(AND(AUTOEVENTO="Manual",$M319=1),$M319&gt;(ROW(PLE.lastrow)-ROW(PLE.firstrow))),0,IF(OFFSET(PLE!$G$14,$M319,BY$13)="",10^12,OFFSET(PLE!$G$14,$M319,BY$13))))</f>
        <v>1000000000000</v>
      </c>
      <c r="BZ319" s="216">
        <f ca="1">IF($D319&lt;&gt;"Serviço",0,IF(OR(AND(AUTOEVENTO="Manual",$M319=1),$M319&gt;(ROW(PLE.lastrow)-ROW(PLE.firstrow))),0,IF(OFFSET(PLE!$G$14,$M319,BZ$13)="",10^12,OFFSET(PLE!$G$14,$M319,BZ$13))))</f>
        <v>1000000000000</v>
      </c>
      <c r="CA319" s="216">
        <f ca="1">IF($D319&lt;&gt;"Serviço",0,IF(OR(AND(AUTOEVENTO="Manual",$M319=1),$M319&gt;(ROW(PLE.lastrow)-ROW(PLE.firstrow))),0,IF(OFFSET(PLE!$G$14,$M319,CA$13)="",10^12,OFFSET(PLE!$G$14,$M319,CA$13))))</f>
        <v>1000000000000</v>
      </c>
      <c r="CB319" s="216">
        <f ca="1">IF($D319&lt;&gt;"Serviço",0,IF(OR(AND(AUTOEVENTO="Manual",$M319=1),$M319&gt;(ROW(PLE.lastrow)-ROW(PLE.firstrow))),0,IF(OFFSET(PLE!$G$14,$M319,CB$13)="",10^12,OFFSET(PLE!$G$14,$M319,CB$13))))</f>
        <v>1000000000000</v>
      </c>
      <c r="CC319" s="216">
        <f ca="1">IF($D319&lt;&gt;"Serviço",0,IF(OR(AND(AUTOEVENTO="Manual",$M319=1),$M319&gt;(ROW(PLE.lastrow)-ROW(PLE.firstrow))),0,IF(OFFSET(PLE!$G$14,$M319,CC$13)="",10^12,OFFSET(PLE!$G$14,$M319,CC$13))))</f>
        <v>1000000000000</v>
      </c>
      <c r="CD319" s="216">
        <f ca="1">IF($D319&lt;&gt;"Serviço",0,IF(OR(AND(AUTOEVENTO="Manual",$M319=1),$M319&gt;(ROW(PLE.lastrow)-ROW(PLE.firstrow))),0,IF(OFFSET(PLE!$G$14,$M319,CD$13)="",10^12,OFFSET(PLE!$G$14,$M319,CD$13))))</f>
        <v>1000000000000</v>
      </c>
      <c r="CE319" s="216">
        <f ca="1">IF($D319&lt;&gt;"Serviço",0,IF(OR(AND(AUTOEVENTO="Manual",$M319=1),$M319&gt;(ROW(PLE.lastrow)-ROW(PLE.firstrow))),0,IF(OFFSET(PLE!$G$14,$M319,CE$13)="",10^12,OFFSET(PLE!$G$14,$M319,CE$13))))</f>
        <v>1000000000000</v>
      </c>
      <c r="CF319" s="216">
        <f ca="1">IF($D319&lt;&gt;"Serviço",0,IF(OR(AND(AUTOEVENTO="Manual",$M319=1),$M319&gt;(ROW(PLE.lastrow)-ROW(PLE.firstrow))),0,IF(OFFSET(PLE!$G$14,$M319,CF$13)="",10^12,OFFSET(PLE!$G$14,$M319,CF$13))))</f>
        <v>1000000000000</v>
      </c>
      <c r="CG319" s="216">
        <f ca="1">IF($D319&lt;&gt;"Serviço",0,IF(OR(AND(AUTOEVENTO="Manual",$M319=1),$M319&gt;(ROW(PLE.lastrow)-ROW(PLE.firstrow))),0,IF(OFFSET(PLE!$G$14,$M319,CG$13)="",10^12,OFFSET(PLE!$G$14,$M319,CG$13))))</f>
        <v>1000000000000</v>
      </c>
      <c r="CH319" s="216">
        <f ca="1">IF($D319&lt;&gt;"Serviço",0,IF(OR(AND(AUTOEVENTO="Manual",$M319=1),$M319&gt;(ROW(PLE.lastrow)-ROW(PLE.firstrow))),0,IF(OFFSET(PLE!$G$14,$M319,CH$13)="",10^12,OFFSET(PLE!$G$14,$M319,CH$13))))</f>
        <v>1000000000000</v>
      </c>
      <c r="CI319" s="216">
        <f ca="1">IF($D319&lt;&gt;"Serviço",0,IF(OR(AND(AUTOEVENTO="Manual",$M319=1),$M319&gt;(ROW(PLE.lastrow)-ROW(PLE.firstrow))),0,IF(OFFSET(PLE!$G$14,$M319,CI$13)="",10^12,OFFSET(PLE!$G$14,$M319,CI$13))))</f>
        <v>1000000000000</v>
      </c>
      <c r="CJ319" s="216">
        <f ca="1">IF($D319&lt;&gt;"Serviço",0,IF(OR(AND(AUTOEVENTO="Manual",$M319=1),$M319&gt;(ROW(PLE.lastrow)-ROW(PLE.firstrow))),0,IF(OFFSET(PLE!$G$14,$M319,CJ$13)="",10^12,OFFSET(PLE!$G$14,$M319,CJ$13))))</f>
        <v>1000000000000</v>
      </c>
      <c r="CK319" s="216">
        <f ca="1">IF($D319&lt;&gt;"Serviço",0,IF(OR(AND(AUTOEVENTO="Manual",$M319=1),$M319&gt;(ROW(PLE.lastrow)-ROW(PLE.firstrow))),0,IF(OFFSET(PLE!$G$14,$M319,CK$13)="",10^12,OFFSET(PLE!$G$14,$M319,CK$13))))</f>
        <v>1000000000000</v>
      </c>
      <c r="CL319" s="216">
        <f ca="1">IF($D319&lt;&gt;"Serviço",0,IF(OR(AND(AUTOEVENTO="Manual",$M319=1),$M319&gt;(ROW(PLE.lastrow)-ROW(PLE.firstrow))),0,IF(OFFSET(PLE!$G$14,$M319,CL$13)="",10^12,OFFSET(PLE!$G$14,$M319,CL$13))))</f>
        <v>1000000000000</v>
      </c>
      <c r="CM319" s="216">
        <f ca="1">IF($D319&lt;&gt;"Serviço",0,IF(OR(AND(AUTOEVENTO="Manual",$M319=1),$M319&gt;(ROW(PLE.lastrow)-ROW(PLE.firstrow))),0,IF(OFFSET(PLE!$G$14,$M319,CM$13)="",10^12,OFFSET(PLE!$G$14,$M319,CM$13))))</f>
        <v>1000000000000</v>
      </c>
    </row>
    <row r="320" spans="1:91" ht="13.2" x14ac:dyDescent="0.25">
      <c r="A320" s="9">
        <f t="shared" ca="1" si="13"/>
        <v>0</v>
      </c>
      <c r="B320" s="9" t="str">
        <f ca="1">OFFSET(ORÇAMENTO!C$15,ROW(B320)-ROW(B$15),0)</f>
        <v>S</v>
      </c>
      <c r="C320" s="9" t="str">
        <f ca="1">OFFSET(ORÇAMENTO!L$15,ROW(C320)-ROW(C$15),0)</f>
        <v/>
      </c>
      <c r="D320" s="145" t="str">
        <f ca="1">OFFSET(ORÇAMENTO!N$15,ROW(D320)-ROW(D$15),0)</f>
        <v>Serviço</v>
      </c>
      <c r="E320" s="205" t="str">
        <f ca="1">OFFSET(ORÇAMENTO!O$15,ROW(E320)-ROW(E$15),0)</f>
        <v>-</v>
      </c>
      <c r="F320" s="206" t="str">
        <f ca="1">OFFSET(ORÇAMENTO!R$15,ROW(F320)-ROW(F$15),0)</f>
        <v>(abra o arquivo 'Referência 05-2024.xls)</v>
      </c>
      <c r="G320" s="207" t="str">
        <f ca="1">IF($D320&lt;&gt;"Serviço","",OFFSET(ORÇAMENTO!S$15,ROW(G320)-ROW(G$15),0))</f>
        <v>-</v>
      </c>
      <c r="H320" s="151">
        <f ca="1">IF($D320&lt;&gt;"Serviço",0,IF(ACOMPANHAMENTO="BM",ROUND(OFFSET(ORÇAMENTO!AJ$15,ROW(H320)-ROW(H$15),0),15-13*ORÇAMENTO!$AF$7),SUMPRODUCT(($Q$12:$AI$12&lt;&gt;"")*ROUND($Q320:$AI320,15-13*ORÇAMENTO!$AF$7))))</f>
        <v>7</v>
      </c>
      <c r="I320" s="650"/>
      <c r="K320" s="208"/>
      <c r="L320" s="209" t="s">
        <v>257</v>
      </c>
      <c r="M320" s="210">
        <f ca="1">IF($D320&lt;&gt;"Serviço","",IF(AUTOEVENTO="manual",$A320,IF(ISERROR(MATCH($A320,$A$15:OFFSET($A320,-1,0),0)),MAX($M$15:OFFSET(M320,-1,0))+1,INDEX($M$15:OFFSET(M320,-1,0),MATCH($A320,$A$15:OFFSET($A320,-1,0),0)))))</f>
        <v>0</v>
      </c>
      <c r="N320" s="211" t="str">
        <f ca="1">IF($D320&lt;&gt;"Serviço","",IF(AUTOEVENTO="Manual",IF($A320=0,"&lt;-- defina o número do agrupador",OFFSET(EVENTOS!$D$14,$A320,0)),OFFSET($F$15,$A320,0)))</f>
        <v>&lt;-- defina o número do agrupador</v>
      </c>
      <c r="O320" s="212"/>
      <c r="Q320" s="212"/>
      <c r="R320" s="213"/>
      <c r="S320" s="213"/>
      <c r="T320" s="213"/>
      <c r="U320" s="213"/>
      <c r="V320" s="213"/>
      <c r="W320" s="213"/>
      <c r="X320" s="213"/>
      <c r="Y320" s="213"/>
      <c r="Z320" s="214"/>
      <c r="AA320" s="213"/>
      <c r="AB320" s="213"/>
      <c r="AC320" s="213"/>
      <c r="AD320" s="213"/>
      <c r="AE320" s="213"/>
      <c r="AF320" s="213"/>
      <c r="AG320" s="213"/>
      <c r="AH320" s="214"/>
      <c r="AJ320" s="631">
        <f ca="1">IF(AND($D320="Serviço",AJ$12&lt;&gt;0,$H320&gt;0,OR(AUTOEVENTO&lt;&gt;"manual",$M320&lt;&gt;1)),ROUND(OFFSET($P320,0,AJ$13),15-13*ORÇAMENTO!$AF$7)/$H320*OFFSET(ORÇAMENTO!$X$15,ROW(AJ320)-ROW(AJ$15),0),0)</f>
        <v>0</v>
      </c>
      <c r="AK320" s="632">
        <f ca="1">IF(AND($D320="Serviço",AK$12&lt;&gt;0,$H320&gt;0,OR(AUTOEVENTO&lt;&gt;"manual",$M320&lt;&gt;1)),ROUND(OFFSET($P320,0,AK$13),15-13*ORÇAMENTO!$AF$7)/$H320*OFFSET(ORÇAMENTO!$X$15,ROW(AK320)-ROW(AK$15),0),0)</f>
        <v>0</v>
      </c>
      <c r="AL320" s="632">
        <f ca="1">IF(AND($D320="Serviço",AL$12&lt;&gt;0,$H320&gt;0,OR(AUTOEVENTO&lt;&gt;"manual",$M320&lt;&gt;1)),ROUND(OFFSET($P320,0,AL$13),15-13*ORÇAMENTO!$AF$7)/$H320*OFFSET(ORÇAMENTO!$X$15,ROW(AL320)-ROW(AL$15),0),0)</f>
        <v>0</v>
      </c>
      <c r="AM320" s="632">
        <f ca="1">IF(AND($D320="Serviço",AM$12&lt;&gt;0,$H320&gt;0,OR(AUTOEVENTO&lt;&gt;"manual",$M320&lt;&gt;1)),ROUND(OFFSET($P320,0,AM$13),15-13*ORÇAMENTO!$AF$7)/$H320*OFFSET(ORÇAMENTO!$X$15,ROW(AM320)-ROW(AM$15),0),0)</f>
        <v>0</v>
      </c>
      <c r="AN320" s="632">
        <f ca="1">IF(AND($D320="Serviço",AN$12&lt;&gt;0,$H320&gt;0,OR(AUTOEVENTO&lt;&gt;"manual",$M320&lt;&gt;1)),ROUND(OFFSET($P320,0,AN$13),15-13*ORÇAMENTO!$AF$7)/$H320*OFFSET(ORÇAMENTO!$X$15,ROW(AN320)-ROW(AN$15),0),0)</f>
        <v>0</v>
      </c>
      <c r="AO320" s="632">
        <f ca="1">IF(AND($D320="Serviço",AO$12&lt;&gt;0,$H320&gt;0,OR(AUTOEVENTO&lt;&gt;"manual",$M320&lt;&gt;1)),ROUND(OFFSET($P320,0,AO$13),15-13*ORÇAMENTO!$AF$7)/$H320*OFFSET(ORÇAMENTO!$X$15,ROW(AO320)-ROW(AO$15),0),0)</f>
        <v>0</v>
      </c>
      <c r="AP320" s="632">
        <f ca="1">IF(AND($D320="Serviço",AP$12&lt;&gt;0,$H320&gt;0,OR(AUTOEVENTO&lt;&gt;"manual",$M320&lt;&gt;1)),ROUND(OFFSET($P320,0,AP$13),15-13*ORÇAMENTO!$AF$7)/$H320*OFFSET(ORÇAMENTO!$X$15,ROW(AP320)-ROW(AP$15),0),0)</f>
        <v>0</v>
      </c>
      <c r="AQ320" s="632">
        <f ca="1">IF(AND($D320="Serviço",AQ$12&lt;&gt;0,$H320&gt;0,OR(AUTOEVENTO&lt;&gt;"manual",$M320&lt;&gt;1)),ROUND(OFFSET($P320,0,AQ$13),15-13*ORÇAMENTO!$AF$7)/$H320*OFFSET(ORÇAMENTO!$X$15,ROW(AQ320)-ROW(AQ$15),0),0)</f>
        <v>0</v>
      </c>
      <c r="AR320" s="632">
        <f ca="1">IF(AND($D320="Serviço",AR$12&lt;&gt;0,$H320&gt;0,OR(AUTOEVENTO&lt;&gt;"manual",$M320&lt;&gt;1)),ROUND(OFFSET($P320,0,AR$13),15-13*ORÇAMENTO!$AF$7)/$H320*OFFSET(ORÇAMENTO!$X$15,ROW(AR320)-ROW(AR$15),0),0)</f>
        <v>0</v>
      </c>
      <c r="AS320" s="633">
        <f ca="1">IF(AND($D320="Serviço",AS$12&lt;&gt;0,$H320&gt;0,OR(AUTOEVENTO&lt;&gt;"manual",$M320&lt;&gt;1)),ROUND(OFFSET($P320,0,AS$13),15-13*ORÇAMENTO!$AF$7)/$H320*OFFSET(ORÇAMENTO!$X$15,ROW(AS320)-ROW(AS$15),0),0)</f>
        <v>0</v>
      </c>
      <c r="AT320" s="632">
        <f ca="1">IF(AND($D320="Serviço",AT$12&lt;&gt;0,$H320&gt;0,OR(AUTOEVENTO&lt;&gt;"manual",$M320&lt;&gt;1)),ROUND(OFFSET($P320,0,AT$13),15-13*ORÇAMENTO!$AF$7)/$H320*OFFSET(ORÇAMENTO!$X$15,ROW(AT320)-ROW(AT$15),0),0)</f>
        <v>0</v>
      </c>
      <c r="AU320" s="632">
        <f ca="1">IF(AND($D320="Serviço",AU$12&lt;&gt;0,$H320&gt;0,OR(AUTOEVENTO&lt;&gt;"manual",$M320&lt;&gt;1)),ROUND(OFFSET($P320,0,AU$13),15-13*ORÇAMENTO!$AF$7)/$H320*OFFSET(ORÇAMENTO!$X$15,ROW(AU320)-ROW(AU$15),0),0)</f>
        <v>0</v>
      </c>
      <c r="AV320" s="632">
        <f ca="1">IF(AND($D320="Serviço",AV$12&lt;&gt;0,$H320&gt;0,OR(AUTOEVENTO&lt;&gt;"manual",$M320&lt;&gt;1)),ROUND(OFFSET($P320,0,AV$13),15-13*ORÇAMENTO!$AF$7)/$H320*OFFSET(ORÇAMENTO!$X$15,ROW(AV320)-ROW(AV$15),0),0)</f>
        <v>0</v>
      </c>
      <c r="AW320" s="632">
        <f ca="1">IF(AND($D320="Serviço",AW$12&lt;&gt;0,$H320&gt;0,OR(AUTOEVENTO&lt;&gt;"manual",$M320&lt;&gt;1)),ROUND(OFFSET($P320,0,AW$13),15-13*ORÇAMENTO!$AF$7)/$H320*OFFSET(ORÇAMENTO!$X$15,ROW(AW320)-ROW(AW$15),0),0)</f>
        <v>0</v>
      </c>
      <c r="AX320" s="632">
        <f ca="1">IF(AND($D320="Serviço",AX$12&lt;&gt;0,$H320&gt;0,OR(AUTOEVENTO&lt;&gt;"manual",$M320&lt;&gt;1)),ROUND(OFFSET($P320,0,AX$13),15-13*ORÇAMENTO!$AF$7)/$H320*OFFSET(ORÇAMENTO!$X$15,ROW(AX320)-ROW(AX$15),0),0)</f>
        <v>0</v>
      </c>
      <c r="AY320" s="632">
        <f ca="1">IF(AND($D320="Serviço",AY$12&lt;&gt;0,$H320&gt;0,OR(AUTOEVENTO&lt;&gt;"manual",$M320&lt;&gt;1)),ROUND(OFFSET($P320,0,AY$13),15-13*ORÇAMENTO!$AF$7)/$H320*OFFSET(ORÇAMENTO!$X$15,ROW(AY320)-ROW(AY$15),0),0)</f>
        <v>0</v>
      </c>
      <c r="AZ320" s="632">
        <f ca="1">IF(AND($D320="Serviço",AZ$12&lt;&gt;0,$H320&gt;0,OR(AUTOEVENTO&lt;&gt;"manual",$M320&lt;&gt;1)),ROUND(OFFSET($P320,0,AZ$13),15-13*ORÇAMENTO!$AF$7)/$H320*OFFSET(ORÇAMENTO!$X$15,ROW(AZ320)-ROW(AZ$15),0),0)</f>
        <v>0</v>
      </c>
      <c r="BA320" s="633">
        <f ca="1">IF(AND($D320="Serviço",BA$12&lt;&gt;0,$H320&gt;0,OR(AUTOEVENTO&lt;&gt;"manual",$M320&lt;&gt;1)),ROUND(OFFSET($P320,0,BA$13),15-13*ORÇAMENTO!$AF$7)/$H320*OFFSET(ORÇAMENTO!$X$15,ROW(BA320)-ROW(BA$15),0),0)</f>
        <v>0</v>
      </c>
      <c r="BC320" s="215">
        <f ca="1">IF($D320&lt;&gt;"Serviço",0,IF(AND(AUTOEVENTO="Manual",$M320=1),0,IF(OFFSET(CRONOPLE!$F$14,$M320,BC$13)="",10^12,OFFSET(CRONOPLE!$F$14,$M320,BC$13))))</f>
        <v>1000000000000</v>
      </c>
      <c r="BD320" s="215">
        <f ca="1">IF($D320&lt;&gt;"Serviço",0,IF(AND(AUTOEVENTO="Manual",$M320=1),0,IF(OFFSET(CRONOPLE!$F$14,$M320,BD$13)="",10^12,OFFSET(CRONOPLE!$F$14,$M320,BD$13))))</f>
        <v>1000000000000</v>
      </c>
      <c r="BE320" s="215">
        <f ca="1">IF($D320&lt;&gt;"Serviço",0,IF(AND(AUTOEVENTO="Manual",$M320=1),0,IF(OFFSET(CRONOPLE!$F$14,$M320,BE$13)="",10^12,OFFSET(CRONOPLE!$F$14,$M320,BE$13))))</f>
        <v>1000000000000</v>
      </c>
      <c r="BF320" s="215">
        <f ca="1">IF($D320&lt;&gt;"Serviço",0,IF(AND(AUTOEVENTO="Manual",$M320=1),0,IF(OFFSET(CRONOPLE!$F$14,$M320,BF$13)="",10^12,OFFSET(CRONOPLE!$F$14,$M320,BF$13))))</f>
        <v>1000000000000</v>
      </c>
      <c r="BG320" s="215">
        <f ca="1">IF($D320&lt;&gt;"Serviço",0,IF(AND(AUTOEVENTO="Manual",$M320=1),0,IF(OFFSET(CRONOPLE!$F$14,$M320,BG$13)="",10^12,OFFSET(CRONOPLE!$F$14,$M320,BG$13))))</f>
        <v>1000000000000</v>
      </c>
      <c r="BH320" s="215">
        <f ca="1">IF($D320&lt;&gt;"Serviço",0,IF(AND(AUTOEVENTO="Manual",$M320=1),0,IF(OFFSET(CRONOPLE!$F$14,$M320,BH$13)="",10^12,OFFSET(CRONOPLE!$F$14,$M320,BH$13))))</f>
        <v>1000000000000</v>
      </c>
      <c r="BI320" s="215">
        <f ca="1">IF($D320&lt;&gt;"Serviço",0,IF(AND(AUTOEVENTO="Manual",$M320=1),0,IF(OFFSET(CRONOPLE!$F$14,$M320,BI$13)="",10^12,OFFSET(CRONOPLE!$F$14,$M320,BI$13))))</f>
        <v>1000000000000</v>
      </c>
      <c r="BJ320" s="215">
        <f ca="1">IF($D320&lt;&gt;"Serviço",0,IF(AND(AUTOEVENTO="Manual",$M320=1),0,IF(OFFSET(CRONOPLE!$F$14,$M320,BJ$13)="",10^12,OFFSET(CRONOPLE!$F$14,$M320,BJ$13))))</f>
        <v>1000000000000</v>
      </c>
      <c r="BK320" s="215">
        <f ca="1">IF($D320&lt;&gt;"Serviço",0,IF(AND(AUTOEVENTO="Manual",$M320=1),0,IF(OFFSET(CRONOPLE!$F$14,$M320,BK$13)="",10^12,OFFSET(CRONOPLE!$F$14,$M320,BK$13))))</f>
        <v>1000000000000</v>
      </c>
      <c r="BL320" s="215">
        <f ca="1">IF($D320&lt;&gt;"Serviço",0,IF(AND(AUTOEVENTO="Manual",$M320=1),0,IF(OFFSET(CRONOPLE!$F$14,$M320,BL$13)="",10^12,OFFSET(CRONOPLE!$F$14,$M320,BL$13))))</f>
        <v>1000000000000</v>
      </c>
      <c r="BM320" s="215">
        <f ca="1">IF($D320&lt;&gt;"Serviço",0,IF(AND(AUTOEVENTO="Manual",$M320=1),0,IF(OFFSET(CRONOPLE!$F$14,$M320,BM$13)="",10^12,OFFSET(CRONOPLE!$F$14,$M320,BM$13))))</f>
        <v>1000000000000</v>
      </c>
      <c r="BN320" s="215">
        <f ca="1">IF($D320&lt;&gt;"Serviço",0,IF(AND(AUTOEVENTO="Manual",$M320=1),0,IF(OFFSET(CRONOPLE!$F$14,$M320,BN$13)="",10^12,OFFSET(CRONOPLE!$F$14,$M320,BN$13))))</f>
        <v>1000000000000</v>
      </c>
      <c r="BO320" s="215">
        <f ca="1">IF($D320&lt;&gt;"Serviço",0,IF(AND(AUTOEVENTO="Manual",$M320=1),0,IF(OFFSET(CRONOPLE!$F$14,$M320,BO$13)="",10^12,OFFSET(CRONOPLE!$F$14,$M320,BO$13))))</f>
        <v>1000000000000</v>
      </c>
      <c r="BP320" s="215">
        <f ca="1">IF($D320&lt;&gt;"Serviço",0,IF(AND(AUTOEVENTO="Manual",$M320=1),0,IF(OFFSET(CRONOPLE!$F$14,$M320,BP$13)="",10^12,OFFSET(CRONOPLE!$F$14,$M320,BP$13))))</f>
        <v>1000000000000</v>
      </c>
      <c r="BQ320" s="215">
        <f ca="1">IF($D320&lt;&gt;"Serviço",0,IF(AND(AUTOEVENTO="Manual",$M320=1),0,IF(OFFSET(CRONOPLE!$F$14,$M320,BQ$13)="",10^12,OFFSET(CRONOPLE!$F$14,$M320,BQ$13))))</f>
        <v>1000000000000</v>
      </c>
      <c r="BR320" s="215">
        <f ca="1">IF($D320&lt;&gt;"Serviço",0,IF(AND(AUTOEVENTO="Manual",$M320=1),0,IF(OFFSET(CRONOPLE!$F$14,$M320,BR$13)="",10^12,OFFSET(CRONOPLE!$F$14,$M320,BR$13))))</f>
        <v>1000000000000</v>
      </c>
      <c r="BS320" s="215">
        <f ca="1">IF($D320&lt;&gt;"Serviço",0,IF(AND(AUTOEVENTO="Manual",$M320=1),0,IF(OFFSET(CRONOPLE!$F$14,$M320,BS$13)="",10^12,OFFSET(CRONOPLE!$F$14,$M320,BS$13))))</f>
        <v>1000000000000</v>
      </c>
      <c r="BT320" s="215">
        <f ca="1">IF($D320&lt;&gt;"Serviço",0,IF(AND(AUTOEVENTO="Manual",$M320=1),0,IF(OFFSET(CRONOPLE!$F$14,$M320,BT$13)="",10^12,OFFSET(CRONOPLE!$F$14,$M320,BT$13))))</f>
        <v>1000000000000</v>
      </c>
      <c r="BV320" s="216">
        <f ca="1">IF($D320&lt;&gt;"Serviço",0,IF(OR(AND(AUTOEVENTO="Manual",$M320=1),$M320&gt;(ROW(PLE.lastrow)-ROW(PLE.firstrow))),0,IF(OFFSET(PLE!$G$14,$M320,BV$13)="",10^12,OFFSET(PLE!$G$14,$M320,BV$13))))</f>
        <v>1000000000000</v>
      </c>
      <c r="BW320" s="216">
        <f ca="1">IF($D320&lt;&gt;"Serviço",0,IF(OR(AND(AUTOEVENTO="Manual",$M320=1),$M320&gt;(ROW(PLE.lastrow)-ROW(PLE.firstrow))),0,IF(OFFSET(PLE!$G$14,$M320,BW$13)="",10^12,OFFSET(PLE!$G$14,$M320,BW$13))))</f>
        <v>1000000000000</v>
      </c>
      <c r="BX320" s="216">
        <f ca="1">IF($D320&lt;&gt;"Serviço",0,IF(OR(AND(AUTOEVENTO="Manual",$M320=1),$M320&gt;(ROW(PLE.lastrow)-ROW(PLE.firstrow))),0,IF(OFFSET(PLE!$G$14,$M320,BX$13)="",10^12,OFFSET(PLE!$G$14,$M320,BX$13))))</f>
        <v>1000000000000</v>
      </c>
      <c r="BY320" s="216">
        <f ca="1">IF($D320&lt;&gt;"Serviço",0,IF(OR(AND(AUTOEVENTO="Manual",$M320=1),$M320&gt;(ROW(PLE.lastrow)-ROW(PLE.firstrow))),0,IF(OFFSET(PLE!$G$14,$M320,BY$13)="",10^12,OFFSET(PLE!$G$14,$M320,BY$13))))</f>
        <v>1000000000000</v>
      </c>
      <c r="BZ320" s="216">
        <f ca="1">IF($D320&lt;&gt;"Serviço",0,IF(OR(AND(AUTOEVENTO="Manual",$M320=1),$M320&gt;(ROW(PLE.lastrow)-ROW(PLE.firstrow))),0,IF(OFFSET(PLE!$G$14,$M320,BZ$13)="",10^12,OFFSET(PLE!$G$14,$M320,BZ$13))))</f>
        <v>1000000000000</v>
      </c>
      <c r="CA320" s="216">
        <f ca="1">IF($D320&lt;&gt;"Serviço",0,IF(OR(AND(AUTOEVENTO="Manual",$M320=1),$M320&gt;(ROW(PLE.lastrow)-ROW(PLE.firstrow))),0,IF(OFFSET(PLE!$G$14,$M320,CA$13)="",10^12,OFFSET(PLE!$G$14,$M320,CA$13))))</f>
        <v>1000000000000</v>
      </c>
      <c r="CB320" s="216">
        <f ca="1">IF($D320&lt;&gt;"Serviço",0,IF(OR(AND(AUTOEVENTO="Manual",$M320=1),$M320&gt;(ROW(PLE.lastrow)-ROW(PLE.firstrow))),0,IF(OFFSET(PLE!$G$14,$M320,CB$13)="",10^12,OFFSET(PLE!$G$14,$M320,CB$13))))</f>
        <v>1000000000000</v>
      </c>
      <c r="CC320" s="216">
        <f ca="1">IF($D320&lt;&gt;"Serviço",0,IF(OR(AND(AUTOEVENTO="Manual",$M320=1),$M320&gt;(ROW(PLE.lastrow)-ROW(PLE.firstrow))),0,IF(OFFSET(PLE!$G$14,$M320,CC$13)="",10^12,OFFSET(PLE!$G$14,$M320,CC$13))))</f>
        <v>1000000000000</v>
      </c>
      <c r="CD320" s="216">
        <f ca="1">IF($D320&lt;&gt;"Serviço",0,IF(OR(AND(AUTOEVENTO="Manual",$M320=1),$M320&gt;(ROW(PLE.lastrow)-ROW(PLE.firstrow))),0,IF(OFFSET(PLE!$G$14,$M320,CD$13)="",10^12,OFFSET(PLE!$G$14,$M320,CD$13))))</f>
        <v>1000000000000</v>
      </c>
      <c r="CE320" s="216">
        <f ca="1">IF($D320&lt;&gt;"Serviço",0,IF(OR(AND(AUTOEVENTO="Manual",$M320=1),$M320&gt;(ROW(PLE.lastrow)-ROW(PLE.firstrow))),0,IF(OFFSET(PLE!$G$14,$M320,CE$13)="",10^12,OFFSET(PLE!$G$14,$M320,CE$13))))</f>
        <v>1000000000000</v>
      </c>
      <c r="CF320" s="216">
        <f ca="1">IF($D320&lt;&gt;"Serviço",0,IF(OR(AND(AUTOEVENTO="Manual",$M320=1),$M320&gt;(ROW(PLE.lastrow)-ROW(PLE.firstrow))),0,IF(OFFSET(PLE!$G$14,$M320,CF$13)="",10^12,OFFSET(PLE!$G$14,$M320,CF$13))))</f>
        <v>1000000000000</v>
      </c>
      <c r="CG320" s="216">
        <f ca="1">IF($D320&lt;&gt;"Serviço",0,IF(OR(AND(AUTOEVENTO="Manual",$M320=1),$M320&gt;(ROW(PLE.lastrow)-ROW(PLE.firstrow))),0,IF(OFFSET(PLE!$G$14,$M320,CG$13)="",10^12,OFFSET(PLE!$G$14,$M320,CG$13))))</f>
        <v>1000000000000</v>
      </c>
      <c r="CH320" s="216">
        <f ca="1">IF($D320&lt;&gt;"Serviço",0,IF(OR(AND(AUTOEVENTO="Manual",$M320=1),$M320&gt;(ROW(PLE.lastrow)-ROW(PLE.firstrow))),0,IF(OFFSET(PLE!$G$14,$M320,CH$13)="",10^12,OFFSET(PLE!$G$14,$M320,CH$13))))</f>
        <v>1000000000000</v>
      </c>
      <c r="CI320" s="216">
        <f ca="1">IF($D320&lt;&gt;"Serviço",0,IF(OR(AND(AUTOEVENTO="Manual",$M320=1),$M320&gt;(ROW(PLE.lastrow)-ROW(PLE.firstrow))),0,IF(OFFSET(PLE!$G$14,$M320,CI$13)="",10^12,OFFSET(PLE!$G$14,$M320,CI$13))))</f>
        <v>1000000000000</v>
      </c>
      <c r="CJ320" s="216">
        <f ca="1">IF($D320&lt;&gt;"Serviço",0,IF(OR(AND(AUTOEVENTO="Manual",$M320=1),$M320&gt;(ROW(PLE.lastrow)-ROW(PLE.firstrow))),0,IF(OFFSET(PLE!$G$14,$M320,CJ$13)="",10^12,OFFSET(PLE!$G$14,$M320,CJ$13))))</f>
        <v>1000000000000</v>
      </c>
      <c r="CK320" s="216">
        <f ca="1">IF($D320&lt;&gt;"Serviço",0,IF(OR(AND(AUTOEVENTO="Manual",$M320=1),$M320&gt;(ROW(PLE.lastrow)-ROW(PLE.firstrow))),0,IF(OFFSET(PLE!$G$14,$M320,CK$13)="",10^12,OFFSET(PLE!$G$14,$M320,CK$13))))</f>
        <v>1000000000000</v>
      </c>
      <c r="CL320" s="216">
        <f ca="1">IF($D320&lt;&gt;"Serviço",0,IF(OR(AND(AUTOEVENTO="Manual",$M320=1),$M320&gt;(ROW(PLE.lastrow)-ROW(PLE.firstrow))),0,IF(OFFSET(PLE!$G$14,$M320,CL$13)="",10^12,OFFSET(PLE!$G$14,$M320,CL$13))))</f>
        <v>1000000000000</v>
      </c>
      <c r="CM320" s="216">
        <f ca="1">IF($D320&lt;&gt;"Serviço",0,IF(OR(AND(AUTOEVENTO="Manual",$M320=1),$M320&gt;(ROW(PLE.lastrow)-ROW(PLE.firstrow))),0,IF(OFFSET(PLE!$G$14,$M320,CM$13)="",10^12,OFFSET(PLE!$G$14,$M320,CM$13))))</f>
        <v>1000000000000</v>
      </c>
    </row>
    <row r="321" spans="1:91" ht="13.2" x14ac:dyDescent="0.25">
      <c r="A321" s="9">
        <f t="shared" ca="1" si="13"/>
        <v>0</v>
      </c>
      <c r="B321" s="9" t="str">
        <f ca="1">OFFSET(ORÇAMENTO!C$15,ROW(B321)-ROW(B$15),0)</f>
        <v>S</v>
      </c>
      <c r="C321" s="9" t="str">
        <f ca="1">OFFSET(ORÇAMENTO!L$15,ROW(C321)-ROW(C$15),0)</f>
        <v/>
      </c>
      <c r="D321" s="145" t="str">
        <f ca="1">OFFSET(ORÇAMENTO!N$15,ROW(D321)-ROW(D$15),0)</f>
        <v>Serviço</v>
      </c>
      <c r="E321" s="205" t="str">
        <f ca="1">OFFSET(ORÇAMENTO!O$15,ROW(E321)-ROW(E$15),0)</f>
        <v>-</v>
      </c>
      <c r="F321" s="206" t="str">
        <f ca="1">OFFSET(ORÇAMENTO!R$15,ROW(F321)-ROW(F$15),0)</f>
        <v>(abra o arquivo 'Referência 05-2024.xls)</v>
      </c>
      <c r="G321" s="207" t="str">
        <f ca="1">IF($D321&lt;&gt;"Serviço","",OFFSET(ORÇAMENTO!S$15,ROW(G321)-ROW(G$15),0))</f>
        <v>-</v>
      </c>
      <c r="H321" s="151">
        <f ca="1">IF($D321&lt;&gt;"Serviço",0,IF(ACOMPANHAMENTO="BM",ROUND(OFFSET(ORÇAMENTO!AJ$15,ROW(H321)-ROW(H$15),0),15-13*ORÇAMENTO!$AF$7),SUMPRODUCT(($Q$12:$AI$12&lt;&gt;"")*ROUND($Q321:$AI321,15-13*ORÇAMENTO!$AF$7))))</f>
        <v>1</v>
      </c>
      <c r="I321" s="650"/>
      <c r="K321" s="208"/>
      <c r="L321" s="209" t="s">
        <v>257</v>
      </c>
      <c r="M321" s="210">
        <f ca="1">IF($D321&lt;&gt;"Serviço","",IF(AUTOEVENTO="manual",$A321,IF(ISERROR(MATCH($A321,$A$15:OFFSET($A321,-1,0),0)),MAX($M$15:OFFSET(M321,-1,0))+1,INDEX($M$15:OFFSET(M321,-1,0),MATCH($A321,$A$15:OFFSET($A321,-1,0),0)))))</f>
        <v>0</v>
      </c>
      <c r="N321" s="211" t="str">
        <f ca="1">IF($D321&lt;&gt;"Serviço","",IF(AUTOEVENTO="Manual",IF($A321=0,"&lt;-- defina o número do agrupador",OFFSET(EVENTOS!$D$14,$A321,0)),OFFSET($F$15,$A321,0)))</f>
        <v>&lt;-- defina o número do agrupador</v>
      </c>
      <c r="O321" s="212"/>
      <c r="Q321" s="212"/>
      <c r="R321" s="213"/>
      <c r="S321" s="213"/>
      <c r="T321" s="213"/>
      <c r="U321" s="213"/>
      <c r="V321" s="213"/>
      <c r="W321" s="213"/>
      <c r="X321" s="213"/>
      <c r="Y321" s="213"/>
      <c r="Z321" s="214"/>
      <c r="AA321" s="213"/>
      <c r="AB321" s="213"/>
      <c r="AC321" s="213"/>
      <c r="AD321" s="213"/>
      <c r="AE321" s="213"/>
      <c r="AF321" s="213"/>
      <c r="AG321" s="213"/>
      <c r="AH321" s="214"/>
      <c r="AJ321" s="631">
        <f ca="1">IF(AND($D321="Serviço",AJ$12&lt;&gt;0,$H321&gt;0,OR(AUTOEVENTO&lt;&gt;"manual",$M321&lt;&gt;1)),ROUND(OFFSET($P321,0,AJ$13),15-13*ORÇAMENTO!$AF$7)/$H321*OFFSET(ORÇAMENTO!$X$15,ROW(AJ321)-ROW(AJ$15),0),0)</f>
        <v>0</v>
      </c>
      <c r="AK321" s="632">
        <f ca="1">IF(AND($D321="Serviço",AK$12&lt;&gt;0,$H321&gt;0,OR(AUTOEVENTO&lt;&gt;"manual",$M321&lt;&gt;1)),ROUND(OFFSET($P321,0,AK$13),15-13*ORÇAMENTO!$AF$7)/$H321*OFFSET(ORÇAMENTO!$X$15,ROW(AK321)-ROW(AK$15),0),0)</f>
        <v>0</v>
      </c>
      <c r="AL321" s="632">
        <f ca="1">IF(AND($D321="Serviço",AL$12&lt;&gt;0,$H321&gt;0,OR(AUTOEVENTO&lt;&gt;"manual",$M321&lt;&gt;1)),ROUND(OFFSET($P321,0,AL$13),15-13*ORÇAMENTO!$AF$7)/$H321*OFFSET(ORÇAMENTO!$X$15,ROW(AL321)-ROW(AL$15),0),0)</f>
        <v>0</v>
      </c>
      <c r="AM321" s="632">
        <f ca="1">IF(AND($D321="Serviço",AM$12&lt;&gt;0,$H321&gt;0,OR(AUTOEVENTO&lt;&gt;"manual",$M321&lt;&gt;1)),ROUND(OFFSET($P321,0,AM$13),15-13*ORÇAMENTO!$AF$7)/$H321*OFFSET(ORÇAMENTO!$X$15,ROW(AM321)-ROW(AM$15),0),0)</f>
        <v>0</v>
      </c>
      <c r="AN321" s="632">
        <f ca="1">IF(AND($D321="Serviço",AN$12&lt;&gt;0,$H321&gt;0,OR(AUTOEVENTO&lt;&gt;"manual",$M321&lt;&gt;1)),ROUND(OFFSET($P321,0,AN$13),15-13*ORÇAMENTO!$AF$7)/$H321*OFFSET(ORÇAMENTO!$X$15,ROW(AN321)-ROW(AN$15),0),0)</f>
        <v>0</v>
      </c>
      <c r="AO321" s="632">
        <f ca="1">IF(AND($D321="Serviço",AO$12&lt;&gt;0,$H321&gt;0,OR(AUTOEVENTO&lt;&gt;"manual",$M321&lt;&gt;1)),ROUND(OFFSET($P321,0,AO$13),15-13*ORÇAMENTO!$AF$7)/$H321*OFFSET(ORÇAMENTO!$X$15,ROW(AO321)-ROW(AO$15),0),0)</f>
        <v>0</v>
      </c>
      <c r="AP321" s="632">
        <f ca="1">IF(AND($D321="Serviço",AP$12&lt;&gt;0,$H321&gt;0,OR(AUTOEVENTO&lt;&gt;"manual",$M321&lt;&gt;1)),ROUND(OFFSET($P321,0,AP$13),15-13*ORÇAMENTO!$AF$7)/$H321*OFFSET(ORÇAMENTO!$X$15,ROW(AP321)-ROW(AP$15),0),0)</f>
        <v>0</v>
      </c>
      <c r="AQ321" s="632">
        <f ca="1">IF(AND($D321="Serviço",AQ$12&lt;&gt;0,$H321&gt;0,OR(AUTOEVENTO&lt;&gt;"manual",$M321&lt;&gt;1)),ROUND(OFFSET($P321,0,AQ$13),15-13*ORÇAMENTO!$AF$7)/$H321*OFFSET(ORÇAMENTO!$X$15,ROW(AQ321)-ROW(AQ$15),0),0)</f>
        <v>0</v>
      </c>
      <c r="AR321" s="632">
        <f ca="1">IF(AND($D321="Serviço",AR$12&lt;&gt;0,$H321&gt;0,OR(AUTOEVENTO&lt;&gt;"manual",$M321&lt;&gt;1)),ROUND(OFFSET($P321,0,AR$13),15-13*ORÇAMENTO!$AF$7)/$H321*OFFSET(ORÇAMENTO!$X$15,ROW(AR321)-ROW(AR$15),0),0)</f>
        <v>0</v>
      </c>
      <c r="AS321" s="633">
        <f ca="1">IF(AND($D321="Serviço",AS$12&lt;&gt;0,$H321&gt;0,OR(AUTOEVENTO&lt;&gt;"manual",$M321&lt;&gt;1)),ROUND(OFFSET($P321,0,AS$13),15-13*ORÇAMENTO!$AF$7)/$H321*OFFSET(ORÇAMENTO!$X$15,ROW(AS321)-ROW(AS$15),0),0)</f>
        <v>0</v>
      </c>
      <c r="AT321" s="632">
        <f ca="1">IF(AND($D321="Serviço",AT$12&lt;&gt;0,$H321&gt;0,OR(AUTOEVENTO&lt;&gt;"manual",$M321&lt;&gt;1)),ROUND(OFFSET($P321,0,AT$13),15-13*ORÇAMENTO!$AF$7)/$H321*OFFSET(ORÇAMENTO!$X$15,ROW(AT321)-ROW(AT$15),0),0)</f>
        <v>0</v>
      </c>
      <c r="AU321" s="632">
        <f ca="1">IF(AND($D321="Serviço",AU$12&lt;&gt;0,$H321&gt;0,OR(AUTOEVENTO&lt;&gt;"manual",$M321&lt;&gt;1)),ROUND(OFFSET($P321,0,AU$13),15-13*ORÇAMENTO!$AF$7)/$H321*OFFSET(ORÇAMENTO!$X$15,ROW(AU321)-ROW(AU$15),0),0)</f>
        <v>0</v>
      </c>
      <c r="AV321" s="632">
        <f ca="1">IF(AND($D321="Serviço",AV$12&lt;&gt;0,$H321&gt;0,OR(AUTOEVENTO&lt;&gt;"manual",$M321&lt;&gt;1)),ROUND(OFFSET($P321,0,AV$13),15-13*ORÇAMENTO!$AF$7)/$H321*OFFSET(ORÇAMENTO!$X$15,ROW(AV321)-ROW(AV$15),0),0)</f>
        <v>0</v>
      </c>
      <c r="AW321" s="632">
        <f ca="1">IF(AND($D321="Serviço",AW$12&lt;&gt;0,$H321&gt;0,OR(AUTOEVENTO&lt;&gt;"manual",$M321&lt;&gt;1)),ROUND(OFFSET($P321,0,AW$13),15-13*ORÇAMENTO!$AF$7)/$H321*OFFSET(ORÇAMENTO!$X$15,ROW(AW321)-ROW(AW$15),0),0)</f>
        <v>0</v>
      </c>
      <c r="AX321" s="632">
        <f ca="1">IF(AND($D321="Serviço",AX$12&lt;&gt;0,$H321&gt;0,OR(AUTOEVENTO&lt;&gt;"manual",$M321&lt;&gt;1)),ROUND(OFFSET($P321,0,AX$13),15-13*ORÇAMENTO!$AF$7)/$H321*OFFSET(ORÇAMENTO!$X$15,ROW(AX321)-ROW(AX$15),0),0)</f>
        <v>0</v>
      </c>
      <c r="AY321" s="632">
        <f ca="1">IF(AND($D321="Serviço",AY$12&lt;&gt;0,$H321&gt;0,OR(AUTOEVENTO&lt;&gt;"manual",$M321&lt;&gt;1)),ROUND(OFFSET($P321,0,AY$13),15-13*ORÇAMENTO!$AF$7)/$H321*OFFSET(ORÇAMENTO!$X$15,ROW(AY321)-ROW(AY$15),0),0)</f>
        <v>0</v>
      </c>
      <c r="AZ321" s="632">
        <f ca="1">IF(AND($D321="Serviço",AZ$12&lt;&gt;0,$H321&gt;0,OR(AUTOEVENTO&lt;&gt;"manual",$M321&lt;&gt;1)),ROUND(OFFSET($P321,0,AZ$13),15-13*ORÇAMENTO!$AF$7)/$H321*OFFSET(ORÇAMENTO!$X$15,ROW(AZ321)-ROW(AZ$15),0),0)</f>
        <v>0</v>
      </c>
      <c r="BA321" s="633">
        <f ca="1">IF(AND($D321="Serviço",BA$12&lt;&gt;0,$H321&gt;0,OR(AUTOEVENTO&lt;&gt;"manual",$M321&lt;&gt;1)),ROUND(OFFSET($P321,0,BA$13),15-13*ORÇAMENTO!$AF$7)/$H321*OFFSET(ORÇAMENTO!$X$15,ROW(BA321)-ROW(BA$15),0),0)</f>
        <v>0</v>
      </c>
      <c r="BC321" s="215">
        <f ca="1">IF($D321&lt;&gt;"Serviço",0,IF(AND(AUTOEVENTO="Manual",$M321=1),0,IF(OFFSET(CRONOPLE!$F$14,$M321,BC$13)="",10^12,OFFSET(CRONOPLE!$F$14,$M321,BC$13))))</f>
        <v>1000000000000</v>
      </c>
      <c r="BD321" s="215">
        <f ca="1">IF($D321&lt;&gt;"Serviço",0,IF(AND(AUTOEVENTO="Manual",$M321=1),0,IF(OFFSET(CRONOPLE!$F$14,$M321,BD$13)="",10^12,OFFSET(CRONOPLE!$F$14,$M321,BD$13))))</f>
        <v>1000000000000</v>
      </c>
      <c r="BE321" s="215">
        <f ca="1">IF($D321&lt;&gt;"Serviço",0,IF(AND(AUTOEVENTO="Manual",$M321=1),0,IF(OFFSET(CRONOPLE!$F$14,$M321,BE$13)="",10^12,OFFSET(CRONOPLE!$F$14,$M321,BE$13))))</f>
        <v>1000000000000</v>
      </c>
      <c r="BF321" s="215">
        <f ca="1">IF($D321&lt;&gt;"Serviço",0,IF(AND(AUTOEVENTO="Manual",$M321=1),0,IF(OFFSET(CRONOPLE!$F$14,$M321,BF$13)="",10^12,OFFSET(CRONOPLE!$F$14,$M321,BF$13))))</f>
        <v>1000000000000</v>
      </c>
      <c r="BG321" s="215">
        <f ca="1">IF($D321&lt;&gt;"Serviço",0,IF(AND(AUTOEVENTO="Manual",$M321=1),0,IF(OFFSET(CRONOPLE!$F$14,$M321,BG$13)="",10^12,OFFSET(CRONOPLE!$F$14,$M321,BG$13))))</f>
        <v>1000000000000</v>
      </c>
      <c r="BH321" s="215">
        <f ca="1">IF($D321&lt;&gt;"Serviço",0,IF(AND(AUTOEVENTO="Manual",$M321=1),0,IF(OFFSET(CRONOPLE!$F$14,$M321,BH$13)="",10^12,OFFSET(CRONOPLE!$F$14,$M321,BH$13))))</f>
        <v>1000000000000</v>
      </c>
      <c r="BI321" s="215">
        <f ca="1">IF($D321&lt;&gt;"Serviço",0,IF(AND(AUTOEVENTO="Manual",$M321=1),0,IF(OFFSET(CRONOPLE!$F$14,$M321,BI$13)="",10^12,OFFSET(CRONOPLE!$F$14,$M321,BI$13))))</f>
        <v>1000000000000</v>
      </c>
      <c r="BJ321" s="215">
        <f ca="1">IF($D321&lt;&gt;"Serviço",0,IF(AND(AUTOEVENTO="Manual",$M321=1),0,IF(OFFSET(CRONOPLE!$F$14,$M321,BJ$13)="",10^12,OFFSET(CRONOPLE!$F$14,$M321,BJ$13))))</f>
        <v>1000000000000</v>
      </c>
      <c r="BK321" s="215">
        <f ca="1">IF($D321&lt;&gt;"Serviço",0,IF(AND(AUTOEVENTO="Manual",$M321=1),0,IF(OFFSET(CRONOPLE!$F$14,$M321,BK$13)="",10^12,OFFSET(CRONOPLE!$F$14,$M321,BK$13))))</f>
        <v>1000000000000</v>
      </c>
      <c r="BL321" s="215">
        <f ca="1">IF($D321&lt;&gt;"Serviço",0,IF(AND(AUTOEVENTO="Manual",$M321=1),0,IF(OFFSET(CRONOPLE!$F$14,$M321,BL$13)="",10^12,OFFSET(CRONOPLE!$F$14,$M321,BL$13))))</f>
        <v>1000000000000</v>
      </c>
      <c r="BM321" s="215">
        <f ca="1">IF($D321&lt;&gt;"Serviço",0,IF(AND(AUTOEVENTO="Manual",$M321=1),0,IF(OFFSET(CRONOPLE!$F$14,$M321,BM$13)="",10^12,OFFSET(CRONOPLE!$F$14,$M321,BM$13))))</f>
        <v>1000000000000</v>
      </c>
      <c r="BN321" s="215">
        <f ca="1">IF($D321&lt;&gt;"Serviço",0,IF(AND(AUTOEVENTO="Manual",$M321=1),0,IF(OFFSET(CRONOPLE!$F$14,$M321,BN$13)="",10^12,OFFSET(CRONOPLE!$F$14,$M321,BN$13))))</f>
        <v>1000000000000</v>
      </c>
      <c r="BO321" s="215">
        <f ca="1">IF($D321&lt;&gt;"Serviço",0,IF(AND(AUTOEVENTO="Manual",$M321=1),0,IF(OFFSET(CRONOPLE!$F$14,$M321,BO$13)="",10^12,OFFSET(CRONOPLE!$F$14,$M321,BO$13))))</f>
        <v>1000000000000</v>
      </c>
      <c r="BP321" s="215">
        <f ca="1">IF($D321&lt;&gt;"Serviço",0,IF(AND(AUTOEVENTO="Manual",$M321=1),0,IF(OFFSET(CRONOPLE!$F$14,$M321,BP$13)="",10^12,OFFSET(CRONOPLE!$F$14,$M321,BP$13))))</f>
        <v>1000000000000</v>
      </c>
      <c r="BQ321" s="215">
        <f ca="1">IF($D321&lt;&gt;"Serviço",0,IF(AND(AUTOEVENTO="Manual",$M321=1),0,IF(OFFSET(CRONOPLE!$F$14,$M321,BQ$13)="",10^12,OFFSET(CRONOPLE!$F$14,$M321,BQ$13))))</f>
        <v>1000000000000</v>
      </c>
      <c r="BR321" s="215">
        <f ca="1">IF($D321&lt;&gt;"Serviço",0,IF(AND(AUTOEVENTO="Manual",$M321=1),0,IF(OFFSET(CRONOPLE!$F$14,$M321,BR$13)="",10^12,OFFSET(CRONOPLE!$F$14,$M321,BR$13))))</f>
        <v>1000000000000</v>
      </c>
      <c r="BS321" s="215">
        <f ca="1">IF($D321&lt;&gt;"Serviço",0,IF(AND(AUTOEVENTO="Manual",$M321=1),0,IF(OFFSET(CRONOPLE!$F$14,$M321,BS$13)="",10^12,OFFSET(CRONOPLE!$F$14,$M321,BS$13))))</f>
        <v>1000000000000</v>
      </c>
      <c r="BT321" s="215">
        <f ca="1">IF($D321&lt;&gt;"Serviço",0,IF(AND(AUTOEVENTO="Manual",$M321=1),0,IF(OFFSET(CRONOPLE!$F$14,$M321,BT$13)="",10^12,OFFSET(CRONOPLE!$F$14,$M321,BT$13))))</f>
        <v>1000000000000</v>
      </c>
      <c r="BV321" s="216">
        <f ca="1">IF($D321&lt;&gt;"Serviço",0,IF(OR(AND(AUTOEVENTO="Manual",$M321=1),$M321&gt;(ROW(PLE.lastrow)-ROW(PLE.firstrow))),0,IF(OFFSET(PLE!$G$14,$M321,BV$13)="",10^12,OFFSET(PLE!$G$14,$M321,BV$13))))</f>
        <v>1000000000000</v>
      </c>
      <c r="BW321" s="216">
        <f ca="1">IF($D321&lt;&gt;"Serviço",0,IF(OR(AND(AUTOEVENTO="Manual",$M321=1),$M321&gt;(ROW(PLE.lastrow)-ROW(PLE.firstrow))),0,IF(OFFSET(PLE!$G$14,$M321,BW$13)="",10^12,OFFSET(PLE!$G$14,$M321,BW$13))))</f>
        <v>1000000000000</v>
      </c>
      <c r="BX321" s="216">
        <f ca="1">IF($D321&lt;&gt;"Serviço",0,IF(OR(AND(AUTOEVENTO="Manual",$M321=1),$M321&gt;(ROW(PLE.lastrow)-ROW(PLE.firstrow))),0,IF(OFFSET(PLE!$G$14,$M321,BX$13)="",10^12,OFFSET(PLE!$G$14,$M321,BX$13))))</f>
        <v>1000000000000</v>
      </c>
      <c r="BY321" s="216">
        <f ca="1">IF($D321&lt;&gt;"Serviço",0,IF(OR(AND(AUTOEVENTO="Manual",$M321=1),$M321&gt;(ROW(PLE.lastrow)-ROW(PLE.firstrow))),0,IF(OFFSET(PLE!$G$14,$M321,BY$13)="",10^12,OFFSET(PLE!$G$14,$M321,BY$13))))</f>
        <v>1000000000000</v>
      </c>
      <c r="BZ321" s="216">
        <f ca="1">IF($D321&lt;&gt;"Serviço",0,IF(OR(AND(AUTOEVENTO="Manual",$M321=1),$M321&gt;(ROW(PLE.lastrow)-ROW(PLE.firstrow))),0,IF(OFFSET(PLE!$G$14,$M321,BZ$13)="",10^12,OFFSET(PLE!$G$14,$M321,BZ$13))))</f>
        <v>1000000000000</v>
      </c>
      <c r="CA321" s="216">
        <f ca="1">IF($D321&lt;&gt;"Serviço",0,IF(OR(AND(AUTOEVENTO="Manual",$M321=1),$M321&gt;(ROW(PLE.lastrow)-ROW(PLE.firstrow))),0,IF(OFFSET(PLE!$G$14,$M321,CA$13)="",10^12,OFFSET(PLE!$G$14,$M321,CA$13))))</f>
        <v>1000000000000</v>
      </c>
      <c r="CB321" s="216">
        <f ca="1">IF($D321&lt;&gt;"Serviço",0,IF(OR(AND(AUTOEVENTO="Manual",$M321=1),$M321&gt;(ROW(PLE.lastrow)-ROW(PLE.firstrow))),0,IF(OFFSET(PLE!$G$14,$M321,CB$13)="",10^12,OFFSET(PLE!$G$14,$M321,CB$13))))</f>
        <v>1000000000000</v>
      </c>
      <c r="CC321" s="216">
        <f ca="1">IF($D321&lt;&gt;"Serviço",0,IF(OR(AND(AUTOEVENTO="Manual",$M321=1),$M321&gt;(ROW(PLE.lastrow)-ROW(PLE.firstrow))),0,IF(OFFSET(PLE!$G$14,$M321,CC$13)="",10^12,OFFSET(PLE!$G$14,$M321,CC$13))))</f>
        <v>1000000000000</v>
      </c>
      <c r="CD321" s="216">
        <f ca="1">IF($D321&lt;&gt;"Serviço",0,IF(OR(AND(AUTOEVENTO="Manual",$M321=1),$M321&gt;(ROW(PLE.lastrow)-ROW(PLE.firstrow))),0,IF(OFFSET(PLE!$G$14,$M321,CD$13)="",10^12,OFFSET(PLE!$G$14,$M321,CD$13))))</f>
        <v>1000000000000</v>
      </c>
      <c r="CE321" s="216">
        <f ca="1">IF($D321&lt;&gt;"Serviço",0,IF(OR(AND(AUTOEVENTO="Manual",$M321=1),$M321&gt;(ROW(PLE.lastrow)-ROW(PLE.firstrow))),0,IF(OFFSET(PLE!$G$14,$M321,CE$13)="",10^12,OFFSET(PLE!$G$14,$M321,CE$13))))</f>
        <v>1000000000000</v>
      </c>
      <c r="CF321" s="216">
        <f ca="1">IF($D321&lt;&gt;"Serviço",0,IF(OR(AND(AUTOEVENTO="Manual",$M321=1),$M321&gt;(ROW(PLE.lastrow)-ROW(PLE.firstrow))),0,IF(OFFSET(PLE!$G$14,$M321,CF$13)="",10^12,OFFSET(PLE!$G$14,$M321,CF$13))))</f>
        <v>1000000000000</v>
      </c>
      <c r="CG321" s="216">
        <f ca="1">IF($D321&lt;&gt;"Serviço",0,IF(OR(AND(AUTOEVENTO="Manual",$M321=1),$M321&gt;(ROW(PLE.lastrow)-ROW(PLE.firstrow))),0,IF(OFFSET(PLE!$G$14,$M321,CG$13)="",10^12,OFFSET(PLE!$G$14,$M321,CG$13))))</f>
        <v>1000000000000</v>
      </c>
      <c r="CH321" s="216">
        <f ca="1">IF($D321&lt;&gt;"Serviço",0,IF(OR(AND(AUTOEVENTO="Manual",$M321=1),$M321&gt;(ROW(PLE.lastrow)-ROW(PLE.firstrow))),0,IF(OFFSET(PLE!$G$14,$M321,CH$13)="",10^12,OFFSET(PLE!$G$14,$M321,CH$13))))</f>
        <v>1000000000000</v>
      </c>
      <c r="CI321" s="216">
        <f ca="1">IF($D321&lt;&gt;"Serviço",0,IF(OR(AND(AUTOEVENTO="Manual",$M321=1),$M321&gt;(ROW(PLE.lastrow)-ROW(PLE.firstrow))),0,IF(OFFSET(PLE!$G$14,$M321,CI$13)="",10^12,OFFSET(PLE!$G$14,$M321,CI$13))))</f>
        <v>1000000000000</v>
      </c>
      <c r="CJ321" s="216">
        <f ca="1">IF($D321&lt;&gt;"Serviço",0,IF(OR(AND(AUTOEVENTO="Manual",$M321=1),$M321&gt;(ROW(PLE.lastrow)-ROW(PLE.firstrow))),0,IF(OFFSET(PLE!$G$14,$M321,CJ$13)="",10^12,OFFSET(PLE!$G$14,$M321,CJ$13))))</f>
        <v>1000000000000</v>
      </c>
      <c r="CK321" s="216">
        <f ca="1">IF($D321&lt;&gt;"Serviço",0,IF(OR(AND(AUTOEVENTO="Manual",$M321=1),$M321&gt;(ROW(PLE.lastrow)-ROW(PLE.firstrow))),0,IF(OFFSET(PLE!$G$14,$M321,CK$13)="",10^12,OFFSET(PLE!$G$14,$M321,CK$13))))</f>
        <v>1000000000000</v>
      </c>
      <c r="CL321" s="216">
        <f ca="1">IF($D321&lt;&gt;"Serviço",0,IF(OR(AND(AUTOEVENTO="Manual",$M321=1),$M321&gt;(ROW(PLE.lastrow)-ROW(PLE.firstrow))),0,IF(OFFSET(PLE!$G$14,$M321,CL$13)="",10^12,OFFSET(PLE!$G$14,$M321,CL$13))))</f>
        <v>1000000000000</v>
      </c>
      <c r="CM321" s="216">
        <f ca="1">IF($D321&lt;&gt;"Serviço",0,IF(OR(AND(AUTOEVENTO="Manual",$M321=1),$M321&gt;(ROW(PLE.lastrow)-ROW(PLE.firstrow))),0,IF(OFFSET(PLE!$G$14,$M321,CM$13)="",10^12,OFFSET(PLE!$G$14,$M321,CM$13))))</f>
        <v>1000000000000</v>
      </c>
    </row>
    <row r="322" spans="1:91" ht="13.2" x14ac:dyDescent="0.25">
      <c r="A322" s="9">
        <f t="shared" ca="1" si="13"/>
        <v>0</v>
      </c>
      <c r="B322" s="9" t="str">
        <f ca="1">OFFSET(ORÇAMENTO!C$15,ROW(B322)-ROW(B$15),0)</f>
        <v>S</v>
      </c>
      <c r="C322" s="9" t="str">
        <f ca="1">OFFSET(ORÇAMENTO!L$15,ROW(C322)-ROW(C$15),0)</f>
        <v/>
      </c>
      <c r="D322" s="145" t="str">
        <f ca="1">OFFSET(ORÇAMENTO!N$15,ROW(D322)-ROW(D$15),0)</f>
        <v>Serviço</v>
      </c>
      <c r="E322" s="205" t="str">
        <f ca="1">OFFSET(ORÇAMENTO!O$15,ROW(E322)-ROW(E$15),0)</f>
        <v>-</v>
      </c>
      <c r="F322" s="206" t="str">
        <f ca="1">OFFSET(ORÇAMENTO!R$15,ROW(F322)-ROW(F$15),0)</f>
        <v>(abra o arquivo 'Referência 05-2024.xls)</v>
      </c>
      <c r="G322" s="207" t="str">
        <f ca="1">IF($D322&lt;&gt;"Serviço","",OFFSET(ORÇAMENTO!S$15,ROW(G322)-ROW(G$15),0))</f>
        <v>-</v>
      </c>
      <c r="H322" s="151">
        <f ca="1">IF($D322&lt;&gt;"Serviço",0,IF(ACOMPANHAMENTO="BM",ROUND(OFFSET(ORÇAMENTO!AJ$15,ROW(H322)-ROW(H$15),0),15-13*ORÇAMENTO!$AF$7),SUMPRODUCT(($Q$12:$AI$12&lt;&gt;"")*ROUND($Q322:$AI322,15-13*ORÇAMENTO!$AF$7))))</f>
        <v>7</v>
      </c>
      <c r="I322" s="650"/>
      <c r="K322" s="208"/>
      <c r="L322" s="209" t="s">
        <v>257</v>
      </c>
      <c r="M322" s="210">
        <f ca="1">IF($D322&lt;&gt;"Serviço","",IF(AUTOEVENTO="manual",$A322,IF(ISERROR(MATCH($A322,$A$15:OFFSET($A322,-1,0),0)),MAX($M$15:OFFSET(M322,-1,0))+1,INDEX($M$15:OFFSET(M322,-1,0),MATCH($A322,$A$15:OFFSET($A322,-1,0),0)))))</f>
        <v>0</v>
      </c>
      <c r="N322" s="211" t="str">
        <f ca="1">IF($D322&lt;&gt;"Serviço","",IF(AUTOEVENTO="Manual",IF($A322=0,"&lt;-- defina o número do agrupador",OFFSET(EVENTOS!$D$14,$A322,0)),OFFSET($F$15,$A322,0)))</f>
        <v>&lt;-- defina o número do agrupador</v>
      </c>
      <c r="O322" s="212"/>
      <c r="Q322" s="212"/>
      <c r="R322" s="213"/>
      <c r="S322" s="213"/>
      <c r="T322" s="213"/>
      <c r="U322" s="213"/>
      <c r="V322" s="213"/>
      <c r="W322" s="213"/>
      <c r="X322" s="213"/>
      <c r="Y322" s="213"/>
      <c r="Z322" s="214"/>
      <c r="AA322" s="213"/>
      <c r="AB322" s="213"/>
      <c r="AC322" s="213"/>
      <c r="AD322" s="213"/>
      <c r="AE322" s="213"/>
      <c r="AF322" s="213"/>
      <c r="AG322" s="213"/>
      <c r="AH322" s="214"/>
      <c r="AJ322" s="631">
        <f ca="1">IF(AND($D322="Serviço",AJ$12&lt;&gt;0,$H322&gt;0,OR(AUTOEVENTO&lt;&gt;"manual",$M322&lt;&gt;1)),ROUND(OFFSET($P322,0,AJ$13),15-13*ORÇAMENTO!$AF$7)/$H322*OFFSET(ORÇAMENTO!$X$15,ROW(AJ322)-ROW(AJ$15),0),0)</f>
        <v>0</v>
      </c>
      <c r="AK322" s="632">
        <f ca="1">IF(AND($D322="Serviço",AK$12&lt;&gt;0,$H322&gt;0,OR(AUTOEVENTO&lt;&gt;"manual",$M322&lt;&gt;1)),ROUND(OFFSET($P322,0,AK$13),15-13*ORÇAMENTO!$AF$7)/$H322*OFFSET(ORÇAMENTO!$X$15,ROW(AK322)-ROW(AK$15),0),0)</f>
        <v>0</v>
      </c>
      <c r="AL322" s="632">
        <f ca="1">IF(AND($D322="Serviço",AL$12&lt;&gt;0,$H322&gt;0,OR(AUTOEVENTO&lt;&gt;"manual",$M322&lt;&gt;1)),ROUND(OFFSET($P322,0,AL$13),15-13*ORÇAMENTO!$AF$7)/$H322*OFFSET(ORÇAMENTO!$X$15,ROW(AL322)-ROW(AL$15),0),0)</f>
        <v>0</v>
      </c>
      <c r="AM322" s="632">
        <f ca="1">IF(AND($D322="Serviço",AM$12&lt;&gt;0,$H322&gt;0,OR(AUTOEVENTO&lt;&gt;"manual",$M322&lt;&gt;1)),ROUND(OFFSET($P322,0,AM$13),15-13*ORÇAMENTO!$AF$7)/$H322*OFFSET(ORÇAMENTO!$X$15,ROW(AM322)-ROW(AM$15),0),0)</f>
        <v>0</v>
      </c>
      <c r="AN322" s="632">
        <f ca="1">IF(AND($D322="Serviço",AN$12&lt;&gt;0,$H322&gt;0,OR(AUTOEVENTO&lt;&gt;"manual",$M322&lt;&gt;1)),ROUND(OFFSET($P322,0,AN$13),15-13*ORÇAMENTO!$AF$7)/$H322*OFFSET(ORÇAMENTO!$X$15,ROW(AN322)-ROW(AN$15),0),0)</f>
        <v>0</v>
      </c>
      <c r="AO322" s="632">
        <f ca="1">IF(AND($D322="Serviço",AO$12&lt;&gt;0,$H322&gt;0,OR(AUTOEVENTO&lt;&gt;"manual",$M322&lt;&gt;1)),ROUND(OFFSET($P322,0,AO$13),15-13*ORÇAMENTO!$AF$7)/$H322*OFFSET(ORÇAMENTO!$X$15,ROW(AO322)-ROW(AO$15),0),0)</f>
        <v>0</v>
      </c>
      <c r="AP322" s="632">
        <f ca="1">IF(AND($D322="Serviço",AP$12&lt;&gt;0,$H322&gt;0,OR(AUTOEVENTO&lt;&gt;"manual",$M322&lt;&gt;1)),ROUND(OFFSET($P322,0,AP$13),15-13*ORÇAMENTO!$AF$7)/$H322*OFFSET(ORÇAMENTO!$X$15,ROW(AP322)-ROW(AP$15),0),0)</f>
        <v>0</v>
      </c>
      <c r="AQ322" s="632">
        <f ca="1">IF(AND($D322="Serviço",AQ$12&lt;&gt;0,$H322&gt;0,OR(AUTOEVENTO&lt;&gt;"manual",$M322&lt;&gt;1)),ROUND(OFFSET($P322,0,AQ$13),15-13*ORÇAMENTO!$AF$7)/$H322*OFFSET(ORÇAMENTO!$X$15,ROW(AQ322)-ROW(AQ$15),0),0)</f>
        <v>0</v>
      </c>
      <c r="AR322" s="632">
        <f ca="1">IF(AND($D322="Serviço",AR$12&lt;&gt;0,$H322&gt;0,OR(AUTOEVENTO&lt;&gt;"manual",$M322&lt;&gt;1)),ROUND(OFFSET($P322,0,AR$13),15-13*ORÇAMENTO!$AF$7)/$H322*OFFSET(ORÇAMENTO!$X$15,ROW(AR322)-ROW(AR$15),0),0)</f>
        <v>0</v>
      </c>
      <c r="AS322" s="633">
        <f ca="1">IF(AND($D322="Serviço",AS$12&lt;&gt;0,$H322&gt;0,OR(AUTOEVENTO&lt;&gt;"manual",$M322&lt;&gt;1)),ROUND(OFFSET($P322,0,AS$13),15-13*ORÇAMENTO!$AF$7)/$H322*OFFSET(ORÇAMENTO!$X$15,ROW(AS322)-ROW(AS$15),0),0)</f>
        <v>0</v>
      </c>
      <c r="AT322" s="632">
        <f ca="1">IF(AND($D322="Serviço",AT$12&lt;&gt;0,$H322&gt;0,OR(AUTOEVENTO&lt;&gt;"manual",$M322&lt;&gt;1)),ROUND(OFFSET($P322,0,AT$13),15-13*ORÇAMENTO!$AF$7)/$H322*OFFSET(ORÇAMENTO!$X$15,ROW(AT322)-ROW(AT$15),0),0)</f>
        <v>0</v>
      </c>
      <c r="AU322" s="632">
        <f ca="1">IF(AND($D322="Serviço",AU$12&lt;&gt;0,$H322&gt;0,OR(AUTOEVENTO&lt;&gt;"manual",$M322&lt;&gt;1)),ROUND(OFFSET($P322,0,AU$13),15-13*ORÇAMENTO!$AF$7)/$H322*OFFSET(ORÇAMENTO!$X$15,ROW(AU322)-ROW(AU$15),0),0)</f>
        <v>0</v>
      </c>
      <c r="AV322" s="632">
        <f ca="1">IF(AND($D322="Serviço",AV$12&lt;&gt;0,$H322&gt;0,OR(AUTOEVENTO&lt;&gt;"manual",$M322&lt;&gt;1)),ROUND(OFFSET($P322,0,AV$13),15-13*ORÇAMENTO!$AF$7)/$H322*OFFSET(ORÇAMENTO!$X$15,ROW(AV322)-ROW(AV$15),0),0)</f>
        <v>0</v>
      </c>
      <c r="AW322" s="632">
        <f ca="1">IF(AND($D322="Serviço",AW$12&lt;&gt;0,$H322&gt;0,OR(AUTOEVENTO&lt;&gt;"manual",$M322&lt;&gt;1)),ROUND(OFFSET($P322,0,AW$13),15-13*ORÇAMENTO!$AF$7)/$H322*OFFSET(ORÇAMENTO!$X$15,ROW(AW322)-ROW(AW$15),0),0)</f>
        <v>0</v>
      </c>
      <c r="AX322" s="632">
        <f ca="1">IF(AND($D322="Serviço",AX$12&lt;&gt;0,$H322&gt;0,OR(AUTOEVENTO&lt;&gt;"manual",$M322&lt;&gt;1)),ROUND(OFFSET($P322,0,AX$13),15-13*ORÇAMENTO!$AF$7)/$H322*OFFSET(ORÇAMENTO!$X$15,ROW(AX322)-ROW(AX$15),0),0)</f>
        <v>0</v>
      </c>
      <c r="AY322" s="632">
        <f ca="1">IF(AND($D322="Serviço",AY$12&lt;&gt;0,$H322&gt;0,OR(AUTOEVENTO&lt;&gt;"manual",$M322&lt;&gt;1)),ROUND(OFFSET($P322,0,AY$13),15-13*ORÇAMENTO!$AF$7)/$H322*OFFSET(ORÇAMENTO!$X$15,ROW(AY322)-ROW(AY$15),0),0)</f>
        <v>0</v>
      </c>
      <c r="AZ322" s="632">
        <f ca="1">IF(AND($D322="Serviço",AZ$12&lt;&gt;0,$H322&gt;0,OR(AUTOEVENTO&lt;&gt;"manual",$M322&lt;&gt;1)),ROUND(OFFSET($P322,0,AZ$13),15-13*ORÇAMENTO!$AF$7)/$H322*OFFSET(ORÇAMENTO!$X$15,ROW(AZ322)-ROW(AZ$15),0),0)</f>
        <v>0</v>
      </c>
      <c r="BA322" s="633">
        <f ca="1">IF(AND($D322="Serviço",BA$12&lt;&gt;0,$H322&gt;0,OR(AUTOEVENTO&lt;&gt;"manual",$M322&lt;&gt;1)),ROUND(OFFSET($P322,0,BA$13),15-13*ORÇAMENTO!$AF$7)/$H322*OFFSET(ORÇAMENTO!$X$15,ROW(BA322)-ROW(BA$15),0),0)</f>
        <v>0</v>
      </c>
      <c r="BC322" s="215">
        <f ca="1">IF($D322&lt;&gt;"Serviço",0,IF(AND(AUTOEVENTO="Manual",$M322=1),0,IF(OFFSET(CRONOPLE!$F$14,$M322,BC$13)="",10^12,OFFSET(CRONOPLE!$F$14,$M322,BC$13))))</f>
        <v>1000000000000</v>
      </c>
      <c r="BD322" s="215">
        <f ca="1">IF($D322&lt;&gt;"Serviço",0,IF(AND(AUTOEVENTO="Manual",$M322=1),0,IF(OFFSET(CRONOPLE!$F$14,$M322,BD$13)="",10^12,OFFSET(CRONOPLE!$F$14,$M322,BD$13))))</f>
        <v>1000000000000</v>
      </c>
      <c r="BE322" s="215">
        <f ca="1">IF($D322&lt;&gt;"Serviço",0,IF(AND(AUTOEVENTO="Manual",$M322=1),0,IF(OFFSET(CRONOPLE!$F$14,$M322,BE$13)="",10^12,OFFSET(CRONOPLE!$F$14,$M322,BE$13))))</f>
        <v>1000000000000</v>
      </c>
      <c r="BF322" s="215">
        <f ca="1">IF($D322&lt;&gt;"Serviço",0,IF(AND(AUTOEVENTO="Manual",$M322=1),0,IF(OFFSET(CRONOPLE!$F$14,$M322,BF$13)="",10^12,OFFSET(CRONOPLE!$F$14,$M322,BF$13))))</f>
        <v>1000000000000</v>
      </c>
      <c r="BG322" s="215">
        <f ca="1">IF($D322&lt;&gt;"Serviço",0,IF(AND(AUTOEVENTO="Manual",$M322=1),0,IF(OFFSET(CRONOPLE!$F$14,$M322,BG$13)="",10^12,OFFSET(CRONOPLE!$F$14,$M322,BG$13))))</f>
        <v>1000000000000</v>
      </c>
      <c r="BH322" s="215">
        <f ca="1">IF($D322&lt;&gt;"Serviço",0,IF(AND(AUTOEVENTO="Manual",$M322=1),0,IF(OFFSET(CRONOPLE!$F$14,$M322,BH$13)="",10^12,OFFSET(CRONOPLE!$F$14,$M322,BH$13))))</f>
        <v>1000000000000</v>
      </c>
      <c r="BI322" s="215">
        <f ca="1">IF($D322&lt;&gt;"Serviço",0,IF(AND(AUTOEVENTO="Manual",$M322=1),0,IF(OFFSET(CRONOPLE!$F$14,$M322,BI$13)="",10^12,OFFSET(CRONOPLE!$F$14,$M322,BI$13))))</f>
        <v>1000000000000</v>
      </c>
      <c r="BJ322" s="215">
        <f ca="1">IF($D322&lt;&gt;"Serviço",0,IF(AND(AUTOEVENTO="Manual",$M322=1),0,IF(OFFSET(CRONOPLE!$F$14,$M322,BJ$13)="",10^12,OFFSET(CRONOPLE!$F$14,$M322,BJ$13))))</f>
        <v>1000000000000</v>
      </c>
      <c r="BK322" s="215">
        <f ca="1">IF($D322&lt;&gt;"Serviço",0,IF(AND(AUTOEVENTO="Manual",$M322=1),0,IF(OFFSET(CRONOPLE!$F$14,$M322,BK$13)="",10^12,OFFSET(CRONOPLE!$F$14,$M322,BK$13))))</f>
        <v>1000000000000</v>
      </c>
      <c r="BL322" s="215">
        <f ca="1">IF($D322&lt;&gt;"Serviço",0,IF(AND(AUTOEVENTO="Manual",$M322=1),0,IF(OFFSET(CRONOPLE!$F$14,$M322,BL$13)="",10^12,OFFSET(CRONOPLE!$F$14,$M322,BL$13))))</f>
        <v>1000000000000</v>
      </c>
      <c r="BM322" s="215">
        <f ca="1">IF($D322&lt;&gt;"Serviço",0,IF(AND(AUTOEVENTO="Manual",$M322=1),0,IF(OFFSET(CRONOPLE!$F$14,$M322,BM$13)="",10^12,OFFSET(CRONOPLE!$F$14,$M322,BM$13))))</f>
        <v>1000000000000</v>
      </c>
      <c r="BN322" s="215">
        <f ca="1">IF($D322&lt;&gt;"Serviço",0,IF(AND(AUTOEVENTO="Manual",$M322=1),0,IF(OFFSET(CRONOPLE!$F$14,$M322,BN$13)="",10^12,OFFSET(CRONOPLE!$F$14,$M322,BN$13))))</f>
        <v>1000000000000</v>
      </c>
      <c r="BO322" s="215">
        <f ca="1">IF($D322&lt;&gt;"Serviço",0,IF(AND(AUTOEVENTO="Manual",$M322=1),0,IF(OFFSET(CRONOPLE!$F$14,$M322,BO$13)="",10^12,OFFSET(CRONOPLE!$F$14,$M322,BO$13))))</f>
        <v>1000000000000</v>
      </c>
      <c r="BP322" s="215">
        <f ca="1">IF($D322&lt;&gt;"Serviço",0,IF(AND(AUTOEVENTO="Manual",$M322=1),0,IF(OFFSET(CRONOPLE!$F$14,$M322,BP$13)="",10^12,OFFSET(CRONOPLE!$F$14,$M322,BP$13))))</f>
        <v>1000000000000</v>
      </c>
      <c r="BQ322" s="215">
        <f ca="1">IF($D322&lt;&gt;"Serviço",0,IF(AND(AUTOEVENTO="Manual",$M322=1),0,IF(OFFSET(CRONOPLE!$F$14,$M322,BQ$13)="",10^12,OFFSET(CRONOPLE!$F$14,$M322,BQ$13))))</f>
        <v>1000000000000</v>
      </c>
      <c r="BR322" s="215">
        <f ca="1">IF($D322&lt;&gt;"Serviço",0,IF(AND(AUTOEVENTO="Manual",$M322=1),0,IF(OFFSET(CRONOPLE!$F$14,$M322,BR$13)="",10^12,OFFSET(CRONOPLE!$F$14,$M322,BR$13))))</f>
        <v>1000000000000</v>
      </c>
      <c r="BS322" s="215">
        <f ca="1">IF($D322&lt;&gt;"Serviço",0,IF(AND(AUTOEVENTO="Manual",$M322=1),0,IF(OFFSET(CRONOPLE!$F$14,$M322,BS$13)="",10^12,OFFSET(CRONOPLE!$F$14,$M322,BS$13))))</f>
        <v>1000000000000</v>
      </c>
      <c r="BT322" s="215">
        <f ca="1">IF($D322&lt;&gt;"Serviço",0,IF(AND(AUTOEVENTO="Manual",$M322=1),0,IF(OFFSET(CRONOPLE!$F$14,$M322,BT$13)="",10^12,OFFSET(CRONOPLE!$F$14,$M322,BT$13))))</f>
        <v>1000000000000</v>
      </c>
      <c r="BV322" s="216">
        <f ca="1">IF($D322&lt;&gt;"Serviço",0,IF(OR(AND(AUTOEVENTO="Manual",$M322=1),$M322&gt;(ROW(PLE.lastrow)-ROW(PLE.firstrow))),0,IF(OFFSET(PLE!$G$14,$M322,BV$13)="",10^12,OFFSET(PLE!$G$14,$M322,BV$13))))</f>
        <v>1000000000000</v>
      </c>
      <c r="BW322" s="216">
        <f ca="1">IF($D322&lt;&gt;"Serviço",0,IF(OR(AND(AUTOEVENTO="Manual",$M322=1),$M322&gt;(ROW(PLE.lastrow)-ROW(PLE.firstrow))),0,IF(OFFSET(PLE!$G$14,$M322,BW$13)="",10^12,OFFSET(PLE!$G$14,$M322,BW$13))))</f>
        <v>1000000000000</v>
      </c>
      <c r="BX322" s="216">
        <f ca="1">IF($D322&lt;&gt;"Serviço",0,IF(OR(AND(AUTOEVENTO="Manual",$M322=1),$M322&gt;(ROW(PLE.lastrow)-ROW(PLE.firstrow))),0,IF(OFFSET(PLE!$G$14,$M322,BX$13)="",10^12,OFFSET(PLE!$G$14,$M322,BX$13))))</f>
        <v>1000000000000</v>
      </c>
      <c r="BY322" s="216">
        <f ca="1">IF($D322&lt;&gt;"Serviço",0,IF(OR(AND(AUTOEVENTO="Manual",$M322=1),$M322&gt;(ROW(PLE.lastrow)-ROW(PLE.firstrow))),0,IF(OFFSET(PLE!$G$14,$M322,BY$13)="",10^12,OFFSET(PLE!$G$14,$M322,BY$13))))</f>
        <v>1000000000000</v>
      </c>
      <c r="BZ322" s="216">
        <f ca="1">IF($D322&lt;&gt;"Serviço",0,IF(OR(AND(AUTOEVENTO="Manual",$M322=1),$M322&gt;(ROW(PLE.lastrow)-ROW(PLE.firstrow))),0,IF(OFFSET(PLE!$G$14,$M322,BZ$13)="",10^12,OFFSET(PLE!$G$14,$M322,BZ$13))))</f>
        <v>1000000000000</v>
      </c>
      <c r="CA322" s="216">
        <f ca="1">IF($D322&lt;&gt;"Serviço",0,IF(OR(AND(AUTOEVENTO="Manual",$M322=1),$M322&gt;(ROW(PLE.lastrow)-ROW(PLE.firstrow))),0,IF(OFFSET(PLE!$G$14,$M322,CA$13)="",10^12,OFFSET(PLE!$G$14,$M322,CA$13))))</f>
        <v>1000000000000</v>
      </c>
      <c r="CB322" s="216">
        <f ca="1">IF($D322&lt;&gt;"Serviço",0,IF(OR(AND(AUTOEVENTO="Manual",$M322=1),$M322&gt;(ROW(PLE.lastrow)-ROW(PLE.firstrow))),0,IF(OFFSET(PLE!$G$14,$M322,CB$13)="",10^12,OFFSET(PLE!$G$14,$M322,CB$13))))</f>
        <v>1000000000000</v>
      </c>
      <c r="CC322" s="216">
        <f ca="1">IF($D322&lt;&gt;"Serviço",0,IF(OR(AND(AUTOEVENTO="Manual",$M322=1),$M322&gt;(ROW(PLE.lastrow)-ROW(PLE.firstrow))),0,IF(OFFSET(PLE!$G$14,$M322,CC$13)="",10^12,OFFSET(PLE!$G$14,$M322,CC$13))))</f>
        <v>1000000000000</v>
      </c>
      <c r="CD322" s="216">
        <f ca="1">IF($D322&lt;&gt;"Serviço",0,IF(OR(AND(AUTOEVENTO="Manual",$M322=1),$M322&gt;(ROW(PLE.lastrow)-ROW(PLE.firstrow))),0,IF(OFFSET(PLE!$G$14,$M322,CD$13)="",10^12,OFFSET(PLE!$G$14,$M322,CD$13))))</f>
        <v>1000000000000</v>
      </c>
      <c r="CE322" s="216">
        <f ca="1">IF($D322&lt;&gt;"Serviço",0,IF(OR(AND(AUTOEVENTO="Manual",$M322=1),$M322&gt;(ROW(PLE.lastrow)-ROW(PLE.firstrow))),0,IF(OFFSET(PLE!$G$14,$M322,CE$13)="",10^12,OFFSET(PLE!$G$14,$M322,CE$13))))</f>
        <v>1000000000000</v>
      </c>
      <c r="CF322" s="216">
        <f ca="1">IF($D322&lt;&gt;"Serviço",0,IF(OR(AND(AUTOEVENTO="Manual",$M322=1),$M322&gt;(ROW(PLE.lastrow)-ROW(PLE.firstrow))),0,IF(OFFSET(PLE!$G$14,$M322,CF$13)="",10^12,OFFSET(PLE!$G$14,$M322,CF$13))))</f>
        <v>1000000000000</v>
      </c>
      <c r="CG322" s="216">
        <f ca="1">IF($D322&lt;&gt;"Serviço",0,IF(OR(AND(AUTOEVENTO="Manual",$M322=1),$M322&gt;(ROW(PLE.lastrow)-ROW(PLE.firstrow))),0,IF(OFFSET(PLE!$G$14,$M322,CG$13)="",10^12,OFFSET(PLE!$G$14,$M322,CG$13))))</f>
        <v>1000000000000</v>
      </c>
      <c r="CH322" s="216">
        <f ca="1">IF($D322&lt;&gt;"Serviço",0,IF(OR(AND(AUTOEVENTO="Manual",$M322=1),$M322&gt;(ROW(PLE.lastrow)-ROW(PLE.firstrow))),0,IF(OFFSET(PLE!$G$14,$M322,CH$13)="",10^12,OFFSET(PLE!$G$14,$M322,CH$13))))</f>
        <v>1000000000000</v>
      </c>
      <c r="CI322" s="216">
        <f ca="1">IF($D322&lt;&gt;"Serviço",0,IF(OR(AND(AUTOEVENTO="Manual",$M322=1),$M322&gt;(ROW(PLE.lastrow)-ROW(PLE.firstrow))),0,IF(OFFSET(PLE!$G$14,$M322,CI$13)="",10^12,OFFSET(PLE!$G$14,$M322,CI$13))))</f>
        <v>1000000000000</v>
      </c>
      <c r="CJ322" s="216">
        <f ca="1">IF($D322&lt;&gt;"Serviço",0,IF(OR(AND(AUTOEVENTO="Manual",$M322=1),$M322&gt;(ROW(PLE.lastrow)-ROW(PLE.firstrow))),0,IF(OFFSET(PLE!$G$14,$M322,CJ$13)="",10^12,OFFSET(PLE!$G$14,$M322,CJ$13))))</f>
        <v>1000000000000</v>
      </c>
      <c r="CK322" s="216">
        <f ca="1">IF($D322&lt;&gt;"Serviço",0,IF(OR(AND(AUTOEVENTO="Manual",$M322=1),$M322&gt;(ROW(PLE.lastrow)-ROW(PLE.firstrow))),0,IF(OFFSET(PLE!$G$14,$M322,CK$13)="",10^12,OFFSET(PLE!$G$14,$M322,CK$13))))</f>
        <v>1000000000000</v>
      </c>
      <c r="CL322" s="216">
        <f ca="1">IF($D322&lt;&gt;"Serviço",0,IF(OR(AND(AUTOEVENTO="Manual",$M322=1),$M322&gt;(ROW(PLE.lastrow)-ROW(PLE.firstrow))),0,IF(OFFSET(PLE!$G$14,$M322,CL$13)="",10^12,OFFSET(PLE!$G$14,$M322,CL$13))))</f>
        <v>1000000000000</v>
      </c>
      <c r="CM322" s="216">
        <f ca="1">IF($D322&lt;&gt;"Serviço",0,IF(OR(AND(AUTOEVENTO="Manual",$M322=1),$M322&gt;(ROW(PLE.lastrow)-ROW(PLE.firstrow))),0,IF(OFFSET(PLE!$G$14,$M322,CM$13)="",10^12,OFFSET(PLE!$G$14,$M322,CM$13))))</f>
        <v>1000000000000</v>
      </c>
    </row>
    <row r="323" spans="1:91" ht="13.2" x14ac:dyDescent="0.25">
      <c r="A323" s="9">
        <f t="shared" ca="1" si="13"/>
        <v>0</v>
      </c>
      <c r="B323" s="9" t="str">
        <f ca="1">OFFSET(ORÇAMENTO!C$15,ROW(B323)-ROW(B$15),0)</f>
        <v>S</v>
      </c>
      <c r="C323" s="9" t="str">
        <f ca="1">OFFSET(ORÇAMENTO!L$15,ROW(C323)-ROW(C$15),0)</f>
        <v/>
      </c>
      <c r="D323" s="145" t="str">
        <f ca="1">OFFSET(ORÇAMENTO!N$15,ROW(D323)-ROW(D$15),0)</f>
        <v>Serviço</v>
      </c>
      <c r="E323" s="205" t="str">
        <f ca="1">OFFSET(ORÇAMENTO!O$15,ROW(E323)-ROW(E$15),0)</f>
        <v>-</v>
      </c>
      <c r="F323" s="206" t="str">
        <f ca="1">OFFSET(ORÇAMENTO!R$15,ROW(F323)-ROW(F$15),0)</f>
        <v>(abra o arquivo 'Referência 05-2024.xls)</v>
      </c>
      <c r="G323" s="207" t="str">
        <f ca="1">IF($D323&lt;&gt;"Serviço","",OFFSET(ORÇAMENTO!S$15,ROW(G323)-ROW(G$15),0))</f>
        <v>-</v>
      </c>
      <c r="H323" s="151">
        <f ca="1">IF($D323&lt;&gt;"Serviço",0,IF(ACOMPANHAMENTO="BM",ROUND(OFFSET(ORÇAMENTO!AJ$15,ROW(H323)-ROW(H$15),0),15-13*ORÇAMENTO!$AF$7),SUMPRODUCT(($Q$12:$AI$12&lt;&gt;"")*ROUND($Q323:$AI323,15-13*ORÇAMENTO!$AF$7))))</f>
        <v>3</v>
      </c>
      <c r="I323" s="650"/>
      <c r="K323" s="208"/>
      <c r="L323" s="209" t="s">
        <v>257</v>
      </c>
      <c r="M323" s="210">
        <f ca="1">IF($D323&lt;&gt;"Serviço","",IF(AUTOEVENTO="manual",$A323,IF(ISERROR(MATCH($A323,$A$15:OFFSET($A323,-1,0),0)),MAX($M$15:OFFSET(M323,-1,0))+1,INDEX($M$15:OFFSET(M323,-1,0),MATCH($A323,$A$15:OFFSET($A323,-1,0),0)))))</f>
        <v>0</v>
      </c>
      <c r="N323" s="211" t="str">
        <f ca="1">IF($D323&lt;&gt;"Serviço","",IF(AUTOEVENTO="Manual",IF($A323=0,"&lt;-- defina o número do agrupador",OFFSET(EVENTOS!$D$14,$A323,0)),OFFSET($F$15,$A323,0)))</f>
        <v>&lt;-- defina o número do agrupador</v>
      </c>
      <c r="O323" s="212"/>
      <c r="Q323" s="212"/>
      <c r="R323" s="213"/>
      <c r="S323" s="213"/>
      <c r="T323" s="213"/>
      <c r="U323" s="213"/>
      <c r="V323" s="213"/>
      <c r="W323" s="213"/>
      <c r="X323" s="213"/>
      <c r="Y323" s="213"/>
      <c r="Z323" s="214"/>
      <c r="AA323" s="213"/>
      <c r="AB323" s="213"/>
      <c r="AC323" s="213"/>
      <c r="AD323" s="213"/>
      <c r="AE323" s="213"/>
      <c r="AF323" s="213"/>
      <c r="AG323" s="213"/>
      <c r="AH323" s="214"/>
      <c r="AJ323" s="631">
        <f ca="1">IF(AND($D323="Serviço",AJ$12&lt;&gt;0,$H323&gt;0,OR(AUTOEVENTO&lt;&gt;"manual",$M323&lt;&gt;1)),ROUND(OFFSET($P323,0,AJ$13),15-13*ORÇAMENTO!$AF$7)/$H323*OFFSET(ORÇAMENTO!$X$15,ROW(AJ323)-ROW(AJ$15),0),0)</f>
        <v>0</v>
      </c>
      <c r="AK323" s="632">
        <f ca="1">IF(AND($D323="Serviço",AK$12&lt;&gt;0,$H323&gt;0,OR(AUTOEVENTO&lt;&gt;"manual",$M323&lt;&gt;1)),ROUND(OFFSET($P323,0,AK$13),15-13*ORÇAMENTO!$AF$7)/$H323*OFFSET(ORÇAMENTO!$X$15,ROW(AK323)-ROW(AK$15),0),0)</f>
        <v>0</v>
      </c>
      <c r="AL323" s="632">
        <f ca="1">IF(AND($D323="Serviço",AL$12&lt;&gt;0,$H323&gt;0,OR(AUTOEVENTO&lt;&gt;"manual",$M323&lt;&gt;1)),ROUND(OFFSET($P323,0,AL$13),15-13*ORÇAMENTO!$AF$7)/$H323*OFFSET(ORÇAMENTO!$X$15,ROW(AL323)-ROW(AL$15),0),0)</f>
        <v>0</v>
      </c>
      <c r="AM323" s="632">
        <f ca="1">IF(AND($D323="Serviço",AM$12&lt;&gt;0,$H323&gt;0,OR(AUTOEVENTO&lt;&gt;"manual",$M323&lt;&gt;1)),ROUND(OFFSET($P323,0,AM$13),15-13*ORÇAMENTO!$AF$7)/$H323*OFFSET(ORÇAMENTO!$X$15,ROW(AM323)-ROW(AM$15),0),0)</f>
        <v>0</v>
      </c>
      <c r="AN323" s="632">
        <f ca="1">IF(AND($D323="Serviço",AN$12&lt;&gt;0,$H323&gt;0,OR(AUTOEVENTO&lt;&gt;"manual",$M323&lt;&gt;1)),ROUND(OFFSET($P323,0,AN$13),15-13*ORÇAMENTO!$AF$7)/$H323*OFFSET(ORÇAMENTO!$X$15,ROW(AN323)-ROW(AN$15),0),0)</f>
        <v>0</v>
      </c>
      <c r="AO323" s="632">
        <f ca="1">IF(AND($D323="Serviço",AO$12&lt;&gt;0,$H323&gt;0,OR(AUTOEVENTO&lt;&gt;"manual",$M323&lt;&gt;1)),ROUND(OFFSET($P323,0,AO$13),15-13*ORÇAMENTO!$AF$7)/$H323*OFFSET(ORÇAMENTO!$X$15,ROW(AO323)-ROW(AO$15),0),0)</f>
        <v>0</v>
      </c>
      <c r="AP323" s="632">
        <f ca="1">IF(AND($D323="Serviço",AP$12&lt;&gt;0,$H323&gt;0,OR(AUTOEVENTO&lt;&gt;"manual",$M323&lt;&gt;1)),ROUND(OFFSET($P323,0,AP$13),15-13*ORÇAMENTO!$AF$7)/$H323*OFFSET(ORÇAMENTO!$X$15,ROW(AP323)-ROW(AP$15),0),0)</f>
        <v>0</v>
      </c>
      <c r="AQ323" s="632">
        <f ca="1">IF(AND($D323="Serviço",AQ$12&lt;&gt;0,$H323&gt;0,OR(AUTOEVENTO&lt;&gt;"manual",$M323&lt;&gt;1)),ROUND(OFFSET($P323,0,AQ$13),15-13*ORÇAMENTO!$AF$7)/$H323*OFFSET(ORÇAMENTO!$X$15,ROW(AQ323)-ROW(AQ$15),0),0)</f>
        <v>0</v>
      </c>
      <c r="AR323" s="632">
        <f ca="1">IF(AND($D323="Serviço",AR$12&lt;&gt;0,$H323&gt;0,OR(AUTOEVENTO&lt;&gt;"manual",$M323&lt;&gt;1)),ROUND(OFFSET($P323,0,AR$13),15-13*ORÇAMENTO!$AF$7)/$H323*OFFSET(ORÇAMENTO!$X$15,ROW(AR323)-ROW(AR$15),0),0)</f>
        <v>0</v>
      </c>
      <c r="AS323" s="633">
        <f ca="1">IF(AND($D323="Serviço",AS$12&lt;&gt;0,$H323&gt;0,OR(AUTOEVENTO&lt;&gt;"manual",$M323&lt;&gt;1)),ROUND(OFFSET($P323,0,AS$13),15-13*ORÇAMENTO!$AF$7)/$H323*OFFSET(ORÇAMENTO!$X$15,ROW(AS323)-ROW(AS$15),0),0)</f>
        <v>0</v>
      </c>
      <c r="AT323" s="632">
        <f ca="1">IF(AND($D323="Serviço",AT$12&lt;&gt;0,$H323&gt;0,OR(AUTOEVENTO&lt;&gt;"manual",$M323&lt;&gt;1)),ROUND(OFFSET($P323,0,AT$13),15-13*ORÇAMENTO!$AF$7)/$H323*OFFSET(ORÇAMENTO!$X$15,ROW(AT323)-ROW(AT$15),0),0)</f>
        <v>0</v>
      </c>
      <c r="AU323" s="632">
        <f ca="1">IF(AND($D323="Serviço",AU$12&lt;&gt;0,$H323&gt;0,OR(AUTOEVENTO&lt;&gt;"manual",$M323&lt;&gt;1)),ROUND(OFFSET($P323,0,AU$13),15-13*ORÇAMENTO!$AF$7)/$H323*OFFSET(ORÇAMENTO!$X$15,ROW(AU323)-ROW(AU$15),0),0)</f>
        <v>0</v>
      </c>
      <c r="AV323" s="632">
        <f ca="1">IF(AND($D323="Serviço",AV$12&lt;&gt;0,$H323&gt;0,OR(AUTOEVENTO&lt;&gt;"manual",$M323&lt;&gt;1)),ROUND(OFFSET($P323,0,AV$13),15-13*ORÇAMENTO!$AF$7)/$H323*OFFSET(ORÇAMENTO!$X$15,ROW(AV323)-ROW(AV$15),0),0)</f>
        <v>0</v>
      </c>
      <c r="AW323" s="632">
        <f ca="1">IF(AND($D323="Serviço",AW$12&lt;&gt;0,$H323&gt;0,OR(AUTOEVENTO&lt;&gt;"manual",$M323&lt;&gt;1)),ROUND(OFFSET($P323,0,AW$13),15-13*ORÇAMENTO!$AF$7)/$H323*OFFSET(ORÇAMENTO!$X$15,ROW(AW323)-ROW(AW$15),0),0)</f>
        <v>0</v>
      </c>
      <c r="AX323" s="632">
        <f ca="1">IF(AND($D323="Serviço",AX$12&lt;&gt;0,$H323&gt;0,OR(AUTOEVENTO&lt;&gt;"manual",$M323&lt;&gt;1)),ROUND(OFFSET($P323,0,AX$13),15-13*ORÇAMENTO!$AF$7)/$H323*OFFSET(ORÇAMENTO!$X$15,ROW(AX323)-ROW(AX$15),0),0)</f>
        <v>0</v>
      </c>
      <c r="AY323" s="632">
        <f ca="1">IF(AND($D323="Serviço",AY$12&lt;&gt;0,$H323&gt;0,OR(AUTOEVENTO&lt;&gt;"manual",$M323&lt;&gt;1)),ROUND(OFFSET($P323,0,AY$13),15-13*ORÇAMENTO!$AF$7)/$H323*OFFSET(ORÇAMENTO!$X$15,ROW(AY323)-ROW(AY$15),0),0)</f>
        <v>0</v>
      </c>
      <c r="AZ323" s="632">
        <f ca="1">IF(AND($D323="Serviço",AZ$12&lt;&gt;0,$H323&gt;0,OR(AUTOEVENTO&lt;&gt;"manual",$M323&lt;&gt;1)),ROUND(OFFSET($P323,0,AZ$13),15-13*ORÇAMENTO!$AF$7)/$H323*OFFSET(ORÇAMENTO!$X$15,ROW(AZ323)-ROW(AZ$15),0),0)</f>
        <v>0</v>
      </c>
      <c r="BA323" s="633">
        <f ca="1">IF(AND($D323="Serviço",BA$12&lt;&gt;0,$H323&gt;0,OR(AUTOEVENTO&lt;&gt;"manual",$M323&lt;&gt;1)),ROUND(OFFSET($P323,0,BA$13),15-13*ORÇAMENTO!$AF$7)/$H323*OFFSET(ORÇAMENTO!$X$15,ROW(BA323)-ROW(BA$15),0),0)</f>
        <v>0</v>
      </c>
      <c r="BC323" s="215">
        <f ca="1">IF($D323&lt;&gt;"Serviço",0,IF(AND(AUTOEVENTO="Manual",$M323=1),0,IF(OFFSET(CRONOPLE!$F$14,$M323,BC$13)="",10^12,OFFSET(CRONOPLE!$F$14,$M323,BC$13))))</f>
        <v>1000000000000</v>
      </c>
      <c r="BD323" s="215">
        <f ca="1">IF($D323&lt;&gt;"Serviço",0,IF(AND(AUTOEVENTO="Manual",$M323=1),0,IF(OFFSET(CRONOPLE!$F$14,$M323,BD$13)="",10^12,OFFSET(CRONOPLE!$F$14,$M323,BD$13))))</f>
        <v>1000000000000</v>
      </c>
      <c r="BE323" s="215">
        <f ca="1">IF($D323&lt;&gt;"Serviço",0,IF(AND(AUTOEVENTO="Manual",$M323=1),0,IF(OFFSET(CRONOPLE!$F$14,$M323,BE$13)="",10^12,OFFSET(CRONOPLE!$F$14,$M323,BE$13))))</f>
        <v>1000000000000</v>
      </c>
      <c r="BF323" s="215">
        <f ca="1">IF($D323&lt;&gt;"Serviço",0,IF(AND(AUTOEVENTO="Manual",$M323=1),0,IF(OFFSET(CRONOPLE!$F$14,$M323,BF$13)="",10^12,OFFSET(CRONOPLE!$F$14,$M323,BF$13))))</f>
        <v>1000000000000</v>
      </c>
      <c r="BG323" s="215">
        <f ca="1">IF($D323&lt;&gt;"Serviço",0,IF(AND(AUTOEVENTO="Manual",$M323=1),0,IF(OFFSET(CRONOPLE!$F$14,$M323,BG$13)="",10^12,OFFSET(CRONOPLE!$F$14,$M323,BG$13))))</f>
        <v>1000000000000</v>
      </c>
      <c r="BH323" s="215">
        <f ca="1">IF($D323&lt;&gt;"Serviço",0,IF(AND(AUTOEVENTO="Manual",$M323=1),0,IF(OFFSET(CRONOPLE!$F$14,$M323,BH$13)="",10^12,OFFSET(CRONOPLE!$F$14,$M323,BH$13))))</f>
        <v>1000000000000</v>
      </c>
      <c r="BI323" s="215">
        <f ca="1">IF($D323&lt;&gt;"Serviço",0,IF(AND(AUTOEVENTO="Manual",$M323=1),0,IF(OFFSET(CRONOPLE!$F$14,$M323,BI$13)="",10^12,OFFSET(CRONOPLE!$F$14,$M323,BI$13))))</f>
        <v>1000000000000</v>
      </c>
      <c r="BJ323" s="215">
        <f ca="1">IF($D323&lt;&gt;"Serviço",0,IF(AND(AUTOEVENTO="Manual",$M323=1),0,IF(OFFSET(CRONOPLE!$F$14,$M323,BJ$13)="",10^12,OFFSET(CRONOPLE!$F$14,$M323,BJ$13))))</f>
        <v>1000000000000</v>
      </c>
      <c r="BK323" s="215">
        <f ca="1">IF($D323&lt;&gt;"Serviço",0,IF(AND(AUTOEVENTO="Manual",$M323=1),0,IF(OFFSET(CRONOPLE!$F$14,$M323,BK$13)="",10^12,OFFSET(CRONOPLE!$F$14,$M323,BK$13))))</f>
        <v>1000000000000</v>
      </c>
      <c r="BL323" s="215">
        <f ca="1">IF($D323&lt;&gt;"Serviço",0,IF(AND(AUTOEVENTO="Manual",$M323=1),0,IF(OFFSET(CRONOPLE!$F$14,$M323,BL$13)="",10^12,OFFSET(CRONOPLE!$F$14,$M323,BL$13))))</f>
        <v>1000000000000</v>
      </c>
      <c r="BM323" s="215">
        <f ca="1">IF($D323&lt;&gt;"Serviço",0,IF(AND(AUTOEVENTO="Manual",$M323=1),0,IF(OFFSET(CRONOPLE!$F$14,$M323,BM$13)="",10^12,OFFSET(CRONOPLE!$F$14,$M323,BM$13))))</f>
        <v>1000000000000</v>
      </c>
      <c r="BN323" s="215">
        <f ca="1">IF($D323&lt;&gt;"Serviço",0,IF(AND(AUTOEVENTO="Manual",$M323=1),0,IF(OFFSET(CRONOPLE!$F$14,$M323,BN$13)="",10^12,OFFSET(CRONOPLE!$F$14,$M323,BN$13))))</f>
        <v>1000000000000</v>
      </c>
      <c r="BO323" s="215">
        <f ca="1">IF($D323&lt;&gt;"Serviço",0,IF(AND(AUTOEVENTO="Manual",$M323=1),0,IF(OFFSET(CRONOPLE!$F$14,$M323,BO$13)="",10^12,OFFSET(CRONOPLE!$F$14,$M323,BO$13))))</f>
        <v>1000000000000</v>
      </c>
      <c r="BP323" s="215">
        <f ca="1">IF($D323&lt;&gt;"Serviço",0,IF(AND(AUTOEVENTO="Manual",$M323=1),0,IF(OFFSET(CRONOPLE!$F$14,$M323,BP$13)="",10^12,OFFSET(CRONOPLE!$F$14,$M323,BP$13))))</f>
        <v>1000000000000</v>
      </c>
      <c r="BQ323" s="215">
        <f ca="1">IF($D323&lt;&gt;"Serviço",0,IF(AND(AUTOEVENTO="Manual",$M323=1),0,IF(OFFSET(CRONOPLE!$F$14,$M323,BQ$13)="",10^12,OFFSET(CRONOPLE!$F$14,$M323,BQ$13))))</f>
        <v>1000000000000</v>
      </c>
      <c r="BR323" s="215">
        <f ca="1">IF($D323&lt;&gt;"Serviço",0,IF(AND(AUTOEVENTO="Manual",$M323=1),0,IF(OFFSET(CRONOPLE!$F$14,$M323,BR$13)="",10^12,OFFSET(CRONOPLE!$F$14,$M323,BR$13))))</f>
        <v>1000000000000</v>
      </c>
      <c r="BS323" s="215">
        <f ca="1">IF($D323&lt;&gt;"Serviço",0,IF(AND(AUTOEVENTO="Manual",$M323=1),0,IF(OFFSET(CRONOPLE!$F$14,$M323,BS$13)="",10^12,OFFSET(CRONOPLE!$F$14,$M323,BS$13))))</f>
        <v>1000000000000</v>
      </c>
      <c r="BT323" s="215">
        <f ca="1">IF($D323&lt;&gt;"Serviço",0,IF(AND(AUTOEVENTO="Manual",$M323=1),0,IF(OFFSET(CRONOPLE!$F$14,$M323,BT$13)="",10^12,OFFSET(CRONOPLE!$F$14,$M323,BT$13))))</f>
        <v>1000000000000</v>
      </c>
      <c r="BV323" s="216">
        <f ca="1">IF($D323&lt;&gt;"Serviço",0,IF(OR(AND(AUTOEVENTO="Manual",$M323=1),$M323&gt;(ROW(PLE.lastrow)-ROW(PLE.firstrow))),0,IF(OFFSET(PLE!$G$14,$M323,BV$13)="",10^12,OFFSET(PLE!$G$14,$M323,BV$13))))</f>
        <v>1000000000000</v>
      </c>
      <c r="BW323" s="216">
        <f ca="1">IF($D323&lt;&gt;"Serviço",0,IF(OR(AND(AUTOEVENTO="Manual",$M323=1),$M323&gt;(ROW(PLE.lastrow)-ROW(PLE.firstrow))),0,IF(OFFSET(PLE!$G$14,$M323,BW$13)="",10^12,OFFSET(PLE!$G$14,$M323,BW$13))))</f>
        <v>1000000000000</v>
      </c>
      <c r="BX323" s="216">
        <f ca="1">IF($D323&lt;&gt;"Serviço",0,IF(OR(AND(AUTOEVENTO="Manual",$M323=1),$M323&gt;(ROW(PLE.lastrow)-ROW(PLE.firstrow))),0,IF(OFFSET(PLE!$G$14,$M323,BX$13)="",10^12,OFFSET(PLE!$G$14,$M323,BX$13))))</f>
        <v>1000000000000</v>
      </c>
      <c r="BY323" s="216">
        <f ca="1">IF($D323&lt;&gt;"Serviço",0,IF(OR(AND(AUTOEVENTO="Manual",$M323=1),$M323&gt;(ROW(PLE.lastrow)-ROW(PLE.firstrow))),0,IF(OFFSET(PLE!$G$14,$M323,BY$13)="",10^12,OFFSET(PLE!$G$14,$M323,BY$13))))</f>
        <v>1000000000000</v>
      </c>
      <c r="BZ323" s="216">
        <f ca="1">IF($D323&lt;&gt;"Serviço",0,IF(OR(AND(AUTOEVENTO="Manual",$M323=1),$M323&gt;(ROW(PLE.lastrow)-ROW(PLE.firstrow))),0,IF(OFFSET(PLE!$G$14,$M323,BZ$13)="",10^12,OFFSET(PLE!$G$14,$M323,BZ$13))))</f>
        <v>1000000000000</v>
      </c>
      <c r="CA323" s="216">
        <f ca="1">IF($D323&lt;&gt;"Serviço",0,IF(OR(AND(AUTOEVENTO="Manual",$M323=1),$M323&gt;(ROW(PLE.lastrow)-ROW(PLE.firstrow))),0,IF(OFFSET(PLE!$G$14,$M323,CA$13)="",10^12,OFFSET(PLE!$G$14,$M323,CA$13))))</f>
        <v>1000000000000</v>
      </c>
      <c r="CB323" s="216">
        <f ca="1">IF($D323&lt;&gt;"Serviço",0,IF(OR(AND(AUTOEVENTO="Manual",$M323=1),$M323&gt;(ROW(PLE.lastrow)-ROW(PLE.firstrow))),0,IF(OFFSET(PLE!$G$14,$M323,CB$13)="",10^12,OFFSET(PLE!$G$14,$M323,CB$13))))</f>
        <v>1000000000000</v>
      </c>
      <c r="CC323" s="216">
        <f ca="1">IF($D323&lt;&gt;"Serviço",0,IF(OR(AND(AUTOEVENTO="Manual",$M323=1),$M323&gt;(ROW(PLE.lastrow)-ROW(PLE.firstrow))),0,IF(OFFSET(PLE!$G$14,$M323,CC$13)="",10^12,OFFSET(PLE!$G$14,$M323,CC$13))))</f>
        <v>1000000000000</v>
      </c>
      <c r="CD323" s="216">
        <f ca="1">IF($D323&lt;&gt;"Serviço",0,IF(OR(AND(AUTOEVENTO="Manual",$M323=1),$M323&gt;(ROW(PLE.lastrow)-ROW(PLE.firstrow))),0,IF(OFFSET(PLE!$G$14,$M323,CD$13)="",10^12,OFFSET(PLE!$G$14,$M323,CD$13))))</f>
        <v>1000000000000</v>
      </c>
      <c r="CE323" s="216">
        <f ca="1">IF($D323&lt;&gt;"Serviço",0,IF(OR(AND(AUTOEVENTO="Manual",$M323=1),$M323&gt;(ROW(PLE.lastrow)-ROW(PLE.firstrow))),0,IF(OFFSET(PLE!$G$14,$M323,CE$13)="",10^12,OFFSET(PLE!$G$14,$M323,CE$13))))</f>
        <v>1000000000000</v>
      </c>
      <c r="CF323" s="216">
        <f ca="1">IF($D323&lt;&gt;"Serviço",0,IF(OR(AND(AUTOEVENTO="Manual",$M323=1),$M323&gt;(ROW(PLE.lastrow)-ROW(PLE.firstrow))),0,IF(OFFSET(PLE!$G$14,$M323,CF$13)="",10^12,OFFSET(PLE!$G$14,$M323,CF$13))))</f>
        <v>1000000000000</v>
      </c>
      <c r="CG323" s="216">
        <f ca="1">IF($D323&lt;&gt;"Serviço",0,IF(OR(AND(AUTOEVENTO="Manual",$M323=1),$M323&gt;(ROW(PLE.lastrow)-ROW(PLE.firstrow))),0,IF(OFFSET(PLE!$G$14,$M323,CG$13)="",10^12,OFFSET(PLE!$G$14,$M323,CG$13))))</f>
        <v>1000000000000</v>
      </c>
      <c r="CH323" s="216">
        <f ca="1">IF($D323&lt;&gt;"Serviço",0,IF(OR(AND(AUTOEVENTO="Manual",$M323=1),$M323&gt;(ROW(PLE.lastrow)-ROW(PLE.firstrow))),0,IF(OFFSET(PLE!$G$14,$M323,CH$13)="",10^12,OFFSET(PLE!$G$14,$M323,CH$13))))</f>
        <v>1000000000000</v>
      </c>
      <c r="CI323" s="216">
        <f ca="1">IF($D323&lt;&gt;"Serviço",0,IF(OR(AND(AUTOEVENTO="Manual",$M323=1),$M323&gt;(ROW(PLE.lastrow)-ROW(PLE.firstrow))),0,IF(OFFSET(PLE!$G$14,$M323,CI$13)="",10^12,OFFSET(PLE!$G$14,$M323,CI$13))))</f>
        <v>1000000000000</v>
      </c>
      <c r="CJ323" s="216">
        <f ca="1">IF($D323&lt;&gt;"Serviço",0,IF(OR(AND(AUTOEVENTO="Manual",$M323=1),$M323&gt;(ROW(PLE.lastrow)-ROW(PLE.firstrow))),0,IF(OFFSET(PLE!$G$14,$M323,CJ$13)="",10^12,OFFSET(PLE!$G$14,$M323,CJ$13))))</f>
        <v>1000000000000</v>
      </c>
      <c r="CK323" s="216">
        <f ca="1">IF($D323&lt;&gt;"Serviço",0,IF(OR(AND(AUTOEVENTO="Manual",$M323=1),$M323&gt;(ROW(PLE.lastrow)-ROW(PLE.firstrow))),0,IF(OFFSET(PLE!$G$14,$M323,CK$13)="",10^12,OFFSET(PLE!$G$14,$M323,CK$13))))</f>
        <v>1000000000000</v>
      </c>
      <c r="CL323" s="216">
        <f ca="1">IF($D323&lt;&gt;"Serviço",0,IF(OR(AND(AUTOEVENTO="Manual",$M323=1),$M323&gt;(ROW(PLE.lastrow)-ROW(PLE.firstrow))),0,IF(OFFSET(PLE!$G$14,$M323,CL$13)="",10^12,OFFSET(PLE!$G$14,$M323,CL$13))))</f>
        <v>1000000000000</v>
      </c>
      <c r="CM323" s="216">
        <f ca="1">IF($D323&lt;&gt;"Serviço",0,IF(OR(AND(AUTOEVENTO="Manual",$M323=1),$M323&gt;(ROW(PLE.lastrow)-ROW(PLE.firstrow))),0,IF(OFFSET(PLE!$G$14,$M323,CM$13)="",10^12,OFFSET(PLE!$G$14,$M323,CM$13))))</f>
        <v>1000000000000</v>
      </c>
    </row>
    <row r="324" spans="1:91" ht="13.2" x14ac:dyDescent="0.25">
      <c r="A324" s="9">
        <f t="shared" ca="1" si="13"/>
        <v>0</v>
      </c>
      <c r="B324" s="9" t="str">
        <f ca="1">OFFSET(ORÇAMENTO!C$15,ROW(B324)-ROW(B$15),0)</f>
        <v>S</v>
      </c>
      <c r="C324" s="9" t="str">
        <f ca="1">OFFSET(ORÇAMENTO!L$15,ROW(C324)-ROW(C$15),0)</f>
        <v/>
      </c>
      <c r="D324" s="145" t="str">
        <f ca="1">OFFSET(ORÇAMENTO!N$15,ROW(D324)-ROW(D$15),0)</f>
        <v>Serviço</v>
      </c>
      <c r="E324" s="205" t="str">
        <f ca="1">OFFSET(ORÇAMENTO!O$15,ROW(E324)-ROW(E$15),0)</f>
        <v>-</v>
      </c>
      <c r="F324" s="206" t="str">
        <f ca="1">OFFSET(ORÇAMENTO!R$15,ROW(F324)-ROW(F$15),0)</f>
        <v>(abra o arquivo 'Referência 05-2024.xls)</v>
      </c>
      <c r="G324" s="207" t="str">
        <f ca="1">IF($D324&lt;&gt;"Serviço","",OFFSET(ORÇAMENTO!S$15,ROW(G324)-ROW(G$15),0))</f>
        <v>-</v>
      </c>
      <c r="H324" s="151">
        <f ca="1">IF($D324&lt;&gt;"Serviço",0,IF(ACOMPANHAMENTO="BM",ROUND(OFFSET(ORÇAMENTO!AJ$15,ROW(H324)-ROW(H$15),0),15-13*ORÇAMENTO!$AF$7),SUMPRODUCT(($Q$12:$AI$12&lt;&gt;"")*ROUND($Q324:$AI324,15-13*ORÇAMENTO!$AF$7))))</f>
        <v>1</v>
      </c>
      <c r="I324" s="650"/>
      <c r="K324" s="208"/>
      <c r="L324" s="209" t="s">
        <v>257</v>
      </c>
      <c r="M324" s="210">
        <f ca="1">IF($D324&lt;&gt;"Serviço","",IF(AUTOEVENTO="manual",$A324,IF(ISERROR(MATCH($A324,$A$15:OFFSET($A324,-1,0),0)),MAX($M$15:OFFSET(M324,-1,0))+1,INDEX($M$15:OFFSET(M324,-1,0),MATCH($A324,$A$15:OFFSET($A324,-1,0),0)))))</f>
        <v>0</v>
      </c>
      <c r="N324" s="211" t="str">
        <f ca="1">IF($D324&lt;&gt;"Serviço","",IF(AUTOEVENTO="Manual",IF($A324=0,"&lt;-- defina o número do agrupador",OFFSET(EVENTOS!$D$14,$A324,0)),OFFSET($F$15,$A324,0)))</f>
        <v>&lt;-- defina o número do agrupador</v>
      </c>
      <c r="O324" s="212"/>
      <c r="Q324" s="212"/>
      <c r="R324" s="213"/>
      <c r="S324" s="213"/>
      <c r="T324" s="213"/>
      <c r="U324" s="213"/>
      <c r="V324" s="213"/>
      <c r="W324" s="213"/>
      <c r="X324" s="213"/>
      <c r="Y324" s="213"/>
      <c r="Z324" s="214"/>
      <c r="AA324" s="213"/>
      <c r="AB324" s="213"/>
      <c r="AC324" s="213"/>
      <c r="AD324" s="213"/>
      <c r="AE324" s="213"/>
      <c r="AF324" s="213"/>
      <c r="AG324" s="213"/>
      <c r="AH324" s="214"/>
      <c r="AJ324" s="631">
        <f ca="1">IF(AND($D324="Serviço",AJ$12&lt;&gt;0,$H324&gt;0,OR(AUTOEVENTO&lt;&gt;"manual",$M324&lt;&gt;1)),ROUND(OFFSET($P324,0,AJ$13),15-13*ORÇAMENTO!$AF$7)/$H324*OFFSET(ORÇAMENTO!$X$15,ROW(AJ324)-ROW(AJ$15),0),0)</f>
        <v>0</v>
      </c>
      <c r="AK324" s="632">
        <f ca="1">IF(AND($D324="Serviço",AK$12&lt;&gt;0,$H324&gt;0,OR(AUTOEVENTO&lt;&gt;"manual",$M324&lt;&gt;1)),ROUND(OFFSET($P324,0,AK$13),15-13*ORÇAMENTO!$AF$7)/$H324*OFFSET(ORÇAMENTO!$X$15,ROW(AK324)-ROW(AK$15),0),0)</f>
        <v>0</v>
      </c>
      <c r="AL324" s="632">
        <f ca="1">IF(AND($D324="Serviço",AL$12&lt;&gt;0,$H324&gt;0,OR(AUTOEVENTO&lt;&gt;"manual",$M324&lt;&gt;1)),ROUND(OFFSET($P324,0,AL$13),15-13*ORÇAMENTO!$AF$7)/$H324*OFFSET(ORÇAMENTO!$X$15,ROW(AL324)-ROW(AL$15),0),0)</f>
        <v>0</v>
      </c>
      <c r="AM324" s="632">
        <f ca="1">IF(AND($D324="Serviço",AM$12&lt;&gt;0,$H324&gt;0,OR(AUTOEVENTO&lt;&gt;"manual",$M324&lt;&gt;1)),ROUND(OFFSET($P324,0,AM$13),15-13*ORÇAMENTO!$AF$7)/$H324*OFFSET(ORÇAMENTO!$X$15,ROW(AM324)-ROW(AM$15),0),0)</f>
        <v>0</v>
      </c>
      <c r="AN324" s="632">
        <f ca="1">IF(AND($D324="Serviço",AN$12&lt;&gt;0,$H324&gt;0,OR(AUTOEVENTO&lt;&gt;"manual",$M324&lt;&gt;1)),ROUND(OFFSET($P324,0,AN$13),15-13*ORÇAMENTO!$AF$7)/$H324*OFFSET(ORÇAMENTO!$X$15,ROW(AN324)-ROW(AN$15),0),0)</f>
        <v>0</v>
      </c>
      <c r="AO324" s="632">
        <f ca="1">IF(AND($D324="Serviço",AO$12&lt;&gt;0,$H324&gt;0,OR(AUTOEVENTO&lt;&gt;"manual",$M324&lt;&gt;1)),ROUND(OFFSET($P324,0,AO$13),15-13*ORÇAMENTO!$AF$7)/$H324*OFFSET(ORÇAMENTO!$X$15,ROW(AO324)-ROW(AO$15),0),0)</f>
        <v>0</v>
      </c>
      <c r="AP324" s="632">
        <f ca="1">IF(AND($D324="Serviço",AP$12&lt;&gt;0,$H324&gt;0,OR(AUTOEVENTO&lt;&gt;"manual",$M324&lt;&gt;1)),ROUND(OFFSET($P324,0,AP$13),15-13*ORÇAMENTO!$AF$7)/$H324*OFFSET(ORÇAMENTO!$X$15,ROW(AP324)-ROW(AP$15),0),0)</f>
        <v>0</v>
      </c>
      <c r="AQ324" s="632">
        <f ca="1">IF(AND($D324="Serviço",AQ$12&lt;&gt;0,$H324&gt;0,OR(AUTOEVENTO&lt;&gt;"manual",$M324&lt;&gt;1)),ROUND(OFFSET($P324,0,AQ$13),15-13*ORÇAMENTO!$AF$7)/$H324*OFFSET(ORÇAMENTO!$X$15,ROW(AQ324)-ROW(AQ$15),0),0)</f>
        <v>0</v>
      </c>
      <c r="AR324" s="632">
        <f ca="1">IF(AND($D324="Serviço",AR$12&lt;&gt;0,$H324&gt;0,OR(AUTOEVENTO&lt;&gt;"manual",$M324&lt;&gt;1)),ROUND(OFFSET($P324,0,AR$13),15-13*ORÇAMENTO!$AF$7)/$H324*OFFSET(ORÇAMENTO!$X$15,ROW(AR324)-ROW(AR$15),0),0)</f>
        <v>0</v>
      </c>
      <c r="AS324" s="633">
        <f ca="1">IF(AND($D324="Serviço",AS$12&lt;&gt;0,$H324&gt;0,OR(AUTOEVENTO&lt;&gt;"manual",$M324&lt;&gt;1)),ROUND(OFFSET($P324,0,AS$13),15-13*ORÇAMENTO!$AF$7)/$H324*OFFSET(ORÇAMENTO!$X$15,ROW(AS324)-ROW(AS$15),0),0)</f>
        <v>0</v>
      </c>
      <c r="AT324" s="632">
        <f ca="1">IF(AND($D324="Serviço",AT$12&lt;&gt;0,$H324&gt;0,OR(AUTOEVENTO&lt;&gt;"manual",$M324&lt;&gt;1)),ROUND(OFFSET($P324,0,AT$13),15-13*ORÇAMENTO!$AF$7)/$H324*OFFSET(ORÇAMENTO!$X$15,ROW(AT324)-ROW(AT$15),0),0)</f>
        <v>0</v>
      </c>
      <c r="AU324" s="632">
        <f ca="1">IF(AND($D324="Serviço",AU$12&lt;&gt;0,$H324&gt;0,OR(AUTOEVENTO&lt;&gt;"manual",$M324&lt;&gt;1)),ROUND(OFFSET($P324,0,AU$13),15-13*ORÇAMENTO!$AF$7)/$H324*OFFSET(ORÇAMENTO!$X$15,ROW(AU324)-ROW(AU$15),0),0)</f>
        <v>0</v>
      </c>
      <c r="AV324" s="632">
        <f ca="1">IF(AND($D324="Serviço",AV$12&lt;&gt;0,$H324&gt;0,OR(AUTOEVENTO&lt;&gt;"manual",$M324&lt;&gt;1)),ROUND(OFFSET($P324,0,AV$13),15-13*ORÇAMENTO!$AF$7)/$H324*OFFSET(ORÇAMENTO!$X$15,ROW(AV324)-ROW(AV$15),0),0)</f>
        <v>0</v>
      </c>
      <c r="AW324" s="632">
        <f ca="1">IF(AND($D324="Serviço",AW$12&lt;&gt;0,$H324&gt;0,OR(AUTOEVENTO&lt;&gt;"manual",$M324&lt;&gt;1)),ROUND(OFFSET($P324,0,AW$13),15-13*ORÇAMENTO!$AF$7)/$H324*OFFSET(ORÇAMENTO!$X$15,ROW(AW324)-ROW(AW$15),0),0)</f>
        <v>0</v>
      </c>
      <c r="AX324" s="632">
        <f ca="1">IF(AND($D324="Serviço",AX$12&lt;&gt;0,$H324&gt;0,OR(AUTOEVENTO&lt;&gt;"manual",$M324&lt;&gt;1)),ROUND(OFFSET($P324,0,AX$13),15-13*ORÇAMENTO!$AF$7)/$H324*OFFSET(ORÇAMENTO!$X$15,ROW(AX324)-ROW(AX$15),0),0)</f>
        <v>0</v>
      </c>
      <c r="AY324" s="632">
        <f ca="1">IF(AND($D324="Serviço",AY$12&lt;&gt;0,$H324&gt;0,OR(AUTOEVENTO&lt;&gt;"manual",$M324&lt;&gt;1)),ROUND(OFFSET($P324,0,AY$13),15-13*ORÇAMENTO!$AF$7)/$H324*OFFSET(ORÇAMENTO!$X$15,ROW(AY324)-ROW(AY$15),0),0)</f>
        <v>0</v>
      </c>
      <c r="AZ324" s="632">
        <f ca="1">IF(AND($D324="Serviço",AZ$12&lt;&gt;0,$H324&gt;0,OR(AUTOEVENTO&lt;&gt;"manual",$M324&lt;&gt;1)),ROUND(OFFSET($P324,0,AZ$13),15-13*ORÇAMENTO!$AF$7)/$H324*OFFSET(ORÇAMENTO!$X$15,ROW(AZ324)-ROW(AZ$15),0),0)</f>
        <v>0</v>
      </c>
      <c r="BA324" s="633">
        <f ca="1">IF(AND($D324="Serviço",BA$12&lt;&gt;0,$H324&gt;0,OR(AUTOEVENTO&lt;&gt;"manual",$M324&lt;&gt;1)),ROUND(OFFSET($P324,0,BA$13),15-13*ORÇAMENTO!$AF$7)/$H324*OFFSET(ORÇAMENTO!$X$15,ROW(BA324)-ROW(BA$15),0),0)</f>
        <v>0</v>
      </c>
      <c r="BC324" s="215">
        <f ca="1">IF($D324&lt;&gt;"Serviço",0,IF(AND(AUTOEVENTO="Manual",$M324=1),0,IF(OFFSET(CRONOPLE!$F$14,$M324,BC$13)="",10^12,OFFSET(CRONOPLE!$F$14,$M324,BC$13))))</f>
        <v>1000000000000</v>
      </c>
      <c r="BD324" s="215">
        <f ca="1">IF($D324&lt;&gt;"Serviço",0,IF(AND(AUTOEVENTO="Manual",$M324=1),0,IF(OFFSET(CRONOPLE!$F$14,$M324,BD$13)="",10^12,OFFSET(CRONOPLE!$F$14,$M324,BD$13))))</f>
        <v>1000000000000</v>
      </c>
      <c r="BE324" s="215">
        <f ca="1">IF($D324&lt;&gt;"Serviço",0,IF(AND(AUTOEVENTO="Manual",$M324=1),0,IF(OFFSET(CRONOPLE!$F$14,$M324,BE$13)="",10^12,OFFSET(CRONOPLE!$F$14,$M324,BE$13))))</f>
        <v>1000000000000</v>
      </c>
      <c r="BF324" s="215">
        <f ca="1">IF($D324&lt;&gt;"Serviço",0,IF(AND(AUTOEVENTO="Manual",$M324=1),0,IF(OFFSET(CRONOPLE!$F$14,$M324,BF$13)="",10^12,OFFSET(CRONOPLE!$F$14,$M324,BF$13))))</f>
        <v>1000000000000</v>
      </c>
      <c r="BG324" s="215">
        <f ca="1">IF($D324&lt;&gt;"Serviço",0,IF(AND(AUTOEVENTO="Manual",$M324=1),0,IF(OFFSET(CRONOPLE!$F$14,$M324,BG$13)="",10^12,OFFSET(CRONOPLE!$F$14,$M324,BG$13))))</f>
        <v>1000000000000</v>
      </c>
      <c r="BH324" s="215">
        <f ca="1">IF($D324&lt;&gt;"Serviço",0,IF(AND(AUTOEVENTO="Manual",$M324=1),0,IF(OFFSET(CRONOPLE!$F$14,$M324,BH$13)="",10^12,OFFSET(CRONOPLE!$F$14,$M324,BH$13))))</f>
        <v>1000000000000</v>
      </c>
      <c r="BI324" s="215">
        <f ca="1">IF($D324&lt;&gt;"Serviço",0,IF(AND(AUTOEVENTO="Manual",$M324=1),0,IF(OFFSET(CRONOPLE!$F$14,$M324,BI$13)="",10^12,OFFSET(CRONOPLE!$F$14,$M324,BI$13))))</f>
        <v>1000000000000</v>
      </c>
      <c r="BJ324" s="215">
        <f ca="1">IF($D324&lt;&gt;"Serviço",0,IF(AND(AUTOEVENTO="Manual",$M324=1),0,IF(OFFSET(CRONOPLE!$F$14,$M324,BJ$13)="",10^12,OFFSET(CRONOPLE!$F$14,$M324,BJ$13))))</f>
        <v>1000000000000</v>
      </c>
      <c r="BK324" s="215">
        <f ca="1">IF($D324&lt;&gt;"Serviço",0,IF(AND(AUTOEVENTO="Manual",$M324=1),0,IF(OFFSET(CRONOPLE!$F$14,$M324,BK$13)="",10^12,OFFSET(CRONOPLE!$F$14,$M324,BK$13))))</f>
        <v>1000000000000</v>
      </c>
      <c r="BL324" s="215">
        <f ca="1">IF($D324&lt;&gt;"Serviço",0,IF(AND(AUTOEVENTO="Manual",$M324=1),0,IF(OFFSET(CRONOPLE!$F$14,$M324,BL$13)="",10^12,OFFSET(CRONOPLE!$F$14,$M324,BL$13))))</f>
        <v>1000000000000</v>
      </c>
      <c r="BM324" s="215">
        <f ca="1">IF($D324&lt;&gt;"Serviço",0,IF(AND(AUTOEVENTO="Manual",$M324=1),0,IF(OFFSET(CRONOPLE!$F$14,$M324,BM$13)="",10^12,OFFSET(CRONOPLE!$F$14,$M324,BM$13))))</f>
        <v>1000000000000</v>
      </c>
      <c r="BN324" s="215">
        <f ca="1">IF($D324&lt;&gt;"Serviço",0,IF(AND(AUTOEVENTO="Manual",$M324=1),0,IF(OFFSET(CRONOPLE!$F$14,$M324,BN$13)="",10^12,OFFSET(CRONOPLE!$F$14,$M324,BN$13))))</f>
        <v>1000000000000</v>
      </c>
      <c r="BO324" s="215">
        <f ca="1">IF($D324&lt;&gt;"Serviço",0,IF(AND(AUTOEVENTO="Manual",$M324=1),0,IF(OFFSET(CRONOPLE!$F$14,$M324,BO$13)="",10^12,OFFSET(CRONOPLE!$F$14,$M324,BO$13))))</f>
        <v>1000000000000</v>
      </c>
      <c r="BP324" s="215">
        <f ca="1">IF($D324&lt;&gt;"Serviço",0,IF(AND(AUTOEVENTO="Manual",$M324=1),0,IF(OFFSET(CRONOPLE!$F$14,$M324,BP$13)="",10^12,OFFSET(CRONOPLE!$F$14,$M324,BP$13))))</f>
        <v>1000000000000</v>
      </c>
      <c r="BQ324" s="215">
        <f ca="1">IF($D324&lt;&gt;"Serviço",0,IF(AND(AUTOEVENTO="Manual",$M324=1),0,IF(OFFSET(CRONOPLE!$F$14,$M324,BQ$13)="",10^12,OFFSET(CRONOPLE!$F$14,$M324,BQ$13))))</f>
        <v>1000000000000</v>
      </c>
      <c r="BR324" s="215">
        <f ca="1">IF($D324&lt;&gt;"Serviço",0,IF(AND(AUTOEVENTO="Manual",$M324=1),0,IF(OFFSET(CRONOPLE!$F$14,$M324,BR$13)="",10^12,OFFSET(CRONOPLE!$F$14,$M324,BR$13))))</f>
        <v>1000000000000</v>
      </c>
      <c r="BS324" s="215">
        <f ca="1">IF($D324&lt;&gt;"Serviço",0,IF(AND(AUTOEVENTO="Manual",$M324=1),0,IF(OFFSET(CRONOPLE!$F$14,$M324,BS$13)="",10^12,OFFSET(CRONOPLE!$F$14,$M324,BS$13))))</f>
        <v>1000000000000</v>
      </c>
      <c r="BT324" s="215">
        <f ca="1">IF($D324&lt;&gt;"Serviço",0,IF(AND(AUTOEVENTO="Manual",$M324=1),0,IF(OFFSET(CRONOPLE!$F$14,$M324,BT$13)="",10^12,OFFSET(CRONOPLE!$F$14,$M324,BT$13))))</f>
        <v>1000000000000</v>
      </c>
      <c r="BV324" s="216">
        <f ca="1">IF($D324&lt;&gt;"Serviço",0,IF(OR(AND(AUTOEVENTO="Manual",$M324=1),$M324&gt;(ROW(PLE.lastrow)-ROW(PLE.firstrow))),0,IF(OFFSET(PLE!$G$14,$M324,BV$13)="",10^12,OFFSET(PLE!$G$14,$M324,BV$13))))</f>
        <v>1000000000000</v>
      </c>
      <c r="BW324" s="216">
        <f ca="1">IF($D324&lt;&gt;"Serviço",0,IF(OR(AND(AUTOEVENTO="Manual",$M324=1),$M324&gt;(ROW(PLE.lastrow)-ROW(PLE.firstrow))),0,IF(OFFSET(PLE!$G$14,$M324,BW$13)="",10^12,OFFSET(PLE!$G$14,$M324,BW$13))))</f>
        <v>1000000000000</v>
      </c>
      <c r="BX324" s="216">
        <f ca="1">IF($D324&lt;&gt;"Serviço",0,IF(OR(AND(AUTOEVENTO="Manual",$M324=1),$M324&gt;(ROW(PLE.lastrow)-ROW(PLE.firstrow))),0,IF(OFFSET(PLE!$G$14,$M324,BX$13)="",10^12,OFFSET(PLE!$G$14,$M324,BX$13))))</f>
        <v>1000000000000</v>
      </c>
      <c r="BY324" s="216">
        <f ca="1">IF($D324&lt;&gt;"Serviço",0,IF(OR(AND(AUTOEVENTO="Manual",$M324=1),$M324&gt;(ROW(PLE.lastrow)-ROW(PLE.firstrow))),0,IF(OFFSET(PLE!$G$14,$M324,BY$13)="",10^12,OFFSET(PLE!$G$14,$M324,BY$13))))</f>
        <v>1000000000000</v>
      </c>
      <c r="BZ324" s="216">
        <f ca="1">IF($D324&lt;&gt;"Serviço",0,IF(OR(AND(AUTOEVENTO="Manual",$M324=1),$M324&gt;(ROW(PLE.lastrow)-ROW(PLE.firstrow))),0,IF(OFFSET(PLE!$G$14,$M324,BZ$13)="",10^12,OFFSET(PLE!$G$14,$M324,BZ$13))))</f>
        <v>1000000000000</v>
      </c>
      <c r="CA324" s="216">
        <f ca="1">IF($D324&lt;&gt;"Serviço",0,IF(OR(AND(AUTOEVENTO="Manual",$M324=1),$M324&gt;(ROW(PLE.lastrow)-ROW(PLE.firstrow))),0,IF(OFFSET(PLE!$G$14,$M324,CA$13)="",10^12,OFFSET(PLE!$G$14,$M324,CA$13))))</f>
        <v>1000000000000</v>
      </c>
      <c r="CB324" s="216">
        <f ca="1">IF($D324&lt;&gt;"Serviço",0,IF(OR(AND(AUTOEVENTO="Manual",$M324=1),$M324&gt;(ROW(PLE.lastrow)-ROW(PLE.firstrow))),0,IF(OFFSET(PLE!$G$14,$M324,CB$13)="",10^12,OFFSET(PLE!$G$14,$M324,CB$13))))</f>
        <v>1000000000000</v>
      </c>
      <c r="CC324" s="216">
        <f ca="1">IF($D324&lt;&gt;"Serviço",0,IF(OR(AND(AUTOEVENTO="Manual",$M324=1),$M324&gt;(ROW(PLE.lastrow)-ROW(PLE.firstrow))),0,IF(OFFSET(PLE!$G$14,$M324,CC$13)="",10^12,OFFSET(PLE!$G$14,$M324,CC$13))))</f>
        <v>1000000000000</v>
      </c>
      <c r="CD324" s="216">
        <f ca="1">IF($D324&lt;&gt;"Serviço",0,IF(OR(AND(AUTOEVENTO="Manual",$M324=1),$M324&gt;(ROW(PLE.lastrow)-ROW(PLE.firstrow))),0,IF(OFFSET(PLE!$G$14,$M324,CD$13)="",10^12,OFFSET(PLE!$G$14,$M324,CD$13))))</f>
        <v>1000000000000</v>
      </c>
      <c r="CE324" s="216">
        <f ca="1">IF($D324&lt;&gt;"Serviço",0,IF(OR(AND(AUTOEVENTO="Manual",$M324=1),$M324&gt;(ROW(PLE.lastrow)-ROW(PLE.firstrow))),0,IF(OFFSET(PLE!$G$14,$M324,CE$13)="",10^12,OFFSET(PLE!$G$14,$M324,CE$13))))</f>
        <v>1000000000000</v>
      </c>
      <c r="CF324" s="216">
        <f ca="1">IF($D324&lt;&gt;"Serviço",0,IF(OR(AND(AUTOEVENTO="Manual",$M324=1),$M324&gt;(ROW(PLE.lastrow)-ROW(PLE.firstrow))),0,IF(OFFSET(PLE!$G$14,$M324,CF$13)="",10^12,OFFSET(PLE!$G$14,$M324,CF$13))))</f>
        <v>1000000000000</v>
      </c>
      <c r="CG324" s="216">
        <f ca="1">IF($D324&lt;&gt;"Serviço",0,IF(OR(AND(AUTOEVENTO="Manual",$M324=1),$M324&gt;(ROW(PLE.lastrow)-ROW(PLE.firstrow))),0,IF(OFFSET(PLE!$G$14,$M324,CG$13)="",10^12,OFFSET(PLE!$G$14,$M324,CG$13))))</f>
        <v>1000000000000</v>
      </c>
      <c r="CH324" s="216">
        <f ca="1">IF($D324&lt;&gt;"Serviço",0,IF(OR(AND(AUTOEVENTO="Manual",$M324=1),$M324&gt;(ROW(PLE.lastrow)-ROW(PLE.firstrow))),0,IF(OFFSET(PLE!$G$14,$M324,CH$13)="",10^12,OFFSET(PLE!$G$14,$M324,CH$13))))</f>
        <v>1000000000000</v>
      </c>
      <c r="CI324" s="216">
        <f ca="1">IF($D324&lt;&gt;"Serviço",0,IF(OR(AND(AUTOEVENTO="Manual",$M324=1),$M324&gt;(ROW(PLE.lastrow)-ROW(PLE.firstrow))),0,IF(OFFSET(PLE!$G$14,$M324,CI$13)="",10^12,OFFSET(PLE!$G$14,$M324,CI$13))))</f>
        <v>1000000000000</v>
      </c>
      <c r="CJ324" s="216">
        <f ca="1">IF($D324&lt;&gt;"Serviço",0,IF(OR(AND(AUTOEVENTO="Manual",$M324=1),$M324&gt;(ROW(PLE.lastrow)-ROW(PLE.firstrow))),0,IF(OFFSET(PLE!$G$14,$M324,CJ$13)="",10^12,OFFSET(PLE!$G$14,$M324,CJ$13))))</f>
        <v>1000000000000</v>
      </c>
      <c r="CK324" s="216">
        <f ca="1">IF($D324&lt;&gt;"Serviço",0,IF(OR(AND(AUTOEVENTO="Manual",$M324=1),$M324&gt;(ROW(PLE.lastrow)-ROW(PLE.firstrow))),0,IF(OFFSET(PLE!$G$14,$M324,CK$13)="",10^12,OFFSET(PLE!$G$14,$M324,CK$13))))</f>
        <v>1000000000000</v>
      </c>
      <c r="CL324" s="216">
        <f ca="1">IF($D324&lt;&gt;"Serviço",0,IF(OR(AND(AUTOEVENTO="Manual",$M324=1),$M324&gt;(ROW(PLE.lastrow)-ROW(PLE.firstrow))),0,IF(OFFSET(PLE!$G$14,$M324,CL$13)="",10^12,OFFSET(PLE!$G$14,$M324,CL$13))))</f>
        <v>1000000000000</v>
      </c>
      <c r="CM324" s="216">
        <f ca="1">IF($D324&lt;&gt;"Serviço",0,IF(OR(AND(AUTOEVENTO="Manual",$M324=1),$M324&gt;(ROW(PLE.lastrow)-ROW(PLE.firstrow))),0,IF(OFFSET(PLE!$G$14,$M324,CM$13)="",10^12,OFFSET(PLE!$G$14,$M324,CM$13))))</f>
        <v>1000000000000</v>
      </c>
    </row>
    <row r="325" spans="1:91" ht="13.2" x14ac:dyDescent="0.25">
      <c r="A325" s="9">
        <f t="shared" ca="1" si="13"/>
        <v>0</v>
      </c>
      <c r="B325" s="9" t="str">
        <f ca="1">OFFSET(ORÇAMENTO!C$15,ROW(B325)-ROW(B$15),0)</f>
        <v>S</v>
      </c>
      <c r="C325" s="9" t="str">
        <f ca="1">OFFSET(ORÇAMENTO!L$15,ROW(C325)-ROW(C$15),0)</f>
        <v/>
      </c>
      <c r="D325" s="145" t="str">
        <f ca="1">OFFSET(ORÇAMENTO!N$15,ROW(D325)-ROW(D$15),0)</f>
        <v>Serviço</v>
      </c>
      <c r="E325" s="205" t="str">
        <f ca="1">OFFSET(ORÇAMENTO!O$15,ROW(E325)-ROW(E$15),0)</f>
        <v>-</v>
      </c>
      <c r="F325" s="206" t="str">
        <f ca="1">OFFSET(ORÇAMENTO!R$15,ROW(F325)-ROW(F$15),0)</f>
        <v>(abra o arquivo 'Referência 05-2024.xls)</v>
      </c>
      <c r="G325" s="207" t="str">
        <f ca="1">IF($D325&lt;&gt;"Serviço","",OFFSET(ORÇAMENTO!S$15,ROW(G325)-ROW(G$15),0))</f>
        <v>-</v>
      </c>
      <c r="H325" s="151">
        <f ca="1">IF($D325&lt;&gt;"Serviço",0,IF(ACOMPANHAMENTO="BM",ROUND(OFFSET(ORÇAMENTO!AJ$15,ROW(H325)-ROW(H$15),0),15-13*ORÇAMENTO!$AF$7),SUMPRODUCT(($Q$12:$AI$12&lt;&gt;"")*ROUND($Q325:$AI325,15-13*ORÇAMENTO!$AF$7))))</f>
        <v>1</v>
      </c>
      <c r="I325" s="650"/>
      <c r="K325" s="208"/>
      <c r="L325" s="209" t="s">
        <v>257</v>
      </c>
      <c r="M325" s="210">
        <f ca="1">IF($D325&lt;&gt;"Serviço","",IF(AUTOEVENTO="manual",$A325,IF(ISERROR(MATCH($A325,$A$15:OFFSET($A325,-1,0),0)),MAX($M$15:OFFSET(M325,-1,0))+1,INDEX($M$15:OFFSET(M325,-1,0),MATCH($A325,$A$15:OFFSET($A325,-1,0),0)))))</f>
        <v>0</v>
      </c>
      <c r="N325" s="211" t="str">
        <f ca="1">IF($D325&lt;&gt;"Serviço","",IF(AUTOEVENTO="Manual",IF($A325=0,"&lt;-- defina o número do agrupador",OFFSET(EVENTOS!$D$14,$A325,0)),OFFSET($F$15,$A325,0)))</f>
        <v>&lt;-- defina o número do agrupador</v>
      </c>
      <c r="O325" s="212"/>
      <c r="Q325" s="212"/>
      <c r="R325" s="213"/>
      <c r="S325" s="213"/>
      <c r="T325" s="213"/>
      <c r="U325" s="213"/>
      <c r="V325" s="213"/>
      <c r="W325" s="213"/>
      <c r="X325" s="213"/>
      <c r="Y325" s="213"/>
      <c r="Z325" s="214"/>
      <c r="AA325" s="213"/>
      <c r="AB325" s="213"/>
      <c r="AC325" s="213"/>
      <c r="AD325" s="213"/>
      <c r="AE325" s="213"/>
      <c r="AF325" s="213"/>
      <c r="AG325" s="213"/>
      <c r="AH325" s="214"/>
      <c r="AJ325" s="631">
        <f ca="1">IF(AND($D325="Serviço",AJ$12&lt;&gt;0,$H325&gt;0,OR(AUTOEVENTO&lt;&gt;"manual",$M325&lt;&gt;1)),ROUND(OFFSET($P325,0,AJ$13),15-13*ORÇAMENTO!$AF$7)/$H325*OFFSET(ORÇAMENTO!$X$15,ROW(AJ325)-ROW(AJ$15),0),0)</f>
        <v>0</v>
      </c>
      <c r="AK325" s="632">
        <f ca="1">IF(AND($D325="Serviço",AK$12&lt;&gt;0,$H325&gt;0,OR(AUTOEVENTO&lt;&gt;"manual",$M325&lt;&gt;1)),ROUND(OFFSET($P325,0,AK$13),15-13*ORÇAMENTO!$AF$7)/$H325*OFFSET(ORÇAMENTO!$X$15,ROW(AK325)-ROW(AK$15),0),0)</f>
        <v>0</v>
      </c>
      <c r="AL325" s="632">
        <f ca="1">IF(AND($D325="Serviço",AL$12&lt;&gt;0,$H325&gt;0,OR(AUTOEVENTO&lt;&gt;"manual",$M325&lt;&gt;1)),ROUND(OFFSET($P325,0,AL$13),15-13*ORÇAMENTO!$AF$7)/$H325*OFFSET(ORÇAMENTO!$X$15,ROW(AL325)-ROW(AL$15),0),0)</f>
        <v>0</v>
      </c>
      <c r="AM325" s="632">
        <f ca="1">IF(AND($D325="Serviço",AM$12&lt;&gt;0,$H325&gt;0,OR(AUTOEVENTO&lt;&gt;"manual",$M325&lt;&gt;1)),ROUND(OFFSET($P325,0,AM$13),15-13*ORÇAMENTO!$AF$7)/$H325*OFFSET(ORÇAMENTO!$X$15,ROW(AM325)-ROW(AM$15),0),0)</f>
        <v>0</v>
      </c>
      <c r="AN325" s="632">
        <f ca="1">IF(AND($D325="Serviço",AN$12&lt;&gt;0,$H325&gt;0,OR(AUTOEVENTO&lt;&gt;"manual",$M325&lt;&gt;1)),ROUND(OFFSET($P325,0,AN$13),15-13*ORÇAMENTO!$AF$7)/$H325*OFFSET(ORÇAMENTO!$X$15,ROW(AN325)-ROW(AN$15),0),0)</f>
        <v>0</v>
      </c>
      <c r="AO325" s="632">
        <f ca="1">IF(AND($D325="Serviço",AO$12&lt;&gt;0,$H325&gt;0,OR(AUTOEVENTO&lt;&gt;"manual",$M325&lt;&gt;1)),ROUND(OFFSET($P325,0,AO$13),15-13*ORÇAMENTO!$AF$7)/$H325*OFFSET(ORÇAMENTO!$X$15,ROW(AO325)-ROW(AO$15),0),0)</f>
        <v>0</v>
      </c>
      <c r="AP325" s="632">
        <f ca="1">IF(AND($D325="Serviço",AP$12&lt;&gt;0,$H325&gt;0,OR(AUTOEVENTO&lt;&gt;"manual",$M325&lt;&gt;1)),ROUND(OFFSET($P325,0,AP$13),15-13*ORÇAMENTO!$AF$7)/$H325*OFFSET(ORÇAMENTO!$X$15,ROW(AP325)-ROW(AP$15),0),0)</f>
        <v>0</v>
      </c>
      <c r="AQ325" s="632">
        <f ca="1">IF(AND($D325="Serviço",AQ$12&lt;&gt;0,$H325&gt;0,OR(AUTOEVENTO&lt;&gt;"manual",$M325&lt;&gt;1)),ROUND(OFFSET($P325,0,AQ$13),15-13*ORÇAMENTO!$AF$7)/$H325*OFFSET(ORÇAMENTO!$X$15,ROW(AQ325)-ROW(AQ$15),0),0)</f>
        <v>0</v>
      </c>
      <c r="AR325" s="632">
        <f ca="1">IF(AND($D325="Serviço",AR$12&lt;&gt;0,$H325&gt;0,OR(AUTOEVENTO&lt;&gt;"manual",$M325&lt;&gt;1)),ROUND(OFFSET($P325,0,AR$13),15-13*ORÇAMENTO!$AF$7)/$H325*OFFSET(ORÇAMENTO!$X$15,ROW(AR325)-ROW(AR$15),0),0)</f>
        <v>0</v>
      </c>
      <c r="AS325" s="633">
        <f ca="1">IF(AND($D325="Serviço",AS$12&lt;&gt;0,$H325&gt;0,OR(AUTOEVENTO&lt;&gt;"manual",$M325&lt;&gt;1)),ROUND(OFFSET($P325,0,AS$13),15-13*ORÇAMENTO!$AF$7)/$H325*OFFSET(ORÇAMENTO!$X$15,ROW(AS325)-ROW(AS$15),0),0)</f>
        <v>0</v>
      </c>
      <c r="AT325" s="632">
        <f ca="1">IF(AND($D325="Serviço",AT$12&lt;&gt;0,$H325&gt;0,OR(AUTOEVENTO&lt;&gt;"manual",$M325&lt;&gt;1)),ROUND(OFFSET($P325,0,AT$13),15-13*ORÇAMENTO!$AF$7)/$H325*OFFSET(ORÇAMENTO!$X$15,ROW(AT325)-ROW(AT$15),0),0)</f>
        <v>0</v>
      </c>
      <c r="AU325" s="632">
        <f ca="1">IF(AND($D325="Serviço",AU$12&lt;&gt;0,$H325&gt;0,OR(AUTOEVENTO&lt;&gt;"manual",$M325&lt;&gt;1)),ROUND(OFFSET($P325,0,AU$13),15-13*ORÇAMENTO!$AF$7)/$H325*OFFSET(ORÇAMENTO!$X$15,ROW(AU325)-ROW(AU$15),0),0)</f>
        <v>0</v>
      </c>
      <c r="AV325" s="632">
        <f ca="1">IF(AND($D325="Serviço",AV$12&lt;&gt;0,$H325&gt;0,OR(AUTOEVENTO&lt;&gt;"manual",$M325&lt;&gt;1)),ROUND(OFFSET($P325,0,AV$13),15-13*ORÇAMENTO!$AF$7)/$H325*OFFSET(ORÇAMENTO!$X$15,ROW(AV325)-ROW(AV$15),0),0)</f>
        <v>0</v>
      </c>
      <c r="AW325" s="632">
        <f ca="1">IF(AND($D325="Serviço",AW$12&lt;&gt;0,$H325&gt;0,OR(AUTOEVENTO&lt;&gt;"manual",$M325&lt;&gt;1)),ROUND(OFFSET($P325,0,AW$13),15-13*ORÇAMENTO!$AF$7)/$H325*OFFSET(ORÇAMENTO!$X$15,ROW(AW325)-ROW(AW$15),0),0)</f>
        <v>0</v>
      </c>
      <c r="AX325" s="632">
        <f ca="1">IF(AND($D325="Serviço",AX$12&lt;&gt;0,$H325&gt;0,OR(AUTOEVENTO&lt;&gt;"manual",$M325&lt;&gt;1)),ROUND(OFFSET($P325,0,AX$13),15-13*ORÇAMENTO!$AF$7)/$H325*OFFSET(ORÇAMENTO!$X$15,ROW(AX325)-ROW(AX$15),0),0)</f>
        <v>0</v>
      </c>
      <c r="AY325" s="632">
        <f ca="1">IF(AND($D325="Serviço",AY$12&lt;&gt;0,$H325&gt;0,OR(AUTOEVENTO&lt;&gt;"manual",$M325&lt;&gt;1)),ROUND(OFFSET($P325,0,AY$13),15-13*ORÇAMENTO!$AF$7)/$H325*OFFSET(ORÇAMENTO!$X$15,ROW(AY325)-ROW(AY$15),0),0)</f>
        <v>0</v>
      </c>
      <c r="AZ325" s="632">
        <f ca="1">IF(AND($D325="Serviço",AZ$12&lt;&gt;0,$H325&gt;0,OR(AUTOEVENTO&lt;&gt;"manual",$M325&lt;&gt;1)),ROUND(OFFSET($P325,0,AZ$13),15-13*ORÇAMENTO!$AF$7)/$H325*OFFSET(ORÇAMENTO!$X$15,ROW(AZ325)-ROW(AZ$15),0),0)</f>
        <v>0</v>
      </c>
      <c r="BA325" s="633">
        <f ca="1">IF(AND($D325="Serviço",BA$12&lt;&gt;0,$H325&gt;0,OR(AUTOEVENTO&lt;&gt;"manual",$M325&lt;&gt;1)),ROUND(OFFSET($P325,0,BA$13),15-13*ORÇAMENTO!$AF$7)/$H325*OFFSET(ORÇAMENTO!$X$15,ROW(BA325)-ROW(BA$15),0),0)</f>
        <v>0</v>
      </c>
      <c r="BC325" s="215">
        <f ca="1">IF($D325&lt;&gt;"Serviço",0,IF(AND(AUTOEVENTO="Manual",$M325=1),0,IF(OFFSET(CRONOPLE!$F$14,$M325,BC$13)="",10^12,OFFSET(CRONOPLE!$F$14,$M325,BC$13))))</f>
        <v>1000000000000</v>
      </c>
      <c r="BD325" s="215">
        <f ca="1">IF($D325&lt;&gt;"Serviço",0,IF(AND(AUTOEVENTO="Manual",$M325=1),0,IF(OFFSET(CRONOPLE!$F$14,$M325,BD$13)="",10^12,OFFSET(CRONOPLE!$F$14,$M325,BD$13))))</f>
        <v>1000000000000</v>
      </c>
      <c r="BE325" s="215">
        <f ca="1">IF($D325&lt;&gt;"Serviço",0,IF(AND(AUTOEVENTO="Manual",$M325=1),0,IF(OFFSET(CRONOPLE!$F$14,$M325,BE$13)="",10^12,OFFSET(CRONOPLE!$F$14,$M325,BE$13))))</f>
        <v>1000000000000</v>
      </c>
      <c r="BF325" s="215">
        <f ca="1">IF($D325&lt;&gt;"Serviço",0,IF(AND(AUTOEVENTO="Manual",$M325=1),0,IF(OFFSET(CRONOPLE!$F$14,$M325,BF$13)="",10^12,OFFSET(CRONOPLE!$F$14,$M325,BF$13))))</f>
        <v>1000000000000</v>
      </c>
      <c r="BG325" s="215">
        <f ca="1">IF($D325&lt;&gt;"Serviço",0,IF(AND(AUTOEVENTO="Manual",$M325=1),0,IF(OFFSET(CRONOPLE!$F$14,$M325,BG$13)="",10^12,OFFSET(CRONOPLE!$F$14,$M325,BG$13))))</f>
        <v>1000000000000</v>
      </c>
      <c r="BH325" s="215">
        <f ca="1">IF($D325&lt;&gt;"Serviço",0,IF(AND(AUTOEVENTO="Manual",$M325=1),0,IF(OFFSET(CRONOPLE!$F$14,$M325,BH$13)="",10^12,OFFSET(CRONOPLE!$F$14,$M325,BH$13))))</f>
        <v>1000000000000</v>
      </c>
      <c r="BI325" s="215">
        <f ca="1">IF($D325&lt;&gt;"Serviço",0,IF(AND(AUTOEVENTO="Manual",$M325=1),0,IF(OFFSET(CRONOPLE!$F$14,$M325,BI$13)="",10^12,OFFSET(CRONOPLE!$F$14,$M325,BI$13))))</f>
        <v>1000000000000</v>
      </c>
      <c r="BJ325" s="215">
        <f ca="1">IF($D325&lt;&gt;"Serviço",0,IF(AND(AUTOEVENTO="Manual",$M325=1),0,IF(OFFSET(CRONOPLE!$F$14,$M325,BJ$13)="",10^12,OFFSET(CRONOPLE!$F$14,$M325,BJ$13))))</f>
        <v>1000000000000</v>
      </c>
      <c r="BK325" s="215">
        <f ca="1">IF($D325&lt;&gt;"Serviço",0,IF(AND(AUTOEVENTO="Manual",$M325=1),0,IF(OFFSET(CRONOPLE!$F$14,$M325,BK$13)="",10^12,OFFSET(CRONOPLE!$F$14,$M325,BK$13))))</f>
        <v>1000000000000</v>
      </c>
      <c r="BL325" s="215">
        <f ca="1">IF($D325&lt;&gt;"Serviço",0,IF(AND(AUTOEVENTO="Manual",$M325=1),0,IF(OFFSET(CRONOPLE!$F$14,$M325,BL$13)="",10^12,OFFSET(CRONOPLE!$F$14,$M325,BL$13))))</f>
        <v>1000000000000</v>
      </c>
      <c r="BM325" s="215">
        <f ca="1">IF($D325&lt;&gt;"Serviço",0,IF(AND(AUTOEVENTO="Manual",$M325=1),0,IF(OFFSET(CRONOPLE!$F$14,$M325,BM$13)="",10^12,OFFSET(CRONOPLE!$F$14,$M325,BM$13))))</f>
        <v>1000000000000</v>
      </c>
      <c r="BN325" s="215">
        <f ca="1">IF($D325&lt;&gt;"Serviço",0,IF(AND(AUTOEVENTO="Manual",$M325=1),0,IF(OFFSET(CRONOPLE!$F$14,$M325,BN$13)="",10^12,OFFSET(CRONOPLE!$F$14,$M325,BN$13))))</f>
        <v>1000000000000</v>
      </c>
      <c r="BO325" s="215">
        <f ca="1">IF($D325&lt;&gt;"Serviço",0,IF(AND(AUTOEVENTO="Manual",$M325=1),0,IF(OFFSET(CRONOPLE!$F$14,$M325,BO$13)="",10^12,OFFSET(CRONOPLE!$F$14,$M325,BO$13))))</f>
        <v>1000000000000</v>
      </c>
      <c r="BP325" s="215">
        <f ca="1">IF($D325&lt;&gt;"Serviço",0,IF(AND(AUTOEVENTO="Manual",$M325=1),0,IF(OFFSET(CRONOPLE!$F$14,$M325,BP$13)="",10^12,OFFSET(CRONOPLE!$F$14,$M325,BP$13))))</f>
        <v>1000000000000</v>
      </c>
      <c r="BQ325" s="215">
        <f ca="1">IF($D325&lt;&gt;"Serviço",0,IF(AND(AUTOEVENTO="Manual",$M325=1),0,IF(OFFSET(CRONOPLE!$F$14,$M325,BQ$13)="",10^12,OFFSET(CRONOPLE!$F$14,$M325,BQ$13))))</f>
        <v>1000000000000</v>
      </c>
      <c r="BR325" s="215">
        <f ca="1">IF($D325&lt;&gt;"Serviço",0,IF(AND(AUTOEVENTO="Manual",$M325=1),0,IF(OFFSET(CRONOPLE!$F$14,$M325,BR$13)="",10^12,OFFSET(CRONOPLE!$F$14,$M325,BR$13))))</f>
        <v>1000000000000</v>
      </c>
      <c r="BS325" s="215">
        <f ca="1">IF($D325&lt;&gt;"Serviço",0,IF(AND(AUTOEVENTO="Manual",$M325=1),0,IF(OFFSET(CRONOPLE!$F$14,$M325,BS$13)="",10^12,OFFSET(CRONOPLE!$F$14,$M325,BS$13))))</f>
        <v>1000000000000</v>
      </c>
      <c r="BT325" s="215">
        <f ca="1">IF($D325&lt;&gt;"Serviço",0,IF(AND(AUTOEVENTO="Manual",$M325=1),0,IF(OFFSET(CRONOPLE!$F$14,$M325,BT$13)="",10^12,OFFSET(CRONOPLE!$F$14,$M325,BT$13))))</f>
        <v>1000000000000</v>
      </c>
      <c r="BV325" s="216">
        <f ca="1">IF($D325&lt;&gt;"Serviço",0,IF(OR(AND(AUTOEVENTO="Manual",$M325=1),$M325&gt;(ROW(PLE.lastrow)-ROW(PLE.firstrow))),0,IF(OFFSET(PLE!$G$14,$M325,BV$13)="",10^12,OFFSET(PLE!$G$14,$M325,BV$13))))</f>
        <v>1000000000000</v>
      </c>
      <c r="BW325" s="216">
        <f ca="1">IF($D325&lt;&gt;"Serviço",0,IF(OR(AND(AUTOEVENTO="Manual",$M325=1),$M325&gt;(ROW(PLE.lastrow)-ROW(PLE.firstrow))),0,IF(OFFSET(PLE!$G$14,$M325,BW$13)="",10^12,OFFSET(PLE!$G$14,$M325,BW$13))))</f>
        <v>1000000000000</v>
      </c>
      <c r="BX325" s="216">
        <f ca="1">IF($D325&lt;&gt;"Serviço",0,IF(OR(AND(AUTOEVENTO="Manual",$M325=1),$M325&gt;(ROW(PLE.lastrow)-ROW(PLE.firstrow))),0,IF(OFFSET(PLE!$G$14,$M325,BX$13)="",10^12,OFFSET(PLE!$G$14,$M325,BX$13))))</f>
        <v>1000000000000</v>
      </c>
      <c r="BY325" s="216">
        <f ca="1">IF($D325&lt;&gt;"Serviço",0,IF(OR(AND(AUTOEVENTO="Manual",$M325=1),$M325&gt;(ROW(PLE.lastrow)-ROW(PLE.firstrow))),0,IF(OFFSET(PLE!$G$14,$M325,BY$13)="",10^12,OFFSET(PLE!$G$14,$M325,BY$13))))</f>
        <v>1000000000000</v>
      </c>
      <c r="BZ325" s="216">
        <f ca="1">IF($D325&lt;&gt;"Serviço",0,IF(OR(AND(AUTOEVENTO="Manual",$M325=1),$M325&gt;(ROW(PLE.lastrow)-ROW(PLE.firstrow))),0,IF(OFFSET(PLE!$G$14,$M325,BZ$13)="",10^12,OFFSET(PLE!$G$14,$M325,BZ$13))))</f>
        <v>1000000000000</v>
      </c>
      <c r="CA325" s="216">
        <f ca="1">IF($D325&lt;&gt;"Serviço",0,IF(OR(AND(AUTOEVENTO="Manual",$M325=1),$M325&gt;(ROW(PLE.lastrow)-ROW(PLE.firstrow))),0,IF(OFFSET(PLE!$G$14,$M325,CA$13)="",10^12,OFFSET(PLE!$G$14,$M325,CA$13))))</f>
        <v>1000000000000</v>
      </c>
      <c r="CB325" s="216">
        <f ca="1">IF($D325&lt;&gt;"Serviço",0,IF(OR(AND(AUTOEVENTO="Manual",$M325=1),$M325&gt;(ROW(PLE.lastrow)-ROW(PLE.firstrow))),0,IF(OFFSET(PLE!$G$14,$M325,CB$13)="",10^12,OFFSET(PLE!$G$14,$M325,CB$13))))</f>
        <v>1000000000000</v>
      </c>
      <c r="CC325" s="216">
        <f ca="1">IF($D325&lt;&gt;"Serviço",0,IF(OR(AND(AUTOEVENTO="Manual",$M325=1),$M325&gt;(ROW(PLE.lastrow)-ROW(PLE.firstrow))),0,IF(OFFSET(PLE!$G$14,$M325,CC$13)="",10^12,OFFSET(PLE!$G$14,$M325,CC$13))))</f>
        <v>1000000000000</v>
      </c>
      <c r="CD325" s="216">
        <f ca="1">IF($D325&lt;&gt;"Serviço",0,IF(OR(AND(AUTOEVENTO="Manual",$M325=1),$M325&gt;(ROW(PLE.lastrow)-ROW(PLE.firstrow))),0,IF(OFFSET(PLE!$G$14,$M325,CD$13)="",10^12,OFFSET(PLE!$G$14,$M325,CD$13))))</f>
        <v>1000000000000</v>
      </c>
      <c r="CE325" s="216">
        <f ca="1">IF($D325&lt;&gt;"Serviço",0,IF(OR(AND(AUTOEVENTO="Manual",$M325=1),$M325&gt;(ROW(PLE.lastrow)-ROW(PLE.firstrow))),0,IF(OFFSET(PLE!$G$14,$M325,CE$13)="",10^12,OFFSET(PLE!$G$14,$M325,CE$13))))</f>
        <v>1000000000000</v>
      </c>
      <c r="CF325" s="216">
        <f ca="1">IF($D325&lt;&gt;"Serviço",0,IF(OR(AND(AUTOEVENTO="Manual",$M325=1),$M325&gt;(ROW(PLE.lastrow)-ROW(PLE.firstrow))),0,IF(OFFSET(PLE!$G$14,$M325,CF$13)="",10^12,OFFSET(PLE!$G$14,$M325,CF$13))))</f>
        <v>1000000000000</v>
      </c>
      <c r="CG325" s="216">
        <f ca="1">IF($D325&lt;&gt;"Serviço",0,IF(OR(AND(AUTOEVENTO="Manual",$M325=1),$M325&gt;(ROW(PLE.lastrow)-ROW(PLE.firstrow))),0,IF(OFFSET(PLE!$G$14,$M325,CG$13)="",10^12,OFFSET(PLE!$G$14,$M325,CG$13))))</f>
        <v>1000000000000</v>
      </c>
      <c r="CH325" s="216">
        <f ca="1">IF($D325&lt;&gt;"Serviço",0,IF(OR(AND(AUTOEVENTO="Manual",$M325=1),$M325&gt;(ROW(PLE.lastrow)-ROW(PLE.firstrow))),0,IF(OFFSET(PLE!$G$14,$M325,CH$13)="",10^12,OFFSET(PLE!$G$14,$M325,CH$13))))</f>
        <v>1000000000000</v>
      </c>
      <c r="CI325" s="216">
        <f ca="1">IF($D325&lt;&gt;"Serviço",0,IF(OR(AND(AUTOEVENTO="Manual",$M325=1),$M325&gt;(ROW(PLE.lastrow)-ROW(PLE.firstrow))),0,IF(OFFSET(PLE!$G$14,$M325,CI$13)="",10^12,OFFSET(PLE!$G$14,$M325,CI$13))))</f>
        <v>1000000000000</v>
      </c>
      <c r="CJ325" s="216">
        <f ca="1">IF($D325&lt;&gt;"Serviço",0,IF(OR(AND(AUTOEVENTO="Manual",$M325=1),$M325&gt;(ROW(PLE.lastrow)-ROW(PLE.firstrow))),0,IF(OFFSET(PLE!$G$14,$M325,CJ$13)="",10^12,OFFSET(PLE!$G$14,$M325,CJ$13))))</f>
        <v>1000000000000</v>
      </c>
      <c r="CK325" s="216">
        <f ca="1">IF($D325&lt;&gt;"Serviço",0,IF(OR(AND(AUTOEVENTO="Manual",$M325=1),$M325&gt;(ROW(PLE.lastrow)-ROW(PLE.firstrow))),0,IF(OFFSET(PLE!$G$14,$M325,CK$13)="",10^12,OFFSET(PLE!$G$14,$M325,CK$13))))</f>
        <v>1000000000000</v>
      </c>
      <c r="CL325" s="216">
        <f ca="1">IF($D325&lt;&gt;"Serviço",0,IF(OR(AND(AUTOEVENTO="Manual",$M325=1),$M325&gt;(ROW(PLE.lastrow)-ROW(PLE.firstrow))),0,IF(OFFSET(PLE!$G$14,$M325,CL$13)="",10^12,OFFSET(PLE!$G$14,$M325,CL$13))))</f>
        <v>1000000000000</v>
      </c>
      <c r="CM325" s="216">
        <f ca="1">IF($D325&lt;&gt;"Serviço",0,IF(OR(AND(AUTOEVENTO="Manual",$M325=1),$M325&gt;(ROW(PLE.lastrow)-ROW(PLE.firstrow))),0,IF(OFFSET(PLE!$G$14,$M325,CM$13)="",10^12,OFFSET(PLE!$G$14,$M325,CM$13))))</f>
        <v>1000000000000</v>
      </c>
    </row>
    <row r="326" spans="1:91" ht="13.2" x14ac:dyDescent="0.25">
      <c r="A326" s="9">
        <f t="shared" ca="1" si="13"/>
        <v>0</v>
      </c>
      <c r="B326" s="9" t="str">
        <f ca="1">OFFSET(ORÇAMENTO!C$15,ROW(B326)-ROW(B$15),0)</f>
        <v>S</v>
      </c>
      <c r="C326" s="9" t="str">
        <f ca="1">OFFSET(ORÇAMENTO!L$15,ROW(C326)-ROW(C$15),0)</f>
        <v/>
      </c>
      <c r="D326" s="145" t="str">
        <f ca="1">OFFSET(ORÇAMENTO!N$15,ROW(D326)-ROW(D$15),0)</f>
        <v>Serviço</v>
      </c>
      <c r="E326" s="205" t="str">
        <f ca="1">OFFSET(ORÇAMENTO!O$15,ROW(E326)-ROW(E$15),0)</f>
        <v>-</v>
      </c>
      <c r="F326" s="206" t="str">
        <f ca="1">OFFSET(ORÇAMENTO!R$15,ROW(F326)-ROW(F$15),0)</f>
        <v>(abra o arquivo 'Referência 05-2024.xls)</v>
      </c>
      <c r="G326" s="207" t="str">
        <f ca="1">IF($D326&lt;&gt;"Serviço","",OFFSET(ORÇAMENTO!S$15,ROW(G326)-ROW(G$15),0))</f>
        <v>-</v>
      </c>
      <c r="H326" s="151">
        <f ca="1">IF($D326&lt;&gt;"Serviço",0,IF(ACOMPANHAMENTO="BM",ROUND(OFFSET(ORÇAMENTO!AJ$15,ROW(H326)-ROW(H$15),0),15-13*ORÇAMENTO!$AF$7),SUMPRODUCT(($Q$12:$AI$12&lt;&gt;"")*ROUND($Q326:$AI326,15-13*ORÇAMENTO!$AF$7))))</f>
        <v>1</v>
      </c>
      <c r="I326" s="650"/>
      <c r="K326" s="208"/>
      <c r="L326" s="209" t="s">
        <v>257</v>
      </c>
      <c r="M326" s="210">
        <f ca="1">IF($D326&lt;&gt;"Serviço","",IF(AUTOEVENTO="manual",$A326,IF(ISERROR(MATCH($A326,$A$15:OFFSET($A326,-1,0),0)),MAX($M$15:OFFSET(M326,-1,0))+1,INDEX($M$15:OFFSET(M326,-1,0),MATCH($A326,$A$15:OFFSET($A326,-1,0),0)))))</f>
        <v>0</v>
      </c>
      <c r="N326" s="211" t="str">
        <f ca="1">IF($D326&lt;&gt;"Serviço","",IF(AUTOEVENTO="Manual",IF($A326=0,"&lt;-- defina o número do agrupador",OFFSET(EVENTOS!$D$14,$A326,0)),OFFSET($F$15,$A326,0)))</f>
        <v>&lt;-- defina o número do agrupador</v>
      </c>
      <c r="O326" s="212"/>
      <c r="Q326" s="212"/>
      <c r="R326" s="213"/>
      <c r="S326" s="213"/>
      <c r="T326" s="213"/>
      <c r="U326" s="213"/>
      <c r="V326" s="213"/>
      <c r="W326" s="213"/>
      <c r="X326" s="213"/>
      <c r="Y326" s="213"/>
      <c r="Z326" s="214"/>
      <c r="AA326" s="213"/>
      <c r="AB326" s="213"/>
      <c r="AC326" s="213"/>
      <c r="AD326" s="213"/>
      <c r="AE326" s="213"/>
      <c r="AF326" s="213"/>
      <c r="AG326" s="213"/>
      <c r="AH326" s="214"/>
      <c r="AJ326" s="631">
        <f ca="1">IF(AND($D326="Serviço",AJ$12&lt;&gt;0,$H326&gt;0,OR(AUTOEVENTO&lt;&gt;"manual",$M326&lt;&gt;1)),ROUND(OFFSET($P326,0,AJ$13),15-13*ORÇAMENTO!$AF$7)/$H326*OFFSET(ORÇAMENTO!$X$15,ROW(AJ326)-ROW(AJ$15),0),0)</f>
        <v>0</v>
      </c>
      <c r="AK326" s="632">
        <f ca="1">IF(AND($D326="Serviço",AK$12&lt;&gt;0,$H326&gt;0,OR(AUTOEVENTO&lt;&gt;"manual",$M326&lt;&gt;1)),ROUND(OFFSET($P326,0,AK$13),15-13*ORÇAMENTO!$AF$7)/$H326*OFFSET(ORÇAMENTO!$X$15,ROW(AK326)-ROW(AK$15),0),0)</f>
        <v>0</v>
      </c>
      <c r="AL326" s="632">
        <f ca="1">IF(AND($D326="Serviço",AL$12&lt;&gt;0,$H326&gt;0,OR(AUTOEVENTO&lt;&gt;"manual",$M326&lt;&gt;1)),ROUND(OFFSET($P326,0,AL$13),15-13*ORÇAMENTO!$AF$7)/$H326*OFFSET(ORÇAMENTO!$X$15,ROW(AL326)-ROW(AL$15),0),0)</f>
        <v>0</v>
      </c>
      <c r="AM326" s="632">
        <f ca="1">IF(AND($D326="Serviço",AM$12&lt;&gt;0,$H326&gt;0,OR(AUTOEVENTO&lt;&gt;"manual",$M326&lt;&gt;1)),ROUND(OFFSET($P326,0,AM$13),15-13*ORÇAMENTO!$AF$7)/$H326*OFFSET(ORÇAMENTO!$X$15,ROW(AM326)-ROW(AM$15),0),0)</f>
        <v>0</v>
      </c>
      <c r="AN326" s="632">
        <f ca="1">IF(AND($D326="Serviço",AN$12&lt;&gt;0,$H326&gt;0,OR(AUTOEVENTO&lt;&gt;"manual",$M326&lt;&gt;1)),ROUND(OFFSET($P326,0,AN$13),15-13*ORÇAMENTO!$AF$7)/$H326*OFFSET(ORÇAMENTO!$X$15,ROW(AN326)-ROW(AN$15),0),0)</f>
        <v>0</v>
      </c>
      <c r="AO326" s="632">
        <f ca="1">IF(AND($D326="Serviço",AO$12&lt;&gt;0,$H326&gt;0,OR(AUTOEVENTO&lt;&gt;"manual",$M326&lt;&gt;1)),ROUND(OFFSET($P326,0,AO$13),15-13*ORÇAMENTO!$AF$7)/$H326*OFFSET(ORÇAMENTO!$X$15,ROW(AO326)-ROW(AO$15),0),0)</f>
        <v>0</v>
      </c>
      <c r="AP326" s="632">
        <f ca="1">IF(AND($D326="Serviço",AP$12&lt;&gt;0,$H326&gt;0,OR(AUTOEVENTO&lt;&gt;"manual",$M326&lt;&gt;1)),ROUND(OFFSET($P326,0,AP$13),15-13*ORÇAMENTO!$AF$7)/$H326*OFFSET(ORÇAMENTO!$X$15,ROW(AP326)-ROW(AP$15),0),0)</f>
        <v>0</v>
      </c>
      <c r="AQ326" s="632">
        <f ca="1">IF(AND($D326="Serviço",AQ$12&lt;&gt;0,$H326&gt;0,OR(AUTOEVENTO&lt;&gt;"manual",$M326&lt;&gt;1)),ROUND(OFFSET($P326,0,AQ$13),15-13*ORÇAMENTO!$AF$7)/$H326*OFFSET(ORÇAMENTO!$X$15,ROW(AQ326)-ROW(AQ$15),0),0)</f>
        <v>0</v>
      </c>
      <c r="AR326" s="632">
        <f ca="1">IF(AND($D326="Serviço",AR$12&lt;&gt;0,$H326&gt;0,OR(AUTOEVENTO&lt;&gt;"manual",$M326&lt;&gt;1)),ROUND(OFFSET($P326,0,AR$13),15-13*ORÇAMENTO!$AF$7)/$H326*OFFSET(ORÇAMENTO!$X$15,ROW(AR326)-ROW(AR$15),0),0)</f>
        <v>0</v>
      </c>
      <c r="AS326" s="633">
        <f ca="1">IF(AND($D326="Serviço",AS$12&lt;&gt;0,$H326&gt;0,OR(AUTOEVENTO&lt;&gt;"manual",$M326&lt;&gt;1)),ROUND(OFFSET($P326,0,AS$13),15-13*ORÇAMENTO!$AF$7)/$H326*OFFSET(ORÇAMENTO!$X$15,ROW(AS326)-ROW(AS$15),0),0)</f>
        <v>0</v>
      </c>
      <c r="AT326" s="632">
        <f ca="1">IF(AND($D326="Serviço",AT$12&lt;&gt;0,$H326&gt;0,OR(AUTOEVENTO&lt;&gt;"manual",$M326&lt;&gt;1)),ROUND(OFFSET($P326,0,AT$13),15-13*ORÇAMENTO!$AF$7)/$H326*OFFSET(ORÇAMENTO!$X$15,ROW(AT326)-ROW(AT$15),0),0)</f>
        <v>0</v>
      </c>
      <c r="AU326" s="632">
        <f ca="1">IF(AND($D326="Serviço",AU$12&lt;&gt;0,$H326&gt;0,OR(AUTOEVENTO&lt;&gt;"manual",$M326&lt;&gt;1)),ROUND(OFFSET($P326,0,AU$13),15-13*ORÇAMENTO!$AF$7)/$H326*OFFSET(ORÇAMENTO!$X$15,ROW(AU326)-ROW(AU$15),0),0)</f>
        <v>0</v>
      </c>
      <c r="AV326" s="632">
        <f ca="1">IF(AND($D326="Serviço",AV$12&lt;&gt;0,$H326&gt;0,OR(AUTOEVENTO&lt;&gt;"manual",$M326&lt;&gt;1)),ROUND(OFFSET($P326,0,AV$13),15-13*ORÇAMENTO!$AF$7)/$H326*OFFSET(ORÇAMENTO!$X$15,ROW(AV326)-ROW(AV$15),0),0)</f>
        <v>0</v>
      </c>
      <c r="AW326" s="632">
        <f ca="1">IF(AND($D326="Serviço",AW$12&lt;&gt;0,$H326&gt;0,OR(AUTOEVENTO&lt;&gt;"manual",$M326&lt;&gt;1)),ROUND(OFFSET($P326,0,AW$13),15-13*ORÇAMENTO!$AF$7)/$H326*OFFSET(ORÇAMENTO!$X$15,ROW(AW326)-ROW(AW$15),0),0)</f>
        <v>0</v>
      </c>
      <c r="AX326" s="632">
        <f ca="1">IF(AND($D326="Serviço",AX$12&lt;&gt;0,$H326&gt;0,OR(AUTOEVENTO&lt;&gt;"manual",$M326&lt;&gt;1)),ROUND(OFFSET($P326,0,AX$13),15-13*ORÇAMENTO!$AF$7)/$H326*OFFSET(ORÇAMENTO!$X$15,ROW(AX326)-ROW(AX$15),0),0)</f>
        <v>0</v>
      </c>
      <c r="AY326" s="632">
        <f ca="1">IF(AND($D326="Serviço",AY$12&lt;&gt;0,$H326&gt;0,OR(AUTOEVENTO&lt;&gt;"manual",$M326&lt;&gt;1)),ROUND(OFFSET($P326,0,AY$13),15-13*ORÇAMENTO!$AF$7)/$H326*OFFSET(ORÇAMENTO!$X$15,ROW(AY326)-ROW(AY$15),0),0)</f>
        <v>0</v>
      </c>
      <c r="AZ326" s="632">
        <f ca="1">IF(AND($D326="Serviço",AZ$12&lt;&gt;0,$H326&gt;0,OR(AUTOEVENTO&lt;&gt;"manual",$M326&lt;&gt;1)),ROUND(OFFSET($P326,0,AZ$13),15-13*ORÇAMENTO!$AF$7)/$H326*OFFSET(ORÇAMENTO!$X$15,ROW(AZ326)-ROW(AZ$15),0),0)</f>
        <v>0</v>
      </c>
      <c r="BA326" s="633">
        <f ca="1">IF(AND($D326="Serviço",BA$12&lt;&gt;0,$H326&gt;0,OR(AUTOEVENTO&lt;&gt;"manual",$M326&lt;&gt;1)),ROUND(OFFSET($P326,0,BA$13),15-13*ORÇAMENTO!$AF$7)/$H326*OFFSET(ORÇAMENTO!$X$15,ROW(BA326)-ROW(BA$15),0),0)</f>
        <v>0</v>
      </c>
      <c r="BC326" s="215">
        <f ca="1">IF($D326&lt;&gt;"Serviço",0,IF(AND(AUTOEVENTO="Manual",$M326=1),0,IF(OFFSET(CRONOPLE!$F$14,$M326,BC$13)="",10^12,OFFSET(CRONOPLE!$F$14,$M326,BC$13))))</f>
        <v>1000000000000</v>
      </c>
      <c r="BD326" s="215">
        <f ca="1">IF($D326&lt;&gt;"Serviço",0,IF(AND(AUTOEVENTO="Manual",$M326=1),0,IF(OFFSET(CRONOPLE!$F$14,$M326,BD$13)="",10^12,OFFSET(CRONOPLE!$F$14,$M326,BD$13))))</f>
        <v>1000000000000</v>
      </c>
      <c r="BE326" s="215">
        <f ca="1">IF($D326&lt;&gt;"Serviço",0,IF(AND(AUTOEVENTO="Manual",$M326=1),0,IF(OFFSET(CRONOPLE!$F$14,$M326,BE$13)="",10^12,OFFSET(CRONOPLE!$F$14,$M326,BE$13))))</f>
        <v>1000000000000</v>
      </c>
      <c r="BF326" s="215">
        <f ca="1">IF($D326&lt;&gt;"Serviço",0,IF(AND(AUTOEVENTO="Manual",$M326=1),0,IF(OFFSET(CRONOPLE!$F$14,$M326,BF$13)="",10^12,OFFSET(CRONOPLE!$F$14,$M326,BF$13))))</f>
        <v>1000000000000</v>
      </c>
      <c r="BG326" s="215">
        <f ca="1">IF($D326&lt;&gt;"Serviço",0,IF(AND(AUTOEVENTO="Manual",$M326=1),0,IF(OFFSET(CRONOPLE!$F$14,$M326,BG$13)="",10^12,OFFSET(CRONOPLE!$F$14,$M326,BG$13))))</f>
        <v>1000000000000</v>
      </c>
      <c r="BH326" s="215">
        <f ca="1">IF($D326&lt;&gt;"Serviço",0,IF(AND(AUTOEVENTO="Manual",$M326=1),0,IF(OFFSET(CRONOPLE!$F$14,$M326,BH$13)="",10^12,OFFSET(CRONOPLE!$F$14,$M326,BH$13))))</f>
        <v>1000000000000</v>
      </c>
      <c r="BI326" s="215">
        <f ca="1">IF($D326&lt;&gt;"Serviço",0,IF(AND(AUTOEVENTO="Manual",$M326=1),0,IF(OFFSET(CRONOPLE!$F$14,$M326,BI$13)="",10^12,OFFSET(CRONOPLE!$F$14,$M326,BI$13))))</f>
        <v>1000000000000</v>
      </c>
      <c r="BJ326" s="215">
        <f ca="1">IF($D326&lt;&gt;"Serviço",0,IF(AND(AUTOEVENTO="Manual",$M326=1),0,IF(OFFSET(CRONOPLE!$F$14,$M326,BJ$13)="",10^12,OFFSET(CRONOPLE!$F$14,$M326,BJ$13))))</f>
        <v>1000000000000</v>
      </c>
      <c r="BK326" s="215">
        <f ca="1">IF($D326&lt;&gt;"Serviço",0,IF(AND(AUTOEVENTO="Manual",$M326=1),0,IF(OFFSET(CRONOPLE!$F$14,$M326,BK$13)="",10^12,OFFSET(CRONOPLE!$F$14,$M326,BK$13))))</f>
        <v>1000000000000</v>
      </c>
      <c r="BL326" s="215">
        <f ca="1">IF($D326&lt;&gt;"Serviço",0,IF(AND(AUTOEVENTO="Manual",$M326=1),0,IF(OFFSET(CRONOPLE!$F$14,$M326,BL$13)="",10^12,OFFSET(CRONOPLE!$F$14,$M326,BL$13))))</f>
        <v>1000000000000</v>
      </c>
      <c r="BM326" s="215">
        <f ca="1">IF($D326&lt;&gt;"Serviço",0,IF(AND(AUTOEVENTO="Manual",$M326=1),0,IF(OFFSET(CRONOPLE!$F$14,$M326,BM$13)="",10^12,OFFSET(CRONOPLE!$F$14,$M326,BM$13))))</f>
        <v>1000000000000</v>
      </c>
      <c r="BN326" s="215">
        <f ca="1">IF($D326&lt;&gt;"Serviço",0,IF(AND(AUTOEVENTO="Manual",$M326=1),0,IF(OFFSET(CRONOPLE!$F$14,$M326,BN$13)="",10^12,OFFSET(CRONOPLE!$F$14,$M326,BN$13))))</f>
        <v>1000000000000</v>
      </c>
      <c r="BO326" s="215">
        <f ca="1">IF($D326&lt;&gt;"Serviço",0,IF(AND(AUTOEVENTO="Manual",$M326=1),0,IF(OFFSET(CRONOPLE!$F$14,$M326,BO$13)="",10^12,OFFSET(CRONOPLE!$F$14,$M326,BO$13))))</f>
        <v>1000000000000</v>
      </c>
      <c r="BP326" s="215">
        <f ca="1">IF($D326&lt;&gt;"Serviço",0,IF(AND(AUTOEVENTO="Manual",$M326=1),0,IF(OFFSET(CRONOPLE!$F$14,$M326,BP$13)="",10^12,OFFSET(CRONOPLE!$F$14,$M326,BP$13))))</f>
        <v>1000000000000</v>
      </c>
      <c r="BQ326" s="215">
        <f ca="1">IF($D326&lt;&gt;"Serviço",0,IF(AND(AUTOEVENTO="Manual",$M326=1),0,IF(OFFSET(CRONOPLE!$F$14,$M326,BQ$13)="",10^12,OFFSET(CRONOPLE!$F$14,$M326,BQ$13))))</f>
        <v>1000000000000</v>
      </c>
      <c r="BR326" s="215">
        <f ca="1">IF($D326&lt;&gt;"Serviço",0,IF(AND(AUTOEVENTO="Manual",$M326=1),0,IF(OFFSET(CRONOPLE!$F$14,$M326,BR$13)="",10^12,OFFSET(CRONOPLE!$F$14,$M326,BR$13))))</f>
        <v>1000000000000</v>
      </c>
      <c r="BS326" s="215">
        <f ca="1">IF($D326&lt;&gt;"Serviço",0,IF(AND(AUTOEVENTO="Manual",$M326=1),0,IF(OFFSET(CRONOPLE!$F$14,$M326,BS$13)="",10^12,OFFSET(CRONOPLE!$F$14,$M326,BS$13))))</f>
        <v>1000000000000</v>
      </c>
      <c r="BT326" s="215">
        <f ca="1">IF($D326&lt;&gt;"Serviço",0,IF(AND(AUTOEVENTO="Manual",$M326=1),0,IF(OFFSET(CRONOPLE!$F$14,$M326,BT$13)="",10^12,OFFSET(CRONOPLE!$F$14,$M326,BT$13))))</f>
        <v>1000000000000</v>
      </c>
      <c r="BV326" s="216">
        <f ca="1">IF($D326&lt;&gt;"Serviço",0,IF(OR(AND(AUTOEVENTO="Manual",$M326=1),$M326&gt;(ROW(PLE.lastrow)-ROW(PLE.firstrow))),0,IF(OFFSET(PLE!$G$14,$M326,BV$13)="",10^12,OFFSET(PLE!$G$14,$M326,BV$13))))</f>
        <v>1000000000000</v>
      </c>
      <c r="BW326" s="216">
        <f ca="1">IF($D326&lt;&gt;"Serviço",0,IF(OR(AND(AUTOEVENTO="Manual",$M326=1),$M326&gt;(ROW(PLE.lastrow)-ROW(PLE.firstrow))),0,IF(OFFSET(PLE!$G$14,$M326,BW$13)="",10^12,OFFSET(PLE!$G$14,$M326,BW$13))))</f>
        <v>1000000000000</v>
      </c>
      <c r="BX326" s="216">
        <f ca="1">IF($D326&lt;&gt;"Serviço",0,IF(OR(AND(AUTOEVENTO="Manual",$M326=1),$M326&gt;(ROW(PLE.lastrow)-ROW(PLE.firstrow))),0,IF(OFFSET(PLE!$G$14,$M326,BX$13)="",10^12,OFFSET(PLE!$G$14,$M326,BX$13))))</f>
        <v>1000000000000</v>
      </c>
      <c r="BY326" s="216">
        <f ca="1">IF($D326&lt;&gt;"Serviço",0,IF(OR(AND(AUTOEVENTO="Manual",$M326=1),$M326&gt;(ROW(PLE.lastrow)-ROW(PLE.firstrow))),0,IF(OFFSET(PLE!$G$14,$M326,BY$13)="",10^12,OFFSET(PLE!$G$14,$M326,BY$13))))</f>
        <v>1000000000000</v>
      </c>
      <c r="BZ326" s="216">
        <f ca="1">IF($D326&lt;&gt;"Serviço",0,IF(OR(AND(AUTOEVENTO="Manual",$M326=1),$M326&gt;(ROW(PLE.lastrow)-ROW(PLE.firstrow))),0,IF(OFFSET(PLE!$G$14,$M326,BZ$13)="",10^12,OFFSET(PLE!$G$14,$M326,BZ$13))))</f>
        <v>1000000000000</v>
      </c>
      <c r="CA326" s="216">
        <f ca="1">IF($D326&lt;&gt;"Serviço",0,IF(OR(AND(AUTOEVENTO="Manual",$M326=1),$M326&gt;(ROW(PLE.lastrow)-ROW(PLE.firstrow))),0,IF(OFFSET(PLE!$G$14,$M326,CA$13)="",10^12,OFFSET(PLE!$G$14,$M326,CA$13))))</f>
        <v>1000000000000</v>
      </c>
      <c r="CB326" s="216">
        <f ca="1">IF($D326&lt;&gt;"Serviço",0,IF(OR(AND(AUTOEVENTO="Manual",$M326=1),$M326&gt;(ROW(PLE.lastrow)-ROW(PLE.firstrow))),0,IF(OFFSET(PLE!$G$14,$M326,CB$13)="",10^12,OFFSET(PLE!$G$14,$M326,CB$13))))</f>
        <v>1000000000000</v>
      </c>
      <c r="CC326" s="216">
        <f ca="1">IF($D326&lt;&gt;"Serviço",0,IF(OR(AND(AUTOEVENTO="Manual",$M326=1),$M326&gt;(ROW(PLE.lastrow)-ROW(PLE.firstrow))),0,IF(OFFSET(PLE!$G$14,$M326,CC$13)="",10^12,OFFSET(PLE!$G$14,$M326,CC$13))))</f>
        <v>1000000000000</v>
      </c>
      <c r="CD326" s="216">
        <f ca="1">IF($D326&lt;&gt;"Serviço",0,IF(OR(AND(AUTOEVENTO="Manual",$M326=1),$M326&gt;(ROW(PLE.lastrow)-ROW(PLE.firstrow))),0,IF(OFFSET(PLE!$G$14,$M326,CD$13)="",10^12,OFFSET(PLE!$G$14,$M326,CD$13))))</f>
        <v>1000000000000</v>
      </c>
      <c r="CE326" s="216">
        <f ca="1">IF($D326&lt;&gt;"Serviço",0,IF(OR(AND(AUTOEVENTO="Manual",$M326=1),$M326&gt;(ROW(PLE.lastrow)-ROW(PLE.firstrow))),0,IF(OFFSET(PLE!$G$14,$M326,CE$13)="",10^12,OFFSET(PLE!$G$14,$M326,CE$13))))</f>
        <v>1000000000000</v>
      </c>
      <c r="CF326" s="216">
        <f ca="1">IF($D326&lt;&gt;"Serviço",0,IF(OR(AND(AUTOEVENTO="Manual",$M326=1),$M326&gt;(ROW(PLE.lastrow)-ROW(PLE.firstrow))),0,IF(OFFSET(PLE!$G$14,$M326,CF$13)="",10^12,OFFSET(PLE!$G$14,$M326,CF$13))))</f>
        <v>1000000000000</v>
      </c>
      <c r="CG326" s="216">
        <f ca="1">IF($D326&lt;&gt;"Serviço",0,IF(OR(AND(AUTOEVENTO="Manual",$M326=1),$M326&gt;(ROW(PLE.lastrow)-ROW(PLE.firstrow))),0,IF(OFFSET(PLE!$G$14,$M326,CG$13)="",10^12,OFFSET(PLE!$G$14,$M326,CG$13))))</f>
        <v>1000000000000</v>
      </c>
      <c r="CH326" s="216">
        <f ca="1">IF($D326&lt;&gt;"Serviço",0,IF(OR(AND(AUTOEVENTO="Manual",$M326=1),$M326&gt;(ROW(PLE.lastrow)-ROW(PLE.firstrow))),0,IF(OFFSET(PLE!$G$14,$M326,CH$13)="",10^12,OFFSET(PLE!$G$14,$M326,CH$13))))</f>
        <v>1000000000000</v>
      </c>
      <c r="CI326" s="216">
        <f ca="1">IF($D326&lt;&gt;"Serviço",0,IF(OR(AND(AUTOEVENTO="Manual",$M326=1),$M326&gt;(ROW(PLE.lastrow)-ROW(PLE.firstrow))),0,IF(OFFSET(PLE!$G$14,$M326,CI$13)="",10^12,OFFSET(PLE!$G$14,$M326,CI$13))))</f>
        <v>1000000000000</v>
      </c>
      <c r="CJ326" s="216">
        <f ca="1">IF($D326&lt;&gt;"Serviço",0,IF(OR(AND(AUTOEVENTO="Manual",$M326=1),$M326&gt;(ROW(PLE.lastrow)-ROW(PLE.firstrow))),0,IF(OFFSET(PLE!$G$14,$M326,CJ$13)="",10^12,OFFSET(PLE!$G$14,$M326,CJ$13))))</f>
        <v>1000000000000</v>
      </c>
      <c r="CK326" s="216">
        <f ca="1">IF($D326&lt;&gt;"Serviço",0,IF(OR(AND(AUTOEVENTO="Manual",$M326=1),$M326&gt;(ROW(PLE.lastrow)-ROW(PLE.firstrow))),0,IF(OFFSET(PLE!$G$14,$M326,CK$13)="",10^12,OFFSET(PLE!$G$14,$M326,CK$13))))</f>
        <v>1000000000000</v>
      </c>
      <c r="CL326" s="216">
        <f ca="1">IF($D326&lt;&gt;"Serviço",0,IF(OR(AND(AUTOEVENTO="Manual",$M326=1),$M326&gt;(ROW(PLE.lastrow)-ROW(PLE.firstrow))),0,IF(OFFSET(PLE!$G$14,$M326,CL$13)="",10^12,OFFSET(PLE!$G$14,$M326,CL$13))))</f>
        <v>1000000000000</v>
      </c>
      <c r="CM326" s="216">
        <f ca="1">IF($D326&lt;&gt;"Serviço",0,IF(OR(AND(AUTOEVENTO="Manual",$M326=1),$M326&gt;(ROW(PLE.lastrow)-ROW(PLE.firstrow))),0,IF(OFFSET(PLE!$G$14,$M326,CM$13)="",10^12,OFFSET(PLE!$G$14,$M326,CM$13))))</f>
        <v>1000000000000</v>
      </c>
    </row>
    <row r="327" spans="1:91" ht="13.2" x14ac:dyDescent="0.25">
      <c r="A327" s="9">
        <f t="shared" ca="1" si="13"/>
        <v>0</v>
      </c>
      <c r="B327" s="9" t="str">
        <f ca="1">OFFSET(ORÇAMENTO!C$15,ROW(B327)-ROW(B$15),0)</f>
        <v>S</v>
      </c>
      <c r="C327" s="9" t="str">
        <f ca="1">OFFSET(ORÇAMENTO!L$15,ROW(C327)-ROW(C$15),0)</f>
        <v/>
      </c>
      <c r="D327" s="145" t="str">
        <f ca="1">OFFSET(ORÇAMENTO!N$15,ROW(D327)-ROW(D$15),0)</f>
        <v>Serviço</v>
      </c>
      <c r="E327" s="205" t="str">
        <f ca="1">OFFSET(ORÇAMENTO!O$15,ROW(E327)-ROW(E$15),0)</f>
        <v>-</v>
      </c>
      <c r="F327" s="206" t="str">
        <f ca="1">OFFSET(ORÇAMENTO!R$15,ROW(F327)-ROW(F$15),0)</f>
        <v>(abra o arquivo 'Referência 05-2024.xls)</v>
      </c>
      <c r="G327" s="207" t="str">
        <f ca="1">IF($D327&lt;&gt;"Serviço","",OFFSET(ORÇAMENTO!S$15,ROW(G327)-ROW(G$15),0))</f>
        <v>-</v>
      </c>
      <c r="H327" s="151">
        <f ca="1">IF($D327&lt;&gt;"Serviço",0,IF(ACOMPANHAMENTO="BM",ROUND(OFFSET(ORÇAMENTO!AJ$15,ROW(H327)-ROW(H$15),0),15-13*ORÇAMENTO!$AF$7),SUMPRODUCT(($Q$12:$AI$12&lt;&gt;"")*ROUND($Q327:$AI327,15-13*ORÇAMENTO!$AF$7))))</f>
        <v>4</v>
      </c>
      <c r="I327" s="650"/>
      <c r="K327" s="208"/>
      <c r="L327" s="209" t="s">
        <v>257</v>
      </c>
      <c r="M327" s="210">
        <f ca="1">IF($D327&lt;&gt;"Serviço","",IF(AUTOEVENTO="manual",$A327,IF(ISERROR(MATCH($A327,$A$15:OFFSET($A327,-1,0),0)),MAX($M$15:OFFSET(M327,-1,0))+1,INDEX($M$15:OFFSET(M327,-1,0),MATCH($A327,$A$15:OFFSET($A327,-1,0),0)))))</f>
        <v>0</v>
      </c>
      <c r="N327" s="211" t="str">
        <f ca="1">IF($D327&lt;&gt;"Serviço","",IF(AUTOEVENTO="Manual",IF($A327=0,"&lt;-- defina o número do agrupador",OFFSET(EVENTOS!$D$14,$A327,0)),OFFSET($F$15,$A327,0)))</f>
        <v>&lt;-- defina o número do agrupador</v>
      </c>
      <c r="O327" s="212"/>
      <c r="Q327" s="212"/>
      <c r="R327" s="213"/>
      <c r="S327" s="213"/>
      <c r="T327" s="213"/>
      <c r="U327" s="213"/>
      <c r="V327" s="213"/>
      <c r="W327" s="213"/>
      <c r="X327" s="213"/>
      <c r="Y327" s="213"/>
      <c r="Z327" s="214"/>
      <c r="AA327" s="213"/>
      <c r="AB327" s="213"/>
      <c r="AC327" s="213"/>
      <c r="AD327" s="213"/>
      <c r="AE327" s="213"/>
      <c r="AF327" s="213"/>
      <c r="AG327" s="213"/>
      <c r="AH327" s="214"/>
      <c r="AJ327" s="631">
        <f ca="1">IF(AND($D327="Serviço",AJ$12&lt;&gt;0,$H327&gt;0,OR(AUTOEVENTO&lt;&gt;"manual",$M327&lt;&gt;1)),ROUND(OFFSET($P327,0,AJ$13),15-13*ORÇAMENTO!$AF$7)/$H327*OFFSET(ORÇAMENTO!$X$15,ROW(AJ327)-ROW(AJ$15),0),0)</f>
        <v>0</v>
      </c>
      <c r="AK327" s="632">
        <f ca="1">IF(AND($D327="Serviço",AK$12&lt;&gt;0,$H327&gt;0,OR(AUTOEVENTO&lt;&gt;"manual",$M327&lt;&gt;1)),ROUND(OFFSET($P327,0,AK$13),15-13*ORÇAMENTO!$AF$7)/$H327*OFFSET(ORÇAMENTO!$X$15,ROW(AK327)-ROW(AK$15),0),0)</f>
        <v>0</v>
      </c>
      <c r="AL327" s="632">
        <f ca="1">IF(AND($D327="Serviço",AL$12&lt;&gt;0,$H327&gt;0,OR(AUTOEVENTO&lt;&gt;"manual",$M327&lt;&gt;1)),ROUND(OFFSET($P327,0,AL$13),15-13*ORÇAMENTO!$AF$7)/$H327*OFFSET(ORÇAMENTO!$X$15,ROW(AL327)-ROW(AL$15),0),0)</f>
        <v>0</v>
      </c>
      <c r="AM327" s="632">
        <f ca="1">IF(AND($D327="Serviço",AM$12&lt;&gt;0,$H327&gt;0,OR(AUTOEVENTO&lt;&gt;"manual",$M327&lt;&gt;1)),ROUND(OFFSET($P327,0,AM$13),15-13*ORÇAMENTO!$AF$7)/$H327*OFFSET(ORÇAMENTO!$X$15,ROW(AM327)-ROW(AM$15),0),0)</f>
        <v>0</v>
      </c>
      <c r="AN327" s="632">
        <f ca="1">IF(AND($D327="Serviço",AN$12&lt;&gt;0,$H327&gt;0,OR(AUTOEVENTO&lt;&gt;"manual",$M327&lt;&gt;1)),ROUND(OFFSET($P327,0,AN$13),15-13*ORÇAMENTO!$AF$7)/$H327*OFFSET(ORÇAMENTO!$X$15,ROW(AN327)-ROW(AN$15),0),0)</f>
        <v>0</v>
      </c>
      <c r="AO327" s="632">
        <f ca="1">IF(AND($D327="Serviço",AO$12&lt;&gt;0,$H327&gt;0,OR(AUTOEVENTO&lt;&gt;"manual",$M327&lt;&gt;1)),ROUND(OFFSET($P327,0,AO$13),15-13*ORÇAMENTO!$AF$7)/$H327*OFFSET(ORÇAMENTO!$X$15,ROW(AO327)-ROW(AO$15),0),0)</f>
        <v>0</v>
      </c>
      <c r="AP327" s="632">
        <f ca="1">IF(AND($D327="Serviço",AP$12&lt;&gt;0,$H327&gt;0,OR(AUTOEVENTO&lt;&gt;"manual",$M327&lt;&gt;1)),ROUND(OFFSET($P327,0,AP$13),15-13*ORÇAMENTO!$AF$7)/$H327*OFFSET(ORÇAMENTO!$X$15,ROW(AP327)-ROW(AP$15),0),0)</f>
        <v>0</v>
      </c>
      <c r="AQ327" s="632">
        <f ca="1">IF(AND($D327="Serviço",AQ$12&lt;&gt;0,$H327&gt;0,OR(AUTOEVENTO&lt;&gt;"manual",$M327&lt;&gt;1)),ROUND(OFFSET($P327,0,AQ$13),15-13*ORÇAMENTO!$AF$7)/$H327*OFFSET(ORÇAMENTO!$X$15,ROW(AQ327)-ROW(AQ$15),0),0)</f>
        <v>0</v>
      </c>
      <c r="AR327" s="632">
        <f ca="1">IF(AND($D327="Serviço",AR$12&lt;&gt;0,$H327&gt;0,OR(AUTOEVENTO&lt;&gt;"manual",$M327&lt;&gt;1)),ROUND(OFFSET($P327,0,AR$13),15-13*ORÇAMENTO!$AF$7)/$H327*OFFSET(ORÇAMENTO!$X$15,ROW(AR327)-ROW(AR$15),0),0)</f>
        <v>0</v>
      </c>
      <c r="AS327" s="633">
        <f ca="1">IF(AND($D327="Serviço",AS$12&lt;&gt;0,$H327&gt;0,OR(AUTOEVENTO&lt;&gt;"manual",$M327&lt;&gt;1)),ROUND(OFFSET($P327,0,AS$13),15-13*ORÇAMENTO!$AF$7)/$H327*OFFSET(ORÇAMENTO!$X$15,ROW(AS327)-ROW(AS$15),0),0)</f>
        <v>0</v>
      </c>
      <c r="AT327" s="632">
        <f ca="1">IF(AND($D327="Serviço",AT$12&lt;&gt;0,$H327&gt;0,OR(AUTOEVENTO&lt;&gt;"manual",$M327&lt;&gt;1)),ROUND(OFFSET($P327,0,AT$13),15-13*ORÇAMENTO!$AF$7)/$H327*OFFSET(ORÇAMENTO!$X$15,ROW(AT327)-ROW(AT$15),0),0)</f>
        <v>0</v>
      </c>
      <c r="AU327" s="632">
        <f ca="1">IF(AND($D327="Serviço",AU$12&lt;&gt;0,$H327&gt;0,OR(AUTOEVENTO&lt;&gt;"manual",$M327&lt;&gt;1)),ROUND(OFFSET($P327,0,AU$13),15-13*ORÇAMENTO!$AF$7)/$H327*OFFSET(ORÇAMENTO!$X$15,ROW(AU327)-ROW(AU$15),0),0)</f>
        <v>0</v>
      </c>
      <c r="AV327" s="632">
        <f ca="1">IF(AND($D327="Serviço",AV$12&lt;&gt;0,$H327&gt;0,OR(AUTOEVENTO&lt;&gt;"manual",$M327&lt;&gt;1)),ROUND(OFFSET($P327,0,AV$13),15-13*ORÇAMENTO!$AF$7)/$H327*OFFSET(ORÇAMENTO!$X$15,ROW(AV327)-ROW(AV$15),0),0)</f>
        <v>0</v>
      </c>
      <c r="AW327" s="632">
        <f ca="1">IF(AND($D327="Serviço",AW$12&lt;&gt;0,$H327&gt;0,OR(AUTOEVENTO&lt;&gt;"manual",$M327&lt;&gt;1)),ROUND(OFFSET($P327,0,AW$13),15-13*ORÇAMENTO!$AF$7)/$H327*OFFSET(ORÇAMENTO!$X$15,ROW(AW327)-ROW(AW$15),0),0)</f>
        <v>0</v>
      </c>
      <c r="AX327" s="632">
        <f ca="1">IF(AND($D327="Serviço",AX$12&lt;&gt;0,$H327&gt;0,OR(AUTOEVENTO&lt;&gt;"manual",$M327&lt;&gt;1)),ROUND(OFFSET($P327,0,AX$13),15-13*ORÇAMENTO!$AF$7)/$H327*OFFSET(ORÇAMENTO!$X$15,ROW(AX327)-ROW(AX$15),0),0)</f>
        <v>0</v>
      </c>
      <c r="AY327" s="632">
        <f ca="1">IF(AND($D327="Serviço",AY$12&lt;&gt;0,$H327&gt;0,OR(AUTOEVENTO&lt;&gt;"manual",$M327&lt;&gt;1)),ROUND(OFFSET($P327,0,AY$13),15-13*ORÇAMENTO!$AF$7)/$H327*OFFSET(ORÇAMENTO!$X$15,ROW(AY327)-ROW(AY$15),0),0)</f>
        <v>0</v>
      </c>
      <c r="AZ327" s="632">
        <f ca="1">IF(AND($D327="Serviço",AZ$12&lt;&gt;0,$H327&gt;0,OR(AUTOEVENTO&lt;&gt;"manual",$M327&lt;&gt;1)),ROUND(OFFSET($P327,0,AZ$13),15-13*ORÇAMENTO!$AF$7)/$H327*OFFSET(ORÇAMENTO!$X$15,ROW(AZ327)-ROW(AZ$15),0),0)</f>
        <v>0</v>
      </c>
      <c r="BA327" s="633">
        <f ca="1">IF(AND($D327="Serviço",BA$12&lt;&gt;0,$H327&gt;0,OR(AUTOEVENTO&lt;&gt;"manual",$M327&lt;&gt;1)),ROUND(OFFSET($P327,0,BA$13),15-13*ORÇAMENTO!$AF$7)/$H327*OFFSET(ORÇAMENTO!$X$15,ROW(BA327)-ROW(BA$15),0),0)</f>
        <v>0</v>
      </c>
      <c r="BC327" s="215">
        <f ca="1">IF($D327&lt;&gt;"Serviço",0,IF(AND(AUTOEVENTO="Manual",$M327=1),0,IF(OFFSET(CRONOPLE!$F$14,$M327,BC$13)="",10^12,OFFSET(CRONOPLE!$F$14,$M327,BC$13))))</f>
        <v>1000000000000</v>
      </c>
      <c r="BD327" s="215">
        <f ca="1">IF($D327&lt;&gt;"Serviço",0,IF(AND(AUTOEVENTO="Manual",$M327=1),0,IF(OFFSET(CRONOPLE!$F$14,$M327,BD$13)="",10^12,OFFSET(CRONOPLE!$F$14,$M327,BD$13))))</f>
        <v>1000000000000</v>
      </c>
      <c r="BE327" s="215">
        <f ca="1">IF($D327&lt;&gt;"Serviço",0,IF(AND(AUTOEVENTO="Manual",$M327=1),0,IF(OFFSET(CRONOPLE!$F$14,$M327,BE$13)="",10^12,OFFSET(CRONOPLE!$F$14,$M327,BE$13))))</f>
        <v>1000000000000</v>
      </c>
      <c r="BF327" s="215">
        <f ca="1">IF($D327&lt;&gt;"Serviço",0,IF(AND(AUTOEVENTO="Manual",$M327=1),0,IF(OFFSET(CRONOPLE!$F$14,$M327,BF$13)="",10^12,OFFSET(CRONOPLE!$F$14,$M327,BF$13))))</f>
        <v>1000000000000</v>
      </c>
      <c r="BG327" s="215">
        <f ca="1">IF($D327&lt;&gt;"Serviço",0,IF(AND(AUTOEVENTO="Manual",$M327=1),0,IF(OFFSET(CRONOPLE!$F$14,$M327,BG$13)="",10^12,OFFSET(CRONOPLE!$F$14,$M327,BG$13))))</f>
        <v>1000000000000</v>
      </c>
      <c r="BH327" s="215">
        <f ca="1">IF($D327&lt;&gt;"Serviço",0,IF(AND(AUTOEVENTO="Manual",$M327=1),0,IF(OFFSET(CRONOPLE!$F$14,$M327,BH$13)="",10^12,OFFSET(CRONOPLE!$F$14,$M327,BH$13))))</f>
        <v>1000000000000</v>
      </c>
      <c r="BI327" s="215">
        <f ca="1">IF($D327&lt;&gt;"Serviço",0,IF(AND(AUTOEVENTO="Manual",$M327=1),0,IF(OFFSET(CRONOPLE!$F$14,$M327,BI$13)="",10^12,OFFSET(CRONOPLE!$F$14,$M327,BI$13))))</f>
        <v>1000000000000</v>
      </c>
      <c r="BJ327" s="215">
        <f ca="1">IF($D327&lt;&gt;"Serviço",0,IF(AND(AUTOEVENTO="Manual",$M327=1),0,IF(OFFSET(CRONOPLE!$F$14,$M327,BJ$13)="",10^12,OFFSET(CRONOPLE!$F$14,$M327,BJ$13))))</f>
        <v>1000000000000</v>
      </c>
      <c r="BK327" s="215">
        <f ca="1">IF($D327&lt;&gt;"Serviço",0,IF(AND(AUTOEVENTO="Manual",$M327=1),0,IF(OFFSET(CRONOPLE!$F$14,$M327,BK$13)="",10^12,OFFSET(CRONOPLE!$F$14,$M327,BK$13))))</f>
        <v>1000000000000</v>
      </c>
      <c r="BL327" s="215">
        <f ca="1">IF($D327&lt;&gt;"Serviço",0,IF(AND(AUTOEVENTO="Manual",$M327=1),0,IF(OFFSET(CRONOPLE!$F$14,$M327,BL$13)="",10^12,OFFSET(CRONOPLE!$F$14,$M327,BL$13))))</f>
        <v>1000000000000</v>
      </c>
      <c r="BM327" s="215">
        <f ca="1">IF($D327&lt;&gt;"Serviço",0,IF(AND(AUTOEVENTO="Manual",$M327=1),0,IF(OFFSET(CRONOPLE!$F$14,$M327,BM$13)="",10^12,OFFSET(CRONOPLE!$F$14,$M327,BM$13))))</f>
        <v>1000000000000</v>
      </c>
      <c r="BN327" s="215">
        <f ca="1">IF($D327&lt;&gt;"Serviço",0,IF(AND(AUTOEVENTO="Manual",$M327=1),0,IF(OFFSET(CRONOPLE!$F$14,$M327,BN$13)="",10^12,OFFSET(CRONOPLE!$F$14,$M327,BN$13))))</f>
        <v>1000000000000</v>
      </c>
      <c r="BO327" s="215">
        <f ca="1">IF($D327&lt;&gt;"Serviço",0,IF(AND(AUTOEVENTO="Manual",$M327=1),0,IF(OFFSET(CRONOPLE!$F$14,$M327,BO$13)="",10^12,OFFSET(CRONOPLE!$F$14,$M327,BO$13))))</f>
        <v>1000000000000</v>
      </c>
      <c r="BP327" s="215">
        <f ca="1">IF($D327&lt;&gt;"Serviço",0,IF(AND(AUTOEVENTO="Manual",$M327=1),0,IF(OFFSET(CRONOPLE!$F$14,$M327,BP$13)="",10^12,OFFSET(CRONOPLE!$F$14,$M327,BP$13))))</f>
        <v>1000000000000</v>
      </c>
      <c r="BQ327" s="215">
        <f ca="1">IF($D327&lt;&gt;"Serviço",0,IF(AND(AUTOEVENTO="Manual",$M327=1),0,IF(OFFSET(CRONOPLE!$F$14,$M327,BQ$13)="",10^12,OFFSET(CRONOPLE!$F$14,$M327,BQ$13))))</f>
        <v>1000000000000</v>
      </c>
      <c r="BR327" s="215">
        <f ca="1">IF($D327&lt;&gt;"Serviço",0,IF(AND(AUTOEVENTO="Manual",$M327=1),0,IF(OFFSET(CRONOPLE!$F$14,$M327,BR$13)="",10^12,OFFSET(CRONOPLE!$F$14,$M327,BR$13))))</f>
        <v>1000000000000</v>
      </c>
      <c r="BS327" s="215">
        <f ca="1">IF($D327&lt;&gt;"Serviço",0,IF(AND(AUTOEVENTO="Manual",$M327=1),0,IF(OFFSET(CRONOPLE!$F$14,$M327,BS$13)="",10^12,OFFSET(CRONOPLE!$F$14,$M327,BS$13))))</f>
        <v>1000000000000</v>
      </c>
      <c r="BT327" s="215">
        <f ca="1">IF($D327&lt;&gt;"Serviço",0,IF(AND(AUTOEVENTO="Manual",$M327=1),0,IF(OFFSET(CRONOPLE!$F$14,$M327,BT$13)="",10^12,OFFSET(CRONOPLE!$F$14,$M327,BT$13))))</f>
        <v>1000000000000</v>
      </c>
      <c r="BV327" s="216">
        <f ca="1">IF($D327&lt;&gt;"Serviço",0,IF(OR(AND(AUTOEVENTO="Manual",$M327=1),$M327&gt;(ROW(PLE.lastrow)-ROW(PLE.firstrow))),0,IF(OFFSET(PLE!$G$14,$M327,BV$13)="",10^12,OFFSET(PLE!$G$14,$M327,BV$13))))</f>
        <v>1000000000000</v>
      </c>
      <c r="BW327" s="216">
        <f ca="1">IF($D327&lt;&gt;"Serviço",0,IF(OR(AND(AUTOEVENTO="Manual",$M327=1),$M327&gt;(ROW(PLE.lastrow)-ROW(PLE.firstrow))),0,IF(OFFSET(PLE!$G$14,$M327,BW$13)="",10^12,OFFSET(PLE!$G$14,$M327,BW$13))))</f>
        <v>1000000000000</v>
      </c>
      <c r="BX327" s="216">
        <f ca="1">IF($D327&lt;&gt;"Serviço",0,IF(OR(AND(AUTOEVENTO="Manual",$M327=1),$M327&gt;(ROW(PLE.lastrow)-ROW(PLE.firstrow))),0,IF(OFFSET(PLE!$G$14,$M327,BX$13)="",10^12,OFFSET(PLE!$G$14,$M327,BX$13))))</f>
        <v>1000000000000</v>
      </c>
      <c r="BY327" s="216">
        <f ca="1">IF($D327&lt;&gt;"Serviço",0,IF(OR(AND(AUTOEVENTO="Manual",$M327=1),$M327&gt;(ROW(PLE.lastrow)-ROW(PLE.firstrow))),0,IF(OFFSET(PLE!$G$14,$M327,BY$13)="",10^12,OFFSET(PLE!$G$14,$M327,BY$13))))</f>
        <v>1000000000000</v>
      </c>
      <c r="BZ327" s="216">
        <f ca="1">IF($D327&lt;&gt;"Serviço",0,IF(OR(AND(AUTOEVENTO="Manual",$M327=1),$M327&gt;(ROW(PLE.lastrow)-ROW(PLE.firstrow))),0,IF(OFFSET(PLE!$G$14,$M327,BZ$13)="",10^12,OFFSET(PLE!$G$14,$M327,BZ$13))))</f>
        <v>1000000000000</v>
      </c>
      <c r="CA327" s="216">
        <f ca="1">IF($D327&lt;&gt;"Serviço",0,IF(OR(AND(AUTOEVENTO="Manual",$M327=1),$M327&gt;(ROW(PLE.lastrow)-ROW(PLE.firstrow))),0,IF(OFFSET(PLE!$G$14,$M327,CA$13)="",10^12,OFFSET(PLE!$G$14,$M327,CA$13))))</f>
        <v>1000000000000</v>
      </c>
      <c r="CB327" s="216">
        <f ca="1">IF($D327&lt;&gt;"Serviço",0,IF(OR(AND(AUTOEVENTO="Manual",$M327=1),$M327&gt;(ROW(PLE.lastrow)-ROW(PLE.firstrow))),0,IF(OFFSET(PLE!$G$14,$M327,CB$13)="",10^12,OFFSET(PLE!$G$14,$M327,CB$13))))</f>
        <v>1000000000000</v>
      </c>
      <c r="CC327" s="216">
        <f ca="1">IF($D327&lt;&gt;"Serviço",0,IF(OR(AND(AUTOEVENTO="Manual",$M327=1),$M327&gt;(ROW(PLE.lastrow)-ROW(PLE.firstrow))),0,IF(OFFSET(PLE!$G$14,$M327,CC$13)="",10^12,OFFSET(PLE!$G$14,$M327,CC$13))))</f>
        <v>1000000000000</v>
      </c>
      <c r="CD327" s="216">
        <f ca="1">IF($D327&lt;&gt;"Serviço",0,IF(OR(AND(AUTOEVENTO="Manual",$M327=1),$M327&gt;(ROW(PLE.lastrow)-ROW(PLE.firstrow))),0,IF(OFFSET(PLE!$G$14,$M327,CD$13)="",10^12,OFFSET(PLE!$G$14,$M327,CD$13))))</f>
        <v>1000000000000</v>
      </c>
      <c r="CE327" s="216">
        <f ca="1">IF($D327&lt;&gt;"Serviço",0,IF(OR(AND(AUTOEVENTO="Manual",$M327=1),$M327&gt;(ROW(PLE.lastrow)-ROW(PLE.firstrow))),0,IF(OFFSET(PLE!$G$14,$M327,CE$13)="",10^12,OFFSET(PLE!$G$14,$M327,CE$13))))</f>
        <v>1000000000000</v>
      </c>
      <c r="CF327" s="216">
        <f ca="1">IF($D327&lt;&gt;"Serviço",0,IF(OR(AND(AUTOEVENTO="Manual",$M327=1),$M327&gt;(ROW(PLE.lastrow)-ROW(PLE.firstrow))),0,IF(OFFSET(PLE!$G$14,$M327,CF$13)="",10^12,OFFSET(PLE!$G$14,$M327,CF$13))))</f>
        <v>1000000000000</v>
      </c>
      <c r="CG327" s="216">
        <f ca="1">IF($D327&lt;&gt;"Serviço",0,IF(OR(AND(AUTOEVENTO="Manual",$M327=1),$M327&gt;(ROW(PLE.lastrow)-ROW(PLE.firstrow))),0,IF(OFFSET(PLE!$G$14,$M327,CG$13)="",10^12,OFFSET(PLE!$G$14,$M327,CG$13))))</f>
        <v>1000000000000</v>
      </c>
      <c r="CH327" s="216">
        <f ca="1">IF($D327&lt;&gt;"Serviço",0,IF(OR(AND(AUTOEVENTO="Manual",$M327=1),$M327&gt;(ROW(PLE.lastrow)-ROW(PLE.firstrow))),0,IF(OFFSET(PLE!$G$14,$M327,CH$13)="",10^12,OFFSET(PLE!$G$14,$M327,CH$13))))</f>
        <v>1000000000000</v>
      </c>
      <c r="CI327" s="216">
        <f ca="1">IF($D327&lt;&gt;"Serviço",0,IF(OR(AND(AUTOEVENTO="Manual",$M327=1),$M327&gt;(ROW(PLE.lastrow)-ROW(PLE.firstrow))),0,IF(OFFSET(PLE!$G$14,$M327,CI$13)="",10^12,OFFSET(PLE!$G$14,$M327,CI$13))))</f>
        <v>1000000000000</v>
      </c>
      <c r="CJ327" s="216">
        <f ca="1">IF($D327&lt;&gt;"Serviço",0,IF(OR(AND(AUTOEVENTO="Manual",$M327=1),$M327&gt;(ROW(PLE.lastrow)-ROW(PLE.firstrow))),0,IF(OFFSET(PLE!$G$14,$M327,CJ$13)="",10^12,OFFSET(PLE!$G$14,$M327,CJ$13))))</f>
        <v>1000000000000</v>
      </c>
      <c r="CK327" s="216">
        <f ca="1">IF($D327&lt;&gt;"Serviço",0,IF(OR(AND(AUTOEVENTO="Manual",$M327=1),$M327&gt;(ROW(PLE.lastrow)-ROW(PLE.firstrow))),0,IF(OFFSET(PLE!$G$14,$M327,CK$13)="",10^12,OFFSET(PLE!$G$14,$M327,CK$13))))</f>
        <v>1000000000000</v>
      </c>
      <c r="CL327" s="216">
        <f ca="1">IF($D327&lt;&gt;"Serviço",0,IF(OR(AND(AUTOEVENTO="Manual",$M327=1),$M327&gt;(ROW(PLE.lastrow)-ROW(PLE.firstrow))),0,IF(OFFSET(PLE!$G$14,$M327,CL$13)="",10^12,OFFSET(PLE!$G$14,$M327,CL$13))))</f>
        <v>1000000000000</v>
      </c>
      <c r="CM327" s="216">
        <f ca="1">IF($D327&lt;&gt;"Serviço",0,IF(OR(AND(AUTOEVENTO="Manual",$M327=1),$M327&gt;(ROW(PLE.lastrow)-ROW(PLE.firstrow))),0,IF(OFFSET(PLE!$G$14,$M327,CM$13)="",10^12,OFFSET(PLE!$G$14,$M327,CM$13))))</f>
        <v>1000000000000</v>
      </c>
    </row>
    <row r="328" spans="1:91" ht="13.2" x14ac:dyDescent="0.25">
      <c r="A328" s="9">
        <f t="shared" ca="1" si="13"/>
        <v>0</v>
      </c>
      <c r="B328" s="9" t="str">
        <f ca="1">OFFSET(ORÇAMENTO!C$15,ROW(B328)-ROW(B$15),0)</f>
        <v>S</v>
      </c>
      <c r="C328" s="9" t="str">
        <f ca="1">OFFSET(ORÇAMENTO!L$15,ROW(C328)-ROW(C$15),0)</f>
        <v/>
      </c>
      <c r="D328" s="145" t="str">
        <f ca="1">OFFSET(ORÇAMENTO!N$15,ROW(D328)-ROW(D$15),0)</f>
        <v>Serviço</v>
      </c>
      <c r="E328" s="205" t="str">
        <f ca="1">OFFSET(ORÇAMENTO!O$15,ROW(E328)-ROW(E$15),0)</f>
        <v>-</v>
      </c>
      <c r="F328" s="206" t="str">
        <f ca="1">OFFSET(ORÇAMENTO!R$15,ROW(F328)-ROW(F$15),0)</f>
        <v>(abra o arquivo 'Referência 05-2024.xls)</v>
      </c>
      <c r="G328" s="207" t="str">
        <f ca="1">IF($D328&lt;&gt;"Serviço","",OFFSET(ORÇAMENTO!S$15,ROW(G328)-ROW(G$15),0))</f>
        <v>-</v>
      </c>
      <c r="H328" s="151">
        <f ca="1">IF($D328&lt;&gt;"Serviço",0,IF(ACOMPANHAMENTO="BM",ROUND(OFFSET(ORÇAMENTO!AJ$15,ROW(H328)-ROW(H$15),0),15-13*ORÇAMENTO!$AF$7),SUMPRODUCT(($Q$12:$AI$12&lt;&gt;"")*ROUND($Q328:$AI328,15-13*ORÇAMENTO!$AF$7))))</f>
        <v>3</v>
      </c>
      <c r="I328" s="650"/>
      <c r="K328" s="208"/>
      <c r="L328" s="209" t="s">
        <v>257</v>
      </c>
      <c r="M328" s="210">
        <f ca="1">IF($D328&lt;&gt;"Serviço","",IF(AUTOEVENTO="manual",$A328,IF(ISERROR(MATCH($A328,$A$15:OFFSET($A328,-1,0),0)),MAX($M$15:OFFSET(M328,-1,0))+1,INDEX($M$15:OFFSET(M328,-1,0),MATCH($A328,$A$15:OFFSET($A328,-1,0),0)))))</f>
        <v>0</v>
      </c>
      <c r="N328" s="211" t="str">
        <f ca="1">IF($D328&lt;&gt;"Serviço","",IF(AUTOEVENTO="Manual",IF($A328=0,"&lt;-- defina o número do agrupador",OFFSET(EVENTOS!$D$14,$A328,0)),OFFSET($F$15,$A328,0)))</f>
        <v>&lt;-- defina o número do agrupador</v>
      </c>
      <c r="O328" s="212"/>
      <c r="Q328" s="212"/>
      <c r="R328" s="213"/>
      <c r="S328" s="213"/>
      <c r="T328" s="213"/>
      <c r="U328" s="213"/>
      <c r="V328" s="213"/>
      <c r="W328" s="213"/>
      <c r="X328" s="213"/>
      <c r="Y328" s="213"/>
      <c r="Z328" s="214"/>
      <c r="AA328" s="213"/>
      <c r="AB328" s="213"/>
      <c r="AC328" s="213"/>
      <c r="AD328" s="213"/>
      <c r="AE328" s="213"/>
      <c r="AF328" s="213"/>
      <c r="AG328" s="213"/>
      <c r="AH328" s="214"/>
      <c r="AJ328" s="631">
        <f ca="1">IF(AND($D328="Serviço",AJ$12&lt;&gt;0,$H328&gt;0,OR(AUTOEVENTO&lt;&gt;"manual",$M328&lt;&gt;1)),ROUND(OFFSET($P328,0,AJ$13),15-13*ORÇAMENTO!$AF$7)/$H328*OFFSET(ORÇAMENTO!$X$15,ROW(AJ328)-ROW(AJ$15),0),0)</f>
        <v>0</v>
      </c>
      <c r="AK328" s="632">
        <f ca="1">IF(AND($D328="Serviço",AK$12&lt;&gt;0,$H328&gt;0,OR(AUTOEVENTO&lt;&gt;"manual",$M328&lt;&gt;1)),ROUND(OFFSET($P328,0,AK$13),15-13*ORÇAMENTO!$AF$7)/$H328*OFFSET(ORÇAMENTO!$X$15,ROW(AK328)-ROW(AK$15),0),0)</f>
        <v>0</v>
      </c>
      <c r="AL328" s="632">
        <f ca="1">IF(AND($D328="Serviço",AL$12&lt;&gt;0,$H328&gt;0,OR(AUTOEVENTO&lt;&gt;"manual",$M328&lt;&gt;1)),ROUND(OFFSET($P328,0,AL$13),15-13*ORÇAMENTO!$AF$7)/$H328*OFFSET(ORÇAMENTO!$X$15,ROW(AL328)-ROW(AL$15),0),0)</f>
        <v>0</v>
      </c>
      <c r="AM328" s="632">
        <f ca="1">IF(AND($D328="Serviço",AM$12&lt;&gt;0,$H328&gt;0,OR(AUTOEVENTO&lt;&gt;"manual",$M328&lt;&gt;1)),ROUND(OFFSET($P328,0,AM$13),15-13*ORÇAMENTO!$AF$7)/$H328*OFFSET(ORÇAMENTO!$X$15,ROW(AM328)-ROW(AM$15),0),0)</f>
        <v>0</v>
      </c>
      <c r="AN328" s="632">
        <f ca="1">IF(AND($D328="Serviço",AN$12&lt;&gt;0,$H328&gt;0,OR(AUTOEVENTO&lt;&gt;"manual",$M328&lt;&gt;1)),ROUND(OFFSET($P328,0,AN$13),15-13*ORÇAMENTO!$AF$7)/$H328*OFFSET(ORÇAMENTO!$X$15,ROW(AN328)-ROW(AN$15),0),0)</f>
        <v>0</v>
      </c>
      <c r="AO328" s="632">
        <f ca="1">IF(AND($D328="Serviço",AO$12&lt;&gt;0,$H328&gt;0,OR(AUTOEVENTO&lt;&gt;"manual",$M328&lt;&gt;1)),ROUND(OFFSET($P328,0,AO$13),15-13*ORÇAMENTO!$AF$7)/$H328*OFFSET(ORÇAMENTO!$X$15,ROW(AO328)-ROW(AO$15),0),0)</f>
        <v>0</v>
      </c>
      <c r="AP328" s="632">
        <f ca="1">IF(AND($D328="Serviço",AP$12&lt;&gt;0,$H328&gt;0,OR(AUTOEVENTO&lt;&gt;"manual",$M328&lt;&gt;1)),ROUND(OFFSET($P328,0,AP$13),15-13*ORÇAMENTO!$AF$7)/$H328*OFFSET(ORÇAMENTO!$X$15,ROW(AP328)-ROW(AP$15),0),0)</f>
        <v>0</v>
      </c>
      <c r="AQ328" s="632">
        <f ca="1">IF(AND($D328="Serviço",AQ$12&lt;&gt;0,$H328&gt;0,OR(AUTOEVENTO&lt;&gt;"manual",$M328&lt;&gt;1)),ROUND(OFFSET($P328,0,AQ$13),15-13*ORÇAMENTO!$AF$7)/$H328*OFFSET(ORÇAMENTO!$X$15,ROW(AQ328)-ROW(AQ$15),0),0)</f>
        <v>0</v>
      </c>
      <c r="AR328" s="632">
        <f ca="1">IF(AND($D328="Serviço",AR$12&lt;&gt;0,$H328&gt;0,OR(AUTOEVENTO&lt;&gt;"manual",$M328&lt;&gt;1)),ROUND(OFFSET($P328,0,AR$13),15-13*ORÇAMENTO!$AF$7)/$H328*OFFSET(ORÇAMENTO!$X$15,ROW(AR328)-ROW(AR$15),0),0)</f>
        <v>0</v>
      </c>
      <c r="AS328" s="633">
        <f ca="1">IF(AND($D328="Serviço",AS$12&lt;&gt;0,$H328&gt;0,OR(AUTOEVENTO&lt;&gt;"manual",$M328&lt;&gt;1)),ROUND(OFFSET($P328,0,AS$13),15-13*ORÇAMENTO!$AF$7)/$H328*OFFSET(ORÇAMENTO!$X$15,ROW(AS328)-ROW(AS$15),0),0)</f>
        <v>0</v>
      </c>
      <c r="AT328" s="632">
        <f ca="1">IF(AND($D328="Serviço",AT$12&lt;&gt;0,$H328&gt;0,OR(AUTOEVENTO&lt;&gt;"manual",$M328&lt;&gt;1)),ROUND(OFFSET($P328,0,AT$13),15-13*ORÇAMENTO!$AF$7)/$H328*OFFSET(ORÇAMENTO!$X$15,ROW(AT328)-ROW(AT$15),0),0)</f>
        <v>0</v>
      </c>
      <c r="AU328" s="632">
        <f ca="1">IF(AND($D328="Serviço",AU$12&lt;&gt;0,$H328&gt;0,OR(AUTOEVENTO&lt;&gt;"manual",$M328&lt;&gt;1)),ROUND(OFFSET($P328,0,AU$13),15-13*ORÇAMENTO!$AF$7)/$H328*OFFSET(ORÇAMENTO!$X$15,ROW(AU328)-ROW(AU$15),0),0)</f>
        <v>0</v>
      </c>
      <c r="AV328" s="632">
        <f ca="1">IF(AND($D328="Serviço",AV$12&lt;&gt;0,$H328&gt;0,OR(AUTOEVENTO&lt;&gt;"manual",$M328&lt;&gt;1)),ROUND(OFFSET($P328,0,AV$13),15-13*ORÇAMENTO!$AF$7)/$H328*OFFSET(ORÇAMENTO!$X$15,ROW(AV328)-ROW(AV$15),0),0)</f>
        <v>0</v>
      </c>
      <c r="AW328" s="632">
        <f ca="1">IF(AND($D328="Serviço",AW$12&lt;&gt;0,$H328&gt;0,OR(AUTOEVENTO&lt;&gt;"manual",$M328&lt;&gt;1)),ROUND(OFFSET($P328,0,AW$13),15-13*ORÇAMENTO!$AF$7)/$H328*OFFSET(ORÇAMENTO!$X$15,ROW(AW328)-ROW(AW$15),0),0)</f>
        <v>0</v>
      </c>
      <c r="AX328" s="632">
        <f ca="1">IF(AND($D328="Serviço",AX$12&lt;&gt;0,$H328&gt;0,OR(AUTOEVENTO&lt;&gt;"manual",$M328&lt;&gt;1)),ROUND(OFFSET($P328,0,AX$13),15-13*ORÇAMENTO!$AF$7)/$H328*OFFSET(ORÇAMENTO!$X$15,ROW(AX328)-ROW(AX$15),0),0)</f>
        <v>0</v>
      </c>
      <c r="AY328" s="632">
        <f ca="1">IF(AND($D328="Serviço",AY$12&lt;&gt;0,$H328&gt;0,OR(AUTOEVENTO&lt;&gt;"manual",$M328&lt;&gt;1)),ROUND(OFFSET($P328,0,AY$13),15-13*ORÇAMENTO!$AF$7)/$H328*OFFSET(ORÇAMENTO!$X$15,ROW(AY328)-ROW(AY$15),0),0)</f>
        <v>0</v>
      </c>
      <c r="AZ328" s="632">
        <f ca="1">IF(AND($D328="Serviço",AZ$12&lt;&gt;0,$H328&gt;0,OR(AUTOEVENTO&lt;&gt;"manual",$M328&lt;&gt;1)),ROUND(OFFSET($P328,0,AZ$13),15-13*ORÇAMENTO!$AF$7)/$H328*OFFSET(ORÇAMENTO!$X$15,ROW(AZ328)-ROW(AZ$15),0),0)</f>
        <v>0</v>
      </c>
      <c r="BA328" s="633">
        <f ca="1">IF(AND($D328="Serviço",BA$12&lt;&gt;0,$H328&gt;0,OR(AUTOEVENTO&lt;&gt;"manual",$M328&lt;&gt;1)),ROUND(OFFSET($P328,0,BA$13),15-13*ORÇAMENTO!$AF$7)/$H328*OFFSET(ORÇAMENTO!$X$15,ROW(BA328)-ROW(BA$15),0),0)</f>
        <v>0</v>
      </c>
      <c r="BC328" s="215">
        <f ca="1">IF($D328&lt;&gt;"Serviço",0,IF(AND(AUTOEVENTO="Manual",$M328=1),0,IF(OFFSET(CRONOPLE!$F$14,$M328,BC$13)="",10^12,OFFSET(CRONOPLE!$F$14,$M328,BC$13))))</f>
        <v>1000000000000</v>
      </c>
      <c r="BD328" s="215">
        <f ca="1">IF($D328&lt;&gt;"Serviço",0,IF(AND(AUTOEVENTO="Manual",$M328=1),0,IF(OFFSET(CRONOPLE!$F$14,$M328,BD$13)="",10^12,OFFSET(CRONOPLE!$F$14,$M328,BD$13))))</f>
        <v>1000000000000</v>
      </c>
      <c r="BE328" s="215">
        <f ca="1">IF($D328&lt;&gt;"Serviço",0,IF(AND(AUTOEVENTO="Manual",$M328=1),0,IF(OFFSET(CRONOPLE!$F$14,$M328,BE$13)="",10^12,OFFSET(CRONOPLE!$F$14,$M328,BE$13))))</f>
        <v>1000000000000</v>
      </c>
      <c r="BF328" s="215">
        <f ca="1">IF($D328&lt;&gt;"Serviço",0,IF(AND(AUTOEVENTO="Manual",$M328=1),0,IF(OFFSET(CRONOPLE!$F$14,$M328,BF$13)="",10^12,OFFSET(CRONOPLE!$F$14,$M328,BF$13))))</f>
        <v>1000000000000</v>
      </c>
      <c r="BG328" s="215">
        <f ca="1">IF($D328&lt;&gt;"Serviço",0,IF(AND(AUTOEVENTO="Manual",$M328=1),0,IF(OFFSET(CRONOPLE!$F$14,$M328,BG$13)="",10^12,OFFSET(CRONOPLE!$F$14,$M328,BG$13))))</f>
        <v>1000000000000</v>
      </c>
      <c r="BH328" s="215">
        <f ca="1">IF($D328&lt;&gt;"Serviço",0,IF(AND(AUTOEVENTO="Manual",$M328=1),0,IF(OFFSET(CRONOPLE!$F$14,$M328,BH$13)="",10^12,OFFSET(CRONOPLE!$F$14,$M328,BH$13))))</f>
        <v>1000000000000</v>
      </c>
      <c r="BI328" s="215">
        <f ca="1">IF($D328&lt;&gt;"Serviço",0,IF(AND(AUTOEVENTO="Manual",$M328=1),0,IF(OFFSET(CRONOPLE!$F$14,$M328,BI$13)="",10^12,OFFSET(CRONOPLE!$F$14,$M328,BI$13))))</f>
        <v>1000000000000</v>
      </c>
      <c r="BJ328" s="215">
        <f ca="1">IF($D328&lt;&gt;"Serviço",0,IF(AND(AUTOEVENTO="Manual",$M328=1),0,IF(OFFSET(CRONOPLE!$F$14,$M328,BJ$13)="",10^12,OFFSET(CRONOPLE!$F$14,$M328,BJ$13))))</f>
        <v>1000000000000</v>
      </c>
      <c r="BK328" s="215">
        <f ca="1">IF($D328&lt;&gt;"Serviço",0,IF(AND(AUTOEVENTO="Manual",$M328=1),0,IF(OFFSET(CRONOPLE!$F$14,$M328,BK$13)="",10^12,OFFSET(CRONOPLE!$F$14,$M328,BK$13))))</f>
        <v>1000000000000</v>
      </c>
      <c r="BL328" s="215">
        <f ca="1">IF($D328&lt;&gt;"Serviço",0,IF(AND(AUTOEVENTO="Manual",$M328=1),0,IF(OFFSET(CRONOPLE!$F$14,$M328,BL$13)="",10^12,OFFSET(CRONOPLE!$F$14,$M328,BL$13))))</f>
        <v>1000000000000</v>
      </c>
      <c r="BM328" s="215">
        <f ca="1">IF($D328&lt;&gt;"Serviço",0,IF(AND(AUTOEVENTO="Manual",$M328=1),0,IF(OFFSET(CRONOPLE!$F$14,$M328,BM$13)="",10^12,OFFSET(CRONOPLE!$F$14,$M328,BM$13))))</f>
        <v>1000000000000</v>
      </c>
      <c r="BN328" s="215">
        <f ca="1">IF($D328&lt;&gt;"Serviço",0,IF(AND(AUTOEVENTO="Manual",$M328=1),0,IF(OFFSET(CRONOPLE!$F$14,$M328,BN$13)="",10^12,OFFSET(CRONOPLE!$F$14,$M328,BN$13))))</f>
        <v>1000000000000</v>
      </c>
      <c r="BO328" s="215">
        <f ca="1">IF($D328&lt;&gt;"Serviço",0,IF(AND(AUTOEVENTO="Manual",$M328=1),0,IF(OFFSET(CRONOPLE!$F$14,$M328,BO$13)="",10^12,OFFSET(CRONOPLE!$F$14,$M328,BO$13))))</f>
        <v>1000000000000</v>
      </c>
      <c r="BP328" s="215">
        <f ca="1">IF($D328&lt;&gt;"Serviço",0,IF(AND(AUTOEVENTO="Manual",$M328=1),0,IF(OFFSET(CRONOPLE!$F$14,$M328,BP$13)="",10^12,OFFSET(CRONOPLE!$F$14,$M328,BP$13))))</f>
        <v>1000000000000</v>
      </c>
      <c r="BQ328" s="215">
        <f ca="1">IF($D328&lt;&gt;"Serviço",0,IF(AND(AUTOEVENTO="Manual",$M328=1),0,IF(OFFSET(CRONOPLE!$F$14,$M328,BQ$13)="",10^12,OFFSET(CRONOPLE!$F$14,$M328,BQ$13))))</f>
        <v>1000000000000</v>
      </c>
      <c r="BR328" s="215">
        <f ca="1">IF($D328&lt;&gt;"Serviço",0,IF(AND(AUTOEVENTO="Manual",$M328=1),0,IF(OFFSET(CRONOPLE!$F$14,$M328,BR$13)="",10^12,OFFSET(CRONOPLE!$F$14,$M328,BR$13))))</f>
        <v>1000000000000</v>
      </c>
      <c r="BS328" s="215">
        <f ca="1">IF($D328&lt;&gt;"Serviço",0,IF(AND(AUTOEVENTO="Manual",$M328=1),0,IF(OFFSET(CRONOPLE!$F$14,$M328,BS$13)="",10^12,OFFSET(CRONOPLE!$F$14,$M328,BS$13))))</f>
        <v>1000000000000</v>
      </c>
      <c r="BT328" s="215">
        <f ca="1">IF($D328&lt;&gt;"Serviço",0,IF(AND(AUTOEVENTO="Manual",$M328=1),0,IF(OFFSET(CRONOPLE!$F$14,$M328,BT$13)="",10^12,OFFSET(CRONOPLE!$F$14,$M328,BT$13))))</f>
        <v>1000000000000</v>
      </c>
      <c r="BV328" s="216">
        <f ca="1">IF($D328&lt;&gt;"Serviço",0,IF(OR(AND(AUTOEVENTO="Manual",$M328=1),$M328&gt;(ROW(PLE.lastrow)-ROW(PLE.firstrow))),0,IF(OFFSET(PLE!$G$14,$M328,BV$13)="",10^12,OFFSET(PLE!$G$14,$M328,BV$13))))</f>
        <v>1000000000000</v>
      </c>
      <c r="BW328" s="216">
        <f ca="1">IF($D328&lt;&gt;"Serviço",0,IF(OR(AND(AUTOEVENTO="Manual",$M328=1),$M328&gt;(ROW(PLE.lastrow)-ROW(PLE.firstrow))),0,IF(OFFSET(PLE!$G$14,$M328,BW$13)="",10^12,OFFSET(PLE!$G$14,$M328,BW$13))))</f>
        <v>1000000000000</v>
      </c>
      <c r="BX328" s="216">
        <f ca="1">IF($D328&lt;&gt;"Serviço",0,IF(OR(AND(AUTOEVENTO="Manual",$M328=1),$M328&gt;(ROW(PLE.lastrow)-ROW(PLE.firstrow))),0,IF(OFFSET(PLE!$G$14,$M328,BX$13)="",10^12,OFFSET(PLE!$G$14,$M328,BX$13))))</f>
        <v>1000000000000</v>
      </c>
      <c r="BY328" s="216">
        <f ca="1">IF($D328&lt;&gt;"Serviço",0,IF(OR(AND(AUTOEVENTO="Manual",$M328=1),$M328&gt;(ROW(PLE.lastrow)-ROW(PLE.firstrow))),0,IF(OFFSET(PLE!$G$14,$M328,BY$13)="",10^12,OFFSET(PLE!$G$14,$M328,BY$13))))</f>
        <v>1000000000000</v>
      </c>
      <c r="BZ328" s="216">
        <f ca="1">IF($D328&lt;&gt;"Serviço",0,IF(OR(AND(AUTOEVENTO="Manual",$M328=1),$M328&gt;(ROW(PLE.lastrow)-ROW(PLE.firstrow))),0,IF(OFFSET(PLE!$G$14,$M328,BZ$13)="",10^12,OFFSET(PLE!$G$14,$M328,BZ$13))))</f>
        <v>1000000000000</v>
      </c>
      <c r="CA328" s="216">
        <f ca="1">IF($D328&lt;&gt;"Serviço",0,IF(OR(AND(AUTOEVENTO="Manual",$M328=1),$M328&gt;(ROW(PLE.lastrow)-ROW(PLE.firstrow))),0,IF(OFFSET(PLE!$G$14,$M328,CA$13)="",10^12,OFFSET(PLE!$G$14,$M328,CA$13))))</f>
        <v>1000000000000</v>
      </c>
      <c r="CB328" s="216">
        <f ca="1">IF($D328&lt;&gt;"Serviço",0,IF(OR(AND(AUTOEVENTO="Manual",$M328=1),$M328&gt;(ROW(PLE.lastrow)-ROW(PLE.firstrow))),0,IF(OFFSET(PLE!$G$14,$M328,CB$13)="",10^12,OFFSET(PLE!$G$14,$M328,CB$13))))</f>
        <v>1000000000000</v>
      </c>
      <c r="CC328" s="216">
        <f ca="1">IF($D328&lt;&gt;"Serviço",0,IF(OR(AND(AUTOEVENTO="Manual",$M328=1),$M328&gt;(ROW(PLE.lastrow)-ROW(PLE.firstrow))),0,IF(OFFSET(PLE!$G$14,$M328,CC$13)="",10^12,OFFSET(PLE!$G$14,$M328,CC$13))))</f>
        <v>1000000000000</v>
      </c>
      <c r="CD328" s="216">
        <f ca="1">IF($D328&lt;&gt;"Serviço",0,IF(OR(AND(AUTOEVENTO="Manual",$M328=1),$M328&gt;(ROW(PLE.lastrow)-ROW(PLE.firstrow))),0,IF(OFFSET(PLE!$G$14,$M328,CD$13)="",10^12,OFFSET(PLE!$G$14,$M328,CD$13))))</f>
        <v>1000000000000</v>
      </c>
      <c r="CE328" s="216">
        <f ca="1">IF($D328&lt;&gt;"Serviço",0,IF(OR(AND(AUTOEVENTO="Manual",$M328=1),$M328&gt;(ROW(PLE.lastrow)-ROW(PLE.firstrow))),0,IF(OFFSET(PLE!$G$14,$M328,CE$13)="",10^12,OFFSET(PLE!$G$14,$M328,CE$13))))</f>
        <v>1000000000000</v>
      </c>
      <c r="CF328" s="216">
        <f ca="1">IF($D328&lt;&gt;"Serviço",0,IF(OR(AND(AUTOEVENTO="Manual",$M328=1),$M328&gt;(ROW(PLE.lastrow)-ROW(PLE.firstrow))),0,IF(OFFSET(PLE!$G$14,$M328,CF$13)="",10^12,OFFSET(PLE!$G$14,$M328,CF$13))))</f>
        <v>1000000000000</v>
      </c>
      <c r="CG328" s="216">
        <f ca="1">IF($D328&lt;&gt;"Serviço",0,IF(OR(AND(AUTOEVENTO="Manual",$M328=1),$M328&gt;(ROW(PLE.lastrow)-ROW(PLE.firstrow))),0,IF(OFFSET(PLE!$G$14,$M328,CG$13)="",10^12,OFFSET(PLE!$G$14,$M328,CG$13))))</f>
        <v>1000000000000</v>
      </c>
      <c r="CH328" s="216">
        <f ca="1">IF($D328&lt;&gt;"Serviço",0,IF(OR(AND(AUTOEVENTO="Manual",$M328=1),$M328&gt;(ROW(PLE.lastrow)-ROW(PLE.firstrow))),0,IF(OFFSET(PLE!$G$14,$M328,CH$13)="",10^12,OFFSET(PLE!$G$14,$M328,CH$13))))</f>
        <v>1000000000000</v>
      </c>
      <c r="CI328" s="216">
        <f ca="1">IF($D328&lt;&gt;"Serviço",0,IF(OR(AND(AUTOEVENTO="Manual",$M328=1),$M328&gt;(ROW(PLE.lastrow)-ROW(PLE.firstrow))),0,IF(OFFSET(PLE!$G$14,$M328,CI$13)="",10^12,OFFSET(PLE!$G$14,$M328,CI$13))))</f>
        <v>1000000000000</v>
      </c>
      <c r="CJ328" s="216">
        <f ca="1">IF($D328&lt;&gt;"Serviço",0,IF(OR(AND(AUTOEVENTO="Manual",$M328=1),$M328&gt;(ROW(PLE.lastrow)-ROW(PLE.firstrow))),0,IF(OFFSET(PLE!$G$14,$M328,CJ$13)="",10^12,OFFSET(PLE!$G$14,$M328,CJ$13))))</f>
        <v>1000000000000</v>
      </c>
      <c r="CK328" s="216">
        <f ca="1">IF($D328&lt;&gt;"Serviço",0,IF(OR(AND(AUTOEVENTO="Manual",$M328=1),$M328&gt;(ROW(PLE.lastrow)-ROW(PLE.firstrow))),0,IF(OFFSET(PLE!$G$14,$M328,CK$13)="",10^12,OFFSET(PLE!$G$14,$M328,CK$13))))</f>
        <v>1000000000000</v>
      </c>
      <c r="CL328" s="216">
        <f ca="1">IF($D328&lt;&gt;"Serviço",0,IF(OR(AND(AUTOEVENTO="Manual",$M328=1),$M328&gt;(ROW(PLE.lastrow)-ROW(PLE.firstrow))),0,IF(OFFSET(PLE!$G$14,$M328,CL$13)="",10^12,OFFSET(PLE!$G$14,$M328,CL$13))))</f>
        <v>1000000000000</v>
      </c>
      <c r="CM328" s="216">
        <f ca="1">IF($D328&lt;&gt;"Serviço",0,IF(OR(AND(AUTOEVENTO="Manual",$M328=1),$M328&gt;(ROW(PLE.lastrow)-ROW(PLE.firstrow))),0,IF(OFFSET(PLE!$G$14,$M328,CM$13)="",10^12,OFFSET(PLE!$G$14,$M328,CM$13))))</f>
        <v>1000000000000</v>
      </c>
    </row>
    <row r="329" spans="1:91" ht="13.2" x14ac:dyDescent="0.25">
      <c r="A329" s="9">
        <f t="shared" ca="1" si="13"/>
        <v>0</v>
      </c>
      <c r="B329" s="9" t="str">
        <f ca="1">OFFSET(ORÇAMENTO!C$15,ROW(B329)-ROW(B$15),0)</f>
        <v>S</v>
      </c>
      <c r="C329" s="9" t="str">
        <f ca="1">OFFSET(ORÇAMENTO!L$15,ROW(C329)-ROW(C$15),0)</f>
        <v/>
      </c>
      <c r="D329" s="145" t="str">
        <f ca="1">OFFSET(ORÇAMENTO!N$15,ROW(D329)-ROW(D$15),0)</f>
        <v>Serviço</v>
      </c>
      <c r="E329" s="205" t="str">
        <f ca="1">OFFSET(ORÇAMENTO!O$15,ROW(E329)-ROW(E$15),0)</f>
        <v>-</v>
      </c>
      <c r="F329" s="206" t="str">
        <f ca="1">OFFSET(ORÇAMENTO!R$15,ROW(F329)-ROW(F$15),0)</f>
        <v>(abra o arquivo 'Referência 05-2024.xls)</v>
      </c>
      <c r="G329" s="207" t="str">
        <f ca="1">IF($D329&lt;&gt;"Serviço","",OFFSET(ORÇAMENTO!S$15,ROW(G329)-ROW(G$15),0))</f>
        <v>-</v>
      </c>
      <c r="H329" s="151">
        <f ca="1">IF($D329&lt;&gt;"Serviço",0,IF(ACOMPANHAMENTO="BM",ROUND(OFFSET(ORÇAMENTO!AJ$15,ROW(H329)-ROW(H$15),0),15-13*ORÇAMENTO!$AF$7),SUMPRODUCT(($Q$12:$AI$12&lt;&gt;"")*ROUND($Q329:$AI329,15-13*ORÇAMENTO!$AF$7))))</f>
        <v>2</v>
      </c>
      <c r="I329" s="650"/>
      <c r="K329" s="208"/>
      <c r="L329" s="209" t="s">
        <v>257</v>
      </c>
      <c r="M329" s="210">
        <f ca="1">IF($D329&lt;&gt;"Serviço","",IF(AUTOEVENTO="manual",$A329,IF(ISERROR(MATCH($A329,$A$15:OFFSET($A329,-1,0),0)),MAX($M$15:OFFSET(M329,-1,0))+1,INDEX($M$15:OFFSET(M329,-1,0),MATCH($A329,$A$15:OFFSET($A329,-1,0),0)))))</f>
        <v>0</v>
      </c>
      <c r="N329" s="211" t="str">
        <f ca="1">IF($D329&lt;&gt;"Serviço","",IF(AUTOEVENTO="Manual",IF($A329=0,"&lt;-- defina o número do agrupador",OFFSET(EVENTOS!$D$14,$A329,0)),OFFSET($F$15,$A329,0)))</f>
        <v>&lt;-- defina o número do agrupador</v>
      </c>
      <c r="O329" s="212"/>
      <c r="Q329" s="212"/>
      <c r="R329" s="213"/>
      <c r="S329" s="213"/>
      <c r="T329" s="213"/>
      <c r="U329" s="213"/>
      <c r="V329" s="213"/>
      <c r="W329" s="213"/>
      <c r="X329" s="213"/>
      <c r="Y329" s="213"/>
      <c r="Z329" s="214"/>
      <c r="AA329" s="213"/>
      <c r="AB329" s="213"/>
      <c r="AC329" s="213"/>
      <c r="AD329" s="213"/>
      <c r="AE329" s="213"/>
      <c r="AF329" s="213"/>
      <c r="AG329" s="213"/>
      <c r="AH329" s="214"/>
      <c r="AJ329" s="631">
        <f ca="1">IF(AND($D329="Serviço",AJ$12&lt;&gt;0,$H329&gt;0,OR(AUTOEVENTO&lt;&gt;"manual",$M329&lt;&gt;1)),ROUND(OFFSET($P329,0,AJ$13),15-13*ORÇAMENTO!$AF$7)/$H329*OFFSET(ORÇAMENTO!$X$15,ROW(AJ329)-ROW(AJ$15),0),0)</f>
        <v>0</v>
      </c>
      <c r="AK329" s="632">
        <f ca="1">IF(AND($D329="Serviço",AK$12&lt;&gt;0,$H329&gt;0,OR(AUTOEVENTO&lt;&gt;"manual",$M329&lt;&gt;1)),ROUND(OFFSET($P329,0,AK$13),15-13*ORÇAMENTO!$AF$7)/$H329*OFFSET(ORÇAMENTO!$X$15,ROW(AK329)-ROW(AK$15),0),0)</f>
        <v>0</v>
      </c>
      <c r="AL329" s="632">
        <f ca="1">IF(AND($D329="Serviço",AL$12&lt;&gt;0,$H329&gt;0,OR(AUTOEVENTO&lt;&gt;"manual",$M329&lt;&gt;1)),ROUND(OFFSET($P329,0,AL$13),15-13*ORÇAMENTO!$AF$7)/$H329*OFFSET(ORÇAMENTO!$X$15,ROW(AL329)-ROW(AL$15),0),0)</f>
        <v>0</v>
      </c>
      <c r="AM329" s="632">
        <f ca="1">IF(AND($D329="Serviço",AM$12&lt;&gt;0,$H329&gt;0,OR(AUTOEVENTO&lt;&gt;"manual",$M329&lt;&gt;1)),ROUND(OFFSET($P329,0,AM$13),15-13*ORÇAMENTO!$AF$7)/$H329*OFFSET(ORÇAMENTO!$X$15,ROW(AM329)-ROW(AM$15),0),0)</f>
        <v>0</v>
      </c>
      <c r="AN329" s="632">
        <f ca="1">IF(AND($D329="Serviço",AN$12&lt;&gt;0,$H329&gt;0,OR(AUTOEVENTO&lt;&gt;"manual",$M329&lt;&gt;1)),ROUND(OFFSET($P329,0,AN$13),15-13*ORÇAMENTO!$AF$7)/$H329*OFFSET(ORÇAMENTO!$X$15,ROW(AN329)-ROW(AN$15),0),0)</f>
        <v>0</v>
      </c>
      <c r="AO329" s="632">
        <f ca="1">IF(AND($D329="Serviço",AO$12&lt;&gt;0,$H329&gt;0,OR(AUTOEVENTO&lt;&gt;"manual",$M329&lt;&gt;1)),ROUND(OFFSET($P329,0,AO$13),15-13*ORÇAMENTO!$AF$7)/$H329*OFFSET(ORÇAMENTO!$X$15,ROW(AO329)-ROW(AO$15),0),0)</f>
        <v>0</v>
      </c>
      <c r="AP329" s="632">
        <f ca="1">IF(AND($D329="Serviço",AP$12&lt;&gt;0,$H329&gt;0,OR(AUTOEVENTO&lt;&gt;"manual",$M329&lt;&gt;1)),ROUND(OFFSET($P329,0,AP$13),15-13*ORÇAMENTO!$AF$7)/$H329*OFFSET(ORÇAMENTO!$X$15,ROW(AP329)-ROW(AP$15),0),0)</f>
        <v>0</v>
      </c>
      <c r="AQ329" s="632">
        <f ca="1">IF(AND($D329="Serviço",AQ$12&lt;&gt;0,$H329&gt;0,OR(AUTOEVENTO&lt;&gt;"manual",$M329&lt;&gt;1)),ROUND(OFFSET($P329,0,AQ$13),15-13*ORÇAMENTO!$AF$7)/$H329*OFFSET(ORÇAMENTO!$X$15,ROW(AQ329)-ROW(AQ$15),0),0)</f>
        <v>0</v>
      </c>
      <c r="AR329" s="632">
        <f ca="1">IF(AND($D329="Serviço",AR$12&lt;&gt;0,$H329&gt;0,OR(AUTOEVENTO&lt;&gt;"manual",$M329&lt;&gt;1)),ROUND(OFFSET($P329,0,AR$13),15-13*ORÇAMENTO!$AF$7)/$H329*OFFSET(ORÇAMENTO!$X$15,ROW(AR329)-ROW(AR$15),0),0)</f>
        <v>0</v>
      </c>
      <c r="AS329" s="633">
        <f ca="1">IF(AND($D329="Serviço",AS$12&lt;&gt;0,$H329&gt;0,OR(AUTOEVENTO&lt;&gt;"manual",$M329&lt;&gt;1)),ROUND(OFFSET($P329,0,AS$13),15-13*ORÇAMENTO!$AF$7)/$H329*OFFSET(ORÇAMENTO!$X$15,ROW(AS329)-ROW(AS$15),0),0)</f>
        <v>0</v>
      </c>
      <c r="AT329" s="632">
        <f ca="1">IF(AND($D329="Serviço",AT$12&lt;&gt;0,$H329&gt;0,OR(AUTOEVENTO&lt;&gt;"manual",$M329&lt;&gt;1)),ROUND(OFFSET($P329,0,AT$13),15-13*ORÇAMENTO!$AF$7)/$H329*OFFSET(ORÇAMENTO!$X$15,ROW(AT329)-ROW(AT$15),0),0)</f>
        <v>0</v>
      </c>
      <c r="AU329" s="632">
        <f ca="1">IF(AND($D329="Serviço",AU$12&lt;&gt;0,$H329&gt;0,OR(AUTOEVENTO&lt;&gt;"manual",$M329&lt;&gt;1)),ROUND(OFFSET($P329,0,AU$13),15-13*ORÇAMENTO!$AF$7)/$H329*OFFSET(ORÇAMENTO!$X$15,ROW(AU329)-ROW(AU$15),0),0)</f>
        <v>0</v>
      </c>
      <c r="AV329" s="632">
        <f ca="1">IF(AND($D329="Serviço",AV$12&lt;&gt;0,$H329&gt;0,OR(AUTOEVENTO&lt;&gt;"manual",$M329&lt;&gt;1)),ROUND(OFFSET($P329,0,AV$13),15-13*ORÇAMENTO!$AF$7)/$H329*OFFSET(ORÇAMENTO!$X$15,ROW(AV329)-ROW(AV$15),0),0)</f>
        <v>0</v>
      </c>
      <c r="AW329" s="632">
        <f ca="1">IF(AND($D329="Serviço",AW$12&lt;&gt;0,$H329&gt;0,OR(AUTOEVENTO&lt;&gt;"manual",$M329&lt;&gt;1)),ROUND(OFFSET($P329,0,AW$13),15-13*ORÇAMENTO!$AF$7)/$H329*OFFSET(ORÇAMENTO!$X$15,ROW(AW329)-ROW(AW$15),0),0)</f>
        <v>0</v>
      </c>
      <c r="AX329" s="632">
        <f ca="1">IF(AND($D329="Serviço",AX$12&lt;&gt;0,$H329&gt;0,OR(AUTOEVENTO&lt;&gt;"manual",$M329&lt;&gt;1)),ROUND(OFFSET($P329,0,AX$13),15-13*ORÇAMENTO!$AF$7)/$H329*OFFSET(ORÇAMENTO!$X$15,ROW(AX329)-ROW(AX$15),0),0)</f>
        <v>0</v>
      </c>
      <c r="AY329" s="632">
        <f ca="1">IF(AND($D329="Serviço",AY$12&lt;&gt;0,$H329&gt;0,OR(AUTOEVENTO&lt;&gt;"manual",$M329&lt;&gt;1)),ROUND(OFFSET($P329,0,AY$13),15-13*ORÇAMENTO!$AF$7)/$H329*OFFSET(ORÇAMENTO!$X$15,ROW(AY329)-ROW(AY$15),0),0)</f>
        <v>0</v>
      </c>
      <c r="AZ329" s="632">
        <f ca="1">IF(AND($D329="Serviço",AZ$12&lt;&gt;0,$H329&gt;0,OR(AUTOEVENTO&lt;&gt;"manual",$M329&lt;&gt;1)),ROUND(OFFSET($P329,0,AZ$13),15-13*ORÇAMENTO!$AF$7)/$H329*OFFSET(ORÇAMENTO!$X$15,ROW(AZ329)-ROW(AZ$15),0),0)</f>
        <v>0</v>
      </c>
      <c r="BA329" s="633">
        <f ca="1">IF(AND($D329="Serviço",BA$12&lt;&gt;0,$H329&gt;0,OR(AUTOEVENTO&lt;&gt;"manual",$M329&lt;&gt;1)),ROUND(OFFSET($P329,0,BA$13),15-13*ORÇAMENTO!$AF$7)/$H329*OFFSET(ORÇAMENTO!$X$15,ROW(BA329)-ROW(BA$15),0),0)</f>
        <v>0</v>
      </c>
      <c r="BC329" s="215">
        <f ca="1">IF($D329&lt;&gt;"Serviço",0,IF(AND(AUTOEVENTO="Manual",$M329=1),0,IF(OFFSET(CRONOPLE!$F$14,$M329,BC$13)="",10^12,OFFSET(CRONOPLE!$F$14,$M329,BC$13))))</f>
        <v>1000000000000</v>
      </c>
      <c r="BD329" s="215">
        <f ca="1">IF($D329&lt;&gt;"Serviço",0,IF(AND(AUTOEVENTO="Manual",$M329=1),0,IF(OFFSET(CRONOPLE!$F$14,$M329,BD$13)="",10^12,OFFSET(CRONOPLE!$F$14,$M329,BD$13))))</f>
        <v>1000000000000</v>
      </c>
      <c r="BE329" s="215">
        <f ca="1">IF($D329&lt;&gt;"Serviço",0,IF(AND(AUTOEVENTO="Manual",$M329=1),0,IF(OFFSET(CRONOPLE!$F$14,$M329,BE$13)="",10^12,OFFSET(CRONOPLE!$F$14,$M329,BE$13))))</f>
        <v>1000000000000</v>
      </c>
      <c r="BF329" s="215">
        <f ca="1">IF($D329&lt;&gt;"Serviço",0,IF(AND(AUTOEVENTO="Manual",$M329=1),0,IF(OFFSET(CRONOPLE!$F$14,$M329,BF$13)="",10^12,OFFSET(CRONOPLE!$F$14,$M329,BF$13))))</f>
        <v>1000000000000</v>
      </c>
      <c r="BG329" s="215">
        <f ca="1">IF($D329&lt;&gt;"Serviço",0,IF(AND(AUTOEVENTO="Manual",$M329=1),0,IF(OFFSET(CRONOPLE!$F$14,$M329,BG$13)="",10^12,OFFSET(CRONOPLE!$F$14,$M329,BG$13))))</f>
        <v>1000000000000</v>
      </c>
      <c r="BH329" s="215">
        <f ca="1">IF($D329&lt;&gt;"Serviço",0,IF(AND(AUTOEVENTO="Manual",$M329=1),0,IF(OFFSET(CRONOPLE!$F$14,$M329,BH$13)="",10^12,OFFSET(CRONOPLE!$F$14,$M329,BH$13))))</f>
        <v>1000000000000</v>
      </c>
      <c r="BI329" s="215">
        <f ca="1">IF($D329&lt;&gt;"Serviço",0,IF(AND(AUTOEVENTO="Manual",$M329=1),0,IF(OFFSET(CRONOPLE!$F$14,$M329,BI$13)="",10^12,OFFSET(CRONOPLE!$F$14,$M329,BI$13))))</f>
        <v>1000000000000</v>
      </c>
      <c r="BJ329" s="215">
        <f ca="1">IF($D329&lt;&gt;"Serviço",0,IF(AND(AUTOEVENTO="Manual",$M329=1),0,IF(OFFSET(CRONOPLE!$F$14,$M329,BJ$13)="",10^12,OFFSET(CRONOPLE!$F$14,$M329,BJ$13))))</f>
        <v>1000000000000</v>
      </c>
      <c r="BK329" s="215">
        <f ca="1">IF($D329&lt;&gt;"Serviço",0,IF(AND(AUTOEVENTO="Manual",$M329=1),0,IF(OFFSET(CRONOPLE!$F$14,$M329,BK$13)="",10^12,OFFSET(CRONOPLE!$F$14,$M329,BK$13))))</f>
        <v>1000000000000</v>
      </c>
      <c r="BL329" s="215">
        <f ca="1">IF($D329&lt;&gt;"Serviço",0,IF(AND(AUTOEVENTO="Manual",$M329=1),0,IF(OFFSET(CRONOPLE!$F$14,$M329,BL$13)="",10^12,OFFSET(CRONOPLE!$F$14,$M329,BL$13))))</f>
        <v>1000000000000</v>
      </c>
      <c r="BM329" s="215">
        <f ca="1">IF($D329&lt;&gt;"Serviço",0,IF(AND(AUTOEVENTO="Manual",$M329=1),0,IF(OFFSET(CRONOPLE!$F$14,$M329,BM$13)="",10^12,OFFSET(CRONOPLE!$F$14,$M329,BM$13))))</f>
        <v>1000000000000</v>
      </c>
      <c r="BN329" s="215">
        <f ca="1">IF($D329&lt;&gt;"Serviço",0,IF(AND(AUTOEVENTO="Manual",$M329=1),0,IF(OFFSET(CRONOPLE!$F$14,$M329,BN$13)="",10^12,OFFSET(CRONOPLE!$F$14,$M329,BN$13))))</f>
        <v>1000000000000</v>
      </c>
      <c r="BO329" s="215">
        <f ca="1">IF($D329&lt;&gt;"Serviço",0,IF(AND(AUTOEVENTO="Manual",$M329=1),0,IF(OFFSET(CRONOPLE!$F$14,$M329,BO$13)="",10^12,OFFSET(CRONOPLE!$F$14,$M329,BO$13))))</f>
        <v>1000000000000</v>
      </c>
      <c r="BP329" s="215">
        <f ca="1">IF($D329&lt;&gt;"Serviço",0,IF(AND(AUTOEVENTO="Manual",$M329=1),0,IF(OFFSET(CRONOPLE!$F$14,$M329,BP$13)="",10^12,OFFSET(CRONOPLE!$F$14,$M329,BP$13))))</f>
        <v>1000000000000</v>
      </c>
      <c r="BQ329" s="215">
        <f ca="1">IF($D329&lt;&gt;"Serviço",0,IF(AND(AUTOEVENTO="Manual",$M329=1),0,IF(OFFSET(CRONOPLE!$F$14,$M329,BQ$13)="",10^12,OFFSET(CRONOPLE!$F$14,$M329,BQ$13))))</f>
        <v>1000000000000</v>
      </c>
      <c r="BR329" s="215">
        <f ca="1">IF($D329&lt;&gt;"Serviço",0,IF(AND(AUTOEVENTO="Manual",$M329=1),0,IF(OFFSET(CRONOPLE!$F$14,$M329,BR$13)="",10^12,OFFSET(CRONOPLE!$F$14,$M329,BR$13))))</f>
        <v>1000000000000</v>
      </c>
      <c r="BS329" s="215">
        <f ca="1">IF($D329&lt;&gt;"Serviço",0,IF(AND(AUTOEVENTO="Manual",$M329=1),0,IF(OFFSET(CRONOPLE!$F$14,$M329,BS$13)="",10^12,OFFSET(CRONOPLE!$F$14,$M329,BS$13))))</f>
        <v>1000000000000</v>
      </c>
      <c r="BT329" s="215">
        <f ca="1">IF($D329&lt;&gt;"Serviço",0,IF(AND(AUTOEVENTO="Manual",$M329=1),0,IF(OFFSET(CRONOPLE!$F$14,$M329,BT$13)="",10^12,OFFSET(CRONOPLE!$F$14,$M329,BT$13))))</f>
        <v>1000000000000</v>
      </c>
      <c r="BV329" s="216">
        <f ca="1">IF($D329&lt;&gt;"Serviço",0,IF(OR(AND(AUTOEVENTO="Manual",$M329=1),$M329&gt;(ROW(PLE.lastrow)-ROW(PLE.firstrow))),0,IF(OFFSET(PLE!$G$14,$M329,BV$13)="",10^12,OFFSET(PLE!$G$14,$M329,BV$13))))</f>
        <v>1000000000000</v>
      </c>
      <c r="BW329" s="216">
        <f ca="1">IF($D329&lt;&gt;"Serviço",0,IF(OR(AND(AUTOEVENTO="Manual",$M329=1),$M329&gt;(ROW(PLE.lastrow)-ROW(PLE.firstrow))),0,IF(OFFSET(PLE!$G$14,$M329,BW$13)="",10^12,OFFSET(PLE!$G$14,$M329,BW$13))))</f>
        <v>1000000000000</v>
      </c>
      <c r="BX329" s="216">
        <f ca="1">IF($D329&lt;&gt;"Serviço",0,IF(OR(AND(AUTOEVENTO="Manual",$M329=1),$M329&gt;(ROW(PLE.lastrow)-ROW(PLE.firstrow))),0,IF(OFFSET(PLE!$G$14,$M329,BX$13)="",10^12,OFFSET(PLE!$G$14,$M329,BX$13))))</f>
        <v>1000000000000</v>
      </c>
      <c r="BY329" s="216">
        <f ca="1">IF($D329&lt;&gt;"Serviço",0,IF(OR(AND(AUTOEVENTO="Manual",$M329=1),$M329&gt;(ROW(PLE.lastrow)-ROW(PLE.firstrow))),0,IF(OFFSET(PLE!$G$14,$M329,BY$13)="",10^12,OFFSET(PLE!$G$14,$M329,BY$13))))</f>
        <v>1000000000000</v>
      </c>
      <c r="BZ329" s="216">
        <f ca="1">IF($D329&lt;&gt;"Serviço",0,IF(OR(AND(AUTOEVENTO="Manual",$M329=1),$M329&gt;(ROW(PLE.lastrow)-ROW(PLE.firstrow))),0,IF(OFFSET(PLE!$G$14,$M329,BZ$13)="",10^12,OFFSET(PLE!$G$14,$M329,BZ$13))))</f>
        <v>1000000000000</v>
      </c>
      <c r="CA329" s="216">
        <f ca="1">IF($D329&lt;&gt;"Serviço",0,IF(OR(AND(AUTOEVENTO="Manual",$M329=1),$M329&gt;(ROW(PLE.lastrow)-ROW(PLE.firstrow))),0,IF(OFFSET(PLE!$G$14,$M329,CA$13)="",10^12,OFFSET(PLE!$G$14,$M329,CA$13))))</f>
        <v>1000000000000</v>
      </c>
      <c r="CB329" s="216">
        <f ca="1">IF($D329&lt;&gt;"Serviço",0,IF(OR(AND(AUTOEVENTO="Manual",$M329=1),$M329&gt;(ROW(PLE.lastrow)-ROW(PLE.firstrow))),0,IF(OFFSET(PLE!$G$14,$M329,CB$13)="",10^12,OFFSET(PLE!$G$14,$M329,CB$13))))</f>
        <v>1000000000000</v>
      </c>
      <c r="CC329" s="216">
        <f ca="1">IF($D329&lt;&gt;"Serviço",0,IF(OR(AND(AUTOEVENTO="Manual",$M329=1),$M329&gt;(ROW(PLE.lastrow)-ROW(PLE.firstrow))),0,IF(OFFSET(PLE!$G$14,$M329,CC$13)="",10^12,OFFSET(PLE!$G$14,$M329,CC$13))))</f>
        <v>1000000000000</v>
      </c>
      <c r="CD329" s="216">
        <f ca="1">IF($D329&lt;&gt;"Serviço",0,IF(OR(AND(AUTOEVENTO="Manual",$M329=1),$M329&gt;(ROW(PLE.lastrow)-ROW(PLE.firstrow))),0,IF(OFFSET(PLE!$G$14,$M329,CD$13)="",10^12,OFFSET(PLE!$G$14,$M329,CD$13))))</f>
        <v>1000000000000</v>
      </c>
      <c r="CE329" s="216">
        <f ca="1">IF($D329&lt;&gt;"Serviço",0,IF(OR(AND(AUTOEVENTO="Manual",$M329=1),$M329&gt;(ROW(PLE.lastrow)-ROW(PLE.firstrow))),0,IF(OFFSET(PLE!$G$14,$M329,CE$13)="",10^12,OFFSET(PLE!$G$14,$M329,CE$13))))</f>
        <v>1000000000000</v>
      </c>
      <c r="CF329" s="216">
        <f ca="1">IF($D329&lt;&gt;"Serviço",0,IF(OR(AND(AUTOEVENTO="Manual",$M329=1),$M329&gt;(ROW(PLE.lastrow)-ROW(PLE.firstrow))),0,IF(OFFSET(PLE!$G$14,$M329,CF$13)="",10^12,OFFSET(PLE!$G$14,$M329,CF$13))))</f>
        <v>1000000000000</v>
      </c>
      <c r="CG329" s="216">
        <f ca="1">IF($D329&lt;&gt;"Serviço",0,IF(OR(AND(AUTOEVENTO="Manual",$M329=1),$M329&gt;(ROW(PLE.lastrow)-ROW(PLE.firstrow))),0,IF(OFFSET(PLE!$G$14,$M329,CG$13)="",10^12,OFFSET(PLE!$G$14,$M329,CG$13))))</f>
        <v>1000000000000</v>
      </c>
      <c r="CH329" s="216">
        <f ca="1">IF($D329&lt;&gt;"Serviço",0,IF(OR(AND(AUTOEVENTO="Manual",$M329=1),$M329&gt;(ROW(PLE.lastrow)-ROW(PLE.firstrow))),0,IF(OFFSET(PLE!$G$14,$M329,CH$13)="",10^12,OFFSET(PLE!$G$14,$M329,CH$13))))</f>
        <v>1000000000000</v>
      </c>
      <c r="CI329" s="216">
        <f ca="1">IF($D329&lt;&gt;"Serviço",0,IF(OR(AND(AUTOEVENTO="Manual",$M329=1),$M329&gt;(ROW(PLE.lastrow)-ROW(PLE.firstrow))),0,IF(OFFSET(PLE!$G$14,$M329,CI$13)="",10^12,OFFSET(PLE!$G$14,$M329,CI$13))))</f>
        <v>1000000000000</v>
      </c>
      <c r="CJ329" s="216">
        <f ca="1">IF($D329&lt;&gt;"Serviço",0,IF(OR(AND(AUTOEVENTO="Manual",$M329=1),$M329&gt;(ROW(PLE.lastrow)-ROW(PLE.firstrow))),0,IF(OFFSET(PLE!$G$14,$M329,CJ$13)="",10^12,OFFSET(PLE!$G$14,$M329,CJ$13))))</f>
        <v>1000000000000</v>
      </c>
      <c r="CK329" s="216">
        <f ca="1">IF($D329&lt;&gt;"Serviço",0,IF(OR(AND(AUTOEVENTO="Manual",$M329=1),$M329&gt;(ROW(PLE.lastrow)-ROW(PLE.firstrow))),0,IF(OFFSET(PLE!$G$14,$M329,CK$13)="",10^12,OFFSET(PLE!$G$14,$M329,CK$13))))</f>
        <v>1000000000000</v>
      </c>
      <c r="CL329" s="216">
        <f ca="1">IF($D329&lt;&gt;"Serviço",0,IF(OR(AND(AUTOEVENTO="Manual",$M329=1),$M329&gt;(ROW(PLE.lastrow)-ROW(PLE.firstrow))),0,IF(OFFSET(PLE!$G$14,$M329,CL$13)="",10^12,OFFSET(PLE!$G$14,$M329,CL$13))))</f>
        <v>1000000000000</v>
      </c>
      <c r="CM329" s="216">
        <f ca="1">IF($D329&lt;&gt;"Serviço",0,IF(OR(AND(AUTOEVENTO="Manual",$M329=1),$M329&gt;(ROW(PLE.lastrow)-ROW(PLE.firstrow))),0,IF(OFFSET(PLE!$G$14,$M329,CM$13)="",10^12,OFFSET(PLE!$G$14,$M329,CM$13))))</f>
        <v>1000000000000</v>
      </c>
    </row>
    <row r="330" spans="1:91" ht="13.2" x14ac:dyDescent="0.25">
      <c r="A330" s="9">
        <f t="shared" ca="1" si="13"/>
        <v>0</v>
      </c>
      <c r="B330" s="9" t="str">
        <f ca="1">OFFSET(ORÇAMENTO!C$15,ROW(B330)-ROW(B$15),0)</f>
        <v>S</v>
      </c>
      <c r="C330" s="9" t="str">
        <f ca="1">OFFSET(ORÇAMENTO!L$15,ROW(C330)-ROW(C$15),0)</f>
        <v/>
      </c>
      <c r="D330" s="145" t="str">
        <f ca="1">OFFSET(ORÇAMENTO!N$15,ROW(D330)-ROW(D$15),0)</f>
        <v>Serviço</v>
      </c>
      <c r="E330" s="205" t="str">
        <f ca="1">OFFSET(ORÇAMENTO!O$15,ROW(E330)-ROW(E$15),0)</f>
        <v>-</v>
      </c>
      <c r="F330" s="206" t="str">
        <f ca="1">OFFSET(ORÇAMENTO!R$15,ROW(F330)-ROW(F$15),0)</f>
        <v>(abra o arquivo 'Referência 05-2024.xls)</v>
      </c>
      <c r="G330" s="207" t="str">
        <f ca="1">IF($D330&lt;&gt;"Serviço","",OFFSET(ORÇAMENTO!S$15,ROW(G330)-ROW(G$15),0))</f>
        <v>-</v>
      </c>
      <c r="H330" s="151">
        <f ca="1">IF($D330&lt;&gt;"Serviço",0,IF(ACOMPANHAMENTO="BM",ROUND(OFFSET(ORÇAMENTO!AJ$15,ROW(H330)-ROW(H$15),0),15-13*ORÇAMENTO!$AF$7),SUMPRODUCT(($Q$12:$AI$12&lt;&gt;"")*ROUND($Q330:$AI330,15-13*ORÇAMENTO!$AF$7))))</f>
        <v>2</v>
      </c>
      <c r="I330" s="650"/>
      <c r="K330" s="208"/>
      <c r="L330" s="209" t="s">
        <v>257</v>
      </c>
      <c r="M330" s="210">
        <f ca="1">IF($D330&lt;&gt;"Serviço","",IF(AUTOEVENTO="manual",$A330,IF(ISERROR(MATCH($A330,$A$15:OFFSET($A330,-1,0),0)),MAX($M$15:OFFSET(M330,-1,0))+1,INDEX($M$15:OFFSET(M330,-1,0),MATCH($A330,$A$15:OFFSET($A330,-1,0),0)))))</f>
        <v>0</v>
      </c>
      <c r="N330" s="211" t="str">
        <f ca="1">IF($D330&lt;&gt;"Serviço","",IF(AUTOEVENTO="Manual",IF($A330=0,"&lt;-- defina o número do agrupador",OFFSET(EVENTOS!$D$14,$A330,0)),OFFSET($F$15,$A330,0)))</f>
        <v>&lt;-- defina o número do agrupador</v>
      </c>
      <c r="O330" s="212"/>
      <c r="Q330" s="212"/>
      <c r="R330" s="213"/>
      <c r="S330" s="213"/>
      <c r="T330" s="213"/>
      <c r="U330" s="213"/>
      <c r="V330" s="213"/>
      <c r="W330" s="213"/>
      <c r="X330" s="213"/>
      <c r="Y330" s="213"/>
      <c r="Z330" s="214"/>
      <c r="AA330" s="213"/>
      <c r="AB330" s="213"/>
      <c r="AC330" s="213"/>
      <c r="AD330" s="213"/>
      <c r="AE330" s="213"/>
      <c r="AF330" s="213"/>
      <c r="AG330" s="213"/>
      <c r="AH330" s="214"/>
      <c r="AJ330" s="631">
        <f ca="1">IF(AND($D330="Serviço",AJ$12&lt;&gt;0,$H330&gt;0,OR(AUTOEVENTO&lt;&gt;"manual",$M330&lt;&gt;1)),ROUND(OFFSET($P330,0,AJ$13),15-13*ORÇAMENTO!$AF$7)/$H330*OFFSET(ORÇAMENTO!$X$15,ROW(AJ330)-ROW(AJ$15),0),0)</f>
        <v>0</v>
      </c>
      <c r="AK330" s="632">
        <f ca="1">IF(AND($D330="Serviço",AK$12&lt;&gt;0,$H330&gt;0,OR(AUTOEVENTO&lt;&gt;"manual",$M330&lt;&gt;1)),ROUND(OFFSET($P330,0,AK$13),15-13*ORÇAMENTO!$AF$7)/$H330*OFFSET(ORÇAMENTO!$X$15,ROW(AK330)-ROW(AK$15),0),0)</f>
        <v>0</v>
      </c>
      <c r="AL330" s="632">
        <f ca="1">IF(AND($D330="Serviço",AL$12&lt;&gt;0,$H330&gt;0,OR(AUTOEVENTO&lt;&gt;"manual",$M330&lt;&gt;1)),ROUND(OFFSET($P330,0,AL$13),15-13*ORÇAMENTO!$AF$7)/$H330*OFFSET(ORÇAMENTO!$X$15,ROW(AL330)-ROW(AL$15),0),0)</f>
        <v>0</v>
      </c>
      <c r="AM330" s="632">
        <f ca="1">IF(AND($D330="Serviço",AM$12&lt;&gt;0,$H330&gt;0,OR(AUTOEVENTO&lt;&gt;"manual",$M330&lt;&gt;1)),ROUND(OFFSET($P330,0,AM$13),15-13*ORÇAMENTO!$AF$7)/$H330*OFFSET(ORÇAMENTO!$X$15,ROW(AM330)-ROW(AM$15),0),0)</f>
        <v>0</v>
      </c>
      <c r="AN330" s="632">
        <f ca="1">IF(AND($D330="Serviço",AN$12&lt;&gt;0,$H330&gt;0,OR(AUTOEVENTO&lt;&gt;"manual",$M330&lt;&gt;1)),ROUND(OFFSET($P330,0,AN$13),15-13*ORÇAMENTO!$AF$7)/$H330*OFFSET(ORÇAMENTO!$X$15,ROW(AN330)-ROW(AN$15),0),0)</f>
        <v>0</v>
      </c>
      <c r="AO330" s="632">
        <f ca="1">IF(AND($D330="Serviço",AO$12&lt;&gt;0,$H330&gt;0,OR(AUTOEVENTO&lt;&gt;"manual",$M330&lt;&gt;1)),ROUND(OFFSET($P330,0,AO$13),15-13*ORÇAMENTO!$AF$7)/$H330*OFFSET(ORÇAMENTO!$X$15,ROW(AO330)-ROW(AO$15),0),0)</f>
        <v>0</v>
      </c>
      <c r="AP330" s="632">
        <f ca="1">IF(AND($D330="Serviço",AP$12&lt;&gt;0,$H330&gt;0,OR(AUTOEVENTO&lt;&gt;"manual",$M330&lt;&gt;1)),ROUND(OFFSET($P330,0,AP$13),15-13*ORÇAMENTO!$AF$7)/$H330*OFFSET(ORÇAMENTO!$X$15,ROW(AP330)-ROW(AP$15),0),0)</f>
        <v>0</v>
      </c>
      <c r="AQ330" s="632">
        <f ca="1">IF(AND($D330="Serviço",AQ$12&lt;&gt;0,$H330&gt;0,OR(AUTOEVENTO&lt;&gt;"manual",$M330&lt;&gt;1)),ROUND(OFFSET($P330,0,AQ$13),15-13*ORÇAMENTO!$AF$7)/$H330*OFFSET(ORÇAMENTO!$X$15,ROW(AQ330)-ROW(AQ$15),0),0)</f>
        <v>0</v>
      </c>
      <c r="AR330" s="632">
        <f ca="1">IF(AND($D330="Serviço",AR$12&lt;&gt;0,$H330&gt;0,OR(AUTOEVENTO&lt;&gt;"manual",$M330&lt;&gt;1)),ROUND(OFFSET($P330,0,AR$13),15-13*ORÇAMENTO!$AF$7)/$H330*OFFSET(ORÇAMENTO!$X$15,ROW(AR330)-ROW(AR$15),0),0)</f>
        <v>0</v>
      </c>
      <c r="AS330" s="633">
        <f ca="1">IF(AND($D330="Serviço",AS$12&lt;&gt;0,$H330&gt;0,OR(AUTOEVENTO&lt;&gt;"manual",$M330&lt;&gt;1)),ROUND(OFFSET($P330,0,AS$13),15-13*ORÇAMENTO!$AF$7)/$H330*OFFSET(ORÇAMENTO!$X$15,ROW(AS330)-ROW(AS$15),0),0)</f>
        <v>0</v>
      </c>
      <c r="AT330" s="632">
        <f ca="1">IF(AND($D330="Serviço",AT$12&lt;&gt;0,$H330&gt;0,OR(AUTOEVENTO&lt;&gt;"manual",$M330&lt;&gt;1)),ROUND(OFFSET($P330,0,AT$13),15-13*ORÇAMENTO!$AF$7)/$H330*OFFSET(ORÇAMENTO!$X$15,ROW(AT330)-ROW(AT$15),0),0)</f>
        <v>0</v>
      </c>
      <c r="AU330" s="632">
        <f ca="1">IF(AND($D330="Serviço",AU$12&lt;&gt;0,$H330&gt;0,OR(AUTOEVENTO&lt;&gt;"manual",$M330&lt;&gt;1)),ROUND(OFFSET($P330,0,AU$13),15-13*ORÇAMENTO!$AF$7)/$H330*OFFSET(ORÇAMENTO!$X$15,ROW(AU330)-ROW(AU$15),0),0)</f>
        <v>0</v>
      </c>
      <c r="AV330" s="632">
        <f ca="1">IF(AND($D330="Serviço",AV$12&lt;&gt;0,$H330&gt;0,OR(AUTOEVENTO&lt;&gt;"manual",$M330&lt;&gt;1)),ROUND(OFFSET($P330,0,AV$13),15-13*ORÇAMENTO!$AF$7)/$H330*OFFSET(ORÇAMENTO!$X$15,ROW(AV330)-ROW(AV$15),0),0)</f>
        <v>0</v>
      </c>
      <c r="AW330" s="632">
        <f ca="1">IF(AND($D330="Serviço",AW$12&lt;&gt;0,$H330&gt;0,OR(AUTOEVENTO&lt;&gt;"manual",$M330&lt;&gt;1)),ROUND(OFFSET($P330,0,AW$13),15-13*ORÇAMENTO!$AF$7)/$H330*OFFSET(ORÇAMENTO!$X$15,ROW(AW330)-ROW(AW$15),0),0)</f>
        <v>0</v>
      </c>
      <c r="AX330" s="632">
        <f ca="1">IF(AND($D330="Serviço",AX$12&lt;&gt;0,$H330&gt;0,OR(AUTOEVENTO&lt;&gt;"manual",$M330&lt;&gt;1)),ROUND(OFFSET($P330,0,AX$13),15-13*ORÇAMENTO!$AF$7)/$H330*OFFSET(ORÇAMENTO!$X$15,ROW(AX330)-ROW(AX$15),0),0)</f>
        <v>0</v>
      </c>
      <c r="AY330" s="632">
        <f ca="1">IF(AND($D330="Serviço",AY$12&lt;&gt;0,$H330&gt;0,OR(AUTOEVENTO&lt;&gt;"manual",$M330&lt;&gt;1)),ROUND(OFFSET($P330,0,AY$13),15-13*ORÇAMENTO!$AF$7)/$H330*OFFSET(ORÇAMENTO!$X$15,ROW(AY330)-ROW(AY$15),0),0)</f>
        <v>0</v>
      </c>
      <c r="AZ330" s="632">
        <f ca="1">IF(AND($D330="Serviço",AZ$12&lt;&gt;0,$H330&gt;0,OR(AUTOEVENTO&lt;&gt;"manual",$M330&lt;&gt;1)),ROUND(OFFSET($P330,0,AZ$13),15-13*ORÇAMENTO!$AF$7)/$H330*OFFSET(ORÇAMENTO!$X$15,ROW(AZ330)-ROW(AZ$15),0),0)</f>
        <v>0</v>
      </c>
      <c r="BA330" s="633">
        <f ca="1">IF(AND($D330="Serviço",BA$12&lt;&gt;0,$H330&gt;0,OR(AUTOEVENTO&lt;&gt;"manual",$M330&lt;&gt;1)),ROUND(OFFSET($P330,0,BA$13),15-13*ORÇAMENTO!$AF$7)/$H330*OFFSET(ORÇAMENTO!$X$15,ROW(BA330)-ROW(BA$15),0),0)</f>
        <v>0</v>
      </c>
      <c r="BC330" s="215">
        <f ca="1">IF($D330&lt;&gt;"Serviço",0,IF(AND(AUTOEVENTO="Manual",$M330=1),0,IF(OFFSET(CRONOPLE!$F$14,$M330,BC$13)="",10^12,OFFSET(CRONOPLE!$F$14,$M330,BC$13))))</f>
        <v>1000000000000</v>
      </c>
      <c r="BD330" s="215">
        <f ca="1">IF($D330&lt;&gt;"Serviço",0,IF(AND(AUTOEVENTO="Manual",$M330=1),0,IF(OFFSET(CRONOPLE!$F$14,$M330,BD$13)="",10^12,OFFSET(CRONOPLE!$F$14,$M330,BD$13))))</f>
        <v>1000000000000</v>
      </c>
      <c r="BE330" s="215">
        <f ca="1">IF($D330&lt;&gt;"Serviço",0,IF(AND(AUTOEVENTO="Manual",$M330=1),0,IF(OFFSET(CRONOPLE!$F$14,$M330,BE$13)="",10^12,OFFSET(CRONOPLE!$F$14,$M330,BE$13))))</f>
        <v>1000000000000</v>
      </c>
      <c r="BF330" s="215">
        <f ca="1">IF($D330&lt;&gt;"Serviço",0,IF(AND(AUTOEVENTO="Manual",$M330=1),0,IF(OFFSET(CRONOPLE!$F$14,$M330,BF$13)="",10^12,OFFSET(CRONOPLE!$F$14,$M330,BF$13))))</f>
        <v>1000000000000</v>
      </c>
      <c r="BG330" s="215">
        <f ca="1">IF($D330&lt;&gt;"Serviço",0,IF(AND(AUTOEVENTO="Manual",$M330=1),0,IF(OFFSET(CRONOPLE!$F$14,$M330,BG$13)="",10^12,OFFSET(CRONOPLE!$F$14,$M330,BG$13))))</f>
        <v>1000000000000</v>
      </c>
      <c r="BH330" s="215">
        <f ca="1">IF($D330&lt;&gt;"Serviço",0,IF(AND(AUTOEVENTO="Manual",$M330=1),0,IF(OFFSET(CRONOPLE!$F$14,$M330,BH$13)="",10^12,OFFSET(CRONOPLE!$F$14,$M330,BH$13))))</f>
        <v>1000000000000</v>
      </c>
      <c r="BI330" s="215">
        <f ca="1">IF($D330&lt;&gt;"Serviço",0,IF(AND(AUTOEVENTO="Manual",$M330=1),0,IF(OFFSET(CRONOPLE!$F$14,$M330,BI$13)="",10^12,OFFSET(CRONOPLE!$F$14,$M330,BI$13))))</f>
        <v>1000000000000</v>
      </c>
      <c r="BJ330" s="215">
        <f ca="1">IF($D330&lt;&gt;"Serviço",0,IF(AND(AUTOEVENTO="Manual",$M330=1),0,IF(OFFSET(CRONOPLE!$F$14,$M330,BJ$13)="",10^12,OFFSET(CRONOPLE!$F$14,$M330,BJ$13))))</f>
        <v>1000000000000</v>
      </c>
      <c r="BK330" s="215">
        <f ca="1">IF($D330&lt;&gt;"Serviço",0,IF(AND(AUTOEVENTO="Manual",$M330=1),0,IF(OFFSET(CRONOPLE!$F$14,$M330,BK$13)="",10^12,OFFSET(CRONOPLE!$F$14,$M330,BK$13))))</f>
        <v>1000000000000</v>
      </c>
      <c r="BL330" s="215">
        <f ca="1">IF($D330&lt;&gt;"Serviço",0,IF(AND(AUTOEVENTO="Manual",$M330=1),0,IF(OFFSET(CRONOPLE!$F$14,$M330,BL$13)="",10^12,OFFSET(CRONOPLE!$F$14,$M330,BL$13))))</f>
        <v>1000000000000</v>
      </c>
      <c r="BM330" s="215">
        <f ca="1">IF($D330&lt;&gt;"Serviço",0,IF(AND(AUTOEVENTO="Manual",$M330=1),0,IF(OFFSET(CRONOPLE!$F$14,$M330,BM$13)="",10^12,OFFSET(CRONOPLE!$F$14,$M330,BM$13))))</f>
        <v>1000000000000</v>
      </c>
      <c r="BN330" s="215">
        <f ca="1">IF($D330&lt;&gt;"Serviço",0,IF(AND(AUTOEVENTO="Manual",$M330=1),0,IF(OFFSET(CRONOPLE!$F$14,$M330,BN$13)="",10^12,OFFSET(CRONOPLE!$F$14,$M330,BN$13))))</f>
        <v>1000000000000</v>
      </c>
      <c r="BO330" s="215">
        <f ca="1">IF($D330&lt;&gt;"Serviço",0,IF(AND(AUTOEVENTO="Manual",$M330=1),0,IF(OFFSET(CRONOPLE!$F$14,$M330,BO$13)="",10^12,OFFSET(CRONOPLE!$F$14,$M330,BO$13))))</f>
        <v>1000000000000</v>
      </c>
      <c r="BP330" s="215">
        <f ca="1">IF($D330&lt;&gt;"Serviço",0,IF(AND(AUTOEVENTO="Manual",$M330=1),0,IF(OFFSET(CRONOPLE!$F$14,$M330,BP$13)="",10^12,OFFSET(CRONOPLE!$F$14,$M330,BP$13))))</f>
        <v>1000000000000</v>
      </c>
      <c r="BQ330" s="215">
        <f ca="1">IF($D330&lt;&gt;"Serviço",0,IF(AND(AUTOEVENTO="Manual",$M330=1),0,IF(OFFSET(CRONOPLE!$F$14,$M330,BQ$13)="",10^12,OFFSET(CRONOPLE!$F$14,$M330,BQ$13))))</f>
        <v>1000000000000</v>
      </c>
      <c r="BR330" s="215">
        <f ca="1">IF($D330&lt;&gt;"Serviço",0,IF(AND(AUTOEVENTO="Manual",$M330=1),0,IF(OFFSET(CRONOPLE!$F$14,$M330,BR$13)="",10^12,OFFSET(CRONOPLE!$F$14,$M330,BR$13))))</f>
        <v>1000000000000</v>
      </c>
      <c r="BS330" s="215">
        <f ca="1">IF($D330&lt;&gt;"Serviço",0,IF(AND(AUTOEVENTO="Manual",$M330=1),0,IF(OFFSET(CRONOPLE!$F$14,$M330,BS$13)="",10^12,OFFSET(CRONOPLE!$F$14,$M330,BS$13))))</f>
        <v>1000000000000</v>
      </c>
      <c r="BT330" s="215">
        <f ca="1">IF($D330&lt;&gt;"Serviço",0,IF(AND(AUTOEVENTO="Manual",$M330=1),0,IF(OFFSET(CRONOPLE!$F$14,$M330,BT$13)="",10^12,OFFSET(CRONOPLE!$F$14,$M330,BT$13))))</f>
        <v>1000000000000</v>
      </c>
      <c r="BV330" s="216">
        <f ca="1">IF($D330&lt;&gt;"Serviço",0,IF(OR(AND(AUTOEVENTO="Manual",$M330=1),$M330&gt;(ROW(PLE.lastrow)-ROW(PLE.firstrow))),0,IF(OFFSET(PLE!$G$14,$M330,BV$13)="",10^12,OFFSET(PLE!$G$14,$M330,BV$13))))</f>
        <v>1000000000000</v>
      </c>
      <c r="BW330" s="216">
        <f ca="1">IF($D330&lt;&gt;"Serviço",0,IF(OR(AND(AUTOEVENTO="Manual",$M330=1),$M330&gt;(ROW(PLE.lastrow)-ROW(PLE.firstrow))),0,IF(OFFSET(PLE!$G$14,$M330,BW$13)="",10^12,OFFSET(PLE!$G$14,$M330,BW$13))))</f>
        <v>1000000000000</v>
      </c>
      <c r="BX330" s="216">
        <f ca="1">IF($D330&lt;&gt;"Serviço",0,IF(OR(AND(AUTOEVENTO="Manual",$M330=1),$M330&gt;(ROW(PLE.lastrow)-ROW(PLE.firstrow))),0,IF(OFFSET(PLE!$G$14,$M330,BX$13)="",10^12,OFFSET(PLE!$G$14,$M330,BX$13))))</f>
        <v>1000000000000</v>
      </c>
      <c r="BY330" s="216">
        <f ca="1">IF($D330&lt;&gt;"Serviço",0,IF(OR(AND(AUTOEVENTO="Manual",$M330=1),$M330&gt;(ROW(PLE.lastrow)-ROW(PLE.firstrow))),0,IF(OFFSET(PLE!$G$14,$M330,BY$13)="",10^12,OFFSET(PLE!$G$14,$M330,BY$13))))</f>
        <v>1000000000000</v>
      </c>
      <c r="BZ330" s="216">
        <f ca="1">IF($D330&lt;&gt;"Serviço",0,IF(OR(AND(AUTOEVENTO="Manual",$M330=1),$M330&gt;(ROW(PLE.lastrow)-ROW(PLE.firstrow))),0,IF(OFFSET(PLE!$G$14,$M330,BZ$13)="",10^12,OFFSET(PLE!$G$14,$M330,BZ$13))))</f>
        <v>1000000000000</v>
      </c>
      <c r="CA330" s="216">
        <f ca="1">IF($D330&lt;&gt;"Serviço",0,IF(OR(AND(AUTOEVENTO="Manual",$M330=1),$M330&gt;(ROW(PLE.lastrow)-ROW(PLE.firstrow))),0,IF(OFFSET(PLE!$G$14,$M330,CA$13)="",10^12,OFFSET(PLE!$G$14,$M330,CA$13))))</f>
        <v>1000000000000</v>
      </c>
      <c r="CB330" s="216">
        <f ca="1">IF($D330&lt;&gt;"Serviço",0,IF(OR(AND(AUTOEVENTO="Manual",$M330=1),$M330&gt;(ROW(PLE.lastrow)-ROW(PLE.firstrow))),0,IF(OFFSET(PLE!$G$14,$M330,CB$13)="",10^12,OFFSET(PLE!$G$14,$M330,CB$13))))</f>
        <v>1000000000000</v>
      </c>
      <c r="CC330" s="216">
        <f ca="1">IF($D330&lt;&gt;"Serviço",0,IF(OR(AND(AUTOEVENTO="Manual",$M330=1),$M330&gt;(ROW(PLE.lastrow)-ROW(PLE.firstrow))),0,IF(OFFSET(PLE!$G$14,$M330,CC$13)="",10^12,OFFSET(PLE!$G$14,$M330,CC$13))))</f>
        <v>1000000000000</v>
      </c>
      <c r="CD330" s="216">
        <f ca="1">IF($D330&lt;&gt;"Serviço",0,IF(OR(AND(AUTOEVENTO="Manual",$M330=1),$M330&gt;(ROW(PLE.lastrow)-ROW(PLE.firstrow))),0,IF(OFFSET(PLE!$G$14,$M330,CD$13)="",10^12,OFFSET(PLE!$G$14,$M330,CD$13))))</f>
        <v>1000000000000</v>
      </c>
      <c r="CE330" s="216">
        <f ca="1">IF($D330&lt;&gt;"Serviço",0,IF(OR(AND(AUTOEVENTO="Manual",$M330=1),$M330&gt;(ROW(PLE.lastrow)-ROW(PLE.firstrow))),0,IF(OFFSET(PLE!$G$14,$M330,CE$13)="",10^12,OFFSET(PLE!$G$14,$M330,CE$13))))</f>
        <v>1000000000000</v>
      </c>
      <c r="CF330" s="216">
        <f ca="1">IF($D330&lt;&gt;"Serviço",0,IF(OR(AND(AUTOEVENTO="Manual",$M330=1),$M330&gt;(ROW(PLE.lastrow)-ROW(PLE.firstrow))),0,IF(OFFSET(PLE!$G$14,$M330,CF$13)="",10^12,OFFSET(PLE!$G$14,$M330,CF$13))))</f>
        <v>1000000000000</v>
      </c>
      <c r="CG330" s="216">
        <f ca="1">IF($D330&lt;&gt;"Serviço",0,IF(OR(AND(AUTOEVENTO="Manual",$M330=1),$M330&gt;(ROW(PLE.lastrow)-ROW(PLE.firstrow))),0,IF(OFFSET(PLE!$G$14,$M330,CG$13)="",10^12,OFFSET(PLE!$G$14,$M330,CG$13))))</f>
        <v>1000000000000</v>
      </c>
      <c r="CH330" s="216">
        <f ca="1">IF($D330&lt;&gt;"Serviço",0,IF(OR(AND(AUTOEVENTO="Manual",$M330=1),$M330&gt;(ROW(PLE.lastrow)-ROW(PLE.firstrow))),0,IF(OFFSET(PLE!$G$14,$M330,CH$13)="",10^12,OFFSET(PLE!$G$14,$M330,CH$13))))</f>
        <v>1000000000000</v>
      </c>
      <c r="CI330" s="216">
        <f ca="1">IF($D330&lt;&gt;"Serviço",0,IF(OR(AND(AUTOEVENTO="Manual",$M330=1),$M330&gt;(ROW(PLE.lastrow)-ROW(PLE.firstrow))),0,IF(OFFSET(PLE!$G$14,$M330,CI$13)="",10^12,OFFSET(PLE!$G$14,$M330,CI$13))))</f>
        <v>1000000000000</v>
      </c>
      <c r="CJ330" s="216">
        <f ca="1">IF($D330&lt;&gt;"Serviço",0,IF(OR(AND(AUTOEVENTO="Manual",$M330=1),$M330&gt;(ROW(PLE.lastrow)-ROW(PLE.firstrow))),0,IF(OFFSET(PLE!$G$14,$M330,CJ$13)="",10^12,OFFSET(PLE!$G$14,$M330,CJ$13))))</f>
        <v>1000000000000</v>
      </c>
      <c r="CK330" s="216">
        <f ca="1">IF($D330&lt;&gt;"Serviço",0,IF(OR(AND(AUTOEVENTO="Manual",$M330=1),$M330&gt;(ROW(PLE.lastrow)-ROW(PLE.firstrow))),0,IF(OFFSET(PLE!$G$14,$M330,CK$13)="",10^12,OFFSET(PLE!$G$14,$M330,CK$13))))</f>
        <v>1000000000000</v>
      </c>
      <c r="CL330" s="216">
        <f ca="1">IF($D330&lt;&gt;"Serviço",0,IF(OR(AND(AUTOEVENTO="Manual",$M330=1),$M330&gt;(ROW(PLE.lastrow)-ROW(PLE.firstrow))),0,IF(OFFSET(PLE!$G$14,$M330,CL$13)="",10^12,OFFSET(PLE!$G$14,$M330,CL$13))))</f>
        <v>1000000000000</v>
      </c>
      <c r="CM330" s="216">
        <f ca="1">IF($D330&lt;&gt;"Serviço",0,IF(OR(AND(AUTOEVENTO="Manual",$M330=1),$M330&gt;(ROW(PLE.lastrow)-ROW(PLE.firstrow))),0,IF(OFFSET(PLE!$G$14,$M330,CM$13)="",10^12,OFFSET(PLE!$G$14,$M330,CM$13))))</f>
        <v>1000000000000</v>
      </c>
    </row>
    <row r="331" spans="1:91" ht="13.2" x14ac:dyDescent="0.25">
      <c r="A331" s="9">
        <f t="shared" ref="A331:A394" ca="1" si="14">IF(AUTOEVENTO="Manual",IF(K331&lt;&gt;"",MIN(VALUE(LEFT(K331,FIND(".",K331)-1)),COUNTA(EVENTOS.Lista)),0),IF(OR($B331&gt;AUTOEVENTO,$B331="S",$B331=0),SUBSTITUTE(OFFSET($A331,-1,0),IF($D331="Serviço",".",""),""),ROW(A331)-ROW($A$15)&amp;"."))</f>
        <v>0</v>
      </c>
      <c r="B331" s="9" t="str">
        <f ca="1">OFFSET(ORÇAMENTO!C$15,ROW(B331)-ROW(B$15),0)</f>
        <v>S</v>
      </c>
      <c r="C331" s="9" t="str">
        <f ca="1">OFFSET(ORÇAMENTO!L$15,ROW(C331)-ROW(C$15),0)</f>
        <v/>
      </c>
      <c r="D331" s="145" t="str">
        <f ca="1">OFFSET(ORÇAMENTO!N$15,ROW(D331)-ROW(D$15),0)</f>
        <v>Serviço</v>
      </c>
      <c r="E331" s="205" t="str">
        <f ca="1">OFFSET(ORÇAMENTO!O$15,ROW(E331)-ROW(E$15),0)</f>
        <v>-</v>
      </c>
      <c r="F331" s="206" t="str">
        <f ca="1">OFFSET(ORÇAMENTO!R$15,ROW(F331)-ROW(F$15),0)</f>
        <v>(abra o arquivo 'Referência 05-2024.xls)</v>
      </c>
      <c r="G331" s="207" t="str">
        <f ca="1">IF($D331&lt;&gt;"Serviço","",OFFSET(ORÇAMENTO!S$15,ROW(G331)-ROW(G$15),0))</f>
        <v>-</v>
      </c>
      <c r="H331" s="151">
        <f ca="1">IF($D331&lt;&gt;"Serviço",0,IF(ACOMPANHAMENTO="BM",ROUND(OFFSET(ORÇAMENTO!AJ$15,ROW(H331)-ROW(H$15),0),15-13*ORÇAMENTO!$AF$7),SUMPRODUCT(($Q$12:$AI$12&lt;&gt;"")*ROUND($Q331:$AI331,15-13*ORÇAMENTO!$AF$7))))</f>
        <v>123</v>
      </c>
      <c r="I331" s="650"/>
      <c r="K331" s="208"/>
      <c r="L331" s="209" t="s">
        <v>257</v>
      </c>
      <c r="M331" s="210">
        <f ca="1">IF($D331&lt;&gt;"Serviço","",IF(AUTOEVENTO="manual",$A331,IF(ISERROR(MATCH($A331,$A$15:OFFSET($A331,-1,0),0)),MAX($M$15:OFFSET(M331,-1,0))+1,INDEX($M$15:OFFSET(M331,-1,0),MATCH($A331,$A$15:OFFSET($A331,-1,0),0)))))</f>
        <v>0</v>
      </c>
      <c r="N331" s="211" t="str">
        <f ca="1">IF($D331&lt;&gt;"Serviço","",IF(AUTOEVENTO="Manual",IF($A331=0,"&lt;-- defina o número do agrupador",OFFSET(EVENTOS!$D$14,$A331,0)),OFFSET($F$15,$A331,0)))</f>
        <v>&lt;-- defina o número do agrupador</v>
      </c>
      <c r="O331" s="212"/>
      <c r="Q331" s="212"/>
      <c r="R331" s="213"/>
      <c r="S331" s="213"/>
      <c r="T331" s="213"/>
      <c r="U331" s="213"/>
      <c r="V331" s="213"/>
      <c r="W331" s="213"/>
      <c r="X331" s="213"/>
      <c r="Y331" s="213"/>
      <c r="Z331" s="214"/>
      <c r="AA331" s="213"/>
      <c r="AB331" s="213"/>
      <c r="AC331" s="213"/>
      <c r="AD331" s="213"/>
      <c r="AE331" s="213"/>
      <c r="AF331" s="213"/>
      <c r="AG331" s="213"/>
      <c r="AH331" s="214"/>
      <c r="AJ331" s="631">
        <f ca="1">IF(AND($D331="Serviço",AJ$12&lt;&gt;0,$H331&gt;0,OR(AUTOEVENTO&lt;&gt;"manual",$M331&lt;&gt;1)),ROUND(OFFSET($P331,0,AJ$13),15-13*ORÇAMENTO!$AF$7)/$H331*OFFSET(ORÇAMENTO!$X$15,ROW(AJ331)-ROW(AJ$15),0),0)</f>
        <v>0</v>
      </c>
      <c r="AK331" s="632">
        <f ca="1">IF(AND($D331="Serviço",AK$12&lt;&gt;0,$H331&gt;0,OR(AUTOEVENTO&lt;&gt;"manual",$M331&lt;&gt;1)),ROUND(OFFSET($P331,0,AK$13),15-13*ORÇAMENTO!$AF$7)/$H331*OFFSET(ORÇAMENTO!$X$15,ROW(AK331)-ROW(AK$15),0),0)</f>
        <v>0</v>
      </c>
      <c r="AL331" s="632">
        <f ca="1">IF(AND($D331="Serviço",AL$12&lt;&gt;0,$H331&gt;0,OR(AUTOEVENTO&lt;&gt;"manual",$M331&lt;&gt;1)),ROUND(OFFSET($P331,0,AL$13),15-13*ORÇAMENTO!$AF$7)/$H331*OFFSET(ORÇAMENTO!$X$15,ROW(AL331)-ROW(AL$15),0),0)</f>
        <v>0</v>
      </c>
      <c r="AM331" s="632">
        <f ca="1">IF(AND($D331="Serviço",AM$12&lt;&gt;0,$H331&gt;0,OR(AUTOEVENTO&lt;&gt;"manual",$M331&lt;&gt;1)),ROUND(OFFSET($P331,0,AM$13),15-13*ORÇAMENTO!$AF$7)/$H331*OFFSET(ORÇAMENTO!$X$15,ROW(AM331)-ROW(AM$15),0),0)</f>
        <v>0</v>
      </c>
      <c r="AN331" s="632">
        <f ca="1">IF(AND($D331="Serviço",AN$12&lt;&gt;0,$H331&gt;0,OR(AUTOEVENTO&lt;&gt;"manual",$M331&lt;&gt;1)),ROUND(OFFSET($P331,0,AN$13),15-13*ORÇAMENTO!$AF$7)/$H331*OFFSET(ORÇAMENTO!$X$15,ROW(AN331)-ROW(AN$15),0),0)</f>
        <v>0</v>
      </c>
      <c r="AO331" s="632">
        <f ca="1">IF(AND($D331="Serviço",AO$12&lt;&gt;0,$H331&gt;0,OR(AUTOEVENTO&lt;&gt;"manual",$M331&lt;&gt;1)),ROUND(OFFSET($P331,0,AO$13),15-13*ORÇAMENTO!$AF$7)/$H331*OFFSET(ORÇAMENTO!$X$15,ROW(AO331)-ROW(AO$15),0),0)</f>
        <v>0</v>
      </c>
      <c r="AP331" s="632">
        <f ca="1">IF(AND($D331="Serviço",AP$12&lt;&gt;0,$H331&gt;0,OR(AUTOEVENTO&lt;&gt;"manual",$M331&lt;&gt;1)),ROUND(OFFSET($P331,0,AP$13),15-13*ORÇAMENTO!$AF$7)/$H331*OFFSET(ORÇAMENTO!$X$15,ROW(AP331)-ROW(AP$15),0),0)</f>
        <v>0</v>
      </c>
      <c r="AQ331" s="632">
        <f ca="1">IF(AND($D331="Serviço",AQ$12&lt;&gt;0,$H331&gt;0,OR(AUTOEVENTO&lt;&gt;"manual",$M331&lt;&gt;1)),ROUND(OFFSET($P331,0,AQ$13),15-13*ORÇAMENTO!$AF$7)/$H331*OFFSET(ORÇAMENTO!$X$15,ROW(AQ331)-ROW(AQ$15),0),0)</f>
        <v>0</v>
      </c>
      <c r="AR331" s="632">
        <f ca="1">IF(AND($D331="Serviço",AR$12&lt;&gt;0,$H331&gt;0,OR(AUTOEVENTO&lt;&gt;"manual",$M331&lt;&gt;1)),ROUND(OFFSET($P331,0,AR$13),15-13*ORÇAMENTO!$AF$7)/$H331*OFFSET(ORÇAMENTO!$X$15,ROW(AR331)-ROW(AR$15),0),0)</f>
        <v>0</v>
      </c>
      <c r="AS331" s="633">
        <f ca="1">IF(AND($D331="Serviço",AS$12&lt;&gt;0,$H331&gt;0,OR(AUTOEVENTO&lt;&gt;"manual",$M331&lt;&gt;1)),ROUND(OFFSET($P331,0,AS$13),15-13*ORÇAMENTO!$AF$7)/$H331*OFFSET(ORÇAMENTO!$X$15,ROW(AS331)-ROW(AS$15),0),0)</f>
        <v>0</v>
      </c>
      <c r="AT331" s="632">
        <f ca="1">IF(AND($D331="Serviço",AT$12&lt;&gt;0,$H331&gt;0,OR(AUTOEVENTO&lt;&gt;"manual",$M331&lt;&gt;1)),ROUND(OFFSET($P331,0,AT$13),15-13*ORÇAMENTO!$AF$7)/$H331*OFFSET(ORÇAMENTO!$X$15,ROW(AT331)-ROW(AT$15),0),0)</f>
        <v>0</v>
      </c>
      <c r="AU331" s="632">
        <f ca="1">IF(AND($D331="Serviço",AU$12&lt;&gt;0,$H331&gt;0,OR(AUTOEVENTO&lt;&gt;"manual",$M331&lt;&gt;1)),ROUND(OFFSET($P331,0,AU$13),15-13*ORÇAMENTO!$AF$7)/$H331*OFFSET(ORÇAMENTO!$X$15,ROW(AU331)-ROW(AU$15),0),0)</f>
        <v>0</v>
      </c>
      <c r="AV331" s="632">
        <f ca="1">IF(AND($D331="Serviço",AV$12&lt;&gt;0,$H331&gt;0,OR(AUTOEVENTO&lt;&gt;"manual",$M331&lt;&gt;1)),ROUND(OFFSET($P331,0,AV$13),15-13*ORÇAMENTO!$AF$7)/$H331*OFFSET(ORÇAMENTO!$X$15,ROW(AV331)-ROW(AV$15),0),0)</f>
        <v>0</v>
      </c>
      <c r="AW331" s="632">
        <f ca="1">IF(AND($D331="Serviço",AW$12&lt;&gt;0,$H331&gt;0,OR(AUTOEVENTO&lt;&gt;"manual",$M331&lt;&gt;1)),ROUND(OFFSET($P331,0,AW$13),15-13*ORÇAMENTO!$AF$7)/$H331*OFFSET(ORÇAMENTO!$X$15,ROW(AW331)-ROW(AW$15),0),0)</f>
        <v>0</v>
      </c>
      <c r="AX331" s="632">
        <f ca="1">IF(AND($D331="Serviço",AX$12&lt;&gt;0,$H331&gt;0,OR(AUTOEVENTO&lt;&gt;"manual",$M331&lt;&gt;1)),ROUND(OFFSET($P331,0,AX$13),15-13*ORÇAMENTO!$AF$7)/$H331*OFFSET(ORÇAMENTO!$X$15,ROW(AX331)-ROW(AX$15),0),0)</f>
        <v>0</v>
      </c>
      <c r="AY331" s="632">
        <f ca="1">IF(AND($D331="Serviço",AY$12&lt;&gt;0,$H331&gt;0,OR(AUTOEVENTO&lt;&gt;"manual",$M331&lt;&gt;1)),ROUND(OFFSET($P331,0,AY$13),15-13*ORÇAMENTO!$AF$7)/$H331*OFFSET(ORÇAMENTO!$X$15,ROW(AY331)-ROW(AY$15),0),0)</f>
        <v>0</v>
      </c>
      <c r="AZ331" s="632">
        <f ca="1">IF(AND($D331="Serviço",AZ$12&lt;&gt;0,$H331&gt;0,OR(AUTOEVENTO&lt;&gt;"manual",$M331&lt;&gt;1)),ROUND(OFFSET($P331,0,AZ$13),15-13*ORÇAMENTO!$AF$7)/$H331*OFFSET(ORÇAMENTO!$X$15,ROW(AZ331)-ROW(AZ$15),0),0)</f>
        <v>0</v>
      </c>
      <c r="BA331" s="633">
        <f ca="1">IF(AND($D331="Serviço",BA$12&lt;&gt;0,$H331&gt;0,OR(AUTOEVENTO&lt;&gt;"manual",$M331&lt;&gt;1)),ROUND(OFFSET($P331,0,BA$13),15-13*ORÇAMENTO!$AF$7)/$H331*OFFSET(ORÇAMENTO!$X$15,ROW(BA331)-ROW(BA$15),0),0)</f>
        <v>0</v>
      </c>
      <c r="BC331" s="215">
        <f ca="1">IF($D331&lt;&gt;"Serviço",0,IF(AND(AUTOEVENTO="Manual",$M331=1),0,IF(OFFSET(CRONOPLE!$F$14,$M331,BC$13)="",10^12,OFFSET(CRONOPLE!$F$14,$M331,BC$13))))</f>
        <v>1000000000000</v>
      </c>
      <c r="BD331" s="215">
        <f ca="1">IF($D331&lt;&gt;"Serviço",0,IF(AND(AUTOEVENTO="Manual",$M331=1),0,IF(OFFSET(CRONOPLE!$F$14,$M331,BD$13)="",10^12,OFFSET(CRONOPLE!$F$14,$M331,BD$13))))</f>
        <v>1000000000000</v>
      </c>
      <c r="BE331" s="215">
        <f ca="1">IF($D331&lt;&gt;"Serviço",0,IF(AND(AUTOEVENTO="Manual",$M331=1),0,IF(OFFSET(CRONOPLE!$F$14,$M331,BE$13)="",10^12,OFFSET(CRONOPLE!$F$14,$M331,BE$13))))</f>
        <v>1000000000000</v>
      </c>
      <c r="BF331" s="215">
        <f ca="1">IF($D331&lt;&gt;"Serviço",0,IF(AND(AUTOEVENTO="Manual",$M331=1),0,IF(OFFSET(CRONOPLE!$F$14,$M331,BF$13)="",10^12,OFFSET(CRONOPLE!$F$14,$M331,BF$13))))</f>
        <v>1000000000000</v>
      </c>
      <c r="BG331" s="215">
        <f ca="1">IF($D331&lt;&gt;"Serviço",0,IF(AND(AUTOEVENTO="Manual",$M331=1),0,IF(OFFSET(CRONOPLE!$F$14,$M331,BG$13)="",10^12,OFFSET(CRONOPLE!$F$14,$M331,BG$13))))</f>
        <v>1000000000000</v>
      </c>
      <c r="BH331" s="215">
        <f ca="1">IF($D331&lt;&gt;"Serviço",0,IF(AND(AUTOEVENTO="Manual",$M331=1),0,IF(OFFSET(CRONOPLE!$F$14,$M331,BH$13)="",10^12,OFFSET(CRONOPLE!$F$14,$M331,BH$13))))</f>
        <v>1000000000000</v>
      </c>
      <c r="BI331" s="215">
        <f ca="1">IF($D331&lt;&gt;"Serviço",0,IF(AND(AUTOEVENTO="Manual",$M331=1),0,IF(OFFSET(CRONOPLE!$F$14,$M331,BI$13)="",10^12,OFFSET(CRONOPLE!$F$14,$M331,BI$13))))</f>
        <v>1000000000000</v>
      </c>
      <c r="BJ331" s="215">
        <f ca="1">IF($D331&lt;&gt;"Serviço",0,IF(AND(AUTOEVENTO="Manual",$M331=1),0,IF(OFFSET(CRONOPLE!$F$14,$M331,BJ$13)="",10^12,OFFSET(CRONOPLE!$F$14,$M331,BJ$13))))</f>
        <v>1000000000000</v>
      </c>
      <c r="BK331" s="215">
        <f ca="1">IF($D331&lt;&gt;"Serviço",0,IF(AND(AUTOEVENTO="Manual",$M331=1),0,IF(OFFSET(CRONOPLE!$F$14,$M331,BK$13)="",10^12,OFFSET(CRONOPLE!$F$14,$M331,BK$13))))</f>
        <v>1000000000000</v>
      </c>
      <c r="BL331" s="215">
        <f ca="1">IF($D331&lt;&gt;"Serviço",0,IF(AND(AUTOEVENTO="Manual",$M331=1),0,IF(OFFSET(CRONOPLE!$F$14,$M331,BL$13)="",10^12,OFFSET(CRONOPLE!$F$14,$M331,BL$13))))</f>
        <v>1000000000000</v>
      </c>
      <c r="BM331" s="215">
        <f ca="1">IF($D331&lt;&gt;"Serviço",0,IF(AND(AUTOEVENTO="Manual",$M331=1),0,IF(OFFSET(CRONOPLE!$F$14,$M331,BM$13)="",10^12,OFFSET(CRONOPLE!$F$14,$M331,BM$13))))</f>
        <v>1000000000000</v>
      </c>
      <c r="BN331" s="215">
        <f ca="1">IF($D331&lt;&gt;"Serviço",0,IF(AND(AUTOEVENTO="Manual",$M331=1),0,IF(OFFSET(CRONOPLE!$F$14,$M331,BN$13)="",10^12,OFFSET(CRONOPLE!$F$14,$M331,BN$13))))</f>
        <v>1000000000000</v>
      </c>
      <c r="BO331" s="215">
        <f ca="1">IF($D331&lt;&gt;"Serviço",0,IF(AND(AUTOEVENTO="Manual",$M331=1),0,IF(OFFSET(CRONOPLE!$F$14,$M331,BO$13)="",10^12,OFFSET(CRONOPLE!$F$14,$M331,BO$13))))</f>
        <v>1000000000000</v>
      </c>
      <c r="BP331" s="215">
        <f ca="1">IF($D331&lt;&gt;"Serviço",0,IF(AND(AUTOEVENTO="Manual",$M331=1),0,IF(OFFSET(CRONOPLE!$F$14,$M331,BP$13)="",10^12,OFFSET(CRONOPLE!$F$14,$M331,BP$13))))</f>
        <v>1000000000000</v>
      </c>
      <c r="BQ331" s="215">
        <f ca="1">IF($D331&lt;&gt;"Serviço",0,IF(AND(AUTOEVENTO="Manual",$M331=1),0,IF(OFFSET(CRONOPLE!$F$14,$M331,BQ$13)="",10^12,OFFSET(CRONOPLE!$F$14,$M331,BQ$13))))</f>
        <v>1000000000000</v>
      </c>
      <c r="BR331" s="215">
        <f ca="1">IF($D331&lt;&gt;"Serviço",0,IF(AND(AUTOEVENTO="Manual",$M331=1),0,IF(OFFSET(CRONOPLE!$F$14,$M331,BR$13)="",10^12,OFFSET(CRONOPLE!$F$14,$M331,BR$13))))</f>
        <v>1000000000000</v>
      </c>
      <c r="BS331" s="215">
        <f ca="1">IF($D331&lt;&gt;"Serviço",0,IF(AND(AUTOEVENTO="Manual",$M331=1),0,IF(OFFSET(CRONOPLE!$F$14,$M331,BS$13)="",10^12,OFFSET(CRONOPLE!$F$14,$M331,BS$13))))</f>
        <v>1000000000000</v>
      </c>
      <c r="BT331" s="215">
        <f ca="1">IF($D331&lt;&gt;"Serviço",0,IF(AND(AUTOEVENTO="Manual",$M331=1),0,IF(OFFSET(CRONOPLE!$F$14,$M331,BT$13)="",10^12,OFFSET(CRONOPLE!$F$14,$M331,BT$13))))</f>
        <v>1000000000000</v>
      </c>
      <c r="BV331" s="216">
        <f ca="1">IF($D331&lt;&gt;"Serviço",0,IF(OR(AND(AUTOEVENTO="Manual",$M331=1),$M331&gt;(ROW(PLE.lastrow)-ROW(PLE.firstrow))),0,IF(OFFSET(PLE!$G$14,$M331,BV$13)="",10^12,OFFSET(PLE!$G$14,$M331,BV$13))))</f>
        <v>1000000000000</v>
      </c>
      <c r="BW331" s="216">
        <f ca="1">IF($D331&lt;&gt;"Serviço",0,IF(OR(AND(AUTOEVENTO="Manual",$M331=1),$M331&gt;(ROW(PLE.lastrow)-ROW(PLE.firstrow))),0,IF(OFFSET(PLE!$G$14,$M331,BW$13)="",10^12,OFFSET(PLE!$G$14,$M331,BW$13))))</f>
        <v>1000000000000</v>
      </c>
      <c r="BX331" s="216">
        <f ca="1">IF($D331&lt;&gt;"Serviço",0,IF(OR(AND(AUTOEVENTO="Manual",$M331=1),$M331&gt;(ROW(PLE.lastrow)-ROW(PLE.firstrow))),0,IF(OFFSET(PLE!$G$14,$M331,BX$13)="",10^12,OFFSET(PLE!$G$14,$M331,BX$13))))</f>
        <v>1000000000000</v>
      </c>
      <c r="BY331" s="216">
        <f ca="1">IF($D331&lt;&gt;"Serviço",0,IF(OR(AND(AUTOEVENTO="Manual",$M331=1),$M331&gt;(ROW(PLE.lastrow)-ROW(PLE.firstrow))),0,IF(OFFSET(PLE!$G$14,$M331,BY$13)="",10^12,OFFSET(PLE!$G$14,$M331,BY$13))))</f>
        <v>1000000000000</v>
      </c>
      <c r="BZ331" s="216">
        <f ca="1">IF($D331&lt;&gt;"Serviço",0,IF(OR(AND(AUTOEVENTO="Manual",$M331=1),$M331&gt;(ROW(PLE.lastrow)-ROW(PLE.firstrow))),0,IF(OFFSET(PLE!$G$14,$M331,BZ$13)="",10^12,OFFSET(PLE!$G$14,$M331,BZ$13))))</f>
        <v>1000000000000</v>
      </c>
      <c r="CA331" s="216">
        <f ca="1">IF($D331&lt;&gt;"Serviço",0,IF(OR(AND(AUTOEVENTO="Manual",$M331=1),$M331&gt;(ROW(PLE.lastrow)-ROW(PLE.firstrow))),0,IF(OFFSET(PLE!$G$14,$M331,CA$13)="",10^12,OFFSET(PLE!$G$14,$M331,CA$13))))</f>
        <v>1000000000000</v>
      </c>
      <c r="CB331" s="216">
        <f ca="1">IF($D331&lt;&gt;"Serviço",0,IF(OR(AND(AUTOEVENTO="Manual",$M331=1),$M331&gt;(ROW(PLE.lastrow)-ROW(PLE.firstrow))),0,IF(OFFSET(PLE!$G$14,$M331,CB$13)="",10^12,OFFSET(PLE!$G$14,$M331,CB$13))))</f>
        <v>1000000000000</v>
      </c>
      <c r="CC331" s="216">
        <f ca="1">IF($D331&lt;&gt;"Serviço",0,IF(OR(AND(AUTOEVENTO="Manual",$M331=1),$M331&gt;(ROW(PLE.lastrow)-ROW(PLE.firstrow))),0,IF(OFFSET(PLE!$G$14,$M331,CC$13)="",10^12,OFFSET(PLE!$G$14,$M331,CC$13))))</f>
        <v>1000000000000</v>
      </c>
      <c r="CD331" s="216">
        <f ca="1">IF($D331&lt;&gt;"Serviço",0,IF(OR(AND(AUTOEVENTO="Manual",$M331=1),$M331&gt;(ROW(PLE.lastrow)-ROW(PLE.firstrow))),0,IF(OFFSET(PLE!$G$14,$M331,CD$13)="",10^12,OFFSET(PLE!$G$14,$M331,CD$13))))</f>
        <v>1000000000000</v>
      </c>
      <c r="CE331" s="216">
        <f ca="1">IF($D331&lt;&gt;"Serviço",0,IF(OR(AND(AUTOEVENTO="Manual",$M331=1),$M331&gt;(ROW(PLE.lastrow)-ROW(PLE.firstrow))),0,IF(OFFSET(PLE!$G$14,$M331,CE$13)="",10^12,OFFSET(PLE!$G$14,$M331,CE$13))))</f>
        <v>1000000000000</v>
      </c>
      <c r="CF331" s="216">
        <f ca="1">IF($D331&lt;&gt;"Serviço",0,IF(OR(AND(AUTOEVENTO="Manual",$M331=1),$M331&gt;(ROW(PLE.lastrow)-ROW(PLE.firstrow))),0,IF(OFFSET(PLE!$G$14,$M331,CF$13)="",10^12,OFFSET(PLE!$G$14,$M331,CF$13))))</f>
        <v>1000000000000</v>
      </c>
      <c r="CG331" s="216">
        <f ca="1">IF($D331&lt;&gt;"Serviço",0,IF(OR(AND(AUTOEVENTO="Manual",$M331=1),$M331&gt;(ROW(PLE.lastrow)-ROW(PLE.firstrow))),0,IF(OFFSET(PLE!$G$14,$M331,CG$13)="",10^12,OFFSET(PLE!$G$14,$M331,CG$13))))</f>
        <v>1000000000000</v>
      </c>
      <c r="CH331" s="216">
        <f ca="1">IF($D331&lt;&gt;"Serviço",0,IF(OR(AND(AUTOEVENTO="Manual",$M331=1),$M331&gt;(ROW(PLE.lastrow)-ROW(PLE.firstrow))),0,IF(OFFSET(PLE!$G$14,$M331,CH$13)="",10^12,OFFSET(PLE!$G$14,$M331,CH$13))))</f>
        <v>1000000000000</v>
      </c>
      <c r="CI331" s="216">
        <f ca="1">IF($D331&lt;&gt;"Serviço",0,IF(OR(AND(AUTOEVENTO="Manual",$M331=1),$M331&gt;(ROW(PLE.lastrow)-ROW(PLE.firstrow))),0,IF(OFFSET(PLE!$G$14,$M331,CI$13)="",10^12,OFFSET(PLE!$G$14,$M331,CI$13))))</f>
        <v>1000000000000</v>
      </c>
      <c r="CJ331" s="216">
        <f ca="1">IF($D331&lt;&gt;"Serviço",0,IF(OR(AND(AUTOEVENTO="Manual",$M331=1),$M331&gt;(ROW(PLE.lastrow)-ROW(PLE.firstrow))),0,IF(OFFSET(PLE!$G$14,$M331,CJ$13)="",10^12,OFFSET(PLE!$G$14,$M331,CJ$13))))</f>
        <v>1000000000000</v>
      </c>
      <c r="CK331" s="216">
        <f ca="1">IF($D331&lt;&gt;"Serviço",0,IF(OR(AND(AUTOEVENTO="Manual",$M331=1),$M331&gt;(ROW(PLE.lastrow)-ROW(PLE.firstrow))),0,IF(OFFSET(PLE!$G$14,$M331,CK$13)="",10^12,OFFSET(PLE!$G$14,$M331,CK$13))))</f>
        <v>1000000000000</v>
      </c>
      <c r="CL331" s="216">
        <f ca="1">IF($D331&lt;&gt;"Serviço",0,IF(OR(AND(AUTOEVENTO="Manual",$M331=1),$M331&gt;(ROW(PLE.lastrow)-ROW(PLE.firstrow))),0,IF(OFFSET(PLE!$G$14,$M331,CL$13)="",10^12,OFFSET(PLE!$G$14,$M331,CL$13))))</f>
        <v>1000000000000</v>
      </c>
      <c r="CM331" s="216">
        <f ca="1">IF($D331&lt;&gt;"Serviço",0,IF(OR(AND(AUTOEVENTO="Manual",$M331=1),$M331&gt;(ROW(PLE.lastrow)-ROW(PLE.firstrow))),0,IF(OFFSET(PLE!$G$14,$M331,CM$13)="",10^12,OFFSET(PLE!$G$14,$M331,CM$13))))</f>
        <v>1000000000000</v>
      </c>
    </row>
    <row r="332" spans="1:91" ht="13.2" x14ac:dyDescent="0.25">
      <c r="A332" s="9">
        <f t="shared" ca="1" si="14"/>
        <v>0</v>
      </c>
      <c r="B332" s="9" t="str">
        <f ca="1">OFFSET(ORÇAMENTO!C$15,ROW(B332)-ROW(B$15),0)</f>
        <v>S</v>
      </c>
      <c r="C332" s="9" t="str">
        <f ca="1">OFFSET(ORÇAMENTO!L$15,ROW(C332)-ROW(C$15),0)</f>
        <v/>
      </c>
      <c r="D332" s="145" t="str">
        <f ca="1">OFFSET(ORÇAMENTO!N$15,ROW(D332)-ROW(D$15),0)</f>
        <v>Serviço</v>
      </c>
      <c r="E332" s="205" t="str">
        <f ca="1">OFFSET(ORÇAMENTO!O$15,ROW(E332)-ROW(E$15),0)</f>
        <v>-</v>
      </c>
      <c r="F332" s="206" t="str">
        <f ca="1">OFFSET(ORÇAMENTO!R$15,ROW(F332)-ROW(F$15),0)</f>
        <v>(abra o arquivo 'Referência 05-2024.xls)</v>
      </c>
      <c r="G332" s="207" t="str">
        <f ca="1">IF($D332&lt;&gt;"Serviço","",OFFSET(ORÇAMENTO!S$15,ROW(G332)-ROW(G$15),0))</f>
        <v>-</v>
      </c>
      <c r="H332" s="151">
        <f ca="1">IF($D332&lt;&gt;"Serviço",0,IF(ACOMPANHAMENTO="BM",ROUND(OFFSET(ORÇAMENTO!AJ$15,ROW(H332)-ROW(H$15),0),15-13*ORÇAMENTO!$AF$7),SUMPRODUCT(($Q$12:$AI$12&lt;&gt;"")*ROUND($Q332:$AI332,15-13*ORÇAMENTO!$AF$7))))</f>
        <v>53</v>
      </c>
      <c r="I332" s="650"/>
      <c r="K332" s="208"/>
      <c r="L332" s="209" t="s">
        <v>257</v>
      </c>
      <c r="M332" s="210">
        <f ca="1">IF($D332&lt;&gt;"Serviço","",IF(AUTOEVENTO="manual",$A332,IF(ISERROR(MATCH($A332,$A$15:OFFSET($A332,-1,0),0)),MAX($M$15:OFFSET(M332,-1,0))+1,INDEX($M$15:OFFSET(M332,-1,0),MATCH($A332,$A$15:OFFSET($A332,-1,0),0)))))</f>
        <v>0</v>
      </c>
      <c r="N332" s="211" t="str">
        <f ca="1">IF($D332&lt;&gt;"Serviço","",IF(AUTOEVENTO="Manual",IF($A332=0,"&lt;-- defina o número do agrupador",OFFSET(EVENTOS!$D$14,$A332,0)),OFFSET($F$15,$A332,0)))</f>
        <v>&lt;-- defina o número do agrupador</v>
      </c>
      <c r="O332" s="212"/>
      <c r="Q332" s="212"/>
      <c r="R332" s="213"/>
      <c r="S332" s="213"/>
      <c r="T332" s="213"/>
      <c r="U332" s="213"/>
      <c r="V332" s="213"/>
      <c r="W332" s="213"/>
      <c r="X332" s="213"/>
      <c r="Y332" s="213"/>
      <c r="Z332" s="214"/>
      <c r="AA332" s="213"/>
      <c r="AB332" s="213"/>
      <c r="AC332" s="213"/>
      <c r="AD332" s="213"/>
      <c r="AE332" s="213"/>
      <c r="AF332" s="213"/>
      <c r="AG332" s="213"/>
      <c r="AH332" s="214"/>
      <c r="AJ332" s="631">
        <f ca="1">IF(AND($D332="Serviço",AJ$12&lt;&gt;0,$H332&gt;0,OR(AUTOEVENTO&lt;&gt;"manual",$M332&lt;&gt;1)),ROUND(OFFSET($P332,0,AJ$13),15-13*ORÇAMENTO!$AF$7)/$H332*OFFSET(ORÇAMENTO!$X$15,ROW(AJ332)-ROW(AJ$15),0),0)</f>
        <v>0</v>
      </c>
      <c r="AK332" s="632">
        <f ca="1">IF(AND($D332="Serviço",AK$12&lt;&gt;0,$H332&gt;0,OR(AUTOEVENTO&lt;&gt;"manual",$M332&lt;&gt;1)),ROUND(OFFSET($P332,0,AK$13),15-13*ORÇAMENTO!$AF$7)/$H332*OFFSET(ORÇAMENTO!$X$15,ROW(AK332)-ROW(AK$15),0),0)</f>
        <v>0</v>
      </c>
      <c r="AL332" s="632">
        <f ca="1">IF(AND($D332="Serviço",AL$12&lt;&gt;0,$H332&gt;0,OR(AUTOEVENTO&lt;&gt;"manual",$M332&lt;&gt;1)),ROUND(OFFSET($P332,0,AL$13),15-13*ORÇAMENTO!$AF$7)/$H332*OFFSET(ORÇAMENTO!$X$15,ROW(AL332)-ROW(AL$15),0),0)</f>
        <v>0</v>
      </c>
      <c r="AM332" s="632">
        <f ca="1">IF(AND($D332="Serviço",AM$12&lt;&gt;0,$H332&gt;0,OR(AUTOEVENTO&lt;&gt;"manual",$M332&lt;&gt;1)),ROUND(OFFSET($P332,0,AM$13),15-13*ORÇAMENTO!$AF$7)/$H332*OFFSET(ORÇAMENTO!$X$15,ROW(AM332)-ROW(AM$15),0),0)</f>
        <v>0</v>
      </c>
      <c r="AN332" s="632">
        <f ca="1">IF(AND($D332="Serviço",AN$12&lt;&gt;0,$H332&gt;0,OR(AUTOEVENTO&lt;&gt;"manual",$M332&lt;&gt;1)),ROUND(OFFSET($P332,0,AN$13),15-13*ORÇAMENTO!$AF$7)/$H332*OFFSET(ORÇAMENTO!$X$15,ROW(AN332)-ROW(AN$15),0),0)</f>
        <v>0</v>
      </c>
      <c r="AO332" s="632">
        <f ca="1">IF(AND($D332="Serviço",AO$12&lt;&gt;0,$H332&gt;0,OR(AUTOEVENTO&lt;&gt;"manual",$M332&lt;&gt;1)),ROUND(OFFSET($P332,0,AO$13),15-13*ORÇAMENTO!$AF$7)/$H332*OFFSET(ORÇAMENTO!$X$15,ROW(AO332)-ROW(AO$15),0),0)</f>
        <v>0</v>
      </c>
      <c r="AP332" s="632">
        <f ca="1">IF(AND($D332="Serviço",AP$12&lt;&gt;0,$H332&gt;0,OR(AUTOEVENTO&lt;&gt;"manual",$M332&lt;&gt;1)),ROUND(OFFSET($P332,0,AP$13),15-13*ORÇAMENTO!$AF$7)/$H332*OFFSET(ORÇAMENTO!$X$15,ROW(AP332)-ROW(AP$15),0),0)</f>
        <v>0</v>
      </c>
      <c r="AQ332" s="632">
        <f ca="1">IF(AND($D332="Serviço",AQ$12&lt;&gt;0,$H332&gt;0,OR(AUTOEVENTO&lt;&gt;"manual",$M332&lt;&gt;1)),ROUND(OFFSET($P332,0,AQ$13),15-13*ORÇAMENTO!$AF$7)/$H332*OFFSET(ORÇAMENTO!$X$15,ROW(AQ332)-ROW(AQ$15),0),0)</f>
        <v>0</v>
      </c>
      <c r="AR332" s="632">
        <f ca="1">IF(AND($D332="Serviço",AR$12&lt;&gt;0,$H332&gt;0,OR(AUTOEVENTO&lt;&gt;"manual",$M332&lt;&gt;1)),ROUND(OFFSET($P332,0,AR$13),15-13*ORÇAMENTO!$AF$7)/$H332*OFFSET(ORÇAMENTO!$X$15,ROW(AR332)-ROW(AR$15),0),0)</f>
        <v>0</v>
      </c>
      <c r="AS332" s="633">
        <f ca="1">IF(AND($D332="Serviço",AS$12&lt;&gt;0,$H332&gt;0,OR(AUTOEVENTO&lt;&gt;"manual",$M332&lt;&gt;1)),ROUND(OFFSET($P332,0,AS$13),15-13*ORÇAMENTO!$AF$7)/$H332*OFFSET(ORÇAMENTO!$X$15,ROW(AS332)-ROW(AS$15),0),0)</f>
        <v>0</v>
      </c>
      <c r="AT332" s="632">
        <f ca="1">IF(AND($D332="Serviço",AT$12&lt;&gt;0,$H332&gt;0,OR(AUTOEVENTO&lt;&gt;"manual",$M332&lt;&gt;1)),ROUND(OFFSET($P332,0,AT$13),15-13*ORÇAMENTO!$AF$7)/$H332*OFFSET(ORÇAMENTO!$X$15,ROW(AT332)-ROW(AT$15),0),0)</f>
        <v>0</v>
      </c>
      <c r="AU332" s="632">
        <f ca="1">IF(AND($D332="Serviço",AU$12&lt;&gt;0,$H332&gt;0,OR(AUTOEVENTO&lt;&gt;"manual",$M332&lt;&gt;1)),ROUND(OFFSET($P332,0,AU$13),15-13*ORÇAMENTO!$AF$7)/$H332*OFFSET(ORÇAMENTO!$X$15,ROW(AU332)-ROW(AU$15),0),0)</f>
        <v>0</v>
      </c>
      <c r="AV332" s="632">
        <f ca="1">IF(AND($D332="Serviço",AV$12&lt;&gt;0,$H332&gt;0,OR(AUTOEVENTO&lt;&gt;"manual",$M332&lt;&gt;1)),ROUND(OFFSET($P332,0,AV$13),15-13*ORÇAMENTO!$AF$7)/$H332*OFFSET(ORÇAMENTO!$X$15,ROW(AV332)-ROW(AV$15),0),0)</f>
        <v>0</v>
      </c>
      <c r="AW332" s="632">
        <f ca="1">IF(AND($D332="Serviço",AW$12&lt;&gt;0,$H332&gt;0,OR(AUTOEVENTO&lt;&gt;"manual",$M332&lt;&gt;1)),ROUND(OFFSET($P332,0,AW$13),15-13*ORÇAMENTO!$AF$7)/$H332*OFFSET(ORÇAMENTO!$X$15,ROW(AW332)-ROW(AW$15),0),0)</f>
        <v>0</v>
      </c>
      <c r="AX332" s="632">
        <f ca="1">IF(AND($D332="Serviço",AX$12&lt;&gt;0,$H332&gt;0,OR(AUTOEVENTO&lt;&gt;"manual",$M332&lt;&gt;1)),ROUND(OFFSET($P332,0,AX$13),15-13*ORÇAMENTO!$AF$7)/$H332*OFFSET(ORÇAMENTO!$X$15,ROW(AX332)-ROW(AX$15),0),0)</f>
        <v>0</v>
      </c>
      <c r="AY332" s="632">
        <f ca="1">IF(AND($D332="Serviço",AY$12&lt;&gt;0,$H332&gt;0,OR(AUTOEVENTO&lt;&gt;"manual",$M332&lt;&gt;1)),ROUND(OFFSET($P332,0,AY$13),15-13*ORÇAMENTO!$AF$7)/$H332*OFFSET(ORÇAMENTO!$X$15,ROW(AY332)-ROW(AY$15),0),0)</f>
        <v>0</v>
      </c>
      <c r="AZ332" s="632">
        <f ca="1">IF(AND($D332="Serviço",AZ$12&lt;&gt;0,$H332&gt;0,OR(AUTOEVENTO&lt;&gt;"manual",$M332&lt;&gt;1)),ROUND(OFFSET($P332,0,AZ$13),15-13*ORÇAMENTO!$AF$7)/$H332*OFFSET(ORÇAMENTO!$X$15,ROW(AZ332)-ROW(AZ$15),0),0)</f>
        <v>0</v>
      </c>
      <c r="BA332" s="633">
        <f ca="1">IF(AND($D332="Serviço",BA$12&lt;&gt;0,$H332&gt;0,OR(AUTOEVENTO&lt;&gt;"manual",$M332&lt;&gt;1)),ROUND(OFFSET($P332,0,BA$13),15-13*ORÇAMENTO!$AF$7)/$H332*OFFSET(ORÇAMENTO!$X$15,ROW(BA332)-ROW(BA$15),0),0)</f>
        <v>0</v>
      </c>
      <c r="BC332" s="215">
        <f ca="1">IF($D332&lt;&gt;"Serviço",0,IF(AND(AUTOEVENTO="Manual",$M332=1),0,IF(OFFSET(CRONOPLE!$F$14,$M332,BC$13)="",10^12,OFFSET(CRONOPLE!$F$14,$M332,BC$13))))</f>
        <v>1000000000000</v>
      </c>
      <c r="BD332" s="215">
        <f ca="1">IF($D332&lt;&gt;"Serviço",0,IF(AND(AUTOEVENTO="Manual",$M332=1),0,IF(OFFSET(CRONOPLE!$F$14,$M332,BD$13)="",10^12,OFFSET(CRONOPLE!$F$14,$M332,BD$13))))</f>
        <v>1000000000000</v>
      </c>
      <c r="BE332" s="215">
        <f ca="1">IF($D332&lt;&gt;"Serviço",0,IF(AND(AUTOEVENTO="Manual",$M332=1),0,IF(OFFSET(CRONOPLE!$F$14,$M332,BE$13)="",10^12,OFFSET(CRONOPLE!$F$14,$M332,BE$13))))</f>
        <v>1000000000000</v>
      </c>
      <c r="BF332" s="215">
        <f ca="1">IF($D332&lt;&gt;"Serviço",0,IF(AND(AUTOEVENTO="Manual",$M332=1),0,IF(OFFSET(CRONOPLE!$F$14,$M332,BF$13)="",10^12,OFFSET(CRONOPLE!$F$14,$M332,BF$13))))</f>
        <v>1000000000000</v>
      </c>
      <c r="BG332" s="215">
        <f ca="1">IF($D332&lt;&gt;"Serviço",0,IF(AND(AUTOEVENTO="Manual",$M332=1),0,IF(OFFSET(CRONOPLE!$F$14,$M332,BG$13)="",10^12,OFFSET(CRONOPLE!$F$14,$M332,BG$13))))</f>
        <v>1000000000000</v>
      </c>
      <c r="BH332" s="215">
        <f ca="1">IF($D332&lt;&gt;"Serviço",0,IF(AND(AUTOEVENTO="Manual",$M332=1),0,IF(OFFSET(CRONOPLE!$F$14,$M332,BH$13)="",10^12,OFFSET(CRONOPLE!$F$14,$M332,BH$13))))</f>
        <v>1000000000000</v>
      </c>
      <c r="BI332" s="215">
        <f ca="1">IF($D332&lt;&gt;"Serviço",0,IF(AND(AUTOEVENTO="Manual",$M332=1),0,IF(OFFSET(CRONOPLE!$F$14,$M332,BI$13)="",10^12,OFFSET(CRONOPLE!$F$14,$M332,BI$13))))</f>
        <v>1000000000000</v>
      </c>
      <c r="BJ332" s="215">
        <f ca="1">IF($D332&lt;&gt;"Serviço",0,IF(AND(AUTOEVENTO="Manual",$M332=1),0,IF(OFFSET(CRONOPLE!$F$14,$M332,BJ$13)="",10^12,OFFSET(CRONOPLE!$F$14,$M332,BJ$13))))</f>
        <v>1000000000000</v>
      </c>
      <c r="BK332" s="215">
        <f ca="1">IF($D332&lt;&gt;"Serviço",0,IF(AND(AUTOEVENTO="Manual",$M332=1),0,IF(OFFSET(CRONOPLE!$F$14,$M332,BK$13)="",10^12,OFFSET(CRONOPLE!$F$14,$M332,BK$13))))</f>
        <v>1000000000000</v>
      </c>
      <c r="BL332" s="215">
        <f ca="1">IF($D332&lt;&gt;"Serviço",0,IF(AND(AUTOEVENTO="Manual",$M332=1),0,IF(OFFSET(CRONOPLE!$F$14,$M332,BL$13)="",10^12,OFFSET(CRONOPLE!$F$14,$M332,BL$13))))</f>
        <v>1000000000000</v>
      </c>
      <c r="BM332" s="215">
        <f ca="1">IF($D332&lt;&gt;"Serviço",0,IF(AND(AUTOEVENTO="Manual",$M332=1),0,IF(OFFSET(CRONOPLE!$F$14,$M332,BM$13)="",10^12,OFFSET(CRONOPLE!$F$14,$M332,BM$13))))</f>
        <v>1000000000000</v>
      </c>
      <c r="BN332" s="215">
        <f ca="1">IF($D332&lt;&gt;"Serviço",0,IF(AND(AUTOEVENTO="Manual",$M332=1),0,IF(OFFSET(CRONOPLE!$F$14,$M332,BN$13)="",10^12,OFFSET(CRONOPLE!$F$14,$M332,BN$13))))</f>
        <v>1000000000000</v>
      </c>
      <c r="BO332" s="215">
        <f ca="1">IF($D332&lt;&gt;"Serviço",0,IF(AND(AUTOEVENTO="Manual",$M332=1),0,IF(OFFSET(CRONOPLE!$F$14,$M332,BO$13)="",10^12,OFFSET(CRONOPLE!$F$14,$M332,BO$13))))</f>
        <v>1000000000000</v>
      </c>
      <c r="BP332" s="215">
        <f ca="1">IF($D332&lt;&gt;"Serviço",0,IF(AND(AUTOEVENTO="Manual",$M332=1),0,IF(OFFSET(CRONOPLE!$F$14,$M332,BP$13)="",10^12,OFFSET(CRONOPLE!$F$14,$M332,BP$13))))</f>
        <v>1000000000000</v>
      </c>
      <c r="BQ332" s="215">
        <f ca="1">IF($D332&lt;&gt;"Serviço",0,IF(AND(AUTOEVENTO="Manual",$M332=1),0,IF(OFFSET(CRONOPLE!$F$14,$M332,BQ$13)="",10^12,OFFSET(CRONOPLE!$F$14,$M332,BQ$13))))</f>
        <v>1000000000000</v>
      </c>
      <c r="BR332" s="215">
        <f ca="1">IF($D332&lt;&gt;"Serviço",0,IF(AND(AUTOEVENTO="Manual",$M332=1),0,IF(OFFSET(CRONOPLE!$F$14,$M332,BR$13)="",10^12,OFFSET(CRONOPLE!$F$14,$M332,BR$13))))</f>
        <v>1000000000000</v>
      </c>
      <c r="BS332" s="215">
        <f ca="1">IF($D332&lt;&gt;"Serviço",0,IF(AND(AUTOEVENTO="Manual",$M332=1),0,IF(OFFSET(CRONOPLE!$F$14,$M332,BS$13)="",10^12,OFFSET(CRONOPLE!$F$14,$M332,BS$13))))</f>
        <v>1000000000000</v>
      </c>
      <c r="BT332" s="215">
        <f ca="1">IF($D332&lt;&gt;"Serviço",0,IF(AND(AUTOEVENTO="Manual",$M332=1),0,IF(OFFSET(CRONOPLE!$F$14,$M332,BT$13)="",10^12,OFFSET(CRONOPLE!$F$14,$M332,BT$13))))</f>
        <v>1000000000000</v>
      </c>
      <c r="BV332" s="216">
        <f ca="1">IF($D332&lt;&gt;"Serviço",0,IF(OR(AND(AUTOEVENTO="Manual",$M332=1),$M332&gt;(ROW(PLE.lastrow)-ROW(PLE.firstrow))),0,IF(OFFSET(PLE!$G$14,$M332,BV$13)="",10^12,OFFSET(PLE!$G$14,$M332,BV$13))))</f>
        <v>1000000000000</v>
      </c>
      <c r="BW332" s="216">
        <f ca="1">IF($D332&lt;&gt;"Serviço",0,IF(OR(AND(AUTOEVENTO="Manual",$M332=1),$M332&gt;(ROW(PLE.lastrow)-ROW(PLE.firstrow))),0,IF(OFFSET(PLE!$G$14,$M332,BW$13)="",10^12,OFFSET(PLE!$G$14,$M332,BW$13))))</f>
        <v>1000000000000</v>
      </c>
      <c r="BX332" s="216">
        <f ca="1">IF($D332&lt;&gt;"Serviço",0,IF(OR(AND(AUTOEVENTO="Manual",$M332=1),$M332&gt;(ROW(PLE.lastrow)-ROW(PLE.firstrow))),0,IF(OFFSET(PLE!$G$14,$M332,BX$13)="",10^12,OFFSET(PLE!$G$14,$M332,BX$13))))</f>
        <v>1000000000000</v>
      </c>
      <c r="BY332" s="216">
        <f ca="1">IF($D332&lt;&gt;"Serviço",0,IF(OR(AND(AUTOEVENTO="Manual",$M332=1),$M332&gt;(ROW(PLE.lastrow)-ROW(PLE.firstrow))),0,IF(OFFSET(PLE!$G$14,$M332,BY$13)="",10^12,OFFSET(PLE!$G$14,$M332,BY$13))))</f>
        <v>1000000000000</v>
      </c>
      <c r="BZ332" s="216">
        <f ca="1">IF($D332&lt;&gt;"Serviço",0,IF(OR(AND(AUTOEVENTO="Manual",$M332=1),$M332&gt;(ROW(PLE.lastrow)-ROW(PLE.firstrow))),0,IF(OFFSET(PLE!$G$14,$M332,BZ$13)="",10^12,OFFSET(PLE!$G$14,$M332,BZ$13))))</f>
        <v>1000000000000</v>
      </c>
      <c r="CA332" s="216">
        <f ca="1">IF($D332&lt;&gt;"Serviço",0,IF(OR(AND(AUTOEVENTO="Manual",$M332=1),$M332&gt;(ROW(PLE.lastrow)-ROW(PLE.firstrow))),0,IF(OFFSET(PLE!$G$14,$M332,CA$13)="",10^12,OFFSET(PLE!$G$14,$M332,CA$13))))</f>
        <v>1000000000000</v>
      </c>
      <c r="CB332" s="216">
        <f ca="1">IF($D332&lt;&gt;"Serviço",0,IF(OR(AND(AUTOEVENTO="Manual",$M332=1),$M332&gt;(ROW(PLE.lastrow)-ROW(PLE.firstrow))),0,IF(OFFSET(PLE!$G$14,$M332,CB$13)="",10^12,OFFSET(PLE!$G$14,$M332,CB$13))))</f>
        <v>1000000000000</v>
      </c>
      <c r="CC332" s="216">
        <f ca="1">IF($D332&lt;&gt;"Serviço",0,IF(OR(AND(AUTOEVENTO="Manual",$M332=1),$M332&gt;(ROW(PLE.lastrow)-ROW(PLE.firstrow))),0,IF(OFFSET(PLE!$G$14,$M332,CC$13)="",10^12,OFFSET(PLE!$G$14,$M332,CC$13))))</f>
        <v>1000000000000</v>
      </c>
      <c r="CD332" s="216">
        <f ca="1">IF($D332&lt;&gt;"Serviço",0,IF(OR(AND(AUTOEVENTO="Manual",$M332=1),$M332&gt;(ROW(PLE.lastrow)-ROW(PLE.firstrow))),0,IF(OFFSET(PLE!$G$14,$M332,CD$13)="",10^12,OFFSET(PLE!$G$14,$M332,CD$13))))</f>
        <v>1000000000000</v>
      </c>
      <c r="CE332" s="216">
        <f ca="1">IF($D332&lt;&gt;"Serviço",0,IF(OR(AND(AUTOEVENTO="Manual",$M332=1),$M332&gt;(ROW(PLE.lastrow)-ROW(PLE.firstrow))),0,IF(OFFSET(PLE!$G$14,$M332,CE$13)="",10^12,OFFSET(PLE!$G$14,$M332,CE$13))))</f>
        <v>1000000000000</v>
      </c>
      <c r="CF332" s="216">
        <f ca="1">IF($D332&lt;&gt;"Serviço",0,IF(OR(AND(AUTOEVENTO="Manual",$M332=1),$M332&gt;(ROW(PLE.lastrow)-ROW(PLE.firstrow))),0,IF(OFFSET(PLE!$G$14,$M332,CF$13)="",10^12,OFFSET(PLE!$G$14,$M332,CF$13))))</f>
        <v>1000000000000</v>
      </c>
      <c r="CG332" s="216">
        <f ca="1">IF($D332&lt;&gt;"Serviço",0,IF(OR(AND(AUTOEVENTO="Manual",$M332=1),$M332&gt;(ROW(PLE.lastrow)-ROW(PLE.firstrow))),0,IF(OFFSET(PLE!$G$14,$M332,CG$13)="",10^12,OFFSET(PLE!$G$14,$M332,CG$13))))</f>
        <v>1000000000000</v>
      </c>
      <c r="CH332" s="216">
        <f ca="1">IF($D332&lt;&gt;"Serviço",0,IF(OR(AND(AUTOEVENTO="Manual",$M332=1),$M332&gt;(ROW(PLE.lastrow)-ROW(PLE.firstrow))),0,IF(OFFSET(PLE!$G$14,$M332,CH$13)="",10^12,OFFSET(PLE!$G$14,$M332,CH$13))))</f>
        <v>1000000000000</v>
      </c>
      <c r="CI332" s="216">
        <f ca="1">IF($D332&lt;&gt;"Serviço",0,IF(OR(AND(AUTOEVENTO="Manual",$M332=1),$M332&gt;(ROW(PLE.lastrow)-ROW(PLE.firstrow))),0,IF(OFFSET(PLE!$G$14,$M332,CI$13)="",10^12,OFFSET(PLE!$G$14,$M332,CI$13))))</f>
        <v>1000000000000</v>
      </c>
      <c r="CJ332" s="216">
        <f ca="1">IF($D332&lt;&gt;"Serviço",0,IF(OR(AND(AUTOEVENTO="Manual",$M332=1),$M332&gt;(ROW(PLE.lastrow)-ROW(PLE.firstrow))),0,IF(OFFSET(PLE!$G$14,$M332,CJ$13)="",10^12,OFFSET(PLE!$G$14,$M332,CJ$13))))</f>
        <v>1000000000000</v>
      </c>
      <c r="CK332" s="216">
        <f ca="1">IF($D332&lt;&gt;"Serviço",0,IF(OR(AND(AUTOEVENTO="Manual",$M332=1),$M332&gt;(ROW(PLE.lastrow)-ROW(PLE.firstrow))),0,IF(OFFSET(PLE!$G$14,$M332,CK$13)="",10^12,OFFSET(PLE!$G$14,$M332,CK$13))))</f>
        <v>1000000000000</v>
      </c>
      <c r="CL332" s="216">
        <f ca="1">IF($D332&lt;&gt;"Serviço",0,IF(OR(AND(AUTOEVENTO="Manual",$M332=1),$M332&gt;(ROW(PLE.lastrow)-ROW(PLE.firstrow))),0,IF(OFFSET(PLE!$G$14,$M332,CL$13)="",10^12,OFFSET(PLE!$G$14,$M332,CL$13))))</f>
        <v>1000000000000</v>
      </c>
      <c r="CM332" s="216">
        <f ca="1">IF($D332&lt;&gt;"Serviço",0,IF(OR(AND(AUTOEVENTO="Manual",$M332=1),$M332&gt;(ROW(PLE.lastrow)-ROW(PLE.firstrow))),0,IF(OFFSET(PLE!$G$14,$M332,CM$13)="",10^12,OFFSET(PLE!$G$14,$M332,CM$13))))</f>
        <v>1000000000000</v>
      </c>
    </row>
    <row r="333" spans="1:91" ht="13.2" x14ac:dyDescent="0.25">
      <c r="A333" s="9">
        <f t="shared" ca="1" si="14"/>
        <v>0</v>
      </c>
      <c r="B333" s="9" t="str">
        <f ca="1">OFFSET(ORÇAMENTO!C$15,ROW(B333)-ROW(B$15),0)</f>
        <v>S</v>
      </c>
      <c r="C333" s="9" t="str">
        <f ca="1">OFFSET(ORÇAMENTO!L$15,ROW(C333)-ROW(C$15),0)</f>
        <v/>
      </c>
      <c r="D333" s="145" t="str">
        <f ca="1">OFFSET(ORÇAMENTO!N$15,ROW(D333)-ROW(D$15),0)</f>
        <v>Serviço</v>
      </c>
      <c r="E333" s="205" t="str">
        <f ca="1">OFFSET(ORÇAMENTO!O$15,ROW(E333)-ROW(E$15),0)</f>
        <v>-</v>
      </c>
      <c r="F333" s="206" t="str">
        <f ca="1">OFFSET(ORÇAMENTO!R$15,ROW(F333)-ROW(F$15),0)</f>
        <v>(abra o arquivo 'Referência 05-2024.xls)</v>
      </c>
      <c r="G333" s="207" t="str">
        <f ca="1">IF($D333&lt;&gt;"Serviço","",OFFSET(ORÇAMENTO!S$15,ROW(G333)-ROW(G$15),0))</f>
        <v>-</v>
      </c>
      <c r="H333" s="151">
        <f ca="1">IF($D333&lt;&gt;"Serviço",0,IF(ACOMPANHAMENTO="BM",ROUND(OFFSET(ORÇAMENTO!AJ$15,ROW(H333)-ROW(H$15),0),15-13*ORÇAMENTO!$AF$7),SUMPRODUCT(($Q$12:$AI$12&lt;&gt;"")*ROUND($Q333:$AI333,15-13*ORÇAMENTO!$AF$7))))</f>
        <v>60</v>
      </c>
      <c r="I333" s="650"/>
      <c r="K333" s="208"/>
      <c r="L333" s="209" t="s">
        <v>257</v>
      </c>
      <c r="M333" s="210">
        <f ca="1">IF($D333&lt;&gt;"Serviço","",IF(AUTOEVENTO="manual",$A333,IF(ISERROR(MATCH($A333,$A$15:OFFSET($A333,-1,0),0)),MAX($M$15:OFFSET(M333,-1,0))+1,INDEX($M$15:OFFSET(M333,-1,0),MATCH($A333,$A$15:OFFSET($A333,-1,0),0)))))</f>
        <v>0</v>
      </c>
      <c r="N333" s="211" t="str">
        <f ca="1">IF($D333&lt;&gt;"Serviço","",IF(AUTOEVENTO="Manual",IF($A333=0,"&lt;-- defina o número do agrupador",OFFSET(EVENTOS!$D$14,$A333,0)),OFFSET($F$15,$A333,0)))</f>
        <v>&lt;-- defina o número do agrupador</v>
      </c>
      <c r="O333" s="212"/>
      <c r="Q333" s="212"/>
      <c r="R333" s="213"/>
      <c r="S333" s="213"/>
      <c r="T333" s="213"/>
      <c r="U333" s="213"/>
      <c r="V333" s="213"/>
      <c r="W333" s="213"/>
      <c r="X333" s="213"/>
      <c r="Y333" s="213"/>
      <c r="Z333" s="214"/>
      <c r="AA333" s="213"/>
      <c r="AB333" s="213"/>
      <c r="AC333" s="213"/>
      <c r="AD333" s="213"/>
      <c r="AE333" s="213"/>
      <c r="AF333" s="213"/>
      <c r="AG333" s="213"/>
      <c r="AH333" s="214"/>
      <c r="AJ333" s="631">
        <f ca="1">IF(AND($D333="Serviço",AJ$12&lt;&gt;0,$H333&gt;0,OR(AUTOEVENTO&lt;&gt;"manual",$M333&lt;&gt;1)),ROUND(OFFSET($P333,0,AJ$13),15-13*ORÇAMENTO!$AF$7)/$H333*OFFSET(ORÇAMENTO!$X$15,ROW(AJ333)-ROW(AJ$15),0),0)</f>
        <v>0</v>
      </c>
      <c r="AK333" s="632">
        <f ca="1">IF(AND($D333="Serviço",AK$12&lt;&gt;0,$H333&gt;0,OR(AUTOEVENTO&lt;&gt;"manual",$M333&lt;&gt;1)),ROUND(OFFSET($P333,0,AK$13),15-13*ORÇAMENTO!$AF$7)/$H333*OFFSET(ORÇAMENTO!$X$15,ROW(AK333)-ROW(AK$15),0),0)</f>
        <v>0</v>
      </c>
      <c r="AL333" s="632">
        <f ca="1">IF(AND($D333="Serviço",AL$12&lt;&gt;0,$H333&gt;0,OR(AUTOEVENTO&lt;&gt;"manual",$M333&lt;&gt;1)),ROUND(OFFSET($P333,0,AL$13),15-13*ORÇAMENTO!$AF$7)/$H333*OFFSET(ORÇAMENTO!$X$15,ROW(AL333)-ROW(AL$15),0),0)</f>
        <v>0</v>
      </c>
      <c r="AM333" s="632">
        <f ca="1">IF(AND($D333="Serviço",AM$12&lt;&gt;0,$H333&gt;0,OR(AUTOEVENTO&lt;&gt;"manual",$M333&lt;&gt;1)),ROUND(OFFSET($P333,0,AM$13),15-13*ORÇAMENTO!$AF$7)/$H333*OFFSET(ORÇAMENTO!$X$15,ROW(AM333)-ROW(AM$15),0),0)</f>
        <v>0</v>
      </c>
      <c r="AN333" s="632">
        <f ca="1">IF(AND($D333="Serviço",AN$12&lt;&gt;0,$H333&gt;0,OR(AUTOEVENTO&lt;&gt;"manual",$M333&lt;&gt;1)),ROUND(OFFSET($P333,0,AN$13),15-13*ORÇAMENTO!$AF$7)/$H333*OFFSET(ORÇAMENTO!$X$15,ROW(AN333)-ROW(AN$15),0),0)</f>
        <v>0</v>
      </c>
      <c r="AO333" s="632">
        <f ca="1">IF(AND($D333="Serviço",AO$12&lt;&gt;0,$H333&gt;0,OR(AUTOEVENTO&lt;&gt;"manual",$M333&lt;&gt;1)),ROUND(OFFSET($P333,0,AO$13),15-13*ORÇAMENTO!$AF$7)/$H333*OFFSET(ORÇAMENTO!$X$15,ROW(AO333)-ROW(AO$15),0),0)</f>
        <v>0</v>
      </c>
      <c r="AP333" s="632">
        <f ca="1">IF(AND($D333="Serviço",AP$12&lt;&gt;0,$H333&gt;0,OR(AUTOEVENTO&lt;&gt;"manual",$M333&lt;&gt;1)),ROUND(OFFSET($P333,0,AP$13),15-13*ORÇAMENTO!$AF$7)/$H333*OFFSET(ORÇAMENTO!$X$15,ROW(AP333)-ROW(AP$15),0),0)</f>
        <v>0</v>
      </c>
      <c r="AQ333" s="632">
        <f ca="1">IF(AND($D333="Serviço",AQ$12&lt;&gt;0,$H333&gt;0,OR(AUTOEVENTO&lt;&gt;"manual",$M333&lt;&gt;1)),ROUND(OFFSET($P333,0,AQ$13),15-13*ORÇAMENTO!$AF$7)/$H333*OFFSET(ORÇAMENTO!$X$15,ROW(AQ333)-ROW(AQ$15),0),0)</f>
        <v>0</v>
      </c>
      <c r="AR333" s="632">
        <f ca="1">IF(AND($D333="Serviço",AR$12&lt;&gt;0,$H333&gt;0,OR(AUTOEVENTO&lt;&gt;"manual",$M333&lt;&gt;1)),ROUND(OFFSET($P333,0,AR$13),15-13*ORÇAMENTO!$AF$7)/$H333*OFFSET(ORÇAMENTO!$X$15,ROW(AR333)-ROW(AR$15),0),0)</f>
        <v>0</v>
      </c>
      <c r="AS333" s="633">
        <f ca="1">IF(AND($D333="Serviço",AS$12&lt;&gt;0,$H333&gt;0,OR(AUTOEVENTO&lt;&gt;"manual",$M333&lt;&gt;1)),ROUND(OFFSET($P333,0,AS$13),15-13*ORÇAMENTO!$AF$7)/$H333*OFFSET(ORÇAMENTO!$X$15,ROW(AS333)-ROW(AS$15),0),0)</f>
        <v>0</v>
      </c>
      <c r="AT333" s="632">
        <f ca="1">IF(AND($D333="Serviço",AT$12&lt;&gt;0,$H333&gt;0,OR(AUTOEVENTO&lt;&gt;"manual",$M333&lt;&gt;1)),ROUND(OFFSET($P333,0,AT$13),15-13*ORÇAMENTO!$AF$7)/$H333*OFFSET(ORÇAMENTO!$X$15,ROW(AT333)-ROW(AT$15),0),0)</f>
        <v>0</v>
      </c>
      <c r="AU333" s="632">
        <f ca="1">IF(AND($D333="Serviço",AU$12&lt;&gt;0,$H333&gt;0,OR(AUTOEVENTO&lt;&gt;"manual",$M333&lt;&gt;1)),ROUND(OFFSET($P333,0,AU$13),15-13*ORÇAMENTO!$AF$7)/$H333*OFFSET(ORÇAMENTO!$X$15,ROW(AU333)-ROW(AU$15),0),0)</f>
        <v>0</v>
      </c>
      <c r="AV333" s="632">
        <f ca="1">IF(AND($D333="Serviço",AV$12&lt;&gt;0,$H333&gt;0,OR(AUTOEVENTO&lt;&gt;"manual",$M333&lt;&gt;1)),ROUND(OFFSET($P333,0,AV$13),15-13*ORÇAMENTO!$AF$7)/$H333*OFFSET(ORÇAMENTO!$X$15,ROW(AV333)-ROW(AV$15),0),0)</f>
        <v>0</v>
      </c>
      <c r="AW333" s="632">
        <f ca="1">IF(AND($D333="Serviço",AW$12&lt;&gt;0,$H333&gt;0,OR(AUTOEVENTO&lt;&gt;"manual",$M333&lt;&gt;1)),ROUND(OFFSET($P333,0,AW$13),15-13*ORÇAMENTO!$AF$7)/$H333*OFFSET(ORÇAMENTO!$X$15,ROW(AW333)-ROW(AW$15),0),0)</f>
        <v>0</v>
      </c>
      <c r="AX333" s="632">
        <f ca="1">IF(AND($D333="Serviço",AX$12&lt;&gt;0,$H333&gt;0,OR(AUTOEVENTO&lt;&gt;"manual",$M333&lt;&gt;1)),ROUND(OFFSET($P333,0,AX$13),15-13*ORÇAMENTO!$AF$7)/$H333*OFFSET(ORÇAMENTO!$X$15,ROW(AX333)-ROW(AX$15),0),0)</f>
        <v>0</v>
      </c>
      <c r="AY333" s="632">
        <f ca="1">IF(AND($D333="Serviço",AY$12&lt;&gt;0,$H333&gt;0,OR(AUTOEVENTO&lt;&gt;"manual",$M333&lt;&gt;1)),ROUND(OFFSET($P333,0,AY$13),15-13*ORÇAMENTO!$AF$7)/$H333*OFFSET(ORÇAMENTO!$X$15,ROW(AY333)-ROW(AY$15),0),0)</f>
        <v>0</v>
      </c>
      <c r="AZ333" s="632">
        <f ca="1">IF(AND($D333="Serviço",AZ$12&lt;&gt;0,$H333&gt;0,OR(AUTOEVENTO&lt;&gt;"manual",$M333&lt;&gt;1)),ROUND(OFFSET($P333,0,AZ$13),15-13*ORÇAMENTO!$AF$7)/$H333*OFFSET(ORÇAMENTO!$X$15,ROW(AZ333)-ROW(AZ$15),0),0)</f>
        <v>0</v>
      </c>
      <c r="BA333" s="633">
        <f ca="1">IF(AND($D333="Serviço",BA$12&lt;&gt;0,$H333&gt;0,OR(AUTOEVENTO&lt;&gt;"manual",$M333&lt;&gt;1)),ROUND(OFFSET($P333,0,BA$13),15-13*ORÇAMENTO!$AF$7)/$H333*OFFSET(ORÇAMENTO!$X$15,ROW(BA333)-ROW(BA$15),0),0)</f>
        <v>0</v>
      </c>
      <c r="BC333" s="215">
        <f ca="1">IF($D333&lt;&gt;"Serviço",0,IF(AND(AUTOEVENTO="Manual",$M333=1),0,IF(OFFSET(CRONOPLE!$F$14,$M333,BC$13)="",10^12,OFFSET(CRONOPLE!$F$14,$M333,BC$13))))</f>
        <v>1000000000000</v>
      </c>
      <c r="BD333" s="215">
        <f ca="1">IF($D333&lt;&gt;"Serviço",0,IF(AND(AUTOEVENTO="Manual",$M333=1),0,IF(OFFSET(CRONOPLE!$F$14,$M333,BD$13)="",10^12,OFFSET(CRONOPLE!$F$14,$M333,BD$13))))</f>
        <v>1000000000000</v>
      </c>
      <c r="BE333" s="215">
        <f ca="1">IF($D333&lt;&gt;"Serviço",0,IF(AND(AUTOEVENTO="Manual",$M333=1),0,IF(OFFSET(CRONOPLE!$F$14,$M333,BE$13)="",10^12,OFFSET(CRONOPLE!$F$14,$M333,BE$13))))</f>
        <v>1000000000000</v>
      </c>
      <c r="BF333" s="215">
        <f ca="1">IF($D333&lt;&gt;"Serviço",0,IF(AND(AUTOEVENTO="Manual",$M333=1),0,IF(OFFSET(CRONOPLE!$F$14,$M333,BF$13)="",10^12,OFFSET(CRONOPLE!$F$14,$M333,BF$13))))</f>
        <v>1000000000000</v>
      </c>
      <c r="BG333" s="215">
        <f ca="1">IF($D333&lt;&gt;"Serviço",0,IF(AND(AUTOEVENTO="Manual",$M333=1),0,IF(OFFSET(CRONOPLE!$F$14,$M333,BG$13)="",10^12,OFFSET(CRONOPLE!$F$14,$M333,BG$13))))</f>
        <v>1000000000000</v>
      </c>
      <c r="BH333" s="215">
        <f ca="1">IF($D333&lt;&gt;"Serviço",0,IF(AND(AUTOEVENTO="Manual",$M333=1),0,IF(OFFSET(CRONOPLE!$F$14,$M333,BH$13)="",10^12,OFFSET(CRONOPLE!$F$14,$M333,BH$13))))</f>
        <v>1000000000000</v>
      </c>
      <c r="BI333" s="215">
        <f ca="1">IF($D333&lt;&gt;"Serviço",0,IF(AND(AUTOEVENTO="Manual",$M333=1),0,IF(OFFSET(CRONOPLE!$F$14,$M333,BI$13)="",10^12,OFFSET(CRONOPLE!$F$14,$M333,BI$13))))</f>
        <v>1000000000000</v>
      </c>
      <c r="BJ333" s="215">
        <f ca="1">IF($D333&lt;&gt;"Serviço",0,IF(AND(AUTOEVENTO="Manual",$M333=1),0,IF(OFFSET(CRONOPLE!$F$14,$M333,BJ$13)="",10^12,OFFSET(CRONOPLE!$F$14,$M333,BJ$13))))</f>
        <v>1000000000000</v>
      </c>
      <c r="BK333" s="215">
        <f ca="1">IF($D333&lt;&gt;"Serviço",0,IF(AND(AUTOEVENTO="Manual",$M333=1),0,IF(OFFSET(CRONOPLE!$F$14,$M333,BK$13)="",10^12,OFFSET(CRONOPLE!$F$14,$M333,BK$13))))</f>
        <v>1000000000000</v>
      </c>
      <c r="BL333" s="215">
        <f ca="1">IF($D333&lt;&gt;"Serviço",0,IF(AND(AUTOEVENTO="Manual",$M333=1),0,IF(OFFSET(CRONOPLE!$F$14,$M333,BL$13)="",10^12,OFFSET(CRONOPLE!$F$14,$M333,BL$13))))</f>
        <v>1000000000000</v>
      </c>
      <c r="BM333" s="215">
        <f ca="1">IF($D333&lt;&gt;"Serviço",0,IF(AND(AUTOEVENTO="Manual",$M333=1),0,IF(OFFSET(CRONOPLE!$F$14,$M333,BM$13)="",10^12,OFFSET(CRONOPLE!$F$14,$M333,BM$13))))</f>
        <v>1000000000000</v>
      </c>
      <c r="BN333" s="215">
        <f ca="1">IF($D333&lt;&gt;"Serviço",0,IF(AND(AUTOEVENTO="Manual",$M333=1),0,IF(OFFSET(CRONOPLE!$F$14,$M333,BN$13)="",10^12,OFFSET(CRONOPLE!$F$14,$M333,BN$13))))</f>
        <v>1000000000000</v>
      </c>
      <c r="BO333" s="215">
        <f ca="1">IF($D333&lt;&gt;"Serviço",0,IF(AND(AUTOEVENTO="Manual",$M333=1),0,IF(OFFSET(CRONOPLE!$F$14,$M333,BO$13)="",10^12,OFFSET(CRONOPLE!$F$14,$M333,BO$13))))</f>
        <v>1000000000000</v>
      </c>
      <c r="BP333" s="215">
        <f ca="1">IF($D333&lt;&gt;"Serviço",0,IF(AND(AUTOEVENTO="Manual",$M333=1),0,IF(OFFSET(CRONOPLE!$F$14,$M333,BP$13)="",10^12,OFFSET(CRONOPLE!$F$14,$M333,BP$13))))</f>
        <v>1000000000000</v>
      </c>
      <c r="BQ333" s="215">
        <f ca="1">IF($D333&lt;&gt;"Serviço",0,IF(AND(AUTOEVENTO="Manual",$M333=1),0,IF(OFFSET(CRONOPLE!$F$14,$M333,BQ$13)="",10^12,OFFSET(CRONOPLE!$F$14,$M333,BQ$13))))</f>
        <v>1000000000000</v>
      </c>
      <c r="BR333" s="215">
        <f ca="1">IF($D333&lt;&gt;"Serviço",0,IF(AND(AUTOEVENTO="Manual",$M333=1),0,IF(OFFSET(CRONOPLE!$F$14,$M333,BR$13)="",10^12,OFFSET(CRONOPLE!$F$14,$M333,BR$13))))</f>
        <v>1000000000000</v>
      </c>
      <c r="BS333" s="215">
        <f ca="1">IF($D333&lt;&gt;"Serviço",0,IF(AND(AUTOEVENTO="Manual",$M333=1),0,IF(OFFSET(CRONOPLE!$F$14,$M333,BS$13)="",10^12,OFFSET(CRONOPLE!$F$14,$M333,BS$13))))</f>
        <v>1000000000000</v>
      </c>
      <c r="BT333" s="215">
        <f ca="1">IF($D333&lt;&gt;"Serviço",0,IF(AND(AUTOEVENTO="Manual",$M333=1),0,IF(OFFSET(CRONOPLE!$F$14,$M333,BT$13)="",10^12,OFFSET(CRONOPLE!$F$14,$M333,BT$13))))</f>
        <v>1000000000000</v>
      </c>
      <c r="BV333" s="216">
        <f ca="1">IF($D333&lt;&gt;"Serviço",0,IF(OR(AND(AUTOEVENTO="Manual",$M333=1),$M333&gt;(ROW(PLE.lastrow)-ROW(PLE.firstrow))),0,IF(OFFSET(PLE!$G$14,$M333,BV$13)="",10^12,OFFSET(PLE!$G$14,$M333,BV$13))))</f>
        <v>1000000000000</v>
      </c>
      <c r="BW333" s="216">
        <f ca="1">IF($D333&lt;&gt;"Serviço",0,IF(OR(AND(AUTOEVENTO="Manual",$M333=1),$M333&gt;(ROW(PLE.lastrow)-ROW(PLE.firstrow))),0,IF(OFFSET(PLE!$G$14,$M333,BW$13)="",10^12,OFFSET(PLE!$G$14,$M333,BW$13))))</f>
        <v>1000000000000</v>
      </c>
      <c r="BX333" s="216">
        <f ca="1">IF($D333&lt;&gt;"Serviço",0,IF(OR(AND(AUTOEVENTO="Manual",$M333=1),$M333&gt;(ROW(PLE.lastrow)-ROW(PLE.firstrow))),0,IF(OFFSET(PLE!$G$14,$M333,BX$13)="",10^12,OFFSET(PLE!$G$14,$M333,BX$13))))</f>
        <v>1000000000000</v>
      </c>
      <c r="BY333" s="216">
        <f ca="1">IF($D333&lt;&gt;"Serviço",0,IF(OR(AND(AUTOEVENTO="Manual",$M333=1),$M333&gt;(ROW(PLE.lastrow)-ROW(PLE.firstrow))),0,IF(OFFSET(PLE!$G$14,$M333,BY$13)="",10^12,OFFSET(PLE!$G$14,$M333,BY$13))))</f>
        <v>1000000000000</v>
      </c>
      <c r="BZ333" s="216">
        <f ca="1">IF($D333&lt;&gt;"Serviço",0,IF(OR(AND(AUTOEVENTO="Manual",$M333=1),$M333&gt;(ROW(PLE.lastrow)-ROW(PLE.firstrow))),0,IF(OFFSET(PLE!$G$14,$M333,BZ$13)="",10^12,OFFSET(PLE!$G$14,$M333,BZ$13))))</f>
        <v>1000000000000</v>
      </c>
      <c r="CA333" s="216">
        <f ca="1">IF($D333&lt;&gt;"Serviço",0,IF(OR(AND(AUTOEVENTO="Manual",$M333=1),$M333&gt;(ROW(PLE.lastrow)-ROW(PLE.firstrow))),0,IF(OFFSET(PLE!$G$14,$M333,CA$13)="",10^12,OFFSET(PLE!$G$14,$M333,CA$13))))</f>
        <v>1000000000000</v>
      </c>
      <c r="CB333" s="216">
        <f ca="1">IF($D333&lt;&gt;"Serviço",0,IF(OR(AND(AUTOEVENTO="Manual",$M333=1),$M333&gt;(ROW(PLE.lastrow)-ROW(PLE.firstrow))),0,IF(OFFSET(PLE!$G$14,$M333,CB$13)="",10^12,OFFSET(PLE!$G$14,$M333,CB$13))))</f>
        <v>1000000000000</v>
      </c>
      <c r="CC333" s="216">
        <f ca="1">IF($D333&lt;&gt;"Serviço",0,IF(OR(AND(AUTOEVENTO="Manual",$M333=1),$M333&gt;(ROW(PLE.lastrow)-ROW(PLE.firstrow))),0,IF(OFFSET(PLE!$G$14,$M333,CC$13)="",10^12,OFFSET(PLE!$G$14,$M333,CC$13))))</f>
        <v>1000000000000</v>
      </c>
      <c r="CD333" s="216">
        <f ca="1">IF($D333&lt;&gt;"Serviço",0,IF(OR(AND(AUTOEVENTO="Manual",$M333=1),$M333&gt;(ROW(PLE.lastrow)-ROW(PLE.firstrow))),0,IF(OFFSET(PLE!$G$14,$M333,CD$13)="",10^12,OFFSET(PLE!$G$14,$M333,CD$13))))</f>
        <v>1000000000000</v>
      </c>
      <c r="CE333" s="216">
        <f ca="1">IF($D333&lt;&gt;"Serviço",0,IF(OR(AND(AUTOEVENTO="Manual",$M333=1),$M333&gt;(ROW(PLE.lastrow)-ROW(PLE.firstrow))),0,IF(OFFSET(PLE!$G$14,$M333,CE$13)="",10^12,OFFSET(PLE!$G$14,$M333,CE$13))))</f>
        <v>1000000000000</v>
      </c>
      <c r="CF333" s="216">
        <f ca="1">IF($D333&lt;&gt;"Serviço",0,IF(OR(AND(AUTOEVENTO="Manual",$M333=1),$M333&gt;(ROW(PLE.lastrow)-ROW(PLE.firstrow))),0,IF(OFFSET(PLE!$G$14,$M333,CF$13)="",10^12,OFFSET(PLE!$G$14,$M333,CF$13))))</f>
        <v>1000000000000</v>
      </c>
      <c r="CG333" s="216">
        <f ca="1">IF($D333&lt;&gt;"Serviço",0,IF(OR(AND(AUTOEVENTO="Manual",$M333=1),$M333&gt;(ROW(PLE.lastrow)-ROW(PLE.firstrow))),0,IF(OFFSET(PLE!$G$14,$M333,CG$13)="",10^12,OFFSET(PLE!$G$14,$M333,CG$13))))</f>
        <v>1000000000000</v>
      </c>
      <c r="CH333" s="216">
        <f ca="1">IF($D333&lt;&gt;"Serviço",0,IF(OR(AND(AUTOEVENTO="Manual",$M333=1),$M333&gt;(ROW(PLE.lastrow)-ROW(PLE.firstrow))),0,IF(OFFSET(PLE!$G$14,$M333,CH$13)="",10^12,OFFSET(PLE!$G$14,$M333,CH$13))))</f>
        <v>1000000000000</v>
      </c>
      <c r="CI333" s="216">
        <f ca="1">IF($D333&lt;&gt;"Serviço",0,IF(OR(AND(AUTOEVENTO="Manual",$M333=1),$M333&gt;(ROW(PLE.lastrow)-ROW(PLE.firstrow))),0,IF(OFFSET(PLE!$G$14,$M333,CI$13)="",10^12,OFFSET(PLE!$G$14,$M333,CI$13))))</f>
        <v>1000000000000</v>
      </c>
      <c r="CJ333" s="216">
        <f ca="1">IF($D333&lt;&gt;"Serviço",0,IF(OR(AND(AUTOEVENTO="Manual",$M333=1),$M333&gt;(ROW(PLE.lastrow)-ROW(PLE.firstrow))),0,IF(OFFSET(PLE!$G$14,$M333,CJ$13)="",10^12,OFFSET(PLE!$G$14,$M333,CJ$13))))</f>
        <v>1000000000000</v>
      </c>
      <c r="CK333" s="216">
        <f ca="1">IF($D333&lt;&gt;"Serviço",0,IF(OR(AND(AUTOEVENTO="Manual",$M333=1),$M333&gt;(ROW(PLE.lastrow)-ROW(PLE.firstrow))),0,IF(OFFSET(PLE!$G$14,$M333,CK$13)="",10^12,OFFSET(PLE!$G$14,$M333,CK$13))))</f>
        <v>1000000000000</v>
      </c>
      <c r="CL333" s="216">
        <f ca="1">IF($D333&lt;&gt;"Serviço",0,IF(OR(AND(AUTOEVENTO="Manual",$M333=1),$M333&gt;(ROW(PLE.lastrow)-ROW(PLE.firstrow))),0,IF(OFFSET(PLE!$G$14,$M333,CL$13)="",10^12,OFFSET(PLE!$G$14,$M333,CL$13))))</f>
        <v>1000000000000</v>
      </c>
      <c r="CM333" s="216">
        <f ca="1">IF($D333&lt;&gt;"Serviço",0,IF(OR(AND(AUTOEVENTO="Manual",$M333=1),$M333&gt;(ROW(PLE.lastrow)-ROW(PLE.firstrow))),0,IF(OFFSET(PLE!$G$14,$M333,CM$13)="",10^12,OFFSET(PLE!$G$14,$M333,CM$13))))</f>
        <v>1000000000000</v>
      </c>
    </row>
    <row r="334" spans="1:91" ht="13.2" x14ac:dyDescent="0.25">
      <c r="A334" s="9">
        <f t="shared" ca="1" si="14"/>
        <v>0</v>
      </c>
      <c r="B334" s="9" t="str">
        <f ca="1">OFFSET(ORÇAMENTO!C$15,ROW(B334)-ROW(B$15),0)</f>
        <v>S</v>
      </c>
      <c r="C334" s="9" t="str">
        <f ca="1">OFFSET(ORÇAMENTO!L$15,ROW(C334)-ROW(C$15),0)</f>
        <v/>
      </c>
      <c r="D334" s="145" t="str">
        <f ca="1">OFFSET(ORÇAMENTO!N$15,ROW(D334)-ROW(D$15),0)</f>
        <v>Serviço</v>
      </c>
      <c r="E334" s="205" t="str">
        <f ca="1">OFFSET(ORÇAMENTO!O$15,ROW(E334)-ROW(E$15),0)</f>
        <v>-</v>
      </c>
      <c r="F334" s="206" t="str">
        <f ca="1">OFFSET(ORÇAMENTO!R$15,ROW(F334)-ROW(F$15),0)</f>
        <v>(abra o arquivo 'Referência 05-2024.xls)</v>
      </c>
      <c r="G334" s="207" t="str">
        <f ca="1">IF($D334&lt;&gt;"Serviço","",OFFSET(ORÇAMENTO!S$15,ROW(G334)-ROW(G$15),0))</f>
        <v>-</v>
      </c>
      <c r="H334" s="151">
        <f ca="1">IF($D334&lt;&gt;"Serviço",0,IF(ACOMPANHAMENTO="BM",ROUND(OFFSET(ORÇAMENTO!AJ$15,ROW(H334)-ROW(H$15),0),15-13*ORÇAMENTO!$AF$7),SUMPRODUCT(($Q$12:$AI$12&lt;&gt;"")*ROUND($Q334:$AI334,15-13*ORÇAMENTO!$AF$7))))</f>
        <v>36</v>
      </c>
      <c r="I334" s="650"/>
      <c r="K334" s="208"/>
      <c r="L334" s="209" t="s">
        <v>257</v>
      </c>
      <c r="M334" s="210">
        <f ca="1">IF($D334&lt;&gt;"Serviço","",IF(AUTOEVENTO="manual",$A334,IF(ISERROR(MATCH($A334,$A$15:OFFSET($A334,-1,0),0)),MAX($M$15:OFFSET(M334,-1,0))+1,INDEX($M$15:OFFSET(M334,-1,0),MATCH($A334,$A$15:OFFSET($A334,-1,0),0)))))</f>
        <v>0</v>
      </c>
      <c r="N334" s="211" t="str">
        <f ca="1">IF($D334&lt;&gt;"Serviço","",IF(AUTOEVENTO="Manual",IF($A334=0,"&lt;-- defina o número do agrupador",OFFSET(EVENTOS!$D$14,$A334,0)),OFFSET($F$15,$A334,0)))</f>
        <v>&lt;-- defina o número do agrupador</v>
      </c>
      <c r="O334" s="212"/>
      <c r="Q334" s="212"/>
      <c r="R334" s="213"/>
      <c r="S334" s="213"/>
      <c r="T334" s="213"/>
      <c r="U334" s="213"/>
      <c r="V334" s="213"/>
      <c r="W334" s="213"/>
      <c r="X334" s="213"/>
      <c r="Y334" s="213"/>
      <c r="Z334" s="214"/>
      <c r="AA334" s="213"/>
      <c r="AB334" s="213"/>
      <c r="AC334" s="213"/>
      <c r="AD334" s="213"/>
      <c r="AE334" s="213"/>
      <c r="AF334" s="213"/>
      <c r="AG334" s="213"/>
      <c r="AH334" s="214"/>
      <c r="AJ334" s="631">
        <f ca="1">IF(AND($D334="Serviço",AJ$12&lt;&gt;0,$H334&gt;0,OR(AUTOEVENTO&lt;&gt;"manual",$M334&lt;&gt;1)),ROUND(OFFSET($P334,0,AJ$13),15-13*ORÇAMENTO!$AF$7)/$H334*OFFSET(ORÇAMENTO!$X$15,ROW(AJ334)-ROW(AJ$15),0),0)</f>
        <v>0</v>
      </c>
      <c r="AK334" s="632">
        <f ca="1">IF(AND($D334="Serviço",AK$12&lt;&gt;0,$H334&gt;0,OR(AUTOEVENTO&lt;&gt;"manual",$M334&lt;&gt;1)),ROUND(OFFSET($P334,0,AK$13),15-13*ORÇAMENTO!$AF$7)/$H334*OFFSET(ORÇAMENTO!$X$15,ROW(AK334)-ROW(AK$15),0),0)</f>
        <v>0</v>
      </c>
      <c r="AL334" s="632">
        <f ca="1">IF(AND($D334="Serviço",AL$12&lt;&gt;0,$H334&gt;0,OR(AUTOEVENTO&lt;&gt;"manual",$M334&lt;&gt;1)),ROUND(OFFSET($P334,0,AL$13),15-13*ORÇAMENTO!$AF$7)/$H334*OFFSET(ORÇAMENTO!$X$15,ROW(AL334)-ROW(AL$15),0),0)</f>
        <v>0</v>
      </c>
      <c r="AM334" s="632">
        <f ca="1">IF(AND($D334="Serviço",AM$12&lt;&gt;0,$H334&gt;0,OR(AUTOEVENTO&lt;&gt;"manual",$M334&lt;&gt;1)),ROUND(OFFSET($P334,0,AM$13),15-13*ORÇAMENTO!$AF$7)/$H334*OFFSET(ORÇAMENTO!$X$15,ROW(AM334)-ROW(AM$15),0),0)</f>
        <v>0</v>
      </c>
      <c r="AN334" s="632">
        <f ca="1">IF(AND($D334="Serviço",AN$12&lt;&gt;0,$H334&gt;0,OR(AUTOEVENTO&lt;&gt;"manual",$M334&lt;&gt;1)),ROUND(OFFSET($P334,0,AN$13),15-13*ORÇAMENTO!$AF$7)/$H334*OFFSET(ORÇAMENTO!$X$15,ROW(AN334)-ROW(AN$15),0),0)</f>
        <v>0</v>
      </c>
      <c r="AO334" s="632">
        <f ca="1">IF(AND($D334="Serviço",AO$12&lt;&gt;0,$H334&gt;0,OR(AUTOEVENTO&lt;&gt;"manual",$M334&lt;&gt;1)),ROUND(OFFSET($P334,0,AO$13),15-13*ORÇAMENTO!$AF$7)/$H334*OFFSET(ORÇAMENTO!$X$15,ROW(AO334)-ROW(AO$15),0),0)</f>
        <v>0</v>
      </c>
      <c r="AP334" s="632">
        <f ca="1">IF(AND($D334="Serviço",AP$12&lt;&gt;0,$H334&gt;0,OR(AUTOEVENTO&lt;&gt;"manual",$M334&lt;&gt;1)),ROUND(OFFSET($P334,0,AP$13),15-13*ORÇAMENTO!$AF$7)/$H334*OFFSET(ORÇAMENTO!$X$15,ROW(AP334)-ROW(AP$15),0),0)</f>
        <v>0</v>
      </c>
      <c r="AQ334" s="632">
        <f ca="1">IF(AND($D334="Serviço",AQ$12&lt;&gt;0,$H334&gt;0,OR(AUTOEVENTO&lt;&gt;"manual",$M334&lt;&gt;1)),ROUND(OFFSET($P334,0,AQ$13),15-13*ORÇAMENTO!$AF$7)/$H334*OFFSET(ORÇAMENTO!$X$15,ROW(AQ334)-ROW(AQ$15),0),0)</f>
        <v>0</v>
      </c>
      <c r="AR334" s="632">
        <f ca="1">IF(AND($D334="Serviço",AR$12&lt;&gt;0,$H334&gt;0,OR(AUTOEVENTO&lt;&gt;"manual",$M334&lt;&gt;1)),ROUND(OFFSET($P334,0,AR$13),15-13*ORÇAMENTO!$AF$7)/$H334*OFFSET(ORÇAMENTO!$X$15,ROW(AR334)-ROW(AR$15),0),0)</f>
        <v>0</v>
      </c>
      <c r="AS334" s="633">
        <f ca="1">IF(AND($D334="Serviço",AS$12&lt;&gt;0,$H334&gt;0,OR(AUTOEVENTO&lt;&gt;"manual",$M334&lt;&gt;1)),ROUND(OFFSET($P334,0,AS$13),15-13*ORÇAMENTO!$AF$7)/$H334*OFFSET(ORÇAMENTO!$X$15,ROW(AS334)-ROW(AS$15),0),0)</f>
        <v>0</v>
      </c>
      <c r="AT334" s="632">
        <f ca="1">IF(AND($D334="Serviço",AT$12&lt;&gt;0,$H334&gt;0,OR(AUTOEVENTO&lt;&gt;"manual",$M334&lt;&gt;1)),ROUND(OFFSET($P334,0,AT$13),15-13*ORÇAMENTO!$AF$7)/$H334*OFFSET(ORÇAMENTO!$X$15,ROW(AT334)-ROW(AT$15),0),0)</f>
        <v>0</v>
      </c>
      <c r="AU334" s="632">
        <f ca="1">IF(AND($D334="Serviço",AU$12&lt;&gt;0,$H334&gt;0,OR(AUTOEVENTO&lt;&gt;"manual",$M334&lt;&gt;1)),ROUND(OFFSET($P334,0,AU$13),15-13*ORÇAMENTO!$AF$7)/$H334*OFFSET(ORÇAMENTO!$X$15,ROW(AU334)-ROW(AU$15),0),0)</f>
        <v>0</v>
      </c>
      <c r="AV334" s="632">
        <f ca="1">IF(AND($D334="Serviço",AV$12&lt;&gt;0,$H334&gt;0,OR(AUTOEVENTO&lt;&gt;"manual",$M334&lt;&gt;1)),ROUND(OFFSET($P334,0,AV$13),15-13*ORÇAMENTO!$AF$7)/$H334*OFFSET(ORÇAMENTO!$X$15,ROW(AV334)-ROW(AV$15),0),0)</f>
        <v>0</v>
      </c>
      <c r="AW334" s="632">
        <f ca="1">IF(AND($D334="Serviço",AW$12&lt;&gt;0,$H334&gt;0,OR(AUTOEVENTO&lt;&gt;"manual",$M334&lt;&gt;1)),ROUND(OFFSET($P334,0,AW$13),15-13*ORÇAMENTO!$AF$7)/$H334*OFFSET(ORÇAMENTO!$X$15,ROW(AW334)-ROW(AW$15),0),0)</f>
        <v>0</v>
      </c>
      <c r="AX334" s="632">
        <f ca="1">IF(AND($D334="Serviço",AX$12&lt;&gt;0,$H334&gt;0,OR(AUTOEVENTO&lt;&gt;"manual",$M334&lt;&gt;1)),ROUND(OFFSET($P334,0,AX$13),15-13*ORÇAMENTO!$AF$7)/$H334*OFFSET(ORÇAMENTO!$X$15,ROW(AX334)-ROW(AX$15),0),0)</f>
        <v>0</v>
      </c>
      <c r="AY334" s="632">
        <f ca="1">IF(AND($D334="Serviço",AY$12&lt;&gt;0,$H334&gt;0,OR(AUTOEVENTO&lt;&gt;"manual",$M334&lt;&gt;1)),ROUND(OFFSET($P334,0,AY$13),15-13*ORÇAMENTO!$AF$7)/$H334*OFFSET(ORÇAMENTO!$X$15,ROW(AY334)-ROW(AY$15),0),0)</f>
        <v>0</v>
      </c>
      <c r="AZ334" s="632">
        <f ca="1">IF(AND($D334="Serviço",AZ$12&lt;&gt;0,$H334&gt;0,OR(AUTOEVENTO&lt;&gt;"manual",$M334&lt;&gt;1)),ROUND(OFFSET($P334,0,AZ$13),15-13*ORÇAMENTO!$AF$7)/$H334*OFFSET(ORÇAMENTO!$X$15,ROW(AZ334)-ROW(AZ$15),0),0)</f>
        <v>0</v>
      </c>
      <c r="BA334" s="633">
        <f ca="1">IF(AND($D334="Serviço",BA$12&lt;&gt;0,$H334&gt;0,OR(AUTOEVENTO&lt;&gt;"manual",$M334&lt;&gt;1)),ROUND(OFFSET($P334,0,BA$13),15-13*ORÇAMENTO!$AF$7)/$H334*OFFSET(ORÇAMENTO!$X$15,ROW(BA334)-ROW(BA$15),0),0)</f>
        <v>0</v>
      </c>
      <c r="BC334" s="215">
        <f ca="1">IF($D334&lt;&gt;"Serviço",0,IF(AND(AUTOEVENTO="Manual",$M334=1),0,IF(OFFSET(CRONOPLE!$F$14,$M334,BC$13)="",10^12,OFFSET(CRONOPLE!$F$14,$M334,BC$13))))</f>
        <v>1000000000000</v>
      </c>
      <c r="BD334" s="215">
        <f ca="1">IF($D334&lt;&gt;"Serviço",0,IF(AND(AUTOEVENTO="Manual",$M334=1),0,IF(OFFSET(CRONOPLE!$F$14,$M334,BD$13)="",10^12,OFFSET(CRONOPLE!$F$14,$M334,BD$13))))</f>
        <v>1000000000000</v>
      </c>
      <c r="BE334" s="215">
        <f ca="1">IF($D334&lt;&gt;"Serviço",0,IF(AND(AUTOEVENTO="Manual",$M334=1),0,IF(OFFSET(CRONOPLE!$F$14,$M334,BE$13)="",10^12,OFFSET(CRONOPLE!$F$14,$M334,BE$13))))</f>
        <v>1000000000000</v>
      </c>
      <c r="BF334" s="215">
        <f ca="1">IF($D334&lt;&gt;"Serviço",0,IF(AND(AUTOEVENTO="Manual",$M334=1),0,IF(OFFSET(CRONOPLE!$F$14,$M334,BF$13)="",10^12,OFFSET(CRONOPLE!$F$14,$M334,BF$13))))</f>
        <v>1000000000000</v>
      </c>
      <c r="BG334" s="215">
        <f ca="1">IF($D334&lt;&gt;"Serviço",0,IF(AND(AUTOEVENTO="Manual",$M334=1),0,IF(OFFSET(CRONOPLE!$F$14,$M334,BG$13)="",10^12,OFFSET(CRONOPLE!$F$14,$M334,BG$13))))</f>
        <v>1000000000000</v>
      </c>
      <c r="BH334" s="215">
        <f ca="1">IF($D334&lt;&gt;"Serviço",0,IF(AND(AUTOEVENTO="Manual",$M334=1),0,IF(OFFSET(CRONOPLE!$F$14,$M334,BH$13)="",10^12,OFFSET(CRONOPLE!$F$14,$M334,BH$13))))</f>
        <v>1000000000000</v>
      </c>
      <c r="BI334" s="215">
        <f ca="1">IF($D334&lt;&gt;"Serviço",0,IF(AND(AUTOEVENTO="Manual",$M334=1),0,IF(OFFSET(CRONOPLE!$F$14,$M334,BI$13)="",10^12,OFFSET(CRONOPLE!$F$14,$M334,BI$13))))</f>
        <v>1000000000000</v>
      </c>
      <c r="BJ334" s="215">
        <f ca="1">IF($D334&lt;&gt;"Serviço",0,IF(AND(AUTOEVENTO="Manual",$M334=1),0,IF(OFFSET(CRONOPLE!$F$14,$M334,BJ$13)="",10^12,OFFSET(CRONOPLE!$F$14,$M334,BJ$13))))</f>
        <v>1000000000000</v>
      </c>
      <c r="BK334" s="215">
        <f ca="1">IF($D334&lt;&gt;"Serviço",0,IF(AND(AUTOEVENTO="Manual",$M334=1),0,IF(OFFSET(CRONOPLE!$F$14,$M334,BK$13)="",10^12,OFFSET(CRONOPLE!$F$14,$M334,BK$13))))</f>
        <v>1000000000000</v>
      </c>
      <c r="BL334" s="215">
        <f ca="1">IF($D334&lt;&gt;"Serviço",0,IF(AND(AUTOEVENTO="Manual",$M334=1),0,IF(OFFSET(CRONOPLE!$F$14,$M334,BL$13)="",10^12,OFFSET(CRONOPLE!$F$14,$M334,BL$13))))</f>
        <v>1000000000000</v>
      </c>
      <c r="BM334" s="215">
        <f ca="1">IF($D334&lt;&gt;"Serviço",0,IF(AND(AUTOEVENTO="Manual",$M334=1),0,IF(OFFSET(CRONOPLE!$F$14,$M334,BM$13)="",10^12,OFFSET(CRONOPLE!$F$14,$M334,BM$13))))</f>
        <v>1000000000000</v>
      </c>
      <c r="BN334" s="215">
        <f ca="1">IF($D334&lt;&gt;"Serviço",0,IF(AND(AUTOEVENTO="Manual",$M334=1),0,IF(OFFSET(CRONOPLE!$F$14,$M334,BN$13)="",10^12,OFFSET(CRONOPLE!$F$14,$M334,BN$13))))</f>
        <v>1000000000000</v>
      </c>
      <c r="BO334" s="215">
        <f ca="1">IF($D334&lt;&gt;"Serviço",0,IF(AND(AUTOEVENTO="Manual",$M334=1),0,IF(OFFSET(CRONOPLE!$F$14,$M334,BO$13)="",10^12,OFFSET(CRONOPLE!$F$14,$M334,BO$13))))</f>
        <v>1000000000000</v>
      </c>
      <c r="BP334" s="215">
        <f ca="1">IF($D334&lt;&gt;"Serviço",0,IF(AND(AUTOEVENTO="Manual",$M334=1),0,IF(OFFSET(CRONOPLE!$F$14,$M334,BP$13)="",10^12,OFFSET(CRONOPLE!$F$14,$M334,BP$13))))</f>
        <v>1000000000000</v>
      </c>
      <c r="BQ334" s="215">
        <f ca="1">IF($D334&lt;&gt;"Serviço",0,IF(AND(AUTOEVENTO="Manual",$M334=1),0,IF(OFFSET(CRONOPLE!$F$14,$M334,BQ$13)="",10^12,OFFSET(CRONOPLE!$F$14,$M334,BQ$13))))</f>
        <v>1000000000000</v>
      </c>
      <c r="BR334" s="215">
        <f ca="1">IF($D334&lt;&gt;"Serviço",0,IF(AND(AUTOEVENTO="Manual",$M334=1),0,IF(OFFSET(CRONOPLE!$F$14,$M334,BR$13)="",10^12,OFFSET(CRONOPLE!$F$14,$M334,BR$13))))</f>
        <v>1000000000000</v>
      </c>
      <c r="BS334" s="215">
        <f ca="1">IF($D334&lt;&gt;"Serviço",0,IF(AND(AUTOEVENTO="Manual",$M334=1),0,IF(OFFSET(CRONOPLE!$F$14,$M334,BS$13)="",10^12,OFFSET(CRONOPLE!$F$14,$M334,BS$13))))</f>
        <v>1000000000000</v>
      </c>
      <c r="BT334" s="215">
        <f ca="1">IF($D334&lt;&gt;"Serviço",0,IF(AND(AUTOEVENTO="Manual",$M334=1),0,IF(OFFSET(CRONOPLE!$F$14,$M334,BT$13)="",10^12,OFFSET(CRONOPLE!$F$14,$M334,BT$13))))</f>
        <v>1000000000000</v>
      </c>
      <c r="BV334" s="216">
        <f ca="1">IF($D334&lt;&gt;"Serviço",0,IF(OR(AND(AUTOEVENTO="Manual",$M334=1),$M334&gt;(ROW(PLE.lastrow)-ROW(PLE.firstrow))),0,IF(OFFSET(PLE!$G$14,$M334,BV$13)="",10^12,OFFSET(PLE!$G$14,$M334,BV$13))))</f>
        <v>1000000000000</v>
      </c>
      <c r="BW334" s="216">
        <f ca="1">IF($D334&lt;&gt;"Serviço",0,IF(OR(AND(AUTOEVENTO="Manual",$M334=1),$M334&gt;(ROW(PLE.lastrow)-ROW(PLE.firstrow))),0,IF(OFFSET(PLE!$G$14,$M334,BW$13)="",10^12,OFFSET(PLE!$G$14,$M334,BW$13))))</f>
        <v>1000000000000</v>
      </c>
      <c r="BX334" s="216">
        <f ca="1">IF($D334&lt;&gt;"Serviço",0,IF(OR(AND(AUTOEVENTO="Manual",$M334=1),$M334&gt;(ROW(PLE.lastrow)-ROW(PLE.firstrow))),0,IF(OFFSET(PLE!$G$14,$M334,BX$13)="",10^12,OFFSET(PLE!$G$14,$M334,BX$13))))</f>
        <v>1000000000000</v>
      </c>
      <c r="BY334" s="216">
        <f ca="1">IF($D334&lt;&gt;"Serviço",0,IF(OR(AND(AUTOEVENTO="Manual",$M334=1),$M334&gt;(ROW(PLE.lastrow)-ROW(PLE.firstrow))),0,IF(OFFSET(PLE!$G$14,$M334,BY$13)="",10^12,OFFSET(PLE!$G$14,$M334,BY$13))))</f>
        <v>1000000000000</v>
      </c>
      <c r="BZ334" s="216">
        <f ca="1">IF($D334&lt;&gt;"Serviço",0,IF(OR(AND(AUTOEVENTO="Manual",$M334=1),$M334&gt;(ROW(PLE.lastrow)-ROW(PLE.firstrow))),0,IF(OFFSET(PLE!$G$14,$M334,BZ$13)="",10^12,OFFSET(PLE!$G$14,$M334,BZ$13))))</f>
        <v>1000000000000</v>
      </c>
      <c r="CA334" s="216">
        <f ca="1">IF($D334&lt;&gt;"Serviço",0,IF(OR(AND(AUTOEVENTO="Manual",$M334=1),$M334&gt;(ROW(PLE.lastrow)-ROW(PLE.firstrow))),0,IF(OFFSET(PLE!$G$14,$M334,CA$13)="",10^12,OFFSET(PLE!$G$14,$M334,CA$13))))</f>
        <v>1000000000000</v>
      </c>
      <c r="CB334" s="216">
        <f ca="1">IF($D334&lt;&gt;"Serviço",0,IF(OR(AND(AUTOEVENTO="Manual",$M334=1),$M334&gt;(ROW(PLE.lastrow)-ROW(PLE.firstrow))),0,IF(OFFSET(PLE!$G$14,$M334,CB$13)="",10^12,OFFSET(PLE!$G$14,$M334,CB$13))))</f>
        <v>1000000000000</v>
      </c>
      <c r="CC334" s="216">
        <f ca="1">IF($D334&lt;&gt;"Serviço",0,IF(OR(AND(AUTOEVENTO="Manual",$M334=1),$M334&gt;(ROW(PLE.lastrow)-ROW(PLE.firstrow))),0,IF(OFFSET(PLE!$G$14,$M334,CC$13)="",10^12,OFFSET(PLE!$G$14,$M334,CC$13))))</f>
        <v>1000000000000</v>
      </c>
      <c r="CD334" s="216">
        <f ca="1">IF($D334&lt;&gt;"Serviço",0,IF(OR(AND(AUTOEVENTO="Manual",$M334=1),$M334&gt;(ROW(PLE.lastrow)-ROW(PLE.firstrow))),0,IF(OFFSET(PLE!$G$14,$M334,CD$13)="",10^12,OFFSET(PLE!$G$14,$M334,CD$13))))</f>
        <v>1000000000000</v>
      </c>
      <c r="CE334" s="216">
        <f ca="1">IF($D334&lt;&gt;"Serviço",0,IF(OR(AND(AUTOEVENTO="Manual",$M334=1),$M334&gt;(ROW(PLE.lastrow)-ROW(PLE.firstrow))),0,IF(OFFSET(PLE!$G$14,$M334,CE$13)="",10^12,OFFSET(PLE!$G$14,$M334,CE$13))))</f>
        <v>1000000000000</v>
      </c>
      <c r="CF334" s="216">
        <f ca="1">IF($D334&lt;&gt;"Serviço",0,IF(OR(AND(AUTOEVENTO="Manual",$M334=1),$M334&gt;(ROW(PLE.lastrow)-ROW(PLE.firstrow))),0,IF(OFFSET(PLE!$G$14,$M334,CF$13)="",10^12,OFFSET(PLE!$G$14,$M334,CF$13))))</f>
        <v>1000000000000</v>
      </c>
      <c r="CG334" s="216">
        <f ca="1">IF($D334&lt;&gt;"Serviço",0,IF(OR(AND(AUTOEVENTO="Manual",$M334=1),$M334&gt;(ROW(PLE.lastrow)-ROW(PLE.firstrow))),0,IF(OFFSET(PLE!$G$14,$M334,CG$13)="",10^12,OFFSET(PLE!$G$14,$M334,CG$13))))</f>
        <v>1000000000000</v>
      </c>
      <c r="CH334" s="216">
        <f ca="1">IF($D334&lt;&gt;"Serviço",0,IF(OR(AND(AUTOEVENTO="Manual",$M334=1),$M334&gt;(ROW(PLE.lastrow)-ROW(PLE.firstrow))),0,IF(OFFSET(PLE!$G$14,$M334,CH$13)="",10^12,OFFSET(PLE!$G$14,$M334,CH$13))))</f>
        <v>1000000000000</v>
      </c>
      <c r="CI334" s="216">
        <f ca="1">IF($D334&lt;&gt;"Serviço",0,IF(OR(AND(AUTOEVENTO="Manual",$M334=1),$M334&gt;(ROW(PLE.lastrow)-ROW(PLE.firstrow))),0,IF(OFFSET(PLE!$G$14,$M334,CI$13)="",10^12,OFFSET(PLE!$G$14,$M334,CI$13))))</f>
        <v>1000000000000</v>
      </c>
      <c r="CJ334" s="216">
        <f ca="1">IF($D334&lt;&gt;"Serviço",0,IF(OR(AND(AUTOEVENTO="Manual",$M334=1),$M334&gt;(ROW(PLE.lastrow)-ROW(PLE.firstrow))),0,IF(OFFSET(PLE!$G$14,$M334,CJ$13)="",10^12,OFFSET(PLE!$G$14,$M334,CJ$13))))</f>
        <v>1000000000000</v>
      </c>
      <c r="CK334" s="216">
        <f ca="1">IF($D334&lt;&gt;"Serviço",0,IF(OR(AND(AUTOEVENTO="Manual",$M334=1),$M334&gt;(ROW(PLE.lastrow)-ROW(PLE.firstrow))),0,IF(OFFSET(PLE!$G$14,$M334,CK$13)="",10^12,OFFSET(PLE!$G$14,$M334,CK$13))))</f>
        <v>1000000000000</v>
      </c>
      <c r="CL334" s="216">
        <f ca="1">IF($D334&lt;&gt;"Serviço",0,IF(OR(AND(AUTOEVENTO="Manual",$M334=1),$M334&gt;(ROW(PLE.lastrow)-ROW(PLE.firstrow))),0,IF(OFFSET(PLE!$G$14,$M334,CL$13)="",10^12,OFFSET(PLE!$G$14,$M334,CL$13))))</f>
        <v>1000000000000</v>
      </c>
      <c r="CM334" s="216">
        <f ca="1">IF($D334&lt;&gt;"Serviço",0,IF(OR(AND(AUTOEVENTO="Manual",$M334=1),$M334&gt;(ROW(PLE.lastrow)-ROW(PLE.firstrow))),0,IF(OFFSET(PLE!$G$14,$M334,CM$13)="",10^12,OFFSET(PLE!$G$14,$M334,CM$13))))</f>
        <v>1000000000000</v>
      </c>
    </row>
    <row r="335" spans="1:91" ht="13.2" x14ac:dyDescent="0.25">
      <c r="A335" s="9">
        <f t="shared" ca="1" si="14"/>
        <v>0</v>
      </c>
      <c r="B335" s="9" t="str">
        <f ca="1">OFFSET(ORÇAMENTO!C$15,ROW(B335)-ROW(B$15),0)</f>
        <v>S</v>
      </c>
      <c r="C335" s="9" t="str">
        <f ca="1">OFFSET(ORÇAMENTO!L$15,ROW(C335)-ROW(C$15),0)</f>
        <v/>
      </c>
      <c r="D335" s="145" t="str">
        <f ca="1">OFFSET(ORÇAMENTO!N$15,ROW(D335)-ROW(D$15),0)</f>
        <v>Serviço</v>
      </c>
      <c r="E335" s="205" t="str">
        <f ca="1">OFFSET(ORÇAMENTO!O$15,ROW(E335)-ROW(E$15),0)</f>
        <v>-</v>
      </c>
      <c r="F335" s="206" t="str">
        <f ca="1">OFFSET(ORÇAMENTO!R$15,ROW(F335)-ROW(F$15),0)</f>
        <v>(abra o arquivo 'Referência 05-2024.xls)</v>
      </c>
      <c r="G335" s="207" t="str">
        <f ca="1">IF($D335&lt;&gt;"Serviço","",OFFSET(ORÇAMENTO!S$15,ROW(G335)-ROW(G$15),0))</f>
        <v>-</v>
      </c>
      <c r="H335" s="151">
        <f ca="1">IF($D335&lt;&gt;"Serviço",0,IF(ACOMPANHAMENTO="BM",ROUND(OFFSET(ORÇAMENTO!AJ$15,ROW(H335)-ROW(H$15),0),15-13*ORÇAMENTO!$AF$7),SUMPRODUCT(($Q$12:$AI$12&lt;&gt;"")*ROUND($Q335:$AI335,15-13*ORÇAMENTO!$AF$7))))</f>
        <v>10</v>
      </c>
      <c r="I335" s="650"/>
      <c r="K335" s="208"/>
      <c r="L335" s="209" t="s">
        <v>257</v>
      </c>
      <c r="M335" s="210">
        <f ca="1">IF($D335&lt;&gt;"Serviço","",IF(AUTOEVENTO="manual",$A335,IF(ISERROR(MATCH($A335,$A$15:OFFSET($A335,-1,0),0)),MAX($M$15:OFFSET(M335,-1,0))+1,INDEX($M$15:OFFSET(M335,-1,0),MATCH($A335,$A$15:OFFSET($A335,-1,0),0)))))</f>
        <v>0</v>
      </c>
      <c r="N335" s="211" t="str">
        <f ca="1">IF($D335&lt;&gt;"Serviço","",IF(AUTOEVENTO="Manual",IF($A335=0,"&lt;-- defina o número do agrupador",OFFSET(EVENTOS!$D$14,$A335,0)),OFFSET($F$15,$A335,0)))</f>
        <v>&lt;-- defina o número do agrupador</v>
      </c>
      <c r="O335" s="212"/>
      <c r="Q335" s="212"/>
      <c r="R335" s="213"/>
      <c r="S335" s="213"/>
      <c r="T335" s="213"/>
      <c r="U335" s="213"/>
      <c r="V335" s="213"/>
      <c r="W335" s="213"/>
      <c r="X335" s="213"/>
      <c r="Y335" s="213"/>
      <c r="Z335" s="214"/>
      <c r="AA335" s="213"/>
      <c r="AB335" s="213"/>
      <c r="AC335" s="213"/>
      <c r="AD335" s="213"/>
      <c r="AE335" s="213"/>
      <c r="AF335" s="213"/>
      <c r="AG335" s="213"/>
      <c r="AH335" s="214"/>
      <c r="AJ335" s="631">
        <f ca="1">IF(AND($D335="Serviço",AJ$12&lt;&gt;0,$H335&gt;0,OR(AUTOEVENTO&lt;&gt;"manual",$M335&lt;&gt;1)),ROUND(OFFSET($P335,0,AJ$13),15-13*ORÇAMENTO!$AF$7)/$H335*OFFSET(ORÇAMENTO!$X$15,ROW(AJ335)-ROW(AJ$15),0),0)</f>
        <v>0</v>
      </c>
      <c r="AK335" s="632">
        <f ca="1">IF(AND($D335="Serviço",AK$12&lt;&gt;0,$H335&gt;0,OR(AUTOEVENTO&lt;&gt;"manual",$M335&lt;&gt;1)),ROUND(OFFSET($P335,0,AK$13),15-13*ORÇAMENTO!$AF$7)/$H335*OFFSET(ORÇAMENTO!$X$15,ROW(AK335)-ROW(AK$15),0),0)</f>
        <v>0</v>
      </c>
      <c r="AL335" s="632">
        <f ca="1">IF(AND($D335="Serviço",AL$12&lt;&gt;0,$H335&gt;0,OR(AUTOEVENTO&lt;&gt;"manual",$M335&lt;&gt;1)),ROUND(OFFSET($P335,0,AL$13),15-13*ORÇAMENTO!$AF$7)/$H335*OFFSET(ORÇAMENTO!$X$15,ROW(AL335)-ROW(AL$15),0),0)</f>
        <v>0</v>
      </c>
      <c r="AM335" s="632">
        <f ca="1">IF(AND($D335="Serviço",AM$12&lt;&gt;0,$H335&gt;0,OR(AUTOEVENTO&lt;&gt;"manual",$M335&lt;&gt;1)),ROUND(OFFSET($P335,0,AM$13),15-13*ORÇAMENTO!$AF$7)/$H335*OFFSET(ORÇAMENTO!$X$15,ROW(AM335)-ROW(AM$15),0),0)</f>
        <v>0</v>
      </c>
      <c r="AN335" s="632">
        <f ca="1">IF(AND($D335="Serviço",AN$12&lt;&gt;0,$H335&gt;0,OR(AUTOEVENTO&lt;&gt;"manual",$M335&lt;&gt;1)),ROUND(OFFSET($P335,0,AN$13),15-13*ORÇAMENTO!$AF$7)/$H335*OFFSET(ORÇAMENTO!$X$15,ROW(AN335)-ROW(AN$15),0),0)</f>
        <v>0</v>
      </c>
      <c r="AO335" s="632">
        <f ca="1">IF(AND($D335="Serviço",AO$12&lt;&gt;0,$H335&gt;0,OR(AUTOEVENTO&lt;&gt;"manual",$M335&lt;&gt;1)),ROUND(OFFSET($P335,0,AO$13),15-13*ORÇAMENTO!$AF$7)/$H335*OFFSET(ORÇAMENTO!$X$15,ROW(AO335)-ROW(AO$15),0),0)</f>
        <v>0</v>
      </c>
      <c r="AP335" s="632">
        <f ca="1">IF(AND($D335="Serviço",AP$12&lt;&gt;0,$H335&gt;0,OR(AUTOEVENTO&lt;&gt;"manual",$M335&lt;&gt;1)),ROUND(OFFSET($P335,0,AP$13),15-13*ORÇAMENTO!$AF$7)/$H335*OFFSET(ORÇAMENTO!$X$15,ROW(AP335)-ROW(AP$15),0),0)</f>
        <v>0</v>
      </c>
      <c r="AQ335" s="632">
        <f ca="1">IF(AND($D335="Serviço",AQ$12&lt;&gt;0,$H335&gt;0,OR(AUTOEVENTO&lt;&gt;"manual",$M335&lt;&gt;1)),ROUND(OFFSET($P335,0,AQ$13),15-13*ORÇAMENTO!$AF$7)/$H335*OFFSET(ORÇAMENTO!$X$15,ROW(AQ335)-ROW(AQ$15),0),0)</f>
        <v>0</v>
      </c>
      <c r="AR335" s="632">
        <f ca="1">IF(AND($D335="Serviço",AR$12&lt;&gt;0,$H335&gt;0,OR(AUTOEVENTO&lt;&gt;"manual",$M335&lt;&gt;1)),ROUND(OFFSET($P335,0,AR$13),15-13*ORÇAMENTO!$AF$7)/$H335*OFFSET(ORÇAMENTO!$X$15,ROW(AR335)-ROW(AR$15),0),0)</f>
        <v>0</v>
      </c>
      <c r="AS335" s="633">
        <f ca="1">IF(AND($D335="Serviço",AS$12&lt;&gt;0,$H335&gt;0,OR(AUTOEVENTO&lt;&gt;"manual",$M335&lt;&gt;1)),ROUND(OFFSET($P335,0,AS$13),15-13*ORÇAMENTO!$AF$7)/$H335*OFFSET(ORÇAMENTO!$X$15,ROW(AS335)-ROW(AS$15),0),0)</f>
        <v>0</v>
      </c>
      <c r="AT335" s="632">
        <f ca="1">IF(AND($D335="Serviço",AT$12&lt;&gt;0,$H335&gt;0,OR(AUTOEVENTO&lt;&gt;"manual",$M335&lt;&gt;1)),ROUND(OFFSET($P335,0,AT$13),15-13*ORÇAMENTO!$AF$7)/$H335*OFFSET(ORÇAMENTO!$X$15,ROW(AT335)-ROW(AT$15),0),0)</f>
        <v>0</v>
      </c>
      <c r="AU335" s="632">
        <f ca="1">IF(AND($D335="Serviço",AU$12&lt;&gt;0,$H335&gt;0,OR(AUTOEVENTO&lt;&gt;"manual",$M335&lt;&gt;1)),ROUND(OFFSET($P335,0,AU$13),15-13*ORÇAMENTO!$AF$7)/$H335*OFFSET(ORÇAMENTO!$X$15,ROW(AU335)-ROW(AU$15),0),0)</f>
        <v>0</v>
      </c>
      <c r="AV335" s="632">
        <f ca="1">IF(AND($D335="Serviço",AV$12&lt;&gt;0,$H335&gt;0,OR(AUTOEVENTO&lt;&gt;"manual",$M335&lt;&gt;1)),ROUND(OFFSET($P335,0,AV$13),15-13*ORÇAMENTO!$AF$7)/$H335*OFFSET(ORÇAMENTO!$X$15,ROW(AV335)-ROW(AV$15),0),0)</f>
        <v>0</v>
      </c>
      <c r="AW335" s="632">
        <f ca="1">IF(AND($D335="Serviço",AW$12&lt;&gt;0,$H335&gt;0,OR(AUTOEVENTO&lt;&gt;"manual",$M335&lt;&gt;1)),ROUND(OFFSET($P335,0,AW$13),15-13*ORÇAMENTO!$AF$7)/$H335*OFFSET(ORÇAMENTO!$X$15,ROW(AW335)-ROW(AW$15),0),0)</f>
        <v>0</v>
      </c>
      <c r="AX335" s="632">
        <f ca="1">IF(AND($D335="Serviço",AX$12&lt;&gt;0,$H335&gt;0,OR(AUTOEVENTO&lt;&gt;"manual",$M335&lt;&gt;1)),ROUND(OFFSET($P335,0,AX$13),15-13*ORÇAMENTO!$AF$7)/$H335*OFFSET(ORÇAMENTO!$X$15,ROW(AX335)-ROW(AX$15),0),0)</f>
        <v>0</v>
      </c>
      <c r="AY335" s="632">
        <f ca="1">IF(AND($D335="Serviço",AY$12&lt;&gt;0,$H335&gt;0,OR(AUTOEVENTO&lt;&gt;"manual",$M335&lt;&gt;1)),ROUND(OFFSET($P335,0,AY$13),15-13*ORÇAMENTO!$AF$7)/$H335*OFFSET(ORÇAMENTO!$X$15,ROW(AY335)-ROW(AY$15),0),0)</f>
        <v>0</v>
      </c>
      <c r="AZ335" s="632">
        <f ca="1">IF(AND($D335="Serviço",AZ$12&lt;&gt;0,$H335&gt;0,OR(AUTOEVENTO&lt;&gt;"manual",$M335&lt;&gt;1)),ROUND(OFFSET($P335,0,AZ$13),15-13*ORÇAMENTO!$AF$7)/$H335*OFFSET(ORÇAMENTO!$X$15,ROW(AZ335)-ROW(AZ$15),0),0)</f>
        <v>0</v>
      </c>
      <c r="BA335" s="633">
        <f ca="1">IF(AND($D335="Serviço",BA$12&lt;&gt;0,$H335&gt;0,OR(AUTOEVENTO&lt;&gt;"manual",$M335&lt;&gt;1)),ROUND(OFFSET($P335,0,BA$13),15-13*ORÇAMENTO!$AF$7)/$H335*OFFSET(ORÇAMENTO!$X$15,ROW(BA335)-ROW(BA$15),0),0)</f>
        <v>0</v>
      </c>
      <c r="BC335" s="215">
        <f ca="1">IF($D335&lt;&gt;"Serviço",0,IF(AND(AUTOEVENTO="Manual",$M335=1),0,IF(OFFSET(CRONOPLE!$F$14,$M335,BC$13)="",10^12,OFFSET(CRONOPLE!$F$14,$M335,BC$13))))</f>
        <v>1000000000000</v>
      </c>
      <c r="BD335" s="215">
        <f ca="1">IF($D335&lt;&gt;"Serviço",0,IF(AND(AUTOEVENTO="Manual",$M335=1),0,IF(OFFSET(CRONOPLE!$F$14,$M335,BD$13)="",10^12,OFFSET(CRONOPLE!$F$14,$M335,BD$13))))</f>
        <v>1000000000000</v>
      </c>
      <c r="BE335" s="215">
        <f ca="1">IF($D335&lt;&gt;"Serviço",0,IF(AND(AUTOEVENTO="Manual",$M335=1),0,IF(OFFSET(CRONOPLE!$F$14,$M335,BE$13)="",10^12,OFFSET(CRONOPLE!$F$14,$M335,BE$13))))</f>
        <v>1000000000000</v>
      </c>
      <c r="BF335" s="215">
        <f ca="1">IF($D335&lt;&gt;"Serviço",0,IF(AND(AUTOEVENTO="Manual",$M335=1),0,IF(OFFSET(CRONOPLE!$F$14,$M335,BF$13)="",10^12,OFFSET(CRONOPLE!$F$14,$M335,BF$13))))</f>
        <v>1000000000000</v>
      </c>
      <c r="BG335" s="215">
        <f ca="1">IF($D335&lt;&gt;"Serviço",0,IF(AND(AUTOEVENTO="Manual",$M335=1),0,IF(OFFSET(CRONOPLE!$F$14,$M335,BG$13)="",10^12,OFFSET(CRONOPLE!$F$14,$M335,BG$13))))</f>
        <v>1000000000000</v>
      </c>
      <c r="BH335" s="215">
        <f ca="1">IF($D335&lt;&gt;"Serviço",0,IF(AND(AUTOEVENTO="Manual",$M335=1),0,IF(OFFSET(CRONOPLE!$F$14,$M335,BH$13)="",10^12,OFFSET(CRONOPLE!$F$14,$M335,BH$13))))</f>
        <v>1000000000000</v>
      </c>
      <c r="BI335" s="215">
        <f ca="1">IF($D335&lt;&gt;"Serviço",0,IF(AND(AUTOEVENTO="Manual",$M335=1),0,IF(OFFSET(CRONOPLE!$F$14,$M335,BI$13)="",10^12,OFFSET(CRONOPLE!$F$14,$M335,BI$13))))</f>
        <v>1000000000000</v>
      </c>
      <c r="BJ335" s="215">
        <f ca="1">IF($D335&lt;&gt;"Serviço",0,IF(AND(AUTOEVENTO="Manual",$M335=1),0,IF(OFFSET(CRONOPLE!$F$14,$M335,BJ$13)="",10^12,OFFSET(CRONOPLE!$F$14,$M335,BJ$13))))</f>
        <v>1000000000000</v>
      </c>
      <c r="BK335" s="215">
        <f ca="1">IF($D335&lt;&gt;"Serviço",0,IF(AND(AUTOEVENTO="Manual",$M335=1),0,IF(OFFSET(CRONOPLE!$F$14,$M335,BK$13)="",10^12,OFFSET(CRONOPLE!$F$14,$M335,BK$13))))</f>
        <v>1000000000000</v>
      </c>
      <c r="BL335" s="215">
        <f ca="1">IF($D335&lt;&gt;"Serviço",0,IF(AND(AUTOEVENTO="Manual",$M335=1),0,IF(OFFSET(CRONOPLE!$F$14,$M335,BL$13)="",10^12,OFFSET(CRONOPLE!$F$14,$M335,BL$13))))</f>
        <v>1000000000000</v>
      </c>
      <c r="BM335" s="215">
        <f ca="1">IF($D335&lt;&gt;"Serviço",0,IF(AND(AUTOEVENTO="Manual",$M335=1),0,IF(OFFSET(CRONOPLE!$F$14,$M335,BM$13)="",10^12,OFFSET(CRONOPLE!$F$14,$M335,BM$13))))</f>
        <v>1000000000000</v>
      </c>
      <c r="BN335" s="215">
        <f ca="1">IF($D335&lt;&gt;"Serviço",0,IF(AND(AUTOEVENTO="Manual",$M335=1),0,IF(OFFSET(CRONOPLE!$F$14,$M335,BN$13)="",10^12,OFFSET(CRONOPLE!$F$14,$M335,BN$13))))</f>
        <v>1000000000000</v>
      </c>
      <c r="BO335" s="215">
        <f ca="1">IF($D335&lt;&gt;"Serviço",0,IF(AND(AUTOEVENTO="Manual",$M335=1),0,IF(OFFSET(CRONOPLE!$F$14,$M335,BO$13)="",10^12,OFFSET(CRONOPLE!$F$14,$M335,BO$13))))</f>
        <v>1000000000000</v>
      </c>
      <c r="BP335" s="215">
        <f ca="1">IF($D335&lt;&gt;"Serviço",0,IF(AND(AUTOEVENTO="Manual",$M335=1),0,IF(OFFSET(CRONOPLE!$F$14,$M335,BP$13)="",10^12,OFFSET(CRONOPLE!$F$14,$M335,BP$13))))</f>
        <v>1000000000000</v>
      </c>
      <c r="BQ335" s="215">
        <f ca="1">IF($D335&lt;&gt;"Serviço",0,IF(AND(AUTOEVENTO="Manual",$M335=1),0,IF(OFFSET(CRONOPLE!$F$14,$M335,BQ$13)="",10^12,OFFSET(CRONOPLE!$F$14,$M335,BQ$13))))</f>
        <v>1000000000000</v>
      </c>
      <c r="BR335" s="215">
        <f ca="1">IF($D335&lt;&gt;"Serviço",0,IF(AND(AUTOEVENTO="Manual",$M335=1),0,IF(OFFSET(CRONOPLE!$F$14,$M335,BR$13)="",10^12,OFFSET(CRONOPLE!$F$14,$M335,BR$13))))</f>
        <v>1000000000000</v>
      </c>
      <c r="BS335" s="215">
        <f ca="1">IF($D335&lt;&gt;"Serviço",0,IF(AND(AUTOEVENTO="Manual",$M335=1),0,IF(OFFSET(CRONOPLE!$F$14,$M335,BS$13)="",10^12,OFFSET(CRONOPLE!$F$14,$M335,BS$13))))</f>
        <v>1000000000000</v>
      </c>
      <c r="BT335" s="215">
        <f ca="1">IF($D335&lt;&gt;"Serviço",0,IF(AND(AUTOEVENTO="Manual",$M335=1),0,IF(OFFSET(CRONOPLE!$F$14,$M335,BT$13)="",10^12,OFFSET(CRONOPLE!$F$14,$M335,BT$13))))</f>
        <v>1000000000000</v>
      </c>
      <c r="BV335" s="216">
        <f ca="1">IF($D335&lt;&gt;"Serviço",0,IF(OR(AND(AUTOEVENTO="Manual",$M335=1),$M335&gt;(ROW(PLE.lastrow)-ROW(PLE.firstrow))),0,IF(OFFSET(PLE!$G$14,$M335,BV$13)="",10^12,OFFSET(PLE!$G$14,$M335,BV$13))))</f>
        <v>1000000000000</v>
      </c>
      <c r="BW335" s="216">
        <f ca="1">IF($D335&lt;&gt;"Serviço",0,IF(OR(AND(AUTOEVENTO="Manual",$M335=1),$M335&gt;(ROW(PLE.lastrow)-ROW(PLE.firstrow))),0,IF(OFFSET(PLE!$G$14,$M335,BW$13)="",10^12,OFFSET(PLE!$G$14,$M335,BW$13))))</f>
        <v>1000000000000</v>
      </c>
      <c r="BX335" s="216">
        <f ca="1">IF($D335&lt;&gt;"Serviço",0,IF(OR(AND(AUTOEVENTO="Manual",$M335=1),$M335&gt;(ROW(PLE.lastrow)-ROW(PLE.firstrow))),0,IF(OFFSET(PLE!$G$14,$M335,BX$13)="",10^12,OFFSET(PLE!$G$14,$M335,BX$13))))</f>
        <v>1000000000000</v>
      </c>
      <c r="BY335" s="216">
        <f ca="1">IF($D335&lt;&gt;"Serviço",0,IF(OR(AND(AUTOEVENTO="Manual",$M335=1),$M335&gt;(ROW(PLE.lastrow)-ROW(PLE.firstrow))),0,IF(OFFSET(PLE!$G$14,$M335,BY$13)="",10^12,OFFSET(PLE!$G$14,$M335,BY$13))))</f>
        <v>1000000000000</v>
      </c>
      <c r="BZ335" s="216">
        <f ca="1">IF($D335&lt;&gt;"Serviço",0,IF(OR(AND(AUTOEVENTO="Manual",$M335=1),$M335&gt;(ROW(PLE.lastrow)-ROW(PLE.firstrow))),0,IF(OFFSET(PLE!$G$14,$M335,BZ$13)="",10^12,OFFSET(PLE!$G$14,$M335,BZ$13))))</f>
        <v>1000000000000</v>
      </c>
      <c r="CA335" s="216">
        <f ca="1">IF($D335&lt;&gt;"Serviço",0,IF(OR(AND(AUTOEVENTO="Manual",$M335=1),$M335&gt;(ROW(PLE.lastrow)-ROW(PLE.firstrow))),0,IF(OFFSET(PLE!$G$14,$M335,CA$13)="",10^12,OFFSET(PLE!$G$14,$M335,CA$13))))</f>
        <v>1000000000000</v>
      </c>
      <c r="CB335" s="216">
        <f ca="1">IF($D335&lt;&gt;"Serviço",0,IF(OR(AND(AUTOEVENTO="Manual",$M335=1),$M335&gt;(ROW(PLE.lastrow)-ROW(PLE.firstrow))),0,IF(OFFSET(PLE!$G$14,$M335,CB$13)="",10^12,OFFSET(PLE!$G$14,$M335,CB$13))))</f>
        <v>1000000000000</v>
      </c>
      <c r="CC335" s="216">
        <f ca="1">IF($D335&lt;&gt;"Serviço",0,IF(OR(AND(AUTOEVENTO="Manual",$M335=1),$M335&gt;(ROW(PLE.lastrow)-ROW(PLE.firstrow))),0,IF(OFFSET(PLE!$G$14,$M335,CC$13)="",10^12,OFFSET(PLE!$G$14,$M335,CC$13))))</f>
        <v>1000000000000</v>
      </c>
      <c r="CD335" s="216">
        <f ca="1">IF($D335&lt;&gt;"Serviço",0,IF(OR(AND(AUTOEVENTO="Manual",$M335=1),$M335&gt;(ROW(PLE.lastrow)-ROW(PLE.firstrow))),0,IF(OFFSET(PLE!$G$14,$M335,CD$13)="",10^12,OFFSET(PLE!$G$14,$M335,CD$13))))</f>
        <v>1000000000000</v>
      </c>
      <c r="CE335" s="216">
        <f ca="1">IF($D335&lt;&gt;"Serviço",0,IF(OR(AND(AUTOEVENTO="Manual",$M335=1),$M335&gt;(ROW(PLE.lastrow)-ROW(PLE.firstrow))),0,IF(OFFSET(PLE!$G$14,$M335,CE$13)="",10^12,OFFSET(PLE!$G$14,$M335,CE$13))))</f>
        <v>1000000000000</v>
      </c>
      <c r="CF335" s="216">
        <f ca="1">IF($D335&lt;&gt;"Serviço",0,IF(OR(AND(AUTOEVENTO="Manual",$M335=1),$M335&gt;(ROW(PLE.lastrow)-ROW(PLE.firstrow))),0,IF(OFFSET(PLE!$G$14,$M335,CF$13)="",10^12,OFFSET(PLE!$G$14,$M335,CF$13))))</f>
        <v>1000000000000</v>
      </c>
      <c r="CG335" s="216">
        <f ca="1">IF($D335&lt;&gt;"Serviço",0,IF(OR(AND(AUTOEVENTO="Manual",$M335=1),$M335&gt;(ROW(PLE.lastrow)-ROW(PLE.firstrow))),0,IF(OFFSET(PLE!$G$14,$M335,CG$13)="",10^12,OFFSET(PLE!$G$14,$M335,CG$13))))</f>
        <v>1000000000000</v>
      </c>
      <c r="CH335" s="216">
        <f ca="1">IF($D335&lt;&gt;"Serviço",0,IF(OR(AND(AUTOEVENTO="Manual",$M335=1),$M335&gt;(ROW(PLE.lastrow)-ROW(PLE.firstrow))),0,IF(OFFSET(PLE!$G$14,$M335,CH$13)="",10^12,OFFSET(PLE!$G$14,$M335,CH$13))))</f>
        <v>1000000000000</v>
      </c>
      <c r="CI335" s="216">
        <f ca="1">IF($D335&lt;&gt;"Serviço",0,IF(OR(AND(AUTOEVENTO="Manual",$M335=1),$M335&gt;(ROW(PLE.lastrow)-ROW(PLE.firstrow))),0,IF(OFFSET(PLE!$G$14,$M335,CI$13)="",10^12,OFFSET(PLE!$G$14,$M335,CI$13))))</f>
        <v>1000000000000</v>
      </c>
      <c r="CJ335" s="216">
        <f ca="1">IF($D335&lt;&gt;"Serviço",0,IF(OR(AND(AUTOEVENTO="Manual",$M335=1),$M335&gt;(ROW(PLE.lastrow)-ROW(PLE.firstrow))),0,IF(OFFSET(PLE!$G$14,$M335,CJ$13)="",10^12,OFFSET(PLE!$G$14,$M335,CJ$13))))</f>
        <v>1000000000000</v>
      </c>
      <c r="CK335" s="216">
        <f ca="1">IF($D335&lt;&gt;"Serviço",0,IF(OR(AND(AUTOEVENTO="Manual",$M335=1),$M335&gt;(ROW(PLE.lastrow)-ROW(PLE.firstrow))),0,IF(OFFSET(PLE!$G$14,$M335,CK$13)="",10^12,OFFSET(PLE!$G$14,$M335,CK$13))))</f>
        <v>1000000000000</v>
      </c>
      <c r="CL335" s="216">
        <f ca="1">IF($D335&lt;&gt;"Serviço",0,IF(OR(AND(AUTOEVENTO="Manual",$M335=1),$M335&gt;(ROW(PLE.lastrow)-ROW(PLE.firstrow))),0,IF(OFFSET(PLE!$G$14,$M335,CL$13)="",10^12,OFFSET(PLE!$G$14,$M335,CL$13))))</f>
        <v>1000000000000</v>
      </c>
      <c r="CM335" s="216">
        <f ca="1">IF($D335&lt;&gt;"Serviço",0,IF(OR(AND(AUTOEVENTO="Manual",$M335=1),$M335&gt;(ROW(PLE.lastrow)-ROW(PLE.firstrow))),0,IF(OFFSET(PLE!$G$14,$M335,CM$13)="",10^12,OFFSET(PLE!$G$14,$M335,CM$13))))</f>
        <v>1000000000000</v>
      </c>
    </row>
    <row r="336" spans="1:91" ht="13.2" x14ac:dyDescent="0.25">
      <c r="A336" s="9">
        <f t="shared" ca="1" si="14"/>
        <v>0</v>
      </c>
      <c r="B336" s="9" t="str">
        <f ca="1">OFFSET(ORÇAMENTO!C$15,ROW(B336)-ROW(B$15),0)</f>
        <v>S</v>
      </c>
      <c r="C336" s="9" t="str">
        <f ca="1">OFFSET(ORÇAMENTO!L$15,ROW(C336)-ROW(C$15),0)</f>
        <v/>
      </c>
      <c r="D336" s="145" t="str">
        <f ca="1">OFFSET(ORÇAMENTO!N$15,ROW(D336)-ROW(D$15),0)</f>
        <v>Serviço</v>
      </c>
      <c r="E336" s="205" t="str">
        <f ca="1">OFFSET(ORÇAMENTO!O$15,ROW(E336)-ROW(E$15),0)</f>
        <v>-</v>
      </c>
      <c r="F336" s="206" t="str">
        <f ca="1">OFFSET(ORÇAMENTO!R$15,ROW(F336)-ROW(F$15),0)</f>
        <v>(abra o arquivo 'Referência 05-2024.xls)</v>
      </c>
      <c r="G336" s="207" t="str">
        <f ca="1">IF($D336&lt;&gt;"Serviço","",OFFSET(ORÇAMENTO!S$15,ROW(G336)-ROW(G$15),0))</f>
        <v>-</v>
      </c>
      <c r="H336" s="151">
        <f ca="1">IF($D336&lt;&gt;"Serviço",0,IF(ACOMPANHAMENTO="BM",ROUND(OFFSET(ORÇAMENTO!AJ$15,ROW(H336)-ROW(H$15),0),15-13*ORÇAMENTO!$AF$7),SUMPRODUCT(($Q$12:$AI$12&lt;&gt;"")*ROUND($Q336:$AI336,15-13*ORÇAMENTO!$AF$7))))</f>
        <v>10</v>
      </c>
      <c r="I336" s="650"/>
      <c r="K336" s="208"/>
      <c r="L336" s="209" t="s">
        <v>257</v>
      </c>
      <c r="M336" s="210">
        <f ca="1">IF($D336&lt;&gt;"Serviço","",IF(AUTOEVENTO="manual",$A336,IF(ISERROR(MATCH($A336,$A$15:OFFSET($A336,-1,0),0)),MAX($M$15:OFFSET(M336,-1,0))+1,INDEX($M$15:OFFSET(M336,-1,0),MATCH($A336,$A$15:OFFSET($A336,-1,0),0)))))</f>
        <v>0</v>
      </c>
      <c r="N336" s="211" t="str">
        <f ca="1">IF($D336&lt;&gt;"Serviço","",IF(AUTOEVENTO="Manual",IF($A336=0,"&lt;-- defina o número do agrupador",OFFSET(EVENTOS!$D$14,$A336,0)),OFFSET($F$15,$A336,0)))</f>
        <v>&lt;-- defina o número do agrupador</v>
      </c>
      <c r="O336" s="212"/>
      <c r="Q336" s="212"/>
      <c r="R336" s="213"/>
      <c r="S336" s="213"/>
      <c r="T336" s="213"/>
      <c r="U336" s="213"/>
      <c r="V336" s="213"/>
      <c r="W336" s="213"/>
      <c r="X336" s="213"/>
      <c r="Y336" s="213"/>
      <c r="Z336" s="214"/>
      <c r="AA336" s="213"/>
      <c r="AB336" s="213"/>
      <c r="AC336" s="213"/>
      <c r="AD336" s="213"/>
      <c r="AE336" s="213"/>
      <c r="AF336" s="213"/>
      <c r="AG336" s="213"/>
      <c r="AH336" s="214"/>
      <c r="AJ336" s="631">
        <f ca="1">IF(AND($D336="Serviço",AJ$12&lt;&gt;0,$H336&gt;0,OR(AUTOEVENTO&lt;&gt;"manual",$M336&lt;&gt;1)),ROUND(OFFSET($P336,0,AJ$13),15-13*ORÇAMENTO!$AF$7)/$H336*OFFSET(ORÇAMENTO!$X$15,ROW(AJ336)-ROW(AJ$15),0),0)</f>
        <v>0</v>
      </c>
      <c r="AK336" s="632">
        <f ca="1">IF(AND($D336="Serviço",AK$12&lt;&gt;0,$H336&gt;0,OR(AUTOEVENTO&lt;&gt;"manual",$M336&lt;&gt;1)),ROUND(OFFSET($P336,0,AK$13),15-13*ORÇAMENTO!$AF$7)/$H336*OFFSET(ORÇAMENTO!$X$15,ROW(AK336)-ROW(AK$15),0),0)</f>
        <v>0</v>
      </c>
      <c r="AL336" s="632">
        <f ca="1">IF(AND($D336="Serviço",AL$12&lt;&gt;0,$H336&gt;0,OR(AUTOEVENTO&lt;&gt;"manual",$M336&lt;&gt;1)),ROUND(OFFSET($P336,0,AL$13),15-13*ORÇAMENTO!$AF$7)/$H336*OFFSET(ORÇAMENTO!$X$15,ROW(AL336)-ROW(AL$15),0),0)</f>
        <v>0</v>
      </c>
      <c r="AM336" s="632">
        <f ca="1">IF(AND($D336="Serviço",AM$12&lt;&gt;0,$H336&gt;0,OR(AUTOEVENTO&lt;&gt;"manual",$M336&lt;&gt;1)),ROUND(OFFSET($P336,0,AM$13),15-13*ORÇAMENTO!$AF$7)/$H336*OFFSET(ORÇAMENTO!$X$15,ROW(AM336)-ROW(AM$15),0),0)</f>
        <v>0</v>
      </c>
      <c r="AN336" s="632">
        <f ca="1">IF(AND($D336="Serviço",AN$12&lt;&gt;0,$H336&gt;0,OR(AUTOEVENTO&lt;&gt;"manual",$M336&lt;&gt;1)),ROUND(OFFSET($P336,0,AN$13),15-13*ORÇAMENTO!$AF$7)/$H336*OFFSET(ORÇAMENTO!$X$15,ROW(AN336)-ROW(AN$15),0),0)</f>
        <v>0</v>
      </c>
      <c r="AO336" s="632">
        <f ca="1">IF(AND($D336="Serviço",AO$12&lt;&gt;0,$H336&gt;0,OR(AUTOEVENTO&lt;&gt;"manual",$M336&lt;&gt;1)),ROUND(OFFSET($P336,0,AO$13),15-13*ORÇAMENTO!$AF$7)/$H336*OFFSET(ORÇAMENTO!$X$15,ROW(AO336)-ROW(AO$15),0),0)</f>
        <v>0</v>
      </c>
      <c r="AP336" s="632">
        <f ca="1">IF(AND($D336="Serviço",AP$12&lt;&gt;0,$H336&gt;0,OR(AUTOEVENTO&lt;&gt;"manual",$M336&lt;&gt;1)),ROUND(OFFSET($P336,0,AP$13),15-13*ORÇAMENTO!$AF$7)/$H336*OFFSET(ORÇAMENTO!$X$15,ROW(AP336)-ROW(AP$15),0),0)</f>
        <v>0</v>
      </c>
      <c r="AQ336" s="632">
        <f ca="1">IF(AND($D336="Serviço",AQ$12&lt;&gt;0,$H336&gt;0,OR(AUTOEVENTO&lt;&gt;"manual",$M336&lt;&gt;1)),ROUND(OFFSET($P336,0,AQ$13),15-13*ORÇAMENTO!$AF$7)/$H336*OFFSET(ORÇAMENTO!$X$15,ROW(AQ336)-ROW(AQ$15),0),0)</f>
        <v>0</v>
      </c>
      <c r="AR336" s="632">
        <f ca="1">IF(AND($D336="Serviço",AR$12&lt;&gt;0,$H336&gt;0,OR(AUTOEVENTO&lt;&gt;"manual",$M336&lt;&gt;1)),ROUND(OFFSET($P336,0,AR$13),15-13*ORÇAMENTO!$AF$7)/$H336*OFFSET(ORÇAMENTO!$X$15,ROW(AR336)-ROW(AR$15),0),0)</f>
        <v>0</v>
      </c>
      <c r="AS336" s="633">
        <f ca="1">IF(AND($D336="Serviço",AS$12&lt;&gt;0,$H336&gt;0,OR(AUTOEVENTO&lt;&gt;"manual",$M336&lt;&gt;1)),ROUND(OFFSET($P336,0,AS$13),15-13*ORÇAMENTO!$AF$7)/$H336*OFFSET(ORÇAMENTO!$X$15,ROW(AS336)-ROW(AS$15),0),0)</f>
        <v>0</v>
      </c>
      <c r="AT336" s="632">
        <f ca="1">IF(AND($D336="Serviço",AT$12&lt;&gt;0,$H336&gt;0,OR(AUTOEVENTO&lt;&gt;"manual",$M336&lt;&gt;1)),ROUND(OFFSET($P336,0,AT$13),15-13*ORÇAMENTO!$AF$7)/$H336*OFFSET(ORÇAMENTO!$X$15,ROW(AT336)-ROW(AT$15),0),0)</f>
        <v>0</v>
      </c>
      <c r="AU336" s="632">
        <f ca="1">IF(AND($D336="Serviço",AU$12&lt;&gt;0,$H336&gt;0,OR(AUTOEVENTO&lt;&gt;"manual",$M336&lt;&gt;1)),ROUND(OFFSET($P336,0,AU$13),15-13*ORÇAMENTO!$AF$7)/$H336*OFFSET(ORÇAMENTO!$X$15,ROW(AU336)-ROW(AU$15),0),0)</f>
        <v>0</v>
      </c>
      <c r="AV336" s="632">
        <f ca="1">IF(AND($D336="Serviço",AV$12&lt;&gt;0,$H336&gt;0,OR(AUTOEVENTO&lt;&gt;"manual",$M336&lt;&gt;1)),ROUND(OFFSET($P336,0,AV$13),15-13*ORÇAMENTO!$AF$7)/$H336*OFFSET(ORÇAMENTO!$X$15,ROW(AV336)-ROW(AV$15),0),0)</f>
        <v>0</v>
      </c>
      <c r="AW336" s="632">
        <f ca="1">IF(AND($D336="Serviço",AW$12&lt;&gt;0,$H336&gt;0,OR(AUTOEVENTO&lt;&gt;"manual",$M336&lt;&gt;1)),ROUND(OFFSET($P336,0,AW$13),15-13*ORÇAMENTO!$AF$7)/$H336*OFFSET(ORÇAMENTO!$X$15,ROW(AW336)-ROW(AW$15),0),0)</f>
        <v>0</v>
      </c>
      <c r="AX336" s="632">
        <f ca="1">IF(AND($D336="Serviço",AX$12&lt;&gt;0,$H336&gt;0,OR(AUTOEVENTO&lt;&gt;"manual",$M336&lt;&gt;1)),ROUND(OFFSET($P336,0,AX$13),15-13*ORÇAMENTO!$AF$7)/$H336*OFFSET(ORÇAMENTO!$X$15,ROW(AX336)-ROW(AX$15),0),0)</f>
        <v>0</v>
      </c>
      <c r="AY336" s="632">
        <f ca="1">IF(AND($D336="Serviço",AY$12&lt;&gt;0,$H336&gt;0,OR(AUTOEVENTO&lt;&gt;"manual",$M336&lt;&gt;1)),ROUND(OFFSET($P336,0,AY$13),15-13*ORÇAMENTO!$AF$7)/$H336*OFFSET(ORÇAMENTO!$X$15,ROW(AY336)-ROW(AY$15),0),0)</f>
        <v>0</v>
      </c>
      <c r="AZ336" s="632">
        <f ca="1">IF(AND($D336="Serviço",AZ$12&lt;&gt;0,$H336&gt;0,OR(AUTOEVENTO&lt;&gt;"manual",$M336&lt;&gt;1)),ROUND(OFFSET($P336,0,AZ$13),15-13*ORÇAMENTO!$AF$7)/$H336*OFFSET(ORÇAMENTO!$X$15,ROW(AZ336)-ROW(AZ$15),0),0)</f>
        <v>0</v>
      </c>
      <c r="BA336" s="633">
        <f ca="1">IF(AND($D336="Serviço",BA$12&lt;&gt;0,$H336&gt;0,OR(AUTOEVENTO&lt;&gt;"manual",$M336&lt;&gt;1)),ROUND(OFFSET($P336,0,BA$13),15-13*ORÇAMENTO!$AF$7)/$H336*OFFSET(ORÇAMENTO!$X$15,ROW(BA336)-ROW(BA$15),0),0)</f>
        <v>0</v>
      </c>
      <c r="BC336" s="215">
        <f ca="1">IF($D336&lt;&gt;"Serviço",0,IF(AND(AUTOEVENTO="Manual",$M336=1),0,IF(OFFSET(CRONOPLE!$F$14,$M336,BC$13)="",10^12,OFFSET(CRONOPLE!$F$14,$M336,BC$13))))</f>
        <v>1000000000000</v>
      </c>
      <c r="BD336" s="215">
        <f ca="1">IF($D336&lt;&gt;"Serviço",0,IF(AND(AUTOEVENTO="Manual",$M336=1),0,IF(OFFSET(CRONOPLE!$F$14,$M336,BD$13)="",10^12,OFFSET(CRONOPLE!$F$14,$M336,BD$13))))</f>
        <v>1000000000000</v>
      </c>
      <c r="BE336" s="215">
        <f ca="1">IF($D336&lt;&gt;"Serviço",0,IF(AND(AUTOEVENTO="Manual",$M336=1),0,IF(OFFSET(CRONOPLE!$F$14,$M336,BE$13)="",10^12,OFFSET(CRONOPLE!$F$14,$M336,BE$13))))</f>
        <v>1000000000000</v>
      </c>
      <c r="BF336" s="215">
        <f ca="1">IF($D336&lt;&gt;"Serviço",0,IF(AND(AUTOEVENTO="Manual",$M336=1),0,IF(OFFSET(CRONOPLE!$F$14,$M336,BF$13)="",10^12,OFFSET(CRONOPLE!$F$14,$M336,BF$13))))</f>
        <v>1000000000000</v>
      </c>
      <c r="BG336" s="215">
        <f ca="1">IF($D336&lt;&gt;"Serviço",0,IF(AND(AUTOEVENTO="Manual",$M336=1),0,IF(OFFSET(CRONOPLE!$F$14,$M336,BG$13)="",10^12,OFFSET(CRONOPLE!$F$14,$M336,BG$13))))</f>
        <v>1000000000000</v>
      </c>
      <c r="BH336" s="215">
        <f ca="1">IF($D336&lt;&gt;"Serviço",0,IF(AND(AUTOEVENTO="Manual",$M336=1),0,IF(OFFSET(CRONOPLE!$F$14,$M336,BH$13)="",10^12,OFFSET(CRONOPLE!$F$14,$M336,BH$13))))</f>
        <v>1000000000000</v>
      </c>
      <c r="BI336" s="215">
        <f ca="1">IF($D336&lt;&gt;"Serviço",0,IF(AND(AUTOEVENTO="Manual",$M336=1),0,IF(OFFSET(CRONOPLE!$F$14,$M336,BI$13)="",10^12,OFFSET(CRONOPLE!$F$14,$M336,BI$13))))</f>
        <v>1000000000000</v>
      </c>
      <c r="BJ336" s="215">
        <f ca="1">IF($D336&lt;&gt;"Serviço",0,IF(AND(AUTOEVENTO="Manual",$M336=1),0,IF(OFFSET(CRONOPLE!$F$14,$M336,BJ$13)="",10^12,OFFSET(CRONOPLE!$F$14,$M336,BJ$13))))</f>
        <v>1000000000000</v>
      </c>
      <c r="BK336" s="215">
        <f ca="1">IF($D336&lt;&gt;"Serviço",0,IF(AND(AUTOEVENTO="Manual",$M336=1),0,IF(OFFSET(CRONOPLE!$F$14,$M336,BK$13)="",10^12,OFFSET(CRONOPLE!$F$14,$M336,BK$13))))</f>
        <v>1000000000000</v>
      </c>
      <c r="BL336" s="215">
        <f ca="1">IF($D336&lt;&gt;"Serviço",0,IF(AND(AUTOEVENTO="Manual",$M336=1),0,IF(OFFSET(CRONOPLE!$F$14,$M336,BL$13)="",10^12,OFFSET(CRONOPLE!$F$14,$M336,BL$13))))</f>
        <v>1000000000000</v>
      </c>
      <c r="BM336" s="215">
        <f ca="1">IF($D336&lt;&gt;"Serviço",0,IF(AND(AUTOEVENTO="Manual",$M336=1),0,IF(OFFSET(CRONOPLE!$F$14,$M336,BM$13)="",10^12,OFFSET(CRONOPLE!$F$14,$M336,BM$13))))</f>
        <v>1000000000000</v>
      </c>
      <c r="BN336" s="215">
        <f ca="1">IF($D336&lt;&gt;"Serviço",0,IF(AND(AUTOEVENTO="Manual",$M336=1),0,IF(OFFSET(CRONOPLE!$F$14,$M336,BN$13)="",10^12,OFFSET(CRONOPLE!$F$14,$M336,BN$13))))</f>
        <v>1000000000000</v>
      </c>
      <c r="BO336" s="215">
        <f ca="1">IF($D336&lt;&gt;"Serviço",0,IF(AND(AUTOEVENTO="Manual",$M336=1),0,IF(OFFSET(CRONOPLE!$F$14,$M336,BO$13)="",10^12,OFFSET(CRONOPLE!$F$14,$M336,BO$13))))</f>
        <v>1000000000000</v>
      </c>
      <c r="BP336" s="215">
        <f ca="1">IF($D336&lt;&gt;"Serviço",0,IF(AND(AUTOEVENTO="Manual",$M336=1),0,IF(OFFSET(CRONOPLE!$F$14,$M336,BP$13)="",10^12,OFFSET(CRONOPLE!$F$14,$M336,BP$13))))</f>
        <v>1000000000000</v>
      </c>
      <c r="BQ336" s="215">
        <f ca="1">IF($D336&lt;&gt;"Serviço",0,IF(AND(AUTOEVENTO="Manual",$M336=1),0,IF(OFFSET(CRONOPLE!$F$14,$M336,BQ$13)="",10^12,OFFSET(CRONOPLE!$F$14,$M336,BQ$13))))</f>
        <v>1000000000000</v>
      </c>
      <c r="BR336" s="215">
        <f ca="1">IF($D336&lt;&gt;"Serviço",0,IF(AND(AUTOEVENTO="Manual",$M336=1),0,IF(OFFSET(CRONOPLE!$F$14,$M336,BR$13)="",10^12,OFFSET(CRONOPLE!$F$14,$M336,BR$13))))</f>
        <v>1000000000000</v>
      </c>
      <c r="BS336" s="215">
        <f ca="1">IF($D336&lt;&gt;"Serviço",0,IF(AND(AUTOEVENTO="Manual",$M336=1),0,IF(OFFSET(CRONOPLE!$F$14,$M336,BS$13)="",10^12,OFFSET(CRONOPLE!$F$14,$M336,BS$13))))</f>
        <v>1000000000000</v>
      </c>
      <c r="BT336" s="215">
        <f ca="1">IF($D336&lt;&gt;"Serviço",0,IF(AND(AUTOEVENTO="Manual",$M336=1),0,IF(OFFSET(CRONOPLE!$F$14,$M336,BT$13)="",10^12,OFFSET(CRONOPLE!$F$14,$M336,BT$13))))</f>
        <v>1000000000000</v>
      </c>
      <c r="BV336" s="216">
        <f ca="1">IF($D336&lt;&gt;"Serviço",0,IF(OR(AND(AUTOEVENTO="Manual",$M336=1),$M336&gt;(ROW(PLE.lastrow)-ROW(PLE.firstrow))),0,IF(OFFSET(PLE!$G$14,$M336,BV$13)="",10^12,OFFSET(PLE!$G$14,$M336,BV$13))))</f>
        <v>1000000000000</v>
      </c>
      <c r="BW336" s="216">
        <f ca="1">IF($D336&lt;&gt;"Serviço",0,IF(OR(AND(AUTOEVENTO="Manual",$M336=1),$M336&gt;(ROW(PLE.lastrow)-ROW(PLE.firstrow))),0,IF(OFFSET(PLE!$G$14,$M336,BW$13)="",10^12,OFFSET(PLE!$G$14,$M336,BW$13))))</f>
        <v>1000000000000</v>
      </c>
      <c r="BX336" s="216">
        <f ca="1">IF($D336&lt;&gt;"Serviço",0,IF(OR(AND(AUTOEVENTO="Manual",$M336=1),$M336&gt;(ROW(PLE.lastrow)-ROW(PLE.firstrow))),0,IF(OFFSET(PLE!$G$14,$M336,BX$13)="",10^12,OFFSET(PLE!$G$14,$M336,BX$13))))</f>
        <v>1000000000000</v>
      </c>
      <c r="BY336" s="216">
        <f ca="1">IF($D336&lt;&gt;"Serviço",0,IF(OR(AND(AUTOEVENTO="Manual",$M336=1),$M336&gt;(ROW(PLE.lastrow)-ROW(PLE.firstrow))),0,IF(OFFSET(PLE!$G$14,$M336,BY$13)="",10^12,OFFSET(PLE!$G$14,$M336,BY$13))))</f>
        <v>1000000000000</v>
      </c>
      <c r="BZ336" s="216">
        <f ca="1">IF($D336&lt;&gt;"Serviço",0,IF(OR(AND(AUTOEVENTO="Manual",$M336=1),$M336&gt;(ROW(PLE.lastrow)-ROW(PLE.firstrow))),0,IF(OFFSET(PLE!$G$14,$M336,BZ$13)="",10^12,OFFSET(PLE!$G$14,$M336,BZ$13))))</f>
        <v>1000000000000</v>
      </c>
      <c r="CA336" s="216">
        <f ca="1">IF($D336&lt;&gt;"Serviço",0,IF(OR(AND(AUTOEVENTO="Manual",$M336=1),$M336&gt;(ROW(PLE.lastrow)-ROW(PLE.firstrow))),0,IF(OFFSET(PLE!$G$14,$M336,CA$13)="",10^12,OFFSET(PLE!$G$14,$M336,CA$13))))</f>
        <v>1000000000000</v>
      </c>
      <c r="CB336" s="216">
        <f ca="1">IF($D336&lt;&gt;"Serviço",0,IF(OR(AND(AUTOEVENTO="Manual",$M336=1),$M336&gt;(ROW(PLE.lastrow)-ROW(PLE.firstrow))),0,IF(OFFSET(PLE!$G$14,$M336,CB$13)="",10^12,OFFSET(PLE!$G$14,$M336,CB$13))))</f>
        <v>1000000000000</v>
      </c>
      <c r="CC336" s="216">
        <f ca="1">IF($D336&lt;&gt;"Serviço",0,IF(OR(AND(AUTOEVENTO="Manual",$M336=1),$M336&gt;(ROW(PLE.lastrow)-ROW(PLE.firstrow))),0,IF(OFFSET(PLE!$G$14,$M336,CC$13)="",10^12,OFFSET(PLE!$G$14,$M336,CC$13))))</f>
        <v>1000000000000</v>
      </c>
      <c r="CD336" s="216">
        <f ca="1">IF($D336&lt;&gt;"Serviço",0,IF(OR(AND(AUTOEVENTO="Manual",$M336=1),$M336&gt;(ROW(PLE.lastrow)-ROW(PLE.firstrow))),0,IF(OFFSET(PLE!$G$14,$M336,CD$13)="",10^12,OFFSET(PLE!$G$14,$M336,CD$13))))</f>
        <v>1000000000000</v>
      </c>
      <c r="CE336" s="216">
        <f ca="1">IF($D336&lt;&gt;"Serviço",0,IF(OR(AND(AUTOEVENTO="Manual",$M336=1),$M336&gt;(ROW(PLE.lastrow)-ROW(PLE.firstrow))),0,IF(OFFSET(PLE!$G$14,$M336,CE$13)="",10^12,OFFSET(PLE!$G$14,$M336,CE$13))))</f>
        <v>1000000000000</v>
      </c>
      <c r="CF336" s="216">
        <f ca="1">IF($D336&lt;&gt;"Serviço",0,IF(OR(AND(AUTOEVENTO="Manual",$M336=1),$M336&gt;(ROW(PLE.lastrow)-ROW(PLE.firstrow))),0,IF(OFFSET(PLE!$G$14,$M336,CF$13)="",10^12,OFFSET(PLE!$G$14,$M336,CF$13))))</f>
        <v>1000000000000</v>
      </c>
      <c r="CG336" s="216">
        <f ca="1">IF($D336&lt;&gt;"Serviço",0,IF(OR(AND(AUTOEVENTO="Manual",$M336=1),$M336&gt;(ROW(PLE.lastrow)-ROW(PLE.firstrow))),0,IF(OFFSET(PLE!$G$14,$M336,CG$13)="",10^12,OFFSET(PLE!$G$14,$M336,CG$13))))</f>
        <v>1000000000000</v>
      </c>
      <c r="CH336" s="216">
        <f ca="1">IF($D336&lt;&gt;"Serviço",0,IF(OR(AND(AUTOEVENTO="Manual",$M336=1),$M336&gt;(ROW(PLE.lastrow)-ROW(PLE.firstrow))),0,IF(OFFSET(PLE!$G$14,$M336,CH$13)="",10^12,OFFSET(PLE!$G$14,$M336,CH$13))))</f>
        <v>1000000000000</v>
      </c>
      <c r="CI336" s="216">
        <f ca="1">IF($D336&lt;&gt;"Serviço",0,IF(OR(AND(AUTOEVENTO="Manual",$M336=1),$M336&gt;(ROW(PLE.lastrow)-ROW(PLE.firstrow))),0,IF(OFFSET(PLE!$G$14,$M336,CI$13)="",10^12,OFFSET(PLE!$G$14,$M336,CI$13))))</f>
        <v>1000000000000</v>
      </c>
      <c r="CJ336" s="216">
        <f ca="1">IF($D336&lt;&gt;"Serviço",0,IF(OR(AND(AUTOEVENTO="Manual",$M336=1),$M336&gt;(ROW(PLE.lastrow)-ROW(PLE.firstrow))),0,IF(OFFSET(PLE!$G$14,$M336,CJ$13)="",10^12,OFFSET(PLE!$G$14,$M336,CJ$13))))</f>
        <v>1000000000000</v>
      </c>
      <c r="CK336" s="216">
        <f ca="1">IF($D336&lt;&gt;"Serviço",0,IF(OR(AND(AUTOEVENTO="Manual",$M336=1),$M336&gt;(ROW(PLE.lastrow)-ROW(PLE.firstrow))),0,IF(OFFSET(PLE!$G$14,$M336,CK$13)="",10^12,OFFSET(PLE!$G$14,$M336,CK$13))))</f>
        <v>1000000000000</v>
      </c>
      <c r="CL336" s="216">
        <f ca="1">IF($D336&lt;&gt;"Serviço",0,IF(OR(AND(AUTOEVENTO="Manual",$M336=1),$M336&gt;(ROW(PLE.lastrow)-ROW(PLE.firstrow))),0,IF(OFFSET(PLE!$G$14,$M336,CL$13)="",10^12,OFFSET(PLE!$G$14,$M336,CL$13))))</f>
        <v>1000000000000</v>
      </c>
      <c r="CM336" s="216">
        <f ca="1">IF($D336&lt;&gt;"Serviço",0,IF(OR(AND(AUTOEVENTO="Manual",$M336=1),$M336&gt;(ROW(PLE.lastrow)-ROW(PLE.firstrow))),0,IF(OFFSET(PLE!$G$14,$M336,CM$13)="",10^12,OFFSET(PLE!$G$14,$M336,CM$13))))</f>
        <v>1000000000000</v>
      </c>
    </row>
    <row r="337" spans="1:91" ht="13.2" x14ac:dyDescent="0.25">
      <c r="A337" s="9">
        <f t="shared" ca="1" si="14"/>
        <v>0</v>
      </c>
      <c r="B337" s="9" t="str">
        <f ca="1">OFFSET(ORÇAMENTO!C$15,ROW(B337)-ROW(B$15),0)</f>
        <v>S</v>
      </c>
      <c r="C337" s="9" t="str">
        <f ca="1">OFFSET(ORÇAMENTO!L$15,ROW(C337)-ROW(C$15),0)</f>
        <v/>
      </c>
      <c r="D337" s="145" t="str">
        <f ca="1">OFFSET(ORÇAMENTO!N$15,ROW(D337)-ROW(D$15),0)</f>
        <v>Serviço</v>
      </c>
      <c r="E337" s="205" t="str">
        <f ca="1">OFFSET(ORÇAMENTO!O$15,ROW(E337)-ROW(E$15),0)</f>
        <v>-</v>
      </c>
      <c r="F337" s="206" t="str">
        <f ca="1">OFFSET(ORÇAMENTO!R$15,ROW(F337)-ROW(F$15),0)</f>
        <v>(abra o arquivo 'Referência 05-2024.xls)</v>
      </c>
      <c r="G337" s="207" t="str">
        <f ca="1">IF($D337&lt;&gt;"Serviço","",OFFSET(ORÇAMENTO!S$15,ROW(G337)-ROW(G$15),0))</f>
        <v>-</v>
      </c>
      <c r="H337" s="151">
        <f ca="1">IF($D337&lt;&gt;"Serviço",0,IF(ACOMPANHAMENTO="BM",ROUND(OFFSET(ORÇAMENTO!AJ$15,ROW(H337)-ROW(H$15),0),15-13*ORÇAMENTO!$AF$7),SUMPRODUCT(($Q$12:$AI$12&lt;&gt;"")*ROUND($Q337:$AI337,15-13*ORÇAMENTO!$AF$7))))</f>
        <v>50</v>
      </c>
      <c r="I337" s="650"/>
      <c r="K337" s="208"/>
      <c r="L337" s="209" t="s">
        <v>257</v>
      </c>
      <c r="M337" s="210">
        <f ca="1">IF($D337&lt;&gt;"Serviço","",IF(AUTOEVENTO="manual",$A337,IF(ISERROR(MATCH($A337,$A$15:OFFSET($A337,-1,0),0)),MAX($M$15:OFFSET(M337,-1,0))+1,INDEX($M$15:OFFSET(M337,-1,0),MATCH($A337,$A$15:OFFSET($A337,-1,0),0)))))</f>
        <v>0</v>
      </c>
      <c r="N337" s="211" t="str">
        <f ca="1">IF($D337&lt;&gt;"Serviço","",IF(AUTOEVENTO="Manual",IF($A337=0,"&lt;-- defina o número do agrupador",OFFSET(EVENTOS!$D$14,$A337,0)),OFFSET($F$15,$A337,0)))</f>
        <v>&lt;-- defina o número do agrupador</v>
      </c>
      <c r="O337" s="212"/>
      <c r="Q337" s="212"/>
      <c r="R337" s="213"/>
      <c r="S337" s="213"/>
      <c r="T337" s="213"/>
      <c r="U337" s="213"/>
      <c r="V337" s="213"/>
      <c r="W337" s="213"/>
      <c r="X337" s="213"/>
      <c r="Y337" s="213"/>
      <c r="Z337" s="214"/>
      <c r="AA337" s="213"/>
      <c r="AB337" s="213"/>
      <c r="AC337" s="213"/>
      <c r="AD337" s="213"/>
      <c r="AE337" s="213"/>
      <c r="AF337" s="213"/>
      <c r="AG337" s="213"/>
      <c r="AH337" s="214"/>
      <c r="AJ337" s="631">
        <f ca="1">IF(AND($D337="Serviço",AJ$12&lt;&gt;0,$H337&gt;0,OR(AUTOEVENTO&lt;&gt;"manual",$M337&lt;&gt;1)),ROUND(OFFSET($P337,0,AJ$13),15-13*ORÇAMENTO!$AF$7)/$H337*OFFSET(ORÇAMENTO!$X$15,ROW(AJ337)-ROW(AJ$15),0),0)</f>
        <v>0</v>
      </c>
      <c r="AK337" s="632">
        <f ca="1">IF(AND($D337="Serviço",AK$12&lt;&gt;0,$H337&gt;0,OR(AUTOEVENTO&lt;&gt;"manual",$M337&lt;&gt;1)),ROUND(OFFSET($P337,0,AK$13),15-13*ORÇAMENTO!$AF$7)/$H337*OFFSET(ORÇAMENTO!$X$15,ROW(AK337)-ROW(AK$15),0),0)</f>
        <v>0</v>
      </c>
      <c r="AL337" s="632">
        <f ca="1">IF(AND($D337="Serviço",AL$12&lt;&gt;0,$H337&gt;0,OR(AUTOEVENTO&lt;&gt;"manual",$M337&lt;&gt;1)),ROUND(OFFSET($P337,0,AL$13),15-13*ORÇAMENTO!$AF$7)/$H337*OFFSET(ORÇAMENTO!$X$15,ROW(AL337)-ROW(AL$15),0),0)</f>
        <v>0</v>
      </c>
      <c r="AM337" s="632">
        <f ca="1">IF(AND($D337="Serviço",AM$12&lt;&gt;0,$H337&gt;0,OR(AUTOEVENTO&lt;&gt;"manual",$M337&lt;&gt;1)),ROUND(OFFSET($P337,0,AM$13),15-13*ORÇAMENTO!$AF$7)/$H337*OFFSET(ORÇAMENTO!$X$15,ROW(AM337)-ROW(AM$15),0),0)</f>
        <v>0</v>
      </c>
      <c r="AN337" s="632">
        <f ca="1">IF(AND($D337="Serviço",AN$12&lt;&gt;0,$H337&gt;0,OR(AUTOEVENTO&lt;&gt;"manual",$M337&lt;&gt;1)),ROUND(OFFSET($P337,0,AN$13),15-13*ORÇAMENTO!$AF$7)/$H337*OFFSET(ORÇAMENTO!$X$15,ROW(AN337)-ROW(AN$15),0),0)</f>
        <v>0</v>
      </c>
      <c r="AO337" s="632">
        <f ca="1">IF(AND($D337="Serviço",AO$12&lt;&gt;0,$H337&gt;0,OR(AUTOEVENTO&lt;&gt;"manual",$M337&lt;&gt;1)),ROUND(OFFSET($P337,0,AO$13),15-13*ORÇAMENTO!$AF$7)/$H337*OFFSET(ORÇAMENTO!$X$15,ROW(AO337)-ROW(AO$15),0),0)</f>
        <v>0</v>
      </c>
      <c r="AP337" s="632">
        <f ca="1">IF(AND($D337="Serviço",AP$12&lt;&gt;0,$H337&gt;0,OR(AUTOEVENTO&lt;&gt;"manual",$M337&lt;&gt;1)),ROUND(OFFSET($P337,0,AP$13),15-13*ORÇAMENTO!$AF$7)/$H337*OFFSET(ORÇAMENTO!$X$15,ROW(AP337)-ROW(AP$15),0),0)</f>
        <v>0</v>
      </c>
      <c r="AQ337" s="632">
        <f ca="1">IF(AND($D337="Serviço",AQ$12&lt;&gt;0,$H337&gt;0,OR(AUTOEVENTO&lt;&gt;"manual",$M337&lt;&gt;1)),ROUND(OFFSET($P337,0,AQ$13),15-13*ORÇAMENTO!$AF$7)/$H337*OFFSET(ORÇAMENTO!$X$15,ROW(AQ337)-ROW(AQ$15),0),0)</f>
        <v>0</v>
      </c>
      <c r="AR337" s="632">
        <f ca="1">IF(AND($D337="Serviço",AR$12&lt;&gt;0,$H337&gt;0,OR(AUTOEVENTO&lt;&gt;"manual",$M337&lt;&gt;1)),ROUND(OFFSET($P337,0,AR$13),15-13*ORÇAMENTO!$AF$7)/$H337*OFFSET(ORÇAMENTO!$X$15,ROW(AR337)-ROW(AR$15),0),0)</f>
        <v>0</v>
      </c>
      <c r="AS337" s="633">
        <f ca="1">IF(AND($D337="Serviço",AS$12&lt;&gt;0,$H337&gt;0,OR(AUTOEVENTO&lt;&gt;"manual",$M337&lt;&gt;1)),ROUND(OFFSET($P337,0,AS$13),15-13*ORÇAMENTO!$AF$7)/$H337*OFFSET(ORÇAMENTO!$X$15,ROW(AS337)-ROW(AS$15),0),0)</f>
        <v>0</v>
      </c>
      <c r="AT337" s="632">
        <f ca="1">IF(AND($D337="Serviço",AT$12&lt;&gt;0,$H337&gt;0,OR(AUTOEVENTO&lt;&gt;"manual",$M337&lt;&gt;1)),ROUND(OFFSET($P337,0,AT$13),15-13*ORÇAMENTO!$AF$7)/$H337*OFFSET(ORÇAMENTO!$X$15,ROW(AT337)-ROW(AT$15),0),0)</f>
        <v>0</v>
      </c>
      <c r="AU337" s="632">
        <f ca="1">IF(AND($D337="Serviço",AU$12&lt;&gt;0,$H337&gt;0,OR(AUTOEVENTO&lt;&gt;"manual",$M337&lt;&gt;1)),ROUND(OFFSET($P337,0,AU$13),15-13*ORÇAMENTO!$AF$7)/$H337*OFFSET(ORÇAMENTO!$X$15,ROW(AU337)-ROW(AU$15),0),0)</f>
        <v>0</v>
      </c>
      <c r="AV337" s="632">
        <f ca="1">IF(AND($D337="Serviço",AV$12&lt;&gt;0,$H337&gt;0,OR(AUTOEVENTO&lt;&gt;"manual",$M337&lt;&gt;1)),ROUND(OFFSET($P337,0,AV$13),15-13*ORÇAMENTO!$AF$7)/$H337*OFFSET(ORÇAMENTO!$X$15,ROW(AV337)-ROW(AV$15),0),0)</f>
        <v>0</v>
      </c>
      <c r="AW337" s="632">
        <f ca="1">IF(AND($D337="Serviço",AW$12&lt;&gt;0,$H337&gt;0,OR(AUTOEVENTO&lt;&gt;"manual",$M337&lt;&gt;1)),ROUND(OFFSET($P337,0,AW$13),15-13*ORÇAMENTO!$AF$7)/$H337*OFFSET(ORÇAMENTO!$X$15,ROW(AW337)-ROW(AW$15),0),0)</f>
        <v>0</v>
      </c>
      <c r="AX337" s="632">
        <f ca="1">IF(AND($D337="Serviço",AX$12&lt;&gt;0,$H337&gt;0,OR(AUTOEVENTO&lt;&gt;"manual",$M337&lt;&gt;1)),ROUND(OFFSET($P337,0,AX$13),15-13*ORÇAMENTO!$AF$7)/$H337*OFFSET(ORÇAMENTO!$X$15,ROW(AX337)-ROW(AX$15),0),0)</f>
        <v>0</v>
      </c>
      <c r="AY337" s="632">
        <f ca="1">IF(AND($D337="Serviço",AY$12&lt;&gt;0,$H337&gt;0,OR(AUTOEVENTO&lt;&gt;"manual",$M337&lt;&gt;1)),ROUND(OFFSET($P337,0,AY$13),15-13*ORÇAMENTO!$AF$7)/$H337*OFFSET(ORÇAMENTO!$X$15,ROW(AY337)-ROW(AY$15),0),0)</f>
        <v>0</v>
      </c>
      <c r="AZ337" s="632">
        <f ca="1">IF(AND($D337="Serviço",AZ$12&lt;&gt;0,$H337&gt;0,OR(AUTOEVENTO&lt;&gt;"manual",$M337&lt;&gt;1)),ROUND(OFFSET($P337,0,AZ$13),15-13*ORÇAMENTO!$AF$7)/$H337*OFFSET(ORÇAMENTO!$X$15,ROW(AZ337)-ROW(AZ$15),0),0)</f>
        <v>0</v>
      </c>
      <c r="BA337" s="633">
        <f ca="1">IF(AND($D337="Serviço",BA$12&lt;&gt;0,$H337&gt;0,OR(AUTOEVENTO&lt;&gt;"manual",$M337&lt;&gt;1)),ROUND(OFFSET($P337,0,BA$13),15-13*ORÇAMENTO!$AF$7)/$H337*OFFSET(ORÇAMENTO!$X$15,ROW(BA337)-ROW(BA$15),0),0)</f>
        <v>0</v>
      </c>
      <c r="BC337" s="215">
        <f ca="1">IF($D337&lt;&gt;"Serviço",0,IF(AND(AUTOEVENTO="Manual",$M337=1),0,IF(OFFSET(CRONOPLE!$F$14,$M337,BC$13)="",10^12,OFFSET(CRONOPLE!$F$14,$M337,BC$13))))</f>
        <v>1000000000000</v>
      </c>
      <c r="BD337" s="215">
        <f ca="1">IF($D337&lt;&gt;"Serviço",0,IF(AND(AUTOEVENTO="Manual",$M337=1),0,IF(OFFSET(CRONOPLE!$F$14,$M337,BD$13)="",10^12,OFFSET(CRONOPLE!$F$14,$M337,BD$13))))</f>
        <v>1000000000000</v>
      </c>
      <c r="BE337" s="215">
        <f ca="1">IF($D337&lt;&gt;"Serviço",0,IF(AND(AUTOEVENTO="Manual",$M337=1),0,IF(OFFSET(CRONOPLE!$F$14,$M337,BE$13)="",10^12,OFFSET(CRONOPLE!$F$14,$M337,BE$13))))</f>
        <v>1000000000000</v>
      </c>
      <c r="BF337" s="215">
        <f ca="1">IF($D337&lt;&gt;"Serviço",0,IF(AND(AUTOEVENTO="Manual",$M337=1),0,IF(OFFSET(CRONOPLE!$F$14,$M337,BF$13)="",10^12,OFFSET(CRONOPLE!$F$14,$M337,BF$13))))</f>
        <v>1000000000000</v>
      </c>
      <c r="BG337" s="215">
        <f ca="1">IF($D337&lt;&gt;"Serviço",0,IF(AND(AUTOEVENTO="Manual",$M337=1),0,IF(OFFSET(CRONOPLE!$F$14,$M337,BG$13)="",10^12,OFFSET(CRONOPLE!$F$14,$M337,BG$13))))</f>
        <v>1000000000000</v>
      </c>
      <c r="BH337" s="215">
        <f ca="1">IF($D337&lt;&gt;"Serviço",0,IF(AND(AUTOEVENTO="Manual",$M337=1),0,IF(OFFSET(CRONOPLE!$F$14,$M337,BH$13)="",10^12,OFFSET(CRONOPLE!$F$14,$M337,BH$13))))</f>
        <v>1000000000000</v>
      </c>
      <c r="BI337" s="215">
        <f ca="1">IF($D337&lt;&gt;"Serviço",0,IF(AND(AUTOEVENTO="Manual",$M337=1),0,IF(OFFSET(CRONOPLE!$F$14,$M337,BI$13)="",10^12,OFFSET(CRONOPLE!$F$14,$M337,BI$13))))</f>
        <v>1000000000000</v>
      </c>
      <c r="BJ337" s="215">
        <f ca="1">IF($D337&lt;&gt;"Serviço",0,IF(AND(AUTOEVENTO="Manual",$M337=1),0,IF(OFFSET(CRONOPLE!$F$14,$M337,BJ$13)="",10^12,OFFSET(CRONOPLE!$F$14,$M337,BJ$13))))</f>
        <v>1000000000000</v>
      </c>
      <c r="BK337" s="215">
        <f ca="1">IF($D337&lt;&gt;"Serviço",0,IF(AND(AUTOEVENTO="Manual",$M337=1),0,IF(OFFSET(CRONOPLE!$F$14,$M337,BK$13)="",10^12,OFFSET(CRONOPLE!$F$14,$M337,BK$13))))</f>
        <v>1000000000000</v>
      </c>
      <c r="BL337" s="215">
        <f ca="1">IF($D337&lt;&gt;"Serviço",0,IF(AND(AUTOEVENTO="Manual",$M337=1),0,IF(OFFSET(CRONOPLE!$F$14,$M337,BL$13)="",10^12,OFFSET(CRONOPLE!$F$14,$M337,BL$13))))</f>
        <v>1000000000000</v>
      </c>
      <c r="BM337" s="215">
        <f ca="1">IF($D337&lt;&gt;"Serviço",0,IF(AND(AUTOEVENTO="Manual",$M337=1),0,IF(OFFSET(CRONOPLE!$F$14,$M337,BM$13)="",10^12,OFFSET(CRONOPLE!$F$14,$M337,BM$13))))</f>
        <v>1000000000000</v>
      </c>
      <c r="BN337" s="215">
        <f ca="1">IF($D337&lt;&gt;"Serviço",0,IF(AND(AUTOEVENTO="Manual",$M337=1),0,IF(OFFSET(CRONOPLE!$F$14,$M337,BN$13)="",10^12,OFFSET(CRONOPLE!$F$14,$M337,BN$13))))</f>
        <v>1000000000000</v>
      </c>
      <c r="BO337" s="215">
        <f ca="1">IF($D337&lt;&gt;"Serviço",0,IF(AND(AUTOEVENTO="Manual",$M337=1),0,IF(OFFSET(CRONOPLE!$F$14,$M337,BO$13)="",10^12,OFFSET(CRONOPLE!$F$14,$M337,BO$13))))</f>
        <v>1000000000000</v>
      </c>
      <c r="BP337" s="215">
        <f ca="1">IF($D337&lt;&gt;"Serviço",0,IF(AND(AUTOEVENTO="Manual",$M337=1),0,IF(OFFSET(CRONOPLE!$F$14,$M337,BP$13)="",10^12,OFFSET(CRONOPLE!$F$14,$M337,BP$13))))</f>
        <v>1000000000000</v>
      </c>
      <c r="BQ337" s="215">
        <f ca="1">IF($D337&lt;&gt;"Serviço",0,IF(AND(AUTOEVENTO="Manual",$M337=1),0,IF(OFFSET(CRONOPLE!$F$14,$M337,BQ$13)="",10^12,OFFSET(CRONOPLE!$F$14,$M337,BQ$13))))</f>
        <v>1000000000000</v>
      </c>
      <c r="BR337" s="215">
        <f ca="1">IF($D337&lt;&gt;"Serviço",0,IF(AND(AUTOEVENTO="Manual",$M337=1),0,IF(OFFSET(CRONOPLE!$F$14,$M337,BR$13)="",10^12,OFFSET(CRONOPLE!$F$14,$M337,BR$13))))</f>
        <v>1000000000000</v>
      </c>
      <c r="BS337" s="215">
        <f ca="1">IF($D337&lt;&gt;"Serviço",0,IF(AND(AUTOEVENTO="Manual",$M337=1),0,IF(OFFSET(CRONOPLE!$F$14,$M337,BS$13)="",10^12,OFFSET(CRONOPLE!$F$14,$M337,BS$13))))</f>
        <v>1000000000000</v>
      </c>
      <c r="BT337" s="215">
        <f ca="1">IF($D337&lt;&gt;"Serviço",0,IF(AND(AUTOEVENTO="Manual",$M337=1),0,IF(OFFSET(CRONOPLE!$F$14,$M337,BT$13)="",10^12,OFFSET(CRONOPLE!$F$14,$M337,BT$13))))</f>
        <v>1000000000000</v>
      </c>
      <c r="BV337" s="216">
        <f ca="1">IF($D337&lt;&gt;"Serviço",0,IF(OR(AND(AUTOEVENTO="Manual",$M337=1),$M337&gt;(ROW(PLE.lastrow)-ROW(PLE.firstrow))),0,IF(OFFSET(PLE!$G$14,$M337,BV$13)="",10^12,OFFSET(PLE!$G$14,$M337,BV$13))))</f>
        <v>1000000000000</v>
      </c>
      <c r="BW337" s="216">
        <f ca="1">IF($D337&lt;&gt;"Serviço",0,IF(OR(AND(AUTOEVENTO="Manual",$M337=1),$M337&gt;(ROW(PLE.lastrow)-ROW(PLE.firstrow))),0,IF(OFFSET(PLE!$G$14,$M337,BW$13)="",10^12,OFFSET(PLE!$G$14,$M337,BW$13))))</f>
        <v>1000000000000</v>
      </c>
      <c r="BX337" s="216">
        <f ca="1">IF($D337&lt;&gt;"Serviço",0,IF(OR(AND(AUTOEVENTO="Manual",$M337=1),$M337&gt;(ROW(PLE.lastrow)-ROW(PLE.firstrow))),0,IF(OFFSET(PLE!$G$14,$M337,BX$13)="",10^12,OFFSET(PLE!$G$14,$M337,BX$13))))</f>
        <v>1000000000000</v>
      </c>
      <c r="BY337" s="216">
        <f ca="1">IF($D337&lt;&gt;"Serviço",0,IF(OR(AND(AUTOEVENTO="Manual",$M337=1),$M337&gt;(ROW(PLE.lastrow)-ROW(PLE.firstrow))),0,IF(OFFSET(PLE!$G$14,$M337,BY$13)="",10^12,OFFSET(PLE!$G$14,$M337,BY$13))))</f>
        <v>1000000000000</v>
      </c>
      <c r="BZ337" s="216">
        <f ca="1">IF($D337&lt;&gt;"Serviço",0,IF(OR(AND(AUTOEVENTO="Manual",$M337=1),$M337&gt;(ROW(PLE.lastrow)-ROW(PLE.firstrow))),0,IF(OFFSET(PLE!$G$14,$M337,BZ$13)="",10^12,OFFSET(PLE!$G$14,$M337,BZ$13))))</f>
        <v>1000000000000</v>
      </c>
      <c r="CA337" s="216">
        <f ca="1">IF($D337&lt;&gt;"Serviço",0,IF(OR(AND(AUTOEVENTO="Manual",$M337=1),$M337&gt;(ROW(PLE.lastrow)-ROW(PLE.firstrow))),0,IF(OFFSET(PLE!$G$14,$M337,CA$13)="",10^12,OFFSET(PLE!$G$14,$M337,CA$13))))</f>
        <v>1000000000000</v>
      </c>
      <c r="CB337" s="216">
        <f ca="1">IF($D337&lt;&gt;"Serviço",0,IF(OR(AND(AUTOEVENTO="Manual",$M337=1),$M337&gt;(ROW(PLE.lastrow)-ROW(PLE.firstrow))),0,IF(OFFSET(PLE!$G$14,$M337,CB$13)="",10^12,OFFSET(PLE!$G$14,$M337,CB$13))))</f>
        <v>1000000000000</v>
      </c>
      <c r="CC337" s="216">
        <f ca="1">IF($D337&lt;&gt;"Serviço",0,IF(OR(AND(AUTOEVENTO="Manual",$M337=1),$M337&gt;(ROW(PLE.lastrow)-ROW(PLE.firstrow))),0,IF(OFFSET(PLE!$G$14,$M337,CC$13)="",10^12,OFFSET(PLE!$G$14,$M337,CC$13))))</f>
        <v>1000000000000</v>
      </c>
      <c r="CD337" s="216">
        <f ca="1">IF($D337&lt;&gt;"Serviço",0,IF(OR(AND(AUTOEVENTO="Manual",$M337=1),$M337&gt;(ROW(PLE.lastrow)-ROW(PLE.firstrow))),0,IF(OFFSET(PLE!$G$14,$M337,CD$13)="",10^12,OFFSET(PLE!$G$14,$M337,CD$13))))</f>
        <v>1000000000000</v>
      </c>
      <c r="CE337" s="216">
        <f ca="1">IF($D337&lt;&gt;"Serviço",0,IF(OR(AND(AUTOEVENTO="Manual",$M337=1),$M337&gt;(ROW(PLE.lastrow)-ROW(PLE.firstrow))),0,IF(OFFSET(PLE!$G$14,$M337,CE$13)="",10^12,OFFSET(PLE!$G$14,$M337,CE$13))))</f>
        <v>1000000000000</v>
      </c>
      <c r="CF337" s="216">
        <f ca="1">IF($D337&lt;&gt;"Serviço",0,IF(OR(AND(AUTOEVENTO="Manual",$M337=1),$M337&gt;(ROW(PLE.lastrow)-ROW(PLE.firstrow))),0,IF(OFFSET(PLE!$G$14,$M337,CF$13)="",10^12,OFFSET(PLE!$G$14,$M337,CF$13))))</f>
        <v>1000000000000</v>
      </c>
      <c r="CG337" s="216">
        <f ca="1">IF($D337&lt;&gt;"Serviço",0,IF(OR(AND(AUTOEVENTO="Manual",$M337=1),$M337&gt;(ROW(PLE.lastrow)-ROW(PLE.firstrow))),0,IF(OFFSET(PLE!$G$14,$M337,CG$13)="",10^12,OFFSET(PLE!$G$14,$M337,CG$13))))</f>
        <v>1000000000000</v>
      </c>
      <c r="CH337" s="216">
        <f ca="1">IF($D337&lt;&gt;"Serviço",0,IF(OR(AND(AUTOEVENTO="Manual",$M337=1),$M337&gt;(ROW(PLE.lastrow)-ROW(PLE.firstrow))),0,IF(OFFSET(PLE!$G$14,$M337,CH$13)="",10^12,OFFSET(PLE!$G$14,$M337,CH$13))))</f>
        <v>1000000000000</v>
      </c>
      <c r="CI337" s="216">
        <f ca="1">IF($D337&lt;&gt;"Serviço",0,IF(OR(AND(AUTOEVENTO="Manual",$M337=1),$M337&gt;(ROW(PLE.lastrow)-ROW(PLE.firstrow))),0,IF(OFFSET(PLE!$G$14,$M337,CI$13)="",10^12,OFFSET(PLE!$G$14,$M337,CI$13))))</f>
        <v>1000000000000</v>
      </c>
      <c r="CJ337" s="216">
        <f ca="1">IF($D337&lt;&gt;"Serviço",0,IF(OR(AND(AUTOEVENTO="Manual",$M337=1),$M337&gt;(ROW(PLE.lastrow)-ROW(PLE.firstrow))),0,IF(OFFSET(PLE!$G$14,$M337,CJ$13)="",10^12,OFFSET(PLE!$G$14,$M337,CJ$13))))</f>
        <v>1000000000000</v>
      </c>
      <c r="CK337" s="216">
        <f ca="1">IF($D337&lt;&gt;"Serviço",0,IF(OR(AND(AUTOEVENTO="Manual",$M337=1),$M337&gt;(ROW(PLE.lastrow)-ROW(PLE.firstrow))),0,IF(OFFSET(PLE!$G$14,$M337,CK$13)="",10^12,OFFSET(PLE!$G$14,$M337,CK$13))))</f>
        <v>1000000000000</v>
      </c>
      <c r="CL337" s="216">
        <f ca="1">IF($D337&lt;&gt;"Serviço",0,IF(OR(AND(AUTOEVENTO="Manual",$M337=1),$M337&gt;(ROW(PLE.lastrow)-ROW(PLE.firstrow))),0,IF(OFFSET(PLE!$G$14,$M337,CL$13)="",10^12,OFFSET(PLE!$G$14,$M337,CL$13))))</f>
        <v>1000000000000</v>
      </c>
      <c r="CM337" s="216">
        <f ca="1">IF($D337&lt;&gt;"Serviço",0,IF(OR(AND(AUTOEVENTO="Manual",$M337=1),$M337&gt;(ROW(PLE.lastrow)-ROW(PLE.firstrow))),0,IF(OFFSET(PLE!$G$14,$M337,CM$13)="",10^12,OFFSET(PLE!$G$14,$M337,CM$13))))</f>
        <v>1000000000000</v>
      </c>
    </row>
    <row r="338" spans="1:91" ht="13.2" x14ac:dyDescent="0.25">
      <c r="A338" s="9">
        <f t="shared" ca="1" si="14"/>
        <v>0</v>
      </c>
      <c r="B338" s="9" t="str">
        <f ca="1">OFFSET(ORÇAMENTO!C$15,ROW(B338)-ROW(B$15),0)</f>
        <v>S</v>
      </c>
      <c r="C338" s="9" t="str">
        <f ca="1">OFFSET(ORÇAMENTO!L$15,ROW(C338)-ROW(C$15),0)</f>
        <v/>
      </c>
      <c r="D338" s="145" t="str">
        <f ca="1">OFFSET(ORÇAMENTO!N$15,ROW(D338)-ROW(D$15),0)</f>
        <v>Serviço</v>
      </c>
      <c r="E338" s="205" t="str">
        <f ca="1">OFFSET(ORÇAMENTO!O$15,ROW(E338)-ROW(E$15),0)</f>
        <v>-</v>
      </c>
      <c r="F338" s="206" t="str">
        <f ca="1">OFFSET(ORÇAMENTO!R$15,ROW(F338)-ROW(F$15),0)</f>
        <v>(abra o arquivo 'Referência 05-2024.xls)</v>
      </c>
      <c r="G338" s="207" t="str">
        <f ca="1">IF($D338&lt;&gt;"Serviço","",OFFSET(ORÇAMENTO!S$15,ROW(G338)-ROW(G$15),0))</f>
        <v>-</v>
      </c>
      <c r="H338" s="151">
        <f ca="1">IF($D338&lt;&gt;"Serviço",0,IF(ACOMPANHAMENTO="BM",ROUND(OFFSET(ORÇAMENTO!AJ$15,ROW(H338)-ROW(H$15),0),15-13*ORÇAMENTO!$AF$7),SUMPRODUCT(($Q$12:$AI$12&lt;&gt;"")*ROUND($Q338:$AI338,15-13*ORÇAMENTO!$AF$7))))</f>
        <v>22</v>
      </c>
      <c r="I338" s="650"/>
      <c r="K338" s="208"/>
      <c r="L338" s="209" t="s">
        <v>257</v>
      </c>
      <c r="M338" s="210">
        <f ca="1">IF($D338&lt;&gt;"Serviço","",IF(AUTOEVENTO="manual",$A338,IF(ISERROR(MATCH($A338,$A$15:OFFSET($A338,-1,0),0)),MAX($M$15:OFFSET(M338,-1,0))+1,INDEX($M$15:OFFSET(M338,-1,0),MATCH($A338,$A$15:OFFSET($A338,-1,0),0)))))</f>
        <v>0</v>
      </c>
      <c r="N338" s="211" t="str">
        <f ca="1">IF($D338&lt;&gt;"Serviço","",IF(AUTOEVENTO="Manual",IF($A338=0,"&lt;-- defina o número do agrupador",OFFSET(EVENTOS!$D$14,$A338,0)),OFFSET($F$15,$A338,0)))</f>
        <v>&lt;-- defina o número do agrupador</v>
      </c>
      <c r="O338" s="212"/>
      <c r="Q338" s="212"/>
      <c r="R338" s="213"/>
      <c r="S338" s="213"/>
      <c r="T338" s="213"/>
      <c r="U338" s="213"/>
      <c r="V338" s="213"/>
      <c r="W338" s="213"/>
      <c r="X338" s="213"/>
      <c r="Y338" s="213"/>
      <c r="Z338" s="214"/>
      <c r="AA338" s="213"/>
      <c r="AB338" s="213"/>
      <c r="AC338" s="213"/>
      <c r="AD338" s="213"/>
      <c r="AE338" s="213"/>
      <c r="AF338" s="213"/>
      <c r="AG338" s="213"/>
      <c r="AH338" s="214"/>
      <c r="AJ338" s="631">
        <f ca="1">IF(AND($D338="Serviço",AJ$12&lt;&gt;0,$H338&gt;0,OR(AUTOEVENTO&lt;&gt;"manual",$M338&lt;&gt;1)),ROUND(OFFSET($P338,0,AJ$13),15-13*ORÇAMENTO!$AF$7)/$H338*OFFSET(ORÇAMENTO!$X$15,ROW(AJ338)-ROW(AJ$15),0),0)</f>
        <v>0</v>
      </c>
      <c r="AK338" s="632">
        <f ca="1">IF(AND($D338="Serviço",AK$12&lt;&gt;0,$H338&gt;0,OR(AUTOEVENTO&lt;&gt;"manual",$M338&lt;&gt;1)),ROUND(OFFSET($P338,0,AK$13),15-13*ORÇAMENTO!$AF$7)/$H338*OFFSET(ORÇAMENTO!$X$15,ROW(AK338)-ROW(AK$15),0),0)</f>
        <v>0</v>
      </c>
      <c r="AL338" s="632">
        <f ca="1">IF(AND($D338="Serviço",AL$12&lt;&gt;0,$H338&gt;0,OR(AUTOEVENTO&lt;&gt;"manual",$M338&lt;&gt;1)),ROUND(OFFSET($P338,0,AL$13),15-13*ORÇAMENTO!$AF$7)/$H338*OFFSET(ORÇAMENTO!$X$15,ROW(AL338)-ROW(AL$15),0),0)</f>
        <v>0</v>
      </c>
      <c r="AM338" s="632">
        <f ca="1">IF(AND($D338="Serviço",AM$12&lt;&gt;0,$H338&gt;0,OR(AUTOEVENTO&lt;&gt;"manual",$M338&lt;&gt;1)),ROUND(OFFSET($P338,0,AM$13),15-13*ORÇAMENTO!$AF$7)/$H338*OFFSET(ORÇAMENTO!$X$15,ROW(AM338)-ROW(AM$15),0),0)</f>
        <v>0</v>
      </c>
      <c r="AN338" s="632">
        <f ca="1">IF(AND($D338="Serviço",AN$12&lt;&gt;0,$H338&gt;0,OR(AUTOEVENTO&lt;&gt;"manual",$M338&lt;&gt;1)),ROUND(OFFSET($P338,0,AN$13),15-13*ORÇAMENTO!$AF$7)/$H338*OFFSET(ORÇAMENTO!$X$15,ROW(AN338)-ROW(AN$15),0),0)</f>
        <v>0</v>
      </c>
      <c r="AO338" s="632">
        <f ca="1">IF(AND($D338="Serviço",AO$12&lt;&gt;0,$H338&gt;0,OR(AUTOEVENTO&lt;&gt;"manual",$M338&lt;&gt;1)),ROUND(OFFSET($P338,0,AO$13),15-13*ORÇAMENTO!$AF$7)/$H338*OFFSET(ORÇAMENTO!$X$15,ROW(AO338)-ROW(AO$15),0),0)</f>
        <v>0</v>
      </c>
      <c r="AP338" s="632">
        <f ca="1">IF(AND($D338="Serviço",AP$12&lt;&gt;0,$H338&gt;0,OR(AUTOEVENTO&lt;&gt;"manual",$M338&lt;&gt;1)),ROUND(OFFSET($P338,0,AP$13),15-13*ORÇAMENTO!$AF$7)/$H338*OFFSET(ORÇAMENTO!$X$15,ROW(AP338)-ROW(AP$15),0),0)</f>
        <v>0</v>
      </c>
      <c r="AQ338" s="632">
        <f ca="1">IF(AND($D338="Serviço",AQ$12&lt;&gt;0,$H338&gt;0,OR(AUTOEVENTO&lt;&gt;"manual",$M338&lt;&gt;1)),ROUND(OFFSET($P338,0,AQ$13),15-13*ORÇAMENTO!$AF$7)/$H338*OFFSET(ORÇAMENTO!$X$15,ROW(AQ338)-ROW(AQ$15),0),0)</f>
        <v>0</v>
      </c>
      <c r="AR338" s="632">
        <f ca="1">IF(AND($D338="Serviço",AR$12&lt;&gt;0,$H338&gt;0,OR(AUTOEVENTO&lt;&gt;"manual",$M338&lt;&gt;1)),ROUND(OFFSET($P338,0,AR$13),15-13*ORÇAMENTO!$AF$7)/$H338*OFFSET(ORÇAMENTO!$X$15,ROW(AR338)-ROW(AR$15),0),0)</f>
        <v>0</v>
      </c>
      <c r="AS338" s="633">
        <f ca="1">IF(AND($D338="Serviço",AS$12&lt;&gt;0,$H338&gt;0,OR(AUTOEVENTO&lt;&gt;"manual",$M338&lt;&gt;1)),ROUND(OFFSET($P338,0,AS$13),15-13*ORÇAMENTO!$AF$7)/$H338*OFFSET(ORÇAMENTO!$X$15,ROW(AS338)-ROW(AS$15),0),0)</f>
        <v>0</v>
      </c>
      <c r="AT338" s="632">
        <f ca="1">IF(AND($D338="Serviço",AT$12&lt;&gt;0,$H338&gt;0,OR(AUTOEVENTO&lt;&gt;"manual",$M338&lt;&gt;1)),ROUND(OFFSET($P338,0,AT$13),15-13*ORÇAMENTO!$AF$7)/$H338*OFFSET(ORÇAMENTO!$X$15,ROW(AT338)-ROW(AT$15),0),0)</f>
        <v>0</v>
      </c>
      <c r="AU338" s="632">
        <f ca="1">IF(AND($D338="Serviço",AU$12&lt;&gt;0,$H338&gt;0,OR(AUTOEVENTO&lt;&gt;"manual",$M338&lt;&gt;1)),ROUND(OFFSET($P338,0,AU$13),15-13*ORÇAMENTO!$AF$7)/$H338*OFFSET(ORÇAMENTO!$X$15,ROW(AU338)-ROW(AU$15),0),0)</f>
        <v>0</v>
      </c>
      <c r="AV338" s="632">
        <f ca="1">IF(AND($D338="Serviço",AV$12&lt;&gt;0,$H338&gt;0,OR(AUTOEVENTO&lt;&gt;"manual",$M338&lt;&gt;1)),ROUND(OFFSET($P338,0,AV$13),15-13*ORÇAMENTO!$AF$7)/$H338*OFFSET(ORÇAMENTO!$X$15,ROW(AV338)-ROW(AV$15),0),0)</f>
        <v>0</v>
      </c>
      <c r="AW338" s="632">
        <f ca="1">IF(AND($D338="Serviço",AW$12&lt;&gt;0,$H338&gt;0,OR(AUTOEVENTO&lt;&gt;"manual",$M338&lt;&gt;1)),ROUND(OFFSET($P338,0,AW$13),15-13*ORÇAMENTO!$AF$7)/$H338*OFFSET(ORÇAMENTO!$X$15,ROW(AW338)-ROW(AW$15),0),0)</f>
        <v>0</v>
      </c>
      <c r="AX338" s="632">
        <f ca="1">IF(AND($D338="Serviço",AX$12&lt;&gt;0,$H338&gt;0,OR(AUTOEVENTO&lt;&gt;"manual",$M338&lt;&gt;1)),ROUND(OFFSET($P338,0,AX$13),15-13*ORÇAMENTO!$AF$7)/$H338*OFFSET(ORÇAMENTO!$X$15,ROW(AX338)-ROW(AX$15),0),0)</f>
        <v>0</v>
      </c>
      <c r="AY338" s="632">
        <f ca="1">IF(AND($D338="Serviço",AY$12&lt;&gt;0,$H338&gt;0,OR(AUTOEVENTO&lt;&gt;"manual",$M338&lt;&gt;1)),ROUND(OFFSET($P338,0,AY$13),15-13*ORÇAMENTO!$AF$7)/$H338*OFFSET(ORÇAMENTO!$X$15,ROW(AY338)-ROW(AY$15),0),0)</f>
        <v>0</v>
      </c>
      <c r="AZ338" s="632">
        <f ca="1">IF(AND($D338="Serviço",AZ$12&lt;&gt;0,$H338&gt;0,OR(AUTOEVENTO&lt;&gt;"manual",$M338&lt;&gt;1)),ROUND(OFFSET($P338,0,AZ$13),15-13*ORÇAMENTO!$AF$7)/$H338*OFFSET(ORÇAMENTO!$X$15,ROW(AZ338)-ROW(AZ$15),0),0)</f>
        <v>0</v>
      </c>
      <c r="BA338" s="633">
        <f ca="1">IF(AND($D338="Serviço",BA$12&lt;&gt;0,$H338&gt;0,OR(AUTOEVENTO&lt;&gt;"manual",$M338&lt;&gt;1)),ROUND(OFFSET($P338,0,BA$13),15-13*ORÇAMENTO!$AF$7)/$H338*OFFSET(ORÇAMENTO!$X$15,ROW(BA338)-ROW(BA$15),0),0)</f>
        <v>0</v>
      </c>
      <c r="BC338" s="215">
        <f ca="1">IF($D338&lt;&gt;"Serviço",0,IF(AND(AUTOEVENTO="Manual",$M338=1),0,IF(OFFSET(CRONOPLE!$F$14,$M338,BC$13)="",10^12,OFFSET(CRONOPLE!$F$14,$M338,BC$13))))</f>
        <v>1000000000000</v>
      </c>
      <c r="BD338" s="215">
        <f ca="1">IF($D338&lt;&gt;"Serviço",0,IF(AND(AUTOEVENTO="Manual",$M338=1),0,IF(OFFSET(CRONOPLE!$F$14,$M338,BD$13)="",10^12,OFFSET(CRONOPLE!$F$14,$M338,BD$13))))</f>
        <v>1000000000000</v>
      </c>
      <c r="BE338" s="215">
        <f ca="1">IF($D338&lt;&gt;"Serviço",0,IF(AND(AUTOEVENTO="Manual",$M338=1),0,IF(OFFSET(CRONOPLE!$F$14,$M338,BE$13)="",10^12,OFFSET(CRONOPLE!$F$14,$M338,BE$13))))</f>
        <v>1000000000000</v>
      </c>
      <c r="BF338" s="215">
        <f ca="1">IF($D338&lt;&gt;"Serviço",0,IF(AND(AUTOEVENTO="Manual",$M338=1),0,IF(OFFSET(CRONOPLE!$F$14,$M338,BF$13)="",10^12,OFFSET(CRONOPLE!$F$14,$M338,BF$13))))</f>
        <v>1000000000000</v>
      </c>
      <c r="BG338" s="215">
        <f ca="1">IF($D338&lt;&gt;"Serviço",0,IF(AND(AUTOEVENTO="Manual",$M338=1),0,IF(OFFSET(CRONOPLE!$F$14,$M338,BG$13)="",10^12,OFFSET(CRONOPLE!$F$14,$M338,BG$13))))</f>
        <v>1000000000000</v>
      </c>
      <c r="BH338" s="215">
        <f ca="1">IF($D338&lt;&gt;"Serviço",0,IF(AND(AUTOEVENTO="Manual",$M338=1),0,IF(OFFSET(CRONOPLE!$F$14,$M338,BH$13)="",10^12,OFFSET(CRONOPLE!$F$14,$M338,BH$13))))</f>
        <v>1000000000000</v>
      </c>
      <c r="BI338" s="215">
        <f ca="1">IF($D338&lt;&gt;"Serviço",0,IF(AND(AUTOEVENTO="Manual",$M338=1),0,IF(OFFSET(CRONOPLE!$F$14,$M338,BI$13)="",10^12,OFFSET(CRONOPLE!$F$14,$M338,BI$13))))</f>
        <v>1000000000000</v>
      </c>
      <c r="BJ338" s="215">
        <f ca="1">IF($D338&lt;&gt;"Serviço",0,IF(AND(AUTOEVENTO="Manual",$M338=1),0,IF(OFFSET(CRONOPLE!$F$14,$M338,BJ$13)="",10^12,OFFSET(CRONOPLE!$F$14,$M338,BJ$13))))</f>
        <v>1000000000000</v>
      </c>
      <c r="BK338" s="215">
        <f ca="1">IF($D338&lt;&gt;"Serviço",0,IF(AND(AUTOEVENTO="Manual",$M338=1),0,IF(OFFSET(CRONOPLE!$F$14,$M338,BK$13)="",10^12,OFFSET(CRONOPLE!$F$14,$M338,BK$13))))</f>
        <v>1000000000000</v>
      </c>
      <c r="BL338" s="215">
        <f ca="1">IF($D338&lt;&gt;"Serviço",0,IF(AND(AUTOEVENTO="Manual",$M338=1),0,IF(OFFSET(CRONOPLE!$F$14,$M338,BL$13)="",10^12,OFFSET(CRONOPLE!$F$14,$M338,BL$13))))</f>
        <v>1000000000000</v>
      </c>
      <c r="BM338" s="215">
        <f ca="1">IF($D338&lt;&gt;"Serviço",0,IF(AND(AUTOEVENTO="Manual",$M338=1),0,IF(OFFSET(CRONOPLE!$F$14,$M338,BM$13)="",10^12,OFFSET(CRONOPLE!$F$14,$M338,BM$13))))</f>
        <v>1000000000000</v>
      </c>
      <c r="BN338" s="215">
        <f ca="1">IF($D338&lt;&gt;"Serviço",0,IF(AND(AUTOEVENTO="Manual",$M338=1),0,IF(OFFSET(CRONOPLE!$F$14,$M338,BN$13)="",10^12,OFFSET(CRONOPLE!$F$14,$M338,BN$13))))</f>
        <v>1000000000000</v>
      </c>
      <c r="BO338" s="215">
        <f ca="1">IF($D338&lt;&gt;"Serviço",0,IF(AND(AUTOEVENTO="Manual",$M338=1),0,IF(OFFSET(CRONOPLE!$F$14,$M338,BO$13)="",10^12,OFFSET(CRONOPLE!$F$14,$M338,BO$13))))</f>
        <v>1000000000000</v>
      </c>
      <c r="BP338" s="215">
        <f ca="1">IF($D338&lt;&gt;"Serviço",0,IF(AND(AUTOEVENTO="Manual",$M338=1),0,IF(OFFSET(CRONOPLE!$F$14,$M338,BP$13)="",10^12,OFFSET(CRONOPLE!$F$14,$M338,BP$13))))</f>
        <v>1000000000000</v>
      </c>
      <c r="BQ338" s="215">
        <f ca="1">IF($D338&lt;&gt;"Serviço",0,IF(AND(AUTOEVENTO="Manual",$M338=1),0,IF(OFFSET(CRONOPLE!$F$14,$M338,BQ$13)="",10^12,OFFSET(CRONOPLE!$F$14,$M338,BQ$13))))</f>
        <v>1000000000000</v>
      </c>
      <c r="BR338" s="215">
        <f ca="1">IF($D338&lt;&gt;"Serviço",0,IF(AND(AUTOEVENTO="Manual",$M338=1),0,IF(OFFSET(CRONOPLE!$F$14,$M338,BR$13)="",10^12,OFFSET(CRONOPLE!$F$14,$M338,BR$13))))</f>
        <v>1000000000000</v>
      </c>
      <c r="BS338" s="215">
        <f ca="1">IF($D338&lt;&gt;"Serviço",0,IF(AND(AUTOEVENTO="Manual",$M338=1),0,IF(OFFSET(CRONOPLE!$F$14,$M338,BS$13)="",10^12,OFFSET(CRONOPLE!$F$14,$M338,BS$13))))</f>
        <v>1000000000000</v>
      </c>
      <c r="BT338" s="215">
        <f ca="1">IF($D338&lt;&gt;"Serviço",0,IF(AND(AUTOEVENTO="Manual",$M338=1),0,IF(OFFSET(CRONOPLE!$F$14,$M338,BT$13)="",10^12,OFFSET(CRONOPLE!$F$14,$M338,BT$13))))</f>
        <v>1000000000000</v>
      </c>
      <c r="BV338" s="216">
        <f ca="1">IF($D338&lt;&gt;"Serviço",0,IF(OR(AND(AUTOEVENTO="Manual",$M338=1),$M338&gt;(ROW(PLE.lastrow)-ROW(PLE.firstrow))),0,IF(OFFSET(PLE!$G$14,$M338,BV$13)="",10^12,OFFSET(PLE!$G$14,$M338,BV$13))))</f>
        <v>1000000000000</v>
      </c>
      <c r="BW338" s="216">
        <f ca="1">IF($D338&lt;&gt;"Serviço",0,IF(OR(AND(AUTOEVENTO="Manual",$M338=1),$M338&gt;(ROW(PLE.lastrow)-ROW(PLE.firstrow))),0,IF(OFFSET(PLE!$G$14,$M338,BW$13)="",10^12,OFFSET(PLE!$G$14,$M338,BW$13))))</f>
        <v>1000000000000</v>
      </c>
      <c r="BX338" s="216">
        <f ca="1">IF($D338&lt;&gt;"Serviço",0,IF(OR(AND(AUTOEVENTO="Manual",$M338=1),$M338&gt;(ROW(PLE.lastrow)-ROW(PLE.firstrow))),0,IF(OFFSET(PLE!$G$14,$M338,BX$13)="",10^12,OFFSET(PLE!$G$14,$M338,BX$13))))</f>
        <v>1000000000000</v>
      </c>
      <c r="BY338" s="216">
        <f ca="1">IF($D338&lt;&gt;"Serviço",0,IF(OR(AND(AUTOEVENTO="Manual",$M338=1),$M338&gt;(ROW(PLE.lastrow)-ROW(PLE.firstrow))),0,IF(OFFSET(PLE!$G$14,$M338,BY$13)="",10^12,OFFSET(PLE!$G$14,$M338,BY$13))))</f>
        <v>1000000000000</v>
      </c>
      <c r="BZ338" s="216">
        <f ca="1">IF($D338&lt;&gt;"Serviço",0,IF(OR(AND(AUTOEVENTO="Manual",$M338=1),$M338&gt;(ROW(PLE.lastrow)-ROW(PLE.firstrow))),0,IF(OFFSET(PLE!$G$14,$M338,BZ$13)="",10^12,OFFSET(PLE!$G$14,$M338,BZ$13))))</f>
        <v>1000000000000</v>
      </c>
      <c r="CA338" s="216">
        <f ca="1">IF($D338&lt;&gt;"Serviço",0,IF(OR(AND(AUTOEVENTO="Manual",$M338=1),$M338&gt;(ROW(PLE.lastrow)-ROW(PLE.firstrow))),0,IF(OFFSET(PLE!$G$14,$M338,CA$13)="",10^12,OFFSET(PLE!$G$14,$M338,CA$13))))</f>
        <v>1000000000000</v>
      </c>
      <c r="CB338" s="216">
        <f ca="1">IF($D338&lt;&gt;"Serviço",0,IF(OR(AND(AUTOEVENTO="Manual",$M338=1),$M338&gt;(ROW(PLE.lastrow)-ROW(PLE.firstrow))),0,IF(OFFSET(PLE!$G$14,$M338,CB$13)="",10^12,OFFSET(PLE!$G$14,$M338,CB$13))))</f>
        <v>1000000000000</v>
      </c>
      <c r="CC338" s="216">
        <f ca="1">IF($D338&lt;&gt;"Serviço",0,IF(OR(AND(AUTOEVENTO="Manual",$M338=1),$M338&gt;(ROW(PLE.lastrow)-ROW(PLE.firstrow))),0,IF(OFFSET(PLE!$G$14,$M338,CC$13)="",10^12,OFFSET(PLE!$G$14,$M338,CC$13))))</f>
        <v>1000000000000</v>
      </c>
      <c r="CD338" s="216">
        <f ca="1">IF($D338&lt;&gt;"Serviço",0,IF(OR(AND(AUTOEVENTO="Manual",$M338=1),$M338&gt;(ROW(PLE.lastrow)-ROW(PLE.firstrow))),0,IF(OFFSET(PLE!$G$14,$M338,CD$13)="",10^12,OFFSET(PLE!$G$14,$M338,CD$13))))</f>
        <v>1000000000000</v>
      </c>
      <c r="CE338" s="216">
        <f ca="1">IF($D338&lt;&gt;"Serviço",0,IF(OR(AND(AUTOEVENTO="Manual",$M338=1),$M338&gt;(ROW(PLE.lastrow)-ROW(PLE.firstrow))),0,IF(OFFSET(PLE!$G$14,$M338,CE$13)="",10^12,OFFSET(PLE!$G$14,$M338,CE$13))))</f>
        <v>1000000000000</v>
      </c>
      <c r="CF338" s="216">
        <f ca="1">IF($D338&lt;&gt;"Serviço",0,IF(OR(AND(AUTOEVENTO="Manual",$M338=1),$M338&gt;(ROW(PLE.lastrow)-ROW(PLE.firstrow))),0,IF(OFFSET(PLE!$G$14,$M338,CF$13)="",10^12,OFFSET(PLE!$G$14,$M338,CF$13))))</f>
        <v>1000000000000</v>
      </c>
      <c r="CG338" s="216">
        <f ca="1">IF($D338&lt;&gt;"Serviço",0,IF(OR(AND(AUTOEVENTO="Manual",$M338=1),$M338&gt;(ROW(PLE.lastrow)-ROW(PLE.firstrow))),0,IF(OFFSET(PLE!$G$14,$M338,CG$13)="",10^12,OFFSET(PLE!$G$14,$M338,CG$13))))</f>
        <v>1000000000000</v>
      </c>
      <c r="CH338" s="216">
        <f ca="1">IF($D338&lt;&gt;"Serviço",0,IF(OR(AND(AUTOEVENTO="Manual",$M338=1),$M338&gt;(ROW(PLE.lastrow)-ROW(PLE.firstrow))),0,IF(OFFSET(PLE!$G$14,$M338,CH$13)="",10^12,OFFSET(PLE!$G$14,$M338,CH$13))))</f>
        <v>1000000000000</v>
      </c>
      <c r="CI338" s="216">
        <f ca="1">IF($D338&lt;&gt;"Serviço",0,IF(OR(AND(AUTOEVENTO="Manual",$M338=1),$M338&gt;(ROW(PLE.lastrow)-ROW(PLE.firstrow))),0,IF(OFFSET(PLE!$G$14,$M338,CI$13)="",10^12,OFFSET(PLE!$G$14,$M338,CI$13))))</f>
        <v>1000000000000</v>
      </c>
      <c r="CJ338" s="216">
        <f ca="1">IF($D338&lt;&gt;"Serviço",0,IF(OR(AND(AUTOEVENTO="Manual",$M338=1),$M338&gt;(ROW(PLE.lastrow)-ROW(PLE.firstrow))),0,IF(OFFSET(PLE!$G$14,$M338,CJ$13)="",10^12,OFFSET(PLE!$G$14,$M338,CJ$13))))</f>
        <v>1000000000000</v>
      </c>
      <c r="CK338" s="216">
        <f ca="1">IF($D338&lt;&gt;"Serviço",0,IF(OR(AND(AUTOEVENTO="Manual",$M338=1),$M338&gt;(ROW(PLE.lastrow)-ROW(PLE.firstrow))),0,IF(OFFSET(PLE!$G$14,$M338,CK$13)="",10^12,OFFSET(PLE!$G$14,$M338,CK$13))))</f>
        <v>1000000000000</v>
      </c>
      <c r="CL338" s="216">
        <f ca="1">IF($D338&lt;&gt;"Serviço",0,IF(OR(AND(AUTOEVENTO="Manual",$M338=1),$M338&gt;(ROW(PLE.lastrow)-ROW(PLE.firstrow))),0,IF(OFFSET(PLE!$G$14,$M338,CL$13)="",10^12,OFFSET(PLE!$G$14,$M338,CL$13))))</f>
        <v>1000000000000</v>
      </c>
      <c r="CM338" s="216">
        <f ca="1">IF($D338&lt;&gt;"Serviço",0,IF(OR(AND(AUTOEVENTO="Manual",$M338=1),$M338&gt;(ROW(PLE.lastrow)-ROW(PLE.firstrow))),0,IF(OFFSET(PLE!$G$14,$M338,CM$13)="",10^12,OFFSET(PLE!$G$14,$M338,CM$13))))</f>
        <v>1000000000000</v>
      </c>
    </row>
    <row r="339" spans="1:91" ht="13.2" x14ac:dyDescent="0.25">
      <c r="A339" s="9">
        <f t="shared" ca="1" si="14"/>
        <v>0</v>
      </c>
      <c r="B339" s="9" t="str">
        <f ca="1">OFFSET(ORÇAMENTO!C$15,ROW(B339)-ROW(B$15),0)</f>
        <v>S</v>
      </c>
      <c r="C339" s="9" t="str">
        <f ca="1">OFFSET(ORÇAMENTO!L$15,ROW(C339)-ROW(C$15),0)</f>
        <v/>
      </c>
      <c r="D339" s="145" t="str">
        <f ca="1">OFFSET(ORÇAMENTO!N$15,ROW(D339)-ROW(D$15),0)</f>
        <v>Serviço</v>
      </c>
      <c r="E339" s="205" t="str">
        <f ca="1">OFFSET(ORÇAMENTO!O$15,ROW(E339)-ROW(E$15),0)</f>
        <v>-</v>
      </c>
      <c r="F339" s="206" t="str">
        <f ca="1">OFFSET(ORÇAMENTO!R$15,ROW(F339)-ROW(F$15),0)</f>
        <v>(abra o arquivo 'Referência 05-2024.xls)</v>
      </c>
      <c r="G339" s="207" t="str">
        <f ca="1">IF($D339&lt;&gt;"Serviço","",OFFSET(ORÇAMENTO!S$15,ROW(G339)-ROW(G$15),0))</f>
        <v>-</v>
      </c>
      <c r="H339" s="151">
        <f ca="1">IF($D339&lt;&gt;"Serviço",0,IF(ACOMPANHAMENTO="BM",ROUND(OFFSET(ORÇAMENTO!AJ$15,ROW(H339)-ROW(H$15),0),15-13*ORÇAMENTO!$AF$7),SUMPRODUCT(($Q$12:$AI$12&lt;&gt;"")*ROUND($Q339:$AI339,15-13*ORÇAMENTO!$AF$7))))</f>
        <v>3</v>
      </c>
      <c r="I339" s="650"/>
      <c r="K339" s="208"/>
      <c r="L339" s="209" t="s">
        <v>257</v>
      </c>
      <c r="M339" s="210">
        <f ca="1">IF($D339&lt;&gt;"Serviço","",IF(AUTOEVENTO="manual",$A339,IF(ISERROR(MATCH($A339,$A$15:OFFSET($A339,-1,0),0)),MAX($M$15:OFFSET(M339,-1,0))+1,INDEX($M$15:OFFSET(M339,-1,0),MATCH($A339,$A$15:OFFSET($A339,-1,0),0)))))</f>
        <v>0</v>
      </c>
      <c r="N339" s="211" t="str">
        <f ca="1">IF($D339&lt;&gt;"Serviço","",IF(AUTOEVENTO="Manual",IF($A339=0,"&lt;-- defina o número do agrupador",OFFSET(EVENTOS!$D$14,$A339,0)),OFFSET($F$15,$A339,0)))</f>
        <v>&lt;-- defina o número do agrupador</v>
      </c>
      <c r="O339" s="212"/>
      <c r="Q339" s="212"/>
      <c r="R339" s="213"/>
      <c r="S339" s="213"/>
      <c r="T339" s="213"/>
      <c r="U339" s="213"/>
      <c r="V339" s="213"/>
      <c r="W339" s="213"/>
      <c r="X339" s="213"/>
      <c r="Y339" s="213"/>
      <c r="Z339" s="214"/>
      <c r="AA339" s="213"/>
      <c r="AB339" s="213"/>
      <c r="AC339" s="213"/>
      <c r="AD339" s="213"/>
      <c r="AE339" s="213"/>
      <c r="AF339" s="213"/>
      <c r="AG339" s="213"/>
      <c r="AH339" s="214"/>
      <c r="AJ339" s="631">
        <f ca="1">IF(AND($D339="Serviço",AJ$12&lt;&gt;0,$H339&gt;0,OR(AUTOEVENTO&lt;&gt;"manual",$M339&lt;&gt;1)),ROUND(OFFSET($P339,0,AJ$13),15-13*ORÇAMENTO!$AF$7)/$H339*OFFSET(ORÇAMENTO!$X$15,ROW(AJ339)-ROW(AJ$15),0),0)</f>
        <v>0</v>
      </c>
      <c r="AK339" s="632">
        <f ca="1">IF(AND($D339="Serviço",AK$12&lt;&gt;0,$H339&gt;0,OR(AUTOEVENTO&lt;&gt;"manual",$M339&lt;&gt;1)),ROUND(OFFSET($P339,0,AK$13),15-13*ORÇAMENTO!$AF$7)/$H339*OFFSET(ORÇAMENTO!$X$15,ROW(AK339)-ROW(AK$15),0),0)</f>
        <v>0</v>
      </c>
      <c r="AL339" s="632">
        <f ca="1">IF(AND($D339="Serviço",AL$12&lt;&gt;0,$H339&gt;0,OR(AUTOEVENTO&lt;&gt;"manual",$M339&lt;&gt;1)),ROUND(OFFSET($P339,0,AL$13),15-13*ORÇAMENTO!$AF$7)/$H339*OFFSET(ORÇAMENTO!$X$15,ROW(AL339)-ROW(AL$15),0),0)</f>
        <v>0</v>
      </c>
      <c r="AM339" s="632">
        <f ca="1">IF(AND($D339="Serviço",AM$12&lt;&gt;0,$H339&gt;0,OR(AUTOEVENTO&lt;&gt;"manual",$M339&lt;&gt;1)),ROUND(OFFSET($P339,0,AM$13),15-13*ORÇAMENTO!$AF$7)/$H339*OFFSET(ORÇAMENTO!$X$15,ROW(AM339)-ROW(AM$15),0),0)</f>
        <v>0</v>
      </c>
      <c r="AN339" s="632">
        <f ca="1">IF(AND($D339="Serviço",AN$12&lt;&gt;0,$H339&gt;0,OR(AUTOEVENTO&lt;&gt;"manual",$M339&lt;&gt;1)),ROUND(OFFSET($P339,0,AN$13),15-13*ORÇAMENTO!$AF$7)/$H339*OFFSET(ORÇAMENTO!$X$15,ROW(AN339)-ROW(AN$15),0),0)</f>
        <v>0</v>
      </c>
      <c r="AO339" s="632">
        <f ca="1">IF(AND($D339="Serviço",AO$12&lt;&gt;0,$H339&gt;0,OR(AUTOEVENTO&lt;&gt;"manual",$M339&lt;&gt;1)),ROUND(OFFSET($P339,0,AO$13),15-13*ORÇAMENTO!$AF$7)/$H339*OFFSET(ORÇAMENTO!$X$15,ROW(AO339)-ROW(AO$15),0),0)</f>
        <v>0</v>
      </c>
      <c r="AP339" s="632">
        <f ca="1">IF(AND($D339="Serviço",AP$12&lt;&gt;0,$H339&gt;0,OR(AUTOEVENTO&lt;&gt;"manual",$M339&lt;&gt;1)),ROUND(OFFSET($P339,0,AP$13),15-13*ORÇAMENTO!$AF$7)/$H339*OFFSET(ORÇAMENTO!$X$15,ROW(AP339)-ROW(AP$15),0),0)</f>
        <v>0</v>
      </c>
      <c r="AQ339" s="632">
        <f ca="1">IF(AND($D339="Serviço",AQ$12&lt;&gt;0,$H339&gt;0,OR(AUTOEVENTO&lt;&gt;"manual",$M339&lt;&gt;1)),ROUND(OFFSET($P339,0,AQ$13),15-13*ORÇAMENTO!$AF$7)/$H339*OFFSET(ORÇAMENTO!$X$15,ROW(AQ339)-ROW(AQ$15),0),0)</f>
        <v>0</v>
      </c>
      <c r="AR339" s="632">
        <f ca="1">IF(AND($D339="Serviço",AR$12&lt;&gt;0,$H339&gt;0,OR(AUTOEVENTO&lt;&gt;"manual",$M339&lt;&gt;1)),ROUND(OFFSET($P339,0,AR$13),15-13*ORÇAMENTO!$AF$7)/$H339*OFFSET(ORÇAMENTO!$X$15,ROW(AR339)-ROW(AR$15),0),0)</f>
        <v>0</v>
      </c>
      <c r="AS339" s="633">
        <f ca="1">IF(AND($D339="Serviço",AS$12&lt;&gt;0,$H339&gt;0,OR(AUTOEVENTO&lt;&gt;"manual",$M339&lt;&gt;1)),ROUND(OFFSET($P339,0,AS$13),15-13*ORÇAMENTO!$AF$7)/$H339*OFFSET(ORÇAMENTO!$X$15,ROW(AS339)-ROW(AS$15),0),0)</f>
        <v>0</v>
      </c>
      <c r="AT339" s="632">
        <f ca="1">IF(AND($D339="Serviço",AT$12&lt;&gt;0,$H339&gt;0,OR(AUTOEVENTO&lt;&gt;"manual",$M339&lt;&gt;1)),ROUND(OFFSET($P339,0,AT$13),15-13*ORÇAMENTO!$AF$7)/$H339*OFFSET(ORÇAMENTO!$X$15,ROW(AT339)-ROW(AT$15),0),0)</f>
        <v>0</v>
      </c>
      <c r="AU339" s="632">
        <f ca="1">IF(AND($D339="Serviço",AU$12&lt;&gt;0,$H339&gt;0,OR(AUTOEVENTO&lt;&gt;"manual",$M339&lt;&gt;1)),ROUND(OFFSET($P339,0,AU$13),15-13*ORÇAMENTO!$AF$7)/$H339*OFFSET(ORÇAMENTO!$X$15,ROW(AU339)-ROW(AU$15),0),0)</f>
        <v>0</v>
      </c>
      <c r="AV339" s="632">
        <f ca="1">IF(AND($D339="Serviço",AV$12&lt;&gt;0,$H339&gt;0,OR(AUTOEVENTO&lt;&gt;"manual",$M339&lt;&gt;1)),ROUND(OFFSET($P339,0,AV$13),15-13*ORÇAMENTO!$AF$7)/$H339*OFFSET(ORÇAMENTO!$X$15,ROW(AV339)-ROW(AV$15),0),0)</f>
        <v>0</v>
      </c>
      <c r="AW339" s="632">
        <f ca="1">IF(AND($D339="Serviço",AW$12&lt;&gt;0,$H339&gt;0,OR(AUTOEVENTO&lt;&gt;"manual",$M339&lt;&gt;1)),ROUND(OFFSET($P339,0,AW$13),15-13*ORÇAMENTO!$AF$7)/$H339*OFFSET(ORÇAMENTO!$X$15,ROW(AW339)-ROW(AW$15),0),0)</f>
        <v>0</v>
      </c>
      <c r="AX339" s="632">
        <f ca="1">IF(AND($D339="Serviço",AX$12&lt;&gt;0,$H339&gt;0,OR(AUTOEVENTO&lt;&gt;"manual",$M339&lt;&gt;1)),ROUND(OFFSET($P339,0,AX$13),15-13*ORÇAMENTO!$AF$7)/$H339*OFFSET(ORÇAMENTO!$X$15,ROW(AX339)-ROW(AX$15),0),0)</f>
        <v>0</v>
      </c>
      <c r="AY339" s="632">
        <f ca="1">IF(AND($D339="Serviço",AY$12&lt;&gt;0,$H339&gt;0,OR(AUTOEVENTO&lt;&gt;"manual",$M339&lt;&gt;1)),ROUND(OFFSET($P339,0,AY$13),15-13*ORÇAMENTO!$AF$7)/$H339*OFFSET(ORÇAMENTO!$X$15,ROW(AY339)-ROW(AY$15),0),0)</f>
        <v>0</v>
      </c>
      <c r="AZ339" s="632">
        <f ca="1">IF(AND($D339="Serviço",AZ$12&lt;&gt;0,$H339&gt;0,OR(AUTOEVENTO&lt;&gt;"manual",$M339&lt;&gt;1)),ROUND(OFFSET($P339,0,AZ$13),15-13*ORÇAMENTO!$AF$7)/$H339*OFFSET(ORÇAMENTO!$X$15,ROW(AZ339)-ROW(AZ$15),0),0)</f>
        <v>0</v>
      </c>
      <c r="BA339" s="633">
        <f ca="1">IF(AND($D339="Serviço",BA$12&lt;&gt;0,$H339&gt;0,OR(AUTOEVENTO&lt;&gt;"manual",$M339&lt;&gt;1)),ROUND(OFFSET($P339,0,BA$13),15-13*ORÇAMENTO!$AF$7)/$H339*OFFSET(ORÇAMENTO!$X$15,ROW(BA339)-ROW(BA$15),0),0)</f>
        <v>0</v>
      </c>
      <c r="BC339" s="215">
        <f ca="1">IF($D339&lt;&gt;"Serviço",0,IF(AND(AUTOEVENTO="Manual",$M339=1),0,IF(OFFSET(CRONOPLE!$F$14,$M339,BC$13)="",10^12,OFFSET(CRONOPLE!$F$14,$M339,BC$13))))</f>
        <v>1000000000000</v>
      </c>
      <c r="BD339" s="215">
        <f ca="1">IF($D339&lt;&gt;"Serviço",0,IF(AND(AUTOEVENTO="Manual",$M339=1),0,IF(OFFSET(CRONOPLE!$F$14,$M339,BD$13)="",10^12,OFFSET(CRONOPLE!$F$14,$M339,BD$13))))</f>
        <v>1000000000000</v>
      </c>
      <c r="BE339" s="215">
        <f ca="1">IF($D339&lt;&gt;"Serviço",0,IF(AND(AUTOEVENTO="Manual",$M339=1),0,IF(OFFSET(CRONOPLE!$F$14,$M339,BE$13)="",10^12,OFFSET(CRONOPLE!$F$14,$M339,BE$13))))</f>
        <v>1000000000000</v>
      </c>
      <c r="BF339" s="215">
        <f ca="1">IF($D339&lt;&gt;"Serviço",0,IF(AND(AUTOEVENTO="Manual",$M339=1),0,IF(OFFSET(CRONOPLE!$F$14,$M339,BF$13)="",10^12,OFFSET(CRONOPLE!$F$14,$M339,BF$13))))</f>
        <v>1000000000000</v>
      </c>
      <c r="BG339" s="215">
        <f ca="1">IF($D339&lt;&gt;"Serviço",0,IF(AND(AUTOEVENTO="Manual",$M339=1),0,IF(OFFSET(CRONOPLE!$F$14,$M339,BG$13)="",10^12,OFFSET(CRONOPLE!$F$14,$M339,BG$13))))</f>
        <v>1000000000000</v>
      </c>
      <c r="BH339" s="215">
        <f ca="1">IF($D339&lt;&gt;"Serviço",0,IF(AND(AUTOEVENTO="Manual",$M339=1),0,IF(OFFSET(CRONOPLE!$F$14,$M339,BH$13)="",10^12,OFFSET(CRONOPLE!$F$14,$M339,BH$13))))</f>
        <v>1000000000000</v>
      </c>
      <c r="BI339" s="215">
        <f ca="1">IF($D339&lt;&gt;"Serviço",0,IF(AND(AUTOEVENTO="Manual",$M339=1),0,IF(OFFSET(CRONOPLE!$F$14,$M339,BI$13)="",10^12,OFFSET(CRONOPLE!$F$14,$M339,BI$13))))</f>
        <v>1000000000000</v>
      </c>
      <c r="BJ339" s="215">
        <f ca="1">IF($D339&lt;&gt;"Serviço",0,IF(AND(AUTOEVENTO="Manual",$M339=1),0,IF(OFFSET(CRONOPLE!$F$14,$M339,BJ$13)="",10^12,OFFSET(CRONOPLE!$F$14,$M339,BJ$13))))</f>
        <v>1000000000000</v>
      </c>
      <c r="BK339" s="215">
        <f ca="1">IF($D339&lt;&gt;"Serviço",0,IF(AND(AUTOEVENTO="Manual",$M339=1),0,IF(OFFSET(CRONOPLE!$F$14,$M339,BK$13)="",10^12,OFFSET(CRONOPLE!$F$14,$M339,BK$13))))</f>
        <v>1000000000000</v>
      </c>
      <c r="BL339" s="215">
        <f ca="1">IF($D339&lt;&gt;"Serviço",0,IF(AND(AUTOEVENTO="Manual",$M339=1),0,IF(OFFSET(CRONOPLE!$F$14,$M339,BL$13)="",10^12,OFFSET(CRONOPLE!$F$14,$M339,BL$13))))</f>
        <v>1000000000000</v>
      </c>
      <c r="BM339" s="215">
        <f ca="1">IF($D339&lt;&gt;"Serviço",0,IF(AND(AUTOEVENTO="Manual",$M339=1),0,IF(OFFSET(CRONOPLE!$F$14,$M339,BM$13)="",10^12,OFFSET(CRONOPLE!$F$14,$M339,BM$13))))</f>
        <v>1000000000000</v>
      </c>
      <c r="BN339" s="215">
        <f ca="1">IF($D339&lt;&gt;"Serviço",0,IF(AND(AUTOEVENTO="Manual",$M339=1),0,IF(OFFSET(CRONOPLE!$F$14,$M339,BN$13)="",10^12,OFFSET(CRONOPLE!$F$14,$M339,BN$13))))</f>
        <v>1000000000000</v>
      </c>
      <c r="BO339" s="215">
        <f ca="1">IF($D339&lt;&gt;"Serviço",0,IF(AND(AUTOEVENTO="Manual",$M339=1),0,IF(OFFSET(CRONOPLE!$F$14,$M339,BO$13)="",10^12,OFFSET(CRONOPLE!$F$14,$M339,BO$13))))</f>
        <v>1000000000000</v>
      </c>
      <c r="BP339" s="215">
        <f ca="1">IF($D339&lt;&gt;"Serviço",0,IF(AND(AUTOEVENTO="Manual",$M339=1),0,IF(OFFSET(CRONOPLE!$F$14,$M339,BP$13)="",10^12,OFFSET(CRONOPLE!$F$14,$M339,BP$13))))</f>
        <v>1000000000000</v>
      </c>
      <c r="BQ339" s="215">
        <f ca="1">IF($D339&lt;&gt;"Serviço",0,IF(AND(AUTOEVENTO="Manual",$M339=1),0,IF(OFFSET(CRONOPLE!$F$14,$M339,BQ$13)="",10^12,OFFSET(CRONOPLE!$F$14,$M339,BQ$13))))</f>
        <v>1000000000000</v>
      </c>
      <c r="BR339" s="215">
        <f ca="1">IF($D339&lt;&gt;"Serviço",0,IF(AND(AUTOEVENTO="Manual",$M339=1),0,IF(OFFSET(CRONOPLE!$F$14,$M339,BR$13)="",10^12,OFFSET(CRONOPLE!$F$14,$M339,BR$13))))</f>
        <v>1000000000000</v>
      </c>
      <c r="BS339" s="215">
        <f ca="1">IF($D339&lt;&gt;"Serviço",0,IF(AND(AUTOEVENTO="Manual",$M339=1),0,IF(OFFSET(CRONOPLE!$F$14,$M339,BS$13)="",10^12,OFFSET(CRONOPLE!$F$14,$M339,BS$13))))</f>
        <v>1000000000000</v>
      </c>
      <c r="BT339" s="215">
        <f ca="1">IF($D339&lt;&gt;"Serviço",0,IF(AND(AUTOEVENTO="Manual",$M339=1),0,IF(OFFSET(CRONOPLE!$F$14,$M339,BT$13)="",10^12,OFFSET(CRONOPLE!$F$14,$M339,BT$13))))</f>
        <v>1000000000000</v>
      </c>
      <c r="BV339" s="216">
        <f ca="1">IF($D339&lt;&gt;"Serviço",0,IF(OR(AND(AUTOEVENTO="Manual",$M339=1),$M339&gt;(ROW(PLE.lastrow)-ROW(PLE.firstrow))),0,IF(OFFSET(PLE!$G$14,$M339,BV$13)="",10^12,OFFSET(PLE!$G$14,$M339,BV$13))))</f>
        <v>1000000000000</v>
      </c>
      <c r="BW339" s="216">
        <f ca="1">IF($D339&lt;&gt;"Serviço",0,IF(OR(AND(AUTOEVENTO="Manual",$M339=1),$M339&gt;(ROW(PLE.lastrow)-ROW(PLE.firstrow))),0,IF(OFFSET(PLE!$G$14,$M339,BW$13)="",10^12,OFFSET(PLE!$G$14,$M339,BW$13))))</f>
        <v>1000000000000</v>
      </c>
      <c r="BX339" s="216">
        <f ca="1">IF($D339&lt;&gt;"Serviço",0,IF(OR(AND(AUTOEVENTO="Manual",$M339=1),$M339&gt;(ROW(PLE.lastrow)-ROW(PLE.firstrow))),0,IF(OFFSET(PLE!$G$14,$M339,BX$13)="",10^12,OFFSET(PLE!$G$14,$M339,BX$13))))</f>
        <v>1000000000000</v>
      </c>
      <c r="BY339" s="216">
        <f ca="1">IF($D339&lt;&gt;"Serviço",0,IF(OR(AND(AUTOEVENTO="Manual",$M339=1),$M339&gt;(ROW(PLE.lastrow)-ROW(PLE.firstrow))),0,IF(OFFSET(PLE!$G$14,$M339,BY$13)="",10^12,OFFSET(PLE!$G$14,$M339,BY$13))))</f>
        <v>1000000000000</v>
      </c>
      <c r="BZ339" s="216">
        <f ca="1">IF($D339&lt;&gt;"Serviço",0,IF(OR(AND(AUTOEVENTO="Manual",$M339=1),$M339&gt;(ROW(PLE.lastrow)-ROW(PLE.firstrow))),0,IF(OFFSET(PLE!$G$14,$M339,BZ$13)="",10^12,OFFSET(PLE!$G$14,$M339,BZ$13))))</f>
        <v>1000000000000</v>
      </c>
      <c r="CA339" s="216">
        <f ca="1">IF($D339&lt;&gt;"Serviço",0,IF(OR(AND(AUTOEVENTO="Manual",$M339=1),$M339&gt;(ROW(PLE.lastrow)-ROW(PLE.firstrow))),0,IF(OFFSET(PLE!$G$14,$M339,CA$13)="",10^12,OFFSET(PLE!$G$14,$M339,CA$13))))</f>
        <v>1000000000000</v>
      </c>
      <c r="CB339" s="216">
        <f ca="1">IF($D339&lt;&gt;"Serviço",0,IF(OR(AND(AUTOEVENTO="Manual",$M339=1),$M339&gt;(ROW(PLE.lastrow)-ROW(PLE.firstrow))),0,IF(OFFSET(PLE!$G$14,$M339,CB$13)="",10^12,OFFSET(PLE!$G$14,$M339,CB$13))))</f>
        <v>1000000000000</v>
      </c>
      <c r="CC339" s="216">
        <f ca="1">IF($D339&lt;&gt;"Serviço",0,IF(OR(AND(AUTOEVENTO="Manual",$M339=1),$M339&gt;(ROW(PLE.lastrow)-ROW(PLE.firstrow))),0,IF(OFFSET(PLE!$G$14,$M339,CC$13)="",10^12,OFFSET(PLE!$G$14,$M339,CC$13))))</f>
        <v>1000000000000</v>
      </c>
      <c r="CD339" s="216">
        <f ca="1">IF($D339&lt;&gt;"Serviço",0,IF(OR(AND(AUTOEVENTO="Manual",$M339=1),$M339&gt;(ROW(PLE.lastrow)-ROW(PLE.firstrow))),0,IF(OFFSET(PLE!$G$14,$M339,CD$13)="",10^12,OFFSET(PLE!$G$14,$M339,CD$13))))</f>
        <v>1000000000000</v>
      </c>
      <c r="CE339" s="216">
        <f ca="1">IF($D339&lt;&gt;"Serviço",0,IF(OR(AND(AUTOEVENTO="Manual",$M339=1),$M339&gt;(ROW(PLE.lastrow)-ROW(PLE.firstrow))),0,IF(OFFSET(PLE!$G$14,$M339,CE$13)="",10^12,OFFSET(PLE!$G$14,$M339,CE$13))))</f>
        <v>1000000000000</v>
      </c>
      <c r="CF339" s="216">
        <f ca="1">IF($D339&lt;&gt;"Serviço",0,IF(OR(AND(AUTOEVENTO="Manual",$M339=1),$M339&gt;(ROW(PLE.lastrow)-ROW(PLE.firstrow))),0,IF(OFFSET(PLE!$G$14,$M339,CF$13)="",10^12,OFFSET(PLE!$G$14,$M339,CF$13))))</f>
        <v>1000000000000</v>
      </c>
      <c r="CG339" s="216">
        <f ca="1">IF($D339&lt;&gt;"Serviço",0,IF(OR(AND(AUTOEVENTO="Manual",$M339=1),$M339&gt;(ROW(PLE.lastrow)-ROW(PLE.firstrow))),0,IF(OFFSET(PLE!$G$14,$M339,CG$13)="",10^12,OFFSET(PLE!$G$14,$M339,CG$13))))</f>
        <v>1000000000000</v>
      </c>
      <c r="CH339" s="216">
        <f ca="1">IF($D339&lt;&gt;"Serviço",0,IF(OR(AND(AUTOEVENTO="Manual",$M339=1),$M339&gt;(ROW(PLE.lastrow)-ROW(PLE.firstrow))),0,IF(OFFSET(PLE!$G$14,$M339,CH$13)="",10^12,OFFSET(PLE!$G$14,$M339,CH$13))))</f>
        <v>1000000000000</v>
      </c>
      <c r="CI339" s="216">
        <f ca="1">IF($D339&lt;&gt;"Serviço",0,IF(OR(AND(AUTOEVENTO="Manual",$M339=1),$M339&gt;(ROW(PLE.lastrow)-ROW(PLE.firstrow))),0,IF(OFFSET(PLE!$G$14,$M339,CI$13)="",10^12,OFFSET(PLE!$G$14,$M339,CI$13))))</f>
        <v>1000000000000</v>
      </c>
      <c r="CJ339" s="216">
        <f ca="1">IF($D339&lt;&gt;"Serviço",0,IF(OR(AND(AUTOEVENTO="Manual",$M339=1),$M339&gt;(ROW(PLE.lastrow)-ROW(PLE.firstrow))),0,IF(OFFSET(PLE!$G$14,$M339,CJ$13)="",10^12,OFFSET(PLE!$G$14,$M339,CJ$13))))</f>
        <v>1000000000000</v>
      </c>
      <c r="CK339" s="216">
        <f ca="1">IF($D339&lt;&gt;"Serviço",0,IF(OR(AND(AUTOEVENTO="Manual",$M339=1),$M339&gt;(ROW(PLE.lastrow)-ROW(PLE.firstrow))),0,IF(OFFSET(PLE!$G$14,$M339,CK$13)="",10^12,OFFSET(PLE!$G$14,$M339,CK$13))))</f>
        <v>1000000000000</v>
      </c>
      <c r="CL339" s="216">
        <f ca="1">IF($D339&lt;&gt;"Serviço",0,IF(OR(AND(AUTOEVENTO="Manual",$M339=1),$M339&gt;(ROW(PLE.lastrow)-ROW(PLE.firstrow))),0,IF(OFFSET(PLE!$G$14,$M339,CL$13)="",10^12,OFFSET(PLE!$G$14,$M339,CL$13))))</f>
        <v>1000000000000</v>
      </c>
      <c r="CM339" s="216">
        <f ca="1">IF($D339&lt;&gt;"Serviço",0,IF(OR(AND(AUTOEVENTO="Manual",$M339=1),$M339&gt;(ROW(PLE.lastrow)-ROW(PLE.firstrow))),0,IF(OFFSET(PLE!$G$14,$M339,CM$13)="",10^12,OFFSET(PLE!$G$14,$M339,CM$13))))</f>
        <v>1000000000000</v>
      </c>
    </row>
    <row r="340" spans="1:91" ht="13.2" x14ac:dyDescent="0.25">
      <c r="A340" s="9">
        <f t="shared" ca="1" si="14"/>
        <v>0</v>
      </c>
      <c r="B340" s="9" t="str">
        <f ca="1">OFFSET(ORÇAMENTO!C$15,ROW(B340)-ROW(B$15),0)</f>
        <v>S</v>
      </c>
      <c r="C340" s="9" t="str">
        <f ca="1">OFFSET(ORÇAMENTO!L$15,ROW(C340)-ROW(C$15),0)</f>
        <v/>
      </c>
      <c r="D340" s="145" t="str">
        <f ca="1">OFFSET(ORÇAMENTO!N$15,ROW(D340)-ROW(D$15),0)</f>
        <v>Serviço</v>
      </c>
      <c r="E340" s="205" t="str">
        <f ca="1">OFFSET(ORÇAMENTO!O$15,ROW(E340)-ROW(E$15),0)</f>
        <v>-</v>
      </c>
      <c r="F340" s="206" t="str">
        <f ca="1">OFFSET(ORÇAMENTO!R$15,ROW(F340)-ROW(F$15),0)</f>
        <v>(abra o arquivo 'Referência 05-2024.xls)</v>
      </c>
      <c r="G340" s="207" t="str">
        <f ca="1">IF($D340&lt;&gt;"Serviço","",OFFSET(ORÇAMENTO!S$15,ROW(G340)-ROW(G$15),0))</f>
        <v>-</v>
      </c>
      <c r="H340" s="151">
        <f ca="1">IF($D340&lt;&gt;"Serviço",0,IF(ACOMPANHAMENTO="BM",ROUND(OFFSET(ORÇAMENTO!AJ$15,ROW(H340)-ROW(H$15),0),15-13*ORÇAMENTO!$AF$7),SUMPRODUCT(($Q$12:$AI$12&lt;&gt;"")*ROUND($Q340:$AI340,15-13*ORÇAMENTO!$AF$7))))</f>
        <v>16</v>
      </c>
      <c r="I340" s="650"/>
      <c r="K340" s="208"/>
      <c r="L340" s="209" t="s">
        <v>257</v>
      </c>
      <c r="M340" s="210">
        <f ca="1">IF($D340&lt;&gt;"Serviço","",IF(AUTOEVENTO="manual",$A340,IF(ISERROR(MATCH($A340,$A$15:OFFSET($A340,-1,0),0)),MAX($M$15:OFFSET(M340,-1,0))+1,INDEX($M$15:OFFSET(M340,-1,0),MATCH($A340,$A$15:OFFSET($A340,-1,0),0)))))</f>
        <v>0</v>
      </c>
      <c r="N340" s="211" t="str">
        <f ca="1">IF($D340&lt;&gt;"Serviço","",IF(AUTOEVENTO="Manual",IF($A340=0,"&lt;-- defina o número do agrupador",OFFSET(EVENTOS!$D$14,$A340,0)),OFFSET($F$15,$A340,0)))</f>
        <v>&lt;-- defina o número do agrupador</v>
      </c>
      <c r="O340" s="212"/>
      <c r="Q340" s="212"/>
      <c r="R340" s="213"/>
      <c r="S340" s="213"/>
      <c r="T340" s="213"/>
      <c r="U340" s="213"/>
      <c r="V340" s="213"/>
      <c r="W340" s="213"/>
      <c r="X340" s="213"/>
      <c r="Y340" s="213"/>
      <c r="Z340" s="214"/>
      <c r="AA340" s="213"/>
      <c r="AB340" s="213"/>
      <c r="AC340" s="213"/>
      <c r="AD340" s="213"/>
      <c r="AE340" s="213"/>
      <c r="AF340" s="213"/>
      <c r="AG340" s="213"/>
      <c r="AH340" s="214"/>
      <c r="AJ340" s="631">
        <f ca="1">IF(AND($D340="Serviço",AJ$12&lt;&gt;0,$H340&gt;0,OR(AUTOEVENTO&lt;&gt;"manual",$M340&lt;&gt;1)),ROUND(OFFSET($P340,0,AJ$13),15-13*ORÇAMENTO!$AF$7)/$H340*OFFSET(ORÇAMENTO!$X$15,ROW(AJ340)-ROW(AJ$15),0),0)</f>
        <v>0</v>
      </c>
      <c r="AK340" s="632">
        <f ca="1">IF(AND($D340="Serviço",AK$12&lt;&gt;0,$H340&gt;0,OR(AUTOEVENTO&lt;&gt;"manual",$M340&lt;&gt;1)),ROUND(OFFSET($P340,0,AK$13),15-13*ORÇAMENTO!$AF$7)/$H340*OFFSET(ORÇAMENTO!$X$15,ROW(AK340)-ROW(AK$15),0),0)</f>
        <v>0</v>
      </c>
      <c r="AL340" s="632">
        <f ca="1">IF(AND($D340="Serviço",AL$12&lt;&gt;0,$H340&gt;0,OR(AUTOEVENTO&lt;&gt;"manual",$M340&lt;&gt;1)),ROUND(OFFSET($P340,0,AL$13),15-13*ORÇAMENTO!$AF$7)/$H340*OFFSET(ORÇAMENTO!$X$15,ROW(AL340)-ROW(AL$15),0),0)</f>
        <v>0</v>
      </c>
      <c r="AM340" s="632">
        <f ca="1">IF(AND($D340="Serviço",AM$12&lt;&gt;0,$H340&gt;0,OR(AUTOEVENTO&lt;&gt;"manual",$M340&lt;&gt;1)),ROUND(OFFSET($P340,0,AM$13),15-13*ORÇAMENTO!$AF$7)/$H340*OFFSET(ORÇAMENTO!$X$15,ROW(AM340)-ROW(AM$15),0),0)</f>
        <v>0</v>
      </c>
      <c r="AN340" s="632">
        <f ca="1">IF(AND($D340="Serviço",AN$12&lt;&gt;0,$H340&gt;0,OR(AUTOEVENTO&lt;&gt;"manual",$M340&lt;&gt;1)),ROUND(OFFSET($P340,0,AN$13),15-13*ORÇAMENTO!$AF$7)/$H340*OFFSET(ORÇAMENTO!$X$15,ROW(AN340)-ROW(AN$15),0),0)</f>
        <v>0</v>
      </c>
      <c r="AO340" s="632">
        <f ca="1">IF(AND($D340="Serviço",AO$12&lt;&gt;0,$H340&gt;0,OR(AUTOEVENTO&lt;&gt;"manual",$M340&lt;&gt;1)),ROUND(OFFSET($P340,0,AO$13),15-13*ORÇAMENTO!$AF$7)/$H340*OFFSET(ORÇAMENTO!$X$15,ROW(AO340)-ROW(AO$15),0),0)</f>
        <v>0</v>
      </c>
      <c r="AP340" s="632">
        <f ca="1">IF(AND($D340="Serviço",AP$12&lt;&gt;0,$H340&gt;0,OR(AUTOEVENTO&lt;&gt;"manual",$M340&lt;&gt;1)),ROUND(OFFSET($P340,0,AP$13),15-13*ORÇAMENTO!$AF$7)/$H340*OFFSET(ORÇAMENTO!$X$15,ROW(AP340)-ROW(AP$15),0),0)</f>
        <v>0</v>
      </c>
      <c r="AQ340" s="632">
        <f ca="1">IF(AND($D340="Serviço",AQ$12&lt;&gt;0,$H340&gt;0,OR(AUTOEVENTO&lt;&gt;"manual",$M340&lt;&gt;1)),ROUND(OFFSET($P340,0,AQ$13),15-13*ORÇAMENTO!$AF$7)/$H340*OFFSET(ORÇAMENTO!$X$15,ROW(AQ340)-ROW(AQ$15),0),0)</f>
        <v>0</v>
      </c>
      <c r="AR340" s="632">
        <f ca="1">IF(AND($D340="Serviço",AR$12&lt;&gt;0,$H340&gt;0,OR(AUTOEVENTO&lt;&gt;"manual",$M340&lt;&gt;1)),ROUND(OFFSET($P340,0,AR$13),15-13*ORÇAMENTO!$AF$7)/$H340*OFFSET(ORÇAMENTO!$X$15,ROW(AR340)-ROW(AR$15),0),0)</f>
        <v>0</v>
      </c>
      <c r="AS340" s="633">
        <f ca="1">IF(AND($D340="Serviço",AS$12&lt;&gt;0,$H340&gt;0,OR(AUTOEVENTO&lt;&gt;"manual",$M340&lt;&gt;1)),ROUND(OFFSET($P340,0,AS$13),15-13*ORÇAMENTO!$AF$7)/$H340*OFFSET(ORÇAMENTO!$X$15,ROW(AS340)-ROW(AS$15),0),0)</f>
        <v>0</v>
      </c>
      <c r="AT340" s="632">
        <f ca="1">IF(AND($D340="Serviço",AT$12&lt;&gt;0,$H340&gt;0,OR(AUTOEVENTO&lt;&gt;"manual",$M340&lt;&gt;1)),ROUND(OFFSET($P340,0,AT$13),15-13*ORÇAMENTO!$AF$7)/$H340*OFFSET(ORÇAMENTO!$X$15,ROW(AT340)-ROW(AT$15),0),0)</f>
        <v>0</v>
      </c>
      <c r="AU340" s="632">
        <f ca="1">IF(AND($D340="Serviço",AU$12&lt;&gt;0,$H340&gt;0,OR(AUTOEVENTO&lt;&gt;"manual",$M340&lt;&gt;1)),ROUND(OFFSET($P340,0,AU$13),15-13*ORÇAMENTO!$AF$7)/$H340*OFFSET(ORÇAMENTO!$X$15,ROW(AU340)-ROW(AU$15),0),0)</f>
        <v>0</v>
      </c>
      <c r="AV340" s="632">
        <f ca="1">IF(AND($D340="Serviço",AV$12&lt;&gt;0,$H340&gt;0,OR(AUTOEVENTO&lt;&gt;"manual",$M340&lt;&gt;1)),ROUND(OFFSET($P340,0,AV$13),15-13*ORÇAMENTO!$AF$7)/$H340*OFFSET(ORÇAMENTO!$X$15,ROW(AV340)-ROW(AV$15),0),0)</f>
        <v>0</v>
      </c>
      <c r="AW340" s="632">
        <f ca="1">IF(AND($D340="Serviço",AW$12&lt;&gt;0,$H340&gt;0,OR(AUTOEVENTO&lt;&gt;"manual",$M340&lt;&gt;1)),ROUND(OFFSET($P340,0,AW$13),15-13*ORÇAMENTO!$AF$7)/$H340*OFFSET(ORÇAMENTO!$X$15,ROW(AW340)-ROW(AW$15),0),0)</f>
        <v>0</v>
      </c>
      <c r="AX340" s="632">
        <f ca="1">IF(AND($D340="Serviço",AX$12&lt;&gt;0,$H340&gt;0,OR(AUTOEVENTO&lt;&gt;"manual",$M340&lt;&gt;1)),ROUND(OFFSET($P340,0,AX$13),15-13*ORÇAMENTO!$AF$7)/$H340*OFFSET(ORÇAMENTO!$X$15,ROW(AX340)-ROW(AX$15),0),0)</f>
        <v>0</v>
      </c>
      <c r="AY340" s="632">
        <f ca="1">IF(AND($D340="Serviço",AY$12&lt;&gt;0,$H340&gt;0,OR(AUTOEVENTO&lt;&gt;"manual",$M340&lt;&gt;1)),ROUND(OFFSET($P340,0,AY$13),15-13*ORÇAMENTO!$AF$7)/$H340*OFFSET(ORÇAMENTO!$X$15,ROW(AY340)-ROW(AY$15),0),0)</f>
        <v>0</v>
      </c>
      <c r="AZ340" s="632">
        <f ca="1">IF(AND($D340="Serviço",AZ$12&lt;&gt;0,$H340&gt;0,OR(AUTOEVENTO&lt;&gt;"manual",$M340&lt;&gt;1)),ROUND(OFFSET($P340,0,AZ$13),15-13*ORÇAMENTO!$AF$7)/$H340*OFFSET(ORÇAMENTO!$X$15,ROW(AZ340)-ROW(AZ$15),0),0)</f>
        <v>0</v>
      </c>
      <c r="BA340" s="633">
        <f ca="1">IF(AND($D340="Serviço",BA$12&lt;&gt;0,$H340&gt;0,OR(AUTOEVENTO&lt;&gt;"manual",$M340&lt;&gt;1)),ROUND(OFFSET($P340,0,BA$13),15-13*ORÇAMENTO!$AF$7)/$H340*OFFSET(ORÇAMENTO!$X$15,ROW(BA340)-ROW(BA$15),0),0)</f>
        <v>0</v>
      </c>
      <c r="BC340" s="215">
        <f ca="1">IF($D340&lt;&gt;"Serviço",0,IF(AND(AUTOEVENTO="Manual",$M340=1),0,IF(OFFSET(CRONOPLE!$F$14,$M340,BC$13)="",10^12,OFFSET(CRONOPLE!$F$14,$M340,BC$13))))</f>
        <v>1000000000000</v>
      </c>
      <c r="BD340" s="215">
        <f ca="1">IF($D340&lt;&gt;"Serviço",0,IF(AND(AUTOEVENTO="Manual",$M340=1),0,IF(OFFSET(CRONOPLE!$F$14,$M340,BD$13)="",10^12,OFFSET(CRONOPLE!$F$14,$M340,BD$13))))</f>
        <v>1000000000000</v>
      </c>
      <c r="BE340" s="215">
        <f ca="1">IF($D340&lt;&gt;"Serviço",0,IF(AND(AUTOEVENTO="Manual",$M340=1),0,IF(OFFSET(CRONOPLE!$F$14,$M340,BE$13)="",10^12,OFFSET(CRONOPLE!$F$14,$M340,BE$13))))</f>
        <v>1000000000000</v>
      </c>
      <c r="BF340" s="215">
        <f ca="1">IF($D340&lt;&gt;"Serviço",0,IF(AND(AUTOEVENTO="Manual",$M340=1),0,IF(OFFSET(CRONOPLE!$F$14,$M340,BF$13)="",10^12,OFFSET(CRONOPLE!$F$14,$M340,BF$13))))</f>
        <v>1000000000000</v>
      </c>
      <c r="BG340" s="215">
        <f ca="1">IF($D340&lt;&gt;"Serviço",0,IF(AND(AUTOEVENTO="Manual",$M340=1),0,IF(OFFSET(CRONOPLE!$F$14,$M340,BG$13)="",10^12,OFFSET(CRONOPLE!$F$14,$M340,BG$13))))</f>
        <v>1000000000000</v>
      </c>
      <c r="BH340" s="215">
        <f ca="1">IF($D340&lt;&gt;"Serviço",0,IF(AND(AUTOEVENTO="Manual",$M340=1),0,IF(OFFSET(CRONOPLE!$F$14,$M340,BH$13)="",10^12,OFFSET(CRONOPLE!$F$14,$M340,BH$13))))</f>
        <v>1000000000000</v>
      </c>
      <c r="BI340" s="215">
        <f ca="1">IF($D340&lt;&gt;"Serviço",0,IF(AND(AUTOEVENTO="Manual",$M340=1),0,IF(OFFSET(CRONOPLE!$F$14,$M340,BI$13)="",10^12,OFFSET(CRONOPLE!$F$14,$M340,BI$13))))</f>
        <v>1000000000000</v>
      </c>
      <c r="BJ340" s="215">
        <f ca="1">IF($D340&lt;&gt;"Serviço",0,IF(AND(AUTOEVENTO="Manual",$M340=1),0,IF(OFFSET(CRONOPLE!$F$14,$M340,BJ$13)="",10^12,OFFSET(CRONOPLE!$F$14,$M340,BJ$13))))</f>
        <v>1000000000000</v>
      </c>
      <c r="BK340" s="215">
        <f ca="1">IF($D340&lt;&gt;"Serviço",0,IF(AND(AUTOEVENTO="Manual",$M340=1),0,IF(OFFSET(CRONOPLE!$F$14,$M340,BK$13)="",10^12,OFFSET(CRONOPLE!$F$14,$M340,BK$13))))</f>
        <v>1000000000000</v>
      </c>
      <c r="BL340" s="215">
        <f ca="1">IF($D340&lt;&gt;"Serviço",0,IF(AND(AUTOEVENTO="Manual",$M340=1),0,IF(OFFSET(CRONOPLE!$F$14,$M340,BL$13)="",10^12,OFFSET(CRONOPLE!$F$14,$M340,BL$13))))</f>
        <v>1000000000000</v>
      </c>
      <c r="BM340" s="215">
        <f ca="1">IF($D340&lt;&gt;"Serviço",0,IF(AND(AUTOEVENTO="Manual",$M340=1),0,IF(OFFSET(CRONOPLE!$F$14,$M340,BM$13)="",10^12,OFFSET(CRONOPLE!$F$14,$M340,BM$13))))</f>
        <v>1000000000000</v>
      </c>
      <c r="BN340" s="215">
        <f ca="1">IF($D340&lt;&gt;"Serviço",0,IF(AND(AUTOEVENTO="Manual",$M340=1),0,IF(OFFSET(CRONOPLE!$F$14,$M340,BN$13)="",10^12,OFFSET(CRONOPLE!$F$14,$M340,BN$13))))</f>
        <v>1000000000000</v>
      </c>
      <c r="BO340" s="215">
        <f ca="1">IF($D340&lt;&gt;"Serviço",0,IF(AND(AUTOEVENTO="Manual",$M340=1),0,IF(OFFSET(CRONOPLE!$F$14,$M340,BO$13)="",10^12,OFFSET(CRONOPLE!$F$14,$M340,BO$13))))</f>
        <v>1000000000000</v>
      </c>
      <c r="BP340" s="215">
        <f ca="1">IF($D340&lt;&gt;"Serviço",0,IF(AND(AUTOEVENTO="Manual",$M340=1),0,IF(OFFSET(CRONOPLE!$F$14,$M340,BP$13)="",10^12,OFFSET(CRONOPLE!$F$14,$M340,BP$13))))</f>
        <v>1000000000000</v>
      </c>
      <c r="BQ340" s="215">
        <f ca="1">IF($D340&lt;&gt;"Serviço",0,IF(AND(AUTOEVENTO="Manual",$M340=1),0,IF(OFFSET(CRONOPLE!$F$14,$M340,BQ$13)="",10^12,OFFSET(CRONOPLE!$F$14,$M340,BQ$13))))</f>
        <v>1000000000000</v>
      </c>
      <c r="BR340" s="215">
        <f ca="1">IF($D340&lt;&gt;"Serviço",0,IF(AND(AUTOEVENTO="Manual",$M340=1),0,IF(OFFSET(CRONOPLE!$F$14,$M340,BR$13)="",10^12,OFFSET(CRONOPLE!$F$14,$M340,BR$13))))</f>
        <v>1000000000000</v>
      </c>
      <c r="BS340" s="215">
        <f ca="1">IF($D340&lt;&gt;"Serviço",0,IF(AND(AUTOEVENTO="Manual",$M340=1),0,IF(OFFSET(CRONOPLE!$F$14,$M340,BS$13)="",10^12,OFFSET(CRONOPLE!$F$14,$M340,BS$13))))</f>
        <v>1000000000000</v>
      </c>
      <c r="BT340" s="215">
        <f ca="1">IF($D340&lt;&gt;"Serviço",0,IF(AND(AUTOEVENTO="Manual",$M340=1),0,IF(OFFSET(CRONOPLE!$F$14,$M340,BT$13)="",10^12,OFFSET(CRONOPLE!$F$14,$M340,BT$13))))</f>
        <v>1000000000000</v>
      </c>
      <c r="BV340" s="216">
        <f ca="1">IF($D340&lt;&gt;"Serviço",0,IF(OR(AND(AUTOEVENTO="Manual",$M340=1),$M340&gt;(ROW(PLE.lastrow)-ROW(PLE.firstrow))),0,IF(OFFSET(PLE!$G$14,$M340,BV$13)="",10^12,OFFSET(PLE!$G$14,$M340,BV$13))))</f>
        <v>1000000000000</v>
      </c>
      <c r="BW340" s="216">
        <f ca="1">IF($D340&lt;&gt;"Serviço",0,IF(OR(AND(AUTOEVENTO="Manual",$M340=1),$M340&gt;(ROW(PLE.lastrow)-ROW(PLE.firstrow))),0,IF(OFFSET(PLE!$G$14,$M340,BW$13)="",10^12,OFFSET(PLE!$G$14,$M340,BW$13))))</f>
        <v>1000000000000</v>
      </c>
      <c r="BX340" s="216">
        <f ca="1">IF($D340&lt;&gt;"Serviço",0,IF(OR(AND(AUTOEVENTO="Manual",$M340=1),$M340&gt;(ROW(PLE.lastrow)-ROW(PLE.firstrow))),0,IF(OFFSET(PLE!$G$14,$M340,BX$13)="",10^12,OFFSET(PLE!$G$14,$M340,BX$13))))</f>
        <v>1000000000000</v>
      </c>
      <c r="BY340" s="216">
        <f ca="1">IF($D340&lt;&gt;"Serviço",0,IF(OR(AND(AUTOEVENTO="Manual",$M340=1),$M340&gt;(ROW(PLE.lastrow)-ROW(PLE.firstrow))),0,IF(OFFSET(PLE!$G$14,$M340,BY$13)="",10^12,OFFSET(PLE!$G$14,$M340,BY$13))))</f>
        <v>1000000000000</v>
      </c>
      <c r="BZ340" s="216">
        <f ca="1">IF($D340&lt;&gt;"Serviço",0,IF(OR(AND(AUTOEVENTO="Manual",$M340=1),$M340&gt;(ROW(PLE.lastrow)-ROW(PLE.firstrow))),0,IF(OFFSET(PLE!$G$14,$M340,BZ$13)="",10^12,OFFSET(PLE!$G$14,$M340,BZ$13))))</f>
        <v>1000000000000</v>
      </c>
      <c r="CA340" s="216">
        <f ca="1">IF($D340&lt;&gt;"Serviço",0,IF(OR(AND(AUTOEVENTO="Manual",$M340=1),$M340&gt;(ROW(PLE.lastrow)-ROW(PLE.firstrow))),0,IF(OFFSET(PLE!$G$14,$M340,CA$13)="",10^12,OFFSET(PLE!$G$14,$M340,CA$13))))</f>
        <v>1000000000000</v>
      </c>
      <c r="CB340" s="216">
        <f ca="1">IF($D340&lt;&gt;"Serviço",0,IF(OR(AND(AUTOEVENTO="Manual",$M340=1),$M340&gt;(ROW(PLE.lastrow)-ROW(PLE.firstrow))),0,IF(OFFSET(PLE!$G$14,$M340,CB$13)="",10^12,OFFSET(PLE!$G$14,$M340,CB$13))))</f>
        <v>1000000000000</v>
      </c>
      <c r="CC340" s="216">
        <f ca="1">IF($D340&lt;&gt;"Serviço",0,IF(OR(AND(AUTOEVENTO="Manual",$M340=1),$M340&gt;(ROW(PLE.lastrow)-ROW(PLE.firstrow))),0,IF(OFFSET(PLE!$G$14,$M340,CC$13)="",10^12,OFFSET(PLE!$G$14,$M340,CC$13))))</f>
        <v>1000000000000</v>
      </c>
      <c r="CD340" s="216">
        <f ca="1">IF($D340&lt;&gt;"Serviço",0,IF(OR(AND(AUTOEVENTO="Manual",$M340=1),$M340&gt;(ROW(PLE.lastrow)-ROW(PLE.firstrow))),0,IF(OFFSET(PLE!$G$14,$M340,CD$13)="",10^12,OFFSET(PLE!$G$14,$M340,CD$13))))</f>
        <v>1000000000000</v>
      </c>
      <c r="CE340" s="216">
        <f ca="1">IF($D340&lt;&gt;"Serviço",0,IF(OR(AND(AUTOEVENTO="Manual",$M340=1),$M340&gt;(ROW(PLE.lastrow)-ROW(PLE.firstrow))),0,IF(OFFSET(PLE!$G$14,$M340,CE$13)="",10^12,OFFSET(PLE!$G$14,$M340,CE$13))))</f>
        <v>1000000000000</v>
      </c>
      <c r="CF340" s="216">
        <f ca="1">IF($D340&lt;&gt;"Serviço",0,IF(OR(AND(AUTOEVENTO="Manual",$M340=1),$M340&gt;(ROW(PLE.lastrow)-ROW(PLE.firstrow))),0,IF(OFFSET(PLE!$G$14,$M340,CF$13)="",10^12,OFFSET(PLE!$G$14,$M340,CF$13))))</f>
        <v>1000000000000</v>
      </c>
      <c r="CG340" s="216">
        <f ca="1">IF($D340&lt;&gt;"Serviço",0,IF(OR(AND(AUTOEVENTO="Manual",$M340=1),$M340&gt;(ROW(PLE.lastrow)-ROW(PLE.firstrow))),0,IF(OFFSET(PLE!$G$14,$M340,CG$13)="",10^12,OFFSET(PLE!$G$14,$M340,CG$13))))</f>
        <v>1000000000000</v>
      </c>
      <c r="CH340" s="216">
        <f ca="1">IF($D340&lt;&gt;"Serviço",0,IF(OR(AND(AUTOEVENTO="Manual",$M340=1),$M340&gt;(ROW(PLE.lastrow)-ROW(PLE.firstrow))),0,IF(OFFSET(PLE!$G$14,$M340,CH$13)="",10^12,OFFSET(PLE!$G$14,$M340,CH$13))))</f>
        <v>1000000000000</v>
      </c>
      <c r="CI340" s="216">
        <f ca="1">IF($D340&lt;&gt;"Serviço",0,IF(OR(AND(AUTOEVENTO="Manual",$M340=1),$M340&gt;(ROW(PLE.lastrow)-ROW(PLE.firstrow))),0,IF(OFFSET(PLE!$G$14,$M340,CI$13)="",10^12,OFFSET(PLE!$G$14,$M340,CI$13))))</f>
        <v>1000000000000</v>
      </c>
      <c r="CJ340" s="216">
        <f ca="1">IF($D340&lt;&gt;"Serviço",0,IF(OR(AND(AUTOEVENTO="Manual",$M340=1),$M340&gt;(ROW(PLE.lastrow)-ROW(PLE.firstrow))),0,IF(OFFSET(PLE!$G$14,$M340,CJ$13)="",10^12,OFFSET(PLE!$G$14,$M340,CJ$13))))</f>
        <v>1000000000000</v>
      </c>
      <c r="CK340" s="216">
        <f ca="1">IF($D340&lt;&gt;"Serviço",0,IF(OR(AND(AUTOEVENTO="Manual",$M340=1),$M340&gt;(ROW(PLE.lastrow)-ROW(PLE.firstrow))),0,IF(OFFSET(PLE!$G$14,$M340,CK$13)="",10^12,OFFSET(PLE!$G$14,$M340,CK$13))))</f>
        <v>1000000000000</v>
      </c>
      <c r="CL340" s="216">
        <f ca="1">IF($D340&lt;&gt;"Serviço",0,IF(OR(AND(AUTOEVENTO="Manual",$M340=1),$M340&gt;(ROW(PLE.lastrow)-ROW(PLE.firstrow))),0,IF(OFFSET(PLE!$G$14,$M340,CL$13)="",10^12,OFFSET(PLE!$G$14,$M340,CL$13))))</f>
        <v>1000000000000</v>
      </c>
      <c r="CM340" s="216">
        <f ca="1">IF($D340&lt;&gt;"Serviço",0,IF(OR(AND(AUTOEVENTO="Manual",$M340=1),$M340&gt;(ROW(PLE.lastrow)-ROW(PLE.firstrow))),0,IF(OFFSET(PLE!$G$14,$M340,CM$13)="",10^12,OFFSET(PLE!$G$14,$M340,CM$13))))</f>
        <v>1000000000000</v>
      </c>
    </row>
    <row r="341" spans="1:91" ht="13.2" x14ac:dyDescent="0.25">
      <c r="A341" s="9">
        <f t="shared" ca="1" si="14"/>
        <v>0</v>
      </c>
      <c r="B341" s="9" t="str">
        <f ca="1">OFFSET(ORÇAMENTO!C$15,ROW(B341)-ROW(B$15),0)</f>
        <v>S</v>
      </c>
      <c r="C341" s="9" t="str">
        <f ca="1">OFFSET(ORÇAMENTO!L$15,ROW(C341)-ROW(C$15),0)</f>
        <v/>
      </c>
      <c r="D341" s="145" t="str">
        <f ca="1">OFFSET(ORÇAMENTO!N$15,ROW(D341)-ROW(D$15),0)</f>
        <v>Serviço</v>
      </c>
      <c r="E341" s="205" t="str">
        <f ca="1">OFFSET(ORÇAMENTO!O$15,ROW(E341)-ROW(E$15),0)</f>
        <v>-</v>
      </c>
      <c r="F341" s="206" t="str">
        <f ca="1">OFFSET(ORÇAMENTO!R$15,ROW(F341)-ROW(F$15),0)</f>
        <v>(abra o arquivo 'Referência 05-2024.xls)</v>
      </c>
      <c r="G341" s="207" t="str">
        <f ca="1">IF($D341&lt;&gt;"Serviço","",OFFSET(ORÇAMENTO!S$15,ROW(G341)-ROW(G$15),0))</f>
        <v>-</v>
      </c>
      <c r="H341" s="151">
        <f ca="1">IF($D341&lt;&gt;"Serviço",0,IF(ACOMPANHAMENTO="BM",ROUND(OFFSET(ORÇAMENTO!AJ$15,ROW(H341)-ROW(H$15),0),15-13*ORÇAMENTO!$AF$7),SUMPRODUCT(($Q$12:$AI$12&lt;&gt;"")*ROUND($Q341:$AI341,15-13*ORÇAMENTO!$AF$7))))</f>
        <v>14</v>
      </c>
      <c r="I341" s="650"/>
      <c r="K341" s="208"/>
      <c r="L341" s="209" t="s">
        <v>257</v>
      </c>
      <c r="M341" s="210">
        <f ca="1">IF($D341&lt;&gt;"Serviço","",IF(AUTOEVENTO="manual",$A341,IF(ISERROR(MATCH($A341,$A$15:OFFSET($A341,-1,0),0)),MAX($M$15:OFFSET(M341,-1,0))+1,INDEX($M$15:OFFSET(M341,-1,0),MATCH($A341,$A$15:OFFSET($A341,-1,0),0)))))</f>
        <v>0</v>
      </c>
      <c r="N341" s="211" t="str">
        <f ca="1">IF($D341&lt;&gt;"Serviço","",IF(AUTOEVENTO="Manual",IF($A341=0,"&lt;-- defina o número do agrupador",OFFSET(EVENTOS!$D$14,$A341,0)),OFFSET($F$15,$A341,0)))</f>
        <v>&lt;-- defina o número do agrupador</v>
      </c>
      <c r="O341" s="212"/>
      <c r="Q341" s="212"/>
      <c r="R341" s="213"/>
      <c r="S341" s="213"/>
      <c r="T341" s="213"/>
      <c r="U341" s="213"/>
      <c r="V341" s="213"/>
      <c r="W341" s="213"/>
      <c r="X341" s="213"/>
      <c r="Y341" s="213"/>
      <c r="Z341" s="214"/>
      <c r="AA341" s="213"/>
      <c r="AB341" s="213"/>
      <c r="AC341" s="213"/>
      <c r="AD341" s="213"/>
      <c r="AE341" s="213"/>
      <c r="AF341" s="213"/>
      <c r="AG341" s="213"/>
      <c r="AH341" s="214"/>
      <c r="AJ341" s="631">
        <f ca="1">IF(AND($D341="Serviço",AJ$12&lt;&gt;0,$H341&gt;0,OR(AUTOEVENTO&lt;&gt;"manual",$M341&lt;&gt;1)),ROUND(OFFSET($P341,0,AJ$13),15-13*ORÇAMENTO!$AF$7)/$H341*OFFSET(ORÇAMENTO!$X$15,ROW(AJ341)-ROW(AJ$15),0),0)</f>
        <v>0</v>
      </c>
      <c r="AK341" s="632">
        <f ca="1">IF(AND($D341="Serviço",AK$12&lt;&gt;0,$H341&gt;0,OR(AUTOEVENTO&lt;&gt;"manual",$M341&lt;&gt;1)),ROUND(OFFSET($P341,0,AK$13),15-13*ORÇAMENTO!$AF$7)/$H341*OFFSET(ORÇAMENTO!$X$15,ROW(AK341)-ROW(AK$15),0),0)</f>
        <v>0</v>
      </c>
      <c r="AL341" s="632">
        <f ca="1">IF(AND($D341="Serviço",AL$12&lt;&gt;0,$H341&gt;0,OR(AUTOEVENTO&lt;&gt;"manual",$M341&lt;&gt;1)),ROUND(OFFSET($P341,0,AL$13),15-13*ORÇAMENTO!$AF$7)/$H341*OFFSET(ORÇAMENTO!$X$15,ROW(AL341)-ROW(AL$15),0),0)</f>
        <v>0</v>
      </c>
      <c r="AM341" s="632">
        <f ca="1">IF(AND($D341="Serviço",AM$12&lt;&gt;0,$H341&gt;0,OR(AUTOEVENTO&lt;&gt;"manual",$M341&lt;&gt;1)),ROUND(OFFSET($P341,0,AM$13),15-13*ORÇAMENTO!$AF$7)/$H341*OFFSET(ORÇAMENTO!$X$15,ROW(AM341)-ROW(AM$15),0),0)</f>
        <v>0</v>
      </c>
      <c r="AN341" s="632">
        <f ca="1">IF(AND($D341="Serviço",AN$12&lt;&gt;0,$H341&gt;0,OR(AUTOEVENTO&lt;&gt;"manual",$M341&lt;&gt;1)),ROUND(OFFSET($P341,0,AN$13),15-13*ORÇAMENTO!$AF$7)/$H341*OFFSET(ORÇAMENTO!$X$15,ROW(AN341)-ROW(AN$15),0),0)</f>
        <v>0</v>
      </c>
      <c r="AO341" s="632">
        <f ca="1">IF(AND($D341="Serviço",AO$12&lt;&gt;0,$H341&gt;0,OR(AUTOEVENTO&lt;&gt;"manual",$M341&lt;&gt;1)),ROUND(OFFSET($P341,0,AO$13),15-13*ORÇAMENTO!$AF$7)/$H341*OFFSET(ORÇAMENTO!$X$15,ROW(AO341)-ROW(AO$15),0),0)</f>
        <v>0</v>
      </c>
      <c r="AP341" s="632">
        <f ca="1">IF(AND($D341="Serviço",AP$12&lt;&gt;0,$H341&gt;0,OR(AUTOEVENTO&lt;&gt;"manual",$M341&lt;&gt;1)),ROUND(OFFSET($P341,0,AP$13),15-13*ORÇAMENTO!$AF$7)/$H341*OFFSET(ORÇAMENTO!$X$15,ROW(AP341)-ROW(AP$15),0),0)</f>
        <v>0</v>
      </c>
      <c r="AQ341" s="632">
        <f ca="1">IF(AND($D341="Serviço",AQ$12&lt;&gt;0,$H341&gt;0,OR(AUTOEVENTO&lt;&gt;"manual",$M341&lt;&gt;1)),ROUND(OFFSET($P341,0,AQ$13),15-13*ORÇAMENTO!$AF$7)/$H341*OFFSET(ORÇAMENTO!$X$15,ROW(AQ341)-ROW(AQ$15),0),0)</f>
        <v>0</v>
      </c>
      <c r="AR341" s="632">
        <f ca="1">IF(AND($D341="Serviço",AR$12&lt;&gt;0,$H341&gt;0,OR(AUTOEVENTO&lt;&gt;"manual",$M341&lt;&gt;1)),ROUND(OFFSET($P341,0,AR$13),15-13*ORÇAMENTO!$AF$7)/$H341*OFFSET(ORÇAMENTO!$X$15,ROW(AR341)-ROW(AR$15),0),0)</f>
        <v>0</v>
      </c>
      <c r="AS341" s="633">
        <f ca="1">IF(AND($D341="Serviço",AS$12&lt;&gt;0,$H341&gt;0,OR(AUTOEVENTO&lt;&gt;"manual",$M341&lt;&gt;1)),ROUND(OFFSET($P341,0,AS$13),15-13*ORÇAMENTO!$AF$7)/$H341*OFFSET(ORÇAMENTO!$X$15,ROW(AS341)-ROW(AS$15),0),0)</f>
        <v>0</v>
      </c>
      <c r="AT341" s="632">
        <f ca="1">IF(AND($D341="Serviço",AT$12&lt;&gt;0,$H341&gt;0,OR(AUTOEVENTO&lt;&gt;"manual",$M341&lt;&gt;1)),ROUND(OFFSET($P341,0,AT$13),15-13*ORÇAMENTO!$AF$7)/$H341*OFFSET(ORÇAMENTO!$X$15,ROW(AT341)-ROW(AT$15),0),0)</f>
        <v>0</v>
      </c>
      <c r="AU341" s="632">
        <f ca="1">IF(AND($D341="Serviço",AU$12&lt;&gt;0,$H341&gt;0,OR(AUTOEVENTO&lt;&gt;"manual",$M341&lt;&gt;1)),ROUND(OFFSET($P341,0,AU$13),15-13*ORÇAMENTO!$AF$7)/$H341*OFFSET(ORÇAMENTO!$X$15,ROW(AU341)-ROW(AU$15),0),0)</f>
        <v>0</v>
      </c>
      <c r="AV341" s="632">
        <f ca="1">IF(AND($D341="Serviço",AV$12&lt;&gt;0,$H341&gt;0,OR(AUTOEVENTO&lt;&gt;"manual",$M341&lt;&gt;1)),ROUND(OFFSET($P341,0,AV$13),15-13*ORÇAMENTO!$AF$7)/$H341*OFFSET(ORÇAMENTO!$X$15,ROW(AV341)-ROW(AV$15),0),0)</f>
        <v>0</v>
      </c>
      <c r="AW341" s="632">
        <f ca="1">IF(AND($D341="Serviço",AW$12&lt;&gt;0,$H341&gt;0,OR(AUTOEVENTO&lt;&gt;"manual",$M341&lt;&gt;1)),ROUND(OFFSET($P341,0,AW$13),15-13*ORÇAMENTO!$AF$7)/$H341*OFFSET(ORÇAMENTO!$X$15,ROW(AW341)-ROW(AW$15),0),0)</f>
        <v>0</v>
      </c>
      <c r="AX341" s="632">
        <f ca="1">IF(AND($D341="Serviço",AX$12&lt;&gt;0,$H341&gt;0,OR(AUTOEVENTO&lt;&gt;"manual",$M341&lt;&gt;1)),ROUND(OFFSET($P341,0,AX$13),15-13*ORÇAMENTO!$AF$7)/$H341*OFFSET(ORÇAMENTO!$X$15,ROW(AX341)-ROW(AX$15),0),0)</f>
        <v>0</v>
      </c>
      <c r="AY341" s="632">
        <f ca="1">IF(AND($D341="Serviço",AY$12&lt;&gt;0,$H341&gt;0,OR(AUTOEVENTO&lt;&gt;"manual",$M341&lt;&gt;1)),ROUND(OFFSET($P341,0,AY$13),15-13*ORÇAMENTO!$AF$7)/$H341*OFFSET(ORÇAMENTO!$X$15,ROW(AY341)-ROW(AY$15),0),0)</f>
        <v>0</v>
      </c>
      <c r="AZ341" s="632">
        <f ca="1">IF(AND($D341="Serviço",AZ$12&lt;&gt;0,$H341&gt;0,OR(AUTOEVENTO&lt;&gt;"manual",$M341&lt;&gt;1)),ROUND(OFFSET($P341,0,AZ$13),15-13*ORÇAMENTO!$AF$7)/$H341*OFFSET(ORÇAMENTO!$X$15,ROW(AZ341)-ROW(AZ$15),0),0)</f>
        <v>0</v>
      </c>
      <c r="BA341" s="633">
        <f ca="1">IF(AND($D341="Serviço",BA$12&lt;&gt;0,$H341&gt;0,OR(AUTOEVENTO&lt;&gt;"manual",$M341&lt;&gt;1)),ROUND(OFFSET($P341,0,BA$13),15-13*ORÇAMENTO!$AF$7)/$H341*OFFSET(ORÇAMENTO!$X$15,ROW(BA341)-ROW(BA$15),0),0)</f>
        <v>0</v>
      </c>
      <c r="BC341" s="215">
        <f ca="1">IF($D341&lt;&gt;"Serviço",0,IF(AND(AUTOEVENTO="Manual",$M341=1),0,IF(OFFSET(CRONOPLE!$F$14,$M341,BC$13)="",10^12,OFFSET(CRONOPLE!$F$14,$M341,BC$13))))</f>
        <v>1000000000000</v>
      </c>
      <c r="BD341" s="215">
        <f ca="1">IF($D341&lt;&gt;"Serviço",0,IF(AND(AUTOEVENTO="Manual",$M341=1),0,IF(OFFSET(CRONOPLE!$F$14,$M341,BD$13)="",10^12,OFFSET(CRONOPLE!$F$14,$M341,BD$13))))</f>
        <v>1000000000000</v>
      </c>
      <c r="BE341" s="215">
        <f ca="1">IF($D341&lt;&gt;"Serviço",0,IF(AND(AUTOEVENTO="Manual",$M341=1),0,IF(OFFSET(CRONOPLE!$F$14,$M341,BE$13)="",10^12,OFFSET(CRONOPLE!$F$14,$M341,BE$13))))</f>
        <v>1000000000000</v>
      </c>
      <c r="BF341" s="215">
        <f ca="1">IF($D341&lt;&gt;"Serviço",0,IF(AND(AUTOEVENTO="Manual",$M341=1),0,IF(OFFSET(CRONOPLE!$F$14,$M341,BF$13)="",10^12,OFFSET(CRONOPLE!$F$14,$M341,BF$13))))</f>
        <v>1000000000000</v>
      </c>
      <c r="BG341" s="215">
        <f ca="1">IF($D341&lt;&gt;"Serviço",0,IF(AND(AUTOEVENTO="Manual",$M341=1),0,IF(OFFSET(CRONOPLE!$F$14,$M341,BG$13)="",10^12,OFFSET(CRONOPLE!$F$14,$M341,BG$13))))</f>
        <v>1000000000000</v>
      </c>
      <c r="BH341" s="215">
        <f ca="1">IF($D341&lt;&gt;"Serviço",0,IF(AND(AUTOEVENTO="Manual",$M341=1),0,IF(OFFSET(CRONOPLE!$F$14,$M341,BH$13)="",10^12,OFFSET(CRONOPLE!$F$14,$M341,BH$13))))</f>
        <v>1000000000000</v>
      </c>
      <c r="BI341" s="215">
        <f ca="1">IF($D341&lt;&gt;"Serviço",0,IF(AND(AUTOEVENTO="Manual",$M341=1),0,IF(OFFSET(CRONOPLE!$F$14,$M341,BI$13)="",10^12,OFFSET(CRONOPLE!$F$14,$M341,BI$13))))</f>
        <v>1000000000000</v>
      </c>
      <c r="BJ341" s="215">
        <f ca="1">IF($D341&lt;&gt;"Serviço",0,IF(AND(AUTOEVENTO="Manual",$M341=1),0,IF(OFFSET(CRONOPLE!$F$14,$M341,BJ$13)="",10^12,OFFSET(CRONOPLE!$F$14,$M341,BJ$13))))</f>
        <v>1000000000000</v>
      </c>
      <c r="BK341" s="215">
        <f ca="1">IF($D341&lt;&gt;"Serviço",0,IF(AND(AUTOEVENTO="Manual",$M341=1),0,IF(OFFSET(CRONOPLE!$F$14,$M341,BK$13)="",10^12,OFFSET(CRONOPLE!$F$14,$M341,BK$13))))</f>
        <v>1000000000000</v>
      </c>
      <c r="BL341" s="215">
        <f ca="1">IF($D341&lt;&gt;"Serviço",0,IF(AND(AUTOEVENTO="Manual",$M341=1),0,IF(OFFSET(CRONOPLE!$F$14,$M341,BL$13)="",10^12,OFFSET(CRONOPLE!$F$14,$M341,BL$13))))</f>
        <v>1000000000000</v>
      </c>
      <c r="BM341" s="215">
        <f ca="1">IF($D341&lt;&gt;"Serviço",0,IF(AND(AUTOEVENTO="Manual",$M341=1),0,IF(OFFSET(CRONOPLE!$F$14,$M341,BM$13)="",10^12,OFFSET(CRONOPLE!$F$14,$M341,BM$13))))</f>
        <v>1000000000000</v>
      </c>
      <c r="BN341" s="215">
        <f ca="1">IF($D341&lt;&gt;"Serviço",0,IF(AND(AUTOEVENTO="Manual",$M341=1),0,IF(OFFSET(CRONOPLE!$F$14,$M341,BN$13)="",10^12,OFFSET(CRONOPLE!$F$14,$M341,BN$13))))</f>
        <v>1000000000000</v>
      </c>
      <c r="BO341" s="215">
        <f ca="1">IF($D341&lt;&gt;"Serviço",0,IF(AND(AUTOEVENTO="Manual",$M341=1),0,IF(OFFSET(CRONOPLE!$F$14,$M341,BO$13)="",10^12,OFFSET(CRONOPLE!$F$14,$M341,BO$13))))</f>
        <v>1000000000000</v>
      </c>
      <c r="BP341" s="215">
        <f ca="1">IF($D341&lt;&gt;"Serviço",0,IF(AND(AUTOEVENTO="Manual",$M341=1),0,IF(OFFSET(CRONOPLE!$F$14,$M341,BP$13)="",10^12,OFFSET(CRONOPLE!$F$14,$M341,BP$13))))</f>
        <v>1000000000000</v>
      </c>
      <c r="BQ341" s="215">
        <f ca="1">IF($D341&lt;&gt;"Serviço",0,IF(AND(AUTOEVENTO="Manual",$M341=1),0,IF(OFFSET(CRONOPLE!$F$14,$M341,BQ$13)="",10^12,OFFSET(CRONOPLE!$F$14,$M341,BQ$13))))</f>
        <v>1000000000000</v>
      </c>
      <c r="BR341" s="215">
        <f ca="1">IF($D341&lt;&gt;"Serviço",0,IF(AND(AUTOEVENTO="Manual",$M341=1),0,IF(OFFSET(CRONOPLE!$F$14,$M341,BR$13)="",10^12,OFFSET(CRONOPLE!$F$14,$M341,BR$13))))</f>
        <v>1000000000000</v>
      </c>
      <c r="BS341" s="215">
        <f ca="1">IF($D341&lt;&gt;"Serviço",0,IF(AND(AUTOEVENTO="Manual",$M341=1),0,IF(OFFSET(CRONOPLE!$F$14,$M341,BS$13)="",10^12,OFFSET(CRONOPLE!$F$14,$M341,BS$13))))</f>
        <v>1000000000000</v>
      </c>
      <c r="BT341" s="215">
        <f ca="1">IF($D341&lt;&gt;"Serviço",0,IF(AND(AUTOEVENTO="Manual",$M341=1),0,IF(OFFSET(CRONOPLE!$F$14,$M341,BT$13)="",10^12,OFFSET(CRONOPLE!$F$14,$M341,BT$13))))</f>
        <v>1000000000000</v>
      </c>
      <c r="BV341" s="216">
        <f ca="1">IF($D341&lt;&gt;"Serviço",0,IF(OR(AND(AUTOEVENTO="Manual",$M341=1),$M341&gt;(ROW(PLE.lastrow)-ROW(PLE.firstrow))),0,IF(OFFSET(PLE!$G$14,$M341,BV$13)="",10^12,OFFSET(PLE!$G$14,$M341,BV$13))))</f>
        <v>1000000000000</v>
      </c>
      <c r="BW341" s="216">
        <f ca="1">IF($D341&lt;&gt;"Serviço",0,IF(OR(AND(AUTOEVENTO="Manual",$M341=1),$M341&gt;(ROW(PLE.lastrow)-ROW(PLE.firstrow))),0,IF(OFFSET(PLE!$G$14,$M341,BW$13)="",10^12,OFFSET(PLE!$G$14,$M341,BW$13))))</f>
        <v>1000000000000</v>
      </c>
      <c r="BX341" s="216">
        <f ca="1">IF($D341&lt;&gt;"Serviço",0,IF(OR(AND(AUTOEVENTO="Manual",$M341=1),$M341&gt;(ROW(PLE.lastrow)-ROW(PLE.firstrow))),0,IF(OFFSET(PLE!$G$14,$M341,BX$13)="",10^12,OFFSET(PLE!$G$14,$M341,BX$13))))</f>
        <v>1000000000000</v>
      </c>
      <c r="BY341" s="216">
        <f ca="1">IF($D341&lt;&gt;"Serviço",0,IF(OR(AND(AUTOEVENTO="Manual",$M341=1),$M341&gt;(ROW(PLE.lastrow)-ROW(PLE.firstrow))),0,IF(OFFSET(PLE!$G$14,$M341,BY$13)="",10^12,OFFSET(PLE!$G$14,$M341,BY$13))))</f>
        <v>1000000000000</v>
      </c>
      <c r="BZ341" s="216">
        <f ca="1">IF($D341&lt;&gt;"Serviço",0,IF(OR(AND(AUTOEVENTO="Manual",$M341=1),$M341&gt;(ROW(PLE.lastrow)-ROW(PLE.firstrow))),0,IF(OFFSET(PLE!$G$14,$M341,BZ$13)="",10^12,OFFSET(PLE!$G$14,$M341,BZ$13))))</f>
        <v>1000000000000</v>
      </c>
      <c r="CA341" s="216">
        <f ca="1">IF($D341&lt;&gt;"Serviço",0,IF(OR(AND(AUTOEVENTO="Manual",$M341=1),$M341&gt;(ROW(PLE.lastrow)-ROW(PLE.firstrow))),0,IF(OFFSET(PLE!$G$14,$M341,CA$13)="",10^12,OFFSET(PLE!$G$14,$M341,CA$13))))</f>
        <v>1000000000000</v>
      </c>
      <c r="CB341" s="216">
        <f ca="1">IF($D341&lt;&gt;"Serviço",0,IF(OR(AND(AUTOEVENTO="Manual",$M341=1),$M341&gt;(ROW(PLE.lastrow)-ROW(PLE.firstrow))),0,IF(OFFSET(PLE!$G$14,$M341,CB$13)="",10^12,OFFSET(PLE!$G$14,$M341,CB$13))))</f>
        <v>1000000000000</v>
      </c>
      <c r="CC341" s="216">
        <f ca="1">IF($D341&lt;&gt;"Serviço",0,IF(OR(AND(AUTOEVENTO="Manual",$M341=1),$M341&gt;(ROW(PLE.lastrow)-ROW(PLE.firstrow))),0,IF(OFFSET(PLE!$G$14,$M341,CC$13)="",10^12,OFFSET(PLE!$G$14,$M341,CC$13))))</f>
        <v>1000000000000</v>
      </c>
      <c r="CD341" s="216">
        <f ca="1">IF($D341&lt;&gt;"Serviço",0,IF(OR(AND(AUTOEVENTO="Manual",$M341=1),$M341&gt;(ROW(PLE.lastrow)-ROW(PLE.firstrow))),0,IF(OFFSET(PLE!$G$14,$M341,CD$13)="",10^12,OFFSET(PLE!$G$14,$M341,CD$13))))</f>
        <v>1000000000000</v>
      </c>
      <c r="CE341" s="216">
        <f ca="1">IF($D341&lt;&gt;"Serviço",0,IF(OR(AND(AUTOEVENTO="Manual",$M341=1),$M341&gt;(ROW(PLE.lastrow)-ROW(PLE.firstrow))),0,IF(OFFSET(PLE!$G$14,$M341,CE$13)="",10^12,OFFSET(PLE!$G$14,$M341,CE$13))))</f>
        <v>1000000000000</v>
      </c>
      <c r="CF341" s="216">
        <f ca="1">IF($D341&lt;&gt;"Serviço",0,IF(OR(AND(AUTOEVENTO="Manual",$M341=1),$M341&gt;(ROW(PLE.lastrow)-ROW(PLE.firstrow))),0,IF(OFFSET(PLE!$G$14,$M341,CF$13)="",10^12,OFFSET(PLE!$G$14,$M341,CF$13))))</f>
        <v>1000000000000</v>
      </c>
      <c r="CG341" s="216">
        <f ca="1">IF($D341&lt;&gt;"Serviço",0,IF(OR(AND(AUTOEVENTO="Manual",$M341=1),$M341&gt;(ROW(PLE.lastrow)-ROW(PLE.firstrow))),0,IF(OFFSET(PLE!$G$14,$M341,CG$13)="",10^12,OFFSET(PLE!$G$14,$M341,CG$13))))</f>
        <v>1000000000000</v>
      </c>
      <c r="CH341" s="216">
        <f ca="1">IF($D341&lt;&gt;"Serviço",0,IF(OR(AND(AUTOEVENTO="Manual",$M341=1),$M341&gt;(ROW(PLE.lastrow)-ROW(PLE.firstrow))),0,IF(OFFSET(PLE!$G$14,$M341,CH$13)="",10^12,OFFSET(PLE!$G$14,$M341,CH$13))))</f>
        <v>1000000000000</v>
      </c>
      <c r="CI341" s="216">
        <f ca="1">IF($D341&lt;&gt;"Serviço",0,IF(OR(AND(AUTOEVENTO="Manual",$M341=1),$M341&gt;(ROW(PLE.lastrow)-ROW(PLE.firstrow))),0,IF(OFFSET(PLE!$G$14,$M341,CI$13)="",10^12,OFFSET(PLE!$G$14,$M341,CI$13))))</f>
        <v>1000000000000</v>
      </c>
      <c r="CJ341" s="216">
        <f ca="1">IF($D341&lt;&gt;"Serviço",0,IF(OR(AND(AUTOEVENTO="Manual",$M341=1),$M341&gt;(ROW(PLE.lastrow)-ROW(PLE.firstrow))),0,IF(OFFSET(PLE!$G$14,$M341,CJ$13)="",10^12,OFFSET(PLE!$G$14,$M341,CJ$13))))</f>
        <v>1000000000000</v>
      </c>
      <c r="CK341" s="216">
        <f ca="1">IF($D341&lt;&gt;"Serviço",0,IF(OR(AND(AUTOEVENTO="Manual",$M341=1),$M341&gt;(ROW(PLE.lastrow)-ROW(PLE.firstrow))),0,IF(OFFSET(PLE!$G$14,$M341,CK$13)="",10^12,OFFSET(PLE!$G$14,$M341,CK$13))))</f>
        <v>1000000000000</v>
      </c>
      <c r="CL341" s="216">
        <f ca="1">IF($D341&lt;&gt;"Serviço",0,IF(OR(AND(AUTOEVENTO="Manual",$M341=1),$M341&gt;(ROW(PLE.lastrow)-ROW(PLE.firstrow))),0,IF(OFFSET(PLE!$G$14,$M341,CL$13)="",10^12,OFFSET(PLE!$G$14,$M341,CL$13))))</f>
        <v>1000000000000</v>
      </c>
      <c r="CM341" s="216">
        <f ca="1">IF($D341&lt;&gt;"Serviço",0,IF(OR(AND(AUTOEVENTO="Manual",$M341=1),$M341&gt;(ROW(PLE.lastrow)-ROW(PLE.firstrow))),0,IF(OFFSET(PLE!$G$14,$M341,CM$13)="",10^12,OFFSET(PLE!$G$14,$M341,CM$13))))</f>
        <v>1000000000000</v>
      </c>
    </row>
    <row r="342" spans="1:91" ht="13.2" x14ac:dyDescent="0.25">
      <c r="A342" s="9">
        <f t="shared" ca="1" si="14"/>
        <v>0</v>
      </c>
      <c r="B342" s="9" t="str">
        <f ca="1">OFFSET(ORÇAMENTO!C$15,ROW(B342)-ROW(B$15),0)</f>
        <v>S</v>
      </c>
      <c r="C342" s="9" t="str">
        <f ca="1">OFFSET(ORÇAMENTO!L$15,ROW(C342)-ROW(C$15),0)</f>
        <v/>
      </c>
      <c r="D342" s="145" t="str">
        <f ca="1">OFFSET(ORÇAMENTO!N$15,ROW(D342)-ROW(D$15),0)</f>
        <v>Serviço</v>
      </c>
      <c r="E342" s="205" t="str">
        <f ca="1">OFFSET(ORÇAMENTO!O$15,ROW(E342)-ROW(E$15),0)</f>
        <v>-</v>
      </c>
      <c r="F342" s="206" t="str">
        <f ca="1">OFFSET(ORÇAMENTO!R$15,ROW(F342)-ROW(F$15),0)</f>
        <v>(abra o arquivo 'Referência 05-2024.xls)</v>
      </c>
      <c r="G342" s="207" t="str">
        <f ca="1">IF($D342&lt;&gt;"Serviço","",OFFSET(ORÇAMENTO!S$15,ROW(G342)-ROW(G$15),0))</f>
        <v>-</v>
      </c>
      <c r="H342" s="151">
        <f ca="1">IF($D342&lt;&gt;"Serviço",0,IF(ACOMPANHAMENTO="BM",ROUND(OFFSET(ORÇAMENTO!AJ$15,ROW(H342)-ROW(H$15),0),15-13*ORÇAMENTO!$AF$7),SUMPRODUCT(($Q$12:$AI$12&lt;&gt;"")*ROUND($Q342:$AI342,15-13*ORÇAMENTO!$AF$7))))</f>
        <v>1</v>
      </c>
      <c r="I342" s="650"/>
      <c r="K342" s="208"/>
      <c r="L342" s="209" t="s">
        <v>257</v>
      </c>
      <c r="M342" s="210">
        <f ca="1">IF($D342&lt;&gt;"Serviço","",IF(AUTOEVENTO="manual",$A342,IF(ISERROR(MATCH($A342,$A$15:OFFSET($A342,-1,0),0)),MAX($M$15:OFFSET(M342,-1,0))+1,INDEX($M$15:OFFSET(M342,-1,0),MATCH($A342,$A$15:OFFSET($A342,-1,0),0)))))</f>
        <v>0</v>
      </c>
      <c r="N342" s="211" t="str">
        <f ca="1">IF($D342&lt;&gt;"Serviço","",IF(AUTOEVENTO="Manual",IF($A342=0,"&lt;-- defina o número do agrupador",OFFSET(EVENTOS!$D$14,$A342,0)),OFFSET($F$15,$A342,0)))</f>
        <v>&lt;-- defina o número do agrupador</v>
      </c>
      <c r="O342" s="212"/>
      <c r="Q342" s="212"/>
      <c r="R342" s="213"/>
      <c r="S342" s="213"/>
      <c r="T342" s="213"/>
      <c r="U342" s="213"/>
      <c r="V342" s="213"/>
      <c r="W342" s="213"/>
      <c r="X342" s="213"/>
      <c r="Y342" s="213"/>
      <c r="Z342" s="214"/>
      <c r="AA342" s="213"/>
      <c r="AB342" s="213"/>
      <c r="AC342" s="213"/>
      <c r="AD342" s="213"/>
      <c r="AE342" s="213"/>
      <c r="AF342" s="213"/>
      <c r="AG342" s="213"/>
      <c r="AH342" s="214"/>
      <c r="AJ342" s="631">
        <f ca="1">IF(AND($D342="Serviço",AJ$12&lt;&gt;0,$H342&gt;0,OR(AUTOEVENTO&lt;&gt;"manual",$M342&lt;&gt;1)),ROUND(OFFSET($P342,0,AJ$13),15-13*ORÇAMENTO!$AF$7)/$H342*OFFSET(ORÇAMENTO!$X$15,ROW(AJ342)-ROW(AJ$15),0),0)</f>
        <v>0</v>
      </c>
      <c r="AK342" s="632">
        <f ca="1">IF(AND($D342="Serviço",AK$12&lt;&gt;0,$H342&gt;0,OR(AUTOEVENTO&lt;&gt;"manual",$M342&lt;&gt;1)),ROUND(OFFSET($P342,0,AK$13),15-13*ORÇAMENTO!$AF$7)/$H342*OFFSET(ORÇAMENTO!$X$15,ROW(AK342)-ROW(AK$15),0),0)</f>
        <v>0</v>
      </c>
      <c r="AL342" s="632">
        <f ca="1">IF(AND($D342="Serviço",AL$12&lt;&gt;0,$H342&gt;0,OR(AUTOEVENTO&lt;&gt;"manual",$M342&lt;&gt;1)),ROUND(OFFSET($P342,0,AL$13),15-13*ORÇAMENTO!$AF$7)/$H342*OFFSET(ORÇAMENTO!$X$15,ROW(AL342)-ROW(AL$15),0),0)</f>
        <v>0</v>
      </c>
      <c r="AM342" s="632">
        <f ca="1">IF(AND($D342="Serviço",AM$12&lt;&gt;0,$H342&gt;0,OR(AUTOEVENTO&lt;&gt;"manual",$M342&lt;&gt;1)),ROUND(OFFSET($P342,0,AM$13),15-13*ORÇAMENTO!$AF$7)/$H342*OFFSET(ORÇAMENTO!$X$15,ROW(AM342)-ROW(AM$15),0),0)</f>
        <v>0</v>
      </c>
      <c r="AN342" s="632">
        <f ca="1">IF(AND($D342="Serviço",AN$12&lt;&gt;0,$H342&gt;0,OR(AUTOEVENTO&lt;&gt;"manual",$M342&lt;&gt;1)),ROUND(OFFSET($P342,0,AN$13),15-13*ORÇAMENTO!$AF$7)/$H342*OFFSET(ORÇAMENTO!$X$15,ROW(AN342)-ROW(AN$15),0),0)</f>
        <v>0</v>
      </c>
      <c r="AO342" s="632">
        <f ca="1">IF(AND($D342="Serviço",AO$12&lt;&gt;0,$H342&gt;0,OR(AUTOEVENTO&lt;&gt;"manual",$M342&lt;&gt;1)),ROUND(OFFSET($P342,0,AO$13),15-13*ORÇAMENTO!$AF$7)/$H342*OFFSET(ORÇAMENTO!$X$15,ROW(AO342)-ROW(AO$15),0),0)</f>
        <v>0</v>
      </c>
      <c r="AP342" s="632">
        <f ca="1">IF(AND($D342="Serviço",AP$12&lt;&gt;0,$H342&gt;0,OR(AUTOEVENTO&lt;&gt;"manual",$M342&lt;&gt;1)),ROUND(OFFSET($P342,0,AP$13),15-13*ORÇAMENTO!$AF$7)/$H342*OFFSET(ORÇAMENTO!$X$15,ROW(AP342)-ROW(AP$15),0),0)</f>
        <v>0</v>
      </c>
      <c r="AQ342" s="632">
        <f ca="1">IF(AND($D342="Serviço",AQ$12&lt;&gt;0,$H342&gt;0,OR(AUTOEVENTO&lt;&gt;"manual",$M342&lt;&gt;1)),ROUND(OFFSET($P342,0,AQ$13),15-13*ORÇAMENTO!$AF$7)/$H342*OFFSET(ORÇAMENTO!$X$15,ROW(AQ342)-ROW(AQ$15),0),0)</f>
        <v>0</v>
      </c>
      <c r="AR342" s="632">
        <f ca="1">IF(AND($D342="Serviço",AR$12&lt;&gt;0,$H342&gt;0,OR(AUTOEVENTO&lt;&gt;"manual",$M342&lt;&gt;1)),ROUND(OFFSET($P342,0,AR$13),15-13*ORÇAMENTO!$AF$7)/$H342*OFFSET(ORÇAMENTO!$X$15,ROW(AR342)-ROW(AR$15),0),0)</f>
        <v>0</v>
      </c>
      <c r="AS342" s="633">
        <f ca="1">IF(AND($D342="Serviço",AS$12&lt;&gt;0,$H342&gt;0,OR(AUTOEVENTO&lt;&gt;"manual",$M342&lt;&gt;1)),ROUND(OFFSET($P342,0,AS$13),15-13*ORÇAMENTO!$AF$7)/$H342*OFFSET(ORÇAMENTO!$X$15,ROW(AS342)-ROW(AS$15),0),0)</f>
        <v>0</v>
      </c>
      <c r="AT342" s="632">
        <f ca="1">IF(AND($D342="Serviço",AT$12&lt;&gt;0,$H342&gt;0,OR(AUTOEVENTO&lt;&gt;"manual",$M342&lt;&gt;1)),ROUND(OFFSET($P342,0,AT$13),15-13*ORÇAMENTO!$AF$7)/$H342*OFFSET(ORÇAMENTO!$X$15,ROW(AT342)-ROW(AT$15),0),0)</f>
        <v>0</v>
      </c>
      <c r="AU342" s="632">
        <f ca="1">IF(AND($D342="Serviço",AU$12&lt;&gt;0,$H342&gt;0,OR(AUTOEVENTO&lt;&gt;"manual",$M342&lt;&gt;1)),ROUND(OFFSET($P342,0,AU$13),15-13*ORÇAMENTO!$AF$7)/$H342*OFFSET(ORÇAMENTO!$X$15,ROW(AU342)-ROW(AU$15),0),0)</f>
        <v>0</v>
      </c>
      <c r="AV342" s="632">
        <f ca="1">IF(AND($D342="Serviço",AV$12&lt;&gt;0,$H342&gt;0,OR(AUTOEVENTO&lt;&gt;"manual",$M342&lt;&gt;1)),ROUND(OFFSET($P342,0,AV$13),15-13*ORÇAMENTO!$AF$7)/$H342*OFFSET(ORÇAMENTO!$X$15,ROW(AV342)-ROW(AV$15),0),0)</f>
        <v>0</v>
      </c>
      <c r="AW342" s="632">
        <f ca="1">IF(AND($D342="Serviço",AW$12&lt;&gt;0,$H342&gt;0,OR(AUTOEVENTO&lt;&gt;"manual",$M342&lt;&gt;1)),ROUND(OFFSET($P342,0,AW$13),15-13*ORÇAMENTO!$AF$7)/$H342*OFFSET(ORÇAMENTO!$X$15,ROW(AW342)-ROW(AW$15),0),0)</f>
        <v>0</v>
      </c>
      <c r="AX342" s="632">
        <f ca="1">IF(AND($D342="Serviço",AX$12&lt;&gt;0,$H342&gt;0,OR(AUTOEVENTO&lt;&gt;"manual",$M342&lt;&gt;1)),ROUND(OFFSET($P342,0,AX$13),15-13*ORÇAMENTO!$AF$7)/$H342*OFFSET(ORÇAMENTO!$X$15,ROW(AX342)-ROW(AX$15),0),0)</f>
        <v>0</v>
      </c>
      <c r="AY342" s="632">
        <f ca="1">IF(AND($D342="Serviço",AY$12&lt;&gt;0,$H342&gt;0,OR(AUTOEVENTO&lt;&gt;"manual",$M342&lt;&gt;1)),ROUND(OFFSET($P342,0,AY$13),15-13*ORÇAMENTO!$AF$7)/$H342*OFFSET(ORÇAMENTO!$X$15,ROW(AY342)-ROW(AY$15),0),0)</f>
        <v>0</v>
      </c>
      <c r="AZ342" s="632">
        <f ca="1">IF(AND($D342="Serviço",AZ$12&lt;&gt;0,$H342&gt;0,OR(AUTOEVENTO&lt;&gt;"manual",$M342&lt;&gt;1)),ROUND(OFFSET($P342,0,AZ$13),15-13*ORÇAMENTO!$AF$7)/$H342*OFFSET(ORÇAMENTO!$X$15,ROW(AZ342)-ROW(AZ$15),0),0)</f>
        <v>0</v>
      </c>
      <c r="BA342" s="633">
        <f ca="1">IF(AND($D342="Serviço",BA$12&lt;&gt;0,$H342&gt;0,OR(AUTOEVENTO&lt;&gt;"manual",$M342&lt;&gt;1)),ROUND(OFFSET($P342,0,BA$13),15-13*ORÇAMENTO!$AF$7)/$H342*OFFSET(ORÇAMENTO!$X$15,ROW(BA342)-ROW(BA$15),0),0)</f>
        <v>0</v>
      </c>
      <c r="BC342" s="215">
        <f ca="1">IF($D342&lt;&gt;"Serviço",0,IF(AND(AUTOEVENTO="Manual",$M342=1),0,IF(OFFSET(CRONOPLE!$F$14,$M342,BC$13)="",10^12,OFFSET(CRONOPLE!$F$14,$M342,BC$13))))</f>
        <v>1000000000000</v>
      </c>
      <c r="BD342" s="215">
        <f ca="1">IF($D342&lt;&gt;"Serviço",0,IF(AND(AUTOEVENTO="Manual",$M342=1),0,IF(OFFSET(CRONOPLE!$F$14,$M342,BD$13)="",10^12,OFFSET(CRONOPLE!$F$14,$M342,BD$13))))</f>
        <v>1000000000000</v>
      </c>
      <c r="BE342" s="215">
        <f ca="1">IF($D342&lt;&gt;"Serviço",0,IF(AND(AUTOEVENTO="Manual",$M342=1),0,IF(OFFSET(CRONOPLE!$F$14,$M342,BE$13)="",10^12,OFFSET(CRONOPLE!$F$14,$M342,BE$13))))</f>
        <v>1000000000000</v>
      </c>
      <c r="BF342" s="215">
        <f ca="1">IF($D342&lt;&gt;"Serviço",0,IF(AND(AUTOEVENTO="Manual",$M342=1),0,IF(OFFSET(CRONOPLE!$F$14,$M342,BF$13)="",10^12,OFFSET(CRONOPLE!$F$14,$M342,BF$13))))</f>
        <v>1000000000000</v>
      </c>
      <c r="BG342" s="215">
        <f ca="1">IF($D342&lt;&gt;"Serviço",0,IF(AND(AUTOEVENTO="Manual",$M342=1),0,IF(OFFSET(CRONOPLE!$F$14,$M342,BG$13)="",10^12,OFFSET(CRONOPLE!$F$14,$M342,BG$13))))</f>
        <v>1000000000000</v>
      </c>
      <c r="BH342" s="215">
        <f ca="1">IF($D342&lt;&gt;"Serviço",0,IF(AND(AUTOEVENTO="Manual",$M342=1),0,IF(OFFSET(CRONOPLE!$F$14,$M342,BH$13)="",10^12,OFFSET(CRONOPLE!$F$14,$M342,BH$13))))</f>
        <v>1000000000000</v>
      </c>
      <c r="BI342" s="215">
        <f ca="1">IF($D342&lt;&gt;"Serviço",0,IF(AND(AUTOEVENTO="Manual",$M342=1),0,IF(OFFSET(CRONOPLE!$F$14,$M342,BI$13)="",10^12,OFFSET(CRONOPLE!$F$14,$M342,BI$13))))</f>
        <v>1000000000000</v>
      </c>
      <c r="BJ342" s="215">
        <f ca="1">IF($D342&lt;&gt;"Serviço",0,IF(AND(AUTOEVENTO="Manual",$M342=1),0,IF(OFFSET(CRONOPLE!$F$14,$M342,BJ$13)="",10^12,OFFSET(CRONOPLE!$F$14,$M342,BJ$13))))</f>
        <v>1000000000000</v>
      </c>
      <c r="BK342" s="215">
        <f ca="1">IF($D342&lt;&gt;"Serviço",0,IF(AND(AUTOEVENTO="Manual",$M342=1),0,IF(OFFSET(CRONOPLE!$F$14,$M342,BK$13)="",10^12,OFFSET(CRONOPLE!$F$14,$M342,BK$13))))</f>
        <v>1000000000000</v>
      </c>
      <c r="BL342" s="215">
        <f ca="1">IF($D342&lt;&gt;"Serviço",0,IF(AND(AUTOEVENTO="Manual",$M342=1),0,IF(OFFSET(CRONOPLE!$F$14,$M342,BL$13)="",10^12,OFFSET(CRONOPLE!$F$14,$M342,BL$13))))</f>
        <v>1000000000000</v>
      </c>
      <c r="BM342" s="215">
        <f ca="1">IF($D342&lt;&gt;"Serviço",0,IF(AND(AUTOEVENTO="Manual",$M342=1),0,IF(OFFSET(CRONOPLE!$F$14,$M342,BM$13)="",10^12,OFFSET(CRONOPLE!$F$14,$M342,BM$13))))</f>
        <v>1000000000000</v>
      </c>
      <c r="BN342" s="215">
        <f ca="1">IF($D342&lt;&gt;"Serviço",0,IF(AND(AUTOEVENTO="Manual",$M342=1),0,IF(OFFSET(CRONOPLE!$F$14,$M342,BN$13)="",10^12,OFFSET(CRONOPLE!$F$14,$M342,BN$13))))</f>
        <v>1000000000000</v>
      </c>
      <c r="BO342" s="215">
        <f ca="1">IF($D342&lt;&gt;"Serviço",0,IF(AND(AUTOEVENTO="Manual",$M342=1),0,IF(OFFSET(CRONOPLE!$F$14,$M342,BO$13)="",10^12,OFFSET(CRONOPLE!$F$14,$M342,BO$13))))</f>
        <v>1000000000000</v>
      </c>
      <c r="BP342" s="215">
        <f ca="1">IF($D342&lt;&gt;"Serviço",0,IF(AND(AUTOEVENTO="Manual",$M342=1),0,IF(OFFSET(CRONOPLE!$F$14,$M342,BP$13)="",10^12,OFFSET(CRONOPLE!$F$14,$M342,BP$13))))</f>
        <v>1000000000000</v>
      </c>
      <c r="BQ342" s="215">
        <f ca="1">IF($D342&lt;&gt;"Serviço",0,IF(AND(AUTOEVENTO="Manual",$M342=1),0,IF(OFFSET(CRONOPLE!$F$14,$M342,BQ$13)="",10^12,OFFSET(CRONOPLE!$F$14,$M342,BQ$13))))</f>
        <v>1000000000000</v>
      </c>
      <c r="BR342" s="215">
        <f ca="1">IF($D342&lt;&gt;"Serviço",0,IF(AND(AUTOEVENTO="Manual",$M342=1),0,IF(OFFSET(CRONOPLE!$F$14,$M342,BR$13)="",10^12,OFFSET(CRONOPLE!$F$14,$M342,BR$13))))</f>
        <v>1000000000000</v>
      </c>
      <c r="BS342" s="215">
        <f ca="1">IF($D342&lt;&gt;"Serviço",0,IF(AND(AUTOEVENTO="Manual",$M342=1),0,IF(OFFSET(CRONOPLE!$F$14,$M342,BS$13)="",10^12,OFFSET(CRONOPLE!$F$14,$M342,BS$13))))</f>
        <v>1000000000000</v>
      </c>
      <c r="BT342" s="215">
        <f ca="1">IF($D342&lt;&gt;"Serviço",0,IF(AND(AUTOEVENTO="Manual",$M342=1),0,IF(OFFSET(CRONOPLE!$F$14,$M342,BT$13)="",10^12,OFFSET(CRONOPLE!$F$14,$M342,BT$13))))</f>
        <v>1000000000000</v>
      </c>
      <c r="BV342" s="216">
        <f ca="1">IF($D342&lt;&gt;"Serviço",0,IF(OR(AND(AUTOEVENTO="Manual",$M342=1),$M342&gt;(ROW(PLE.lastrow)-ROW(PLE.firstrow))),0,IF(OFFSET(PLE!$G$14,$M342,BV$13)="",10^12,OFFSET(PLE!$G$14,$M342,BV$13))))</f>
        <v>1000000000000</v>
      </c>
      <c r="BW342" s="216">
        <f ca="1">IF($D342&lt;&gt;"Serviço",0,IF(OR(AND(AUTOEVENTO="Manual",$M342=1),$M342&gt;(ROW(PLE.lastrow)-ROW(PLE.firstrow))),0,IF(OFFSET(PLE!$G$14,$M342,BW$13)="",10^12,OFFSET(PLE!$G$14,$M342,BW$13))))</f>
        <v>1000000000000</v>
      </c>
      <c r="BX342" s="216">
        <f ca="1">IF($D342&lt;&gt;"Serviço",0,IF(OR(AND(AUTOEVENTO="Manual",$M342=1),$M342&gt;(ROW(PLE.lastrow)-ROW(PLE.firstrow))),0,IF(OFFSET(PLE!$G$14,$M342,BX$13)="",10^12,OFFSET(PLE!$G$14,$M342,BX$13))))</f>
        <v>1000000000000</v>
      </c>
      <c r="BY342" s="216">
        <f ca="1">IF($D342&lt;&gt;"Serviço",0,IF(OR(AND(AUTOEVENTO="Manual",$M342=1),$M342&gt;(ROW(PLE.lastrow)-ROW(PLE.firstrow))),0,IF(OFFSET(PLE!$G$14,$M342,BY$13)="",10^12,OFFSET(PLE!$G$14,$M342,BY$13))))</f>
        <v>1000000000000</v>
      </c>
      <c r="BZ342" s="216">
        <f ca="1">IF($D342&lt;&gt;"Serviço",0,IF(OR(AND(AUTOEVENTO="Manual",$M342=1),$M342&gt;(ROW(PLE.lastrow)-ROW(PLE.firstrow))),0,IF(OFFSET(PLE!$G$14,$M342,BZ$13)="",10^12,OFFSET(PLE!$G$14,$M342,BZ$13))))</f>
        <v>1000000000000</v>
      </c>
      <c r="CA342" s="216">
        <f ca="1">IF($D342&lt;&gt;"Serviço",0,IF(OR(AND(AUTOEVENTO="Manual",$M342=1),$M342&gt;(ROW(PLE.lastrow)-ROW(PLE.firstrow))),0,IF(OFFSET(PLE!$G$14,$M342,CA$13)="",10^12,OFFSET(PLE!$G$14,$M342,CA$13))))</f>
        <v>1000000000000</v>
      </c>
      <c r="CB342" s="216">
        <f ca="1">IF($D342&lt;&gt;"Serviço",0,IF(OR(AND(AUTOEVENTO="Manual",$M342=1),$M342&gt;(ROW(PLE.lastrow)-ROW(PLE.firstrow))),0,IF(OFFSET(PLE!$G$14,$M342,CB$13)="",10^12,OFFSET(PLE!$G$14,$M342,CB$13))))</f>
        <v>1000000000000</v>
      </c>
      <c r="CC342" s="216">
        <f ca="1">IF($D342&lt;&gt;"Serviço",0,IF(OR(AND(AUTOEVENTO="Manual",$M342=1),$M342&gt;(ROW(PLE.lastrow)-ROW(PLE.firstrow))),0,IF(OFFSET(PLE!$G$14,$M342,CC$13)="",10^12,OFFSET(PLE!$G$14,$M342,CC$13))))</f>
        <v>1000000000000</v>
      </c>
      <c r="CD342" s="216">
        <f ca="1">IF($D342&lt;&gt;"Serviço",0,IF(OR(AND(AUTOEVENTO="Manual",$M342=1),$M342&gt;(ROW(PLE.lastrow)-ROW(PLE.firstrow))),0,IF(OFFSET(PLE!$G$14,$M342,CD$13)="",10^12,OFFSET(PLE!$G$14,$M342,CD$13))))</f>
        <v>1000000000000</v>
      </c>
      <c r="CE342" s="216">
        <f ca="1">IF($D342&lt;&gt;"Serviço",0,IF(OR(AND(AUTOEVENTO="Manual",$M342=1),$M342&gt;(ROW(PLE.lastrow)-ROW(PLE.firstrow))),0,IF(OFFSET(PLE!$G$14,$M342,CE$13)="",10^12,OFFSET(PLE!$G$14,$M342,CE$13))))</f>
        <v>1000000000000</v>
      </c>
      <c r="CF342" s="216">
        <f ca="1">IF($D342&lt;&gt;"Serviço",0,IF(OR(AND(AUTOEVENTO="Manual",$M342=1),$M342&gt;(ROW(PLE.lastrow)-ROW(PLE.firstrow))),0,IF(OFFSET(PLE!$G$14,$M342,CF$13)="",10^12,OFFSET(PLE!$G$14,$M342,CF$13))))</f>
        <v>1000000000000</v>
      </c>
      <c r="CG342" s="216">
        <f ca="1">IF($D342&lt;&gt;"Serviço",0,IF(OR(AND(AUTOEVENTO="Manual",$M342=1),$M342&gt;(ROW(PLE.lastrow)-ROW(PLE.firstrow))),0,IF(OFFSET(PLE!$G$14,$M342,CG$13)="",10^12,OFFSET(PLE!$G$14,$M342,CG$13))))</f>
        <v>1000000000000</v>
      </c>
      <c r="CH342" s="216">
        <f ca="1">IF($D342&lt;&gt;"Serviço",0,IF(OR(AND(AUTOEVENTO="Manual",$M342=1),$M342&gt;(ROW(PLE.lastrow)-ROW(PLE.firstrow))),0,IF(OFFSET(PLE!$G$14,$M342,CH$13)="",10^12,OFFSET(PLE!$G$14,$M342,CH$13))))</f>
        <v>1000000000000</v>
      </c>
      <c r="CI342" s="216">
        <f ca="1">IF($D342&lt;&gt;"Serviço",0,IF(OR(AND(AUTOEVENTO="Manual",$M342=1),$M342&gt;(ROW(PLE.lastrow)-ROW(PLE.firstrow))),0,IF(OFFSET(PLE!$G$14,$M342,CI$13)="",10^12,OFFSET(PLE!$G$14,$M342,CI$13))))</f>
        <v>1000000000000</v>
      </c>
      <c r="CJ342" s="216">
        <f ca="1">IF($D342&lt;&gt;"Serviço",0,IF(OR(AND(AUTOEVENTO="Manual",$M342=1),$M342&gt;(ROW(PLE.lastrow)-ROW(PLE.firstrow))),0,IF(OFFSET(PLE!$G$14,$M342,CJ$13)="",10^12,OFFSET(PLE!$G$14,$M342,CJ$13))))</f>
        <v>1000000000000</v>
      </c>
      <c r="CK342" s="216">
        <f ca="1">IF($D342&lt;&gt;"Serviço",0,IF(OR(AND(AUTOEVENTO="Manual",$M342=1),$M342&gt;(ROW(PLE.lastrow)-ROW(PLE.firstrow))),0,IF(OFFSET(PLE!$G$14,$M342,CK$13)="",10^12,OFFSET(PLE!$G$14,$M342,CK$13))))</f>
        <v>1000000000000</v>
      </c>
      <c r="CL342" s="216">
        <f ca="1">IF($D342&lt;&gt;"Serviço",0,IF(OR(AND(AUTOEVENTO="Manual",$M342=1),$M342&gt;(ROW(PLE.lastrow)-ROW(PLE.firstrow))),0,IF(OFFSET(PLE!$G$14,$M342,CL$13)="",10^12,OFFSET(PLE!$G$14,$M342,CL$13))))</f>
        <v>1000000000000</v>
      </c>
      <c r="CM342" s="216">
        <f ca="1">IF($D342&lt;&gt;"Serviço",0,IF(OR(AND(AUTOEVENTO="Manual",$M342=1),$M342&gt;(ROW(PLE.lastrow)-ROW(PLE.firstrow))),0,IF(OFFSET(PLE!$G$14,$M342,CM$13)="",10^12,OFFSET(PLE!$G$14,$M342,CM$13))))</f>
        <v>1000000000000</v>
      </c>
    </row>
    <row r="343" spans="1:91" ht="13.2" x14ac:dyDescent="0.25">
      <c r="A343" s="9">
        <f t="shared" ca="1" si="14"/>
        <v>0</v>
      </c>
      <c r="B343" s="9" t="str">
        <f ca="1">OFFSET(ORÇAMENTO!C$15,ROW(B343)-ROW(B$15),0)</f>
        <v>S</v>
      </c>
      <c r="C343" s="9" t="str">
        <f ca="1">OFFSET(ORÇAMENTO!L$15,ROW(C343)-ROW(C$15),0)</f>
        <v/>
      </c>
      <c r="D343" s="145" t="str">
        <f ca="1">OFFSET(ORÇAMENTO!N$15,ROW(D343)-ROW(D$15),0)</f>
        <v>Serviço</v>
      </c>
      <c r="E343" s="205" t="str">
        <f ca="1">OFFSET(ORÇAMENTO!O$15,ROW(E343)-ROW(E$15),0)</f>
        <v>-</v>
      </c>
      <c r="F343" s="206" t="str">
        <f ca="1">OFFSET(ORÇAMENTO!R$15,ROW(F343)-ROW(F$15),0)</f>
        <v>(abra o arquivo 'Referência 05-2024.xls)</v>
      </c>
      <c r="G343" s="207" t="str">
        <f ca="1">IF($D343&lt;&gt;"Serviço","",OFFSET(ORÇAMENTO!S$15,ROW(G343)-ROW(G$15),0))</f>
        <v>-</v>
      </c>
      <c r="H343" s="151">
        <f ca="1">IF($D343&lt;&gt;"Serviço",0,IF(ACOMPANHAMENTO="BM",ROUND(OFFSET(ORÇAMENTO!AJ$15,ROW(H343)-ROW(H$15),0),15-13*ORÇAMENTO!$AF$7),SUMPRODUCT(($Q$12:$AI$12&lt;&gt;"")*ROUND($Q343:$AI343,15-13*ORÇAMENTO!$AF$7))))</f>
        <v>3</v>
      </c>
      <c r="I343" s="650"/>
      <c r="K343" s="208"/>
      <c r="L343" s="209" t="s">
        <v>257</v>
      </c>
      <c r="M343" s="210">
        <f ca="1">IF($D343&lt;&gt;"Serviço","",IF(AUTOEVENTO="manual",$A343,IF(ISERROR(MATCH($A343,$A$15:OFFSET($A343,-1,0),0)),MAX($M$15:OFFSET(M343,-1,0))+1,INDEX($M$15:OFFSET(M343,-1,0),MATCH($A343,$A$15:OFFSET($A343,-1,0),0)))))</f>
        <v>0</v>
      </c>
      <c r="N343" s="211" t="str">
        <f ca="1">IF($D343&lt;&gt;"Serviço","",IF(AUTOEVENTO="Manual",IF($A343=0,"&lt;-- defina o número do agrupador",OFFSET(EVENTOS!$D$14,$A343,0)),OFFSET($F$15,$A343,0)))</f>
        <v>&lt;-- defina o número do agrupador</v>
      </c>
      <c r="O343" s="212"/>
      <c r="Q343" s="212"/>
      <c r="R343" s="213"/>
      <c r="S343" s="213"/>
      <c r="T343" s="213"/>
      <c r="U343" s="213"/>
      <c r="V343" s="213"/>
      <c r="W343" s="213"/>
      <c r="X343" s="213"/>
      <c r="Y343" s="213"/>
      <c r="Z343" s="214"/>
      <c r="AA343" s="213"/>
      <c r="AB343" s="213"/>
      <c r="AC343" s="213"/>
      <c r="AD343" s="213"/>
      <c r="AE343" s="213"/>
      <c r="AF343" s="213"/>
      <c r="AG343" s="213"/>
      <c r="AH343" s="214"/>
      <c r="AJ343" s="631">
        <f ca="1">IF(AND($D343="Serviço",AJ$12&lt;&gt;0,$H343&gt;0,OR(AUTOEVENTO&lt;&gt;"manual",$M343&lt;&gt;1)),ROUND(OFFSET($P343,0,AJ$13),15-13*ORÇAMENTO!$AF$7)/$H343*OFFSET(ORÇAMENTO!$X$15,ROW(AJ343)-ROW(AJ$15),0),0)</f>
        <v>0</v>
      </c>
      <c r="AK343" s="632">
        <f ca="1">IF(AND($D343="Serviço",AK$12&lt;&gt;0,$H343&gt;0,OR(AUTOEVENTO&lt;&gt;"manual",$M343&lt;&gt;1)),ROUND(OFFSET($P343,0,AK$13),15-13*ORÇAMENTO!$AF$7)/$H343*OFFSET(ORÇAMENTO!$X$15,ROW(AK343)-ROW(AK$15),0),0)</f>
        <v>0</v>
      </c>
      <c r="AL343" s="632">
        <f ca="1">IF(AND($D343="Serviço",AL$12&lt;&gt;0,$H343&gt;0,OR(AUTOEVENTO&lt;&gt;"manual",$M343&lt;&gt;1)),ROUND(OFFSET($P343,0,AL$13),15-13*ORÇAMENTO!$AF$7)/$H343*OFFSET(ORÇAMENTO!$X$15,ROW(AL343)-ROW(AL$15),0),0)</f>
        <v>0</v>
      </c>
      <c r="AM343" s="632">
        <f ca="1">IF(AND($D343="Serviço",AM$12&lt;&gt;0,$H343&gt;0,OR(AUTOEVENTO&lt;&gt;"manual",$M343&lt;&gt;1)),ROUND(OFFSET($P343,0,AM$13),15-13*ORÇAMENTO!$AF$7)/$H343*OFFSET(ORÇAMENTO!$X$15,ROW(AM343)-ROW(AM$15),0),0)</f>
        <v>0</v>
      </c>
      <c r="AN343" s="632">
        <f ca="1">IF(AND($D343="Serviço",AN$12&lt;&gt;0,$H343&gt;0,OR(AUTOEVENTO&lt;&gt;"manual",$M343&lt;&gt;1)),ROUND(OFFSET($P343,0,AN$13),15-13*ORÇAMENTO!$AF$7)/$H343*OFFSET(ORÇAMENTO!$X$15,ROW(AN343)-ROW(AN$15),0),0)</f>
        <v>0</v>
      </c>
      <c r="AO343" s="632">
        <f ca="1">IF(AND($D343="Serviço",AO$12&lt;&gt;0,$H343&gt;0,OR(AUTOEVENTO&lt;&gt;"manual",$M343&lt;&gt;1)),ROUND(OFFSET($P343,0,AO$13),15-13*ORÇAMENTO!$AF$7)/$H343*OFFSET(ORÇAMENTO!$X$15,ROW(AO343)-ROW(AO$15),0),0)</f>
        <v>0</v>
      </c>
      <c r="AP343" s="632">
        <f ca="1">IF(AND($D343="Serviço",AP$12&lt;&gt;0,$H343&gt;0,OR(AUTOEVENTO&lt;&gt;"manual",$M343&lt;&gt;1)),ROUND(OFFSET($P343,0,AP$13),15-13*ORÇAMENTO!$AF$7)/$H343*OFFSET(ORÇAMENTO!$X$15,ROW(AP343)-ROW(AP$15),0),0)</f>
        <v>0</v>
      </c>
      <c r="AQ343" s="632">
        <f ca="1">IF(AND($D343="Serviço",AQ$12&lt;&gt;0,$H343&gt;0,OR(AUTOEVENTO&lt;&gt;"manual",$M343&lt;&gt;1)),ROUND(OFFSET($P343,0,AQ$13),15-13*ORÇAMENTO!$AF$7)/$H343*OFFSET(ORÇAMENTO!$X$15,ROW(AQ343)-ROW(AQ$15),0),0)</f>
        <v>0</v>
      </c>
      <c r="AR343" s="632">
        <f ca="1">IF(AND($D343="Serviço",AR$12&lt;&gt;0,$H343&gt;0,OR(AUTOEVENTO&lt;&gt;"manual",$M343&lt;&gt;1)),ROUND(OFFSET($P343,0,AR$13),15-13*ORÇAMENTO!$AF$7)/$H343*OFFSET(ORÇAMENTO!$X$15,ROW(AR343)-ROW(AR$15),0),0)</f>
        <v>0</v>
      </c>
      <c r="AS343" s="633">
        <f ca="1">IF(AND($D343="Serviço",AS$12&lt;&gt;0,$H343&gt;0,OR(AUTOEVENTO&lt;&gt;"manual",$M343&lt;&gt;1)),ROUND(OFFSET($P343,0,AS$13),15-13*ORÇAMENTO!$AF$7)/$H343*OFFSET(ORÇAMENTO!$X$15,ROW(AS343)-ROW(AS$15),0),0)</f>
        <v>0</v>
      </c>
      <c r="AT343" s="632">
        <f ca="1">IF(AND($D343="Serviço",AT$12&lt;&gt;0,$H343&gt;0,OR(AUTOEVENTO&lt;&gt;"manual",$M343&lt;&gt;1)),ROUND(OFFSET($P343,0,AT$13),15-13*ORÇAMENTO!$AF$7)/$H343*OFFSET(ORÇAMENTO!$X$15,ROW(AT343)-ROW(AT$15),0),0)</f>
        <v>0</v>
      </c>
      <c r="AU343" s="632">
        <f ca="1">IF(AND($D343="Serviço",AU$12&lt;&gt;0,$H343&gt;0,OR(AUTOEVENTO&lt;&gt;"manual",$M343&lt;&gt;1)),ROUND(OFFSET($P343,0,AU$13),15-13*ORÇAMENTO!$AF$7)/$H343*OFFSET(ORÇAMENTO!$X$15,ROW(AU343)-ROW(AU$15),0),0)</f>
        <v>0</v>
      </c>
      <c r="AV343" s="632">
        <f ca="1">IF(AND($D343="Serviço",AV$12&lt;&gt;0,$H343&gt;0,OR(AUTOEVENTO&lt;&gt;"manual",$M343&lt;&gt;1)),ROUND(OFFSET($P343,0,AV$13),15-13*ORÇAMENTO!$AF$7)/$H343*OFFSET(ORÇAMENTO!$X$15,ROW(AV343)-ROW(AV$15),0),0)</f>
        <v>0</v>
      </c>
      <c r="AW343" s="632">
        <f ca="1">IF(AND($D343="Serviço",AW$12&lt;&gt;0,$H343&gt;0,OR(AUTOEVENTO&lt;&gt;"manual",$M343&lt;&gt;1)),ROUND(OFFSET($P343,0,AW$13),15-13*ORÇAMENTO!$AF$7)/$H343*OFFSET(ORÇAMENTO!$X$15,ROW(AW343)-ROW(AW$15),0),0)</f>
        <v>0</v>
      </c>
      <c r="AX343" s="632">
        <f ca="1">IF(AND($D343="Serviço",AX$12&lt;&gt;0,$H343&gt;0,OR(AUTOEVENTO&lt;&gt;"manual",$M343&lt;&gt;1)),ROUND(OFFSET($P343,0,AX$13),15-13*ORÇAMENTO!$AF$7)/$H343*OFFSET(ORÇAMENTO!$X$15,ROW(AX343)-ROW(AX$15),0),0)</f>
        <v>0</v>
      </c>
      <c r="AY343" s="632">
        <f ca="1">IF(AND($D343="Serviço",AY$12&lt;&gt;0,$H343&gt;0,OR(AUTOEVENTO&lt;&gt;"manual",$M343&lt;&gt;1)),ROUND(OFFSET($P343,0,AY$13),15-13*ORÇAMENTO!$AF$7)/$H343*OFFSET(ORÇAMENTO!$X$15,ROW(AY343)-ROW(AY$15),0),0)</f>
        <v>0</v>
      </c>
      <c r="AZ343" s="632">
        <f ca="1">IF(AND($D343="Serviço",AZ$12&lt;&gt;0,$H343&gt;0,OR(AUTOEVENTO&lt;&gt;"manual",$M343&lt;&gt;1)),ROUND(OFFSET($P343,0,AZ$13),15-13*ORÇAMENTO!$AF$7)/$H343*OFFSET(ORÇAMENTO!$X$15,ROW(AZ343)-ROW(AZ$15),0),0)</f>
        <v>0</v>
      </c>
      <c r="BA343" s="633">
        <f ca="1">IF(AND($D343="Serviço",BA$12&lt;&gt;0,$H343&gt;0,OR(AUTOEVENTO&lt;&gt;"manual",$M343&lt;&gt;1)),ROUND(OFFSET($P343,0,BA$13),15-13*ORÇAMENTO!$AF$7)/$H343*OFFSET(ORÇAMENTO!$X$15,ROW(BA343)-ROW(BA$15),0),0)</f>
        <v>0</v>
      </c>
      <c r="BC343" s="215">
        <f ca="1">IF($D343&lt;&gt;"Serviço",0,IF(AND(AUTOEVENTO="Manual",$M343=1),0,IF(OFFSET(CRONOPLE!$F$14,$M343,BC$13)="",10^12,OFFSET(CRONOPLE!$F$14,$M343,BC$13))))</f>
        <v>1000000000000</v>
      </c>
      <c r="BD343" s="215">
        <f ca="1">IF($D343&lt;&gt;"Serviço",0,IF(AND(AUTOEVENTO="Manual",$M343=1),0,IF(OFFSET(CRONOPLE!$F$14,$M343,BD$13)="",10^12,OFFSET(CRONOPLE!$F$14,$M343,BD$13))))</f>
        <v>1000000000000</v>
      </c>
      <c r="BE343" s="215">
        <f ca="1">IF($D343&lt;&gt;"Serviço",0,IF(AND(AUTOEVENTO="Manual",$M343=1),0,IF(OFFSET(CRONOPLE!$F$14,$M343,BE$13)="",10^12,OFFSET(CRONOPLE!$F$14,$M343,BE$13))))</f>
        <v>1000000000000</v>
      </c>
      <c r="BF343" s="215">
        <f ca="1">IF($D343&lt;&gt;"Serviço",0,IF(AND(AUTOEVENTO="Manual",$M343=1),0,IF(OFFSET(CRONOPLE!$F$14,$M343,BF$13)="",10^12,OFFSET(CRONOPLE!$F$14,$M343,BF$13))))</f>
        <v>1000000000000</v>
      </c>
      <c r="BG343" s="215">
        <f ca="1">IF($D343&lt;&gt;"Serviço",0,IF(AND(AUTOEVENTO="Manual",$M343=1),0,IF(OFFSET(CRONOPLE!$F$14,$M343,BG$13)="",10^12,OFFSET(CRONOPLE!$F$14,$M343,BG$13))))</f>
        <v>1000000000000</v>
      </c>
      <c r="BH343" s="215">
        <f ca="1">IF($D343&lt;&gt;"Serviço",0,IF(AND(AUTOEVENTO="Manual",$M343=1),0,IF(OFFSET(CRONOPLE!$F$14,$M343,BH$13)="",10^12,OFFSET(CRONOPLE!$F$14,$M343,BH$13))))</f>
        <v>1000000000000</v>
      </c>
      <c r="BI343" s="215">
        <f ca="1">IF($D343&lt;&gt;"Serviço",0,IF(AND(AUTOEVENTO="Manual",$M343=1),0,IF(OFFSET(CRONOPLE!$F$14,$M343,BI$13)="",10^12,OFFSET(CRONOPLE!$F$14,$M343,BI$13))))</f>
        <v>1000000000000</v>
      </c>
      <c r="BJ343" s="215">
        <f ca="1">IF($D343&lt;&gt;"Serviço",0,IF(AND(AUTOEVENTO="Manual",$M343=1),0,IF(OFFSET(CRONOPLE!$F$14,$M343,BJ$13)="",10^12,OFFSET(CRONOPLE!$F$14,$M343,BJ$13))))</f>
        <v>1000000000000</v>
      </c>
      <c r="BK343" s="215">
        <f ca="1">IF($D343&lt;&gt;"Serviço",0,IF(AND(AUTOEVENTO="Manual",$M343=1),0,IF(OFFSET(CRONOPLE!$F$14,$M343,BK$13)="",10^12,OFFSET(CRONOPLE!$F$14,$M343,BK$13))))</f>
        <v>1000000000000</v>
      </c>
      <c r="BL343" s="215">
        <f ca="1">IF($D343&lt;&gt;"Serviço",0,IF(AND(AUTOEVENTO="Manual",$M343=1),0,IF(OFFSET(CRONOPLE!$F$14,$M343,BL$13)="",10^12,OFFSET(CRONOPLE!$F$14,$M343,BL$13))))</f>
        <v>1000000000000</v>
      </c>
      <c r="BM343" s="215">
        <f ca="1">IF($D343&lt;&gt;"Serviço",0,IF(AND(AUTOEVENTO="Manual",$M343=1),0,IF(OFFSET(CRONOPLE!$F$14,$M343,BM$13)="",10^12,OFFSET(CRONOPLE!$F$14,$M343,BM$13))))</f>
        <v>1000000000000</v>
      </c>
      <c r="BN343" s="215">
        <f ca="1">IF($D343&lt;&gt;"Serviço",0,IF(AND(AUTOEVENTO="Manual",$M343=1),0,IF(OFFSET(CRONOPLE!$F$14,$M343,BN$13)="",10^12,OFFSET(CRONOPLE!$F$14,$M343,BN$13))))</f>
        <v>1000000000000</v>
      </c>
      <c r="BO343" s="215">
        <f ca="1">IF($D343&lt;&gt;"Serviço",0,IF(AND(AUTOEVENTO="Manual",$M343=1),0,IF(OFFSET(CRONOPLE!$F$14,$M343,BO$13)="",10^12,OFFSET(CRONOPLE!$F$14,$M343,BO$13))))</f>
        <v>1000000000000</v>
      </c>
      <c r="BP343" s="215">
        <f ca="1">IF($D343&lt;&gt;"Serviço",0,IF(AND(AUTOEVENTO="Manual",$M343=1),0,IF(OFFSET(CRONOPLE!$F$14,$M343,BP$13)="",10^12,OFFSET(CRONOPLE!$F$14,$M343,BP$13))))</f>
        <v>1000000000000</v>
      </c>
      <c r="BQ343" s="215">
        <f ca="1">IF($D343&lt;&gt;"Serviço",0,IF(AND(AUTOEVENTO="Manual",$M343=1),0,IF(OFFSET(CRONOPLE!$F$14,$M343,BQ$13)="",10^12,OFFSET(CRONOPLE!$F$14,$M343,BQ$13))))</f>
        <v>1000000000000</v>
      </c>
      <c r="BR343" s="215">
        <f ca="1">IF($D343&lt;&gt;"Serviço",0,IF(AND(AUTOEVENTO="Manual",$M343=1),0,IF(OFFSET(CRONOPLE!$F$14,$M343,BR$13)="",10^12,OFFSET(CRONOPLE!$F$14,$M343,BR$13))))</f>
        <v>1000000000000</v>
      </c>
      <c r="BS343" s="215">
        <f ca="1">IF($D343&lt;&gt;"Serviço",0,IF(AND(AUTOEVENTO="Manual",$M343=1),0,IF(OFFSET(CRONOPLE!$F$14,$M343,BS$13)="",10^12,OFFSET(CRONOPLE!$F$14,$M343,BS$13))))</f>
        <v>1000000000000</v>
      </c>
      <c r="BT343" s="215">
        <f ca="1">IF($D343&lt;&gt;"Serviço",0,IF(AND(AUTOEVENTO="Manual",$M343=1),0,IF(OFFSET(CRONOPLE!$F$14,$M343,BT$13)="",10^12,OFFSET(CRONOPLE!$F$14,$M343,BT$13))))</f>
        <v>1000000000000</v>
      </c>
      <c r="BV343" s="216">
        <f ca="1">IF($D343&lt;&gt;"Serviço",0,IF(OR(AND(AUTOEVENTO="Manual",$M343=1),$M343&gt;(ROW(PLE.lastrow)-ROW(PLE.firstrow))),0,IF(OFFSET(PLE!$G$14,$M343,BV$13)="",10^12,OFFSET(PLE!$G$14,$M343,BV$13))))</f>
        <v>1000000000000</v>
      </c>
      <c r="BW343" s="216">
        <f ca="1">IF($D343&lt;&gt;"Serviço",0,IF(OR(AND(AUTOEVENTO="Manual",$M343=1),$M343&gt;(ROW(PLE.lastrow)-ROW(PLE.firstrow))),0,IF(OFFSET(PLE!$G$14,$M343,BW$13)="",10^12,OFFSET(PLE!$G$14,$M343,BW$13))))</f>
        <v>1000000000000</v>
      </c>
      <c r="BX343" s="216">
        <f ca="1">IF($D343&lt;&gt;"Serviço",0,IF(OR(AND(AUTOEVENTO="Manual",$M343=1),$M343&gt;(ROW(PLE.lastrow)-ROW(PLE.firstrow))),0,IF(OFFSET(PLE!$G$14,$M343,BX$13)="",10^12,OFFSET(PLE!$G$14,$M343,BX$13))))</f>
        <v>1000000000000</v>
      </c>
      <c r="BY343" s="216">
        <f ca="1">IF($D343&lt;&gt;"Serviço",0,IF(OR(AND(AUTOEVENTO="Manual",$M343=1),$M343&gt;(ROW(PLE.lastrow)-ROW(PLE.firstrow))),0,IF(OFFSET(PLE!$G$14,$M343,BY$13)="",10^12,OFFSET(PLE!$G$14,$M343,BY$13))))</f>
        <v>1000000000000</v>
      </c>
      <c r="BZ343" s="216">
        <f ca="1">IF($D343&lt;&gt;"Serviço",0,IF(OR(AND(AUTOEVENTO="Manual",$M343=1),$M343&gt;(ROW(PLE.lastrow)-ROW(PLE.firstrow))),0,IF(OFFSET(PLE!$G$14,$M343,BZ$13)="",10^12,OFFSET(PLE!$G$14,$M343,BZ$13))))</f>
        <v>1000000000000</v>
      </c>
      <c r="CA343" s="216">
        <f ca="1">IF($D343&lt;&gt;"Serviço",0,IF(OR(AND(AUTOEVENTO="Manual",$M343=1),$M343&gt;(ROW(PLE.lastrow)-ROW(PLE.firstrow))),0,IF(OFFSET(PLE!$G$14,$M343,CA$13)="",10^12,OFFSET(PLE!$G$14,$M343,CA$13))))</f>
        <v>1000000000000</v>
      </c>
      <c r="CB343" s="216">
        <f ca="1">IF($D343&lt;&gt;"Serviço",0,IF(OR(AND(AUTOEVENTO="Manual",$M343=1),$M343&gt;(ROW(PLE.lastrow)-ROW(PLE.firstrow))),0,IF(OFFSET(PLE!$G$14,$M343,CB$13)="",10^12,OFFSET(PLE!$G$14,$M343,CB$13))))</f>
        <v>1000000000000</v>
      </c>
      <c r="CC343" s="216">
        <f ca="1">IF($D343&lt;&gt;"Serviço",0,IF(OR(AND(AUTOEVENTO="Manual",$M343=1),$M343&gt;(ROW(PLE.lastrow)-ROW(PLE.firstrow))),0,IF(OFFSET(PLE!$G$14,$M343,CC$13)="",10^12,OFFSET(PLE!$G$14,$M343,CC$13))))</f>
        <v>1000000000000</v>
      </c>
      <c r="CD343" s="216">
        <f ca="1">IF($D343&lt;&gt;"Serviço",0,IF(OR(AND(AUTOEVENTO="Manual",$M343=1),$M343&gt;(ROW(PLE.lastrow)-ROW(PLE.firstrow))),0,IF(OFFSET(PLE!$G$14,$M343,CD$13)="",10^12,OFFSET(PLE!$G$14,$M343,CD$13))))</f>
        <v>1000000000000</v>
      </c>
      <c r="CE343" s="216">
        <f ca="1">IF($D343&lt;&gt;"Serviço",0,IF(OR(AND(AUTOEVENTO="Manual",$M343=1),$M343&gt;(ROW(PLE.lastrow)-ROW(PLE.firstrow))),0,IF(OFFSET(PLE!$G$14,$M343,CE$13)="",10^12,OFFSET(PLE!$G$14,$M343,CE$13))))</f>
        <v>1000000000000</v>
      </c>
      <c r="CF343" s="216">
        <f ca="1">IF($D343&lt;&gt;"Serviço",0,IF(OR(AND(AUTOEVENTO="Manual",$M343=1),$M343&gt;(ROW(PLE.lastrow)-ROW(PLE.firstrow))),0,IF(OFFSET(PLE!$G$14,$M343,CF$13)="",10^12,OFFSET(PLE!$G$14,$M343,CF$13))))</f>
        <v>1000000000000</v>
      </c>
      <c r="CG343" s="216">
        <f ca="1">IF($D343&lt;&gt;"Serviço",0,IF(OR(AND(AUTOEVENTO="Manual",$M343=1),$M343&gt;(ROW(PLE.lastrow)-ROW(PLE.firstrow))),0,IF(OFFSET(PLE!$G$14,$M343,CG$13)="",10^12,OFFSET(PLE!$G$14,$M343,CG$13))))</f>
        <v>1000000000000</v>
      </c>
      <c r="CH343" s="216">
        <f ca="1">IF($D343&lt;&gt;"Serviço",0,IF(OR(AND(AUTOEVENTO="Manual",$M343=1),$M343&gt;(ROW(PLE.lastrow)-ROW(PLE.firstrow))),0,IF(OFFSET(PLE!$G$14,$M343,CH$13)="",10^12,OFFSET(PLE!$G$14,$M343,CH$13))))</f>
        <v>1000000000000</v>
      </c>
      <c r="CI343" s="216">
        <f ca="1">IF($D343&lt;&gt;"Serviço",0,IF(OR(AND(AUTOEVENTO="Manual",$M343=1),$M343&gt;(ROW(PLE.lastrow)-ROW(PLE.firstrow))),0,IF(OFFSET(PLE!$G$14,$M343,CI$13)="",10^12,OFFSET(PLE!$G$14,$M343,CI$13))))</f>
        <v>1000000000000</v>
      </c>
      <c r="CJ343" s="216">
        <f ca="1">IF($D343&lt;&gt;"Serviço",0,IF(OR(AND(AUTOEVENTO="Manual",$M343=1),$M343&gt;(ROW(PLE.lastrow)-ROW(PLE.firstrow))),0,IF(OFFSET(PLE!$G$14,$M343,CJ$13)="",10^12,OFFSET(PLE!$G$14,$M343,CJ$13))))</f>
        <v>1000000000000</v>
      </c>
      <c r="CK343" s="216">
        <f ca="1">IF($D343&lt;&gt;"Serviço",0,IF(OR(AND(AUTOEVENTO="Manual",$M343=1),$M343&gt;(ROW(PLE.lastrow)-ROW(PLE.firstrow))),0,IF(OFFSET(PLE!$G$14,$M343,CK$13)="",10^12,OFFSET(PLE!$G$14,$M343,CK$13))))</f>
        <v>1000000000000</v>
      </c>
      <c r="CL343" s="216">
        <f ca="1">IF($D343&lt;&gt;"Serviço",0,IF(OR(AND(AUTOEVENTO="Manual",$M343=1),$M343&gt;(ROW(PLE.lastrow)-ROW(PLE.firstrow))),0,IF(OFFSET(PLE!$G$14,$M343,CL$13)="",10^12,OFFSET(PLE!$G$14,$M343,CL$13))))</f>
        <v>1000000000000</v>
      </c>
      <c r="CM343" s="216">
        <f ca="1">IF($D343&lt;&gt;"Serviço",0,IF(OR(AND(AUTOEVENTO="Manual",$M343=1),$M343&gt;(ROW(PLE.lastrow)-ROW(PLE.firstrow))),0,IF(OFFSET(PLE!$G$14,$M343,CM$13)="",10^12,OFFSET(PLE!$G$14,$M343,CM$13))))</f>
        <v>1000000000000</v>
      </c>
    </row>
    <row r="344" spans="1:91" ht="13.2" x14ac:dyDescent="0.25">
      <c r="A344" s="9">
        <f t="shared" ca="1" si="14"/>
        <v>0</v>
      </c>
      <c r="B344" s="9" t="str">
        <f ca="1">OFFSET(ORÇAMENTO!C$15,ROW(B344)-ROW(B$15),0)</f>
        <v>S</v>
      </c>
      <c r="C344" s="9" t="str">
        <f ca="1">OFFSET(ORÇAMENTO!L$15,ROW(C344)-ROW(C$15),0)</f>
        <v/>
      </c>
      <c r="D344" s="145" t="str">
        <f ca="1">OFFSET(ORÇAMENTO!N$15,ROW(D344)-ROW(D$15),0)</f>
        <v>Serviço</v>
      </c>
      <c r="E344" s="205" t="str">
        <f ca="1">OFFSET(ORÇAMENTO!O$15,ROW(E344)-ROW(E$15),0)</f>
        <v>-</v>
      </c>
      <c r="F344" s="206" t="str">
        <f ca="1">OFFSET(ORÇAMENTO!R$15,ROW(F344)-ROW(F$15),0)</f>
        <v>(abra o arquivo 'Referência 05-2024.xls)</v>
      </c>
      <c r="G344" s="207" t="str">
        <f ca="1">IF($D344&lt;&gt;"Serviço","",OFFSET(ORÇAMENTO!S$15,ROW(G344)-ROW(G$15),0))</f>
        <v>-</v>
      </c>
      <c r="H344" s="151">
        <f ca="1">IF($D344&lt;&gt;"Serviço",0,IF(ACOMPANHAMENTO="BM",ROUND(OFFSET(ORÇAMENTO!AJ$15,ROW(H344)-ROW(H$15),0),15-13*ORÇAMENTO!$AF$7),SUMPRODUCT(($Q$12:$AI$12&lt;&gt;"")*ROUND($Q344:$AI344,15-13*ORÇAMENTO!$AF$7))))</f>
        <v>13</v>
      </c>
      <c r="I344" s="650"/>
      <c r="K344" s="208"/>
      <c r="L344" s="209" t="s">
        <v>257</v>
      </c>
      <c r="M344" s="210">
        <f ca="1">IF($D344&lt;&gt;"Serviço","",IF(AUTOEVENTO="manual",$A344,IF(ISERROR(MATCH($A344,$A$15:OFFSET($A344,-1,0),0)),MAX($M$15:OFFSET(M344,-1,0))+1,INDEX($M$15:OFFSET(M344,-1,0),MATCH($A344,$A$15:OFFSET($A344,-1,0),0)))))</f>
        <v>0</v>
      </c>
      <c r="N344" s="211" t="str">
        <f ca="1">IF($D344&lt;&gt;"Serviço","",IF(AUTOEVENTO="Manual",IF($A344=0,"&lt;-- defina o número do agrupador",OFFSET(EVENTOS!$D$14,$A344,0)),OFFSET($F$15,$A344,0)))</f>
        <v>&lt;-- defina o número do agrupador</v>
      </c>
      <c r="O344" s="212"/>
      <c r="Q344" s="212"/>
      <c r="R344" s="213"/>
      <c r="S344" s="213"/>
      <c r="T344" s="213"/>
      <c r="U344" s="213"/>
      <c r="V344" s="213"/>
      <c r="W344" s="213"/>
      <c r="X344" s="213"/>
      <c r="Y344" s="213"/>
      <c r="Z344" s="214"/>
      <c r="AA344" s="213"/>
      <c r="AB344" s="213"/>
      <c r="AC344" s="213"/>
      <c r="AD344" s="213"/>
      <c r="AE344" s="213"/>
      <c r="AF344" s="213"/>
      <c r="AG344" s="213"/>
      <c r="AH344" s="214"/>
      <c r="AJ344" s="631">
        <f ca="1">IF(AND($D344="Serviço",AJ$12&lt;&gt;0,$H344&gt;0,OR(AUTOEVENTO&lt;&gt;"manual",$M344&lt;&gt;1)),ROUND(OFFSET($P344,0,AJ$13),15-13*ORÇAMENTO!$AF$7)/$H344*OFFSET(ORÇAMENTO!$X$15,ROW(AJ344)-ROW(AJ$15),0),0)</f>
        <v>0</v>
      </c>
      <c r="AK344" s="632">
        <f ca="1">IF(AND($D344="Serviço",AK$12&lt;&gt;0,$H344&gt;0,OR(AUTOEVENTO&lt;&gt;"manual",$M344&lt;&gt;1)),ROUND(OFFSET($P344,0,AK$13),15-13*ORÇAMENTO!$AF$7)/$H344*OFFSET(ORÇAMENTO!$X$15,ROW(AK344)-ROW(AK$15),0),0)</f>
        <v>0</v>
      </c>
      <c r="AL344" s="632">
        <f ca="1">IF(AND($D344="Serviço",AL$12&lt;&gt;0,$H344&gt;0,OR(AUTOEVENTO&lt;&gt;"manual",$M344&lt;&gt;1)),ROUND(OFFSET($P344,0,AL$13),15-13*ORÇAMENTO!$AF$7)/$H344*OFFSET(ORÇAMENTO!$X$15,ROW(AL344)-ROW(AL$15),0),0)</f>
        <v>0</v>
      </c>
      <c r="AM344" s="632">
        <f ca="1">IF(AND($D344="Serviço",AM$12&lt;&gt;0,$H344&gt;0,OR(AUTOEVENTO&lt;&gt;"manual",$M344&lt;&gt;1)),ROUND(OFFSET($P344,0,AM$13),15-13*ORÇAMENTO!$AF$7)/$H344*OFFSET(ORÇAMENTO!$X$15,ROW(AM344)-ROW(AM$15),0),0)</f>
        <v>0</v>
      </c>
      <c r="AN344" s="632">
        <f ca="1">IF(AND($D344="Serviço",AN$12&lt;&gt;0,$H344&gt;0,OR(AUTOEVENTO&lt;&gt;"manual",$M344&lt;&gt;1)),ROUND(OFFSET($P344,0,AN$13),15-13*ORÇAMENTO!$AF$7)/$H344*OFFSET(ORÇAMENTO!$X$15,ROW(AN344)-ROW(AN$15),0),0)</f>
        <v>0</v>
      </c>
      <c r="AO344" s="632">
        <f ca="1">IF(AND($D344="Serviço",AO$12&lt;&gt;0,$H344&gt;0,OR(AUTOEVENTO&lt;&gt;"manual",$M344&lt;&gt;1)),ROUND(OFFSET($P344,0,AO$13),15-13*ORÇAMENTO!$AF$7)/$H344*OFFSET(ORÇAMENTO!$X$15,ROW(AO344)-ROW(AO$15),0),0)</f>
        <v>0</v>
      </c>
      <c r="AP344" s="632">
        <f ca="1">IF(AND($D344="Serviço",AP$12&lt;&gt;0,$H344&gt;0,OR(AUTOEVENTO&lt;&gt;"manual",$M344&lt;&gt;1)),ROUND(OFFSET($P344,0,AP$13),15-13*ORÇAMENTO!$AF$7)/$H344*OFFSET(ORÇAMENTO!$X$15,ROW(AP344)-ROW(AP$15),0),0)</f>
        <v>0</v>
      </c>
      <c r="AQ344" s="632">
        <f ca="1">IF(AND($D344="Serviço",AQ$12&lt;&gt;0,$H344&gt;0,OR(AUTOEVENTO&lt;&gt;"manual",$M344&lt;&gt;1)),ROUND(OFFSET($P344,0,AQ$13),15-13*ORÇAMENTO!$AF$7)/$H344*OFFSET(ORÇAMENTO!$X$15,ROW(AQ344)-ROW(AQ$15),0),0)</f>
        <v>0</v>
      </c>
      <c r="AR344" s="632">
        <f ca="1">IF(AND($D344="Serviço",AR$12&lt;&gt;0,$H344&gt;0,OR(AUTOEVENTO&lt;&gt;"manual",$M344&lt;&gt;1)),ROUND(OFFSET($P344,0,AR$13),15-13*ORÇAMENTO!$AF$7)/$H344*OFFSET(ORÇAMENTO!$X$15,ROW(AR344)-ROW(AR$15),0),0)</f>
        <v>0</v>
      </c>
      <c r="AS344" s="633">
        <f ca="1">IF(AND($D344="Serviço",AS$12&lt;&gt;0,$H344&gt;0,OR(AUTOEVENTO&lt;&gt;"manual",$M344&lt;&gt;1)),ROUND(OFFSET($P344,0,AS$13),15-13*ORÇAMENTO!$AF$7)/$H344*OFFSET(ORÇAMENTO!$X$15,ROW(AS344)-ROW(AS$15),0),0)</f>
        <v>0</v>
      </c>
      <c r="AT344" s="632">
        <f ca="1">IF(AND($D344="Serviço",AT$12&lt;&gt;0,$H344&gt;0,OR(AUTOEVENTO&lt;&gt;"manual",$M344&lt;&gt;1)),ROUND(OFFSET($P344,0,AT$13),15-13*ORÇAMENTO!$AF$7)/$H344*OFFSET(ORÇAMENTO!$X$15,ROW(AT344)-ROW(AT$15),0),0)</f>
        <v>0</v>
      </c>
      <c r="AU344" s="632">
        <f ca="1">IF(AND($D344="Serviço",AU$12&lt;&gt;0,$H344&gt;0,OR(AUTOEVENTO&lt;&gt;"manual",$M344&lt;&gt;1)),ROUND(OFFSET($P344,0,AU$13),15-13*ORÇAMENTO!$AF$7)/$H344*OFFSET(ORÇAMENTO!$X$15,ROW(AU344)-ROW(AU$15),0),0)</f>
        <v>0</v>
      </c>
      <c r="AV344" s="632">
        <f ca="1">IF(AND($D344="Serviço",AV$12&lt;&gt;0,$H344&gt;0,OR(AUTOEVENTO&lt;&gt;"manual",$M344&lt;&gt;1)),ROUND(OFFSET($P344,0,AV$13),15-13*ORÇAMENTO!$AF$7)/$H344*OFFSET(ORÇAMENTO!$X$15,ROW(AV344)-ROW(AV$15),0),0)</f>
        <v>0</v>
      </c>
      <c r="AW344" s="632">
        <f ca="1">IF(AND($D344="Serviço",AW$12&lt;&gt;0,$H344&gt;0,OR(AUTOEVENTO&lt;&gt;"manual",$M344&lt;&gt;1)),ROUND(OFFSET($P344,0,AW$13),15-13*ORÇAMENTO!$AF$7)/$H344*OFFSET(ORÇAMENTO!$X$15,ROW(AW344)-ROW(AW$15),0),0)</f>
        <v>0</v>
      </c>
      <c r="AX344" s="632">
        <f ca="1">IF(AND($D344="Serviço",AX$12&lt;&gt;0,$H344&gt;0,OR(AUTOEVENTO&lt;&gt;"manual",$M344&lt;&gt;1)),ROUND(OFFSET($P344,0,AX$13),15-13*ORÇAMENTO!$AF$7)/$H344*OFFSET(ORÇAMENTO!$X$15,ROW(AX344)-ROW(AX$15),0),0)</f>
        <v>0</v>
      </c>
      <c r="AY344" s="632">
        <f ca="1">IF(AND($D344="Serviço",AY$12&lt;&gt;0,$H344&gt;0,OR(AUTOEVENTO&lt;&gt;"manual",$M344&lt;&gt;1)),ROUND(OFFSET($P344,0,AY$13),15-13*ORÇAMENTO!$AF$7)/$H344*OFFSET(ORÇAMENTO!$X$15,ROW(AY344)-ROW(AY$15),0),0)</f>
        <v>0</v>
      </c>
      <c r="AZ344" s="632">
        <f ca="1">IF(AND($D344="Serviço",AZ$12&lt;&gt;0,$H344&gt;0,OR(AUTOEVENTO&lt;&gt;"manual",$M344&lt;&gt;1)),ROUND(OFFSET($P344,0,AZ$13),15-13*ORÇAMENTO!$AF$7)/$H344*OFFSET(ORÇAMENTO!$X$15,ROW(AZ344)-ROW(AZ$15),0),0)</f>
        <v>0</v>
      </c>
      <c r="BA344" s="633">
        <f ca="1">IF(AND($D344="Serviço",BA$12&lt;&gt;0,$H344&gt;0,OR(AUTOEVENTO&lt;&gt;"manual",$M344&lt;&gt;1)),ROUND(OFFSET($P344,0,BA$13),15-13*ORÇAMENTO!$AF$7)/$H344*OFFSET(ORÇAMENTO!$X$15,ROW(BA344)-ROW(BA$15),0),0)</f>
        <v>0</v>
      </c>
      <c r="BC344" s="215">
        <f ca="1">IF($D344&lt;&gt;"Serviço",0,IF(AND(AUTOEVENTO="Manual",$M344=1),0,IF(OFFSET(CRONOPLE!$F$14,$M344,BC$13)="",10^12,OFFSET(CRONOPLE!$F$14,$M344,BC$13))))</f>
        <v>1000000000000</v>
      </c>
      <c r="BD344" s="215">
        <f ca="1">IF($D344&lt;&gt;"Serviço",0,IF(AND(AUTOEVENTO="Manual",$M344=1),0,IF(OFFSET(CRONOPLE!$F$14,$M344,BD$13)="",10^12,OFFSET(CRONOPLE!$F$14,$M344,BD$13))))</f>
        <v>1000000000000</v>
      </c>
      <c r="BE344" s="215">
        <f ca="1">IF($D344&lt;&gt;"Serviço",0,IF(AND(AUTOEVENTO="Manual",$M344=1),0,IF(OFFSET(CRONOPLE!$F$14,$M344,BE$13)="",10^12,OFFSET(CRONOPLE!$F$14,$M344,BE$13))))</f>
        <v>1000000000000</v>
      </c>
      <c r="BF344" s="215">
        <f ca="1">IF($D344&lt;&gt;"Serviço",0,IF(AND(AUTOEVENTO="Manual",$M344=1),0,IF(OFFSET(CRONOPLE!$F$14,$M344,BF$13)="",10^12,OFFSET(CRONOPLE!$F$14,$M344,BF$13))))</f>
        <v>1000000000000</v>
      </c>
      <c r="BG344" s="215">
        <f ca="1">IF($D344&lt;&gt;"Serviço",0,IF(AND(AUTOEVENTO="Manual",$M344=1),0,IF(OFFSET(CRONOPLE!$F$14,$M344,BG$13)="",10^12,OFFSET(CRONOPLE!$F$14,$M344,BG$13))))</f>
        <v>1000000000000</v>
      </c>
      <c r="BH344" s="215">
        <f ca="1">IF($D344&lt;&gt;"Serviço",0,IF(AND(AUTOEVENTO="Manual",$M344=1),0,IF(OFFSET(CRONOPLE!$F$14,$M344,BH$13)="",10^12,OFFSET(CRONOPLE!$F$14,$M344,BH$13))))</f>
        <v>1000000000000</v>
      </c>
      <c r="BI344" s="215">
        <f ca="1">IF($D344&lt;&gt;"Serviço",0,IF(AND(AUTOEVENTO="Manual",$M344=1),0,IF(OFFSET(CRONOPLE!$F$14,$M344,BI$13)="",10^12,OFFSET(CRONOPLE!$F$14,$M344,BI$13))))</f>
        <v>1000000000000</v>
      </c>
      <c r="BJ344" s="215">
        <f ca="1">IF($D344&lt;&gt;"Serviço",0,IF(AND(AUTOEVENTO="Manual",$M344=1),0,IF(OFFSET(CRONOPLE!$F$14,$M344,BJ$13)="",10^12,OFFSET(CRONOPLE!$F$14,$M344,BJ$13))))</f>
        <v>1000000000000</v>
      </c>
      <c r="BK344" s="215">
        <f ca="1">IF($D344&lt;&gt;"Serviço",0,IF(AND(AUTOEVENTO="Manual",$M344=1),0,IF(OFFSET(CRONOPLE!$F$14,$M344,BK$13)="",10^12,OFFSET(CRONOPLE!$F$14,$M344,BK$13))))</f>
        <v>1000000000000</v>
      </c>
      <c r="BL344" s="215">
        <f ca="1">IF($D344&lt;&gt;"Serviço",0,IF(AND(AUTOEVENTO="Manual",$M344=1),0,IF(OFFSET(CRONOPLE!$F$14,$M344,BL$13)="",10^12,OFFSET(CRONOPLE!$F$14,$M344,BL$13))))</f>
        <v>1000000000000</v>
      </c>
      <c r="BM344" s="215">
        <f ca="1">IF($D344&lt;&gt;"Serviço",0,IF(AND(AUTOEVENTO="Manual",$M344=1),0,IF(OFFSET(CRONOPLE!$F$14,$M344,BM$13)="",10^12,OFFSET(CRONOPLE!$F$14,$M344,BM$13))))</f>
        <v>1000000000000</v>
      </c>
      <c r="BN344" s="215">
        <f ca="1">IF($D344&lt;&gt;"Serviço",0,IF(AND(AUTOEVENTO="Manual",$M344=1),0,IF(OFFSET(CRONOPLE!$F$14,$M344,BN$13)="",10^12,OFFSET(CRONOPLE!$F$14,$M344,BN$13))))</f>
        <v>1000000000000</v>
      </c>
      <c r="BO344" s="215">
        <f ca="1">IF($D344&lt;&gt;"Serviço",0,IF(AND(AUTOEVENTO="Manual",$M344=1),0,IF(OFFSET(CRONOPLE!$F$14,$M344,BO$13)="",10^12,OFFSET(CRONOPLE!$F$14,$M344,BO$13))))</f>
        <v>1000000000000</v>
      </c>
      <c r="BP344" s="215">
        <f ca="1">IF($D344&lt;&gt;"Serviço",0,IF(AND(AUTOEVENTO="Manual",$M344=1),0,IF(OFFSET(CRONOPLE!$F$14,$M344,BP$13)="",10^12,OFFSET(CRONOPLE!$F$14,$M344,BP$13))))</f>
        <v>1000000000000</v>
      </c>
      <c r="BQ344" s="215">
        <f ca="1">IF($D344&lt;&gt;"Serviço",0,IF(AND(AUTOEVENTO="Manual",$M344=1),0,IF(OFFSET(CRONOPLE!$F$14,$M344,BQ$13)="",10^12,OFFSET(CRONOPLE!$F$14,$M344,BQ$13))))</f>
        <v>1000000000000</v>
      </c>
      <c r="BR344" s="215">
        <f ca="1">IF($D344&lt;&gt;"Serviço",0,IF(AND(AUTOEVENTO="Manual",$M344=1),0,IF(OFFSET(CRONOPLE!$F$14,$M344,BR$13)="",10^12,OFFSET(CRONOPLE!$F$14,$M344,BR$13))))</f>
        <v>1000000000000</v>
      </c>
      <c r="BS344" s="215">
        <f ca="1">IF($D344&lt;&gt;"Serviço",0,IF(AND(AUTOEVENTO="Manual",$M344=1),0,IF(OFFSET(CRONOPLE!$F$14,$M344,BS$13)="",10^12,OFFSET(CRONOPLE!$F$14,$M344,BS$13))))</f>
        <v>1000000000000</v>
      </c>
      <c r="BT344" s="215">
        <f ca="1">IF($D344&lt;&gt;"Serviço",0,IF(AND(AUTOEVENTO="Manual",$M344=1),0,IF(OFFSET(CRONOPLE!$F$14,$M344,BT$13)="",10^12,OFFSET(CRONOPLE!$F$14,$M344,BT$13))))</f>
        <v>1000000000000</v>
      </c>
      <c r="BV344" s="216">
        <f ca="1">IF($D344&lt;&gt;"Serviço",0,IF(OR(AND(AUTOEVENTO="Manual",$M344=1),$M344&gt;(ROW(PLE.lastrow)-ROW(PLE.firstrow))),0,IF(OFFSET(PLE!$G$14,$M344,BV$13)="",10^12,OFFSET(PLE!$G$14,$M344,BV$13))))</f>
        <v>1000000000000</v>
      </c>
      <c r="BW344" s="216">
        <f ca="1">IF($D344&lt;&gt;"Serviço",0,IF(OR(AND(AUTOEVENTO="Manual",$M344=1),$M344&gt;(ROW(PLE.lastrow)-ROW(PLE.firstrow))),0,IF(OFFSET(PLE!$G$14,$M344,BW$13)="",10^12,OFFSET(PLE!$G$14,$M344,BW$13))))</f>
        <v>1000000000000</v>
      </c>
      <c r="BX344" s="216">
        <f ca="1">IF($D344&lt;&gt;"Serviço",0,IF(OR(AND(AUTOEVENTO="Manual",$M344=1),$M344&gt;(ROW(PLE.lastrow)-ROW(PLE.firstrow))),0,IF(OFFSET(PLE!$G$14,$M344,BX$13)="",10^12,OFFSET(PLE!$G$14,$M344,BX$13))))</f>
        <v>1000000000000</v>
      </c>
      <c r="BY344" s="216">
        <f ca="1">IF($D344&lt;&gt;"Serviço",0,IF(OR(AND(AUTOEVENTO="Manual",$M344=1),$M344&gt;(ROW(PLE.lastrow)-ROW(PLE.firstrow))),0,IF(OFFSET(PLE!$G$14,$M344,BY$13)="",10^12,OFFSET(PLE!$G$14,$M344,BY$13))))</f>
        <v>1000000000000</v>
      </c>
      <c r="BZ344" s="216">
        <f ca="1">IF($D344&lt;&gt;"Serviço",0,IF(OR(AND(AUTOEVENTO="Manual",$M344=1),$M344&gt;(ROW(PLE.lastrow)-ROW(PLE.firstrow))),0,IF(OFFSET(PLE!$G$14,$M344,BZ$13)="",10^12,OFFSET(PLE!$G$14,$M344,BZ$13))))</f>
        <v>1000000000000</v>
      </c>
      <c r="CA344" s="216">
        <f ca="1">IF($D344&lt;&gt;"Serviço",0,IF(OR(AND(AUTOEVENTO="Manual",$M344=1),$M344&gt;(ROW(PLE.lastrow)-ROW(PLE.firstrow))),0,IF(OFFSET(PLE!$G$14,$M344,CA$13)="",10^12,OFFSET(PLE!$G$14,$M344,CA$13))))</f>
        <v>1000000000000</v>
      </c>
      <c r="CB344" s="216">
        <f ca="1">IF($D344&lt;&gt;"Serviço",0,IF(OR(AND(AUTOEVENTO="Manual",$M344=1),$M344&gt;(ROW(PLE.lastrow)-ROW(PLE.firstrow))),0,IF(OFFSET(PLE!$G$14,$M344,CB$13)="",10^12,OFFSET(PLE!$G$14,$M344,CB$13))))</f>
        <v>1000000000000</v>
      </c>
      <c r="CC344" s="216">
        <f ca="1">IF($D344&lt;&gt;"Serviço",0,IF(OR(AND(AUTOEVENTO="Manual",$M344=1),$M344&gt;(ROW(PLE.lastrow)-ROW(PLE.firstrow))),0,IF(OFFSET(PLE!$G$14,$M344,CC$13)="",10^12,OFFSET(PLE!$G$14,$M344,CC$13))))</f>
        <v>1000000000000</v>
      </c>
      <c r="CD344" s="216">
        <f ca="1">IF($D344&lt;&gt;"Serviço",0,IF(OR(AND(AUTOEVENTO="Manual",$M344=1),$M344&gt;(ROW(PLE.lastrow)-ROW(PLE.firstrow))),0,IF(OFFSET(PLE!$G$14,$M344,CD$13)="",10^12,OFFSET(PLE!$G$14,$M344,CD$13))))</f>
        <v>1000000000000</v>
      </c>
      <c r="CE344" s="216">
        <f ca="1">IF($D344&lt;&gt;"Serviço",0,IF(OR(AND(AUTOEVENTO="Manual",$M344=1),$M344&gt;(ROW(PLE.lastrow)-ROW(PLE.firstrow))),0,IF(OFFSET(PLE!$G$14,$M344,CE$13)="",10^12,OFFSET(PLE!$G$14,$M344,CE$13))))</f>
        <v>1000000000000</v>
      </c>
      <c r="CF344" s="216">
        <f ca="1">IF($D344&lt;&gt;"Serviço",0,IF(OR(AND(AUTOEVENTO="Manual",$M344=1),$M344&gt;(ROW(PLE.lastrow)-ROW(PLE.firstrow))),0,IF(OFFSET(PLE!$G$14,$M344,CF$13)="",10^12,OFFSET(PLE!$G$14,$M344,CF$13))))</f>
        <v>1000000000000</v>
      </c>
      <c r="CG344" s="216">
        <f ca="1">IF($D344&lt;&gt;"Serviço",0,IF(OR(AND(AUTOEVENTO="Manual",$M344=1),$M344&gt;(ROW(PLE.lastrow)-ROW(PLE.firstrow))),0,IF(OFFSET(PLE!$G$14,$M344,CG$13)="",10^12,OFFSET(PLE!$G$14,$M344,CG$13))))</f>
        <v>1000000000000</v>
      </c>
      <c r="CH344" s="216">
        <f ca="1">IF($D344&lt;&gt;"Serviço",0,IF(OR(AND(AUTOEVENTO="Manual",$M344=1),$M344&gt;(ROW(PLE.lastrow)-ROW(PLE.firstrow))),0,IF(OFFSET(PLE!$G$14,$M344,CH$13)="",10^12,OFFSET(PLE!$G$14,$M344,CH$13))))</f>
        <v>1000000000000</v>
      </c>
      <c r="CI344" s="216">
        <f ca="1">IF($D344&lt;&gt;"Serviço",0,IF(OR(AND(AUTOEVENTO="Manual",$M344=1),$M344&gt;(ROW(PLE.lastrow)-ROW(PLE.firstrow))),0,IF(OFFSET(PLE!$G$14,$M344,CI$13)="",10^12,OFFSET(PLE!$G$14,$M344,CI$13))))</f>
        <v>1000000000000</v>
      </c>
      <c r="CJ344" s="216">
        <f ca="1">IF($D344&lt;&gt;"Serviço",0,IF(OR(AND(AUTOEVENTO="Manual",$M344=1),$M344&gt;(ROW(PLE.lastrow)-ROW(PLE.firstrow))),0,IF(OFFSET(PLE!$G$14,$M344,CJ$13)="",10^12,OFFSET(PLE!$G$14,$M344,CJ$13))))</f>
        <v>1000000000000</v>
      </c>
      <c r="CK344" s="216">
        <f ca="1">IF($D344&lt;&gt;"Serviço",0,IF(OR(AND(AUTOEVENTO="Manual",$M344=1),$M344&gt;(ROW(PLE.lastrow)-ROW(PLE.firstrow))),0,IF(OFFSET(PLE!$G$14,$M344,CK$13)="",10^12,OFFSET(PLE!$G$14,$M344,CK$13))))</f>
        <v>1000000000000</v>
      </c>
      <c r="CL344" s="216">
        <f ca="1">IF($D344&lt;&gt;"Serviço",0,IF(OR(AND(AUTOEVENTO="Manual",$M344=1),$M344&gt;(ROW(PLE.lastrow)-ROW(PLE.firstrow))),0,IF(OFFSET(PLE!$G$14,$M344,CL$13)="",10^12,OFFSET(PLE!$G$14,$M344,CL$13))))</f>
        <v>1000000000000</v>
      </c>
      <c r="CM344" s="216">
        <f ca="1">IF($D344&lt;&gt;"Serviço",0,IF(OR(AND(AUTOEVENTO="Manual",$M344=1),$M344&gt;(ROW(PLE.lastrow)-ROW(PLE.firstrow))),0,IF(OFFSET(PLE!$G$14,$M344,CM$13)="",10^12,OFFSET(PLE!$G$14,$M344,CM$13))))</f>
        <v>1000000000000</v>
      </c>
    </row>
    <row r="345" spans="1:91" ht="13.2" x14ac:dyDescent="0.25">
      <c r="A345" s="9">
        <f t="shared" ca="1" si="14"/>
        <v>0</v>
      </c>
      <c r="B345" s="9" t="str">
        <f ca="1">OFFSET(ORÇAMENTO!C$15,ROW(B345)-ROW(B$15),0)</f>
        <v>S</v>
      </c>
      <c r="C345" s="9" t="str">
        <f ca="1">OFFSET(ORÇAMENTO!L$15,ROW(C345)-ROW(C$15),0)</f>
        <v/>
      </c>
      <c r="D345" s="145" t="str">
        <f ca="1">OFFSET(ORÇAMENTO!N$15,ROW(D345)-ROW(D$15),0)</f>
        <v>Serviço</v>
      </c>
      <c r="E345" s="205" t="str">
        <f ca="1">OFFSET(ORÇAMENTO!O$15,ROW(E345)-ROW(E$15),0)</f>
        <v>-</v>
      </c>
      <c r="F345" s="206" t="str">
        <f ca="1">OFFSET(ORÇAMENTO!R$15,ROW(F345)-ROW(F$15),0)</f>
        <v>(abra o arquivo 'Referência 05-2024.xls)</v>
      </c>
      <c r="G345" s="207" t="str">
        <f ca="1">IF($D345&lt;&gt;"Serviço","",OFFSET(ORÇAMENTO!S$15,ROW(G345)-ROW(G$15),0))</f>
        <v>-</v>
      </c>
      <c r="H345" s="151">
        <f ca="1">IF($D345&lt;&gt;"Serviço",0,IF(ACOMPANHAMENTO="BM",ROUND(OFFSET(ORÇAMENTO!AJ$15,ROW(H345)-ROW(H$15),0),15-13*ORÇAMENTO!$AF$7),SUMPRODUCT(($Q$12:$AI$12&lt;&gt;"")*ROUND($Q345:$AI345,15-13*ORÇAMENTO!$AF$7))))</f>
        <v>1</v>
      </c>
      <c r="I345" s="650"/>
      <c r="K345" s="208"/>
      <c r="L345" s="209" t="s">
        <v>257</v>
      </c>
      <c r="M345" s="210">
        <f ca="1">IF($D345&lt;&gt;"Serviço","",IF(AUTOEVENTO="manual",$A345,IF(ISERROR(MATCH($A345,$A$15:OFFSET($A345,-1,0),0)),MAX($M$15:OFFSET(M345,-1,0))+1,INDEX($M$15:OFFSET(M345,-1,0),MATCH($A345,$A$15:OFFSET($A345,-1,0),0)))))</f>
        <v>0</v>
      </c>
      <c r="N345" s="211" t="str">
        <f ca="1">IF($D345&lt;&gt;"Serviço","",IF(AUTOEVENTO="Manual",IF($A345=0,"&lt;-- defina o número do agrupador",OFFSET(EVENTOS!$D$14,$A345,0)),OFFSET($F$15,$A345,0)))</f>
        <v>&lt;-- defina o número do agrupador</v>
      </c>
      <c r="O345" s="212"/>
      <c r="Q345" s="212"/>
      <c r="R345" s="213"/>
      <c r="S345" s="213"/>
      <c r="T345" s="213"/>
      <c r="U345" s="213"/>
      <c r="V345" s="213"/>
      <c r="W345" s="213"/>
      <c r="X345" s="213"/>
      <c r="Y345" s="213"/>
      <c r="Z345" s="214"/>
      <c r="AA345" s="213"/>
      <c r="AB345" s="213"/>
      <c r="AC345" s="213"/>
      <c r="AD345" s="213"/>
      <c r="AE345" s="213"/>
      <c r="AF345" s="213"/>
      <c r="AG345" s="213"/>
      <c r="AH345" s="214"/>
      <c r="AJ345" s="631">
        <f ca="1">IF(AND($D345="Serviço",AJ$12&lt;&gt;0,$H345&gt;0,OR(AUTOEVENTO&lt;&gt;"manual",$M345&lt;&gt;1)),ROUND(OFFSET($P345,0,AJ$13),15-13*ORÇAMENTO!$AF$7)/$H345*OFFSET(ORÇAMENTO!$X$15,ROW(AJ345)-ROW(AJ$15),0),0)</f>
        <v>0</v>
      </c>
      <c r="AK345" s="632">
        <f ca="1">IF(AND($D345="Serviço",AK$12&lt;&gt;0,$H345&gt;0,OR(AUTOEVENTO&lt;&gt;"manual",$M345&lt;&gt;1)),ROUND(OFFSET($P345,0,AK$13),15-13*ORÇAMENTO!$AF$7)/$H345*OFFSET(ORÇAMENTO!$X$15,ROW(AK345)-ROW(AK$15),0),0)</f>
        <v>0</v>
      </c>
      <c r="AL345" s="632">
        <f ca="1">IF(AND($D345="Serviço",AL$12&lt;&gt;0,$H345&gt;0,OR(AUTOEVENTO&lt;&gt;"manual",$M345&lt;&gt;1)),ROUND(OFFSET($P345,0,AL$13),15-13*ORÇAMENTO!$AF$7)/$H345*OFFSET(ORÇAMENTO!$X$15,ROW(AL345)-ROW(AL$15),0),0)</f>
        <v>0</v>
      </c>
      <c r="AM345" s="632">
        <f ca="1">IF(AND($D345="Serviço",AM$12&lt;&gt;0,$H345&gt;0,OR(AUTOEVENTO&lt;&gt;"manual",$M345&lt;&gt;1)),ROUND(OFFSET($P345,0,AM$13),15-13*ORÇAMENTO!$AF$7)/$H345*OFFSET(ORÇAMENTO!$X$15,ROW(AM345)-ROW(AM$15),0),0)</f>
        <v>0</v>
      </c>
      <c r="AN345" s="632">
        <f ca="1">IF(AND($D345="Serviço",AN$12&lt;&gt;0,$H345&gt;0,OR(AUTOEVENTO&lt;&gt;"manual",$M345&lt;&gt;1)),ROUND(OFFSET($P345,0,AN$13),15-13*ORÇAMENTO!$AF$7)/$H345*OFFSET(ORÇAMENTO!$X$15,ROW(AN345)-ROW(AN$15),0),0)</f>
        <v>0</v>
      </c>
      <c r="AO345" s="632">
        <f ca="1">IF(AND($D345="Serviço",AO$12&lt;&gt;0,$H345&gt;0,OR(AUTOEVENTO&lt;&gt;"manual",$M345&lt;&gt;1)),ROUND(OFFSET($P345,0,AO$13),15-13*ORÇAMENTO!$AF$7)/$H345*OFFSET(ORÇAMENTO!$X$15,ROW(AO345)-ROW(AO$15),0),0)</f>
        <v>0</v>
      </c>
      <c r="AP345" s="632">
        <f ca="1">IF(AND($D345="Serviço",AP$12&lt;&gt;0,$H345&gt;0,OR(AUTOEVENTO&lt;&gt;"manual",$M345&lt;&gt;1)),ROUND(OFFSET($P345,0,AP$13),15-13*ORÇAMENTO!$AF$7)/$H345*OFFSET(ORÇAMENTO!$X$15,ROW(AP345)-ROW(AP$15),0),0)</f>
        <v>0</v>
      </c>
      <c r="AQ345" s="632">
        <f ca="1">IF(AND($D345="Serviço",AQ$12&lt;&gt;0,$H345&gt;0,OR(AUTOEVENTO&lt;&gt;"manual",$M345&lt;&gt;1)),ROUND(OFFSET($P345,0,AQ$13),15-13*ORÇAMENTO!$AF$7)/$H345*OFFSET(ORÇAMENTO!$X$15,ROW(AQ345)-ROW(AQ$15),0),0)</f>
        <v>0</v>
      </c>
      <c r="AR345" s="632">
        <f ca="1">IF(AND($D345="Serviço",AR$12&lt;&gt;0,$H345&gt;0,OR(AUTOEVENTO&lt;&gt;"manual",$M345&lt;&gt;1)),ROUND(OFFSET($P345,0,AR$13),15-13*ORÇAMENTO!$AF$7)/$H345*OFFSET(ORÇAMENTO!$X$15,ROW(AR345)-ROW(AR$15),0),0)</f>
        <v>0</v>
      </c>
      <c r="AS345" s="633">
        <f ca="1">IF(AND($D345="Serviço",AS$12&lt;&gt;0,$H345&gt;0,OR(AUTOEVENTO&lt;&gt;"manual",$M345&lt;&gt;1)),ROUND(OFFSET($P345,0,AS$13),15-13*ORÇAMENTO!$AF$7)/$H345*OFFSET(ORÇAMENTO!$X$15,ROW(AS345)-ROW(AS$15),0),0)</f>
        <v>0</v>
      </c>
      <c r="AT345" s="632">
        <f ca="1">IF(AND($D345="Serviço",AT$12&lt;&gt;0,$H345&gt;0,OR(AUTOEVENTO&lt;&gt;"manual",$M345&lt;&gt;1)),ROUND(OFFSET($P345,0,AT$13),15-13*ORÇAMENTO!$AF$7)/$H345*OFFSET(ORÇAMENTO!$X$15,ROW(AT345)-ROW(AT$15),0),0)</f>
        <v>0</v>
      </c>
      <c r="AU345" s="632">
        <f ca="1">IF(AND($D345="Serviço",AU$12&lt;&gt;0,$H345&gt;0,OR(AUTOEVENTO&lt;&gt;"manual",$M345&lt;&gt;1)),ROUND(OFFSET($P345,0,AU$13),15-13*ORÇAMENTO!$AF$7)/$H345*OFFSET(ORÇAMENTO!$X$15,ROW(AU345)-ROW(AU$15),0),0)</f>
        <v>0</v>
      </c>
      <c r="AV345" s="632">
        <f ca="1">IF(AND($D345="Serviço",AV$12&lt;&gt;0,$H345&gt;0,OR(AUTOEVENTO&lt;&gt;"manual",$M345&lt;&gt;1)),ROUND(OFFSET($P345,0,AV$13),15-13*ORÇAMENTO!$AF$7)/$H345*OFFSET(ORÇAMENTO!$X$15,ROW(AV345)-ROW(AV$15),0),0)</f>
        <v>0</v>
      </c>
      <c r="AW345" s="632">
        <f ca="1">IF(AND($D345="Serviço",AW$12&lt;&gt;0,$H345&gt;0,OR(AUTOEVENTO&lt;&gt;"manual",$M345&lt;&gt;1)),ROUND(OFFSET($P345,0,AW$13),15-13*ORÇAMENTO!$AF$7)/$H345*OFFSET(ORÇAMENTO!$X$15,ROW(AW345)-ROW(AW$15),0),0)</f>
        <v>0</v>
      </c>
      <c r="AX345" s="632">
        <f ca="1">IF(AND($D345="Serviço",AX$12&lt;&gt;0,$H345&gt;0,OR(AUTOEVENTO&lt;&gt;"manual",$M345&lt;&gt;1)),ROUND(OFFSET($P345,0,AX$13),15-13*ORÇAMENTO!$AF$7)/$H345*OFFSET(ORÇAMENTO!$X$15,ROW(AX345)-ROW(AX$15),0),0)</f>
        <v>0</v>
      </c>
      <c r="AY345" s="632">
        <f ca="1">IF(AND($D345="Serviço",AY$12&lt;&gt;0,$H345&gt;0,OR(AUTOEVENTO&lt;&gt;"manual",$M345&lt;&gt;1)),ROUND(OFFSET($P345,0,AY$13),15-13*ORÇAMENTO!$AF$7)/$H345*OFFSET(ORÇAMENTO!$X$15,ROW(AY345)-ROW(AY$15),0),0)</f>
        <v>0</v>
      </c>
      <c r="AZ345" s="632">
        <f ca="1">IF(AND($D345="Serviço",AZ$12&lt;&gt;0,$H345&gt;0,OR(AUTOEVENTO&lt;&gt;"manual",$M345&lt;&gt;1)),ROUND(OFFSET($P345,0,AZ$13),15-13*ORÇAMENTO!$AF$7)/$H345*OFFSET(ORÇAMENTO!$X$15,ROW(AZ345)-ROW(AZ$15),0),0)</f>
        <v>0</v>
      </c>
      <c r="BA345" s="633">
        <f ca="1">IF(AND($D345="Serviço",BA$12&lt;&gt;0,$H345&gt;0,OR(AUTOEVENTO&lt;&gt;"manual",$M345&lt;&gt;1)),ROUND(OFFSET($P345,0,BA$13),15-13*ORÇAMENTO!$AF$7)/$H345*OFFSET(ORÇAMENTO!$X$15,ROW(BA345)-ROW(BA$15),0),0)</f>
        <v>0</v>
      </c>
      <c r="BC345" s="215">
        <f ca="1">IF($D345&lt;&gt;"Serviço",0,IF(AND(AUTOEVENTO="Manual",$M345=1),0,IF(OFFSET(CRONOPLE!$F$14,$M345,BC$13)="",10^12,OFFSET(CRONOPLE!$F$14,$M345,BC$13))))</f>
        <v>1000000000000</v>
      </c>
      <c r="BD345" s="215">
        <f ca="1">IF($D345&lt;&gt;"Serviço",0,IF(AND(AUTOEVENTO="Manual",$M345=1),0,IF(OFFSET(CRONOPLE!$F$14,$M345,BD$13)="",10^12,OFFSET(CRONOPLE!$F$14,$M345,BD$13))))</f>
        <v>1000000000000</v>
      </c>
      <c r="BE345" s="215">
        <f ca="1">IF($D345&lt;&gt;"Serviço",0,IF(AND(AUTOEVENTO="Manual",$M345=1),0,IF(OFFSET(CRONOPLE!$F$14,$M345,BE$13)="",10^12,OFFSET(CRONOPLE!$F$14,$M345,BE$13))))</f>
        <v>1000000000000</v>
      </c>
      <c r="BF345" s="215">
        <f ca="1">IF($D345&lt;&gt;"Serviço",0,IF(AND(AUTOEVENTO="Manual",$M345=1),0,IF(OFFSET(CRONOPLE!$F$14,$M345,BF$13)="",10^12,OFFSET(CRONOPLE!$F$14,$M345,BF$13))))</f>
        <v>1000000000000</v>
      </c>
      <c r="BG345" s="215">
        <f ca="1">IF($D345&lt;&gt;"Serviço",0,IF(AND(AUTOEVENTO="Manual",$M345=1),0,IF(OFFSET(CRONOPLE!$F$14,$M345,BG$13)="",10^12,OFFSET(CRONOPLE!$F$14,$M345,BG$13))))</f>
        <v>1000000000000</v>
      </c>
      <c r="BH345" s="215">
        <f ca="1">IF($D345&lt;&gt;"Serviço",0,IF(AND(AUTOEVENTO="Manual",$M345=1),0,IF(OFFSET(CRONOPLE!$F$14,$M345,BH$13)="",10^12,OFFSET(CRONOPLE!$F$14,$M345,BH$13))))</f>
        <v>1000000000000</v>
      </c>
      <c r="BI345" s="215">
        <f ca="1">IF($D345&lt;&gt;"Serviço",0,IF(AND(AUTOEVENTO="Manual",$M345=1),0,IF(OFFSET(CRONOPLE!$F$14,$M345,BI$13)="",10^12,OFFSET(CRONOPLE!$F$14,$M345,BI$13))))</f>
        <v>1000000000000</v>
      </c>
      <c r="BJ345" s="215">
        <f ca="1">IF($D345&lt;&gt;"Serviço",0,IF(AND(AUTOEVENTO="Manual",$M345=1),0,IF(OFFSET(CRONOPLE!$F$14,$M345,BJ$13)="",10^12,OFFSET(CRONOPLE!$F$14,$M345,BJ$13))))</f>
        <v>1000000000000</v>
      </c>
      <c r="BK345" s="215">
        <f ca="1">IF($D345&lt;&gt;"Serviço",0,IF(AND(AUTOEVENTO="Manual",$M345=1),0,IF(OFFSET(CRONOPLE!$F$14,$M345,BK$13)="",10^12,OFFSET(CRONOPLE!$F$14,$M345,BK$13))))</f>
        <v>1000000000000</v>
      </c>
      <c r="BL345" s="215">
        <f ca="1">IF($D345&lt;&gt;"Serviço",0,IF(AND(AUTOEVENTO="Manual",$M345=1),0,IF(OFFSET(CRONOPLE!$F$14,$M345,BL$13)="",10^12,OFFSET(CRONOPLE!$F$14,$M345,BL$13))))</f>
        <v>1000000000000</v>
      </c>
      <c r="BM345" s="215">
        <f ca="1">IF($D345&lt;&gt;"Serviço",0,IF(AND(AUTOEVENTO="Manual",$M345=1),0,IF(OFFSET(CRONOPLE!$F$14,$M345,BM$13)="",10^12,OFFSET(CRONOPLE!$F$14,$M345,BM$13))))</f>
        <v>1000000000000</v>
      </c>
      <c r="BN345" s="215">
        <f ca="1">IF($D345&lt;&gt;"Serviço",0,IF(AND(AUTOEVENTO="Manual",$M345=1),0,IF(OFFSET(CRONOPLE!$F$14,$M345,BN$13)="",10^12,OFFSET(CRONOPLE!$F$14,$M345,BN$13))))</f>
        <v>1000000000000</v>
      </c>
      <c r="BO345" s="215">
        <f ca="1">IF($D345&lt;&gt;"Serviço",0,IF(AND(AUTOEVENTO="Manual",$M345=1),0,IF(OFFSET(CRONOPLE!$F$14,$M345,BO$13)="",10^12,OFFSET(CRONOPLE!$F$14,$M345,BO$13))))</f>
        <v>1000000000000</v>
      </c>
      <c r="BP345" s="215">
        <f ca="1">IF($D345&lt;&gt;"Serviço",0,IF(AND(AUTOEVENTO="Manual",$M345=1),0,IF(OFFSET(CRONOPLE!$F$14,$M345,BP$13)="",10^12,OFFSET(CRONOPLE!$F$14,$M345,BP$13))))</f>
        <v>1000000000000</v>
      </c>
      <c r="BQ345" s="215">
        <f ca="1">IF($D345&lt;&gt;"Serviço",0,IF(AND(AUTOEVENTO="Manual",$M345=1),0,IF(OFFSET(CRONOPLE!$F$14,$M345,BQ$13)="",10^12,OFFSET(CRONOPLE!$F$14,$M345,BQ$13))))</f>
        <v>1000000000000</v>
      </c>
      <c r="BR345" s="215">
        <f ca="1">IF($D345&lt;&gt;"Serviço",0,IF(AND(AUTOEVENTO="Manual",$M345=1),0,IF(OFFSET(CRONOPLE!$F$14,$M345,BR$13)="",10^12,OFFSET(CRONOPLE!$F$14,$M345,BR$13))))</f>
        <v>1000000000000</v>
      </c>
      <c r="BS345" s="215">
        <f ca="1">IF($D345&lt;&gt;"Serviço",0,IF(AND(AUTOEVENTO="Manual",$M345=1),0,IF(OFFSET(CRONOPLE!$F$14,$M345,BS$13)="",10^12,OFFSET(CRONOPLE!$F$14,$M345,BS$13))))</f>
        <v>1000000000000</v>
      </c>
      <c r="BT345" s="215">
        <f ca="1">IF($D345&lt;&gt;"Serviço",0,IF(AND(AUTOEVENTO="Manual",$M345=1),0,IF(OFFSET(CRONOPLE!$F$14,$M345,BT$13)="",10^12,OFFSET(CRONOPLE!$F$14,$M345,BT$13))))</f>
        <v>1000000000000</v>
      </c>
      <c r="BV345" s="216">
        <f ca="1">IF($D345&lt;&gt;"Serviço",0,IF(OR(AND(AUTOEVENTO="Manual",$M345=1),$M345&gt;(ROW(PLE.lastrow)-ROW(PLE.firstrow))),0,IF(OFFSET(PLE!$G$14,$M345,BV$13)="",10^12,OFFSET(PLE!$G$14,$M345,BV$13))))</f>
        <v>1000000000000</v>
      </c>
      <c r="BW345" s="216">
        <f ca="1">IF($D345&lt;&gt;"Serviço",0,IF(OR(AND(AUTOEVENTO="Manual",$M345=1),$M345&gt;(ROW(PLE.lastrow)-ROW(PLE.firstrow))),0,IF(OFFSET(PLE!$G$14,$M345,BW$13)="",10^12,OFFSET(PLE!$G$14,$M345,BW$13))))</f>
        <v>1000000000000</v>
      </c>
      <c r="BX345" s="216">
        <f ca="1">IF($D345&lt;&gt;"Serviço",0,IF(OR(AND(AUTOEVENTO="Manual",$M345=1),$M345&gt;(ROW(PLE.lastrow)-ROW(PLE.firstrow))),0,IF(OFFSET(PLE!$G$14,$M345,BX$13)="",10^12,OFFSET(PLE!$G$14,$M345,BX$13))))</f>
        <v>1000000000000</v>
      </c>
      <c r="BY345" s="216">
        <f ca="1">IF($D345&lt;&gt;"Serviço",0,IF(OR(AND(AUTOEVENTO="Manual",$M345=1),$M345&gt;(ROW(PLE.lastrow)-ROW(PLE.firstrow))),0,IF(OFFSET(PLE!$G$14,$M345,BY$13)="",10^12,OFFSET(PLE!$G$14,$M345,BY$13))))</f>
        <v>1000000000000</v>
      </c>
      <c r="BZ345" s="216">
        <f ca="1">IF($D345&lt;&gt;"Serviço",0,IF(OR(AND(AUTOEVENTO="Manual",$M345=1),$M345&gt;(ROW(PLE.lastrow)-ROW(PLE.firstrow))),0,IF(OFFSET(PLE!$G$14,$M345,BZ$13)="",10^12,OFFSET(PLE!$G$14,$M345,BZ$13))))</f>
        <v>1000000000000</v>
      </c>
      <c r="CA345" s="216">
        <f ca="1">IF($D345&lt;&gt;"Serviço",0,IF(OR(AND(AUTOEVENTO="Manual",$M345=1),$M345&gt;(ROW(PLE.lastrow)-ROW(PLE.firstrow))),0,IF(OFFSET(PLE!$G$14,$M345,CA$13)="",10^12,OFFSET(PLE!$G$14,$M345,CA$13))))</f>
        <v>1000000000000</v>
      </c>
      <c r="CB345" s="216">
        <f ca="1">IF($D345&lt;&gt;"Serviço",0,IF(OR(AND(AUTOEVENTO="Manual",$M345=1),$M345&gt;(ROW(PLE.lastrow)-ROW(PLE.firstrow))),0,IF(OFFSET(PLE!$G$14,$M345,CB$13)="",10^12,OFFSET(PLE!$G$14,$M345,CB$13))))</f>
        <v>1000000000000</v>
      </c>
      <c r="CC345" s="216">
        <f ca="1">IF($D345&lt;&gt;"Serviço",0,IF(OR(AND(AUTOEVENTO="Manual",$M345=1),$M345&gt;(ROW(PLE.lastrow)-ROW(PLE.firstrow))),0,IF(OFFSET(PLE!$G$14,$M345,CC$13)="",10^12,OFFSET(PLE!$G$14,$M345,CC$13))))</f>
        <v>1000000000000</v>
      </c>
      <c r="CD345" s="216">
        <f ca="1">IF($D345&lt;&gt;"Serviço",0,IF(OR(AND(AUTOEVENTO="Manual",$M345=1),$M345&gt;(ROW(PLE.lastrow)-ROW(PLE.firstrow))),0,IF(OFFSET(PLE!$G$14,$M345,CD$13)="",10^12,OFFSET(PLE!$G$14,$M345,CD$13))))</f>
        <v>1000000000000</v>
      </c>
      <c r="CE345" s="216">
        <f ca="1">IF($D345&lt;&gt;"Serviço",0,IF(OR(AND(AUTOEVENTO="Manual",$M345=1),$M345&gt;(ROW(PLE.lastrow)-ROW(PLE.firstrow))),0,IF(OFFSET(PLE!$G$14,$M345,CE$13)="",10^12,OFFSET(PLE!$G$14,$M345,CE$13))))</f>
        <v>1000000000000</v>
      </c>
      <c r="CF345" s="216">
        <f ca="1">IF($D345&lt;&gt;"Serviço",0,IF(OR(AND(AUTOEVENTO="Manual",$M345=1),$M345&gt;(ROW(PLE.lastrow)-ROW(PLE.firstrow))),0,IF(OFFSET(PLE!$G$14,$M345,CF$13)="",10^12,OFFSET(PLE!$G$14,$M345,CF$13))))</f>
        <v>1000000000000</v>
      </c>
      <c r="CG345" s="216">
        <f ca="1">IF($D345&lt;&gt;"Serviço",0,IF(OR(AND(AUTOEVENTO="Manual",$M345=1),$M345&gt;(ROW(PLE.lastrow)-ROW(PLE.firstrow))),0,IF(OFFSET(PLE!$G$14,$M345,CG$13)="",10^12,OFFSET(PLE!$G$14,$M345,CG$13))))</f>
        <v>1000000000000</v>
      </c>
      <c r="CH345" s="216">
        <f ca="1">IF($D345&lt;&gt;"Serviço",0,IF(OR(AND(AUTOEVENTO="Manual",$M345=1),$M345&gt;(ROW(PLE.lastrow)-ROW(PLE.firstrow))),0,IF(OFFSET(PLE!$G$14,$M345,CH$13)="",10^12,OFFSET(PLE!$G$14,$M345,CH$13))))</f>
        <v>1000000000000</v>
      </c>
      <c r="CI345" s="216">
        <f ca="1">IF($D345&lt;&gt;"Serviço",0,IF(OR(AND(AUTOEVENTO="Manual",$M345=1),$M345&gt;(ROW(PLE.lastrow)-ROW(PLE.firstrow))),0,IF(OFFSET(PLE!$G$14,$M345,CI$13)="",10^12,OFFSET(PLE!$G$14,$M345,CI$13))))</f>
        <v>1000000000000</v>
      </c>
      <c r="CJ345" s="216">
        <f ca="1">IF($D345&lt;&gt;"Serviço",0,IF(OR(AND(AUTOEVENTO="Manual",$M345=1),$M345&gt;(ROW(PLE.lastrow)-ROW(PLE.firstrow))),0,IF(OFFSET(PLE!$G$14,$M345,CJ$13)="",10^12,OFFSET(PLE!$G$14,$M345,CJ$13))))</f>
        <v>1000000000000</v>
      </c>
      <c r="CK345" s="216">
        <f ca="1">IF($D345&lt;&gt;"Serviço",0,IF(OR(AND(AUTOEVENTO="Manual",$M345=1),$M345&gt;(ROW(PLE.lastrow)-ROW(PLE.firstrow))),0,IF(OFFSET(PLE!$G$14,$M345,CK$13)="",10^12,OFFSET(PLE!$G$14,$M345,CK$13))))</f>
        <v>1000000000000</v>
      </c>
      <c r="CL345" s="216">
        <f ca="1">IF($D345&lt;&gt;"Serviço",0,IF(OR(AND(AUTOEVENTO="Manual",$M345=1),$M345&gt;(ROW(PLE.lastrow)-ROW(PLE.firstrow))),0,IF(OFFSET(PLE!$G$14,$M345,CL$13)="",10^12,OFFSET(PLE!$G$14,$M345,CL$13))))</f>
        <v>1000000000000</v>
      </c>
      <c r="CM345" s="216">
        <f ca="1">IF($D345&lt;&gt;"Serviço",0,IF(OR(AND(AUTOEVENTO="Manual",$M345=1),$M345&gt;(ROW(PLE.lastrow)-ROW(PLE.firstrow))),0,IF(OFFSET(PLE!$G$14,$M345,CM$13)="",10^12,OFFSET(PLE!$G$14,$M345,CM$13))))</f>
        <v>1000000000000</v>
      </c>
    </row>
    <row r="346" spans="1:91" ht="13.2" x14ac:dyDescent="0.25">
      <c r="A346" s="9">
        <f t="shared" ca="1" si="14"/>
        <v>0</v>
      </c>
      <c r="B346" s="9" t="str">
        <f ca="1">OFFSET(ORÇAMENTO!C$15,ROW(B346)-ROW(B$15),0)</f>
        <v>S</v>
      </c>
      <c r="C346" s="9" t="str">
        <f ca="1">OFFSET(ORÇAMENTO!L$15,ROW(C346)-ROW(C$15),0)</f>
        <v/>
      </c>
      <c r="D346" s="145" t="str">
        <f ca="1">OFFSET(ORÇAMENTO!N$15,ROW(D346)-ROW(D$15),0)</f>
        <v>Serviço</v>
      </c>
      <c r="E346" s="205" t="str">
        <f ca="1">OFFSET(ORÇAMENTO!O$15,ROW(E346)-ROW(E$15),0)</f>
        <v>-</v>
      </c>
      <c r="F346" s="206" t="str">
        <f ca="1">OFFSET(ORÇAMENTO!R$15,ROW(F346)-ROW(F$15),0)</f>
        <v>(abra o arquivo 'Referência 05-2024.xls)</v>
      </c>
      <c r="G346" s="207" t="str">
        <f ca="1">IF($D346&lt;&gt;"Serviço","",OFFSET(ORÇAMENTO!S$15,ROW(G346)-ROW(G$15),0))</f>
        <v>-</v>
      </c>
      <c r="H346" s="151">
        <f ca="1">IF($D346&lt;&gt;"Serviço",0,IF(ACOMPANHAMENTO="BM",ROUND(OFFSET(ORÇAMENTO!AJ$15,ROW(H346)-ROW(H$15),0),15-13*ORÇAMENTO!$AF$7),SUMPRODUCT(($Q$12:$AI$12&lt;&gt;"")*ROUND($Q346:$AI346,15-13*ORÇAMENTO!$AF$7))))</f>
        <v>2</v>
      </c>
      <c r="I346" s="650"/>
      <c r="K346" s="208"/>
      <c r="L346" s="209" t="s">
        <v>257</v>
      </c>
      <c r="M346" s="210">
        <f ca="1">IF($D346&lt;&gt;"Serviço","",IF(AUTOEVENTO="manual",$A346,IF(ISERROR(MATCH($A346,$A$15:OFFSET($A346,-1,0),0)),MAX($M$15:OFFSET(M346,-1,0))+1,INDEX($M$15:OFFSET(M346,-1,0),MATCH($A346,$A$15:OFFSET($A346,-1,0),0)))))</f>
        <v>0</v>
      </c>
      <c r="N346" s="211" t="str">
        <f ca="1">IF($D346&lt;&gt;"Serviço","",IF(AUTOEVENTO="Manual",IF($A346=0,"&lt;-- defina o número do agrupador",OFFSET(EVENTOS!$D$14,$A346,0)),OFFSET($F$15,$A346,0)))</f>
        <v>&lt;-- defina o número do agrupador</v>
      </c>
      <c r="O346" s="212"/>
      <c r="Q346" s="212"/>
      <c r="R346" s="213"/>
      <c r="S346" s="213"/>
      <c r="T346" s="213"/>
      <c r="U346" s="213"/>
      <c r="V346" s="213"/>
      <c r="W346" s="213"/>
      <c r="X346" s="213"/>
      <c r="Y346" s="213"/>
      <c r="Z346" s="214"/>
      <c r="AA346" s="213"/>
      <c r="AB346" s="213"/>
      <c r="AC346" s="213"/>
      <c r="AD346" s="213"/>
      <c r="AE346" s="213"/>
      <c r="AF346" s="213"/>
      <c r="AG346" s="213"/>
      <c r="AH346" s="214"/>
      <c r="AJ346" s="631">
        <f ca="1">IF(AND($D346="Serviço",AJ$12&lt;&gt;0,$H346&gt;0,OR(AUTOEVENTO&lt;&gt;"manual",$M346&lt;&gt;1)),ROUND(OFFSET($P346,0,AJ$13),15-13*ORÇAMENTO!$AF$7)/$H346*OFFSET(ORÇAMENTO!$X$15,ROW(AJ346)-ROW(AJ$15),0),0)</f>
        <v>0</v>
      </c>
      <c r="AK346" s="632">
        <f ca="1">IF(AND($D346="Serviço",AK$12&lt;&gt;0,$H346&gt;0,OR(AUTOEVENTO&lt;&gt;"manual",$M346&lt;&gt;1)),ROUND(OFFSET($P346,0,AK$13),15-13*ORÇAMENTO!$AF$7)/$H346*OFFSET(ORÇAMENTO!$X$15,ROW(AK346)-ROW(AK$15),0),0)</f>
        <v>0</v>
      </c>
      <c r="AL346" s="632">
        <f ca="1">IF(AND($D346="Serviço",AL$12&lt;&gt;0,$H346&gt;0,OR(AUTOEVENTO&lt;&gt;"manual",$M346&lt;&gt;1)),ROUND(OFFSET($P346,0,AL$13),15-13*ORÇAMENTO!$AF$7)/$H346*OFFSET(ORÇAMENTO!$X$15,ROW(AL346)-ROW(AL$15),0),0)</f>
        <v>0</v>
      </c>
      <c r="AM346" s="632">
        <f ca="1">IF(AND($D346="Serviço",AM$12&lt;&gt;0,$H346&gt;0,OR(AUTOEVENTO&lt;&gt;"manual",$M346&lt;&gt;1)),ROUND(OFFSET($P346,0,AM$13),15-13*ORÇAMENTO!$AF$7)/$H346*OFFSET(ORÇAMENTO!$X$15,ROW(AM346)-ROW(AM$15),0),0)</f>
        <v>0</v>
      </c>
      <c r="AN346" s="632">
        <f ca="1">IF(AND($D346="Serviço",AN$12&lt;&gt;0,$H346&gt;0,OR(AUTOEVENTO&lt;&gt;"manual",$M346&lt;&gt;1)),ROUND(OFFSET($P346,0,AN$13),15-13*ORÇAMENTO!$AF$7)/$H346*OFFSET(ORÇAMENTO!$X$15,ROW(AN346)-ROW(AN$15),0),0)</f>
        <v>0</v>
      </c>
      <c r="AO346" s="632">
        <f ca="1">IF(AND($D346="Serviço",AO$12&lt;&gt;0,$H346&gt;0,OR(AUTOEVENTO&lt;&gt;"manual",$M346&lt;&gt;1)),ROUND(OFFSET($P346,0,AO$13),15-13*ORÇAMENTO!$AF$7)/$H346*OFFSET(ORÇAMENTO!$X$15,ROW(AO346)-ROW(AO$15),0),0)</f>
        <v>0</v>
      </c>
      <c r="AP346" s="632">
        <f ca="1">IF(AND($D346="Serviço",AP$12&lt;&gt;0,$H346&gt;0,OR(AUTOEVENTO&lt;&gt;"manual",$M346&lt;&gt;1)),ROUND(OFFSET($P346,0,AP$13),15-13*ORÇAMENTO!$AF$7)/$H346*OFFSET(ORÇAMENTO!$X$15,ROW(AP346)-ROW(AP$15),0),0)</f>
        <v>0</v>
      </c>
      <c r="AQ346" s="632">
        <f ca="1">IF(AND($D346="Serviço",AQ$12&lt;&gt;0,$H346&gt;0,OR(AUTOEVENTO&lt;&gt;"manual",$M346&lt;&gt;1)),ROUND(OFFSET($P346,0,AQ$13),15-13*ORÇAMENTO!$AF$7)/$H346*OFFSET(ORÇAMENTO!$X$15,ROW(AQ346)-ROW(AQ$15),0),0)</f>
        <v>0</v>
      </c>
      <c r="AR346" s="632">
        <f ca="1">IF(AND($D346="Serviço",AR$12&lt;&gt;0,$H346&gt;0,OR(AUTOEVENTO&lt;&gt;"manual",$M346&lt;&gt;1)),ROUND(OFFSET($P346,0,AR$13),15-13*ORÇAMENTO!$AF$7)/$H346*OFFSET(ORÇAMENTO!$X$15,ROW(AR346)-ROW(AR$15),0),0)</f>
        <v>0</v>
      </c>
      <c r="AS346" s="633">
        <f ca="1">IF(AND($D346="Serviço",AS$12&lt;&gt;0,$H346&gt;0,OR(AUTOEVENTO&lt;&gt;"manual",$M346&lt;&gt;1)),ROUND(OFFSET($P346,0,AS$13),15-13*ORÇAMENTO!$AF$7)/$H346*OFFSET(ORÇAMENTO!$X$15,ROW(AS346)-ROW(AS$15),0),0)</f>
        <v>0</v>
      </c>
      <c r="AT346" s="632">
        <f ca="1">IF(AND($D346="Serviço",AT$12&lt;&gt;0,$H346&gt;0,OR(AUTOEVENTO&lt;&gt;"manual",$M346&lt;&gt;1)),ROUND(OFFSET($P346,0,AT$13),15-13*ORÇAMENTO!$AF$7)/$H346*OFFSET(ORÇAMENTO!$X$15,ROW(AT346)-ROW(AT$15),0),0)</f>
        <v>0</v>
      </c>
      <c r="AU346" s="632">
        <f ca="1">IF(AND($D346="Serviço",AU$12&lt;&gt;0,$H346&gt;0,OR(AUTOEVENTO&lt;&gt;"manual",$M346&lt;&gt;1)),ROUND(OFFSET($P346,0,AU$13),15-13*ORÇAMENTO!$AF$7)/$H346*OFFSET(ORÇAMENTO!$X$15,ROW(AU346)-ROW(AU$15),0),0)</f>
        <v>0</v>
      </c>
      <c r="AV346" s="632">
        <f ca="1">IF(AND($D346="Serviço",AV$12&lt;&gt;0,$H346&gt;0,OR(AUTOEVENTO&lt;&gt;"manual",$M346&lt;&gt;1)),ROUND(OFFSET($P346,0,AV$13),15-13*ORÇAMENTO!$AF$7)/$H346*OFFSET(ORÇAMENTO!$X$15,ROW(AV346)-ROW(AV$15),0),0)</f>
        <v>0</v>
      </c>
      <c r="AW346" s="632">
        <f ca="1">IF(AND($D346="Serviço",AW$12&lt;&gt;0,$H346&gt;0,OR(AUTOEVENTO&lt;&gt;"manual",$M346&lt;&gt;1)),ROUND(OFFSET($P346,0,AW$13),15-13*ORÇAMENTO!$AF$7)/$H346*OFFSET(ORÇAMENTO!$X$15,ROW(AW346)-ROW(AW$15),0),0)</f>
        <v>0</v>
      </c>
      <c r="AX346" s="632">
        <f ca="1">IF(AND($D346="Serviço",AX$12&lt;&gt;0,$H346&gt;0,OR(AUTOEVENTO&lt;&gt;"manual",$M346&lt;&gt;1)),ROUND(OFFSET($P346,0,AX$13),15-13*ORÇAMENTO!$AF$7)/$H346*OFFSET(ORÇAMENTO!$X$15,ROW(AX346)-ROW(AX$15),0),0)</f>
        <v>0</v>
      </c>
      <c r="AY346" s="632">
        <f ca="1">IF(AND($D346="Serviço",AY$12&lt;&gt;0,$H346&gt;0,OR(AUTOEVENTO&lt;&gt;"manual",$M346&lt;&gt;1)),ROUND(OFFSET($P346,0,AY$13),15-13*ORÇAMENTO!$AF$7)/$H346*OFFSET(ORÇAMENTO!$X$15,ROW(AY346)-ROW(AY$15),0),0)</f>
        <v>0</v>
      </c>
      <c r="AZ346" s="632">
        <f ca="1">IF(AND($D346="Serviço",AZ$12&lt;&gt;0,$H346&gt;0,OR(AUTOEVENTO&lt;&gt;"manual",$M346&lt;&gt;1)),ROUND(OFFSET($P346,0,AZ$13),15-13*ORÇAMENTO!$AF$7)/$H346*OFFSET(ORÇAMENTO!$X$15,ROW(AZ346)-ROW(AZ$15),0),0)</f>
        <v>0</v>
      </c>
      <c r="BA346" s="633">
        <f ca="1">IF(AND($D346="Serviço",BA$12&lt;&gt;0,$H346&gt;0,OR(AUTOEVENTO&lt;&gt;"manual",$M346&lt;&gt;1)),ROUND(OFFSET($P346,0,BA$13),15-13*ORÇAMENTO!$AF$7)/$H346*OFFSET(ORÇAMENTO!$X$15,ROW(BA346)-ROW(BA$15),0),0)</f>
        <v>0</v>
      </c>
      <c r="BC346" s="215">
        <f ca="1">IF($D346&lt;&gt;"Serviço",0,IF(AND(AUTOEVENTO="Manual",$M346=1),0,IF(OFFSET(CRONOPLE!$F$14,$M346,BC$13)="",10^12,OFFSET(CRONOPLE!$F$14,$M346,BC$13))))</f>
        <v>1000000000000</v>
      </c>
      <c r="BD346" s="215">
        <f ca="1">IF($D346&lt;&gt;"Serviço",0,IF(AND(AUTOEVENTO="Manual",$M346=1),0,IF(OFFSET(CRONOPLE!$F$14,$M346,BD$13)="",10^12,OFFSET(CRONOPLE!$F$14,$M346,BD$13))))</f>
        <v>1000000000000</v>
      </c>
      <c r="BE346" s="215">
        <f ca="1">IF($D346&lt;&gt;"Serviço",0,IF(AND(AUTOEVENTO="Manual",$M346=1),0,IF(OFFSET(CRONOPLE!$F$14,$M346,BE$13)="",10^12,OFFSET(CRONOPLE!$F$14,$M346,BE$13))))</f>
        <v>1000000000000</v>
      </c>
      <c r="BF346" s="215">
        <f ca="1">IF($D346&lt;&gt;"Serviço",0,IF(AND(AUTOEVENTO="Manual",$M346=1),0,IF(OFFSET(CRONOPLE!$F$14,$M346,BF$13)="",10^12,OFFSET(CRONOPLE!$F$14,$M346,BF$13))))</f>
        <v>1000000000000</v>
      </c>
      <c r="BG346" s="215">
        <f ca="1">IF($D346&lt;&gt;"Serviço",0,IF(AND(AUTOEVENTO="Manual",$M346=1),0,IF(OFFSET(CRONOPLE!$F$14,$M346,BG$13)="",10^12,OFFSET(CRONOPLE!$F$14,$M346,BG$13))))</f>
        <v>1000000000000</v>
      </c>
      <c r="BH346" s="215">
        <f ca="1">IF($D346&lt;&gt;"Serviço",0,IF(AND(AUTOEVENTO="Manual",$M346=1),0,IF(OFFSET(CRONOPLE!$F$14,$M346,BH$13)="",10^12,OFFSET(CRONOPLE!$F$14,$M346,BH$13))))</f>
        <v>1000000000000</v>
      </c>
      <c r="BI346" s="215">
        <f ca="1">IF($D346&lt;&gt;"Serviço",0,IF(AND(AUTOEVENTO="Manual",$M346=1),0,IF(OFFSET(CRONOPLE!$F$14,$M346,BI$13)="",10^12,OFFSET(CRONOPLE!$F$14,$M346,BI$13))))</f>
        <v>1000000000000</v>
      </c>
      <c r="BJ346" s="215">
        <f ca="1">IF($D346&lt;&gt;"Serviço",0,IF(AND(AUTOEVENTO="Manual",$M346=1),0,IF(OFFSET(CRONOPLE!$F$14,$M346,BJ$13)="",10^12,OFFSET(CRONOPLE!$F$14,$M346,BJ$13))))</f>
        <v>1000000000000</v>
      </c>
      <c r="BK346" s="215">
        <f ca="1">IF($D346&lt;&gt;"Serviço",0,IF(AND(AUTOEVENTO="Manual",$M346=1),0,IF(OFFSET(CRONOPLE!$F$14,$M346,BK$13)="",10^12,OFFSET(CRONOPLE!$F$14,$M346,BK$13))))</f>
        <v>1000000000000</v>
      </c>
      <c r="BL346" s="215">
        <f ca="1">IF($D346&lt;&gt;"Serviço",0,IF(AND(AUTOEVENTO="Manual",$M346=1),0,IF(OFFSET(CRONOPLE!$F$14,$M346,BL$13)="",10^12,OFFSET(CRONOPLE!$F$14,$M346,BL$13))))</f>
        <v>1000000000000</v>
      </c>
      <c r="BM346" s="215">
        <f ca="1">IF($D346&lt;&gt;"Serviço",0,IF(AND(AUTOEVENTO="Manual",$M346=1),0,IF(OFFSET(CRONOPLE!$F$14,$M346,BM$13)="",10^12,OFFSET(CRONOPLE!$F$14,$M346,BM$13))))</f>
        <v>1000000000000</v>
      </c>
      <c r="BN346" s="215">
        <f ca="1">IF($D346&lt;&gt;"Serviço",0,IF(AND(AUTOEVENTO="Manual",$M346=1),0,IF(OFFSET(CRONOPLE!$F$14,$M346,BN$13)="",10^12,OFFSET(CRONOPLE!$F$14,$M346,BN$13))))</f>
        <v>1000000000000</v>
      </c>
      <c r="BO346" s="215">
        <f ca="1">IF($D346&lt;&gt;"Serviço",0,IF(AND(AUTOEVENTO="Manual",$M346=1),0,IF(OFFSET(CRONOPLE!$F$14,$M346,BO$13)="",10^12,OFFSET(CRONOPLE!$F$14,$M346,BO$13))))</f>
        <v>1000000000000</v>
      </c>
      <c r="BP346" s="215">
        <f ca="1">IF($D346&lt;&gt;"Serviço",0,IF(AND(AUTOEVENTO="Manual",$M346=1),0,IF(OFFSET(CRONOPLE!$F$14,$M346,BP$13)="",10^12,OFFSET(CRONOPLE!$F$14,$M346,BP$13))))</f>
        <v>1000000000000</v>
      </c>
      <c r="BQ346" s="215">
        <f ca="1">IF($D346&lt;&gt;"Serviço",0,IF(AND(AUTOEVENTO="Manual",$M346=1),0,IF(OFFSET(CRONOPLE!$F$14,$M346,BQ$13)="",10^12,OFFSET(CRONOPLE!$F$14,$M346,BQ$13))))</f>
        <v>1000000000000</v>
      </c>
      <c r="BR346" s="215">
        <f ca="1">IF($D346&lt;&gt;"Serviço",0,IF(AND(AUTOEVENTO="Manual",$M346=1),0,IF(OFFSET(CRONOPLE!$F$14,$M346,BR$13)="",10^12,OFFSET(CRONOPLE!$F$14,$M346,BR$13))))</f>
        <v>1000000000000</v>
      </c>
      <c r="BS346" s="215">
        <f ca="1">IF($D346&lt;&gt;"Serviço",0,IF(AND(AUTOEVENTO="Manual",$M346=1),0,IF(OFFSET(CRONOPLE!$F$14,$M346,BS$13)="",10^12,OFFSET(CRONOPLE!$F$14,$M346,BS$13))))</f>
        <v>1000000000000</v>
      </c>
      <c r="BT346" s="215">
        <f ca="1">IF($D346&lt;&gt;"Serviço",0,IF(AND(AUTOEVENTO="Manual",$M346=1),0,IF(OFFSET(CRONOPLE!$F$14,$M346,BT$13)="",10^12,OFFSET(CRONOPLE!$F$14,$M346,BT$13))))</f>
        <v>1000000000000</v>
      </c>
      <c r="BV346" s="216">
        <f ca="1">IF($D346&lt;&gt;"Serviço",0,IF(OR(AND(AUTOEVENTO="Manual",$M346=1),$M346&gt;(ROW(PLE.lastrow)-ROW(PLE.firstrow))),0,IF(OFFSET(PLE!$G$14,$M346,BV$13)="",10^12,OFFSET(PLE!$G$14,$M346,BV$13))))</f>
        <v>1000000000000</v>
      </c>
      <c r="BW346" s="216">
        <f ca="1">IF($D346&lt;&gt;"Serviço",0,IF(OR(AND(AUTOEVENTO="Manual",$M346=1),$M346&gt;(ROW(PLE.lastrow)-ROW(PLE.firstrow))),0,IF(OFFSET(PLE!$G$14,$M346,BW$13)="",10^12,OFFSET(PLE!$G$14,$M346,BW$13))))</f>
        <v>1000000000000</v>
      </c>
      <c r="BX346" s="216">
        <f ca="1">IF($D346&lt;&gt;"Serviço",0,IF(OR(AND(AUTOEVENTO="Manual",$M346=1),$M346&gt;(ROW(PLE.lastrow)-ROW(PLE.firstrow))),0,IF(OFFSET(PLE!$G$14,$M346,BX$13)="",10^12,OFFSET(PLE!$G$14,$M346,BX$13))))</f>
        <v>1000000000000</v>
      </c>
      <c r="BY346" s="216">
        <f ca="1">IF($D346&lt;&gt;"Serviço",0,IF(OR(AND(AUTOEVENTO="Manual",$M346=1),$M346&gt;(ROW(PLE.lastrow)-ROW(PLE.firstrow))),0,IF(OFFSET(PLE!$G$14,$M346,BY$13)="",10^12,OFFSET(PLE!$G$14,$M346,BY$13))))</f>
        <v>1000000000000</v>
      </c>
      <c r="BZ346" s="216">
        <f ca="1">IF($D346&lt;&gt;"Serviço",0,IF(OR(AND(AUTOEVENTO="Manual",$M346=1),$M346&gt;(ROW(PLE.lastrow)-ROW(PLE.firstrow))),0,IF(OFFSET(PLE!$G$14,$M346,BZ$13)="",10^12,OFFSET(PLE!$G$14,$M346,BZ$13))))</f>
        <v>1000000000000</v>
      </c>
      <c r="CA346" s="216">
        <f ca="1">IF($D346&lt;&gt;"Serviço",0,IF(OR(AND(AUTOEVENTO="Manual",$M346=1),$M346&gt;(ROW(PLE.lastrow)-ROW(PLE.firstrow))),0,IF(OFFSET(PLE!$G$14,$M346,CA$13)="",10^12,OFFSET(PLE!$G$14,$M346,CA$13))))</f>
        <v>1000000000000</v>
      </c>
      <c r="CB346" s="216">
        <f ca="1">IF($D346&lt;&gt;"Serviço",0,IF(OR(AND(AUTOEVENTO="Manual",$M346=1),$M346&gt;(ROW(PLE.lastrow)-ROW(PLE.firstrow))),0,IF(OFFSET(PLE!$G$14,$M346,CB$13)="",10^12,OFFSET(PLE!$G$14,$M346,CB$13))))</f>
        <v>1000000000000</v>
      </c>
      <c r="CC346" s="216">
        <f ca="1">IF($D346&lt;&gt;"Serviço",0,IF(OR(AND(AUTOEVENTO="Manual",$M346=1),$M346&gt;(ROW(PLE.lastrow)-ROW(PLE.firstrow))),0,IF(OFFSET(PLE!$G$14,$M346,CC$13)="",10^12,OFFSET(PLE!$G$14,$M346,CC$13))))</f>
        <v>1000000000000</v>
      </c>
      <c r="CD346" s="216">
        <f ca="1">IF($D346&lt;&gt;"Serviço",0,IF(OR(AND(AUTOEVENTO="Manual",$M346=1),$M346&gt;(ROW(PLE.lastrow)-ROW(PLE.firstrow))),0,IF(OFFSET(PLE!$G$14,$M346,CD$13)="",10^12,OFFSET(PLE!$G$14,$M346,CD$13))))</f>
        <v>1000000000000</v>
      </c>
      <c r="CE346" s="216">
        <f ca="1">IF($D346&lt;&gt;"Serviço",0,IF(OR(AND(AUTOEVENTO="Manual",$M346=1),$M346&gt;(ROW(PLE.lastrow)-ROW(PLE.firstrow))),0,IF(OFFSET(PLE!$G$14,$M346,CE$13)="",10^12,OFFSET(PLE!$G$14,$M346,CE$13))))</f>
        <v>1000000000000</v>
      </c>
      <c r="CF346" s="216">
        <f ca="1">IF($D346&lt;&gt;"Serviço",0,IF(OR(AND(AUTOEVENTO="Manual",$M346=1),$M346&gt;(ROW(PLE.lastrow)-ROW(PLE.firstrow))),0,IF(OFFSET(PLE!$G$14,$M346,CF$13)="",10^12,OFFSET(PLE!$G$14,$M346,CF$13))))</f>
        <v>1000000000000</v>
      </c>
      <c r="CG346" s="216">
        <f ca="1">IF($D346&lt;&gt;"Serviço",0,IF(OR(AND(AUTOEVENTO="Manual",$M346=1),$M346&gt;(ROW(PLE.lastrow)-ROW(PLE.firstrow))),0,IF(OFFSET(PLE!$G$14,$M346,CG$13)="",10^12,OFFSET(PLE!$G$14,$M346,CG$13))))</f>
        <v>1000000000000</v>
      </c>
      <c r="CH346" s="216">
        <f ca="1">IF($D346&lt;&gt;"Serviço",0,IF(OR(AND(AUTOEVENTO="Manual",$M346=1),$M346&gt;(ROW(PLE.lastrow)-ROW(PLE.firstrow))),0,IF(OFFSET(PLE!$G$14,$M346,CH$13)="",10^12,OFFSET(PLE!$G$14,$M346,CH$13))))</f>
        <v>1000000000000</v>
      </c>
      <c r="CI346" s="216">
        <f ca="1">IF($D346&lt;&gt;"Serviço",0,IF(OR(AND(AUTOEVENTO="Manual",$M346=1),$M346&gt;(ROW(PLE.lastrow)-ROW(PLE.firstrow))),0,IF(OFFSET(PLE!$G$14,$M346,CI$13)="",10^12,OFFSET(PLE!$G$14,$M346,CI$13))))</f>
        <v>1000000000000</v>
      </c>
      <c r="CJ346" s="216">
        <f ca="1">IF($D346&lt;&gt;"Serviço",0,IF(OR(AND(AUTOEVENTO="Manual",$M346=1),$M346&gt;(ROW(PLE.lastrow)-ROW(PLE.firstrow))),0,IF(OFFSET(PLE!$G$14,$M346,CJ$13)="",10^12,OFFSET(PLE!$G$14,$M346,CJ$13))))</f>
        <v>1000000000000</v>
      </c>
      <c r="CK346" s="216">
        <f ca="1">IF($D346&lt;&gt;"Serviço",0,IF(OR(AND(AUTOEVENTO="Manual",$M346=1),$M346&gt;(ROW(PLE.lastrow)-ROW(PLE.firstrow))),0,IF(OFFSET(PLE!$G$14,$M346,CK$13)="",10^12,OFFSET(PLE!$G$14,$M346,CK$13))))</f>
        <v>1000000000000</v>
      </c>
      <c r="CL346" s="216">
        <f ca="1">IF($D346&lt;&gt;"Serviço",0,IF(OR(AND(AUTOEVENTO="Manual",$M346=1),$M346&gt;(ROW(PLE.lastrow)-ROW(PLE.firstrow))),0,IF(OFFSET(PLE!$G$14,$M346,CL$13)="",10^12,OFFSET(PLE!$G$14,$M346,CL$13))))</f>
        <v>1000000000000</v>
      </c>
      <c r="CM346" s="216">
        <f ca="1">IF($D346&lt;&gt;"Serviço",0,IF(OR(AND(AUTOEVENTO="Manual",$M346=1),$M346&gt;(ROW(PLE.lastrow)-ROW(PLE.firstrow))),0,IF(OFFSET(PLE!$G$14,$M346,CM$13)="",10^12,OFFSET(PLE!$G$14,$M346,CM$13))))</f>
        <v>1000000000000</v>
      </c>
    </row>
    <row r="347" spans="1:91" ht="13.2" x14ac:dyDescent="0.25">
      <c r="A347" s="9">
        <f t="shared" ca="1" si="14"/>
        <v>0</v>
      </c>
      <c r="B347" s="9" t="str">
        <f ca="1">OFFSET(ORÇAMENTO!C$15,ROW(B347)-ROW(B$15),0)</f>
        <v>S</v>
      </c>
      <c r="C347" s="9" t="str">
        <f ca="1">OFFSET(ORÇAMENTO!L$15,ROW(C347)-ROW(C$15),0)</f>
        <v/>
      </c>
      <c r="D347" s="145" t="str">
        <f ca="1">OFFSET(ORÇAMENTO!N$15,ROW(D347)-ROW(D$15),0)</f>
        <v>Serviço</v>
      </c>
      <c r="E347" s="205" t="str">
        <f ca="1">OFFSET(ORÇAMENTO!O$15,ROW(E347)-ROW(E$15),0)</f>
        <v>-</v>
      </c>
      <c r="F347" s="206" t="str">
        <f ca="1">OFFSET(ORÇAMENTO!R$15,ROW(F347)-ROW(F$15),0)</f>
        <v>(abra o arquivo 'Referência 05-2024.xls)</v>
      </c>
      <c r="G347" s="207" t="str">
        <f ca="1">IF($D347&lt;&gt;"Serviço","",OFFSET(ORÇAMENTO!S$15,ROW(G347)-ROW(G$15),0))</f>
        <v>-</v>
      </c>
      <c r="H347" s="151">
        <f ca="1">IF($D347&lt;&gt;"Serviço",0,IF(ACOMPANHAMENTO="BM",ROUND(OFFSET(ORÇAMENTO!AJ$15,ROW(H347)-ROW(H$15),0),15-13*ORÇAMENTO!$AF$7),SUMPRODUCT(($Q$12:$AI$12&lt;&gt;"")*ROUND($Q347:$AI347,15-13*ORÇAMENTO!$AF$7))))</f>
        <v>2</v>
      </c>
      <c r="I347" s="650"/>
      <c r="K347" s="208"/>
      <c r="L347" s="209" t="s">
        <v>257</v>
      </c>
      <c r="M347" s="210">
        <f ca="1">IF($D347&lt;&gt;"Serviço","",IF(AUTOEVENTO="manual",$A347,IF(ISERROR(MATCH($A347,$A$15:OFFSET($A347,-1,0),0)),MAX($M$15:OFFSET(M347,-1,0))+1,INDEX($M$15:OFFSET(M347,-1,0),MATCH($A347,$A$15:OFFSET($A347,-1,0),0)))))</f>
        <v>0</v>
      </c>
      <c r="N347" s="211" t="str">
        <f ca="1">IF($D347&lt;&gt;"Serviço","",IF(AUTOEVENTO="Manual",IF($A347=0,"&lt;-- defina o número do agrupador",OFFSET(EVENTOS!$D$14,$A347,0)),OFFSET($F$15,$A347,0)))</f>
        <v>&lt;-- defina o número do agrupador</v>
      </c>
      <c r="O347" s="212"/>
      <c r="Q347" s="212"/>
      <c r="R347" s="213"/>
      <c r="S347" s="213"/>
      <c r="T347" s="213"/>
      <c r="U347" s="213"/>
      <c r="V347" s="213"/>
      <c r="W347" s="213"/>
      <c r="X347" s="213"/>
      <c r="Y347" s="213"/>
      <c r="Z347" s="214"/>
      <c r="AA347" s="213"/>
      <c r="AB347" s="213"/>
      <c r="AC347" s="213"/>
      <c r="AD347" s="213"/>
      <c r="AE347" s="213"/>
      <c r="AF347" s="213"/>
      <c r="AG347" s="213"/>
      <c r="AH347" s="214"/>
      <c r="AJ347" s="631">
        <f ca="1">IF(AND($D347="Serviço",AJ$12&lt;&gt;0,$H347&gt;0,OR(AUTOEVENTO&lt;&gt;"manual",$M347&lt;&gt;1)),ROUND(OFFSET($P347,0,AJ$13),15-13*ORÇAMENTO!$AF$7)/$H347*OFFSET(ORÇAMENTO!$X$15,ROW(AJ347)-ROW(AJ$15),0),0)</f>
        <v>0</v>
      </c>
      <c r="AK347" s="632">
        <f ca="1">IF(AND($D347="Serviço",AK$12&lt;&gt;0,$H347&gt;0,OR(AUTOEVENTO&lt;&gt;"manual",$M347&lt;&gt;1)),ROUND(OFFSET($P347,0,AK$13),15-13*ORÇAMENTO!$AF$7)/$H347*OFFSET(ORÇAMENTO!$X$15,ROW(AK347)-ROW(AK$15),0),0)</f>
        <v>0</v>
      </c>
      <c r="AL347" s="632">
        <f ca="1">IF(AND($D347="Serviço",AL$12&lt;&gt;0,$H347&gt;0,OR(AUTOEVENTO&lt;&gt;"manual",$M347&lt;&gt;1)),ROUND(OFFSET($P347,0,AL$13),15-13*ORÇAMENTO!$AF$7)/$H347*OFFSET(ORÇAMENTO!$X$15,ROW(AL347)-ROW(AL$15),0),0)</f>
        <v>0</v>
      </c>
      <c r="AM347" s="632">
        <f ca="1">IF(AND($D347="Serviço",AM$12&lt;&gt;0,$H347&gt;0,OR(AUTOEVENTO&lt;&gt;"manual",$M347&lt;&gt;1)),ROUND(OFFSET($P347,0,AM$13),15-13*ORÇAMENTO!$AF$7)/$H347*OFFSET(ORÇAMENTO!$X$15,ROW(AM347)-ROW(AM$15),0),0)</f>
        <v>0</v>
      </c>
      <c r="AN347" s="632">
        <f ca="1">IF(AND($D347="Serviço",AN$12&lt;&gt;0,$H347&gt;0,OR(AUTOEVENTO&lt;&gt;"manual",$M347&lt;&gt;1)),ROUND(OFFSET($P347,0,AN$13),15-13*ORÇAMENTO!$AF$7)/$H347*OFFSET(ORÇAMENTO!$X$15,ROW(AN347)-ROW(AN$15),0),0)</f>
        <v>0</v>
      </c>
      <c r="AO347" s="632">
        <f ca="1">IF(AND($D347="Serviço",AO$12&lt;&gt;0,$H347&gt;0,OR(AUTOEVENTO&lt;&gt;"manual",$M347&lt;&gt;1)),ROUND(OFFSET($P347,0,AO$13),15-13*ORÇAMENTO!$AF$7)/$H347*OFFSET(ORÇAMENTO!$X$15,ROW(AO347)-ROW(AO$15),0),0)</f>
        <v>0</v>
      </c>
      <c r="AP347" s="632">
        <f ca="1">IF(AND($D347="Serviço",AP$12&lt;&gt;0,$H347&gt;0,OR(AUTOEVENTO&lt;&gt;"manual",$M347&lt;&gt;1)),ROUND(OFFSET($P347,0,AP$13),15-13*ORÇAMENTO!$AF$7)/$H347*OFFSET(ORÇAMENTO!$X$15,ROW(AP347)-ROW(AP$15),0),0)</f>
        <v>0</v>
      </c>
      <c r="AQ347" s="632">
        <f ca="1">IF(AND($D347="Serviço",AQ$12&lt;&gt;0,$H347&gt;0,OR(AUTOEVENTO&lt;&gt;"manual",$M347&lt;&gt;1)),ROUND(OFFSET($P347,0,AQ$13),15-13*ORÇAMENTO!$AF$7)/$H347*OFFSET(ORÇAMENTO!$X$15,ROW(AQ347)-ROW(AQ$15),0),0)</f>
        <v>0</v>
      </c>
      <c r="AR347" s="632">
        <f ca="1">IF(AND($D347="Serviço",AR$12&lt;&gt;0,$H347&gt;0,OR(AUTOEVENTO&lt;&gt;"manual",$M347&lt;&gt;1)),ROUND(OFFSET($P347,0,AR$13),15-13*ORÇAMENTO!$AF$7)/$H347*OFFSET(ORÇAMENTO!$X$15,ROW(AR347)-ROW(AR$15),0),0)</f>
        <v>0</v>
      </c>
      <c r="AS347" s="633">
        <f ca="1">IF(AND($D347="Serviço",AS$12&lt;&gt;0,$H347&gt;0,OR(AUTOEVENTO&lt;&gt;"manual",$M347&lt;&gt;1)),ROUND(OFFSET($P347,0,AS$13),15-13*ORÇAMENTO!$AF$7)/$H347*OFFSET(ORÇAMENTO!$X$15,ROW(AS347)-ROW(AS$15),0),0)</f>
        <v>0</v>
      </c>
      <c r="AT347" s="632">
        <f ca="1">IF(AND($D347="Serviço",AT$12&lt;&gt;0,$H347&gt;0,OR(AUTOEVENTO&lt;&gt;"manual",$M347&lt;&gt;1)),ROUND(OFFSET($P347,0,AT$13),15-13*ORÇAMENTO!$AF$7)/$H347*OFFSET(ORÇAMENTO!$X$15,ROW(AT347)-ROW(AT$15),0),0)</f>
        <v>0</v>
      </c>
      <c r="AU347" s="632">
        <f ca="1">IF(AND($D347="Serviço",AU$12&lt;&gt;0,$H347&gt;0,OR(AUTOEVENTO&lt;&gt;"manual",$M347&lt;&gt;1)),ROUND(OFFSET($P347,0,AU$13),15-13*ORÇAMENTO!$AF$7)/$H347*OFFSET(ORÇAMENTO!$X$15,ROW(AU347)-ROW(AU$15),0),0)</f>
        <v>0</v>
      </c>
      <c r="AV347" s="632">
        <f ca="1">IF(AND($D347="Serviço",AV$12&lt;&gt;0,$H347&gt;0,OR(AUTOEVENTO&lt;&gt;"manual",$M347&lt;&gt;1)),ROUND(OFFSET($P347,0,AV$13),15-13*ORÇAMENTO!$AF$7)/$H347*OFFSET(ORÇAMENTO!$X$15,ROW(AV347)-ROW(AV$15),0),0)</f>
        <v>0</v>
      </c>
      <c r="AW347" s="632">
        <f ca="1">IF(AND($D347="Serviço",AW$12&lt;&gt;0,$H347&gt;0,OR(AUTOEVENTO&lt;&gt;"manual",$M347&lt;&gt;1)),ROUND(OFFSET($P347,0,AW$13),15-13*ORÇAMENTO!$AF$7)/$H347*OFFSET(ORÇAMENTO!$X$15,ROW(AW347)-ROW(AW$15),0),0)</f>
        <v>0</v>
      </c>
      <c r="AX347" s="632">
        <f ca="1">IF(AND($D347="Serviço",AX$12&lt;&gt;0,$H347&gt;0,OR(AUTOEVENTO&lt;&gt;"manual",$M347&lt;&gt;1)),ROUND(OFFSET($P347,0,AX$13),15-13*ORÇAMENTO!$AF$7)/$H347*OFFSET(ORÇAMENTO!$X$15,ROW(AX347)-ROW(AX$15),0),0)</f>
        <v>0</v>
      </c>
      <c r="AY347" s="632">
        <f ca="1">IF(AND($D347="Serviço",AY$12&lt;&gt;0,$H347&gt;0,OR(AUTOEVENTO&lt;&gt;"manual",$M347&lt;&gt;1)),ROUND(OFFSET($P347,0,AY$13),15-13*ORÇAMENTO!$AF$7)/$H347*OFFSET(ORÇAMENTO!$X$15,ROW(AY347)-ROW(AY$15),0),0)</f>
        <v>0</v>
      </c>
      <c r="AZ347" s="632">
        <f ca="1">IF(AND($D347="Serviço",AZ$12&lt;&gt;0,$H347&gt;0,OR(AUTOEVENTO&lt;&gt;"manual",$M347&lt;&gt;1)),ROUND(OFFSET($P347,0,AZ$13),15-13*ORÇAMENTO!$AF$7)/$H347*OFFSET(ORÇAMENTO!$X$15,ROW(AZ347)-ROW(AZ$15),0),0)</f>
        <v>0</v>
      </c>
      <c r="BA347" s="633">
        <f ca="1">IF(AND($D347="Serviço",BA$12&lt;&gt;0,$H347&gt;0,OR(AUTOEVENTO&lt;&gt;"manual",$M347&lt;&gt;1)),ROUND(OFFSET($P347,0,BA$13),15-13*ORÇAMENTO!$AF$7)/$H347*OFFSET(ORÇAMENTO!$X$15,ROW(BA347)-ROW(BA$15),0),0)</f>
        <v>0</v>
      </c>
      <c r="BC347" s="215">
        <f ca="1">IF($D347&lt;&gt;"Serviço",0,IF(AND(AUTOEVENTO="Manual",$M347=1),0,IF(OFFSET(CRONOPLE!$F$14,$M347,BC$13)="",10^12,OFFSET(CRONOPLE!$F$14,$M347,BC$13))))</f>
        <v>1000000000000</v>
      </c>
      <c r="BD347" s="215">
        <f ca="1">IF($D347&lt;&gt;"Serviço",0,IF(AND(AUTOEVENTO="Manual",$M347=1),0,IF(OFFSET(CRONOPLE!$F$14,$M347,BD$13)="",10^12,OFFSET(CRONOPLE!$F$14,$M347,BD$13))))</f>
        <v>1000000000000</v>
      </c>
      <c r="BE347" s="215">
        <f ca="1">IF($D347&lt;&gt;"Serviço",0,IF(AND(AUTOEVENTO="Manual",$M347=1),0,IF(OFFSET(CRONOPLE!$F$14,$M347,BE$13)="",10^12,OFFSET(CRONOPLE!$F$14,$M347,BE$13))))</f>
        <v>1000000000000</v>
      </c>
      <c r="BF347" s="215">
        <f ca="1">IF($D347&lt;&gt;"Serviço",0,IF(AND(AUTOEVENTO="Manual",$M347=1),0,IF(OFFSET(CRONOPLE!$F$14,$M347,BF$13)="",10^12,OFFSET(CRONOPLE!$F$14,$M347,BF$13))))</f>
        <v>1000000000000</v>
      </c>
      <c r="BG347" s="215">
        <f ca="1">IF($D347&lt;&gt;"Serviço",0,IF(AND(AUTOEVENTO="Manual",$M347=1),0,IF(OFFSET(CRONOPLE!$F$14,$M347,BG$13)="",10^12,OFFSET(CRONOPLE!$F$14,$M347,BG$13))))</f>
        <v>1000000000000</v>
      </c>
      <c r="BH347" s="215">
        <f ca="1">IF($D347&lt;&gt;"Serviço",0,IF(AND(AUTOEVENTO="Manual",$M347=1),0,IF(OFFSET(CRONOPLE!$F$14,$M347,BH$13)="",10^12,OFFSET(CRONOPLE!$F$14,$M347,BH$13))))</f>
        <v>1000000000000</v>
      </c>
      <c r="BI347" s="215">
        <f ca="1">IF($D347&lt;&gt;"Serviço",0,IF(AND(AUTOEVENTO="Manual",$M347=1),0,IF(OFFSET(CRONOPLE!$F$14,$M347,BI$13)="",10^12,OFFSET(CRONOPLE!$F$14,$M347,BI$13))))</f>
        <v>1000000000000</v>
      </c>
      <c r="BJ347" s="215">
        <f ca="1">IF($D347&lt;&gt;"Serviço",0,IF(AND(AUTOEVENTO="Manual",$M347=1),0,IF(OFFSET(CRONOPLE!$F$14,$M347,BJ$13)="",10^12,OFFSET(CRONOPLE!$F$14,$M347,BJ$13))))</f>
        <v>1000000000000</v>
      </c>
      <c r="BK347" s="215">
        <f ca="1">IF($D347&lt;&gt;"Serviço",0,IF(AND(AUTOEVENTO="Manual",$M347=1),0,IF(OFFSET(CRONOPLE!$F$14,$M347,BK$13)="",10^12,OFFSET(CRONOPLE!$F$14,$M347,BK$13))))</f>
        <v>1000000000000</v>
      </c>
      <c r="BL347" s="215">
        <f ca="1">IF($D347&lt;&gt;"Serviço",0,IF(AND(AUTOEVENTO="Manual",$M347=1),0,IF(OFFSET(CRONOPLE!$F$14,$M347,BL$13)="",10^12,OFFSET(CRONOPLE!$F$14,$M347,BL$13))))</f>
        <v>1000000000000</v>
      </c>
      <c r="BM347" s="215">
        <f ca="1">IF($D347&lt;&gt;"Serviço",0,IF(AND(AUTOEVENTO="Manual",$M347=1),0,IF(OFFSET(CRONOPLE!$F$14,$M347,BM$13)="",10^12,OFFSET(CRONOPLE!$F$14,$M347,BM$13))))</f>
        <v>1000000000000</v>
      </c>
      <c r="BN347" s="215">
        <f ca="1">IF($D347&lt;&gt;"Serviço",0,IF(AND(AUTOEVENTO="Manual",$M347=1),0,IF(OFFSET(CRONOPLE!$F$14,$M347,BN$13)="",10^12,OFFSET(CRONOPLE!$F$14,$M347,BN$13))))</f>
        <v>1000000000000</v>
      </c>
      <c r="BO347" s="215">
        <f ca="1">IF($D347&lt;&gt;"Serviço",0,IF(AND(AUTOEVENTO="Manual",$M347=1),0,IF(OFFSET(CRONOPLE!$F$14,$M347,BO$13)="",10^12,OFFSET(CRONOPLE!$F$14,$M347,BO$13))))</f>
        <v>1000000000000</v>
      </c>
      <c r="BP347" s="215">
        <f ca="1">IF($D347&lt;&gt;"Serviço",0,IF(AND(AUTOEVENTO="Manual",$M347=1),0,IF(OFFSET(CRONOPLE!$F$14,$M347,BP$13)="",10^12,OFFSET(CRONOPLE!$F$14,$M347,BP$13))))</f>
        <v>1000000000000</v>
      </c>
      <c r="BQ347" s="215">
        <f ca="1">IF($D347&lt;&gt;"Serviço",0,IF(AND(AUTOEVENTO="Manual",$M347=1),0,IF(OFFSET(CRONOPLE!$F$14,$M347,BQ$13)="",10^12,OFFSET(CRONOPLE!$F$14,$M347,BQ$13))))</f>
        <v>1000000000000</v>
      </c>
      <c r="BR347" s="215">
        <f ca="1">IF($D347&lt;&gt;"Serviço",0,IF(AND(AUTOEVENTO="Manual",$M347=1),0,IF(OFFSET(CRONOPLE!$F$14,$M347,BR$13)="",10^12,OFFSET(CRONOPLE!$F$14,$M347,BR$13))))</f>
        <v>1000000000000</v>
      </c>
      <c r="BS347" s="215">
        <f ca="1">IF($D347&lt;&gt;"Serviço",0,IF(AND(AUTOEVENTO="Manual",$M347=1),0,IF(OFFSET(CRONOPLE!$F$14,$M347,BS$13)="",10^12,OFFSET(CRONOPLE!$F$14,$M347,BS$13))))</f>
        <v>1000000000000</v>
      </c>
      <c r="BT347" s="215">
        <f ca="1">IF($D347&lt;&gt;"Serviço",0,IF(AND(AUTOEVENTO="Manual",$M347=1),0,IF(OFFSET(CRONOPLE!$F$14,$M347,BT$13)="",10^12,OFFSET(CRONOPLE!$F$14,$M347,BT$13))))</f>
        <v>1000000000000</v>
      </c>
      <c r="BV347" s="216">
        <f ca="1">IF($D347&lt;&gt;"Serviço",0,IF(OR(AND(AUTOEVENTO="Manual",$M347=1),$M347&gt;(ROW(PLE.lastrow)-ROW(PLE.firstrow))),0,IF(OFFSET(PLE!$G$14,$M347,BV$13)="",10^12,OFFSET(PLE!$G$14,$M347,BV$13))))</f>
        <v>1000000000000</v>
      </c>
      <c r="BW347" s="216">
        <f ca="1">IF($D347&lt;&gt;"Serviço",0,IF(OR(AND(AUTOEVENTO="Manual",$M347=1),$M347&gt;(ROW(PLE.lastrow)-ROW(PLE.firstrow))),0,IF(OFFSET(PLE!$G$14,$M347,BW$13)="",10^12,OFFSET(PLE!$G$14,$M347,BW$13))))</f>
        <v>1000000000000</v>
      </c>
      <c r="BX347" s="216">
        <f ca="1">IF($D347&lt;&gt;"Serviço",0,IF(OR(AND(AUTOEVENTO="Manual",$M347=1),$M347&gt;(ROW(PLE.lastrow)-ROW(PLE.firstrow))),0,IF(OFFSET(PLE!$G$14,$M347,BX$13)="",10^12,OFFSET(PLE!$G$14,$M347,BX$13))))</f>
        <v>1000000000000</v>
      </c>
      <c r="BY347" s="216">
        <f ca="1">IF($D347&lt;&gt;"Serviço",0,IF(OR(AND(AUTOEVENTO="Manual",$M347=1),$M347&gt;(ROW(PLE.lastrow)-ROW(PLE.firstrow))),0,IF(OFFSET(PLE!$G$14,$M347,BY$13)="",10^12,OFFSET(PLE!$G$14,$M347,BY$13))))</f>
        <v>1000000000000</v>
      </c>
      <c r="BZ347" s="216">
        <f ca="1">IF($D347&lt;&gt;"Serviço",0,IF(OR(AND(AUTOEVENTO="Manual",$M347=1),$M347&gt;(ROW(PLE.lastrow)-ROW(PLE.firstrow))),0,IF(OFFSET(PLE!$G$14,$M347,BZ$13)="",10^12,OFFSET(PLE!$G$14,$M347,BZ$13))))</f>
        <v>1000000000000</v>
      </c>
      <c r="CA347" s="216">
        <f ca="1">IF($D347&lt;&gt;"Serviço",0,IF(OR(AND(AUTOEVENTO="Manual",$M347=1),$M347&gt;(ROW(PLE.lastrow)-ROW(PLE.firstrow))),0,IF(OFFSET(PLE!$G$14,$M347,CA$13)="",10^12,OFFSET(PLE!$G$14,$M347,CA$13))))</f>
        <v>1000000000000</v>
      </c>
      <c r="CB347" s="216">
        <f ca="1">IF($D347&lt;&gt;"Serviço",0,IF(OR(AND(AUTOEVENTO="Manual",$M347=1),$M347&gt;(ROW(PLE.lastrow)-ROW(PLE.firstrow))),0,IF(OFFSET(PLE!$G$14,$M347,CB$13)="",10^12,OFFSET(PLE!$G$14,$M347,CB$13))))</f>
        <v>1000000000000</v>
      </c>
      <c r="CC347" s="216">
        <f ca="1">IF($D347&lt;&gt;"Serviço",0,IF(OR(AND(AUTOEVENTO="Manual",$M347=1),$M347&gt;(ROW(PLE.lastrow)-ROW(PLE.firstrow))),0,IF(OFFSET(PLE!$G$14,$M347,CC$13)="",10^12,OFFSET(PLE!$G$14,$M347,CC$13))))</f>
        <v>1000000000000</v>
      </c>
      <c r="CD347" s="216">
        <f ca="1">IF($D347&lt;&gt;"Serviço",0,IF(OR(AND(AUTOEVENTO="Manual",$M347=1),$M347&gt;(ROW(PLE.lastrow)-ROW(PLE.firstrow))),0,IF(OFFSET(PLE!$G$14,$M347,CD$13)="",10^12,OFFSET(PLE!$G$14,$M347,CD$13))))</f>
        <v>1000000000000</v>
      </c>
      <c r="CE347" s="216">
        <f ca="1">IF($D347&lt;&gt;"Serviço",0,IF(OR(AND(AUTOEVENTO="Manual",$M347=1),$M347&gt;(ROW(PLE.lastrow)-ROW(PLE.firstrow))),0,IF(OFFSET(PLE!$G$14,$M347,CE$13)="",10^12,OFFSET(PLE!$G$14,$M347,CE$13))))</f>
        <v>1000000000000</v>
      </c>
      <c r="CF347" s="216">
        <f ca="1">IF($D347&lt;&gt;"Serviço",0,IF(OR(AND(AUTOEVENTO="Manual",$M347=1),$M347&gt;(ROW(PLE.lastrow)-ROW(PLE.firstrow))),0,IF(OFFSET(PLE!$G$14,$M347,CF$13)="",10^12,OFFSET(PLE!$G$14,$M347,CF$13))))</f>
        <v>1000000000000</v>
      </c>
      <c r="CG347" s="216">
        <f ca="1">IF($D347&lt;&gt;"Serviço",0,IF(OR(AND(AUTOEVENTO="Manual",$M347=1),$M347&gt;(ROW(PLE.lastrow)-ROW(PLE.firstrow))),0,IF(OFFSET(PLE!$G$14,$M347,CG$13)="",10^12,OFFSET(PLE!$G$14,$M347,CG$13))))</f>
        <v>1000000000000</v>
      </c>
      <c r="CH347" s="216">
        <f ca="1">IF($D347&lt;&gt;"Serviço",0,IF(OR(AND(AUTOEVENTO="Manual",$M347=1),$M347&gt;(ROW(PLE.lastrow)-ROW(PLE.firstrow))),0,IF(OFFSET(PLE!$G$14,$M347,CH$13)="",10^12,OFFSET(PLE!$G$14,$M347,CH$13))))</f>
        <v>1000000000000</v>
      </c>
      <c r="CI347" s="216">
        <f ca="1">IF($D347&lt;&gt;"Serviço",0,IF(OR(AND(AUTOEVENTO="Manual",$M347=1),$M347&gt;(ROW(PLE.lastrow)-ROW(PLE.firstrow))),0,IF(OFFSET(PLE!$G$14,$M347,CI$13)="",10^12,OFFSET(PLE!$G$14,$M347,CI$13))))</f>
        <v>1000000000000</v>
      </c>
      <c r="CJ347" s="216">
        <f ca="1">IF($D347&lt;&gt;"Serviço",0,IF(OR(AND(AUTOEVENTO="Manual",$M347=1),$M347&gt;(ROW(PLE.lastrow)-ROW(PLE.firstrow))),0,IF(OFFSET(PLE!$G$14,$M347,CJ$13)="",10^12,OFFSET(PLE!$G$14,$M347,CJ$13))))</f>
        <v>1000000000000</v>
      </c>
      <c r="CK347" s="216">
        <f ca="1">IF($D347&lt;&gt;"Serviço",0,IF(OR(AND(AUTOEVENTO="Manual",$M347=1),$M347&gt;(ROW(PLE.lastrow)-ROW(PLE.firstrow))),0,IF(OFFSET(PLE!$G$14,$M347,CK$13)="",10^12,OFFSET(PLE!$G$14,$M347,CK$13))))</f>
        <v>1000000000000</v>
      </c>
      <c r="CL347" s="216">
        <f ca="1">IF($D347&lt;&gt;"Serviço",0,IF(OR(AND(AUTOEVENTO="Manual",$M347=1),$M347&gt;(ROW(PLE.lastrow)-ROW(PLE.firstrow))),0,IF(OFFSET(PLE!$G$14,$M347,CL$13)="",10^12,OFFSET(PLE!$G$14,$M347,CL$13))))</f>
        <v>1000000000000</v>
      </c>
      <c r="CM347" s="216">
        <f ca="1">IF($D347&lt;&gt;"Serviço",0,IF(OR(AND(AUTOEVENTO="Manual",$M347=1),$M347&gt;(ROW(PLE.lastrow)-ROW(PLE.firstrow))),0,IF(OFFSET(PLE!$G$14,$M347,CM$13)="",10^12,OFFSET(PLE!$G$14,$M347,CM$13))))</f>
        <v>1000000000000</v>
      </c>
    </row>
    <row r="348" spans="1:91" ht="13.2" x14ac:dyDescent="0.25">
      <c r="A348" s="9">
        <f t="shared" ca="1" si="14"/>
        <v>0</v>
      </c>
      <c r="B348" s="9" t="str">
        <f ca="1">OFFSET(ORÇAMENTO!C$15,ROW(B348)-ROW(B$15),0)</f>
        <v>S</v>
      </c>
      <c r="C348" s="9" t="str">
        <f ca="1">OFFSET(ORÇAMENTO!L$15,ROW(C348)-ROW(C$15),0)</f>
        <v/>
      </c>
      <c r="D348" s="145" t="str">
        <f ca="1">OFFSET(ORÇAMENTO!N$15,ROW(D348)-ROW(D$15),0)</f>
        <v>Serviço</v>
      </c>
      <c r="E348" s="205" t="str">
        <f ca="1">OFFSET(ORÇAMENTO!O$15,ROW(E348)-ROW(E$15),0)</f>
        <v>-</v>
      </c>
      <c r="F348" s="206" t="str">
        <f ca="1">OFFSET(ORÇAMENTO!R$15,ROW(F348)-ROW(F$15),0)</f>
        <v>(abra o arquivo 'Referência 05-2024.xls)</v>
      </c>
      <c r="G348" s="207" t="str">
        <f ca="1">IF($D348&lt;&gt;"Serviço","",OFFSET(ORÇAMENTO!S$15,ROW(G348)-ROW(G$15),0))</f>
        <v>-</v>
      </c>
      <c r="H348" s="151">
        <f ca="1">IF($D348&lt;&gt;"Serviço",0,IF(ACOMPANHAMENTO="BM",ROUND(OFFSET(ORÇAMENTO!AJ$15,ROW(H348)-ROW(H$15),0),15-13*ORÇAMENTO!$AF$7),SUMPRODUCT(($Q$12:$AI$12&lt;&gt;"")*ROUND($Q348:$AI348,15-13*ORÇAMENTO!$AF$7))))</f>
        <v>16</v>
      </c>
      <c r="I348" s="650"/>
      <c r="K348" s="208"/>
      <c r="L348" s="209" t="s">
        <v>257</v>
      </c>
      <c r="M348" s="210">
        <f ca="1">IF($D348&lt;&gt;"Serviço","",IF(AUTOEVENTO="manual",$A348,IF(ISERROR(MATCH($A348,$A$15:OFFSET($A348,-1,0),0)),MAX($M$15:OFFSET(M348,-1,0))+1,INDEX($M$15:OFFSET(M348,-1,0),MATCH($A348,$A$15:OFFSET($A348,-1,0),0)))))</f>
        <v>0</v>
      </c>
      <c r="N348" s="211" t="str">
        <f ca="1">IF($D348&lt;&gt;"Serviço","",IF(AUTOEVENTO="Manual",IF($A348=0,"&lt;-- defina o número do agrupador",OFFSET(EVENTOS!$D$14,$A348,0)),OFFSET($F$15,$A348,0)))</f>
        <v>&lt;-- defina o número do agrupador</v>
      </c>
      <c r="O348" s="212"/>
      <c r="Q348" s="212"/>
      <c r="R348" s="213"/>
      <c r="S348" s="213"/>
      <c r="T348" s="213"/>
      <c r="U348" s="213"/>
      <c r="V348" s="213"/>
      <c r="W348" s="213"/>
      <c r="X348" s="213"/>
      <c r="Y348" s="213"/>
      <c r="Z348" s="214"/>
      <c r="AA348" s="213"/>
      <c r="AB348" s="213"/>
      <c r="AC348" s="213"/>
      <c r="AD348" s="213"/>
      <c r="AE348" s="213"/>
      <c r="AF348" s="213"/>
      <c r="AG348" s="213"/>
      <c r="AH348" s="214"/>
      <c r="AJ348" s="631">
        <f ca="1">IF(AND($D348="Serviço",AJ$12&lt;&gt;0,$H348&gt;0,OR(AUTOEVENTO&lt;&gt;"manual",$M348&lt;&gt;1)),ROUND(OFFSET($P348,0,AJ$13),15-13*ORÇAMENTO!$AF$7)/$H348*OFFSET(ORÇAMENTO!$X$15,ROW(AJ348)-ROW(AJ$15),0),0)</f>
        <v>0</v>
      </c>
      <c r="AK348" s="632">
        <f ca="1">IF(AND($D348="Serviço",AK$12&lt;&gt;0,$H348&gt;0,OR(AUTOEVENTO&lt;&gt;"manual",$M348&lt;&gt;1)),ROUND(OFFSET($P348,0,AK$13),15-13*ORÇAMENTO!$AF$7)/$H348*OFFSET(ORÇAMENTO!$X$15,ROW(AK348)-ROW(AK$15),0),0)</f>
        <v>0</v>
      </c>
      <c r="AL348" s="632">
        <f ca="1">IF(AND($D348="Serviço",AL$12&lt;&gt;0,$H348&gt;0,OR(AUTOEVENTO&lt;&gt;"manual",$M348&lt;&gt;1)),ROUND(OFFSET($P348,0,AL$13),15-13*ORÇAMENTO!$AF$7)/$H348*OFFSET(ORÇAMENTO!$X$15,ROW(AL348)-ROW(AL$15),0),0)</f>
        <v>0</v>
      </c>
      <c r="AM348" s="632">
        <f ca="1">IF(AND($D348="Serviço",AM$12&lt;&gt;0,$H348&gt;0,OR(AUTOEVENTO&lt;&gt;"manual",$M348&lt;&gt;1)),ROUND(OFFSET($P348,0,AM$13),15-13*ORÇAMENTO!$AF$7)/$H348*OFFSET(ORÇAMENTO!$X$15,ROW(AM348)-ROW(AM$15),0),0)</f>
        <v>0</v>
      </c>
      <c r="AN348" s="632">
        <f ca="1">IF(AND($D348="Serviço",AN$12&lt;&gt;0,$H348&gt;0,OR(AUTOEVENTO&lt;&gt;"manual",$M348&lt;&gt;1)),ROUND(OFFSET($P348,0,AN$13),15-13*ORÇAMENTO!$AF$7)/$H348*OFFSET(ORÇAMENTO!$X$15,ROW(AN348)-ROW(AN$15),0),0)</f>
        <v>0</v>
      </c>
      <c r="AO348" s="632">
        <f ca="1">IF(AND($D348="Serviço",AO$12&lt;&gt;0,$H348&gt;0,OR(AUTOEVENTO&lt;&gt;"manual",$M348&lt;&gt;1)),ROUND(OFFSET($P348,0,AO$13),15-13*ORÇAMENTO!$AF$7)/$H348*OFFSET(ORÇAMENTO!$X$15,ROW(AO348)-ROW(AO$15),0),0)</f>
        <v>0</v>
      </c>
      <c r="AP348" s="632">
        <f ca="1">IF(AND($D348="Serviço",AP$12&lt;&gt;0,$H348&gt;0,OR(AUTOEVENTO&lt;&gt;"manual",$M348&lt;&gt;1)),ROUND(OFFSET($P348,0,AP$13),15-13*ORÇAMENTO!$AF$7)/$H348*OFFSET(ORÇAMENTO!$X$15,ROW(AP348)-ROW(AP$15),0),0)</f>
        <v>0</v>
      </c>
      <c r="AQ348" s="632">
        <f ca="1">IF(AND($D348="Serviço",AQ$12&lt;&gt;0,$H348&gt;0,OR(AUTOEVENTO&lt;&gt;"manual",$M348&lt;&gt;1)),ROUND(OFFSET($P348,0,AQ$13),15-13*ORÇAMENTO!$AF$7)/$H348*OFFSET(ORÇAMENTO!$X$15,ROW(AQ348)-ROW(AQ$15),0),0)</f>
        <v>0</v>
      </c>
      <c r="AR348" s="632">
        <f ca="1">IF(AND($D348="Serviço",AR$12&lt;&gt;0,$H348&gt;0,OR(AUTOEVENTO&lt;&gt;"manual",$M348&lt;&gt;1)),ROUND(OFFSET($P348,0,AR$13),15-13*ORÇAMENTO!$AF$7)/$H348*OFFSET(ORÇAMENTO!$X$15,ROW(AR348)-ROW(AR$15),0),0)</f>
        <v>0</v>
      </c>
      <c r="AS348" s="633">
        <f ca="1">IF(AND($D348="Serviço",AS$12&lt;&gt;0,$H348&gt;0,OR(AUTOEVENTO&lt;&gt;"manual",$M348&lt;&gt;1)),ROUND(OFFSET($P348,0,AS$13),15-13*ORÇAMENTO!$AF$7)/$H348*OFFSET(ORÇAMENTO!$X$15,ROW(AS348)-ROW(AS$15),0),0)</f>
        <v>0</v>
      </c>
      <c r="AT348" s="632">
        <f ca="1">IF(AND($D348="Serviço",AT$12&lt;&gt;0,$H348&gt;0,OR(AUTOEVENTO&lt;&gt;"manual",$M348&lt;&gt;1)),ROUND(OFFSET($P348,0,AT$13),15-13*ORÇAMENTO!$AF$7)/$H348*OFFSET(ORÇAMENTO!$X$15,ROW(AT348)-ROW(AT$15),0),0)</f>
        <v>0</v>
      </c>
      <c r="AU348" s="632">
        <f ca="1">IF(AND($D348="Serviço",AU$12&lt;&gt;0,$H348&gt;0,OR(AUTOEVENTO&lt;&gt;"manual",$M348&lt;&gt;1)),ROUND(OFFSET($P348,0,AU$13),15-13*ORÇAMENTO!$AF$7)/$H348*OFFSET(ORÇAMENTO!$X$15,ROW(AU348)-ROW(AU$15),0),0)</f>
        <v>0</v>
      </c>
      <c r="AV348" s="632">
        <f ca="1">IF(AND($D348="Serviço",AV$12&lt;&gt;0,$H348&gt;0,OR(AUTOEVENTO&lt;&gt;"manual",$M348&lt;&gt;1)),ROUND(OFFSET($P348,0,AV$13),15-13*ORÇAMENTO!$AF$7)/$H348*OFFSET(ORÇAMENTO!$X$15,ROW(AV348)-ROW(AV$15),0),0)</f>
        <v>0</v>
      </c>
      <c r="AW348" s="632">
        <f ca="1">IF(AND($D348="Serviço",AW$12&lt;&gt;0,$H348&gt;0,OR(AUTOEVENTO&lt;&gt;"manual",$M348&lt;&gt;1)),ROUND(OFFSET($P348,0,AW$13),15-13*ORÇAMENTO!$AF$7)/$H348*OFFSET(ORÇAMENTO!$X$15,ROW(AW348)-ROW(AW$15),0),0)</f>
        <v>0</v>
      </c>
      <c r="AX348" s="632">
        <f ca="1">IF(AND($D348="Serviço",AX$12&lt;&gt;0,$H348&gt;0,OR(AUTOEVENTO&lt;&gt;"manual",$M348&lt;&gt;1)),ROUND(OFFSET($P348,0,AX$13),15-13*ORÇAMENTO!$AF$7)/$H348*OFFSET(ORÇAMENTO!$X$15,ROW(AX348)-ROW(AX$15),0),0)</f>
        <v>0</v>
      </c>
      <c r="AY348" s="632">
        <f ca="1">IF(AND($D348="Serviço",AY$12&lt;&gt;0,$H348&gt;0,OR(AUTOEVENTO&lt;&gt;"manual",$M348&lt;&gt;1)),ROUND(OFFSET($P348,0,AY$13),15-13*ORÇAMENTO!$AF$7)/$H348*OFFSET(ORÇAMENTO!$X$15,ROW(AY348)-ROW(AY$15),0),0)</f>
        <v>0</v>
      </c>
      <c r="AZ348" s="632">
        <f ca="1">IF(AND($D348="Serviço",AZ$12&lt;&gt;0,$H348&gt;0,OR(AUTOEVENTO&lt;&gt;"manual",$M348&lt;&gt;1)),ROUND(OFFSET($P348,0,AZ$13),15-13*ORÇAMENTO!$AF$7)/$H348*OFFSET(ORÇAMENTO!$X$15,ROW(AZ348)-ROW(AZ$15),0),0)</f>
        <v>0</v>
      </c>
      <c r="BA348" s="633">
        <f ca="1">IF(AND($D348="Serviço",BA$12&lt;&gt;0,$H348&gt;0,OR(AUTOEVENTO&lt;&gt;"manual",$M348&lt;&gt;1)),ROUND(OFFSET($P348,0,BA$13),15-13*ORÇAMENTO!$AF$7)/$H348*OFFSET(ORÇAMENTO!$X$15,ROW(BA348)-ROW(BA$15),0),0)</f>
        <v>0</v>
      </c>
      <c r="BC348" s="215">
        <f ca="1">IF($D348&lt;&gt;"Serviço",0,IF(AND(AUTOEVENTO="Manual",$M348=1),0,IF(OFFSET(CRONOPLE!$F$14,$M348,BC$13)="",10^12,OFFSET(CRONOPLE!$F$14,$M348,BC$13))))</f>
        <v>1000000000000</v>
      </c>
      <c r="BD348" s="215">
        <f ca="1">IF($D348&lt;&gt;"Serviço",0,IF(AND(AUTOEVENTO="Manual",$M348=1),0,IF(OFFSET(CRONOPLE!$F$14,$M348,BD$13)="",10^12,OFFSET(CRONOPLE!$F$14,$M348,BD$13))))</f>
        <v>1000000000000</v>
      </c>
      <c r="BE348" s="215">
        <f ca="1">IF($D348&lt;&gt;"Serviço",0,IF(AND(AUTOEVENTO="Manual",$M348=1),0,IF(OFFSET(CRONOPLE!$F$14,$M348,BE$13)="",10^12,OFFSET(CRONOPLE!$F$14,$M348,BE$13))))</f>
        <v>1000000000000</v>
      </c>
      <c r="BF348" s="215">
        <f ca="1">IF($D348&lt;&gt;"Serviço",0,IF(AND(AUTOEVENTO="Manual",$M348=1),0,IF(OFFSET(CRONOPLE!$F$14,$M348,BF$13)="",10^12,OFFSET(CRONOPLE!$F$14,$M348,BF$13))))</f>
        <v>1000000000000</v>
      </c>
      <c r="BG348" s="215">
        <f ca="1">IF($D348&lt;&gt;"Serviço",0,IF(AND(AUTOEVENTO="Manual",$M348=1),0,IF(OFFSET(CRONOPLE!$F$14,$M348,BG$13)="",10^12,OFFSET(CRONOPLE!$F$14,$M348,BG$13))))</f>
        <v>1000000000000</v>
      </c>
      <c r="BH348" s="215">
        <f ca="1">IF($D348&lt;&gt;"Serviço",0,IF(AND(AUTOEVENTO="Manual",$M348=1),0,IF(OFFSET(CRONOPLE!$F$14,$M348,BH$13)="",10^12,OFFSET(CRONOPLE!$F$14,$M348,BH$13))))</f>
        <v>1000000000000</v>
      </c>
      <c r="BI348" s="215">
        <f ca="1">IF($D348&lt;&gt;"Serviço",0,IF(AND(AUTOEVENTO="Manual",$M348=1),0,IF(OFFSET(CRONOPLE!$F$14,$M348,BI$13)="",10^12,OFFSET(CRONOPLE!$F$14,$M348,BI$13))))</f>
        <v>1000000000000</v>
      </c>
      <c r="BJ348" s="215">
        <f ca="1">IF($D348&lt;&gt;"Serviço",0,IF(AND(AUTOEVENTO="Manual",$M348=1),0,IF(OFFSET(CRONOPLE!$F$14,$M348,BJ$13)="",10^12,OFFSET(CRONOPLE!$F$14,$M348,BJ$13))))</f>
        <v>1000000000000</v>
      </c>
      <c r="BK348" s="215">
        <f ca="1">IF($D348&lt;&gt;"Serviço",0,IF(AND(AUTOEVENTO="Manual",$M348=1),0,IF(OFFSET(CRONOPLE!$F$14,$M348,BK$13)="",10^12,OFFSET(CRONOPLE!$F$14,$M348,BK$13))))</f>
        <v>1000000000000</v>
      </c>
      <c r="BL348" s="215">
        <f ca="1">IF($D348&lt;&gt;"Serviço",0,IF(AND(AUTOEVENTO="Manual",$M348=1),0,IF(OFFSET(CRONOPLE!$F$14,$M348,BL$13)="",10^12,OFFSET(CRONOPLE!$F$14,$M348,BL$13))))</f>
        <v>1000000000000</v>
      </c>
      <c r="BM348" s="215">
        <f ca="1">IF($D348&lt;&gt;"Serviço",0,IF(AND(AUTOEVENTO="Manual",$M348=1),0,IF(OFFSET(CRONOPLE!$F$14,$M348,BM$13)="",10^12,OFFSET(CRONOPLE!$F$14,$M348,BM$13))))</f>
        <v>1000000000000</v>
      </c>
      <c r="BN348" s="215">
        <f ca="1">IF($D348&lt;&gt;"Serviço",0,IF(AND(AUTOEVENTO="Manual",$M348=1),0,IF(OFFSET(CRONOPLE!$F$14,$M348,BN$13)="",10^12,OFFSET(CRONOPLE!$F$14,$M348,BN$13))))</f>
        <v>1000000000000</v>
      </c>
      <c r="BO348" s="215">
        <f ca="1">IF($D348&lt;&gt;"Serviço",0,IF(AND(AUTOEVENTO="Manual",$M348=1),0,IF(OFFSET(CRONOPLE!$F$14,$M348,BO$13)="",10^12,OFFSET(CRONOPLE!$F$14,$M348,BO$13))))</f>
        <v>1000000000000</v>
      </c>
      <c r="BP348" s="215">
        <f ca="1">IF($D348&lt;&gt;"Serviço",0,IF(AND(AUTOEVENTO="Manual",$M348=1),0,IF(OFFSET(CRONOPLE!$F$14,$M348,BP$13)="",10^12,OFFSET(CRONOPLE!$F$14,$M348,BP$13))))</f>
        <v>1000000000000</v>
      </c>
      <c r="BQ348" s="215">
        <f ca="1">IF($D348&lt;&gt;"Serviço",0,IF(AND(AUTOEVENTO="Manual",$M348=1),0,IF(OFFSET(CRONOPLE!$F$14,$M348,BQ$13)="",10^12,OFFSET(CRONOPLE!$F$14,$M348,BQ$13))))</f>
        <v>1000000000000</v>
      </c>
      <c r="BR348" s="215">
        <f ca="1">IF($D348&lt;&gt;"Serviço",0,IF(AND(AUTOEVENTO="Manual",$M348=1),0,IF(OFFSET(CRONOPLE!$F$14,$M348,BR$13)="",10^12,OFFSET(CRONOPLE!$F$14,$M348,BR$13))))</f>
        <v>1000000000000</v>
      </c>
      <c r="BS348" s="215">
        <f ca="1">IF($D348&lt;&gt;"Serviço",0,IF(AND(AUTOEVENTO="Manual",$M348=1),0,IF(OFFSET(CRONOPLE!$F$14,$M348,BS$13)="",10^12,OFFSET(CRONOPLE!$F$14,$M348,BS$13))))</f>
        <v>1000000000000</v>
      </c>
      <c r="BT348" s="215">
        <f ca="1">IF($D348&lt;&gt;"Serviço",0,IF(AND(AUTOEVENTO="Manual",$M348=1),0,IF(OFFSET(CRONOPLE!$F$14,$M348,BT$13)="",10^12,OFFSET(CRONOPLE!$F$14,$M348,BT$13))))</f>
        <v>1000000000000</v>
      </c>
      <c r="BV348" s="216">
        <f ca="1">IF($D348&lt;&gt;"Serviço",0,IF(OR(AND(AUTOEVENTO="Manual",$M348=1),$M348&gt;(ROW(PLE.lastrow)-ROW(PLE.firstrow))),0,IF(OFFSET(PLE!$G$14,$M348,BV$13)="",10^12,OFFSET(PLE!$G$14,$M348,BV$13))))</f>
        <v>1000000000000</v>
      </c>
      <c r="BW348" s="216">
        <f ca="1">IF($D348&lt;&gt;"Serviço",0,IF(OR(AND(AUTOEVENTO="Manual",$M348=1),$M348&gt;(ROW(PLE.lastrow)-ROW(PLE.firstrow))),0,IF(OFFSET(PLE!$G$14,$M348,BW$13)="",10^12,OFFSET(PLE!$G$14,$M348,BW$13))))</f>
        <v>1000000000000</v>
      </c>
      <c r="BX348" s="216">
        <f ca="1">IF($D348&lt;&gt;"Serviço",0,IF(OR(AND(AUTOEVENTO="Manual",$M348=1),$M348&gt;(ROW(PLE.lastrow)-ROW(PLE.firstrow))),0,IF(OFFSET(PLE!$G$14,$M348,BX$13)="",10^12,OFFSET(PLE!$G$14,$M348,BX$13))))</f>
        <v>1000000000000</v>
      </c>
      <c r="BY348" s="216">
        <f ca="1">IF($D348&lt;&gt;"Serviço",0,IF(OR(AND(AUTOEVENTO="Manual",$M348=1),$M348&gt;(ROW(PLE.lastrow)-ROW(PLE.firstrow))),0,IF(OFFSET(PLE!$G$14,$M348,BY$13)="",10^12,OFFSET(PLE!$G$14,$M348,BY$13))))</f>
        <v>1000000000000</v>
      </c>
      <c r="BZ348" s="216">
        <f ca="1">IF($D348&lt;&gt;"Serviço",0,IF(OR(AND(AUTOEVENTO="Manual",$M348=1),$M348&gt;(ROW(PLE.lastrow)-ROW(PLE.firstrow))),0,IF(OFFSET(PLE!$G$14,$M348,BZ$13)="",10^12,OFFSET(PLE!$G$14,$M348,BZ$13))))</f>
        <v>1000000000000</v>
      </c>
      <c r="CA348" s="216">
        <f ca="1">IF($D348&lt;&gt;"Serviço",0,IF(OR(AND(AUTOEVENTO="Manual",$M348=1),$M348&gt;(ROW(PLE.lastrow)-ROW(PLE.firstrow))),0,IF(OFFSET(PLE!$G$14,$M348,CA$13)="",10^12,OFFSET(PLE!$G$14,$M348,CA$13))))</f>
        <v>1000000000000</v>
      </c>
      <c r="CB348" s="216">
        <f ca="1">IF($D348&lt;&gt;"Serviço",0,IF(OR(AND(AUTOEVENTO="Manual",$M348=1),$M348&gt;(ROW(PLE.lastrow)-ROW(PLE.firstrow))),0,IF(OFFSET(PLE!$G$14,$M348,CB$13)="",10^12,OFFSET(PLE!$G$14,$M348,CB$13))))</f>
        <v>1000000000000</v>
      </c>
      <c r="CC348" s="216">
        <f ca="1">IF($D348&lt;&gt;"Serviço",0,IF(OR(AND(AUTOEVENTO="Manual",$M348=1),$M348&gt;(ROW(PLE.lastrow)-ROW(PLE.firstrow))),0,IF(OFFSET(PLE!$G$14,$M348,CC$13)="",10^12,OFFSET(PLE!$G$14,$M348,CC$13))))</f>
        <v>1000000000000</v>
      </c>
      <c r="CD348" s="216">
        <f ca="1">IF($D348&lt;&gt;"Serviço",0,IF(OR(AND(AUTOEVENTO="Manual",$M348=1),$M348&gt;(ROW(PLE.lastrow)-ROW(PLE.firstrow))),0,IF(OFFSET(PLE!$G$14,$M348,CD$13)="",10^12,OFFSET(PLE!$G$14,$M348,CD$13))))</f>
        <v>1000000000000</v>
      </c>
      <c r="CE348" s="216">
        <f ca="1">IF($D348&lt;&gt;"Serviço",0,IF(OR(AND(AUTOEVENTO="Manual",$M348=1),$M348&gt;(ROW(PLE.lastrow)-ROW(PLE.firstrow))),0,IF(OFFSET(PLE!$G$14,$M348,CE$13)="",10^12,OFFSET(PLE!$G$14,$M348,CE$13))))</f>
        <v>1000000000000</v>
      </c>
      <c r="CF348" s="216">
        <f ca="1">IF($D348&lt;&gt;"Serviço",0,IF(OR(AND(AUTOEVENTO="Manual",$M348=1),$M348&gt;(ROW(PLE.lastrow)-ROW(PLE.firstrow))),0,IF(OFFSET(PLE!$G$14,$M348,CF$13)="",10^12,OFFSET(PLE!$G$14,$M348,CF$13))))</f>
        <v>1000000000000</v>
      </c>
      <c r="CG348" s="216">
        <f ca="1">IF($D348&lt;&gt;"Serviço",0,IF(OR(AND(AUTOEVENTO="Manual",$M348=1),$M348&gt;(ROW(PLE.lastrow)-ROW(PLE.firstrow))),0,IF(OFFSET(PLE!$G$14,$M348,CG$13)="",10^12,OFFSET(PLE!$G$14,$M348,CG$13))))</f>
        <v>1000000000000</v>
      </c>
      <c r="CH348" s="216">
        <f ca="1">IF($D348&lt;&gt;"Serviço",0,IF(OR(AND(AUTOEVENTO="Manual",$M348=1),$M348&gt;(ROW(PLE.lastrow)-ROW(PLE.firstrow))),0,IF(OFFSET(PLE!$G$14,$M348,CH$13)="",10^12,OFFSET(PLE!$G$14,$M348,CH$13))))</f>
        <v>1000000000000</v>
      </c>
      <c r="CI348" s="216">
        <f ca="1">IF($D348&lt;&gt;"Serviço",0,IF(OR(AND(AUTOEVENTO="Manual",$M348=1),$M348&gt;(ROW(PLE.lastrow)-ROW(PLE.firstrow))),0,IF(OFFSET(PLE!$G$14,$M348,CI$13)="",10^12,OFFSET(PLE!$G$14,$M348,CI$13))))</f>
        <v>1000000000000</v>
      </c>
      <c r="CJ348" s="216">
        <f ca="1">IF($D348&lt;&gt;"Serviço",0,IF(OR(AND(AUTOEVENTO="Manual",$M348=1),$M348&gt;(ROW(PLE.lastrow)-ROW(PLE.firstrow))),0,IF(OFFSET(PLE!$G$14,$M348,CJ$13)="",10^12,OFFSET(PLE!$G$14,$M348,CJ$13))))</f>
        <v>1000000000000</v>
      </c>
      <c r="CK348" s="216">
        <f ca="1">IF($D348&lt;&gt;"Serviço",0,IF(OR(AND(AUTOEVENTO="Manual",$M348=1),$M348&gt;(ROW(PLE.lastrow)-ROW(PLE.firstrow))),0,IF(OFFSET(PLE!$G$14,$M348,CK$13)="",10^12,OFFSET(PLE!$G$14,$M348,CK$13))))</f>
        <v>1000000000000</v>
      </c>
      <c r="CL348" s="216">
        <f ca="1">IF($D348&lt;&gt;"Serviço",0,IF(OR(AND(AUTOEVENTO="Manual",$M348=1),$M348&gt;(ROW(PLE.lastrow)-ROW(PLE.firstrow))),0,IF(OFFSET(PLE!$G$14,$M348,CL$13)="",10^12,OFFSET(PLE!$G$14,$M348,CL$13))))</f>
        <v>1000000000000</v>
      </c>
      <c r="CM348" s="216">
        <f ca="1">IF($D348&lt;&gt;"Serviço",0,IF(OR(AND(AUTOEVENTO="Manual",$M348=1),$M348&gt;(ROW(PLE.lastrow)-ROW(PLE.firstrow))),0,IF(OFFSET(PLE!$G$14,$M348,CM$13)="",10^12,OFFSET(PLE!$G$14,$M348,CM$13))))</f>
        <v>1000000000000</v>
      </c>
    </row>
    <row r="349" spans="1:91" ht="13.2" x14ac:dyDescent="0.25">
      <c r="A349" s="9">
        <f t="shared" ca="1" si="14"/>
        <v>0</v>
      </c>
      <c r="B349" s="9" t="str">
        <f ca="1">OFFSET(ORÇAMENTO!C$15,ROW(B349)-ROW(B$15),0)</f>
        <v>S</v>
      </c>
      <c r="C349" s="9" t="str">
        <f ca="1">OFFSET(ORÇAMENTO!L$15,ROW(C349)-ROW(C$15),0)</f>
        <v/>
      </c>
      <c r="D349" s="145" t="str">
        <f ca="1">OFFSET(ORÇAMENTO!N$15,ROW(D349)-ROW(D$15),0)</f>
        <v>Serviço</v>
      </c>
      <c r="E349" s="205" t="str">
        <f ca="1">OFFSET(ORÇAMENTO!O$15,ROW(E349)-ROW(E$15),0)</f>
        <v>-</v>
      </c>
      <c r="F349" s="206" t="str">
        <f ca="1">OFFSET(ORÇAMENTO!R$15,ROW(F349)-ROW(F$15),0)</f>
        <v>(abra o arquivo 'Referência 05-2024.xls)</v>
      </c>
      <c r="G349" s="207" t="str">
        <f ca="1">IF($D349&lt;&gt;"Serviço","",OFFSET(ORÇAMENTO!S$15,ROW(G349)-ROW(G$15),0))</f>
        <v>-</v>
      </c>
      <c r="H349" s="151">
        <f ca="1">IF($D349&lt;&gt;"Serviço",0,IF(ACOMPANHAMENTO="BM",ROUND(OFFSET(ORÇAMENTO!AJ$15,ROW(H349)-ROW(H$15),0),15-13*ORÇAMENTO!$AF$7),SUMPRODUCT(($Q$12:$AI$12&lt;&gt;"")*ROUND($Q349:$AI349,15-13*ORÇAMENTO!$AF$7))))</f>
        <v>2</v>
      </c>
      <c r="I349" s="650"/>
      <c r="K349" s="208"/>
      <c r="L349" s="209" t="s">
        <v>257</v>
      </c>
      <c r="M349" s="210">
        <f ca="1">IF($D349&lt;&gt;"Serviço","",IF(AUTOEVENTO="manual",$A349,IF(ISERROR(MATCH($A349,$A$15:OFFSET($A349,-1,0),0)),MAX($M$15:OFFSET(M349,-1,0))+1,INDEX($M$15:OFFSET(M349,-1,0),MATCH($A349,$A$15:OFFSET($A349,-1,0),0)))))</f>
        <v>0</v>
      </c>
      <c r="N349" s="211" t="str">
        <f ca="1">IF($D349&lt;&gt;"Serviço","",IF(AUTOEVENTO="Manual",IF($A349=0,"&lt;-- defina o número do agrupador",OFFSET(EVENTOS!$D$14,$A349,0)),OFFSET($F$15,$A349,0)))</f>
        <v>&lt;-- defina o número do agrupador</v>
      </c>
      <c r="O349" s="212"/>
      <c r="Q349" s="212"/>
      <c r="R349" s="213"/>
      <c r="S349" s="213"/>
      <c r="T349" s="213"/>
      <c r="U349" s="213"/>
      <c r="V349" s="213"/>
      <c r="W349" s="213"/>
      <c r="X349" s="213"/>
      <c r="Y349" s="213"/>
      <c r="Z349" s="214"/>
      <c r="AA349" s="213"/>
      <c r="AB349" s="213"/>
      <c r="AC349" s="213"/>
      <c r="AD349" s="213"/>
      <c r="AE349" s="213"/>
      <c r="AF349" s="213"/>
      <c r="AG349" s="213"/>
      <c r="AH349" s="214"/>
      <c r="AJ349" s="631">
        <f ca="1">IF(AND($D349="Serviço",AJ$12&lt;&gt;0,$H349&gt;0,OR(AUTOEVENTO&lt;&gt;"manual",$M349&lt;&gt;1)),ROUND(OFFSET($P349,0,AJ$13),15-13*ORÇAMENTO!$AF$7)/$H349*OFFSET(ORÇAMENTO!$X$15,ROW(AJ349)-ROW(AJ$15),0),0)</f>
        <v>0</v>
      </c>
      <c r="AK349" s="632">
        <f ca="1">IF(AND($D349="Serviço",AK$12&lt;&gt;0,$H349&gt;0,OR(AUTOEVENTO&lt;&gt;"manual",$M349&lt;&gt;1)),ROUND(OFFSET($P349,0,AK$13),15-13*ORÇAMENTO!$AF$7)/$H349*OFFSET(ORÇAMENTO!$X$15,ROW(AK349)-ROW(AK$15),0),0)</f>
        <v>0</v>
      </c>
      <c r="AL349" s="632">
        <f ca="1">IF(AND($D349="Serviço",AL$12&lt;&gt;0,$H349&gt;0,OR(AUTOEVENTO&lt;&gt;"manual",$M349&lt;&gt;1)),ROUND(OFFSET($P349,0,AL$13),15-13*ORÇAMENTO!$AF$7)/$H349*OFFSET(ORÇAMENTO!$X$15,ROW(AL349)-ROW(AL$15),0),0)</f>
        <v>0</v>
      </c>
      <c r="AM349" s="632">
        <f ca="1">IF(AND($D349="Serviço",AM$12&lt;&gt;0,$H349&gt;0,OR(AUTOEVENTO&lt;&gt;"manual",$M349&lt;&gt;1)),ROUND(OFFSET($P349,0,AM$13),15-13*ORÇAMENTO!$AF$7)/$H349*OFFSET(ORÇAMENTO!$X$15,ROW(AM349)-ROW(AM$15),0),0)</f>
        <v>0</v>
      </c>
      <c r="AN349" s="632">
        <f ca="1">IF(AND($D349="Serviço",AN$12&lt;&gt;0,$H349&gt;0,OR(AUTOEVENTO&lt;&gt;"manual",$M349&lt;&gt;1)),ROUND(OFFSET($P349,0,AN$13),15-13*ORÇAMENTO!$AF$7)/$H349*OFFSET(ORÇAMENTO!$X$15,ROW(AN349)-ROW(AN$15),0),0)</f>
        <v>0</v>
      </c>
      <c r="AO349" s="632">
        <f ca="1">IF(AND($D349="Serviço",AO$12&lt;&gt;0,$H349&gt;0,OR(AUTOEVENTO&lt;&gt;"manual",$M349&lt;&gt;1)),ROUND(OFFSET($P349,0,AO$13),15-13*ORÇAMENTO!$AF$7)/$H349*OFFSET(ORÇAMENTO!$X$15,ROW(AO349)-ROW(AO$15),0),0)</f>
        <v>0</v>
      </c>
      <c r="AP349" s="632">
        <f ca="1">IF(AND($D349="Serviço",AP$12&lt;&gt;0,$H349&gt;0,OR(AUTOEVENTO&lt;&gt;"manual",$M349&lt;&gt;1)),ROUND(OFFSET($P349,0,AP$13),15-13*ORÇAMENTO!$AF$7)/$H349*OFFSET(ORÇAMENTO!$X$15,ROW(AP349)-ROW(AP$15),0),0)</f>
        <v>0</v>
      </c>
      <c r="AQ349" s="632">
        <f ca="1">IF(AND($D349="Serviço",AQ$12&lt;&gt;0,$H349&gt;0,OR(AUTOEVENTO&lt;&gt;"manual",$M349&lt;&gt;1)),ROUND(OFFSET($P349,0,AQ$13),15-13*ORÇAMENTO!$AF$7)/$H349*OFFSET(ORÇAMENTO!$X$15,ROW(AQ349)-ROW(AQ$15),0),0)</f>
        <v>0</v>
      </c>
      <c r="AR349" s="632">
        <f ca="1">IF(AND($D349="Serviço",AR$12&lt;&gt;0,$H349&gt;0,OR(AUTOEVENTO&lt;&gt;"manual",$M349&lt;&gt;1)),ROUND(OFFSET($P349,0,AR$13),15-13*ORÇAMENTO!$AF$7)/$H349*OFFSET(ORÇAMENTO!$X$15,ROW(AR349)-ROW(AR$15),0),0)</f>
        <v>0</v>
      </c>
      <c r="AS349" s="633">
        <f ca="1">IF(AND($D349="Serviço",AS$12&lt;&gt;0,$H349&gt;0,OR(AUTOEVENTO&lt;&gt;"manual",$M349&lt;&gt;1)),ROUND(OFFSET($P349,0,AS$13),15-13*ORÇAMENTO!$AF$7)/$H349*OFFSET(ORÇAMENTO!$X$15,ROW(AS349)-ROW(AS$15),0),0)</f>
        <v>0</v>
      </c>
      <c r="AT349" s="632">
        <f ca="1">IF(AND($D349="Serviço",AT$12&lt;&gt;0,$H349&gt;0,OR(AUTOEVENTO&lt;&gt;"manual",$M349&lt;&gt;1)),ROUND(OFFSET($P349,0,AT$13),15-13*ORÇAMENTO!$AF$7)/$H349*OFFSET(ORÇAMENTO!$X$15,ROW(AT349)-ROW(AT$15),0),0)</f>
        <v>0</v>
      </c>
      <c r="AU349" s="632">
        <f ca="1">IF(AND($D349="Serviço",AU$12&lt;&gt;0,$H349&gt;0,OR(AUTOEVENTO&lt;&gt;"manual",$M349&lt;&gt;1)),ROUND(OFFSET($P349,0,AU$13),15-13*ORÇAMENTO!$AF$7)/$H349*OFFSET(ORÇAMENTO!$X$15,ROW(AU349)-ROW(AU$15),0),0)</f>
        <v>0</v>
      </c>
      <c r="AV349" s="632">
        <f ca="1">IF(AND($D349="Serviço",AV$12&lt;&gt;0,$H349&gt;0,OR(AUTOEVENTO&lt;&gt;"manual",$M349&lt;&gt;1)),ROUND(OFFSET($P349,0,AV$13),15-13*ORÇAMENTO!$AF$7)/$H349*OFFSET(ORÇAMENTO!$X$15,ROW(AV349)-ROW(AV$15),0),0)</f>
        <v>0</v>
      </c>
      <c r="AW349" s="632">
        <f ca="1">IF(AND($D349="Serviço",AW$12&lt;&gt;0,$H349&gt;0,OR(AUTOEVENTO&lt;&gt;"manual",$M349&lt;&gt;1)),ROUND(OFFSET($P349,0,AW$13),15-13*ORÇAMENTO!$AF$7)/$H349*OFFSET(ORÇAMENTO!$X$15,ROW(AW349)-ROW(AW$15),0),0)</f>
        <v>0</v>
      </c>
      <c r="AX349" s="632">
        <f ca="1">IF(AND($D349="Serviço",AX$12&lt;&gt;0,$H349&gt;0,OR(AUTOEVENTO&lt;&gt;"manual",$M349&lt;&gt;1)),ROUND(OFFSET($P349,0,AX$13),15-13*ORÇAMENTO!$AF$7)/$H349*OFFSET(ORÇAMENTO!$X$15,ROW(AX349)-ROW(AX$15),0),0)</f>
        <v>0</v>
      </c>
      <c r="AY349" s="632">
        <f ca="1">IF(AND($D349="Serviço",AY$12&lt;&gt;0,$H349&gt;0,OR(AUTOEVENTO&lt;&gt;"manual",$M349&lt;&gt;1)),ROUND(OFFSET($P349,0,AY$13),15-13*ORÇAMENTO!$AF$7)/$H349*OFFSET(ORÇAMENTO!$X$15,ROW(AY349)-ROW(AY$15),0),0)</f>
        <v>0</v>
      </c>
      <c r="AZ349" s="632">
        <f ca="1">IF(AND($D349="Serviço",AZ$12&lt;&gt;0,$H349&gt;0,OR(AUTOEVENTO&lt;&gt;"manual",$M349&lt;&gt;1)),ROUND(OFFSET($P349,0,AZ$13),15-13*ORÇAMENTO!$AF$7)/$H349*OFFSET(ORÇAMENTO!$X$15,ROW(AZ349)-ROW(AZ$15),0),0)</f>
        <v>0</v>
      </c>
      <c r="BA349" s="633">
        <f ca="1">IF(AND($D349="Serviço",BA$12&lt;&gt;0,$H349&gt;0,OR(AUTOEVENTO&lt;&gt;"manual",$M349&lt;&gt;1)),ROUND(OFFSET($P349,0,BA$13),15-13*ORÇAMENTO!$AF$7)/$H349*OFFSET(ORÇAMENTO!$X$15,ROW(BA349)-ROW(BA$15),0),0)</f>
        <v>0</v>
      </c>
      <c r="BC349" s="215">
        <f ca="1">IF($D349&lt;&gt;"Serviço",0,IF(AND(AUTOEVENTO="Manual",$M349=1),0,IF(OFFSET(CRONOPLE!$F$14,$M349,BC$13)="",10^12,OFFSET(CRONOPLE!$F$14,$M349,BC$13))))</f>
        <v>1000000000000</v>
      </c>
      <c r="BD349" s="215">
        <f ca="1">IF($D349&lt;&gt;"Serviço",0,IF(AND(AUTOEVENTO="Manual",$M349=1),0,IF(OFFSET(CRONOPLE!$F$14,$M349,BD$13)="",10^12,OFFSET(CRONOPLE!$F$14,$M349,BD$13))))</f>
        <v>1000000000000</v>
      </c>
      <c r="BE349" s="215">
        <f ca="1">IF($D349&lt;&gt;"Serviço",0,IF(AND(AUTOEVENTO="Manual",$M349=1),0,IF(OFFSET(CRONOPLE!$F$14,$M349,BE$13)="",10^12,OFFSET(CRONOPLE!$F$14,$M349,BE$13))))</f>
        <v>1000000000000</v>
      </c>
      <c r="BF349" s="215">
        <f ca="1">IF($D349&lt;&gt;"Serviço",0,IF(AND(AUTOEVENTO="Manual",$M349=1),0,IF(OFFSET(CRONOPLE!$F$14,$M349,BF$13)="",10^12,OFFSET(CRONOPLE!$F$14,$M349,BF$13))))</f>
        <v>1000000000000</v>
      </c>
      <c r="BG349" s="215">
        <f ca="1">IF($D349&lt;&gt;"Serviço",0,IF(AND(AUTOEVENTO="Manual",$M349=1),0,IF(OFFSET(CRONOPLE!$F$14,$M349,BG$13)="",10^12,OFFSET(CRONOPLE!$F$14,$M349,BG$13))))</f>
        <v>1000000000000</v>
      </c>
      <c r="BH349" s="215">
        <f ca="1">IF($D349&lt;&gt;"Serviço",0,IF(AND(AUTOEVENTO="Manual",$M349=1),0,IF(OFFSET(CRONOPLE!$F$14,$M349,BH$13)="",10^12,OFFSET(CRONOPLE!$F$14,$M349,BH$13))))</f>
        <v>1000000000000</v>
      </c>
      <c r="BI349" s="215">
        <f ca="1">IF($D349&lt;&gt;"Serviço",0,IF(AND(AUTOEVENTO="Manual",$M349=1),0,IF(OFFSET(CRONOPLE!$F$14,$M349,BI$13)="",10^12,OFFSET(CRONOPLE!$F$14,$M349,BI$13))))</f>
        <v>1000000000000</v>
      </c>
      <c r="BJ349" s="215">
        <f ca="1">IF($D349&lt;&gt;"Serviço",0,IF(AND(AUTOEVENTO="Manual",$M349=1),0,IF(OFFSET(CRONOPLE!$F$14,$M349,BJ$13)="",10^12,OFFSET(CRONOPLE!$F$14,$M349,BJ$13))))</f>
        <v>1000000000000</v>
      </c>
      <c r="BK349" s="215">
        <f ca="1">IF($D349&lt;&gt;"Serviço",0,IF(AND(AUTOEVENTO="Manual",$M349=1),0,IF(OFFSET(CRONOPLE!$F$14,$M349,BK$13)="",10^12,OFFSET(CRONOPLE!$F$14,$M349,BK$13))))</f>
        <v>1000000000000</v>
      </c>
      <c r="BL349" s="215">
        <f ca="1">IF($D349&lt;&gt;"Serviço",0,IF(AND(AUTOEVENTO="Manual",$M349=1),0,IF(OFFSET(CRONOPLE!$F$14,$M349,BL$13)="",10^12,OFFSET(CRONOPLE!$F$14,$M349,BL$13))))</f>
        <v>1000000000000</v>
      </c>
      <c r="BM349" s="215">
        <f ca="1">IF($D349&lt;&gt;"Serviço",0,IF(AND(AUTOEVENTO="Manual",$M349=1),0,IF(OFFSET(CRONOPLE!$F$14,$M349,BM$13)="",10^12,OFFSET(CRONOPLE!$F$14,$M349,BM$13))))</f>
        <v>1000000000000</v>
      </c>
      <c r="BN349" s="215">
        <f ca="1">IF($D349&lt;&gt;"Serviço",0,IF(AND(AUTOEVENTO="Manual",$M349=1),0,IF(OFFSET(CRONOPLE!$F$14,$M349,BN$13)="",10^12,OFFSET(CRONOPLE!$F$14,$M349,BN$13))))</f>
        <v>1000000000000</v>
      </c>
      <c r="BO349" s="215">
        <f ca="1">IF($D349&lt;&gt;"Serviço",0,IF(AND(AUTOEVENTO="Manual",$M349=1),0,IF(OFFSET(CRONOPLE!$F$14,$M349,BO$13)="",10^12,OFFSET(CRONOPLE!$F$14,$M349,BO$13))))</f>
        <v>1000000000000</v>
      </c>
      <c r="BP349" s="215">
        <f ca="1">IF($D349&lt;&gt;"Serviço",0,IF(AND(AUTOEVENTO="Manual",$M349=1),0,IF(OFFSET(CRONOPLE!$F$14,$M349,BP$13)="",10^12,OFFSET(CRONOPLE!$F$14,$M349,BP$13))))</f>
        <v>1000000000000</v>
      </c>
      <c r="BQ349" s="215">
        <f ca="1">IF($D349&lt;&gt;"Serviço",0,IF(AND(AUTOEVENTO="Manual",$M349=1),0,IF(OFFSET(CRONOPLE!$F$14,$M349,BQ$13)="",10^12,OFFSET(CRONOPLE!$F$14,$M349,BQ$13))))</f>
        <v>1000000000000</v>
      </c>
      <c r="BR349" s="215">
        <f ca="1">IF($D349&lt;&gt;"Serviço",0,IF(AND(AUTOEVENTO="Manual",$M349=1),0,IF(OFFSET(CRONOPLE!$F$14,$M349,BR$13)="",10^12,OFFSET(CRONOPLE!$F$14,$M349,BR$13))))</f>
        <v>1000000000000</v>
      </c>
      <c r="BS349" s="215">
        <f ca="1">IF($D349&lt;&gt;"Serviço",0,IF(AND(AUTOEVENTO="Manual",$M349=1),0,IF(OFFSET(CRONOPLE!$F$14,$M349,BS$13)="",10^12,OFFSET(CRONOPLE!$F$14,$M349,BS$13))))</f>
        <v>1000000000000</v>
      </c>
      <c r="BT349" s="215">
        <f ca="1">IF($D349&lt;&gt;"Serviço",0,IF(AND(AUTOEVENTO="Manual",$M349=1),0,IF(OFFSET(CRONOPLE!$F$14,$M349,BT$13)="",10^12,OFFSET(CRONOPLE!$F$14,$M349,BT$13))))</f>
        <v>1000000000000</v>
      </c>
      <c r="BV349" s="216">
        <f ca="1">IF($D349&lt;&gt;"Serviço",0,IF(OR(AND(AUTOEVENTO="Manual",$M349=1),$M349&gt;(ROW(PLE.lastrow)-ROW(PLE.firstrow))),0,IF(OFFSET(PLE!$G$14,$M349,BV$13)="",10^12,OFFSET(PLE!$G$14,$M349,BV$13))))</f>
        <v>1000000000000</v>
      </c>
      <c r="BW349" s="216">
        <f ca="1">IF($D349&lt;&gt;"Serviço",0,IF(OR(AND(AUTOEVENTO="Manual",$M349=1),$M349&gt;(ROW(PLE.lastrow)-ROW(PLE.firstrow))),0,IF(OFFSET(PLE!$G$14,$M349,BW$13)="",10^12,OFFSET(PLE!$G$14,$M349,BW$13))))</f>
        <v>1000000000000</v>
      </c>
      <c r="BX349" s="216">
        <f ca="1">IF($D349&lt;&gt;"Serviço",0,IF(OR(AND(AUTOEVENTO="Manual",$M349=1),$M349&gt;(ROW(PLE.lastrow)-ROW(PLE.firstrow))),0,IF(OFFSET(PLE!$G$14,$M349,BX$13)="",10^12,OFFSET(PLE!$G$14,$M349,BX$13))))</f>
        <v>1000000000000</v>
      </c>
      <c r="BY349" s="216">
        <f ca="1">IF($D349&lt;&gt;"Serviço",0,IF(OR(AND(AUTOEVENTO="Manual",$M349=1),$M349&gt;(ROW(PLE.lastrow)-ROW(PLE.firstrow))),0,IF(OFFSET(PLE!$G$14,$M349,BY$13)="",10^12,OFFSET(PLE!$G$14,$M349,BY$13))))</f>
        <v>1000000000000</v>
      </c>
      <c r="BZ349" s="216">
        <f ca="1">IF($D349&lt;&gt;"Serviço",0,IF(OR(AND(AUTOEVENTO="Manual",$M349=1),$M349&gt;(ROW(PLE.lastrow)-ROW(PLE.firstrow))),0,IF(OFFSET(PLE!$G$14,$M349,BZ$13)="",10^12,OFFSET(PLE!$G$14,$M349,BZ$13))))</f>
        <v>1000000000000</v>
      </c>
      <c r="CA349" s="216">
        <f ca="1">IF($D349&lt;&gt;"Serviço",0,IF(OR(AND(AUTOEVENTO="Manual",$M349=1),$M349&gt;(ROW(PLE.lastrow)-ROW(PLE.firstrow))),0,IF(OFFSET(PLE!$G$14,$M349,CA$13)="",10^12,OFFSET(PLE!$G$14,$M349,CA$13))))</f>
        <v>1000000000000</v>
      </c>
      <c r="CB349" s="216">
        <f ca="1">IF($D349&lt;&gt;"Serviço",0,IF(OR(AND(AUTOEVENTO="Manual",$M349=1),$M349&gt;(ROW(PLE.lastrow)-ROW(PLE.firstrow))),0,IF(OFFSET(PLE!$G$14,$M349,CB$13)="",10^12,OFFSET(PLE!$G$14,$M349,CB$13))))</f>
        <v>1000000000000</v>
      </c>
      <c r="CC349" s="216">
        <f ca="1">IF($D349&lt;&gt;"Serviço",0,IF(OR(AND(AUTOEVENTO="Manual",$M349=1),$M349&gt;(ROW(PLE.lastrow)-ROW(PLE.firstrow))),0,IF(OFFSET(PLE!$G$14,$M349,CC$13)="",10^12,OFFSET(PLE!$G$14,$M349,CC$13))))</f>
        <v>1000000000000</v>
      </c>
      <c r="CD349" s="216">
        <f ca="1">IF($D349&lt;&gt;"Serviço",0,IF(OR(AND(AUTOEVENTO="Manual",$M349=1),$M349&gt;(ROW(PLE.lastrow)-ROW(PLE.firstrow))),0,IF(OFFSET(PLE!$G$14,$M349,CD$13)="",10^12,OFFSET(PLE!$G$14,$M349,CD$13))))</f>
        <v>1000000000000</v>
      </c>
      <c r="CE349" s="216">
        <f ca="1">IF($D349&lt;&gt;"Serviço",0,IF(OR(AND(AUTOEVENTO="Manual",$M349=1),$M349&gt;(ROW(PLE.lastrow)-ROW(PLE.firstrow))),0,IF(OFFSET(PLE!$G$14,$M349,CE$13)="",10^12,OFFSET(PLE!$G$14,$M349,CE$13))))</f>
        <v>1000000000000</v>
      </c>
      <c r="CF349" s="216">
        <f ca="1">IF($D349&lt;&gt;"Serviço",0,IF(OR(AND(AUTOEVENTO="Manual",$M349=1),$M349&gt;(ROW(PLE.lastrow)-ROW(PLE.firstrow))),0,IF(OFFSET(PLE!$G$14,$M349,CF$13)="",10^12,OFFSET(PLE!$G$14,$M349,CF$13))))</f>
        <v>1000000000000</v>
      </c>
      <c r="CG349" s="216">
        <f ca="1">IF($D349&lt;&gt;"Serviço",0,IF(OR(AND(AUTOEVENTO="Manual",$M349=1),$M349&gt;(ROW(PLE.lastrow)-ROW(PLE.firstrow))),0,IF(OFFSET(PLE!$G$14,$M349,CG$13)="",10^12,OFFSET(PLE!$G$14,$M349,CG$13))))</f>
        <v>1000000000000</v>
      </c>
      <c r="CH349" s="216">
        <f ca="1">IF($D349&lt;&gt;"Serviço",0,IF(OR(AND(AUTOEVENTO="Manual",$M349=1),$M349&gt;(ROW(PLE.lastrow)-ROW(PLE.firstrow))),0,IF(OFFSET(PLE!$G$14,$M349,CH$13)="",10^12,OFFSET(PLE!$G$14,$M349,CH$13))))</f>
        <v>1000000000000</v>
      </c>
      <c r="CI349" s="216">
        <f ca="1">IF($D349&lt;&gt;"Serviço",0,IF(OR(AND(AUTOEVENTO="Manual",$M349=1),$M349&gt;(ROW(PLE.lastrow)-ROW(PLE.firstrow))),0,IF(OFFSET(PLE!$G$14,$M349,CI$13)="",10^12,OFFSET(PLE!$G$14,$M349,CI$13))))</f>
        <v>1000000000000</v>
      </c>
      <c r="CJ349" s="216">
        <f ca="1">IF($D349&lt;&gt;"Serviço",0,IF(OR(AND(AUTOEVENTO="Manual",$M349=1),$M349&gt;(ROW(PLE.lastrow)-ROW(PLE.firstrow))),0,IF(OFFSET(PLE!$G$14,$M349,CJ$13)="",10^12,OFFSET(PLE!$G$14,$M349,CJ$13))))</f>
        <v>1000000000000</v>
      </c>
      <c r="CK349" s="216">
        <f ca="1">IF($D349&lt;&gt;"Serviço",0,IF(OR(AND(AUTOEVENTO="Manual",$M349=1),$M349&gt;(ROW(PLE.lastrow)-ROW(PLE.firstrow))),0,IF(OFFSET(PLE!$G$14,$M349,CK$13)="",10^12,OFFSET(PLE!$G$14,$M349,CK$13))))</f>
        <v>1000000000000</v>
      </c>
      <c r="CL349" s="216">
        <f ca="1">IF($D349&lt;&gt;"Serviço",0,IF(OR(AND(AUTOEVENTO="Manual",$M349=1),$M349&gt;(ROW(PLE.lastrow)-ROW(PLE.firstrow))),0,IF(OFFSET(PLE!$G$14,$M349,CL$13)="",10^12,OFFSET(PLE!$G$14,$M349,CL$13))))</f>
        <v>1000000000000</v>
      </c>
      <c r="CM349" s="216">
        <f ca="1">IF($D349&lt;&gt;"Serviço",0,IF(OR(AND(AUTOEVENTO="Manual",$M349=1),$M349&gt;(ROW(PLE.lastrow)-ROW(PLE.firstrow))),0,IF(OFFSET(PLE!$G$14,$M349,CM$13)="",10^12,OFFSET(PLE!$G$14,$M349,CM$13))))</f>
        <v>1000000000000</v>
      </c>
    </row>
    <row r="350" spans="1:91" ht="13.2" x14ac:dyDescent="0.25">
      <c r="A350" s="9">
        <f t="shared" ca="1" si="14"/>
        <v>0</v>
      </c>
      <c r="B350" s="9" t="str">
        <f ca="1">OFFSET(ORÇAMENTO!C$15,ROW(B350)-ROW(B$15),0)</f>
        <v>S</v>
      </c>
      <c r="C350" s="9" t="str">
        <f ca="1">OFFSET(ORÇAMENTO!L$15,ROW(C350)-ROW(C$15),0)</f>
        <v/>
      </c>
      <c r="D350" s="145" t="str">
        <f ca="1">OFFSET(ORÇAMENTO!N$15,ROW(D350)-ROW(D$15),0)</f>
        <v>Serviço</v>
      </c>
      <c r="E350" s="205" t="str">
        <f ca="1">OFFSET(ORÇAMENTO!O$15,ROW(E350)-ROW(E$15),0)</f>
        <v>-</v>
      </c>
      <c r="F350" s="206" t="str">
        <f ca="1">OFFSET(ORÇAMENTO!R$15,ROW(F350)-ROW(F$15),0)</f>
        <v>(abra o arquivo 'Referência 05-2024.xls)</v>
      </c>
      <c r="G350" s="207" t="str">
        <f ca="1">IF($D350&lt;&gt;"Serviço","",OFFSET(ORÇAMENTO!S$15,ROW(G350)-ROW(G$15),0))</f>
        <v>-</v>
      </c>
      <c r="H350" s="151">
        <f ca="1">IF($D350&lt;&gt;"Serviço",0,IF(ACOMPANHAMENTO="BM",ROUND(OFFSET(ORÇAMENTO!AJ$15,ROW(H350)-ROW(H$15),0),15-13*ORÇAMENTO!$AF$7),SUMPRODUCT(($Q$12:$AI$12&lt;&gt;"")*ROUND($Q350:$AI350,15-13*ORÇAMENTO!$AF$7))))</f>
        <v>2</v>
      </c>
      <c r="I350" s="650"/>
      <c r="K350" s="208"/>
      <c r="L350" s="209" t="s">
        <v>257</v>
      </c>
      <c r="M350" s="210">
        <f ca="1">IF($D350&lt;&gt;"Serviço","",IF(AUTOEVENTO="manual",$A350,IF(ISERROR(MATCH($A350,$A$15:OFFSET($A350,-1,0),0)),MAX($M$15:OFFSET(M350,-1,0))+1,INDEX($M$15:OFFSET(M350,-1,0),MATCH($A350,$A$15:OFFSET($A350,-1,0),0)))))</f>
        <v>0</v>
      </c>
      <c r="N350" s="211" t="str">
        <f ca="1">IF($D350&lt;&gt;"Serviço","",IF(AUTOEVENTO="Manual",IF($A350=0,"&lt;-- defina o número do agrupador",OFFSET(EVENTOS!$D$14,$A350,0)),OFFSET($F$15,$A350,0)))</f>
        <v>&lt;-- defina o número do agrupador</v>
      </c>
      <c r="O350" s="212"/>
      <c r="Q350" s="212"/>
      <c r="R350" s="213"/>
      <c r="S350" s="213"/>
      <c r="T350" s="213"/>
      <c r="U350" s="213"/>
      <c r="V350" s="213"/>
      <c r="W350" s="213"/>
      <c r="X350" s="213"/>
      <c r="Y350" s="213"/>
      <c r="Z350" s="214"/>
      <c r="AA350" s="213"/>
      <c r="AB350" s="213"/>
      <c r="AC350" s="213"/>
      <c r="AD350" s="213"/>
      <c r="AE350" s="213"/>
      <c r="AF350" s="213"/>
      <c r="AG350" s="213"/>
      <c r="AH350" s="214"/>
      <c r="AJ350" s="631">
        <f ca="1">IF(AND($D350="Serviço",AJ$12&lt;&gt;0,$H350&gt;0,OR(AUTOEVENTO&lt;&gt;"manual",$M350&lt;&gt;1)),ROUND(OFFSET($P350,0,AJ$13),15-13*ORÇAMENTO!$AF$7)/$H350*OFFSET(ORÇAMENTO!$X$15,ROW(AJ350)-ROW(AJ$15),0),0)</f>
        <v>0</v>
      </c>
      <c r="AK350" s="632">
        <f ca="1">IF(AND($D350="Serviço",AK$12&lt;&gt;0,$H350&gt;0,OR(AUTOEVENTO&lt;&gt;"manual",$M350&lt;&gt;1)),ROUND(OFFSET($P350,0,AK$13),15-13*ORÇAMENTO!$AF$7)/$H350*OFFSET(ORÇAMENTO!$X$15,ROW(AK350)-ROW(AK$15),0),0)</f>
        <v>0</v>
      </c>
      <c r="AL350" s="632">
        <f ca="1">IF(AND($D350="Serviço",AL$12&lt;&gt;0,$H350&gt;0,OR(AUTOEVENTO&lt;&gt;"manual",$M350&lt;&gt;1)),ROUND(OFFSET($P350,0,AL$13),15-13*ORÇAMENTO!$AF$7)/$H350*OFFSET(ORÇAMENTO!$X$15,ROW(AL350)-ROW(AL$15),0),0)</f>
        <v>0</v>
      </c>
      <c r="AM350" s="632">
        <f ca="1">IF(AND($D350="Serviço",AM$12&lt;&gt;0,$H350&gt;0,OR(AUTOEVENTO&lt;&gt;"manual",$M350&lt;&gt;1)),ROUND(OFFSET($P350,0,AM$13),15-13*ORÇAMENTO!$AF$7)/$H350*OFFSET(ORÇAMENTO!$X$15,ROW(AM350)-ROW(AM$15),0),0)</f>
        <v>0</v>
      </c>
      <c r="AN350" s="632">
        <f ca="1">IF(AND($D350="Serviço",AN$12&lt;&gt;0,$H350&gt;0,OR(AUTOEVENTO&lt;&gt;"manual",$M350&lt;&gt;1)),ROUND(OFFSET($P350,0,AN$13),15-13*ORÇAMENTO!$AF$7)/$H350*OFFSET(ORÇAMENTO!$X$15,ROW(AN350)-ROW(AN$15),0),0)</f>
        <v>0</v>
      </c>
      <c r="AO350" s="632">
        <f ca="1">IF(AND($D350="Serviço",AO$12&lt;&gt;0,$H350&gt;0,OR(AUTOEVENTO&lt;&gt;"manual",$M350&lt;&gt;1)),ROUND(OFFSET($P350,0,AO$13),15-13*ORÇAMENTO!$AF$7)/$H350*OFFSET(ORÇAMENTO!$X$15,ROW(AO350)-ROW(AO$15),0),0)</f>
        <v>0</v>
      </c>
      <c r="AP350" s="632">
        <f ca="1">IF(AND($D350="Serviço",AP$12&lt;&gt;0,$H350&gt;0,OR(AUTOEVENTO&lt;&gt;"manual",$M350&lt;&gt;1)),ROUND(OFFSET($P350,0,AP$13),15-13*ORÇAMENTO!$AF$7)/$H350*OFFSET(ORÇAMENTO!$X$15,ROW(AP350)-ROW(AP$15),0),0)</f>
        <v>0</v>
      </c>
      <c r="AQ350" s="632">
        <f ca="1">IF(AND($D350="Serviço",AQ$12&lt;&gt;0,$H350&gt;0,OR(AUTOEVENTO&lt;&gt;"manual",$M350&lt;&gt;1)),ROUND(OFFSET($P350,0,AQ$13),15-13*ORÇAMENTO!$AF$7)/$H350*OFFSET(ORÇAMENTO!$X$15,ROW(AQ350)-ROW(AQ$15),0),0)</f>
        <v>0</v>
      </c>
      <c r="AR350" s="632">
        <f ca="1">IF(AND($D350="Serviço",AR$12&lt;&gt;0,$H350&gt;0,OR(AUTOEVENTO&lt;&gt;"manual",$M350&lt;&gt;1)),ROUND(OFFSET($P350,0,AR$13),15-13*ORÇAMENTO!$AF$7)/$H350*OFFSET(ORÇAMENTO!$X$15,ROW(AR350)-ROW(AR$15),0),0)</f>
        <v>0</v>
      </c>
      <c r="AS350" s="633">
        <f ca="1">IF(AND($D350="Serviço",AS$12&lt;&gt;0,$H350&gt;0,OR(AUTOEVENTO&lt;&gt;"manual",$M350&lt;&gt;1)),ROUND(OFFSET($P350,0,AS$13),15-13*ORÇAMENTO!$AF$7)/$H350*OFFSET(ORÇAMENTO!$X$15,ROW(AS350)-ROW(AS$15),0),0)</f>
        <v>0</v>
      </c>
      <c r="AT350" s="632">
        <f ca="1">IF(AND($D350="Serviço",AT$12&lt;&gt;0,$H350&gt;0,OR(AUTOEVENTO&lt;&gt;"manual",$M350&lt;&gt;1)),ROUND(OFFSET($P350,0,AT$13),15-13*ORÇAMENTO!$AF$7)/$H350*OFFSET(ORÇAMENTO!$X$15,ROW(AT350)-ROW(AT$15),0),0)</f>
        <v>0</v>
      </c>
      <c r="AU350" s="632">
        <f ca="1">IF(AND($D350="Serviço",AU$12&lt;&gt;0,$H350&gt;0,OR(AUTOEVENTO&lt;&gt;"manual",$M350&lt;&gt;1)),ROUND(OFFSET($P350,0,AU$13),15-13*ORÇAMENTO!$AF$7)/$H350*OFFSET(ORÇAMENTO!$X$15,ROW(AU350)-ROW(AU$15),0),0)</f>
        <v>0</v>
      </c>
      <c r="AV350" s="632">
        <f ca="1">IF(AND($D350="Serviço",AV$12&lt;&gt;0,$H350&gt;0,OR(AUTOEVENTO&lt;&gt;"manual",$M350&lt;&gt;1)),ROUND(OFFSET($P350,0,AV$13),15-13*ORÇAMENTO!$AF$7)/$H350*OFFSET(ORÇAMENTO!$X$15,ROW(AV350)-ROW(AV$15),0),0)</f>
        <v>0</v>
      </c>
      <c r="AW350" s="632">
        <f ca="1">IF(AND($D350="Serviço",AW$12&lt;&gt;0,$H350&gt;0,OR(AUTOEVENTO&lt;&gt;"manual",$M350&lt;&gt;1)),ROUND(OFFSET($P350,0,AW$13),15-13*ORÇAMENTO!$AF$7)/$H350*OFFSET(ORÇAMENTO!$X$15,ROW(AW350)-ROW(AW$15),0),0)</f>
        <v>0</v>
      </c>
      <c r="AX350" s="632">
        <f ca="1">IF(AND($D350="Serviço",AX$12&lt;&gt;0,$H350&gt;0,OR(AUTOEVENTO&lt;&gt;"manual",$M350&lt;&gt;1)),ROUND(OFFSET($P350,0,AX$13),15-13*ORÇAMENTO!$AF$7)/$H350*OFFSET(ORÇAMENTO!$X$15,ROW(AX350)-ROW(AX$15),0),0)</f>
        <v>0</v>
      </c>
      <c r="AY350" s="632">
        <f ca="1">IF(AND($D350="Serviço",AY$12&lt;&gt;0,$H350&gt;0,OR(AUTOEVENTO&lt;&gt;"manual",$M350&lt;&gt;1)),ROUND(OFFSET($P350,0,AY$13),15-13*ORÇAMENTO!$AF$7)/$H350*OFFSET(ORÇAMENTO!$X$15,ROW(AY350)-ROW(AY$15),0),0)</f>
        <v>0</v>
      </c>
      <c r="AZ350" s="632">
        <f ca="1">IF(AND($D350="Serviço",AZ$12&lt;&gt;0,$H350&gt;0,OR(AUTOEVENTO&lt;&gt;"manual",$M350&lt;&gt;1)),ROUND(OFFSET($P350,0,AZ$13),15-13*ORÇAMENTO!$AF$7)/$H350*OFFSET(ORÇAMENTO!$X$15,ROW(AZ350)-ROW(AZ$15),0),0)</f>
        <v>0</v>
      </c>
      <c r="BA350" s="633">
        <f ca="1">IF(AND($D350="Serviço",BA$12&lt;&gt;0,$H350&gt;0,OR(AUTOEVENTO&lt;&gt;"manual",$M350&lt;&gt;1)),ROUND(OFFSET($P350,0,BA$13),15-13*ORÇAMENTO!$AF$7)/$H350*OFFSET(ORÇAMENTO!$X$15,ROW(BA350)-ROW(BA$15),0),0)</f>
        <v>0</v>
      </c>
      <c r="BC350" s="215">
        <f ca="1">IF($D350&lt;&gt;"Serviço",0,IF(AND(AUTOEVENTO="Manual",$M350=1),0,IF(OFFSET(CRONOPLE!$F$14,$M350,BC$13)="",10^12,OFFSET(CRONOPLE!$F$14,$M350,BC$13))))</f>
        <v>1000000000000</v>
      </c>
      <c r="BD350" s="215">
        <f ca="1">IF($D350&lt;&gt;"Serviço",0,IF(AND(AUTOEVENTO="Manual",$M350=1),0,IF(OFFSET(CRONOPLE!$F$14,$M350,BD$13)="",10^12,OFFSET(CRONOPLE!$F$14,$M350,BD$13))))</f>
        <v>1000000000000</v>
      </c>
      <c r="BE350" s="215">
        <f ca="1">IF($D350&lt;&gt;"Serviço",0,IF(AND(AUTOEVENTO="Manual",$M350=1),0,IF(OFFSET(CRONOPLE!$F$14,$M350,BE$13)="",10^12,OFFSET(CRONOPLE!$F$14,$M350,BE$13))))</f>
        <v>1000000000000</v>
      </c>
      <c r="BF350" s="215">
        <f ca="1">IF($D350&lt;&gt;"Serviço",0,IF(AND(AUTOEVENTO="Manual",$M350=1),0,IF(OFFSET(CRONOPLE!$F$14,$M350,BF$13)="",10^12,OFFSET(CRONOPLE!$F$14,$M350,BF$13))))</f>
        <v>1000000000000</v>
      </c>
      <c r="BG350" s="215">
        <f ca="1">IF($D350&lt;&gt;"Serviço",0,IF(AND(AUTOEVENTO="Manual",$M350=1),0,IF(OFFSET(CRONOPLE!$F$14,$M350,BG$13)="",10^12,OFFSET(CRONOPLE!$F$14,$M350,BG$13))))</f>
        <v>1000000000000</v>
      </c>
      <c r="BH350" s="215">
        <f ca="1">IF($D350&lt;&gt;"Serviço",0,IF(AND(AUTOEVENTO="Manual",$M350=1),0,IF(OFFSET(CRONOPLE!$F$14,$M350,BH$13)="",10^12,OFFSET(CRONOPLE!$F$14,$M350,BH$13))))</f>
        <v>1000000000000</v>
      </c>
      <c r="BI350" s="215">
        <f ca="1">IF($D350&lt;&gt;"Serviço",0,IF(AND(AUTOEVENTO="Manual",$M350=1),0,IF(OFFSET(CRONOPLE!$F$14,$M350,BI$13)="",10^12,OFFSET(CRONOPLE!$F$14,$M350,BI$13))))</f>
        <v>1000000000000</v>
      </c>
      <c r="BJ350" s="215">
        <f ca="1">IF($D350&lt;&gt;"Serviço",0,IF(AND(AUTOEVENTO="Manual",$M350=1),0,IF(OFFSET(CRONOPLE!$F$14,$M350,BJ$13)="",10^12,OFFSET(CRONOPLE!$F$14,$M350,BJ$13))))</f>
        <v>1000000000000</v>
      </c>
      <c r="BK350" s="215">
        <f ca="1">IF($D350&lt;&gt;"Serviço",0,IF(AND(AUTOEVENTO="Manual",$M350=1),0,IF(OFFSET(CRONOPLE!$F$14,$M350,BK$13)="",10^12,OFFSET(CRONOPLE!$F$14,$M350,BK$13))))</f>
        <v>1000000000000</v>
      </c>
      <c r="BL350" s="215">
        <f ca="1">IF($D350&lt;&gt;"Serviço",0,IF(AND(AUTOEVENTO="Manual",$M350=1),0,IF(OFFSET(CRONOPLE!$F$14,$M350,BL$13)="",10^12,OFFSET(CRONOPLE!$F$14,$M350,BL$13))))</f>
        <v>1000000000000</v>
      </c>
      <c r="BM350" s="215">
        <f ca="1">IF($D350&lt;&gt;"Serviço",0,IF(AND(AUTOEVENTO="Manual",$M350=1),0,IF(OFFSET(CRONOPLE!$F$14,$M350,BM$13)="",10^12,OFFSET(CRONOPLE!$F$14,$M350,BM$13))))</f>
        <v>1000000000000</v>
      </c>
      <c r="BN350" s="215">
        <f ca="1">IF($D350&lt;&gt;"Serviço",0,IF(AND(AUTOEVENTO="Manual",$M350=1),0,IF(OFFSET(CRONOPLE!$F$14,$M350,BN$13)="",10^12,OFFSET(CRONOPLE!$F$14,$M350,BN$13))))</f>
        <v>1000000000000</v>
      </c>
      <c r="BO350" s="215">
        <f ca="1">IF($D350&lt;&gt;"Serviço",0,IF(AND(AUTOEVENTO="Manual",$M350=1),0,IF(OFFSET(CRONOPLE!$F$14,$M350,BO$13)="",10^12,OFFSET(CRONOPLE!$F$14,$M350,BO$13))))</f>
        <v>1000000000000</v>
      </c>
      <c r="BP350" s="215">
        <f ca="1">IF($D350&lt;&gt;"Serviço",0,IF(AND(AUTOEVENTO="Manual",$M350=1),0,IF(OFFSET(CRONOPLE!$F$14,$M350,BP$13)="",10^12,OFFSET(CRONOPLE!$F$14,$M350,BP$13))))</f>
        <v>1000000000000</v>
      </c>
      <c r="BQ350" s="215">
        <f ca="1">IF($D350&lt;&gt;"Serviço",0,IF(AND(AUTOEVENTO="Manual",$M350=1),0,IF(OFFSET(CRONOPLE!$F$14,$M350,BQ$13)="",10^12,OFFSET(CRONOPLE!$F$14,$M350,BQ$13))))</f>
        <v>1000000000000</v>
      </c>
      <c r="BR350" s="215">
        <f ca="1">IF($D350&lt;&gt;"Serviço",0,IF(AND(AUTOEVENTO="Manual",$M350=1),0,IF(OFFSET(CRONOPLE!$F$14,$M350,BR$13)="",10^12,OFFSET(CRONOPLE!$F$14,$M350,BR$13))))</f>
        <v>1000000000000</v>
      </c>
      <c r="BS350" s="215">
        <f ca="1">IF($D350&lt;&gt;"Serviço",0,IF(AND(AUTOEVENTO="Manual",$M350=1),0,IF(OFFSET(CRONOPLE!$F$14,$M350,BS$13)="",10^12,OFFSET(CRONOPLE!$F$14,$M350,BS$13))))</f>
        <v>1000000000000</v>
      </c>
      <c r="BT350" s="215">
        <f ca="1">IF($D350&lt;&gt;"Serviço",0,IF(AND(AUTOEVENTO="Manual",$M350=1),0,IF(OFFSET(CRONOPLE!$F$14,$M350,BT$13)="",10^12,OFFSET(CRONOPLE!$F$14,$M350,BT$13))))</f>
        <v>1000000000000</v>
      </c>
      <c r="BV350" s="216">
        <f ca="1">IF($D350&lt;&gt;"Serviço",0,IF(OR(AND(AUTOEVENTO="Manual",$M350=1),$M350&gt;(ROW(PLE.lastrow)-ROW(PLE.firstrow))),0,IF(OFFSET(PLE!$G$14,$M350,BV$13)="",10^12,OFFSET(PLE!$G$14,$M350,BV$13))))</f>
        <v>1000000000000</v>
      </c>
      <c r="BW350" s="216">
        <f ca="1">IF($D350&lt;&gt;"Serviço",0,IF(OR(AND(AUTOEVENTO="Manual",$M350=1),$M350&gt;(ROW(PLE.lastrow)-ROW(PLE.firstrow))),0,IF(OFFSET(PLE!$G$14,$M350,BW$13)="",10^12,OFFSET(PLE!$G$14,$M350,BW$13))))</f>
        <v>1000000000000</v>
      </c>
      <c r="BX350" s="216">
        <f ca="1">IF($D350&lt;&gt;"Serviço",0,IF(OR(AND(AUTOEVENTO="Manual",$M350=1),$M350&gt;(ROW(PLE.lastrow)-ROW(PLE.firstrow))),0,IF(OFFSET(PLE!$G$14,$M350,BX$13)="",10^12,OFFSET(PLE!$G$14,$M350,BX$13))))</f>
        <v>1000000000000</v>
      </c>
      <c r="BY350" s="216">
        <f ca="1">IF($D350&lt;&gt;"Serviço",0,IF(OR(AND(AUTOEVENTO="Manual",$M350=1),$M350&gt;(ROW(PLE.lastrow)-ROW(PLE.firstrow))),0,IF(OFFSET(PLE!$G$14,$M350,BY$13)="",10^12,OFFSET(PLE!$G$14,$M350,BY$13))))</f>
        <v>1000000000000</v>
      </c>
      <c r="BZ350" s="216">
        <f ca="1">IF($D350&lt;&gt;"Serviço",0,IF(OR(AND(AUTOEVENTO="Manual",$M350=1),$M350&gt;(ROW(PLE.lastrow)-ROW(PLE.firstrow))),0,IF(OFFSET(PLE!$G$14,$M350,BZ$13)="",10^12,OFFSET(PLE!$G$14,$M350,BZ$13))))</f>
        <v>1000000000000</v>
      </c>
      <c r="CA350" s="216">
        <f ca="1">IF($D350&lt;&gt;"Serviço",0,IF(OR(AND(AUTOEVENTO="Manual",$M350=1),$M350&gt;(ROW(PLE.lastrow)-ROW(PLE.firstrow))),0,IF(OFFSET(PLE!$G$14,$M350,CA$13)="",10^12,OFFSET(PLE!$G$14,$M350,CA$13))))</f>
        <v>1000000000000</v>
      </c>
      <c r="CB350" s="216">
        <f ca="1">IF($D350&lt;&gt;"Serviço",0,IF(OR(AND(AUTOEVENTO="Manual",$M350=1),$M350&gt;(ROW(PLE.lastrow)-ROW(PLE.firstrow))),0,IF(OFFSET(PLE!$G$14,$M350,CB$13)="",10^12,OFFSET(PLE!$G$14,$M350,CB$13))))</f>
        <v>1000000000000</v>
      </c>
      <c r="CC350" s="216">
        <f ca="1">IF($D350&lt;&gt;"Serviço",0,IF(OR(AND(AUTOEVENTO="Manual",$M350=1),$M350&gt;(ROW(PLE.lastrow)-ROW(PLE.firstrow))),0,IF(OFFSET(PLE!$G$14,$M350,CC$13)="",10^12,OFFSET(PLE!$G$14,$M350,CC$13))))</f>
        <v>1000000000000</v>
      </c>
      <c r="CD350" s="216">
        <f ca="1">IF($D350&lt;&gt;"Serviço",0,IF(OR(AND(AUTOEVENTO="Manual",$M350=1),$M350&gt;(ROW(PLE.lastrow)-ROW(PLE.firstrow))),0,IF(OFFSET(PLE!$G$14,$M350,CD$13)="",10^12,OFFSET(PLE!$G$14,$M350,CD$13))))</f>
        <v>1000000000000</v>
      </c>
      <c r="CE350" s="216">
        <f ca="1">IF($D350&lt;&gt;"Serviço",0,IF(OR(AND(AUTOEVENTO="Manual",$M350=1),$M350&gt;(ROW(PLE.lastrow)-ROW(PLE.firstrow))),0,IF(OFFSET(PLE!$G$14,$M350,CE$13)="",10^12,OFFSET(PLE!$G$14,$M350,CE$13))))</f>
        <v>1000000000000</v>
      </c>
      <c r="CF350" s="216">
        <f ca="1">IF($D350&lt;&gt;"Serviço",0,IF(OR(AND(AUTOEVENTO="Manual",$M350=1),$M350&gt;(ROW(PLE.lastrow)-ROW(PLE.firstrow))),0,IF(OFFSET(PLE!$G$14,$M350,CF$13)="",10^12,OFFSET(PLE!$G$14,$M350,CF$13))))</f>
        <v>1000000000000</v>
      </c>
      <c r="CG350" s="216">
        <f ca="1">IF($D350&lt;&gt;"Serviço",0,IF(OR(AND(AUTOEVENTO="Manual",$M350=1),$M350&gt;(ROW(PLE.lastrow)-ROW(PLE.firstrow))),0,IF(OFFSET(PLE!$G$14,$M350,CG$13)="",10^12,OFFSET(PLE!$G$14,$M350,CG$13))))</f>
        <v>1000000000000</v>
      </c>
      <c r="CH350" s="216">
        <f ca="1">IF($D350&lt;&gt;"Serviço",0,IF(OR(AND(AUTOEVENTO="Manual",$M350=1),$M350&gt;(ROW(PLE.lastrow)-ROW(PLE.firstrow))),0,IF(OFFSET(PLE!$G$14,$M350,CH$13)="",10^12,OFFSET(PLE!$G$14,$M350,CH$13))))</f>
        <v>1000000000000</v>
      </c>
      <c r="CI350" s="216">
        <f ca="1">IF($D350&lt;&gt;"Serviço",0,IF(OR(AND(AUTOEVENTO="Manual",$M350=1),$M350&gt;(ROW(PLE.lastrow)-ROW(PLE.firstrow))),0,IF(OFFSET(PLE!$G$14,$M350,CI$13)="",10^12,OFFSET(PLE!$G$14,$M350,CI$13))))</f>
        <v>1000000000000</v>
      </c>
      <c r="CJ350" s="216">
        <f ca="1">IF($D350&lt;&gt;"Serviço",0,IF(OR(AND(AUTOEVENTO="Manual",$M350=1),$M350&gt;(ROW(PLE.lastrow)-ROW(PLE.firstrow))),0,IF(OFFSET(PLE!$G$14,$M350,CJ$13)="",10^12,OFFSET(PLE!$G$14,$M350,CJ$13))))</f>
        <v>1000000000000</v>
      </c>
      <c r="CK350" s="216">
        <f ca="1">IF($D350&lt;&gt;"Serviço",0,IF(OR(AND(AUTOEVENTO="Manual",$M350=1),$M350&gt;(ROW(PLE.lastrow)-ROW(PLE.firstrow))),0,IF(OFFSET(PLE!$G$14,$M350,CK$13)="",10^12,OFFSET(PLE!$G$14,$M350,CK$13))))</f>
        <v>1000000000000</v>
      </c>
      <c r="CL350" s="216">
        <f ca="1">IF($D350&lt;&gt;"Serviço",0,IF(OR(AND(AUTOEVENTO="Manual",$M350=1),$M350&gt;(ROW(PLE.lastrow)-ROW(PLE.firstrow))),0,IF(OFFSET(PLE!$G$14,$M350,CL$13)="",10^12,OFFSET(PLE!$G$14,$M350,CL$13))))</f>
        <v>1000000000000</v>
      </c>
      <c r="CM350" s="216">
        <f ca="1">IF($D350&lt;&gt;"Serviço",0,IF(OR(AND(AUTOEVENTO="Manual",$M350=1),$M350&gt;(ROW(PLE.lastrow)-ROW(PLE.firstrow))),0,IF(OFFSET(PLE!$G$14,$M350,CM$13)="",10^12,OFFSET(PLE!$G$14,$M350,CM$13))))</f>
        <v>1000000000000</v>
      </c>
    </row>
    <row r="351" spans="1:91" ht="13.2" x14ac:dyDescent="0.25">
      <c r="A351" s="9">
        <f t="shared" ca="1" si="14"/>
        <v>0</v>
      </c>
      <c r="B351" s="9">
        <f ca="1">OFFSET(ORÇAMENTO!C$15,ROW(B351)-ROW(B$15),0)</f>
        <v>3</v>
      </c>
      <c r="C351" s="9" t="str">
        <f ca="1">OFFSET(ORÇAMENTO!L$15,ROW(C351)-ROW(C$15),0)</f>
        <v>F</v>
      </c>
      <c r="D351" s="145" t="str">
        <f ca="1">OFFSET(ORÇAMENTO!N$15,ROW(D351)-ROW(D$15),0)</f>
        <v>Nível 3</v>
      </c>
      <c r="E351" s="205" t="str">
        <f ca="1">OFFSET(ORÇAMENTO!O$15,ROW(E351)-ROW(E$15),0)</f>
        <v>1.12.2.</v>
      </c>
      <c r="F351" s="206" t="str">
        <f ca="1">OFFSET(ORÇAMENTO!R$15,ROW(F351)-ROW(F$15),0)</f>
        <v>TUBULAÇÕES E CONEXÕES - METAIS</v>
      </c>
      <c r="G351" s="207" t="str">
        <f ca="1">IF($D351&lt;&gt;"Serviço","",OFFSET(ORÇAMENTO!S$15,ROW(G351)-ROW(G$15),0))</f>
        <v/>
      </c>
      <c r="H351" s="151">
        <f ca="1">IF($D351&lt;&gt;"Serviço",0,IF(ACOMPANHAMENTO="BM",ROUND(OFFSET(ORÇAMENTO!AJ$15,ROW(H351)-ROW(H$15),0),15-13*ORÇAMENTO!$AF$7),SUMPRODUCT(($Q$12:$AI$12&lt;&gt;"")*ROUND($Q351:$AI351,15-13*ORÇAMENTO!$AF$7))))</f>
        <v>0</v>
      </c>
      <c r="I351" s="650"/>
      <c r="K351" s="208"/>
      <c r="L351" s="209" t="s">
        <v>257</v>
      </c>
      <c r="M351" s="210" t="str">
        <f ca="1">IF($D351&lt;&gt;"Serviço","",IF(AUTOEVENTO="manual",$A351,IF(ISERROR(MATCH($A351,$A$15:OFFSET($A351,-1,0),0)),MAX($M$15:OFFSET(M351,-1,0))+1,INDEX($M$15:OFFSET(M351,-1,0),MATCH($A351,$A$15:OFFSET($A351,-1,0),0)))))</f>
        <v/>
      </c>
      <c r="N351" s="211" t="str">
        <f ca="1">IF($D351&lt;&gt;"Serviço","",IF(AUTOEVENTO="Manual",IF($A351=0,"&lt;-- defina o número do agrupador",OFFSET(EVENTOS!$D$14,$A351,0)),OFFSET($F$15,$A351,0)))</f>
        <v/>
      </c>
      <c r="O351" s="212"/>
      <c r="Q351" s="212"/>
      <c r="R351" s="213"/>
      <c r="S351" s="213"/>
      <c r="T351" s="213"/>
      <c r="U351" s="213"/>
      <c r="V351" s="213"/>
      <c r="W351" s="213"/>
      <c r="X351" s="213"/>
      <c r="Y351" s="213"/>
      <c r="Z351" s="214"/>
      <c r="AA351" s="213"/>
      <c r="AB351" s="213"/>
      <c r="AC351" s="213"/>
      <c r="AD351" s="213"/>
      <c r="AE351" s="213"/>
      <c r="AF351" s="213"/>
      <c r="AG351" s="213"/>
      <c r="AH351" s="214"/>
      <c r="AJ351" s="631">
        <f ca="1">IF(AND($D351="Serviço",AJ$12&lt;&gt;0,$H351&gt;0,OR(AUTOEVENTO&lt;&gt;"manual",$M351&lt;&gt;1)),ROUND(OFFSET($P351,0,AJ$13),15-13*ORÇAMENTO!$AF$7)/$H351*OFFSET(ORÇAMENTO!$X$15,ROW(AJ351)-ROW(AJ$15),0),0)</f>
        <v>0</v>
      </c>
      <c r="AK351" s="632">
        <f ca="1">IF(AND($D351="Serviço",AK$12&lt;&gt;0,$H351&gt;0,OR(AUTOEVENTO&lt;&gt;"manual",$M351&lt;&gt;1)),ROUND(OFFSET($P351,0,AK$13),15-13*ORÇAMENTO!$AF$7)/$H351*OFFSET(ORÇAMENTO!$X$15,ROW(AK351)-ROW(AK$15),0),0)</f>
        <v>0</v>
      </c>
      <c r="AL351" s="632">
        <f ca="1">IF(AND($D351="Serviço",AL$12&lt;&gt;0,$H351&gt;0,OR(AUTOEVENTO&lt;&gt;"manual",$M351&lt;&gt;1)),ROUND(OFFSET($P351,0,AL$13),15-13*ORÇAMENTO!$AF$7)/$H351*OFFSET(ORÇAMENTO!$X$15,ROW(AL351)-ROW(AL$15),0),0)</f>
        <v>0</v>
      </c>
      <c r="AM351" s="632">
        <f ca="1">IF(AND($D351="Serviço",AM$12&lt;&gt;0,$H351&gt;0,OR(AUTOEVENTO&lt;&gt;"manual",$M351&lt;&gt;1)),ROUND(OFFSET($P351,0,AM$13),15-13*ORÇAMENTO!$AF$7)/$H351*OFFSET(ORÇAMENTO!$X$15,ROW(AM351)-ROW(AM$15),0),0)</f>
        <v>0</v>
      </c>
      <c r="AN351" s="632">
        <f ca="1">IF(AND($D351="Serviço",AN$12&lt;&gt;0,$H351&gt;0,OR(AUTOEVENTO&lt;&gt;"manual",$M351&lt;&gt;1)),ROUND(OFFSET($P351,0,AN$13),15-13*ORÇAMENTO!$AF$7)/$H351*OFFSET(ORÇAMENTO!$X$15,ROW(AN351)-ROW(AN$15),0),0)</f>
        <v>0</v>
      </c>
      <c r="AO351" s="632">
        <f ca="1">IF(AND($D351="Serviço",AO$12&lt;&gt;0,$H351&gt;0,OR(AUTOEVENTO&lt;&gt;"manual",$M351&lt;&gt;1)),ROUND(OFFSET($P351,0,AO$13),15-13*ORÇAMENTO!$AF$7)/$H351*OFFSET(ORÇAMENTO!$X$15,ROW(AO351)-ROW(AO$15),0),0)</f>
        <v>0</v>
      </c>
      <c r="AP351" s="632">
        <f ca="1">IF(AND($D351="Serviço",AP$12&lt;&gt;0,$H351&gt;0,OR(AUTOEVENTO&lt;&gt;"manual",$M351&lt;&gt;1)),ROUND(OFFSET($P351,0,AP$13),15-13*ORÇAMENTO!$AF$7)/$H351*OFFSET(ORÇAMENTO!$X$15,ROW(AP351)-ROW(AP$15),0),0)</f>
        <v>0</v>
      </c>
      <c r="AQ351" s="632">
        <f ca="1">IF(AND($D351="Serviço",AQ$12&lt;&gt;0,$H351&gt;0,OR(AUTOEVENTO&lt;&gt;"manual",$M351&lt;&gt;1)),ROUND(OFFSET($P351,0,AQ$13),15-13*ORÇAMENTO!$AF$7)/$H351*OFFSET(ORÇAMENTO!$X$15,ROW(AQ351)-ROW(AQ$15),0),0)</f>
        <v>0</v>
      </c>
      <c r="AR351" s="632">
        <f ca="1">IF(AND($D351="Serviço",AR$12&lt;&gt;0,$H351&gt;0,OR(AUTOEVENTO&lt;&gt;"manual",$M351&lt;&gt;1)),ROUND(OFFSET($P351,0,AR$13),15-13*ORÇAMENTO!$AF$7)/$H351*OFFSET(ORÇAMENTO!$X$15,ROW(AR351)-ROW(AR$15),0),0)</f>
        <v>0</v>
      </c>
      <c r="AS351" s="633">
        <f ca="1">IF(AND($D351="Serviço",AS$12&lt;&gt;0,$H351&gt;0,OR(AUTOEVENTO&lt;&gt;"manual",$M351&lt;&gt;1)),ROUND(OFFSET($P351,0,AS$13),15-13*ORÇAMENTO!$AF$7)/$H351*OFFSET(ORÇAMENTO!$X$15,ROW(AS351)-ROW(AS$15),0),0)</f>
        <v>0</v>
      </c>
      <c r="AT351" s="632">
        <f ca="1">IF(AND($D351="Serviço",AT$12&lt;&gt;0,$H351&gt;0,OR(AUTOEVENTO&lt;&gt;"manual",$M351&lt;&gt;1)),ROUND(OFFSET($P351,0,AT$13),15-13*ORÇAMENTO!$AF$7)/$H351*OFFSET(ORÇAMENTO!$X$15,ROW(AT351)-ROW(AT$15),0),0)</f>
        <v>0</v>
      </c>
      <c r="AU351" s="632">
        <f ca="1">IF(AND($D351="Serviço",AU$12&lt;&gt;0,$H351&gt;0,OR(AUTOEVENTO&lt;&gt;"manual",$M351&lt;&gt;1)),ROUND(OFFSET($P351,0,AU$13),15-13*ORÇAMENTO!$AF$7)/$H351*OFFSET(ORÇAMENTO!$X$15,ROW(AU351)-ROW(AU$15),0),0)</f>
        <v>0</v>
      </c>
      <c r="AV351" s="632">
        <f ca="1">IF(AND($D351="Serviço",AV$12&lt;&gt;0,$H351&gt;0,OR(AUTOEVENTO&lt;&gt;"manual",$M351&lt;&gt;1)),ROUND(OFFSET($P351,0,AV$13),15-13*ORÇAMENTO!$AF$7)/$H351*OFFSET(ORÇAMENTO!$X$15,ROW(AV351)-ROW(AV$15),0),0)</f>
        <v>0</v>
      </c>
      <c r="AW351" s="632">
        <f ca="1">IF(AND($D351="Serviço",AW$12&lt;&gt;0,$H351&gt;0,OR(AUTOEVENTO&lt;&gt;"manual",$M351&lt;&gt;1)),ROUND(OFFSET($P351,0,AW$13),15-13*ORÇAMENTO!$AF$7)/$H351*OFFSET(ORÇAMENTO!$X$15,ROW(AW351)-ROW(AW$15),0),0)</f>
        <v>0</v>
      </c>
      <c r="AX351" s="632">
        <f ca="1">IF(AND($D351="Serviço",AX$12&lt;&gt;0,$H351&gt;0,OR(AUTOEVENTO&lt;&gt;"manual",$M351&lt;&gt;1)),ROUND(OFFSET($P351,0,AX$13),15-13*ORÇAMENTO!$AF$7)/$H351*OFFSET(ORÇAMENTO!$X$15,ROW(AX351)-ROW(AX$15),0),0)</f>
        <v>0</v>
      </c>
      <c r="AY351" s="632">
        <f ca="1">IF(AND($D351="Serviço",AY$12&lt;&gt;0,$H351&gt;0,OR(AUTOEVENTO&lt;&gt;"manual",$M351&lt;&gt;1)),ROUND(OFFSET($P351,0,AY$13),15-13*ORÇAMENTO!$AF$7)/$H351*OFFSET(ORÇAMENTO!$X$15,ROW(AY351)-ROW(AY$15),0),0)</f>
        <v>0</v>
      </c>
      <c r="AZ351" s="632">
        <f ca="1">IF(AND($D351="Serviço",AZ$12&lt;&gt;0,$H351&gt;0,OR(AUTOEVENTO&lt;&gt;"manual",$M351&lt;&gt;1)),ROUND(OFFSET($P351,0,AZ$13),15-13*ORÇAMENTO!$AF$7)/$H351*OFFSET(ORÇAMENTO!$X$15,ROW(AZ351)-ROW(AZ$15),0),0)</f>
        <v>0</v>
      </c>
      <c r="BA351" s="633">
        <f ca="1">IF(AND($D351="Serviço",BA$12&lt;&gt;0,$H351&gt;0,OR(AUTOEVENTO&lt;&gt;"manual",$M351&lt;&gt;1)),ROUND(OFFSET($P351,0,BA$13),15-13*ORÇAMENTO!$AF$7)/$H351*OFFSET(ORÇAMENTO!$X$15,ROW(BA351)-ROW(BA$15),0),0)</f>
        <v>0</v>
      </c>
      <c r="BC351" s="215">
        <f ca="1">IF($D351&lt;&gt;"Serviço",0,IF(AND(AUTOEVENTO="Manual",$M351=1),0,IF(OFFSET(CRONOPLE!$F$14,$M351,BC$13)="",10^12,OFFSET(CRONOPLE!$F$14,$M351,BC$13))))</f>
        <v>0</v>
      </c>
      <c r="BD351" s="215">
        <f ca="1">IF($D351&lt;&gt;"Serviço",0,IF(AND(AUTOEVENTO="Manual",$M351=1),0,IF(OFFSET(CRONOPLE!$F$14,$M351,BD$13)="",10^12,OFFSET(CRONOPLE!$F$14,$M351,BD$13))))</f>
        <v>0</v>
      </c>
      <c r="BE351" s="215">
        <f ca="1">IF($D351&lt;&gt;"Serviço",0,IF(AND(AUTOEVENTO="Manual",$M351=1),0,IF(OFFSET(CRONOPLE!$F$14,$M351,BE$13)="",10^12,OFFSET(CRONOPLE!$F$14,$M351,BE$13))))</f>
        <v>0</v>
      </c>
      <c r="BF351" s="215">
        <f ca="1">IF($D351&lt;&gt;"Serviço",0,IF(AND(AUTOEVENTO="Manual",$M351=1),0,IF(OFFSET(CRONOPLE!$F$14,$M351,BF$13)="",10^12,OFFSET(CRONOPLE!$F$14,$M351,BF$13))))</f>
        <v>0</v>
      </c>
      <c r="BG351" s="215">
        <f ca="1">IF($D351&lt;&gt;"Serviço",0,IF(AND(AUTOEVENTO="Manual",$M351=1),0,IF(OFFSET(CRONOPLE!$F$14,$M351,BG$13)="",10^12,OFFSET(CRONOPLE!$F$14,$M351,BG$13))))</f>
        <v>0</v>
      </c>
      <c r="BH351" s="215">
        <f ca="1">IF($D351&lt;&gt;"Serviço",0,IF(AND(AUTOEVENTO="Manual",$M351=1),0,IF(OFFSET(CRONOPLE!$F$14,$M351,BH$13)="",10^12,OFFSET(CRONOPLE!$F$14,$M351,BH$13))))</f>
        <v>0</v>
      </c>
      <c r="BI351" s="215">
        <f ca="1">IF($D351&lt;&gt;"Serviço",0,IF(AND(AUTOEVENTO="Manual",$M351=1),0,IF(OFFSET(CRONOPLE!$F$14,$M351,BI$13)="",10^12,OFFSET(CRONOPLE!$F$14,$M351,BI$13))))</f>
        <v>0</v>
      </c>
      <c r="BJ351" s="215">
        <f ca="1">IF($D351&lt;&gt;"Serviço",0,IF(AND(AUTOEVENTO="Manual",$M351=1),0,IF(OFFSET(CRONOPLE!$F$14,$M351,BJ$13)="",10^12,OFFSET(CRONOPLE!$F$14,$M351,BJ$13))))</f>
        <v>0</v>
      </c>
      <c r="BK351" s="215">
        <f ca="1">IF($D351&lt;&gt;"Serviço",0,IF(AND(AUTOEVENTO="Manual",$M351=1),0,IF(OFFSET(CRONOPLE!$F$14,$M351,BK$13)="",10^12,OFFSET(CRONOPLE!$F$14,$M351,BK$13))))</f>
        <v>0</v>
      </c>
      <c r="BL351" s="215">
        <f ca="1">IF($D351&lt;&gt;"Serviço",0,IF(AND(AUTOEVENTO="Manual",$M351=1),0,IF(OFFSET(CRONOPLE!$F$14,$M351,BL$13)="",10^12,OFFSET(CRONOPLE!$F$14,$M351,BL$13))))</f>
        <v>0</v>
      </c>
      <c r="BM351" s="215">
        <f ca="1">IF($D351&lt;&gt;"Serviço",0,IF(AND(AUTOEVENTO="Manual",$M351=1),0,IF(OFFSET(CRONOPLE!$F$14,$M351,BM$13)="",10^12,OFFSET(CRONOPLE!$F$14,$M351,BM$13))))</f>
        <v>0</v>
      </c>
      <c r="BN351" s="215">
        <f ca="1">IF($D351&lt;&gt;"Serviço",0,IF(AND(AUTOEVENTO="Manual",$M351=1),0,IF(OFFSET(CRONOPLE!$F$14,$M351,BN$13)="",10^12,OFFSET(CRONOPLE!$F$14,$M351,BN$13))))</f>
        <v>0</v>
      </c>
      <c r="BO351" s="215">
        <f ca="1">IF($D351&lt;&gt;"Serviço",0,IF(AND(AUTOEVENTO="Manual",$M351=1),0,IF(OFFSET(CRONOPLE!$F$14,$M351,BO$13)="",10^12,OFFSET(CRONOPLE!$F$14,$M351,BO$13))))</f>
        <v>0</v>
      </c>
      <c r="BP351" s="215">
        <f ca="1">IF($D351&lt;&gt;"Serviço",0,IF(AND(AUTOEVENTO="Manual",$M351=1),0,IF(OFFSET(CRONOPLE!$F$14,$M351,BP$13)="",10^12,OFFSET(CRONOPLE!$F$14,$M351,BP$13))))</f>
        <v>0</v>
      </c>
      <c r="BQ351" s="215">
        <f ca="1">IF($D351&lt;&gt;"Serviço",0,IF(AND(AUTOEVENTO="Manual",$M351=1),0,IF(OFFSET(CRONOPLE!$F$14,$M351,BQ$13)="",10^12,OFFSET(CRONOPLE!$F$14,$M351,BQ$13))))</f>
        <v>0</v>
      </c>
      <c r="BR351" s="215">
        <f ca="1">IF($D351&lt;&gt;"Serviço",0,IF(AND(AUTOEVENTO="Manual",$M351=1),0,IF(OFFSET(CRONOPLE!$F$14,$M351,BR$13)="",10^12,OFFSET(CRONOPLE!$F$14,$M351,BR$13))))</f>
        <v>0</v>
      </c>
      <c r="BS351" s="215">
        <f ca="1">IF($D351&lt;&gt;"Serviço",0,IF(AND(AUTOEVENTO="Manual",$M351=1),0,IF(OFFSET(CRONOPLE!$F$14,$M351,BS$13)="",10^12,OFFSET(CRONOPLE!$F$14,$M351,BS$13))))</f>
        <v>0</v>
      </c>
      <c r="BT351" s="215">
        <f ca="1">IF($D351&lt;&gt;"Serviço",0,IF(AND(AUTOEVENTO="Manual",$M351=1),0,IF(OFFSET(CRONOPLE!$F$14,$M351,BT$13)="",10^12,OFFSET(CRONOPLE!$F$14,$M351,BT$13))))</f>
        <v>0</v>
      </c>
      <c r="BV351" s="216">
        <f ca="1">IF($D351&lt;&gt;"Serviço",0,IF(OR(AND(AUTOEVENTO="Manual",$M351=1),$M351&gt;(ROW(PLE.lastrow)-ROW(PLE.firstrow))),0,IF(OFFSET(PLE!$G$14,$M351,BV$13)="",10^12,OFFSET(PLE!$G$14,$M351,BV$13))))</f>
        <v>0</v>
      </c>
      <c r="BW351" s="216">
        <f ca="1">IF($D351&lt;&gt;"Serviço",0,IF(OR(AND(AUTOEVENTO="Manual",$M351=1),$M351&gt;(ROW(PLE.lastrow)-ROW(PLE.firstrow))),0,IF(OFFSET(PLE!$G$14,$M351,BW$13)="",10^12,OFFSET(PLE!$G$14,$M351,BW$13))))</f>
        <v>0</v>
      </c>
      <c r="BX351" s="216">
        <f ca="1">IF($D351&lt;&gt;"Serviço",0,IF(OR(AND(AUTOEVENTO="Manual",$M351=1),$M351&gt;(ROW(PLE.lastrow)-ROW(PLE.firstrow))),0,IF(OFFSET(PLE!$G$14,$M351,BX$13)="",10^12,OFFSET(PLE!$G$14,$M351,BX$13))))</f>
        <v>0</v>
      </c>
      <c r="BY351" s="216">
        <f ca="1">IF($D351&lt;&gt;"Serviço",0,IF(OR(AND(AUTOEVENTO="Manual",$M351=1),$M351&gt;(ROW(PLE.lastrow)-ROW(PLE.firstrow))),0,IF(OFFSET(PLE!$G$14,$M351,BY$13)="",10^12,OFFSET(PLE!$G$14,$M351,BY$13))))</f>
        <v>0</v>
      </c>
      <c r="BZ351" s="216">
        <f ca="1">IF($D351&lt;&gt;"Serviço",0,IF(OR(AND(AUTOEVENTO="Manual",$M351=1),$M351&gt;(ROW(PLE.lastrow)-ROW(PLE.firstrow))),0,IF(OFFSET(PLE!$G$14,$M351,BZ$13)="",10^12,OFFSET(PLE!$G$14,$M351,BZ$13))))</f>
        <v>0</v>
      </c>
      <c r="CA351" s="216">
        <f ca="1">IF($D351&lt;&gt;"Serviço",0,IF(OR(AND(AUTOEVENTO="Manual",$M351=1),$M351&gt;(ROW(PLE.lastrow)-ROW(PLE.firstrow))),0,IF(OFFSET(PLE!$G$14,$M351,CA$13)="",10^12,OFFSET(PLE!$G$14,$M351,CA$13))))</f>
        <v>0</v>
      </c>
      <c r="CB351" s="216">
        <f ca="1">IF($D351&lt;&gt;"Serviço",0,IF(OR(AND(AUTOEVENTO="Manual",$M351=1),$M351&gt;(ROW(PLE.lastrow)-ROW(PLE.firstrow))),0,IF(OFFSET(PLE!$G$14,$M351,CB$13)="",10^12,OFFSET(PLE!$G$14,$M351,CB$13))))</f>
        <v>0</v>
      </c>
      <c r="CC351" s="216">
        <f ca="1">IF($D351&lt;&gt;"Serviço",0,IF(OR(AND(AUTOEVENTO="Manual",$M351=1),$M351&gt;(ROW(PLE.lastrow)-ROW(PLE.firstrow))),0,IF(OFFSET(PLE!$G$14,$M351,CC$13)="",10^12,OFFSET(PLE!$G$14,$M351,CC$13))))</f>
        <v>0</v>
      </c>
      <c r="CD351" s="216">
        <f ca="1">IF($D351&lt;&gt;"Serviço",0,IF(OR(AND(AUTOEVENTO="Manual",$M351=1),$M351&gt;(ROW(PLE.lastrow)-ROW(PLE.firstrow))),0,IF(OFFSET(PLE!$G$14,$M351,CD$13)="",10^12,OFFSET(PLE!$G$14,$M351,CD$13))))</f>
        <v>0</v>
      </c>
      <c r="CE351" s="216">
        <f ca="1">IF($D351&lt;&gt;"Serviço",0,IF(OR(AND(AUTOEVENTO="Manual",$M351=1),$M351&gt;(ROW(PLE.lastrow)-ROW(PLE.firstrow))),0,IF(OFFSET(PLE!$G$14,$M351,CE$13)="",10^12,OFFSET(PLE!$G$14,$M351,CE$13))))</f>
        <v>0</v>
      </c>
      <c r="CF351" s="216">
        <f ca="1">IF($D351&lt;&gt;"Serviço",0,IF(OR(AND(AUTOEVENTO="Manual",$M351=1),$M351&gt;(ROW(PLE.lastrow)-ROW(PLE.firstrow))),0,IF(OFFSET(PLE!$G$14,$M351,CF$13)="",10^12,OFFSET(PLE!$G$14,$M351,CF$13))))</f>
        <v>0</v>
      </c>
      <c r="CG351" s="216">
        <f ca="1">IF($D351&lt;&gt;"Serviço",0,IF(OR(AND(AUTOEVENTO="Manual",$M351=1),$M351&gt;(ROW(PLE.lastrow)-ROW(PLE.firstrow))),0,IF(OFFSET(PLE!$G$14,$M351,CG$13)="",10^12,OFFSET(PLE!$G$14,$M351,CG$13))))</f>
        <v>0</v>
      </c>
      <c r="CH351" s="216">
        <f ca="1">IF($D351&lt;&gt;"Serviço",0,IF(OR(AND(AUTOEVENTO="Manual",$M351=1),$M351&gt;(ROW(PLE.lastrow)-ROW(PLE.firstrow))),0,IF(OFFSET(PLE!$G$14,$M351,CH$13)="",10^12,OFFSET(PLE!$G$14,$M351,CH$13))))</f>
        <v>0</v>
      </c>
      <c r="CI351" s="216">
        <f ca="1">IF($D351&lt;&gt;"Serviço",0,IF(OR(AND(AUTOEVENTO="Manual",$M351=1),$M351&gt;(ROW(PLE.lastrow)-ROW(PLE.firstrow))),0,IF(OFFSET(PLE!$G$14,$M351,CI$13)="",10^12,OFFSET(PLE!$G$14,$M351,CI$13))))</f>
        <v>0</v>
      </c>
      <c r="CJ351" s="216">
        <f ca="1">IF($D351&lt;&gt;"Serviço",0,IF(OR(AND(AUTOEVENTO="Manual",$M351=1),$M351&gt;(ROW(PLE.lastrow)-ROW(PLE.firstrow))),0,IF(OFFSET(PLE!$G$14,$M351,CJ$13)="",10^12,OFFSET(PLE!$G$14,$M351,CJ$13))))</f>
        <v>0</v>
      </c>
      <c r="CK351" s="216">
        <f ca="1">IF($D351&lt;&gt;"Serviço",0,IF(OR(AND(AUTOEVENTO="Manual",$M351=1),$M351&gt;(ROW(PLE.lastrow)-ROW(PLE.firstrow))),0,IF(OFFSET(PLE!$G$14,$M351,CK$13)="",10^12,OFFSET(PLE!$G$14,$M351,CK$13))))</f>
        <v>0</v>
      </c>
      <c r="CL351" s="216">
        <f ca="1">IF($D351&lt;&gt;"Serviço",0,IF(OR(AND(AUTOEVENTO="Manual",$M351=1),$M351&gt;(ROW(PLE.lastrow)-ROW(PLE.firstrow))),0,IF(OFFSET(PLE!$G$14,$M351,CL$13)="",10^12,OFFSET(PLE!$G$14,$M351,CL$13))))</f>
        <v>0</v>
      </c>
      <c r="CM351" s="216">
        <f ca="1">IF($D351&lt;&gt;"Serviço",0,IF(OR(AND(AUTOEVENTO="Manual",$M351=1),$M351&gt;(ROW(PLE.lastrow)-ROW(PLE.firstrow))),0,IF(OFFSET(PLE!$G$14,$M351,CM$13)="",10^12,OFFSET(PLE!$G$14,$M351,CM$13))))</f>
        <v>0</v>
      </c>
    </row>
    <row r="352" spans="1:91" ht="13.2" x14ac:dyDescent="0.25">
      <c r="A352" s="9">
        <f t="shared" ca="1" si="14"/>
        <v>0</v>
      </c>
      <c r="B352" s="9" t="str">
        <f ca="1">OFFSET(ORÇAMENTO!C$15,ROW(B352)-ROW(B$15),0)</f>
        <v>S</v>
      </c>
      <c r="C352" s="9" t="str">
        <f ca="1">OFFSET(ORÇAMENTO!L$15,ROW(C352)-ROW(C$15),0)</f>
        <v/>
      </c>
      <c r="D352" s="145" t="str">
        <f ca="1">OFFSET(ORÇAMENTO!N$15,ROW(D352)-ROW(D$15),0)</f>
        <v>Serviço</v>
      </c>
      <c r="E352" s="205" t="str">
        <f ca="1">OFFSET(ORÇAMENTO!O$15,ROW(E352)-ROW(E$15),0)</f>
        <v>-</v>
      </c>
      <c r="F352" s="206" t="str">
        <f ca="1">OFFSET(ORÇAMENTO!R$15,ROW(F352)-ROW(F$15),0)</f>
        <v>(abra o arquivo 'Referência 05-2024.xls)</v>
      </c>
      <c r="G352" s="207" t="str">
        <f ca="1">IF($D352&lt;&gt;"Serviço","",OFFSET(ORÇAMENTO!S$15,ROW(G352)-ROW(G$15),0))</f>
        <v>-</v>
      </c>
      <c r="H352" s="151">
        <f ca="1">IF($D352&lt;&gt;"Serviço",0,IF(ACOMPANHAMENTO="BM",ROUND(OFFSET(ORÇAMENTO!AJ$15,ROW(H352)-ROW(H$15),0),15-13*ORÇAMENTO!$AF$7),SUMPRODUCT(($Q$12:$AI$12&lt;&gt;"")*ROUND($Q352:$AI352,15-13*ORÇAMENTO!$AF$7))))</f>
        <v>6</v>
      </c>
      <c r="I352" s="650"/>
      <c r="K352" s="208"/>
      <c r="L352" s="209" t="s">
        <v>257</v>
      </c>
      <c r="M352" s="210">
        <f ca="1">IF($D352&lt;&gt;"Serviço","",IF(AUTOEVENTO="manual",$A352,IF(ISERROR(MATCH($A352,$A$15:OFFSET($A352,-1,0),0)),MAX($M$15:OFFSET(M352,-1,0))+1,INDEX($M$15:OFFSET(M352,-1,0),MATCH($A352,$A$15:OFFSET($A352,-1,0),0)))))</f>
        <v>0</v>
      </c>
      <c r="N352" s="211" t="str">
        <f ca="1">IF($D352&lt;&gt;"Serviço","",IF(AUTOEVENTO="Manual",IF($A352=0,"&lt;-- defina o número do agrupador",OFFSET(EVENTOS!$D$14,$A352,0)),OFFSET($F$15,$A352,0)))</f>
        <v>&lt;-- defina o número do agrupador</v>
      </c>
      <c r="O352" s="212"/>
      <c r="Q352" s="212"/>
      <c r="R352" s="213"/>
      <c r="S352" s="213"/>
      <c r="T352" s="213"/>
      <c r="U352" s="213"/>
      <c r="V352" s="213"/>
      <c r="W352" s="213"/>
      <c r="X352" s="213"/>
      <c r="Y352" s="213"/>
      <c r="Z352" s="214"/>
      <c r="AA352" s="213"/>
      <c r="AB352" s="213"/>
      <c r="AC352" s="213"/>
      <c r="AD352" s="213"/>
      <c r="AE352" s="213"/>
      <c r="AF352" s="213"/>
      <c r="AG352" s="213"/>
      <c r="AH352" s="214"/>
      <c r="AJ352" s="631">
        <f ca="1">IF(AND($D352="Serviço",AJ$12&lt;&gt;0,$H352&gt;0,OR(AUTOEVENTO&lt;&gt;"manual",$M352&lt;&gt;1)),ROUND(OFFSET($P352,0,AJ$13),15-13*ORÇAMENTO!$AF$7)/$H352*OFFSET(ORÇAMENTO!$X$15,ROW(AJ352)-ROW(AJ$15),0),0)</f>
        <v>0</v>
      </c>
      <c r="AK352" s="632">
        <f ca="1">IF(AND($D352="Serviço",AK$12&lt;&gt;0,$H352&gt;0,OR(AUTOEVENTO&lt;&gt;"manual",$M352&lt;&gt;1)),ROUND(OFFSET($P352,0,AK$13),15-13*ORÇAMENTO!$AF$7)/$H352*OFFSET(ORÇAMENTO!$X$15,ROW(AK352)-ROW(AK$15),0),0)</f>
        <v>0</v>
      </c>
      <c r="AL352" s="632">
        <f ca="1">IF(AND($D352="Serviço",AL$12&lt;&gt;0,$H352&gt;0,OR(AUTOEVENTO&lt;&gt;"manual",$M352&lt;&gt;1)),ROUND(OFFSET($P352,0,AL$13),15-13*ORÇAMENTO!$AF$7)/$H352*OFFSET(ORÇAMENTO!$X$15,ROW(AL352)-ROW(AL$15),0),0)</f>
        <v>0</v>
      </c>
      <c r="AM352" s="632">
        <f ca="1">IF(AND($D352="Serviço",AM$12&lt;&gt;0,$H352&gt;0,OR(AUTOEVENTO&lt;&gt;"manual",$M352&lt;&gt;1)),ROUND(OFFSET($P352,0,AM$13),15-13*ORÇAMENTO!$AF$7)/$H352*OFFSET(ORÇAMENTO!$X$15,ROW(AM352)-ROW(AM$15),0),0)</f>
        <v>0</v>
      </c>
      <c r="AN352" s="632">
        <f ca="1">IF(AND($D352="Serviço",AN$12&lt;&gt;0,$H352&gt;0,OR(AUTOEVENTO&lt;&gt;"manual",$M352&lt;&gt;1)),ROUND(OFFSET($P352,0,AN$13),15-13*ORÇAMENTO!$AF$7)/$H352*OFFSET(ORÇAMENTO!$X$15,ROW(AN352)-ROW(AN$15),0),0)</f>
        <v>0</v>
      </c>
      <c r="AO352" s="632">
        <f ca="1">IF(AND($D352="Serviço",AO$12&lt;&gt;0,$H352&gt;0,OR(AUTOEVENTO&lt;&gt;"manual",$M352&lt;&gt;1)),ROUND(OFFSET($P352,0,AO$13),15-13*ORÇAMENTO!$AF$7)/$H352*OFFSET(ORÇAMENTO!$X$15,ROW(AO352)-ROW(AO$15),0),0)</f>
        <v>0</v>
      </c>
      <c r="AP352" s="632">
        <f ca="1">IF(AND($D352="Serviço",AP$12&lt;&gt;0,$H352&gt;0,OR(AUTOEVENTO&lt;&gt;"manual",$M352&lt;&gt;1)),ROUND(OFFSET($P352,0,AP$13),15-13*ORÇAMENTO!$AF$7)/$H352*OFFSET(ORÇAMENTO!$X$15,ROW(AP352)-ROW(AP$15),0),0)</f>
        <v>0</v>
      </c>
      <c r="AQ352" s="632">
        <f ca="1">IF(AND($D352="Serviço",AQ$12&lt;&gt;0,$H352&gt;0,OR(AUTOEVENTO&lt;&gt;"manual",$M352&lt;&gt;1)),ROUND(OFFSET($P352,0,AQ$13),15-13*ORÇAMENTO!$AF$7)/$H352*OFFSET(ORÇAMENTO!$X$15,ROW(AQ352)-ROW(AQ$15),0),0)</f>
        <v>0</v>
      </c>
      <c r="AR352" s="632">
        <f ca="1">IF(AND($D352="Serviço",AR$12&lt;&gt;0,$H352&gt;0,OR(AUTOEVENTO&lt;&gt;"manual",$M352&lt;&gt;1)),ROUND(OFFSET($P352,0,AR$13),15-13*ORÇAMENTO!$AF$7)/$H352*OFFSET(ORÇAMENTO!$X$15,ROW(AR352)-ROW(AR$15),0),0)</f>
        <v>0</v>
      </c>
      <c r="AS352" s="633">
        <f ca="1">IF(AND($D352="Serviço",AS$12&lt;&gt;0,$H352&gt;0,OR(AUTOEVENTO&lt;&gt;"manual",$M352&lt;&gt;1)),ROUND(OFFSET($P352,0,AS$13),15-13*ORÇAMENTO!$AF$7)/$H352*OFFSET(ORÇAMENTO!$X$15,ROW(AS352)-ROW(AS$15),0),0)</f>
        <v>0</v>
      </c>
      <c r="AT352" s="632">
        <f ca="1">IF(AND($D352="Serviço",AT$12&lt;&gt;0,$H352&gt;0,OR(AUTOEVENTO&lt;&gt;"manual",$M352&lt;&gt;1)),ROUND(OFFSET($P352,0,AT$13),15-13*ORÇAMENTO!$AF$7)/$H352*OFFSET(ORÇAMENTO!$X$15,ROW(AT352)-ROW(AT$15),0),0)</f>
        <v>0</v>
      </c>
      <c r="AU352" s="632">
        <f ca="1">IF(AND($D352="Serviço",AU$12&lt;&gt;0,$H352&gt;0,OR(AUTOEVENTO&lt;&gt;"manual",$M352&lt;&gt;1)),ROUND(OFFSET($P352,0,AU$13),15-13*ORÇAMENTO!$AF$7)/$H352*OFFSET(ORÇAMENTO!$X$15,ROW(AU352)-ROW(AU$15),0),0)</f>
        <v>0</v>
      </c>
      <c r="AV352" s="632">
        <f ca="1">IF(AND($D352="Serviço",AV$12&lt;&gt;0,$H352&gt;0,OR(AUTOEVENTO&lt;&gt;"manual",$M352&lt;&gt;1)),ROUND(OFFSET($P352,0,AV$13),15-13*ORÇAMENTO!$AF$7)/$H352*OFFSET(ORÇAMENTO!$X$15,ROW(AV352)-ROW(AV$15),0),0)</f>
        <v>0</v>
      </c>
      <c r="AW352" s="632">
        <f ca="1">IF(AND($D352="Serviço",AW$12&lt;&gt;0,$H352&gt;0,OR(AUTOEVENTO&lt;&gt;"manual",$M352&lt;&gt;1)),ROUND(OFFSET($P352,0,AW$13),15-13*ORÇAMENTO!$AF$7)/$H352*OFFSET(ORÇAMENTO!$X$15,ROW(AW352)-ROW(AW$15),0),0)</f>
        <v>0</v>
      </c>
      <c r="AX352" s="632">
        <f ca="1">IF(AND($D352="Serviço",AX$12&lt;&gt;0,$H352&gt;0,OR(AUTOEVENTO&lt;&gt;"manual",$M352&lt;&gt;1)),ROUND(OFFSET($P352,0,AX$13),15-13*ORÇAMENTO!$AF$7)/$H352*OFFSET(ORÇAMENTO!$X$15,ROW(AX352)-ROW(AX$15),0),0)</f>
        <v>0</v>
      </c>
      <c r="AY352" s="632">
        <f ca="1">IF(AND($D352="Serviço",AY$12&lt;&gt;0,$H352&gt;0,OR(AUTOEVENTO&lt;&gt;"manual",$M352&lt;&gt;1)),ROUND(OFFSET($P352,0,AY$13),15-13*ORÇAMENTO!$AF$7)/$H352*OFFSET(ORÇAMENTO!$X$15,ROW(AY352)-ROW(AY$15),0),0)</f>
        <v>0</v>
      </c>
      <c r="AZ352" s="632">
        <f ca="1">IF(AND($D352="Serviço",AZ$12&lt;&gt;0,$H352&gt;0,OR(AUTOEVENTO&lt;&gt;"manual",$M352&lt;&gt;1)),ROUND(OFFSET($P352,0,AZ$13),15-13*ORÇAMENTO!$AF$7)/$H352*OFFSET(ORÇAMENTO!$X$15,ROW(AZ352)-ROW(AZ$15),0),0)</f>
        <v>0</v>
      </c>
      <c r="BA352" s="633">
        <f ca="1">IF(AND($D352="Serviço",BA$12&lt;&gt;0,$H352&gt;0,OR(AUTOEVENTO&lt;&gt;"manual",$M352&lt;&gt;1)),ROUND(OFFSET($P352,0,BA$13),15-13*ORÇAMENTO!$AF$7)/$H352*OFFSET(ORÇAMENTO!$X$15,ROW(BA352)-ROW(BA$15),0),0)</f>
        <v>0</v>
      </c>
      <c r="BC352" s="215">
        <f ca="1">IF($D352&lt;&gt;"Serviço",0,IF(AND(AUTOEVENTO="Manual",$M352=1),0,IF(OFFSET(CRONOPLE!$F$14,$M352,BC$13)="",10^12,OFFSET(CRONOPLE!$F$14,$M352,BC$13))))</f>
        <v>1000000000000</v>
      </c>
      <c r="BD352" s="215">
        <f ca="1">IF($D352&lt;&gt;"Serviço",0,IF(AND(AUTOEVENTO="Manual",$M352=1),0,IF(OFFSET(CRONOPLE!$F$14,$M352,BD$13)="",10^12,OFFSET(CRONOPLE!$F$14,$M352,BD$13))))</f>
        <v>1000000000000</v>
      </c>
      <c r="BE352" s="215">
        <f ca="1">IF($D352&lt;&gt;"Serviço",0,IF(AND(AUTOEVENTO="Manual",$M352=1),0,IF(OFFSET(CRONOPLE!$F$14,$M352,BE$13)="",10^12,OFFSET(CRONOPLE!$F$14,$M352,BE$13))))</f>
        <v>1000000000000</v>
      </c>
      <c r="BF352" s="215">
        <f ca="1">IF($D352&lt;&gt;"Serviço",0,IF(AND(AUTOEVENTO="Manual",$M352=1),0,IF(OFFSET(CRONOPLE!$F$14,$M352,BF$13)="",10^12,OFFSET(CRONOPLE!$F$14,$M352,BF$13))))</f>
        <v>1000000000000</v>
      </c>
      <c r="BG352" s="215">
        <f ca="1">IF($D352&lt;&gt;"Serviço",0,IF(AND(AUTOEVENTO="Manual",$M352=1),0,IF(OFFSET(CRONOPLE!$F$14,$M352,BG$13)="",10^12,OFFSET(CRONOPLE!$F$14,$M352,BG$13))))</f>
        <v>1000000000000</v>
      </c>
      <c r="BH352" s="215">
        <f ca="1">IF($D352&lt;&gt;"Serviço",0,IF(AND(AUTOEVENTO="Manual",$M352=1),0,IF(OFFSET(CRONOPLE!$F$14,$M352,BH$13)="",10^12,OFFSET(CRONOPLE!$F$14,$M352,BH$13))))</f>
        <v>1000000000000</v>
      </c>
      <c r="BI352" s="215">
        <f ca="1">IF($D352&lt;&gt;"Serviço",0,IF(AND(AUTOEVENTO="Manual",$M352=1),0,IF(OFFSET(CRONOPLE!$F$14,$M352,BI$13)="",10^12,OFFSET(CRONOPLE!$F$14,$M352,BI$13))))</f>
        <v>1000000000000</v>
      </c>
      <c r="BJ352" s="215">
        <f ca="1">IF($D352&lt;&gt;"Serviço",0,IF(AND(AUTOEVENTO="Manual",$M352=1),0,IF(OFFSET(CRONOPLE!$F$14,$M352,BJ$13)="",10^12,OFFSET(CRONOPLE!$F$14,$M352,BJ$13))))</f>
        <v>1000000000000</v>
      </c>
      <c r="BK352" s="215">
        <f ca="1">IF($D352&lt;&gt;"Serviço",0,IF(AND(AUTOEVENTO="Manual",$M352=1),0,IF(OFFSET(CRONOPLE!$F$14,$M352,BK$13)="",10^12,OFFSET(CRONOPLE!$F$14,$M352,BK$13))))</f>
        <v>1000000000000</v>
      </c>
      <c r="BL352" s="215">
        <f ca="1">IF($D352&lt;&gt;"Serviço",0,IF(AND(AUTOEVENTO="Manual",$M352=1),0,IF(OFFSET(CRONOPLE!$F$14,$M352,BL$13)="",10^12,OFFSET(CRONOPLE!$F$14,$M352,BL$13))))</f>
        <v>1000000000000</v>
      </c>
      <c r="BM352" s="215">
        <f ca="1">IF($D352&lt;&gt;"Serviço",0,IF(AND(AUTOEVENTO="Manual",$M352=1),0,IF(OFFSET(CRONOPLE!$F$14,$M352,BM$13)="",10^12,OFFSET(CRONOPLE!$F$14,$M352,BM$13))))</f>
        <v>1000000000000</v>
      </c>
      <c r="BN352" s="215">
        <f ca="1">IF($D352&lt;&gt;"Serviço",0,IF(AND(AUTOEVENTO="Manual",$M352=1),0,IF(OFFSET(CRONOPLE!$F$14,$M352,BN$13)="",10^12,OFFSET(CRONOPLE!$F$14,$M352,BN$13))))</f>
        <v>1000000000000</v>
      </c>
      <c r="BO352" s="215">
        <f ca="1">IF($D352&lt;&gt;"Serviço",0,IF(AND(AUTOEVENTO="Manual",$M352=1),0,IF(OFFSET(CRONOPLE!$F$14,$M352,BO$13)="",10^12,OFFSET(CRONOPLE!$F$14,$M352,BO$13))))</f>
        <v>1000000000000</v>
      </c>
      <c r="BP352" s="215">
        <f ca="1">IF($D352&lt;&gt;"Serviço",0,IF(AND(AUTOEVENTO="Manual",$M352=1),0,IF(OFFSET(CRONOPLE!$F$14,$M352,BP$13)="",10^12,OFFSET(CRONOPLE!$F$14,$M352,BP$13))))</f>
        <v>1000000000000</v>
      </c>
      <c r="BQ352" s="215">
        <f ca="1">IF($D352&lt;&gt;"Serviço",0,IF(AND(AUTOEVENTO="Manual",$M352=1),0,IF(OFFSET(CRONOPLE!$F$14,$M352,BQ$13)="",10^12,OFFSET(CRONOPLE!$F$14,$M352,BQ$13))))</f>
        <v>1000000000000</v>
      </c>
      <c r="BR352" s="215">
        <f ca="1">IF($D352&lt;&gt;"Serviço",0,IF(AND(AUTOEVENTO="Manual",$M352=1),0,IF(OFFSET(CRONOPLE!$F$14,$M352,BR$13)="",10^12,OFFSET(CRONOPLE!$F$14,$M352,BR$13))))</f>
        <v>1000000000000</v>
      </c>
      <c r="BS352" s="215">
        <f ca="1">IF($D352&lt;&gt;"Serviço",0,IF(AND(AUTOEVENTO="Manual",$M352=1),0,IF(OFFSET(CRONOPLE!$F$14,$M352,BS$13)="",10^12,OFFSET(CRONOPLE!$F$14,$M352,BS$13))))</f>
        <v>1000000000000</v>
      </c>
      <c r="BT352" s="215">
        <f ca="1">IF($D352&lt;&gt;"Serviço",0,IF(AND(AUTOEVENTO="Manual",$M352=1),0,IF(OFFSET(CRONOPLE!$F$14,$M352,BT$13)="",10^12,OFFSET(CRONOPLE!$F$14,$M352,BT$13))))</f>
        <v>1000000000000</v>
      </c>
      <c r="BV352" s="216">
        <f ca="1">IF($D352&lt;&gt;"Serviço",0,IF(OR(AND(AUTOEVENTO="Manual",$M352=1),$M352&gt;(ROW(PLE.lastrow)-ROW(PLE.firstrow))),0,IF(OFFSET(PLE!$G$14,$M352,BV$13)="",10^12,OFFSET(PLE!$G$14,$M352,BV$13))))</f>
        <v>1000000000000</v>
      </c>
      <c r="BW352" s="216">
        <f ca="1">IF($D352&lt;&gt;"Serviço",0,IF(OR(AND(AUTOEVENTO="Manual",$M352=1),$M352&gt;(ROW(PLE.lastrow)-ROW(PLE.firstrow))),0,IF(OFFSET(PLE!$G$14,$M352,BW$13)="",10^12,OFFSET(PLE!$G$14,$M352,BW$13))))</f>
        <v>1000000000000</v>
      </c>
      <c r="BX352" s="216">
        <f ca="1">IF($D352&lt;&gt;"Serviço",0,IF(OR(AND(AUTOEVENTO="Manual",$M352=1),$M352&gt;(ROW(PLE.lastrow)-ROW(PLE.firstrow))),0,IF(OFFSET(PLE!$G$14,$M352,BX$13)="",10^12,OFFSET(PLE!$G$14,$M352,BX$13))))</f>
        <v>1000000000000</v>
      </c>
      <c r="BY352" s="216">
        <f ca="1">IF($D352&lt;&gt;"Serviço",0,IF(OR(AND(AUTOEVENTO="Manual",$M352=1),$M352&gt;(ROW(PLE.lastrow)-ROW(PLE.firstrow))),0,IF(OFFSET(PLE!$G$14,$M352,BY$13)="",10^12,OFFSET(PLE!$G$14,$M352,BY$13))))</f>
        <v>1000000000000</v>
      </c>
      <c r="BZ352" s="216">
        <f ca="1">IF($D352&lt;&gt;"Serviço",0,IF(OR(AND(AUTOEVENTO="Manual",$M352=1),$M352&gt;(ROW(PLE.lastrow)-ROW(PLE.firstrow))),0,IF(OFFSET(PLE!$G$14,$M352,BZ$13)="",10^12,OFFSET(PLE!$G$14,$M352,BZ$13))))</f>
        <v>1000000000000</v>
      </c>
      <c r="CA352" s="216">
        <f ca="1">IF($D352&lt;&gt;"Serviço",0,IF(OR(AND(AUTOEVENTO="Manual",$M352=1),$M352&gt;(ROW(PLE.lastrow)-ROW(PLE.firstrow))),0,IF(OFFSET(PLE!$G$14,$M352,CA$13)="",10^12,OFFSET(PLE!$G$14,$M352,CA$13))))</f>
        <v>1000000000000</v>
      </c>
      <c r="CB352" s="216">
        <f ca="1">IF($D352&lt;&gt;"Serviço",0,IF(OR(AND(AUTOEVENTO="Manual",$M352=1),$M352&gt;(ROW(PLE.lastrow)-ROW(PLE.firstrow))),0,IF(OFFSET(PLE!$G$14,$M352,CB$13)="",10^12,OFFSET(PLE!$G$14,$M352,CB$13))))</f>
        <v>1000000000000</v>
      </c>
      <c r="CC352" s="216">
        <f ca="1">IF($D352&lt;&gt;"Serviço",0,IF(OR(AND(AUTOEVENTO="Manual",$M352=1),$M352&gt;(ROW(PLE.lastrow)-ROW(PLE.firstrow))),0,IF(OFFSET(PLE!$G$14,$M352,CC$13)="",10^12,OFFSET(PLE!$G$14,$M352,CC$13))))</f>
        <v>1000000000000</v>
      </c>
      <c r="CD352" s="216">
        <f ca="1">IF($D352&lt;&gt;"Serviço",0,IF(OR(AND(AUTOEVENTO="Manual",$M352=1),$M352&gt;(ROW(PLE.lastrow)-ROW(PLE.firstrow))),0,IF(OFFSET(PLE!$G$14,$M352,CD$13)="",10^12,OFFSET(PLE!$G$14,$M352,CD$13))))</f>
        <v>1000000000000</v>
      </c>
      <c r="CE352" s="216">
        <f ca="1">IF($D352&lt;&gt;"Serviço",0,IF(OR(AND(AUTOEVENTO="Manual",$M352=1),$M352&gt;(ROW(PLE.lastrow)-ROW(PLE.firstrow))),0,IF(OFFSET(PLE!$G$14,$M352,CE$13)="",10^12,OFFSET(PLE!$G$14,$M352,CE$13))))</f>
        <v>1000000000000</v>
      </c>
      <c r="CF352" s="216">
        <f ca="1">IF($D352&lt;&gt;"Serviço",0,IF(OR(AND(AUTOEVENTO="Manual",$M352=1),$M352&gt;(ROW(PLE.lastrow)-ROW(PLE.firstrow))),0,IF(OFFSET(PLE!$G$14,$M352,CF$13)="",10^12,OFFSET(PLE!$G$14,$M352,CF$13))))</f>
        <v>1000000000000</v>
      </c>
      <c r="CG352" s="216">
        <f ca="1">IF($D352&lt;&gt;"Serviço",0,IF(OR(AND(AUTOEVENTO="Manual",$M352=1),$M352&gt;(ROW(PLE.lastrow)-ROW(PLE.firstrow))),0,IF(OFFSET(PLE!$G$14,$M352,CG$13)="",10^12,OFFSET(PLE!$G$14,$M352,CG$13))))</f>
        <v>1000000000000</v>
      </c>
      <c r="CH352" s="216">
        <f ca="1">IF($D352&lt;&gt;"Serviço",0,IF(OR(AND(AUTOEVENTO="Manual",$M352=1),$M352&gt;(ROW(PLE.lastrow)-ROW(PLE.firstrow))),0,IF(OFFSET(PLE!$G$14,$M352,CH$13)="",10^12,OFFSET(PLE!$G$14,$M352,CH$13))))</f>
        <v>1000000000000</v>
      </c>
      <c r="CI352" s="216">
        <f ca="1">IF($D352&lt;&gt;"Serviço",0,IF(OR(AND(AUTOEVENTO="Manual",$M352=1),$M352&gt;(ROW(PLE.lastrow)-ROW(PLE.firstrow))),0,IF(OFFSET(PLE!$G$14,$M352,CI$13)="",10^12,OFFSET(PLE!$G$14,$M352,CI$13))))</f>
        <v>1000000000000</v>
      </c>
      <c r="CJ352" s="216">
        <f ca="1">IF($D352&lt;&gt;"Serviço",0,IF(OR(AND(AUTOEVENTO="Manual",$M352=1),$M352&gt;(ROW(PLE.lastrow)-ROW(PLE.firstrow))),0,IF(OFFSET(PLE!$G$14,$M352,CJ$13)="",10^12,OFFSET(PLE!$G$14,$M352,CJ$13))))</f>
        <v>1000000000000</v>
      </c>
      <c r="CK352" s="216">
        <f ca="1">IF($D352&lt;&gt;"Serviço",0,IF(OR(AND(AUTOEVENTO="Manual",$M352=1),$M352&gt;(ROW(PLE.lastrow)-ROW(PLE.firstrow))),0,IF(OFFSET(PLE!$G$14,$M352,CK$13)="",10^12,OFFSET(PLE!$G$14,$M352,CK$13))))</f>
        <v>1000000000000</v>
      </c>
      <c r="CL352" s="216">
        <f ca="1">IF($D352&lt;&gt;"Serviço",0,IF(OR(AND(AUTOEVENTO="Manual",$M352=1),$M352&gt;(ROW(PLE.lastrow)-ROW(PLE.firstrow))),0,IF(OFFSET(PLE!$G$14,$M352,CL$13)="",10^12,OFFSET(PLE!$G$14,$M352,CL$13))))</f>
        <v>1000000000000</v>
      </c>
      <c r="CM352" s="216">
        <f ca="1">IF($D352&lt;&gt;"Serviço",0,IF(OR(AND(AUTOEVENTO="Manual",$M352=1),$M352&gt;(ROW(PLE.lastrow)-ROW(PLE.firstrow))),0,IF(OFFSET(PLE!$G$14,$M352,CM$13)="",10^12,OFFSET(PLE!$G$14,$M352,CM$13))))</f>
        <v>1000000000000</v>
      </c>
    </row>
    <row r="353" spans="1:91" ht="13.2" x14ac:dyDescent="0.25">
      <c r="A353" s="9">
        <f t="shared" ca="1" si="14"/>
        <v>0</v>
      </c>
      <c r="B353" s="9" t="str">
        <f ca="1">OFFSET(ORÇAMENTO!C$15,ROW(B353)-ROW(B$15),0)</f>
        <v>S</v>
      </c>
      <c r="C353" s="9" t="str">
        <f ca="1">OFFSET(ORÇAMENTO!L$15,ROW(C353)-ROW(C$15),0)</f>
        <v/>
      </c>
      <c r="D353" s="145" t="str">
        <f ca="1">OFFSET(ORÇAMENTO!N$15,ROW(D353)-ROW(D$15),0)</f>
        <v>Serviço</v>
      </c>
      <c r="E353" s="205" t="str">
        <f ca="1">OFFSET(ORÇAMENTO!O$15,ROW(E353)-ROW(E$15),0)</f>
        <v>-</v>
      </c>
      <c r="F353" s="206" t="str">
        <f ca="1">OFFSET(ORÇAMENTO!R$15,ROW(F353)-ROW(F$15),0)</f>
        <v>(abra o arquivo 'Referência 05-2024.xls)</v>
      </c>
      <c r="G353" s="207" t="str">
        <f ca="1">IF($D353&lt;&gt;"Serviço","",OFFSET(ORÇAMENTO!S$15,ROW(G353)-ROW(G$15),0))</f>
        <v>-</v>
      </c>
      <c r="H353" s="151">
        <f ca="1">IF($D353&lt;&gt;"Serviço",0,IF(ACOMPANHAMENTO="BM",ROUND(OFFSET(ORÇAMENTO!AJ$15,ROW(H353)-ROW(H$15),0),15-13*ORÇAMENTO!$AF$7),SUMPRODUCT(($Q$12:$AI$12&lt;&gt;"")*ROUND($Q353:$AI353,15-13*ORÇAMENTO!$AF$7))))</f>
        <v>7</v>
      </c>
      <c r="I353" s="650"/>
      <c r="K353" s="208"/>
      <c r="L353" s="209" t="s">
        <v>257</v>
      </c>
      <c r="M353" s="210">
        <f ca="1">IF($D353&lt;&gt;"Serviço","",IF(AUTOEVENTO="manual",$A353,IF(ISERROR(MATCH($A353,$A$15:OFFSET($A353,-1,0),0)),MAX($M$15:OFFSET(M353,-1,0))+1,INDEX($M$15:OFFSET(M353,-1,0),MATCH($A353,$A$15:OFFSET($A353,-1,0),0)))))</f>
        <v>0</v>
      </c>
      <c r="N353" s="211" t="str">
        <f ca="1">IF($D353&lt;&gt;"Serviço","",IF(AUTOEVENTO="Manual",IF($A353=0,"&lt;-- defina o número do agrupador",OFFSET(EVENTOS!$D$14,$A353,0)),OFFSET($F$15,$A353,0)))</f>
        <v>&lt;-- defina o número do agrupador</v>
      </c>
      <c r="O353" s="212"/>
      <c r="Q353" s="212"/>
      <c r="R353" s="213"/>
      <c r="S353" s="213"/>
      <c r="T353" s="213"/>
      <c r="U353" s="213"/>
      <c r="V353" s="213"/>
      <c r="W353" s="213"/>
      <c r="X353" s="213"/>
      <c r="Y353" s="213"/>
      <c r="Z353" s="214"/>
      <c r="AA353" s="213"/>
      <c r="AB353" s="213"/>
      <c r="AC353" s="213"/>
      <c r="AD353" s="213"/>
      <c r="AE353" s="213"/>
      <c r="AF353" s="213"/>
      <c r="AG353" s="213"/>
      <c r="AH353" s="214"/>
      <c r="AJ353" s="631">
        <f ca="1">IF(AND($D353="Serviço",AJ$12&lt;&gt;0,$H353&gt;0,OR(AUTOEVENTO&lt;&gt;"manual",$M353&lt;&gt;1)),ROUND(OFFSET($P353,0,AJ$13),15-13*ORÇAMENTO!$AF$7)/$H353*OFFSET(ORÇAMENTO!$X$15,ROW(AJ353)-ROW(AJ$15),0),0)</f>
        <v>0</v>
      </c>
      <c r="AK353" s="632">
        <f ca="1">IF(AND($D353="Serviço",AK$12&lt;&gt;0,$H353&gt;0,OR(AUTOEVENTO&lt;&gt;"manual",$M353&lt;&gt;1)),ROUND(OFFSET($P353,0,AK$13),15-13*ORÇAMENTO!$AF$7)/$H353*OFFSET(ORÇAMENTO!$X$15,ROW(AK353)-ROW(AK$15),0),0)</f>
        <v>0</v>
      </c>
      <c r="AL353" s="632">
        <f ca="1">IF(AND($D353="Serviço",AL$12&lt;&gt;0,$H353&gt;0,OR(AUTOEVENTO&lt;&gt;"manual",$M353&lt;&gt;1)),ROUND(OFFSET($P353,0,AL$13),15-13*ORÇAMENTO!$AF$7)/$H353*OFFSET(ORÇAMENTO!$X$15,ROW(AL353)-ROW(AL$15),0),0)</f>
        <v>0</v>
      </c>
      <c r="AM353" s="632">
        <f ca="1">IF(AND($D353="Serviço",AM$12&lt;&gt;0,$H353&gt;0,OR(AUTOEVENTO&lt;&gt;"manual",$M353&lt;&gt;1)),ROUND(OFFSET($P353,0,AM$13),15-13*ORÇAMENTO!$AF$7)/$H353*OFFSET(ORÇAMENTO!$X$15,ROW(AM353)-ROW(AM$15),0),0)</f>
        <v>0</v>
      </c>
      <c r="AN353" s="632">
        <f ca="1">IF(AND($D353="Serviço",AN$12&lt;&gt;0,$H353&gt;0,OR(AUTOEVENTO&lt;&gt;"manual",$M353&lt;&gt;1)),ROUND(OFFSET($P353,0,AN$13),15-13*ORÇAMENTO!$AF$7)/$H353*OFFSET(ORÇAMENTO!$X$15,ROW(AN353)-ROW(AN$15),0),0)</f>
        <v>0</v>
      </c>
      <c r="AO353" s="632">
        <f ca="1">IF(AND($D353="Serviço",AO$12&lt;&gt;0,$H353&gt;0,OR(AUTOEVENTO&lt;&gt;"manual",$M353&lt;&gt;1)),ROUND(OFFSET($P353,0,AO$13),15-13*ORÇAMENTO!$AF$7)/$H353*OFFSET(ORÇAMENTO!$X$15,ROW(AO353)-ROW(AO$15),0),0)</f>
        <v>0</v>
      </c>
      <c r="AP353" s="632">
        <f ca="1">IF(AND($D353="Serviço",AP$12&lt;&gt;0,$H353&gt;0,OR(AUTOEVENTO&lt;&gt;"manual",$M353&lt;&gt;1)),ROUND(OFFSET($P353,0,AP$13),15-13*ORÇAMENTO!$AF$7)/$H353*OFFSET(ORÇAMENTO!$X$15,ROW(AP353)-ROW(AP$15),0),0)</f>
        <v>0</v>
      </c>
      <c r="AQ353" s="632">
        <f ca="1">IF(AND($D353="Serviço",AQ$12&lt;&gt;0,$H353&gt;0,OR(AUTOEVENTO&lt;&gt;"manual",$M353&lt;&gt;1)),ROUND(OFFSET($P353,0,AQ$13),15-13*ORÇAMENTO!$AF$7)/$H353*OFFSET(ORÇAMENTO!$X$15,ROW(AQ353)-ROW(AQ$15),0),0)</f>
        <v>0</v>
      </c>
      <c r="AR353" s="632">
        <f ca="1">IF(AND($D353="Serviço",AR$12&lt;&gt;0,$H353&gt;0,OR(AUTOEVENTO&lt;&gt;"manual",$M353&lt;&gt;1)),ROUND(OFFSET($P353,0,AR$13),15-13*ORÇAMENTO!$AF$7)/$H353*OFFSET(ORÇAMENTO!$X$15,ROW(AR353)-ROW(AR$15),0),0)</f>
        <v>0</v>
      </c>
      <c r="AS353" s="633">
        <f ca="1">IF(AND($D353="Serviço",AS$12&lt;&gt;0,$H353&gt;0,OR(AUTOEVENTO&lt;&gt;"manual",$M353&lt;&gt;1)),ROUND(OFFSET($P353,0,AS$13),15-13*ORÇAMENTO!$AF$7)/$H353*OFFSET(ORÇAMENTO!$X$15,ROW(AS353)-ROW(AS$15),0),0)</f>
        <v>0</v>
      </c>
      <c r="AT353" s="632">
        <f ca="1">IF(AND($D353="Serviço",AT$12&lt;&gt;0,$H353&gt;0,OR(AUTOEVENTO&lt;&gt;"manual",$M353&lt;&gt;1)),ROUND(OFFSET($P353,0,AT$13),15-13*ORÇAMENTO!$AF$7)/$H353*OFFSET(ORÇAMENTO!$X$15,ROW(AT353)-ROW(AT$15),0),0)</f>
        <v>0</v>
      </c>
      <c r="AU353" s="632">
        <f ca="1">IF(AND($D353="Serviço",AU$12&lt;&gt;0,$H353&gt;0,OR(AUTOEVENTO&lt;&gt;"manual",$M353&lt;&gt;1)),ROUND(OFFSET($P353,0,AU$13),15-13*ORÇAMENTO!$AF$7)/$H353*OFFSET(ORÇAMENTO!$X$15,ROW(AU353)-ROW(AU$15),0),0)</f>
        <v>0</v>
      </c>
      <c r="AV353" s="632">
        <f ca="1">IF(AND($D353="Serviço",AV$12&lt;&gt;0,$H353&gt;0,OR(AUTOEVENTO&lt;&gt;"manual",$M353&lt;&gt;1)),ROUND(OFFSET($P353,0,AV$13),15-13*ORÇAMENTO!$AF$7)/$H353*OFFSET(ORÇAMENTO!$X$15,ROW(AV353)-ROW(AV$15),0),0)</f>
        <v>0</v>
      </c>
      <c r="AW353" s="632">
        <f ca="1">IF(AND($D353="Serviço",AW$12&lt;&gt;0,$H353&gt;0,OR(AUTOEVENTO&lt;&gt;"manual",$M353&lt;&gt;1)),ROUND(OFFSET($P353,0,AW$13),15-13*ORÇAMENTO!$AF$7)/$H353*OFFSET(ORÇAMENTO!$X$15,ROW(AW353)-ROW(AW$15),0),0)</f>
        <v>0</v>
      </c>
      <c r="AX353" s="632">
        <f ca="1">IF(AND($D353="Serviço",AX$12&lt;&gt;0,$H353&gt;0,OR(AUTOEVENTO&lt;&gt;"manual",$M353&lt;&gt;1)),ROUND(OFFSET($P353,0,AX$13),15-13*ORÇAMENTO!$AF$7)/$H353*OFFSET(ORÇAMENTO!$X$15,ROW(AX353)-ROW(AX$15),0),0)</f>
        <v>0</v>
      </c>
      <c r="AY353" s="632">
        <f ca="1">IF(AND($D353="Serviço",AY$12&lt;&gt;0,$H353&gt;0,OR(AUTOEVENTO&lt;&gt;"manual",$M353&lt;&gt;1)),ROUND(OFFSET($P353,0,AY$13),15-13*ORÇAMENTO!$AF$7)/$H353*OFFSET(ORÇAMENTO!$X$15,ROW(AY353)-ROW(AY$15),0),0)</f>
        <v>0</v>
      </c>
      <c r="AZ353" s="632">
        <f ca="1">IF(AND($D353="Serviço",AZ$12&lt;&gt;0,$H353&gt;0,OR(AUTOEVENTO&lt;&gt;"manual",$M353&lt;&gt;1)),ROUND(OFFSET($P353,0,AZ$13),15-13*ORÇAMENTO!$AF$7)/$H353*OFFSET(ORÇAMENTO!$X$15,ROW(AZ353)-ROW(AZ$15),0),0)</f>
        <v>0</v>
      </c>
      <c r="BA353" s="633">
        <f ca="1">IF(AND($D353="Serviço",BA$12&lt;&gt;0,$H353&gt;0,OR(AUTOEVENTO&lt;&gt;"manual",$M353&lt;&gt;1)),ROUND(OFFSET($P353,0,BA$13),15-13*ORÇAMENTO!$AF$7)/$H353*OFFSET(ORÇAMENTO!$X$15,ROW(BA353)-ROW(BA$15),0),0)</f>
        <v>0</v>
      </c>
      <c r="BC353" s="215">
        <f ca="1">IF($D353&lt;&gt;"Serviço",0,IF(AND(AUTOEVENTO="Manual",$M353=1),0,IF(OFFSET(CRONOPLE!$F$14,$M353,BC$13)="",10^12,OFFSET(CRONOPLE!$F$14,$M353,BC$13))))</f>
        <v>1000000000000</v>
      </c>
      <c r="BD353" s="215">
        <f ca="1">IF($D353&lt;&gt;"Serviço",0,IF(AND(AUTOEVENTO="Manual",$M353=1),0,IF(OFFSET(CRONOPLE!$F$14,$M353,BD$13)="",10^12,OFFSET(CRONOPLE!$F$14,$M353,BD$13))))</f>
        <v>1000000000000</v>
      </c>
      <c r="BE353" s="215">
        <f ca="1">IF($D353&lt;&gt;"Serviço",0,IF(AND(AUTOEVENTO="Manual",$M353=1),0,IF(OFFSET(CRONOPLE!$F$14,$M353,BE$13)="",10^12,OFFSET(CRONOPLE!$F$14,$M353,BE$13))))</f>
        <v>1000000000000</v>
      </c>
      <c r="BF353" s="215">
        <f ca="1">IF($D353&lt;&gt;"Serviço",0,IF(AND(AUTOEVENTO="Manual",$M353=1),0,IF(OFFSET(CRONOPLE!$F$14,$M353,BF$13)="",10^12,OFFSET(CRONOPLE!$F$14,$M353,BF$13))))</f>
        <v>1000000000000</v>
      </c>
      <c r="BG353" s="215">
        <f ca="1">IF($D353&lt;&gt;"Serviço",0,IF(AND(AUTOEVENTO="Manual",$M353=1),0,IF(OFFSET(CRONOPLE!$F$14,$M353,BG$13)="",10^12,OFFSET(CRONOPLE!$F$14,$M353,BG$13))))</f>
        <v>1000000000000</v>
      </c>
      <c r="BH353" s="215">
        <f ca="1">IF($D353&lt;&gt;"Serviço",0,IF(AND(AUTOEVENTO="Manual",$M353=1),0,IF(OFFSET(CRONOPLE!$F$14,$M353,BH$13)="",10^12,OFFSET(CRONOPLE!$F$14,$M353,BH$13))))</f>
        <v>1000000000000</v>
      </c>
      <c r="BI353" s="215">
        <f ca="1">IF($D353&lt;&gt;"Serviço",0,IF(AND(AUTOEVENTO="Manual",$M353=1),0,IF(OFFSET(CRONOPLE!$F$14,$M353,BI$13)="",10^12,OFFSET(CRONOPLE!$F$14,$M353,BI$13))))</f>
        <v>1000000000000</v>
      </c>
      <c r="BJ353" s="215">
        <f ca="1">IF($D353&lt;&gt;"Serviço",0,IF(AND(AUTOEVENTO="Manual",$M353=1),0,IF(OFFSET(CRONOPLE!$F$14,$M353,BJ$13)="",10^12,OFFSET(CRONOPLE!$F$14,$M353,BJ$13))))</f>
        <v>1000000000000</v>
      </c>
      <c r="BK353" s="215">
        <f ca="1">IF($D353&lt;&gt;"Serviço",0,IF(AND(AUTOEVENTO="Manual",$M353=1),0,IF(OFFSET(CRONOPLE!$F$14,$M353,BK$13)="",10^12,OFFSET(CRONOPLE!$F$14,$M353,BK$13))))</f>
        <v>1000000000000</v>
      </c>
      <c r="BL353" s="215">
        <f ca="1">IF($D353&lt;&gt;"Serviço",0,IF(AND(AUTOEVENTO="Manual",$M353=1),0,IF(OFFSET(CRONOPLE!$F$14,$M353,BL$13)="",10^12,OFFSET(CRONOPLE!$F$14,$M353,BL$13))))</f>
        <v>1000000000000</v>
      </c>
      <c r="BM353" s="215">
        <f ca="1">IF($D353&lt;&gt;"Serviço",0,IF(AND(AUTOEVENTO="Manual",$M353=1),0,IF(OFFSET(CRONOPLE!$F$14,$M353,BM$13)="",10^12,OFFSET(CRONOPLE!$F$14,$M353,BM$13))))</f>
        <v>1000000000000</v>
      </c>
      <c r="BN353" s="215">
        <f ca="1">IF($D353&lt;&gt;"Serviço",0,IF(AND(AUTOEVENTO="Manual",$M353=1),0,IF(OFFSET(CRONOPLE!$F$14,$M353,BN$13)="",10^12,OFFSET(CRONOPLE!$F$14,$M353,BN$13))))</f>
        <v>1000000000000</v>
      </c>
      <c r="BO353" s="215">
        <f ca="1">IF($D353&lt;&gt;"Serviço",0,IF(AND(AUTOEVENTO="Manual",$M353=1),0,IF(OFFSET(CRONOPLE!$F$14,$M353,BO$13)="",10^12,OFFSET(CRONOPLE!$F$14,$M353,BO$13))))</f>
        <v>1000000000000</v>
      </c>
      <c r="BP353" s="215">
        <f ca="1">IF($D353&lt;&gt;"Serviço",0,IF(AND(AUTOEVENTO="Manual",$M353=1),0,IF(OFFSET(CRONOPLE!$F$14,$M353,BP$13)="",10^12,OFFSET(CRONOPLE!$F$14,$M353,BP$13))))</f>
        <v>1000000000000</v>
      </c>
      <c r="BQ353" s="215">
        <f ca="1">IF($D353&lt;&gt;"Serviço",0,IF(AND(AUTOEVENTO="Manual",$M353=1),0,IF(OFFSET(CRONOPLE!$F$14,$M353,BQ$13)="",10^12,OFFSET(CRONOPLE!$F$14,$M353,BQ$13))))</f>
        <v>1000000000000</v>
      </c>
      <c r="BR353" s="215">
        <f ca="1">IF($D353&lt;&gt;"Serviço",0,IF(AND(AUTOEVENTO="Manual",$M353=1),0,IF(OFFSET(CRONOPLE!$F$14,$M353,BR$13)="",10^12,OFFSET(CRONOPLE!$F$14,$M353,BR$13))))</f>
        <v>1000000000000</v>
      </c>
      <c r="BS353" s="215">
        <f ca="1">IF($D353&lt;&gt;"Serviço",0,IF(AND(AUTOEVENTO="Manual",$M353=1),0,IF(OFFSET(CRONOPLE!$F$14,$M353,BS$13)="",10^12,OFFSET(CRONOPLE!$F$14,$M353,BS$13))))</f>
        <v>1000000000000</v>
      </c>
      <c r="BT353" s="215">
        <f ca="1">IF($D353&lt;&gt;"Serviço",0,IF(AND(AUTOEVENTO="Manual",$M353=1),0,IF(OFFSET(CRONOPLE!$F$14,$M353,BT$13)="",10^12,OFFSET(CRONOPLE!$F$14,$M353,BT$13))))</f>
        <v>1000000000000</v>
      </c>
      <c r="BV353" s="216">
        <f ca="1">IF($D353&lt;&gt;"Serviço",0,IF(OR(AND(AUTOEVENTO="Manual",$M353=1),$M353&gt;(ROW(PLE.lastrow)-ROW(PLE.firstrow))),0,IF(OFFSET(PLE!$G$14,$M353,BV$13)="",10^12,OFFSET(PLE!$G$14,$M353,BV$13))))</f>
        <v>1000000000000</v>
      </c>
      <c r="BW353" s="216">
        <f ca="1">IF($D353&lt;&gt;"Serviço",0,IF(OR(AND(AUTOEVENTO="Manual",$M353=1),$M353&gt;(ROW(PLE.lastrow)-ROW(PLE.firstrow))),0,IF(OFFSET(PLE!$G$14,$M353,BW$13)="",10^12,OFFSET(PLE!$G$14,$M353,BW$13))))</f>
        <v>1000000000000</v>
      </c>
      <c r="BX353" s="216">
        <f ca="1">IF($D353&lt;&gt;"Serviço",0,IF(OR(AND(AUTOEVENTO="Manual",$M353=1),$M353&gt;(ROW(PLE.lastrow)-ROW(PLE.firstrow))),0,IF(OFFSET(PLE!$G$14,$M353,BX$13)="",10^12,OFFSET(PLE!$G$14,$M353,BX$13))))</f>
        <v>1000000000000</v>
      </c>
      <c r="BY353" s="216">
        <f ca="1">IF($D353&lt;&gt;"Serviço",0,IF(OR(AND(AUTOEVENTO="Manual",$M353=1),$M353&gt;(ROW(PLE.lastrow)-ROW(PLE.firstrow))),0,IF(OFFSET(PLE!$G$14,$M353,BY$13)="",10^12,OFFSET(PLE!$G$14,$M353,BY$13))))</f>
        <v>1000000000000</v>
      </c>
      <c r="BZ353" s="216">
        <f ca="1">IF($D353&lt;&gt;"Serviço",0,IF(OR(AND(AUTOEVENTO="Manual",$M353=1),$M353&gt;(ROW(PLE.lastrow)-ROW(PLE.firstrow))),0,IF(OFFSET(PLE!$G$14,$M353,BZ$13)="",10^12,OFFSET(PLE!$G$14,$M353,BZ$13))))</f>
        <v>1000000000000</v>
      </c>
      <c r="CA353" s="216">
        <f ca="1">IF($D353&lt;&gt;"Serviço",0,IF(OR(AND(AUTOEVENTO="Manual",$M353=1),$M353&gt;(ROW(PLE.lastrow)-ROW(PLE.firstrow))),0,IF(OFFSET(PLE!$G$14,$M353,CA$13)="",10^12,OFFSET(PLE!$G$14,$M353,CA$13))))</f>
        <v>1000000000000</v>
      </c>
      <c r="CB353" s="216">
        <f ca="1">IF($D353&lt;&gt;"Serviço",0,IF(OR(AND(AUTOEVENTO="Manual",$M353=1),$M353&gt;(ROW(PLE.lastrow)-ROW(PLE.firstrow))),0,IF(OFFSET(PLE!$G$14,$M353,CB$13)="",10^12,OFFSET(PLE!$G$14,$M353,CB$13))))</f>
        <v>1000000000000</v>
      </c>
      <c r="CC353" s="216">
        <f ca="1">IF($D353&lt;&gt;"Serviço",0,IF(OR(AND(AUTOEVENTO="Manual",$M353=1),$M353&gt;(ROW(PLE.lastrow)-ROW(PLE.firstrow))),0,IF(OFFSET(PLE!$G$14,$M353,CC$13)="",10^12,OFFSET(PLE!$G$14,$M353,CC$13))))</f>
        <v>1000000000000</v>
      </c>
      <c r="CD353" s="216">
        <f ca="1">IF($D353&lt;&gt;"Serviço",0,IF(OR(AND(AUTOEVENTO="Manual",$M353=1),$M353&gt;(ROW(PLE.lastrow)-ROW(PLE.firstrow))),0,IF(OFFSET(PLE!$G$14,$M353,CD$13)="",10^12,OFFSET(PLE!$G$14,$M353,CD$13))))</f>
        <v>1000000000000</v>
      </c>
      <c r="CE353" s="216">
        <f ca="1">IF($D353&lt;&gt;"Serviço",0,IF(OR(AND(AUTOEVENTO="Manual",$M353=1),$M353&gt;(ROW(PLE.lastrow)-ROW(PLE.firstrow))),0,IF(OFFSET(PLE!$G$14,$M353,CE$13)="",10^12,OFFSET(PLE!$G$14,$M353,CE$13))))</f>
        <v>1000000000000</v>
      </c>
      <c r="CF353" s="216">
        <f ca="1">IF($D353&lt;&gt;"Serviço",0,IF(OR(AND(AUTOEVENTO="Manual",$M353=1),$M353&gt;(ROW(PLE.lastrow)-ROW(PLE.firstrow))),0,IF(OFFSET(PLE!$G$14,$M353,CF$13)="",10^12,OFFSET(PLE!$G$14,$M353,CF$13))))</f>
        <v>1000000000000</v>
      </c>
      <c r="CG353" s="216">
        <f ca="1">IF($D353&lt;&gt;"Serviço",0,IF(OR(AND(AUTOEVENTO="Manual",$M353=1),$M353&gt;(ROW(PLE.lastrow)-ROW(PLE.firstrow))),0,IF(OFFSET(PLE!$G$14,$M353,CG$13)="",10^12,OFFSET(PLE!$G$14,$M353,CG$13))))</f>
        <v>1000000000000</v>
      </c>
      <c r="CH353" s="216">
        <f ca="1">IF($D353&lt;&gt;"Serviço",0,IF(OR(AND(AUTOEVENTO="Manual",$M353=1),$M353&gt;(ROW(PLE.lastrow)-ROW(PLE.firstrow))),0,IF(OFFSET(PLE!$G$14,$M353,CH$13)="",10^12,OFFSET(PLE!$G$14,$M353,CH$13))))</f>
        <v>1000000000000</v>
      </c>
      <c r="CI353" s="216">
        <f ca="1">IF($D353&lt;&gt;"Serviço",0,IF(OR(AND(AUTOEVENTO="Manual",$M353=1),$M353&gt;(ROW(PLE.lastrow)-ROW(PLE.firstrow))),0,IF(OFFSET(PLE!$G$14,$M353,CI$13)="",10^12,OFFSET(PLE!$G$14,$M353,CI$13))))</f>
        <v>1000000000000</v>
      </c>
      <c r="CJ353" s="216">
        <f ca="1">IF($D353&lt;&gt;"Serviço",0,IF(OR(AND(AUTOEVENTO="Manual",$M353=1),$M353&gt;(ROW(PLE.lastrow)-ROW(PLE.firstrow))),0,IF(OFFSET(PLE!$G$14,$M353,CJ$13)="",10^12,OFFSET(PLE!$G$14,$M353,CJ$13))))</f>
        <v>1000000000000</v>
      </c>
      <c r="CK353" s="216">
        <f ca="1">IF($D353&lt;&gt;"Serviço",0,IF(OR(AND(AUTOEVENTO="Manual",$M353=1),$M353&gt;(ROW(PLE.lastrow)-ROW(PLE.firstrow))),0,IF(OFFSET(PLE!$G$14,$M353,CK$13)="",10^12,OFFSET(PLE!$G$14,$M353,CK$13))))</f>
        <v>1000000000000</v>
      </c>
      <c r="CL353" s="216">
        <f ca="1">IF($D353&lt;&gt;"Serviço",0,IF(OR(AND(AUTOEVENTO="Manual",$M353=1),$M353&gt;(ROW(PLE.lastrow)-ROW(PLE.firstrow))),0,IF(OFFSET(PLE!$G$14,$M353,CL$13)="",10^12,OFFSET(PLE!$G$14,$M353,CL$13))))</f>
        <v>1000000000000</v>
      </c>
      <c r="CM353" s="216">
        <f ca="1">IF($D353&lt;&gt;"Serviço",0,IF(OR(AND(AUTOEVENTO="Manual",$M353=1),$M353&gt;(ROW(PLE.lastrow)-ROW(PLE.firstrow))),0,IF(OFFSET(PLE!$G$14,$M353,CM$13)="",10^12,OFFSET(PLE!$G$14,$M353,CM$13))))</f>
        <v>1000000000000</v>
      </c>
    </row>
    <row r="354" spans="1:91" ht="13.2" x14ac:dyDescent="0.25">
      <c r="A354" s="9">
        <f t="shared" ca="1" si="14"/>
        <v>0</v>
      </c>
      <c r="B354" s="9" t="str">
        <f ca="1">OFFSET(ORÇAMENTO!C$15,ROW(B354)-ROW(B$15),0)</f>
        <v>S</v>
      </c>
      <c r="C354" s="9" t="str">
        <f ca="1">OFFSET(ORÇAMENTO!L$15,ROW(C354)-ROW(C$15),0)</f>
        <v/>
      </c>
      <c r="D354" s="145" t="str">
        <f ca="1">OFFSET(ORÇAMENTO!N$15,ROW(D354)-ROW(D$15),0)</f>
        <v>Serviço</v>
      </c>
      <c r="E354" s="205" t="str">
        <f ca="1">OFFSET(ORÇAMENTO!O$15,ROW(E354)-ROW(E$15),0)</f>
        <v>-</v>
      </c>
      <c r="F354" s="206" t="str">
        <f ca="1">OFFSET(ORÇAMENTO!R$15,ROW(F354)-ROW(F$15),0)</f>
        <v>(abra o arquivo 'Referência 05-2024.xls)</v>
      </c>
      <c r="G354" s="207" t="str">
        <f ca="1">IF($D354&lt;&gt;"Serviço","",OFFSET(ORÇAMENTO!S$15,ROW(G354)-ROW(G$15),0))</f>
        <v>-</v>
      </c>
      <c r="H354" s="151">
        <f ca="1">IF($D354&lt;&gt;"Serviço",0,IF(ACOMPANHAMENTO="BM",ROUND(OFFSET(ORÇAMENTO!AJ$15,ROW(H354)-ROW(H$15),0),15-13*ORÇAMENTO!$AF$7),SUMPRODUCT(($Q$12:$AI$12&lt;&gt;"")*ROUND($Q354:$AI354,15-13*ORÇAMENTO!$AF$7))))</f>
        <v>5</v>
      </c>
      <c r="I354" s="650"/>
      <c r="K354" s="208"/>
      <c r="L354" s="209" t="s">
        <v>257</v>
      </c>
      <c r="M354" s="210">
        <f ca="1">IF($D354&lt;&gt;"Serviço","",IF(AUTOEVENTO="manual",$A354,IF(ISERROR(MATCH($A354,$A$15:OFFSET($A354,-1,0),0)),MAX($M$15:OFFSET(M354,-1,0))+1,INDEX($M$15:OFFSET(M354,-1,0),MATCH($A354,$A$15:OFFSET($A354,-1,0),0)))))</f>
        <v>0</v>
      </c>
      <c r="N354" s="211" t="str">
        <f ca="1">IF($D354&lt;&gt;"Serviço","",IF(AUTOEVENTO="Manual",IF($A354=0,"&lt;-- defina o número do agrupador",OFFSET(EVENTOS!$D$14,$A354,0)),OFFSET($F$15,$A354,0)))</f>
        <v>&lt;-- defina o número do agrupador</v>
      </c>
      <c r="O354" s="212"/>
      <c r="Q354" s="212"/>
      <c r="R354" s="213"/>
      <c r="S354" s="213"/>
      <c r="T354" s="213"/>
      <c r="U354" s="213"/>
      <c r="V354" s="213"/>
      <c r="W354" s="213"/>
      <c r="X354" s="213"/>
      <c r="Y354" s="213"/>
      <c r="Z354" s="214"/>
      <c r="AA354" s="213"/>
      <c r="AB354" s="213"/>
      <c r="AC354" s="213"/>
      <c r="AD354" s="213"/>
      <c r="AE354" s="213"/>
      <c r="AF354" s="213"/>
      <c r="AG354" s="213"/>
      <c r="AH354" s="214"/>
      <c r="AJ354" s="631">
        <f ca="1">IF(AND($D354="Serviço",AJ$12&lt;&gt;0,$H354&gt;0,OR(AUTOEVENTO&lt;&gt;"manual",$M354&lt;&gt;1)),ROUND(OFFSET($P354,0,AJ$13),15-13*ORÇAMENTO!$AF$7)/$H354*OFFSET(ORÇAMENTO!$X$15,ROW(AJ354)-ROW(AJ$15),0),0)</f>
        <v>0</v>
      </c>
      <c r="AK354" s="632">
        <f ca="1">IF(AND($D354="Serviço",AK$12&lt;&gt;0,$H354&gt;0,OR(AUTOEVENTO&lt;&gt;"manual",$M354&lt;&gt;1)),ROUND(OFFSET($P354,0,AK$13),15-13*ORÇAMENTO!$AF$7)/$H354*OFFSET(ORÇAMENTO!$X$15,ROW(AK354)-ROW(AK$15),0),0)</f>
        <v>0</v>
      </c>
      <c r="AL354" s="632">
        <f ca="1">IF(AND($D354="Serviço",AL$12&lt;&gt;0,$H354&gt;0,OR(AUTOEVENTO&lt;&gt;"manual",$M354&lt;&gt;1)),ROUND(OFFSET($P354,0,AL$13),15-13*ORÇAMENTO!$AF$7)/$H354*OFFSET(ORÇAMENTO!$X$15,ROW(AL354)-ROW(AL$15),0),0)</f>
        <v>0</v>
      </c>
      <c r="AM354" s="632">
        <f ca="1">IF(AND($D354="Serviço",AM$12&lt;&gt;0,$H354&gt;0,OR(AUTOEVENTO&lt;&gt;"manual",$M354&lt;&gt;1)),ROUND(OFFSET($P354,0,AM$13),15-13*ORÇAMENTO!$AF$7)/$H354*OFFSET(ORÇAMENTO!$X$15,ROW(AM354)-ROW(AM$15),0),0)</f>
        <v>0</v>
      </c>
      <c r="AN354" s="632">
        <f ca="1">IF(AND($D354="Serviço",AN$12&lt;&gt;0,$H354&gt;0,OR(AUTOEVENTO&lt;&gt;"manual",$M354&lt;&gt;1)),ROUND(OFFSET($P354,0,AN$13),15-13*ORÇAMENTO!$AF$7)/$H354*OFFSET(ORÇAMENTO!$X$15,ROW(AN354)-ROW(AN$15),0),0)</f>
        <v>0</v>
      </c>
      <c r="AO354" s="632">
        <f ca="1">IF(AND($D354="Serviço",AO$12&lt;&gt;0,$H354&gt;0,OR(AUTOEVENTO&lt;&gt;"manual",$M354&lt;&gt;1)),ROUND(OFFSET($P354,0,AO$13),15-13*ORÇAMENTO!$AF$7)/$H354*OFFSET(ORÇAMENTO!$X$15,ROW(AO354)-ROW(AO$15),0),0)</f>
        <v>0</v>
      </c>
      <c r="AP354" s="632">
        <f ca="1">IF(AND($D354="Serviço",AP$12&lt;&gt;0,$H354&gt;0,OR(AUTOEVENTO&lt;&gt;"manual",$M354&lt;&gt;1)),ROUND(OFFSET($P354,0,AP$13),15-13*ORÇAMENTO!$AF$7)/$H354*OFFSET(ORÇAMENTO!$X$15,ROW(AP354)-ROW(AP$15),0),0)</f>
        <v>0</v>
      </c>
      <c r="AQ354" s="632">
        <f ca="1">IF(AND($D354="Serviço",AQ$12&lt;&gt;0,$H354&gt;0,OR(AUTOEVENTO&lt;&gt;"manual",$M354&lt;&gt;1)),ROUND(OFFSET($P354,0,AQ$13),15-13*ORÇAMENTO!$AF$7)/$H354*OFFSET(ORÇAMENTO!$X$15,ROW(AQ354)-ROW(AQ$15),0),0)</f>
        <v>0</v>
      </c>
      <c r="AR354" s="632">
        <f ca="1">IF(AND($D354="Serviço",AR$12&lt;&gt;0,$H354&gt;0,OR(AUTOEVENTO&lt;&gt;"manual",$M354&lt;&gt;1)),ROUND(OFFSET($P354,0,AR$13),15-13*ORÇAMENTO!$AF$7)/$H354*OFFSET(ORÇAMENTO!$X$15,ROW(AR354)-ROW(AR$15),0),0)</f>
        <v>0</v>
      </c>
      <c r="AS354" s="633">
        <f ca="1">IF(AND($D354="Serviço",AS$12&lt;&gt;0,$H354&gt;0,OR(AUTOEVENTO&lt;&gt;"manual",$M354&lt;&gt;1)),ROUND(OFFSET($P354,0,AS$13),15-13*ORÇAMENTO!$AF$7)/$H354*OFFSET(ORÇAMENTO!$X$15,ROW(AS354)-ROW(AS$15),0),0)</f>
        <v>0</v>
      </c>
      <c r="AT354" s="632">
        <f ca="1">IF(AND($D354="Serviço",AT$12&lt;&gt;0,$H354&gt;0,OR(AUTOEVENTO&lt;&gt;"manual",$M354&lt;&gt;1)),ROUND(OFFSET($P354,0,AT$13),15-13*ORÇAMENTO!$AF$7)/$H354*OFFSET(ORÇAMENTO!$X$15,ROW(AT354)-ROW(AT$15),0),0)</f>
        <v>0</v>
      </c>
      <c r="AU354" s="632">
        <f ca="1">IF(AND($D354="Serviço",AU$12&lt;&gt;0,$H354&gt;0,OR(AUTOEVENTO&lt;&gt;"manual",$M354&lt;&gt;1)),ROUND(OFFSET($P354,0,AU$13),15-13*ORÇAMENTO!$AF$7)/$H354*OFFSET(ORÇAMENTO!$X$15,ROW(AU354)-ROW(AU$15),0),0)</f>
        <v>0</v>
      </c>
      <c r="AV354" s="632">
        <f ca="1">IF(AND($D354="Serviço",AV$12&lt;&gt;0,$H354&gt;0,OR(AUTOEVENTO&lt;&gt;"manual",$M354&lt;&gt;1)),ROUND(OFFSET($P354,0,AV$13),15-13*ORÇAMENTO!$AF$7)/$H354*OFFSET(ORÇAMENTO!$X$15,ROW(AV354)-ROW(AV$15),0),0)</f>
        <v>0</v>
      </c>
      <c r="AW354" s="632">
        <f ca="1">IF(AND($D354="Serviço",AW$12&lt;&gt;0,$H354&gt;0,OR(AUTOEVENTO&lt;&gt;"manual",$M354&lt;&gt;1)),ROUND(OFFSET($P354,0,AW$13),15-13*ORÇAMENTO!$AF$7)/$H354*OFFSET(ORÇAMENTO!$X$15,ROW(AW354)-ROW(AW$15),0),0)</f>
        <v>0</v>
      </c>
      <c r="AX354" s="632">
        <f ca="1">IF(AND($D354="Serviço",AX$12&lt;&gt;0,$H354&gt;0,OR(AUTOEVENTO&lt;&gt;"manual",$M354&lt;&gt;1)),ROUND(OFFSET($P354,0,AX$13),15-13*ORÇAMENTO!$AF$7)/$H354*OFFSET(ORÇAMENTO!$X$15,ROW(AX354)-ROW(AX$15),0),0)</f>
        <v>0</v>
      </c>
      <c r="AY354" s="632">
        <f ca="1">IF(AND($D354="Serviço",AY$12&lt;&gt;0,$H354&gt;0,OR(AUTOEVENTO&lt;&gt;"manual",$M354&lt;&gt;1)),ROUND(OFFSET($P354,0,AY$13),15-13*ORÇAMENTO!$AF$7)/$H354*OFFSET(ORÇAMENTO!$X$15,ROW(AY354)-ROW(AY$15),0),0)</f>
        <v>0</v>
      </c>
      <c r="AZ354" s="632">
        <f ca="1">IF(AND($D354="Serviço",AZ$12&lt;&gt;0,$H354&gt;0,OR(AUTOEVENTO&lt;&gt;"manual",$M354&lt;&gt;1)),ROUND(OFFSET($P354,0,AZ$13),15-13*ORÇAMENTO!$AF$7)/$H354*OFFSET(ORÇAMENTO!$X$15,ROW(AZ354)-ROW(AZ$15),0),0)</f>
        <v>0</v>
      </c>
      <c r="BA354" s="633">
        <f ca="1">IF(AND($D354="Serviço",BA$12&lt;&gt;0,$H354&gt;0,OR(AUTOEVENTO&lt;&gt;"manual",$M354&lt;&gt;1)),ROUND(OFFSET($P354,0,BA$13),15-13*ORÇAMENTO!$AF$7)/$H354*OFFSET(ORÇAMENTO!$X$15,ROW(BA354)-ROW(BA$15),0),0)</f>
        <v>0</v>
      </c>
      <c r="BC354" s="215">
        <f ca="1">IF($D354&lt;&gt;"Serviço",0,IF(AND(AUTOEVENTO="Manual",$M354=1),0,IF(OFFSET(CRONOPLE!$F$14,$M354,BC$13)="",10^12,OFFSET(CRONOPLE!$F$14,$M354,BC$13))))</f>
        <v>1000000000000</v>
      </c>
      <c r="BD354" s="215">
        <f ca="1">IF($D354&lt;&gt;"Serviço",0,IF(AND(AUTOEVENTO="Manual",$M354=1),0,IF(OFFSET(CRONOPLE!$F$14,$M354,BD$13)="",10^12,OFFSET(CRONOPLE!$F$14,$M354,BD$13))))</f>
        <v>1000000000000</v>
      </c>
      <c r="BE354" s="215">
        <f ca="1">IF($D354&lt;&gt;"Serviço",0,IF(AND(AUTOEVENTO="Manual",$M354=1),0,IF(OFFSET(CRONOPLE!$F$14,$M354,BE$13)="",10^12,OFFSET(CRONOPLE!$F$14,$M354,BE$13))))</f>
        <v>1000000000000</v>
      </c>
      <c r="BF354" s="215">
        <f ca="1">IF($D354&lt;&gt;"Serviço",0,IF(AND(AUTOEVENTO="Manual",$M354=1),0,IF(OFFSET(CRONOPLE!$F$14,$M354,BF$13)="",10^12,OFFSET(CRONOPLE!$F$14,$M354,BF$13))))</f>
        <v>1000000000000</v>
      </c>
      <c r="BG354" s="215">
        <f ca="1">IF($D354&lt;&gt;"Serviço",0,IF(AND(AUTOEVENTO="Manual",$M354=1),0,IF(OFFSET(CRONOPLE!$F$14,$M354,BG$13)="",10^12,OFFSET(CRONOPLE!$F$14,$M354,BG$13))))</f>
        <v>1000000000000</v>
      </c>
      <c r="BH354" s="215">
        <f ca="1">IF($D354&lt;&gt;"Serviço",0,IF(AND(AUTOEVENTO="Manual",$M354=1),0,IF(OFFSET(CRONOPLE!$F$14,$M354,BH$13)="",10^12,OFFSET(CRONOPLE!$F$14,$M354,BH$13))))</f>
        <v>1000000000000</v>
      </c>
      <c r="BI354" s="215">
        <f ca="1">IF($D354&lt;&gt;"Serviço",0,IF(AND(AUTOEVENTO="Manual",$M354=1),0,IF(OFFSET(CRONOPLE!$F$14,$M354,BI$13)="",10^12,OFFSET(CRONOPLE!$F$14,$M354,BI$13))))</f>
        <v>1000000000000</v>
      </c>
      <c r="BJ354" s="215">
        <f ca="1">IF($D354&lt;&gt;"Serviço",0,IF(AND(AUTOEVENTO="Manual",$M354=1),0,IF(OFFSET(CRONOPLE!$F$14,$M354,BJ$13)="",10^12,OFFSET(CRONOPLE!$F$14,$M354,BJ$13))))</f>
        <v>1000000000000</v>
      </c>
      <c r="BK354" s="215">
        <f ca="1">IF($D354&lt;&gt;"Serviço",0,IF(AND(AUTOEVENTO="Manual",$M354=1),0,IF(OFFSET(CRONOPLE!$F$14,$M354,BK$13)="",10^12,OFFSET(CRONOPLE!$F$14,$M354,BK$13))))</f>
        <v>1000000000000</v>
      </c>
      <c r="BL354" s="215">
        <f ca="1">IF($D354&lt;&gt;"Serviço",0,IF(AND(AUTOEVENTO="Manual",$M354=1),0,IF(OFFSET(CRONOPLE!$F$14,$M354,BL$13)="",10^12,OFFSET(CRONOPLE!$F$14,$M354,BL$13))))</f>
        <v>1000000000000</v>
      </c>
      <c r="BM354" s="215">
        <f ca="1">IF($D354&lt;&gt;"Serviço",0,IF(AND(AUTOEVENTO="Manual",$M354=1),0,IF(OFFSET(CRONOPLE!$F$14,$M354,BM$13)="",10^12,OFFSET(CRONOPLE!$F$14,$M354,BM$13))))</f>
        <v>1000000000000</v>
      </c>
      <c r="BN354" s="215">
        <f ca="1">IF($D354&lt;&gt;"Serviço",0,IF(AND(AUTOEVENTO="Manual",$M354=1),0,IF(OFFSET(CRONOPLE!$F$14,$M354,BN$13)="",10^12,OFFSET(CRONOPLE!$F$14,$M354,BN$13))))</f>
        <v>1000000000000</v>
      </c>
      <c r="BO354" s="215">
        <f ca="1">IF($D354&lt;&gt;"Serviço",0,IF(AND(AUTOEVENTO="Manual",$M354=1),0,IF(OFFSET(CRONOPLE!$F$14,$M354,BO$13)="",10^12,OFFSET(CRONOPLE!$F$14,$M354,BO$13))))</f>
        <v>1000000000000</v>
      </c>
      <c r="BP354" s="215">
        <f ca="1">IF($D354&lt;&gt;"Serviço",0,IF(AND(AUTOEVENTO="Manual",$M354=1),0,IF(OFFSET(CRONOPLE!$F$14,$M354,BP$13)="",10^12,OFFSET(CRONOPLE!$F$14,$M354,BP$13))))</f>
        <v>1000000000000</v>
      </c>
      <c r="BQ354" s="215">
        <f ca="1">IF($D354&lt;&gt;"Serviço",0,IF(AND(AUTOEVENTO="Manual",$M354=1),0,IF(OFFSET(CRONOPLE!$F$14,$M354,BQ$13)="",10^12,OFFSET(CRONOPLE!$F$14,$M354,BQ$13))))</f>
        <v>1000000000000</v>
      </c>
      <c r="BR354" s="215">
        <f ca="1">IF($D354&lt;&gt;"Serviço",0,IF(AND(AUTOEVENTO="Manual",$M354=1),0,IF(OFFSET(CRONOPLE!$F$14,$M354,BR$13)="",10^12,OFFSET(CRONOPLE!$F$14,$M354,BR$13))))</f>
        <v>1000000000000</v>
      </c>
      <c r="BS354" s="215">
        <f ca="1">IF($D354&lt;&gt;"Serviço",0,IF(AND(AUTOEVENTO="Manual",$M354=1),0,IF(OFFSET(CRONOPLE!$F$14,$M354,BS$13)="",10^12,OFFSET(CRONOPLE!$F$14,$M354,BS$13))))</f>
        <v>1000000000000</v>
      </c>
      <c r="BT354" s="215">
        <f ca="1">IF($D354&lt;&gt;"Serviço",0,IF(AND(AUTOEVENTO="Manual",$M354=1),0,IF(OFFSET(CRONOPLE!$F$14,$M354,BT$13)="",10^12,OFFSET(CRONOPLE!$F$14,$M354,BT$13))))</f>
        <v>1000000000000</v>
      </c>
      <c r="BV354" s="216">
        <f ca="1">IF($D354&lt;&gt;"Serviço",0,IF(OR(AND(AUTOEVENTO="Manual",$M354=1),$M354&gt;(ROW(PLE.lastrow)-ROW(PLE.firstrow))),0,IF(OFFSET(PLE!$G$14,$M354,BV$13)="",10^12,OFFSET(PLE!$G$14,$M354,BV$13))))</f>
        <v>1000000000000</v>
      </c>
      <c r="BW354" s="216">
        <f ca="1">IF($D354&lt;&gt;"Serviço",0,IF(OR(AND(AUTOEVENTO="Manual",$M354=1),$M354&gt;(ROW(PLE.lastrow)-ROW(PLE.firstrow))),0,IF(OFFSET(PLE!$G$14,$M354,BW$13)="",10^12,OFFSET(PLE!$G$14,$M354,BW$13))))</f>
        <v>1000000000000</v>
      </c>
      <c r="BX354" s="216">
        <f ca="1">IF($D354&lt;&gt;"Serviço",0,IF(OR(AND(AUTOEVENTO="Manual",$M354=1),$M354&gt;(ROW(PLE.lastrow)-ROW(PLE.firstrow))),0,IF(OFFSET(PLE!$G$14,$M354,BX$13)="",10^12,OFFSET(PLE!$G$14,$M354,BX$13))))</f>
        <v>1000000000000</v>
      </c>
      <c r="BY354" s="216">
        <f ca="1">IF($D354&lt;&gt;"Serviço",0,IF(OR(AND(AUTOEVENTO="Manual",$M354=1),$M354&gt;(ROW(PLE.lastrow)-ROW(PLE.firstrow))),0,IF(OFFSET(PLE!$G$14,$M354,BY$13)="",10^12,OFFSET(PLE!$G$14,$M354,BY$13))))</f>
        <v>1000000000000</v>
      </c>
      <c r="BZ354" s="216">
        <f ca="1">IF($D354&lt;&gt;"Serviço",0,IF(OR(AND(AUTOEVENTO="Manual",$M354=1),$M354&gt;(ROW(PLE.lastrow)-ROW(PLE.firstrow))),0,IF(OFFSET(PLE!$G$14,$M354,BZ$13)="",10^12,OFFSET(PLE!$G$14,$M354,BZ$13))))</f>
        <v>1000000000000</v>
      </c>
      <c r="CA354" s="216">
        <f ca="1">IF($D354&lt;&gt;"Serviço",0,IF(OR(AND(AUTOEVENTO="Manual",$M354=1),$M354&gt;(ROW(PLE.lastrow)-ROW(PLE.firstrow))),0,IF(OFFSET(PLE!$G$14,$M354,CA$13)="",10^12,OFFSET(PLE!$G$14,$M354,CA$13))))</f>
        <v>1000000000000</v>
      </c>
      <c r="CB354" s="216">
        <f ca="1">IF($D354&lt;&gt;"Serviço",0,IF(OR(AND(AUTOEVENTO="Manual",$M354=1),$M354&gt;(ROW(PLE.lastrow)-ROW(PLE.firstrow))),0,IF(OFFSET(PLE!$G$14,$M354,CB$13)="",10^12,OFFSET(PLE!$G$14,$M354,CB$13))))</f>
        <v>1000000000000</v>
      </c>
      <c r="CC354" s="216">
        <f ca="1">IF($D354&lt;&gt;"Serviço",0,IF(OR(AND(AUTOEVENTO="Manual",$M354=1),$M354&gt;(ROW(PLE.lastrow)-ROW(PLE.firstrow))),0,IF(OFFSET(PLE!$G$14,$M354,CC$13)="",10^12,OFFSET(PLE!$G$14,$M354,CC$13))))</f>
        <v>1000000000000</v>
      </c>
      <c r="CD354" s="216">
        <f ca="1">IF($D354&lt;&gt;"Serviço",0,IF(OR(AND(AUTOEVENTO="Manual",$M354=1),$M354&gt;(ROW(PLE.lastrow)-ROW(PLE.firstrow))),0,IF(OFFSET(PLE!$G$14,$M354,CD$13)="",10^12,OFFSET(PLE!$G$14,$M354,CD$13))))</f>
        <v>1000000000000</v>
      </c>
      <c r="CE354" s="216">
        <f ca="1">IF($D354&lt;&gt;"Serviço",0,IF(OR(AND(AUTOEVENTO="Manual",$M354=1),$M354&gt;(ROW(PLE.lastrow)-ROW(PLE.firstrow))),0,IF(OFFSET(PLE!$G$14,$M354,CE$13)="",10^12,OFFSET(PLE!$G$14,$M354,CE$13))))</f>
        <v>1000000000000</v>
      </c>
      <c r="CF354" s="216">
        <f ca="1">IF($D354&lt;&gt;"Serviço",0,IF(OR(AND(AUTOEVENTO="Manual",$M354=1),$M354&gt;(ROW(PLE.lastrow)-ROW(PLE.firstrow))),0,IF(OFFSET(PLE!$G$14,$M354,CF$13)="",10^12,OFFSET(PLE!$G$14,$M354,CF$13))))</f>
        <v>1000000000000</v>
      </c>
      <c r="CG354" s="216">
        <f ca="1">IF($D354&lt;&gt;"Serviço",0,IF(OR(AND(AUTOEVENTO="Manual",$M354=1),$M354&gt;(ROW(PLE.lastrow)-ROW(PLE.firstrow))),0,IF(OFFSET(PLE!$G$14,$M354,CG$13)="",10^12,OFFSET(PLE!$G$14,$M354,CG$13))))</f>
        <v>1000000000000</v>
      </c>
      <c r="CH354" s="216">
        <f ca="1">IF($D354&lt;&gt;"Serviço",0,IF(OR(AND(AUTOEVENTO="Manual",$M354=1),$M354&gt;(ROW(PLE.lastrow)-ROW(PLE.firstrow))),0,IF(OFFSET(PLE!$G$14,$M354,CH$13)="",10^12,OFFSET(PLE!$G$14,$M354,CH$13))))</f>
        <v>1000000000000</v>
      </c>
      <c r="CI354" s="216">
        <f ca="1">IF($D354&lt;&gt;"Serviço",0,IF(OR(AND(AUTOEVENTO="Manual",$M354=1),$M354&gt;(ROW(PLE.lastrow)-ROW(PLE.firstrow))),0,IF(OFFSET(PLE!$G$14,$M354,CI$13)="",10^12,OFFSET(PLE!$G$14,$M354,CI$13))))</f>
        <v>1000000000000</v>
      </c>
      <c r="CJ354" s="216">
        <f ca="1">IF($D354&lt;&gt;"Serviço",0,IF(OR(AND(AUTOEVENTO="Manual",$M354=1),$M354&gt;(ROW(PLE.lastrow)-ROW(PLE.firstrow))),0,IF(OFFSET(PLE!$G$14,$M354,CJ$13)="",10^12,OFFSET(PLE!$G$14,$M354,CJ$13))))</f>
        <v>1000000000000</v>
      </c>
      <c r="CK354" s="216">
        <f ca="1">IF($D354&lt;&gt;"Serviço",0,IF(OR(AND(AUTOEVENTO="Manual",$M354=1),$M354&gt;(ROW(PLE.lastrow)-ROW(PLE.firstrow))),0,IF(OFFSET(PLE!$G$14,$M354,CK$13)="",10^12,OFFSET(PLE!$G$14,$M354,CK$13))))</f>
        <v>1000000000000</v>
      </c>
      <c r="CL354" s="216">
        <f ca="1">IF($D354&lt;&gt;"Serviço",0,IF(OR(AND(AUTOEVENTO="Manual",$M354=1),$M354&gt;(ROW(PLE.lastrow)-ROW(PLE.firstrow))),0,IF(OFFSET(PLE!$G$14,$M354,CL$13)="",10^12,OFFSET(PLE!$G$14,$M354,CL$13))))</f>
        <v>1000000000000</v>
      </c>
      <c r="CM354" s="216">
        <f ca="1">IF($D354&lt;&gt;"Serviço",0,IF(OR(AND(AUTOEVENTO="Manual",$M354=1),$M354&gt;(ROW(PLE.lastrow)-ROW(PLE.firstrow))),0,IF(OFFSET(PLE!$G$14,$M354,CM$13)="",10^12,OFFSET(PLE!$G$14,$M354,CM$13))))</f>
        <v>1000000000000</v>
      </c>
    </row>
    <row r="355" spans="1:91" ht="13.2" x14ac:dyDescent="0.25">
      <c r="A355" s="9">
        <f t="shared" ca="1" si="14"/>
        <v>0</v>
      </c>
      <c r="B355" s="9" t="str">
        <f ca="1">OFFSET(ORÇAMENTO!C$15,ROW(B355)-ROW(B$15),0)</f>
        <v>S</v>
      </c>
      <c r="C355" s="9" t="str">
        <f ca="1">OFFSET(ORÇAMENTO!L$15,ROW(C355)-ROW(C$15),0)</f>
        <v/>
      </c>
      <c r="D355" s="145" t="str">
        <f ca="1">OFFSET(ORÇAMENTO!N$15,ROW(D355)-ROW(D$15),0)</f>
        <v>Serviço</v>
      </c>
      <c r="E355" s="205" t="str">
        <f ca="1">OFFSET(ORÇAMENTO!O$15,ROW(E355)-ROW(E$15),0)</f>
        <v>-</v>
      </c>
      <c r="F355" s="206" t="str">
        <f ca="1">OFFSET(ORÇAMENTO!R$15,ROW(F355)-ROW(F$15),0)</f>
        <v>(abra o arquivo 'Referência 05-2024.xls)</v>
      </c>
      <c r="G355" s="207" t="str">
        <f ca="1">IF($D355&lt;&gt;"Serviço","",OFFSET(ORÇAMENTO!S$15,ROW(G355)-ROW(G$15),0))</f>
        <v>-</v>
      </c>
      <c r="H355" s="151">
        <f ca="1">IF($D355&lt;&gt;"Serviço",0,IF(ACOMPANHAMENTO="BM",ROUND(OFFSET(ORÇAMENTO!AJ$15,ROW(H355)-ROW(H$15),0),15-13*ORÇAMENTO!$AF$7),SUMPRODUCT(($Q$12:$AI$12&lt;&gt;"")*ROUND($Q355:$AI355,15-13*ORÇAMENTO!$AF$7))))</f>
        <v>1</v>
      </c>
      <c r="I355" s="650"/>
      <c r="K355" s="208"/>
      <c r="L355" s="209" t="s">
        <v>257</v>
      </c>
      <c r="M355" s="210">
        <f ca="1">IF($D355&lt;&gt;"Serviço","",IF(AUTOEVENTO="manual",$A355,IF(ISERROR(MATCH($A355,$A$15:OFFSET($A355,-1,0),0)),MAX($M$15:OFFSET(M355,-1,0))+1,INDEX($M$15:OFFSET(M355,-1,0),MATCH($A355,$A$15:OFFSET($A355,-1,0),0)))))</f>
        <v>0</v>
      </c>
      <c r="N355" s="211" t="str">
        <f ca="1">IF($D355&lt;&gt;"Serviço","",IF(AUTOEVENTO="Manual",IF($A355=0,"&lt;-- defina o número do agrupador",OFFSET(EVENTOS!$D$14,$A355,0)),OFFSET($F$15,$A355,0)))</f>
        <v>&lt;-- defina o número do agrupador</v>
      </c>
      <c r="O355" s="212"/>
      <c r="Q355" s="212"/>
      <c r="R355" s="213"/>
      <c r="S355" s="213"/>
      <c r="T355" s="213"/>
      <c r="U355" s="213"/>
      <c r="V355" s="213"/>
      <c r="W355" s="213"/>
      <c r="X355" s="213"/>
      <c r="Y355" s="213"/>
      <c r="Z355" s="214"/>
      <c r="AA355" s="213"/>
      <c r="AB355" s="213"/>
      <c r="AC355" s="213"/>
      <c r="AD355" s="213"/>
      <c r="AE355" s="213"/>
      <c r="AF355" s="213"/>
      <c r="AG355" s="213"/>
      <c r="AH355" s="214"/>
      <c r="AJ355" s="631">
        <f ca="1">IF(AND($D355="Serviço",AJ$12&lt;&gt;0,$H355&gt;0,OR(AUTOEVENTO&lt;&gt;"manual",$M355&lt;&gt;1)),ROUND(OFFSET($P355,0,AJ$13),15-13*ORÇAMENTO!$AF$7)/$H355*OFFSET(ORÇAMENTO!$X$15,ROW(AJ355)-ROW(AJ$15),0),0)</f>
        <v>0</v>
      </c>
      <c r="AK355" s="632">
        <f ca="1">IF(AND($D355="Serviço",AK$12&lt;&gt;0,$H355&gt;0,OR(AUTOEVENTO&lt;&gt;"manual",$M355&lt;&gt;1)),ROUND(OFFSET($P355,0,AK$13),15-13*ORÇAMENTO!$AF$7)/$H355*OFFSET(ORÇAMENTO!$X$15,ROW(AK355)-ROW(AK$15),0),0)</f>
        <v>0</v>
      </c>
      <c r="AL355" s="632">
        <f ca="1">IF(AND($D355="Serviço",AL$12&lt;&gt;0,$H355&gt;0,OR(AUTOEVENTO&lt;&gt;"manual",$M355&lt;&gt;1)),ROUND(OFFSET($P355,0,AL$13),15-13*ORÇAMENTO!$AF$7)/$H355*OFFSET(ORÇAMENTO!$X$15,ROW(AL355)-ROW(AL$15),0),0)</f>
        <v>0</v>
      </c>
      <c r="AM355" s="632">
        <f ca="1">IF(AND($D355="Serviço",AM$12&lt;&gt;0,$H355&gt;0,OR(AUTOEVENTO&lt;&gt;"manual",$M355&lt;&gt;1)),ROUND(OFFSET($P355,0,AM$13),15-13*ORÇAMENTO!$AF$7)/$H355*OFFSET(ORÇAMENTO!$X$15,ROW(AM355)-ROW(AM$15),0),0)</f>
        <v>0</v>
      </c>
      <c r="AN355" s="632">
        <f ca="1">IF(AND($D355="Serviço",AN$12&lt;&gt;0,$H355&gt;0,OR(AUTOEVENTO&lt;&gt;"manual",$M355&lt;&gt;1)),ROUND(OFFSET($P355,0,AN$13),15-13*ORÇAMENTO!$AF$7)/$H355*OFFSET(ORÇAMENTO!$X$15,ROW(AN355)-ROW(AN$15),0),0)</f>
        <v>0</v>
      </c>
      <c r="AO355" s="632">
        <f ca="1">IF(AND($D355="Serviço",AO$12&lt;&gt;0,$H355&gt;0,OR(AUTOEVENTO&lt;&gt;"manual",$M355&lt;&gt;1)),ROUND(OFFSET($P355,0,AO$13),15-13*ORÇAMENTO!$AF$7)/$H355*OFFSET(ORÇAMENTO!$X$15,ROW(AO355)-ROW(AO$15),0),0)</f>
        <v>0</v>
      </c>
      <c r="AP355" s="632">
        <f ca="1">IF(AND($D355="Serviço",AP$12&lt;&gt;0,$H355&gt;0,OR(AUTOEVENTO&lt;&gt;"manual",$M355&lt;&gt;1)),ROUND(OFFSET($P355,0,AP$13),15-13*ORÇAMENTO!$AF$7)/$H355*OFFSET(ORÇAMENTO!$X$15,ROW(AP355)-ROW(AP$15),0),0)</f>
        <v>0</v>
      </c>
      <c r="AQ355" s="632">
        <f ca="1">IF(AND($D355="Serviço",AQ$12&lt;&gt;0,$H355&gt;0,OR(AUTOEVENTO&lt;&gt;"manual",$M355&lt;&gt;1)),ROUND(OFFSET($P355,0,AQ$13),15-13*ORÇAMENTO!$AF$7)/$H355*OFFSET(ORÇAMENTO!$X$15,ROW(AQ355)-ROW(AQ$15),0),0)</f>
        <v>0</v>
      </c>
      <c r="AR355" s="632">
        <f ca="1">IF(AND($D355="Serviço",AR$12&lt;&gt;0,$H355&gt;0,OR(AUTOEVENTO&lt;&gt;"manual",$M355&lt;&gt;1)),ROUND(OFFSET($P355,0,AR$13),15-13*ORÇAMENTO!$AF$7)/$H355*OFFSET(ORÇAMENTO!$X$15,ROW(AR355)-ROW(AR$15),0),0)</f>
        <v>0</v>
      </c>
      <c r="AS355" s="633">
        <f ca="1">IF(AND($D355="Serviço",AS$12&lt;&gt;0,$H355&gt;0,OR(AUTOEVENTO&lt;&gt;"manual",$M355&lt;&gt;1)),ROUND(OFFSET($P355,0,AS$13),15-13*ORÇAMENTO!$AF$7)/$H355*OFFSET(ORÇAMENTO!$X$15,ROW(AS355)-ROW(AS$15),0),0)</f>
        <v>0</v>
      </c>
      <c r="AT355" s="632">
        <f ca="1">IF(AND($D355="Serviço",AT$12&lt;&gt;0,$H355&gt;0,OR(AUTOEVENTO&lt;&gt;"manual",$M355&lt;&gt;1)),ROUND(OFFSET($P355,0,AT$13),15-13*ORÇAMENTO!$AF$7)/$H355*OFFSET(ORÇAMENTO!$X$15,ROW(AT355)-ROW(AT$15),0),0)</f>
        <v>0</v>
      </c>
      <c r="AU355" s="632">
        <f ca="1">IF(AND($D355="Serviço",AU$12&lt;&gt;0,$H355&gt;0,OR(AUTOEVENTO&lt;&gt;"manual",$M355&lt;&gt;1)),ROUND(OFFSET($P355,0,AU$13),15-13*ORÇAMENTO!$AF$7)/$H355*OFFSET(ORÇAMENTO!$X$15,ROW(AU355)-ROW(AU$15),0),0)</f>
        <v>0</v>
      </c>
      <c r="AV355" s="632">
        <f ca="1">IF(AND($D355="Serviço",AV$12&lt;&gt;0,$H355&gt;0,OR(AUTOEVENTO&lt;&gt;"manual",$M355&lt;&gt;1)),ROUND(OFFSET($P355,0,AV$13),15-13*ORÇAMENTO!$AF$7)/$H355*OFFSET(ORÇAMENTO!$X$15,ROW(AV355)-ROW(AV$15),0),0)</f>
        <v>0</v>
      </c>
      <c r="AW355" s="632">
        <f ca="1">IF(AND($D355="Serviço",AW$12&lt;&gt;0,$H355&gt;0,OR(AUTOEVENTO&lt;&gt;"manual",$M355&lt;&gt;1)),ROUND(OFFSET($P355,0,AW$13),15-13*ORÇAMENTO!$AF$7)/$H355*OFFSET(ORÇAMENTO!$X$15,ROW(AW355)-ROW(AW$15),0),0)</f>
        <v>0</v>
      </c>
      <c r="AX355" s="632">
        <f ca="1">IF(AND($D355="Serviço",AX$12&lt;&gt;0,$H355&gt;0,OR(AUTOEVENTO&lt;&gt;"manual",$M355&lt;&gt;1)),ROUND(OFFSET($P355,0,AX$13),15-13*ORÇAMENTO!$AF$7)/$H355*OFFSET(ORÇAMENTO!$X$15,ROW(AX355)-ROW(AX$15),0),0)</f>
        <v>0</v>
      </c>
      <c r="AY355" s="632">
        <f ca="1">IF(AND($D355="Serviço",AY$12&lt;&gt;0,$H355&gt;0,OR(AUTOEVENTO&lt;&gt;"manual",$M355&lt;&gt;1)),ROUND(OFFSET($P355,0,AY$13),15-13*ORÇAMENTO!$AF$7)/$H355*OFFSET(ORÇAMENTO!$X$15,ROW(AY355)-ROW(AY$15),0),0)</f>
        <v>0</v>
      </c>
      <c r="AZ355" s="632">
        <f ca="1">IF(AND($D355="Serviço",AZ$12&lt;&gt;0,$H355&gt;0,OR(AUTOEVENTO&lt;&gt;"manual",$M355&lt;&gt;1)),ROUND(OFFSET($P355,0,AZ$13),15-13*ORÇAMENTO!$AF$7)/$H355*OFFSET(ORÇAMENTO!$X$15,ROW(AZ355)-ROW(AZ$15),0),0)</f>
        <v>0</v>
      </c>
      <c r="BA355" s="633">
        <f ca="1">IF(AND($D355="Serviço",BA$12&lt;&gt;0,$H355&gt;0,OR(AUTOEVENTO&lt;&gt;"manual",$M355&lt;&gt;1)),ROUND(OFFSET($P355,0,BA$13),15-13*ORÇAMENTO!$AF$7)/$H355*OFFSET(ORÇAMENTO!$X$15,ROW(BA355)-ROW(BA$15),0),0)</f>
        <v>0</v>
      </c>
      <c r="BC355" s="215">
        <f ca="1">IF($D355&lt;&gt;"Serviço",0,IF(AND(AUTOEVENTO="Manual",$M355=1),0,IF(OFFSET(CRONOPLE!$F$14,$M355,BC$13)="",10^12,OFFSET(CRONOPLE!$F$14,$M355,BC$13))))</f>
        <v>1000000000000</v>
      </c>
      <c r="BD355" s="215">
        <f ca="1">IF($D355&lt;&gt;"Serviço",0,IF(AND(AUTOEVENTO="Manual",$M355=1),0,IF(OFFSET(CRONOPLE!$F$14,$M355,BD$13)="",10^12,OFFSET(CRONOPLE!$F$14,$M355,BD$13))))</f>
        <v>1000000000000</v>
      </c>
      <c r="BE355" s="215">
        <f ca="1">IF($D355&lt;&gt;"Serviço",0,IF(AND(AUTOEVENTO="Manual",$M355=1),0,IF(OFFSET(CRONOPLE!$F$14,$M355,BE$13)="",10^12,OFFSET(CRONOPLE!$F$14,$M355,BE$13))))</f>
        <v>1000000000000</v>
      </c>
      <c r="BF355" s="215">
        <f ca="1">IF($D355&lt;&gt;"Serviço",0,IF(AND(AUTOEVENTO="Manual",$M355=1),0,IF(OFFSET(CRONOPLE!$F$14,$M355,BF$13)="",10^12,OFFSET(CRONOPLE!$F$14,$M355,BF$13))))</f>
        <v>1000000000000</v>
      </c>
      <c r="BG355" s="215">
        <f ca="1">IF($D355&lt;&gt;"Serviço",0,IF(AND(AUTOEVENTO="Manual",$M355=1),0,IF(OFFSET(CRONOPLE!$F$14,$M355,BG$13)="",10^12,OFFSET(CRONOPLE!$F$14,$M355,BG$13))))</f>
        <v>1000000000000</v>
      </c>
      <c r="BH355" s="215">
        <f ca="1">IF($D355&lt;&gt;"Serviço",0,IF(AND(AUTOEVENTO="Manual",$M355=1),0,IF(OFFSET(CRONOPLE!$F$14,$M355,BH$13)="",10^12,OFFSET(CRONOPLE!$F$14,$M355,BH$13))))</f>
        <v>1000000000000</v>
      </c>
      <c r="BI355" s="215">
        <f ca="1">IF($D355&lt;&gt;"Serviço",0,IF(AND(AUTOEVENTO="Manual",$M355=1),0,IF(OFFSET(CRONOPLE!$F$14,$M355,BI$13)="",10^12,OFFSET(CRONOPLE!$F$14,$M355,BI$13))))</f>
        <v>1000000000000</v>
      </c>
      <c r="BJ355" s="215">
        <f ca="1">IF($D355&lt;&gt;"Serviço",0,IF(AND(AUTOEVENTO="Manual",$M355=1),0,IF(OFFSET(CRONOPLE!$F$14,$M355,BJ$13)="",10^12,OFFSET(CRONOPLE!$F$14,$M355,BJ$13))))</f>
        <v>1000000000000</v>
      </c>
      <c r="BK355" s="215">
        <f ca="1">IF($D355&lt;&gt;"Serviço",0,IF(AND(AUTOEVENTO="Manual",$M355=1),0,IF(OFFSET(CRONOPLE!$F$14,$M355,BK$13)="",10^12,OFFSET(CRONOPLE!$F$14,$M355,BK$13))))</f>
        <v>1000000000000</v>
      </c>
      <c r="BL355" s="215">
        <f ca="1">IF($D355&lt;&gt;"Serviço",0,IF(AND(AUTOEVENTO="Manual",$M355=1),0,IF(OFFSET(CRONOPLE!$F$14,$M355,BL$13)="",10^12,OFFSET(CRONOPLE!$F$14,$M355,BL$13))))</f>
        <v>1000000000000</v>
      </c>
      <c r="BM355" s="215">
        <f ca="1">IF($D355&lt;&gt;"Serviço",0,IF(AND(AUTOEVENTO="Manual",$M355=1),0,IF(OFFSET(CRONOPLE!$F$14,$M355,BM$13)="",10^12,OFFSET(CRONOPLE!$F$14,$M355,BM$13))))</f>
        <v>1000000000000</v>
      </c>
      <c r="BN355" s="215">
        <f ca="1">IF($D355&lt;&gt;"Serviço",0,IF(AND(AUTOEVENTO="Manual",$M355=1),0,IF(OFFSET(CRONOPLE!$F$14,$M355,BN$13)="",10^12,OFFSET(CRONOPLE!$F$14,$M355,BN$13))))</f>
        <v>1000000000000</v>
      </c>
      <c r="BO355" s="215">
        <f ca="1">IF($D355&lt;&gt;"Serviço",0,IF(AND(AUTOEVENTO="Manual",$M355=1),0,IF(OFFSET(CRONOPLE!$F$14,$M355,BO$13)="",10^12,OFFSET(CRONOPLE!$F$14,$M355,BO$13))))</f>
        <v>1000000000000</v>
      </c>
      <c r="BP355" s="215">
        <f ca="1">IF($D355&lt;&gt;"Serviço",0,IF(AND(AUTOEVENTO="Manual",$M355=1),0,IF(OFFSET(CRONOPLE!$F$14,$M355,BP$13)="",10^12,OFFSET(CRONOPLE!$F$14,$M355,BP$13))))</f>
        <v>1000000000000</v>
      </c>
      <c r="BQ355" s="215">
        <f ca="1">IF($D355&lt;&gt;"Serviço",0,IF(AND(AUTOEVENTO="Manual",$M355=1),0,IF(OFFSET(CRONOPLE!$F$14,$M355,BQ$13)="",10^12,OFFSET(CRONOPLE!$F$14,$M355,BQ$13))))</f>
        <v>1000000000000</v>
      </c>
      <c r="BR355" s="215">
        <f ca="1">IF($D355&lt;&gt;"Serviço",0,IF(AND(AUTOEVENTO="Manual",$M355=1),0,IF(OFFSET(CRONOPLE!$F$14,$M355,BR$13)="",10^12,OFFSET(CRONOPLE!$F$14,$M355,BR$13))))</f>
        <v>1000000000000</v>
      </c>
      <c r="BS355" s="215">
        <f ca="1">IF($D355&lt;&gt;"Serviço",0,IF(AND(AUTOEVENTO="Manual",$M355=1),0,IF(OFFSET(CRONOPLE!$F$14,$M355,BS$13)="",10^12,OFFSET(CRONOPLE!$F$14,$M355,BS$13))))</f>
        <v>1000000000000</v>
      </c>
      <c r="BT355" s="215">
        <f ca="1">IF($D355&lt;&gt;"Serviço",0,IF(AND(AUTOEVENTO="Manual",$M355=1),0,IF(OFFSET(CRONOPLE!$F$14,$M355,BT$13)="",10^12,OFFSET(CRONOPLE!$F$14,$M355,BT$13))))</f>
        <v>1000000000000</v>
      </c>
      <c r="BV355" s="216">
        <f ca="1">IF($D355&lt;&gt;"Serviço",0,IF(OR(AND(AUTOEVENTO="Manual",$M355=1),$M355&gt;(ROW(PLE.lastrow)-ROW(PLE.firstrow))),0,IF(OFFSET(PLE!$G$14,$M355,BV$13)="",10^12,OFFSET(PLE!$G$14,$M355,BV$13))))</f>
        <v>1000000000000</v>
      </c>
      <c r="BW355" s="216">
        <f ca="1">IF($D355&lt;&gt;"Serviço",0,IF(OR(AND(AUTOEVENTO="Manual",$M355=1),$M355&gt;(ROW(PLE.lastrow)-ROW(PLE.firstrow))),0,IF(OFFSET(PLE!$G$14,$M355,BW$13)="",10^12,OFFSET(PLE!$G$14,$M355,BW$13))))</f>
        <v>1000000000000</v>
      </c>
      <c r="BX355" s="216">
        <f ca="1">IF($D355&lt;&gt;"Serviço",0,IF(OR(AND(AUTOEVENTO="Manual",$M355=1),$M355&gt;(ROW(PLE.lastrow)-ROW(PLE.firstrow))),0,IF(OFFSET(PLE!$G$14,$M355,BX$13)="",10^12,OFFSET(PLE!$G$14,$M355,BX$13))))</f>
        <v>1000000000000</v>
      </c>
      <c r="BY355" s="216">
        <f ca="1">IF($D355&lt;&gt;"Serviço",0,IF(OR(AND(AUTOEVENTO="Manual",$M355=1),$M355&gt;(ROW(PLE.lastrow)-ROW(PLE.firstrow))),0,IF(OFFSET(PLE!$G$14,$M355,BY$13)="",10^12,OFFSET(PLE!$G$14,$M355,BY$13))))</f>
        <v>1000000000000</v>
      </c>
      <c r="BZ355" s="216">
        <f ca="1">IF($D355&lt;&gt;"Serviço",0,IF(OR(AND(AUTOEVENTO="Manual",$M355=1),$M355&gt;(ROW(PLE.lastrow)-ROW(PLE.firstrow))),0,IF(OFFSET(PLE!$G$14,$M355,BZ$13)="",10^12,OFFSET(PLE!$G$14,$M355,BZ$13))))</f>
        <v>1000000000000</v>
      </c>
      <c r="CA355" s="216">
        <f ca="1">IF($D355&lt;&gt;"Serviço",0,IF(OR(AND(AUTOEVENTO="Manual",$M355=1),$M355&gt;(ROW(PLE.lastrow)-ROW(PLE.firstrow))),0,IF(OFFSET(PLE!$G$14,$M355,CA$13)="",10^12,OFFSET(PLE!$G$14,$M355,CA$13))))</f>
        <v>1000000000000</v>
      </c>
      <c r="CB355" s="216">
        <f ca="1">IF($D355&lt;&gt;"Serviço",0,IF(OR(AND(AUTOEVENTO="Manual",$M355=1),$M355&gt;(ROW(PLE.lastrow)-ROW(PLE.firstrow))),0,IF(OFFSET(PLE!$G$14,$M355,CB$13)="",10^12,OFFSET(PLE!$G$14,$M355,CB$13))))</f>
        <v>1000000000000</v>
      </c>
      <c r="CC355" s="216">
        <f ca="1">IF($D355&lt;&gt;"Serviço",0,IF(OR(AND(AUTOEVENTO="Manual",$M355=1),$M355&gt;(ROW(PLE.lastrow)-ROW(PLE.firstrow))),0,IF(OFFSET(PLE!$G$14,$M355,CC$13)="",10^12,OFFSET(PLE!$G$14,$M355,CC$13))))</f>
        <v>1000000000000</v>
      </c>
      <c r="CD355" s="216">
        <f ca="1">IF($D355&lt;&gt;"Serviço",0,IF(OR(AND(AUTOEVENTO="Manual",$M355=1),$M355&gt;(ROW(PLE.lastrow)-ROW(PLE.firstrow))),0,IF(OFFSET(PLE!$G$14,$M355,CD$13)="",10^12,OFFSET(PLE!$G$14,$M355,CD$13))))</f>
        <v>1000000000000</v>
      </c>
      <c r="CE355" s="216">
        <f ca="1">IF($D355&lt;&gt;"Serviço",0,IF(OR(AND(AUTOEVENTO="Manual",$M355=1),$M355&gt;(ROW(PLE.lastrow)-ROW(PLE.firstrow))),0,IF(OFFSET(PLE!$G$14,$M355,CE$13)="",10^12,OFFSET(PLE!$G$14,$M355,CE$13))))</f>
        <v>1000000000000</v>
      </c>
      <c r="CF355" s="216">
        <f ca="1">IF($D355&lt;&gt;"Serviço",0,IF(OR(AND(AUTOEVENTO="Manual",$M355=1),$M355&gt;(ROW(PLE.lastrow)-ROW(PLE.firstrow))),0,IF(OFFSET(PLE!$G$14,$M355,CF$13)="",10^12,OFFSET(PLE!$G$14,$M355,CF$13))))</f>
        <v>1000000000000</v>
      </c>
      <c r="CG355" s="216">
        <f ca="1">IF($D355&lt;&gt;"Serviço",0,IF(OR(AND(AUTOEVENTO="Manual",$M355=1),$M355&gt;(ROW(PLE.lastrow)-ROW(PLE.firstrow))),0,IF(OFFSET(PLE!$G$14,$M355,CG$13)="",10^12,OFFSET(PLE!$G$14,$M355,CG$13))))</f>
        <v>1000000000000</v>
      </c>
      <c r="CH355" s="216">
        <f ca="1">IF($D355&lt;&gt;"Serviço",0,IF(OR(AND(AUTOEVENTO="Manual",$M355=1),$M355&gt;(ROW(PLE.lastrow)-ROW(PLE.firstrow))),0,IF(OFFSET(PLE!$G$14,$M355,CH$13)="",10^12,OFFSET(PLE!$G$14,$M355,CH$13))))</f>
        <v>1000000000000</v>
      </c>
      <c r="CI355" s="216">
        <f ca="1">IF($D355&lt;&gt;"Serviço",0,IF(OR(AND(AUTOEVENTO="Manual",$M355=1),$M355&gt;(ROW(PLE.lastrow)-ROW(PLE.firstrow))),0,IF(OFFSET(PLE!$G$14,$M355,CI$13)="",10^12,OFFSET(PLE!$G$14,$M355,CI$13))))</f>
        <v>1000000000000</v>
      </c>
      <c r="CJ355" s="216">
        <f ca="1">IF($D355&lt;&gt;"Serviço",0,IF(OR(AND(AUTOEVENTO="Manual",$M355=1),$M355&gt;(ROW(PLE.lastrow)-ROW(PLE.firstrow))),0,IF(OFFSET(PLE!$G$14,$M355,CJ$13)="",10^12,OFFSET(PLE!$G$14,$M355,CJ$13))))</f>
        <v>1000000000000</v>
      </c>
      <c r="CK355" s="216">
        <f ca="1">IF($D355&lt;&gt;"Serviço",0,IF(OR(AND(AUTOEVENTO="Manual",$M355=1),$M355&gt;(ROW(PLE.lastrow)-ROW(PLE.firstrow))),0,IF(OFFSET(PLE!$G$14,$M355,CK$13)="",10^12,OFFSET(PLE!$G$14,$M355,CK$13))))</f>
        <v>1000000000000</v>
      </c>
      <c r="CL355" s="216">
        <f ca="1">IF($D355&lt;&gt;"Serviço",0,IF(OR(AND(AUTOEVENTO="Manual",$M355=1),$M355&gt;(ROW(PLE.lastrow)-ROW(PLE.firstrow))),0,IF(OFFSET(PLE!$G$14,$M355,CL$13)="",10^12,OFFSET(PLE!$G$14,$M355,CL$13))))</f>
        <v>1000000000000</v>
      </c>
      <c r="CM355" s="216">
        <f ca="1">IF($D355&lt;&gt;"Serviço",0,IF(OR(AND(AUTOEVENTO="Manual",$M355=1),$M355&gt;(ROW(PLE.lastrow)-ROW(PLE.firstrow))),0,IF(OFFSET(PLE!$G$14,$M355,CM$13)="",10^12,OFFSET(PLE!$G$14,$M355,CM$13))))</f>
        <v>1000000000000</v>
      </c>
    </row>
    <row r="356" spans="1:91" ht="13.2" x14ac:dyDescent="0.25">
      <c r="A356" s="9">
        <f t="shared" ca="1" si="14"/>
        <v>0</v>
      </c>
      <c r="B356" s="9" t="str">
        <f ca="1">OFFSET(ORÇAMENTO!C$15,ROW(B356)-ROW(B$15),0)</f>
        <v>S</v>
      </c>
      <c r="C356" s="9" t="str">
        <f ca="1">OFFSET(ORÇAMENTO!L$15,ROW(C356)-ROW(C$15),0)</f>
        <v/>
      </c>
      <c r="D356" s="145" t="str">
        <f ca="1">OFFSET(ORÇAMENTO!N$15,ROW(D356)-ROW(D$15),0)</f>
        <v>Serviço</v>
      </c>
      <c r="E356" s="205" t="str">
        <f ca="1">OFFSET(ORÇAMENTO!O$15,ROW(E356)-ROW(E$15),0)</f>
        <v>-</v>
      </c>
      <c r="F356" s="206" t="str">
        <f ca="1">OFFSET(ORÇAMENTO!R$15,ROW(F356)-ROW(F$15),0)</f>
        <v>(abra o arquivo 'Referência 05-2024.xls)</v>
      </c>
      <c r="G356" s="207" t="str">
        <f ca="1">IF($D356&lt;&gt;"Serviço","",OFFSET(ORÇAMENTO!S$15,ROW(G356)-ROW(G$15),0))</f>
        <v>-</v>
      </c>
      <c r="H356" s="151">
        <f ca="1">IF($D356&lt;&gt;"Serviço",0,IF(ACOMPANHAMENTO="BM",ROUND(OFFSET(ORÇAMENTO!AJ$15,ROW(H356)-ROW(H$15),0),15-13*ORÇAMENTO!$AF$7),SUMPRODUCT(($Q$12:$AI$12&lt;&gt;"")*ROUND($Q356:$AI356,15-13*ORÇAMENTO!$AF$7))))</f>
        <v>10</v>
      </c>
      <c r="I356" s="650"/>
      <c r="K356" s="208"/>
      <c r="L356" s="209" t="s">
        <v>257</v>
      </c>
      <c r="M356" s="210">
        <f ca="1">IF($D356&lt;&gt;"Serviço","",IF(AUTOEVENTO="manual",$A356,IF(ISERROR(MATCH($A356,$A$15:OFFSET($A356,-1,0),0)),MAX($M$15:OFFSET(M356,-1,0))+1,INDEX($M$15:OFFSET(M356,-1,0),MATCH($A356,$A$15:OFFSET($A356,-1,0),0)))))</f>
        <v>0</v>
      </c>
      <c r="N356" s="211" t="str">
        <f ca="1">IF($D356&lt;&gt;"Serviço","",IF(AUTOEVENTO="Manual",IF($A356=0,"&lt;-- defina o número do agrupador",OFFSET(EVENTOS!$D$14,$A356,0)),OFFSET($F$15,$A356,0)))</f>
        <v>&lt;-- defina o número do agrupador</v>
      </c>
      <c r="O356" s="212"/>
      <c r="Q356" s="212"/>
      <c r="R356" s="213"/>
      <c r="S356" s="213"/>
      <c r="T356" s="213"/>
      <c r="U356" s="213"/>
      <c r="V356" s="213"/>
      <c r="W356" s="213"/>
      <c r="X356" s="213"/>
      <c r="Y356" s="213"/>
      <c r="Z356" s="214"/>
      <c r="AA356" s="213"/>
      <c r="AB356" s="213"/>
      <c r="AC356" s="213"/>
      <c r="AD356" s="213"/>
      <c r="AE356" s="213"/>
      <c r="AF356" s="213"/>
      <c r="AG356" s="213"/>
      <c r="AH356" s="214"/>
      <c r="AJ356" s="631">
        <f ca="1">IF(AND($D356="Serviço",AJ$12&lt;&gt;0,$H356&gt;0,OR(AUTOEVENTO&lt;&gt;"manual",$M356&lt;&gt;1)),ROUND(OFFSET($P356,0,AJ$13),15-13*ORÇAMENTO!$AF$7)/$H356*OFFSET(ORÇAMENTO!$X$15,ROW(AJ356)-ROW(AJ$15),0),0)</f>
        <v>0</v>
      </c>
      <c r="AK356" s="632">
        <f ca="1">IF(AND($D356="Serviço",AK$12&lt;&gt;0,$H356&gt;0,OR(AUTOEVENTO&lt;&gt;"manual",$M356&lt;&gt;1)),ROUND(OFFSET($P356,0,AK$13),15-13*ORÇAMENTO!$AF$7)/$H356*OFFSET(ORÇAMENTO!$X$15,ROW(AK356)-ROW(AK$15),0),0)</f>
        <v>0</v>
      </c>
      <c r="AL356" s="632">
        <f ca="1">IF(AND($D356="Serviço",AL$12&lt;&gt;0,$H356&gt;0,OR(AUTOEVENTO&lt;&gt;"manual",$M356&lt;&gt;1)),ROUND(OFFSET($P356,0,AL$13),15-13*ORÇAMENTO!$AF$7)/$H356*OFFSET(ORÇAMENTO!$X$15,ROW(AL356)-ROW(AL$15),0),0)</f>
        <v>0</v>
      </c>
      <c r="AM356" s="632">
        <f ca="1">IF(AND($D356="Serviço",AM$12&lt;&gt;0,$H356&gt;0,OR(AUTOEVENTO&lt;&gt;"manual",$M356&lt;&gt;1)),ROUND(OFFSET($P356,0,AM$13),15-13*ORÇAMENTO!$AF$7)/$H356*OFFSET(ORÇAMENTO!$X$15,ROW(AM356)-ROW(AM$15),0),0)</f>
        <v>0</v>
      </c>
      <c r="AN356" s="632">
        <f ca="1">IF(AND($D356="Serviço",AN$12&lt;&gt;0,$H356&gt;0,OR(AUTOEVENTO&lt;&gt;"manual",$M356&lt;&gt;1)),ROUND(OFFSET($P356,0,AN$13),15-13*ORÇAMENTO!$AF$7)/$H356*OFFSET(ORÇAMENTO!$X$15,ROW(AN356)-ROW(AN$15),0),0)</f>
        <v>0</v>
      </c>
      <c r="AO356" s="632">
        <f ca="1">IF(AND($D356="Serviço",AO$12&lt;&gt;0,$H356&gt;0,OR(AUTOEVENTO&lt;&gt;"manual",$M356&lt;&gt;1)),ROUND(OFFSET($P356,0,AO$13),15-13*ORÇAMENTO!$AF$7)/$H356*OFFSET(ORÇAMENTO!$X$15,ROW(AO356)-ROW(AO$15),0),0)</f>
        <v>0</v>
      </c>
      <c r="AP356" s="632">
        <f ca="1">IF(AND($D356="Serviço",AP$12&lt;&gt;0,$H356&gt;0,OR(AUTOEVENTO&lt;&gt;"manual",$M356&lt;&gt;1)),ROUND(OFFSET($P356,0,AP$13),15-13*ORÇAMENTO!$AF$7)/$H356*OFFSET(ORÇAMENTO!$X$15,ROW(AP356)-ROW(AP$15),0),0)</f>
        <v>0</v>
      </c>
      <c r="AQ356" s="632">
        <f ca="1">IF(AND($D356="Serviço",AQ$12&lt;&gt;0,$H356&gt;0,OR(AUTOEVENTO&lt;&gt;"manual",$M356&lt;&gt;1)),ROUND(OFFSET($P356,0,AQ$13),15-13*ORÇAMENTO!$AF$7)/$H356*OFFSET(ORÇAMENTO!$X$15,ROW(AQ356)-ROW(AQ$15),0),0)</f>
        <v>0</v>
      </c>
      <c r="AR356" s="632">
        <f ca="1">IF(AND($D356="Serviço",AR$12&lt;&gt;0,$H356&gt;0,OR(AUTOEVENTO&lt;&gt;"manual",$M356&lt;&gt;1)),ROUND(OFFSET($P356,0,AR$13),15-13*ORÇAMENTO!$AF$7)/$H356*OFFSET(ORÇAMENTO!$X$15,ROW(AR356)-ROW(AR$15),0),0)</f>
        <v>0</v>
      </c>
      <c r="AS356" s="633">
        <f ca="1">IF(AND($D356="Serviço",AS$12&lt;&gt;0,$H356&gt;0,OR(AUTOEVENTO&lt;&gt;"manual",$M356&lt;&gt;1)),ROUND(OFFSET($P356,0,AS$13),15-13*ORÇAMENTO!$AF$7)/$H356*OFFSET(ORÇAMENTO!$X$15,ROW(AS356)-ROW(AS$15),0),0)</f>
        <v>0</v>
      </c>
      <c r="AT356" s="632">
        <f ca="1">IF(AND($D356="Serviço",AT$12&lt;&gt;0,$H356&gt;0,OR(AUTOEVENTO&lt;&gt;"manual",$M356&lt;&gt;1)),ROUND(OFFSET($P356,0,AT$13),15-13*ORÇAMENTO!$AF$7)/$H356*OFFSET(ORÇAMENTO!$X$15,ROW(AT356)-ROW(AT$15),0),0)</f>
        <v>0</v>
      </c>
      <c r="AU356" s="632">
        <f ca="1">IF(AND($D356="Serviço",AU$12&lt;&gt;0,$H356&gt;0,OR(AUTOEVENTO&lt;&gt;"manual",$M356&lt;&gt;1)),ROUND(OFFSET($P356,0,AU$13),15-13*ORÇAMENTO!$AF$7)/$H356*OFFSET(ORÇAMENTO!$X$15,ROW(AU356)-ROW(AU$15),0),0)</f>
        <v>0</v>
      </c>
      <c r="AV356" s="632">
        <f ca="1">IF(AND($D356="Serviço",AV$12&lt;&gt;0,$H356&gt;0,OR(AUTOEVENTO&lt;&gt;"manual",$M356&lt;&gt;1)),ROUND(OFFSET($P356,0,AV$13),15-13*ORÇAMENTO!$AF$7)/$H356*OFFSET(ORÇAMENTO!$X$15,ROW(AV356)-ROW(AV$15),0),0)</f>
        <v>0</v>
      </c>
      <c r="AW356" s="632">
        <f ca="1">IF(AND($D356="Serviço",AW$12&lt;&gt;0,$H356&gt;0,OR(AUTOEVENTO&lt;&gt;"manual",$M356&lt;&gt;1)),ROUND(OFFSET($P356,0,AW$13),15-13*ORÇAMENTO!$AF$7)/$H356*OFFSET(ORÇAMENTO!$X$15,ROW(AW356)-ROW(AW$15),0),0)</f>
        <v>0</v>
      </c>
      <c r="AX356" s="632">
        <f ca="1">IF(AND($D356="Serviço",AX$12&lt;&gt;0,$H356&gt;0,OR(AUTOEVENTO&lt;&gt;"manual",$M356&lt;&gt;1)),ROUND(OFFSET($P356,0,AX$13),15-13*ORÇAMENTO!$AF$7)/$H356*OFFSET(ORÇAMENTO!$X$15,ROW(AX356)-ROW(AX$15),0),0)</f>
        <v>0</v>
      </c>
      <c r="AY356" s="632">
        <f ca="1">IF(AND($D356="Serviço",AY$12&lt;&gt;0,$H356&gt;0,OR(AUTOEVENTO&lt;&gt;"manual",$M356&lt;&gt;1)),ROUND(OFFSET($P356,0,AY$13),15-13*ORÇAMENTO!$AF$7)/$H356*OFFSET(ORÇAMENTO!$X$15,ROW(AY356)-ROW(AY$15),0),0)</f>
        <v>0</v>
      </c>
      <c r="AZ356" s="632">
        <f ca="1">IF(AND($D356="Serviço",AZ$12&lt;&gt;0,$H356&gt;0,OR(AUTOEVENTO&lt;&gt;"manual",$M356&lt;&gt;1)),ROUND(OFFSET($P356,0,AZ$13),15-13*ORÇAMENTO!$AF$7)/$H356*OFFSET(ORÇAMENTO!$X$15,ROW(AZ356)-ROW(AZ$15),0),0)</f>
        <v>0</v>
      </c>
      <c r="BA356" s="633">
        <f ca="1">IF(AND($D356="Serviço",BA$12&lt;&gt;0,$H356&gt;0,OR(AUTOEVENTO&lt;&gt;"manual",$M356&lt;&gt;1)),ROUND(OFFSET($P356,0,BA$13),15-13*ORÇAMENTO!$AF$7)/$H356*OFFSET(ORÇAMENTO!$X$15,ROW(BA356)-ROW(BA$15),0),0)</f>
        <v>0</v>
      </c>
      <c r="BC356" s="215">
        <f ca="1">IF($D356&lt;&gt;"Serviço",0,IF(AND(AUTOEVENTO="Manual",$M356=1),0,IF(OFFSET(CRONOPLE!$F$14,$M356,BC$13)="",10^12,OFFSET(CRONOPLE!$F$14,$M356,BC$13))))</f>
        <v>1000000000000</v>
      </c>
      <c r="BD356" s="215">
        <f ca="1">IF($D356&lt;&gt;"Serviço",0,IF(AND(AUTOEVENTO="Manual",$M356=1),0,IF(OFFSET(CRONOPLE!$F$14,$M356,BD$13)="",10^12,OFFSET(CRONOPLE!$F$14,$M356,BD$13))))</f>
        <v>1000000000000</v>
      </c>
      <c r="BE356" s="215">
        <f ca="1">IF($D356&lt;&gt;"Serviço",0,IF(AND(AUTOEVENTO="Manual",$M356=1),0,IF(OFFSET(CRONOPLE!$F$14,$M356,BE$13)="",10^12,OFFSET(CRONOPLE!$F$14,$M356,BE$13))))</f>
        <v>1000000000000</v>
      </c>
      <c r="BF356" s="215">
        <f ca="1">IF($D356&lt;&gt;"Serviço",0,IF(AND(AUTOEVENTO="Manual",$M356=1),0,IF(OFFSET(CRONOPLE!$F$14,$M356,BF$13)="",10^12,OFFSET(CRONOPLE!$F$14,$M356,BF$13))))</f>
        <v>1000000000000</v>
      </c>
      <c r="BG356" s="215">
        <f ca="1">IF($D356&lt;&gt;"Serviço",0,IF(AND(AUTOEVENTO="Manual",$M356=1),0,IF(OFFSET(CRONOPLE!$F$14,$M356,BG$13)="",10^12,OFFSET(CRONOPLE!$F$14,$M356,BG$13))))</f>
        <v>1000000000000</v>
      </c>
      <c r="BH356" s="215">
        <f ca="1">IF($D356&lt;&gt;"Serviço",0,IF(AND(AUTOEVENTO="Manual",$M356=1),0,IF(OFFSET(CRONOPLE!$F$14,$M356,BH$13)="",10^12,OFFSET(CRONOPLE!$F$14,$M356,BH$13))))</f>
        <v>1000000000000</v>
      </c>
      <c r="BI356" s="215">
        <f ca="1">IF($D356&lt;&gt;"Serviço",0,IF(AND(AUTOEVENTO="Manual",$M356=1),0,IF(OFFSET(CRONOPLE!$F$14,$M356,BI$13)="",10^12,OFFSET(CRONOPLE!$F$14,$M356,BI$13))))</f>
        <v>1000000000000</v>
      </c>
      <c r="BJ356" s="215">
        <f ca="1">IF($D356&lt;&gt;"Serviço",0,IF(AND(AUTOEVENTO="Manual",$M356=1),0,IF(OFFSET(CRONOPLE!$F$14,$M356,BJ$13)="",10^12,OFFSET(CRONOPLE!$F$14,$M356,BJ$13))))</f>
        <v>1000000000000</v>
      </c>
      <c r="BK356" s="215">
        <f ca="1">IF($D356&lt;&gt;"Serviço",0,IF(AND(AUTOEVENTO="Manual",$M356=1),0,IF(OFFSET(CRONOPLE!$F$14,$M356,BK$13)="",10^12,OFFSET(CRONOPLE!$F$14,$M356,BK$13))))</f>
        <v>1000000000000</v>
      </c>
      <c r="BL356" s="215">
        <f ca="1">IF($D356&lt;&gt;"Serviço",0,IF(AND(AUTOEVENTO="Manual",$M356=1),0,IF(OFFSET(CRONOPLE!$F$14,$M356,BL$13)="",10^12,OFFSET(CRONOPLE!$F$14,$M356,BL$13))))</f>
        <v>1000000000000</v>
      </c>
      <c r="BM356" s="215">
        <f ca="1">IF($D356&lt;&gt;"Serviço",0,IF(AND(AUTOEVENTO="Manual",$M356=1),0,IF(OFFSET(CRONOPLE!$F$14,$M356,BM$13)="",10^12,OFFSET(CRONOPLE!$F$14,$M356,BM$13))))</f>
        <v>1000000000000</v>
      </c>
      <c r="BN356" s="215">
        <f ca="1">IF($D356&lt;&gt;"Serviço",0,IF(AND(AUTOEVENTO="Manual",$M356=1),0,IF(OFFSET(CRONOPLE!$F$14,$M356,BN$13)="",10^12,OFFSET(CRONOPLE!$F$14,$M356,BN$13))))</f>
        <v>1000000000000</v>
      </c>
      <c r="BO356" s="215">
        <f ca="1">IF($D356&lt;&gt;"Serviço",0,IF(AND(AUTOEVENTO="Manual",$M356=1),0,IF(OFFSET(CRONOPLE!$F$14,$M356,BO$13)="",10^12,OFFSET(CRONOPLE!$F$14,$M356,BO$13))))</f>
        <v>1000000000000</v>
      </c>
      <c r="BP356" s="215">
        <f ca="1">IF($D356&lt;&gt;"Serviço",0,IF(AND(AUTOEVENTO="Manual",$M356=1),0,IF(OFFSET(CRONOPLE!$F$14,$M356,BP$13)="",10^12,OFFSET(CRONOPLE!$F$14,$M356,BP$13))))</f>
        <v>1000000000000</v>
      </c>
      <c r="BQ356" s="215">
        <f ca="1">IF($D356&lt;&gt;"Serviço",0,IF(AND(AUTOEVENTO="Manual",$M356=1),0,IF(OFFSET(CRONOPLE!$F$14,$M356,BQ$13)="",10^12,OFFSET(CRONOPLE!$F$14,$M356,BQ$13))))</f>
        <v>1000000000000</v>
      </c>
      <c r="BR356" s="215">
        <f ca="1">IF($D356&lt;&gt;"Serviço",0,IF(AND(AUTOEVENTO="Manual",$M356=1),0,IF(OFFSET(CRONOPLE!$F$14,$M356,BR$13)="",10^12,OFFSET(CRONOPLE!$F$14,$M356,BR$13))))</f>
        <v>1000000000000</v>
      </c>
      <c r="BS356" s="215">
        <f ca="1">IF($D356&lt;&gt;"Serviço",0,IF(AND(AUTOEVENTO="Manual",$M356=1),0,IF(OFFSET(CRONOPLE!$F$14,$M356,BS$13)="",10^12,OFFSET(CRONOPLE!$F$14,$M356,BS$13))))</f>
        <v>1000000000000</v>
      </c>
      <c r="BT356" s="215">
        <f ca="1">IF($D356&lt;&gt;"Serviço",0,IF(AND(AUTOEVENTO="Manual",$M356=1),0,IF(OFFSET(CRONOPLE!$F$14,$M356,BT$13)="",10^12,OFFSET(CRONOPLE!$F$14,$M356,BT$13))))</f>
        <v>1000000000000</v>
      </c>
      <c r="BV356" s="216">
        <f ca="1">IF($D356&lt;&gt;"Serviço",0,IF(OR(AND(AUTOEVENTO="Manual",$M356=1),$M356&gt;(ROW(PLE.lastrow)-ROW(PLE.firstrow))),0,IF(OFFSET(PLE!$G$14,$M356,BV$13)="",10^12,OFFSET(PLE!$G$14,$M356,BV$13))))</f>
        <v>1000000000000</v>
      </c>
      <c r="BW356" s="216">
        <f ca="1">IF($D356&lt;&gt;"Serviço",0,IF(OR(AND(AUTOEVENTO="Manual",$M356=1),$M356&gt;(ROW(PLE.lastrow)-ROW(PLE.firstrow))),0,IF(OFFSET(PLE!$G$14,$M356,BW$13)="",10^12,OFFSET(PLE!$G$14,$M356,BW$13))))</f>
        <v>1000000000000</v>
      </c>
      <c r="BX356" s="216">
        <f ca="1">IF($D356&lt;&gt;"Serviço",0,IF(OR(AND(AUTOEVENTO="Manual",$M356=1),$M356&gt;(ROW(PLE.lastrow)-ROW(PLE.firstrow))),0,IF(OFFSET(PLE!$G$14,$M356,BX$13)="",10^12,OFFSET(PLE!$G$14,$M356,BX$13))))</f>
        <v>1000000000000</v>
      </c>
      <c r="BY356" s="216">
        <f ca="1">IF($D356&lt;&gt;"Serviço",0,IF(OR(AND(AUTOEVENTO="Manual",$M356=1),$M356&gt;(ROW(PLE.lastrow)-ROW(PLE.firstrow))),0,IF(OFFSET(PLE!$G$14,$M356,BY$13)="",10^12,OFFSET(PLE!$G$14,$M356,BY$13))))</f>
        <v>1000000000000</v>
      </c>
      <c r="BZ356" s="216">
        <f ca="1">IF($D356&lt;&gt;"Serviço",0,IF(OR(AND(AUTOEVENTO="Manual",$M356=1),$M356&gt;(ROW(PLE.lastrow)-ROW(PLE.firstrow))),0,IF(OFFSET(PLE!$G$14,$M356,BZ$13)="",10^12,OFFSET(PLE!$G$14,$M356,BZ$13))))</f>
        <v>1000000000000</v>
      </c>
      <c r="CA356" s="216">
        <f ca="1">IF($D356&lt;&gt;"Serviço",0,IF(OR(AND(AUTOEVENTO="Manual",$M356=1),$M356&gt;(ROW(PLE.lastrow)-ROW(PLE.firstrow))),0,IF(OFFSET(PLE!$G$14,$M356,CA$13)="",10^12,OFFSET(PLE!$G$14,$M356,CA$13))))</f>
        <v>1000000000000</v>
      </c>
      <c r="CB356" s="216">
        <f ca="1">IF($D356&lt;&gt;"Serviço",0,IF(OR(AND(AUTOEVENTO="Manual",$M356=1),$M356&gt;(ROW(PLE.lastrow)-ROW(PLE.firstrow))),0,IF(OFFSET(PLE!$G$14,$M356,CB$13)="",10^12,OFFSET(PLE!$G$14,$M356,CB$13))))</f>
        <v>1000000000000</v>
      </c>
      <c r="CC356" s="216">
        <f ca="1">IF($D356&lt;&gt;"Serviço",0,IF(OR(AND(AUTOEVENTO="Manual",$M356=1),$M356&gt;(ROW(PLE.lastrow)-ROW(PLE.firstrow))),0,IF(OFFSET(PLE!$G$14,$M356,CC$13)="",10^12,OFFSET(PLE!$G$14,$M356,CC$13))))</f>
        <v>1000000000000</v>
      </c>
      <c r="CD356" s="216">
        <f ca="1">IF($D356&lt;&gt;"Serviço",0,IF(OR(AND(AUTOEVENTO="Manual",$M356=1),$M356&gt;(ROW(PLE.lastrow)-ROW(PLE.firstrow))),0,IF(OFFSET(PLE!$G$14,$M356,CD$13)="",10^12,OFFSET(PLE!$G$14,$M356,CD$13))))</f>
        <v>1000000000000</v>
      </c>
      <c r="CE356" s="216">
        <f ca="1">IF($D356&lt;&gt;"Serviço",0,IF(OR(AND(AUTOEVENTO="Manual",$M356=1),$M356&gt;(ROW(PLE.lastrow)-ROW(PLE.firstrow))),0,IF(OFFSET(PLE!$G$14,$M356,CE$13)="",10^12,OFFSET(PLE!$G$14,$M356,CE$13))))</f>
        <v>1000000000000</v>
      </c>
      <c r="CF356" s="216">
        <f ca="1">IF($D356&lt;&gt;"Serviço",0,IF(OR(AND(AUTOEVENTO="Manual",$M356=1),$M356&gt;(ROW(PLE.lastrow)-ROW(PLE.firstrow))),0,IF(OFFSET(PLE!$G$14,$M356,CF$13)="",10^12,OFFSET(PLE!$G$14,$M356,CF$13))))</f>
        <v>1000000000000</v>
      </c>
      <c r="CG356" s="216">
        <f ca="1">IF($D356&lt;&gt;"Serviço",0,IF(OR(AND(AUTOEVENTO="Manual",$M356=1),$M356&gt;(ROW(PLE.lastrow)-ROW(PLE.firstrow))),0,IF(OFFSET(PLE!$G$14,$M356,CG$13)="",10^12,OFFSET(PLE!$G$14,$M356,CG$13))))</f>
        <v>1000000000000</v>
      </c>
      <c r="CH356" s="216">
        <f ca="1">IF($D356&lt;&gt;"Serviço",0,IF(OR(AND(AUTOEVENTO="Manual",$M356=1),$M356&gt;(ROW(PLE.lastrow)-ROW(PLE.firstrow))),0,IF(OFFSET(PLE!$G$14,$M356,CH$13)="",10^12,OFFSET(PLE!$G$14,$M356,CH$13))))</f>
        <v>1000000000000</v>
      </c>
      <c r="CI356" s="216">
        <f ca="1">IF($D356&lt;&gt;"Serviço",0,IF(OR(AND(AUTOEVENTO="Manual",$M356=1),$M356&gt;(ROW(PLE.lastrow)-ROW(PLE.firstrow))),0,IF(OFFSET(PLE!$G$14,$M356,CI$13)="",10^12,OFFSET(PLE!$G$14,$M356,CI$13))))</f>
        <v>1000000000000</v>
      </c>
      <c r="CJ356" s="216">
        <f ca="1">IF($D356&lt;&gt;"Serviço",0,IF(OR(AND(AUTOEVENTO="Manual",$M356=1),$M356&gt;(ROW(PLE.lastrow)-ROW(PLE.firstrow))),0,IF(OFFSET(PLE!$G$14,$M356,CJ$13)="",10^12,OFFSET(PLE!$G$14,$M356,CJ$13))))</f>
        <v>1000000000000</v>
      </c>
      <c r="CK356" s="216">
        <f ca="1">IF($D356&lt;&gt;"Serviço",0,IF(OR(AND(AUTOEVENTO="Manual",$M356=1),$M356&gt;(ROW(PLE.lastrow)-ROW(PLE.firstrow))),0,IF(OFFSET(PLE!$G$14,$M356,CK$13)="",10^12,OFFSET(PLE!$G$14,$M356,CK$13))))</f>
        <v>1000000000000</v>
      </c>
      <c r="CL356" s="216">
        <f ca="1">IF($D356&lt;&gt;"Serviço",0,IF(OR(AND(AUTOEVENTO="Manual",$M356=1),$M356&gt;(ROW(PLE.lastrow)-ROW(PLE.firstrow))),0,IF(OFFSET(PLE!$G$14,$M356,CL$13)="",10^12,OFFSET(PLE!$G$14,$M356,CL$13))))</f>
        <v>1000000000000</v>
      </c>
      <c r="CM356" s="216">
        <f ca="1">IF($D356&lt;&gt;"Serviço",0,IF(OR(AND(AUTOEVENTO="Manual",$M356=1),$M356&gt;(ROW(PLE.lastrow)-ROW(PLE.firstrow))),0,IF(OFFSET(PLE!$G$14,$M356,CM$13)="",10^12,OFFSET(PLE!$G$14,$M356,CM$13))))</f>
        <v>1000000000000</v>
      </c>
    </row>
    <row r="357" spans="1:91" ht="13.2" x14ac:dyDescent="0.25">
      <c r="A357" s="9">
        <f t="shared" ca="1" si="14"/>
        <v>0</v>
      </c>
      <c r="B357" s="9" t="str">
        <f ca="1">OFFSET(ORÇAMENTO!C$15,ROW(B357)-ROW(B$15),0)</f>
        <v>S</v>
      </c>
      <c r="C357" s="9" t="str">
        <f ca="1">OFFSET(ORÇAMENTO!L$15,ROW(C357)-ROW(C$15),0)</f>
        <v/>
      </c>
      <c r="D357" s="145" t="str">
        <f ca="1">OFFSET(ORÇAMENTO!N$15,ROW(D357)-ROW(D$15),0)</f>
        <v>Serviço</v>
      </c>
      <c r="E357" s="205" t="str">
        <f ca="1">OFFSET(ORÇAMENTO!O$15,ROW(E357)-ROW(E$15),0)</f>
        <v>-</v>
      </c>
      <c r="F357" s="206" t="str">
        <f ca="1">OFFSET(ORÇAMENTO!R$15,ROW(F357)-ROW(F$15),0)</f>
        <v>(abra o arquivo 'Referência 05-2024.xls)</v>
      </c>
      <c r="G357" s="207" t="str">
        <f ca="1">IF($D357&lt;&gt;"Serviço","",OFFSET(ORÇAMENTO!S$15,ROW(G357)-ROW(G$15),0))</f>
        <v>-</v>
      </c>
      <c r="H357" s="151">
        <f ca="1">IF($D357&lt;&gt;"Serviço",0,IF(ACOMPANHAMENTO="BM",ROUND(OFFSET(ORÇAMENTO!AJ$15,ROW(H357)-ROW(H$15),0),15-13*ORÇAMENTO!$AF$7),SUMPRODUCT(($Q$12:$AI$12&lt;&gt;"")*ROUND($Q357:$AI357,15-13*ORÇAMENTO!$AF$7))))</f>
        <v>19</v>
      </c>
      <c r="I357" s="650"/>
      <c r="K357" s="208"/>
      <c r="L357" s="209" t="s">
        <v>257</v>
      </c>
      <c r="M357" s="210">
        <f ca="1">IF($D357&lt;&gt;"Serviço","",IF(AUTOEVENTO="manual",$A357,IF(ISERROR(MATCH($A357,$A$15:OFFSET($A357,-1,0),0)),MAX($M$15:OFFSET(M357,-1,0))+1,INDEX($M$15:OFFSET(M357,-1,0),MATCH($A357,$A$15:OFFSET($A357,-1,0),0)))))</f>
        <v>0</v>
      </c>
      <c r="N357" s="211" t="str">
        <f ca="1">IF($D357&lt;&gt;"Serviço","",IF(AUTOEVENTO="Manual",IF($A357=0,"&lt;-- defina o número do agrupador",OFFSET(EVENTOS!$D$14,$A357,0)),OFFSET($F$15,$A357,0)))</f>
        <v>&lt;-- defina o número do agrupador</v>
      </c>
      <c r="O357" s="212"/>
      <c r="Q357" s="212"/>
      <c r="R357" s="213"/>
      <c r="S357" s="213"/>
      <c r="T357" s="213"/>
      <c r="U357" s="213"/>
      <c r="V357" s="213"/>
      <c r="W357" s="213"/>
      <c r="X357" s="213"/>
      <c r="Y357" s="213"/>
      <c r="Z357" s="214"/>
      <c r="AA357" s="213"/>
      <c r="AB357" s="213"/>
      <c r="AC357" s="213"/>
      <c r="AD357" s="213"/>
      <c r="AE357" s="213"/>
      <c r="AF357" s="213"/>
      <c r="AG357" s="213"/>
      <c r="AH357" s="214"/>
      <c r="AJ357" s="631">
        <f ca="1">IF(AND($D357="Serviço",AJ$12&lt;&gt;0,$H357&gt;0,OR(AUTOEVENTO&lt;&gt;"manual",$M357&lt;&gt;1)),ROUND(OFFSET($P357,0,AJ$13),15-13*ORÇAMENTO!$AF$7)/$H357*OFFSET(ORÇAMENTO!$X$15,ROW(AJ357)-ROW(AJ$15),0),0)</f>
        <v>0</v>
      </c>
      <c r="AK357" s="632">
        <f ca="1">IF(AND($D357="Serviço",AK$12&lt;&gt;0,$H357&gt;0,OR(AUTOEVENTO&lt;&gt;"manual",$M357&lt;&gt;1)),ROUND(OFFSET($P357,0,AK$13),15-13*ORÇAMENTO!$AF$7)/$H357*OFFSET(ORÇAMENTO!$X$15,ROW(AK357)-ROW(AK$15),0),0)</f>
        <v>0</v>
      </c>
      <c r="AL357" s="632">
        <f ca="1">IF(AND($D357="Serviço",AL$12&lt;&gt;0,$H357&gt;0,OR(AUTOEVENTO&lt;&gt;"manual",$M357&lt;&gt;1)),ROUND(OFFSET($P357,0,AL$13),15-13*ORÇAMENTO!$AF$7)/$H357*OFFSET(ORÇAMENTO!$X$15,ROW(AL357)-ROW(AL$15),0),0)</f>
        <v>0</v>
      </c>
      <c r="AM357" s="632">
        <f ca="1">IF(AND($D357="Serviço",AM$12&lt;&gt;0,$H357&gt;0,OR(AUTOEVENTO&lt;&gt;"manual",$M357&lt;&gt;1)),ROUND(OFFSET($P357,0,AM$13),15-13*ORÇAMENTO!$AF$7)/$H357*OFFSET(ORÇAMENTO!$X$15,ROW(AM357)-ROW(AM$15),0),0)</f>
        <v>0</v>
      </c>
      <c r="AN357" s="632">
        <f ca="1">IF(AND($D357="Serviço",AN$12&lt;&gt;0,$H357&gt;0,OR(AUTOEVENTO&lt;&gt;"manual",$M357&lt;&gt;1)),ROUND(OFFSET($P357,0,AN$13),15-13*ORÇAMENTO!$AF$7)/$H357*OFFSET(ORÇAMENTO!$X$15,ROW(AN357)-ROW(AN$15),0),0)</f>
        <v>0</v>
      </c>
      <c r="AO357" s="632">
        <f ca="1">IF(AND($D357="Serviço",AO$12&lt;&gt;0,$H357&gt;0,OR(AUTOEVENTO&lt;&gt;"manual",$M357&lt;&gt;1)),ROUND(OFFSET($P357,0,AO$13),15-13*ORÇAMENTO!$AF$7)/$H357*OFFSET(ORÇAMENTO!$X$15,ROW(AO357)-ROW(AO$15),0),0)</f>
        <v>0</v>
      </c>
      <c r="AP357" s="632">
        <f ca="1">IF(AND($D357="Serviço",AP$12&lt;&gt;0,$H357&gt;0,OR(AUTOEVENTO&lt;&gt;"manual",$M357&lt;&gt;1)),ROUND(OFFSET($P357,0,AP$13),15-13*ORÇAMENTO!$AF$7)/$H357*OFFSET(ORÇAMENTO!$X$15,ROW(AP357)-ROW(AP$15),0),0)</f>
        <v>0</v>
      </c>
      <c r="AQ357" s="632">
        <f ca="1">IF(AND($D357="Serviço",AQ$12&lt;&gt;0,$H357&gt;0,OR(AUTOEVENTO&lt;&gt;"manual",$M357&lt;&gt;1)),ROUND(OFFSET($P357,0,AQ$13),15-13*ORÇAMENTO!$AF$7)/$H357*OFFSET(ORÇAMENTO!$X$15,ROW(AQ357)-ROW(AQ$15),0),0)</f>
        <v>0</v>
      </c>
      <c r="AR357" s="632">
        <f ca="1">IF(AND($D357="Serviço",AR$12&lt;&gt;0,$H357&gt;0,OR(AUTOEVENTO&lt;&gt;"manual",$M357&lt;&gt;1)),ROUND(OFFSET($P357,0,AR$13),15-13*ORÇAMENTO!$AF$7)/$H357*OFFSET(ORÇAMENTO!$X$15,ROW(AR357)-ROW(AR$15),0),0)</f>
        <v>0</v>
      </c>
      <c r="AS357" s="633">
        <f ca="1">IF(AND($D357="Serviço",AS$12&lt;&gt;0,$H357&gt;0,OR(AUTOEVENTO&lt;&gt;"manual",$M357&lt;&gt;1)),ROUND(OFFSET($P357,0,AS$13),15-13*ORÇAMENTO!$AF$7)/$H357*OFFSET(ORÇAMENTO!$X$15,ROW(AS357)-ROW(AS$15),0),0)</f>
        <v>0</v>
      </c>
      <c r="AT357" s="632">
        <f ca="1">IF(AND($D357="Serviço",AT$12&lt;&gt;0,$H357&gt;0,OR(AUTOEVENTO&lt;&gt;"manual",$M357&lt;&gt;1)),ROUND(OFFSET($P357,0,AT$13),15-13*ORÇAMENTO!$AF$7)/$H357*OFFSET(ORÇAMENTO!$X$15,ROW(AT357)-ROW(AT$15),0),0)</f>
        <v>0</v>
      </c>
      <c r="AU357" s="632">
        <f ca="1">IF(AND($D357="Serviço",AU$12&lt;&gt;0,$H357&gt;0,OR(AUTOEVENTO&lt;&gt;"manual",$M357&lt;&gt;1)),ROUND(OFFSET($P357,0,AU$13),15-13*ORÇAMENTO!$AF$7)/$H357*OFFSET(ORÇAMENTO!$X$15,ROW(AU357)-ROW(AU$15),0),0)</f>
        <v>0</v>
      </c>
      <c r="AV357" s="632">
        <f ca="1">IF(AND($D357="Serviço",AV$12&lt;&gt;0,$H357&gt;0,OR(AUTOEVENTO&lt;&gt;"manual",$M357&lt;&gt;1)),ROUND(OFFSET($P357,0,AV$13),15-13*ORÇAMENTO!$AF$7)/$H357*OFFSET(ORÇAMENTO!$X$15,ROW(AV357)-ROW(AV$15),0),0)</f>
        <v>0</v>
      </c>
      <c r="AW357" s="632">
        <f ca="1">IF(AND($D357="Serviço",AW$12&lt;&gt;0,$H357&gt;0,OR(AUTOEVENTO&lt;&gt;"manual",$M357&lt;&gt;1)),ROUND(OFFSET($P357,0,AW$13),15-13*ORÇAMENTO!$AF$7)/$H357*OFFSET(ORÇAMENTO!$X$15,ROW(AW357)-ROW(AW$15),0),0)</f>
        <v>0</v>
      </c>
      <c r="AX357" s="632">
        <f ca="1">IF(AND($D357="Serviço",AX$12&lt;&gt;0,$H357&gt;0,OR(AUTOEVENTO&lt;&gt;"manual",$M357&lt;&gt;1)),ROUND(OFFSET($P357,0,AX$13),15-13*ORÇAMENTO!$AF$7)/$H357*OFFSET(ORÇAMENTO!$X$15,ROW(AX357)-ROW(AX$15),0),0)</f>
        <v>0</v>
      </c>
      <c r="AY357" s="632">
        <f ca="1">IF(AND($D357="Serviço",AY$12&lt;&gt;0,$H357&gt;0,OR(AUTOEVENTO&lt;&gt;"manual",$M357&lt;&gt;1)),ROUND(OFFSET($P357,0,AY$13),15-13*ORÇAMENTO!$AF$7)/$H357*OFFSET(ORÇAMENTO!$X$15,ROW(AY357)-ROW(AY$15),0),0)</f>
        <v>0</v>
      </c>
      <c r="AZ357" s="632">
        <f ca="1">IF(AND($D357="Serviço",AZ$12&lt;&gt;0,$H357&gt;0,OR(AUTOEVENTO&lt;&gt;"manual",$M357&lt;&gt;1)),ROUND(OFFSET($P357,0,AZ$13),15-13*ORÇAMENTO!$AF$7)/$H357*OFFSET(ORÇAMENTO!$X$15,ROW(AZ357)-ROW(AZ$15),0),0)</f>
        <v>0</v>
      </c>
      <c r="BA357" s="633">
        <f ca="1">IF(AND($D357="Serviço",BA$12&lt;&gt;0,$H357&gt;0,OR(AUTOEVENTO&lt;&gt;"manual",$M357&lt;&gt;1)),ROUND(OFFSET($P357,0,BA$13),15-13*ORÇAMENTO!$AF$7)/$H357*OFFSET(ORÇAMENTO!$X$15,ROW(BA357)-ROW(BA$15),0),0)</f>
        <v>0</v>
      </c>
      <c r="BC357" s="215">
        <f ca="1">IF($D357&lt;&gt;"Serviço",0,IF(AND(AUTOEVENTO="Manual",$M357=1),0,IF(OFFSET(CRONOPLE!$F$14,$M357,BC$13)="",10^12,OFFSET(CRONOPLE!$F$14,$M357,BC$13))))</f>
        <v>1000000000000</v>
      </c>
      <c r="BD357" s="215">
        <f ca="1">IF($D357&lt;&gt;"Serviço",0,IF(AND(AUTOEVENTO="Manual",$M357=1),0,IF(OFFSET(CRONOPLE!$F$14,$M357,BD$13)="",10^12,OFFSET(CRONOPLE!$F$14,$M357,BD$13))))</f>
        <v>1000000000000</v>
      </c>
      <c r="BE357" s="215">
        <f ca="1">IF($D357&lt;&gt;"Serviço",0,IF(AND(AUTOEVENTO="Manual",$M357=1),0,IF(OFFSET(CRONOPLE!$F$14,$M357,BE$13)="",10^12,OFFSET(CRONOPLE!$F$14,$M357,BE$13))))</f>
        <v>1000000000000</v>
      </c>
      <c r="BF357" s="215">
        <f ca="1">IF($D357&lt;&gt;"Serviço",0,IF(AND(AUTOEVENTO="Manual",$M357=1),0,IF(OFFSET(CRONOPLE!$F$14,$M357,BF$13)="",10^12,OFFSET(CRONOPLE!$F$14,$M357,BF$13))))</f>
        <v>1000000000000</v>
      </c>
      <c r="BG357" s="215">
        <f ca="1">IF($D357&lt;&gt;"Serviço",0,IF(AND(AUTOEVENTO="Manual",$M357=1),0,IF(OFFSET(CRONOPLE!$F$14,$M357,BG$13)="",10^12,OFFSET(CRONOPLE!$F$14,$M357,BG$13))))</f>
        <v>1000000000000</v>
      </c>
      <c r="BH357" s="215">
        <f ca="1">IF($D357&lt;&gt;"Serviço",0,IF(AND(AUTOEVENTO="Manual",$M357=1),0,IF(OFFSET(CRONOPLE!$F$14,$M357,BH$13)="",10^12,OFFSET(CRONOPLE!$F$14,$M357,BH$13))))</f>
        <v>1000000000000</v>
      </c>
      <c r="BI357" s="215">
        <f ca="1">IF($D357&lt;&gt;"Serviço",0,IF(AND(AUTOEVENTO="Manual",$M357=1),0,IF(OFFSET(CRONOPLE!$F$14,$M357,BI$13)="",10^12,OFFSET(CRONOPLE!$F$14,$M357,BI$13))))</f>
        <v>1000000000000</v>
      </c>
      <c r="BJ357" s="215">
        <f ca="1">IF($D357&lt;&gt;"Serviço",0,IF(AND(AUTOEVENTO="Manual",$M357=1),0,IF(OFFSET(CRONOPLE!$F$14,$M357,BJ$13)="",10^12,OFFSET(CRONOPLE!$F$14,$M357,BJ$13))))</f>
        <v>1000000000000</v>
      </c>
      <c r="BK357" s="215">
        <f ca="1">IF($D357&lt;&gt;"Serviço",0,IF(AND(AUTOEVENTO="Manual",$M357=1),0,IF(OFFSET(CRONOPLE!$F$14,$M357,BK$13)="",10^12,OFFSET(CRONOPLE!$F$14,$M357,BK$13))))</f>
        <v>1000000000000</v>
      </c>
      <c r="BL357" s="215">
        <f ca="1">IF($D357&lt;&gt;"Serviço",0,IF(AND(AUTOEVENTO="Manual",$M357=1),0,IF(OFFSET(CRONOPLE!$F$14,$M357,BL$13)="",10^12,OFFSET(CRONOPLE!$F$14,$M357,BL$13))))</f>
        <v>1000000000000</v>
      </c>
      <c r="BM357" s="215">
        <f ca="1">IF($D357&lt;&gt;"Serviço",0,IF(AND(AUTOEVENTO="Manual",$M357=1),0,IF(OFFSET(CRONOPLE!$F$14,$M357,BM$13)="",10^12,OFFSET(CRONOPLE!$F$14,$M357,BM$13))))</f>
        <v>1000000000000</v>
      </c>
      <c r="BN357" s="215">
        <f ca="1">IF($D357&lt;&gt;"Serviço",0,IF(AND(AUTOEVENTO="Manual",$M357=1),0,IF(OFFSET(CRONOPLE!$F$14,$M357,BN$13)="",10^12,OFFSET(CRONOPLE!$F$14,$M357,BN$13))))</f>
        <v>1000000000000</v>
      </c>
      <c r="BO357" s="215">
        <f ca="1">IF($D357&lt;&gt;"Serviço",0,IF(AND(AUTOEVENTO="Manual",$M357=1),0,IF(OFFSET(CRONOPLE!$F$14,$M357,BO$13)="",10^12,OFFSET(CRONOPLE!$F$14,$M357,BO$13))))</f>
        <v>1000000000000</v>
      </c>
      <c r="BP357" s="215">
        <f ca="1">IF($D357&lt;&gt;"Serviço",0,IF(AND(AUTOEVENTO="Manual",$M357=1),0,IF(OFFSET(CRONOPLE!$F$14,$M357,BP$13)="",10^12,OFFSET(CRONOPLE!$F$14,$M357,BP$13))))</f>
        <v>1000000000000</v>
      </c>
      <c r="BQ357" s="215">
        <f ca="1">IF($D357&lt;&gt;"Serviço",0,IF(AND(AUTOEVENTO="Manual",$M357=1),0,IF(OFFSET(CRONOPLE!$F$14,$M357,BQ$13)="",10^12,OFFSET(CRONOPLE!$F$14,$M357,BQ$13))))</f>
        <v>1000000000000</v>
      </c>
      <c r="BR357" s="215">
        <f ca="1">IF($D357&lt;&gt;"Serviço",0,IF(AND(AUTOEVENTO="Manual",$M357=1),0,IF(OFFSET(CRONOPLE!$F$14,$M357,BR$13)="",10^12,OFFSET(CRONOPLE!$F$14,$M357,BR$13))))</f>
        <v>1000000000000</v>
      </c>
      <c r="BS357" s="215">
        <f ca="1">IF($D357&lt;&gt;"Serviço",0,IF(AND(AUTOEVENTO="Manual",$M357=1),0,IF(OFFSET(CRONOPLE!$F$14,$M357,BS$13)="",10^12,OFFSET(CRONOPLE!$F$14,$M357,BS$13))))</f>
        <v>1000000000000</v>
      </c>
      <c r="BT357" s="215">
        <f ca="1">IF($D357&lt;&gt;"Serviço",0,IF(AND(AUTOEVENTO="Manual",$M357=1),0,IF(OFFSET(CRONOPLE!$F$14,$M357,BT$13)="",10^12,OFFSET(CRONOPLE!$F$14,$M357,BT$13))))</f>
        <v>1000000000000</v>
      </c>
      <c r="BV357" s="216">
        <f ca="1">IF($D357&lt;&gt;"Serviço",0,IF(OR(AND(AUTOEVENTO="Manual",$M357=1),$M357&gt;(ROW(PLE.lastrow)-ROW(PLE.firstrow))),0,IF(OFFSET(PLE!$G$14,$M357,BV$13)="",10^12,OFFSET(PLE!$G$14,$M357,BV$13))))</f>
        <v>1000000000000</v>
      </c>
      <c r="BW357" s="216">
        <f ca="1">IF($D357&lt;&gt;"Serviço",0,IF(OR(AND(AUTOEVENTO="Manual",$M357=1),$M357&gt;(ROW(PLE.lastrow)-ROW(PLE.firstrow))),0,IF(OFFSET(PLE!$G$14,$M357,BW$13)="",10^12,OFFSET(PLE!$G$14,$M357,BW$13))))</f>
        <v>1000000000000</v>
      </c>
      <c r="BX357" s="216">
        <f ca="1">IF($D357&lt;&gt;"Serviço",0,IF(OR(AND(AUTOEVENTO="Manual",$M357=1),$M357&gt;(ROW(PLE.lastrow)-ROW(PLE.firstrow))),0,IF(OFFSET(PLE!$G$14,$M357,BX$13)="",10^12,OFFSET(PLE!$G$14,$M357,BX$13))))</f>
        <v>1000000000000</v>
      </c>
      <c r="BY357" s="216">
        <f ca="1">IF($D357&lt;&gt;"Serviço",0,IF(OR(AND(AUTOEVENTO="Manual",$M357=1),$M357&gt;(ROW(PLE.lastrow)-ROW(PLE.firstrow))),0,IF(OFFSET(PLE!$G$14,$M357,BY$13)="",10^12,OFFSET(PLE!$G$14,$M357,BY$13))))</f>
        <v>1000000000000</v>
      </c>
      <c r="BZ357" s="216">
        <f ca="1">IF($D357&lt;&gt;"Serviço",0,IF(OR(AND(AUTOEVENTO="Manual",$M357=1),$M357&gt;(ROW(PLE.lastrow)-ROW(PLE.firstrow))),0,IF(OFFSET(PLE!$G$14,$M357,BZ$13)="",10^12,OFFSET(PLE!$G$14,$M357,BZ$13))))</f>
        <v>1000000000000</v>
      </c>
      <c r="CA357" s="216">
        <f ca="1">IF($D357&lt;&gt;"Serviço",0,IF(OR(AND(AUTOEVENTO="Manual",$M357=1),$M357&gt;(ROW(PLE.lastrow)-ROW(PLE.firstrow))),0,IF(OFFSET(PLE!$G$14,$M357,CA$13)="",10^12,OFFSET(PLE!$G$14,$M357,CA$13))))</f>
        <v>1000000000000</v>
      </c>
      <c r="CB357" s="216">
        <f ca="1">IF($D357&lt;&gt;"Serviço",0,IF(OR(AND(AUTOEVENTO="Manual",$M357=1),$M357&gt;(ROW(PLE.lastrow)-ROW(PLE.firstrow))),0,IF(OFFSET(PLE!$G$14,$M357,CB$13)="",10^12,OFFSET(PLE!$G$14,$M357,CB$13))))</f>
        <v>1000000000000</v>
      </c>
      <c r="CC357" s="216">
        <f ca="1">IF($D357&lt;&gt;"Serviço",0,IF(OR(AND(AUTOEVENTO="Manual",$M357=1),$M357&gt;(ROW(PLE.lastrow)-ROW(PLE.firstrow))),0,IF(OFFSET(PLE!$G$14,$M357,CC$13)="",10^12,OFFSET(PLE!$G$14,$M357,CC$13))))</f>
        <v>1000000000000</v>
      </c>
      <c r="CD357" s="216">
        <f ca="1">IF($D357&lt;&gt;"Serviço",0,IF(OR(AND(AUTOEVENTO="Manual",$M357=1),$M357&gt;(ROW(PLE.lastrow)-ROW(PLE.firstrow))),0,IF(OFFSET(PLE!$G$14,$M357,CD$13)="",10^12,OFFSET(PLE!$G$14,$M357,CD$13))))</f>
        <v>1000000000000</v>
      </c>
      <c r="CE357" s="216">
        <f ca="1">IF($D357&lt;&gt;"Serviço",0,IF(OR(AND(AUTOEVENTO="Manual",$M357=1),$M357&gt;(ROW(PLE.lastrow)-ROW(PLE.firstrow))),0,IF(OFFSET(PLE!$G$14,$M357,CE$13)="",10^12,OFFSET(PLE!$G$14,$M357,CE$13))))</f>
        <v>1000000000000</v>
      </c>
      <c r="CF357" s="216">
        <f ca="1">IF($D357&lt;&gt;"Serviço",0,IF(OR(AND(AUTOEVENTO="Manual",$M357=1),$M357&gt;(ROW(PLE.lastrow)-ROW(PLE.firstrow))),0,IF(OFFSET(PLE!$G$14,$M357,CF$13)="",10^12,OFFSET(PLE!$G$14,$M357,CF$13))))</f>
        <v>1000000000000</v>
      </c>
      <c r="CG357" s="216">
        <f ca="1">IF($D357&lt;&gt;"Serviço",0,IF(OR(AND(AUTOEVENTO="Manual",$M357=1),$M357&gt;(ROW(PLE.lastrow)-ROW(PLE.firstrow))),0,IF(OFFSET(PLE!$G$14,$M357,CG$13)="",10^12,OFFSET(PLE!$G$14,$M357,CG$13))))</f>
        <v>1000000000000</v>
      </c>
      <c r="CH357" s="216">
        <f ca="1">IF($D357&lt;&gt;"Serviço",0,IF(OR(AND(AUTOEVENTO="Manual",$M357=1),$M357&gt;(ROW(PLE.lastrow)-ROW(PLE.firstrow))),0,IF(OFFSET(PLE!$G$14,$M357,CH$13)="",10^12,OFFSET(PLE!$G$14,$M357,CH$13))))</f>
        <v>1000000000000</v>
      </c>
      <c r="CI357" s="216">
        <f ca="1">IF($D357&lt;&gt;"Serviço",0,IF(OR(AND(AUTOEVENTO="Manual",$M357=1),$M357&gt;(ROW(PLE.lastrow)-ROW(PLE.firstrow))),0,IF(OFFSET(PLE!$G$14,$M357,CI$13)="",10^12,OFFSET(PLE!$G$14,$M357,CI$13))))</f>
        <v>1000000000000</v>
      </c>
      <c r="CJ357" s="216">
        <f ca="1">IF($D357&lt;&gt;"Serviço",0,IF(OR(AND(AUTOEVENTO="Manual",$M357=1),$M357&gt;(ROW(PLE.lastrow)-ROW(PLE.firstrow))),0,IF(OFFSET(PLE!$G$14,$M357,CJ$13)="",10^12,OFFSET(PLE!$G$14,$M357,CJ$13))))</f>
        <v>1000000000000</v>
      </c>
      <c r="CK357" s="216">
        <f ca="1">IF($D357&lt;&gt;"Serviço",0,IF(OR(AND(AUTOEVENTO="Manual",$M357=1),$M357&gt;(ROW(PLE.lastrow)-ROW(PLE.firstrow))),0,IF(OFFSET(PLE!$G$14,$M357,CK$13)="",10^12,OFFSET(PLE!$G$14,$M357,CK$13))))</f>
        <v>1000000000000</v>
      </c>
      <c r="CL357" s="216">
        <f ca="1">IF($D357&lt;&gt;"Serviço",0,IF(OR(AND(AUTOEVENTO="Manual",$M357=1),$M357&gt;(ROW(PLE.lastrow)-ROW(PLE.firstrow))),0,IF(OFFSET(PLE!$G$14,$M357,CL$13)="",10^12,OFFSET(PLE!$G$14,$M357,CL$13))))</f>
        <v>1000000000000</v>
      </c>
      <c r="CM357" s="216">
        <f ca="1">IF($D357&lt;&gt;"Serviço",0,IF(OR(AND(AUTOEVENTO="Manual",$M357=1),$M357&gt;(ROW(PLE.lastrow)-ROW(PLE.firstrow))),0,IF(OFFSET(PLE!$G$14,$M357,CM$13)="",10^12,OFFSET(PLE!$G$14,$M357,CM$13))))</f>
        <v>1000000000000</v>
      </c>
    </row>
    <row r="358" spans="1:91" ht="13.2" x14ac:dyDescent="0.25">
      <c r="A358" s="9">
        <f t="shared" ca="1" si="14"/>
        <v>0</v>
      </c>
      <c r="B358" s="9" t="str">
        <f ca="1">OFFSET(ORÇAMENTO!C$15,ROW(B358)-ROW(B$15),0)</f>
        <v>S</v>
      </c>
      <c r="C358" s="9" t="str">
        <f ca="1">OFFSET(ORÇAMENTO!L$15,ROW(C358)-ROW(C$15),0)</f>
        <v/>
      </c>
      <c r="D358" s="145" t="str">
        <f ca="1">OFFSET(ORÇAMENTO!N$15,ROW(D358)-ROW(D$15),0)</f>
        <v>Serviço</v>
      </c>
      <c r="E358" s="205" t="str">
        <f ca="1">OFFSET(ORÇAMENTO!O$15,ROW(E358)-ROW(E$15),0)</f>
        <v>-</v>
      </c>
      <c r="F358" s="206" t="str">
        <f ca="1">OFFSET(ORÇAMENTO!R$15,ROW(F358)-ROW(F$15),0)</f>
        <v>(abra o arquivo 'Referência 05-2024.xls)</v>
      </c>
      <c r="G358" s="207" t="str">
        <f ca="1">IF($D358&lt;&gt;"Serviço","",OFFSET(ORÇAMENTO!S$15,ROW(G358)-ROW(G$15),0))</f>
        <v>-</v>
      </c>
      <c r="H358" s="151">
        <f ca="1">IF($D358&lt;&gt;"Serviço",0,IF(ACOMPANHAMENTO="BM",ROUND(OFFSET(ORÇAMENTO!AJ$15,ROW(H358)-ROW(H$15),0),15-13*ORÇAMENTO!$AF$7),SUMPRODUCT(($Q$12:$AI$12&lt;&gt;"")*ROUND($Q358:$AI358,15-13*ORÇAMENTO!$AF$7))))</f>
        <v>10</v>
      </c>
      <c r="I358" s="650"/>
      <c r="K358" s="208"/>
      <c r="L358" s="209" t="s">
        <v>257</v>
      </c>
      <c r="M358" s="210">
        <f ca="1">IF($D358&lt;&gt;"Serviço","",IF(AUTOEVENTO="manual",$A358,IF(ISERROR(MATCH($A358,$A$15:OFFSET($A358,-1,0),0)),MAX($M$15:OFFSET(M358,-1,0))+1,INDEX($M$15:OFFSET(M358,-1,0),MATCH($A358,$A$15:OFFSET($A358,-1,0),0)))))</f>
        <v>0</v>
      </c>
      <c r="N358" s="211" t="str">
        <f ca="1">IF($D358&lt;&gt;"Serviço","",IF(AUTOEVENTO="Manual",IF($A358=0,"&lt;-- defina o número do agrupador",OFFSET(EVENTOS!$D$14,$A358,0)),OFFSET($F$15,$A358,0)))</f>
        <v>&lt;-- defina o número do agrupador</v>
      </c>
      <c r="O358" s="212"/>
      <c r="Q358" s="212"/>
      <c r="R358" s="213"/>
      <c r="S358" s="213"/>
      <c r="T358" s="213"/>
      <c r="U358" s="213"/>
      <c r="V358" s="213"/>
      <c r="W358" s="213"/>
      <c r="X358" s="213"/>
      <c r="Y358" s="213"/>
      <c r="Z358" s="214"/>
      <c r="AA358" s="213"/>
      <c r="AB358" s="213"/>
      <c r="AC358" s="213"/>
      <c r="AD358" s="213"/>
      <c r="AE358" s="213"/>
      <c r="AF358" s="213"/>
      <c r="AG358" s="213"/>
      <c r="AH358" s="214"/>
      <c r="AJ358" s="631">
        <f ca="1">IF(AND($D358="Serviço",AJ$12&lt;&gt;0,$H358&gt;0,OR(AUTOEVENTO&lt;&gt;"manual",$M358&lt;&gt;1)),ROUND(OFFSET($P358,0,AJ$13),15-13*ORÇAMENTO!$AF$7)/$H358*OFFSET(ORÇAMENTO!$X$15,ROW(AJ358)-ROW(AJ$15),0),0)</f>
        <v>0</v>
      </c>
      <c r="AK358" s="632">
        <f ca="1">IF(AND($D358="Serviço",AK$12&lt;&gt;0,$H358&gt;0,OR(AUTOEVENTO&lt;&gt;"manual",$M358&lt;&gt;1)),ROUND(OFFSET($P358,0,AK$13),15-13*ORÇAMENTO!$AF$7)/$H358*OFFSET(ORÇAMENTO!$X$15,ROW(AK358)-ROW(AK$15),0),0)</f>
        <v>0</v>
      </c>
      <c r="AL358" s="632">
        <f ca="1">IF(AND($D358="Serviço",AL$12&lt;&gt;0,$H358&gt;0,OR(AUTOEVENTO&lt;&gt;"manual",$M358&lt;&gt;1)),ROUND(OFFSET($P358,0,AL$13),15-13*ORÇAMENTO!$AF$7)/$H358*OFFSET(ORÇAMENTO!$X$15,ROW(AL358)-ROW(AL$15),0),0)</f>
        <v>0</v>
      </c>
      <c r="AM358" s="632">
        <f ca="1">IF(AND($D358="Serviço",AM$12&lt;&gt;0,$H358&gt;0,OR(AUTOEVENTO&lt;&gt;"manual",$M358&lt;&gt;1)),ROUND(OFFSET($P358,0,AM$13),15-13*ORÇAMENTO!$AF$7)/$H358*OFFSET(ORÇAMENTO!$X$15,ROW(AM358)-ROW(AM$15),0),0)</f>
        <v>0</v>
      </c>
      <c r="AN358" s="632">
        <f ca="1">IF(AND($D358="Serviço",AN$12&lt;&gt;0,$H358&gt;0,OR(AUTOEVENTO&lt;&gt;"manual",$M358&lt;&gt;1)),ROUND(OFFSET($P358,0,AN$13),15-13*ORÇAMENTO!$AF$7)/$H358*OFFSET(ORÇAMENTO!$X$15,ROW(AN358)-ROW(AN$15),0),0)</f>
        <v>0</v>
      </c>
      <c r="AO358" s="632">
        <f ca="1">IF(AND($D358="Serviço",AO$12&lt;&gt;0,$H358&gt;0,OR(AUTOEVENTO&lt;&gt;"manual",$M358&lt;&gt;1)),ROUND(OFFSET($P358,0,AO$13),15-13*ORÇAMENTO!$AF$7)/$H358*OFFSET(ORÇAMENTO!$X$15,ROW(AO358)-ROW(AO$15),0),0)</f>
        <v>0</v>
      </c>
      <c r="AP358" s="632">
        <f ca="1">IF(AND($D358="Serviço",AP$12&lt;&gt;0,$H358&gt;0,OR(AUTOEVENTO&lt;&gt;"manual",$M358&lt;&gt;1)),ROUND(OFFSET($P358,0,AP$13),15-13*ORÇAMENTO!$AF$7)/$H358*OFFSET(ORÇAMENTO!$X$15,ROW(AP358)-ROW(AP$15),0),0)</f>
        <v>0</v>
      </c>
      <c r="AQ358" s="632">
        <f ca="1">IF(AND($D358="Serviço",AQ$12&lt;&gt;0,$H358&gt;0,OR(AUTOEVENTO&lt;&gt;"manual",$M358&lt;&gt;1)),ROUND(OFFSET($P358,0,AQ$13),15-13*ORÇAMENTO!$AF$7)/$H358*OFFSET(ORÇAMENTO!$X$15,ROW(AQ358)-ROW(AQ$15),0),0)</f>
        <v>0</v>
      </c>
      <c r="AR358" s="632">
        <f ca="1">IF(AND($D358="Serviço",AR$12&lt;&gt;0,$H358&gt;0,OR(AUTOEVENTO&lt;&gt;"manual",$M358&lt;&gt;1)),ROUND(OFFSET($P358,0,AR$13),15-13*ORÇAMENTO!$AF$7)/$H358*OFFSET(ORÇAMENTO!$X$15,ROW(AR358)-ROW(AR$15),0),0)</f>
        <v>0</v>
      </c>
      <c r="AS358" s="633">
        <f ca="1">IF(AND($D358="Serviço",AS$12&lt;&gt;0,$H358&gt;0,OR(AUTOEVENTO&lt;&gt;"manual",$M358&lt;&gt;1)),ROUND(OFFSET($P358,0,AS$13),15-13*ORÇAMENTO!$AF$7)/$H358*OFFSET(ORÇAMENTO!$X$15,ROW(AS358)-ROW(AS$15),0),0)</f>
        <v>0</v>
      </c>
      <c r="AT358" s="632">
        <f ca="1">IF(AND($D358="Serviço",AT$12&lt;&gt;0,$H358&gt;0,OR(AUTOEVENTO&lt;&gt;"manual",$M358&lt;&gt;1)),ROUND(OFFSET($P358,0,AT$13),15-13*ORÇAMENTO!$AF$7)/$H358*OFFSET(ORÇAMENTO!$X$15,ROW(AT358)-ROW(AT$15),0),0)</f>
        <v>0</v>
      </c>
      <c r="AU358" s="632">
        <f ca="1">IF(AND($D358="Serviço",AU$12&lt;&gt;0,$H358&gt;0,OR(AUTOEVENTO&lt;&gt;"manual",$M358&lt;&gt;1)),ROUND(OFFSET($P358,0,AU$13),15-13*ORÇAMENTO!$AF$7)/$H358*OFFSET(ORÇAMENTO!$X$15,ROW(AU358)-ROW(AU$15),0),0)</f>
        <v>0</v>
      </c>
      <c r="AV358" s="632">
        <f ca="1">IF(AND($D358="Serviço",AV$12&lt;&gt;0,$H358&gt;0,OR(AUTOEVENTO&lt;&gt;"manual",$M358&lt;&gt;1)),ROUND(OFFSET($P358,0,AV$13),15-13*ORÇAMENTO!$AF$7)/$H358*OFFSET(ORÇAMENTO!$X$15,ROW(AV358)-ROW(AV$15),0),0)</f>
        <v>0</v>
      </c>
      <c r="AW358" s="632">
        <f ca="1">IF(AND($D358="Serviço",AW$12&lt;&gt;0,$H358&gt;0,OR(AUTOEVENTO&lt;&gt;"manual",$M358&lt;&gt;1)),ROUND(OFFSET($P358,0,AW$13),15-13*ORÇAMENTO!$AF$7)/$H358*OFFSET(ORÇAMENTO!$X$15,ROW(AW358)-ROW(AW$15),0),0)</f>
        <v>0</v>
      </c>
      <c r="AX358" s="632">
        <f ca="1">IF(AND($D358="Serviço",AX$12&lt;&gt;0,$H358&gt;0,OR(AUTOEVENTO&lt;&gt;"manual",$M358&lt;&gt;1)),ROUND(OFFSET($P358,0,AX$13),15-13*ORÇAMENTO!$AF$7)/$H358*OFFSET(ORÇAMENTO!$X$15,ROW(AX358)-ROW(AX$15),0),0)</f>
        <v>0</v>
      </c>
      <c r="AY358" s="632">
        <f ca="1">IF(AND($D358="Serviço",AY$12&lt;&gt;0,$H358&gt;0,OR(AUTOEVENTO&lt;&gt;"manual",$M358&lt;&gt;1)),ROUND(OFFSET($P358,0,AY$13),15-13*ORÇAMENTO!$AF$7)/$H358*OFFSET(ORÇAMENTO!$X$15,ROW(AY358)-ROW(AY$15),0),0)</f>
        <v>0</v>
      </c>
      <c r="AZ358" s="632">
        <f ca="1">IF(AND($D358="Serviço",AZ$12&lt;&gt;0,$H358&gt;0,OR(AUTOEVENTO&lt;&gt;"manual",$M358&lt;&gt;1)),ROUND(OFFSET($P358,0,AZ$13),15-13*ORÇAMENTO!$AF$7)/$H358*OFFSET(ORÇAMENTO!$X$15,ROW(AZ358)-ROW(AZ$15),0),0)</f>
        <v>0</v>
      </c>
      <c r="BA358" s="633">
        <f ca="1">IF(AND($D358="Serviço",BA$12&lt;&gt;0,$H358&gt;0,OR(AUTOEVENTO&lt;&gt;"manual",$M358&lt;&gt;1)),ROUND(OFFSET($P358,0,BA$13),15-13*ORÇAMENTO!$AF$7)/$H358*OFFSET(ORÇAMENTO!$X$15,ROW(BA358)-ROW(BA$15),0),0)</f>
        <v>0</v>
      </c>
      <c r="BC358" s="215">
        <f ca="1">IF($D358&lt;&gt;"Serviço",0,IF(AND(AUTOEVENTO="Manual",$M358=1),0,IF(OFFSET(CRONOPLE!$F$14,$M358,BC$13)="",10^12,OFFSET(CRONOPLE!$F$14,$M358,BC$13))))</f>
        <v>1000000000000</v>
      </c>
      <c r="BD358" s="215">
        <f ca="1">IF($D358&lt;&gt;"Serviço",0,IF(AND(AUTOEVENTO="Manual",$M358=1),0,IF(OFFSET(CRONOPLE!$F$14,$M358,BD$13)="",10^12,OFFSET(CRONOPLE!$F$14,$M358,BD$13))))</f>
        <v>1000000000000</v>
      </c>
      <c r="BE358" s="215">
        <f ca="1">IF($D358&lt;&gt;"Serviço",0,IF(AND(AUTOEVENTO="Manual",$M358=1),0,IF(OFFSET(CRONOPLE!$F$14,$M358,BE$13)="",10^12,OFFSET(CRONOPLE!$F$14,$M358,BE$13))))</f>
        <v>1000000000000</v>
      </c>
      <c r="BF358" s="215">
        <f ca="1">IF($D358&lt;&gt;"Serviço",0,IF(AND(AUTOEVENTO="Manual",$M358=1),0,IF(OFFSET(CRONOPLE!$F$14,$M358,BF$13)="",10^12,OFFSET(CRONOPLE!$F$14,$M358,BF$13))))</f>
        <v>1000000000000</v>
      </c>
      <c r="BG358" s="215">
        <f ca="1">IF($D358&lt;&gt;"Serviço",0,IF(AND(AUTOEVENTO="Manual",$M358=1),0,IF(OFFSET(CRONOPLE!$F$14,$M358,BG$13)="",10^12,OFFSET(CRONOPLE!$F$14,$M358,BG$13))))</f>
        <v>1000000000000</v>
      </c>
      <c r="BH358" s="215">
        <f ca="1">IF($D358&lt;&gt;"Serviço",0,IF(AND(AUTOEVENTO="Manual",$M358=1),0,IF(OFFSET(CRONOPLE!$F$14,$M358,BH$13)="",10^12,OFFSET(CRONOPLE!$F$14,$M358,BH$13))))</f>
        <v>1000000000000</v>
      </c>
      <c r="BI358" s="215">
        <f ca="1">IF($D358&lt;&gt;"Serviço",0,IF(AND(AUTOEVENTO="Manual",$M358=1),0,IF(OFFSET(CRONOPLE!$F$14,$M358,BI$13)="",10^12,OFFSET(CRONOPLE!$F$14,$M358,BI$13))))</f>
        <v>1000000000000</v>
      </c>
      <c r="BJ358" s="215">
        <f ca="1">IF($D358&lt;&gt;"Serviço",0,IF(AND(AUTOEVENTO="Manual",$M358=1),0,IF(OFFSET(CRONOPLE!$F$14,$M358,BJ$13)="",10^12,OFFSET(CRONOPLE!$F$14,$M358,BJ$13))))</f>
        <v>1000000000000</v>
      </c>
      <c r="BK358" s="215">
        <f ca="1">IF($D358&lt;&gt;"Serviço",0,IF(AND(AUTOEVENTO="Manual",$M358=1),0,IF(OFFSET(CRONOPLE!$F$14,$M358,BK$13)="",10^12,OFFSET(CRONOPLE!$F$14,$M358,BK$13))))</f>
        <v>1000000000000</v>
      </c>
      <c r="BL358" s="215">
        <f ca="1">IF($D358&lt;&gt;"Serviço",0,IF(AND(AUTOEVENTO="Manual",$M358=1),0,IF(OFFSET(CRONOPLE!$F$14,$M358,BL$13)="",10^12,OFFSET(CRONOPLE!$F$14,$M358,BL$13))))</f>
        <v>1000000000000</v>
      </c>
      <c r="BM358" s="215">
        <f ca="1">IF($D358&lt;&gt;"Serviço",0,IF(AND(AUTOEVENTO="Manual",$M358=1),0,IF(OFFSET(CRONOPLE!$F$14,$M358,BM$13)="",10^12,OFFSET(CRONOPLE!$F$14,$M358,BM$13))))</f>
        <v>1000000000000</v>
      </c>
      <c r="BN358" s="215">
        <f ca="1">IF($D358&lt;&gt;"Serviço",0,IF(AND(AUTOEVENTO="Manual",$M358=1),0,IF(OFFSET(CRONOPLE!$F$14,$M358,BN$13)="",10^12,OFFSET(CRONOPLE!$F$14,$M358,BN$13))))</f>
        <v>1000000000000</v>
      </c>
      <c r="BO358" s="215">
        <f ca="1">IF($D358&lt;&gt;"Serviço",0,IF(AND(AUTOEVENTO="Manual",$M358=1),0,IF(OFFSET(CRONOPLE!$F$14,$M358,BO$13)="",10^12,OFFSET(CRONOPLE!$F$14,$M358,BO$13))))</f>
        <v>1000000000000</v>
      </c>
      <c r="BP358" s="215">
        <f ca="1">IF($D358&lt;&gt;"Serviço",0,IF(AND(AUTOEVENTO="Manual",$M358=1),0,IF(OFFSET(CRONOPLE!$F$14,$M358,BP$13)="",10^12,OFFSET(CRONOPLE!$F$14,$M358,BP$13))))</f>
        <v>1000000000000</v>
      </c>
      <c r="BQ358" s="215">
        <f ca="1">IF($D358&lt;&gt;"Serviço",0,IF(AND(AUTOEVENTO="Manual",$M358=1),0,IF(OFFSET(CRONOPLE!$F$14,$M358,BQ$13)="",10^12,OFFSET(CRONOPLE!$F$14,$M358,BQ$13))))</f>
        <v>1000000000000</v>
      </c>
      <c r="BR358" s="215">
        <f ca="1">IF($D358&lt;&gt;"Serviço",0,IF(AND(AUTOEVENTO="Manual",$M358=1),0,IF(OFFSET(CRONOPLE!$F$14,$M358,BR$13)="",10^12,OFFSET(CRONOPLE!$F$14,$M358,BR$13))))</f>
        <v>1000000000000</v>
      </c>
      <c r="BS358" s="215">
        <f ca="1">IF($D358&lt;&gt;"Serviço",0,IF(AND(AUTOEVENTO="Manual",$M358=1),0,IF(OFFSET(CRONOPLE!$F$14,$M358,BS$13)="",10^12,OFFSET(CRONOPLE!$F$14,$M358,BS$13))))</f>
        <v>1000000000000</v>
      </c>
      <c r="BT358" s="215">
        <f ca="1">IF($D358&lt;&gt;"Serviço",0,IF(AND(AUTOEVENTO="Manual",$M358=1),0,IF(OFFSET(CRONOPLE!$F$14,$M358,BT$13)="",10^12,OFFSET(CRONOPLE!$F$14,$M358,BT$13))))</f>
        <v>1000000000000</v>
      </c>
      <c r="BV358" s="216">
        <f ca="1">IF($D358&lt;&gt;"Serviço",0,IF(OR(AND(AUTOEVENTO="Manual",$M358=1),$M358&gt;(ROW(PLE.lastrow)-ROW(PLE.firstrow))),0,IF(OFFSET(PLE!$G$14,$M358,BV$13)="",10^12,OFFSET(PLE!$G$14,$M358,BV$13))))</f>
        <v>1000000000000</v>
      </c>
      <c r="BW358" s="216">
        <f ca="1">IF($D358&lt;&gt;"Serviço",0,IF(OR(AND(AUTOEVENTO="Manual",$M358=1),$M358&gt;(ROW(PLE.lastrow)-ROW(PLE.firstrow))),0,IF(OFFSET(PLE!$G$14,$M358,BW$13)="",10^12,OFFSET(PLE!$G$14,$M358,BW$13))))</f>
        <v>1000000000000</v>
      </c>
      <c r="BX358" s="216">
        <f ca="1">IF($D358&lt;&gt;"Serviço",0,IF(OR(AND(AUTOEVENTO="Manual",$M358=1),$M358&gt;(ROW(PLE.lastrow)-ROW(PLE.firstrow))),0,IF(OFFSET(PLE!$G$14,$M358,BX$13)="",10^12,OFFSET(PLE!$G$14,$M358,BX$13))))</f>
        <v>1000000000000</v>
      </c>
      <c r="BY358" s="216">
        <f ca="1">IF($D358&lt;&gt;"Serviço",0,IF(OR(AND(AUTOEVENTO="Manual",$M358=1),$M358&gt;(ROW(PLE.lastrow)-ROW(PLE.firstrow))),0,IF(OFFSET(PLE!$G$14,$M358,BY$13)="",10^12,OFFSET(PLE!$G$14,$M358,BY$13))))</f>
        <v>1000000000000</v>
      </c>
      <c r="BZ358" s="216">
        <f ca="1">IF($D358&lt;&gt;"Serviço",0,IF(OR(AND(AUTOEVENTO="Manual",$M358=1),$M358&gt;(ROW(PLE.lastrow)-ROW(PLE.firstrow))),0,IF(OFFSET(PLE!$G$14,$M358,BZ$13)="",10^12,OFFSET(PLE!$G$14,$M358,BZ$13))))</f>
        <v>1000000000000</v>
      </c>
      <c r="CA358" s="216">
        <f ca="1">IF($D358&lt;&gt;"Serviço",0,IF(OR(AND(AUTOEVENTO="Manual",$M358=1),$M358&gt;(ROW(PLE.lastrow)-ROW(PLE.firstrow))),0,IF(OFFSET(PLE!$G$14,$M358,CA$13)="",10^12,OFFSET(PLE!$G$14,$M358,CA$13))))</f>
        <v>1000000000000</v>
      </c>
      <c r="CB358" s="216">
        <f ca="1">IF($D358&lt;&gt;"Serviço",0,IF(OR(AND(AUTOEVENTO="Manual",$M358=1),$M358&gt;(ROW(PLE.lastrow)-ROW(PLE.firstrow))),0,IF(OFFSET(PLE!$G$14,$M358,CB$13)="",10^12,OFFSET(PLE!$G$14,$M358,CB$13))))</f>
        <v>1000000000000</v>
      </c>
      <c r="CC358" s="216">
        <f ca="1">IF($D358&lt;&gt;"Serviço",0,IF(OR(AND(AUTOEVENTO="Manual",$M358=1),$M358&gt;(ROW(PLE.lastrow)-ROW(PLE.firstrow))),0,IF(OFFSET(PLE!$G$14,$M358,CC$13)="",10^12,OFFSET(PLE!$G$14,$M358,CC$13))))</f>
        <v>1000000000000</v>
      </c>
      <c r="CD358" s="216">
        <f ca="1">IF($D358&lt;&gt;"Serviço",0,IF(OR(AND(AUTOEVENTO="Manual",$M358=1),$M358&gt;(ROW(PLE.lastrow)-ROW(PLE.firstrow))),0,IF(OFFSET(PLE!$G$14,$M358,CD$13)="",10^12,OFFSET(PLE!$G$14,$M358,CD$13))))</f>
        <v>1000000000000</v>
      </c>
      <c r="CE358" s="216">
        <f ca="1">IF($D358&lt;&gt;"Serviço",0,IF(OR(AND(AUTOEVENTO="Manual",$M358=1),$M358&gt;(ROW(PLE.lastrow)-ROW(PLE.firstrow))),0,IF(OFFSET(PLE!$G$14,$M358,CE$13)="",10^12,OFFSET(PLE!$G$14,$M358,CE$13))))</f>
        <v>1000000000000</v>
      </c>
      <c r="CF358" s="216">
        <f ca="1">IF($D358&lt;&gt;"Serviço",0,IF(OR(AND(AUTOEVENTO="Manual",$M358=1),$M358&gt;(ROW(PLE.lastrow)-ROW(PLE.firstrow))),0,IF(OFFSET(PLE!$G$14,$M358,CF$13)="",10^12,OFFSET(PLE!$G$14,$M358,CF$13))))</f>
        <v>1000000000000</v>
      </c>
      <c r="CG358" s="216">
        <f ca="1">IF($D358&lt;&gt;"Serviço",0,IF(OR(AND(AUTOEVENTO="Manual",$M358=1),$M358&gt;(ROW(PLE.lastrow)-ROW(PLE.firstrow))),0,IF(OFFSET(PLE!$G$14,$M358,CG$13)="",10^12,OFFSET(PLE!$G$14,$M358,CG$13))))</f>
        <v>1000000000000</v>
      </c>
      <c r="CH358" s="216">
        <f ca="1">IF($D358&lt;&gt;"Serviço",0,IF(OR(AND(AUTOEVENTO="Manual",$M358=1),$M358&gt;(ROW(PLE.lastrow)-ROW(PLE.firstrow))),0,IF(OFFSET(PLE!$G$14,$M358,CH$13)="",10^12,OFFSET(PLE!$G$14,$M358,CH$13))))</f>
        <v>1000000000000</v>
      </c>
      <c r="CI358" s="216">
        <f ca="1">IF($D358&lt;&gt;"Serviço",0,IF(OR(AND(AUTOEVENTO="Manual",$M358=1),$M358&gt;(ROW(PLE.lastrow)-ROW(PLE.firstrow))),0,IF(OFFSET(PLE!$G$14,$M358,CI$13)="",10^12,OFFSET(PLE!$G$14,$M358,CI$13))))</f>
        <v>1000000000000</v>
      </c>
      <c r="CJ358" s="216">
        <f ca="1">IF($D358&lt;&gt;"Serviço",0,IF(OR(AND(AUTOEVENTO="Manual",$M358=1),$M358&gt;(ROW(PLE.lastrow)-ROW(PLE.firstrow))),0,IF(OFFSET(PLE!$G$14,$M358,CJ$13)="",10^12,OFFSET(PLE!$G$14,$M358,CJ$13))))</f>
        <v>1000000000000</v>
      </c>
      <c r="CK358" s="216">
        <f ca="1">IF($D358&lt;&gt;"Serviço",0,IF(OR(AND(AUTOEVENTO="Manual",$M358=1),$M358&gt;(ROW(PLE.lastrow)-ROW(PLE.firstrow))),0,IF(OFFSET(PLE!$G$14,$M358,CK$13)="",10^12,OFFSET(PLE!$G$14,$M358,CK$13))))</f>
        <v>1000000000000</v>
      </c>
      <c r="CL358" s="216">
        <f ca="1">IF($D358&lt;&gt;"Serviço",0,IF(OR(AND(AUTOEVENTO="Manual",$M358=1),$M358&gt;(ROW(PLE.lastrow)-ROW(PLE.firstrow))),0,IF(OFFSET(PLE!$G$14,$M358,CL$13)="",10^12,OFFSET(PLE!$G$14,$M358,CL$13))))</f>
        <v>1000000000000</v>
      </c>
      <c r="CM358" s="216">
        <f ca="1">IF($D358&lt;&gt;"Serviço",0,IF(OR(AND(AUTOEVENTO="Manual",$M358=1),$M358&gt;(ROW(PLE.lastrow)-ROW(PLE.firstrow))),0,IF(OFFSET(PLE!$G$14,$M358,CM$13)="",10^12,OFFSET(PLE!$G$14,$M358,CM$13))))</f>
        <v>1000000000000</v>
      </c>
    </row>
    <row r="359" spans="1:91" ht="13.2" x14ac:dyDescent="0.25">
      <c r="A359" s="9">
        <f t="shared" ca="1" si="14"/>
        <v>0</v>
      </c>
      <c r="B359" s="9" t="str">
        <f ca="1">OFFSET(ORÇAMENTO!C$15,ROW(B359)-ROW(B$15),0)</f>
        <v>S</v>
      </c>
      <c r="C359" s="9" t="str">
        <f ca="1">OFFSET(ORÇAMENTO!L$15,ROW(C359)-ROW(C$15),0)</f>
        <v/>
      </c>
      <c r="D359" s="145" t="str">
        <f ca="1">OFFSET(ORÇAMENTO!N$15,ROW(D359)-ROW(D$15),0)</f>
        <v>Serviço</v>
      </c>
      <c r="E359" s="205" t="str">
        <f ca="1">OFFSET(ORÇAMENTO!O$15,ROW(E359)-ROW(E$15),0)</f>
        <v>-</v>
      </c>
      <c r="F359" s="206" t="str">
        <f ca="1">OFFSET(ORÇAMENTO!R$15,ROW(F359)-ROW(F$15),0)</f>
        <v>(abra o arquivo 'Referência 05-2024.xls)</v>
      </c>
      <c r="G359" s="207" t="str">
        <f ca="1">IF($D359&lt;&gt;"Serviço","",OFFSET(ORÇAMENTO!S$15,ROW(G359)-ROW(G$15),0))</f>
        <v>-</v>
      </c>
      <c r="H359" s="151">
        <f ca="1">IF($D359&lt;&gt;"Serviço",0,IF(ACOMPANHAMENTO="BM",ROUND(OFFSET(ORÇAMENTO!AJ$15,ROW(H359)-ROW(H$15),0),15-13*ORÇAMENTO!$AF$7),SUMPRODUCT(($Q$12:$AI$12&lt;&gt;"")*ROUND($Q359:$AI359,15-13*ORÇAMENTO!$AF$7))))</f>
        <v>1</v>
      </c>
      <c r="I359" s="650"/>
      <c r="K359" s="208"/>
      <c r="L359" s="209" t="s">
        <v>257</v>
      </c>
      <c r="M359" s="210">
        <f ca="1">IF($D359&lt;&gt;"Serviço","",IF(AUTOEVENTO="manual",$A359,IF(ISERROR(MATCH($A359,$A$15:OFFSET($A359,-1,0),0)),MAX($M$15:OFFSET(M359,-1,0))+1,INDEX($M$15:OFFSET(M359,-1,0),MATCH($A359,$A$15:OFFSET($A359,-1,0),0)))))</f>
        <v>0</v>
      </c>
      <c r="N359" s="211" t="str">
        <f ca="1">IF($D359&lt;&gt;"Serviço","",IF(AUTOEVENTO="Manual",IF($A359=0,"&lt;-- defina o número do agrupador",OFFSET(EVENTOS!$D$14,$A359,0)),OFFSET($F$15,$A359,0)))</f>
        <v>&lt;-- defina o número do agrupador</v>
      </c>
      <c r="O359" s="212"/>
      <c r="Q359" s="212"/>
      <c r="R359" s="213"/>
      <c r="S359" s="213"/>
      <c r="T359" s="213"/>
      <c r="U359" s="213"/>
      <c r="V359" s="213"/>
      <c r="W359" s="213"/>
      <c r="X359" s="213"/>
      <c r="Y359" s="213"/>
      <c r="Z359" s="214"/>
      <c r="AA359" s="213"/>
      <c r="AB359" s="213"/>
      <c r="AC359" s="213"/>
      <c r="AD359" s="213"/>
      <c r="AE359" s="213"/>
      <c r="AF359" s="213"/>
      <c r="AG359" s="213"/>
      <c r="AH359" s="214"/>
      <c r="AJ359" s="631">
        <f ca="1">IF(AND($D359="Serviço",AJ$12&lt;&gt;0,$H359&gt;0,OR(AUTOEVENTO&lt;&gt;"manual",$M359&lt;&gt;1)),ROUND(OFFSET($P359,0,AJ$13),15-13*ORÇAMENTO!$AF$7)/$H359*OFFSET(ORÇAMENTO!$X$15,ROW(AJ359)-ROW(AJ$15),0),0)</f>
        <v>0</v>
      </c>
      <c r="AK359" s="632">
        <f ca="1">IF(AND($D359="Serviço",AK$12&lt;&gt;0,$H359&gt;0,OR(AUTOEVENTO&lt;&gt;"manual",$M359&lt;&gt;1)),ROUND(OFFSET($P359,0,AK$13),15-13*ORÇAMENTO!$AF$7)/$H359*OFFSET(ORÇAMENTO!$X$15,ROW(AK359)-ROW(AK$15),0),0)</f>
        <v>0</v>
      </c>
      <c r="AL359" s="632">
        <f ca="1">IF(AND($D359="Serviço",AL$12&lt;&gt;0,$H359&gt;0,OR(AUTOEVENTO&lt;&gt;"manual",$M359&lt;&gt;1)),ROUND(OFFSET($P359,0,AL$13),15-13*ORÇAMENTO!$AF$7)/$H359*OFFSET(ORÇAMENTO!$X$15,ROW(AL359)-ROW(AL$15),0),0)</f>
        <v>0</v>
      </c>
      <c r="AM359" s="632">
        <f ca="1">IF(AND($D359="Serviço",AM$12&lt;&gt;0,$H359&gt;0,OR(AUTOEVENTO&lt;&gt;"manual",$M359&lt;&gt;1)),ROUND(OFFSET($P359,0,AM$13),15-13*ORÇAMENTO!$AF$7)/$H359*OFFSET(ORÇAMENTO!$X$15,ROW(AM359)-ROW(AM$15),0),0)</f>
        <v>0</v>
      </c>
      <c r="AN359" s="632">
        <f ca="1">IF(AND($D359="Serviço",AN$12&lt;&gt;0,$H359&gt;0,OR(AUTOEVENTO&lt;&gt;"manual",$M359&lt;&gt;1)),ROUND(OFFSET($P359,0,AN$13),15-13*ORÇAMENTO!$AF$7)/$H359*OFFSET(ORÇAMENTO!$X$15,ROW(AN359)-ROW(AN$15),0),0)</f>
        <v>0</v>
      </c>
      <c r="AO359" s="632">
        <f ca="1">IF(AND($D359="Serviço",AO$12&lt;&gt;0,$H359&gt;0,OR(AUTOEVENTO&lt;&gt;"manual",$M359&lt;&gt;1)),ROUND(OFFSET($P359,0,AO$13),15-13*ORÇAMENTO!$AF$7)/$H359*OFFSET(ORÇAMENTO!$X$15,ROW(AO359)-ROW(AO$15),0),0)</f>
        <v>0</v>
      </c>
      <c r="AP359" s="632">
        <f ca="1">IF(AND($D359="Serviço",AP$12&lt;&gt;0,$H359&gt;0,OR(AUTOEVENTO&lt;&gt;"manual",$M359&lt;&gt;1)),ROUND(OFFSET($P359,0,AP$13),15-13*ORÇAMENTO!$AF$7)/$H359*OFFSET(ORÇAMENTO!$X$15,ROW(AP359)-ROW(AP$15),0),0)</f>
        <v>0</v>
      </c>
      <c r="AQ359" s="632">
        <f ca="1">IF(AND($D359="Serviço",AQ$12&lt;&gt;0,$H359&gt;0,OR(AUTOEVENTO&lt;&gt;"manual",$M359&lt;&gt;1)),ROUND(OFFSET($P359,0,AQ$13),15-13*ORÇAMENTO!$AF$7)/$H359*OFFSET(ORÇAMENTO!$X$15,ROW(AQ359)-ROW(AQ$15),0),0)</f>
        <v>0</v>
      </c>
      <c r="AR359" s="632">
        <f ca="1">IF(AND($D359="Serviço",AR$12&lt;&gt;0,$H359&gt;0,OR(AUTOEVENTO&lt;&gt;"manual",$M359&lt;&gt;1)),ROUND(OFFSET($P359,0,AR$13),15-13*ORÇAMENTO!$AF$7)/$H359*OFFSET(ORÇAMENTO!$X$15,ROW(AR359)-ROW(AR$15),0),0)</f>
        <v>0</v>
      </c>
      <c r="AS359" s="633">
        <f ca="1">IF(AND($D359="Serviço",AS$12&lt;&gt;0,$H359&gt;0,OR(AUTOEVENTO&lt;&gt;"manual",$M359&lt;&gt;1)),ROUND(OFFSET($P359,0,AS$13),15-13*ORÇAMENTO!$AF$7)/$H359*OFFSET(ORÇAMENTO!$X$15,ROW(AS359)-ROW(AS$15),0),0)</f>
        <v>0</v>
      </c>
      <c r="AT359" s="632">
        <f ca="1">IF(AND($D359="Serviço",AT$12&lt;&gt;0,$H359&gt;0,OR(AUTOEVENTO&lt;&gt;"manual",$M359&lt;&gt;1)),ROUND(OFFSET($P359,0,AT$13),15-13*ORÇAMENTO!$AF$7)/$H359*OFFSET(ORÇAMENTO!$X$15,ROW(AT359)-ROW(AT$15),0),0)</f>
        <v>0</v>
      </c>
      <c r="AU359" s="632">
        <f ca="1">IF(AND($D359="Serviço",AU$12&lt;&gt;0,$H359&gt;0,OR(AUTOEVENTO&lt;&gt;"manual",$M359&lt;&gt;1)),ROUND(OFFSET($P359,0,AU$13),15-13*ORÇAMENTO!$AF$7)/$H359*OFFSET(ORÇAMENTO!$X$15,ROW(AU359)-ROW(AU$15),0),0)</f>
        <v>0</v>
      </c>
      <c r="AV359" s="632">
        <f ca="1">IF(AND($D359="Serviço",AV$12&lt;&gt;0,$H359&gt;0,OR(AUTOEVENTO&lt;&gt;"manual",$M359&lt;&gt;1)),ROUND(OFFSET($P359,0,AV$13),15-13*ORÇAMENTO!$AF$7)/$H359*OFFSET(ORÇAMENTO!$X$15,ROW(AV359)-ROW(AV$15),0),0)</f>
        <v>0</v>
      </c>
      <c r="AW359" s="632">
        <f ca="1">IF(AND($D359="Serviço",AW$12&lt;&gt;0,$H359&gt;0,OR(AUTOEVENTO&lt;&gt;"manual",$M359&lt;&gt;1)),ROUND(OFFSET($P359,0,AW$13),15-13*ORÇAMENTO!$AF$7)/$H359*OFFSET(ORÇAMENTO!$X$15,ROW(AW359)-ROW(AW$15),0),0)</f>
        <v>0</v>
      </c>
      <c r="AX359" s="632">
        <f ca="1">IF(AND($D359="Serviço",AX$12&lt;&gt;0,$H359&gt;0,OR(AUTOEVENTO&lt;&gt;"manual",$M359&lt;&gt;1)),ROUND(OFFSET($P359,0,AX$13),15-13*ORÇAMENTO!$AF$7)/$H359*OFFSET(ORÇAMENTO!$X$15,ROW(AX359)-ROW(AX$15),0),0)</f>
        <v>0</v>
      </c>
      <c r="AY359" s="632">
        <f ca="1">IF(AND($D359="Serviço",AY$12&lt;&gt;0,$H359&gt;0,OR(AUTOEVENTO&lt;&gt;"manual",$M359&lt;&gt;1)),ROUND(OFFSET($P359,0,AY$13),15-13*ORÇAMENTO!$AF$7)/$H359*OFFSET(ORÇAMENTO!$X$15,ROW(AY359)-ROW(AY$15),0),0)</f>
        <v>0</v>
      </c>
      <c r="AZ359" s="632">
        <f ca="1">IF(AND($D359="Serviço",AZ$12&lt;&gt;0,$H359&gt;0,OR(AUTOEVENTO&lt;&gt;"manual",$M359&lt;&gt;1)),ROUND(OFFSET($P359,0,AZ$13),15-13*ORÇAMENTO!$AF$7)/$H359*OFFSET(ORÇAMENTO!$X$15,ROW(AZ359)-ROW(AZ$15),0),0)</f>
        <v>0</v>
      </c>
      <c r="BA359" s="633">
        <f ca="1">IF(AND($D359="Serviço",BA$12&lt;&gt;0,$H359&gt;0,OR(AUTOEVENTO&lt;&gt;"manual",$M359&lt;&gt;1)),ROUND(OFFSET($P359,0,BA$13),15-13*ORÇAMENTO!$AF$7)/$H359*OFFSET(ORÇAMENTO!$X$15,ROW(BA359)-ROW(BA$15),0),0)</f>
        <v>0</v>
      </c>
      <c r="BC359" s="215">
        <f ca="1">IF($D359&lt;&gt;"Serviço",0,IF(AND(AUTOEVENTO="Manual",$M359=1),0,IF(OFFSET(CRONOPLE!$F$14,$M359,BC$13)="",10^12,OFFSET(CRONOPLE!$F$14,$M359,BC$13))))</f>
        <v>1000000000000</v>
      </c>
      <c r="BD359" s="215">
        <f ca="1">IF($D359&lt;&gt;"Serviço",0,IF(AND(AUTOEVENTO="Manual",$M359=1),0,IF(OFFSET(CRONOPLE!$F$14,$M359,BD$13)="",10^12,OFFSET(CRONOPLE!$F$14,$M359,BD$13))))</f>
        <v>1000000000000</v>
      </c>
      <c r="BE359" s="215">
        <f ca="1">IF($D359&lt;&gt;"Serviço",0,IF(AND(AUTOEVENTO="Manual",$M359=1),0,IF(OFFSET(CRONOPLE!$F$14,$M359,BE$13)="",10^12,OFFSET(CRONOPLE!$F$14,$M359,BE$13))))</f>
        <v>1000000000000</v>
      </c>
      <c r="BF359" s="215">
        <f ca="1">IF($D359&lt;&gt;"Serviço",0,IF(AND(AUTOEVENTO="Manual",$M359=1),0,IF(OFFSET(CRONOPLE!$F$14,$M359,BF$13)="",10^12,OFFSET(CRONOPLE!$F$14,$M359,BF$13))))</f>
        <v>1000000000000</v>
      </c>
      <c r="BG359" s="215">
        <f ca="1">IF($D359&lt;&gt;"Serviço",0,IF(AND(AUTOEVENTO="Manual",$M359=1),0,IF(OFFSET(CRONOPLE!$F$14,$M359,BG$13)="",10^12,OFFSET(CRONOPLE!$F$14,$M359,BG$13))))</f>
        <v>1000000000000</v>
      </c>
      <c r="BH359" s="215">
        <f ca="1">IF($D359&lt;&gt;"Serviço",0,IF(AND(AUTOEVENTO="Manual",$M359=1),0,IF(OFFSET(CRONOPLE!$F$14,$M359,BH$13)="",10^12,OFFSET(CRONOPLE!$F$14,$M359,BH$13))))</f>
        <v>1000000000000</v>
      </c>
      <c r="BI359" s="215">
        <f ca="1">IF($D359&lt;&gt;"Serviço",0,IF(AND(AUTOEVENTO="Manual",$M359=1),0,IF(OFFSET(CRONOPLE!$F$14,$M359,BI$13)="",10^12,OFFSET(CRONOPLE!$F$14,$M359,BI$13))))</f>
        <v>1000000000000</v>
      </c>
      <c r="BJ359" s="215">
        <f ca="1">IF($D359&lt;&gt;"Serviço",0,IF(AND(AUTOEVENTO="Manual",$M359=1),0,IF(OFFSET(CRONOPLE!$F$14,$M359,BJ$13)="",10^12,OFFSET(CRONOPLE!$F$14,$M359,BJ$13))))</f>
        <v>1000000000000</v>
      </c>
      <c r="BK359" s="215">
        <f ca="1">IF($D359&lt;&gt;"Serviço",0,IF(AND(AUTOEVENTO="Manual",$M359=1),0,IF(OFFSET(CRONOPLE!$F$14,$M359,BK$13)="",10^12,OFFSET(CRONOPLE!$F$14,$M359,BK$13))))</f>
        <v>1000000000000</v>
      </c>
      <c r="BL359" s="215">
        <f ca="1">IF($D359&lt;&gt;"Serviço",0,IF(AND(AUTOEVENTO="Manual",$M359=1),0,IF(OFFSET(CRONOPLE!$F$14,$M359,BL$13)="",10^12,OFFSET(CRONOPLE!$F$14,$M359,BL$13))))</f>
        <v>1000000000000</v>
      </c>
      <c r="BM359" s="215">
        <f ca="1">IF($D359&lt;&gt;"Serviço",0,IF(AND(AUTOEVENTO="Manual",$M359=1),0,IF(OFFSET(CRONOPLE!$F$14,$M359,BM$13)="",10^12,OFFSET(CRONOPLE!$F$14,$M359,BM$13))))</f>
        <v>1000000000000</v>
      </c>
      <c r="BN359" s="215">
        <f ca="1">IF($D359&lt;&gt;"Serviço",0,IF(AND(AUTOEVENTO="Manual",$M359=1),0,IF(OFFSET(CRONOPLE!$F$14,$M359,BN$13)="",10^12,OFFSET(CRONOPLE!$F$14,$M359,BN$13))))</f>
        <v>1000000000000</v>
      </c>
      <c r="BO359" s="215">
        <f ca="1">IF($D359&lt;&gt;"Serviço",0,IF(AND(AUTOEVENTO="Manual",$M359=1),0,IF(OFFSET(CRONOPLE!$F$14,$M359,BO$13)="",10^12,OFFSET(CRONOPLE!$F$14,$M359,BO$13))))</f>
        <v>1000000000000</v>
      </c>
      <c r="BP359" s="215">
        <f ca="1">IF($D359&lt;&gt;"Serviço",0,IF(AND(AUTOEVENTO="Manual",$M359=1),0,IF(OFFSET(CRONOPLE!$F$14,$M359,BP$13)="",10^12,OFFSET(CRONOPLE!$F$14,$M359,BP$13))))</f>
        <v>1000000000000</v>
      </c>
      <c r="BQ359" s="215">
        <f ca="1">IF($D359&lt;&gt;"Serviço",0,IF(AND(AUTOEVENTO="Manual",$M359=1),0,IF(OFFSET(CRONOPLE!$F$14,$M359,BQ$13)="",10^12,OFFSET(CRONOPLE!$F$14,$M359,BQ$13))))</f>
        <v>1000000000000</v>
      </c>
      <c r="BR359" s="215">
        <f ca="1">IF($D359&lt;&gt;"Serviço",0,IF(AND(AUTOEVENTO="Manual",$M359=1),0,IF(OFFSET(CRONOPLE!$F$14,$M359,BR$13)="",10^12,OFFSET(CRONOPLE!$F$14,$M359,BR$13))))</f>
        <v>1000000000000</v>
      </c>
      <c r="BS359" s="215">
        <f ca="1">IF($D359&lt;&gt;"Serviço",0,IF(AND(AUTOEVENTO="Manual",$M359=1),0,IF(OFFSET(CRONOPLE!$F$14,$M359,BS$13)="",10^12,OFFSET(CRONOPLE!$F$14,$M359,BS$13))))</f>
        <v>1000000000000</v>
      </c>
      <c r="BT359" s="215">
        <f ca="1">IF($D359&lt;&gt;"Serviço",0,IF(AND(AUTOEVENTO="Manual",$M359=1),0,IF(OFFSET(CRONOPLE!$F$14,$M359,BT$13)="",10^12,OFFSET(CRONOPLE!$F$14,$M359,BT$13))))</f>
        <v>1000000000000</v>
      </c>
      <c r="BV359" s="216">
        <f ca="1">IF($D359&lt;&gt;"Serviço",0,IF(OR(AND(AUTOEVENTO="Manual",$M359=1),$M359&gt;(ROW(PLE.lastrow)-ROW(PLE.firstrow))),0,IF(OFFSET(PLE!$G$14,$M359,BV$13)="",10^12,OFFSET(PLE!$G$14,$M359,BV$13))))</f>
        <v>1000000000000</v>
      </c>
      <c r="BW359" s="216">
        <f ca="1">IF($D359&lt;&gt;"Serviço",0,IF(OR(AND(AUTOEVENTO="Manual",$M359=1),$M359&gt;(ROW(PLE.lastrow)-ROW(PLE.firstrow))),0,IF(OFFSET(PLE!$G$14,$M359,BW$13)="",10^12,OFFSET(PLE!$G$14,$M359,BW$13))))</f>
        <v>1000000000000</v>
      </c>
      <c r="BX359" s="216">
        <f ca="1">IF($D359&lt;&gt;"Serviço",0,IF(OR(AND(AUTOEVENTO="Manual",$M359=1),$M359&gt;(ROW(PLE.lastrow)-ROW(PLE.firstrow))),0,IF(OFFSET(PLE!$G$14,$M359,BX$13)="",10^12,OFFSET(PLE!$G$14,$M359,BX$13))))</f>
        <v>1000000000000</v>
      </c>
      <c r="BY359" s="216">
        <f ca="1">IF($D359&lt;&gt;"Serviço",0,IF(OR(AND(AUTOEVENTO="Manual",$M359=1),$M359&gt;(ROW(PLE.lastrow)-ROW(PLE.firstrow))),0,IF(OFFSET(PLE!$G$14,$M359,BY$13)="",10^12,OFFSET(PLE!$G$14,$M359,BY$13))))</f>
        <v>1000000000000</v>
      </c>
      <c r="BZ359" s="216">
        <f ca="1">IF($D359&lt;&gt;"Serviço",0,IF(OR(AND(AUTOEVENTO="Manual",$M359=1),$M359&gt;(ROW(PLE.lastrow)-ROW(PLE.firstrow))),0,IF(OFFSET(PLE!$G$14,$M359,BZ$13)="",10^12,OFFSET(PLE!$G$14,$M359,BZ$13))))</f>
        <v>1000000000000</v>
      </c>
      <c r="CA359" s="216">
        <f ca="1">IF($D359&lt;&gt;"Serviço",0,IF(OR(AND(AUTOEVENTO="Manual",$M359=1),$M359&gt;(ROW(PLE.lastrow)-ROW(PLE.firstrow))),0,IF(OFFSET(PLE!$G$14,$M359,CA$13)="",10^12,OFFSET(PLE!$G$14,$M359,CA$13))))</f>
        <v>1000000000000</v>
      </c>
      <c r="CB359" s="216">
        <f ca="1">IF($D359&lt;&gt;"Serviço",0,IF(OR(AND(AUTOEVENTO="Manual",$M359=1),$M359&gt;(ROW(PLE.lastrow)-ROW(PLE.firstrow))),0,IF(OFFSET(PLE!$G$14,$M359,CB$13)="",10^12,OFFSET(PLE!$G$14,$M359,CB$13))))</f>
        <v>1000000000000</v>
      </c>
      <c r="CC359" s="216">
        <f ca="1">IF($D359&lt;&gt;"Serviço",0,IF(OR(AND(AUTOEVENTO="Manual",$M359=1),$M359&gt;(ROW(PLE.lastrow)-ROW(PLE.firstrow))),0,IF(OFFSET(PLE!$G$14,$M359,CC$13)="",10^12,OFFSET(PLE!$G$14,$M359,CC$13))))</f>
        <v>1000000000000</v>
      </c>
      <c r="CD359" s="216">
        <f ca="1">IF($D359&lt;&gt;"Serviço",0,IF(OR(AND(AUTOEVENTO="Manual",$M359=1),$M359&gt;(ROW(PLE.lastrow)-ROW(PLE.firstrow))),0,IF(OFFSET(PLE!$G$14,$M359,CD$13)="",10^12,OFFSET(PLE!$G$14,$M359,CD$13))))</f>
        <v>1000000000000</v>
      </c>
      <c r="CE359" s="216">
        <f ca="1">IF($D359&lt;&gt;"Serviço",0,IF(OR(AND(AUTOEVENTO="Manual",$M359=1),$M359&gt;(ROW(PLE.lastrow)-ROW(PLE.firstrow))),0,IF(OFFSET(PLE!$G$14,$M359,CE$13)="",10^12,OFFSET(PLE!$G$14,$M359,CE$13))))</f>
        <v>1000000000000</v>
      </c>
      <c r="CF359" s="216">
        <f ca="1">IF($D359&lt;&gt;"Serviço",0,IF(OR(AND(AUTOEVENTO="Manual",$M359=1),$M359&gt;(ROW(PLE.lastrow)-ROW(PLE.firstrow))),0,IF(OFFSET(PLE!$G$14,$M359,CF$13)="",10^12,OFFSET(PLE!$G$14,$M359,CF$13))))</f>
        <v>1000000000000</v>
      </c>
      <c r="CG359" s="216">
        <f ca="1">IF($D359&lt;&gt;"Serviço",0,IF(OR(AND(AUTOEVENTO="Manual",$M359=1),$M359&gt;(ROW(PLE.lastrow)-ROW(PLE.firstrow))),0,IF(OFFSET(PLE!$G$14,$M359,CG$13)="",10^12,OFFSET(PLE!$G$14,$M359,CG$13))))</f>
        <v>1000000000000</v>
      </c>
      <c r="CH359" s="216">
        <f ca="1">IF($D359&lt;&gt;"Serviço",0,IF(OR(AND(AUTOEVENTO="Manual",$M359=1),$M359&gt;(ROW(PLE.lastrow)-ROW(PLE.firstrow))),0,IF(OFFSET(PLE!$G$14,$M359,CH$13)="",10^12,OFFSET(PLE!$G$14,$M359,CH$13))))</f>
        <v>1000000000000</v>
      </c>
      <c r="CI359" s="216">
        <f ca="1">IF($D359&lt;&gt;"Serviço",0,IF(OR(AND(AUTOEVENTO="Manual",$M359=1),$M359&gt;(ROW(PLE.lastrow)-ROW(PLE.firstrow))),0,IF(OFFSET(PLE!$G$14,$M359,CI$13)="",10^12,OFFSET(PLE!$G$14,$M359,CI$13))))</f>
        <v>1000000000000</v>
      </c>
      <c r="CJ359" s="216">
        <f ca="1">IF($D359&lt;&gt;"Serviço",0,IF(OR(AND(AUTOEVENTO="Manual",$M359=1),$M359&gt;(ROW(PLE.lastrow)-ROW(PLE.firstrow))),0,IF(OFFSET(PLE!$G$14,$M359,CJ$13)="",10^12,OFFSET(PLE!$G$14,$M359,CJ$13))))</f>
        <v>1000000000000</v>
      </c>
      <c r="CK359" s="216">
        <f ca="1">IF($D359&lt;&gt;"Serviço",0,IF(OR(AND(AUTOEVENTO="Manual",$M359=1),$M359&gt;(ROW(PLE.lastrow)-ROW(PLE.firstrow))),0,IF(OFFSET(PLE!$G$14,$M359,CK$13)="",10^12,OFFSET(PLE!$G$14,$M359,CK$13))))</f>
        <v>1000000000000</v>
      </c>
      <c r="CL359" s="216">
        <f ca="1">IF($D359&lt;&gt;"Serviço",0,IF(OR(AND(AUTOEVENTO="Manual",$M359=1),$M359&gt;(ROW(PLE.lastrow)-ROW(PLE.firstrow))),0,IF(OFFSET(PLE!$G$14,$M359,CL$13)="",10^12,OFFSET(PLE!$G$14,$M359,CL$13))))</f>
        <v>1000000000000</v>
      </c>
      <c r="CM359" s="216">
        <f ca="1">IF($D359&lt;&gt;"Serviço",0,IF(OR(AND(AUTOEVENTO="Manual",$M359=1),$M359&gt;(ROW(PLE.lastrow)-ROW(PLE.firstrow))),0,IF(OFFSET(PLE!$G$14,$M359,CM$13)="",10^12,OFFSET(PLE!$G$14,$M359,CM$13))))</f>
        <v>1000000000000</v>
      </c>
    </row>
    <row r="360" spans="1:91" ht="13.2" x14ac:dyDescent="0.25">
      <c r="A360" s="9">
        <f t="shared" ca="1" si="14"/>
        <v>0</v>
      </c>
      <c r="B360" s="9">
        <f ca="1">OFFSET(ORÇAMENTO!C$15,ROW(B360)-ROW(B$15),0)</f>
        <v>3</v>
      </c>
      <c r="C360" s="9" t="str">
        <f ca="1">OFFSET(ORÇAMENTO!L$15,ROW(C360)-ROW(C$15),0)</f>
        <v>F</v>
      </c>
      <c r="D360" s="145" t="str">
        <f ca="1">OFFSET(ORÇAMENTO!N$15,ROW(D360)-ROW(D$15),0)</f>
        <v>Nível 3</v>
      </c>
      <c r="E360" s="205" t="str">
        <f ca="1">OFFSET(ORÇAMENTO!O$15,ROW(E360)-ROW(E$15),0)</f>
        <v>1.12.3.</v>
      </c>
      <c r="F360" s="206" t="str">
        <f ca="1">OFFSET(ORÇAMENTO!R$15,ROW(F360)-ROW(F$15),0)</f>
        <v>DIVERSOS</v>
      </c>
      <c r="G360" s="207" t="str">
        <f ca="1">IF($D360&lt;&gt;"Serviço","",OFFSET(ORÇAMENTO!S$15,ROW(G360)-ROW(G$15),0))</f>
        <v/>
      </c>
      <c r="H360" s="151">
        <f ca="1">IF($D360&lt;&gt;"Serviço",0,IF(ACOMPANHAMENTO="BM",ROUND(OFFSET(ORÇAMENTO!AJ$15,ROW(H360)-ROW(H$15),0),15-13*ORÇAMENTO!$AF$7),SUMPRODUCT(($Q$12:$AI$12&lt;&gt;"")*ROUND($Q360:$AI360,15-13*ORÇAMENTO!$AF$7))))</f>
        <v>0</v>
      </c>
      <c r="I360" s="650"/>
      <c r="K360" s="208"/>
      <c r="L360" s="209" t="s">
        <v>257</v>
      </c>
      <c r="M360" s="210" t="str">
        <f ca="1">IF($D360&lt;&gt;"Serviço","",IF(AUTOEVENTO="manual",$A360,IF(ISERROR(MATCH($A360,$A$15:OFFSET($A360,-1,0),0)),MAX($M$15:OFFSET(M360,-1,0))+1,INDEX($M$15:OFFSET(M360,-1,0),MATCH($A360,$A$15:OFFSET($A360,-1,0),0)))))</f>
        <v/>
      </c>
      <c r="N360" s="211" t="str">
        <f ca="1">IF($D360&lt;&gt;"Serviço","",IF(AUTOEVENTO="Manual",IF($A360=0,"&lt;-- defina o número do agrupador",OFFSET(EVENTOS!$D$14,$A360,0)),OFFSET($F$15,$A360,0)))</f>
        <v/>
      </c>
      <c r="O360" s="212"/>
      <c r="Q360" s="212"/>
      <c r="R360" s="213"/>
      <c r="S360" s="213"/>
      <c r="T360" s="213"/>
      <c r="U360" s="213"/>
      <c r="V360" s="213"/>
      <c r="W360" s="213"/>
      <c r="X360" s="213"/>
      <c r="Y360" s="213"/>
      <c r="Z360" s="214"/>
      <c r="AA360" s="213"/>
      <c r="AB360" s="213"/>
      <c r="AC360" s="213"/>
      <c r="AD360" s="213"/>
      <c r="AE360" s="213"/>
      <c r="AF360" s="213"/>
      <c r="AG360" s="213"/>
      <c r="AH360" s="214"/>
      <c r="AJ360" s="631">
        <f ca="1">IF(AND($D360="Serviço",AJ$12&lt;&gt;0,$H360&gt;0,OR(AUTOEVENTO&lt;&gt;"manual",$M360&lt;&gt;1)),ROUND(OFFSET($P360,0,AJ$13),15-13*ORÇAMENTO!$AF$7)/$H360*OFFSET(ORÇAMENTO!$X$15,ROW(AJ360)-ROW(AJ$15),0),0)</f>
        <v>0</v>
      </c>
      <c r="AK360" s="632">
        <f ca="1">IF(AND($D360="Serviço",AK$12&lt;&gt;0,$H360&gt;0,OR(AUTOEVENTO&lt;&gt;"manual",$M360&lt;&gt;1)),ROUND(OFFSET($P360,0,AK$13),15-13*ORÇAMENTO!$AF$7)/$H360*OFFSET(ORÇAMENTO!$X$15,ROW(AK360)-ROW(AK$15),0),0)</f>
        <v>0</v>
      </c>
      <c r="AL360" s="632">
        <f ca="1">IF(AND($D360="Serviço",AL$12&lt;&gt;0,$H360&gt;0,OR(AUTOEVENTO&lt;&gt;"manual",$M360&lt;&gt;1)),ROUND(OFFSET($P360,0,AL$13),15-13*ORÇAMENTO!$AF$7)/$H360*OFFSET(ORÇAMENTO!$X$15,ROW(AL360)-ROW(AL$15),0),0)</f>
        <v>0</v>
      </c>
      <c r="AM360" s="632">
        <f ca="1">IF(AND($D360="Serviço",AM$12&lt;&gt;0,$H360&gt;0,OR(AUTOEVENTO&lt;&gt;"manual",$M360&lt;&gt;1)),ROUND(OFFSET($P360,0,AM$13),15-13*ORÇAMENTO!$AF$7)/$H360*OFFSET(ORÇAMENTO!$X$15,ROW(AM360)-ROW(AM$15),0),0)</f>
        <v>0</v>
      </c>
      <c r="AN360" s="632">
        <f ca="1">IF(AND($D360="Serviço",AN$12&lt;&gt;0,$H360&gt;0,OR(AUTOEVENTO&lt;&gt;"manual",$M360&lt;&gt;1)),ROUND(OFFSET($P360,0,AN$13),15-13*ORÇAMENTO!$AF$7)/$H360*OFFSET(ORÇAMENTO!$X$15,ROW(AN360)-ROW(AN$15),0),0)</f>
        <v>0</v>
      </c>
      <c r="AO360" s="632">
        <f ca="1">IF(AND($D360="Serviço",AO$12&lt;&gt;0,$H360&gt;0,OR(AUTOEVENTO&lt;&gt;"manual",$M360&lt;&gt;1)),ROUND(OFFSET($P360,0,AO$13),15-13*ORÇAMENTO!$AF$7)/$H360*OFFSET(ORÇAMENTO!$X$15,ROW(AO360)-ROW(AO$15),0),0)</f>
        <v>0</v>
      </c>
      <c r="AP360" s="632">
        <f ca="1">IF(AND($D360="Serviço",AP$12&lt;&gt;0,$H360&gt;0,OR(AUTOEVENTO&lt;&gt;"manual",$M360&lt;&gt;1)),ROUND(OFFSET($P360,0,AP$13),15-13*ORÇAMENTO!$AF$7)/$H360*OFFSET(ORÇAMENTO!$X$15,ROW(AP360)-ROW(AP$15),0),0)</f>
        <v>0</v>
      </c>
      <c r="AQ360" s="632">
        <f ca="1">IF(AND($D360="Serviço",AQ$12&lt;&gt;0,$H360&gt;0,OR(AUTOEVENTO&lt;&gt;"manual",$M360&lt;&gt;1)),ROUND(OFFSET($P360,0,AQ$13),15-13*ORÇAMENTO!$AF$7)/$H360*OFFSET(ORÇAMENTO!$X$15,ROW(AQ360)-ROW(AQ$15),0),0)</f>
        <v>0</v>
      </c>
      <c r="AR360" s="632">
        <f ca="1">IF(AND($D360="Serviço",AR$12&lt;&gt;0,$H360&gt;0,OR(AUTOEVENTO&lt;&gt;"manual",$M360&lt;&gt;1)),ROUND(OFFSET($P360,0,AR$13),15-13*ORÇAMENTO!$AF$7)/$H360*OFFSET(ORÇAMENTO!$X$15,ROW(AR360)-ROW(AR$15),0),0)</f>
        <v>0</v>
      </c>
      <c r="AS360" s="633">
        <f ca="1">IF(AND($D360="Serviço",AS$12&lt;&gt;0,$H360&gt;0,OR(AUTOEVENTO&lt;&gt;"manual",$M360&lt;&gt;1)),ROUND(OFFSET($P360,0,AS$13),15-13*ORÇAMENTO!$AF$7)/$H360*OFFSET(ORÇAMENTO!$X$15,ROW(AS360)-ROW(AS$15),0),0)</f>
        <v>0</v>
      </c>
      <c r="AT360" s="632">
        <f ca="1">IF(AND($D360="Serviço",AT$12&lt;&gt;0,$H360&gt;0,OR(AUTOEVENTO&lt;&gt;"manual",$M360&lt;&gt;1)),ROUND(OFFSET($P360,0,AT$13),15-13*ORÇAMENTO!$AF$7)/$H360*OFFSET(ORÇAMENTO!$X$15,ROW(AT360)-ROW(AT$15),0),0)</f>
        <v>0</v>
      </c>
      <c r="AU360" s="632">
        <f ca="1">IF(AND($D360="Serviço",AU$12&lt;&gt;0,$H360&gt;0,OR(AUTOEVENTO&lt;&gt;"manual",$M360&lt;&gt;1)),ROUND(OFFSET($P360,0,AU$13),15-13*ORÇAMENTO!$AF$7)/$H360*OFFSET(ORÇAMENTO!$X$15,ROW(AU360)-ROW(AU$15),0),0)</f>
        <v>0</v>
      </c>
      <c r="AV360" s="632">
        <f ca="1">IF(AND($D360="Serviço",AV$12&lt;&gt;0,$H360&gt;0,OR(AUTOEVENTO&lt;&gt;"manual",$M360&lt;&gt;1)),ROUND(OFFSET($P360,0,AV$13),15-13*ORÇAMENTO!$AF$7)/$H360*OFFSET(ORÇAMENTO!$X$15,ROW(AV360)-ROW(AV$15),0),0)</f>
        <v>0</v>
      </c>
      <c r="AW360" s="632">
        <f ca="1">IF(AND($D360="Serviço",AW$12&lt;&gt;0,$H360&gt;0,OR(AUTOEVENTO&lt;&gt;"manual",$M360&lt;&gt;1)),ROUND(OFFSET($P360,0,AW$13),15-13*ORÇAMENTO!$AF$7)/$H360*OFFSET(ORÇAMENTO!$X$15,ROW(AW360)-ROW(AW$15),0),0)</f>
        <v>0</v>
      </c>
      <c r="AX360" s="632">
        <f ca="1">IF(AND($D360="Serviço",AX$12&lt;&gt;0,$H360&gt;0,OR(AUTOEVENTO&lt;&gt;"manual",$M360&lt;&gt;1)),ROUND(OFFSET($P360,0,AX$13),15-13*ORÇAMENTO!$AF$7)/$H360*OFFSET(ORÇAMENTO!$X$15,ROW(AX360)-ROW(AX$15),0),0)</f>
        <v>0</v>
      </c>
      <c r="AY360" s="632">
        <f ca="1">IF(AND($D360="Serviço",AY$12&lt;&gt;0,$H360&gt;0,OR(AUTOEVENTO&lt;&gt;"manual",$M360&lt;&gt;1)),ROUND(OFFSET($P360,0,AY$13),15-13*ORÇAMENTO!$AF$7)/$H360*OFFSET(ORÇAMENTO!$X$15,ROW(AY360)-ROW(AY$15),0),0)</f>
        <v>0</v>
      </c>
      <c r="AZ360" s="632">
        <f ca="1">IF(AND($D360="Serviço",AZ$12&lt;&gt;0,$H360&gt;0,OR(AUTOEVENTO&lt;&gt;"manual",$M360&lt;&gt;1)),ROUND(OFFSET($P360,0,AZ$13),15-13*ORÇAMENTO!$AF$7)/$H360*OFFSET(ORÇAMENTO!$X$15,ROW(AZ360)-ROW(AZ$15),0),0)</f>
        <v>0</v>
      </c>
      <c r="BA360" s="633">
        <f ca="1">IF(AND($D360="Serviço",BA$12&lt;&gt;0,$H360&gt;0,OR(AUTOEVENTO&lt;&gt;"manual",$M360&lt;&gt;1)),ROUND(OFFSET($P360,0,BA$13),15-13*ORÇAMENTO!$AF$7)/$H360*OFFSET(ORÇAMENTO!$X$15,ROW(BA360)-ROW(BA$15),0),0)</f>
        <v>0</v>
      </c>
      <c r="BC360" s="215">
        <f ca="1">IF($D360&lt;&gt;"Serviço",0,IF(AND(AUTOEVENTO="Manual",$M360=1),0,IF(OFFSET(CRONOPLE!$F$14,$M360,BC$13)="",10^12,OFFSET(CRONOPLE!$F$14,$M360,BC$13))))</f>
        <v>0</v>
      </c>
      <c r="BD360" s="215">
        <f ca="1">IF($D360&lt;&gt;"Serviço",0,IF(AND(AUTOEVENTO="Manual",$M360=1),0,IF(OFFSET(CRONOPLE!$F$14,$M360,BD$13)="",10^12,OFFSET(CRONOPLE!$F$14,$M360,BD$13))))</f>
        <v>0</v>
      </c>
      <c r="BE360" s="215">
        <f ca="1">IF($D360&lt;&gt;"Serviço",0,IF(AND(AUTOEVENTO="Manual",$M360=1),0,IF(OFFSET(CRONOPLE!$F$14,$M360,BE$13)="",10^12,OFFSET(CRONOPLE!$F$14,$M360,BE$13))))</f>
        <v>0</v>
      </c>
      <c r="BF360" s="215">
        <f ca="1">IF($D360&lt;&gt;"Serviço",0,IF(AND(AUTOEVENTO="Manual",$M360=1),0,IF(OFFSET(CRONOPLE!$F$14,$M360,BF$13)="",10^12,OFFSET(CRONOPLE!$F$14,$M360,BF$13))))</f>
        <v>0</v>
      </c>
      <c r="BG360" s="215">
        <f ca="1">IF($D360&lt;&gt;"Serviço",0,IF(AND(AUTOEVENTO="Manual",$M360=1),0,IF(OFFSET(CRONOPLE!$F$14,$M360,BG$13)="",10^12,OFFSET(CRONOPLE!$F$14,$M360,BG$13))))</f>
        <v>0</v>
      </c>
      <c r="BH360" s="215">
        <f ca="1">IF($D360&lt;&gt;"Serviço",0,IF(AND(AUTOEVENTO="Manual",$M360=1),0,IF(OFFSET(CRONOPLE!$F$14,$M360,BH$13)="",10^12,OFFSET(CRONOPLE!$F$14,$M360,BH$13))))</f>
        <v>0</v>
      </c>
      <c r="BI360" s="215">
        <f ca="1">IF($D360&lt;&gt;"Serviço",0,IF(AND(AUTOEVENTO="Manual",$M360=1),0,IF(OFFSET(CRONOPLE!$F$14,$M360,BI$13)="",10^12,OFFSET(CRONOPLE!$F$14,$M360,BI$13))))</f>
        <v>0</v>
      </c>
      <c r="BJ360" s="215">
        <f ca="1">IF($D360&lt;&gt;"Serviço",0,IF(AND(AUTOEVENTO="Manual",$M360=1),0,IF(OFFSET(CRONOPLE!$F$14,$M360,BJ$13)="",10^12,OFFSET(CRONOPLE!$F$14,$M360,BJ$13))))</f>
        <v>0</v>
      </c>
      <c r="BK360" s="215">
        <f ca="1">IF($D360&lt;&gt;"Serviço",0,IF(AND(AUTOEVENTO="Manual",$M360=1),0,IF(OFFSET(CRONOPLE!$F$14,$M360,BK$13)="",10^12,OFFSET(CRONOPLE!$F$14,$M360,BK$13))))</f>
        <v>0</v>
      </c>
      <c r="BL360" s="215">
        <f ca="1">IF($D360&lt;&gt;"Serviço",0,IF(AND(AUTOEVENTO="Manual",$M360=1),0,IF(OFFSET(CRONOPLE!$F$14,$M360,BL$13)="",10^12,OFFSET(CRONOPLE!$F$14,$M360,BL$13))))</f>
        <v>0</v>
      </c>
      <c r="BM360" s="215">
        <f ca="1">IF($D360&lt;&gt;"Serviço",0,IF(AND(AUTOEVENTO="Manual",$M360=1),0,IF(OFFSET(CRONOPLE!$F$14,$M360,BM$13)="",10^12,OFFSET(CRONOPLE!$F$14,$M360,BM$13))))</f>
        <v>0</v>
      </c>
      <c r="BN360" s="215">
        <f ca="1">IF($D360&lt;&gt;"Serviço",0,IF(AND(AUTOEVENTO="Manual",$M360=1),0,IF(OFFSET(CRONOPLE!$F$14,$M360,BN$13)="",10^12,OFFSET(CRONOPLE!$F$14,$M360,BN$13))))</f>
        <v>0</v>
      </c>
      <c r="BO360" s="215">
        <f ca="1">IF($D360&lt;&gt;"Serviço",0,IF(AND(AUTOEVENTO="Manual",$M360=1),0,IF(OFFSET(CRONOPLE!$F$14,$M360,BO$13)="",10^12,OFFSET(CRONOPLE!$F$14,$M360,BO$13))))</f>
        <v>0</v>
      </c>
      <c r="BP360" s="215">
        <f ca="1">IF($D360&lt;&gt;"Serviço",0,IF(AND(AUTOEVENTO="Manual",$M360=1),0,IF(OFFSET(CRONOPLE!$F$14,$M360,BP$13)="",10^12,OFFSET(CRONOPLE!$F$14,$M360,BP$13))))</f>
        <v>0</v>
      </c>
      <c r="BQ360" s="215">
        <f ca="1">IF($D360&lt;&gt;"Serviço",0,IF(AND(AUTOEVENTO="Manual",$M360=1),0,IF(OFFSET(CRONOPLE!$F$14,$M360,BQ$13)="",10^12,OFFSET(CRONOPLE!$F$14,$M360,BQ$13))))</f>
        <v>0</v>
      </c>
      <c r="BR360" s="215">
        <f ca="1">IF($D360&lt;&gt;"Serviço",0,IF(AND(AUTOEVENTO="Manual",$M360=1),0,IF(OFFSET(CRONOPLE!$F$14,$M360,BR$13)="",10^12,OFFSET(CRONOPLE!$F$14,$M360,BR$13))))</f>
        <v>0</v>
      </c>
      <c r="BS360" s="215">
        <f ca="1">IF($D360&lt;&gt;"Serviço",0,IF(AND(AUTOEVENTO="Manual",$M360=1),0,IF(OFFSET(CRONOPLE!$F$14,$M360,BS$13)="",10^12,OFFSET(CRONOPLE!$F$14,$M360,BS$13))))</f>
        <v>0</v>
      </c>
      <c r="BT360" s="215">
        <f ca="1">IF($D360&lt;&gt;"Serviço",0,IF(AND(AUTOEVENTO="Manual",$M360=1),0,IF(OFFSET(CRONOPLE!$F$14,$M360,BT$13)="",10^12,OFFSET(CRONOPLE!$F$14,$M360,BT$13))))</f>
        <v>0</v>
      </c>
      <c r="BV360" s="216">
        <f ca="1">IF($D360&lt;&gt;"Serviço",0,IF(OR(AND(AUTOEVENTO="Manual",$M360=1),$M360&gt;(ROW(PLE.lastrow)-ROW(PLE.firstrow))),0,IF(OFFSET(PLE!$G$14,$M360,BV$13)="",10^12,OFFSET(PLE!$G$14,$M360,BV$13))))</f>
        <v>0</v>
      </c>
      <c r="BW360" s="216">
        <f ca="1">IF($D360&lt;&gt;"Serviço",0,IF(OR(AND(AUTOEVENTO="Manual",$M360=1),$M360&gt;(ROW(PLE.lastrow)-ROW(PLE.firstrow))),0,IF(OFFSET(PLE!$G$14,$M360,BW$13)="",10^12,OFFSET(PLE!$G$14,$M360,BW$13))))</f>
        <v>0</v>
      </c>
      <c r="BX360" s="216">
        <f ca="1">IF($D360&lt;&gt;"Serviço",0,IF(OR(AND(AUTOEVENTO="Manual",$M360=1),$M360&gt;(ROW(PLE.lastrow)-ROW(PLE.firstrow))),0,IF(OFFSET(PLE!$G$14,$M360,BX$13)="",10^12,OFFSET(PLE!$G$14,$M360,BX$13))))</f>
        <v>0</v>
      </c>
      <c r="BY360" s="216">
        <f ca="1">IF($D360&lt;&gt;"Serviço",0,IF(OR(AND(AUTOEVENTO="Manual",$M360=1),$M360&gt;(ROW(PLE.lastrow)-ROW(PLE.firstrow))),0,IF(OFFSET(PLE!$G$14,$M360,BY$13)="",10^12,OFFSET(PLE!$G$14,$M360,BY$13))))</f>
        <v>0</v>
      </c>
      <c r="BZ360" s="216">
        <f ca="1">IF($D360&lt;&gt;"Serviço",0,IF(OR(AND(AUTOEVENTO="Manual",$M360=1),$M360&gt;(ROW(PLE.lastrow)-ROW(PLE.firstrow))),0,IF(OFFSET(PLE!$G$14,$M360,BZ$13)="",10^12,OFFSET(PLE!$G$14,$M360,BZ$13))))</f>
        <v>0</v>
      </c>
      <c r="CA360" s="216">
        <f ca="1">IF($D360&lt;&gt;"Serviço",0,IF(OR(AND(AUTOEVENTO="Manual",$M360=1),$M360&gt;(ROW(PLE.lastrow)-ROW(PLE.firstrow))),0,IF(OFFSET(PLE!$G$14,$M360,CA$13)="",10^12,OFFSET(PLE!$G$14,$M360,CA$13))))</f>
        <v>0</v>
      </c>
      <c r="CB360" s="216">
        <f ca="1">IF($D360&lt;&gt;"Serviço",0,IF(OR(AND(AUTOEVENTO="Manual",$M360=1),$M360&gt;(ROW(PLE.lastrow)-ROW(PLE.firstrow))),0,IF(OFFSET(PLE!$G$14,$M360,CB$13)="",10^12,OFFSET(PLE!$G$14,$M360,CB$13))))</f>
        <v>0</v>
      </c>
      <c r="CC360" s="216">
        <f ca="1">IF($D360&lt;&gt;"Serviço",0,IF(OR(AND(AUTOEVENTO="Manual",$M360=1),$M360&gt;(ROW(PLE.lastrow)-ROW(PLE.firstrow))),0,IF(OFFSET(PLE!$G$14,$M360,CC$13)="",10^12,OFFSET(PLE!$G$14,$M360,CC$13))))</f>
        <v>0</v>
      </c>
      <c r="CD360" s="216">
        <f ca="1">IF($D360&lt;&gt;"Serviço",0,IF(OR(AND(AUTOEVENTO="Manual",$M360=1),$M360&gt;(ROW(PLE.lastrow)-ROW(PLE.firstrow))),0,IF(OFFSET(PLE!$G$14,$M360,CD$13)="",10^12,OFFSET(PLE!$G$14,$M360,CD$13))))</f>
        <v>0</v>
      </c>
      <c r="CE360" s="216">
        <f ca="1">IF($D360&lt;&gt;"Serviço",0,IF(OR(AND(AUTOEVENTO="Manual",$M360=1),$M360&gt;(ROW(PLE.lastrow)-ROW(PLE.firstrow))),0,IF(OFFSET(PLE!$G$14,$M360,CE$13)="",10^12,OFFSET(PLE!$G$14,$M360,CE$13))))</f>
        <v>0</v>
      </c>
      <c r="CF360" s="216">
        <f ca="1">IF($D360&lt;&gt;"Serviço",0,IF(OR(AND(AUTOEVENTO="Manual",$M360=1),$M360&gt;(ROW(PLE.lastrow)-ROW(PLE.firstrow))),0,IF(OFFSET(PLE!$G$14,$M360,CF$13)="",10^12,OFFSET(PLE!$G$14,$M360,CF$13))))</f>
        <v>0</v>
      </c>
      <c r="CG360" s="216">
        <f ca="1">IF($D360&lt;&gt;"Serviço",0,IF(OR(AND(AUTOEVENTO="Manual",$M360=1),$M360&gt;(ROW(PLE.lastrow)-ROW(PLE.firstrow))),0,IF(OFFSET(PLE!$G$14,$M360,CG$13)="",10^12,OFFSET(PLE!$G$14,$M360,CG$13))))</f>
        <v>0</v>
      </c>
      <c r="CH360" s="216">
        <f ca="1">IF($D360&lt;&gt;"Serviço",0,IF(OR(AND(AUTOEVENTO="Manual",$M360=1),$M360&gt;(ROW(PLE.lastrow)-ROW(PLE.firstrow))),0,IF(OFFSET(PLE!$G$14,$M360,CH$13)="",10^12,OFFSET(PLE!$G$14,$M360,CH$13))))</f>
        <v>0</v>
      </c>
      <c r="CI360" s="216">
        <f ca="1">IF($D360&lt;&gt;"Serviço",0,IF(OR(AND(AUTOEVENTO="Manual",$M360=1),$M360&gt;(ROW(PLE.lastrow)-ROW(PLE.firstrow))),0,IF(OFFSET(PLE!$G$14,$M360,CI$13)="",10^12,OFFSET(PLE!$G$14,$M360,CI$13))))</f>
        <v>0</v>
      </c>
      <c r="CJ360" s="216">
        <f ca="1">IF($D360&lt;&gt;"Serviço",0,IF(OR(AND(AUTOEVENTO="Manual",$M360=1),$M360&gt;(ROW(PLE.lastrow)-ROW(PLE.firstrow))),0,IF(OFFSET(PLE!$G$14,$M360,CJ$13)="",10^12,OFFSET(PLE!$G$14,$M360,CJ$13))))</f>
        <v>0</v>
      </c>
      <c r="CK360" s="216">
        <f ca="1">IF($D360&lt;&gt;"Serviço",0,IF(OR(AND(AUTOEVENTO="Manual",$M360=1),$M360&gt;(ROW(PLE.lastrow)-ROW(PLE.firstrow))),0,IF(OFFSET(PLE!$G$14,$M360,CK$13)="",10^12,OFFSET(PLE!$G$14,$M360,CK$13))))</f>
        <v>0</v>
      </c>
      <c r="CL360" s="216">
        <f ca="1">IF($D360&lt;&gt;"Serviço",0,IF(OR(AND(AUTOEVENTO="Manual",$M360=1),$M360&gt;(ROW(PLE.lastrow)-ROW(PLE.firstrow))),0,IF(OFFSET(PLE!$G$14,$M360,CL$13)="",10^12,OFFSET(PLE!$G$14,$M360,CL$13))))</f>
        <v>0</v>
      </c>
      <c r="CM360" s="216">
        <f ca="1">IF($D360&lt;&gt;"Serviço",0,IF(OR(AND(AUTOEVENTO="Manual",$M360=1),$M360&gt;(ROW(PLE.lastrow)-ROW(PLE.firstrow))),0,IF(OFFSET(PLE!$G$14,$M360,CM$13)="",10^12,OFFSET(PLE!$G$14,$M360,CM$13))))</f>
        <v>0</v>
      </c>
    </row>
    <row r="361" spans="1:91" ht="13.2" x14ac:dyDescent="0.25">
      <c r="A361" s="9">
        <f t="shared" ca="1" si="14"/>
        <v>0</v>
      </c>
      <c r="B361" s="9" t="str">
        <f ca="1">OFFSET(ORÇAMENTO!C$15,ROW(B361)-ROW(B$15),0)</f>
        <v>S</v>
      </c>
      <c r="C361" s="9" t="str">
        <f ca="1">OFFSET(ORÇAMENTO!L$15,ROW(C361)-ROW(C$15),0)</f>
        <v/>
      </c>
      <c r="D361" s="145" t="str">
        <f ca="1">OFFSET(ORÇAMENTO!N$15,ROW(D361)-ROW(D$15),0)</f>
        <v>Serviço</v>
      </c>
      <c r="E361" s="205" t="str">
        <f ca="1">OFFSET(ORÇAMENTO!O$15,ROW(E361)-ROW(E$15),0)</f>
        <v>-</v>
      </c>
      <c r="F361" s="206" t="str">
        <f ca="1">OFFSET(ORÇAMENTO!R$15,ROW(F361)-ROW(F$15),0)</f>
        <v>(abra o arquivo 'Referência 05-2024.xls)</v>
      </c>
      <c r="G361" s="207" t="str">
        <f ca="1">IF($D361&lt;&gt;"Serviço","",OFFSET(ORÇAMENTO!S$15,ROW(G361)-ROW(G$15),0))</f>
        <v>-</v>
      </c>
      <c r="H361" s="151">
        <f ca="1">IF($D361&lt;&gt;"Serviço",0,IF(ACOMPANHAMENTO="BM",ROUND(OFFSET(ORÇAMENTO!AJ$15,ROW(H361)-ROW(H$15),0),15-13*ORÇAMENTO!$AF$7),SUMPRODUCT(($Q$12:$AI$12&lt;&gt;"")*ROUND($Q361:$AI361,15-13*ORÇAMENTO!$AF$7))))</f>
        <v>1</v>
      </c>
      <c r="I361" s="650"/>
      <c r="K361" s="208"/>
      <c r="L361" s="209" t="s">
        <v>257</v>
      </c>
      <c r="M361" s="210">
        <f ca="1">IF($D361&lt;&gt;"Serviço","",IF(AUTOEVENTO="manual",$A361,IF(ISERROR(MATCH($A361,$A$15:OFFSET($A361,-1,0),0)),MAX($M$15:OFFSET(M361,-1,0))+1,INDEX($M$15:OFFSET(M361,-1,0),MATCH($A361,$A$15:OFFSET($A361,-1,0),0)))))</f>
        <v>0</v>
      </c>
      <c r="N361" s="211" t="str">
        <f ca="1">IF($D361&lt;&gt;"Serviço","",IF(AUTOEVENTO="Manual",IF($A361=0,"&lt;-- defina o número do agrupador",OFFSET(EVENTOS!$D$14,$A361,0)),OFFSET($F$15,$A361,0)))</f>
        <v>&lt;-- defina o número do agrupador</v>
      </c>
      <c r="O361" s="212"/>
      <c r="Q361" s="212"/>
      <c r="R361" s="213"/>
      <c r="S361" s="213"/>
      <c r="T361" s="213"/>
      <c r="U361" s="213"/>
      <c r="V361" s="213"/>
      <c r="W361" s="213"/>
      <c r="X361" s="213"/>
      <c r="Y361" s="213"/>
      <c r="Z361" s="214"/>
      <c r="AA361" s="213"/>
      <c r="AB361" s="213"/>
      <c r="AC361" s="213"/>
      <c r="AD361" s="213"/>
      <c r="AE361" s="213"/>
      <c r="AF361" s="213"/>
      <c r="AG361" s="213"/>
      <c r="AH361" s="214"/>
      <c r="AJ361" s="631">
        <f ca="1">IF(AND($D361="Serviço",AJ$12&lt;&gt;0,$H361&gt;0,OR(AUTOEVENTO&lt;&gt;"manual",$M361&lt;&gt;1)),ROUND(OFFSET($P361,0,AJ$13),15-13*ORÇAMENTO!$AF$7)/$H361*OFFSET(ORÇAMENTO!$X$15,ROW(AJ361)-ROW(AJ$15),0),0)</f>
        <v>0</v>
      </c>
      <c r="AK361" s="632">
        <f ca="1">IF(AND($D361="Serviço",AK$12&lt;&gt;0,$H361&gt;0,OR(AUTOEVENTO&lt;&gt;"manual",$M361&lt;&gt;1)),ROUND(OFFSET($P361,0,AK$13),15-13*ORÇAMENTO!$AF$7)/$H361*OFFSET(ORÇAMENTO!$X$15,ROW(AK361)-ROW(AK$15),0),0)</f>
        <v>0</v>
      </c>
      <c r="AL361" s="632">
        <f ca="1">IF(AND($D361="Serviço",AL$12&lt;&gt;0,$H361&gt;0,OR(AUTOEVENTO&lt;&gt;"manual",$M361&lt;&gt;1)),ROUND(OFFSET($P361,0,AL$13),15-13*ORÇAMENTO!$AF$7)/$H361*OFFSET(ORÇAMENTO!$X$15,ROW(AL361)-ROW(AL$15),0),0)</f>
        <v>0</v>
      </c>
      <c r="AM361" s="632">
        <f ca="1">IF(AND($D361="Serviço",AM$12&lt;&gt;0,$H361&gt;0,OR(AUTOEVENTO&lt;&gt;"manual",$M361&lt;&gt;1)),ROUND(OFFSET($P361,0,AM$13),15-13*ORÇAMENTO!$AF$7)/$H361*OFFSET(ORÇAMENTO!$X$15,ROW(AM361)-ROW(AM$15),0),0)</f>
        <v>0</v>
      </c>
      <c r="AN361" s="632">
        <f ca="1">IF(AND($D361="Serviço",AN$12&lt;&gt;0,$H361&gt;0,OR(AUTOEVENTO&lt;&gt;"manual",$M361&lt;&gt;1)),ROUND(OFFSET($P361,0,AN$13),15-13*ORÇAMENTO!$AF$7)/$H361*OFFSET(ORÇAMENTO!$X$15,ROW(AN361)-ROW(AN$15),0),0)</f>
        <v>0</v>
      </c>
      <c r="AO361" s="632">
        <f ca="1">IF(AND($D361="Serviço",AO$12&lt;&gt;0,$H361&gt;0,OR(AUTOEVENTO&lt;&gt;"manual",$M361&lt;&gt;1)),ROUND(OFFSET($P361,0,AO$13),15-13*ORÇAMENTO!$AF$7)/$H361*OFFSET(ORÇAMENTO!$X$15,ROW(AO361)-ROW(AO$15),0),0)</f>
        <v>0</v>
      </c>
      <c r="AP361" s="632">
        <f ca="1">IF(AND($D361="Serviço",AP$12&lt;&gt;0,$H361&gt;0,OR(AUTOEVENTO&lt;&gt;"manual",$M361&lt;&gt;1)),ROUND(OFFSET($P361,0,AP$13),15-13*ORÇAMENTO!$AF$7)/$H361*OFFSET(ORÇAMENTO!$X$15,ROW(AP361)-ROW(AP$15),0),0)</f>
        <v>0</v>
      </c>
      <c r="AQ361" s="632">
        <f ca="1">IF(AND($D361="Serviço",AQ$12&lt;&gt;0,$H361&gt;0,OR(AUTOEVENTO&lt;&gt;"manual",$M361&lt;&gt;1)),ROUND(OFFSET($P361,0,AQ$13),15-13*ORÇAMENTO!$AF$7)/$H361*OFFSET(ORÇAMENTO!$X$15,ROW(AQ361)-ROW(AQ$15),0),0)</f>
        <v>0</v>
      </c>
      <c r="AR361" s="632">
        <f ca="1">IF(AND($D361="Serviço",AR$12&lt;&gt;0,$H361&gt;0,OR(AUTOEVENTO&lt;&gt;"manual",$M361&lt;&gt;1)),ROUND(OFFSET($P361,0,AR$13),15-13*ORÇAMENTO!$AF$7)/$H361*OFFSET(ORÇAMENTO!$X$15,ROW(AR361)-ROW(AR$15),0),0)</f>
        <v>0</v>
      </c>
      <c r="AS361" s="633">
        <f ca="1">IF(AND($D361="Serviço",AS$12&lt;&gt;0,$H361&gt;0,OR(AUTOEVENTO&lt;&gt;"manual",$M361&lt;&gt;1)),ROUND(OFFSET($P361,0,AS$13),15-13*ORÇAMENTO!$AF$7)/$H361*OFFSET(ORÇAMENTO!$X$15,ROW(AS361)-ROW(AS$15),0),0)</f>
        <v>0</v>
      </c>
      <c r="AT361" s="632">
        <f ca="1">IF(AND($D361="Serviço",AT$12&lt;&gt;0,$H361&gt;0,OR(AUTOEVENTO&lt;&gt;"manual",$M361&lt;&gt;1)),ROUND(OFFSET($P361,0,AT$13),15-13*ORÇAMENTO!$AF$7)/$H361*OFFSET(ORÇAMENTO!$X$15,ROW(AT361)-ROW(AT$15),0),0)</f>
        <v>0</v>
      </c>
      <c r="AU361" s="632">
        <f ca="1">IF(AND($D361="Serviço",AU$12&lt;&gt;0,$H361&gt;0,OR(AUTOEVENTO&lt;&gt;"manual",$M361&lt;&gt;1)),ROUND(OFFSET($P361,0,AU$13),15-13*ORÇAMENTO!$AF$7)/$H361*OFFSET(ORÇAMENTO!$X$15,ROW(AU361)-ROW(AU$15),0),0)</f>
        <v>0</v>
      </c>
      <c r="AV361" s="632">
        <f ca="1">IF(AND($D361="Serviço",AV$12&lt;&gt;0,$H361&gt;0,OR(AUTOEVENTO&lt;&gt;"manual",$M361&lt;&gt;1)),ROUND(OFFSET($P361,0,AV$13),15-13*ORÇAMENTO!$AF$7)/$H361*OFFSET(ORÇAMENTO!$X$15,ROW(AV361)-ROW(AV$15),0),0)</f>
        <v>0</v>
      </c>
      <c r="AW361" s="632">
        <f ca="1">IF(AND($D361="Serviço",AW$12&lt;&gt;0,$H361&gt;0,OR(AUTOEVENTO&lt;&gt;"manual",$M361&lt;&gt;1)),ROUND(OFFSET($P361,0,AW$13),15-13*ORÇAMENTO!$AF$7)/$H361*OFFSET(ORÇAMENTO!$X$15,ROW(AW361)-ROW(AW$15),0),0)</f>
        <v>0</v>
      </c>
      <c r="AX361" s="632">
        <f ca="1">IF(AND($D361="Serviço",AX$12&lt;&gt;0,$H361&gt;0,OR(AUTOEVENTO&lt;&gt;"manual",$M361&lt;&gt;1)),ROUND(OFFSET($P361,0,AX$13),15-13*ORÇAMENTO!$AF$7)/$H361*OFFSET(ORÇAMENTO!$X$15,ROW(AX361)-ROW(AX$15),0),0)</f>
        <v>0</v>
      </c>
      <c r="AY361" s="632">
        <f ca="1">IF(AND($D361="Serviço",AY$12&lt;&gt;0,$H361&gt;0,OR(AUTOEVENTO&lt;&gt;"manual",$M361&lt;&gt;1)),ROUND(OFFSET($P361,0,AY$13),15-13*ORÇAMENTO!$AF$7)/$H361*OFFSET(ORÇAMENTO!$X$15,ROW(AY361)-ROW(AY$15),0),0)</f>
        <v>0</v>
      </c>
      <c r="AZ361" s="632">
        <f ca="1">IF(AND($D361="Serviço",AZ$12&lt;&gt;0,$H361&gt;0,OR(AUTOEVENTO&lt;&gt;"manual",$M361&lt;&gt;1)),ROUND(OFFSET($P361,0,AZ$13),15-13*ORÇAMENTO!$AF$7)/$H361*OFFSET(ORÇAMENTO!$X$15,ROW(AZ361)-ROW(AZ$15),0),0)</f>
        <v>0</v>
      </c>
      <c r="BA361" s="633">
        <f ca="1">IF(AND($D361="Serviço",BA$12&lt;&gt;0,$H361&gt;0,OR(AUTOEVENTO&lt;&gt;"manual",$M361&lt;&gt;1)),ROUND(OFFSET($P361,0,BA$13),15-13*ORÇAMENTO!$AF$7)/$H361*OFFSET(ORÇAMENTO!$X$15,ROW(BA361)-ROW(BA$15),0),0)</f>
        <v>0</v>
      </c>
      <c r="BC361" s="215">
        <f ca="1">IF($D361&lt;&gt;"Serviço",0,IF(AND(AUTOEVENTO="Manual",$M361=1),0,IF(OFFSET(CRONOPLE!$F$14,$M361,BC$13)="",10^12,OFFSET(CRONOPLE!$F$14,$M361,BC$13))))</f>
        <v>1000000000000</v>
      </c>
      <c r="BD361" s="215">
        <f ca="1">IF($D361&lt;&gt;"Serviço",0,IF(AND(AUTOEVENTO="Manual",$M361=1),0,IF(OFFSET(CRONOPLE!$F$14,$M361,BD$13)="",10^12,OFFSET(CRONOPLE!$F$14,$M361,BD$13))))</f>
        <v>1000000000000</v>
      </c>
      <c r="BE361" s="215">
        <f ca="1">IF($D361&lt;&gt;"Serviço",0,IF(AND(AUTOEVENTO="Manual",$M361=1),0,IF(OFFSET(CRONOPLE!$F$14,$M361,BE$13)="",10^12,OFFSET(CRONOPLE!$F$14,$M361,BE$13))))</f>
        <v>1000000000000</v>
      </c>
      <c r="BF361" s="215">
        <f ca="1">IF($D361&lt;&gt;"Serviço",0,IF(AND(AUTOEVENTO="Manual",$M361=1),0,IF(OFFSET(CRONOPLE!$F$14,$M361,BF$13)="",10^12,OFFSET(CRONOPLE!$F$14,$M361,BF$13))))</f>
        <v>1000000000000</v>
      </c>
      <c r="BG361" s="215">
        <f ca="1">IF($D361&lt;&gt;"Serviço",0,IF(AND(AUTOEVENTO="Manual",$M361=1),0,IF(OFFSET(CRONOPLE!$F$14,$M361,BG$13)="",10^12,OFFSET(CRONOPLE!$F$14,$M361,BG$13))))</f>
        <v>1000000000000</v>
      </c>
      <c r="BH361" s="215">
        <f ca="1">IF($D361&lt;&gt;"Serviço",0,IF(AND(AUTOEVENTO="Manual",$M361=1),0,IF(OFFSET(CRONOPLE!$F$14,$M361,BH$13)="",10^12,OFFSET(CRONOPLE!$F$14,$M361,BH$13))))</f>
        <v>1000000000000</v>
      </c>
      <c r="BI361" s="215">
        <f ca="1">IF($D361&lt;&gt;"Serviço",0,IF(AND(AUTOEVENTO="Manual",$M361=1),0,IF(OFFSET(CRONOPLE!$F$14,$M361,BI$13)="",10^12,OFFSET(CRONOPLE!$F$14,$M361,BI$13))))</f>
        <v>1000000000000</v>
      </c>
      <c r="BJ361" s="215">
        <f ca="1">IF($D361&lt;&gt;"Serviço",0,IF(AND(AUTOEVENTO="Manual",$M361=1),0,IF(OFFSET(CRONOPLE!$F$14,$M361,BJ$13)="",10^12,OFFSET(CRONOPLE!$F$14,$M361,BJ$13))))</f>
        <v>1000000000000</v>
      </c>
      <c r="BK361" s="215">
        <f ca="1">IF($D361&lt;&gt;"Serviço",0,IF(AND(AUTOEVENTO="Manual",$M361=1),0,IF(OFFSET(CRONOPLE!$F$14,$M361,BK$13)="",10^12,OFFSET(CRONOPLE!$F$14,$M361,BK$13))))</f>
        <v>1000000000000</v>
      </c>
      <c r="BL361" s="215">
        <f ca="1">IF($D361&lt;&gt;"Serviço",0,IF(AND(AUTOEVENTO="Manual",$M361=1),0,IF(OFFSET(CRONOPLE!$F$14,$M361,BL$13)="",10^12,OFFSET(CRONOPLE!$F$14,$M361,BL$13))))</f>
        <v>1000000000000</v>
      </c>
      <c r="BM361" s="215">
        <f ca="1">IF($D361&lt;&gt;"Serviço",0,IF(AND(AUTOEVENTO="Manual",$M361=1),0,IF(OFFSET(CRONOPLE!$F$14,$M361,BM$13)="",10^12,OFFSET(CRONOPLE!$F$14,$M361,BM$13))))</f>
        <v>1000000000000</v>
      </c>
      <c r="BN361" s="215">
        <f ca="1">IF($D361&lt;&gt;"Serviço",0,IF(AND(AUTOEVENTO="Manual",$M361=1),0,IF(OFFSET(CRONOPLE!$F$14,$M361,BN$13)="",10^12,OFFSET(CRONOPLE!$F$14,$M361,BN$13))))</f>
        <v>1000000000000</v>
      </c>
      <c r="BO361" s="215">
        <f ca="1">IF($D361&lt;&gt;"Serviço",0,IF(AND(AUTOEVENTO="Manual",$M361=1),0,IF(OFFSET(CRONOPLE!$F$14,$M361,BO$13)="",10^12,OFFSET(CRONOPLE!$F$14,$M361,BO$13))))</f>
        <v>1000000000000</v>
      </c>
      <c r="BP361" s="215">
        <f ca="1">IF($D361&lt;&gt;"Serviço",0,IF(AND(AUTOEVENTO="Manual",$M361=1),0,IF(OFFSET(CRONOPLE!$F$14,$M361,BP$13)="",10^12,OFFSET(CRONOPLE!$F$14,$M361,BP$13))))</f>
        <v>1000000000000</v>
      </c>
      <c r="BQ361" s="215">
        <f ca="1">IF($D361&lt;&gt;"Serviço",0,IF(AND(AUTOEVENTO="Manual",$M361=1),0,IF(OFFSET(CRONOPLE!$F$14,$M361,BQ$13)="",10^12,OFFSET(CRONOPLE!$F$14,$M361,BQ$13))))</f>
        <v>1000000000000</v>
      </c>
      <c r="BR361" s="215">
        <f ca="1">IF($D361&lt;&gt;"Serviço",0,IF(AND(AUTOEVENTO="Manual",$M361=1),0,IF(OFFSET(CRONOPLE!$F$14,$M361,BR$13)="",10^12,OFFSET(CRONOPLE!$F$14,$M361,BR$13))))</f>
        <v>1000000000000</v>
      </c>
      <c r="BS361" s="215">
        <f ca="1">IF($D361&lt;&gt;"Serviço",0,IF(AND(AUTOEVENTO="Manual",$M361=1),0,IF(OFFSET(CRONOPLE!$F$14,$M361,BS$13)="",10^12,OFFSET(CRONOPLE!$F$14,$M361,BS$13))))</f>
        <v>1000000000000</v>
      </c>
      <c r="BT361" s="215">
        <f ca="1">IF($D361&lt;&gt;"Serviço",0,IF(AND(AUTOEVENTO="Manual",$M361=1),0,IF(OFFSET(CRONOPLE!$F$14,$M361,BT$13)="",10^12,OFFSET(CRONOPLE!$F$14,$M361,BT$13))))</f>
        <v>1000000000000</v>
      </c>
      <c r="BV361" s="216">
        <f ca="1">IF($D361&lt;&gt;"Serviço",0,IF(OR(AND(AUTOEVENTO="Manual",$M361=1),$M361&gt;(ROW(PLE.lastrow)-ROW(PLE.firstrow))),0,IF(OFFSET(PLE!$G$14,$M361,BV$13)="",10^12,OFFSET(PLE!$G$14,$M361,BV$13))))</f>
        <v>1000000000000</v>
      </c>
      <c r="BW361" s="216">
        <f ca="1">IF($D361&lt;&gt;"Serviço",0,IF(OR(AND(AUTOEVENTO="Manual",$M361=1),$M361&gt;(ROW(PLE.lastrow)-ROW(PLE.firstrow))),0,IF(OFFSET(PLE!$G$14,$M361,BW$13)="",10^12,OFFSET(PLE!$G$14,$M361,BW$13))))</f>
        <v>1000000000000</v>
      </c>
      <c r="BX361" s="216">
        <f ca="1">IF($D361&lt;&gt;"Serviço",0,IF(OR(AND(AUTOEVENTO="Manual",$M361=1),$M361&gt;(ROW(PLE.lastrow)-ROW(PLE.firstrow))),0,IF(OFFSET(PLE!$G$14,$M361,BX$13)="",10^12,OFFSET(PLE!$G$14,$M361,BX$13))))</f>
        <v>1000000000000</v>
      </c>
      <c r="BY361" s="216">
        <f ca="1">IF($D361&lt;&gt;"Serviço",0,IF(OR(AND(AUTOEVENTO="Manual",$M361=1),$M361&gt;(ROW(PLE.lastrow)-ROW(PLE.firstrow))),0,IF(OFFSET(PLE!$G$14,$M361,BY$13)="",10^12,OFFSET(PLE!$G$14,$M361,BY$13))))</f>
        <v>1000000000000</v>
      </c>
      <c r="BZ361" s="216">
        <f ca="1">IF($D361&lt;&gt;"Serviço",0,IF(OR(AND(AUTOEVENTO="Manual",$M361=1),$M361&gt;(ROW(PLE.lastrow)-ROW(PLE.firstrow))),0,IF(OFFSET(PLE!$G$14,$M361,BZ$13)="",10^12,OFFSET(PLE!$G$14,$M361,BZ$13))))</f>
        <v>1000000000000</v>
      </c>
      <c r="CA361" s="216">
        <f ca="1">IF($D361&lt;&gt;"Serviço",0,IF(OR(AND(AUTOEVENTO="Manual",$M361=1),$M361&gt;(ROW(PLE.lastrow)-ROW(PLE.firstrow))),0,IF(OFFSET(PLE!$G$14,$M361,CA$13)="",10^12,OFFSET(PLE!$G$14,$M361,CA$13))))</f>
        <v>1000000000000</v>
      </c>
      <c r="CB361" s="216">
        <f ca="1">IF($D361&lt;&gt;"Serviço",0,IF(OR(AND(AUTOEVENTO="Manual",$M361=1),$M361&gt;(ROW(PLE.lastrow)-ROW(PLE.firstrow))),0,IF(OFFSET(PLE!$G$14,$M361,CB$13)="",10^12,OFFSET(PLE!$G$14,$M361,CB$13))))</f>
        <v>1000000000000</v>
      </c>
      <c r="CC361" s="216">
        <f ca="1">IF($D361&lt;&gt;"Serviço",0,IF(OR(AND(AUTOEVENTO="Manual",$M361=1),$M361&gt;(ROW(PLE.lastrow)-ROW(PLE.firstrow))),0,IF(OFFSET(PLE!$G$14,$M361,CC$13)="",10^12,OFFSET(PLE!$G$14,$M361,CC$13))))</f>
        <v>1000000000000</v>
      </c>
      <c r="CD361" s="216">
        <f ca="1">IF($D361&lt;&gt;"Serviço",0,IF(OR(AND(AUTOEVENTO="Manual",$M361=1),$M361&gt;(ROW(PLE.lastrow)-ROW(PLE.firstrow))),0,IF(OFFSET(PLE!$G$14,$M361,CD$13)="",10^12,OFFSET(PLE!$G$14,$M361,CD$13))))</f>
        <v>1000000000000</v>
      </c>
      <c r="CE361" s="216">
        <f ca="1">IF($D361&lt;&gt;"Serviço",0,IF(OR(AND(AUTOEVENTO="Manual",$M361=1),$M361&gt;(ROW(PLE.lastrow)-ROW(PLE.firstrow))),0,IF(OFFSET(PLE!$G$14,$M361,CE$13)="",10^12,OFFSET(PLE!$G$14,$M361,CE$13))))</f>
        <v>1000000000000</v>
      </c>
      <c r="CF361" s="216">
        <f ca="1">IF($D361&lt;&gt;"Serviço",0,IF(OR(AND(AUTOEVENTO="Manual",$M361=1),$M361&gt;(ROW(PLE.lastrow)-ROW(PLE.firstrow))),0,IF(OFFSET(PLE!$G$14,$M361,CF$13)="",10^12,OFFSET(PLE!$G$14,$M361,CF$13))))</f>
        <v>1000000000000</v>
      </c>
      <c r="CG361" s="216">
        <f ca="1">IF($D361&lt;&gt;"Serviço",0,IF(OR(AND(AUTOEVENTO="Manual",$M361=1),$M361&gt;(ROW(PLE.lastrow)-ROW(PLE.firstrow))),0,IF(OFFSET(PLE!$G$14,$M361,CG$13)="",10^12,OFFSET(PLE!$G$14,$M361,CG$13))))</f>
        <v>1000000000000</v>
      </c>
      <c r="CH361" s="216">
        <f ca="1">IF($D361&lt;&gt;"Serviço",0,IF(OR(AND(AUTOEVENTO="Manual",$M361=1),$M361&gt;(ROW(PLE.lastrow)-ROW(PLE.firstrow))),0,IF(OFFSET(PLE!$G$14,$M361,CH$13)="",10^12,OFFSET(PLE!$G$14,$M361,CH$13))))</f>
        <v>1000000000000</v>
      </c>
      <c r="CI361" s="216">
        <f ca="1">IF($D361&lt;&gt;"Serviço",0,IF(OR(AND(AUTOEVENTO="Manual",$M361=1),$M361&gt;(ROW(PLE.lastrow)-ROW(PLE.firstrow))),0,IF(OFFSET(PLE!$G$14,$M361,CI$13)="",10^12,OFFSET(PLE!$G$14,$M361,CI$13))))</f>
        <v>1000000000000</v>
      </c>
      <c r="CJ361" s="216">
        <f ca="1">IF($D361&lt;&gt;"Serviço",0,IF(OR(AND(AUTOEVENTO="Manual",$M361=1),$M361&gt;(ROW(PLE.lastrow)-ROW(PLE.firstrow))),0,IF(OFFSET(PLE!$G$14,$M361,CJ$13)="",10^12,OFFSET(PLE!$G$14,$M361,CJ$13))))</f>
        <v>1000000000000</v>
      </c>
      <c r="CK361" s="216">
        <f ca="1">IF($D361&lt;&gt;"Serviço",0,IF(OR(AND(AUTOEVENTO="Manual",$M361=1),$M361&gt;(ROW(PLE.lastrow)-ROW(PLE.firstrow))),0,IF(OFFSET(PLE!$G$14,$M361,CK$13)="",10^12,OFFSET(PLE!$G$14,$M361,CK$13))))</f>
        <v>1000000000000</v>
      </c>
      <c r="CL361" s="216">
        <f ca="1">IF($D361&lt;&gt;"Serviço",0,IF(OR(AND(AUTOEVENTO="Manual",$M361=1),$M361&gt;(ROW(PLE.lastrow)-ROW(PLE.firstrow))),0,IF(OFFSET(PLE!$G$14,$M361,CL$13)="",10^12,OFFSET(PLE!$G$14,$M361,CL$13))))</f>
        <v>1000000000000</v>
      </c>
      <c r="CM361" s="216">
        <f ca="1">IF($D361&lt;&gt;"Serviço",0,IF(OR(AND(AUTOEVENTO="Manual",$M361=1),$M361&gt;(ROW(PLE.lastrow)-ROW(PLE.firstrow))),0,IF(OFFSET(PLE!$G$14,$M361,CM$13)="",10^12,OFFSET(PLE!$G$14,$M361,CM$13))))</f>
        <v>1000000000000</v>
      </c>
    </row>
    <row r="362" spans="1:91" ht="13.2" x14ac:dyDescent="0.25">
      <c r="A362" s="9">
        <f t="shared" ca="1" si="14"/>
        <v>0</v>
      </c>
      <c r="B362" s="9" t="str">
        <f ca="1">OFFSET(ORÇAMENTO!C$15,ROW(B362)-ROW(B$15),0)</f>
        <v>S</v>
      </c>
      <c r="C362" s="9" t="str">
        <f ca="1">OFFSET(ORÇAMENTO!L$15,ROW(C362)-ROW(C$15),0)</f>
        <v/>
      </c>
      <c r="D362" s="145" t="str">
        <f ca="1">OFFSET(ORÇAMENTO!N$15,ROW(D362)-ROW(D$15),0)</f>
        <v>Serviço</v>
      </c>
      <c r="E362" s="205" t="str">
        <f ca="1">OFFSET(ORÇAMENTO!O$15,ROW(E362)-ROW(E$15),0)</f>
        <v>-</v>
      </c>
      <c r="F362" s="206" t="str">
        <f ca="1">OFFSET(ORÇAMENTO!R$15,ROW(F362)-ROW(F$15),0)</f>
        <v>(abra o arquivo 'Referência 05-2024.xls)</v>
      </c>
      <c r="G362" s="207" t="str">
        <f ca="1">IF($D362&lt;&gt;"Serviço","",OFFSET(ORÇAMENTO!S$15,ROW(G362)-ROW(G$15),0))</f>
        <v>-</v>
      </c>
      <c r="H362" s="151">
        <f ca="1">IF($D362&lt;&gt;"Serviço",0,IF(ACOMPANHAMENTO="BM",ROUND(OFFSET(ORÇAMENTO!AJ$15,ROW(H362)-ROW(H$15),0),15-13*ORÇAMENTO!$AF$7),SUMPRODUCT(($Q$12:$AI$12&lt;&gt;"")*ROUND($Q362:$AI362,15-13*ORÇAMENTO!$AF$7))))</f>
        <v>2</v>
      </c>
      <c r="I362" s="650"/>
      <c r="K362" s="208"/>
      <c r="L362" s="209" t="s">
        <v>257</v>
      </c>
      <c r="M362" s="210">
        <f ca="1">IF($D362&lt;&gt;"Serviço","",IF(AUTOEVENTO="manual",$A362,IF(ISERROR(MATCH($A362,$A$15:OFFSET($A362,-1,0),0)),MAX($M$15:OFFSET(M362,-1,0))+1,INDEX($M$15:OFFSET(M362,-1,0),MATCH($A362,$A$15:OFFSET($A362,-1,0),0)))))</f>
        <v>0</v>
      </c>
      <c r="N362" s="211" t="str">
        <f ca="1">IF($D362&lt;&gt;"Serviço","",IF(AUTOEVENTO="Manual",IF($A362=0,"&lt;-- defina o número do agrupador",OFFSET(EVENTOS!$D$14,$A362,0)),OFFSET($F$15,$A362,0)))</f>
        <v>&lt;-- defina o número do agrupador</v>
      </c>
      <c r="O362" s="212"/>
      <c r="Q362" s="212"/>
      <c r="R362" s="213"/>
      <c r="S362" s="213"/>
      <c r="T362" s="213"/>
      <c r="U362" s="213"/>
      <c r="V362" s="213"/>
      <c r="W362" s="213"/>
      <c r="X362" s="213"/>
      <c r="Y362" s="213"/>
      <c r="Z362" s="214"/>
      <c r="AA362" s="213"/>
      <c r="AB362" s="213"/>
      <c r="AC362" s="213"/>
      <c r="AD362" s="213"/>
      <c r="AE362" s="213"/>
      <c r="AF362" s="213"/>
      <c r="AG362" s="213"/>
      <c r="AH362" s="214"/>
      <c r="AJ362" s="631">
        <f ca="1">IF(AND($D362="Serviço",AJ$12&lt;&gt;0,$H362&gt;0,OR(AUTOEVENTO&lt;&gt;"manual",$M362&lt;&gt;1)),ROUND(OFFSET($P362,0,AJ$13),15-13*ORÇAMENTO!$AF$7)/$H362*OFFSET(ORÇAMENTO!$X$15,ROW(AJ362)-ROW(AJ$15),0),0)</f>
        <v>0</v>
      </c>
      <c r="AK362" s="632">
        <f ca="1">IF(AND($D362="Serviço",AK$12&lt;&gt;0,$H362&gt;0,OR(AUTOEVENTO&lt;&gt;"manual",$M362&lt;&gt;1)),ROUND(OFFSET($P362,0,AK$13),15-13*ORÇAMENTO!$AF$7)/$H362*OFFSET(ORÇAMENTO!$X$15,ROW(AK362)-ROW(AK$15),0),0)</f>
        <v>0</v>
      </c>
      <c r="AL362" s="632">
        <f ca="1">IF(AND($D362="Serviço",AL$12&lt;&gt;0,$H362&gt;0,OR(AUTOEVENTO&lt;&gt;"manual",$M362&lt;&gt;1)),ROUND(OFFSET($P362,0,AL$13),15-13*ORÇAMENTO!$AF$7)/$H362*OFFSET(ORÇAMENTO!$X$15,ROW(AL362)-ROW(AL$15),0),0)</f>
        <v>0</v>
      </c>
      <c r="AM362" s="632">
        <f ca="1">IF(AND($D362="Serviço",AM$12&lt;&gt;0,$H362&gt;0,OR(AUTOEVENTO&lt;&gt;"manual",$M362&lt;&gt;1)),ROUND(OFFSET($P362,0,AM$13),15-13*ORÇAMENTO!$AF$7)/$H362*OFFSET(ORÇAMENTO!$X$15,ROW(AM362)-ROW(AM$15),0),0)</f>
        <v>0</v>
      </c>
      <c r="AN362" s="632">
        <f ca="1">IF(AND($D362="Serviço",AN$12&lt;&gt;0,$H362&gt;0,OR(AUTOEVENTO&lt;&gt;"manual",$M362&lt;&gt;1)),ROUND(OFFSET($P362,0,AN$13),15-13*ORÇAMENTO!$AF$7)/$H362*OFFSET(ORÇAMENTO!$X$15,ROW(AN362)-ROW(AN$15),0),0)</f>
        <v>0</v>
      </c>
      <c r="AO362" s="632">
        <f ca="1">IF(AND($D362="Serviço",AO$12&lt;&gt;0,$H362&gt;0,OR(AUTOEVENTO&lt;&gt;"manual",$M362&lt;&gt;1)),ROUND(OFFSET($P362,0,AO$13),15-13*ORÇAMENTO!$AF$7)/$H362*OFFSET(ORÇAMENTO!$X$15,ROW(AO362)-ROW(AO$15),0),0)</f>
        <v>0</v>
      </c>
      <c r="AP362" s="632">
        <f ca="1">IF(AND($D362="Serviço",AP$12&lt;&gt;0,$H362&gt;0,OR(AUTOEVENTO&lt;&gt;"manual",$M362&lt;&gt;1)),ROUND(OFFSET($P362,0,AP$13),15-13*ORÇAMENTO!$AF$7)/$H362*OFFSET(ORÇAMENTO!$X$15,ROW(AP362)-ROW(AP$15),0),0)</f>
        <v>0</v>
      </c>
      <c r="AQ362" s="632">
        <f ca="1">IF(AND($D362="Serviço",AQ$12&lt;&gt;0,$H362&gt;0,OR(AUTOEVENTO&lt;&gt;"manual",$M362&lt;&gt;1)),ROUND(OFFSET($P362,0,AQ$13),15-13*ORÇAMENTO!$AF$7)/$H362*OFFSET(ORÇAMENTO!$X$15,ROW(AQ362)-ROW(AQ$15),0),0)</f>
        <v>0</v>
      </c>
      <c r="AR362" s="632">
        <f ca="1">IF(AND($D362="Serviço",AR$12&lt;&gt;0,$H362&gt;0,OR(AUTOEVENTO&lt;&gt;"manual",$M362&lt;&gt;1)),ROUND(OFFSET($P362,0,AR$13),15-13*ORÇAMENTO!$AF$7)/$H362*OFFSET(ORÇAMENTO!$X$15,ROW(AR362)-ROW(AR$15),0),0)</f>
        <v>0</v>
      </c>
      <c r="AS362" s="633">
        <f ca="1">IF(AND($D362="Serviço",AS$12&lt;&gt;0,$H362&gt;0,OR(AUTOEVENTO&lt;&gt;"manual",$M362&lt;&gt;1)),ROUND(OFFSET($P362,0,AS$13),15-13*ORÇAMENTO!$AF$7)/$H362*OFFSET(ORÇAMENTO!$X$15,ROW(AS362)-ROW(AS$15),0),0)</f>
        <v>0</v>
      </c>
      <c r="AT362" s="632">
        <f ca="1">IF(AND($D362="Serviço",AT$12&lt;&gt;0,$H362&gt;0,OR(AUTOEVENTO&lt;&gt;"manual",$M362&lt;&gt;1)),ROUND(OFFSET($P362,0,AT$13),15-13*ORÇAMENTO!$AF$7)/$H362*OFFSET(ORÇAMENTO!$X$15,ROW(AT362)-ROW(AT$15),0),0)</f>
        <v>0</v>
      </c>
      <c r="AU362" s="632">
        <f ca="1">IF(AND($D362="Serviço",AU$12&lt;&gt;0,$H362&gt;0,OR(AUTOEVENTO&lt;&gt;"manual",$M362&lt;&gt;1)),ROUND(OFFSET($P362,0,AU$13),15-13*ORÇAMENTO!$AF$7)/$H362*OFFSET(ORÇAMENTO!$X$15,ROW(AU362)-ROW(AU$15),0),0)</f>
        <v>0</v>
      </c>
      <c r="AV362" s="632">
        <f ca="1">IF(AND($D362="Serviço",AV$12&lt;&gt;0,$H362&gt;0,OR(AUTOEVENTO&lt;&gt;"manual",$M362&lt;&gt;1)),ROUND(OFFSET($P362,0,AV$13),15-13*ORÇAMENTO!$AF$7)/$H362*OFFSET(ORÇAMENTO!$X$15,ROW(AV362)-ROW(AV$15),0),0)</f>
        <v>0</v>
      </c>
      <c r="AW362" s="632">
        <f ca="1">IF(AND($D362="Serviço",AW$12&lt;&gt;0,$H362&gt;0,OR(AUTOEVENTO&lt;&gt;"manual",$M362&lt;&gt;1)),ROUND(OFFSET($P362,0,AW$13),15-13*ORÇAMENTO!$AF$7)/$H362*OFFSET(ORÇAMENTO!$X$15,ROW(AW362)-ROW(AW$15),0),0)</f>
        <v>0</v>
      </c>
      <c r="AX362" s="632">
        <f ca="1">IF(AND($D362="Serviço",AX$12&lt;&gt;0,$H362&gt;0,OR(AUTOEVENTO&lt;&gt;"manual",$M362&lt;&gt;1)),ROUND(OFFSET($P362,0,AX$13),15-13*ORÇAMENTO!$AF$7)/$H362*OFFSET(ORÇAMENTO!$X$15,ROW(AX362)-ROW(AX$15),0),0)</f>
        <v>0</v>
      </c>
      <c r="AY362" s="632">
        <f ca="1">IF(AND($D362="Serviço",AY$12&lt;&gt;0,$H362&gt;0,OR(AUTOEVENTO&lt;&gt;"manual",$M362&lt;&gt;1)),ROUND(OFFSET($P362,0,AY$13),15-13*ORÇAMENTO!$AF$7)/$H362*OFFSET(ORÇAMENTO!$X$15,ROW(AY362)-ROW(AY$15),0),0)</f>
        <v>0</v>
      </c>
      <c r="AZ362" s="632">
        <f ca="1">IF(AND($D362="Serviço",AZ$12&lt;&gt;0,$H362&gt;0,OR(AUTOEVENTO&lt;&gt;"manual",$M362&lt;&gt;1)),ROUND(OFFSET($P362,0,AZ$13),15-13*ORÇAMENTO!$AF$7)/$H362*OFFSET(ORÇAMENTO!$X$15,ROW(AZ362)-ROW(AZ$15),0),0)</f>
        <v>0</v>
      </c>
      <c r="BA362" s="633">
        <f ca="1">IF(AND($D362="Serviço",BA$12&lt;&gt;0,$H362&gt;0,OR(AUTOEVENTO&lt;&gt;"manual",$M362&lt;&gt;1)),ROUND(OFFSET($P362,0,BA$13),15-13*ORÇAMENTO!$AF$7)/$H362*OFFSET(ORÇAMENTO!$X$15,ROW(BA362)-ROW(BA$15),0),0)</f>
        <v>0</v>
      </c>
      <c r="BC362" s="215">
        <f ca="1">IF($D362&lt;&gt;"Serviço",0,IF(AND(AUTOEVENTO="Manual",$M362=1),0,IF(OFFSET(CRONOPLE!$F$14,$M362,BC$13)="",10^12,OFFSET(CRONOPLE!$F$14,$M362,BC$13))))</f>
        <v>1000000000000</v>
      </c>
      <c r="BD362" s="215">
        <f ca="1">IF($D362&lt;&gt;"Serviço",0,IF(AND(AUTOEVENTO="Manual",$M362=1),0,IF(OFFSET(CRONOPLE!$F$14,$M362,BD$13)="",10^12,OFFSET(CRONOPLE!$F$14,$M362,BD$13))))</f>
        <v>1000000000000</v>
      </c>
      <c r="BE362" s="215">
        <f ca="1">IF($D362&lt;&gt;"Serviço",0,IF(AND(AUTOEVENTO="Manual",$M362=1),0,IF(OFFSET(CRONOPLE!$F$14,$M362,BE$13)="",10^12,OFFSET(CRONOPLE!$F$14,$M362,BE$13))))</f>
        <v>1000000000000</v>
      </c>
      <c r="BF362" s="215">
        <f ca="1">IF($D362&lt;&gt;"Serviço",0,IF(AND(AUTOEVENTO="Manual",$M362=1),0,IF(OFFSET(CRONOPLE!$F$14,$M362,BF$13)="",10^12,OFFSET(CRONOPLE!$F$14,$M362,BF$13))))</f>
        <v>1000000000000</v>
      </c>
      <c r="BG362" s="215">
        <f ca="1">IF($D362&lt;&gt;"Serviço",0,IF(AND(AUTOEVENTO="Manual",$M362=1),0,IF(OFFSET(CRONOPLE!$F$14,$M362,BG$13)="",10^12,OFFSET(CRONOPLE!$F$14,$M362,BG$13))))</f>
        <v>1000000000000</v>
      </c>
      <c r="BH362" s="215">
        <f ca="1">IF($D362&lt;&gt;"Serviço",0,IF(AND(AUTOEVENTO="Manual",$M362=1),0,IF(OFFSET(CRONOPLE!$F$14,$M362,BH$13)="",10^12,OFFSET(CRONOPLE!$F$14,$M362,BH$13))))</f>
        <v>1000000000000</v>
      </c>
      <c r="BI362" s="215">
        <f ca="1">IF($D362&lt;&gt;"Serviço",0,IF(AND(AUTOEVENTO="Manual",$M362=1),0,IF(OFFSET(CRONOPLE!$F$14,$M362,BI$13)="",10^12,OFFSET(CRONOPLE!$F$14,$M362,BI$13))))</f>
        <v>1000000000000</v>
      </c>
      <c r="BJ362" s="215">
        <f ca="1">IF($D362&lt;&gt;"Serviço",0,IF(AND(AUTOEVENTO="Manual",$M362=1),0,IF(OFFSET(CRONOPLE!$F$14,$M362,BJ$13)="",10^12,OFFSET(CRONOPLE!$F$14,$M362,BJ$13))))</f>
        <v>1000000000000</v>
      </c>
      <c r="BK362" s="215">
        <f ca="1">IF($D362&lt;&gt;"Serviço",0,IF(AND(AUTOEVENTO="Manual",$M362=1),0,IF(OFFSET(CRONOPLE!$F$14,$M362,BK$13)="",10^12,OFFSET(CRONOPLE!$F$14,$M362,BK$13))))</f>
        <v>1000000000000</v>
      </c>
      <c r="BL362" s="215">
        <f ca="1">IF($D362&lt;&gt;"Serviço",0,IF(AND(AUTOEVENTO="Manual",$M362=1),0,IF(OFFSET(CRONOPLE!$F$14,$M362,BL$13)="",10^12,OFFSET(CRONOPLE!$F$14,$M362,BL$13))))</f>
        <v>1000000000000</v>
      </c>
      <c r="BM362" s="215">
        <f ca="1">IF($D362&lt;&gt;"Serviço",0,IF(AND(AUTOEVENTO="Manual",$M362=1),0,IF(OFFSET(CRONOPLE!$F$14,$M362,BM$13)="",10^12,OFFSET(CRONOPLE!$F$14,$M362,BM$13))))</f>
        <v>1000000000000</v>
      </c>
      <c r="BN362" s="215">
        <f ca="1">IF($D362&lt;&gt;"Serviço",0,IF(AND(AUTOEVENTO="Manual",$M362=1),0,IF(OFFSET(CRONOPLE!$F$14,$M362,BN$13)="",10^12,OFFSET(CRONOPLE!$F$14,$M362,BN$13))))</f>
        <v>1000000000000</v>
      </c>
      <c r="BO362" s="215">
        <f ca="1">IF($D362&lt;&gt;"Serviço",0,IF(AND(AUTOEVENTO="Manual",$M362=1),0,IF(OFFSET(CRONOPLE!$F$14,$M362,BO$13)="",10^12,OFFSET(CRONOPLE!$F$14,$M362,BO$13))))</f>
        <v>1000000000000</v>
      </c>
      <c r="BP362" s="215">
        <f ca="1">IF($D362&lt;&gt;"Serviço",0,IF(AND(AUTOEVENTO="Manual",$M362=1),0,IF(OFFSET(CRONOPLE!$F$14,$M362,BP$13)="",10^12,OFFSET(CRONOPLE!$F$14,$M362,BP$13))))</f>
        <v>1000000000000</v>
      </c>
      <c r="BQ362" s="215">
        <f ca="1">IF($D362&lt;&gt;"Serviço",0,IF(AND(AUTOEVENTO="Manual",$M362=1),0,IF(OFFSET(CRONOPLE!$F$14,$M362,BQ$13)="",10^12,OFFSET(CRONOPLE!$F$14,$M362,BQ$13))))</f>
        <v>1000000000000</v>
      </c>
      <c r="BR362" s="215">
        <f ca="1">IF($D362&lt;&gt;"Serviço",0,IF(AND(AUTOEVENTO="Manual",$M362=1),0,IF(OFFSET(CRONOPLE!$F$14,$M362,BR$13)="",10^12,OFFSET(CRONOPLE!$F$14,$M362,BR$13))))</f>
        <v>1000000000000</v>
      </c>
      <c r="BS362" s="215">
        <f ca="1">IF($D362&lt;&gt;"Serviço",0,IF(AND(AUTOEVENTO="Manual",$M362=1),0,IF(OFFSET(CRONOPLE!$F$14,$M362,BS$13)="",10^12,OFFSET(CRONOPLE!$F$14,$M362,BS$13))))</f>
        <v>1000000000000</v>
      </c>
      <c r="BT362" s="215">
        <f ca="1">IF($D362&lt;&gt;"Serviço",0,IF(AND(AUTOEVENTO="Manual",$M362=1),0,IF(OFFSET(CRONOPLE!$F$14,$M362,BT$13)="",10^12,OFFSET(CRONOPLE!$F$14,$M362,BT$13))))</f>
        <v>1000000000000</v>
      </c>
      <c r="BV362" s="216">
        <f ca="1">IF($D362&lt;&gt;"Serviço",0,IF(OR(AND(AUTOEVENTO="Manual",$M362=1),$M362&gt;(ROW(PLE.lastrow)-ROW(PLE.firstrow))),0,IF(OFFSET(PLE!$G$14,$M362,BV$13)="",10^12,OFFSET(PLE!$G$14,$M362,BV$13))))</f>
        <v>1000000000000</v>
      </c>
      <c r="BW362" s="216">
        <f ca="1">IF($D362&lt;&gt;"Serviço",0,IF(OR(AND(AUTOEVENTO="Manual",$M362=1),$M362&gt;(ROW(PLE.lastrow)-ROW(PLE.firstrow))),0,IF(OFFSET(PLE!$G$14,$M362,BW$13)="",10^12,OFFSET(PLE!$G$14,$M362,BW$13))))</f>
        <v>1000000000000</v>
      </c>
      <c r="BX362" s="216">
        <f ca="1">IF($D362&lt;&gt;"Serviço",0,IF(OR(AND(AUTOEVENTO="Manual",$M362=1),$M362&gt;(ROW(PLE.lastrow)-ROW(PLE.firstrow))),0,IF(OFFSET(PLE!$G$14,$M362,BX$13)="",10^12,OFFSET(PLE!$G$14,$M362,BX$13))))</f>
        <v>1000000000000</v>
      </c>
      <c r="BY362" s="216">
        <f ca="1">IF($D362&lt;&gt;"Serviço",0,IF(OR(AND(AUTOEVENTO="Manual",$M362=1),$M362&gt;(ROW(PLE.lastrow)-ROW(PLE.firstrow))),0,IF(OFFSET(PLE!$G$14,$M362,BY$13)="",10^12,OFFSET(PLE!$G$14,$M362,BY$13))))</f>
        <v>1000000000000</v>
      </c>
      <c r="BZ362" s="216">
        <f ca="1">IF($D362&lt;&gt;"Serviço",0,IF(OR(AND(AUTOEVENTO="Manual",$M362=1),$M362&gt;(ROW(PLE.lastrow)-ROW(PLE.firstrow))),0,IF(OFFSET(PLE!$G$14,$M362,BZ$13)="",10^12,OFFSET(PLE!$G$14,$M362,BZ$13))))</f>
        <v>1000000000000</v>
      </c>
      <c r="CA362" s="216">
        <f ca="1">IF($D362&lt;&gt;"Serviço",0,IF(OR(AND(AUTOEVENTO="Manual",$M362=1),$M362&gt;(ROW(PLE.lastrow)-ROW(PLE.firstrow))),0,IF(OFFSET(PLE!$G$14,$M362,CA$13)="",10^12,OFFSET(PLE!$G$14,$M362,CA$13))))</f>
        <v>1000000000000</v>
      </c>
      <c r="CB362" s="216">
        <f ca="1">IF($D362&lt;&gt;"Serviço",0,IF(OR(AND(AUTOEVENTO="Manual",$M362=1),$M362&gt;(ROW(PLE.lastrow)-ROW(PLE.firstrow))),0,IF(OFFSET(PLE!$G$14,$M362,CB$13)="",10^12,OFFSET(PLE!$G$14,$M362,CB$13))))</f>
        <v>1000000000000</v>
      </c>
      <c r="CC362" s="216">
        <f ca="1">IF($D362&lt;&gt;"Serviço",0,IF(OR(AND(AUTOEVENTO="Manual",$M362=1),$M362&gt;(ROW(PLE.lastrow)-ROW(PLE.firstrow))),0,IF(OFFSET(PLE!$G$14,$M362,CC$13)="",10^12,OFFSET(PLE!$G$14,$M362,CC$13))))</f>
        <v>1000000000000</v>
      </c>
      <c r="CD362" s="216">
        <f ca="1">IF($D362&lt;&gt;"Serviço",0,IF(OR(AND(AUTOEVENTO="Manual",$M362=1),$M362&gt;(ROW(PLE.lastrow)-ROW(PLE.firstrow))),0,IF(OFFSET(PLE!$G$14,$M362,CD$13)="",10^12,OFFSET(PLE!$G$14,$M362,CD$13))))</f>
        <v>1000000000000</v>
      </c>
      <c r="CE362" s="216">
        <f ca="1">IF($D362&lt;&gt;"Serviço",0,IF(OR(AND(AUTOEVENTO="Manual",$M362=1),$M362&gt;(ROW(PLE.lastrow)-ROW(PLE.firstrow))),0,IF(OFFSET(PLE!$G$14,$M362,CE$13)="",10^12,OFFSET(PLE!$G$14,$M362,CE$13))))</f>
        <v>1000000000000</v>
      </c>
      <c r="CF362" s="216">
        <f ca="1">IF($D362&lt;&gt;"Serviço",0,IF(OR(AND(AUTOEVENTO="Manual",$M362=1),$M362&gt;(ROW(PLE.lastrow)-ROW(PLE.firstrow))),0,IF(OFFSET(PLE!$G$14,$M362,CF$13)="",10^12,OFFSET(PLE!$G$14,$M362,CF$13))))</f>
        <v>1000000000000</v>
      </c>
      <c r="CG362" s="216">
        <f ca="1">IF($D362&lt;&gt;"Serviço",0,IF(OR(AND(AUTOEVENTO="Manual",$M362=1),$M362&gt;(ROW(PLE.lastrow)-ROW(PLE.firstrow))),0,IF(OFFSET(PLE!$G$14,$M362,CG$13)="",10^12,OFFSET(PLE!$G$14,$M362,CG$13))))</f>
        <v>1000000000000</v>
      </c>
      <c r="CH362" s="216">
        <f ca="1">IF($D362&lt;&gt;"Serviço",0,IF(OR(AND(AUTOEVENTO="Manual",$M362=1),$M362&gt;(ROW(PLE.lastrow)-ROW(PLE.firstrow))),0,IF(OFFSET(PLE!$G$14,$M362,CH$13)="",10^12,OFFSET(PLE!$G$14,$M362,CH$13))))</f>
        <v>1000000000000</v>
      </c>
      <c r="CI362" s="216">
        <f ca="1">IF($D362&lt;&gt;"Serviço",0,IF(OR(AND(AUTOEVENTO="Manual",$M362=1),$M362&gt;(ROW(PLE.lastrow)-ROW(PLE.firstrow))),0,IF(OFFSET(PLE!$G$14,$M362,CI$13)="",10^12,OFFSET(PLE!$G$14,$M362,CI$13))))</f>
        <v>1000000000000</v>
      </c>
      <c r="CJ362" s="216">
        <f ca="1">IF($D362&lt;&gt;"Serviço",0,IF(OR(AND(AUTOEVENTO="Manual",$M362=1),$M362&gt;(ROW(PLE.lastrow)-ROW(PLE.firstrow))),0,IF(OFFSET(PLE!$G$14,$M362,CJ$13)="",10^12,OFFSET(PLE!$G$14,$M362,CJ$13))))</f>
        <v>1000000000000</v>
      </c>
      <c r="CK362" s="216">
        <f ca="1">IF($D362&lt;&gt;"Serviço",0,IF(OR(AND(AUTOEVENTO="Manual",$M362=1),$M362&gt;(ROW(PLE.lastrow)-ROW(PLE.firstrow))),0,IF(OFFSET(PLE!$G$14,$M362,CK$13)="",10^12,OFFSET(PLE!$G$14,$M362,CK$13))))</f>
        <v>1000000000000</v>
      </c>
      <c r="CL362" s="216">
        <f ca="1">IF($D362&lt;&gt;"Serviço",0,IF(OR(AND(AUTOEVENTO="Manual",$M362=1),$M362&gt;(ROW(PLE.lastrow)-ROW(PLE.firstrow))),0,IF(OFFSET(PLE!$G$14,$M362,CL$13)="",10^12,OFFSET(PLE!$G$14,$M362,CL$13))))</f>
        <v>1000000000000</v>
      </c>
      <c r="CM362" s="216">
        <f ca="1">IF($D362&lt;&gt;"Serviço",0,IF(OR(AND(AUTOEVENTO="Manual",$M362=1),$M362&gt;(ROW(PLE.lastrow)-ROW(PLE.firstrow))),0,IF(OFFSET(PLE!$G$14,$M362,CM$13)="",10^12,OFFSET(PLE!$G$14,$M362,CM$13))))</f>
        <v>1000000000000</v>
      </c>
    </row>
    <row r="363" spans="1:91" ht="13.2" x14ac:dyDescent="0.25">
      <c r="A363" s="9">
        <f t="shared" ca="1" si="14"/>
        <v>0</v>
      </c>
      <c r="B363" s="9" t="str">
        <f ca="1">OFFSET(ORÇAMENTO!C$15,ROW(B363)-ROW(B$15),0)</f>
        <v>S</v>
      </c>
      <c r="C363" s="9" t="str">
        <f ca="1">OFFSET(ORÇAMENTO!L$15,ROW(C363)-ROW(C$15),0)</f>
        <v/>
      </c>
      <c r="D363" s="145" t="str">
        <f ca="1">OFFSET(ORÇAMENTO!N$15,ROW(D363)-ROW(D$15),0)</f>
        <v>Serviço</v>
      </c>
      <c r="E363" s="205" t="str">
        <f ca="1">OFFSET(ORÇAMENTO!O$15,ROW(E363)-ROW(E$15),0)</f>
        <v>-</v>
      </c>
      <c r="F363" s="206" t="str">
        <f ca="1">OFFSET(ORÇAMENTO!R$15,ROW(F363)-ROW(F$15),0)</f>
        <v>(abra o arquivo 'Referência 05-2024.xls)</v>
      </c>
      <c r="G363" s="207" t="str">
        <f ca="1">IF($D363&lt;&gt;"Serviço","",OFFSET(ORÇAMENTO!S$15,ROW(G363)-ROW(G$15),0))</f>
        <v>-</v>
      </c>
      <c r="H363" s="151">
        <f ca="1">IF($D363&lt;&gt;"Serviço",0,IF(ACOMPANHAMENTO="BM",ROUND(OFFSET(ORÇAMENTO!AJ$15,ROW(H363)-ROW(H$15),0),15-13*ORÇAMENTO!$AF$7),SUMPRODUCT(($Q$12:$AI$12&lt;&gt;"")*ROUND($Q363:$AI363,15-13*ORÇAMENTO!$AF$7))))</f>
        <v>1</v>
      </c>
      <c r="I363" s="650"/>
      <c r="K363" s="208"/>
      <c r="L363" s="209" t="s">
        <v>257</v>
      </c>
      <c r="M363" s="210">
        <f ca="1">IF($D363&lt;&gt;"Serviço","",IF(AUTOEVENTO="manual",$A363,IF(ISERROR(MATCH($A363,$A$15:OFFSET($A363,-1,0),0)),MAX($M$15:OFFSET(M363,-1,0))+1,INDEX($M$15:OFFSET(M363,-1,0),MATCH($A363,$A$15:OFFSET($A363,-1,0),0)))))</f>
        <v>0</v>
      </c>
      <c r="N363" s="211" t="str">
        <f ca="1">IF($D363&lt;&gt;"Serviço","",IF(AUTOEVENTO="Manual",IF($A363=0,"&lt;-- defina o número do agrupador",OFFSET(EVENTOS!$D$14,$A363,0)),OFFSET($F$15,$A363,0)))</f>
        <v>&lt;-- defina o número do agrupador</v>
      </c>
      <c r="O363" s="212"/>
      <c r="Q363" s="212"/>
      <c r="R363" s="213"/>
      <c r="S363" s="213"/>
      <c r="T363" s="213"/>
      <c r="U363" s="213"/>
      <c r="V363" s="213"/>
      <c r="W363" s="213"/>
      <c r="X363" s="213"/>
      <c r="Y363" s="213"/>
      <c r="Z363" s="214"/>
      <c r="AA363" s="213"/>
      <c r="AB363" s="213"/>
      <c r="AC363" s="213"/>
      <c r="AD363" s="213"/>
      <c r="AE363" s="213"/>
      <c r="AF363" s="213"/>
      <c r="AG363" s="213"/>
      <c r="AH363" s="214"/>
      <c r="AJ363" s="631">
        <f ca="1">IF(AND($D363="Serviço",AJ$12&lt;&gt;0,$H363&gt;0,OR(AUTOEVENTO&lt;&gt;"manual",$M363&lt;&gt;1)),ROUND(OFFSET($P363,0,AJ$13),15-13*ORÇAMENTO!$AF$7)/$H363*OFFSET(ORÇAMENTO!$X$15,ROW(AJ363)-ROW(AJ$15),0),0)</f>
        <v>0</v>
      </c>
      <c r="AK363" s="632">
        <f ca="1">IF(AND($D363="Serviço",AK$12&lt;&gt;0,$H363&gt;0,OR(AUTOEVENTO&lt;&gt;"manual",$M363&lt;&gt;1)),ROUND(OFFSET($P363,0,AK$13),15-13*ORÇAMENTO!$AF$7)/$H363*OFFSET(ORÇAMENTO!$X$15,ROW(AK363)-ROW(AK$15),0),0)</f>
        <v>0</v>
      </c>
      <c r="AL363" s="632">
        <f ca="1">IF(AND($D363="Serviço",AL$12&lt;&gt;0,$H363&gt;0,OR(AUTOEVENTO&lt;&gt;"manual",$M363&lt;&gt;1)),ROUND(OFFSET($P363,0,AL$13),15-13*ORÇAMENTO!$AF$7)/$H363*OFFSET(ORÇAMENTO!$X$15,ROW(AL363)-ROW(AL$15),0),0)</f>
        <v>0</v>
      </c>
      <c r="AM363" s="632">
        <f ca="1">IF(AND($D363="Serviço",AM$12&lt;&gt;0,$H363&gt;0,OR(AUTOEVENTO&lt;&gt;"manual",$M363&lt;&gt;1)),ROUND(OFFSET($P363,0,AM$13),15-13*ORÇAMENTO!$AF$7)/$H363*OFFSET(ORÇAMENTO!$X$15,ROW(AM363)-ROW(AM$15),0),0)</f>
        <v>0</v>
      </c>
      <c r="AN363" s="632">
        <f ca="1">IF(AND($D363="Serviço",AN$12&lt;&gt;0,$H363&gt;0,OR(AUTOEVENTO&lt;&gt;"manual",$M363&lt;&gt;1)),ROUND(OFFSET($P363,0,AN$13),15-13*ORÇAMENTO!$AF$7)/$H363*OFFSET(ORÇAMENTO!$X$15,ROW(AN363)-ROW(AN$15),0),0)</f>
        <v>0</v>
      </c>
      <c r="AO363" s="632">
        <f ca="1">IF(AND($D363="Serviço",AO$12&lt;&gt;0,$H363&gt;0,OR(AUTOEVENTO&lt;&gt;"manual",$M363&lt;&gt;1)),ROUND(OFFSET($P363,0,AO$13),15-13*ORÇAMENTO!$AF$7)/$H363*OFFSET(ORÇAMENTO!$X$15,ROW(AO363)-ROW(AO$15),0),0)</f>
        <v>0</v>
      </c>
      <c r="AP363" s="632">
        <f ca="1">IF(AND($D363="Serviço",AP$12&lt;&gt;0,$H363&gt;0,OR(AUTOEVENTO&lt;&gt;"manual",$M363&lt;&gt;1)),ROUND(OFFSET($P363,0,AP$13),15-13*ORÇAMENTO!$AF$7)/$H363*OFFSET(ORÇAMENTO!$X$15,ROW(AP363)-ROW(AP$15),0),0)</f>
        <v>0</v>
      </c>
      <c r="AQ363" s="632">
        <f ca="1">IF(AND($D363="Serviço",AQ$12&lt;&gt;0,$H363&gt;0,OR(AUTOEVENTO&lt;&gt;"manual",$M363&lt;&gt;1)),ROUND(OFFSET($P363,0,AQ$13),15-13*ORÇAMENTO!$AF$7)/$H363*OFFSET(ORÇAMENTO!$X$15,ROW(AQ363)-ROW(AQ$15),0),0)</f>
        <v>0</v>
      </c>
      <c r="AR363" s="632">
        <f ca="1">IF(AND($D363="Serviço",AR$12&lt;&gt;0,$H363&gt;0,OR(AUTOEVENTO&lt;&gt;"manual",$M363&lt;&gt;1)),ROUND(OFFSET($P363,0,AR$13),15-13*ORÇAMENTO!$AF$7)/$H363*OFFSET(ORÇAMENTO!$X$15,ROW(AR363)-ROW(AR$15),0),0)</f>
        <v>0</v>
      </c>
      <c r="AS363" s="633">
        <f ca="1">IF(AND($D363="Serviço",AS$12&lt;&gt;0,$H363&gt;0,OR(AUTOEVENTO&lt;&gt;"manual",$M363&lt;&gt;1)),ROUND(OFFSET($P363,0,AS$13),15-13*ORÇAMENTO!$AF$7)/$H363*OFFSET(ORÇAMENTO!$X$15,ROW(AS363)-ROW(AS$15),0),0)</f>
        <v>0</v>
      </c>
      <c r="AT363" s="632">
        <f ca="1">IF(AND($D363="Serviço",AT$12&lt;&gt;0,$H363&gt;0,OR(AUTOEVENTO&lt;&gt;"manual",$M363&lt;&gt;1)),ROUND(OFFSET($P363,0,AT$13),15-13*ORÇAMENTO!$AF$7)/$H363*OFFSET(ORÇAMENTO!$X$15,ROW(AT363)-ROW(AT$15),0),0)</f>
        <v>0</v>
      </c>
      <c r="AU363" s="632">
        <f ca="1">IF(AND($D363="Serviço",AU$12&lt;&gt;0,$H363&gt;0,OR(AUTOEVENTO&lt;&gt;"manual",$M363&lt;&gt;1)),ROUND(OFFSET($P363,0,AU$13),15-13*ORÇAMENTO!$AF$7)/$H363*OFFSET(ORÇAMENTO!$X$15,ROW(AU363)-ROW(AU$15),0),0)</f>
        <v>0</v>
      </c>
      <c r="AV363" s="632">
        <f ca="1">IF(AND($D363="Serviço",AV$12&lt;&gt;0,$H363&gt;0,OR(AUTOEVENTO&lt;&gt;"manual",$M363&lt;&gt;1)),ROUND(OFFSET($P363,0,AV$13),15-13*ORÇAMENTO!$AF$7)/$H363*OFFSET(ORÇAMENTO!$X$15,ROW(AV363)-ROW(AV$15),0),0)</f>
        <v>0</v>
      </c>
      <c r="AW363" s="632">
        <f ca="1">IF(AND($D363="Serviço",AW$12&lt;&gt;0,$H363&gt;0,OR(AUTOEVENTO&lt;&gt;"manual",$M363&lt;&gt;1)),ROUND(OFFSET($P363,0,AW$13),15-13*ORÇAMENTO!$AF$7)/$H363*OFFSET(ORÇAMENTO!$X$15,ROW(AW363)-ROW(AW$15),0),0)</f>
        <v>0</v>
      </c>
      <c r="AX363" s="632">
        <f ca="1">IF(AND($D363="Serviço",AX$12&lt;&gt;0,$H363&gt;0,OR(AUTOEVENTO&lt;&gt;"manual",$M363&lt;&gt;1)),ROUND(OFFSET($P363,0,AX$13),15-13*ORÇAMENTO!$AF$7)/$H363*OFFSET(ORÇAMENTO!$X$15,ROW(AX363)-ROW(AX$15),0),0)</f>
        <v>0</v>
      </c>
      <c r="AY363" s="632">
        <f ca="1">IF(AND($D363="Serviço",AY$12&lt;&gt;0,$H363&gt;0,OR(AUTOEVENTO&lt;&gt;"manual",$M363&lt;&gt;1)),ROUND(OFFSET($P363,0,AY$13),15-13*ORÇAMENTO!$AF$7)/$H363*OFFSET(ORÇAMENTO!$X$15,ROW(AY363)-ROW(AY$15),0),0)</f>
        <v>0</v>
      </c>
      <c r="AZ363" s="632">
        <f ca="1">IF(AND($D363="Serviço",AZ$12&lt;&gt;0,$H363&gt;0,OR(AUTOEVENTO&lt;&gt;"manual",$M363&lt;&gt;1)),ROUND(OFFSET($P363,0,AZ$13),15-13*ORÇAMENTO!$AF$7)/$H363*OFFSET(ORÇAMENTO!$X$15,ROW(AZ363)-ROW(AZ$15),0),0)</f>
        <v>0</v>
      </c>
      <c r="BA363" s="633">
        <f ca="1">IF(AND($D363="Serviço",BA$12&lt;&gt;0,$H363&gt;0,OR(AUTOEVENTO&lt;&gt;"manual",$M363&lt;&gt;1)),ROUND(OFFSET($P363,0,BA$13),15-13*ORÇAMENTO!$AF$7)/$H363*OFFSET(ORÇAMENTO!$X$15,ROW(BA363)-ROW(BA$15),0),0)</f>
        <v>0</v>
      </c>
      <c r="BC363" s="215">
        <f ca="1">IF($D363&lt;&gt;"Serviço",0,IF(AND(AUTOEVENTO="Manual",$M363=1),0,IF(OFFSET(CRONOPLE!$F$14,$M363,BC$13)="",10^12,OFFSET(CRONOPLE!$F$14,$M363,BC$13))))</f>
        <v>1000000000000</v>
      </c>
      <c r="BD363" s="215">
        <f ca="1">IF($D363&lt;&gt;"Serviço",0,IF(AND(AUTOEVENTO="Manual",$M363=1),0,IF(OFFSET(CRONOPLE!$F$14,$M363,BD$13)="",10^12,OFFSET(CRONOPLE!$F$14,$M363,BD$13))))</f>
        <v>1000000000000</v>
      </c>
      <c r="BE363" s="215">
        <f ca="1">IF($D363&lt;&gt;"Serviço",0,IF(AND(AUTOEVENTO="Manual",$M363=1),0,IF(OFFSET(CRONOPLE!$F$14,$M363,BE$13)="",10^12,OFFSET(CRONOPLE!$F$14,$M363,BE$13))))</f>
        <v>1000000000000</v>
      </c>
      <c r="BF363" s="215">
        <f ca="1">IF($D363&lt;&gt;"Serviço",0,IF(AND(AUTOEVENTO="Manual",$M363=1),0,IF(OFFSET(CRONOPLE!$F$14,$M363,BF$13)="",10^12,OFFSET(CRONOPLE!$F$14,$M363,BF$13))))</f>
        <v>1000000000000</v>
      </c>
      <c r="BG363" s="215">
        <f ca="1">IF($D363&lt;&gt;"Serviço",0,IF(AND(AUTOEVENTO="Manual",$M363=1),0,IF(OFFSET(CRONOPLE!$F$14,$M363,BG$13)="",10^12,OFFSET(CRONOPLE!$F$14,$M363,BG$13))))</f>
        <v>1000000000000</v>
      </c>
      <c r="BH363" s="215">
        <f ca="1">IF($D363&lt;&gt;"Serviço",0,IF(AND(AUTOEVENTO="Manual",$M363=1),0,IF(OFFSET(CRONOPLE!$F$14,$M363,BH$13)="",10^12,OFFSET(CRONOPLE!$F$14,$M363,BH$13))))</f>
        <v>1000000000000</v>
      </c>
      <c r="BI363" s="215">
        <f ca="1">IF($D363&lt;&gt;"Serviço",0,IF(AND(AUTOEVENTO="Manual",$M363=1),0,IF(OFFSET(CRONOPLE!$F$14,$M363,BI$13)="",10^12,OFFSET(CRONOPLE!$F$14,$M363,BI$13))))</f>
        <v>1000000000000</v>
      </c>
      <c r="BJ363" s="215">
        <f ca="1">IF($D363&lt;&gt;"Serviço",0,IF(AND(AUTOEVENTO="Manual",$M363=1),0,IF(OFFSET(CRONOPLE!$F$14,$M363,BJ$13)="",10^12,OFFSET(CRONOPLE!$F$14,$M363,BJ$13))))</f>
        <v>1000000000000</v>
      </c>
      <c r="BK363" s="215">
        <f ca="1">IF($D363&lt;&gt;"Serviço",0,IF(AND(AUTOEVENTO="Manual",$M363=1),0,IF(OFFSET(CRONOPLE!$F$14,$M363,BK$13)="",10^12,OFFSET(CRONOPLE!$F$14,$M363,BK$13))))</f>
        <v>1000000000000</v>
      </c>
      <c r="BL363" s="215">
        <f ca="1">IF($D363&lt;&gt;"Serviço",0,IF(AND(AUTOEVENTO="Manual",$M363=1),0,IF(OFFSET(CRONOPLE!$F$14,$M363,BL$13)="",10^12,OFFSET(CRONOPLE!$F$14,$M363,BL$13))))</f>
        <v>1000000000000</v>
      </c>
      <c r="BM363" s="215">
        <f ca="1">IF($D363&lt;&gt;"Serviço",0,IF(AND(AUTOEVENTO="Manual",$M363=1),0,IF(OFFSET(CRONOPLE!$F$14,$M363,BM$13)="",10^12,OFFSET(CRONOPLE!$F$14,$M363,BM$13))))</f>
        <v>1000000000000</v>
      </c>
      <c r="BN363" s="215">
        <f ca="1">IF($D363&lt;&gt;"Serviço",0,IF(AND(AUTOEVENTO="Manual",$M363=1),0,IF(OFFSET(CRONOPLE!$F$14,$M363,BN$13)="",10^12,OFFSET(CRONOPLE!$F$14,$M363,BN$13))))</f>
        <v>1000000000000</v>
      </c>
      <c r="BO363" s="215">
        <f ca="1">IF($D363&lt;&gt;"Serviço",0,IF(AND(AUTOEVENTO="Manual",$M363=1),0,IF(OFFSET(CRONOPLE!$F$14,$M363,BO$13)="",10^12,OFFSET(CRONOPLE!$F$14,$M363,BO$13))))</f>
        <v>1000000000000</v>
      </c>
      <c r="BP363" s="215">
        <f ca="1">IF($D363&lt;&gt;"Serviço",0,IF(AND(AUTOEVENTO="Manual",$M363=1),0,IF(OFFSET(CRONOPLE!$F$14,$M363,BP$13)="",10^12,OFFSET(CRONOPLE!$F$14,$M363,BP$13))))</f>
        <v>1000000000000</v>
      </c>
      <c r="BQ363" s="215">
        <f ca="1">IF($D363&lt;&gt;"Serviço",0,IF(AND(AUTOEVENTO="Manual",$M363=1),0,IF(OFFSET(CRONOPLE!$F$14,$M363,BQ$13)="",10^12,OFFSET(CRONOPLE!$F$14,$M363,BQ$13))))</f>
        <v>1000000000000</v>
      </c>
      <c r="BR363" s="215">
        <f ca="1">IF($D363&lt;&gt;"Serviço",0,IF(AND(AUTOEVENTO="Manual",$M363=1),0,IF(OFFSET(CRONOPLE!$F$14,$M363,BR$13)="",10^12,OFFSET(CRONOPLE!$F$14,$M363,BR$13))))</f>
        <v>1000000000000</v>
      </c>
      <c r="BS363" s="215">
        <f ca="1">IF($D363&lt;&gt;"Serviço",0,IF(AND(AUTOEVENTO="Manual",$M363=1),0,IF(OFFSET(CRONOPLE!$F$14,$M363,BS$13)="",10^12,OFFSET(CRONOPLE!$F$14,$M363,BS$13))))</f>
        <v>1000000000000</v>
      </c>
      <c r="BT363" s="215">
        <f ca="1">IF($D363&lt;&gt;"Serviço",0,IF(AND(AUTOEVENTO="Manual",$M363=1),0,IF(OFFSET(CRONOPLE!$F$14,$M363,BT$13)="",10^12,OFFSET(CRONOPLE!$F$14,$M363,BT$13))))</f>
        <v>1000000000000</v>
      </c>
      <c r="BV363" s="216">
        <f ca="1">IF($D363&lt;&gt;"Serviço",0,IF(OR(AND(AUTOEVENTO="Manual",$M363=1),$M363&gt;(ROW(PLE.lastrow)-ROW(PLE.firstrow))),0,IF(OFFSET(PLE!$G$14,$M363,BV$13)="",10^12,OFFSET(PLE!$G$14,$M363,BV$13))))</f>
        <v>1000000000000</v>
      </c>
      <c r="BW363" s="216">
        <f ca="1">IF($D363&lt;&gt;"Serviço",0,IF(OR(AND(AUTOEVENTO="Manual",$M363=1),$M363&gt;(ROW(PLE.lastrow)-ROW(PLE.firstrow))),0,IF(OFFSET(PLE!$G$14,$M363,BW$13)="",10^12,OFFSET(PLE!$G$14,$M363,BW$13))))</f>
        <v>1000000000000</v>
      </c>
      <c r="BX363" s="216">
        <f ca="1">IF($D363&lt;&gt;"Serviço",0,IF(OR(AND(AUTOEVENTO="Manual",$M363=1),$M363&gt;(ROW(PLE.lastrow)-ROW(PLE.firstrow))),0,IF(OFFSET(PLE!$G$14,$M363,BX$13)="",10^12,OFFSET(PLE!$G$14,$M363,BX$13))))</f>
        <v>1000000000000</v>
      </c>
      <c r="BY363" s="216">
        <f ca="1">IF($D363&lt;&gt;"Serviço",0,IF(OR(AND(AUTOEVENTO="Manual",$M363=1),$M363&gt;(ROW(PLE.lastrow)-ROW(PLE.firstrow))),0,IF(OFFSET(PLE!$G$14,$M363,BY$13)="",10^12,OFFSET(PLE!$G$14,$M363,BY$13))))</f>
        <v>1000000000000</v>
      </c>
      <c r="BZ363" s="216">
        <f ca="1">IF($D363&lt;&gt;"Serviço",0,IF(OR(AND(AUTOEVENTO="Manual",$M363=1),$M363&gt;(ROW(PLE.lastrow)-ROW(PLE.firstrow))),0,IF(OFFSET(PLE!$G$14,$M363,BZ$13)="",10^12,OFFSET(PLE!$G$14,$M363,BZ$13))))</f>
        <v>1000000000000</v>
      </c>
      <c r="CA363" s="216">
        <f ca="1">IF($D363&lt;&gt;"Serviço",0,IF(OR(AND(AUTOEVENTO="Manual",$M363=1),$M363&gt;(ROW(PLE.lastrow)-ROW(PLE.firstrow))),0,IF(OFFSET(PLE!$G$14,$M363,CA$13)="",10^12,OFFSET(PLE!$G$14,$M363,CA$13))))</f>
        <v>1000000000000</v>
      </c>
      <c r="CB363" s="216">
        <f ca="1">IF($D363&lt;&gt;"Serviço",0,IF(OR(AND(AUTOEVENTO="Manual",$M363=1),$M363&gt;(ROW(PLE.lastrow)-ROW(PLE.firstrow))),0,IF(OFFSET(PLE!$G$14,$M363,CB$13)="",10^12,OFFSET(PLE!$G$14,$M363,CB$13))))</f>
        <v>1000000000000</v>
      </c>
      <c r="CC363" s="216">
        <f ca="1">IF($D363&lt;&gt;"Serviço",0,IF(OR(AND(AUTOEVENTO="Manual",$M363=1),$M363&gt;(ROW(PLE.lastrow)-ROW(PLE.firstrow))),0,IF(OFFSET(PLE!$G$14,$M363,CC$13)="",10^12,OFFSET(PLE!$G$14,$M363,CC$13))))</f>
        <v>1000000000000</v>
      </c>
      <c r="CD363" s="216">
        <f ca="1">IF($D363&lt;&gt;"Serviço",0,IF(OR(AND(AUTOEVENTO="Manual",$M363=1),$M363&gt;(ROW(PLE.lastrow)-ROW(PLE.firstrow))),0,IF(OFFSET(PLE!$G$14,$M363,CD$13)="",10^12,OFFSET(PLE!$G$14,$M363,CD$13))))</f>
        <v>1000000000000</v>
      </c>
      <c r="CE363" s="216">
        <f ca="1">IF($D363&lt;&gt;"Serviço",0,IF(OR(AND(AUTOEVENTO="Manual",$M363=1),$M363&gt;(ROW(PLE.lastrow)-ROW(PLE.firstrow))),0,IF(OFFSET(PLE!$G$14,$M363,CE$13)="",10^12,OFFSET(PLE!$G$14,$M363,CE$13))))</f>
        <v>1000000000000</v>
      </c>
      <c r="CF363" s="216">
        <f ca="1">IF($D363&lt;&gt;"Serviço",0,IF(OR(AND(AUTOEVENTO="Manual",$M363=1),$M363&gt;(ROW(PLE.lastrow)-ROW(PLE.firstrow))),0,IF(OFFSET(PLE!$G$14,$M363,CF$13)="",10^12,OFFSET(PLE!$G$14,$M363,CF$13))))</f>
        <v>1000000000000</v>
      </c>
      <c r="CG363" s="216">
        <f ca="1">IF($D363&lt;&gt;"Serviço",0,IF(OR(AND(AUTOEVENTO="Manual",$M363=1),$M363&gt;(ROW(PLE.lastrow)-ROW(PLE.firstrow))),0,IF(OFFSET(PLE!$G$14,$M363,CG$13)="",10^12,OFFSET(PLE!$G$14,$M363,CG$13))))</f>
        <v>1000000000000</v>
      </c>
      <c r="CH363" s="216">
        <f ca="1">IF($D363&lt;&gt;"Serviço",0,IF(OR(AND(AUTOEVENTO="Manual",$M363=1),$M363&gt;(ROW(PLE.lastrow)-ROW(PLE.firstrow))),0,IF(OFFSET(PLE!$G$14,$M363,CH$13)="",10^12,OFFSET(PLE!$G$14,$M363,CH$13))))</f>
        <v>1000000000000</v>
      </c>
      <c r="CI363" s="216">
        <f ca="1">IF($D363&lt;&gt;"Serviço",0,IF(OR(AND(AUTOEVENTO="Manual",$M363=1),$M363&gt;(ROW(PLE.lastrow)-ROW(PLE.firstrow))),0,IF(OFFSET(PLE!$G$14,$M363,CI$13)="",10^12,OFFSET(PLE!$G$14,$M363,CI$13))))</f>
        <v>1000000000000</v>
      </c>
      <c r="CJ363" s="216">
        <f ca="1">IF($D363&lt;&gt;"Serviço",0,IF(OR(AND(AUTOEVENTO="Manual",$M363=1),$M363&gt;(ROW(PLE.lastrow)-ROW(PLE.firstrow))),0,IF(OFFSET(PLE!$G$14,$M363,CJ$13)="",10^12,OFFSET(PLE!$G$14,$M363,CJ$13))))</f>
        <v>1000000000000</v>
      </c>
      <c r="CK363" s="216">
        <f ca="1">IF($D363&lt;&gt;"Serviço",0,IF(OR(AND(AUTOEVENTO="Manual",$M363=1),$M363&gt;(ROW(PLE.lastrow)-ROW(PLE.firstrow))),0,IF(OFFSET(PLE!$G$14,$M363,CK$13)="",10^12,OFFSET(PLE!$G$14,$M363,CK$13))))</f>
        <v>1000000000000</v>
      </c>
      <c r="CL363" s="216">
        <f ca="1">IF($D363&lt;&gt;"Serviço",0,IF(OR(AND(AUTOEVENTO="Manual",$M363=1),$M363&gt;(ROW(PLE.lastrow)-ROW(PLE.firstrow))),0,IF(OFFSET(PLE!$G$14,$M363,CL$13)="",10^12,OFFSET(PLE!$G$14,$M363,CL$13))))</f>
        <v>1000000000000</v>
      </c>
      <c r="CM363" s="216">
        <f ca="1">IF($D363&lt;&gt;"Serviço",0,IF(OR(AND(AUTOEVENTO="Manual",$M363=1),$M363&gt;(ROW(PLE.lastrow)-ROW(PLE.firstrow))),0,IF(OFFSET(PLE!$G$14,$M363,CM$13)="",10^12,OFFSET(PLE!$G$14,$M363,CM$13))))</f>
        <v>1000000000000</v>
      </c>
    </row>
    <row r="364" spans="1:91" ht="13.2" x14ac:dyDescent="0.25">
      <c r="A364" s="9">
        <f t="shared" ca="1" si="14"/>
        <v>0</v>
      </c>
      <c r="B364" s="9">
        <f ca="1">OFFSET(ORÇAMENTO!C$15,ROW(B364)-ROW(B$15),0)</f>
        <v>3</v>
      </c>
      <c r="C364" s="9" t="str">
        <f ca="1">OFFSET(ORÇAMENTO!L$15,ROW(C364)-ROW(C$15),0)</f>
        <v>F</v>
      </c>
      <c r="D364" s="145" t="str">
        <f ca="1">OFFSET(ORÇAMENTO!N$15,ROW(D364)-ROW(D$15),0)</f>
        <v>Nível 3</v>
      </c>
      <c r="E364" s="205" t="str">
        <f ca="1">OFFSET(ORÇAMENTO!O$15,ROW(E364)-ROW(E$15),0)</f>
        <v>1.12.4.</v>
      </c>
      <c r="F364" s="206" t="str">
        <f ca="1">OFFSET(ORÇAMENTO!R$15,ROW(F364)-ROW(F$15),0)</f>
        <v>SISTEMA DE REUSO DE ÁGUA</v>
      </c>
      <c r="G364" s="207" t="str">
        <f ca="1">IF($D364&lt;&gt;"Serviço","",OFFSET(ORÇAMENTO!S$15,ROW(G364)-ROW(G$15),0))</f>
        <v/>
      </c>
      <c r="H364" s="151">
        <f ca="1">IF($D364&lt;&gt;"Serviço",0,IF(ACOMPANHAMENTO="BM",ROUND(OFFSET(ORÇAMENTO!AJ$15,ROW(H364)-ROW(H$15),0),15-13*ORÇAMENTO!$AF$7),SUMPRODUCT(($Q$12:$AI$12&lt;&gt;"")*ROUND($Q364:$AI364,15-13*ORÇAMENTO!$AF$7))))</f>
        <v>0</v>
      </c>
      <c r="I364" s="650"/>
      <c r="K364" s="208"/>
      <c r="L364" s="209" t="s">
        <v>257</v>
      </c>
      <c r="M364" s="210" t="str">
        <f ca="1">IF($D364&lt;&gt;"Serviço","",IF(AUTOEVENTO="manual",$A364,IF(ISERROR(MATCH($A364,$A$15:OFFSET($A364,-1,0),0)),MAX($M$15:OFFSET(M364,-1,0))+1,INDEX($M$15:OFFSET(M364,-1,0),MATCH($A364,$A$15:OFFSET($A364,-1,0),0)))))</f>
        <v/>
      </c>
      <c r="N364" s="211" t="str">
        <f ca="1">IF($D364&lt;&gt;"Serviço","",IF(AUTOEVENTO="Manual",IF($A364=0,"&lt;-- defina o número do agrupador",OFFSET(EVENTOS!$D$14,$A364,0)),OFFSET($F$15,$A364,0)))</f>
        <v/>
      </c>
      <c r="O364" s="212"/>
      <c r="Q364" s="212"/>
      <c r="R364" s="213"/>
      <c r="S364" s="213"/>
      <c r="T364" s="213"/>
      <c r="U364" s="213"/>
      <c r="V364" s="213"/>
      <c r="W364" s="213"/>
      <c r="X364" s="213"/>
      <c r="Y364" s="213"/>
      <c r="Z364" s="214"/>
      <c r="AA364" s="213"/>
      <c r="AB364" s="213"/>
      <c r="AC364" s="213"/>
      <c r="AD364" s="213"/>
      <c r="AE364" s="213"/>
      <c r="AF364" s="213"/>
      <c r="AG364" s="213"/>
      <c r="AH364" s="214"/>
      <c r="AJ364" s="631">
        <f ca="1">IF(AND($D364="Serviço",AJ$12&lt;&gt;0,$H364&gt;0,OR(AUTOEVENTO&lt;&gt;"manual",$M364&lt;&gt;1)),ROUND(OFFSET($P364,0,AJ$13),15-13*ORÇAMENTO!$AF$7)/$H364*OFFSET(ORÇAMENTO!$X$15,ROW(AJ364)-ROW(AJ$15),0),0)</f>
        <v>0</v>
      </c>
      <c r="AK364" s="632">
        <f ca="1">IF(AND($D364="Serviço",AK$12&lt;&gt;0,$H364&gt;0,OR(AUTOEVENTO&lt;&gt;"manual",$M364&lt;&gt;1)),ROUND(OFFSET($P364,0,AK$13),15-13*ORÇAMENTO!$AF$7)/$H364*OFFSET(ORÇAMENTO!$X$15,ROW(AK364)-ROW(AK$15),0),0)</f>
        <v>0</v>
      </c>
      <c r="AL364" s="632">
        <f ca="1">IF(AND($D364="Serviço",AL$12&lt;&gt;0,$H364&gt;0,OR(AUTOEVENTO&lt;&gt;"manual",$M364&lt;&gt;1)),ROUND(OFFSET($P364,0,AL$13),15-13*ORÇAMENTO!$AF$7)/$H364*OFFSET(ORÇAMENTO!$X$15,ROW(AL364)-ROW(AL$15),0),0)</f>
        <v>0</v>
      </c>
      <c r="AM364" s="632">
        <f ca="1">IF(AND($D364="Serviço",AM$12&lt;&gt;0,$H364&gt;0,OR(AUTOEVENTO&lt;&gt;"manual",$M364&lt;&gt;1)),ROUND(OFFSET($P364,0,AM$13),15-13*ORÇAMENTO!$AF$7)/$H364*OFFSET(ORÇAMENTO!$X$15,ROW(AM364)-ROW(AM$15),0),0)</f>
        <v>0</v>
      </c>
      <c r="AN364" s="632">
        <f ca="1">IF(AND($D364="Serviço",AN$12&lt;&gt;0,$H364&gt;0,OR(AUTOEVENTO&lt;&gt;"manual",$M364&lt;&gt;1)),ROUND(OFFSET($P364,0,AN$13),15-13*ORÇAMENTO!$AF$7)/$H364*OFFSET(ORÇAMENTO!$X$15,ROW(AN364)-ROW(AN$15),0),0)</f>
        <v>0</v>
      </c>
      <c r="AO364" s="632">
        <f ca="1">IF(AND($D364="Serviço",AO$12&lt;&gt;0,$H364&gt;0,OR(AUTOEVENTO&lt;&gt;"manual",$M364&lt;&gt;1)),ROUND(OFFSET($P364,0,AO$13),15-13*ORÇAMENTO!$AF$7)/$H364*OFFSET(ORÇAMENTO!$X$15,ROW(AO364)-ROW(AO$15),0),0)</f>
        <v>0</v>
      </c>
      <c r="AP364" s="632">
        <f ca="1">IF(AND($D364="Serviço",AP$12&lt;&gt;0,$H364&gt;0,OR(AUTOEVENTO&lt;&gt;"manual",$M364&lt;&gt;1)),ROUND(OFFSET($P364,0,AP$13),15-13*ORÇAMENTO!$AF$7)/$H364*OFFSET(ORÇAMENTO!$X$15,ROW(AP364)-ROW(AP$15),0),0)</f>
        <v>0</v>
      </c>
      <c r="AQ364" s="632">
        <f ca="1">IF(AND($D364="Serviço",AQ$12&lt;&gt;0,$H364&gt;0,OR(AUTOEVENTO&lt;&gt;"manual",$M364&lt;&gt;1)),ROUND(OFFSET($P364,0,AQ$13),15-13*ORÇAMENTO!$AF$7)/$H364*OFFSET(ORÇAMENTO!$X$15,ROW(AQ364)-ROW(AQ$15),0),0)</f>
        <v>0</v>
      </c>
      <c r="AR364" s="632">
        <f ca="1">IF(AND($D364="Serviço",AR$12&lt;&gt;0,$H364&gt;0,OR(AUTOEVENTO&lt;&gt;"manual",$M364&lt;&gt;1)),ROUND(OFFSET($P364,0,AR$13),15-13*ORÇAMENTO!$AF$7)/$H364*OFFSET(ORÇAMENTO!$X$15,ROW(AR364)-ROW(AR$15),0),0)</f>
        <v>0</v>
      </c>
      <c r="AS364" s="633">
        <f ca="1">IF(AND($D364="Serviço",AS$12&lt;&gt;0,$H364&gt;0,OR(AUTOEVENTO&lt;&gt;"manual",$M364&lt;&gt;1)),ROUND(OFFSET($P364,0,AS$13),15-13*ORÇAMENTO!$AF$7)/$H364*OFFSET(ORÇAMENTO!$X$15,ROW(AS364)-ROW(AS$15),0),0)</f>
        <v>0</v>
      </c>
      <c r="AT364" s="632">
        <f ca="1">IF(AND($D364="Serviço",AT$12&lt;&gt;0,$H364&gt;0,OR(AUTOEVENTO&lt;&gt;"manual",$M364&lt;&gt;1)),ROUND(OFFSET($P364,0,AT$13),15-13*ORÇAMENTO!$AF$7)/$H364*OFFSET(ORÇAMENTO!$X$15,ROW(AT364)-ROW(AT$15),0),0)</f>
        <v>0</v>
      </c>
      <c r="AU364" s="632">
        <f ca="1">IF(AND($D364="Serviço",AU$12&lt;&gt;0,$H364&gt;0,OR(AUTOEVENTO&lt;&gt;"manual",$M364&lt;&gt;1)),ROUND(OFFSET($P364,0,AU$13),15-13*ORÇAMENTO!$AF$7)/$H364*OFFSET(ORÇAMENTO!$X$15,ROW(AU364)-ROW(AU$15),0),0)</f>
        <v>0</v>
      </c>
      <c r="AV364" s="632">
        <f ca="1">IF(AND($D364="Serviço",AV$12&lt;&gt;0,$H364&gt;0,OR(AUTOEVENTO&lt;&gt;"manual",$M364&lt;&gt;1)),ROUND(OFFSET($P364,0,AV$13),15-13*ORÇAMENTO!$AF$7)/$H364*OFFSET(ORÇAMENTO!$X$15,ROW(AV364)-ROW(AV$15),0),0)</f>
        <v>0</v>
      </c>
      <c r="AW364" s="632">
        <f ca="1">IF(AND($D364="Serviço",AW$12&lt;&gt;0,$H364&gt;0,OR(AUTOEVENTO&lt;&gt;"manual",$M364&lt;&gt;1)),ROUND(OFFSET($P364,0,AW$13),15-13*ORÇAMENTO!$AF$7)/$H364*OFFSET(ORÇAMENTO!$X$15,ROW(AW364)-ROW(AW$15),0),0)</f>
        <v>0</v>
      </c>
      <c r="AX364" s="632">
        <f ca="1">IF(AND($D364="Serviço",AX$12&lt;&gt;0,$H364&gt;0,OR(AUTOEVENTO&lt;&gt;"manual",$M364&lt;&gt;1)),ROUND(OFFSET($P364,0,AX$13),15-13*ORÇAMENTO!$AF$7)/$H364*OFFSET(ORÇAMENTO!$X$15,ROW(AX364)-ROW(AX$15),0),0)</f>
        <v>0</v>
      </c>
      <c r="AY364" s="632">
        <f ca="1">IF(AND($D364="Serviço",AY$12&lt;&gt;0,$H364&gt;0,OR(AUTOEVENTO&lt;&gt;"manual",$M364&lt;&gt;1)),ROUND(OFFSET($P364,0,AY$13),15-13*ORÇAMENTO!$AF$7)/$H364*OFFSET(ORÇAMENTO!$X$15,ROW(AY364)-ROW(AY$15),0),0)</f>
        <v>0</v>
      </c>
      <c r="AZ364" s="632">
        <f ca="1">IF(AND($D364="Serviço",AZ$12&lt;&gt;0,$H364&gt;0,OR(AUTOEVENTO&lt;&gt;"manual",$M364&lt;&gt;1)),ROUND(OFFSET($P364,0,AZ$13),15-13*ORÇAMENTO!$AF$7)/$H364*OFFSET(ORÇAMENTO!$X$15,ROW(AZ364)-ROW(AZ$15),0),0)</f>
        <v>0</v>
      </c>
      <c r="BA364" s="633">
        <f ca="1">IF(AND($D364="Serviço",BA$12&lt;&gt;0,$H364&gt;0,OR(AUTOEVENTO&lt;&gt;"manual",$M364&lt;&gt;1)),ROUND(OFFSET($P364,0,BA$13),15-13*ORÇAMENTO!$AF$7)/$H364*OFFSET(ORÇAMENTO!$X$15,ROW(BA364)-ROW(BA$15),0),0)</f>
        <v>0</v>
      </c>
      <c r="BC364" s="215">
        <f ca="1">IF($D364&lt;&gt;"Serviço",0,IF(AND(AUTOEVENTO="Manual",$M364=1),0,IF(OFFSET(CRONOPLE!$F$14,$M364,BC$13)="",10^12,OFFSET(CRONOPLE!$F$14,$M364,BC$13))))</f>
        <v>0</v>
      </c>
      <c r="BD364" s="215">
        <f ca="1">IF($D364&lt;&gt;"Serviço",0,IF(AND(AUTOEVENTO="Manual",$M364=1),0,IF(OFFSET(CRONOPLE!$F$14,$M364,BD$13)="",10^12,OFFSET(CRONOPLE!$F$14,$M364,BD$13))))</f>
        <v>0</v>
      </c>
      <c r="BE364" s="215">
        <f ca="1">IF($D364&lt;&gt;"Serviço",0,IF(AND(AUTOEVENTO="Manual",$M364=1),0,IF(OFFSET(CRONOPLE!$F$14,$M364,BE$13)="",10^12,OFFSET(CRONOPLE!$F$14,$M364,BE$13))))</f>
        <v>0</v>
      </c>
      <c r="BF364" s="215">
        <f ca="1">IF($D364&lt;&gt;"Serviço",0,IF(AND(AUTOEVENTO="Manual",$M364=1),0,IF(OFFSET(CRONOPLE!$F$14,$M364,BF$13)="",10^12,OFFSET(CRONOPLE!$F$14,$M364,BF$13))))</f>
        <v>0</v>
      </c>
      <c r="BG364" s="215">
        <f ca="1">IF($D364&lt;&gt;"Serviço",0,IF(AND(AUTOEVENTO="Manual",$M364=1),0,IF(OFFSET(CRONOPLE!$F$14,$M364,BG$13)="",10^12,OFFSET(CRONOPLE!$F$14,$M364,BG$13))))</f>
        <v>0</v>
      </c>
      <c r="BH364" s="215">
        <f ca="1">IF($D364&lt;&gt;"Serviço",0,IF(AND(AUTOEVENTO="Manual",$M364=1),0,IF(OFFSET(CRONOPLE!$F$14,$M364,BH$13)="",10^12,OFFSET(CRONOPLE!$F$14,$M364,BH$13))))</f>
        <v>0</v>
      </c>
      <c r="BI364" s="215">
        <f ca="1">IF($D364&lt;&gt;"Serviço",0,IF(AND(AUTOEVENTO="Manual",$M364=1),0,IF(OFFSET(CRONOPLE!$F$14,$M364,BI$13)="",10^12,OFFSET(CRONOPLE!$F$14,$M364,BI$13))))</f>
        <v>0</v>
      </c>
      <c r="BJ364" s="215">
        <f ca="1">IF($D364&lt;&gt;"Serviço",0,IF(AND(AUTOEVENTO="Manual",$M364=1),0,IF(OFFSET(CRONOPLE!$F$14,$M364,BJ$13)="",10^12,OFFSET(CRONOPLE!$F$14,$M364,BJ$13))))</f>
        <v>0</v>
      </c>
      <c r="BK364" s="215">
        <f ca="1">IF($D364&lt;&gt;"Serviço",0,IF(AND(AUTOEVENTO="Manual",$M364=1),0,IF(OFFSET(CRONOPLE!$F$14,$M364,BK$13)="",10^12,OFFSET(CRONOPLE!$F$14,$M364,BK$13))))</f>
        <v>0</v>
      </c>
      <c r="BL364" s="215">
        <f ca="1">IF($D364&lt;&gt;"Serviço",0,IF(AND(AUTOEVENTO="Manual",$M364=1),0,IF(OFFSET(CRONOPLE!$F$14,$M364,BL$13)="",10^12,OFFSET(CRONOPLE!$F$14,$M364,BL$13))))</f>
        <v>0</v>
      </c>
      <c r="BM364" s="215">
        <f ca="1">IF($D364&lt;&gt;"Serviço",0,IF(AND(AUTOEVENTO="Manual",$M364=1),0,IF(OFFSET(CRONOPLE!$F$14,$M364,BM$13)="",10^12,OFFSET(CRONOPLE!$F$14,$M364,BM$13))))</f>
        <v>0</v>
      </c>
      <c r="BN364" s="215">
        <f ca="1">IF($D364&lt;&gt;"Serviço",0,IF(AND(AUTOEVENTO="Manual",$M364=1),0,IF(OFFSET(CRONOPLE!$F$14,$M364,BN$13)="",10^12,OFFSET(CRONOPLE!$F$14,$M364,BN$13))))</f>
        <v>0</v>
      </c>
      <c r="BO364" s="215">
        <f ca="1">IF($D364&lt;&gt;"Serviço",0,IF(AND(AUTOEVENTO="Manual",$M364=1),0,IF(OFFSET(CRONOPLE!$F$14,$M364,BO$13)="",10^12,OFFSET(CRONOPLE!$F$14,$M364,BO$13))))</f>
        <v>0</v>
      </c>
      <c r="BP364" s="215">
        <f ca="1">IF($D364&lt;&gt;"Serviço",0,IF(AND(AUTOEVENTO="Manual",$M364=1),0,IF(OFFSET(CRONOPLE!$F$14,$M364,BP$13)="",10^12,OFFSET(CRONOPLE!$F$14,$M364,BP$13))))</f>
        <v>0</v>
      </c>
      <c r="BQ364" s="215">
        <f ca="1">IF($D364&lt;&gt;"Serviço",0,IF(AND(AUTOEVENTO="Manual",$M364=1),0,IF(OFFSET(CRONOPLE!$F$14,$M364,BQ$13)="",10^12,OFFSET(CRONOPLE!$F$14,$M364,BQ$13))))</f>
        <v>0</v>
      </c>
      <c r="BR364" s="215">
        <f ca="1">IF($D364&lt;&gt;"Serviço",0,IF(AND(AUTOEVENTO="Manual",$M364=1),0,IF(OFFSET(CRONOPLE!$F$14,$M364,BR$13)="",10^12,OFFSET(CRONOPLE!$F$14,$M364,BR$13))))</f>
        <v>0</v>
      </c>
      <c r="BS364" s="215">
        <f ca="1">IF($D364&lt;&gt;"Serviço",0,IF(AND(AUTOEVENTO="Manual",$M364=1),0,IF(OFFSET(CRONOPLE!$F$14,$M364,BS$13)="",10^12,OFFSET(CRONOPLE!$F$14,$M364,BS$13))))</f>
        <v>0</v>
      </c>
      <c r="BT364" s="215">
        <f ca="1">IF($D364&lt;&gt;"Serviço",0,IF(AND(AUTOEVENTO="Manual",$M364=1),0,IF(OFFSET(CRONOPLE!$F$14,$M364,BT$13)="",10^12,OFFSET(CRONOPLE!$F$14,$M364,BT$13))))</f>
        <v>0</v>
      </c>
      <c r="BV364" s="216">
        <f ca="1">IF($D364&lt;&gt;"Serviço",0,IF(OR(AND(AUTOEVENTO="Manual",$M364=1),$M364&gt;(ROW(PLE.lastrow)-ROW(PLE.firstrow))),0,IF(OFFSET(PLE!$G$14,$M364,BV$13)="",10^12,OFFSET(PLE!$G$14,$M364,BV$13))))</f>
        <v>0</v>
      </c>
      <c r="BW364" s="216">
        <f ca="1">IF($D364&lt;&gt;"Serviço",0,IF(OR(AND(AUTOEVENTO="Manual",$M364=1),$M364&gt;(ROW(PLE.lastrow)-ROW(PLE.firstrow))),0,IF(OFFSET(PLE!$G$14,$M364,BW$13)="",10^12,OFFSET(PLE!$G$14,$M364,BW$13))))</f>
        <v>0</v>
      </c>
      <c r="BX364" s="216">
        <f ca="1">IF($D364&lt;&gt;"Serviço",0,IF(OR(AND(AUTOEVENTO="Manual",$M364=1),$M364&gt;(ROW(PLE.lastrow)-ROW(PLE.firstrow))),0,IF(OFFSET(PLE!$G$14,$M364,BX$13)="",10^12,OFFSET(PLE!$G$14,$M364,BX$13))))</f>
        <v>0</v>
      </c>
      <c r="BY364" s="216">
        <f ca="1">IF($D364&lt;&gt;"Serviço",0,IF(OR(AND(AUTOEVENTO="Manual",$M364=1),$M364&gt;(ROW(PLE.lastrow)-ROW(PLE.firstrow))),0,IF(OFFSET(PLE!$G$14,$M364,BY$13)="",10^12,OFFSET(PLE!$G$14,$M364,BY$13))))</f>
        <v>0</v>
      </c>
      <c r="BZ364" s="216">
        <f ca="1">IF($D364&lt;&gt;"Serviço",0,IF(OR(AND(AUTOEVENTO="Manual",$M364=1),$M364&gt;(ROW(PLE.lastrow)-ROW(PLE.firstrow))),0,IF(OFFSET(PLE!$G$14,$M364,BZ$13)="",10^12,OFFSET(PLE!$G$14,$M364,BZ$13))))</f>
        <v>0</v>
      </c>
      <c r="CA364" s="216">
        <f ca="1">IF($D364&lt;&gt;"Serviço",0,IF(OR(AND(AUTOEVENTO="Manual",$M364=1),$M364&gt;(ROW(PLE.lastrow)-ROW(PLE.firstrow))),0,IF(OFFSET(PLE!$G$14,$M364,CA$13)="",10^12,OFFSET(PLE!$G$14,$M364,CA$13))))</f>
        <v>0</v>
      </c>
      <c r="CB364" s="216">
        <f ca="1">IF($D364&lt;&gt;"Serviço",0,IF(OR(AND(AUTOEVENTO="Manual",$M364=1),$M364&gt;(ROW(PLE.lastrow)-ROW(PLE.firstrow))),0,IF(OFFSET(PLE!$G$14,$M364,CB$13)="",10^12,OFFSET(PLE!$G$14,$M364,CB$13))))</f>
        <v>0</v>
      </c>
      <c r="CC364" s="216">
        <f ca="1">IF($D364&lt;&gt;"Serviço",0,IF(OR(AND(AUTOEVENTO="Manual",$M364=1),$M364&gt;(ROW(PLE.lastrow)-ROW(PLE.firstrow))),0,IF(OFFSET(PLE!$G$14,$M364,CC$13)="",10^12,OFFSET(PLE!$G$14,$M364,CC$13))))</f>
        <v>0</v>
      </c>
      <c r="CD364" s="216">
        <f ca="1">IF($D364&lt;&gt;"Serviço",0,IF(OR(AND(AUTOEVENTO="Manual",$M364=1),$M364&gt;(ROW(PLE.lastrow)-ROW(PLE.firstrow))),0,IF(OFFSET(PLE!$G$14,$M364,CD$13)="",10^12,OFFSET(PLE!$G$14,$M364,CD$13))))</f>
        <v>0</v>
      </c>
      <c r="CE364" s="216">
        <f ca="1">IF($D364&lt;&gt;"Serviço",0,IF(OR(AND(AUTOEVENTO="Manual",$M364=1),$M364&gt;(ROW(PLE.lastrow)-ROW(PLE.firstrow))),0,IF(OFFSET(PLE!$G$14,$M364,CE$13)="",10^12,OFFSET(PLE!$G$14,$M364,CE$13))))</f>
        <v>0</v>
      </c>
      <c r="CF364" s="216">
        <f ca="1">IF($D364&lt;&gt;"Serviço",0,IF(OR(AND(AUTOEVENTO="Manual",$M364=1),$M364&gt;(ROW(PLE.lastrow)-ROW(PLE.firstrow))),0,IF(OFFSET(PLE!$G$14,$M364,CF$13)="",10^12,OFFSET(PLE!$G$14,$M364,CF$13))))</f>
        <v>0</v>
      </c>
      <c r="CG364" s="216">
        <f ca="1">IF($D364&lt;&gt;"Serviço",0,IF(OR(AND(AUTOEVENTO="Manual",$M364=1),$M364&gt;(ROW(PLE.lastrow)-ROW(PLE.firstrow))),0,IF(OFFSET(PLE!$G$14,$M364,CG$13)="",10^12,OFFSET(PLE!$G$14,$M364,CG$13))))</f>
        <v>0</v>
      </c>
      <c r="CH364" s="216">
        <f ca="1">IF($D364&lt;&gt;"Serviço",0,IF(OR(AND(AUTOEVENTO="Manual",$M364=1),$M364&gt;(ROW(PLE.lastrow)-ROW(PLE.firstrow))),0,IF(OFFSET(PLE!$G$14,$M364,CH$13)="",10^12,OFFSET(PLE!$G$14,$M364,CH$13))))</f>
        <v>0</v>
      </c>
      <c r="CI364" s="216">
        <f ca="1">IF($D364&lt;&gt;"Serviço",0,IF(OR(AND(AUTOEVENTO="Manual",$M364=1),$M364&gt;(ROW(PLE.lastrow)-ROW(PLE.firstrow))),0,IF(OFFSET(PLE!$G$14,$M364,CI$13)="",10^12,OFFSET(PLE!$G$14,$M364,CI$13))))</f>
        <v>0</v>
      </c>
      <c r="CJ364" s="216">
        <f ca="1">IF($D364&lt;&gt;"Serviço",0,IF(OR(AND(AUTOEVENTO="Manual",$M364=1),$M364&gt;(ROW(PLE.lastrow)-ROW(PLE.firstrow))),0,IF(OFFSET(PLE!$G$14,$M364,CJ$13)="",10^12,OFFSET(PLE!$G$14,$M364,CJ$13))))</f>
        <v>0</v>
      </c>
      <c r="CK364" s="216">
        <f ca="1">IF($D364&lt;&gt;"Serviço",0,IF(OR(AND(AUTOEVENTO="Manual",$M364=1),$M364&gt;(ROW(PLE.lastrow)-ROW(PLE.firstrow))),0,IF(OFFSET(PLE!$G$14,$M364,CK$13)="",10^12,OFFSET(PLE!$G$14,$M364,CK$13))))</f>
        <v>0</v>
      </c>
      <c r="CL364" s="216">
        <f ca="1">IF($D364&lt;&gt;"Serviço",0,IF(OR(AND(AUTOEVENTO="Manual",$M364=1),$M364&gt;(ROW(PLE.lastrow)-ROW(PLE.firstrow))),0,IF(OFFSET(PLE!$G$14,$M364,CL$13)="",10^12,OFFSET(PLE!$G$14,$M364,CL$13))))</f>
        <v>0</v>
      </c>
      <c r="CM364" s="216">
        <f ca="1">IF($D364&lt;&gt;"Serviço",0,IF(OR(AND(AUTOEVENTO="Manual",$M364=1),$M364&gt;(ROW(PLE.lastrow)-ROW(PLE.firstrow))),0,IF(OFFSET(PLE!$G$14,$M364,CM$13)="",10^12,OFFSET(PLE!$G$14,$M364,CM$13))))</f>
        <v>0</v>
      </c>
    </row>
    <row r="365" spans="1:91" ht="13.2" x14ac:dyDescent="0.25">
      <c r="A365" s="9">
        <f t="shared" ca="1" si="14"/>
        <v>0</v>
      </c>
      <c r="B365" s="9" t="str">
        <f ca="1">OFFSET(ORÇAMENTO!C$15,ROW(B365)-ROW(B$15),0)</f>
        <v>S</v>
      </c>
      <c r="C365" s="9" t="str">
        <f ca="1">OFFSET(ORÇAMENTO!L$15,ROW(C365)-ROW(C$15),0)</f>
        <v/>
      </c>
      <c r="D365" s="145" t="str">
        <f ca="1">OFFSET(ORÇAMENTO!N$15,ROW(D365)-ROW(D$15),0)</f>
        <v>Serviço</v>
      </c>
      <c r="E365" s="205" t="str">
        <f ca="1">OFFSET(ORÇAMENTO!O$15,ROW(E365)-ROW(E$15),0)</f>
        <v>-</v>
      </c>
      <c r="F365" s="206" t="str">
        <f ca="1">OFFSET(ORÇAMENTO!R$15,ROW(F365)-ROW(F$15),0)</f>
        <v>(abra o arquivo 'Referência 05-2024.xls)</v>
      </c>
      <c r="G365" s="207" t="str">
        <f ca="1">IF($D365&lt;&gt;"Serviço","",OFFSET(ORÇAMENTO!S$15,ROW(G365)-ROW(G$15),0))</f>
        <v>-</v>
      </c>
      <c r="H365" s="151">
        <f ca="1">IF($D365&lt;&gt;"Serviço",0,IF(ACOMPANHAMENTO="BM",ROUND(OFFSET(ORÇAMENTO!AJ$15,ROW(H365)-ROW(H$15),0),15-13*ORÇAMENTO!$AF$7),SUMPRODUCT(($Q$12:$AI$12&lt;&gt;"")*ROUND($Q365:$AI365,15-13*ORÇAMENTO!$AF$7))))</f>
        <v>6</v>
      </c>
      <c r="I365" s="650"/>
      <c r="K365" s="208"/>
      <c r="L365" s="209" t="s">
        <v>257</v>
      </c>
      <c r="M365" s="210">
        <f ca="1">IF($D365&lt;&gt;"Serviço","",IF(AUTOEVENTO="manual",$A365,IF(ISERROR(MATCH($A365,$A$15:OFFSET($A365,-1,0),0)),MAX($M$15:OFFSET(M365,-1,0))+1,INDEX($M$15:OFFSET(M365,-1,0),MATCH($A365,$A$15:OFFSET($A365,-1,0),0)))))</f>
        <v>0</v>
      </c>
      <c r="N365" s="211" t="str">
        <f ca="1">IF($D365&lt;&gt;"Serviço","",IF(AUTOEVENTO="Manual",IF($A365=0,"&lt;-- defina o número do agrupador",OFFSET(EVENTOS!$D$14,$A365,0)),OFFSET($F$15,$A365,0)))</f>
        <v>&lt;-- defina o número do agrupador</v>
      </c>
      <c r="O365" s="212"/>
      <c r="Q365" s="212"/>
      <c r="R365" s="213"/>
      <c r="S365" s="213"/>
      <c r="T365" s="213"/>
      <c r="U365" s="213"/>
      <c r="V365" s="213"/>
      <c r="W365" s="213"/>
      <c r="X365" s="213"/>
      <c r="Y365" s="213"/>
      <c r="Z365" s="214"/>
      <c r="AA365" s="213"/>
      <c r="AB365" s="213"/>
      <c r="AC365" s="213"/>
      <c r="AD365" s="213"/>
      <c r="AE365" s="213"/>
      <c r="AF365" s="213"/>
      <c r="AG365" s="213"/>
      <c r="AH365" s="214"/>
      <c r="AJ365" s="631">
        <f ca="1">IF(AND($D365="Serviço",AJ$12&lt;&gt;0,$H365&gt;0,OR(AUTOEVENTO&lt;&gt;"manual",$M365&lt;&gt;1)),ROUND(OFFSET($P365,0,AJ$13),15-13*ORÇAMENTO!$AF$7)/$H365*OFFSET(ORÇAMENTO!$X$15,ROW(AJ365)-ROW(AJ$15),0),0)</f>
        <v>0</v>
      </c>
      <c r="AK365" s="632">
        <f ca="1">IF(AND($D365="Serviço",AK$12&lt;&gt;0,$H365&gt;0,OR(AUTOEVENTO&lt;&gt;"manual",$M365&lt;&gt;1)),ROUND(OFFSET($P365,0,AK$13),15-13*ORÇAMENTO!$AF$7)/$H365*OFFSET(ORÇAMENTO!$X$15,ROW(AK365)-ROW(AK$15),0),0)</f>
        <v>0</v>
      </c>
      <c r="AL365" s="632">
        <f ca="1">IF(AND($D365="Serviço",AL$12&lt;&gt;0,$H365&gt;0,OR(AUTOEVENTO&lt;&gt;"manual",$M365&lt;&gt;1)),ROUND(OFFSET($P365,0,AL$13),15-13*ORÇAMENTO!$AF$7)/$H365*OFFSET(ORÇAMENTO!$X$15,ROW(AL365)-ROW(AL$15),0),0)</f>
        <v>0</v>
      </c>
      <c r="AM365" s="632">
        <f ca="1">IF(AND($D365="Serviço",AM$12&lt;&gt;0,$H365&gt;0,OR(AUTOEVENTO&lt;&gt;"manual",$M365&lt;&gt;1)),ROUND(OFFSET($P365,0,AM$13),15-13*ORÇAMENTO!$AF$7)/$H365*OFFSET(ORÇAMENTO!$X$15,ROW(AM365)-ROW(AM$15),0),0)</f>
        <v>0</v>
      </c>
      <c r="AN365" s="632">
        <f ca="1">IF(AND($D365="Serviço",AN$12&lt;&gt;0,$H365&gt;0,OR(AUTOEVENTO&lt;&gt;"manual",$M365&lt;&gt;1)),ROUND(OFFSET($P365,0,AN$13),15-13*ORÇAMENTO!$AF$7)/$H365*OFFSET(ORÇAMENTO!$X$15,ROW(AN365)-ROW(AN$15),0),0)</f>
        <v>0</v>
      </c>
      <c r="AO365" s="632">
        <f ca="1">IF(AND($D365="Serviço",AO$12&lt;&gt;0,$H365&gt;0,OR(AUTOEVENTO&lt;&gt;"manual",$M365&lt;&gt;1)),ROUND(OFFSET($P365,0,AO$13),15-13*ORÇAMENTO!$AF$7)/$H365*OFFSET(ORÇAMENTO!$X$15,ROW(AO365)-ROW(AO$15),0),0)</f>
        <v>0</v>
      </c>
      <c r="AP365" s="632">
        <f ca="1">IF(AND($D365="Serviço",AP$12&lt;&gt;0,$H365&gt;0,OR(AUTOEVENTO&lt;&gt;"manual",$M365&lt;&gt;1)),ROUND(OFFSET($P365,0,AP$13),15-13*ORÇAMENTO!$AF$7)/$H365*OFFSET(ORÇAMENTO!$X$15,ROW(AP365)-ROW(AP$15),0),0)</f>
        <v>0</v>
      </c>
      <c r="AQ365" s="632">
        <f ca="1">IF(AND($D365="Serviço",AQ$12&lt;&gt;0,$H365&gt;0,OR(AUTOEVENTO&lt;&gt;"manual",$M365&lt;&gt;1)),ROUND(OFFSET($P365,0,AQ$13),15-13*ORÇAMENTO!$AF$7)/$H365*OFFSET(ORÇAMENTO!$X$15,ROW(AQ365)-ROW(AQ$15),0),0)</f>
        <v>0</v>
      </c>
      <c r="AR365" s="632">
        <f ca="1">IF(AND($D365="Serviço",AR$12&lt;&gt;0,$H365&gt;0,OR(AUTOEVENTO&lt;&gt;"manual",$M365&lt;&gt;1)),ROUND(OFFSET($P365,0,AR$13),15-13*ORÇAMENTO!$AF$7)/$H365*OFFSET(ORÇAMENTO!$X$15,ROW(AR365)-ROW(AR$15),0),0)</f>
        <v>0</v>
      </c>
      <c r="AS365" s="633">
        <f ca="1">IF(AND($D365="Serviço",AS$12&lt;&gt;0,$H365&gt;0,OR(AUTOEVENTO&lt;&gt;"manual",$M365&lt;&gt;1)),ROUND(OFFSET($P365,0,AS$13),15-13*ORÇAMENTO!$AF$7)/$H365*OFFSET(ORÇAMENTO!$X$15,ROW(AS365)-ROW(AS$15),0),0)</f>
        <v>0</v>
      </c>
      <c r="AT365" s="632">
        <f ca="1">IF(AND($D365="Serviço",AT$12&lt;&gt;0,$H365&gt;0,OR(AUTOEVENTO&lt;&gt;"manual",$M365&lt;&gt;1)),ROUND(OFFSET($P365,0,AT$13),15-13*ORÇAMENTO!$AF$7)/$H365*OFFSET(ORÇAMENTO!$X$15,ROW(AT365)-ROW(AT$15),0),0)</f>
        <v>0</v>
      </c>
      <c r="AU365" s="632">
        <f ca="1">IF(AND($D365="Serviço",AU$12&lt;&gt;0,$H365&gt;0,OR(AUTOEVENTO&lt;&gt;"manual",$M365&lt;&gt;1)),ROUND(OFFSET($P365,0,AU$13),15-13*ORÇAMENTO!$AF$7)/$H365*OFFSET(ORÇAMENTO!$X$15,ROW(AU365)-ROW(AU$15),0),0)</f>
        <v>0</v>
      </c>
      <c r="AV365" s="632">
        <f ca="1">IF(AND($D365="Serviço",AV$12&lt;&gt;0,$H365&gt;0,OR(AUTOEVENTO&lt;&gt;"manual",$M365&lt;&gt;1)),ROUND(OFFSET($P365,0,AV$13),15-13*ORÇAMENTO!$AF$7)/$H365*OFFSET(ORÇAMENTO!$X$15,ROW(AV365)-ROW(AV$15),0),0)</f>
        <v>0</v>
      </c>
      <c r="AW365" s="632">
        <f ca="1">IF(AND($D365="Serviço",AW$12&lt;&gt;0,$H365&gt;0,OR(AUTOEVENTO&lt;&gt;"manual",$M365&lt;&gt;1)),ROUND(OFFSET($P365,0,AW$13),15-13*ORÇAMENTO!$AF$7)/$H365*OFFSET(ORÇAMENTO!$X$15,ROW(AW365)-ROW(AW$15),0),0)</f>
        <v>0</v>
      </c>
      <c r="AX365" s="632">
        <f ca="1">IF(AND($D365="Serviço",AX$12&lt;&gt;0,$H365&gt;0,OR(AUTOEVENTO&lt;&gt;"manual",$M365&lt;&gt;1)),ROUND(OFFSET($P365,0,AX$13),15-13*ORÇAMENTO!$AF$7)/$H365*OFFSET(ORÇAMENTO!$X$15,ROW(AX365)-ROW(AX$15),0),0)</f>
        <v>0</v>
      </c>
      <c r="AY365" s="632">
        <f ca="1">IF(AND($D365="Serviço",AY$12&lt;&gt;0,$H365&gt;0,OR(AUTOEVENTO&lt;&gt;"manual",$M365&lt;&gt;1)),ROUND(OFFSET($P365,0,AY$13),15-13*ORÇAMENTO!$AF$7)/$H365*OFFSET(ORÇAMENTO!$X$15,ROW(AY365)-ROW(AY$15),0),0)</f>
        <v>0</v>
      </c>
      <c r="AZ365" s="632">
        <f ca="1">IF(AND($D365="Serviço",AZ$12&lt;&gt;0,$H365&gt;0,OR(AUTOEVENTO&lt;&gt;"manual",$M365&lt;&gt;1)),ROUND(OFFSET($P365,0,AZ$13),15-13*ORÇAMENTO!$AF$7)/$H365*OFFSET(ORÇAMENTO!$X$15,ROW(AZ365)-ROW(AZ$15),0),0)</f>
        <v>0</v>
      </c>
      <c r="BA365" s="633">
        <f ca="1">IF(AND($D365="Serviço",BA$12&lt;&gt;0,$H365&gt;0,OR(AUTOEVENTO&lt;&gt;"manual",$M365&lt;&gt;1)),ROUND(OFFSET($P365,0,BA$13),15-13*ORÇAMENTO!$AF$7)/$H365*OFFSET(ORÇAMENTO!$X$15,ROW(BA365)-ROW(BA$15),0),0)</f>
        <v>0</v>
      </c>
      <c r="BC365" s="215">
        <f ca="1">IF($D365&lt;&gt;"Serviço",0,IF(AND(AUTOEVENTO="Manual",$M365=1),0,IF(OFFSET(CRONOPLE!$F$14,$M365,BC$13)="",10^12,OFFSET(CRONOPLE!$F$14,$M365,BC$13))))</f>
        <v>1000000000000</v>
      </c>
      <c r="BD365" s="215">
        <f ca="1">IF($D365&lt;&gt;"Serviço",0,IF(AND(AUTOEVENTO="Manual",$M365=1),0,IF(OFFSET(CRONOPLE!$F$14,$M365,BD$13)="",10^12,OFFSET(CRONOPLE!$F$14,$M365,BD$13))))</f>
        <v>1000000000000</v>
      </c>
      <c r="BE365" s="215">
        <f ca="1">IF($D365&lt;&gt;"Serviço",0,IF(AND(AUTOEVENTO="Manual",$M365=1),0,IF(OFFSET(CRONOPLE!$F$14,$M365,BE$13)="",10^12,OFFSET(CRONOPLE!$F$14,$M365,BE$13))))</f>
        <v>1000000000000</v>
      </c>
      <c r="BF365" s="215">
        <f ca="1">IF($D365&lt;&gt;"Serviço",0,IF(AND(AUTOEVENTO="Manual",$M365=1),0,IF(OFFSET(CRONOPLE!$F$14,$M365,BF$13)="",10^12,OFFSET(CRONOPLE!$F$14,$M365,BF$13))))</f>
        <v>1000000000000</v>
      </c>
      <c r="BG365" s="215">
        <f ca="1">IF($D365&lt;&gt;"Serviço",0,IF(AND(AUTOEVENTO="Manual",$M365=1),0,IF(OFFSET(CRONOPLE!$F$14,$M365,BG$13)="",10^12,OFFSET(CRONOPLE!$F$14,$M365,BG$13))))</f>
        <v>1000000000000</v>
      </c>
      <c r="BH365" s="215">
        <f ca="1">IF($D365&lt;&gt;"Serviço",0,IF(AND(AUTOEVENTO="Manual",$M365=1),0,IF(OFFSET(CRONOPLE!$F$14,$M365,BH$13)="",10^12,OFFSET(CRONOPLE!$F$14,$M365,BH$13))))</f>
        <v>1000000000000</v>
      </c>
      <c r="BI365" s="215">
        <f ca="1">IF($D365&lt;&gt;"Serviço",0,IF(AND(AUTOEVENTO="Manual",$M365=1),0,IF(OFFSET(CRONOPLE!$F$14,$M365,BI$13)="",10^12,OFFSET(CRONOPLE!$F$14,$M365,BI$13))))</f>
        <v>1000000000000</v>
      </c>
      <c r="BJ365" s="215">
        <f ca="1">IF($D365&lt;&gt;"Serviço",0,IF(AND(AUTOEVENTO="Manual",$M365=1),0,IF(OFFSET(CRONOPLE!$F$14,$M365,BJ$13)="",10^12,OFFSET(CRONOPLE!$F$14,$M365,BJ$13))))</f>
        <v>1000000000000</v>
      </c>
      <c r="BK365" s="215">
        <f ca="1">IF($D365&lt;&gt;"Serviço",0,IF(AND(AUTOEVENTO="Manual",$M365=1),0,IF(OFFSET(CRONOPLE!$F$14,$M365,BK$13)="",10^12,OFFSET(CRONOPLE!$F$14,$M365,BK$13))))</f>
        <v>1000000000000</v>
      </c>
      <c r="BL365" s="215">
        <f ca="1">IF($D365&lt;&gt;"Serviço",0,IF(AND(AUTOEVENTO="Manual",$M365=1),0,IF(OFFSET(CRONOPLE!$F$14,$M365,BL$13)="",10^12,OFFSET(CRONOPLE!$F$14,$M365,BL$13))))</f>
        <v>1000000000000</v>
      </c>
      <c r="BM365" s="215">
        <f ca="1">IF($D365&lt;&gt;"Serviço",0,IF(AND(AUTOEVENTO="Manual",$M365=1),0,IF(OFFSET(CRONOPLE!$F$14,$M365,BM$13)="",10^12,OFFSET(CRONOPLE!$F$14,$M365,BM$13))))</f>
        <v>1000000000000</v>
      </c>
      <c r="BN365" s="215">
        <f ca="1">IF($D365&lt;&gt;"Serviço",0,IF(AND(AUTOEVENTO="Manual",$M365=1),0,IF(OFFSET(CRONOPLE!$F$14,$M365,BN$13)="",10^12,OFFSET(CRONOPLE!$F$14,$M365,BN$13))))</f>
        <v>1000000000000</v>
      </c>
      <c r="BO365" s="215">
        <f ca="1">IF($D365&lt;&gt;"Serviço",0,IF(AND(AUTOEVENTO="Manual",$M365=1),0,IF(OFFSET(CRONOPLE!$F$14,$M365,BO$13)="",10^12,OFFSET(CRONOPLE!$F$14,$M365,BO$13))))</f>
        <v>1000000000000</v>
      </c>
      <c r="BP365" s="215">
        <f ca="1">IF($D365&lt;&gt;"Serviço",0,IF(AND(AUTOEVENTO="Manual",$M365=1),0,IF(OFFSET(CRONOPLE!$F$14,$M365,BP$13)="",10^12,OFFSET(CRONOPLE!$F$14,$M365,BP$13))))</f>
        <v>1000000000000</v>
      </c>
      <c r="BQ365" s="215">
        <f ca="1">IF($D365&lt;&gt;"Serviço",0,IF(AND(AUTOEVENTO="Manual",$M365=1),0,IF(OFFSET(CRONOPLE!$F$14,$M365,BQ$13)="",10^12,OFFSET(CRONOPLE!$F$14,$M365,BQ$13))))</f>
        <v>1000000000000</v>
      </c>
      <c r="BR365" s="215">
        <f ca="1">IF($D365&lt;&gt;"Serviço",0,IF(AND(AUTOEVENTO="Manual",$M365=1),0,IF(OFFSET(CRONOPLE!$F$14,$M365,BR$13)="",10^12,OFFSET(CRONOPLE!$F$14,$M365,BR$13))))</f>
        <v>1000000000000</v>
      </c>
      <c r="BS365" s="215">
        <f ca="1">IF($D365&lt;&gt;"Serviço",0,IF(AND(AUTOEVENTO="Manual",$M365=1),0,IF(OFFSET(CRONOPLE!$F$14,$M365,BS$13)="",10^12,OFFSET(CRONOPLE!$F$14,$M365,BS$13))))</f>
        <v>1000000000000</v>
      </c>
      <c r="BT365" s="215">
        <f ca="1">IF($D365&lt;&gt;"Serviço",0,IF(AND(AUTOEVENTO="Manual",$M365=1),0,IF(OFFSET(CRONOPLE!$F$14,$M365,BT$13)="",10^12,OFFSET(CRONOPLE!$F$14,$M365,BT$13))))</f>
        <v>1000000000000</v>
      </c>
      <c r="BV365" s="216">
        <f ca="1">IF($D365&lt;&gt;"Serviço",0,IF(OR(AND(AUTOEVENTO="Manual",$M365=1),$M365&gt;(ROW(PLE.lastrow)-ROW(PLE.firstrow))),0,IF(OFFSET(PLE!$G$14,$M365,BV$13)="",10^12,OFFSET(PLE!$G$14,$M365,BV$13))))</f>
        <v>1000000000000</v>
      </c>
      <c r="BW365" s="216">
        <f ca="1">IF($D365&lt;&gt;"Serviço",0,IF(OR(AND(AUTOEVENTO="Manual",$M365=1),$M365&gt;(ROW(PLE.lastrow)-ROW(PLE.firstrow))),0,IF(OFFSET(PLE!$G$14,$M365,BW$13)="",10^12,OFFSET(PLE!$G$14,$M365,BW$13))))</f>
        <v>1000000000000</v>
      </c>
      <c r="BX365" s="216">
        <f ca="1">IF($D365&lt;&gt;"Serviço",0,IF(OR(AND(AUTOEVENTO="Manual",$M365=1),$M365&gt;(ROW(PLE.lastrow)-ROW(PLE.firstrow))),0,IF(OFFSET(PLE!$G$14,$M365,BX$13)="",10^12,OFFSET(PLE!$G$14,$M365,BX$13))))</f>
        <v>1000000000000</v>
      </c>
      <c r="BY365" s="216">
        <f ca="1">IF($D365&lt;&gt;"Serviço",0,IF(OR(AND(AUTOEVENTO="Manual",$M365=1),$M365&gt;(ROW(PLE.lastrow)-ROW(PLE.firstrow))),0,IF(OFFSET(PLE!$G$14,$M365,BY$13)="",10^12,OFFSET(PLE!$G$14,$M365,BY$13))))</f>
        <v>1000000000000</v>
      </c>
      <c r="BZ365" s="216">
        <f ca="1">IF($D365&lt;&gt;"Serviço",0,IF(OR(AND(AUTOEVENTO="Manual",$M365=1),$M365&gt;(ROW(PLE.lastrow)-ROW(PLE.firstrow))),0,IF(OFFSET(PLE!$G$14,$M365,BZ$13)="",10^12,OFFSET(PLE!$G$14,$M365,BZ$13))))</f>
        <v>1000000000000</v>
      </c>
      <c r="CA365" s="216">
        <f ca="1">IF($D365&lt;&gt;"Serviço",0,IF(OR(AND(AUTOEVENTO="Manual",$M365=1),$M365&gt;(ROW(PLE.lastrow)-ROW(PLE.firstrow))),0,IF(OFFSET(PLE!$G$14,$M365,CA$13)="",10^12,OFFSET(PLE!$G$14,$M365,CA$13))))</f>
        <v>1000000000000</v>
      </c>
      <c r="CB365" s="216">
        <f ca="1">IF($D365&lt;&gt;"Serviço",0,IF(OR(AND(AUTOEVENTO="Manual",$M365=1),$M365&gt;(ROW(PLE.lastrow)-ROW(PLE.firstrow))),0,IF(OFFSET(PLE!$G$14,$M365,CB$13)="",10^12,OFFSET(PLE!$G$14,$M365,CB$13))))</f>
        <v>1000000000000</v>
      </c>
      <c r="CC365" s="216">
        <f ca="1">IF($D365&lt;&gt;"Serviço",0,IF(OR(AND(AUTOEVENTO="Manual",$M365=1),$M365&gt;(ROW(PLE.lastrow)-ROW(PLE.firstrow))),0,IF(OFFSET(PLE!$G$14,$M365,CC$13)="",10^12,OFFSET(PLE!$G$14,$M365,CC$13))))</f>
        <v>1000000000000</v>
      </c>
      <c r="CD365" s="216">
        <f ca="1">IF($D365&lt;&gt;"Serviço",0,IF(OR(AND(AUTOEVENTO="Manual",$M365=1),$M365&gt;(ROW(PLE.lastrow)-ROW(PLE.firstrow))),0,IF(OFFSET(PLE!$G$14,$M365,CD$13)="",10^12,OFFSET(PLE!$G$14,$M365,CD$13))))</f>
        <v>1000000000000</v>
      </c>
      <c r="CE365" s="216">
        <f ca="1">IF($D365&lt;&gt;"Serviço",0,IF(OR(AND(AUTOEVENTO="Manual",$M365=1),$M365&gt;(ROW(PLE.lastrow)-ROW(PLE.firstrow))),0,IF(OFFSET(PLE!$G$14,$M365,CE$13)="",10^12,OFFSET(PLE!$G$14,$M365,CE$13))))</f>
        <v>1000000000000</v>
      </c>
      <c r="CF365" s="216">
        <f ca="1">IF($D365&lt;&gt;"Serviço",0,IF(OR(AND(AUTOEVENTO="Manual",$M365=1),$M365&gt;(ROW(PLE.lastrow)-ROW(PLE.firstrow))),0,IF(OFFSET(PLE!$G$14,$M365,CF$13)="",10^12,OFFSET(PLE!$G$14,$M365,CF$13))))</f>
        <v>1000000000000</v>
      </c>
      <c r="CG365" s="216">
        <f ca="1">IF($D365&lt;&gt;"Serviço",0,IF(OR(AND(AUTOEVENTO="Manual",$M365=1),$M365&gt;(ROW(PLE.lastrow)-ROW(PLE.firstrow))),0,IF(OFFSET(PLE!$G$14,$M365,CG$13)="",10^12,OFFSET(PLE!$G$14,$M365,CG$13))))</f>
        <v>1000000000000</v>
      </c>
      <c r="CH365" s="216">
        <f ca="1">IF($D365&lt;&gt;"Serviço",0,IF(OR(AND(AUTOEVENTO="Manual",$M365=1),$M365&gt;(ROW(PLE.lastrow)-ROW(PLE.firstrow))),0,IF(OFFSET(PLE!$G$14,$M365,CH$13)="",10^12,OFFSET(PLE!$G$14,$M365,CH$13))))</f>
        <v>1000000000000</v>
      </c>
      <c r="CI365" s="216">
        <f ca="1">IF($D365&lt;&gt;"Serviço",0,IF(OR(AND(AUTOEVENTO="Manual",$M365=1),$M365&gt;(ROW(PLE.lastrow)-ROW(PLE.firstrow))),0,IF(OFFSET(PLE!$G$14,$M365,CI$13)="",10^12,OFFSET(PLE!$G$14,$M365,CI$13))))</f>
        <v>1000000000000</v>
      </c>
      <c r="CJ365" s="216">
        <f ca="1">IF($D365&lt;&gt;"Serviço",0,IF(OR(AND(AUTOEVENTO="Manual",$M365=1),$M365&gt;(ROW(PLE.lastrow)-ROW(PLE.firstrow))),0,IF(OFFSET(PLE!$G$14,$M365,CJ$13)="",10^12,OFFSET(PLE!$G$14,$M365,CJ$13))))</f>
        <v>1000000000000</v>
      </c>
      <c r="CK365" s="216">
        <f ca="1">IF($D365&lt;&gt;"Serviço",0,IF(OR(AND(AUTOEVENTO="Manual",$M365=1),$M365&gt;(ROW(PLE.lastrow)-ROW(PLE.firstrow))),0,IF(OFFSET(PLE!$G$14,$M365,CK$13)="",10^12,OFFSET(PLE!$G$14,$M365,CK$13))))</f>
        <v>1000000000000</v>
      </c>
      <c r="CL365" s="216">
        <f ca="1">IF($D365&lt;&gt;"Serviço",0,IF(OR(AND(AUTOEVENTO="Manual",$M365=1),$M365&gt;(ROW(PLE.lastrow)-ROW(PLE.firstrow))),0,IF(OFFSET(PLE!$G$14,$M365,CL$13)="",10^12,OFFSET(PLE!$G$14,$M365,CL$13))))</f>
        <v>1000000000000</v>
      </c>
      <c r="CM365" s="216">
        <f ca="1">IF($D365&lt;&gt;"Serviço",0,IF(OR(AND(AUTOEVENTO="Manual",$M365=1),$M365&gt;(ROW(PLE.lastrow)-ROW(PLE.firstrow))),0,IF(OFFSET(PLE!$G$14,$M365,CM$13)="",10^12,OFFSET(PLE!$G$14,$M365,CM$13))))</f>
        <v>1000000000000</v>
      </c>
    </row>
    <row r="366" spans="1:91" ht="13.2" x14ac:dyDescent="0.25">
      <c r="A366" s="9">
        <f t="shared" ca="1" si="14"/>
        <v>0</v>
      </c>
      <c r="B366" s="9" t="str">
        <f ca="1">OFFSET(ORÇAMENTO!C$15,ROW(B366)-ROW(B$15),0)</f>
        <v>S</v>
      </c>
      <c r="C366" s="9" t="str">
        <f ca="1">OFFSET(ORÇAMENTO!L$15,ROW(C366)-ROW(C$15),0)</f>
        <v/>
      </c>
      <c r="D366" s="145" t="str">
        <f ca="1">OFFSET(ORÇAMENTO!N$15,ROW(D366)-ROW(D$15),0)</f>
        <v>Serviço</v>
      </c>
      <c r="E366" s="205" t="str">
        <f ca="1">OFFSET(ORÇAMENTO!O$15,ROW(E366)-ROW(E$15),0)</f>
        <v>-</v>
      </c>
      <c r="F366" s="206" t="str">
        <f ca="1">OFFSET(ORÇAMENTO!R$15,ROW(F366)-ROW(F$15),0)</f>
        <v>(abra o arquivo 'Referência 05-2024.xls)</v>
      </c>
      <c r="G366" s="207" t="str">
        <f ca="1">IF($D366&lt;&gt;"Serviço","",OFFSET(ORÇAMENTO!S$15,ROW(G366)-ROW(G$15),0))</f>
        <v>-</v>
      </c>
      <c r="H366" s="151">
        <f ca="1">IF($D366&lt;&gt;"Serviço",0,IF(ACOMPANHAMENTO="BM",ROUND(OFFSET(ORÇAMENTO!AJ$15,ROW(H366)-ROW(H$15),0),15-13*ORÇAMENTO!$AF$7),SUMPRODUCT(($Q$12:$AI$12&lt;&gt;"")*ROUND($Q366:$AI366,15-13*ORÇAMENTO!$AF$7))))</f>
        <v>2</v>
      </c>
      <c r="I366" s="650"/>
      <c r="K366" s="208"/>
      <c r="L366" s="209" t="s">
        <v>257</v>
      </c>
      <c r="M366" s="210">
        <f ca="1">IF($D366&lt;&gt;"Serviço","",IF(AUTOEVENTO="manual",$A366,IF(ISERROR(MATCH($A366,$A$15:OFFSET($A366,-1,0),0)),MAX($M$15:OFFSET(M366,-1,0))+1,INDEX($M$15:OFFSET(M366,-1,0),MATCH($A366,$A$15:OFFSET($A366,-1,0),0)))))</f>
        <v>0</v>
      </c>
      <c r="N366" s="211" t="str">
        <f ca="1">IF($D366&lt;&gt;"Serviço","",IF(AUTOEVENTO="Manual",IF($A366=0,"&lt;-- defina o número do agrupador",OFFSET(EVENTOS!$D$14,$A366,0)),OFFSET($F$15,$A366,0)))</f>
        <v>&lt;-- defina o número do agrupador</v>
      </c>
      <c r="O366" s="212"/>
      <c r="Q366" s="212"/>
      <c r="R366" s="213"/>
      <c r="S366" s="213"/>
      <c r="T366" s="213"/>
      <c r="U366" s="213"/>
      <c r="V366" s="213"/>
      <c r="W366" s="213"/>
      <c r="X366" s="213"/>
      <c r="Y366" s="213"/>
      <c r="Z366" s="214"/>
      <c r="AA366" s="213"/>
      <c r="AB366" s="213"/>
      <c r="AC366" s="213"/>
      <c r="AD366" s="213"/>
      <c r="AE366" s="213"/>
      <c r="AF366" s="213"/>
      <c r="AG366" s="213"/>
      <c r="AH366" s="214"/>
      <c r="AJ366" s="631">
        <f ca="1">IF(AND($D366="Serviço",AJ$12&lt;&gt;0,$H366&gt;0,OR(AUTOEVENTO&lt;&gt;"manual",$M366&lt;&gt;1)),ROUND(OFFSET($P366,0,AJ$13),15-13*ORÇAMENTO!$AF$7)/$H366*OFFSET(ORÇAMENTO!$X$15,ROW(AJ366)-ROW(AJ$15),0),0)</f>
        <v>0</v>
      </c>
      <c r="AK366" s="632">
        <f ca="1">IF(AND($D366="Serviço",AK$12&lt;&gt;0,$H366&gt;0,OR(AUTOEVENTO&lt;&gt;"manual",$M366&lt;&gt;1)),ROUND(OFFSET($P366,0,AK$13),15-13*ORÇAMENTO!$AF$7)/$H366*OFFSET(ORÇAMENTO!$X$15,ROW(AK366)-ROW(AK$15),0),0)</f>
        <v>0</v>
      </c>
      <c r="AL366" s="632">
        <f ca="1">IF(AND($D366="Serviço",AL$12&lt;&gt;0,$H366&gt;0,OR(AUTOEVENTO&lt;&gt;"manual",$M366&lt;&gt;1)),ROUND(OFFSET($P366,0,AL$13),15-13*ORÇAMENTO!$AF$7)/$H366*OFFSET(ORÇAMENTO!$X$15,ROW(AL366)-ROW(AL$15),0),0)</f>
        <v>0</v>
      </c>
      <c r="AM366" s="632">
        <f ca="1">IF(AND($D366="Serviço",AM$12&lt;&gt;0,$H366&gt;0,OR(AUTOEVENTO&lt;&gt;"manual",$M366&lt;&gt;1)),ROUND(OFFSET($P366,0,AM$13),15-13*ORÇAMENTO!$AF$7)/$H366*OFFSET(ORÇAMENTO!$X$15,ROW(AM366)-ROW(AM$15),0),0)</f>
        <v>0</v>
      </c>
      <c r="AN366" s="632">
        <f ca="1">IF(AND($D366="Serviço",AN$12&lt;&gt;0,$H366&gt;0,OR(AUTOEVENTO&lt;&gt;"manual",$M366&lt;&gt;1)),ROUND(OFFSET($P366,0,AN$13),15-13*ORÇAMENTO!$AF$7)/$H366*OFFSET(ORÇAMENTO!$X$15,ROW(AN366)-ROW(AN$15),0),0)</f>
        <v>0</v>
      </c>
      <c r="AO366" s="632">
        <f ca="1">IF(AND($D366="Serviço",AO$12&lt;&gt;0,$H366&gt;0,OR(AUTOEVENTO&lt;&gt;"manual",$M366&lt;&gt;1)),ROUND(OFFSET($P366,0,AO$13),15-13*ORÇAMENTO!$AF$7)/$H366*OFFSET(ORÇAMENTO!$X$15,ROW(AO366)-ROW(AO$15),0),0)</f>
        <v>0</v>
      </c>
      <c r="AP366" s="632">
        <f ca="1">IF(AND($D366="Serviço",AP$12&lt;&gt;0,$H366&gt;0,OR(AUTOEVENTO&lt;&gt;"manual",$M366&lt;&gt;1)),ROUND(OFFSET($P366,0,AP$13),15-13*ORÇAMENTO!$AF$7)/$H366*OFFSET(ORÇAMENTO!$X$15,ROW(AP366)-ROW(AP$15),0),0)</f>
        <v>0</v>
      </c>
      <c r="AQ366" s="632">
        <f ca="1">IF(AND($D366="Serviço",AQ$12&lt;&gt;0,$H366&gt;0,OR(AUTOEVENTO&lt;&gt;"manual",$M366&lt;&gt;1)),ROUND(OFFSET($P366,0,AQ$13),15-13*ORÇAMENTO!$AF$7)/$H366*OFFSET(ORÇAMENTO!$X$15,ROW(AQ366)-ROW(AQ$15),0),0)</f>
        <v>0</v>
      </c>
      <c r="AR366" s="632">
        <f ca="1">IF(AND($D366="Serviço",AR$12&lt;&gt;0,$H366&gt;0,OR(AUTOEVENTO&lt;&gt;"manual",$M366&lt;&gt;1)),ROUND(OFFSET($P366,0,AR$13),15-13*ORÇAMENTO!$AF$7)/$H366*OFFSET(ORÇAMENTO!$X$15,ROW(AR366)-ROW(AR$15),0),0)</f>
        <v>0</v>
      </c>
      <c r="AS366" s="633">
        <f ca="1">IF(AND($D366="Serviço",AS$12&lt;&gt;0,$H366&gt;0,OR(AUTOEVENTO&lt;&gt;"manual",$M366&lt;&gt;1)),ROUND(OFFSET($P366,0,AS$13),15-13*ORÇAMENTO!$AF$7)/$H366*OFFSET(ORÇAMENTO!$X$15,ROW(AS366)-ROW(AS$15),0),0)</f>
        <v>0</v>
      </c>
      <c r="AT366" s="632">
        <f ca="1">IF(AND($D366="Serviço",AT$12&lt;&gt;0,$H366&gt;0,OR(AUTOEVENTO&lt;&gt;"manual",$M366&lt;&gt;1)),ROUND(OFFSET($P366,0,AT$13),15-13*ORÇAMENTO!$AF$7)/$H366*OFFSET(ORÇAMENTO!$X$15,ROW(AT366)-ROW(AT$15),0),0)</f>
        <v>0</v>
      </c>
      <c r="AU366" s="632">
        <f ca="1">IF(AND($D366="Serviço",AU$12&lt;&gt;0,$H366&gt;0,OR(AUTOEVENTO&lt;&gt;"manual",$M366&lt;&gt;1)),ROUND(OFFSET($P366,0,AU$13),15-13*ORÇAMENTO!$AF$7)/$H366*OFFSET(ORÇAMENTO!$X$15,ROW(AU366)-ROW(AU$15),0),0)</f>
        <v>0</v>
      </c>
      <c r="AV366" s="632">
        <f ca="1">IF(AND($D366="Serviço",AV$12&lt;&gt;0,$H366&gt;0,OR(AUTOEVENTO&lt;&gt;"manual",$M366&lt;&gt;1)),ROUND(OFFSET($P366,0,AV$13),15-13*ORÇAMENTO!$AF$7)/$H366*OFFSET(ORÇAMENTO!$X$15,ROW(AV366)-ROW(AV$15),0),0)</f>
        <v>0</v>
      </c>
      <c r="AW366" s="632">
        <f ca="1">IF(AND($D366="Serviço",AW$12&lt;&gt;0,$H366&gt;0,OR(AUTOEVENTO&lt;&gt;"manual",$M366&lt;&gt;1)),ROUND(OFFSET($P366,0,AW$13),15-13*ORÇAMENTO!$AF$7)/$H366*OFFSET(ORÇAMENTO!$X$15,ROW(AW366)-ROW(AW$15),0),0)</f>
        <v>0</v>
      </c>
      <c r="AX366" s="632">
        <f ca="1">IF(AND($D366="Serviço",AX$12&lt;&gt;0,$H366&gt;0,OR(AUTOEVENTO&lt;&gt;"manual",$M366&lt;&gt;1)),ROUND(OFFSET($P366,0,AX$13),15-13*ORÇAMENTO!$AF$7)/$H366*OFFSET(ORÇAMENTO!$X$15,ROW(AX366)-ROW(AX$15),0),0)</f>
        <v>0</v>
      </c>
      <c r="AY366" s="632">
        <f ca="1">IF(AND($D366="Serviço",AY$12&lt;&gt;0,$H366&gt;0,OR(AUTOEVENTO&lt;&gt;"manual",$M366&lt;&gt;1)),ROUND(OFFSET($P366,0,AY$13),15-13*ORÇAMENTO!$AF$7)/$H366*OFFSET(ORÇAMENTO!$X$15,ROW(AY366)-ROW(AY$15),0),0)</f>
        <v>0</v>
      </c>
      <c r="AZ366" s="632">
        <f ca="1">IF(AND($D366="Serviço",AZ$12&lt;&gt;0,$H366&gt;0,OR(AUTOEVENTO&lt;&gt;"manual",$M366&lt;&gt;1)),ROUND(OFFSET($P366,0,AZ$13),15-13*ORÇAMENTO!$AF$7)/$H366*OFFSET(ORÇAMENTO!$X$15,ROW(AZ366)-ROW(AZ$15),0),0)</f>
        <v>0</v>
      </c>
      <c r="BA366" s="633">
        <f ca="1">IF(AND($D366="Serviço",BA$12&lt;&gt;0,$H366&gt;0,OR(AUTOEVENTO&lt;&gt;"manual",$M366&lt;&gt;1)),ROUND(OFFSET($P366,0,BA$13),15-13*ORÇAMENTO!$AF$7)/$H366*OFFSET(ORÇAMENTO!$X$15,ROW(BA366)-ROW(BA$15),0),0)</f>
        <v>0</v>
      </c>
      <c r="BC366" s="215">
        <f ca="1">IF($D366&lt;&gt;"Serviço",0,IF(AND(AUTOEVENTO="Manual",$M366=1),0,IF(OFFSET(CRONOPLE!$F$14,$M366,BC$13)="",10^12,OFFSET(CRONOPLE!$F$14,$M366,BC$13))))</f>
        <v>1000000000000</v>
      </c>
      <c r="BD366" s="215">
        <f ca="1">IF($D366&lt;&gt;"Serviço",0,IF(AND(AUTOEVENTO="Manual",$M366=1),0,IF(OFFSET(CRONOPLE!$F$14,$M366,BD$13)="",10^12,OFFSET(CRONOPLE!$F$14,$M366,BD$13))))</f>
        <v>1000000000000</v>
      </c>
      <c r="BE366" s="215">
        <f ca="1">IF($D366&lt;&gt;"Serviço",0,IF(AND(AUTOEVENTO="Manual",$M366=1),0,IF(OFFSET(CRONOPLE!$F$14,$M366,BE$13)="",10^12,OFFSET(CRONOPLE!$F$14,$M366,BE$13))))</f>
        <v>1000000000000</v>
      </c>
      <c r="BF366" s="215">
        <f ca="1">IF($D366&lt;&gt;"Serviço",0,IF(AND(AUTOEVENTO="Manual",$M366=1),0,IF(OFFSET(CRONOPLE!$F$14,$M366,BF$13)="",10^12,OFFSET(CRONOPLE!$F$14,$M366,BF$13))))</f>
        <v>1000000000000</v>
      </c>
      <c r="BG366" s="215">
        <f ca="1">IF($D366&lt;&gt;"Serviço",0,IF(AND(AUTOEVENTO="Manual",$M366=1),0,IF(OFFSET(CRONOPLE!$F$14,$M366,BG$13)="",10^12,OFFSET(CRONOPLE!$F$14,$M366,BG$13))))</f>
        <v>1000000000000</v>
      </c>
      <c r="BH366" s="215">
        <f ca="1">IF($D366&lt;&gt;"Serviço",0,IF(AND(AUTOEVENTO="Manual",$M366=1),0,IF(OFFSET(CRONOPLE!$F$14,$M366,BH$13)="",10^12,OFFSET(CRONOPLE!$F$14,$M366,BH$13))))</f>
        <v>1000000000000</v>
      </c>
      <c r="BI366" s="215">
        <f ca="1">IF($D366&lt;&gt;"Serviço",0,IF(AND(AUTOEVENTO="Manual",$M366=1),0,IF(OFFSET(CRONOPLE!$F$14,$M366,BI$13)="",10^12,OFFSET(CRONOPLE!$F$14,$M366,BI$13))))</f>
        <v>1000000000000</v>
      </c>
      <c r="BJ366" s="215">
        <f ca="1">IF($D366&lt;&gt;"Serviço",0,IF(AND(AUTOEVENTO="Manual",$M366=1),0,IF(OFFSET(CRONOPLE!$F$14,$M366,BJ$13)="",10^12,OFFSET(CRONOPLE!$F$14,$M366,BJ$13))))</f>
        <v>1000000000000</v>
      </c>
      <c r="BK366" s="215">
        <f ca="1">IF($D366&lt;&gt;"Serviço",0,IF(AND(AUTOEVENTO="Manual",$M366=1),0,IF(OFFSET(CRONOPLE!$F$14,$M366,BK$13)="",10^12,OFFSET(CRONOPLE!$F$14,$M366,BK$13))))</f>
        <v>1000000000000</v>
      </c>
      <c r="BL366" s="215">
        <f ca="1">IF($D366&lt;&gt;"Serviço",0,IF(AND(AUTOEVENTO="Manual",$M366=1),0,IF(OFFSET(CRONOPLE!$F$14,$M366,BL$13)="",10^12,OFFSET(CRONOPLE!$F$14,$M366,BL$13))))</f>
        <v>1000000000000</v>
      </c>
      <c r="BM366" s="215">
        <f ca="1">IF($D366&lt;&gt;"Serviço",0,IF(AND(AUTOEVENTO="Manual",$M366=1),0,IF(OFFSET(CRONOPLE!$F$14,$M366,BM$13)="",10^12,OFFSET(CRONOPLE!$F$14,$M366,BM$13))))</f>
        <v>1000000000000</v>
      </c>
      <c r="BN366" s="215">
        <f ca="1">IF($D366&lt;&gt;"Serviço",0,IF(AND(AUTOEVENTO="Manual",$M366=1),0,IF(OFFSET(CRONOPLE!$F$14,$M366,BN$13)="",10^12,OFFSET(CRONOPLE!$F$14,$M366,BN$13))))</f>
        <v>1000000000000</v>
      </c>
      <c r="BO366" s="215">
        <f ca="1">IF($D366&lt;&gt;"Serviço",0,IF(AND(AUTOEVENTO="Manual",$M366=1),0,IF(OFFSET(CRONOPLE!$F$14,$M366,BO$13)="",10^12,OFFSET(CRONOPLE!$F$14,$M366,BO$13))))</f>
        <v>1000000000000</v>
      </c>
      <c r="BP366" s="215">
        <f ca="1">IF($D366&lt;&gt;"Serviço",0,IF(AND(AUTOEVENTO="Manual",$M366=1),0,IF(OFFSET(CRONOPLE!$F$14,$M366,BP$13)="",10^12,OFFSET(CRONOPLE!$F$14,$M366,BP$13))))</f>
        <v>1000000000000</v>
      </c>
      <c r="BQ366" s="215">
        <f ca="1">IF($D366&lt;&gt;"Serviço",0,IF(AND(AUTOEVENTO="Manual",$M366=1),0,IF(OFFSET(CRONOPLE!$F$14,$M366,BQ$13)="",10^12,OFFSET(CRONOPLE!$F$14,$M366,BQ$13))))</f>
        <v>1000000000000</v>
      </c>
      <c r="BR366" s="215">
        <f ca="1">IF($D366&lt;&gt;"Serviço",0,IF(AND(AUTOEVENTO="Manual",$M366=1),0,IF(OFFSET(CRONOPLE!$F$14,$M366,BR$13)="",10^12,OFFSET(CRONOPLE!$F$14,$M366,BR$13))))</f>
        <v>1000000000000</v>
      </c>
      <c r="BS366" s="215">
        <f ca="1">IF($D366&lt;&gt;"Serviço",0,IF(AND(AUTOEVENTO="Manual",$M366=1),0,IF(OFFSET(CRONOPLE!$F$14,$M366,BS$13)="",10^12,OFFSET(CRONOPLE!$F$14,$M366,BS$13))))</f>
        <v>1000000000000</v>
      </c>
      <c r="BT366" s="215">
        <f ca="1">IF($D366&lt;&gt;"Serviço",0,IF(AND(AUTOEVENTO="Manual",$M366=1),0,IF(OFFSET(CRONOPLE!$F$14,$M366,BT$13)="",10^12,OFFSET(CRONOPLE!$F$14,$M366,BT$13))))</f>
        <v>1000000000000</v>
      </c>
      <c r="BV366" s="216">
        <f ca="1">IF($D366&lt;&gt;"Serviço",0,IF(OR(AND(AUTOEVENTO="Manual",$M366=1),$M366&gt;(ROW(PLE.lastrow)-ROW(PLE.firstrow))),0,IF(OFFSET(PLE!$G$14,$M366,BV$13)="",10^12,OFFSET(PLE!$G$14,$M366,BV$13))))</f>
        <v>1000000000000</v>
      </c>
      <c r="BW366" s="216">
        <f ca="1">IF($D366&lt;&gt;"Serviço",0,IF(OR(AND(AUTOEVENTO="Manual",$M366=1),$M366&gt;(ROW(PLE.lastrow)-ROW(PLE.firstrow))),0,IF(OFFSET(PLE!$G$14,$M366,BW$13)="",10^12,OFFSET(PLE!$G$14,$M366,BW$13))))</f>
        <v>1000000000000</v>
      </c>
      <c r="BX366" s="216">
        <f ca="1">IF($D366&lt;&gt;"Serviço",0,IF(OR(AND(AUTOEVENTO="Manual",$M366=1),$M366&gt;(ROW(PLE.lastrow)-ROW(PLE.firstrow))),0,IF(OFFSET(PLE!$G$14,$M366,BX$13)="",10^12,OFFSET(PLE!$G$14,$M366,BX$13))))</f>
        <v>1000000000000</v>
      </c>
      <c r="BY366" s="216">
        <f ca="1">IF($D366&lt;&gt;"Serviço",0,IF(OR(AND(AUTOEVENTO="Manual",$M366=1),$M366&gt;(ROW(PLE.lastrow)-ROW(PLE.firstrow))),0,IF(OFFSET(PLE!$G$14,$M366,BY$13)="",10^12,OFFSET(PLE!$G$14,$M366,BY$13))))</f>
        <v>1000000000000</v>
      </c>
      <c r="BZ366" s="216">
        <f ca="1">IF($D366&lt;&gt;"Serviço",0,IF(OR(AND(AUTOEVENTO="Manual",$M366=1),$M366&gt;(ROW(PLE.lastrow)-ROW(PLE.firstrow))),0,IF(OFFSET(PLE!$G$14,$M366,BZ$13)="",10^12,OFFSET(PLE!$G$14,$M366,BZ$13))))</f>
        <v>1000000000000</v>
      </c>
      <c r="CA366" s="216">
        <f ca="1">IF($D366&lt;&gt;"Serviço",0,IF(OR(AND(AUTOEVENTO="Manual",$M366=1),$M366&gt;(ROW(PLE.lastrow)-ROW(PLE.firstrow))),0,IF(OFFSET(PLE!$G$14,$M366,CA$13)="",10^12,OFFSET(PLE!$G$14,$M366,CA$13))))</f>
        <v>1000000000000</v>
      </c>
      <c r="CB366" s="216">
        <f ca="1">IF($D366&lt;&gt;"Serviço",0,IF(OR(AND(AUTOEVENTO="Manual",$M366=1),$M366&gt;(ROW(PLE.lastrow)-ROW(PLE.firstrow))),0,IF(OFFSET(PLE!$G$14,$M366,CB$13)="",10^12,OFFSET(PLE!$G$14,$M366,CB$13))))</f>
        <v>1000000000000</v>
      </c>
      <c r="CC366" s="216">
        <f ca="1">IF($D366&lt;&gt;"Serviço",0,IF(OR(AND(AUTOEVENTO="Manual",$M366=1),$M366&gt;(ROW(PLE.lastrow)-ROW(PLE.firstrow))),0,IF(OFFSET(PLE!$G$14,$M366,CC$13)="",10^12,OFFSET(PLE!$G$14,$M366,CC$13))))</f>
        <v>1000000000000</v>
      </c>
      <c r="CD366" s="216">
        <f ca="1">IF($D366&lt;&gt;"Serviço",0,IF(OR(AND(AUTOEVENTO="Manual",$M366=1),$M366&gt;(ROW(PLE.lastrow)-ROW(PLE.firstrow))),0,IF(OFFSET(PLE!$G$14,$M366,CD$13)="",10^12,OFFSET(PLE!$G$14,$M366,CD$13))))</f>
        <v>1000000000000</v>
      </c>
      <c r="CE366" s="216">
        <f ca="1">IF($D366&lt;&gt;"Serviço",0,IF(OR(AND(AUTOEVENTO="Manual",$M366=1),$M366&gt;(ROW(PLE.lastrow)-ROW(PLE.firstrow))),0,IF(OFFSET(PLE!$G$14,$M366,CE$13)="",10^12,OFFSET(PLE!$G$14,$M366,CE$13))))</f>
        <v>1000000000000</v>
      </c>
      <c r="CF366" s="216">
        <f ca="1">IF($D366&lt;&gt;"Serviço",0,IF(OR(AND(AUTOEVENTO="Manual",$M366=1),$M366&gt;(ROW(PLE.lastrow)-ROW(PLE.firstrow))),0,IF(OFFSET(PLE!$G$14,$M366,CF$13)="",10^12,OFFSET(PLE!$G$14,$M366,CF$13))))</f>
        <v>1000000000000</v>
      </c>
      <c r="CG366" s="216">
        <f ca="1">IF($D366&lt;&gt;"Serviço",0,IF(OR(AND(AUTOEVENTO="Manual",$M366=1),$M366&gt;(ROW(PLE.lastrow)-ROW(PLE.firstrow))),0,IF(OFFSET(PLE!$G$14,$M366,CG$13)="",10^12,OFFSET(PLE!$G$14,$M366,CG$13))))</f>
        <v>1000000000000</v>
      </c>
      <c r="CH366" s="216">
        <f ca="1">IF($D366&lt;&gt;"Serviço",0,IF(OR(AND(AUTOEVENTO="Manual",$M366=1),$M366&gt;(ROW(PLE.lastrow)-ROW(PLE.firstrow))),0,IF(OFFSET(PLE!$G$14,$M366,CH$13)="",10^12,OFFSET(PLE!$G$14,$M366,CH$13))))</f>
        <v>1000000000000</v>
      </c>
      <c r="CI366" s="216">
        <f ca="1">IF($D366&lt;&gt;"Serviço",0,IF(OR(AND(AUTOEVENTO="Manual",$M366=1),$M366&gt;(ROW(PLE.lastrow)-ROW(PLE.firstrow))),0,IF(OFFSET(PLE!$G$14,$M366,CI$13)="",10^12,OFFSET(PLE!$G$14,$M366,CI$13))))</f>
        <v>1000000000000</v>
      </c>
      <c r="CJ366" s="216">
        <f ca="1">IF($D366&lt;&gt;"Serviço",0,IF(OR(AND(AUTOEVENTO="Manual",$M366=1),$M366&gt;(ROW(PLE.lastrow)-ROW(PLE.firstrow))),0,IF(OFFSET(PLE!$G$14,$M366,CJ$13)="",10^12,OFFSET(PLE!$G$14,$M366,CJ$13))))</f>
        <v>1000000000000</v>
      </c>
      <c r="CK366" s="216">
        <f ca="1">IF($D366&lt;&gt;"Serviço",0,IF(OR(AND(AUTOEVENTO="Manual",$M366=1),$M366&gt;(ROW(PLE.lastrow)-ROW(PLE.firstrow))),0,IF(OFFSET(PLE!$G$14,$M366,CK$13)="",10^12,OFFSET(PLE!$G$14,$M366,CK$13))))</f>
        <v>1000000000000</v>
      </c>
      <c r="CL366" s="216">
        <f ca="1">IF($D366&lt;&gt;"Serviço",0,IF(OR(AND(AUTOEVENTO="Manual",$M366=1),$M366&gt;(ROW(PLE.lastrow)-ROW(PLE.firstrow))),0,IF(OFFSET(PLE!$G$14,$M366,CL$13)="",10^12,OFFSET(PLE!$G$14,$M366,CL$13))))</f>
        <v>1000000000000</v>
      </c>
      <c r="CM366" s="216">
        <f ca="1">IF($D366&lt;&gt;"Serviço",0,IF(OR(AND(AUTOEVENTO="Manual",$M366=1),$M366&gt;(ROW(PLE.lastrow)-ROW(PLE.firstrow))),0,IF(OFFSET(PLE!$G$14,$M366,CM$13)="",10^12,OFFSET(PLE!$G$14,$M366,CM$13))))</f>
        <v>1000000000000</v>
      </c>
    </row>
    <row r="367" spans="1:91" ht="13.2" x14ac:dyDescent="0.25">
      <c r="A367" s="9">
        <f t="shared" ca="1" si="14"/>
        <v>0</v>
      </c>
      <c r="B367" s="9" t="str">
        <f ca="1">OFFSET(ORÇAMENTO!C$15,ROW(B367)-ROW(B$15),0)</f>
        <v>S</v>
      </c>
      <c r="C367" s="9" t="str">
        <f ca="1">OFFSET(ORÇAMENTO!L$15,ROW(C367)-ROW(C$15),0)</f>
        <v/>
      </c>
      <c r="D367" s="145" t="str">
        <f ca="1">OFFSET(ORÇAMENTO!N$15,ROW(D367)-ROW(D$15),0)</f>
        <v>Serviço</v>
      </c>
      <c r="E367" s="205" t="str">
        <f ca="1">OFFSET(ORÇAMENTO!O$15,ROW(E367)-ROW(E$15),0)</f>
        <v>-</v>
      </c>
      <c r="F367" s="206" t="str">
        <f ca="1">OFFSET(ORÇAMENTO!R$15,ROW(F367)-ROW(F$15),0)</f>
        <v>(abra o arquivo 'Referência 05-2024.xls)</v>
      </c>
      <c r="G367" s="207" t="str">
        <f ca="1">IF($D367&lt;&gt;"Serviço","",OFFSET(ORÇAMENTO!S$15,ROW(G367)-ROW(G$15),0))</f>
        <v>-</v>
      </c>
      <c r="H367" s="151">
        <f ca="1">IF($D367&lt;&gt;"Serviço",0,IF(ACOMPANHAMENTO="BM",ROUND(OFFSET(ORÇAMENTO!AJ$15,ROW(H367)-ROW(H$15),0),15-13*ORÇAMENTO!$AF$7),SUMPRODUCT(($Q$12:$AI$12&lt;&gt;"")*ROUND($Q367:$AI367,15-13*ORÇAMENTO!$AF$7))))</f>
        <v>10</v>
      </c>
      <c r="I367" s="650"/>
      <c r="K367" s="208"/>
      <c r="L367" s="209" t="s">
        <v>257</v>
      </c>
      <c r="M367" s="210">
        <f ca="1">IF($D367&lt;&gt;"Serviço","",IF(AUTOEVENTO="manual",$A367,IF(ISERROR(MATCH($A367,$A$15:OFFSET($A367,-1,0),0)),MAX($M$15:OFFSET(M367,-1,0))+1,INDEX($M$15:OFFSET(M367,-1,0),MATCH($A367,$A$15:OFFSET($A367,-1,0),0)))))</f>
        <v>0</v>
      </c>
      <c r="N367" s="211" t="str">
        <f ca="1">IF($D367&lt;&gt;"Serviço","",IF(AUTOEVENTO="Manual",IF($A367=0,"&lt;-- defina o número do agrupador",OFFSET(EVENTOS!$D$14,$A367,0)),OFFSET($F$15,$A367,0)))</f>
        <v>&lt;-- defina o número do agrupador</v>
      </c>
      <c r="O367" s="212"/>
      <c r="Q367" s="212"/>
      <c r="R367" s="213"/>
      <c r="S367" s="213"/>
      <c r="T367" s="213"/>
      <c r="U367" s="213"/>
      <c r="V367" s="213"/>
      <c r="W367" s="213"/>
      <c r="X367" s="213"/>
      <c r="Y367" s="213"/>
      <c r="Z367" s="214"/>
      <c r="AA367" s="213"/>
      <c r="AB367" s="213"/>
      <c r="AC367" s="213"/>
      <c r="AD367" s="213"/>
      <c r="AE367" s="213"/>
      <c r="AF367" s="213"/>
      <c r="AG367" s="213"/>
      <c r="AH367" s="214"/>
      <c r="AJ367" s="631">
        <f ca="1">IF(AND($D367="Serviço",AJ$12&lt;&gt;0,$H367&gt;0,OR(AUTOEVENTO&lt;&gt;"manual",$M367&lt;&gt;1)),ROUND(OFFSET($P367,0,AJ$13),15-13*ORÇAMENTO!$AF$7)/$H367*OFFSET(ORÇAMENTO!$X$15,ROW(AJ367)-ROW(AJ$15),0),0)</f>
        <v>0</v>
      </c>
      <c r="AK367" s="632">
        <f ca="1">IF(AND($D367="Serviço",AK$12&lt;&gt;0,$H367&gt;0,OR(AUTOEVENTO&lt;&gt;"manual",$M367&lt;&gt;1)),ROUND(OFFSET($P367,0,AK$13),15-13*ORÇAMENTO!$AF$7)/$H367*OFFSET(ORÇAMENTO!$X$15,ROW(AK367)-ROW(AK$15),0),0)</f>
        <v>0</v>
      </c>
      <c r="AL367" s="632">
        <f ca="1">IF(AND($D367="Serviço",AL$12&lt;&gt;0,$H367&gt;0,OR(AUTOEVENTO&lt;&gt;"manual",$M367&lt;&gt;1)),ROUND(OFFSET($P367,0,AL$13),15-13*ORÇAMENTO!$AF$7)/$H367*OFFSET(ORÇAMENTO!$X$15,ROW(AL367)-ROW(AL$15),0),0)</f>
        <v>0</v>
      </c>
      <c r="AM367" s="632">
        <f ca="1">IF(AND($D367="Serviço",AM$12&lt;&gt;0,$H367&gt;0,OR(AUTOEVENTO&lt;&gt;"manual",$M367&lt;&gt;1)),ROUND(OFFSET($P367,0,AM$13),15-13*ORÇAMENTO!$AF$7)/$H367*OFFSET(ORÇAMENTO!$X$15,ROW(AM367)-ROW(AM$15),0),0)</f>
        <v>0</v>
      </c>
      <c r="AN367" s="632">
        <f ca="1">IF(AND($D367="Serviço",AN$12&lt;&gt;0,$H367&gt;0,OR(AUTOEVENTO&lt;&gt;"manual",$M367&lt;&gt;1)),ROUND(OFFSET($P367,0,AN$13),15-13*ORÇAMENTO!$AF$7)/$H367*OFFSET(ORÇAMENTO!$X$15,ROW(AN367)-ROW(AN$15),0),0)</f>
        <v>0</v>
      </c>
      <c r="AO367" s="632">
        <f ca="1">IF(AND($D367="Serviço",AO$12&lt;&gt;0,$H367&gt;0,OR(AUTOEVENTO&lt;&gt;"manual",$M367&lt;&gt;1)),ROUND(OFFSET($P367,0,AO$13),15-13*ORÇAMENTO!$AF$7)/$H367*OFFSET(ORÇAMENTO!$X$15,ROW(AO367)-ROW(AO$15),0),0)</f>
        <v>0</v>
      </c>
      <c r="AP367" s="632">
        <f ca="1">IF(AND($D367="Serviço",AP$12&lt;&gt;0,$H367&gt;0,OR(AUTOEVENTO&lt;&gt;"manual",$M367&lt;&gt;1)),ROUND(OFFSET($P367,0,AP$13),15-13*ORÇAMENTO!$AF$7)/$H367*OFFSET(ORÇAMENTO!$X$15,ROW(AP367)-ROW(AP$15),0),0)</f>
        <v>0</v>
      </c>
      <c r="AQ367" s="632">
        <f ca="1">IF(AND($D367="Serviço",AQ$12&lt;&gt;0,$H367&gt;0,OR(AUTOEVENTO&lt;&gt;"manual",$M367&lt;&gt;1)),ROUND(OFFSET($P367,0,AQ$13),15-13*ORÇAMENTO!$AF$7)/$H367*OFFSET(ORÇAMENTO!$X$15,ROW(AQ367)-ROW(AQ$15),0),0)</f>
        <v>0</v>
      </c>
      <c r="AR367" s="632">
        <f ca="1">IF(AND($D367="Serviço",AR$12&lt;&gt;0,$H367&gt;0,OR(AUTOEVENTO&lt;&gt;"manual",$M367&lt;&gt;1)),ROUND(OFFSET($P367,0,AR$13),15-13*ORÇAMENTO!$AF$7)/$H367*OFFSET(ORÇAMENTO!$X$15,ROW(AR367)-ROW(AR$15),0),0)</f>
        <v>0</v>
      </c>
      <c r="AS367" s="633">
        <f ca="1">IF(AND($D367="Serviço",AS$12&lt;&gt;0,$H367&gt;0,OR(AUTOEVENTO&lt;&gt;"manual",$M367&lt;&gt;1)),ROUND(OFFSET($P367,0,AS$13),15-13*ORÇAMENTO!$AF$7)/$H367*OFFSET(ORÇAMENTO!$X$15,ROW(AS367)-ROW(AS$15),0),0)</f>
        <v>0</v>
      </c>
      <c r="AT367" s="632">
        <f ca="1">IF(AND($D367="Serviço",AT$12&lt;&gt;0,$H367&gt;0,OR(AUTOEVENTO&lt;&gt;"manual",$M367&lt;&gt;1)),ROUND(OFFSET($P367,0,AT$13),15-13*ORÇAMENTO!$AF$7)/$H367*OFFSET(ORÇAMENTO!$X$15,ROW(AT367)-ROW(AT$15),0),0)</f>
        <v>0</v>
      </c>
      <c r="AU367" s="632">
        <f ca="1">IF(AND($D367="Serviço",AU$12&lt;&gt;0,$H367&gt;0,OR(AUTOEVENTO&lt;&gt;"manual",$M367&lt;&gt;1)),ROUND(OFFSET($P367,0,AU$13),15-13*ORÇAMENTO!$AF$7)/$H367*OFFSET(ORÇAMENTO!$X$15,ROW(AU367)-ROW(AU$15),0),0)</f>
        <v>0</v>
      </c>
      <c r="AV367" s="632">
        <f ca="1">IF(AND($D367="Serviço",AV$12&lt;&gt;0,$H367&gt;0,OR(AUTOEVENTO&lt;&gt;"manual",$M367&lt;&gt;1)),ROUND(OFFSET($P367,0,AV$13),15-13*ORÇAMENTO!$AF$7)/$H367*OFFSET(ORÇAMENTO!$X$15,ROW(AV367)-ROW(AV$15),0),0)</f>
        <v>0</v>
      </c>
      <c r="AW367" s="632">
        <f ca="1">IF(AND($D367="Serviço",AW$12&lt;&gt;0,$H367&gt;0,OR(AUTOEVENTO&lt;&gt;"manual",$M367&lt;&gt;1)),ROUND(OFFSET($P367,0,AW$13),15-13*ORÇAMENTO!$AF$7)/$H367*OFFSET(ORÇAMENTO!$X$15,ROW(AW367)-ROW(AW$15),0),0)</f>
        <v>0</v>
      </c>
      <c r="AX367" s="632">
        <f ca="1">IF(AND($D367="Serviço",AX$12&lt;&gt;0,$H367&gt;0,OR(AUTOEVENTO&lt;&gt;"manual",$M367&lt;&gt;1)),ROUND(OFFSET($P367,0,AX$13),15-13*ORÇAMENTO!$AF$7)/$H367*OFFSET(ORÇAMENTO!$X$15,ROW(AX367)-ROW(AX$15),0),0)</f>
        <v>0</v>
      </c>
      <c r="AY367" s="632">
        <f ca="1">IF(AND($D367="Serviço",AY$12&lt;&gt;0,$H367&gt;0,OR(AUTOEVENTO&lt;&gt;"manual",$M367&lt;&gt;1)),ROUND(OFFSET($P367,0,AY$13),15-13*ORÇAMENTO!$AF$7)/$H367*OFFSET(ORÇAMENTO!$X$15,ROW(AY367)-ROW(AY$15),0),0)</f>
        <v>0</v>
      </c>
      <c r="AZ367" s="632">
        <f ca="1">IF(AND($D367="Serviço",AZ$12&lt;&gt;0,$H367&gt;0,OR(AUTOEVENTO&lt;&gt;"manual",$M367&lt;&gt;1)),ROUND(OFFSET($P367,0,AZ$13),15-13*ORÇAMENTO!$AF$7)/$H367*OFFSET(ORÇAMENTO!$X$15,ROW(AZ367)-ROW(AZ$15),0),0)</f>
        <v>0</v>
      </c>
      <c r="BA367" s="633">
        <f ca="1">IF(AND($D367="Serviço",BA$12&lt;&gt;0,$H367&gt;0,OR(AUTOEVENTO&lt;&gt;"manual",$M367&lt;&gt;1)),ROUND(OFFSET($P367,0,BA$13),15-13*ORÇAMENTO!$AF$7)/$H367*OFFSET(ORÇAMENTO!$X$15,ROW(BA367)-ROW(BA$15),0),0)</f>
        <v>0</v>
      </c>
      <c r="BC367" s="215">
        <f ca="1">IF($D367&lt;&gt;"Serviço",0,IF(AND(AUTOEVENTO="Manual",$M367=1),0,IF(OFFSET(CRONOPLE!$F$14,$M367,BC$13)="",10^12,OFFSET(CRONOPLE!$F$14,$M367,BC$13))))</f>
        <v>1000000000000</v>
      </c>
      <c r="BD367" s="215">
        <f ca="1">IF($D367&lt;&gt;"Serviço",0,IF(AND(AUTOEVENTO="Manual",$M367=1),0,IF(OFFSET(CRONOPLE!$F$14,$M367,BD$13)="",10^12,OFFSET(CRONOPLE!$F$14,$M367,BD$13))))</f>
        <v>1000000000000</v>
      </c>
      <c r="BE367" s="215">
        <f ca="1">IF($D367&lt;&gt;"Serviço",0,IF(AND(AUTOEVENTO="Manual",$M367=1),0,IF(OFFSET(CRONOPLE!$F$14,$M367,BE$13)="",10^12,OFFSET(CRONOPLE!$F$14,$M367,BE$13))))</f>
        <v>1000000000000</v>
      </c>
      <c r="BF367" s="215">
        <f ca="1">IF($D367&lt;&gt;"Serviço",0,IF(AND(AUTOEVENTO="Manual",$M367=1),0,IF(OFFSET(CRONOPLE!$F$14,$M367,BF$13)="",10^12,OFFSET(CRONOPLE!$F$14,$M367,BF$13))))</f>
        <v>1000000000000</v>
      </c>
      <c r="BG367" s="215">
        <f ca="1">IF($D367&lt;&gt;"Serviço",0,IF(AND(AUTOEVENTO="Manual",$M367=1),0,IF(OFFSET(CRONOPLE!$F$14,$M367,BG$13)="",10^12,OFFSET(CRONOPLE!$F$14,$M367,BG$13))))</f>
        <v>1000000000000</v>
      </c>
      <c r="BH367" s="215">
        <f ca="1">IF($D367&lt;&gt;"Serviço",0,IF(AND(AUTOEVENTO="Manual",$M367=1),0,IF(OFFSET(CRONOPLE!$F$14,$M367,BH$13)="",10^12,OFFSET(CRONOPLE!$F$14,$M367,BH$13))))</f>
        <v>1000000000000</v>
      </c>
      <c r="BI367" s="215">
        <f ca="1">IF($D367&lt;&gt;"Serviço",0,IF(AND(AUTOEVENTO="Manual",$M367=1),0,IF(OFFSET(CRONOPLE!$F$14,$M367,BI$13)="",10^12,OFFSET(CRONOPLE!$F$14,$M367,BI$13))))</f>
        <v>1000000000000</v>
      </c>
      <c r="BJ367" s="215">
        <f ca="1">IF($D367&lt;&gt;"Serviço",0,IF(AND(AUTOEVENTO="Manual",$M367=1),0,IF(OFFSET(CRONOPLE!$F$14,$M367,BJ$13)="",10^12,OFFSET(CRONOPLE!$F$14,$M367,BJ$13))))</f>
        <v>1000000000000</v>
      </c>
      <c r="BK367" s="215">
        <f ca="1">IF($D367&lt;&gt;"Serviço",0,IF(AND(AUTOEVENTO="Manual",$M367=1),0,IF(OFFSET(CRONOPLE!$F$14,$M367,BK$13)="",10^12,OFFSET(CRONOPLE!$F$14,$M367,BK$13))))</f>
        <v>1000000000000</v>
      </c>
      <c r="BL367" s="215">
        <f ca="1">IF($D367&lt;&gt;"Serviço",0,IF(AND(AUTOEVENTO="Manual",$M367=1),0,IF(OFFSET(CRONOPLE!$F$14,$M367,BL$13)="",10^12,OFFSET(CRONOPLE!$F$14,$M367,BL$13))))</f>
        <v>1000000000000</v>
      </c>
      <c r="BM367" s="215">
        <f ca="1">IF($D367&lt;&gt;"Serviço",0,IF(AND(AUTOEVENTO="Manual",$M367=1),0,IF(OFFSET(CRONOPLE!$F$14,$M367,BM$13)="",10^12,OFFSET(CRONOPLE!$F$14,$M367,BM$13))))</f>
        <v>1000000000000</v>
      </c>
      <c r="BN367" s="215">
        <f ca="1">IF($D367&lt;&gt;"Serviço",0,IF(AND(AUTOEVENTO="Manual",$M367=1),0,IF(OFFSET(CRONOPLE!$F$14,$M367,BN$13)="",10^12,OFFSET(CRONOPLE!$F$14,$M367,BN$13))))</f>
        <v>1000000000000</v>
      </c>
      <c r="BO367" s="215">
        <f ca="1">IF($D367&lt;&gt;"Serviço",0,IF(AND(AUTOEVENTO="Manual",$M367=1),0,IF(OFFSET(CRONOPLE!$F$14,$M367,BO$13)="",10^12,OFFSET(CRONOPLE!$F$14,$M367,BO$13))))</f>
        <v>1000000000000</v>
      </c>
      <c r="BP367" s="215">
        <f ca="1">IF($D367&lt;&gt;"Serviço",0,IF(AND(AUTOEVENTO="Manual",$M367=1),0,IF(OFFSET(CRONOPLE!$F$14,$M367,BP$13)="",10^12,OFFSET(CRONOPLE!$F$14,$M367,BP$13))))</f>
        <v>1000000000000</v>
      </c>
      <c r="BQ367" s="215">
        <f ca="1">IF($D367&lt;&gt;"Serviço",0,IF(AND(AUTOEVENTO="Manual",$M367=1),0,IF(OFFSET(CRONOPLE!$F$14,$M367,BQ$13)="",10^12,OFFSET(CRONOPLE!$F$14,$M367,BQ$13))))</f>
        <v>1000000000000</v>
      </c>
      <c r="BR367" s="215">
        <f ca="1">IF($D367&lt;&gt;"Serviço",0,IF(AND(AUTOEVENTO="Manual",$M367=1),0,IF(OFFSET(CRONOPLE!$F$14,$M367,BR$13)="",10^12,OFFSET(CRONOPLE!$F$14,$M367,BR$13))))</f>
        <v>1000000000000</v>
      </c>
      <c r="BS367" s="215">
        <f ca="1">IF($D367&lt;&gt;"Serviço",0,IF(AND(AUTOEVENTO="Manual",$M367=1),0,IF(OFFSET(CRONOPLE!$F$14,$M367,BS$13)="",10^12,OFFSET(CRONOPLE!$F$14,$M367,BS$13))))</f>
        <v>1000000000000</v>
      </c>
      <c r="BT367" s="215">
        <f ca="1">IF($D367&lt;&gt;"Serviço",0,IF(AND(AUTOEVENTO="Manual",$M367=1),0,IF(OFFSET(CRONOPLE!$F$14,$M367,BT$13)="",10^12,OFFSET(CRONOPLE!$F$14,$M367,BT$13))))</f>
        <v>1000000000000</v>
      </c>
      <c r="BV367" s="216">
        <f ca="1">IF($D367&lt;&gt;"Serviço",0,IF(OR(AND(AUTOEVENTO="Manual",$M367=1),$M367&gt;(ROW(PLE.lastrow)-ROW(PLE.firstrow))),0,IF(OFFSET(PLE!$G$14,$M367,BV$13)="",10^12,OFFSET(PLE!$G$14,$M367,BV$13))))</f>
        <v>1000000000000</v>
      </c>
      <c r="BW367" s="216">
        <f ca="1">IF($D367&lt;&gt;"Serviço",0,IF(OR(AND(AUTOEVENTO="Manual",$M367=1),$M367&gt;(ROW(PLE.lastrow)-ROW(PLE.firstrow))),0,IF(OFFSET(PLE!$G$14,$M367,BW$13)="",10^12,OFFSET(PLE!$G$14,$M367,BW$13))))</f>
        <v>1000000000000</v>
      </c>
      <c r="BX367" s="216">
        <f ca="1">IF($D367&lt;&gt;"Serviço",0,IF(OR(AND(AUTOEVENTO="Manual",$M367=1),$M367&gt;(ROW(PLE.lastrow)-ROW(PLE.firstrow))),0,IF(OFFSET(PLE!$G$14,$M367,BX$13)="",10^12,OFFSET(PLE!$G$14,$M367,BX$13))))</f>
        <v>1000000000000</v>
      </c>
      <c r="BY367" s="216">
        <f ca="1">IF($D367&lt;&gt;"Serviço",0,IF(OR(AND(AUTOEVENTO="Manual",$M367=1),$M367&gt;(ROW(PLE.lastrow)-ROW(PLE.firstrow))),0,IF(OFFSET(PLE!$G$14,$M367,BY$13)="",10^12,OFFSET(PLE!$G$14,$M367,BY$13))))</f>
        <v>1000000000000</v>
      </c>
      <c r="BZ367" s="216">
        <f ca="1">IF($D367&lt;&gt;"Serviço",0,IF(OR(AND(AUTOEVENTO="Manual",$M367=1),$M367&gt;(ROW(PLE.lastrow)-ROW(PLE.firstrow))),0,IF(OFFSET(PLE!$G$14,$M367,BZ$13)="",10^12,OFFSET(PLE!$G$14,$M367,BZ$13))))</f>
        <v>1000000000000</v>
      </c>
      <c r="CA367" s="216">
        <f ca="1">IF($D367&lt;&gt;"Serviço",0,IF(OR(AND(AUTOEVENTO="Manual",$M367=1),$M367&gt;(ROW(PLE.lastrow)-ROW(PLE.firstrow))),0,IF(OFFSET(PLE!$G$14,$M367,CA$13)="",10^12,OFFSET(PLE!$G$14,$M367,CA$13))))</f>
        <v>1000000000000</v>
      </c>
      <c r="CB367" s="216">
        <f ca="1">IF($D367&lt;&gt;"Serviço",0,IF(OR(AND(AUTOEVENTO="Manual",$M367=1),$M367&gt;(ROW(PLE.lastrow)-ROW(PLE.firstrow))),0,IF(OFFSET(PLE!$G$14,$M367,CB$13)="",10^12,OFFSET(PLE!$G$14,$M367,CB$13))))</f>
        <v>1000000000000</v>
      </c>
      <c r="CC367" s="216">
        <f ca="1">IF($D367&lt;&gt;"Serviço",0,IF(OR(AND(AUTOEVENTO="Manual",$M367=1),$M367&gt;(ROW(PLE.lastrow)-ROW(PLE.firstrow))),0,IF(OFFSET(PLE!$G$14,$M367,CC$13)="",10^12,OFFSET(PLE!$G$14,$M367,CC$13))))</f>
        <v>1000000000000</v>
      </c>
      <c r="CD367" s="216">
        <f ca="1">IF($D367&lt;&gt;"Serviço",0,IF(OR(AND(AUTOEVENTO="Manual",$M367=1),$M367&gt;(ROW(PLE.lastrow)-ROW(PLE.firstrow))),0,IF(OFFSET(PLE!$G$14,$M367,CD$13)="",10^12,OFFSET(PLE!$G$14,$M367,CD$13))))</f>
        <v>1000000000000</v>
      </c>
      <c r="CE367" s="216">
        <f ca="1">IF($D367&lt;&gt;"Serviço",0,IF(OR(AND(AUTOEVENTO="Manual",$M367=1),$M367&gt;(ROW(PLE.lastrow)-ROW(PLE.firstrow))),0,IF(OFFSET(PLE!$G$14,$M367,CE$13)="",10^12,OFFSET(PLE!$G$14,$M367,CE$13))))</f>
        <v>1000000000000</v>
      </c>
      <c r="CF367" s="216">
        <f ca="1">IF($D367&lt;&gt;"Serviço",0,IF(OR(AND(AUTOEVENTO="Manual",$M367=1),$M367&gt;(ROW(PLE.lastrow)-ROW(PLE.firstrow))),0,IF(OFFSET(PLE!$G$14,$M367,CF$13)="",10^12,OFFSET(PLE!$G$14,$M367,CF$13))))</f>
        <v>1000000000000</v>
      </c>
      <c r="CG367" s="216">
        <f ca="1">IF($D367&lt;&gt;"Serviço",0,IF(OR(AND(AUTOEVENTO="Manual",$M367=1),$M367&gt;(ROW(PLE.lastrow)-ROW(PLE.firstrow))),0,IF(OFFSET(PLE!$G$14,$M367,CG$13)="",10^12,OFFSET(PLE!$G$14,$M367,CG$13))))</f>
        <v>1000000000000</v>
      </c>
      <c r="CH367" s="216">
        <f ca="1">IF($D367&lt;&gt;"Serviço",0,IF(OR(AND(AUTOEVENTO="Manual",$M367=1),$M367&gt;(ROW(PLE.lastrow)-ROW(PLE.firstrow))),0,IF(OFFSET(PLE!$G$14,$M367,CH$13)="",10^12,OFFSET(PLE!$G$14,$M367,CH$13))))</f>
        <v>1000000000000</v>
      </c>
      <c r="CI367" s="216">
        <f ca="1">IF($D367&lt;&gt;"Serviço",0,IF(OR(AND(AUTOEVENTO="Manual",$M367=1),$M367&gt;(ROW(PLE.lastrow)-ROW(PLE.firstrow))),0,IF(OFFSET(PLE!$G$14,$M367,CI$13)="",10^12,OFFSET(PLE!$G$14,$M367,CI$13))))</f>
        <v>1000000000000</v>
      </c>
      <c r="CJ367" s="216">
        <f ca="1">IF($D367&lt;&gt;"Serviço",0,IF(OR(AND(AUTOEVENTO="Manual",$M367=1),$M367&gt;(ROW(PLE.lastrow)-ROW(PLE.firstrow))),0,IF(OFFSET(PLE!$G$14,$M367,CJ$13)="",10^12,OFFSET(PLE!$G$14,$M367,CJ$13))))</f>
        <v>1000000000000</v>
      </c>
      <c r="CK367" s="216">
        <f ca="1">IF($D367&lt;&gt;"Serviço",0,IF(OR(AND(AUTOEVENTO="Manual",$M367=1),$M367&gt;(ROW(PLE.lastrow)-ROW(PLE.firstrow))),0,IF(OFFSET(PLE!$G$14,$M367,CK$13)="",10^12,OFFSET(PLE!$G$14,$M367,CK$13))))</f>
        <v>1000000000000</v>
      </c>
      <c r="CL367" s="216">
        <f ca="1">IF($D367&lt;&gt;"Serviço",0,IF(OR(AND(AUTOEVENTO="Manual",$M367=1),$M367&gt;(ROW(PLE.lastrow)-ROW(PLE.firstrow))),0,IF(OFFSET(PLE!$G$14,$M367,CL$13)="",10^12,OFFSET(PLE!$G$14,$M367,CL$13))))</f>
        <v>1000000000000</v>
      </c>
      <c r="CM367" s="216">
        <f ca="1">IF($D367&lt;&gt;"Serviço",0,IF(OR(AND(AUTOEVENTO="Manual",$M367=1),$M367&gt;(ROW(PLE.lastrow)-ROW(PLE.firstrow))),0,IF(OFFSET(PLE!$G$14,$M367,CM$13)="",10^12,OFFSET(PLE!$G$14,$M367,CM$13))))</f>
        <v>1000000000000</v>
      </c>
    </row>
    <row r="368" spans="1:91" ht="13.2" x14ac:dyDescent="0.25">
      <c r="A368" s="9">
        <f t="shared" ca="1" si="14"/>
        <v>0</v>
      </c>
      <c r="B368" s="9" t="str">
        <f ca="1">OFFSET(ORÇAMENTO!C$15,ROW(B368)-ROW(B$15),0)</f>
        <v>S</v>
      </c>
      <c r="C368" s="9" t="str">
        <f ca="1">OFFSET(ORÇAMENTO!L$15,ROW(C368)-ROW(C$15),0)</f>
        <v/>
      </c>
      <c r="D368" s="145" t="str">
        <f ca="1">OFFSET(ORÇAMENTO!N$15,ROW(D368)-ROW(D$15),0)</f>
        <v>Serviço</v>
      </c>
      <c r="E368" s="205" t="str">
        <f ca="1">OFFSET(ORÇAMENTO!O$15,ROW(E368)-ROW(E$15),0)</f>
        <v>-</v>
      </c>
      <c r="F368" s="206" t="str">
        <f ca="1">OFFSET(ORÇAMENTO!R$15,ROW(F368)-ROW(F$15),0)</f>
        <v>(abra o arquivo 'Referência 05-2024.xls)</v>
      </c>
      <c r="G368" s="207" t="str">
        <f ca="1">IF($D368&lt;&gt;"Serviço","",OFFSET(ORÇAMENTO!S$15,ROW(G368)-ROW(G$15),0))</f>
        <v>-</v>
      </c>
      <c r="H368" s="151">
        <f ca="1">IF($D368&lt;&gt;"Serviço",0,IF(ACOMPANHAMENTO="BM",ROUND(OFFSET(ORÇAMENTO!AJ$15,ROW(H368)-ROW(H$15),0),15-13*ORÇAMENTO!$AF$7),SUMPRODUCT(($Q$12:$AI$12&lt;&gt;"")*ROUND($Q368:$AI368,15-13*ORÇAMENTO!$AF$7))))</f>
        <v>5</v>
      </c>
      <c r="I368" s="650"/>
      <c r="K368" s="208"/>
      <c r="L368" s="209" t="s">
        <v>257</v>
      </c>
      <c r="M368" s="210">
        <f ca="1">IF($D368&lt;&gt;"Serviço","",IF(AUTOEVENTO="manual",$A368,IF(ISERROR(MATCH($A368,$A$15:OFFSET($A368,-1,0),0)),MAX($M$15:OFFSET(M368,-1,0))+1,INDEX($M$15:OFFSET(M368,-1,0),MATCH($A368,$A$15:OFFSET($A368,-1,0),0)))))</f>
        <v>0</v>
      </c>
      <c r="N368" s="211" t="str">
        <f ca="1">IF($D368&lt;&gt;"Serviço","",IF(AUTOEVENTO="Manual",IF($A368=0,"&lt;-- defina o número do agrupador",OFFSET(EVENTOS!$D$14,$A368,0)),OFFSET($F$15,$A368,0)))</f>
        <v>&lt;-- defina o número do agrupador</v>
      </c>
      <c r="O368" s="212"/>
      <c r="Q368" s="212"/>
      <c r="R368" s="213"/>
      <c r="S368" s="213"/>
      <c r="T368" s="213"/>
      <c r="U368" s="213"/>
      <c r="V368" s="213"/>
      <c r="W368" s="213"/>
      <c r="X368" s="213"/>
      <c r="Y368" s="213"/>
      <c r="Z368" s="214"/>
      <c r="AA368" s="213"/>
      <c r="AB368" s="213"/>
      <c r="AC368" s="213"/>
      <c r="AD368" s="213"/>
      <c r="AE368" s="213"/>
      <c r="AF368" s="213"/>
      <c r="AG368" s="213"/>
      <c r="AH368" s="214"/>
      <c r="AJ368" s="631">
        <f ca="1">IF(AND($D368="Serviço",AJ$12&lt;&gt;0,$H368&gt;0,OR(AUTOEVENTO&lt;&gt;"manual",$M368&lt;&gt;1)),ROUND(OFFSET($P368,0,AJ$13),15-13*ORÇAMENTO!$AF$7)/$H368*OFFSET(ORÇAMENTO!$X$15,ROW(AJ368)-ROW(AJ$15),0),0)</f>
        <v>0</v>
      </c>
      <c r="AK368" s="632">
        <f ca="1">IF(AND($D368="Serviço",AK$12&lt;&gt;0,$H368&gt;0,OR(AUTOEVENTO&lt;&gt;"manual",$M368&lt;&gt;1)),ROUND(OFFSET($P368,0,AK$13),15-13*ORÇAMENTO!$AF$7)/$H368*OFFSET(ORÇAMENTO!$X$15,ROW(AK368)-ROW(AK$15),0),0)</f>
        <v>0</v>
      </c>
      <c r="AL368" s="632">
        <f ca="1">IF(AND($D368="Serviço",AL$12&lt;&gt;0,$H368&gt;0,OR(AUTOEVENTO&lt;&gt;"manual",$M368&lt;&gt;1)),ROUND(OFFSET($P368,0,AL$13),15-13*ORÇAMENTO!$AF$7)/$H368*OFFSET(ORÇAMENTO!$X$15,ROW(AL368)-ROW(AL$15),0),0)</f>
        <v>0</v>
      </c>
      <c r="AM368" s="632">
        <f ca="1">IF(AND($D368="Serviço",AM$12&lt;&gt;0,$H368&gt;0,OR(AUTOEVENTO&lt;&gt;"manual",$M368&lt;&gt;1)),ROUND(OFFSET($P368,0,AM$13),15-13*ORÇAMENTO!$AF$7)/$H368*OFFSET(ORÇAMENTO!$X$15,ROW(AM368)-ROW(AM$15),0),0)</f>
        <v>0</v>
      </c>
      <c r="AN368" s="632">
        <f ca="1">IF(AND($D368="Serviço",AN$12&lt;&gt;0,$H368&gt;0,OR(AUTOEVENTO&lt;&gt;"manual",$M368&lt;&gt;1)),ROUND(OFFSET($P368,0,AN$13),15-13*ORÇAMENTO!$AF$7)/$H368*OFFSET(ORÇAMENTO!$X$15,ROW(AN368)-ROW(AN$15),0),0)</f>
        <v>0</v>
      </c>
      <c r="AO368" s="632">
        <f ca="1">IF(AND($D368="Serviço",AO$12&lt;&gt;0,$H368&gt;0,OR(AUTOEVENTO&lt;&gt;"manual",$M368&lt;&gt;1)),ROUND(OFFSET($P368,0,AO$13),15-13*ORÇAMENTO!$AF$7)/$H368*OFFSET(ORÇAMENTO!$X$15,ROW(AO368)-ROW(AO$15),0),0)</f>
        <v>0</v>
      </c>
      <c r="AP368" s="632">
        <f ca="1">IF(AND($D368="Serviço",AP$12&lt;&gt;0,$H368&gt;0,OR(AUTOEVENTO&lt;&gt;"manual",$M368&lt;&gt;1)),ROUND(OFFSET($P368,0,AP$13),15-13*ORÇAMENTO!$AF$7)/$H368*OFFSET(ORÇAMENTO!$X$15,ROW(AP368)-ROW(AP$15),0),0)</f>
        <v>0</v>
      </c>
      <c r="AQ368" s="632">
        <f ca="1">IF(AND($D368="Serviço",AQ$12&lt;&gt;0,$H368&gt;0,OR(AUTOEVENTO&lt;&gt;"manual",$M368&lt;&gt;1)),ROUND(OFFSET($P368,0,AQ$13),15-13*ORÇAMENTO!$AF$7)/$H368*OFFSET(ORÇAMENTO!$X$15,ROW(AQ368)-ROW(AQ$15),0),0)</f>
        <v>0</v>
      </c>
      <c r="AR368" s="632">
        <f ca="1">IF(AND($D368="Serviço",AR$12&lt;&gt;0,$H368&gt;0,OR(AUTOEVENTO&lt;&gt;"manual",$M368&lt;&gt;1)),ROUND(OFFSET($P368,0,AR$13),15-13*ORÇAMENTO!$AF$7)/$H368*OFFSET(ORÇAMENTO!$X$15,ROW(AR368)-ROW(AR$15),0),0)</f>
        <v>0</v>
      </c>
      <c r="AS368" s="633">
        <f ca="1">IF(AND($D368="Serviço",AS$12&lt;&gt;0,$H368&gt;0,OR(AUTOEVENTO&lt;&gt;"manual",$M368&lt;&gt;1)),ROUND(OFFSET($P368,0,AS$13),15-13*ORÇAMENTO!$AF$7)/$H368*OFFSET(ORÇAMENTO!$X$15,ROW(AS368)-ROW(AS$15),0),0)</f>
        <v>0</v>
      </c>
      <c r="AT368" s="632">
        <f ca="1">IF(AND($D368="Serviço",AT$12&lt;&gt;0,$H368&gt;0,OR(AUTOEVENTO&lt;&gt;"manual",$M368&lt;&gt;1)),ROUND(OFFSET($P368,0,AT$13),15-13*ORÇAMENTO!$AF$7)/$H368*OFFSET(ORÇAMENTO!$X$15,ROW(AT368)-ROW(AT$15),0),0)</f>
        <v>0</v>
      </c>
      <c r="AU368" s="632">
        <f ca="1">IF(AND($D368="Serviço",AU$12&lt;&gt;0,$H368&gt;0,OR(AUTOEVENTO&lt;&gt;"manual",$M368&lt;&gt;1)),ROUND(OFFSET($P368,0,AU$13),15-13*ORÇAMENTO!$AF$7)/$H368*OFFSET(ORÇAMENTO!$X$15,ROW(AU368)-ROW(AU$15),0),0)</f>
        <v>0</v>
      </c>
      <c r="AV368" s="632">
        <f ca="1">IF(AND($D368="Serviço",AV$12&lt;&gt;0,$H368&gt;0,OR(AUTOEVENTO&lt;&gt;"manual",$M368&lt;&gt;1)),ROUND(OFFSET($P368,0,AV$13),15-13*ORÇAMENTO!$AF$7)/$H368*OFFSET(ORÇAMENTO!$X$15,ROW(AV368)-ROW(AV$15),0),0)</f>
        <v>0</v>
      </c>
      <c r="AW368" s="632">
        <f ca="1">IF(AND($D368="Serviço",AW$12&lt;&gt;0,$H368&gt;0,OR(AUTOEVENTO&lt;&gt;"manual",$M368&lt;&gt;1)),ROUND(OFFSET($P368,0,AW$13),15-13*ORÇAMENTO!$AF$7)/$H368*OFFSET(ORÇAMENTO!$X$15,ROW(AW368)-ROW(AW$15),0),0)</f>
        <v>0</v>
      </c>
      <c r="AX368" s="632">
        <f ca="1">IF(AND($D368="Serviço",AX$12&lt;&gt;0,$H368&gt;0,OR(AUTOEVENTO&lt;&gt;"manual",$M368&lt;&gt;1)),ROUND(OFFSET($P368,0,AX$13),15-13*ORÇAMENTO!$AF$7)/$H368*OFFSET(ORÇAMENTO!$X$15,ROW(AX368)-ROW(AX$15),0),0)</f>
        <v>0</v>
      </c>
      <c r="AY368" s="632">
        <f ca="1">IF(AND($D368="Serviço",AY$12&lt;&gt;0,$H368&gt;0,OR(AUTOEVENTO&lt;&gt;"manual",$M368&lt;&gt;1)),ROUND(OFFSET($P368,0,AY$13),15-13*ORÇAMENTO!$AF$7)/$H368*OFFSET(ORÇAMENTO!$X$15,ROW(AY368)-ROW(AY$15),0),0)</f>
        <v>0</v>
      </c>
      <c r="AZ368" s="632">
        <f ca="1">IF(AND($D368="Serviço",AZ$12&lt;&gt;0,$H368&gt;0,OR(AUTOEVENTO&lt;&gt;"manual",$M368&lt;&gt;1)),ROUND(OFFSET($P368,0,AZ$13),15-13*ORÇAMENTO!$AF$7)/$H368*OFFSET(ORÇAMENTO!$X$15,ROW(AZ368)-ROW(AZ$15),0),0)</f>
        <v>0</v>
      </c>
      <c r="BA368" s="633">
        <f ca="1">IF(AND($D368="Serviço",BA$12&lt;&gt;0,$H368&gt;0,OR(AUTOEVENTO&lt;&gt;"manual",$M368&lt;&gt;1)),ROUND(OFFSET($P368,0,BA$13),15-13*ORÇAMENTO!$AF$7)/$H368*OFFSET(ORÇAMENTO!$X$15,ROW(BA368)-ROW(BA$15),0),0)</f>
        <v>0</v>
      </c>
      <c r="BC368" s="215">
        <f ca="1">IF($D368&lt;&gt;"Serviço",0,IF(AND(AUTOEVENTO="Manual",$M368=1),0,IF(OFFSET(CRONOPLE!$F$14,$M368,BC$13)="",10^12,OFFSET(CRONOPLE!$F$14,$M368,BC$13))))</f>
        <v>1000000000000</v>
      </c>
      <c r="BD368" s="215">
        <f ca="1">IF($D368&lt;&gt;"Serviço",0,IF(AND(AUTOEVENTO="Manual",$M368=1),0,IF(OFFSET(CRONOPLE!$F$14,$M368,BD$13)="",10^12,OFFSET(CRONOPLE!$F$14,$M368,BD$13))))</f>
        <v>1000000000000</v>
      </c>
      <c r="BE368" s="215">
        <f ca="1">IF($D368&lt;&gt;"Serviço",0,IF(AND(AUTOEVENTO="Manual",$M368=1),0,IF(OFFSET(CRONOPLE!$F$14,$M368,BE$13)="",10^12,OFFSET(CRONOPLE!$F$14,$M368,BE$13))))</f>
        <v>1000000000000</v>
      </c>
      <c r="BF368" s="215">
        <f ca="1">IF($D368&lt;&gt;"Serviço",0,IF(AND(AUTOEVENTO="Manual",$M368=1),0,IF(OFFSET(CRONOPLE!$F$14,$M368,BF$13)="",10^12,OFFSET(CRONOPLE!$F$14,$M368,BF$13))))</f>
        <v>1000000000000</v>
      </c>
      <c r="BG368" s="215">
        <f ca="1">IF($D368&lt;&gt;"Serviço",0,IF(AND(AUTOEVENTO="Manual",$M368=1),0,IF(OFFSET(CRONOPLE!$F$14,$M368,BG$13)="",10^12,OFFSET(CRONOPLE!$F$14,$M368,BG$13))))</f>
        <v>1000000000000</v>
      </c>
      <c r="BH368" s="215">
        <f ca="1">IF($D368&lt;&gt;"Serviço",0,IF(AND(AUTOEVENTO="Manual",$M368=1),0,IF(OFFSET(CRONOPLE!$F$14,$M368,BH$13)="",10^12,OFFSET(CRONOPLE!$F$14,$M368,BH$13))))</f>
        <v>1000000000000</v>
      </c>
      <c r="BI368" s="215">
        <f ca="1">IF($D368&lt;&gt;"Serviço",0,IF(AND(AUTOEVENTO="Manual",$M368=1),0,IF(OFFSET(CRONOPLE!$F$14,$M368,BI$13)="",10^12,OFFSET(CRONOPLE!$F$14,$M368,BI$13))))</f>
        <v>1000000000000</v>
      </c>
      <c r="BJ368" s="215">
        <f ca="1">IF($D368&lt;&gt;"Serviço",0,IF(AND(AUTOEVENTO="Manual",$M368=1),0,IF(OFFSET(CRONOPLE!$F$14,$M368,BJ$13)="",10^12,OFFSET(CRONOPLE!$F$14,$M368,BJ$13))))</f>
        <v>1000000000000</v>
      </c>
      <c r="BK368" s="215">
        <f ca="1">IF($D368&lt;&gt;"Serviço",0,IF(AND(AUTOEVENTO="Manual",$M368=1),0,IF(OFFSET(CRONOPLE!$F$14,$M368,BK$13)="",10^12,OFFSET(CRONOPLE!$F$14,$M368,BK$13))))</f>
        <v>1000000000000</v>
      </c>
      <c r="BL368" s="215">
        <f ca="1">IF($D368&lt;&gt;"Serviço",0,IF(AND(AUTOEVENTO="Manual",$M368=1),0,IF(OFFSET(CRONOPLE!$F$14,$M368,BL$13)="",10^12,OFFSET(CRONOPLE!$F$14,$M368,BL$13))))</f>
        <v>1000000000000</v>
      </c>
      <c r="BM368" s="215">
        <f ca="1">IF($D368&lt;&gt;"Serviço",0,IF(AND(AUTOEVENTO="Manual",$M368=1),0,IF(OFFSET(CRONOPLE!$F$14,$M368,BM$13)="",10^12,OFFSET(CRONOPLE!$F$14,$M368,BM$13))))</f>
        <v>1000000000000</v>
      </c>
      <c r="BN368" s="215">
        <f ca="1">IF($D368&lt;&gt;"Serviço",0,IF(AND(AUTOEVENTO="Manual",$M368=1),0,IF(OFFSET(CRONOPLE!$F$14,$M368,BN$13)="",10^12,OFFSET(CRONOPLE!$F$14,$M368,BN$13))))</f>
        <v>1000000000000</v>
      </c>
      <c r="BO368" s="215">
        <f ca="1">IF($D368&lt;&gt;"Serviço",0,IF(AND(AUTOEVENTO="Manual",$M368=1),0,IF(OFFSET(CRONOPLE!$F$14,$M368,BO$13)="",10^12,OFFSET(CRONOPLE!$F$14,$M368,BO$13))))</f>
        <v>1000000000000</v>
      </c>
      <c r="BP368" s="215">
        <f ca="1">IF($D368&lt;&gt;"Serviço",0,IF(AND(AUTOEVENTO="Manual",$M368=1),0,IF(OFFSET(CRONOPLE!$F$14,$M368,BP$13)="",10^12,OFFSET(CRONOPLE!$F$14,$M368,BP$13))))</f>
        <v>1000000000000</v>
      </c>
      <c r="BQ368" s="215">
        <f ca="1">IF($D368&lt;&gt;"Serviço",0,IF(AND(AUTOEVENTO="Manual",$M368=1),0,IF(OFFSET(CRONOPLE!$F$14,$M368,BQ$13)="",10^12,OFFSET(CRONOPLE!$F$14,$M368,BQ$13))))</f>
        <v>1000000000000</v>
      </c>
      <c r="BR368" s="215">
        <f ca="1">IF($D368&lt;&gt;"Serviço",0,IF(AND(AUTOEVENTO="Manual",$M368=1),0,IF(OFFSET(CRONOPLE!$F$14,$M368,BR$13)="",10^12,OFFSET(CRONOPLE!$F$14,$M368,BR$13))))</f>
        <v>1000000000000</v>
      </c>
      <c r="BS368" s="215">
        <f ca="1">IF($D368&lt;&gt;"Serviço",0,IF(AND(AUTOEVENTO="Manual",$M368=1),0,IF(OFFSET(CRONOPLE!$F$14,$M368,BS$13)="",10^12,OFFSET(CRONOPLE!$F$14,$M368,BS$13))))</f>
        <v>1000000000000</v>
      </c>
      <c r="BT368" s="215">
        <f ca="1">IF($D368&lt;&gt;"Serviço",0,IF(AND(AUTOEVENTO="Manual",$M368=1),0,IF(OFFSET(CRONOPLE!$F$14,$M368,BT$13)="",10^12,OFFSET(CRONOPLE!$F$14,$M368,BT$13))))</f>
        <v>1000000000000</v>
      </c>
      <c r="BV368" s="216">
        <f ca="1">IF($D368&lt;&gt;"Serviço",0,IF(OR(AND(AUTOEVENTO="Manual",$M368=1),$M368&gt;(ROW(PLE.lastrow)-ROW(PLE.firstrow))),0,IF(OFFSET(PLE!$G$14,$M368,BV$13)="",10^12,OFFSET(PLE!$G$14,$M368,BV$13))))</f>
        <v>1000000000000</v>
      </c>
      <c r="BW368" s="216">
        <f ca="1">IF($D368&lt;&gt;"Serviço",0,IF(OR(AND(AUTOEVENTO="Manual",$M368=1),$M368&gt;(ROW(PLE.lastrow)-ROW(PLE.firstrow))),0,IF(OFFSET(PLE!$G$14,$M368,BW$13)="",10^12,OFFSET(PLE!$G$14,$M368,BW$13))))</f>
        <v>1000000000000</v>
      </c>
      <c r="BX368" s="216">
        <f ca="1">IF($D368&lt;&gt;"Serviço",0,IF(OR(AND(AUTOEVENTO="Manual",$M368=1),$M368&gt;(ROW(PLE.lastrow)-ROW(PLE.firstrow))),0,IF(OFFSET(PLE!$G$14,$M368,BX$13)="",10^12,OFFSET(PLE!$G$14,$M368,BX$13))))</f>
        <v>1000000000000</v>
      </c>
      <c r="BY368" s="216">
        <f ca="1">IF($D368&lt;&gt;"Serviço",0,IF(OR(AND(AUTOEVENTO="Manual",$M368=1),$M368&gt;(ROW(PLE.lastrow)-ROW(PLE.firstrow))),0,IF(OFFSET(PLE!$G$14,$M368,BY$13)="",10^12,OFFSET(PLE!$G$14,$M368,BY$13))))</f>
        <v>1000000000000</v>
      </c>
      <c r="BZ368" s="216">
        <f ca="1">IF($D368&lt;&gt;"Serviço",0,IF(OR(AND(AUTOEVENTO="Manual",$M368=1),$M368&gt;(ROW(PLE.lastrow)-ROW(PLE.firstrow))),0,IF(OFFSET(PLE!$G$14,$M368,BZ$13)="",10^12,OFFSET(PLE!$G$14,$M368,BZ$13))))</f>
        <v>1000000000000</v>
      </c>
      <c r="CA368" s="216">
        <f ca="1">IF($D368&lt;&gt;"Serviço",0,IF(OR(AND(AUTOEVENTO="Manual",$M368=1),$M368&gt;(ROW(PLE.lastrow)-ROW(PLE.firstrow))),0,IF(OFFSET(PLE!$G$14,$M368,CA$13)="",10^12,OFFSET(PLE!$G$14,$M368,CA$13))))</f>
        <v>1000000000000</v>
      </c>
      <c r="CB368" s="216">
        <f ca="1">IF($D368&lt;&gt;"Serviço",0,IF(OR(AND(AUTOEVENTO="Manual",$M368=1),$M368&gt;(ROW(PLE.lastrow)-ROW(PLE.firstrow))),0,IF(OFFSET(PLE!$G$14,$M368,CB$13)="",10^12,OFFSET(PLE!$G$14,$M368,CB$13))))</f>
        <v>1000000000000</v>
      </c>
      <c r="CC368" s="216">
        <f ca="1">IF($D368&lt;&gt;"Serviço",0,IF(OR(AND(AUTOEVENTO="Manual",$M368=1),$M368&gt;(ROW(PLE.lastrow)-ROW(PLE.firstrow))),0,IF(OFFSET(PLE!$G$14,$M368,CC$13)="",10^12,OFFSET(PLE!$G$14,$M368,CC$13))))</f>
        <v>1000000000000</v>
      </c>
      <c r="CD368" s="216">
        <f ca="1">IF($D368&lt;&gt;"Serviço",0,IF(OR(AND(AUTOEVENTO="Manual",$M368=1),$M368&gt;(ROW(PLE.lastrow)-ROW(PLE.firstrow))),0,IF(OFFSET(PLE!$G$14,$M368,CD$13)="",10^12,OFFSET(PLE!$G$14,$M368,CD$13))))</f>
        <v>1000000000000</v>
      </c>
      <c r="CE368" s="216">
        <f ca="1">IF($D368&lt;&gt;"Serviço",0,IF(OR(AND(AUTOEVENTO="Manual",$M368=1),$M368&gt;(ROW(PLE.lastrow)-ROW(PLE.firstrow))),0,IF(OFFSET(PLE!$G$14,$M368,CE$13)="",10^12,OFFSET(PLE!$G$14,$M368,CE$13))))</f>
        <v>1000000000000</v>
      </c>
      <c r="CF368" s="216">
        <f ca="1">IF($D368&lt;&gt;"Serviço",0,IF(OR(AND(AUTOEVENTO="Manual",$M368=1),$M368&gt;(ROW(PLE.lastrow)-ROW(PLE.firstrow))),0,IF(OFFSET(PLE!$G$14,$M368,CF$13)="",10^12,OFFSET(PLE!$G$14,$M368,CF$13))))</f>
        <v>1000000000000</v>
      </c>
      <c r="CG368" s="216">
        <f ca="1">IF($D368&lt;&gt;"Serviço",0,IF(OR(AND(AUTOEVENTO="Manual",$M368=1),$M368&gt;(ROW(PLE.lastrow)-ROW(PLE.firstrow))),0,IF(OFFSET(PLE!$G$14,$M368,CG$13)="",10^12,OFFSET(PLE!$G$14,$M368,CG$13))))</f>
        <v>1000000000000</v>
      </c>
      <c r="CH368" s="216">
        <f ca="1">IF($D368&lt;&gt;"Serviço",0,IF(OR(AND(AUTOEVENTO="Manual",$M368=1),$M368&gt;(ROW(PLE.lastrow)-ROW(PLE.firstrow))),0,IF(OFFSET(PLE!$G$14,$M368,CH$13)="",10^12,OFFSET(PLE!$G$14,$M368,CH$13))))</f>
        <v>1000000000000</v>
      </c>
      <c r="CI368" s="216">
        <f ca="1">IF($D368&lt;&gt;"Serviço",0,IF(OR(AND(AUTOEVENTO="Manual",$M368=1),$M368&gt;(ROW(PLE.lastrow)-ROW(PLE.firstrow))),0,IF(OFFSET(PLE!$G$14,$M368,CI$13)="",10^12,OFFSET(PLE!$G$14,$M368,CI$13))))</f>
        <v>1000000000000</v>
      </c>
      <c r="CJ368" s="216">
        <f ca="1">IF($D368&lt;&gt;"Serviço",0,IF(OR(AND(AUTOEVENTO="Manual",$M368=1),$M368&gt;(ROW(PLE.lastrow)-ROW(PLE.firstrow))),0,IF(OFFSET(PLE!$G$14,$M368,CJ$13)="",10^12,OFFSET(PLE!$G$14,$M368,CJ$13))))</f>
        <v>1000000000000</v>
      </c>
      <c r="CK368" s="216">
        <f ca="1">IF($D368&lt;&gt;"Serviço",0,IF(OR(AND(AUTOEVENTO="Manual",$M368=1),$M368&gt;(ROW(PLE.lastrow)-ROW(PLE.firstrow))),0,IF(OFFSET(PLE!$G$14,$M368,CK$13)="",10^12,OFFSET(PLE!$G$14,$M368,CK$13))))</f>
        <v>1000000000000</v>
      </c>
      <c r="CL368" s="216">
        <f ca="1">IF($D368&lt;&gt;"Serviço",0,IF(OR(AND(AUTOEVENTO="Manual",$M368=1),$M368&gt;(ROW(PLE.lastrow)-ROW(PLE.firstrow))),0,IF(OFFSET(PLE!$G$14,$M368,CL$13)="",10^12,OFFSET(PLE!$G$14,$M368,CL$13))))</f>
        <v>1000000000000</v>
      </c>
      <c r="CM368" s="216">
        <f ca="1">IF($D368&lt;&gt;"Serviço",0,IF(OR(AND(AUTOEVENTO="Manual",$M368=1),$M368&gt;(ROW(PLE.lastrow)-ROW(PLE.firstrow))),0,IF(OFFSET(PLE!$G$14,$M368,CM$13)="",10^12,OFFSET(PLE!$G$14,$M368,CM$13))))</f>
        <v>1000000000000</v>
      </c>
    </row>
    <row r="369" spans="1:91" ht="13.2" x14ac:dyDescent="0.25">
      <c r="A369" s="9">
        <f t="shared" ca="1" si="14"/>
        <v>0</v>
      </c>
      <c r="B369" s="9">
        <f ca="1">OFFSET(ORÇAMENTO!C$15,ROW(B369)-ROW(B$15),0)</f>
        <v>3</v>
      </c>
      <c r="C369" s="9" t="str">
        <f ca="1">OFFSET(ORÇAMENTO!L$15,ROW(C369)-ROW(C$15),0)</f>
        <v>F</v>
      </c>
      <c r="D369" s="145" t="str">
        <f ca="1">OFFSET(ORÇAMENTO!N$15,ROW(D369)-ROW(D$15),0)</f>
        <v>Nível 3</v>
      </c>
      <c r="E369" s="205" t="str">
        <f ca="1">OFFSET(ORÇAMENTO!O$15,ROW(E369)-ROW(E$15),0)</f>
        <v>1.12.5.</v>
      </c>
      <c r="F369" s="206" t="str">
        <f ca="1">OFFSET(ORÇAMENTO!R$15,ROW(F369)-ROW(F$15),0)</f>
        <v>CAIXA DÁGUA - 40.000L</v>
      </c>
      <c r="G369" s="207" t="str">
        <f ca="1">IF($D369&lt;&gt;"Serviço","",OFFSET(ORÇAMENTO!S$15,ROW(G369)-ROW(G$15),0))</f>
        <v/>
      </c>
      <c r="H369" s="151">
        <f ca="1">IF($D369&lt;&gt;"Serviço",0,IF(ACOMPANHAMENTO="BM",ROUND(OFFSET(ORÇAMENTO!AJ$15,ROW(H369)-ROW(H$15),0),15-13*ORÇAMENTO!$AF$7),SUMPRODUCT(($Q$12:$AI$12&lt;&gt;"")*ROUND($Q369:$AI369,15-13*ORÇAMENTO!$AF$7))))</f>
        <v>0</v>
      </c>
      <c r="I369" s="650"/>
      <c r="K369" s="208"/>
      <c r="L369" s="209" t="s">
        <v>257</v>
      </c>
      <c r="M369" s="210" t="str">
        <f ca="1">IF($D369&lt;&gt;"Serviço","",IF(AUTOEVENTO="manual",$A369,IF(ISERROR(MATCH($A369,$A$15:OFFSET($A369,-1,0),0)),MAX($M$15:OFFSET(M369,-1,0))+1,INDEX($M$15:OFFSET(M369,-1,0),MATCH($A369,$A$15:OFFSET($A369,-1,0),0)))))</f>
        <v/>
      </c>
      <c r="N369" s="211" t="str">
        <f ca="1">IF($D369&lt;&gt;"Serviço","",IF(AUTOEVENTO="Manual",IF($A369=0,"&lt;-- defina o número do agrupador",OFFSET(EVENTOS!$D$14,$A369,0)),OFFSET($F$15,$A369,0)))</f>
        <v/>
      </c>
      <c r="O369" s="212"/>
      <c r="Q369" s="212"/>
      <c r="R369" s="213"/>
      <c r="S369" s="213"/>
      <c r="T369" s="213"/>
      <c r="U369" s="213"/>
      <c r="V369" s="213"/>
      <c r="W369" s="213"/>
      <c r="X369" s="213"/>
      <c r="Y369" s="213"/>
      <c r="Z369" s="214"/>
      <c r="AA369" s="213"/>
      <c r="AB369" s="213"/>
      <c r="AC369" s="213"/>
      <c r="AD369" s="213"/>
      <c r="AE369" s="213"/>
      <c r="AF369" s="213"/>
      <c r="AG369" s="213"/>
      <c r="AH369" s="214"/>
      <c r="AJ369" s="631">
        <f ca="1">IF(AND($D369="Serviço",AJ$12&lt;&gt;0,$H369&gt;0,OR(AUTOEVENTO&lt;&gt;"manual",$M369&lt;&gt;1)),ROUND(OFFSET($P369,0,AJ$13),15-13*ORÇAMENTO!$AF$7)/$H369*OFFSET(ORÇAMENTO!$X$15,ROW(AJ369)-ROW(AJ$15),0),0)</f>
        <v>0</v>
      </c>
      <c r="AK369" s="632">
        <f ca="1">IF(AND($D369="Serviço",AK$12&lt;&gt;0,$H369&gt;0,OR(AUTOEVENTO&lt;&gt;"manual",$M369&lt;&gt;1)),ROUND(OFFSET($P369,0,AK$13),15-13*ORÇAMENTO!$AF$7)/$H369*OFFSET(ORÇAMENTO!$X$15,ROW(AK369)-ROW(AK$15),0),0)</f>
        <v>0</v>
      </c>
      <c r="AL369" s="632">
        <f ca="1">IF(AND($D369="Serviço",AL$12&lt;&gt;0,$H369&gt;0,OR(AUTOEVENTO&lt;&gt;"manual",$M369&lt;&gt;1)),ROUND(OFFSET($P369,0,AL$13),15-13*ORÇAMENTO!$AF$7)/$H369*OFFSET(ORÇAMENTO!$X$15,ROW(AL369)-ROW(AL$15),0),0)</f>
        <v>0</v>
      </c>
      <c r="AM369" s="632">
        <f ca="1">IF(AND($D369="Serviço",AM$12&lt;&gt;0,$H369&gt;0,OR(AUTOEVENTO&lt;&gt;"manual",$M369&lt;&gt;1)),ROUND(OFFSET($P369,0,AM$13),15-13*ORÇAMENTO!$AF$7)/$H369*OFFSET(ORÇAMENTO!$X$15,ROW(AM369)-ROW(AM$15),0),0)</f>
        <v>0</v>
      </c>
      <c r="AN369" s="632">
        <f ca="1">IF(AND($D369="Serviço",AN$12&lt;&gt;0,$H369&gt;0,OR(AUTOEVENTO&lt;&gt;"manual",$M369&lt;&gt;1)),ROUND(OFFSET($P369,0,AN$13),15-13*ORÇAMENTO!$AF$7)/$H369*OFFSET(ORÇAMENTO!$X$15,ROW(AN369)-ROW(AN$15),0),0)</f>
        <v>0</v>
      </c>
      <c r="AO369" s="632">
        <f ca="1">IF(AND($D369="Serviço",AO$12&lt;&gt;0,$H369&gt;0,OR(AUTOEVENTO&lt;&gt;"manual",$M369&lt;&gt;1)),ROUND(OFFSET($P369,0,AO$13),15-13*ORÇAMENTO!$AF$7)/$H369*OFFSET(ORÇAMENTO!$X$15,ROW(AO369)-ROW(AO$15),0),0)</f>
        <v>0</v>
      </c>
      <c r="AP369" s="632">
        <f ca="1">IF(AND($D369="Serviço",AP$12&lt;&gt;0,$H369&gt;0,OR(AUTOEVENTO&lt;&gt;"manual",$M369&lt;&gt;1)),ROUND(OFFSET($P369,0,AP$13),15-13*ORÇAMENTO!$AF$7)/$H369*OFFSET(ORÇAMENTO!$X$15,ROW(AP369)-ROW(AP$15),0),0)</f>
        <v>0</v>
      </c>
      <c r="AQ369" s="632">
        <f ca="1">IF(AND($D369="Serviço",AQ$12&lt;&gt;0,$H369&gt;0,OR(AUTOEVENTO&lt;&gt;"manual",$M369&lt;&gt;1)),ROUND(OFFSET($P369,0,AQ$13),15-13*ORÇAMENTO!$AF$7)/$H369*OFFSET(ORÇAMENTO!$X$15,ROW(AQ369)-ROW(AQ$15),0),0)</f>
        <v>0</v>
      </c>
      <c r="AR369" s="632">
        <f ca="1">IF(AND($D369="Serviço",AR$12&lt;&gt;0,$H369&gt;0,OR(AUTOEVENTO&lt;&gt;"manual",$M369&lt;&gt;1)),ROUND(OFFSET($P369,0,AR$13),15-13*ORÇAMENTO!$AF$7)/$H369*OFFSET(ORÇAMENTO!$X$15,ROW(AR369)-ROW(AR$15),0),0)</f>
        <v>0</v>
      </c>
      <c r="AS369" s="633">
        <f ca="1">IF(AND($D369="Serviço",AS$12&lt;&gt;0,$H369&gt;0,OR(AUTOEVENTO&lt;&gt;"manual",$M369&lt;&gt;1)),ROUND(OFFSET($P369,0,AS$13),15-13*ORÇAMENTO!$AF$7)/$H369*OFFSET(ORÇAMENTO!$X$15,ROW(AS369)-ROW(AS$15),0),0)</f>
        <v>0</v>
      </c>
      <c r="AT369" s="632">
        <f ca="1">IF(AND($D369="Serviço",AT$12&lt;&gt;0,$H369&gt;0,OR(AUTOEVENTO&lt;&gt;"manual",$M369&lt;&gt;1)),ROUND(OFFSET($P369,0,AT$13),15-13*ORÇAMENTO!$AF$7)/$H369*OFFSET(ORÇAMENTO!$X$15,ROW(AT369)-ROW(AT$15),0),0)</f>
        <v>0</v>
      </c>
      <c r="AU369" s="632">
        <f ca="1">IF(AND($D369="Serviço",AU$12&lt;&gt;0,$H369&gt;0,OR(AUTOEVENTO&lt;&gt;"manual",$M369&lt;&gt;1)),ROUND(OFFSET($P369,0,AU$13),15-13*ORÇAMENTO!$AF$7)/$H369*OFFSET(ORÇAMENTO!$X$15,ROW(AU369)-ROW(AU$15),0),0)</f>
        <v>0</v>
      </c>
      <c r="AV369" s="632">
        <f ca="1">IF(AND($D369="Serviço",AV$12&lt;&gt;0,$H369&gt;0,OR(AUTOEVENTO&lt;&gt;"manual",$M369&lt;&gt;1)),ROUND(OFFSET($P369,0,AV$13),15-13*ORÇAMENTO!$AF$7)/$H369*OFFSET(ORÇAMENTO!$X$15,ROW(AV369)-ROW(AV$15),0),0)</f>
        <v>0</v>
      </c>
      <c r="AW369" s="632">
        <f ca="1">IF(AND($D369="Serviço",AW$12&lt;&gt;0,$H369&gt;0,OR(AUTOEVENTO&lt;&gt;"manual",$M369&lt;&gt;1)),ROUND(OFFSET($P369,0,AW$13),15-13*ORÇAMENTO!$AF$7)/$H369*OFFSET(ORÇAMENTO!$X$15,ROW(AW369)-ROW(AW$15),0),0)</f>
        <v>0</v>
      </c>
      <c r="AX369" s="632">
        <f ca="1">IF(AND($D369="Serviço",AX$12&lt;&gt;0,$H369&gt;0,OR(AUTOEVENTO&lt;&gt;"manual",$M369&lt;&gt;1)),ROUND(OFFSET($P369,0,AX$13),15-13*ORÇAMENTO!$AF$7)/$H369*OFFSET(ORÇAMENTO!$X$15,ROW(AX369)-ROW(AX$15),0),0)</f>
        <v>0</v>
      </c>
      <c r="AY369" s="632">
        <f ca="1">IF(AND($D369="Serviço",AY$12&lt;&gt;0,$H369&gt;0,OR(AUTOEVENTO&lt;&gt;"manual",$M369&lt;&gt;1)),ROUND(OFFSET($P369,0,AY$13),15-13*ORÇAMENTO!$AF$7)/$H369*OFFSET(ORÇAMENTO!$X$15,ROW(AY369)-ROW(AY$15),0),0)</f>
        <v>0</v>
      </c>
      <c r="AZ369" s="632">
        <f ca="1">IF(AND($D369="Serviço",AZ$12&lt;&gt;0,$H369&gt;0,OR(AUTOEVENTO&lt;&gt;"manual",$M369&lt;&gt;1)),ROUND(OFFSET($P369,0,AZ$13),15-13*ORÇAMENTO!$AF$7)/$H369*OFFSET(ORÇAMENTO!$X$15,ROW(AZ369)-ROW(AZ$15),0),0)</f>
        <v>0</v>
      </c>
      <c r="BA369" s="633">
        <f ca="1">IF(AND($D369="Serviço",BA$12&lt;&gt;0,$H369&gt;0,OR(AUTOEVENTO&lt;&gt;"manual",$M369&lt;&gt;1)),ROUND(OFFSET($P369,0,BA$13),15-13*ORÇAMENTO!$AF$7)/$H369*OFFSET(ORÇAMENTO!$X$15,ROW(BA369)-ROW(BA$15),0),0)</f>
        <v>0</v>
      </c>
      <c r="BC369" s="215">
        <f ca="1">IF($D369&lt;&gt;"Serviço",0,IF(AND(AUTOEVENTO="Manual",$M369=1),0,IF(OFFSET(CRONOPLE!$F$14,$M369,BC$13)="",10^12,OFFSET(CRONOPLE!$F$14,$M369,BC$13))))</f>
        <v>0</v>
      </c>
      <c r="BD369" s="215">
        <f ca="1">IF($D369&lt;&gt;"Serviço",0,IF(AND(AUTOEVENTO="Manual",$M369=1),0,IF(OFFSET(CRONOPLE!$F$14,$M369,BD$13)="",10^12,OFFSET(CRONOPLE!$F$14,$M369,BD$13))))</f>
        <v>0</v>
      </c>
      <c r="BE369" s="215">
        <f ca="1">IF($D369&lt;&gt;"Serviço",0,IF(AND(AUTOEVENTO="Manual",$M369=1),0,IF(OFFSET(CRONOPLE!$F$14,$M369,BE$13)="",10^12,OFFSET(CRONOPLE!$F$14,$M369,BE$13))))</f>
        <v>0</v>
      </c>
      <c r="BF369" s="215">
        <f ca="1">IF($D369&lt;&gt;"Serviço",0,IF(AND(AUTOEVENTO="Manual",$M369=1),0,IF(OFFSET(CRONOPLE!$F$14,$M369,BF$13)="",10^12,OFFSET(CRONOPLE!$F$14,$M369,BF$13))))</f>
        <v>0</v>
      </c>
      <c r="BG369" s="215">
        <f ca="1">IF($D369&lt;&gt;"Serviço",0,IF(AND(AUTOEVENTO="Manual",$M369=1),0,IF(OFFSET(CRONOPLE!$F$14,$M369,BG$13)="",10^12,OFFSET(CRONOPLE!$F$14,$M369,BG$13))))</f>
        <v>0</v>
      </c>
      <c r="BH369" s="215">
        <f ca="1">IF($D369&lt;&gt;"Serviço",0,IF(AND(AUTOEVENTO="Manual",$M369=1),0,IF(OFFSET(CRONOPLE!$F$14,$M369,BH$13)="",10^12,OFFSET(CRONOPLE!$F$14,$M369,BH$13))))</f>
        <v>0</v>
      </c>
      <c r="BI369" s="215">
        <f ca="1">IF($D369&lt;&gt;"Serviço",0,IF(AND(AUTOEVENTO="Manual",$M369=1),0,IF(OFFSET(CRONOPLE!$F$14,$M369,BI$13)="",10^12,OFFSET(CRONOPLE!$F$14,$M369,BI$13))))</f>
        <v>0</v>
      </c>
      <c r="BJ369" s="215">
        <f ca="1">IF($D369&lt;&gt;"Serviço",0,IF(AND(AUTOEVENTO="Manual",$M369=1),0,IF(OFFSET(CRONOPLE!$F$14,$M369,BJ$13)="",10^12,OFFSET(CRONOPLE!$F$14,$M369,BJ$13))))</f>
        <v>0</v>
      </c>
      <c r="BK369" s="215">
        <f ca="1">IF($D369&lt;&gt;"Serviço",0,IF(AND(AUTOEVENTO="Manual",$M369=1),0,IF(OFFSET(CRONOPLE!$F$14,$M369,BK$13)="",10^12,OFFSET(CRONOPLE!$F$14,$M369,BK$13))))</f>
        <v>0</v>
      </c>
      <c r="BL369" s="215">
        <f ca="1">IF($D369&lt;&gt;"Serviço",0,IF(AND(AUTOEVENTO="Manual",$M369=1),0,IF(OFFSET(CRONOPLE!$F$14,$M369,BL$13)="",10^12,OFFSET(CRONOPLE!$F$14,$M369,BL$13))))</f>
        <v>0</v>
      </c>
      <c r="BM369" s="215">
        <f ca="1">IF($D369&lt;&gt;"Serviço",0,IF(AND(AUTOEVENTO="Manual",$M369=1),0,IF(OFFSET(CRONOPLE!$F$14,$M369,BM$13)="",10^12,OFFSET(CRONOPLE!$F$14,$M369,BM$13))))</f>
        <v>0</v>
      </c>
      <c r="BN369" s="215">
        <f ca="1">IF($D369&lt;&gt;"Serviço",0,IF(AND(AUTOEVENTO="Manual",$M369=1),0,IF(OFFSET(CRONOPLE!$F$14,$M369,BN$13)="",10^12,OFFSET(CRONOPLE!$F$14,$M369,BN$13))))</f>
        <v>0</v>
      </c>
      <c r="BO369" s="215">
        <f ca="1">IF($D369&lt;&gt;"Serviço",0,IF(AND(AUTOEVENTO="Manual",$M369=1),0,IF(OFFSET(CRONOPLE!$F$14,$M369,BO$13)="",10^12,OFFSET(CRONOPLE!$F$14,$M369,BO$13))))</f>
        <v>0</v>
      </c>
      <c r="BP369" s="215">
        <f ca="1">IF($D369&lt;&gt;"Serviço",0,IF(AND(AUTOEVENTO="Manual",$M369=1),0,IF(OFFSET(CRONOPLE!$F$14,$M369,BP$13)="",10^12,OFFSET(CRONOPLE!$F$14,$M369,BP$13))))</f>
        <v>0</v>
      </c>
      <c r="BQ369" s="215">
        <f ca="1">IF($D369&lt;&gt;"Serviço",0,IF(AND(AUTOEVENTO="Manual",$M369=1),0,IF(OFFSET(CRONOPLE!$F$14,$M369,BQ$13)="",10^12,OFFSET(CRONOPLE!$F$14,$M369,BQ$13))))</f>
        <v>0</v>
      </c>
      <c r="BR369" s="215">
        <f ca="1">IF($D369&lt;&gt;"Serviço",0,IF(AND(AUTOEVENTO="Manual",$M369=1),0,IF(OFFSET(CRONOPLE!$F$14,$M369,BR$13)="",10^12,OFFSET(CRONOPLE!$F$14,$M369,BR$13))))</f>
        <v>0</v>
      </c>
      <c r="BS369" s="215">
        <f ca="1">IF($D369&lt;&gt;"Serviço",0,IF(AND(AUTOEVENTO="Manual",$M369=1),0,IF(OFFSET(CRONOPLE!$F$14,$M369,BS$13)="",10^12,OFFSET(CRONOPLE!$F$14,$M369,BS$13))))</f>
        <v>0</v>
      </c>
      <c r="BT369" s="215">
        <f ca="1">IF($D369&lt;&gt;"Serviço",0,IF(AND(AUTOEVENTO="Manual",$M369=1),0,IF(OFFSET(CRONOPLE!$F$14,$M369,BT$13)="",10^12,OFFSET(CRONOPLE!$F$14,$M369,BT$13))))</f>
        <v>0</v>
      </c>
      <c r="BV369" s="216">
        <f ca="1">IF($D369&lt;&gt;"Serviço",0,IF(OR(AND(AUTOEVENTO="Manual",$M369=1),$M369&gt;(ROW(PLE.lastrow)-ROW(PLE.firstrow))),0,IF(OFFSET(PLE!$G$14,$M369,BV$13)="",10^12,OFFSET(PLE!$G$14,$M369,BV$13))))</f>
        <v>0</v>
      </c>
      <c r="BW369" s="216">
        <f ca="1">IF($D369&lt;&gt;"Serviço",0,IF(OR(AND(AUTOEVENTO="Manual",$M369=1),$M369&gt;(ROW(PLE.lastrow)-ROW(PLE.firstrow))),0,IF(OFFSET(PLE!$G$14,$M369,BW$13)="",10^12,OFFSET(PLE!$G$14,$M369,BW$13))))</f>
        <v>0</v>
      </c>
      <c r="BX369" s="216">
        <f ca="1">IF($D369&lt;&gt;"Serviço",0,IF(OR(AND(AUTOEVENTO="Manual",$M369=1),$M369&gt;(ROW(PLE.lastrow)-ROW(PLE.firstrow))),0,IF(OFFSET(PLE!$G$14,$M369,BX$13)="",10^12,OFFSET(PLE!$G$14,$M369,BX$13))))</f>
        <v>0</v>
      </c>
      <c r="BY369" s="216">
        <f ca="1">IF($D369&lt;&gt;"Serviço",0,IF(OR(AND(AUTOEVENTO="Manual",$M369=1),$M369&gt;(ROW(PLE.lastrow)-ROW(PLE.firstrow))),0,IF(OFFSET(PLE!$G$14,$M369,BY$13)="",10^12,OFFSET(PLE!$G$14,$M369,BY$13))))</f>
        <v>0</v>
      </c>
      <c r="BZ369" s="216">
        <f ca="1">IF($D369&lt;&gt;"Serviço",0,IF(OR(AND(AUTOEVENTO="Manual",$M369=1),$M369&gt;(ROW(PLE.lastrow)-ROW(PLE.firstrow))),0,IF(OFFSET(PLE!$G$14,$M369,BZ$13)="",10^12,OFFSET(PLE!$G$14,$M369,BZ$13))))</f>
        <v>0</v>
      </c>
      <c r="CA369" s="216">
        <f ca="1">IF($D369&lt;&gt;"Serviço",0,IF(OR(AND(AUTOEVENTO="Manual",$M369=1),$M369&gt;(ROW(PLE.lastrow)-ROW(PLE.firstrow))),0,IF(OFFSET(PLE!$G$14,$M369,CA$13)="",10^12,OFFSET(PLE!$G$14,$M369,CA$13))))</f>
        <v>0</v>
      </c>
      <c r="CB369" s="216">
        <f ca="1">IF($D369&lt;&gt;"Serviço",0,IF(OR(AND(AUTOEVENTO="Manual",$M369=1),$M369&gt;(ROW(PLE.lastrow)-ROW(PLE.firstrow))),0,IF(OFFSET(PLE!$G$14,$M369,CB$13)="",10^12,OFFSET(PLE!$G$14,$M369,CB$13))))</f>
        <v>0</v>
      </c>
      <c r="CC369" s="216">
        <f ca="1">IF($D369&lt;&gt;"Serviço",0,IF(OR(AND(AUTOEVENTO="Manual",$M369=1),$M369&gt;(ROW(PLE.lastrow)-ROW(PLE.firstrow))),0,IF(OFFSET(PLE!$G$14,$M369,CC$13)="",10^12,OFFSET(PLE!$G$14,$M369,CC$13))))</f>
        <v>0</v>
      </c>
      <c r="CD369" s="216">
        <f ca="1">IF($D369&lt;&gt;"Serviço",0,IF(OR(AND(AUTOEVENTO="Manual",$M369=1),$M369&gt;(ROW(PLE.lastrow)-ROW(PLE.firstrow))),0,IF(OFFSET(PLE!$G$14,$M369,CD$13)="",10^12,OFFSET(PLE!$G$14,$M369,CD$13))))</f>
        <v>0</v>
      </c>
      <c r="CE369" s="216">
        <f ca="1">IF($D369&lt;&gt;"Serviço",0,IF(OR(AND(AUTOEVENTO="Manual",$M369=1),$M369&gt;(ROW(PLE.lastrow)-ROW(PLE.firstrow))),0,IF(OFFSET(PLE!$G$14,$M369,CE$13)="",10^12,OFFSET(PLE!$G$14,$M369,CE$13))))</f>
        <v>0</v>
      </c>
      <c r="CF369" s="216">
        <f ca="1">IF($D369&lt;&gt;"Serviço",0,IF(OR(AND(AUTOEVENTO="Manual",$M369=1),$M369&gt;(ROW(PLE.lastrow)-ROW(PLE.firstrow))),0,IF(OFFSET(PLE!$G$14,$M369,CF$13)="",10^12,OFFSET(PLE!$G$14,$M369,CF$13))))</f>
        <v>0</v>
      </c>
      <c r="CG369" s="216">
        <f ca="1">IF($D369&lt;&gt;"Serviço",0,IF(OR(AND(AUTOEVENTO="Manual",$M369=1),$M369&gt;(ROW(PLE.lastrow)-ROW(PLE.firstrow))),0,IF(OFFSET(PLE!$G$14,$M369,CG$13)="",10^12,OFFSET(PLE!$G$14,$M369,CG$13))))</f>
        <v>0</v>
      </c>
      <c r="CH369" s="216">
        <f ca="1">IF($D369&lt;&gt;"Serviço",0,IF(OR(AND(AUTOEVENTO="Manual",$M369=1),$M369&gt;(ROW(PLE.lastrow)-ROW(PLE.firstrow))),0,IF(OFFSET(PLE!$G$14,$M369,CH$13)="",10^12,OFFSET(PLE!$G$14,$M369,CH$13))))</f>
        <v>0</v>
      </c>
      <c r="CI369" s="216">
        <f ca="1">IF($D369&lt;&gt;"Serviço",0,IF(OR(AND(AUTOEVENTO="Manual",$M369=1),$M369&gt;(ROW(PLE.lastrow)-ROW(PLE.firstrow))),0,IF(OFFSET(PLE!$G$14,$M369,CI$13)="",10^12,OFFSET(PLE!$G$14,$M369,CI$13))))</f>
        <v>0</v>
      </c>
      <c r="CJ369" s="216">
        <f ca="1">IF($D369&lt;&gt;"Serviço",0,IF(OR(AND(AUTOEVENTO="Manual",$M369=1),$M369&gt;(ROW(PLE.lastrow)-ROW(PLE.firstrow))),0,IF(OFFSET(PLE!$G$14,$M369,CJ$13)="",10^12,OFFSET(PLE!$G$14,$M369,CJ$13))))</f>
        <v>0</v>
      </c>
      <c r="CK369" s="216">
        <f ca="1">IF($D369&lt;&gt;"Serviço",0,IF(OR(AND(AUTOEVENTO="Manual",$M369=1),$M369&gt;(ROW(PLE.lastrow)-ROW(PLE.firstrow))),0,IF(OFFSET(PLE!$G$14,$M369,CK$13)="",10^12,OFFSET(PLE!$G$14,$M369,CK$13))))</f>
        <v>0</v>
      </c>
      <c r="CL369" s="216">
        <f ca="1">IF($D369&lt;&gt;"Serviço",0,IF(OR(AND(AUTOEVENTO="Manual",$M369=1),$M369&gt;(ROW(PLE.lastrow)-ROW(PLE.firstrow))),0,IF(OFFSET(PLE!$G$14,$M369,CL$13)="",10^12,OFFSET(PLE!$G$14,$M369,CL$13))))</f>
        <v>0</v>
      </c>
      <c r="CM369" s="216">
        <f ca="1">IF($D369&lt;&gt;"Serviço",0,IF(OR(AND(AUTOEVENTO="Manual",$M369=1),$M369&gt;(ROW(PLE.lastrow)-ROW(PLE.firstrow))),0,IF(OFFSET(PLE!$G$14,$M369,CM$13)="",10^12,OFFSET(PLE!$G$14,$M369,CM$13))))</f>
        <v>0</v>
      </c>
    </row>
    <row r="370" spans="1:91" ht="13.2" x14ac:dyDescent="0.25">
      <c r="A370" s="9">
        <f t="shared" ca="1" si="14"/>
        <v>0</v>
      </c>
      <c r="B370" s="9" t="str">
        <f ca="1">OFFSET(ORÇAMENTO!C$15,ROW(B370)-ROW(B$15),0)</f>
        <v>S</v>
      </c>
      <c r="C370" s="9" t="str">
        <f ca="1">OFFSET(ORÇAMENTO!L$15,ROW(C370)-ROW(C$15),0)</f>
        <v/>
      </c>
      <c r="D370" s="145" t="str">
        <f ca="1">OFFSET(ORÇAMENTO!N$15,ROW(D370)-ROW(D$15),0)</f>
        <v>Serviço</v>
      </c>
      <c r="E370" s="205" t="str">
        <f ca="1">OFFSET(ORÇAMENTO!O$15,ROW(E370)-ROW(E$15),0)</f>
        <v>-</v>
      </c>
      <c r="F370" s="206" t="str">
        <f ca="1">OFFSET(ORÇAMENTO!R$15,ROW(F370)-ROW(F$15),0)</f>
        <v>(abra o arquivo 'Referência 05-2024.xls)</v>
      </c>
      <c r="G370" s="207" t="str">
        <f ca="1">IF($D370&lt;&gt;"Serviço","",OFFSET(ORÇAMENTO!S$15,ROW(G370)-ROW(G$15),0))</f>
        <v>-</v>
      </c>
      <c r="H370" s="151">
        <f ca="1">IF($D370&lt;&gt;"Serviço",0,IF(ACOMPANHAMENTO="BM",ROUND(OFFSET(ORÇAMENTO!AJ$15,ROW(H370)-ROW(H$15),0),15-13*ORÇAMENTO!$AF$7),SUMPRODUCT(($Q$12:$AI$12&lt;&gt;"")*ROUND($Q370:$AI370,15-13*ORÇAMENTO!$AF$7))))</f>
        <v>1</v>
      </c>
      <c r="I370" s="650"/>
      <c r="K370" s="208"/>
      <c r="L370" s="209" t="s">
        <v>257</v>
      </c>
      <c r="M370" s="210">
        <f ca="1">IF($D370&lt;&gt;"Serviço","",IF(AUTOEVENTO="manual",$A370,IF(ISERROR(MATCH($A370,$A$15:OFFSET($A370,-1,0),0)),MAX($M$15:OFFSET(M370,-1,0))+1,INDEX($M$15:OFFSET(M370,-1,0),MATCH($A370,$A$15:OFFSET($A370,-1,0),0)))))</f>
        <v>0</v>
      </c>
      <c r="N370" s="211" t="str">
        <f ca="1">IF($D370&lt;&gt;"Serviço","",IF(AUTOEVENTO="Manual",IF($A370=0,"&lt;-- defina o número do agrupador",OFFSET(EVENTOS!$D$14,$A370,0)),OFFSET($F$15,$A370,0)))</f>
        <v>&lt;-- defina o número do agrupador</v>
      </c>
      <c r="O370" s="212"/>
      <c r="Q370" s="212"/>
      <c r="R370" s="213"/>
      <c r="S370" s="213"/>
      <c r="T370" s="213"/>
      <c r="U370" s="213"/>
      <c r="V370" s="213"/>
      <c r="W370" s="213"/>
      <c r="X370" s="213"/>
      <c r="Y370" s="213"/>
      <c r="Z370" s="214"/>
      <c r="AA370" s="213"/>
      <c r="AB370" s="213"/>
      <c r="AC370" s="213"/>
      <c r="AD370" s="213"/>
      <c r="AE370" s="213"/>
      <c r="AF370" s="213"/>
      <c r="AG370" s="213"/>
      <c r="AH370" s="214"/>
      <c r="AJ370" s="631">
        <f ca="1">IF(AND($D370="Serviço",AJ$12&lt;&gt;0,$H370&gt;0,OR(AUTOEVENTO&lt;&gt;"manual",$M370&lt;&gt;1)),ROUND(OFFSET($P370,0,AJ$13),15-13*ORÇAMENTO!$AF$7)/$H370*OFFSET(ORÇAMENTO!$X$15,ROW(AJ370)-ROW(AJ$15),0),0)</f>
        <v>0</v>
      </c>
      <c r="AK370" s="632">
        <f ca="1">IF(AND($D370="Serviço",AK$12&lt;&gt;0,$H370&gt;0,OR(AUTOEVENTO&lt;&gt;"manual",$M370&lt;&gt;1)),ROUND(OFFSET($P370,0,AK$13),15-13*ORÇAMENTO!$AF$7)/$H370*OFFSET(ORÇAMENTO!$X$15,ROW(AK370)-ROW(AK$15),0),0)</f>
        <v>0</v>
      </c>
      <c r="AL370" s="632">
        <f ca="1">IF(AND($D370="Serviço",AL$12&lt;&gt;0,$H370&gt;0,OR(AUTOEVENTO&lt;&gt;"manual",$M370&lt;&gt;1)),ROUND(OFFSET($P370,0,AL$13),15-13*ORÇAMENTO!$AF$7)/$H370*OFFSET(ORÇAMENTO!$X$15,ROW(AL370)-ROW(AL$15),0),0)</f>
        <v>0</v>
      </c>
      <c r="AM370" s="632">
        <f ca="1">IF(AND($D370="Serviço",AM$12&lt;&gt;0,$H370&gt;0,OR(AUTOEVENTO&lt;&gt;"manual",$M370&lt;&gt;1)),ROUND(OFFSET($P370,0,AM$13),15-13*ORÇAMENTO!$AF$7)/$H370*OFFSET(ORÇAMENTO!$X$15,ROW(AM370)-ROW(AM$15),0),0)</f>
        <v>0</v>
      </c>
      <c r="AN370" s="632">
        <f ca="1">IF(AND($D370="Serviço",AN$12&lt;&gt;0,$H370&gt;0,OR(AUTOEVENTO&lt;&gt;"manual",$M370&lt;&gt;1)),ROUND(OFFSET($P370,0,AN$13),15-13*ORÇAMENTO!$AF$7)/$H370*OFFSET(ORÇAMENTO!$X$15,ROW(AN370)-ROW(AN$15),0),0)</f>
        <v>0</v>
      </c>
      <c r="AO370" s="632">
        <f ca="1">IF(AND($D370="Serviço",AO$12&lt;&gt;0,$H370&gt;0,OR(AUTOEVENTO&lt;&gt;"manual",$M370&lt;&gt;1)),ROUND(OFFSET($P370,0,AO$13),15-13*ORÇAMENTO!$AF$7)/$H370*OFFSET(ORÇAMENTO!$X$15,ROW(AO370)-ROW(AO$15),0),0)</f>
        <v>0</v>
      </c>
      <c r="AP370" s="632">
        <f ca="1">IF(AND($D370="Serviço",AP$12&lt;&gt;0,$H370&gt;0,OR(AUTOEVENTO&lt;&gt;"manual",$M370&lt;&gt;1)),ROUND(OFFSET($P370,0,AP$13),15-13*ORÇAMENTO!$AF$7)/$H370*OFFSET(ORÇAMENTO!$X$15,ROW(AP370)-ROW(AP$15),0),0)</f>
        <v>0</v>
      </c>
      <c r="AQ370" s="632">
        <f ca="1">IF(AND($D370="Serviço",AQ$12&lt;&gt;0,$H370&gt;0,OR(AUTOEVENTO&lt;&gt;"manual",$M370&lt;&gt;1)),ROUND(OFFSET($P370,0,AQ$13),15-13*ORÇAMENTO!$AF$7)/$H370*OFFSET(ORÇAMENTO!$X$15,ROW(AQ370)-ROW(AQ$15),0),0)</f>
        <v>0</v>
      </c>
      <c r="AR370" s="632">
        <f ca="1">IF(AND($D370="Serviço",AR$12&lt;&gt;0,$H370&gt;0,OR(AUTOEVENTO&lt;&gt;"manual",$M370&lt;&gt;1)),ROUND(OFFSET($P370,0,AR$13),15-13*ORÇAMENTO!$AF$7)/$H370*OFFSET(ORÇAMENTO!$X$15,ROW(AR370)-ROW(AR$15),0),0)</f>
        <v>0</v>
      </c>
      <c r="AS370" s="633">
        <f ca="1">IF(AND($D370="Serviço",AS$12&lt;&gt;0,$H370&gt;0,OR(AUTOEVENTO&lt;&gt;"manual",$M370&lt;&gt;1)),ROUND(OFFSET($P370,0,AS$13),15-13*ORÇAMENTO!$AF$7)/$H370*OFFSET(ORÇAMENTO!$X$15,ROW(AS370)-ROW(AS$15),0),0)</f>
        <v>0</v>
      </c>
      <c r="AT370" s="632">
        <f ca="1">IF(AND($D370="Serviço",AT$12&lt;&gt;0,$H370&gt;0,OR(AUTOEVENTO&lt;&gt;"manual",$M370&lt;&gt;1)),ROUND(OFFSET($P370,0,AT$13),15-13*ORÇAMENTO!$AF$7)/$H370*OFFSET(ORÇAMENTO!$X$15,ROW(AT370)-ROW(AT$15),0),0)</f>
        <v>0</v>
      </c>
      <c r="AU370" s="632">
        <f ca="1">IF(AND($D370="Serviço",AU$12&lt;&gt;0,$H370&gt;0,OR(AUTOEVENTO&lt;&gt;"manual",$M370&lt;&gt;1)),ROUND(OFFSET($P370,0,AU$13),15-13*ORÇAMENTO!$AF$7)/$H370*OFFSET(ORÇAMENTO!$X$15,ROW(AU370)-ROW(AU$15),0),0)</f>
        <v>0</v>
      </c>
      <c r="AV370" s="632">
        <f ca="1">IF(AND($D370="Serviço",AV$12&lt;&gt;0,$H370&gt;0,OR(AUTOEVENTO&lt;&gt;"manual",$M370&lt;&gt;1)),ROUND(OFFSET($P370,0,AV$13),15-13*ORÇAMENTO!$AF$7)/$H370*OFFSET(ORÇAMENTO!$X$15,ROW(AV370)-ROW(AV$15),0),0)</f>
        <v>0</v>
      </c>
      <c r="AW370" s="632">
        <f ca="1">IF(AND($D370="Serviço",AW$12&lt;&gt;0,$H370&gt;0,OR(AUTOEVENTO&lt;&gt;"manual",$M370&lt;&gt;1)),ROUND(OFFSET($P370,0,AW$13),15-13*ORÇAMENTO!$AF$7)/$H370*OFFSET(ORÇAMENTO!$X$15,ROW(AW370)-ROW(AW$15),0),0)</f>
        <v>0</v>
      </c>
      <c r="AX370" s="632">
        <f ca="1">IF(AND($D370="Serviço",AX$12&lt;&gt;0,$H370&gt;0,OR(AUTOEVENTO&lt;&gt;"manual",$M370&lt;&gt;1)),ROUND(OFFSET($P370,0,AX$13),15-13*ORÇAMENTO!$AF$7)/$H370*OFFSET(ORÇAMENTO!$X$15,ROW(AX370)-ROW(AX$15),0),0)</f>
        <v>0</v>
      </c>
      <c r="AY370" s="632">
        <f ca="1">IF(AND($D370="Serviço",AY$12&lt;&gt;0,$H370&gt;0,OR(AUTOEVENTO&lt;&gt;"manual",$M370&lt;&gt;1)),ROUND(OFFSET($P370,0,AY$13),15-13*ORÇAMENTO!$AF$7)/$H370*OFFSET(ORÇAMENTO!$X$15,ROW(AY370)-ROW(AY$15),0),0)</f>
        <v>0</v>
      </c>
      <c r="AZ370" s="632">
        <f ca="1">IF(AND($D370="Serviço",AZ$12&lt;&gt;0,$H370&gt;0,OR(AUTOEVENTO&lt;&gt;"manual",$M370&lt;&gt;1)),ROUND(OFFSET($P370,0,AZ$13),15-13*ORÇAMENTO!$AF$7)/$H370*OFFSET(ORÇAMENTO!$X$15,ROW(AZ370)-ROW(AZ$15),0),0)</f>
        <v>0</v>
      </c>
      <c r="BA370" s="633">
        <f ca="1">IF(AND($D370="Serviço",BA$12&lt;&gt;0,$H370&gt;0,OR(AUTOEVENTO&lt;&gt;"manual",$M370&lt;&gt;1)),ROUND(OFFSET($P370,0,BA$13),15-13*ORÇAMENTO!$AF$7)/$H370*OFFSET(ORÇAMENTO!$X$15,ROW(BA370)-ROW(BA$15),0),0)</f>
        <v>0</v>
      </c>
      <c r="BC370" s="215">
        <f ca="1">IF($D370&lt;&gt;"Serviço",0,IF(AND(AUTOEVENTO="Manual",$M370=1),0,IF(OFFSET(CRONOPLE!$F$14,$M370,BC$13)="",10^12,OFFSET(CRONOPLE!$F$14,$M370,BC$13))))</f>
        <v>1000000000000</v>
      </c>
      <c r="BD370" s="215">
        <f ca="1">IF($D370&lt;&gt;"Serviço",0,IF(AND(AUTOEVENTO="Manual",$M370=1),0,IF(OFFSET(CRONOPLE!$F$14,$M370,BD$13)="",10^12,OFFSET(CRONOPLE!$F$14,$M370,BD$13))))</f>
        <v>1000000000000</v>
      </c>
      <c r="BE370" s="215">
        <f ca="1">IF($D370&lt;&gt;"Serviço",0,IF(AND(AUTOEVENTO="Manual",$M370=1),0,IF(OFFSET(CRONOPLE!$F$14,$M370,BE$13)="",10^12,OFFSET(CRONOPLE!$F$14,$M370,BE$13))))</f>
        <v>1000000000000</v>
      </c>
      <c r="BF370" s="215">
        <f ca="1">IF($D370&lt;&gt;"Serviço",0,IF(AND(AUTOEVENTO="Manual",$M370=1),0,IF(OFFSET(CRONOPLE!$F$14,$M370,BF$13)="",10^12,OFFSET(CRONOPLE!$F$14,$M370,BF$13))))</f>
        <v>1000000000000</v>
      </c>
      <c r="BG370" s="215">
        <f ca="1">IF($D370&lt;&gt;"Serviço",0,IF(AND(AUTOEVENTO="Manual",$M370=1),0,IF(OFFSET(CRONOPLE!$F$14,$M370,BG$13)="",10^12,OFFSET(CRONOPLE!$F$14,$M370,BG$13))))</f>
        <v>1000000000000</v>
      </c>
      <c r="BH370" s="215">
        <f ca="1">IF($D370&lt;&gt;"Serviço",0,IF(AND(AUTOEVENTO="Manual",$M370=1),0,IF(OFFSET(CRONOPLE!$F$14,$M370,BH$13)="",10^12,OFFSET(CRONOPLE!$F$14,$M370,BH$13))))</f>
        <v>1000000000000</v>
      </c>
      <c r="BI370" s="215">
        <f ca="1">IF($D370&lt;&gt;"Serviço",0,IF(AND(AUTOEVENTO="Manual",$M370=1),0,IF(OFFSET(CRONOPLE!$F$14,$M370,BI$13)="",10^12,OFFSET(CRONOPLE!$F$14,$M370,BI$13))))</f>
        <v>1000000000000</v>
      </c>
      <c r="BJ370" s="215">
        <f ca="1">IF($D370&lt;&gt;"Serviço",0,IF(AND(AUTOEVENTO="Manual",$M370=1),0,IF(OFFSET(CRONOPLE!$F$14,$M370,BJ$13)="",10^12,OFFSET(CRONOPLE!$F$14,$M370,BJ$13))))</f>
        <v>1000000000000</v>
      </c>
      <c r="BK370" s="215">
        <f ca="1">IF($D370&lt;&gt;"Serviço",0,IF(AND(AUTOEVENTO="Manual",$M370=1),0,IF(OFFSET(CRONOPLE!$F$14,$M370,BK$13)="",10^12,OFFSET(CRONOPLE!$F$14,$M370,BK$13))))</f>
        <v>1000000000000</v>
      </c>
      <c r="BL370" s="215">
        <f ca="1">IF($D370&lt;&gt;"Serviço",0,IF(AND(AUTOEVENTO="Manual",$M370=1),0,IF(OFFSET(CRONOPLE!$F$14,$M370,BL$13)="",10^12,OFFSET(CRONOPLE!$F$14,$M370,BL$13))))</f>
        <v>1000000000000</v>
      </c>
      <c r="BM370" s="215">
        <f ca="1">IF($D370&lt;&gt;"Serviço",0,IF(AND(AUTOEVENTO="Manual",$M370=1),0,IF(OFFSET(CRONOPLE!$F$14,$M370,BM$13)="",10^12,OFFSET(CRONOPLE!$F$14,$M370,BM$13))))</f>
        <v>1000000000000</v>
      </c>
      <c r="BN370" s="215">
        <f ca="1">IF($D370&lt;&gt;"Serviço",0,IF(AND(AUTOEVENTO="Manual",$M370=1),0,IF(OFFSET(CRONOPLE!$F$14,$M370,BN$13)="",10^12,OFFSET(CRONOPLE!$F$14,$M370,BN$13))))</f>
        <v>1000000000000</v>
      </c>
      <c r="BO370" s="215">
        <f ca="1">IF($D370&lt;&gt;"Serviço",0,IF(AND(AUTOEVENTO="Manual",$M370=1),0,IF(OFFSET(CRONOPLE!$F$14,$M370,BO$13)="",10^12,OFFSET(CRONOPLE!$F$14,$M370,BO$13))))</f>
        <v>1000000000000</v>
      </c>
      <c r="BP370" s="215">
        <f ca="1">IF($D370&lt;&gt;"Serviço",0,IF(AND(AUTOEVENTO="Manual",$M370=1),0,IF(OFFSET(CRONOPLE!$F$14,$M370,BP$13)="",10^12,OFFSET(CRONOPLE!$F$14,$M370,BP$13))))</f>
        <v>1000000000000</v>
      </c>
      <c r="BQ370" s="215">
        <f ca="1">IF($D370&lt;&gt;"Serviço",0,IF(AND(AUTOEVENTO="Manual",$M370=1),0,IF(OFFSET(CRONOPLE!$F$14,$M370,BQ$13)="",10^12,OFFSET(CRONOPLE!$F$14,$M370,BQ$13))))</f>
        <v>1000000000000</v>
      </c>
      <c r="BR370" s="215">
        <f ca="1">IF($D370&lt;&gt;"Serviço",0,IF(AND(AUTOEVENTO="Manual",$M370=1),0,IF(OFFSET(CRONOPLE!$F$14,$M370,BR$13)="",10^12,OFFSET(CRONOPLE!$F$14,$M370,BR$13))))</f>
        <v>1000000000000</v>
      </c>
      <c r="BS370" s="215">
        <f ca="1">IF($D370&lt;&gt;"Serviço",0,IF(AND(AUTOEVENTO="Manual",$M370=1),0,IF(OFFSET(CRONOPLE!$F$14,$M370,BS$13)="",10^12,OFFSET(CRONOPLE!$F$14,$M370,BS$13))))</f>
        <v>1000000000000</v>
      </c>
      <c r="BT370" s="215">
        <f ca="1">IF($D370&lt;&gt;"Serviço",0,IF(AND(AUTOEVENTO="Manual",$M370=1),0,IF(OFFSET(CRONOPLE!$F$14,$M370,BT$13)="",10^12,OFFSET(CRONOPLE!$F$14,$M370,BT$13))))</f>
        <v>1000000000000</v>
      </c>
      <c r="BV370" s="216">
        <f ca="1">IF($D370&lt;&gt;"Serviço",0,IF(OR(AND(AUTOEVENTO="Manual",$M370=1),$M370&gt;(ROW(PLE.lastrow)-ROW(PLE.firstrow))),0,IF(OFFSET(PLE!$G$14,$M370,BV$13)="",10^12,OFFSET(PLE!$G$14,$M370,BV$13))))</f>
        <v>1000000000000</v>
      </c>
      <c r="BW370" s="216">
        <f ca="1">IF($D370&lt;&gt;"Serviço",0,IF(OR(AND(AUTOEVENTO="Manual",$M370=1),$M370&gt;(ROW(PLE.lastrow)-ROW(PLE.firstrow))),0,IF(OFFSET(PLE!$G$14,$M370,BW$13)="",10^12,OFFSET(PLE!$G$14,$M370,BW$13))))</f>
        <v>1000000000000</v>
      </c>
      <c r="BX370" s="216">
        <f ca="1">IF($D370&lt;&gt;"Serviço",0,IF(OR(AND(AUTOEVENTO="Manual",$M370=1),$M370&gt;(ROW(PLE.lastrow)-ROW(PLE.firstrow))),0,IF(OFFSET(PLE!$G$14,$M370,BX$13)="",10^12,OFFSET(PLE!$G$14,$M370,BX$13))))</f>
        <v>1000000000000</v>
      </c>
      <c r="BY370" s="216">
        <f ca="1">IF($D370&lt;&gt;"Serviço",0,IF(OR(AND(AUTOEVENTO="Manual",$M370=1),$M370&gt;(ROW(PLE.lastrow)-ROW(PLE.firstrow))),0,IF(OFFSET(PLE!$G$14,$M370,BY$13)="",10^12,OFFSET(PLE!$G$14,$M370,BY$13))))</f>
        <v>1000000000000</v>
      </c>
      <c r="BZ370" s="216">
        <f ca="1">IF($D370&lt;&gt;"Serviço",0,IF(OR(AND(AUTOEVENTO="Manual",$M370=1),$M370&gt;(ROW(PLE.lastrow)-ROW(PLE.firstrow))),0,IF(OFFSET(PLE!$G$14,$M370,BZ$13)="",10^12,OFFSET(PLE!$G$14,$M370,BZ$13))))</f>
        <v>1000000000000</v>
      </c>
      <c r="CA370" s="216">
        <f ca="1">IF($D370&lt;&gt;"Serviço",0,IF(OR(AND(AUTOEVENTO="Manual",$M370=1),$M370&gt;(ROW(PLE.lastrow)-ROW(PLE.firstrow))),0,IF(OFFSET(PLE!$G$14,$M370,CA$13)="",10^12,OFFSET(PLE!$G$14,$M370,CA$13))))</f>
        <v>1000000000000</v>
      </c>
      <c r="CB370" s="216">
        <f ca="1">IF($D370&lt;&gt;"Serviço",0,IF(OR(AND(AUTOEVENTO="Manual",$M370=1),$M370&gt;(ROW(PLE.lastrow)-ROW(PLE.firstrow))),0,IF(OFFSET(PLE!$G$14,$M370,CB$13)="",10^12,OFFSET(PLE!$G$14,$M370,CB$13))))</f>
        <v>1000000000000</v>
      </c>
      <c r="CC370" s="216">
        <f ca="1">IF($D370&lt;&gt;"Serviço",0,IF(OR(AND(AUTOEVENTO="Manual",$M370=1),$M370&gt;(ROW(PLE.lastrow)-ROW(PLE.firstrow))),0,IF(OFFSET(PLE!$G$14,$M370,CC$13)="",10^12,OFFSET(PLE!$G$14,$M370,CC$13))))</f>
        <v>1000000000000</v>
      </c>
      <c r="CD370" s="216">
        <f ca="1">IF($D370&lt;&gt;"Serviço",0,IF(OR(AND(AUTOEVENTO="Manual",$M370=1),$M370&gt;(ROW(PLE.lastrow)-ROW(PLE.firstrow))),0,IF(OFFSET(PLE!$G$14,$M370,CD$13)="",10^12,OFFSET(PLE!$G$14,$M370,CD$13))))</f>
        <v>1000000000000</v>
      </c>
      <c r="CE370" s="216">
        <f ca="1">IF($D370&lt;&gt;"Serviço",0,IF(OR(AND(AUTOEVENTO="Manual",$M370=1),$M370&gt;(ROW(PLE.lastrow)-ROW(PLE.firstrow))),0,IF(OFFSET(PLE!$G$14,$M370,CE$13)="",10^12,OFFSET(PLE!$G$14,$M370,CE$13))))</f>
        <v>1000000000000</v>
      </c>
      <c r="CF370" s="216">
        <f ca="1">IF($D370&lt;&gt;"Serviço",0,IF(OR(AND(AUTOEVENTO="Manual",$M370=1),$M370&gt;(ROW(PLE.lastrow)-ROW(PLE.firstrow))),0,IF(OFFSET(PLE!$G$14,$M370,CF$13)="",10^12,OFFSET(PLE!$G$14,$M370,CF$13))))</f>
        <v>1000000000000</v>
      </c>
      <c r="CG370" s="216">
        <f ca="1">IF($D370&lt;&gt;"Serviço",0,IF(OR(AND(AUTOEVENTO="Manual",$M370=1),$M370&gt;(ROW(PLE.lastrow)-ROW(PLE.firstrow))),0,IF(OFFSET(PLE!$G$14,$M370,CG$13)="",10^12,OFFSET(PLE!$G$14,$M370,CG$13))))</f>
        <v>1000000000000</v>
      </c>
      <c r="CH370" s="216">
        <f ca="1">IF($D370&lt;&gt;"Serviço",0,IF(OR(AND(AUTOEVENTO="Manual",$M370=1),$M370&gt;(ROW(PLE.lastrow)-ROW(PLE.firstrow))),0,IF(OFFSET(PLE!$G$14,$M370,CH$13)="",10^12,OFFSET(PLE!$G$14,$M370,CH$13))))</f>
        <v>1000000000000</v>
      </c>
      <c r="CI370" s="216">
        <f ca="1">IF($D370&lt;&gt;"Serviço",0,IF(OR(AND(AUTOEVENTO="Manual",$M370=1),$M370&gt;(ROW(PLE.lastrow)-ROW(PLE.firstrow))),0,IF(OFFSET(PLE!$G$14,$M370,CI$13)="",10^12,OFFSET(PLE!$G$14,$M370,CI$13))))</f>
        <v>1000000000000</v>
      </c>
      <c r="CJ370" s="216">
        <f ca="1">IF($D370&lt;&gt;"Serviço",0,IF(OR(AND(AUTOEVENTO="Manual",$M370=1),$M370&gt;(ROW(PLE.lastrow)-ROW(PLE.firstrow))),0,IF(OFFSET(PLE!$G$14,$M370,CJ$13)="",10^12,OFFSET(PLE!$G$14,$M370,CJ$13))))</f>
        <v>1000000000000</v>
      </c>
      <c r="CK370" s="216">
        <f ca="1">IF($D370&lt;&gt;"Serviço",0,IF(OR(AND(AUTOEVENTO="Manual",$M370=1),$M370&gt;(ROW(PLE.lastrow)-ROW(PLE.firstrow))),0,IF(OFFSET(PLE!$G$14,$M370,CK$13)="",10^12,OFFSET(PLE!$G$14,$M370,CK$13))))</f>
        <v>1000000000000</v>
      </c>
      <c r="CL370" s="216">
        <f ca="1">IF($D370&lt;&gt;"Serviço",0,IF(OR(AND(AUTOEVENTO="Manual",$M370=1),$M370&gt;(ROW(PLE.lastrow)-ROW(PLE.firstrow))),0,IF(OFFSET(PLE!$G$14,$M370,CL$13)="",10^12,OFFSET(PLE!$G$14,$M370,CL$13))))</f>
        <v>1000000000000</v>
      </c>
      <c r="CM370" s="216">
        <f ca="1">IF($D370&lt;&gt;"Serviço",0,IF(OR(AND(AUTOEVENTO="Manual",$M370=1),$M370&gt;(ROW(PLE.lastrow)-ROW(PLE.firstrow))),0,IF(OFFSET(PLE!$G$14,$M370,CM$13)="",10^12,OFFSET(PLE!$G$14,$M370,CM$13))))</f>
        <v>1000000000000</v>
      </c>
    </row>
    <row r="371" spans="1:91" ht="13.2" x14ac:dyDescent="0.25">
      <c r="A371" s="9">
        <f t="shared" ca="1" si="14"/>
        <v>0</v>
      </c>
      <c r="B371" s="9">
        <f ca="1">OFFSET(ORÇAMENTO!C$15,ROW(B371)-ROW(B$15),0)</f>
        <v>2</v>
      </c>
      <c r="C371" s="9" t="str">
        <f ca="1">OFFSET(ORÇAMENTO!L$15,ROW(C371)-ROW(C$15),0)</f>
        <v>F</v>
      </c>
      <c r="D371" s="145" t="str">
        <f ca="1">OFFSET(ORÇAMENTO!N$15,ROW(D371)-ROW(D$15),0)</f>
        <v>Nível 2</v>
      </c>
      <c r="E371" s="205" t="str">
        <f ca="1">OFFSET(ORÇAMENTO!O$15,ROW(E371)-ROW(E$15),0)</f>
        <v>1.13.</v>
      </c>
      <c r="F371" s="206" t="str">
        <f ca="1">OFFSET(ORÇAMENTO!R$15,ROW(F371)-ROW(F$15),0)</f>
        <v>DRENAGEM DE ÁGUAS PLUVIAIS</v>
      </c>
      <c r="G371" s="207" t="str">
        <f ca="1">IF($D371&lt;&gt;"Serviço","",OFFSET(ORÇAMENTO!S$15,ROW(G371)-ROW(G$15),0))</f>
        <v/>
      </c>
      <c r="H371" s="151">
        <f ca="1">IF($D371&lt;&gt;"Serviço",0,IF(ACOMPANHAMENTO="BM",ROUND(OFFSET(ORÇAMENTO!AJ$15,ROW(H371)-ROW(H$15),0),15-13*ORÇAMENTO!$AF$7),SUMPRODUCT(($Q$12:$AI$12&lt;&gt;"")*ROUND($Q371:$AI371,15-13*ORÇAMENTO!$AF$7))))</f>
        <v>0</v>
      </c>
      <c r="I371" s="650"/>
      <c r="K371" s="208"/>
      <c r="L371" s="209" t="s">
        <v>257</v>
      </c>
      <c r="M371" s="210" t="str">
        <f ca="1">IF($D371&lt;&gt;"Serviço","",IF(AUTOEVENTO="manual",$A371,IF(ISERROR(MATCH($A371,$A$15:OFFSET($A371,-1,0),0)),MAX($M$15:OFFSET(M371,-1,0))+1,INDEX($M$15:OFFSET(M371,-1,0),MATCH($A371,$A$15:OFFSET($A371,-1,0),0)))))</f>
        <v/>
      </c>
      <c r="N371" s="211" t="str">
        <f ca="1">IF($D371&lt;&gt;"Serviço","",IF(AUTOEVENTO="Manual",IF($A371=0,"&lt;-- defina o número do agrupador",OFFSET(EVENTOS!$D$14,$A371,0)),OFFSET($F$15,$A371,0)))</f>
        <v/>
      </c>
      <c r="O371" s="212"/>
      <c r="Q371" s="212"/>
      <c r="R371" s="213"/>
      <c r="S371" s="213"/>
      <c r="T371" s="213"/>
      <c r="U371" s="213"/>
      <c r="V371" s="213"/>
      <c r="W371" s="213"/>
      <c r="X371" s="213"/>
      <c r="Y371" s="213"/>
      <c r="Z371" s="214"/>
      <c r="AA371" s="213"/>
      <c r="AB371" s="213"/>
      <c r="AC371" s="213"/>
      <c r="AD371" s="213"/>
      <c r="AE371" s="213"/>
      <c r="AF371" s="213"/>
      <c r="AG371" s="213"/>
      <c r="AH371" s="214"/>
      <c r="AJ371" s="631">
        <f ca="1">IF(AND($D371="Serviço",AJ$12&lt;&gt;0,$H371&gt;0,OR(AUTOEVENTO&lt;&gt;"manual",$M371&lt;&gt;1)),ROUND(OFFSET($P371,0,AJ$13),15-13*ORÇAMENTO!$AF$7)/$H371*OFFSET(ORÇAMENTO!$X$15,ROW(AJ371)-ROW(AJ$15),0),0)</f>
        <v>0</v>
      </c>
      <c r="AK371" s="632">
        <f ca="1">IF(AND($D371="Serviço",AK$12&lt;&gt;0,$H371&gt;0,OR(AUTOEVENTO&lt;&gt;"manual",$M371&lt;&gt;1)),ROUND(OFFSET($P371,0,AK$13),15-13*ORÇAMENTO!$AF$7)/$H371*OFFSET(ORÇAMENTO!$X$15,ROW(AK371)-ROW(AK$15),0),0)</f>
        <v>0</v>
      </c>
      <c r="AL371" s="632">
        <f ca="1">IF(AND($D371="Serviço",AL$12&lt;&gt;0,$H371&gt;0,OR(AUTOEVENTO&lt;&gt;"manual",$M371&lt;&gt;1)),ROUND(OFFSET($P371,0,AL$13),15-13*ORÇAMENTO!$AF$7)/$H371*OFFSET(ORÇAMENTO!$X$15,ROW(AL371)-ROW(AL$15),0),0)</f>
        <v>0</v>
      </c>
      <c r="AM371" s="632">
        <f ca="1">IF(AND($D371="Serviço",AM$12&lt;&gt;0,$H371&gt;0,OR(AUTOEVENTO&lt;&gt;"manual",$M371&lt;&gt;1)),ROUND(OFFSET($P371,0,AM$13),15-13*ORÇAMENTO!$AF$7)/$H371*OFFSET(ORÇAMENTO!$X$15,ROW(AM371)-ROW(AM$15),0),0)</f>
        <v>0</v>
      </c>
      <c r="AN371" s="632">
        <f ca="1">IF(AND($D371="Serviço",AN$12&lt;&gt;0,$H371&gt;0,OR(AUTOEVENTO&lt;&gt;"manual",$M371&lt;&gt;1)),ROUND(OFFSET($P371,0,AN$13),15-13*ORÇAMENTO!$AF$7)/$H371*OFFSET(ORÇAMENTO!$X$15,ROW(AN371)-ROW(AN$15),0),0)</f>
        <v>0</v>
      </c>
      <c r="AO371" s="632">
        <f ca="1">IF(AND($D371="Serviço",AO$12&lt;&gt;0,$H371&gt;0,OR(AUTOEVENTO&lt;&gt;"manual",$M371&lt;&gt;1)),ROUND(OFFSET($P371,0,AO$13),15-13*ORÇAMENTO!$AF$7)/$H371*OFFSET(ORÇAMENTO!$X$15,ROW(AO371)-ROW(AO$15),0),0)</f>
        <v>0</v>
      </c>
      <c r="AP371" s="632">
        <f ca="1">IF(AND($D371="Serviço",AP$12&lt;&gt;0,$H371&gt;0,OR(AUTOEVENTO&lt;&gt;"manual",$M371&lt;&gt;1)),ROUND(OFFSET($P371,0,AP$13),15-13*ORÇAMENTO!$AF$7)/$H371*OFFSET(ORÇAMENTO!$X$15,ROW(AP371)-ROW(AP$15),0),0)</f>
        <v>0</v>
      </c>
      <c r="AQ371" s="632">
        <f ca="1">IF(AND($D371="Serviço",AQ$12&lt;&gt;0,$H371&gt;0,OR(AUTOEVENTO&lt;&gt;"manual",$M371&lt;&gt;1)),ROUND(OFFSET($P371,0,AQ$13),15-13*ORÇAMENTO!$AF$7)/$H371*OFFSET(ORÇAMENTO!$X$15,ROW(AQ371)-ROW(AQ$15),0),0)</f>
        <v>0</v>
      </c>
      <c r="AR371" s="632">
        <f ca="1">IF(AND($D371="Serviço",AR$12&lt;&gt;0,$H371&gt;0,OR(AUTOEVENTO&lt;&gt;"manual",$M371&lt;&gt;1)),ROUND(OFFSET($P371,0,AR$13),15-13*ORÇAMENTO!$AF$7)/$H371*OFFSET(ORÇAMENTO!$X$15,ROW(AR371)-ROW(AR$15),0),0)</f>
        <v>0</v>
      </c>
      <c r="AS371" s="633">
        <f ca="1">IF(AND($D371="Serviço",AS$12&lt;&gt;0,$H371&gt;0,OR(AUTOEVENTO&lt;&gt;"manual",$M371&lt;&gt;1)),ROUND(OFFSET($P371,0,AS$13),15-13*ORÇAMENTO!$AF$7)/$H371*OFFSET(ORÇAMENTO!$X$15,ROW(AS371)-ROW(AS$15),0),0)</f>
        <v>0</v>
      </c>
      <c r="AT371" s="632">
        <f ca="1">IF(AND($D371="Serviço",AT$12&lt;&gt;0,$H371&gt;0,OR(AUTOEVENTO&lt;&gt;"manual",$M371&lt;&gt;1)),ROUND(OFFSET($P371,0,AT$13),15-13*ORÇAMENTO!$AF$7)/$H371*OFFSET(ORÇAMENTO!$X$15,ROW(AT371)-ROW(AT$15),0),0)</f>
        <v>0</v>
      </c>
      <c r="AU371" s="632">
        <f ca="1">IF(AND($D371="Serviço",AU$12&lt;&gt;0,$H371&gt;0,OR(AUTOEVENTO&lt;&gt;"manual",$M371&lt;&gt;1)),ROUND(OFFSET($P371,0,AU$13),15-13*ORÇAMENTO!$AF$7)/$H371*OFFSET(ORÇAMENTO!$X$15,ROW(AU371)-ROW(AU$15),0),0)</f>
        <v>0</v>
      </c>
      <c r="AV371" s="632">
        <f ca="1">IF(AND($D371="Serviço",AV$12&lt;&gt;0,$H371&gt;0,OR(AUTOEVENTO&lt;&gt;"manual",$M371&lt;&gt;1)),ROUND(OFFSET($P371,0,AV$13),15-13*ORÇAMENTO!$AF$7)/$H371*OFFSET(ORÇAMENTO!$X$15,ROW(AV371)-ROW(AV$15),0),0)</f>
        <v>0</v>
      </c>
      <c r="AW371" s="632">
        <f ca="1">IF(AND($D371="Serviço",AW$12&lt;&gt;0,$H371&gt;0,OR(AUTOEVENTO&lt;&gt;"manual",$M371&lt;&gt;1)),ROUND(OFFSET($P371,0,AW$13),15-13*ORÇAMENTO!$AF$7)/$H371*OFFSET(ORÇAMENTO!$X$15,ROW(AW371)-ROW(AW$15),0),0)</f>
        <v>0</v>
      </c>
      <c r="AX371" s="632">
        <f ca="1">IF(AND($D371="Serviço",AX$12&lt;&gt;0,$H371&gt;0,OR(AUTOEVENTO&lt;&gt;"manual",$M371&lt;&gt;1)),ROUND(OFFSET($P371,0,AX$13),15-13*ORÇAMENTO!$AF$7)/$H371*OFFSET(ORÇAMENTO!$X$15,ROW(AX371)-ROW(AX$15),0),0)</f>
        <v>0</v>
      </c>
      <c r="AY371" s="632">
        <f ca="1">IF(AND($D371="Serviço",AY$12&lt;&gt;0,$H371&gt;0,OR(AUTOEVENTO&lt;&gt;"manual",$M371&lt;&gt;1)),ROUND(OFFSET($P371,0,AY$13),15-13*ORÇAMENTO!$AF$7)/$H371*OFFSET(ORÇAMENTO!$X$15,ROW(AY371)-ROW(AY$15),0),0)</f>
        <v>0</v>
      </c>
      <c r="AZ371" s="632">
        <f ca="1">IF(AND($D371="Serviço",AZ$12&lt;&gt;0,$H371&gt;0,OR(AUTOEVENTO&lt;&gt;"manual",$M371&lt;&gt;1)),ROUND(OFFSET($P371,0,AZ$13),15-13*ORÇAMENTO!$AF$7)/$H371*OFFSET(ORÇAMENTO!$X$15,ROW(AZ371)-ROW(AZ$15),0),0)</f>
        <v>0</v>
      </c>
      <c r="BA371" s="633">
        <f ca="1">IF(AND($D371="Serviço",BA$12&lt;&gt;0,$H371&gt;0,OR(AUTOEVENTO&lt;&gt;"manual",$M371&lt;&gt;1)),ROUND(OFFSET($P371,0,BA$13),15-13*ORÇAMENTO!$AF$7)/$H371*OFFSET(ORÇAMENTO!$X$15,ROW(BA371)-ROW(BA$15),0),0)</f>
        <v>0</v>
      </c>
      <c r="BC371" s="215">
        <f ca="1">IF($D371&lt;&gt;"Serviço",0,IF(AND(AUTOEVENTO="Manual",$M371=1),0,IF(OFFSET(CRONOPLE!$F$14,$M371,BC$13)="",10^12,OFFSET(CRONOPLE!$F$14,$M371,BC$13))))</f>
        <v>0</v>
      </c>
      <c r="BD371" s="215">
        <f ca="1">IF($D371&lt;&gt;"Serviço",0,IF(AND(AUTOEVENTO="Manual",$M371=1),0,IF(OFFSET(CRONOPLE!$F$14,$M371,BD$13)="",10^12,OFFSET(CRONOPLE!$F$14,$M371,BD$13))))</f>
        <v>0</v>
      </c>
      <c r="BE371" s="215">
        <f ca="1">IF($D371&lt;&gt;"Serviço",0,IF(AND(AUTOEVENTO="Manual",$M371=1),0,IF(OFFSET(CRONOPLE!$F$14,$M371,BE$13)="",10^12,OFFSET(CRONOPLE!$F$14,$M371,BE$13))))</f>
        <v>0</v>
      </c>
      <c r="BF371" s="215">
        <f ca="1">IF($D371&lt;&gt;"Serviço",0,IF(AND(AUTOEVENTO="Manual",$M371=1),0,IF(OFFSET(CRONOPLE!$F$14,$M371,BF$13)="",10^12,OFFSET(CRONOPLE!$F$14,$M371,BF$13))))</f>
        <v>0</v>
      </c>
      <c r="BG371" s="215">
        <f ca="1">IF($D371&lt;&gt;"Serviço",0,IF(AND(AUTOEVENTO="Manual",$M371=1),0,IF(OFFSET(CRONOPLE!$F$14,$M371,BG$13)="",10^12,OFFSET(CRONOPLE!$F$14,$M371,BG$13))))</f>
        <v>0</v>
      </c>
      <c r="BH371" s="215">
        <f ca="1">IF($D371&lt;&gt;"Serviço",0,IF(AND(AUTOEVENTO="Manual",$M371=1),0,IF(OFFSET(CRONOPLE!$F$14,$M371,BH$13)="",10^12,OFFSET(CRONOPLE!$F$14,$M371,BH$13))))</f>
        <v>0</v>
      </c>
      <c r="BI371" s="215">
        <f ca="1">IF($D371&lt;&gt;"Serviço",0,IF(AND(AUTOEVENTO="Manual",$M371=1),0,IF(OFFSET(CRONOPLE!$F$14,$M371,BI$13)="",10^12,OFFSET(CRONOPLE!$F$14,$M371,BI$13))))</f>
        <v>0</v>
      </c>
      <c r="BJ371" s="215">
        <f ca="1">IF($D371&lt;&gt;"Serviço",0,IF(AND(AUTOEVENTO="Manual",$M371=1),0,IF(OFFSET(CRONOPLE!$F$14,$M371,BJ$13)="",10^12,OFFSET(CRONOPLE!$F$14,$M371,BJ$13))))</f>
        <v>0</v>
      </c>
      <c r="BK371" s="215">
        <f ca="1">IF($D371&lt;&gt;"Serviço",0,IF(AND(AUTOEVENTO="Manual",$M371=1),0,IF(OFFSET(CRONOPLE!$F$14,$M371,BK$13)="",10^12,OFFSET(CRONOPLE!$F$14,$M371,BK$13))))</f>
        <v>0</v>
      </c>
      <c r="BL371" s="215">
        <f ca="1">IF($D371&lt;&gt;"Serviço",0,IF(AND(AUTOEVENTO="Manual",$M371=1),0,IF(OFFSET(CRONOPLE!$F$14,$M371,BL$13)="",10^12,OFFSET(CRONOPLE!$F$14,$M371,BL$13))))</f>
        <v>0</v>
      </c>
      <c r="BM371" s="215">
        <f ca="1">IF($D371&lt;&gt;"Serviço",0,IF(AND(AUTOEVENTO="Manual",$M371=1),0,IF(OFFSET(CRONOPLE!$F$14,$M371,BM$13)="",10^12,OFFSET(CRONOPLE!$F$14,$M371,BM$13))))</f>
        <v>0</v>
      </c>
      <c r="BN371" s="215">
        <f ca="1">IF($D371&lt;&gt;"Serviço",0,IF(AND(AUTOEVENTO="Manual",$M371=1),0,IF(OFFSET(CRONOPLE!$F$14,$M371,BN$13)="",10^12,OFFSET(CRONOPLE!$F$14,$M371,BN$13))))</f>
        <v>0</v>
      </c>
      <c r="BO371" s="215">
        <f ca="1">IF($D371&lt;&gt;"Serviço",0,IF(AND(AUTOEVENTO="Manual",$M371=1),0,IF(OFFSET(CRONOPLE!$F$14,$M371,BO$13)="",10^12,OFFSET(CRONOPLE!$F$14,$M371,BO$13))))</f>
        <v>0</v>
      </c>
      <c r="BP371" s="215">
        <f ca="1">IF($D371&lt;&gt;"Serviço",0,IF(AND(AUTOEVENTO="Manual",$M371=1),0,IF(OFFSET(CRONOPLE!$F$14,$M371,BP$13)="",10^12,OFFSET(CRONOPLE!$F$14,$M371,BP$13))))</f>
        <v>0</v>
      </c>
      <c r="BQ371" s="215">
        <f ca="1">IF($D371&lt;&gt;"Serviço",0,IF(AND(AUTOEVENTO="Manual",$M371=1),0,IF(OFFSET(CRONOPLE!$F$14,$M371,BQ$13)="",10^12,OFFSET(CRONOPLE!$F$14,$M371,BQ$13))))</f>
        <v>0</v>
      </c>
      <c r="BR371" s="215">
        <f ca="1">IF($D371&lt;&gt;"Serviço",0,IF(AND(AUTOEVENTO="Manual",$M371=1),0,IF(OFFSET(CRONOPLE!$F$14,$M371,BR$13)="",10^12,OFFSET(CRONOPLE!$F$14,$M371,BR$13))))</f>
        <v>0</v>
      </c>
      <c r="BS371" s="215">
        <f ca="1">IF($D371&lt;&gt;"Serviço",0,IF(AND(AUTOEVENTO="Manual",$M371=1),0,IF(OFFSET(CRONOPLE!$F$14,$M371,BS$13)="",10^12,OFFSET(CRONOPLE!$F$14,$M371,BS$13))))</f>
        <v>0</v>
      </c>
      <c r="BT371" s="215">
        <f ca="1">IF($D371&lt;&gt;"Serviço",0,IF(AND(AUTOEVENTO="Manual",$M371=1),0,IF(OFFSET(CRONOPLE!$F$14,$M371,BT$13)="",10^12,OFFSET(CRONOPLE!$F$14,$M371,BT$13))))</f>
        <v>0</v>
      </c>
      <c r="BV371" s="216">
        <f ca="1">IF($D371&lt;&gt;"Serviço",0,IF(OR(AND(AUTOEVENTO="Manual",$M371=1),$M371&gt;(ROW(PLE.lastrow)-ROW(PLE.firstrow))),0,IF(OFFSET(PLE!$G$14,$M371,BV$13)="",10^12,OFFSET(PLE!$G$14,$M371,BV$13))))</f>
        <v>0</v>
      </c>
      <c r="BW371" s="216">
        <f ca="1">IF($D371&lt;&gt;"Serviço",0,IF(OR(AND(AUTOEVENTO="Manual",$M371=1),$M371&gt;(ROW(PLE.lastrow)-ROW(PLE.firstrow))),0,IF(OFFSET(PLE!$G$14,$M371,BW$13)="",10^12,OFFSET(PLE!$G$14,$M371,BW$13))))</f>
        <v>0</v>
      </c>
      <c r="BX371" s="216">
        <f ca="1">IF($D371&lt;&gt;"Serviço",0,IF(OR(AND(AUTOEVENTO="Manual",$M371=1),$M371&gt;(ROW(PLE.lastrow)-ROW(PLE.firstrow))),0,IF(OFFSET(PLE!$G$14,$M371,BX$13)="",10^12,OFFSET(PLE!$G$14,$M371,BX$13))))</f>
        <v>0</v>
      </c>
      <c r="BY371" s="216">
        <f ca="1">IF($D371&lt;&gt;"Serviço",0,IF(OR(AND(AUTOEVENTO="Manual",$M371=1),$M371&gt;(ROW(PLE.lastrow)-ROW(PLE.firstrow))),0,IF(OFFSET(PLE!$G$14,$M371,BY$13)="",10^12,OFFSET(PLE!$G$14,$M371,BY$13))))</f>
        <v>0</v>
      </c>
      <c r="BZ371" s="216">
        <f ca="1">IF($D371&lt;&gt;"Serviço",0,IF(OR(AND(AUTOEVENTO="Manual",$M371=1),$M371&gt;(ROW(PLE.lastrow)-ROW(PLE.firstrow))),0,IF(OFFSET(PLE!$G$14,$M371,BZ$13)="",10^12,OFFSET(PLE!$G$14,$M371,BZ$13))))</f>
        <v>0</v>
      </c>
      <c r="CA371" s="216">
        <f ca="1">IF($D371&lt;&gt;"Serviço",0,IF(OR(AND(AUTOEVENTO="Manual",$M371=1),$M371&gt;(ROW(PLE.lastrow)-ROW(PLE.firstrow))),0,IF(OFFSET(PLE!$G$14,$M371,CA$13)="",10^12,OFFSET(PLE!$G$14,$M371,CA$13))))</f>
        <v>0</v>
      </c>
      <c r="CB371" s="216">
        <f ca="1">IF($D371&lt;&gt;"Serviço",0,IF(OR(AND(AUTOEVENTO="Manual",$M371=1),$M371&gt;(ROW(PLE.lastrow)-ROW(PLE.firstrow))),0,IF(OFFSET(PLE!$G$14,$M371,CB$13)="",10^12,OFFSET(PLE!$G$14,$M371,CB$13))))</f>
        <v>0</v>
      </c>
      <c r="CC371" s="216">
        <f ca="1">IF($D371&lt;&gt;"Serviço",0,IF(OR(AND(AUTOEVENTO="Manual",$M371=1),$M371&gt;(ROW(PLE.lastrow)-ROW(PLE.firstrow))),0,IF(OFFSET(PLE!$G$14,$M371,CC$13)="",10^12,OFFSET(PLE!$G$14,$M371,CC$13))))</f>
        <v>0</v>
      </c>
      <c r="CD371" s="216">
        <f ca="1">IF($D371&lt;&gt;"Serviço",0,IF(OR(AND(AUTOEVENTO="Manual",$M371=1),$M371&gt;(ROW(PLE.lastrow)-ROW(PLE.firstrow))),0,IF(OFFSET(PLE!$G$14,$M371,CD$13)="",10^12,OFFSET(PLE!$G$14,$M371,CD$13))))</f>
        <v>0</v>
      </c>
      <c r="CE371" s="216">
        <f ca="1">IF($D371&lt;&gt;"Serviço",0,IF(OR(AND(AUTOEVENTO="Manual",$M371=1),$M371&gt;(ROW(PLE.lastrow)-ROW(PLE.firstrow))),0,IF(OFFSET(PLE!$G$14,$M371,CE$13)="",10^12,OFFSET(PLE!$G$14,$M371,CE$13))))</f>
        <v>0</v>
      </c>
      <c r="CF371" s="216">
        <f ca="1">IF($D371&lt;&gt;"Serviço",0,IF(OR(AND(AUTOEVENTO="Manual",$M371=1),$M371&gt;(ROW(PLE.lastrow)-ROW(PLE.firstrow))),0,IF(OFFSET(PLE!$G$14,$M371,CF$13)="",10^12,OFFSET(PLE!$G$14,$M371,CF$13))))</f>
        <v>0</v>
      </c>
      <c r="CG371" s="216">
        <f ca="1">IF($D371&lt;&gt;"Serviço",0,IF(OR(AND(AUTOEVENTO="Manual",$M371=1),$M371&gt;(ROW(PLE.lastrow)-ROW(PLE.firstrow))),0,IF(OFFSET(PLE!$G$14,$M371,CG$13)="",10^12,OFFSET(PLE!$G$14,$M371,CG$13))))</f>
        <v>0</v>
      </c>
      <c r="CH371" s="216">
        <f ca="1">IF($D371&lt;&gt;"Serviço",0,IF(OR(AND(AUTOEVENTO="Manual",$M371=1),$M371&gt;(ROW(PLE.lastrow)-ROW(PLE.firstrow))),0,IF(OFFSET(PLE!$G$14,$M371,CH$13)="",10^12,OFFSET(PLE!$G$14,$M371,CH$13))))</f>
        <v>0</v>
      </c>
      <c r="CI371" s="216">
        <f ca="1">IF($D371&lt;&gt;"Serviço",0,IF(OR(AND(AUTOEVENTO="Manual",$M371=1),$M371&gt;(ROW(PLE.lastrow)-ROW(PLE.firstrow))),0,IF(OFFSET(PLE!$G$14,$M371,CI$13)="",10^12,OFFSET(PLE!$G$14,$M371,CI$13))))</f>
        <v>0</v>
      </c>
      <c r="CJ371" s="216">
        <f ca="1">IF($D371&lt;&gt;"Serviço",0,IF(OR(AND(AUTOEVENTO="Manual",$M371=1),$M371&gt;(ROW(PLE.lastrow)-ROW(PLE.firstrow))),0,IF(OFFSET(PLE!$G$14,$M371,CJ$13)="",10^12,OFFSET(PLE!$G$14,$M371,CJ$13))))</f>
        <v>0</v>
      </c>
      <c r="CK371" s="216">
        <f ca="1">IF($D371&lt;&gt;"Serviço",0,IF(OR(AND(AUTOEVENTO="Manual",$M371=1),$M371&gt;(ROW(PLE.lastrow)-ROW(PLE.firstrow))),0,IF(OFFSET(PLE!$G$14,$M371,CK$13)="",10^12,OFFSET(PLE!$G$14,$M371,CK$13))))</f>
        <v>0</v>
      </c>
      <c r="CL371" s="216">
        <f ca="1">IF($D371&lt;&gt;"Serviço",0,IF(OR(AND(AUTOEVENTO="Manual",$M371=1),$M371&gt;(ROW(PLE.lastrow)-ROW(PLE.firstrow))),0,IF(OFFSET(PLE!$G$14,$M371,CL$13)="",10^12,OFFSET(PLE!$G$14,$M371,CL$13))))</f>
        <v>0</v>
      </c>
      <c r="CM371" s="216">
        <f ca="1">IF($D371&lt;&gt;"Serviço",0,IF(OR(AND(AUTOEVENTO="Manual",$M371=1),$M371&gt;(ROW(PLE.lastrow)-ROW(PLE.firstrow))),0,IF(OFFSET(PLE!$G$14,$M371,CM$13)="",10^12,OFFSET(PLE!$G$14,$M371,CM$13))))</f>
        <v>0</v>
      </c>
    </row>
    <row r="372" spans="1:91" ht="13.2" x14ac:dyDescent="0.25">
      <c r="A372" s="9">
        <f t="shared" ca="1" si="14"/>
        <v>0</v>
      </c>
      <c r="B372" s="9">
        <f ca="1">OFFSET(ORÇAMENTO!C$15,ROW(B372)-ROW(B$15),0)</f>
        <v>3</v>
      </c>
      <c r="C372" s="9" t="str">
        <f ca="1">OFFSET(ORÇAMENTO!L$15,ROW(C372)-ROW(C$15),0)</f>
        <v>F</v>
      </c>
      <c r="D372" s="145" t="str">
        <f ca="1">OFFSET(ORÇAMENTO!N$15,ROW(D372)-ROW(D$15),0)</f>
        <v>Nível 3</v>
      </c>
      <c r="E372" s="205" t="str">
        <f ca="1">OFFSET(ORÇAMENTO!O$15,ROW(E372)-ROW(E$15),0)</f>
        <v>1.13.1.</v>
      </c>
      <c r="F372" s="206" t="str">
        <f ca="1">OFFSET(ORÇAMENTO!R$15,ROW(F372)-ROW(F$15),0)</f>
        <v>TUBULAÇÕES E CONEXÕES DE PVC</v>
      </c>
      <c r="G372" s="207" t="str">
        <f ca="1">IF($D372&lt;&gt;"Serviço","",OFFSET(ORÇAMENTO!S$15,ROW(G372)-ROW(G$15),0))</f>
        <v/>
      </c>
      <c r="H372" s="151">
        <f ca="1">IF($D372&lt;&gt;"Serviço",0,IF(ACOMPANHAMENTO="BM",ROUND(OFFSET(ORÇAMENTO!AJ$15,ROW(H372)-ROW(H$15),0),15-13*ORÇAMENTO!$AF$7),SUMPRODUCT(($Q$12:$AI$12&lt;&gt;"")*ROUND($Q372:$AI372,15-13*ORÇAMENTO!$AF$7))))</f>
        <v>0</v>
      </c>
      <c r="I372" s="650"/>
      <c r="K372" s="208"/>
      <c r="L372" s="209" t="s">
        <v>257</v>
      </c>
      <c r="M372" s="210" t="str">
        <f ca="1">IF($D372&lt;&gt;"Serviço","",IF(AUTOEVENTO="manual",$A372,IF(ISERROR(MATCH($A372,$A$15:OFFSET($A372,-1,0),0)),MAX($M$15:OFFSET(M372,-1,0))+1,INDEX($M$15:OFFSET(M372,-1,0),MATCH($A372,$A$15:OFFSET($A372,-1,0),0)))))</f>
        <v/>
      </c>
      <c r="N372" s="211" t="str">
        <f ca="1">IF($D372&lt;&gt;"Serviço","",IF(AUTOEVENTO="Manual",IF($A372=0,"&lt;-- defina o número do agrupador",OFFSET(EVENTOS!$D$14,$A372,0)),OFFSET($F$15,$A372,0)))</f>
        <v/>
      </c>
      <c r="O372" s="212"/>
      <c r="Q372" s="212"/>
      <c r="R372" s="213"/>
      <c r="S372" s="213"/>
      <c r="T372" s="213"/>
      <c r="U372" s="213"/>
      <c r="V372" s="213"/>
      <c r="W372" s="213"/>
      <c r="X372" s="213"/>
      <c r="Y372" s="213"/>
      <c r="Z372" s="214"/>
      <c r="AA372" s="213"/>
      <c r="AB372" s="213"/>
      <c r="AC372" s="213"/>
      <c r="AD372" s="213"/>
      <c r="AE372" s="213"/>
      <c r="AF372" s="213"/>
      <c r="AG372" s="213"/>
      <c r="AH372" s="214"/>
      <c r="AJ372" s="631">
        <f ca="1">IF(AND($D372="Serviço",AJ$12&lt;&gt;0,$H372&gt;0,OR(AUTOEVENTO&lt;&gt;"manual",$M372&lt;&gt;1)),ROUND(OFFSET($P372,0,AJ$13),15-13*ORÇAMENTO!$AF$7)/$H372*OFFSET(ORÇAMENTO!$X$15,ROW(AJ372)-ROW(AJ$15),0),0)</f>
        <v>0</v>
      </c>
      <c r="AK372" s="632">
        <f ca="1">IF(AND($D372="Serviço",AK$12&lt;&gt;0,$H372&gt;0,OR(AUTOEVENTO&lt;&gt;"manual",$M372&lt;&gt;1)),ROUND(OFFSET($P372,0,AK$13),15-13*ORÇAMENTO!$AF$7)/$H372*OFFSET(ORÇAMENTO!$X$15,ROW(AK372)-ROW(AK$15),0),0)</f>
        <v>0</v>
      </c>
      <c r="AL372" s="632">
        <f ca="1">IF(AND($D372="Serviço",AL$12&lt;&gt;0,$H372&gt;0,OR(AUTOEVENTO&lt;&gt;"manual",$M372&lt;&gt;1)),ROUND(OFFSET($P372,0,AL$13),15-13*ORÇAMENTO!$AF$7)/$H372*OFFSET(ORÇAMENTO!$X$15,ROW(AL372)-ROW(AL$15),0),0)</f>
        <v>0</v>
      </c>
      <c r="AM372" s="632">
        <f ca="1">IF(AND($D372="Serviço",AM$12&lt;&gt;0,$H372&gt;0,OR(AUTOEVENTO&lt;&gt;"manual",$M372&lt;&gt;1)),ROUND(OFFSET($P372,0,AM$13),15-13*ORÇAMENTO!$AF$7)/$H372*OFFSET(ORÇAMENTO!$X$15,ROW(AM372)-ROW(AM$15),0),0)</f>
        <v>0</v>
      </c>
      <c r="AN372" s="632">
        <f ca="1">IF(AND($D372="Serviço",AN$12&lt;&gt;0,$H372&gt;0,OR(AUTOEVENTO&lt;&gt;"manual",$M372&lt;&gt;1)),ROUND(OFFSET($P372,0,AN$13),15-13*ORÇAMENTO!$AF$7)/$H372*OFFSET(ORÇAMENTO!$X$15,ROW(AN372)-ROW(AN$15),0),0)</f>
        <v>0</v>
      </c>
      <c r="AO372" s="632">
        <f ca="1">IF(AND($D372="Serviço",AO$12&lt;&gt;0,$H372&gt;0,OR(AUTOEVENTO&lt;&gt;"manual",$M372&lt;&gt;1)),ROUND(OFFSET($P372,0,AO$13),15-13*ORÇAMENTO!$AF$7)/$H372*OFFSET(ORÇAMENTO!$X$15,ROW(AO372)-ROW(AO$15),0),0)</f>
        <v>0</v>
      </c>
      <c r="AP372" s="632">
        <f ca="1">IF(AND($D372="Serviço",AP$12&lt;&gt;0,$H372&gt;0,OR(AUTOEVENTO&lt;&gt;"manual",$M372&lt;&gt;1)),ROUND(OFFSET($P372,0,AP$13),15-13*ORÇAMENTO!$AF$7)/$H372*OFFSET(ORÇAMENTO!$X$15,ROW(AP372)-ROW(AP$15),0),0)</f>
        <v>0</v>
      </c>
      <c r="AQ372" s="632">
        <f ca="1">IF(AND($D372="Serviço",AQ$12&lt;&gt;0,$H372&gt;0,OR(AUTOEVENTO&lt;&gt;"manual",$M372&lt;&gt;1)),ROUND(OFFSET($P372,0,AQ$13),15-13*ORÇAMENTO!$AF$7)/$H372*OFFSET(ORÇAMENTO!$X$15,ROW(AQ372)-ROW(AQ$15),0),0)</f>
        <v>0</v>
      </c>
      <c r="AR372" s="632">
        <f ca="1">IF(AND($D372="Serviço",AR$12&lt;&gt;0,$H372&gt;0,OR(AUTOEVENTO&lt;&gt;"manual",$M372&lt;&gt;1)),ROUND(OFFSET($P372,0,AR$13),15-13*ORÇAMENTO!$AF$7)/$H372*OFFSET(ORÇAMENTO!$X$15,ROW(AR372)-ROW(AR$15),0),0)</f>
        <v>0</v>
      </c>
      <c r="AS372" s="633">
        <f ca="1">IF(AND($D372="Serviço",AS$12&lt;&gt;0,$H372&gt;0,OR(AUTOEVENTO&lt;&gt;"manual",$M372&lt;&gt;1)),ROUND(OFFSET($P372,0,AS$13),15-13*ORÇAMENTO!$AF$7)/$H372*OFFSET(ORÇAMENTO!$X$15,ROW(AS372)-ROW(AS$15),0),0)</f>
        <v>0</v>
      </c>
      <c r="AT372" s="632">
        <f ca="1">IF(AND($D372="Serviço",AT$12&lt;&gt;0,$H372&gt;0,OR(AUTOEVENTO&lt;&gt;"manual",$M372&lt;&gt;1)),ROUND(OFFSET($P372,0,AT$13),15-13*ORÇAMENTO!$AF$7)/$H372*OFFSET(ORÇAMENTO!$X$15,ROW(AT372)-ROW(AT$15),0),0)</f>
        <v>0</v>
      </c>
      <c r="AU372" s="632">
        <f ca="1">IF(AND($D372="Serviço",AU$12&lt;&gt;0,$H372&gt;0,OR(AUTOEVENTO&lt;&gt;"manual",$M372&lt;&gt;1)),ROUND(OFFSET($P372,0,AU$13),15-13*ORÇAMENTO!$AF$7)/$H372*OFFSET(ORÇAMENTO!$X$15,ROW(AU372)-ROW(AU$15),0),0)</f>
        <v>0</v>
      </c>
      <c r="AV372" s="632">
        <f ca="1">IF(AND($D372="Serviço",AV$12&lt;&gt;0,$H372&gt;0,OR(AUTOEVENTO&lt;&gt;"manual",$M372&lt;&gt;1)),ROUND(OFFSET($P372,0,AV$13),15-13*ORÇAMENTO!$AF$7)/$H372*OFFSET(ORÇAMENTO!$X$15,ROW(AV372)-ROW(AV$15),0),0)</f>
        <v>0</v>
      </c>
      <c r="AW372" s="632">
        <f ca="1">IF(AND($D372="Serviço",AW$12&lt;&gt;0,$H372&gt;0,OR(AUTOEVENTO&lt;&gt;"manual",$M372&lt;&gt;1)),ROUND(OFFSET($P372,0,AW$13),15-13*ORÇAMENTO!$AF$7)/$H372*OFFSET(ORÇAMENTO!$X$15,ROW(AW372)-ROW(AW$15),0),0)</f>
        <v>0</v>
      </c>
      <c r="AX372" s="632">
        <f ca="1">IF(AND($D372="Serviço",AX$12&lt;&gt;0,$H372&gt;0,OR(AUTOEVENTO&lt;&gt;"manual",$M372&lt;&gt;1)),ROUND(OFFSET($P372,0,AX$13),15-13*ORÇAMENTO!$AF$7)/$H372*OFFSET(ORÇAMENTO!$X$15,ROW(AX372)-ROW(AX$15),0),0)</f>
        <v>0</v>
      </c>
      <c r="AY372" s="632">
        <f ca="1">IF(AND($D372="Serviço",AY$12&lt;&gt;0,$H372&gt;0,OR(AUTOEVENTO&lt;&gt;"manual",$M372&lt;&gt;1)),ROUND(OFFSET($P372,0,AY$13),15-13*ORÇAMENTO!$AF$7)/$H372*OFFSET(ORÇAMENTO!$X$15,ROW(AY372)-ROW(AY$15),0),0)</f>
        <v>0</v>
      </c>
      <c r="AZ372" s="632">
        <f ca="1">IF(AND($D372="Serviço",AZ$12&lt;&gt;0,$H372&gt;0,OR(AUTOEVENTO&lt;&gt;"manual",$M372&lt;&gt;1)),ROUND(OFFSET($P372,0,AZ$13),15-13*ORÇAMENTO!$AF$7)/$H372*OFFSET(ORÇAMENTO!$X$15,ROW(AZ372)-ROW(AZ$15),0),0)</f>
        <v>0</v>
      </c>
      <c r="BA372" s="633">
        <f ca="1">IF(AND($D372="Serviço",BA$12&lt;&gt;0,$H372&gt;0,OR(AUTOEVENTO&lt;&gt;"manual",$M372&lt;&gt;1)),ROUND(OFFSET($P372,0,BA$13),15-13*ORÇAMENTO!$AF$7)/$H372*OFFSET(ORÇAMENTO!$X$15,ROW(BA372)-ROW(BA$15),0),0)</f>
        <v>0</v>
      </c>
      <c r="BC372" s="215">
        <f ca="1">IF($D372&lt;&gt;"Serviço",0,IF(AND(AUTOEVENTO="Manual",$M372=1),0,IF(OFFSET(CRONOPLE!$F$14,$M372,BC$13)="",10^12,OFFSET(CRONOPLE!$F$14,$M372,BC$13))))</f>
        <v>0</v>
      </c>
      <c r="BD372" s="215">
        <f ca="1">IF($D372&lt;&gt;"Serviço",0,IF(AND(AUTOEVENTO="Manual",$M372=1),0,IF(OFFSET(CRONOPLE!$F$14,$M372,BD$13)="",10^12,OFFSET(CRONOPLE!$F$14,$M372,BD$13))))</f>
        <v>0</v>
      </c>
      <c r="BE372" s="215">
        <f ca="1">IF($D372&lt;&gt;"Serviço",0,IF(AND(AUTOEVENTO="Manual",$M372=1),0,IF(OFFSET(CRONOPLE!$F$14,$M372,BE$13)="",10^12,OFFSET(CRONOPLE!$F$14,$M372,BE$13))))</f>
        <v>0</v>
      </c>
      <c r="BF372" s="215">
        <f ca="1">IF($D372&lt;&gt;"Serviço",0,IF(AND(AUTOEVENTO="Manual",$M372=1),0,IF(OFFSET(CRONOPLE!$F$14,$M372,BF$13)="",10^12,OFFSET(CRONOPLE!$F$14,$M372,BF$13))))</f>
        <v>0</v>
      </c>
      <c r="BG372" s="215">
        <f ca="1">IF($D372&lt;&gt;"Serviço",0,IF(AND(AUTOEVENTO="Manual",$M372=1),0,IF(OFFSET(CRONOPLE!$F$14,$M372,BG$13)="",10^12,OFFSET(CRONOPLE!$F$14,$M372,BG$13))))</f>
        <v>0</v>
      </c>
      <c r="BH372" s="215">
        <f ca="1">IF($D372&lt;&gt;"Serviço",0,IF(AND(AUTOEVENTO="Manual",$M372=1),0,IF(OFFSET(CRONOPLE!$F$14,$M372,BH$13)="",10^12,OFFSET(CRONOPLE!$F$14,$M372,BH$13))))</f>
        <v>0</v>
      </c>
      <c r="BI372" s="215">
        <f ca="1">IF($D372&lt;&gt;"Serviço",0,IF(AND(AUTOEVENTO="Manual",$M372=1),0,IF(OFFSET(CRONOPLE!$F$14,$M372,BI$13)="",10^12,OFFSET(CRONOPLE!$F$14,$M372,BI$13))))</f>
        <v>0</v>
      </c>
      <c r="BJ372" s="215">
        <f ca="1">IF($D372&lt;&gt;"Serviço",0,IF(AND(AUTOEVENTO="Manual",$M372=1),0,IF(OFFSET(CRONOPLE!$F$14,$M372,BJ$13)="",10^12,OFFSET(CRONOPLE!$F$14,$M372,BJ$13))))</f>
        <v>0</v>
      </c>
      <c r="BK372" s="215">
        <f ca="1">IF($D372&lt;&gt;"Serviço",0,IF(AND(AUTOEVENTO="Manual",$M372=1),0,IF(OFFSET(CRONOPLE!$F$14,$M372,BK$13)="",10^12,OFFSET(CRONOPLE!$F$14,$M372,BK$13))))</f>
        <v>0</v>
      </c>
      <c r="BL372" s="215">
        <f ca="1">IF($D372&lt;&gt;"Serviço",0,IF(AND(AUTOEVENTO="Manual",$M372=1),0,IF(OFFSET(CRONOPLE!$F$14,$M372,BL$13)="",10^12,OFFSET(CRONOPLE!$F$14,$M372,BL$13))))</f>
        <v>0</v>
      </c>
      <c r="BM372" s="215">
        <f ca="1">IF($D372&lt;&gt;"Serviço",0,IF(AND(AUTOEVENTO="Manual",$M372=1),0,IF(OFFSET(CRONOPLE!$F$14,$M372,BM$13)="",10^12,OFFSET(CRONOPLE!$F$14,$M372,BM$13))))</f>
        <v>0</v>
      </c>
      <c r="BN372" s="215">
        <f ca="1">IF($D372&lt;&gt;"Serviço",0,IF(AND(AUTOEVENTO="Manual",$M372=1),0,IF(OFFSET(CRONOPLE!$F$14,$M372,BN$13)="",10^12,OFFSET(CRONOPLE!$F$14,$M372,BN$13))))</f>
        <v>0</v>
      </c>
      <c r="BO372" s="215">
        <f ca="1">IF($D372&lt;&gt;"Serviço",0,IF(AND(AUTOEVENTO="Manual",$M372=1),0,IF(OFFSET(CRONOPLE!$F$14,$M372,BO$13)="",10^12,OFFSET(CRONOPLE!$F$14,$M372,BO$13))))</f>
        <v>0</v>
      </c>
      <c r="BP372" s="215">
        <f ca="1">IF($D372&lt;&gt;"Serviço",0,IF(AND(AUTOEVENTO="Manual",$M372=1),0,IF(OFFSET(CRONOPLE!$F$14,$M372,BP$13)="",10^12,OFFSET(CRONOPLE!$F$14,$M372,BP$13))))</f>
        <v>0</v>
      </c>
      <c r="BQ372" s="215">
        <f ca="1">IF($D372&lt;&gt;"Serviço",0,IF(AND(AUTOEVENTO="Manual",$M372=1),0,IF(OFFSET(CRONOPLE!$F$14,$M372,BQ$13)="",10^12,OFFSET(CRONOPLE!$F$14,$M372,BQ$13))))</f>
        <v>0</v>
      </c>
      <c r="BR372" s="215">
        <f ca="1">IF($D372&lt;&gt;"Serviço",0,IF(AND(AUTOEVENTO="Manual",$M372=1),0,IF(OFFSET(CRONOPLE!$F$14,$M372,BR$13)="",10^12,OFFSET(CRONOPLE!$F$14,$M372,BR$13))))</f>
        <v>0</v>
      </c>
      <c r="BS372" s="215">
        <f ca="1">IF($D372&lt;&gt;"Serviço",0,IF(AND(AUTOEVENTO="Manual",$M372=1),0,IF(OFFSET(CRONOPLE!$F$14,$M372,BS$13)="",10^12,OFFSET(CRONOPLE!$F$14,$M372,BS$13))))</f>
        <v>0</v>
      </c>
      <c r="BT372" s="215">
        <f ca="1">IF($D372&lt;&gt;"Serviço",0,IF(AND(AUTOEVENTO="Manual",$M372=1),0,IF(OFFSET(CRONOPLE!$F$14,$M372,BT$13)="",10^12,OFFSET(CRONOPLE!$F$14,$M372,BT$13))))</f>
        <v>0</v>
      </c>
      <c r="BV372" s="216">
        <f ca="1">IF($D372&lt;&gt;"Serviço",0,IF(OR(AND(AUTOEVENTO="Manual",$M372=1),$M372&gt;(ROW(PLE.lastrow)-ROW(PLE.firstrow))),0,IF(OFFSET(PLE!$G$14,$M372,BV$13)="",10^12,OFFSET(PLE!$G$14,$M372,BV$13))))</f>
        <v>0</v>
      </c>
      <c r="BW372" s="216">
        <f ca="1">IF($D372&lt;&gt;"Serviço",0,IF(OR(AND(AUTOEVENTO="Manual",$M372=1),$M372&gt;(ROW(PLE.lastrow)-ROW(PLE.firstrow))),0,IF(OFFSET(PLE!$G$14,$M372,BW$13)="",10^12,OFFSET(PLE!$G$14,$M372,BW$13))))</f>
        <v>0</v>
      </c>
      <c r="BX372" s="216">
        <f ca="1">IF($D372&lt;&gt;"Serviço",0,IF(OR(AND(AUTOEVENTO="Manual",$M372=1),$M372&gt;(ROW(PLE.lastrow)-ROW(PLE.firstrow))),0,IF(OFFSET(PLE!$G$14,$M372,BX$13)="",10^12,OFFSET(PLE!$G$14,$M372,BX$13))))</f>
        <v>0</v>
      </c>
      <c r="BY372" s="216">
        <f ca="1">IF($D372&lt;&gt;"Serviço",0,IF(OR(AND(AUTOEVENTO="Manual",$M372=1),$M372&gt;(ROW(PLE.lastrow)-ROW(PLE.firstrow))),0,IF(OFFSET(PLE!$G$14,$M372,BY$13)="",10^12,OFFSET(PLE!$G$14,$M372,BY$13))))</f>
        <v>0</v>
      </c>
      <c r="BZ372" s="216">
        <f ca="1">IF($D372&lt;&gt;"Serviço",0,IF(OR(AND(AUTOEVENTO="Manual",$M372=1),$M372&gt;(ROW(PLE.lastrow)-ROW(PLE.firstrow))),0,IF(OFFSET(PLE!$G$14,$M372,BZ$13)="",10^12,OFFSET(PLE!$G$14,$M372,BZ$13))))</f>
        <v>0</v>
      </c>
      <c r="CA372" s="216">
        <f ca="1">IF($D372&lt;&gt;"Serviço",0,IF(OR(AND(AUTOEVENTO="Manual",$M372=1),$M372&gt;(ROW(PLE.lastrow)-ROW(PLE.firstrow))),0,IF(OFFSET(PLE!$G$14,$M372,CA$13)="",10^12,OFFSET(PLE!$G$14,$M372,CA$13))))</f>
        <v>0</v>
      </c>
      <c r="CB372" s="216">
        <f ca="1">IF($D372&lt;&gt;"Serviço",0,IF(OR(AND(AUTOEVENTO="Manual",$M372=1),$M372&gt;(ROW(PLE.lastrow)-ROW(PLE.firstrow))),0,IF(OFFSET(PLE!$G$14,$M372,CB$13)="",10^12,OFFSET(PLE!$G$14,$M372,CB$13))))</f>
        <v>0</v>
      </c>
      <c r="CC372" s="216">
        <f ca="1">IF($D372&lt;&gt;"Serviço",0,IF(OR(AND(AUTOEVENTO="Manual",$M372=1),$M372&gt;(ROW(PLE.lastrow)-ROW(PLE.firstrow))),0,IF(OFFSET(PLE!$G$14,$M372,CC$13)="",10^12,OFFSET(PLE!$G$14,$M372,CC$13))))</f>
        <v>0</v>
      </c>
      <c r="CD372" s="216">
        <f ca="1">IF($D372&lt;&gt;"Serviço",0,IF(OR(AND(AUTOEVENTO="Manual",$M372=1),$M372&gt;(ROW(PLE.lastrow)-ROW(PLE.firstrow))),0,IF(OFFSET(PLE!$G$14,$M372,CD$13)="",10^12,OFFSET(PLE!$G$14,$M372,CD$13))))</f>
        <v>0</v>
      </c>
      <c r="CE372" s="216">
        <f ca="1">IF($D372&lt;&gt;"Serviço",0,IF(OR(AND(AUTOEVENTO="Manual",$M372=1),$M372&gt;(ROW(PLE.lastrow)-ROW(PLE.firstrow))),0,IF(OFFSET(PLE!$G$14,$M372,CE$13)="",10^12,OFFSET(PLE!$G$14,$M372,CE$13))))</f>
        <v>0</v>
      </c>
      <c r="CF372" s="216">
        <f ca="1">IF($D372&lt;&gt;"Serviço",0,IF(OR(AND(AUTOEVENTO="Manual",$M372=1),$M372&gt;(ROW(PLE.lastrow)-ROW(PLE.firstrow))),0,IF(OFFSET(PLE!$G$14,$M372,CF$13)="",10^12,OFFSET(PLE!$G$14,$M372,CF$13))))</f>
        <v>0</v>
      </c>
      <c r="CG372" s="216">
        <f ca="1">IF($D372&lt;&gt;"Serviço",0,IF(OR(AND(AUTOEVENTO="Manual",$M372=1),$M372&gt;(ROW(PLE.lastrow)-ROW(PLE.firstrow))),0,IF(OFFSET(PLE!$G$14,$M372,CG$13)="",10^12,OFFSET(PLE!$G$14,$M372,CG$13))))</f>
        <v>0</v>
      </c>
      <c r="CH372" s="216">
        <f ca="1">IF($D372&lt;&gt;"Serviço",0,IF(OR(AND(AUTOEVENTO="Manual",$M372=1),$M372&gt;(ROW(PLE.lastrow)-ROW(PLE.firstrow))),0,IF(OFFSET(PLE!$G$14,$M372,CH$13)="",10^12,OFFSET(PLE!$G$14,$M372,CH$13))))</f>
        <v>0</v>
      </c>
      <c r="CI372" s="216">
        <f ca="1">IF($D372&lt;&gt;"Serviço",0,IF(OR(AND(AUTOEVENTO="Manual",$M372=1),$M372&gt;(ROW(PLE.lastrow)-ROW(PLE.firstrow))),0,IF(OFFSET(PLE!$G$14,$M372,CI$13)="",10^12,OFFSET(PLE!$G$14,$M372,CI$13))))</f>
        <v>0</v>
      </c>
      <c r="CJ372" s="216">
        <f ca="1">IF($D372&lt;&gt;"Serviço",0,IF(OR(AND(AUTOEVENTO="Manual",$M372=1),$M372&gt;(ROW(PLE.lastrow)-ROW(PLE.firstrow))),0,IF(OFFSET(PLE!$G$14,$M372,CJ$13)="",10^12,OFFSET(PLE!$G$14,$M372,CJ$13))))</f>
        <v>0</v>
      </c>
      <c r="CK372" s="216">
        <f ca="1">IF($D372&lt;&gt;"Serviço",0,IF(OR(AND(AUTOEVENTO="Manual",$M372=1),$M372&gt;(ROW(PLE.lastrow)-ROW(PLE.firstrow))),0,IF(OFFSET(PLE!$G$14,$M372,CK$13)="",10^12,OFFSET(PLE!$G$14,$M372,CK$13))))</f>
        <v>0</v>
      </c>
      <c r="CL372" s="216">
        <f ca="1">IF($D372&lt;&gt;"Serviço",0,IF(OR(AND(AUTOEVENTO="Manual",$M372=1),$M372&gt;(ROW(PLE.lastrow)-ROW(PLE.firstrow))),0,IF(OFFSET(PLE!$G$14,$M372,CL$13)="",10^12,OFFSET(PLE!$G$14,$M372,CL$13))))</f>
        <v>0</v>
      </c>
      <c r="CM372" s="216">
        <f ca="1">IF($D372&lt;&gt;"Serviço",0,IF(OR(AND(AUTOEVENTO="Manual",$M372=1),$M372&gt;(ROW(PLE.lastrow)-ROW(PLE.firstrow))),0,IF(OFFSET(PLE!$G$14,$M372,CM$13)="",10^12,OFFSET(PLE!$G$14,$M372,CM$13))))</f>
        <v>0</v>
      </c>
    </row>
    <row r="373" spans="1:91" ht="13.2" x14ac:dyDescent="0.25">
      <c r="A373" s="9">
        <f t="shared" ca="1" si="14"/>
        <v>0</v>
      </c>
      <c r="B373" s="9" t="str">
        <f ca="1">OFFSET(ORÇAMENTO!C$15,ROW(B373)-ROW(B$15),0)</f>
        <v>S</v>
      </c>
      <c r="C373" s="9" t="str">
        <f ca="1">OFFSET(ORÇAMENTO!L$15,ROW(C373)-ROW(C$15),0)</f>
        <v/>
      </c>
      <c r="D373" s="145" t="str">
        <f ca="1">OFFSET(ORÇAMENTO!N$15,ROW(D373)-ROW(D$15),0)</f>
        <v>Serviço</v>
      </c>
      <c r="E373" s="205" t="str">
        <f ca="1">OFFSET(ORÇAMENTO!O$15,ROW(E373)-ROW(E$15),0)</f>
        <v>-</v>
      </c>
      <c r="F373" s="206" t="str">
        <f ca="1">OFFSET(ORÇAMENTO!R$15,ROW(F373)-ROW(F$15),0)</f>
        <v>(abra o arquivo 'Referência 05-2024.xls)</v>
      </c>
      <c r="G373" s="207" t="str">
        <f ca="1">IF($D373&lt;&gt;"Serviço","",OFFSET(ORÇAMENTO!S$15,ROW(G373)-ROW(G$15),0))</f>
        <v>-</v>
      </c>
      <c r="H373" s="151">
        <f ca="1">IF($D373&lt;&gt;"Serviço",0,IF(ACOMPANHAMENTO="BM",ROUND(OFFSET(ORÇAMENTO!AJ$15,ROW(H373)-ROW(H$15),0),15-13*ORÇAMENTO!$AF$7),SUMPRODUCT(($Q$12:$AI$12&lt;&gt;"")*ROUND($Q373:$AI373,15-13*ORÇAMENTO!$AF$7))))</f>
        <v>414.8</v>
      </c>
      <c r="I373" s="650"/>
      <c r="K373" s="208"/>
      <c r="L373" s="209" t="s">
        <v>257</v>
      </c>
      <c r="M373" s="210">
        <f ca="1">IF($D373&lt;&gt;"Serviço","",IF(AUTOEVENTO="manual",$A373,IF(ISERROR(MATCH($A373,$A$15:OFFSET($A373,-1,0),0)),MAX($M$15:OFFSET(M373,-1,0))+1,INDEX($M$15:OFFSET(M373,-1,0),MATCH($A373,$A$15:OFFSET($A373,-1,0),0)))))</f>
        <v>0</v>
      </c>
      <c r="N373" s="211" t="str">
        <f ca="1">IF($D373&lt;&gt;"Serviço","",IF(AUTOEVENTO="Manual",IF($A373=0,"&lt;-- defina o número do agrupador",OFFSET(EVENTOS!$D$14,$A373,0)),OFFSET($F$15,$A373,0)))</f>
        <v>&lt;-- defina o número do agrupador</v>
      </c>
      <c r="O373" s="212"/>
      <c r="Q373" s="212"/>
      <c r="R373" s="213"/>
      <c r="S373" s="213"/>
      <c r="T373" s="213"/>
      <c r="U373" s="213"/>
      <c r="V373" s="213"/>
      <c r="W373" s="213"/>
      <c r="X373" s="213"/>
      <c r="Y373" s="213"/>
      <c r="Z373" s="214"/>
      <c r="AA373" s="213"/>
      <c r="AB373" s="213"/>
      <c r="AC373" s="213"/>
      <c r="AD373" s="213"/>
      <c r="AE373" s="213"/>
      <c r="AF373" s="213"/>
      <c r="AG373" s="213"/>
      <c r="AH373" s="214"/>
      <c r="AJ373" s="631">
        <f ca="1">IF(AND($D373="Serviço",AJ$12&lt;&gt;0,$H373&gt;0,OR(AUTOEVENTO&lt;&gt;"manual",$M373&lt;&gt;1)),ROUND(OFFSET($P373,0,AJ$13),15-13*ORÇAMENTO!$AF$7)/$H373*OFFSET(ORÇAMENTO!$X$15,ROW(AJ373)-ROW(AJ$15),0),0)</f>
        <v>0</v>
      </c>
      <c r="AK373" s="632">
        <f ca="1">IF(AND($D373="Serviço",AK$12&lt;&gt;0,$H373&gt;0,OR(AUTOEVENTO&lt;&gt;"manual",$M373&lt;&gt;1)),ROUND(OFFSET($P373,0,AK$13),15-13*ORÇAMENTO!$AF$7)/$H373*OFFSET(ORÇAMENTO!$X$15,ROW(AK373)-ROW(AK$15),0),0)</f>
        <v>0</v>
      </c>
      <c r="AL373" s="632">
        <f ca="1">IF(AND($D373="Serviço",AL$12&lt;&gt;0,$H373&gt;0,OR(AUTOEVENTO&lt;&gt;"manual",$M373&lt;&gt;1)),ROUND(OFFSET($P373,0,AL$13),15-13*ORÇAMENTO!$AF$7)/$H373*OFFSET(ORÇAMENTO!$X$15,ROW(AL373)-ROW(AL$15),0),0)</f>
        <v>0</v>
      </c>
      <c r="AM373" s="632">
        <f ca="1">IF(AND($D373="Serviço",AM$12&lt;&gt;0,$H373&gt;0,OR(AUTOEVENTO&lt;&gt;"manual",$M373&lt;&gt;1)),ROUND(OFFSET($P373,0,AM$13),15-13*ORÇAMENTO!$AF$7)/$H373*OFFSET(ORÇAMENTO!$X$15,ROW(AM373)-ROW(AM$15),0),0)</f>
        <v>0</v>
      </c>
      <c r="AN373" s="632">
        <f ca="1">IF(AND($D373="Serviço",AN$12&lt;&gt;0,$H373&gt;0,OR(AUTOEVENTO&lt;&gt;"manual",$M373&lt;&gt;1)),ROUND(OFFSET($P373,0,AN$13),15-13*ORÇAMENTO!$AF$7)/$H373*OFFSET(ORÇAMENTO!$X$15,ROW(AN373)-ROW(AN$15),0),0)</f>
        <v>0</v>
      </c>
      <c r="AO373" s="632">
        <f ca="1">IF(AND($D373="Serviço",AO$12&lt;&gt;0,$H373&gt;0,OR(AUTOEVENTO&lt;&gt;"manual",$M373&lt;&gt;1)),ROUND(OFFSET($P373,0,AO$13),15-13*ORÇAMENTO!$AF$7)/$H373*OFFSET(ORÇAMENTO!$X$15,ROW(AO373)-ROW(AO$15),0),0)</f>
        <v>0</v>
      </c>
      <c r="AP373" s="632">
        <f ca="1">IF(AND($D373="Serviço",AP$12&lt;&gt;0,$H373&gt;0,OR(AUTOEVENTO&lt;&gt;"manual",$M373&lt;&gt;1)),ROUND(OFFSET($P373,0,AP$13),15-13*ORÇAMENTO!$AF$7)/$H373*OFFSET(ORÇAMENTO!$X$15,ROW(AP373)-ROW(AP$15),0),0)</f>
        <v>0</v>
      </c>
      <c r="AQ373" s="632">
        <f ca="1">IF(AND($D373="Serviço",AQ$12&lt;&gt;0,$H373&gt;0,OR(AUTOEVENTO&lt;&gt;"manual",$M373&lt;&gt;1)),ROUND(OFFSET($P373,0,AQ$13),15-13*ORÇAMENTO!$AF$7)/$H373*OFFSET(ORÇAMENTO!$X$15,ROW(AQ373)-ROW(AQ$15),0),0)</f>
        <v>0</v>
      </c>
      <c r="AR373" s="632">
        <f ca="1">IF(AND($D373="Serviço",AR$12&lt;&gt;0,$H373&gt;0,OR(AUTOEVENTO&lt;&gt;"manual",$M373&lt;&gt;1)),ROUND(OFFSET($P373,0,AR$13),15-13*ORÇAMENTO!$AF$7)/$H373*OFFSET(ORÇAMENTO!$X$15,ROW(AR373)-ROW(AR$15),0),0)</f>
        <v>0</v>
      </c>
      <c r="AS373" s="633">
        <f ca="1">IF(AND($D373="Serviço",AS$12&lt;&gt;0,$H373&gt;0,OR(AUTOEVENTO&lt;&gt;"manual",$M373&lt;&gt;1)),ROUND(OFFSET($P373,0,AS$13),15-13*ORÇAMENTO!$AF$7)/$H373*OFFSET(ORÇAMENTO!$X$15,ROW(AS373)-ROW(AS$15),0),0)</f>
        <v>0</v>
      </c>
      <c r="AT373" s="632">
        <f ca="1">IF(AND($D373="Serviço",AT$12&lt;&gt;0,$H373&gt;0,OR(AUTOEVENTO&lt;&gt;"manual",$M373&lt;&gt;1)),ROUND(OFFSET($P373,0,AT$13),15-13*ORÇAMENTO!$AF$7)/$H373*OFFSET(ORÇAMENTO!$X$15,ROW(AT373)-ROW(AT$15),0),0)</f>
        <v>0</v>
      </c>
      <c r="AU373" s="632">
        <f ca="1">IF(AND($D373="Serviço",AU$12&lt;&gt;0,$H373&gt;0,OR(AUTOEVENTO&lt;&gt;"manual",$M373&lt;&gt;1)),ROUND(OFFSET($P373,0,AU$13),15-13*ORÇAMENTO!$AF$7)/$H373*OFFSET(ORÇAMENTO!$X$15,ROW(AU373)-ROW(AU$15),0),0)</f>
        <v>0</v>
      </c>
      <c r="AV373" s="632">
        <f ca="1">IF(AND($D373="Serviço",AV$12&lt;&gt;0,$H373&gt;0,OR(AUTOEVENTO&lt;&gt;"manual",$M373&lt;&gt;1)),ROUND(OFFSET($P373,0,AV$13),15-13*ORÇAMENTO!$AF$7)/$H373*OFFSET(ORÇAMENTO!$X$15,ROW(AV373)-ROW(AV$15),0),0)</f>
        <v>0</v>
      </c>
      <c r="AW373" s="632">
        <f ca="1">IF(AND($D373="Serviço",AW$12&lt;&gt;0,$H373&gt;0,OR(AUTOEVENTO&lt;&gt;"manual",$M373&lt;&gt;1)),ROUND(OFFSET($P373,0,AW$13),15-13*ORÇAMENTO!$AF$7)/$H373*OFFSET(ORÇAMENTO!$X$15,ROW(AW373)-ROW(AW$15),0),0)</f>
        <v>0</v>
      </c>
      <c r="AX373" s="632">
        <f ca="1">IF(AND($D373="Serviço",AX$12&lt;&gt;0,$H373&gt;0,OR(AUTOEVENTO&lt;&gt;"manual",$M373&lt;&gt;1)),ROUND(OFFSET($P373,0,AX$13),15-13*ORÇAMENTO!$AF$7)/$H373*OFFSET(ORÇAMENTO!$X$15,ROW(AX373)-ROW(AX$15),0),0)</f>
        <v>0</v>
      </c>
      <c r="AY373" s="632">
        <f ca="1">IF(AND($D373="Serviço",AY$12&lt;&gt;0,$H373&gt;0,OR(AUTOEVENTO&lt;&gt;"manual",$M373&lt;&gt;1)),ROUND(OFFSET($P373,0,AY$13),15-13*ORÇAMENTO!$AF$7)/$H373*OFFSET(ORÇAMENTO!$X$15,ROW(AY373)-ROW(AY$15),0),0)</f>
        <v>0</v>
      </c>
      <c r="AZ373" s="632">
        <f ca="1">IF(AND($D373="Serviço",AZ$12&lt;&gt;0,$H373&gt;0,OR(AUTOEVENTO&lt;&gt;"manual",$M373&lt;&gt;1)),ROUND(OFFSET($P373,0,AZ$13),15-13*ORÇAMENTO!$AF$7)/$H373*OFFSET(ORÇAMENTO!$X$15,ROW(AZ373)-ROW(AZ$15),0),0)</f>
        <v>0</v>
      </c>
      <c r="BA373" s="633">
        <f ca="1">IF(AND($D373="Serviço",BA$12&lt;&gt;0,$H373&gt;0,OR(AUTOEVENTO&lt;&gt;"manual",$M373&lt;&gt;1)),ROUND(OFFSET($P373,0,BA$13),15-13*ORÇAMENTO!$AF$7)/$H373*OFFSET(ORÇAMENTO!$X$15,ROW(BA373)-ROW(BA$15),0),0)</f>
        <v>0</v>
      </c>
      <c r="BC373" s="215">
        <f ca="1">IF($D373&lt;&gt;"Serviço",0,IF(AND(AUTOEVENTO="Manual",$M373=1),0,IF(OFFSET(CRONOPLE!$F$14,$M373,BC$13)="",10^12,OFFSET(CRONOPLE!$F$14,$M373,BC$13))))</f>
        <v>1000000000000</v>
      </c>
      <c r="BD373" s="215">
        <f ca="1">IF($D373&lt;&gt;"Serviço",0,IF(AND(AUTOEVENTO="Manual",$M373=1),0,IF(OFFSET(CRONOPLE!$F$14,$M373,BD$13)="",10^12,OFFSET(CRONOPLE!$F$14,$M373,BD$13))))</f>
        <v>1000000000000</v>
      </c>
      <c r="BE373" s="215">
        <f ca="1">IF($D373&lt;&gt;"Serviço",0,IF(AND(AUTOEVENTO="Manual",$M373=1),0,IF(OFFSET(CRONOPLE!$F$14,$M373,BE$13)="",10^12,OFFSET(CRONOPLE!$F$14,$M373,BE$13))))</f>
        <v>1000000000000</v>
      </c>
      <c r="BF373" s="215">
        <f ca="1">IF($D373&lt;&gt;"Serviço",0,IF(AND(AUTOEVENTO="Manual",$M373=1),0,IF(OFFSET(CRONOPLE!$F$14,$M373,BF$13)="",10^12,OFFSET(CRONOPLE!$F$14,$M373,BF$13))))</f>
        <v>1000000000000</v>
      </c>
      <c r="BG373" s="215">
        <f ca="1">IF($D373&lt;&gt;"Serviço",0,IF(AND(AUTOEVENTO="Manual",$M373=1),0,IF(OFFSET(CRONOPLE!$F$14,$M373,BG$13)="",10^12,OFFSET(CRONOPLE!$F$14,$M373,BG$13))))</f>
        <v>1000000000000</v>
      </c>
      <c r="BH373" s="215">
        <f ca="1">IF($D373&lt;&gt;"Serviço",0,IF(AND(AUTOEVENTO="Manual",$M373=1),0,IF(OFFSET(CRONOPLE!$F$14,$M373,BH$13)="",10^12,OFFSET(CRONOPLE!$F$14,$M373,BH$13))))</f>
        <v>1000000000000</v>
      </c>
      <c r="BI373" s="215">
        <f ca="1">IF($D373&lt;&gt;"Serviço",0,IF(AND(AUTOEVENTO="Manual",$M373=1),0,IF(OFFSET(CRONOPLE!$F$14,$M373,BI$13)="",10^12,OFFSET(CRONOPLE!$F$14,$M373,BI$13))))</f>
        <v>1000000000000</v>
      </c>
      <c r="BJ373" s="215">
        <f ca="1">IF($D373&lt;&gt;"Serviço",0,IF(AND(AUTOEVENTO="Manual",$M373=1),0,IF(OFFSET(CRONOPLE!$F$14,$M373,BJ$13)="",10^12,OFFSET(CRONOPLE!$F$14,$M373,BJ$13))))</f>
        <v>1000000000000</v>
      </c>
      <c r="BK373" s="215">
        <f ca="1">IF($D373&lt;&gt;"Serviço",0,IF(AND(AUTOEVENTO="Manual",$M373=1),0,IF(OFFSET(CRONOPLE!$F$14,$M373,BK$13)="",10^12,OFFSET(CRONOPLE!$F$14,$M373,BK$13))))</f>
        <v>1000000000000</v>
      </c>
      <c r="BL373" s="215">
        <f ca="1">IF($D373&lt;&gt;"Serviço",0,IF(AND(AUTOEVENTO="Manual",$M373=1),0,IF(OFFSET(CRONOPLE!$F$14,$M373,BL$13)="",10^12,OFFSET(CRONOPLE!$F$14,$M373,BL$13))))</f>
        <v>1000000000000</v>
      </c>
      <c r="BM373" s="215">
        <f ca="1">IF($D373&lt;&gt;"Serviço",0,IF(AND(AUTOEVENTO="Manual",$M373=1),0,IF(OFFSET(CRONOPLE!$F$14,$M373,BM$13)="",10^12,OFFSET(CRONOPLE!$F$14,$M373,BM$13))))</f>
        <v>1000000000000</v>
      </c>
      <c r="BN373" s="215">
        <f ca="1">IF($D373&lt;&gt;"Serviço",0,IF(AND(AUTOEVENTO="Manual",$M373=1),0,IF(OFFSET(CRONOPLE!$F$14,$M373,BN$13)="",10^12,OFFSET(CRONOPLE!$F$14,$M373,BN$13))))</f>
        <v>1000000000000</v>
      </c>
      <c r="BO373" s="215">
        <f ca="1">IF($D373&lt;&gt;"Serviço",0,IF(AND(AUTOEVENTO="Manual",$M373=1),0,IF(OFFSET(CRONOPLE!$F$14,$M373,BO$13)="",10^12,OFFSET(CRONOPLE!$F$14,$M373,BO$13))))</f>
        <v>1000000000000</v>
      </c>
      <c r="BP373" s="215">
        <f ca="1">IF($D373&lt;&gt;"Serviço",0,IF(AND(AUTOEVENTO="Manual",$M373=1),0,IF(OFFSET(CRONOPLE!$F$14,$M373,BP$13)="",10^12,OFFSET(CRONOPLE!$F$14,$M373,BP$13))))</f>
        <v>1000000000000</v>
      </c>
      <c r="BQ373" s="215">
        <f ca="1">IF($D373&lt;&gt;"Serviço",0,IF(AND(AUTOEVENTO="Manual",$M373=1),0,IF(OFFSET(CRONOPLE!$F$14,$M373,BQ$13)="",10^12,OFFSET(CRONOPLE!$F$14,$M373,BQ$13))))</f>
        <v>1000000000000</v>
      </c>
      <c r="BR373" s="215">
        <f ca="1">IF($D373&lt;&gt;"Serviço",0,IF(AND(AUTOEVENTO="Manual",$M373=1),0,IF(OFFSET(CRONOPLE!$F$14,$M373,BR$13)="",10^12,OFFSET(CRONOPLE!$F$14,$M373,BR$13))))</f>
        <v>1000000000000</v>
      </c>
      <c r="BS373" s="215">
        <f ca="1">IF($D373&lt;&gt;"Serviço",0,IF(AND(AUTOEVENTO="Manual",$M373=1),0,IF(OFFSET(CRONOPLE!$F$14,$M373,BS$13)="",10^12,OFFSET(CRONOPLE!$F$14,$M373,BS$13))))</f>
        <v>1000000000000</v>
      </c>
      <c r="BT373" s="215">
        <f ca="1">IF($D373&lt;&gt;"Serviço",0,IF(AND(AUTOEVENTO="Manual",$M373=1),0,IF(OFFSET(CRONOPLE!$F$14,$M373,BT$13)="",10^12,OFFSET(CRONOPLE!$F$14,$M373,BT$13))))</f>
        <v>1000000000000</v>
      </c>
      <c r="BV373" s="216">
        <f ca="1">IF($D373&lt;&gt;"Serviço",0,IF(OR(AND(AUTOEVENTO="Manual",$M373=1),$M373&gt;(ROW(PLE.lastrow)-ROW(PLE.firstrow))),0,IF(OFFSET(PLE!$G$14,$M373,BV$13)="",10^12,OFFSET(PLE!$G$14,$M373,BV$13))))</f>
        <v>1000000000000</v>
      </c>
      <c r="BW373" s="216">
        <f ca="1">IF($D373&lt;&gt;"Serviço",0,IF(OR(AND(AUTOEVENTO="Manual",$M373=1),$M373&gt;(ROW(PLE.lastrow)-ROW(PLE.firstrow))),0,IF(OFFSET(PLE!$G$14,$M373,BW$13)="",10^12,OFFSET(PLE!$G$14,$M373,BW$13))))</f>
        <v>1000000000000</v>
      </c>
      <c r="BX373" s="216">
        <f ca="1">IF($D373&lt;&gt;"Serviço",0,IF(OR(AND(AUTOEVENTO="Manual",$M373=1),$M373&gt;(ROW(PLE.lastrow)-ROW(PLE.firstrow))),0,IF(OFFSET(PLE!$G$14,$M373,BX$13)="",10^12,OFFSET(PLE!$G$14,$M373,BX$13))))</f>
        <v>1000000000000</v>
      </c>
      <c r="BY373" s="216">
        <f ca="1">IF($D373&lt;&gt;"Serviço",0,IF(OR(AND(AUTOEVENTO="Manual",$M373=1),$M373&gt;(ROW(PLE.lastrow)-ROW(PLE.firstrow))),0,IF(OFFSET(PLE!$G$14,$M373,BY$13)="",10^12,OFFSET(PLE!$G$14,$M373,BY$13))))</f>
        <v>1000000000000</v>
      </c>
      <c r="BZ373" s="216">
        <f ca="1">IF($D373&lt;&gt;"Serviço",0,IF(OR(AND(AUTOEVENTO="Manual",$M373=1),$M373&gt;(ROW(PLE.lastrow)-ROW(PLE.firstrow))),0,IF(OFFSET(PLE!$G$14,$M373,BZ$13)="",10^12,OFFSET(PLE!$G$14,$M373,BZ$13))))</f>
        <v>1000000000000</v>
      </c>
      <c r="CA373" s="216">
        <f ca="1">IF($D373&lt;&gt;"Serviço",0,IF(OR(AND(AUTOEVENTO="Manual",$M373=1),$M373&gt;(ROW(PLE.lastrow)-ROW(PLE.firstrow))),0,IF(OFFSET(PLE!$G$14,$M373,CA$13)="",10^12,OFFSET(PLE!$G$14,$M373,CA$13))))</f>
        <v>1000000000000</v>
      </c>
      <c r="CB373" s="216">
        <f ca="1">IF($D373&lt;&gt;"Serviço",0,IF(OR(AND(AUTOEVENTO="Manual",$M373=1),$M373&gt;(ROW(PLE.lastrow)-ROW(PLE.firstrow))),0,IF(OFFSET(PLE!$G$14,$M373,CB$13)="",10^12,OFFSET(PLE!$G$14,$M373,CB$13))))</f>
        <v>1000000000000</v>
      </c>
      <c r="CC373" s="216">
        <f ca="1">IF($D373&lt;&gt;"Serviço",0,IF(OR(AND(AUTOEVENTO="Manual",$M373=1),$M373&gt;(ROW(PLE.lastrow)-ROW(PLE.firstrow))),0,IF(OFFSET(PLE!$G$14,$M373,CC$13)="",10^12,OFFSET(PLE!$G$14,$M373,CC$13))))</f>
        <v>1000000000000</v>
      </c>
      <c r="CD373" s="216">
        <f ca="1">IF($D373&lt;&gt;"Serviço",0,IF(OR(AND(AUTOEVENTO="Manual",$M373=1),$M373&gt;(ROW(PLE.lastrow)-ROW(PLE.firstrow))),0,IF(OFFSET(PLE!$G$14,$M373,CD$13)="",10^12,OFFSET(PLE!$G$14,$M373,CD$13))))</f>
        <v>1000000000000</v>
      </c>
      <c r="CE373" s="216">
        <f ca="1">IF($D373&lt;&gt;"Serviço",0,IF(OR(AND(AUTOEVENTO="Manual",$M373=1),$M373&gt;(ROW(PLE.lastrow)-ROW(PLE.firstrow))),0,IF(OFFSET(PLE!$G$14,$M373,CE$13)="",10^12,OFFSET(PLE!$G$14,$M373,CE$13))))</f>
        <v>1000000000000</v>
      </c>
      <c r="CF373" s="216">
        <f ca="1">IF($D373&lt;&gt;"Serviço",0,IF(OR(AND(AUTOEVENTO="Manual",$M373=1),$M373&gt;(ROW(PLE.lastrow)-ROW(PLE.firstrow))),0,IF(OFFSET(PLE!$G$14,$M373,CF$13)="",10^12,OFFSET(PLE!$G$14,$M373,CF$13))))</f>
        <v>1000000000000</v>
      </c>
      <c r="CG373" s="216">
        <f ca="1">IF($D373&lt;&gt;"Serviço",0,IF(OR(AND(AUTOEVENTO="Manual",$M373=1),$M373&gt;(ROW(PLE.lastrow)-ROW(PLE.firstrow))),0,IF(OFFSET(PLE!$G$14,$M373,CG$13)="",10^12,OFFSET(PLE!$G$14,$M373,CG$13))))</f>
        <v>1000000000000</v>
      </c>
      <c r="CH373" s="216">
        <f ca="1">IF($D373&lt;&gt;"Serviço",0,IF(OR(AND(AUTOEVENTO="Manual",$M373=1),$M373&gt;(ROW(PLE.lastrow)-ROW(PLE.firstrow))),0,IF(OFFSET(PLE!$G$14,$M373,CH$13)="",10^12,OFFSET(PLE!$G$14,$M373,CH$13))))</f>
        <v>1000000000000</v>
      </c>
      <c r="CI373" s="216">
        <f ca="1">IF($D373&lt;&gt;"Serviço",0,IF(OR(AND(AUTOEVENTO="Manual",$M373=1),$M373&gt;(ROW(PLE.lastrow)-ROW(PLE.firstrow))),0,IF(OFFSET(PLE!$G$14,$M373,CI$13)="",10^12,OFFSET(PLE!$G$14,$M373,CI$13))))</f>
        <v>1000000000000</v>
      </c>
      <c r="CJ373" s="216">
        <f ca="1">IF($D373&lt;&gt;"Serviço",0,IF(OR(AND(AUTOEVENTO="Manual",$M373=1),$M373&gt;(ROW(PLE.lastrow)-ROW(PLE.firstrow))),0,IF(OFFSET(PLE!$G$14,$M373,CJ$13)="",10^12,OFFSET(PLE!$G$14,$M373,CJ$13))))</f>
        <v>1000000000000</v>
      </c>
      <c r="CK373" s="216">
        <f ca="1">IF($D373&lt;&gt;"Serviço",0,IF(OR(AND(AUTOEVENTO="Manual",$M373=1),$M373&gt;(ROW(PLE.lastrow)-ROW(PLE.firstrow))),0,IF(OFFSET(PLE!$G$14,$M373,CK$13)="",10^12,OFFSET(PLE!$G$14,$M373,CK$13))))</f>
        <v>1000000000000</v>
      </c>
      <c r="CL373" s="216">
        <f ca="1">IF($D373&lt;&gt;"Serviço",0,IF(OR(AND(AUTOEVENTO="Manual",$M373=1),$M373&gt;(ROW(PLE.lastrow)-ROW(PLE.firstrow))),0,IF(OFFSET(PLE!$G$14,$M373,CL$13)="",10^12,OFFSET(PLE!$G$14,$M373,CL$13))))</f>
        <v>1000000000000</v>
      </c>
      <c r="CM373" s="216">
        <f ca="1">IF($D373&lt;&gt;"Serviço",0,IF(OR(AND(AUTOEVENTO="Manual",$M373=1),$M373&gt;(ROW(PLE.lastrow)-ROW(PLE.firstrow))),0,IF(OFFSET(PLE!$G$14,$M373,CM$13)="",10^12,OFFSET(PLE!$G$14,$M373,CM$13))))</f>
        <v>1000000000000</v>
      </c>
    </row>
    <row r="374" spans="1:91" ht="13.2" x14ac:dyDescent="0.25">
      <c r="A374" s="9">
        <f t="shared" ca="1" si="14"/>
        <v>0</v>
      </c>
      <c r="B374" s="9" t="str">
        <f ca="1">OFFSET(ORÇAMENTO!C$15,ROW(B374)-ROW(B$15),0)</f>
        <v>S</v>
      </c>
      <c r="C374" s="9" t="str">
        <f ca="1">OFFSET(ORÇAMENTO!L$15,ROW(C374)-ROW(C$15),0)</f>
        <v/>
      </c>
      <c r="D374" s="145" t="str">
        <f ca="1">OFFSET(ORÇAMENTO!N$15,ROW(D374)-ROW(D$15),0)</f>
        <v>Serviço</v>
      </c>
      <c r="E374" s="205" t="str">
        <f ca="1">OFFSET(ORÇAMENTO!O$15,ROW(E374)-ROW(E$15),0)</f>
        <v>-</v>
      </c>
      <c r="F374" s="206" t="str">
        <f ca="1">OFFSET(ORÇAMENTO!R$15,ROW(F374)-ROW(F$15),0)</f>
        <v>(abra o arquivo 'Referência 05-2024.xls)</v>
      </c>
      <c r="G374" s="207" t="str">
        <f ca="1">IF($D374&lt;&gt;"Serviço","",OFFSET(ORÇAMENTO!S$15,ROW(G374)-ROW(G$15),0))</f>
        <v>-</v>
      </c>
      <c r="H374" s="151">
        <f ca="1">IF($D374&lt;&gt;"Serviço",0,IF(ACOMPANHAMENTO="BM",ROUND(OFFSET(ORÇAMENTO!AJ$15,ROW(H374)-ROW(H$15),0),15-13*ORÇAMENTO!$AF$7),SUMPRODUCT(($Q$12:$AI$12&lt;&gt;"")*ROUND($Q374:$AI374,15-13*ORÇAMENTO!$AF$7))))</f>
        <v>186</v>
      </c>
      <c r="I374" s="650"/>
      <c r="K374" s="208"/>
      <c r="L374" s="209" t="s">
        <v>257</v>
      </c>
      <c r="M374" s="210">
        <f ca="1">IF($D374&lt;&gt;"Serviço","",IF(AUTOEVENTO="manual",$A374,IF(ISERROR(MATCH($A374,$A$15:OFFSET($A374,-1,0),0)),MAX($M$15:OFFSET(M374,-1,0))+1,INDEX($M$15:OFFSET(M374,-1,0),MATCH($A374,$A$15:OFFSET($A374,-1,0),0)))))</f>
        <v>0</v>
      </c>
      <c r="N374" s="211" t="str">
        <f ca="1">IF($D374&lt;&gt;"Serviço","",IF(AUTOEVENTO="Manual",IF($A374=0,"&lt;-- defina o número do agrupador",OFFSET(EVENTOS!$D$14,$A374,0)),OFFSET($F$15,$A374,0)))</f>
        <v>&lt;-- defina o número do agrupador</v>
      </c>
      <c r="O374" s="212"/>
      <c r="Q374" s="212"/>
      <c r="R374" s="213"/>
      <c r="S374" s="213"/>
      <c r="T374" s="213"/>
      <c r="U374" s="213"/>
      <c r="V374" s="213"/>
      <c r="W374" s="213"/>
      <c r="X374" s="213"/>
      <c r="Y374" s="213"/>
      <c r="Z374" s="214"/>
      <c r="AA374" s="213"/>
      <c r="AB374" s="213"/>
      <c r="AC374" s="213"/>
      <c r="AD374" s="213"/>
      <c r="AE374" s="213"/>
      <c r="AF374" s="213"/>
      <c r="AG374" s="213"/>
      <c r="AH374" s="214"/>
      <c r="AJ374" s="631">
        <f ca="1">IF(AND($D374="Serviço",AJ$12&lt;&gt;0,$H374&gt;0,OR(AUTOEVENTO&lt;&gt;"manual",$M374&lt;&gt;1)),ROUND(OFFSET($P374,0,AJ$13),15-13*ORÇAMENTO!$AF$7)/$H374*OFFSET(ORÇAMENTO!$X$15,ROW(AJ374)-ROW(AJ$15),0),0)</f>
        <v>0</v>
      </c>
      <c r="AK374" s="632">
        <f ca="1">IF(AND($D374="Serviço",AK$12&lt;&gt;0,$H374&gt;0,OR(AUTOEVENTO&lt;&gt;"manual",$M374&lt;&gt;1)),ROUND(OFFSET($P374,0,AK$13),15-13*ORÇAMENTO!$AF$7)/$H374*OFFSET(ORÇAMENTO!$X$15,ROW(AK374)-ROW(AK$15),0),0)</f>
        <v>0</v>
      </c>
      <c r="AL374" s="632">
        <f ca="1">IF(AND($D374="Serviço",AL$12&lt;&gt;0,$H374&gt;0,OR(AUTOEVENTO&lt;&gt;"manual",$M374&lt;&gt;1)),ROUND(OFFSET($P374,0,AL$13),15-13*ORÇAMENTO!$AF$7)/$H374*OFFSET(ORÇAMENTO!$X$15,ROW(AL374)-ROW(AL$15),0),0)</f>
        <v>0</v>
      </c>
      <c r="AM374" s="632">
        <f ca="1">IF(AND($D374="Serviço",AM$12&lt;&gt;0,$H374&gt;0,OR(AUTOEVENTO&lt;&gt;"manual",$M374&lt;&gt;1)),ROUND(OFFSET($P374,0,AM$13),15-13*ORÇAMENTO!$AF$7)/$H374*OFFSET(ORÇAMENTO!$X$15,ROW(AM374)-ROW(AM$15),0),0)</f>
        <v>0</v>
      </c>
      <c r="AN374" s="632">
        <f ca="1">IF(AND($D374="Serviço",AN$12&lt;&gt;0,$H374&gt;0,OR(AUTOEVENTO&lt;&gt;"manual",$M374&lt;&gt;1)),ROUND(OFFSET($P374,0,AN$13),15-13*ORÇAMENTO!$AF$7)/$H374*OFFSET(ORÇAMENTO!$X$15,ROW(AN374)-ROW(AN$15),0),0)</f>
        <v>0</v>
      </c>
      <c r="AO374" s="632">
        <f ca="1">IF(AND($D374="Serviço",AO$12&lt;&gt;0,$H374&gt;0,OR(AUTOEVENTO&lt;&gt;"manual",$M374&lt;&gt;1)),ROUND(OFFSET($P374,0,AO$13),15-13*ORÇAMENTO!$AF$7)/$H374*OFFSET(ORÇAMENTO!$X$15,ROW(AO374)-ROW(AO$15),0),0)</f>
        <v>0</v>
      </c>
      <c r="AP374" s="632">
        <f ca="1">IF(AND($D374="Serviço",AP$12&lt;&gt;0,$H374&gt;0,OR(AUTOEVENTO&lt;&gt;"manual",$M374&lt;&gt;1)),ROUND(OFFSET($P374,0,AP$13),15-13*ORÇAMENTO!$AF$7)/$H374*OFFSET(ORÇAMENTO!$X$15,ROW(AP374)-ROW(AP$15),0),0)</f>
        <v>0</v>
      </c>
      <c r="AQ374" s="632">
        <f ca="1">IF(AND($D374="Serviço",AQ$12&lt;&gt;0,$H374&gt;0,OR(AUTOEVENTO&lt;&gt;"manual",$M374&lt;&gt;1)),ROUND(OFFSET($P374,0,AQ$13),15-13*ORÇAMENTO!$AF$7)/$H374*OFFSET(ORÇAMENTO!$X$15,ROW(AQ374)-ROW(AQ$15),0),0)</f>
        <v>0</v>
      </c>
      <c r="AR374" s="632">
        <f ca="1">IF(AND($D374="Serviço",AR$12&lt;&gt;0,$H374&gt;0,OR(AUTOEVENTO&lt;&gt;"manual",$M374&lt;&gt;1)),ROUND(OFFSET($P374,0,AR$13),15-13*ORÇAMENTO!$AF$7)/$H374*OFFSET(ORÇAMENTO!$X$15,ROW(AR374)-ROW(AR$15),0),0)</f>
        <v>0</v>
      </c>
      <c r="AS374" s="633">
        <f ca="1">IF(AND($D374="Serviço",AS$12&lt;&gt;0,$H374&gt;0,OR(AUTOEVENTO&lt;&gt;"manual",$M374&lt;&gt;1)),ROUND(OFFSET($P374,0,AS$13),15-13*ORÇAMENTO!$AF$7)/$H374*OFFSET(ORÇAMENTO!$X$15,ROW(AS374)-ROW(AS$15),0),0)</f>
        <v>0</v>
      </c>
      <c r="AT374" s="632">
        <f ca="1">IF(AND($D374="Serviço",AT$12&lt;&gt;0,$H374&gt;0,OR(AUTOEVENTO&lt;&gt;"manual",$M374&lt;&gt;1)),ROUND(OFFSET($P374,0,AT$13),15-13*ORÇAMENTO!$AF$7)/$H374*OFFSET(ORÇAMENTO!$X$15,ROW(AT374)-ROW(AT$15),0),0)</f>
        <v>0</v>
      </c>
      <c r="AU374" s="632">
        <f ca="1">IF(AND($D374="Serviço",AU$12&lt;&gt;0,$H374&gt;0,OR(AUTOEVENTO&lt;&gt;"manual",$M374&lt;&gt;1)),ROUND(OFFSET($P374,0,AU$13),15-13*ORÇAMENTO!$AF$7)/$H374*OFFSET(ORÇAMENTO!$X$15,ROW(AU374)-ROW(AU$15),0),0)</f>
        <v>0</v>
      </c>
      <c r="AV374" s="632">
        <f ca="1">IF(AND($D374="Serviço",AV$12&lt;&gt;0,$H374&gt;0,OR(AUTOEVENTO&lt;&gt;"manual",$M374&lt;&gt;1)),ROUND(OFFSET($P374,0,AV$13),15-13*ORÇAMENTO!$AF$7)/$H374*OFFSET(ORÇAMENTO!$X$15,ROW(AV374)-ROW(AV$15),0),0)</f>
        <v>0</v>
      </c>
      <c r="AW374" s="632">
        <f ca="1">IF(AND($D374="Serviço",AW$12&lt;&gt;0,$H374&gt;0,OR(AUTOEVENTO&lt;&gt;"manual",$M374&lt;&gt;1)),ROUND(OFFSET($P374,0,AW$13),15-13*ORÇAMENTO!$AF$7)/$H374*OFFSET(ORÇAMENTO!$X$15,ROW(AW374)-ROW(AW$15),0),0)</f>
        <v>0</v>
      </c>
      <c r="AX374" s="632">
        <f ca="1">IF(AND($D374="Serviço",AX$12&lt;&gt;0,$H374&gt;0,OR(AUTOEVENTO&lt;&gt;"manual",$M374&lt;&gt;1)),ROUND(OFFSET($P374,0,AX$13),15-13*ORÇAMENTO!$AF$7)/$H374*OFFSET(ORÇAMENTO!$X$15,ROW(AX374)-ROW(AX$15),0),0)</f>
        <v>0</v>
      </c>
      <c r="AY374" s="632">
        <f ca="1">IF(AND($D374="Serviço",AY$12&lt;&gt;0,$H374&gt;0,OR(AUTOEVENTO&lt;&gt;"manual",$M374&lt;&gt;1)),ROUND(OFFSET($P374,0,AY$13),15-13*ORÇAMENTO!$AF$7)/$H374*OFFSET(ORÇAMENTO!$X$15,ROW(AY374)-ROW(AY$15),0),0)</f>
        <v>0</v>
      </c>
      <c r="AZ374" s="632">
        <f ca="1">IF(AND($D374="Serviço",AZ$12&lt;&gt;0,$H374&gt;0,OR(AUTOEVENTO&lt;&gt;"manual",$M374&lt;&gt;1)),ROUND(OFFSET($P374,0,AZ$13),15-13*ORÇAMENTO!$AF$7)/$H374*OFFSET(ORÇAMENTO!$X$15,ROW(AZ374)-ROW(AZ$15),0),0)</f>
        <v>0</v>
      </c>
      <c r="BA374" s="633">
        <f ca="1">IF(AND($D374="Serviço",BA$12&lt;&gt;0,$H374&gt;0,OR(AUTOEVENTO&lt;&gt;"manual",$M374&lt;&gt;1)),ROUND(OFFSET($P374,0,BA$13),15-13*ORÇAMENTO!$AF$7)/$H374*OFFSET(ORÇAMENTO!$X$15,ROW(BA374)-ROW(BA$15),0),0)</f>
        <v>0</v>
      </c>
      <c r="BC374" s="215">
        <f ca="1">IF($D374&lt;&gt;"Serviço",0,IF(AND(AUTOEVENTO="Manual",$M374=1),0,IF(OFFSET(CRONOPLE!$F$14,$M374,BC$13)="",10^12,OFFSET(CRONOPLE!$F$14,$M374,BC$13))))</f>
        <v>1000000000000</v>
      </c>
      <c r="BD374" s="215">
        <f ca="1">IF($D374&lt;&gt;"Serviço",0,IF(AND(AUTOEVENTO="Manual",$M374=1),0,IF(OFFSET(CRONOPLE!$F$14,$M374,BD$13)="",10^12,OFFSET(CRONOPLE!$F$14,$M374,BD$13))))</f>
        <v>1000000000000</v>
      </c>
      <c r="BE374" s="215">
        <f ca="1">IF($D374&lt;&gt;"Serviço",0,IF(AND(AUTOEVENTO="Manual",$M374=1),0,IF(OFFSET(CRONOPLE!$F$14,$M374,BE$13)="",10^12,OFFSET(CRONOPLE!$F$14,$M374,BE$13))))</f>
        <v>1000000000000</v>
      </c>
      <c r="BF374" s="215">
        <f ca="1">IF($D374&lt;&gt;"Serviço",0,IF(AND(AUTOEVENTO="Manual",$M374=1),0,IF(OFFSET(CRONOPLE!$F$14,$M374,BF$13)="",10^12,OFFSET(CRONOPLE!$F$14,$M374,BF$13))))</f>
        <v>1000000000000</v>
      </c>
      <c r="BG374" s="215">
        <f ca="1">IF($D374&lt;&gt;"Serviço",0,IF(AND(AUTOEVENTO="Manual",$M374=1),0,IF(OFFSET(CRONOPLE!$F$14,$M374,BG$13)="",10^12,OFFSET(CRONOPLE!$F$14,$M374,BG$13))))</f>
        <v>1000000000000</v>
      </c>
      <c r="BH374" s="215">
        <f ca="1">IF($D374&lt;&gt;"Serviço",0,IF(AND(AUTOEVENTO="Manual",$M374=1),0,IF(OFFSET(CRONOPLE!$F$14,$M374,BH$13)="",10^12,OFFSET(CRONOPLE!$F$14,$M374,BH$13))))</f>
        <v>1000000000000</v>
      </c>
      <c r="BI374" s="215">
        <f ca="1">IF($D374&lt;&gt;"Serviço",0,IF(AND(AUTOEVENTO="Manual",$M374=1),0,IF(OFFSET(CRONOPLE!$F$14,$M374,BI$13)="",10^12,OFFSET(CRONOPLE!$F$14,$M374,BI$13))))</f>
        <v>1000000000000</v>
      </c>
      <c r="BJ374" s="215">
        <f ca="1">IF($D374&lt;&gt;"Serviço",0,IF(AND(AUTOEVENTO="Manual",$M374=1),0,IF(OFFSET(CRONOPLE!$F$14,$M374,BJ$13)="",10^12,OFFSET(CRONOPLE!$F$14,$M374,BJ$13))))</f>
        <v>1000000000000</v>
      </c>
      <c r="BK374" s="215">
        <f ca="1">IF($D374&lt;&gt;"Serviço",0,IF(AND(AUTOEVENTO="Manual",$M374=1),0,IF(OFFSET(CRONOPLE!$F$14,$M374,BK$13)="",10^12,OFFSET(CRONOPLE!$F$14,$M374,BK$13))))</f>
        <v>1000000000000</v>
      </c>
      <c r="BL374" s="215">
        <f ca="1">IF($D374&lt;&gt;"Serviço",0,IF(AND(AUTOEVENTO="Manual",$M374=1),0,IF(OFFSET(CRONOPLE!$F$14,$M374,BL$13)="",10^12,OFFSET(CRONOPLE!$F$14,$M374,BL$13))))</f>
        <v>1000000000000</v>
      </c>
      <c r="BM374" s="215">
        <f ca="1">IF($D374&lt;&gt;"Serviço",0,IF(AND(AUTOEVENTO="Manual",$M374=1),0,IF(OFFSET(CRONOPLE!$F$14,$M374,BM$13)="",10^12,OFFSET(CRONOPLE!$F$14,$M374,BM$13))))</f>
        <v>1000000000000</v>
      </c>
      <c r="BN374" s="215">
        <f ca="1">IF($D374&lt;&gt;"Serviço",0,IF(AND(AUTOEVENTO="Manual",$M374=1),0,IF(OFFSET(CRONOPLE!$F$14,$M374,BN$13)="",10^12,OFFSET(CRONOPLE!$F$14,$M374,BN$13))))</f>
        <v>1000000000000</v>
      </c>
      <c r="BO374" s="215">
        <f ca="1">IF($D374&lt;&gt;"Serviço",0,IF(AND(AUTOEVENTO="Manual",$M374=1),0,IF(OFFSET(CRONOPLE!$F$14,$M374,BO$13)="",10^12,OFFSET(CRONOPLE!$F$14,$M374,BO$13))))</f>
        <v>1000000000000</v>
      </c>
      <c r="BP374" s="215">
        <f ca="1">IF($D374&lt;&gt;"Serviço",0,IF(AND(AUTOEVENTO="Manual",$M374=1),0,IF(OFFSET(CRONOPLE!$F$14,$M374,BP$13)="",10^12,OFFSET(CRONOPLE!$F$14,$M374,BP$13))))</f>
        <v>1000000000000</v>
      </c>
      <c r="BQ374" s="215">
        <f ca="1">IF($D374&lt;&gt;"Serviço",0,IF(AND(AUTOEVENTO="Manual",$M374=1),0,IF(OFFSET(CRONOPLE!$F$14,$M374,BQ$13)="",10^12,OFFSET(CRONOPLE!$F$14,$M374,BQ$13))))</f>
        <v>1000000000000</v>
      </c>
      <c r="BR374" s="215">
        <f ca="1">IF($D374&lt;&gt;"Serviço",0,IF(AND(AUTOEVENTO="Manual",$M374=1),0,IF(OFFSET(CRONOPLE!$F$14,$M374,BR$13)="",10^12,OFFSET(CRONOPLE!$F$14,$M374,BR$13))))</f>
        <v>1000000000000</v>
      </c>
      <c r="BS374" s="215">
        <f ca="1">IF($D374&lt;&gt;"Serviço",0,IF(AND(AUTOEVENTO="Manual",$M374=1),0,IF(OFFSET(CRONOPLE!$F$14,$M374,BS$13)="",10^12,OFFSET(CRONOPLE!$F$14,$M374,BS$13))))</f>
        <v>1000000000000</v>
      </c>
      <c r="BT374" s="215">
        <f ca="1">IF($D374&lt;&gt;"Serviço",0,IF(AND(AUTOEVENTO="Manual",$M374=1),0,IF(OFFSET(CRONOPLE!$F$14,$M374,BT$13)="",10^12,OFFSET(CRONOPLE!$F$14,$M374,BT$13))))</f>
        <v>1000000000000</v>
      </c>
      <c r="BV374" s="216">
        <f ca="1">IF($D374&lt;&gt;"Serviço",0,IF(OR(AND(AUTOEVENTO="Manual",$M374=1),$M374&gt;(ROW(PLE.lastrow)-ROW(PLE.firstrow))),0,IF(OFFSET(PLE!$G$14,$M374,BV$13)="",10^12,OFFSET(PLE!$G$14,$M374,BV$13))))</f>
        <v>1000000000000</v>
      </c>
      <c r="BW374" s="216">
        <f ca="1">IF($D374&lt;&gt;"Serviço",0,IF(OR(AND(AUTOEVENTO="Manual",$M374=1),$M374&gt;(ROW(PLE.lastrow)-ROW(PLE.firstrow))),0,IF(OFFSET(PLE!$G$14,$M374,BW$13)="",10^12,OFFSET(PLE!$G$14,$M374,BW$13))))</f>
        <v>1000000000000</v>
      </c>
      <c r="BX374" s="216">
        <f ca="1">IF($D374&lt;&gt;"Serviço",0,IF(OR(AND(AUTOEVENTO="Manual",$M374=1),$M374&gt;(ROW(PLE.lastrow)-ROW(PLE.firstrow))),0,IF(OFFSET(PLE!$G$14,$M374,BX$13)="",10^12,OFFSET(PLE!$G$14,$M374,BX$13))))</f>
        <v>1000000000000</v>
      </c>
      <c r="BY374" s="216">
        <f ca="1">IF($D374&lt;&gt;"Serviço",0,IF(OR(AND(AUTOEVENTO="Manual",$M374=1),$M374&gt;(ROW(PLE.lastrow)-ROW(PLE.firstrow))),0,IF(OFFSET(PLE!$G$14,$M374,BY$13)="",10^12,OFFSET(PLE!$G$14,$M374,BY$13))))</f>
        <v>1000000000000</v>
      </c>
      <c r="BZ374" s="216">
        <f ca="1">IF($D374&lt;&gt;"Serviço",0,IF(OR(AND(AUTOEVENTO="Manual",$M374=1),$M374&gt;(ROW(PLE.lastrow)-ROW(PLE.firstrow))),0,IF(OFFSET(PLE!$G$14,$M374,BZ$13)="",10^12,OFFSET(PLE!$G$14,$M374,BZ$13))))</f>
        <v>1000000000000</v>
      </c>
      <c r="CA374" s="216">
        <f ca="1">IF($D374&lt;&gt;"Serviço",0,IF(OR(AND(AUTOEVENTO="Manual",$M374=1),$M374&gt;(ROW(PLE.lastrow)-ROW(PLE.firstrow))),0,IF(OFFSET(PLE!$G$14,$M374,CA$13)="",10^12,OFFSET(PLE!$G$14,$M374,CA$13))))</f>
        <v>1000000000000</v>
      </c>
      <c r="CB374" s="216">
        <f ca="1">IF($D374&lt;&gt;"Serviço",0,IF(OR(AND(AUTOEVENTO="Manual",$M374=1),$M374&gt;(ROW(PLE.lastrow)-ROW(PLE.firstrow))),0,IF(OFFSET(PLE!$G$14,$M374,CB$13)="",10^12,OFFSET(PLE!$G$14,$M374,CB$13))))</f>
        <v>1000000000000</v>
      </c>
      <c r="CC374" s="216">
        <f ca="1">IF($D374&lt;&gt;"Serviço",0,IF(OR(AND(AUTOEVENTO="Manual",$M374=1),$M374&gt;(ROW(PLE.lastrow)-ROW(PLE.firstrow))),0,IF(OFFSET(PLE!$G$14,$M374,CC$13)="",10^12,OFFSET(PLE!$G$14,$M374,CC$13))))</f>
        <v>1000000000000</v>
      </c>
      <c r="CD374" s="216">
        <f ca="1">IF($D374&lt;&gt;"Serviço",0,IF(OR(AND(AUTOEVENTO="Manual",$M374=1),$M374&gt;(ROW(PLE.lastrow)-ROW(PLE.firstrow))),0,IF(OFFSET(PLE!$G$14,$M374,CD$13)="",10^12,OFFSET(PLE!$G$14,$M374,CD$13))))</f>
        <v>1000000000000</v>
      </c>
      <c r="CE374" s="216">
        <f ca="1">IF($D374&lt;&gt;"Serviço",0,IF(OR(AND(AUTOEVENTO="Manual",$M374=1),$M374&gt;(ROW(PLE.lastrow)-ROW(PLE.firstrow))),0,IF(OFFSET(PLE!$G$14,$M374,CE$13)="",10^12,OFFSET(PLE!$G$14,$M374,CE$13))))</f>
        <v>1000000000000</v>
      </c>
      <c r="CF374" s="216">
        <f ca="1">IF($D374&lt;&gt;"Serviço",0,IF(OR(AND(AUTOEVENTO="Manual",$M374=1),$M374&gt;(ROW(PLE.lastrow)-ROW(PLE.firstrow))),0,IF(OFFSET(PLE!$G$14,$M374,CF$13)="",10^12,OFFSET(PLE!$G$14,$M374,CF$13))))</f>
        <v>1000000000000</v>
      </c>
      <c r="CG374" s="216">
        <f ca="1">IF($D374&lt;&gt;"Serviço",0,IF(OR(AND(AUTOEVENTO="Manual",$M374=1),$M374&gt;(ROW(PLE.lastrow)-ROW(PLE.firstrow))),0,IF(OFFSET(PLE!$G$14,$M374,CG$13)="",10^12,OFFSET(PLE!$G$14,$M374,CG$13))))</f>
        <v>1000000000000</v>
      </c>
      <c r="CH374" s="216">
        <f ca="1">IF($D374&lt;&gt;"Serviço",0,IF(OR(AND(AUTOEVENTO="Manual",$M374=1),$M374&gt;(ROW(PLE.lastrow)-ROW(PLE.firstrow))),0,IF(OFFSET(PLE!$G$14,$M374,CH$13)="",10^12,OFFSET(PLE!$G$14,$M374,CH$13))))</f>
        <v>1000000000000</v>
      </c>
      <c r="CI374" s="216">
        <f ca="1">IF($D374&lt;&gt;"Serviço",0,IF(OR(AND(AUTOEVENTO="Manual",$M374=1),$M374&gt;(ROW(PLE.lastrow)-ROW(PLE.firstrow))),0,IF(OFFSET(PLE!$G$14,$M374,CI$13)="",10^12,OFFSET(PLE!$G$14,$M374,CI$13))))</f>
        <v>1000000000000</v>
      </c>
      <c r="CJ374" s="216">
        <f ca="1">IF($D374&lt;&gt;"Serviço",0,IF(OR(AND(AUTOEVENTO="Manual",$M374=1),$M374&gt;(ROW(PLE.lastrow)-ROW(PLE.firstrow))),0,IF(OFFSET(PLE!$G$14,$M374,CJ$13)="",10^12,OFFSET(PLE!$G$14,$M374,CJ$13))))</f>
        <v>1000000000000</v>
      </c>
      <c r="CK374" s="216">
        <f ca="1">IF($D374&lt;&gt;"Serviço",0,IF(OR(AND(AUTOEVENTO="Manual",$M374=1),$M374&gt;(ROW(PLE.lastrow)-ROW(PLE.firstrow))),0,IF(OFFSET(PLE!$G$14,$M374,CK$13)="",10^12,OFFSET(PLE!$G$14,$M374,CK$13))))</f>
        <v>1000000000000</v>
      </c>
      <c r="CL374" s="216">
        <f ca="1">IF($D374&lt;&gt;"Serviço",0,IF(OR(AND(AUTOEVENTO="Manual",$M374=1),$M374&gt;(ROW(PLE.lastrow)-ROW(PLE.firstrow))),0,IF(OFFSET(PLE!$G$14,$M374,CL$13)="",10^12,OFFSET(PLE!$G$14,$M374,CL$13))))</f>
        <v>1000000000000</v>
      </c>
      <c r="CM374" s="216">
        <f ca="1">IF($D374&lt;&gt;"Serviço",0,IF(OR(AND(AUTOEVENTO="Manual",$M374=1),$M374&gt;(ROW(PLE.lastrow)-ROW(PLE.firstrow))),0,IF(OFFSET(PLE!$G$14,$M374,CM$13)="",10^12,OFFSET(PLE!$G$14,$M374,CM$13))))</f>
        <v>1000000000000</v>
      </c>
    </row>
    <row r="375" spans="1:91" ht="13.2" x14ac:dyDescent="0.25">
      <c r="A375" s="9">
        <f t="shared" ca="1" si="14"/>
        <v>0</v>
      </c>
      <c r="B375" s="9" t="str">
        <f ca="1">OFFSET(ORÇAMENTO!C$15,ROW(B375)-ROW(B$15),0)</f>
        <v>S</v>
      </c>
      <c r="C375" s="9" t="str">
        <f ca="1">OFFSET(ORÇAMENTO!L$15,ROW(C375)-ROW(C$15),0)</f>
        <v/>
      </c>
      <c r="D375" s="145" t="str">
        <f ca="1">OFFSET(ORÇAMENTO!N$15,ROW(D375)-ROW(D$15),0)</f>
        <v>Serviço</v>
      </c>
      <c r="E375" s="205" t="str">
        <f ca="1">OFFSET(ORÇAMENTO!O$15,ROW(E375)-ROW(E$15),0)</f>
        <v>-</v>
      </c>
      <c r="F375" s="206" t="str">
        <f ca="1">OFFSET(ORÇAMENTO!R$15,ROW(F375)-ROW(F$15),0)</f>
        <v>(abra o arquivo 'Referência 05-2024.xls)</v>
      </c>
      <c r="G375" s="207" t="str">
        <f ca="1">IF($D375&lt;&gt;"Serviço","",OFFSET(ORÇAMENTO!S$15,ROW(G375)-ROW(G$15),0))</f>
        <v>-</v>
      </c>
      <c r="H375" s="151">
        <f ca="1">IF($D375&lt;&gt;"Serviço",0,IF(ACOMPANHAMENTO="BM",ROUND(OFFSET(ORÇAMENTO!AJ$15,ROW(H375)-ROW(H$15),0),15-13*ORÇAMENTO!$AF$7),SUMPRODUCT(($Q$12:$AI$12&lt;&gt;"")*ROUND($Q375:$AI375,15-13*ORÇAMENTO!$AF$7))))</f>
        <v>58.4</v>
      </c>
      <c r="I375" s="650"/>
      <c r="K375" s="208"/>
      <c r="L375" s="209" t="s">
        <v>257</v>
      </c>
      <c r="M375" s="210">
        <f ca="1">IF($D375&lt;&gt;"Serviço","",IF(AUTOEVENTO="manual",$A375,IF(ISERROR(MATCH($A375,$A$15:OFFSET($A375,-1,0),0)),MAX($M$15:OFFSET(M375,-1,0))+1,INDEX($M$15:OFFSET(M375,-1,0),MATCH($A375,$A$15:OFFSET($A375,-1,0),0)))))</f>
        <v>0</v>
      </c>
      <c r="N375" s="211" t="str">
        <f ca="1">IF($D375&lt;&gt;"Serviço","",IF(AUTOEVENTO="Manual",IF($A375=0,"&lt;-- defina o número do agrupador",OFFSET(EVENTOS!$D$14,$A375,0)),OFFSET($F$15,$A375,0)))</f>
        <v>&lt;-- defina o número do agrupador</v>
      </c>
      <c r="O375" s="212"/>
      <c r="Q375" s="212"/>
      <c r="R375" s="213"/>
      <c r="S375" s="213"/>
      <c r="T375" s="213"/>
      <c r="U375" s="213"/>
      <c r="V375" s="213"/>
      <c r="W375" s="213"/>
      <c r="X375" s="213"/>
      <c r="Y375" s="213"/>
      <c r="Z375" s="214"/>
      <c r="AA375" s="213"/>
      <c r="AB375" s="213"/>
      <c r="AC375" s="213"/>
      <c r="AD375" s="213"/>
      <c r="AE375" s="213"/>
      <c r="AF375" s="213"/>
      <c r="AG375" s="213"/>
      <c r="AH375" s="214"/>
      <c r="AJ375" s="631">
        <f ca="1">IF(AND($D375="Serviço",AJ$12&lt;&gt;0,$H375&gt;0,OR(AUTOEVENTO&lt;&gt;"manual",$M375&lt;&gt;1)),ROUND(OFFSET($P375,0,AJ$13),15-13*ORÇAMENTO!$AF$7)/$H375*OFFSET(ORÇAMENTO!$X$15,ROW(AJ375)-ROW(AJ$15),0),0)</f>
        <v>0</v>
      </c>
      <c r="AK375" s="632">
        <f ca="1">IF(AND($D375="Serviço",AK$12&lt;&gt;0,$H375&gt;0,OR(AUTOEVENTO&lt;&gt;"manual",$M375&lt;&gt;1)),ROUND(OFFSET($P375,0,AK$13),15-13*ORÇAMENTO!$AF$7)/$H375*OFFSET(ORÇAMENTO!$X$15,ROW(AK375)-ROW(AK$15),0),0)</f>
        <v>0</v>
      </c>
      <c r="AL375" s="632">
        <f ca="1">IF(AND($D375="Serviço",AL$12&lt;&gt;0,$H375&gt;0,OR(AUTOEVENTO&lt;&gt;"manual",$M375&lt;&gt;1)),ROUND(OFFSET($P375,0,AL$13),15-13*ORÇAMENTO!$AF$7)/$H375*OFFSET(ORÇAMENTO!$X$15,ROW(AL375)-ROW(AL$15),0),0)</f>
        <v>0</v>
      </c>
      <c r="AM375" s="632">
        <f ca="1">IF(AND($D375="Serviço",AM$12&lt;&gt;0,$H375&gt;0,OR(AUTOEVENTO&lt;&gt;"manual",$M375&lt;&gt;1)),ROUND(OFFSET($P375,0,AM$13),15-13*ORÇAMENTO!$AF$7)/$H375*OFFSET(ORÇAMENTO!$X$15,ROW(AM375)-ROW(AM$15),0),0)</f>
        <v>0</v>
      </c>
      <c r="AN375" s="632">
        <f ca="1">IF(AND($D375="Serviço",AN$12&lt;&gt;0,$H375&gt;0,OR(AUTOEVENTO&lt;&gt;"manual",$M375&lt;&gt;1)),ROUND(OFFSET($P375,0,AN$13),15-13*ORÇAMENTO!$AF$7)/$H375*OFFSET(ORÇAMENTO!$X$15,ROW(AN375)-ROW(AN$15),0),0)</f>
        <v>0</v>
      </c>
      <c r="AO375" s="632">
        <f ca="1">IF(AND($D375="Serviço",AO$12&lt;&gt;0,$H375&gt;0,OR(AUTOEVENTO&lt;&gt;"manual",$M375&lt;&gt;1)),ROUND(OFFSET($P375,0,AO$13),15-13*ORÇAMENTO!$AF$7)/$H375*OFFSET(ORÇAMENTO!$X$15,ROW(AO375)-ROW(AO$15),0),0)</f>
        <v>0</v>
      </c>
      <c r="AP375" s="632">
        <f ca="1">IF(AND($D375="Serviço",AP$12&lt;&gt;0,$H375&gt;0,OR(AUTOEVENTO&lt;&gt;"manual",$M375&lt;&gt;1)),ROUND(OFFSET($P375,0,AP$13),15-13*ORÇAMENTO!$AF$7)/$H375*OFFSET(ORÇAMENTO!$X$15,ROW(AP375)-ROW(AP$15),0),0)</f>
        <v>0</v>
      </c>
      <c r="AQ375" s="632">
        <f ca="1">IF(AND($D375="Serviço",AQ$12&lt;&gt;0,$H375&gt;0,OR(AUTOEVENTO&lt;&gt;"manual",$M375&lt;&gt;1)),ROUND(OFFSET($P375,0,AQ$13),15-13*ORÇAMENTO!$AF$7)/$H375*OFFSET(ORÇAMENTO!$X$15,ROW(AQ375)-ROW(AQ$15),0),0)</f>
        <v>0</v>
      </c>
      <c r="AR375" s="632">
        <f ca="1">IF(AND($D375="Serviço",AR$12&lt;&gt;0,$H375&gt;0,OR(AUTOEVENTO&lt;&gt;"manual",$M375&lt;&gt;1)),ROUND(OFFSET($P375,0,AR$13),15-13*ORÇAMENTO!$AF$7)/$H375*OFFSET(ORÇAMENTO!$X$15,ROW(AR375)-ROW(AR$15),0),0)</f>
        <v>0</v>
      </c>
      <c r="AS375" s="633">
        <f ca="1">IF(AND($D375="Serviço",AS$12&lt;&gt;0,$H375&gt;0,OR(AUTOEVENTO&lt;&gt;"manual",$M375&lt;&gt;1)),ROUND(OFFSET($P375,0,AS$13),15-13*ORÇAMENTO!$AF$7)/$H375*OFFSET(ORÇAMENTO!$X$15,ROW(AS375)-ROW(AS$15),0),0)</f>
        <v>0</v>
      </c>
      <c r="AT375" s="632">
        <f ca="1">IF(AND($D375="Serviço",AT$12&lt;&gt;0,$H375&gt;0,OR(AUTOEVENTO&lt;&gt;"manual",$M375&lt;&gt;1)),ROUND(OFFSET($P375,0,AT$13),15-13*ORÇAMENTO!$AF$7)/$H375*OFFSET(ORÇAMENTO!$X$15,ROW(AT375)-ROW(AT$15),0),0)</f>
        <v>0</v>
      </c>
      <c r="AU375" s="632">
        <f ca="1">IF(AND($D375="Serviço",AU$12&lt;&gt;0,$H375&gt;0,OR(AUTOEVENTO&lt;&gt;"manual",$M375&lt;&gt;1)),ROUND(OFFSET($P375,0,AU$13),15-13*ORÇAMENTO!$AF$7)/$H375*OFFSET(ORÇAMENTO!$X$15,ROW(AU375)-ROW(AU$15),0),0)</f>
        <v>0</v>
      </c>
      <c r="AV375" s="632">
        <f ca="1">IF(AND($D375="Serviço",AV$12&lt;&gt;0,$H375&gt;0,OR(AUTOEVENTO&lt;&gt;"manual",$M375&lt;&gt;1)),ROUND(OFFSET($P375,0,AV$13),15-13*ORÇAMENTO!$AF$7)/$H375*OFFSET(ORÇAMENTO!$X$15,ROW(AV375)-ROW(AV$15),0),0)</f>
        <v>0</v>
      </c>
      <c r="AW375" s="632">
        <f ca="1">IF(AND($D375="Serviço",AW$12&lt;&gt;0,$H375&gt;0,OR(AUTOEVENTO&lt;&gt;"manual",$M375&lt;&gt;1)),ROUND(OFFSET($P375,0,AW$13),15-13*ORÇAMENTO!$AF$7)/$H375*OFFSET(ORÇAMENTO!$X$15,ROW(AW375)-ROW(AW$15),0),0)</f>
        <v>0</v>
      </c>
      <c r="AX375" s="632">
        <f ca="1">IF(AND($D375="Serviço",AX$12&lt;&gt;0,$H375&gt;0,OR(AUTOEVENTO&lt;&gt;"manual",$M375&lt;&gt;1)),ROUND(OFFSET($P375,0,AX$13),15-13*ORÇAMENTO!$AF$7)/$H375*OFFSET(ORÇAMENTO!$X$15,ROW(AX375)-ROW(AX$15),0),0)</f>
        <v>0</v>
      </c>
      <c r="AY375" s="632">
        <f ca="1">IF(AND($D375="Serviço",AY$12&lt;&gt;0,$H375&gt;0,OR(AUTOEVENTO&lt;&gt;"manual",$M375&lt;&gt;1)),ROUND(OFFSET($P375,0,AY$13),15-13*ORÇAMENTO!$AF$7)/$H375*OFFSET(ORÇAMENTO!$X$15,ROW(AY375)-ROW(AY$15),0),0)</f>
        <v>0</v>
      </c>
      <c r="AZ375" s="632">
        <f ca="1">IF(AND($D375="Serviço",AZ$12&lt;&gt;0,$H375&gt;0,OR(AUTOEVENTO&lt;&gt;"manual",$M375&lt;&gt;1)),ROUND(OFFSET($P375,0,AZ$13),15-13*ORÇAMENTO!$AF$7)/$H375*OFFSET(ORÇAMENTO!$X$15,ROW(AZ375)-ROW(AZ$15),0),0)</f>
        <v>0</v>
      </c>
      <c r="BA375" s="633">
        <f ca="1">IF(AND($D375="Serviço",BA$12&lt;&gt;0,$H375&gt;0,OR(AUTOEVENTO&lt;&gt;"manual",$M375&lt;&gt;1)),ROUND(OFFSET($P375,0,BA$13),15-13*ORÇAMENTO!$AF$7)/$H375*OFFSET(ORÇAMENTO!$X$15,ROW(BA375)-ROW(BA$15),0),0)</f>
        <v>0</v>
      </c>
      <c r="BC375" s="215">
        <f ca="1">IF($D375&lt;&gt;"Serviço",0,IF(AND(AUTOEVENTO="Manual",$M375=1),0,IF(OFFSET(CRONOPLE!$F$14,$M375,BC$13)="",10^12,OFFSET(CRONOPLE!$F$14,$M375,BC$13))))</f>
        <v>1000000000000</v>
      </c>
      <c r="BD375" s="215">
        <f ca="1">IF($D375&lt;&gt;"Serviço",0,IF(AND(AUTOEVENTO="Manual",$M375=1),0,IF(OFFSET(CRONOPLE!$F$14,$M375,BD$13)="",10^12,OFFSET(CRONOPLE!$F$14,$M375,BD$13))))</f>
        <v>1000000000000</v>
      </c>
      <c r="BE375" s="215">
        <f ca="1">IF($D375&lt;&gt;"Serviço",0,IF(AND(AUTOEVENTO="Manual",$M375=1),0,IF(OFFSET(CRONOPLE!$F$14,$M375,BE$13)="",10^12,OFFSET(CRONOPLE!$F$14,$M375,BE$13))))</f>
        <v>1000000000000</v>
      </c>
      <c r="BF375" s="215">
        <f ca="1">IF($D375&lt;&gt;"Serviço",0,IF(AND(AUTOEVENTO="Manual",$M375=1),0,IF(OFFSET(CRONOPLE!$F$14,$M375,BF$13)="",10^12,OFFSET(CRONOPLE!$F$14,$M375,BF$13))))</f>
        <v>1000000000000</v>
      </c>
      <c r="BG375" s="215">
        <f ca="1">IF($D375&lt;&gt;"Serviço",0,IF(AND(AUTOEVENTO="Manual",$M375=1),0,IF(OFFSET(CRONOPLE!$F$14,$M375,BG$13)="",10^12,OFFSET(CRONOPLE!$F$14,$M375,BG$13))))</f>
        <v>1000000000000</v>
      </c>
      <c r="BH375" s="215">
        <f ca="1">IF($D375&lt;&gt;"Serviço",0,IF(AND(AUTOEVENTO="Manual",$M375=1),0,IF(OFFSET(CRONOPLE!$F$14,$M375,BH$13)="",10^12,OFFSET(CRONOPLE!$F$14,$M375,BH$13))))</f>
        <v>1000000000000</v>
      </c>
      <c r="BI375" s="215">
        <f ca="1">IF($D375&lt;&gt;"Serviço",0,IF(AND(AUTOEVENTO="Manual",$M375=1),0,IF(OFFSET(CRONOPLE!$F$14,$M375,BI$13)="",10^12,OFFSET(CRONOPLE!$F$14,$M375,BI$13))))</f>
        <v>1000000000000</v>
      </c>
      <c r="BJ375" s="215">
        <f ca="1">IF($D375&lt;&gt;"Serviço",0,IF(AND(AUTOEVENTO="Manual",$M375=1),0,IF(OFFSET(CRONOPLE!$F$14,$M375,BJ$13)="",10^12,OFFSET(CRONOPLE!$F$14,$M375,BJ$13))))</f>
        <v>1000000000000</v>
      </c>
      <c r="BK375" s="215">
        <f ca="1">IF($D375&lt;&gt;"Serviço",0,IF(AND(AUTOEVENTO="Manual",$M375=1),0,IF(OFFSET(CRONOPLE!$F$14,$M375,BK$13)="",10^12,OFFSET(CRONOPLE!$F$14,$M375,BK$13))))</f>
        <v>1000000000000</v>
      </c>
      <c r="BL375" s="215">
        <f ca="1">IF($D375&lt;&gt;"Serviço",0,IF(AND(AUTOEVENTO="Manual",$M375=1),0,IF(OFFSET(CRONOPLE!$F$14,$M375,BL$13)="",10^12,OFFSET(CRONOPLE!$F$14,$M375,BL$13))))</f>
        <v>1000000000000</v>
      </c>
      <c r="BM375" s="215">
        <f ca="1">IF($D375&lt;&gt;"Serviço",0,IF(AND(AUTOEVENTO="Manual",$M375=1),0,IF(OFFSET(CRONOPLE!$F$14,$M375,BM$13)="",10^12,OFFSET(CRONOPLE!$F$14,$M375,BM$13))))</f>
        <v>1000000000000</v>
      </c>
      <c r="BN375" s="215">
        <f ca="1">IF($D375&lt;&gt;"Serviço",0,IF(AND(AUTOEVENTO="Manual",$M375=1),0,IF(OFFSET(CRONOPLE!$F$14,$M375,BN$13)="",10^12,OFFSET(CRONOPLE!$F$14,$M375,BN$13))))</f>
        <v>1000000000000</v>
      </c>
      <c r="BO375" s="215">
        <f ca="1">IF($D375&lt;&gt;"Serviço",0,IF(AND(AUTOEVENTO="Manual",$M375=1),0,IF(OFFSET(CRONOPLE!$F$14,$M375,BO$13)="",10^12,OFFSET(CRONOPLE!$F$14,$M375,BO$13))))</f>
        <v>1000000000000</v>
      </c>
      <c r="BP375" s="215">
        <f ca="1">IF($D375&lt;&gt;"Serviço",0,IF(AND(AUTOEVENTO="Manual",$M375=1),0,IF(OFFSET(CRONOPLE!$F$14,$M375,BP$13)="",10^12,OFFSET(CRONOPLE!$F$14,$M375,BP$13))))</f>
        <v>1000000000000</v>
      </c>
      <c r="BQ375" s="215">
        <f ca="1">IF($D375&lt;&gt;"Serviço",0,IF(AND(AUTOEVENTO="Manual",$M375=1),0,IF(OFFSET(CRONOPLE!$F$14,$M375,BQ$13)="",10^12,OFFSET(CRONOPLE!$F$14,$M375,BQ$13))))</f>
        <v>1000000000000</v>
      </c>
      <c r="BR375" s="215">
        <f ca="1">IF($D375&lt;&gt;"Serviço",0,IF(AND(AUTOEVENTO="Manual",$M375=1),0,IF(OFFSET(CRONOPLE!$F$14,$M375,BR$13)="",10^12,OFFSET(CRONOPLE!$F$14,$M375,BR$13))))</f>
        <v>1000000000000</v>
      </c>
      <c r="BS375" s="215">
        <f ca="1">IF($D375&lt;&gt;"Serviço",0,IF(AND(AUTOEVENTO="Manual",$M375=1),0,IF(OFFSET(CRONOPLE!$F$14,$M375,BS$13)="",10^12,OFFSET(CRONOPLE!$F$14,$M375,BS$13))))</f>
        <v>1000000000000</v>
      </c>
      <c r="BT375" s="215">
        <f ca="1">IF($D375&lt;&gt;"Serviço",0,IF(AND(AUTOEVENTO="Manual",$M375=1),0,IF(OFFSET(CRONOPLE!$F$14,$M375,BT$13)="",10^12,OFFSET(CRONOPLE!$F$14,$M375,BT$13))))</f>
        <v>1000000000000</v>
      </c>
      <c r="BV375" s="216">
        <f ca="1">IF($D375&lt;&gt;"Serviço",0,IF(OR(AND(AUTOEVENTO="Manual",$M375=1),$M375&gt;(ROW(PLE.lastrow)-ROW(PLE.firstrow))),0,IF(OFFSET(PLE!$G$14,$M375,BV$13)="",10^12,OFFSET(PLE!$G$14,$M375,BV$13))))</f>
        <v>1000000000000</v>
      </c>
      <c r="BW375" s="216">
        <f ca="1">IF($D375&lt;&gt;"Serviço",0,IF(OR(AND(AUTOEVENTO="Manual",$M375=1),$M375&gt;(ROW(PLE.lastrow)-ROW(PLE.firstrow))),0,IF(OFFSET(PLE!$G$14,$M375,BW$13)="",10^12,OFFSET(PLE!$G$14,$M375,BW$13))))</f>
        <v>1000000000000</v>
      </c>
      <c r="BX375" s="216">
        <f ca="1">IF($D375&lt;&gt;"Serviço",0,IF(OR(AND(AUTOEVENTO="Manual",$M375=1),$M375&gt;(ROW(PLE.lastrow)-ROW(PLE.firstrow))),0,IF(OFFSET(PLE!$G$14,$M375,BX$13)="",10^12,OFFSET(PLE!$G$14,$M375,BX$13))))</f>
        <v>1000000000000</v>
      </c>
      <c r="BY375" s="216">
        <f ca="1">IF($D375&lt;&gt;"Serviço",0,IF(OR(AND(AUTOEVENTO="Manual",$M375=1),$M375&gt;(ROW(PLE.lastrow)-ROW(PLE.firstrow))),0,IF(OFFSET(PLE!$G$14,$M375,BY$13)="",10^12,OFFSET(PLE!$G$14,$M375,BY$13))))</f>
        <v>1000000000000</v>
      </c>
      <c r="BZ375" s="216">
        <f ca="1">IF($D375&lt;&gt;"Serviço",0,IF(OR(AND(AUTOEVENTO="Manual",$M375=1),$M375&gt;(ROW(PLE.lastrow)-ROW(PLE.firstrow))),0,IF(OFFSET(PLE!$G$14,$M375,BZ$13)="",10^12,OFFSET(PLE!$G$14,$M375,BZ$13))))</f>
        <v>1000000000000</v>
      </c>
      <c r="CA375" s="216">
        <f ca="1">IF($D375&lt;&gt;"Serviço",0,IF(OR(AND(AUTOEVENTO="Manual",$M375=1),$M375&gt;(ROW(PLE.lastrow)-ROW(PLE.firstrow))),0,IF(OFFSET(PLE!$G$14,$M375,CA$13)="",10^12,OFFSET(PLE!$G$14,$M375,CA$13))))</f>
        <v>1000000000000</v>
      </c>
      <c r="CB375" s="216">
        <f ca="1">IF($D375&lt;&gt;"Serviço",0,IF(OR(AND(AUTOEVENTO="Manual",$M375=1),$M375&gt;(ROW(PLE.lastrow)-ROW(PLE.firstrow))),0,IF(OFFSET(PLE!$G$14,$M375,CB$13)="",10^12,OFFSET(PLE!$G$14,$M375,CB$13))))</f>
        <v>1000000000000</v>
      </c>
      <c r="CC375" s="216">
        <f ca="1">IF($D375&lt;&gt;"Serviço",0,IF(OR(AND(AUTOEVENTO="Manual",$M375=1),$M375&gt;(ROW(PLE.lastrow)-ROW(PLE.firstrow))),0,IF(OFFSET(PLE!$G$14,$M375,CC$13)="",10^12,OFFSET(PLE!$G$14,$M375,CC$13))))</f>
        <v>1000000000000</v>
      </c>
      <c r="CD375" s="216">
        <f ca="1">IF($D375&lt;&gt;"Serviço",0,IF(OR(AND(AUTOEVENTO="Manual",$M375=1),$M375&gt;(ROW(PLE.lastrow)-ROW(PLE.firstrow))),0,IF(OFFSET(PLE!$G$14,$M375,CD$13)="",10^12,OFFSET(PLE!$G$14,$M375,CD$13))))</f>
        <v>1000000000000</v>
      </c>
      <c r="CE375" s="216">
        <f ca="1">IF($D375&lt;&gt;"Serviço",0,IF(OR(AND(AUTOEVENTO="Manual",$M375=1),$M375&gt;(ROW(PLE.lastrow)-ROW(PLE.firstrow))),0,IF(OFFSET(PLE!$G$14,$M375,CE$13)="",10^12,OFFSET(PLE!$G$14,$M375,CE$13))))</f>
        <v>1000000000000</v>
      </c>
      <c r="CF375" s="216">
        <f ca="1">IF($D375&lt;&gt;"Serviço",0,IF(OR(AND(AUTOEVENTO="Manual",$M375=1),$M375&gt;(ROW(PLE.lastrow)-ROW(PLE.firstrow))),0,IF(OFFSET(PLE!$G$14,$M375,CF$13)="",10^12,OFFSET(PLE!$G$14,$M375,CF$13))))</f>
        <v>1000000000000</v>
      </c>
      <c r="CG375" s="216">
        <f ca="1">IF($D375&lt;&gt;"Serviço",0,IF(OR(AND(AUTOEVENTO="Manual",$M375=1),$M375&gt;(ROW(PLE.lastrow)-ROW(PLE.firstrow))),0,IF(OFFSET(PLE!$G$14,$M375,CG$13)="",10^12,OFFSET(PLE!$G$14,$M375,CG$13))))</f>
        <v>1000000000000</v>
      </c>
      <c r="CH375" s="216">
        <f ca="1">IF($D375&lt;&gt;"Serviço",0,IF(OR(AND(AUTOEVENTO="Manual",$M375=1),$M375&gt;(ROW(PLE.lastrow)-ROW(PLE.firstrow))),0,IF(OFFSET(PLE!$G$14,$M375,CH$13)="",10^12,OFFSET(PLE!$G$14,$M375,CH$13))))</f>
        <v>1000000000000</v>
      </c>
      <c r="CI375" s="216">
        <f ca="1">IF($D375&lt;&gt;"Serviço",0,IF(OR(AND(AUTOEVENTO="Manual",$M375=1),$M375&gt;(ROW(PLE.lastrow)-ROW(PLE.firstrow))),0,IF(OFFSET(PLE!$G$14,$M375,CI$13)="",10^12,OFFSET(PLE!$G$14,$M375,CI$13))))</f>
        <v>1000000000000</v>
      </c>
      <c r="CJ375" s="216">
        <f ca="1">IF($D375&lt;&gt;"Serviço",0,IF(OR(AND(AUTOEVENTO="Manual",$M375=1),$M375&gt;(ROW(PLE.lastrow)-ROW(PLE.firstrow))),0,IF(OFFSET(PLE!$G$14,$M375,CJ$13)="",10^12,OFFSET(PLE!$G$14,$M375,CJ$13))))</f>
        <v>1000000000000</v>
      </c>
      <c r="CK375" s="216">
        <f ca="1">IF($D375&lt;&gt;"Serviço",0,IF(OR(AND(AUTOEVENTO="Manual",$M375=1),$M375&gt;(ROW(PLE.lastrow)-ROW(PLE.firstrow))),0,IF(OFFSET(PLE!$G$14,$M375,CK$13)="",10^12,OFFSET(PLE!$G$14,$M375,CK$13))))</f>
        <v>1000000000000</v>
      </c>
      <c r="CL375" s="216">
        <f ca="1">IF($D375&lt;&gt;"Serviço",0,IF(OR(AND(AUTOEVENTO="Manual",$M375=1),$M375&gt;(ROW(PLE.lastrow)-ROW(PLE.firstrow))),0,IF(OFFSET(PLE!$G$14,$M375,CL$13)="",10^12,OFFSET(PLE!$G$14,$M375,CL$13))))</f>
        <v>1000000000000</v>
      </c>
      <c r="CM375" s="216">
        <f ca="1">IF($D375&lt;&gt;"Serviço",0,IF(OR(AND(AUTOEVENTO="Manual",$M375=1),$M375&gt;(ROW(PLE.lastrow)-ROW(PLE.firstrow))),0,IF(OFFSET(PLE!$G$14,$M375,CM$13)="",10^12,OFFSET(PLE!$G$14,$M375,CM$13))))</f>
        <v>1000000000000</v>
      </c>
    </row>
    <row r="376" spans="1:91" ht="13.2" x14ac:dyDescent="0.25">
      <c r="A376" s="9">
        <f t="shared" ca="1" si="14"/>
        <v>0</v>
      </c>
      <c r="B376" s="9" t="str">
        <f ca="1">OFFSET(ORÇAMENTO!C$15,ROW(B376)-ROW(B$15),0)</f>
        <v>S</v>
      </c>
      <c r="C376" s="9" t="str">
        <f ca="1">OFFSET(ORÇAMENTO!L$15,ROW(C376)-ROW(C$15),0)</f>
        <v/>
      </c>
      <c r="D376" s="145" t="str">
        <f ca="1">OFFSET(ORÇAMENTO!N$15,ROW(D376)-ROW(D$15),0)</f>
        <v>Serviço</v>
      </c>
      <c r="E376" s="205" t="str">
        <f ca="1">OFFSET(ORÇAMENTO!O$15,ROW(E376)-ROW(E$15),0)</f>
        <v>-</v>
      </c>
      <c r="F376" s="206" t="str">
        <f ca="1">OFFSET(ORÇAMENTO!R$15,ROW(F376)-ROW(F$15),0)</f>
        <v>(abra o arquivo 'Referência 05-2024.xls)</v>
      </c>
      <c r="G376" s="207" t="str">
        <f ca="1">IF($D376&lt;&gt;"Serviço","",OFFSET(ORÇAMENTO!S$15,ROW(G376)-ROW(G$15),0))</f>
        <v>-</v>
      </c>
      <c r="H376" s="151">
        <f ca="1">IF($D376&lt;&gt;"Serviço",0,IF(ACOMPANHAMENTO="BM",ROUND(OFFSET(ORÇAMENTO!AJ$15,ROW(H376)-ROW(H$15),0),15-13*ORÇAMENTO!$AF$7),SUMPRODUCT(($Q$12:$AI$12&lt;&gt;"")*ROUND($Q376:$AI376,15-13*ORÇAMENTO!$AF$7))))</f>
        <v>103.6</v>
      </c>
      <c r="I376" s="650"/>
      <c r="K376" s="208"/>
      <c r="L376" s="209" t="s">
        <v>257</v>
      </c>
      <c r="M376" s="210">
        <f ca="1">IF($D376&lt;&gt;"Serviço","",IF(AUTOEVENTO="manual",$A376,IF(ISERROR(MATCH($A376,$A$15:OFFSET($A376,-1,0),0)),MAX($M$15:OFFSET(M376,-1,0))+1,INDEX($M$15:OFFSET(M376,-1,0),MATCH($A376,$A$15:OFFSET($A376,-1,0),0)))))</f>
        <v>0</v>
      </c>
      <c r="N376" s="211" t="str">
        <f ca="1">IF($D376&lt;&gt;"Serviço","",IF(AUTOEVENTO="Manual",IF($A376=0,"&lt;-- defina o número do agrupador",OFFSET(EVENTOS!$D$14,$A376,0)),OFFSET($F$15,$A376,0)))</f>
        <v>&lt;-- defina o número do agrupador</v>
      </c>
      <c r="O376" s="212"/>
      <c r="Q376" s="212"/>
      <c r="R376" s="213"/>
      <c r="S376" s="213"/>
      <c r="T376" s="213"/>
      <c r="U376" s="213"/>
      <c r="V376" s="213"/>
      <c r="W376" s="213"/>
      <c r="X376" s="213"/>
      <c r="Y376" s="213"/>
      <c r="Z376" s="214"/>
      <c r="AA376" s="213"/>
      <c r="AB376" s="213"/>
      <c r="AC376" s="213"/>
      <c r="AD376" s="213"/>
      <c r="AE376" s="213"/>
      <c r="AF376" s="213"/>
      <c r="AG376" s="213"/>
      <c r="AH376" s="214"/>
      <c r="AJ376" s="631">
        <f ca="1">IF(AND($D376="Serviço",AJ$12&lt;&gt;0,$H376&gt;0,OR(AUTOEVENTO&lt;&gt;"manual",$M376&lt;&gt;1)),ROUND(OFFSET($P376,0,AJ$13),15-13*ORÇAMENTO!$AF$7)/$H376*OFFSET(ORÇAMENTO!$X$15,ROW(AJ376)-ROW(AJ$15),0),0)</f>
        <v>0</v>
      </c>
      <c r="AK376" s="632">
        <f ca="1">IF(AND($D376="Serviço",AK$12&lt;&gt;0,$H376&gt;0,OR(AUTOEVENTO&lt;&gt;"manual",$M376&lt;&gt;1)),ROUND(OFFSET($P376,0,AK$13),15-13*ORÇAMENTO!$AF$7)/$H376*OFFSET(ORÇAMENTO!$X$15,ROW(AK376)-ROW(AK$15),0),0)</f>
        <v>0</v>
      </c>
      <c r="AL376" s="632">
        <f ca="1">IF(AND($D376="Serviço",AL$12&lt;&gt;0,$H376&gt;0,OR(AUTOEVENTO&lt;&gt;"manual",$M376&lt;&gt;1)),ROUND(OFFSET($P376,0,AL$13),15-13*ORÇAMENTO!$AF$7)/$H376*OFFSET(ORÇAMENTO!$X$15,ROW(AL376)-ROW(AL$15),0),0)</f>
        <v>0</v>
      </c>
      <c r="AM376" s="632">
        <f ca="1">IF(AND($D376="Serviço",AM$12&lt;&gt;0,$H376&gt;0,OR(AUTOEVENTO&lt;&gt;"manual",$M376&lt;&gt;1)),ROUND(OFFSET($P376,0,AM$13),15-13*ORÇAMENTO!$AF$7)/$H376*OFFSET(ORÇAMENTO!$X$15,ROW(AM376)-ROW(AM$15),0),0)</f>
        <v>0</v>
      </c>
      <c r="AN376" s="632">
        <f ca="1">IF(AND($D376="Serviço",AN$12&lt;&gt;0,$H376&gt;0,OR(AUTOEVENTO&lt;&gt;"manual",$M376&lt;&gt;1)),ROUND(OFFSET($P376,0,AN$13),15-13*ORÇAMENTO!$AF$7)/$H376*OFFSET(ORÇAMENTO!$X$15,ROW(AN376)-ROW(AN$15),0),0)</f>
        <v>0</v>
      </c>
      <c r="AO376" s="632">
        <f ca="1">IF(AND($D376="Serviço",AO$12&lt;&gt;0,$H376&gt;0,OR(AUTOEVENTO&lt;&gt;"manual",$M376&lt;&gt;1)),ROUND(OFFSET($P376,0,AO$13),15-13*ORÇAMENTO!$AF$7)/$H376*OFFSET(ORÇAMENTO!$X$15,ROW(AO376)-ROW(AO$15),0),0)</f>
        <v>0</v>
      </c>
      <c r="AP376" s="632">
        <f ca="1">IF(AND($D376="Serviço",AP$12&lt;&gt;0,$H376&gt;0,OR(AUTOEVENTO&lt;&gt;"manual",$M376&lt;&gt;1)),ROUND(OFFSET($P376,0,AP$13),15-13*ORÇAMENTO!$AF$7)/$H376*OFFSET(ORÇAMENTO!$X$15,ROW(AP376)-ROW(AP$15),0),0)</f>
        <v>0</v>
      </c>
      <c r="AQ376" s="632">
        <f ca="1">IF(AND($D376="Serviço",AQ$12&lt;&gt;0,$H376&gt;0,OR(AUTOEVENTO&lt;&gt;"manual",$M376&lt;&gt;1)),ROUND(OFFSET($P376,0,AQ$13),15-13*ORÇAMENTO!$AF$7)/$H376*OFFSET(ORÇAMENTO!$X$15,ROW(AQ376)-ROW(AQ$15),0),0)</f>
        <v>0</v>
      </c>
      <c r="AR376" s="632">
        <f ca="1">IF(AND($D376="Serviço",AR$12&lt;&gt;0,$H376&gt;0,OR(AUTOEVENTO&lt;&gt;"manual",$M376&lt;&gt;1)),ROUND(OFFSET($P376,0,AR$13),15-13*ORÇAMENTO!$AF$7)/$H376*OFFSET(ORÇAMENTO!$X$15,ROW(AR376)-ROW(AR$15),0),0)</f>
        <v>0</v>
      </c>
      <c r="AS376" s="633">
        <f ca="1">IF(AND($D376="Serviço",AS$12&lt;&gt;0,$H376&gt;0,OR(AUTOEVENTO&lt;&gt;"manual",$M376&lt;&gt;1)),ROUND(OFFSET($P376,0,AS$13),15-13*ORÇAMENTO!$AF$7)/$H376*OFFSET(ORÇAMENTO!$X$15,ROW(AS376)-ROW(AS$15),0),0)</f>
        <v>0</v>
      </c>
      <c r="AT376" s="632">
        <f ca="1">IF(AND($D376="Serviço",AT$12&lt;&gt;0,$H376&gt;0,OR(AUTOEVENTO&lt;&gt;"manual",$M376&lt;&gt;1)),ROUND(OFFSET($P376,0,AT$13),15-13*ORÇAMENTO!$AF$7)/$H376*OFFSET(ORÇAMENTO!$X$15,ROW(AT376)-ROW(AT$15),0),0)</f>
        <v>0</v>
      </c>
      <c r="AU376" s="632">
        <f ca="1">IF(AND($D376="Serviço",AU$12&lt;&gt;0,$H376&gt;0,OR(AUTOEVENTO&lt;&gt;"manual",$M376&lt;&gt;1)),ROUND(OFFSET($P376,0,AU$13),15-13*ORÇAMENTO!$AF$7)/$H376*OFFSET(ORÇAMENTO!$X$15,ROW(AU376)-ROW(AU$15),0),0)</f>
        <v>0</v>
      </c>
      <c r="AV376" s="632">
        <f ca="1">IF(AND($D376="Serviço",AV$12&lt;&gt;0,$H376&gt;0,OR(AUTOEVENTO&lt;&gt;"manual",$M376&lt;&gt;1)),ROUND(OFFSET($P376,0,AV$13),15-13*ORÇAMENTO!$AF$7)/$H376*OFFSET(ORÇAMENTO!$X$15,ROW(AV376)-ROW(AV$15),0),0)</f>
        <v>0</v>
      </c>
      <c r="AW376" s="632">
        <f ca="1">IF(AND($D376="Serviço",AW$12&lt;&gt;0,$H376&gt;0,OR(AUTOEVENTO&lt;&gt;"manual",$M376&lt;&gt;1)),ROUND(OFFSET($P376,0,AW$13),15-13*ORÇAMENTO!$AF$7)/$H376*OFFSET(ORÇAMENTO!$X$15,ROW(AW376)-ROW(AW$15),0),0)</f>
        <v>0</v>
      </c>
      <c r="AX376" s="632">
        <f ca="1">IF(AND($D376="Serviço",AX$12&lt;&gt;0,$H376&gt;0,OR(AUTOEVENTO&lt;&gt;"manual",$M376&lt;&gt;1)),ROUND(OFFSET($P376,0,AX$13),15-13*ORÇAMENTO!$AF$7)/$H376*OFFSET(ORÇAMENTO!$X$15,ROW(AX376)-ROW(AX$15),0),0)</f>
        <v>0</v>
      </c>
      <c r="AY376" s="632">
        <f ca="1">IF(AND($D376="Serviço",AY$12&lt;&gt;0,$H376&gt;0,OR(AUTOEVENTO&lt;&gt;"manual",$M376&lt;&gt;1)),ROUND(OFFSET($P376,0,AY$13),15-13*ORÇAMENTO!$AF$7)/$H376*OFFSET(ORÇAMENTO!$X$15,ROW(AY376)-ROW(AY$15),0),0)</f>
        <v>0</v>
      </c>
      <c r="AZ376" s="632">
        <f ca="1">IF(AND($D376="Serviço",AZ$12&lt;&gt;0,$H376&gt;0,OR(AUTOEVENTO&lt;&gt;"manual",$M376&lt;&gt;1)),ROUND(OFFSET($P376,0,AZ$13),15-13*ORÇAMENTO!$AF$7)/$H376*OFFSET(ORÇAMENTO!$X$15,ROW(AZ376)-ROW(AZ$15),0),0)</f>
        <v>0</v>
      </c>
      <c r="BA376" s="633">
        <f ca="1">IF(AND($D376="Serviço",BA$12&lt;&gt;0,$H376&gt;0,OR(AUTOEVENTO&lt;&gt;"manual",$M376&lt;&gt;1)),ROUND(OFFSET($P376,0,BA$13),15-13*ORÇAMENTO!$AF$7)/$H376*OFFSET(ORÇAMENTO!$X$15,ROW(BA376)-ROW(BA$15),0),0)</f>
        <v>0</v>
      </c>
      <c r="BC376" s="215">
        <f ca="1">IF($D376&lt;&gt;"Serviço",0,IF(AND(AUTOEVENTO="Manual",$M376=1),0,IF(OFFSET(CRONOPLE!$F$14,$M376,BC$13)="",10^12,OFFSET(CRONOPLE!$F$14,$M376,BC$13))))</f>
        <v>1000000000000</v>
      </c>
      <c r="BD376" s="215">
        <f ca="1">IF($D376&lt;&gt;"Serviço",0,IF(AND(AUTOEVENTO="Manual",$M376=1),0,IF(OFFSET(CRONOPLE!$F$14,$M376,BD$13)="",10^12,OFFSET(CRONOPLE!$F$14,$M376,BD$13))))</f>
        <v>1000000000000</v>
      </c>
      <c r="BE376" s="215">
        <f ca="1">IF($D376&lt;&gt;"Serviço",0,IF(AND(AUTOEVENTO="Manual",$M376=1),0,IF(OFFSET(CRONOPLE!$F$14,$M376,BE$13)="",10^12,OFFSET(CRONOPLE!$F$14,$M376,BE$13))))</f>
        <v>1000000000000</v>
      </c>
      <c r="BF376" s="215">
        <f ca="1">IF($D376&lt;&gt;"Serviço",0,IF(AND(AUTOEVENTO="Manual",$M376=1),0,IF(OFFSET(CRONOPLE!$F$14,$M376,BF$13)="",10^12,OFFSET(CRONOPLE!$F$14,$M376,BF$13))))</f>
        <v>1000000000000</v>
      </c>
      <c r="BG376" s="215">
        <f ca="1">IF($D376&lt;&gt;"Serviço",0,IF(AND(AUTOEVENTO="Manual",$M376=1),0,IF(OFFSET(CRONOPLE!$F$14,$M376,BG$13)="",10^12,OFFSET(CRONOPLE!$F$14,$M376,BG$13))))</f>
        <v>1000000000000</v>
      </c>
      <c r="BH376" s="215">
        <f ca="1">IF($D376&lt;&gt;"Serviço",0,IF(AND(AUTOEVENTO="Manual",$M376=1),0,IF(OFFSET(CRONOPLE!$F$14,$M376,BH$13)="",10^12,OFFSET(CRONOPLE!$F$14,$M376,BH$13))))</f>
        <v>1000000000000</v>
      </c>
      <c r="BI376" s="215">
        <f ca="1">IF($D376&lt;&gt;"Serviço",0,IF(AND(AUTOEVENTO="Manual",$M376=1),0,IF(OFFSET(CRONOPLE!$F$14,$M376,BI$13)="",10^12,OFFSET(CRONOPLE!$F$14,$M376,BI$13))))</f>
        <v>1000000000000</v>
      </c>
      <c r="BJ376" s="215">
        <f ca="1">IF($D376&lt;&gt;"Serviço",0,IF(AND(AUTOEVENTO="Manual",$M376=1),0,IF(OFFSET(CRONOPLE!$F$14,$M376,BJ$13)="",10^12,OFFSET(CRONOPLE!$F$14,$M376,BJ$13))))</f>
        <v>1000000000000</v>
      </c>
      <c r="BK376" s="215">
        <f ca="1">IF($D376&lt;&gt;"Serviço",0,IF(AND(AUTOEVENTO="Manual",$M376=1),0,IF(OFFSET(CRONOPLE!$F$14,$M376,BK$13)="",10^12,OFFSET(CRONOPLE!$F$14,$M376,BK$13))))</f>
        <v>1000000000000</v>
      </c>
      <c r="BL376" s="215">
        <f ca="1">IF($D376&lt;&gt;"Serviço",0,IF(AND(AUTOEVENTO="Manual",$M376=1),0,IF(OFFSET(CRONOPLE!$F$14,$M376,BL$13)="",10^12,OFFSET(CRONOPLE!$F$14,$M376,BL$13))))</f>
        <v>1000000000000</v>
      </c>
      <c r="BM376" s="215">
        <f ca="1">IF($D376&lt;&gt;"Serviço",0,IF(AND(AUTOEVENTO="Manual",$M376=1),0,IF(OFFSET(CRONOPLE!$F$14,$M376,BM$13)="",10^12,OFFSET(CRONOPLE!$F$14,$M376,BM$13))))</f>
        <v>1000000000000</v>
      </c>
      <c r="BN376" s="215">
        <f ca="1">IF($D376&lt;&gt;"Serviço",0,IF(AND(AUTOEVENTO="Manual",$M376=1),0,IF(OFFSET(CRONOPLE!$F$14,$M376,BN$13)="",10^12,OFFSET(CRONOPLE!$F$14,$M376,BN$13))))</f>
        <v>1000000000000</v>
      </c>
      <c r="BO376" s="215">
        <f ca="1">IF($D376&lt;&gt;"Serviço",0,IF(AND(AUTOEVENTO="Manual",$M376=1),0,IF(OFFSET(CRONOPLE!$F$14,$M376,BO$13)="",10^12,OFFSET(CRONOPLE!$F$14,$M376,BO$13))))</f>
        <v>1000000000000</v>
      </c>
      <c r="BP376" s="215">
        <f ca="1">IF($D376&lt;&gt;"Serviço",0,IF(AND(AUTOEVENTO="Manual",$M376=1),0,IF(OFFSET(CRONOPLE!$F$14,$M376,BP$13)="",10^12,OFFSET(CRONOPLE!$F$14,$M376,BP$13))))</f>
        <v>1000000000000</v>
      </c>
      <c r="BQ376" s="215">
        <f ca="1">IF($D376&lt;&gt;"Serviço",0,IF(AND(AUTOEVENTO="Manual",$M376=1),0,IF(OFFSET(CRONOPLE!$F$14,$M376,BQ$13)="",10^12,OFFSET(CRONOPLE!$F$14,$M376,BQ$13))))</f>
        <v>1000000000000</v>
      </c>
      <c r="BR376" s="215">
        <f ca="1">IF($D376&lt;&gt;"Serviço",0,IF(AND(AUTOEVENTO="Manual",$M376=1),0,IF(OFFSET(CRONOPLE!$F$14,$M376,BR$13)="",10^12,OFFSET(CRONOPLE!$F$14,$M376,BR$13))))</f>
        <v>1000000000000</v>
      </c>
      <c r="BS376" s="215">
        <f ca="1">IF($D376&lt;&gt;"Serviço",0,IF(AND(AUTOEVENTO="Manual",$M376=1),0,IF(OFFSET(CRONOPLE!$F$14,$M376,BS$13)="",10^12,OFFSET(CRONOPLE!$F$14,$M376,BS$13))))</f>
        <v>1000000000000</v>
      </c>
      <c r="BT376" s="215">
        <f ca="1">IF($D376&lt;&gt;"Serviço",0,IF(AND(AUTOEVENTO="Manual",$M376=1),0,IF(OFFSET(CRONOPLE!$F$14,$M376,BT$13)="",10^12,OFFSET(CRONOPLE!$F$14,$M376,BT$13))))</f>
        <v>1000000000000</v>
      </c>
      <c r="BV376" s="216">
        <f ca="1">IF($D376&lt;&gt;"Serviço",0,IF(OR(AND(AUTOEVENTO="Manual",$M376=1),$M376&gt;(ROW(PLE.lastrow)-ROW(PLE.firstrow))),0,IF(OFFSET(PLE!$G$14,$M376,BV$13)="",10^12,OFFSET(PLE!$G$14,$M376,BV$13))))</f>
        <v>1000000000000</v>
      </c>
      <c r="BW376" s="216">
        <f ca="1">IF($D376&lt;&gt;"Serviço",0,IF(OR(AND(AUTOEVENTO="Manual",$M376=1),$M376&gt;(ROW(PLE.lastrow)-ROW(PLE.firstrow))),0,IF(OFFSET(PLE!$G$14,$M376,BW$13)="",10^12,OFFSET(PLE!$G$14,$M376,BW$13))))</f>
        <v>1000000000000</v>
      </c>
      <c r="BX376" s="216">
        <f ca="1">IF($D376&lt;&gt;"Serviço",0,IF(OR(AND(AUTOEVENTO="Manual",$M376=1),$M376&gt;(ROW(PLE.lastrow)-ROW(PLE.firstrow))),0,IF(OFFSET(PLE!$G$14,$M376,BX$13)="",10^12,OFFSET(PLE!$G$14,$M376,BX$13))))</f>
        <v>1000000000000</v>
      </c>
      <c r="BY376" s="216">
        <f ca="1">IF($D376&lt;&gt;"Serviço",0,IF(OR(AND(AUTOEVENTO="Manual",$M376=1),$M376&gt;(ROW(PLE.lastrow)-ROW(PLE.firstrow))),0,IF(OFFSET(PLE!$G$14,$M376,BY$13)="",10^12,OFFSET(PLE!$G$14,$M376,BY$13))))</f>
        <v>1000000000000</v>
      </c>
      <c r="BZ376" s="216">
        <f ca="1">IF($D376&lt;&gt;"Serviço",0,IF(OR(AND(AUTOEVENTO="Manual",$M376=1),$M376&gt;(ROW(PLE.lastrow)-ROW(PLE.firstrow))),0,IF(OFFSET(PLE!$G$14,$M376,BZ$13)="",10^12,OFFSET(PLE!$G$14,$M376,BZ$13))))</f>
        <v>1000000000000</v>
      </c>
      <c r="CA376" s="216">
        <f ca="1">IF($D376&lt;&gt;"Serviço",0,IF(OR(AND(AUTOEVENTO="Manual",$M376=1),$M376&gt;(ROW(PLE.lastrow)-ROW(PLE.firstrow))),0,IF(OFFSET(PLE!$G$14,$M376,CA$13)="",10^12,OFFSET(PLE!$G$14,$M376,CA$13))))</f>
        <v>1000000000000</v>
      </c>
      <c r="CB376" s="216">
        <f ca="1">IF($D376&lt;&gt;"Serviço",0,IF(OR(AND(AUTOEVENTO="Manual",$M376=1),$M376&gt;(ROW(PLE.lastrow)-ROW(PLE.firstrow))),0,IF(OFFSET(PLE!$G$14,$M376,CB$13)="",10^12,OFFSET(PLE!$G$14,$M376,CB$13))))</f>
        <v>1000000000000</v>
      </c>
      <c r="CC376" s="216">
        <f ca="1">IF($D376&lt;&gt;"Serviço",0,IF(OR(AND(AUTOEVENTO="Manual",$M376=1),$M376&gt;(ROW(PLE.lastrow)-ROW(PLE.firstrow))),0,IF(OFFSET(PLE!$G$14,$M376,CC$13)="",10^12,OFFSET(PLE!$G$14,$M376,CC$13))))</f>
        <v>1000000000000</v>
      </c>
      <c r="CD376" s="216">
        <f ca="1">IF($D376&lt;&gt;"Serviço",0,IF(OR(AND(AUTOEVENTO="Manual",$M376=1),$M376&gt;(ROW(PLE.lastrow)-ROW(PLE.firstrow))),0,IF(OFFSET(PLE!$G$14,$M376,CD$13)="",10^12,OFFSET(PLE!$G$14,$M376,CD$13))))</f>
        <v>1000000000000</v>
      </c>
      <c r="CE376" s="216">
        <f ca="1">IF($D376&lt;&gt;"Serviço",0,IF(OR(AND(AUTOEVENTO="Manual",$M376=1),$M376&gt;(ROW(PLE.lastrow)-ROW(PLE.firstrow))),0,IF(OFFSET(PLE!$G$14,$M376,CE$13)="",10^12,OFFSET(PLE!$G$14,$M376,CE$13))))</f>
        <v>1000000000000</v>
      </c>
      <c r="CF376" s="216">
        <f ca="1">IF($D376&lt;&gt;"Serviço",0,IF(OR(AND(AUTOEVENTO="Manual",$M376=1),$M376&gt;(ROW(PLE.lastrow)-ROW(PLE.firstrow))),0,IF(OFFSET(PLE!$G$14,$M376,CF$13)="",10^12,OFFSET(PLE!$G$14,$M376,CF$13))))</f>
        <v>1000000000000</v>
      </c>
      <c r="CG376" s="216">
        <f ca="1">IF($D376&lt;&gt;"Serviço",0,IF(OR(AND(AUTOEVENTO="Manual",$M376=1),$M376&gt;(ROW(PLE.lastrow)-ROW(PLE.firstrow))),0,IF(OFFSET(PLE!$G$14,$M376,CG$13)="",10^12,OFFSET(PLE!$G$14,$M376,CG$13))))</f>
        <v>1000000000000</v>
      </c>
      <c r="CH376" s="216">
        <f ca="1">IF($D376&lt;&gt;"Serviço",0,IF(OR(AND(AUTOEVENTO="Manual",$M376=1),$M376&gt;(ROW(PLE.lastrow)-ROW(PLE.firstrow))),0,IF(OFFSET(PLE!$G$14,$M376,CH$13)="",10^12,OFFSET(PLE!$G$14,$M376,CH$13))))</f>
        <v>1000000000000</v>
      </c>
      <c r="CI376" s="216">
        <f ca="1">IF($D376&lt;&gt;"Serviço",0,IF(OR(AND(AUTOEVENTO="Manual",$M376=1),$M376&gt;(ROW(PLE.lastrow)-ROW(PLE.firstrow))),0,IF(OFFSET(PLE!$G$14,$M376,CI$13)="",10^12,OFFSET(PLE!$G$14,$M376,CI$13))))</f>
        <v>1000000000000</v>
      </c>
      <c r="CJ376" s="216">
        <f ca="1">IF($D376&lt;&gt;"Serviço",0,IF(OR(AND(AUTOEVENTO="Manual",$M376=1),$M376&gt;(ROW(PLE.lastrow)-ROW(PLE.firstrow))),0,IF(OFFSET(PLE!$G$14,$M376,CJ$13)="",10^12,OFFSET(PLE!$G$14,$M376,CJ$13))))</f>
        <v>1000000000000</v>
      </c>
      <c r="CK376" s="216">
        <f ca="1">IF($D376&lt;&gt;"Serviço",0,IF(OR(AND(AUTOEVENTO="Manual",$M376=1),$M376&gt;(ROW(PLE.lastrow)-ROW(PLE.firstrow))),0,IF(OFFSET(PLE!$G$14,$M376,CK$13)="",10^12,OFFSET(PLE!$G$14,$M376,CK$13))))</f>
        <v>1000000000000</v>
      </c>
      <c r="CL376" s="216">
        <f ca="1">IF($D376&lt;&gt;"Serviço",0,IF(OR(AND(AUTOEVENTO="Manual",$M376=1),$M376&gt;(ROW(PLE.lastrow)-ROW(PLE.firstrow))),0,IF(OFFSET(PLE!$G$14,$M376,CL$13)="",10^12,OFFSET(PLE!$G$14,$M376,CL$13))))</f>
        <v>1000000000000</v>
      </c>
      <c r="CM376" s="216">
        <f ca="1">IF($D376&lt;&gt;"Serviço",0,IF(OR(AND(AUTOEVENTO="Manual",$M376=1),$M376&gt;(ROW(PLE.lastrow)-ROW(PLE.firstrow))),0,IF(OFFSET(PLE!$G$14,$M376,CM$13)="",10^12,OFFSET(PLE!$G$14,$M376,CM$13))))</f>
        <v>1000000000000</v>
      </c>
    </row>
    <row r="377" spans="1:91" ht="13.2" x14ac:dyDescent="0.25">
      <c r="A377" s="9">
        <f t="shared" ca="1" si="14"/>
        <v>0</v>
      </c>
      <c r="B377" s="9" t="str">
        <f ca="1">OFFSET(ORÇAMENTO!C$15,ROW(B377)-ROW(B$15),0)</f>
        <v>S</v>
      </c>
      <c r="C377" s="9" t="str">
        <f ca="1">OFFSET(ORÇAMENTO!L$15,ROW(C377)-ROW(C$15),0)</f>
        <v/>
      </c>
      <c r="D377" s="145" t="str">
        <f ca="1">OFFSET(ORÇAMENTO!N$15,ROW(D377)-ROW(D$15),0)</f>
        <v>Serviço</v>
      </c>
      <c r="E377" s="205" t="str">
        <f ca="1">OFFSET(ORÇAMENTO!O$15,ROW(E377)-ROW(E$15),0)</f>
        <v>-</v>
      </c>
      <c r="F377" s="206" t="str">
        <f ca="1">OFFSET(ORÇAMENTO!R$15,ROW(F377)-ROW(F$15),0)</f>
        <v>(abra o arquivo 'Referência 05-2024.xls)</v>
      </c>
      <c r="G377" s="207" t="str">
        <f ca="1">IF($D377&lt;&gt;"Serviço","",OFFSET(ORÇAMENTO!S$15,ROW(G377)-ROW(G$15),0))</f>
        <v>-</v>
      </c>
      <c r="H377" s="151">
        <f ca="1">IF($D377&lt;&gt;"Serviço",0,IF(ACOMPANHAMENTO="BM",ROUND(OFFSET(ORÇAMENTO!AJ$15,ROW(H377)-ROW(H$15),0),15-13*ORÇAMENTO!$AF$7),SUMPRODUCT(($Q$12:$AI$12&lt;&gt;"")*ROUND($Q377:$AI377,15-13*ORÇAMENTO!$AF$7))))</f>
        <v>13</v>
      </c>
      <c r="I377" s="650"/>
      <c r="K377" s="208"/>
      <c r="L377" s="209" t="s">
        <v>257</v>
      </c>
      <c r="M377" s="210">
        <f ca="1">IF($D377&lt;&gt;"Serviço","",IF(AUTOEVENTO="manual",$A377,IF(ISERROR(MATCH($A377,$A$15:OFFSET($A377,-1,0),0)),MAX($M$15:OFFSET(M377,-1,0))+1,INDEX($M$15:OFFSET(M377,-1,0),MATCH($A377,$A$15:OFFSET($A377,-1,0),0)))))</f>
        <v>0</v>
      </c>
      <c r="N377" s="211" t="str">
        <f ca="1">IF($D377&lt;&gt;"Serviço","",IF(AUTOEVENTO="Manual",IF($A377=0,"&lt;-- defina o número do agrupador",OFFSET(EVENTOS!$D$14,$A377,0)),OFFSET($F$15,$A377,0)))</f>
        <v>&lt;-- defina o número do agrupador</v>
      </c>
      <c r="O377" s="212"/>
      <c r="Q377" s="212"/>
      <c r="R377" s="213"/>
      <c r="S377" s="213"/>
      <c r="T377" s="213"/>
      <c r="U377" s="213"/>
      <c r="V377" s="213"/>
      <c r="W377" s="213"/>
      <c r="X377" s="213"/>
      <c r="Y377" s="213"/>
      <c r="Z377" s="214"/>
      <c r="AA377" s="213"/>
      <c r="AB377" s="213"/>
      <c r="AC377" s="213"/>
      <c r="AD377" s="213"/>
      <c r="AE377" s="213"/>
      <c r="AF377" s="213"/>
      <c r="AG377" s="213"/>
      <c r="AH377" s="214"/>
      <c r="AJ377" s="631">
        <f ca="1">IF(AND($D377="Serviço",AJ$12&lt;&gt;0,$H377&gt;0,OR(AUTOEVENTO&lt;&gt;"manual",$M377&lt;&gt;1)),ROUND(OFFSET($P377,0,AJ$13),15-13*ORÇAMENTO!$AF$7)/$H377*OFFSET(ORÇAMENTO!$X$15,ROW(AJ377)-ROW(AJ$15),0),0)</f>
        <v>0</v>
      </c>
      <c r="AK377" s="632">
        <f ca="1">IF(AND($D377="Serviço",AK$12&lt;&gt;0,$H377&gt;0,OR(AUTOEVENTO&lt;&gt;"manual",$M377&lt;&gt;1)),ROUND(OFFSET($P377,0,AK$13),15-13*ORÇAMENTO!$AF$7)/$H377*OFFSET(ORÇAMENTO!$X$15,ROW(AK377)-ROW(AK$15),0),0)</f>
        <v>0</v>
      </c>
      <c r="AL377" s="632">
        <f ca="1">IF(AND($D377="Serviço",AL$12&lt;&gt;0,$H377&gt;0,OR(AUTOEVENTO&lt;&gt;"manual",$M377&lt;&gt;1)),ROUND(OFFSET($P377,0,AL$13),15-13*ORÇAMENTO!$AF$7)/$H377*OFFSET(ORÇAMENTO!$X$15,ROW(AL377)-ROW(AL$15),0),0)</f>
        <v>0</v>
      </c>
      <c r="AM377" s="632">
        <f ca="1">IF(AND($D377="Serviço",AM$12&lt;&gt;0,$H377&gt;0,OR(AUTOEVENTO&lt;&gt;"manual",$M377&lt;&gt;1)),ROUND(OFFSET($P377,0,AM$13),15-13*ORÇAMENTO!$AF$7)/$H377*OFFSET(ORÇAMENTO!$X$15,ROW(AM377)-ROW(AM$15),0),0)</f>
        <v>0</v>
      </c>
      <c r="AN377" s="632">
        <f ca="1">IF(AND($D377="Serviço",AN$12&lt;&gt;0,$H377&gt;0,OR(AUTOEVENTO&lt;&gt;"manual",$M377&lt;&gt;1)),ROUND(OFFSET($P377,0,AN$13),15-13*ORÇAMENTO!$AF$7)/$H377*OFFSET(ORÇAMENTO!$X$15,ROW(AN377)-ROW(AN$15),0),0)</f>
        <v>0</v>
      </c>
      <c r="AO377" s="632">
        <f ca="1">IF(AND($D377="Serviço",AO$12&lt;&gt;0,$H377&gt;0,OR(AUTOEVENTO&lt;&gt;"manual",$M377&lt;&gt;1)),ROUND(OFFSET($P377,0,AO$13),15-13*ORÇAMENTO!$AF$7)/$H377*OFFSET(ORÇAMENTO!$X$15,ROW(AO377)-ROW(AO$15),0),0)</f>
        <v>0</v>
      </c>
      <c r="AP377" s="632">
        <f ca="1">IF(AND($D377="Serviço",AP$12&lt;&gt;0,$H377&gt;0,OR(AUTOEVENTO&lt;&gt;"manual",$M377&lt;&gt;1)),ROUND(OFFSET($P377,0,AP$13),15-13*ORÇAMENTO!$AF$7)/$H377*OFFSET(ORÇAMENTO!$X$15,ROW(AP377)-ROW(AP$15),0),0)</f>
        <v>0</v>
      </c>
      <c r="AQ377" s="632">
        <f ca="1">IF(AND($D377="Serviço",AQ$12&lt;&gt;0,$H377&gt;0,OR(AUTOEVENTO&lt;&gt;"manual",$M377&lt;&gt;1)),ROUND(OFFSET($P377,0,AQ$13),15-13*ORÇAMENTO!$AF$7)/$H377*OFFSET(ORÇAMENTO!$X$15,ROW(AQ377)-ROW(AQ$15),0),0)</f>
        <v>0</v>
      </c>
      <c r="AR377" s="632">
        <f ca="1">IF(AND($D377="Serviço",AR$12&lt;&gt;0,$H377&gt;0,OR(AUTOEVENTO&lt;&gt;"manual",$M377&lt;&gt;1)),ROUND(OFFSET($P377,0,AR$13),15-13*ORÇAMENTO!$AF$7)/$H377*OFFSET(ORÇAMENTO!$X$15,ROW(AR377)-ROW(AR$15),0),0)</f>
        <v>0</v>
      </c>
      <c r="AS377" s="633">
        <f ca="1">IF(AND($D377="Serviço",AS$12&lt;&gt;0,$H377&gt;0,OR(AUTOEVENTO&lt;&gt;"manual",$M377&lt;&gt;1)),ROUND(OFFSET($P377,0,AS$13),15-13*ORÇAMENTO!$AF$7)/$H377*OFFSET(ORÇAMENTO!$X$15,ROW(AS377)-ROW(AS$15),0),0)</f>
        <v>0</v>
      </c>
      <c r="AT377" s="632">
        <f ca="1">IF(AND($D377="Serviço",AT$12&lt;&gt;0,$H377&gt;0,OR(AUTOEVENTO&lt;&gt;"manual",$M377&lt;&gt;1)),ROUND(OFFSET($P377,0,AT$13),15-13*ORÇAMENTO!$AF$7)/$H377*OFFSET(ORÇAMENTO!$X$15,ROW(AT377)-ROW(AT$15),0),0)</f>
        <v>0</v>
      </c>
      <c r="AU377" s="632">
        <f ca="1">IF(AND($D377="Serviço",AU$12&lt;&gt;0,$H377&gt;0,OR(AUTOEVENTO&lt;&gt;"manual",$M377&lt;&gt;1)),ROUND(OFFSET($P377,0,AU$13),15-13*ORÇAMENTO!$AF$7)/$H377*OFFSET(ORÇAMENTO!$X$15,ROW(AU377)-ROW(AU$15),0),0)</f>
        <v>0</v>
      </c>
      <c r="AV377" s="632">
        <f ca="1">IF(AND($D377="Serviço",AV$12&lt;&gt;0,$H377&gt;0,OR(AUTOEVENTO&lt;&gt;"manual",$M377&lt;&gt;1)),ROUND(OFFSET($P377,0,AV$13),15-13*ORÇAMENTO!$AF$7)/$H377*OFFSET(ORÇAMENTO!$X$15,ROW(AV377)-ROW(AV$15),0),0)</f>
        <v>0</v>
      </c>
      <c r="AW377" s="632">
        <f ca="1">IF(AND($D377="Serviço",AW$12&lt;&gt;0,$H377&gt;0,OR(AUTOEVENTO&lt;&gt;"manual",$M377&lt;&gt;1)),ROUND(OFFSET($P377,0,AW$13),15-13*ORÇAMENTO!$AF$7)/$H377*OFFSET(ORÇAMENTO!$X$15,ROW(AW377)-ROW(AW$15),0),0)</f>
        <v>0</v>
      </c>
      <c r="AX377" s="632">
        <f ca="1">IF(AND($D377="Serviço",AX$12&lt;&gt;0,$H377&gt;0,OR(AUTOEVENTO&lt;&gt;"manual",$M377&lt;&gt;1)),ROUND(OFFSET($P377,0,AX$13),15-13*ORÇAMENTO!$AF$7)/$H377*OFFSET(ORÇAMENTO!$X$15,ROW(AX377)-ROW(AX$15),0),0)</f>
        <v>0</v>
      </c>
      <c r="AY377" s="632">
        <f ca="1">IF(AND($D377="Serviço",AY$12&lt;&gt;0,$H377&gt;0,OR(AUTOEVENTO&lt;&gt;"manual",$M377&lt;&gt;1)),ROUND(OFFSET($P377,0,AY$13),15-13*ORÇAMENTO!$AF$7)/$H377*OFFSET(ORÇAMENTO!$X$15,ROW(AY377)-ROW(AY$15),0),0)</f>
        <v>0</v>
      </c>
      <c r="AZ377" s="632">
        <f ca="1">IF(AND($D377="Serviço",AZ$12&lt;&gt;0,$H377&gt;0,OR(AUTOEVENTO&lt;&gt;"manual",$M377&lt;&gt;1)),ROUND(OFFSET($P377,0,AZ$13),15-13*ORÇAMENTO!$AF$7)/$H377*OFFSET(ORÇAMENTO!$X$15,ROW(AZ377)-ROW(AZ$15),0),0)</f>
        <v>0</v>
      </c>
      <c r="BA377" s="633">
        <f ca="1">IF(AND($D377="Serviço",BA$12&lt;&gt;0,$H377&gt;0,OR(AUTOEVENTO&lt;&gt;"manual",$M377&lt;&gt;1)),ROUND(OFFSET($P377,0,BA$13),15-13*ORÇAMENTO!$AF$7)/$H377*OFFSET(ORÇAMENTO!$X$15,ROW(BA377)-ROW(BA$15),0),0)</f>
        <v>0</v>
      </c>
      <c r="BC377" s="215">
        <f ca="1">IF($D377&lt;&gt;"Serviço",0,IF(AND(AUTOEVENTO="Manual",$M377=1),0,IF(OFFSET(CRONOPLE!$F$14,$M377,BC$13)="",10^12,OFFSET(CRONOPLE!$F$14,$M377,BC$13))))</f>
        <v>1000000000000</v>
      </c>
      <c r="BD377" s="215">
        <f ca="1">IF($D377&lt;&gt;"Serviço",0,IF(AND(AUTOEVENTO="Manual",$M377=1),0,IF(OFFSET(CRONOPLE!$F$14,$M377,BD$13)="",10^12,OFFSET(CRONOPLE!$F$14,$M377,BD$13))))</f>
        <v>1000000000000</v>
      </c>
      <c r="BE377" s="215">
        <f ca="1">IF($D377&lt;&gt;"Serviço",0,IF(AND(AUTOEVENTO="Manual",$M377=1),0,IF(OFFSET(CRONOPLE!$F$14,$M377,BE$13)="",10^12,OFFSET(CRONOPLE!$F$14,$M377,BE$13))))</f>
        <v>1000000000000</v>
      </c>
      <c r="BF377" s="215">
        <f ca="1">IF($D377&lt;&gt;"Serviço",0,IF(AND(AUTOEVENTO="Manual",$M377=1),0,IF(OFFSET(CRONOPLE!$F$14,$M377,BF$13)="",10^12,OFFSET(CRONOPLE!$F$14,$M377,BF$13))))</f>
        <v>1000000000000</v>
      </c>
      <c r="BG377" s="215">
        <f ca="1">IF($D377&lt;&gt;"Serviço",0,IF(AND(AUTOEVENTO="Manual",$M377=1),0,IF(OFFSET(CRONOPLE!$F$14,$M377,BG$13)="",10^12,OFFSET(CRONOPLE!$F$14,$M377,BG$13))))</f>
        <v>1000000000000</v>
      </c>
      <c r="BH377" s="215">
        <f ca="1">IF($D377&lt;&gt;"Serviço",0,IF(AND(AUTOEVENTO="Manual",$M377=1),0,IF(OFFSET(CRONOPLE!$F$14,$M377,BH$13)="",10^12,OFFSET(CRONOPLE!$F$14,$M377,BH$13))))</f>
        <v>1000000000000</v>
      </c>
      <c r="BI377" s="215">
        <f ca="1">IF($D377&lt;&gt;"Serviço",0,IF(AND(AUTOEVENTO="Manual",$M377=1),0,IF(OFFSET(CRONOPLE!$F$14,$M377,BI$13)="",10^12,OFFSET(CRONOPLE!$F$14,$M377,BI$13))))</f>
        <v>1000000000000</v>
      </c>
      <c r="BJ377" s="215">
        <f ca="1">IF($D377&lt;&gt;"Serviço",0,IF(AND(AUTOEVENTO="Manual",$M377=1),0,IF(OFFSET(CRONOPLE!$F$14,$M377,BJ$13)="",10^12,OFFSET(CRONOPLE!$F$14,$M377,BJ$13))))</f>
        <v>1000000000000</v>
      </c>
      <c r="BK377" s="215">
        <f ca="1">IF($D377&lt;&gt;"Serviço",0,IF(AND(AUTOEVENTO="Manual",$M377=1),0,IF(OFFSET(CRONOPLE!$F$14,$M377,BK$13)="",10^12,OFFSET(CRONOPLE!$F$14,$M377,BK$13))))</f>
        <v>1000000000000</v>
      </c>
      <c r="BL377" s="215">
        <f ca="1">IF($D377&lt;&gt;"Serviço",0,IF(AND(AUTOEVENTO="Manual",$M377=1),0,IF(OFFSET(CRONOPLE!$F$14,$M377,BL$13)="",10^12,OFFSET(CRONOPLE!$F$14,$M377,BL$13))))</f>
        <v>1000000000000</v>
      </c>
      <c r="BM377" s="215">
        <f ca="1">IF($D377&lt;&gt;"Serviço",0,IF(AND(AUTOEVENTO="Manual",$M377=1),0,IF(OFFSET(CRONOPLE!$F$14,$M377,BM$13)="",10^12,OFFSET(CRONOPLE!$F$14,$M377,BM$13))))</f>
        <v>1000000000000</v>
      </c>
      <c r="BN377" s="215">
        <f ca="1">IF($D377&lt;&gt;"Serviço",0,IF(AND(AUTOEVENTO="Manual",$M377=1),0,IF(OFFSET(CRONOPLE!$F$14,$M377,BN$13)="",10^12,OFFSET(CRONOPLE!$F$14,$M377,BN$13))))</f>
        <v>1000000000000</v>
      </c>
      <c r="BO377" s="215">
        <f ca="1">IF($D377&lt;&gt;"Serviço",0,IF(AND(AUTOEVENTO="Manual",$M377=1),0,IF(OFFSET(CRONOPLE!$F$14,$M377,BO$13)="",10^12,OFFSET(CRONOPLE!$F$14,$M377,BO$13))))</f>
        <v>1000000000000</v>
      </c>
      <c r="BP377" s="215">
        <f ca="1">IF($D377&lt;&gt;"Serviço",0,IF(AND(AUTOEVENTO="Manual",$M377=1),0,IF(OFFSET(CRONOPLE!$F$14,$M377,BP$13)="",10^12,OFFSET(CRONOPLE!$F$14,$M377,BP$13))))</f>
        <v>1000000000000</v>
      </c>
      <c r="BQ377" s="215">
        <f ca="1">IF($D377&lt;&gt;"Serviço",0,IF(AND(AUTOEVENTO="Manual",$M377=1),0,IF(OFFSET(CRONOPLE!$F$14,$M377,BQ$13)="",10^12,OFFSET(CRONOPLE!$F$14,$M377,BQ$13))))</f>
        <v>1000000000000</v>
      </c>
      <c r="BR377" s="215">
        <f ca="1">IF($D377&lt;&gt;"Serviço",0,IF(AND(AUTOEVENTO="Manual",$M377=1),0,IF(OFFSET(CRONOPLE!$F$14,$M377,BR$13)="",10^12,OFFSET(CRONOPLE!$F$14,$M377,BR$13))))</f>
        <v>1000000000000</v>
      </c>
      <c r="BS377" s="215">
        <f ca="1">IF($D377&lt;&gt;"Serviço",0,IF(AND(AUTOEVENTO="Manual",$M377=1),0,IF(OFFSET(CRONOPLE!$F$14,$M377,BS$13)="",10^12,OFFSET(CRONOPLE!$F$14,$M377,BS$13))))</f>
        <v>1000000000000</v>
      </c>
      <c r="BT377" s="215">
        <f ca="1">IF($D377&lt;&gt;"Serviço",0,IF(AND(AUTOEVENTO="Manual",$M377=1),0,IF(OFFSET(CRONOPLE!$F$14,$M377,BT$13)="",10^12,OFFSET(CRONOPLE!$F$14,$M377,BT$13))))</f>
        <v>1000000000000</v>
      </c>
      <c r="BV377" s="216">
        <f ca="1">IF($D377&lt;&gt;"Serviço",0,IF(OR(AND(AUTOEVENTO="Manual",$M377=1),$M377&gt;(ROW(PLE.lastrow)-ROW(PLE.firstrow))),0,IF(OFFSET(PLE!$G$14,$M377,BV$13)="",10^12,OFFSET(PLE!$G$14,$M377,BV$13))))</f>
        <v>1000000000000</v>
      </c>
      <c r="BW377" s="216">
        <f ca="1">IF($D377&lt;&gt;"Serviço",0,IF(OR(AND(AUTOEVENTO="Manual",$M377=1),$M377&gt;(ROW(PLE.lastrow)-ROW(PLE.firstrow))),0,IF(OFFSET(PLE!$G$14,$M377,BW$13)="",10^12,OFFSET(PLE!$G$14,$M377,BW$13))))</f>
        <v>1000000000000</v>
      </c>
      <c r="BX377" s="216">
        <f ca="1">IF($D377&lt;&gt;"Serviço",0,IF(OR(AND(AUTOEVENTO="Manual",$M377=1),$M377&gt;(ROW(PLE.lastrow)-ROW(PLE.firstrow))),0,IF(OFFSET(PLE!$G$14,$M377,BX$13)="",10^12,OFFSET(PLE!$G$14,$M377,BX$13))))</f>
        <v>1000000000000</v>
      </c>
      <c r="BY377" s="216">
        <f ca="1">IF($D377&lt;&gt;"Serviço",0,IF(OR(AND(AUTOEVENTO="Manual",$M377=1),$M377&gt;(ROW(PLE.lastrow)-ROW(PLE.firstrow))),0,IF(OFFSET(PLE!$G$14,$M377,BY$13)="",10^12,OFFSET(PLE!$G$14,$M377,BY$13))))</f>
        <v>1000000000000</v>
      </c>
      <c r="BZ377" s="216">
        <f ca="1">IF($D377&lt;&gt;"Serviço",0,IF(OR(AND(AUTOEVENTO="Manual",$M377=1),$M377&gt;(ROW(PLE.lastrow)-ROW(PLE.firstrow))),0,IF(OFFSET(PLE!$G$14,$M377,BZ$13)="",10^12,OFFSET(PLE!$G$14,$M377,BZ$13))))</f>
        <v>1000000000000</v>
      </c>
      <c r="CA377" s="216">
        <f ca="1">IF($D377&lt;&gt;"Serviço",0,IF(OR(AND(AUTOEVENTO="Manual",$M377=1),$M377&gt;(ROW(PLE.lastrow)-ROW(PLE.firstrow))),0,IF(OFFSET(PLE!$G$14,$M377,CA$13)="",10^12,OFFSET(PLE!$G$14,$M377,CA$13))))</f>
        <v>1000000000000</v>
      </c>
      <c r="CB377" s="216">
        <f ca="1">IF($D377&lt;&gt;"Serviço",0,IF(OR(AND(AUTOEVENTO="Manual",$M377=1),$M377&gt;(ROW(PLE.lastrow)-ROW(PLE.firstrow))),0,IF(OFFSET(PLE!$G$14,$M377,CB$13)="",10^12,OFFSET(PLE!$G$14,$M377,CB$13))))</f>
        <v>1000000000000</v>
      </c>
      <c r="CC377" s="216">
        <f ca="1">IF($D377&lt;&gt;"Serviço",0,IF(OR(AND(AUTOEVENTO="Manual",$M377=1),$M377&gt;(ROW(PLE.lastrow)-ROW(PLE.firstrow))),0,IF(OFFSET(PLE!$G$14,$M377,CC$13)="",10^12,OFFSET(PLE!$G$14,$M377,CC$13))))</f>
        <v>1000000000000</v>
      </c>
      <c r="CD377" s="216">
        <f ca="1">IF($D377&lt;&gt;"Serviço",0,IF(OR(AND(AUTOEVENTO="Manual",$M377=1),$M377&gt;(ROW(PLE.lastrow)-ROW(PLE.firstrow))),0,IF(OFFSET(PLE!$G$14,$M377,CD$13)="",10^12,OFFSET(PLE!$G$14,$M377,CD$13))))</f>
        <v>1000000000000</v>
      </c>
      <c r="CE377" s="216">
        <f ca="1">IF($D377&lt;&gt;"Serviço",0,IF(OR(AND(AUTOEVENTO="Manual",$M377=1),$M377&gt;(ROW(PLE.lastrow)-ROW(PLE.firstrow))),0,IF(OFFSET(PLE!$G$14,$M377,CE$13)="",10^12,OFFSET(PLE!$G$14,$M377,CE$13))))</f>
        <v>1000000000000</v>
      </c>
      <c r="CF377" s="216">
        <f ca="1">IF($D377&lt;&gt;"Serviço",0,IF(OR(AND(AUTOEVENTO="Manual",$M377=1),$M377&gt;(ROW(PLE.lastrow)-ROW(PLE.firstrow))),0,IF(OFFSET(PLE!$G$14,$M377,CF$13)="",10^12,OFFSET(PLE!$G$14,$M377,CF$13))))</f>
        <v>1000000000000</v>
      </c>
      <c r="CG377" s="216">
        <f ca="1">IF($D377&lt;&gt;"Serviço",0,IF(OR(AND(AUTOEVENTO="Manual",$M377=1),$M377&gt;(ROW(PLE.lastrow)-ROW(PLE.firstrow))),0,IF(OFFSET(PLE!$G$14,$M377,CG$13)="",10^12,OFFSET(PLE!$G$14,$M377,CG$13))))</f>
        <v>1000000000000</v>
      </c>
      <c r="CH377" s="216">
        <f ca="1">IF($D377&lt;&gt;"Serviço",0,IF(OR(AND(AUTOEVENTO="Manual",$M377=1),$M377&gt;(ROW(PLE.lastrow)-ROW(PLE.firstrow))),0,IF(OFFSET(PLE!$G$14,$M377,CH$13)="",10^12,OFFSET(PLE!$G$14,$M377,CH$13))))</f>
        <v>1000000000000</v>
      </c>
      <c r="CI377" s="216">
        <f ca="1">IF($D377&lt;&gt;"Serviço",0,IF(OR(AND(AUTOEVENTO="Manual",$M377=1),$M377&gt;(ROW(PLE.lastrow)-ROW(PLE.firstrow))),0,IF(OFFSET(PLE!$G$14,$M377,CI$13)="",10^12,OFFSET(PLE!$G$14,$M377,CI$13))))</f>
        <v>1000000000000</v>
      </c>
      <c r="CJ377" s="216">
        <f ca="1">IF($D377&lt;&gt;"Serviço",0,IF(OR(AND(AUTOEVENTO="Manual",$M377=1),$M377&gt;(ROW(PLE.lastrow)-ROW(PLE.firstrow))),0,IF(OFFSET(PLE!$G$14,$M377,CJ$13)="",10^12,OFFSET(PLE!$G$14,$M377,CJ$13))))</f>
        <v>1000000000000</v>
      </c>
      <c r="CK377" s="216">
        <f ca="1">IF($D377&lt;&gt;"Serviço",0,IF(OR(AND(AUTOEVENTO="Manual",$M377=1),$M377&gt;(ROW(PLE.lastrow)-ROW(PLE.firstrow))),0,IF(OFFSET(PLE!$G$14,$M377,CK$13)="",10^12,OFFSET(PLE!$G$14,$M377,CK$13))))</f>
        <v>1000000000000</v>
      </c>
      <c r="CL377" s="216">
        <f ca="1">IF($D377&lt;&gt;"Serviço",0,IF(OR(AND(AUTOEVENTO="Manual",$M377=1),$M377&gt;(ROW(PLE.lastrow)-ROW(PLE.firstrow))),0,IF(OFFSET(PLE!$G$14,$M377,CL$13)="",10^12,OFFSET(PLE!$G$14,$M377,CL$13))))</f>
        <v>1000000000000</v>
      </c>
      <c r="CM377" s="216">
        <f ca="1">IF($D377&lt;&gt;"Serviço",0,IF(OR(AND(AUTOEVENTO="Manual",$M377=1),$M377&gt;(ROW(PLE.lastrow)-ROW(PLE.firstrow))),0,IF(OFFSET(PLE!$G$14,$M377,CM$13)="",10^12,OFFSET(PLE!$G$14,$M377,CM$13))))</f>
        <v>1000000000000</v>
      </c>
    </row>
    <row r="378" spans="1:91" ht="13.2" x14ac:dyDescent="0.25">
      <c r="A378" s="9">
        <f t="shared" ca="1" si="14"/>
        <v>0</v>
      </c>
      <c r="B378" s="9" t="str">
        <f ca="1">OFFSET(ORÇAMENTO!C$15,ROW(B378)-ROW(B$15),0)</f>
        <v>S</v>
      </c>
      <c r="C378" s="9" t="str">
        <f ca="1">OFFSET(ORÇAMENTO!L$15,ROW(C378)-ROW(C$15),0)</f>
        <v/>
      </c>
      <c r="D378" s="145" t="str">
        <f ca="1">OFFSET(ORÇAMENTO!N$15,ROW(D378)-ROW(D$15),0)</f>
        <v>Serviço</v>
      </c>
      <c r="E378" s="205" t="str">
        <f ca="1">OFFSET(ORÇAMENTO!O$15,ROW(E378)-ROW(E$15),0)</f>
        <v>-</v>
      </c>
      <c r="F378" s="206" t="str">
        <f ca="1">OFFSET(ORÇAMENTO!R$15,ROW(F378)-ROW(F$15),0)</f>
        <v>(abra o arquivo 'Referência 05-2024.xls)</v>
      </c>
      <c r="G378" s="207" t="str">
        <f ca="1">IF($D378&lt;&gt;"Serviço","",OFFSET(ORÇAMENTO!S$15,ROW(G378)-ROW(G$15),0))</f>
        <v>-</v>
      </c>
      <c r="H378" s="151">
        <f ca="1">IF($D378&lt;&gt;"Serviço",0,IF(ACOMPANHAMENTO="BM",ROUND(OFFSET(ORÇAMENTO!AJ$15,ROW(H378)-ROW(H$15),0),15-13*ORÇAMENTO!$AF$7),SUMPRODUCT(($Q$12:$AI$12&lt;&gt;"")*ROUND($Q378:$AI378,15-13*ORÇAMENTO!$AF$7))))</f>
        <v>4</v>
      </c>
      <c r="I378" s="650"/>
      <c r="K378" s="208"/>
      <c r="L378" s="209" t="s">
        <v>257</v>
      </c>
      <c r="M378" s="210">
        <f ca="1">IF($D378&lt;&gt;"Serviço","",IF(AUTOEVENTO="manual",$A378,IF(ISERROR(MATCH($A378,$A$15:OFFSET($A378,-1,0),0)),MAX($M$15:OFFSET(M378,-1,0))+1,INDEX($M$15:OFFSET(M378,-1,0),MATCH($A378,$A$15:OFFSET($A378,-1,0),0)))))</f>
        <v>0</v>
      </c>
      <c r="N378" s="211" t="str">
        <f ca="1">IF($D378&lt;&gt;"Serviço","",IF(AUTOEVENTO="Manual",IF($A378=0,"&lt;-- defina o número do agrupador",OFFSET(EVENTOS!$D$14,$A378,0)),OFFSET($F$15,$A378,0)))</f>
        <v>&lt;-- defina o número do agrupador</v>
      </c>
      <c r="O378" s="212"/>
      <c r="Q378" s="212"/>
      <c r="R378" s="213"/>
      <c r="S378" s="213"/>
      <c r="T378" s="213"/>
      <c r="U378" s="213"/>
      <c r="V378" s="213"/>
      <c r="W378" s="213"/>
      <c r="X378" s="213"/>
      <c r="Y378" s="213"/>
      <c r="Z378" s="214"/>
      <c r="AA378" s="213"/>
      <c r="AB378" s="213"/>
      <c r="AC378" s="213"/>
      <c r="AD378" s="213"/>
      <c r="AE378" s="213"/>
      <c r="AF378" s="213"/>
      <c r="AG378" s="213"/>
      <c r="AH378" s="214"/>
      <c r="AJ378" s="631">
        <f ca="1">IF(AND($D378="Serviço",AJ$12&lt;&gt;0,$H378&gt;0,OR(AUTOEVENTO&lt;&gt;"manual",$M378&lt;&gt;1)),ROUND(OFFSET($P378,0,AJ$13),15-13*ORÇAMENTO!$AF$7)/$H378*OFFSET(ORÇAMENTO!$X$15,ROW(AJ378)-ROW(AJ$15),0),0)</f>
        <v>0</v>
      </c>
      <c r="AK378" s="632">
        <f ca="1">IF(AND($D378="Serviço",AK$12&lt;&gt;0,$H378&gt;0,OR(AUTOEVENTO&lt;&gt;"manual",$M378&lt;&gt;1)),ROUND(OFFSET($P378,0,AK$13),15-13*ORÇAMENTO!$AF$7)/$H378*OFFSET(ORÇAMENTO!$X$15,ROW(AK378)-ROW(AK$15),0),0)</f>
        <v>0</v>
      </c>
      <c r="AL378" s="632">
        <f ca="1">IF(AND($D378="Serviço",AL$12&lt;&gt;0,$H378&gt;0,OR(AUTOEVENTO&lt;&gt;"manual",$M378&lt;&gt;1)),ROUND(OFFSET($P378,0,AL$13),15-13*ORÇAMENTO!$AF$7)/$H378*OFFSET(ORÇAMENTO!$X$15,ROW(AL378)-ROW(AL$15),0),0)</f>
        <v>0</v>
      </c>
      <c r="AM378" s="632">
        <f ca="1">IF(AND($D378="Serviço",AM$12&lt;&gt;0,$H378&gt;0,OR(AUTOEVENTO&lt;&gt;"manual",$M378&lt;&gt;1)),ROUND(OFFSET($P378,0,AM$13),15-13*ORÇAMENTO!$AF$7)/$H378*OFFSET(ORÇAMENTO!$X$15,ROW(AM378)-ROW(AM$15),0),0)</f>
        <v>0</v>
      </c>
      <c r="AN378" s="632">
        <f ca="1">IF(AND($D378="Serviço",AN$12&lt;&gt;0,$H378&gt;0,OR(AUTOEVENTO&lt;&gt;"manual",$M378&lt;&gt;1)),ROUND(OFFSET($P378,0,AN$13),15-13*ORÇAMENTO!$AF$7)/$H378*OFFSET(ORÇAMENTO!$X$15,ROW(AN378)-ROW(AN$15),0),0)</f>
        <v>0</v>
      </c>
      <c r="AO378" s="632">
        <f ca="1">IF(AND($D378="Serviço",AO$12&lt;&gt;0,$H378&gt;0,OR(AUTOEVENTO&lt;&gt;"manual",$M378&lt;&gt;1)),ROUND(OFFSET($P378,0,AO$13),15-13*ORÇAMENTO!$AF$7)/$H378*OFFSET(ORÇAMENTO!$X$15,ROW(AO378)-ROW(AO$15),0),0)</f>
        <v>0</v>
      </c>
      <c r="AP378" s="632">
        <f ca="1">IF(AND($D378="Serviço",AP$12&lt;&gt;0,$H378&gt;0,OR(AUTOEVENTO&lt;&gt;"manual",$M378&lt;&gt;1)),ROUND(OFFSET($P378,0,AP$13),15-13*ORÇAMENTO!$AF$7)/$H378*OFFSET(ORÇAMENTO!$X$15,ROW(AP378)-ROW(AP$15),0),0)</f>
        <v>0</v>
      </c>
      <c r="AQ378" s="632">
        <f ca="1">IF(AND($D378="Serviço",AQ$12&lt;&gt;0,$H378&gt;0,OR(AUTOEVENTO&lt;&gt;"manual",$M378&lt;&gt;1)),ROUND(OFFSET($P378,0,AQ$13),15-13*ORÇAMENTO!$AF$7)/$H378*OFFSET(ORÇAMENTO!$X$15,ROW(AQ378)-ROW(AQ$15),0),0)</f>
        <v>0</v>
      </c>
      <c r="AR378" s="632">
        <f ca="1">IF(AND($D378="Serviço",AR$12&lt;&gt;0,$H378&gt;0,OR(AUTOEVENTO&lt;&gt;"manual",$M378&lt;&gt;1)),ROUND(OFFSET($P378,0,AR$13),15-13*ORÇAMENTO!$AF$7)/$H378*OFFSET(ORÇAMENTO!$X$15,ROW(AR378)-ROW(AR$15),0),0)</f>
        <v>0</v>
      </c>
      <c r="AS378" s="633">
        <f ca="1">IF(AND($D378="Serviço",AS$12&lt;&gt;0,$H378&gt;0,OR(AUTOEVENTO&lt;&gt;"manual",$M378&lt;&gt;1)),ROUND(OFFSET($P378,0,AS$13),15-13*ORÇAMENTO!$AF$7)/$H378*OFFSET(ORÇAMENTO!$X$15,ROW(AS378)-ROW(AS$15),0),0)</f>
        <v>0</v>
      </c>
      <c r="AT378" s="632">
        <f ca="1">IF(AND($D378="Serviço",AT$12&lt;&gt;0,$H378&gt;0,OR(AUTOEVENTO&lt;&gt;"manual",$M378&lt;&gt;1)),ROUND(OFFSET($P378,0,AT$13),15-13*ORÇAMENTO!$AF$7)/$H378*OFFSET(ORÇAMENTO!$X$15,ROW(AT378)-ROW(AT$15),0),0)</f>
        <v>0</v>
      </c>
      <c r="AU378" s="632">
        <f ca="1">IF(AND($D378="Serviço",AU$12&lt;&gt;0,$H378&gt;0,OR(AUTOEVENTO&lt;&gt;"manual",$M378&lt;&gt;1)),ROUND(OFFSET($P378,0,AU$13),15-13*ORÇAMENTO!$AF$7)/$H378*OFFSET(ORÇAMENTO!$X$15,ROW(AU378)-ROW(AU$15),0),0)</f>
        <v>0</v>
      </c>
      <c r="AV378" s="632">
        <f ca="1">IF(AND($D378="Serviço",AV$12&lt;&gt;0,$H378&gt;0,OR(AUTOEVENTO&lt;&gt;"manual",$M378&lt;&gt;1)),ROUND(OFFSET($P378,0,AV$13),15-13*ORÇAMENTO!$AF$7)/$H378*OFFSET(ORÇAMENTO!$X$15,ROW(AV378)-ROW(AV$15),0),0)</f>
        <v>0</v>
      </c>
      <c r="AW378" s="632">
        <f ca="1">IF(AND($D378="Serviço",AW$12&lt;&gt;0,$H378&gt;0,OR(AUTOEVENTO&lt;&gt;"manual",$M378&lt;&gt;1)),ROUND(OFFSET($P378,0,AW$13),15-13*ORÇAMENTO!$AF$7)/$H378*OFFSET(ORÇAMENTO!$X$15,ROW(AW378)-ROW(AW$15),0),0)</f>
        <v>0</v>
      </c>
      <c r="AX378" s="632">
        <f ca="1">IF(AND($D378="Serviço",AX$12&lt;&gt;0,$H378&gt;0,OR(AUTOEVENTO&lt;&gt;"manual",$M378&lt;&gt;1)),ROUND(OFFSET($P378,0,AX$13),15-13*ORÇAMENTO!$AF$7)/$H378*OFFSET(ORÇAMENTO!$X$15,ROW(AX378)-ROW(AX$15),0),0)</f>
        <v>0</v>
      </c>
      <c r="AY378" s="632">
        <f ca="1">IF(AND($D378="Serviço",AY$12&lt;&gt;0,$H378&gt;0,OR(AUTOEVENTO&lt;&gt;"manual",$M378&lt;&gt;1)),ROUND(OFFSET($P378,0,AY$13),15-13*ORÇAMENTO!$AF$7)/$H378*OFFSET(ORÇAMENTO!$X$15,ROW(AY378)-ROW(AY$15),0),0)</f>
        <v>0</v>
      </c>
      <c r="AZ378" s="632">
        <f ca="1">IF(AND($D378="Serviço",AZ$12&lt;&gt;0,$H378&gt;0,OR(AUTOEVENTO&lt;&gt;"manual",$M378&lt;&gt;1)),ROUND(OFFSET($P378,0,AZ$13),15-13*ORÇAMENTO!$AF$7)/$H378*OFFSET(ORÇAMENTO!$X$15,ROW(AZ378)-ROW(AZ$15),0),0)</f>
        <v>0</v>
      </c>
      <c r="BA378" s="633">
        <f ca="1">IF(AND($D378="Serviço",BA$12&lt;&gt;0,$H378&gt;0,OR(AUTOEVENTO&lt;&gt;"manual",$M378&lt;&gt;1)),ROUND(OFFSET($P378,0,BA$13),15-13*ORÇAMENTO!$AF$7)/$H378*OFFSET(ORÇAMENTO!$X$15,ROW(BA378)-ROW(BA$15),0),0)</f>
        <v>0</v>
      </c>
      <c r="BC378" s="215">
        <f ca="1">IF($D378&lt;&gt;"Serviço",0,IF(AND(AUTOEVENTO="Manual",$M378=1),0,IF(OFFSET(CRONOPLE!$F$14,$M378,BC$13)="",10^12,OFFSET(CRONOPLE!$F$14,$M378,BC$13))))</f>
        <v>1000000000000</v>
      </c>
      <c r="BD378" s="215">
        <f ca="1">IF($D378&lt;&gt;"Serviço",0,IF(AND(AUTOEVENTO="Manual",$M378=1),0,IF(OFFSET(CRONOPLE!$F$14,$M378,BD$13)="",10^12,OFFSET(CRONOPLE!$F$14,$M378,BD$13))))</f>
        <v>1000000000000</v>
      </c>
      <c r="BE378" s="215">
        <f ca="1">IF($D378&lt;&gt;"Serviço",0,IF(AND(AUTOEVENTO="Manual",$M378=1),0,IF(OFFSET(CRONOPLE!$F$14,$M378,BE$13)="",10^12,OFFSET(CRONOPLE!$F$14,$M378,BE$13))))</f>
        <v>1000000000000</v>
      </c>
      <c r="BF378" s="215">
        <f ca="1">IF($D378&lt;&gt;"Serviço",0,IF(AND(AUTOEVENTO="Manual",$M378=1),0,IF(OFFSET(CRONOPLE!$F$14,$M378,BF$13)="",10^12,OFFSET(CRONOPLE!$F$14,$M378,BF$13))))</f>
        <v>1000000000000</v>
      </c>
      <c r="BG378" s="215">
        <f ca="1">IF($D378&lt;&gt;"Serviço",0,IF(AND(AUTOEVENTO="Manual",$M378=1),0,IF(OFFSET(CRONOPLE!$F$14,$M378,BG$13)="",10^12,OFFSET(CRONOPLE!$F$14,$M378,BG$13))))</f>
        <v>1000000000000</v>
      </c>
      <c r="BH378" s="215">
        <f ca="1">IF($D378&lt;&gt;"Serviço",0,IF(AND(AUTOEVENTO="Manual",$M378=1),0,IF(OFFSET(CRONOPLE!$F$14,$M378,BH$13)="",10^12,OFFSET(CRONOPLE!$F$14,$M378,BH$13))))</f>
        <v>1000000000000</v>
      </c>
      <c r="BI378" s="215">
        <f ca="1">IF($D378&lt;&gt;"Serviço",0,IF(AND(AUTOEVENTO="Manual",$M378=1),0,IF(OFFSET(CRONOPLE!$F$14,$M378,BI$13)="",10^12,OFFSET(CRONOPLE!$F$14,$M378,BI$13))))</f>
        <v>1000000000000</v>
      </c>
      <c r="BJ378" s="215">
        <f ca="1">IF($D378&lt;&gt;"Serviço",0,IF(AND(AUTOEVENTO="Manual",$M378=1),0,IF(OFFSET(CRONOPLE!$F$14,$M378,BJ$13)="",10^12,OFFSET(CRONOPLE!$F$14,$M378,BJ$13))))</f>
        <v>1000000000000</v>
      </c>
      <c r="BK378" s="215">
        <f ca="1">IF($D378&lt;&gt;"Serviço",0,IF(AND(AUTOEVENTO="Manual",$M378=1),0,IF(OFFSET(CRONOPLE!$F$14,$M378,BK$13)="",10^12,OFFSET(CRONOPLE!$F$14,$M378,BK$13))))</f>
        <v>1000000000000</v>
      </c>
      <c r="BL378" s="215">
        <f ca="1">IF($D378&lt;&gt;"Serviço",0,IF(AND(AUTOEVENTO="Manual",$M378=1),0,IF(OFFSET(CRONOPLE!$F$14,$M378,BL$13)="",10^12,OFFSET(CRONOPLE!$F$14,$M378,BL$13))))</f>
        <v>1000000000000</v>
      </c>
      <c r="BM378" s="215">
        <f ca="1">IF($D378&lt;&gt;"Serviço",0,IF(AND(AUTOEVENTO="Manual",$M378=1),0,IF(OFFSET(CRONOPLE!$F$14,$M378,BM$13)="",10^12,OFFSET(CRONOPLE!$F$14,$M378,BM$13))))</f>
        <v>1000000000000</v>
      </c>
      <c r="BN378" s="215">
        <f ca="1">IF($D378&lt;&gt;"Serviço",0,IF(AND(AUTOEVENTO="Manual",$M378=1),0,IF(OFFSET(CRONOPLE!$F$14,$M378,BN$13)="",10^12,OFFSET(CRONOPLE!$F$14,$M378,BN$13))))</f>
        <v>1000000000000</v>
      </c>
      <c r="BO378" s="215">
        <f ca="1">IF($D378&lt;&gt;"Serviço",0,IF(AND(AUTOEVENTO="Manual",$M378=1),0,IF(OFFSET(CRONOPLE!$F$14,$M378,BO$13)="",10^12,OFFSET(CRONOPLE!$F$14,$M378,BO$13))))</f>
        <v>1000000000000</v>
      </c>
      <c r="BP378" s="215">
        <f ca="1">IF($D378&lt;&gt;"Serviço",0,IF(AND(AUTOEVENTO="Manual",$M378=1),0,IF(OFFSET(CRONOPLE!$F$14,$M378,BP$13)="",10^12,OFFSET(CRONOPLE!$F$14,$M378,BP$13))))</f>
        <v>1000000000000</v>
      </c>
      <c r="BQ378" s="215">
        <f ca="1">IF($D378&lt;&gt;"Serviço",0,IF(AND(AUTOEVENTO="Manual",$M378=1),0,IF(OFFSET(CRONOPLE!$F$14,$M378,BQ$13)="",10^12,OFFSET(CRONOPLE!$F$14,$M378,BQ$13))))</f>
        <v>1000000000000</v>
      </c>
      <c r="BR378" s="215">
        <f ca="1">IF($D378&lt;&gt;"Serviço",0,IF(AND(AUTOEVENTO="Manual",$M378=1),0,IF(OFFSET(CRONOPLE!$F$14,$M378,BR$13)="",10^12,OFFSET(CRONOPLE!$F$14,$M378,BR$13))))</f>
        <v>1000000000000</v>
      </c>
      <c r="BS378" s="215">
        <f ca="1">IF($D378&lt;&gt;"Serviço",0,IF(AND(AUTOEVENTO="Manual",$M378=1),0,IF(OFFSET(CRONOPLE!$F$14,$M378,BS$13)="",10^12,OFFSET(CRONOPLE!$F$14,$M378,BS$13))))</f>
        <v>1000000000000</v>
      </c>
      <c r="BT378" s="215">
        <f ca="1">IF($D378&lt;&gt;"Serviço",0,IF(AND(AUTOEVENTO="Manual",$M378=1),0,IF(OFFSET(CRONOPLE!$F$14,$M378,BT$13)="",10^12,OFFSET(CRONOPLE!$F$14,$M378,BT$13))))</f>
        <v>1000000000000</v>
      </c>
      <c r="BV378" s="216">
        <f ca="1">IF($D378&lt;&gt;"Serviço",0,IF(OR(AND(AUTOEVENTO="Manual",$M378=1),$M378&gt;(ROW(PLE.lastrow)-ROW(PLE.firstrow))),0,IF(OFFSET(PLE!$G$14,$M378,BV$13)="",10^12,OFFSET(PLE!$G$14,$M378,BV$13))))</f>
        <v>1000000000000</v>
      </c>
      <c r="BW378" s="216">
        <f ca="1">IF($D378&lt;&gt;"Serviço",0,IF(OR(AND(AUTOEVENTO="Manual",$M378=1),$M378&gt;(ROW(PLE.lastrow)-ROW(PLE.firstrow))),0,IF(OFFSET(PLE!$G$14,$M378,BW$13)="",10^12,OFFSET(PLE!$G$14,$M378,BW$13))))</f>
        <v>1000000000000</v>
      </c>
      <c r="BX378" s="216">
        <f ca="1">IF($D378&lt;&gt;"Serviço",0,IF(OR(AND(AUTOEVENTO="Manual",$M378=1),$M378&gt;(ROW(PLE.lastrow)-ROW(PLE.firstrow))),0,IF(OFFSET(PLE!$G$14,$M378,BX$13)="",10^12,OFFSET(PLE!$G$14,$M378,BX$13))))</f>
        <v>1000000000000</v>
      </c>
      <c r="BY378" s="216">
        <f ca="1">IF($D378&lt;&gt;"Serviço",0,IF(OR(AND(AUTOEVENTO="Manual",$M378=1),$M378&gt;(ROW(PLE.lastrow)-ROW(PLE.firstrow))),0,IF(OFFSET(PLE!$G$14,$M378,BY$13)="",10^12,OFFSET(PLE!$G$14,$M378,BY$13))))</f>
        <v>1000000000000</v>
      </c>
      <c r="BZ378" s="216">
        <f ca="1">IF($D378&lt;&gt;"Serviço",0,IF(OR(AND(AUTOEVENTO="Manual",$M378=1),$M378&gt;(ROW(PLE.lastrow)-ROW(PLE.firstrow))),0,IF(OFFSET(PLE!$G$14,$M378,BZ$13)="",10^12,OFFSET(PLE!$G$14,$M378,BZ$13))))</f>
        <v>1000000000000</v>
      </c>
      <c r="CA378" s="216">
        <f ca="1">IF($D378&lt;&gt;"Serviço",0,IF(OR(AND(AUTOEVENTO="Manual",$M378=1),$M378&gt;(ROW(PLE.lastrow)-ROW(PLE.firstrow))),0,IF(OFFSET(PLE!$G$14,$M378,CA$13)="",10^12,OFFSET(PLE!$G$14,$M378,CA$13))))</f>
        <v>1000000000000</v>
      </c>
      <c r="CB378" s="216">
        <f ca="1">IF($D378&lt;&gt;"Serviço",0,IF(OR(AND(AUTOEVENTO="Manual",$M378=1),$M378&gt;(ROW(PLE.lastrow)-ROW(PLE.firstrow))),0,IF(OFFSET(PLE!$G$14,$M378,CB$13)="",10^12,OFFSET(PLE!$G$14,$M378,CB$13))))</f>
        <v>1000000000000</v>
      </c>
      <c r="CC378" s="216">
        <f ca="1">IF($D378&lt;&gt;"Serviço",0,IF(OR(AND(AUTOEVENTO="Manual",$M378=1),$M378&gt;(ROW(PLE.lastrow)-ROW(PLE.firstrow))),0,IF(OFFSET(PLE!$G$14,$M378,CC$13)="",10^12,OFFSET(PLE!$G$14,$M378,CC$13))))</f>
        <v>1000000000000</v>
      </c>
      <c r="CD378" s="216">
        <f ca="1">IF($D378&lt;&gt;"Serviço",0,IF(OR(AND(AUTOEVENTO="Manual",$M378=1),$M378&gt;(ROW(PLE.lastrow)-ROW(PLE.firstrow))),0,IF(OFFSET(PLE!$G$14,$M378,CD$13)="",10^12,OFFSET(PLE!$G$14,$M378,CD$13))))</f>
        <v>1000000000000</v>
      </c>
      <c r="CE378" s="216">
        <f ca="1">IF($D378&lt;&gt;"Serviço",0,IF(OR(AND(AUTOEVENTO="Manual",$M378=1),$M378&gt;(ROW(PLE.lastrow)-ROW(PLE.firstrow))),0,IF(OFFSET(PLE!$G$14,$M378,CE$13)="",10^12,OFFSET(PLE!$G$14,$M378,CE$13))))</f>
        <v>1000000000000</v>
      </c>
      <c r="CF378" s="216">
        <f ca="1">IF($D378&lt;&gt;"Serviço",0,IF(OR(AND(AUTOEVENTO="Manual",$M378=1),$M378&gt;(ROW(PLE.lastrow)-ROW(PLE.firstrow))),0,IF(OFFSET(PLE!$G$14,$M378,CF$13)="",10^12,OFFSET(PLE!$G$14,$M378,CF$13))))</f>
        <v>1000000000000</v>
      </c>
      <c r="CG378" s="216">
        <f ca="1">IF($D378&lt;&gt;"Serviço",0,IF(OR(AND(AUTOEVENTO="Manual",$M378=1),$M378&gt;(ROW(PLE.lastrow)-ROW(PLE.firstrow))),0,IF(OFFSET(PLE!$G$14,$M378,CG$13)="",10^12,OFFSET(PLE!$G$14,$M378,CG$13))))</f>
        <v>1000000000000</v>
      </c>
      <c r="CH378" s="216">
        <f ca="1">IF($D378&lt;&gt;"Serviço",0,IF(OR(AND(AUTOEVENTO="Manual",$M378=1),$M378&gt;(ROW(PLE.lastrow)-ROW(PLE.firstrow))),0,IF(OFFSET(PLE!$G$14,$M378,CH$13)="",10^12,OFFSET(PLE!$G$14,$M378,CH$13))))</f>
        <v>1000000000000</v>
      </c>
      <c r="CI378" s="216">
        <f ca="1">IF($D378&lt;&gt;"Serviço",0,IF(OR(AND(AUTOEVENTO="Manual",$M378=1),$M378&gt;(ROW(PLE.lastrow)-ROW(PLE.firstrow))),0,IF(OFFSET(PLE!$G$14,$M378,CI$13)="",10^12,OFFSET(PLE!$G$14,$M378,CI$13))))</f>
        <v>1000000000000</v>
      </c>
      <c r="CJ378" s="216">
        <f ca="1">IF($D378&lt;&gt;"Serviço",0,IF(OR(AND(AUTOEVENTO="Manual",$M378=1),$M378&gt;(ROW(PLE.lastrow)-ROW(PLE.firstrow))),0,IF(OFFSET(PLE!$G$14,$M378,CJ$13)="",10^12,OFFSET(PLE!$G$14,$M378,CJ$13))))</f>
        <v>1000000000000</v>
      </c>
      <c r="CK378" s="216">
        <f ca="1">IF($D378&lt;&gt;"Serviço",0,IF(OR(AND(AUTOEVENTO="Manual",$M378=1),$M378&gt;(ROW(PLE.lastrow)-ROW(PLE.firstrow))),0,IF(OFFSET(PLE!$G$14,$M378,CK$13)="",10^12,OFFSET(PLE!$G$14,$M378,CK$13))))</f>
        <v>1000000000000</v>
      </c>
      <c r="CL378" s="216">
        <f ca="1">IF($D378&lt;&gt;"Serviço",0,IF(OR(AND(AUTOEVENTO="Manual",$M378=1),$M378&gt;(ROW(PLE.lastrow)-ROW(PLE.firstrow))),0,IF(OFFSET(PLE!$G$14,$M378,CL$13)="",10^12,OFFSET(PLE!$G$14,$M378,CL$13))))</f>
        <v>1000000000000</v>
      </c>
      <c r="CM378" s="216">
        <f ca="1">IF($D378&lt;&gt;"Serviço",0,IF(OR(AND(AUTOEVENTO="Manual",$M378=1),$M378&gt;(ROW(PLE.lastrow)-ROW(PLE.firstrow))),0,IF(OFFSET(PLE!$G$14,$M378,CM$13)="",10^12,OFFSET(PLE!$G$14,$M378,CM$13))))</f>
        <v>1000000000000</v>
      </c>
    </row>
    <row r="379" spans="1:91" ht="13.2" x14ac:dyDescent="0.25">
      <c r="A379" s="9">
        <f t="shared" ca="1" si="14"/>
        <v>0</v>
      </c>
      <c r="B379" s="9" t="str">
        <f ca="1">OFFSET(ORÇAMENTO!C$15,ROW(B379)-ROW(B$15),0)</f>
        <v>S</v>
      </c>
      <c r="C379" s="9" t="str">
        <f ca="1">OFFSET(ORÇAMENTO!L$15,ROW(C379)-ROW(C$15),0)</f>
        <v/>
      </c>
      <c r="D379" s="145" t="str">
        <f ca="1">OFFSET(ORÇAMENTO!N$15,ROW(D379)-ROW(D$15),0)</f>
        <v>Serviço</v>
      </c>
      <c r="E379" s="205" t="str">
        <f ca="1">OFFSET(ORÇAMENTO!O$15,ROW(E379)-ROW(E$15),0)</f>
        <v>-</v>
      </c>
      <c r="F379" s="206" t="str">
        <f ca="1">OFFSET(ORÇAMENTO!R$15,ROW(F379)-ROW(F$15),0)</f>
        <v>(abra o arquivo 'Referência 05-2024.xls)</v>
      </c>
      <c r="G379" s="207" t="str">
        <f ca="1">IF($D379&lt;&gt;"Serviço","",OFFSET(ORÇAMENTO!S$15,ROW(G379)-ROW(G$15),0))</f>
        <v>-</v>
      </c>
      <c r="H379" s="151">
        <f ca="1">IF($D379&lt;&gt;"Serviço",0,IF(ACOMPANHAMENTO="BM",ROUND(OFFSET(ORÇAMENTO!AJ$15,ROW(H379)-ROW(H$15),0),15-13*ORÇAMENTO!$AF$7),SUMPRODUCT(($Q$12:$AI$12&lt;&gt;"")*ROUND($Q379:$AI379,15-13*ORÇAMENTO!$AF$7))))</f>
        <v>129</v>
      </c>
      <c r="I379" s="650"/>
      <c r="K379" s="208"/>
      <c r="L379" s="209" t="s">
        <v>257</v>
      </c>
      <c r="M379" s="210">
        <f ca="1">IF($D379&lt;&gt;"Serviço","",IF(AUTOEVENTO="manual",$A379,IF(ISERROR(MATCH($A379,$A$15:OFFSET($A379,-1,0),0)),MAX($M$15:OFFSET(M379,-1,0))+1,INDEX($M$15:OFFSET(M379,-1,0),MATCH($A379,$A$15:OFFSET($A379,-1,0),0)))))</f>
        <v>0</v>
      </c>
      <c r="N379" s="211" t="str">
        <f ca="1">IF($D379&lt;&gt;"Serviço","",IF(AUTOEVENTO="Manual",IF($A379=0,"&lt;-- defina o número do agrupador",OFFSET(EVENTOS!$D$14,$A379,0)),OFFSET($F$15,$A379,0)))</f>
        <v>&lt;-- defina o número do agrupador</v>
      </c>
      <c r="O379" s="212"/>
      <c r="Q379" s="212"/>
      <c r="R379" s="213"/>
      <c r="S379" s="213"/>
      <c r="T379" s="213"/>
      <c r="U379" s="213"/>
      <c r="V379" s="213"/>
      <c r="W379" s="213"/>
      <c r="X379" s="213"/>
      <c r="Y379" s="213"/>
      <c r="Z379" s="214"/>
      <c r="AA379" s="213"/>
      <c r="AB379" s="213"/>
      <c r="AC379" s="213"/>
      <c r="AD379" s="213"/>
      <c r="AE379" s="213"/>
      <c r="AF379" s="213"/>
      <c r="AG379" s="213"/>
      <c r="AH379" s="214"/>
      <c r="AJ379" s="631">
        <f ca="1">IF(AND($D379="Serviço",AJ$12&lt;&gt;0,$H379&gt;0,OR(AUTOEVENTO&lt;&gt;"manual",$M379&lt;&gt;1)),ROUND(OFFSET($P379,0,AJ$13),15-13*ORÇAMENTO!$AF$7)/$H379*OFFSET(ORÇAMENTO!$X$15,ROW(AJ379)-ROW(AJ$15),0),0)</f>
        <v>0</v>
      </c>
      <c r="AK379" s="632">
        <f ca="1">IF(AND($D379="Serviço",AK$12&lt;&gt;0,$H379&gt;0,OR(AUTOEVENTO&lt;&gt;"manual",$M379&lt;&gt;1)),ROUND(OFFSET($P379,0,AK$13),15-13*ORÇAMENTO!$AF$7)/$H379*OFFSET(ORÇAMENTO!$X$15,ROW(AK379)-ROW(AK$15),0),0)</f>
        <v>0</v>
      </c>
      <c r="AL379" s="632">
        <f ca="1">IF(AND($D379="Serviço",AL$12&lt;&gt;0,$H379&gt;0,OR(AUTOEVENTO&lt;&gt;"manual",$M379&lt;&gt;1)),ROUND(OFFSET($P379,0,AL$13),15-13*ORÇAMENTO!$AF$7)/$H379*OFFSET(ORÇAMENTO!$X$15,ROW(AL379)-ROW(AL$15),0),0)</f>
        <v>0</v>
      </c>
      <c r="AM379" s="632">
        <f ca="1">IF(AND($D379="Serviço",AM$12&lt;&gt;0,$H379&gt;0,OR(AUTOEVENTO&lt;&gt;"manual",$M379&lt;&gt;1)),ROUND(OFFSET($P379,0,AM$13),15-13*ORÇAMENTO!$AF$7)/$H379*OFFSET(ORÇAMENTO!$X$15,ROW(AM379)-ROW(AM$15),0),0)</f>
        <v>0</v>
      </c>
      <c r="AN379" s="632">
        <f ca="1">IF(AND($D379="Serviço",AN$12&lt;&gt;0,$H379&gt;0,OR(AUTOEVENTO&lt;&gt;"manual",$M379&lt;&gt;1)),ROUND(OFFSET($P379,0,AN$13),15-13*ORÇAMENTO!$AF$7)/$H379*OFFSET(ORÇAMENTO!$X$15,ROW(AN379)-ROW(AN$15),0),0)</f>
        <v>0</v>
      </c>
      <c r="AO379" s="632">
        <f ca="1">IF(AND($D379="Serviço",AO$12&lt;&gt;0,$H379&gt;0,OR(AUTOEVENTO&lt;&gt;"manual",$M379&lt;&gt;1)),ROUND(OFFSET($P379,0,AO$13),15-13*ORÇAMENTO!$AF$7)/$H379*OFFSET(ORÇAMENTO!$X$15,ROW(AO379)-ROW(AO$15),0),0)</f>
        <v>0</v>
      </c>
      <c r="AP379" s="632">
        <f ca="1">IF(AND($D379="Serviço",AP$12&lt;&gt;0,$H379&gt;0,OR(AUTOEVENTO&lt;&gt;"manual",$M379&lt;&gt;1)),ROUND(OFFSET($P379,0,AP$13),15-13*ORÇAMENTO!$AF$7)/$H379*OFFSET(ORÇAMENTO!$X$15,ROW(AP379)-ROW(AP$15),0),0)</f>
        <v>0</v>
      </c>
      <c r="AQ379" s="632">
        <f ca="1">IF(AND($D379="Serviço",AQ$12&lt;&gt;0,$H379&gt;0,OR(AUTOEVENTO&lt;&gt;"manual",$M379&lt;&gt;1)),ROUND(OFFSET($P379,0,AQ$13),15-13*ORÇAMENTO!$AF$7)/$H379*OFFSET(ORÇAMENTO!$X$15,ROW(AQ379)-ROW(AQ$15),0),0)</f>
        <v>0</v>
      </c>
      <c r="AR379" s="632">
        <f ca="1">IF(AND($D379="Serviço",AR$12&lt;&gt;0,$H379&gt;0,OR(AUTOEVENTO&lt;&gt;"manual",$M379&lt;&gt;1)),ROUND(OFFSET($P379,0,AR$13),15-13*ORÇAMENTO!$AF$7)/$H379*OFFSET(ORÇAMENTO!$X$15,ROW(AR379)-ROW(AR$15),0),0)</f>
        <v>0</v>
      </c>
      <c r="AS379" s="633">
        <f ca="1">IF(AND($D379="Serviço",AS$12&lt;&gt;0,$H379&gt;0,OR(AUTOEVENTO&lt;&gt;"manual",$M379&lt;&gt;1)),ROUND(OFFSET($P379,0,AS$13),15-13*ORÇAMENTO!$AF$7)/$H379*OFFSET(ORÇAMENTO!$X$15,ROW(AS379)-ROW(AS$15),0),0)</f>
        <v>0</v>
      </c>
      <c r="AT379" s="632">
        <f ca="1">IF(AND($D379="Serviço",AT$12&lt;&gt;0,$H379&gt;0,OR(AUTOEVENTO&lt;&gt;"manual",$M379&lt;&gt;1)),ROUND(OFFSET($P379,0,AT$13),15-13*ORÇAMENTO!$AF$7)/$H379*OFFSET(ORÇAMENTO!$X$15,ROW(AT379)-ROW(AT$15),0),0)</f>
        <v>0</v>
      </c>
      <c r="AU379" s="632">
        <f ca="1">IF(AND($D379="Serviço",AU$12&lt;&gt;0,$H379&gt;0,OR(AUTOEVENTO&lt;&gt;"manual",$M379&lt;&gt;1)),ROUND(OFFSET($P379,0,AU$13),15-13*ORÇAMENTO!$AF$7)/$H379*OFFSET(ORÇAMENTO!$X$15,ROW(AU379)-ROW(AU$15),0),0)</f>
        <v>0</v>
      </c>
      <c r="AV379" s="632">
        <f ca="1">IF(AND($D379="Serviço",AV$12&lt;&gt;0,$H379&gt;0,OR(AUTOEVENTO&lt;&gt;"manual",$M379&lt;&gt;1)),ROUND(OFFSET($P379,0,AV$13),15-13*ORÇAMENTO!$AF$7)/$H379*OFFSET(ORÇAMENTO!$X$15,ROW(AV379)-ROW(AV$15),0),0)</f>
        <v>0</v>
      </c>
      <c r="AW379" s="632">
        <f ca="1">IF(AND($D379="Serviço",AW$12&lt;&gt;0,$H379&gt;0,OR(AUTOEVENTO&lt;&gt;"manual",$M379&lt;&gt;1)),ROUND(OFFSET($P379,0,AW$13),15-13*ORÇAMENTO!$AF$7)/$H379*OFFSET(ORÇAMENTO!$X$15,ROW(AW379)-ROW(AW$15),0),0)</f>
        <v>0</v>
      </c>
      <c r="AX379" s="632">
        <f ca="1">IF(AND($D379="Serviço",AX$12&lt;&gt;0,$H379&gt;0,OR(AUTOEVENTO&lt;&gt;"manual",$M379&lt;&gt;1)),ROUND(OFFSET($P379,0,AX$13),15-13*ORÇAMENTO!$AF$7)/$H379*OFFSET(ORÇAMENTO!$X$15,ROW(AX379)-ROW(AX$15),0),0)</f>
        <v>0</v>
      </c>
      <c r="AY379" s="632">
        <f ca="1">IF(AND($D379="Serviço",AY$12&lt;&gt;0,$H379&gt;0,OR(AUTOEVENTO&lt;&gt;"manual",$M379&lt;&gt;1)),ROUND(OFFSET($P379,0,AY$13),15-13*ORÇAMENTO!$AF$7)/$H379*OFFSET(ORÇAMENTO!$X$15,ROW(AY379)-ROW(AY$15),0),0)</f>
        <v>0</v>
      </c>
      <c r="AZ379" s="632">
        <f ca="1">IF(AND($D379="Serviço",AZ$12&lt;&gt;0,$H379&gt;0,OR(AUTOEVENTO&lt;&gt;"manual",$M379&lt;&gt;1)),ROUND(OFFSET($P379,0,AZ$13),15-13*ORÇAMENTO!$AF$7)/$H379*OFFSET(ORÇAMENTO!$X$15,ROW(AZ379)-ROW(AZ$15),0),0)</f>
        <v>0</v>
      </c>
      <c r="BA379" s="633">
        <f ca="1">IF(AND($D379="Serviço",BA$12&lt;&gt;0,$H379&gt;0,OR(AUTOEVENTO&lt;&gt;"manual",$M379&lt;&gt;1)),ROUND(OFFSET($P379,0,BA$13),15-13*ORÇAMENTO!$AF$7)/$H379*OFFSET(ORÇAMENTO!$X$15,ROW(BA379)-ROW(BA$15),0),0)</f>
        <v>0</v>
      </c>
      <c r="BC379" s="215">
        <f ca="1">IF($D379&lt;&gt;"Serviço",0,IF(AND(AUTOEVENTO="Manual",$M379=1),0,IF(OFFSET(CRONOPLE!$F$14,$M379,BC$13)="",10^12,OFFSET(CRONOPLE!$F$14,$M379,BC$13))))</f>
        <v>1000000000000</v>
      </c>
      <c r="BD379" s="215">
        <f ca="1">IF($D379&lt;&gt;"Serviço",0,IF(AND(AUTOEVENTO="Manual",$M379=1),0,IF(OFFSET(CRONOPLE!$F$14,$M379,BD$13)="",10^12,OFFSET(CRONOPLE!$F$14,$M379,BD$13))))</f>
        <v>1000000000000</v>
      </c>
      <c r="BE379" s="215">
        <f ca="1">IF($D379&lt;&gt;"Serviço",0,IF(AND(AUTOEVENTO="Manual",$M379=1),0,IF(OFFSET(CRONOPLE!$F$14,$M379,BE$13)="",10^12,OFFSET(CRONOPLE!$F$14,$M379,BE$13))))</f>
        <v>1000000000000</v>
      </c>
      <c r="BF379" s="215">
        <f ca="1">IF($D379&lt;&gt;"Serviço",0,IF(AND(AUTOEVENTO="Manual",$M379=1),0,IF(OFFSET(CRONOPLE!$F$14,$M379,BF$13)="",10^12,OFFSET(CRONOPLE!$F$14,$M379,BF$13))))</f>
        <v>1000000000000</v>
      </c>
      <c r="BG379" s="215">
        <f ca="1">IF($D379&lt;&gt;"Serviço",0,IF(AND(AUTOEVENTO="Manual",$M379=1),0,IF(OFFSET(CRONOPLE!$F$14,$M379,BG$13)="",10^12,OFFSET(CRONOPLE!$F$14,$M379,BG$13))))</f>
        <v>1000000000000</v>
      </c>
      <c r="BH379" s="215">
        <f ca="1">IF($D379&lt;&gt;"Serviço",0,IF(AND(AUTOEVENTO="Manual",$M379=1),0,IF(OFFSET(CRONOPLE!$F$14,$M379,BH$13)="",10^12,OFFSET(CRONOPLE!$F$14,$M379,BH$13))))</f>
        <v>1000000000000</v>
      </c>
      <c r="BI379" s="215">
        <f ca="1">IF($D379&lt;&gt;"Serviço",0,IF(AND(AUTOEVENTO="Manual",$M379=1),0,IF(OFFSET(CRONOPLE!$F$14,$M379,BI$13)="",10^12,OFFSET(CRONOPLE!$F$14,$M379,BI$13))))</f>
        <v>1000000000000</v>
      </c>
      <c r="BJ379" s="215">
        <f ca="1">IF($D379&lt;&gt;"Serviço",0,IF(AND(AUTOEVENTO="Manual",$M379=1),0,IF(OFFSET(CRONOPLE!$F$14,$M379,BJ$13)="",10^12,OFFSET(CRONOPLE!$F$14,$M379,BJ$13))))</f>
        <v>1000000000000</v>
      </c>
      <c r="BK379" s="215">
        <f ca="1">IF($D379&lt;&gt;"Serviço",0,IF(AND(AUTOEVENTO="Manual",$M379=1),0,IF(OFFSET(CRONOPLE!$F$14,$M379,BK$13)="",10^12,OFFSET(CRONOPLE!$F$14,$M379,BK$13))))</f>
        <v>1000000000000</v>
      </c>
      <c r="BL379" s="215">
        <f ca="1">IF($D379&lt;&gt;"Serviço",0,IF(AND(AUTOEVENTO="Manual",$M379=1),0,IF(OFFSET(CRONOPLE!$F$14,$M379,BL$13)="",10^12,OFFSET(CRONOPLE!$F$14,$M379,BL$13))))</f>
        <v>1000000000000</v>
      </c>
      <c r="BM379" s="215">
        <f ca="1">IF($D379&lt;&gt;"Serviço",0,IF(AND(AUTOEVENTO="Manual",$M379=1),0,IF(OFFSET(CRONOPLE!$F$14,$M379,BM$13)="",10^12,OFFSET(CRONOPLE!$F$14,$M379,BM$13))))</f>
        <v>1000000000000</v>
      </c>
      <c r="BN379" s="215">
        <f ca="1">IF($D379&lt;&gt;"Serviço",0,IF(AND(AUTOEVENTO="Manual",$M379=1),0,IF(OFFSET(CRONOPLE!$F$14,$M379,BN$13)="",10^12,OFFSET(CRONOPLE!$F$14,$M379,BN$13))))</f>
        <v>1000000000000</v>
      </c>
      <c r="BO379" s="215">
        <f ca="1">IF($D379&lt;&gt;"Serviço",0,IF(AND(AUTOEVENTO="Manual",$M379=1),0,IF(OFFSET(CRONOPLE!$F$14,$M379,BO$13)="",10^12,OFFSET(CRONOPLE!$F$14,$M379,BO$13))))</f>
        <v>1000000000000</v>
      </c>
      <c r="BP379" s="215">
        <f ca="1">IF($D379&lt;&gt;"Serviço",0,IF(AND(AUTOEVENTO="Manual",$M379=1),0,IF(OFFSET(CRONOPLE!$F$14,$M379,BP$13)="",10^12,OFFSET(CRONOPLE!$F$14,$M379,BP$13))))</f>
        <v>1000000000000</v>
      </c>
      <c r="BQ379" s="215">
        <f ca="1">IF($D379&lt;&gt;"Serviço",0,IF(AND(AUTOEVENTO="Manual",$M379=1),0,IF(OFFSET(CRONOPLE!$F$14,$M379,BQ$13)="",10^12,OFFSET(CRONOPLE!$F$14,$M379,BQ$13))))</f>
        <v>1000000000000</v>
      </c>
      <c r="BR379" s="215">
        <f ca="1">IF($D379&lt;&gt;"Serviço",0,IF(AND(AUTOEVENTO="Manual",$M379=1),0,IF(OFFSET(CRONOPLE!$F$14,$M379,BR$13)="",10^12,OFFSET(CRONOPLE!$F$14,$M379,BR$13))))</f>
        <v>1000000000000</v>
      </c>
      <c r="BS379" s="215">
        <f ca="1">IF($D379&lt;&gt;"Serviço",0,IF(AND(AUTOEVENTO="Manual",$M379=1),0,IF(OFFSET(CRONOPLE!$F$14,$M379,BS$13)="",10^12,OFFSET(CRONOPLE!$F$14,$M379,BS$13))))</f>
        <v>1000000000000</v>
      </c>
      <c r="BT379" s="215">
        <f ca="1">IF($D379&lt;&gt;"Serviço",0,IF(AND(AUTOEVENTO="Manual",$M379=1),0,IF(OFFSET(CRONOPLE!$F$14,$M379,BT$13)="",10^12,OFFSET(CRONOPLE!$F$14,$M379,BT$13))))</f>
        <v>1000000000000</v>
      </c>
      <c r="BV379" s="216">
        <f ca="1">IF($D379&lt;&gt;"Serviço",0,IF(OR(AND(AUTOEVENTO="Manual",$M379=1),$M379&gt;(ROW(PLE.lastrow)-ROW(PLE.firstrow))),0,IF(OFFSET(PLE!$G$14,$M379,BV$13)="",10^12,OFFSET(PLE!$G$14,$M379,BV$13))))</f>
        <v>1000000000000</v>
      </c>
      <c r="BW379" s="216">
        <f ca="1">IF($D379&lt;&gt;"Serviço",0,IF(OR(AND(AUTOEVENTO="Manual",$M379=1),$M379&gt;(ROW(PLE.lastrow)-ROW(PLE.firstrow))),0,IF(OFFSET(PLE!$G$14,$M379,BW$13)="",10^12,OFFSET(PLE!$G$14,$M379,BW$13))))</f>
        <v>1000000000000</v>
      </c>
      <c r="BX379" s="216">
        <f ca="1">IF($D379&lt;&gt;"Serviço",0,IF(OR(AND(AUTOEVENTO="Manual",$M379=1),$M379&gt;(ROW(PLE.lastrow)-ROW(PLE.firstrow))),0,IF(OFFSET(PLE!$G$14,$M379,BX$13)="",10^12,OFFSET(PLE!$G$14,$M379,BX$13))))</f>
        <v>1000000000000</v>
      </c>
      <c r="BY379" s="216">
        <f ca="1">IF($D379&lt;&gt;"Serviço",0,IF(OR(AND(AUTOEVENTO="Manual",$M379=1),$M379&gt;(ROW(PLE.lastrow)-ROW(PLE.firstrow))),0,IF(OFFSET(PLE!$G$14,$M379,BY$13)="",10^12,OFFSET(PLE!$G$14,$M379,BY$13))))</f>
        <v>1000000000000</v>
      </c>
      <c r="BZ379" s="216">
        <f ca="1">IF($D379&lt;&gt;"Serviço",0,IF(OR(AND(AUTOEVENTO="Manual",$M379=1),$M379&gt;(ROW(PLE.lastrow)-ROW(PLE.firstrow))),0,IF(OFFSET(PLE!$G$14,$M379,BZ$13)="",10^12,OFFSET(PLE!$G$14,$M379,BZ$13))))</f>
        <v>1000000000000</v>
      </c>
      <c r="CA379" s="216">
        <f ca="1">IF($D379&lt;&gt;"Serviço",0,IF(OR(AND(AUTOEVENTO="Manual",$M379=1),$M379&gt;(ROW(PLE.lastrow)-ROW(PLE.firstrow))),0,IF(OFFSET(PLE!$G$14,$M379,CA$13)="",10^12,OFFSET(PLE!$G$14,$M379,CA$13))))</f>
        <v>1000000000000</v>
      </c>
      <c r="CB379" s="216">
        <f ca="1">IF($D379&lt;&gt;"Serviço",0,IF(OR(AND(AUTOEVENTO="Manual",$M379=1),$M379&gt;(ROW(PLE.lastrow)-ROW(PLE.firstrow))),0,IF(OFFSET(PLE!$G$14,$M379,CB$13)="",10^12,OFFSET(PLE!$G$14,$M379,CB$13))))</f>
        <v>1000000000000</v>
      </c>
      <c r="CC379" s="216">
        <f ca="1">IF($D379&lt;&gt;"Serviço",0,IF(OR(AND(AUTOEVENTO="Manual",$M379=1),$M379&gt;(ROW(PLE.lastrow)-ROW(PLE.firstrow))),0,IF(OFFSET(PLE!$G$14,$M379,CC$13)="",10^12,OFFSET(PLE!$G$14,$M379,CC$13))))</f>
        <v>1000000000000</v>
      </c>
      <c r="CD379" s="216">
        <f ca="1">IF($D379&lt;&gt;"Serviço",0,IF(OR(AND(AUTOEVENTO="Manual",$M379=1),$M379&gt;(ROW(PLE.lastrow)-ROW(PLE.firstrow))),0,IF(OFFSET(PLE!$G$14,$M379,CD$13)="",10^12,OFFSET(PLE!$G$14,$M379,CD$13))))</f>
        <v>1000000000000</v>
      </c>
      <c r="CE379" s="216">
        <f ca="1">IF($D379&lt;&gt;"Serviço",0,IF(OR(AND(AUTOEVENTO="Manual",$M379=1),$M379&gt;(ROW(PLE.lastrow)-ROW(PLE.firstrow))),0,IF(OFFSET(PLE!$G$14,$M379,CE$13)="",10^12,OFFSET(PLE!$G$14,$M379,CE$13))))</f>
        <v>1000000000000</v>
      </c>
      <c r="CF379" s="216">
        <f ca="1">IF($D379&lt;&gt;"Serviço",0,IF(OR(AND(AUTOEVENTO="Manual",$M379=1),$M379&gt;(ROW(PLE.lastrow)-ROW(PLE.firstrow))),0,IF(OFFSET(PLE!$G$14,$M379,CF$13)="",10^12,OFFSET(PLE!$G$14,$M379,CF$13))))</f>
        <v>1000000000000</v>
      </c>
      <c r="CG379" s="216">
        <f ca="1">IF($D379&lt;&gt;"Serviço",0,IF(OR(AND(AUTOEVENTO="Manual",$M379=1),$M379&gt;(ROW(PLE.lastrow)-ROW(PLE.firstrow))),0,IF(OFFSET(PLE!$G$14,$M379,CG$13)="",10^12,OFFSET(PLE!$G$14,$M379,CG$13))))</f>
        <v>1000000000000</v>
      </c>
      <c r="CH379" s="216">
        <f ca="1">IF($D379&lt;&gt;"Serviço",0,IF(OR(AND(AUTOEVENTO="Manual",$M379=1),$M379&gt;(ROW(PLE.lastrow)-ROW(PLE.firstrow))),0,IF(OFFSET(PLE!$G$14,$M379,CH$13)="",10^12,OFFSET(PLE!$G$14,$M379,CH$13))))</f>
        <v>1000000000000</v>
      </c>
      <c r="CI379" s="216">
        <f ca="1">IF($D379&lt;&gt;"Serviço",0,IF(OR(AND(AUTOEVENTO="Manual",$M379=1),$M379&gt;(ROW(PLE.lastrow)-ROW(PLE.firstrow))),0,IF(OFFSET(PLE!$G$14,$M379,CI$13)="",10^12,OFFSET(PLE!$G$14,$M379,CI$13))))</f>
        <v>1000000000000</v>
      </c>
      <c r="CJ379" s="216">
        <f ca="1">IF($D379&lt;&gt;"Serviço",0,IF(OR(AND(AUTOEVENTO="Manual",$M379=1),$M379&gt;(ROW(PLE.lastrow)-ROW(PLE.firstrow))),0,IF(OFFSET(PLE!$G$14,$M379,CJ$13)="",10^12,OFFSET(PLE!$G$14,$M379,CJ$13))))</f>
        <v>1000000000000</v>
      </c>
      <c r="CK379" s="216">
        <f ca="1">IF($D379&lt;&gt;"Serviço",0,IF(OR(AND(AUTOEVENTO="Manual",$M379=1),$M379&gt;(ROW(PLE.lastrow)-ROW(PLE.firstrow))),0,IF(OFFSET(PLE!$G$14,$M379,CK$13)="",10^12,OFFSET(PLE!$G$14,$M379,CK$13))))</f>
        <v>1000000000000</v>
      </c>
      <c r="CL379" s="216">
        <f ca="1">IF($D379&lt;&gt;"Serviço",0,IF(OR(AND(AUTOEVENTO="Manual",$M379=1),$M379&gt;(ROW(PLE.lastrow)-ROW(PLE.firstrow))),0,IF(OFFSET(PLE!$G$14,$M379,CL$13)="",10^12,OFFSET(PLE!$G$14,$M379,CL$13))))</f>
        <v>1000000000000</v>
      </c>
      <c r="CM379" s="216">
        <f ca="1">IF($D379&lt;&gt;"Serviço",0,IF(OR(AND(AUTOEVENTO="Manual",$M379=1),$M379&gt;(ROW(PLE.lastrow)-ROW(PLE.firstrow))),0,IF(OFFSET(PLE!$G$14,$M379,CM$13)="",10^12,OFFSET(PLE!$G$14,$M379,CM$13))))</f>
        <v>1000000000000</v>
      </c>
    </row>
    <row r="380" spans="1:91" ht="13.2" x14ac:dyDescent="0.25">
      <c r="A380" s="9">
        <f t="shared" ca="1" si="14"/>
        <v>0</v>
      </c>
      <c r="B380" s="9" t="str">
        <f ca="1">OFFSET(ORÇAMENTO!C$15,ROW(B380)-ROW(B$15),0)</f>
        <v>S</v>
      </c>
      <c r="C380" s="9" t="str">
        <f ca="1">OFFSET(ORÇAMENTO!L$15,ROW(C380)-ROW(C$15),0)</f>
        <v/>
      </c>
      <c r="D380" s="145" t="str">
        <f ca="1">OFFSET(ORÇAMENTO!N$15,ROW(D380)-ROW(D$15),0)</f>
        <v>Serviço</v>
      </c>
      <c r="E380" s="205" t="str">
        <f ca="1">OFFSET(ORÇAMENTO!O$15,ROW(E380)-ROW(E$15),0)</f>
        <v>-</v>
      </c>
      <c r="F380" s="206" t="str">
        <f ca="1">OFFSET(ORÇAMENTO!R$15,ROW(F380)-ROW(F$15),0)</f>
        <v>(abra o arquivo 'Referência 05-2024.xls)</v>
      </c>
      <c r="G380" s="207" t="str">
        <f ca="1">IF($D380&lt;&gt;"Serviço","",OFFSET(ORÇAMENTO!S$15,ROW(G380)-ROW(G$15),0))</f>
        <v>-</v>
      </c>
      <c r="H380" s="151">
        <f ca="1">IF($D380&lt;&gt;"Serviço",0,IF(ACOMPANHAMENTO="BM",ROUND(OFFSET(ORÇAMENTO!AJ$15,ROW(H380)-ROW(H$15),0),15-13*ORÇAMENTO!$AF$7),SUMPRODUCT(($Q$12:$AI$12&lt;&gt;"")*ROUND($Q380:$AI380,15-13*ORÇAMENTO!$AF$7))))</f>
        <v>34</v>
      </c>
      <c r="I380" s="650"/>
      <c r="K380" s="208"/>
      <c r="L380" s="209" t="s">
        <v>257</v>
      </c>
      <c r="M380" s="210">
        <f ca="1">IF($D380&lt;&gt;"Serviço","",IF(AUTOEVENTO="manual",$A380,IF(ISERROR(MATCH($A380,$A$15:OFFSET($A380,-1,0),0)),MAX($M$15:OFFSET(M380,-1,0))+1,INDEX($M$15:OFFSET(M380,-1,0),MATCH($A380,$A$15:OFFSET($A380,-1,0),0)))))</f>
        <v>0</v>
      </c>
      <c r="N380" s="211" t="str">
        <f ca="1">IF($D380&lt;&gt;"Serviço","",IF(AUTOEVENTO="Manual",IF($A380=0,"&lt;-- defina o número do agrupador",OFFSET(EVENTOS!$D$14,$A380,0)),OFFSET($F$15,$A380,0)))</f>
        <v>&lt;-- defina o número do agrupador</v>
      </c>
      <c r="O380" s="212"/>
      <c r="Q380" s="212"/>
      <c r="R380" s="213"/>
      <c r="S380" s="213"/>
      <c r="T380" s="213"/>
      <c r="U380" s="213"/>
      <c r="V380" s="213"/>
      <c r="W380" s="213"/>
      <c r="X380" s="213"/>
      <c r="Y380" s="213"/>
      <c r="Z380" s="214"/>
      <c r="AA380" s="213"/>
      <c r="AB380" s="213"/>
      <c r="AC380" s="213"/>
      <c r="AD380" s="213"/>
      <c r="AE380" s="213"/>
      <c r="AF380" s="213"/>
      <c r="AG380" s="213"/>
      <c r="AH380" s="214"/>
      <c r="AJ380" s="631">
        <f ca="1">IF(AND($D380="Serviço",AJ$12&lt;&gt;0,$H380&gt;0,OR(AUTOEVENTO&lt;&gt;"manual",$M380&lt;&gt;1)),ROUND(OFFSET($P380,0,AJ$13),15-13*ORÇAMENTO!$AF$7)/$H380*OFFSET(ORÇAMENTO!$X$15,ROW(AJ380)-ROW(AJ$15),0),0)</f>
        <v>0</v>
      </c>
      <c r="AK380" s="632">
        <f ca="1">IF(AND($D380="Serviço",AK$12&lt;&gt;0,$H380&gt;0,OR(AUTOEVENTO&lt;&gt;"manual",$M380&lt;&gt;1)),ROUND(OFFSET($P380,0,AK$13),15-13*ORÇAMENTO!$AF$7)/$H380*OFFSET(ORÇAMENTO!$X$15,ROW(AK380)-ROW(AK$15),0),0)</f>
        <v>0</v>
      </c>
      <c r="AL380" s="632">
        <f ca="1">IF(AND($D380="Serviço",AL$12&lt;&gt;0,$H380&gt;0,OR(AUTOEVENTO&lt;&gt;"manual",$M380&lt;&gt;1)),ROUND(OFFSET($P380,0,AL$13),15-13*ORÇAMENTO!$AF$7)/$H380*OFFSET(ORÇAMENTO!$X$15,ROW(AL380)-ROW(AL$15),0),0)</f>
        <v>0</v>
      </c>
      <c r="AM380" s="632">
        <f ca="1">IF(AND($D380="Serviço",AM$12&lt;&gt;0,$H380&gt;0,OR(AUTOEVENTO&lt;&gt;"manual",$M380&lt;&gt;1)),ROUND(OFFSET($P380,0,AM$13),15-13*ORÇAMENTO!$AF$7)/$H380*OFFSET(ORÇAMENTO!$X$15,ROW(AM380)-ROW(AM$15),0),0)</f>
        <v>0</v>
      </c>
      <c r="AN380" s="632">
        <f ca="1">IF(AND($D380="Serviço",AN$12&lt;&gt;0,$H380&gt;0,OR(AUTOEVENTO&lt;&gt;"manual",$M380&lt;&gt;1)),ROUND(OFFSET($P380,0,AN$13),15-13*ORÇAMENTO!$AF$7)/$H380*OFFSET(ORÇAMENTO!$X$15,ROW(AN380)-ROW(AN$15),0),0)</f>
        <v>0</v>
      </c>
      <c r="AO380" s="632">
        <f ca="1">IF(AND($D380="Serviço",AO$12&lt;&gt;0,$H380&gt;0,OR(AUTOEVENTO&lt;&gt;"manual",$M380&lt;&gt;1)),ROUND(OFFSET($P380,0,AO$13),15-13*ORÇAMENTO!$AF$7)/$H380*OFFSET(ORÇAMENTO!$X$15,ROW(AO380)-ROW(AO$15),0),0)</f>
        <v>0</v>
      </c>
      <c r="AP380" s="632">
        <f ca="1">IF(AND($D380="Serviço",AP$12&lt;&gt;0,$H380&gt;0,OR(AUTOEVENTO&lt;&gt;"manual",$M380&lt;&gt;1)),ROUND(OFFSET($P380,0,AP$13),15-13*ORÇAMENTO!$AF$7)/$H380*OFFSET(ORÇAMENTO!$X$15,ROW(AP380)-ROW(AP$15),0),0)</f>
        <v>0</v>
      </c>
      <c r="AQ380" s="632">
        <f ca="1">IF(AND($D380="Serviço",AQ$12&lt;&gt;0,$H380&gt;0,OR(AUTOEVENTO&lt;&gt;"manual",$M380&lt;&gt;1)),ROUND(OFFSET($P380,0,AQ$13),15-13*ORÇAMENTO!$AF$7)/$H380*OFFSET(ORÇAMENTO!$X$15,ROW(AQ380)-ROW(AQ$15),0),0)</f>
        <v>0</v>
      </c>
      <c r="AR380" s="632">
        <f ca="1">IF(AND($D380="Serviço",AR$12&lt;&gt;0,$H380&gt;0,OR(AUTOEVENTO&lt;&gt;"manual",$M380&lt;&gt;1)),ROUND(OFFSET($P380,0,AR$13),15-13*ORÇAMENTO!$AF$7)/$H380*OFFSET(ORÇAMENTO!$X$15,ROW(AR380)-ROW(AR$15),0),0)</f>
        <v>0</v>
      </c>
      <c r="AS380" s="633">
        <f ca="1">IF(AND($D380="Serviço",AS$12&lt;&gt;0,$H380&gt;0,OR(AUTOEVENTO&lt;&gt;"manual",$M380&lt;&gt;1)),ROUND(OFFSET($P380,0,AS$13),15-13*ORÇAMENTO!$AF$7)/$H380*OFFSET(ORÇAMENTO!$X$15,ROW(AS380)-ROW(AS$15),0),0)</f>
        <v>0</v>
      </c>
      <c r="AT380" s="632">
        <f ca="1">IF(AND($D380="Serviço",AT$12&lt;&gt;0,$H380&gt;0,OR(AUTOEVENTO&lt;&gt;"manual",$M380&lt;&gt;1)),ROUND(OFFSET($P380,0,AT$13),15-13*ORÇAMENTO!$AF$7)/$H380*OFFSET(ORÇAMENTO!$X$15,ROW(AT380)-ROW(AT$15),0),0)</f>
        <v>0</v>
      </c>
      <c r="AU380" s="632">
        <f ca="1">IF(AND($D380="Serviço",AU$12&lt;&gt;0,$H380&gt;0,OR(AUTOEVENTO&lt;&gt;"manual",$M380&lt;&gt;1)),ROUND(OFFSET($P380,0,AU$13),15-13*ORÇAMENTO!$AF$7)/$H380*OFFSET(ORÇAMENTO!$X$15,ROW(AU380)-ROW(AU$15),0),0)</f>
        <v>0</v>
      </c>
      <c r="AV380" s="632">
        <f ca="1">IF(AND($D380="Serviço",AV$12&lt;&gt;0,$H380&gt;0,OR(AUTOEVENTO&lt;&gt;"manual",$M380&lt;&gt;1)),ROUND(OFFSET($P380,0,AV$13),15-13*ORÇAMENTO!$AF$7)/$H380*OFFSET(ORÇAMENTO!$X$15,ROW(AV380)-ROW(AV$15),0),0)</f>
        <v>0</v>
      </c>
      <c r="AW380" s="632">
        <f ca="1">IF(AND($D380="Serviço",AW$12&lt;&gt;0,$H380&gt;0,OR(AUTOEVENTO&lt;&gt;"manual",$M380&lt;&gt;1)),ROUND(OFFSET($P380,0,AW$13),15-13*ORÇAMENTO!$AF$7)/$H380*OFFSET(ORÇAMENTO!$X$15,ROW(AW380)-ROW(AW$15),0),0)</f>
        <v>0</v>
      </c>
      <c r="AX380" s="632">
        <f ca="1">IF(AND($D380="Serviço",AX$12&lt;&gt;0,$H380&gt;0,OR(AUTOEVENTO&lt;&gt;"manual",$M380&lt;&gt;1)),ROUND(OFFSET($P380,0,AX$13),15-13*ORÇAMENTO!$AF$7)/$H380*OFFSET(ORÇAMENTO!$X$15,ROW(AX380)-ROW(AX$15),0),0)</f>
        <v>0</v>
      </c>
      <c r="AY380" s="632">
        <f ca="1">IF(AND($D380="Serviço",AY$12&lt;&gt;0,$H380&gt;0,OR(AUTOEVENTO&lt;&gt;"manual",$M380&lt;&gt;1)),ROUND(OFFSET($P380,0,AY$13),15-13*ORÇAMENTO!$AF$7)/$H380*OFFSET(ORÇAMENTO!$X$15,ROW(AY380)-ROW(AY$15),0),0)</f>
        <v>0</v>
      </c>
      <c r="AZ380" s="632">
        <f ca="1">IF(AND($D380="Serviço",AZ$12&lt;&gt;0,$H380&gt;0,OR(AUTOEVENTO&lt;&gt;"manual",$M380&lt;&gt;1)),ROUND(OFFSET($P380,0,AZ$13),15-13*ORÇAMENTO!$AF$7)/$H380*OFFSET(ORÇAMENTO!$X$15,ROW(AZ380)-ROW(AZ$15),0),0)</f>
        <v>0</v>
      </c>
      <c r="BA380" s="633">
        <f ca="1">IF(AND($D380="Serviço",BA$12&lt;&gt;0,$H380&gt;0,OR(AUTOEVENTO&lt;&gt;"manual",$M380&lt;&gt;1)),ROUND(OFFSET($P380,0,BA$13),15-13*ORÇAMENTO!$AF$7)/$H380*OFFSET(ORÇAMENTO!$X$15,ROW(BA380)-ROW(BA$15),0),0)</f>
        <v>0</v>
      </c>
      <c r="BC380" s="215">
        <f ca="1">IF($D380&lt;&gt;"Serviço",0,IF(AND(AUTOEVENTO="Manual",$M380=1),0,IF(OFFSET(CRONOPLE!$F$14,$M380,BC$13)="",10^12,OFFSET(CRONOPLE!$F$14,$M380,BC$13))))</f>
        <v>1000000000000</v>
      </c>
      <c r="BD380" s="215">
        <f ca="1">IF($D380&lt;&gt;"Serviço",0,IF(AND(AUTOEVENTO="Manual",$M380=1),0,IF(OFFSET(CRONOPLE!$F$14,$M380,BD$13)="",10^12,OFFSET(CRONOPLE!$F$14,$M380,BD$13))))</f>
        <v>1000000000000</v>
      </c>
      <c r="BE380" s="215">
        <f ca="1">IF($D380&lt;&gt;"Serviço",0,IF(AND(AUTOEVENTO="Manual",$M380=1),0,IF(OFFSET(CRONOPLE!$F$14,$M380,BE$13)="",10^12,OFFSET(CRONOPLE!$F$14,$M380,BE$13))))</f>
        <v>1000000000000</v>
      </c>
      <c r="BF380" s="215">
        <f ca="1">IF($D380&lt;&gt;"Serviço",0,IF(AND(AUTOEVENTO="Manual",$M380=1),0,IF(OFFSET(CRONOPLE!$F$14,$M380,BF$13)="",10^12,OFFSET(CRONOPLE!$F$14,$M380,BF$13))))</f>
        <v>1000000000000</v>
      </c>
      <c r="BG380" s="215">
        <f ca="1">IF($D380&lt;&gt;"Serviço",0,IF(AND(AUTOEVENTO="Manual",$M380=1),0,IF(OFFSET(CRONOPLE!$F$14,$M380,BG$13)="",10^12,OFFSET(CRONOPLE!$F$14,$M380,BG$13))))</f>
        <v>1000000000000</v>
      </c>
      <c r="BH380" s="215">
        <f ca="1">IF($D380&lt;&gt;"Serviço",0,IF(AND(AUTOEVENTO="Manual",$M380=1),0,IF(OFFSET(CRONOPLE!$F$14,$M380,BH$13)="",10^12,OFFSET(CRONOPLE!$F$14,$M380,BH$13))))</f>
        <v>1000000000000</v>
      </c>
      <c r="BI380" s="215">
        <f ca="1">IF($D380&lt;&gt;"Serviço",0,IF(AND(AUTOEVENTO="Manual",$M380=1),0,IF(OFFSET(CRONOPLE!$F$14,$M380,BI$13)="",10^12,OFFSET(CRONOPLE!$F$14,$M380,BI$13))))</f>
        <v>1000000000000</v>
      </c>
      <c r="BJ380" s="215">
        <f ca="1">IF($D380&lt;&gt;"Serviço",0,IF(AND(AUTOEVENTO="Manual",$M380=1),0,IF(OFFSET(CRONOPLE!$F$14,$M380,BJ$13)="",10^12,OFFSET(CRONOPLE!$F$14,$M380,BJ$13))))</f>
        <v>1000000000000</v>
      </c>
      <c r="BK380" s="215">
        <f ca="1">IF($D380&lt;&gt;"Serviço",0,IF(AND(AUTOEVENTO="Manual",$M380=1),0,IF(OFFSET(CRONOPLE!$F$14,$M380,BK$13)="",10^12,OFFSET(CRONOPLE!$F$14,$M380,BK$13))))</f>
        <v>1000000000000</v>
      </c>
      <c r="BL380" s="215">
        <f ca="1">IF($D380&lt;&gt;"Serviço",0,IF(AND(AUTOEVENTO="Manual",$M380=1),0,IF(OFFSET(CRONOPLE!$F$14,$M380,BL$13)="",10^12,OFFSET(CRONOPLE!$F$14,$M380,BL$13))))</f>
        <v>1000000000000</v>
      </c>
      <c r="BM380" s="215">
        <f ca="1">IF($D380&lt;&gt;"Serviço",0,IF(AND(AUTOEVENTO="Manual",$M380=1),0,IF(OFFSET(CRONOPLE!$F$14,$M380,BM$13)="",10^12,OFFSET(CRONOPLE!$F$14,$M380,BM$13))))</f>
        <v>1000000000000</v>
      </c>
      <c r="BN380" s="215">
        <f ca="1">IF($D380&lt;&gt;"Serviço",0,IF(AND(AUTOEVENTO="Manual",$M380=1),0,IF(OFFSET(CRONOPLE!$F$14,$M380,BN$13)="",10^12,OFFSET(CRONOPLE!$F$14,$M380,BN$13))))</f>
        <v>1000000000000</v>
      </c>
      <c r="BO380" s="215">
        <f ca="1">IF($D380&lt;&gt;"Serviço",0,IF(AND(AUTOEVENTO="Manual",$M380=1),0,IF(OFFSET(CRONOPLE!$F$14,$M380,BO$13)="",10^12,OFFSET(CRONOPLE!$F$14,$M380,BO$13))))</f>
        <v>1000000000000</v>
      </c>
      <c r="BP380" s="215">
        <f ca="1">IF($D380&lt;&gt;"Serviço",0,IF(AND(AUTOEVENTO="Manual",$M380=1),0,IF(OFFSET(CRONOPLE!$F$14,$M380,BP$13)="",10^12,OFFSET(CRONOPLE!$F$14,$M380,BP$13))))</f>
        <v>1000000000000</v>
      </c>
      <c r="BQ380" s="215">
        <f ca="1">IF($D380&lt;&gt;"Serviço",0,IF(AND(AUTOEVENTO="Manual",$M380=1),0,IF(OFFSET(CRONOPLE!$F$14,$M380,BQ$13)="",10^12,OFFSET(CRONOPLE!$F$14,$M380,BQ$13))))</f>
        <v>1000000000000</v>
      </c>
      <c r="BR380" s="215">
        <f ca="1">IF($D380&lt;&gt;"Serviço",0,IF(AND(AUTOEVENTO="Manual",$M380=1),0,IF(OFFSET(CRONOPLE!$F$14,$M380,BR$13)="",10^12,OFFSET(CRONOPLE!$F$14,$M380,BR$13))))</f>
        <v>1000000000000</v>
      </c>
      <c r="BS380" s="215">
        <f ca="1">IF($D380&lt;&gt;"Serviço",0,IF(AND(AUTOEVENTO="Manual",$M380=1),0,IF(OFFSET(CRONOPLE!$F$14,$M380,BS$13)="",10^12,OFFSET(CRONOPLE!$F$14,$M380,BS$13))))</f>
        <v>1000000000000</v>
      </c>
      <c r="BT380" s="215">
        <f ca="1">IF($D380&lt;&gt;"Serviço",0,IF(AND(AUTOEVENTO="Manual",$M380=1),0,IF(OFFSET(CRONOPLE!$F$14,$M380,BT$13)="",10^12,OFFSET(CRONOPLE!$F$14,$M380,BT$13))))</f>
        <v>1000000000000</v>
      </c>
      <c r="BV380" s="216">
        <f ca="1">IF($D380&lt;&gt;"Serviço",0,IF(OR(AND(AUTOEVENTO="Manual",$M380=1),$M380&gt;(ROW(PLE.lastrow)-ROW(PLE.firstrow))),0,IF(OFFSET(PLE!$G$14,$M380,BV$13)="",10^12,OFFSET(PLE!$G$14,$M380,BV$13))))</f>
        <v>1000000000000</v>
      </c>
      <c r="BW380" s="216">
        <f ca="1">IF($D380&lt;&gt;"Serviço",0,IF(OR(AND(AUTOEVENTO="Manual",$M380=1),$M380&gt;(ROW(PLE.lastrow)-ROW(PLE.firstrow))),0,IF(OFFSET(PLE!$G$14,$M380,BW$13)="",10^12,OFFSET(PLE!$G$14,$M380,BW$13))))</f>
        <v>1000000000000</v>
      </c>
      <c r="BX380" s="216">
        <f ca="1">IF($D380&lt;&gt;"Serviço",0,IF(OR(AND(AUTOEVENTO="Manual",$M380=1),$M380&gt;(ROW(PLE.lastrow)-ROW(PLE.firstrow))),0,IF(OFFSET(PLE!$G$14,$M380,BX$13)="",10^12,OFFSET(PLE!$G$14,$M380,BX$13))))</f>
        <v>1000000000000</v>
      </c>
      <c r="BY380" s="216">
        <f ca="1">IF($D380&lt;&gt;"Serviço",0,IF(OR(AND(AUTOEVENTO="Manual",$M380=1),$M380&gt;(ROW(PLE.lastrow)-ROW(PLE.firstrow))),0,IF(OFFSET(PLE!$G$14,$M380,BY$13)="",10^12,OFFSET(PLE!$G$14,$M380,BY$13))))</f>
        <v>1000000000000</v>
      </c>
      <c r="BZ380" s="216">
        <f ca="1">IF($D380&lt;&gt;"Serviço",0,IF(OR(AND(AUTOEVENTO="Manual",$M380=1),$M380&gt;(ROW(PLE.lastrow)-ROW(PLE.firstrow))),0,IF(OFFSET(PLE!$G$14,$M380,BZ$13)="",10^12,OFFSET(PLE!$G$14,$M380,BZ$13))))</f>
        <v>1000000000000</v>
      </c>
      <c r="CA380" s="216">
        <f ca="1">IF($D380&lt;&gt;"Serviço",0,IF(OR(AND(AUTOEVENTO="Manual",$M380=1),$M380&gt;(ROW(PLE.lastrow)-ROW(PLE.firstrow))),0,IF(OFFSET(PLE!$G$14,$M380,CA$13)="",10^12,OFFSET(PLE!$G$14,$M380,CA$13))))</f>
        <v>1000000000000</v>
      </c>
      <c r="CB380" s="216">
        <f ca="1">IF($D380&lt;&gt;"Serviço",0,IF(OR(AND(AUTOEVENTO="Manual",$M380=1),$M380&gt;(ROW(PLE.lastrow)-ROW(PLE.firstrow))),0,IF(OFFSET(PLE!$G$14,$M380,CB$13)="",10^12,OFFSET(PLE!$G$14,$M380,CB$13))))</f>
        <v>1000000000000</v>
      </c>
      <c r="CC380" s="216">
        <f ca="1">IF($D380&lt;&gt;"Serviço",0,IF(OR(AND(AUTOEVENTO="Manual",$M380=1),$M380&gt;(ROW(PLE.lastrow)-ROW(PLE.firstrow))),0,IF(OFFSET(PLE!$G$14,$M380,CC$13)="",10^12,OFFSET(PLE!$G$14,$M380,CC$13))))</f>
        <v>1000000000000</v>
      </c>
      <c r="CD380" s="216">
        <f ca="1">IF($D380&lt;&gt;"Serviço",0,IF(OR(AND(AUTOEVENTO="Manual",$M380=1),$M380&gt;(ROW(PLE.lastrow)-ROW(PLE.firstrow))),0,IF(OFFSET(PLE!$G$14,$M380,CD$13)="",10^12,OFFSET(PLE!$G$14,$M380,CD$13))))</f>
        <v>1000000000000</v>
      </c>
      <c r="CE380" s="216">
        <f ca="1">IF($D380&lt;&gt;"Serviço",0,IF(OR(AND(AUTOEVENTO="Manual",$M380=1),$M380&gt;(ROW(PLE.lastrow)-ROW(PLE.firstrow))),0,IF(OFFSET(PLE!$G$14,$M380,CE$13)="",10^12,OFFSET(PLE!$G$14,$M380,CE$13))))</f>
        <v>1000000000000</v>
      </c>
      <c r="CF380" s="216">
        <f ca="1">IF($D380&lt;&gt;"Serviço",0,IF(OR(AND(AUTOEVENTO="Manual",$M380=1),$M380&gt;(ROW(PLE.lastrow)-ROW(PLE.firstrow))),0,IF(OFFSET(PLE!$G$14,$M380,CF$13)="",10^12,OFFSET(PLE!$G$14,$M380,CF$13))))</f>
        <v>1000000000000</v>
      </c>
      <c r="CG380" s="216">
        <f ca="1">IF($D380&lt;&gt;"Serviço",0,IF(OR(AND(AUTOEVENTO="Manual",$M380=1),$M380&gt;(ROW(PLE.lastrow)-ROW(PLE.firstrow))),0,IF(OFFSET(PLE!$G$14,$M380,CG$13)="",10^12,OFFSET(PLE!$G$14,$M380,CG$13))))</f>
        <v>1000000000000</v>
      </c>
      <c r="CH380" s="216">
        <f ca="1">IF($D380&lt;&gt;"Serviço",0,IF(OR(AND(AUTOEVENTO="Manual",$M380=1),$M380&gt;(ROW(PLE.lastrow)-ROW(PLE.firstrow))),0,IF(OFFSET(PLE!$G$14,$M380,CH$13)="",10^12,OFFSET(PLE!$G$14,$M380,CH$13))))</f>
        <v>1000000000000</v>
      </c>
      <c r="CI380" s="216">
        <f ca="1">IF($D380&lt;&gt;"Serviço",0,IF(OR(AND(AUTOEVENTO="Manual",$M380=1),$M380&gt;(ROW(PLE.lastrow)-ROW(PLE.firstrow))),0,IF(OFFSET(PLE!$G$14,$M380,CI$13)="",10^12,OFFSET(PLE!$G$14,$M380,CI$13))))</f>
        <v>1000000000000</v>
      </c>
      <c r="CJ380" s="216">
        <f ca="1">IF($D380&lt;&gt;"Serviço",0,IF(OR(AND(AUTOEVENTO="Manual",$M380=1),$M380&gt;(ROW(PLE.lastrow)-ROW(PLE.firstrow))),0,IF(OFFSET(PLE!$G$14,$M380,CJ$13)="",10^12,OFFSET(PLE!$G$14,$M380,CJ$13))))</f>
        <v>1000000000000</v>
      </c>
      <c r="CK380" s="216">
        <f ca="1">IF($D380&lt;&gt;"Serviço",0,IF(OR(AND(AUTOEVENTO="Manual",$M380=1),$M380&gt;(ROW(PLE.lastrow)-ROW(PLE.firstrow))),0,IF(OFFSET(PLE!$G$14,$M380,CK$13)="",10^12,OFFSET(PLE!$G$14,$M380,CK$13))))</f>
        <v>1000000000000</v>
      </c>
      <c r="CL380" s="216">
        <f ca="1">IF($D380&lt;&gt;"Serviço",0,IF(OR(AND(AUTOEVENTO="Manual",$M380=1),$M380&gt;(ROW(PLE.lastrow)-ROW(PLE.firstrow))),0,IF(OFFSET(PLE!$G$14,$M380,CL$13)="",10^12,OFFSET(PLE!$G$14,$M380,CL$13))))</f>
        <v>1000000000000</v>
      </c>
      <c r="CM380" s="216">
        <f ca="1">IF($D380&lt;&gt;"Serviço",0,IF(OR(AND(AUTOEVENTO="Manual",$M380=1),$M380&gt;(ROW(PLE.lastrow)-ROW(PLE.firstrow))),0,IF(OFFSET(PLE!$G$14,$M380,CM$13)="",10^12,OFFSET(PLE!$G$14,$M380,CM$13))))</f>
        <v>1000000000000</v>
      </c>
    </row>
    <row r="381" spans="1:91" ht="13.2" x14ac:dyDescent="0.25">
      <c r="A381" s="9">
        <f t="shared" ca="1" si="14"/>
        <v>0</v>
      </c>
      <c r="B381" s="9" t="str">
        <f ca="1">OFFSET(ORÇAMENTO!C$15,ROW(B381)-ROW(B$15),0)</f>
        <v>S</v>
      </c>
      <c r="C381" s="9" t="str">
        <f ca="1">OFFSET(ORÇAMENTO!L$15,ROW(C381)-ROW(C$15),0)</f>
        <v/>
      </c>
      <c r="D381" s="145" t="str">
        <f ca="1">OFFSET(ORÇAMENTO!N$15,ROW(D381)-ROW(D$15),0)</f>
        <v>Serviço</v>
      </c>
      <c r="E381" s="205" t="str">
        <f ca="1">OFFSET(ORÇAMENTO!O$15,ROW(E381)-ROW(E$15),0)</f>
        <v>-</v>
      </c>
      <c r="F381" s="206" t="str">
        <f ca="1">OFFSET(ORÇAMENTO!R$15,ROW(F381)-ROW(F$15),0)</f>
        <v>(abra o arquivo 'Referência 05-2024.xls)</v>
      </c>
      <c r="G381" s="207" t="str">
        <f ca="1">IF($D381&lt;&gt;"Serviço","",OFFSET(ORÇAMENTO!S$15,ROW(G381)-ROW(G$15),0))</f>
        <v>-</v>
      </c>
      <c r="H381" s="151">
        <f ca="1">IF($D381&lt;&gt;"Serviço",0,IF(ACOMPANHAMENTO="BM",ROUND(OFFSET(ORÇAMENTO!AJ$15,ROW(H381)-ROW(H$15),0),15-13*ORÇAMENTO!$AF$7),SUMPRODUCT(($Q$12:$AI$12&lt;&gt;"")*ROUND($Q381:$AI381,15-13*ORÇAMENTO!$AF$7))))</f>
        <v>7</v>
      </c>
      <c r="I381" s="650"/>
      <c r="K381" s="208"/>
      <c r="L381" s="209" t="s">
        <v>257</v>
      </c>
      <c r="M381" s="210">
        <f ca="1">IF($D381&lt;&gt;"Serviço","",IF(AUTOEVENTO="manual",$A381,IF(ISERROR(MATCH($A381,$A$15:OFFSET($A381,-1,0),0)),MAX($M$15:OFFSET(M381,-1,0))+1,INDEX($M$15:OFFSET(M381,-1,0),MATCH($A381,$A$15:OFFSET($A381,-1,0),0)))))</f>
        <v>0</v>
      </c>
      <c r="N381" s="211" t="str">
        <f ca="1">IF($D381&lt;&gt;"Serviço","",IF(AUTOEVENTO="Manual",IF($A381=0,"&lt;-- defina o número do agrupador",OFFSET(EVENTOS!$D$14,$A381,0)),OFFSET($F$15,$A381,0)))</f>
        <v>&lt;-- defina o número do agrupador</v>
      </c>
      <c r="O381" s="212"/>
      <c r="Q381" s="212"/>
      <c r="R381" s="213"/>
      <c r="S381" s="213"/>
      <c r="T381" s="213"/>
      <c r="U381" s="213"/>
      <c r="V381" s="213"/>
      <c r="W381" s="213"/>
      <c r="X381" s="213"/>
      <c r="Y381" s="213"/>
      <c r="Z381" s="214"/>
      <c r="AA381" s="213"/>
      <c r="AB381" s="213"/>
      <c r="AC381" s="213"/>
      <c r="AD381" s="213"/>
      <c r="AE381" s="213"/>
      <c r="AF381" s="213"/>
      <c r="AG381" s="213"/>
      <c r="AH381" s="214"/>
      <c r="AJ381" s="631">
        <f ca="1">IF(AND($D381="Serviço",AJ$12&lt;&gt;0,$H381&gt;0,OR(AUTOEVENTO&lt;&gt;"manual",$M381&lt;&gt;1)),ROUND(OFFSET($P381,0,AJ$13),15-13*ORÇAMENTO!$AF$7)/$H381*OFFSET(ORÇAMENTO!$X$15,ROW(AJ381)-ROW(AJ$15),0),0)</f>
        <v>0</v>
      </c>
      <c r="AK381" s="632">
        <f ca="1">IF(AND($D381="Serviço",AK$12&lt;&gt;0,$H381&gt;0,OR(AUTOEVENTO&lt;&gt;"manual",$M381&lt;&gt;1)),ROUND(OFFSET($P381,0,AK$13),15-13*ORÇAMENTO!$AF$7)/$H381*OFFSET(ORÇAMENTO!$X$15,ROW(AK381)-ROW(AK$15),0),0)</f>
        <v>0</v>
      </c>
      <c r="AL381" s="632">
        <f ca="1">IF(AND($D381="Serviço",AL$12&lt;&gt;0,$H381&gt;0,OR(AUTOEVENTO&lt;&gt;"manual",$M381&lt;&gt;1)),ROUND(OFFSET($P381,0,AL$13),15-13*ORÇAMENTO!$AF$7)/$H381*OFFSET(ORÇAMENTO!$X$15,ROW(AL381)-ROW(AL$15),0),0)</f>
        <v>0</v>
      </c>
      <c r="AM381" s="632">
        <f ca="1">IF(AND($D381="Serviço",AM$12&lt;&gt;0,$H381&gt;0,OR(AUTOEVENTO&lt;&gt;"manual",$M381&lt;&gt;1)),ROUND(OFFSET($P381,0,AM$13),15-13*ORÇAMENTO!$AF$7)/$H381*OFFSET(ORÇAMENTO!$X$15,ROW(AM381)-ROW(AM$15),0),0)</f>
        <v>0</v>
      </c>
      <c r="AN381" s="632">
        <f ca="1">IF(AND($D381="Serviço",AN$12&lt;&gt;0,$H381&gt;0,OR(AUTOEVENTO&lt;&gt;"manual",$M381&lt;&gt;1)),ROUND(OFFSET($P381,0,AN$13),15-13*ORÇAMENTO!$AF$7)/$H381*OFFSET(ORÇAMENTO!$X$15,ROW(AN381)-ROW(AN$15),0),0)</f>
        <v>0</v>
      </c>
      <c r="AO381" s="632">
        <f ca="1">IF(AND($D381="Serviço",AO$12&lt;&gt;0,$H381&gt;0,OR(AUTOEVENTO&lt;&gt;"manual",$M381&lt;&gt;1)),ROUND(OFFSET($P381,0,AO$13),15-13*ORÇAMENTO!$AF$7)/$H381*OFFSET(ORÇAMENTO!$X$15,ROW(AO381)-ROW(AO$15),0),0)</f>
        <v>0</v>
      </c>
      <c r="AP381" s="632">
        <f ca="1">IF(AND($D381="Serviço",AP$12&lt;&gt;0,$H381&gt;0,OR(AUTOEVENTO&lt;&gt;"manual",$M381&lt;&gt;1)),ROUND(OFFSET($P381,0,AP$13),15-13*ORÇAMENTO!$AF$7)/$H381*OFFSET(ORÇAMENTO!$X$15,ROW(AP381)-ROW(AP$15),0),0)</f>
        <v>0</v>
      </c>
      <c r="AQ381" s="632">
        <f ca="1">IF(AND($D381="Serviço",AQ$12&lt;&gt;0,$H381&gt;0,OR(AUTOEVENTO&lt;&gt;"manual",$M381&lt;&gt;1)),ROUND(OFFSET($P381,0,AQ$13),15-13*ORÇAMENTO!$AF$7)/$H381*OFFSET(ORÇAMENTO!$X$15,ROW(AQ381)-ROW(AQ$15),0),0)</f>
        <v>0</v>
      </c>
      <c r="AR381" s="632">
        <f ca="1">IF(AND($D381="Serviço",AR$12&lt;&gt;0,$H381&gt;0,OR(AUTOEVENTO&lt;&gt;"manual",$M381&lt;&gt;1)),ROUND(OFFSET($P381,0,AR$13),15-13*ORÇAMENTO!$AF$7)/$H381*OFFSET(ORÇAMENTO!$X$15,ROW(AR381)-ROW(AR$15),0),0)</f>
        <v>0</v>
      </c>
      <c r="AS381" s="633">
        <f ca="1">IF(AND($D381="Serviço",AS$12&lt;&gt;0,$H381&gt;0,OR(AUTOEVENTO&lt;&gt;"manual",$M381&lt;&gt;1)),ROUND(OFFSET($P381,0,AS$13),15-13*ORÇAMENTO!$AF$7)/$H381*OFFSET(ORÇAMENTO!$X$15,ROW(AS381)-ROW(AS$15),0),0)</f>
        <v>0</v>
      </c>
      <c r="AT381" s="632">
        <f ca="1">IF(AND($D381="Serviço",AT$12&lt;&gt;0,$H381&gt;0,OR(AUTOEVENTO&lt;&gt;"manual",$M381&lt;&gt;1)),ROUND(OFFSET($P381,0,AT$13),15-13*ORÇAMENTO!$AF$7)/$H381*OFFSET(ORÇAMENTO!$X$15,ROW(AT381)-ROW(AT$15),0),0)</f>
        <v>0</v>
      </c>
      <c r="AU381" s="632">
        <f ca="1">IF(AND($D381="Serviço",AU$12&lt;&gt;0,$H381&gt;0,OR(AUTOEVENTO&lt;&gt;"manual",$M381&lt;&gt;1)),ROUND(OFFSET($P381,0,AU$13),15-13*ORÇAMENTO!$AF$7)/$H381*OFFSET(ORÇAMENTO!$X$15,ROW(AU381)-ROW(AU$15),0),0)</f>
        <v>0</v>
      </c>
      <c r="AV381" s="632">
        <f ca="1">IF(AND($D381="Serviço",AV$12&lt;&gt;0,$H381&gt;0,OR(AUTOEVENTO&lt;&gt;"manual",$M381&lt;&gt;1)),ROUND(OFFSET($P381,0,AV$13),15-13*ORÇAMENTO!$AF$7)/$H381*OFFSET(ORÇAMENTO!$X$15,ROW(AV381)-ROW(AV$15),0),0)</f>
        <v>0</v>
      </c>
      <c r="AW381" s="632">
        <f ca="1">IF(AND($D381="Serviço",AW$12&lt;&gt;0,$H381&gt;0,OR(AUTOEVENTO&lt;&gt;"manual",$M381&lt;&gt;1)),ROUND(OFFSET($P381,0,AW$13),15-13*ORÇAMENTO!$AF$7)/$H381*OFFSET(ORÇAMENTO!$X$15,ROW(AW381)-ROW(AW$15),0),0)</f>
        <v>0</v>
      </c>
      <c r="AX381" s="632">
        <f ca="1">IF(AND($D381="Serviço",AX$12&lt;&gt;0,$H381&gt;0,OR(AUTOEVENTO&lt;&gt;"manual",$M381&lt;&gt;1)),ROUND(OFFSET($P381,0,AX$13),15-13*ORÇAMENTO!$AF$7)/$H381*OFFSET(ORÇAMENTO!$X$15,ROW(AX381)-ROW(AX$15),0),0)</f>
        <v>0</v>
      </c>
      <c r="AY381" s="632">
        <f ca="1">IF(AND($D381="Serviço",AY$12&lt;&gt;0,$H381&gt;0,OR(AUTOEVENTO&lt;&gt;"manual",$M381&lt;&gt;1)),ROUND(OFFSET($P381,0,AY$13),15-13*ORÇAMENTO!$AF$7)/$H381*OFFSET(ORÇAMENTO!$X$15,ROW(AY381)-ROW(AY$15),0),0)</f>
        <v>0</v>
      </c>
      <c r="AZ381" s="632">
        <f ca="1">IF(AND($D381="Serviço",AZ$12&lt;&gt;0,$H381&gt;0,OR(AUTOEVENTO&lt;&gt;"manual",$M381&lt;&gt;1)),ROUND(OFFSET($P381,0,AZ$13),15-13*ORÇAMENTO!$AF$7)/$H381*OFFSET(ORÇAMENTO!$X$15,ROW(AZ381)-ROW(AZ$15),0),0)</f>
        <v>0</v>
      </c>
      <c r="BA381" s="633">
        <f ca="1">IF(AND($D381="Serviço",BA$12&lt;&gt;0,$H381&gt;0,OR(AUTOEVENTO&lt;&gt;"manual",$M381&lt;&gt;1)),ROUND(OFFSET($P381,0,BA$13),15-13*ORÇAMENTO!$AF$7)/$H381*OFFSET(ORÇAMENTO!$X$15,ROW(BA381)-ROW(BA$15),0),0)</f>
        <v>0</v>
      </c>
      <c r="BC381" s="215">
        <f ca="1">IF($D381&lt;&gt;"Serviço",0,IF(AND(AUTOEVENTO="Manual",$M381=1),0,IF(OFFSET(CRONOPLE!$F$14,$M381,BC$13)="",10^12,OFFSET(CRONOPLE!$F$14,$M381,BC$13))))</f>
        <v>1000000000000</v>
      </c>
      <c r="BD381" s="215">
        <f ca="1">IF($D381&lt;&gt;"Serviço",0,IF(AND(AUTOEVENTO="Manual",$M381=1),0,IF(OFFSET(CRONOPLE!$F$14,$M381,BD$13)="",10^12,OFFSET(CRONOPLE!$F$14,$M381,BD$13))))</f>
        <v>1000000000000</v>
      </c>
      <c r="BE381" s="215">
        <f ca="1">IF($D381&lt;&gt;"Serviço",0,IF(AND(AUTOEVENTO="Manual",$M381=1),0,IF(OFFSET(CRONOPLE!$F$14,$M381,BE$13)="",10^12,OFFSET(CRONOPLE!$F$14,$M381,BE$13))))</f>
        <v>1000000000000</v>
      </c>
      <c r="BF381" s="215">
        <f ca="1">IF($D381&lt;&gt;"Serviço",0,IF(AND(AUTOEVENTO="Manual",$M381=1),0,IF(OFFSET(CRONOPLE!$F$14,$M381,BF$13)="",10^12,OFFSET(CRONOPLE!$F$14,$M381,BF$13))))</f>
        <v>1000000000000</v>
      </c>
      <c r="BG381" s="215">
        <f ca="1">IF($D381&lt;&gt;"Serviço",0,IF(AND(AUTOEVENTO="Manual",$M381=1),0,IF(OFFSET(CRONOPLE!$F$14,$M381,BG$13)="",10^12,OFFSET(CRONOPLE!$F$14,$M381,BG$13))))</f>
        <v>1000000000000</v>
      </c>
      <c r="BH381" s="215">
        <f ca="1">IF($D381&lt;&gt;"Serviço",0,IF(AND(AUTOEVENTO="Manual",$M381=1),0,IF(OFFSET(CRONOPLE!$F$14,$M381,BH$13)="",10^12,OFFSET(CRONOPLE!$F$14,$M381,BH$13))))</f>
        <v>1000000000000</v>
      </c>
      <c r="BI381" s="215">
        <f ca="1">IF($D381&lt;&gt;"Serviço",0,IF(AND(AUTOEVENTO="Manual",$M381=1),0,IF(OFFSET(CRONOPLE!$F$14,$M381,BI$13)="",10^12,OFFSET(CRONOPLE!$F$14,$M381,BI$13))))</f>
        <v>1000000000000</v>
      </c>
      <c r="BJ381" s="215">
        <f ca="1">IF($D381&lt;&gt;"Serviço",0,IF(AND(AUTOEVENTO="Manual",$M381=1),0,IF(OFFSET(CRONOPLE!$F$14,$M381,BJ$13)="",10^12,OFFSET(CRONOPLE!$F$14,$M381,BJ$13))))</f>
        <v>1000000000000</v>
      </c>
      <c r="BK381" s="215">
        <f ca="1">IF($D381&lt;&gt;"Serviço",0,IF(AND(AUTOEVENTO="Manual",$M381=1),0,IF(OFFSET(CRONOPLE!$F$14,$M381,BK$13)="",10^12,OFFSET(CRONOPLE!$F$14,$M381,BK$13))))</f>
        <v>1000000000000</v>
      </c>
      <c r="BL381" s="215">
        <f ca="1">IF($D381&lt;&gt;"Serviço",0,IF(AND(AUTOEVENTO="Manual",$M381=1),0,IF(OFFSET(CRONOPLE!$F$14,$M381,BL$13)="",10^12,OFFSET(CRONOPLE!$F$14,$M381,BL$13))))</f>
        <v>1000000000000</v>
      </c>
      <c r="BM381" s="215">
        <f ca="1">IF($D381&lt;&gt;"Serviço",0,IF(AND(AUTOEVENTO="Manual",$M381=1),0,IF(OFFSET(CRONOPLE!$F$14,$M381,BM$13)="",10^12,OFFSET(CRONOPLE!$F$14,$M381,BM$13))))</f>
        <v>1000000000000</v>
      </c>
      <c r="BN381" s="215">
        <f ca="1">IF($D381&lt;&gt;"Serviço",0,IF(AND(AUTOEVENTO="Manual",$M381=1),0,IF(OFFSET(CRONOPLE!$F$14,$M381,BN$13)="",10^12,OFFSET(CRONOPLE!$F$14,$M381,BN$13))))</f>
        <v>1000000000000</v>
      </c>
      <c r="BO381" s="215">
        <f ca="1">IF($D381&lt;&gt;"Serviço",0,IF(AND(AUTOEVENTO="Manual",$M381=1),0,IF(OFFSET(CRONOPLE!$F$14,$M381,BO$13)="",10^12,OFFSET(CRONOPLE!$F$14,$M381,BO$13))))</f>
        <v>1000000000000</v>
      </c>
      <c r="BP381" s="215">
        <f ca="1">IF($D381&lt;&gt;"Serviço",0,IF(AND(AUTOEVENTO="Manual",$M381=1),0,IF(OFFSET(CRONOPLE!$F$14,$M381,BP$13)="",10^12,OFFSET(CRONOPLE!$F$14,$M381,BP$13))))</f>
        <v>1000000000000</v>
      </c>
      <c r="BQ381" s="215">
        <f ca="1">IF($D381&lt;&gt;"Serviço",0,IF(AND(AUTOEVENTO="Manual",$M381=1),0,IF(OFFSET(CRONOPLE!$F$14,$M381,BQ$13)="",10^12,OFFSET(CRONOPLE!$F$14,$M381,BQ$13))))</f>
        <v>1000000000000</v>
      </c>
      <c r="BR381" s="215">
        <f ca="1">IF($D381&lt;&gt;"Serviço",0,IF(AND(AUTOEVENTO="Manual",$M381=1),0,IF(OFFSET(CRONOPLE!$F$14,$M381,BR$13)="",10^12,OFFSET(CRONOPLE!$F$14,$M381,BR$13))))</f>
        <v>1000000000000</v>
      </c>
      <c r="BS381" s="215">
        <f ca="1">IF($D381&lt;&gt;"Serviço",0,IF(AND(AUTOEVENTO="Manual",$M381=1),0,IF(OFFSET(CRONOPLE!$F$14,$M381,BS$13)="",10^12,OFFSET(CRONOPLE!$F$14,$M381,BS$13))))</f>
        <v>1000000000000</v>
      </c>
      <c r="BT381" s="215">
        <f ca="1">IF($D381&lt;&gt;"Serviço",0,IF(AND(AUTOEVENTO="Manual",$M381=1),0,IF(OFFSET(CRONOPLE!$F$14,$M381,BT$13)="",10^12,OFFSET(CRONOPLE!$F$14,$M381,BT$13))))</f>
        <v>1000000000000</v>
      </c>
      <c r="BV381" s="216">
        <f ca="1">IF($D381&lt;&gt;"Serviço",0,IF(OR(AND(AUTOEVENTO="Manual",$M381=1),$M381&gt;(ROW(PLE.lastrow)-ROW(PLE.firstrow))),0,IF(OFFSET(PLE!$G$14,$M381,BV$13)="",10^12,OFFSET(PLE!$G$14,$M381,BV$13))))</f>
        <v>1000000000000</v>
      </c>
      <c r="BW381" s="216">
        <f ca="1">IF($D381&lt;&gt;"Serviço",0,IF(OR(AND(AUTOEVENTO="Manual",$M381=1),$M381&gt;(ROW(PLE.lastrow)-ROW(PLE.firstrow))),0,IF(OFFSET(PLE!$G$14,$M381,BW$13)="",10^12,OFFSET(PLE!$G$14,$M381,BW$13))))</f>
        <v>1000000000000</v>
      </c>
      <c r="BX381" s="216">
        <f ca="1">IF($D381&lt;&gt;"Serviço",0,IF(OR(AND(AUTOEVENTO="Manual",$M381=1),$M381&gt;(ROW(PLE.lastrow)-ROW(PLE.firstrow))),0,IF(OFFSET(PLE!$G$14,$M381,BX$13)="",10^12,OFFSET(PLE!$G$14,$M381,BX$13))))</f>
        <v>1000000000000</v>
      </c>
      <c r="BY381" s="216">
        <f ca="1">IF($D381&lt;&gt;"Serviço",0,IF(OR(AND(AUTOEVENTO="Manual",$M381=1),$M381&gt;(ROW(PLE.lastrow)-ROW(PLE.firstrow))),0,IF(OFFSET(PLE!$G$14,$M381,BY$13)="",10^12,OFFSET(PLE!$G$14,$M381,BY$13))))</f>
        <v>1000000000000</v>
      </c>
      <c r="BZ381" s="216">
        <f ca="1">IF($D381&lt;&gt;"Serviço",0,IF(OR(AND(AUTOEVENTO="Manual",$M381=1),$M381&gt;(ROW(PLE.lastrow)-ROW(PLE.firstrow))),0,IF(OFFSET(PLE!$G$14,$M381,BZ$13)="",10^12,OFFSET(PLE!$G$14,$M381,BZ$13))))</f>
        <v>1000000000000</v>
      </c>
      <c r="CA381" s="216">
        <f ca="1">IF($D381&lt;&gt;"Serviço",0,IF(OR(AND(AUTOEVENTO="Manual",$M381=1),$M381&gt;(ROW(PLE.lastrow)-ROW(PLE.firstrow))),0,IF(OFFSET(PLE!$G$14,$M381,CA$13)="",10^12,OFFSET(PLE!$G$14,$M381,CA$13))))</f>
        <v>1000000000000</v>
      </c>
      <c r="CB381" s="216">
        <f ca="1">IF($D381&lt;&gt;"Serviço",0,IF(OR(AND(AUTOEVENTO="Manual",$M381=1),$M381&gt;(ROW(PLE.lastrow)-ROW(PLE.firstrow))),0,IF(OFFSET(PLE!$G$14,$M381,CB$13)="",10^12,OFFSET(PLE!$G$14,$M381,CB$13))))</f>
        <v>1000000000000</v>
      </c>
      <c r="CC381" s="216">
        <f ca="1">IF($D381&lt;&gt;"Serviço",0,IF(OR(AND(AUTOEVENTO="Manual",$M381=1),$M381&gt;(ROW(PLE.lastrow)-ROW(PLE.firstrow))),0,IF(OFFSET(PLE!$G$14,$M381,CC$13)="",10^12,OFFSET(PLE!$G$14,$M381,CC$13))))</f>
        <v>1000000000000</v>
      </c>
      <c r="CD381" s="216">
        <f ca="1">IF($D381&lt;&gt;"Serviço",0,IF(OR(AND(AUTOEVENTO="Manual",$M381=1),$M381&gt;(ROW(PLE.lastrow)-ROW(PLE.firstrow))),0,IF(OFFSET(PLE!$G$14,$M381,CD$13)="",10^12,OFFSET(PLE!$G$14,$M381,CD$13))))</f>
        <v>1000000000000</v>
      </c>
      <c r="CE381" s="216">
        <f ca="1">IF($D381&lt;&gt;"Serviço",0,IF(OR(AND(AUTOEVENTO="Manual",$M381=1),$M381&gt;(ROW(PLE.lastrow)-ROW(PLE.firstrow))),0,IF(OFFSET(PLE!$G$14,$M381,CE$13)="",10^12,OFFSET(PLE!$G$14,$M381,CE$13))))</f>
        <v>1000000000000</v>
      </c>
      <c r="CF381" s="216">
        <f ca="1">IF($D381&lt;&gt;"Serviço",0,IF(OR(AND(AUTOEVENTO="Manual",$M381=1),$M381&gt;(ROW(PLE.lastrow)-ROW(PLE.firstrow))),0,IF(OFFSET(PLE!$G$14,$M381,CF$13)="",10^12,OFFSET(PLE!$G$14,$M381,CF$13))))</f>
        <v>1000000000000</v>
      </c>
      <c r="CG381" s="216">
        <f ca="1">IF($D381&lt;&gt;"Serviço",0,IF(OR(AND(AUTOEVENTO="Manual",$M381=1),$M381&gt;(ROW(PLE.lastrow)-ROW(PLE.firstrow))),0,IF(OFFSET(PLE!$G$14,$M381,CG$13)="",10^12,OFFSET(PLE!$G$14,$M381,CG$13))))</f>
        <v>1000000000000</v>
      </c>
      <c r="CH381" s="216">
        <f ca="1">IF($D381&lt;&gt;"Serviço",0,IF(OR(AND(AUTOEVENTO="Manual",$M381=1),$M381&gt;(ROW(PLE.lastrow)-ROW(PLE.firstrow))),0,IF(OFFSET(PLE!$G$14,$M381,CH$13)="",10^12,OFFSET(PLE!$G$14,$M381,CH$13))))</f>
        <v>1000000000000</v>
      </c>
      <c r="CI381" s="216">
        <f ca="1">IF($D381&lt;&gt;"Serviço",0,IF(OR(AND(AUTOEVENTO="Manual",$M381=1),$M381&gt;(ROW(PLE.lastrow)-ROW(PLE.firstrow))),0,IF(OFFSET(PLE!$G$14,$M381,CI$13)="",10^12,OFFSET(PLE!$G$14,$M381,CI$13))))</f>
        <v>1000000000000</v>
      </c>
      <c r="CJ381" s="216">
        <f ca="1">IF($D381&lt;&gt;"Serviço",0,IF(OR(AND(AUTOEVENTO="Manual",$M381=1),$M381&gt;(ROW(PLE.lastrow)-ROW(PLE.firstrow))),0,IF(OFFSET(PLE!$G$14,$M381,CJ$13)="",10^12,OFFSET(PLE!$G$14,$M381,CJ$13))))</f>
        <v>1000000000000</v>
      </c>
      <c r="CK381" s="216">
        <f ca="1">IF($D381&lt;&gt;"Serviço",0,IF(OR(AND(AUTOEVENTO="Manual",$M381=1),$M381&gt;(ROW(PLE.lastrow)-ROW(PLE.firstrow))),0,IF(OFFSET(PLE!$G$14,$M381,CK$13)="",10^12,OFFSET(PLE!$G$14,$M381,CK$13))))</f>
        <v>1000000000000</v>
      </c>
      <c r="CL381" s="216">
        <f ca="1">IF($D381&lt;&gt;"Serviço",0,IF(OR(AND(AUTOEVENTO="Manual",$M381=1),$M381&gt;(ROW(PLE.lastrow)-ROW(PLE.firstrow))),0,IF(OFFSET(PLE!$G$14,$M381,CL$13)="",10^12,OFFSET(PLE!$G$14,$M381,CL$13))))</f>
        <v>1000000000000</v>
      </c>
      <c r="CM381" s="216">
        <f ca="1">IF($D381&lt;&gt;"Serviço",0,IF(OR(AND(AUTOEVENTO="Manual",$M381=1),$M381&gt;(ROW(PLE.lastrow)-ROW(PLE.firstrow))),0,IF(OFFSET(PLE!$G$14,$M381,CM$13)="",10^12,OFFSET(PLE!$G$14,$M381,CM$13))))</f>
        <v>1000000000000</v>
      </c>
    </row>
    <row r="382" spans="1:91" ht="13.2" x14ac:dyDescent="0.25">
      <c r="A382" s="9">
        <f t="shared" ca="1" si="14"/>
        <v>0</v>
      </c>
      <c r="B382" s="9" t="str">
        <f ca="1">OFFSET(ORÇAMENTO!C$15,ROW(B382)-ROW(B$15),0)</f>
        <v>S</v>
      </c>
      <c r="C382" s="9" t="str">
        <f ca="1">OFFSET(ORÇAMENTO!L$15,ROW(C382)-ROW(C$15),0)</f>
        <v/>
      </c>
      <c r="D382" s="145" t="str">
        <f ca="1">OFFSET(ORÇAMENTO!N$15,ROW(D382)-ROW(D$15),0)</f>
        <v>Serviço</v>
      </c>
      <c r="E382" s="205" t="str">
        <f ca="1">OFFSET(ORÇAMENTO!O$15,ROW(E382)-ROW(E$15),0)</f>
        <v>-</v>
      </c>
      <c r="F382" s="206" t="str">
        <f ca="1">OFFSET(ORÇAMENTO!R$15,ROW(F382)-ROW(F$15),0)</f>
        <v>(abra o arquivo 'Referência 05-2024.xls)</v>
      </c>
      <c r="G382" s="207" t="str">
        <f ca="1">IF($D382&lt;&gt;"Serviço","",OFFSET(ORÇAMENTO!S$15,ROW(G382)-ROW(G$15),0))</f>
        <v>-</v>
      </c>
      <c r="H382" s="151">
        <f ca="1">IF($D382&lt;&gt;"Serviço",0,IF(ACOMPANHAMENTO="BM",ROUND(OFFSET(ORÇAMENTO!AJ$15,ROW(H382)-ROW(H$15),0),15-13*ORÇAMENTO!$AF$7),SUMPRODUCT(($Q$12:$AI$12&lt;&gt;"")*ROUND($Q382:$AI382,15-13*ORÇAMENTO!$AF$7))))</f>
        <v>2</v>
      </c>
      <c r="I382" s="650"/>
      <c r="K382" s="208"/>
      <c r="L382" s="209" t="s">
        <v>257</v>
      </c>
      <c r="M382" s="210">
        <f ca="1">IF($D382&lt;&gt;"Serviço","",IF(AUTOEVENTO="manual",$A382,IF(ISERROR(MATCH($A382,$A$15:OFFSET($A382,-1,0),0)),MAX($M$15:OFFSET(M382,-1,0))+1,INDEX($M$15:OFFSET(M382,-1,0),MATCH($A382,$A$15:OFFSET($A382,-1,0),0)))))</f>
        <v>0</v>
      </c>
      <c r="N382" s="211" t="str">
        <f ca="1">IF($D382&lt;&gt;"Serviço","",IF(AUTOEVENTO="Manual",IF($A382=0,"&lt;-- defina o número do agrupador",OFFSET(EVENTOS!$D$14,$A382,0)),OFFSET($F$15,$A382,0)))</f>
        <v>&lt;-- defina o número do agrupador</v>
      </c>
      <c r="O382" s="212"/>
      <c r="Q382" s="212"/>
      <c r="R382" s="213"/>
      <c r="S382" s="213"/>
      <c r="T382" s="213"/>
      <c r="U382" s="213"/>
      <c r="V382" s="213"/>
      <c r="W382" s="213"/>
      <c r="X382" s="213"/>
      <c r="Y382" s="213"/>
      <c r="Z382" s="214"/>
      <c r="AA382" s="213"/>
      <c r="AB382" s="213"/>
      <c r="AC382" s="213"/>
      <c r="AD382" s="213"/>
      <c r="AE382" s="213"/>
      <c r="AF382" s="213"/>
      <c r="AG382" s="213"/>
      <c r="AH382" s="214"/>
      <c r="AJ382" s="631">
        <f ca="1">IF(AND($D382="Serviço",AJ$12&lt;&gt;0,$H382&gt;0,OR(AUTOEVENTO&lt;&gt;"manual",$M382&lt;&gt;1)),ROUND(OFFSET($P382,0,AJ$13),15-13*ORÇAMENTO!$AF$7)/$H382*OFFSET(ORÇAMENTO!$X$15,ROW(AJ382)-ROW(AJ$15),0),0)</f>
        <v>0</v>
      </c>
      <c r="AK382" s="632">
        <f ca="1">IF(AND($D382="Serviço",AK$12&lt;&gt;0,$H382&gt;0,OR(AUTOEVENTO&lt;&gt;"manual",$M382&lt;&gt;1)),ROUND(OFFSET($P382,0,AK$13),15-13*ORÇAMENTO!$AF$7)/$H382*OFFSET(ORÇAMENTO!$X$15,ROW(AK382)-ROW(AK$15),0),0)</f>
        <v>0</v>
      </c>
      <c r="AL382" s="632">
        <f ca="1">IF(AND($D382="Serviço",AL$12&lt;&gt;0,$H382&gt;0,OR(AUTOEVENTO&lt;&gt;"manual",$M382&lt;&gt;1)),ROUND(OFFSET($P382,0,AL$13),15-13*ORÇAMENTO!$AF$7)/$H382*OFFSET(ORÇAMENTO!$X$15,ROW(AL382)-ROW(AL$15),0),0)</f>
        <v>0</v>
      </c>
      <c r="AM382" s="632">
        <f ca="1">IF(AND($D382="Serviço",AM$12&lt;&gt;0,$H382&gt;0,OR(AUTOEVENTO&lt;&gt;"manual",$M382&lt;&gt;1)),ROUND(OFFSET($P382,0,AM$13),15-13*ORÇAMENTO!$AF$7)/$H382*OFFSET(ORÇAMENTO!$X$15,ROW(AM382)-ROW(AM$15),0),0)</f>
        <v>0</v>
      </c>
      <c r="AN382" s="632">
        <f ca="1">IF(AND($D382="Serviço",AN$12&lt;&gt;0,$H382&gt;0,OR(AUTOEVENTO&lt;&gt;"manual",$M382&lt;&gt;1)),ROUND(OFFSET($P382,0,AN$13),15-13*ORÇAMENTO!$AF$7)/$H382*OFFSET(ORÇAMENTO!$X$15,ROW(AN382)-ROW(AN$15),0),0)</f>
        <v>0</v>
      </c>
      <c r="AO382" s="632">
        <f ca="1">IF(AND($D382="Serviço",AO$12&lt;&gt;0,$H382&gt;0,OR(AUTOEVENTO&lt;&gt;"manual",$M382&lt;&gt;1)),ROUND(OFFSET($P382,0,AO$13),15-13*ORÇAMENTO!$AF$7)/$H382*OFFSET(ORÇAMENTO!$X$15,ROW(AO382)-ROW(AO$15),0),0)</f>
        <v>0</v>
      </c>
      <c r="AP382" s="632">
        <f ca="1">IF(AND($D382="Serviço",AP$12&lt;&gt;0,$H382&gt;0,OR(AUTOEVENTO&lt;&gt;"manual",$M382&lt;&gt;1)),ROUND(OFFSET($P382,0,AP$13),15-13*ORÇAMENTO!$AF$7)/$H382*OFFSET(ORÇAMENTO!$X$15,ROW(AP382)-ROW(AP$15),0),0)</f>
        <v>0</v>
      </c>
      <c r="AQ382" s="632">
        <f ca="1">IF(AND($D382="Serviço",AQ$12&lt;&gt;0,$H382&gt;0,OR(AUTOEVENTO&lt;&gt;"manual",$M382&lt;&gt;1)),ROUND(OFFSET($P382,0,AQ$13),15-13*ORÇAMENTO!$AF$7)/$H382*OFFSET(ORÇAMENTO!$X$15,ROW(AQ382)-ROW(AQ$15),0),0)</f>
        <v>0</v>
      </c>
      <c r="AR382" s="632">
        <f ca="1">IF(AND($D382="Serviço",AR$12&lt;&gt;0,$H382&gt;0,OR(AUTOEVENTO&lt;&gt;"manual",$M382&lt;&gt;1)),ROUND(OFFSET($P382,0,AR$13),15-13*ORÇAMENTO!$AF$7)/$H382*OFFSET(ORÇAMENTO!$X$15,ROW(AR382)-ROW(AR$15),0),0)</f>
        <v>0</v>
      </c>
      <c r="AS382" s="633">
        <f ca="1">IF(AND($D382="Serviço",AS$12&lt;&gt;0,$H382&gt;0,OR(AUTOEVENTO&lt;&gt;"manual",$M382&lt;&gt;1)),ROUND(OFFSET($P382,0,AS$13),15-13*ORÇAMENTO!$AF$7)/$H382*OFFSET(ORÇAMENTO!$X$15,ROW(AS382)-ROW(AS$15),0),0)</f>
        <v>0</v>
      </c>
      <c r="AT382" s="632">
        <f ca="1">IF(AND($D382="Serviço",AT$12&lt;&gt;0,$H382&gt;0,OR(AUTOEVENTO&lt;&gt;"manual",$M382&lt;&gt;1)),ROUND(OFFSET($P382,0,AT$13),15-13*ORÇAMENTO!$AF$7)/$H382*OFFSET(ORÇAMENTO!$X$15,ROW(AT382)-ROW(AT$15),0),0)</f>
        <v>0</v>
      </c>
      <c r="AU382" s="632">
        <f ca="1">IF(AND($D382="Serviço",AU$12&lt;&gt;0,$H382&gt;0,OR(AUTOEVENTO&lt;&gt;"manual",$M382&lt;&gt;1)),ROUND(OFFSET($P382,0,AU$13),15-13*ORÇAMENTO!$AF$7)/$H382*OFFSET(ORÇAMENTO!$X$15,ROW(AU382)-ROW(AU$15),0),0)</f>
        <v>0</v>
      </c>
      <c r="AV382" s="632">
        <f ca="1">IF(AND($D382="Serviço",AV$12&lt;&gt;0,$H382&gt;0,OR(AUTOEVENTO&lt;&gt;"manual",$M382&lt;&gt;1)),ROUND(OFFSET($P382,0,AV$13),15-13*ORÇAMENTO!$AF$7)/$H382*OFFSET(ORÇAMENTO!$X$15,ROW(AV382)-ROW(AV$15),0),0)</f>
        <v>0</v>
      </c>
      <c r="AW382" s="632">
        <f ca="1">IF(AND($D382="Serviço",AW$12&lt;&gt;0,$H382&gt;0,OR(AUTOEVENTO&lt;&gt;"manual",$M382&lt;&gt;1)),ROUND(OFFSET($P382,0,AW$13),15-13*ORÇAMENTO!$AF$7)/$H382*OFFSET(ORÇAMENTO!$X$15,ROW(AW382)-ROW(AW$15),0),0)</f>
        <v>0</v>
      </c>
      <c r="AX382" s="632">
        <f ca="1">IF(AND($D382="Serviço",AX$12&lt;&gt;0,$H382&gt;0,OR(AUTOEVENTO&lt;&gt;"manual",$M382&lt;&gt;1)),ROUND(OFFSET($P382,0,AX$13),15-13*ORÇAMENTO!$AF$7)/$H382*OFFSET(ORÇAMENTO!$X$15,ROW(AX382)-ROW(AX$15),0),0)</f>
        <v>0</v>
      </c>
      <c r="AY382" s="632">
        <f ca="1">IF(AND($D382="Serviço",AY$12&lt;&gt;0,$H382&gt;0,OR(AUTOEVENTO&lt;&gt;"manual",$M382&lt;&gt;1)),ROUND(OFFSET($P382,0,AY$13),15-13*ORÇAMENTO!$AF$7)/$H382*OFFSET(ORÇAMENTO!$X$15,ROW(AY382)-ROW(AY$15),0),0)</f>
        <v>0</v>
      </c>
      <c r="AZ382" s="632">
        <f ca="1">IF(AND($D382="Serviço",AZ$12&lt;&gt;0,$H382&gt;0,OR(AUTOEVENTO&lt;&gt;"manual",$M382&lt;&gt;1)),ROUND(OFFSET($P382,0,AZ$13),15-13*ORÇAMENTO!$AF$7)/$H382*OFFSET(ORÇAMENTO!$X$15,ROW(AZ382)-ROW(AZ$15),0),0)</f>
        <v>0</v>
      </c>
      <c r="BA382" s="633">
        <f ca="1">IF(AND($D382="Serviço",BA$12&lt;&gt;0,$H382&gt;0,OR(AUTOEVENTO&lt;&gt;"manual",$M382&lt;&gt;1)),ROUND(OFFSET($P382,0,BA$13),15-13*ORÇAMENTO!$AF$7)/$H382*OFFSET(ORÇAMENTO!$X$15,ROW(BA382)-ROW(BA$15),0),0)</f>
        <v>0</v>
      </c>
      <c r="BC382" s="215">
        <f ca="1">IF($D382&lt;&gt;"Serviço",0,IF(AND(AUTOEVENTO="Manual",$M382=1),0,IF(OFFSET(CRONOPLE!$F$14,$M382,BC$13)="",10^12,OFFSET(CRONOPLE!$F$14,$M382,BC$13))))</f>
        <v>1000000000000</v>
      </c>
      <c r="BD382" s="215">
        <f ca="1">IF($D382&lt;&gt;"Serviço",0,IF(AND(AUTOEVENTO="Manual",$M382=1),0,IF(OFFSET(CRONOPLE!$F$14,$M382,BD$13)="",10^12,OFFSET(CRONOPLE!$F$14,$M382,BD$13))))</f>
        <v>1000000000000</v>
      </c>
      <c r="BE382" s="215">
        <f ca="1">IF($D382&lt;&gt;"Serviço",0,IF(AND(AUTOEVENTO="Manual",$M382=1),0,IF(OFFSET(CRONOPLE!$F$14,$M382,BE$13)="",10^12,OFFSET(CRONOPLE!$F$14,$M382,BE$13))))</f>
        <v>1000000000000</v>
      </c>
      <c r="BF382" s="215">
        <f ca="1">IF($D382&lt;&gt;"Serviço",0,IF(AND(AUTOEVENTO="Manual",$M382=1),0,IF(OFFSET(CRONOPLE!$F$14,$M382,BF$13)="",10^12,OFFSET(CRONOPLE!$F$14,$M382,BF$13))))</f>
        <v>1000000000000</v>
      </c>
      <c r="BG382" s="215">
        <f ca="1">IF($D382&lt;&gt;"Serviço",0,IF(AND(AUTOEVENTO="Manual",$M382=1),0,IF(OFFSET(CRONOPLE!$F$14,$M382,BG$13)="",10^12,OFFSET(CRONOPLE!$F$14,$M382,BG$13))))</f>
        <v>1000000000000</v>
      </c>
      <c r="BH382" s="215">
        <f ca="1">IF($D382&lt;&gt;"Serviço",0,IF(AND(AUTOEVENTO="Manual",$M382=1),0,IF(OFFSET(CRONOPLE!$F$14,$M382,BH$13)="",10^12,OFFSET(CRONOPLE!$F$14,$M382,BH$13))))</f>
        <v>1000000000000</v>
      </c>
      <c r="BI382" s="215">
        <f ca="1">IF($D382&lt;&gt;"Serviço",0,IF(AND(AUTOEVENTO="Manual",$M382=1),0,IF(OFFSET(CRONOPLE!$F$14,$M382,BI$13)="",10^12,OFFSET(CRONOPLE!$F$14,$M382,BI$13))))</f>
        <v>1000000000000</v>
      </c>
      <c r="BJ382" s="215">
        <f ca="1">IF($D382&lt;&gt;"Serviço",0,IF(AND(AUTOEVENTO="Manual",$M382=1),0,IF(OFFSET(CRONOPLE!$F$14,$M382,BJ$13)="",10^12,OFFSET(CRONOPLE!$F$14,$M382,BJ$13))))</f>
        <v>1000000000000</v>
      </c>
      <c r="BK382" s="215">
        <f ca="1">IF($D382&lt;&gt;"Serviço",0,IF(AND(AUTOEVENTO="Manual",$M382=1),0,IF(OFFSET(CRONOPLE!$F$14,$M382,BK$13)="",10^12,OFFSET(CRONOPLE!$F$14,$M382,BK$13))))</f>
        <v>1000000000000</v>
      </c>
      <c r="BL382" s="215">
        <f ca="1">IF($D382&lt;&gt;"Serviço",0,IF(AND(AUTOEVENTO="Manual",$M382=1),0,IF(OFFSET(CRONOPLE!$F$14,$M382,BL$13)="",10^12,OFFSET(CRONOPLE!$F$14,$M382,BL$13))))</f>
        <v>1000000000000</v>
      </c>
      <c r="BM382" s="215">
        <f ca="1">IF($D382&lt;&gt;"Serviço",0,IF(AND(AUTOEVENTO="Manual",$M382=1),0,IF(OFFSET(CRONOPLE!$F$14,$M382,BM$13)="",10^12,OFFSET(CRONOPLE!$F$14,$M382,BM$13))))</f>
        <v>1000000000000</v>
      </c>
      <c r="BN382" s="215">
        <f ca="1">IF($D382&lt;&gt;"Serviço",0,IF(AND(AUTOEVENTO="Manual",$M382=1),0,IF(OFFSET(CRONOPLE!$F$14,$M382,BN$13)="",10^12,OFFSET(CRONOPLE!$F$14,$M382,BN$13))))</f>
        <v>1000000000000</v>
      </c>
      <c r="BO382" s="215">
        <f ca="1">IF($D382&lt;&gt;"Serviço",0,IF(AND(AUTOEVENTO="Manual",$M382=1),0,IF(OFFSET(CRONOPLE!$F$14,$M382,BO$13)="",10^12,OFFSET(CRONOPLE!$F$14,$M382,BO$13))))</f>
        <v>1000000000000</v>
      </c>
      <c r="BP382" s="215">
        <f ca="1">IF($D382&lt;&gt;"Serviço",0,IF(AND(AUTOEVENTO="Manual",$M382=1),0,IF(OFFSET(CRONOPLE!$F$14,$M382,BP$13)="",10^12,OFFSET(CRONOPLE!$F$14,$M382,BP$13))))</f>
        <v>1000000000000</v>
      </c>
      <c r="BQ382" s="215">
        <f ca="1">IF($D382&lt;&gt;"Serviço",0,IF(AND(AUTOEVENTO="Manual",$M382=1),0,IF(OFFSET(CRONOPLE!$F$14,$M382,BQ$13)="",10^12,OFFSET(CRONOPLE!$F$14,$M382,BQ$13))))</f>
        <v>1000000000000</v>
      </c>
      <c r="BR382" s="215">
        <f ca="1">IF($D382&lt;&gt;"Serviço",0,IF(AND(AUTOEVENTO="Manual",$M382=1),0,IF(OFFSET(CRONOPLE!$F$14,$M382,BR$13)="",10^12,OFFSET(CRONOPLE!$F$14,$M382,BR$13))))</f>
        <v>1000000000000</v>
      </c>
      <c r="BS382" s="215">
        <f ca="1">IF($D382&lt;&gt;"Serviço",0,IF(AND(AUTOEVENTO="Manual",$M382=1),0,IF(OFFSET(CRONOPLE!$F$14,$M382,BS$13)="",10^12,OFFSET(CRONOPLE!$F$14,$M382,BS$13))))</f>
        <v>1000000000000</v>
      </c>
      <c r="BT382" s="215">
        <f ca="1">IF($D382&lt;&gt;"Serviço",0,IF(AND(AUTOEVENTO="Manual",$M382=1),0,IF(OFFSET(CRONOPLE!$F$14,$M382,BT$13)="",10^12,OFFSET(CRONOPLE!$F$14,$M382,BT$13))))</f>
        <v>1000000000000</v>
      </c>
      <c r="BV382" s="216">
        <f ca="1">IF($D382&lt;&gt;"Serviço",0,IF(OR(AND(AUTOEVENTO="Manual",$M382=1),$M382&gt;(ROW(PLE.lastrow)-ROW(PLE.firstrow))),0,IF(OFFSET(PLE!$G$14,$M382,BV$13)="",10^12,OFFSET(PLE!$G$14,$M382,BV$13))))</f>
        <v>1000000000000</v>
      </c>
      <c r="BW382" s="216">
        <f ca="1">IF($D382&lt;&gt;"Serviço",0,IF(OR(AND(AUTOEVENTO="Manual",$M382=1),$M382&gt;(ROW(PLE.lastrow)-ROW(PLE.firstrow))),0,IF(OFFSET(PLE!$G$14,$M382,BW$13)="",10^12,OFFSET(PLE!$G$14,$M382,BW$13))))</f>
        <v>1000000000000</v>
      </c>
      <c r="BX382" s="216">
        <f ca="1">IF($D382&lt;&gt;"Serviço",0,IF(OR(AND(AUTOEVENTO="Manual",$M382=1),$M382&gt;(ROW(PLE.lastrow)-ROW(PLE.firstrow))),0,IF(OFFSET(PLE!$G$14,$M382,BX$13)="",10^12,OFFSET(PLE!$G$14,$M382,BX$13))))</f>
        <v>1000000000000</v>
      </c>
      <c r="BY382" s="216">
        <f ca="1">IF($D382&lt;&gt;"Serviço",0,IF(OR(AND(AUTOEVENTO="Manual",$M382=1),$M382&gt;(ROW(PLE.lastrow)-ROW(PLE.firstrow))),0,IF(OFFSET(PLE!$G$14,$M382,BY$13)="",10^12,OFFSET(PLE!$G$14,$M382,BY$13))))</f>
        <v>1000000000000</v>
      </c>
      <c r="BZ382" s="216">
        <f ca="1">IF($D382&lt;&gt;"Serviço",0,IF(OR(AND(AUTOEVENTO="Manual",$M382=1),$M382&gt;(ROW(PLE.lastrow)-ROW(PLE.firstrow))),0,IF(OFFSET(PLE!$G$14,$M382,BZ$13)="",10^12,OFFSET(PLE!$G$14,$M382,BZ$13))))</f>
        <v>1000000000000</v>
      </c>
      <c r="CA382" s="216">
        <f ca="1">IF($D382&lt;&gt;"Serviço",0,IF(OR(AND(AUTOEVENTO="Manual",$M382=1),$M382&gt;(ROW(PLE.lastrow)-ROW(PLE.firstrow))),0,IF(OFFSET(PLE!$G$14,$M382,CA$13)="",10^12,OFFSET(PLE!$G$14,$M382,CA$13))))</f>
        <v>1000000000000</v>
      </c>
      <c r="CB382" s="216">
        <f ca="1">IF($D382&lt;&gt;"Serviço",0,IF(OR(AND(AUTOEVENTO="Manual",$M382=1),$M382&gt;(ROW(PLE.lastrow)-ROW(PLE.firstrow))),0,IF(OFFSET(PLE!$G$14,$M382,CB$13)="",10^12,OFFSET(PLE!$G$14,$M382,CB$13))))</f>
        <v>1000000000000</v>
      </c>
      <c r="CC382" s="216">
        <f ca="1">IF($D382&lt;&gt;"Serviço",0,IF(OR(AND(AUTOEVENTO="Manual",$M382=1),$M382&gt;(ROW(PLE.lastrow)-ROW(PLE.firstrow))),0,IF(OFFSET(PLE!$G$14,$M382,CC$13)="",10^12,OFFSET(PLE!$G$14,$M382,CC$13))))</f>
        <v>1000000000000</v>
      </c>
      <c r="CD382" s="216">
        <f ca="1">IF($D382&lt;&gt;"Serviço",0,IF(OR(AND(AUTOEVENTO="Manual",$M382=1),$M382&gt;(ROW(PLE.lastrow)-ROW(PLE.firstrow))),0,IF(OFFSET(PLE!$G$14,$M382,CD$13)="",10^12,OFFSET(PLE!$G$14,$M382,CD$13))))</f>
        <v>1000000000000</v>
      </c>
      <c r="CE382" s="216">
        <f ca="1">IF($D382&lt;&gt;"Serviço",0,IF(OR(AND(AUTOEVENTO="Manual",$M382=1),$M382&gt;(ROW(PLE.lastrow)-ROW(PLE.firstrow))),0,IF(OFFSET(PLE!$G$14,$M382,CE$13)="",10^12,OFFSET(PLE!$G$14,$M382,CE$13))))</f>
        <v>1000000000000</v>
      </c>
      <c r="CF382" s="216">
        <f ca="1">IF($D382&lt;&gt;"Serviço",0,IF(OR(AND(AUTOEVENTO="Manual",$M382=1),$M382&gt;(ROW(PLE.lastrow)-ROW(PLE.firstrow))),0,IF(OFFSET(PLE!$G$14,$M382,CF$13)="",10^12,OFFSET(PLE!$G$14,$M382,CF$13))))</f>
        <v>1000000000000</v>
      </c>
      <c r="CG382" s="216">
        <f ca="1">IF($D382&lt;&gt;"Serviço",0,IF(OR(AND(AUTOEVENTO="Manual",$M382=1),$M382&gt;(ROW(PLE.lastrow)-ROW(PLE.firstrow))),0,IF(OFFSET(PLE!$G$14,$M382,CG$13)="",10^12,OFFSET(PLE!$G$14,$M382,CG$13))))</f>
        <v>1000000000000</v>
      </c>
      <c r="CH382" s="216">
        <f ca="1">IF($D382&lt;&gt;"Serviço",0,IF(OR(AND(AUTOEVENTO="Manual",$M382=1),$M382&gt;(ROW(PLE.lastrow)-ROW(PLE.firstrow))),0,IF(OFFSET(PLE!$G$14,$M382,CH$13)="",10^12,OFFSET(PLE!$G$14,$M382,CH$13))))</f>
        <v>1000000000000</v>
      </c>
      <c r="CI382" s="216">
        <f ca="1">IF($D382&lt;&gt;"Serviço",0,IF(OR(AND(AUTOEVENTO="Manual",$M382=1),$M382&gt;(ROW(PLE.lastrow)-ROW(PLE.firstrow))),0,IF(OFFSET(PLE!$G$14,$M382,CI$13)="",10^12,OFFSET(PLE!$G$14,$M382,CI$13))))</f>
        <v>1000000000000</v>
      </c>
      <c r="CJ382" s="216">
        <f ca="1">IF($D382&lt;&gt;"Serviço",0,IF(OR(AND(AUTOEVENTO="Manual",$M382=1),$M382&gt;(ROW(PLE.lastrow)-ROW(PLE.firstrow))),0,IF(OFFSET(PLE!$G$14,$M382,CJ$13)="",10^12,OFFSET(PLE!$G$14,$M382,CJ$13))))</f>
        <v>1000000000000</v>
      </c>
      <c r="CK382" s="216">
        <f ca="1">IF($D382&lt;&gt;"Serviço",0,IF(OR(AND(AUTOEVENTO="Manual",$M382=1),$M382&gt;(ROW(PLE.lastrow)-ROW(PLE.firstrow))),0,IF(OFFSET(PLE!$G$14,$M382,CK$13)="",10^12,OFFSET(PLE!$G$14,$M382,CK$13))))</f>
        <v>1000000000000</v>
      </c>
      <c r="CL382" s="216">
        <f ca="1">IF($D382&lt;&gt;"Serviço",0,IF(OR(AND(AUTOEVENTO="Manual",$M382=1),$M382&gt;(ROW(PLE.lastrow)-ROW(PLE.firstrow))),0,IF(OFFSET(PLE!$G$14,$M382,CL$13)="",10^12,OFFSET(PLE!$G$14,$M382,CL$13))))</f>
        <v>1000000000000</v>
      </c>
      <c r="CM382" s="216">
        <f ca="1">IF($D382&lt;&gt;"Serviço",0,IF(OR(AND(AUTOEVENTO="Manual",$M382=1),$M382&gt;(ROW(PLE.lastrow)-ROW(PLE.firstrow))),0,IF(OFFSET(PLE!$G$14,$M382,CM$13)="",10^12,OFFSET(PLE!$G$14,$M382,CM$13))))</f>
        <v>1000000000000</v>
      </c>
    </row>
    <row r="383" spans="1:91" ht="13.2" x14ac:dyDescent="0.25">
      <c r="A383" s="9">
        <f t="shared" ca="1" si="14"/>
        <v>0</v>
      </c>
      <c r="B383" s="9" t="str">
        <f ca="1">OFFSET(ORÇAMENTO!C$15,ROW(B383)-ROW(B$15),0)</f>
        <v>S</v>
      </c>
      <c r="C383" s="9" t="str">
        <f ca="1">OFFSET(ORÇAMENTO!L$15,ROW(C383)-ROW(C$15),0)</f>
        <v/>
      </c>
      <c r="D383" s="145" t="str">
        <f ca="1">OFFSET(ORÇAMENTO!N$15,ROW(D383)-ROW(D$15),0)</f>
        <v>Serviço</v>
      </c>
      <c r="E383" s="205" t="str">
        <f ca="1">OFFSET(ORÇAMENTO!O$15,ROW(E383)-ROW(E$15),0)</f>
        <v>-</v>
      </c>
      <c r="F383" s="206" t="str">
        <f ca="1">OFFSET(ORÇAMENTO!R$15,ROW(F383)-ROW(F$15),0)</f>
        <v>(abra o arquivo 'Referência 05-2024.xls)</v>
      </c>
      <c r="G383" s="207" t="str">
        <f ca="1">IF($D383&lt;&gt;"Serviço","",OFFSET(ORÇAMENTO!S$15,ROW(G383)-ROW(G$15),0))</f>
        <v>-</v>
      </c>
      <c r="H383" s="151">
        <f ca="1">IF($D383&lt;&gt;"Serviço",0,IF(ACOMPANHAMENTO="BM",ROUND(OFFSET(ORÇAMENTO!AJ$15,ROW(H383)-ROW(H$15),0),15-13*ORÇAMENTO!$AF$7),SUMPRODUCT(($Q$12:$AI$12&lt;&gt;"")*ROUND($Q383:$AI383,15-13*ORÇAMENTO!$AF$7))))</f>
        <v>33</v>
      </c>
      <c r="I383" s="650"/>
      <c r="K383" s="208"/>
      <c r="L383" s="209" t="s">
        <v>257</v>
      </c>
      <c r="M383" s="210">
        <f ca="1">IF($D383&lt;&gt;"Serviço","",IF(AUTOEVENTO="manual",$A383,IF(ISERROR(MATCH($A383,$A$15:OFFSET($A383,-1,0),0)),MAX($M$15:OFFSET(M383,-1,0))+1,INDEX($M$15:OFFSET(M383,-1,0),MATCH($A383,$A$15:OFFSET($A383,-1,0),0)))))</f>
        <v>0</v>
      </c>
      <c r="N383" s="211" t="str">
        <f ca="1">IF($D383&lt;&gt;"Serviço","",IF(AUTOEVENTO="Manual",IF($A383=0,"&lt;-- defina o número do agrupador",OFFSET(EVENTOS!$D$14,$A383,0)),OFFSET($F$15,$A383,0)))</f>
        <v>&lt;-- defina o número do agrupador</v>
      </c>
      <c r="O383" s="212"/>
      <c r="Q383" s="212"/>
      <c r="R383" s="213"/>
      <c r="S383" s="213"/>
      <c r="T383" s="213"/>
      <c r="U383" s="213"/>
      <c r="V383" s="213"/>
      <c r="W383" s="213"/>
      <c r="X383" s="213"/>
      <c r="Y383" s="213"/>
      <c r="Z383" s="214"/>
      <c r="AA383" s="213"/>
      <c r="AB383" s="213"/>
      <c r="AC383" s="213"/>
      <c r="AD383" s="213"/>
      <c r="AE383" s="213"/>
      <c r="AF383" s="213"/>
      <c r="AG383" s="213"/>
      <c r="AH383" s="214"/>
      <c r="AJ383" s="631">
        <f ca="1">IF(AND($D383="Serviço",AJ$12&lt;&gt;0,$H383&gt;0,OR(AUTOEVENTO&lt;&gt;"manual",$M383&lt;&gt;1)),ROUND(OFFSET($P383,0,AJ$13),15-13*ORÇAMENTO!$AF$7)/$H383*OFFSET(ORÇAMENTO!$X$15,ROW(AJ383)-ROW(AJ$15),0),0)</f>
        <v>0</v>
      </c>
      <c r="AK383" s="632">
        <f ca="1">IF(AND($D383="Serviço",AK$12&lt;&gt;0,$H383&gt;0,OR(AUTOEVENTO&lt;&gt;"manual",$M383&lt;&gt;1)),ROUND(OFFSET($P383,0,AK$13),15-13*ORÇAMENTO!$AF$7)/$H383*OFFSET(ORÇAMENTO!$X$15,ROW(AK383)-ROW(AK$15),0),0)</f>
        <v>0</v>
      </c>
      <c r="AL383" s="632">
        <f ca="1">IF(AND($D383="Serviço",AL$12&lt;&gt;0,$H383&gt;0,OR(AUTOEVENTO&lt;&gt;"manual",$M383&lt;&gt;1)),ROUND(OFFSET($P383,0,AL$13),15-13*ORÇAMENTO!$AF$7)/$H383*OFFSET(ORÇAMENTO!$X$15,ROW(AL383)-ROW(AL$15),0),0)</f>
        <v>0</v>
      </c>
      <c r="AM383" s="632">
        <f ca="1">IF(AND($D383="Serviço",AM$12&lt;&gt;0,$H383&gt;0,OR(AUTOEVENTO&lt;&gt;"manual",$M383&lt;&gt;1)),ROUND(OFFSET($P383,0,AM$13),15-13*ORÇAMENTO!$AF$7)/$H383*OFFSET(ORÇAMENTO!$X$15,ROW(AM383)-ROW(AM$15),0),0)</f>
        <v>0</v>
      </c>
      <c r="AN383" s="632">
        <f ca="1">IF(AND($D383="Serviço",AN$12&lt;&gt;0,$H383&gt;0,OR(AUTOEVENTO&lt;&gt;"manual",$M383&lt;&gt;1)),ROUND(OFFSET($P383,0,AN$13),15-13*ORÇAMENTO!$AF$7)/$H383*OFFSET(ORÇAMENTO!$X$15,ROW(AN383)-ROW(AN$15),0),0)</f>
        <v>0</v>
      </c>
      <c r="AO383" s="632">
        <f ca="1">IF(AND($D383="Serviço",AO$12&lt;&gt;0,$H383&gt;0,OR(AUTOEVENTO&lt;&gt;"manual",$M383&lt;&gt;1)),ROUND(OFFSET($P383,0,AO$13),15-13*ORÇAMENTO!$AF$7)/$H383*OFFSET(ORÇAMENTO!$X$15,ROW(AO383)-ROW(AO$15),0),0)</f>
        <v>0</v>
      </c>
      <c r="AP383" s="632">
        <f ca="1">IF(AND($D383="Serviço",AP$12&lt;&gt;0,$H383&gt;0,OR(AUTOEVENTO&lt;&gt;"manual",$M383&lt;&gt;1)),ROUND(OFFSET($P383,0,AP$13),15-13*ORÇAMENTO!$AF$7)/$H383*OFFSET(ORÇAMENTO!$X$15,ROW(AP383)-ROW(AP$15),0),0)</f>
        <v>0</v>
      </c>
      <c r="AQ383" s="632">
        <f ca="1">IF(AND($D383="Serviço",AQ$12&lt;&gt;0,$H383&gt;0,OR(AUTOEVENTO&lt;&gt;"manual",$M383&lt;&gt;1)),ROUND(OFFSET($P383,0,AQ$13),15-13*ORÇAMENTO!$AF$7)/$H383*OFFSET(ORÇAMENTO!$X$15,ROW(AQ383)-ROW(AQ$15),0),0)</f>
        <v>0</v>
      </c>
      <c r="AR383" s="632">
        <f ca="1">IF(AND($D383="Serviço",AR$12&lt;&gt;0,$H383&gt;0,OR(AUTOEVENTO&lt;&gt;"manual",$M383&lt;&gt;1)),ROUND(OFFSET($P383,0,AR$13),15-13*ORÇAMENTO!$AF$7)/$H383*OFFSET(ORÇAMENTO!$X$15,ROW(AR383)-ROW(AR$15),0),0)</f>
        <v>0</v>
      </c>
      <c r="AS383" s="633">
        <f ca="1">IF(AND($D383="Serviço",AS$12&lt;&gt;0,$H383&gt;0,OR(AUTOEVENTO&lt;&gt;"manual",$M383&lt;&gt;1)),ROUND(OFFSET($P383,0,AS$13),15-13*ORÇAMENTO!$AF$7)/$H383*OFFSET(ORÇAMENTO!$X$15,ROW(AS383)-ROW(AS$15),0),0)</f>
        <v>0</v>
      </c>
      <c r="AT383" s="632">
        <f ca="1">IF(AND($D383="Serviço",AT$12&lt;&gt;0,$H383&gt;0,OR(AUTOEVENTO&lt;&gt;"manual",$M383&lt;&gt;1)),ROUND(OFFSET($P383,0,AT$13),15-13*ORÇAMENTO!$AF$7)/$H383*OFFSET(ORÇAMENTO!$X$15,ROW(AT383)-ROW(AT$15),0),0)</f>
        <v>0</v>
      </c>
      <c r="AU383" s="632">
        <f ca="1">IF(AND($D383="Serviço",AU$12&lt;&gt;0,$H383&gt;0,OR(AUTOEVENTO&lt;&gt;"manual",$M383&lt;&gt;1)),ROUND(OFFSET($P383,0,AU$13),15-13*ORÇAMENTO!$AF$7)/$H383*OFFSET(ORÇAMENTO!$X$15,ROW(AU383)-ROW(AU$15),0),0)</f>
        <v>0</v>
      </c>
      <c r="AV383" s="632">
        <f ca="1">IF(AND($D383="Serviço",AV$12&lt;&gt;0,$H383&gt;0,OR(AUTOEVENTO&lt;&gt;"manual",$M383&lt;&gt;1)),ROUND(OFFSET($P383,0,AV$13),15-13*ORÇAMENTO!$AF$7)/$H383*OFFSET(ORÇAMENTO!$X$15,ROW(AV383)-ROW(AV$15),0),0)</f>
        <v>0</v>
      </c>
      <c r="AW383" s="632">
        <f ca="1">IF(AND($D383="Serviço",AW$12&lt;&gt;0,$H383&gt;0,OR(AUTOEVENTO&lt;&gt;"manual",$M383&lt;&gt;1)),ROUND(OFFSET($P383,0,AW$13),15-13*ORÇAMENTO!$AF$7)/$H383*OFFSET(ORÇAMENTO!$X$15,ROW(AW383)-ROW(AW$15),0),0)</f>
        <v>0</v>
      </c>
      <c r="AX383" s="632">
        <f ca="1">IF(AND($D383="Serviço",AX$12&lt;&gt;0,$H383&gt;0,OR(AUTOEVENTO&lt;&gt;"manual",$M383&lt;&gt;1)),ROUND(OFFSET($P383,0,AX$13),15-13*ORÇAMENTO!$AF$7)/$H383*OFFSET(ORÇAMENTO!$X$15,ROW(AX383)-ROW(AX$15),0),0)</f>
        <v>0</v>
      </c>
      <c r="AY383" s="632">
        <f ca="1">IF(AND($D383="Serviço",AY$12&lt;&gt;0,$H383&gt;0,OR(AUTOEVENTO&lt;&gt;"manual",$M383&lt;&gt;1)),ROUND(OFFSET($P383,0,AY$13),15-13*ORÇAMENTO!$AF$7)/$H383*OFFSET(ORÇAMENTO!$X$15,ROW(AY383)-ROW(AY$15),0),0)</f>
        <v>0</v>
      </c>
      <c r="AZ383" s="632">
        <f ca="1">IF(AND($D383="Serviço",AZ$12&lt;&gt;0,$H383&gt;0,OR(AUTOEVENTO&lt;&gt;"manual",$M383&lt;&gt;1)),ROUND(OFFSET($P383,0,AZ$13),15-13*ORÇAMENTO!$AF$7)/$H383*OFFSET(ORÇAMENTO!$X$15,ROW(AZ383)-ROW(AZ$15),0),0)</f>
        <v>0</v>
      </c>
      <c r="BA383" s="633">
        <f ca="1">IF(AND($D383="Serviço",BA$12&lt;&gt;0,$H383&gt;0,OR(AUTOEVENTO&lt;&gt;"manual",$M383&lt;&gt;1)),ROUND(OFFSET($P383,0,BA$13),15-13*ORÇAMENTO!$AF$7)/$H383*OFFSET(ORÇAMENTO!$X$15,ROW(BA383)-ROW(BA$15),0),0)</f>
        <v>0</v>
      </c>
      <c r="BC383" s="215">
        <f ca="1">IF($D383&lt;&gt;"Serviço",0,IF(AND(AUTOEVENTO="Manual",$M383=1),0,IF(OFFSET(CRONOPLE!$F$14,$M383,BC$13)="",10^12,OFFSET(CRONOPLE!$F$14,$M383,BC$13))))</f>
        <v>1000000000000</v>
      </c>
      <c r="BD383" s="215">
        <f ca="1">IF($D383&lt;&gt;"Serviço",0,IF(AND(AUTOEVENTO="Manual",$M383=1),0,IF(OFFSET(CRONOPLE!$F$14,$M383,BD$13)="",10^12,OFFSET(CRONOPLE!$F$14,$M383,BD$13))))</f>
        <v>1000000000000</v>
      </c>
      <c r="BE383" s="215">
        <f ca="1">IF($D383&lt;&gt;"Serviço",0,IF(AND(AUTOEVENTO="Manual",$M383=1),0,IF(OFFSET(CRONOPLE!$F$14,$M383,BE$13)="",10^12,OFFSET(CRONOPLE!$F$14,$M383,BE$13))))</f>
        <v>1000000000000</v>
      </c>
      <c r="BF383" s="215">
        <f ca="1">IF($D383&lt;&gt;"Serviço",0,IF(AND(AUTOEVENTO="Manual",$M383=1),0,IF(OFFSET(CRONOPLE!$F$14,$M383,BF$13)="",10^12,OFFSET(CRONOPLE!$F$14,$M383,BF$13))))</f>
        <v>1000000000000</v>
      </c>
      <c r="BG383" s="215">
        <f ca="1">IF($D383&lt;&gt;"Serviço",0,IF(AND(AUTOEVENTO="Manual",$M383=1),0,IF(OFFSET(CRONOPLE!$F$14,$M383,BG$13)="",10^12,OFFSET(CRONOPLE!$F$14,$M383,BG$13))))</f>
        <v>1000000000000</v>
      </c>
      <c r="BH383" s="215">
        <f ca="1">IF($D383&lt;&gt;"Serviço",0,IF(AND(AUTOEVENTO="Manual",$M383=1),0,IF(OFFSET(CRONOPLE!$F$14,$M383,BH$13)="",10^12,OFFSET(CRONOPLE!$F$14,$M383,BH$13))))</f>
        <v>1000000000000</v>
      </c>
      <c r="BI383" s="215">
        <f ca="1">IF($D383&lt;&gt;"Serviço",0,IF(AND(AUTOEVENTO="Manual",$M383=1),0,IF(OFFSET(CRONOPLE!$F$14,$M383,BI$13)="",10^12,OFFSET(CRONOPLE!$F$14,$M383,BI$13))))</f>
        <v>1000000000000</v>
      </c>
      <c r="BJ383" s="215">
        <f ca="1">IF($D383&lt;&gt;"Serviço",0,IF(AND(AUTOEVENTO="Manual",$M383=1),0,IF(OFFSET(CRONOPLE!$F$14,$M383,BJ$13)="",10^12,OFFSET(CRONOPLE!$F$14,$M383,BJ$13))))</f>
        <v>1000000000000</v>
      </c>
      <c r="BK383" s="215">
        <f ca="1">IF($D383&lt;&gt;"Serviço",0,IF(AND(AUTOEVENTO="Manual",$M383=1),0,IF(OFFSET(CRONOPLE!$F$14,$M383,BK$13)="",10^12,OFFSET(CRONOPLE!$F$14,$M383,BK$13))))</f>
        <v>1000000000000</v>
      </c>
      <c r="BL383" s="215">
        <f ca="1">IF($D383&lt;&gt;"Serviço",0,IF(AND(AUTOEVENTO="Manual",$M383=1),0,IF(OFFSET(CRONOPLE!$F$14,$M383,BL$13)="",10^12,OFFSET(CRONOPLE!$F$14,$M383,BL$13))))</f>
        <v>1000000000000</v>
      </c>
      <c r="BM383" s="215">
        <f ca="1">IF($D383&lt;&gt;"Serviço",0,IF(AND(AUTOEVENTO="Manual",$M383=1),0,IF(OFFSET(CRONOPLE!$F$14,$M383,BM$13)="",10^12,OFFSET(CRONOPLE!$F$14,$M383,BM$13))))</f>
        <v>1000000000000</v>
      </c>
      <c r="BN383" s="215">
        <f ca="1">IF($D383&lt;&gt;"Serviço",0,IF(AND(AUTOEVENTO="Manual",$M383=1),0,IF(OFFSET(CRONOPLE!$F$14,$M383,BN$13)="",10^12,OFFSET(CRONOPLE!$F$14,$M383,BN$13))))</f>
        <v>1000000000000</v>
      </c>
      <c r="BO383" s="215">
        <f ca="1">IF($D383&lt;&gt;"Serviço",0,IF(AND(AUTOEVENTO="Manual",$M383=1),0,IF(OFFSET(CRONOPLE!$F$14,$M383,BO$13)="",10^12,OFFSET(CRONOPLE!$F$14,$M383,BO$13))))</f>
        <v>1000000000000</v>
      </c>
      <c r="BP383" s="215">
        <f ca="1">IF($D383&lt;&gt;"Serviço",0,IF(AND(AUTOEVENTO="Manual",$M383=1),0,IF(OFFSET(CRONOPLE!$F$14,$M383,BP$13)="",10^12,OFFSET(CRONOPLE!$F$14,$M383,BP$13))))</f>
        <v>1000000000000</v>
      </c>
      <c r="BQ383" s="215">
        <f ca="1">IF($D383&lt;&gt;"Serviço",0,IF(AND(AUTOEVENTO="Manual",$M383=1),0,IF(OFFSET(CRONOPLE!$F$14,$M383,BQ$13)="",10^12,OFFSET(CRONOPLE!$F$14,$M383,BQ$13))))</f>
        <v>1000000000000</v>
      </c>
      <c r="BR383" s="215">
        <f ca="1">IF($D383&lt;&gt;"Serviço",0,IF(AND(AUTOEVENTO="Manual",$M383=1),0,IF(OFFSET(CRONOPLE!$F$14,$M383,BR$13)="",10^12,OFFSET(CRONOPLE!$F$14,$M383,BR$13))))</f>
        <v>1000000000000</v>
      </c>
      <c r="BS383" s="215">
        <f ca="1">IF($D383&lt;&gt;"Serviço",0,IF(AND(AUTOEVENTO="Manual",$M383=1),0,IF(OFFSET(CRONOPLE!$F$14,$M383,BS$13)="",10^12,OFFSET(CRONOPLE!$F$14,$M383,BS$13))))</f>
        <v>1000000000000</v>
      </c>
      <c r="BT383" s="215">
        <f ca="1">IF($D383&lt;&gt;"Serviço",0,IF(AND(AUTOEVENTO="Manual",$M383=1),0,IF(OFFSET(CRONOPLE!$F$14,$M383,BT$13)="",10^12,OFFSET(CRONOPLE!$F$14,$M383,BT$13))))</f>
        <v>1000000000000</v>
      </c>
      <c r="BV383" s="216">
        <f ca="1">IF($D383&lt;&gt;"Serviço",0,IF(OR(AND(AUTOEVENTO="Manual",$M383=1),$M383&gt;(ROW(PLE.lastrow)-ROW(PLE.firstrow))),0,IF(OFFSET(PLE!$G$14,$M383,BV$13)="",10^12,OFFSET(PLE!$G$14,$M383,BV$13))))</f>
        <v>1000000000000</v>
      </c>
      <c r="BW383" s="216">
        <f ca="1">IF($D383&lt;&gt;"Serviço",0,IF(OR(AND(AUTOEVENTO="Manual",$M383=1),$M383&gt;(ROW(PLE.lastrow)-ROW(PLE.firstrow))),0,IF(OFFSET(PLE!$G$14,$M383,BW$13)="",10^12,OFFSET(PLE!$G$14,$M383,BW$13))))</f>
        <v>1000000000000</v>
      </c>
      <c r="BX383" s="216">
        <f ca="1">IF($D383&lt;&gt;"Serviço",0,IF(OR(AND(AUTOEVENTO="Manual",$M383=1),$M383&gt;(ROW(PLE.lastrow)-ROW(PLE.firstrow))),0,IF(OFFSET(PLE!$G$14,$M383,BX$13)="",10^12,OFFSET(PLE!$G$14,$M383,BX$13))))</f>
        <v>1000000000000</v>
      </c>
      <c r="BY383" s="216">
        <f ca="1">IF($D383&lt;&gt;"Serviço",0,IF(OR(AND(AUTOEVENTO="Manual",$M383=1),$M383&gt;(ROW(PLE.lastrow)-ROW(PLE.firstrow))),0,IF(OFFSET(PLE!$G$14,$M383,BY$13)="",10^12,OFFSET(PLE!$G$14,$M383,BY$13))))</f>
        <v>1000000000000</v>
      </c>
      <c r="BZ383" s="216">
        <f ca="1">IF($D383&lt;&gt;"Serviço",0,IF(OR(AND(AUTOEVENTO="Manual",$M383=1),$M383&gt;(ROW(PLE.lastrow)-ROW(PLE.firstrow))),0,IF(OFFSET(PLE!$G$14,$M383,BZ$13)="",10^12,OFFSET(PLE!$G$14,$M383,BZ$13))))</f>
        <v>1000000000000</v>
      </c>
      <c r="CA383" s="216">
        <f ca="1">IF($D383&lt;&gt;"Serviço",0,IF(OR(AND(AUTOEVENTO="Manual",$M383=1),$M383&gt;(ROW(PLE.lastrow)-ROW(PLE.firstrow))),0,IF(OFFSET(PLE!$G$14,$M383,CA$13)="",10^12,OFFSET(PLE!$G$14,$M383,CA$13))))</f>
        <v>1000000000000</v>
      </c>
      <c r="CB383" s="216">
        <f ca="1">IF($D383&lt;&gt;"Serviço",0,IF(OR(AND(AUTOEVENTO="Manual",$M383=1),$M383&gt;(ROW(PLE.lastrow)-ROW(PLE.firstrow))),0,IF(OFFSET(PLE!$G$14,$M383,CB$13)="",10^12,OFFSET(PLE!$G$14,$M383,CB$13))))</f>
        <v>1000000000000</v>
      </c>
      <c r="CC383" s="216">
        <f ca="1">IF($D383&lt;&gt;"Serviço",0,IF(OR(AND(AUTOEVENTO="Manual",$M383=1),$M383&gt;(ROW(PLE.lastrow)-ROW(PLE.firstrow))),0,IF(OFFSET(PLE!$G$14,$M383,CC$13)="",10^12,OFFSET(PLE!$G$14,$M383,CC$13))))</f>
        <v>1000000000000</v>
      </c>
      <c r="CD383" s="216">
        <f ca="1">IF($D383&lt;&gt;"Serviço",0,IF(OR(AND(AUTOEVENTO="Manual",$M383=1),$M383&gt;(ROW(PLE.lastrow)-ROW(PLE.firstrow))),0,IF(OFFSET(PLE!$G$14,$M383,CD$13)="",10^12,OFFSET(PLE!$G$14,$M383,CD$13))))</f>
        <v>1000000000000</v>
      </c>
      <c r="CE383" s="216">
        <f ca="1">IF($D383&lt;&gt;"Serviço",0,IF(OR(AND(AUTOEVENTO="Manual",$M383=1),$M383&gt;(ROW(PLE.lastrow)-ROW(PLE.firstrow))),0,IF(OFFSET(PLE!$G$14,$M383,CE$13)="",10^12,OFFSET(PLE!$G$14,$M383,CE$13))))</f>
        <v>1000000000000</v>
      </c>
      <c r="CF383" s="216">
        <f ca="1">IF($D383&lt;&gt;"Serviço",0,IF(OR(AND(AUTOEVENTO="Manual",$M383=1),$M383&gt;(ROW(PLE.lastrow)-ROW(PLE.firstrow))),0,IF(OFFSET(PLE!$G$14,$M383,CF$13)="",10^12,OFFSET(PLE!$G$14,$M383,CF$13))))</f>
        <v>1000000000000</v>
      </c>
      <c r="CG383" s="216">
        <f ca="1">IF($D383&lt;&gt;"Serviço",0,IF(OR(AND(AUTOEVENTO="Manual",$M383=1),$M383&gt;(ROW(PLE.lastrow)-ROW(PLE.firstrow))),0,IF(OFFSET(PLE!$G$14,$M383,CG$13)="",10^12,OFFSET(PLE!$G$14,$M383,CG$13))))</f>
        <v>1000000000000</v>
      </c>
      <c r="CH383" s="216">
        <f ca="1">IF($D383&lt;&gt;"Serviço",0,IF(OR(AND(AUTOEVENTO="Manual",$M383=1),$M383&gt;(ROW(PLE.lastrow)-ROW(PLE.firstrow))),0,IF(OFFSET(PLE!$G$14,$M383,CH$13)="",10^12,OFFSET(PLE!$G$14,$M383,CH$13))))</f>
        <v>1000000000000</v>
      </c>
      <c r="CI383" s="216">
        <f ca="1">IF($D383&lt;&gt;"Serviço",0,IF(OR(AND(AUTOEVENTO="Manual",$M383=1),$M383&gt;(ROW(PLE.lastrow)-ROW(PLE.firstrow))),0,IF(OFFSET(PLE!$G$14,$M383,CI$13)="",10^12,OFFSET(PLE!$G$14,$M383,CI$13))))</f>
        <v>1000000000000</v>
      </c>
      <c r="CJ383" s="216">
        <f ca="1">IF($D383&lt;&gt;"Serviço",0,IF(OR(AND(AUTOEVENTO="Manual",$M383=1),$M383&gt;(ROW(PLE.lastrow)-ROW(PLE.firstrow))),0,IF(OFFSET(PLE!$G$14,$M383,CJ$13)="",10^12,OFFSET(PLE!$G$14,$M383,CJ$13))))</f>
        <v>1000000000000</v>
      </c>
      <c r="CK383" s="216">
        <f ca="1">IF($D383&lt;&gt;"Serviço",0,IF(OR(AND(AUTOEVENTO="Manual",$M383=1),$M383&gt;(ROW(PLE.lastrow)-ROW(PLE.firstrow))),0,IF(OFFSET(PLE!$G$14,$M383,CK$13)="",10^12,OFFSET(PLE!$G$14,$M383,CK$13))))</f>
        <v>1000000000000</v>
      </c>
      <c r="CL383" s="216">
        <f ca="1">IF($D383&lt;&gt;"Serviço",0,IF(OR(AND(AUTOEVENTO="Manual",$M383=1),$M383&gt;(ROW(PLE.lastrow)-ROW(PLE.firstrow))),0,IF(OFFSET(PLE!$G$14,$M383,CL$13)="",10^12,OFFSET(PLE!$G$14,$M383,CL$13))))</f>
        <v>1000000000000</v>
      </c>
      <c r="CM383" s="216">
        <f ca="1">IF($D383&lt;&gt;"Serviço",0,IF(OR(AND(AUTOEVENTO="Manual",$M383=1),$M383&gt;(ROW(PLE.lastrow)-ROW(PLE.firstrow))),0,IF(OFFSET(PLE!$G$14,$M383,CM$13)="",10^12,OFFSET(PLE!$G$14,$M383,CM$13))))</f>
        <v>1000000000000</v>
      </c>
    </row>
    <row r="384" spans="1:91" ht="13.2" x14ac:dyDescent="0.25">
      <c r="A384" s="9">
        <f t="shared" ca="1" si="14"/>
        <v>0</v>
      </c>
      <c r="B384" s="9" t="str">
        <f ca="1">OFFSET(ORÇAMENTO!C$15,ROW(B384)-ROW(B$15),0)</f>
        <v>S</v>
      </c>
      <c r="C384" s="9" t="str">
        <f ca="1">OFFSET(ORÇAMENTO!L$15,ROW(C384)-ROW(C$15),0)</f>
        <v/>
      </c>
      <c r="D384" s="145" t="str">
        <f ca="1">OFFSET(ORÇAMENTO!N$15,ROW(D384)-ROW(D$15),0)</f>
        <v>Serviço</v>
      </c>
      <c r="E384" s="205" t="str">
        <f ca="1">OFFSET(ORÇAMENTO!O$15,ROW(E384)-ROW(E$15),0)</f>
        <v>-</v>
      </c>
      <c r="F384" s="206" t="str">
        <f ca="1">OFFSET(ORÇAMENTO!R$15,ROW(F384)-ROW(F$15),0)</f>
        <v>(abra o arquivo 'Referência 05-2024.xls)</v>
      </c>
      <c r="G384" s="207" t="str">
        <f ca="1">IF($D384&lt;&gt;"Serviço","",OFFSET(ORÇAMENTO!S$15,ROW(G384)-ROW(G$15),0))</f>
        <v>-</v>
      </c>
      <c r="H384" s="151">
        <f ca="1">IF($D384&lt;&gt;"Serviço",0,IF(ACOMPANHAMENTO="BM",ROUND(OFFSET(ORÇAMENTO!AJ$15,ROW(H384)-ROW(H$15),0),15-13*ORÇAMENTO!$AF$7),SUMPRODUCT(($Q$12:$AI$12&lt;&gt;"")*ROUND($Q384:$AI384,15-13*ORÇAMENTO!$AF$7))))</f>
        <v>2</v>
      </c>
      <c r="I384" s="650"/>
      <c r="K384" s="208"/>
      <c r="L384" s="209" t="s">
        <v>257</v>
      </c>
      <c r="M384" s="210">
        <f ca="1">IF($D384&lt;&gt;"Serviço","",IF(AUTOEVENTO="manual",$A384,IF(ISERROR(MATCH($A384,$A$15:OFFSET($A384,-1,0),0)),MAX($M$15:OFFSET(M384,-1,0))+1,INDEX($M$15:OFFSET(M384,-1,0),MATCH($A384,$A$15:OFFSET($A384,-1,0),0)))))</f>
        <v>0</v>
      </c>
      <c r="N384" s="211" t="str">
        <f ca="1">IF($D384&lt;&gt;"Serviço","",IF(AUTOEVENTO="Manual",IF($A384=0,"&lt;-- defina o número do agrupador",OFFSET(EVENTOS!$D$14,$A384,0)),OFFSET($F$15,$A384,0)))</f>
        <v>&lt;-- defina o número do agrupador</v>
      </c>
      <c r="O384" s="212"/>
      <c r="Q384" s="212"/>
      <c r="R384" s="213"/>
      <c r="S384" s="213"/>
      <c r="T384" s="213"/>
      <c r="U384" s="213"/>
      <c r="V384" s="213"/>
      <c r="W384" s="213"/>
      <c r="X384" s="213"/>
      <c r="Y384" s="213"/>
      <c r="Z384" s="214"/>
      <c r="AA384" s="213"/>
      <c r="AB384" s="213"/>
      <c r="AC384" s="213"/>
      <c r="AD384" s="213"/>
      <c r="AE384" s="213"/>
      <c r="AF384" s="213"/>
      <c r="AG384" s="213"/>
      <c r="AH384" s="214"/>
      <c r="AJ384" s="631">
        <f ca="1">IF(AND($D384="Serviço",AJ$12&lt;&gt;0,$H384&gt;0,OR(AUTOEVENTO&lt;&gt;"manual",$M384&lt;&gt;1)),ROUND(OFFSET($P384,0,AJ$13),15-13*ORÇAMENTO!$AF$7)/$H384*OFFSET(ORÇAMENTO!$X$15,ROW(AJ384)-ROW(AJ$15),0),0)</f>
        <v>0</v>
      </c>
      <c r="AK384" s="632">
        <f ca="1">IF(AND($D384="Serviço",AK$12&lt;&gt;0,$H384&gt;0,OR(AUTOEVENTO&lt;&gt;"manual",$M384&lt;&gt;1)),ROUND(OFFSET($P384,0,AK$13),15-13*ORÇAMENTO!$AF$7)/$H384*OFFSET(ORÇAMENTO!$X$15,ROW(AK384)-ROW(AK$15),0),0)</f>
        <v>0</v>
      </c>
      <c r="AL384" s="632">
        <f ca="1">IF(AND($D384="Serviço",AL$12&lt;&gt;0,$H384&gt;0,OR(AUTOEVENTO&lt;&gt;"manual",$M384&lt;&gt;1)),ROUND(OFFSET($P384,0,AL$13),15-13*ORÇAMENTO!$AF$7)/$H384*OFFSET(ORÇAMENTO!$X$15,ROW(AL384)-ROW(AL$15),0),0)</f>
        <v>0</v>
      </c>
      <c r="AM384" s="632">
        <f ca="1">IF(AND($D384="Serviço",AM$12&lt;&gt;0,$H384&gt;0,OR(AUTOEVENTO&lt;&gt;"manual",$M384&lt;&gt;1)),ROUND(OFFSET($P384,0,AM$13),15-13*ORÇAMENTO!$AF$7)/$H384*OFFSET(ORÇAMENTO!$X$15,ROW(AM384)-ROW(AM$15),0),0)</f>
        <v>0</v>
      </c>
      <c r="AN384" s="632">
        <f ca="1">IF(AND($D384="Serviço",AN$12&lt;&gt;0,$H384&gt;0,OR(AUTOEVENTO&lt;&gt;"manual",$M384&lt;&gt;1)),ROUND(OFFSET($P384,0,AN$13),15-13*ORÇAMENTO!$AF$7)/$H384*OFFSET(ORÇAMENTO!$X$15,ROW(AN384)-ROW(AN$15),0),0)</f>
        <v>0</v>
      </c>
      <c r="AO384" s="632">
        <f ca="1">IF(AND($D384="Serviço",AO$12&lt;&gt;0,$H384&gt;0,OR(AUTOEVENTO&lt;&gt;"manual",$M384&lt;&gt;1)),ROUND(OFFSET($P384,0,AO$13),15-13*ORÇAMENTO!$AF$7)/$H384*OFFSET(ORÇAMENTO!$X$15,ROW(AO384)-ROW(AO$15),0),0)</f>
        <v>0</v>
      </c>
      <c r="AP384" s="632">
        <f ca="1">IF(AND($D384="Serviço",AP$12&lt;&gt;0,$H384&gt;0,OR(AUTOEVENTO&lt;&gt;"manual",$M384&lt;&gt;1)),ROUND(OFFSET($P384,0,AP$13),15-13*ORÇAMENTO!$AF$7)/$H384*OFFSET(ORÇAMENTO!$X$15,ROW(AP384)-ROW(AP$15),0),0)</f>
        <v>0</v>
      </c>
      <c r="AQ384" s="632">
        <f ca="1">IF(AND($D384="Serviço",AQ$12&lt;&gt;0,$H384&gt;0,OR(AUTOEVENTO&lt;&gt;"manual",$M384&lt;&gt;1)),ROUND(OFFSET($P384,0,AQ$13),15-13*ORÇAMENTO!$AF$7)/$H384*OFFSET(ORÇAMENTO!$X$15,ROW(AQ384)-ROW(AQ$15),0),0)</f>
        <v>0</v>
      </c>
      <c r="AR384" s="632">
        <f ca="1">IF(AND($D384="Serviço",AR$12&lt;&gt;0,$H384&gt;0,OR(AUTOEVENTO&lt;&gt;"manual",$M384&lt;&gt;1)),ROUND(OFFSET($P384,0,AR$13),15-13*ORÇAMENTO!$AF$7)/$H384*OFFSET(ORÇAMENTO!$X$15,ROW(AR384)-ROW(AR$15),0),0)</f>
        <v>0</v>
      </c>
      <c r="AS384" s="633">
        <f ca="1">IF(AND($D384="Serviço",AS$12&lt;&gt;0,$H384&gt;0,OR(AUTOEVENTO&lt;&gt;"manual",$M384&lt;&gt;1)),ROUND(OFFSET($P384,0,AS$13),15-13*ORÇAMENTO!$AF$7)/$H384*OFFSET(ORÇAMENTO!$X$15,ROW(AS384)-ROW(AS$15),0),0)</f>
        <v>0</v>
      </c>
      <c r="AT384" s="632">
        <f ca="1">IF(AND($D384="Serviço",AT$12&lt;&gt;0,$H384&gt;0,OR(AUTOEVENTO&lt;&gt;"manual",$M384&lt;&gt;1)),ROUND(OFFSET($P384,0,AT$13),15-13*ORÇAMENTO!$AF$7)/$H384*OFFSET(ORÇAMENTO!$X$15,ROW(AT384)-ROW(AT$15),0),0)</f>
        <v>0</v>
      </c>
      <c r="AU384" s="632">
        <f ca="1">IF(AND($D384="Serviço",AU$12&lt;&gt;0,$H384&gt;0,OR(AUTOEVENTO&lt;&gt;"manual",$M384&lt;&gt;1)),ROUND(OFFSET($P384,0,AU$13),15-13*ORÇAMENTO!$AF$7)/$H384*OFFSET(ORÇAMENTO!$X$15,ROW(AU384)-ROW(AU$15),0),0)</f>
        <v>0</v>
      </c>
      <c r="AV384" s="632">
        <f ca="1">IF(AND($D384="Serviço",AV$12&lt;&gt;0,$H384&gt;0,OR(AUTOEVENTO&lt;&gt;"manual",$M384&lt;&gt;1)),ROUND(OFFSET($P384,0,AV$13),15-13*ORÇAMENTO!$AF$7)/$H384*OFFSET(ORÇAMENTO!$X$15,ROW(AV384)-ROW(AV$15),0),0)</f>
        <v>0</v>
      </c>
      <c r="AW384" s="632">
        <f ca="1">IF(AND($D384="Serviço",AW$12&lt;&gt;0,$H384&gt;0,OR(AUTOEVENTO&lt;&gt;"manual",$M384&lt;&gt;1)),ROUND(OFFSET($P384,0,AW$13),15-13*ORÇAMENTO!$AF$7)/$H384*OFFSET(ORÇAMENTO!$X$15,ROW(AW384)-ROW(AW$15),0),0)</f>
        <v>0</v>
      </c>
      <c r="AX384" s="632">
        <f ca="1">IF(AND($D384="Serviço",AX$12&lt;&gt;0,$H384&gt;0,OR(AUTOEVENTO&lt;&gt;"manual",$M384&lt;&gt;1)),ROUND(OFFSET($P384,0,AX$13),15-13*ORÇAMENTO!$AF$7)/$H384*OFFSET(ORÇAMENTO!$X$15,ROW(AX384)-ROW(AX$15),0),0)</f>
        <v>0</v>
      </c>
      <c r="AY384" s="632">
        <f ca="1">IF(AND($D384="Serviço",AY$12&lt;&gt;0,$H384&gt;0,OR(AUTOEVENTO&lt;&gt;"manual",$M384&lt;&gt;1)),ROUND(OFFSET($P384,0,AY$13),15-13*ORÇAMENTO!$AF$7)/$H384*OFFSET(ORÇAMENTO!$X$15,ROW(AY384)-ROW(AY$15),0),0)</f>
        <v>0</v>
      </c>
      <c r="AZ384" s="632">
        <f ca="1">IF(AND($D384="Serviço",AZ$12&lt;&gt;0,$H384&gt;0,OR(AUTOEVENTO&lt;&gt;"manual",$M384&lt;&gt;1)),ROUND(OFFSET($P384,0,AZ$13),15-13*ORÇAMENTO!$AF$7)/$H384*OFFSET(ORÇAMENTO!$X$15,ROW(AZ384)-ROW(AZ$15),0),0)</f>
        <v>0</v>
      </c>
      <c r="BA384" s="633">
        <f ca="1">IF(AND($D384="Serviço",BA$12&lt;&gt;0,$H384&gt;0,OR(AUTOEVENTO&lt;&gt;"manual",$M384&lt;&gt;1)),ROUND(OFFSET($P384,0,BA$13),15-13*ORÇAMENTO!$AF$7)/$H384*OFFSET(ORÇAMENTO!$X$15,ROW(BA384)-ROW(BA$15),0),0)</f>
        <v>0</v>
      </c>
      <c r="BC384" s="215">
        <f ca="1">IF($D384&lt;&gt;"Serviço",0,IF(AND(AUTOEVENTO="Manual",$M384=1),0,IF(OFFSET(CRONOPLE!$F$14,$M384,BC$13)="",10^12,OFFSET(CRONOPLE!$F$14,$M384,BC$13))))</f>
        <v>1000000000000</v>
      </c>
      <c r="BD384" s="215">
        <f ca="1">IF($D384&lt;&gt;"Serviço",0,IF(AND(AUTOEVENTO="Manual",$M384=1),0,IF(OFFSET(CRONOPLE!$F$14,$M384,BD$13)="",10^12,OFFSET(CRONOPLE!$F$14,$M384,BD$13))))</f>
        <v>1000000000000</v>
      </c>
      <c r="BE384" s="215">
        <f ca="1">IF($D384&lt;&gt;"Serviço",0,IF(AND(AUTOEVENTO="Manual",$M384=1),0,IF(OFFSET(CRONOPLE!$F$14,$M384,BE$13)="",10^12,OFFSET(CRONOPLE!$F$14,$M384,BE$13))))</f>
        <v>1000000000000</v>
      </c>
      <c r="BF384" s="215">
        <f ca="1">IF($D384&lt;&gt;"Serviço",0,IF(AND(AUTOEVENTO="Manual",$M384=1),0,IF(OFFSET(CRONOPLE!$F$14,$M384,BF$13)="",10^12,OFFSET(CRONOPLE!$F$14,$M384,BF$13))))</f>
        <v>1000000000000</v>
      </c>
      <c r="BG384" s="215">
        <f ca="1">IF($D384&lt;&gt;"Serviço",0,IF(AND(AUTOEVENTO="Manual",$M384=1),0,IF(OFFSET(CRONOPLE!$F$14,$M384,BG$13)="",10^12,OFFSET(CRONOPLE!$F$14,$M384,BG$13))))</f>
        <v>1000000000000</v>
      </c>
      <c r="BH384" s="215">
        <f ca="1">IF($D384&lt;&gt;"Serviço",0,IF(AND(AUTOEVENTO="Manual",$M384=1),0,IF(OFFSET(CRONOPLE!$F$14,$M384,BH$13)="",10^12,OFFSET(CRONOPLE!$F$14,$M384,BH$13))))</f>
        <v>1000000000000</v>
      </c>
      <c r="BI384" s="215">
        <f ca="1">IF($D384&lt;&gt;"Serviço",0,IF(AND(AUTOEVENTO="Manual",$M384=1),0,IF(OFFSET(CRONOPLE!$F$14,$M384,BI$13)="",10^12,OFFSET(CRONOPLE!$F$14,$M384,BI$13))))</f>
        <v>1000000000000</v>
      </c>
      <c r="BJ384" s="215">
        <f ca="1">IF($D384&lt;&gt;"Serviço",0,IF(AND(AUTOEVENTO="Manual",$M384=1),0,IF(OFFSET(CRONOPLE!$F$14,$M384,BJ$13)="",10^12,OFFSET(CRONOPLE!$F$14,$M384,BJ$13))))</f>
        <v>1000000000000</v>
      </c>
      <c r="BK384" s="215">
        <f ca="1">IF($D384&lt;&gt;"Serviço",0,IF(AND(AUTOEVENTO="Manual",$M384=1),0,IF(OFFSET(CRONOPLE!$F$14,$M384,BK$13)="",10^12,OFFSET(CRONOPLE!$F$14,$M384,BK$13))))</f>
        <v>1000000000000</v>
      </c>
      <c r="BL384" s="215">
        <f ca="1">IF($D384&lt;&gt;"Serviço",0,IF(AND(AUTOEVENTO="Manual",$M384=1),0,IF(OFFSET(CRONOPLE!$F$14,$M384,BL$13)="",10^12,OFFSET(CRONOPLE!$F$14,$M384,BL$13))))</f>
        <v>1000000000000</v>
      </c>
      <c r="BM384" s="215">
        <f ca="1">IF($D384&lt;&gt;"Serviço",0,IF(AND(AUTOEVENTO="Manual",$M384=1),0,IF(OFFSET(CRONOPLE!$F$14,$M384,BM$13)="",10^12,OFFSET(CRONOPLE!$F$14,$M384,BM$13))))</f>
        <v>1000000000000</v>
      </c>
      <c r="BN384" s="215">
        <f ca="1">IF($D384&lt;&gt;"Serviço",0,IF(AND(AUTOEVENTO="Manual",$M384=1),0,IF(OFFSET(CRONOPLE!$F$14,$M384,BN$13)="",10^12,OFFSET(CRONOPLE!$F$14,$M384,BN$13))))</f>
        <v>1000000000000</v>
      </c>
      <c r="BO384" s="215">
        <f ca="1">IF($D384&lt;&gt;"Serviço",0,IF(AND(AUTOEVENTO="Manual",$M384=1),0,IF(OFFSET(CRONOPLE!$F$14,$M384,BO$13)="",10^12,OFFSET(CRONOPLE!$F$14,$M384,BO$13))))</f>
        <v>1000000000000</v>
      </c>
      <c r="BP384" s="215">
        <f ca="1">IF($D384&lt;&gt;"Serviço",0,IF(AND(AUTOEVENTO="Manual",$M384=1),0,IF(OFFSET(CRONOPLE!$F$14,$M384,BP$13)="",10^12,OFFSET(CRONOPLE!$F$14,$M384,BP$13))))</f>
        <v>1000000000000</v>
      </c>
      <c r="BQ384" s="215">
        <f ca="1">IF($D384&lt;&gt;"Serviço",0,IF(AND(AUTOEVENTO="Manual",$M384=1),0,IF(OFFSET(CRONOPLE!$F$14,$M384,BQ$13)="",10^12,OFFSET(CRONOPLE!$F$14,$M384,BQ$13))))</f>
        <v>1000000000000</v>
      </c>
      <c r="BR384" s="215">
        <f ca="1">IF($D384&lt;&gt;"Serviço",0,IF(AND(AUTOEVENTO="Manual",$M384=1),0,IF(OFFSET(CRONOPLE!$F$14,$M384,BR$13)="",10^12,OFFSET(CRONOPLE!$F$14,$M384,BR$13))))</f>
        <v>1000000000000</v>
      </c>
      <c r="BS384" s="215">
        <f ca="1">IF($D384&lt;&gt;"Serviço",0,IF(AND(AUTOEVENTO="Manual",$M384=1),0,IF(OFFSET(CRONOPLE!$F$14,$M384,BS$13)="",10^12,OFFSET(CRONOPLE!$F$14,$M384,BS$13))))</f>
        <v>1000000000000</v>
      </c>
      <c r="BT384" s="215">
        <f ca="1">IF($D384&lt;&gt;"Serviço",0,IF(AND(AUTOEVENTO="Manual",$M384=1),0,IF(OFFSET(CRONOPLE!$F$14,$M384,BT$13)="",10^12,OFFSET(CRONOPLE!$F$14,$M384,BT$13))))</f>
        <v>1000000000000</v>
      </c>
      <c r="BV384" s="216">
        <f ca="1">IF($D384&lt;&gt;"Serviço",0,IF(OR(AND(AUTOEVENTO="Manual",$M384=1),$M384&gt;(ROW(PLE.lastrow)-ROW(PLE.firstrow))),0,IF(OFFSET(PLE!$G$14,$M384,BV$13)="",10^12,OFFSET(PLE!$G$14,$M384,BV$13))))</f>
        <v>1000000000000</v>
      </c>
      <c r="BW384" s="216">
        <f ca="1">IF($D384&lt;&gt;"Serviço",0,IF(OR(AND(AUTOEVENTO="Manual",$M384=1),$M384&gt;(ROW(PLE.lastrow)-ROW(PLE.firstrow))),0,IF(OFFSET(PLE!$G$14,$M384,BW$13)="",10^12,OFFSET(PLE!$G$14,$M384,BW$13))))</f>
        <v>1000000000000</v>
      </c>
      <c r="BX384" s="216">
        <f ca="1">IF($D384&lt;&gt;"Serviço",0,IF(OR(AND(AUTOEVENTO="Manual",$M384=1),$M384&gt;(ROW(PLE.lastrow)-ROW(PLE.firstrow))),0,IF(OFFSET(PLE!$G$14,$M384,BX$13)="",10^12,OFFSET(PLE!$G$14,$M384,BX$13))))</f>
        <v>1000000000000</v>
      </c>
      <c r="BY384" s="216">
        <f ca="1">IF($D384&lt;&gt;"Serviço",0,IF(OR(AND(AUTOEVENTO="Manual",$M384=1),$M384&gt;(ROW(PLE.lastrow)-ROW(PLE.firstrow))),0,IF(OFFSET(PLE!$G$14,$M384,BY$13)="",10^12,OFFSET(PLE!$G$14,$M384,BY$13))))</f>
        <v>1000000000000</v>
      </c>
      <c r="BZ384" s="216">
        <f ca="1">IF($D384&lt;&gt;"Serviço",0,IF(OR(AND(AUTOEVENTO="Manual",$M384=1),$M384&gt;(ROW(PLE.lastrow)-ROW(PLE.firstrow))),0,IF(OFFSET(PLE!$G$14,$M384,BZ$13)="",10^12,OFFSET(PLE!$G$14,$M384,BZ$13))))</f>
        <v>1000000000000</v>
      </c>
      <c r="CA384" s="216">
        <f ca="1">IF($D384&lt;&gt;"Serviço",0,IF(OR(AND(AUTOEVENTO="Manual",$M384=1),$M384&gt;(ROW(PLE.lastrow)-ROW(PLE.firstrow))),0,IF(OFFSET(PLE!$G$14,$M384,CA$13)="",10^12,OFFSET(PLE!$G$14,$M384,CA$13))))</f>
        <v>1000000000000</v>
      </c>
      <c r="CB384" s="216">
        <f ca="1">IF($D384&lt;&gt;"Serviço",0,IF(OR(AND(AUTOEVENTO="Manual",$M384=1),$M384&gt;(ROW(PLE.lastrow)-ROW(PLE.firstrow))),0,IF(OFFSET(PLE!$G$14,$M384,CB$13)="",10^12,OFFSET(PLE!$G$14,$M384,CB$13))))</f>
        <v>1000000000000</v>
      </c>
      <c r="CC384" s="216">
        <f ca="1">IF($D384&lt;&gt;"Serviço",0,IF(OR(AND(AUTOEVENTO="Manual",$M384=1),$M384&gt;(ROW(PLE.lastrow)-ROW(PLE.firstrow))),0,IF(OFFSET(PLE!$G$14,$M384,CC$13)="",10^12,OFFSET(PLE!$G$14,$M384,CC$13))))</f>
        <v>1000000000000</v>
      </c>
      <c r="CD384" s="216">
        <f ca="1">IF($D384&lt;&gt;"Serviço",0,IF(OR(AND(AUTOEVENTO="Manual",$M384=1),$M384&gt;(ROW(PLE.lastrow)-ROW(PLE.firstrow))),0,IF(OFFSET(PLE!$G$14,$M384,CD$13)="",10^12,OFFSET(PLE!$G$14,$M384,CD$13))))</f>
        <v>1000000000000</v>
      </c>
      <c r="CE384" s="216">
        <f ca="1">IF($D384&lt;&gt;"Serviço",0,IF(OR(AND(AUTOEVENTO="Manual",$M384=1),$M384&gt;(ROW(PLE.lastrow)-ROW(PLE.firstrow))),0,IF(OFFSET(PLE!$G$14,$M384,CE$13)="",10^12,OFFSET(PLE!$G$14,$M384,CE$13))))</f>
        <v>1000000000000</v>
      </c>
      <c r="CF384" s="216">
        <f ca="1">IF($D384&lt;&gt;"Serviço",0,IF(OR(AND(AUTOEVENTO="Manual",$M384=1),$M384&gt;(ROW(PLE.lastrow)-ROW(PLE.firstrow))),0,IF(OFFSET(PLE!$G$14,$M384,CF$13)="",10^12,OFFSET(PLE!$G$14,$M384,CF$13))))</f>
        <v>1000000000000</v>
      </c>
      <c r="CG384" s="216">
        <f ca="1">IF($D384&lt;&gt;"Serviço",0,IF(OR(AND(AUTOEVENTO="Manual",$M384=1),$M384&gt;(ROW(PLE.lastrow)-ROW(PLE.firstrow))),0,IF(OFFSET(PLE!$G$14,$M384,CG$13)="",10^12,OFFSET(PLE!$G$14,$M384,CG$13))))</f>
        <v>1000000000000</v>
      </c>
      <c r="CH384" s="216">
        <f ca="1">IF($D384&lt;&gt;"Serviço",0,IF(OR(AND(AUTOEVENTO="Manual",$M384=1),$M384&gt;(ROW(PLE.lastrow)-ROW(PLE.firstrow))),0,IF(OFFSET(PLE!$G$14,$M384,CH$13)="",10^12,OFFSET(PLE!$G$14,$M384,CH$13))))</f>
        <v>1000000000000</v>
      </c>
      <c r="CI384" s="216">
        <f ca="1">IF($D384&lt;&gt;"Serviço",0,IF(OR(AND(AUTOEVENTO="Manual",$M384=1),$M384&gt;(ROW(PLE.lastrow)-ROW(PLE.firstrow))),0,IF(OFFSET(PLE!$G$14,$M384,CI$13)="",10^12,OFFSET(PLE!$G$14,$M384,CI$13))))</f>
        <v>1000000000000</v>
      </c>
      <c r="CJ384" s="216">
        <f ca="1">IF($D384&lt;&gt;"Serviço",0,IF(OR(AND(AUTOEVENTO="Manual",$M384=1),$M384&gt;(ROW(PLE.lastrow)-ROW(PLE.firstrow))),0,IF(OFFSET(PLE!$G$14,$M384,CJ$13)="",10^12,OFFSET(PLE!$G$14,$M384,CJ$13))))</f>
        <v>1000000000000</v>
      </c>
      <c r="CK384" s="216">
        <f ca="1">IF($D384&lt;&gt;"Serviço",0,IF(OR(AND(AUTOEVENTO="Manual",$M384=1),$M384&gt;(ROW(PLE.lastrow)-ROW(PLE.firstrow))),0,IF(OFFSET(PLE!$G$14,$M384,CK$13)="",10^12,OFFSET(PLE!$G$14,$M384,CK$13))))</f>
        <v>1000000000000</v>
      </c>
      <c r="CL384" s="216">
        <f ca="1">IF($D384&lt;&gt;"Serviço",0,IF(OR(AND(AUTOEVENTO="Manual",$M384=1),$M384&gt;(ROW(PLE.lastrow)-ROW(PLE.firstrow))),0,IF(OFFSET(PLE!$G$14,$M384,CL$13)="",10^12,OFFSET(PLE!$G$14,$M384,CL$13))))</f>
        <v>1000000000000</v>
      </c>
      <c r="CM384" s="216">
        <f ca="1">IF($D384&lt;&gt;"Serviço",0,IF(OR(AND(AUTOEVENTO="Manual",$M384=1),$M384&gt;(ROW(PLE.lastrow)-ROW(PLE.firstrow))),0,IF(OFFSET(PLE!$G$14,$M384,CM$13)="",10^12,OFFSET(PLE!$G$14,$M384,CM$13))))</f>
        <v>1000000000000</v>
      </c>
    </row>
    <row r="385" spans="1:91" ht="13.2" x14ac:dyDescent="0.25">
      <c r="A385" s="9">
        <f t="shared" ca="1" si="14"/>
        <v>0</v>
      </c>
      <c r="B385" s="9" t="str">
        <f ca="1">OFFSET(ORÇAMENTO!C$15,ROW(B385)-ROW(B$15),0)</f>
        <v>S</v>
      </c>
      <c r="C385" s="9" t="str">
        <f ca="1">OFFSET(ORÇAMENTO!L$15,ROW(C385)-ROW(C$15),0)</f>
        <v/>
      </c>
      <c r="D385" s="145" t="str">
        <f ca="1">OFFSET(ORÇAMENTO!N$15,ROW(D385)-ROW(D$15),0)</f>
        <v>Serviço</v>
      </c>
      <c r="E385" s="205" t="str">
        <f ca="1">OFFSET(ORÇAMENTO!O$15,ROW(E385)-ROW(E$15),0)</f>
        <v>-</v>
      </c>
      <c r="F385" s="206" t="str">
        <f ca="1">OFFSET(ORÇAMENTO!R$15,ROW(F385)-ROW(F$15),0)</f>
        <v>(abra o arquivo 'Referência 05-2024.xls)</v>
      </c>
      <c r="G385" s="207" t="str">
        <f ca="1">IF($D385&lt;&gt;"Serviço","",OFFSET(ORÇAMENTO!S$15,ROW(G385)-ROW(G$15),0))</f>
        <v>-</v>
      </c>
      <c r="H385" s="151">
        <f ca="1">IF($D385&lt;&gt;"Serviço",0,IF(ACOMPANHAMENTO="BM",ROUND(OFFSET(ORÇAMENTO!AJ$15,ROW(H385)-ROW(H$15),0),15-13*ORÇAMENTO!$AF$7),SUMPRODUCT(($Q$12:$AI$12&lt;&gt;"")*ROUND($Q385:$AI385,15-13*ORÇAMENTO!$AF$7))))</f>
        <v>7</v>
      </c>
      <c r="I385" s="650"/>
      <c r="K385" s="208"/>
      <c r="L385" s="209" t="s">
        <v>257</v>
      </c>
      <c r="M385" s="210">
        <f ca="1">IF($D385&lt;&gt;"Serviço","",IF(AUTOEVENTO="manual",$A385,IF(ISERROR(MATCH($A385,$A$15:OFFSET($A385,-1,0),0)),MAX($M$15:OFFSET(M385,-1,0))+1,INDEX($M$15:OFFSET(M385,-1,0),MATCH($A385,$A$15:OFFSET($A385,-1,0),0)))))</f>
        <v>0</v>
      </c>
      <c r="N385" s="211" t="str">
        <f ca="1">IF($D385&lt;&gt;"Serviço","",IF(AUTOEVENTO="Manual",IF($A385=0,"&lt;-- defina o número do agrupador",OFFSET(EVENTOS!$D$14,$A385,0)),OFFSET($F$15,$A385,0)))</f>
        <v>&lt;-- defina o número do agrupador</v>
      </c>
      <c r="O385" s="212"/>
      <c r="Q385" s="212"/>
      <c r="R385" s="213"/>
      <c r="S385" s="213"/>
      <c r="T385" s="213"/>
      <c r="U385" s="213"/>
      <c r="V385" s="213"/>
      <c r="W385" s="213"/>
      <c r="X385" s="213"/>
      <c r="Y385" s="213"/>
      <c r="Z385" s="214"/>
      <c r="AA385" s="213"/>
      <c r="AB385" s="213"/>
      <c r="AC385" s="213"/>
      <c r="AD385" s="213"/>
      <c r="AE385" s="213"/>
      <c r="AF385" s="213"/>
      <c r="AG385" s="213"/>
      <c r="AH385" s="214"/>
      <c r="AJ385" s="631">
        <f ca="1">IF(AND($D385="Serviço",AJ$12&lt;&gt;0,$H385&gt;0,OR(AUTOEVENTO&lt;&gt;"manual",$M385&lt;&gt;1)),ROUND(OFFSET($P385,0,AJ$13),15-13*ORÇAMENTO!$AF$7)/$H385*OFFSET(ORÇAMENTO!$X$15,ROW(AJ385)-ROW(AJ$15),0),0)</f>
        <v>0</v>
      </c>
      <c r="AK385" s="632">
        <f ca="1">IF(AND($D385="Serviço",AK$12&lt;&gt;0,$H385&gt;0,OR(AUTOEVENTO&lt;&gt;"manual",$M385&lt;&gt;1)),ROUND(OFFSET($P385,0,AK$13),15-13*ORÇAMENTO!$AF$7)/$H385*OFFSET(ORÇAMENTO!$X$15,ROW(AK385)-ROW(AK$15),0),0)</f>
        <v>0</v>
      </c>
      <c r="AL385" s="632">
        <f ca="1">IF(AND($D385="Serviço",AL$12&lt;&gt;0,$H385&gt;0,OR(AUTOEVENTO&lt;&gt;"manual",$M385&lt;&gt;1)),ROUND(OFFSET($P385,0,AL$13),15-13*ORÇAMENTO!$AF$7)/$H385*OFFSET(ORÇAMENTO!$X$15,ROW(AL385)-ROW(AL$15),0),0)</f>
        <v>0</v>
      </c>
      <c r="AM385" s="632">
        <f ca="1">IF(AND($D385="Serviço",AM$12&lt;&gt;0,$H385&gt;0,OR(AUTOEVENTO&lt;&gt;"manual",$M385&lt;&gt;1)),ROUND(OFFSET($P385,0,AM$13),15-13*ORÇAMENTO!$AF$7)/$H385*OFFSET(ORÇAMENTO!$X$15,ROW(AM385)-ROW(AM$15),0),0)</f>
        <v>0</v>
      </c>
      <c r="AN385" s="632">
        <f ca="1">IF(AND($D385="Serviço",AN$12&lt;&gt;0,$H385&gt;0,OR(AUTOEVENTO&lt;&gt;"manual",$M385&lt;&gt;1)),ROUND(OFFSET($P385,0,AN$13),15-13*ORÇAMENTO!$AF$7)/$H385*OFFSET(ORÇAMENTO!$X$15,ROW(AN385)-ROW(AN$15),0),0)</f>
        <v>0</v>
      </c>
      <c r="AO385" s="632">
        <f ca="1">IF(AND($D385="Serviço",AO$12&lt;&gt;0,$H385&gt;0,OR(AUTOEVENTO&lt;&gt;"manual",$M385&lt;&gt;1)),ROUND(OFFSET($P385,0,AO$13),15-13*ORÇAMENTO!$AF$7)/$H385*OFFSET(ORÇAMENTO!$X$15,ROW(AO385)-ROW(AO$15),0),0)</f>
        <v>0</v>
      </c>
      <c r="AP385" s="632">
        <f ca="1">IF(AND($D385="Serviço",AP$12&lt;&gt;0,$H385&gt;0,OR(AUTOEVENTO&lt;&gt;"manual",$M385&lt;&gt;1)),ROUND(OFFSET($P385,0,AP$13),15-13*ORÇAMENTO!$AF$7)/$H385*OFFSET(ORÇAMENTO!$X$15,ROW(AP385)-ROW(AP$15),0),0)</f>
        <v>0</v>
      </c>
      <c r="AQ385" s="632">
        <f ca="1">IF(AND($D385="Serviço",AQ$12&lt;&gt;0,$H385&gt;0,OR(AUTOEVENTO&lt;&gt;"manual",$M385&lt;&gt;1)),ROUND(OFFSET($P385,0,AQ$13),15-13*ORÇAMENTO!$AF$7)/$H385*OFFSET(ORÇAMENTO!$X$15,ROW(AQ385)-ROW(AQ$15),0),0)</f>
        <v>0</v>
      </c>
      <c r="AR385" s="632">
        <f ca="1">IF(AND($D385="Serviço",AR$12&lt;&gt;0,$H385&gt;0,OR(AUTOEVENTO&lt;&gt;"manual",$M385&lt;&gt;1)),ROUND(OFFSET($P385,0,AR$13),15-13*ORÇAMENTO!$AF$7)/$H385*OFFSET(ORÇAMENTO!$X$15,ROW(AR385)-ROW(AR$15),0),0)</f>
        <v>0</v>
      </c>
      <c r="AS385" s="633">
        <f ca="1">IF(AND($D385="Serviço",AS$12&lt;&gt;0,$H385&gt;0,OR(AUTOEVENTO&lt;&gt;"manual",$M385&lt;&gt;1)),ROUND(OFFSET($P385,0,AS$13),15-13*ORÇAMENTO!$AF$7)/$H385*OFFSET(ORÇAMENTO!$X$15,ROW(AS385)-ROW(AS$15),0),0)</f>
        <v>0</v>
      </c>
      <c r="AT385" s="632">
        <f ca="1">IF(AND($D385="Serviço",AT$12&lt;&gt;0,$H385&gt;0,OR(AUTOEVENTO&lt;&gt;"manual",$M385&lt;&gt;1)),ROUND(OFFSET($P385,0,AT$13),15-13*ORÇAMENTO!$AF$7)/$H385*OFFSET(ORÇAMENTO!$X$15,ROW(AT385)-ROW(AT$15),0),0)</f>
        <v>0</v>
      </c>
      <c r="AU385" s="632">
        <f ca="1">IF(AND($D385="Serviço",AU$12&lt;&gt;0,$H385&gt;0,OR(AUTOEVENTO&lt;&gt;"manual",$M385&lt;&gt;1)),ROUND(OFFSET($P385,0,AU$13),15-13*ORÇAMENTO!$AF$7)/$H385*OFFSET(ORÇAMENTO!$X$15,ROW(AU385)-ROW(AU$15),0),0)</f>
        <v>0</v>
      </c>
      <c r="AV385" s="632">
        <f ca="1">IF(AND($D385="Serviço",AV$12&lt;&gt;0,$H385&gt;0,OR(AUTOEVENTO&lt;&gt;"manual",$M385&lt;&gt;1)),ROUND(OFFSET($P385,0,AV$13),15-13*ORÇAMENTO!$AF$7)/$H385*OFFSET(ORÇAMENTO!$X$15,ROW(AV385)-ROW(AV$15),0),0)</f>
        <v>0</v>
      </c>
      <c r="AW385" s="632">
        <f ca="1">IF(AND($D385="Serviço",AW$12&lt;&gt;0,$H385&gt;0,OR(AUTOEVENTO&lt;&gt;"manual",$M385&lt;&gt;1)),ROUND(OFFSET($P385,0,AW$13),15-13*ORÇAMENTO!$AF$7)/$H385*OFFSET(ORÇAMENTO!$X$15,ROW(AW385)-ROW(AW$15),0),0)</f>
        <v>0</v>
      </c>
      <c r="AX385" s="632">
        <f ca="1">IF(AND($D385="Serviço",AX$12&lt;&gt;0,$H385&gt;0,OR(AUTOEVENTO&lt;&gt;"manual",$M385&lt;&gt;1)),ROUND(OFFSET($P385,0,AX$13),15-13*ORÇAMENTO!$AF$7)/$H385*OFFSET(ORÇAMENTO!$X$15,ROW(AX385)-ROW(AX$15),0),0)</f>
        <v>0</v>
      </c>
      <c r="AY385" s="632">
        <f ca="1">IF(AND($D385="Serviço",AY$12&lt;&gt;0,$H385&gt;0,OR(AUTOEVENTO&lt;&gt;"manual",$M385&lt;&gt;1)),ROUND(OFFSET($P385,0,AY$13),15-13*ORÇAMENTO!$AF$7)/$H385*OFFSET(ORÇAMENTO!$X$15,ROW(AY385)-ROW(AY$15),0),0)</f>
        <v>0</v>
      </c>
      <c r="AZ385" s="632">
        <f ca="1">IF(AND($D385="Serviço",AZ$12&lt;&gt;0,$H385&gt;0,OR(AUTOEVENTO&lt;&gt;"manual",$M385&lt;&gt;1)),ROUND(OFFSET($P385,0,AZ$13),15-13*ORÇAMENTO!$AF$7)/$H385*OFFSET(ORÇAMENTO!$X$15,ROW(AZ385)-ROW(AZ$15),0),0)</f>
        <v>0</v>
      </c>
      <c r="BA385" s="633">
        <f ca="1">IF(AND($D385="Serviço",BA$12&lt;&gt;0,$H385&gt;0,OR(AUTOEVENTO&lt;&gt;"manual",$M385&lt;&gt;1)),ROUND(OFFSET($P385,0,BA$13),15-13*ORÇAMENTO!$AF$7)/$H385*OFFSET(ORÇAMENTO!$X$15,ROW(BA385)-ROW(BA$15),0),0)</f>
        <v>0</v>
      </c>
      <c r="BC385" s="215">
        <f ca="1">IF($D385&lt;&gt;"Serviço",0,IF(AND(AUTOEVENTO="Manual",$M385=1),0,IF(OFFSET(CRONOPLE!$F$14,$M385,BC$13)="",10^12,OFFSET(CRONOPLE!$F$14,$M385,BC$13))))</f>
        <v>1000000000000</v>
      </c>
      <c r="BD385" s="215">
        <f ca="1">IF($D385&lt;&gt;"Serviço",0,IF(AND(AUTOEVENTO="Manual",$M385=1),0,IF(OFFSET(CRONOPLE!$F$14,$M385,BD$13)="",10^12,OFFSET(CRONOPLE!$F$14,$M385,BD$13))))</f>
        <v>1000000000000</v>
      </c>
      <c r="BE385" s="215">
        <f ca="1">IF($D385&lt;&gt;"Serviço",0,IF(AND(AUTOEVENTO="Manual",$M385=1),0,IF(OFFSET(CRONOPLE!$F$14,$M385,BE$13)="",10^12,OFFSET(CRONOPLE!$F$14,$M385,BE$13))))</f>
        <v>1000000000000</v>
      </c>
      <c r="BF385" s="215">
        <f ca="1">IF($D385&lt;&gt;"Serviço",0,IF(AND(AUTOEVENTO="Manual",$M385=1),0,IF(OFFSET(CRONOPLE!$F$14,$M385,BF$13)="",10^12,OFFSET(CRONOPLE!$F$14,$M385,BF$13))))</f>
        <v>1000000000000</v>
      </c>
      <c r="BG385" s="215">
        <f ca="1">IF($D385&lt;&gt;"Serviço",0,IF(AND(AUTOEVENTO="Manual",$M385=1),0,IF(OFFSET(CRONOPLE!$F$14,$M385,BG$13)="",10^12,OFFSET(CRONOPLE!$F$14,$M385,BG$13))))</f>
        <v>1000000000000</v>
      </c>
      <c r="BH385" s="215">
        <f ca="1">IF($D385&lt;&gt;"Serviço",0,IF(AND(AUTOEVENTO="Manual",$M385=1),0,IF(OFFSET(CRONOPLE!$F$14,$M385,BH$13)="",10^12,OFFSET(CRONOPLE!$F$14,$M385,BH$13))))</f>
        <v>1000000000000</v>
      </c>
      <c r="BI385" s="215">
        <f ca="1">IF($D385&lt;&gt;"Serviço",0,IF(AND(AUTOEVENTO="Manual",$M385=1),0,IF(OFFSET(CRONOPLE!$F$14,$M385,BI$13)="",10^12,OFFSET(CRONOPLE!$F$14,$M385,BI$13))))</f>
        <v>1000000000000</v>
      </c>
      <c r="BJ385" s="215">
        <f ca="1">IF($D385&lt;&gt;"Serviço",0,IF(AND(AUTOEVENTO="Manual",$M385=1),0,IF(OFFSET(CRONOPLE!$F$14,$M385,BJ$13)="",10^12,OFFSET(CRONOPLE!$F$14,$M385,BJ$13))))</f>
        <v>1000000000000</v>
      </c>
      <c r="BK385" s="215">
        <f ca="1">IF($D385&lt;&gt;"Serviço",0,IF(AND(AUTOEVENTO="Manual",$M385=1),0,IF(OFFSET(CRONOPLE!$F$14,$M385,BK$13)="",10^12,OFFSET(CRONOPLE!$F$14,$M385,BK$13))))</f>
        <v>1000000000000</v>
      </c>
      <c r="BL385" s="215">
        <f ca="1">IF($D385&lt;&gt;"Serviço",0,IF(AND(AUTOEVENTO="Manual",$M385=1),0,IF(OFFSET(CRONOPLE!$F$14,$M385,BL$13)="",10^12,OFFSET(CRONOPLE!$F$14,$M385,BL$13))))</f>
        <v>1000000000000</v>
      </c>
      <c r="BM385" s="215">
        <f ca="1">IF($D385&lt;&gt;"Serviço",0,IF(AND(AUTOEVENTO="Manual",$M385=1),0,IF(OFFSET(CRONOPLE!$F$14,$M385,BM$13)="",10^12,OFFSET(CRONOPLE!$F$14,$M385,BM$13))))</f>
        <v>1000000000000</v>
      </c>
      <c r="BN385" s="215">
        <f ca="1">IF($D385&lt;&gt;"Serviço",0,IF(AND(AUTOEVENTO="Manual",$M385=1),0,IF(OFFSET(CRONOPLE!$F$14,$M385,BN$13)="",10^12,OFFSET(CRONOPLE!$F$14,$M385,BN$13))))</f>
        <v>1000000000000</v>
      </c>
      <c r="BO385" s="215">
        <f ca="1">IF($D385&lt;&gt;"Serviço",0,IF(AND(AUTOEVENTO="Manual",$M385=1),0,IF(OFFSET(CRONOPLE!$F$14,$M385,BO$13)="",10^12,OFFSET(CRONOPLE!$F$14,$M385,BO$13))))</f>
        <v>1000000000000</v>
      </c>
      <c r="BP385" s="215">
        <f ca="1">IF($D385&lt;&gt;"Serviço",0,IF(AND(AUTOEVENTO="Manual",$M385=1),0,IF(OFFSET(CRONOPLE!$F$14,$M385,BP$13)="",10^12,OFFSET(CRONOPLE!$F$14,$M385,BP$13))))</f>
        <v>1000000000000</v>
      </c>
      <c r="BQ385" s="215">
        <f ca="1">IF($D385&lt;&gt;"Serviço",0,IF(AND(AUTOEVENTO="Manual",$M385=1),0,IF(OFFSET(CRONOPLE!$F$14,$M385,BQ$13)="",10^12,OFFSET(CRONOPLE!$F$14,$M385,BQ$13))))</f>
        <v>1000000000000</v>
      </c>
      <c r="BR385" s="215">
        <f ca="1">IF($D385&lt;&gt;"Serviço",0,IF(AND(AUTOEVENTO="Manual",$M385=1),0,IF(OFFSET(CRONOPLE!$F$14,$M385,BR$13)="",10^12,OFFSET(CRONOPLE!$F$14,$M385,BR$13))))</f>
        <v>1000000000000</v>
      </c>
      <c r="BS385" s="215">
        <f ca="1">IF($D385&lt;&gt;"Serviço",0,IF(AND(AUTOEVENTO="Manual",$M385=1),0,IF(OFFSET(CRONOPLE!$F$14,$M385,BS$13)="",10^12,OFFSET(CRONOPLE!$F$14,$M385,BS$13))))</f>
        <v>1000000000000</v>
      </c>
      <c r="BT385" s="215">
        <f ca="1">IF($D385&lt;&gt;"Serviço",0,IF(AND(AUTOEVENTO="Manual",$M385=1),0,IF(OFFSET(CRONOPLE!$F$14,$M385,BT$13)="",10^12,OFFSET(CRONOPLE!$F$14,$M385,BT$13))))</f>
        <v>1000000000000</v>
      </c>
      <c r="BV385" s="216">
        <f ca="1">IF($D385&lt;&gt;"Serviço",0,IF(OR(AND(AUTOEVENTO="Manual",$M385=1),$M385&gt;(ROW(PLE.lastrow)-ROW(PLE.firstrow))),0,IF(OFFSET(PLE!$G$14,$M385,BV$13)="",10^12,OFFSET(PLE!$G$14,$M385,BV$13))))</f>
        <v>1000000000000</v>
      </c>
      <c r="BW385" s="216">
        <f ca="1">IF($D385&lt;&gt;"Serviço",0,IF(OR(AND(AUTOEVENTO="Manual",$M385=1),$M385&gt;(ROW(PLE.lastrow)-ROW(PLE.firstrow))),0,IF(OFFSET(PLE!$G$14,$M385,BW$13)="",10^12,OFFSET(PLE!$G$14,$M385,BW$13))))</f>
        <v>1000000000000</v>
      </c>
      <c r="BX385" s="216">
        <f ca="1">IF($D385&lt;&gt;"Serviço",0,IF(OR(AND(AUTOEVENTO="Manual",$M385=1),$M385&gt;(ROW(PLE.lastrow)-ROW(PLE.firstrow))),0,IF(OFFSET(PLE!$G$14,$M385,BX$13)="",10^12,OFFSET(PLE!$G$14,$M385,BX$13))))</f>
        <v>1000000000000</v>
      </c>
      <c r="BY385" s="216">
        <f ca="1">IF($D385&lt;&gt;"Serviço",0,IF(OR(AND(AUTOEVENTO="Manual",$M385=1),$M385&gt;(ROW(PLE.lastrow)-ROW(PLE.firstrow))),0,IF(OFFSET(PLE!$G$14,$M385,BY$13)="",10^12,OFFSET(PLE!$G$14,$M385,BY$13))))</f>
        <v>1000000000000</v>
      </c>
      <c r="BZ385" s="216">
        <f ca="1">IF($D385&lt;&gt;"Serviço",0,IF(OR(AND(AUTOEVENTO="Manual",$M385=1),$M385&gt;(ROW(PLE.lastrow)-ROW(PLE.firstrow))),0,IF(OFFSET(PLE!$G$14,$M385,BZ$13)="",10^12,OFFSET(PLE!$G$14,$M385,BZ$13))))</f>
        <v>1000000000000</v>
      </c>
      <c r="CA385" s="216">
        <f ca="1">IF($D385&lt;&gt;"Serviço",0,IF(OR(AND(AUTOEVENTO="Manual",$M385=1),$M385&gt;(ROW(PLE.lastrow)-ROW(PLE.firstrow))),0,IF(OFFSET(PLE!$G$14,$M385,CA$13)="",10^12,OFFSET(PLE!$G$14,$M385,CA$13))))</f>
        <v>1000000000000</v>
      </c>
      <c r="CB385" s="216">
        <f ca="1">IF($D385&lt;&gt;"Serviço",0,IF(OR(AND(AUTOEVENTO="Manual",$M385=1),$M385&gt;(ROW(PLE.lastrow)-ROW(PLE.firstrow))),0,IF(OFFSET(PLE!$G$14,$M385,CB$13)="",10^12,OFFSET(PLE!$G$14,$M385,CB$13))))</f>
        <v>1000000000000</v>
      </c>
      <c r="CC385" s="216">
        <f ca="1">IF($D385&lt;&gt;"Serviço",0,IF(OR(AND(AUTOEVENTO="Manual",$M385=1),$M385&gt;(ROW(PLE.lastrow)-ROW(PLE.firstrow))),0,IF(OFFSET(PLE!$G$14,$M385,CC$13)="",10^12,OFFSET(PLE!$G$14,$M385,CC$13))))</f>
        <v>1000000000000</v>
      </c>
      <c r="CD385" s="216">
        <f ca="1">IF($D385&lt;&gt;"Serviço",0,IF(OR(AND(AUTOEVENTO="Manual",$M385=1),$M385&gt;(ROW(PLE.lastrow)-ROW(PLE.firstrow))),0,IF(OFFSET(PLE!$G$14,$M385,CD$13)="",10^12,OFFSET(PLE!$G$14,$M385,CD$13))))</f>
        <v>1000000000000</v>
      </c>
      <c r="CE385" s="216">
        <f ca="1">IF($D385&lt;&gt;"Serviço",0,IF(OR(AND(AUTOEVENTO="Manual",$M385=1),$M385&gt;(ROW(PLE.lastrow)-ROW(PLE.firstrow))),0,IF(OFFSET(PLE!$G$14,$M385,CE$13)="",10^12,OFFSET(PLE!$G$14,$M385,CE$13))))</f>
        <v>1000000000000</v>
      </c>
      <c r="CF385" s="216">
        <f ca="1">IF($D385&lt;&gt;"Serviço",0,IF(OR(AND(AUTOEVENTO="Manual",$M385=1),$M385&gt;(ROW(PLE.lastrow)-ROW(PLE.firstrow))),0,IF(OFFSET(PLE!$G$14,$M385,CF$13)="",10^12,OFFSET(PLE!$G$14,$M385,CF$13))))</f>
        <v>1000000000000</v>
      </c>
      <c r="CG385" s="216">
        <f ca="1">IF($D385&lt;&gt;"Serviço",0,IF(OR(AND(AUTOEVENTO="Manual",$M385=1),$M385&gt;(ROW(PLE.lastrow)-ROW(PLE.firstrow))),0,IF(OFFSET(PLE!$G$14,$M385,CG$13)="",10^12,OFFSET(PLE!$G$14,$M385,CG$13))))</f>
        <v>1000000000000</v>
      </c>
      <c r="CH385" s="216">
        <f ca="1">IF($D385&lt;&gt;"Serviço",0,IF(OR(AND(AUTOEVENTO="Manual",$M385=1),$M385&gt;(ROW(PLE.lastrow)-ROW(PLE.firstrow))),0,IF(OFFSET(PLE!$G$14,$M385,CH$13)="",10^12,OFFSET(PLE!$G$14,$M385,CH$13))))</f>
        <v>1000000000000</v>
      </c>
      <c r="CI385" s="216">
        <f ca="1">IF($D385&lt;&gt;"Serviço",0,IF(OR(AND(AUTOEVENTO="Manual",$M385=1),$M385&gt;(ROW(PLE.lastrow)-ROW(PLE.firstrow))),0,IF(OFFSET(PLE!$G$14,$M385,CI$13)="",10^12,OFFSET(PLE!$G$14,$M385,CI$13))))</f>
        <v>1000000000000</v>
      </c>
      <c r="CJ385" s="216">
        <f ca="1">IF($D385&lt;&gt;"Serviço",0,IF(OR(AND(AUTOEVENTO="Manual",$M385=1),$M385&gt;(ROW(PLE.lastrow)-ROW(PLE.firstrow))),0,IF(OFFSET(PLE!$G$14,$M385,CJ$13)="",10^12,OFFSET(PLE!$G$14,$M385,CJ$13))))</f>
        <v>1000000000000</v>
      </c>
      <c r="CK385" s="216">
        <f ca="1">IF($D385&lt;&gt;"Serviço",0,IF(OR(AND(AUTOEVENTO="Manual",$M385=1),$M385&gt;(ROW(PLE.lastrow)-ROW(PLE.firstrow))),0,IF(OFFSET(PLE!$G$14,$M385,CK$13)="",10^12,OFFSET(PLE!$G$14,$M385,CK$13))))</f>
        <v>1000000000000</v>
      </c>
      <c r="CL385" s="216">
        <f ca="1">IF($D385&lt;&gt;"Serviço",0,IF(OR(AND(AUTOEVENTO="Manual",$M385=1),$M385&gt;(ROW(PLE.lastrow)-ROW(PLE.firstrow))),0,IF(OFFSET(PLE!$G$14,$M385,CL$13)="",10^12,OFFSET(PLE!$G$14,$M385,CL$13))))</f>
        <v>1000000000000</v>
      </c>
      <c r="CM385" s="216">
        <f ca="1">IF($D385&lt;&gt;"Serviço",0,IF(OR(AND(AUTOEVENTO="Manual",$M385=1),$M385&gt;(ROW(PLE.lastrow)-ROW(PLE.firstrow))),0,IF(OFFSET(PLE!$G$14,$M385,CM$13)="",10^12,OFFSET(PLE!$G$14,$M385,CM$13))))</f>
        <v>1000000000000</v>
      </c>
    </row>
    <row r="386" spans="1:91" ht="13.2" x14ac:dyDescent="0.25">
      <c r="A386" s="9">
        <f t="shared" ca="1" si="14"/>
        <v>0</v>
      </c>
      <c r="B386" s="9">
        <f ca="1">OFFSET(ORÇAMENTO!C$15,ROW(B386)-ROW(B$15),0)</f>
        <v>3</v>
      </c>
      <c r="C386" s="9" t="str">
        <f ca="1">OFFSET(ORÇAMENTO!L$15,ROW(C386)-ROW(C$15),0)</f>
        <v>F</v>
      </c>
      <c r="D386" s="145" t="str">
        <f ca="1">OFFSET(ORÇAMENTO!N$15,ROW(D386)-ROW(D$15),0)</f>
        <v>Nível 3</v>
      </c>
      <c r="E386" s="205" t="str">
        <f ca="1">OFFSET(ORÇAMENTO!O$15,ROW(E386)-ROW(E$15),0)</f>
        <v>1.13.2.</v>
      </c>
      <c r="F386" s="206" t="str">
        <f ca="1">OFFSET(ORÇAMENTO!R$15,ROW(F386)-ROW(F$15),0)</f>
        <v>ACESSÓRIOS</v>
      </c>
      <c r="G386" s="207" t="str">
        <f ca="1">IF($D386&lt;&gt;"Serviço","",OFFSET(ORÇAMENTO!S$15,ROW(G386)-ROW(G$15),0))</f>
        <v/>
      </c>
      <c r="H386" s="151">
        <f ca="1">IF($D386&lt;&gt;"Serviço",0,IF(ACOMPANHAMENTO="BM",ROUND(OFFSET(ORÇAMENTO!AJ$15,ROW(H386)-ROW(H$15),0),15-13*ORÇAMENTO!$AF$7),SUMPRODUCT(($Q$12:$AI$12&lt;&gt;"")*ROUND($Q386:$AI386,15-13*ORÇAMENTO!$AF$7))))</f>
        <v>0</v>
      </c>
      <c r="I386" s="650"/>
      <c r="K386" s="208"/>
      <c r="L386" s="209" t="s">
        <v>257</v>
      </c>
      <c r="M386" s="210" t="str">
        <f ca="1">IF($D386&lt;&gt;"Serviço","",IF(AUTOEVENTO="manual",$A386,IF(ISERROR(MATCH($A386,$A$15:OFFSET($A386,-1,0),0)),MAX($M$15:OFFSET(M386,-1,0))+1,INDEX($M$15:OFFSET(M386,-1,0),MATCH($A386,$A$15:OFFSET($A386,-1,0),0)))))</f>
        <v/>
      </c>
      <c r="N386" s="211" t="str">
        <f ca="1">IF($D386&lt;&gt;"Serviço","",IF(AUTOEVENTO="Manual",IF($A386=0,"&lt;-- defina o número do agrupador",OFFSET(EVENTOS!$D$14,$A386,0)),OFFSET($F$15,$A386,0)))</f>
        <v/>
      </c>
      <c r="O386" s="212"/>
      <c r="Q386" s="212"/>
      <c r="R386" s="213"/>
      <c r="S386" s="213"/>
      <c r="T386" s="213"/>
      <c r="U386" s="213"/>
      <c r="V386" s="213"/>
      <c r="W386" s="213"/>
      <c r="X386" s="213"/>
      <c r="Y386" s="213"/>
      <c r="Z386" s="214"/>
      <c r="AA386" s="213"/>
      <c r="AB386" s="213"/>
      <c r="AC386" s="213"/>
      <c r="AD386" s="213"/>
      <c r="AE386" s="213"/>
      <c r="AF386" s="213"/>
      <c r="AG386" s="213"/>
      <c r="AH386" s="214"/>
      <c r="AJ386" s="631">
        <f ca="1">IF(AND($D386="Serviço",AJ$12&lt;&gt;0,$H386&gt;0,OR(AUTOEVENTO&lt;&gt;"manual",$M386&lt;&gt;1)),ROUND(OFFSET($P386,0,AJ$13),15-13*ORÇAMENTO!$AF$7)/$H386*OFFSET(ORÇAMENTO!$X$15,ROW(AJ386)-ROW(AJ$15),0),0)</f>
        <v>0</v>
      </c>
      <c r="AK386" s="632">
        <f ca="1">IF(AND($D386="Serviço",AK$12&lt;&gt;0,$H386&gt;0,OR(AUTOEVENTO&lt;&gt;"manual",$M386&lt;&gt;1)),ROUND(OFFSET($P386,0,AK$13),15-13*ORÇAMENTO!$AF$7)/$H386*OFFSET(ORÇAMENTO!$X$15,ROW(AK386)-ROW(AK$15),0),0)</f>
        <v>0</v>
      </c>
      <c r="AL386" s="632">
        <f ca="1">IF(AND($D386="Serviço",AL$12&lt;&gt;0,$H386&gt;0,OR(AUTOEVENTO&lt;&gt;"manual",$M386&lt;&gt;1)),ROUND(OFFSET($P386,0,AL$13),15-13*ORÇAMENTO!$AF$7)/$H386*OFFSET(ORÇAMENTO!$X$15,ROW(AL386)-ROW(AL$15),0),0)</f>
        <v>0</v>
      </c>
      <c r="AM386" s="632">
        <f ca="1">IF(AND($D386="Serviço",AM$12&lt;&gt;0,$H386&gt;0,OR(AUTOEVENTO&lt;&gt;"manual",$M386&lt;&gt;1)),ROUND(OFFSET($P386,0,AM$13),15-13*ORÇAMENTO!$AF$7)/$H386*OFFSET(ORÇAMENTO!$X$15,ROW(AM386)-ROW(AM$15),0),0)</f>
        <v>0</v>
      </c>
      <c r="AN386" s="632">
        <f ca="1">IF(AND($D386="Serviço",AN$12&lt;&gt;0,$H386&gt;0,OR(AUTOEVENTO&lt;&gt;"manual",$M386&lt;&gt;1)),ROUND(OFFSET($P386,0,AN$13),15-13*ORÇAMENTO!$AF$7)/$H386*OFFSET(ORÇAMENTO!$X$15,ROW(AN386)-ROW(AN$15),0),0)</f>
        <v>0</v>
      </c>
      <c r="AO386" s="632">
        <f ca="1">IF(AND($D386="Serviço",AO$12&lt;&gt;0,$H386&gt;0,OR(AUTOEVENTO&lt;&gt;"manual",$M386&lt;&gt;1)),ROUND(OFFSET($P386,0,AO$13),15-13*ORÇAMENTO!$AF$7)/$H386*OFFSET(ORÇAMENTO!$X$15,ROW(AO386)-ROW(AO$15),0),0)</f>
        <v>0</v>
      </c>
      <c r="AP386" s="632">
        <f ca="1">IF(AND($D386="Serviço",AP$12&lt;&gt;0,$H386&gt;0,OR(AUTOEVENTO&lt;&gt;"manual",$M386&lt;&gt;1)),ROUND(OFFSET($P386,0,AP$13),15-13*ORÇAMENTO!$AF$7)/$H386*OFFSET(ORÇAMENTO!$X$15,ROW(AP386)-ROW(AP$15),0),0)</f>
        <v>0</v>
      </c>
      <c r="AQ386" s="632">
        <f ca="1">IF(AND($D386="Serviço",AQ$12&lt;&gt;0,$H386&gt;0,OR(AUTOEVENTO&lt;&gt;"manual",$M386&lt;&gt;1)),ROUND(OFFSET($P386,0,AQ$13),15-13*ORÇAMENTO!$AF$7)/$H386*OFFSET(ORÇAMENTO!$X$15,ROW(AQ386)-ROW(AQ$15),0),0)</f>
        <v>0</v>
      </c>
      <c r="AR386" s="632">
        <f ca="1">IF(AND($D386="Serviço",AR$12&lt;&gt;0,$H386&gt;0,OR(AUTOEVENTO&lt;&gt;"manual",$M386&lt;&gt;1)),ROUND(OFFSET($P386,0,AR$13),15-13*ORÇAMENTO!$AF$7)/$H386*OFFSET(ORÇAMENTO!$X$15,ROW(AR386)-ROW(AR$15),0),0)</f>
        <v>0</v>
      </c>
      <c r="AS386" s="633">
        <f ca="1">IF(AND($D386="Serviço",AS$12&lt;&gt;0,$H386&gt;0,OR(AUTOEVENTO&lt;&gt;"manual",$M386&lt;&gt;1)),ROUND(OFFSET($P386,0,AS$13),15-13*ORÇAMENTO!$AF$7)/$H386*OFFSET(ORÇAMENTO!$X$15,ROW(AS386)-ROW(AS$15),0),0)</f>
        <v>0</v>
      </c>
      <c r="AT386" s="632">
        <f ca="1">IF(AND($D386="Serviço",AT$12&lt;&gt;0,$H386&gt;0,OR(AUTOEVENTO&lt;&gt;"manual",$M386&lt;&gt;1)),ROUND(OFFSET($P386,0,AT$13),15-13*ORÇAMENTO!$AF$7)/$H386*OFFSET(ORÇAMENTO!$X$15,ROW(AT386)-ROW(AT$15),0),0)</f>
        <v>0</v>
      </c>
      <c r="AU386" s="632">
        <f ca="1">IF(AND($D386="Serviço",AU$12&lt;&gt;0,$H386&gt;0,OR(AUTOEVENTO&lt;&gt;"manual",$M386&lt;&gt;1)),ROUND(OFFSET($P386,0,AU$13),15-13*ORÇAMENTO!$AF$7)/$H386*OFFSET(ORÇAMENTO!$X$15,ROW(AU386)-ROW(AU$15),0),0)</f>
        <v>0</v>
      </c>
      <c r="AV386" s="632">
        <f ca="1">IF(AND($D386="Serviço",AV$12&lt;&gt;0,$H386&gt;0,OR(AUTOEVENTO&lt;&gt;"manual",$M386&lt;&gt;1)),ROUND(OFFSET($P386,0,AV$13),15-13*ORÇAMENTO!$AF$7)/$H386*OFFSET(ORÇAMENTO!$X$15,ROW(AV386)-ROW(AV$15),0),0)</f>
        <v>0</v>
      </c>
      <c r="AW386" s="632">
        <f ca="1">IF(AND($D386="Serviço",AW$12&lt;&gt;0,$H386&gt;0,OR(AUTOEVENTO&lt;&gt;"manual",$M386&lt;&gt;1)),ROUND(OFFSET($P386,0,AW$13),15-13*ORÇAMENTO!$AF$7)/$H386*OFFSET(ORÇAMENTO!$X$15,ROW(AW386)-ROW(AW$15),0),0)</f>
        <v>0</v>
      </c>
      <c r="AX386" s="632">
        <f ca="1">IF(AND($D386="Serviço",AX$12&lt;&gt;0,$H386&gt;0,OR(AUTOEVENTO&lt;&gt;"manual",$M386&lt;&gt;1)),ROUND(OFFSET($P386,0,AX$13),15-13*ORÇAMENTO!$AF$7)/$H386*OFFSET(ORÇAMENTO!$X$15,ROW(AX386)-ROW(AX$15),0),0)</f>
        <v>0</v>
      </c>
      <c r="AY386" s="632">
        <f ca="1">IF(AND($D386="Serviço",AY$12&lt;&gt;0,$H386&gt;0,OR(AUTOEVENTO&lt;&gt;"manual",$M386&lt;&gt;1)),ROUND(OFFSET($P386,0,AY$13),15-13*ORÇAMENTO!$AF$7)/$H386*OFFSET(ORÇAMENTO!$X$15,ROW(AY386)-ROW(AY$15),0),0)</f>
        <v>0</v>
      </c>
      <c r="AZ386" s="632">
        <f ca="1">IF(AND($D386="Serviço",AZ$12&lt;&gt;0,$H386&gt;0,OR(AUTOEVENTO&lt;&gt;"manual",$M386&lt;&gt;1)),ROUND(OFFSET($P386,0,AZ$13),15-13*ORÇAMENTO!$AF$7)/$H386*OFFSET(ORÇAMENTO!$X$15,ROW(AZ386)-ROW(AZ$15),0),0)</f>
        <v>0</v>
      </c>
      <c r="BA386" s="633">
        <f ca="1">IF(AND($D386="Serviço",BA$12&lt;&gt;0,$H386&gt;0,OR(AUTOEVENTO&lt;&gt;"manual",$M386&lt;&gt;1)),ROUND(OFFSET($P386,0,BA$13),15-13*ORÇAMENTO!$AF$7)/$H386*OFFSET(ORÇAMENTO!$X$15,ROW(BA386)-ROW(BA$15),0),0)</f>
        <v>0</v>
      </c>
      <c r="BC386" s="215">
        <f ca="1">IF($D386&lt;&gt;"Serviço",0,IF(AND(AUTOEVENTO="Manual",$M386=1),0,IF(OFFSET(CRONOPLE!$F$14,$M386,BC$13)="",10^12,OFFSET(CRONOPLE!$F$14,$M386,BC$13))))</f>
        <v>0</v>
      </c>
      <c r="BD386" s="215">
        <f ca="1">IF($D386&lt;&gt;"Serviço",0,IF(AND(AUTOEVENTO="Manual",$M386=1),0,IF(OFFSET(CRONOPLE!$F$14,$M386,BD$13)="",10^12,OFFSET(CRONOPLE!$F$14,$M386,BD$13))))</f>
        <v>0</v>
      </c>
      <c r="BE386" s="215">
        <f ca="1">IF($D386&lt;&gt;"Serviço",0,IF(AND(AUTOEVENTO="Manual",$M386=1),0,IF(OFFSET(CRONOPLE!$F$14,$M386,BE$13)="",10^12,OFFSET(CRONOPLE!$F$14,$M386,BE$13))))</f>
        <v>0</v>
      </c>
      <c r="BF386" s="215">
        <f ca="1">IF($D386&lt;&gt;"Serviço",0,IF(AND(AUTOEVENTO="Manual",$M386=1),0,IF(OFFSET(CRONOPLE!$F$14,$M386,BF$13)="",10^12,OFFSET(CRONOPLE!$F$14,$M386,BF$13))))</f>
        <v>0</v>
      </c>
      <c r="BG386" s="215">
        <f ca="1">IF($D386&lt;&gt;"Serviço",0,IF(AND(AUTOEVENTO="Manual",$M386=1),0,IF(OFFSET(CRONOPLE!$F$14,$M386,BG$13)="",10^12,OFFSET(CRONOPLE!$F$14,$M386,BG$13))))</f>
        <v>0</v>
      </c>
      <c r="BH386" s="215">
        <f ca="1">IF($D386&lt;&gt;"Serviço",0,IF(AND(AUTOEVENTO="Manual",$M386=1),0,IF(OFFSET(CRONOPLE!$F$14,$M386,BH$13)="",10^12,OFFSET(CRONOPLE!$F$14,$M386,BH$13))))</f>
        <v>0</v>
      </c>
      <c r="BI386" s="215">
        <f ca="1">IF($D386&lt;&gt;"Serviço",0,IF(AND(AUTOEVENTO="Manual",$M386=1),0,IF(OFFSET(CRONOPLE!$F$14,$M386,BI$13)="",10^12,OFFSET(CRONOPLE!$F$14,$M386,BI$13))))</f>
        <v>0</v>
      </c>
      <c r="BJ386" s="215">
        <f ca="1">IF($D386&lt;&gt;"Serviço",0,IF(AND(AUTOEVENTO="Manual",$M386=1),0,IF(OFFSET(CRONOPLE!$F$14,$M386,BJ$13)="",10^12,OFFSET(CRONOPLE!$F$14,$M386,BJ$13))))</f>
        <v>0</v>
      </c>
      <c r="BK386" s="215">
        <f ca="1">IF($D386&lt;&gt;"Serviço",0,IF(AND(AUTOEVENTO="Manual",$M386=1),0,IF(OFFSET(CRONOPLE!$F$14,$M386,BK$13)="",10^12,OFFSET(CRONOPLE!$F$14,$M386,BK$13))))</f>
        <v>0</v>
      </c>
      <c r="BL386" s="215">
        <f ca="1">IF($D386&lt;&gt;"Serviço",0,IF(AND(AUTOEVENTO="Manual",$M386=1),0,IF(OFFSET(CRONOPLE!$F$14,$M386,BL$13)="",10^12,OFFSET(CRONOPLE!$F$14,$M386,BL$13))))</f>
        <v>0</v>
      </c>
      <c r="BM386" s="215">
        <f ca="1">IF($D386&lt;&gt;"Serviço",0,IF(AND(AUTOEVENTO="Manual",$M386=1),0,IF(OFFSET(CRONOPLE!$F$14,$M386,BM$13)="",10^12,OFFSET(CRONOPLE!$F$14,$M386,BM$13))))</f>
        <v>0</v>
      </c>
      <c r="BN386" s="215">
        <f ca="1">IF($D386&lt;&gt;"Serviço",0,IF(AND(AUTOEVENTO="Manual",$M386=1),0,IF(OFFSET(CRONOPLE!$F$14,$M386,BN$13)="",10^12,OFFSET(CRONOPLE!$F$14,$M386,BN$13))))</f>
        <v>0</v>
      </c>
      <c r="BO386" s="215">
        <f ca="1">IF($D386&lt;&gt;"Serviço",0,IF(AND(AUTOEVENTO="Manual",$M386=1),0,IF(OFFSET(CRONOPLE!$F$14,$M386,BO$13)="",10^12,OFFSET(CRONOPLE!$F$14,$M386,BO$13))))</f>
        <v>0</v>
      </c>
      <c r="BP386" s="215">
        <f ca="1">IF($D386&lt;&gt;"Serviço",0,IF(AND(AUTOEVENTO="Manual",$M386=1),0,IF(OFFSET(CRONOPLE!$F$14,$M386,BP$13)="",10^12,OFFSET(CRONOPLE!$F$14,$M386,BP$13))))</f>
        <v>0</v>
      </c>
      <c r="BQ386" s="215">
        <f ca="1">IF($D386&lt;&gt;"Serviço",0,IF(AND(AUTOEVENTO="Manual",$M386=1),0,IF(OFFSET(CRONOPLE!$F$14,$M386,BQ$13)="",10^12,OFFSET(CRONOPLE!$F$14,$M386,BQ$13))))</f>
        <v>0</v>
      </c>
      <c r="BR386" s="215">
        <f ca="1">IF($D386&lt;&gt;"Serviço",0,IF(AND(AUTOEVENTO="Manual",$M386=1),0,IF(OFFSET(CRONOPLE!$F$14,$M386,BR$13)="",10^12,OFFSET(CRONOPLE!$F$14,$M386,BR$13))))</f>
        <v>0</v>
      </c>
      <c r="BS386" s="215">
        <f ca="1">IF($D386&lt;&gt;"Serviço",0,IF(AND(AUTOEVENTO="Manual",$M386=1),0,IF(OFFSET(CRONOPLE!$F$14,$M386,BS$13)="",10^12,OFFSET(CRONOPLE!$F$14,$M386,BS$13))))</f>
        <v>0</v>
      </c>
      <c r="BT386" s="215">
        <f ca="1">IF($D386&lt;&gt;"Serviço",0,IF(AND(AUTOEVENTO="Manual",$M386=1),0,IF(OFFSET(CRONOPLE!$F$14,$M386,BT$13)="",10^12,OFFSET(CRONOPLE!$F$14,$M386,BT$13))))</f>
        <v>0</v>
      </c>
      <c r="BV386" s="216">
        <f ca="1">IF($D386&lt;&gt;"Serviço",0,IF(OR(AND(AUTOEVENTO="Manual",$M386=1),$M386&gt;(ROW(PLE.lastrow)-ROW(PLE.firstrow))),0,IF(OFFSET(PLE!$G$14,$M386,BV$13)="",10^12,OFFSET(PLE!$G$14,$M386,BV$13))))</f>
        <v>0</v>
      </c>
      <c r="BW386" s="216">
        <f ca="1">IF($D386&lt;&gt;"Serviço",0,IF(OR(AND(AUTOEVENTO="Manual",$M386=1),$M386&gt;(ROW(PLE.lastrow)-ROW(PLE.firstrow))),0,IF(OFFSET(PLE!$G$14,$M386,BW$13)="",10^12,OFFSET(PLE!$G$14,$M386,BW$13))))</f>
        <v>0</v>
      </c>
      <c r="BX386" s="216">
        <f ca="1">IF($D386&lt;&gt;"Serviço",0,IF(OR(AND(AUTOEVENTO="Manual",$M386=1),$M386&gt;(ROW(PLE.lastrow)-ROW(PLE.firstrow))),0,IF(OFFSET(PLE!$G$14,$M386,BX$13)="",10^12,OFFSET(PLE!$G$14,$M386,BX$13))))</f>
        <v>0</v>
      </c>
      <c r="BY386" s="216">
        <f ca="1">IF($D386&lt;&gt;"Serviço",0,IF(OR(AND(AUTOEVENTO="Manual",$M386=1),$M386&gt;(ROW(PLE.lastrow)-ROW(PLE.firstrow))),0,IF(OFFSET(PLE!$G$14,$M386,BY$13)="",10^12,OFFSET(PLE!$G$14,$M386,BY$13))))</f>
        <v>0</v>
      </c>
      <c r="BZ386" s="216">
        <f ca="1">IF($D386&lt;&gt;"Serviço",0,IF(OR(AND(AUTOEVENTO="Manual",$M386=1),$M386&gt;(ROW(PLE.lastrow)-ROW(PLE.firstrow))),0,IF(OFFSET(PLE!$G$14,$M386,BZ$13)="",10^12,OFFSET(PLE!$G$14,$M386,BZ$13))))</f>
        <v>0</v>
      </c>
      <c r="CA386" s="216">
        <f ca="1">IF($D386&lt;&gt;"Serviço",0,IF(OR(AND(AUTOEVENTO="Manual",$M386=1),$M386&gt;(ROW(PLE.lastrow)-ROW(PLE.firstrow))),0,IF(OFFSET(PLE!$G$14,$M386,CA$13)="",10^12,OFFSET(PLE!$G$14,$M386,CA$13))))</f>
        <v>0</v>
      </c>
      <c r="CB386" s="216">
        <f ca="1">IF($D386&lt;&gt;"Serviço",0,IF(OR(AND(AUTOEVENTO="Manual",$M386=1),$M386&gt;(ROW(PLE.lastrow)-ROW(PLE.firstrow))),0,IF(OFFSET(PLE!$G$14,$M386,CB$13)="",10^12,OFFSET(PLE!$G$14,$M386,CB$13))))</f>
        <v>0</v>
      </c>
      <c r="CC386" s="216">
        <f ca="1">IF($D386&lt;&gt;"Serviço",0,IF(OR(AND(AUTOEVENTO="Manual",$M386=1),$M386&gt;(ROW(PLE.lastrow)-ROW(PLE.firstrow))),0,IF(OFFSET(PLE!$G$14,$M386,CC$13)="",10^12,OFFSET(PLE!$G$14,$M386,CC$13))))</f>
        <v>0</v>
      </c>
      <c r="CD386" s="216">
        <f ca="1">IF($D386&lt;&gt;"Serviço",0,IF(OR(AND(AUTOEVENTO="Manual",$M386=1),$M386&gt;(ROW(PLE.lastrow)-ROW(PLE.firstrow))),0,IF(OFFSET(PLE!$G$14,$M386,CD$13)="",10^12,OFFSET(PLE!$G$14,$M386,CD$13))))</f>
        <v>0</v>
      </c>
      <c r="CE386" s="216">
        <f ca="1">IF($D386&lt;&gt;"Serviço",0,IF(OR(AND(AUTOEVENTO="Manual",$M386=1),$M386&gt;(ROW(PLE.lastrow)-ROW(PLE.firstrow))),0,IF(OFFSET(PLE!$G$14,$M386,CE$13)="",10^12,OFFSET(PLE!$G$14,$M386,CE$13))))</f>
        <v>0</v>
      </c>
      <c r="CF386" s="216">
        <f ca="1">IF($D386&lt;&gt;"Serviço",0,IF(OR(AND(AUTOEVENTO="Manual",$M386=1),$M386&gt;(ROW(PLE.lastrow)-ROW(PLE.firstrow))),0,IF(OFFSET(PLE!$G$14,$M386,CF$13)="",10^12,OFFSET(PLE!$G$14,$M386,CF$13))))</f>
        <v>0</v>
      </c>
      <c r="CG386" s="216">
        <f ca="1">IF($D386&lt;&gt;"Serviço",0,IF(OR(AND(AUTOEVENTO="Manual",$M386=1),$M386&gt;(ROW(PLE.lastrow)-ROW(PLE.firstrow))),0,IF(OFFSET(PLE!$G$14,$M386,CG$13)="",10^12,OFFSET(PLE!$G$14,$M386,CG$13))))</f>
        <v>0</v>
      </c>
      <c r="CH386" s="216">
        <f ca="1">IF($D386&lt;&gt;"Serviço",0,IF(OR(AND(AUTOEVENTO="Manual",$M386=1),$M386&gt;(ROW(PLE.lastrow)-ROW(PLE.firstrow))),0,IF(OFFSET(PLE!$G$14,$M386,CH$13)="",10^12,OFFSET(PLE!$G$14,$M386,CH$13))))</f>
        <v>0</v>
      </c>
      <c r="CI386" s="216">
        <f ca="1">IF($D386&lt;&gt;"Serviço",0,IF(OR(AND(AUTOEVENTO="Manual",$M386=1),$M386&gt;(ROW(PLE.lastrow)-ROW(PLE.firstrow))),0,IF(OFFSET(PLE!$G$14,$M386,CI$13)="",10^12,OFFSET(PLE!$G$14,$M386,CI$13))))</f>
        <v>0</v>
      </c>
      <c r="CJ386" s="216">
        <f ca="1">IF($D386&lt;&gt;"Serviço",0,IF(OR(AND(AUTOEVENTO="Manual",$M386=1),$M386&gt;(ROW(PLE.lastrow)-ROW(PLE.firstrow))),0,IF(OFFSET(PLE!$G$14,$M386,CJ$13)="",10^12,OFFSET(PLE!$G$14,$M386,CJ$13))))</f>
        <v>0</v>
      </c>
      <c r="CK386" s="216">
        <f ca="1">IF($D386&lt;&gt;"Serviço",0,IF(OR(AND(AUTOEVENTO="Manual",$M386=1),$M386&gt;(ROW(PLE.lastrow)-ROW(PLE.firstrow))),0,IF(OFFSET(PLE!$G$14,$M386,CK$13)="",10^12,OFFSET(PLE!$G$14,$M386,CK$13))))</f>
        <v>0</v>
      </c>
      <c r="CL386" s="216">
        <f ca="1">IF($D386&lt;&gt;"Serviço",0,IF(OR(AND(AUTOEVENTO="Manual",$M386=1),$M386&gt;(ROW(PLE.lastrow)-ROW(PLE.firstrow))),0,IF(OFFSET(PLE!$G$14,$M386,CL$13)="",10^12,OFFSET(PLE!$G$14,$M386,CL$13))))</f>
        <v>0</v>
      </c>
      <c r="CM386" s="216">
        <f ca="1">IF($D386&lt;&gt;"Serviço",0,IF(OR(AND(AUTOEVENTO="Manual",$M386=1),$M386&gt;(ROW(PLE.lastrow)-ROW(PLE.firstrow))),0,IF(OFFSET(PLE!$G$14,$M386,CM$13)="",10^12,OFFSET(PLE!$G$14,$M386,CM$13))))</f>
        <v>0</v>
      </c>
    </row>
    <row r="387" spans="1:91" ht="13.2" x14ac:dyDescent="0.25">
      <c r="A387" s="9">
        <f t="shared" ca="1" si="14"/>
        <v>0</v>
      </c>
      <c r="B387" s="9" t="str">
        <f ca="1">OFFSET(ORÇAMENTO!C$15,ROW(B387)-ROW(B$15),0)</f>
        <v>S</v>
      </c>
      <c r="C387" s="9" t="str">
        <f ca="1">OFFSET(ORÇAMENTO!L$15,ROW(C387)-ROW(C$15),0)</f>
        <v/>
      </c>
      <c r="D387" s="145" t="str">
        <f ca="1">OFFSET(ORÇAMENTO!N$15,ROW(D387)-ROW(D$15),0)</f>
        <v>Serviço</v>
      </c>
      <c r="E387" s="205" t="str">
        <f ca="1">OFFSET(ORÇAMENTO!O$15,ROW(E387)-ROW(E$15),0)</f>
        <v>-</v>
      </c>
      <c r="F387" s="206" t="str">
        <f ca="1">OFFSET(ORÇAMENTO!R$15,ROW(F387)-ROW(F$15),0)</f>
        <v>(abra o arquivo 'Referência 05-2024.xls)</v>
      </c>
      <c r="G387" s="207" t="str">
        <f ca="1">IF($D387&lt;&gt;"Serviço","",OFFSET(ORÇAMENTO!S$15,ROW(G387)-ROW(G$15),0))</f>
        <v>-</v>
      </c>
      <c r="H387" s="151">
        <f ca="1">IF($D387&lt;&gt;"Serviço",0,IF(ACOMPANHAMENTO="BM",ROUND(OFFSET(ORÇAMENTO!AJ$15,ROW(H387)-ROW(H$15),0),15-13*ORÇAMENTO!$AF$7),SUMPRODUCT(($Q$12:$AI$12&lt;&gt;"")*ROUND($Q387:$AI387,15-13*ORÇAMENTO!$AF$7))))</f>
        <v>13</v>
      </c>
      <c r="I387" s="650"/>
      <c r="K387" s="208"/>
      <c r="L387" s="209" t="s">
        <v>257</v>
      </c>
      <c r="M387" s="210">
        <f ca="1">IF($D387&lt;&gt;"Serviço","",IF(AUTOEVENTO="manual",$A387,IF(ISERROR(MATCH($A387,$A$15:OFFSET($A387,-1,0),0)),MAX($M$15:OFFSET(M387,-1,0))+1,INDEX($M$15:OFFSET(M387,-1,0),MATCH($A387,$A$15:OFFSET($A387,-1,0),0)))))</f>
        <v>0</v>
      </c>
      <c r="N387" s="211" t="str">
        <f ca="1">IF($D387&lt;&gt;"Serviço","",IF(AUTOEVENTO="Manual",IF($A387=0,"&lt;-- defina o número do agrupador",OFFSET(EVENTOS!$D$14,$A387,0)),OFFSET($F$15,$A387,0)))</f>
        <v>&lt;-- defina o número do agrupador</v>
      </c>
      <c r="O387" s="212"/>
      <c r="Q387" s="212"/>
      <c r="R387" s="213"/>
      <c r="S387" s="213"/>
      <c r="T387" s="213"/>
      <c r="U387" s="213"/>
      <c r="V387" s="213"/>
      <c r="W387" s="213"/>
      <c r="X387" s="213"/>
      <c r="Y387" s="213"/>
      <c r="Z387" s="214"/>
      <c r="AA387" s="213"/>
      <c r="AB387" s="213"/>
      <c r="AC387" s="213"/>
      <c r="AD387" s="213"/>
      <c r="AE387" s="213"/>
      <c r="AF387" s="213"/>
      <c r="AG387" s="213"/>
      <c r="AH387" s="214"/>
      <c r="AJ387" s="631">
        <f ca="1">IF(AND($D387="Serviço",AJ$12&lt;&gt;0,$H387&gt;0,OR(AUTOEVENTO&lt;&gt;"manual",$M387&lt;&gt;1)),ROUND(OFFSET($P387,0,AJ$13),15-13*ORÇAMENTO!$AF$7)/$H387*OFFSET(ORÇAMENTO!$X$15,ROW(AJ387)-ROW(AJ$15),0),0)</f>
        <v>0</v>
      </c>
      <c r="AK387" s="632">
        <f ca="1">IF(AND($D387="Serviço",AK$12&lt;&gt;0,$H387&gt;0,OR(AUTOEVENTO&lt;&gt;"manual",$M387&lt;&gt;1)),ROUND(OFFSET($P387,0,AK$13),15-13*ORÇAMENTO!$AF$7)/$H387*OFFSET(ORÇAMENTO!$X$15,ROW(AK387)-ROW(AK$15),0),0)</f>
        <v>0</v>
      </c>
      <c r="AL387" s="632">
        <f ca="1">IF(AND($D387="Serviço",AL$12&lt;&gt;0,$H387&gt;0,OR(AUTOEVENTO&lt;&gt;"manual",$M387&lt;&gt;1)),ROUND(OFFSET($P387,0,AL$13),15-13*ORÇAMENTO!$AF$7)/$H387*OFFSET(ORÇAMENTO!$X$15,ROW(AL387)-ROW(AL$15),0),0)</f>
        <v>0</v>
      </c>
      <c r="AM387" s="632">
        <f ca="1">IF(AND($D387="Serviço",AM$12&lt;&gt;0,$H387&gt;0,OR(AUTOEVENTO&lt;&gt;"manual",$M387&lt;&gt;1)),ROUND(OFFSET($P387,0,AM$13),15-13*ORÇAMENTO!$AF$7)/$H387*OFFSET(ORÇAMENTO!$X$15,ROW(AM387)-ROW(AM$15),0),0)</f>
        <v>0</v>
      </c>
      <c r="AN387" s="632">
        <f ca="1">IF(AND($D387="Serviço",AN$12&lt;&gt;0,$H387&gt;0,OR(AUTOEVENTO&lt;&gt;"manual",$M387&lt;&gt;1)),ROUND(OFFSET($P387,0,AN$13),15-13*ORÇAMENTO!$AF$7)/$H387*OFFSET(ORÇAMENTO!$X$15,ROW(AN387)-ROW(AN$15),0),0)</f>
        <v>0</v>
      </c>
      <c r="AO387" s="632">
        <f ca="1">IF(AND($D387="Serviço",AO$12&lt;&gt;0,$H387&gt;0,OR(AUTOEVENTO&lt;&gt;"manual",$M387&lt;&gt;1)),ROUND(OFFSET($P387,0,AO$13),15-13*ORÇAMENTO!$AF$7)/$H387*OFFSET(ORÇAMENTO!$X$15,ROW(AO387)-ROW(AO$15),0),0)</f>
        <v>0</v>
      </c>
      <c r="AP387" s="632">
        <f ca="1">IF(AND($D387="Serviço",AP$12&lt;&gt;0,$H387&gt;0,OR(AUTOEVENTO&lt;&gt;"manual",$M387&lt;&gt;1)),ROUND(OFFSET($P387,0,AP$13),15-13*ORÇAMENTO!$AF$7)/$H387*OFFSET(ORÇAMENTO!$X$15,ROW(AP387)-ROW(AP$15),0),0)</f>
        <v>0</v>
      </c>
      <c r="AQ387" s="632">
        <f ca="1">IF(AND($D387="Serviço",AQ$12&lt;&gt;0,$H387&gt;0,OR(AUTOEVENTO&lt;&gt;"manual",$M387&lt;&gt;1)),ROUND(OFFSET($P387,0,AQ$13),15-13*ORÇAMENTO!$AF$7)/$H387*OFFSET(ORÇAMENTO!$X$15,ROW(AQ387)-ROW(AQ$15),0),0)</f>
        <v>0</v>
      </c>
      <c r="AR387" s="632">
        <f ca="1">IF(AND($D387="Serviço",AR$12&lt;&gt;0,$H387&gt;0,OR(AUTOEVENTO&lt;&gt;"manual",$M387&lt;&gt;1)),ROUND(OFFSET($P387,0,AR$13),15-13*ORÇAMENTO!$AF$7)/$H387*OFFSET(ORÇAMENTO!$X$15,ROW(AR387)-ROW(AR$15),0),0)</f>
        <v>0</v>
      </c>
      <c r="AS387" s="633">
        <f ca="1">IF(AND($D387="Serviço",AS$12&lt;&gt;0,$H387&gt;0,OR(AUTOEVENTO&lt;&gt;"manual",$M387&lt;&gt;1)),ROUND(OFFSET($P387,0,AS$13),15-13*ORÇAMENTO!$AF$7)/$H387*OFFSET(ORÇAMENTO!$X$15,ROW(AS387)-ROW(AS$15),0),0)</f>
        <v>0</v>
      </c>
      <c r="AT387" s="632">
        <f ca="1">IF(AND($D387="Serviço",AT$12&lt;&gt;0,$H387&gt;0,OR(AUTOEVENTO&lt;&gt;"manual",$M387&lt;&gt;1)),ROUND(OFFSET($P387,0,AT$13),15-13*ORÇAMENTO!$AF$7)/$H387*OFFSET(ORÇAMENTO!$X$15,ROW(AT387)-ROW(AT$15),0),0)</f>
        <v>0</v>
      </c>
      <c r="AU387" s="632">
        <f ca="1">IF(AND($D387="Serviço",AU$12&lt;&gt;0,$H387&gt;0,OR(AUTOEVENTO&lt;&gt;"manual",$M387&lt;&gt;1)),ROUND(OFFSET($P387,0,AU$13),15-13*ORÇAMENTO!$AF$7)/$H387*OFFSET(ORÇAMENTO!$X$15,ROW(AU387)-ROW(AU$15),0),0)</f>
        <v>0</v>
      </c>
      <c r="AV387" s="632">
        <f ca="1">IF(AND($D387="Serviço",AV$12&lt;&gt;0,$H387&gt;0,OR(AUTOEVENTO&lt;&gt;"manual",$M387&lt;&gt;1)),ROUND(OFFSET($P387,0,AV$13),15-13*ORÇAMENTO!$AF$7)/$H387*OFFSET(ORÇAMENTO!$X$15,ROW(AV387)-ROW(AV$15),0),0)</f>
        <v>0</v>
      </c>
      <c r="AW387" s="632">
        <f ca="1">IF(AND($D387="Serviço",AW$12&lt;&gt;0,$H387&gt;0,OR(AUTOEVENTO&lt;&gt;"manual",$M387&lt;&gt;1)),ROUND(OFFSET($P387,0,AW$13),15-13*ORÇAMENTO!$AF$7)/$H387*OFFSET(ORÇAMENTO!$X$15,ROW(AW387)-ROW(AW$15),0),0)</f>
        <v>0</v>
      </c>
      <c r="AX387" s="632">
        <f ca="1">IF(AND($D387="Serviço",AX$12&lt;&gt;0,$H387&gt;0,OR(AUTOEVENTO&lt;&gt;"manual",$M387&lt;&gt;1)),ROUND(OFFSET($P387,0,AX$13),15-13*ORÇAMENTO!$AF$7)/$H387*OFFSET(ORÇAMENTO!$X$15,ROW(AX387)-ROW(AX$15),0),0)</f>
        <v>0</v>
      </c>
      <c r="AY387" s="632">
        <f ca="1">IF(AND($D387="Serviço",AY$12&lt;&gt;0,$H387&gt;0,OR(AUTOEVENTO&lt;&gt;"manual",$M387&lt;&gt;1)),ROUND(OFFSET($P387,0,AY$13),15-13*ORÇAMENTO!$AF$7)/$H387*OFFSET(ORÇAMENTO!$X$15,ROW(AY387)-ROW(AY$15),0),0)</f>
        <v>0</v>
      </c>
      <c r="AZ387" s="632">
        <f ca="1">IF(AND($D387="Serviço",AZ$12&lt;&gt;0,$H387&gt;0,OR(AUTOEVENTO&lt;&gt;"manual",$M387&lt;&gt;1)),ROUND(OFFSET($P387,0,AZ$13),15-13*ORÇAMENTO!$AF$7)/$H387*OFFSET(ORÇAMENTO!$X$15,ROW(AZ387)-ROW(AZ$15),0),0)</f>
        <v>0</v>
      </c>
      <c r="BA387" s="633">
        <f ca="1">IF(AND($D387="Serviço",BA$12&lt;&gt;0,$H387&gt;0,OR(AUTOEVENTO&lt;&gt;"manual",$M387&lt;&gt;1)),ROUND(OFFSET($P387,0,BA$13),15-13*ORÇAMENTO!$AF$7)/$H387*OFFSET(ORÇAMENTO!$X$15,ROW(BA387)-ROW(BA$15),0),0)</f>
        <v>0</v>
      </c>
      <c r="BC387" s="215">
        <f ca="1">IF($D387&lt;&gt;"Serviço",0,IF(AND(AUTOEVENTO="Manual",$M387=1),0,IF(OFFSET(CRONOPLE!$F$14,$M387,BC$13)="",10^12,OFFSET(CRONOPLE!$F$14,$M387,BC$13))))</f>
        <v>1000000000000</v>
      </c>
      <c r="BD387" s="215">
        <f ca="1">IF($D387&lt;&gt;"Serviço",0,IF(AND(AUTOEVENTO="Manual",$M387=1),0,IF(OFFSET(CRONOPLE!$F$14,$M387,BD$13)="",10^12,OFFSET(CRONOPLE!$F$14,$M387,BD$13))))</f>
        <v>1000000000000</v>
      </c>
      <c r="BE387" s="215">
        <f ca="1">IF($D387&lt;&gt;"Serviço",0,IF(AND(AUTOEVENTO="Manual",$M387=1),0,IF(OFFSET(CRONOPLE!$F$14,$M387,BE$13)="",10^12,OFFSET(CRONOPLE!$F$14,$M387,BE$13))))</f>
        <v>1000000000000</v>
      </c>
      <c r="BF387" s="215">
        <f ca="1">IF($D387&lt;&gt;"Serviço",0,IF(AND(AUTOEVENTO="Manual",$M387=1),0,IF(OFFSET(CRONOPLE!$F$14,$M387,BF$13)="",10^12,OFFSET(CRONOPLE!$F$14,$M387,BF$13))))</f>
        <v>1000000000000</v>
      </c>
      <c r="BG387" s="215">
        <f ca="1">IF($D387&lt;&gt;"Serviço",0,IF(AND(AUTOEVENTO="Manual",$M387=1),0,IF(OFFSET(CRONOPLE!$F$14,$M387,BG$13)="",10^12,OFFSET(CRONOPLE!$F$14,$M387,BG$13))))</f>
        <v>1000000000000</v>
      </c>
      <c r="BH387" s="215">
        <f ca="1">IF($D387&lt;&gt;"Serviço",0,IF(AND(AUTOEVENTO="Manual",$M387=1),0,IF(OFFSET(CRONOPLE!$F$14,$M387,BH$13)="",10^12,OFFSET(CRONOPLE!$F$14,$M387,BH$13))))</f>
        <v>1000000000000</v>
      </c>
      <c r="BI387" s="215">
        <f ca="1">IF($D387&lt;&gt;"Serviço",0,IF(AND(AUTOEVENTO="Manual",$M387=1),0,IF(OFFSET(CRONOPLE!$F$14,$M387,BI$13)="",10^12,OFFSET(CRONOPLE!$F$14,$M387,BI$13))))</f>
        <v>1000000000000</v>
      </c>
      <c r="BJ387" s="215">
        <f ca="1">IF($D387&lt;&gt;"Serviço",0,IF(AND(AUTOEVENTO="Manual",$M387=1),0,IF(OFFSET(CRONOPLE!$F$14,$M387,BJ$13)="",10^12,OFFSET(CRONOPLE!$F$14,$M387,BJ$13))))</f>
        <v>1000000000000</v>
      </c>
      <c r="BK387" s="215">
        <f ca="1">IF($D387&lt;&gt;"Serviço",0,IF(AND(AUTOEVENTO="Manual",$M387=1),0,IF(OFFSET(CRONOPLE!$F$14,$M387,BK$13)="",10^12,OFFSET(CRONOPLE!$F$14,$M387,BK$13))))</f>
        <v>1000000000000</v>
      </c>
      <c r="BL387" s="215">
        <f ca="1">IF($D387&lt;&gt;"Serviço",0,IF(AND(AUTOEVENTO="Manual",$M387=1),0,IF(OFFSET(CRONOPLE!$F$14,$M387,BL$13)="",10^12,OFFSET(CRONOPLE!$F$14,$M387,BL$13))))</f>
        <v>1000000000000</v>
      </c>
      <c r="BM387" s="215">
        <f ca="1">IF($D387&lt;&gt;"Serviço",0,IF(AND(AUTOEVENTO="Manual",$M387=1),0,IF(OFFSET(CRONOPLE!$F$14,$M387,BM$13)="",10^12,OFFSET(CRONOPLE!$F$14,$M387,BM$13))))</f>
        <v>1000000000000</v>
      </c>
      <c r="BN387" s="215">
        <f ca="1">IF($D387&lt;&gt;"Serviço",0,IF(AND(AUTOEVENTO="Manual",$M387=1),0,IF(OFFSET(CRONOPLE!$F$14,$M387,BN$13)="",10^12,OFFSET(CRONOPLE!$F$14,$M387,BN$13))))</f>
        <v>1000000000000</v>
      </c>
      <c r="BO387" s="215">
        <f ca="1">IF($D387&lt;&gt;"Serviço",0,IF(AND(AUTOEVENTO="Manual",$M387=1),0,IF(OFFSET(CRONOPLE!$F$14,$M387,BO$13)="",10^12,OFFSET(CRONOPLE!$F$14,$M387,BO$13))))</f>
        <v>1000000000000</v>
      </c>
      <c r="BP387" s="215">
        <f ca="1">IF($D387&lt;&gt;"Serviço",0,IF(AND(AUTOEVENTO="Manual",$M387=1),0,IF(OFFSET(CRONOPLE!$F$14,$M387,BP$13)="",10^12,OFFSET(CRONOPLE!$F$14,$M387,BP$13))))</f>
        <v>1000000000000</v>
      </c>
      <c r="BQ387" s="215">
        <f ca="1">IF($D387&lt;&gt;"Serviço",0,IF(AND(AUTOEVENTO="Manual",$M387=1),0,IF(OFFSET(CRONOPLE!$F$14,$M387,BQ$13)="",10^12,OFFSET(CRONOPLE!$F$14,$M387,BQ$13))))</f>
        <v>1000000000000</v>
      </c>
      <c r="BR387" s="215">
        <f ca="1">IF($D387&lt;&gt;"Serviço",0,IF(AND(AUTOEVENTO="Manual",$M387=1),0,IF(OFFSET(CRONOPLE!$F$14,$M387,BR$13)="",10^12,OFFSET(CRONOPLE!$F$14,$M387,BR$13))))</f>
        <v>1000000000000</v>
      </c>
      <c r="BS387" s="215">
        <f ca="1">IF($D387&lt;&gt;"Serviço",0,IF(AND(AUTOEVENTO="Manual",$M387=1),0,IF(OFFSET(CRONOPLE!$F$14,$M387,BS$13)="",10^12,OFFSET(CRONOPLE!$F$14,$M387,BS$13))))</f>
        <v>1000000000000</v>
      </c>
      <c r="BT387" s="215">
        <f ca="1">IF($D387&lt;&gt;"Serviço",0,IF(AND(AUTOEVENTO="Manual",$M387=1),0,IF(OFFSET(CRONOPLE!$F$14,$M387,BT$13)="",10^12,OFFSET(CRONOPLE!$F$14,$M387,BT$13))))</f>
        <v>1000000000000</v>
      </c>
      <c r="BV387" s="216">
        <f ca="1">IF($D387&lt;&gt;"Serviço",0,IF(OR(AND(AUTOEVENTO="Manual",$M387=1),$M387&gt;(ROW(PLE.lastrow)-ROW(PLE.firstrow))),0,IF(OFFSET(PLE!$G$14,$M387,BV$13)="",10^12,OFFSET(PLE!$G$14,$M387,BV$13))))</f>
        <v>1000000000000</v>
      </c>
      <c r="BW387" s="216">
        <f ca="1">IF($D387&lt;&gt;"Serviço",0,IF(OR(AND(AUTOEVENTO="Manual",$M387=1),$M387&gt;(ROW(PLE.lastrow)-ROW(PLE.firstrow))),0,IF(OFFSET(PLE!$G$14,$M387,BW$13)="",10^12,OFFSET(PLE!$G$14,$M387,BW$13))))</f>
        <v>1000000000000</v>
      </c>
      <c r="BX387" s="216">
        <f ca="1">IF($D387&lt;&gt;"Serviço",0,IF(OR(AND(AUTOEVENTO="Manual",$M387=1),$M387&gt;(ROW(PLE.lastrow)-ROW(PLE.firstrow))),0,IF(OFFSET(PLE!$G$14,$M387,BX$13)="",10^12,OFFSET(PLE!$G$14,$M387,BX$13))))</f>
        <v>1000000000000</v>
      </c>
      <c r="BY387" s="216">
        <f ca="1">IF($D387&lt;&gt;"Serviço",0,IF(OR(AND(AUTOEVENTO="Manual",$M387=1),$M387&gt;(ROW(PLE.lastrow)-ROW(PLE.firstrow))),0,IF(OFFSET(PLE!$G$14,$M387,BY$13)="",10^12,OFFSET(PLE!$G$14,$M387,BY$13))))</f>
        <v>1000000000000</v>
      </c>
      <c r="BZ387" s="216">
        <f ca="1">IF($D387&lt;&gt;"Serviço",0,IF(OR(AND(AUTOEVENTO="Manual",$M387=1),$M387&gt;(ROW(PLE.lastrow)-ROW(PLE.firstrow))),0,IF(OFFSET(PLE!$G$14,$M387,BZ$13)="",10^12,OFFSET(PLE!$G$14,$M387,BZ$13))))</f>
        <v>1000000000000</v>
      </c>
      <c r="CA387" s="216">
        <f ca="1">IF($D387&lt;&gt;"Serviço",0,IF(OR(AND(AUTOEVENTO="Manual",$M387=1),$M387&gt;(ROW(PLE.lastrow)-ROW(PLE.firstrow))),0,IF(OFFSET(PLE!$G$14,$M387,CA$13)="",10^12,OFFSET(PLE!$G$14,$M387,CA$13))))</f>
        <v>1000000000000</v>
      </c>
      <c r="CB387" s="216">
        <f ca="1">IF($D387&lt;&gt;"Serviço",0,IF(OR(AND(AUTOEVENTO="Manual",$M387=1),$M387&gt;(ROW(PLE.lastrow)-ROW(PLE.firstrow))),0,IF(OFFSET(PLE!$G$14,$M387,CB$13)="",10^12,OFFSET(PLE!$G$14,$M387,CB$13))))</f>
        <v>1000000000000</v>
      </c>
      <c r="CC387" s="216">
        <f ca="1">IF($D387&lt;&gt;"Serviço",0,IF(OR(AND(AUTOEVENTO="Manual",$M387=1),$M387&gt;(ROW(PLE.lastrow)-ROW(PLE.firstrow))),0,IF(OFFSET(PLE!$G$14,$M387,CC$13)="",10^12,OFFSET(PLE!$G$14,$M387,CC$13))))</f>
        <v>1000000000000</v>
      </c>
      <c r="CD387" s="216">
        <f ca="1">IF($D387&lt;&gt;"Serviço",0,IF(OR(AND(AUTOEVENTO="Manual",$M387=1),$M387&gt;(ROW(PLE.lastrow)-ROW(PLE.firstrow))),0,IF(OFFSET(PLE!$G$14,$M387,CD$13)="",10^12,OFFSET(PLE!$G$14,$M387,CD$13))))</f>
        <v>1000000000000</v>
      </c>
      <c r="CE387" s="216">
        <f ca="1">IF($D387&lt;&gt;"Serviço",0,IF(OR(AND(AUTOEVENTO="Manual",$M387=1),$M387&gt;(ROW(PLE.lastrow)-ROW(PLE.firstrow))),0,IF(OFFSET(PLE!$G$14,$M387,CE$13)="",10^12,OFFSET(PLE!$G$14,$M387,CE$13))))</f>
        <v>1000000000000</v>
      </c>
      <c r="CF387" s="216">
        <f ca="1">IF($D387&lt;&gt;"Serviço",0,IF(OR(AND(AUTOEVENTO="Manual",$M387=1),$M387&gt;(ROW(PLE.lastrow)-ROW(PLE.firstrow))),0,IF(OFFSET(PLE!$G$14,$M387,CF$13)="",10^12,OFFSET(PLE!$G$14,$M387,CF$13))))</f>
        <v>1000000000000</v>
      </c>
      <c r="CG387" s="216">
        <f ca="1">IF($D387&lt;&gt;"Serviço",0,IF(OR(AND(AUTOEVENTO="Manual",$M387=1),$M387&gt;(ROW(PLE.lastrow)-ROW(PLE.firstrow))),0,IF(OFFSET(PLE!$G$14,$M387,CG$13)="",10^12,OFFSET(PLE!$G$14,$M387,CG$13))))</f>
        <v>1000000000000</v>
      </c>
      <c r="CH387" s="216">
        <f ca="1">IF($D387&lt;&gt;"Serviço",0,IF(OR(AND(AUTOEVENTO="Manual",$M387=1),$M387&gt;(ROW(PLE.lastrow)-ROW(PLE.firstrow))),0,IF(OFFSET(PLE!$G$14,$M387,CH$13)="",10^12,OFFSET(PLE!$G$14,$M387,CH$13))))</f>
        <v>1000000000000</v>
      </c>
      <c r="CI387" s="216">
        <f ca="1">IF($D387&lt;&gt;"Serviço",0,IF(OR(AND(AUTOEVENTO="Manual",$M387=1),$M387&gt;(ROW(PLE.lastrow)-ROW(PLE.firstrow))),0,IF(OFFSET(PLE!$G$14,$M387,CI$13)="",10^12,OFFSET(PLE!$G$14,$M387,CI$13))))</f>
        <v>1000000000000</v>
      </c>
      <c r="CJ387" s="216">
        <f ca="1">IF($D387&lt;&gt;"Serviço",0,IF(OR(AND(AUTOEVENTO="Manual",$M387=1),$M387&gt;(ROW(PLE.lastrow)-ROW(PLE.firstrow))),0,IF(OFFSET(PLE!$G$14,$M387,CJ$13)="",10^12,OFFSET(PLE!$G$14,$M387,CJ$13))))</f>
        <v>1000000000000</v>
      </c>
      <c r="CK387" s="216">
        <f ca="1">IF($D387&lt;&gt;"Serviço",0,IF(OR(AND(AUTOEVENTO="Manual",$M387=1),$M387&gt;(ROW(PLE.lastrow)-ROW(PLE.firstrow))),0,IF(OFFSET(PLE!$G$14,$M387,CK$13)="",10^12,OFFSET(PLE!$G$14,$M387,CK$13))))</f>
        <v>1000000000000</v>
      </c>
      <c r="CL387" s="216">
        <f ca="1">IF($D387&lt;&gt;"Serviço",0,IF(OR(AND(AUTOEVENTO="Manual",$M387=1),$M387&gt;(ROW(PLE.lastrow)-ROW(PLE.firstrow))),0,IF(OFFSET(PLE!$G$14,$M387,CL$13)="",10^12,OFFSET(PLE!$G$14,$M387,CL$13))))</f>
        <v>1000000000000</v>
      </c>
      <c r="CM387" s="216">
        <f ca="1">IF($D387&lt;&gt;"Serviço",0,IF(OR(AND(AUTOEVENTO="Manual",$M387=1),$M387&gt;(ROW(PLE.lastrow)-ROW(PLE.firstrow))),0,IF(OFFSET(PLE!$G$14,$M387,CM$13)="",10^12,OFFSET(PLE!$G$14,$M387,CM$13))))</f>
        <v>1000000000000</v>
      </c>
    </row>
    <row r="388" spans="1:91" ht="13.2" x14ac:dyDescent="0.25">
      <c r="A388" s="9">
        <f t="shared" ca="1" si="14"/>
        <v>0</v>
      </c>
      <c r="B388" s="9" t="str">
        <f ca="1">OFFSET(ORÇAMENTO!C$15,ROW(B388)-ROW(B$15),0)</f>
        <v>S</v>
      </c>
      <c r="C388" s="9" t="str">
        <f ca="1">OFFSET(ORÇAMENTO!L$15,ROW(C388)-ROW(C$15),0)</f>
        <v/>
      </c>
      <c r="D388" s="145" t="str">
        <f ca="1">OFFSET(ORÇAMENTO!N$15,ROW(D388)-ROW(D$15),0)</f>
        <v>Serviço</v>
      </c>
      <c r="E388" s="205" t="str">
        <f ca="1">OFFSET(ORÇAMENTO!O$15,ROW(E388)-ROW(E$15),0)</f>
        <v>-</v>
      </c>
      <c r="F388" s="206" t="str">
        <f ca="1">OFFSET(ORÇAMENTO!R$15,ROW(F388)-ROW(F$15),0)</f>
        <v>(abra o arquivo 'Referência 05-2024.xls)</v>
      </c>
      <c r="G388" s="207" t="str">
        <f ca="1">IF($D388&lt;&gt;"Serviço","",OFFSET(ORÇAMENTO!S$15,ROW(G388)-ROW(G$15),0))</f>
        <v>-</v>
      </c>
      <c r="H388" s="151">
        <f ca="1">IF($D388&lt;&gt;"Serviço",0,IF(ACOMPANHAMENTO="BM",ROUND(OFFSET(ORÇAMENTO!AJ$15,ROW(H388)-ROW(H$15),0),15-13*ORÇAMENTO!$AF$7),SUMPRODUCT(($Q$12:$AI$12&lt;&gt;"")*ROUND($Q388:$AI388,15-13*ORÇAMENTO!$AF$7))))</f>
        <v>9</v>
      </c>
      <c r="I388" s="650"/>
      <c r="K388" s="208"/>
      <c r="L388" s="209" t="s">
        <v>257</v>
      </c>
      <c r="M388" s="210">
        <f ca="1">IF($D388&lt;&gt;"Serviço","",IF(AUTOEVENTO="manual",$A388,IF(ISERROR(MATCH($A388,$A$15:OFFSET($A388,-1,0),0)),MAX($M$15:OFFSET(M388,-1,0))+1,INDEX($M$15:OFFSET(M388,-1,0),MATCH($A388,$A$15:OFFSET($A388,-1,0),0)))))</f>
        <v>0</v>
      </c>
      <c r="N388" s="211" t="str">
        <f ca="1">IF($D388&lt;&gt;"Serviço","",IF(AUTOEVENTO="Manual",IF($A388=0,"&lt;-- defina o número do agrupador",OFFSET(EVENTOS!$D$14,$A388,0)),OFFSET($F$15,$A388,0)))</f>
        <v>&lt;-- defina o número do agrupador</v>
      </c>
      <c r="O388" s="212"/>
      <c r="Q388" s="212"/>
      <c r="R388" s="213"/>
      <c r="S388" s="213"/>
      <c r="T388" s="213"/>
      <c r="U388" s="213"/>
      <c r="V388" s="213"/>
      <c r="W388" s="213"/>
      <c r="X388" s="213"/>
      <c r="Y388" s="213"/>
      <c r="Z388" s="214"/>
      <c r="AA388" s="213"/>
      <c r="AB388" s="213"/>
      <c r="AC388" s="213"/>
      <c r="AD388" s="213"/>
      <c r="AE388" s="213"/>
      <c r="AF388" s="213"/>
      <c r="AG388" s="213"/>
      <c r="AH388" s="214"/>
      <c r="AJ388" s="631">
        <f ca="1">IF(AND($D388="Serviço",AJ$12&lt;&gt;0,$H388&gt;0,OR(AUTOEVENTO&lt;&gt;"manual",$M388&lt;&gt;1)),ROUND(OFFSET($P388,0,AJ$13),15-13*ORÇAMENTO!$AF$7)/$H388*OFFSET(ORÇAMENTO!$X$15,ROW(AJ388)-ROW(AJ$15),0),0)</f>
        <v>0</v>
      </c>
      <c r="AK388" s="632">
        <f ca="1">IF(AND($D388="Serviço",AK$12&lt;&gt;0,$H388&gt;0,OR(AUTOEVENTO&lt;&gt;"manual",$M388&lt;&gt;1)),ROUND(OFFSET($P388,0,AK$13),15-13*ORÇAMENTO!$AF$7)/$H388*OFFSET(ORÇAMENTO!$X$15,ROW(AK388)-ROW(AK$15),0),0)</f>
        <v>0</v>
      </c>
      <c r="AL388" s="632">
        <f ca="1">IF(AND($D388="Serviço",AL$12&lt;&gt;0,$H388&gt;0,OR(AUTOEVENTO&lt;&gt;"manual",$M388&lt;&gt;1)),ROUND(OFFSET($P388,0,AL$13),15-13*ORÇAMENTO!$AF$7)/$H388*OFFSET(ORÇAMENTO!$X$15,ROW(AL388)-ROW(AL$15),0),0)</f>
        <v>0</v>
      </c>
      <c r="AM388" s="632">
        <f ca="1">IF(AND($D388="Serviço",AM$12&lt;&gt;0,$H388&gt;0,OR(AUTOEVENTO&lt;&gt;"manual",$M388&lt;&gt;1)),ROUND(OFFSET($P388,0,AM$13),15-13*ORÇAMENTO!$AF$7)/$H388*OFFSET(ORÇAMENTO!$X$15,ROW(AM388)-ROW(AM$15),0),0)</f>
        <v>0</v>
      </c>
      <c r="AN388" s="632">
        <f ca="1">IF(AND($D388="Serviço",AN$12&lt;&gt;0,$H388&gt;0,OR(AUTOEVENTO&lt;&gt;"manual",$M388&lt;&gt;1)),ROUND(OFFSET($P388,0,AN$13),15-13*ORÇAMENTO!$AF$7)/$H388*OFFSET(ORÇAMENTO!$X$15,ROW(AN388)-ROW(AN$15),0),0)</f>
        <v>0</v>
      </c>
      <c r="AO388" s="632">
        <f ca="1">IF(AND($D388="Serviço",AO$12&lt;&gt;0,$H388&gt;0,OR(AUTOEVENTO&lt;&gt;"manual",$M388&lt;&gt;1)),ROUND(OFFSET($P388,0,AO$13),15-13*ORÇAMENTO!$AF$7)/$H388*OFFSET(ORÇAMENTO!$X$15,ROW(AO388)-ROW(AO$15),0),0)</f>
        <v>0</v>
      </c>
      <c r="AP388" s="632">
        <f ca="1">IF(AND($D388="Serviço",AP$12&lt;&gt;0,$H388&gt;0,OR(AUTOEVENTO&lt;&gt;"manual",$M388&lt;&gt;1)),ROUND(OFFSET($P388,0,AP$13),15-13*ORÇAMENTO!$AF$7)/$H388*OFFSET(ORÇAMENTO!$X$15,ROW(AP388)-ROW(AP$15),0),0)</f>
        <v>0</v>
      </c>
      <c r="AQ388" s="632">
        <f ca="1">IF(AND($D388="Serviço",AQ$12&lt;&gt;0,$H388&gt;0,OR(AUTOEVENTO&lt;&gt;"manual",$M388&lt;&gt;1)),ROUND(OFFSET($P388,0,AQ$13),15-13*ORÇAMENTO!$AF$7)/$H388*OFFSET(ORÇAMENTO!$X$15,ROW(AQ388)-ROW(AQ$15),0),0)</f>
        <v>0</v>
      </c>
      <c r="AR388" s="632">
        <f ca="1">IF(AND($D388="Serviço",AR$12&lt;&gt;0,$H388&gt;0,OR(AUTOEVENTO&lt;&gt;"manual",$M388&lt;&gt;1)),ROUND(OFFSET($P388,0,AR$13),15-13*ORÇAMENTO!$AF$7)/$H388*OFFSET(ORÇAMENTO!$X$15,ROW(AR388)-ROW(AR$15),0),0)</f>
        <v>0</v>
      </c>
      <c r="AS388" s="633">
        <f ca="1">IF(AND($D388="Serviço",AS$12&lt;&gt;0,$H388&gt;0,OR(AUTOEVENTO&lt;&gt;"manual",$M388&lt;&gt;1)),ROUND(OFFSET($P388,0,AS$13),15-13*ORÇAMENTO!$AF$7)/$H388*OFFSET(ORÇAMENTO!$X$15,ROW(AS388)-ROW(AS$15),0),0)</f>
        <v>0</v>
      </c>
      <c r="AT388" s="632">
        <f ca="1">IF(AND($D388="Serviço",AT$12&lt;&gt;0,$H388&gt;0,OR(AUTOEVENTO&lt;&gt;"manual",$M388&lt;&gt;1)),ROUND(OFFSET($P388,0,AT$13),15-13*ORÇAMENTO!$AF$7)/$H388*OFFSET(ORÇAMENTO!$X$15,ROW(AT388)-ROW(AT$15),0),0)</f>
        <v>0</v>
      </c>
      <c r="AU388" s="632">
        <f ca="1">IF(AND($D388="Serviço",AU$12&lt;&gt;0,$H388&gt;0,OR(AUTOEVENTO&lt;&gt;"manual",$M388&lt;&gt;1)),ROUND(OFFSET($P388,0,AU$13),15-13*ORÇAMENTO!$AF$7)/$H388*OFFSET(ORÇAMENTO!$X$15,ROW(AU388)-ROW(AU$15),0),0)</f>
        <v>0</v>
      </c>
      <c r="AV388" s="632">
        <f ca="1">IF(AND($D388="Serviço",AV$12&lt;&gt;0,$H388&gt;0,OR(AUTOEVENTO&lt;&gt;"manual",$M388&lt;&gt;1)),ROUND(OFFSET($P388,0,AV$13),15-13*ORÇAMENTO!$AF$7)/$H388*OFFSET(ORÇAMENTO!$X$15,ROW(AV388)-ROW(AV$15),0),0)</f>
        <v>0</v>
      </c>
      <c r="AW388" s="632">
        <f ca="1">IF(AND($D388="Serviço",AW$12&lt;&gt;0,$H388&gt;0,OR(AUTOEVENTO&lt;&gt;"manual",$M388&lt;&gt;1)),ROUND(OFFSET($P388,0,AW$13),15-13*ORÇAMENTO!$AF$7)/$H388*OFFSET(ORÇAMENTO!$X$15,ROW(AW388)-ROW(AW$15),0),0)</f>
        <v>0</v>
      </c>
      <c r="AX388" s="632">
        <f ca="1">IF(AND($D388="Serviço",AX$12&lt;&gt;0,$H388&gt;0,OR(AUTOEVENTO&lt;&gt;"manual",$M388&lt;&gt;1)),ROUND(OFFSET($P388,0,AX$13),15-13*ORÇAMENTO!$AF$7)/$H388*OFFSET(ORÇAMENTO!$X$15,ROW(AX388)-ROW(AX$15),0),0)</f>
        <v>0</v>
      </c>
      <c r="AY388" s="632">
        <f ca="1">IF(AND($D388="Serviço",AY$12&lt;&gt;0,$H388&gt;0,OR(AUTOEVENTO&lt;&gt;"manual",$M388&lt;&gt;1)),ROUND(OFFSET($P388,0,AY$13),15-13*ORÇAMENTO!$AF$7)/$H388*OFFSET(ORÇAMENTO!$X$15,ROW(AY388)-ROW(AY$15),0),0)</f>
        <v>0</v>
      </c>
      <c r="AZ388" s="632">
        <f ca="1">IF(AND($D388="Serviço",AZ$12&lt;&gt;0,$H388&gt;0,OR(AUTOEVENTO&lt;&gt;"manual",$M388&lt;&gt;1)),ROUND(OFFSET($P388,0,AZ$13),15-13*ORÇAMENTO!$AF$7)/$H388*OFFSET(ORÇAMENTO!$X$15,ROW(AZ388)-ROW(AZ$15),0),0)</f>
        <v>0</v>
      </c>
      <c r="BA388" s="633">
        <f ca="1">IF(AND($D388="Serviço",BA$12&lt;&gt;0,$H388&gt;0,OR(AUTOEVENTO&lt;&gt;"manual",$M388&lt;&gt;1)),ROUND(OFFSET($P388,0,BA$13),15-13*ORÇAMENTO!$AF$7)/$H388*OFFSET(ORÇAMENTO!$X$15,ROW(BA388)-ROW(BA$15),0),0)</f>
        <v>0</v>
      </c>
      <c r="BC388" s="215">
        <f ca="1">IF($D388&lt;&gt;"Serviço",0,IF(AND(AUTOEVENTO="Manual",$M388=1),0,IF(OFFSET(CRONOPLE!$F$14,$M388,BC$13)="",10^12,OFFSET(CRONOPLE!$F$14,$M388,BC$13))))</f>
        <v>1000000000000</v>
      </c>
      <c r="BD388" s="215">
        <f ca="1">IF($D388&lt;&gt;"Serviço",0,IF(AND(AUTOEVENTO="Manual",$M388=1),0,IF(OFFSET(CRONOPLE!$F$14,$M388,BD$13)="",10^12,OFFSET(CRONOPLE!$F$14,$M388,BD$13))))</f>
        <v>1000000000000</v>
      </c>
      <c r="BE388" s="215">
        <f ca="1">IF($D388&lt;&gt;"Serviço",0,IF(AND(AUTOEVENTO="Manual",$M388=1),0,IF(OFFSET(CRONOPLE!$F$14,$M388,BE$13)="",10^12,OFFSET(CRONOPLE!$F$14,$M388,BE$13))))</f>
        <v>1000000000000</v>
      </c>
      <c r="BF388" s="215">
        <f ca="1">IF($D388&lt;&gt;"Serviço",0,IF(AND(AUTOEVENTO="Manual",$M388=1),0,IF(OFFSET(CRONOPLE!$F$14,$M388,BF$13)="",10^12,OFFSET(CRONOPLE!$F$14,$M388,BF$13))))</f>
        <v>1000000000000</v>
      </c>
      <c r="BG388" s="215">
        <f ca="1">IF($D388&lt;&gt;"Serviço",0,IF(AND(AUTOEVENTO="Manual",$M388=1),0,IF(OFFSET(CRONOPLE!$F$14,$M388,BG$13)="",10^12,OFFSET(CRONOPLE!$F$14,$M388,BG$13))))</f>
        <v>1000000000000</v>
      </c>
      <c r="BH388" s="215">
        <f ca="1">IF($D388&lt;&gt;"Serviço",0,IF(AND(AUTOEVENTO="Manual",$M388=1),0,IF(OFFSET(CRONOPLE!$F$14,$M388,BH$13)="",10^12,OFFSET(CRONOPLE!$F$14,$M388,BH$13))))</f>
        <v>1000000000000</v>
      </c>
      <c r="BI388" s="215">
        <f ca="1">IF($D388&lt;&gt;"Serviço",0,IF(AND(AUTOEVENTO="Manual",$M388=1),0,IF(OFFSET(CRONOPLE!$F$14,$M388,BI$13)="",10^12,OFFSET(CRONOPLE!$F$14,$M388,BI$13))))</f>
        <v>1000000000000</v>
      </c>
      <c r="BJ388" s="215">
        <f ca="1">IF($D388&lt;&gt;"Serviço",0,IF(AND(AUTOEVENTO="Manual",$M388=1),0,IF(OFFSET(CRONOPLE!$F$14,$M388,BJ$13)="",10^12,OFFSET(CRONOPLE!$F$14,$M388,BJ$13))))</f>
        <v>1000000000000</v>
      </c>
      <c r="BK388" s="215">
        <f ca="1">IF($D388&lt;&gt;"Serviço",0,IF(AND(AUTOEVENTO="Manual",$M388=1),0,IF(OFFSET(CRONOPLE!$F$14,$M388,BK$13)="",10^12,OFFSET(CRONOPLE!$F$14,$M388,BK$13))))</f>
        <v>1000000000000</v>
      </c>
      <c r="BL388" s="215">
        <f ca="1">IF($D388&lt;&gt;"Serviço",0,IF(AND(AUTOEVENTO="Manual",$M388=1),0,IF(OFFSET(CRONOPLE!$F$14,$M388,BL$13)="",10^12,OFFSET(CRONOPLE!$F$14,$M388,BL$13))))</f>
        <v>1000000000000</v>
      </c>
      <c r="BM388" s="215">
        <f ca="1">IF($D388&lt;&gt;"Serviço",0,IF(AND(AUTOEVENTO="Manual",$M388=1),0,IF(OFFSET(CRONOPLE!$F$14,$M388,BM$13)="",10^12,OFFSET(CRONOPLE!$F$14,$M388,BM$13))))</f>
        <v>1000000000000</v>
      </c>
      <c r="BN388" s="215">
        <f ca="1">IF($D388&lt;&gt;"Serviço",0,IF(AND(AUTOEVENTO="Manual",$M388=1),0,IF(OFFSET(CRONOPLE!$F$14,$M388,BN$13)="",10^12,OFFSET(CRONOPLE!$F$14,$M388,BN$13))))</f>
        <v>1000000000000</v>
      </c>
      <c r="BO388" s="215">
        <f ca="1">IF($D388&lt;&gt;"Serviço",0,IF(AND(AUTOEVENTO="Manual",$M388=1),0,IF(OFFSET(CRONOPLE!$F$14,$M388,BO$13)="",10^12,OFFSET(CRONOPLE!$F$14,$M388,BO$13))))</f>
        <v>1000000000000</v>
      </c>
      <c r="BP388" s="215">
        <f ca="1">IF($D388&lt;&gt;"Serviço",0,IF(AND(AUTOEVENTO="Manual",$M388=1),0,IF(OFFSET(CRONOPLE!$F$14,$M388,BP$13)="",10^12,OFFSET(CRONOPLE!$F$14,$M388,BP$13))))</f>
        <v>1000000000000</v>
      </c>
      <c r="BQ388" s="215">
        <f ca="1">IF($D388&lt;&gt;"Serviço",0,IF(AND(AUTOEVENTO="Manual",$M388=1),0,IF(OFFSET(CRONOPLE!$F$14,$M388,BQ$13)="",10^12,OFFSET(CRONOPLE!$F$14,$M388,BQ$13))))</f>
        <v>1000000000000</v>
      </c>
      <c r="BR388" s="215">
        <f ca="1">IF($D388&lt;&gt;"Serviço",0,IF(AND(AUTOEVENTO="Manual",$M388=1),0,IF(OFFSET(CRONOPLE!$F$14,$M388,BR$13)="",10^12,OFFSET(CRONOPLE!$F$14,$M388,BR$13))))</f>
        <v>1000000000000</v>
      </c>
      <c r="BS388" s="215">
        <f ca="1">IF($D388&lt;&gt;"Serviço",0,IF(AND(AUTOEVENTO="Manual",$M388=1),0,IF(OFFSET(CRONOPLE!$F$14,$M388,BS$13)="",10^12,OFFSET(CRONOPLE!$F$14,$M388,BS$13))))</f>
        <v>1000000000000</v>
      </c>
      <c r="BT388" s="215">
        <f ca="1">IF($D388&lt;&gt;"Serviço",0,IF(AND(AUTOEVENTO="Manual",$M388=1),0,IF(OFFSET(CRONOPLE!$F$14,$M388,BT$13)="",10^12,OFFSET(CRONOPLE!$F$14,$M388,BT$13))))</f>
        <v>1000000000000</v>
      </c>
      <c r="BV388" s="216">
        <f ca="1">IF($D388&lt;&gt;"Serviço",0,IF(OR(AND(AUTOEVENTO="Manual",$M388=1),$M388&gt;(ROW(PLE.lastrow)-ROW(PLE.firstrow))),0,IF(OFFSET(PLE!$G$14,$M388,BV$13)="",10^12,OFFSET(PLE!$G$14,$M388,BV$13))))</f>
        <v>1000000000000</v>
      </c>
      <c r="BW388" s="216">
        <f ca="1">IF($D388&lt;&gt;"Serviço",0,IF(OR(AND(AUTOEVENTO="Manual",$M388=1),$M388&gt;(ROW(PLE.lastrow)-ROW(PLE.firstrow))),0,IF(OFFSET(PLE!$G$14,$M388,BW$13)="",10^12,OFFSET(PLE!$G$14,$M388,BW$13))))</f>
        <v>1000000000000</v>
      </c>
      <c r="BX388" s="216">
        <f ca="1">IF($D388&lt;&gt;"Serviço",0,IF(OR(AND(AUTOEVENTO="Manual",$M388=1),$M388&gt;(ROW(PLE.lastrow)-ROW(PLE.firstrow))),0,IF(OFFSET(PLE!$G$14,$M388,BX$13)="",10^12,OFFSET(PLE!$G$14,$M388,BX$13))))</f>
        <v>1000000000000</v>
      </c>
      <c r="BY388" s="216">
        <f ca="1">IF($D388&lt;&gt;"Serviço",0,IF(OR(AND(AUTOEVENTO="Manual",$M388=1),$M388&gt;(ROW(PLE.lastrow)-ROW(PLE.firstrow))),0,IF(OFFSET(PLE!$G$14,$M388,BY$13)="",10^12,OFFSET(PLE!$G$14,$M388,BY$13))))</f>
        <v>1000000000000</v>
      </c>
      <c r="BZ388" s="216">
        <f ca="1">IF($D388&lt;&gt;"Serviço",0,IF(OR(AND(AUTOEVENTO="Manual",$M388=1),$M388&gt;(ROW(PLE.lastrow)-ROW(PLE.firstrow))),0,IF(OFFSET(PLE!$G$14,$M388,BZ$13)="",10^12,OFFSET(PLE!$G$14,$M388,BZ$13))))</f>
        <v>1000000000000</v>
      </c>
      <c r="CA388" s="216">
        <f ca="1">IF($D388&lt;&gt;"Serviço",0,IF(OR(AND(AUTOEVENTO="Manual",$M388=1),$M388&gt;(ROW(PLE.lastrow)-ROW(PLE.firstrow))),0,IF(OFFSET(PLE!$G$14,$M388,CA$13)="",10^12,OFFSET(PLE!$G$14,$M388,CA$13))))</f>
        <v>1000000000000</v>
      </c>
      <c r="CB388" s="216">
        <f ca="1">IF($D388&lt;&gt;"Serviço",0,IF(OR(AND(AUTOEVENTO="Manual",$M388=1),$M388&gt;(ROW(PLE.lastrow)-ROW(PLE.firstrow))),0,IF(OFFSET(PLE!$G$14,$M388,CB$13)="",10^12,OFFSET(PLE!$G$14,$M388,CB$13))))</f>
        <v>1000000000000</v>
      </c>
      <c r="CC388" s="216">
        <f ca="1">IF($D388&lt;&gt;"Serviço",0,IF(OR(AND(AUTOEVENTO="Manual",$M388=1),$M388&gt;(ROW(PLE.lastrow)-ROW(PLE.firstrow))),0,IF(OFFSET(PLE!$G$14,$M388,CC$13)="",10^12,OFFSET(PLE!$G$14,$M388,CC$13))))</f>
        <v>1000000000000</v>
      </c>
      <c r="CD388" s="216">
        <f ca="1">IF($D388&lt;&gt;"Serviço",0,IF(OR(AND(AUTOEVENTO="Manual",$M388=1),$M388&gt;(ROW(PLE.lastrow)-ROW(PLE.firstrow))),0,IF(OFFSET(PLE!$G$14,$M388,CD$13)="",10^12,OFFSET(PLE!$G$14,$M388,CD$13))))</f>
        <v>1000000000000</v>
      </c>
      <c r="CE388" s="216">
        <f ca="1">IF($D388&lt;&gt;"Serviço",0,IF(OR(AND(AUTOEVENTO="Manual",$M388=1),$M388&gt;(ROW(PLE.lastrow)-ROW(PLE.firstrow))),0,IF(OFFSET(PLE!$G$14,$M388,CE$13)="",10^12,OFFSET(PLE!$G$14,$M388,CE$13))))</f>
        <v>1000000000000</v>
      </c>
      <c r="CF388" s="216">
        <f ca="1">IF($D388&lt;&gt;"Serviço",0,IF(OR(AND(AUTOEVENTO="Manual",$M388=1),$M388&gt;(ROW(PLE.lastrow)-ROW(PLE.firstrow))),0,IF(OFFSET(PLE!$G$14,$M388,CF$13)="",10^12,OFFSET(PLE!$G$14,$M388,CF$13))))</f>
        <v>1000000000000</v>
      </c>
      <c r="CG388" s="216">
        <f ca="1">IF($D388&lt;&gt;"Serviço",0,IF(OR(AND(AUTOEVENTO="Manual",$M388=1),$M388&gt;(ROW(PLE.lastrow)-ROW(PLE.firstrow))),0,IF(OFFSET(PLE!$G$14,$M388,CG$13)="",10^12,OFFSET(PLE!$G$14,$M388,CG$13))))</f>
        <v>1000000000000</v>
      </c>
      <c r="CH388" s="216">
        <f ca="1">IF($D388&lt;&gt;"Serviço",0,IF(OR(AND(AUTOEVENTO="Manual",$M388=1),$M388&gt;(ROW(PLE.lastrow)-ROW(PLE.firstrow))),0,IF(OFFSET(PLE!$G$14,$M388,CH$13)="",10^12,OFFSET(PLE!$G$14,$M388,CH$13))))</f>
        <v>1000000000000</v>
      </c>
      <c r="CI388" s="216">
        <f ca="1">IF($D388&lt;&gt;"Serviço",0,IF(OR(AND(AUTOEVENTO="Manual",$M388=1),$M388&gt;(ROW(PLE.lastrow)-ROW(PLE.firstrow))),0,IF(OFFSET(PLE!$G$14,$M388,CI$13)="",10^12,OFFSET(PLE!$G$14,$M388,CI$13))))</f>
        <v>1000000000000</v>
      </c>
      <c r="CJ388" s="216">
        <f ca="1">IF($D388&lt;&gt;"Serviço",0,IF(OR(AND(AUTOEVENTO="Manual",$M388=1),$M388&gt;(ROW(PLE.lastrow)-ROW(PLE.firstrow))),0,IF(OFFSET(PLE!$G$14,$M388,CJ$13)="",10^12,OFFSET(PLE!$G$14,$M388,CJ$13))))</f>
        <v>1000000000000</v>
      </c>
      <c r="CK388" s="216">
        <f ca="1">IF($D388&lt;&gt;"Serviço",0,IF(OR(AND(AUTOEVENTO="Manual",$M388=1),$M388&gt;(ROW(PLE.lastrow)-ROW(PLE.firstrow))),0,IF(OFFSET(PLE!$G$14,$M388,CK$13)="",10^12,OFFSET(PLE!$G$14,$M388,CK$13))))</f>
        <v>1000000000000</v>
      </c>
      <c r="CL388" s="216">
        <f ca="1">IF($D388&lt;&gt;"Serviço",0,IF(OR(AND(AUTOEVENTO="Manual",$M388=1),$M388&gt;(ROW(PLE.lastrow)-ROW(PLE.firstrow))),0,IF(OFFSET(PLE!$G$14,$M388,CL$13)="",10^12,OFFSET(PLE!$G$14,$M388,CL$13))))</f>
        <v>1000000000000</v>
      </c>
      <c r="CM388" s="216">
        <f ca="1">IF($D388&lt;&gt;"Serviço",0,IF(OR(AND(AUTOEVENTO="Manual",$M388=1),$M388&gt;(ROW(PLE.lastrow)-ROW(PLE.firstrow))),0,IF(OFFSET(PLE!$G$14,$M388,CM$13)="",10^12,OFFSET(PLE!$G$14,$M388,CM$13))))</f>
        <v>1000000000000</v>
      </c>
    </row>
    <row r="389" spans="1:91" ht="13.2" x14ac:dyDescent="0.25">
      <c r="A389" s="9">
        <f t="shared" ca="1" si="14"/>
        <v>0</v>
      </c>
      <c r="B389" s="9" t="str">
        <f ca="1">OFFSET(ORÇAMENTO!C$15,ROW(B389)-ROW(B$15),0)</f>
        <v>S</v>
      </c>
      <c r="C389" s="9" t="str">
        <f ca="1">OFFSET(ORÇAMENTO!L$15,ROW(C389)-ROW(C$15),0)</f>
        <v/>
      </c>
      <c r="D389" s="145" t="str">
        <f ca="1">OFFSET(ORÇAMENTO!N$15,ROW(D389)-ROW(D$15),0)</f>
        <v>Serviço</v>
      </c>
      <c r="E389" s="205" t="str">
        <f ca="1">OFFSET(ORÇAMENTO!O$15,ROW(E389)-ROW(E$15),0)</f>
        <v>-</v>
      </c>
      <c r="F389" s="206" t="str">
        <f ca="1">OFFSET(ORÇAMENTO!R$15,ROW(F389)-ROW(F$15),0)</f>
        <v>(abra o arquivo 'Referência 05-2024.xls)</v>
      </c>
      <c r="G389" s="207" t="str">
        <f ca="1">IF($D389&lt;&gt;"Serviço","",OFFSET(ORÇAMENTO!S$15,ROW(G389)-ROW(G$15),0))</f>
        <v>-</v>
      </c>
      <c r="H389" s="151">
        <f ca="1">IF($D389&lt;&gt;"Serviço",0,IF(ACOMPANHAMENTO="BM",ROUND(OFFSET(ORÇAMENTO!AJ$15,ROW(H389)-ROW(H$15),0),15-13*ORÇAMENTO!$AF$7),SUMPRODUCT(($Q$12:$AI$12&lt;&gt;"")*ROUND($Q389:$AI389,15-13*ORÇAMENTO!$AF$7))))</f>
        <v>12.55</v>
      </c>
      <c r="I389" s="650"/>
      <c r="K389" s="208"/>
      <c r="L389" s="209" t="s">
        <v>257</v>
      </c>
      <c r="M389" s="210">
        <f ca="1">IF($D389&lt;&gt;"Serviço","",IF(AUTOEVENTO="manual",$A389,IF(ISERROR(MATCH($A389,$A$15:OFFSET($A389,-1,0),0)),MAX($M$15:OFFSET(M389,-1,0))+1,INDEX($M$15:OFFSET(M389,-1,0),MATCH($A389,$A$15:OFFSET($A389,-1,0),0)))))</f>
        <v>0</v>
      </c>
      <c r="N389" s="211" t="str">
        <f ca="1">IF($D389&lt;&gt;"Serviço","",IF(AUTOEVENTO="Manual",IF($A389=0,"&lt;-- defina o número do agrupador",OFFSET(EVENTOS!$D$14,$A389,0)),OFFSET($F$15,$A389,0)))</f>
        <v>&lt;-- defina o número do agrupador</v>
      </c>
      <c r="O389" s="212"/>
      <c r="Q389" s="212"/>
      <c r="R389" s="213"/>
      <c r="S389" s="213"/>
      <c r="T389" s="213"/>
      <c r="U389" s="213"/>
      <c r="V389" s="213"/>
      <c r="W389" s="213"/>
      <c r="X389" s="213"/>
      <c r="Y389" s="213"/>
      <c r="Z389" s="214"/>
      <c r="AA389" s="213"/>
      <c r="AB389" s="213"/>
      <c r="AC389" s="213"/>
      <c r="AD389" s="213"/>
      <c r="AE389" s="213"/>
      <c r="AF389" s="213"/>
      <c r="AG389" s="213"/>
      <c r="AH389" s="214"/>
      <c r="AJ389" s="631">
        <f ca="1">IF(AND($D389="Serviço",AJ$12&lt;&gt;0,$H389&gt;0,OR(AUTOEVENTO&lt;&gt;"manual",$M389&lt;&gt;1)),ROUND(OFFSET($P389,0,AJ$13),15-13*ORÇAMENTO!$AF$7)/$H389*OFFSET(ORÇAMENTO!$X$15,ROW(AJ389)-ROW(AJ$15),0),0)</f>
        <v>0</v>
      </c>
      <c r="AK389" s="632">
        <f ca="1">IF(AND($D389="Serviço",AK$12&lt;&gt;0,$H389&gt;0,OR(AUTOEVENTO&lt;&gt;"manual",$M389&lt;&gt;1)),ROUND(OFFSET($P389,0,AK$13),15-13*ORÇAMENTO!$AF$7)/$H389*OFFSET(ORÇAMENTO!$X$15,ROW(AK389)-ROW(AK$15),0),0)</f>
        <v>0</v>
      </c>
      <c r="AL389" s="632">
        <f ca="1">IF(AND($D389="Serviço",AL$12&lt;&gt;0,$H389&gt;0,OR(AUTOEVENTO&lt;&gt;"manual",$M389&lt;&gt;1)),ROUND(OFFSET($P389,0,AL$13),15-13*ORÇAMENTO!$AF$7)/$H389*OFFSET(ORÇAMENTO!$X$15,ROW(AL389)-ROW(AL$15),0),0)</f>
        <v>0</v>
      </c>
      <c r="AM389" s="632">
        <f ca="1">IF(AND($D389="Serviço",AM$12&lt;&gt;0,$H389&gt;0,OR(AUTOEVENTO&lt;&gt;"manual",$M389&lt;&gt;1)),ROUND(OFFSET($P389,0,AM$13),15-13*ORÇAMENTO!$AF$7)/$H389*OFFSET(ORÇAMENTO!$X$15,ROW(AM389)-ROW(AM$15),0),0)</f>
        <v>0</v>
      </c>
      <c r="AN389" s="632">
        <f ca="1">IF(AND($D389="Serviço",AN$12&lt;&gt;0,$H389&gt;0,OR(AUTOEVENTO&lt;&gt;"manual",$M389&lt;&gt;1)),ROUND(OFFSET($P389,0,AN$13),15-13*ORÇAMENTO!$AF$7)/$H389*OFFSET(ORÇAMENTO!$X$15,ROW(AN389)-ROW(AN$15),0),0)</f>
        <v>0</v>
      </c>
      <c r="AO389" s="632">
        <f ca="1">IF(AND($D389="Serviço",AO$12&lt;&gt;0,$H389&gt;0,OR(AUTOEVENTO&lt;&gt;"manual",$M389&lt;&gt;1)),ROUND(OFFSET($P389,0,AO$13),15-13*ORÇAMENTO!$AF$7)/$H389*OFFSET(ORÇAMENTO!$X$15,ROW(AO389)-ROW(AO$15),0),0)</f>
        <v>0</v>
      </c>
      <c r="AP389" s="632">
        <f ca="1">IF(AND($D389="Serviço",AP$12&lt;&gt;0,$H389&gt;0,OR(AUTOEVENTO&lt;&gt;"manual",$M389&lt;&gt;1)),ROUND(OFFSET($P389,0,AP$13),15-13*ORÇAMENTO!$AF$7)/$H389*OFFSET(ORÇAMENTO!$X$15,ROW(AP389)-ROW(AP$15),0),0)</f>
        <v>0</v>
      </c>
      <c r="AQ389" s="632">
        <f ca="1">IF(AND($D389="Serviço",AQ$12&lt;&gt;0,$H389&gt;0,OR(AUTOEVENTO&lt;&gt;"manual",$M389&lt;&gt;1)),ROUND(OFFSET($P389,0,AQ$13),15-13*ORÇAMENTO!$AF$7)/$H389*OFFSET(ORÇAMENTO!$X$15,ROW(AQ389)-ROW(AQ$15),0),0)</f>
        <v>0</v>
      </c>
      <c r="AR389" s="632">
        <f ca="1">IF(AND($D389="Serviço",AR$12&lt;&gt;0,$H389&gt;0,OR(AUTOEVENTO&lt;&gt;"manual",$M389&lt;&gt;1)),ROUND(OFFSET($P389,0,AR$13),15-13*ORÇAMENTO!$AF$7)/$H389*OFFSET(ORÇAMENTO!$X$15,ROW(AR389)-ROW(AR$15),0),0)</f>
        <v>0</v>
      </c>
      <c r="AS389" s="633">
        <f ca="1">IF(AND($D389="Serviço",AS$12&lt;&gt;0,$H389&gt;0,OR(AUTOEVENTO&lt;&gt;"manual",$M389&lt;&gt;1)),ROUND(OFFSET($P389,0,AS$13),15-13*ORÇAMENTO!$AF$7)/$H389*OFFSET(ORÇAMENTO!$X$15,ROW(AS389)-ROW(AS$15),0),0)</f>
        <v>0</v>
      </c>
      <c r="AT389" s="632">
        <f ca="1">IF(AND($D389="Serviço",AT$12&lt;&gt;0,$H389&gt;0,OR(AUTOEVENTO&lt;&gt;"manual",$M389&lt;&gt;1)),ROUND(OFFSET($P389,0,AT$13),15-13*ORÇAMENTO!$AF$7)/$H389*OFFSET(ORÇAMENTO!$X$15,ROW(AT389)-ROW(AT$15),0),0)</f>
        <v>0</v>
      </c>
      <c r="AU389" s="632">
        <f ca="1">IF(AND($D389="Serviço",AU$12&lt;&gt;0,$H389&gt;0,OR(AUTOEVENTO&lt;&gt;"manual",$M389&lt;&gt;1)),ROUND(OFFSET($P389,0,AU$13),15-13*ORÇAMENTO!$AF$7)/$H389*OFFSET(ORÇAMENTO!$X$15,ROW(AU389)-ROW(AU$15),0),0)</f>
        <v>0</v>
      </c>
      <c r="AV389" s="632">
        <f ca="1">IF(AND($D389="Serviço",AV$12&lt;&gt;0,$H389&gt;0,OR(AUTOEVENTO&lt;&gt;"manual",$M389&lt;&gt;1)),ROUND(OFFSET($P389,0,AV$13),15-13*ORÇAMENTO!$AF$7)/$H389*OFFSET(ORÇAMENTO!$X$15,ROW(AV389)-ROW(AV$15),0),0)</f>
        <v>0</v>
      </c>
      <c r="AW389" s="632">
        <f ca="1">IF(AND($D389="Serviço",AW$12&lt;&gt;0,$H389&gt;0,OR(AUTOEVENTO&lt;&gt;"manual",$M389&lt;&gt;1)),ROUND(OFFSET($P389,0,AW$13),15-13*ORÇAMENTO!$AF$7)/$H389*OFFSET(ORÇAMENTO!$X$15,ROW(AW389)-ROW(AW$15),0),0)</f>
        <v>0</v>
      </c>
      <c r="AX389" s="632">
        <f ca="1">IF(AND($D389="Serviço",AX$12&lt;&gt;0,$H389&gt;0,OR(AUTOEVENTO&lt;&gt;"manual",$M389&lt;&gt;1)),ROUND(OFFSET($P389,0,AX$13),15-13*ORÇAMENTO!$AF$7)/$H389*OFFSET(ORÇAMENTO!$X$15,ROW(AX389)-ROW(AX$15),0),0)</f>
        <v>0</v>
      </c>
      <c r="AY389" s="632">
        <f ca="1">IF(AND($D389="Serviço",AY$12&lt;&gt;0,$H389&gt;0,OR(AUTOEVENTO&lt;&gt;"manual",$M389&lt;&gt;1)),ROUND(OFFSET($P389,0,AY$13),15-13*ORÇAMENTO!$AF$7)/$H389*OFFSET(ORÇAMENTO!$X$15,ROW(AY389)-ROW(AY$15),0),0)</f>
        <v>0</v>
      </c>
      <c r="AZ389" s="632">
        <f ca="1">IF(AND($D389="Serviço",AZ$12&lt;&gt;0,$H389&gt;0,OR(AUTOEVENTO&lt;&gt;"manual",$M389&lt;&gt;1)),ROUND(OFFSET($P389,0,AZ$13),15-13*ORÇAMENTO!$AF$7)/$H389*OFFSET(ORÇAMENTO!$X$15,ROW(AZ389)-ROW(AZ$15),0),0)</f>
        <v>0</v>
      </c>
      <c r="BA389" s="633">
        <f ca="1">IF(AND($D389="Serviço",BA$12&lt;&gt;0,$H389&gt;0,OR(AUTOEVENTO&lt;&gt;"manual",$M389&lt;&gt;1)),ROUND(OFFSET($P389,0,BA$13),15-13*ORÇAMENTO!$AF$7)/$H389*OFFSET(ORÇAMENTO!$X$15,ROW(BA389)-ROW(BA$15),0),0)</f>
        <v>0</v>
      </c>
      <c r="BC389" s="215">
        <f ca="1">IF($D389&lt;&gt;"Serviço",0,IF(AND(AUTOEVENTO="Manual",$M389=1),0,IF(OFFSET(CRONOPLE!$F$14,$M389,BC$13)="",10^12,OFFSET(CRONOPLE!$F$14,$M389,BC$13))))</f>
        <v>1000000000000</v>
      </c>
      <c r="BD389" s="215">
        <f ca="1">IF($D389&lt;&gt;"Serviço",0,IF(AND(AUTOEVENTO="Manual",$M389=1),0,IF(OFFSET(CRONOPLE!$F$14,$M389,BD$13)="",10^12,OFFSET(CRONOPLE!$F$14,$M389,BD$13))))</f>
        <v>1000000000000</v>
      </c>
      <c r="BE389" s="215">
        <f ca="1">IF($D389&lt;&gt;"Serviço",0,IF(AND(AUTOEVENTO="Manual",$M389=1),0,IF(OFFSET(CRONOPLE!$F$14,$M389,BE$13)="",10^12,OFFSET(CRONOPLE!$F$14,$M389,BE$13))))</f>
        <v>1000000000000</v>
      </c>
      <c r="BF389" s="215">
        <f ca="1">IF($D389&lt;&gt;"Serviço",0,IF(AND(AUTOEVENTO="Manual",$M389=1),0,IF(OFFSET(CRONOPLE!$F$14,$M389,BF$13)="",10^12,OFFSET(CRONOPLE!$F$14,$M389,BF$13))))</f>
        <v>1000000000000</v>
      </c>
      <c r="BG389" s="215">
        <f ca="1">IF($D389&lt;&gt;"Serviço",0,IF(AND(AUTOEVENTO="Manual",$M389=1),0,IF(OFFSET(CRONOPLE!$F$14,$M389,BG$13)="",10^12,OFFSET(CRONOPLE!$F$14,$M389,BG$13))))</f>
        <v>1000000000000</v>
      </c>
      <c r="BH389" s="215">
        <f ca="1">IF($D389&lt;&gt;"Serviço",0,IF(AND(AUTOEVENTO="Manual",$M389=1),0,IF(OFFSET(CRONOPLE!$F$14,$M389,BH$13)="",10^12,OFFSET(CRONOPLE!$F$14,$M389,BH$13))))</f>
        <v>1000000000000</v>
      </c>
      <c r="BI389" s="215">
        <f ca="1">IF($D389&lt;&gt;"Serviço",0,IF(AND(AUTOEVENTO="Manual",$M389=1),0,IF(OFFSET(CRONOPLE!$F$14,$M389,BI$13)="",10^12,OFFSET(CRONOPLE!$F$14,$M389,BI$13))))</f>
        <v>1000000000000</v>
      </c>
      <c r="BJ389" s="215">
        <f ca="1">IF($D389&lt;&gt;"Serviço",0,IF(AND(AUTOEVENTO="Manual",$M389=1),0,IF(OFFSET(CRONOPLE!$F$14,$M389,BJ$13)="",10^12,OFFSET(CRONOPLE!$F$14,$M389,BJ$13))))</f>
        <v>1000000000000</v>
      </c>
      <c r="BK389" s="215">
        <f ca="1">IF($D389&lt;&gt;"Serviço",0,IF(AND(AUTOEVENTO="Manual",$M389=1),0,IF(OFFSET(CRONOPLE!$F$14,$M389,BK$13)="",10^12,OFFSET(CRONOPLE!$F$14,$M389,BK$13))))</f>
        <v>1000000000000</v>
      </c>
      <c r="BL389" s="215">
        <f ca="1">IF($D389&lt;&gt;"Serviço",0,IF(AND(AUTOEVENTO="Manual",$M389=1),0,IF(OFFSET(CRONOPLE!$F$14,$M389,BL$13)="",10^12,OFFSET(CRONOPLE!$F$14,$M389,BL$13))))</f>
        <v>1000000000000</v>
      </c>
      <c r="BM389" s="215">
        <f ca="1">IF($D389&lt;&gt;"Serviço",0,IF(AND(AUTOEVENTO="Manual",$M389=1),0,IF(OFFSET(CRONOPLE!$F$14,$M389,BM$13)="",10^12,OFFSET(CRONOPLE!$F$14,$M389,BM$13))))</f>
        <v>1000000000000</v>
      </c>
      <c r="BN389" s="215">
        <f ca="1">IF($D389&lt;&gt;"Serviço",0,IF(AND(AUTOEVENTO="Manual",$M389=1),0,IF(OFFSET(CRONOPLE!$F$14,$M389,BN$13)="",10^12,OFFSET(CRONOPLE!$F$14,$M389,BN$13))))</f>
        <v>1000000000000</v>
      </c>
      <c r="BO389" s="215">
        <f ca="1">IF($D389&lt;&gt;"Serviço",0,IF(AND(AUTOEVENTO="Manual",$M389=1),0,IF(OFFSET(CRONOPLE!$F$14,$M389,BO$13)="",10^12,OFFSET(CRONOPLE!$F$14,$M389,BO$13))))</f>
        <v>1000000000000</v>
      </c>
      <c r="BP389" s="215">
        <f ca="1">IF($D389&lt;&gt;"Serviço",0,IF(AND(AUTOEVENTO="Manual",$M389=1),0,IF(OFFSET(CRONOPLE!$F$14,$M389,BP$13)="",10^12,OFFSET(CRONOPLE!$F$14,$M389,BP$13))))</f>
        <v>1000000000000</v>
      </c>
      <c r="BQ389" s="215">
        <f ca="1">IF($D389&lt;&gt;"Serviço",0,IF(AND(AUTOEVENTO="Manual",$M389=1),0,IF(OFFSET(CRONOPLE!$F$14,$M389,BQ$13)="",10^12,OFFSET(CRONOPLE!$F$14,$M389,BQ$13))))</f>
        <v>1000000000000</v>
      </c>
      <c r="BR389" s="215">
        <f ca="1">IF($D389&lt;&gt;"Serviço",0,IF(AND(AUTOEVENTO="Manual",$M389=1),0,IF(OFFSET(CRONOPLE!$F$14,$M389,BR$13)="",10^12,OFFSET(CRONOPLE!$F$14,$M389,BR$13))))</f>
        <v>1000000000000</v>
      </c>
      <c r="BS389" s="215">
        <f ca="1">IF($D389&lt;&gt;"Serviço",0,IF(AND(AUTOEVENTO="Manual",$M389=1),0,IF(OFFSET(CRONOPLE!$F$14,$M389,BS$13)="",10^12,OFFSET(CRONOPLE!$F$14,$M389,BS$13))))</f>
        <v>1000000000000</v>
      </c>
      <c r="BT389" s="215">
        <f ca="1">IF($D389&lt;&gt;"Serviço",0,IF(AND(AUTOEVENTO="Manual",$M389=1),0,IF(OFFSET(CRONOPLE!$F$14,$M389,BT$13)="",10^12,OFFSET(CRONOPLE!$F$14,$M389,BT$13))))</f>
        <v>1000000000000</v>
      </c>
      <c r="BV389" s="216">
        <f ca="1">IF($D389&lt;&gt;"Serviço",0,IF(OR(AND(AUTOEVENTO="Manual",$M389=1),$M389&gt;(ROW(PLE.lastrow)-ROW(PLE.firstrow))),0,IF(OFFSET(PLE!$G$14,$M389,BV$13)="",10^12,OFFSET(PLE!$G$14,$M389,BV$13))))</f>
        <v>1000000000000</v>
      </c>
      <c r="BW389" s="216">
        <f ca="1">IF($D389&lt;&gt;"Serviço",0,IF(OR(AND(AUTOEVENTO="Manual",$M389=1),$M389&gt;(ROW(PLE.lastrow)-ROW(PLE.firstrow))),0,IF(OFFSET(PLE!$G$14,$M389,BW$13)="",10^12,OFFSET(PLE!$G$14,$M389,BW$13))))</f>
        <v>1000000000000</v>
      </c>
      <c r="BX389" s="216">
        <f ca="1">IF($D389&lt;&gt;"Serviço",0,IF(OR(AND(AUTOEVENTO="Manual",$M389=1),$M389&gt;(ROW(PLE.lastrow)-ROW(PLE.firstrow))),0,IF(OFFSET(PLE!$G$14,$M389,BX$13)="",10^12,OFFSET(PLE!$G$14,$M389,BX$13))))</f>
        <v>1000000000000</v>
      </c>
      <c r="BY389" s="216">
        <f ca="1">IF($D389&lt;&gt;"Serviço",0,IF(OR(AND(AUTOEVENTO="Manual",$M389=1),$M389&gt;(ROW(PLE.lastrow)-ROW(PLE.firstrow))),0,IF(OFFSET(PLE!$G$14,$M389,BY$13)="",10^12,OFFSET(PLE!$G$14,$M389,BY$13))))</f>
        <v>1000000000000</v>
      </c>
      <c r="BZ389" s="216">
        <f ca="1">IF($D389&lt;&gt;"Serviço",0,IF(OR(AND(AUTOEVENTO="Manual",$M389=1),$M389&gt;(ROW(PLE.lastrow)-ROW(PLE.firstrow))),0,IF(OFFSET(PLE!$G$14,$M389,BZ$13)="",10^12,OFFSET(PLE!$G$14,$M389,BZ$13))))</f>
        <v>1000000000000</v>
      </c>
      <c r="CA389" s="216">
        <f ca="1">IF($D389&lt;&gt;"Serviço",0,IF(OR(AND(AUTOEVENTO="Manual",$M389=1),$M389&gt;(ROW(PLE.lastrow)-ROW(PLE.firstrow))),0,IF(OFFSET(PLE!$G$14,$M389,CA$13)="",10^12,OFFSET(PLE!$G$14,$M389,CA$13))))</f>
        <v>1000000000000</v>
      </c>
      <c r="CB389" s="216">
        <f ca="1">IF($D389&lt;&gt;"Serviço",0,IF(OR(AND(AUTOEVENTO="Manual",$M389=1),$M389&gt;(ROW(PLE.lastrow)-ROW(PLE.firstrow))),0,IF(OFFSET(PLE!$G$14,$M389,CB$13)="",10^12,OFFSET(PLE!$G$14,$M389,CB$13))))</f>
        <v>1000000000000</v>
      </c>
      <c r="CC389" s="216">
        <f ca="1">IF($D389&lt;&gt;"Serviço",0,IF(OR(AND(AUTOEVENTO="Manual",$M389=1),$M389&gt;(ROW(PLE.lastrow)-ROW(PLE.firstrow))),0,IF(OFFSET(PLE!$G$14,$M389,CC$13)="",10^12,OFFSET(PLE!$G$14,$M389,CC$13))))</f>
        <v>1000000000000</v>
      </c>
      <c r="CD389" s="216">
        <f ca="1">IF($D389&lt;&gt;"Serviço",0,IF(OR(AND(AUTOEVENTO="Manual",$M389=1),$M389&gt;(ROW(PLE.lastrow)-ROW(PLE.firstrow))),0,IF(OFFSET(PLE!$G$14,$M389,CD$13)="",10^12,OFFSET(PLE!$G$14,$M389,CD$13))))</f>
        <v>1000000000000</v>
      </c>
      <c r="CE389" s="216">
        <f ca="1">IF($D389&lt;&gt;"Serviço",0,IF(OR(AND(AUTOEVENTO="Manual",$M389=1),$M389&gt;(ROW(PLE.lastrow)-ROW(PLE.firstrow))),0,IF(OFFSET(PLE!$G$14,$M389,CE$13)="",10^12,OFFSET(PLE!$G$14,$M389,CE$13))))</f>
        <v>1000000000000</v>
      </c>
      <c r="CF389" s="216">
        <f ca="1">IF($D389&lt;&gt;"Serviço",0,IF(OR(AND(AUTOEVENTO="Manual",$M389=1),$M389&gt;(ROW(PLE.lastrow)-ROW(PLE.firstrow))),0,IF(OFFSET(PLE!$G$14,$M389,CF$13)="",10^12,OFFSET(PLE!$G$14,$M389,CF$13))))</f>
        <v>1000000000000</v>
      </c>
      <c r="CG389" s="216">
        <f ca="1">IF($D389&lt;&gt;"Serviço",0,IF(OR(AND(AUTOEVENTO="Manual",$M389=1),$M389&gt;(ROW(PLE.lastrow)-ROW(PLE.firstrow))),0,IF(OFFSET(PLE!$G$14,$M389,CG$13)="",10^12,OFFSET(PLE!$G$14,$M389,CG$13))))</f>
        <v>1000000000000</v>
      </c>
      <c r="CH389" s="216">
        <f ca="1">IF($D389&lt;&gt;"Serviço",0,IF(OR(AND(AUTOEVENTO="Manual",$M389=1),$M389&gt;(ROW(PLE.lastrow)-ROW(PLE.firstrow))),0,IF(OFFSET(PLE!$G$14,$M389,CH$13)="",10^12,OFFSET(PLE!$G$14,$M389,CH$13))))</f>
        <v>1000000000000</v>
      </c>
      <c r="CI389" s="216">
        <f ca="1">IF($D389&lt;&gt;"Serviço",0,IF(OR(AND(AUTOEVENTO="Manual",$M389=1),$M389&gt;(ROW(PLE.lastrow)-ROW(PLE.firstrow))),0,IF(OFFSET(PLE!$G$14,$M389,CI$13)="",10^12,OFFSET(PLE!$G$14,$M389,CI$13))))</f>
        <v>1000000000000</v>
      </c>
      <c r="CJ389" s="216">
        <f ca="1">IF($D389&lt;&gt;"Serviço",0,IF(OR(AND(AUTOEVENTO="Manual",$M389=1),$M389&gt;(ROW(PLE.lastrow)-ROW(PLE.firstrow))),0,IF(OFFSET(PLE!$G$14,$M389,CJ$13)="",10^12,OFFSET(PLE!$G$14,$M389,CJ$13))))</f>
        <v>1000000000000</v>
      </c>
      <c r="CK389" s="216">
        <f ca="1">IF($D389&lt;&gt;"Serviço",0,IF(OR(AND(AUTOEVENTO="Manual",$M389=1),$M389&gt;(ROW(PLE.lastrow)-ROW(PLE.firstrow))),0,IF(OFFSET(PLE!$G$14,$M389,CK$13)="",10^12,OFFSET(PLE!$G$14,$M389,CK$13))))</f>
        <v>1000000000000</v>
      </c>
      <c r="CL389" s="216">
        <f ca="1">IF($D389&lt;&gt;"Serviço",0,IF(OR(AND(AUTOEVENTO="Manual",$M389=1),$M389&gt;(ROW(PLE.lastrow)-ROW(PLE.firstrow))),0,IF(OFFSET(PLE!$G$14,$M389,CL$13)="",10^12,OFFSET(PLE!$G$14,$M389,CL$13))))</f>
        <v>1000000000000</v>
      </c>
      <c r="CM389" s="216">
        <f ca="1">IF($D389&lt;&gt;"Serviço",0,IF(OR(AND(AUTOEVENTO="Manual",$M389=1),$M389&gt;(ROW(PLE.lastrow)-ROW(PLE.firstrow))),0,IF(OFFSET(PLE!$G$14,$M389,CM$13)="",10^12,OFFSET(PLE!$G$14,$M389,CM$13))))</f>
        <v>1000000000000</v>
      </c>
    </row>
    <row r="390" spans="1:91" ht="13.2" x14ac:dyDescent="0.25">
      <c r="A390" s="9">
        <f t="shared" ca="1" si="14"/>
        <v>0</v>
      </c>
      <c r="B390" s="9">
        <f ca="1">OFFSET(ORÇAMENTO!C$15,ROW(B390)-ROW(B$15),0)</f>
        <v>2</v>
      </c>
      <c r="C390" s="9" t="str">
        <f ca="1">OFFSET(ORÇAMENTO!L$15,ROW(C390)-ROW(C$15),0)</f>
        <v>F</v>
      </c>
      <c r="D390" s="145" t="str">
        <f ca="1">OFFSET(ORÇAMENTO!N$15,ROW(D390)-ROW(D$15),0)</f>
        <v>Nível 2</v>
      </c>
      <c r="E390" s="205" t="str">
        <f ca="1">OFFSET(ORÇAMENTO!O$15,ROW(E390)-ROW(E$15),0)</f>
        <v>1.14.</v>
      </c>
      <c r="F390" s="206" t="str">
        <f ca="1">OFFSET(ORÇAMENTO!R$15,ROW(F390)-ROW(F$15),0)</f>
        <v>INSTALAÇÃO SANITÁRIA</v>
      </c>
      <c r="G390" s="207" t="str">
        <f ca="1">IF($D390&lt;&gt;"Serviço","",OFFSET(ORÇAMENTO!S$15,ROW(G390)-ROW(G$15),0))</f>
        <v/>
      </c>
      <c r="H390" s="151">
        <f ca="1">IF($D390&lt;&gt;"Serviço",0,IF(ACOMPANHAMENTO="BM",ROUND(OFFSET(ORÇAMENTO!AJ$15,ROW(H390)-ROW(H$15),0),15-13*ORÇAMENTO!$AF$7),SUMPRODUCT(($Q$12:$AI$12&lt;&gt;"")*ROUND($Q390:$AI390,15-13*ORÇAMENTO!$AF$7))))</f>
        <v>0</v>
      </c>
      <c r="I390" s="650"/>
      <c r="K390" s="208"/>
      <c r="L390" s="209" t="s">
        <v>257</v>
      </c>
      <c r="M390" s="210" t="str">
        <f ca="1">IF($D390&lt;&gt;"Serviço","",IF(AUTOEVENTO="manual",$A390,IF(ISERROR(MATCH($A390,$A$15:OFFSET($A390,-1,0),0)),MAX($M$15:OFFSET(M390,-1,0))+1,INDEX($M$15:OFFSET(M390,-1,0),MATCH($A390,$A$15:OFFSET($A390,-1,0),0)))))</f>
        <v/>
      </c>
      <c r="N390" s="211" t="str">
        <f ca="1">IF($D390&lt;&gt;"Serviço","",IF(AUTOEVENTO="Manual",IF($A390=0,"&lt;-- defina o número do agrupador",OFFSET(EVENTOS!$D$14,$A390,0)),OFFSET($F$15,$A390,0)))</f>
        <v/>
      </c>
      <c r="O390" s="212"/>
      <c r="Q390" s="212"/>
      <c r="R390" s="213"/>
      <c r="S390" s="213"/>
      <c r="T390" s="213"/>
      <c r="U390" s="213"/>
      <c r="V390" s="213"/>
      <c r="W390" s="213"/>
      <c r="X390" s="213"/>
      <c r="Y390" s="213"/>
      <c r="Z390" s="214"/>
      <c r="AA390" s="213"/>
      <c r="AB390" s="213"/>
      <c r="AC390" s="213"/>
      <c r="AD390" s="213"/>
      <c r="AE390" s="213"/>
      <c r="AF390" s="213"/>
      <c r="AG390" s="213"/>
      <c r="AH390" s="214"/>
      <c r="AJ390" s="631">
        <f ca="1">IF(AND($D390="Serviço",AJ$12&lt;&gt;0,$H390&gt;0,OR(AUTOEVENTO&lt;&gt;"manual",$M390&lt;&gt;1)),ROUND(OFFSET($P390,0,AJ$13),15-13*ORÇAMENTO!$AF$7)/$H390*OFFSET(ORÇAMENTO!$X$15,ROW(AJ390)-ROW(AJ$15),0),0)</f>
        <v>0</v>
      </c>
      <c r="AK390" s="632">
        <f ca="1">IF(AND($D390="Serviço",AK$12&lt;&gt;0,$H390&gt;0,OR(AUTOEVENTO&lt;&gt;"manual",$M390&lt;&gt;1)),ROUND(OFFSET($P390,0,AK$13),15-13*ORÇAMENTO!$AF$7)/$H390*OFFSET(ORÇAMENTO!$X$15,ROW(AK390)-ROW(AK$15),0),0)</f>
        <v>0</v>
      </c>
      <c r="AL390" s="632">
        <f ca="1">IF(AND($D390="Serviço",AL$12&lt;&gt;0,$H390&gt;0,OR(AUTOEVENTO&lt;&gt;"manual",$M390&lt;&gt;1)),ROUND(OFFSET($P390,0,AL$13),15-13*ORÇAMENTO!$AF$7)/$H390*OFFSET(ORÇAMENTO!$X$15,ROW(AL390)-ROW(AL$15),0),0)</f>
        <v>0</v>
      </c>
      <c r="AM390" s="632">
        <f ca="1">IF(AND($D390="Serviço",AM$12&lt;&gt;0,$H390&gt;0,OR(AUTOEVENTO&lt;&gt;"manual",$M390&lt;&gt;1)),ROUND(OFFSET($P390,0,AM$13),15-13*ORÇAMENTO!$AF$7)/$H390*OFFSET(ORÇAMENTO!$X$15,ROW(AM390)-ROW(AM$15),0),0)</f>
        <v>0</v>
      </c>
      <c r="AN390" s="632">
        <f ca="1">IF(AND($D390="Serviço",AN$12&lt;&gt;0,$H390&gt;0,OR(AUTOEVENTO&lt;&gt;"manual",$M390&lt;&gt;1)),ROUND(OFFSET($P390,0,AN$13),15-13*ORÇAMENTO!$AF$7)/$H390*OFFSET(ORÇAMENTO!$X$15,ROW(AN390)-ROW(AN$15),0),0)</f>
        <v>0</v>
      </c>
      <c r="AO390" s="632">
        <f ca="1">IF(AND($D390="Serviço",AO$12&lt;&gt;0,$H390&gt;0,OR(AUTOEVENTO&lt;&gt;"manual",$M390&lt;&gt;1)),ROUND(OFFSET($P390,0,AO$13),15-13*ORÇAMENTO!$AF$7)/$H390*OFFSET(ORÇAMENTO!$X$15,ROW(AO390)-ROW(AO$15),0),0)</f>
        <v>0</v>
      </c>
      <c r="AP390" s="632">
        <f ca="1">IF(AND($D390="Serviço",AP$12&lt;&gt;0,$H390&gt;0,OR(AUTOEVENTO&lt;&gt;"manual",$M390&lt;&gt;1)),ROUND(OFFSET($P390,0,AP$13),15-13*ORÇAMENTO!$AF$7)/$H390*OFFSET(ORÇAMENTO!$X$15,ROW(AP390)-ROW(AP$15),0),0)</f>
        <v>0</v>
      </c>
      <c r="AQ390" s="632">
        <f ca="1">IF(AND($D390="Serviço",AQ$12&lt;&gt;0,$H390&gt;0,OR(AUTOEVENTO&lt;&gt;"manual",$M390&lt;&gt;1)),ROUND(OFFSET($P390,0,AQ$13),15-13*ORÇAMENTO!$AF$7)/$H390*OFFSET(ORÇAMENTO!$X$15,ROW(AQ390)-ROW(AQ$15),0),0)</f>
        <v>0</v>
      </c>
      <c r="AR390" s="632">
        <f ca="1">IF(AND($D390="Serviço",AR$12&lt;&gt;0,$H390&gt;0,OR(AUTOEVENTO&lt;&gt;"manual",$M390&lt;&gt;1)),ROUND(OFFSET($P390,0,AR$13),15-13*ORÇAMENTO!$AF$7)/$H390*OFFSET(ORÇAMENTO!$X$15,ROW(AR390)-ROW(AR$15),0),0)</f>
        <v>0</v>
      </c>
      <c r="AS390" s="633">
        <f ca="1">IF(AND($D390="Serviço",AS$12&lt;&gt;0,$H390&gt;0,OR(AUTOEVENTO&lt;&gt;"manual",$M390&lt;&gt;1)),ROUND(OFFSET($P390,0,AS$13),15-13*ORÇAMENTO!$AF$7)/$H390*OFFSET(ORÇAMENTO!$X$15,ROW(AS390)-ROW(AS$15),0),0)</f>
        <v>0</v>
      </c>
      <c r="AT390" s="632">
        <f ca="1">IF(AND($D390="Serviço",AT$12&lt;&gt;0,$H390&gt;0,OR(AUTOEVENTO&lt;&gt;"manual",$M390&lt;&gt;1)),ROUND(OFFSET($P390,0,AT$13),15-13*ORÇAMENTO!$AF$7)/$H390*OFFSET(ORÇAMENTO!$X$15,ROW(AT390)-ROW(AT$15),0),0)</f>
        <v>0</v>
      </c>
      <c r="AU390" s="632">
        <f ca="1">IF(AND($D390="Serviço",AU$12&lt;&gt;0,$H390&gt;0,OR(AUTOEVENTO&lt;&gt;"manual",$M390&lt;&gt;1)),ROUND(OFFSET($P390,0,AU$13),15-13*ORÇAMENTO!$AF$7)/$H390*OFFSET(ORÇAMENTO!$X$15,ROW(AU390)-ROW(AU$15),0),0)</f>
        <v>0</v>
      </c>
      <c r="AV390" s="632">
        <f ca="1">IF(AND($D390="Serviço",AV$12&lt;&gt;0,$H390&gt;0,OR(AUTOEVENTO&lt;&gt;"manual",$M390&lt;&gt;1)),ROUND(OFFSET($P390,0,AV$13),15-13*ORÇAMENTO!$AF$7)/$H390*OFFSET(ORÇAMENTO!$X$15,ROW(AV390)-ROW(AV$15),0),0)</f>
        <v>0</v>
      </c>
      <c r="AW390" s="632">
        <f ca="1">IF(AND($D390="Serviço",AW$12&lt;&gt;0,$H390&gt;0,OR(AUTOEVENTO&lt;&gt;"manual",$M390&lt;&gt;1)),ROUND(OFFSET($P390,0,AW$13),15-13*ORÇAMENTO!$AF$7)/$H390*OFFSET(ORÇAMENTO!$X$15,ROW(AW390)-ROW(AW$15),0),0)</f>
        <v>0</v>
      </c>
      <c r="AX390" s="632">
        <f ca="1">IF(AND($D390="Serviço",AX$12&lt;&gt;0,$H390&gt;0,OR(AUTOEVENTO&lt;&gt;"manual",$M390&lt;&gt;1)),ROUND(OFFSET($P390,0,AX$13),15-13*ORÇAMENTO!$AF$7)/$H390*OFFSET(ORÇAMENTO!$X$15,ROW(AX390)-ROW(AX$15),0),0)</f>
        <v>0</v>
      </c>
      <c r="AY390" s="632">
        <f ca="1">IF(AND($D390="Serviço",AY$12&lt;&gt;0,$H390&gt;0,OR(AUTOEVENTO&lt;&gt;"manual",$M390&lt;&gt;1)),ROUND(OFFSET($P390,0,AY$13),15-13*ORÇAMENTO!$AF$7)/$H390*OFFSET(ORÇAMENTO!$X$15,ROW(AY390)-ROW(AY$15),0),0)</f>
        <v>0</v>
      </c>
      <c r="AZ390" s="632">
        <f ca="1">IF(AND($D390="Serviço",AZ$12&lt;&gt;0,$H390&gt;0,OR(AUTOEVENTO&lt;&gt;"manual",$M390&lt;&gt;1)),ROUND(OFFSET($P390,0,AZ$13),15-13*ORÇAMENTO!$AF$7)/$H390*OFFSET(ORÇAMENTO!$X$15,ROW(AZ390)-ROW(AZ$15),0),0)</f>
        <v>0</v>
      </c>
      <c r="BA390" s="633">
        <f ca="1">IF(AND($D390="Serviço",BA$12&lt;&gt;0,$H390&gt;0,OR(AUTOEVENTO&lt;&gt;"manual",$M390&lt;&gt;1)),ROUND(OFFSET($P390,0,BA$13),15-13*ORÇAMENTO!$AF$7)/$H390*OFFSET(ORÇAMENTO!$X$15,ROW(BA390)-ROW(BA$15),0),0)</f>
        <v>0</v>
      </c>
      <c r="BC390" s="215">
        <f ca="1">IF($D390&lt;&gt;"Serviço",0,IF(AND(AUTOEVENTO="Manual",$M390=1),0,IF(OFFSET(CRONOPLE!$F$14,$M390,BC$13)="",10^12,OFFSET(CRONOPLE!$F$14,$M390,BC$13))))</f>
        <v>0</v>
      </c>
      <c r="BD390" s="215">
        <f ca="1">IF($D390&lt;&gt;"Serviço",0,IF(AND(AUTOEVENTO="Manual",$M390=1),0,IF(OFFSET(CRONOPLE!$F$14,$M390,BD$13)="",10^12,OFFSET(CRONOPLE!$F$14,$M390,BD$13))))</f>
        <v>0</v>
      </c>
      <c r="BE390" s="215">
        <f ca="1">IF($D390&lt;&gt;"Serviço",0,IF(AND(AUTOEVENTO="Manual",$M390=1),0,IF(OFFSET(CRONOPLE!$F$14,$M390,BE$13)="",10^12,OFFSET(CRONOPLE!$F$14,$M390,BE$13))))</f>
        <v>0</v>
      </c>
      <c r="BF390" s="215">
        <f ca="1">IF($D390&lt;&gt;"Serviço",0,IF(AND(AUTOEVENTO="Manual",$M390=1),0,IF(OFFSET(CRONOPLE!$F$14,$M390,BF$13)="",10^12,OFFSET(CRONOPLE!$F$14,$M390,BF$13))))</f>
        <v>0</v>
      </c>
      <c r="BG390" s="215">
        <f ca="1">IF($D390&lt;&gt;"Serviço",0,IF(AND(AUTOEVENTO="Manual",$M390=1),0,IF(OFFSET(CRONOPLE!$F$14,$M390,BG$13)="",10^12,OFFSET(CRONOPLE!$F$14,$M390,BG$13))))</f>
        <v>0</v>
      </c>
      <c r="BH390" s="215">
        <f ca="1">IF($D390&lt;&gt;"Serviço",0,IF(AND(AUTOEVENTO="Manual",$M390=1),0,IF(OFFSET(CRONOPLE!$F$14,$M390,BH$13)="",10^12,OFFSET(CRONOPLE!$F$14,$M390,BH$13))))</f>
        <v>0</v>
      </c>
      <c r="BI390" s="215">
        <f ca="1">IF($D390&lt;&gt;"Serviço",0,IF(AND(AUTOEVENTO="Manual",$M390=1),0,IF(OFFSET(CRONOPLE!$F$14,$M390,BI$13)="",10^12,OFFSET(CRONOPLE!$F$14,$M390,BI$13))))</f>
        <v>0</v>
      </c>
      <c r="BJ390" s="215">
        <f ca="1">IF($D390&lt;&gt;"Serviço",0,IF(AND(AUTOEVENTO="Manual",$M390=1),0,IF(OFFSET(CRONOPLE!$F$14,$M390,BJ$13)="",10^12,OFFSET(CRONOPLE!$F$14,$M390,BJ$13))))</f>
        <v>0</v>
      </c>
      <c r="BK390" s="215">
        <f ca="1">IF($D390&lt;&gt;"Serviço",0,IF(AND(AUTOEVENTO="Manual",$M390=1),0,IF(OFFSET(CRONOPLE!$F$14,$M390,BK$13)="",10^12,OFFSET(CRONOPLE!$F$14,$M390,BK$13))))</f>
        <v>0</v>
      </c>
      <c r="BL390" s="215">
        <f ca="1">IF($D390&lt;&gt;"Serviço",0,IF(AND(AUTOEVENTO="Manual",$M390=1),0,IF(OFFSET(CRONOPLE!$F$14,$M390,BL$13)="",10^12,OFFSET(CRONOPLE!$F$14,$M390,BL$13))))</f>
        <v>0</v>
      </c>
      <c r="BM390" s="215">
        <f ca="1">IF($D390&lt;&gt;"Serviço",0,IF(AND(AUTOEVENTO="Manual",$M390=1),0,IF(OFFSET(CRONOPLE!$F$14,$M390,BM$13)="",10^12,OFFSET(CRONOPLE!$F$14,$M390,BM$13))))</f>
        <v>0</v>
      </c>
      <c r="BN390" s="215">
        <f ca="1">IF($D390&lt;&gt;"Serviço",0,IF(AND(AUTOEVENTO="Manual",$M390=1),0,IF(OFFSET(CRONOPLE!$F$14,$M390,BN$13)="",10^12,OFFSET(CRONOPLE!$F$14,$M390,BN$13))))</f>
        <v>0</v>
      </c>
      <c r="BO390" s="215">
        <f ca="1">IF($D390&lt;&gt;"Serviço",0,IF(AND(AUTOEVENTO="Manual",$M390=1),0,IF(OFFSET(CRONOPLE!$F$14,$M390,BO$13)="",10^12,OFFSET(CRONOPLE!$F$14,$M390,BO$13))))</f>
        <v>0</v>
      </c>
      <c r="BP390" s="215">
        <f ca="1">IF($D390&lt;&gt;"Serviço",0,IF(AND(AUTOEVENTO="Manual",$M390=1),0,IF(OFFSET(CRONOPLE!$F$14,$M390,BP$13)="",10^12,OFFSET(CRONOPLE!$F$14,$M390,BP$13))))</f>
        <v>0</v>
      </c>
      <c r="BQ390" s="215">
        <f ca="1">IF($D390&lt;&gt;"Serviço",0,IF(AND(AUTOEVENTO="Manual",$M390=1),0,IF(OFFSET(CRONOPLE!$F$14,$M390,BQ$13)="",10^12,OFFSET(CRONOPLE!$F$14,$M390,BQ$13))))</f>
        <v>0</v>
      </c>
      <c r="BR390" s="215">
        <f ca="1">IF($D390&lt;&gt;"Serviço",0,IF(AND(AUTOEVENTO="Manual",$M390=1),0,IF(OFFSET(CRONOPLE!$F$14,$M390,BR$13)="",10^12,OFFSET(CRONOPLE!$F$14,$M390,BR$13))))</f>
        <v>0</v>
      </c>
      <c r="BS390" s="215">
        <f ca="1">IF($D390&lt;&gt;"Serviço",0,IF(AND(AUTOEVENTO="Manual",$M390=1),0,IF(OFFSET(CRONOPLE!$F$14,$M390,BS$13)="",10^12,OFFSET(CRONOPLE!$F$14,$M390,BS$13))))</f>
        <v>0</v>
      </c>
      <c r="BT390" s="215">
        <f ca="1">IF($D390&lt;&gt;"Serviço",0,IF(AND(AUTOEVENTO="Manual",$M390=1),0,IF(OFFSET(CRONOPLE!$F$14,$M390,BT$13)="",10^12,OFFSET(CRONOPLE!$F$14,$M390,BT$13))))</f>
        <v>0</v>
      </c>
      <c r="BV390" s="216">
        <f ca="1">IF($D390&lt;&gt;"Serviço",0,IF(OR(AND(AUTOEVENTO="Manual",$M390=1),$M390&gt;(ROW(PLE.lastrow)-ROW(PLE.firstrow))),0,IF(OFFSET(PLE!$G$14,$M390,BV$13)="",10^12,OFFSET(PLE!$G$14,$M390,BV$13))))</f>
        <v>0</v>
      </c>
      <c r="BW390" s="216">
        <f ca="1">IF($D390&lt;&gt;"Serviço",0,IF(OR(AND(AUTOEVENTO="Manual",$M390=1),$M390&gt;(ROW(PLE.lastrow)-ROW(PLE.firstrow))),0,IF(OFFSET(PLE!$G$14,$M390,BW$13)="",10^12,OFFSET(PLE!$G$14,$M390,BW$13))))</f>
        <v>0</v>
      </c>
      <c r="BX390" s="216">
        <f ca="1">IF($D390&lt;&gt;"Serviço",0,IF(OR(AND(AUTOEVENTO="Manual",$M390=1),$M390&gt;(ROW(PLE.lastrow)-ROW(PLE.firstrow))),0,IF(OFFSET(PLE!$G$14,$M390,BX$13)="",10^12,OFFSET(PLE!$G$14,$M390,BX$13))))</f>
        <v>0</v>
      </c>
      <c r="BY390" s="216">
        <f ca="1">IF($D390&lt;&gt;"Serviço",0,IF(OR(AND(AUTOEVENTO="Manual",$M390=1),$M390&gt;(ROW(PLE.lastrow)-ROW(PLE.firstrow))),0,IF(OFFSET(PLE!$G$14,$M390,BY$13)="",10^12,OFFSET(PLE!$G$14,$M390,BY$13))))</f>
        <v>0</v>
      </c>
      <c r="BZ390" s="216">
        <f ca="1">IF($D390&lt;&gt;"Serviço",0,IF(OR(AND(AUTOEVENTO="Manual",$M390=1),$M390&gt;(ROW(PLE.lastrow)-ROW(PLE.firstrow))),0,IF(OFFSET(PLE!$G$14,$M390,BZ$13)="",10^12,OFFSET(PLE!$G$14,$M390,BZ$13))))</f>
        <v>0</v>
      </c>
      <c r="CA390" s="216">
        <f ca="1">IF($D390&lt;&gt;"Serviço",0,IF(OR(AND(AUTOEVENTO="Manual",$M390=1),$M390&gt;(ROW(PLE.lastrow)-ROW(PLE.firstrow))),0,IF(OFFSET(PLE!$G$14,$M390,CA$13)="",10^12,OFFSET(PLE!$G$14,$M390,CA$13))))</f>
        <v>0</v>
      </c>
      <c r="CB390" s="216">
        <f ca="1">IF($D390&lt;&gt;"Serviço",0,IF(OR(AND(AUTOEVENTO="Manual",$M390=1),$M390&gt;(ROW(PLE.lastrow)-ROW(PLE.firstrow))),0,IF(OFFSET(PLE!$G$14,$M390,CB$13)="",10^12,OFFSET(PLE!$G$14,$M390,CB$13))))</f>
        <v>0</v>
      </c>
      <c r="CC390" s="216">
        <f ca="1">IF($D390&lt;&gt;"Serviço",0,IF(OR(AND(AUTOEVENTO="Manual",$M390=1),$M390&gt;(ROW(PLE.lastrow)-ROW(PLE.firstrow))),0,IF(OFFSET(PLE!$G$14,$M390,CC$13)="",10^12,OFFSET(PLE!$G$14,$M390,CC$13))))</f>
        <v>0</v>
      </c>
      <c r="CD390" s="216">
        <f ca="1">IF($D390&lt;&gt;"Serviço",0,IF(OR(AND(AUTOEVENTO="Manual",$M390=1),$M390&gt;(ROW(PLE.lastrow)-ROW(PLE.firstrow))),0,IF(OFFSET(PLE!$G$14,$M390,CD$13)="",10^12,OFFSET(PLE!$G$14,$M390,CD$13))))</f>
        <v>0</v>
      </c>
      <c r="CE390" s="216">
        <f ca="1">IF($D390&lt;&gt;"Serviço",0,IF(OR(AND(AUTOEVENTO="Manual",$M390=1),$M390&gt;(ROW(PLE.lastrow)-ROW(PLE.firstrow))),0,IF(OFFSET(PLE!$G$14,$M390,CE$13)="",10^12,OFFSET(PLE!$G$14,$M390,CE$13))))</f>
        <v>0</v>
      </c>
      <c r="CF390" s="216">
        <f ca="1">IF($D390&lt;&gt;"Serviço",0,IF(OR(AND(AUTOEVENTO="Manual",$M390=1),$M390&gt;(ROW(PLE.lastrow)-ROW(PLE.firstrow))),0,IF(OFFSET(PLE!$G$14,$M390,CF$13)="",10^12,OFFSET(PLE!$G$14,$M390,CF$13))))</f>
        <v>0</v>
      </c>
      <c r="CG390" s="216">
        <f ca="1">IF($D390&lt;&gt;"Serviço",0,IF(OR(AND(AUTOEVENTO="Manual",$M390=1),$M390&gt;(ROW(PLE.lastrow)-ROW(PLE.firstrow))),0,IF(OFFSET(PLE!$G$14,$M390,CG$13)="",10^12,OFFSET(PLE!$G$14,$M390,CG$13))))</f>
        <v>0</v>
      </c>
      <c r="CH390" s="216">
        <f ca="1">IF($D390&lt;&gt;"Serviço",0,IF(OR(AND(AUTOEVENTO="Manual",$M390=1),$M390&gt;(ROW(PLE.lastrow)-ROW(PLE.firstrow))),0,IF(OFFSET(PLE!$G$14,$M390,CH$13)="",10^12,OFFSET(PLE!$G$14,$M390,CH$13))))</f>
        <v>0</v>
      </c>
      <c r="CI390" s="216">
        <f ca="1">IF($D390&lt;&gt;"Serviço",0,IF(OR(AND(AUTOEVENTO="Manual",$M390=1),$M390&gt;(ROW(PLE.lastrow)-ROW(PLE.firstrow))),0,IF(OFFSET(PLE!$G$14,$M390,CI$13)="",10^12,OFFSET(PLE!$G$14,$M390,CI$13))))</f>
        <v>0</v>
      </c>
      <c r="CJ390" s="216">
        <f ca="1">IF($D390&lt;&gt;"Serviço",0,IF(OR(AND(AUTOEVENTO="Manual",$M390=1),$M390&gt;(ROW(PLE.lastrow)-ROW(PLE.firstrow))),0,IF(OFFSET(PLE!$G$14,$M390,CJ$13)="",10^12,OFFSET(PLE!$G$14,$M390,CJ$13))))</f>
        <v>0</v>
      </c>
      <c r="CK390" s="216">
        <f ca="1">IF($D390&lt;&gt;"Serviço",0,IF(OR(AND(AUTOEVENTO="Manual",$M390=1),$M390&gt;(ROW(PLE.lastrow)-ROW(PLE.firstrow))),0,IF(OFFSET(PLE!$G$14,$M390,CK$13)="",10^12,OFFSET(PLE!$G$14,$M390,CK$13))))</f>
        <v>0</v>
      </c>
      <c r="CL390" s="216">
        <f ca="1">IF($D390&lt;&gt;"Serviço",0,IF(OR(AND(AUTOEVENTO="Manual",$M390=1),$M390&gt;(ROW(PLE.lastrow)-ROW(PLE.firstrow))),0,IF(OFFSET(PLE!$G$14,$M390,CL$13)="",10^12,OFFSET(PLE!$G$14,$M390,CL$13))))</f>
        <v>0</v>
      </c>
      <c r="CM390" s="216">
        <f ca="1">IF($D390&lt;&gt;"Serviço",0,IF(OR(AND(AUTOEVENTO="Manual",$M390=1),$M390&gt;(ROW(PLE.lastrow)-ROW(PLE.firstrow))),0,IF(OFFSET(PLE!$G$14,$M390,CM$13)="",10^12,OFFSET(PLE!$G$14,$M390,CM$13))))</f>
        <v>0</v>
      </c>
    </row>
    <row r="391" spans="1:91" ht="13.2" x14ac:dyDescent="0.25">
      <c r="A391" s="9">
        <f t="shared" ca="1" si="14"/>
        <v>0</v>
      </c>
      <c r="B391" s="9">
        <f ca="1">OFFSET(ORÇAMENTO!C$15,ROW(B391)-ROW(B$15),0)</f>
        <v>3</v>
      </c>
      <c r="C391" s="9" t="str">
        <f ca="1">OFFSET(ORÇAMENTO!L$15,ROW(C391)-ROW(C$15),0)</f>
        <v>F</v>
      </c>
      <c r="D391" s="145" t="str">
        <f ca="1">OFFSET(ORÇAMENTO!N$15,ROW(D391)-ROW(D$15),0)</f>
        <v>Nível 3</v>
      </c>
      <c r="E391" s="205" t="str">
        <f ca="1">OFFSET(ORÇAMENTO!O$15,ROW(E391)-ROW(E$15),0)</f>
        <v>1.14.1.</v>
      </c>
      <c r="F391" s="206" t="str">
        <f ca="1">OFFSET(ORÇAMENTO!R$15,ROW(F391)-ROW(F$15),0)</f>
        <v>TUBULAÇÕES E CONEXÕES</v>
      </c>
      <c r="G391" s="207" t="str">
        <f ca="1">IF($D391&lt;&gt;"Serviço","",OFFSET(ORÇAMENTO!S$15,ROW(G391)-ROW(G$15),0))</f>
        <v/>
      </c>
      <c r="H391" s="151">
        <f ca="1">IF($D391&lt;&gt;"Serviço",0,IF(ACOMPANHAMENTO="BM",ROUND(OFFSET(ORÇAMENTO!AJ$15,ROW(H391)-ROW(H$15),0),15-13*ORÇAMENTO!$AF$7),SUMPRODUCT(($Q$12:$AI$12&lt;&gt;"")*ROUND($Q391:$AI391,15-13*ORÇAMENTO!$AF$7))))</f>
        <v>0</v>
      </c>
      <c r="I391" s="650"/>
      <c r="K391" s="208"/>
      <c r="L391" s="209" t="s">
        <v>257</v>
      </c>
      <c r="M391" s="210" t="str">
        <f ca="1">IF($D391&lt;&gt;"Serviço","",IF(AUTOEVENTO="manual",$A391,IF(ISERROR(MATCH($A391,$A$15:OFFSET($A391,-1,0),0)),MAX($M$15:OFFSET(M391,-1,0))+1,INDEX($M$15:OFFSET(M391,-1,0),MATCH($A391,$A$15:OFFSET($A391,-1,0),0)))))</f>
        <v/>
      </c>
      <c r="N391" s="211" t="str">
        <f ca="1">IF($D391&lt;&gt;"Serviço","",IF(AUTOEVENTO="Manual",IF($A391=0,"&lt;-- defina o número do agrupador",OFFSET(EVENTOS!$D$14,$A391,0)),OFFSET($F$15,$A391,0)))</f>
        <v/>
      </c>
      <c r="O391" s="212"/>
      <c r="Q391" s="212"/>
      <c r="R391" s="213"/>
      <c r="S391" s="213"/>
      <c r="T391" s="213"/>
      <c r="U391" s="213"/>
      <c r="V391" s="213"/>
      <c r="W391" s="213"/>
      <c r="X391" s="213"/>
      <c r="Y391" s="213"/>
      <c r="Z391" s="214"/>
      <c r="AA391" s="213"/>
      <c r="AB391" s="213"/>
      <c r="AC391" s="213"/>
      <c r="AD391" s="213"/>
      <c r="AE391" s="213"/>
      <c r="AF391" s="213"/>
      <c r="AG391" s="213"/>
      <c r="AH391" s="214"/>
      <c r="AJ391" s="631">
        <f ca="1">IF(AND($D391="Serviço",AJ$12&lt;&gt;0,$H391&gt;0,OR(AUTOEVENTO&lt;&gt;"manual",$M391&lt;&gt;1)),ROUND(OFFSET($P391,0,AJ$13),15-13*ORÇAMENTO!$AF$7)/$H391*OFFSET(ORÇAMENTO!$X$15,ROW(AJ391)-ROW(AJ$15),0),0)</f>
        <v>0</v>
      </c>
      <c r="AK391" s="632">
        <f ca="1">IF(AND($D391="Serviço",AK$12&lt;&gt;0,$H391&gt;0,OR(AUTOEVENTO&lt;&gt;"manual",$M391&lt;&gt;1)),ROUND(OFFSET($P391,0,AK$13),15-13*ORÇAMENTO!$AF$7)/$H391*OFFSET(ORÇAMENTO!$X$15,ROW(AK391)-ROW(AK$15),0),0)</f>
        <v>0</v>
      </c>
      <c r="AL391" s="632">
        <f ca="1">IF(AND($D391="Serviço",AL$12&lt;&gt;0,$H391&gt;0,OR(AUTOEVENTO&lt;&gt;"manual",$M391&lt;&gt;1)),ROUND(OFFSET($P391,0,AL$13),15-13*ORÇAMENTO!$AF$7)/$H391*OFFSET(ORÇAMENTO!$X$15,ROW(AL391)-ROW(AL$15),0),0)</f>
        <v>0</v>
      </c>
      <c r="AM391" s="632">
        <f ca="1">IF(AND($D391="Serviço",AM$12&lt;&gt;0,$H391&gt;0,OR(AUTOEVENTO&lt;&gt;"manual",$M391&lt;&gt;1)),ROUND(OFFSET($P391,0,AM$13),15-13*ORÇAMENTO!$AF$7)/$H391*OFFSET(ORÇAMENTO!$X$15,ROW(AM391)-ROW(AM$15),0),0)</f>
        <v>0</v>
      </c>
      <c r="AN391" s="632">
        <f ca="1">IF(AND($D391="Serviço",AN$12&lt;&gt;0,$H391&gt;0,OR(AUTOEVENTO&lt;&gt;"manual",$M391&lt;&gt;1)),ROUND(OFFSET($P391,0,AN$13),15-13*ORÇAMENTO!$AF$7)/$H391*OFFSET(ORÇAMENTO!$X$15,ROW(AN391)-ROW(AN$15),0),0)</f>
        <v>0</v>
      </c>
      <c r="AO391" s="632">
        <f ca="1">IF(AND($D391="Serviço",AO$12&lt;&gt;0,$H391&gt;0,OR(AUTOEVENTO&lt;&gt;"manual",$M391&lt;&gt;1)),ROUND(OFFSET($P391,0,AO$13),15-13*ORÇAMENTO!$AF$7)/$H391*OFFSET(ORÇAMENTO!$X$15,ROW(AO391)-ROW(AO$15),0),0)</f>
        <v>0</v>
      </c>
      <c r="AP391" s="632">
        <f ca="1">IF(AND($D391="Serviço",AP$12&lt;&gt;0,$H391&gt;0,OR(AUTOEVENTO&lt;&gt;"manual",$M391&lt;&gt;1)),ROUND(OFFSET($P391,0,AP$13),15-13*ORÇAMENTO!$AF$7)/$H391*OFFSET(ORÇAMENTO!$X$15,ROW(AP391)-ROW(AP$15),0),0)</f>
        <v>0</v>
      </c>
      <c r="AQ391" s="632">
        <f ca="1">IF(AND($D391="Serviço",AQ$12&lt;&gt;0,$H391&gt;0,OR(AUTOEVENTO&lt;&gt;"manual",$M391&lt;&gt;1)),ROUND(OFFSET($P391,0,AQ$13),15-13*ORÇAMENTO!$AF$7)/$H391*OFFSET(ORÇAMENTO!$X$15,ROW(AQ391)-ROW(AQ$15),0),0)</f>
        <v>0</v>
      </c>
      <c r="AR391" s="632">
        <f ca="1">IF(AND($D391="Serviço",AR$12&lt;&gt;0,$H391&gt;0,OR(AUTOEVENTO&lt;&gt;"manual",$M391&lt;&gt;1)),ROUND(OFFSET($P391,0,AR$13),15-13*ORÇAMENTO!$AF$7)/$H391*OFFSET(ORÇAMENTO!$X$15,ROW(AR391)-ROW(AR$15),0),0)</f>
        <v>0</v>
      </c>
      <c r="AS391" s="633">
        <f ca="1">IF(AND($D391="Serviço",AS$12&lt;&gt;0,$H391&gt;0,OR(AUTOEVENTO&lt;&gt;"manual",$M391&lt;&gt;1)),ROUND(OFFSET($P391,0,AS$13),15-13*ORÇAMENTO!$AF$7)/$H391*OFFSET(ORÇAMENTO!$X$15,ROW(AS391)-ROW(AS$15),0),0)</f>
        <v>0</v>
      </c>
      <c r="AT391" s="632">
        <f ca="1">IF(AND($D391="Serviço",AT$12&lt;&gt;0,$H391&gt;0,OR(AUTOEVENTO&lt;&gt;"manual",$M391&lt;&gt;1)),ROUND(OFFSET($P391,0,AT$13),15-13*ORÇAMENTO!$AF$7)/$H391*OFFSET(ORÇAMENTO!$X$15,ROW(AT391)-ROW(AT$15),0),0)</f>
        <v>0</v>
      </c>
      <c r="AU391" s="632">
        <f ca="1">IF(AND($D391="Serviço",AU$12&lt;&gt;0,$H391&gt;0,OR(AUTOEVENTO&lt;&gt;"manual",$M391&lt;&gt;1)),ROUND(OFFSET($P391,0,AU$13),15-13*ORÇAMENTO!$AF$7)/$H391*OFFSET(ORÇAMENTO!$X$15,ROW(AU391)-ROW(AU$15),0),0)</f>
        <v>0</v>
      </c>
      <c r="AV391" s="632">
        <f ca="1">IF(AND($D391="Serviço",AV$12&lt;&gt;0,$H391&gt;0,OR(AUTOEVENTO&lt;&gt;"manual",$M391&lt;&gt;1)),ROUND(OFFSET($P391,0,AV$13),15-13*ORÇAMENTO!$AF$7)/$H391*OFFSET(ORÇAMENTO!$X$15,ROW(AV391)-ROW(AV$15),0),0)</f>
        <v>0</v>
      </c>
      <c r="AW391" s="632">
        <f ca="1">IF(AND($D391="Serviço",AW$12&lt;&gt;0,$H391&gt;0,OR(AUTOEVENTO&lt;&gt;"manual",$M391&lt;&gt;1)),ROUND(OFFSET($P391,0,AW$13),15-13*ORÇAMENTO!$AF$7)/$H391*OFFSET(ORÇAMENTO!$X$15,ROW(AW391)-ROW(AW$15),0),0)</f>
        <v>0</v>
      </c>
      <c r="AX391" s="632">
        <f ca="1">IF(AND($D391="Serviço",AX$12&lt;&gt;0,$H391&gt;0,OR(AUTOEVENTO&lt;&gt;"manual",$M391&lt;&gt;1)),ROUND(OFFSET($P391,0,AX$13),15-13*ORÇAMENTO!$AF$7)/$H391*OFFSET(ORÇAMENTO!$X$15,ROW(AX391)-ROW(AX$15),0),0)</f>
        <v>0</v>
      </c>
      <c r="AY391" s="632">
        <f ca="1">IF(AND($D391="Serviço",AY$12&lt;&gt;0,$H391&gt;0,OR(AUTOEVENTO&lt;&gt;"manual",$M391&lt;&gt;1)),ROUND(OFFSET($P391,0,AY$13),15-13*ORÇAMENTO!$AF$7)/$H391*OFFSET(ORÇAMENTO!$X$15,ROW(AY391)-ROW(AY$15),0),0)</f>
        <v>0</v>
      </c>
      <c r="AZ391" s="632">
        <f ca="1">IF(AND($D391="Serviço",AZ$12&lt;&gt;0,$H391&gt;0,OR(AUTOEVENTO&lt;&gt;"manual",$M391&lt;&gt;1)),ROUND(OFFSET($P391,0,AZ$13),15-13*ORÇAMENTO!$AF$7)/$H391*OFFSET(ORÇAMENTO!$X$15,ROW(AZ391)-ROW(AZ$15),0),0)</f>
        <v>0</v>
      </c>
      <c r="BA391" s="633">
        <f ca="1">IF(AND($D391="Serviço",BA$12&lt;&gt;0,$H391&gt;0,OR(AUTOEVENTO&lt;&gt;"manual",$M391&lt;&gt;1)),ROUND(OFFSET($P391,0,BA$13),15-13*ORÇAMENTO!$AF$7)/$H391*OFFSET(ORÇAMENTO!$X$15,ROW(BA391)-ROW(BA$15),0),0)</f>
        <v>0</v>
      </c>
      <c r="BC391" s="215">
        <f ca="1">IF($D391&lt;&gt;"Serviço",0,IF(AND(AUTOEVENTO="Manual",$M391=1),0,IF(OFFSET(CRONOPLE!$F$14,$M391,BC$13)="",10^12,OFFSET(CRONOPLE!$F$14,$M391,BC$13))))</f>
        <v>0</v>
      </c>
      <c r="BD391" s="215">
        <f ca="1">IF($D391&lt;&gt;"Serviço",0,IF(AND(AUTOEVENTO="Manual",$M391=1),0,IF(OFFSET(CRONOPLE!$F$14,$M391,BD$13)="",10^12,OFFSET(CRONOPLE!$F$14,$M391,BD$13))))</f>
        <v>0</v>
      </c>
      <c r="BE391" s="215">
        <f ca="1">IF($D391&lt;&gt;"Serviço",0,IF(AND(AUTOEVENTO="Manual",$M391=1),0,IF(OFFSET(CRONOPLE!$F$14,$M391,BE$13)="",10^12,OFFSET(CRONOPLE!$F$14,$M391,BE$13))))</f>
        <v>0</v>
      </c>
      <c r="BF391" s="215">
        <f ca="1">IF($D391&lt;&gt;"Serviço",0,IF(AND(AUTOEVENTO="Manual",$M391=1),0,IF(OFFSET(CRONOPLE!$F$14,$M391,BF$13)="",10^12,OFFSET(CRONOPLE!$F$14,$M391,BF$13))))</f>
        <v>0</v>
      </c>
      <c r="BG391" s="215">
        <f ca="1">IF($D391&lt;&gt;"Serviço",0,IF(AND(AUTOEVENTO="Manual",$M391=1),0,IF(OFFSET(CRONOPLE!$F$14,$M391,BG$13)="",10^12,OFFSET(CRONOPLE!$F$14,$M391,BG$13))))</f>
        <v>0</v>
      </c>
      <c r="BH391" s="215">
        <f ca="1">IF($D391&lt;&gt;"Serviço",0,IF(AND(AUTOEVENTO="Manual",$M391=1),0,IF(OFFSET(CRONOPLE!$F$14,$M391,BH$13)="",10^12,OFFSET(CRONOPLE!$F$14,$M391,BH$13))))</f>
        <v>0</v>
      </c>
      <c r="BI391" s="215">
        <f ca="1">IF($D391&lt;&gt;"Serviço",0,IF(AND(AUTOEVENTO="Manual",$M391=1),0,IF(OFFSET(CRONOPLE!$F$14,$M391,BI$13)="",10^12,OFFSET(CRONOPLE!$F$14,$M391,BI$13))))</f>
        <v>0</v>
      </c>
      <c r="BJ391" s="215">
        <f ca="1">IF($D391&lt;&gt;"Serviço",0,IF(AND(AUTOEVENTO="Manual",$M391=1),0,IF(OFFSET(CRONOPLE!$F$14,$M391,BJ$13)="",10^12,OFFSET(CRONOPLE!$F$14,$M391,BJ$13))))</f>
        <v>0</v>
      </c>
      <c r="BK391" s="215">
        <f ca="1">IF($D391&lt;&gt;"Serviço",0,IF(AND(AUTOEVENTO="Manual",$M391=1),0,IF(OFFSET(CRONOPLE!$F$14,$M391,BK$13)="",10^12,OFFSET(CRONOPLE!$F$14,$M391,BK$13))))</f>
        <v>0</v>
      </c>
      <c r="BL391" s="215">
        <f ca="1">IF($D391&lt;&gt;"Serviço",0,IF(AND(AUTOEVENTO="Manual",$M391=1),0,IF(OFFSET(CRONOPLE!$F$14,$M391,BL$13)="",10^12,OFFSET(CRONOPLE!$F$14,$M391,BL$13))))</f>
        <v>0</v>
      </c>
      <c r="BM391" s="215">
        <f ca="1">IF($D391&lt;&gt;"Serviço",0,IF(AND(AUTOEVENTO="Manual",$M391=1),0,IF(OFFSET(CRONOPLE!$F$14,$M391,BM$13)="",10^12,OFFSET(CRONOPLE!$F$14,$M391,BM$13))))</f>
        <v>0</v>
      </c>
      <c r="BN391" s="215">
        <f ca="1">IF($D391&lt;&gt;"Serviço",0,IF(AND(AUTOEVENTO="Manual",$M391=1),0,IF(OFFSET(CRONOPLE!$F$14,$M391,BN$13)="",10^12,OFFSET(CRONOPLE!$F$14,$M391,BN$13))))</f>
        <v>0</v>
      </c>
      <c r="BO391" s="215">
        <f ca="1">IF($D391&lt;&gt;"Serviço",0,IF(AND(AUTOEVENTO="Manual",$M391=1),0,IF(OFFSET(CRONOPLE!$F$14,$M391,BO$13)="",10^12,OFFSET(CRONOPLE!$F$14,$M391,BO$13))))</f>
        <v>0</v>
      </c>
      <c r="BP391" s="215">
        <f ca="1">IF($D391&lt;&gt;"Serviço",0,IF(AND(AUTOEVENTO="Manual",$M391=1),0,IF(OFFSET(CRONOPLE!$F$14,$M391,BP$13)="",10^12,OFFSET(CRONOPLE!$F$14,$M391,BP$13))))</f>
        <v>0</v>
      </c>
      <c r="BQ391" s="215">
        <f ca="1">IF($D391&lt;&gt;"Serviço",0,IF(AND(AUTOEVENTO="Manual",$M391=1),0,IF(OFFSET(CRONOPLE!$F$14,$M391,BQ$13)="",10^12,OFFSET(CRONOPLE!$F$14,$M391,BQ$13))))</f>
        <v>0</v>
      </c>
      <c r="BR391" s="215">
        <f ca="1">IF($D391&lt;&gt;"Serviço",0,IF(AND(AUTOEVENTO="Manual",$M391=1),0,IF(OFFSET(CRONOPLE!$F$14,$M391,BR$13)="",10^12,OFFSET(CRONOPLE!$F$14,$M391,BR$13))))</f>
        <v>0</v>
      </c>
      <c r="BS391" s="215">
        <f ca="1">IF($D391&lt;&gt;"Serviço",0,IF(AND(AUTOEVENTO="Manual",$M391=1),0,IF(OFFSET(CRONOPLE!$F$14,$M391,BS$13)="",10^12,OFFSET(CRONOPLE!$F$14,$M391,BS$13))))</f>
        <v>0</v>
      </c>
      <c r="BT391" s="215">
        <f ca="1">IF($D391&lt;&gt;"Serviço",0,IF(AND(AUTOEVENTO="Manual",$M391=1),0,IF(OFFSET(CRONOPLE!$F$14,$M391,BT$13)="",10^12,OFFSET(CRONOPLE!$F$14,$M391,BT$13))))</f>
        <v>0</v>
      </c>
      <c r="BV391" s="216">
        <f ca="1">IF($D391&lt;&gt;"Serviço",0,IF(OR(AND(AUTOEVENTO="Manual",$M391=1),$M391&gt;(ROW(PLE.lastrow)-ROW(PLE.firstrow))),0,IF(OFFSET(PLE!$G$14,$M391,BV$13)="",10^12,OFFSET(PLE!$G$14,$M391,BV$13))))</f>
        <v>0</v>
      </c>
      <c r="BW391" s="216">
        <f ca="1">IF($D391&lt;&gt;"Serviço",0,IF(OR(AND(AUTOEVENTO="Manual",$M391=1),$M391&gt;(ROW(PLE.lastrow)-ROW(PLE.firstrow))),0,IF(OFFSET(PLE!$G$14,$M391,BW$13)="",10^12,OFFSET(PLE!$G$14,$M391,BW$13))))</f>
        <v>0</v>
      </c>
      <c r="BX391" s="216">
        <f ca="1">IF($D391&lt;&gt;"Serviço",0,IF(OR(AND(AUTOEVENTO="Manual",$M391=1),$M391&gt;(ROW(PLE.lastrow)-ROW(PLE.firstrow))),0,IF(OFFSET(PLE!$G$14,$M391,BX$13)="",10^12,OFFSET(PLE!$G$14,$M391,BX$13))))</f>
        <v>0</v>
      </c>
      <c r="BY391" s="216">
        <f ca="1">IF($D391&lt;&gt;"Serviço",0,IF(OR(AND(AUTOEVENTO="Manual",$M391=1),$M391&gt;(ROW(PLE.lastrow)-ROW(PLE.firstrow))),0,IF(OFFSET(PLE!$G$14,$M391,BY$13)="",10^12,OFFSET(PLE!$G$14,$M391,BY$13))))</f>
        <v>0</v>
      </c>
      <c r="BZ391" s="216">
        <f ca="1">IF($D391&lt;&gt;"Serviço",0,IF(OR(AND(AUTOEVENTO="Manual",$M391=1),$M391&gt;(ROW(PLE.lastrow)-ROW(PLE.firstrow))),0,IF(OFFSET(PLE!$G$14,$M391,BZ$13)="",10^12,OFFSET(PLE!$G$14,$M391,BZ$13))))</f>
        <v>0</v>
      </c>
      <c r="CA391" s="216">
        <f ca="1">IF($D391&lt;&gt;"Serviço",0,IF(OR(AND(AUTOEVENTO="Manual",$M391=1),$M391&gt;(ROW(PLE.lastrow)-ROW(PLE.firstrow))),0,IF(OFFSET(PLE!$G$14,$M391,CA$13)="",10^12,OFFSET(PLE!$G$14,$M391,CA$13))))</f>
        <v>0</v>
      </c>
      <c r="CB391" s="216">
        <f ca="1">IF($D391&lt;&gt;"Serviço",0,IF(OR(AND(AUTOEVENTO="Manual",$M391=1),$M391&gt;(ROW(PLE.lastrow)-ROW(PLE.firstrow))),0,IF(OFFSET(PLE!$G$14,$M391,CB$13)="",10^12,OFFSET(PLE!$G$14,$M391,CB$13))))</f>
        <v>0</v>
      </c>
      <c r="CC391" s="216">
        <f ca="1">IF($D391&lt;&gt;"Serviço",0,IF(OR(AND(AUTOEVENTO="Manual",$M391=1),$M391&gt;(ROW(PLE.lastrow)-ROW(PLE.firstrow))),0,IF(OFFSET(PLE!$G$14,$M391,CC$13)="",10^12,OFFSET(PLE!$G$14,$M391,CC$13))))</f>
        <v>0</v>
      </c>
      <c r="CD391" s="216">
        <f ca="1">IF($D391&lt;&gt;"Serviço",0,IF(OR(AND(AUTOEVENTO="Manual",$M391=1),$M391&gt;(ROW(PLE.lastrow)-ROW(PLE.firstrow))),0,IF(OFFSET(PLE!$G$14,$M391,CD$13)="",10^12,OFFSET(PLE!$G$14,$M391,CD$13))))</f>
        <v>0</v>
      </c>
      <c r="CE391" s="216">
        <f ca="1">IF($D391&lt;&gt;"Serviço",0,IF(OR(AND(AUTOEVENTO="Manual",$M391=1),$M391&gt;(ROW(PLE.lastrow)-ROW(PLE.firstrow))),0,IF(OFFSET(PLE!$G$14,$M391,CE$13)="",10^12,OFFSET(PLE!$G$14,$M391,CE$13))))</f>
        <v>0</v>
      </c>
      <c r="CF391" s="216">
        <f ca="1">IF($D391&lt;&gt;"Serviço",0,IF(OR(AND(AUTOEVENTO="Manual",$M391=1),$M391&gt;(ROW(PLE.lastrow)-ROW(PLE.firstrow))),0,IF(OFFSET(PLE!$G$14,$M391,CF$13)="",10^12,OFFSET(PLE!$G$14,$M391,CF$13))))</f>
        <v>0</v>
      </c>
      <c r="CG391" s="216">
        <f ca="1">IF($D391&lt;&gt;"Serviço",0,IF(OR(AND(AUTOEVENTO="Manual",$M391=1),$M391&gt;(ROW(PLE.lastrow)-ROW(PLE.firstrow))),0,IF(OFFSET(PLE!$G$14,$M391,CG$13)="",10^12,OFFSET(PLE!$G$14,$M391,CG$13))))</f>
        <v>0</v>
      </c>
      <c r="CH391" s="216">
        <f ca="1">IF($D391&lt;&gt;"Serviço",0,IF(OR(AND(AUTOEVENTO="Manual",$M391=1),$M391&gt;(ROW(PLE.lastrow)-ROW(PLE.firstrow))),0,IF(OFFSET(PLE!$G$14,$M391,CH$13)="",10^12,OFFSET(PLE!$G$14,$M391,CH$13))))</f>
        <v>0</v>
      </c>
      <c r="CI391" s="216">
        <f ca="1">IF($D391&lt;&gt;"Serviço",0,IF(OR(AND(AUTOEVENTO="Manual",$M391=1),$M391&gt;(ROW(PLE.lastrow)-ROW(PLE.firstrow))),0,IF(OFFSET(PLE!$G$14,$M391,CI$13)="",10^12,OFFSET(PLE!$G$14,$M391,CI$13))))</f>
        <v>0</v>
      </c>
      <c r="CJ391" s="216">
        <f ca="1">IF($D391&lt;&gt;"Serviço",0,IF(OR(AND(AUTOEVENTO="Manual",$M391=1),$M391&gt;(ROW(PLE.lastrow)-ROW(PLE.firstrow))),0,IF(OFFSET(PLE!$G$14,$M391,CJ$13)="",10^12,OFFSET(PLE!$G$14,$M391,CJ$13))))</f>
        <v>0</v>
      </c>
      <c r="CK391" s="216">
        <f ca="1">IF($D391&lt;&gt;"Serviço",0,IF(OR(AND(AUTOEVENTO="Manual",$M391=1),$M391&gt;(ROW(PLE.lastrow)-ROW(PLE.firstrow))),0,IF(OFFSET(PLE!$G$14,$M391,CK$13)="",10^12,OFFSET(PLE!$G$14,$M391,CK$13))))</f>
        <v>0</v>
      </c>
      <c r="CL391" s="216">
        <f ca="1">IF($D391&lt;&gt;"Serviço",0,IF(OR(AND(AUTOEVENTO="Manual",$M391=1),$M391&gt;(ROW(PLE.lastrow)-ROW(PLE.firstrow))),0,IF(OFFSET(PLE!$G$14,$M391,CL$13)="",10^12,OFFSET(PLE!$G$14,$M391,CL$13))))</f>
        <v>0</v>
      </c>
      <c r="CM391" s="216">
        <f ca="1">IF($D391&lt;&gt;"Serviço",0,IF(OR(AND(AUTOEVENTO="Manual",$M391=1),$M391&gt;(ROW(PLE.lastrow)-ROW(PLE.firstrow))),0,IF(OFFSET(PLE!$G$14,$M391,CM$13)="",10^12,OFFSET(PLE!$G$14,$M391,CM$13))))</f>
        <v>0</v>
      </c>
    </row>
    <row r="392" spans="1:91" ht="13.2" x14ac:dyDescent="0.25">
      <c r="A392" s="9">
        <f t="shared" ca="1" si="14"/>
        <v>0</v>
      </c>
      <c r="B392" s="9" t="str">
        <f ca="1">OFFSET(ORÇAMENTO!C$15,ROW(B392)-ROW(B$15),0)</f>
        <v>S</v>
      </c>
      <c r="C392" s="9" t="str">
        <f ca="1">OFFSET(ORÇAMENTO!L$15,ROW(C392)-ROW(C$15),0)</f>
        <v/>
      </c>
      <c r="D392" s="145" t="str">
        <f ca="1">OFFSET(ORÇAMENTO!N$15,ROW(D392)-ROW(D$15),0)</f>
        <v>Serviço</v>
      </c>
      <c r="E392" s="205" t="str">
        <f ca="1">OFFSET(ORÇAMENTO!O$15,ROW(E392)-ROW(E$15),0)</f>
        <v>-</v>
      </c>
      <c r="F392" s="206" t="str">
        <f ca="1">OFFSET(ORÇAMENTO!R$15,ROW(F392)-ROW(F$15),0)</f>
        <v>(abra o arquivo 'Referência 05-2024.xls)</v>
      </c>
      <c r="G392" s="207" t="str">
        <f ca="1">IF($D392&lt;&gt;"Serviço","",OFFSET(ORÇAMENTO!S$15,ROW(G392)-ROW(G$15),0))</f>
        <v>-</v>
      </c>
      <c r="H392" s="151">
        <f ca="1">IF($D392&lt;&gt;"Serviço",0,IF(ACOMPANHAMENTO="BM",ROUND(OFFSET(ORÇAMENTO!AJ$15,ROW(H392)-ROW(H$15),0),15-13*ORÇAMENTO!$AF$7),SUMPRODUCT(($Q$12:$AI$12&lt;&gt;"")*ROUND($Q392:$AI392,15-13*ORÇAMENTO!$AF$7))))</f>
        <v>246.11</v>
      </c>
      <c r="I392" s="650"/>
      <c r="K392" s="208"/>
      <c r="L392" s="209" t="s">
        <v>257</v>
      </c>
      <c r="M392" s="210">
        <f ca="1">IF($D392&lt;&gt;"Serviço","",IF(AUTOEVENTO="manual",$A392,IF(ISERROR(MATCH($A392,$A$15:OFFSET($A392,-1,0),0)),MAX($M$15:OFFSET(M392,-1,0))+1,INDEX($M$15:OFFSET(M392,-1,0),MATCH($A392,$A$15:OFFSET($A392,-1,0),0)))))</f>
        <v>0</v>
      </c>
      <c r="N392" s="211" t="str">
        <f ca="1">IF($D392&lt;&gt;"Serviço","",IF(AUTOEVENTO="Manual",IF($A392=0,"&lt;-- defina o número do agrupador",OFFSET(EVENTOS!$D$14,$A392,0)),OFFSET($F$15,$A392,0)))</f>
        <v>&lt;-- defina o número do agrupador</v>
      </c>
      <c r="O392" s="212"/>
      <c r="Q392" s="212"/>
      <c r="R392" s="213"/>
      <c r="S392" s="213"/>
      <c r="T392" s="213"/>
      <c r="U392" s="213"/>
      <c r="V392" s="213"/>
      <c r="W392" s="213"/>
      <c r="X392" s="213"/>
      <c r="Y392" s="213"/>
      <c r="Z392" s="214"/>
      <c r="AA392" s="213"/>
      <c r="AB392" s="213"/>
      <c r="AC392" s="213"/>
      <c r="AD392" s="213"/>
      <c r="AE392" s="213"/>
      <c r="AF392" s="213"/>
      <c r="AG392" s="213"/>
      <c r="AH392" s="214"/>
      <c r="AJ392" s="631">
        <f ca="1">IF(AND($D392="Serviço",AJ$12&lt;&gt;0,$H392&gt;0,OR(AUTOEVENTO&lt;&gt;"manual",$M392&lt;&gt;1)),ROUND(OFFSET($P392,0,AJ$13),15-13*ORÇAMENTO!$AF$7)/$H392*OFFSET(ORÇAMENTO!$X$15,ROW(AJ392)-ROW(AJ$15),0),0)</f>
        <v>0</v>
      </c>
      <c r="AK392" s="632">
        <f ca="1">IF(AND($D392="Serviço",AK$12&lt;&gt;0,$H392&gt;0,OR(AUTOEVENTO&lt;&gt;"manual",$M392&lt;&gt;1)),ROUND(OFFSET($P392,0,AK$13),15-13*ORÇAMENTO!$AF$7)/$H392*OFFSET(ORÇAMENTO!$X$15,ROW(AK392)-ROW(AK$15),0),0)</f>
        <v>0</v>
      </c>
      <c r="AL392" s="632">
        <f ca="1">IF(AND($D392="Serviço",AL$12&lt;&gt;0,$H392&gt;0,OR(AUTOEVENTO&lt;&gt;"manual",$M392&lt;&gt;1)),ROUND(OFFSET($P392,0,AL$13),15-13*ORÇAMENTO!$AF$7)/$H392*OFFSET(ORÇAMENTO!$X$15,ROW(AL392)-ROW(AL$15),0),0)</f>
        <v>0</v>
      </c>
      <c r="AM392" s="632">
        <f ca="1">IF(AND($D392="Serviço",AM$12&lt;&gt;0,$H392&gt;0,OR(AUTOEVENTO&lt;&gt;"manual",$M392&lt;&gt;1)),ROUND(OFFSET($P392,0,AM$13),15-13*ORÇAMENTO!$AF$7)/$H392*OFFSET(ORÇAMENTO!$X$15,ROW(AM392)-ROW(AM$15),0),0)</f>
        <v>0</v>
      </c>
      <c r="AN392" s="632">
        <f ca="1">IF(AND($D392="Serviço",AN$12&lt;&gt;0,$H392&gt;0,OR(AUTOEVENTO&lt;&gt;"manual",$M392&lt;&gt;1)),ROUND(OFFSET($P392,0,AN$13),15-13*ORÇAMENTO!$AF$7)/$H392*OFFSET(ORÇAMENTO!$X$15,ROW(AN392)-ROW(AN$15),0),0)</f>
        <v>0</v>
      </c>
      <c r="AO392" s="632">
        <f ca="1">IF(AND($D392="Serviço",AO$12&lt;&gt;0,$H392&gt;0,OR(AUTOEVENTO&lt;&gt;"manual",$M392&lt;&gt;1)),ROUND(OFFSET($P392,0,AO$13),15-13*ORÇAMENTO!$AF$7)/$H392*OFFSET(ORÇAMENTO!$X$15,ROW(AO392)-ROW(AO$15),0),0)</f>
        <v>0</v>
      </c>
      <c r="AP392" s="632">
        <f ca="1">IF(AND($D392="Serviço",AP$12&lt;&gt;0,$H392&gt;0,OR(AUTOEVENTO&lt;&gt;"manual",$M392&lt;&gt;1)),ROUND(OFFSET($P392,0,AP$13),15-13*ORÇAMENTO!$AF$7)/$H392*OFFSET(ORÇAMENTO!$X$15,ROW(AP392)-ROW(AP$15),0),0)</f>
        <v>0</v>
      </c>
      <c r="AQ392" s="632">
        <f ca="1">IF(AND($D392="Serviço",AQ$12&lt;&gt;0,$H392&gt;0,OR(AUTOEVENTO&lt;&gt;"manual",$M392&lt;&gt;1)),ROUND(OFFSET($P392,0,AQ$13),15-13*ORÇAMENTO!$AF$7)/$H392*OFFSET(ORÇAMENTO!$X$15,ROW(AQ392)-ROW(AQ$15),0),0)</f>
        <v>0</v>
      </c>
      <c r="AR392" s="632">
        <f ca="1">IF(AND($D392="Serviço",AR$12&lt;&gt;0,$H392&gt;0,OR(AUTOEVENTO&lt;&gt;"manual",$M392&lt;&gt;1)),ROUND(OFFSET($P392,0,AR$13),15-13*ORÇAMENTO!$AF$7)/$H392*OFFSET(ORÇAMENTO!$X$15,ROW(AR392)-ROW(AR$15),0),0)</f>
        <v>0</v>
      </c>
      <c r="AS392" s="633">
        <f ca="1">IF(AND($D392="Serviço",AS$12&lt;&gt;0,$H392&gt;0,OR(AUTOEVENTO&lt;&gt;"manual",$M392&lt;&gt;1)),ROUND(OFFSET($P392,0,AS$13),15-13*ORÇAMENTO!$AF$7)/$H392*OFFSET(ORÇAMENTO!$X$15,ROW(AS392)-ROW(AS$15),0),0)</f>
        <v>0</v>
      </c>
      <c r="AT392" s="632">
        <f ca="1">IF(AND($D392="Serviço",AT$12&lt;&gt;0,$H392&gt;0,OR(AUTOEVENTO&lt;&gt;"manual",$M392&lt;&gt;1)),ROUND(OFFSET($P392,0,AT$13),15-13*ORÇAMENTO!$AF$7)/$H392*OFFSET(ORÇAMENTO!$X$15,ROW(AT392)-ROW(AT$15),0),0)</f>
        <v>0</v>
      </c>
      <c r="AU392" s="632">
        <f ca="1">IF(AND($D392="Serviço",AU$12&lt;&gt;0,$H392&gt;0,OR(AUTOEVENTO&lt;&gt;"manual",$M392&lt;&gt;1)),ROUND(OFFSET($P392,0,AU$13),15-13*ORÇAMENTO!$AF$7)/$H392*OFFSET(ORÇAMENTO!$X$15,ROW(AU392)-ROW(AU$15),0),0)</f>
        <v>0</v>
      </c>
      <c r="AV392" s="632">
        <f ca="1">IF(AND($D392="Serviço",AV$12&lt;&gt;0,$H392&gt;0,OR(AUTOEVENTO&lt;&gt;"manual",$M392&lt;&gt;1)),ROUND(OFFSET($P392,0,AV$13),15-13*ORÇAMENTO!$AF$7)/$H392*OFFSET(ORÇAMENTO!$X$15,ROW(AV392)-ROW(AV$15),0),0)</f>
        <v>0</v>
      </c>
      <c r="AW392" s="632">
        <f ca="1">IF(AND($D392="Serviço",AW$12&lt;&gt;0,$H392&gt;0,OR(AUTOEVENTO&lt;&gt;"manual",$M392&lt;&gt;1)),ROUND(OFFSET($P392,0,AW$13),15-13*ORÇAMENTO!$AF$7)/$H392*OFFSET(ORÇAMENTO!$X$15,ROW(AW392)-ROW(AW$15),0),0)</f>
        <v>0</v>
      </c>
      <c r="AX392" s="632">
        <f ca="1">IF(AND($D392="Serviço",AX$12&lt;&gt;0,$H392&gt;0,OR(AUTOEVENTO&lt;&gt;"manual",$M392&lt;&gt;1)),ROUND(OFFSET($P392,0,AX$13),15-13*ORÇAMENTO!$AF$7)/$H392*OFFSET(ORÇAMENTO!$X$15,ROW(AX392)-ROW(AX$15),0),0)</f>
        <v>0</v>
      </c>
      <c r="AY392" s="632">
        <f ca="1">IF(AND($D392="Serviço",AY$12&lt;&gt;0,$H392&gt;0,OR(AUTOEVENTO&lt;&gt;"manual",$M392&lt;&gt;1)),ROUND(OFFSET($P392,0,AY$13),15-13*ORÇAMENTO!$AF$7)/$H392*OFFSET(ORÇAMENTO!$X$15,ROW(AY392)-ROW(AY$15),0),0)</f>
        <v>0</v>
      </c>
      <c r="AZ392" s="632">
        <f ca="1">IF(AND($D392="Serviço",AZ$12&lt;&gt;0,$H392&gt;0,OR(AUTOEVENTO&lt;&gt;"manual",$M392&lt;&gt;1)),ROUND(OFFSET($P392,0,AZ$13),15-13*ORÇAMENTO!$AF$7)/$H392*OFFSET(ORÇAMENTO!$X$15,ROW(AZ392)-ROW(AZ$15),0),0)</f>
        <v>0</v>
      </c>
      <c r="BA392" s="633">
        <f ca="1">IF(AND($D392="Serviço",BA$12&lt;&gt;0,$H392&gt;0,OR(AUTOEVENTO&lt;&gt;"manual",$M392&lt;&gt;1)),ROUND(OFFSET($P392,0,BA$13),15-13*ORÇAMENTO!$AF$7)/$H392*OFFSET(ORÇAMENTO!$X$15,ROW(BA392)-ROW(BA$15),0),0)</f>
        <v>0</v>
      </c>
      <c r="BC392" s="215">
        <f ca="1">IF($D392&lt;&gt;"Serviço",0,IF(AND(AUTOEVENTO="Manual",$M392=1),0,IF(OFFSET(CRONOPLE!$F$14,$M392,BC$13)="",10^12,OFFSET(CRONOPLE!$F$14,$M392,BC$13))))</f>
        <v>1000000000000</v>
      </c>
      <c r="BD392" s="215">
        <f ca="1">IF($D392&lt;&gt;"Serviço",0,IF(AND(AUTOEVENTO="Manual",$M392=1),0,IF(OFFSET(CRONOPLE!$F$14,$M392,BD$13)="",10^12,OFFSET(CRONOPLE!$F$14,$M392,BD$13))))</f>
        <v>1000000000000</v>
      </c>
      <c r="BE392" s="215">
        <f ca="1">IF($D392&lt;&gt;"Serviço",0,IF(AND(AUTOEVENTO="Manual",$M392=1),0,IF(OFFSET(CRONOPLE!$F$14,$M392,BE$13)="",10^12,OFFSET(CRONOPLE!$F$14,$M392,BE$13))))</f>
        <v>1000000000000</v>
      </c>
      <c r="BF392" s="215">
        <f ca="1">IF($D392&lt;&gt;"Serviço",0,IF(AND(AUTOEVENTO="Manual",$M392=1),0,IF(OFFSET(CRONOPLE!$F$14,$M392,BF$13)="",10^12,OFFSET(CRONOPLE!$F$14,$M392,BF$13))))</f>
        <v>1000000000000</v>
      </c>
      <c r="BG392" s="215">
        <f ca="1">IF($D392&lt;&gt;"Serviço",0,IF(AND(AUTOEVENTO="Manual",$M392=1),0,IF(OFFSET(CRONOPLE!$F$14,$M392,BG$13)="",10^12,OFFSET(CRONOPLE!$F$14,$M392,BG$13))))</f>
        <v>1000000000000</v>
      </c>
      <c r="BH392" s="215">
        <f ca="1">IF($D392&lt;&gt;"Serviço",0,IF(AND(AUTOEVENTO="Manual",$M392=1),0,IF(OFFSET(CRONOPLE!$F$14,$M392,BH$13)="",10^12,OFFSET(CRONOPLE!$F$14,$M392,BH$13))))</f>
        <v>1000000000000</v>
      </c>
      <c r="BI392" s="215">
        <f ca="1">IF($D392&lt;&gt;"Serviço",0,IF(AND(AUTOEVENTO="Manual",$M392=1),0,IF(OFFSET(CRONOPLE!$F$14,$M392,BI$13)="",10^12,OFFSET(CRONOPLE!$F$14,$M392,BI$13))))</f>
        <v>1000000000000</v>
      </c>
      <c r="BJ392" s="215">
        <f ca="1">IF($D392&lt;&gt;"Serviço",0,IF(AND(AUTOEVENTO="Manual",$M392=1),0,IF(OFFSET(CRONOPLE!$F$14,$M392,BJ$13)="",10^12,OFFSET(CRONOPLE!$F$14,$M392,BJ$13))))</f>
        <v>1000000000000</v>
      </c>
      <c r="BK392" s="215">
        <f ca="1">IF($D392&lt;&gt;"Serviço",0,IF(AND(AUTOEVENTO="Manual",$M392=1),0,IF(OFFSET(CRONOPLE!$F$14,$M392,BK$13)="",10^12,OFFSET(CRONOPLE!$F$14,$M392,BK$13))))</f>
        <v>1000000000000</v>
      </c>
      <c r="BL392" s="215">
        <f ca="1">IF($D392&lt;&gt;"Serviço",0,IF(AND(AUTOEVENTO="Manual",$M392=1),0,IF(OFFSET(CRONOPLE!$F$14,$M392,BL$13)="",10^12,OFFSET(CRONOPLE!$F$14,$M392,BL$13))))</f>
        <v>1000000000000</v>
      </c>
      <c r="BM392" s="215">
        <f ca="1">IF($D392&lt;&gt;"Serviço",0,IF(AND(AUTOEVENTO="Manual",$M392=1),0,IF(OFFSET(CRONOPLE!$F$14,$M392,BM$13)="",10^12,OFFSET(CRONOPLE!$F$14,$M392,BM$13))))</f>
        <v>1000000000000</v>
      </c>
      <c r="BN392" s="215">
        <f ca="1">IF($D392&lt;&gt;"Serviço",0,IF(AND(AUTOEVENTO="Manual",$M392=1),0,IF(OFFSET(CRONOPLE!$F$14,$M392,BN$13)="",10^12,OFFSET(CRONOPLE!$F$14,$M392,BN$13))))</f>
        <v>1000000000000</v>
      </c>
      <c r="BO392" s="215">
        <f ca="1">IF($D392&lt;&gt;"Serviço",0,IF(AND(AUTOEVENTO="Manual",$M392=1),0,IF(OFFSET(CRONOPLE!$F$14,$M392,BO$13)="",10^12,OFFSET(CRONOPLE!$F$14,$M392,BO$13))))</f>
        <v>1000000000000</v>
      </c>
      <c r="BP392" s="215">
        <f ca="1">IF($D392&lt;&gt;"Serviço",0,IF(AND(AUTOEVENTO="Manual",$M392=1),0,IF(OFFSET(CRONOPLE!$F$14,$M392,BP$13)="",10^12,OFFSET(CRONOPLE!$F$14,$M392,BP$13))))</f>
        <v>1000000000000</v>
      </c>
      <c r="BQ392" s="215">
        <f ca="1">IF($D392&lt;&gt;"Serviço",0,IF(AND(AUTOEVENTO="Manual",$M392=1),0,IF(OFFSET(CRONOPLE!$F$14,$M392,BQ$13)="",10^12,OFFSET(CRONOPLE!$F$14,$M392,BQ$13))))</f>
        <v>1000000000000</v>
      </c>
      <c r="BR392" s="215">
        <f ca="1">IF($D392&lt;&gt;"Serviço",0,IF(AND(AUTOEVENTO="Manual",$M392=1),0,IF(OFFSET(CRONOPLE!$F$14,$M392,BR$13)="",10^12,OFFSET(CRONOPLE!$F$14,$M392,BR$13))))</f>
        <v>1000000000000</v>
      </c>
      <c r="BS392" s="215">
        <f ca="1">IF($D392&lt;&gt;"Serviço",0,IF(AND(AUTOEVENTO="Manual",$M392=1),0,IF(OFFSET(CRONOPLE!$F$14,$M392,BS$13)="",10^12,OFFSET(CRONOPLE!$F$14,$M392,BS$13))))</f>
        <v>1000000000000</v>
      </c>
      <c r="BT392" s="215">
        <f ca="1">IF($D392&lt;&gt;"Serviço",0,IF(AND(AUTOEVENTO="Manual",$M392=1),0,IF(OFFSET(CRONOPLE!$F$14,$M392,BT$13)="",10^12,OFFSET(CRONOPLE!$F$14,$M392,BT$13))))</f>
        <v>1000000000000</v>
      </c>
      <c r="BV392" s="216">
        <f ca="1">IF($D392&lt;&gt;"Serviço",0,IF(OR(AND(AUTOEVENTO="Manual",$M392=1),$M392&gt;(ROW(PLE.lastrow)-ROW(PLE.firstrow))),0,IF(OFFSET(PLE!$G$14,$M392,BV$13)="",10^12,OFFSET(PLE!$G$14,$M392,BV$13))))</f>
        <v>1000000000000</v>
      </c>
      <c r="BW392" s="216">
        <f ca="1">IF($D392&lt;&gt;"Serviço",0,IF(OR(AND(AUTOEVENTO="Manual",$M392=1),$M392&gt;(ROW(PLE.lastrow)-ROW(PLE.firstrow))),0,IF(OFFSET(PLE!$G$14,$M392,BW$13)="",10^12,OFFSET(PLE!$G$14,$M392,BW$13))))</f>
        <v>1000000000000</v>
      </c>
      <c r="BX392" s="216">
        <f ca="1">IF($D392&lt;&gt;"Serviço",0,IF(OR(AND(AUTOEVENTO="Manual",$M392=1),$M392&gt;(ROW(PLE.lastrow)-ROW(PLE.firstrow))),0,IF(OFFSET(PLE!$G$14,$M392,BX$13)="",10^12,OFFSET(PLE!$G$14,$M392,BX$13))))</f>
        <v>1000000000000</v>
      </c>
      <c r="BY392" s="216">
        <f ca="1">IF($D392&lt;&gt;"Serviço",0,IF(OR(AND(AUTOEVENTO="Manual",$M392=1),$M392&gt;(ROW(PLE.lastrow)-ROW(PLE.firstrow))),0,IF(OFFSET(PLE!$G$14,$M392,BY$13)="",10^12,OFFSET(PLE!$G$14,$M392,BY$13))))</f>
        <v>1000000000000</v>
      </c>
      <c r="BZ392" s="216">
        <f ca="1">IF($D392&lt;&gt;"Serviço",0,IF(OR(AND(AUTOEVENTO="Manual",$M392=1),$M392&gt;(ROW(PLE.lastrow)-ROW(PLE.firstrow))),0,IF(OFFSET(PLE!$G$14,$M392,BZ$13)="",10^12,OFFSET(PLE!$G$14,$M392,BZ$13))))</f>
        <v>1000000000000</v>
      </c>
      <c r="CA392" s="216">
        <f ca="1">IF($D392&lt;&gt;"Serviço",0,IF(OR(AND(AUTOEVENTO="Manual",$M392=1),$M392&gt;(ROW(PLE.lastrow)-ROW(PLE.firstrow))),0,IF(OFFSET(PLE!$G$14,$M392,CA$13)="",10^12,OFFSET(PLE!$G$14,$M392,CA$13))))</f>
        <v>1000000000000</v>
      </c>
      <c r="CB392" s="216">
        <f ca="1">IF($D392&lt;&gt;"Serviço",0,IF(OR(AND(AUTOEVENTO="Manual",$M392=1),$M392&gt;(ROW(PLE.lastrow)-ROW(PLE.firstrow))),0,IF(OFFSET(PLE!$G$14,$M392,CB$13)="",10^12,OFFSET(PLE!$G$14,$M392,CB$13))))</f>
        <v>1000000000000</v>
      </c>
      <c r="CC392" s="216">
        <f ca="1">IF($D392&lt;&gt;"Serviço",0,IF(OR(AND(AUTOEVENTO="Manual",$M392=1),$M392&gt;(ROW(PLE.lastrow)-ROW(PLE.firstrow))),0,IF(OFFSET(PLE!$G$14,$M392,CC$13)="",10^12,OFFSET(PLE!$G$14,$M392,CC$13))))</f>
        <v>1000000000000</v>
      </c>
      <c r="CD392" s="216">
        <f ca="1">IF($D392&lt;&gt;"Serviço",0,IF(OR(AND(AUTOEVENTO="Manual",$M392=1),$M392&gt;(ROW(PLE.lastrow)-ROW(PLE.firstrow))),0,IF(OFFSET(PLE!$G$14,$M392,CD$13)="",10^12,OFFSET(PLE!$G$14,$M392,CD$13))))</f>
        <v>1000000000000</v>
      </c>
      <c r="CE392" s="216">
        <f ca="1">IF($D392&lt;&gt;"Serviço",0,IF(OR(AND(AUTOEVENTO="Manual",$M392=1),$M392&gt;(ROW(PLE.lastrow)-ROW(PLE.firstrow))),0,IF(OFFSET(PLE!$G$14,$M392,CE$13)="",10^12,OFFSET(PLE!$G$14,$M392,CE$13))))</f>
        <v>1000000000000</v>
      </c>
      <c r="CF392" s="216">
        <f ca="1">IF($D392&lt;&gt;"Serviço",0,IF(OR(AND(AUTOEVENTO="Manual",$M392=1),$M392&gt;(ROW(PLE.lastrow)-ROW(PLE.firstrow))),0,IF(OFFSET(PLE!$G$14,$M392,CF$13)="",10^12,OFFSET(PLE!$G$14,$M392,CF$13))))</f>
        <v>1000000000000</v>
      </c>
      <c r="CG392" s="216">
        <f ca="1">IF($D392&lt;&gt;"Serviço",0,IF(OR(AND(AUTOEVENTO="Manual",$M392=1),$M392&gt;(ROW(PLE.lastrow)-ROW(PLE.firstrow))),0,IF(OFFSET(PLE!$G$14,$M392,CG$13)="",10^12,OFFSET(PLE!$G$14,$M392,CG$13))))</f>
        <v>1000000000000</v>
      </c>
      <c r="CH392" s="216">
        <f ca="1">IF($D392&lt;&gt;"Serviço",0,IF(OR(AND(AUTOEVENTO="Manual",$M392=1),$M392&gt;(ROW(PLE.lastrow)-ROW(PLE.firstrow))),0,IF(OFFSET(PLE!$G$14,$M392,CH$13)="",10^12,OFFSET(PLE!$G$14,$M392,CH$13))))</f>
        <v>1000000000000</v>
      </c>
      <c r="CI392" s="216">
        <f ca="1">IF($D392&lt;&gt;"Serviço",0,IF(OR(AND(AUTOEVENTO="Manual",$M392=1),$M392&gt;(ROW(PLE.lastrow)-ROW(PLE.firstrow))),0,IF(OFFSET(PLE!$G$14,$M392,CI$13)="",10^12,OFFSET(PLE!$G$14,$M392,CI$13))))</f>
        <v>1000000000000</v>
      </c>
      <c r="CJ392" s="216">
        <f ca="1">IF($D392&lt;&gt;"Serviço",0,IF(OR(AND(AUTOEVENTO="Manual",$M392=1),$M392&gt;(ROW(PLE.lastrow)-ROW(PLE.firstrow))),0,IF(OFFSET(PLE!$G$14,$M392,CJ$13)="",10^12,OFFSET(PLE!$G$14,$M392,CJ$13))))</f>
        <v>1000000000000</v>
      </c>
      <c r="CK392" s="216">
        <f ca="1">IF($D392&lt;&gt;"Serviço",0,IF(OR(AND(AUTOEVENTO="Manual",$M392=1),$M392&gt;(ROW(PLE.lastrow)-ROW(PLE.firstrow))),0,IF(OFFSET(PLE!$G$14,$M392,CK$13)="",10^12,OFFSET(PLE!$G$14,$M392,CK$13))))</f>
        <v>1000000000000</v>
      </c>
      <c r="CL392" s="216">
        <f ca="1">IF($D392&lt;&gt;"Serviço",0,IF(OR(AND(AUTOEVENTO="Manual",$M392=1),$M392&gt;(ROW(PLE.lastrow)-ROW(PLE.firstrow))),0,IF(OFFSET(PLE!$G$14,$M392,CL$13)="",10^12,OFFSET(PLE!$G$14,$M392,CL$13))))</f>
        <v>1000000000000</v>
      </c>
      <c r="CM392" s="216">
        <f ca="1">IF($D392&lt;&gt;"Serviço",0,IF(OR(AND(AUTOEVENTO="Manual",$M392=1),$M392&gt;(ROW(PLE.lastrow)-ROW(PLE.firstrow))),0,IF(OFFSET(PLE!$G$14,$M392,CM$13)="",10^12,OFFSET(PLE!$G$14,$M392,CM$13))))</f>
        <v>1000000000000</v>
      </c>
    </row>
    <row r="393" spans="1:91" ht="13.2" x14ac:dyDescent="0.25">
      <c r="A393" s="9">
        <f t="shared" ca="1" si="14"/>
        <v>0</v>
      </c>
      <c r="B393" s="9" t="str">
        <f ca="1">OFFSET(ORÇAMENTO!C$15,ROW(B393)-ROW(B$15),0)</f>
        <v>S</v>
      </c>
      <c r="C393" s="9" t="str">
        <f ca="1">OFFSET(ORÇAMENTO!L$15,ROW(C393)-ROW(C$15),0)</f>
        <v/>
      </c>
      <c r="D393" s="145" t="str">
        <f ca="1">OFFSET(ORÇAMENTO!N$15,ROW(D393)-ROW(D$15),0)</f>
        <v>Serviço</v>
      </c>
      <c r="E393" s="205" t="str">
        <f ca="1">OFFSET(ORÇAMENTO!O$15,ROW(E393)-ROW(E$15),0)</f>
        <v>-</v>
      </c>
      <c r="F393" s="206" t="str">
        <f ca="1">OFFSET(ORÇAMENTO!R$15,ROW(F393)-ROW(F$15),0)</f>
        <v>(abra o arquivo 'Referência 05-2024.xls)</v>
      </c>
      <c r="G393" s="207" t="str">
        <f ca="1">IF($D393&lt;&gt;"Serviço","",OFFSET(ORÇAMENTO!S$15,ROW(G393)-ROW(G$15),0))</f>
        <v>-</v>
      </c>
      <c r="H393" s="151">
        <f ca="1">IF($D393&lt;&gt;"Serviço",0,IF(ACOMPANHAMENTO="BM",ROUND(OFFSET(ORÇAMENTO!AJ$15,ROW(H393)-ROW(H$15),0),15-13*ORÇAMENTO!$AF$7),SUMPRODUCT(($Q$12:$AI$12&lt;&gt;"")*ROUND($Q393:$AI393,15-13*ORÇAMENTO!$AF$7))))</f>
        <v>67.849999999999994</v>
      </c>
      <c r="I393" s="650"/>
      <c r="K393" s="208"/>
      <c r="L393" s="209" t="s">
        <v>257</v>
      </c>
      <c r="M393" s="210">
        <f ca="1">IF($D393&lt;&gt;"Serviço","",IF(AUTOEVENTO="manual",$A393,IF(ISERROR(MATCH($A393,$A$15:OFFSET($A393,-1,0),0)),MAX($M$15:OFFSET(M393,-1,0))+1,INDEX($M$15:OFFSET(M393,-1,0),MATCH($A393,$A$15:OFFSET($A393,-1,0),0)))))</f>
        <v>0</v>
      </c>
      <c r="N393" s="211" t="str">
        <f ca="1">IF($D393&lt;&gt;"Serviço","",IF(AUTOEVENTO="Manual",IF($A393=0,"&lt;-- defina o número do agrupador",OFFSET(EVENTOS!$D$14,$A393,0)),OFFSET($F$15,$A393,0)))</f>
        <v>&lt;-- defina o número do agrupador</v>
      </c>
      <c r="O393" s="212"/>
      <c r="Q393" s="212"/>
      <c r="R393" s="213"/>
      <c r="S393" s="213"/>
      <c r="T393" s="213"/>
      <c r="U393" s="213"/>
      <c r="V393" s="213"/>
      <c r="W393" s="213"/>
      <c r="X393" s="213"/>
      <c r="Y393" s="213"/>
      <c r="Z393" s="214"/>
      <c r="AA393" s="213"/>
      <c r="AB393" s="213"/>
      <c r="AC393" s="213"/>
      <c r="AD393" s="213"/>
      <c r="AE393" s="213"/>
      <c r="AF393" s="213"/>
      <c r="AG393" s="213"/>
      <c r="AH393" s="214"/>
      <c r="AJ393" s="631">
        <f ca="1">IF(AND($D393="Serviço",AJ$12&lt;&gt;0,$H393&gt;0,OR(AUTOEVENTO&lt;&gt;"manual",$M393&lt;&gt;1)),ROUND(OFFSET($P393,0,AJ$13),15-13*ORÇAMENTO!$AF$7)/$H393*OFFSET(ORÇAMENTO!$X$15,ROW(AJ393)-ROW(AJ$15),0),0)</f>
        <v>0</v>
      </c>
      <c r="AK393" s="632">
        <f ca="1">IF(AND($D393="Serviço",AK$12&lt;&gt;0,$H393&gt;0,OR(AUTOEVENTO&lt;&gt;"manual",$M393&lt;&gt;1)),ROUND(OFFSET($P393,0,AK$13),15-13*ORÇAMENTO!$AF$7)/$H393*OFFSET(ORÇAMENTO!$X$15,ROW(AK393)-ROW(AK$15),0),0)</f>
        <v>0</v>
      </c>
      <c r="AL393" s="632">
        <f ca="1">IF(AND($D393="Serviço",AL$12&lt;&gt;0,$H393&gt;0,OR(AUTOEVENTO&lt;&gt;"manual",$M393&lt;&gt;1)),ROUND(OFFSET($P393,0,AL$13),15-13*ORÇAMENTO!$AF$7)/$H393*OFFSET(ORÇAMENTO!$X$15,ROW(AL393)-ROW(AL$15),0),0)</f>
        <v>0</v>
      </c>
      <c r="AM393" s="632">
        <f ca="1">IF(AND($D393="Serviço",AM$12&lt;&gt;0,$H393&gt;0,OR(AUTOEVENTO&lt;&gt;"manual",$M393&lt;&gt;1)),ROUND(OFFSET($P393,0,AM$13),15-13*ORÇAMENTO!$AF$7)/$H393*OFFSET(ORÇAMENTO!$X$15,ROW(AM393)-ROW(AM$15),0),0)</f>
        <v>0</v>
      </c>
      <c r="AN393" s="632">
        <f ca="1">IF(AND($D393="Serviço",AN$12&lt;&gt;0,$H393&gt;0,OR(AUTOEVENTO&lt;&gt;"manual",$M393&lt;&gt;1)),ROUND(OFFSET($P393,0,AN$13),15-13*ORÇAMENTO!$AF$7)/$H393*OFFSET(ORÇAMENTO!$X$15,ROW(AN393)-ROW(AN$15),0),0)</f>
        <v>0</v>
      </c>
      <c r="AO393" s="632">
        <f ca="1">IF(AND($D393="Serviço",AO$12&lt;&gt;0,$H393&gt;0,OR(AUTOEVENTO&lt;&gt;"manual",$M393&lt;&gt;1)),ROUND(OFFSET($P393,0,AO$13),15-13*ORÇAMENTO!$AF$7)/$H393*OFFSET(ORÇAMENTO!$X$15,ROW(AO393)-ROW(AO$15),0),0)</f>
        <v>0</v>
      </c>
      <c r="AP393" s="632">
        <f ca="1">IF(AND($D393="Serviço",AP$12&lt;&gt;0,$H393&gt;0,OR(AUTOEVENTO&lt;&gt;"manual",$M393&lt;&gt;1)),ROUND(OFFSET($P393,0,AP$13),15-13*ORÇAMENTO!$AF$7)/$H393*OFFSET(ORÇAMENTO!$X$15,ROW(AP393)-ROW(AP$15),0),0)</f>
        <v>0</v>
      </c>
      <c r="AQ393" s="632">
        <f ca="1">IF(AND($D393="Serviço",AQ$12&lt;&gt;0,$H393&gt;0,OR(AUTOEVENTO&lt;&gt;"manual",$M393&lt;&gt;1)),ROUND(OFFSET($P393,0,AQ$13),15-13*ORÇAMENTO!$AF$7)/$H393*OFFSET(ORÇAMENTO!$X$15,ROW(AQ393)-ROW(AQ$15),0),0)</f>
        <v>0</v>
      </c>
      <c r="AR393" s="632">
        <f ca="1">IF(AND($D393="Serviço",AR$12&lt;&gt;0,$H393&gt;0,OR(AUTOEVENTO&lt;&gt;"manual",$M393&lt;&gt;1)),ROUND(OFFSET($P393,0,AR$13),15-13*ORÇAMENTO!$AF$7)/$H393*OFFSET(ORÇAMENTO!$X$15,ROW(AR393)-ROW(AR$15),0),0)</f>
        <v>0</v>
      </c>
      <c r="AS393" s="633">
        <f ca="1">IF(AND($D393="Serviço",AS$12&lt;&gt;0,$H393&gt;0,OR(AUTOEVENTO&lt;&gt;"manual",$M393&lt;&gt;1)),ROUND(OFFSET($P393,0,AS$13),15-13*ORÇAMENTO!$AF$7)/$H393*OFFSET(ORÇAMENTO!$X$15,ROW(AS393)-ROW(AS$15),0),0)</f>
        <v>0</v>
      </c>
      <c r="AT393" s="632">
        <f ca="1">IF(AND($D393="Serviço",AT$12&lt;&gt;0,$H393&gt;0,OR(AUTOEVENTO&lt;&gt;"manual",$M393&lt;&gt;1)),ROUND(OFFSET($P393,0,AT$13),15-13*ORÇAMENTO!$AF$7)/$H393*OFFSET(ORÇAMENTO!$X$15,ROW(AT393)-ROW(AT$15),0),0)</f>
        <v>0</v>
      </c>
      <c r="AU393" s="632">
        <f ca="1">IF(AND($D393="Serviço",AU$12&lt;&gt;0,$H393&gt;0,OR(AUTOEVENTO&lt;&gt;"manual",$M393&lt;&gt;1)),ROUND(OFFSET($P393,0,AU$13),15-13*ORÇAMENTO!$AF$7)/$H393*OFFSET(ORÇAMENTO!$X$15,ROW(AU393)-ROW(AU$15),0),0)</f>
        <v>0</v>
      </c>
      <c r="AV393" s="632">
        <f ca="1">IF(AND($D393="Serviço",AV$12&lt;&gt;0,$H393&gt;0,OR(AUTOEVENTO&lt;&gt;"manual",$M393&lt;&gt;1)),ROUND(OFFSET($P393,0,AV$13),15-13*ORÇAMENTO!$AF$7)/$H393*OFFSET(ORÇAMENTO!$X$15,ROW(AV393)-ROW(AV$15),0),0)</f>
        <v>0</v>
      </c>
      <c r="AW393" s="632">
        <f ca="1">IF(AND($D393="Serviço",AW$12&lt;&gt;0,$H393&gt;0,OR(AUTOEVENTO&lt;&gt;"manual",$M393&lt;&gt;1)),ROUND(OFFSET($P393,0,AW$13),15-13*ORÇAMENTO!$AF$7)/$H393*OFFSET(ORÇAMENTO!$X$15,ROW(AW393)-ROW(AW$15),0),0)</f>
        <v>0</v>
      </c>
      <c r="AX393" s="632">
        <f ca="1">IF(AND($D393="Serviço",AX$12&lt;&gt;0,$H393&gt;0,OR(AUTOEVENTO&lt;&gt;"manual",$M393&lt;&gt;1)),ROUND(OFFSET($P393,0,AX$13),15-13*ORÇAMENTO!$AF$7)/$H393*OFFSET(ORÇAMENTO!$X$15,ROW(AX393)-ROW(AX$15),0),0)</f>
        <v>0</v>
      </c>
      <c r="AY393" s="632">
        <f ca="1">IF(AND($D393="Serviço",AY$12&lt;&gt;0,$H393&gt;0,OR(AUTOEVENTO&lt;&gt;"manual",$M393&lt;&gt;1)),ROUND(OFFSET($P393,0,AY$13),15-13*ORÇAMENTO!$AF$7)/$H393*OFFSET(ORÇAMENTO!$X$15,ROW(AY393)-ROW(AY$15),0),0)</f>
        <v>0</v>
      </c>
      <c r="AZ393" s="632">
        <f ca="1">IF(AND($D393="Serviço",AZ$12&lt;&gt;0,$H393&gt;0,OR(AUTOEVENTO&lt;&gt;"manual",$M393&lt;&gt;1)),ROUND(OFFSET($P393,0,AZ$13),15-13*ORÇAMENTO!$AF$7)/$H393*OFFSET(ORÇAMENTO!$X$15,ROW(AZ393)-ROW(AZ$15),0),0)</f>
        <v>0</v>
      </c>
      <c r="BA393" s="633">
        <f ca="1">IF(AND($D393="Serviço",BA$12&lt;&gt;0,$H393&gt;0,OR(AUTOEVENTO&lt;&gt;"manual",$M393&lt;&gt;1)),ROUND(OFFSET($P393,0,BA$13),15-13*ORÇAMENTO!$AF$7)/$H393*OFFSET(ORÇAMENTO!$X$15,ROW(BA393)-ROW(BA$15),0),0)</f>
        <v>0</v>
      </c>
      <c r="BC393" s="215">
        <f ca="1">IF($D393&lt;&gt;"Serviço",0,IF(AND(AUTOEVENTO="Manual",$M393=1),0,IF(OFFSET(CRONOPLE!$F$14,$M393,BC$13)="",10^12,OFFSET(CRONOPLE!$F$14,$M393,BC$13))))</f>
        <v>1000000000000</v>
      </c>
      <c r="BD393" s="215">
        <f ca="1">IF($D393&lt;&gt;"Serviço",0,IF(AND(AUTOEVENTO="Manual",$M393=1),0,IF(OFFSET(CRONOPLE!$F$14,$M393,BD$13)="",10^12,OFFSET(CRONOPLE!$F$14,$M393,BD$13))))</f>
        <v>1000000000000</v>
      </c>
      <c r="BE393" s="215">
        <f ca="1">IF($D393&lt;&gt;"Serviço",0,IF(AND(AUTOEVENTO="Manual",$M393=1),0,IF(OFFSET(CRONOPLE!$F$14,$M393,BE$13)="",10^12,OFFSET(CRONOPLE!$F$14,$M393,BE$13))))</f>
        <v>1000000000000</v>
      </c>
      <c r="BF393" s="215">
        <f ca="1">IF($D393&lt;&gt;"Serviço",0,IF(AND(AUTOEVENTO="Manual",$M393=1),0,IF(OFFSET(CRONOPLE!$F$14,$M393,BF$13)="",10^12,OFFSET(CRONOPLE!$F$14,$M393,BF$13))))</f>
        <v>1000000000000</v>
      </c>
      <c r="BG393" s="215">
        <f ca="1">IF($D393&lt;&gt;"Serviço",0,IF(AND(AUTOEVENTO="Manual",$M393=1),0,IF(OFFSET(CRONOPLE!$F$14,$M393,BG$13)="",10^12,OFFSET(CRONOPLE!$F$14,$M393,BG$13))))</f>
        <v>1000000000000</v>
      </c>
      <c r="BH393" s="215">
        <f ca="1">IF($D393&lt;&gt;"Serviço",0,IF(AND(AUTOEVENTO="Manual",$M393=1),0,IF(OFFSET(CRONOPLE!$F$14,$M393,BH$13)="",10^12,OFFSET(CRONOPLE!$F$14,$M393,BH$13))))</f>
        <v>1000000000000</v>
      </c>
      <c r="BI393" s="215">
        <f ca="1">IF($D393&lt;&gt;"Serviço",0,IF(AND(AUTOEVENTO="Manual",$M393=1),0,IF(OFFSET(CRONOPLE!$F$14,$M393,BI$13)="",10^12,OFFSET(CRONOPLE!$F$14,$M393,BI$13))))</f>
        <v>1000000000000</v>
      </c>
      <c r="BJ393" s="215">
        <f ca="1">IF($D393&lt;&gt;"Serviço",0,IF(AND(AUTOEVENTO="Manual",$M393=1),0,IF(OFFSET(CRONOPLE!$F$14,$M393,BJ$13)="",10^12,OFFSET(CRONOPLE!$F$14,$M393,BJ$13))))</f>
        <v>1000000000000</v>
      </c>
      <c r="BK393" s="215">
        <f ca="1">IF($D393&lt;&gt;"Serviço",0,IF(AND(AUTOEVENTO="Manual",$M393=1),0,IF(OFFSET(CRONOPLE!$F$14,$M393,BK$13)="",10^12,OFFSET(CRONOPLE!$F$14,$M393,BK$13))))</f>
        <v>1000000000000</v>
      </c>
      <c r="BL393" s="215">
        <f ca="1">IF($D393&lt;&gt;"Serviço",0,IF(AND(AUTOEVENTO="Manual",$M393=1),0,IF(OFFSET(CRONOPLE!$F$14,$M393,BL$13)="",10^12,OFFSET(CRONOPLE!$F$14,$M393,BL$13))))</f>
        <v>1000000000000</v>
      </c>
      <c r="BM393" s="215">
        <f ca="1">IF($D393&lt;&gt;"Serviço",0,IF(AND(AUTOEVENTO="Manual",$M393=1),0,IF(OFFSET(CRONOPLE!$F$14,$M393,BM$13)="",10^12,OFFSET(CRONOPLE!$F$14,$M393,BM$13))))</f>
        <v>1000000000000</v>
      </c>
      <c r="BN393" s="215">
        <f ca="1">IF($D393&lt;&gt;"Serviço",0,IF(AND(AUTOEVENTO="Manual",$M393=1),0,IF(OFFSET(CRONOPLE!$F$14,$M393,BN$13)="",10^12,OFFSET(CRONOPLE!$F$14,$M393,BN$13))))</f>
        <v>1000000000000</v>
      </c>
      <c r="BO393" s="215">
        <f ca="1">IF($D393&lt;&gt;"Serviço",0,IF(AND(AUTOEVENTO="Manual",$M393=1),0,IF(OFFSET(CRONOPLE!$F$14,$M393,BO$13)="",10^12,OFFSET(CRONOPLE!$F$14,$M393,BO$13))))</f>
        <v>1000000000000</v>
      </c>
      <c r="BP393" s="215">
        <f ca="1">IF($D393&lt;&gt;"Serviço",0,IF(AND(AUTOEVENTO="Manual",$M393=1),0,IF(OFFSET(CRONOPLE!$F$14,$M393,BP$13)="",10^12,OFFSET(CRONOPLE!$F$14,$M393,BP$13))))</f>
        <v>1000000000000</v>
      </c>
      <c r="BQ393" s="215">
        <f ca="1">IF($D393&lt;&gt;"Serviço",0,IF(AND(AUTOEVENTO="Manual",$M393=1),0,IF(OFFSET(CRONOPLE!$F$14,$M393,BQ$13)="",10^12,OFFSET(CRONOPLE!$F$14,$M393,BQ$13))))</f>
        <v>1000000000000</v>
      </c>
      <c r="BR393" s="215">
        <f ca="1">IF($D393&lt;&gt;"Serviço",0,IF(AND(AUTOEVENTO="Manual",$M393=1),0,IF(OFFSET(CRONOPLE!$F$14,$M393,BR$13)="",10^12,OFFSET(CRONOPLE!$F$14,$M393,BR$13))))</f>
        <v>1000000000000</v>
      </c>
      <c r="BS393" s="215">
        <f ca="1">IF($D393&lt;&gt;"Serviço",0,IF(AND(AUTOEVENTO="Manual",$M393=1),0,IF(OFFSET(CRONOPLE!$F$14,$M393,BS$13)="",10^12,OFFSET(CRONOPLE!$F$14,$M393,BS$13))))</f>
        <v>1000000000000</v>
      </c>
      <c r="BT393" s="215">
        <f ca="1">IF($D393&lt;&gt;"Serviço",0,IF(AND(AUTOEVENTO="Manual",$M393=1),0,IF(OFFSET(CRONOPLE!$F$14,$M393,BT$13)="",10^12,OFFSET(CRONOPLE!$F$14,$M393,BT$13))))</f>
        <v>1000000000000</v>
      </c>
      <c r="BV393" s="216">
        <f ca="1">IF($D393&lt;&gt;"Serviço",0,IF(OR(AND(AUTOEVENTO="Manual",$M393=1),$M393&gt;(ROW(PLE.lastrow)-ROW(PLE.firstrow))),0,IF(OFFSET(PLE!$G$14,$M393,BV$13)="",10^12,OFFSET(PLE!$G$14,$M393,BV$13))))</f>
        <v>1000000000000</v>
      </c>
      <c r="BW393" s="216">
        <f ca="1">IF($D393&lt;&gt;"Serviço",0,IF(OR(AND(AUTOEVENTO="Manual",$M393=1),$M393&gt;(ROW(PLE.lastrow)-ROW(PLE.firstrow))),0,IF(OFFSET(PLE!$G$14,$M393,BW$13)="",10^12,OFFSET(PLE!$G$14,$M393,BW$13))))</f>
        <v>1000000000000</v>
      </c>
      <c r="BX393" s="216">
        <f ca="1">IF($D393&lt;&gt;"Serviço",0,IF(OR(AND(AUTOEVENTO="Manual",$M393=1),$M393&gt;(ROW(PLE.lastrow)-ROW(PLE.firstrow))),0,IF(OFFSET(PLE!$G$14,$M393,BX$13)="",10^12,OFFSET(PLE!$G$14,$M393,BX$13))))</f>
        <v>1000000000000</v>
      </c>
      <c r="BY393" s="216">
        <f ca="1">IF($D393&lt;&gt;"Serviço",0,IF(OR(AND(AUTOEVENTO="Manual",$M393=1),$M393&gt;(ROW(PLE.lastrow)-ROW(PLE.firstrow))),0,IF(OFFSET(PLE!$G$14,$M393,BY$13)="",10^12,OFFSET(PLE!$G$14,$M393,BY$13))))</f>
        <v>1000000000000</v>
      </c>
      <c r="BZ393" s="216">
        <f ca="1">IF($D393&lt;&gt;"Serviço",0,IF(OR(AND(AUTOEVENTO="Manual",$M393=1),$M393&gt;(ROW(PLE.lastrow)-ROW(PLE.firstrow))),0,IF(OFFSET(PLE!$G$14,$M393,BZ$13)="",10^12,OFFSET(PLE!$G$14,$M393,BZ$13))))</f>
        <v>1000000000000</v>
      </c>
      <c r="CA393" s="216">
        <f ca="1">IF($D393&lt;&gt;"Serviço",0,IF(OR(AND(AUTOEVENTO="Manual",$M393=1),$M393&gt;(ROW(PLE.lastrow)-ROW(PLE.firstrow))),0,IF(OFFSET(PLE!$G$14,$M393,CA$13)="",10^12,OFFSET(PLE!$G$14,$M393,CA$13))))</f>
        <v>1000000000000</v>
      </c>
      <c r="CB393" s="216">
        <f ca="1">IF($D393&lt;&gt;"Serviço",0,IF(OR(AND(AUTOEVENTO="Manual",$M393=1),$M393&gt;(ROW(PLE.lastrow)-ROW(PLE.firstrow))),0,IF(OFFSET(PLE!$G$14,$M393,CB$13)="",10^12,OFFSET(PLE!$G$14,$M393,CB$13))))</f>
        <v>1000000000000</v>
      </c>
      <c r="CC393" s="216">
        <f ca="1">IF($D393&lt;&gt;"Serviço",0,IF(OR(AND(AUTOEVENTO="Manual",$M393=1),$M393&gt;(ROW(PLE.lastrow)-ROW(PLE.firstrow))),0,IF(OFFSET(PLE!$G$14,$M393,CC$13)="",10^12,OFFSET(PLE!$G$14,$M393,CC$13))))</f>
        <v>1000000000000</v>
      </c>
      <c r="CD393" s="216">
        <f ca="1">IF($D393&lt;&gt;"Serviço",0,IF(OR(AND(AUTOEVENTO="Manual",$M393=1),$M393&gt;(ROW(PLE.lastrow)-ROW(PLE.firstrow))),0,IF(OFFSET(PLE!$G$14,$M393,CD$13)="",10^12,OFFSET(PLE!$G$14,$M393,CD$13))))</f>
        <v>1000000000000</v>
      </c>
      <c r="CE393" s="216">
        <f ca="1">IF($D393&lt;&gt;"Serviço",0,IF(OR(AND(AUTOEVENTO="Manual",$M393=1),$M393&gt;(ROW(PLE.lastrow)-ROW(PLE.firstrow))),0,IF(OFFSET(PLE!$G$14,$M393,CE$13)="",10^12,OFFSET(PLE!$G$14,$M393,CE$13))))</f>
        <v>1000000000000</v>
      </c>
      <c r="CF393" s="216">
        <f ca="1">IF($D393&lt;&gt;"Serviço",0,IF(OR(AND(AUTOEVENTO="Manual",$M393=1),$M393&gt;(ROW(PLE.lastrow)-ROW(PLE.firstrow))),0,IF(OFFSET(PLE!$G$14,$M393,CF$13)="",10^12,OFFSET(PLE!$G$14,$M393,CF$13))))</f>
        <v>1000000000000</v>
      </c>
      <c r="CG393" s="216">
        <f ca="1">IF($D393&lt;&gt;"Serviço",0,IF(OR(AND(AUTOEVENTO="Manual",$M393=1),$M393&gt;(ROW(PLE.lastrow)-ROW(PLE.firstrow))),0,IF(OFFSET(PLE!$G$14,$M393,CG$13)="",10^12,OFFSET(PLE!$G$14,$M393,CG$13))))</f>
        <v>1000000000000</v>
      </c>
      <c r="CH393" s="216">
        <f ca="1">IF($D393&lt;&gt;"Serviço",0,IF(OR(AND(AUTOEVENTO="Manual",$M393=1),$M393&gt;(ROW(PLE.lastrow)-ROW(PLE.firstrow))),0,IF(OFFSET(PLE!$G$14,$M393,CH$13)="",10^12,OFFSET(PLE!$G$14,$M393,CH$13))))</f>
        <v>1000000000000</v>
      </c>
      <c r="CI393" s="216">
        <f ca="1">IF($D393&lt;&gt;"Serviço",0,IF(OR(AND(AUTOEVENTO="Manual",$M393=1),$M393&gt;(ROW(PLE.lastrow)-ROW(PLE.firstrow))),0,IF(OFFSET(PLE!$G$14,$M393,CI$13)="",10^12,OFFSET(PLE!$G$14,$M393,CI$13))))</f>
        <v>1000000000000</v>
      </c>
      <c r="CJ393" s="216">
        <f ca="1">IF($D393&lt;&gt;"Serviço",0,IF(OR(AND(AUTOEVENTO="Manual",$M393=1),$M393&gt;(ROW(PLE.lastrow)-ROW(PLE.firstrow))),0,IF(OFFSET(PLE!$G$14,$M393,CJ$13)="",10^12,OFFSET(PLE!$G$14,$M393,CJ$13))))</f>
        <v>1000000000000</v>
      </c>
      <c r="CK393" s="216">
        <f ca="1">IF($D393&lt;&gt;"Serviço",0,IF(OR(AND(AUTOEVENTO="Manual",$M393=1),$M393&gt;(ROW(PLE.lastrow)-ROW(PLE.firstrow))),0,IF(OFFSET(PLE!$G$14,$M393,CK$13)="",10^12,OFFSET(PLE!$G$14,$M393,CK$13))))</f>
        <v>1000000000000</v>
      </c>
      <c r="CL393" s="216">
        <f ca="1">IF($D393&lt;&gt;"Serviço",0,IF(OR(AND(AUTOEVENTO="Manual",$M393=1),$M393&gt;(ROW(PLE.lastrow)-ROW(PLE.firstrow))),0,IF(OFFSET(PLE!$G$14,$M393,CL$13)="",10^12,OFFSET(PLE!$G$14,$M393,CL$13))))</f>
        <v>1000000000000</v>
      </c>
      <c r="CM393" s="216">
        <f ca="1">IF($D393&lt;&gt;"Serviço",0,IF(OR(AND(AUTOEVENTO="Manual",$M393=1),$M393&gt;(ROW(PLE.lastrow)-ROW(PLE.firstrow))),0,IF(OFFSET(PLE!$G$14,$M393,CM$13)="",10^12,OFFSET(PLE!$G$14,$M393,CM$13))))</f>
        <v>1000000000000</v>
      </c>
    </row>
    <row r="394" spans="1:91" ht="13.2" x14ac:dyDescent="0.25">
      <c r="A394" s="9">
        <f t="shared" ca="1" si="14"/>
        <v>0</v>
      </c>
      <c r="B394" s="9" t="str">
        <f ca="1">OFFSET(ORÇAMENTO!C$15,ROW(B394)-ROW(B$15),0)</f>
        <v>S</v>
      </c>
      <c r="C394" s="9" t="str">
        <f ca="1">OFFSET(ORÇAMENTO!L$15,ROW(C394)-ROW(C$15),0)</f>
        <v/>
      </c>
      <c r="D394" s="145" t="str">
        <f ca="1">OFFSET(ORÇAMENTO!N$15,ROW(D394)-ROW(D$15),0)</f>
        <v>Serviço</v>
      </c>
      <c r="E394" s="205" t="str">
        <f ca="1">OFFSET(ORÇAMENTO!O$15,ROW(E394)-ROW(E$15),0)</f>
        <v>-</v>
      </c>
      <c r="F394" s="206" t="str">
        <f ca="1">OFFSET(ORÇAMENTO!R$15,ROW(F394)-ROW(F$15),0)</f>
        <v>(abra o arquivo 'Referência 05-2024.xls)</v>
      </c>
      <c r="G394" s="207" t="str">
        <f ca="1">IF($D394&lt;&gt;"Serviço","",OFFSET(ORÇAMENTO!S$15,ROW(G394)-ROW(G$15),0))</f>
        <v>-</v>
      </c>
      <c r="H394" s="151">
        <f ca="1">IF($D394&lt;&gt;"Serviço",0,IF(ACOMPANHAMENTO="BM",ROUND(OFFSET(ORÇAMENTO!AJ$15,ROW(H394)-ROW(H$15),0),15-13*ORÇAMENTO!$AF$7),SUMPRODUCT(($Q$12:$AI$12&lt;&gt;"")*ROUND($Q394:$AI394,15-13*ORÇAMENTO!$AF$7))))</f>
        <v>31.38</v>
      </c>
      <c r="I394" s="650"/>
      <c r="K394" s="208"/>
      <c r="L394" s="209" t="s">
        <v>257</v>
      </c>
      <c r="M394" s="210">
        <f ca="1">IF($D394&lt;&gt;"Serviço","",IF(AUTOEVENTO="manual",$A394,IF(ISERROR(MATCH($A394,$A$15:OFFSET($A394,-1,0),0)),MAX($M$15:OFFSET(M394,-1,0))+1,INDEX($M$15:OFFSET(M394,-1,0),MATCH($A394,$A$15:OFFSET($A394,-1,0),0)))))</f>
        <v>0</v>
      </c>
      <c r="N394" s="211" t="str">
        <f ca="1">IF($D394&lt;&gt;"Serviço","",IF(AUTOEVENTO="Manual",IF($A394=0,"&lt;-- defina o número do agrupador",OFFSET(EVENTOS!$D$14,$A394,0)),OFFSET($F$15,$A394,0)))</f>
        <v>&lt;-- defina o número do agrupador</v>
      </c>
      <c r="O394" s="212"/>
      <c r="Q394" s="212"/>
      <c r="R394" s="213"/>
      <c r="S394" s="213"/>
      <c r="T394" s="213"/>
      <c r="U394" s="213"/>
      <c r="V394" s="213"/>
      <c r="W394" s="213"/>
      <c r="X394" s="213"/>
      <c r="Y394" s="213"/>
      <c r="Z394" s="214"/>
      <c r="AA394" s="213"/>
      <c r="AB394" s="213"/>
      <c r="AC394" s="213"/>
      <c r="AD394" s="213"/>
      <c r="AE394" s="213"/>
      <c r="AF394" s="213"/>
      <c r="AG394" s="213"/>
      <c r="AH394" s="214"/>
      <c r="AJ394" s="631">
        <f ca="1">IF(AND($D394="Serviço",AJ$12&lt;&gt;0,$H394&gt;0,OR(AUTOEVENTO&lt;&gt;"manual",$M394&lt;&gt;1)),ROUND(OFFSET($P394,0,AJ$13),15-13*ORÇAMENTO!$AF$7)/$H394*OFFSET(ORÇAMENTO!$X$15,ROW(AJ394)-ROW(AJ$15),0),0)</f>
        <v>0</v>
      </c>
      <c r="AK394" s="632">
        <f ca="1">IF(AND($D394="Serviço",AK$12&lt;&gt;0,$H394&gt;0,OR(AUTOEVENTO&lt;&gt;"manual",$M394&lt;&gt;1)),ROUND(OFFSET($P394,0,AK$13),15-13*ORÇAMENTO!$AF$7)/$H394*OFFSET(ORÇAMENTO!$X$15,ROW(AK394)-ROW(AK$15),0),0)</f>
        <v>0</v>
      </c>
      <c r="AL394" s="632">
        <f ca="1">IF(AND($D394="Serviço",AL$12&lt;&gt;0,$H394&gt;0,OR(AUTOEVENTO&lt;&gt;"manual",$M394&lt;&gt;1)),ROUND(OFFSET($P394,0,AL$13),15-13*ORÇAMENTO!$AF$7)/$H394*OFFSET(ORÇAMENTO!$X$15,ROW(AL394)-ROW(AL$15),0),0)</f>
        <v>0</v>
      </c>
      <c r="AM394" s="632">
        <f ca="1">IF(AND($D394="Serviço",AM$12&lt;&gt;0,$H394&gt;0,OR(AUTOEVENTO&lt;&gt;"manual",$M394&lt;&gt;1)),ROUND(OFFSET($P394,0,AM$13),15-13*ORÇAMENTO!$AF$7)/$H394*OFFSET(ORÇAMENTO!$X$15,ROW(AM394)-ROW(AM$15),0),0)</f>
        <v>0</v>
      </c>
      <c r="AN394" s="632">
        <f ca="1">IF(AND($D394="Serviço",AN$12&lt;&gt;0,$H394&gt;0,OR(AUTOEVENTO&lt;&gt;"manual",$M394&lt;&gt;1)),ROUND(OFFSET($P394,0,AN$13),15-13*ORÇAMENTO!$AF$7)/$H394*OFFSET(ORÇAMENTO!$X$15,ROW(AN394)-ROW(AN$15),0),0)</f>
        <v>0</v>
      </c>
      <c r="AO394" s="632">
        <f ca="1">IF(AND($D394="Serviço",AO$12&lt;&gt;0,$H394&gt;0,OR(AUTOEVENTO&lt;&gt;"manual",$M394&lt;&gt;1)),ROUND(OFFSET($P394,0,AO$13),15-13*ORÇAMENTO!$AF$7)/$H394*OFFSET(ORÇAMENTO!$X$15,ROW(AO394)-ROW(AO$15),0),0)</f>
        <v>0</v>
      </c>
      <c r="AP394" s="632">
        <f ca="1">IF(AND($D394="Serviço",AP$12&lt;&gt;0,$H394&gt;0,OR(AUTOEVENTO&lt;&gt;"manual",$M394&lt;&gt;1)),ROUND(OFFSET($P394,0,AP$13),15-13*ORÇAMENTO!$AF$7)/$H394*OFFSET(ORÇAMENTO!$X$15,ROW(AP394)-ROW(AP$15),0),0)</f>
        <v>0</v>
      </c>
      <c r="AQ394" s="632">
        <f ca="1">IF(AND($D394="Serviço",AQ$12&lt;&gt;0,$H394&gt;0,OR(AUTOEVENTO&lt;&gt;"manual",$M394&lt;&gt;1)),ROUND(OFFSET($P394,0,AQ$13),15-13*ORÇAMENTO!$AF$7)/$H394*OFFSET(ORÇAMENTO!$X$15,ROW(AQ394)-ROW(AQ$15),0),0)</f>
        <v>0</v>
      </c>
      <c r="AR394" s="632">
        <f ca="1">IF(AND($D394="Serviço",AR$12&lt;&gt;0,$H394&gt;0,OR(AUTOEVENTO&lt;&gt;"manual",$M394&lt;&gt;1)),ROUND(OFFSET($P394,0,AR$13),15-13*ORÇAMENTO!$AF$7)/$H394*OFFSET(ORÇAMENTO!$X$15,ROW(AR394)-ROW(AR$15),0),0)</f>
        <v>0</v>
      </c>
      <c r="AS394" s="633">
        <f ca="1">IF(AND($D394="Serviço",AS$12&lt;&gt;0,$H394&gt;0,OR(AUTOEVENTO&lt;&gt;"manual",$M394&lt;&gt;1)),ROUND(OFFSET($P394,0,AS$13),15-13*ORÇAMENTO!$AF$7)/$H394*OFFSET(ORÇAMENTO!$X$15,ROW(AS394)-ROW(AS$15),0),0)</f>
        <v>0</v>
      </c>
      <c r="AT394" s="632">
        <f ca="1">IF(AND($D394="Serviço",AT$12&lt;&gt;0,$H394&gt;0,OR(AUTOEVENTO&lt;&gt;"manual",$M394&lt;&gt;1)),ROUND(OFFSET($P394,0,AT$13),15-13*ORÇAMENTO!$AF$7)/$H394*OFFSET(ORÇAMENTO!$X$15,ROW(AT394)-ROW(AT$15),0),0)</f>
        <v>0</v>
      </c>
      <c r="AU394" s="632">
        <f ca="1">IF(AND($D394="Serviço",AU$12&lt;&gt;0,$H394&gt;0,OR(AUTOEVENTO&lt;&gt;"manual",$M394&lt;&gt;1)),ROUND(OFFSET($P394,0,AU$13),15-13*ORÇAMENTO!$AF$7)/$H394*OFFSET(ORÇAMENTO!$X$15,ROW(AU394)-ROW(AU$15),0),0)</f>
        <v>0</v>
      </c>
      <c r="AV394" s="632">
        <f ca="1">IF(AND($D394="Serviço",AV$12&lt;&gt;0,$H394&gt;0,OR(AUTOEVENTO&lt;&gt;"manual",$M394&lt;&gt;1)),ROUND(OFFSET($P394,0,AV$13),15-13*ORÇAMENTO!$AF$7)/$H394*OFFSET(ORÇAMENTO!$X$15,ROW(AV394)-ROW(AV$15),0),0)</f>
        <v>0</v>
      </c>
      <c r="AW394" s="632">
        <f ca="1">IF(AND($D394="Serviço",AW$12&lt;&gt;0,$H394&gt;0,OR(AUTOEVENTO&lt;&gt;"manual",$M394&lt;&gt;1)),ROUND(OFFSET($P394,0,AW$13),15-13*ORÇAMENTO!$AF$7)/$H394*OFFSET(ORÇAMENTO!$X$15,ROW(AW394)-ROW(AW$15),0),0)</f>
        <v>0</v>
      </c>
      <c r="AX394" s="632">
        <f ca="1">IF(AND($D394="Serviço",AX$12&lt;&gt;0,$H394&gt;0,OR(AUTOEVENTO&lt;&gt;"manual",$M394&lt;&gt;1)),ROUND(OFFSET($P394,0,AX$13),15-13*ORÇAMENTO!$AF$7)/$H394*OFFSET(ORÇAMENTO!$X$15,ROW(AX394)-ROW(AX$15),0),0)</f>
        <v>0</v>
      </c>
      <c r="AY394" s="632">
        <f ca="1">IF(AND($D394="Serviço",AY$12&lt;&gt;0,$H394&gt;0,OR(AUTOEVENTO&lt;&gt;"manual",$M394&lt;&gt;1)),ROUND(OFFSET($P394,0,AY$13),15-13*ORÇAMENTO!$AF$7)/$H394*OFFSET(ORÇAMENTO!$X$15,ROW(AY394)-ROW(AY$15),0),0)</f>
        <v>0</v>
      </c>
      <c r="AZ394" s="632">
        <f ca="1">IF(AND($D394="Serviço",AZ$12&lt;&gt;0,$H394&gt;0,OR(AUTOEVENTO&lt;&gt;"manual",$M394&lt;&gt;1)),ROUND(OFFSET($P394,0,AZ$13),15-13*ORÇAMENTO!$AF$7)/$H394*OFFSET(ORÇAMENTO!$X$15,ROW(AZ394)-ROW(AZ$15),0),0)</f>
        <v>0</v>
      </c>
      <c r="BA394" s="633">
        <f ca="1">IF(AND($D394="Serviço",BA$12&lt;&gt;0,$H394&gt;0,OR(AUTOEVENTO&lt;&gt;"manual",$M394&lt;&gt;1)),ROUND(OFFSET($P394,0,BA$13),15-13*ORÇAMENTO!$AF$7)/$H394*OFFSET(ORÇAMENTO!$X$15,ROW(BA394)-ROW(BA$15),0),0)</f>
        <v>0</v>
      </c>
      <c r="BC394" s="215">
        <f ca="1">IF($D394&lt;&gt;"Serviço",0,IF(AND(AUTOEVENTO="Manual",$M394=1),0,IF(OFFSET(CRONOPLE!$F$14,$M394,BC$13)="",10^12,OFFSET(CRONOPLE!$F$14,$M394,BC$13))))</f>
        <v>1000000000000</v>
      </c>
      <c r="BD394" s="215">
        <f ca="1">IF($D394&lt;&gt;"Serviço",0,IF(AND(AUTOEVENTO="Manual",$M394=1),0,IF(OFFSET(CRONOPLE!$F$14,$M394,BD$13)="",10^12,OFFSET(CRONOPLE!$F$14,$M394,BD$13))))</f>
        <v>1000000000000</v>
      </c>
      <c r="BE394" s="215">
        <f ca="1">IF($D394&lt;&gt;"Serviço",0,IF(AND(AUTOEVENTO="Manual",$M394=1),0,IF(OFFSET(CRONOPLE!$F$14,$M394,BE$13)="",10^12,OFFSET(CRONOPLE!$F$14,$M394,BE$13))))</f>
        <v>1000000000000</v>
      </c>
      <c r="BF394" s="215">
        <f ca="1">IF($D394&lt;&gt;"Serviço",0,IF(AND(AUTOEVENTO="Manual",$M394=1),0,IF(OFFSET(CRONOPLE!$F$14,$M394,BF$13)="",10^12,OFFSET(CRONOPLE!$F$14,$M394,BF$13))))</f>
        <v>1000000000000</v>
      </c>
      <c r="BG394" s="215">
        <f ca="1">IF($D394&lt;&gt;"Serviço",0,IF(AND(AUTOEVENTO="Manual",$M394=1),0,IF(OFFSET(CRONOPLE!$F$14,$M394,BG$13)="",10^12,OFFSET(CRONOPLE!$F$14,$M394,BG$13))))</f>
        <v>1000000000000</v>
      </c>
      <c r="BH394" s="215">
        <f ca="1">IF($D394&lt;&gt;"Serviço",0,IF(AND(AUTOEVENTO="Manual",$M394=1),0,IF(OFFSET(CRONOPLE!$F$14,$M394,BH$13)="",10^12,OFFSET(CRONOPLE!$F$14,$M394,BH$13))))</f>
        <v>1000000000000</v>
      </c>
      <c r="BI394" s="215">
        <f ca="1">IF($D394&lt;&gt;"Serviço",0,IF(AND(AUTOEVENTO="Manual",$M394=1),0,IF(OFFSET(CRONOPLE!$F$14,$M394,BI$13)="",10^12,OFFSET(CRONOPLE!$F$14,$M394,BI$13))))</f>
        <v>1000000000000</v>
      </c>
      <c r="BJ394" s="215">
        <f ca="1">IF($D394&lt;&gt;"Serviço",0,IF(AND(AUTOEVENTO="Manual",$M394=1),0,IF(OFFSET(CRONOPLE!$F$14,$M394,BJ$13)="",10^12,OFFSET(CRONOPLE!$F$14,$M394,BJ$13))))</f>
        <v>1000000000000</v>
      </c>
      <c r="BK394" s="215">
        <f ca="1">IF($D394&lt;&gt;"Serviço",0,IF(AND(AUTOEVENTO="Manual",$M394=1),0,IF(OFFSET(CRONOPLE!$F$14,$M394,BK$13)="",10^12,OFFSET(CRONOPLE!$F$14,$M394,BK$13))))</f>
        <v>1000000000000</v>
      </c>
      <c r="BL394" s="215">
        <f ca="1">IF($D394&lt;&gt;"Serviço",0,IF(AND(AUTOEVENTO="Manual",$M394=1),0,IF(OFFSET(CRONOPLE!$F$14,$M394,BL$13)="",10^12,OFFSET(CRONOPLE!$F$14,$M394,BL$13))))</f>
        <v>1000000000000</v>
      </c>
      <c r="BM394" s="215">
        <f ca="1">IF($D394&lt;&gt;"Serviço",0,IF(AND(AUTOEVENTO="Manual",$M394=1),0,IF(OFFSET(CRONOPLE!$F$14,$M394,BM$13)="",10^12,OFFSET(CRONOPLE!$F$14,$M394,BM$13))))</f>
        <v>1000000000000</v>
      </c>
      <c r="BN394" s="215">
        <f ca="1">IF($D394&lt;&gt;"Serviço",0,IF(AND(AUTOEVENTO="Manual",$M394=1),0,IF(OFFSET(CRONOPLE!$F$14,$M394,BN$13)="",10^12,OFFSET(CRONOPLE!$F$14,$M394,BN$13))))</f>
        <v>1000000000000</v>
      </c>
      <c r="BO394" s="215">
        <f ca="1">IF($D394&lt;&gt;"Serviço",0,IF(AND(AUTOEVENTO="Manual",$M394=1),0,IF(OFFSET(CRONOPLE!$F$14,$M394,BO$13)="",10^12,OFFSET(CRONOPLE!$F$14,$M394,BO$13))))</f>
        <v>1000000000000</v>
      </c>
      <c r="BP394" s="215">
        <f ca="1">IF($D394&lt;&gt;"Serviço",0,IF(AND(AUTOEVENTO="Manual",$M394=1),0,IF(OFFSET(CRONOPLE!$F$14,$M394,BP$13)="",10^12,OFFSET(CRONOPLE!$F$14,$M394,BP$13))))</f>
        <v>1000000000000</v>
      </c>
      <c r="BQ394" s="215">
        <f ca="1">IF($D394&lt;&gt;"Serviço",0,IF(AND(AUTOEVENTO="Manual",$M394=1),0,IF(OFFSET(CRONOPLE!$F$14,$M394,BQ$13)="",10^12,OFFSET(CRONOPLE!$F$14,$M394,BQ$13))))</f>
        <v>1000000000000</v>
      </c>
      <c r="BR394" s="215">
        <f ca="1">IF($D394&lt;&gt;"Serviço",0,IF(AND(AUTOEVENTO="Manual",$M394=1),0,IF(OFFSET(CRONOPLE!$F$14,$M394,BR$13)="",10^12,OFFSET(CRONOPLE!$F$14,$M394,BR$13))))</f>
        <v>1000000000000</v>
      </c>
      <c r="BS394" s="215">
        <f ca="1">IF($D394&lt;&gt;"Serviço",0,IF(AND(AUTOEVENTO="Manual",$M394=1),0,IF(OFFSET(CRONOPLE!$F$14,$M394,BS$13)="",10^12,OFFSET(CRONOPLE!$F$14,$M394,BS$13))))</f>
        <v>1000000000000</v>
      </c>
      <c r="BT394" s="215">
        <f ca="1">IF($D394&lt;&gt;"Serviço",0,IF(AND(AUTOEVENTO="Manual",$M394=1),0,IF(OFFSET(CRONOPLE!$F$14,$M394,BT$13)="",10^12,OFFSET(CRONOPLE!$F$14,$M394,BT$13))))</f>
        <v>1000000000000</v>
      </c>
      <c r="BV394" s="216">
        <f ca="1">IF($D394&lt;&gt;"Serviço",0,IF(OR(AND(AUTOEVENTO="Manual",$M394=1),$M394&gt;(ROW(PLE.lastrow)-ROW(PLE.firstrow))),0,IF(OFFSET(PLE!$G$14,$M394,BV$13)="",10^12,OFFSET(PLE!$G$14,$M394,BV$13))))</f>
        <v>1000000000000</v>
      </c>
      <c r="BW394" s="216">
        <f ca="1">IF($D394&lt;&gt;"Serviço",0,IF(OR(AND(AUTOEVENTO="Manual",$M394=1),$M394&gt;(ROW(PLE.lastrow)-ROW(PLE.firstrow))),0,IF(OFFSET(PLE!$G$14,$M394,BW$13)="",10^12,OFFSET(PLE!$G$14,$M394,BW$13))))</f>
        <v>1000000000000</v>
      </c>
      <c r="BX394" s="216">
        <f ca="1">IF($D394&lt;&gt;"Serviço",0,IF(OR(AND(AUTOEVENTO="Manual",$M394=1),$M394&gt;(ROW(PLE.lastrow)-ROW(PLE.firstrow))),0,IF(OFFSET(PLE!$G$14,$M394,BX$13)="",10^12,OFFSET(PLE!$G$14,$M394,BX$13))))</f>
        <v>1000000000000</v>
      </c>
      <c r="BY394" s="216">
        <f ca="1">IF($D394&lt;&gt;"Serviço",0,IF(OR(AND(AUTOEVENTO="Manual",$M394=1),$M394&gt;(ROW(PLE.lastrow)-ROW(PLE.firstrow))),0,IF(OFFSET(PLE!$G$14,$M394,BY$13)="",10^12,OFFSET(PLE!$G$14,$M394,BY$13))))</f>
        <v>1000000000000</v>
      </c>
      <c r="BZ394" s="216">
        <f ca="1">IF($D394&lt;&gt;"Serviço",0,IF(OR(AND(AUTOEVENTO="Manual",$M394=1),$M394&gt;(ROW(PLE.lastrow)-ROW(PLE.firstrow))),0,IF(OFFSET(PLE!$G$14,$M394,BZ$13)="",10^12,OFFSET(PLE!$G$14,$M394,BZ$13))))</f>
        <v>1000000000000</v>
      </c>
      <c r="CA394" s="216">
        <f ca="1">IF($D394&lt;&gt;"Serviço",0,IF(OR(AND(AUTOEVENTO="Manual",$M394=1),$M394&gt;(ROW(PLE.lastrow)-ROW(PLE.firstrow))),0,IF(OFFSET(PLE!$G$14,$M394,CA$13)="",10^12,OFFSET(PLE!$G$14,$M394,CA$13))))</f>
        <v>1000000000000</v>
      </c>
      <c r="CB394" s="216">
        <f ca="1">IF($D394&lt;&gt;"Serviço",0,IF(OR(AND(AUTOEVENTO="Manual",$M394=1),$M394&gt;(ROW(PLE.lastrow)-ROW(PLE.firstrow))),0,IF(OFFSET(PLE!$G$14,$M394,CB$13)="",10^12,OFFSET(PLE!$G$14,$M394,CB$13))))</f>
        <v>1000000000000</v>
      </c>
      <c r="CC394" s="216">
        <f ca="1">IF($D394&lt;&gt;"Serviço",0,IF(OR(AND(AUTOEVENTO="Manual",$M394=1),$M394&gt;(ROW(PLE.lastrow)-ROW(PLE.firstrow))),0,IF(OFFSET(PLE!$G$14,$M394,CC$13)="",10^12,OFFSET(PLE!$G$14,$M394,CC$13))))</f>
        <v>1000000000000</v>
      </c>
      <c r="CD394" s="216">
        <f ca="1">IF($D394&lt;&gt;"Serviço",0,IF(OR(AND(AUTOEVENTO="Manual",$M394=1),$M394&gt;(ROW(PLE.lastrow)-ROW(PLE.firstrow))),0,IF(OFFSET(PLE!$G$14,$M394,CD$13)="",10^12,OFFSET(PLE!$G$14,$M394,CD$13))))</f>
        <v>1000000000000</v>
      </c>
      <c r="CE394" s="216">
        <f ca="1">IF($D394&lt;&gt;"Serviço",0,IF(OR(AND(AUTOEVENTO="Manual",$M394=1),$M394&gt;(ROW(PLE.lastrow)-ROW(PLE.firstrow))),0,IF(OFFSET(PLE!$G$14,$M394,CE$13)="",10^12,OFFSET(PLE!$G$14,$M394,CE$13))))</f>
        <v>1000000000000</v>
      </c>
      <c r="CF394" s="216">
        <f ca="1">IF($D394&lt;&gt;"Serviço",0,IF(OR(AND(AUTOEVENTO="Manual",$M394=1),$M394&gt;(ROW(PLE.lastrow)-ROW(PLE.firstrow))),0,IF(OFFSET(PLE!$G$14,$M394,CF$13)="",10^12,OFFSET(PLE!$G$14,$M394,CF$13))))</f>
        <v>1000000000000</v>
      </c>
      <c r="CG394" s="216">
        <f ca="1">IF($D394&lt;&gt;"Serviço",0,IF(OR(AND(AUTOEVENTO="Manual",$M394=1),$M394&gt;(ROW(PLE.lastrow)-ROW(PLE.firstrow))),0,IF(OFFSET(PLE!$G$14,$M394,CG$13)="",10^12,OFFSET(PLE!$G$14,$M394,CG$13))))</f>
        <v>1000000000000</v>
      </c>
      <c r="CH394" s="216">
        <f ca="1">IF($D394&lt;&gt;"Serviço",0,IF(OR(AND(AUTOEVENTO="Manual",$M394=1),$M394&gt;(ROW(PLE.lastrow)-ROW(PLE.firstrow))),0,IF(OFFSET(PLE!$G$14,$M394,CH$13)="",10^12,OFFSET(PLE!$G$14,$M394,CH$13))))</f>
        <v>1000000000000</v>
      </c>
      <c r="CI394" s="216">
        <f ca="1">IF($D394&lt;&gt;"Serviço",0,IF(OR(AND(AUTOEVENTO="Manual",$M394=1),$M394&gt;(ROW(PLE.lastrow)-ROW(PLE.firstrow))),0,IF(OFFSET(PLE!$G$14,$M394,CI$13)="",10^12,OFFSET(PLE!$G$14,$M394,CI$13))))</f>
        <v>1000000000000</v>
      </c>
      <c r="CJ394" s="216">
        <f ca="1">IF($D394&lt;&gt;"Serviço",0,IF(OR(AND(AUTOEVENTO="Manual",$M394=1),$M394&gt;(ROW(PLE.lastrow)-ROW(PLE.firstrow))),0,IF(OFFSET(PLE!$G$14,$M394,CJ$13)="",10^12,OFFSET(PLE!$G$14,$M394,CJ$13))))</f>
        <v>1000000000000</v>
      </c>
      <c r="CK394" s="216">
        <f ca="1">IF($D394&lt;&gt;"Serviço",0,IF(OR(AND(AUTOEVENTO="Manual",$M394=1),$M394&gt;(ROW(PLE.lastrow)-ROW(PLE.firstrow))),0,IF(OFFSET(PLE!$G$14,$M394,CK$13)="",10^12,OFFSET(PLE!$G$14,$M394,CK$13))))</f>
        <v>1000000000000</v>
      </c>
      <c r="CL394" s="216">
        <f ca="1">IF($D394&lt;&gt;"Serviço",0,IF(OR(AND(AUTOEVENTO="Manual",$M394=1),$M394&gt;(ROW(PLE.lastrow)-ROW(PLE.firstrow))),0,IF(OFFSET(PLE!$G$14,$M394,CL$13)="",10^12,OFFSET(PLE!$G$14,$M394,CL$13))))</f>
        <v>1000000000000</v>
      </c>
      <c r="CM394" s="216">
        <f ca="1">IF($D394&lt;&gt;"Serviço",0,IF(OR(AND(AUTOEVENTO="Manual",$M394=1),$M394&gt;(ROW(PLE.lastrow)-ROW(PLE.firstrow))),0,IF(OFFSET(PLE!$G$14,$M394,CM$13)="",10^12,OFFSET(PLE!$G$14,$M394,CM$13))))</f>
        <v>1000000000000</v>
      </c>
    </row>
    <row r="395" spans="1:91" ht="13.2" x14ac:dyDescent="0.25">
      <c r="A395" s="9">
        <f t="shared" ref="A395:A461" ca="1" si="15">IF(AUTOEVENTO="Manual",IF(K395&lt;&gt;"",MIN(VALUE(LEFT(K395,FIND(".",K395)-1)),COUNTA(EVENTOS.Lista)),0),IF(OR($B395&gt;AUTOEVENTO,$B395="S",$B395=0),SUBSTITUTE(OFFSET($A395,-1,0),IF($D395="Serviço",".",""),""),ROW(A395)-ROW($A$15)&amp;"."))</f>
        <v>0</v>
      </c>
      <c r="B395" s="9" t="str">
        <f ca="1">OFFSET(ORÇAMENTO!C$15,ROW(B395)-ROW(B$15),0)</f>
        <v>S</v>
      </c>
      <c r="C395" s="9" t="str">
        <f ca="1">OFFSET(ORÇAMENTO!L$15,ROW(C395)-ROW(C$15),0)</f>
        <v/>
      </c>
      <c r="D395" s="145" t="str">
        <f ca="1">OFFSET(ORÇAMENTO!N$15,ROW(D395)-ROW(D$15),0)</f>
        <v>Serviço</v>
      </c>
      <c r="E395" s="205" t="str">
        <f ca="1">OFFSET(ORÇAMENTO!O$15,ROW(E395)-ROW(E$15),0)</f>
        <v>-</v>
      </c>
      <c r="F395" s="206" t="str">
        <f ca="1">OFFSET(ORÇAMENTO!R$15,ROW(F395)-ROW(F$15),0)</f>
        <v>(abra o arquivo 'Referência 05-2024.xls)</v>
      </c>
      <c r="G395" s="207" t="str">
        <f ca="1">IF($D395&lt;&gt;"Serviço","",OFFSET(ORÇAMENTO!S$15,ROW(G395)-ROW(G$15),0))</f>
        <v>-</v>
      </c>
      <c r="H395" s="151">
        <f ca="1">IF($D395&lt;&gt;"Serviço",0,IF(ACOMPANHAMENTO="BM",ROUND(OFFSET(ORÇAMENTO!AJ$15,ROW(H395)-ROW(H$15),0),15-13*ORÇAMENTO!$AF$7),SUMPRODUCT(($Q$12:$AI$12&lt;&gt;"")*ROUND($Q395:$AI395,15-13*ORÇAMENTO!$AF$7))))</f>
        <v>255.62</v>
      </c>
      <c r="I395" s="650"/>
      <c r="K395" s="208"/>
      <c r="L395" s="209" t="s">
        <v>257</v>
      </c>
      <c r="M395" s="210">
        <f ca="1">IF($D395&lt;&gt;"Serviço","",IF(AUTOEVENTO="manual",$A395,IF(ISERROR(MATCH($A395,$A$15:OFFSET($A395,-1,0),0)),MAX($M$15:OFFSET(M395,-1,0))+1,INDEX($M$15:OFFSET(M395,-1,0),MATCH($A395,$A$15:OFFSET($A395,-1,0),0)))))</f>
        <v>0</v>
      </c>
      <c r="N395" s="211" t="str">
        <f ca="1">IF($D395&lt;&gt;"Serviço","",IF(AUTOEVENTO="Manual",IF($A395=0,"&lt;-- defina o número do agrupador",OFFSET(EVENTOS!$D$14,$A395,0)),OFFSET($F$15,$A395,0)))</f>
        <v>&lt;-- defina o número do agrupador</v>
      </c>
      <c r="O395" s="212"/>
      <c r="Q395" s="212"/>
      <c r="R395" s="213"/>
      <c r="S395" s="213"/>
      <c r="T395" s="213"/>
      <c r="U395" s="213"/>
      <c r="V395" s="213"/>
      <c r="W395" s="213"/>
      <c r="X395" s="213"/>
      <c r="Y395" s="213"/>
      <c r="Z395" s="214"/>
      <c r="AA395" s="213"/>
      <c r="AB395" s="213"/>
      <c r="AC395" s="213"/>
      <c r="AD395" s="213"/>
      <c r="AE395" s="213"/>
      <c r="AF395" s="213"/>
      <c r="AG395" s="213"/>
      <c r="AH395" s="214"/>
      <c r="AJ395" s="631">
        <f ca="1">IF(AND($D395="Serviço",AJ$12&lt;&gt;0,$H395&gt;0,OR(AUTOEVENTO&lt;&gt;"manual",$M395&lt;&gt;1)),ROUND(OFFSET($P395,0,AJ$13),15-13*ORÇAMENTO!$AF$7)/$H395*OFFSET(ORÇAMENTO!$X$15,ROW(AJ395)-ROW(AJ$15),0),0)</f>
        <v>0</v>
      </c>
      <c r="AK395" s="632">
        <f ca="1">IF(AND($D395="Serviço",AK$12&lt;&gt;0,$H395&gt;0,OR(AUTOEVENTO&lt;&gt;"manual",$M395&lt;&gt;1)),ROUND(OFFSET($P395,0,AK$13),15-13*ORÇAMENTO!$AF$7)/$H395*OFFSET(ORÇAMENTO!$X$15,ROW(AK395)-ROW(AK$15),0),0)</f>
        <v>0</v>
      </c>
      <c r="AL395" s="632">
        <f ca="1">IF(AND($D395="Serviço",AL$12&lt;&gt;0,$H395&gt;0,OR(AUTOEVENTO&lt;&gt;"manual",$M395&lt;&gt;1)),ROUND(OFFSET($P395,0,AL$13),15-13*ORÇAMENTO!$AF$7)/$H395*OFFSET(ORÇAMENTO!$X$15,ROW(AL395)-ROW(AL$15),0),0)</f>
        <v>0</v>
      </c>
      <c r="AM395" s="632">
        <f ca="1">IF(AND($D395="Serviço",AM$12&lt;&gt;0,$H395&gt;0,OR(AUTOEVENTO&lt;&gt;"manual",$M395&lt;&gt;1)),ROUND(OFFSET($P395,0,AM$13),15-13*ORÇAMENTO!$AF$7)/$H395*OFFSET(ORÇAMENTO!$X$15,ROW(AM395)-ROW(AM$15),0),0)</f>
        <v>0</v>
      </c>
      <c r="AN395" s="632">
        <f ca="1">IF(AND($D395="Serviço",AN$12&lt;&gt;0,$H395&gt;0,OR(AUTOEVENTO&lt;&gt;"manual",$M395&lt;&gt;1)),ROUND(OFFSET($P395,0,AN$13),15-13*ORÇAMENTO!$AF$7)/$H395*OFFSET(ORÇAMENTO!$X$15,ROW(AN395)-ROW(AN$15),0),0)</f>
        <v>0</v>
      </c>
      <c r="AO395" s="632">
        <f ca="1">IF(AND($D395="Serviço",AO$12&lt;&gt;0,$H395&gt;0,OR(AUTOEVENTO&lt;&gt;"manual",$M395&lt;&gt;1)),ROUND(OFFSET($P395,0,AO$13),15-13*ORÇAMENTO!$AF$7)/$H395*OFFSET(ORÇAMENTO!$X$15,ROW(AO395)-ROW(AO$15),0),0)</f>
        <v>0</v>
      </c>
      <c r="AP395" s="632">
        <f ca="1">IF(AND($D395="Serviço",AP$12&lt;&gt;0,$H395&gt;0,OR(AUTOEVENTO&lt;&gt;"manual",$M395&lt;&gt;1)),ROUND(OFFSET($P395,0,AP$13),15-13*ORÇAMENTO!$AF$7)/$H395*OFFSET(ORÇAMENTO!$X$15,ROW(AP395)-ROW(AP$15),0),0)</f>
        <v>0</v>
      </c>
      <c r="AQ395" s="632">
        <f ca="1">IF(AND($D395="Serviço",AQ$12&lt;&gt;0,$H395&gt;0,OR(AUTOEVENTO&lt;&gt;"manual",$M395&lt;&gt;1)),ROUND(OFFSET($P395,0,AQ$13),15-13*ORÇAMENTO!$AF$7)/$H395*OFFSET(ORÇAMENTO!$X$15,ROW(AQ395)-ROW(AQ$15),0),0)</f>
        <v>0</v>
      </c>
      <c r="AR395" s="632">
        <f ca="1">IF(AND($D395="Serviço",AR$12&lt;&gt;0,$H395&gt;0,OR(AUTOEVENTO&lt;&gt;"manual",$M395&lt;&gt;1)),ROUND(OFFSET($P395,0,AR$13),15-13*ORÇAMENTO!$AF$7)/$H395*OFFSET(ORÇAMENTO!$X$15,ROW(AR395)-ROW(AR$15),0),0)</f>
        <v>0</v>
      </c>
      <c r="AS395" s="633">
        <f ca="1">IF(AND($D395="Serviço",AS$12&lt;&gt;0,$H395&gt;0,OR(AUTOEVENTO&lt;&gt;"manual",$M395&lt;&gt;1)),ROUND(OFFSET($P395,0,AS$13),15-13*ORÇAMENTO!$AF$7)/$H395*OFFSET(ORÇAMENTO!$X$15,ROW(AS395)-ROW(AS$15),0),0)</f>
        <v>0</v>
      </c>
      <c r="AT395" s="632">
        <f ca="1">IF(AND($D395="Serviço",AT$12&lt;&gt;0,$H395&gt;0,OR(AUTOEVENTO&lt;&gt;"manual",$M395&lt;&gt;1)),ROUND(OFFSET($P395,0,AT$13),15-13*ORÇAMENTO!$AF$7)/$H395*OFFSET(ORÇAMENTO!$X$15,ROW(AT395)-ROW(AT$15),0),0)</f>
        <v>0</v>
      </c>
      <c r="AU395" s="632">
        <f ca="1">IF(AND($D395="Serviço",AU$12&lt;&gt;0,$H395&gt;0,OR(AUTOEVENTO&lt;&gt;"manual",$M395&lt;&gt;1)),ROUND(OFFSET($P395,0,AU$13),15-13*ORÇAMENTO!$AF$7)/$H395*OFFSET(ORÇAMENTO!$X$15,ROW(AU395)-ROW(AU$15),0),0)</f>
        <v>0</v>
      </c>
      <c r="AV395" s="632">
        <f ca="1">IF(AND($D395="Serviço",AV$12&lt;&gt;0,$H395&gt;0,OR(AUTOEVENTO&lt;&gt;"manual",$M395&lt;&gt;1)),ROUND(OFFSET($P395,0,AV$13),15-13*ORÇAMENTO!$AF$7)/$H395*OFFSET(ORÇAMENTO!$X$15,ROW(AV395)-ROW(AV$15),0),0)</f>
        <v>0</v>
      </c>
      <c r="AW395" s="632">
        <f ca="1">IF(AND($D395="Serviço",AW$12&lt;&gt;0,$H395&gt;0,OR(AUTOEVENTO&lt;&gt;"manual",$M395&lt;&gt;1)),ROUND(OFFSET($P395,0,AW$13),15-13*ORÇAMENTO!$AF$7)/$H395*OFFSET(ORÇAMENTO!$X$15,ROW(AW395)-ROW(AW$15),0),0)</f>
        <v>0</v>
      </c>
      <c r="AX395" s="632">
        <f ca="1">IF(AND($D395="Serviço",AX$12&lt;&gt;0,$H395&gt;0,OR(AUTOEVENTO&lt;&gt;"manual",$M395&lt;&gt;1)),ROUND(OFFSET($P395,0,AX$13),15-13*ORÇAMENTO!$AF$7)/$H395*OFFSET(ORÇAMENTO!$X$15,ROW(AX395)-ROW(AX$15),0),0)</f>
        <v>0</v>
      </c>
      <c r="AY395" s="632">
        <f ca="1">IF(AND($D395="Serviço",AY$12&lt;&gt;0,$H395&gt;0,OR(AUTOEVENTO&lt;&gt;"manual",$M395&lt;&gt;1)),ROUND(OFFSET($P395,0,AY$13),15-13*ORÇAMENTO!$AF$7)/$H395*OFFSET(ORÇAMENTO!$X$15,ROW(AY395)-ROW(AY$15),0),0)</f>
        <v>0</v>
      </c>
      <c r="AZ395" s="632">
        <f ca="1">IF(AND($D395="Serviço",AZ$12&lt;&gt;0,$H395&gt;0,OR(AUTOEVENTO&lt;&gt;"manual",$M395&lt;&gt;1)),ROUND(OFFSET($P395,0,AZ$13),15-13*ORÇAMENTO!$AF$7)/$H395*OFFSET(ORÇAMENTO!$X$15,ROW(AZ395)-ROW(AZ$15),0),0)</f>
        <v>0</v>
      </c>
      <c r="BA395" s="633">
        <f ca="1">IF(AND($D395="Serviço",BA$12&lt;&gt;0,$H395&gt;0,OR(AUTOEVENTO&lt;&gt;"manual",$M395&lt;&gt;1)),ROUND(OFFSET($P395,0,BA$13),15-13*ORÇAMENTO!$AF$7)/$H395*OFFSET(ORÇAMENTO!$X$15,ROW(BA395)-ROW(BA$15),0),0)</f>
        <v>0</v>
      </c>
      <c r="BC395" s="215">
        <f ca="1">IF($D395&lt;&gt;"Serviço",0,IF(AND(AUTOEVENTO="Manual",$M395=1),0,IF(OFFSET(CRONOPLE!$F$14,$M395,BC$13)="",10^12,OFFSET(CRONOPLE!$F$14,$M395,BC$13))))</f>
        <v>1000000000000</v>
      </c>
      <c r="BD395" s="215">
        <f ca="1">IF($D395&lt;&gt;"Serviço",0,IF(AND(AUTOEVENTO="Manual",$M395=1),0,IF(OFFSET(CRONOPLE!$F$14,$M395,BD$13)="",10^12,OFFSET(CRONOPLE!$F$14,$M395,BD$13))))</f>
        <v>1000000000000</v>
      </c>
      <c r="BE395" s="215">
        <f ca="1">IF($D395&lt;&gt;"Serviço",0,IF(AND(AUTOEVENTO="Manual",$M395=1),0,IF(OFFSET(CRONOPLE!$F$14,$M395,BE$13)="",10^12,OFFSET(CRONOPLE!$F$14,$M395,BE$13))))</f>
        <v>1000000000000</v>
      </c>
      <c r="BF395" s="215">
        <f ca="1">IF($D395&lt;&gt;"Serviço",0,IF(AND(AUTOEVENTO="Manual",$M395=1),0,IF(OFFSET(CRONOPLE!$F$14,$M395,BF$13)="",10^12,OFFSET(CRONOPLE!$F$14,$M395,BF$13))))</f>
        <v>1000000000000</v>
      </c>
      <c r="BG395" s="215">
        <f ca="1">IF($D395&lt;&gt;"Serviço",0,IF(AND(AUTOEVENTO="Manual",$M395=1),0,IF(OFFSET(CRONOPLE!$F$14,$M395,BG$13)="",10^12,OFFSET(CRONOPLE!$F$14,$M395,BG$13))))</f>
        <v>1000000000000</v>
      </c>
      <c r="BH395" s="215">
        <f ca="1">IF($D395&lt;&gt;"Serviço",0,IF(AND(AUTOEVENTO="Manual",$M395=1),0,IF(OFFSET(CRONOPLE!$F$14,$M395,BH$13)="",10^12,OFFSET(CRONOPLE!$F$14,$M395,BH$13))))</f>
        <v>1000000000000</v>
      </c>
      <c r="BI395" s="215">
        <f ca="1">IF($D395&lt;&gt;"Serviço",0,IF(AND(AUTOEVENTO="Manual",$M395=1),0,IF(OFFSET(CRONOPLE!$F$14,$M395,BI$13)="",10^12,OFFSET(CRONOPLE!$F$14,$M395,BI$13))))</f>
        <v>1000000000000</v>
      </c>
      <c r="BJ395" s="215">
        <f ca="1">IF($D395&lt;&gt;"Serviço",0,IF(AND(AUTOEVENTO="Manual",$M395=1),0,IF(OFFSET(CRONOPLE!$F$14,$M395,BJ$13)="",10^12,OFFSET(CRONOPLE!$F$14,$M395,BJ$13))))</f>
        <v>1000000000000</v>
      </c>
      <c r="BK395" s="215">
        <f ca="1">IF($D395&lt;&gt;"Serviço",0,IF(AND(AUTOEVENTO="Manual",$M395=1),0,IF(OFFSET(CRONOPLE!$F$14,$M395,BK$13)="",10^12,OFFSET(CRONOPLE!$F$14,$M395,BK$13))))</f>
        <v>1000000000000</v>
      </c>
      <c r="BL395" s="215">
        <f ca="1">IF($D395&lt;&gt;"Serviço",0,IF(AND(AUTOEVENTO="Manual",$M395=1),0,IF(OFFSET(CRONOPLE!$F$14,$M395,BL$13)="",10^12,OFFSET(CRONOPLE!$F$14,$M395,BL$13))))</f>
        <v>1000000000000</v>
      </c>
      <c r="BM395" s="215">
        <f ca="1">IF($D395&lt;&gt;"Serviço",0,IF(AND(AUTOEVENTO="Manual",$M395=1),0,IF(OFFSET(CRONOPLE!$F$14,$M395,BM$13)="",10^12,OFFSET(CRONOPLE!$F$14,$M395,BM$13))))</f>
        <v>1000000000000</v>
      </c>
      <c r="BN395" s="215">
        <f ca="1">IF($D395&lt;&gt;"Serviço",0,IF(AND(AUTOEVENTO="Manual",$M395=1),0,IF(OFFSET(CRONOPLE!$F$14,$M395,BN$13)="",10^12,OFFSET(CRONOPLE!$F$14,$M395,BN$13))))</f>
        <v>1000000000000</v>
      </c>
      <c r="BO395" s="215">
        <f ca="1">IF($D395&lt;&gt;"Serviço",0,IF(AND(AUTOEVENTO="Manual",$M395=1),0,IF(OFFSET(CRONOPLE!$F$14,$M395,BO$13)="",10^12,OFFSET(CRONOPLE!$F$14,$M395,BO$13))))</f>
        <v>1000000000000</v>
      </c>
      <c r="BP395" s="215">
        <f ca="1">IF($D395&lt;&gt;"Serviço",0,IF(AND(AUTOEVENTO="Manual",$M395=1),0,IF(OFFSET(CRONOPLE!$F$14,$M395,BP$13)="",10^12,OFFSET(CRONOPLE!$F$14,$M395,BP$13))))</f>
        <v>1000000000000</v>
      </c>
      <c r="BQ395" s="215">
        <f ca="1">IF($D395&lt;&gt;"Serviço",0,IF(AND(AUTOEVENTO="Manual",$M395=1),0,IF(OFFSET(CRONOPLE!$F$14,$M395,BQ$13)="",10^12,OFFSET(CRONOPLE!$F$14,$M395,BQ$13))))</f>
        <v>1000000000000</v>
      </c>
      <c r="BR395" s="215">
        <f ca="1">IF($D395&lt;&gt;"Serviço",0,IF(AND(AUTOEVENTO="Manual",$M395=1),0,IF(OFFSET(CRONOPLE!$F$14,$M395,BR$13)="",10^12,OFFSET(CRONOPLE!$F$14,$M395,BR$13))))</f>
        <v>1000000000000</v>
      </c>
      <c r="BS395" s="215">
        <f ca="1">IF($D395&lt;&gt;"Serviço",0,IF(AND(AUTOEVENTO="Manual",$M395=1),0,IF(OFFSET(CRONOPLE!$F$14,$M395,BS$13)="",10^12,OFFSET(CRONOPLE!$F$14,$M395,BS$13))))</f>
        <v>1000000000000</v>
      </c>
      <c r="BT395" s="215">
        <f ca="1">IF($D395&lt;&gt;"Serviço",0,IF(AND(AUTOEVENTO="Manual",$M395=1),0,IF(OFFSET(CRONOPLE!$F$14,$M395,BT$13)="",10^12,OFFSET(CRONOPLE!$F$14,$M395,BT$13))))</f>
        <v>1000000000000</v>
      </c>
      <c r="BV395" s="216">
        <f ca="1">IF($D395&lt;&gt;"Serviço",0,IF(OR(AND(AUTOEVENTO="Manual",$M395=1),$M395&gt;(ROW(PLE.lastrow)-ROW(PLE.firstrow))),0,IF(OFFSET(PLE!$G$14,$M395,BV$13)="",10^12,OFFSET(PLE!$G$14,$M395,BV$13))))</f>
        <v>1000000000000</v>
      </c>
      <c r="BW395" s="216">
        <f ca="1">IF($D395&lt;&gt;"Serviço",0,IF(OR(AND(AUTOEVENTO="Manual",$M395=1),$M395&gt;(ROW(PLE.lastrow)-ROW(PLE.firstrow))),0,IF(OFFSET(PLE!$G$14,$M395,BW$13)="",10^12,OFFSET(PLE!$G$14,$M395,BW$13))))</f>
        <v>1000000000000</v>
      </c>
      <c r="BX395" s="216">
        <f ca="1">IF($D395&lt;&gt;"Serviço",0,IF(OR(AND(AUTOEVENTO="Manual",$M395=1),$M395&gt;(ROW(PLE.lastrow)-ROW(PLE.firstrow))),0,IF(OFFSET(PLE!$G$14,$M395,BX$13)="",10^12,OFFSET(PLE!$G$14,$M395,BX$13))))</f>
        <v>1000000000000</v>
      </c>
      <c r="BY395" s="216">
        <f ca="1">IF($D395&lt;&gt;"Serviço",0,IF(OR(AND(AUTOEVENTO="Manual",$M395=1),$M395&gt;(ROW(PLE.lastrow)-ROW(PLE.firstrow))),0,IF(OFFSET(PLE!$G$14,$M395,BY$13)="",10^12,OFFSET(PLE!$G$14,$M395,BY$13))))</f>
        <v>1000000000000</v>
      </c>
      <c r="BZ395" s="216">
        <f ca="1">IF($D395&lt;&gt;"Serviço",0,IF(OR(AND(AUTOEVENTO="Manual",$M395=1),$M395&gt;(ROW(PLE.lastrow)-ROW(PLE.firstrow))),0,IF(OFFSET(PLE!$G$14,$M395,BZ$13)="",10^12,OFFSET(PLE!$G$14,$M395,BZ$13))))</f>
        <v>1000000000000</v>
      </c>
      <c r="CA395" s="216">
        <f ca="1">IF($D395&lt;&gt;"Serviço",0,IF(OR(AND(AUTOEVENTO="Manual",$M395=1),$M395&gt;(ROW(PLE.lastrow)-ROW(PLE.firstrow))),0,IF(OFFSET(PLE!$G$14,$M395,CA$13)="",10^12,OFFSET(PLE!$G$14,$M395,CA$13))))</f>
        <v>1000000000000</v>
      </c>
      <c r="CB395" s="216">
        <f ca="1">IF($D395&lt;&gt;"Serviço",0,IF(OR(AND(AUTOEVENTO="Manual",$M395=1),$M395&gt;(ROW(PLE.lastrow)-ROW(PLE.firstrow))),0,IF(OFFSET(PLE!$G$14,$M395,CB$13)="",10^12,OFFSET(PLE!$G$14,$M395,CB$13))))</f>
        <v>1000000000000</v>
      </c>
      <c r="CC395" s="216">
        <f ca="1">IF($D395&lt;&gt;"Serviço",0,IF(OR(AND(AUTOEVENTO="Manual",$M395=1),$M395&gt;(ROW(PLE.lastrow)-ROW(PLE.firstrow))),0,IF(OFFSET(PLE!$G$14,$M395,CC$13)="",10^12,OFFSET(PLE!$G$14,$M395,CC$13))))</f>
        <v>1000000000000</v>
      </c>
      <c r="CD395" s="216">
        <f ca="1">IF($D395&lt;&gt;"Serviço",0,IF(OR(AND(AUTOEVENTO="Manual",$M395=1),$M395&gt;(ROW(PLE.lastrow)-ROW(PLE.firstrow))),0,IF(OFFSET(PLE!$G$14,$M395,CD$13)="",10^12,OFFSET(PLE!$G$14,$M395,CD$13))))</f>
        <v>1000000000000</v>
      </c>
      <c r="CE395" s="216">
        <f ca="1">IF($D395&lt;&gt;"Serviço",0,IF(OR(AND(AUTOEVENTO="Manual",$M395=1),$M395&gt;(ROW(PLE.lastrow)-ROW(PLE.firstrow))),0,IF(OFFSET(PLE!$G$14,$M395,CE$13)="",10^12,OFFSET(PLE!$G$14,$M395,CE$13))))</f>
        <v>1000000000000</v>
      </c>
      <c r="CF395" s="216">
        <f ca="1">IF($D395&lt;&gt;"Serviço",0,IF(OR(AND(AUTOEVENTO="Manual",$M395=1),$M395&gt;(ROW(PLE.lastrow)-ROW(PLE.firstrow))),0,IF(OFFSET(PLE!$G$14,$M395,CF$13)="",10^12,OFFSET(PLE!$G$14,$M395,CF$13))))</f>
        <v>1000000000000</v>
      </c>
      <c r="CG395" s="216">
        <f ca="1">IF($D395&lt;&gt;"Serviço",0,IF(OR(AND(AUTOEVENTO="Manual",$M395=1),$M395&gt;(ROW(PLE.lastrow)-ROW(PLE.firstrow))),0,IF(OFFSET(PLE!$G$14,$M395,CG$13)="",10^12,OFFSET(PLE!$G$14,$M395,CG$13))))</f>
        <v>1000000000000</v>
      </c>
      <c r="CH395" s="216">
        <f ca="1">IF($D395&lt;&gt;"Serviço",0,IF(OR(AND(AUTOEVENTO="Manual",$M395=1),$M395&gt;(ROW(PLE.lastrow)-ROW(PLE.firstrow))),0,IF(OFFSET(PLE!$G$14,$M395,CH$13)="",10^12,OFFSET(PLE!$G$14,$M395,CH$13))))</f>
        <v>1000000000000</v>
      </c>
      <c r="CI395" s="216">
        <f ca="1">IF($D395&lt;&gt;"Serviço",0,IF(OR(AND(AUTOEVENTO="Manual",$M395=1),$M395&gt;(ROW(PLE.lastrow)-ROW(PLE.firstrow))),0,IF(OFFSET(PLE!$G$14,$M395,CI$13)="",10^12,OFFSET(PLE!$G$14,$M395,CI$13))))</f>
        <v>1000000000000</v>
      </c>
      <c r="CJ395" s="216">
        <f ca="1">IF($D395&lt;&gt;"Serviço",0,IF(OR(AND(AUTOEVENTO="Manual",$M395=1),$M395&gt;(ROW(PLE.lastrow)-ROW(PLE.firstrow))),0,IF(OFFSET(PLE!$G$14,$M395,CJ$13)="",10^12,OFFSET(PLE!$G$14,$M395,CJ$13))))</f>
        <v>1000000000000</v>
      </c>
      <c r="CK395" s="216">
        <f ca="1">IF($D395&lt;&gt;"Serviço",0,IF(OR(AND(AUTOEVENTO="Manual",$M395=1),$M395&gt;(ROW(PLE.lastrow)-ROW(PLE.firstrow))),0,IF(OFFSET(PLE!$G$14,$M395,CK$13)="",10^12,OFFSET(PLE!$G$14,$M395,CK$13))))</f>
        <v>1000000000000</v>
      </c>
      <c r="CL395" s="216">
        <f ca="1">IF($D395&lt;&gt;"Serviço",0,IF(OR(AND(AUTOEVENTO="Manual",$M395=1),$M395&gt;(ROW(PLE.lastrow)-ROW(PLE.firstrow))),0,IF(OFFSET(PLE!$G$14,$M395,CL$13)="",10^12,OFFSET(PLE!$G$14,$M395,CL$13))))</f>
        <v>1000000000000</v>
      </c>
      <c r="CM395" s="216">
        <f ca="1">IF($D395&lt;&gt;"Serviço",0,IF(OR(AND(AUTOEVENTO="Manual",$M395=1),$M395&gt;(ROW(PLE.lastrow)-ROW(PLE.firstrow))),0,IF(OFFSET(PLE!$G$14,$M395,CM$13)="",10^12,OFFSET(PLE!$G$14,$M395,CM$13))))</f>
        <v>1000000000000</v>
      </c>
    </row>
    <row r="396" spans="1:91" ht="13.2" x14ac:dyDescent="0.25">
      <c r="A396" s="9">
        <f t="shared" ca="1" si="15"/>
        <v>0</v>
      </c>
      <c r="B396" s="9" t="str">
        <f ca="1">OFFSET(ORÇAMENTO!C$15,ROW(B396)-ROW(B$15),0)</f>
        <v>S</v>
      </c>
      <c r="C396" s="9" t="str">
        <f ca="1">OFFSET(ORÇAMENTO!L$15,ROW(C396)-ROW(C$15),0)</f>
        <v/>
      </c>
      <c r="D396" s="145" t="str">
        <f ca="1">OFFSET(ORÇAMENTO!N$15,ROW(D396)-ROW(D$15),0)</f>
        <v>Serviço</v>
      </c>
      <c r="E396" s="205" t="str">
        <f ca="1">OFFSET(ORÇAMENTO!O$15,ROW(E396)-ROW(E$15),0)</f>
        <v>-</v>
      </c>
      <c r="F396" s="206" t="str">
        <f ca="1">OFFSET(ORÇAMENTO!R$15,ROW(F396)-ROW(F$15),0)</f>
        <v>(abra o arquivo 'Referência 05-2024.xls)</v>
      </c>
      <c r="G396" s="207" t="str">
        <f ca="1">IF($D396&lt;&gt;"Serviço","",OFFSET(ORÇAMENTO!S$15,ROW(G396)-ROW(G$15),0))</f>
        <v>-</v>
      </c>
      <c r="H396" s="151">
        <f ca="1">IF($D396&lt;&gt;"Serviço",0,IF(ACOMPANHAMENTO="BM",ROUND(OFFSET(ORÇAMENTO!AJ$15,ROW(H396)-ROW(H$15),0),15-13*ORÇAMENTO!$AF$7),SUMPRODUCT(($Q$12:$AI$12&lt;&gt;"")*ROUND($Q396:$AI396,15-13*ORÇAMENTO!$AF$7))))</f>
        <v>31.38</v>
      </c>
      <c r="I396" s="650"/>
      <c r="K396" s="208"/>
      <c r="L396" s="209" t="s">
        <v>257</v>
      </c>
      <c r="M396" s="210">
        <f ca="1">IF($D396&lt;&gt;"Serviço","",IF(AUTOEVENTO="manual",$A396,IF(ISERROR(MATCH($A396,$A$15:OFFSET($A396,-1,0),0)),MAX($M$15:OFFSET(M396,-1,0))+1,INDEX($M$15:OFFSET(M396,-1,0),MATCH($A396,$A$15:OFFSET($A396,-1,0),0)))))</f>
        <v>0</v>
      </c>
      <c r="N396" s="211" t="str">
        <f ca="1">IF($D396&lt;&gt;"Serviço","",IF(AUTOEVENTO="Manual",IF($A396=0,"&lt;-- defina o número do agrupador",OFFSET(EVENTOS!$D$14,$A396,0)),OFFSET($F$15,$A396,0)))</f>
        <v>&lt;-- defina o número do agrupador</v>
      </c>
      <c r="O396" s="212"/>
      <c r="Q396" s="212"/>
      <c r="R396" s="213"/>
      <c r="S396" s="213"/>
      <c r="T396" s="213"/>
      <c r="U396" s="213"/>
      <c r="V396" s="213"/>
      <c r="W396" s="213"/>
      <c r="X396" s="213"/>
      <c r="Y396" s="213"/>
      <c r="Z396" s="214"/>
      <c r="AA396" s="213"/>
      <c r="AB396" s="213"/>
      <c r="AC396" s="213"/>
      <c r="AD396" s="213"/>
      <c r="AE396" s="213"/>
      <c r="AF396" s="213"/>
      <c r="AG396" s="213"/>
      <c r="AH396" s="214"/>
      <c r="AJ396" s="631">
        <f ca="1">IF(AND($D396="Serviço",AJ$12&lt;&gt;0,$H396&gt;0,OR(AUTOEVENTO&lt;&gt;"manual",$M396&lt;&gt;1)),ROUND(OFFSET($P396,0,AJ$13),15-13*ORÇAMENTO!$AF$7)/$H396*OFFSET(ORÇAMENTO!$X$15,ROW(AJ396)-ROW(AJ$15),0),0)</f>
        <v>0</v>
      </c>
      <c r="AK396" s="632">
        <f ca="1">IF(AND($D396="Serviço",AK$12&lt;&gt;0,$H396&gt;0,OR(AUTOEVENTO&lt;&gt;"manual",$M396&lt;&gt;1)),ROUND(OFFSET($P396,0,AK$13),15-13*ORÇAMENTO!$AF$7)/$H396*OFFSET(ORÇAMENTO!$X$15,ROW(AK396)-ROW(AK$15),0),0)</f>
        <v>0</v>
      </c>
      <c r="AL396" s="632">
        <f ca="1">IF(AND($D396="Serviço",AL$12&lt;&gt;0,$H396&gt;0,OR(AUTOEVENTO&lt;&gt;"manual",$M396&lt;&gt;1)),ROUND(OFFSET($P396,0,AL$13),15-13*ORÇAMENTO!$AF$7)/$H396*OFFSET(ORÇAMENTO!$X$15,ROW(AL396)-ROW(AL$15),0),0)</f>
        <v>0</v>
      </c>
      <c r="AM396" s="632">
        <f ca="1">IF(AND($D396="Serviço",AM$12&lt;&gt;0,$H396&gt;0,OR(AUTOEVENTO&lt;&gt;"manual",$M396&lt;&gt;1)),ROUND(OFFSET($P396,0,AM$13),15-13*ORÇAMENTO!$AF$7)/$H396*OFFSET(ORÇAMENTO!$X$15,ROW(AM396)-ROW(AM$15),0),0)</f>
        <v>0</v>
      </c>
      <c r="AN396" s="632">
        <f ca="1">IF(AND($D396="Serviço",AN$12&lt;&gt;0,$H396&gt;0,OR(AUTOEVENTO&lt;&gt;"manual",$M396&lt;&gt;1)),ROUND(OFFSET($P396,0,AN$13),15-13*ORÇAMENTO!$AF$7)/$H396*OFFSET(ORÇAMENTO!$X$15,ROW(AN396)-ROW(AN$15),0),0)</f>
        <v>0</v>
      </c>
      <c r="AO396" s="632">
        <f ca="1">IF(AND($D396="Serviço",AO$12&lt;&gt;0,$H396&gt;0,OR(AUTOEVENTO&lt;&gt;"manual",$M396&lt;&gt;1)),ROUND(OFFSET($P396,0,AO$13),15-13*ORÇAMENTO!$AF$7)/$H396*OFFSET(ORÇAMENTO!$X$15,ROW(AO396)-ROW(AO$15),0),0)</f>
        <v>0</v>
      </c>
      <c r="AP396" s="632">
        <f ca="1">IF(AND($D396="Serviço",AP$12&lt;&gt;0,$H396&gt;0,OR(AUTOEVENTO&lt;&gt;"manual",$M396&lt;&gt;1)),ROUND(OFFSET($P396,0,AP$13),15-13*ORÇAMENTO!$AF$7)/$H396*OFFSET(ORÇAMENTO!$X$15,ROW(AP396)-ROW(AP$15),0),0)</f>
        <v>0</v>
      </c>
      <c r="AQ396" s="632">
        <f ca="1">IF(AND($D396="Serviço",AQ$12&lt;&gt;0,$H396&gt;0,OR(AUTOEVENTO&lt;&gt;"manual",$M396&lt;&gt;1)),ROUND(OFFSET($P396,0,AQ$13),15-13*ORÇAMENTO!$AF$7)/$H396*OFFSET(ORÇAMENTO!$X$15,ROW(AQ396)-ROW(AQ$15),0),0)</f>
        <v>0</v>
      </c>
      <c r="AR396" s="632">
        <f ca="1">IF(AND($D396="Serviço",AR$12&lt;&gt;0,$H396&gt;0,OR(AUTOEVENTO&lt;&gt;"manual",$M396&lt;&gt;1)),ROUND(OFFSET($P396,0,AR$13),15-13*ORÇAMENTO!$AF$7)/$H396*OFFSET(ORÇAMENTO!$X$15,ROW(AR396)-ROW(AR$15),0),0)</f>
        <v>0</v>
      </c>
      <c r="AS396" s="633">
        <f ca="1">IF(AND($D396="Serviço",AS$12&lt;&gt;0,$H396&gt;0,OR(AUTOEVENTO&lt;&gt;"manual",$M396&lt;&gt;1)),ROUND(OFFSET($P396,0,AS$13),15-13*ORÇAMENTO!$AF$7)/$H396*OFFSET(ORÇAMENTO!$X$15,ROW(AS396)-ROW(AS$15),0),0)</f>
        <v>0</v>
      </c>
      <c r="AT396" s="632">
        <f ca="1">IF(AND($D396="Serviço",AT$12&lt;&gt;0,$H396&gt;0,OR(AUTOEVENTO&lt;&gt;"manual",$M396&lt;&gt;1)),ROUND(OFFSET($P396,0,AT$13),15-13*ORÇAMENTO!$AF$7)/$H396*OFFSET(ORÇAMENTO!$X$15,ROW(AT396)-ROW(AT$15),0),0)</f>
        <v>0</v>
      </c>
      <c r="AU396" s="632">
        <f ca="1">IF(AND($D396="Serviço",AU$12&lt;&gt;0,$H396&gt;0,OR(AUTOEVENTO&lt;&gt;"manual",$M396&lt;&gt;1)),ROUND(OFFSET($P396,0,AU$13),15-13*ORÇAMENTO!$AF$7)/$H396*OFFSET(ORÇAMENTO!$X$15,ROW(AU396)-ROW(AU$15),0),0)</f>
        <v>0</v>
      </c>
      <c r="AV396" s="632">
        <f ca="1">IF(AND($D396="Serviço",AV$12&lt;&gt;0,$H396&gt;0,OR(AUTOEVENTO&lt;&gt;"manual",$M396&lt;&gt;1)),ROUND(OFFSET($P396,0,AV$13),15-13*ORÇAMENTO!$AF$7)/$H396*OFFSET(ORÇAMENTO!$X$15,ROW(AV396)-ROW(AV$15),0),0)</f>
        <v>0</v>
      </c>
      <c r="AW396" s="632">
        <f ca="1">IF(AND($D396="Serviço",AW$12&lt;&gt;0,$H396&gt;0,OR(AUTOEVENTO&lt;&gt;"manual",$M396&lt;&gt;1)),ROUND(OFFSET($P396,0,AW$13),15-13*ORÇAMENTO!$AF$7)/$H396*OFFSET(ORÇAMENTO!$X$15,ROW(AW396)-ROW(AW$15),0),0)</f>
        <v>0</v>
      </c>
      <c r="AX396" s="632">
        <f ca="1">IF(AND($D396="Serviço",AX$12&lt;&gt;0,$H396&gt;0,OR(AUTOEVENTO&lt;&gt;"manual",$M396&lt;&gt;1)),ROUND(OFFSET($P396,0,AX$13),15-13*ORÇAMENTO!$AF$7)/$H396*OFFSET(ORÇAMENTO!$X$15,ROW(AX396)-ROW(AX$15),0),0)</f>
        <v>0</v>
      </c>
      <c r="AY396" s="632">
        <f ca="1">IF(AND($D396="Serviço",AY$12&lt;&gt;0,$H396&gt;0,OR(AUTOEVENTO&lt;&gt;"manual",$M396&lt;&gt;1)),ROUND(OFFSET($P396,0,AY$13),15-13*ORÇAMENTO!$AF$7)/$H396*OFFSET(ORÇAMENTO!$X$15,ROW(AY396)-ROW(AY$15),0),0)</f>
        <v>0</v>
      </c>
      <c r="AZ396" s="632">
        <f ca="1">IF(AND($D396="Serviço",AZ$12&lt;&gt;0,$H396&gt;0,OR(AUTOEVENTO&lt;&gt;"manual",$M396&lt;&gt;1)),ROUND(OFFSET($P396,0,AZ$13),15-13*ORÇAMENTO!$AF$7)/$H396*OFFSET(ORÇAMENTO!$X$15,ROW(AZ396)-ROW(AZ$15),0),0)</f>
        <v>0</v>
      </c>
      <c r="BA396" s="633">
        <f ca="1">IF(AND($D396="Serviço",BA$12&lt;&gt;0,$H396&gt;0,OR(AUTOEVENTO&lt;&gt;"manual",$M396&lt;&gt;1)),ROUND(OFFSET($P396,0,BA$13),15-13*ORÇAMENTO!$AF$7)/$H396*OFFSET(ORÇAMENTO!$X$15,ROW(BA396)-ROW(BA$15),0),0)</f>
        <v>0</v>
      </c>
      <c r="BC396" s="215">
        <f ca="1">IF($D396&lt;&gt;"Serviço",0,IF(AND(AUTOEVENTO="Manual",$M396=1),0,IF(OFFSET(CRONOPLE!$F$14,$M396,BC$13)="",10^12,OFFSET(CRONOPLE!$F$14,$M396,BC$13))))</f>
        <v>1000000000000</v>
      </c>
      <c r="BD396" s="215">
        <f ca="1">IF($D396&lt;&gt;"Serviço",0,IF(AND(AUTOEVENTO="Manual",$M396=1),0,IF(OFFSET(CRONOPLE!$F$14,$M396,BD$13)="",10^12,OFFSET(CRONOPLE!$F$14,$M396,BD$13))))</f>
        <v>1000000000000</v>
      </c>
      <c r="BE396" s="215">
        <f ca="1">IF($D396&lt;&gt;"Serviço",0,IF(AND(AUTOEVENTO="Manual",$M396=1),0,IF(OFFSET(CRONOPLE!$F$14,$M396,BE$13)="",10^12,OFFSET(CRONOPLE!$F$14,$M396,BE$13))))</f>
        <v>1000000000000</v>
      </c>
      <c r="BF396" s="215">
        <f ca="1">IF($D396&lt;&gt;"Serviço",0,IF(AND(AUTOEVENTO="Manual",$M396=1),0,IF(OFFSET(CRONOPLE!$F$14,$M396,BF$13)="",10^12,OFFSET(CRONOPLE!$F$14,$M396,BF$13))))</f>
        <v>1000000000000</v>
      </c>
      <c r="BG396" s="215">
        <f ca="1">IF($D396&lt;&gt;"Serviço",0,IF(AND(AUTOEVENTO="Manual",$M396=1),0,IF(OFFSET(CRONOPLE!$F$14,$M396,BG$13)="",10^12,OFFSET(CRONOPLE!$F$14,$M396,BG$13))))</f>
        <v>1000000000000</v>
      </c>
      <c r="BH396" s="215">
        <f ca="1">IF($D396&lt;&gt;"Serviço",0,IF(AND(AUTOEVENTO="Manual",$M396=1),0,IF(OFFSET(CRONOPLE!$F$14,$M396,BH$13)="",10^12,OFFSET(CRONOPLE!$F$14,$M396,BH$13))))</f>
        <v>1000000000000</v>
      </c>
      <c r="BI396" s="215">
        <f ca="1">IF($D396&lt;&gt;"Serviço",0,IF(AND(AUTOEVENTO="Manual",$M396=1),0,IF(OFFSET(CRONOPLE!$F$14,$M396,BI$13)="",10^12,OFFSET(CRONOPLE!$F$14,$M396,BI$13))))</f>
        <v>1000000000000</v>
      </c>
      <c r="BJ396" s="215">
        <f ca="1">IF($D396&lt;&gt;"Serviço",0,IF(AND(AUTOEVENTO="Manual",$M396=1),0,IF(OFFSET(CRONOPLE!$F$14,$M396,BJ$13)="",10^12,OFFSET(CRONOPLE!$F$14,$M396,BJ$13))))</f>
        <v>1000000000000</v>
      </c>
      <c r="BK396" s="215">
        <f ca="1">IF($D396&lt;&gt;"Serviço",0,IF(AND(AUTOEVENTO="Manual",$M396=1),0,IF(OFFSET(CRONOPLE!$F$14,$M396,BK$13)="",10^12,OFFSET(CRONOPLE!$F$14,$M396,BK$13))))</f>
        <v>1000000000000</v>
      </c>
      <c r="BL396" s="215">
        <f ca="1">IF($D396&lt;&gt;"Serviço",0,IF(AND(AUTOEVENTO="Manual",$M396=1),0,IF(OFFSET(CRONOPLE!$F$14,$M396,BL$13)="",10^12,OFFSET(CRONOPLE!$F$14,$M396,BL$13))))</f>
        <v>1000000000000</v>
      </c>
      <c r="BM396" s="215">
        <f ca="1">IF($D396&lt;&gt;"Serviço",0,IF(AND(AUTOEVENTO="Manual",$M396=1),0,IF(OFFSET(CRONOPLE!$F$14,$M396,BM$13)="",10^12,OFFSET(CRONOPLE!$F$14,$M396,BM$13))))</f>
        <v>1000000000000</v>
      </c>
      <c r="BN396" s="215">
        <f ca="1">IF($D396&lt;&gt;"Serviço",0,IF(AND(AUTOEVENTO="Manual",$M396=1),0,IF(OFFSET(CRONOPLE!$F$14,$M396,BN$13)="",10^12,OFFSET(CRONOPLE!$F$14,$M396,BN$13))))</f>
        <v>1000000000000</v>
      </c>
      <c r="BO396" s="215">
        <f ca="1">IF($D396&lt;&gt;"Serviço",0,IF(AND(AUTOEVENTO="Manual",$M396=1),0,IF(OFFSET(CRONOPLE!$F$14,$M396,BO$13)="",10^12,OFFSET(CRONOPLE!$F$14,$M396,BO$13))))</f>
        <v>1000000000000</v>
      </c>
      <c r="BP396" s="215">
        <f ca="1">IF($D396&lt;&gt;"Serviço",0,IF(AND(AUTOEVENTO="Manual",$M396=1),0,IF(OFFSET(CRONOPLE!$F$14,$M396,BP$13)="",10^12,OFFSET(CRONOPLE!$F$14,$M396,BP$13))))</f>
        <v>1000000000000</v>
      </c>
      <c r="BQ396" s="215">
        <f ca="1">IF($D396&lt;&gt;"Serviço",0,IF(AND(AUTOEVENTO="Manual",$M396=1),0,IF(OFFSET(CRONOPLE!$F$14,$M396,BQ$13)="",10^12,OFFSET(CRONOPLE!$F$14,$M396,BQ$13))))</f>
        <v>1000000000000</v>
      </c>
      <c r="BR396" s="215">
        <f ca="1">IF($D396&lt;&gt;"Serviço",0,IF(AND(AUTOEVENTO="Manual",$M396=1),0,IF(OFFSET(CRONOPLE!$F$14,$M396,BR$13)="",10^12,OFFSET(CRONOPLE!$F$14,$M396,BR$13))))</f>
        <v>1000000000000</v>
      </c>
      <c r="BS396" s="215">
        <f ca="1">IF($D396&lt;&gt;"Serviço",0,IF(AND(AUTOEVENTO="Manual",$M396=1),0,IF(OFFSET(CRONOPLE!$F$14,$M396,BS$13)="",10^12,OFFSET(CRONOPLE!$F$14,$M396,BS$13))))</f>
        <v>1000000000000</v>
      </c>
      <c r="BT396" s="215">
        <f ca="1">IF($D396&lt;&gt;"Serviço",0,IF(AND(AUTOEVENTO="Manual",$M396=1),0,IF(OFFSET(CRONOPLE!$F$14,$M396,BT$13)="",10^12,OFFSET(CRONOPLE!$F$14,$M396,BT$13))))</f>
        <v>1000000000000</v>
      </c>
      <c r="BV396" s="216">
        <f ca="1">IF($D396&lt;&gt;"Serviço",0,IF(OR(AND(AUTOEVENTO="Manual",$M396=1),$M396&gt;(ROW(PLE.lastrow)-ROW(PLE.firstrow))),0,IF(OFFSET(PLE!$G$14,$M396,BV$13)="",10^12,OFFSET(PLE!$G$14,$M396,BV$13))))</f>
        <v>1000000000000</v>
      </c>
      <c r="BW396" s="216">
        <f ca="1">IF($D396&lt;&gt;"Serviço",0,IF(OR(AND(AUTOEVENTO="Manual",$M396=1),$M396&gt;(ROW(PLE.lastrow)-ROW(PLE.firstrow))),0,IF(OFFSET(PLE!$G$14,$M396,BW$13)="",10^12,OFFSET(PLE!$G$14,$M396,BW$13))))</f>
        <v>1000000000000</v>
      </c>
      <c r="BX396" s="216">
        <f ca="1">IF($D396&lt;&gt;"Serviço",0,IF(OR(AND(AUTOEVENTO="Manual",$M396=1),$M396&gt;(ROW(PLE.lastrow)-ROW(PLE.firstrow))),0,IF(OFFSET(PLE!$G$14,$M396,BX$13)="",10^12,OFFSET(PLE!$G$14,$M396,BX$13))))</f>
        <v>1000000000000</v>
      </c>
      <c r="BY396" s="216">
        <f ca="1">IF($D396&lt;&gt;"Serviço",0,IF(OR(AND(AUTOEVENTO="Manual",$M396=1),$M396&gt;(ROW(PLE.lastrow)-ROW(PLE.firstrow))),0,IF(OFFSET(PLE!$G$14,$M396,BY$13)="",10^12,OFFSET(PLE!$G$14,$M396,BY$13))))</f>
        <v>1000000000000</v>
      </c>
      <c r="BZ396" s="216">
        <f ca="1">IF($D396&lt;&gt;"Serviço",0,IF(OR(AND(AUTOEVENTO="Manual",$M396=1),$M396&gt;(ROW(PLE.lastrow)-ROW(PLE.firstrow))),0,IF(OFFSET(PLE!$G$14,$M396,BZ$13)="",10^12,OFFSET(PLE!$G$14,$M396,BZ$13))))</f>
        <v>1000000000000</v>
      </c>
      <c r="CA396" s="216">
        <f ca="1">IF($D396&lt;&gt;"Serviço",0,IF(OR(AND(AUTOEVENTO="Manual",$M396=1),$M396&gt;(ROW(PLE.lastrow)-ROW(PLE.firstrow))),0,IF(OFFSET(PLE!$G$14,$M396,CA$13)="",10^12,OFFSET(PLE!$G$14,$M396,CA$13))))</f>
        <v>1000000000000</v>
      </c>
      <c r="CB396" s="216">
        <f ca="1">IF($D396&lt;&gt;"Serviço",0,IF(OR(AND(AUTOEVENTO="Manual",$M396=1),$M396&gt;(ROW(PLE.lastrow)-ROW(PLE.firstrow))),0,IF(OFFSET(PLE!$G$14,$M396,CB$13)="",10^12,OFFSET(PLE!$G$14,$M396,CB$13))))</f>
        <v>1000000000000</v>
      </c>
      <c r="CC396" s="216">
        <f ca="1">IF($D396&lt;&gt;"Serviço",0,IF(OR(AND(AUTOEVENTO="Manual",$M396=1),$M396&gt;(ROW(PLE.lastrow)-ROW(PLE.firstrow))),0,IF(OFFSET(PLE!$G$14,$M396,CC$13)="",10^12,OFFSET(PLE!$G$14,$M396,CC$13))))</f>
        <v>1000000000000</v>
      </c>
      <c r="CD396" s="216">
        <f ca="1">IF($D396&lt;&gt;"Serviço",0,IF(OR(AND(AUTOEVENTO="Manual",$M396=1),$M396&gt;(ROW(PLE.lastrow)-ROW(PLE.firstrow))),0,IF(OFFSET(PLE!$G$14,$M396,CD$13)="",10^12,OFFSET(PLE!$G$14,$M396,CD$13))))</f>
        <v>1000000000000</v>
      </c>
      <c r="CE396" s="216">
        <f ca="1">IF($D396&lt;&gt;"Serviço",0,IF(OR(AND(AUTOEVENTO="Manual",$M396=1),$M396&gt;(ROW(PLE.lastrow)-ROW(PLE.firstrow))),0,IF(OFFSET(PLE!$G$14,$M396,CE$13)="",10^12,OFFSET(PLE!$G$14,$M396,CE$13))))</f>
        <v>1000000000000</v>
      </c>
      <c r="CF396" s="216">
        <f ca="1">IF($D396&lt;&gt;"Serviço",0,IF(OR(AND(AUTOEVENTO="Manual",$M396=1),$M396&gt;(ROW(PLE.lastrow)-ROW(PLE.firstrow))),0,IF(OFFSET(PLE!$G$14,$M396,CF$13)="",10^12,OFFSET(PLE!$G$14,$M396,CF$13))))</f>
        <v>1000000000000</v>
      </c>
      <c r="CG396" s="216">
        <f ca="1">IF($D396&lt;&gt;"Serviço",0,IF(OR(AND(AUTOEVENTO="Manual",$M396=1),$M396&gt;(ROW(PLE.lastrow)-ROW(PLE.firstrow))),0,IF(OFFSET(PLE!$G$14,$M396,CG$13)="",10^12,OFFSET(PLE!$G$14,$M396,CG$13))))</f>
        <v>1000000000000</v>
      </c>
      <c r="CH396" s="216">
        <f ca="1">IF($D396&lt;&gt;"Serviço",0,IF(OR(AND(AUTOEVENTO="Manual",$M396=1),$M396&gt;(ROW(PLE.lastrow)-ROW(PLE.firstrow))),0,IF(OFFSET(PLE!$G$14,$M396,CH$13)="",10^12,OFFSET(PLE!$G$14,$M396,CH$13))))</f>
        <v>1000000000000</v>
      </c>
      <c r="CI396" s="216">
        <f ca="1">IF($D396&lt;&gt;"Serviço",0,IF(OR(AND(AUTOEVENTO="Manual",$M396=1),$M396&gt;(ROW(PLE.lastrow)-ROW(PLE.firstrow))),0,IF(OFFSET(PLE!$G$14,$M396,CI$13)="",10^12,OFFSET(PLE!$G$14,$M396,CI$13))))</f>
        <v>1000000000000</v>
      </c>
      <c r="CJ396" s="216">
        <f ca="1">IF($D396&lt;&gt;"Serviço",0,IF(OR(AND(AUTOEVENTO="Manual",$M396=1),$M396&gt;(ROW(PLE.lastrow)-ROW(PLE.firstrow))),0,IF(OFFSET(PLE!$G$14,$M396,CJ$13)="",10^12,OFFSET(PLE!$G$14,$M396,CJ$13))))</f>
        <v>1000000000000</v>
      </c>
      <c r="CK396" s="216">
        <f ca="1">IF($D396&lt;&gt;"Serviço",0,IF(OR(AND(AUTOEVENTO="Manual",$M396=1),$M396&gt;(ROW(PLE.lastrow)-ROW(PLE.firstrow))),0,IF(OFFSET(PLE!$G$14,$M396,CK$13)="",10^12,OFFSET(PLE!$G$14,$M396,CK$13))))</f>
        <v>1000000000000</v>
      </c>
      <c r="CL396" s="216">
        <f ca="1">IF($D396&lt;&gt;"Serviço",0,IF(OR(AND(AUTOEVENTO="Manual",$M396=1),$M396&gt;(ROW(PLE.lastrow)-ROW(PLE.firstrow))),0,IF(OFFSET(PLE!$G$14,$M396,CL$13)="",10^12,OFFSET(PLE!$G$14,$M396,CL$13))))</f>
        <v>1000000000000</v>
      </c>
      <c r="CM396" s="216">
        <f ca="1">IF($D396&lt;&gt;"Serviço",0,IF(OR(AND(AUTOEVENTO="Manual",$M396=1),$M396&gt;(ROW(PLE.lastrow)-ROW(PLE.firstrow))),0,IF(OFFSET(PLE!$G$14,$M396,CM$13)="",10^12,OFFSET(PLE!$G$14,$M396,CM$13))))</f>
        <v>1000000000000</v>
      </c>
    </row>
    <row r="397" spans="1:91" ht="13.2" x14ac:dyDescent="0.25">
      <c r="A397" s="9">
        <f t="shared" ca="1" si="15"/>
        <v>0</v>
      </c>
      <c r="B397" s="9" t="str">
        <f ca="1">OFFSET(ORÇAMENTO!C$15,ROW(B397)-ROW(B$15),0)</f>
        <v>S</v>
      </c>
      <c r="C397" s="9" t="str">
        <f ca="1">OFFSET(ORÇAMENTO!L$15,ROW(C397)-ROW(C$15),0)</f>
        <v/>
      </c>
      <c r="D397" s="145" t="str">
        <f ca="1">OFFSET(ORÇAMENTO!N$15,ROW(D397)-ROW(D$15),0)</f>
        <v>Serviço</v>
      </c>
      <c r="E397" s="205" t="str">
        <f ca="1">OFFSET(ORÇAMENTO!O$15,ROW(E397)-ROW(E$15),0)</f>
        <v>-</v>
      </c>
      <c r="F397" s="206" t="str">
        <f ca="1">OFFSET(ORÇAMENTO!R$15,ROW(F397)-ROW(F$15),0)</f>
        <v>(abra o arquivo 'Referência 05-2024.xls)</v>
      </c>
      <c r="G397" s="207" t="str">
        <f ca="1">IF($D397&lt;&gt;"Serviço","",OFFSET(ORÇAMENTO!S$15,ROW(G397)-ROW(G$15),0))</f>
        <v>-</v>
      </c>
      <c r="H397" s="151">
        <f ca="1">IF($D397&lt;&gt;"Serviço",0,IF(ACOMPANHAMENTO="BM",ROUND(OFFSET(ORÇAMENTO!AJ$15,ROW(H397)-ROW(H$15),0),15-13*ORÇAMENTO!$AF$7),SUMPRODUCT(($Q$12:$AI$12&lt;&gt;"")*ROUND($Q397:$AI397,15-13*ORÇAMENTO!$AF$7))))</f>
        <v>45</v>
      </c>
      <c r="I397" s="650"/>
      <c r="K397" s="208"/>
      <c r="L397" s="209" t="s">
        <v>257</v>
      </c>
      <c r="M397" s="210">
        <f ca="1">IF($D397&lt;&gt;"Serviço","",IF(AUTOEVENTO="manual",$A397,IF(ISERROR(MATCH($A397,$A$15:OFFSET($A397,-1,0),0)),MAX($M$15:OFFSET(M397,-1,0))+1,INDEX($M$15:OFFSET(M397,-1,0),MATCH($A397,$A$15:OFFSET($A397,-1,0),0)))))</f>
        <v>0</v>
      </c>
      <c r="N397" s="211" t="str">
        <f ca="1">IF($D397&lt;&gt;"Serviço","",IF(AUTOEVENTO="Manual",IF($A397=0,"&lt;-- defina o número do agrupador",OFFSET(EVENTOS!$D$14,$A397,0)),OFFSET($F$15,$A397,0)))</f>
        <v>&lt;-- defina o número do agrupador</v>
      </c>
      <c r="O397" s="212"/>
      <c r="Q397" s="212"/>
      <c r="R397" s="213"/>
      <c r="S397" s="213"/>
      <c r="T397" s="213"/>
      <c r="U397" s="213"/>
      <c r="V397" s="213"/>
      <c r="W397" s="213"/>
      <c r="X397" s="213"/>
      <c r="Y397" s="213"/>
      <c r="Z397" s="214"/>
      <c r="AA397" s="213"/>
      <c r="AB397" s="213"/>
      <c r="AC397" s="213"/>
      <c r="AD397" s="213"/>
      <c r="AE397" s="213"/>
      <c r="AF397" s="213"/>
      <c r="AG397" s="213"/>
      <c r="AH397" s="214"/>
      <c r="AJ397" s="631">
        <f ca="1">IF(AND($D397="Serviço",AJ$12&lt;&gt;0,$H397&gt;0,OR(AUTOEVENTO&lt;&gt;"manual",$M397&lt;&gt;1)),ROUND(OFFSET($P397,0,AJ$13),15-13*ORÇAMENTO!$AF$7)/$H397*OFFSET(ORÇAMENTO!$X$15,ROW(AJ397)-ROW(AJ$15),0),0)</f>
        <v>0</v>
      </c>
      <c r="AK397" s="632">
        <f ca="1">IF(AND($D397="Serviço",AK$12&lt;&gt;0,$H397&gt;0,OR(AUTOEVENTO&lt;&gt;"manual",$M397&lt;&gt;1)),ROUND(OFFSET($P397,0,AK$13),15-13*ORÇAMENTO!$AF$7)/$H397*OFFSET(ORÇAMENTO!$X$15,ROW(AK397)-ROW(AK$15),0),0)</f>
        <v>0</v>
      </c>
      <c r="AL397" s="632">
        <f ca="1">IF(AND($D397="Serviço",AL$12&lt;&gt;0,$H397&gt;0,OR(AUTOEVENTO&lt;&gt;"manual",$M397&lt;&gt;1)),ROUND(OFFSET($P397,0,AL$13),15-13*ORÇAMENTO!$AF$7)/$H397*OFFSET(ORÇAMENTO!$X$15,ROW(AL397)-ROW(AL$15),0),0)</f>
        <v>0</v>
      </c>
      <c r="AM397" s="632">
        <f ca="1">IF(AND($D397="Serviço",AM$12&lt;&gt;0,$H397&gt;0,OR(AUTOEVENTO&lt;&gt;"manual",$M397&lt;&gt;1)),ROUND(OFFSET($P397,0,AM$13),15-13*ORÇAMENTO!$AF$7)/$H397*OFFSET(ORÇAMENTO!$X$15,ROW(AM397)-ROW(AM$15),0),0)</f>
        <v>0</v>
      </c>
      <c r="AN397" s="632">
        <f ca="1">IF(AND($D397="Serviço",AN$12&lt;&gt;0,$H397&gt;0,OR(AUTOEVENTO&lt;&gt;"manual",$M397&lt;&gt;1)),ROUND(OFFSET($P397,0,AN$13),15-13*ORÇAMENTO!$AF$7)/$H397*OFFSET(ORÇAMENTO!$X$15,ROW(AN397)-ROW(AN$15),0),0)</f>
        <v>0</v>
      </c>
      <c r="AO397" s="632">
        <f ca="1">IF(AND($D397="Serviço",AO$12&lt;&gt;0,$H397&gt;0,OR(AUTOEVENTO&lt;&gt;"manual",$M397&lt;&gt;1)),ROUND(OFFSET($P397,0,AO$13),15-13*ORÇAMENTO!$AF$7)/$H397*OFFSET(ORÇAMENTO!$X$15,ROW(AO397)-ROW(AO$15),0),0)</f>
        <v>0</v>
      </c>
      <c r="AP397" s="632">
        <f ca="1">IF(AND($D397="Serviço",AP$12&lt;&gt;0,$H397&gt;0,OR(AUTOEVENTO&lt;&gt;"manual",$M397&lt;&gt;1)),ROUND(OFFSET($P397,0,AP$13),15-13*ORÇAMENTO!$AF$7)/$H397*OFFSET(ORÇAMENTO!$X$15,ROW(AP397)-ROW(AP$15),0),0)</f>
        <v>0</v>
      </c>
      <c r="AQ397" s="632">
        <f ca="1">IF(AND($D397="Serviço",AQ$12&lt;&gt;0,$H397&gt;0,OR(AUTOEVENTO&lt;&gt;"manual",$M397&lt;&gt;1)),ROUND(OFFSET($P397,0,AQ$13),15-13*ORÇAMENTO!$AF$7)/$H397*OFFSET(ORÇAMENTO!$X$15,ROW(AQ397)-ROW(AQ$15),0),0)</f>
        <v>0</v>
      </c>
      <c r="AR397" s="632">
        <f ca="1">IF(AND($D397="Serviço",AR$12&lt;&gt;0,$H397&gt;0,OR(AUTOEVENTO&lt;&gt;"manual",$M397&lt;&gt;1)),ROUND(OFFSET($P397,0,AR$13),15-13*ORÇAMENTO!$AF$7)/$H397*OFFSET(ORÇAMENTO!$X$15,ROW(AR397)-ROW(AR$15),0),0)</f>
        <v>0</v>
      </c>
      <c r="AS397" s="633">
        <f ca="1">IF(AND($D397="Serviço",AS$12&lt;&gt;0,$H397&gt;0,OR(AUTOEVENTO&lt;&gt;"manual",$M397&lt;&gt;1)),ROUND(OFFSET($P397,0,AS$13),15-13*ORÇAMENTO!$AF$7)/$H397*OFFSET(ORÇAMENTO!$X$15,ROW(AS397)-ROW(AS$15),0),0)</f>
        <v>0</v>
      </c>
      <c r="AT397" s="632">
        <f ca="1">IF(AND($D397="Serviço",AT$12&lt;&gt;0,$H397&gt;0,OR(AUTOEVENTO&lt;&gt;"manual",$M397&lt;&gt;1)),ROUND(OFFSET($P397,0,AT$13),15-13*ORÇAMENTO!$AF$7)/$H397*OFFSET(ORÇAMENTO!$X$15,ROW(AT397)-ROW(AT$15),0),0)</f>
        <v>0</v>
      </c>
      <c r="AU397" s="632">
        <f ca="1">IF(AND($D397="Serviço",AU$12&lt;&gt;0,$H397&gt;0,OR(AUTOEVENTO&lt;&gt;"manual",$M397&lt;&gt;1)),ROUND(OFFSET($P397,0,AU$13),15-13*ORÇAMENTO!$AF$7)/$H397*OFFSET(ORÇAMENTO!$X$15,ROW(AU397)-ROW(AU$15),0),0)</f>
        <v>0</v>
      </c>
      <c r="AV397" s="632">
        <f ca="1">IF(AND($D397="Serviço",AV$12&lt;&gt;0,$H397&gt;0,OR(AUTOEVENTO&lt;&gt;"manual",$M397&lt;&gt;1)),ROUND(OFFSET($P397,0,AV$13),15-13*ORÇAMENTO!$AF$7)/$H397*OFFSET(ORÇAMENTO!$X$15,ROW(AV397)-ROW(AV$15),0),0)</f>
        <v>0</v>
      </c>
      <c r="AW397" s="632">
        <f ca="1">IF(AND($D397="Serviço",AW$12&lt;&gt;0,$H397&gt;0,OR(AUTOEVENTO&lt;&gt;"manual",$M397&lt;&gt;1)),ROUND(OFFSET($P397,0,AW$13),15-13*ORÇAMENTO!$AF$7)/$H397*OFFSET(ORÇAMENTO!$X$15,ROW(AW397)-ROW(AW$15),0),0)</f>
        <v>0</v>
      </c>
      <c r="AX397" s="632">
        <f ca="1">IF(AND($D397="Serviço",AX$12&lt;&gt;0,$H397&gt;0,OR(AUTOEVENTO&lt;&gt;"manual",$M397&lt;&gt;1)),ROUND(OFFSET($P397,0,AX$13),15-13*ORÇAMENTO!$AF$7)/$H397*OFFSET(ORÇAMENTO!$X$15,ROW(AX397)-ROW(AX$15),0),0)</f>
        <v>0</v>
      </c>
      <c r="AY397" s="632">
        <f ca="1">IF(AND($D397="Serviço",AY$12&lt;&gt;0,$H397&gt;0,OR(AUTOEVENTO&lt;&gt;"manual",$M397&lt;&gt;1)),ROUND(OFFSET($P397,0,AY$13),15-13*ORÇAMENTO!$AF$7)/$H397*OFFSET(ORÇAMENTO!$X$15,ROW(AY397)-ROW(AY$15),0),0)</f>
        <v>0</v>
      </c>
      <c r="AZ397" s="632">
        <f ca="1">IF(AND($D397="Serviço",AZ$12&lt;&gt;0,$H397&gt;0,OR(AUTOEVENTO&lt;&gt;"manual",$M397&lt;&gt;1)),ROUND(OFFSET($P397,0,AZ$13),15-13*ORÇAMENTO!$AF$7)/$H397*OFFSET(ORÇAMENTO!$X$15,ROW(AZ397)-ROW(AZ$15),0),0)</f>
        <v>0</v>
      </c>
      <c r="BA397" s="633">
        <f ca="1">IF(AND($D397="Serviço",BA$12&lt;&gt;0,$H397&gt;0,OR(AUTOEVENTO&lt;&gt;"manual",$M397&lt;&gt;1)),ROUND(OFFSET($P397,0,BA$13),15-13*ORÇAMENTO!$AF$7)/$H397*OFFSET(ORÇAMENTO!$X$15,ROW(BA397)-ROW(BA$15),0),0)</f>
        <v>0</v>
      </c>
      <c r="BC397" s="215">
        <f ca="1">IF($D397&lt;&gt;"Serviço",0,IF(AND(AUTOEVENTO="Manual",$M397=1),0,IF(OFFSET(CRONOPLE!$F$14,$M397,BC$13)="",10^12,OFFSET(CRONOPLE!$F$14,$M397,BC$13))))</f>
        <v>1000000000000</v>
      </c>
      <c r="BD397" s="215">
        <f ca="1">IF($D397&lt;&gt;"Serviço",0,IF(AND(AUTOEVENTO="Manual",$M397=1),0,IF(OFFSET(CRONOPLE!$F$14,$M397,BD$13)="",10^12,OFFSET(CRONOPLE!$F$14,$M397,BD$13))))</f>
        <v>1000000000000</v>
      </c>
      <c r="BE397" s="215">
        <f ca="1">IF($D397&lt;&gt;"Serviço",0,IF(AND(AUTOEVENTO="Manual",$M397=1),0,IF(OFFSET(CRONOPLE!$F$14,$M397,BE$13)="",10^12,OFFSET(CRONOPLE!$F$14,$M397,BE$13))))</f>
        <v>1000000000000</v>
      </c>
      <c r="BF397" s="215">
        <f ca="1">IF($D397&lt;&gt;"Serviço",0,IF(AND(AUTOEVENTO="Manual",$M397=1),0,IF(OFFSET(CRONOPLE!$F$14,$M397,BF$13)="",10^12,OFFSET(CRONOPLE!$F$14,$M397,BF$13))))</f>
        <v>1000000000000</v>
      </c>
      <c r="BG397" s="215">
        <f ca="1">IF($D397&lt;&gt;"Serviço",0,IF(AND(AUTOEVENTO="Manual",$M397=1),0,IF(OFFSET(CRONOPLE!$F$14,$M397,BG$13)="",10^12,OFFSET(CRONOPLE!$F$14,$M397,BG$13))))</f>
        <v>1000000000000</v>
      </c>
      <c r="BH397" s="215">
        <f ca="1">IF($D397&lt;&gt;"Serviço",0,IF(AND(AUTOEVENTO="Manual",$M397=1),0,IF(OFFSET(CRONOPLE!$F$14,$M397,BH$13)="",10^12,OFFSET(CRONOPLE!$F$14,$M397,BH$13))))</f>
        <v>1000000000000</v>
      </c>
      <c r="BI397" s="215">
        <f ca="1">IF($D397&lt;&gt;"Serviço",0,IF(AND(AUTOEVENTO="Manual",$M397=1),0,IF(OFFSET(CRONOPLE!$F$14,$M397,BI$13)="",10^12,OFFSET(CRONOPLE!$F$14,$M397,BI$13))))</f>
        <v>1000000000000</v>
      </c>
      <c r="BJ397" s="215">
        <f ca="1">IF($D397&lt;&gt;"Serviço",0,IF(AND(AUTOEVENTO="Manual",$M397=1),0,IF(OFFSET(CRONOPLE!$F$14,$M397,BJ$13)="",10^12,OFFSET(CRONOPLE!$F$14,$M397,BJ$13))))</f>
        <v>1000000000000</v>
      </c>
      <c r="BK397" s="215">
        <f ca="1">IF($D397&lt;&gt;"Serviço",0,IF(AND(AUTOEVENTO="Manual",$M397=1),0,IF(OFFSET(CRONOPLE!$F$14,$M397,BK$13)="",10^12,OFFSET(CRONOPLE!$F$14,$M397,BK$13))))</f>
        <v>1000000000000</v>
      </c>
      <c r="BL397" s="215">
        <f ca="1">IF($D397&lt;&gt;"Serviço",0,IF(AND(AUTOEVENTO="Manual",$M397=1),0,IF(OFFSET(CRONOPLE!$F$14,$M397,BL$13)="",10^12,OFFSET(CRONOPLE!$F$14,$M397,BL$13))))</f>
        <v>1000000000000</v>
      </c>
      <c r="BM397" s="215">
        <f ca="1">IF($D397&lt;&gt;"Serviço",0,IF(AND(AUTOEVENTO="Manual",$M397=1),0,IF(OFFSET(CRONOPLE!$F$14,$M397,BM$13)="",10^12,OFFSET(CRONOPLE!$F$14,$M397,BM$13))))</f>
        <v>1000000000000</v>
      </c>
      <c r="BN397" s="215">
        <f ca="1">IF($D397&lt;&gt;"Serviço",0,IF(AND(AUTOEVENTO="Manual",$M397=1),0,IF(OFFSET(CRONOPLE!$F$14,$M397,BN$13)="",10^12,OFFSET(CRONOPLE!$F$14,$M397,BN$13))))</f>
        <v>1000000000000</v>
      </c>
      <c r="BO397" s="215">
        <f ca="1">IF($D397&lt;&gt;"Serviço",0,IF(AND(AUTOEVENTO="Manual",$M397=1),0,IF(OFFSET(CRONOPLE!$F$14,$M397,BO$13)="",10^12,OFFSET(CRONOPLE!$F$14,$M397,BO$13))))</f>
        <v>1000000000000</v>
      </c>
      <c r="BP397" s="215">
        <f ca="1">IF($D397&lt;&gt;"Serviço",0,IF(AND(AUTOEVENTO="Manual",$M397=1),0,IF(OFFSET(CRONOPLE!$F$14,$M397,BP$13)="",10^12,OFFSET(CRONOPLE!$F$14,$M397,BP$13))))</f>
        <v>1000000000000</v>
      </c>
      <c r="BQ397" s="215">
        <f ca="1">IF($D397&lt;&gt;"Serviço",0,IF(AND(AUTOEVENTO="Manual",$M397=1),0,IF(OFFSET(CRONOPLE!$F$14,$M397,BQ$13)="",10^12,OFFSET(CRONOPLE!$F$14,$M397,BQ$13))))</f>
        <v>1000000000000</v>
      </c>
      <c r="BR397" s="215">
        <f ca="1">IF($D397&lt;&gt;"Serviço",0,IF(AND(AUTOEVENTO="Manual",$M397=1),0,IF(OFFSET(CRONOPLE!$F$14,$M397,BR$13)="",10^12,OFFSET(CRONOPLE!$F$14,$M397,BR$13))))</f>
        <v>1000000000000</v>
      </c>
      <c r="BS397" s="215">
        <f ca="1">IF($D397&lt;&gt;"Serviço",0,IF(AND(AUTOEVENTO="Manual",$M397=1),0,IF(OFFSET(CRONOPLE!$F$14,$M397,BS$13)="",10^12,OFFSET(CRONOPLE!$F$14,$M397,BS$13))))</f>
        <v>1000000000000</v>
      </c>
      <c r="BT397" s="215">
        <f ca="1">IF($D397&lt;&gt;"Serviço",0,IF(AND(AUTOEVENTO="Manual",$M397=1),0,IF(OFFSET(CRONOPLE!$F$14,$M397,BT$13)="",10^12,OFFSET(CRONOPLE!$F$14,$M397,BT$13))))</f>
        <v>1000000000000</v>
      </c>
      <c r="BV397" s="216">
        <f ca="1">IF($D397&lt;&gt;"Serviço",0,IF(OR(AND(AUTOEVENTO="Manual",$M397=1),$M397&gt;(ROW(PLE.lastrow)-ROW(PLE.firstrow))),0,IF(OFFSET(PLE!$G$14,$M397,BV$13)="",10^12,OFFSET(PLE!$G$14,$M397,BV$13))))</f>
        <v>1000000000000</v>
      </c>
      <c r="BW397" s="216">
        <f ca="1">IF($D397&lt;&gt;"Serviço",0,IF(OR(AND(AUTOEVENTO="Manual",$M397=1),$M397&gt;(ROW(PLE.lastrow)-ROW(PLE.firstrow))),0,IF(OFFSET(PLE!$G$14,$M397,BW$13)="",10^12,OFFSET(PLE!$G$14,$M397,BW$13))))</f>
        <v>1000000000000</v>
      </c>
      <c r="BX397" s="216">
        <f ca="1">IF($D397&lt;&gt;"Serviço",0,IF(OR(AND(AUTOEVENTO="Manual",$M397=1),$M397&gt;(ROW(PLE.lastrow)-ROW(PLE.firstrow))),0,IF(OFFSET(PLE!$G$14,$M397,BX$13)="",10^12,OFFSET(PLE!$G$14,$M397,BX$13))))</f>
        <v>1000000000000</v>
      </c>
      <c r="BY397" s="216">
        <f ca="1">IF($D397&lt;&gt;"Serviço",0,IF(OR(AND(AUTOEVENTO="Manual",$M397=1),$M397&gt;(ROW(PLE.lastrow)-ROW(PLE.firstrow))),0,IF(OFFSET(PLE!$G$14,$M397,BY$13)="",10^12,OFFSET(PLE!$G$14,$M397,BY$13))))</f>
        <v>1000000000000</v>
      </c>
      <c r="BZ397" s="216">
        <f ca="1">IF($D397&lt;&gt;"Serviço",0,IF(OR(AND(AUTOEVENTO="Manual",$M397=1),$M397&gt;(ROW(PLE.lastrow)-ROW(PLE.firstrow))),0,IF(OFFSET(PLE!$G$14,$M397,BZ$13)="",10^12,OFFSET(PLE!$G$14,$M397,BZ$13))))</f>
        <v>1000000000000</v>
      </c>
      <c r="CA397" s="216">
        <f ca="1">IF($D397&lt;&gt;"Serviço",0,IF(OR(AND(AUTOEVENTO="Manual",$M397=1),$M397&gt;(ROW(PLE.lastrow)-ROW(PLE.firstrow))),0,IF(OFFSET(PLE!$G$14,$M397,CA$13)="",10^12,OFFSET(PLE!$G$14,$M397,CA$13))))</f>
        <v>1000000000000</v>
      </c>
      <c r="CB397" s="216">
        <f ca="1">IF($D397&lt;&gt;"Serviço",0,IF(OR(AND(AUTOEVENTO="Manual",$M397=1),$M397&gt;(ROW(PLE.lastrow)-ROW(PLE.firstrow))),0,IF(OFFSET(PLE!$G$14,$M397,CB$13)="",10^12,OFFSET(PLE!$G$14,$M397,CB$13))))</f>
        <v>1000000000000</v>
      </c>
      <c r="CC397" s="216">
        <f ca="1">IF($D397&lt;&gt;"Serviço",0,IF(OR(AND(AUTOEVENTO="Manual",$M397=1),$M397&gt;(ROW(PLE.lastrow)-ROW(PLE.firstrow))),0,IF(OFFSET(PLE!$G$14,$M397,CC$13)="",10^12,OFFSET(PLE!$G$14,$M397,CC$13))))</f>
        <v>1000000000000</v>
      </c>
      <c r="CD397" s="216">
        <f ca="1">IF($D397&lt;&gt;"Serviço",0,IF(OR(AND(AUTOEVENTO="Manual",$M397=1),$M397&gt;(ROW(PLE.lastrow)-ROW(PLE.firstrow))),0,IF(OFFSET(PLE!$G$14,$M397,CD$13)="",10^12,OFFSET(PLE!$G$14,$M397,CD$13))))</f>
        <v>1000000000000</v>
      </c>
      <c r="CE397" s="216">
        <f ca="1">IF($D397&lt;&gt;"Serviço",0,IF(OR(AND(AUTOEVENTO="Manual",$M397=1),$M397&gt;(ROW(PLE.lastrow)-ROW(PLE.firstrow))),0,IF(OFFSET(PLE!$G$14,$M397,CE$13)="",10^12,OFFSET(PLE!$G$14,$M397,CE$13))))</f>
        <v>1000000000000</v>
      </c>
      <c r="CF397" s="216">
        <f ca="1">IF($D397&lt;&gt;"Serviço",0,IF(OR(AND(AUTOEVENTO="Manual",$M397=1),$M397&gt;(ROW(PLE.lastrow)-ROW(PLE.firstrow))),0,IF(OFFSET(PLE!$G$14,$M397,CF$13)="",10^12,OFFSET(PLE!$G$14,$M397,CF$13))))</f>
        <v>1000000000000</v>
      </c>
      <c r="CG397" s="216">
        <f ca="1">IF($D397&lt;&gt;"Serviço",0,IF(OR(AND(AUTOEVENTO="Manual",$M397=1),$M397&gt;(ROW(PLE.lastrow)-ROW(PLE.firstrow))),0,IF(OFFSET(PLE!$G$14,$M397,CG$13)="",10^12,OFFSET(PLE!$G$14,$M397,CG$13))))</f>
        <v>1000000000000</v>
      </c>
      <c r="CH397" s="216">
        <f ca="1">IF($D397&lt;&gt;"Serviço",0,IF(OR(AND(AUTOEVENTO="Manual",$M397=1),$M397&gt;(ROW(PLE.lastrow)-ROW(PLE.firstrow))),0,IF(OFFSET(PLE!$G$14,$M397,CH$13)="",10^12,OFFSET(PLE!$G$14,$M397,CH$13))))</f>
        <v>1000000000000</v>
      </c>
      <c r="CI397" s="216">
        <f ca="1">IF($D397&lt;&gt;"Serviço",0,IF(OR(AND(AUTOEVENTO="Manual",$M397=1),$M397&gt;(ROW(PLE.lastrow)-ROW(PLE.firstrow))),0,IF(OFFSET(PLE!$G$14,$M397,CI$13)="",10^12,OFFSET(PLE!$G$14,$M397,CI$13))))</f>
        <v>1000000000000</v>
      </c>
      <c r="CJ397" s="216">
        <f ca="1">IF($D397&lt;&gt;"Serviço",0,IF(OR(AND(AUTOEVENTO="Manual",$M397=1),$M397&gt;(ROW(PLE.lastrow)-ROW(PLE.firstrow))),0,IF(OFFSET(PLE!$G$14,$M397,CJ$13)="",10^12,OFFSET(PLE!$G$14,$M397,CJ$13))))</f>
        <v>1000000000000</v>
      </c>
      <c r="CK397" s="216">
        <f ca="1">IF($D397&lt;&gt;"Serviço",0,IF(OR(AND(AUTOEVENTO="Manual",$M397=1),$M397&gt;(ROW(PLE.lastrow)-ROW(PLE.firstrow))),0,IF(OFFSET(PLE!$G$14,$M397,CK$13)="",10^12,OFFSET(PLE!$G$14,$M397,CK$13))))</f>
        <v>1000000000000</v>
      </c>
      <c r="CL397" s="216">
        <f ca="1">IF($D397&lt;&gt;"Serviço",0,IF(OR(AND(AUTOEVENTO="Manual",$M397=1),$M397&gt;(ROW(PLE.lastrow)-ROW(PLE.firstrow))),0,IF(OFFSET(PLE!$G$14,$M397,CL$13)="",10^12,OFFSET(PLE!$G$14,$M397,CL$13))))</f>
        <v>1000000000000</v>
      </c>
      <c r="CM397" s="216">
        <f ca="1">IF($D397&lt;&gt;"Serviço",0,IF(OR(AND(AUTOEVENTO="Manual",$M397=1),$M397&gt;(ROW(PLE.lastrow)-ROW(PLE.firstrow))),0,IF(OFFSET(PLE!$G$14,$M397,CM$13)="",10^12,OFFSET(PLE!$G$14,$M397,CM$13))))</f>
        <v>1000000000000</v>
      </c>
    </row>
    <row r="398" spans="1:91" ht="13.2" x14ac:dyDescent="0.25">
      <c r="A398" s="9">
        <f t="shared" ca="1" si="15"/>
        <v>0</v>
      </c>
      <c r="B398" s="9" t="str">
        <f ca="1">OFFSET(ORÇAMENTO!C$15,ROW(B398)-ROW(B$15),0)</f>
        <v>S</v>
      </c>
      <c r="C398" s="9" t="str">
        <f ca="1">OFFSET(ORÇAMENTO!L$15,ROW(C398)-ROW(C$15),0)</f>
        <v/>
      </c>
      <c r="D398" s="145" t="str">
        <f ca="1">OFFSET(ORÇAMENTO!N$15,ROW(D398)-ROW(D$15),0)</f>
        <v>Serviço</v>
      </c>
      <c r="E398" s="205" t="str">
        <f ca="1">OFFSET(ORÇAMENTO!O$15,ROW(E398)-ROW(E$15),0)</f>
        <v>-</v>
      </c>
      <c r="F398" s="206" t="str">
        <f ca="1">OFFSET(ORÇAMENTO!R$15,ROW(F398)-ROW(F$15),0)</f>
        <v>(abra o arquivo 'Referência 05-2024.xls)</v>
      </c>
      <c r="G398" s="207" t="str">
        <f ca="1">IF($D398&lt;&gt;"Serviço","",OFFSET(ORÇAMENTO!S$15,ROW(G398)-ROW(G$15),0))</f>
        <v>-</v>
      </c>
      <c r="H398" s="151">
        <f ca="1">IF($D398&lt;&gt;"Serviço",0,IF(ACOMPANHAMENTO="BM",ROUND(OFFSET(ORÇAMENTO!AJ$15,ROW(H398)-ROW(H$15),0),15-13*ORÇAMENTO!$AF$7),SUMPRODUCT(($Q$12:$AI$12&lt;&gt;"")*ROUND($Q398:$AI398,15-13*ORÇAMENTO!$AF$7))))</f>
        <v>29</v>
      </c>
      <c r="I398" s="650"/>
      <c r="K398" s="208"/>
      <c r="L398" s="209" t="s">
        <v>257</v>
      </c>
      <c r="M398" s="210">
        <f ca="1">IF($D398&lt;&gt;"Serviço","",IF(AUTOEVENTO="manual",$A398,IF(ISERROR(MATCH($A398,$A$15:OFFSET($A398,-1,0),0)),MAX($M$15:OFFSET(M398,-1,0))+1,INDEX($M$15:OFFSET(M398,-1,0),MATCH($A398,$A$15:OFFSET($A398,-1,0),0)))))</f>
        <v>0</v>
      </c>
      <c r="N398" s="211" t="str">
        <f ca="1">IF($D398&lt;&gt;"Serviço","",IF(AUTOEVENTO="Manual",IF($A398=0,"&lt;-- defina o número do agrupador",OFFSET(EVENTOS!$D$14,$A398,0)),OFFSET($F$15,$A398,0)))</f>
        <v>&lt;-- defina o número do agrupador</v>
      </c>
      <c r="O398" s="212"/>
      <c r="Q398" s="212"/>
      <c r="R398" s="213"/>
      <c r="S398" s="213"/>
      <c r="T398" s="213"/>
      <c r="U398" s="213"/>
      <c r="V398" s="213"/>
      <c r="W398" s="213"/>
      <c r="X398" s="213"/>
      <c r="Y398" s="213"/>
      <c r="Z398" s="214"/>
      <c r="AA398" s="213"/>
      <c r="AB398" s="213"/>
      <c r="AC398" s="213"/>
      <c r="AD398" s="213"/>
      <c r="AE398" s="213"/>
      <c r="AF398" s="213"/>
      <c r="AG398" s="213"/>
      <c r="AH398" s="214"/>
      <c r="AJ398" s="631">
        <f ca="1">IF(AND($D398="Serviço",AJ$12&lt;&gt;0,$H398&gt;0,OR(AUTOEVENTO&lt;&gt;"manual",$M398&lt;&gt;1)),ROUND(OFFSET($P398,0,AJ$13),15-13*ORÇAMENTO!$AF$7)/$H398*OFFSET(ORÇAMENTO!$X$15,ROW(AJ398)-ROW(AJ$15),0),0)</f>
        <v>0</v>
      </c>
      <c r="AK398" s="632">
        <f ca="1">IF(AND($D398="Serviço",AK$12&lt;&gt;0,$H398&gt;0,OR(AUTOEVENTO&lt;&gt;"manual",$M398&lt;&gt;1)),ROUND(OFFSET($P398,0,AK$13),15-13*ORÇAMENTO!$AF$7)/$H398*OFFSET(ORÇAMENTO!$X$15,ROW(AK398)-ROW(AK$15),0),0)</f>
        <v>0</v>
      </c>
      <c r="AL398" s="632">
        <f ca="1">IF(AND($D398="Serviço",AL$12&lt;&gt;0,$H398&gt;0,OR(AUTOEVENTO&lt;&gt;"manual",$M398&lt;&gt;1)),ROUND(OFFSET($P398,0,AL$13),15-13*ORÇAMENTO!$AF$7)/$H398*OFFSET(ORÇAMENTO!$X$15,ROW(AL398)-ROW(AL$15),0),0)</f>
        <v>0</v>
      </c>
      <c r="AM398" s="632">
        <f ca="1">IF(AND($D398="Serviço",AM$12&lt;&gt;0,$H398&gt;0,OR(AUTOEVENTO&lt;&gt;"manual",$M398&lt;&gt;1)),ROUND(OFFSET($P398,0,AM$13),15-13*ORÇAMENTO!$AF$7)/$H398*OFFSET(ORÇAMENTO!$X$15,ROW(AM398)-ROW(AM$15),0),0)</f>
        <v>0</v>
      </c>
      <c r="AN398" s="632">
        <f ca="1">IF(AND($D398="Serviço",AN$12&lt;&gt;0,$H398&gt;0,OR(AUTOEVENTO&lt;&gt;"manual",$M398&lt;&gt;1)),ROUND(OFFSET($P398,0,AN$13),15-13*ORÇAMENTO!$AF$7)/$H398*OFFSET(ORÇAMENTO!$X$15,ROW(AN398)-ROW(AN$15),0),0)</f>
        <v>0</v>
      </c>
      <c r="AO398" s="632">
        <f ca="1">IF(AND($D398="Serviço",AO$12&lt;&gt;0,$H398&gt;0,OR(AUTOEVENTO&lt;&gt;"manual",$M398&lt;&gt;1)),ROUND(OFFSET($P398,0,AO$13),15-13*ORÇAMENTO!$AF$7)/$H398*OFFSET(ORÇAMENTO!$X$15,ROW(AO398)-ROW(AO$15),0),0)</f>
        <v>0</v>
      </c>
      <c r="AP398" s="632">
        <f ca="1">IF(AND($D398="Serviço",AP$12&lt;&gt;0,$H398&gt;0,OR(AUTOEVENTO&lt;&gt;"manual",$M398&lt;&gt;1)),ROUND(OFFSET($P398,0,AP$13),15-13*ORÇAMENTO!$AF$7)/$H398*OFFSET(ORÇAMENTO!$X$15,ROW(AP398)-ROW(AP$15),0),0)</f>
        <v>0</v>
      </c>
      <c r="AQ398" s="632">
        <f ca="1">IF(AND($D398="Serviço",AQ$12&lt;&gt;0,$H398&gt;0,OR(AUTOEVENTO&lt;&gt;"manual",$M398&lt;&gt;1)),ROUND(OFFSET($P398,0,AQ$13),15-13*ORÇAMENTO!$AF$7)/$H398*OFFSET(ORÇAMENTO!$X$15,ROW(AQ398)-ROW(AQ$15),0),0)</f>
        <v>0</v>
      </c>
      <c r="AR398" s="632">
        <f ca="1">IF(AND($D398="Serviço",AR$12&lt;&gt;0,$H398&gt;0,OR(AUTOEVENTO&lt;&gt;"manual",$M398&lt;&gt;1)),ROUND(OFFSET($P398,0,AR$13),15-13*ORÇAMENTO!$AF$7)/$H398*OFFSET(ORÇAMENTO!$X$15,ROW(AR398)-ROW(AR$15),0),0)</f>
        <v>0</v>
      </c>
      <c r="AS398" s="633">
        <f ca="1">IF(AND($D398="Serviço",AS$12&lt;&gt;0,$H398&gt;0,OR(AUTOEVENTO&lt;&gt;"manual",$M398&lt;&gt;1)),ROUND(OFFSET($P398,0,AS$13),15-13*ORÇAMENTO!$AF$7)/$H398*OFFSET(ORÇAMENTO!$X$15,ROW(AS398)-ROW(AS$15),0),0)</f>
        <v>0</v>
      </c>
      <c r="AT398" s="632">
        <f ca="1">IF(AND($D398="Serviço",AT$12&lt;&gt;0,$H398&gt;0,OR(AUTOEVENTO&lt;&gt;"manual",$M398&lt;&gt;1)),ROUND(OFFSET($P398,0,AT$13),15-13*ORÇAMENTO!$AF$7)/$H398*OFFSET(ORÇAMENTO!$X$15,ROW(AT398)-ROW(AT$15),0),0)</f>
        <v>0</v>
      </c>
      <c r="AU398" s="632">
        <f ca="1">IF(AND($D398="Serviço",AU$12&lt;&gt;0,$H398&gt;0,OR(AUTOEVENTO&lt;&gt;"manual",$M398&lt;&gt;1)),ROUND(OFFSET($P398,0,AU$13),15-13*ORÇAMENTO!$AF$7)/$H398*OFFSET(ORÇAMENTO!$X$15,ROW(AU398)-ROW(AU$15),0),0)</f>
        <v>0</v>
      </c>
      <c r="AV398" s="632">
        <f ca="1">IF(AND($D398="Serviço",AV$12&lt;&gt;0,$H398&gt;0,OR(AUTOEVENTO&lt;&gt;"manual",$M398&lt;&gt;1)),ROUND(OFFSET($P398,0,AV$13),15-13*ORÇAMENTO!$AF$7)/$H398*OFFSET(ORÇAMENTO!$X$15,ROW(AV398)-ROW(AV$15),0),0)</f>
        <v>0</v>
      </c>
      <c r="AW398" s="632">
        <f ca="1">IF(AND($D398="Serviço",AW$12&lt;&gt;0,$H398&gt;0,OR(AUTOEVENTO&lt;&gt;"manual",$M398&lt;&gt;1)),ROUND(OFFSET($P398,0,AW$13),15-13*ORÇAMENTO!$AF$7)/$H398*OFFSET(ORÇAMENTO!$X$15,ROW(AW398)-ROW(AW$15),0),0)</f>
        <v>0</v>
      </c>
      <c r="AX398" s="632">
        <f ca="1">IF(AND($D398="Serviço",AX$12&lt;&gt;0,$H398&gt;0,OR(AUTOEVENTO&lt;&gt;"manual",$M398&lt;&gt;1)),ROUND(OFFSET($P398,0,AX$13),15-13*ORÇAMENTO!$AF$7)/$H398*OFFSET(ORÇAMENTO!$X$15,ROW(AX398)-ROW(AX$15),0),0)</f>
        <v>0</v>
      </c>
      <c r="AY398" s="632">
        <f ca="1">IF(AND($D398="Serviço",AY$12&lt;&gt;0,$H398&gt;0,OR(AUTOEVENTO&lt;&gt;"manual",$M398&lt;&gt;1)),ROUND(OFFSET($P398,0,AY$13),15-13*ORÇAMENTO!$AF$7)/$H398*OFFSET(ORÇAMENTO!$X$15,ROW(AY398)-ROW(AY$15),0),0)</f>
        <v>0</v>
      </c>
      <c r="AZ398" s="632">
        <f ca="1">IF(AND($D398="Serviço",AZ$12&lt;&gt;0,$H398&gt;0,OR(AUTOEVENTO&lt;&gt;"manual",$M398&lt;&gt;1)),ROUND(OFFSET($P398,0,AZ$13),15-13*ORÇAMENTO!$AF$7)/$H398*OFFSET(ORÇAMENTO!$X$15,ROW(AZ398)-ROW(AZ$15),0),0)</f>
        <v>0</v>
      </c>
      <c r="BA398" s="633">
        <f ca="1">IF(AND($D398="Serviço",BA$12&lt;&gt;0,$H398&gt;0,OR(AUTOEVENTO&lt;&gt;"manual",$M398&lt;&gt;1)),ROUND(OFFSET($P398,0,BA$13),15-13*ORÇAMENTO!$AF$7)/$H398*OFFSET(ORÇAMENTO!$X$15,ROW(BA398)-ROW(BA$15),0),0)</f>
        <v>0</v>
      </c>
      <c r="BC398" s="215">
        <f ca="1">IF($D398&lt;&gt;"Serviço",0,IF(AND(AUTOEVENTO="Manual",$M398=1),0,IF(OFFSET(CRONOPLE!$F$14,$M398,BC$13)="",10^12,OFFSET(CRONOPLE!$F$14,$M398,BC$13))))</f>
        <v>1000000000000</v>
      </c>
      <c r="BD398" s="215">
        <f ca="1">IF($D398&lt;&gt;"Serviço",0,IF(AND(AUTOEVENTO="Manual",$M398=1),0,IF(OFFSET(CRONOPLE!$F$14,$M398,BD$13)="",10^12,OFFSET(CRONOPLE!$F$14,$M398,BD$13))))</f>
        <v>1000000000000</v>
      </c>
      <c r="BE398" s="215">
        <f ca="1">IF($D398&lt;&gt;"Serviço",0,IF(AND(AUTOEVENTO="Manual",$M398=1),0,IF(OFFSET(CRONOPLE!$F$14,$M398,BE$13)="",10^12,OFFSET(CRONOPLE!$F$14,$M398,BE$13))))</f>
        <v>1000000000000</v>
      </c>
      <c r="BF398" s="215">
        <f ca="1">IF($D398&lt;&gt;"Serviço",0,IF(AND(AUTOEVENTO="Manual",$M398=1),0,IF(OFFSET(CRONOPLE!$F$14,$M398,BF$13)="",10^12,OFFSET(CRONOPLE!$F$14,$M398,BF$13))))</f>
        <v>1000000000000</v>
      </c>
      <c r="BG398" s="215">
        <f ca="1">IF($D398&lt;&gt;"Serviço",0,IF(AND(AUTOEVENTO="Manual",$M398=1),0,IF(OFFSET(CRONOPLE!$F$14,$M398,BG$13)="",10^12,OFFSET(CRONOPLE!$F$14,$M398,BG$13))))</f>
        <v>1000000000000</v>
      </c>
      <c r="BH398" s="215">
        <f ca="1">IF($D398&lt;&gt;"Serviço",0,IF(AND(AUTOEVENTO="Manual",$M398=1),0,IF(OFFSET(CRONOPLE!$F$14,$M398,BH$13)="",10^12,OFFSET(CRONOPLE!$F$14,$M398,BH$13))))</f>
        <v>1000000000000</v>
      </c>
      <c r="BI398" s="215">
        <f ca="1">IF($D398&lt;&gt;"Serviço",0,IF(AND(AUTOEVENTO="Manual",$M398=1),0,IF(OFFSET(CRONOPLE!$F$14,$M398,BI$13)="",10^12,OFFSET(CRONOPLE!$F$14,$M398,BI$13))))</f>
        <v>1000000000000</v>
      </c>
      <c r="BJ398" s="215">
        <f ca="1">IF($D398&lt;&gt;"Serviço",0,IF(AND(AUTOEVENTO="Manual",$M398=1),0,IF(OFFSET(CRONOPLE!$F$14,$M398,BJ$13)="",10^12,OFFSET(CRONOPLE!$F$14,$M398,BJ$13))))</f>
        <v>1000000000000</v>
      </c>
      <c r="BK398" s="215">
        <f ca="1">IF($D398&lt;&gt;"Serviço",0,IF(AND(AUTOEVENTO="Manual",$M398=1),0,IF(OFFSET(CRONOPLE!$F$14,$M398,BK$13)="",10^12,OFFSET(CRONOPLE!$F$14,$M398,BK$13))))</f>
        <v>1000000000000</v>
      </c>
      <c r="BL398" s="215">
        <f ca="1">IF($D398&lt;&gt;"Serviço",0,IF(AND(AUTOEVENTO="Manual",$M398=1),0,IF(OFFSET(CRONOPLE!$F$14,$M398,BL$13)="",10^12,OFFSET(CRONOPLE!$F$14,$M398,BL$13))))</f>
        <v>1000000000000</v>
      </c>
      <c r="BM398" s="215">
        <f ca="1">IF($D398&lt;&gt;"Serviço",0,IF(AND(AUTOEVENTO="Manual",$M398=1),0,IF(OFFSET(CRONOPLE!$F$14,$M398,BM$13)="",10^12,OFFSET(CRONOPLE!$F$14,$M398,BM$13))))</f>
        <v>1000000000000</v>
      </c>
      <c r="BN398" s="215">
        <f ca="1">IF($D398&lt;&gt;"Serviço",0,IF(AND(AUTOEVENTO="Manual",$M398=1),0,IF(OFFSET(CRONOPLE!$F$14,$M398,BN$13)="",10^12,OFFSET(CRONOPLE!$F$14,$M398,BN$13))))</f>
        <v>1000000000000</v>
      </c>
      <c r="BO398" s="215">
        <f ca="1">IF($D398&lt;&gt;"Serviço",0,IF(AND(AUTOEVENTO="Manual",$M398=1),0,IF(OFFSET(CRONOPLE!$F$14,$M398,BO$13)="",10^12,OFFSET(CRONOPLE!$F$14,$M398,BO$13))))</f>
        <v>1000000000000</v>
      </c>
      <c r="BP398" s="215">
        <f ca="1">IF($D398&lt;&gt;"Serviço",0,IF(AND(AUTOEVENTO="Manual",$M398=1),0,IF(OFFSET(CRONOPLE!$F$14,$M398,BP$13)="",10^12,OFFSET(CRONOPLE!$F$14,$M398,BP$13))))</f>
        <v>1000000000000</v>
      </c>
      <c r="BQ398" s="215">
        <f ca="1">IF($D398&lt;&gt;"Serviço",0,IF(AND(AUTOEVENTO="Manual",$M398=1),0,IF(OFFSET(CRONOPLE!$F$14,$M398,BQ$13)="",10^12,OFFSET(CRONOPLE!$F$14,$M398,BQ$13))))</f>
        <v>1000000000000</v>
      </c>
      <c r="BR398" s="215">
        <f ca="1">IF($D398&lt;&gt;"Serviço",0,IF(AND(AUTOEVENTO="Manual",$M398=1),0,IF(OFFSET(CRONOPLE!$F$14,$M398,BR$13)="",10^12,OFFSET(CRONOPLE!$F$14,$M398,BR$13))))</f>
        <v>1000000000000</v>
      </c>
      <c r="BS398" s="215">
        <f ca="1">IF($D398&lt;&gt;"Serviço",0,IF(AND(AUTOEVENTO="Manual",$M398=1),0,IF(OFFSET(CRONOPLE!$F$14,$M398,BS$13)="",10^12,OFFSET(CRONOPLE!$F$14,$M398,BS$13))))</f>
        <v>1000000000000</v>
      </c>
      <c r="BT398" s="215">
        <f ca="1">IF($D398&lt;&gt;"Serviço",0,IF(AND(AUTOEVENTO="Manual",$M398=1),0,IF(OFFSET(CRONOPLE!$F$14,$M398,BT$13)="",10^12,OFFSET(CRONOPLE!$F$14,$M398,BT$13))))</f>
        <v>1000000000000</v>
      </c>
      <c r="BV398" s="216">
        <f ca="1">IF($D398&lt;&gt;"Serviço",0,IF(OR(AND(AUTOEVENTO="Manual",$M398=1),$M398&gt;(ROW(PLE.lastrow)-ROW(PLE.firstrow))),0,IF(OFFSET(PLE!$G$14,$M398,BV$13)="",10^12,OFFSET(PLE!$G$14,$M398,BV$13))))</f>
        <v>1000000000000</v>
      </c>
      <c r="BW398" s="216">
        <f ca="1">IF($D398&lt;&gt;"Serviço",0,IF(OR(AND(AUTOEVENTO="Manual",$M398=1),$M398&gt;(ROW(PLE.lastrow)-ROW(PLE.firstrow))),0,IF(OFFSET(PLE!$G$14,$M398,BW$13)="",10^12,OFFSET(PLE!$G$14,$M398,BW$13))))</f>
        <v>1000000000000</v>
      </c>
      <c r="BX398" s="216">
        <f ca="1">IF($D398&lt;&gt;"Serviço",0,IF(OR(AND(AUTOEVENTO="Manual",$M398=1),$M398&gt;(ROW(PLE.lastrow)-ROW(PLE.firstrow))),0,IF(OFFSET(PLE!$G$14,$M398,BX$13)="",10^12,OFFSET(PLE!$G$14,$M398,BX$13))))</f>
        <v>1000000000000</v>
      </c>
      <c r="BY398" s="216">
        <f ca="1">IF($D398&lt;&gt;"Serviço",0,IF(OR(AND(AUTOEVENTO="Manual",$M398=1),$M398&gt;(ROW(PLE.lastrow)-ROW(PLE.firstrow))),0,IF(OFFSET(PLE!$G$14,$M398,BY$13)="",10^12,OFFSET(PLE!$G$14,$M398,BY$13))))</f>
        <v>1000000000000</v>
      </c>
      <c r="BZ398" s="216">
        <f ca="1">IF($D398&lt;&gt;"Serviço",0,IF(OR(AND(AUTOEVENTO="Manual",$M398=1),$M398&gt;(ROW(PLE.lastrow)-ROW(PLE.firstrow))),0,IF(OFFSET(PLE!$G$14,$M398,BZ$13)="",10^12,OFFSET(PLE!$G$14,$M398,BZ$13))))</f>
        <v>1000000000000</v>
      </c>
      <c r="CA398" s="216">
        <f ca="1">IF($D398&lt;&gt;"Serviço",0,IF(OR(AND(AUTOEVENTO="Manual",$M398=1),$M398&gt;(ROW(PLE.lastrow)-ROW(PLE.firstrow))),0,IF(OFFSET(PLE!$G$14,$M398,CA$13)="",10^12,OFFSET(PLE!$G$14,$M398,CA$13))))</f>
        <v>1000000000000</v>
      </c>
      <c r="CB398" s="216">
        <f ca="1">IF($D398&lt;&gt;"Serviço",0,IF(OR(AND(AUTOEVENTO="Manual",$M398=1),$M398&gt;(ROW(PLE.lastrow)-ROW(PLE.firstrow))),0,IF(OFFSET(PLE!$G$14,$M398,CB$13)="",10^12,OFFSET(PLE!$G$14,$M398,CB$13))))</f>
        <v>1000000000000</v>
      </c>
      <c r="CC398" s="216">
        <f ca="1">IF($D398&lt;&gt;"Serviço",0,IF(OR(AND(AUTOEVENTO="Manual",$M398=1),$M398&gt;(ROW(PLE.lastrow)-ROW(PLE.firstrow))),0,IF(OFFSET(PLE!$G$14,$M398,CC$13)="",10^12,OFFSET(PLE!$G$14,$M398,CC$13))))</f>
        <v>1000000000000</v>
      </c>
      <c r="CD398" s="216">
        <f ca="1">IF($D398&lt;&gt;"Serviço",0,IF(OR(AND(AUTOEVENTO="Manual",$M398=1),$M398&gt;(ROW(PLE.lastrow)-ROW(PLE.firstrow))),0,IF(OFFSET(PLE!$G$14,$M398,CD$13)="",10^12,OFFSET(PLE!$G$14,$M398,CD$13))))</f>
        <v>1000000000000</v>
      </c>
      <c r="CE398" s="216">
        <f ca="1">IF($D398&lt;&gt;"Serviço",0,IF(OR(AND(AUTOEVENTO="Manual",$M398=1),$M398&gt;(ROW(PLE.lastrow)-ROW(PLE.firstrow))),0,IF(OFFSET(PLE!$G$14,$M398,CE$13)="",10^12,OFFSET(PLE!$G$14,$M398,CE$13))))</f>
        <v>1000000000000</v>
      </c>
      <c r="CF398" s="216">
        <f ca="1">IF($D398&lt;&gt;"Serviço",0,IF(OR(AND(AUTOEVENTO="Manual",$M398=1),$M398&gt;(ROW(PLE.lastrow)-ROW(PLE.firstrow))),0,IF(OFFSET(PLE!$G$14,$M398,CF$13)="",10^12,OFFSET(PLE!$G$14,$M398,CF$13))))</f>
        <v>1000000000000</v>
      </c>
      <c r="CG398" s="216">
        <f ca="1">IF($D398&lt;&gt;"Serviço",0,IF(OR(AND(AUTOEVENTO="Manual",$M398=1),$M398&gt;(ROW(PLE.lastrow)-ROW(PLE.firstrow))),0,IF(OFFSET(PLE!$G$14,$M398,CG$13)="",10^12,OFFSET(PLE!$G$14,$M398,CG$13))))</f>
        <v>1000000000000</v>
      </c>
      <c r="CH398" s="216">
        <f ca="1">IF($D398&lt;&gt;"Serviço",0,IF(OR(AND(AUTOEVENTO="Manual",$M398=1),$M398&gt;(ROW(PLE.lastrow)-ROW(PLE.firstrow))),0,IF(OFFSET(PLE!$G$14,$M398,CH$13)="",10^12,OFFSET(PLE!$G$14,$M398,CH$13))))</f>
        <v>1000000000000</v>
      </c>
      <c r="CI398" s="216">
        <f ca="1">IF($D398&lt;&gt;"Serviço",0,IF(OR(AND(AUTOEVENTO="Manual",$M398=1),$M398&gt;(ROW(PLE.lastrow)-ROW(PLE.firstrow))),0,IF(OFFSET(PLE!$G$14,$M398,CI$13)="",10^12,OFFSET(PLE!$G$14,$M398,CI$13))))</f>
        <v>1000000000000</v>
      </c>
      <c r="CJ398" s="216">
        <f ca="1">IF($D398&lt;&gt;"Serviço",0,IF(OR(AND(AUTOEVENTO="Manual",$M398=1),$M398&gt;(ROW(PLE.lastrow)-ROW(PLE.firstrow))),0,IF(OFFSET(PLE!$G$14,$M398,CJ$13)="",10^12,OFFSET(PLE!$G$14,$M398,CJ$13))))</f>
        <v>1000000000000</v>
      </c>
      <c r="CK398" s="216">
        <f ca="1">IF($D398&lt;&gt;"Serviço",0,IF(OR(AND(AUTOEVENTO="Manual",$M398=1),$M398&gt;(ROW(PLE.lastrow)-ROW(PLE.firstrow))),0,IF(OFFSET(PLE!$G$14,$M398,CK$13)="",10^12,OFFSET(PLE!$G$14,$M398,CK$13))))</f>
        <v>1000000000000</v>
      </c>
      <c r="CL398" s="216">
        <f ca="1">IF($D398&lt;&gt;"Serviço",0,IF(OR(AND(AUTOEVENTO="Manual",$M398=1),$M398&gt;(ROW(PLE.lastrow)-ROW(PLE.firstrow))),0,IF(OFFSET(PLE!$G$14,$M398,CL$13)="",10^12,OFFSET(PLE!$G$14,$M398,CL$13))))</f>
        <v>1000000000000</v>
      </c>
      <c r="CM398" s="216">
        <f ca="1">IF($D398&lt;&gt;"Serviço",0,IF(OR(AND(AUTOEVENTO="Manual",$M398=1),$M398&gt;(ROW(PLE.lastrow)-ROW(PLE.firstrow))),0,IF(OFFSET(PLE!$G$14,$M398,CM$13)="",10^12,OFFSET(PLE!$G$14,$M398,CM$13))))</f>
        <v>1000000000000</v>
      </c>
    </row>
    <row r="399" spans="1:91" ht="13.2" x14ac:dyDescent="0.25">
      <c r="A399" s="9">
        <f t="shared" ca="1" si="15"/>
        <v>0</v>
      </c>
      <c r="B399" s="9" t="str">
        <f ca="1">OFFSET(ORÇAMENTO!C$15,ROW(B399)-ROW(B$15),0)</f>
        <v>S</v>
      </c>
      <c r="C399" s="9" t="str">
        <f ca="1">OFFSET(ORÇAMENTO!L$15,ROW(C399)-ROW(C$15),0)</f>
        <v/>
      </c>
      <c r="D399" s="145" t="str">
        <f ca="1">OFFSET(ORÇAMENTO!N$15,ROW(D399)-ROW(D$15),0)</f>
        <v>Serviço</v>
      </c>
      <c r="E399" s="205" t="str">
        <f ca="1">OFFSET(ORÇAMENTO!O$15,ROW(E399)-ROW(E$15),0)</f>
        <v>-</v>
      </c>
      <c r="F399" s="206" t="str">
        <f ca="1">OFFSET(ORÇAMENTO!R$15,ROW(F399)-ROW(F$15),0)</f>
        <v>(abra o arquivo 'Referência 05-2024.xls)</v>
      </c>
      <c r="G399" s="207" t="str">
        <f ca="1">IF($D399&lt;&gt;"Serviço","",OFFSET(ORÇAMENTO!S$15,ROW(G399)-ROW(G$15),0))</f>
        <v>-</v>
      </c>
      <c r="H399" s="151">
        <f ca="1">IF($D399&lt;&gt;"Serviço",0,IF(ACOMPANHAMENTO="BM",ROUND(OFFSET(ORÇAMENTO!AJ$15,ROW(H399)-ROW(H$15),0),15-13*ORÇAMENTO!$AF$7),SUMPRODUCT(($Q$12:$AI$12&lt;&gt;"")*ROUND($Q399:$AI399,15-13*ORÇAMENTO!$AF$7))))</f>
        <v>3</v>
      </c>
      <c r="I399" s="650"/>
      <c r="K399" s="208"/>
      <c r="L399" s="209" t="s">
        <v>257</v>
      </c>
      <c r="M399" s="210">
        <f ca="1">IF($D399&lt;&gt;"Serviço","",IF(AUTOEVENTO="manual",$A399,IF(ISERROR(MATCH($A399,$A$15:OFFSET($A399,-1,0),0)),MAX($M$15:OFFSET(M399,-1,0))+1,INDEX($M$15:OFFSET(M399,-1,0),MATCH($A399,$A$15:OFFSET($A399,-1,0),0)))))</f>
        <v>0</v>
      </c>
      <c r="N399" s="211" t="str">
        <f ca="1">IF($D399&lt;&gt;"Serviço","",IF(AUTOEVENTO="Manual",IF($A399=0,"&lt;-- defina o número do agrupador",OFFSET(EVENTOS!$D$14,$A399,0)),OFFSET($F$15,$A399,0)))</f>
        <v>&lt;-- defina o número do agrupador</v>
      </c>
      <c r="O399" s="212"/>
      <c r="Q399" s="212"/>
      <c r="R399" s="213"/>
      <c r="S399" s="213"/>
      <c r="T399" s="213"/>
      <c r="U399" s="213"/>
      <c r="V399" s="213"/>
      <c r="W399" s="213"/>
      <c r="X399" s="213"/>
      <c r="Y399" s="213"/>
      <c r="Z399" s="214"/>
      <c r="AA399" s="213"/>
      <c r="AB399" s="213"/>
      <c r="AC399" s="213"/>
      <c r="AD399" s="213"/>
      <c r="AE399" s="213"/>
      <c r="AF399" s="213"/>
      <c r="AG399" s="213"/>
      <c r="AH399" s="214"/>
      <c r="AJ399" s="631">
        <f ca="1">IF(AND($D399="Serviço",AJ$12&lt;&gt;0,$H399&gt;0,OR(AUTOEVENTO&lt;&gt;"manual",$M399&lt;&gt;1)),ROUND(OFFSET($P399,0,AJ$13),15-13*ORÇAMENTO!$AF$7)/$H399*OFFSET(ORÇAMENTO!$X$15,ROW(AJ399)-ROW(AJ$15),0),0)</f>
        <v>0</v>
      </c>
      <c r="AK399" s="632">
        <f ca="1">IF(AND($D399="Serviço",AK$12&lt;&gt;0,$H399&gt;0,OR(AUTOEVENTO&lt;&gt;"manual",$M399&lt;&gt;1)),ROUND(OFFSET($P399,0,AK$13),15-13*ORÇAMENTO!$AF$7)/$H399*OFFSET(ORÇAMENTO!$X$15,ROW(AK399)-ROW(AK$15),0),0)</f>
        <v>0</v>
      </c>
      <c r="AL399" s="632">
        <f ca="1">IF(AND($D399="Serviço",AL$12&lt;&gt;0,$H399&gt;0,OR(AUTOEVENTO&lt;&gt;"manual",$M399&lt;&gt;1)),ROUND(OFFSET($P399,0,AL$13),15-13*ORÇAMENTO!$AF$7)/$H399*OFFSET(ORÇAMENTO!$X$15,ROW(AL399)-ROW(AL$15),0),0)</f>
        <v>0</v>
      </c>
      <c r="AM399" s="632">
        <f ca="1">IF(AND($D399="Serviço",AM$12&lt;&gt;0,$H399&gt;0,OR(AUTOEVENTO&lt;&gt;"manual",$M399&lt;&gt;1)),ROUND(OFFSET($P399,0,AM$13),15-13*ORÇAMENTO!$AF$7)/$H399*OFFSET(ORÇAMENTO!$X$15,ROW(AM399)-ROW(AM$15),0),0)</f>
        <v>0</v>
      </c>
      <c r="AN399" s="632">
        <f ca="1">IF(AND($D399="Serviço",AN$12&lt;&gt;0,$H399&gt;0,OR(AUTOEVENTO&lt;&gt;"manual",$M399&lt;&gt;1)),ROUND(OFFSET($P399,0,AN$13),15-13*ORÇAMENTO!$AF$7)/$H399*OFFSET(ORÇAMENTO!$X$15,ROW(AN399)-ROW(AN$15),0),0)</f>
        <v>0</v>
      </c>
      <c r="AO399" s="632">
        <f ca="1">IF(AND($D399="Serviço",AO$12&lt;&gt;0,$H399&gt;0,OR(AUTOEVENTO&lt;&gt;"manual",$M399&lt;&gt;1)),ROUND(OFFSET($P399,0,AO$13),15-13*ORÇAMENTO!$AF$7)/$H399*OFFSET(ORÇAMENTO!$X$15,ROW(AO399)-ROW(AO$15),0),0)</f>
        <v>0</v>
      </c>
      <c r="AP399" s="632">
        <f ca="1">IF(AND($D399="Serviço",AP$12&lt;&gt;0,$H399&gt;0,OR(AUTOEVENTO&lt;&gt;"manual",$M399&lt;&gt;1)),ROUND(OFFSET($P399,0,AP$13),15-13*ORÇAMENTO!$AF$7)/$H399*OFFSET(ORÇAMENTO!$X$15,ROW(AP399)-ROW(AP$15),0),0)</f>
        <v>0</v>
      </c>
      <c r="AQ399" s="632">
        <f ca="1">IF(AND($D399="Serviço",AQ$12&lt;&gt;0,$H399&gt;0,OR(AUTOEVENTO&lt;&gt;"manual",$M399&lt;&gt;1)),ROUND(OFFSET($P399,0,AQ$13),15-13*ORÇAMENTO!$AF$7)/$H399*OFFSET(ORÇAMENTO!$X$15,ROW(AQ399)-ROW(AQ$15),0),0)</f>
        <v>0</v>
      </c>
      <c r="AR399" s="632">
        <f ca="1">IF(AND($D399="Serviço",AR$12&lt;&gt;0,$H399&gt;0,OR(AUTOEVENTO&lt;&gt;"manual",$M399&lt;&gt;1)),ROUND(OFFSET($P399,0,AR$13),15-13*ORÇAMENTO!$AF$7)/$H399*OFFSET(ORÇAMENTO!$X$15,ROW(AR399)-ROW(AR$15),0),0)</f>
        <v>0</v>
      </c>
      <c r="AS399" s="633">
        <f ca="1">IF(AND($D399="Serviço",AS$12&lt;&gt;0,$H399&gt;0,OR(AUTOEVENTO&lt;&gt;"manual",$M399&lt;&gt;1)),ROUND(OFFSET($P399,0,AS$13),15-13*ORÇAMENTO!$AF$7)/$H399*OFFSET(ORÇAMENTO!$X$15,ROW(AS399)-ROW(AS$15),0),0)</f>
        <v>0</v>
      </c>
      <c r="AT399" s="632">
        <f ca="1">IF(AND($D399="Serviço",AT$12&lt;&gt;0,$H399&gt;0,OR(AUTOEVENTO&lt;&gt;"manual",$M399&lt;&gt;1)),ROUND(OFFSET($P399,0,AT$13),15-13*ORÇAMENTO!$AF$7)/$H399*OFFSET(ORÇAMENTO!$X$15,ROW(AT399)-ROW(AT$15),0),0)</f>
        <v>0</v>
      </c>
      <c r="AU399" s="632">
        <f ca="1">IF(AND($D399="Serviço",AU$12&lt;&gt;0,$H399&gt;0,OR(AUTOEVENTO&lt;&gt;"manual",$M399&lt;&gt;1)),ROUND(OFFSET($P399,0,AU$13),15-13*ORÇAMENTO!$AF$7)/$H399*OFFSET(ORÇAMENTO!$X$15,ROW(AU399)-ROW(AU$15),0),0)</f>
        <v>0</v>
      </c>
      <c r="AV399" s="632">
        <f ca="1">IF(AND($D399="Serviço",AV$12&lt;&gt;0,$H399&gt;0,OR(AUTOEVENTO&lt;&gt;"manual",$M399&lt;&gt;1)),ROUND(OFFSET($P399,0,AV$13),15-13*ORÇAMENTO!$AF$7)/$H399*OFFSET(ORÇAMENTO!$X$15,ROW(AV399)-ROW(AV$15),0),0)</f>
        <v>0</v>
      </c>
      <c r="AW399" s="632">
        <f ca="1">IF(AND($D399="Serviço",AW$12&lt;&gt;0,$H399&gt;0,OR(AUTOEVENTO&lt;&gt;"manual",$M399&lt;&gt;1)),ROUND(OFFSET($P399,0,AW$13),15-13*ORÇAMENTO!$AF$7)/$H399*OFFSET(ORÇAMENTO!$X$15,ROW(AW399)-ROW(AW$15),0),0)</f>
        <v>0</v>
      </c>
      <c r="AX399" s="632">
        <f ca="1">IF(AND($D399="Serviço",AX$12&lt;&gt;0,$H399&gt;0,OR(AUTOEVENTO&lt;&gt;"manual",$M399&lt;&gt;1)),ROUND(OFFSET($P399,0,AX$13),15-13*ORÇAMENTO!$AF$7)/$H399*OFFSET(ORÇAMENTO!$X$15,ROW(AX399)-ROW(AX$15),0),0)</f>
        <v>0</v>
      </c>
      <c r="AY399" s="632">
        <f ca="1">IF(AND($D399="Serviço",AY$12&lt;&gt;0,$H399&gt;0,OR(AUTOEVENTO&lt;&gt;"manual",$M399&lt;&gt;1)),ROUND(OFFSET($P399,0,AY$13),15-13*ORÇAMENTO!$AF$7)/$H399*OFFSET(ORÇAMENTO!$X$15,ROW(AY399)-ROW(AY$15),0),0)</f>
        <v>0</v>
      </c>
      <c r="AZ399" s="632">
        <f ca="1">IF(AND($D399="Serviço",AZ$12&lt;&gt;0,$H399&gt;0,OR(AUTOEVENTO&lt;&gt;"manual",$M399&lt;&gt;1)),ROUND(OFFSET($P399,0,AZ$13),15-13*ORÇAMENTO!$AF$7)/$H399*OFFSET(ORÇAMENTO!$X$15,ROW(AZ399)-ROW(AZ$15),0),0)</f>
        <v>0</v>
      </c>
      <c r="BA399" s="633">
        <f ca="1">IF(AND($D399="Serviço",BA$12&lt;&gt;0,$H399&gt;0,OR(AUTOEVENTO&lt;&gt;"manual",$M399&lt;&gt;1)),ROUND(OFFSET($P399,0,BA$13),15-13*ORÇAMENTO!$AF$7)/$H399*OFFSET(ORÇAMENTO!$X$15,ROW(BA399)-ROW(BA$15),0),0)</f>
        <v>0</v>
      </c>
      <c r="BC399" s="215">
        <f ca="1">IF($D399&lt;&gt;"Serviço",0,IF(AND(AUTOEVENTO="Manual",$M399=1),0,IF(OFFSET(CRONOPLE!$F$14,$M399,BC$13)="",10^12,OFFSET(CRONOPLE!$F$14,$M399,BC$13))))</f>
        <v>1000000000000</v>
      </c>
      <c r="BD399" s="215">
        <f ca="1">IF($D399&lt;&gt;"Serviço",0,IF(AND(AUTOEVENTO="Manual",$M399=1),0,IF(OFFSET(CRONOPLE!$F$14,$M399,BD$13)="",10^12,OFFSET(CRONOPLE!$F$14,$M399,BD$13))))</f>
        <v>1000000000000</v>
      </c>
      <c r="BE399" s="215">
        <f ca="1">IF($D399&lt;&gt;"Serviço",0,IF(AND(AUTOEVENTO="Manual",$M399=1),0,IF(OFFSET(CRONOPLE!$F$14,$M399,BE$13)="",10^12,OFFSET(CRONOPLE!$F$14,$M399,BE$13))))</f>
        <v>1000000000000</v>
      </c>
      <c r="BF399" s="215">
        <f ca="1">IF($D399&lt;&gt;"Serviço",0,IF(AND(AUTOEVENTO="Manual",$M399=1),0,IF(OFFSET(CRONOPLE!$F$14,$M399,BF$13)="",10^12,OFFSET(CRONOPLE!$F$14,$M399,BF$13))))</f>
        <v>1000000000000</v>
      </c>
      <c r="BG399" s="215">
        <f ca="1">IF($D399&lt;&gt;"Serviço",0,IF(AND(AUTOEVENTO="Manual",$M399=1),0,IF(OFFSET(CRONOPLE!$F$14,$M399,BG$13)="",10^12,OFFSET(CRONOPLE!$F$14,$M399,BG$13))))</f>
        <v>1000000000000</v>
      </c>
      <c r="BH399" s="215">
        <f ca="1">IF($D399&lt;&gt;"Serviço",0,IF(AND(AUTOEVENTO="Manual",$M399=1),0,IF(OFFSET(CRONOPLE!$F$14,$M399,BH$13)="",10^12,OFFSET(CRONOPLE!$F$14,$M399,BH$13))))</f>
        <v>1000000000000</v>
      </c>
      <c r="BI399" s="215">
        <f ca="1">IF($D399&lt;&gt;"Serviço",0,IF(AND(AUTOEVENTO="Manual",$M399=1),0,IF(OFFSET(CRONOPLE!$F$14,$M399,BI$13)="",10^12,OFFSET(CRONOPLE!$F$14,$M399,BI$13))))</f>
        <v>1000000000000</v>
      </c>
      <c r="BJ399" s="215">
        <f ca="1">IF($D399&lt;&gt;"Serviço",0,IF(AND(AUTOEVENTO="Manual",$M399=1),0,IF(OFFSET(CRONOPLE!$F$14,$M399,BJ$13)="",10^12,OFFSET(CRONOPLE!$F$14,$M399,BJ$13))))</f>
        <v>1000000000000</v>
      </c>
      <c r="BK399" s="215">
        <f ca="1">IF($D399&lt;&gt;"Serviço",0,IF(AND(AUTOEVENTO="Manual",$M399=1),0,IF(OFFSET(CRONOPLE!$F$14,$M399,BK$13)="",10^12,OFFSET(CRONOPLE!$F$14,$M399,BK$13))))</f>
        <v>1000000000000</v>
      </c>
      <c r="BL399" s="215">
        <f ca="1">IF($D399&lt;&gt;"Serviço",0,IF(AND(AUTOEVENTO="Manual",$M399=1),0,IF(OFFSET(CRONOPLE!$F$14,$M399,BL$13)="",10^12,OFFSET(CRONOPLE!$F$14,$M399,BL$13))))</f>
        <v>1000000000000</v>
      </c>
      <c r="BM399" s="215">
        <f ca="1">IF($D399&lt;&gt;"Serviço",0,IF(AND(AUTOEVENTO="Manual",$M399=1),0,IF(OFFSET(CRONOPLE!$F$14,$M399,BM$13)="",10^12,OFFSET(CRONOPLE!$F$14,$M399,BM$13))))</f>
        <v>1000000000000</v>
      </c>
      <c r="BN399" s="215">
        <f ca="1">IF($D399&lt;&gt;"Serviço",0,IF(AND(AUTOEVENTO="Manual",$M399=1),0,IF(OFFSET(CRONOPLE!$F$14,$M399,BN$13)="",10^12,OFFSET(CRONOPLE!$F$14,$M399,BN$13))))</f>
        <v>1000000000000</v>
      </c>
      <c r="BO399" s="215">
        <f ca="1">IF($D399&lt;&gt;"Serviço",0,IF(AND(AUTOEVENTO="Manual",$M399=1),0,IF(OFFSET(CRONOPLE!$F$14,$M399,BO$13)="",10^12,OFFSET(CRONOPLE!$F$14,$M399,BO$13))))</f>
        <v>1000000000000</v>
      </c>
      <c r="BP399" s="215">
        <f ca="1">IF($D399&lt;&gt;"Serviço",0,IF(AND(AUTOEVENTO="Manual",$M399=1),0,IF(OFFSET(CRONOPLE!$F$14,$M399,BP$13)="",10^12,OFFSET(CRONOPLE!$F$14,$M399,BP$13))))</f>
        <v>1000000000000</v>
      </c>
      <c r="BQ399" s="215">
        <f ca="1">IF($D399&lt;&gt;"Serviço",0,IF(AND(AUTOEVENTO="Manual",$M399=1),0,IF(OFFSET(CRONOPLE!$F$14,$M399,BQ$13)="",10^12,OFFSET(CRONOPLE!$F$14,$M399,BQ$13))))</f>
        <v>1000000000000</v>
      </c>
      <c r="BR399" s="215">
        <f ca="1">IF($D399&lt;&gt;"Serviço",0,IF(AND(AUTOEVENTO="Manual",$M399=1),0,IF(OFFSET(CRONOPLE!$F$14,$M399,BR$13)="",10^12,OFFSET(CRONOPLE!$F$14,$M399,BR$13))))</f>
        <v>1000000000000</v>
      </c>
      <c r="BS399" s="215">
        <f ca="1">IF($D399&lt;&gt;"Serviço",0,IF(AND(AUTOEVENTO="Manual",$M399=1),0,IF(OFFSET(CRONOPLE!$F$14,$M399,BS$13)="",10^12,OFFSET(CRONOPLE!$F$14,$M399,BS$13))))</f>
        <v>1000000000000</v>
      </c>
      <c r="BT399" s="215">
        <f ca="1">IF($D399&lt;&gt;"Serviço",0,IF(AND(AUTOEVENTO="Manual",$M399=1),0,IF(OFFSET(CRONOPLE!$F$14,$M399,BT$13)="",10^12,OFFSET(CRONOPLE!$F$14,$M399,BT$13))))</f>
        <v>1000000000000</v>
      </c>
      <c r="BV399" s="216">
        <f ca="1">IF($D399&lt;&gt;"Serviço",0,IF(OR(AND(AUTOEVENTO="Manual",$M399=1),$M399&gt;(ROW(PLE.lastrow)-ROW(PLE.firstrow))),0,IF(OFFSET(PLE!$G$14,$M399,BV$13)="",10^12,OFFSET(PLE!$G$14,$M399,BV$13))))</f>
        <v>1000000000000</v>
      </c>
      <c r="BW399" s="216">
        <f ca="1">IF($D399&lt;&gt;"Serviço",0,IF(OR(AND(AUTOEVENTO="Manual",$M399=1),$M399&gt;(ROW(PLE.lastrow)-ROW(PLE.firstrow))),0,IF(OFFSET(PLE!$G$14,$M399,BW$13)="",10^12,OFFSET(PLE!$G$14,$M399,BW$13))))</f>
        <v>1000000000000</v>
      </c>
      <c r="BX399" s="216">
        <f ca="1">IF($D399&lt;&gt;"Serviço",0,IF(OR(AND(AUTOEVENTO="Manual",$M399=1),$M399&gt;(ROW(PLE.lastrow)-ROW(PLE.firstrow))),0,IF(OFFSET(PLE!$G$14,$M399,BX$13)="",10^12,OFFSET(PLE!$G$14,$M399,BX$13))))</f>
        <v>1000000000000</v>
      </c>
      <c r="BY399" s="216">
        <f ca="1">IF($D399&lt;&gt;"Serviço",0,IF(OR(AND(AUTOEVENTO="Manual",$M399=1),$M399&gt;(ROW(PLE.lastrow)-ROW(PLE.firstrow))),0,IF(OFFSET(PLE!$G$14,$M399,BY$13)="",10^12,OFFSET(PLE!$G$14,$M399,BY$13))))</f>
        <v>1000000000000</v>
      </c>
      <c r="BZ399" s="216">
        <f ca="1">IF($D399&lt;&gt;"Serviço",0,IF(OR(AND(AUTOEVENTO="Manual",$M399=1),$M399&gt;(ROW(PLE.lastrow)-ROW(PLE.firstrow))),0,IF(OFFSET(PLE!$G$14,$M399,BZ$13)="",10^12,OFFSET(PLE!$G$14,$M399,BZ$13))))</f>
        <v>1000000000000</v>
      </c>
      <c r="CA399" s="216">
        <f ca="1">IF($D399&lt;&gt;"Serviço",0,IF(OR(AND(AUTOEVENTO="Manual",$M399=1),$M399&gt;(ROW(PLE.lastrow)-ROW(PLE.firstrow))),0,IF(OFFSET(PLE!$G$14,$M399,CA$13)="",10^12,OFFSET(PLE!$G$14,$M399,CA$13))))</f>
        <v>1000000000000</v>
      </c>
      <c r="CB399" s="216">
        <f ca="1">IF($D399&lt;&gt;"Serviço",0,IF(OR(AND(AUTOEVENTO="Manual",$M399=1),$M399&gt;(ROW(PLE.lastrow)-ROW(PLE.firstrow))),0,IF(OFFSET(PLE!$G$14,$M399,CB$13)="",10^12,OFFSET(PLE!$G$14,$M399,CB$13))))</f>
        <v>1000000000000</v>
      </c>
      <c r="CC399" s="216">
        <f ca="1">IF($D399&lt;&gt;"Serviço",0,IF(OR(AND(AUTOEVENTO="Manual",$M399=1),$M399&gt;(ROW(PLE.lastrow)-ROW(PLE.firstrow))),0,IF(OFFSET(PLE!$G$14,$M399,CC$13)="",10^12,OFFSET(PLE!$G$14,$M399,CC$13))))</f>
        <v>1000000000000</v>
      </c>
      <c r="CD399" s="216">
        <f ca="1">IF($D399&lt;&gt;"Serviço",0,IF(OR(AND(AUTOEVENTO="Manual",$M399=1),$M399&gt;(ROW(PLE.lastrow)-ROW(PLE.firstrow))),0,IF(OFFSET(PLE!$G$14,$M399,CD$13)="",10^12,OFFSET(PLE!$G$14,$M399,CD$13))))</f>
        <v>1000000000000</v>
      </c>
      <c r="CE399" s="216">
        <f ca="1">IF($D399&lt;&gt;"Serviço",0,IF(OR(AND(AUTOEVENTO="Manual",$M399=1),$M399&gt;(ROW(PLE.lastrow)-ROW(PLE.firstrow))),0,IF(OFFSET(PLE!$G$14,$M399,CE$13)="",10^12,OFFSET(PLE!$G$14,$M399,CE$13))))</f>
        <v>1000000000000</v>
      </c>
      <c r="CF399" s="216">
        <f ca="1">IF($D399&lt;&gt;"Serviço",0,IF(OR(AND(AUTOEVENTO="Manual",$M399=1),$M399&gt;(ROW(PLE.lastrow)-ROW(PLE.firstrow))),0,IF(OFFSET(PLE!$G$14,$M399,CF$13)="",10^12,OFFSET(PLE!$G$14,$M399,CF$13))))</f>
        <v>1000000000000</v>
      </c>
      <c r="CG399" s="216">
        <f ca="1">IF($D399&lt;&gt;"Serviço",0,IF(OR(AND(AUTOEVENTO="Manual",$M399=1),$M399&gt;(ROW(PLE.lastrow)-ROW(PLE.firstrow))),0,IF(OFFSET(PLE!$G$14,$M399,CG$13)="",10^12,OFFSET(PLE!$G$14,$M399,CG$13))))</f>
        <v>1000000000000</v>
      </c>
      <c r="CH399" s="216">
        <f ca="1">IF($D399&lt;&gt;"Serviço",0,IF(OR(AND(AUTOEVENTO="Manual",$M399=1),$M399&gt;(ROW(PLE.lastrow)-ROW(PLE.firstrow))),0,IF(OFFSET(PLE!$G$14,$M399,CH$13)="",10^12,OFFSET(PLE!$G$14,$M399,CH$13))))</f>
        <v>1000000000000</v>
      </c>
      <c r="CI399" s="216">
        <f ca="1">IF($D399&lt;&gt;"Serviço",0,IF(OR(AND(AUTOEVENTO="Manual",$M399=1),$M399&gt;(ROW(PLE.lastrow)-ROW(PLE.firstrow))),0,IF(OFFSET(PLE!$G$14,$M399,CI$13)="",10^12,OFFSET(PLE!$G$14,$M399,CI$13))))</f>
        <v>1000000000000</v>
      </c>
      <c r="CJ399" s="216">
        <f ca="1">IF($D399&lt;&gt;"Serviço",0,IF(OR(AND(AUTOEVENTO="Manual",$M399=1),$M399&gt;(ROW(PLE.lastrow)-ROW(PLE.firstrow))),0,IF(OFFSET(PLE!$G$14,$M399,CJ$13)="",10^12,OFFSET(PLE!$G$14,$M399,CJ$13))))</f>
        <v>1000000000000</v>
      </c>
      <c r="CK399" s="216">
        <f ca="1">IF($D399&lt;&gt;"Serviço",0,IF(OR(AND(AUTOEVENTO="Manual",$M399=1),$M399&gt;(ROW(PLE.lastrow)-ROW(PLE.firstrow))),0,IF(OFFSET(PLE!$G$14,$M399,CK$13)="",10^12,OFFSET(PLE!$G$14,$M399,CK$13))))</f>
        <v>1000000000000</v>
      </c>
      <c r="CL399" s="216">
        <f ca="1">IF($D399&lt;&gt;"Serviço",0,IF(OR(AND(AUTOEVENTO="Manual",$M399=1),$M399&gt;(ROW(PLE.lastrow)-ROW(PLE.firstrow))),0,IF(OFFSET(PLE!$G$14,$M399,CL$13)="",10^12,OFFSET(PLE!$G$14,$M399,CL$13))))</f>
        <v>1000000000000</v>
      </c>
      <c r="CM399" s="216">
        <f ca="1">IF($D399&lt;&gt;"Serviço",0,IF(OR(AND(AUTOEVENTO="Manual",$M399=1),$M399&gt;(ROW(PLE.lastrow)-ROW(PLE.firstrow))),0,IF(OFFSET(PLE!$G$14,$M399,CM$13)="",10^12,OFFSET(PLE!$G$14,$M399,CM$13))))</f>
        <v>1000000000000</v>
      </c>
    </row>
    <row r="400" spans="1:91" ht="13.2" x14ac:dyDescent="0.25">
      <c r="A400" s="9">
        <f t="shared" ca="1" si="15"/>
        <v>0</v>
      </c>
      <c r="B400" s="9" t="str">
        <f ca="1">OFFSET(ORÇAMENTO!C$15,ROW(B400)-ROW(B$15),0)</f>
        <v>S</v>
      </c>
      <c r="C400" s="9" t="str">
        <f ca="1">OFFSET(ORÇAMENTO!L$15,ROW(C400)-ROW(C$15),0)</f>
        <v/>
      </c>
      <c r="D400" s="145" t="str">
        <f ca="1">OFFSET(ORÇAMENTO!N$15,ROW(D400)-ROW(D$15),0)</f>
        <v>Serviço</v>
      </c>
      <c r="E400" s="205" t="str">
        <f ca="1">OFFSET(ORÇAMENTO!O$15,ROW(E400)-ROW(E$15),0)</f>
        <v>-</v>
      </c>
      <c r="F400" s="206" t="str">
        <f ca="1">OFFSET(ORÇAMENTO!R$15,ROW(F400)-ROW(F$15),0)</f>
        <v>(abra o arquivo 'Referência 05-2024.xls)</v>
      </c>
      <c r="G400" s="207" t="str">
        <f ca="1">IF($D400&lt;&gt;"Serviço","",OFFSET(ORÇAMENTO!S$15,ROW(G400)-ROW(G$15),0))</f>
        <v>-</v>
      </c>
      <c r="H400" s="151">
        <f ca="1">IF($D400&lt;&gt;"Serviço",0,IF(ACOMPANHAMENTO="BM",ROUND(OFFSET(ORÇAMENTO!AJ$15,ROW(H400)-ROW(H$15),0),15-13*ORÇAMENTO!$AF$7),SUMPRODUCT(($Q$12:$AI$12&lt;&gt;"")*ROUND($Q400:$AI400,15-13*ORÇAMENTO!$AF$7))))</f>
        <v>16</v>
      </c>
      <c r="I400" s="650"/>
      <c r="K400" s="208"/>
      <c r="L400" s="209" t="s">
        <v>257</v>
      </c>
      <c r="M400" s="210">
        <f ca="1">IF($D400&lt;&gt;"Serviço","",IF(AUTOEVENTO="manual",$A400,IF(ISERROR(MATCH($A400,$A$15:OFFSET($A400,-1,0),0)),MAX($M$15:OFFSET(M400,-1,0))+1,INDEX($M$15:OFFSET(M400,-1,0),MATCH($A400,$A$15:OFFSET($A400,-1,0),0)))))</f>
        <v>0</v>
      </c>
      <c r="N400" s="211" t="str">
        <f ca="1">IF($D400&lt;&gt;"Serviço","",IF(AUTOEVENTO="Manual",IF($A400=0,"&lt;-- defina o número do agrupador",OFFSET(EVENTOS!$D$14,$A400,0)),OFFSET($F$15,$A400,0)))</f>
        <v>&lt;-- defina o número do agrupador</v>
      </c>
      <c r="O400" s="212"/>
      <c r="Q400" s="212"/>
      <c r="R400" s="213"/>
      <c r="S400" s="213"/>
      <c r="T400" s="213"/>
      <c r="U400" s="213"/>
      <c r="V400" s="213"/>
      <c r="W400" s="213"/>
      <c r="X400" s="213"/>
      <c r="Y400" s="213"/>
      <c r="Z400" s="214"/>
      <c r="AA400" s="213"/>
      <c r="AB400" s="213"/>
      <c r="AC400" s="213"/>
      <c r="AD400" s="213"/>
      <c r="AE400" s="213"/>
      <c r="AF400" s="213"/>
      <c r="AG400" s="213"/>
      <c r="AH400" s="214"/>
      <c r="AJ400" s="631">
        <f ca="1">IF(AND($D400="Serviço",AJ$12&lt;&gt;0,$H400&gt;0,OR(AUTOEVENTO&lt;&gt;"manual",$M400&lt;&gt;1)),ROUND(OFFSET($P400,0,AJ$13),15-13*ORÇAMENTO!$AF$7)/$H400*OFFSET(ORÇAMENTO!$X$15,ROW(AJ400)-ROW(AJ$15),0),0)</f>
        <v>0</v>
      </c>
      <c r="AK400" s="632">
        <f ca="1">IF(AND($D400="Serviço",AK$12&lt;&gt;0,$H400&gt;0,OR(AUTOEVENTO&lt;&gt;"manual",$M400&lt;&gt;1)),ROUND(OFFSET($P400,0,AK$13),15-13*ORÇAMENTO!$AF$7)/$H400*OFFSET(ORÇAMENTO!$X$15,ROW(AK400)-ROW(AK$15),0),0)</f>
        <v>0</v>
      </c>
      <c r="AL400" s="632">
        <f ca="1">IF(AND($D400="Serviço",AL$12&lt;&gt;0,$H400&gt;0,OR(AUTOEVENTO&lt;&gt;"manual",$M400&lt;&gt;1)),ROUND(OFFSET($P400,0,AL$13),15-13*ORÇAMENTO!$AF$7)/$H400*OFFSET(ORÇAMENTO!$X$15,ROW(AL400)-ROW(AL$15),0),0)</f>
        <v>0</v>
      </c>
      <c r="AM400" s="632">
        <f ca="1">IF(AND($D400="Serviço",AM$12&lt;&gt;0,$H400&gt;0,OR(AUTOEVENTO&lt;&gt;"manual",$M400&lt;&gt;1)),ROUND(OFFSET($P400,0,AM$13),15-13*ORÇAMENTO!$AF$7)/$H400*OFFSET(ORÇAMENTO!$X$15,ROW(AM400)-ROW(AM$15),0),0)</f>
        <v>0</v>
      </c>
      <c r="AN400" s="632">
        <f ca="1">IF(AND($D400="Serviço",AN$12&lt;&gt;0,$H400&gt;0,OR(AUTOEVENTO&lt;&gt;"manual",$M400&lt;&gt;1)),ROUND(OFFSET($P400,0,AN$13),15-13*ORÇAMENTO!$AF$7)/$H400*OFFSET(ORÇAMENTO!$X$15,ROW(AN400)-ROW(AN$15),0),0)</f>
        <v>0</v>
      </c>
      <c r="AO400" s="632">
        <f ca="1">IF(AND($D400="Serviço",AO$12&lt;&gt;0,$H400&gt;0,OR(AUTOEVENTO&lt;&gt;"manual",$M400&lt;&gt;1)),ROUND(OFFSET($P400,0,AO$13),15-13*ORÇAMENTO!$AF$7)/$H400*OFFSET(ORÇAMENTO!$X$15,ROW(AO400)-ROW(AO$15),0),0)</f>
        <v>0</v>
      </c>
      <c r="AP400" s="632">
        <f ca="1">IF(AND($D400="Serviço",AP$12&lt;&gt;0,$H400&gt;0,OR(AUTOEVENTO&lt;&gt;"manual",$M400&lt;&gt;1)),ROUND(OFFSET($P400,0,AP$13),15-13*ORÇAMENTO!$AF$7)/$H400*OFFSET(ORÇAMENTO!$X$15,ROW(AP400)-ROW(AP$15),0),0)</f>
        <v>0</v>
      </c>
      <c r="AQ400" s="632">
        <f ca="1">IF(AND($D400="Serviço",AQ$12&lt;&gt;0,$H400&gt;0,OR(AUTOEVENTO&lt;&gt;"manual",$M400&lt;&gt;1)),ROUND(OFFSET($P400,0,AQ$13),15-13*ORÇAMENTO!$AF$7)/$H400*OFFSET(ORÇAMENTO!$X$15,ROW(AQ400)-ROW(AQ$15),0),0)</f>
        <v>0</v>
      </c>
      <c r="AR400" s="632">
        <f ca="1">IF(AND($D400="Serviço",AR$12&lt;&gt;0,$H400&gt;0,OR(AUTOEVENTO&lt;&gt;"manual",$M400&lt;&gt;1)),ROUND(OFFSET($P400,0,AR$13),15-13*ORÇAMENTO!$AF$7)/$H400*OFFSET(ORÇAMENTO!$X$15,ROW(AR400)-ROW(AR$15),0),0)</f>
        <v>0</v>
      </c>
      <c r="AS400" s="633">
        <f ca="1">IF(AND($D400="Serviço",AS$12&lt;&gt;0,$H400&gt;0,OR(AUTOEVENTO&lt;&gt;"manual",$M400&lt;&gt;1)),ROUND(OFFSET($P400,0,AS$13),15-13*ORÇAMENTO!$AF$7)/$H400*OFFSET(ORÇAMENTO!$X$15,ROW(AS400)-ROW(AS$15),0),0)</f>
        <v>0</v>
      </c>
      <c r="AT400" s="632">
        <f ca="1">IF(AND($D400="Serviço",AT$12&lt;&gt;0,$H400&gt;0,OR(AUTOEVENTO&lt;&gt;"manual",$M400&lt;&gt;1)),ROUND(OFFSET($P400,0,AT$13),15-13*ORÇAMENTO!$AF$7)/$H400*OFFSET(ORÇAMENTO!$X$15,ROW(AT400)-ROW(AT$15),0),0)</f>
        <v>0</v>
      </c>
      <c r="AU400" s="632">
        <f ca="1">IF(AND($D400="Serviço",AU$12&lt;&gt;0,$H400&gt;0,OR(AUTOEVENTO&lt;&gt;"manual",$M400&lt;&gt;1)),ROUND(OFFSET($P400,0,AU$13),15-13*ORÇAMENTO!$AF$7)/$H400*OFFSET(ORÇAMENTO!$X$15,ROW(AU400)-ROW(AU$15),0),0)</f>
        <v>0</v>
      </c>
      <c r="AV400" s="632">
        <f ca="1">IF(AND($D400="Serviço",AV$12&lt;&gt;0,$H400&gt;0,OR(AUTOEVENTO&lt;&gt;"manual",$M400&lt;&gt;1)),ROUND(OFFSET($P400,0,AV$13),15-13*ORÇAMENTO!$AF$7)/$H400*OFFSET(ORÇAMENTO!$X$15,ROW(AV400)-ROW(AV$15),0),0)</f>
        <v>0</v>
      </c>
      <c r="AW400" s="632">
        <f ca="1">IF(AND($D400="Serviço",AW$12&lt;&gt;0,$H400&gt;0,OR(AUTOEVENTO&lt;&gt;"manual",$M400&lt;&gt;1)),ROUND(OFFSET($P400,0,AW$13),15-13*ORÇAMENTO!$AF$7)/$H400*OFFSET(ORÇAMENTO!$X$15,ROW(AW400)-ROW(AW$15),0),0)</f>
        <v>0</v>
      </c>
      <c r="AX400" s="632">
        <f ca="1">IF(AND($D400="Serviço",AX$12&lt;&gt;0,$H400&gt;0,OR(AUTOEVENTO&lt;&gt;"manual",$M400&lt;&gt;1)),ROUND(OFFSET($P400,0,AX$13),15-13*ORÇAMENTO!$AF$7)/$H400*OFFSET(ORÇAMENTO!$X$15,ROW(AX400)-ROW(AX$15),0),0)</f>
        <v>0</v>
      </c>
      <c r="AY400" s="632">
        <f ca="1">IF(AND($D400="Serviço",AY$12&lt;&gt;0,$H400&gt;0,OR(AUTOEVENTO&lt;&gt;"manual",$M400&lt;&gt;1)),ROUND(OFFSET($P400,0,AY$13),15-13*ORÇAMENTO!$AF$7)/$H400*OFFSET(ORÇAMENTO!$X$15,ROW(AY400)-ROW(AY$15),0),0)</f>
        <v>0</v>
      </c>
      <c r="AZ400" s="632">
        <f ca="1">IF(AND($D400="Serviço",AZ$12&lt;&gt;0,$H400&gt;0,OR(AUTOEVENTO&lt;&gt;"manual",$M400&lt;&gt;1)),ROUND(OFFSET($P400,0,AZ$13),15-13*ORÇAMENTO!$AF$7)/$H400*OFFSET(ORÇAMENTO!$X$15,ROW(AZ400)-ROW(AZ$15),0),0)</f>
        <v>0</v>
      </c>
      <c r="BA400" s="633">
        <f ca="1">IF(AND($D400="Serviço",BA$12&lt;&gt;0,$H400&gt;0,OR(AUTOEVENTO&lt;&gt;"manual",$M400&lt;&gt;1)),ROUND(OFFSET($P400,0,BA$13),15-13*ORÇAMENTO!$AF$7)/$H400*OFFSET(ORÇAMENTO!$X$15,ROW(BA400)-ROW(BA$15),0),0)</f>
        <v>0</v>
      </c>
      <c r="BC400" s="215">
        <f ca="1">IF($D400&lt;&gt;"Serviço",0,IF(AND(AUTOEVENTO="Manual",$M400=1),0,IF(OFFSET(CRONOPLE!$F$14,$M400,BC$13)="",10^12,OFFSET(CRONOPLE!$F$14,$M400,BC$13))))</f>
        <v>1000000000000</v>
      </c>
      <c r="BD400" s="215">
        <f ca="1">IF($D400&lt;&gt;"Serviço",0,IF(AND(AUTOEVENTO="Manual",$M400=1),0,IF(OFFSET(CRONOPLE!$F$14,$M400,BD$13)="",10^12,OFFSET(CRONOPLE!$F$14,$M400,BD$13))))</f>
        <v>1000000000000</v>
      </c>
      <c r="BE400" s="215">
        <f ca="1">IF($D400&lt;&gt;"Serviço",0,IF(AND(AUTOEVENTO="Manual",$M400=1),0,IF(OFFSET(CRONOPLE!$F$14,$M400,BE$13)="",10^12,OFFSET(CRONOPLE!$F$14,$M400,BE$13))))</f>
        <v>1000000000000</v>
      </c>
      <c r="BF400" s="215">
        <f ca="1">IF($D400&lt;&gt;"Serviço",0,IF(AND(AUTOEVENTO="Manual",$M400=1),0,IF(OFFSET(CRONOPLE!$F$14,$M400,BF$13)="",10^12,OFFSET(CRONOPLE!$F$14,$M400,BF$13))))</f>
        <v>1000000000000</v>
      </c>
      <c r="BG400" s="215">
        <f ca="1">IF($D400&lt;&gt;"Serviço",0,IF(AND(AUTOEVENTO="Manual",$M400=1),0,IF(OFFSET(CRONOPLE!$F$14,$M400,BG$13)="",10^12,OFFSET(CRONOPLE!$F$14,$M400,BG$13))))</f>
        <v>1000000000000</v>
      </c>
      <c r="BH400" s="215">
        <f ca="1">IF($D400&lt;&gt;"Serviço",0,IF(AND(AUTOEVENTO="Manual",$M400=1),0,IF(OFFSET(CRONOPLE!$F$14,$M400,BH$13)="",10^12,OFFSET(CRONOPLE!$F$14,$M400,BH$13))))</f>
        <v>1000000000000</v>
      </c>
      <c r="BI400" s="215">
        <f ca="1">IF($D400&lt;&gt;"Serviço",0,IF(AND(AUTOEVENTO="Manual",$M400=1),0,IF(OFFSET(CRONOPLE!$F$14,$M400,BI$13)="",10^12,OFFSET(CRONOPLE!$F$14,$M400,BI$13))))</f>
        <v>1000000000000</v>
      </c>
      <c r="BJ400" s="215">
        <f ca="1">IF($D400&lt;&gt;"Serviço",0,IF(AND(AUTOEVENTO="Manual",$M400=1),0,IF(OFFSET(CRONOPLE!$F$14,$M400,BJ$13)="",10^12,OFFSET(CRONOPLE!$F$14,$M400,BJ$13))))</f>
        <v>1000000000000</v>
      </c>
      <c r="BK400" s="215">
        <f ca="1">IF($D400&lt;&gt;"Serviço",0,IF(AND(AUTOEVENTO="Manual",$M400=1),0,IF(OFFSET(CRONOPLE!$F$14,$M400,BK$13)="",10^12,OFFSET(CRONOPLE!$F$14,$M400,BK$13))))</f>
        <v>1000000000000</v>
      </c>
      <c r="BL400" s="215">
        <f ca="1">IF($D400&lt;&gt;"Serviço",0,IF(AND(AUTOEVENTO="Manual",$M400=1),0,IF(OFFSET(CRONOPLE!$F$14,$M400,BL$13)="",10^12,OFFSET(CRONOPLE!$F$14,$M400,BL$13))))</f>
        <v>1000000000000</v>
      </c>
      <c r="BM400" s="215">
        <f ca="1">IF($D400&lt;&gt;"Serviço",0,IF(AND(AUTOEVENTO="Manual",$M400=1),0,IF(OFFSET(CRONOPLE!$F$14,$M400,BM$13)="",10^12,OFFSET(CRONOPLE!$F$14,$M400,BM$13))))</f>
        <v>1000000000000</v>
      </c>
      <c r="BN400" s="215">
        <f ca="1">IF($D400&lt;&gt;"Serviço",0,IF(AND(AUTOEVENTO="Manual",$M400=1),0,IF(OFFSET(CRONOPLE!$F$14,$M400,BN$13)="",10^12,OFFSET(CRONOPLE!$F$14,$M400,BN$13))))</f>
        <v>1000000000000</v>
      </c>
      <c r="BO400" s="215">
        <f ca="1">IF($D400&lt;&gt;"Serviço",0,IF(AND(AUTOEVENTO="Manual",$M400=1),0,IF(OFFSET(CRONOPLE!$F$14,$M400,BO$13)="",10^12,OFFSET(CRONOPLE!$F$14,$M400,BO$13))))</f>
        <v>1000000000000</v>
      </c>
      <c r="BP400" s="215">
        <f ca="1">IF($D400&lt;&gt;"Serviço",0,IF(AND(AUTOEVENTO="Manual",$M400=1),0,IF(OFFSET(CRONOPLE!$F$14,$M400,BP$13)="",10^12,OFFSET(CRONOPLE!$F$14,$M400,BP$13))))</f>
        <v>1000000000000</v>
      </c>
      <c r="BQ400" s="215">
        <f ca="1">IF($D400&lt;&gt;"Serviço",0,IF(AND(AUTOEVENTO="Manual",$M400=1),0,IF(OFFSET(CRONOPLE!$F$14,$M400,BQ$13)="",10^12,OFFSET(CRONOPLE!$F$14,$M400,BQ$13))))</f>
        <v>1000000000000</v>
      </c>
      <c r="BR400" s="215">
        <f ca="1">IF($D400&lt;&gt;"Serviço",0,IF(AND(AUTOEVENTO="Manual",$M400=1),0,IF(OFFSET(CRONOPLE!$F$14,$M400,BR$13)="",10^12,OFFSET(CRONOPLE!$F$14,$M400,BR$13))))</f>
        <v>1000000000000</v>
      </c>
      <c r="BS400" s="215">
        <f ca="1">IF($D400&lt;&gt;"Serviço",0,IF(AND(AUTOEVENTO="Manual",$M400=1),0,IF(OFFSET(CRONOPLE!$F$14,$M400,BS$13)="",10^12,OFFSET(CRONOPLE!$F$14,$M400,BS$13))))</f>
        <v>1000000000000</v>
      </c>
      <c r="BT400" s="215">
        <f ca="1">IF($D400&lt;&gt;"Serviço",0,IF(AND(AUTOEVENTO="Manual",$M400=1),0,IF(OFFSET(CRONOPLE!$F$14,$M400,BT$13)="",10^12,OFFSET(CRONOPLE!$F$14,$M400,BT$13))))</f>
        <v>1000000000000</v>
      </c>
      <c r="BV400" s="216">
        <f ca="1">IF($D400&lt;&gt;"Serviço",0,IF(OR(AND(AUTOEVENTO="Manual",$M400=1),$M400&gt;(ROW(PLE.lastrow)-ROW(PLE.firstrow))),0,IF(OFFSET(PLE!$G$14,$M400,BV$13)="",10^12,OFFSET(PLE!$G$14,$M400,BV$13))))</f>
        <v>1000000000000</v>
      </c>
      <c r="BW400" s="216">
        <f ca="1">IF($D400&lt;&gt;"Serviço",0,IF(OR(AND(AUTOEVENTO="Manual",$M400=1),$M400&gt;(ROW(PLE.lastrow)-ROW(PLE.firstrow))),0,IF(OFFSET(PLE!$G$14,$M400,BW$13)="",10^12,OFFSET(PLE!$G$14,$M400,BW$13))))</f>
        <v>1000000000000</v>
      </c>
      <c r="BX400" s="216">
        <f ca="1">IF($D400&lt;&gt;"Serviço",0,IF(OR(AND(AUTOEVENTO="Manual",$M400=1),$M400&gt;(ROW(PLE.lastrow)-ROW(PLE.firstrow))),0,IF(OFFSET(PLE!$G$14,$M400,BX$13)="",10^12,OFFSET(PLE!$G$14,$M400,BX$13))))</f>
        <v>1000000000000</v>
      </c>
      <c r="BY400" s="216">
        <f ca="1">IF($D400&lt;&gt;"Serviço",0,IF(OR(AND(AUTOEVENTO="Manual",$M400=1),$M400&gt;(ROW(PLE.lastrow)-ROW(PLE.firstrow))),0,IF(OFFSET(PLE!$G$14,$M400,BY$13)="",10^12,OFFSET(PLE!$G$14,$M400,BY$13))))</f>
        <v>1000000000000</v>
      </c>
      <c r="BZ400" s="216">
        <f ca="1">IF($D400&lt;&gt;"Serviço",0,IF(OR(AND(AUTOEVENTO="Manual",$M400=1),$M400&gt;(ROW(PLE.lastrow)-ROW(PLE.firstrow))),0,IF(OFFSET(PLE!$G$14,$M400,BZ$13)="",10^12,OFFSET(PLE!$G$14,$M400,BZ$13))))</f>
        <v>1000000000000</v>
      </c>
      <c r="CA400" s="216">
        <f ca="1">IF($D400&lt;&gt;"Serviço",0,IF(OR(AND(AUTOEVENTO="Manual",$M400=1),$M400&gt;(ROW(PLE.lastrow)-ROW(PLE.firstrow))),0,IF(OFFSET(PLE!$G$14,$M400,CA$13)="",10^12,OFFSET(PLE!$G$14,$M400,CA$13))))</f>
        <v>1000000000000</v>
      </c>
      <c r="CB400" s="216">
        <f ca="1">IF($D400&lt;&gt;"Serviço",0,IF(OR(AND(AUTOEVENTO="Manual",$M400=1),$M400&gt;(ROW(PLE.lastrow)-ROW(PLE.firstrow))),0,IF(OFFSET(PLE!$G$14,$M400,CB$13)="",10^12,OFFSET(PLE!$G$14,$M400,CB$13))))</f>
        <v>1000000000000</v>
      </c>
      <c r="CC400" s="216">
        <f ca="1">IF($D400&lt;&gt;"Serviço",0,IF(OR(AND(AUTOEVENTO="Manual",$M400=1),$M400&gt;(ROW(PLE.lastrow)-ROW(PLE.firstrow))),0,IF(OFFSET(PLE!$G$14,$M400,CC$13)="",10^12,OFFSET(PLE!$G$14,$M400,CC$13))))</f>
        <v>1000000000000</v>
      </c>
      <c r="CD400" s="216">
        <f ca="1">IF($D400&lt;&gt;"Serviço",0,IF(OR(AND(AUTOEVENTO="Manual",$M400=1),$M400&gt;(ROW(PLE.lastrow)-ROW(PLE.firstrow))),0,IF(OFFSET(PLE!$G$14,$M400,CD$13)="",10^12,OFFSET(PLE!$G$14,$M400,CD$13))))</f>
        <v>1000000000000</v>
      </c>
      <c r="CE400" s="216">
        <f ca="1">IF($D400&lt;&gt;"Serviço",0,IF(OR(AND(AUTOEVENTO="Manual",$M400=1),$M400&gt;(ROW(PLE.lastrow)-ROW(PLE.firstrow))),0,IF(OFFSET(PLE!$G$14,$M400,CE$13)="",10^12,OFFSET(PLE!$G$14,$M400,CE$13))))</f>
        <v>1000000000000</v>
      </c>
      <c r="CF400" s="216">
        <f ca="1">IF($D400&lt;&gt;"Serviço",0,IF(OR(AND(AUTOEVENTO="Manual",$M400=1),$M400&gt;(ROW(PLE.lastrow)-ROW(PLE.firstrow))),0,IF(OFFSET(PLE!$G$14,$M400,CF$13)="",10^12,OFFSET(PLE!$G$14,$M400,CF$13))))</f>
        <v>1000000000000</v>
      </c>
      <c r="CG400" s="216">
        <f ca="1">IF($D400&lt;&gt;"Serviço",0,IF(OR(AND(AUTOEVENTO="Manual",$M400=1),$M400&gt;(ROW(PLE.lastrow)-ROW(PLE.firstrow))),0,IF(OFFSET(PLE!$G$14,$M400,CG$13)="",10^12,OFFSET(PLE!$G$14,$M400,CG$13))))</f>
        <v>1000000000000</v>
      </c>
      <c r="CH400" s="216">
        <f ca="1">IF($D400&lt;&gt;"Serviço",0,IF(OR(AND(AUTOEVENTO="Manual",$M400=1),$M400&gt;(ROW(PLE.lastrow)-ROW(PLE.firstrow))),0,IF(OFFSET(PLE!$G$14,$M400,CH$13)="",10^12,OFFSET(PLE!$G$14,$M400,CH$13))))</f>
        <v>1000000000000</v>
      </c>
      <c r="CI400" s="216">
        <f ca="1">IF($D400&lt;&gt;"Serviço",0,IF(OR(AND(AUTOEVENTO="Manual",$M400=1),$M400&gt;(ROW(PLE.lastrow)-ROW(PLE.firstrow))),0,IF(OFFSET(PLE!$G$14,$M400,CI$13)="",10^12,OFFSET(PLE!$G$14,$M400,CI$13))))</f>
        <v>1000000000000</v>
      </c>
      <c r="CJ400" s="216">
        <f ca="1">IF($D400&lt;&gt;"Serviço",0,IF(OR(AND(AUTOEVENTO="Manual",$M400=1),$M400&gt;(ROW(PLE.lastrow)-ROW(PLE.firstrow))),0,IF(OFFSET(PLE!$G$14,$M400,CJ$13)="",10^12,OFFSET(PLE!$G$14,$M400,CJ$13))))</f>
        <v>1000000000000</v>
      </c>
      <c r="CK400" s="216">
        <f ca="1">IF($D400&lt;&gt;"Serviço",0,IF(OR(AND(AUTOEVENTO="Manual",$M400=1),$M400&gt;(ROW(PLE.lastrow)-ROW(PLE.firstrow))),0,IF(OFFSET(PLE!$G$14,$M400,CK$13)="",10^12,OFFSET(PLE!$G$14,$M400,CK$13))))</f>
        <v>1000000000000</v>
      </c>
      <c r="CL400" s="216">
        <f ca="1">IF($D400&lt;&gt;"Serviço",0,IF(OR(AND(AUTOEVENTO="Manual",$M400=1),$M400&gt;(ROW(PLE.lastrow)-ROW(PLE.firstrow))),0,IF(OFFSET(PLE!$G$14,$M400,CL$13)="",10^12,OFFSET(PLE!$G$14,$M400,CL$13))))</f>
        <v>1000000000000</v>
      </c>
      <c r="CM400" s="216">
        <f ca="1">IF($D400&lt;&gt;"Serviço",0,IF(OR(AND(AUTOEVENTO="Manual",$M400=1),$M400&gt;(ROW(PLE.lastrow)-ROW(PLE.firstrow))),0,IF(OFFSET(PLE!$G$14,$M400,CM$13)="",10^12,OFFSET(PLE!$G$14,$M400,CM$13))))</f>
        <v>1000000000000</v>
      </c>
    </row>
    <row r="401" spans="1:91" ht="13.2" x14ac:dyDescent="0.25">
      <c r="A401" s="9">
        <f t="shared" ca="1" si="15"/>
        <v>0</v>
      </c>
      <c r="B401" s="9" t="str">
        <f ca="1">OFFSET(ORÇAMENTO!C$15,ROW(B401)-ROW(B$15),0)</f>
        <v>S</v>
      </c>
      <c r="C401" s="9" t="str">
        <f ca="1">OFFSET(ORÇAMENTO!L$15,ROW(C401)-ROW(C$15),0)</f>
        <v/>
      </c>
      <c r="D401" s="145" t="str">
        <f ca="1">OFFSET(ORÇAMENTO!N$15,ROW(D401)-ROW(D$15),0)</f>
        <v>Serviço</v>
      </c>
      <c r="E401" s="205" t="str">
        <f ca="1">OFFSET(ORÇAMENTO!O$15,ROW(E401)-ROW(E$15),0)</f>
        <v>-</v>
      </c>
      <c r="F401" s="206" t="str">
        <f ca="1">OFFSET(ORÇAMENTO!R$15,ROW(F401)-ROW(F$15),0)</f>
        <v>(abra o arquivo 'Referência 05-2024.xls)</v>
      </c>
      <c r="G401" s="207" t="str">
        <f ca="1">IF($D401&lt;&gt;"Serviço","",OFFSET(ORÇAMENTO!S$15,ROW(G401)-ROW(G$15),0))</f>
        <v>-</v>
      </c>
      <c r="H401" s="151">
        <f ca="1">IF($D401&lt;&gt;"Serviço",0,IF(ACOMPANHAMENTO="BM",ROUND(OFFSET(ORÇAMENTO!AJ$15,ROW(H401)-ROW(H$15),0),15-13*ORÇAMENTO!$AF$7),SUMPRODUCT(($Q$12:$AI$12&lt;&gt;"")*ROUND($Q401:$AI401,15-13*ORÇAMENTO!$AF$7))))</f>
        <v>59</v>
      </c>
      <c r="I401" s="650"/>
      <c r="K401" s="208"/>
      <c r="L401" s="209" t="s">
        <v>257</v>
      </c>
      <c r="M401" s="210">
        <f ca="1">IF($D401&lt;&gt;"Serviço","",IF(AUTOEVENTO="manual",$A401,IF(ISERROR(MATCH($A401,$A$15:OFFSET($A401,-1,0),0)),MAX($M$15:OFFSET(M401,-1,0))+1,INDEX($M$15:OFFSET(M401,-1,0),MATCH($A401,$A$15:OFFSET($A401,-1,0),0)))))</f>
        <v>0</v>
      </c>
      <c r="N401" s="211" t="str">
        <f ca="1">IF($D401&lt;&gt;"Serviço","",IF(AUTOEVENTO="Manual",IF($A401=0,"&lt;-- defina o número do agrupador",OFFSET(EVENTOS!$D$14,$A401,0)),OFFSET($F$15,$A401,0)))</f>
        <v>&lt;-- defina o número do agrupador</v>
      </c>
      <c r="O401" s="212"/>
      <c r="Q401" s="212"/>
      <c r="R401" s="213"/>
      <c r="S401" s="213"/>
      <c r="T401" s="213"/>
      <c r="U401" s="213"/>
      <c r="V401" s="213"/>
      <c r="W401" s="213"/>
      <c r="X401" s="213"/>
      <c r="Y401" s="213"/>
      <c r="Z401" s="214"/>
      <c r="AA401" s="213"/>
      <c r="AB401" s="213"/>
      <c r="AC401" s="213"/>
      <c r="AD401" s="213"/>
      <c r="AE401" s="213"/>
      <c r="AF401" s="213"/>
      <c r="AG401" s="213"/>
      <c r="AH401" s="214"/>
      <c r="AJ401" s="631">
        <f ca="1">IF(AND($D401="Serviço",AJ$12&lt;&gt;0,$H401&gt;0,OR(AUTOEVENTO&lt;&gt;"manual",$M401&lt;&gt;1)),ROUND(OFFSET($P401,0,AJ$13),15-13*ORÇAMENTO!$AF$7)/$H401*OFFSET(ORÇAMENTO!$X$15,ROW(AJ401)-ROW(AJ$15),0),0)</f>
        <v>0</v>
      </c>
      <c r="AK401" s="632">
        <f ca="1">IF(AND($D401="Serviço",AK$12&lt;&gt;0,$H401&gt;0,OR(AUTOEVENTO&lt;&gt;"manual",$M401&lt;&gt;1)),ROUND(OFFSET($P401,0,AK$13),15-13*ORÇAMENTO!$AF$7)/$H401*OFFSET(ORÇAMENTO!$X$15,ROW(AK401)-ROW(AK$15),0),0)</f>
        <v>0</v>
      </c>
      <c r="AL401" s="632">
        <f ca="1">IF(AND($D401="Serviço",AL$12&lt;&gt;0,$H401&gt;0,OR(AUTOEVENTO&lt;&gt;"manual",$M401&lt;&gt;1)),ROUND(OFFSET($P401,0,AL$13),15-13*ORÇAMENTO!$AF$7)/$H401*OFFSET(ORÇAMENTO!$X$15,ROW(AL401)-ROW(AL$15),0),0)</f>
        <v>0</v>
      </c>
      <c r="AM401" s="632">
        <f ca="1">IF(AND($D401="Serviço",AM$12&lt;&gt;0,$H401&gt;0,OR(AUTOEVENTO&lt;&gt;"manual",$M401&lt;&gt;1)),ROUND(OFFSET($P401,0,AM$13),15-13*ORÇAMENTO!$AF$7)/$H401*OFFSET(ORÇAMENTO!$X$15,ROW(AM401)-ROW(AM$15),0),0)</f>
        <v>0</v>
      </c>
      <c r="AN401" s="632">
        <f ca="1">IF(AND($D401="Serviço",AN$12&lt;&gt;0,$H401&gt;0,OR(AUTOEVENTO&lt;&gt;"manual",$M401&lt;&gt;1)),ROUND(OFFSET($P401,0,AN$13),15-13*ORÇAMENTO!$AF$7)/$H401*OFFSET(ORÇAMENTO!$X$15,ROW(AN401)-ROW(AN$15),0),0)</f>
        <v>0</v>
      </c>
      <c r="AO401" s="632">
        <f ca="1">IF(AND($D401="Serviço",AO$12&lt;&gt;0,$H401&gt;0,OR(AUTOEVENTO&lt;&gt;"manual",$M401&lt;&gt;1)),ROUND(OFFSET($P401,0,AO$13),15-13*ORÇAMENTO!$AF$7)/$H401*OFFSET(ORÇAMENTO!$X$15,ROW(AO401)-ROW(AO$15),0),0)</f>
        <v>0</v>
      </c>
      <c r="AP401" s="632">
        <f ca="1">IF(AND($D401="Serviço",AP$12&lt;&gt;0,$H401&gt;0,OR(AUTOEVENTO&lt;&gt;"manual",$M401&lt;&gt;1)),ROUND(OFFSET($P401,0,AP$13),15-13*ORÇAMENTO!$AF$7)/$H401*OFFSET(ORÇAMENTO!$X$15,ROW(AP401)-ROW(AP$15),0),0)</f>
        <v>0</v>
      </c>
      <c r="AQ401" s="632">
        <f ca="1">IF(AND($D401="Serviço",AQ$12&lt;&gt;0,$H401&gt;0,OR(AUTOEVENTO&lt;&gt;"manual",$M401&lt;&gt;1)),ROUND(OFFSET($P401,0,AQ$13),15-13*ORÇAMENTO!$AF$7)/$H401*OFFSET(ORÇAMENTO!$X$15,ROW(AQ401)-ROW(AQ$15),0),0)</f>
        <v>0</v>
      </c>
      <c r="AR401" s="632">
        <f ca="1">IF(AND($D401="Serviço",AR$12&lt;&gt;0,$H401&gt;0,OR(AUTOEVENTO&lt;&gt;"manual",$M401&lt;&gt;1)),ROUND(OFFSET($P401,0,AR$13),15-13*ORÇAMENTO!$AF$7)/$H401*OFFSET(ORÇAMENTO!$X$15,ROW(AR401)-ROW(AR$15),0),0)</f>
        <v>0</v>
      </c>
      <c r="AS401" s="633">
        <f ca="1">IF(AND($D401="Serviço",AS$12&lt;&gt;0,$H401&gt;0,OR(AUTOEVENTO&lt;&gt;"manual",$M401&lt;&gt;1)),ROUND(OFFSET($P401,0,AS$13),15-13*ORÇAMENTO!$AF$7)/$H401*OFFSET(ORÇAMENTO!$X$15,ROW(AS401)-ROW(AS$15),0),0)</f>
        <v>0</v>
      </c>
      <c r="AT401" s="632">
        <f ca="1">IF(AND($D401="Serviço",AT$12&lt;&gt;0,$H401&gt;0,OR(AUTOEVENTO&lt;&gt;"manual",$M401&lt;&gt;1)),ROUND(OFFSET($P401,0,AT$13),15-13*ORÇAMENTO!$AF$7)/$H401*OFFSET(ORÇAMENTO!$X$15,ROW(AT401)-ROW(AT$15),0),0)</f>
        <v>0</v>
      </c>
      <c r="AU401" s="632">
        <f ca="1">IF(AND($D401="Serviço",AU$12&lt;&gt;0,$H401&gt;0,OR(AUTOEVENTO&lt;&gt;"manual",$M401&lt;&gt;1)),ROUND(OFFSET($P401,0,AU$13),15-13*ORÇAMENTO!$AF$7)/$H401*OFFSET(ORÇAMENTO!$X$15,ROW(AU401)-ROW(AU$15),0),0)</f>
        <v>0</v>
      </c>
      <c r="AV401" s="632">
        <f ca="1">IF(AND($D401="Serviço",AV$12&lt;&gt;0,$H401&gt;0,OR(AUTOEVENTO&lt;&gt;"manual",$M401&lt;&gt;1)),ROUND(OFFSET($P401,0,AV$13),15-13*ORÇAMENTO!$AF$7)/$H401*OFFSET(ORÇAMENTO!$X$15,ROW(AV401)-ROW(AV$15),0),0)</f>
        <v>0</v>
      </c>
      <c r="AW401" s="632">
        <f ca="1">IF(AND($D401="Serviço",AW$12&lt;&gt;0,$H401&gt;0,OR(AUTOEVENTO&lt;&gt;"manual",$M401&lt;&gt;1)),ROUND(OFFSET($P401,0,AW$13),15-13*ORÇAMENTO!$AF$7)/$H401*OFFSET(ORÇAMENTO!$X$15,ROW(AW401)-ROW(AW$15),0),0)</f>
        <v>0</v>
      </c>
      <c r="AX401" s="632">
        <f ca="1">IF(AND($D401="Serviço",AX$12&lt;&gt;0,$H401&gt;0,OR(AUTOEVENTO&lt;&gt;"manual",$M401&lt;&gt;1)),ROUND(OFFSET($P401,0,AX$13),15-13*ORÇAMENTO!$AF$7)/$H401*OFFSET(ORÇAMENTO!$X$15,ROW(AX401)-ROW(AX$15),0),0)</f>
        <v>0</v>
      </c>
      <c r="AY401" s="632">
        <f ca="1">IF(AND($D401="Serviço",AY$12&lt;&gt;0,$H401&gt;0,OR(AUTOEVENTO&lt;&gt;"manual",$M401&lt;&gt;1)),ROUND(OFFSET($P401,0,AY$13),15-13*ORÇAMENTO!$AF$7)/$H401*OFFSET(ORÇAMENTO!$X$15,ROW(AY401)-ROW(AY$15),0),0)</f>
        <v>0</v>
      </c>
      <c r="AZ401" s="632">
        <f ca="1">IF(AND($D401="Serviço",AZ$12&lt;&gt;0,$H401&gt;0,OR(AUTOEVENTO&lt;&gt;"manual",$M401&lt;&gt;1)),ROUND(OFFSET($P401,0,AZ$13),15-13*ORÇAMENTO!$AF$7)/$H401*OFFSET(ORÇAMENTO!$X$15,ROW(AZ401)-ROW(AZ$15),0),0)</f>
        <v>0</v>
      </c>
      <c r="BA401" s="633">
        <f ca="1">IF(AND($D401="Serviço",BA$12&lt;&gt;0,$H401&gt;0,OR(AUTOEVENTO&lt;&gt;"manual",$M401&lt;&gt;1)),ROUND(OFFSET($P401,0,BA$13),15-13*ORÇAMENTO!$AF$7)/$H401*OFFSET(ORÇAMENTO!$X$15,ROW(BA401)-ROW(BA$15),0),0)</f>
        <v>0</v>
      </c>
      <c r="BC401" s="215">
        <f ca="1">IF($D401&lt;&gt;"Serviço",0,IF(AND(AUTOEVENTO="Manual",$M401=1),0,IF(OFFSET(CRONOPLE!$F$14,$M401,BC$13)="",10^12,OFFSET(CRONOPLE!$F$14,$M401,BC$13))))</f>
        <v>1000000000000</v>
      </c>
      <c r="BD401" s="215">
        <f ca="1">IF($D401&lt;&gt;"Serviço",0,IF(AND(AUTOEVENTO="Manual",$M401=1),0,IF(OFFSET(CRONOPLE!$F$14,$M401,BD$13)="",10^12,OFFSET(CRONOPLE!$F$14,$M401,BD$13))))</f>
        <v>1000000000000</v>
      </c>
      <c r="BE401" s="215">
        <f ca="1">IF($D401&lt;&gt;"Serviço",0,IF(AND(AUTOEVENTO="Manual",$M401=1),0,IF(OFFSET(CRONOPLE!$F$14,$M401,BE$13)="",10^12,OFFSET(CRONOPLE!$F$14,$M401,BE$13))))</f>
        <v>1000000000000</v>
      </c>
      <c r="BF401" s="215">
        <f ca="1">IF($D401&lt;&gt;"Serviço",0,IF(AND(AUTOEVENTO="Manual",$M401=1),0,IF(OFFSET(CRONOPLE!$F$14,$M401,BF$13)="",10^12,OFFSET(CRONOPLE!$F$14,$M401,BF$13))))</f>
        <v>1000000000000</v>
      </c>
      <c r="BG401" s="215">
        <f ca="1">IF($D401&lt;&gt;"Serviço",0,IF(AND(AUTOEVENTO="Manual",$M401=1),0,IF(OFFSET(CRONOPLE!$F$14,$M401,BG$13)="",10^12,OFFSET(CRONOPLE!$F$14,$M401,BG$13))))</f>
        <v>1000000000000</v>
      </c>
      <c r="BH401" s="215">
        <f ca="1">IF($D401&lt;&gt;"Serviço",0,IF(AND(AUTOEVENTO="Manual",$M401=1),0,IF(OFFSET(CRONOPLE!$F$14,$M401,BH$13)="",10^12,OFFSET(CRONOPLE!$F$14,$M401,BH$13))))</f>
        <v>1000000000000</v>
      </c>
      <c r="BI401" s="215">
        <f ca="1">IF($D401&lt;&gt;"Serviço",0,IF(AND(AUTOEVENTO="Manual",$M401=1),0,IF(OFFSET(CRONOPLE!$F$14,$M401,BI$13)="",10^12,OFFSET(CRONOPLE!$F$14,$M401,BI$13))))</f>
        <v>1000000000000</v>
      </c>
      <c r="BJ401" s="215">
        <f ca="1">IF($D401&lt;&gt;"Serviço",0,IF(AND(AUTOEVENTO="Manual",$M401=1),0,IF(OFFSET(CRONOPLE!$F$14,$M401,BJ$13)="",10^12,OFFSET(CRONOPLE!$F$14,$M401,BJ$13))))</f>
        <v>1000000000000</v>
      </c>
      <c r="BK401" s="215">
        <f ca="1">IF($D401&lt;&gt;"Serviço",0,IF(AND(AUTOEVENTO="Manual",$M401=1),0,IF(OFFSET(CRONOPLE!$F$14,$M401,BK$13)="",10^12,OFFSET(CRONOPLE!$F$14,$M401,BK$13))))</f>
        <v>1000000000000</v>
      </c>
      <c r="BL401" s="215">
        <f ca="1">IF($D401&lt;&gt;"Serviço",0,IF(AND(AUTOEVENTO="Manual",$M401=1),0,IF(OFFSET(CRONOPLE!$F$14,$M401,BL$13)="",10^12,OFFSET(CRONOPLE!$F$14,$M401,BL$13))))</f>
        <v>1000000000000</v>
      </c>
      <c r="BM401" s="215">
        <f ca="1">IF($D401&lt;&gt;"Serviço",0,IF(AND(AUTOEVENTO="Manual",$M401=1),0,IF(OFFSET(CRONOPLE!$F$14,$M401,BM$13)="",10^12,OFFSET(CRONOPLE!$F$14,$M401,BM$13))))</f>
        <v>1000000000000</v>
      </c>
      <c r="BN401" s="215">
        <f ca="1">IF($D401&lt;&gt;"Serviço",0,IF(AND(AUTOEVENTO="Manual",$M401=1),0,IF(OFFSET(CRONOPLE!$F$14,$M401,BN$13)="",10^12,OFFSET(CRONOPLE!$F$14,$M401,BN$13))))</f>
        <v>1000000000000</v>
      </c>
      <c r="BO401" s="215">
        <f ca="1">IF($D401&lt;&gt;"Serviço",0,IF(AND(AUTOEVENTO="Manual",$M401=1),0,IF(OFFSET(CRONOPLE!$F$14,$M401,BO$13)="",10^12,OFFSET(CRONOPLE!$F$14,$M401,BO$13))))</f>
        <v>1000000000000</v>
      </c>
      <c r="BP401" s="215">
        <f ca="1">IF($D401&lt;&gt;"Serviço",0,IF(AND(AUTOEVENTO="Manual",$M401=1),0,IF(OFFSET(CRONOPLE!$F$14,$M401,BP$13)="",10^12,OFFSET(CRONOPLE!$F$14,$M401,BP$13))))</f>
        <v>1000000000000</v>
      </c>
      <c r="BQ401" s="215">
        <f ca="1">IF($D401&lt;&gt;"Serviço",0,IF(AND(AUTOEVENTO="Manual",$M401=1),0,IF(OFFSET(CRONOPLE!$F$14,$M401,BQ$13)="",10^12,OFFSET(CRONOPLE!$F$14,$M401,BQ$13))))</f>
        <v>1000000000000</v>
      </c>
      <c r="BR401" s="215">
        <f ca="1">IF($D401&lt;&gt;"Serviço",0,IF(AND(AUTOEVENTO="Manual",$M401=1),0,IF(OFFSET(CRONOPLE!$F$14,$M401,BR$13)="",10^12,OFFSET(CRONOPLE!$F$14,$M401,BR$13))))</f>
        <v>1000000000000</v>
      </c>
      <c r="BS401" s="215">
        <f ca="1">IF($D401&lt;&gt;"Serviço",0,IF(AND(AUTOEVENTO="Manual",$M401=1),0,IF(OFFSET(CRONOPLE!$F$14,$M401,BS$13)="",10^12,OFFSET(CRONOPLE!$F$14,$M401,BS$13))))</f>
        <v>1000000000000</v>
      </c>
      <c r="BT401" s="215">
        <f ca="1">IF($D401&lt;&gt;"Serviço",0,IF(AND(AUTOEVENTO="Manual",$M401=1),0,IF(OFFSET(CRONOPLE!$F$14,$M401,BT$13)="",10^12,OFFSET(CRONOPLE!$F$14,$M401,BT$13))))</f>
        <v>1000000000000</v>
      </c>
      <c r="BV401" s="216">
        <f ca="1">IF($D401&lt;&gt;"Serviço",0,IF(OR(AND(AUTOEVENTO="Manual",$M401=1),$M401&gt;(ROW(PLE.lastrow)-ROW(PLE.firstrow))),0,IF(OFFSET(PLE!$G$14,$M401,BV$13)="",10^12,OFFSET(PLE!$G$14,$M401,BV$13))))</f>
        <v>1000000000000</v>
      </c>
      <c r="BW401" s="216">
        <f ca="1">IF($D401&lt;&gt;"Serviço",0,IF(OR(AND(AUTOEVENTO="Manual",$M401=1),$M401&gt;(ROW(PLE.lastrow)-ROW(PLE.firstrow))),0,IF(OFFSET(PLE!$G$14,$M401,BW$13)="",10^12,OFFSET(PLE!$G$14,$M401,BW$13))))</f>
        <v>1000000000000</v>
      </c>
      <c r="BX401" s="216">
        <f ca="1">IF($D401&lt;&gt;"Serviço",0,IF(OR(AND(AUTOEVENTO="Manual",$M401=1),$M401&gt;(ROW(PLE.lastrow)-ROW(PLE.firstrow))),0,IF(OFFSET(PLE!$G$14,$M401,BX$13)="",10^12,OFFSET(PLE!$G$14,$M401,BX$13))))</f>
        <v>1000000000000</v>
      </c>
      <c r="BY401" s="216">
        <f ca="1">IF($D401&lt;&gt;"Serviço",0,IF(OR(AND(AUTOEVENTO="Manual",$M401=1),$M401&gt;(ROW(PLE.lastrow)-ROW(PLE.firstrow))),0,IF(OFFSET(PLE!$G$14,$M401,BY$13)="",10^12,OFFSET(PLE!$G$14,$M401,BY$13))))</f>
        <v>1000000000000</v>
      </c>
      <c r="BZ401" s="216">
        <f ca="1">IF($D401&lt;&gt;"Serviço",0,IF(OR(AND(AUTOEVENTO="Manual",$M401=1),$M401&gt;(ROW(PLE.lastrow)-ROW(PLE.firstrow))),0,IF(OFFSET(PLE!$G$14,$M401,BZ$13)="",10^12,OFFSET(PLE!$G$14,$M401,BZ$13))))</f>
        <v>1000000000000</v>
      </c>
      <c r="CA401" s="216">
        <f ca="1">IF($D401&lt;&gt;"Serviço",0,IF(OR(AND(AUTOEVENTO="Manual",$M401=1),$M401&gt;(ROW(PLE.lastrow)-ROW(PLE.firstrow))),0,IF(OFFSET(PLE!$G$14,$M401,CA$13)="",10^12,OFFSET(PLE!$G$14,$M401,CA$13))))</f>
        <v>1000000000000</v>
      </c>
      <c r="CB401" s="216">
        <f ca="1">IF($D401&lt;&gt;"Serviço",0,IF(OR(AND(AUTOEVENTO="Manual",$M401=1),$M401&gt;(ROW(PLE.lastrow)-ROW(PLE.firstrow))),0,IF(OFFSET(PLE!$G$14,$M401,CB$13)="",10^12,OFFSET(PLE!$G$14,$M401,CB$13))))</f>
        <v>1000000000000</v>
      </c>
      <c r="CC401" s="216">
        <f ca="1">IF($D401&lt;&gt;"Serviço",0,IF(OR(AND(AUTOEVENTO="Manual",$M401=1),$M401&gt;(ROW(PLE.lastrow)-ROW(PLE.firstrow))),0,IF(OFFSET(PLE!$G$14,$M401,CC$13)="",10^12,OFFSET(PLE!$G$14,$M401,CC$13))))</f>
        <v>1000000000000</v>
      </c>
      <c r="CD401" s="216">
        <f ca="1">IF($D401&lt;&gt;"Serviço",0,IF(OR(AND(AUTOEVENTO="Manual",$M401=1),$M401&gt;(ROW(PLE.lastrow)-ROW(PLE.firstrow))),0,IF(OFFSET(PLE!$G$14,$M401,CD$13)="",10^12,OFFSET(PLE!$G$14,$M401,CD$13))))</f>
        <v>1000000000000</v>
      </c>
      <c r="CE401" s="216">
        <f ca="1">IF($D401&lt;&gt;"Serviço",0,IF(OR(AND(AUTOEVENTO="Manual",$M401=1),$M401&gt;(ROW(PLE.lastrow)-ROW(PLE.firstrow))),0,IF(OFFSET(PLE!$G$14,$M401,CE$13)="",10^12,OFFSET(PLE!$G$14,$M401,CE$13))))</f>
        <v>1000000000000</v>
      </c>
      <c r="CF401" s="216">
        <f ca="1">IF($D401&lt;&gt;"Serviço",0,IF(OR(AND(AUTOEVENTO="Manual",$M401=1),$M401&gt;(ROW(PLE.lastrow)-ROW(PLE.firstrow))),0,IF(OFFSET(PLE!$G$14,$M401,CF$13)="",10^12,OFFSET(PLE!$G$14,$M401,CF$13))))</f>
        <v>1000000000000</v>
      </c>
      <c r="CG401" s="216">
        <f ca="1">IF($D401&lt;&gt;"Serviço",0,IF(OR(AND(AUTOEVENTO="Manual",$M401=1),$M401&gt;(ROW(PLE.lastrow)-ROW(PLE.firstrow))),0,IF(OFFSET(PLE!$G$14,$M401,CG$13)="",10^12,OFFSET(PLE!$G$14,$M401,CG$13))))</f>
        <v>1000000000000</v>
      </c>
      <c r="CH401" s="216">
        <f ca="1">IF($D401&lt;&gt;"Serviço",0,IF(OR(AND(AUTOEVENTO="Manual",$M401=1),$M401&gt;(ROW(PLE.lastrow)-ROW(PLE.firstrow))),0,IF(OFFSET(PLE!$G$14,$M401,CH$13)="",10^12,OFFSET(PLE!$G$14,$M401,CH$13))))</f>
        <v>1000000000000</v>
      </c>
      <c r="CI401" s="216">
        <f ca="1">IF($D401&lt;&gt;"Serviço",0,IF(OR(AND(AUTOEVENTO="Manual",$M401=1),$M401&gt;(ROW(PLE.lastrow)-ROW(PLE.firstrow))),0,IF(OFFSET(PLE!$G$14,$M401,CI$13)="",10^12,OFFSET(PLE!$G$14,$M401,CI$13))))</f>
        <v>1000000000000</v>
      </c>
      <c r="CJ401" s="216">
        <f ca="1">IF($D401&lt;&gt;"Serviço",0,IF(OR(AND(AUTOEVENTO="Manual",$M401=1),$M401&gt;(ROW(PLE.lastrow)-ROW(PLE.firstrow))),0,IF(OFFSET(PLE!$G$14,$M401,CJ$13)="",10^12,OFFSET(PLE!$G$14,$M401,CJ$13))))</f>
        <v>1000000000000</v>
      </c>
      <c r="CK401" s="216">
        <f ca="1">IF($D401&lt;&gt;"Serviço",0,IF(OR(AND(AUTOEVENTO="Manual",$M401=1),$M401&gt;(ROW(PLE.lastrow)-ROW(PLE.firstrow))),0,IF(OFFSET(PLE!$G$14,$M401,CK$13)="",10^12,OFFSET(PLE!$G$14,$M401,CK$13))))</f>
        <v>1000000000000</v>
      </c>
      <c r="CL401" s="216">
        <f ca="1">IF($D401&lt;&gt;"Serviço",0,IF(OR(AND(AUTOEVENTO="Manual",$M401=1),$M401&gt;(ROW(PLE.lastrow)-ROW(PLE.firstrow))),0,IF(OFFSET(PLE!$G$14,$M401,CL$13)="",10^12,OFFSET(PLE!$G$14,$M401,CL$13))))</f>
        <v>1000000000000</v>
      </c>
      <c r="CM401" s="216">
        <f ca="1">IF($D401&lt;&gt;"Serviço",0,IF(OR(AND(AUTOEVENTO="Manual",$M401=1),$M401&gt;(ROW(PLE.lastrow)-ROW(PLE.firstrow))),0,IF(OFFSET(PLE!$G$14,$M401,CM$13)="",10^12,OFFSET(PLE!$G$14,$M401,CM$13))))</f>
        <v>1000000000000</v>
      </c>
    </row>
    <row r="402" spans="1:91" ht="13.2" x14ac:dyDescent="0.25">
      <c r="A402" s="9">
        <f t="shared" ca="1" si="15"/>
        <v>0</v>
      </c>
      <c r="B402" s="9" t="str">
        <f ca="1">OFFSET(ORÇAMENTO!C$15,ROW(B402)-ROW(B$15),0)</f>
        <v>S</v>
      </c>
      <c r="C402" s="9" t="str">
        <f ca="1">OFFSET(ORÇAMENTO!L$15,ROW(C402)-ROW(C$15),0)</f>
        <v/>
      </c>
      <c r="D402" s="145" t="str">
        <f ca="1">OFFSET(ORÇAMENTO!N$15,ROW(D402)-ROW(D$15),0)</f>
        <v>Serviço</v>
      </c>
      <c r="E402" s="205" t="str">
        <f ca="1">OFFSET(ORÇAMENTO!O$15,ROW(E402)-ROW(E$15),0)</f>
        <v>-</v>
      </c>
      <c r="F402" s="206" t="str">
        <f ca="1">OFFSET(ORÇAMENTO!R$15,ROW(F402)-ROW(F$15),0)</f>
        <v>(abra o arquivo 'Referência 05-2024.xls)</v>
      </c>
      <c r="G402" s="207" t="str">
        <f ca="1">IF($D402&lt;&gt;"Serviço","",OFFSET(ORÇAMENTO!S$15,ROW(G402)-ROW(G$15),0))</f>
        <v>-</v>
      </c>
      <c r="H402" s="151">
        <f ca="1">IF($D402&lt;&gt;"Serviço",0,IF(ACOMPANHAMENTO="BM",ROUND(OFFSET(ORÇAMENTO!AJ$15,ROW(H402)-ROW(H$15),0),15-13*ORÇAMENTO!$AF$7),SUMPRODUCT(($Q$12:$AI$12&lt;&gt;"")*ROUND($Q402:$AI402,15-13*ORÇAMENTO!$AF$7))))</f>
        <v>24</v>
      </c>
      <c r="I402" s="650"/>
      <c r="K402" s="208"/>
      <c r="L402" s="209" t="s">
        <v>257</v>
      </c>
      <c r="M402" s="210">
        <f ca="1">IF($D402&lt;&gt;"Serviço","",IF(AUTOEVENTO="manual",$A402,IF(ISERROR(MATCH($A402,$A$15:OFFSET($A402,-1,0),0)),MAX($M$15:OFFSET(M402,-1,0))+1,INDEX($M$15:OFFSET(M402,-1,0),MATCH($A402,$A$15:OFFSET($A402,-1,0),0)))))</f>
        <v>0</v>
      </c>
      <c r="N402" s="211" t="str">
        <f ca="1">IF($D402&lt;&gt;"Serviço","",IF(AUTOEVENTO="Manual",IF($A402=0,"&lt;-- defina o número do agrupador",OFFSET(EVENTOS!$D$14,$A402,0)),OFFSET($F$15,$A402,0)))</f>
        <v>&lt;-- defina o número do agrupador</v>
      </c>
      <c r="O402" s="212"/>
      <c r="Q402" s="212"/>
      <c r="R402" s="213"/>
      <c r="S402" s="213"/>
      <c r="T402" s="213"/>
      <c r="U402" s="213"/>
      <c r="V402" s="213"/>
      <c r="W402" s="213"/>
      <c r="X402" s="213"/>
      <c r="Y402" s="213"/>
      <c r="Z402" s="214"/>
      <c r="AA402" s="213"/>
      <c r="AB402" s="213"/>
      <c r="AC402" s="213"/>
      <c r="AD402" s="213"/>
      <c r="AE402" s="213"/>
      <c r="AF402" s="213"/>
      <c r="AG402" s="213"/>
      <c r="AH402" s="214"/>
      <c r="AJ402" s="631">
        <f ca="1">IF(AND($D402="Serviço",AJ$12&lt;&gt;0,$H402&gt;0,OR(AUTOEVENTO&lt;&gt;"manual",$M402&lt;&gt;1)),ROUND(OFFSET($P402,0,AJ$13),15-13*ORÇAMENTO!$AF$7)/$H402*OFFSET(ORÇAMENTO!$X$15,ROW(AJ402)-ROW(AJ$15),0),0)</f>
        <v>0</v>
      </c>
      <c r="AK402" s="632">
        <f ca="1">IF(AND($D402="Serviço",AK$12&lt;&gt;0,$H402&gt;0,OR(AUTOEVENTO&lt;&gt;"manual",$M402&lt;&gt;1)),ROUND(OFFSET($P402,0,AK$13),15-13*ORÇAMENTO!$AF$7)/$H402*OFFSET(ORÇAMENTO!$X$15,ROW(AK402)-ROW(AK$15),0),0)</f>
        <v>0</v>
      </c>
      <c r="AL402" s="632">
        <f ca="1">IF(AND($D402="Serviço",AL$12&lt;&gt;0,$H402&gt;0,OR(AUTOEVENTO&lt;&gt;"manual",$M402&lt;&gt;1)),ROUND(OFFSET($P402,0,AL$13),15-13*ORÇAMENTO!$AF$7)/$H402*OFFSET(ORÇAMENTO!$X$15,ROW(AL402)-ROW(AL$15),0),0)</f>
        <v>0</v>
      </c>
      <c r="AM402" s="632">
        <f ca="1">IF(AND($D402="Serviço",AM$12&lt;&gt;0,$H402&gt;0,OR(AUTOEVENTO&lt;&gt;"manual",$M402&lt;&gt;1)),ROUND(OFFSET($P402,0,AM$13),15-13*ORÇAMENTO!$AF$7)/$H402*OFFSET(ORÇAMENTO!$X$15,ROW(AM402)-ROW(AM$15),0),0)</f>
        <v>0</v>
      </c>
      <c r="AN402" s="632">
        <f ca="1">IF(AND($D402="Serviço",AN$12&lt;&gt;0,$H402&gt;0,OR(AUTOEVENTO&lt;&gt;"manual",$M402&lt;&gt;1)),ROUND(OFFSET($P402,0,AN$13),15-13*ORÇAMENTO!$AF$7)/$H402*OFFSET(ORÇAMENTO!$X$15,ROW(AN402)-ROW(AN$15),0),0)</f>
        <v>0</v>
      </c>
      <c r="AO402" s="632">
        <f ca="1">IF(AND($D402="Serviço",AO$12&lt;&gt;0,$H402&gt;0,OR(AUTOEVENTO&lt;&gt;"manual",$M402&lt;&gt;1)),ROUND(OFFSET($P402,0,AO$13),15-13*ORÇAMENTO!$AF$7)/$H402*OFFSET(ORÇAMENTO!$X$15,ROW(AO402)-ROW(AO$15),0),0)</f>
        <v>0</v>
      </c>
      <c r="AP402" s="632">
        <f ca="1">IF(AND($D402="Serviço",AP$12&lt;&gt;0,$H402&gt;0,OR(AUTOEVENTO&lt;&gt;"manual",$M402&lt;&gt;1)),ROUND(OFFSET($P402,0,AP$13),15-13*ORÇAMENTO!$AF$7)/$H402*OFFSET(ORÇAMENTO!$X$15,ROW(AP402)-ROW(AP$15),0),0)</f>
        <v>0</v>
      </c>
      <c r="AQ402" s="632">
        <f ca="1">IF(AND($D402="Serviço",AQ$12&lt;&gt;0,$H402&gt;0,OR(AUTOEVENTO&lt;&gt;"manual",$M402&lt;&gt;1)),ROUND(OFFSET($P402,0,AQ$13),15-13*ORÇAMENTO!$AF$7)/$H402*OFFSET(ORÇAMENTO!$X$15,ROW(AQ402)-ROW(AQ$15),0),0)</f>
        <v>0</v>
      </c>
      <c r="AR402" s="632">
        <f ca="1">IF(AND($D402="Serviço",AR$12&lt;&gt;0,$H402&gt;0,OR(AUTOEVENTO&lt;&gt;"manual",$M402&lt;&gt;1)),ROUND(OFFSET($P402,0,AR$13),15-13*ORÇAMENTO!$AF$7)/$H402*OFFSET(ORÇAMENTO!$X$15,ROW(AR402)-ROW(AR$15),0),0)</f>
        <v>0</v>
      </c>
      <c r="AS402" s="633">
        <f ca="1">IF(AND($D402="Serviço",AS$12&lt;&gt;0,$H402&gt;0,OR(AUTOEVENTO&lt;&gt;"manual",$M402&lt;&gt;1)),ROUND(OFFSET($P402,0,AS$13),15-13*ORÇAMENTO!$AF$7)/$H402*OFFSET(ORÇAMENTO!$X$15,ROW(AS402)-ROW(AS$15),0),0)</f>
        <v>0</v>
      </c>
      <c r="AT402" s="632">
        <f ca="1">IF(AND($D402="Serviço",AT$12&lt;&gt;0,$H402&gt;0,OR(AUTOEVENTO&lt;&gt;"manual",$M402&lt;&gt;1)),ROUND(OFFSET($P402,0,AT$13),15-13*ORÇAMENTO!$AF$7)/$H402*OFFSET(ORÇAMENTO!$X$15,ROW(AT402)-ROW(AT$15),0),0)</f>
        <v>0</v>
      </c>
      <c r="AU402" s="632">
        <f ca="1">IF(AND($D402="Serviço",AU$12&lt;&gt;0,$H402&gt;0,OR(AUTOEVENTO&lt;&gt;"manual",$M402&lt;&gt;1)),ROUND(OFFSET($P402,0,AU$13),15-13*ORÇAMENTO!$AF$7)/$H402*OFFSET(ORÇAMENTO!$X$15,ROW(AU402)-ROW(AU$15),0),0)</f>
        <v>0</v>
      </c>
      <c r="AV402" s="632">
        <f ca="1">IF(AND($D402="Serviço",AV$12&lt;&gt;0,$H402&gt;0,OR(AUTOEVENTO&lt;&gt;"manual",$M402&lt;&gt;1)),ROUND(OFFSET($P402,0,AV$13),15-13*ORÇAMENTO!$AF$7)/$H402*OFFSET(ORÇAMENTO!$X$15,ROW(AV402)-ROW(AV$15),0),0)</f>
        <v>0</v>
      </c>
      <c r="AW402" s="632">
        <f ca="1">IF(AND($D402="Serviço",AW$12&lt;&gt;0,$H402&gt;0,OR(AUTOEVENTO&lt;&gt;"manual",$M402&lt;&gt;1)),ROUND(OFFSET($P402,0,AW$13),15-13*ORÇAMENTO!$AF$7)/$H402*OFFSET(ORÇAMENTO!$X$15,ROW(AW402)-ROW(AW$15),0),0)</f>
        <v>0</v>
      </c>
      <c r="AX402" s="632">
        <f ca="1">IF(AND($D402="Serviço",AX$12&lt;&gt;0,$H402&gt;0,OR(AUTOEVENTO&lt;&gt;"manual",$M402&lt;&gt;1)),ROUND(OFFSET($P402,0,AX$13),15-13*ORÇAMENTO!$AF$7)/$H402*OFFSET(ORÇAMENTO!$X$15,ROW(AX402)-ROW(AX$15),0),0)</f>
        <v>0</v>
      </c>
      <c r="AY402" s="632">
        <f ca="1">IF(AND($D402="Serviço",AY$12&lt;&gt;0,$H402&gt;0,OR(AUTOEVENTO&lt;&gt;"manual",$M402&lt;&gt;1)),ROUND(OFFSET($P402,0,AY$13),15-13*ORÇAMENTO!$AF$7)/$H402*OFFSET(ORÇAMENTO!$X$15,ROW(AY402)-ROW(AY$15),0),0)</f>
        <v>0</v>
      </c>
      <c r="AZ402" s="632">
        <f ca="1">IF(AND($D402="Serviço",AZ$12&lt;&gt;0,$H402&gt;0,OR(AUTOEVENTO&lt;&gt;"manual",$M402&lt;&gt;1)),ROUND(OFFSET($P402,0,AZ$13),15-13*ORÇAMENTO!$AF$7)/$H402*OFFSET(ORÇAMENTO!$X$15,ROW(AZ402)-ROW(AZ$15),0),0)</f>
        <v>0</v>
      </c>
      <c r="BA402" s="633">
        <f ca="1">IF(AND($D402="Serviço",BA$12&lt;&gt;0,$H402&gt;0,OR(AUTOEVENTO&lt;&gt;"manual",$M402&lt;&gt;1)),ROUND(OFFSET($P402,0,BA$13),15-13*ORÇAMENTO!$AF$7)/$H402*OFFSET(ORÇAMENTO!$X$15,ROW(BA402)-ROW(BA$15),0),0)</f>
        <v>0</v>
      </c>
      <c r="BC402" s="215">
        <f ca="1">IF($D402&lt;&gt;"Serviço",0,IF(AND(AUTOEVENTO="Manual",$M402=1),0,IF(OFFSET(CRONOPLE!$F$14,$M402,BC$13)="",10^12,OFFSET(CRONOPLE!$F$14,$M402,BC$13))))</f>
        <v>1000000000000</v>
      </c>
      <c r="BD402" s="215">
        <f ca="1">IF($D402&lt;&gt;"Serviço",0,IF(AND(AUTOEVENTO="Manual",$M402=1),0,IF(OFFSET(CRONOPLE!$F$14,$M402,BD$13)="",10^12,OFFSET(CRONOPLE!$F$14,$M402,BD$13))))</f>
        <v>1000000000000</v>
      </c>
      <c r="BE402" s="215">
        <f ca="1">IF($D402&lt;&gt;"Serviço",0,IF(AND(AUTOEVENTO="Manual",$M402=1),0,IF(OFFSET(CRONOPLE!$F$14,$M402,BE$13)="",10^12,OFFSET(CRONOPLE!$F$14,$M402,BE$13))))</f>
        <v>1000000000000</v>
      </c>
      <c r="BF402" s="215">
        <f ca="1">IF($D402&lt;&gt;"Serviço",0,IF(AND(AUTOEVENTO="Manual",$M402=1),0,IF(OFFSET(CRONOPLE!$F$14,$M402,BF$13)="",10^12,OFFSET(CRONOPLE!$F$14,$M402,BF$13))))</f>
        <v>1000000000000</v>
      </c>
      <c r="BG402" s="215">
        <f ca="1">IF($D402&lt;&gt;"Serviço",0,IF(AND(AUTOEVENTO="Manual",$M402=1),0,IF(OFFSET(CRONOPLE!$F$14,$M402,BG$13)="",10^12,OFFSET(CRONOPLE!$F$14,$M402,BG$13))))</f>
        <v>1000000000000</v>
      </c>
      <c r="BH402" s="215">
        <f ca="1">IF($D402&lt;&gt;"Serviço",0,IF(AND(AUTOEVENTO="Manual",$M402=1),0,IF(OFFSET(CRONOPLE!$F$14,$M402,BH$13)="",10^12,OFFSET(CRONOPLE!$F$14,$M402,BH$13))))</f>
        <v>1000000000000</v>
      </c>
      <c r="BI402" s="215">
        <f ca="1">IF($D402&lt;&gt;"Serviço",0,IF(AND(AUTOEVENTO="Manual",$M402=1),0,IF(OFFSET(CRONOPLE!$F$14,$M402,BI$13)="",10^12,OFFSET(CRONOPLE!$F$14,$M402,BI$13))))</f>
        <v>1000000000000</v>
      </c>
      <c r="BJ402" s="215">
        <f ca="1">IF($D402&lt;&gt;"Serviço",0,IF(AND(AUTOEVENTO="Manual",$M402=1),0,IF(OFFSET(CRONOPLE!$F$14,$M402,BJ$13)="",10^12,OFFSET(CRONOPLE!$F$14,$M402,BJ$13))))</f>
        <v>1000000000000</v>
      </c>
      <c r="BK402" s="215">
        <f ca="1">IF($D402&lt;&gt;"Serviço",0,IF(AND(AUTOEVENTO="Manual",$M402=1),0,IF(OFFSET(CRONOPLE!$F$14,$M402,BK$13)="",10^12,OFFSET(CRONOPLE!$F$14,$M402,BK$13))))</f>
        <v>1000000000000</v>
      </c>
      <c r="BL402" s="215">
        <f ca="1">IF($D402&lt;&gt;"Serviço",0,IF(AND(AUTOEVENTO="Manual",$M402=1),0,IF(OFFSET(CRONOPLE!$F$14,$M402,BL$13)="",10^12,OFFSET(CRONOPLE!$F$14,$M402,BL$13))))</f>
        <v>1000000000000</v>
      </c>
      <c r="BM402" s="215">
        <f ca="1">IF($D402&lt;&gt;"Serviço",0,IF(AND(AUTOEVENTO="Manual",$M402=1),0,IF(OFFSET(CRONOPLE!$F$14,$M402,BM$13)="",10^12,OFFSET(CRONOPLE!$F$14,$M402,BM$13))))</f>
        <v>1000000000000</v>
      </c>
      <c r="BN402" s="215">
        <f ca="1">IF($D402&lt;&gt;"Serviço",0,IF(AND(AUTOEVENTO="Manual",$M402=1),0,IF(OFFSET(CRONOPLE!$F$14,$M402,BN$13)="",10^12,OFFSET(CRONOPLE!$F$14,$M402,BN$13))))</f>
        <v>1000000000000</v>
      </c>
      <c r="BO402" s="215">
        <f ca="1">IF($D402&lt;&gt;"Serviço",0,IF(AND(AUTOEVENTO="Manual",$M402=1),0,IF(OFFSET(CRONOPLE!$F$14,$M402,BO$13)="",10^12,OFFSET(CRONOPLE!$F$14,$M402,BO$13))))</f>
        <v>1000000000000</v>
      </c>
      <c r="BP402" s="215">
        <f ca="1">IF($D402&lt;&gt;"Serviço",0,IF(AND(AUTOEVENTO="Manual",$M402=1),0,IF(OFFSET(CRONOPLE!$F$14,$M402,BP$13)="",10^12,OFFSET(CRONOPLE!$F$14,$M402,BP$13))))</f>
        <v>1000000000000</v>
      </c>
      <c r="BQ402" s="215">
        <f ca="1">IF($D402&lt;&gt;"Serviço",0,IF(AND(AUTOEVENTO="Manual",$M402=1),0,IF(OFFSET(CRONOPLE!$F$14,$M402,BQ$13)="",10^12,OFFSET(CRONOPLE!$F$14,$M402,BQ$13))))</f>
        <v>1000000000000</v>
      </c>
      <c r="BR402" s="215">
        <f ca="1">IF($D402&lt;&gt;"Serviço",0,IF(AND(AUTOEVENTO="Manual",$M402=1),0,IF(OFFSET(CRONOPLE!$F$14,$M402,BR$13)="",10^12,OFFSET(CRONOPLE!$F$14,$M402,BR$13))))</f>
        <v>1000000000000</v>
      </c>
      <c r="BS402" s="215">
        <f ca="1">IF($D402&lt;&gt;"Serviço",0,IF(AND(AUTOEVENTO="Manual",$M402=1),0,IF(OFFSET(CRONOPLE!$F$14,$M402,BS$13)="",10^12,OFFSET(CRONOPLE!$F$14,$M402,BS$13))))</f>
        <v>1000000000000</v>
      </c>
      <c r="BT402" s="215">
        <f ca="1">IF($D402&lt;&gt;"Serviço",0,IF(AND(AUTOEVENTO="Manual",$M402=1),0,IF(OFFSET(CRONOPLE!$F$14,$M402,BT$13)="",10^12,OFFSET(CRONOPLE!$F$14,$M402,BT$13))))</f>
        <v>1000000000000</v>
      </c>
      <c r="BV402" s="216">
        <f ca="1">IF($D402&lt;&gt;"Serviço",0,IF(OR(AND(AUTOEVENTO="Manual",$M402=1),$M402&gt;(ROW(PLE.lastrow)-ROW(PLE.firstrow))),0,IF(OFFSET(PLE!$G$14,$M402,BV$13)="",10^12,OFFSET(PLE!$G$14,$M402,BV$13))))</f>
        <v>1000000000000</v>
      </c>
      <c r="BW402" s="216">
        <f ca="1">IF($D402&lt;&gt;"Serviço",0,IF(OR(AND(AUTOEVENTO="Manual",$M402=1),$M402&gt;(ROW(PLE.lastrow)-ROW(PLE.firstrow))),0,IF(OFFSET(PLE!$G$14,$M402,BW$13)="",10^12,OFFSET(PLE!$G$14,$M402,BW$13))))</f>
        <v>1000000000000</v>
      </c>
      <c r="BX402" s="216">
        <f ca="1">IF($D402&lt;&gt;"Serviço",0,IF(OR(AND(AUTOEVENTO="Manual",$M402=1),$M402&gt;(ROW(PLE.lastrow)-ROW(PLE.firstrow))),0,IF(OFFSET(PLE!$G$14,$M402,BX$13)="",10^12,OFFSET(PLE!$G$14,$M402,BX$13))))</f>
        <v>1000000000000</v>
      </c>
      <c r="BY402" s="216">
        <f ca="1">IF($D402&lt;&gt;"Serviço",0,IF(OR(AND(AUTOEVENTO="Manual",$M402=1),$M402&gt;(ROW(PLE.lastrow)-ROW(PLE.firstrow))),0,IF(OFFSET(PLE!$G$14,$M402,BY$13)="",10^12,OFFSET(PLE!$G$14,$M402,BY$13))))</f>
        <v>1000000000000</v>
      </c>
      <c r="BZ402" s="216">
        <f ca="1">IF($D402&lt;&gt;"Serviço",0,IF(OR(AND(AUTOEVENTO="Manual",$M402=1),$M402&gt;(ROW(PLE.lastrow)-ROW(PLE.firstrow))),0,IF(OFFSET(PLE!$G$14,$M402,BZ$13)="",10^12,OFFSET(PLE!$G$14,$M402,BZ$13))))</f>
        <v>1000000000000</v>
      </c>
      <c r="CA402" s="216">
        <f ca="1">IF($D402&lt;&gt;"Serviço",0,IF(OR(AND(AUTOEVENTO="Manual",$M402=1),$M402&gt;(ROW(PLE.lastrow)-ROW(PLE.firstrow))),0,IF(OFFSET(PLE!$G$14,$M402,CA$13)="",10^12,OFFSET(PLE!$G$14,$M402,CA$13))))</f>
        <v>1000000000000</v>
      </c>
      <c r="CB402" s="216">
        <f ca="1">IF($D402&lt;&gt;"Serviço",0,IF(OR(AND(AUTOEVENTO="Manual",$M402=1),$M402&gt;(ROW(PLE.lastrow)-ROW(PLE.firstrow))),0,IF(OFFSET(PLE!$G$14,$M402,CB$13)="",10^12,OFFSET(PLE!$G$14,$M402,CB$13))))</f>
        <v>1000000000000</v>
      </c>
      <c r="CC402" s="216">
        <f ca="1">IF($D402&lt;&gt;"Serviço",0,IF(OR(AND(AUTOEVENTO="Manual",$M402=1),$M402&gt;(ROW(PLE.lastrow)-ROW(PLE.firstrow))),0,IF(OFFSET(PLE!$G$14,$M402,CC$13)="",10^12,OFFSET(PLE!$G$14,$M402,CC$13))))</f>
        <v>1000000000000</v>
      </c>
      <c r="CD402" s="216">
        <f ca="1">IF($D402&lt;&gt;"Serviço",0,IF(OR(AND(AUTOEVENTO="Manual",$M402=1),$M402&gt;(ROW(PLE.lastrow)-ROW(PLE.firstrow))),0,IF(OFFSET(PLE!$G$14,$M402,CD$13)="",10^12,OFFSET(PLE!$G$14,$M402,CD$13))))</f>
        <v>1000000000000</v>
      </c>
      <c r="CE402" s="216">
        <f ca="1">IF($D402&lt;&gt;"Serviço",0,IF(OR(AND(AUTOEVENTO="Manual",$M402=1),$M402&gt;(ROW(PLE.lastrow)-ROW(PLE.firstrow))),0,IF(OFFSET(PLE!$G$14,$M402,CE$13)="",10^12,OFFSET(PLE!$G$14,$M402,CE$13))))</f>
        <v>1000000000000</v>
      </c>
      <c r="CF402" s="216">
        <f ca="1">IF($D402&lt;&gt;"Serviço",0,IF(OR(AND(AUTOEVENTO="Manual",$M402=1),$M402&gt;(ROW(PLE.lastrow)-ROW(PLE.firstrow))),0,IF(OFFSET(PLE!$G$14,$M402,CF$13)="",10^12,OFFSET(PLE!$G$14,$M402,CF$13))))</f>
        <v>1000000000000</v>
      </c>
      <c r="CG402" s="216">
        <f ca="1">IF($D402&lt;&gt;"Serviço",0,IF(OR(AND(AUTOEVENTO="Manual",$M402=1),$M402&gt;(ROW(PLE.lastrow)-ROW(PLE.firstrow))),0,IF(OFFSET(PLE!$G$14,$M402,CG$13)="",10^12,OFFSET(PLE!$G$14,$M402,CG$13))))</f>
        <v>1000000000000</v>
      </c>
      <c r="CH402" s="216">
        <f ca="1">IF($D402&lt;&gt;"Serviço",0,IF(OR(AND(AUTOEVENTO="Manual",$M402=1),$M402&gt;(ROW(PLE.lastrow)-ROW(PLE.firstrow))),0,IF(OFFSET(PLE!$G$14,$M402,CH$13)="",10^12,OFFSET(PLE!$G$14,$M402,CH$13))))</f>
        <v>1000000000000</v>
      </c>
      <c r="CI402" s="216">
        <f ca="1">IF($D402&lt;&gt;"Serviço",0,IF(OR(AND(AUTOEVENTO="Manual",$M402=1),$M402&gt;(ROW(PLE.lastrow)-ROW(PLE.firstrow))),0,IF(OFFSET(PLE!$G$14,$M402,CI$13)="",10^12,OFFSET(PLE!$G$14,$M402,CI$13))))</f>
        <v>1000000000000</v>
      </c>
      <c r="CJ402" s="216">
        <f ca="1">IF($D402&lt;&gt;"Serviço",0,IF(OR(AND(AUTOEVENTO="Manual",$M402=1),$M402&gt;(ROW(PLE.lastrow)-ROW(PLE.firstrow))),0,IF(OFFSET(PLE!$G$14,$M402,CJ$13)="",10^12,OFFSET(PLE!$G$14,$M402,CJ$13))))</f>
        <v>1000000000000</v>
      </c>
      <c r="CK402" s="216">
        <f ca="1">IF($D402&lt;&gt;"Serviço",0,IF(OR(AND(AUTOEVENTO="Manual",$M402=1),$M402&gt;(ROW(PLE.lastrow)-ROW(PLE.firstrow))),0,IF(OFFSET(PLE!$G$14,$M402,CK$13)="",10^12,OFFSET(PLE!$G$14,$M402,CK$13))))</f>
        <v>1000000000000</v>
      </c>
      <c r="CL402" s="216">
        <f ca="1">IF($D402&lt;&gt;"Serviço",0,IF(OR(AND(AUTOEVENTO="Manual",$M402=1),$M402&gt;(ROW(PLE.lastrow)-ROW(PLE.firstrow))),0,IF(OFFSET(PLE!$G$14,$M402,CL$13)="",10^12,OFFSET(PLE!$G$14,$M402,CL$13))))</f>
        <v>1000000000000</v>
      </c>
      <c r="CM402" s="216">
        <f ca="1">IF($D402&lt;&gt;"Serviço",0,IF(OR(AND(AUTOEVENTO="Manual",$M402=1),$M402&gt;(ROW(PLE.lastrow)-ROW(PLE.firstrow))),0,IF(OFFSET(PLE!$G$14,$M402,CM$13)="",10^12,OFFSET(PLE!$G$14,$M402,CM$13))))</f>
        <v>1000000000000</v>
      </c>
    </row>
    <row r="403" spans="1:91" ht="13.2" x14ac:dyDescent="0.25">
      <c r="A403" s="9">
        <f t="shared" ca="1" si="15"/>
        <v>0</v>
      </c>
      <c r="B403" s="9" t="str">
        <f ca="1">OFFSET(ORÇAMENTO!C$15,ROW(B403)-ROW(B$15),0)</f>
        <v>S</v>
      </c>
      <c r="C403" s="9" t="str">
        <f ca="1">OFFSET(ORÇAMENTO!L$15,ROW(C403)-ROW(C$15),0)</f>
        <v/>
      </c>
      <c r="D403" s="145" t="str">
        <f ca="1">OFFSET(ORÇAMENTO!N$15,ROW(D403)-ROW(D$15),0)</f>
        <v>Serviço</v>
      </c>
      <c r="E403" s="205" t="str">
        <f ca="1">OFFSET(ORÇAMENTO!O$15,ROW(E403)-ROW(E$15),0)</f>
        <v>-</v>
      </c>
      <c r="F403" s="206" t="str">
        <f ca="1">OFFSET(ORÇAMENTO!R$15,ROW(F403)-ROW(F$15),0)</f>
        <v>(abra o arquivo 'Referência 05-2024.xls)</v>
      </c>
      <c r="G403" s="207" t="str">
        <f ca="1">IF($D403&lt;&gt;"Serviço","",OFFSET(ORÇAMENTO!S$15,ROW(G403)-ROW(G$15),0))</f>
        <v>-</v>
      </c>
      <c r="H403" s="151">
        <f ca="1">IF($D403&lt;&gt;"Serviço",0,IF(ACOMPANHAMENTO="BM",ROUND(OFFSET(ORÇAMENTO!AJ$15,ROW(H403)-ROW(H$15),0),15-13*ORÇAMENTO!$AF$7),SUMPRODUCT(($Q$12:$AI$12&lt;&gt;"")*ROUND($Q403:$AI403,15-13*ORÇAMENTO!$AF$7))))</f>
        <v>24</v>
      </c>
      <c r="I403" s="650"/>
      <c r="K403" s="208"/>
      <c r="L403" s="209" t="s">
        <v>257</v>
      </c>
      <c r="M403" s="210">
        <f ca="1">IF($D403&lt;&gt;"Serviço","",IF(AUTOEVENTO="manual",$A403,IF(ISERROR(MATCH($A403,$A$15:OFFSET($A403,-1,0),0)),MAX($M$15:OFFSET(M403,-1,0))+1,INDEX($M$15:OFFSET(M403,-1,0),MATCH($A403,$A$15:OFFSET($A403,-1,0),0)))))</f>
        <v>0</v>
      </c>
      <c r="N403" s="211" t="str">
        <f ca="1">IF($D403&lt;&gt;"Serviço","",IF(AUTOEVENTO="Manual",IF($A403=0,"&lt;-- defina o número do agrupador",OFFSET(EVENTOS!$D$14,$A403,0)),OFFSET($F$15,$A403,0)))</f>
        <v>&lt;-- defina o número do agrupador</v>
      </c>
      <c r="O403" s="212"/>
      <c r="Q403" s="212"/>
      <c r="R403" s="213"/>
      <c r="S403" s="213"/>
      <c r="T403" s="213"/>
      <c r="U403" s="213"/>
      <c r="V403" s="213"/>
      <c r="W403" s="213"/>
      <c r="X403" s="213"/>
      <c r="Y403" s="213"/>
      <c r="Z403" s="214"/>
      <c r="AA403" s="213"/>
      <c r="AB403" s="213"/>
      <c r="AC403" s="213"/>
      <c r="AD403" s="213"/>
      <c r="AE403" s="213"/>
      <c r="AF403" s="213"/>
      <c r="AG403" s="213"/>
      <c r="AH403" s="214"/>
      <c r="AJ403" s="631">
        <f ca="1">IF(AND($D403="Serviço",AJ$12&lt;&gt;0,$H403&gt;0,OR(AUTOEVENTO&lt;&gt;"manual",$M403&lt;&gt;1)),ROUND(OFFSET($P403,0,AJ$13),15-13*ORÇAMENTO!$AF$7)/$H403*OFFSET(ORÇAMENTO!$X$15,ROW(AJ403)-ROW(AJ$15),0),0)</f>
        <v>0</v>
      </c>
      <c r="AK403" s="632">
        <f ca="1">IF(AND($D403="Serviço",AK$12&lt;&gt;0,$H403&gt;0,OR(AUTOEVENTO&lt;&gt;"manual",$M403&lt;&gt;1)),ROUND(OFFSET($P403,0,AK$13),15-13*ORÇAMENTO!$AF$7)/$H403*OFFSET(ORÇAMENTO!$X$15,ROW(AK403)-ROW(AK$15),0),0)</f>
        <v>0</v>
      </c>
      <c r="AL403" s="632">
        <f ca="1">IF(AND($D403="Serviço",AL$12&lt;&gt;0,$H403&gt;0,OR(AUTOEVENTO&lt;&gt;"manual",$M403&lt;&gt;1)),ROUND(OFFSET($P403,0,AL$13),15-13*ORÇAMENTO!$AF$7)/$H403*OFFSET(ORÇAMENTO!$X$15,ROW(AL403)-ROW(AL$15),0),0)</f>
        <v>0</v>
      </c>
      <c r="AM403" s="632">
        <f ca="1">IF(AND($D403="Serviço",AM$12&lt;&gt;0,$H403&gt;0,OR(AUTOEVENTO&lt;&gt;"manual",$M403&lt;&gt;1)),ROUND(OFFSET($P403,0,AM$13),15-13*ORÇAMENTO!$AF$7)/$H403*OFFSET(ORÇAMENTO!$X$15,ROW(AM403)-ROW(AM$15),0),0)</f>
        <v>0</v>
      </c>
      <c r="AN403" s="632">
        <f ca="1">IF(AND($D403="Serviço",AN$12&lt;&gt;0,$H403&gt;0,OR(AUTOEVENTO&lt;&gt;"manual",$M403&lt;&gt;1)),ROUND(OFFSET($P403,0,AN$13),15-13*ORÇAMENTO!$AF$7)/$H403*OFFSET(ORÇAMENTO!$X$15,ROW(AN403)-ROW(AN$15),0),0)</f>
        <v>0</v>
      </c>
      <c r="AO403" s="632">
        <f ca="1">IF(AND($D403="Serviço",AO$12&lt;&gt;0,$H403&gt;0,OR(AUTOEVENTO&lt;&gt;"manual",$M403&lt;&gt;1)),ROUND(OFFSET($P403,0,AO$13),15-13*ORÇAMENTO!$AF$7)/$H403*OFFSET(ORÇAMENTO!$X$15,ROW(AO403)-ROW(AO$15),0),0)</f>
        <v>0</v>
      </c>
      <c r="AP403" s="632">
        <f ca="1">IF(AND($D403="Serviço",AP$12&lt;&gt;0,$H403&gt;0,OR(AUTOEVENTO&lt;&gt;"manual",$M403&lt;&gt;1)),ROUND(OFFSET($P403,0,AP$13),15-13*ORÇAMENTO!$AF$7)/$H403*OFFSET(ORÇAMENTO!$X$15,ROW(AP403)-ROW(AP$15),0),0)</f>
        <v>0</v>
      </c>
      <c r="AQ403" s="632">
        <f ca="1">IF(AND($D403="Serviço",AQ$12&lt;&gt;0,$H403&gt;0,OR(AUTOEVENTO&lt;&gt;"manual",$M403&lt;&gt;1)),ROUND(OFFSET($P403,0,AQ$13),15-13*ORÇAMENTO!$AF$7)/$H403*OFFSET(ORÇAMENTO!$X$15,ROW(AQ403)-ROW(AQ$15),0),0)</f>
        <v>0</v>
      </c>
      <c r="AR403" s="632">
        <f ca="1">IF(AND($D403="Serviço",AR$12&lt;&gt;0,$H403&gt;0,OR(AUTOEVENTO&lt;&gt;"manual",$M403&lt;&gt;1)),ROUND(OFFSET($P403,0,AR$13),15-13*ORÇAMENTO!$AF$7)/$H403*OFFSET(ORÇAMENTO!$X$15,ROW(AR403)-ROW(AR$15),0),0)</f>
        <v>0</v>
      </c>
      <c r="AS403" s="633">
        <f ca="1">IF(AND($D403="Serviço",AS$12&lt;&gt;0,$H403&gt;0,OR(AUTOEVENTO&lt;&gt;"manual",$M403&lt;&gt;1)),ROUND(OFFSET($P403,0,AS$13),15-13*ORÇAMENTO!$AF$7)/$H403*OFFSET(ORÇAMENTO!$X$15,ROW(AS403)-ROW(AS$15),0),0)</f>
        <v>0</v>
      </c>
      <c r="AT403" s="632">
        <f ca="1">IF(AND($D403="Serviço",AT$12&lt;&gt;0,$H403&gt;0,OR(AUTOEVENTO&lt;&gt;"manual",$M403&lt;&gt;1)),ROUND(OFFSET($P403,0,AT$13),15-13*ORÇAMENTO!$AF$7)/$H403*OFFSET(ORÇAMENTO!$X$15,ROW(AT403)-ROW(AT$15),0),0)</f>
        <v>0</v>
      </c>
      <c r="AU403" s="632">
        <f ca="1">IF(AND($D403="Serviço",AU$12&lt;&gt;0,$H403&gt;0,OR(AUTOEVENTO&lt;&gt;"manual",$M403&lt;&gt;1)),ROUND(OFFSET($P403,0,AU$13),15-13*ORÇAMENTO!$AF$7)/$H403*OFFSET(ORÇAMENTO!$X$15,ROW(AU403)-ROW(AU$15),0),0)</f>
        <v>0</v>
      </c>
      <c r="AV403" s="632">
        <f ca="1">IF(AND($D403="Serviço",AV$12&lt;&gt;0,$H403&gt;0,OR(AUTOEVENTO&lt;&gt;"manual",$M403&lt;&gt;1)),ROUND(OFFSET($P403,0,AV$13),15-13*ORÇAMENTO!$AF$7)/$H403*OFFSET(ORÇAMENTO!$X$15,ROW(AV403)-ROW(AV$15),0),0)</f>
        <v>0</v>
      </c>
      <c r="AW403" s="632">
        <f ca="1">IF(AND($D403="Serviço",AW$12&lt;&gt;0,$H403&gt;0,OR(AUTOEVENTO&lt;&gt;"manual",$M403&lt;&gt;1)),ROUND(OFFSET($P403,0,AW$13),15-13*ORÇAMENTO!$AF$7)/$H403*OFFSET(ORÇAMENTO!$X$15,ROW(AW403)-ROW(AW$15),0),0)</f>
        <v>0</v>
      </c>
      <c r="AX403" s="632">
        <f ca="1">IF(AND($D403="Serviço",AX$12&lt;&gt;0,$H403&gt;0,OR(AUTOEVENTO&lt;&gt;"manual",$M403&lt;&gt;1)),ROUND(OFFSET($P403,0,AX$13),15-13*ORÇAMENTO!$AF$7)/$H403*OFFSET(ORÇAMENTO!$X$15,ROW(AX403)-ROW(AX$15),0),0)</f>
        <v>0</v>
      </c>
      <c r="AY403" s="632">
        <f ca="1">IF(AND($D403="Serviço",AY$12&lt;&gt;0,$H403&gt;0,OR(AUTOEVENTO&lt;&gt;"manual",$M403&lt;&gt;1)),ROUND(OFFSET($P403,0,AY$13),15-13*ORÇAMENTO!$AF$7)/$H403*OFFSET(ORÇAMENTO!$X$15,ROW(AY403)-ROW(AY$15),0),0)</f>
        <v>0</v>
      </c>
      <c r="AZ403" s="632">
        <f ca="1">IF(AND($D403="Serviço",AZ$12&lt;&gt;0,$H403&gt;0,OR(AUTOEVENTO&lt;&gt;"manual",$M403&lt;&gt;1)),ROUND(OFFSET($P403,0,AZ$13),15-13*ORÇAMENTO!$AF$7)/$H403*OFFSET(ORÇAMENTO!$X$15,ROW(AZ403)-ROW(AZ$15),0),0)</f>
        <v>0</v>
      </c>
      <c r="BA403" s="633">
        <f ca="1">IF(AND($D403="Serviço",BA$12&lt;&gt;0,$H403&gt;0,OR(AUTOEVENTO&lt;&gt;"manual",$M403&lt;&gt;1)),ROUND(OFFSET($P403,0,BA$13),15-13*ORÇAMENTO!$AF$7)/$H403*OFFSET(ORÇAMENTO!$X$15,ROW(BA403)-ROW(BA$15),0),0)</f>
        <v>0</v>
      </c>
      <c r="BC403" s="215">
        <f ca="1">IF($D403&lt;&gt;"Serviço",0,IF(AND(AUTOEVENTO="Manual",$M403=1),0,IF(OFFSET(CRONOPLE!$F$14,$M403,BC$13)="",10^12,OFFSET(CRONOPLE!$F$14,$M403,BC$13))))</f>
        <v>1000000000000</v>
      </c>
      <c r="BD403" s="215">
        <f ca="1">IF($D403&lt;&gt;"Serviço",0,IF(AND(AUTOEVENTO="Manual",$M403=1),0,IF(OFFSET(CRONOPLE!$F$14,$M403,BD$13)="",10^12,OFFSET(CRONOPLE!$F$14,$M403,BD$13))))</f>
        <v>1000000000000</v>
      </c>
      <c r="BE403" s="215">
        <f ca="1">IF($D403&lt;&gt;"Serviço",0,IF(AND(AUTOEVENTO="Manual",$M403=1),0,IF(OFFSET(CRONOPLE!$F$14,$M403,BE$13)="",10^12,OFFSET(CRONOPLE!$F$14,$M403,BE$13))))</f>
        <v>1000000000000</v>
      </c>
      <c r="BF403" s="215">
        <f ca="1">IF($D403&lt;&gt;"Serviço",0,IF(AND(AUTOEVENTO="Manual",$M403=1),0,IF(OFFSET(CRONOPLE!$F$14,$M403,BF$13)="",10^12,OFFSET(CRONOPLE!$F$14,$M403,BF$13))))</f>
        <v>1000000000000</v>
      </c>
      <c r="BG403" s="215">
        <f ca="1">IF($D403&lt;&gt;"Serviço",0,IF(AND(AUTOEVENTO="Manual",$M403=1),0,IF(OFFSET(CRONOPLE!$F$14,$M403,BG$13)="",10^12,OFFSET(CRONOPLE!$F$14,$M403,BG$13))))</f>
        <v>1000000000000</v>
      </c>
      <c r="BH403" s="215">
        <f ca="1">IF($D403&lt;&gt;"Serviço",0,IF(AND(AUTOEVENTO="Manual",$M403=1),0,IF(OFFSET(CRONOPLE!$F$14,$M403,BH$13)="",10^12,OFFSET(CRONOPLE!$F$14,$M403,BH$13))))</f>
        <v>1000000000000</v>
      </c>
      <c r="BI403" s="215">
        <f ca="1">IF($D403&lt;&gt;"Serviço",0,IF(AND(AUTOEVENTO="Manual",$M403=1),0,IF(OFFSET(CRONOPLE!$F$14,$M403,BI$13)="",10^12,OFFSET(CRONOPLE!$F$14,$M403,BI$13))))</f>
        <v>1000000000000</v>
      </c>
      <c r="BJ403" s="215">
        <f ca="1">IF($D403&lt;&gt;"Serviço",0,IF(AND(AUTOEVENTO="Manual",$M403=1),0,IF(OFFSET(CRONOPLE!$F$14,$M403,BJ$13)="",10^12,OFFSET(CRONOPLE!$F$14,$M403,BJ$13))))</f>
        <v>1000000000000</v>
      </c>
      <c r="BK403" s="215">
        <f ca="1">IF($D403&lt;&gt;"Serviço",0,IF(AND(AUTOEVENTO="Manual",$M403=1),0,IF(OFFSET(CRONOPLE!$F$14,$M403,BK$13)="",10^12,OFFSET(CRONOPLE!$F$14,$M403,BK$13))))</f>
        <v>1000000000000</v>
      </c>
      <c r="BL403" s="215">
        <f ca="1">IF($D403&lt;&gt;"Serviço",0,IF(AND(AUTOEVENTO="Manual",$M403=1),0,IF(OFFSET(CRONOPLE!$F$14,$M403,BL$13)="",10^12,OFFSET(CRONOPLE!$F$14,$M403,BL$13))))</f>
        <v>1000000000000</v>
      </c>
      <c r="BM403" s="215">
        <f ca="1">IF($D403&lt;&gt;"Serviço",0,IF(AND(AUTOEVENTO="Manual",$M403=1),0,IF(OFFSET(CRONOPLE!$F$14,$M403,BM$13)="",10^12,OFFSET(CRONOPLE!$F$14,$M403,BM$13))))</f>
        <v>1000000000000</v>
      </c>
      <c r="BN403" s="215">
        <f ca="1">IF($D403&lt;&gt;"Serviço",0,IF(AND(AUTOEVENTO="Manual",$M403=1),0,IF(OFFSET(CRONOPLE!$F$14,$M403,BN$13)="",10^12,OFFSET(CRONOPLE!$F$14,$M403,BN$13))))</f>
        <v>1000000000000</v>
      </c>
      <c r="BO403" s="215">
        <f ca="1">IF($D403&lt;&gt;"Serviço",0,IF(AND(AUTOEVENTO="Manual",$M403=1),0,IF(OFFSET(CRONOPLE!$F$14,$M403,BO$13)="",10^12,OFFSET(CRONOPLE!$F$14,$M403,BO$13))))</f>
        <v>1000000000000</v>
      </c>
      <c r="BP403" s="215">
        <f ca="1">IF($D403&lt;&gt;"Serviço",0,IF(AND(AUTOEVENTO="Manual",$M403=1),0,IF(OFFSET(CRONOPLE!$F$14,$M403,BP$13)="",10^12,OFFSET(CRONOPLE!$F$14,$M403,BP$13))))</f>
        <v>1000000000000</v>
      </c>
      <c r="BQ403" s="215">
        <f ca="1">IF($D403&lt;&gt;"Serviço",0,IF(AND(AUTOEVENTO="Manual",$M403=1),0,IF(OFFSET(CRONOPLE!$F$14,$M403,BQ$13)="",10^12,OFFSET(CRONOPLE!$F$14,$M403,BQ$13))))</f>
        <v>1000000000000</v>
      </c>
      <c r="BR403" s="215">
        <f ca="1">IF($D403&lt;&gt;"Serviço",0,IF(AND(AUTOEVENTO="Manual",$M403=1),0,IF(OFFSET(CRONOPLE!$F$14,$M403,BR$13)="",10^12,OFFSET(CRONOPLE!$F$14,$M403,BR$13))))</f>
        <v>1000000000000</v>
      </c>
      <c r="BS403" s="215">
        <f ca="1">IF($D403&lt;&gt;"Serviço",0,IF(AND(AUTOEVENTO="Manual",$M403=1),0,IF(OFFSET(CRONOPLE!$F$14,$M403,BS$13)="",10^12,OFFSET(CRONOPLE!$F$14,$M403,BS$13))))</f>
        <v>1000000000000</v>
      </c>
      <c r="BT403" s="215">
        <f ca="1">IF($D403&lt;&gt;"Serviço",0,IF(AND(AUTOEVENTO="Manual",$M403=1),0,IF(OFFSET(CRONOPLE!$F$14,$M403,BT$13)="",10^12,OFFSET(CRONOPLE!$F$14,$M403,BT$13))))</f>
        <v>1000000000000</v>
      </c>
      <c r="BV403" s="216">
        <f ca="1">IF($D403&lt;&gt;"Serviço",0,IF(OR(AND(AUTOEVENTO="Manual",$M403=1),$M403&gt;(ROW(PLE.lastrow)-ROW(PLE.firstrow))),0,IF(OFFSET(PLE!$G$14,$M403,BV$13)="",10^12,OFFSET(PLE!$G$14,$M403,BV$13))))</f>
        <v>1000000000000</v>
      </c>
      <c r="BW403" s="216">
        <f ca="1">IF($D403&lt;&gt;"Serviço",0,IF(OR(AND(AUTOEVENTO="Manual",$M403=1),$M403&gt;(ROW(PLE.lastrow)-ROW(PLE.firstrow))),0,IF(OFFSET(PLE!$G$14,$M403,BW$13)="",10^12,OFFSET(PLE!$G$14,$M403,BW$13))))</f>
        <v>1000000000000</v>
      </c>
      <c r="BX403" s="216">
        <f ca="1">IF($D403&lt;&gt;"Serviço",0,IF(OR(AND(AUTOEVENTO="Manual",$M403=1),$M403&gt;(ROW(PLE.lastrow)-ROW(PLE.firstrow))),0,IF(OFFSET(PLE!$G$14,$M403,BX$13)="",10^12,OFFSET(PLE!$G$14,$M403,BX$13))))</f>
        <v>1000000000000</v>
      </c>
      <c r="BY403" s="216">
        <f ca="1">IF($D403&lt;&gt;"Serviço",0,IF(OR(AND(AUTOEVENTO="Manual",$M403=1),$M403&gt;(ROW(PLE.lastrow)-ROW(PLE.firstrow))),0,IF(OFFSET(PLE!$G$14,$M403,BY$13)="",10^12,OFFSET(PLE!$G$14,$M403,BY$13))))</f>
        <v>1000000000000</v>
      </c>
      <c r="BZ403" s="216">
        <f ca="1">IF($D403&lt;&gt;"Serviço",0,IF(OR(AND(AUTOEVENTO="Manual",$M403=1),$M403&gt;(ROW(PLE.lastrow)-ROW(PLE.firstrow))),0,IF(OFFSET(PLE!$G$14,$M403,BZ$13)="",10^12,OFFSET(PLE!$G$14,$M403,BZ$13))))</f>
        <v>1000000000000</v>
      </c>
      <c r="CA403" s="216">
        <f ca="1">IF($D403&lt;&gt;"Serviço",0,IF(OR(AND(AUTOEVENTO="Manual",$M403=1),$M403&gt;(ROW(PLE.lastrow)-ROW(PLE.firstrow))),0,IF(OFFSET(PLE!$G$14,$M403,CA$13)="",10^12,OFFSET(PLE!$G$14,$M403,CA$13))))</f>
        <v>1000000000000</v>
      </c>
      <c r="CB403" s="216">
        <f ca="1">IF($D403&lt;&gt;"Serviço",0,IF(OR(AND(AUTOEVENTO="Manual",$M403=1),$M403&gt;(ROW(PLE.lastrow)-ROW(PLE.firstrow))),0,IF(OFFSET(PLE!$G$14,$M403,CB$13)="",10^12,OFFSET(PLE!$G$14,$M403,CB$13))))</f>
        <v>1000000000000</v>
      </c>
      <c r="CC403" s="216">
        <f ca="1">IF($D403&lt;&gt;"Serviço",0,IF(OR(AND(AUTOEVENTO="Manual",$M403=1),$M403&gt;(ROW(PLE.lastrow)-ROW(PLE.firstrow))),0,IF(OFFSET(PLE!$G$14,$M403,CC$13)="",10^12,OFFSET(PLE!$G$14,$M403,CC$13))))</f>
        <v>1000000000000</v>
      </c>
      <c r="CD403" s="216">
        <f ca="1">IF($D403&lt;&gt;"Serviço",0,IF(OR(AND(AUTOEVENTO="Manual",$M403=1),$M403&gt;(ROW(PLE.lastrow)-ROW(PLE.firstrow))),0,IF(OFFSET(PLE!$G$14,$M403,CD$13)="",10^12,OFFSET(PLE!$G$14,$M403,CD$13))))</f>
        <v>1000000000000</v>
      </c>
      <c r="CE403" s="216">
        <f ca="1">IF($D403&lt;&gt;"Serviço",0,IF(OR(AND(AUTOEVENTO="Manual",$M403=1),$M403&gt;(ROW(PLE.lastrow)-ROW(PLE.firstrow))),0,IF(OFFSET(PLE!$G$14,$M403,CE$13)="",10^12,OFFSET(PLE!$G$14,$M403,CE$13))))</f>
        <v>1000000000000</v>
      </c>
      <c r="CF403" s="216">
        <f ca="1">IF($D403&lt;&gt;"Serviço",0,IF(OR(AND(AUTOEVENTO="Manual",$M403=1),$M403&gt;(ROW(PLE.lastrow)-ROW(PLE.firstrow))),0,IF(OFFSET(PLE!$G$14,$M403,CF$13)="",10^12,OFFSET(PLE!$G$14,$M403,CF$13))))</f>
        <v>1000000000000</v>
      </c>
      <c r="CG403" s="216">
        <f ca="1">IF($D403&lt;&gt;"Serviço",0,IF(OR(AND(AUTOEVENTO="Manual",$M403=1),$M403&gt;(ROW(PLE.lastrow)-ROW(PLE.firstrow))),0,IF(OFFSET(PLE!$G$14,$M403,CG$13)="",10^12,OFFSET(PLE!$G$14,$M403,CG$13))))</f>
        <v>1000000000000</v>
      </c>
      <c r="CH403" s="216">
        <f ca="1">IF($D403&lt;&gt;"Serviço",0,IF(OR(AND(AUTOEVENTO="Manual",$M403=1),$M403&gt;(ROW(PLE.lastrow)-ROW(PLE.firstrow))),0,IF(OFFSET(PLE!$G$14,$M403,CH$13)="",10^12,OFFSET(PLE!$G$14,$M403,CH$13))))</f>
        <v>1000000000000</v>
      </c>
      <c r="CI403" s="216">
        <f ca="1">IF($D403&lt;&gt;"Serviço",0,IF(OR(AND(AUTOEVENTO="Manual",$M403=1),$M403&gt;(ROW(PLE.lastrow)-ROW(PLE.firstrow))),0,IF(OFFSET(PLE!$G$14,$M403,CI$13)="",10^12,OFFSET(PLE!$G$14,$M403,CI$13))))</f>
        <v>1000000000000</v>
      </c>
      <c r="CJ403" s="216">
        <f ca="1">IF($D403&lt;&gt;"Serviço",0,IF(OR(AND(AUTOEVENTO="Manual",$M403=1),$M403&gt;(ROW(PLE.lastrow)-ROW(PLE.firstrow))),0,IF(OFFSET(PLE!$G$14,$M403,CJ$13)="",10^12,OFFSET(PLE!$G$14,$M403,CJ$13))))</f>
        <v>1000000000000</v>
      </c>
      <c r="CK403" s="216">
        <f ca="1">IF($D403&lt;&gt;"Serviço",0,IF(OR(AND(AUTOEVENTO="Manual",$M403=1),$M403&gt;(ROW(PLE.lastrow)-ROW(PLE.firstrow))),0,IF(OFFSET(PLE!$G$14,$M403,CK$13)="",10^12,OFFSET(PLE!$G$14,$M403,CK$13))))</f>
        <v>1000000000000</v>
      </c>
      <c r="CL403" s="216">
        <f ca="1">IF($D403&lt;&gt;"Serviço",0,IF(OR(AND(AUTOEVENTO="Manual",$M403=1),$M403&gt;(ROW(PLE.lastrow)-ROW(PLE.firstrow))),0,IF(OFFSET(PLE!$G$14,$M403,CL$13)="",10^12,OFFSET(PLE!$G$14,$M403,CL$13))))</f>
        <v>1000000000000</v>
      </c>
      <c r="CM403" s="216">
        <f ca="1">IF($D403&lt;&gt;"Serviço",0,IF(OR(AND(AUTOEVENTO="Manual",$M403=1),$M403&gt;(ROW(PLE.lastrow)-ROW(PLE.firstrow))),0,IF(OFFSET(PLE!$G$14,$M403,CM$13)="",10^12,OFFSET(PLE!$G$14,$M403,CM$13))))</f>
        <v>1000000000000</v>
      </c>
    </row>
    <row r="404" spans="1:91" ht="13.2" x14ac:dyDescent="0.25">
      <c r="A404" s="9">
        <f t="shared" ca="1" si="15"/>
        <v>0</v>
      </c>
      <c r="B404" s="9" t="str">
        <f ca="1">OFFSET(ORÇAMENTO!C$15,ROW(B404)-ROW(B$15),0)</f>
        <v>S</v>
      </c>
      <c r="C404" s="9" t="str">
        <f ca="1">OFFSET(ORÇAMENTO!L$15,ROW(C404)-ROW(C$15),0)</f>
        <v/>
      </c>
      <c r="D404" s="145" t="str">
        <f ca="1">OFFSET(ORÇAMENTO!N$15,ROW(D404)-ROW(D$15),0)</f>
        <v>Serviço</v>
      </c>
      <c r="E404" s="205" t="str">
        <f ca="1">OFFSET(ORÇAMENTO!O$15,ROW(E404)-ROW(E$15),0)</f>
        <v>-</v>
      </c>
      <c r="F404" s="206" t="str">
        <f ca="1">OFFSET(ORÇAMENTO!R$15,ROW(F404)-ROW(F$15),0)</f>
        <v>(abra o arquivo 'Referência 05-2024.xls)</v>
      </c>
      <c r="G404" s="207" t="str">
        <f ca="1">IF($D404&lt;&gt;"Serviço","",OFFSET(ORÇAMENTO!S$15,ROW(G404)-ROW(G$15),0))</f>
        <v>-</v>
      </c>
      <c r="H404" s="151">
        <f ca="1">IF($D404&lt;&gt;"Serviço",0,IF(ACOMPANHAMENTO="BM",ROUND(OFFSET(ORÇAMENTO!AJ$15,ROW(H404)-ROW(H$15),0),15-13*ORÇAMENTO!$AF$7),SUMPRODUCT(($Q$12:$AI$12&lt;&gt;"")*ROUND($Q404:$AI404,15-13*ORÇAMENTO!$AF$7))))</f>
        <v>1</v>
      </c>
      <c r="I404" s="650"/>
      <c r="K404" s="208"/>
      <c r="L404" s="209" t="s">
        <v>257</v>
      </c>
      <c r="M404" s="210">
        <f ca="1">IF($D404&lt;&gt;"Serviço","",IF(AUTOEVENTO="manual",$A404,IF(ISERROR(MATCH($A404,$A$15:OFFSET($A404,-1,0),0)),MAX($M$15:OFFSET(M404,-1,0))+1,INDEX($M$15:OFFSET(M404,-1,0),MATCH($A404,$A$15:OFFSET($A404,-1,0),0)))))</f>
        <v>0</v>
      </c>
      <c r="N404" s="211" t="str">
        <f ca="1">IF($D404&lt;&gt;"Serviço","",IF(AUTOEVENTO="Manual",IF($A404=0,"&lt;-- defina o número do agrupador",OFFSET(EVENTOS!$D$14,$A404,0)),OFFSET($F$15,$A404,0)))</f>
        <v>&lt;-- defina o número do agrupador</v>
      </c>
      <c r="O404" s="212"/>
      <c r="Q404" s="212"/>
      <c r="R404" s="213"/>
      <c r="S404" s="213"/>
      <c r="T404" s="213"/>
      <c r="U404" s="213"/>
      <c r="V404" s="213"/>
      <c r="W404" s="213"/>
      <c r="X404" s="213"/>
      <c r="Y404" s="213"/>
      <c r="Z404" s="214"/>
      <c r="AA404" s="213"/>
      <c r="AB404" s="213"/>
      <c r="AC404" s="213"/>
      <c r="AD404" s="213"/>
      <c r="AE404" s="213"/>
      <c r="AF404" s="213"/>
      <c r="AG404" s="213"/>
      <c r="AH404" s="214"/>
      <c r="AJ404" s="631">
        <f ca="1">IF(AND($D404="Serviço",AJ$12&lt;&gt;0,$H404&gt;0,OR(AUTOEVENTO&lt;&gt;"manual",$M404&lt;&gt;1)),ROUND(OFFSET($P404,0,AJ$13),15-13*ORÇAMENTO!$AF$7)/$H404*OFFSET(ORÇAMENTO!$X$15,ROW(AJ404)-ROW(AJ$15),0),0)</f>
        <v>0</v>
      </c>
      <c r="AK404" s="632">
        <f ca="1">IF(AND($D404="Serviço",AK$12&lt;&gt;0,$H404&gt;0,OR(AUTOEVENTO&lt;&gt;"manual",$M404&lt;&gt;1)),ROUND(OFFSET($P404,0,AK$13),15-13*ORÇAMENTO!$AF$7)/$H404*OFFSET(ORÇAMENTO!$X$15,ROW(AK404)-ROW(AK$15),0),0)</f>
        <v>0</v>
      </c>
      <c r="AL404" s="632">
        <f ca="1">IF(AND($D404="Serviço",AL$12&lt;&gt;0,$H404&gt;0,OR(AUTOEVENTO&lt;&gt;"manual",$M404&lt;&gt;1)),ROUND(OFFSET($P404,0,AL$13),15-13*ORÇAMENTO!$AF$7)/$H404*OFFSET(ORÇAMENTO!$X$15,ROW(AL404)-ROW(AL$15),0),0)</f>
        <v>0</v>
      </c>
      <c r="AM404" s="632">
        <f ca="1">IF(AND($D404="Serviço",AM$12&lt;&gt;0,$H404&gt;0,OR(AUTOEVENTO&lt;&gt;"manual",$M404&lt;&gt;1)),ROUND(OFFSET($P404,0,AM$13),15-13*ORÇAMENTO!$AF$7)/$H404*OFFSET(ORÇAMENTO!$X$15,ROW(AM404)-ROW(AM$15),0),0)</f>
        <v>0</v>
      </c>
      <c r="AN404" s="632">
        <f ca="1">IF(AND($D404="Serviço",AN$12&lt;&gt;0,$H404&gt;0,OR(AUTOEVENTO&lt;&gt;"manual",$M404&lt;&gt;1)),ROUND(OFFSET($P404,0,AN$13),15-13*ORÇAMENTO!$AF$7)/$H404*OFFSET(ORÇAMENTO!$X$15,ROW(AN404)-ROW(AN$15),0),0)</f>
        <v>0</v>
      </c>
      <c r="AO404" s="632">
        <f ca="1">IF(AND($D404="Serviço",AO$12&lt;&gt;0,$H404&gt;0,OR(AUTOEVENTO&lt;&gt;"manual",$M404&lt;&gt;1)),ROUND(OFFSET($P404,0,AO$13),15-13*ORÇAMENTO!$AF$7)/$H404*OFFSET(ORÇAMENTO!$X$15,ROW(AO404)-ROW(AO$15),0),0)</f>
        <v>0</v>
      </c>
      <c r="AP404" s="632">
        <f ca="1">IF(AND($D404="Serviço",AP$12&lt;&gt;0,$H404&gt;0,OR(AUTOEVENTO&lt;&gt;"manual",$M404&lt;&gt;1)),ROUND(OFFSET($P404,0,AP$13),15-13*ORÇAMENTO!$AF$7)/$H404*OFFSET(ORÇAMENTO!$X$15,ROW(AP404)-ROW(AP$15),0),0)</f>
        <v>0</v>
      </c>
      <c r="AQ404" s="632">
        <f ca="1">IF(AND($D404="Serviço",AQ$12&lt;&gt;0,$H404&gt;0,OR(AUTOEVENTO&lt;&gt;"manual",$M404&lt;&gt;1)),ROUND(OFFSET($P404,0,AQ$13),15-13*ORÇAMENTO!$AF$7)/$H404*OFFSET(ORÇAMENTO!$X$15,ROW(AQ404)-ROW(AQ$15),0),0)</f>
        <v>0</v>
      </c>
      <c r="AR404" s="632">
        <f ca="1">IF(AND($D404="Serviço",AR$12&lt;&gt;0,$H404&gt;0,OR(AUTOEVENTO&lt;&gt;"manual",$M404&lt;&gt;1)),ROUND(OFFSET($P404,0,AR$13),15-13*ORÇAMENTO!$AF$7)/$H404*OFFSET(ORÇAMENTO!$X$15,ROW(AR404)-ROW(AR$15),0),0)</f>
        <v>0</v>
      </c>
      <c r="AS404" s="633">
        <f ca="1">IF(AND($D404="Serviço",AS$12&lt;&gt;0,$H404&gt;0,OR(AUTOEVENTO&lt;&gt;"manual",$M404&lt;&gt;1)),ROUND(OFFSET($P404,0,AS$13),15-13*ORÇAMENTO!$AF$7)/$H404*OFFSET(ORÇAMENTO!$X$15,ROW(AS404)-ROW(AS$15),0),0)</f>
        <v>0</v>
      </c>
      <c r="AT404" s="632">
        <f ca="1">IF(AND($D404="Serviço",AT$12&lt;&gt;0,$H404&gt;0,OR(AUTOEVENTO&lt;&gt;"manual",$M404&lt;&gt;1)),ROUND(OFFSET($P404,0,AT$13),15-13*ORÇAMENTO!$AF$7)/$H404*OFFSET(ORÇAMENTO!$X$15,ROW(AT404)-ROW(AT$15),0),0)</f>
        <v>0</v>
      </c>
      <c r="AU404" s="632">
        <f ca="1">IF(AND($D404="Serviço",AU$12&lt;&gt;0,$H404&gt;0,OR(AUTOEVENTO&lt;&gt;"manual",$M404&lt;&gt;1)),ROUND(OFFSET($P404,0,AU$13),15-13*ORÇAMENTO!$AF$7)/$H404*OFFSET(ORÇAMENTO!$X$15,ROW(AU404)-ROW(AU$15),0),0)</f>
        <v>0</v>
      </c>
      <c r="AV404" s="632">
        <f ca="1">IF(AND($D404="Serviço",AV$12&lt;&gt;0,$H404&gt;0,OR(AUTOEVENTO&lt;&gt;"manual",$M404&lt;&gt;1)),ROUND(OFFSET($P404,0,AV$13),15-13*ORÇAMENTO!$AF$7)/$H404*OFFSET(ORÇAMENTO!$X$15,ROW(AV404)-ROW(AV$15),0),0)</f>
        <v>0</v>
      </c>
      <c r="AW404" s="632">
        <f ca="1">IF(AND($D404="Serviço",AW$12&lt;&gt;0,$H404&gt;0,OR(AUTOEVENTO&lt;&gt;"manual",$M404&lt;&gt;1)),ROUND(OFFSET($P404,0,AW$13),15-13*ORÇAMENTO!$AF$7)/$H404*OFFSET(ORÇAMENTO!$X$15,ROW(AW404)-ROW(AW$15),0),0)</f>
        <v>0</v>
      </c>
      <c r="AX404" s="632">
        <f ca="1">IF(AND($D404="Serviço",AX$12&lt;&gt;0,$H404&gt;0,OR(AUTOEVENTO&lt;&gt;"manual",$M404&lt;&gt;1)),ROUND(OFFSET($P404,0,AX$13),15-13*ORÇAMENTO!$AF$7)/$H404*OFFSET(ORÇAMENTO!$X$15,ROW(AX404)-ROW(AX$15),0),0)</f>
        <v>0</v>
      </c>
      <c r="AY404" s="632">
        <f ca="1">IF(AND($D404="Serviço",AY$12&lt;&gt;0,$H404&gt;0,OR(AUTOEVENTO&lt;&gt;"manual",$M404&lt;&gt;1)),ROUND(OFFSET($P404,0,AY$13),15-13*ORÇAMENTO!$AF$7)/$H404*OFFSET(ORÇAMENTO!$X$15,ROW(AY404)-ROW(AY$15),0),0)</f>
        <v>0</v>
      </c>
      <c r="AZ404" s="632">
        <f ca="1">IF(AND($D404="Serviço",AZ$12&lt;&gt;0,$H404&gt;0,OR(AUTOEVENTO&lt;&gt;"manual",$M404&lt;&gt;1)),ROUND(OFFSET($P404,0,AZ$13),15-13*ORÇAMENTO!$AF$7)/$H404*OFFSET(ORÇAMENTO!$X$15,ROW(AZ404)-ROW(AZ$15),0),0)</f>
        <v>0</v>
      </c>
      <c r="BA404" s="633">
        <f ca="1">IF(AND($D404="Serviço",BA$12&lt;&gt;0,$H404&gt;0,OR(AUTOEVENTO&lt;&gt;"manual",$M404&lt;&gt;1)),ROUND(OFFSET($P404,0,BA$13),15-13*ORÇAMENTO!$AF$7)/$H404*OFFSET(ORÇAMENTO!$X$15,ROW(BA404)-ROW(BA$15),0),0)</f>
        <v>0</v>
      </c>
      <c r="BC404" s="215">
        <f ca="1">IF($D404&lt;&gt;"Serviço",0,IF(AND(AUTOEVENTO="Manual",$M404=1),0,IF(OFFSET(CRONOPLE!$F$14,$M404,BC$13)="",10^12,OFFSET(CRONOPLE!$F$14,$M404,BC$13))))</f>
        <v>1000000000000</v>
      </c>
      <c r="BD404" s="215">
        <f ca="1">IF($D404&lt;&gt;"Serviço",0,IF(AND(AUTOEVENTO="Manual",$M404=1),0,IF(OFFSET(CRONOPLE!$F$14,$M404,BD$13)="",10^12,OFFSET(CRONOPLE!$F$14,$M404,BD$13))))</f>
        <v>1000000000000</v>
      </c>
      <c r="BE404" s="215">
        <f ca="1">IF($D404&lt;&gt;"Serviço",0,IF(AND(AUTOEVENTO="Manual",$M404=1),0,IF(OFFSET(CRONOPLE!$F$14,$M404,BE$13)="",10^12,OFFSET(CRONOPLE!$F$14,$M404,BE$13))))</f>
        <v>1000000000000</v>
      </c>
      <c r="BF404" s="215">
        <f ca="1">IF($D404&lt;&gt;"Serviço",0,IF(AND(AUTOEVENTO="Manual",$M404=1),0,IF(OFFSET(CRONOPLE!$F$14,$M404,BF$13)="",10^12,OFFSET(CRONOPLE!$F$14,$M404,BF$13))))</f>
        <v>1000000000000</v>
      </c>
      <c r="BG404" s="215">
        <f ca="1">IF($D404&lt;&gt;"Serviço",0,IF(AND(AUTOEVENTO="Manual",$M404=1),0,IF(OFFSET(CRONOPLE!$F$14,$M404,BG$13)="",10^12,OFFSET(CRONOPLE!$F$14,$M404,BG$13))))</f>
        <v>1000000000000</v>
      </c>
      <c r="BH404" s="215">
        <f ca="1">IF($D404&lt;&gt;"Serviço",0,IF(AND(AUTOEVENTO="Manual",$M404=1),0,IF(OFFSET(CRONOPLE!$F$14,$M404,BH$13)="",10^12,OFFSET(CRONOPLE!$F$14,$M404,BH$13))))</f>
        <v>1000000000000</v>
      </c>
      <c r="BI404" s="215">
        <f ca="1">IF($D404&lt;&gt;"Serviço",0,IF(AND(AUTOEVENTO="Manual",$M404=1),0,IF(OFFSET(CRONOPLE!$F$14,$M404,BI$13)="",10^12,OFFSET(CRONOPLE!$F$14,$M404,BI$13))))</f>
        <v>1000000000000</v>
      </c>
      <c r="BJ404" s="215">
        <f ca="1">IF($D404&lt;&gt;"Serviço",0,IF(AND(AUTOEVENTO="Manual",$M404=1),0,IF(OFFSET(CRONOPLE!$F$14,$M404,BJ$13)="",10^12,OFFSET(CRONOPLE!$F$14,$M404,BJ$13))))</f>
        <v>1000000000000</v>
      </c>
      <c r="BK404" s="215">
        <f ca="1">IF($D404&lt;&gt;"Serviço",0,IF(AND(AUTOEVENTO="Manual",$M404=1),0,IF(OFFSET(CRONOPLE!$F$14,$M404,BK$13)="",10^12,OFFSET(CRONOPLE!$F$14,$M404,BK$13))))</f>
        <v>1000000000000</v>
      </c>
      <c r="BL404" s="215">
        <f ca="1">IF($D404&lt;&gt;"Serviço",0,IF(AND(AUTOEVENTO="Manual",$M404=1),0,IF(OFFSET(CRONOPLE!$F$14,$M404,BL$13)="",10^12,OFFSET(CRONOPLE!$F$14,$M404,BL$13))))</f>
        <v>1000000000000</v>
      </c>
      <c r="BM404" s="215">
        <f ca="1">IF($D404&lt;&gt;"Serviço",0,IF(AND(AUTOEVENTO="Manual",$M404=1),0,IF(OFFSET(CRONOPLE!$F$14,$M404,BM$13)="",10^12,OFFSET(CRONOPLE!$F$14,$M404,BM$13))))</f>
        <v>1000000000000</v>
      </c>
      <c r="BN404" s="215">
        <f ca="1">IF($D404&lt;&gt;"Serviço",0,IF(AND(AUTOEVENTO="Manual",$M404=1),0,IF(OFFSET(CRONOPLE!$F$14,$M404,BN$13)="",10^12,OFFSET(CRONOPLE!$F$14,$M404,BN$13))))</f>
        <v>1000000000000</v>
      </c>
      <c r="BO404" s="215">
        <f ca="1">IF($D404&lt;&gt;"Serviço",0,IF(AND(AUTOEVENTO="Manual",$M404=1),0,IF(OFFSET(CRONOPLE!$F$14,$M404,BO$13)="",10^12,OFFSET(CRONOPLE!$F$14,$M404,BO$13))))</f>
        <v>1000000000000</v>
      </c>
      <c r="BP404" s="215">
        <f ca="1">IF($D404&lt;&gt;"Serviço",0,IF(AND(AUTOEVENTO="Manual",$M404=1),0,IF(OFFSET(CRONOPLE!$F$14,$M404,BP$13)="",10^12,OFFSET(CRONOPLE!$F$14,$M404,BP$13))))</f>
        <v>1000000000000</v>
      </c>
      <c r="BQ404" s="215">
        <f ca="1">IF($D404&lt;&gt;"Serviço",0,IF(AND(AUTOEVENTO="Manual",$M404=1),0,IF(OFFSET(CRONOPLE!$F$14,$M404,BQ$13)="",10^12,OFFSET(CRONOPLE!$F$14,$M404,BQ$13))))</f>
        <v>1000000000000</v>
      </c>
      <c r="BR404" s="215">
        <f ca="1">IF($D404&lt;&gt;"Serviço",0,IF(AND(AUTOEVENTO="Manual",$M404=1),0,IF(OFFSET(CRONOPLE!$F$14,$M404,BR$13)="",10^12,OFFSET(CRONOPLE!$F$14,$M404,BR$13))))</f>
        <v>1000000000000</v>
      </c>
      <c r="BS404" s="215">
        <f ca="1">IF($D404&lt;&gt;"Serviço",0,IF(AND(AUTOEVENTO="Manual",$M404=1),0,IF(OFFSET(CRONOPLE!$F$14,$M404,BS$13)="",10^12,OFFSET(CRONOPLE!$F$14,$M404,BS$13))))</f>
        <v>1000000000000</v>
      </c>
      <c r="BT404" s="215">
        <f ca="1">IF($D404&lt;&gt;"Serviço",0,IF(AND(AUTOEVENTO="Manual",$M404=1),0,IF(OFFSET(CRONOPLE!$F$14,$M404,BT$13)="",10^12,OFFSET(CRONOPLE!$F$14,$M404,BT$13))))</f>
        <v>1000000000000</v>
      </c>
      <c r="BV404" s="216">
        <f ca="1">IF($D404&lt;&gt;"Serviço",0,IF(OR(AND(AUTOEVENTO="Manual",$M404=1),$M404&gt;(ROW(PLE.lastrow)-ROW(PLE.firstrow))),0,IF(OFFSET(PLE!$G$14,$M404,BV$13)="",10^12,OFFSET(PLE!$G$14,$M404,BV$13))))</f>
        <v>1000000000000</v>
      </c>
      <c r="BW404" s="216">
        <f ca="1">IF($D404&lt;&gt;"Serviço",0,IF(OR(AND(AUTOEVENTO="Manual",$M404=1),$M404&gt;(ROW(PLE.lastrow)-ROW(PLE.firstrow))),0,IF(OFFSET(PLE!$G$14,$M404,BW$13)="",10^12,OFFSET(PLE!$G$14,$M404,BW$13))))</f>
        <v>1000000000000</v>
      </c>
      <c r="BX404" s="216">
        <f ca="1">IF($D404&lt;&gt;"Serviço",0,IF(OR(AND(AUTOEVENTO="Manual",$M404=1),$M404&gt;(ROW(PLE.lastrow)-ROW(PLE.firstrow))),0,IF(OFFSET(PLE!$G$14,$M404,BX$13)="",10^12,OFFSET(PLE!$G$14,$M404,BX$13))))</f>
        <v>1000000000000</v>
      </c>
      <c r="BY404" s="216">
        <f ca="1">IF($D404&lt;&gt;"Serviço",0,IF(OR(AND(AUTOEVENTO="Manual",$M404=1),$M404&gt;(ROW(PLE.lastrow)-ROW(PLE.firstrow))),0,IF(OFFSET(PLE!$G$14,$M404,BY$13)="",10^12,OFFSET(PLE!$G$14,$M404,BY$13))))</f>
        <v>1000000000000</v>
      </c>
      <c r="BZ404" s="216">
        <f ca="1">IF($D404&lt;&gt;"Serviço",0,IF(OR(AND(AUTOEVENTO="Manual",$M404=1),$M404&gt;(ROW(PLE.lastrow)-ROW(PLE.firstrow))),0,IF(OFFSET(PLE!$G$14,$M404,BZ$13)="",10^12,OFFSET(PLE!$G$14,$M404,BZ$13))))</f>
        <v>1000000000000</v>
      </c>
      <c r="CA404" s="216">
        <f ca="1">IF($D404&lt;&gt;"Serviço",0,IF(OR(AND(AUTOEVENTO="Manual",$M404=1),$M404&gt;(ROW(PLE.lastrow)-ROW(PLE.firstrow))),0,IF(OFFSET(PLE!$G$14,$M404,CA$13)="",10^12,OFFSET(PLE!$G$14,$M404,CA$13))))</f>
        <v>1000000000000</v>
      </c>
      <c r="CB404" s="216">
        <f ca="1">IF($D404&lt;&gt;"Serviço",0,IF(OR(AND(AUTOEVENTO="Manual",$M404=1),$M404&gt;(ROW(PLE.lastrow)-ROW(PLE.firstrow))),0,IF(OFFSET(PLE!$G$14,$M404,CB$13)="",10^12,OFFSET(PLE!$G$14,$M404,CB$13))))</f>
        <v>1000000000000</v>
      </c>
      <c r="CC404" s="216">
        <f ca="1">IF($D404&lt;&gt;"Serviço",0,IF(OR(AND(AUTOEVENTO="Manual",$M404=1),$M404&gt;(ROW(PLE.lastrow)-ROW(PLE.firstrow))),0,IF(OFFSET(PLE!$G$14,$M404,CC$13)="",10^12,OFFSET(PLE!$G$14,$M404,CC$13))))</f>
        <v>1000000000000</v>
      </c>
      <c r="CD404" s="216">
        <f ca="1">IF($D404&lt;&gt;"Serviço",0,IF(OR(AND(AUTOEVENTO="Manual",$M404=1),$M404&gt;(ROW(PLE.lastrow)-ROW(PLE.firstrow))),0,IF(OFFSET(PLE!$G$14,$M404,CD$13)="",10^12,OFFSET(PLE!$G$14,$M404,CD$13))))</f>
        <v>1000000000000</v>
      </c>
      <c r="CE404" s="216">
        <f ca="1">IF($D404&lt;&gt;"Serviço",0,IF(OR(AND(AUTOEVENTO="Manual",$M404=1),$M404&gt;(ROW(PLE.lastrow)-ROW(PLE.firstrow))),0,IF(OFFSET(PLE!$G$14,$M404,CE$13)="",10^12,OFFSET(PLE!$G$14,$M404,CE$13))))</f>
        <v>1000000000000</v>
      </c>
      <c r="CF404" s="216">
        <f ca="1">IF($D404&lt;&gt;"Serviço",0,IF(OR(AND(AUTOEVENTO="Manual",$M404=1),$M404&gt;(ROW(PLE.lastrow)-ROW(PLE.firstrow))),0,IF(OFFSET(PLE!$G$14,$M404,CF$13)="",10^12,OFFSET(PLE!$G$14,$M404,CF$13))))</f>
        <v>1000000000000</v>
      </c>
      <c r="CG404" s="216">
        <f ca="1">IF($D404&lt;&gt;"Serviço",0,IF(OR(AND(AUTOEVENTO="Manual",$M404=1),$M404&gt;(ROW(PLE.lastrow)-ROW(PLE.firstrow))),0,IF(OFFSET(PLE!$G$14,$M404,CG$13)="",10^12,OFFSET(PLE!$G$14,$M404,CG$13))))</f>
        <v>1000000000000</v>
      </c>
      <c r="CH404" s="216">
        <f ca="1">IF($D404&lt;&gt;"Serviço",0,IF(OR(AND(AUTOEVENTO="Manual",$M404=1),$M404&gt;(ROW(PLE.lastrow)-ROW(PLE.firstrow))),0,IF(OFFSET(PLE!$G$14,$M404,CH$13)="",10^12,OFFSET(PLE!$G$14,$M404,CH$13))))</f>
        <v>1000000000000</v>
      </c>
      <c r="CI404" s="216">
        <f ca="1">IF($D404&lt;&gt;"Serviço",0,IF(OR(AND(AUTOEVENTO="Manual",$M404=1),$M404&gt;(ROW(PLE.lastrow)-ROW(PLE.firstrow))),0,IF(OFFSET(PLE!$G$14,$M404,CI$13)="",10^12,OFFSET(PLE!$G$14,$M404,CI$13))))</f>
        <v>1000000000000</v>
      </c>
      <c r="CJ404" s="216">
        <f ca="1">IF($D404&lt;&gt;"Serviço",0,IF(OR(AND(AUTOEVENTO="Manual",$M404=1),$M404&gt;(ROW(PLE.lastrow)-ROW(PLE.firstrow))),0,IF(OFFSET(PLE!$G$14,$M404,CJ$13)="",10^12,OFFSET(PLE!$G$14,$M404,CJ$13))))</f>
        <v>1000000000000</v>
      </c>
      <c r="CK404" s="216">
        <f ca="1">IF($D404&lt;&gt;"Serviço",0,IF(OR(AND(AUTOEVENTO="Manual",$M404=1),$M404&gt;(ROW(PLE.lastrow)-ROW(PLE.firstrow))),0,IF(OFFSET(PLE!$G$14,$M404,CK$13)="",10^12,OFFSET(PLE!$G$14,$M404,CK$13))))</f>
        <v>1000000000000</v>
      </c>
      <c r="CL404" s="216">
        <f ca="1">IF($D404&lt;&gt;"Serviço",0,IF(OR(AND(AUTOEVENTO="Manual",$M404=1),$M404&gt;(ROW(PLE.lastrow)-ROW(PLE.firstrow))),0,IF(OFFSET(PLE!$G$14,$M404,CL$13)="",10^12,OFFSET(PLE!$G$14,$M404,CL$13))))</f>
        <v>1000000000000</v>
      </c>
      <c r="CM404" s="216">
        <f ca="1">IF($D404&lt;&gt;"Serviço",0,IF(OR(AND(AUTOEVENTO="Manual",$M404=1),$M404&gt;(ROW(PLE.lastrow)-ROW(PLE.firstrow))),0,IF(OFFSET(PLE!$G$14,$M404,CM$13)="",10^12,OFFSET(PLE!$G$14,$M404,CM$13))))</f>
        <v>1000000000000</v>
      </c>
    </row>
    <row r="405" spans="1:91" ht="13.2" x14ac:dyDescent="0.25">
      <c r="A405" s="9">
        <f t="shared" ca="1" si="15"/>
        <v>0</v>
      </c>
      <c r="B405" s="9" t="str">
        <f ca="1">OFFSET(ORÇAMENTO!C$15,ROW(B405)-ROW(B$15),0)</f>
        <v>S</v>
      </c>
      <c r="C405" s="9" t="str">
        <f ca="1">OFFSET(ORÇAMENTO!L$15,ROW(C405)-ROW(C$15),0)</f>
        <v/>
      </c>
      <c r="D405" s="145" t="str">
        <f ca="1">OFFSET(ORÇAMENTO!N$15,ROW(D405)-ROW(D$15),0)</f>
        <v>Serviço</v>
      </c>
      <c r="E405" s="205" t="str">
        <f ca="1">OFFSET(ORÇAMENTO!O$15,ROW(E405)-ROW(E$15),0)</f>
        <v>-</v>
      </c>
      <c r="F405" s="206" t="str">
        <f ca="1">OFFSET(ORÇAMENTO!R$15,ROW(F405)-ROW(F$15),0)</f>
        <v>(abra o arquivo 'Referência 05-2024.xls)</v>
      </c>
      <c r="G405" s="207" t="str">
        <f ca="1">IF($D405&lt;&gt;"Serviço","",OFFSET(ORÇAMENTO!S$15,ROW(G405)-ROW(G$15),0))</f>
        <v>-</v>
      </c>
      <c r="H405" s="151">
        <f ca="1">IF($D405&lt;&gt;"Serviço",0,IF(ACOMPANHAMENTO="BM",ROUND(OFFSET(ORÇAMENTO!AJ$15,ROW(H405)-ROW(H$15),0),15-13*ORÇAMENTO!$AF$7),SUMPRODUCT(($Q$12:$AI$12&lt;&gt;"")*ROUND($Q405:$AI405,15-13*ORÇAMENTO!$AF$7))))</f>
        <v>12</v>
      </c>
      <c r="I405" s="650"/>
      <c r="K405" s="208"/>
      <c r="L405" s="209" t="s">
        <v>257</v>
      </c>
      <c r="M405" s="210">
        <f ca="1">IF($D405&lt;&gt;"Serviço","",IF(AUTOEVENTO="manual",$A405,IF(ISERROR(MATCH($A405,$A$15:OFFSET($A405,-1,0),0)),MAX($M$15:OFFSET(M405,-1,0))+1,INDEX($M$15:OFFSET(M405,-1,0),MATCH($A405,$A$15:OFFSET($A405,-1,0),0)))))</f>
        <v>0</v>
      </c>
      <c r="N405" s="211" t="str">
        <f ca="1">IF($D405&lt;&gt;"Serviço","",IF(AUTOEVENTO="Manual",IF($A405=0,"&lt;-- defina o número do agrupador",OFFSET(EVENTOS!$D$14,$A405,0)),OFFSET($F$15,$A405,0)))</f>
        <v>&lt;-- defina o número do agrupador</v>
      </c>
      <c r="O405" s="212"/>
      <c r="Q405" s="212"/>
      <c r="R405" s="213"/>
      <c r="S405" s="213"/>
      <c r="T405" s="213"/>
      <c r="U405" s="213"/>
      <c r="V405" s="213"/>
      <c r="W405" s="213"/>
      <c r="X405" s="213"/>
      <c r="Y405" s="213"/>
      <c r="Z405" s="214"/>
      <c r="AA405" s="213"/>
      <c r="AB405" s="213"/>
      <c r="AC405" s="213"/>
      <c r="AD405" s="213"/>
      <c r="AE405" s="213"/>
      <c r="AF405" s="213"/>
      <c r="AG405" s="213"/>
      <c r="AH405" s="214"/>
      <c r="AJ405" s="631">
        <f ca="1">IF(AND($D405="Serviço",AJ$12&lt;&gt;0,$H405&gt;0,OR(AUTOEVENTO&lt;&gt;"manual",$M405&lt;&gt;1)),ROUND(OFFSET($P405,0,AJ$13),15-13*ORÇAMENTO!$AF$7)/$H405*OFFSET(ORÇAMENTO!$X$15,ROW(AJ405)-ROW(AJ$15),0),0)</f>
        <v>0</v>
      </c>
      <c r="AK405" s="632">
        <f ca="1">IF(AND($D405="Serviço",AK$12&lt;&gt;0,$H405&gt;0,OR(AUTOEVENTO&lt;&gt;"manual",$M405&lt;&gt;1)),ROUND(OFFSET($P405,0,AK$13),15-13*ORÇAMENTO!$AF$7)/$H405*OFFSET(ORÇAMENTO!$X$15,ROW(AK405)-ROW(AK$15),0),0)</f>
        <v>0</v>
      </c>
      <c r="AL405" s="632">
        <f ca="1">IF(AND($D405="Serviço",AL$12&lt;&gt;0,$H405&gt;0,OR(AUTOEVENTO&lt;&gt;"manual",$M405&lt;&gt;1)),ROUND(OFFSET($P405,0,AL$13),15-13*ORÇAMENTO!$AF$7)/$H405*OFFSET(ORÇAMENTO!$X$15,ROW(AL405)-ROW(AL$15),0),0)</f>
        <v>0</v>
      </c>
      <c r="AM405" s="632">
        <f ca="1">IF(AND($D405="Serviço",AM$12&lt;&gt;0,$H405&gt;0,OR(AUTOEVENTO&lt;&gt;"manual",$M405&lt;&gt;1)),ROUND(OFFSET($P405,0,AM$13),15-13*ORÇAMENTO!$AF$7)/$H405*OFFSET(ORÇAMENTO!$X$15,ROW(AM405)-ROW(AM$15),0),0)</f>
        <v>0</v>
      </c>
      <c r="AN405" s="632">
        <f ca="1">IF(AND($D405="Serviço",AN$12&lt;&gt;0,$H405&gt;0,OR(AUTOEVENTO&lt;&gt;"manual",$M405&lt;&gt;1)),ROUND(OFFSET($P405,0,AN$13),15-13*ORÇAMENTO!$AF$7)/$H405*OFFSET(ORÇAMENTO!$X$15,ROW(AN405)-ROW(AN$15),0),0)</f>
        <v>0</v>
      </c>
      <c r="AO405" s="632">
        <f ca="1">IF(AND($D405="Serviço",AO$12&lt;&gt;0,$H405&gt;0,OR(AUTOEVENTO&lt;&gt;"manual",$M405&lt;&gt;1)),ROUND(OFFSET($P405,0,AO$13),15-13*ORÇAMENTO!$AF$7)/$H405*OFFSET(ORÇAMENTO!$X$15,ROW(AO405)-ROW(AO$15),0),0)</f>
        <v>0</v>
      </c>
      <c r="AP405" s="632">
        <f ca="1">IF(AND($D405="Serviço",AP$12&lt;&gt;0,$H405&gt;0,OR(AUTOEVENTO&lt;&gt;"manual",$M405&lt;&gt;1)),ROUND(OFFSET($P405,0,AP$13),15-13*ORÇAMENTO!$AF$7)/$H405*OFFSET(ORÇAMENTO!$X$15,ROW(AP405)-ROW(AP$15),0),0)</f>
        <v>0</v>
      </c>
      <c r="AQ405" s="632">
        <f ca="1">IF(AND($D405="Serviço",AQ$12&lt;&gt;0,$H405&gt;0,OR(AUTOEVENTO&lt;&gt;"manual",$M405&lt;&gt;1)),ROUND(OFFSET($P405,0,AQ$13),15-13*ORÇAMENTO!$AF$7)/$H405*OFFSET(ORÇAMENTO!$X$15,ROW(AQ405)-ROW(AQ$15),0),0)</f>
        <v>0</v>
      </c>
      <c r="AR405" s="632">
        <f ca="1">IF(AND($D405="Serviço",AR$12&lt;&gt;0,$H405&gt;0,OR(AUTOEVENTO&lt;&gt;"manual",$M405&lt;&gt;1)),ROUND(OFFSET($P405,0,AR$13),15-13*ORÇAMENTO!$AF$7)/$H405*OFFSET(ORÇAMENTO!$X$15,ROW(AR405)-ROW(AR$15),0),0)</f>
        <v>0</v>
      </c>
      <c r="AS405" s="633">
        <f ca="1">IF(AND($D405="Serviço",AS$12&lt;&gt;0,$H405&gt;0,OR(AUTOEVENTO&lt;&gt;"manual",$M405&lt;&gt;1)),ROUND(OFFSET($P405,0,AS$13),15-13*ORÇAMENTO!$AF$7)/$H405*OFFSET(ORÇAMENTO!$X$15,ROW(AS405)-ROW(AS$15),0),0)</f>
        <v>0</v>
      </c>
      <c r="AT405" s="632">
        <f ca="1">IF(AND($D405="Serviço",AT$12&lt;&gt;0,$H405&gt;0,OR(AUTOEVENTO&lt;&gt;"manual",$M405&lt;&gt;1)),ROUND(OFFSET($P405,0,AT$13),15-13*ORÇAMENTO!$AF$7)/$H405*OFFSET(ORÇAMENTO!$X$15,ROW(AT405)-ROW(AT$15),0),0)</f>
        <v>0</v>
      </c>
      <c r="AU405" s="632">
        <f ca="1">IF(AND($D405="Serviço",AU$12&lt;&gt;0,$H405&gt;0,OR(AUTOEVENTO&lt;&gt;"manual",$M405&lt;&gt;1)),ROUND(OFFSET($P405,0,AU$13),15-13*ORÇAMENTO!$AF$7)/$H405*OFFSET(ORÇAMENTO!$X$15,ROW(AU405)-ROW(AU$15),0),0)</f>
        <v>0</v>
      </c>
      <c r="AV405" s="632">
        <f ca="1">IF(AND($D405="Serviço",AV$12&lt;&gt;0,$H405&gt;0,OR(AUTOEVENTO&lt;&gt;"manual",$M405&lt;&gt;1)),ROUND(OFFSET($P405,0,AV$13),15-13*ORÇAMENTO!$AF$7)/$H405*OFFSET(ORÇAMENTO!$X$15,ROW(AV405)-ROW(AV$15),0),0)</f>
        <v>0</v>
      </c>
      <c r="AW405" s="632">
        <f ca="1">IF(AND($D405="Serviço",AW$12&lt;&gt;0,$H405&gt;0,OR(AUTOEVENTO&lt;&gt;"manual",$M405&lt;&gt;1)),ROUND(OFFSET($P405,0,AW$13),15-13*ORÇAMENTO!$AF$7)/$H405*OFFSET(ORÇAMENTO!$X$15,ROW(AW405)-ROW(AW$15),0),0)</f>
        <v>0</v>
      </c>
      <c r="AX405" s="632">
        <f ca="1">IF(AND($D405="Serviço",AX$12&lt;&gt;0,$H405&gt;0,OR(AUTOEVENTO&lt;&gt;"manual",$M405&lt;&gt;1)),ROUND(OFFSET($P405,0,AX$13),15-13*ORÇAMENTO!$AF$7)/$H405*OFFSET(ORÇAMENTO!$X$15,ROW(AX405)-ROW(AX$15),0),0)</f>
        <v>0</v>
      </c>
      <c r="AY405" s="632">
        <f ca="1">IF(AND($D405="Serviço",AY$12&lt;&gt;0,$H405&gt;0,OR(AUTOEVENTO&lt;&gt;"manual",$M405&lt;&gt;1)),ROUND(OFFSET($P405,0,AY$13),15-13*ORÇAMENTO!$AF$7)/$H405*OFFSET(ORÇAMENTO!$X$15,ROW(AY405)-ROW(AY$15),0),0)</f>
        <v>0</v>
      </c>
      <c r="AZ405" s="632">
        <f ca="1">IF(AND($D405="Serviço",AZ$12&lt;&gt;0,$H405&gt;0,OR(AUTOEVENTO&lt;&gt;"manual",$M405&lt;&gt;1)),ROUND(OFFSET($P405,0,AZ$13),15-13*ORÇAMENTO!$AF$7)/$H405*OFFSET(ORÇAMENTO!$X$15,ROW(AZ405)-ROW(AZ$15),0),0)</f>
        <v>0</v>
      </c>
      <c r="BA405" s="633">
        <f ca="1">IF(AND($D405="Serviço",BA$12&lt;&gt;0,$H405&gt;0,OR(AUTOEVENTO&lt;&gt;"manual",$M405&lt;&gt;1)),ROUND(OFFSET($P405,0,BA$13),15-13*ORÇAMENTO!$AF$7)/$H405*OFFSET(ORÇAMENTO!$X$15,ROW(BA405)-ROW(BA$15),0),0)</f>
        <v>0</v>
      </c>
      <c r="BC405" s="215">
        <f ca="1">IF($D405&lt;&gt;"Serviço",0,IF(AND(AUTOEVENTO="Manual",$M405=1),0,IF(OFFSET(CRONOPLE!$F$14,$M405,BC$13)="",10^12,OFFSET(CRONOPLE!$F$14,$M405,BC$13))))</f>
        <v>1000000000000</v>
      </c>
      <c r="BD405" s="215">
        <f ca="1">IF($D405&lt;&gt;"Serviço",0,IF(AND(AUTOEVENTO="Manual",$M405=1),0,IF(OFFSET(CRONOPLE!$F$14,$M405,BD$13)="",10^12,OFFSET(CRONOPLE!$F$14,$M405,BD$13))))</f>
        <v>1000000000000</v>
      </c>
      <c r="BE405" s="215">
        <f ca="1">IF($D405&lt;&gt;"Serviço",0,IF(AND(AUTOEVENTO="Manual",$M405=1),0,IF(OFFSET(CRONOPLE!$F$14,$M405,BE$13)="",10^12,OFFSET(CRONOPLE!$F$14,$M405,BE$13))))</f>
        <v>1000000000000</v>
      </c>
      <c r="BF405" s="215">
        <f ca="1">IF($D405&lt;&gt;"Serviço",0,IF(AND(AUTOEVENTO="Manual",$M405=1),0,IF(OFFSET(CRONOPLE!$F$14,$M405,BF$13)="",10^12,OFFSET(CRONOPLE!$F$14,$M405,BF$13))))</f>
        <v>1000000000000</v>
      </c>
      <c r="BG405" s="215">
        <f ca="1">IF($D405&lt;&gt;"Serviço",0,IF(AND(AUTOEVENTO="Manual",$M405=1),0,IF(OFFSET(CRONOPLE!$F$14,$M405,BG$13)="",10^12,OFFSET(CRONOPLE!$F$14,$M405,BG$13))))</f>
        <v>1000000000000</v>
      </c>
      <c r="BH405" s="215">
        <f ca="1">IF($D405&lt;&gt;"Serviço",0,IF(AND(AUTOEVENTO="Manual",$M405=1),0,IF(OFFSET(CRONOPLE!$F$14,$M405,BH$13)="",10^12,OFFSET(CRONOPLE!$F$14,$M405,BH$13))))</f>
        <v>1000000000000</v>
      </c>
      <c r="BI405" s="215">
        <f ca="1">IF($D405&lt;&gt;"Serviço",0,IF(AND(AUTOEVENTO="Manual",$M405=1),0,IF(OFFSET(CRONOPLE!$F$14,$M405,BI$13)="",10^12,OFFSET(CRONOPLE!$F$14,$M405,BI$13))))</f>
        <v>1000000000000</v>
      </c>
      <c r="BJ405" s="215">
        <f ca="1">IF($D405&lt;&gt;"Serviço",0,IF(AND(AUTOEVENTO="Manual",$M405=1),0,IF(OFFSET(CRONOPLE!$F$14,$M405,BJ$13)="",10^12,OFFSET(CRONOPLE!$F$14,$M405,BJ$13))))</f>
        <v>1000000000000</v>
      </c>
      <c r="BK405" s="215">
        <f ca="1">IF($D405&lt;&gt;"Serviço",0,IF(AND(AUTOEVENTO="Manual",$M405=1),0,IF(OFFSET(CRONOPLE!$F$14,$M405,BK$13)="",10^12,OFFSET(CRONOPLE!$F$14,$M405,BK$13))))</f>
        <v>1000000000000</v>
      </c>
      <c r="BL405" s="215">
        <f ca="1">IF($D405&lt;&gt;"Serviço",0,IF(AND(AUTOEVENTO="Manual",$M405=1),0,IF(OFFSET(CRONOPLE!$F$14,$M405,BL$13)="",10^12,OFFSET(CRONOPLE!$F$14,$M405,BL$13))))</f>
        <v>1000000000000</v>
      </c>
      <c r="BM405" s="215">
        <f ca="1">IF($D405&lt;&gt;"Serviço",0,IF(AND(AUTOEVENTO="Manual",$M405=1),0,IF(OFFSET(CRONOPLE!$F$14,$M405,BM$13)="",10^12,OFFSET(CRONOPLE!$F$14,$M405,BM$13))))</f>
        <v>1000000000000</v>
      </c>
      <c r="BN405" s="215">
        <f ca="1">IF($D405&lt;&gt;"Serviço",0,IF(AND(AUTOEVENTO="Manual",$M405=1),0,IF(OFFSET(CRONOPLE!$F$14,$M405,BN$13)="",10^12,OFFSET(CRONOPLE!$F$14,$M405,BN$13))))</f>
        <v>1000000000000</v>
      </c>
      <c r="BO405" s="215">
        <f ca="1">IF($D405&lt;&gt;"Serviço",0,IF(AND(AUTOEVENTO="Manual",$M405=1),0,IF(OFFSET(CRONOPLE!$F$14,$M405,BO$13)="",10^12,OFFSET(CRONOPLE!$F$14,$M405,BO$13))))</f>
        <v>1000000000000</v>
      </c>
      <c r="BP405" s="215">
        <f ca="1">IF($D405&lt;&gt;"Serviço",0,IF(AND(AUTOEVENTO="Manual",$M405=1),0,IF(OFFSET(CRONOPLE!$F$14,$M405,BP$13)="",10^12,OFFSET(CRONOPLE!$F$14,$M405,BP$13))))</f>
        <v>1000000000000</v>
      </c>
      <c r="BQ405" s="215">
        <f ca="1">IF($D405&lt;&gt;"Serviço",0,IF(AND(AUTOEVENTO="Manual",$M405=1),0,IF(OFFSET(CRONOPLE!$F$14,$M405,BQ$13)="",10^12,OFFSET(CRONOPLE!$F$14,$M405,BQ$13))))</f>
        <v>1000000000000</v>
      </c>
      <c r="BR405" s="215">
        <f ca="1">IF($D405&lt;&gt;"Serviço",0,IF(AND(AUTOEVENTO="Manual",$M405=1),0,IF(OFFSET(CRONOPLE!$F$14,$M405,BR$13)="",10^12,OFFSET(CRONOPLE!$F$14,$M405,BR$13))))</f>
        <v>1000000000000</v>
      </c>
      <c r="BS405" s="215">
        <f ca="1">IF($D405&lt;&gt;"Serviço",0,IF(AND(AUTOEVENTO="Manual",$M405=1),0,IF(OFFSET(CRONOPLE!$F$14,$M405,BS$13)="",10^12,OFFSET(CRONOPLE!$F$14,$M405,BS$13))))</f>
        <v>1000000000000</v>
      </c>
      <c r="BT405" s="215">
        <f ca="1">IF($D405&lt;&gt;"Serviço",0,IF(AND(AUTOEVENTO="Manual",$M405=1),0,IF(OFFSET(CRONOPLE!$F$14,$M405,BT$13)="",10^12,OFFSET(CRONOPLE!$F$14,$M405,BT$13))))</f>
        <v>1000000000000</v>
      </c>
      <c r="BV405" s="216">
        <f ca="1">IF($D405&lt;&gt;"Serviço",0,IF(OR(AND(AUTOEVENTO="Manual",$M405=1),$M405&gt;(ROW(PLE.lastrow)-ROW(PLE.firstrow))),0,IF(OFFSET(PLE!$G$14,$M405,BV$13)="",10^12,OFFSET(PLE!$G$14,$M405,BV$13))))</f>
        <v>1000000000000</v>
      </c>
      <c r="BW405" s="216">
        <f ca="1">IF($D405&lt;&gt;"Serviço",0,IF(OR(AND(AUTOEVENTO="Manual",$M405=1),$M405&gt;(ROW(PLE.lastrow)-ROW(PLE.firstrow))),0,IF(OFFSET(PLE!$G$14,$M405,BW$13)="",10^12,OFFSET(PLE!$G$14,$M405,BW$13))))</f>
        <v>1000000000000</v>
      </c>
      <c r="BX405" s="216">
        <f ca="1">IF($D405&lt;&gt;"Serviço",0,IF(OR(AND(AUTOEVENTO="Manual",$M405=1),$M405&gt;(ROW(PLE.lastrow)-ROW(PLE.firstrow))),0,IF(OFFSET(PLE!$G$14,$M405,BX$13)="",10^12,OFFSET(PLE!$G$14,$M405,BX$13))))</f>
        <v>1000000000000</v>
      </c>
      <c r="BY405" s="216">
        <f ca="1">IF($D405&lt;&gt;"Serviço",0,IF(OR(AND(AUTOEVENTO="Manual",$M405=1),$M405&gt;(ROW(PLE.lastrow)-ROW(PLE.firstrow))),0,IF(OFFSET(PLE!$G$14,$M405,BY$13)="",10^12,OFFSET(PLE!$G$14,$M405,BY$13))))</f>
        <v>1000000000000</v>
      </c>
      <c r="BZ405" s="216">
        <f ca="1">IF($D405&lt;&gt;"Serviço",0,IF(OR(AND(AUTOEVENTO="Manual",$M405=1),$M405&gt;(ROW(PLE.lastrow)-ROW(PLE.firstrow))),0,IF(OFFSET(PLE!$G$14,$M405,BZ$13)="",10^12,OFFSET(PLE!$G$14,$M405,BZ$13))))</f>
        <v>1000000000000</v>
      </c>
      <c r="CA405" s="216">
        <f ca="1">IF($D405&lt;&gt;"Serviço",0,IF(OR(AND(AUTOEVENTO="Manual",$M405=1),$M405&gt;(ROW(PLE.lastrow)-ROW(PLE.firstrow))),0,IF(OFFSET(PLE!$G$14,$M405,CA$13)="",10^12,OFFSET(PLE!$G$14,$M405,CA$13))))</f>
        <v>1000000000000</v>
      </c>
      <c r="CB405" s="216">
        <f ca="1">IF($D405&lt;&gt;"Serviço",0,IF(OR(AND(AUTOEVENTO="Manual",$M405=1),$M405&gt;(ROW(PLE.lastrow)-ROW(PLE.firstrow))),0,IF(OFFSET(PLE!$G$14,$M405,CB$13)="",10^12,OFFSET(PLE!$G$14,$M405,CB$13))))</f>
        <v>1000000000000</v>
      </c>
      <c r="CC405" s="216">
        <f ca="1">IF($D405&lt;&gt;"Serviço",0,IF(OR(AND(AUTOEVENTO="Manual",$M405=1),$M405&gt;(ROW(PLE.lastrow)-ROW(PLE.firstrow))),0,IF(OFFSET(PLE!$G$14,$M405,CC$13)="",10^12,OFFSET(PLE!$G$14,$M405,CC$13))))</f>
        <v>1000000000000</v>
      </c>
      <c r="CD405" s="216">
        <f ca="1">IF($D405&lt;&gt;"Serviço",0,IF(OR(AND(AUTOEVENTO="Manual",$M405=1),$M405&gt;(ROW(PLE.lastrow)-ROW(PLE.firstrow))),0,IF(OFFSET(PLE!$G$14,$M405,CD$13)="",10^12,OFFSET(PLE!$G$14,$M405,CD$13))))</f>
        <v>1000000000000</v>
      </c>
      <c r="CE405" s="216">
        <f ca="1">IF($D405&lt;&gt;"Serviço",0,IF(OR(AND(AUTOEVENTO="Manual",$M405=1),$M405&gt;(ROW(PLE.lastrow)-ROW(PLE.firstrow))),0,IF(OFFSET(PLE!$G$14,$M405,CE$13)="",10^12,OFFSET(PLE!$G$14,$M405,CE$13))))</f>
        <v>1000000000000</v>
      </c>
      <c r="CF405" s="216">
        <f ca="1">IF($D405&lt;&gt;"Serviço",0,IF(OR(AND(AUTOEVENTO="Manual",$M405=1),$M405&gt;(ROW(PLE.lastrow)-ROW(PLE.firstrow))),0,IF(OFFSET(PLE!$G$14,$M405,CF$13)="",10^12,OFFSET(PLE!$G$14,$M405,CF$13))))</f>
        <v>1000000000000</v>
      </c>
      <c r="CG405" s="216">
        <f ca="1">IF($D405&lt;&gt;"Serviço",0,IF(OR(AND(AUTOEVENTO="Manual",$M405=1),$M405&gt;(ROW(PLE.lastrow)-ROW(PLE.firstrow))),0,IF(OFFSET(PLE!$G$14,$M405,CG$13)="",10^12,OFFSET(PLE!$G$14,$M405,CG$13))))</f>
        <v>1000000000000</v>
      </c>
      <c r="CH405" s="216">
        <f ca="1">IF($D405&lt;&gt;"Serviço",0,IF(OR(AND(AUTOEVENTO="Manual",$M405=1),$M405&gt;(ROW(PLE.lastrow)-ROW(PLE.firstrow))),0,IF(OFFSET(PLE!$G$14,$M405,CH$13)="",10^12,OFFSET(PLE!$G$14,$M405,CH$13))))</f>
        <v>1000000000000</v>
      </c>
      <c r="CI405" s="216">
        <f ca="1">IF($D405&lt;&gt;"Serviço",0,IF(OR(AND(AUTOEVENTO="Manual",$M405=1),$M405&gt;(ROW(PLE.lastrow)-ROW(PLE.firstrow))),0,IF(OFFSET(PLE!$G$14,$M405,CI$13)="",10^12,OFFSET(PLE!$G$14,$M405,CI$13))))</f>
        <v>1000000000000</v>
      </c>
      <c r="CJ405" s="216">
        <f ca="1">IF($D405&lt;&gt;"Serviço",0,IF(OR(AND(AUTOEVENTO="Manual",$M405=1),$M405&gt;(ROW(PLE.lastrow)-ROW(PLE.firstrow))),0,IF(OFFSET(PLE!$G$14,$M405,CJ$13)="",10^12,OFFSET(PLE!$G$14,$M405,CJ$13))))</f>
        <v>1000000000000</v>
      </c>
      <c r="CK405" s="216">
        <f ca="1">IF($D405&lt;&gt;"Serviço",0,IF(OR(AND(AUTOEVENTO="Manual",$M405=1),$M405&gt;(ROW(PLE.lastrow)-ROW(PLE.firstrow))),0,IF(OFFSET(PLE!$G$14,$M405,CK$13)="",10^12,OFFSET(PLE!$G$14,$M405,CK$13))))</f>
        <v>1000000000000</v>
      </c>
      <c r="CL405" s="216">
        <f ca="1">IF($D405&lt;&gt;"Serviço",0,IF(OR(AND(AUTOEVENTO="Manual",$M405=1),$M405&gt;(ROW(PLE.lastrow)-ROW(PLE.firstrow))),0,IF(OFFSET(PLE!$G$14,$M405,CL$13)="",10^12,OFFSET(PLE!$G$14,$M405,CL$13))))</f>
        <v>1000000000000</v>
      </c>
      <c r="CM405" s="216">
        <f ca="1">IF($D405&lt;&gt;"Serviço",0,IF(OR(AND(AUTOEVENTO="Manual",$M405=1),$M405&gt;(ROW(PLE.lastrow)-ROW(PLE.firstrow))),0,IF(OFFSET(PLE!$G$14,$M405,CM$13)="",10^12,OFFSET(PLE!$G$14,$M405,CM$13))))</f>
        <v>1000000000000</v>
      </c>
    </row>
    <row r="406" spans="1:91" ht="13.2" x14ac:dyDescent="0.25">
      <c r="A406" s="9">
        <f t="shared" ca="1" si="15"/>
        <v>0</v>
      </c>
      <c r="B406" s="9" t="str">
        <f ca="1">OFFSET(ORÇAMENTO!C$15,ROW(B406)-ROW(B$15),0)</f>
        <v>S</v>
      </c>
      <c r="C406" s="9" t="str">
        <f ca="1">OFFSET(ORÇAMENTO!L$15,ROW(C406)-ROW(C$15),0)</f>
        <v/>
      </c>
      <c r="D406" s="145" t="str">
        <f ca="1">OFFSET(ORÇAMENTO!N$15,ROW(D406)-ROW(D$15),0)</f>
        <v>Serviço</v>
      </c>
      <c r="E406" s="205" t="str">
        <f ca="1">OFFSET(ORÇAMENTO!O$15,ROW(E406)-ROW(E$15),0)</f>
        <v>-</v>
      </c>
      <c r="F406" s="206" t="str">
        <f ca="1">OFFSET(ORÇAMENTO!R$15,ROW(F406)-ROW(F$15),0)</f>
        <v>(abra o arquivo 'Referência 05-2024.xls)</v>
      </c>
      <c r="G406" s="207" t="str">
        <f ca="1">IF($D406&lt;&gt;"Serviço","",OFFSET(ORÇAMENTO!S$15,ROW(G406)-ROW(G$15),0))</f>
        <v>-</v>
      </c>
      <c r="H406" s="151">
        <f ca="1">IF($D406&lt;&gt;"Serviço",0,IF(ACOMPANHAMENTO="BM",ROUND(OFFSET(ORÇAMENTO!AJ$15,ROW(H406)-ROW(H$15),0),15-13*ORÇAMENTO!$AF$7),SUMPRODUCT(($Q$12:$AI$12&lt;&gt;"")*ROUND($Q406:$AI406,15-13*ORÇAMENTO!$AF$7))))</f>
        <v>5</v>
      </c>
      <c r="I406" s="650"/>
      <c r="K406" s="208"/>
      <c r="L406" s="209" t="s">
        <v>257</v>
      </c>
      <c r="M406" s="210">
        <f ca="1">IF($D406&lt;&gt;"Serviço","",IF(AUTOEVENTO="manual",$A406,IF(ISERROR(MATCH($A406,$A$15:OFFSET($A406,-1,0),0)),MAX($M$15:OFFSET(M406,-1,0))+1,INDEX($M$15:OFFSET(M406,-1,0),MATCH($A406,$A$15:OFFSET($A406,-1,0),0)))))</f>
        <v>0</v>
      </c>
      <c r="N406" s="211" t="str">
        <f ca="1">IF($D406&lt;&gt;"Serviço","",IF(AUTOEVENTO="Manual",IF($A406=0,"&lt;-- defina o número do agrupador",OFFSET(EVENTOS!$D$14,$A406,0)),OFFSET($F$15,$A406,0)))</f>
        <v>&lt;-- defina o número do agrupador</v>
      </c>
      <c r="O406" s="212"/>
      <c r="Q406" s="212"/>
      <c r="R406" s="213"/>
      <c r="S406" s="213"/>
      <c r="T406" s="213"/>
      <c r="U406" s="213"/>
      <c r="V406" s="213"/>
      <c r="W406" s="213"/>
      <c r="X406" s="213"/>
      <c r="Y406" s="213"/>
      <c r="Z406" s="214"/>
      <c r="AA406" s="213"/>
      <c r="AB406" s="213"/>
      <c r="AC406" s="213"/>
      <c r="AD406" s="213"/>
      <c r="AE406" s="213"/>
      <c r="AF406" s="213"/>
      <c r="AG406" s="213"/>
      <c r="AH406" s="214"/>
      <c r="AJ406" s="631">
        <f ca="1">IF(AND($D406="Serviço",AJ$12&lt;&gt;0,$H406&gt;0,OR(AUTOEVENTO&lt;&gt;"manual",$M406&lt;&gt;1)),ROUND(OFFSET($P406,0,AJ$13),15-13*ORÇAMENTO!$AF$7)/$H406*OFFSET(ORÇAMENTO!$X$15,ROW(AJ406)-ROW(AJ$15),0),0)</f>
        <v>0</v>
      </c>
      <c r="AK406" s="632">
        <f ca="1">IF(AND($D406="Serviço",AK$12&lt;&gt;0,$H406&gt;0,OR(AUTOEVENTO&lt;&gt;"manual",$M406&lt;&gt;1)),ROUND(OFFSET($P406,0,AK$13),15-13*ORÇAMENTO!$AF$7)/$H406*OFFSET(ORÇAMENTO!$X$15,ROW(AK406)-ROW(AK$15),0),0)</f>
        <v>0</v>
      </c>
      <c r="AL406" s="632">
        <f ca="1">IF(AND($D406="Serviço",AL$12&lt;&gt;0,$H406&gt;0,OR(AUTOEVENTO&lt;&gt;"manual",$M406&lt;&gt;1)),ROUND(OFFSET($P406,0,AL$13),15-13*ORÇAMENTO!$AF$7)/$H406*OFFSET(ORÇAMENTO!$X$15,ROW(AL406)-ROW(AL$15),0),0)</f>
        <v>0</v>
      </c>
      <c r="AM406" s="632">
        <f ca="1">IF(AND($D406="Serviço",AM$12&lt;&gt;0,$H406&gt;0,OR(AUTOEVENTO&lt;&gt;"manual",$M406&lt;&gt;1)),ROUND(OFFSET($P406,0,AM$13),15-13*ORÇAMENTO!$AF$7)/$H406*OFFSET(ORÇAMENTO!$X$15,ROW(AM406)-ROW(AM$15),0),0)</f>
        <v>0</v>
      </c>
      <c r="AN406" s="632">
        <f ca="1">IF(AND($D406="Serviço",AN$12&lt;&gt;0,$H406&gt;0,OR(AUTOEVENTO&lt;&gt;"manual",$M406&lt;&gt;1)),ROUND(OFFSET($P406,0,AN$13),15-13*ORÇAMENTO!$AF$7)/$H406*OFFSET(ORÇAMENTO!$X$15,ROW(AN406)-ROW(AN$15),0),0)</f>
        <v>0</v>
      </c>
      <c r="AO406" s="632">
        <f ca="1">IF(AND($D406="Serviço",AO$12&lt;&gt;0,$H406&gt;0,OR(AUTOEVENTO&lt;&gt;"manual",$M406&lt;&gt;1)),ROUND(OFFSET($P406,0,AO$13),15-13*ORÇAMENTO!$AF$7)/$H406*OFFSET(ORÇAMENTO!$X$15,ROW(AO406)-ROW(AO$15),0),0)</f>
        <v>0</v>
      </c>
      <c r="AP406" s="632">
        <f ca="1">IF(AND($D406="Serviço",AP$12&lt;&gt;0,$H406&gt;0,OR(AUTOEVENTO&lt;&gt;"manual",$M406&lt;&gt;1)),ROUND(OFFSET($P406,0,AP$13),15-13*ORÇAMENTO!$AF$7)/$H406*OFFSET(ORÇAMENTO!$X$15,ROW(AP406)-ROW(AP$15),0),0)</f>
        <v>0</v>
      </c>
      <c r="AQ406" s="632">
        <f ca="1">IF(AND($D406="Serviço",AQ$12&lt;&gt;0,$H406&gt;0,OR(AUTOEVENTO&lt;&gt;"manual",$M406&lt;&gt;1)),ROUND(OFFSET($P406,0,AQ$13),15-13*ORÇAMENTO!$AF$7)/$H406*OFFSET(ORÇAMENTO!$X$15,ROW(AQ406)-ROW(AQ$15),0),0)</f>
        <v>0</v>
      </c>
      <c r="AR406" s="632">
        <f ca="1">IF(AND($D406="Serviço",AR$12&lt;&gt;0,$H406&gt;0,OR(AUTOEVENTO&lt;&gt;"manual",$M406&lt;&gt;1)),ROUND(OFFSET($P406,0,AR$13),15-13*ORÇAMENTO!$AF$7)/$H406*OFFSET(ORÇAMENTO!$X$15,ROW(AR406)-ROW(AR$15),0),0)</f>
        <v>0</v>
      </c>
      <c r="AS406" s="633">
        <f ca="1">IF(AND($D406="Serviço",AS$12&lt;&gt;0,$H406&gt;0,OR(AUTOEVENTO&lt;&gt;"manual",$M406&lt;&gt;1)),ROUND(OFFSET($P406,0,AS$13),15-13*ORÇAMENTO!$AF$7)/$H406*OFFSET(ORÇAMENTO!$X$15,ROW(AS406)-ROW(AS$15),0),0)</f>
        <v>0</v>
      </c>
      <c r="AT406" s="632">
        <f ca="1">IF(AND($D406="Serviço",AT$12&lt;&gt;0,$H406&gt;0,OR(AUTOEVENTO&lt;&gt;"manual",$M406&lt;&gt;1)),ROUND(OFFSET($P406,0,AT$13),15-13*ORÇAMENTO!$AF$7)/$H406*OFFSET(ORÇAMENTO!$X$15,ROW(AT406)-ROW(AT$15),0),0)</f>
        <v>0</v>
      </c>
      <c r="AU406" s="632">
        <f ca="1">IF(AND($D406="Serviço",AU$12&lt;&gt;0,$H406&gt;0,OR(AUTOEVENTO&lt;&gt;"manual",$M406&lt;&gt;1)),ROUND(OFFSET($P406,0,AU$13),15-13*ORÇAMENTO!$AF$7)/$H406*OFFSET(ORÇAMENTO!$X$15,ROW(AU406)-ROW(AU$15),0),0)</f>
        <v>0</v>
      </c>
      <c r="AV406" s="632">
        <f ca="1">IF(AND($D406="Serviço",AV$12&lt;&gt;0,$H406&gt;0,OR(AUTOEVENTO&lt;&gt;"manual",$M406&lt;&gt;1)),ROUND(OFFSET($P406,0,AV$13),15-13*ORÇAMENTO!$AF$7)/$H406*OFFSET(ORÇAMENTO!$X$15,ROW(AV406)-ROW(AV$15),0),0)</f>
        <v>0</v>
      </c>
      <c r="AW406" s="632">
        <f ca="1">IF(AND($D406="Serviço",AW$12&lt;&gt;0,$H406&gt;0,OR(AUTOEVENTO&lt;&gt;"manual",$M406&lt;&gt;1)),ROUND(OFFSET($P406,0,AW$13),15-13*ORÇAMENTO!$AF$7)/$H406*OFFSET(ORÇAMENTO!$X$15,ROW(AW406)-ROW(AW$15),0),0)</f>
        <v>0</v>
      </c>
      <c r="AX406" s="632">
        <f ca="1">IF(AND($D406="Serviço",AX$12&lt;&gt;0,$H406&gt;0,OR(AUTOEVENTO&lt;&gt;"manual",$M406&lt;&gt;1)),ROUND(OFFSET($P406,0,AX$13),15-13*ORÇAMENTO!$AF$7)/$H406*OFFSET(ORÇAMENTO!$X$15,ROW(AX406)-ROW(AX$15),0),0)</f>
        <v>0</v>
      </c>
      <c r="AY406" s="632">
        <f ca="1">IF(AND($D406="Serviço",AY$12&lt;&gt;0,$H406&gt;0,OR(AUTOEVENTO&lt;&gt;"manual",$M406&lt;&gt;1)),ROUND(OFFSET($P406,0,AY$13),15-13*ORÇAMENTO!$AF$7)/$H406*OFFSET(ORÇAMENTO!$X$15,ROW(AY406)-ROW(AY$15),0),0)</f>
        <v>0</v>
      </c>
      <c r="AZ406" s="632">
        <f ca="1">IF(AND($D406="Serviço",AZ$12&lt;&gt;0,$H406&gt;0,OR(AUTOEVENTO&lt;&gt;"manual",$M406&lt;&gt;1)),ROUND(OFFSET($P406,0,AZ$13),15-13*ORÇAMENTO!$AF$7)/$H406*OFFSET(ORÇAMENTO!$X$15,ROW(AZ406)-ROW(AZ$15),0),0)</f>
        <v>0</v>
      </c>
      <c r="BA406" s="633">
        <f ca="1">IF(AND($D406="Serviço",BA$12&lt;&gt;0,$H406&gt;0,OR(AUTOEVENTO&lt;&gt;"manual",$M406&lt;&gt;1)),ROUND(OFFSET($P406,0,BA$13),15-13*ORÇAMENTO!$AF$7)/$H406*OFFSET(ORÇAMENTO!$X$15,ROW(BA406)-ROW(BA$15),0),0)</f>
        <v>0</v>
      </c>
      <c r="BC406" s="215">
        <f ca="1">IF($D406&lt;&gt;"Serviço",0,IF(AND(AUTOEVENTO="Manual",$M406=1),0,IF(OFFSET(CRONOPLE!$F$14,$M406,BC$13)="",10^12,OFFSET(CRONOPLE!$F$14,$M406,BC$13))))</f>
        <v>1000000000000</v>
      </c>
      <c r="BD406" s="215">
        <f ca="1">IF($D406&lt;&gt;"Serviço",0,IF(AND(AUTOEVENTO="Manual",$M406=1),0,IF(OFFSET(CRONOPLE!$F$14,$M406,BD$13)="",10^12,OFFSET(CRONOPLE!$F$14,$M406,BD$13))))</f>
        <v>1000000000000</v>
      </c>
      <c r="BE406" s="215">
        <f ca="1">IF($D406&lt;&gt;"Serviço",0,IF(AND(AUTOEVENTO="Manual",$M406=1),0,IF(OFFSET(CRONOPLE!$F$14,$M406,BE$13)="",10^12,OFFSET(CRONOPLE!$F$14,$M406,BE$13))))</f>
        <v>1000000000000</v>
      </c>
      <c r="BF406" s="215">
        <f ca="1">IF($D406&lt;&gt;"Serviço",0,IF(AND(AUTOEVENTO="Manual",$M406=1),0,IF(OFFSET(CRONOPLE!$F$14,$M406,BF$13)="",10^12,OFFSET(CRONOPLE!$F$14,$M406,BF$13))))</f>
        <v>1000000000000</v>
      </c>
      <c r="BG406" s="215">
        <f ca="1">IF($D406&lt;&gt;"Serviço",0,IF(AND(AUTOEVENTO="Manual",$M406=1),0,IF(OFFSET(CRONOPLE!$F$14,$M406,BG$13)="",10^12,OFFSET(CRONOPLE!$F$14,$M406,BG$13))))</f>
        <v>1000000000000</v>
      </c>
      <c r="BH406" s="215">
        <f ca="1">IF($D406&lt;&gt;"Serviço",0,IF(AND(AUTOEVENTO="Manual",$M406=1),0,IF(OFFSET(CRONOPLE!$F$14,$M406,BH$13)="",10^12,OFFSET(CRONOPLE!$F$14,$M406,BH$13))))</f>
        <v>1000000000000</v>
      </c>
      <c r="BI406" s="215">
        <f ca="1">IF($D406&lt;&gt;"Serviço",0,IF(AND(AUTOEVENTO="Manual",$M406=1),0,IF(OFFSET(CRONOPLE!$F$14,$M406,BI$13)="",10^12,OFFSET(CRONOPLE!$F$14,$M406,BI$13))))</f>
        <v>1000000000000</v>
      </c>
      <c r="BJ406" s="215">
        <f ca="1">IF($D406&lt;&gt;"Serviço",0,IF(AND(AUTOEVENTO="Manual",$M406=1),0,IF(OFFSET(CRONOPLE!$F$14,$M406,BJ$13)="",10^12,OFFSET(CRONOPLE!$F$14,$M406,BJ$13))))</f>
        <v>1000000000000</v>
      </c>
      <c r="BK406" s="215">
        <f ca="1">IF($D406&lt;&gt;"Serviço",0,IF(AND(AUTOEVENTO="Manual",$M406=1),0,IF(OFFSET(CRONOPLE!$F$14,$M406,BK$13)="",10^12,OFFSET(CRONOPLE!$F$14,$M406,BK$13))))</f>
        <v>1000000000000</v>
      </c>
      <c r="BL406" s="215">
        <f ca="1">IF($D406&lt;&gt;"Serviço",0,IF(AND(AUTOEVENTO="Manual",$M406=1),0,IF(OFFSET(CRONOPLE!$F$14,$M406,BL$13)="",10^12,OFFSET(CRONOPLE!$F$14,$M406,BL$13))))</f>
        <v>1000000000000</v>
      </c>
      <c r="BM406" s="215">
        <f ca="1">IF($D406&lt;&gt;"Serviço",0,IF(AND(AUTOEVENTO="Manual",$M406=1),0,IF(OFFSET(CRONOPLE!$F$14,$M406,BM$13)="",10^12,OFFSET(CRONOPLE!$F$14,$M406,BM$13))))</f>
        <v>1000000000000</v>
      </c>
      <c r="BN406" s="215">
        <f ca="1">IF($D406&lt;&gt;"Serviço",0,IF(AND(AUTOEVENTO="Manual",$M406=1),0,IF(OFFSET(CRONOPLE!$F$14,$M406,BN$13)="",10^12,OFFSET(CRONOPLE!$F$14,$M406,BN$13))))</f>
        <v>1000000000000</v>
      </c>
      <c r="BO406" s="215">
        <f ca="1">IF($D406&lt;&gt;"Serviço",0,IF(AND(AUTOEVENTO="Manual",$M406=1),0,IF(OFFSET(CRONOPLE!$F$14,$M406,BO$13)="",10^12,OFFSET(CRONOPLE!$F$14,$M406,BO$13))))</f>
        <v>1000000000000</v>
      </c>
      <c r="BP406" s="215">
        <f ca="1">IF($D406&lt;&gt;"Serviço",0,IF(AND(AUTOEVENTO="Manual",$M406=1),0,IF(OFFSET(CRONOPLE!$F$14,$M406,BP$13)="",10^12,OFFSET(CRONOPLE!$F$14,$M406,BP$13))))</f>
        <v>1000000000000</v>
      </c>
      <c r="BQ406" s="215">
        <f ca="1">IF($D406&lt;&gt;"Serviço",0,IF(AND(AUTOEVENTO="Manual",$M406=1),0,IF(OFFSET(CRONOPLE!$F$14,$M406,BQ$13)="",10^12,OFFSET(CRONOPLE!$F$14,$M406,BQ$13))))</f>
        <v>1000000000000</v>
      </c>
      <c r="BR406" s="215">
        <f ca="1">IF($D406&lt;&gt;"Serviço",0,IF(AND(AUTOEVENTO="Manual",$M406=1),0,IF(OFFSET(CRONOPLE!$F$14,$M406,BR$13)="",10^12,OFFSET(CRONOPLE!$F$14,$M406,BR$13))))</f>
        <v>1000000000000</v>
      </c>
      <c r="BS406" s="215">
        <f ca="1">IF($D406&lt;&gt;"Serviço",0,IF(AND(AUTOEVENTO="Manual",$M406=1),0,IF(OFFSET(CRONOPLE!$F$14,$M406,BS$13)="",10^12,OFFSET(CRONOPLE!$F$14,$M406,BS$13))))</f>
        <v>1000000000000</v>
      </c>
      <c r="BT406" s="215">
        <f ca="1">IF($D406&lt;&gt;"Serviço",0,IF(AND(AUTOEVENTO="Manual",$M406=1),0,IF(OFFSET(CRONOPLE!$F$14,$M406,BT$13)="",10^12,OFFSET(CRONOPLE!$F$14,$M406,BT$13))))</f>
        <v>1000000000000</v>
      </c>
      <c r="BV406" s="216">
        <f ca="1">IF($D406&lt;&gt;"Serviço",0,IF(OR(AND(AUTOEVENTO="Manual",$M406=1),$M406&gt;(ROW(PLE.lastrow)-ROW(PLE.firstrow))),0,IF(OFFSET(PLE!$G$14,$M406,BV$13)="",10^12,OFFSET(PLE!$G$14,$M406,BV$13))))</f>
        <v>1000000000000</v>
      </c>
      <c r="BW406" s="216">
        <f ca="1">IF($D406&lt;&gt;"Serviço",0,IF(OR(AND(AUTOEVENTO="Manual",$M406=1),$M406&gt;(ROW(PLE.lastrow)-ROW(PLE.firstrow))),0,IF(OFFSET(PLE!$G$14,$M406,BW$13)="",10^12,OFFSET(PLE!$G$14,$M406,BW$13))))</f>
        <v>1000000000000</v>
      </c>
      <c r="BX406" s="216">
        <f ca="1">IF($D406&lt;&gt;"Serviço",0,IF(OR(AND(AUTOEVENTO="Manual",$M406=1),$M406&gt;(ROW(PLE.lastrow)-ROW(PLE.firstrow))),0,IF(OFFSET(PLE!$G$14,$M406,BX$13)="",10^12,OFFSET(PLE!$G$14,$M406,BX$13))))</f>
        <v>1000000000000</v>
      </c>
      <c r="BY406" s="216">
        <f ca="1">IF($D406&lt;&gt;"Serviço",0,IF(OR(AND(AUTOEVENTO="Manual",$M406=1),$M406&gt;(ROW(PLE.lastrow)-ROW(PLE.firstrow))),0,IF(OFFSET(PLE!$G$14,$M406,BY$13)="",10^12,OFFSET(PLE!$G$14,$M406,BY$13))))</f>
        <v>1000000000000</v>
      </c>
      <c r="BZ406" s="216">
        <f ca="1">IF($D406&lt;&gt;"Serviço",0,IF(OR(AND(AUTOEVENTO="Manual",$M406=1),$M406&gt;(ROW(PLE.lastrow)-ROW(PLE.firstrow))),0,IF(OFFSET(PLE!$G$14,$M406,BZ$13)="",10^12,OFFSET(PLE!$G$14,$M406,BZ$13))))</f>
        <v>1000000000000</v>
      </c>
      <c r="CA406" s="216">
        <f ca="1">IF($D406&lt;&gt;"Serviço",0,IF(OR(AND(AUTOEVENTO="Manual",$M406=1),$M406&gt;(ROW(PLE.lastrow)-ROW(PLE.firstrow))),0,IF(OFFSET(PLE!$G$14,$M406,CA$13)="",10^12,OFFSET(PLE!$G$14,$M406,CA$13))))</f>
        <v>1000000000000</v>
      </c>
      <c r="CB406" s="216">
        <f ca="1">IF($D406&lt;&gt;"Serviço",0,IF(OR(AND(AUTOEVENTO="Manual",$M406=1),$M406&gt;(ROW(PLE.lastrow)-ROW(PLE.firstrow))),0,IF(OFFSET(PLE!$G$14,$M406,CB$13)="",10^12,OFFSET(PLE!$G$14,$M406,CB$13))))</f>
        <v>1000000000000</v>
      </c>
      <c r="CC406" s="216">
        <f ca="1">IF($D406&lt;&gt;"Serviço",0,IF(OR(AND(AUTOEVENTO="Manual",$M406=1),$M406&gt;(ROW(PLE.lastrow)-ROW(PLE.firstrow))),0,IF(OFFSET(PLE!$G$14,$M406,CC$13)="",10^12,OFFSET(PLE!$G$14,$M406,CC$13))))</f>
        <v>1000000000000</v>
      </c>
      <c r="CD406" s="216">
        <f ca="1">IF($D406&lt;&gt;"Serviço",0,IF(OR(AND(AUTOEVENTO="Manual",$M406=1),$M406&gt;(ROW(PLE.lastrow)-ROW(PLE.firstrow))),0,IF(OFFSET(PLE!$G$14,$M406,CD$13)="",10^12,OFFSET(PLE!$G$14,$M406,CD$13))))</f>
        <v>1000000000000</v>
      </c>
      <c r="CE406" s="216">
        <f ca="1">IF($D406&lt;&gt;"Serviço",0,IF(OR(AND(AUTOEVENTO="Manual",$M406=1),$M406&gt;(ROW(PLE.lastrow)-ROW(PLE.firstrow))),0,IF(OFFSET(PLE!$G$14,$M406,CE$13)="",10^12,OFFSET(PLE!$G$14,$M406,CE$13))))</f>
        <v>1000000000000</v>
      </c>
      <c r="CF406" s="216">
        <f ca="1">IF($D406&lt;&gt;"Serviço",0,IF(OR(AND(AUTOEVENTO="Manual",$M406=1),$M406&gt;(ROW(PLE.lastrow)-ROW(PLE.firstrow))),0,IF(OFFSET(PLE!$G$14,$M406,CF$13)="",10^12,OFFSET(PLE!$G$14,$M406,CF$13))))</f>
        <v>1000000000000</v>
      </c>
      <c r="CG406" s="216">
        <f ca="1">IF($D406&lt;&gt;"Serviço",0,IF(OR(AND(AUTOEVENTO="Manual",$M406=1),$M406&gt;(ROW(PLE.lastrow)-ROW(PLE.firstrow))),0,IF(OFFSET(PLE!$G$14,$M406,CG$13)="",10^12,OFFSET(PLE!$G$14,$M406,CG$13))))</f>
        <v>1000000000000</v>
      </c>
      <c r="CH406" s="216">
        <f ca="1">IF($D406&lt;&gt;"Serviço",0,IF(OR(AND(AUTOEVENTO="Manual",$M406=1),$M406&gt;(ROW(PLE.lastrow)-ROW(PLE.firstrow))),0,IF(OFFSET(PLE!$G$14,$M406,CH$13)="",10^12,OFFSET(PLE!$G$14,$M406,CH$13))))</f>
        <v>1000000000000</v>
      </c>
      <c r="CI406" s="216">
        <f ca="1">IF($D406&lt;&gt;"Serviço",0,IF(OR(AND(AUTOEVENTO="Manual",$M406=1),$M406&gt;(ROW(PLE.lastrow)-ROW(PLE.firstrow))),0,IF(OFFSET(PLE!$G$14,$M406,CI$13)="",10^12,OFFSET(PLE!$G$14,$M406,CI$13))))</f>
        <v>1000000000000</v>
      </c>
      <c r="CJ406" s="216">
        <f ca="1">IF($D406&lt;&gt;"Serviço",0,IF(OR(AND(AUTOEVENTO="Manual",$M406=1),$M406&gt;(ROW(PLE.lastrow)-ROW(PLE.firstrow))),0,IF(OFFSET(PLE!$G$14,$M406,CJ$13)="",10^12,OFFSET(PLE!$G$14,$M406,CJ$13))))</f>
        <v>1000000000000</v>
      </c>
      <c r="CK406" s="216">
        <f ca="1">IF($D406&lt;&gt;"Serviço",0,IF(OR(AND(AUTOEVENTO="Manual",$M406=1),$M406&gt;(ROW(PLE.lastrow)-ROW(PLE.firstrow))),0,IF(OFFSET(PLE!$G$14,$M406,CK$13)="",10^12,OFFSET(PLE!$G$14,$M406,CK$13))))</f>
        <v>1000000000000</v>
      </c>
      <c r="CL406" s="216">
        <f ca="1">IF($D406&lt;&gt;"Serviço",0,IF(OR(AND(AUTOEVENTO="Manual",$M406=1),$M406&gt;(ROW(PLE.lastrow)-ROW(PLE.firstrow))),0,IF(OFFSET(PLE!$G$14,$M406,CL$13)="",10^12,OFFSET(PLE!$G$14,$M406,CL$13))))</f>
        <v>1000000000000</v>
      </c>
      <c r="CM406" s="216">
        <f ca="1">IF($D406&lt;&gt;"Serviço",0,IF(OR(AND(AUTOEVENTO="Manual",$M406=1),$M406&gt;(ROW(PLE.lastrow)-ROW(PLE.firstrow))),0,IF(OFFSET(PLE!$G$14,$M406,CM$13)="",10^12,OFFSET(PLE!$G$14,$M406,CM$13))))</f>
        <v>1000000000000</v>
      </c>
    </row>
    <row r="407" spans="1:91" ht="13.2" x14ac:dyDescent="0.25">
      <c r="A407" s="9">
        <f t="shared" ca="1" si="15"/>
        <v>0</v>
      </c>
      <c r="B407" s="9" t="str">
        <f ca="1">OFFSET(ORÇAMENTO!C$15,ROW(B407)-ROW(B$15),0)</f>
        <v>S</v>
      </c>
      <c r="C407" s="9" t="str">
        <f ca="1">OFFSET(ORÇAMENTO!L$15,ROW(C407)-ROW(C$15),0)</f>
        <v/>
      </c>
      <c r="D407" s="145" t="str">
        <f ca="1">OFFSET(ORÇAMENTO!N$15,ROW(D407)-ROW(D$15),0)</f>
        <v>Serviço</v>
      </c>
      <c r="E407" s="205" t="str">
        <f ca="1">OFFSET(ORÇAMENTO!O$15,ROW(E407)-ROW(E$15),0)</f>
        <v>-</v>
      </c>
      <c r="F407" s="206" t="str">
        <f ca="1">OFFSET(ORÇAMENTO!R$15,ROW(F407)-ROW(F$15),0)</f>
        <v>(abra o arquivo 'Referência 05-2024.xls)</v>
      </c>
      <c r="G407" s="207" t="str">
        <f ca="1">IF($D407&lt;&gt;"Serviço","",OFFSET(ORÇAMENTO!S$15,ROW(G407)-ROW(G$15),0))</f>
        <v>-</v>
      </c>
      <c r="H407" s="151">
        <f ca="1">IF($D407&lt;&gt;"Serviço",0,IF(ACOMPANHAMENTO="BM",ROUND(OFFSET(ORÇAMENTO!AJ$15,ROW(H407)-ROW(H$15),0),15-13*ORÇAMENTO!$AF$7),SUMPRODUCT(($Q$12:$AI$12&lt;&gt;"")*ROUND($Q407:$AI407,15-13*ORÇAMENTO!$AF$7))))</f>
        <v>6</v>
      </c>
      <c r="I407" s="650"/>
      <c r="K407" s="208"/>
      <c r="L407" s="209" t="s">
        <v>257</v>
      </c>
      <c r="M407" s="210">
        <f ca="1">IF($D407&lt;&gt;"Serviço","",IF(AUTOEVENTO="manual",$A407,IF(ISERROR(MATCH($A407,$A$15:OFFSET($A407,-1,0),0)),MAX($M$15:OFFSET(M407,-1,0))+1,INDEX($M$15:OFFSET(M407,-1,0),MATCH($A407,$A$15:OFFSET($A407,-1,0),0)))))</f>
        <v>0</v>
      </c>
      <c r="N407" s="211" t="str">
        <f ca="1">IF($D407&lt;&gt;"Serviço","",IF(AUTOEVENTO="Manual",IF($A407=0,"&lt;-- defina o número do agrupador",OFFSET(EVENTOS!$D$14,$A407,0)),OFFSET($F$15,$A407,0)))</f>
        <v>&lt;-- defina o número do agrupador</v>
      </c>
      <c r="O407" s="212"/>
      <c r="Q407" s="212"/>
      <c r="R407" s="213"/>
      <c r="S407" s="213"/>
      <c r="T407" s="213"/>
      <c r="U407" s="213"/>
      <c r="V407" s="213"/>
      <c r="W407" s="213"/>
      <c r="X407" s="213"/>
      <c r="Y407" s="213"/>
      <c r="Z407" s="214"/>
      <c r="AA407" s="213"/>
      <c r="AB407" s="213"/>
      <c r="AC407" s="213"/>
      <c r="AD407" s="213"/>
      <c r="AE407" s="213"/>
      <c r="AF407" s="213"/>
      <c r="AG407" s="213"/>
      <c r="AH407" s="214"/>
      <c r="AJ407" s="631">
        <f ca="1">IF(AND($D407="Serviço",AJ$12&lt;&gt;0,$H407&gt;0,OR(AUTOEVENTO&lt;&gt;"manual",$M407&lt;&gt;1)),ROUND(OFFSET($P407,0,AJ$13),15-13*ORÇAMENTO!$AF$7)/$H407*OFFSET(ORÇAMENTO!$X$15,ROW(AJ407)-ROW(AJ$15),0),0)</f>
        <v>0</v>
      </c>
      <c r="AK407" s="632">
        <f ca="1">IF(AND($D407="Serviço",AK$12&lt;&gt;0,$H407&gt;0,OR(AUTOEVENTO&lt;&gt;"manual",$M407&lt;&gt;1)),ROUND(OFFSET($P407,0,AK$13),15-13*ORÇAMENTO!$AF$7)/$H407*OFFSET(ORÇAMENTO!$X$15,ROW(AK407)-ROW(AK$15),0),0)</f>
        <v>0</v>
      </c>
      <c r="AL407" s="632">
        <f ca="1">IF(AND($D407="Serviço",AL$12&lt;&gt;0,$H407&gt;0,OR(AUTOEVENTO&lt;&gt;"manual",$M407&lt;&gt;1)),ROUND(OFFSET($P407,0,AL$13),15-13*ORÇAMENTO!$AF$7)/$H407*OFFSET(ORÇAMENTO!$X$15,ROW(AL407)-ROW(AL$15),0),0)</f>
        <v>0</v>
      </c>
      <c r="AM407" s="632">
        <f ca="1">IF(AND($D407="Serviço",AM$12&lt;&gt;0,$H407&gt;0,OR(AUTOEVENTO&lt;&gt;"manual",$M407&lt;&gt;1)),ROUND(OFFSET($P407,0,AM$13),15-13*ORÇAMENTO!$AF$7)/$H407*OFFSET(ORÇAMENTO!$X$15,ROW(AM407)-ROW(AM$15),0),0)</f>
        <v>0</v>
      </c>
      <c r="AN407" s="632">
        <f ca="1">IF(AND($D407="Serviço",AN$12&lt;&gt;0,$H407&gt;0,OR(AUTOEVENTO&lt;&gt;"manual",$M407&lt;&gt;1)),ROUND(OFFSET($P407,0,AN$13),15-13*ORÇAMENTO!$AF$7)/$H407*OFFSET(ORÇAMENTO!$X$15,ROW(AN407)-ROW(AN$15),0),0)</f>
        <v>0</v>
      </c>
      <c r="AO407" s="632">
        <f ca="1">IF(AND($D407="Serviço",AO$12&lt;&gt;0,$H407&gt;0,OR(AUTOEVENTO&lt;&gt;"manual",$M407&lt;&gt;1)),ROUND(OFFSET($P407,0,AO$13),15-13*ORÇAMENTO!$AF$7)/$H407*OFFSET(ORÇAMENTO!$X$15,ROW(AO407)-ROW(AO$15),0),0)</f>
        <v>0</v>
      </c>
      <c r="AP407" s="632">
        <f ca="1">IF(AND($D407="Serviço",AP$12&lt;&gt;0,$H407&gt;0,OR(AUTOEVENTO&lt;&gt;"manual",$M407&lt;&gt;1)),ROUND(OFFSET($P407,0,AP$13),15-13*ORÇAMENTO!$AF$7)/$H407*OFFSET(ORÇAMENTO!$X$15,ROW(AP407)-ROW(AP$15),0),0)</f>
        <v>0</v>
      </c>
      <c r="AQ407" s="632">
        <f ca="1">IF(AND($D407="Serviço",AQ$12&lt;&gt;0,$H407&gt;0,OR(AUTOEVENTO&lt;&gt;"manual",$M407&lt;&gt;1)),ROUND(OFFSET($P407,0,AQ$13),15-13*ORÇAMENTO!$AF$7)/$H407*OFFSET(ORÇAMENTO!$X$15,ROW(AQ407)-ROW(AQ$15),0),0)</f>
        <v>0</v>
      </c>
      <c r="AR407" s="632">
        <f ca="1">IF(AND($D407="Serviço",AR$12&lt;&gt;0,$H407&gt;0,OR(AUTOEVENTO&lt;&gt;"manual",$M407&lt;&gt;1)),ROUND(OFFSET($P407,0,AR$13),15-13*ORÇAMENTO!$AF$7)/$H407*OFFSET(ORÇAMENTO!$X$15,ROW(AR407)-ROW(AR$15),0),0)</f>
        <v>0</v>
      </c>
      <c r="AS407" s="633">
        <f ca="1">IF(AND($D407="Serviço",AS$12&lt;&gt;0,$H407&gt;0,OR(AUTOEVENTO&lt;&gt;"manual",$M407&lt;&gt;1)),ROUND(OFFSET($P407,0,AS$13),15-13*ORÇAMENTO!$AF$7)/$H407*OFFSET(ORÇAMENTO!$X$15,ROW(AS407)-ROW(AS$15),0),0)</f>
        <v>0</v>
      </c>
      <c r="AT407" s="632">
        <f ca="1">IF(AND($D407="Serviço",AT$12&lt;&gt;0,$H407&gt;0,OR(AUTOEVENTO&lt;&gt;"manual",$M407&lt;&gt;1)),ROUND(OFFSET($P407,0,AT$13),15-13*ORÇAMENTO!$AF$7)/$H407*OFFSET(ORÇAMENTO!$X$15,ROW(AT407)-ROW(AT$15),0),0)</f>
        <v>0</v>
      </c>
      <c r="AU407" s="632">
        <f ca="1">IF(AND($D407="Serviço",AU$12&lt;&gt;0,$H407&gt;0,OR(AUTOEVENTO&lt;&gt;"manual",$M407&lt;&gt;1)),ROUND(OFFSET($P407,0,AU$13),15-13*ORÇAMENTO!$AF$7)/$H407*OFFSET(ORÇAMENTO!$X$15,ROW(AU407)-ROW(AU$15),0),0)</f>
        <v>0</v>
      </c>
      <c r="AV407" s="632">
        <f ca="1">IF(AND($D407="Serviço",AV$12&lt;&gt;0,$H407&gt;0,OR(AUTOEVENTO&lt;&gt;"manual",$M407&lt;&gt;1)),ROUND(OFFSET($P407,0,AV$13),15-13*ORÇAMENTO!$AF$7)/$H407*OFFSET(ORÇAMENTO!$X$15,ROW(AV407)-ROW(AV$15),0),0)</f>
        <v>0</v>
      </c>
      <c r="AW407" s="632">
        <f ca="1">IF(AND($D407="Serviço",AW$12&lt;&gt;0,$H407&gt;0,OR(AUTOEVENTO&lt;&gt;"manual",$M407&lt;&gt;1)),ROUND(OFFSET($P407,0,AW$13),15-13*ORÇAMENTO!$AF$7)/$H407*OFFSET(ORÇAMENTO!$X$15,ROW(AW407)-ROW(AW$15),0),0)</f>
        <v>0</v>
      </c>
      <c r="AX407" s="632">
        <f ca="1">IF(AND($D407="Serviço",AX$12&lt;&gt;0,$H407&gt;0,OR(AUTOEVENTO&lt;&gt;"manual",$M407&lt;&gt;1)),ROUND(OFFSET($P407,0,AX$13),15-13*ORÇAMENTO!$AF$7)/$H407*OFFSET(ORÇAMENTO!$X$15,ROW(AX407)-ROW(AX$15),0),0)</f>
        <v>0</v>
      </c>
      <c r="AY407" s="632">
        <f ca="1">IF(AND($D407="Serviço",AY$12&lt;&gt;0,$H407&gt;0,OR(AUTOEVENTO&lt;&gt;"manual",$M407&lt;&gt;1)),ROUND(OFFSET($P407,0,AY$13),15-13*ORÇAMENTO!$AF$7)/$H407*OFFSET(ORÇAMENTO!$X$15,ROW(AY407)-ROW(AY$15),0),0)</f>
        <v>0</v>
      </c>
      <c r="AZ407" s="632">
        <f ca="1">IF(AND($D407="Serviço",AZ$12&lt;&gt;0,$H407&gt;0,OR(AUTOEVENTO&lt;&gt;"manual",$M407&lt;&gt;1)),ROUND(OFFSET($P407,0,AZ$13),15-13*ORÇAMENTO!$AF$7)/$H407*OFFSET(ORÇAMENTO!$X$15,ROW(AZ407)-ROW(AZ$15),0),0)</f>
        <v>0</v>
      </c>
      <c r="BA407" s="633">
        <f ca="1">IF(AND($D407="Serviço",BA$12&lt;&gt;0,$H407&gt;0,OR(AUTOEVENTO&lt;&gt;"manual",$M407&lt;&gt;1)),ROUND(OFFSET($P407,0,BA$13),15-13*ORÇAMENTO!$AF$7)/$H407*OFFSET(ORÇAMENTO!$X$15,ROW(BA407)-ROW(BA$15),0),0)</f>
        <v>0</v>
      </c>
      <c r="BC407" s="215">
        <f ca="1">IF($D407&lt;&gt;"Serviço",0,IF(AND(AUTOEVENTO="Manual",$M407=1),0,IF(OFFSET(CRONOPLE!$F$14,$M407,BC$13)="",10^12,OFFSET(CRONOPLE!$F$14,$M407,BC$13))))</f>
        <v>1000000000000</v>
      </c>
      <c r="BD407" s="215">
        <f ca="1">IF($D407&lt;&gt;"Serviço",0,IF(AND(AUTOEVENTO="Manual",$M407=1),0,IF(OFFSET(CRONOPLE!$F$14,$M407,BD$13)="",10^12,OFFSET(CRONOPLE!$F$14,$M407,BD$13))))</f>
        <v>1000000000000</v>
      </c>
      <c r="BE407" s="215">
        <f ca="1">IF($D407&lt;&gt;"Serviço",0,IF(AND(AUTOEVENTO="Manual",$M407=1),0,IF(OFFSET(CRONOPLE!$F$14,$M407,BE$13)="",10^12,OFFSET(CRONOPLE!$F$14,$M407,BE$13))))</f>
        <v>1000000000000</v>
      </c>
      <c r="BF407" s="215">
        <f ca="1">IF($D407&lt;&gt;"Serviço",0,IF(AND(AUTOEVENTO="Manual",$M407=1),0,IF(OFFSET(CRONOPLE!$F$14,$M407,BF$13)="",10^12,OFFSET(CRONOPLE!$F$14,$M407,BF$13))))</f>
        <v>1000000000000</v>
      </c>
      <c r="BG407" s="215">
        <f ca="1">IF($D407&lt;&gt;"Serviço",0,IF(AND(AUTOEVENTO="Manual",$M407=1),0,IF(OFFSET(CRONOPLE!$F$14,$M407,BG$13)="",10^12,OFFSET(CRONOPLE!$F$14,$M407,BG$13))))</f>
        <v>1000000000000</v>
      </c>
      <c r="BH407" s="215">
        <f ca="1">IF($D407&lt;&gt;"Serviço",0,IF(AND(AUTOEVENTO="Manual",$M407=1),0,IF(OFFSET(CRONOPLE!$F$14,$M407,BH$13)="",10^12,OFFSET(CRONOPLE!$F$14,$M407,BH$13))))</f>
        <v>1000000000000</v>
      </c>
      <c r="BI407" s="215">
        <f ca="1">IF($D407&lt;&gt;"Serviço",0,IF(AND(AUTOEVENTO="Manual",$M407=1),0,IF(OFFSET(CRONOPLE!$F$14,$M407,BI$13)="",10^12,OFFSET(CRONOPLE!$F$14,$M407,BI$13))))</f>
        <v>1000000000000</v>
      </c>
      <c r="BJ407" s="215">
        <f ca="1">IF($D407&lt;&gt;"Serviço",0,IF(AND(AUTOEVENTO="Manual",$M407=1),0,IF(OFFSET(CRONOPLE!$F$14,$M407,BJ$13)="",10^12,OFFSET(CRONOPLE!$F$14,$M407,BJ$13))))</f>
        <v>1000000000000</v>
      </c>
      <c r="BK407" s="215">
        <f ca="1">IF($D407&lt;&gt;"Serviço",0,IF(AND(AUTOEVENTO="Manual",$M407=1),0,IF(OFFSET(CRONOPLE!$F$14,$M407,BK$13)="",10^12,OFFSET(CRONOPLE!$F$14,$M407,BK$13))))</f>
        <v>1000000000000</v>
      </c>
      <c r="BL407" s="215">
        <f ca="1">IF($D407&lt;&gt;"Serviço",0,IF(AND(AUTOEVENTO="Manual",$M407=1),0,IF(OFFSET(CRONOPLE!$F$14,$M407,BL$13)="",10^12,OFFSET(CRONOPLE!$F$14,$M407,BL$13))))</f>
        <v>1000000000000</v>
      </c>
      <c r="BM407" s="215">
        <f ca="1">IF($D407&lt;&gt;"Serviço",0,IF(AND(AUTOEVENTO="Manual",$M407=1),0,IF(OFFSET(CRONOPLE!$F$14,$M407,BM$13)="",10^12,OFFSET(CRONOPLE!$F$14,$M407,BM$13))))</f>
        <v>1000000000000</v>
      </c>
      <c r="BN407" s="215">
        <f ca="1">IF($D407&lt;&gt;"Serviço",0,IF(AND(AUTOEVENTO="Manual",$M407=1),0,IF(OFFSET(CRONOPLE!$F$14,$M407,BN$13)="",10^12,OFFSET(CRONOPLE!$F$14,$M407,BN$13))))</f>
        <v>1000000000000</v>
      </c>
      <c r="BO407" s="215">
        <f ca="1">IF($D407&lt;&gt;"Serviço",0,IF(AND(AUTOEVENTO="Manual",$M407=1),0,IF(OFFSET(CRONOPLE!$F$14,$M407,BO$13)="",10^12,OFFSET(CRONOPLE!$F$14,$M407,BO$13))))</f>
        <v>1000000000000</v>
      </c>
      <c r="BP407" s="215">
        <f ca="1">IF($D407&lt;&gt;"Serviço",0,IF(AND(AUTOEVENTO="Manual",$M407=1),0,IF(OFFSET(CRONOPLE!$F$14,$M407,BP$13)="",10^12,OFFSET(CRONOPLE!$F$14,$M407,BP$13))))</f>
        <v>1000000000000</v>
      </c>
      <c r="BQ407" s="215">
        <f ca="1">IF($D407&lt;&gt;"Serviço",0,IF(AND(AUTOEVENTO="Manual",$M407=1),0,IF(OFFSET(CRONOPLE!$F$14,$M407,BQ$13)="",10^12,OFFSET(CRONOPLE!$F$14,$M407,BQ$13))))</f>
        <v>1000000000000</v>
      </c>
      <c r="BR407" s="215">
        <f ca="1">IF($D407&lt;&gt;"Serviço",0,IF(AND(AUTOEVENTO="Manual",$M407=1),0,IF(OFFSET(CRONOPLE!$F$14,$M407,BR$13)="",10^12,OFFSET(CRONOPLE!$F$14,$M407,BR$13))))</f>
        <v>1000000000000</v>
      </c>
      <c r="BS407" s="215">
        <f ca="1">IF($D407&lt;&gt;"Serviço",0,IF(AND(AUTOEVENTO="Manual",$M407=1),0,IF(OFFSET(CRONOPLE!$F$14,$M407,BS$13)="",10^12,OFFSET(CRONOPLE!$F$14,$M407,BS$13))))</f>
        <v>1000000000000</v>
      </c>
      <c r="BT407" s="215">
        <f ca="1">IF($D407&lt;&gt;"Serviço",0,IF(AND(AUTOEVENTO="Manual",$M407=1),0,IF(OFFSET(CRONOPLE!$F$14,$M407,BT$13)="",10^12,OFFSET(CRONOPLE!$F$14,$M407,BT$13))))</f>
        <v>1000000000000</v>
      </c>
      <c r="BV407" s="216">
        <f ca="1">IF($D407&lt;&gt;"Serviço",0,IF(OR(AND(AUTOEVENTO="Manual",$M407=1),$M407&gt;(ROW(PLE.lastrow)-ROW(PLE.firstrow))),0,IF(OFFSET(PLE!$G$14,$M407,BV$13)="",10^12,OFFSET(PLE!$G$14,$M407,BV$13))))</f>
        <v>1000000000000</v>
      </c>
      <c r="BW407" s="216">
        <f ca="1">IF($D407&lt;&gt;"Serviço",0,IF(OR(AND(AUTOEVENTO="Manual",$M407=1),$M407&gt;(ROW(PLE.lastrow)-ROW(PLE.firstrow))),0,IF(OFFSET(PLE!$G$14,$M407,BW$13)="",10^12,OFFSET(PLE!$G$14,$M407,BW$13))))</f>
        <v>1000000000000</v>
      </c>
      <c r="BX407" s="216">
        <f ca="1">IF($D407&lt;&gt;"Serviço",0,IF(OR(AND(AUTOEVENTO="Manual",$M407=1),$M407&gt;(ROW(PLE.lastrow)-ROW(PLE.firstrow))),0,IF(OFFSET(PLE!$G$14,$M407,BX$13)="",10^12,OFFSET(PLE!$G$14,$M407,BX$13))))</f>
        <v>1000000000000</v>
      </c>
      <c r="BY407" s="216">
        <f ca="1">IF($D407&lt;&gt;"Serviço",0,IF(OR(AND(AUTOEVENTO="Manual",$M407=1),$M407&gt;(ROW(PLE.lastrow)-ROW(PLE.firstrow))),0,IF(OFFSET(PLE!$G$14,$M407,BY$13)="",10^12,OFFSET(PLE!$G$14,$M407,BY$13))))</f>
        <v>1000000000000</v>
      </c>
      <c r="BZ407" s="216">
        <f ca="1">IF($D407&lt;&gt;"Serviço",0,IF(OR(AND(AUTOEVENTO="Manual",$M407=1),$M407&gt;(ROW(PLE.lastrow)-ROW(PLE.firstrow))),0,IF(OFFSET(PLE!$G$14,$M407,BZ$13)="",10^12,OFFSET(PLE!$G$14,$M407,BZ$13))))</f>
        <v>1000000000000</v>
      </c>
      <c r="CA407" s="216">
        <f ca="1">IF($D407&lt;&gt;"Serviço",0,IF(OR(AND(AUTOEVENTO="Manual",$M407=1),$M407&gt;(ROW(PLE.lastrow)-ROW(PLE.firstrow))),0,IF(OFFSET(PLE!$G$14,$M407,CA$13)="",10^12,OFFSET(PLE!$G$14,$M407,CA$13))))</f>
        <v>1000000000000</v>
      </c>
      <c r="CB407" s="216">
        <f ca="1">IF($D407&lt;&gt;"Serviço",0,IF(OR(AND(AUTOEVENTO="Manual",$M407=1),$M407&gt;(ROW(PLE.lastrow)-ROW(PLE.firstrow))),0,IF(OFFSET(PLE!$G$14,$M407,CB$13)="",10^12,OFFSET(PLE!$G$14,$M407,CB$13))))</f>
        <v>1000000000000</v>
      </c>
      <c r="CC407" s="216">
        <f ca="1">IF($D407&lt;&gt;"Serviço",0,IF(OR(AND(AUTOEVENTO="Manual",$M407=1),$M407&gt;(ROW(PLE.lastrow)-ROW(PLE.firstrow))),0,IF(OFFSET(PLE!$G$14,$M407,CC$13)="",10^12,OFFSET(PLE!$G$14,$M407,CC$13))))</f>
        <v>1000000000000</v>
      </c>
      <c r="CD407" s="216">
        <f ca="1">IF($D407&lt;&gt;"Serviço",0,IF(OR(AND(AUTOEVENTO="Manual",$M407=1),$M407&gt;(ROW(PLE.lastrow)-ROW(PLE.firstrow))),0,IF(OFFSET(PLE!$G$14,$M407,CD$13)="",10^12,OFFSET(PLE!$G$14,$M407,CD$13))))</f>
        <v>1000000000000</v>
      </c>
      <c r="CE407" s="216">
        <f ca="1">IF($D407&lt;&gt;"Serviço",0,IF(OR(AND(AUTOEVENTO="Manual",$M407=1),$M407&gt;(ROW(PLE.lastrow)-ROW(PLE.firstrow))),0,IF(OFFSET(PLE!$G$14,$M407,CE$13)="",10^12,OFFSET(PLE!$G$14,$M407,CE$13))))</f>
        <v>1000000000000</v>
      </c>
      <c r="CF407" s="216">
        <f ca="1">IF($D407&lt;&gt;"Serviço",0,IF(OR(AND(AUTOEVENTO="Manual",$M407=1),$M407&gt;(ROW(PLE.lastrow)-ROW(PLE.firstrow))),0,IF(OFFSET(PLE!$G$14,$M407,CF$13)="",10^12,OFFSET(PLE!$G$14,$M407,CF$13))))</f>
        <v>1000000000000</v>
      </c>
      <c r="CG407" s="216">
        <f ca="1">IF($D407&lt;&gt;"Serviço",0,IF(OR(AND(AUTOEVENTO="Manual",$M407=1),$M407&gt;(ROW(PLE.lastrow)-ROW(PLE.firstrow))),0,IF(OFFSET(PLE!$G$14,$M407,CG$13)="",10^12,OFFSET(PLE!$G$14,$M407,CG$13))))</f>
        <v>1000000000000</v>
      </c>
      <c r="CH407" s="216">
        <f ca="1">IF($D407&lt;&gt;"Serviço",0,IF(OR(AND(AUTOEVENTO="Manual",$M407=1),$M407&gt;(ROW(PLE.lastrow)-ROW(PLE.firstrow))),0,IF(OFFSET(PLE!$G$14,$M407,CH$13)="",10^12,OFFSET(PLE!$G$14,$M407,CH$13))))</f>
        <v>1000000000000</v>
      </c>
      <c r="CI407" s="216">
        <f ca="1">IF($D407&lt;&gt;"Serviço",0,IF(OR(AND(AUTOEVENTO="Manual",$M407=1),$M407&gt;(ROW(PLE.lastrow)-ROW(PLE.firstrow))),0,IF(OFFSET(PLE!$G$14,$M407,CI$13)="",10^12,OFFSET(PLE!$G$14,$M407,CI$13))))</f>
        <v>1000000000000</v>
      </c>
      <c r="CJ407" s="216">
        <f ca="1">IF($D407&lt;&gt;"Serviço",0,IF(OR(AND(AUTOEVENTO="Manual",$M407=1),$M407&gt;(ROW(PLE.lastrow)-ROW(PLE.firstrow))),0,IF(OFFSET(PLE!$G$14,$M407,CJ$13)="",10^12,OFFSET(PLE!$G$14,$M407,CJ$13))))</f>
        <v>1000000000000</v>
      </c>
      <c r="CK407" s="216">
        <f ca="1">IF($D407&lt;&gt;"Serviço",0,IF(OR(AND(AUTOEVENTO="Manual",$M407=1),$M407&gt;(ROW(PLE.lastrow)-ROW(PLE.firstrow))),0,IF(OFFSET(PLE!$G$14,$M407,CK$13)="",10^12,OFFSET(PLE!$G$14,$M407,CK$13))))</f>
        <v>1000000000000</v>
      </c>
      <c r="CL407" s="216">
        <f ca="1">IF($D407&lt;&gt;"Serviço",0,IF(OR(AND(AUTOEVENTO="Manual",$M407=1),$M407&gt;(ROW(PLE.lastrow)-ROW(PLE.firstrow))),0,IF(OFFSET(PLE!$G$14,$M407,CL$13)="",10^12,OFFSET(PLE!$G$14,$M407,CL$13))))</f>
        <v>1000000000000</v>
      </c>
      <c r="CM407" s="216">
        <f ca="1">IF($D407&lt;&gt;"Serviço",0,IF(OR(AND(AUTOEVENTO="Manual",$M407=1),$M407&gt;(ROW(PLE.lastrow)-ROW(PLE.firstrow))),0,IF(OFFSET(PLE!$G$14,$M407,CM$13)="",10^12,OFFSET(PLE!$G$14,$M407,CM$13))))</f>
        <v>1000000000000</v>
      </c>
    </row>
    <row r="408" spans="1:91" ht="13.2" x14ac:dyDescent="0.25">
      <c r="A408" s="9">
        <f t="shared" ca="1" si="15"/>
        <v>0</v>
      </c>
      <c r="B408" s="9" t="str">
        <f ca="1">OFFSET(ORÇAMENTO!C$15,ROW(B408)-ROW(B$15),0)</f>
        <v>S</v>
      </c>
      <c r="C408" s="9" t="str">
        <f ca="1">OFFSET(ORÇAMENTO!L$15,ROW(C408)-ROW(C$15),0)</f>
        <v/>
      </c>
      <c r="D408" s="145" t="str">
        <f ca="1">OFFSET(ORÇAMENTO!N$15,ROW(D408)-ROW(D$15),0)</f>
        <v>Serviço</v>
      </c>
      <c r="E408" s="205" t="str">
        <f ca="1">OFFSET(ORÇAMENTO!O$15,ROW(E408)-ROW(E$15),0)</f>
        <v>-</v>
      </c>
      <c r="F408" s="206" t="str">
        <f ca="1">OFFSET(ORÇAMENTO!R$15,ROW(F408)-ROW(F$15),0)</f>
        <v>(abra o arquivo 'Referência 05-2024.xls)</v>
      </c>
      <c r="G408" s="207" t="str">
        <f ca="1">IF($D408&lt;&gt;"Serviço","",OFFSET(ORÇAMENTO!S$15,ROW(G408)-ROW(G$15),0))</f>
        <v>-</v>
      </c>
      <c r="H408" s="151">
        <f ca="1">IF($D408&lt;&gt;"Serviço",0,IF(ACOMPANHAMENTO="BM",ROUND(OFFSET(ORÇAMENTO!AJ$15,ROW(H408)-ROW(H$15),0),15-13*ORÇAMENTO!$AF$7),SUMPRODUCT(($Q$12:$AI$12&lt;&gt;"")*ROUND($Q408:$AI408,15-13*ORÇAMENTO!$AF$7))))</f>
        <v>1</v>
      </c>
      <c r="I408" s="650"/>
      <c r="K408" s="208"/>
      <c r="L408" s="209" t="s">
        <v>257</v>
      </c>
      <c r="M408" s="210">
        <f ca="1">IF($D408&lt;&gt;"Serviço","",IF(AUTOEVENTO="manual",$A408,IF(ISERROR(MATCH($A408,$A$15:OFFSET($A408,-1,0),0)),MAX($M$15:OFFSET(M408,-1,0))+1,INDEX($M$15:OFFSET(M408,-1,0),MATCH($A408,$A$15:OFFSET($A408,-1,0),0)))))</f>
        <v>0</v>
      </c>
      <c r="N408" s="211" t="str">
        <f ca="1">IF($D408&lt;&gt;"Serviço","",IF(AUTOEVENTO="Manual",IF($A408=0,"&lt;-- defina o número do agrupador",OFFSET(EVENTOS!$D$14,$A408,0)),OFFSET($F$15,$A408,0)))</f>
        <v>&lt;-- defina o número do agrupador</v>
      </c>
      <c r="O408" s="212"/>
      <c r="Q408" s="212"/>
      <c r="R408" s="213"/>
      <c r="S408" s="213"/>
      <c r="T408" s="213"/>
      <c r="U408" s="213"/>
      <c r="V408" s="213"/>
      <c r="W408" s="213"/>
      <c r="X408" s="213"/>
      <c r="Y408" s="213"/>
      <c r="Z408" s="214"/>
      <c r="AA408" s="213"/>
      <c r="AB408" s="213"/>
      <c r="AC408" s="213"/>
      <c r="AD408" s="213"/>
      <c r="AE408" s="213"/>
      <c r="AF408" s="213"/>
      <c r="AG408" s="213"/>
      <c r="AH408" s="214"/>
      <c r="AJ408" s="631">
        <f ca="1">IF(AND($D408="Serviço",AJ$12&lt;&gt;0,$H408&gt;0,OR(AUTOEVENTO&lt;&gt;"manual",$M408&lt;&gt;1)),ROUND(OFFSET($P408,0,AJ$13),15-13*ORÇAMENTO!$AF$7)/$H408*OFFSET(ORÇAMENTO!$X$15,ROW(AJ408)-ROW(AJ$15),0),0)</f>
        <v>0</v>
      </c>
      <c r="AK408" s="632">
        <f ca="1">IF(AND($D408="Serviço",AK$12&lt;&gt;0,$H408&gt;0,OR(AUTOEVENTO&lt;&gt;"manual",$M408&lt;&gt;1)),ROUND(OFFSET($P408,0,AK$13),15-13*ORÇAMENTO!$AF$7)/$H408*OFFSET(ORÇAMENTO!$X$15,ROW(AK408)-ROW(AK$15),0),0)</f>
        <v>0</v>
      </c>
      <c r="AL408" s="632">
        <f ca="1">IF(AND($D408="Serviço",AL$12&lt;&gt;0,$H408&gt;0,OR(AUTOEVENTO&lt;&gt;"manual",$M408&lt;&gt;1)),ROUND(OFFSET($P408,0,AL$13),15-13*ORÇAMENTO!$AF$7)/$H408*OFFSET(ORÇAMENTO!$X$15,ROW(AL408)-ROW(AL$15),0),0)</f>
        <v>0</v>
      </c>
      <c r="AM408" s="632">
        <f ca="1">IF(AND($D408="Serviço",AM$12&lt;&gt;0,$H408&gt;0,OR(AUTOEVENTO&lt;&gt;"manual",$M408&lt;&gt;1)),ROUND(OFFSET($P408,0,AM$13),15-13*ORÇAMENTO!$AF$7)/$H408*OFFSET(ORÇAMENTO!$X$15,ROW(AM408)-ROW(AM$15),0),0)</f>
        <v>0</v>
      </c>
      <c r="AN408" s="632">
        <f ca="1">IF(AND($D408="Serviço",AN$12&lt;&gt;0,$H408&gt;0,OR(AUTOEVENTO&lt;&gt;"manual",$M408&lt;&gt;1)),ROUND(OFFSET($P408,0,AN$13),15-13*ORÇAMENTO!$AF$7)/$H408*OFFSET(ORÇAMENTO!$X$15,ROW(AN408)-ROW(AN$15),0),0)</f>
        <v>0</v>
      </c>
      <c r="AO408" s="632">
        <f ca="1">IF(AND($D408="Serviço",AO$12&lt;&gt;0,$H408&gt;0,OR(AUTOEVENTO&lt;&gt;"manual",$M408&lt;&gt;1)),ROUND(OFFSET($P408,0,AO$13),15-13*ORÇAMENTO!$AF$7)/$H408*OFFSET(ORÇAMENTO!$X$15,ROW(AO408)-ROW(AO$15),0),0)</f>
        <v>0</v>
      </c>
      <c r="AP408" s="632">
        <f ca="1">IF(AND($D408="Serviço",AP$12&lt;&gt;0,$H408&gt;0,OR(AUTOEVENTO&lt;&gt;"manual",$M408&lt;&gt;1)),ROUND(OFFSET($P408,0,AP$13),15-13*ORÇAMENTO!$AF$7)/$H408*OFFSET(ORÇAMENTO!$X$15,ROW(AP408)-ROW(AP$15),0),0)</f>
        <v>0</v>
      </c>
      <c r="AQ408" s="632">
        <f ca="1">IF(AND($D408="Serviço",AQ$12&lt;&gt;0,$H408&gt;0,OR(AUTOEVENTO&lt;&gt;"manual",$M408&lt;&gt;1)),ROUND(OFFSET($P408,0,AQ$13),15-13*ORÇAMENTO!$AF$7)/$H408*OFFSET(ORÇAMENTO!$X$15,ROW(AQ408)-ROW(AQ$15),0),0)</f>
        <v>0</v>
      </c>
      <c r="AR408" s="632">
        <f ca="1">IF(AND($D408="Serviço",AR$12&lt;&gt;0,$H408&gt;0,OR(AUTOEVENTO&lt;&gt;"manual",$M408&lt;&gt;1)),ROUND(OFFSET($P408,0,AR$13),15-13*ORÇAMENTO!$AF$7)/$H408*OFFSET(ORÇAMENTO!$X$15,ROW(AR408)-ROW(AR$15),0),0)</f>
        <v>0</v>
      </c>
      <c r="AS408" s="633">
        <f ca="1">IF(AND($D408="Serviço",AS$12&lt;&gt;0,$H408&gt;0,OR(AUTOEVENTO&lt;&gt;"manual",$M408&lt;&gt;1)),ROUND(OFFSET($P408,0,AS$13),15-13*ORÇAMENTO!$AF$7)/$H408*OFFSET(ORÇAMENTO!$X$15,ROW(AS408)-ROW(AS$15),0),0)</f>
        <v>0</v>
      </c>
      <c r="AT408" s="632">
        <f ca="1">IF(AND($D408="Serviço",AT$12&lt;&gt;0,$H408&gt;0,OR(AUTOEVENTO&lt;&gt;"manual",$M408&lt;&gt;1)),ROUND(OFFSET($P408,0,AT$13),15-13*ORÇAMENTO!$AF$7)/$H408*OFFSET(ORÇAMENTO!$X$15,ROW(AT408)-ROW(AT$15),0),0)</f>
        <v>0</v>
      </c>
      <c r="AU408" s="632">
        <f ca="1">IF(AND($D408="Serviço",AU$12&lt;&gt;0,$H408&gt;0,OR(AUTOEVENTO&lt;&gt;"manual",$M408&lt;&gt;1)),ROUND(OFFSET($P408,0,AU$13),15-13*ORÇAMENTO!$AF$7)/$H408*OFFSET(ORÇAMENTO!$X$15,ROW(AU408)-ROW(AU$15),0),0)</f>
        <v>0</v>
      </c>
      <c r="AV408" s="632">
        <f ca="1">IF(AND($D408="Serviço",AV$12&lt;&gt;0,$H408&gt;0,OR(AUTOEVENTO&lt;&gt;"manual",$M408&lt;&gt;1)),ROUND(OFFSET($P408,0,AV$13),15-13*ORÇAMENTO!$AF$7)/$H408*OFFSET(ORÇAMENTO!$X$15,ROW(AV408)-ROW(AV$15),0),0)</f>
        <v>0</v>
      </c>
      <c r="AW408" s="632">
        <f ca="1">IF(AND($D408="Serviço",AW$12&lt;&gt;0,$H408&gt;0,OR(AUTOEVENTO&lt;&gt;"manual",$M408&lt;&gt;1)),ROUND(OFFSET($P408,0,AW$13),15-13*ORÇAMENTO!$AF$7)/$H408*OFFSET(ORÇAMENTO!$X$15,ROW(AW408)-ROW(AW$15),0),0)</f>
        <v>0</v>
      </c>
      <c r="AX408" s="632">
        <f ca="1">IF(AND($D408="Serviço",AX$12&lt;&gt;0,$H408&gt;0,OR(AUTOEVENTO&lt;&gt;"manual",$M408&lt;&gt;1)),ROUND(OFFSET($P408,0,AX$13),15-13*ORÇAMENTO!$AF$7)/$H408*OFFSET(ORÇAMENTO!$X$15,ROW(AX408)-ROW(AX$15),0),0)</f>
        <v>0</v>
      </c>
      <c r="AY408" s="632">
        <f ca="1">IF(AND($D408="Serviço",AY$12&lt;&gt;0,$H408&gt;0,OR(AUTOEVENTO&lt;&gt;"manual",$M408&lt;&gt;1)),ROUND(OFFSET($P408,0,AY$13),15-13*ORÇAMENTO!$AF$7)/$H408*OFFSET(ORÇAMENTO!$X$15,ROW(AY408)-ROW(AY$15),0),0)</f>
        <v>0</v>
      </c>
      <c r="AZ408" s="632">
        <f ca="1">IF(AND($D408="Serviço",AZ$12&lt;&gt;0,$H408&gt;0,OR(AUTOEVENTO&lt;&gt;"manual",$M408&lt;&gt;1)),ROUND(OFFSET($P408,0,AZ$13),15-13*ORÇAMENTO!$AF$7)/$H408*OFFSET(ORÇAMENTO!$X$15,ROW(AZ408)-ROW(AZ$15),0),0)</f>
        <v>0</v>
      </c>
      <c r="BA408" s="633">
        <f ca="1">IF(AND($D408="Serviço",BA$12&lt;&gt;0,$H408&gt;0,OR(AUTOEVENTO&lt;&gt;"manual",$M408&lt;&gt;1)),ROUND(OFFSET($P408,0,BA$13),15-13*ORÇAMENTO!$AF$7)/$H408*OFFSET(ORÇAMENTO!$X$15,ROW(BA408)-ROW(BA$15),0),0)</f>
        <v>0</v>
      </c>
      <c r="BC408" s="215">
        <f ca="1">IF($D408&lt;&gt;"Serviço",0,IF(AND(AUTOEVENTO="Manual",$M408=1),0,IF(OFFSET(CRONOPLE!$F$14,$M408,BC$13)="",10^12,OFFSET(CRONOPLE!$F$14,$M408,BC$13))))</f>
        <v>1000000000000</v>
      </c>
      <c r="BD408" s="215">
        <f ca="1">IF($D408&lt;&gt;"Serviço",0,IF(AND(AUTOEVENTO="Manual",$M408=1),0,IF(OFFSET(CRONOPLE!$F$14,$M408,BD$13)="",10^12,OFFSET(CRONOPLE!$F$14,$M408,BD$13))))</f>
        <v>1000000000000</v>
      </c>
      <c r="BE408" s="215">
        <f ca="1">IF($D408&lt;&gt;"Serviço",0,IF(AND(AUTOEVENTO="Manual",$M408=1),0,IF(OFFSET(CRONOPLE!$F$14,$M408,BE$13)="",10^12,OFFSET(CRONOPLE!$F$14,$M408,BE$13))))</f>
        <v>1000000000000</v>
      </c>
      <c r="BF408" s="215">
        <f ca="1">IF($D408&lt;&gt;"Serviço",0,IF(AND(AUTOEVENTO="Manual",$M408=1),0,IF(OFFSET(CRONOPLE!$F$14,$M408,BF$13)="",10^12,OFFSET(CRONOPLE!$F$14,$M408,BF$13))))</f>
        <v>1000000000000</v>
      </c>
      <c r="BG408" s="215">
        <f ca="1">IF($D408&lt;&gt;"Serviço",0,IF(AND(AUTOEVENTO="Manual",$M408=1),0,IF(OFFSET(CRONOPLE!$F$14,$M408,BG$13)="",10^12,OFFSET(CRONOPLE!$F$14,$M408,BG$13))))</f>
        <v>1000000000000</v>
      </c>
      <c r="BH408" s="215">
        <f ca="1">IF($D408&lt;&gt;"Serviço",0,IF(AND(AUTOEVENTO="Manual",$M408=1),0,IF(OFFSET(CRONOPLE!$F$14,$M408,BH$13)="",10^12,OFFSET(CRONOPLE!$F$14,$M408,BH$13))))</f>
        <v>1000000000000</v>
      </c>
      <c r="BI408" s="215">
        <f ca="1">IF($D408&lt;&gt;"Serviço",0,IF(AND(AUTOEVENTO="Manual",$M408=1),0,IF(OFFSET(CRONOPLE!$F$14,$M408,BI$13)="",10^12,OFFSET(CRONOPLE!$F$14,$M408,BI$13))))</f>
        <v>1000000000000</v>
      </c>
      <c r="BJ408" s="215">
        <f ca="1">IF($D408&lt;&gt;"Serviço",0,IF(AND(AUTOEVENTO="Manual",$M408=1),0,IF(OFFSET(CRONOPLE!$F$14,$M408,BJ$13)="",10^12,OFFSET(CRONOPLE!$F$14,$M408,BJ$13))))</f>
        <v>1000000000000</v>
      </c>
      <c r="BK408" s="215">
        <f ca="1">IF($D408&lt;&gt;"Serviço",0,IF(AND(AUTOEVENTO="Manual",$M408=1),0,IF(OFFSET(CRONOPLE!$F$14,$M408,BK$13)="",10^12,OFFSET(CRONOPLE!$F$14,$M408,BK$13))))</f>
        <v>1000000000000</v>
      </c>
      <c r="BL408" s="215">
        <f ca="1">IF($D408&lt;&gt;"Serviço",0,IF(AND(AUTOEVENTO="Manual",$M408=1),0,IF(OFFSET(CRONOPLE!$F$14,$M408,BL$13)="",10^12,OFFSET(CRONOPLE!$F$14,$M408,BL$13))))</f>
        <v>1000000000000</v>
      </c>
      <c r="BM408" s="215">
        <f ca="1">IF($D408&lt;&gt;"Serviço",0,IF(AND(AUTOEVENTO="Manual",$M408=1),0,IF(OFFSET(CRONOPLE!$F$14,$M408,BM$13)="",10^12,OFFSET(CRONOPLE!$F$14,$M408,BM$13))))</f>
        <v>1000000000000</v>
      </c>
      <c r="BN408" s="215">
        <f ca="1">IF($D408&lt;&gt;"Serviço",0,IF(AND(AUTOEVENTO="Manual",$M408=1),0,IF(OFFSET(CRONOPLE!$F$14,$M408,BN$13)="",10^12,OFFSET(CRONOPLE!$F$14,$M408,BN$13))))</f>
        <v>1000000000000</v>
      </c>
      <c r="BO408" s="215">
        <f ca="1">IF($D408&lt;&gt;"Serviço",0,IF(AND(AUTOEVENTO="Manual",$M408=1),0,IF(OFFSET(CRONOPLE!$F$14,$M408,BO$13)="",10^12,OFFSET(CRONOPLE!$F$14,$M408,BO$13))))</f>
        <v>1000000000000</v>
      </c>
      <c r="BP408" s="215">
        <f ca="1">IF($D408&lt;&gt;"Serviço",0,IF(AND(AUTOEVENTO="Manual",$M408=1),0,IF(OFFSET(CRONOPLE!$F$14,$M408,BP$13)="",10^12,OFFSET(CRONOPLE!$F$14,$M408,BP$13))))</f>
        <v>1000000000000</v>
      </c>
      <c r="BQ408" s="215">
        <f ca="1">IF($D408&lt;&gt;"Serviço",0,IF(AND(AUTOEVENTO="Manual",$M408=1),0,IF(OFFSET(CRONOPLE!$F$14,$M408,BQ$13)="",10^12,OFFSET(CRONOPLE!$F$14,$M408,BQ$13))))</f>
        <v>1000000000000</v>
      </c>
      <c r="BR408" s="215">
        <f ca="1">IF($D408&lt;&gt;"Serviço",0,IF(AND(AUTOEVENTO="Manual",$M408=1),0,IF(OFFSET(CRONOPLE!$F$14,$M408,BR$13)="",10^12,OFFSET(CRONOPLE!$F$14,$M408,BR$13))))</f>
        <v>1000000000000</v>
      </c>
      <c r="BS408" s="215">
        <f ca="1">IF($D408&lt;&gt;"Serviço",0,IF(AND(AUTOEVENTO="Manual",$M408=1),0,IF(OFFSET(CRONOPLE!$F$14,$M408,BS$13)="",10^12,OFFSET(CRONOPLE!$F$14,$M408,BS$13))))</f>
        <v>1000000000000</v>
      </c>
      <c r="BT408" s="215">
        <f ca="1">IF($D408&lt;&gt;"Serviço",0,IF(AND(AUTOEVENTO="Manual",$M408=1),0,IF(OFFSET(CRONOPLE!$F$14,$M408,BT$13)="",10^12,OFFSET(CRONOPLE!$F$14,$M408,BT$13))))</f>
        <v>1000000000000</v>
      </c>
      <c r="BV408" s="216">
        <f ca="1">IF($D408&lt;&gt;"Serviço",0,IF(OR(AND(AUTOEVENTO="Manual",$M408=1),$M408&gt;(ROW(PLE.lastrow)-ROW(PLE.firstrow))),0,IF(OFFSET(PLE!$G$14,$M408,BV$13)="",10^12,OFFSET(PLE!$G$14,$M408,BV$13))))</f>
        <v>1000000000000</v>
      </c>
      <c r="BW408" s="216">
        <f ca="1">IF($D408&lt;&gt;"Serviço",0,IF(OR(AND(AUTOEVENTO="Manual",$M408=1),$M408&gt;(ROW(PLE.lastrow)-ROW(PLE.firstrow))),0,IF(OFFSET(PLE!$G$14,$M408,BW$13)="",10^12,OFFSET(PLE!$G$14,$M408,BW$13))))</f>
        <v>1000000000000</v>
      </c>
      <c r="BX408" s="216">
        <f ca="1">IF($D408&lt;&gt;"Serviço",0,IF(OR(AND(AUTOEVENTO="Manual",$M408=1),$M408&gt;(ROW(PLE.lastrow)-ROW(PLE.firstrow))),0,IF(OFFSET(PLE!$G$14,$M408,BX$13)="",10^12,OFFSET(PLE!$G$14,$M408,BX$13))))</f>
        <v>1000000000000</v>
      </c>
      <c r="BY408" s="216">
        <f ca="1">IF($D408&lt;&gt;"Serviço",0,IF(OR(AND(AUTOEVENTO="Manual",$M408=1),$M408&gt;(ROW(PLE.lastrow)-ROW(PLE.firstrow))),0,IF(OFFSET(PLE!$G$14,$M408,BY$13)="",10^12,OFFSET(PLE!$G$14,$M408,BY$13))))</f>
        <v>1000000000000</v>
      </c>
      <c r="BZ408" s="216">
        <f ca="1">IF($D408&lt;&gt;"Serviço",0,IF(OR(AND(AUTOEVENTO="Manual",$M408=1),$M408&gt;(ROW(PLE.lastrow)-ROW(PLE.firstrow))),0,IF(OFFSET(PLE!$G$14,$M408,BZ$13)="",10^12,OFFSET(PLE!$G$14,$M408,BZ$13))))</f>
        <v>1000000000000</v>
      </c>
      <c r="CA408" s="216">
        <f ca="1">IF($D408&lt;&gt;"Serviço",0,IF(OR(AND(AUTOEVENTO="Manual",$M408=1),$M408&gt;(ROW(PLE.lastrow)-ROW(PLE.firstrow))),0,IF(OFFSET(PLE!$G$14,$M408,CA$13)="",10^12,OFFSET(PLE!$G$14,$M408,CA$13))))</f>
        <v>1000000000000</v>
      </c>
      <c r="CB408" s="216">
        <f ca="1">IF($D408&lt;&gt;"Serviço",0,IF(OR(AND(AUTOEVENTO="Manual",$M408=1),$M408&gt;(ROW(PLE.lastrow)-ROW(PLE.firstrow))),0,IF(OFFSET(PLE!$G$14,$M408,CB$13)="",10^12,OFFSET(PLE!$G$14,$M408,CB$13))))</f>
        <v>1000000000000</v>
      </c>
      <c r="CC408" s="216">
        <f ca="1">IF($D408&lt;&gt;"Serviço",0,IF(OR(AND(AUTOEVENTO="Manual",$M408=1),$M408&gt;(ROW(PLE.lastrow)-ROW(PLE.firstrow))),0,IF(OFFSET(PLE!$G$14,$M408,CC$13)="",10^12,OFFSET(PLE!$G$14,$M408,CC$13))))</f>
        <v>1000000000000</v>
      </c>
      <c r="CD408" s="216">
        <f ca="1">IF($D408&lt;&gt;"Serviço",0,IF(OR(AND(AUTOEVENTO="Manual",$M408=1),$M408&gt;(ROW(PLE.lastrow)-ROW(PLE.firstrow))),0,IF(OFFSET(PLE!$G$14,$M408,CD$13)="",10^12,OFFSET(PLE!$G$14,$M408,CD$13))))</f>
        <v>1000000000000</v>
      </c>
      <c r="CE408" s="216">
        <f ca="1">IF($D408&lt;&gt;"Serviço",0,IF(OR(AND(AUTOEVENTO="Manual",$M408=1),$M408&gt;(ROW(PLE.lastrow)-ROW(PLE.firstrow))),0,IF(OFFSET(PLE!$G$14,$M408,CE$13)="",10^12,OFFSET(PLE!$G$14,$M408,CE$13))))</f>
        <v>1000000000000</v>
      </c>
      <c r="CF408" s="216">
        <f ca="1">IF($D408&lt;&gt;"Serviço",0,IF(OR(AND(AUTOEVENTO="Manual",$M408=1),$M408&gt;(ROW(PLE.lastrow)-ROW(PLE.firstrow))),0,IF(OFFSET(PLE!$G$14,$M408,CF$13)="",10^12,OFFSET(PLE!$G$14,$M408,CF$13))))</f>
        <v>1000000000000</v>
      </c>
      <c r="CG408" s="216">
        <f ca="1">IF($D408&lt;&gt;"Serviço",0,IF(OR(AND(AUTOEVENTO="Manual",$M408=1),$M408&gt;(ROW(PLE.lastrow)-ROW(PLE.firstrow))),0,IF(OFFSET(PLE!$G$14,$M408,CG$13)="",10^12,OFFSET(PLE!$G$14,$M408,CG$13))))</f>
        <v>1000000000000</v>
      </c>
      <c r="CH408" s="216">
        <f ca="1">IF($D408&lt;&gt;"Serviço",0,IF(OR(AND(AUTOEVENTO="Manual",$M408=1),$M408&gt;(ROW(PLE.lastrow)-ROW(PLE.firstrow))),0,IF(OFFSET(PLE!$G$14,$M408,CH$13)="",10^12,OFFSET(PLE!$G$14,$M408,CH$13))))</f>
        <v>1000000000000</v>
      </c>
      <c r="CI408" s="216">
        <f ca="1">IF($D408&lt;&gt;"Serviço",0,IF(OR(AND(AUTOEVENTO="Manual",$M408=1),$M408&gt;(ROW(PLE.lastrow)-ROW(PLE.firstrow))),0,IF(OFFSET(PLE!$G$14,$M408,CI$13)="",10^12,OFFSET(PLE!$G$14,$M408,CI$13))))</f>
        <v>1000000000000</v>
      </c>
      <c r="CJ408" s="216">
        <f ca="1">IF($D408&lt;&gt;"Serviço",0,IF(OR(AND(AUTOEVENTO="Manual",$M408=1),$M408&gt;(ROW(PLE.lastrow)-ROW(PLE.firstrow))),0,IF(OFFSET(PLE!$G$14,$M408,CJ$13)="",10^12,OFFSET(PLE!$G$14,$M408,CJ$13))))</f>
        <v>1000000000000</v>
      </c>
      <c r="CK408" s="216">
        <f ca="1">IF($D408&lt;&gt;"Serviço",0,IF(OR(AND(AUTOEVENTO="Manual",$M408=1),$M408&gt;(ROW(PLE.lastrow)-ROW(PLE.firstrow))),0,IF(OFFSET(PLE!$G$14,$M408,CK$13)="",10^12,OFFSET(PLE!$G$14,$M408,CK$13))))</f>
        <v>1000000000000</v>
      </c>
      <c r="CL408" s="216">
        <f ca="1">IF($D408&lt;&gt;"Serviço",0,IF(OR(AND(AUTOEVENTO="Manual",$M408=1),$M408&gt;(ROW(PLE.lastrow)-ROW(PLE.firstrow))),0,IF(OFFSET(PLE!$G$14,$M408,CL$13)="",10^12,OFFSET(PLE!$G$14,$M408,CL$13))))</f>
        <v>1000000000000</v>
      </c>
      <c r="CM408" s="216">
        <f ca="1">IF($D408&lt;&gt;"Serviço",0,IF(OR(AND(AUTOEVENTO="Manual",$M408=1),$M408&gt;(ROW(PLE.lastrow)-ROW(PLE.firstrow))),0,IF(OFFSET(PLE!$G$14,$M408,CM$13)="",10^12,OFFSET(PLE!$G$14,$M408,CM$13))))</f>
        <v>1000000000000</v>
      </c>
    </row>
    <row r="409" spans="1:91" ht="13.2" x14ac:dyDescent="0.25">
      <c r="A409" s="9">
        <f t="shared" ca="1" si="15"/>
        <v>0</v>
      </c>
      <c r="B409" s="9" t="str">
        <f ca="1">OFFSET(ORÇAMENTO!C$15,ROW(B409)-ROW(B$15),0)</f>
        <v>S</v>
      </c>
      <c r="C409" s="9" t="str">
        <f ca="1">OFFSET(ORÇAMENTO!L$15,ROW(C409)-ROW(C$15),0)</f>
        <v/>
      </c>
      <c r="D409" s="145" t="str">
        <f ca="1">OFFSET(ORÇAMENTO!N$15,ROW(D409)-ROW(D$15),0)</f>
        <v>Serviço</v>
      </c>
      <c r="E409" s="205" t="str">
        <f ca="1">OFFSET(ORÇAMENTO!O$15,ROW(E409)-ROW(E$15),0)</f>
        <v>-</v>
      </c>
      <c r="F409" s="206" t="str">
        <f ca="1">OFFSET(ORÇAMENTO!R$15,ROW(F409)-ROW(F$15),0)</f>
        <v>(abra o arquivo 'Referência 05-2024.xls)</v>
      </c>
      <c r="G409" s="207" t="str">
        <f ca="1">IF($D409&lt;&gt;"Serviço","",OFFSET(ORÇAMENTO!S$15,ROW(G409)-ROW(G$15),0))</f>
        <v>-</v>
      </c>
      <c r="H409" s="151">
        <f ca="1">IF($D409&lt;&gt;"Serviço",0,IF(ACOMPANHAMENTO="BM",ROUND(OFFSET(ORÇAMENTO!AJ$15,ROW(H409)-ROW(H$15),0),15-13*ORÇAMENTO!$AF$7),SUMPRODUCT(($Q$12:$AI$12&lt;&gt;"")*ROUND($Q409:$AI409,15-13*ORÇAMENTO!$AF$7))))</f>
        <v>3</v>
      </c>
      <c r="I409" s="650"/>
      <c r="K409" s="208"/>
      <c r="L409" s="209" t="s">
        <v>257</v>
      </c>
      <c r="M409" s="210">
        <f ca="1">IF($D409&lt;&gt;"Serviço","",IF(AUTOEVENTO="manual",$A409,IF(ISERROR(MATCH($A409,$A$15:OFFSET($A409,-1,0),0)),MAX($M$15:OFFSET(M409,-1,0))+1,INDEX($M$15:OFFSET(M409,-1,0),MATCH($A409,$A$15:OFFSET($A409,-1,0),0)))))</f>
        <v>0</v>
      </c>
      <c r="N409" s="211" t="str">
        <f ca="1">IF($D409&lt;&gt;"Serviço","",IF(AUTOEVENTO="Manual",IF($A409=0,"&lt;-- defina o número do agrupador",OFFSET(EVENTOS!$D$14,$A409,0)),OFFSET($F$15,$A409,0)))</f>
        <v>&lt;-- defina o número do agrupador</v>
      </c>
      <c r="O409" s="212"/>
      <c r="Q409" s="212"/>
      <c r="R409" s="213"/>
      <c r="S409" s="213"/>
      <c r="T409" s="213"/>
      <c r="U409" s="213"/>
      <c r="V409" s="213"/>
      <c r="W409" s="213"/>
      <c r="X409" s="213"/>
      <c r="Y409" s="213"/>
      <c r="Z409" s="214"/>
      <c r="AA409" s="213"/>
      <c r="AB409" s="213"/>
      <c r="AC409" s="213"/>
      <c r="AD409" s="213"/>
      <c r="AE409" s="213"/>
      <c r="AF409" s="213"/>
      <c r="AG409" s="213"/>
      <c r="AH409" s="214"/>
      <c r="AJ409" s="631">
        <f ca="1">IF(AND($D409="Serviço",AJ$12&lt;&gt;0,$H409&gt;0,OR(AUTOEVENTO&lt;&gt;"manual",$M409&lt;&gt;1)),ROUND(OFFSET($P409,0,AJ$13),15-13*ORÇAMENTO!$AF$7)/$H409*OFFSET(ORÇAMENTO!$X$15,ROW(AJ409)-ROW(AJ$15),0),0)</f>
        <v>0</v>
      </c>
      <c r="AK409" s="632">
        <f ca="1">IF(AND($D409="Serviço",AK$12&lt;&gt;0,$H409&gt;0,OR(AUTOEVENTO&lt;&gt;"manual",$M409&lt;&gt;1)),ROUND(OFFSET($P409,0,AK$13),15-13*ORÇAMENTO!$AF$7)/$H409*OFFSET(ORÇAMENTO!$X$15,ROW(AK409)-ROW(AK$15),0),0)</f>
        <v>0</v>
      </c>
      <c r="AL409" s="632">
        <f ca="1">IF(AND($D409="Serviço",AL$12&lt;&gt;0,$H409&gt;0,OR(AUTOEVENTO&lt;&gt;"manual",$M409&lt;&gt;1)),ROUND(OFFSET($P409,0,AL$13),15-13*ORÇAMENTO!$AF$7)/$H409*OFFSET(ORÇAMENTO!$X$15,ROW(AL409)-ROW(AL$15),0),0)</f>
        <v>0</v>
      </c>
      <c r="AM409" s="632">
        <f ca="1">IF(AND($D409="Serviço",AM$12&lt;&gt;0,$H409&gt;0,OR(AUTOEVENTO&lt;&gt;"manual",$M409&lt;&gt;1)),ROUND(OFFSET($P409,0,AM$13),15-13*ORÇAMENTO!$AF$7)/$H409*OFFSET(ORÇAMENTO!$X$15,ROW(AM409)-ROW(AM$15),0),0)</f>
        <v>0</v>
      </c>
      <c r="AN409" s="632">
        <f ca="1">IF(AND($D409="Serviço",AN$12&lt;&gt;0,$H409&gt;0,OR(AUTOEVENTO&lt;&gt;"manual",$M409&lt;&gt;1)),ROUND(OFFSET($P409,0,AN$13),15-13*ORÇAMENTO!$AF$7)/$H409*OFFSET(ORÇAMENTO!$X$15,ROW(AN409)-ROW(AN$15),0),0)</f>
        <v>0</v>
      </c>
      <c r="AO409" s="632">
        <f ca="1">IF(AND($D409="Serviço",AO$12&lt;&gt;0,$H409&gt;0,OR(AUTOEVENTO&lt;&gt;"manual",$M409&lt;&gt;1)),ROUND(OFFSET($P409,0,AO$13),15-13*ORÇAMENTO!$AF$7)/$H409*OFFSET(ORÇAMENTO!$X$15,ROW(AO409)-ROW(AO$15),0),0)</f>
        <v>0</v>
      </c>
      <c r="AP409" s="632">
        <f ca="1">IF(AND($D409="Serviço",AP$12&lt;&gt;0,$H409&gt;0,OR(AUTOEVENTO&lt;&gt;"manual",$M409&lt;&gt;1)),ROUND(OFFSET($P409,0,AP$13),15-13*ORÇAMENTO!$AF$7)/$H409*OFFSET(ORÇAMENTO!$X$15,ROW(AP409)-ROW(AP$15),0),0)</f>
        <v>0</v>
      </c>
      <c r="AQ409" s="632">
        <f ca="1">IF(AND($D409="Serviço",AQ$12&lt;&gt;0,$H409&gt;0,OR(AUTOEVENTO&lt;&gt;"manual",$M409&lt;&gt;1)),ROUND(OFFSET($P409,0,AQ$13),15-13*ORÇAMENTO!$AF$7)/$H409*OFFSET(ORÇAMENTO!$X$15,ROW(AQ409)-ROW(AQ$15),0),0)</f>
        <v>0</v>
      </c>
      <c r="AR409" s="632">
        <f ca="1">IF(AND($D409="Serviço",AR$12&lt;&gt;0,$H409&gt;0,OR(AUTOEVENTO&lt;&gt;"manual",$M409&lt;&gt;1)),ROUND(OFFSET($P409,0,AR$13),15-13*ORÇAMENTO!$AF$7)/$H409*OFFSET(ORÇAMENTO!$X$15,ROW(AR409)-ROW(AR$15),0),0)</f>
        <v>0</v>
      </c>
      <c r="AS409" s="633">
        <f ca="1">IF(AND($D409="Serviço",AS$12&lt;&gt;0,$H409&gt;0,OR(AUTOEVENTO&lt;&gt;"manual",$M409&lt;&gt;1)),ROUND(OFFSET($P409,0,AS$13),15-13*ORÇAMENTO!$AF$7)/$H409*OFFSET(ORÇAMENTO!$X$15,ROW(AS409)-ROW(AS$15),0),0)</f>
        <v>0</v>
      </c>
      <c r="AT409" s="632">
        <f ca="1">IF(AND($D409="Serviço",AT$12&lt;&gt;0,$H409&gt;0,OR(AUTOEVENTO&lt;&gt;"manual",$M409&lt;&gt;1)),ROUND(OFFSET($P409,0,AT$13),15-13*ORÇAMENTO!$AF$7)/$H409*OFFSET(ORÇAMENTO!$X$15,ROW(AT409)-ROW(AT$15),0),0)</f>
        <v>0</v>
      </c>
      <c r="AU409" s="632">
        <f ca="1">IF(AND($D409="Serviço",AU$12&lt;&gt;0,$H409&gt;0,OR(AUTOEVENTO&lt;&gt;"manual",$M409&lt;&gt;1)),ROUND(OFFSET($P409,0,AU$13),15-13*ORÇAMENTO!$AF$7)/$H409*OFFSET(ORÇAMENTO!$X$15,ROW(AU409)-ROW(AU$15),0),0)</f>
        <v>0</v>
      </c>
      <c r="AV409" s="632">
        <f ca="1">IF(AND($D409="Serviço",AV$12&lt;&gt;0,$H409&gt;0,OR(AUTOEVENTO&lt;&gt;"manual",$M409&lt;&gt;1)),ROUND(OFFSET($P409,0,AV$13),15-13*ORÇAMENTO!$AF$7)/$H409*OFFSET(ORÇAMENTO!$X$15,ROW(AV409)-ROW(AV$15),0),0)</f>
        <v>0</v>
      </c>
      <c r="AW409" s="632">
        <f ca="1">IF(AND($D409="Serviço",AW$12&lt;&gt;0,$H409&gt;0,OR(AUTOEVENTO&lt;&gt;"manual",$M409&lt;&gt;1)),ROUND(OFFSET($P409,0,AW$13),15-13*ORÇAMENTO!$AF$7)/$H409*OFFSET(ORÇAMENTO!$X$15,ROW(AW409)-ROW(AW$15),0),0)</f>
        <v>0</v>
      </c>
      <c r="AX409" s="632">
        <f ca="1">IF(AND($D409="Serviço",AX$12&lt;&gt;0,$H409&gt;0,OR(AUTOEVENTO&lt;&gt;"manual",$M409&lt;&gt;1)),ROUND(OFFSET($P409,0,AX$13),15-13*ORÇAMENTO!$AF$7)/$H409*OFFSET(ORÇAMENTO!$X$15,ROW(AX409)-ROW(AX$15),0),0)</f>
        <v>0</v>
      </c>
      <c r="AY409" s="632">
        <f ca="1">IF(AND($D409="Serviço",AY$12&lt;&gt;0,$H409&gt;0,OR(AUTOEVENTO&lt;&gt;"manual",$M409&lt;&gt;1)),ROUND(OFFSET($P409,0,AY$13),15-13*ORÇAMENTO!$AF$7)/$H409*OFFSET(ORÇAMENTO!$X$15,ROW(AY409)-ROW(AY$15),0),0)</f>
        <v>0</v>
      </c>
      <c r="AZ409" s="632">
        <f ca="1">IF(AND($D409="Serviço",AZ$12&lt;&gt;0,$H409&gt;0,OR(AUTOEVENTO&lt;&gt;"manual",$M409&lt;&gt;1)),ROUND(OFFSET($P409,0,AZ$13),15-13*ORÇAMENTO!$AF$7)/$H409*OFFSET(ORÇAMENTO!$X$15,ROW(AZ409)-ROW(AZ$15),0),0)</f>
        <v>0</v>
      </c>
      <c r="BA409" s="633">
        <f ca="1">IF(AND($D409="Serviço",BA$12&lt;&gt;0,$H409&gt;0,OR(AUTOEVENTO&lt;&gt;"manual",$M409&lt;&gt;1)),ROUND(OFFSET($P409,0,BA$13),15-13*ORÇAMENTO!$AF$7)/$H409*OFFSET(ORÇAMENTO!$X$15,ROW(BA409)-ROW(BA$15),0),0)</f>
        <v>0</v>
      </c>
      <c r="BC409" s="215">
        <f ca="1">IF($D409&lt;&gt;"Serviço",0,IF(AND(AUTOEVENTO="Manual",$M409=1),0,IF(OFFSET(CRONOPLE!$F$14,$M409,BC$13)="",10^12,OFFSET(CRONOPLE!$F$14,$M409,BC$13))))</f>
        <v>1000000000000</v>
      </c>
      <c r="BD409" s="215">
        <f ca="1">IF($D409&lt;&gt;"Serviço",0,IF(AND(AUTOEVENTO="Manual",$M409=1),0,IF(OFFSET(CRONOPLE!$F$14,$M409,BD$13)="",10^12,OFFSET(CRONOPLE!$F$14,$M409,BD$13))))</f>
        <v>1000000000000</v>
      </c>
      <c r="BE409" s="215">
        <f ca="1">IF($D409&lt;&gt;"Serviço",0,IF(AND(AUTOEVENTO="Manual",$M409=1),0,IF(OFFSET(CRONOPLE!$F$14,$M409,BE$13)="",10^12,OFFSET(CRONOPLE!$F$14,$M409,BE$13))))</f>
        <v>1000000000000</v>
      </c>
      <c r="BF409" s="215">
        <f ca="1">IF($D409&lt;&gt;"Serviço",0,IF(AND(AUTOEVENTO="Manual",$M409=1),0,IF(OFFSET(CRONOPLE!$F$14,$M409,BF$13)="",10^12,OFFSET(CRONOPLE!$F$14,$M409,BF$13))))</f>
        <v>1000000000000</v>
      </c>
      <c r="BG409" s="215">
        <f ca="1">IF($D409&lt;&gt;"Serviço",0,IF(AND(AUTOEVENTO="Manual",$M409=1),0,IF(OFFSET(CRONOPLE!$F$14,$M409,BG$13)="",10^12,OFFSET(CRONOPLE!$F$14,$M409,BG$13))))</f>
        <v>1000000000000</v>
      </c>
      <c r="BH409" s="215">
        <f ca="1">IF($D409&lt;&gt;"Serviço",0,IF(AND(AUTOEVENTO="Manual",$M409=1),0,IF(OFFSET(CRONOPLE!$F$14,$M409,BH$13)="",10^12,OFFSET(CRONOPLE!$F$14,$M409,BH$13))))</f>
        <v>1000000000000</v>
      </c>
      <c r="BI409" s="215">
        <f ca="1">IF($D409&lt;&gt;"Serviço",0,IF(AND(AUTOEVENTO="Manual",$M409=1),0,IF(OFFSET(CRONOPLE!$F$14,$M409,BI$13)="",10^12,OFFSET(CRONOPLE!$F$14,$M409,BI$13))))</f>
        <v>1000000000000</v>
      </c>
      <c r="BJ409" s="215">
        <f ca="1">IF($D409&lt;&gt;"Serviço",0,IF(AND(AUTOEVENTO="Manual",$M409=1),0,IF(OFFSET(CRONOPLE!$F$14,$M409,BJ$13)="",10^12,OFFSET(CRONOPLE!$F$14,$M409,BJ$13))))</f>
        <v>1000000000000</v>
      </c>
      <c r="BK409" s="215">
        <f ca="1">IF($D409&lt;&gt;"Serviço",0,IF(AND(AUTOEVENTO="Manual",$M409=1),0,IF(OFFSET(CRONOPLE!$F$14,$M409,BK$13)="",10^12,OFFSET(CRONOPLE!$F$14,$M409,BK$13))))</f>
        <v>1000000000000</v>
      </c>
      <c r="BL409" s="215">
        <f ca="1">IF($D409&lt;&gt;"Serviço",0,IF(AND(AUTOEVENTO="Manual",$M409=1),0,IF(OFFSET(CRONOPLE!$F$14,$M409,BL$13)="",10^12,OFFSET(CRONOPLE!$F$14,$M409,BL$13))))</f>
        <v>1000000000000</v>
      </c>
      <c r="BM409" s="215">
        <f ca="1">IF($D409&lt;&gt;"Serviço",0,IF(AND(AUTOEVENTO="Manual",$M409=1),0,IF(OFFSET(CRONOPLE!$F$14,$M409,BM$13)="",10^12,OFFSET(CRONOPLE!$F$14,$M409,BM$13))))</f>
        <v>1000000000000</v>
      </c>
      <c r="BN409" s="215">
        <f ca="1">IF($D409&lt;&gt;"Serviço",0,IF(AND(AUTOEVENTO="Manual",$M409=1),0,IF(OFFSET(CRONOPLE!$F$14,$M409,BN$13)="",10^12,OFFSET(CRONOPLE!$F$14,$M409,BN$13))))</f>
        <v>1000000000000</v>
      </c>
      <c r="BO409" s="215">
        <f ca="1">IF($D409&lt;&gt;"Serviço",0,IF(AND(AUTOEVENTO="Manual",$M409=1),0,IF(OFFSET(CRONOPLE!$F$14,$M409,BO$13)="",10^12,OFFSET(CRONOPLE!$F$14,$M409,BO$13))))</f>
        <v>1000000000000</v>
      </c>
      <c r="BP409" s="215">
        <f ca="1">IF($D409&lt;&gt;"Serviço",0,IF(AND(AUTOEVENTO="Manual",$M409=1),0,IF(OFFSET(CRONOPLE!$F$14,$M409,BP$13)="",10^12,OFFSET(CRONOPLE!$F$14,$M409,BP$13))))</f>
        <v>1000000000000</v>
      </c>
      <c r="BQ409" s="215">
        <f ca="1">IF($D409&lt;&gt;"Serviço",0,IF(AND(AUTOEVENTO="Manual",$M409=1),0,IF(OFFSET(CRONOPLE!$F$14,$M409,BQ$13)="",10^12,OFFSET(CRONOPLE!$F$14,$M409,BQ$13))))</f>
        <v>1000000000000</v>
      </c>
      <c r="BR409" s="215">
        <f ca="1">IF($D409&lt;&gt;"Serviço",0,IF(AND(AUTOEVENTO="Manual",$M409=1),0,IF(OFFSET(CRONOPLE!$F$14,$M409,BR$13)="",10^12,OFFSET(CRONOPLE!$F$14,$M409,BR$13))))</f>
        <v>1000000000000</v>
      </c>
      <c r="BS409" s="215">
        <f ca="1">IF($D409&lt;&gt;"Serviço",0,IF(AND(AUTOEVENTO="Manual",$M409=1),0,IF(OFFSET(CRONOPLE!$F$14,$M409,BS$13)="",10^12,OFFSET(CRONOPLE!$F$14,$M409,BS$13))))</f>
        <v>1000000000000</v>
      </c>
      <c r="BT409" s="215">
        <f ca="1">IF($D409&lt;&gt;"Serviço",0,IF(AND(AUTOEVENTO="Manual",$M409=1),0,IF(OFFSET(CRONOPLE!$F$14,$M409,BT$13)="",10^12,OFFSET(CRONOPLE!$F$14,$M409,BT$13))))</f>
        <v>1000000000000</v>
      </c>
      <c r="BV409" s="216">
        <f ca="1">IF($D409&lt;&gt;"Serviço",0,IF(OR(AND(AUTOEVENTO="Manual",$M409=1),$M409&gt;(ROW(PLE.lastrow)-ROW(PLE.firstrow))),0,IF(OFFSET(PLE!$G$14,$M409,BV$13)="",10^12,OFFSET(PLE!$G$14,$M409,BV$13))))</f>
        <v>1000000000000</v>
      </c>
      <c r="BW409" s="216">
        <f ca="1">IF($D409&lt;&gt;"Serviço",0,IF(OR(AND(AUTOEVENTO="Manual",$M409=1),$M409&gt;(ROW(PLE.lastrow)-ROW(PLE.firstrow))),0,IF(OFFSET(PLE!$G$14,$M409,BW$13)="",10^12,OFFSET(PLE!$G$14,$M409,BW$13))))</f>
        <v>1000000000000</v>
      </c>
      <c r="BX409" s="216">
        <f ca="1">IF($D409&lt;&gt;"Serviço",0,IF(OR(AND(AUTOEVENTO="Manual",$M409=1),$M409&gt;(ROW(PLE.lastrow)-ROW(PLE.firstrow))),0,IF(OFFSET(PLE!$G$14,$M409,BX$13)="",10^12,OFFSET(PLE!$G$14,$M409,BX$13))))</f>
        <v>1000000000000</v>
      </c>
      <c r="BY409" s="216">
        <f ca="1">IF($D409&lt;&gt;"Serviço",0,IF(OR(AND(AUTOEVENTO="Manual",$M409=1),$M409&gt;(ROW(PLE.lastrow)-ROW(PLE.firstrow))),0,IF(OFFSET(PLE!$G$14,$M409,BY$13)="",10^12,OFFSET(PLE!$G$14,$M409,BY$13))))</f>
        <v>1000000000000</v>
      </c>
      <c r="BZ409" s="216">
        <f ca="1">IF($D409&lt;&gt;"Serviço",0,IF(OR(AND(AUTOEVENTO="Manual",$M409=1),$M409&gt;(ROW(PLE.lastrow)-ROW(PLE.firstrow))),0,IF(OFFSET(PLE!$G$14,$M409,BZ$13)="",10^12,OFFSET(PLE!$G$14,$M409,BZ$13))))</f>
        <v>1000000000000</v>
      </c>
      <c r="CA409" s="216">
        <f ca="1">IF($D409&lt;&gt;"Serviço",0,IF(OR(AND(AUTOEVENTO="Manual",$M409=1),$M409&gt;(ROW(PLE.lastrow)-ROW(PLE.firstrow))),0,IF(OFFSET(PLE!$G$14,$M409,CA$13)="",10^12,OFFSET(PLE!$G$14,$M409,CA$13))))</f>
        <v>1000000000000</v>
      </c>
      <c r="CB409" s="216">
        <f ca="1">IF($D409&lt;&gt;"Serviço",0,IF(OR(AND(AUTOEVENTO="Manual",$M409=1),$M409&gt;(ROW(PLE.lastrow)-ROW(PLE.firstrow))),0,IF(OFFSET(PLE!$G$14,$M409,CB$13)="",10^12,OFFSET(PLE!$G$14,$M409,CB$13))))</f>
        <v>1000000000000</v>
      </c>
      <c r="CC409" s="216">
        <f ca="1">IF($D409&lt;&gt;"Serviço",0,IF(OR(AND(AUTOEVENTO="Manual",$M409=1),$M409&gt;(ROW(PLE.lastrow)-ROW(PLE.firstrow))),0,IF(OFFSET(PLE!$G$14,$M409,CC$13)="",10^12,OFFSET(PLE!$G$14,$M409,CC$13))))</f>
        <v>1000000000000</v>
      </c>
      <c r="CD409" s="216">
        <f ca="1">IF($D409&lt;&gt;"Serviço",0,IF(OR(AND(AUTOEVENTO="Manual",$M409=1),$M409&gt;(ROW(PLE.lastrow)-ROW(PLE.firstrow))),0,IF(OFFSET(PLE!$G$14,$M409,CD$13)="",10^12,OFFSET(PLE!$G$14,$M409,CD$13))))</f>
        <v>1000000000000</v>
      </c>
      <c r="CE409" s="216">
        <f ca="1">IF($D409&lt;&gt;"Serviço",0,IF(OR(AND(AUTOEVENTO="Manual",$M409=1),$M409&gt;(ROW(PLE.lastrow)-ROW(PLE.firstrow))),0,IF(OFFSET(PLE!$G$14,$M409,CE$13)="",10^12,OFFSET(PLE!$G$14,$M409,CE$13))))</f>
        <v>1000000000000</v>
      </c>
      <c r="CF409" s="216">
        <f ca="1">IF($D409&lt;&gt;"Serviço",0,IF(OR(AND(AUTOEVENTO="Manual",$M409=1),$M409&gt;(ROW(PLE.lastrow)-ROW(PLE.firstrow))),0,IF(OFFSET(PLE!$G$14,$M409,CF$13)="",10^12,OFFSET(PLE!$G$14,$M409,CF$13))))</f>
        <v>1000000000000</v>
      </c>
      <c r="CG409" s="216">
        <f ca="1">IF($D409&lt;&gt;"Serviço",0,IF(OR(AND(AUTOEVENTO="Manual",$M409=1),$M409&gt;(ROW(PLE.lastrow)-ROW(PLE.firstrow))),0,IF(OFFSET(PLE!$G$14,$M409,CG$13)="",10^12,OFFSET(PLE!$G$14,$M409,CG$13))))</f>
        <v>1000000000000</v>
      </c>
      <c r="CH409" s="216">
        <f ca="1">IF($D409&lt;&gt;"Serviço",0,IF(OR(AND(AUTOEVENTO="Manual",$M409=1),$M409&gt;(ROW(PLE.lastrow)-ROW(PLE.firstrow))),0,IF(OFFSET(PLE!$G$14,$M409,CH$13)="",10^12,OFFSET(PLE!$G$14,$M409,CH$13))))</f>
        <v>1000000000000</v>
      </c>
      <c r="CI409" s="216">
        <f ca="1">IF($D409&lt;&gt;"Serviço",0,IF(OR(AND(AUTOEVENTO="Manual",$M409=1),$M409&gt;(ROW(PLE.lastrow)-ROW(PLE.firstrow))),0,IF(OFFSET(PLE!$G$14,$M409,CI$13)="",10^12,OFFSET(PLE!$G$14,$M409,CI$13))))</f>
        <v>1000000000000</v>
      </c>
      <c r="CJ409" s="216">
        <f ca="1">IF($D409&lt;&gt;"Serviço",0,IF(OR(AND(AUTOEVENTO="Manual",$M409=1),$M409&gt;(ROW(PLE.lastrow)-ROW(PLE.firstrow))),0,IF(OFFSET(PLE!$G$14,$M409,CJ$13)="",10^12,OFFSET(PLE!$G$14,$M409,CJ$13))))</f>
        <v>1000000000000</v>
      </c>
      <c r="CK409" s="216">
        <f ca="1">IF($D409&lt;&gt;"Serviço",0,IF(OR(AND(AUTOEVENTO="Manual",$M409=1),$M409&gt;(ROW(PLE.lastrow)-ROW(PLE.firstrow))),0,IF(OFFSET(PLE!$G$14,$M409,CK$13)="",10^12,OFFSET(PLE!$G$14,$M409,CK$13))))</f>
        <v>1000000000000</v>
      </c>
      <c r="CL409" s="216">
        <f ca="1">IF($D409&lt;&gt;"Serviço",0,IF(OR(AND(AUTOEVENTO="Manual",$M409=1),$M409&gt;(ROW(PLE.lastrow)-ROW(PLE.firstrow))),0,IF(OFFSET(PLE!$G$14,$M409,CL$13)="",10^12,OFFSET(PLE!$G$14,$M409,CL$13))))</f>
        <v>1000000000000</v>
      </c>
      <c r="CM409" s="216">
        <f ca="1">IF($D409&lt;&gt;"Serviço",0,IF(OR(AND(AUTOEVENTO="Manual",$M409=1),$M409&gt;(ROW(PLE.lastrow)-ROW(PLE.firstrow))),0,IF(OFFSET(PLE!$G$14,$M409,CM$13)="",10^12,OFFSET(PLE!$G$14,$M409,CM$13))))</f>
        <v>1000000000000</v>
      </c>
    </row>
    <row r="410" spans="1:91" ht="13.2" x14ac:dyDescent="0.25">
      <c r="A410" s="9">
        <f t="shared" ca="1" si="15"/>
        <v>0</v>
      </c>
      <c r="B410" s="9" t="str">
        <f ca="1">OFFSET(ORÇAMENTO!C$15,ROW(B410)-ROW(B$15),0)</f>
        <v>S</v>
      </c>
      <c r="C410" s="9" t="str">
        <f ca="1">OFFSET(ORÇAMENTO!L$15,ROW(C410)-ROW(C$15),0)</f>
        <v/>
      </c>
      <c r="D410" s="145" t="str">
        <f ca="1">OFFSET(ORÇAMENTO!N$15,ROW(D410)-ROW(D$15),0)</f>
        <v>Serviço</v>
      </c>
      <c r="E410" s="205" t="str">
        <f ca="1">OFFSET(ORÇAMENTO!O$15,ROW(E410)-ROW(E$15),0)</f>
        <v>-</v>
      </c>
      <c r="F410" s="206" t="str">
        <f ca="1">OFFSET(ORÇAMENTO!R$15,ROW(F410)-ROW(F$15),0)</f>
        <v>(abra o arquivo 'Referência 05-2024.xls)</v>
      </c>
      <c r="G410" s="207" t="str">
        <f ca="1">IF($D410&lt;&gt;"Serviço","",OFFSET(ORÇAMENTO!S$15,ROW(G410)-ROW(G$15),0))</f>
        <v>-</v>
      </c>
      <c r="H410" s="151">
        <f ca="1">IF($D410&lt;&gt;"Serviço",0,IF(ACOMPANHAMENTO="BM",ROUND(OFFSET(ORÇAMENTO!AJ$15,ROW(H410)-ROW(H$15),0),15-13*ORÇAMENTO!$AF$7),SUMPRODUCT(($Q$12:$AI$12&lt;&gt;"")*ROUND($Q410:$AI410,15-13*ORÇAMENTO!$AF$7))))</f>
        <v>2</v>
      </c>
      <c r="I410" s="650"/>
      <c r="K410" s="208"/>
      <c r="L410" s="209" t="s">
        <v>257</v>
      </c>
      <c r="M410" s="210">
        <f ca="1">IF($D410&lt;&gt;"Serviço","",IF(AUTOEVENTO="manual",$A410,IF(ISERROR(MATCH($A410,$A$15:OFFSET($A410,-1,0),0)),MAX($M$15:OFFSET(M410,-1,0))+1,INDEX($M$15:OFFSET(M410,-1,0),MATCH($A410,$A$15:OFFSET($A410,-1,0),0)))))</f>
        <v>0</v>
      </c>
      <c r="N410" s="211" t="str">
        <f ca="1">IF($D410&lt;&gt;"Serviço","",IF(AUTOEVENTO="Manual",IF($A410=0,"&lt;-- defina o número do agrupador",OFFSET(EVENTOS!$D$14,$A410,0)),OFFSET($F$15,$A410,0)))</f>
        <v>&lt;-- defina o número do agrupador</v>
      </c>
      <c r="O410" s="212"/>
      <c r="Q410" s="212"/>
      <c r="R410" s="213"/>
      <c r="S410" s="213"/>
      <c r="T410" s="213"/>
      <c r="U410" s="213"/>
      <c r="V410" s="213"/>
      <c r="W410" s="213"/>
      <c r="X410" s="213"/>
      <c r="Y410" s="213"/>
      <c r="Z410" s="214"/>
      <c r="AA410" s="213"/>
      <c r="AB410" s="213"/>
      <c r="AC410" s="213"/>
      <c r="AD410" s="213"/>
      <c r="AE410" s="213"/>
      <c r="AF410" s="213"/>
      <c r="AG410" s="213"/>
      <c r="AH410" s="214"/>
      <c r="AJ410" s="631">
        <f ca="1">IF(AND($D410="Serviço",AJ$12&lt;&gt;0,$H410&gt;0,OR(AUTOEVENTO&lt;&gt;"manual",$M410&lt;&gt;1)),ROUND(OFFSET($P410,0,AJ$13),15-13*ORÇAMENTO!$AF$7)/$H410*OFFSET(ORÇAMENTO!$X$15,ROW(AJ410)-ROW(AJ$15),0),0)</f>
        <v>0</v>
      </c>
      <c r="AK410" s="632">
        <f ca="1">IF(AND($D410="Serviço",AK$12&lt;&gt;0,$H410&gt;0,OR(AUTOEVENTO&lt;&gt;"manual",$M410&lt;&gt;1)),ROUND(OFFSET($P410,0,AK$13),15-13*ORÇAMENTO!$AF$7)/$H410*OFFSET(ORÇAMENTO!$X$15,ROW(AK410)-ROW(AK$15),0),0)</f>
        <v>0</v>
      </c>
      <c r="AL410" s="632">
        <f ca="1">IF(AND($D410="Serviço",AL$12&lt;&gt;0,$H410&gt;0,OR(AUTOEVENTO&lt;&gt;"manual",$M410&lt;&gt;1)),ROUND(OFFSET($P410,0,AL$13),15-13*ORÇAMENTO!$AF$7)/$H410*OFFSET(ORÇAMENTO!$X$15,ROW(AL410)-ROW(AL$15),0),0)</f>
        <v>0</v>
      </c>
      <c r="AM410" s="632">
        <f ca="1">IF(AND($D410="Serviço",AM$12&lt;&gt;0,$H410&gt;0,OR(AUTOEVENTO&lt;&gt;"manual",$M410&lt;&gt;1)),ROUND(OFFSET($P410,0,AM$13),15-13*ORÇAMENTO!$AF$7)/$H410*OFFSET(ORÇAMENTO!$X$15,ROW(AM410)-ROW(AM$15),0),0)</f>
        <v>0</v>
      </c>
      <c r="AN410" s="632">
        <f ca="1">IF(AND($D410="Serviço",AN$12&lt;&gt;0,$H410&gt;0,OR(AUTOEVENTO&lt;&gt;"manual",$M410&lt;&gt;1)),ROUND(OFFSET($P410,0,AN$13),15-13*ORÇAMENTO!$AF$7)/$H410*OFFSET(ORÇAMENTO!$X$15,ROW(AN410)-ROW(AN$15),0),0)</f>
        <v>0</v>
      </c>
      <c r="AO410" s="632">
        <f ca="1">IF(AND($D410="Serviço",AO$12&lt;&gt;0,$H410&gt;0,OR(AUTOEVENTO&lt;&gt;"manual",$M410&lt;&gt;1)),ROUND(OFFSET($P410,0,AO$13),15-13*ORÇAMENTO!$AF$7)/$H410*OFFSET(ORÇAMENTO!$X$15,ROW(AO410)-ROW(AO$15),0),0)</f>
        <v>0</v>
      </c>
      <c r="AP410" s="632">
        <f ca="1">IF(AND($D410="Serviço",AP$12&lt;&gt;0,$H410&gt;0,OR(AUTOEVENTO&lt;&gt;"manual",$M410&lt;&gt;1)),ROUND(OFFSET($P410,0,AP$13),15-13*ORÇAMENTO!$AF$7)/$H410*OFFSET(ORÇAMENTO!$X$15,ROW(AP410)-ROW(AP$15),0),0)</f>
        <v>0</v>
      </c>
      <c r="AQ410" s="632">
        <f ca="1">IF(AND($D410="Serviço",AQ$12&lt;&gt;0,$H410&gt;0,OR(AUTOEVENTO&lt;&gt;"manual",$M410&lt;&gt;1)),ROUND(OFFSET($P410,0,AQ$13),15-13*ORÇAMENTO!$AF$7)/$H410*OFFSET(ORÇAMENTO!$X$15,ROW(AQ410)-ROW(AQ$15),0),0)</f>
        <v>0</v>
      </c>
      <c r="AR410" s="632">
        <f ca="1">IF(AND($D410="Serviço",AR$12&lt;&gt;0,$H410&gt;0,OR(AUTOEVENTO&lt;&gt;"manual",$M410&lt;&gt;1)),ROUND(OFFSET($P410,0,AR$13),15-13*ORÇAMENTO!$AF$7)/$H410*OFFSET(ORÇAMENTO!$X$15,ROW(AR410)-ROW(AR$15),0),0)</f>
        <v>0</v>
      </c>
      <c r="AS410" s="633">
        <f ca="1">IF(AND($D410="Serviço",AS$12&lt;&gt;0,$H410&gt;0,OR(AUTOEVENTO&lt;&gt;"manual",$M410&lt;&gt;1)),ROUND(OFFSET($P410,0,AS$13),15-13*ORÇAMENTO!$AF$7)/$H410*OFFSET(ORÇAMENTO!$X$15,ROW(AS410)-ROW(AS$15),0),0)</f>
        <v>0</v>
      </c>
      <c r="AT410" s="632">
        <f ca="1">IF(AND($D410="Serviço",AT$12&lt;&gt;0,$H410&gt;0,OR(AUTOEVENTO&lt;&gt;"manual",$M410&lt;&gt;1)),ROUND(OFFSET($P410,0,AT$13),15-13*ORÇAMENTO!$AF$7)/$H410*OFFSET(ORÇAMENTO!$X$15,ROW(AT410)-ROW(AT$15),0),0)</f>
        <v>0</v>
      </c>
      <c r="AU410" s="632">
        <f ca="1">IF(AND($D410="Serviço",AU$12&lt;&gt;0,$H410&gt;0,OR(AUTOEVENTO&lt;&gt;"manual",$M410&lt;&gt;1)),ROUND(OFFSET($P410,0,AU$13),15-13*ORÇAMENTO!$AF$7)/$H410*OFFSET(ORÇAMENTO!$X$15,ROW(AU410)-ROW(AU$15),0),0)</f>
        <v>0</v>
      </c>
      <c r="AV410" s="632">
        <f ca="1">IF(AND($D410="Serviço",AV$12&lt;&gt;0,$H410&gt;0,OR(AUTOEVENTO&lt;&gt;"manual",$M410&lt;&gt;1)),ROUND(OFFSET($P410,0,AV$13),15-13*ORÇAMENTO!$AF$7)/$H410*OFFSET(ORÇAMENTO!$X$15,ROW(AV410)-ROW(AV$15),0),0)</f>
        <v>0</v>
      </c>
      <c r="AW410" s="632">
        <f ca="1">IF(AND($D410="Serviço",AW$12&lt;&gt;0,$H410&gt;0,OR(AUTOEVENTO&lt;&gt;"manual",$M410&lt;&gt;1)),ROUND(OFFSET($P410,0,AW$13),15-13*ORÇAMENTO!$AF$7)/$H410*OFFSET(ORÇAMENTO!$X$15,ROW(AW410)-ROW(AW$15),0),0)</f>
        <v>0</v>
      </c>
      <c r="AX410" s="632">
        <f ca="1">IF(AND($D410="Serviço",AX$12&lt;&gt;0,$H410&gt;0,OR(AUTOEVENTO&lt;&gt;"manual",$M410&lt;&gt;1)),ROUND(OFFSET($P410,0,AX$13),15-13*ORÇAMENTO!$AF$7)/$H410*OFFSET(ORÇAMENTO!$X$15,ROW(AX410)-ROW(AX$15),0),0)</f>
        <v>0</v>
      </c>
      <c r="AY410" s="632">
        <f ca="1">IF(AND($D410="Serviço",AY$12&lt;&gt;0,$H410&gt;0,OR(AUTOEVENTO&lt;&gt;"manual",$M410&lt;&gt;1)),ROUND(OFFSET($P410,0,AY$13),15-13*ORÇAMENTO!$AF$7)/$H410*OFFSET(ORÇAMENTO!$X$15,ROW(AY410)-ROW(AY$15),0),0)</f>
        <v>0</v>
      </c>
      <c r="AZ410" s="632">
        <f ca="1">IF(AND($D410="Serviço",AZ$12&lt;&gt;0,$H410&gt;0,OR(AUTOEVENTO&lt;&gt;"manual",$M410&lt;&gt;1)),ROUND(OFFSET($P410,0,AZ$13),15-13*ORÇAMENTO!$AF$7)/$H410*OFFSET(ORÇAMENTO!$X$15,ROW(AZ410)-ROW(AZ$15),0),0)</f>
        <v>0</v>
      </c>
      <c r="BA410" s="633">
        <f ca="1">IF(AND($D410="Serviço",BA$12&lt;&gt;0,$H410&gt;0,OR(AUTOEVENTO&lt;&gt;"manual",$M410&lt;&gt;1)),ROUND(OFFSET($P410,0,BA$13),15-13*ORÇAMENTO!$AF$7)/$H410*OFFSET(ORÇAMENTO!$X$15,ROW(BA410)-ROW(BA$15),0),0)</f>
        <v>0</v>
      </c>
      <c r="BC410" s="215">
        <f ca="1">IF($D410&lt;&gt;"Serviço",0,IF(AND(AUTOEVENTO="Manual",$M410=1),0,IF(OFFSET(CRONOPLE!$F$14,$M410,BC$13)="",10^12,OFFSET(CRONOPLE!$F$14,$M410,BC$13))))</f>
        <v>1000000000000</v>
      </c>
      <c r="BD410" s="215">
        <f ca="1">IF($D410&lt;&gt;"Serviço",0,IF(AND(AUTOEVENTO="Manual",$M410=1),0,IF(OFFSET(CRONOPLE!$F$14,$M410,BD$13)="",10^12,OFFSET(CRONOPLE!$F$14,$M410,BD$13))))</f>
        <v>1000000000000</v>
      </c>
      <c r="BE410" s="215">
        <f ca="1">IF($D410&lt;&gt;"Serviço",0,IF(AND(AUTOEVENTO="Manual",$M410=1),0,IF(OFFSET(CRONOPLE!$F$14,$M410,BE$13)="",10^12,OFFSET(CRONOPLE!$F$14,$M410,BE$13))))</f>
        <v>1000000000000</v>
      </c>
      <c r="BF410" s="215">
        <f ca="1">IF($D410&lt;&gt;"Serviço",0,IF(AND(AUTOEVENTO="Manual",$M410=1),0,IF(OFFSET(CRONOPLE!$F$14,$M410,BF$13)="",10^12,OFFSET(CRONOPLE!$F$14,$M410,BF$13))))</f>
        <v>1000000000000</v>
      </c>
      <c r="BG410" s="215">
        <f ca="1">IF($D410&lt;&gt;"Serviço",0,IF(AND(AUTOEVENTO="Manual",$M410=1),0,IF(OFFSET(CRONOPLE!$F$14,$M410,BG$13)="",10^12,OFFSET(CRONOPLE!$F$14,$M410,BG$13))))</f>
        <v>1000000000000</v>
      </c>
      <c r="BH410" s="215">
        <f ca="1">IF($D410&lt;&gt;"Serviço",0,IF(AND(AUTOEVENTO="Manual",$M410=1),0,IF(OFFSET(CRONOPLE!$F$14,$M410,BH$13)="",10^12,OFFSET(CRONOPLE!$F$14,$M410,BH$13))))</f>
        <v>1000000000000</v>
      </c>
      <c r="BI410" s="215">
        <f ca="1">IF($D410&lt;&gt;"Serviço",0,IF(AND(AUTOEVENTO="Manual",$M410=1),0,IF(OFFSET(CRONOPLE!$F$14,$M410,BI$13)="",10^12,OFFSET(CRONOPLE!$F$14,$M410,BI$13))))</f>
        <v>1000000000000</v>
      </c>
      <c r="BJ410" s="215">
        <f ca="1">IF($D410&lt;&gt;"Serviço",0,IF(AND(AUTOEVENTO="Manual",$M410=1),0,IF(OFFSET(CRONOPLE!$F$14,$M410,BJ$13)="",10^12,OFFSET(CRONOPLE!$F$14,$M410,BJ$13))))</f>
        <v>1000000000000</v>
      </c>
      <c r="BK410" s="215">
        <f ca="1">IF($D410&lt;&gt;"Serviço",0,IF(AND(AUTOEVENTO="Manual",$M410=1),0,IF(OFFSET(CRONOPLE!$F$14,$M410,BK$13)="",10^12,OFFSET(CRONOPLE!$F$14,$M410,BK$13))))</f>
        <v>1000000000000</v>
      </c>
      <c r="BL410" s="215">
        <f ca="1">IF($D410&lt;&gt;"Serviço",0,IF(AND(AUTOEVENTO="Manual",$M410=1),0,IF(OFFSET(CRONOPLE!$F$14,$M410,BL$13)="",10^12,OFFSET(CRONOPLE!$F$14,$M410,BL$13))))</f>
        <v>1000000000000</v>
      </c>
      <c r="BM410" s="215">
        <f ca="1">IF($D410&lt;&gt;"Serviço",0,IF(AND(AUTOEVENTO="Manual",$M410=1),0,IF(OFFSET(CRONOPLE!$F$14,$M410,BM$13)="",10^12,OFFSET(CRONOPLE!$F$14,$M410,BM$13))))</f>
        <v>1000000000000</v>
      </c>
      <c r="BN410" s="215">
        <f ca="1">IF($D410&lt;&gt;"Serviço",0,IF(AND(AUTOEVENTO="Manual",$M410=1),0,IF(OFFSET(CRONOPLE!$F$14,$M410,BN$13)="",10^12,OFFSET(CRONOPLE!$F$14,$M410,BN$13))))</f>
        <v>1000000000000</v>
      </c>
      <c r="BO410" s="215">
        <f ca="1">IF($D410&lt;&gt;"Serviço",0,IF(AND(AUTOEVENTO="Manual",$M410=1),0,IF(OFFSET(CRONOPLE!$F$14,$M410,BO$13)="",10^12,OFFSET(CRONOPLE!$F$14,$M410,BO$13))))</f>
        <v>1000000000000</v>
      </c>
      <c r="BP410" s="215">
        <f ca="1">IF($D410&lt;&gt;"Serviço",0,IF(AND(AUTOEVENTO="Manual",$M410=1),0,IF(OFFSET(CRONOPLE!$F$14,$M410,BP$13)="",10^12,OFFSET(CRONOPLE!$F$14,$M410,BP$13))))</f>
        <v>1000000000000</v>
      </c>
      <c r="BQ410" s="215">
        <f ca="1">IF($D410&lt;&gt;"Serviço",0,IF(AND(AUTOEVENTO="Manual",$M410=1),0,IF(OFFSET(CRONOPLE!$F$14,$M410,BQ$13)="",10^12,OFFSET(CRONOPLE!$F$14,$M410,BQ$13))))</f>
        <v>1000000000000</v>
      </c>
      <c r="BR410" s="215">
        <f ca="1">IF($D410&lt;&gt;"Serviço",0,IF(AND(AUTOEVENTO="Manual",$M410=1),0,IF(OFFSET(CRONOPLE!$F$14,$M410,BR$13)="",10^12,OFFSET(CRONOPLE!$F$14,$M410,BR$13))))</f>
        <v>1000000000000</v>
      </c>
      <c r="BS410" s="215">
        <f ca="1">IF($D410&lt;&gt;"Serviço",0,IF(AND(AUTOEVENTO="Manual",$M410=1),0,IF(OFFSET(CRONOPLE!$F$14,$M410,BS$13)="",10^12,OFFSET(CRONOPLE!$F$14,$M410,BS$13))))</f>
        <v>1000000000000</v>
      </c>
      <c r="BT410" s="215">
        <f ca="1">IF($D410&lt;&gt;"Serviço",0,IF(AND(AUTOEVENTO="Manual",$M410=1),0,IF(OFFSET(CRONOPLE!$F$14,$M410,BT$13)="",10^12,OFFSET(CRONOPLE!$F$14,$M410,BT$13))))</f>
        <v>1000000000000</v>
      </c>
      <c r="BV410" s="216">
        <f ca="1">IF($D410&lt;&gt;"Serviço",0,IF(OR(AND(AUTOEVENTO="Manual",$M410=1),$M410&gt;(ROW(PLE.lastrow)-ROW(PLE.firstrow))),0,IF(OFFSET(PLE!$G$14,$M410,BV$13)="",10^12,OFFSET(PLE!$G$14,$M410,BV$13))))</f>
        <v>1000000000000</v>
      </c>
      <c r="BW410" s="216">
        <f ca="1">IF($D410&lt;&gt;"Serviço",0,IF(OR(AND(AUTOEVENTO="Manual",$M410=1),$M410&gt;(ROW(PLE.lastrow)-ROW(PLE.firstrow))),0,IF(OFFSET(PLE!$G$14,$M410,BW$13)="",10^12,OFFSET(PLE!$G$14,$M410,BW$13))))</f>
        <v>1000000000000</v>
      </c>
      <c r="BX410" s="216">
        <f ca="1">IF($D410&lt;&gt;"Serviço",0,IF(OR(AND(AUTOEVENTO="Manual",$M410=1),$M410&gt;(ROW(PLE.lastrow)-ROW(PLE.firstrow))),0,IF(OFFSET(PLE!$G$14,$M410,BX$13)="",10^12,OFFSET(PLE!$G$14,$M410,BX$13))))</f>
        <v>1000000000000</v>
      </c>
      <c r="BY410" s="216">
        <f ca="1">IF($D410&lt;&gt;"Serviço",0,IF(OR(AND(AUTOEVENTO="Manual",$M410=1),$M410&gt;(ROW(PLE.lastrow)-ROW(PLE.firstrow))),0,IF(OFFSET(PLE!$G$14,$M410,BY$13)="",10^12,OFFSET(PLE!$G$14,$M410,BY$13))))</f>
        <v>1000000000000</v>
      </c>
      <c r="BZ410" s="216">
        <f ca="1">IF($D410&lt;&gt;"Serviço",0,IF(OR(AND(AUTOEVENTO="Manual",$M410=1),$M410&gt;(ROW(PLE.lastrow)-ROW(PLE.firstrow))),0,IF(OFFSET(PLE!$G$14,$M410,BZ$13)="",10^12,OFFSET(PLE!$G$14,$M410,BZ$13))))</f>
        <v>1000000000000</v>
      </c>
      <c r="CA410" s="216">
        <f ca="1">IF($D410&lt;&gt;"Serviço",0,IF(OR(AND(AUTOEVENTO="Manual",$M410=1),$M410&gt;(ROW(PLE.lastrow)-ROW(PLE.firstrow))),0,IF(OFFSET(PLE!$G$14,$M410,CA$13)="",10^12,OFFSET(PLE!$G$14,$M410,CA$13))))</f>
        <v>1000000000000</v>
      </c>
      <c r="CB410" s="216">
        <f ca="1">IF($D410&lt;&gt;"Serviço",0,IF(OR(AND(AUTOEVENTO="Manual",$M410=1),$M410&gt;(ROW(PLE.lastrow)-ROW(PLE.firstrow))),0,IF(OFFSET(PLE!$G$14,$M410,CB$13)="",10^12,OFFSET(PLE!$G$14,$M410,CB$13))))</f>
        <v>1000000000000</v>
      </c>
      <c r="CC410" s="216">
        <f ca="1">IF($D410&lt;&gt;"Serviço",0,IF(OR(AND(AUTOEVENTO="Manual",$M410=1),$M410&gt;(ROW(PLE.lastrow)-ROW(PLE.firstrow))),0,IF(OFFSET(PLE!$G$14,$M410,CC$13)="",10^12,OFFSET(PLE!$G$14,$M410,CC$13))))</f>
        <v>1000000000000</v>
      </c>
      <c r="CD410" s="216">
        <f ca="1">IF($D410&lt;&gt;"Serviço",0,IF(OR(AND(AUTOEVENTO="Manual",$M410=1),$M410&gt;(ROW(PLE.lastrow)-ROW(PLE.firstrow))),0,IF(OFFSET(PLE!$G$14,$M410,CD$13)="",10^12,OFFSET(PLE!$G$14,$M410,CD$13))))</f>
        <v>1000000000000</v>
      </c>
      <c r="CE410" s="216">
        <f ca="1">IF($D410&lt;&gt;"Serviço",0,IF(OR(AND(AUTOEVENTO="Manual",$M410=1),$M410&gt;(ROW(PLE.lastrow)-ROW(PLE.firstrow))),0,IF(OFFSET(PLE!$G$14,$M410,CE$13)="",10^12,OFFSET(PLE!$G$14,$M410,CE$13))))</f>
        <v>1000000000000</v>
      </c>
      <c r="CF410" s="216">
        <f ca="1">IF($D410&lt;&gt;"Serviço",0,IF(OR(AND(AUTOEVENTO="Manual",$M410=1),$M410&gt;(ROW(PLE.lastrow)-ROW(PLE.firstrow))),0,IF(OFFSET(PLE!$G$14,$M410,CF$13)="",10^12,OFFSET(PLE!$G$14,$M410,CF$13))))</f>
        <v>1000000000000</v>
      </c>
      <c r="CG410" s="216">
        <f ca="1">IF($D410&lt;&gt;"Serviço",0,IF(OR(AND(AUTOEVENTO="Manual",$M410=1),$M410&gt;(ROW(PLE.lastrow)-ROW(PLE.firstrow))),0,IF(OFFSET(PLE!$G$14,$M410,CG$13)="",10^12,OFFSET(PLE!$G$14,$M410,CG$13))))</f>
        <v>1000000000000</v>
      </c>
      <c r="CH410" s="216">
        <f ca="1">IF($D410&lt;&gt;"Serviço",0,IF(OR(AND(AUTOEVENTO="Manual",$M410=1),$M410&gt;(ROW(PLE.lastrow)-ROW(PLE.firstrow))),0,IF(OFFSET(PLE!$G$14,$M410,CH$13)="",10^12,OFFSET(PLE!$G$14,$M410,CH$13))))</f>
        <v>1000000000000</v>
      </c>
      <c r="CI410" s="216">
        <f ca="1">IF($D410&lt;&gt;"Serviço",0,IF(OR(AND(AUTOEVENTO="Manual",$M410=1),$M410&gt;(ROW(PLE.lastrow)-ROW(PLE.firstrow))),0,IF(OFFSET(PLE!$G$14,$M410,CI$13)="",10^12,OFFSET(PLE!$G$14,$M410,CI$13))))</f>
        <v>1000000000000</v>
      </c>
      <c r="CJ410" s="216">
        <f ca="1">IF($D410&lt;&gt;"Serviço",0,IF(OR(AND(AUTOEVENTO="Manual",$M410=1),$M410&gt;(ROW(PLE.lastrow)-ROW(PLE.firstrow))),0,IF(OFFSET(PLE!$G$14,$M410,CJ$13)="",10^12,OFFSET(PLE!$G$14,$M410,CJ$13))))</f>
        <v>1000000000000</v>
      </c>
      <c r="CK410" s="216">
        <f ca="1">IF($D410&lt;&gt;"Serviço",0,IF(OR(AND(AUTOEVENTO="Manual",$M410=1),$M410&gt;(ROW(PLE.lastrow)-ROW(PLE.firstrow))),0,IF(OFFSET(PLE!$G$14,$M410,CK$13)="",10^12,OFFSET(PLE!$G$14,$M410,CK$13))))</f>
        <v>1000000000000</v>
      </c>
      <c r="CL410" s="216">
        <f ca="1">IF($D410&lt;&gt;"Serviço",0,IF(OR(AND(AUTOEVENTO="Manual",$M410=1),$M410&gt;(ROW(PLE.lastrow)-ROW(PLE.firstrow))),0,IF(OFFSET(PLE!$G$14,$M410,CL$13)="",10^12,OFFSET(PLE!$G$14,$M410,CL$13))))</f>
        <v>1000000000000</v>
      </c>
      <c r="CM410" s="216">
        <f ca="1">IF($D410&lt;&gt;"Serviço",0,IF(OR(AND(AUTOEVENTO="Manual",$M410=1),$M410&gt;(ROW(PLE.lastrow)-ROW(PLE.firstrow))),0,IF(OFFSET(PLE!$G$14,$M410,CM$13)="",10^12,OFFSET(PLE!$G$14,$M410,CM$13))))</f>
        <v>1000000000000</v>
      </c>
    </row>
    <row r="411" spans="1:91" ht="13.2" x14ac:dyDescent="0.25">
      <c r="A411" s="9">
        <f t="shared" ca="1" si="15"/>
        <v>0</v>
      </c>
      <c r="B411" s="9" t="str">
        <f ca="1">OFFSET(ORÇAMENTO!C$15,ROW(B411)-ROW(B$15),0)</f>
        <v>S</v>
      </c>
      <c r="C411" s="9" t="str">
        <f ca="1">OFFSET(ORÇAMENTO!L$15,ROW(C411)-ROW(C$15),0)</f>
        <v/>
      </c>
      <c r="D411" s="145" t="str">
        <f ca="1">OFFSET(ORÇAMENTO!N$15,ROW(D411)-ROW(D$15),0)</f>
        <v>Serviço</v>
      </c>
      <c r="E411" s="205" t="str">
        <f ca="1">OFFSET(ORÇAMENTO!O$15,ROW(E411)-ROW(E$15),0)</f>
        <v>-</v>
      </c>
      <c r="F411" s="206" t="str">
        <f ca="1">OFFSET(ORÇAMENTO!R$15,ROW(F411)-ROW(F$15),0)</f>
        <v>(abra o arquivo 'Referência 05-2024.xls)</v>
      </c>
      <c r="G411" s="207" t="str">
        <f ca="1">IF($D411&lt;&gt;"Serviço","",OFFSET(ORÇAMENTO!S$15,ROW(G411)-ROW(G$15),0))</f>
        <v>-</v>
      </c>
      <c r="H411" s="151">
        <f ca="1">IF($D411&lt;&gt;"Serviço",0,IF(ACOMPANHAMENTO="BM",ROUND(OFFSET(ORÇAMENTO!AJ$15,ROW(H411)-ROW(H$15),0),15-13*ORÇAMENTO!$AF$7),SUMPRODUCT(($Q$12:$AI$12&lt;&gt;"")*ROUND($Q411:$AI411,15-13*ORÇAMENTO!$AF$7))))</f>
        <v>2</v>
      </c>
      <c r="I411" s="650"/>
      <c r="K411" s="208"/>
      <c r="L411" s="209" t="s">
        <v>257</v>
      </c>
      <c r="M411" s="210">
        <f ca="1">IF($D411&lt;&gt;"Serviço","",IF(AUTOEVENTO="manual",$A411,IF(ISERROR(MATCH($A411,$A$15:OFFSET($A411,-1,0),0)),MAX($M$15:OFFSET(M411,-1,0))+1,INDEX($M$15:OFFSET(M411,-1,0),MATCH($A411,$A$15:OFFSET($A411,-1,0),0)))))</f>
        <v>0</v>
      </c>
      <c r="N411" s="211" t="str">
        <f ca="1">IF($D411&lt;&gt;"Serviço","",IF(AUTOEVENTO="Manual",IF($A411=0,"&lt;-- defina o número do agrupador",OFFSET(EVENTOS!$D$14,$A411,0)),OFFSET($F$15,$A411,0)))</f>
        <v>&lt;-- defina o número do agrupador</v>
      </c>
      <c r="O411" s="212"/>
      <c r="Q411" s="212"/>
      <c r="R411" s="213"/>
      <c r="S411" s="213"/>
      <c r="T411" s="213"/>
      <c r="U411" s="213"/>
      <c r="V411" s="213"/>
      <c r="W411" s="213"/>
      <c r="X411" s="213"/>
      <c r="Y411" s="213"/>
      <c r="Z411" s="214"/>
      <c r="AA411" s="213"/>
      <c r="AB411" s="213"/>
      <c r="AC411" s="213"/>
      <c r="AD411" s="213"/>
      <c r="AE411" s="213"/>
      <c r="AF411" s="213"/>
      <c r="AG411" s="213"/>
      <c r="AH411" s="214"/>
      <c r="AJ411" s="631">
        <f ca="1">IF(AND($D411="Serviço",AJ$12&lt;&gt;0,$H411&gt;0,OR(AUTOEVENTO&lt;&gt;"manual",$M411&lt;&gt;1)),ROUND(OFFSET($P411,0,AJ$13),15-13*ORÇAMENTO!$AF$7)/$H411*OFFSET(ORÇAMENTO!$X$15,ROW(AJ411)-ROW(AJ$15),0),0)</f>
        <v>0</v>
      </c>
      <c r="AK411" s="632">
        <f ca="1">IF(AND($D411="Serviço",AK$12&lt;&gt;0,$H411&gt;0,OR(AUTOEVENTO&lt;&gt;"manual",$M411&lt;&gt;1)),ROUND(OFFSET($P411,0,AK$13),15-13*ORÇAMENTO!$AF$7)/$H411*OFFSET(ORÇAMENTO!$X$15,ROW(AK411)-ROW(AK$15),0),0)</f>
        <v>0</v>
      </c>
      <c r="AL411" s="632">
        <f ca="1">IF(AND($D411="Serviço",AL$12&lt;&gt;0,$H411&gt;0,OR(AUTOEVENTO&lt;&gt;"manual",$M411&lt;&gt;1)),ROUND(OFFSET($P411,0,AL$13),15-13*ORÇAMENTO!$AF$7)/$H411*OFFSET(ORÇAMENTO!$X$15,ROW(AL411)-ROW(AL$15),0),0)</f>
        <v>0</v>
      </c>
      <c r="AM411" s="632">
        <f ca="1">IF(AND($D411="Serviço",AM$12&lt;&gt;0,$H411&gt;0,OR(AUTOEVENTO&lt;&gt;"manual",$M411&lt;&gt;1)),ROUND(OFFSET($P411,0,AM$13),15-13*ORÇAMENTO!$AF$7)/$H411*OFFSET(ORÇAMENTO!$X$15,ROW(AM411)-ROW(AM$15),0),0)</f>
        <v>0</v>
      </c>
      <c r="AN411" s="632">
        <f ca="1">IF(AND($D411="Serviço",AN$12&lt;&gt;0,$H411&gt;0,OR(AUTOEVENTO&lt;&gt;"manual",$M411&lt;&gt;1)),ROUND(OFFSET($P411,0,AN$13),15-13*ORÇAMENTO!$AF$7)/$H411*OFFSET(ORÇAMENTO!$X$15,ROW(AN411)-ROW(AN$15),0),0)</f>
        <v>0</v>
      </c>
      <c r="AO411" s="632">
        <f ca="1">IF(AND($D411="Serviço",AO$12&lt;&gt;0,$H411&gt;0,OR(AUTOEVENTO&lt;&gt;"manual",$M411&lt;&gt;1)),ROUND(OFFSET($P411,0,AO$13),15-13*ORÇAMENTO!$AF$7)/$H411*OFFSET(ORÇAMENTO!$X$15,ROW(AO411)-ROW(AO$15),0),0)</f>
        <v>0</v>
      </c>
      <c r="AP411" s="632">
        <f ca="1">IF(AND($D411="Serviço",AP$12&lt;&gt;0,$H411&gt;0,OR(AUTOEVENTO&lt;&gt;"manual",$M411&lt;&gt;1)),ROUND(OFFSET($P411,0,AP$13),15-13*ORÇAMENTO!$AF$7)/$H411*OFFSET(ORÇAMENTO!$X$15,ROW(AP411)-ROW(AP$15),0),0)</f>
        <v>0</v>
      </c>
      <c r="AQ411" s="632">
        <f ca="1">IF(AND($D411="Serviço",AQ$12&lt;&gt;0,$H411&gt;0,OR(AUTOEVENTO&lt;&gt;"manual",$M411&lt;&gt;1)),ROUND(OFFSET($P411,0,AQ$13),15-13*ORÇAMENTO!$AF$7)/$H411*OFFSET(ORÇAMENTO!$X$15,ROW(AQ411)-ROW(AQ$15),0),0)</f>
        <v>0</v>
      </c>
      <c r="AR411" s="632">
        <f ca="1">IF(AND($D411="Serviço",AR$12&lt;&gt;0,$H411&gt;0,OR(AUTOEVENTO&lt;&gt;"manual",$M411&lt;&gt;1)),ROUND(OFFSET($P411,0,AR$13),15-13*ORÇAMENTO!$AF$7)/$H411*OFFSET(ORÇAMENTO!$X$15,ROW(AR411)-ROW(AR$15),0),0)</f>
        <v>0</v>
      </c>
      <c r="AS411" s="633">
        <f ca="1">IF(AND($D411="Serviço",AS$12&lt;&gt;0,$H411&gt;0,OR(AUTOEVENTO&lt;&gt;"manual",$M411&lt;&gt;1)),ROUND(OFFSET($P411,0,AS$13),15-13*ORÇAMENTO!$AF$7)/$H411*OFFSET(ORÇAMENTO!$X$15,ROW(AS411)-ROW(AS$15),0),0)</f>
        <v>0</v>
      </c>
      <c r="AT411" s="632">
        <f ca="1">IF(AND($D411="Serviço",AT$12&lt;&gt;0,$H411&gt;0,OR(AUTOEVENTO&lt;&gt;"manual",$M411&lt;&gt;1)),ROUND(OFFSET($P411,0,AT$13),15-13*ORÇAMENTO!$AF$7)/$H411*OFFSET(ORÇAMENTO!$X$15,ROW(AT411)-ROW(AT$15),0),0)</f>
        <v>0</v>
      </c>
      <c r="AU411" s="632">
        <f ca="1">IF(AND($D411="Serviço",AU$12&lt;&gt;0,$H411&gt;0,OR(AUTOEVENTO&lt;&gt;"manual",$M411&lt;&gt;1)),ROUND(OFFSET($P411,0,AU$13),15-13*ORÇAMENTO!$AF$7)/$H411*OFFSET(ORÇAMENTO!$X$15,ROW(AU411)-ROW(AU$15),0),0)</f>
        <v>0</v>
      </c>
      <c r="AV411" s="632">
        <f ca="1">IF(AND($D411="Serviço",AV$12&lt;&gt;0,$H411&gt;0,OR(AUTOEVENTO&lt;&gt;"manual",$M411&lt;&gt;1)),ROUND(OFFSET($P411,0,AV$13),15-13*ORÇAMENTO!$AF$7)/$H411*OFFSET(ORÇAMENTO!$X$15,ROW(AV411)-ROW(AV$15),0),0)</f>
        <v>0</v>
      </c>
      <c r="AW411" s="632">
        <f ca="1">IF(AND($D411="Serviço",AW$12&lt;&gt;0,$H411&gt;0,OR(AUTOEVENTO&lt;&gt;"manual",$M411&lt;&gt;1)),ROUND(OFFSET($P411,0,AW$13),15-13*ORÇAMENTO!$AF$7)/$H411*OFFSET(ORÇAMENTO!$X$15,ROW(AW411)-ROW(AW$15),0),0)</f>
        <v>0</v>
      </c>
      <c r="AX411" s="632">
        <f ca="1">IF(AND($D411="Serviço",AX$12&lt;&gt;0,$H411&gt;0,OR(AUTOEVENTO&lt;&gt;"manual",$M411&lt;&gt;1)),ROUND(OFFSET($P411,0,AX$13),15-13*ORÇAMENTO!$AF$7)/$H411*OFFSET(ORÇAMENTO!$X$15,ROW(AX411)-ROW(AX$15),0),0)</f>
        <v>0</v>
      </c>
      <c r="AY411" s="632">
        <f ca="1">IF(AND($D411="Serviço",AY$12&lt;&gt;0,$H411&gt;0,OR(AUTOEVENTO&lt;&gt;"manual",$M411&lt;&gt;1)),ROUND(OFFSET($P411,0,AY$13),15-13*ORÇAMENTO!$AF$7)/$H411*OFFSET(ORÇAMENTO!$X$15,ROW(AY411)-ROW(AY$15),0),0)</f>
        <v>0</v>
      </c>
      <c r="AZ411" s="632">
        <f ca="1">IF(AND($D411="Serviço",AZ$12&lt;&gt;0,$H411&gt;0,OR(AUTOEVENTO&lt;&gt;"manual",$M411&lt;&gt;1)),ROUND(OFFSET($P411,0,AZ$13),15-13*ORÇAMENTO!$AF$7)/$H411*OFFSET(ORÇAMENTO!$X$15,ROW(AZ411)-ROW(AZ$15),0),0)</f>
        <v>0</v>
      </c>
      <c r="BA411" s="633">
        <f ca="1">IF(AND($D411="Serviço",BA$12&lt;&gt;0,$H411&gt;0,OR(AUTOEVENTO&lt;&gt;"manual",$M411&lt;&gt;1)),ROUND(OFFSET($P411,0,BA$13),15-13*ORÇAMENTO!$AF$7)/$H411*OFFSET(ORÇAMENTO!$X$15,ROW(BA411)-ROW(BA$15),0),0)</f>
        <v>0</v>
      </c>
      <c r="BC411" s="215">
        <f ca="1">IF($D411&lt;&gt;"Serviço",0,IF(AND(AUTOEVENTO="Manual",$M411=1),0,IF(OFFSET(CRONOPLE!$F$14,$M411,BC$13)="",10^12,OFFSET(CRONOPLE!$F$14,$M411,BC$13))))</f>
        <v>1000000000000</v>
      </c>
      <c r="BD411" s="215">
        <f ca="1">IF($D411&lt;&gt;"Serviço",0,IF(AND(AUTOEVENTO="Manual",$M411=1),0,IF(OFFSET(CRONOPLE!$F$14,$M411,BD$13)="",10^12,OFFSET(CRONOPLE!$F$14,$M411,BD$13))))</f>
        <v>1000000000000</v>
      </c>
      <c r="BE411" s="215">
        <f ca="1">IF($D411&lt;&gt;"Serviço",0,IF(AND(AUTOEVENTO="Manual",$M411=1),0,IF(OFFSET(CRONOPLE!$F$14,$M411,BE$13)="",10^12,OFFSET(CRONOPLE!$F$14,$M411,BE$13))))</f>
        <v>1000000000000</v>
      </c>
      <c r="BF411" s="215">
        <f ca="1">IF($D411&lt;&gt;"Serviço",0,IF(AND(AUTOEVENTO="Manual",$M411=1),0,IF(OFFSET(CRONOPLE!$F$14,$M411,BF$13)="",10^12,OFFSET(CRONOPLE!$F$14,$M411,BF$13))))</f>
        <v>1000000000000</v>
      </c>
      <c r="BG411" s="215">
        <f ca="1">IF($D411&lt;&gt;"Serviço",0,IF(AND(AUTOEVENTO="Manual",$M411=1),0,IF(OFFSET(CRONOPLE!$F$14,$M411,BG$13)="",10^12,OFFSET(CRONOPLE!$F$14,$M411,BG$13))))</f>
        <v>1000000000000</v>
      </c>
      <c r="BH411" s="215">
        <f ca="1">IF($D411&lt;&gt;"Serviço",0,IF(AND(AUTOEVENTO="Manual",$M411=1),0,IF(OFFSET(CRONOPLE!$F$14,$M411,BH$13)="",10^12,OFFSET(CRONOPLE!$F$14,$M411,BH$13))))</f>
        <v>1000000000000</v>
      </c>
      <c r="BI411" s="215">
        <f ca="1">IF($D411&lt;&gt;"Serviço",0,IF(AND(AUTOEVENTO="Manual",$M411=1),0,IF(OFFSET(CRONOPLE!$F$14,$M411,BI$13)="",10^12,OFFSET(CRONOPLE!$F$14,$M411,BI$13))))</f>
        <v>1000000000000</v>
      </c>
      <c r="BJ411" s="215">
        <f ca="1">IF($D411&lt;&gt;"Serviço",0,IF(AND(AUTOEVENTO="Manual",$M411=1),0,IF(OFFSET(CRONOPLE!$F$14,$M411,BJ$13)="",10^12,OFFSET(CRONOPLE!$F$14,$M411,BJ$13))))</f>
        <v>1000000000000</v>
      </c>
      <c r="BK411" s="215">
        <f ca="1">IF($D411&lt;&gt;"Serviço",0,IF(AND(AUTOEVENTO="Manual",$M411=1),0,IF(OFFSET(CRONOPLE!$F$14,$M411,BK$13)="",10^12,OFFSET(CRONOPLE!$F$14,$M411,BK$13))))</f>
        <v>1000000000000</v>
      </c>
      <c r="BL411" s="215">
        <f ca="1">IF($D411&lt;&gt;"Serviço",0,IF(AND(AUTOEVENTO="Manual",$M411=1),0,IF(OFFSET(CRONOPLE!$F$14,$M411,BL$13)="",10^12,OFFSET(CRONOPLE!$F$14,$M411,BL$13))))</f>
        <v>1000000000000</v>
      </c>
      <c r="BM411" s="215">
        <f ca="1">IF($D411&lt;&gt;"Serviço",0,IF(AND(AUTOEVENTO="Manual",$M411=1),0,IF(OFFSET(CRONOPLE!$F$14,$M411,BM$13)="",10^12,OFFSET(CRONOPLE!$F$14,$M411,BM$13))))</f>
        <v>1000000000000</v>
      </c>
      <c r="BN411" s="215">
        <f ca="1">IF($D411&lt;&gt;"Serviço",0,IF(AND(AUTOEVENTO="Manual",$M411=1),0,IF(OFFSET(CRONOPLE!$F$14,$M411,BN$13)="",10^12,OFFSET(CRONOPLE!$F$14,$M411,BN$13))))</f>
        <v>1000000000000</v>
      </c>
      <c r="BO411" s="215">
        <f ca="1">IF($D411&lt;&gt;"Serviço",0,IF(AND(AUTOEVENTO="Manual",$M411=1),0,IF(OFFSET(CRONOPLE!$F$14,$M411,BO$13)="",10^12,OFFSET(CRONOPLE!$F$14,$M411,BO$13))))</f>
        <v>1000000000000</v>
      </c>
      <c r="BP411" s="215">
        <f ca="1">IF($D411&lt;&gt;"Serviço",0,IF(AND(AUTOEVENTO="Manual",$M411=1),0,IF(OFFSET(CRONOPLE!$F$14,$M411,BP$13)="",10^12,OFFSET(CRONOPLE!$F$14,$M411,BP$13))))</f>
        <v>1000000000000</v>
      </c>
      <c r="BQ411" s="215">
        <f ca="1">IF($D411&lt;&gt;"Serviço",0,IF(AND(AUTOEVENTO="Manual",$M411=1),0,IF(OFFSET(CRONOPLE!$F$14,$M411,BQ$13)="",10^12,OFFSET(CRONOPLE!$F$14,$M411,BQ$13))))</f>
        <v>1000000000000</v>
      </c>
      <c r="BR411" s="215">
        <f ca="1">IF($D411&lt;&gt;"Serviço",0,IF(AND(AUTOEVENTO="Manual",$M411=1),0,IF(OFFSET(CRONOPLE!$F$14,$M411,BR$13)="",10^12,OFFSET(CRONOPLE!$F$14,$M411,BR$13))))</f>
        <v>1000000000000</v>
      </c>
      <c r="BS411" s="215">
        <f ca="1">IF($D411&lt;&gt;"Serviço",0,IF(AND(AUTOEVENTO="Manual",$M411=1),0,IF(OFFSET(CRONOPLE!$F$14,$M411,BS$13)="",10^12,OFFSET(CRONOPLE!$F$14,$M411,BS$13))))</f>
        <v>1000000000000</v>
      </c>
      <c r="BT411" s="215">
        <f ca="1">IF($D411&lt;&gt;"Serviço",0,IF(AND(AUTOEVENTO="Manual",$M411=1),0,IF(OFFSET(CRONOPLE!$F$14,$M411,BT$13)="",10^12,OFFSET(CRONOPLE!$F$14,$M411,BT$13))))</f>
        <v>1000000000000</v>
      </c>
      <c r="BV411" s="216">
        <f ca="1">IF($D411&lt;&gt;"Serviço",0,IF(OR(AND(AUTOEVENTO="Manual",$M411=1),$M411&gt;(ROW(PLE.lastrow)-ROW(PLE.firstrow))),0,IF(OFFSET(PLE!$G$14,$M411,BV$13)="",10^12,OFFSET(PLE!$G$14,$M411,BV$13))))</f>
        <v>1000000000000</v>
      </c>
      <c r="BW411" s="216">
        <f ca="1">IF($D411&lt;&gt;"Serviço",0,IF(OR(AND(AUTOEVENTO="Manual",$M411=1),$M411&gt;(ROW(PLE.lastrow)-ROW(PLE.firstrow))),0,IF(OFFSET(PLE!$G$14,$M411,BW$13)="",10^12,OFFSET(PLE!$G$14,$M411,BW$13))))</f>
        <v>1000000000000</v>
      </c>
      <c r="BX411" s="216">
        <f ca="1">IF($D411&lt;&gt;"Serviço",0,IF(OR(AND(AUTOEVENTO="Manual",$M411=1),$M411&gt;(ROW(PLE.lastrow)-ROW(PLE.firstrow))),0,IF(OFFSET(PLE!$G$14,$M411,BX$13)="",10^12,OFFSET(PLE!$G$14,$M411,BX$13))))</f>
        <v>1000000000000</v>
      </c>
      <c r="BY411" s="216">
        <f ca="1">IF($D411&lt;&gt;"Serviço",0,IF(OR(AND(AUTOEVENTO="Manual",$M411=1),$M411&gt;(ROW(PLE.lastrow)-ROW(PLE.firstrow))),0,IF(OFFSET(PLE!$G$14,$M411,BY$13)="",10^12,OFFSET(PLE!$G$14,$M411,BY$13))))</f>
        <v>1000000000000</v>
      </c>
      <c r="BZ411" s="216">
        <f ca="1">IF($D411&lt;&gt;"Serviço",0,IF(OR(AND(AUTOEVENTO="Manual",$M411=1),$M411&gt;(ROW(PLE.lastrow)-ROW(PLE.firstrow))),0,IF(OFFSET(PLE!$G$14,$M411,BZ$13)="",10^12,OFFSET(PLE!$G$14,$M411,BZ$13))))</f>
        <v>1000000000000</v>
      </c>
      <c r="CA411" s="216">
        <f ca="1">IF($D411&lt;&gt;"Serviço",0,IF(OR(AND(AUTOEVENTO="Manual",$M411=1),$M411&gt;(ROW(PLE.lastrow)-ROW(PLE.firstrow))),0,IF(OFFSET(PLE!$G$14,$M411,CA$13)="",10^12,OFFSET(PLE!$G$14,$M411,CA$13))))</f>
        <v>1000000000000</v>
      </c>
      <c r="CB411" s="216">
        <f ca="1">IF($D411&lt;&gt;"Serviço",0,IF(OR(AND(AUTOEVENTO="Manual",$M411=1),$M411&gt;(ROW(PLE.lastrow)-ROW(PLE.firstrow))),0,IF(OFFSET(PLE!$G$14,$M411,CB$13)="",10^12,OFFSET(PLE!$G$14,$M411,CB$13))))</f>
        <v>1000000000000</v>
      </c>
      <c r="CC411" s="216">
        <f ca="1">IF($D411&lt;&gt;"Serviço",0,IF(OR(AND(AUTOEVENTO="Manual",$M411=1),$M411&gt;(ROW(PLE.lastrow)-ROW(PLE.firstrow))),0,IF(OFFSET(PLE!$G$14,$M411,CC$13)="",10^12,OFFSET(PLE!$G$14,$M411,CC$13))))</f>
        <v>1000000000000</v>
      </c>
      <c r="CD411" s="216">
        <f ca="1">IF($D411&lt;&gt;"Serviço",0,IF(OR(AND(AUTOEVENTO="Manual",$M411=1),$M411&gt;(ROW(PLE.lastrow)-ROW(PLE.firstrow))),0,IF(OFFSET(PLE!$G$14,$M411,CD$13)="",10^12,OFFSET(PLE!$G$14,$M411,CD$13))))</f>
        <v>1000000000000</v>
      </c>
      <c r="CE411" s="216">
        <f ca="1">IF($D411&lt;&gt;"Serviço",0,IF(OR(AND(AUTOEVENTO="Manual",$M411=1),$M411&gt;(ROW(PLE.lastrow)-ROW(PLE.firstrow))),0,IF(OFFSET(PLE!$G$14,$M411,CE$13)="",10^12,OFFSET(PLE!$G$14,$M411,CE$13))))</f>
        <v>1000000000000</v>
      </c>
      <c r="CF411" s="216">
        <f ca="1">IF($D411&lt;&gt;"Serviço",0,IF(OR(AND(AUTOEVENTO="Manual",$M411=1),$M411&gt;(ROW(PLE.lastrow)-ROW(PLE.firstrow))),0,IF(OFFSET(PLE!$G$14,$M411,CF$13)="",10^12,OFFSET(PLE!$G$14,$M411,CF$13))))</f>
        <v>1000000000000</v>
      </c>
      <c r="CG411" s="216">
        <f ca="1">IF($D411&lt;&gt;"Serviço",0,IF(OR(AND(AUTOEVENTO="Manual",$M411=1),$M411&gt;(ROW(PLE.lastrow)-ROW(PLE.firstrow))),0,IF(OFFSET(PLE!$G$14,$M411,CG$13)="",10^12,OFFSET(PLE!$G$14,$M411,CG$13))))</f>
        <v>1000000000000</v>
      </c>
      <c r="CH411" s="216">
        <f ca="1">IF($D411&lt;&gt;"Serviço",0,IF(OR(AND(AUTOEVENTO="Manual",$M411=1),$M411&gt;(ROW(PLE.lastrow)-ROW(PLE.firstrow))),0,IF(OFFSET(PLE!$G$14,$M411,CH$13)="",10^12,OFFSET(PLE!$G$14,$M411,CH$13))))</f>
        <v>1000000000000</v>
      </c>
      <c r="CI411" s="216">
        <f ca="1">IF($D411&lt;&gt;"Serviço",0,IF(OR(AND(AUTOEVENTO="Manual",$M411=1),$M411&gt;(ROW(PLE.lastrow)-ROW(PLE.firstrow))),0,IF(OFFSET(PLE!$G$14,$M411,CI$13)="",10^12,OFFSET(PLE!$G$14,$M411,CI$13))))</f>
        <v>1000000000000</v>
      </c>
      <c r="CJ411" s="216">
        <f ca="1">IF($D411&lt;&gt;"Serviço",0,IF(OR(AND(AUTOEVENTO="Manual",$M411=1),$M411&gt;(ROW(PLE.lastrow)-ROW(PLE.firstrow))),0,IF(OFFSET(PLE!$G$14,$M411,CJ$13)="",10^12,OFFSET(PLE!$G$14,$M411,CJ$13))))</f>
        <v>1000000000000</v>
      </c>
      <c r="CK411" s="216">
        <f ca="1">IF($D411&lt;&gt;"Serviço",0,IF(OR(AND(AUTOEVENTO="Manual",$M411=1),$M411&gt;(ROW(PLE.lastrow)-ROW(PLE.firstrow))),0,IF(OFFSET(PLE!$G$14,$M411,CK$13)="",10^12,OFFSET(PLE!$G$14,$M411,CK$13))))</f>
        <v>1000000000000</v>
      </c>
      <c r="CL411" s="216">
        <f ca="1">IF($D411&lt;&gt;"Serviço",0,IF(OR(AND(AUTOEVENTO="Manual",$M411=1),$M411&gt;(ROW(PLE.lastrow)-ROW(PLE.firstrow))),0,IF(OFFSET(PLE!$G$14,$M411,CL$13)="",10^12,OFFSET(PLE!$G$14,$M411,CL$13))))</f>
        <v>1000000000000</v>
      </c>
      <c r="CM411" s="216">
        <f ca="1">IF($D411&lt;&gt;"Serviço",0,IF(OR(AND(AUTOEVENTO="Manual",$M411=1),$M411&gt;(ROW(PLE.lastrow)-ROW(PLE.firstrow))),0,IF(OFFSET(PLE!$G$14,$M411,CM$13)="",10^12,OFFSET(PLE!$G$14,$M411,CM$13))))</f>
        <v>1000000000000</v>
      </c>
    </row>
    <row r="412" spans="1:91" ht="13.2" x14ac:dyDescent="0.25">
      <c r="A412" s="9">
        <f t="shared" ca="1" si="15"/>
        <v>0</v>
      </c>
      <c r="B412" s="9" t="str">
        <f ca="1">OFFSET(ORÇAMENTO!C$15,ROW(B412)-ROW(B$15),0)</f>
        <v>S</v>
      </c>
      <c r="C412" s="9" t="str">
        <f ca="1">OFFSET(ORÇAMENTO!L$15,ROW(C412)-ROW(C$15),0)</f>
        <v/>
      </c>
      <c r="D412" s="145" t="str">
        <f ca="1">OFFSET(ORÇAMENTO!N$15,ROW(D412)-ROW(D$15),0)</f>
        <v>Serviço</v>
      </c>
      <c r="E412" s="205" t="str">
        <f ca="1">OFFSET(ORÇAMENTO!O$15,ROW(E412)-ROW(E$15),0)</f>
        <v>-</v>
      </c>
      <c r="F412" s="206" t="str">
        <f ca="1">OFFSET(ORÇAMENTO!R$15,ROW(F412)-ROW(F$15),0)</f>
        <v>(abra o arquivo 'Referência 05-2024.xls)</v>
      </c>
      <c r="G412" s="207" t="str">
        <f ca="1">IF($D412&lt;&gt;"Serviço","",OFFSET(ORÇAMENTO!S$15,ROW(G412)-ROW(G$15),0))</f>
        <v>-</v>
      </c>
      <c r="H412" s="151">
        <f ca="1">IF($D412&lt;&gt;"Serviço",0,IF(ACOMPANHAMENTO="BM",ROUND(OFFSET(ORÇAMENTO!AJ$15,ROW(H412)-ROW(H$15),0),15-13*ORÇAMENTO!$AF$7),SUMPRODUCT(($Q$12:$AI$12&lt;&gt;"")*ROUND($Q412:$AI412,15-13*ORÇAMENTO!$AF$7))))</f>
        <v>40</v>
      </c>
      <c r="I412" s="650"/>
      <c r="K412" s="208"/>
      <c r="L412" s="209" t="s">
        <v>257</v>
      </c>
      <c r="M412" s="210">
        <f ca="1">IF($D412&lt;&gt;"Serviço","",IF(AUTOEVENTO="manual",$A412,IF(ISERROR(MATCH($A412,$A$15:OFFSET($A412,-1,0),0)),MAX($M$15:OFFSET(M412,-1,0))+1,INDEX($M$15:OFFSET(M412,-1,0),MATCH($A412,$A$15:OFFSET($A412,-1,0),0)))))</f>
        <v>0</v>
      </c>
      <c r="N412" s="211" t="str">
        <f ca="1">IF($D412&lt;&gt;"Serviço","",IF(AUTOEVENTO="Manual",IF($A412=0,"&lt;-- defina o número do agrupador",OFFSET(EVENTOS!$D$14,$A412,0)),OFFSET($F$15,$A412,0)))</f>
        <v>&lt;-- defina o número do agrupador</v>
      </c>
      <c r="O412" s="212"/>
      <c r="Q412" s="212"/>
      <c r="R412" s="213"/>
      <c r="S412" s="213"/>
      <c r="T412" s="213"/>
      <c r="U412" s="213"/>
      <c r="V412" s="213"/>
      <c r="W412" s="213"/>
      <c r="X412" s="213"/>
      <c r="Y412" s="213"/>
      <c r="Z412" s="214"/>
      <c r="AA412" s="213"/>
      <c r="AB412" s="213"/>
      <c r="AC412" s="213"/>
      <c r="AD412" s="213"/>
      <c r="AE412" s="213"/>
      <c r="AF412" s="213"/>
      <c r="AG412" s="213"/>
      <c r="AH412" s="214"/>
      <c r="AJ412" s="631">
        <f ca="1">IF(AND($D412="Serviço",AJ$12&lt;&gt;0,$H412&gt;0,OR(AUTOEVENTO&lt;&gt;"manual",$M412&lt;&gt;1)),ROUND(OFFSET($P412,0,AJ$13),15-13*ORÇAMENTO!$AF$7)/$H412*OFFSET(ORÇAMENTO!$X$15,ROW(AJ412)-ROW(AJ$15),0),0)</f>
        <v>0</v>
      </c>
      <c r="AK412" s="632">
        <f ca="1">IF(AND($D412="Serviço",AK$12&lt;&gt;0,$H412&gt;0,OR(AUTOEVENTO&lt;&gt;"manual",$M412&lt;&gt;1)),ROUND(OFFSET($P412,0,AK$13),15-13*ORÇAMENTO!$AF$7)/$H412*OFFSET(ORÇAMENTO!$X$15,ROW(AK412)-ROW(AK$15),0),0)</f>
        <v>0</v>
      </c>
      <c r="AL412" s="632">
        <f ca="1">IF(AND($D412="Serviço",AL$12&lt;&gt;0,$H412&gt;0,OR(AUTOEVENTO&lt;&gt;"manual",$M412&lt;&gt;1)),ROUND(OFFSET($P412,0,AL$13),15-13*ORÇAMENTO!$AF$7)/$H412*OFFSET(ORÇAMENTO!$X$15,ROW(AL412)-ROW(AL$15),0),0)</f>
        <v>0</v>
      </c>
      <c r="AM412" s="632">
        <f ca="1">IF(AND($D412="Serviço",AM$12&lt;&gt;0,$H412&gt;0,OR(AUTOEVENTO&lt;&gt;"manual",$M412&lt;&gt;1)),ROUND(OFFSET($P412,0,AM$13),15-13*ORÇAMENTO!$AF$7)/$H412*OFFSET(ORÇAMENTO!$X$15,ROW(AM412)-ROW(AM$15),0),0)</f>
        <v>0</v>
      </c>
      <c r="AN412" s="632">
        <f ca="1">IF(AND($D412="Serviço",AN$12&lt;&gt;0,$H412&gt;0,OR(AUTOEVENTO&lt;&gt;"manual",$M412&lt;&gt;1)),ROUND(OFFSET($P412,0,AN$13),15-13*ORÇAMENTO!$AF$7)/$H412*OFFSET(ORÇAMENTO!$X$15,ROW(AN412)-ROW(AN$15),0),0)</f>
        <v>0</v>
      </c>
      <c r="AO412" s="632">
        <f ca="1">IF(AND($D412="Serviço",AO$12&lt;&gt;0,$H412&gt;0,OR(AUTOEVENTO&lt;&gt;"manual",$M412&lt;&gt;1)),ROUND(OFFSET($P412,0,AO$13),15-13*ORÇAMENTO!$AF$7)/$H412*OFFSET(ORÇAMENTO!$X$15,ROW(AO412)-ROW(AO$15),0),0)</f>
        <v>0</v>
      </c>
      <c r="AP412" s="632">
        <f ca="1">IF(AND($D412="Serviço",AP$12&lt;&gt;0,$H412&gt;0,OR(AUTOEVENTO&lt;&gt;"manual",$M412&lt;&gt;1)),ROUND(OFFSET($P412,0,AP$13),15-13*ORÇAMENTO!$AF$7)/$H412*OFFSET(ORÇAMENTO!$X$15,ROW(AP412)-ROW(AP$15),0),0)</f>
        <v>0</v>
      </c>
      <c r="AQ412" s="632">
        <f ca="1">IF(AND($D412="Serviço",AQ$12&lt;&gt;0,$H412&gt;0,OR(AUTOEVENTO&lt;&gt;"manual",$M412&lt;&gt;1)),ROUND(OFFSET($P412,0,AQ$13),15-13*ORÇAMENTO!$AF$7)/$H412*OFFSET(ORÇAMENTO!$X$15,ROW(AQ412)-ROW(AQ$15),0),0)</f>
        <v>0</v>
      </c>
      <c r="AR412" s="632">
        <f ca="1">IF(AND($D412="Serviço",AR$12&lt;&gt;0,$H412&gt;0,OR(AUTOEVENTO&lt;&gt;"manual",$M412&lt;&gt;1)),ROUND(OFFSET($P412,0,AR$13),15-13*ORÇAMENTO!$AF$7)/$H412*OFFSET(ORÇAMENTO!$X$15,ROW(AR412)-ROW(AR$15),0),0)</f>
        <v>0</v>
      </c>
      <c r="AS412" s="633">
        <f ca="1">IF(AND($D412="Serviço",AS$12&lt;&gt;0,$H412&gt;0,OR(AUTOEVENTO&lt;&gt;"manual",$M412&lt;&gt;1)),ROUND(OFFSET($P412,0,AS$13),15-13*ORÇAMENTO!$AF$7)/$H412*OFFSET(ORÇAMENTO!$X$15,ROW(AS412)-ROW(AS$15),0),0)</f>
        <v>0</v>
      </c>
      <c r="AT412" s="632">
        <f ca="1">IF(AND($D412="Serviço",AT$12&lt;&gt;0,$H412&gt;0,OR(AUTOEVENTO&lt;&gt;"manual",$M412&lt;&gt;1)),ROUND(OFFSET($P412,0,AT$13),15-13*ORÇAMENTO!$AF$7)/$H412*OFFSET(ORÇAMENTO!$X$15,ROW(AT412)-ROW(AT$15),0),0)</f>
        <v>0</v>
      </c>
      <c r="AU412" s="632">
        <f ca="1">IF(AND($D412="Serviço",AU$12&lt;&gt;0,$H412&gt;0,OR(AUTOEVENTO&lt;&gt;"manual",$M412&lt;&gt;1)),ROUND(OFFSET($P412,0,AU$13),15-13*ORÇAMENTO!$AF$7)/$H412*OFFSET(ORÇAMENTO!$X$15,ROW(AU412)-ROW(AU$15),0),0)</f>
        <v>0</v>
      </c>
      <c r="AV412" s="632">
        <f ca="1">IF(AND($D412="Serviço",AV$12&lt;&gt;0,$H412&gt;0,OR(AUTOEVENTO&lt;&gt;"manual",$M412&lt;&gt;1)),ROUND(OFFSET($P412,0,AV$13),15-13*ORÇAMENTO!$AF$7)/$H412*OFFSET(ORÇAMENTO!$X$15,ROW(AV412)-ROW(AV$15),0),0)</f>
        <v>0</v>
      </c>
      <c r="AW412" s="632">
        <f ca="1">IF(AND($D412="Serviço",AW$12&lt;&gt;0,$H412&gt;0,OR(AUTOEVENTO&lt;&gt;"manual",$M412&lt;&gt;1)),ROUND(OFFSET($P412,0,AW$13),15-13*ORÇAMENTO!$AF$7)/$H412*OFFSET(ORÇAMENTO!$X$15,ROW(AW412)-ROW(AW$15),0),0)</f>
        <v>0</v>
      </c>
      <c r="AX412" s="632">
        <f ca="1">IF(AND($D412="Serviço",AX$12&lt;&gt;0,$H412&gt;0,OR(AUTOEVENTO&lt;&gt;"manual",$M412&lt;&gt;1)),ROUND(OFFSET($P412,0,AX$13),15-13*ORÇAMENTO!$AF$7)/$H412*OFFSET(ORÇAMENTO!$X$15,ROW(AX412)-ROW(AX$15),0),0)</f>
        <v>0</v>
      </c>
      <c r="AY412" s="632">
        <f ca="1">IF(AND($D412="Serviço",AY$12&lt;&gt;0,$H412&gt;0,OR(AUTOEVENTO&lt;&gt;"manual",$M412&lt;&gt;1)),ROUND(OFFSET($P412,0,AY$13),15-13*ORÇAMENTO!$AF$7)/$H412*OFFSET(ORÇAMENTO!$X$15,ROW(AY412)-ROW(AY$15),0),0)</f>
        <v>0</v>
      </c>
      <c r="AZ412" s="632">
        <f ca="1">IF(AND($D412="Serviço",AZ$12&lt;&gt;0,$H412&gt;0,OR(AUTOEVENTO&lt;&gt;"manual",$M412&lt;&gt;1)),ROUND(OFFSET($P412,0,AZ$13),15-13*ORÇAMENTO!$AF$7)/$H412*OFFSET(ORÇAMENTO!$X$15,ROW(AZ412)-ROW(AZ$15),0),0)</f>
        <v>0</v>
      </c>
      <c r="BA412" s="633">
        <f ca="1">IF(AND($D412="Serviço",BA$12&lt;&gt;0,$H412&gt;0,OR(AUTOEVENTO&lt;&gt;"manual",$M412&lt;&gt;1)),ROUND(OFFSET($P412,0,BA$13),15-13*ORÇAMENTO!$AF$7)/$H412*OFFSET(ORÇAMENTO!$X$15,ROW(BA412)-ROW(BA$15),0),0)</f>
        <v>0</v>
      </c>
      <c r="BC412" s="215">
        <f ca="1">IF($D412&lt;&gt;"Serviço",0,IF(AND(AUTOEVENTO="Manual",$M412=1),0,IF(OFFSET(CRONOPLE!$F$14,$M412,BC$13)="",10^12,OFFSET(CRONOPLE!$F$14,$M412,BC$13))))</f>
        <v>1000000000000</v>
      </c>
      <c r="BD412" s="215">
        <f ca="1">IF($D412&lt;&gt;"Serviço",0,IF(AND(AUTOEVENTO="Manual",$M412=1),0,IF(OFFSET(CRONOPLE!$F$14,$M412,BD$13)="",10^12,OFFSET(CRONOPLE!$F$14,$M412,BD$13))))</f>
        <v>1000000000000</v>
      </c>
      <c r="BE412" s="215">
        <f ca="1">IF($D412&lt;&gt;"Serviço",0,IF(AND(AUTOEVENTO="Manual",$M412=1),0,IF(OFFSET(CRONOPLE!$F$14,$M412,BE$13)="",10^12,OFFSET(CRONOPLE!$F$14,$M412,BE$13))))</f>
        <v>1000000000000</v>
      </c>
      <c r="BF412" s="215">
        <f ca="1">IF($D412&lt;&gt;"Serviço",0,IF(AND(AUTOEVENTO="Manual",$M412=1),0,IF(OFFSET(CRONOPLE!$F$14,$M412,BF$13)="",10^12,OFFSET(CRONOPLE!$F$14,$M412,BF$13))))</f>
        <v>1000000000000</v>
      </c>
      <c r="BG412" s="215">
        <f ca="1">IF($D412&lt;&gt;"Serviço",0,IF(AND(AUTOEVENTO="Manual",$M412=1),0,IF(OFFSET(CRONOPLE!$F$14,$M412,BG$13)="",10^12,OFFSET(CRONOPLE!$F$14,$M412,BG$13))))</f>
        <v>1000000000000</v>
      </c>
      <c r="BH412" s="215">
        <f ca="1">IF($D412&lt;&gt;"Serviço",0,IF(AND(AUTOEVENTO="Manual",$M412=1),0,IF(OFFSET(CRONOPLE!$F$14,$M412,BH$13)="",10^12,OFFSET(CRONOPLE!$F$14,$M412,BH$13))))</f>
        <v>1000000000000</v>
      </c>
      <c r="BI412" s="215">
        <f ca="1">IF($D412&lt;&gt;"Serviço",0,IF(AND(AUTOEVENTO="Manual",$M412=1),0,IF(OFFSET(CRONOPLE!$F$14,$M412,BI$13)="",10^12,OFFSET(CRONOPLE!$F$14,$M412,BI$13))))</f>
        <v>1000000000000</v>
      </c>
      <c r="BJ412" s="215">
        <f ca="1">IF($D412&lt;&gt;"Serviço",0,IF(AND(AUTOEVENTO="Manual",$M412=1),0,IF(OFFSET(CRONOPLE!$F$14,$M412,BJ$13)="",10^12,OFFSET(CRONOPLE!$F$14,$M412,BJ$13))))</f>
        <v>1000000000000</v>
      </c>
      <c r="BK412" s="215">
        <f ca="1">IF($D412&lt;&gt;"Serviço",0,IF(AND(AUTOEVENTO="Manual",$M412=1),0,IF(OFFSET(CRONOPLE!$F$14,$M412,BK$13)="",10^12,OFFSET(CRONOPLE!$F$14,$M412,BK$13))))</f>
        <v>1000000000000</v>
      </c>
      <c r="BL412" s="215">
        <f ca="1">IF($D412&lt;&gt;"Serviço",0,IF(AND(AUTOEVENTO="Manual",$M412=1),0,IF(OFFSET(CRONOPLE!$F$14,$M412,BL$13)="",10^12,OFFSET(CRONOPLE!$F$14,$M412,BL$13))))</f>
        <v>1000000000000</v>
      </c>
      <c r="BM412" s="215">
        <f ca="1">IF($D412&lt;&gt;"Serviço",0,IF(AND(AUTOEVENTO="Manual",$M412=1),0,IF(OFFSET(CRONOPLE!$F$14,$M412,BM$13)="",10^12,OFFSET(CRONOPLE!$F$14,$M412,BM$13))))</f>
        <v>1000000000000</v>
      </c>
      <c r="BN412" s="215">
        <f ca="1">IF($D412&lt;&gt;"Serviço",0,IF(AND(AUTOEVENTO="Manual",$M412=1),0,IF(OFFSET(CRONOPLE!$F$14,$M412,BN$13)="",10^12,OFFSET(CRONOPLE!$F$14,$M412,BN$13))))</f>
        <v>1000000000000</v>
      </c>
      <c r="BO412" s="215">
        <f ca="1">IF($D412&lt;&gt;"Serviço",0,IF(AND(AUTOEVENTO="Manual",$M412=1),0,IF(OFFSET(CRONOPLE!$F$14,$M412,BO$13)="",10^12,OFFSET(CRONOPLE!$F$14,$M412,BO$13))))</f>
        <v>1000000000000</v>
      </c>
      <c r="BP412" s="215">
        <f ca="1">IF($D412&lt;&gt;"Serviço",0,IF(AND(AUTOEVENTO="Manual",$M412=1),0,IF(OFFSET(CRONOPLE!$F$14,$M412,BP$13)="",10^12,OFFSET(CRONOPLE!$F$14,$M412,BP$13))))</f>
        <v>1000000000000</v>
      </c>
      <c r="BQ412" s="215">
        <f ca="1">IF($D412&lt;&gt;"Serviço",0,IF(AND(AUTOEVENTO="Manual",$M412=1),0,IF(OFFSET(CRONOPLE!$F$14,$M412,BQ$13)="",10^12,OFFSET(CRONOPLE!$F$14,$M412,BQ$13))))</f>
        <v>1000000000000</v>
      </c>
      <c r="BR412" s="215">
        <f ca="1">IF($D412&lt;&gt;"Serviço",0,IF(AND(AUTOEVENTO="Manual",$M412=1),0,IF(OFFSET(CRONOPLE!$F$14,$M412,BR$13)="",10^12,OFFSET(CRONOPLE!$F$14,$M412,BR$13))))</f>
        <v>1000000000000</v>
      </c>
      <c r="BS412" s="215">
        <f ca="1">IF($D412&lt;&gt;"Serviço",0,IF(AND(AUTOEVENTO="Manual",$M412=1),0,IF(OFFSET(CRONOPLE!$F$14,$M412,BS$13)="",10^12,OFFSET(CRONOPLE!$F$14,$M412,BS$13))))</f>
        <v>1000000000000</v>
      </c>
      <c r="BT412" s="215">
        <f ca="1">IF($D412&lt;&gt;"Serviço",0,IF(AND(AUTOEVENTO="Manual",$M412=1),0,IF(OFFSET(CRONOPLE!$F$14,$M412,BT$13)="",10^12,OFFSET(CRONOPLE!$F$14,$M412,BT$13))))</f>
        <v>1000000000000</v>
      </c>
      <c r="BV412" s="216">
        <f ca="1">IF($D412&lt;&gt;"Serviço",0,IF(OR(AND(AUTOEVENTO="Manual",$M412=1),$M412&gt;(ROW(PLE.lastrow)-ROW(PLE.firstrow))),0,IF(OFFSET(PLE!$G$14,$M412,BV$13)="",10^12,OFFSET(PLE!$G$14,$M412,BV$13))))</f>
        <v>1000000000000</v>
      </c>
      <c r="BW412" s="216">
        <f ca="1">IF($D412&lt;&gt;"Serviço",0,IF(OR(AND(AUTOEVENTO="Manual",$M412=1),$M412&gt;(ROW(PLE.lastrow)-ROW(PLE.firstrow))),0,IF(OFFSET(PLE!$G$14,$M412,BW$13)="",10^12,OFFSET(PLE!$G$14,$M412,BW$13))))</f>
        <v>1000000000000</v>
      </c>
      <c r="BX412" s="216">
        <f ca="1">IF($D412&lt;&gt;"Serviço",0,IF(OR(AND(AUTOEVENTO="Manual",$M412=1),$M412&gt;(ROW(PLE.lastrow)-ROW(PLE.firstrow))),0,IF(OFFSET(PLE!$G$14,$M412,BX$13)="",10^12,OFFSET(PLE!$G$14,$M412,BX$13))))</f>
        <v>1000000000000</v>
      </c>
      <c r="BY412" s="216">
        <f ca="1">IF($D412&lt;&gt;"Serviço",0,IF(OR(AND(AUTOEVENTO="Manual",$M412=1),$M412&gt;(ROW(PLE.lastrow)-ROW(PLE.firstrow))),0,IF(OFFSET(PLE!$G$14,$M412,BY$13)="",10^12,OFFSET(PLE!$G$14,$M412,BY$13))))</f>
        <v>1000000000000</v>
      </c>
      <c r="BZ412" s="216">
        <f ca="1">IF($D412&lt;&gt;"Serviço",0,IF(OR(AND(AUTOEVENTO="Manual",$M412=1),$M412&gt;(ROW(PLE.lastrow)-ROW(PLE.firstrow))),0,IF(OFFSET(PLE!$G$14,$M412,BZ$13)="",10^12,OFFSET(PLE!$G$14,$M412,BZ$13))))</f>
        <v>1000000000000</v>
      </c>
      <c r="CA412" s="216">
        <f ca="1">IF($D412&lt;&gt;"Serviço",0,IF(OR(AND(AUTOEVENTO="Manual",$M412=1),$M412&gt;(ROW(PLE.lastrow)-ROW(PLE.firstrow))),0,IF(OFFSET(PLE!$G$14,$M412,CA$13)="",10^12,OFFSET(PLE!$G$14,$M412,CA$13))))</f>
        <v>1000000000000</v>
      </c>
      <c r="CB412" s="216">
        <f ca="1">IF($D412&lt;&gt;"Serviço",0,IF(OR(AND(AUTOEVENTO="Manual",$M412=1),$M412&gt;(ROW(PLE.lastrow)-ROW(PLE.firstrow))),0,IF(OFFSET(PLE!$G$14,$M412,CB$13)="",10^12,OFFSET(PLE!$G$14,$M412,CB$13))))</f>
        <v>1000000000000</v>
      </c>
      <c r="CC412" s="216">
        <f ca="1">IF($D412&lt;&gt;"Serviço",0,IF(OR(AND(AUTOEVENTO="Manual",$M412=1),$M412&gt;(ROW(PLE.lastrow)-ROW(PLE.firstrow))),0,IF(OFFSET(PLE!$G$14,$M412,CC$13)="",10^12,OFFSET(PLE!$G$14,$M412,CC$13))))</f>
        <v>1000000000000</v>
      </c>
      <c r="CD412" s="216">
        <f ca="1">IF($D412&lt;&gt;"Serviço",0,IF(OR(AND(AUTOEVENTO="Manual",$M412=1),$M412&gt;(ROW(PLE.lastrow)-ROW(PLE.firstrow))),0,IF(OFFSET(PLE!$G$14,$M412,CD$13)="",10^12,OFFSET(PLE!$G$14,$M412,CD$13))))</f>
        <v>1000000000000</v>
      </c>
      <c r="CE412" s="216">
        <f ca="1">IF($D412&lt;&gt;"Serviço",0,IF(OR(AND(AUTOEVENTO="Manual",$M412=1),$M412&gt;(ROW(PLE.lastrow)-ROW(PLE.firstrow))),0,IF(OFFSET(PLE!$G$14,$M412,CE$13)="",10^12,OFFSET(PLE!$G$14,$M412,CE$13))))</f>
        <v>1000000000000</v>
      </c>
      <c r="CF412" s="216">
        <f ca="1">IF($D412&lt;&gt;"Serviço",0,IF(OR(AND(AUTOEVENTO="Manual",$M412=1),$M412&gt;(ROW(PLE.lastrow)-ROW(PLE.firstrow))),0,IF(OFFSET(PLE!$G$14,$M412,CF$13)="",10^12,OFFSET(PLE!$G$14,$M412,CF$13))))</f>
        <v>1000000000000</v>
      </c>
      <c r="CG412" s="216">
        <f ca="1">IF($D412&lt;&gt;"Serviço",0,IF(OR(AND(AUTOEVENTO="Manual",$M412=1),$M412&gt;(ROW(PLE.lastrow)-ROW(PLE.firstrow))),0,IF(OFFSET(PLE!$G$14,$M412,CG$13)="",10^12,OFFSET(PLE!$G$14,$M412,CG$13))))</f>
        <v>1000000000000</v>
      </c>
      <c r="CH412" s="216">
        <f ca="1">IF($D412&lt;&gt;"Serviço",0,IF(OR(AND(AUTOEVENTO="Manual",$M412=1),$M412&gt;(ROW(PLE.lastrow)-ROW(PLE.firstrow))),0,IF(OFFSET(PLE!$G$14,$M412,CH$13)="",10^12,OFFSET(PLE!$G$14,$M412,CH$13))))</f>
        <v>1000000000000</v>
      </c>
      <c r="CI412" s="216">
        <f ca="1">IF($D412&lt;&gt;"Serviço",0,IF(OR(AND(AUTOEVENTO="Manual",$M412=1),$M412&gt;(ROW(PLE.lastrow)-ROW(PLE.firstrow))),0,IF(OFFSET(PLE!$G$14,$M412,CI$13)="",10^12,OFFSET(PLE!$G$14,$M412,CI$13))))</f>
        <v>1000000000000</v>
      </c>
      <c r="CJ412" s="216">
        <f ca="1">IF($D412&lt;&gt;"Serviço",0,IF(OR(AND(AUTOEVENTO="Manual",$M412=1),$M412&gt;(ROW(PLE.lastrow)-ROW(PLE.firstrow))),0,IF(OFFSET(PLE!$G$14,$M412,CJ$13)="",10^12,OFFSET(PLE!$G$14,$M412,CJ$13))))</f>
        <v>1000000000000</v>
      </c>
      <c r="CK412" s="216">
        <f ca="1">IF($D412&lt;&gt;"Serviço",0,IF(OR(AND(AUTOEVENTO="Manual",$M412=1),$M412&gt;(ROW(PLE.lastrow)-ROW(PLE.firstrow))),0,IF(OFFSET(PLE!$G$14,$M412,CK$13)="",10^12,OFFSET(PLE!$G$14,$M412,CK$13))))</f>
        <v>1000000000000</v>
      </c>
      <c r="CL412" s="216">
        <f ca="1">IF($D412&lt;&gt;"Serviço",0,IF(OR(AND(AUTOEVENTO="Manual",$M412=1),$M412&gt;(ROW(PLE.lastrow)-ROW(PLE.firstrow))),0,IF(OFFSET(PLE!$G$14,$M412,CL$13)="",10^12,OFFSET(PLE!$G$14,$M412,CL$13))))</f>
        <v>1000000000000</v>
      </c>
      <c r="CM412" s="216">
        <f ca="1">IF($D412&lt;&gt;"Serviço",0,IF(OR(AND(AUTOEVENTO="Manual",$M412=1),$M412&gt;(ROW(PLE.lastrow)-ROW(PLE.firstrow))),0,IF(OFFSET(PLE!$G$14,$M412,CM$13)="",10^12,OFFSET(PLE!$G$14,$M412,CM$13))))</f>
        <v>1000000000000</v>
      </c>
    </row>
    <row r="413" spans="1:91" ht="13.2" x14ac:dyDescent="0.25">
      <c r="A413" s="9">
        <f t="shared" ca="1" si="15"/>
        <v>0</v>
      </c>
      <c r="B413" s="9" t="str">
        <f ca="1">OFFSET(ORÇAMENTO!C$15,ROW(B413)-ROW(B$15),0)</f>
        <v>S</v>
      </c>
      <c r="C413" s="9" t="str">
        <f ca="1">OFFSET(ORÇAMENTO!L$15,ROW(C413)-ROW(C$15),0)</f>
        <v/>
      </c>
      <c r="D413" s="145" t="str">
        <f ca="1">OFFSET(ORÇAMENTO!N$15,ROW(D413)-ROW(D$15),0)</f>
        <v>Serviço</v>
      </c>
      <c r="E413" s="205" t="str">
        <f ca="1">OFFSET(ORÇAMENTO!O$15,ROW(E413)-ROW(E$15),0)</f>
        <v>-</v>
      </c>
      <c r="F413" s="206" t="str">
        <f ca="1">OFFSET(ORÇAMENTO!R$15,ROW(F413)-ROW(F$15),0)</f>
        <v>(abra o arquivo 'Referência 05-2024.xls)</v>
      </c>
      <c r="G413" s="207" t="str">
        <f ca="1">IF($D413&lt;&gt;"Serviço","",OFFSET(ORÇAMENTO!S$15,ROW(G413)-ROW(G$15),0))</f>
        <v>-</v>
      </c>
      <c r="H413" s="151">
        <f ca="1">IF($D413&lt;&gt;"Serviço",0,IF(ACOMPANHAMENTO="BM",ROUND(OFFSET(ORÇAMENTO!AJ$15,ROW(H413)-ROW(H$15),0),15-13*ORÇAMENTO!$AF$7),SUMPRODUCT(($Q$12:$AI$12&lt;&gt;"")*ROUND($Q413:$AI413,15-13*ORÇAMENTO!$AF$7))))</f>
        <v>37</v>
      </c>
      <c r="I413" s="650"/>
      <c r="K413" s="208"/>
      <c r="L413" s="209" t="s">
        <v>257</v>
      </c>
      <c r="M413" s="210">
        <f ca="1">IF($D413&lt;&gt;"Serviço","",IF(AUTOEVENTO="manual",$A413,IF(ISERROR(MATCH($A413,$A$15:OFFSET($A413,-1,0),0)),MAX($M$15:OFFSET(M413,-1,0))+1,INDEX($M$15:OFFSET(M413,-1,0),MATCH($A413,$A$15:OFFSET($A413,-1,0),0)))))</f>
        <v>0</v>
      </c>
      <c r="N413" s="211" t="str">
        <f ca="1">IF($D413&lt;&gt;"Serviço","",IF(AUTOEVENTO="Manual",IF($A413=0,"&lt;-- defina o número do agrupador",OFFSET(EVENTOS!$D$14,$A413,0)),OFFSET($F$15,$A413,0)))</f>
        <v>&lt;-- defina o número do agrupador</v>
      </c>
      <c r="O413" s="212"/>
      <c r="Q413" s="212"/>
      <c r="R413" s="213"/>
      <c r="S413" s="213"/>
      <c r="T413" s="213"/>
      <c r="U413" s="213"/>
      <c r="V413" s="213"/>
      <c r="W413" s="213"/>
      <c r="X413" s="213"/>
      <c r="Y413" s="213"/>
      <c r="Z413" s="214"/>
      <c r="AA413" s="213"/>
      <c r="AB413" s="213"/>
      <c r="AC413" s="213"/>
      <c r="AD413" s="213"/>
      <c r="AE413" s="213"/>
      <c r="AF413" s="213"/>
      <c r="AG413" s="213"/>
      <c r="AH413" s="214"/>
      <c r="AJ413" s="631">
        <f ca="1">IF(AND($D413="Serviço",AJ$12&lt;&gt;0,$H413&gt;0,OR(AUTOEVENTO&lt;&gt;"manual",$M413&lt;&gt;1)),ROUND(OFFSET($P413,0,AJ$13),15-13*ORÇAMENTO!$AF$7)/$H413*OFFSET(ORÇAMENTO!$X$15,ROW(AJ413)-ROW(AJ$15),0),0)</f>
        <v>0</v>
      </c>
      <c r="AK413" s="632">
        <f ca="1">IF(AND($D413="Serviço",AK$12&lt;&gt;0,$H413&gt;0,OR(AUTOEVENTO&lt;&gt;"manual",$M413&lt;&gt;1)),ROUND(OFFSET($P413,0,AK$13),15-13*ORÇAMENTO!$AF$7)/$H413*OFFSET(ORÇAMENTO!$X$15,ROW(AK413)-ROW(AK$15),0),0)</f>
        <v>0</v>
      </c>
      <c r="AL413" s="632">
        <f ca="1">IF(AND($D413="Serviço",AL$12&lt;&gt;0,$H413&gt;0,OR(AUTOEVENTO&lt;&gt;"manual",$M413&lt;&gt;1)),ROUND(OFFSET($P413,0,AL$13),15-13*ORÇAMENTO!$AF$7)/$H413*OFFSET(ORÇAMENTO!$X$15,ROW(AL413)-ROW(AL$15),0),0)</f>
        <v>0</v>
      </c>
      <c r="AM413" s="632">
        <f ca="1">IF(AND($D413="Serviço",AM$12&lt;&gt;0,$H413&gt;0,OR(AUTOEVENTO&lt;&gt;"manual",$M413&lt;&gt;1)),ROUND(OFFSET($P413,0,AM$13),15-13*ORÇAMENTO!$AF$7)/$H413*OFFSET(ORÇAMENTO!$X$15,ROW(AM413)-ROW(AM$15),0),0)</f>
        <v>0</v>
      </c>
      <c r="AN413" s="632">
        <f ca="1">IF(AND($D413="Serviço",AN$12&lt;&gt;0,$H413&gt;0,OR(AUTOEVENTO&lt;&gt;"manual",$M413&lt;&gt;1)),ROUND(OFFSET($P413,0,AN$13),15-13*ORÇAMENTO!$AF$7)/$H413*OFFSET(ORÇAMENTO!$X$15,ROW(AN413)-ROW(AN$15),0),0)</f>
        <v>0</v>
      </c>
      <c r="AO413" s="632">
        <f ca="1">IF(AND($D413="Serviço",AO$12&lt;&gt;0,$H413&gt;0,OR(AUTOEVENTO&lt;&gt;"manual",$M413&lt;&gt;1)),ROUND(OFFSET($P413,0,AO$13),15-13*ORÇAMENTO!$AF$7)/$H413*OFFSET(ORÇAMENTO!$X$15,ROW(AO413)-ROW(AO$15),0),0)</f>
        <v>0</v>
      </c>
      <c r="AP413" s="632">
        <f ca="1">IF(AND($D413="Serviço",AP$12&lt;&gt;0,$H413&gt;0,OR(AUTOEVENTO&lt;&gt;"manual",$M413&lt;&gt;1)),ROUND(OFFSET($P413,0,AP$13),15-13*ORÇAMENTO!$AF$7)/$H413*OFFSET(ORÇAMENTO!$X$15,ROW(AP413)-ROW(AP$15),0),0)</f>
        <v>0</v>
      </c>
      <c r="AQ413" s="632">
        <f ca="1">IF(AND($D413="Serviço",AQ$12&lt;&gt;0,$H413&gt;0,OR(AUTOEVENTO&lt;&gt;"manual",$M413&lt;&gt;1)),ROUND(OFFSET($P413,0,AQ$13),15-13*ORÇAMENTO!$AF$7)/$H413*OFFSET(ORÇAMENTO!$X$15,ROW(AQ413)-ROW(AQ$15),0),0)</f>
        <v>0</v>
      </c>
      <c r="AR413" s="632">
        <f ca="1">IF(AND($D413="Serviço",AR$12&lt;&gt;0,$H413&gt;0,OR(AUTOEVENTO&lt;&gt;"manual",$M413&lt;&gt;1)),ROUND(OFFSET($P413,0,AR$13),15-13*ORÇAMENTO!$AF$7)/$H413*OFFSET(ORÇAMENTO!$X$15,ROW(AR413)-ROW(AR$15),0),0)</f>
        <v>0</v>
      </c>
      <c r="AS413" s="633">
        <f ca="1">IF(AND($D413="Serviço",AS$12&lt;&gt;0,$H413&gt;0,OR(AUTOEVENTO&lt;&gt;"manual",$M413&lt;&gt;1)),ROUND(OFFSET($P413,0,AS$13),15-13*ORÇAMENTO!$AF$7)/$H413*OFFSET(ORÇAMENTO!$X$15,ROW(AS413)-ROW(AS$15),0),0)</f>
        <v>0</v>
      </c>
      <c r="AT413" s="632">
        <f ca="1">IF(AND($D413="Serviço",AT$12&lt;&gt;0,$H413&gt;0,OR(AUTOEVENTO&lt;&gt;"manual",$M413&lt;&gt;1)),ROUND(OFFSET($P413,0,AT$13),15-13*ORÇAMENTO!$AF$7)/$H413*OFFSET(ORÇAMENTO!$X$15,ROW(AT413)-ROW(AT$15),0),0)</f>
        <v>0</v>
      </c>
      <c r="AU413" s="632">
        <f ca="1">IF(AND($D413="Serviço",AU$12&lt;&gt;0,$H413&gt;0,OR(AUTOEVENTO&lt;&gt;"manual",$M413&lt;&gt;1)),ROUND(OFFSET($P413,0,AU$13),15-13*ORÇAMENTO!$AF$7)/$H413*OFFSET(ORÇAMENTO!$X$15,ROW(AU413)-ROW(AU$15),0),0)</f>
        <v>0</v>
      </c>
      <c r="AV413" s="632">
        <f ca="1">IF(AND($D413="Serviço",AV$12&lt;&gt;0,$H413&gt;0,OR(AUTOEVENTO&lt;&gt;"manual",$M413&lt;&gt;1)),ROUND(OFFSET($P413,0,AV$13),15-13*ORÇAMENTO!$AF$7)/$H413*OFFSET(ORÇAMENTO!$X$15,ROW(AV413)-ROW(AV$15),0),0)</f>
        <v>0</v>
      </c>
      <c r="AW413" s="632">
        <f ca="1">IF(AND($D413="Serviço",AW$12&lt;&gt;0,$H413&gt;0,OR(AUTOEVENTO&lt;&gt;"manual",$M413&lt;&gt;1)),ROUND(OFFSET($P413,0,AW$13),15-13*ORÇAMENTO!$AF$7)/$H413*OFFSET(ORÇAMENTO!$X$15,ROW(AW413)-ROW(AW$15),0),0)</f>
        <v>0</v>
      </c>
      <c r="AX413" s="632">
        <f ca="1">IF(AND($D413="Serviço",AX$12&lt;&gt;0,$H413&gt;0,OR(AUTOEVENTO&lt;&gt;"manual",$M413&lt;&gt;1)),ROUND(OFFSET($P413,0,AX$13),15-13*ORÇAMENTO!$AF$7)/$H413*OFFSET(ORÇAMENTO!$X$15,ROW(AX413)-ROW(AX$15),0),0)</f>
        <v>0</v>
      </c>
      <c r="AY413" s="632">
        <f ca="1">IF(AND($D413="Serviço",AY$12&lt;&gt;0,$H413&gt;0,OR(AUTOEVENTO&lt;&gt;"manual",$M413&lt;&gt;1)),ROUND(OFFSET($P413,0,AY$13),15-13*ORÇAMENTO!$AF$7)/$H413*OFFSET(ORÇAMENTO!$X$15,ROW(AY413)-ROW(AY$15),0),0)</f>
        <v>0</v>
      </c>
      <c r="AZ413" s="632">
        <f ca="1">IF(AND($D413="Serviço",AZ$12&lt;&gt;0,$H413&gt;0,OR(AUTOEVENTO&lt;&gt;"manual",$M413&lt;&gt;1)),ROUND(OFFSET($P413,0,AZ$13),15-13*ORÇAMENTO!$AF$7)/$H413*OFFSET(ORÇAMENTO!$X$15,ROW(AZ413)-ROW(AZ$15),0),0)</f>
        <v>0</v>
      </c>
      <c r="BA413" s="633">
        <f ca="1">IF(AND($D413="Serviço",BA$12&lt;&gt;0,$H413&gt;0,OR(AUTOEVENTO&lt;&gt;"manual",$M413&lt;&gt;1)),ROUND(OFFSET($P413,0,BA$13),15-13*ORÇAMENTO!$AF$7)/$H413*OFFSET(ORÇAMENTO!$X$15,ROW(BA413)-ROW(BA$15),0),0)</f>
        <v>0</v>
      </c>
      <c r="BC413" s="215">
        <f ca="1">IF($D413&lt;&gt;"Serviço",0,IF(AND(AUTOEVENTO="Manual",$M413=1),0,IF(OFFSET(CRONOPLE!$F$14,$M413,BC$13)="",10^12,OFFSET(CRONOPLE!$F$14,$M413,BC$13))))</f>
        <v>1000000000000</v>
      </c>
      <c r="BD413" s="215">
        <f ca="1">IF($D413&lt;&gt;"Serviço",0,IF(AND(AUTOEVENTO="Manual",$M413=1),0,IF(OFFSET(CRONOPLE!$F$14,$M413,BD$13)="",10^12,OFFSET(CRONOPLE!$F$14,$M413,BD$13))))</f>
        <v>1000000000000</v>
      </c>
      <c r="BE413" s="215">
        <f ca="1">IF($D413&lt;&gt;"Serviço",0,IF(AND(AUTOEVENTO="Manual",$M413=1),0,IF(OFFSET(CRONOPLE!$F$14,$M413,BE$13)="",10^12,OFFSET(CRONOPLE!$F$14,$M413,BE$13))))</f>
        <v>1000000000000</v>
      </c>
      <c r="BF413" s="215">
        <f ca="1">IF($D413&lt;&gt;"Serviço",0,IF(AND(AUTOEVENTO="Manual",$M413=1),0,IF(OFFSET(CRONOPLE!$F$14,$M413,BF$13)="",10^12,OFFSET(CRONOPLE!$F$14,$M413,BF$13))))</f>
        <v>1000000000000</v>
      </c>
      <c r="BG413" s="215">
        <f ca="1">IF($D413&lt;&gt;"Serviço",0,IF(AND(AUTOEVENTO="Manual",$M413=1),0,IF(OFFSET(CRONOPLE!$F$14,$M413,BG$13)="",10^12,OFFSET(CRONOPLE!$F$14,$M413,BG$13))))</f>
        <v>1000000000000</v>
      </c>
      <c r="BH413" s="215">
        <f ca="1">IF($D413&lt;&gt;"Serviço",0,IF(AND(AUTOEVENTO="Manual",$M413=1),0,IF(OFFSET(CRONOPLE!$F$14,$M413,BH$13)="",10^12,OFFSET(CRONOPLE!$F$14,$M413,BH$13))))</f>
        <v>1000000000000</v>
      </c>
      <c r="BI413" s="215">
        <f ca="1">IF($D413&lt;&gt;"Serviço",0,IF(AND(AUTOEVENTO="Manual",$M413=1),0,IF(OFFSET(CRONOPLE!$F$14,$M413,BI$13)="",10^12,OFFSET(CRONOPLE!$F$14,$M413,BI$13))))</f>
        <v>1000000000000</v>
      </c>
      <c r="BJ413" s="215">
        <f ca="1">IF($D413&lt;&gt;"Serviço",0,IF(AND(AUTOEVENTO="Manual",$M413=1),0,IF(OFFSET(CRONOPLE!$F$14,$M413,BJ$13)="",10^12,OFFSET(CRONOPLE!$F$14,$M413,BJ$13))))</f>
        <v>1000000000000</v>
      </c>
      <c r="BK413" s="215">
        <f ca="1">IF($D413&lt;&gt;"Serviço",0,IF(AND(AUTOEVENTO="Manual",$M413=1),0,IF(OFFSET(CRONOPLE!$F$14,$M413,BK$13)="",10^12,OFFSET(CRONOPLE!$F$14,$M413,BK$13))))</f>
        <v>1000000000000</v>
      </c>
      <c r="BL413" s="215">
        <f ca="1">IF($D413&lt;&gt;"Serviço",0,IF(AND(AUTOEVENTO="Manual",$M413=1),0,IF(OFFSET(CRONOPLE!$F$14,$M413,BL$13)="",10^12,OFFSET(CRONOPLE!$F$14,$M413,BL$13))))</f>
        <v>1000000000000</v>
      </c>
      <c r="BM413" s="215">
        <f ca="1">IF($D413&lt;&gt;"Serviço",0,IF(AND(AUTOEVENTO="Manual",$M413=1),0,IF(OFFSET(CRONOPLE!$F$14,$M413,BM$13)="",10^12,OFFSET(CRONOPLE!$F$14,$M413,BM$13))))</f>
        <v>1000000000000</v>
      </c>
      <c r="BN413" s="215">
        <f ca="1">IF($D413&lt;&gt;"Serviço",0,IF(AND(AUTOEVENTO="Manual",$M413=1),0,IF(OFFSET(CRONOPLE!$F$14,$M413,BN$13)="",10^12,OFFSET(CRONOPLE!$F$14,$M413,BN$13))))</f>
        <v>1000000000000</v>
      </c>
      <c r="BO413" s="215">
        <f ca="1">IF($D413&lt;&gt;"Serviço",0,IF(AND(AUTOEVENTO="Manual",$M413=1),0,IF(OFFSET(CRONOPLE!$F$14,$M413,BO$13)="",10^12,OFFSET(CRONOPLE!$F$14,$M413,BO$13))))</f>
        <v>1000000000000</v>
      </c>
      <c r="BP413" s="215">
        <f ca="1">IF($D413&lt;&gt;"Serviço",0,IF(AND(AUTOEVENTO="Manual",$M413=1),0,IF(OFFSET(CRONOPLE!$F$14,$M413,BP$13)="",10^12,OFFSET(CRONOPLE!$F$14,$M413,BP$13))))</f>
        <v>1000000000000</v>
      </c>
      <c r="BQ413" s="215">
        <f ca="1">IF($D413&lt;&gt;"Serviço",0,IF(AND(AUTOEVENTO="Manual",$M413=1),0,IF(OFFSET(CRONOPLE!$F$14,$M413,BQ$13)="",10^12,OFFSET(CRONOPLE!$F$14,$M413,BQ$13))))</f>
        <v>1000000000000</v>
      </c>
      <c r="BR413" s="215">
        <f ca="1">IF($D413&lt;&gt;"Serviço",0,IF(AND(AUTOEVENTO="Manual",$M413=1),0,IF(OFFSET(CRONOPLE!$F$14,$M413,BR$13)="",10^12,OFFSET(CRONOPLE!$F$14,$M413,BR$13))))</f>
        <v>1000000000000</v>
      </c>
      <c r="BS413" s="215">
        <f ca="1">IF($D413&lt;&gt;"Serviço",0,IF(AND(AUTOEVENTO="Manual",$M413=1),0,IF(OFFSET(CRONOPLE!$F$14,$M413,BS$13)="",10^12,OFFSET(CRONOPLE!$F$14,$M413,BS$13))))</f>
        <v>1000000000000</v>
      </c>
      <c r="BT413" s="215">
        <f ca="1">IF($D413&lt;&gt;"Serviço",0,IF(AND(AUTOEVENTO="Manual",$M413=1),0,IF(OFFSET(CRONOPLE!$F$14,$M413,BT$13)="",10^12,OFFSET(CRONOPLE!$F$14,$M413,BT$13))))</f>
        <v>1000000000000</v>
      </c>
      <c r="BV413" s="216">
        <f ca="1">IF($D413&lt;&gt;"Serviço",0,IF(OR(AND(AUTOEVENTO="Manual",$M413=1),$M413&gt;(ROW(PLE.lastrow)-ROW(PLE.firstrow))),0,IF(OFFSET(PLE!$G$14,$M413,BV$13)="",10^12,OFFSET(PLE!$G$14,$M413,BV$13))))</f>
        <v>1000000000000</v>
      </c>
      <c r="BW413" s="216">
        <f ca="1">IF($D413&lt;&gt;"Serviço",0,IF(OR(AND(AUTOEVENTO="Manual",$M413=1),$M413&gt;(ROW(PLE.lastrow)-ROW(PLE.firstrow))),0,IF(OFFSET(PLE!$G$14,$M413,BW$13)="",10^12,OFFSET(PLE!$G$14,$M413,BW$13))))</f>
        <v>1000000000000</v>
      </c>
      <c r="BX413" s="216">
        <f ca="1">IF($D413&lt;&gt;"Serviço",0,IF(OR(AND(AUTOEVENTO="Manual",$M413=1),$M413&gt;(ROW(PLE.lastrow)-ROW(PLE.firstrow))),0,IF(OFFSET(PLE!$G$14,$M413,BX$13)="",10^12,OFFSET(PLE!$G$14,$M413,BX$13))))</f>
        <v>1000000000000</v>
      </c>
      <c r="BY413" s="216">
        <f ca="1">IF($D413&lt;&gt;"Serviço",0,IF(OR(AND(AUTOEVENTO="Manual",$M413=1),$M413&gt;(ROW(PLE.lastrow)-ROW(PLE.firstrow))),0,IF(OFFSET(PLE!$G$14,$M413,BY$13)="",10^12,OFFSET(PLE!$G$14,$M413,BY$13))))</f>
        <v>1000000000000</v>
      </c>
      <c r="BZ413" s="216">
        <f ca="1">IF($D413&lt;&gt;"Serviço",0,IF(OR(AND(AUTOEVENTO="Manual",$M413=1),$M413&gt;(ROW(PLE.lastrow)-ROW(PLE.firstrow))),0,IF(OFFSET(PLE!$G$14,$M413,BZ$13)="",10^12,OFFSET(PLE!$G$14,$M413,BZ$13))))</f>
        <v>1000000000000</v>
      </c>
      <c r="CA413" s="216">
        <f ca="1">IF($D413&lt;&gt;"Serviço",0,IF(OR(AND(AUTOEVENTO="Manual",$M413=1),$M413&gt;(ROW(PLE.lastrow)-ROW(PLE.firstrow))),0,IF(OFFSET(PLE!$G$14,$M413,CA$13)="",10^12,OFFSET(PLE!$G$14,$M413,CA$13))))</f>
        <v>1000000000000</v>
      </c>
      <c r="CB413" s="216">
        <f ca="1">IF($D413&lt;&gt;"Serviço",0,IF(OR(AND(AUTOEVENTO="Manual",$M413=1),$M413&gt;(ROW(PLE.lastrow)-ROW(PLE.firstrow))),0,IF(OFFSET(PLE!$G$14,$M413,CB$13)="",10^12,OFFSET(PLE!$G$14,$M413,CB$13))))</f>
        <v>1000000000000</v>
      </c>
      <c r="CC413" s="216">
        <f ca="1">IF($D413&lt;&gt;"Serviço",0,IF(OR(AND(AUTOEVENTO="Manual",$M413=1),$M413&gt;(ROW(PLE.lastrow)-ROW(PLE.firstrow))),0,IF(OFFSET(PLE!$G$14,$M413,CC$13)="",10^12,OFFSET(PLE!$G$14,$M413,CC$13))))</f>
        <v>1000000000000</v>
      </c>
      <c r="CD413" s="216">
        <f ca="1">IF($D413&lt;&gt;"Serviço",0,IF(OR(AND(AUTOEVENTO="Manual",$M413=1),$M413&gt;(ROW(PLE.lastrow)-ROW(PLE.firstrow))),0,IF(OFFSET(PLE!$G$14,$M413,CD$13)="",10^12,OFFSET(PLE!$G$14,$M413,CD$13))))</f>
        <v>1000000000000</v>
      </c>
      <c r="CE413" s="216">
        <f ca="1">IF($D413&lt;&gt;"Serviço",0,IF(OR(AND(AUTOEVENTO="Manual",$M413=1),$M413&gt;(ROW(PLE.lastrow)-ROW(PLE.firstrow))),0,IF(OFFSET(PLE!$G$14,$M413,CE$13)="",10^12,OFFSET(PLE!$G$14,$M413,CE$13))))</f>
        <v>1000000000000</v>
      </c>
      <c r="CF413" s="216">
        <f ca="1">IF($D413&lt;&gt;"Serviço",0,IF(OR(AND(AUTOEVENTO="Manual",$M413=1),$M413&gt;(ROW(PLE.lastrow)-ROW(PLE.firstrow))),0,IF(OFFSET(PLE!$G$14,$M413,CF$13)="",10^12,OFFSET(PLE!$G$14,$M413,CF$13))))</f>
        <v>1000000000000</v>
      </c>
      <c r="CG413" s="216">
        <f ca="1">IF($D413&lt;&gt;"Serviço",0,IF(OR(AND(AUTOEVENTO="Manual",$M413=1),$M413&gt;(ROW(PLE.lastrow)-ROW(PLE.firstrow))),0,IF(OFFSET(PLE!$G$14,$M413,CG$13)="",10^12,OFFSET(PLE!$G$14,$M413,CG$13))))</f>
        <v>1000000000000</v>
      </c>
      <c r="CH413" s="216">
        <f ca="1">IF($D413&lt;&gt;"Serviço",0,IF(OR(AND(AUTOEVENTO="Manual",$M413=1),$M413&gt;(ROW(PLE.lastrow)-ROW(PLE.firstrow))),0,IF(OFFSET(PLE!$G$14,$M413,CH$13)="",10^12,OFFSET(PLE!$G$14,$M413,CH$13))))</f>
        <v>1000000000000</v>
      </c>
      <c r="CI413" s="216">
        <f ca="1">IF($D413&lt;&gt;"Serviço",0,IF(OR(AND(AUTOEVENTO="Manual",$M413=1),$M413&gt;(ROW(PLE.lastrow)-ROW(PLE.firstrow))),0,IF(OFFSET(PLE!$G$14,$M413,CI$13)="",10^12,OFFSET(PLE!$G$14,$M413,CI$13))))</f>
        <v>1000000000000</v>
      </c>
      <c r="CJ413" s="216">
        <f ca="1">IF($D413&lt;&gt;"Serviço",0,IF(OR(AND(AUTOEVENTO="Manual",$M413=1),$M413&gt;(ROW(PLE.lastrow)-ROW(PLE.firstrow))),0,IF(OFFSET(PLE!$G$14,$M413,CJ$13)="",10^12,OFFSET(PLE!$G$14,$M413,CJ$13))))</f>
        <v>1000000000000</v>
      </c>
      <c r="CK413" s="216">
        <f ca="1">IF($D413&lt;&gt;"Serviço",0,IF(OR(AND(AUTOEVENTO="Manual",$M413=1),$M413&gt;(ROW(PLE.lastrow)-ROW(PLE.firstrow))),0,IF(OFFSET(PLE!$G$14,$M413,CK$13)="",10^12,OFFSET(PLE!$G$14,$M413,CK$13))))</f>
        <v>1000000000000</v>
      </c>
      <c r="CL413" s="216">
        <f ca="1">IF($D413&lt;&gt;"Serviço",0,IF(OR(AND(AUTOEVENTO="Manual",$M413=1),$M413&gt;(ROW(PLE.lastrow)-ROW(PLE.firstrow))),0,IF(OFFSET(PLE!$G$14,$M413,CL$13)="",10^12,OFFSET(PLE!$G$14,$M413,CL$13))))</f>
        <v>1000000000000</v>
      </c>
      <c r="CM413" s="216">
        <f ca="1">IF($D413&lt;&gt;"Serviço",0,IF(OR(AND(AUTOEVENTO="Manual",$M413=1),$M413&gt;(ROW(PLE.lastrow)-ROW(PLE.firstrow))),0,IF(OFFSET(PLE!$G$14,$M413,CM$13)="",10^12,OFFSET(PLE!$G$14,$M413,CM$13))))</f>
        <v>1000000000000</v>
      </c>
    </row>
    <row r="414" spans="1:91" ht="13.2" x14ac:dyDescent="0.25">
      <c r="A414" s="9">
        <f t="shared" ca="1" si="15"/>
        <v>0</v>
      </c>
      <c r="B414" s="9" t="str">
        <f ca="1">OFFSET(ORÇAMENTO!C$15,ROW(B414)-ROW(B$15),0)</f>
        <v>S</v>
      </c>
      <c r="C414" s="9" t="str">
        <f ca="1">OFFSET(ORÇAMENTO!L$15,ROW(C414)-ROW(C$15),0)</f>
        <v/>
      </c>
      <c r="D414" s="145" t="str">
        <f ca="1">OFFSET(ORÇAMENTO!N$15,ROW(D414)-ROW(D$15),0)</f>
        <v>Serviço</v>
      </c>
      <c r="E414" s="205" t="str">
        <f ca="1">OFFSET(ORÇAMENTO!O$15,ROW(E414)-ROW(E$15),0)</f>
        <v>-</v>
      </c>
      <c r="F414" s="206" t="str">
        <f ca="1">OFFSET(ORÇAMENTO!R$15,ROW(F414)-ROW(F$15),0)</f>
        <v>(abra o arquivo 'Referência 05-2024.xls)</v>
      </c>
      <c r="G414" s="207" t="str">
        <f ca="1">IF($D414&lt;&gt;"Serviço","",OFFSET(ORÇAMENTO!S$15,ROW(G414)-ROW(G$15),0))</f>
        <v>-</v>
      </c>
      <c r="H414" s="151">
        <f ca="1">IF($D414&lt;&gt;"Serviço",0,IF(ACOMPANHAMENTO="BM",ROUND(OFFSET(ORÇAMENTO!AJ$15,ROW(H414)-ROW(H$15),0),15-13*ORÇAMENTO!$AF$7),SUMPRODUCT(($Q$12:$AI$12&lt;&gt;"")*ROUND($Q414:$AI414,15-13*ORÇAMENTO!$AF$7))))</f>
        <v>2</v>
      </c>
      <c r="I414" s="650"/>
      <c r="K414" s="208"/>
      <c r="L414" s="209" t="s">
        <v>257</v>
      </c>
      <c r="M414" s="210">
        <f ca="1">IF($D414&lt;&gt;"Serviço","",IF(AUTOEVENTO="manual",$A414,IF(ISERROR(MATCH($A414,$A$15:OFFSET($A414,-1,0),0)),MAX($M$15:OFFSET(M414,-1,0))+1,INDEX($M$15:OFFSET(M414,-1,0),MATCH($A414,$A$15:OFFSET($A414,-1,0),0)))))</f>
        <v>0</v>
      </c>
      <c r="N414" s="211" t="str">
        <f ca="1">IF($D414&lt;&gt;"Serviço","",IF(AUTOEVENTO="Manual",IF($A414=0,"&lt;-- defina o número do agrupador",OFFSET(EVENTOS!$D$14,$A414,0)),OFFSET($F$15,$A414,0)))</f>
        <v>&lt;-- defina o número do agrupador</v>
      </c>
      <c r="O414" s="212"/>
      <c r="Q414" s="212"/>
      <c r="R414" s="213"/>
      <c r="S414" s="213"/>
      <c r="T414" s="213"/>
      <c r="U414" s="213"/>
      <c r="V414" s="213"/>
      <c r="W414" s="213"/>
      <c r="X414" s="213"/>
      <c r="Y414" s="213"/>
      <c r="Z414" s="214"/>
      <c r="AA414" s="213"/>
      <c r="AB414" s="213"/>
      <c r="AC414" s="213"/>
      <c r="AD414" s="213"/>
      <c r="AE414" s="213"/>
      <c r="AF414" s="213"/>
      <c r="AG414" s="213"/>
      <c r="AH414" s="214"/>
      <c r="AJ414" s="631">
        <f ca="1">IF(AND($D414="Serviço",AJ$12&lt;&gt;0,$H414&gt;0,OR(AUTOEVENTO&lt;&gt;"manual",$M414&lt;&gt;1)),ROUND(OFFSET($P414,0,AJ$13),15-13*ORÇAMENTO!$AF$7)/$H414*OFFSET(ORÇAMENTO!$X$15,ROW(AJ414)-ROW(AJ$15),0),0)</f>
        <v>0</v>
      </c>
      <c r="AK414" s="632">
        <f ca="1">IF(AND($D414="Serviço",AK$12&lt;&gt;0,$H414&gt;0,OR(AUTOEVENTO&lt;&gt;"manual",$M414&lt;&gt;1)),ROUND(OFFSET($P414,0,AK$13),15-13*ORÇAMENTO!$AF$7)/$H414*OFFSET(ORÇAMENTO!$X$15,ROW(AK414)-ROW(AK$15),0),0)</f>
        <v>0</v>
      </c>
      <c r="AL414" s="632">
        <f ca="1">IF(AND($D414="Serviço",AL$12&lt;&gt;0,$H414&gt;0,OR(AUTOEVENTO&lt;&gt;"manual",$M414&lt;&gt;1)),ROUND(OFFSET($P414,0,AL$13),15-13*ORÇAMENTO!$AF$7)/$H414*OFFSET(ORÇAMENTO!$X$15,ROW(AL414)-ROW(AL$15),0),0)</f>
        <v>0</v>
      </c>
      <c r="AM414" s="632">
        <f ca="1">IF(AND($D414="Serviço",AM$12&lt;&gt;0,$H414&gt;0,OR(AUTOEVENTO&lt;&gt;"manual",$M414&lt;&gt;1)),ROUND(OFFSET($P414,0,AM$13),15-13*ORÇAMENTO!$AF$7)/$H414*OFFSET(ORÇAMENTO!$X$15,ROW(AM414)-ROW(AM$15),0),0)</f>
        <v>0</v>
      </c>
      <c r="AN414" s="632">
        <f ca="1">IF(AND($D414="Serviço",AN$12&lt;&gt;0,$H414&gt;0,OR(AUTOEVENTO&lt;&gt;"manual",$M414&lt;&gt;1)),ROUND(OFFSET($P414,0,AN$13),15-13*ORÇAMENTO!$AF$7)/$H414*OFFSET(ORÇAMENTO!$X$15,ROW(AN414)-ROW(AN$15),0),0)</f>
        <v>0</v>
      </c>
      <c r="AO414" s="632">
        <f ca="1">IF(AND($D414="Serviço",AO$12&lt;&gt;0,$H414&gt;0,OR(AUTOEVENTO&lt;&gt;"manual",$M414&lt;&gt;1)),ROUND(OFFSET($P414,0,AO$13),15-13*ORÇAMENTO!$AF$7)/$H414*OFFSET(ORÇAMENTO!$X$15,ROW(AO414)-ROW(AO$15),0),0)</f>
        <v>0</v>
      </c>
      <c r="AP414" s="632">
        <f ca="1">IF(AND($D414="Serviço",AP$12&lt;&gt;0,$H414&gt;0,OR(AUTOEVENTO&lt;&gt;"manual",$M414&lt;&gt;1)),ROUND(OFFSET($P414,0,AP$13),15-13*ORÇAMENTO!$AF$7)/$H414*OFFSET(ORÇAMENTO!$X$15,ROW(AP414)-ROW(AP$15),0),0)</f>
        <v>0</v>
      </c>
      <c r="AQ414" s="632">
        <f ca="1">IF(AND($D414="Serviço",AQ$12&lt;&gt;0,$H414&gt;0,OR(AUTOEVENTO&lt;&gt;"manual",$M414&lt;&gt;1)),ROUND(OFFSET($P414,0,AQ$13),15-13*ORÇAMENTO!$AF$7)/$H414*OFFSET(ORÇAMENTO!$X$15,ROW(AQ414)-ROW(AQ$15),0),0)</f>
        <v>0</v>
      </c>
      <c r="AR414" s="632">
        <f ca="1">IF(AND($D414="Serviço",AR$12&lt;&gt;0,$H414&gt;0,OR(AUTOEVENTO&lt;&gt;"manual",$M414&lt;&gt;1)),ROUND(OFFSET($P414,0,AR$13),15-13*ORÇAMENTO!$AF$7)/$H414*OFFSET(ORÇAMENTO!$X$15,ROW(AR414)-ROW(AR$15),0),0)</f>
        <v>0</v>
      </c>
      <c r="AS414" s="633">
        <f ca="1">IF(AND($D414="Serviço",AS$12&lt;&gt;0,$H414&gt;0,OR(AUTOEVENTO&lt;&gt;"manual",$M414&lt;&gt;1)),ROUND(OFFSET($P414,0,AS$13),15-13*ORÇAMENTO!$AF$7)/$H414*OFFSET(ORÇAMENTO!$X$15,ROW(AS414)-ROW(AS$15),0),0)</f>
        <v>0</v>
      </c>
      <c r="AT414" s="632">
        <f ca="1">IF(AND($D414="Serviço",AT$12&lt;&gt;0,$H414&gt;0,OR(AUTOEVENTO&lt;&gt;"manual",$M414&lt;&gt;1)),ROUND(OFFSET($P414,0,AT$13),15-13*ORÇAMENTO!$AF$7)/$H414*OFFSET(ORÇAMENTO!$X$15,ROW(AT414)-ROW(AT$15),0),0)</f>
        <v>0</v>
      </c>
      <c r="AU414" s="632">
        <f ca="1">IF(AND($D414="Serviço",AU$12&lt;&gt;0,$H414&gt;0,OR(AUTOEVENTO&lt;&gt;"manual",$M414&lt;&gt;1)),ROUND(OFFSET($P414,0,AU$13),15-13*ORÇAMENTO!$AF$7)/$H414*OFFSET(ORÇAMENTO!$X$15,ROW(AU414)-ROW(AU$15),0),0)</f>
        <v>0</v>
      </c>
      <c r="AV414" s="632">
        <f ca="1">IF(AND($D414="Serviço",AV$12&lt;&gt;0,$H414&gt;0,OR(AUTOEVENTO&lt;&gt;"manual",$M414&lt;&gt;1)),ROUND(OFFSET($P414,0,AV$13),15-13*ORÇAMENTO!$AF$7)/$H414*OFFSET(ORÇAMENTO!$X$15,ROW(AV414)-ROW(AV$15),0),0)</f>
        <v>0</v>
      </c>
      <c r="AW414" s="632">
        <f ca="1">IF(AND($D414="Serviço",AW$12&lt;&gt;0,$H414&gt;0,OR(AUTOEVENTO&lt;&gt;"manual",$M414&lt;&gt;1)),ROUND(OFFSET($P414,0,AW$13),15-13*ORÇAMENTO!$AF$7)/$H414*OFFSET(ORÇAMENTO!$X$15,ROW(AW414)-ROW(AW$15),0),0)</f>
        <v>0</v>
      </c>
      <c r="AX414" s="632">
        <f ca="1">IF(AND($D414="Serviço",AX$12&lt;&gt;0,$H414&gt;0,OR(AUTOEVENTO&lt;&gt;"manual",$M414&lt;&gt;1)),ROUND(OFFSET($P414,0,AX$13),15-13*ORÇAMENTO!$AF$7)/$H414*OFFSET(ORÇAMENTO!$X$15,ROW(AX414)-ROW(AX$15),0),0)</f>
        <v>0</v>
      </c>
      <c r="AY414" s="632">
        <f ca="1">IF(AND($D414="Serviço",AY$12&lt;&gt;0,$H414&gt;0,OR(AUTOEVENTO&lt;&gt;"manual",$M414&lt;&gt;1)),ROUND(OFFSET($P414,0,AY$13),15-13*ORÇAMENTO!$AF$7)/$H414*OFFSET(ORÇAMENTO!$X$15,ROW(AY414)-ROW(AY$15),0),0)</f>
        <v>0</v>
      </c>
      <c r="AZ414" s="632">
        <f ca="1">IF(AND($D414="Serviço",AZ$12&lt;&gt;0,$H414&gt;0,OR(AUTOEVENTO&lt;&gt;"manual",$M414&lt;&gt;1)),ROUND(OFFSET($P414,0,AZ$13),15-13*ORÇAMENTO!$AF$7)/$H414*OFFSET(ORÇAMENTO!$X$15,ROW(AZ414)-ROW(AZ$15),0),0)</f>
        <v>0</v>
      </c>
      <c r="BA414" s="633">
        <f ca="1">IF(AND($D414="Serviço",BA$12&lt;&gt;0,$H414&gt;0,OR(AUTOEVENTO&lt;&gt;"manual",$M414&lt;&gt;1)),ROUND(OFFSET($P414,0,BA$13),15-13*ORÇAMENTO!$AF$7)/$H414*OFFSET(ORÇAMENTO!$X$15,ROW(BA414)-ROW(BA$15),0),0)</f>
        <v>0</v>
      </c>
      <c r="BC414" s="215">
        <f ca="1">IF($D414&lt;&gt;"Serviço",0,IF(AND(AUTOEVENTO="Manual",$M414=1),0,IF(OFFSET(CRONOPLE!$F$14,$M414,BC$13)="",10^12,OFFSET(CRONOPLE!$F$14,$M414,BC$13))))</f>
        <v>1000000000000</v>
      </c>
      <c r="BD414" s="215">
        <f ca="1">IF($D414&lt;&gt;"Serviço",0,IF(AND(AUTOEVENTO="Manual",$M414=1),0,IF(OFFSET(CRONOPLE!$F$14,$M414,BD$13)="",10^12,OFFSET(CRONOPLE!$F$14,$M414,BD$13))))</f>
        <v>1000000000000</v>
      </c>
      <c r="BE414" s="215">
        <f ca="1">IF($D414&lt;&gt;"Serviço",0,IF(AND(AUTOEVENTO="Manual",$M414=1),0,IF(OFFSET(CRONOPLE!$F$14,$M414,BE$13)="",10^12,OFFSET(CRONOPLE!$F$14,$M414,BE$13))))</f>
        <v>1000000000000</v>
      </c>
      <c r="BF414" s="215">
        <f ca="1">IF($D414&lt;&gt;"Serviço",0,IF(AND(AUTOEVENTO="Manual",$M414=1),0,IF(OFFSET(CRONOPLE!$F$14,$M414,BF$13)="",10^12,OFFSET(CRONOPLE!$F$14,$M414,BF$13))))</f>
        <v>1000000000000</v>
      </c>
      <c r="BG414" s="215">
        <f ca="1">IF($D414&lt;&gt;"Serviço",0,IF(AND(AUTOEVENTO="Manual",$M414=1),0,IF(OFFSET(CRONOPLE!$F$14,$M414,BG$13)="",10^12,OFFSET(CRONOPLE!$F$14,$M414,BG$13))))</f>
        <v>1000000000000</v>
      </c>
      <c r="BH414" s="215">
        <f ca="1">IF($D414&lt;&gt;"Serviço",0,IF(AND(AUTOEVENTO="Manual",$M414=1),0,IF(OFFSET(CRONOPLE!$F$14,$M414,BH$13)="",10^12,OFFSET(CRONOPLE!$F$14,$M414,BH$13))))</f>
        <v>1000000000000</v>
      </c>
      <c r="BI414" s="215">
        <f ca="1">IF($D414&lt;&gt;"Serviço",0,IF(AND(AUTOEVENTO="Manual",$M414=1),0,IF(OFFSET(CRONOPLE!$F$14,$M414,BI$13)="",10^12,OFFSET(CRONOPLE!$F$14,$M414,BI$13))))</f>
        <v>1000000000000</v>
      </c>
      <c r="BJ414" s="215">
        <f ca="1">IF($D414&lt;&gt;"Serviço",0,IF(AND(AUTOEVENTO="Manual",$M414=1),0,IF(OFFSET(CRONOPLE!$F$14,$M414,BJ$13)="",10^12,OFFSET(CRONOPLE!$F$14,$M414,BJ$13))))</f>
        <v>1000000000000</v>
      </c>
      <c r="BK414" s="215">
        <f ca="1">IF($D414&lt;&gt;"Serviço",0,IF(AND(AUTOEVENTO="Manual",$M414=1),0,IF(OFFSET(CRONOPLE!$F$14,$M414,BK$13)="",10^12,OFFSET(CRONOPLE!$F$14,$M414,BK$13))))</f>
        <v>1000000000000</v>
      </c>
      <c r="BL414" s="215">
        <f ca="1">IF($D414&lt;&gt;"Serviço",0,IF(AND(AUTOEVENTO="Manual",$M414=1),0,IF(OFFSET(CRONOPLE!$F$14,$M414,BL$13)="",10^12,OFFSET(CRONOPLE!$F$14,$M414,BL$13))))</f>
        <v>1000000000000</v>
      </c>
      <c r="BM414" s="215">
        <f ca="1">IF($D414&lt;&gt;"Serviço",0,IF(AND(AUTOEVENTO="Manual",$M414=1),0,IF(OFFSET(CRONOPLE!$F$14,$M414,BM$13)="",10^12,OFFSET(CRONOPLE!$F$14,$M414,BM$13))))</f>
        <v>1000000000000</v>
      </c>
      <c r="BN414" s="215">
        <f ca="1">IF($D414&lt;&gt;"Serviço",0,IF(AND(AUTOEVENTO="Manual",$M414=1),0,IF(OFFSET(CRONOPLE!$F$14,$M414,BN$13)="",10^12,OFFSET(CRONOPLE!$F$14,$M414,BN$13))))</f>
        <v>1000000000000</v>
      </c>
      <c r="BO414" s="215">
        <f ca="1">IF($D414&lt;&gt;"Serviço",0,IF(AND(AUTOEVENTO="Manual",$M414=1),0,IF(OFFSET(CRONOPLE!$F$14,$M414,BO$13)="",10^12,OFFSET(CRONOPLE!$F$14,$M414,BO$13))))</f>
        <v>1000000000000</v>
      </c>
      <c r="BP414" s="215">
        <f ca="1">IF($D414&lt;&gt;"Serviço",0,IF(AND(AUTOEVENTO="Manual",$M414=1),0,IF(OFFSET(CRONOPLE!$F$14,$M414,BP$13)="",10^12,OFFSET(CRONOPLE!$F$14,$M414,BP$13))))</f>
        <v>1000000000000</v>
      </c>
      <c r="BQ414" s="215">
        <f ca="1">IF($D414&lt;&gt;"Serviço",0,IF(AND(AUTOEVENTO="Manual",$M414=1),0,IF(OFFSET(CRONOPLE!$F$14,$M414,BQ$13)="",10^12,OFFSET(CRONOPLE!$F$14,$M414,BQ$13))))</f>
        <v>1000000000000</v>
      </c>
      <c r="BR414" s="215">
        <f ca="1">IF($D414&lt;&gt;"Serviço",0,IF(AND(AUTOEVENTO="Manual",$M414=1),0,IF(OFFSET(CRONOPLE!$F$14,$M414,BR$13)="",10^12,OFFSET(CRONOPLE!$F$14,$M414,BR$13))))</f>
        <v>1000000000000</v>
      </c>
      <c r="BS414" s="215">
        <f ca="1">IF($D414&lt;&gt;"Serviço",0,IF(AND(AUTOEVENTO="Manual",$M414=1),0,IF(OFFSET(CRONOPLE!$F$14,$M414,BS$13)="",10^12,OFFSET(CRONOPLE!$F$14,$M414,BS$13))))</f>
        <v>1000000000000</v>
      </c>
      <c r="BT414" s="215">
        <f ca="1">IF($D414&lt;&gt;"Serviço",0,IF(AND(AUTOEVENTO="Manual",$M414=1),0,IF(OFFSET(CRONOPLE!$F$14,$M414,BT$13)="",10^12,OFFSET(CRONOPLE!$F$14,$M414,BT$13))))</f>
        <v>1000000000000</v>
      </c>
      <c r="BV414" s="216">
        <f ca="1">IF($D414&lt;&gt;"Serviço",0,IF(OR(AND(AUTOEVENTO="Manual",$M414=1),$M414&gt;(ROW(PLE.lastrow)-ROW(PLE.firstrow))),0,IF(OFFSET(PLE!$G$14,$M414,BV$13)="",10^12,OFFSET(PLE!$G$14,$M414,BV$13))))</f>
        <v>1000000000000</v>
      </c>
      <c r="BW414" s="216">
        <f ca="1">IF($D414&lt;&gt;"Serviço",0,IF(OR(AND(AUTOEVENTO="Manual",$M414=1),$M414&gt;(ROW(PLE.lastrow)-ROW(PLE.firstrow))),0,IF(OFFSET(PLE!$G$14,$M414,BW$13)="",10^12,OFFSET(PLE!$G$14,$M414,BW$13))))</f>
        <v>1000000000000</v>
      </c>
      <c r="BX414" s="216">
        <f ca="1">IF($D414&lt;&gt;"Serviço",0,IF(OR(AND(AUTOEVENTO="Manual",$M414=1),$M414&gt;(ROW(PLE.lastrow)-ROW(PLE.firstrow))),0,IF(OFFSET(PLE!$G$14,$M414,BX$13)="",10^12,OFFSET(PLE!$G$14,$M414,BX$13))))</f>
        <v>1000000000000</v>
      </c>
      <c r="BY414" s="216">
        <f ca="1">IF($D414&lt;&gt;"Serviço",0,IF(OR(AND(AUTOEVENTO="Manual",$M414=1),$M414&gt;(ROW(PLE.lastrow)-ROW(PLE.firstrow))),0,IF(OFFSET(PLE!$G$14,$M414,BY$13)="",10^12,OFFSET(PLE!$G$14,$M414,BY$13))))</f>
        <v>1000000000000</v>
      </c>
      <c r="BZ414" s="216">
        <f ca="1">IF($D414&lt;&gt;"Serviço",0,IF(OR(AND(AUTOEVENTO="Manual",$M414=1),$M414&gt;(ROW(PLE.lastrow)-ROW(PLE.firstrow))),0,IF(OFFSET(PLE!$G$14,$M414,BZ$13)="",10^12,OFFSET(PLE!$G$14,$M414,BZ$13))))</f>
        <v>1000000000000</v>
      </c>
      <c r="CA414" s="216">
        <f ca="1">IF($D414&lt;&gt;"Serviço",0,IF(OR(AND(AUTOEVENTO="Manual",$M414=1),$M414&gt;(ROW(PLE.lastrow)-ROW(PLE.firstrow))),0,IF(OFFSET(PLE!$G$14,$M414,CA$13)="",10^12,OFFSET(PLE!$G$14,$M414,CA$13))))</f>
        <v>1000000000000</v>
      </c>
      <c r="CB414" s="216">
        <f ca="1">IF($D414&lt;&gt;"Serviço",0,IF(OR(AND(AUTOEVENTO="Manual",$M414=1),$M414&gt;(ROW(PLE.lastrow)-ROW(PLE.firstrow))),0,IF(OFFSET(PLE!$G$14,$M414,CB$13)="",10^12,OFFSET(PLE!$G$14,$M414,CB$13))))</f>
        <v>1000000000000</v>
      </c>
      <c r="CC414" s="216">
        <f ca="1">IF($D414&lt;&gt;"Serviço",0,IF(OR(AND(AUTOEVENTO="Manual",$M414=1),$M414&gt;(ROW(PLE.lastrow)-ROW(PLE.firstrow))),0,IF(OFFSET(PLE!$G$14,$M414,CC$13)="",10^12,OFFSET(PLE!$G$14,$M414,CC$13))))</f>
        <v>1000000000000</v>
      </c>
      <c r="CD414" s="216">
        <f ca="1">IF($D414&lt;&gt;"Serviço",0,IF(OR(AND(AUTOEVENTO="Manual",$M414=1),$M414&gt;(ROW(PLE.lastrow)-ROW(PLE.firstrow))),0,IF(OFFSET(PLE!$G$14,$M414,CD$13)="",10^12,OFFSET(PLE!$G$14,$M414,CD$13))))</f>
        <v>1000000000000</v>
      </c>
      <c r="CE414" s="216">
        <f ca="1">IF($D414&lt;&gt;"Serviço",0,IF(OR(AND(AUTOEVENTO="Manual",$M414=1),$M414&gt;(ROW(PLE.lastrow)-ROW(PLE.firstrow))),0,IF(OFFSET(PLE!$G$14,$M414,CE$13)="",10^12,OFFSET(PLE!$G$14,$M414,CE$13))))</f>
        <v>1000000000000</v>
      </c>
      <c r="CF414" s="216">
        <f ca="1">IF($D414&lt;&gt;"Serviço",0,IF(OR(AND(AUTOEVENTO="Manual",$M414=1),$M414&gt;(ROW(PLE.lastrow)-ROW(PLE.firstrow))),0,IF(OFFSET(PLE!$G$14,$M414,CF$13)="",10^12,OFFSET(PLE!$G$14,$M414,CF$13))))</f>
        <v>1000000000000</v>
      </c>
      <c r="CG414" s="216">
        <f ca="1">IF($D414&lt;&gt;"Serviço",0,IF(OR(AND(AUTOEVENTO="Manual",$M414=1),$M414&gt;(ROW(PLE.lastrow)-ROW(PLE.firstrow))),0,IF(OFFSET(PLE!$G$14,$M414,CG$13)="",10^12,OFFSET(PLE!$G$14,$M414,CG$13))))</f>
        <v>1000000000000</v>
      </c>
      <c r="CH414" s="216">
        <f ca="1">IF($D414&lt;&gt;"Serviço",0,IF(OR(AND(AUTOEVENTO="Manual",$M414=1),$M414&gt;(ROW(PLE.lastrow)-ROW(PLE.firstrow))),0,IF(OFFSET(PLE!$G$14,$M414,CH$13)="",10^12,OFFSET(PLE!$G$14,$M414,CH$13))))</f>
        <v>1000000000000</v>
      </c>
      <c r="CI414" s="216">
        <f ca="1">IF($D414&lt;&gt;"Serviço",0,IF(OR(AND(AUTOEVENTO="Manual",$M414=1),$M414&gt;(ROW(PLE.lastrow)-ROW(PLE.firstrow))),0,IF(OFFSET(PLE!$G$14,$M414,CI$13)="",10^12,OFFSET(PLE!$G$14,$M414,CI$13))))</f>
        <v>1000000000000</v>
      </c>
      <c r="CJ414" s="216">
        <f ca="1">IF($D414&lt;&gt;"Serviço",0,IF(OR(AND(AUTOEVENTO="Manual",$M414=1),$M414&gt;(ROW(PLE.lastrow)-ROW(PLE.firstrow))),0,IF(OFFSET(PLE!$G$14,$M414,CJ$13)="",10^12,OFFSET(PLE!$G$14,$M414,CJ$13))))</f>
        <v>1000000000000</v>
      </c>
      <c r="CK414" s="216">
        <f ca="1">IF($D414&lt;&gt;"Serviço",0,IF(OR(AND(AUTOEVENTO="Manual",$M414=1),$M414&gt;(ROW(PLE.lastrow)-ROW(PLE.firstrow))),0,IF(OFFSET(PLE!$G$14,$M414,CK$13)="",10^12,OFFSET(PLE!$G$14,$M414,CK$13))))</f>
        <v>1000000000000</v>
      </c>
      <c r="CL414" s="216">
        <f ca="1">IF($D414&lt;&gt;"Serviço",0,IF(OR(AND(AUTOEVENTO="Manual",$M414=1),$M414&gt;(ROW(PLE.lastrow)-ROW(PLE.firstrow))),0,IF(OFFSET(PLE!$G$14,$M414,CL$13)="",10^12,OFFSET(PLE!$G$14,$M414,CL$13))))</f>
        <v>1000000000000</v>
      </c>
      <c r="CM414" s="216">
        <f ca="1">IF($D414&lt;&gt;"Serviço",0,IF(OR(AND(AUTOEVENTO="Manual",$M414=1),$M414&gt;(ROW(PLE.lastrow)-ROW(PLE.firstrow))),0,IF(OFFSET(PLE!$G$14,$M414,CM$13)="",10^12,OFFSET(PLE!$G$14,$M414,CM$13))))</f>
        <v>1000000000000</v>
      </c>
    </row>
    <row r="415" spans="1:91" ht="13.2" x14ac:dyDescent="0.25">
      <c r="A415" s="9">
        <f t="shared" ca="1" si="15"/>
        <v>0</v>
      </c>
      <c r="B415" s="9" t="str">
        <f ca="1">OFFSET(ORÇAMENTO!C$15,ROW(B415)-ROW(B$15),0)</f>
        <v>S</v>
      </c>
      <c r="C415" s="9" t="str">
        <f ca="1">OFFSET(ORÇAMENTO!L$15,ROW(C415)-ROW(C$15),0)</f>
        <v/>
      </c>
      <c r="D415" s="145" t="str">
        <f ca="1">OFFSET(ORÇAMENTO!N$15,ROW(D415)-ROW(D$15),0)</f>
        <v>Serviço</v>
      </c>
      <c r="E415" s="205" t="str">
        <f ca="1">OFFSET(ORÇAMENTO!O$15,ROW(E415)-ROW(E$15),0)</f>
        <v>-</v>
      </c>
      <c r="F415" s="206" t="str">
        <f ca="1">OFFSET(ORÇAMENTO!R$15,ROW(F415)-ROW(F$15),0)</f>
        <v>(abra o arquivo 'Referência 05-2024.xls)</v>
      </c>
      <c r="G415" s="207" t="str">
        <f ca="1">IF($D415&lt;&gt;"Serviço","",OFFSET(ORÇAMENTO!S$15,ROW(G415)-ROW(G$15),0))</f>
        <v>-</v>
      </c>
      <c r="H415" s="151">
        <f ca="1">IF($D415&lt;&gt;"Serviço",0,IF(ACOMPANHAMENTO="BM",ROUND(OFFSET(ORÇAMENTO!AJ$15,ROW(H415)-ROW(H$15),0),15-13*ORÇAMENTO!$AF$7),SUMPRODUCT(($Q$12:$AI$12&lt;&gt;"")*ROUND($Q415:$AI415,15-13*ORÇAMENTO!$AF$7))))</f>
        <v>5</v>
      </c>
      <c r="I415" s="650"/>
      <c r="K415" s="208"/>
      <c r="L415" s="209" t="s">
        <v>257</v>
      </c>
      <c r="M415" s="210">
        <f ca="1">IF($D415&lt;&gt;"Serviço","",IF(AUTOEVENTO="manual",$A415,IF(ISERROR(MATCH($A415,$A$15:OFFSET($A415,-1,0),0)),MAX($M$15:OFFSET(M415,-1,0))+1,INDEX($M$15:OFFSET(M415,-1,0),MATCH($A415,$A$15:OFFSET($A415,-1,0),0)))))</f>
        <v>0</v>
      </c>
      <c r="N415" s="211" t="str">
        <f ca="1">IF($D415&lt;&gt;"Serviço","",IF(AUTOEVENTO="Manual",IF($A415=0,"&lt;-- defina o número do agrupador",OFFSET(EVENTOS!$D$14,$A415,0)),OFFSET($F$15,$A415,0)))</f>
        <v>&lt;-- defina o número do agrupador</v>
      </c>
      <c r="O415" s="212"/>
      <c r="Q415" s="212"/>
      <c r="R415" s="213"/>
      <c r="S415" s="213"/>
      <c r="T415" s="213"/>
      <c r="U415" s="213"/>
      <c r="V415" s="213"/>
      <c r="W415" s="213"/>
      <c r="X415" s="213"/>
      <c r="Y415" s="213"/>
      <c r="Z415" s="214"/>
      <c r="AA415" s="213"/>
      <c r="AB415" s="213"/>
      <c r="AC415" s="213"/>
      <c r="AD415" s="213"/>
      <c r="AE415" s="213"/>
      <c r="AF415" s="213"/>
      <c r="AG415" s="213"/>
      <c r="AH415" s="214"/>
      <c r="AJ415" s="631">
        <f ca="1">IF(AND($D415="Serviço",AJ$12&lt;&gt;0,$H415&gt;0,OR(AUTOEVENTO&lt;&gt;"manual",$M415&lt;&gt;1)),ROUND(OFFSET($P415,0,AJ$13),15-13*ORÇAMENTO!$AF$7)/$H415*OFFSET(ORÇAMENTO!$X$15,ROW(AJ415)-ROW(AJ$15),0),0)</f>
        <v>0</v>
      </c>
      <c r="AK415" s="632">
        <f ca="1">IF(AND($D415="Serviço",AK$12&lt;&gt;0,$H415&gt;0,OR(AUTOEVENTO&lt;&gt;"manual",$M415&lt;&gt;1)),ROUND(OFFSET($P415,0,AK$13),15-13*ORÇAMENTO!$AF$7)/$H415*OFFSET(ORÇAMENTO!$X$15,ROW(AK415)-ROW(AK$15),0),0)</f>
        <v>0</v>
      </c>
      <c r="AL415" s="632">
        <f ca="1">IF(AND($D415="Serviço",AL$12&lt;&gt;0,$H415&gt;0,OR(AUTOEVENTO&lt;&gt;"manual",$M415&lt;&gt;1)),ROUND(OFFSET($P415,0,AL$13),15-13*ORÇAMENTO!$AF$7)/$H415*OFFSET(ORÇAMENTO!$X$15,ROW(AL415)-ROW(AL$15),0),0)</f>
        <v>0</v>
      </c>
      <c r="AM415" s="632">
        <f ca="1">IF(AND($D415="Serviço",AM$12&lt;&gt;0,$H415&gt;0,OR(AUTOEVENTO&lt;&gt;"manual",$M415&lt;&gt;1)),ROUND(OFFSET($P415,0,AM$13),15-13*ORÇAMENTO!$AF$7)/$H415*OFFSET(ORÇAMENTO!$X$15,ROW(AM415)-ROW(AM$15),0),0)</f>
        <v>0</v>
      </c>
      <c r="AN415" s="632">
        <f ca="1">IF(AND($D415="Serviço",AN$12&lt;&gt;0,$H415&gt;0,OR(AUTOEVENTO&lt;&gt;"manual",$M415&lt;&gt;1)),ROUND(OFFSET($P415,0,AN$13),15-13*ORÇAMENTO!$AF$7)/$H415*OFFSET(ORÇAMENTO!$X$15,ROW(AN415)-ROW(AN$15),0),0)</f>
        <v>0</v>
      </c>
      <c r="AO415" s="632">
        <f ca="1">IF(AND($D415="Serviço",AO$12&lt;&gt;0,$H415&gt;0,OR(AUTOEVENTO&lt;&gt;"manual",$M415&lt;&gt;1)),ROUND(OFFSET($P415,0,AO$13),15-13*ORÇAMENTO!$AF$7)/$H415*OFFSET(ORÇAMENTO!$X$15,ROW(AO415)-ROW(AO$15),0),0)</f>
        <v>0</v>
      </c>
      <c r="AP415" s="632">
        <f ca="1">IF(AND($D415="Serviço",AP$12&lt;&gt;0,$H415&gt;0,OR(AUTOEVENTO&lt;&gt;"manual",$M415&lt;&gt;1)),ROUND(OFFSET($P415,0,AP$13),15-13*ORÇAMENTO!$AF$7)/$H415*OFFSET(ORÇAMENTO!$X$15,ROW(AP415)-ROW(AP$15),0),0)</f>
        <v>0</v>
      </c>
      <c r="AQ415" s="632">
        <f ca="1">IF(AND($D415="Serviço",AQ$12&lt;&gt;0,$H415&gt;0,OR(AUTOEVENTO&lt;&gt;"manual",$M415&lt;&gt;1)),ROUND(OFFSET($P415,0,AQ$13),15-13*ORÇAMENTO!$AF$7)/$H415*OFFSET(ORÇAMENTO!$X$15,ROW(AQ415)-ROW(AQ$15),0),0)</f>
        <v>0</v>
      </c>
      <c r="AR415" s="632">
        <f ca="1">IF(AND($D415="Serviço",AR$12&lt;&gt;0,$H415&gt;0,OR(AUTOEVENTO&lt;&gt;"manual",$M415&lt;&gt;1)),ROUND(OFFSET($P415,0,AR$13),15-13*ORÇAMENTO!$AF$7)/$H415*OFFSET(ORÇAMENTO!$X$15,ROW(AR415)-ROW(AR$15),0),0)</f>
        <v>0</v>
      </c>
      <c r="AS415" s="633">
        <f ca="1">IF(AND($D415="Serviço",AS$12&lt;&gt;0,$H415&gt;0,OR(AUTOEVENTO&lt;&gt;"manual",$M415&lt;&gt;1)),ROUND(OFFSET($P415,0,AS$13),15-13*ORÇAMENTO!$AF$7)/$H415*OFFSET(ORÇAMENTO!$X$15,ROW(AS415)-ROW(AS$15),0),0)</f>
        <v>0</v>
      </c>
      <c r="AT415" s="632">
        <f ca="1">IF(AND($D415="Serviço",AT$12&lt;&gt;0,$H415&gt;0,OR(AUTOEVENTO&lt;&gt;"manual",$M415&lt;&gt;1)),ROUND(OFFSET($P415,0,AT$13),15-13*ORÇAMENTO!$AF$7)/$H415*OFFSET(ORÇAMENTO!$X$15,ROW(AT415)-ROW(AT$15),0),0)</f>
        <v>0</v>
      </c>
      <c r="AU415" s="632">
        <f ca="1">IF(AND($D415="Serviço",AU$12&lt;&gt;0,$H415&gt;0,OR(AUTOEVENTO&lt;&gt;"manual",$M415&lt;&gt;1)),ROUND(OFFSET($P415,0,AU$13),15-13*ORÇAMENTO!$AF$7)/$H415*OFFSET(ORÇAMENTO!$X$15,ROW(AU415)-ROW(AU$15),0),0)</f>
        <v>0</v>
      </c>
      <c r="AV415" s="632">
        <f ca="1">IF(AND($D415="Serviço",AV$12&lt;&gt;0,$H415&gt;0,OR(AUTOEVENTO&lt;&gt;"manual",$M415&lt;&gt;1)),ROUND(OFFSET($P415,0,AV$13),15-13*ORÇAMENTO!$AF$7)/$H415*OFFSET(ORÇAMENTO!$X$15,ROW(AV415)-ROW(AV$15),0),0)</f>
        <v>0</v>
      </c>
      <c r="AW415" s="632">
        <f ca="1">IF(AND($D415="Serviço",AW$12&lt;&gt;0,$H415&gt;0,OR(AUTOEVENTO&lt;&gt;"manual",$M415&lt;&gt;1)),ROUND(OFFSET($P415,0,AW$13),15-13*ORÇAMENTO!$AF$7)/$H415*OFFSET(ORÇAMENTO!$X$15,ROW(AW415)-ROW(AW$15),0),0)</f>
        <v>0</v>
      </c>
      <c r="AX415" s="632">
        <f ca="1">IF(AND($D415="Serviço",AX$12&lt;&gt;0,$H415&gt;0,OR(AUTOEVENTO&lt;&gt;"manual",$M415&lt;&gt;1)),ROUND(OFFSET($P415,0,AX$13),15-13*ORÇAMENTO!$AF$7)/$H415*OFFSET(ORÇAMENTO!$X$15,ROW(AX415)-ROW(AX$15),0),0)</f>
        <v>0</v>
      </c>
      <c r="AY415" s="632">
        <f ca="1">IF(AND($D415="Serviço",AY$12&lt;&gt;0,$H415&gt;0,OR(AUTOEVENTO&lt;&gt;"manual",$M415&lt;&gt;1)),ROUND(OFFSET($P415,0,AY$13),15-13*ORÇAMENTO!$AF$7)/$H415*OFFSET(ORÇAMENTO!$X$15,ROW(AY415)-ROW(AY$15),0),0)</f>
        <v>0</v>
      </c>
      <c r="AZ415" s="632">
        <f ca="1">IF(AND($D415="Serviço",AZ$12&lt;&gt;0,$H415&gt;0,OR(AUTOEVENTO&lt;&gt;"manual",$M415&lt;&gt;1)),ROUND(OFFSET($P415,0,AZ$13),15-13*ORÇAMENTO!$AF$7)/$H415*OFFSET(ORÇAMENTO!$X$15,ROW(AZ415)-ROW(AZ$15),0),0)</f>
        <v>0</v>
      </c>
      <c r="BA415" s="633">
        <f ca="1">IF(AND($D415="Serviço",BA$12&lt;&gt;0,$H415&gt;0,OR(AUTOEVENTO&lt;&gt;"manual",$M415&lt;&gt;1)),ROUND(OFFSET($P415,0,BA$13),15-13*ORÇAMENTO!$AF$7)/$H415*OFFSET(ORÇAMENTO!$X$15,ROW(BA415)-ROW(BA$15),0),0)</f>
        <v>0</v>
      </c>
      <c r="BC415" s="215">
        <f ca="1">IF($D415&lt;&gt;"Serviço",0,IF(AND(AUTOEVENTO="Manual",$M415=1),0,IF(OFFSET(CRONOPLE!$F$14,$M415,BC$13)="",10^12,OFFSET(CRONOPLE!$F$14,$M415,BC$13))))</f>
        <v>1000000000000</v>
      </c>
      <c r="BD415" s="215">
        <f ca="1">IF($D415&lt;&gt;"Serviço",0,IF(AND(AUTOEVENTO="Manual",$M415=1),0,IF(OFFSET(CRONOPLE!$F$14,$M415,BD$13)="",10^12,OFFSET(CRONOPLE!$F$14,$M415,BD$13))))</f>
        <v>1000000000000</v>
      </c>
      <c r="BE415" s="215">
        <f ca="1">IF($D415&lt;&gt;"Serviço",0,IF(AND(AUTOEVENTO="Manual",$M415=1),0,IF(OFFSET(CRONOPLE!$F$14,$M415,BE$13)="",10^12,OFFSET(CRONOPLE!$F$14,$M415,BE$13))))</f>
        <v>1000000000000</v>
      </c>
      <c r="BF415" s="215">
        <f ca="1">IF($D415&lt;&gt;"Serviço",0,IF(AND(AUTOEVENTO="Manual",$M415=1),0,IF(OFFSET(CRONOPLE!$F$14,$M415,BF$13)="",10^12,OFFSET(CRONOPLE!$F$14,$M415,BF$13))))</f>
        <v>1000000000000</v>
      </c>
      <c r="BG415" s="215">
        <f ca="1">IF($D415&lt;&gt;"Serviço",0,IF(AND(AUTOEVENTO="Manual",$M415=1),0,IF(OFFSET(CRONOPLE!$F$14,$M415,BG$13)="",10^12,OFFSET(CRONOPLE!$F$14,$M415,BG$13))))</f>
        <v>1000000000000</v>
      </c>
      <c r="BH415" s="215">
        <f ca="1">IF($D415&lt;&gt;"Serviço",0,IF(AND(AUTOEVENTO="Manual",$M415=1),0,IF(OFFSET(CRONOPLE!$F$14,$M415,BH$13)="",10^12,OFFSET(CRONOPLE!$F$14,$M415,BH$13))))</f>
        <v>1000000000000</v>
      </c>
      <c r="BI415" s="215">
        <f ca="1">IF($D415&lt;&gt;"Serviço",0,IF(AND(AUTOEVENTO="Manual",$M415=1),0,IF(OFFSET(CRONOPLE!$F$14,$M415,BI$13)="",10^12,OFFSET(CRONOPLE!$F$14,$M415,BI$13))))</f>
        <v>1000000000000</v>
      </c>
      <c r="BJ415" s="215">
        <f ca="1">IF($D415&lt;&gt;"Serviço",0,IF(AND(AUTOEVENTO="Manual",$M415=1),0,IF(OFFSET(CRONOPLE!$F$14,$M415,BJ$13)="",10^12,OFFSET(CRONOPLE!$F$14,$M415,BJ$13))))</f>
        <v>1000000000000</v>
      </c>
      <c r="BK415" s="215">
        <f ca="1">IF($D415&lt;&gt;"Serviço",0,IF(AND(AUTOEVENTO="Manual",$M415=1),0,IF(OFFSET(CRONOPLE!$F$14,$M415,BK$13)="",10^12,OFFSET(CRONOPLE!$F$14,$M415,BK$13))))</f>
        <v>1000000000000</v>
      </c>
      <c r="BL415" s="215">
        <f ca="1">IF($D415&lt;&gt;"Serviço",0,IF(AND(AUTOEVENTO="Manual",$M415=1),0,IF(OFFSET(CRONOPLE!$F$14,$M415,BL$13)="",10^12,OFFSET(CRONOPLE!$F$14,$M415,BL$13))))</f>
        <v>1000000000000</v>
      </c>
      <c r="BM415" s="215">
        <f ca="1">IF($D415&lt;&gt;"Serviço",0,IF(AND(AUTOEVENTO="Manual",$M415=1),0,IF(OFFSET(CRONOPLE!$F$14,$M415,BM$13)="",10^12,OFFSET(CRONOPLE!$F$14,$M415,BM$13))))</f>
        <v>1000000000000</v>
      </c>
      <c r="BN415" s="215">
        <f ca="1">IF($D415&lt;&gt;"Serviço",0,IF(AND(AUTOEVENTO="Manual",$M415=1),0,IF(OFFSET(CRONOPLE!$F$14,$M415,BN$13)="",10^12,OFFSET(CRONOPLE!$F$14,$M415,BN$13))))</f>
        <v>1000000000000</v>
      </c>
      <c r="BO415" s="215">
        <f ca="1">IF($D415&lt;&gt;"Serviço",0,IF(AND(AUTOEVENTO="Manual",$M415=1),0,IF(OFFSET(CRONOPLE!$F$14,$M415,BO$13)="",10^12,OFFSET(CRONOPLE!$F$14,$M415,BO$13))))</f>
        <v>1000000000000</v>
      </c>
      <c r="BP415" s="215">
        <f ca="1">IF($D415&lt;&gt;"Serviço",0,IF(AND(AUTOEVENTO="Manual",$M415=1),0,IF(OFFSET(CRONOPLE!$F$14,$M415,BP$13)="",10^12,OFFSET(CRONOPLE!$F$14,$M415,BP$13))))</f>
        <v>1000000000000</v>
      </c>
      <c r="BQ415" s="215">
        <f ca="1">IF($D415&lt;&gt;"Serviço",0,IF(AND(AUTOEVENTO="Manual",$M415=1),0,IF(OFFSET(CRONOPLE!$F$14,$M415,BQ$13)="",10^12,OFFSET(CRONOPLE!$F$14,$M415,BQ$13))))</f>
        <v>1000000000000</v>
      </c>
      <c r="BR415" s="215">
        <f ca="1">IF($D415&lt;&gt;"Serviço",0,IF(AND(AUTOEVENTO="Manual",$M415=1),0,IF(OFFSET(CRONOPLE!$F$14,$M415,BR$13)="",10^12,OFFSET(CRONOPLE!$F$14,$M415,BR$13))))</f>
        <v>1000000000000</v>
      </c>
      <c r="BS415" s="215">
        <f ca="1">IF($D415&lt;&gt;"Serviço",0,IF(AND(AUTOEVENTO="Manual",$M415=1),0,IF(OFFSET(CRONOPLE!$F$14,$M415,BS$13)="",10^12,OFFSET(CRONOPLE!$F$14,$M415,BS$13))))</f>
        <v>1000000000000</v>
      </c>
      <c r="BT415" s="215">
        <f ca="1">IF($D415&lt;&gt;"Serviço",0,IF(AND(AUTOEVENTO="Manual",$M415=1),0,IF(OFFSET(CRONOPLE!$F$14,$M415,BT$13)="",10^12,OFFSET(CRONOPLE!$F$14,$M415,BT$13))))</f>
        <v>1000000000000</v>
      </c>
      <c r="BV415" s="216">
        <f ca="1">IF($D415&lt;&gt;"Serviço",0,IF(OR(AND(AUTOEVENTO="Manual",$M415=1),$M415&gt;(ROW(PLE.lastrow)-ROW(PLE.firstrow))),0,IF(OFFSET(PLE!$G$14,$M415,BV$13)="",10^12,OFFSET(PLE!$G$14,$M415,BV$13))))</f>
        <v>1000000000000</v>
      </c>
      <c r="BW415" s="216">
        <f ca="1">IF($D415&lt;&gt;"Serviço",0,IF(OR(AND(AUTOEVENTO="Manual",$M415=1),$M415&gt;(ROW(PLE.lastrow)-ROW(PLE.firstrow))),0,IF(OFFSET(PLE!$G$14,$M415,BW$13)="",10^12,OFFSET(PLE!$G$14,$M415,BW$13))))</f>
        <v>1000000000000</v>
      </c>
      <c r="BX415" s="216">
        <f ca="1">IF($D415&lt;&gt;"Serviço",0,IF(OR(AND(AUTOEVENTO="Manual",$M415=1),$M415&gt;(ROW(PLE.lastrow)-ROW(PLE.firstrow))),0,IF(OFFSET(PLE!$G$14,$M415,BX$13)="",10^12,OFFSET(PLE!$G$14,$M415,BX$13))))</f>
        <v>1000000000000</v>
      </c>
      <c r="BY415" s="216">
        <f ca="1">IF($D415&lt;&gt;"Serviço",0,IF(OR(AND(AUTOEVENTO="Manual",$M415=1),$M415&gt;(ROW(PLE.lastrow)-ROW(PLE.firstrow))),0,IF(OFFSET(PLE!$G$14,$M415,BY$13)="",10^12,OFFSET(PLE!$G$14,$M415,BY$13))))</f>
        <v>1000000000000</v>
      </c>
      <c r="BZ415" s="216">
        <f ca="1">IF($D415&lt;&gt;"Serviço",0,IF(OR(AND(AUTOEVENTO="Manual",$M415=1),$M415&gt;(ROW(PLE.lastrow)-ROW(PLE.firstrow))),0,IF(OFFSET(PLE!$G$14,$M415,BZ$13)="",10^12,OFFSET(PLE!$G$14,$M415,BZ$13))))</f>
        <v>1000000000000</v>
      </c>
      <c r="CA415" s="216">
        <f ca="1">IF($D415&lt;&gt;"Serviço",0,IF(OR(AND(AUTOEVENTO="Manual",$M415=1),$M415&gt;(ROW(PLE.lastrow)-ROW(PLE.firstrow))),0,IF(OFFSET(PLE!$G$14,$M415,CA$13)="",10^12,OFFSET(PLE!$G$14,$M415,CA$13))))</f>
        <v>1000000000000</v>
      </c>
      <c r="CB415" s="216">
        <f ca="1">IF($D415&lt;&gt;"Serviço",0,IF(OR(AND(AUTOEVENTO="Manual",$M415=1),$M415&gt;(ROW(PLE.lastrow)-ROW(PLE.firstrow))),0,IF(OFFSET(PLE!$G$14,$M415,CB$13)="",10^12,OFFSET(PLE!$G$14,$M415,CB$13))))</f>
        <v>1000000000000</v>
      </c>
      <c r="CC415" s="216">
        <f ca="1">IF($D415&lt;&gt;"Serviço",0,IF(OR(AND(AUTOEVENTO="Manual",$M415=1),$M415&gt;(ROW(PLE.lastrow)-ROW(PLE.firstrow))),0,IF(OFFSET(PLE!$G$14,$M415,CC$13)="",10^12,OFFSET(PLE!$G$14,$M415,CC$13))))</f>
        <v>1000000000000</v>
      </c>
      <c r="CD415" s="216">
        <f ca="1">IF($D415&lt;&gt;"Serviço",0,IF(OR(AND(AUTOEVENTO="Manual",$M415=1),$M415&gt;(ROW(PLE.lastrow)-ROW(PLE.firstrow))),0,IF(OFFSET(PLE!$G$14,$M415,CD$13)="",10^12,OFFSET(PLE!$G$14,$M415,CD$13))))</f>
        <v>1000000000000</v>
      </c>
      <c r="CE415" s="216">
        <f ca="1">IF($D415&lt;&gt;"Serviço",0,IF(OR(AND(AUTOEVENTO="Manual",$M415=1),$M415&gt;(ROW(PLE.lastrow)-ROW(PLE.firstrow))),0,IF(OFFSET(PLE!$G$14,$M415,CE$13)="",10^12,OFFSET(PLE!$G$14,$M415,CE$13))))</f>
        <v>1000000000000</v>
      </c>
      <c r="CF415" s="216">
        <f ca="1">IF($D415&lt;&gt;"Serviço",0,IF(OR(AND(AUTOEVENTO="Manual",$M415=1),$M415&gt;(ROW(PLE.lastrow)-ROW(PLE.firstrow))),0,IF(OFFSET(PLE!$G$14,$M415,CF$13)="",10^12,OFFSET(PLE!$G$14,$M415,CF$13))))</f>
        <v>1000000000000</v>
      </c>
      <c r="CG415" s="216">
        <f ca="1">IF($D415&lt;&gt;"Serviço",0,IF(OR(AND(AUTOEVENTO="Manual",$M415=1),$M415&gt;(ROW(PLE.lastrow)-ROW(PLE.firstrow))),0,IF(OFFSET(PLE!$G$14,$M415,CG$13)="",10^12,OFFSET(PLE!$G$14,$M415,CG$13))))</f>
        <v>1000000000000</v>
      </c>
      <c r="CH415" s="216">
        <f ca="1">IF($D415&lt;&gt;"Serviço",0,IF(OR(AND(AUTOEVENTO="Manual",$M415=1),$M415&gt;(ROW(PLE.lastrow)-ROW(PLE.firstrow))),0,IF(OFFSET(PLE!$G$14,$M415,CH$13)="",10^12,OFFSET(PLE!$G$14,$M415,CH$13))))</f>
        <v>1000000000000</v>
      </c>
      <c r="CI415" s="216">
        <f ca="1">IF($D415&lt;&gt;"Serviço",0,IF(OR(AND(AUTOEVENTO="Manual",$M415=1),$M415&gt;(ROW(PLE.lastrow)-ROW(PLE.firstrow))),0,IF(OFFSET(PLE!$G$14,$M415,CI$13)="",10^12,OFFSET(PLE!$G$14,$M415,CI$13))))</f>
        <v>1000000000000</v>
      </c>
      <c r="CJ415" s="216">
        <f ca="1">IF($D415&lt;&gt;"Serviço",0,IF(OR(AND(AUTOEVENTO="Manual",$M415=1),$M415&gt;(ROW(PLE.lastrow)-ROW(PLE.firstrow))),0,IF(OFFSET(PLE!$G$14,$M415,CJ$13)="",10^12,OFFSET(PLE!$G$14,$M415,CJ$13))))</f>
        <v>1000000000000</v>
      </c>
      <c r="CK415" s="216">
        <f ca="1">IF($D415&lt;&gt;"Serviço",0,IF(OR(AND(AUTOEVENTO="Manual",$M415=1),$M415&gt;(ROW(PLE.lastrow)-ROW(PLE.firstrow))),0,IF(OFFSET(PLE!$G$14,$M415,CK$13)="",10^12,OFFSET(PLE!$G$14,$M415,CK$13))))</f>
        <v>1000000000000</v>
      </c>
      <c r="CL415" s="216">
        <f ca="1">IF($D415&lt;&gt;"Serviço",0,IF(OR(AND(AUTOEVENTO="Manual",$M415=1),$M415&gt;(ROW(PLE.lastrow)-ROW(PLE.firstrow))),0,IF(OFFSET(PLE!$G$14,$M415,CL$13)="",10^12,OFFSET(PLE!$G$14,$M415,CL$13))))</f>
        <v>1000000000000</v>
      </c>
      <c r="CM415" s="216">
        <f ca="1">IF($D415&lt;&gt;"Serviço",0,IF(OR(AND(AUTOEVENTO="Manual",$M415=1),$M415&gt;(ROW(PLE.lastrow)-ROW(PLE.firstrow))),0,IF(OFFSET(PLE!$G$14,$M415,CM$13)="",10^12,OFFSET(PLE!$G$14,$M415,CM$13))))</f>
        <v>1000000000000</v>
      </c>
    </row>
    <row r="416" spans="1:91" ht="13.2" x14ac:dyDescent="0.25">
      <c r="A416" s="9">
        <f t="shared" ca="1" si="15"/>
        <v>0</v>
      </c>
      <c r="B416" s="9" t="str">
        <f ca="1">OFFSET(ORÇAMENTO!C$15,ROW(B416)-ROW(B$15),0)</f>
        <v>S</v>
      </c>
      <c r="C416" s="9" t="str">
        <f ca="1">OFFSET(ORÇAMENTO!L$15,ROW(C416)-ROW(C$15),0)</f>
        <v/>
      </c>
      <c r="D416" s="145" t="str">
        <f ca="1">OFFSET(ORÇAMENTO!N$15,ROW(D416)-ROW(D$15),0)</f>
        <v>Serviço</v>
      </c>
      <c r="E416" s="205" t="str">
        <f ca="1">OFFSET(ORÇAMENTO!O$15,ROW(E416)-ROW(E$15),0)</f>
        <v>-</v>
      </c>
      <c r="F416" s="206" t="str">
        <f ca="1">OFFSET(ORÇAMENTO!R$15,ROW(F416)-ROW(F$15),0)</f>
        <v>(abra o arquivo 'Referência 05-2024.xls)</v>
      </c>
      <c r="G416" s="207" t="str">
        <f ca="1">IF($D416&lt;&gt;"Serviço","",OFFSET(ORÇAMENTO!S$15,ROW(G416)-ROW(G$15),0))</f>
        <v>-</v>
      </c>
      <c r="H416" s="151">
        <f ca="1">IF($D416&lt;&gt;"Serviço",0,IF(ACOMPANHAMENTO="BM",ROUND(OFFSET(ORÇAMENTO!AJ$15,ROW(H416)-ROW(H$15),0),15-13*ORÇAMENTO!$AF$7),SUMPRODUCT(($Q$12:$AI$12&lt;&gt;"")*ROUND($Q416:$AI416,15-13*ORÇAMENTO!$AF$7))))</f>
        <v>2</v>
      </c>
      <c r="I416" s="650"/>
      <c r="K416" s="208"/>
      <c r="L416" s="209" t="s">
        <v>257</v>
      </c>
      <c r="M416" s="210">
        <f ca="1">IF($D416&lt;&gt;"Serviço","",IF(AUTOEVENTO="manual",$A416,IF(ISERROR(MATCH($A416,$A$15:OFFSET($A416,-1,0),0)),MAX($M$15:OFFSET(M416,-1,0))+1,INDEX($M$15:OFFSET(M416,-1,0),MATCH($A416,$A$15:OFFSET($A416,-1,0),0)))))</f>
        <v>0</v>
      </c>
      <c r="N416" s="211" t="str">
        <f ca="1">IF($D416&lt;&gt;"Serviço","",IF(AUTOEVENTO="Manual",IF($A416=0,"&lt;-- defina o número do agrupador",OFFSET(EVENTOS!$D$14,$A416,0)),OFFSET($F$15,$A416,0)))</f>
        <v>&lt;-- defina o número do agrupador</v>
      </c>
      <c r="O416" s="212"/>
      <c r="Q416" s="212"/>
      <c r="R416" s="213"/>
      <c r="S416" s="213"/>
      <c r="T416" s="213"/>
      <c r="U416" s="213"/>
      <c r="V416" s="213"/>
      <c r="W416" s="213"/>
      <c r="X416" s="213"/>
      <c r="Y416" s="213"/>
      <c r="Z416" s="214"/>
      <c r="AA416" s="213"/>
      <c r="AB416" s="213"/>
      <c r="AC416" s="213"/>
      <c r="AD416" s="213"/>
      <c r="AE416" s="213"/>
      <c r="AF416" s="213"/>
      <c r="AG416" s="213"/>
      <c r="AH416" s="214"/>
      <c r="AJ416" s="631">
        <f ca="1">IF(AND($D416="Serviço",AJ$12&lt;&gt;0,$H416&gt;0,OR(AUTOEVENTO&lt;&gt;"manual",$M416&lt;&gt;1)),ROUND(OFFSET($P416,0,AJ$13),15-13*ORÇAMENTO!$AF$7)/$H416*OFFSET(ORÇAMENTO!$X$15,ROW(AJ416)-ROW(AJ$15),0),0)</f>
        <v>0</v>
      </c>
      <c r="AK416" s="632">
        <f ca="1">IF(AND($D416="Serviço",AK$12&lt;&gt;0,$H416&gt;0,OR(AUTOEVENTO&lt;&gt;"manual",$M416&lt;&gt;1)),ROUND(OFFSET($P416,0,AK$13),15-13*ORÇAMENTO!$AF$7)/$H416*OFFSET(ORÇAMENTO!$X$15,ROW(AK416)-ROW(AK$15),0),0)</f>
        <v>0</v>
      </c>
      <c r="AL416" s="632">
        <f ca="1">IF(AND($D416="Serviço",AL$12&lt;&gt;0,$H416&gt;0,OR(AUTOEVENTO&lt;&gt;"manual",$M416&lt;&gt;1)),ROUND(OFFSET($P416,0,AL$13),15-13*ORÇAMENTO!$AF$7)/$H416*OFFSET(ORÇAMENTO!$X$15,ROW(AL416)-ROW(AL$15),0),0)</f>
        <v>0</v>
      </c>
      <c r="AM416" s="632">
        <f ca="1">IF(AND($D416="Serviço",AM$12&lt;&gt;0,$H416&gt;0,OR(AUTOEVENTO&lt;&gt;"manual",$M416&lt;&gt;1)),ROUND(OFFSET($P416,0,AM$13),15-13*ORÇAMENTO!$AF$7)/$H416*OFFSET(ORÇAMENTO!$X$15,ROW(AM416)-ROW(AM$15),0),0)</f>
        <v>0</v>
      </c>
      <c r="AN416" s="632">
        <f ca="1">IF(AND($D416="Serviço",AN$12&lt;&gt;0,$H416&gt;0,OR(AUTOEVENTO&lt;&gt;"manual",$M416&lt;&gt;1)),ROUND(OFFSET($P416,0,AN$13),15-13*ORÇAMENTO!$AF$7)/$H416*OFFSET(ORÇAMENTO!$X$15,ROW(AN416)-ROW(AN$15),0),0)</f>
        <v>0</v>
      </c>
      <c r="AO416" s="632">
        <f ca="1">IF(AND($D416="Serviço",AO$12&lt;&gt;0,$H416&gt;0,OR(AUTOEVENTO&lt;&gt;"manual",$M416&lt;&gt;1)),ROUND(OFFSET($P416,0,AO$13),15-13*ORÇAMENTO!$AF$7)/$H416*OFFSET(ORÇAMENTO!$X$15,ROW(AO416)-ROW(AO$15),0),0)</f>
        <v>0</v>
      </c>
      <c r="AP416" s="632">
        <f ca="1">IF(AND($D416="Serviço",AP$12&lt;&gt;0,$H416&gt;0,OR(AUTOEVENTO&lt;&gt;"manual",$M416&lt;&gt;1)),ROUND(OFFSET($P416,0,AP$13),15-13*ORÇAMENTO!$AF$7)/$H416*OFFSET(ORÇAMENTO!$X$15,ROW(AP416)-ROW(AP$15),0),0)</f>
        <v>0</v>
      </c>
      <c r="AQ416" s="632">
        <f ca="1">IF(AND($D416="Serviço",AQ$12&lt;&gt;0,$H416&gt;0,OR(AUTOEVENTO&lt;&gt;"manual",$M416&lt;&gt;1)),ROUND(OFFSET($P416,0,AQ$13),15-13*ORÇAMENTO!$AF$7)/$H416*OFFSET(ORÇAMENTO!$X$15,ROW(AQ416)-ROW(AQ$15),0),0)</f>
        <v>0</v>
      </c>
      <c r="AR416" s="632">
        <f ca="1">IF(AND($D416="Serviço",AR$12&lt;&gt;0,$H416&gt;0,OR(AUTOEVENTO&lt;&gt;"manual",$M416&lt;&gt;1)),ROUND(OFFSET($P416,0,AR$13),15-13*ORÇAMENTO!$AF$7)/$H416*OFFSET(ORÇAMENTO!$X$15,ROW(AR416)-ROW(AR$15),0),0)</f>
        <v>0</v>
      </c>
      <c r="AS416" s="633">
        <f ca="1">IF(AND($D416="Serviço",AS$12&lt;&gt;0,$H416&gt;0,OR(AUTOEVENTO&lt;&gt;"manual",$M416&lt;&gt;1)),ROUND(OFFSET($P416,0,AS$13),15-13*ORÇAMENTO!$AF$7)/$H416*OFFSET(ORÇAMENTO!$X$15,ROW(AS416)-ROW(AS$15),0),0)</f>
        <v>0</v>
      </c>
      <c r="AT416" s="632">
        <f ca="1">IF(AND($D416="Serviço",AT$12&lt;&gt;0,$H416&gt;0,OR(AUTOEVENTO&lt;&gt;"manual",$M416&lt;&gt;1)),ROUND(OFFSET($P416,0,AT$13),15-13*ORÇAMENTO!$AF$7)/$H416*OFFSET(ORÇAMENTO!$X$15,ROW(AT416)-ROW(AT$15),0),0)</f>
        <v>0</v>
      </c>
      <c r="AU416" s="632">
        <f ca="1">IF(AND($D416="Serviço",AU$12&lt;&gt;0,$H416&gt;0,OR(AUTOEVENTO&lt;&gt;"manual",$M416&lt;&gt;1)),ROUND(OFFSET($P416,0,AU$13),15-13*ORÇAMENTO!$AF$7)/$H416*OFFSET(ORÇAMENTO!$X$15,ROW(AU416)-ROW(AU$15),0),0)</f>
        <v>0</v>
      </c>
      <c r="AV416" s="632">
        <f ca="1">IF(AND($D416="Serviço",AV$12&lt;&gt;0,$H416&gt;0,OR(AUTOEVENTO&lt;&gt;"manual",$M416&lt;&gt;1)),ROUND(OFFSET($P416,0,AV$13),15-13*ORÇAMENTO!$AF$7)/$H416*OFFSET(ORÇAMENTO!$X$15,ROW(AV416)-ROW(AV$15),0),0)</f>
        <v>0</v>
      </c>
      <c r="AW416" s="632">
        <f ca="1">IF(AND($D416="Serviço",AW$12&lt;&gt;0,$H416&gt;0,OR(AUTOEVENTO&lt;&gt;"manual",$M416&lt;&gt;1)),ROUND(OFFSET($P416,0,AW$13),15-13*ORÇAMENTO!$AF$7)/$H416*OFFSET(ORÇAMENTO!$X$15,ROW(AW416)-ROW(AW$15),0),0)</f>
        <v>0</v>
      </c>
      <c r="AX416" s="632">
        <f ca="1">IF(AND($D416="Serviço",AX$12&lt;&gt;0,$H416&gt;0,OR(AUTOEVENTO&lt;&gt;"manual",$M416&lt;&gt;1)),ROUND(OFFSET($P416,0,AX$13),15-13*ORÇAMENTO!$AF$7)/$H416*OFFSET(ORÇAMENTO!$X$15,ROW(AX416)-ROW(AX$15),0),0)</f>
        <v>0</v>
      </c>
      <c r="AY416" s="632">
        <f ca="1">IF(AND($D416="Serviço",AY$12&lt;&gt;0,$H416&gt;0,OR(AUTOEVENTO&lt;&gt;"manual",$M416&lt;&gt;1)),ROUND(OFFSET($P416,0,AY$13),15-13*ORÇAMENTO!$AF$7)/$H416*OFFSET(ORÇAMENTO!$X$15,ROW(AY416)-ROW(AY$15),0),0)</f>
        <v>0</v>
      </c>
      <c r="AZ416" s="632">
        <f ca="1">IF(AND($D416="Serviço",AZ$12&lt;&gt;0,$H416&gt;0,OR(AUTOEVENTO&lt;&gt;"manual",$M416&lt;&gt;1)),ROUND(OFFSET($P416,0,AZ$13),15-13*ORÇAMENTO!$AF$7)/$H416*OFFSET(ORÇAMENTO!$X$15,ROW(AZ416)-ROW(AZ$15),0),0)</f>
        <v>0</v>
      </c>
      <c r="BA416" s="633">
        <f ca="1">IF(AND($D416="Serviço",BA$12&lt;&gt;0,$H416&gt;0,OR(AUTOEVENTO&lt;&gt;"manual",$M416&lt;&gt;1)),ROUND(OFFSET($P416,0,BA$13),15-13*ORÇAMENTO!$AF$7)/$H416*OFFSET(ORÇAMENTO!$X$15,ROW(BA416)-ROW(BA$15),0),0)</f>
        <v>0</v>
      </c>
      <c r="BC416" s="215">
        <f ca="1">IF($D416&lt;&gt;"Serviço",0,IF(AND(AUTOEVENTO="Manual",$M416=1),0,IF(OFFSET(CRONOPLE!$F$14,$M416,BC$13)="",10^12,OFFSET(CRONOPLE!$F$14,$M416,BC$13))))</f>
        <v>1000000000000</v>
      </c>
      <c r="BD416" s="215">
        <f ca="1">IF($D416&lt;&gt;"Serviço",0,IF(AND(AUTOEVENTO="Manual",$M416=1),0,IF(OFFSET(CRONOPLE!$F$14,$M416,BD$13)="",10^12,OFFSET(CRONOPLE!$F$14,$M416,BD$13))))</f>
        <v>1000000000000</v>
      </c>
      <c r="BE416" s="215">
        <f ca="1">IF($D416&lt;&gt;"Serviço",0,IF(AND(AUTOEVENTO="Manual",$M416=1),0,IF(OFFSET(CRONOPLE!$F$14,$M416,BE$13)="",10^12,OFFSET(CRONOPLE!$F$14,$M416,BE$13))))</f>
        <v>1000000000000</v>
      </c>
      <c r="BF416" s="215">
        <f ca="1">IF($D416&lt;&gt;"Serviço",0,IF(AND(AUTOEVENTO="Manual",$M416=1),0,IF(OFFSET(CRONOPLE!$F$14,$M416,BF$13)="",10^12,OFFSET(CRONOPLE!$F$14,$M416,BF$13))))</f>
        <v>1000000000000</v>
      </c>
      <c r="BG416" s="215">
        <f ca="1">IF($D416&lt;&gt;"Serviço",0,IF(AND(AUTOEVENTO="Manual",$M416=1),0,IF(OFFSET(CRONOPLE!$F$14,$M416,BG$13)="",10^12,OFFSET(CRONOPLE!$F$14,$M416,BG$13))))</f>
        <v>1000000000000</v>
      </c>
      <c r="BH416" s="215">
        <f ca="1">IF($D416&lt;&gt;"Serviço",0,IF(AND(AUTOEVENTO="Manual",$M416=1),0,IF(OFFSET(CRONOPLE!$F$14,$M416,BH$13)="",10^12,OFFSET(CRONOPLE!$F$14,$M416,BH$13))))</f>
        <v>1000000000000</v>
      </c>
      <c r="BI416" s="215">
        <f ca="1">IF($D416&lt;&gt;"Serviço",0,IF(AND(AUTOEVENTO="Manual",$M416=1),0,IF(OFFSET(CRONOPLE!$F$14,$M416,BI$13)="",10^12,OFFSET(CRONOPLE!$F$14,$M416,BI$13))))</f>
        <v>1000000000000</v>
      </c>
      <c r="BJ416" s="215">
        <f ca="1">IF($D416&lt;&gt;"Serviço",0,IF(AND(AUTOEVENTO="Manual",$M416=1),0,IF(OFFSET(CRONOPLE!$F$14,$M416,BJ$13)="",10^12,OFFSET(CRONOPLE!$F$14,$M416,BJ$13))))</f>
        <v>1000000000000</v>
      </c>
      <c r="BK416" s="215">
        <f ca="1">IF($D416&lt;&gt;"Serviço",0,IF(AND(AUTOEVENTO="Manual",$M416=1),0,IF(OFFSET(CRONOPLE!$F$14,$M416,BK$13)="",10^12,OFFSET(CRONOPLE!$F$14,$M416,BK$13))))</f>
        <v>1000000000000</v>
      </c>
      <c r="BL416" s="215">
        <f ca="1">IF($D416&lt;&gt;"Serviço",0,IF(AND(AUTOEVENTO="Manual",$M416=1),0,IF(OFFSET(CRONOPLE!$F$14,$M416,BL$13)="",10^12,OFFSET(CRONOPLE!$F$14,$M416,BL$13))))</f>
        <v>1000000000000</v>
      </c>
      <c r="BM416" s="215">
        <f ca="1">IF($D416&lt;&gt;"Serviço",0,IF(AND(AUTOEVENTO="Manual",$M416=1),0,IF(OFFSET(CRONOPLE!$F$14,$M416,BM$13)="",10^12,OFFSET(CRONOPLE!$F$14,$M416,BM$13))))</f>
        <v>1000000000000</v>
      </c>
      <c r="BN416" s="215">
        <f ca="1">IF($D416&lt;&gt;"Serviço",0,IF(AND(AUTOEVENTO="Manual",$M416=1),0,IF(OFFSET(CRONOPLE!$F$14,$M416,BN$13)="",10^12,OFFSET(CRONOPLE!$F$14,$M416,BN$13))))</f>
        <v>1000000000000</v>
      </c>
      <c r="BO416" s="215">
        <f ca="1">IF($D416&lt;&gt;"Serviço",0,IF(AND(AUTOEVENTO="Manual",$M416=1),0,IF(OFFSET(CRONOPLE!$F$14,$M416,BO$13)="",10^12,OFFSET(CRONOPLE!$F$14,$M416,BO$13))))</f>
        <v>1000000000000</v>
      </c>
      <c r="BP416" s="215">
        <f ca="1">IF($D416&lt;&gt;"Serviço",0,IF(AND(AUTOEVENTO="Manual",$M416=1),0,IF(OFFSET(CRONOPLE!$F$14,$M416,BP$13)="",10^12,OFFSET(CRONOPLE!$F$14,$M416,BP$13))))</f>
        <v>1000000000000</v>
      </c>
      <c r="BQ416" s="215">
        <f ca="1">IF($D416&lt;&gt;"Serviço",0,IF(AND(AUTOEVENTO="Manual",$M416=1),0,IF(OFFSET(CRONOPLE!$F$14,$M416,BQ$13)="",10^12,OFFSET(CRONOPLE!$F$14,$M416,BQ$13))))</f>
        <v>1000000000000</v>
      </c>
      <c r="BR416" s="215">
        <f ca="1">IF($D416&lt;&gt;"Serviço",0,IF(AND(AUTOEVENTO="Manual",$M416=1),0,IF(OFFSET(CRONOPLE!$F$14,$M416,BR$13)="",10^12,OFFSET(CRONOPLE!$F$14,$M416,BR$13))))</f>
        <v>1000000000000</v>
      </c>
      <c r="BS416" s="215">
        <f ca="1">IF($D416&lt;&gt;"Serviço",0,IF(AND(AUTOEVENTO="Manual",$M416=1),0,IF(OFFSET(CRONOPLE!$F$14,$M416,BS$13)="",10^12,OFFSET(CRONOPLE!$F$14,$M416,BS$13))))</f>
        <v>1000000000000</v>
      </c>
      <c r="BT416" s="215">
        <f ca="1">IF($D416&lt;&gt;"Serviço",0,IF(AND(AUTOEVENTO="Manual",$M416=1),0,IF(OFFSET(CRONOPLE!$F$14,$M416,BT$13)="",10^12,OFFSET(CRONOPLE!$F$14,$M416,BT$13))))</f>
        <v>1000000000000</v>
      </c>
      <c r="BV416" s="216">
        <f ca="1">IF($D416&lt;&gt;"Serviço",0,IF(OR(AND(AUTOEVENTO="Manual",$M416=1),$M416&gt;(ROW(PLE.lastrow)-ROW(PLE.firstrow))),0,IF(OFFSET(PLE!$G$14,$M416,BV$13)="",10^12,OFFSET(PLE!$G$14,$M416,BV$13))))</f>
        <v>1000000000000</v>
      </c>
      <c r="BW416" s="216">
        <f ca="1">IF($D416&lt;&gt;"Serviço",0,IF(OR(AND(AUTOEVENTO="Manual",$M416=1),$M416&gt;(ROW(PLE.lastrow)-ROW(PLE.firstrow))),0,IF(OFFSET(PLE!$G$14,$M416,BW$13)="",10^12,OFFSET(PLE!$G$14,$M416,BW$13))))</f>
        <v>1000000000000</v>
      </c>
      <c r="BX416" s="216">
        <f ca="1">IF($D416&lt;&gt;"Serviço",0,IF(OR(AND(AUTOEVENTO="Manual",$M416=1),$M416&gt;(ROW(PLE.lastrow)-ROW(PLE.firstrow))),0,IF(OFFSET(PLE!$G$14,$M416,BX$13)="",10^12,OFFSET(PLE!$G$14,$M416,BX$13))))</f>
        <v>1000000000000</v>
      </c>
      <c r="BY416" s="216">
        <f ca="1">IF($D416&lt;&gt;"Serviço",0,IF(OR(AND(AUTOEVENTO="Manual",$M416=1),$M416&gt;(ROW(PLE.lastrow)-ROW(PLE.firstrow))),0,IF(OFFSET(PLE!$G$14,$M416,BY$13)="",10^12,OFFSET(PLE!$G$14,$M416,BY$13))))</f>
        <v>1000000000000</v>
      </c>
      <c r="BZ416" s="216">
        <f ca="1">IF($D416&lt;&gt;"Serviço",0,IF(OR(AND(AUTOEVENTO="Manual",$M416=1),$M416&gt;(ROW(PLE.lastrow)-ROW(PLE.firstrow))),0,IF(OFFSET(PLE!$G$14,$M416,BZ$13)="",10^12,OFFSET(PLE!$G$14,$M416,BZ$13))))</f>
        <v>1000000000000</v>
      </c>
      <c r="CA416" s="216">
        <f ca="1">IF($D416&lt;&gt;"Serviço",0,IF(OR(AND(AUTOEVENTO="Manual",$M416=1),$M416&gt;(ROW(PLE.lastrow)-ROW(PLE.firstrow))),0,IF(OFFSET(PLE!$G$14,$M416,CA$13)="",10^12,OFFSET(PLE!$G$14,$M416,CA$13))))</f>
        <v>1000000000000</v>
      </c>
      <c r="CB416" s="216">
        <f ca="1">IF($D416&lt;&gt;"Serviço",0,IF(OR(AND(AUTOEVENTO="Manual",$M416=1),$M416&gt;(ROW(PLE.lastrow)-ROW(PLE.firstrow))),0,IF(OFFSET(PLE!$G$14,$M416,CB$13)="",10^12,OFFSET(PLE!$G$14,$M416,CB$13))))</f>
        <v>1000000000000</v>
      </c>
      <c r="CC416" s="216">
        <f ca="1">IF($D416&lt;&gt;"Serviço",0,IF(OR(AND(AUTOEVENTO="Manual",$M416=1),$M416&gt;(ROW(PLE.lastrow)-ROW(PLE.firstrow))),0,IF(OFFSET(PLE!$G$14,$M416,CC$13)="",10^12,OFFSET(PLE!$G$14,$M416,CC$13))))</f>
        <v>1000000000000</v>
      </c>
      <c r="CD416" s="216">
        <f ca="1">IF($D416&lt;&gt;"Serviço",0,IF(OR(AND(AUTOEVENTO="Manual",$M416=1),$M416&gt;(ROW(PLE.lastrow)-ROW(PLE.firstrow))),0,IF(OFFSET(PLE!$G$14,$M416,CD$13)="",10^12,OFFSET(PLE!$G$14,$M416,CD$13))))</f>
        <v>1000000000000</v>
      </c>
      <c r="CE416" s="216">
        <f ca="1">IF($D416&lt;&gt;"Serviço",0,IF(OR(AND(AUTOEVENTO="Manual",$M416=1),$M416&gt;(ROW(PLE.lastrow)-ROW(PLE.firstrow))),0,IF(OFFSET(PLE!$G$14,$M416,CE$13)="",10^12,OFFSET(PLE!$G$14,$M416,CE$13))))</f>
        <v>1000000000000</v>
      </c>
      <c r="CF416" s="216">
        <f ca="1">IF($D416&lt;&gt;"Serviço",0,IF(OR(AND(AUTOEVENTO="Manual",$M416=1),$M416&gt;(ROW(PLE.lastrow)-ROW(PLE.firstrow))),0,IF(OFFSET(PLE!$G$14,$M416,CF$13)="",10^12,OFFSET(PLE!$G$14,$M416,CF$13))))</f>
        <v>1000000000000</v>
      </c>
      <c r="CG416" s="216">
        <f ca="1">IF($D416&lt;&gt;"Serviço",0,IF(OR(AND(AUTOEVENTO="Manual",$M416=1),$M416&gt;(ROW(PLE.lastrow)-ROW(PLE.firstrow))),0,IF(OFFSET(PLE!$G$14,$M416,CG$13)="",10^12,OFFSET(PLE!$G$14,$M416,CG$13))))</f>
        <v>1000000000000</v>
      </c>
      <c r="CH416" s="216">
        <f ca="1">IF($D416&lt;&gt;"Serviço",0,IF(OR(AND(AUTOEVENTO="Manual",$M416=1),$M416&gt;(ROW(PLE.lastrow)-ROW(PLE.firstrow))),0,IF(OFFSET(PLE!$G$14,$M416,CH$13)="",10^12,OFFSET(PLE!$G$14,$M416,CH$13))))</f>
        <v>1000000000000</v>
      </c>
      <c r="CI416" s="216">
        <f ca="1">IF($D416&lt;&gt;"Serviço",0,IF(OR(AND(AUTOEVENTO="Manual",$M416=1),$M416&gt;(ROW(PLE.lastrow)-ROW(PLE.firstrow))),0,IF(OFFSET(PLE!$G$14,$M416,CI$13)="",10^12,OFFSET(PLE!$G$14,$M416,CI$13))))</f>
        <v>1000000000000</v>
      </c>
      <c r="CJ416" s="216">
        <f ca="1">IF($D416&lt;&gt;"Serviço",0,IF(OR(AND(AUTOEVENTO="Manual",$M416=1),$M416&gt;(ROW(PLE.lastrow)-ROW(PLE.firstrow))),0,IF(OFFSET(PLE!$G$14,$M416,CJ$13)="",10^12,OFFSET(PLE!$G$14,$M416,CJ$13))))</f>
        <v>1000000000000</v>
      </c>
      <c r="CK416" s="216">
        <f ca="1">IF($D416&lt;&gt;"Serviço",0,IF(OR(AND(AUTOEVENTO="Manual",$M416=1),$M416&gt;(ROW(PLE.lastrow)-ROW(PLE.firstrow))),0,IF(OFFSET(PLE!$G$14,$M416,CK$13)="",10^12,OFFSET(PLE!$G$14,$M416,CK$13))))</f>
        <v>1000000000000</v>
      </c>
      <c r="CL416" s="216">
        <f ca="1">IF($D416&lt;&gt;"Serviço",0,IF(OR(AND(AUTOEVENTO="Manual",$M416=1),$M416&gt;(ROW(PLE.lastrow)-ROW(PLE.firstrow))),0,IF(OFFSET(PLE!$G$14,$M416,CL$13)="",10^12,OFFSET(PLE!$G$14,$M416,CL$13))))</f>
        <v>1000000000000</v>
      </c>
      <c r="CM416" s="216">
        <f ca="1">IF($D416&lt;&gt;"Serviço",0,IF(OR(AND(AUTOEVENTO="Manual",$M416=1),$M416&gt;(ROW(PLE.lastrow)-ROW(PLE.firstrow))),0,IF(OFFSET(PLE!$G$14,$M416,CM$13)="",10^12,OFFSET(PLE!$G$14,$M416,CM$13))))</f>
        <v>1000000000000</v>
      </c>
    </row>
    <row r="417" spans="1:91" ht="13.2" x14ac:dyDescent="0.25">
      <c r="A417" s="9">
        <f t="shared" ca="1" si="15"/>
        <v>0</v>
      </c>
      <c r="B417" s="9" t="str">
        <f ca="1">OFFSET(ORÇAMENTO!C$15,ROW(B417)-ROW(B$15),0)</f>
        <v>S</v>
      </c>
      <c r="C417" s="9" t="str">
        <f ca="1">OFFSET(ORÇAMENTO!L$15,ROW(C417)-ROW(C$15),0)</f>
        <v/>
      </c>
      <c r="D417" s="145" t="str">
        <f ca="1">OFFSET(ORÇAMENTO!N$15,ROW(D417)-ROW(D$15),0)</f>
        <v>Serviço</v>
      </c>
      <c r="E417" s="205" t="str">
        <f ca="1">OFFSET(ORÇAMENTO!O$15,ROW(E417)-ROW(E$15),0)</f>
        <v>-</v>
      </c>
      <c r="F417" s="206" t="str">
        <f ca="1">OFFSET(ORÇAMENTO!R$15,ROW(F417)-ROW(F$15),0)</f>
        <v>(abra o arquivo 'Referência 05-2024.xls)</v>
      </c>
      <c r="G417" s="207" t="str">
        <f ca="1">IF($D417&lt;&gt;"Serviço","",OFFSET(ORÇAMENTO!S$15,ROW(G417)-ROW(G$15),0))</f>
        <v>-</v>
      </c>
      <c r="H417" s="151">
        <f ca="1">IF($D417&lt;&gt;"Serviço",0,IF(ACOMPANHAMENTO="BM",ROUND(OFFSET(ORÇAMENTO!AJ$15,ROW(H417)-ROW(H$15),0),15-13*ORÇAMENTO!$AF$7),SUMPRODUCT(($Q$12:$AI$12&lt;&gt;"")*ROUND($Q417:$AI417,15-13*ORÇAMENTO!$AF$7))))</f>
        <v>11</v>
      </c>
      <c r="I417" s="650"/>
      <c r="K417" s="208"/>
      <c r="L417" s="209" t="s">
        <v>257</v>
      </c>
      <c r="M417" s="210">
        <f ca="1">IF($D417&lt;&gt;"Serviço","",IF(AUTOEVENTO="manual",$A417,IF(ISERROR(MATCH($A417,$A$15:OFFSET($A417,-1,0),0)),MAX($M$15:OFFSET(M417,-1,0))+1,INDEX($M$15:OFFSET(M417,-1,0),MATCH($A417,$A$15:OFFSET($A417,-1,0),0)))))</f>
        <v>0</v>
      </c>
      <c r="N417" s="211" t="str">
        <f ca="1">IF($D417&lt;&gt;"Serviço","",IF(AUTOEVENTO="Manual",IF($A417=0,"&lt;-- defina o número do agrupador",OFFSET(EVENTOS!$D$14,$A417,0)),OFFSET($F$15,$A417,0)))</f>
        <v>&lt;-- defina o número do agrupador</v>
      </c>
      <c r="O417" s="212"/>
      <c r="Q417" s="212"/>
      <c r="R417" s="213"/>
      <c r="S417" s="213"/>
      <c r="T417" s="213"/>
      <c r="U417" s="213"/>
      <c r="V417" s="213"/>
      <c r="W417" s="213"/>
      <c r="X417" s="213"/>
      <c r="Y417" s="213"/>
      <c r="Z417" s="214"/>
      <c r="AA417" s="213"/>
      <c r="AB417" s="213"/>
      <c r="AC417" s="213"/>
      <c r="AD417" s="213"/>
      <c r="AE417" s="213"/>
      <c r="AF417" s="213"/>
      <c r="AG417" s="213"/>
      <c r="AH417" s="214"/>
      <c r="AJ417" s="631">
        <f ca="1">IF(AND($D417="Serviço",AJ$12&lt;&gt;0,$H417&gt;0,OR(AUTOEVENTO&lt;&gt;"manual",$M417&lt;&gt;1)),ROUND(OFFSET($P417,0,AJ$13),15-13*ORÇAMENTO!$AF$7)/$H417*OFFSET(ORÇAMENTO!$X$15,ROW(AJ417)-ROW(AJ$15),0),0)</f>
        <v>0</v>
      </c>
      <c r="AK417" s="632">
        <f ca="1">IF(AND($D417="Serviço",AK$12&lt;&gt;0,$H417&gt;0,OR(AUTOEVENTO&lt;&gt;"manual",$M417&lt;&gt;1)),ROUND(OFFSET($P417,0,AK$13),15-13*ORÇAMENTO!$AF$7)/$H417*OFFSET(ORÇAMENTO!$X$15,ROW(AK417)-ROW(AK$15),0),0)</f>
        <v>0</v>
      </c>
      <c r="AL417" s="632">
        <f ca="1">IF(AND($D417="Serviço",AL$12&lt;&gt;0,$H417&gt;0,OR(AUTOEVENTO&lt;&gt;"manual",$M417&lt;&gt;1)),ROUND(OFFSET($P417,0,AL$13),15-13*ORÇAMENTO!$AF$7)/$H417*OFFSET(ORÇAMENTO!$X$15,ROW(AL417)-ROW(AL$15),0),0)</f>
        <v>0</v>
      </c>
      <c r="AM417" s="632">
        <f ca="1">IF(AND($D417="Serviço",AM$12&lt;&gt;0,$H417&gt;0,OR(AUTOEVENTO&lt;&gt;"manual",$M417&lt;&gt;1)),ROUND(OFFSET($P417,0,AM$13),15-13*ORÇAMENTO!$AF$7)/$H417*OFFSET(ORÇAMENTO!$X$15,ROW(AM417)-ROW(AM$15),0),0)</f>
        <v>0</v>
      </c>
      <c r="AN417" s="632">
        <f ca="1">IF(AND($D417="Serviço",AN$12&lt;&gt;0,$H417&gt;0,OR(AUTOEVENTO&lt;&gt;"manual",$M417&lt;&gt;1)),ROUND(OFFSET($P417,0,AN$13),15-13*ORÇAMENTO!$AF$7)/$H417*OFFSET(ORÇAMENTO!$X$15,ROW(AN417)-ROW(AN$15),0),0)</f>
        <v>0</v>
      </c>
      <c r="AO417" s="632">
        <f ca="1">IF(AND($D417="Serviço",AO$12&lt;&gt;0,$H417&gt;0,OR(AUTOEVENTO&lt;&gt;"manual",$M417&lt;&gt;1)),ROUND(OFFSET($P417,0,AO$13),15-13*ORÇAMENTO!$AF$7)/$H417*OFFSET(ORÇAMENTO!$X$15,ROW(AO417)-ROW(AO$15),0),0)</f>
        <v>0</v>
      </c>
      <c r="AP417" s="632">
        <f ca="1">IF(AND($D417="Serviço",AP$12&lt;&gt;0,$H417&gt;0,OR(AUTOEVENTO&lt;&gt;"manual",$M417&lt;&gt;1)),ROUND(OFFSET($P417,0,AP$13),15-13*ORÇAMENTO!$AF$7)/$H417*OFFSET(ORÇAMENTO!$X$15,ROW(AP417)-ROW(AP$15),0),0)</f>
        <v>0</v>
      </c>
      <c r="AQ417" s="632">
        <f ca="1">IF(AND($D417="Serviço",AQ$12&lt;&gt;0,$H417&gt;0,OR(AUTOEVENTO&lt;&gt;"manual",$M417&lt;&gt;1)),ROUND(OFFSET($P417,0,AQ$13),15-13*ORÇAMENTO!$AF$7)/$H417*OFFSET(ORÇAMENTO!$X$15,ROW(AQ417)-ROW(AQ$15),0),0)</f>
        <v>0</v>
      </c>
      <c r="AR417" s="632">
        <f ca="1">IF(AND($D417="Serviço",AR$12&lt;&gt;0,$H417&gt;0,OR(AUTOEVENTO&lt;&gt;"manual",$M417&lt;&gt;1)),ROUND(OFFSET($P417,0,AR$13),15-13*ORÇAMENTO!$AF$7)/$H417*OFFSET(ORÇAMENTO!$X$15,ROW(AR417)-ROW(AR$15),0),0)</f>
        <v>0</v>
      </c>
      <c r="AS417" s="633">
        <f ca="1">IF(AND($D417="Serviço",AS$12&lt;&gt;0,$H417&gt;0,OR(AUTOEVENTO&lt;&gt;"manual",$M417&lt;&gt;1)),ROUND(OFFSET($P417,0,AS$13),15-13*ORÇAMENTO!$AF$7)/$H417*OFFSET(ORÇAMENTO!$X$15,ROW(AS417)-ROW(AS$15),0),0)</f>
        <v>0</v>
      </c>
      <c r="AT417" s="632">
        <f ca="1">IF(AND($D417="Serviço",AT$12&lt;&gt;0,$H417&gt;0,OR(AUTOEVENTO&lt;&gt;"manual",$M417&lt;&gt;1)),ROUND(OFFSET($P417,0,AT$13),15-13*ORÇAMENTO!$AF$7)/$H417*OFFSET(ORÇAMENTO!$X$15,ROW(AT417)-ROW(AT$15),0),0)</f>
        <v>0</v>
      </c>
      <c r="AU417" s="632">
        <f ca="1">IF(AND($D417="Serviço",AU$12&lt;&gt;0,$H417&gt;0,OR(AUTOEVENTO&lt;&gt;"manual",$M417&lt;&gt;1)),ROUND(OFFSET($P417,0,AU$13),15-13*ORÇAMENTO!$AF$7)/$H417*OFFSET(ORÇAMENTO!$X$15,ROW(AU417)-ROW(AU$15),0),0)</f>
        <v>0</v>
      </c>
      <c r="AV417" s="632">
        <f ca="1">IF(AND($D417="Serviço",AV$12&lt;&gt;0,$H417&gt;0,OR(AUTOEVENTO&lt;&gt;"manual",$M417&lt;&gt;1)),ROUND(OFFSET($P417,0,AV$13),15-13*ORÇAMENTO!$AF$7)/$H417*OFFSET(ORÇAMENTO!$X$15,ROW(AV417)-ROW(AV$15),0),0)</f>
        <v>0</v>
      </c>
      <c r="AW417" s="632">
        <f ca="1">IF(AND($D417="Serviço",AW$12&lt;&gt;0,$H417&gt;0,OR(AUTOEVENTO&lt;&gt;"manual",$M417&lt;&gt;1)),ROUND(OFFSET($P417,0,AW$13),15-13*ORÇAMENTO!$AF$7)/$H417*OFFSET(ORÇAMENTO!$X$15,ROW(AW417)-ROW(AW$15),0),0)</f>
        <v>0</v>
      </c>
      <c r="AX417" s="632">
        <f ca="1">IF(AND($D417="Serviço",AX$12&lt;&gt;0,$H417&gt;0,OR(AUTOEVENTO&lt;&gt;"manual",$M417&lt;&gt;1)),ROUND(OFFSET($P417,0,AX$13),15-13*ORÇAMENTO!$AF$7)/$H417*OFFSET(ORÇAMENTO!$X$15,ROW(AX417)-ROW(AX$15),0),0)</f>
        <v>0</v>
      </c>
      <c r="AY417" s="632">
        <f ca="1">IF(AND($D417="Serviço",AY$12&lt;&gt;0,$H417&gt;0,OR(AUTOEVENTO&lt;&gt;"manual",$M417&lt;&gt;1)),ROUND(OFFSET($P417,0,AY$13),15-13*ORÇAMENTO!$AF$7)/$H417*OFFSET(ORÇAMENTO!$X$15,ROW(AY417)-ROW(AY$15),0),0)</f>
        <v>0</v>
      </c>
      <c r="AZ417" s="632">
        <f ca="1">IF(AND($D417="Serviço",AZ$12&lt;&gt;0,$H417&gt;0,OR(AUTOEVENTO&lt;&gt;"manual",$M417&lt;&gt;1)),ROUND(OFFSET($P417,0,AZ$13),15-13*ORÇAMENTO!$AF$7)/$H417*OFFSET(ORÇAMENTO!$X$15,ROW(AZ417)-ROW(AZ$15),0),0)</f>
        <v>0</v>
      </c>
      <c r="BA417" s="633">
        <f ca="1">IF(AND($D417="Serviço",BA$12&lt;&gt;0,$H417&gt;0,OR(AUTOEVENTO&lt;&gt;"manual",$M417&lt;&gt;1)),ROUND(OFFSET($P417,0,BA$13),15-13*ORÇAMENTO!$AF$7)/$H417*OFFSET(ORÇAMENTO!$X$15,ROW(BA417)-ROW(BA$15),0),0)</f>
        <v>0</v>
      </c>
      <c r="BC417" s="215">
        <f ca="1">IF($D417&lt;&gt;"Serviço",0,IF(AND(AUTOEVENTO="Manual",$M417=1),0,IF(OFFSET(CRONOPLE!$F$14,$M417,BC$13)="",10^12,OFFSET(CRONOPLE!$F$14,$M417,BC$13))))</f>
        <v>1000000000000</v>
      </c>
      <c r="BD417" s="215">
        <f ca="1">IF($D417&lt;&gt;"Serviço",0,IF(AND(AUTOEVENTO="Manual",$M417=1),0,IF(OFFSET(CRONOPLE!$F$14,$M417,BD$13)="",10^12,OFFSET(CRONOPLE!$F$14,$M417,BD$13))))</f>
        <v>1000000000000</v>
      </c>
      <c r="BE417" s="215">
        <f ca="1">IF($D417&lt;&gt;"Serviço",0,IF(AND(AUTOEVENTO="Manual",$M417=1),0,IF(OFFSET(CRONOPLE!$F$14,$M417,BE$13)="",10^12,OFFSET(CRONOPLE!$F$14,$M417,BE$13))))</f>
        <v>1000000000000</v>
      </c>
      <c r="BF417" s="215">
        <f ca="1">IF($D417&lt;&gt;"Serviço",0,IF(AND(AUTOEVENTO="Manual",$M417=1),0,IF(OFFSET(CRONOPLE!$F$14,$M417,BF$13)="",10^12,OFFSET(CRONOPLE!$F$14,$M417,BF$13))))</f>
        <v>1000000000000</v>
      </c>
      <c r="BG417" s="215">
        <f ca="1">IF($D417&lt;&gt;"Serviço",0,IF(AND(AUTOEVENTO="Manual",$M417=1),0,IF(OFFSET(CRONOPLE!$F$14,$M417,BG$13)="",10^12,OFFSET(CRONOPLE!$F$14,$M417,BG$13))))</f>
        <v>1000000000000</v>
      </c>
      <c r="BH417" s="215">
        <f ca="1">IF($D417&lt;&gt;"Serviço",0,IF(AND(AUTOEVENTO="Manual",$M417=1),0,IF(OFFSET(CRONOPLE!$F$14,$M417,BH$13)="",10^12,OFFSET(CRONOPLE!$F$14,$M417,BH$13))))</f>
        <v>1000000000000</v>
      </c>
      <c r="BI417" s="215">
        <f ca="1">IF($D417&lt;&gt;"Serviço",0,IF(AND(AUTOEVENTO="Manual",$M417=1),0,IF(OFFSET(CRONOPLE!$F$14,$M417,BI$13)="",10^12,OFFSET(CRONOPLE!$F$14,$M417,BI$13))))</f>
        <v>1000000000000</v>
      </c>
      <c r="BJ417" s="215">
        <f ca="1">IF($D417&lt;&gt;"Serviço",0,IF(AND(AUTOEVENTO="Manual",$M417=1),0,IF(OFFSET(CRONOPLE!$F$14,$M417,BJ$13)="",10^12,OFFSET(CRONOPLE!$F$14,$M417,BJ$13))))</f>
        <v>1000000000000</v>
      </c>
      <c r="BK417" s="215">
        <f ca="1">IF($D417&lt;&gt;"Serviço",0,IF(AND(AUTOEVENTO="Manual",$M417=1),0,IF(OFFSET(CRONOPLE!$F$14,$M417,BK$13)="",10^12,OFFSET(CRONOPLE!$F$14,$M417,BK$13))))</f>
        <v>1000000000000</v>
      </c>
      <c r="BL417" s="215">
        <f ca="1">IF($D417&lt;&gt;"Serviço",0,IF(AND(AUTOEVENTO="Manual",$M417=1),0,IF(OFFSET(CRONOPLE!$F$14,$M417,BL$13)="",10^12,OFFSET(CRONOPLE!$F$14,$M417,BL$13))))</f>
        <v>1000000000000</v>
      </c>
      <c r="BM417" s="215">
        <f ca="1">IF($D417&lt;&gt;"Serviço",0,IF(AND(AUTOEVENTO="Manual",$M417=1),0,IF(OFFSET(CRONOPLE!$F$14,$M417,BM$13)="",10^12,OFFSET(CRONOPLE!$F$14,$M417,BM$13))))</f>
        <v>1000000000000</v>
      </c>
      <c r="BN417" s="215">
        <f ca="1">IF($D417&lt;&gt;"Serviço",0,IF(AND(AUTOEVENTO="Manual",$M417=1),0,IF(OFFSET(CRONOPLE!$F$14,$M417,BN$13)="",10^12,OFFSET(CRONOPLE!$F$14,$M417,BN$13))))</f>
        <v>1000000000000</v>
      </c>
      <c r="BO417" s="215">
        <f ca="1">IF($D417&lt;&gt;"Serviço",0,IF(AND(AUTOEVENTO="Manual",$M417=1),0,IF(OFFSET(CRONOPLE!$F$14,$M417,BO$13)="",10^12,OFFSET(CRONOPLE!$F$14,$M417,BO$13))))</f>
        <v>1000000000000</v>
      </c>
      <c r="BP417" s="215">
        <f ca="1">IF($D417&lt;&gt;"Serviço",0,IF(AND(AUTOEVENTO="Manual",$M417=1),0,IF(OFFSET(CRONOPLE!$F$14,$M417,BP$13)="",10^12,OFFSET(CRONOPLE!$F$14,$M417,BP$13))))</f>
        <v>1000000000000</v>
      </c>
      <c r="BQ417" s="215">
        <f ca="1">IF($D417&lt;&gt;"Serviço",0,IF(AND(AUTOEVENTO="Manual",$M417=1),0,IF(OFFSET(CRONOPLE!$F$14,$M417,BQ$13)="",10^12,OFFSET(CRONOPLE!$F$14,$M417,BQ$13))))</f>
        <v>1000000000000</v>
      </c>
      <c r="BR417" s="215">
        <f ca="1">IF($D417&lt;&gt;"Serviço",0,IF(AND(AUTOEVENTO="Manual",$M417=1),0,IF(OFFSET(CRONOPLE!$F$14,$M417,BR$13)="",10^12,OFFSET(CRONOPLE!$F$14,$M417,BR$13))))</f>
        <v>1000000000000</v>
      </c>
      <c r="BS417" s="215">
        <f ca="1">IF($D417&lt;&gt;"Serviço",0,IF(AND(AUTOEVENTO="Manual",$M417=1),0,IF(OFFSET(CRONOPLE!$F$14,$M417,BS$13)="",10^12,OFFSET(CRONOPLE!$F$14,$M417,BS$13))))</f>
        <v>1000000000000</v>
      </c>
      <c r="BT417" s="215">
        <f ca="1">IF($D417&lt;&gt;"Serviço",0,IF(AND(AUTOEVENTO="Manual",$M417=1),0,IF(OFFSET(CRONOPLE!$F$14,$M417,BT$13)="",10^12,OFFSET(CRONOPLE!$F$14,$M417,BT$13))))</f>
        <v>1000000000000</v>
      </c>
      <c r="BV417" s="216">
        <f ca="1">IF($D417&lt;&gt;"Serviço",0,IF(OR(AND(AUTOEVENTO="Manual",$M417=1),$M417&gt;(ROW(PLE.lastrow)-ROW(PLE.firstrow))),0,IF(OFFSET(PLE!$G$14,$M417,BV$13)="",10^12,OFFSET(PLE!$G$14,$M417,BV$13))))</f>
        <v>1000000000000</v>
      </c>
      <c r="BW417" s="216">
        <f ca="1">IF($D417&lt;&gt;"Serviço",0,IF(OR(AND(AUTOEVENTO="Manual",$M417=1),$M417&gt;(ROW(PLE.lastrow)-ROW(PLE.firstrow))),0,IF(OFFSET(PLE!$G$14,$M417,BW$13)="",10^12,OFFSET(PLE!$G$14,$M417,BW$13))))</f>
        <v>1000000000000</v>
      </c>
      <c r="BX417" s="216">
        <f ca="1">IF($D417&lt;&gt;"Serviço",0,IF(OR(AND(AUTOEVENTO="Manual",$M417=1),$M417&gt;(ROW(PLE.lastrow)-ROW(PLE.firstrow))),0,IF(OFFSET(PLE!$G$14,$M417,BX$13)="",10^12,OFFSET(PLE!$G$14,$M417,BX$13))))</f>
        <v>1000000000000</v>
      </c>
      <c r="BY417" s="216">
        <f ca="1">IF($D417&lt;&gt;"Serviço",0,IF(OR(AND(AUTOEVENTO="Manual",$M417=1),$M417&gt;(ROW(PLE.lastrow)-ROW(PLE.firstrow))),0,IF(OFFSET(PLE!$G$14,$M417,BY$13)="",10^12,OFFSET(PLE!$G$14,$M417,BY$13))))</f>
        <v>1000000000000</v>
      </c>
      <c r="BZ417" s="216">
        <f ca="1">IF($D417&lt;&gt;"Serviço",0,IF(OR(AND(AUTOEVENTO="Manual",$M417=1),$M417&gt;(ROW(PLE.lastrow)-ROW(PLE.firstrow))),0,IF(OFFSET(PLE!$G$14,$M417,BZ$13)="",10^12,OFFSET(PLE!$G$14,$M417,BZ$13))))</f>
        <v>1000000000000</v>
      </c>
      <c r="CA417" s="216">
        <f ca="1">IF($D417&lt;&gt;"Serviço",0,IF(OR(AND(AUTOEVENTO="Manual",$M417=1),$M417&gt;(ROW(PLE.lastrow)-ROW(PLE.firstrow))),0,IF(OFFSET(PLE!$G$14,$M417,CA$13)="",10^12,OFFSET(PLE!$G$14,$M417,CA$13))))</f>
        <v>1000000000000</v>
      </c>
      <c r="CB417" s="216">
        <f ca="1">IF($D417&lt;&gt;"Serviço",0,IF(OR(AND(AUTOEVENTO="Manual",$M417=1),$M417&gt;(ROW(PLE.lastrow)-ROW(PLE.firstrow))),0,IF(OFFSET(PLE!$G$14,$M417,CB$13)="",10^12,OFFSET(PLE!$G$14,$M417,CB$13))))</f>
        <v>1000000000000</v>
      </c>
      <c r="CC417" s="216">
        <f ca="1">IF($D417&lt;&gt;"Serviço",0,IF(OR(AND(AUTOEVENTO="Manual",$M417=1),$M417&gt;(ROW(PLE.lastrow)-ROW(PLE.firstrow))),0,IF(OFFSET(PLE!$G$14,$M417,CC$13)="",10^12,OFFSET(PLE!$G$14,$M417,CC$13))))</f>
        <v>1000000000000</v>
      </c>
      <c r="CD417" s="216">
        <f ca="1">IF($D417&lt;&gt;"Serviço",0,IF(OR(AND(AUTOEVENTO="Manual",$M417=1),$M417&gt;(ROW(PLE.lastrow)-ROW(PLE.firstrow))),0,IF(OFFSET(PLE!$G$14,$M417,CD$13)="",10^12,OFFSET(PLE!$G$14,$M417,CD$13))))</f>
        <v>1000000000000</v>
      </c>
      <c r="CE417" s="216">
        <f ca="1">IF($D417&lt;&gt;"Serviço",0,IF(OR(AND(AUTOEVENTO="Manual",$M417=1),$M417&gt;(ROW(PLE.lastrow)-ROW(PLE.firstrow))),0,IF(OFFSET(PLE!$G$14,$M417,CE$13)="",10^12,OFFSET(PLE!$G$14,$M417,CE$13))))</f>
        <v>1000000000000</v>
      </c>
      <c r="CF417" s="216">
        <f ca="1">IF($D417&lt;&gt;"Serviço",0,IF(OR(AND(AUTOEVENTO="Manual",$M417=1),$M417&gt;(ROW(PLE.lastrow)-ROW(PLE.firstrow))),0,IF(OFFSET(PLE!$G$14,$M417,CF$13)="",10^12,OFFSET(PLE!$G$14,$M417,CF$13))))</f>
        <v>1000000000000</v>
      </c>
      <c r="CG417" s="216">
        <f ca="1">IF($D417&lt;&gt;"Serviço",0,IF(OR(AND(AUTOEVENTO="Manual",$M417=1),$M417&gt;(ROW(PLE.lastrow)-ROW(PLE.firstrow))),0,IF(OFFSET(PLE!$G$14,$M417,CG$13)="",10^12,OFFSET(PLE!$G$14,$M417,CG$13))))</f>
        <v>1000000000000</v>
      </c>
      <c r="CH417" s="216">
        <f ca="1">IF($D417&lt;&gt;"Serviço",0,IF(OR(AND(AUTOEVENTO="Manual",$M417=1),$M417&gt;(ROW(PLE.lastrow)-ROW(PLE.firstrow))),0,IF(OFFSET(PLE!$G$14,$M417,CH$13)="",10^12,OFFSET(PLE!$G$14,$M417,CH$13))))</f>
        <v>1000000000000</v>
      </c>
      <c r="CI417" s="216">
        <f ca="1">IF($D417&lt;&gt;"Serviço",0,IF(OR(AND(AUTOEVENTO="Manual",$M417=1),$M417&gt;(ROW(PLE.lastrow)-ROW(PLE.firstrow))),0,IF(OFFSET(PLE!$G$14,$M417,CI$13)="",10^12,OFFSET(PLE!$G$14,$M417,CI$13))))</f>
        <v>1000000000000</v>
      </c>
      <c r="CJ417" s="216">
        <f ca="1">IF($D417&lt;&gt;"Serviço",0,IF(OR(AND(AUTOEVENTO="Manual",$M417=1),$M417&gt;(ROW(PLE.lastrow)-ROW(PLE.firstrow))),0,IF(OFFSET(PLE!$G$14,$M417,CJ$13)="",10^12,OFFSET(PLE!$G$14,$M417,CJ$13))))</f>
        <v>1000000000000</v>
      </c>
      <c r="CK417" s="216">
        <f ca="1">IF($D417&lt;&gt;"Serviço",0,IF(OR(AND(AUTOEVENTO="Manual",$M417=1),$M417&gt;(ROW(PLE.lastrow)-ROW(PLE.firstrow))),0,IF(OFFSET(PLE!$G$14,$M417,CK$13)="",10^12,OFFSET(PLE!$G$14,$M417,CK$13))))</f>
        <v>1000000000000</v>
      </c>
      <c r="CL417" s="216">
        <f ca="1">IF($D417&lt;&gt;"Serviço",0,IF(OR(AND(AUTOEVENTO="Manual",$M417=1),$M417&gt;(ROW(PLE.lastrow)-ROW(PLE.firstrow))),0,IF(OFFSET(PLE!$G$14,$M417,CL$13)="",10^12,OFFSET(PLE!$G$14,$M417,CL$13))))</f>
        <v>1000000000000</v>
      </c>
      <c r="CM417" s="216">
        <f ca="1">IF($D417&lt;&gt;"Serviço",0,IF(OR(AND(AUTOEVENTO="Manual",$M417=1),$M417&gt;(ROW(PLE.lastrow)-ROW(PLE.firstrow))),0,IF(OFFSET(PLE!$G$14,$M417,CM$13)="",10^12,OFFSET(PLE!$G$14,$M417,CM$13))))</f>
        <v>1000000000000</v>
      </c>
    </row>
    <row r="418" spans="1:91" ht="13.2" x14ac:dyDescent="0.25">
      <c r="A418" s="9">
        <f t="shared" ca="1" si="15"/>
        <v>0</v>
      </c>
      <c r="B418" s="9" t="str">
        <f ca="1">OFFSET(ORÇAMENTO!C$15,ROW(B418)-ROW(B$15),0)</f>
        <v>S</v>
      </c>
      <c r="C418" s="9" t="str">
        <f ca="1">OFFSET(ORÇAMENTO!L$15,ROW(C418)-ROW(C$15),0)</f>
        <v/>
      </c>
      <c r="D418" s="145" t="str">
        <f ca="1">OFFSET(ORÇAMENTO!N$15,ROW(D418)-ROW(D$15),0)</f>
        <v>Serviço</v>
      </c>
      <c r="E418" s="205" t="str">
        <f ca="1">OFFSET(ORÇAMENTO!O$15,ROW(E418)-ROW(E$15),0)</f>
        <v>-</v>
      </c>
      <c r="F418" s="206" t="str">
        <f ca="1">OFFSET(ORÇAMENTO!R$15,ROW(F418)-ROW(F$15),0)</f>
        <v>(abra o arquivo 'Referência 05-2024.xls)</v>
      </c>
      <c r="G418" s="207" t="str">
        <f ca="1">IF($D418&lt;&gt;"Serviço","",OFFSET(ORÇAMENTO!S$15,ROW(G418)-ROW(G$15),0))</f>
        <v>-</v>
      </c>
      <c r="H418" s="151">
        <f ca="1">IF($D418&lt;&gt;"Serviço",0,IF(ACOMPANHAMENTO="BM",ROUND(OFFSET(ORÇAMENTO!AJ$15,ROW(H418)-ROW(H$15),0),15-13*ORÇAMENTO!$AF$7),SUMPRODUCT(($Q$12:$AI$12&lt;&gt;"")*ROUND($Q418:$AI418,15-13*ORÇAMENTO!$AF$7))))</f>
        <v>2</v>
      </c>
      <c r="I418" s="650"/>
      <c r="K418" s="208"/>
      <c r="L418" s="209" t="s">
        <v>257</v>
      </c>
      <c r="M418" s="210">
        <f ca="1">IF($D418&lt;&gt;"Serviço","",IF(AUTOEVENTO="manual",$A418,IF(ISERROR(MATCH($A418,$A$15:OFFSET($A418,-1,0),0)),MAX($M$15:OFFSET(M418,-1,0))+1,INDEX($M$15:OFFSET(M418,-1,0),MATCH($A418,$A$15:OFFSET($A418,-1,0),0)))))</f>
        <v>0</v>
      </c>
      <c r="N418" s="211" t="str">
        <f ca="1">IF($D418&lt;&gt;"Serviço","",IF(AUTOEVENTO="Manual",IF($A418=0,"&lt;-- defina o número do agrupador",OFFSET(EVENTOS!$D$14,$A418,0)),OFFSET($F$15,$A418,0)))</f>
        <v>&lt;-- defina o número do agrupador</v>
      </c>
      <c r="O418" s="212"/>
      <c r="Q418" s="212"/>
      <c r="R418" s="213"/>
      <c r="S418" s="213"/>
      <c r="T418" s="213"/>
      <c r="U418" s="213"/>
      <c r="V418" s="213"/>
      <c r="W418" s="213"/>
      <c r="X418" s="213"/>
      <c r="Y418" s="213"/>
      <c r="Z418" s="214"/>
      <c r="AA418" s="213"/>
      <c r="AB418" s="213"/>
      <c r="AC418" s="213"/>
      <c r="AD418" s="213"/>
      <c r="AE418" s="213"/>
      <c r="AF418" s="213"/>
      <c r="AG418" s="213"/>
      <c r="AH418" s="214"/>
      <c r="AJ418" s="631">
        <f ca="1">IF(AND($D418="Serviço",AJ$12&lt;&gt;0,$H418&gt;0,OR(AUTOEVENTO&lt;&gt;"manual",$M418&lt;&gt;1)),ROUND(OFFSET($P418,0,AJ$13),15-13*ORÇAMENTO!$AF$7)/$H418*OFFSET(ORÇAMENTO!$X$15,ROW(AJ418)-ROW(AJ$15),0),0)</f>
        <v>0</v>
      </c>
      <c r="AK418" s="632">
        <f ca="1">IF(AND($D418="Serviço",AK$12&lt;&gt;0,$H418&gt;0,OR(AUTOEVENTO&lt;&gt;"manual",$M418&lt;&gt;1)),ROUND(OFFSET($P418,0,AK$13),15-13*ORÇAMENTO!$AF$7)/$H418*OFFSET(ORÇAMENTO!$X$15,ROW(AK418)-ROW(AK$15),0),0)</f>
        <v>0</v>
      </c>
      <c r="AL418" s="632">
        <f ca="1">IF(AND($D418="Serviço",AL$12&lt;&gt;0,$H418&gt;0,OR(AUTOEVENTO&lt;&gt;"manual",$M418&lt;&gt;1)),ROUND(OFFSET($P418,0,AL$13),15-13*ORÇAMENTO!$AF$7)/$H418*OFFSET(ORÇAMENTO!$X$15,ROW(AL418)-ROW(AL$15),0),0)</f>
        <v>0</v>
      </c>
      <c r="AM418" s="632">
        <f ca="1">IF(AND($D418="Serviço",AM$12&lt;&gt;0,$H418&gt;0,OR(AUTOEVENTO&lt;&gt;"manual",$M418&lt;&gt;1)),ROUND(OFFSET($P418,0,AM$13),15-13*ORÇAMENTO!$AF$7)/$H418*OFFSET(ORÇAMENTO!$X$15,ROW(AM418)-ROW(AM$15),0),0)</f>
        <v>0</v>
      </c>
      <c r="AN418" s="632">
        <f ca="1">IF(AND($D418="Serviço",AN$12&lt;&gt;0,$H418&gt;0,OR(AUTOEVENTO&lt;&gt;"manual",$M418&lt;&gt;1)),ROUND(OFFSET($P418,0,AN$13),15-13*ORÇAMENTO!$AF$7)/$H418*OFFSET(ORÇAMENTO!$X$15,ROW(AN418)-ROW(AN$15),0),0)</f>
        <v>0</v>
      </c>
      <c r="AO418" s="632">
        <f ca="1">IF(AND($D418="Serviço",AO$12&lt;&gt;0,$H418&gt;0,OR(AUTOEVENTO&lt;&gt;"manual",$M418&lt;&gt;1)),ROUND(OFFSET($P418,0,AO$13),15-13*ORÇAMENTO!$AF$7)/$H418*OFFSET(ORÇAMENTO!$X$15,ROW(AO418)-ROW(AO$15),0),0)</f>
        <v>0</v>
      </c>
      <c r="AP418" s="632">
        <f ca="1">IF(AND($D418="Serviço",AP$12&lt;&gt;0,$H418&gt;0,OR(AUTOEVENTO&lt;&gt;"manual",$M418&lt;&gt;1)),ROUND(OFFSET($P418,0,AP$13),15-13*ORÇAMENTO!$AF$7)/$H418*OFFSET(ORÇAMENTO!$X$15,ROW(AP418)-ROW(AP$15),0),0)</f>
        <v>0</v>
      </c>
      <c r="AQ418" s="632">
        <f ca="1">IF(AND($D418="Serviço",AQ$12&lt;&gt;0,$H418&gt;0,OR(AUTOEVENTO&lt;&gt;"manual",$M418&lt;&gt;1)),ROUND(OFFSET($P418,0,AQ$13),15-13*ORÇAMENTO!$AF$7)/$H418*OFFSET(ORÇAMENTO!$X$15,ROW(AQ418)-ROW(AQ$15),0),0)</f>
        <v>0</v>
      </c>
      <c r="AR418" s="632">
        <f ca="1">IF(AND($D418="Serviço",AR$12&lt;&gt;0,$H418&gt;0,OR(AUTOEVENTO&lt;&gt;"manual",$M418&lt;&gt;1)),ROUND(OFFSET($P418,0,AR$13),15-13*ORÇAMENTO!$AF$7)/$H418*OFFSET(ORÇAMENTO!$X$15,ROW(AR418)-ROW(AR$15),0),0)</f>
        <v>0</v>
      </c>
      <c r="AS418" s="633">
        <f ca="1">IF(AND($D418="Serviço",AS$12&lt;&gt;0,$H418&gt;0,OR(AUTOEVENTO&lt;&gt;"manual",$M418&lt;&gt;1)),ROUND(OFFSET($P418,0,AS$13),15-13*ORÇAMENTO!$AF$7)/$H418*OFFSET(ORÇAMENTO!$X$15,ROW(AS418)-ROW(AS$15),0),0)</f>
        <v>0</v>
      </c>
      <c r="AT418" s="632">
        <f ca="1">IF(AND($D418="Serviço",AT$12&lt;&gt;0,$H418&gt;0,OR(AUTOEVENTO&lt;&gt;"manual",$M418&lt;&gt;1)),ROUND(OFFSET($P418,0,AT$13),15-13*ORÇAMENTO!$AF$7)/$H418*OFFSET(ORÇAMENTO!$X$15,ROW(AT418)-ROW(AT$15),0),0)</f>
        <v>0</v>
      </c>
      <c r="AU418" s="632">
        <f ca="1">IF(AND($D418="Serviço",AU$12&lt;&gt;0,$H418&gt;0,OR(AUTOEVENTO&lt;&gt;"manual",$M418&lt;&gt;1)),ROUND(OFFSET($P418,0,AU$13),15-13*ORÇAMENTO!$AF$7)/$H418*OFFSET(ORÇAMENTO!$X$15,ROW(AU418)-ROW(AU$15),0),0)</f>
        <v>0</v>
      </c>
      <c r="AV418" s="632">
        <f ca="1">IF(AND($D418="Serviço",AV$12&lt;&gt;0,$H418&gt;0,OR(AUTOEVENTO&lt;&gt;"manual",$M418&lt;&gt;1)),ROUND(OFFSET($P418,0,AV$13),15-13*ORÇAMENTO!$AF$7)/$H418*OFFSET(ORÇAMENTO!$X$15,ROW(AV418)-ROW(AV$15),0),0)</f>
        <v>0</v>
      </c>
      <c r="AW418" s="632">
        <f ca="1">IF(AND($D418="Serviço",AW$12&lt;&gt;0,$H418&gt;0,OR(AUTOEVENTO&lt;&gt;"manual",$M418&lt;&gt;1)),ROUND(OFFSET($P418,0,AW$13),15-13*ORÇAMENTO!$AF$7)/$H418*OFFSET(ORÇAMENTO!$X$15,ROW(AW418)-ROW(AW$15),0),0)</f>
        <v>0</v>
      </c>
      <c r="AX418" s="632">
        <f ca="1">IF(AND($D418="Serviço",AX$12&lt;&gt;0,$H418&gt;0,OR(AUTOEVENTO&lt;&gt;"manual",$M418&lt;&gt;1)),ROUND(OFFSET($P418,0,AX$13),15-13*ORÇAMENTO!$AF$7)/$H418*OFFSET(ORÇAMENTO!$X$15,ROW(AX418)-ROW(AX$15),0),0)</f>
        <v>0</v>
      </c>
      <c r="AY418" s="632">
        <f ca="1">IF(AND($D418="Serviço",AY$12&lt;&gt;0,$H418&gt;0,OR(AUTOEVENTO&lt;&gt;"manual",$M418&lt;&gt;1)),ROUND(OFFSET($P418,0,AY$13),15-13*ORÇAMENTO!$AF$7)/$H418*OFFSET(ORÇAMENTO!$X$15,ROW(AY418)-ROW(AY$15),0),0)</f>
        <v>0</v>
      </c>
      <c r="AZ418" s="632">
        <f ca="1">IF(AND($D418="Serviço",AZ$12&lt;&gt;0,$H418&gt;0,OR(AUTOEVENTO&lt;&gt;"manual",$M418&lt;&gt;1)),ROUND(OFFSET($P418,0,AZ$13),15-13*ORÇAMENTO!$AF$7)/$H418*OFFSET(ORÇAMENTO!$X$15,ROW(AZ418)-ROW(AZ$15),0),0)</f>
        <v>0</v>
      </c>
      <c r="BA418" s="633">
        <f ca="1">IF(AND($D418="Serviço",BA$12&lt;&gt;0,$H418&gt;0,OR(AUTOEVENTO&lt;&gt;"manual",$M418&lt;&gt;1)),ROUND(OFFSET($P418,0,BA$13),15-13*ORÇAMENTO!$AF$7)/$H418*OFFSET(ORÇAMENTO!$X$15,ROW(BA418)-ROW(BA$15),0),0)</f>
        <v>0</v>
      </c>
      <c r="BC418" s="215">
        <f ca="1">IF($D418&lt;&gt;"Serviço",0,IF(AND(AUTOEVENTO="Manual",$M418=1),0,IF(OFFSET(CRONOPLE!$F$14,$M418,BC$13)="",10^12,OFFSET(CRONOPLE!$F$14,$M418,BC$13))))</f>
        <v>1000000000000</v>
      </c>
      <c r="BD418" s="215">
        <f ca="1">IF($D418&lt;&gt;"Serviço",0,IF(AND(AUTOEVENTO="Manual",$M418=1),0,IF(OFFSET(CRONOPLE!$F$14,$M418,BD$13)="",10^12,OFFSET(CRONOPLE!$F$14,$M418,BD$13))))</f>
        <v>1000000000000</v>
      </c>
      <c r="BE418" s="215">
        <f ca="1">IF($D418&lt;&gt;"Serviço",0,IF(AND(AUTOEVENTO="Manual",$M418=1),0,IF(OFFSET(CRONOPLE!$F$14,$M418,BE$13)="",10^12,OFFSET(CRONOPLE!$F$14,$M418,BE$13))))</f>
        <v>1000000000000</v>
      </c>
      <c r="BF418" s="215">
        <f ca="1">IF($D418&lt;&gt;"Serviço",0,IF(AND(AUTOEVENTO="Manual",$M418=1),0,IF(OFFSET(CRONOPLE!$F$14,$M418,BF$13)="",10^12,OFFSET(CRONOPLE!$F$14,$M418,BF$13))))</f>
        <v>1000000000000</v>
      </c>
      <c r="BG418" s="215">
        <f ca="1">IF($D418&lt;&gt;"Serviço",0,IF(AND(AUTOEVENTO="Manual",$M418=1),0,IF(OFFSET(CRONOPLE!$F$14,$M418,BG$13)="",10^12,OFFSET(CRONOPLE!$F$14,$M418,BG$13))))</f>
        <v>1000000000000</v>
      </c>
      <c r="BH418" s="215">
        <f ca="1">IF($D418&lt;&gt;"Serviço",0,IF(AND(AUTOEVENTO="Manual",$M418=1),0,IF(OFFSET(CRONOPLE!$F$14,$M418,BH$13)="",10^12,OFFSET(CRONOPLE!$F$14,$M418,BH$13))))</f>
        <v>1000000000000</v>
      </c>
      <c r="BI418" s="215">
        <f ca="1">IF($D418&lt;&gt;"Serviço",0,IF(AND(AUTOEVENTO="Manual",$M418=1),0,IF(OFFSET(CRONOPLE!$F$14,$M418,BI$13)="",10^12,OFFSET(CRONOPLE!$F$14,$M418,BI$13))))</f>
        <v>1000000000000</v>
      </c>
      <c r="BJ418" s="215">
        <f ca="1">IF($D418&lt;&gt;"Serviço",0,IF(AND(AUTOEVENTO="Manual",$M418=1),0,IF(OFFSET(CRONOPLE!$F$14,$M418,BJ$13)="",10^12,OFFSET(CRONOPLE!$F$14,$M418,BJ$13))))</f>
        <v>1000000000000</v>
      </c>
      <c r="BK418" s="215">
        <f ca="1">IF($D418&lt;&gt;"Serviço",0,IF(AND(AUTOEVENTO="Manual",$M418=1),0,IF(OFFSET(CRONOPLE!$F$14,$M418,BK$13)="",10^12,OFFSET(CRONOPLE!$F$14,$M418,BK$13))))</f>
        <v>1000000000000</v>
      </c>
      <c r="BL418" s="215">
        <f ca="1">IF($D418&lt;&gt;"Serviço",0,IF(AND(AUTOEVENTO="Manual",$M418=1),0,IF(OFFSET(CRONOPLE!$F$14,$M418,BL$13)="",10^12,OFFSET(CRONOPLE!$F$14,$M418,BL$13))))</f>
        <v>1000000000000</v>
      </c>
      <c r="BM418" s="215">
        <f ca="1">IF($D418&lt;&gt;"Serviço",0,IF(AND(AUTOEVENTO="Manual",$M418=1),0,IF(OFFSET(CRONOPLE!$F$14,$M418,BM$13)="",10^12,OFFSET(CRONOPLE!$F$14,$M418,BM$13))))</f>
        <v>1000000000000</v>
      </c>
      <c r="BN418" s="215">
        <f ca="1">IF($D418&lt;&gt;"Serviço",0,IF(AND(AUTOEVENTO="Manual",$M418=1),0,IF(OFFSET(CRONOPLE!$F$14,$M418,BN$13)="",10^12,OFFSET(CRONOPLE!$F$14,$M418,BN$13))))</f>
        <v>1000000000000</v>
      </c>
      <c r="BO418" s="215">
        <f ca="1">IF($D418&lt;&gt;"Serviço",0,IF(AND(AUTOEVENTO="Manual",$M418=1),0,IF(OFFSET(CRONOPLE!$F$14,$M418,BO$13)="",10^12,OFFSET(CRONOPLE!$F$14,$M418,BO$13))))</f>
        <v>1000000000000</v>
      </c>
      <c r="BP418" s="215">
        <f ca="1">IF($D418&lt;&gt;"Serviço",0,IF(AND(AUTOEVENTO="Manual",$M418=1),0,IF(OFFSET(CRONOPLE!$F$14,$M418,BP$13)="",10^12,OFFSET(CRONOPLE!$F$14,$M418,BP$13))))</f>
        <v>1000000000000</v>
      </c>
      <c r="BQ418" s="215">
        <f ca="1">IF($D418&lt;&gt;"Serviço",0,IF(AND(AUTOEVENTO="Manual",$M418=1),0,IF(OFFSET(CRONOPLE!$F$14,$M418,BQ$13)="",10^12,OFFSET(CRONOPLE!$F$14,$M418,BQ$13))))</f>
        <v>1000000000000</v>
      </c>
      <c r="BR418" s="215">
        <f ca="1">IF($D418&lt;&gt;"Serviço",0,IF(AND(AUTOEVENTO="Manual",$M418=1),0,IF(OFFSET(CRONOPLE!$F$14,$M418,BR$13)="",10^12,OFFSET(CRONOPLE!$F$14,$M418,BR$13))))</f>
        <v>1000000000000</v>
      </c>
      <c r="BS418" s="215">
        <f ca="1">IF($D418&lt;&gt;"Serviço",0,IF(AND(AUTOEVENTO="Manual",$M418=1),0,IF(OFFSET(CRONOPLE!$F$14,$M418,BS$13)="",10^12,OFFSET(CRONOPLE!$F$14,$M418,BS$13))))</f>
        <v>1000000000000</v>
      </c>
      <c r="BT418" s="215">
        <f ca="1">IF($D418&lt;&gt;"Serviço",0,IF(AND(AUTOEVENTO="Manual",$M418=1),0,IF(OFFSET(CRONOPLE!$F$14,$M418,BT$13)="",10^12,OFFSET(CRONOPLE!$F$14,$M418,BT$13))))</f>
        <v>1000000000000</v>
      </c>
      <c r="BV418" s="216">
        <f ca="1">IF($D418&lt;&gt;"Serviço",0,IF(OR(AND(AUTOEVENTO="Manual",$M418=1),$M418&gt;(ROW(PLE.lastrow)-ROW(PLE.firstrow))),0,IF(OFFSET(PLE!$G$14,$M418,BV$13)="",10^12,OFFSET(PLE!$G$14,$M418,BV$13))))</f>
        <v>1000000000000</v>
      </c>
      <c r="BW418" s="216">
        <f ca="1">IF($D418&lt;&gt;"Serviço",0,IF(OR(AND(AUTOEVENTO="Manual",$M418=1),$M418&gt;(ROW(PLE.lastrow)-ROW(PLE.firstrow))),0,IF(OFFSET(PLE!$G$14,$M418,BW$13)="",10^12,OFFSET(PLE!$G$14,$M418,BW$13))))</f>
        <v>1000000000000</v>
      </c>
      <c r="BX418" s="216">
        <f ca="1">IF($D418&lt;&gt;"Serviço",0,IF(OR(AND(AUTOEVENTO="Manual",$M418=1),$M418&gt;(ROW(PLE.lastrow)-ROW(PLE.firstrow))),0,IF(OFFSET(PLE!$G$14,$M418,BX$13)="",10^12,OFFSET(PLE!$G$14,$M418,BX$13))))</f>
        <v>1000000000000</v>
      </c>
      <c r="BY418" s="216">
        <f ca="1">IF($D418&lt;&gt;"Serviço",0,IF(OR(AND(AUTOEVENTO="Manual",$M418=1),$M418&gt;(ROW(PLE.lastrow)-ROW(PLE.firstrow))),0,IF(OFFSET(PLE!$G$14,$M418,BY$13)="",10^12,OFFSET(PLE!$G$14,$M418,BY$13))))</f>
        <v>1000000000000</v>
      </c>
      <c r="BZ418" s="216">
        <f ca="1">IF($D418&lt;&gt;"Serviço",0,IF(OR(AND(AUTOEVENTO="Manual",$M418=1),$M418&gt;(ROW(PLE.lastrow)-ROW(PLE.firstrow))),0,IF(OFFSET(PLE!$G$14,$M418,BZ$13)="",10^12,OFFSET(PLE!$G$14,$M418,BZ$13))))</f>
        <v>1000000000000</v>
      </c>
      <c r="CA418" s="216">
        <f ca="1">IF($D418&lt;&gt;"Serviço",0,IF(OR(AND(AUTOEVENTO="Manual",$M418=1),$M418&gt;(ROW(PLE.lastrow)-ROW(PLE.firstrow))),0,IF(OFFSET(PLE!$G$14,$M418,CA$13)="",10^12,OFFSET(PLE!$G$14,$M418,CA$13))))</f>
        <v>1000000000000</v>
      </c>
      <c r="CB418" s="216">
        <f ca="1">IF($D418&lt;&gt;"Serviço",0,IF(OR(AND(AUTOEVENTO="Manual",$M418=1),$M418&gt;(ROW(PLE.lastrow)-ROW(PLE.firstrow))),0,IF(OFFSET(PLE!$G$14,$M418,CB$13)="",10^12,OFFSET(PLE!$G$14,$M418,CB$13))))</f>
        <v>1000000000000</v>
      </c>
      <c r="CC418" s="216">
        <f ca="1">IF($D418&lt;&gt;"Serviço",0,IF(OR(AND(AUTOEVENTO="Manual",$M418=1),$M418&gt;(ROW(PLE.lastrow)-ROW(PLE.firstrow))),0,IF(OFFSET(PLE!$G$14,$M418,CC$13)="",10^12,OFFSET(PLE!$G$14,$M418,CC$13))))</f>
        <v>1000000000000</v>
      </c>
      <c r="CD418" s="216">
        <f ca="1">IF($D418&lt;&gt;"Serviço",0,IF(OR(AND(AUTOEVENTO="Manual",$M418=1),$M418&gt;(ROW(PLE.lastrow)-ROW(PLE.firstrow))),0,IF(OFFSET(PLE!$G$14,$M418,CD$13)="",10^12,OFFSET(PLE!$G$14,$M418,CD$13))))</f>
        <v>1000000000000</v>
      </c>
      <c r="CE418" s="216">
        <f ca="1">IF($D418&lt;&gt;"Serviço",0,IF(OR(AND(AUTOEVENTO="Manual",$M418=1),$M418&gt;(ROW(PLE.lastrow)-ROW(PLE.firstrow))),0,IF(OFFSET(PLE!$G$14,$M418,CE$13)="",10^12,OFFSET(PLE!$G$14,$M418,CE$13))))</f>
        <v>1000000000000</v>
      </c>
      <c r="CF418" s="216">
        <f ca="1">IF($D418&lt;&gt;"Serviço",0,IF(OR(AND(AUTOEVENTO="Manual",$M418=1),$M418&gt;(ROW(PLE.lastrow)-ROW(PLE.firstrow))),0,IF(OFFSET(PLE!$G$14,$M418,CF$13)="",10^12,OFFSET(PLE!$G$14,$M418,CF$13))))</f>
        <v>1000000000000</v>
      </c>
      <c r="CG418" s="216">
        <f ca="1">IF($D418&lt;&gt;"Serviço",0,IF(OR(AND(AUTOEVENTO="Manual",$M418=1),$M418&gt;(ROW(PLE.lastrow)-ROW(PLE.firstrow))),0,IF(OFFSET(PLE!$G$14,$M418,CG$13)="",10^12,OFFSET(PLE!$G$14,$M418,CG$13))))</f>
        <v>1000000000000</v>
      </c>
      <c r="CH418" s="216">
        <f ca="1">IF($D418&lt;&gt;"Serviço",0,IF(OR(AND(AUTOEVENTO="Manual",$M418=1),$M418&gt;(ROW(PLE.lastrow)-ROW(PLE.firstrow))),0,IF(OFFSET(PLE!$G$14,$M418,CH$13)="",10^12,OFFSET(PLE!$G$14,$M418,CH$13))))</f>
        <v>1000000000000</v>
      </c>
      <c r="CI418" s="216">
        <f ca="1">IF($D418&lt;&gt;"Serviço",0,IF(OR(AND(AUTOEVENTO="Manual",$M418=1),$M418&gt;(ROW(PLE.lastrow)-ROW(PLE.firstrow))),0,IF(OFFSET(PLE!$G$14,$M418,CI$13)="",10^12,OFFSET(PLE!$G$14,$M418,CI$13))))</f>
        <v>1000000000000</v>
      </c>
      <c r="CJ418" s="216">
        <f ca="1">IF($D418&lt;&gt;"Serviço",0,IF(OR(AND(AUTOEVENTO="Manual",$M418=1),$M418&gt;(ROW(PLE.lastrow)-ROW(PLE.firstrow))),0,IF(OFFSET(PLE!$G$14,$M418,CJ$13)="",10^12,OFFSET(PLE!$G$14,$M418,CJ$13))))</f>
        <v>1000000000000</v>
      </c>
      <c r="CK418" s="216">
        <f ca="1">IF($D418&lt;&gt;"Serviço",0,IF(OR(AND(AUTOEVENTO="Manual",$M418=1),$M418&gt;(ROW(PLE.lastrow)-ROW(PLE.firstrow))),0,IF(OFFSET(PLE!$G$14,$M418,CK$13)="",10^12,OFFSET(PLE!$G$14,$M418,CK$13))))</f>
        <v>1000000000000</v>
      </c>
      <c r="CL418" s="216">
        <f ca="1">IF($D418&lt;&gt;"Serviço",0,IF(OR(AND(AUTOEVENTO="Manual",$M418=1),$M418&gt;(ROW(PLE.lastrow)-ROW(PLE.firstrow))),0,IF(OFFSET(PLE!$G$14,$M418,CL$13)="",10^12,OFFSET(PLE!$G$14,$M418,CL$13))))</f>
        <v>1000000000000</v>
      </c>
      <c r="CM418" s="216">
        <f ca="1">IF($D418&lt;&gt;"Serviço",0,IF(OR(AND(AUTOEVENTO="Manual",$M418=1),$M418&gt;(ROW(PLE.lastrow)-ROW(PLE.firstrow))),0,IF(OFFSET(PLE!$G$14,$M418,CM$13)="",10^12,OFFSET(PLE!$G$14,$M418,CM$13))))</f>
        <v>1000000000000</v>
      </c>
    </row>
    <row r="419" spans="1:91" ht="13.2" x14ac:dyDescent="0.25">
      <c r="A419" s="9">
        <f t="shared" ca="1" si="15"/>
        <v>0</v>
      </c>
      <c r="B419" s="9" t="str">
        <f ca="1">OFFSET(ORÇAMENTO!C$15,ROW(B419)-ROW(B$15),0)</f>
        <v>S</v>
      </c>
      <c r="C419" s="9" t="str">
        <f ca="1">OFFSET(ORÇAMENTO!L$15,ROW(C419)-ROW(C$15),0)</f>
        <v/>
      </c>
      <c r="D419" s="145" t="str">
        <f ca="1">OFFSET(ORÇAMENTO!N$15,ROW(D419)-ROW(D$15),0)</f>
        <v>Serviço</v>
      </c>
      <c r="E419" s="205" t="str">
        <f ca="1">OFFSET(ORÇAMENTO!O$15,ROW(E419)-ROW(E$15),0)</f>
        <v>-</v>
      </c>
      <c r="F419" s="206" t="str">
        <f ca="1">OFFSET(ORÇAMENTO!R$15,ROW(F419)-ROW(F$15),0)</f>
        <v>(abra o arquivo 'Referência 05-2024.xls)</v>
      </c>
      <c r="G419" s="207" t="str">
        <f ca="1">IF($D419&lt;&gt;"Serviço","",OFFSET(ORÇAMENTO!S$15,ROW(G419)-ROW(G$15),0))</f>
        <v>-</v>
      </c>
      <c r="H419" s="151">
        <f ca="1">IF($D419&lt;&gt;"Serviço",0,IF(ACOMPANHAMENTO="BM",ROUND(OFFSET(ORÇAMENTO!AJ$15,ROW(H419)-ROW(H$15),0),15-13*ORÇAMENTO!$AF$7),SUMPRODUCT(($Q$12:$AI$12&lt;&gt;"")*ROUND($Q419:$AI419,15-13*ORÇAMENTO!$AF$7))))</f>
        <v>1</v>
      </c>
      <c r="I419" s="650"/>
      <c r="K419" s="208"/>
      <c r="L419" s="209" t="s">
        <v>257</v>
      </c>
      <c r="M419" s="210">
        <f ca="1">IF($D419&lt;&gt;"Serviço","",IF(AUTOEVENTO="manual",$A419,IF(ISERROR(MATCH($A419,$A$15:OFFSET($A419,-1,0),0)),MAX($M$15:OFFSET(M419,-1,0))+1,INDEX($M$15:OFFSET(M419,-1,0),MATCH($A419,$A$15:OFFSET($A419,-1,0),0)))))</f>
        <v>0</v>
      </c>
      <c r="N419" s="211" t="str">
        <f ca="1">IF($D419&lt;&gt;"Serviço","",IF(AUTOEVENTO="Manual",IF($A419=0,"&lt;-- defina o número do agrupador",OFFSET(EVENTOS!$D$14,$A419,0)),OFFSET($F$15,$A419,0)))</f>
        <v>&lt;-- defina o número do agrupador</v>
      </c>
      <c r="O419" s="212"/>
      <c r="Q419" s="212"/>
      <c r="R419" s="213"/>
      <c r="S419" s="213"/>
      <c r="T419" s="213"/>
      <c r="U419" s="213"/>
      <c r="V419" s="213"/>
      <c r="W419" s="213"/>
      <c r="X419" s="213"/>
      <c r="Y419" s="213"/>
      <c r="Z419" s="214"/>
      <c r="AA419" s="213"/>
      <c r="AB419" s="213"/>
      <c r="AC419" s="213"/>
      <c r="AD419" s="213"/>
      <c r="AE419" s="213"/>
      <c r="AF419" s="213"/>
      <c r="AG419" s="213"/>
      <c r="AH419" s="214"/>
      <c r="AJ419" s="631">
        <f ca="1">IF(AND($D419="Serviço",AJ$12&lt;&gt;0,$H419&gt;0,OR(AUTOEVENTO&lt;&gt;"manual",$M419&lt;&gt;1)),ROUND(OFFSET($P419,0,AJ$13),15-13*ORÇAMENTO!$AF$7)/$H419*OFFSET(ORÇAMENTO!$X$15,ROW(AJ419)-ROW(AJ$15),0),0)</f>
        <v>0</v>
      </c>
      <c r="AK419" s="632">
        <f ca="1">IF(AND($D419="Serviço",AK$12&lt;&gt;0,$H419&gt;0,OR(AUTOEVENTO&lt;&gt;"manual",$M419&lt;&gt;1)),ROUND(OFFSET($P419,0,AK$13),15-13*ORÇAMENTO!$AF$7)/$H419*OFFSET(ORÇAMENTO!$X$15,ROW(AK419)-ROW(AK$15),0),0)</f>
        <v>0</v>
      </c>
      <c r="AL419" s="632">
        <f ca="1">IF(AND($D419="Serviço",AL$12&lt;&gt;0,$H419&gt;0,OR(AUTOEVENTO&lt;&gt;"manual",$M419&lt;&gt;1)),ROUND(OFFSET($P419,0,AL$13),15-13*ORÇAMENTO!$AF$7)/$H419*OFFSET(ORÇAMENTO!$X$15,ROW(AL419)-ROW(AL$15),0),0)</f>
        <v>0</v>
      </c>
      <c r="AM419" s="632">
        <f ca="1">IF(AND($D419="Serviço",AM$12&lt;&gt;0,$H419&gt;0,OR(AUTOEVENTO&lt;&gt;"manual",$M419&lt;&gt;1)),ROUND(OFFSET($P419,0,AM$13),15-13*ORÇAMENTO!$AF$7)/$H419*OFFSET(ORÇAMENTO!$X$15,ROW(AM419)-ROW(AM$15),0),0)</f>
        <v>0</v>
      </c>
      <c r="AN419" s="632">
        <f ca="1">IF(AND($D419="Serviço",AN$12&lt;&gt;0,$H419&gt;0,OR(AUTOEVENTO&lt;&gt;"manual",$M419&lt;&gt;1)),ROUND(OFFSET($P419,0,AN$13),15-13*ORÇAMENTO!$AF$7)/$H419*OFFSET(ORÇAMENTO!$X$15,ROW(AN419)-ROW(AN$15),0),0)</f>
        <v>0</v>
      </c>
      <c r="AO419" s="632">
        <f ca="1">IF(AND($D419="Serviço",AO$12&lt;&gt;0,$H419&gt;0,OR(AUTOEVENTO&lt;&gt;"manual",$M419&lt;&gt;1)),ROUND(OFFSET($P419,0,AO$13),15-13*ORÇAMENTO!$AF$7)/$H419*OFFSET(ORÇAMENTO!$X$15,ROW(AO419)-ROW(AO$15),0),0)</f>
        <v>0</v>
      </c>
      <c r="AP419" s="632">
        <f ca="1">IF(AND($D419="Serviço",AP$12&lt;&gt;0,$H419&gt;0,OR(AUTOEVENTO&lt;&gt;"manual",$M419&lt;&gt;1)),ROUND(OFFSET($P419,0,AP$13),15-13*ORÇAMENTO!$AF$7)/$H419*OFFSET(ORÇAMENTO!$X$15,ROW(AP419)-ROW(AP$15),0),0)</f>
        <v>0</v>
      </c>
      <c r="AQ419" s="632">
        <f ca="1">IF(AND($D419="Serviço",AQ$12&lt;&gt;0,$H419&gt;0,OR(AUTOEVENTO&lt;&gt;"manual",$M419&lt;&gt;1)),ROUND(OFFSET($P419,0,AQ$13),15-13*ORÇAMENTO!$AF$7)/$H419*OFFSET(ORÇAMENTO!$X$15,ROW(AQ419)-ROW(AQ$15),0),0)</f>
        <v>0</v>
      </c>
      <c r="AR419" s="632">
        <f ca="1">IF(AND($D419="Serviço",AR$12&lt;&gt;0,$H419&gt;0,OR(AUTOEVENTO&lt;&gt;"manual",$M419&lt;&gt;1)),ROUND(OFFSET($P419,0,AR$13),15-13*ORÇAMENTO!$AF$7)/$H419*OFFSET(ORÇAMENTO!$X$15,ROW(AR419)-ROW(AR$15),0),0)</f>
        <v>0</v>
      </c>
      <c r="AS419" s="633">
        <f ca="1">IF(AND($D419="Serviço",AS$12&lt;&gt;0,$H419&gt;0,OR(AUTOEVENTO&lt;&gt;"manual",$M419&lt;&gt;1)),ROUND(OFFSET($P419,0,AS$13),15-13*ORÇAMENTO!$AF$7)/$H419*OFFSET(ORÇAMENTO!$X$15,ROW(AS419)-ROW(AS$15),0),0)</f>
        <v>0</v>
      </c>
      <c r="AT419" s="632">
        <f ca="1">IF(AND($D419="Serviço",AT$12&lt;&gt;0,$H419&gt;0,OR(AUTOEVENTO&lt;&gt;"manual",$M419&lt;&gt;1)),ROUND(OFFSET($P419,0,AT$13),15-13*ORÇAMENTO!$AF$7)/$H419*OFFSET(ORÇAMENTO!$X$15,ROW(AT419)-ROW(AT$15),0),0)</f>
        <v>0</v>
      </c>
      <c r="AU419" s="632">
        <f ca="1">IF(AND($D419="Serviço",AU$12&lt;&gt;0,$H419&gt;0,OR(AUTOEVENTO&lt;&gt;"manual",$M419&lt;&gt;1)),ROUND(OFFSET($P419,0,AU$13),15-13*ORÇAMENTO!$AF$7)/$H419*OFFSET(ORÇAMENTO!$X$15,ROW(AU419)-ROW(AU$15),0),0)</f>
        <v>0</v>
      </c>
      <c r="AV419" s="632">
        <f ca="1">IF(AND($D419="Serviço",AV$12&lt;&gt;0,$H419&gt;0,OR(AUTOEVENTO&lt;&gt;"manual",$M419&lt;&gt;1)),ROUND(OFFSET($P419,0,AV$13),15-13*ORÇAMENTO!$AF$7)/$H419*OFFSET(ORÇAMENTO!$X$15,ROW(AV419)-ROW(AV$15),0),0)</f>
        <v>0</v>
      </c>
      <c r="AW419" s="632">
        <f ca="1">IF(AND($D419="Serviço",AW$12&lt;&gt;0,$H419&gt;0,OR(AUTOEVENTO&lt;&gt;"manual",$M419&lt;&gt;1)),ROUND(OFFSET($P419,0,AW$13),15-13*ORÇAMENTO!$AF$7)/$H419*OFFSET(ORÇAMENTO!$X$15,ROW(AW419)-ROW(AW$15),0),0)</f>
        <v>0</v>
      </c>
      <c r="AX419" s="632">
        <f ca="1">IF(AND($D419="Serviço",AX$12&lt;&gt;0,$H419&gt;0,OR(AUTOEVENTO&lt;&gt;"manual",$M419&lt;&gt;1)),ROUND(OFFSET($P419,0,AX$13),15-13*ORÇAMENTO!$AF$7)/$H419*OFFSET(ORÇAMENTO!$X$15,ROW(AX419)-ROW(AX$15),0),0)</f>
        <v>0</v>
      </c>
      <c r="AY419" s="632">
        <f ca="1">IF(AND($D419="Serviço",AY$12&lt;&gt;0,$H419&gt;0,OR(AUTOEVENTO&lt;&gt;"manual",$M419&lt;&gt;1)),ROUND(OFFSET($P419,0,AY$13),15-13*ORÇAMENTO!$AF$7)/$H419*OFFSET(ORÇAMENTO!$X$15,ROW(AY419)-ROW(AY$15),0),0)</f>
        <v>0</v>
      </c>
      <c r="AZ419" s="632">
        <f ca="1">IF(AND($D419="Serviço",AZ$12&lt;&gt;0,$H419&gt;0,OR(AUTOEVENTO&lt;&gt;"manual",$M419&lt;&gt;1)),ROUND(OFFSET($P419,0,AZ$13),15-13*ORÇAMENTO!$AF$7)/$H419*OFFSET(ORÇAMENTO!$X$15,ROW(AZ419)-ROW(AZ$15),0),0)</f>
        <v>0</v>
      </c>
      <c r="BA419" s="633">
        <f ca="1">IF(AND($D419="Serviço",BA$12&lt;&gt;0,$H419&gt;0,OR(AUTOEVENTO&lt;&gt;"manual",$M419&lt;&gt;1)),ROUND(OFFSET($P419,0,BA$13),15-13*ORÇAMENTO!$AF$7)/$H419*OFFSET(ORÇAMENTO!$X$15,ROW(BA419)-ROW(BA$15),0),0)</f>
        <v>0</v>
      </c>
      <c r="BC419" s="215">
        <f ca="1">IF($D419&lt;&gt;"Serviço",0,IF(AND(AUTOEVENTO="Manual",$M419=1),0,IF(OFFSET(CRONOPLE!$F$14,$M419,BC$13)="",10^12,OFFSET(CRONOPLE!$F$14,$M419,BC$13))))</f>
        <v>1000000000000</v>
      </c>
      <c r="BD419" s="215">
        <f ca="1">IF($D419&lt;&gt;"Serviço",0,IF(AND(AUTOEVENTO="Manual",$M419=1),0,IF(OFFSET(CRONOPLE!$F$14,$M419,BD$13)="",10^12,OFFSET(CRONOPLE!$F$14,$M419,BD$13))))</f>
        <v>1000000000000</v>
      </c>
      <c r="BE419" s="215">
        <f ca="1">IF($D419&lt;&gt;"Serviço",0,IF(AND(AUTOEVENTO="Manual",$M419=1),0,IF(OFFSET(CRONOPLE!$F$14,$M419,BE$13)="",10^12,OFFSET(CRONOPLE!$F$14,$M419,BE$13))))</f>
        <v>1000000000000</v>
      </c>
      <c r="BF419" s="215">
        <f ca="1">IF($D419&lt;&gt;"Serviço",0,IF(AND(AUTOEVENTO="Manual",$M419=1),0,IF(OFFSET(CRONOPLE!$F$14,$M419,BF$13)="",10^12,OFFSET(CRONOPLE!$F$14,$M419,BF$13))))</f>
        <v>1000000000000</v>
      </c>
      <c r="BG419" s="215">
        <f ca="1">IF($D419&lt;&gt;"Serviço",0,IF(AND(AUTOEVENTO="Manual",$M419=1),0,IF(OFFSET(CRONOPLE!$F$14,$M419,BG$13)="",10^12,OFFSET(CRONOPLE!$F$14,$M419,BG$13))))</f>
        <v>1000000000000</v>
      </c>
      <c r="BH419" s="215">
        <f ca="1">IF($D419&lt;&gt;"Serviço",0,IF(AND(AUTOEVENTO="Manual",$M419=1),0,IF(OFFSET(CRONOPLE!$F$14,$M419,BH$13)="",10^12,OFFSET(CRONOPLE!$F$14,$M419,BH$13))))</f>
        <v>1000000000000</v>
      </c>
      <c r="BI419" s="215">
        <f ca="1">IF($D419&lt;&gt;"Serviço",0,IF(AND(AUTOEVENTO="Manual",$M419=1),0,IF(OFFSET(CRONOPLE!$F$14,$M419,BI$13)="",10^12,OFFSET(CRONOPLE!$F$14,$M419,BI$13))))</f>
        <v>1000000000000</v>
      </c>
      <c r="BJ419" s="215">
        <f ca="1">IF($D419&lt;&gt;"Serviço",0,IF(AND(AUTOEVENTO="Manual",$M419=1),0,IF(OFFSET(CRONOPLE!$F$14,$M419,BJ$13)="",10^12,OFFSET(CRONOPLE!$F$14,$M419,BJ$13))))</f>
        <v>1000000000000</v>
      </c>
      <c r="BK419" s="215">
        <f ca="1">IF($D419&lt;&gt;"Serviço",0,IF(AND(AUTOEVENTO="Manual",$M419=1),0,IF(OFFSET(CRONOPLE!$F$14,$M419,BK$13)="",10^12,OFFSET(CRONOPLE!$F$14,$M419,BK$13))))</f>
        <v>1000000000000</v>
      </c>
      <c r="BL419" s="215">
        <f ca="1">IF($D419&lt;&gt;"Serviço",0,IF(AND(AUTOEVENTO="Manual",$M419=1),0,IF(OFFSET(CRONOPLE!$F$14,$M419,BL$13)="",10^12,OFFSET(CRONOPLE!$F$14,$M419,BL$13))))</f>
        <v>1000000000000</v>
      </c>
      <c r="BM419" s="215">
        <f ca="1">IF($D419&lt;&gt;"Serviço",0,IF(AND(AUTOEVENTO="Manual",$M419=1),0,IF(OFFSET(CRONOPLE!$F$14,$M419,BM$13)="",10^12,OFFSET(CRONOPLE!$F$14,$M419,BM$13))))</f>
        <v>1000000000000</v>
      </c>
      <c r="BN419" s="215">
        <f ca="1">IF($D419&lt;&gt;"Serviço",0,IF(AND(AUTOEVENTO="Manual",$M419=1),0,IF(OFFSET(CRONOPLE!$F$14,$M419,BN$13)="",10^12,OFFSET(CRONOPLE!$F$14,$M419,BN$13))))</f>
        <v>1000000000000</v>
      </c>
      <c r="BO419" s="215">
        <f ca="1">IF($D419&lt;&gt;"Serviço",0,IF(AND(AUTOEVENTO="Manual",$M419=1),0,IF(OFFSET(CRONOPLE!$F$14,$M419,BO$13)="",10^12,OFFSET(CRONOPLE!$F$14,$M419,BO$13))))</f>
        <v>1000000000000</v>
      </c>
      <c r="BP419" s="215">
        <f ca="1">IF($D419&lt;&gt;"Serviço",0,IF(AND(AUTOEVENTO="Manual",$M419=1),0,IF(OFFSET(CRONOPLE!$F$14,$M419,BP$13)="",10^12,OFFSET(CRONOPLE!$F$14,$M419,BP$13))))</f>
        <v>1000000000000</v>
      </c>
      <c r="BQ419" s="215">
        <f ca="1">IF($D419&lt;&gt;"Serviço",0,IF(AND(AUTOEVENTO="Manual",$M419=1),0,IF(OFFSET(CRONOPLE!$F$14,$M419,BQ$13)="",10^12,OFFSET(CRONOPLE!$F$14,$M419,BQ$13))))</f>
        <v>1000000000000</v>
      </c>
      <c r="BR419" s="215">
        <f ca="1">IF($D419&lt;&gt;"Serviço",0,IF(AND(AUTOEVENTO="Manual",$M419=1),0,IF(OFFSET(CRONOPLE!$F$14,$M419,BR$13)="",10^12,OFFSET(CRONOPLE!$F$14,$M419,BR$13))))</f>
        <v>1000000000000</v>
      </c>
      <c r="BS419" s="215">
        <f ca="1">IF($D419&lt;&gt;"Serviço",0,IF(AND(AUTOEVENTO="Manual",$M419=1),0,IF(OFFSET(CRONOPLE!$F$14,$M419,BS$13)="",10^12,OFFSET(CRONOPLE!$F$14,$M419,BS$13))))</f>
        <v>1000000000000</v>
      </c>
      <c r="BT419" s="215">
        <f ca="1">IF($D419&lt;&gt;"Serviço",0,IF(AND(AUTOEVENTO="Manual",$M419=1),0,IF(OFFSET(CRONOPLE!$F$14,$M419,BT$13)="",10^12,OFFSET(CRONOPLE!$F$14,$M419,BT$13))))</f>
        <v>1000000000000</v>
      </c>
      <c r="BV419" s="216">
        <f ca="1">IF($D419&lt;&gt;"Serviço",0,IF(OR(AND(AUTOEVENTO="Manual",$M419=1),$M419&gt;(ROW(PLE.lastrow)-ROW(PLE.firstrow))),0,IF(OFFSET(PLE!$G$14,$M419,BV$13)="",10^12,OFFSET(PLE!$G$14,$M419,BV$13))))</f>
        <v>1000000000000</v>
      </c>
      <c r="BW419" s="216">
        <f ca="1">IF($D419&lt;&gt;"Serviço",0,IF(OR(AND(AUTOEVENTO="Manual",$M419=1),$M419&gt;(ROW(PLE.lastrow)-ROW(PLE.firstrow))),0,IF(OFFSET(PLE!$G$14,$M419,BW$13)="",10^12,OFFSET(PLE!$G$14,$M419,BW$13))))</f>
        <v>1000000000000</v>
      </c>
      <c r="BX419" s="216">
        <f ca="1">IF($D419&lt;&gt;"Serviço",0,IF(OR(AND(AUTOEVENTO="Manual",$M419=1),$M419&gt;(ROW(PLE.lastrow)-ROW(PLE.firstrow))),0,IF(OFFSET(PLE!$G$14,$M419,BX$13)="",10^12,OFFSET(PLE!$G$14,$M419,BX$13))))</f>
        <v>1000000000000</v>
      </c>
      <c r="BY419" s="216">
        <f ca="1">IF($D419&lt;&gt;"Serviço",0,IF(OR(AND(AUTOEVENTO="Manual",$M419=1),$M419&gt;(ROW(PLE.lastrow)-ROW(PLE.firstrow))),0,IF(OFFSET(PLE!$G$14,$M419,BY$13)="",10^12,OFFSET(PLE!$G$14,$M419,BY$13))))</f>
        <v>1000000000000</v>
      </c>
      <c r="BZ419" s="216">
        <f ca="1">IF($D419&lt;&gt;"Serviço",0,IF(OR(AND(AUTOEVENTO="Manual",$M419=1),$M419&gt;(ROW(PLE.lastrow)-ROW(PLE.firstrow))),0,IF(OFFSET(PLE!$G$14,$M419,BZ$13)="",10^12,OFFSET(PLE!$G$14,$M419,BZ$13))))</f>
        <v>1000000000000</v>
      </c>
      <c r="CA419" s="216">
        <f ca="1">IF($D419&lt;&gt;"Serviço",0,IF(OR(AND(AUTOEVENTO="Manual",$M419=1),$M419&gt;(ROW(PLE.lastrow)-ROW(PLE.firstrow))),0,IF(OFFSET(PLE!$G$14,$M419,CA$13)="",10^12,OFFSET(PLE!$G$14,$M419,CA$13))))</f>
        <v>1000000000000</v>
      </c>
      <c r="CB419" s="216">
        <f ca="1">IF($D419&lt;&gt;"Serviço",0,IF(OR(AND(AUTOEVENTO="Manual",$M419=1),$M419&gt;(ROW(PLE.lastrow)-ROW(PLE.firstrow))),0,IF(OFFSET(PLE!$G$14,$M419,CB$13)="",10^12,OFFSET(PLE!$G$14,$M419,CB$13))))</f>
        <v>1000000000000</v>
      </c>
      <c r="CC419" s="216">
        <f ca="1">IF($D419&lt;&gt;"Serviço",0,IF(OR(AND(AUTOEVENTO="Manual",$M419=1),$M419&gt;(ROW(PLE.lastrow)-ROW(PLE.firstrow))),0,IF(OFFSET(PLE!$G$14,$M419,CC$13)="",10^12,OFFSET(PLE!$G$14,$M419,CC$13))))</f>
        <v>1000000000000</v>
      </c>
      <c r="CD419" s="216">
        <f ca="1">IF($D419&lt;&gt;"Serviço",0,IF(OR(AND(AUTOEVENTO="Manual",$M419=1),$M419&gt;(ROW(PLE.lastrow)-ROW(PLE.firstrow))),0,IF(OFFSET(PLE!$G$14,$M419,CD$13)="",10^12,OFFSET(PLE!$G$14,$M419,CD$13))))</f>
        <v>1000000000000</v>
      </c>
      <c r="CE419" s="216">
        <f ca="1">IF($D419&lt;&gt;"Serviço",0,IF(OR(AND(AUTOEVENTO="Manual",$M419=1),$M419&gt;(ROW(PLE.lastrow)-ROW(PLE.firstrow))),0,IF(OFFSET(PLE!$G$14,$M419,CE$13)="",10^12,OFFSET(PLE!$G$14,$M419,CE$13))))</f>
        <v>1000000000000</v>
      </c>
      <c r="CF419" s="216">
        <f ca="1">IF($D419&lt;&gt;"Serviço",0,IF(OR(AND(AUTOEVENTO="Manual",$M419=1),$M419&gt;(ROW(PLE.lastrow)-ROW(PLE.firstrow))),0,IF(OFFSET(PLE!$G$14,$M419,CF$13)="",10^12,OFFSET(PLE!$G$14,$M419,CF$13))))</f>
        <v>1000000000000</v>
      </c>
      <c r="CG419" s="216">
        <f ca="1">IF($D419&lt;&gt;"Serviço",0,IF(OR(AND(AUTOEVENTO="Manual",$M419=1),$M419&gt;(ROW(PLE.lastrow)-ROW(PLE.firstrow))),0,IF(OFFSET(PLE!$G$14,$M419,CG$13)="",10^12,OFFSET(PLE!$G$14,$M419,CG$13))))</f>
        <v>1000000000000</v>
      </c>
      <c r="CH419" s="216">
        <f ca="1">IF($D419&lt;&gt;"Serviço",0,IF(OR(AND(AUTOEVENTO="Manual",$M419=1),$M419&gt;(ROW(PLE.lastrow)-ROW(PLE.firstrow))),0,IF(OFFSET(PLE!$G$14,$M419,CH$13)="",10^12,OFFSET(PLE!$G$14,$M419,CH$13))))</f>
        <v>1000000000000</v>
      </c>
      <c r="CI419" s="216">
        <f ca="1">IF($D419&lt;&gt;"Serviço",0,IF(OR(AND(AUTOEVENTO="Manual",$M419=1),$M419&gt;(ROW(PLE.lastrow)-ROW(PLE.firstrow))),0,IF(OFFSET(PLE!$G$14,$M419,CI$13)="",10^12,OFFSET(PLE!$G$14,$M419,CI$13))))</f>
        <v>1000000000000</v>
      </c>
      <c r="CJ419" s="216">
        <f ca="1">IF($D419&lt;&gt;"Serviço",0,IF(OR(AND(AUTOEVENTO="Manual",$M419=1),$M419&gt;(ROW(PLE.lastrow)-ROW(PLE.firstrow))),0,IF(OFFSET(PLE!$G$14,$M419,CJ$13)="",10^12,OFFSET(PLE!$G$14,$M419,CJ$13))))</f>
        <v>1000000000000</v>
      </c>
      <c r="CK419" s="216">
        <f ca="1">IF($D419&lt;&gt;"Serviço",0,IF(OR(AND(AUTOEVENTO="Manual",$M419=1),$M419&gt;(ROW(PLE.lastrow)-ROW(PLE.firstrow))),0,IF(OFFSET(PLE!$G$14,$M419,CK$13)="",10^12,OFFSET(PLE!$G$14,$M419,CK$13))))</f>
        <v>1000000000000</v>
      </c>
      <c r="CL419" s="216">
        <f ca="1">IF($D419&lt;&gt;"Serviço",0,IF(OR(AND(AUTOEVENTO="Manual",$M419=1),$M419&gt;(ROW(PLE.lastrow)-ROW(PLE.firstrow))),0,IF(OFFSET(PLE!$G$14,$M419,CL$13)="",10^12,OFFSET(PLE!$G$14,$M419,CL$13))))</f>
        <v>1000000000000</v>
      </c>
      <c r="CM419" s="216">
        <f ca="1">IF($D419&lt;&gt;"Serviço",0,IF(OR(AND(AUTOEVENTO="Manual",$M419=1),$M419&gt;(ROW(PLE.lastrow)-ROW(PLE.firstrow))),0,IF(OFFSET(PLE!$G$14,$M419,CM$13)="",10^12,OFFSET(PLE!$G$14,$M419,CM$13))))</f>
        <v>1000000000000</v>
      </c>
    </row>
    <row r="420" spans="1:91" ht="13.2" x14ac:dyDescent="0.25">
      <c r="A420" s="9">
        <f t="shared" ca="1" si="15"/>
        <v>0</v>
      </c>
      <c r="B420" s="9" t="str">
        <f ca="1">OFFSET(ORÇAMENTO!C$15,ROW(B420)-ROW(B$15),0)</f>
        <v>S</v>
      </c>
      <c r="C420" s="9" t="str">
        <f ca="1">OFFSET(ORÇAMENTO!L$15,ROW(C420)-ROW(C$15),0)</f>
        <v/>
      </c>
      <c r="D420" s="145" t="str">
        <f ca="1">OFFSET(ORÇAMENTO!N$15,ROW(D420)-ROW(D$15),0)</f>
        <v>Serviço</v>
      </c>
      <c r="E420" s="205" t="str">
        <f ca="1">OFFSET(ORÇAMENTO!O$15,ROW(E420)-ROW(E$15),0)</f>
        <v>-</v>
      </c>
      <c r="F420" s="206" t="str">
        <f ca="1">OFFSET(ORÇAMENTO!R$15,ROW(F420)-ROW(F$15),0)</f>
        <v>(abra o arquivo 'Referência 05-2024.xls)</v>
      </c>
      <c r="G420" s="207" t="str">
        <f ca="1">IF($D420&lt;&gt;"Serviço","",OFFSET(ORÇAMENTO!S$15,ROW(G420)-ROW(G$15),0))</f>
        <v>-</v>
      </c>
      <c r="H420" s="151">
        <f ca="1">IF($D420&lt;&gt;"Serviço",0,IF(ACOMPANHAMENTO="BM",ROUND(OFFSET(ORÇAMENTO!AJ$15,ROW(H420)-ROW(H$15),0),15-13*ORÇAMENTO!$AF$7),SUMPRODUCT(($Q$12:$AI$12&lt;&gt;"")*ROUND($Q420:$AI420,15-13*ORÇAMENTO!$AF$7))))</f>
        <v>8</v>
      </c>
      <c r="I420" s="650"/>
      <c r="K420" s="208"/>
      <c r="L420" s="209" t="s">
        <v>257</v>
      </c>
      <c r="M420" s="210">
        <f ca="1">IF($D420&lt;&gt;"Serviço","",IF(AUTOEVENTO="manual",$A420,IF(ISERROR(MATCH($A420,$A$15:OFFSET($A420,-1,0),0)),MAX($M$15:OFFSET(M420,-1,0))+1,INDEX($M$15:OFFSET(M420,-1,0),MATCH($A420,$A$15:OFFSET($A420,-1,0),0)))))</f>
        <v>0</v>
      </c>
      <c r="N420" s="211" t="str">
        <f ca="1">IF($D420&lt;&gt;"Serviço","",IF(AUTOEVENTO="Manual",IF($A420=0,"&lt;-- defina o número do agrupador",OFFSET(EVENTOS!$D$14,$A420,0)),OFFSET($F$15,$A420,0)))</f>
        <v>&lt;-- defina o número do agrupador</v>
      </c>
      <c r="O420" s="212"/>
      <c r="Q420" s="212"/>
      <c r="R420" s="213"/>
      <c r="S420" s="213"/>
      <c r="T420" s="213"/>
      <c r="U420" s="213"/>
      <c r="V420" s="213"/>
      <c r="W420" s="213"/>
      <c r="X420" s="213"/>
      <c r="Y420" s="213"/>
      <c r="Z420" s="214"/>
      <c r="AA420" s="213"/>
      <c r="AB420" s="213"/>
      <c r="AC420" s="213"/>
      <c r="AD420" s="213"/>
      <c r="AE420" s="213"/>
      <c r="AF420" s="213"/>
      <c r="AG420" s="213"/>
      <c r="AH420" s="214"/>
      <c r="AJ420" s="631">
        <f ca="1">IF(AND($D420="Serviço",AJ$12&lt;&gt;0,$H420&gt;0,OR(AUTOEVENTO&lt;&gt;"manual",$M420&lt;&gt;1)),ROUND(OFFSET($P420,0,AJ$13),15-13*ORÇAMENTO!$AF$7)/$H420*OFFSET(ORÇAMENTO!$X$15,ROW(AJ420)-ROW(AJ$15),0),0)</f>
        <v>0</v>
      </c>
      <c r="AK420" s="632">
        <f ca="1">IF(AND($D420="Serviço",AK$12&lt;&gt;0,$H420&gt;0,OR(AUTOEVENTO&lt;&gt;"manual",$M420&lt;&gt;1)),ROUND(OFFSET($P420,0,AK$13),15-13*ORÇAMENTO!$AF$7)/$H420*OFFSET(ORÇAMENTO!$X$15,ROW(AK420)-ROW(AK$15),0),0)</f>
        <v>0</v>
      </c>
      <c r="AL420" s="632">
        <f ca="1">IF(AND($D420="Serviço",AL$12&lt;&gt;0,$H420&gt;0,OR(AUTOEVENTO&lt;&gt;"manual",$M420&lt;&gt;1)),ROUND(OFFSET($P420,0,AL$13),15-13*ORÇAMENTO!$AF$7)/$H420*OFFSET(ORÇAMENTO!$X$15,ROW(AL420)-ROW(AL$15),0),0)</f>
        <v>0</v>
      </c>
      <c r="AM420" s="632">
        <f ca="1">IF(AND($D420="Serviço",AM$12&lt;&gt;0,$H420&gt;0,OR(AUTOEVENTO&lt;&gt;"manual",$M420&lt;&gt;1)),ROUND(OFFSET($P420,0,AM$13),15-13*ORÇAMENTO!$AF$7)/$H420*OFFSET(ORÇAMENTO!$X$15,ROW(AM420)-ROW(AM$15),0),0)</f>
        <v>0</v>
      </c>
      <c r="AN420" s="632">
        <f ca="1">IF(AND($D420="Serviço",AN$12&lt;&gt;0,$H420&gt;0,OR(AUTOEVENTO&lt;&gt;"manual",$M420&lt;&gt;1)),ROUND(OFFSET($P420,0,AN$13),15-13*ORÇAMENTO!$AF$7)/$H420*OFFSET(ORÇAMENTO!$X$15,ROW(AN420)-ROW(AN$15),0),0)</f>
        <v>0</v>
      </c>
      <c r="AO420" s="632">
        <f ca="1">IF(AND($D420="Serviço",AO$12&lt;&gt;0,$H420&gt;0,OR(AUTOEVENTO&lt;&gt;"manual",$M420&lt;&gt;1)),ROUND(OFFSET($P420,0,AO$13),15-13*ORÇAMENTO!$AF$7)/$H420*OFFSET(ORÇAMENTO!$X$15,ROW(AO420)-ROW(AO$15),0),0)</f>
        <v>0</v>
      </c>
      <c r="AP420" s="632">
        <f ca="1">IF(AND($D420="Serviço",AP$12&lt;&gt;0,$H420&gt;0,OR(AUTOEVENTO&lt;&gt;"manual",$M420&lt;&gt;1)),ROUND(OFFSET($P420,0,AP$13),15-13*ORÇAMENTO!$AF$7)/$H420*OFFSET(ORÇAMENTO!$X$15,ROW(AP420)-ROW(AP$15),0),0)</f>
        <v>0</v>
      </c>
      <c r="AQ420" s="632">
        <f ca="1">IF(AND($D420="Serviço",AQ$12&lt;&gt;0,$H420&gt;0,OR(AUTOEVENTO&lt;&gt;"manual",$M420&lt;&gt;1)),ROUND(OFFSET($P420,0,AQ$13),15-13*ORÇAMENTO!$AF$7)/$H420*OFFSET(ORÇAMENTO!$X$15,ROW(AQ420)-ROW(AQ$15),0),0)</f>
        <v>0</v>
      </c>
      <c r="AR420" s="632">
        <f ca="1">IF(AND($D420="Serviço",AR$12&lt;&gt;0,$H420&gt;0,OR(AUTOEVENTO&lt;&gt;"manual",$M420&lt;&gt;1)),ROUND(OFFSET($P420,0,AR$13),15-13*ORÇAMENTO!$AF$7)/$H420*OFFSET(ORÇAMENTO!$X$15,ROW(AR420)-ROW(AR$15),0),0)</f>
        <v>0</v>
      </c>
      <c r="AS420" s="633">
        <f ca="1">IF(AND($D420="Serviço",AS$12&lt;&gt;0,$H420&gt;0,OR(AUTOEVENTO&lt;&gt;"manual",$M420&lt;&gt;1)),ROUND(OFFSET($P420,0,AS$13),15-13*ORÇAMENTO!$AF$7)/$H420*OFFSET(ORÇAMENTO!$X$15,ROW(AS420)-ROW(AS$15),0),0)</f>
        <v>0</v>
      </c>
      <c r="AT420" s="632">
        <f ca="1">IF(AND($D420="Serviço",AT$12&lt;&gt;0,$H420&gt;0,OR(AUTOEVENTO&lt;&gt;"manual",$M420&lt;&gt;1)),ROUND(OFFSET($P420,0,AT$13),15-13*ORÇAMENTO!$AF$7)/$H420*OFFSET(ORÇAMENTO!$X$15,ROW(AT420)-ROW(AT$15),0),0)</f>
        <v>0</v>
      </c>
      <c r="AU420" s="632">
        <f ca="1">IF(AND($D420="Serviço",AU$12&lt;&gt;0,$H420&gt;0,OR(AUTOEVENTO&lt;&gt;"manual",$M420&lt;&gt;1)),ROUND(OFFSET($P420,0,AU$13),15-13*ORÇAMENTO!$AF$7)/$H420*OFFSET(ORÇAMENTO!$X$15,ROW(AU420)-ROW(AU$15),0),0)</f>
        <v>0</v>
      </c>
      <c r="AV420" s="632">
        <f ca="1">IF(AND($D420="Serviço",AV$12&lt;&gt;0,$H420&gt;0,OR(AUTOEVENTO&lt;&gt;"manual",$M420&lt;&gt;1)),ROUND(OFFSET($P420,0,AV$13),15-13*ORÇAMENTO!$AF$7)/$H420*OFFSET(ORÇAMENTO!$X$15,ROW(AV420)-ROW(AV$15),0),0)</f>
        <v>0</v>
      </c>
      <c r="AW420" s="632">
        <f ca="1">IF(AND($D420="Serviço",AW$12&lt;&gt;0,$H420&gt;0,OR(AUTOEVENTO&lt;&gt;"manual",$M420&lt;&gt;1)),ROUND(OFFSET($P420,0,AW$13),15-13*ORÇAMENTO!$AF$7)/$H420*OFFSET(ORÇAMENTO!$X$15,ROW(AW420)-ROW(AW$15),0),0)</f>
        <v>0</v>
      </c>
      <c r="AX420" s="632">
        <f ca="1">IF(AND($D420="Serviço",AX$12&lt;&gt;0,$H420&gt;0,OR(AUTOEVENTO&lt;&gt;"manual",$M420&lt;&gt;1)),ROUND(OFFSET($P420,0,AX$13),15-13*ORÇAMENTO!$AF$7)/$H420*OFFSET(ORÇAMENTO!$X$15,ROW(AX420)-ROW(AX$15),0),0)</f>
        <v>0</v>
      </c>
      <c r="AY420" s="632">
        <f ca="1">IF(AND($D420="Serviço",AY$12&lt;&gt;0,$H420&gt;0,OR(AUTOEVENTO&lt;&gt;"manual",$M420&lt;&gt;1)),ROUND(OFFSET($P420,0,AY$13),15-13*ORÇAMENTO!$AF$7)/$H420*OFFSET(ORÇAMENTO!$X$15,ROW(AY420)-ROW(AY$15),0),0)</f>
        <v>0</v>
      </c>
      <c r="AZ420" s="632">
        <f ca="1">IF(AND($D420="Serviço",AZ$12&lt;&gt;0,$H420&gt;0,OR(AUTOEVENTO&lt;&gt;"manual",$M420&lt;&gt;1)),ROUND(OFFSET($P420,0,AZ$13),15-13*ORÇAMENTO!$AF$7)/$H420*OFFSET(ORÇAMENTO!$X$15,ROW(AZ420)-ROW(AZ$15),0),0)</f>
        <v>0</v>
      </c>
      <c r="BA420" s="633">
        <f ca="1">IF(AND($D420="Serviço",BA$12&lt;&gt;0,$H420&gt;0,OR(AUTOEVENTO&lt;&gt;"manual",$M420&lt;&gt;1)),ROUND(OFFSET($P420,0,BA$13),15-13*ORÇAMENTO!$AF$7)/$H420*OFFSET(ORÇAMENTO!$X$15,ROW(BA420)-ROW(BA$15),0),0)</f>
        <v>0</v>
      </c>
      <c r="BC420" s="215">
        <f ca="1">IF($D420&lt;&gt;"Serviço",0,IF(AND(AUTOEVENTO="Manual",$M420=1),0,IF(OFFSET(CRONOPLE!$F$14,$M420,BC$13)="",10^12,OFFSET(CRONOPLE!$F$14,$M420,BC$13))))</f>
        <v>1000000000000</v>
      </c>
      <c r="BD420" s="215">
        <f ca="1">IF($D420&lt;&gt;"Serviço",0,IF(AND(AUTOEVENTO="Manual",$M420=1),0,IF(OFFSET(CRONOPLE!$F$14,$M420,BD$13)="",10^12,OFFSET(CRONOPLE!$F$14,$M420,BD$13))))</f>
        <v>1000000000000</v>
      </c>
      <c r="BE420" s="215">
        <f ca="1">IF($D420&lt;&gt;"Serviço",0,IF(AND(AUTOEVENTO="Manual",$M420=1),0,IF(OFFSET(CRONOPLE!$F$14,$M420,BE$13)="",10^12,OFFSET(CRONOPLE!$F$14,$M420,BE$13))))</f>
        <v>1000000000000</v>
      </c>
      <c r="BF420" s="215">
        <f ca="1">IF($D420&lt;&gt;"Serviço",0,IF(AND(AUTOEVENTO="Manual",$M420=1),0,IF(OFFSET(CRONOPLE!$F$14,$M420,BF$13)="",10^12,OFFSET(CRONOPLE!$F$14,$M420,BF$13))))</f>
        <v>1000000000000</v>
      </c>
      <c r="BG420" s="215">
        <f ca="1">IF($D420&lt;&gt;"Serviço",0,IF(AND(AUTOEVENTO="Manual",$M420=1),0,IF(OFFSET(CRONOPLE!$F$14,$M420,BG$13)="",10^12,OFFSET(CRONOPLE!$F$14,$M420,BG$13))))</f>
        <v>1000000000000</v>
      </c>
      <c r="BH420" s="215">
        <f ca="1">IF($D420&lt;&gt;"Serviço",0,IF(AND(AUTOEVENTO="Manual",$M420=1),0,IF(OFFSET(CRONOPLE!$F$14,$M420,BH$13)="",10^12,OFFSET(CRONOPLE!$F$14,$M420,BH$13))))</f>
        <v>1000000000000</v>
      </c>
      <c r="BI420" s="215">
        <f ca="1">IF($D420&lt;&gt;"Serviço",0,IF(AND(AUTOEVENTO="Manual",$M420=1),0,IF(OFFSET(CRONOPLE!$F$14,$M420,BI$13)="",10^12,OFFSET(CRONOPLE!$F$14,$M420,BI$13))))</f>
        <v>1000000000000</v>
      </c>
      <c r="BJ420" s="215">
        <f ca="1">IF($D420&lt;&gt;"Serviço",0,IF(AND(AUTOEVENTO="Manual",$M420=1),0,IF(OFFSET(CRONOPLE!$F$14,$M420,BJ$13)="",10^12,OFFSET(CRONOPLE!$F$14,$M420,BJ$13))))</f>
        <v>1000000000000</v>
      </c>
      <c r="BK420" s="215">
        <f ca="1">IF($D420&lt;&gt;"Serviço",0,IF(AND(AUTOEVENTO="Manual",$M420=1),0,IF(OFFSET(CRONOPLE!$F$14,$M420,BK$13)="",10^12,OFFSET(CRONOPLE!$F$14,$M420,BK$13))))</f>
        <v>1000000000000</v>
      </c>
      <c r="BL420" s="215">
        <f ca="1">IF($D420&lt;&gt;"Serviço",0,IF(AND(AUTOEVENTO="Manual",$M420=1),0,IF(OFFSET(CRONOPLE!$F$14,$M420,BL$13)="",10^12,OFFSET(CRONOPLE!$F$14,$M420,BL$13))))</f>
        <v>1000000000000</v>
      </c>
      <c r="BM420" s="215">
        <f ca="1">IF($D420&lt;&gt;"Serviço",0,IF(AND(AUTOEVENTO="Manual",$M420=1),0,IF(OFFSET(CRONOPLE!$F$14,$M420,BM$13)="",10^12,OFFSET(CRONOPLE!$F$14,$M420,BM$13))))</f>
        <v>1000000000000</v>
      </c>
      <c r="BN420" s="215">
        <f ca="1">IF($D420&lt;&gt;"Serviço",0,IF(AND(AUTOEVENTO="Manual",$M420=1),0,IF(OFFSET(CRONOPLE!$F$14,$M420,BN$13)="",10^12,OFFSET(CRONOPLE!$F$14,$M420,BN$13))))</f>
        <v>1000000000000</v>
      </c>
      <c r="BO420" s="215">
        <f ca="1">IF($D420&lt;&gt;"Serviço",0,IF(AND(AUTOEVENTO="Manual",$M420=1),0,IF(OFFSET(CRONOPLE!$F$14,$M420,BO$13)="",10^12,OFFSET(CRONOPLE!$F$14,$M420,BO$13))))</f>
        <v>1000000000000</v>
      </c>
      <c r="BP420" s="215">
        <f ca="1">IF($D420&lt;&gt;"Serviço",0,IF(AND(AUTOEVENTO="Manual",$M420=1),0,IF(OFFSET(CRONOPLE!$F$14,$M420,BP$13)="",10^12,OFFSET(CRONOPLE!$F$14,$M420,BP$13))))</f>
        <v>1000000000000</v>
      </c>
      <c r="BQ420" s="215">
        <f ca="1">IF($D420&lt;&gt;"Serviço",0,IF(AND(AUTOEVENTO="Manual",$M420=1),0,IF(OFFSET(CRONOPLE!$F$14,$M420,BQ$13)="",10^12,OFFSET(CRONOPLE!$F$14,$M420,BQ$13))))</f>
        <v>1000000000000</v>
      </c>
      <c r="BR420" s="215">
        <f ca="1">IF($D420&lt;&gt;"Serviço",0,IF(AND(AUTOEVENTO="Manual",$M420=1),0,IF(OFFSET(CRONOPLE!$F$14,$M420,BR$13)="",10^12,OFFSET(CRONOPLE!$F$14,$M420,BR$13))))</f>
        <v>1000000000000</v>
      </c>
      <c r="BS420" s="215">
        <f ca="1">IF($D420&lt;&gt;"Serviço",0,IF(AND(AUTOEVENTO="Manual",$M420=1),0,IF(OFFSET(CRONOPLE!$F$14,$M420,BS$13)="",10^12,OFFSET(CRONOPLE!$F$14,$M420,BS$13))))</f>
        <v>1000000000000</v>
      </c>
      <c r="BT420" s="215">
        <f ca="1">IF($D420&lt;&gt;"Serviço",0,IF(AND(AUTOEVENTO="Manual",$M420=1),0,IF(OFFSET(CRONOPLE!$F$14,$M420,BT$13)="",10^12,OFFSET(CRONOPLE!$F$14,$M420,BT$13))))</f>
        <v>1000000000000</v>
      </c>
      <c r="BV420" s="216">
        <f ca="1">IF($D420&lt;&gt;"Serviço",0,IF(OR(AND(AUTOEVENTO="Manual",$M420=1),$M420&gt;(ROW(PLE.lastrow)-ROW(PLE.firstrow))),0,IF(OFFSET(PLE!$G$14,$M420,BV$13)="",10^12,OFFSET(PLE!$G$14,$M420,BV$13))))</f>
        <v>1000000000000</v>
      </c>
      <c r="BW420" s="216">
        <f ca="1">IF($D420&lt;&gt;"Serviço",0,IF(OR(AND(AUTOEVENTO="Manual",$M420=1),$M420&gt;(ROW(PLE.lastrow)-ROW(PLE.firstrow))),0,IF(OFFSET(PLE!$G$14,$M420,BW$13)="",10^12,OFFSET(PLE!$G$14,$M420,BW$13))))</f>
        <v>1000000000000</v>
      </c>
      <c r="BX420" s="216">
        <f ca="1">IF($D420&lt;&gt;"Serviço",0,IF(OR(AND(AUTOEVENTO="Manual",$M420=1),$M420&gt;(ROW(PLE.lastrow)-ROW(PLE.firstrow))),0,IF(OFFSET(PLE!$G$14,$M420,BX$13)="",10^12,OFFSET(PLE!$G$14,$M420,BX$13))))</f>
        <v>1000000000000</v>
      </c>
      <c r="BY420" s="216">
        <f ca="1">IF($D420&lt;&gt;"Serviço",0,IF(OR(AND(AUTOEVENTO="Manual",$M420=1),$M420&gt;(ROW(PLE.lastrow)-ROW(PLE.firstrow))),0,IF(OFFSET(PLE!$G$14,$M420,BY$13)="",10^12,OFFSET(PLE!$G$14,$M420,BY$13))))</f>
        <v>1000000000000</v>
      </c>
      <c r="BZ420" s="216">
        <f ca="1">IF($D420&lt;&gt;"Serviço",0,IF(OR(AND(AUTOEVENTO="Manual",$M420=1),$M420&gt;(ROW(PLE.lastrow)-ROW(PLE.firstrow))),0,IF(OFFSET(PLE!$G$14,$M420,BZ$13)="",10^12,OFFSET(PLE!$G$14,$M420,BZ$13))))</f>
        <v>1000000000000</v>
      </c>
      <c r="CA420" s="216">
        <f ca="1">IF($D420&lt;&gt;"Serviço",0,IF(OR(AND(AUTOEVENTO="Manual",$M420=1),$M420&gt;(ROW(PLE.lastrow)-ROW(PLE.firstrow))),0,IF(OFFSET(PLE!$G$14,$M420,CA$13)="",10^12,OFFSET(PLE!$G$14,$M420,CA$13))))</f>
        <v>1000000000000</v>
      </c>
      <c r="CB420" s="216">
        <f ca="1">IF($D420&lt;&gt;"Serviço",0,IF(OR(AND(AUTOEVENTO="Manual",$M420=1),$M420&gt;(ROW(PLE.lastrow)-ROW(PLE.firstrow))),0,IF(OFFSET(PLE!$G$14,$M420,CB$13)="",10^12,OFFSET(PLE!$G$14,$M420,CB$13))))</f>
        <v>1000000000000</v>
      </c>
      <c r="CC420" s="216">
        <f ca="1">IF($D420&lt;&gt;"Serviço",0,IF(OR(AND(AUTOEVENTO="Manual",$M420=1),$M420&gt;(ROW(PLE.lastrow)-ROW(PLE.firstrow))),0,IF(OFFSET(PLE!$G$14,$M420,CC$13)="",10^12,OFFSET(PLE!$G$14,$M420,CC$13))))</f>
        <v>1000000000000</v>
      </c>
      <c r="CD420" s="216">
        <f ca="1">IF($D420&lt;&gt;"Serviço",0,IF(OR(AND(AUTOEVENTO="Manual",$M420=1),$M420&gt;(ROW(PLE.lastrow)-ROW(PLE.firstrow))),0,IF(OFFSET(PLE!$G$14,$M420,CD$13)="",10^12,OFFSET(PLE!$G$14,$M420,CD$13))))</f>
        <v>1000000000000</v>
      </c>
      <c r="CE420" s="216">
        <f ca="1">IF($D420&lt;&gt;"Serviço",0,IF(OR(AND(AUTOEVENTO="Manual",$M420=1),$M420&gt;(ROW(PLE.lastrow)-ROW(PLE.firstrow))),0,IF(OFFSET(PLE!$G$14,$M420,CE$13)="",10^12,OFFSET(PLE!$G$14,$M420,CE$13))))</f>
        <v>1000000000000</v>
      </c>
      <c r="CF420" s="216">
        <f ca="1">IF($D420&lt;&gt;"Serviço",0,IF(OR(AND(AUTOEVENTO="Manual",$M420=1),$M420&gt;(ROW(PLE.lastrow)-ROW(PLE.firstrow))),0,IF(OFFSET(PLE!$G$14,$M420,CF$13)="",10^12,OFFSET(PLE!$G$14,$M420,CF$13))))</f>
        <v>1000000000000</v>
      </c>
      <c r="CG420" s="216">
        <f ca="1">IF($D420&lt;&gt;"Serviço",0,IF(OR(AND(AUTOEVENTO="Manual",$M420=1),$M420&gt;(ROW(PLE.lastrow)-ROW(PLE.firstrow))),0,IF(OFFSET(PLE!$G$14,$M420,CG$13)="",10^12,OFFSET(PLE!$G$14,$M420,CG$13))))</f>
        <v>1000000000000</v>
      </c>
      <c r="CH420" s="216">
        <f ca="1">IF($D420&lt;&gt;"Serviço",0,IF(OR(AND(AUTOEVENTO="Manual",$M420=1),$M420&gt;(ROW(PLE.lastrow)-ROW(PLE.firstrow))),0,IF(OFFSET(PLE!$G$14,$M420,CH$13)="",10^12,OFFSET(PLE!$G$14,$M420,CH$13))))</f>
        <v>1000000000000</v>
      </c>
      <c r="CI420" s="216">
        <f ca="1">IF($D420&lt;&gt;"Serviço",0,IF(OR(AND(AUTOEVENTO="Manual",$M420=1),$M420&gt;(ROW(PLE.lastrow)-ROW(PLE.firstrow))),0,IF(OFFSET(PLE!$G$14,$M420,CI$13)="",10^12,OFFSET(PLE!$G$14,$M420,CI$13))))</f>
        <v>1000000000000</v>
      </c>
      <c r="CJ420" s="216">
        <f ca="1">IF($D420&lt;&gt;"Serviço",0,IF(OR(AND(AUTOEVENTO="Manual",$M420=1),$M420&gt;(ROW(PLE.lastrow)-ROW(PLE.firstrow))),0,IF(OFFSET(PLE!$G$14,$M420,CJ$13)="",10^12,OFFSET(PLE!$G$14,$M420,CJ$13))))</f>
        <v>1000000000000</v>
      </c>
      <c r="CK420" s="216">
        <f ca="1">IF($D420&lt;&gt;"Serviço",0,IF(OR(AND(AUTOEVENTO="Manual",$M420=1),$M420&gt;(ROW(PLE.lastrow)-ROW(PLE.firstrow))),0,IF(OFFSET(PLE!$G$14,$M420,CK$13)="",10^12,OFFSET(PLE!$G$14,$M420,CK$13))))</f>
        <v>1000000000000</v>
      </c>
      <c r="CL420" s="216">
        <f ca="1">IF($D420&lt;&gt;"Serviço",0,IF(OR(AND(AUTOEVENTO="Manual",$M420=1),$M420&gt;(ROW(PLE.lastrow)-ROW(PLE.firstrow))),0,IF(OFFSET(PLE!$G$14,$M420,CL$13)="",10^12,OFFSET(PLE!$G$14,$M420,CL$13))))</f>
        <v>1000000000000</v>
      </c>
      <c r="CM420" s="216">
        <f ca="1">IF($D420&lt;&gt;"Serviço",0,IF(OR(AND(AUTOEVENTO="Manual",$M420=1),$M420&gt;(ROW(PLE.lastrow)-ROW(PLE.firstrow))),0,IF(OFFSET(PLE!$G$14,$M420,CM$13)="",10^12,OFFSET(PLE!$G$14,$M420,CM$13))))</f>
        <v>1000000000000</v>
      </c>
    </row>
    <row r="421" spans="1:91" ht="13.2" x14ac:dyDescent="0.25">
      <c r="A421" s="9">
        <f t="shared" ca="1" si="15"/>
        <v>0</v>
      </c>
      <c r="B421" s="9" t="str">
        <f ca="1">OFFSET(ORÇAMENTO!C$15,ROW(B421)-ROW(B$15),0)</f>
        <v>S</v>
      </c>
      <c r="C421" s="9" t="str">
        <f ca="1">OFFSET(ORÇAMENTO!L$15,ROW(C421)-ROW(C$15),0)</f>
        <v/>
      </c>
      <c r="D421" s="145" t="str">
        <f ca="1">OFFSET(ORÇAMENTO!N$15,ROW(D421)-ROW(D$15),0)</f>
        <v>Serviço</v>
      </c>
      <c r="E421" s="205" t="str">
        <f ca="1">OFFSET(ORÇAMENTO!O$15,ROW(E421)-ROW(E$15),0)</f>
        <v>-</v>
      </c>
      <c r="F421" s="206" t="str">
        <f ca="1">OFFSET(ORÇAMENTO!R$15,ROW(F421)-ROW(F$15),0)</f>
        <v>(abra o arquivo 'Referência 05-2024.xls)</v>
      </c>
      <c r="G421" s="207" t="str">
        <f ca="1">IF($D421&lt;&gt;"Serviço","",OFFSET(ORÇAMENTO!S$15,ROW(G421)-ROW(G$15),0))</f>
        <v>-</v>
      </c>
      <c r="H421" s="151">
        <f ca="1">IF($D421&lt;&gt;"Serviço",0,IF(ACOMPANHAMENTO="BM",ROUND(OFFSET(ORÇAMENTO!AJ$15,ROW(H421)-ROW(H$15),0),15-13*ORÇAMENTO!$AF$7),SUMPRODUCT(($Q$12:$AI$12&lt;&gt;"")*ROUND($Q421:$AI421,15-13*ORÇAMENTO!$AF$7))))</f>
        <v>24</v>
      </c>
      <c r="I421" s="650"/>
      <c r="K421" s="208"/>
      <c r="L421" s="209" t="s">
        <v>257</v>
      </c>
      <c r="M421" s="210">
        <f ca="1">IF($D421&lt;&gt;"Serviço","",IF(AUTOEVENTO="manual",$A421,IF(ISERROR(MATCH($A421,$A$15:OFFSET($A421,-1,0),0)),MAX($M$15:OFFSET(M421,-1,0))+1,INDEX($M$15:OFFSET(M421,-1,0),MATCH($A421,$A$15:OFFSET($A421,-1,0),0)))))</f>
        <v>0</v>
      </c>
      <c r="N421" s="211" t="str">
        <f ca="1">IF($D421&lt;&gt;"Serviço","",IF(AUTOEVENTO="Manual",IF($A421=0,"&lt;-- defina o número do agrupador",OFFSET(EVENTOS!$D$14,$A421,0)),OFFSET($F$15,$A421,0)))</f>
        <v>&lt;-- defina o número do agrupador</v>
      </c>
      <c r="O421" s="212"/>
      <c r="Q421" s="212"/>
      <c r="R421" s="213"/>
      <c r="S421" s="213"/>
      <c r="T421" s="213"/>
      <c r="U421" s="213"/>
      <c r="V421" s="213"/>
      <c r="W421" s="213"/>
      <c r="X421" s="213"/>
      <c r="Y421" s="213"/>
      <c r="Z421" s="214"/>
      <c r="AA421" s="213"/>
      <c r="AB421" s="213"/>
      <c r="AC421" s="213"/>
      <c r="AD421" s="213"/>
      <c r="AE421" s="213"/>
      <c r="AF421" s="213"/>
      <c r="AG421" s="213"/>
      <c r="AH421" s="214"/>
      <c r="AJ421" s="631">
        <f ca="1">IF(AND($D421="Serviço",AJ$12&lt;&gt;0,$H421&gt;0,OR(AUTOEVENTO&lt;&gt;"manual",$M421&lt;&gt;1)),ROUND(OFFSET($P421,0,AJ$13),15-13*ORÇAMENTO!$AF$7)/$H421*OFFSET(ORÇAMENTO!$X$15,ROW(AJ421)-ROW(AJ$15),0),0)</f>
        <v>0</v>
      </c>
      <c r="AK421" s="632">
        <f ca="1">IF(AND($D421="Serviço",AK$12&lt;&gt;0,$H421&gt;0,OR(AUTOEVENTO&lt;&gt;"manual",$M421&lt;&gt;1)),ROUND(OFFSET($P421,0,AK$13),15-13*ORÇAMENTO!$AF$7)/$H421*OFFSET(ORÇAMENTO!$X$15,ROW(AK421)-ROW(AK$15),0),0)</f>
        <v>0</v>
      </c>
      <c r="AL421" s="632">
        <f ca="1">IF(AND($D421="Serviço",AL$12&lt;&gt;0,$H421&gt;0,OR(AUTOEVENTO&lt;&gt;"manual",$M421&lt;&gt;1)),ROUND(OFFSET($P421,0,AL$13),15-13*ORÇAMENTO!$AF$7)/$H421*OFFSET(ORÇAMENTO!$X$15,ROW(AL421)-ROW(AL$15),0),0)</f>
        <v>0</v>
      </c>
      <c r="AM421" s="632">
        <f ca="1">IF(AND($D421="Serviço",AM$12&lt;&gt;0,$H421&gt;0,OR(AUTOEVENTO&lt;&gt;"manual",$M421&lt;&gt;1)),ROUND(OFFSET($P421,0,AM$13),15-13*ORÇAMENTO!$AF$7)/$H421*OFFSET(ORÇAMENTO!$X$15,ROW(AM421)-ROW(AM$15),0),0)</f>
        <v>0</v>
      </c>
      <c r="AN421" s="632">
        <f ca="1">IF(AND($D421="Serviço",AN$12&lt;&gt;0,$H421&gt;0,OR(AUTOEVENTO&lt;&gt;"manual",$M421&lt;&gt;1)),ROUND(OFFSET($P421,0,AN$13),15-13*ORÇAMENTO!$AF$7)/$H421*OFFSET(ORÇAMENTO!$X$15,ROW(AN421)-ROW(AN$15),0),0)</f>
        <v>0</v>
      </c>
      <c r="AO421" s="632">
        <f ca="1">IF(AND($D421="Serviço",AO$12&lt;&gt;0,$H421&gt;0,OR(AUTOEVENTO&lt;&gt;"manual",$M421&lt;&gt;1)),ROUND(OFFSET($P421,0,AO$13),15-13*ORÇAMENTO!$AF$7)/$H421*OFFSET(ORÇAMENTO!$X$15,ROW(AO421)-ROW(AO$15),0),0)</f>
        <v>0</v>
      </c>
      <c r="AP421" s="632">
        <f ca="1">IF(AND($D421="Serviço",AP$12&lt;&gt;0,$H421&gt;0,OR(AUTOEVENTO&lt;&gt;"manual",$M421&lt;&gt;1)),ROUND(OFFSET($P421,0,AP$13),15-13*ORÇAMENTO!$AF$7)/$H421*OFFSET(ORÇAMENTO!$X$15,ROW(AP421)-ROW(AP$15),0),0)</f>
        <v>0</v>
      </c>
      <c r="AQ421" s="632">
        <f ca="1">IF(AND($D421="Serviço",AQ$12&lt;&gt;0,$H421&gt;0,OR(AUTOEVENTO&lt;&gt;"manual",$M421&lt;&gt;1)),ROUND(OFFSET($P421,0,AQ$13),15-13*ORÇAMENTO!$AF$7)/$H421*OFFSET(ORÇAMENTO!$X$15,ROW(AQ421)-ROW(AQ$15),0),0)</f>
        <v>0</v>
      </c>
      <c r="AR421" s="632">
        <f ca="1">IF(AND($D421="Serviço",AR$12&lt;&gt;0,$H421&gt;0,OR(AUTOEVENTO&lt;&gt;"manual",$M421&lt;&gt;1)),ROUND(OFFSET($P421,0,AR$13),15-13*ORÇAMENTO!$AF$7)/$H421*OFFSET(ORÇAMENTO!$X$15,ROW(AR421)-ROW(AR$15),0),0)</f>
        <v>0</v>
      </c>
      <c r="AS421" s="633">
        <f ca="1">IF(AND($D421="Serviço",AS$12&lt;&gt;0,$H421&gt;0,OR(AUTOEVENTO&lt;&gt;"manual",$M421&lt;&gt;1)),ROUND(OFFSET($P421,0,AS$13),15-13*ORÇAMENTO!$AF$7)/$H421*OFFSET(ORÇAMENTO!$X$15,ROW(AS421)-ROW(AS$15),0),0)</f>
        <v>0</v>
      </c>
      <c r="AT421" s="632">
        <f ca="1">IF(AND($D421="Serviço",AT$12&lt;&gt;0,$H421&gt;0,OR(AUTOEVENTO&lt;&gt;"manual",$M421&lt;&gt;1)),ROUND(OFFSET($P421,0,AT$13),15-13*ORÇAMENTO!$AF$7)/$H421*OFFSET(ORÇAMENTO!$X$15,ROW(AT421)-ROW(AT$15),0),0)</f>
        <v>0</v>
      </c>
      <c r="AU421" s="632">
        <f ca="1">IF(AND($D421="Serviço",AU$12&lt;&gt;0,$H421&gt;0,OR(AUTOEVENTO&lt;&gt;"manual",$M421&lt;&gt;1)),ROUND(OFFSET($P421,0,AU$13),15-13*ORÇAMENTO!$AF$7)/$H421*OFFSET(ORÇAMENTO!$X$15,ROW(AU421)-ROW(AU$15),0),0)</f>
        <v>0</v>
      </c>
      <c r="AV421" s="632">
        <f ca="1">IF(AND($D421="Serviço",AV$12&lt;&gt;0,$H421&gt;0,OR(AUTOEVENTO&lt;&gt;"manual",$M421&lt;&gt;1)),ROUND(OFFSET($P421,0,AV$13),15-13*ORÇAMENTO!$AF$7)/$H421*OFFSET(ORÇAMENTO!$X$15,ROW(AV421)-ROW(AV$15),0),0)</f>
        <v>0</v>
      </c>
      <c r="AW421" s="632">
        <f ca="1">IF(AND($D421="Serviço",AW$12&lt;&gt;0,$H421&gt;0,OR(AUTOEVENTO&lt;&gt;"manual",$M421&lt;&gt;1)),ROUND(OFFSET($P421,0,AW$13),15-13*ORÇAMENTO!$AF$7)/$H421*OFFSET(ORÇAMENTO!$X$15,ROW(AW421)-ROW(AW$15),0),0)</f>
        <v>0</v>
      </c>
      <c r="AX421" s="632">
        <f ca="1">IF(AND($D421="Serviço",AX$12&lt;&gt;0,$H421&gt;0,OR(AUTOEVENTO&lt;&gt;"manual",$M421&lt;&gt;1)),ROUND(OFFSET($P421,0,AX$13),15-13*ORÇAMENTO!$AF$7)/$H421*OFFSET(ORÇAMENTO!$X$15,ROW(AX421)-ROW(AX$15),0),0)</f>
        <v>0</v>
      </c>
      <c r="AY421" s="632">
        <f ca="1">IF(AND($D421="Serviço",AY$12&lt;&gt;0,$H421&gt;0,OR(AUTOEVENTO&lt;&gt;"manual",$M421&lt;&gt;1)),ROUND(OFFSET($P421,0,AY$13),15-13*ORÇAMENTO!$AF$7)/$H421*OFFSET(ORÇAMENTO!$X$15,ROW(AY421)-ROW(AY$15),0),0)</f>
        <v>0</v>
      </c>
      <c r="AZ421" s="632">
        <f ca="1">IF(AND($D421="Serviço",AZ$12&lt;&gt;0,$H421&gt;0,OR(AUTOEVENTO&lt;&gt;"manual",$M421&lt;&gt;1)),ROUND(OFFSET($P421,0,AZ$13),15-13*ORÇAMENTO!$AF$7)/$H421*OFFSET(ORÇAMENTO!$X$15,ROW(AZ421)-ROW(AZ$15),0),0)</f>
        <v>0</v>
      </c>
      <c r="BA421" s="633">
        <f ca="1">IF(AND($D421="Serviço",BA$12&lt;&gt;0,$H421&gt;0,OR(AUTOEVENTO&lt;&gt;"manual",$M421&lt;&gt;1)),ROUND(OFFSET($P421,0,BA$13),15-13*ORÇAMENTO!$AF$7)/$H421*OFFSET(ORÇAMENTO!$X$15,ROW(BA421)-ROW(BA$15),0),0)</f>
        <v>0</v>
      </c>
      <c r="BC421" s="215">
        <f ca="1">IF($D421&lt;&gt;"Serviço",0,IF(AND(AUTOEVENTO="Manual",$M421=1),0,IF(OFFSET(CRONOPLE!$F$14,$M421,BC$13)="",10^12,OFFSET(CRONOPLE!$F$14,$M421,BC$13))))</f>
        <v>1000000000000</v>
      </c>
      <c r="BD421" s="215">
        <f ca="1">IF($D421&lt;&gt;"Serviço",0,IF(AND(AUTOEVENTO="Manual",$M421=1),0,IF(OFFSET(CRONOPLE!$F$14,$M421,BD$13)="",10^12,OFFSET(CRONOPLE!$F$14,$M421,BD$13))))</f>
        <v>1000000000000</v>
      </c>
      <c r="BE421" s="215">
        <f ca="1">IF($D421&lt;&gt;"Serviço",0,IF(AND(AUTOEVENTO="Manual",$M421=1),0,IF(OFFSET(CRONOPLE!$F$14,$M421,BE$13)="",10^12,OFFSET(CRONOPLE!$F$14,$M421,BE$13))))</f>
        <v>1000000000000</v>
      </c>
      <c r="BF421" s="215">
        <f ca="1">IF($D421&lt;&gt;"Serviço",0,IF(AND(AUTOEVENTO="Manual",$M421=1),0,IF(OFFSET(CRONOPLE!$F$14,$M421,BF$13)="",10^12,OFFSET(CRONOPLE!$F$14,$M421,BF$13))))</f>
        <v>1000000000000</v>
      </c>
      <c r="BG421" s="215">
        <f ca="1">IF($D421&lt;&gt;"Serviço",0,IF(AND(AUTOEVENTO="Manual",$M421=1),0,IF(OFFSET(CRONOPLE!$F$14,$M421,BG$13)="",10^12,OFFSET(CRONOPLE!$F$14,$M421,BG$13))))</f>
        <v>1000000000000</v>
      </c>
      <c r="BH421" s="215">
        <f ca="1">IF($D421&lt;&gt;"Serviço",0,IF(AND(AUTOEVENTO="Manual",$M421=1),0,IF(OFFSET(CRONOPLE!$F$14,$M421,BH$13)="",10^12,OFFSET(CRONOPLE!$F$14,$M421,BH$13))))</f>
        <v>1000000000000</v>
      </c>
      <c r="BI421" s="215">
        <f ca="1">IF($D421&lt;&gt;"Serviço",0,IF(AND(AUTOEVENTO="Manual",$M421=1),0,IF(OFFSET(CRONOPLE!$F$14,$M421,BI$13)="",10^12,OFFSET(CRONOPLE!$F$14,$M421,BI$13))))</f>
        <v>1000000000000</v>
      </c>
      <c r="BJ421" s="215">
        <f ca="1">IF($D421&lt;&gt;"Serviço",0,IF(AND(AUTOEVENTO="Manual",$M421=1),0,IF(OFFSET(CRONOPLE!$F$14,$M421,BJ$13)="",10^12,OFFSET(CRONOPLE!$F$14,$M421,BJ$13))))</f>
        <v>1000000000000</v>
      </c>
      <c r="BK421" s="215">
        <f ca="1">IF($D421&lt;&gt;"Serviço",0,IF(AND(AUTOEVENTO="Manual",$M421=1),0,IF(OFFSET(CRONOPLE!$F$14,$M421,BK$13)="",10^12,OFFSET(CRONOPLE!$F$14,$M421,BK$13))))</f>
        <v>1000000000000</v>
      </c>
      <c r="BL421" s="215">
        <f ca="1">IF($D421&lt;&gt;"Serviço",0,IF(AND(AUTOEVENTO="Manual",$M421=1),0,IF(OFFSET(CRONOPLE!$F$14,$M421,BL$13)="",10^12,OFFSET(CRONOPLE!$F$14,$M421,BL$13))))</f>
        <v>1000000000000</v>
      </c>
      <c r="BM421" s="215">
        <f ca="1">IF($D421&lt;&gt;"Serviço",0,IF(AND(AUTOEVENTO="Manual",$M421=1),0,IF(OFFSET(CRONOPLE!$F$14,$M421,BM$13)="",10^12,OFFSET(CRONOPLE!$F$14,$M421,BM$13))))</f>
        <v>1000000000000</v>
      </c>
      <c r="BN421" s="215">
        <f ca="1">IF($D421&lt;&gt;"Serviço",0,IF(AND(AUTOEVENTO="Manual",$M421=1),0,IF(OFFSET(CRONOPLE!$F$14,$M421,BN$13)="",10^12,OFFSET(CRONOPLE!$F$14,$M421,BN$13))))</f>
        <v>1000000000000</v>
      </c>
      <c r="BO421" s="215">
        <f ca="1">IF($D421&lt;&gt;"Serviço",0,IF(AND(AUTOEVENTO="Manual",$M421=1),0,IF(OFFSET(CRONOPLE!$F$14,$M421,BO$13)="",10^12,OFFSET(CRONOPLE!$F$14,$M421,BO$13))))</f>
        <v>1000000000000</v>
      </c>
      <c r="BP421" s="215">
        <f ca="1">IF($D421&lt;&gt;"Serviço",0,IF(AND(AUTOEVENTO="Manual",$M421=1),0,IF(OFFSET(CRONOPLE!$F$14,$M421,BP$13)="",10^12,OFFSET(CRONOPLE!$F$14,$M421,BP$13))))</f>
        <v>1000000000000</v>
      </c>
      <c r="BQ421" s="215">
        <f ca="1">IF($D421&lt;&gt;"Serviço",0,IF(AND(AUTOEVENTO="Manual",$M421=1),0,IF(OFFSET(CRONOPLE!$F$14,$M421,BQ$13)="",10^12,OFFSET(CRONOPLE!$F$14,$M421,BQ$13))))</f>
        <v>1000000000000</v>
      </c>
      <c r="BR421" s="215">
        <f ca="1">IF($D421&lt;&gt;"Serviço",0,IF(AND(AUTOEVENTO="Manual",$M421=1),0,IF(OFFSET(CRONOPLE!$F$14,$M421,BR$13)="",10^12,OFFSET(CRONOPLE!$F$14,$M421,BR$13))))</f>
        <v>1000000000000</v>
      </c>
      <c r="BS421" s="215">
        <f ca="1">IF($D421&lt;&gt;"Serviço",0,IF(AND(AUTOEVENTO="Manual",$M421=1),0,IF(OFFSET(CRONOPLE!$F$14,$M421,BS$13)="",10^12,OFFSET(CRONOPLE!$F$14,$M421,BS$13))))</f>
        <v>1000000000000</v>
      </c>
      <c r="BT421" s="215">
        <f ca="1">IF($D421&lt;&gt;"Serviço",0,IF(AND(AUTOEVENTO="Manual",$M421=1),0,IF(OFFSET(CRONOPLE!$F$14,$M421,BT$13)="",10^12,OFFSET(CRONOPLE!$F$14,$M421,BT$13))))</f>
        <v>1000000000000</v>
      </c>
      <c r="BV421" s="216">
        <f ca="1">IF($D421&lt;&gt;"Serviço",0,IF(OR(AND(AUTOEVENTO="Manual",$M421=1),$M421&gt;(ROW(PLE.lastrow)-ROW(PLE.firstrow))),0,IF(OFFSET(PLE!$G$14,$M421,BV$13)="",10^12,OFFSET(PLE!$G$14,$M421,BV$13))))</f>
        <v>1000000000000</v>
      </c>
      <c r="BW421" s="216">
        <f ca="1">IF($D421&lt;&gt;"Serviço",0,IF(OR(AND(AUTOEVENTO="Manual",$M421=1),$M421&gt;(ROW(PLE.lastrow)-ROW(PLE.firstrow))),0,IF(OFFSET(PLE!$G$14,$M421,BW$13)="",10^12,OFFSET(PLE!$G$14,$M421,BW$13))))</f>
        <v>1000000000000</v>
      </c>
      <c r="BX421" s="216">
        <f ca="1">IF($D421&lt;&gt;"Serviço",0,IF(OR(AND(AUTOEVENTO="Manual",$M421=1),$M421&gt;(ROW(PLE.lastrow)-ROW(PLE.firstrow))),0,IF(OFFSET(PLE!$G$14,$M421,BX$13)="",10^12,OFFSET(PLE!$G$14,$M421,BX$13))))</f>
        <v>1000000000000</v>
      </c>
      <c r="BY421" s="216">
        <f ca="1">IF($D421&lt;&gt;"Serviço",0,IF(OR(AND(AUTOEVENTO="Manual",$M421=1),$M421&gt;(ROW(PLE.lastrow)-ROW(PLE.firstrow))),0,IF(OFFSET(PLE!$G$14,$M421,BY$13)="",10^12,OFFSET(PLE!$G$14,$M421,BY$13))))</f>
        <v>1000000000000</v>
      </c>
      <c r="BZ421" s="216">
        <f ca="1">IF($D421&lt;&gt;"Serviço",0,IF(OR(AND(AUTOEVENTO="Manual",$M421=1),$M421&gt;(ROW(PLE.lastrow)-ROW(PLE.firstrow))),0,IF(OFFSET(PLE!$G$14,$M421,BZ$13)="",10^12,OFFSET(PLE!$G$14,$M421,BZ$13))))</f>
        <v>1000000000000</v>
      </c>
      <c r="CA421" s="216">
        <f ca="1">IF($D421&lt;&gt;"Serviço",0,IF(OR(AND(AUTOEVENTO="Manual",$M421=1),$M421&gt;(ROW(PLE.lastrow)-ROW(PLE.firstrow))),0,IF(OFFSET(PLE!$G$14,$M421,CA$13)="",10^12,OFFSET(PLE!$G$14,$M421,CA$13))))</f>
        <v>1000000000000</v>
      </c>
      <c r="CB421" s="216">
        <f ca="1">IF($D421&lt;&gt;"Serviço",0,IF(OR(AND(AUTOEVENTO="Manual",$M421=1),$M421&gt;(ROW(PLE.lastrow)-ROW(PLE.firstrow))),0,IF(OFFSET(PLE!$G$14,$M421,CB$13)="",10^12,OFFSET(PLE!$G$14,$M421,CB$13))))</f>
        <v>1000000000000</v>
      </c>
      <c r="CC421" s="216">
        <f ca="1">IF($D421&lt;&gt;"Serviço",0,IF(OR(AND(AUTOEVENTO="Manual",$M421=1),$M421&gt;(ROW(PLE.lastrow)-ROW(PLE.firstrow))),0,IF(OFFSET(PLE!$G$14,$M421,CC$13)="",10^12,OFFSET(PLE!$G$14,$M421,CC$13))))</f>
        <v>1000000000000</v>
      </c>
      <c r="CD421" s="216">
        <f ca="1">IF($D421&lt;&gt;"Serviço",0,IF(OR(AND(AUTOEVENTO="Manual",$M421=1),$M421&gt;(ROW(PLE.lastrow)-ROW(PLE.firstrow))),0,IF(OFFSET(PLE!$G$14,$M421,CD$13)="",10^12,OFFSET(PLE!$G$14,$M421,CD$13))))</f>
        <v>1000000000000</v>
      </c>
      <c r="CE421" s="216">
        <f ca="1">IF($D421&lt;&gt;"Serviço",0,IF(OR(AND(AUTOEVENTO="Manual",$M421=1),$M421&gt;(ROW(PLE.lastrow)-ROW(PLE.firstrow))),0,IF(OFFSET(PLE!$G$14,$M421,CE$13)="",10^12,OFFSET(PLE!$G$14,$M421,CE$13))))</f>
        <v>1000000000000</v>
      </c>
      <c r="CF421" s="216">
        <f ca="1">IF($D421&lt;&gt;"Serviço",0,IF(OR(AND(AUTOEVENTO="Manual",$M421=1),$M421&gt;(ROW(PLE.lastrow)-ROW(PLE.firstrow))),0,IF(OFFSET(PLE!$G$14,$M421,CF$13)="",10^12,OFFSET(PLE!$G$14,$M421,CF$13))))</f>
        <v>1000000000000</v>
      </c>
      <c r="CG421" s="216">
        <f ca="1">IF($D421&lt;&gt;"Serviço",0,IF(OR(AND(AUTOEVENTO="Manual",$M421=1),$M421&gt;(ROW(PLE.lastrow)-ROW(PLE.firstrow))),0,IF(OFFSET(PLE!$G$14,$M421,CG$13)="",10^12,OFFSET(PLE!$G$14,$M421,CG$13))))</f>
        <v>1000000000000</v>
      </c>
      <c r="CH421" s="216">
        <f ca="1">IF($D421&lt;&gt;"Serviço",0,IF(OR(AND(AUTOEVENTO="Manual",$M421=1),$M421&gt;(ROW(PLE.lastrow)-ROW(PLE.firstrow))),0,IF(OFFSET(PLE!$G$14,$M421,CH$13)="",10^12,OFFSET(PLE!$G$14,$M421,CH$13))))</f>
        <v>1000000000000</v>
      </c>
      <c r="CI421" s="216">
        <f ca="1">IF($D421&lt;&gt;"Serviço",0,IF(OR(AND(AUTOEVENTO="Manual",$M421=1),$M421&gt;(ROW(PLE.lastrow)-ROW(PLE.firstrow))),0,IF(OFFSET(PLE!$G$14,$M421,CI$13)="",10^12,OFFSET(PLE!$G$14,$M421,CI$13))))</f>
        <v>1000000000000</v>
      </c>
      <c r="CJ421" s="216">
        <f ca="1">IF($D421&lt;&gt;"Serviço",0,IF(OR(AND(AUTOEVENTO="Manual",$M421=1),$M421&gt;(ROW(PLE.lastrow)-ROW(PLE.firstrow))),0,IF(OFFSET(PLE!$G$14,$M421,CJ$13)="",10^12,OFFSET(PLE!$G$14,$M421,CJ$13))))</f>
        <v>1000000000000</v>
      </c>
      <c r="CK421" s="216">
        <f ca="1">IF($D421&lt;&gt;"Serviço",0,IF(OR(AND(AUTOEVENTO="Manual",$M421=1),$M421&gt;(ROW(PLE.lastrow)-ROW(PLE.firstrow))),0,IF(OFFSET(PLE!$G$14,$M421,CK$13)="",10^12,OFFSET(PLE!$G$14,$M421,CK$13))))</f>
        <v>1000000000000</v>
      </c>
      <c r="CL421" s="216">
        <f ca="1">IF($D421&lt;&gt;"Serviço",0,IF(OR(AND(AUTOEVENTO="Manual",$M421=1),$M421&gt;(ROW(PLE.lastrow)-ROW(PLE.firstrow))),0,IF(OFFSET(PLE!$G$14,$M421,CL$13)="",10^12,OFFSET(PLE!$G$14,$M421,CL$13))))</f>
        <v>1000000000000</v>
      </c>
      <c r="CM421" s="216">
        <f ca="1">IF($D421&lt;&gt;"Serviço",0,IF(OR(AND(AUTOEVENTO="Manual",$M421=1),$M421&gt;(ROW(PLE.lastrow)-ROW(PLE.firstrow))),0,IF(OFFSET(PLE!$G$14,$M421,CM$13)="",10^12,OFFSET(PLE!$G$14,$M421,CM$13))))</f>
        <v>1000000000000</v>
      </c>
    </row>
    <row r="422" spans="1:91" ht="13.2" x14ac:dyDescent="0.25">
      <c r="A422" s="9">
        <f t="shared" ca="1" si="15"/>
        <v>0</v>
      </c>
      <c r="B422" s="9" t="str">
        <f ca="1">OFFSET(ORÇAMENTO!C$15,ROW(B422)-ROW(B$15),0)</f>
        <v>S</v>
      </c>
      <c r="C422" s="9" t="str">
        <f ca="1">OFFSET(ORÇAMENTO!L$15,ROW(C422)-ROW(C$15),0)</f>
        <v/>
      </c>
      <c r="D422" s="145" t="str">
        <f ca="1">OFFSET(ORÇAMENTO!N$15,ROW(D422)-ROW(D$15),0)</f>
        <v>Serviço</v>
      </c>
      <c r="E422" s="205" t="str">
        <f ca="1">OFFSET(ORÇAMENTO!O$15,ROW(E422)-ROW(E$15),0)</f>
        <v>-</v>
      </c>
      <c r="F422" s="206" t="str">
        <f ca="1">OFFSET(ORÇAMENTO!R$15,ROW(F422)-ROW(F$15),0)</f>
        <v>(abra o arquivo 'Referência 05-2024.xls)</v>
      </c>
      <c r="G422" s="207" t="str">
        <f ca="1">IF($D422&lt;&gt;"Serviço","",OFFSET(ORÇAMENTO!S$15,ROW(G422)-ROW(G$15),0))</f>
        <v>-</v>
      </c>
      <c r="H422" s="151">
        <f ca="1">IF($D422&lt;&gt;"Serviço",0,IF(ACOMPANHAMENTO="BM",ROUND(OFFSET(ORÇAMENTO!AJ$15,ROW(H422)-ROW(H$15),0),15-13*ORÇAMENTO!$AF$7),SUMPRODUCT(($Q$12:$AI$12&lt;&gt;"")*ROUND($Q422:$AI422,15-13*ORÇAMENTO!$AF$7))))</f>
        <v>2</v>
      </c>
      <c r="I422" s="650"/>
      <c r="K422" s="208"/>
      <c r="L422" s="209" t="s">
        <v>257</v>
      </c>
      <c r="M422" s="210">
        <f ca="1">IF($D422&lt;&gt;"Serviço","",IF(AUTOEVENTO="manual",$A422,IF(ISERROR(MATCH($A422,$A$15:OFFSET($A422,-1,0),0)),MAX($M$15:OFFSET(M422,-1,0))+1,INDEX($M$15:OFFSET(M422,-1,0),MATCH($A422,$A$15:OFFSET($A422,-1,0),0)))))</f>
        <v>0</v>
      </c>
      <c r="N422" s="211" t="str">
        <f ca="1">IF($D422&lt;&gt;"Serviço","",IF(AUTOEVENTO="Manual",IF($A422=0,"&lt;-- defina o número do agrupador",OFFSET(EVENTOS!$D$14,$A422,0)),OFFSET($F$15,$A422,0)))</f>
        <v>&lt;-- defina o número do agrupador</v>
      </c>
      <c r="O422" s="212"/>
      <c r="Q422" s="212"/>
      <c r="R422" s="213"/>
      <c r="S422" s="213"/>
      <c r="T422" s="213"/>
      <c r="U422" s="213"/>
      <c r="V422" s="213"/>
      <c r="W422" s="213"/>
      <c r="X422" s="213"/>
      <c r="Y422" s="213"/>
      <c r="Z422" s="214"/>
      <c r="AA422" s="213"/>
      <c r="AB422" s="213"/>
      <c r="AC422" s="213"/>
      <c r="AD422" s="213"/>
      <c r="AE422" s="213"/>
      <c r="AF422" s="213"/>
      <c r="AG422" s="213"/>
      <c r="AH422" s="214"/>
      <c r="AJ422" s="631">
        <f ca="1">IF(AND($D422="Serviço",AJ$12&lt;&gt;0,$H422&gt;0,OR(AUTOEVENTO&lt;&gt;"manual",$M422&lt;&gt;1)),ROUND(OFFSET($P422,0,AJ$13),15-13*ORÇAMENTO!$AF$7)/$H422*OFFSET(ORÇAMENTO!$X$15,ROW(AJ422)-ROW(AJ$15),0),0)</f>
        <v>0</v>
      </c>
      <c r="AK422" s="632">
        <f ca="1">IF(AND($D422="Serviço",AK$12&lt;&gt;0,$H422&gt;0,OR(AUTOEVENTO&lt;&gt;"manual",$M422&lt;&gt;1)),ROUND(OFFSET($P422,0,AK$13),15-13*ORÇAMENTO!$AF$7)/$H422*OFFSET(ORÇAMENTO!$X$15,ROW(AK422)-ROW(AK$15),0),0)</f>
        <v>0</v>
      </c>
      <c r="AL422" s="632">
        <f ca="1">IF(AND($D422="Serviço",AL$12&lt;&gt;0,$H422&gt;0,OR(AUTOEVENTO&lt;&gt;"manual",$M422&lt;&gt;1)),ROUND(OFFSET($P422,0,AL$13),15-13*ORÇAMENTO!$AF$7)/$H422*OFFSET(ORÇAMENTO!$X$15,ROW(AL422)-ROW(AL$15),0),0)</f>
        <v>0</v>
      </c>
      <c r="AM422" s="632">
        <f ca="1">IF(AND($D422="Serviço",AM$12&lt;&gt;0,$H422&gt;0,OR(AUTOEVENTO&lt;&gt;"manual",$M422&lt;&gt;1)),ROUND(OFFSET($P422,0,AM$13),15-13*ORÇAMENTO!$AF$7)/$H422*OFFSET(ORÇAMENTO!$X$15,ROW(AM422)-ROW(AM$15),0),0)</f>
        <v>0</v>
      </c>
      <c r="AN422" s="632">
        <f ca="1">IF(AND($D422="Serviço",AN$12&lt;&gt;0,$H422&gt;0,OR(AUTOEVENTO&lt;&gt;"manual",$M422&lt;&gt;1)),ROUND(OFFSET($P422,0,AN$13),15-13*ORÇAMENTO!$AF$7)/$H422*OFFSET(ORÇAMENTO!$X$15,ROW(AN422)-ROW(AN$15),0),0)</f>
        <v>0</v>
      </c>
      <c r="AO422" s="632">
        <f ca="1">IF(AND($D422="Serviço",AO$12&lt;&gt;0,$H422&gt;0,OR(AUTOEVENTO&lt;&gt;"manual",$M422&lt;&gt;1)),ROUND(OFFSET($P422,0,AO$13),15-13*ORÇAMENTO!$AF$7)/$H422*OFFSET(ORÇAMENTO!$X$15,ROW(AO422)-ROW(AO$15),0),0)</f>
        <v>0</v>
      </c>
      <c r="AP422" s="632">
        <f ca="1">IF(AND($D422="Serviço",AP$12&lt;&gt;0,$H422&gt;0,OR(AUTOEVENTO&lt;&gt;"manual",$M422&lt;&gt;1)),ROUND(OFFSET($P422,0,AP$13),15-13*ORÇAMENTO!$AF$7)/$H422*OFFSET(ORÇAMENTO!$X$15,ROW(AP422)-ROW(AP$15),0),0)</f>
        <v>0</v>
      </c>
      <c r="AQ422" s="632">
        <f ca="1">IF(AND($D422="Serviço",AQ$12&lt;&gt;0,$H422&gt;0,OR(AUTOEVENTO&lt;&gt;"manual",$M422&lt;&gt;1)),ROUND(OFFSET($P422,0,AQ$13),15-13*ORÇAMENTO!$AF$7)/$H422*OFFSET(ORÇAMENTO!$X$15,ROW(AQ422)-ROW(AQ$15),0),0)</f>
        <v>0</v>
      </c>
      <c r="AR422" s="632">
        <f ca="1">IF(AND($D422="Serviço",AR$12&lt;&gt;0,$H422&gt;0,OR(AUTOEVENTO&lt;&gt;"manual",$M422&lt;&gt;1)),ROUND(OFFSET($P422,0,AR$13),15-13*ORÇAMENTO!$AF$7)/$H422*OFFSET(ORÇAMENTO!$X$15,ROW(AR422)-ROW(AR$15),0),0)</f>
        <v>0</v>
      </c>
      <c r="AS422" s="633">
        <f ca="1">IF(AND($D422="Serviço",AS$12&lt;&gt;0,$H422&gt;0,OR(AUTOEVENTO&lt;&gt;"manual",$M422&lt;&gt;1)),ROUND(OFFSET($P422,0,AS$13),15-13*ORÇAMENTO!$AF$7)/$H422*OFFSET(ORÇAMENTO!$X$15,ROW(AS422)-ROW(AS$15),0),0)</f>
        <v>0</v>
      </c>
      <c r="AT422" s="632">
        <f ca="1">IF(AND($D422="Serviço",AT$12&lt;&gt;0,$H422&gt;0,OR(AUTOEVENTO&lt;&gt;"manual",$M422&lt;&gt;1)),ROUND(OFFSET($P422,0,AT$13),15-13*ORÇAMENTO!$AF$7)/$H422*OFFSET(ORÇAMENTO!$X$15,ROW(AT422)-ROW(AT$15),0),0)</f>
        <v>0</v>
      </c>
      <c r="AU422" s="632">
        <f ca="1">IF(AND($D422="Serviço",AU$12&lt;&gt;0,$H422&gt;0,OR(AUTOEVENTO&lt;&gt;"manual",$M422&lt;&gt;1)),ROUND(OFFSET($P422,0,AU$13),15-13*ORÇAMENTO!$AF$7)/$H422*OFFSET(ORÇAMENTO!$X$15,ROW(AU422)-ROW(AU$15),0),0)</f>
        <v>0</v>
      </c>
      <c r="AV422" s="632">
        <f ca="1">IF(AND($D422="Serviço",AV$12&lt;&gt;0,$H422&gt;0,OR(AUTOEVENTO&lt;&gt;"manual",$M422&lt;&gt;1)),ROUND(OFFSET($P422,0,AV$13),15-13*ORÇAMENTO!$AF$7)/$H422*OFFSET(ORÇAMENTO!$X$15,ROW(AV422)-ROW(AV$15),0),0)</f>
        <v>0</v>
      </c>
      <c r="AW422" s="632">
        <f ca="1">IF(AND($D422="Serviço",AW$12&lt;&gt;0,$H422&gt;0,OR(AUTOEVENTO&lt;&gt;"manual",$M422&lt;&gt;1)),ROUND(OFFSET($P422,0,AW$13),15-13*ORÇAMENTO!$AF$7)/$H422*OFFSET(ORÇAMENTO!$X$15,ROW(AW422)-ROW(AW$15),0),0)</f>
        <v>0</v>
      </c>
      <c r="AX422" s="632">
        <f ca="1">IF(AND($D422="Serviço",AX$12&lt;&gt;0,$H422&gt;0,OR(AUTOEVENTO&lt;&gt;"manual",$M422&lt;&gt;1)),ROUND(OFFSET($P422,0,AX$13),15-13*ORÇAMENTO!$AF$7)/$H422*OFFSET(ORÇAMENTO!$X$15,ROW(AX422)-ROW(AX$15),0),0)</f>
        <v>0</v>
      </c>
      <c r="AY422" s="632">
        <f ca="1">IF(AND($D422="Serviço",AY$12&lt;&gt;0,$H422&gt;0,OR(AUTOEVENTO&lt;&gt;"manual",$M422&lt;&gt;1)),ROUND(OFFSET($P422,0,AY$13),15-13*ORÇAMENTO!$AF$7)/$H422*OFFSET(ORÇAMENTO!$X$15,ROW(AY422)-ROW(AY$15),0),0)</f>
        <v>0</v>
      </c>
      <c r="AZ422" s="632">
        <f ca="1">IF(AND($D422="Serviço",AZ$12&lt;&gt;0,$H422&gt;0,OR(AUTOEVENTO&lt;&gt;"manual",$M422&lt;&gt;1)),ROUND(OFFSET($P422,0,AZ$13),15-13*ORÇAMENTO!$AF$7)/$H422*OFFSET(ORÇAMENTO!$X$15,ROW(AZ422)-ROW(AZ$15),0),0)</f>
        <v>0</v>
      </c>
      <c r="BA422" s="633">
        <f ca="1">IF(AND($D422="Serviço",BA$12&lt;&gt;0,$H422&gt;0,OR(AUTOEVENTO&lt;&gt;"manual",$M422&lt;&gt;1)),ROUND(OFFSET($P422,0,BA$13),15-13*ORÇAMENTO!$AF$7)/$H422*OFFSET(ORÇAMENTO!$X$15,ROW(BA422)-ROW(BA$15),0),0)</f>
        <v>0</v>
      </c>
      <c r="BC422" s="215">
        <f ca="1">IF($D422&lt;&gt;"Serviço",0,IF(AND(AUTOEVENTO="Manual",$M422=1),0,IF(OFFSET(CRONOPLE!$F$14,$M422,BC$13)="",10^12,OFFSET(CRONOPLE!$F$14,$M422,BC$13))))</f>
        <v>1000000000000</v>
      </c>
      <c r="BD422" s="215">
        <f ca="1">IF($D422&lt;&gt;"Serviço",0,IF(AND(AUTOEVENTO="Manual",$M422=1),0,IF(OFFSET(CRONOPLE!$F$14,$M422,BD$13)="",10^12,OFFSET(CRONOPLE!$F$14,$M422,BD$13))))</f>
        <v>1000000000000</v>
      </c>
      <c r="BE422" s="215">
        <f ca="1">IF($D422&lt;&gt;"Serviço",0,IF(AND(AUTOEVENTO="Manual",$M422=1),0,IF(OFFSET(CRONOPLE!$F$14,$M422,BE$13)="",10^12,OFFSET(CRONOPLE!$F$14,$M422,BE$13))))</f>
        <v>1000000000000</v>
      </c>
      <c r="BF422" s="215">
        <f ca="1">IF($D422&lt;&gt;"Serviço",0,IF(AND(AUTOEVENTO="Manual",$M422=1),0,IF(OFFSET(CRONOPLE!$F$14,$M422,BF$13)="",10^12,OFFSET(CRONOPLE!$F$14,$M422,BF$13))))</f>
        <v>1000000000000</v>
      </c>
      <c r="BG422" s="215">
        <f ca="1">IF($D422&lt;&gt;"Serviço",0,IF(AND(AUTOEVENTO="Manual",$M422=1),0,IF(OFFSET(CRONOPLE!$F$14,$M422,BG$13)="",10^12,OFFSET(CRONOPLE!$F$14,$M422,BG$13))))</f>
        <v>1000000000000</v>
      </c>
      <c r="BH422" s="215">
        <f ca="1">IF($D422&lt;&gt;"Serviço",0,IF(AND(AUTOEVENTO="Manual",$M422=1),0,IF(OFFSET(CRONOPLE!$F$14,$M422,BH$13)="",10^12,OFFSET(CRONOPLE!$F$14,$M422,BH$13))))</f>
        <v>1000000000000</v>
      </c>
      <c r="BI422" s="215">
        <f ca="1">IF($D422&lt;&gt;"Serviço",0,IF(AND(AUTOEVENTO="Manual",$M422=1),0,IF(OFFSET(CRONOPLE!$F$14,$M422,BI$13)="",10^12,OFFSET(CRONOPLE!$F$14,$M422,BI$13))))</f>
        <v>1000000000000</v>
      </c>
      <c r="BJ422" s="215">
        <f ca="1">IF($D422&lt;&gt;"Serviço",0,IF(AND(AUTOEVENTO="Manual",$M422=1),0,IF(OFFSET(CRONOPLE!$F$14,$M422,BJ$13)="",10^12,OFFSET(CRONOPLE!$F$14,$M422,BJ$13))))</f>
        <v>1000000000000</v>
      </c>
      <c r="BK422" s="215">
        <f ca="1">IF($D422&lt;&gt;"Serviço",0,IF(AND(AUTOEVENTO="Manual",$M422=1),0,IF(OFFSET(CRONOPLE!$F$14,$M422,BK$13)="",10^12,OFFSET(CRONOPLE!$F$14,$M422,BK$13))))</f>
        <v>1000000000000</v>
      </c>
      <c r="BL422" s="215">
        <f ca="1">IF($D422&lt;&gt;"Serviço",0,IF(AND(AUTOEVENTO="Manual",$M422=1),0,IF(OFFSET(CRONOPLE!$F$14,$M422,BL$13)="",10^12,OFFSET(CRONOPLE!$F$14,$M422,BL$13))))</f>
        <v>1000000000000</v>
      </c>
      <c r="BM422" s="215">
        <f ca="1">IF($D422&lt;&gt;"Serviço",0,IF(AND(AUTOEVENTO="Manual",$M422=1),0,IF(OFFSET(CRONOPLE!$F$14,$M422,BM$13)="",10^12,OFFSET(CRONOPLE!$F$14,$M422,BM$13))))</f>
        <v>1000000000000</v>
      </c>
      <c r="BN422" s="215">
        <f ca="1">IF($D422&lt;&gt;"Serviço",0,IF(AND(AUTOEVENTO="Manual",$M422=1),0,IF(OFFSET(CRONOPLE!$F$14,$M422,BN$13)="",10^12,OFFSET(CRONOPLE!$F$14,$M422,BN$13))))</f>
        <v>1000000000000</v>
      </c>
      <c r="BO422" s="215">
        <f ca="1">IF($D422&lt;&gt;"Serviço",0,IF(AND(AUTOEVENTO="Manual",$M422=1),0,IF(OFFSET(CRONOPLE!$F$14,$M422,BO$13)="",10^12,OFFSET(CRONOPLE!$F$14,$M422,BO$13))))</f>
        <v>1000000000000</v>
      </c>
      <c r="BP422" s="215">
        <f ca="1">IF($D422&lt;&gt;"Serviço",0,IF(AND(AUTOEVENTO="Manual",$M422=1),0,IF(OFFSET(CRONOPLE!$F$14,$M422,BP$13)="",10^12,OFFSET(CRONOPLE!$F$14,$M422,BP$13))))</f>
        <v>1000000000000</v>
      </c>
      <c r="BQ422" s="215">
        <f ca="1">IF($D422&lt;&gt;"Serviço",0,IF(AND(AUTOEVENTO="Manual",$M422=1),0,IF(OFFSET(CRONOPLE!$F$14,$M422,BQ$13)="",10^12,OFFSET(CRONOPLE!$F$14,$M422,BQ$13))))</f>
        <v>1000000000000</v>
      </c>
      <c r="BR422" s="215">
        <f ca="1">IF($D422&lt;&gt;"Serviço",0,IF(AND(AUTOEVENTO="Manual",$M422=1),0,IF(OFFSET(CRONOPLE!$F$14,$M422,BR$13)="",10^12,OFFSET(CRONOPLE!$F$14,$M422,BR$13))))</f>
        <v>1000000000000</v>
      </c>
      <c r="BS422" s="215">
        <f ca="1">IF($D422&lt;&gt;"Serviço",0,IF(AND(AUTOEVENTO="Manual",$M422=1),0,IF(OFFSET(CRONOPLE!$F$14,$M422,BS$13)="",10^12,OFFSET(CRONOPLE!$F$14,$M422,BS$13))))</f>
        <v>1000000000000</v>
      </c>
      <c r="BT422" s="215">
        <f ca="1">IF($D422&lt;&gt;"Serviço",0,IF(AND(AUTOEVENTO="Manual",$M422=1),0,IF(OFFSET(CRONOPLE!$F$14,$M422,BT$13)="",10^12,OFFSET(CRONOPLE!$F$14,$M422,BT$13))))</f>
        <v>1000000000000</v>
      </c>
      <c r="BV422" s="216">
        <f ca="1">IF($D422&lt;&gt;"Serviço",0,IF(OR(AND(AUTOEVENTO="Manual",$M422=1),$M422&gt;(ROW(PLE.lastrow)-ROW(PLE.firstrow))),0,IF(OFFSET(PLE!$G$14,$M422,BV$13)="",10^12,OFFSET(PLE!$G$14,$M422,BV$13))))</f>
        <v>1000000000000</v>
      </c>
      <c r="BW422" s="216">
        <f ca="1">IF($D422&lt;&gt;"Serviço",0,IF(OR(AND(AUTOEVENTO="Manual",$M422=1),$M422&gt;(ROW(PLE.lastrow)-ROW(PLE.firstrow))),0,IF(OFFSET(PLE!$G$14,$M422,BW$13)="",10^12,OFFSET(PLE!$G$14,$M422,BW$13))))</f>
        <v>1000000000000</v>
      </c>
      <c r="BX422" s="216">
        <f ca="1">IF($D422&lt;&gt;"Serviço",0,IF(OR(AND(AUTOEVENTO="Manual",$M422=1),$M422&gt;(ROW(PLE.lastrow)-ROW(PLE.firstrow))),0,IF(OFFSET(PLE!$G$14,$M422,BX$13)="",10^12,OFFSET(PLE!$G$14,$M422,BX$13))))</f>
        <v>1000000000000</v>
      </c>
      <c r="BY422" s="216">
        <f ca="1">IF($D422&lt;&gt;"Serviço",0,IF(OR(AND(AUTOEVENTO="Manual",$M422=1),$M422&gt;(ROW(PLE.lastrow)-ROW(PLE.firstrow))),0,IF(OFFSET(PLE!$G$14,$M422,BY$13)="",10^12,OFFSET(PLE!$G$14,$M422,BY$13))))</f>
        <v>1000000000000</v>
      </c>
      <c r="BZ422" s="216">
        <f ca="1">IF($D422&lt;&gt;"Serviço",0,IF(OR(AND(AUTOEVENTO="Manual",$M422=1),$M422&gt;(ROW(PLE.lastrow)-ROW(PLE.firstrow))),0,IF(OFFSET(PLE!$G$14,$M422,BZ$13)="",10^12,OFFSET(PLE!$G$14,$M422,BZ$13))))</f>
        <v>1000000000000</v>
      </c>
      <c r="CA422" s="216">
        <f ca="1">IF($D422&lt;&gt;"Serviço",0,IF(OR(AND(AUTOEVENTO="Manual",$M422=1),$M422&gt;(ROW(PLE.lastrow)-ROW(PLE.firstrow))),0,IF(OFFSET(PLE!$G$14,$M422,CA$13)="",10^12,OFFSET(PLE!$G$14,$M422,CA$13))))</f>
        <v>1000000000000</v>
      </c>
      <c r="CB422" s="216">
        <f ca="1">IF($D422&lt;&gt;"Serviço",0,IF(OR(AND(AUTOEVENTO="Manual",$M422=1),$M422&gt;(ROW(PLE.lastrow)-ROW(PLE.firstrow))),0,IF(OFFSET(PLE!$G$14,$M422,CB$13)="",10^12,OFFSET(PLE!$G$14,$M422,CB$13))))</f>
        <v>1000000000000</v>
      </c>
      <c r="CC422" s="216">
        <f ca="1">IF($D422&lt;&gt;"Serviço",0,IF(OR(AND(AUTOEVENTO="Manual",$M422=1),$M422&gt;(ROW(PLE.lastrow)-ROW(PLE.firstrow))),0,IF(OFFSET(PLE!$G$14,$M422,CC$13)="",10^12,OFFSET(PLE!$G$14,$M422,CC$13))))</f>
        <v>1000000000000</v>
      </c>
      <c r="CD422" s="216">
        <f ca="1">IF($D422&lt;&gt;"Serviço",0,IF(OR(AND(AUTOEVENTO="Manual",$M422=1),$M422&gt;(ROW(PLE.lastrow)-ROW(PLE.firstrow))),0,IF(OFFSET(PLE!$G$14,$M422,CD$13)="",10^12,OFFSET(PLE!$G$14,$M422,CD$13))))</f>
        <v>1000000000000</v>
      </c>
      <c r="CE422" s="216">
        <f ca="1">IF($D422&lt;&gt;"Serviço",0,IF(OR(AND(AUTOEVENTO="Manual",$M422=1),$M422&gt;(ROW(PLE.lastrow)-ROW(PLE.firstrow))),0,IF(OFFSET(PLE!$G$14,$M422,CE$13)="",10^12,OFFSET(PLE!$G$14,$M422,CE$13))))</f>
        <v>1000000000000</v>
      </c>
      <c r="CF422" s="216">
        <f ca="1">IF($D422&lt;&gt;"Serviço",0,IF(OR(AND(AUTOEVENTO="Manual",$M422=1),$M422&gt;(ROW(PLE.lastrow)-ROW(PLE.firstrow))),0,IF(OFFSET(PLE!$G$14,$M422,CF$13)="",10^12,OFFSET(PLE!$G$14,$M422,CF$13))))</f>
        <v>1000000000000</v>
      </c>
      <c r="CG422" s="216">
        <f ca="1">IF($D422&lt;&gt;"Serviço",0,IF(OR(AND(AUTOEVENTO="Manual",$M422=1),$M422&gt;(ROW(PLE.lastrow)-ROW(PLE.firstrow))),0,IF(OFFSET(PLE!$G$14,$M422,CG$13)="",10^12,OFFSET(PLE!$G$14,$M422,CG$13))))</f>
        <v>1000000000000</v>
      </c>
      <c r="CH422" s="216">
        <f ca="1">IF($D422&lt;&gt;"Serviço",0,IF(OR(AND(AUTOEVENTO="Manual",$M422=1),$M422&gt;(ROW(PLE.lastrow)-ROW(PLE.firstrow))),0,IF(OFFSET(PLE!$G$14,$M422,CH$13)="",10^12,OFFSET(PLE!$G$14,$M422,CH$13))))</f>
        <v>1000000000000</v>
      </c>
      <c r="CI422" s="216">
        <f ca="1">IF($D422&lt;&gt;"Serviço",0,IF(OR(AND(AUTOEVENTO="Manual",$M422=1),$M422&gt;(ROW(PLE.lastrow)-ROW(PLE.firstrow))),0,IF(OFFSET(PLE!$G$14,$M422,CI$13)="",10^12,OFFSET(PLE!$G$14,$M422,CI$13))))</f>
        <v>1000000000000</v>
      </c>
      <c r="CJ422" s="216">
        <f ca="1">IF($D422&lt;&gt;"Serviço",0,IF(OR(AND(AUTOEVENTO="Manual",$M422=1),$M422&gt;(ROW(PLE.lastrow)-ROW(PLE.firstrow))),0,IF(OFFSET(PLE!$G$14,$M422,CJ$13)="",10^12,OFFSET(PLE!$G$14,$M422,CJ$13))))</f>
        <v>1000000000000</v>
      </c>
      <c r="CK422" s="216">
        <f ca="1">IF($D422&lt;&gt;"Serviço",0,IF(OR(AND(AUTOEVENTO="Manual",$M422=1),$M422&gt;(ROW(PLE.lastrow)-ROW(PLE.firstrow))),0,IF(OFFSET(PLE!$G$14,$M422,CK$13)="",10^12,OFFSET(PLE!$G$14,$M422,CK$13))))</f>
        <v>1000000000000</v>
      </c>
      <c r="CL422" s="216">
        <f ca="1">IF($D422&lt;&gt;"Serviço",0,IF(OR(AND(AUTOEVENTO="Manual",$M422=1),$M422&gt;(ROW(PLE.lastrow)-ROW(PLE.firstrow))),0,IF(OFFSET(PLE!$G$14,$M422,CL$13)="",10^12,OFFSET(PLE!$G$14,$M422,CL$13))))</f>
        <v>1000000000000</v>
      </c>
      <c r="CM422" s="216">
        <f ca="1">IF($D422&lt;&gt;"Serviço",0,IF(OR(AND(AUTOEVENTO="Manual",$M422=1),$M422&gt;(ROW(PLE.lastrow)-ROW(PLE.firstrow))),0,IF(OFFSET(PLE!$G$14,$M422,CM$13)="",10^12,OFFSET(PLE!$G$14,$M422,CM$13))))</f>
        <v>1000000000000</v>
      </c>
    </row>
    <row r="423" spans="1:91" ht="13.2" x14ac:dyDescent="0.25">
      <c r="A423" s="9">
        <f t="shared" ca="1" si="15"/>
        <v>0</v>
      </c>
      <c r="B423" s="9" t="str">
        <f ca="1">OFFSET(ORÇAMENTO!C$15,ROW(B423)-ROW(B$15),0)</f>
        <v>S</v>
      </c>
      <c r="C423" s="9" t="str">
        <f ca="1">OFFSET(ORÇAMENTO!L$15,ROW(C423)-ROW(C$15),0)</f>
        <v/>
      </c>
      <c r="D423" s="145" t="str">
        <f ca="1">OFFSET(ORÇAMENTO!N$15,ROW(D423)-ROW(D$15),0)</f>
        <v>Serviço</v>
      </c>
      <c r="E423" s="205" t="str">
        <f ca="1">OFFSET(ORÇAMENTO!O$15,ROW(E423)-ROW(E$15),0)</f>
        <v>-</v>
      </c>
      <c r="F423" s="206" t="str">
        <f ca="1">OFFSET(ORÇAMENTO!R$15,ROW(F423)-ROW(F$15),0)</f>
        <v>(abra o arquivo 'Referência 05-2024.xls)</v>
      </c>
      <c r="G423" s="207" t="str">
        <f ca="1">IF($D423&lt;&gt;"Serviço","",OFFSET(ORÇAMENTO!S$15,ROW(G423)-ROW(G$15),0))</f>
        <v>-</v>
      </c>
      <c r="H423" s="151">
        <f ca="1">IF($D423&lt;&gt;"Serviço",0,IF(ACOMPANHAMENTO="BM",ROUND(OFFSET(ORÇAMENTO!AJ$15,ROW(H423)-ROW(H$15),0),15-13*ORÇAMENTO!$AF$7),SUMPRODUCT(($Q$12:$AI$12&lt;&gt;"")*ROUND($Q423:$AI423,15-13*ORÇAMENTO!$AF$7))))</f>
        <v>9</v>
      </c>
      <c r="I423" s="650"/>
      <c r="K423" s="208"/>
      <c r="L423" s="209" t="s">
        <v>257</v>
      </c>
      <c r="M423" s="210">
        <f ca="1">IF($D423&lt;&gt;"Serviço","",IF(AUTOEVENTO="manual",$A423,IF(ISERROR(MATCH($A423,$A$15:OFFSET($A423,-1,0),0)),MAX($M$15:OFFSET(M423,-1,0))+1,INDEX($M$15:OFFSET(M423,-1,0),MATCH($A423,$A$15:OFFSET($A423,-1,0),0)))))</f>
        <v>0</v>
      </c>
      <c r="N423" s="211" t="str">
        <f ca="1">IF($D423&lt;&gt;"Serviço","",IF(AUTOEVENTO="Manual",IF($A423=0,"&lt;-- defina o número do agrupador",OFFSET(EVENTOS!$D$14,$A423,0)),OFFSET($F$15,$A423,0)))</f>
        <v>&lt;-- defina o número do agrupador</v>
      </c>
      <c r="O423" s="212"/>
      <c r="Q423" s="212"/>
      <c r="R423" s="213"/>
      <c r="S423" s="213"/>
      <c r="T423" s="213"/>
      <c r="U423" s="213"/>
      <c r="V423" s="213"/>
      <c r="W423" s="213"/>
      <c r="X423" s="213"/>
      <c r="Y423" s="213"/>
      <c r="Z423" s="214"/>
      <c r="AA423" s="213"/>
      <c r="AB423" s="213"/>
      <c r="AC423" s="213"/>
      <c r="AD423" s="213"/>
      <c r="AE423" s="213"/>
      <c r="AF423" s="213"/>
      <c r="AG423" s="213"/>
      <c r="AH423" s="214"/>
      <c r="AJ423" s="631">
        <f ca="1">IF(AND($D423="Serviço",AJ$12&lt;&gt;0,$H423&gt;0,OR(AUTOEVENTO&lt;&gt;"manual",$M423&lt;&gt;1)),ROUND(OFFSET($P423,0,AJ$13),15-13*ORÇAMENTO!$AF$7)/$H423*OFFSET(ORÇAMENTO!$X$15,ROW(AJ423)-ROW(AJ$15),0),0)</f>
        <v>0</v>
      </c>
      <c r="AK423" s="632">
        <f ca="1">IF(AND($D423="Serviço",AK$12&lt;&gt;0,$H423&gt;0,OR(AUTOEVENTO&lt;&gt;"manual",$M423&lt;&gt;1)),ROUND(OFFSET($P423,0,AK$13),15-13*ORÇAMENTO!$AF$7)/$H423*OFFSET(ORÇAMENTO!$X$15,ROW(AK423)-ROW(AK$15),0),0)</f>
        <v>0</v>
      </c>
      <c r="AL423" s="632">
        <f ca="1">IF(AND($D423="Serviço",AL$12&lt;&gt;0,$H423&gt;0,OR(AUTOEVENTO&lt;&gt;"manual",$M423&lt;&gt;1)),ROUND(OFFSET($P423,0,AL$13),15-13*ORÇAMENTO!$AF$7)/$H423*OFFSET(ORÇAMENTO!$X$15,ROW(AL423)-ROW(AL$15),0),0)</f>
        <v>0</v>
      </c>
      <c r="AM423" s="632">
        <f ca="1">IF(AND($D423="Serviço",AM$12&lt;&gt;0,$H423&gt;0,OR(AUTOEVENTO&lt;&gt;"manual",$M423&lt;&gt;1)),ROUND(OFFSET($P423,0,AM$13),15-13*ORÇAMENTO!$AF$7)/$H423*OFFSET(ORÇAMENTO!$X$15,ROW(AM423)-ROW(AM$15),0),0)</f>
        <v>0</v>
      </c>
      <c r="AN423" s="632">
        <f ca="1">IF(AND($D423="Serviço",AN$12&lt;&gt;0,$H423&gt;0,OR(AUTOEVENTO&lt;&gt;"manual",$M423&lt;&gt;1)),ROUND(OFFSET($P423,0,AN$13),15-13*ORÇAMENTO!$AF$7)/$H423*OFFSET(ORÇAMENTO!$X$15,ROW(AN423)-ROW(AN$15),0),0)</f>
        <v>0</v>
      </c>
      <c r="AO423" s="632">
        <f ca="1">IF(AND($D423="Serviço",AO$12&lt;&gt;0,$H423&gt;0,OR(AUTOEVENTO&lt;&gt;"manual",$M423&lt;&gt;1)),ROUND(OFFSET($P423,0,AO$13),15-13*ORÇAMENTO!$AF$7)/$H423*OFFSET(ORÇAMENTO!$X$15,ROW(AO423)-ROW(AO$15),0),0)</f>
        <v>0</v>
      </c>
      <c r="AP423" s="632">
        <f ca="1">IF(AND($D423="Serviço",AP$12&lt;&gt;0,$H423&gt;0,OR(AUTOEVENTO&lt;&gt;"manual",$M423&lt;&gt;1)),ROUND(OFFSET($P423,0,AP$13),15-13*ORÇAMENTO!$AF$7)/$H423*OFFSET(ORÇAMENTO!$X$15,ROW(AP423)-ROW(AP$15),0),0)</f>
        <v>0</v>
      </c>
      <c r="AQ423" s="632">
        <f ca="1">IF(AND($D423="Serviço",AQ$12&lt;&gt;0,$H423&gt;0,OR(AUTOEVENTO&lt;&gt;"manual",$M423&lt;&gt;1)),ROUND(OFFSET($P423,0,AQ$13),15-13*ORÇAMENTO!$AF$7)/$H423*OFFSET(ORÇAMENTO!$X$15,ROW(AQ423)-ROW(AQ$15),0),0)</f>
        <v>0</v>
      </c>
      <c r="AR423" s="632">
        <f ca="1">IF(AND($D423="Serviço",AR$12&lt;&gt;0,$H423&gt;0,OR(AUTOEVENTO&lt;&gt;"manual",$M423&lt;&gt;1)),ROUND(OFFSET($P423,0,AR$13),15-13*ORÇAMENTO!$AF$7)/$H423*OFFSET(ORÇAMENTO!$X$15,ROW(AR423)-ROW(AR$15),0),0)</f>
        <v>0</v>
      </c>
      <c r="AS423" s="633">
        <f ca="1">IF(AND($D423="Serviço",AS$12&lt;&gt;0,$H423&gt;0,OR(AUTOEVENTO&lt;&gt;"manual",$M423&lt;&gt;1)),ROUND(OFFSET($P423,0,AS$13),15-13*ORÇAMENTO!$AF$7)/$H423*OFFSET(ORÇAMENTO!$X$15,ROW(AS423)-ROW(AS$15),0),0)</f>
        <v>0</v>
      </c>
      <c r="AT423" s="632">
        <f ca="1">IF(AND($D423="Serviço",AT$12&lt;&gt;0,$H423&gt;0,OR(AUTOEVENTO&lt;&gt;"manual",$M423&lt;&gt;1)),ROUND(OFFSET($P423,0,AT$13),15-13*ORÇAMENTO!$AF$7)/$H423*OFFSET(ORÇAMENTO!$X$15,ROW(AT423)-ROW(AT$15),0),0)</f>
        <v>0</v>
      </c>
      <c r="AU423" s="632">
        <f ca="1">IF(AND($D423="Serviço",AU$12&lt;&gt;0,$H423&gt;0,OR(AUTOEVENTO&lt;&gt;"manual",$M423&lt;&gt;1)),ROUND(OFFSET($P423,0,AU$13),15-13*ORÇAMENTO!$AF$7)/$H423*OFFSET(ORÇAMENTO!$X$15,ROW(AU423)-ROW(AU$15),0),0)</f>
        <v>0</v>
      </c>
      <c r="AV423" s="632">
        <f ca="1">IF(AND($D423="Serviço",AV$12&lt;&gt;0,$H423&gt;0,OR(AUTOEVENTO&lt;&gt;"manual",$M423&lt;&gt;1)),ROUND(OFFSET($P423,0,AV$13),15-13*ORÇAMENTO!$AF$7)/$H423*OFFSET(ORÇAMENTO!$X$15,ROW(AV423)-ROW(AV$15),0),0)</f>
        <v>0</v>
      </c>
      <c r="AW423" s="632">
        <f ca="1">IF(AND($D423="Serviço",AW$12&lt;&gt;0,$H423&gt;0,OR(AUTOEVENTO&lt;&gt;"manual",$M423&lt;&gt;1)),ROUND(OFFSET($P423,0,AW$13),15-13*ORÇAMENTO!$AF$7)/$H423*OFFSET(ORÇAMENTO!$X$15,ROW(AW423)-ROW(AW$15),0),0)</f>
        <v>0</v>
      </c>
      <c r="AX423" s="632">
        <f ca="1">IF(AND($D423="Serviço",AX$12&lt;&gt;0,$H423&gt;0,OR(AUTOEVENTO&lt;&gt;"manual",$M423&lt;&gt;1)),ROUND(OFFSET($P423,0,AX$13),15-13*ORÇAMENTO!$AF$7)/$H423*OFFSET(ORÇAMENTO!$X$15,ROW(AX423)-ROW(AX$15),0),0)</f>
        <v>0</v>
      </c>
      <c r="AY423" s="632">
        <f ca="1">IF(AND($D423="Serviço",AY$12&lt;&gt;0,$H423&gt;0,OR(AUTOEVENTO&lt;&gt;"manual",$M423&lt;&gt;1)),ROUND(OFFSET($P423,0,AY$13),15-13*ORÇAMENTO!$AF$7)/$H423*OFFSET(ORÇAMENTO!$X$15,ROW(AY423)-ROW(AY$15),0),0)</f>
        <v>0</v>
      </c>
      <c r="AZ423" s="632">
        <f ca="1">IF(AND($D423="Serviço",AZ$12&lt;&gt;0,$H423&gt;0,OR(AUTOEVENTO&lt;&gt;"manual",$M423&lt;&gt;1)),ROUND(OFFSET($P423,0,AZ$13),15-13*ORÇAMENTO!$AF$7)/$H423*OFFSET(ORÇAMENTO!$X$15,ROW(AZ423)-ROW(AZ$15),0),0)</f>
        <v>0</v>
      </c>
      <c r="BA423" s="633">
        <f ca="1">IF(AND($D423="Serviço",BA$12&lt;&gt;0,$H423&gt;0,OR(AUTOEVENTO&lt;&gt;"manual",$M423&lt;&gt;1)),ROUND(OFFSET($P423,0,BA$13),15-13*ORÇAMENTO!$AF$7)/$H423*OFFSET(ORÇAMENTO!$X$15,ROW(BA423)-ROW(BA$15),0),0)</f>
        <v>0</v>
      </c>
      <c r="BC423" s="215">
        <f ca="1">IF($D423&lt;&gt;"Serviço",0,IF(AND(AUTOEVENTO="Manual",$M423=1),0,IF(OFFSET(CRONOPLE!$F$14,$M423,BC$13)="",10^12,OFFSET(CRONOPLE!$F$14,$M423,BC$13))))</f>
        <v>1000000000000</v>
      </c>
      <c r="BD423" s="215">
        <f ca="1">IF($D423&lt;&gt;"Serviço",0,IF(AND(AUTOEVENTO="Manual",$M423=1),0,IF(OFFSET(CRONOPLE!$F$14,$M423,BD$13)="",10^12,OFFSET(CRONOPLE!$F$14,$M423,BD$13))))</f>
        <v>1000000000000</v>
      </c>
      <c r="BE423" s="215">
        <f ca="1">IF($D423&lt;&gt;"Serviço",0,IF(AND(AUTOEVENTO="Manual",$M423=1),0,IF(OFFSET(CRONOPLE!$F$14,$M423,BE$13)="",10^12,OFFSET(CRONOPLE!$F$14,$M423,BE$13))))</f>
        <v>1000000000000</v>
      </c>
      <c r="BF423" s="215">
        <f ca="1">IF($D423&lt;&gt;"Serviço",0,IF(AND(AUTOEVENTO="Manual",$M423=1),0,IF(OFFSET(CRONOPLE!$F$14,$M423,BF$13)="",10^12,OFFSET(CRONOPLE!$F$14,$M423,BF$13))))</f>
        <v>1000000000000</v>
      </c>
      <c r="BG423" s="215">
        <f ca="1">IF($D423&lt;&gt;"Serviço",0,IF(AND(AUTOEVENTO="Manual",$M423=1),0,IF(OFFSET(CRONOPLE!$F$14,$M423,BG$13)="",10^12,OFFSET(CRONOPLE!$F$14,$M423,BG$13))))</f>
        <v>1000000000000</v>
      </c>
      <c r="BH423" s="215">
        <f ca="1">IF($D423&lt;&gt;"Serviço",0,IF(AND(AUTOEVENTO="Manual",$M423=1),0,IF(OFFSET(CRONOPLE!$F$14,$M423,BH$13)="",10^12,OFFSET(CRONOPLE!$F$14,$M423,BH$13))))</f>
        <v>1000000000000</v>
      </c>
      <c r="BI423" s="215">
        <f ca="1">IF($D423&lt;&gt;"Serviço",0,IF(AND(AUTOEVENTO="Manual",$M423=1),0,IF(OFFSET(CRONOPLE!$F$14,$M423,BI$13)="",10^12,OFFSET(CRONOPLE!$F$14,$M423,BI$13))))</f>
        <v>1000000000000</v>
      </c>
      <c r="BJ423" s="215">
        <f ca="1">IF($D423&lt;&gt;"Serviço",0,IF(AND(AUTOEVENTO="Manual",$M423=1),0,IF(OFFSET(CRONOPLE!$F$14,$M423,BJ$13)="",10^12,OFFSET(CRONOPLE!$F$14,$M423,BJ$13))))</f>
        <v>1000000000000</v>
      </c>
      <c r="BK423" s="215">
        <f ca="1">IF($D423&lt;&gt;"Serviço",0,IF(AND(AUTOEVENTO="Manual",$M423=1),0,IF(OFFSET(CRONOPLE!$F$14,$M423,BK$13)="",10^12,OFFSET(CRONOPLE!$F$14,$M423,BK$13))))</f>
        <v>1000000000000</v>
      </c>
      <c r="BL423" s="215">
        <f ca="1">IF($D423&lt;&gt;"Serviço",0,IF(AND(AUTOEVENTO="Manual",$M423=1),0,IF(OFFSET(CRONOPLE!$F$14,$M423,BL$13)="",10^12,OFFSET(CRONOPLE!$F$14,$M423,BL$13))))</f>
        <v>1000000000000</v>
      </c>
      <c r="BM423" s="215">
        <f ca="1">IF($D423&lt;&gt;"Serviço",0,IF(AND(AUTOEVENTO="Manual",$M423=1),0,IF(OFFSET(CRONOPLE!$F$14,$M423,BM$13)="",10^12,OFFSET(CRONOPLE!$F$14,$M423,BM$13))))</f>
        <v>1000000000000</v>
      </c>
      <c r="BN423" s="215">
        <f ca="1">IF($D423&lt;&gt;"Serviço",0,IF(AND(AUTOEVENTO="Manual",$M423=1),0,IF(OFFSET(CRONOPLE!$F$14,$M423,BN$13)="",10^12,OFFSET(CRONOPLE!$F$14,$M423,BN$13))))</f>
        <v>1000000000000</v>
      </c>
      <c r="BO423" s="215">
        <f ca="1">IF($D423&lt;&gt;"Serviço",0,IF(AND(AUTOEVENTO="Manual",$M423=1),0,IF(OFFSET(CRONOPLE!$F$14,$M423,BO$13)="",10^12,OFFSET(CRONOPLE!$F$14,$M423,BO$13))))</f>
        <v>1000000000000</v>
      </c>
      <c r="BP423" s="215">
        <f ca="1">IF($D423&lt;&gt;"Serviço",0,IF(AND(AUTOEVENTO="Manual",$M423=1),0,IF(OFFSET(CRONOPLE!$F$14,$M423,BP$13)="",10^12,OFFSET(CRONOPLE!$F$14,$M423,BP$13))))</f>
        <v>1000000000000</v>
      </c>
      <c r="BQ423" s="215">
        <f ca="1">IF($D423&lt;&gt;"Serviço",0,IF(AND(AUTOEVENTO="Manual",$M423=1),0,IF(OFFSET(CRONOPLE!$F$14,$M423,BQ$13)="",10^12,OFFSET(CRONOPLE!$F$14,$M423,BQ$13))))</f>
        <v>1000000000000</v>
      </c>
      <c r="BR423" s="215">
        <f ca="1">IF($D423&lt;&gt;"Serviço",0,IF(AND(AUTOEVENTO="Manual",$M423=1),0,IF(OFFSET(CRONOPLE!$F$14,$M423,BR$13)="",10^12,OFFSET(CRONOPLE!$F$14,$M423,BR$13))))</f>
        <v>1000000000000</v>
      </c>
      <c r="BS423" s="215">
        <f ca="1">IF($D423&lt;&gt;"Serviço",0,IF(AND(AUTOEVENTO="Manual",$M423=1),0,IF(OFFSET(CRONOPLE!$F$14,$M423,BS$13)="",10^12,OFFSET(CRONOPLE!$F$14,$M423,BS$13))))</f>
        <v>1000000000000</v>
      </c>
      <c r="BT423" s="215">
        <f ca="1">IF($D423&lt;&gt;"Serviço",0,IF(AND(AUTOEVENTO="Manual",$M423=1),0,IF(OFFSET(CRONOPLE!$F$14,$M423,BT$13)="",10^12,OFFSET(CRONOPLE!$F$14,$M423,BT$13))))</f>
        <v>1000000000000</v>
      </c>
      <c r="BV423" s="216">
        <f ca="1">IF($D423&lt;&gt;"Serviço",0,IF(OR(AND(AUTOEVENTO="Manual",$M423=1),$M423&gt;(ROW(PLE.lastrow)-ROW(PLE.firstrow))),0,IF(OFFSET(PLE!$G$14,$M423,BV$13)="",10^12,OFFSET(PLE!$G$14,$M423,BV$13))))</f>
        <v>1000000000000</v>
      </c>
      <c r="BW423" s="216">
        <f ca="1">IF($D423&lt;&gt;"Serviço",0,IF(OR(AND(AUTOEVENTO="Manual",$M423=1),$M423&gt;(ROW(PLE.lastrow)-ROW(PLE.firstrow))),0,IF(OFFSET(PLE!$G$14,$M423,BW$13)="",10^12,OFFSET(PLE!$G$14,$M423,BW$13))))</f>
        <v>1000000000000</v>
      </c>
      <c r="BX423" s="216">
        <f ca="1">IF($D423&lt;&gt;"Serviço",0,IF(OR(AND(AUTOEVENTO="Manual",$M423=1),$M423&gt;(ROW(PLE.lastrow)-ROW(PLE.firstrow))),0,IF(OFFSET(PLE!$G$14,$M423,BX$13)="",10^12,OFFSET(PLE!$G$14,$M423,BX$13))))</f>
        <v>1000000000000</v>
      </c>
      <c r="BY423" s="216">
        <f ca="1">IF($D423&lt;&gt;"Serviço",0,IF(OR(AND(AUTOEVENTO="Manual",$M423=1),$M423&gt;(ROW(PLE.lastrow)-ROW(PLE.firstrow))),0,IF(OFFSET(PLE!$G$14,$M423,BY$13)="",10^12,OFFSET(PLE!$G$14,$M423,BY$13))))</f>
        <v>1000000000000</v>
      </c>
      <c r="BZ423" s="216">
        <f ca="1">IF($D423&lt;&gt;"Serviço",0,IF(OR(AND(AUTOEVENTO="Manual",$M423=1),$M423&gt;(ROW(PLE.lastrow)-ROW(PLE.firstrow))),0,IF(OFFSET(PLE!$G$14,$M423,BZ$13)="",10^12,OFFSET(PLE!$G$14,$M423,BZ$13))))</f>
        <v>1000000000000</v>
      </c>
      <c r="CA423" s="216">
        <f ca="1">IF($D423&lt;&gt;"Serviço",0,IF(OR(AND(AUTOEVENTO="Manual",$M423=1),$M423&gt;(ROW(PLE.lastrow)-ROW(PLE.firstrow))),0,IF(OFFSET(PLE!$G$14,$M423,CA$13)="",10^12,OFFSET(PLE!$G$14,$M423,CA$13))))</f>
        <v>1000000000000</v>
      </c>
      <c r="CB423" s="216">
        <f ca="1">IF($D423&lt;&gt;"Serviço",0,IF(OR(AND(AUTOEVENTO="Manual",$M423=1),$M423&gt;(ROW(PLE.lastrow)-ROW(PLE.firstrow))),0,IF(OFFSET(PLE!$G$14,$M423,CB$13)="",10^12,OFFSET(PLE!$G$14,$M423,CB$13))))</f>
        <v>1000000000000</v>
      </c>
      <c r="CC423" s="216">
        <f ca="1">IF($D423&lt;&gt;"Serviço",0,IF(OR(AND(AUTOEVENTO="Manual",$M423=1),$M423&gt;(ROW(PLE.lastrow)-ROW(PLE.firstrow))),0,IF(OFFSET(PLE!$G$14,$M423,CC$13)="",10^12,OFFSET(PLE!$G$14,$M423,CC$13))))</f>
        <v>1000000000000</v>
      </c>
      <c r="CD423" s="216">
        <f ca="1">IF($D423&lt;&gt;"Serviço",0,IF(OR(AND(AUTOEVENTO="Manual",$M423=1),$M423&gt;(ROW(PLE.lastrow)-ROW(PLE.firstrow))),0,IF(OFFSET(PLE!$G$14,$M423,CD$13)="",10^12,OFFSET(PLE!$G$14,$M423,CD$13))))</f>
        <v>1000000000000</v>
      </c>
      <c r="CE423" s="216">
        <f ca="1">IF($D423&lt;&gt;"Serviço",0,IF(OR(AND(AUTOEVENTO="Manual",$M423=1),$M423&gt;(ROW(PLE.lastrow)-ROW(PLE.firstrow))),0,IF(OFFSET(PLE!$G$14,$M423,CE$13)="",10^12,OFFSET(PLE!$G$14,$M423,CE$13))))</f>
        <v>1000000000000</v>
      </c>
      <c r="CF423" s="216">
        <f ca="1">IF($D423&lt;&gt;"Serviço",0,IF(OR(AND(AUTOEVENTO="Manual",$M423=1),$M423&gt;(ROW(PLE.lastrow)-ROW(PLE.firstrow))),0,IF(OFFSET(PLE!$G$14,$M423,CF$13)="",10^12,OFFSET(PLE!$G$14,$M423,CF$13))))</f>
        <v>1000000000000</v>
      </c>
      <c r="CG423" s="216">
        <f ca="1">IF($D423&lt;&gt;"Serviço",0,IF(OR(AND(AUTOEVENTO="Manual",$M423=1),$M423&gt;(ROW(PLE.lastrow)-ROW(PLE.firstrow))),0,IF(OFFSET(PLE!$G$14,$M423,CG$13)="",10^12,OFFSET(PLE!$G$14,$M423,CG$13))))</f>
        <v>1000000000000</v>
      </c>
      <c r="CH423" s="216">
        <f ca="1">IF($D423&lt;&gt;"Serviço",0,IF(OR(AND(AUTOEVENTO="Manual",$M423=1),$M423&gt;(ROW(PLE.lastrow)-ROW(PLE.firstrow))),0,IF(OFFSET(PLE!$G$14,$M423,CH$13)="",10^12,OFFSET(PLE!$G$14,$M423,CH$13))))</f>
        <v>1000000000000</v>
      </c>
      <c r="CI423" s="216">
        <f ca="1">IF($D423&lt;&gt;"Serviço",0,IF(OR(AND(AUTOEVENTO="Manual",$M423=1),$M423&gt;(ROW(PLE.lastrow)-ROW(PLE.firstrow))),0,IF(OFFSET(PLE!$G$14,$M423,CI$13)="",10^12,OFFSET(PLE!$G$14,$M423,CI$13))))</f>
        <v>1000000000000</v>
      </c>
      <c r="CJ423" s="216">
        <f ca="1">IF($D423&lt;&gt;"Serviço",0,IF(OR(AND(AUTOEVENTO="Manual",$M423=1),$M423&gt;(ROW(PLE.lastrow)-ROW(PLE.firstrow))),0,IF(OFFSET(PLE!$G$14,$M423,CJ$13)="",10^12,OFFSET(PLE!$G$14,$M423,CJ$13))))</f>
        <v>1000000000000</v>
      </c>
      <c r="CK423" s="216">
        <f ca="1">IF($D423&lt;&gt;"Serviço",0,IF(OR(AND(AUTOEVENTO="Manual",$M423=1),$M423&gt;(ROW(PLE.lastrow)-ROW(PLE.firstrow))),0,IF(OFFSET(PLE!$G$14,$M423,CK$13)="",10^12,OFFSET(PLE!$G$14,$M423,CK$13))))</f>
        <v>1000000000000</v>
      </c>
      <c r="CL423" s="216">
        <f ca="1">IF($D423&lt;&gt;"Serviço",0,IF(OR(AND(AUTOEVENTO="Manual",$M423=1),$M423&gt;(ROW(PLE.lastrow)-ROW(PLE.firstrow))),0,IF(OFFSET(PLE!$G$14,$M423,CL$13)="",10^12,OFFSET(PLE!$G$14,$M423,CL$13))))</f>
        <v>1000000000000</v>
      </c>
      <c r="CM423" s="216">
        <f ca="1">IF($D423&lt;&gt;"Serviço",0,IF(OR(AND(AUTOEVENTO="Manual",$M423=1),$M423&gt;(ROW(PLE.lastrow)-ROW(PLE.firstrow))),0,IF(OFFSET(PLE!$G$14,$M423,CM$13)="",10^12,OFFSET(PLE!$G$14,$M423,CM$13))))</f>
        <v>1000000000000</v>
      </c>
    </row>
    <row r="424" spans="1:91" ht="13.2" x14ac:dyDescent="0.25">
      <c r="A424" s="9">
        <f t="shared" ca="1" si="15"/>
        <v>0</v>
      </c>
      <c r="B424" s="9" t="str">
        <f ca="1">OFFSET(ORÇAMENTO!C$15,ROW(B424)-ROW(B$15),0)</f>
        <v>S</v>
      </c>
      <c r="C424" s="9" t="str">
        <f ca="1">OFFSET(ORÇAMENTO!L$15,ROW(C424)-ROW(C$15),0)</f>
        <v/>
      </c>
      <c r="D424" s="145" t="str">
        <f ca="1">OFFSET(ORÇAMENTO!N$15,ROW(D424)-ROW(D$15),0)</f>
        <v>Serviço</v>
      </c>
      <c r="E424" s="205" t="str">
        <f ca="1">OFFSET(ORÇAMENTO!O$15,ROW(E424)-ROW(E$15),0)</f>
        <v>-</v>
      </c>
      <c r="F424" s="206" t="str">
        <f ca="1">OFFSET(ORÇAMENTO!R$15,ROW(F424)-ROW(F$15),0)</f>
        <v>(abra o arquivo 'Referência 05-2024.xls)</v>
      </c>
      <c r="G424" s="207" t="str">
        <f ca="1">IF($D424&lt;&gt;"Serviço","",OFFSET(ORÇAMENTO!S$15,ROW(G424)-ROW(G$15),0))</f>
        <v>-</v>
      </c>
      <c r="H424" s="151">
        <f ca="1">IF($D424&lt;&gt;"Serviço",0,IF(ACOMPANHAMENTO="BM",ROUND(OFFSET(ORÇAMENTO!AJ$15,ROW(H424)-ROW(H$15),0),15-13*ORÇAMENTO!$AF$7),SUMPRODUCT(($Q$12:$AI$12&lt;&gt;"")*ROUND($Q424:$AI424,15-13*ORÇAMENTO!$AF$7))))</f>
        <v>5</v>
      </c>
      <c r="I424" s="650"/>
      <c r="K424" s="208"/>
      <c r="L424" s="209" t="s">
        <v>257</v>
      </c>
      <c r="M424" s="210">
        <f ca="1">IF($D424&lt;&gt;"Serviço","",IF(AUTOEVENTO="manual",$A424,IF(ISERROR(MATCH($A424,$A$15:OFFSET($A424,-1,0),0)),MAX($M$15:OFFSET(M424,-1,0))+1,INDEX($M$15:OFFSET(M424,-1,0),MATCH($A424,$A$15:OFFSET($A424,-1,0),0)))))</f>
        <v>0</v>
      </c>
      <c r="N424" s="211" t="str">
        <f ca="1">IF($D424&lt;&gt;"Serviço","",IF(AUTOEVENTO="Manual",IF($A424=0,"&lt;-- defina o número do agrupador",OFFSET(EVENTOS!$D$14,$A424,0)),OFFSET($F$15,$A424,0)))</f>
        <v>&lt;-- defina o número do agrupador</v>
      </c>
      <c r="O424" s="212"/>
      <c r="Q424" s="212"/>
      <c r="R424" s="213"/>
      <c r="S424" s="213"/>
      <c r="T424" s="213"/>
      <c r="U424" s="213"/>
      <c r="V424" s="213"/>
      <c r="W424" s="213"/>
      <c r="X424" s="213"/>
      <c r="Y424" s="213"/>
      <c r="Z424" s="214"/>
      <c r="AA424" s="213"/>
      <c r="AB424" s="213"/>
      <c r="AC424" s="213"/>
      <c r="AD424" s="213"/>
      <c r="AE424" s="213"/>
      <c r="AF424" s="213"/>
      <c r="AG424" s="213"/>
      <c r="AH424" s="214"/>
      <c r="AJ424" s="631">
        <f ca="1">IF(AND($D424="Serviço",AJ$12&lt;&gt;0,$H424&gt;0,OR(AUTOEVENTO&lt;&gt;"manual",$M424&lt;&gt;1)),ROUND(OFFSET($P424,0,AJ$13),15-13*ORÇAMENTO!$AF$7)/$H424*OFFSET(ORÇAMENTO!$X$15,ROW(AJ424)-ROW(AJ$15),0),0)</f>
        <v>0</v>
      </c>
      <c r="AK424" s="632">
        <f ca="1">IF(AND($D424="Serviço",AK$12&lt;&gt;0,$H424&gt;0,OR(AUTOEVENTO&lt;&gt;"manual",$M424&lt;&gt;1)),ROUND(OFFSET($P424,0,AK$13),15-13*ORÇAMENTO!$AF$7)/$H424*OFFSET(ORÇAMENTO!$X$15,ROW(AK424)-ROW(AK$15),0),0)</f>
        <v>0</v>
      </c>
      <c r="AL424" s="632">
        <f ca="1">IF(AND($D424="Serviço",AL$12&lt;&gt;0,$H424&gt;0,OR(AUTOEVENTO&lt;&gt;"manual",$M424&lt;&gt;1)),ROUND(OFFSET($P424,0,AL$13),15-13*ORÇAMENTO!$AF$7)/$H424*OFFSET(ORÇAMENTO!$X$15,ROW(AL424)-ROW(AL$15),0),0)</f>
        <v>0</v>
      </c>
      <c r="AM424" s="632">
        <f ca="1">IF(AND($D424="Serviço",AM$12&lt;&gt;0,$H424&gt;0,OR(AUTOEVENTO&lt;&gt;"manual",$M424&lt;&gt;1)),ROUND(OFFSET($P424,0,AM$13),15-13*ORÇAMENTO!$AF$7)/$H424*OFFSET(ORÇAMENTO!$X$15,ROW(AM424)-ROW(AM$15),0),0)</f>
        <v>0</v>
      </c>
      <c r="AN424" s="632">
        <f ca="1">IF(AND($D424="Serviço",AN$12&lt;&gt;0,$H424&gt;0,OR(AUTOEVENTO&lt;&gt;"manual",$M424&lt;&gt;1)),ROUND(OFFSET($P424,0,AN$13),15-13*ORÇAMENTO!$AF$7)/$H424*OFFSET(ORÇAMENTO!$X$15,ROW(AN424)-ROW(AN$15),0),0)</f>
        <v>0</v>
      </c>
      <c r="AO424" s="632">
        <f ca="1">IF(AND($D424="Serviço",AO$12&lt;&gt;0,$H424&gt;0,OR(AUTOEVENTO&lt;&gt;"manual",$M424&lt;&gt;1)),ROUND(OFFSET($P424,0,AO$13),15-13*ORÇAMENTO!$AF$7)/$H424*OFFSET(ORÇAMENTO!$X$15,ROW(AO424)-ROW(AO$15),0),0)</f>
        <v>0</v>
      </c>
      <c r="AP424" s="632">
        <f ca="1">IF(AND($D424="Serviço",AP$12&lt;&gt;0,$H424&gt;0,OR(AUTOEVENTO&lt;&gt;"manual",$M424&lt;&gt;1)),ROUND(OFFSET($P424,0,AP$13),15-13*ORÇAMENTO!$AF$7)/$H424*OFFSET(ORÇAMENTO!$X$15,ROW(AP424)-ROW(AP$15),0),0)</f>
        <v>0</v>
      </c>
      <c r="AQ424" s="632">
        <f ca="1">IF(AND($D424="Serviço",AQ$12&lt;&gt;0,$H424&gt;0,OR(AUTOEVENTO&lt;&gt;"manual",$M424&lt;&gt;1)),ROUND(OFFSET($P424,0,AQ$13),15-13*ORÇAMENTO!$AF$7)/$H424*OFFSET(ORÇAMENTO!$X$15,ROW(AQ424)-ROW(AQ$15),0),0)</f>
        <v>0</v>
      </c>
      <c r="AR424" s="632">
        <f ca="1">IF(AND($D424="Serviço",AR$12&lt;&gt;0,$H424&gt;0,OR(AUTOEVENTO&lt;&gt;"manual",$M424&lt;&gt;1)),ROUND(OFFSET($P424,0,AR$13),15-13*ORÇAMENTO!$AF$7)/$H424*OFFSET(ORÇAMENTO!$X$15,ROW(AR424)-ROW(AR$15),0),0)</f>
        <v>0</v>
      </c>
      <c r="AS424" s="633">
        <f ca="1">IF(AND($D424="Serviço",AS$12&lt;&gt;0,$H424&gt;0,OR(AUTOEVENTO&lt;&gt;"manual",$M424&lt;&gt;1)),ROUND(OFFSET($P424,0,AS$13),15-13*ORÇAMENTO!$AF$7)/$H424*OFFSET(ORÇAMENTO!$X$15,ROW(AS424)-ROW(AS$15),0),0)</f>
        <v>0</v>
      </c>
      <c r="AT424" s="632">
        <f ca="1">IF(AND($D424="Serviço",AT$12&lt;&gt;0,$H424&gt;0,OR(AUTOEVENTO&lt;&gt;"manual",$M424&lt;&gt;1)),ROUND(OFFSET($P424,0,AT$13),15-13*ORÇAMENTO!$AF$7)/$H424*OFFSET(ORÇAMENTO!$X$15,ROW(AT424)-ROW(AT$15),0),0)</f>
        <v>0</v>
      </c>
      <c r="AU424" s="632">
        <f ca="1">IF(AND($D424="Serviço",AU$12&lt;&gt;0,$H424&gt;0,OR(AUTOEVENTO&lt;&gt;"manual",$M424&lt;&gt;1)),ROUND(OFFSET($P424,0,AU$13),15-13*ORÇAMENTO!$AF$7)/$H424*OFFSET(ORÇAMENTO!$X$15,ROW(AU424)-ROW(AU$15),0),0)</f>
        <v>0</v>
      </c>
      <c r="AV424" s="632">
        <f ca="1">IF(AND($D424="Serviço",AV$12&lt;&gt;0,$H424&gt;0,OR(AUTOEVENTO&lt;&gt;"manual",$M424&lt;&gt;1)),ROUND(OFFSET($P424,0,AV$13),15-13*ORÇAMENTO!$AF$7)/$H424*OFFSET(ORÇAMENTO!$X$15,ROW(AV424)-ROW(AV$15),0),0)</f>
        <v>0</v>
      </c>
      <c r="AW424" s="632">
        <f ca="1">IF(AND($D424="Serviço",AW$12&lt;&gt;0,$H424&gt;0,OR(AUTOEVENTO&lt;&gt;"manual",$M424&lt;&gt;1)),ROUND(OFFSET($P424,0,AW$13),15-13*ORÇAMENTO!$AF$7)/$H424*OFFSET(ORÇAMENTO!$X$15,ROW(AW424)-ROW(AW$15),0),0)</f>
        <v>0</v>
      </c>
      <c r="AX424" s="632">
        <f ca="1">IF(AND($D424="Serviço",AX$12&lt;&gt;0,$H424&gt;0,OR(AUTOEVENTO&lt;&gt;"manual",$M424&lt;&gt;1)),ROUND(OFFSET($P424,0,AX$13),15-13*ORÇAMENTO!$AF$7)/$H424*OFFSET(ORÇAMENTO!$X$15,ROW(AX424)-ROW(AX$15),0),0)</f>
        <v>0</v>
      </c>
      <c r="AY424" s="632">
        <f ca="1">IF(AND($D424="Serviço",AY$12&lt;&gt;0,$H424&gt;0,OR(AUTOEVENTO&lt;&gt;"manual",$M424&lt;&gt;1)),ROUND(OFFSET($P424,0,AY$13),15-13*ORÇAMENTO!$AF$7)/$H424*OFFSET(ORÇAMENTO!$X$15,ROW(AY424)-ROW(AY$15),0),0)</f>
        <v>0</v>
      </c>
      <c r="AZ424" s="632">
        <f ca="1">IF(AND($D424="Serviço",AZ$12&lt;&gt;0,$H424&gt;0,OR(AUTOEVENTO&lt;&gt;"manual",$M424&lt;&gt;1)),ROUND(OFFSET($P424,0,AZ$13),15-13*ORÇAMENTO!$AF$7)/$H424*OFFSET(ORÇAMENTO!$X$15,ROW(AZ424)-ROW(AZ$15),0),0)</f>
        <v>0</v>
      </c>
      <c r="BA424" s="633">
        <f ca="1">IF(AND($D424="Serviço",BA$12&lt;&gt;0,$H424&gt;0,OR(AUTOEVENTO&lt;&gt;"manual",$M424&lt;&gt;1)),ROUND(OFFSET($P424,0,BA$13),15-13*ORÇAMENTO!$AF$7)/$H424*OFFSET(ORÇAMENTO!$X$15,ROW(BA424)-ROW(BA$15),0),0)</f>
        <v>0</v>
      </c>
      <c r="BC424" s="215">
        <f ca="1">IF($D424&lt;&gt;"Serviço",0,IF(AND(AUTOEVENTO="Manual",$M424=1),0,IF(OFFSET(CRONOPLE!$F$14,$M424,BC$13)="",10^12,OFFSET(CRONOPLE!$F$14,$M424,BC$13))))</f>
        <v>1000000000000</v>
      </c>
      <c r="BD424" s="215">
        <f ca="1">IF($D424&lt;&gt;"Serviço",0,IF(AND(AUTOEVENTO="Manual",$M424=1),0,IF(OFFSET(CRONOPLE!$F$14,$M424,BD$13)="",10^12,OFFSET(CRONOPLE!$F$14,$M424,BD$13))))</f>
        <v>1000000000000</v>
      </c>
      <c r="BE424" s="215">
        <f ca="1">IF($D424&lt;&gt;"Serviço",0,IF(AND(AUTOEVENTO="Manual",$M424=1),0,IF(OFFSET(CRONOPLE!$F$14,$M424,BE$13)="",10^12,OFFSET(CRONOPLE!$F$14,$M424,BE$13))))</f>
        <v>1000000000000</v>
      </c>
      <c r="BF424" s="215">
        <f ca="1">IF($D424&lt;&gt;"Serviço",0,IF(AND(AUTOEVENTO="Manual",$M424=1),0,IF(OFFSET(CRONOPLE!$F$14,$M424,BF$13)="",10^12,OFFSET(CRONOPLE!$F$14,$M424,BF$13))))</f>
        <v>1000000000000</v>
      </c>
      <c r="BG424" s="215">
        <f ca="1">IF($D424&lt;&gt;"Serviço",0,IF(AND(AUTOEVENTO="Manual",$M424=1),0,IF(OFFSET(CRONOPLE!$F$14,$M424,BG$13)="",10^12,OFFSET(CRONOPLE!$F$14,$M424,BG$13))))</f>
        <v>1000000000000</v>
      </c>
      <c r="BH424" s="215">
        <f ca="1">IF($D424&lt;&gt;"Serviço",0,IF(AND(AUTOEVENTO="Manual",$M424=1),0,IF(OFFSET(CRONOPLE!$F$14,$M424,BH$13)="",10^12,OFFSET(CRONOPLE!$F$14,$M424,BH$13))))</f>
        <v>1000000000000</v>
      </c>
      <c r="BI424" s="215">
        <f ca="1">IF($D424&lt;&gt;"Serviço",0,IF(AND(AUTOEVENTO="Manual",$M424=1),0,IF(OFFSET(CRONOPLE!$F$14,$M424,BI$13)="",10^12,OFFSET(CRONOPLE!$F$14,$M424,BI$13))))</f>
        <v>1000000000000</v>
      </c>
      <c r="BJ424" s="215">
        <f ca="1">IF($D424&lt;&gt;"Serviço",0,IF(AND(AUTOEVENTO="Manual",$M424=1),0,IF(OFFSET(CRONOPLE!$F$14,$M424,BJ$13)="",10^12,OFFSET(CRONOPLE!$F$14,$M424,BJ$13))))</f>
        <v>1000000000000</v>
      </c>
      <c r="BK424" s="215">
        <f ca="1">IF($D424&lt;&gt;"Serviço",0,IF(AND(AUTOEVENTO="Manual",$M424=1),0,IF(OFFSET(CRONOPLE!$F$14,$M424,BK$13)="",10^12,OFFSET(CRONOPLE!$F$14,$M424,BK$13))))</f>
        <v>1000000000000</v>
      </c>
      <c r="BL424" s="215">
        <f ca="1">IF($D424&lt;&gt;"Serviço",0,IF(AND(AUTOEVENTO="Manual",$M424=1),0,IF(OFFSET(CRONOPLE!$F$14,$M424,BL$13)="",10^12,OFFSET(CRONOPLE!$F$14,$M424,BL$13))))</f>
        <v>1000000000000</v>
      </c>
      <c r="BM424" s="215">
        <f ca="1">IF($D424&lt;&gt;"Serviço",0,IF(AND(AUTOEVENTO="Manual",$M424=1),0,IF(OFFSET(CRONOPLE!$F$14,$M424,BM$13)="",10^12,OFFSET(CRONOPLE!$F$14,$M424,BM$13))))</f>
        <v>1000000000000</v>
      </c>
      <c r="BN424" s="215">
        <f ca="1">IF($D424&lt;&gt;"Serviço",0,IF(AND(AUTOEVENTO="Manual",$M424=1),0,IF(OFFSET(CRONOPLE!$F$14,$M424,BN$13)="",10^12,OFFSET(CRONOPLE!$F$14,$M424,BN$13))))</f>
        <v>1000000000000</v>
      </c>
      <c r="BO424" s="215">
        <f ca="1">IF($D424&lt;&gt;"Serviço",0,IF(AND(AUTOEVENTO="Manual",$M424=1),0,IF(OFFSET(CRONOPLE!$F$14,$M424,BO$13)="",10^12,OFFSET(CRONOPLE!$F$14,$M424,BO$13))))</f>
        <v>1000000000000</v>
      </c>
      <c r="BP424" s="215">
        <f ca="1">IF($D424&lt;&gt;"Serviço",0,IF(AND(AUTOEVENTO="Manual",$M424=1),0,IF(OFFSET(CRONOPLE!$F$14,$M424,BP$13)="",10^12,OFFSET(CRONOPLE!$F$14,$M424,BP$13))))</f>
        <v>1000000000000</v>
      </c>
      <c r="BQ424" s="215">
        <f ca="1">IF($D424&lt;&gt;"Serviço",0,IF(AND(AUTOEVENTO="Manual",$M424=1),0,IF(OFFSET(CRONOPLE!$F$14,$M424,BQ$13)="",10^12,OFFSET(CRONOPLE!$F$14,$M424,BQ$13))))</f>
        <v>1000000000000</v>
      </c>
      <c r="BR424" s="215">
        <f ca="1">IF($D424&lt;&gt;"Serviço",0,IF(AND(AUTOEVENTO="Manual",$M424=1),0,IF(OFFSET(CRONOPLE!$F$14,$M424,BR$13)="",10^12,OFFSET(CRONOPLE!$F$14,$M424,BR$13))))</f>
        <v>1000000000000</v>
      </c>
      <c r="BS424" s="215">
        <f ca="1">IF($D424&lt;&gt;"Serviço",0,IF(AND(AUTOEVENTO="Manual",$M424=1),0,IF(OFFSET(CRONOPLE!$F$14,$M424,BS$13)="",10^12,OFFSET(CRONOPLE!$F$14,$M424,BS$13))))</f>
        <v>1000000000000</v>
      </c>
      <c r="BT424" s="215">
        <f ca="1">IF($D424&lt;&gt;"Serviço",0,IF(AND(AUTOEVENTO="Manual",$M424=1),0,IF(OFFSET(CRONOPLE!$F$14,$M424,BT$13)="",10^12,OFFSET(CRONOPLE!$F$14,$M424,BT$13))))</f>
        <v>1000000000000</v>
      </c>
      <c r="BV424" s="216">
        <f ca="1">IF($D424&lt;&gt;"Serviço",0,IF(OR(AND(AUTOEVENTO="Manual",$M424=1),$M424&gt;(ROW(PLE.lastrow)-ROW(PLE.firstrow))),0,IF(OFFSET(PLE!$G$14,$M424,BV$13)="",10^12,OFFSET(PLE!$G$14,$M424,BV$13))))</f>
        <v>1000000000000</v>
      </c>
      <c r="BW424" s="216">
        <f ca="1">IF($D424&lt;&gt;"Serviço",0,IF(OR(AND(AUTOEVENTO="Manual",$M424=1),$M424&gt;(ROW(PLE.lastrow)-ROW(PLE.firstrow))),0,IF(OFFSET(PLE!$G$14,$M424,BW$13)="",10^12,OFFSET(PLE!$G$14,$M424,BW$13))))</f>
        <v>1000000000000</v>
      </c>
      <c r="BX424" s="216">
        <f ca="1">IF($D424&lt;&gt;"Serviço",0,IF(OR(AND(AUTOEVENTO="Manual",$M424=1),$M424&gt;(ROW(PLE.lastrow)-ROW(PLE.firstrow))),0,IF(OFFSET(PLE!$G$14,$M424,BX$13)="",10^12,OFFSET(PLE!$G$14,$M424,BX$13))))</f>
        <v>1000000000000</v>
      </c>
      <c r="BY424" s="216">
        <f ca="1">IF($D424&lt;&gt;"Serviço",0,IF(OR(AND(AUTOEVENTO="Manual",$M424=1),$M424&gt;(ROW(PLE.lastrow)-ROW(PLE.firstrow))),0,IF(OFFSET(PLE!$G$14,$M424,BY$13)="",10^12,OFFSET(PLE!$G$14,$M424,BY$13))))</f>
        <v>1000000000000</v>
      </c>
      <c r="BZ424" s="216">
        <f ca="1">IF($D424&lt;&gt;"Serviço",0,IF(OR(AND(AUTOEVENTO="Manual",$M424=1),$M424&gt;(ROW(PLE.lastrow)-ROW(PLE.firstrow))),0,IF(OFFSET(PLE!$G$14,$M424,BZ$13)="",10^12,OFFSET(PLE!$G$14,$M424,BZ$13))))</f>
        <v>1000000000000</v>
      </c>
      <c r="CA424" s="216">
        <f ca="1">IF($D424&lt;&gt;"Serviço",0,IF(OR(AND(AUTOEVENTO="Manual",$M424=1),$M424&gt;(ROW(PLE.lastrow)-ROW(PLE.firstrow))),0,IF(OFFSET(PLE!$G$14,$M424,CA$13)="",10^12,OFFSET(PLE!$G$14,$M424,CA$13))))</f>
        <v>1000000000000</v>
      </c>
      <c r="CB424" s="216">
        <f ca="1">IF($D424&lt;&gt;"Serviço",0,IF(OR(AND(AUTOEVENTO="Manual",$M424=1),$M424&gt;(ROW(PLE.lastrow)-ROW(PLE.firstrow))),0,IF(OFFSET(PLE!$G$14,$M424,CB$13)="",10^12,OFFSET(PLE!$G$14,$M424,CB$13))))</f>
        <v>1000000000000</v>
      </c>
      <c r="CC424" s="216">
        <f ca="1">IF($D424&lt;&gt;"Serviço",0,IF(OR(AND(AUTOEVENTO="Manual",$M424=1),$M424&gt;(ROW(PLE.lastrow)-ROW(PLE.firstrow))),0,IF(OFFSET(PLE!$G$14,$M424,CC$13)="",10^12,OFFSET(PLE!$G$14,$M424,CC$13))))</f>
        <v>1000000000000</v>
      </c>
      <c r="CD424" s="216">
        <f ca="1">IF($D424&lt;&gt;"Serviço",0,IF(OR(AND(AUTOEVENTO="Manual",$M424=1),$M424&gt;(ROW(PLE.lastrow)-ROW(PLE.firstrow))),0,IF(OFFSET(PLE!$G$14,$M424,CD$13)="",10^12,OFFSET(PLE!$G$14,$M424,CD$13))))</f>
        <v>1000000000000</v>
      </c>
      <c r="CE424" s="216">
        <f ca="1">IF($D424&lt;&gt;"Serviço",0,IF(OR(AND(AUTOEVENTO="Manual",$M424=1),$M424&gt;(ROW(PLE.lastrow)-ROW(PLE.firstrow))),0,IF(OFFSET(PLE!$G$14,$M424,CE$13)="",10^12,OFFSET(PLE!$G$14,$M424,CE$13))))</f>
        <v>1000000000000</v>
      </c>
      <c r="CF424" s="216">
        <f ca="1">IF($D424&lt;&gt;"Serviço",0,IF(OR(AND(AUTOEVENTO="Manual",$M424=1),$M424&gt;(ROW(PLE.lastrow)-ROW(PLE.firstrow))),0,IF(OFFSET(PLE!$G$14,$M424,CF$13)="",10^12,OFFSET(PLE!$G$14,$M424,CF$13))))</f>
        <v>1000000000000</v>
      </c>
      <c r="CG424" s="216">
        <f ca="1">IF($D424&lt;&gt;"Serviço",0,IF(OR(AND(AUTOEVENTO="Manual",$M424=1),$M424&gt;(ROW(PLE.lastrow)-ROW(PLE.firstrow))),0,IF(OFFSET(PLE!$G$14,$M424,CG$13)="",10^12,OFFSET(PLE!$G$14,$M424,CG$13))))</f>
        <v>1000000000000</v>
      </c>
      <c r="CH424" s="216">
        <f ca="1">IF($D424&lt;&gt;"Serviço",0,IF(OR(AND(AUTOEVENTO="Manual",$M424=1),$M424&gt;(ROW(PLE.lastrow)-ROW(PLE.firstrow))),0,IF(OFFSET(PLE!$G$14,$M424,CH$13)="",10^12,OFFSET(PLE!$G$14,$M424,CH$13))))</f>
        <v>1000000000000</v>
      </c>
      <c r="CI424" s="216">
        <f ca="1">IF($D424&lt;&gt;"Serviço",0,IF(OR(AND(AUTOEVENTO="Manual",$M424=1),$M424&gt;(ROW(PLE.lastrow)-ROW(PLE.firstrow))),0,IF(OFFSET(PLE!$G$14,$M424,CI$13)="",10^12,OFFSET(PLE!$G$14,$M424,CI$13))))</f>
        <v>1000000000000</v>
      </c>
      <c r="CJ424" s="216">
        <f ca="1">IF($D424&lt;&gt;"Serviço",0,IF(OR(AND(AUTOEVENTO="Manual",$M424=1),$M424&gt;(ROW(PLE.lastrow)-ROW(PLE.firstrow))),0,IF(OFFSET(PLE!$G$14,$M424,CJ$13)="",10^12,OFFSET(PLE!$G$14,$M424,CJ$13))))</f>
        <v>1000000000000</v>
      </c>
      <c r="CK424" s="216">
        <f ca="1">IF($D424&lt;&gt;"Serviço",0,IF(OR(AND(AUTOEVENTO="Manual",$M424=1),$M424&gt;(ROW(PLE.lastrow)-ROW(PLE.firstrow))),0,IF(OFFSET(PLE!$G$14,$M424,CK$13)="",10^12,OFFSET(PLE!$G$14,$M424,CK$13))))</f>
        <v>1000000000000</v>
      </c>
      <c r="CL424" s="216">
        <f ca="1">IF($D424&lt;&gt;"Serviço",0,IF(OR(AND(AUTOEVENTO="Manual",$M424=1),$M424&gt;(ROW(PLE.lastrow)-ROW(PLE.firstrow))),0,IF(OFFSET(PLE!$G$14,$M424,CL$13)="",10^12,OFFSET(PLE!$G$14,$M424,CL$13))))</f>
        <v>1000000000000</v>
      </c>
      <c r="CM424" s="216">
        <f ca="1">IF($D424&lt;&gt;"Serviço",0,IF(OR(AND(AUTOEVENTO="Manual",$M424=1),$M424&gt;(ROW(PLE.lastrow)-ROW(PLE.firstrow))),0,IF(OFFSET(PLE!$G$14,$M424,CM$13)="",10^12,OFFSET(PLE!$G$14,$M424,CM$13))))</f>
        <v>1000000000000</v>
      </c>
    </row>
    <row r="425" spans="1:91" ht="13.2" x14ac:dyDescent="0.25">
      <c r="A425" s="9">
        <f t="shared" ca="1" si="15"/>
        <v>0</v>
      </c>
      <c r="B425" s="9" t="str">
        <f ca="1">OFFSET(ORÇAMENTO!C$15,ROW(B425)-ROW(B$15),0)</f>
        <v>S</v>
      </c>
      <c r="C425" s="9" t="str">
        <f ca="1">OFFSET(ORÇAMENTO!L$15,ROW(C425)-ROW(C$15),0)</f>
        <v/>
      </c>
      <c r="D425" s="145" t="str">
        <f ca="1">OFFSET(ORÇAMENTO!N$15,ROW(D425)-ROW(D$15),0)</f>
        <v>Serviço</v>
      </c>
      <c r="E425" s="205" t="str">
        <f ca="1">OFFSET(ORÇAMENTO!O$15,ROW(E425)-ROW(E$15),0)</f>
        <v>-</v>
      </c>
      <c r="F425" s="206" t="str">
        <f ca="1">OFFSET(ORÇAMENTO!R$15,ROW(F425)-ROW(F$15),0)</f>
        <v>(abra o arquivo 'Referência 05-2024.xls)</v>
      </c>
      <c r="G425" s="207" t="str">
        <f ca="1">IF($D425&lt;&gt;"Serviço","",OFFSET(ORÇAMENTO!S$15,ROW(G425)-ROW(G$15),0))</f>
        <v>-</v>
      </c>
      <c r="H425" s="151">
        <f ca="1">IF($D425&lt;&gt;"Serviço",0,IF(ACOMPANHAMENTO="BM",ROUND(OFFSET(ORÇAMENTO!AJ$15,ROW(H425)-ROW(H$15),0),15-13*ORÇAMENTO!$AF$7),SUMPRODUCT(($Q$12:$AI$12&lt;&gt;"")*ROUND($Q425:$AI425,15-13*ORÇAMENTO!$AF$7))))</f>
        <v>2</v>
      </c>
      <c r="I425" s="650"/>
      <c r="K425" s="208"/>
      <c r="L425" s="209" t="s">
        <v>257</v>
      </c>
      <c r="M425" s="210">
        <f ca="1">IF($D425&lt;&gt;"Serviço","",IF(AUTOEVENTO="manual",$A425,IF(ISERROR(MATCH($A425,$A$15:OFFSET($A425,-1,0),0)),MAX($M$15:OFFSET(M425,-1,0))+1,INDEX($M$15:OFFSET(M425,-1,0),MATCH($A425,$A$15:OFFSET($A425,-1,0),0)))))</f>
        <v>0</v>
      </c>
      <c r="N425" s="211" t="str">
        <f ca="1">IF($D425&lt;&gt;"Serviço","",IF(AUTOEVENTO="Manual",IF($A425=0,"&lt;-- defina o número do agrupador",OFFSET(EVENTOS!$D$14,$A425,0)),OFFSET($F$15,$A425,0)))</f>
        <v>&lt;-- defina o número do agrupador</v>
      </c>
      <c r="O425" s="212"/>
      <c r="Q425" s="212"/>
      <c r="R425" s="213"/>
      <c r="S425" s="213"/>
      <c r="T425" s="213"/>
      <c r="U425" s="213"/>
      <c r="V425" s="213"/>
      <c r="W425" s="213"/>
      <c r="X425" s="213"/>
      <c r="Y425" s="213"/>
      <c r="Z425" s="214"/>
      <c r="AA425" s="213"/>
      <c r="AB425" s="213"/>
      <c r="AC425" s="213"/>
      <c r="AD425" s="213"/>
      <c r="AE425" s="213"/>
      <c r="AF425" s="213"/>
      <c r="AG425" s="213"/>
      <c r="AH425" s="214"/>
      <c r="AJ425" s="631">
        <f ca="1">IF(AND($D425="Serviço",AJ$12&lt;&gt;0,$H425&gt;0,OR(AUTOEVENTO&lt;&gt;"manual",$M425&lt;&gt;1)),ROUND(OFFSET($P425,0,AJ$13),15-13*ORÇAMENTO!$AF$7)/$H425*OFFSET(ORÇAMENTO!$X$15,ROW(AJ425)-ROW(AJ$15),0),0)</f>
        <v>0</v>
      </c>
      <c r="AK425" s="632">
        <f ca="1">IF(AND($D425="Serviço",AK$12&lt;&gt;0,$H425&gt;0,OR(AUTOEVENTO&lt;&gt;"manual",$M425&lt;&gt;1)),ROUND(OFFSET($P425,0,AK$13),15-13*ORÇAMENTO!$AF$7)/$H425*OFFSET(ORÇAMENTO!$X$15,ROW(AK425)-ROW(AK$15),0),0)</f>
        <v>0</v>
      </c>
      <c r="AL425" s="632">
        <f ca="1">IF(AND($D425="Serviço",AL$12&lt;&gt;0,$H425&gt;0,OR(AUTOEVENTO&lt;&gt;"manual",$M425&lt;&gt;1)),ROUND(OFFSET($P425,0,AL$13),15-13*ORÇAMENTO!$AF$7)/$H425*OFFSET(ORÇAMENTO!$X$15,ROW(AL425)-ROW(AL$15),0),0)</f>
        <v>0</v>
      </c>
      <c r="AM425" s="632">
        <f ca="1">IF(AND($D425="Serviço",AM$12&lt;&gt;0,$H425&gt;0,OR(AUTOEVENTO&lt;&gt;"manual",$M425&lt;&gt;1)),ROUND(OFFSET($P425,0,AM$13),15-13*ORÇAMENTO!$AF$7)/$H425*OFFSET(ORÇAMENTO!$X$15,ROW(AM425)-ROW(AM$15),0),0)</f>
        <v>0</v>
      </c>
      <c r="AN425" s="632">
        <f ca="1">IF(AND($D425="Serviço",AN$12&lt;&gt;0,$H425&gt;0,OR(AUTOEVENTO&lt;&gt;"manual",$M425&lt;&gt;1)),ROUND(OFFSET($P425,0,AN$13),15-13*ORÇAMENTO!$AF$7)/$H425*OFFSET(ORÇAMENTO!$X$15,ROW(AN425)-ROW(AN$15),0),0)</f>
        <v>0</v>
      </c>
      <c r="AO425" s="632">
        <f ca="1">IF(AND($D425="Serviço",AO$12&lt;&gt;0,$H425&gt;0,OR(AUTOEVENTO&lt;&gt;"manual",$M425&lt;&gt;1)),ROUND(OFFSET($P425,0,AO$13),15-13*ORÇAMENTO!$AF$7)/$H425*OFFSET(ORÇAMENTO!$X$15,ROW(AO425)-ROW(AO$15),0),0)</f>
        <v>0</v>
      </c>
      <c r="AP425" s="632">
        <f ca="1">IF(AND($D425="Serviço",AP$12&lt;&gt;0,$H425&gt;0,OR(AUTOEVENTO&lt;&gt;"manual",$M425&lt;&gt;1)),ROUND(OFFSET($P425,0,AP$13),15-13*ORÇAMENTO!$AF$7)/$H425*OFFSET(ORÇAMENTO!$X$15,ROW(AP425)-ROW(AP$15),0),0)</f>
        <v>0</v>
      </c>
      <c r="AQ425" s="632">
        <f ca="1">IF(AND($D425="Serviço",AQ$12&lt;&gt;0,$H425&gt;0,OR(AUTOEVENTO&lt;&gt;"manual",$M425&lt;&gt;1)),ROUND(OFFSET($P425,0,AQ$13),15-13*ORÇAMENTO!$AF$7)/$H425*OFFSET(ORÇAMENTO!$X$15,ROW(AQ425)-ROW(AQ$15),0),0)</f>
        <v>0</v>
      </c>
      <c r="AR425" s="632">
        <f ca="1">IF(AND($D425="Serviço",AR$12&lt;&gt;0,$H425&gt;0,OR(AUTOEVENTO&lt;&gt;"manual",$M425&lt;&gt;1)),ROUND(OFFSET($P425,0,AR$13),15-13*ORÇAMENTO!$AF$7)/$H425*OFFSET(ORÇAMENTO!$X$15,ROW(AR425)-ROW(AR$15),0),0)</f>
        <v>0</v>
      </c>
      <c r="AS425" s="633">
        <f ca="1">IF(AND($D425="Serviço",AS$12&lt;&gt;0,$H425&gt;0,OR(AUTOEVENTO&lt;&gt;"manual",$M425&lt;&gt;1)),ROUND(OFFSET($P425,0,AS$13),15-13*ORÇAMENTO!$AF$7)/$H425*OFFSET(ORÇAMENTO!$X$15,ROW(AS425)-ROW(AS$15),0),0)</f>
        <v>0</v>
      </c>
      <c r="AT425" s="632">
        <f ca="1">IF(AND($D425="Serviço",AT$12&lt;&gt;0,$H425&gt;0,OR(AUTOEVENTO&lt;&gt;"manual",$M425&lt;&gt;1)),ROUND(OFFSET($P425,0,AT$13),15-13*ORÇAMENTO!$AF$7)/$H425*OFFSET(ORÇAMENTO!$X$15,ROW(AT425)-ROW(AT$15),0),0)</f>
        <v>0</v>
      </c>
      <c r="AU425" s="632">
        <f ca="1">IF(AND($D425="Serviço",AU$12&lt;&gt;0,$H425&gt;0,OR(AUTOEVENTO&lt;&gt;"manual",$M425&lt;&gt;1)),ROUND(OFFSET($P425,0,AU$13),15-13*ORÇAMENTO!$AF$7)/$H425*OFFSET(ORÇAMENTO!$X$15,ROW(AU425)-ROW(AU$15),0),0)</f>
        <v>0</v>
      </c>
      <c r="AV425" s="632">
        <f ca="1">IF(AND($D425="Serviço",AV$12&lt;&gt;0,$H425&gt;0,OR(AUTOEVENTO&lt;&gt;"manual",$M425&lt;&gt;1)),ROUND(OFFSET($P425,0,AV$13),15-13*ORÇAMENTO!$AF$7)/$H425*OFFSET(ORÇAMENTO!$X$15,ROW(AV425)-ROW(AV$15),0),0)</f>
        <v>0</v>
      </c>
      <c r="AW425" s="632">
        <f ca="1">IF(AND($D425="Serviço",AW$12&lt;&gt;0,$H425&gt;0,OR(AUTOEVENTO&lt;&gt;"manual",$M425&lt;&gt;1)),ROUND(OFFSET($P425,0,AW$13),15-13*ORÇAMENTO!$AF$7)/$H425*OFFSET(ORÇAMENTO!$X$15,ROW(AW425)-ROW(AW$15),0),0)</f>
        <v>0</v>
      </c>
      <c r="AX425" s="632">
        <f ca="1">IF(AND($D425="Serviço",AX$12&lt;&gt;0,$H425&gt;0,OR(AUTOEVENTO&lt;&gt;"manual",$M425&lt;&gt;1)),ROUND(OFFSET($P425,0,AX$13),15-13*ORÇAMENTO!$AF$7)/$H425*OFFSET(ORÇAMENTO!$X$15,ROW(AX425)-ROW(AX$15),0),0)</f>
        <v>0</v>
      </c>
      <c r="AY425" s="632">
        <f ca="1">IF(AND($D425="Serviço",AY$12&lt;&gt;0,$H425&gt;0,OR(AUTOEVENTO&lt;&gt;"manual",$M425&lt;&gt;1)),ROUND(OFFSET($P425,0,AY$13),15-13*ORÇAMENTO!$AF$7)/$H425*OFFSET(ORÇAMENTO!$X$15,ROW(AY425)-ROW(AY$15),0),0)</f>
        <v>0</v>
      </c>
      <c r="AZ425" s="632">
        <f ca="1">IF(AND($D425="Serviço",AZ$12&lt;&gt;0,$H425&gt;0,OR(AUTOEVENTO&lt;&gt;"manual",$M425&lt;&gt;1)),ROUND(OFFSET($P425,0,AZ$13),15-13*ORÇAMENTO!$AF$7)/$H425*OFFSET(ORÇAMENTO!$X$15,ROW(AZ425)-ROW(AZ$15),0),0)</f>
        <v>0</v>
      </c>
      <c r="BA425" s="633">
        <f ca="1">IF(AND($D425="Serviço",BA$12&lt;&gt;0,$H425&gt;0,OR(AUTOEVENTO&lt;&gt;"manual",$M425&lt;&gt;1)),ROUND(OFFSET($P425,0,BA$13),15-13*ORÇAMENTO!$AF$7)/$H425*OFFSET(ORÇAMENTO!$X$15,ROW(BA425)-ROW(BA$15),0),0)</f>
        <v>0</v>
      </c>
      <c r="BC425" s="215">
        <f ca="1">IF($D425&lt;&gt;"Serviço",0,IF(AND(AUTOEVENTO="Manual",$M425=1),0,IF(OFFSET(CRONOPLE!$F$14,$M425,BC$13)="",10^12,OFFSET(CRONOPLE!$F$14,$M425,BC$13))))</f>
        <v>1000000000000</v>
      </c>
      <c r="BD425" s="215">
        <f ca="1">IF($D425&lt;&gt;"Serviço",0,IF(AND(AUTOEVENTO="Manual",$M425=1),0,IF(OFFSET(CRONOPLE!$F$14,$M425,BD$13)="",10^12,OFFSET(CRONOPLE!$F$14,$M425,BD$13))))</f>
        <v>1000000000000</v>
      </c>
      <c r="BE425" s="215">
        <f ca="1">IF($D425&lt;&gt;"Serviço",0,IF(AND(AUTOEVENTO="Manual",$M425=1),0,IF(OFFSET(CRONOPLE!$F$14,$M425,BE$13)="",10^12,OFFSET(CRONOPLE!$F$14,$M425,BE$13))))</f>
        <v>1000000000000</v>
      </c>
      <c r="BF425" s="215">
        <f ca="1">IF($D425&lt;&gt;"Serviço",0,IF(AND(AUTOEVENTO="Manual",$M425=1),0,IF(OFFSET(CRONOPLE!$F$14,$M425,BF$13)="",10^12,OFFSET(CRONOPLE!$F$14,$M425,BF$13))))</f>
        <v>1000000000000</v>
      </c>
      <c r="BG425" s="215">
        <f ca="1">IF($D425&lt;&gt;"Serviço",0,IF(AND(AUTOEVENTO="Manual",$M425=1),0,IF(OFFSET(CRONOPLE!$F$14,$M425,BG$13)="",10^12,OFFSET(CRONOPLE!$F$14,$M425,BG$13))))</f>
        <v>1000000000000</v>
      </c>
      <c r="BH425" s="215">
        <f ca="1">IF($D425&lt;&gt;"Serviço",0,IF(AND(AUTOEVENTO="Manual",$M425=1),0,IF(OFFSET(CRONOPLE!$F$14,$M425,BH$13)="",10^12,OFFSET(CRONOPLE!$F$14,$M425,BH$13))))</f>
        <v>1000000000000</v>
      </c>
      <c r="BI425" s="215">
        <f ca="1">IF($D425&lt;&gt;"Serviço",0,IF(AND(AUTOEVENTO="Manual",$M425=1),0,IF(OFFSET(CRONOPLE!$F$14,$M425,BI$13)="",10^12,OFFSET(CRONOPLE!$F$14,$M425,BI$13))))</f>
        <v>1000000000000</v>
      </c>
      <c r="BJ425" s="215">
        <f ca="1">IF($D425&lt;&gt;"Serviço",0,IF(AND(AUTOEVENTO="Manual",$M425=1),0,IF(OFFSET(CRONOPLE!$F$14,$M425,BJ$13)="",10^12,OFFSET(CRONOPLE!$F$14,$M425,BJ$13))))</f>
        <v>1000000000000</v>
      </c>
      <c r="BK425" s="215">
        <f ca="1">IF($D425&lt;&gt;"Serviço",0,IF(AND(AUTOEVENTO="Manual",$M425=1),0,IF(OFFSET(CRONOPLE!$F$14,$M425,BK$13)="",10^12,OFFSET(CRONOPLE!$F$14,$M425,BK$13))))</f>
        <v>1000000000000</v>
      </c>
      <c r="BL425" s="215">
        <f ca="1">IF($D425&lt;&gt;"Serviço",0,IF(AND(AUTOEVENTO="Manual",$M425=1),0,IF(OFFSET(CRONOPLE!$F$14,$M425,BL$13)="",10^12,OFFSET(CRONOPLE!$F$14,$M425,BL$13))))</f>
        <v>1000000000000</v>
      </c>
      <c r="BM425" s="215">
        <f ca="1">IF($D425&lt;&gt;"Serviço",0,IF(AND(AUTOEVENTO="Manual",$M425=1),0,IF(OFFSET(CRONOPLE!$F$14,$M425,BM$13)="",10^12,OFFSET(CRONOPLE!$F$14,$M425,BM$13))))</f>
        <v>1000000000000</v>
      </c>
      <c r="BN425" s="215">
        <f ca="1">IF($D425&lt;&gt;"Serviço",0,IF(AND(AUTOEVENTO="Manual",$M425=1),0,IF(OFFSET(CRONOPLE!$F$14,$M425,BN$13)="",10^12,OFFSET(CRONOPLE!$F$14,$M425,BN$13))))</f>
        <v>1000000000000</v>
      </c>
      <c r="BO425" s="215">
        <f ca="1">IF($D425&lt;&gt;"Serviço",0,IF(AND(AUTOEVENTO="Manual",$M425=1),0,IF(OFFSET(CRONOPLE!$F$14,$M425,BO$13)="",10^12,OFFSET(CRONOPLE!$F$14,$M425,BO$13))))</f>
        <v>1000000000000</v>
      </c>
      <c r="BP425" s="215">
        <f ca="1">IF($D425&lt;&gt;"Serviço",0,IF(AND(AUTOEVENTO="Manual",$M425=1),0,IF(OFFSET(CRONOPLE!$F$14,$M425,BP$13)="",10^12,OFFSET(CRONOPLE!$F$14,$M425,BP$13))))</f>
        <v>1000000000000</v>
      </c>
      <c r="BQ425" s="215">
        <f ca="1">IF($D425&lt;&gt;"Serviço",0,IF(AND(AUTOEVENTO="Manual",$M425=1),0,IF(OFFSET(CRONOPLE!$F$14,$M425,BQ$13)="",10^12,OFFSET(CRONOPLE!$F$14,$M425,BQ$13))))</f>
        <v>1000000000000</v>
      </c>
      <c r="BR425" s="215">
        <f ca="1">IF($D425&lt;&gt;"Serviço",0,IF(AND(AUTOEVENTO="Manual",$M425=1),0,IF(OFFSET(CRONOPLE!$F$14,$M425,BR$13)="",10^12,OFFSET(CRONOPLE!$F$14,$M425,BR$13))))</f>
        <v>1000000000000</v>
      </c>
      <c r="BS425" s="215">
        <f ca="1">IF($D425&lt;&gt;"Serviço",0,IF(AND(AUTOEVENTO="Manual",$M425=1),0,IF(OFFSET(CRONOPLE!$F$14,$M425,BS$13)="",10^12,OFFSET(CRONOPLE!$F$14,$M425,BS$13))))</f>
        <v>1000000000000</v>
      </c>
      <c r="BT425" s="215">
        <f ca="1">IF($D425&lt;&gt;"Serviço",0,IF(AND(AUTOEVENTO="Manual",$M425=1),0,IF(OFFSET(CRONOPLE!$F$14,$M425,BT$13)="",10^12,OFFSET(CRONOPLE!$F$14,$M425,BT$13))))</f>
        <v>1000000000000</v>
      </c>
      <c r="BV425" s="216">
        <f ca="1">IF($D425&lt;&gt;"Serviço",0,IF(OR(AND(AUTOEVENTO="Manual",$M425=1),$M425&gt;(ROW(PLE.lastrow)-ROW(PLE.firstrow))),0,IF(OFFSET(PLE!$G$14,$M425,BV$13)="",10^12,OFFSET(PLE!$G$14,$M425,BV$13))))</f>
        <v>1000000000000</v>
      </c>
      <c r="BW425" s="216">
        <f ca="1">IF($D425&lt;&gt;"Serviço",0,IF(OR(AND(AUTOEVENTO="Manual",$M425=1),$M425&gt;(ROW(PLE.lastrow)-ROW(PLE.firstrow))),0,IF(OFFSET(PLE!$G$14,$M425,BW$13)="",10^12,OFFSET(PLE!$G$14,$M425,BW$13))))</f>
        <v>1000000000000</v>
      </c>
      <c r="BX425" s="216">
        <f ca="1">IF($D425&lt;&gt;"Serviço",0,IF(OR(AND(AUTOEVENTO="Manual",$M425=1),$M425&gt;(ROW(PLE.lastrow)-ROW(PLE.firstrow))),0,IF(OFFSET(PLE!$G$14,$M425,BX$13)="",10^12,OFFSET(PLE!$G$14,$M425,BX$13))))</f>
        <v>1000000000000</v>
      </c>
      <c r="BY425" s="216">
        <f ca="1">IF($D425&lt;&gt;"Serviço",0,IF(OR(AND(AUTOEVENTO="Manual",$M425=1),$M425&gt;(ROW(PLE.lastrow)-ROW(PLE.firstrow))),0,IF(OFFSET(PLE!$G$14,$M425,BY$13)="",10^12,OFFSET(PLE!$G$14,$M425,BY$13))))</f>
        <v>1000000000000</v>
      </c>
      <c r="BZ425" s="216">
        <f ca="1">IF($D425&lt;&gt;"Serviço",0,IF(OR(AND(AUTOEVENTO="Manual",$M425=1),$M425&gt;(ROW(PLE.lastrow)-ROW(PLE.firstrow))),0,IF(OFFSET(PLE!$G$14,$M425,BZ$13)="",10^12,OFFSET(PLE!$G$14,$M425,BZ$13))))</f>
        <v>1000000000000</v>
      </c>
      <c r="CA425" s="216">
        <f ca="1">IF($D425&lt;&gt;"Serviço",0,IF(OR(AND(AUTOEVENTO="Manual",$M425=1),$M425&gt;(ROW(PLE.lastrow)-ROW(PLE.firstrow))),0,IF(OFFSET(PLE!$G$14,$M425,CA$13)="",10^12,OFFSET(PLE!$G$14,$M425,CA$13))))</f>
        <v>1000000000000</v>
      </c>
      <c r="CB425" s="216">
        <f ca="1">IF($D425&lt;&gt;"Serviço",0,IF(OR(AND(AUTOEVENTO="Manual",$M425=1),$M425&gt;(ROW(PLE.lastrow)-ROW(PLE.firstrow))),0,IF(OFFSET(PLE!$G$14,$M425,CB$13)="",10^12,OFFSET(PLE!$G$14,$M425,CB$13))))</f>
        <v>1000000000000</v>
      </c>
      <c r="CC425" s="216">
        <f ca="1">IF($D425&lt;&gt;"Serviço",0,IF(OR(AND(AUTOEVENTO="Manual",$M425=1),$M425&gt;(ROW(PLE.lastrow)-ROW(PLE.firstrow))),0,IF(OFFSET(PLE!$G$14,$M425,CC$13)="",10^12,OFFSET(PLE!$G$14,$M425,CC$13))))</f>
        <v>1000000000000</v>
      </c>
      <c r="CD425" s="216">
        <f ca="1">IF($D425&lt;&gt;"Serviço",0,IF(OR(AND(AUTOEVENTO="Manual",$M425=1),$M425&gt;(ROW(PLE.lastrow)-ROW(PLE.firstrow))),0,IF(OFFSET(PLE!$G$14,$M425,CD$13)="",10^12,OFFSET(PLE!$G$14,$M425,CD$13))))</f>
        <v>1000000000000</v>
      </c>
      <c r="CE425" s="216">
        <f ca="1">IF($D425&lt;&gt;"Serviço",0,IF(OR(AND(AUTOEVENTO="Manual",$M425=1),$M425&gt;(ROW(PLE.lastrow)-ROW(PLE.firstrow))),0,IF(OFFSET(PLE!$G$14,$M425,CE$13)="",10^12,OFFSET(PLE!$G$14,$M425,CE$13))))</f>
        <v>1000000000000</v>
      </c>
      <c r="CF425" s="216">
        <f ca="1">IF($D425&lt;&gt;"Serviço",0,IF(OR(AND(AUTOEVENTO="Manual",$M425=1),$M425&gt;(ROW(PLE.lastrow)-ROW(PLE.firstrow))),0,IF(OFFSET(PLE!$G$14,$M425,CF$13)="",10^12,OFFSET(PLE!$G$14,$M425,CF$13))))</f>
        <v>1000000000000</v>
      </c>
      <c r="CG425" s="216">
        <f ca="1">IF($D425&lt;&gt;"Serviço",0,IF(OR(AND(AUTOEVENTO="Manual",$M425=1),$M425&gt;(ROW(PLE.lastrow)-ROW(PLE.firstrow))),0,IF(OFFSET(PLE!$G$14,$M425,CG$13)="",10^12,OFFSET(PLE!$G$14,$M425,CG$13))))</f>
        <v>1000000000000</v>
      </c>
      <c r="CH425" s="216">
        <f ca="1">IF($D425&lt;&gt;"Serviço",0,IF(OR(AND(AUTOEVENTO="Manual",$M425=1),$M425&gt;(ROW(PLE.lastrow)-ROW(PLE.firstrow))),0,IF(OFFSET(PLE!$G$14,$M425,CH$13)="",10^12,OFFSET(PLE!$G$14,$M425,CH$13))))</f>
        <v>1000000000000</v>
      </c>
      <c r="CI425" s="216">
        <f ca="1">IF($D425&lt;&gt;"Serviço",0,IF(OR(AND(AUTOEVENTO="Manual",$M425=1),$M425&gt;(ROW(PLE.lastrow)-ROW(PLE.firstrow))),0,IF(OFFSET(PLE!$G$14,$M425,CI$13)="",10^12,OFFSET(PLE!$G$14,$M425,CI$13))))</f>
        <v>1000000000000</v>
      </c>
      <c r="CJ425" s="216">
        <f ca="1">IF($D425&lt;&gt;"Serviço",0,IF(OR(AND(AUTOEVENTO="Manual",$M425=1),$M425&gt;(ROW(PLE.lastrow)-ROW(PLE.firstrow))),0,IF(OFFSET(PLE!$G$14,$M425,CJ$13)="",10^12,OFFSET(PLE!$G$14,$M425,CJ$13))))</f>
        <v>1000000000000</v>
      </c>
      <c r="CK425" s="216">
        <f ca="1">IF($D425&lt;&gt;"Serviço",0,IF(OR(AND(AUTOEVENTO="Manual",$M425=1),$M425&gt;(ROW(PLE.lastrow)-ROW(PLE.firstrow))),0,IF(OFFSET(PLE!$G$14,$M425,CK$13)="",10^12,OFFSET(PLE!$G$14,$M425,CK$13))))</f>
        <v>1000000000000</v>
      </c>
      <c r="CL425" s="216">
        <f ca="1">IF($D425&lt;&gt;"Serviço",0,IF(OR(AND(AUTOEVENTO="Manual",$M425=1),$M425&gt;(ROW(PLE.lastrow)-ROW(PLE.firstrow))),0,IF(OFFSET(PLE!$G$14,$M425,CL$13)="",10^12,OFFSET(PLE!$G$14,$M425,CL$13))))</f>
        <v>1000000000000</v>
      </c>
      <c r="CM425" s="216">
        <f ca="1">IF($D425&lt;&gt;"Serviço",0,IF(OR(AND(AUTOEVENTO="Manual",$M425=1),$M425&gt;(ROW(PLE.lastrow)-ROW(PLE.firstrow))),0,IF(OFFSET(PLE!$G$14,$M425,CM$13)="",10^12,OFFSET(PLE!$G$14,$M425,CM$13))))</f>
        <v>1000000000000</v>
      </c>
    </row>
    <row r="426" spans="1:91" ht="13.2" x14ac:dyDescent="0.25">
      <c r="A426" s="9">
        <f t="shared" ca="1" si="15"/>
        <v>0</v>
      </c>
      <c r="B426" s="9">
        <f ca="1">OFFSET(ORÇAMENTO!C$15,ROW(B426)-ROW(B$15),0)</f>
        <v>3</v>
      </c>
      <c r="C426" s="9" t="str">
        <f ca="1">OFFSET(ORÇAMENTO!L$15,ROW(C426)-ROW(C$15),0)</f>
        <v>F</v>
      </c>
      <c r="D426" s="145" t="str">
        <f ca="1">OFFSET(ORÇAMENTO!N$15,ROW(D426)-ROW(D$15),0)</f>
        <v>Nível 3</v>
      </c>
      <c r="E426" s="205" t="str">
        <f ca="1">OFFSET(ORÇAMENTO!O$15,ROW(E426)-ROW(E$15),0)</f>
        <v>1.14.2.</v>
      </c>
      <c r="F426" s="206" t="str">
        <f ca="1">OFFSET(ORÇAMENTO!R$15,ROW(F426)-ROW(F$15),0)</f>
        <v>LIGAÇÃO PREDIAL NA REDE PÚBLICA DE ESGOTO</v>
      </c>
      <c r="G426" s="207" t="str">
        <f ca="1">IF($D426&lt;&gt;"Serviço","",OFFSET(ORÇAMENTO!S$15,ROW(G426)-ROW(G$15),0))</f>
        <v/>
      </c>
      <c r="H426" s="151">
        <f ca="1">IF($D426&lt;&gt;"Serviço",0,IF(ACOMPANHAMENTO="BM",ROUND(OFFSET(ORÇAMENTO!AJ$15,ROW(H426)-ROW(H$15),0),15-13*ORÇAMENTO!$AF$7),SUMPRODUCT(($Q$12:$AI$12&lt;&gt;"")*ROUND($Q426:$AI426,15-13*ORÇAMENTO!$AF$7))))</f>
        <v>0</v>
      </c>
      <c r="I426" s="650"/>
      <c r="K426" s="208"/>
      <c r="L426" s="209" t="s">
        <v>257</v>
      </c>
      <c r="M426" s="210" t="str">
        <f ca="1">IF($D426&lt;&gt;"Serviço","",IF(AUTOEVENTO="manual",$A426,IF(ISERROR(MATCH($A426,$A$15:OFFSET($A426,-1,0),0)),MAX($M$15:OFFSET(M426,-1,0))+1,INDEX($M$15:OFFSET(M426,-1,0),MATCH($A426,$A$15:OFFSET($A426,-1,0),0)))))</f>
        <v/>
      </c>
      <c r="N426" s="211" t="str">
        <f ca="1">IF($D426&lt;&gt;"Serviço","",IF(AUTOEVENTO="Manual",IF($A426=0,"&lt;-- defina o número do agrupador",OFFSET(EVENTOS!$D$14,$A426,0)),OFFSET($F$15,$A426,0)))</f>
        <v/>
      </c>
      <c r="O426" s="212"/>
      <c r="Q426" s="212"/>
      <c r="R426" s="213"/>
      <c r="S426" s="213"/>
      <c r="T426" s="213"/>
      <c r="U426" s="213"/>
      <c r="V426" s="213"/>
      <c r="W426" s="213"/>
      <c r="X426" s="213"/>
      <c r="Y426" s="213"/>
      <c r="Z426" s="214"/>
      <c r="AA426" s="213"/>
      <c r="AB426" s="213"/>
      <c r="AC426" s="213"/>
      <c r="AD426" s="213"/>
      <c r="AE426" s="213"/>
      <c r="AF426" s="213"/>
      <c r="AG426" s="213"/>
      <c r="AH426" s="214"/>
      <c r="AJ426" s="631">
        <f ca="1">IF(AND($D426="Serviço",AJ$12&lt;&gt;0,$H426&gt;0,OR(AUTOEVENTO&lt;&gt;"manual",$M426&lt;&gt;1)),ROUND(OFFSET($P426,0,AJ$13),15-13*ORÇAMENTO!$AF$7)/$H426*OFFSET(ORÇAMENTO!$X$15,ROW(AJ426)-ROW(AJ$15),0),0)</f>
        <v>0</v>
      </c>
      <c r="AK426" s="632">
        <f ca="1">IF(AND($D426="Serviço",AK$12&lt;&gt;0,$H426&gt;0,OR(AUTOEVENTO&lt;&gt;"manual",$M426&lt;&gt;1)),ROUND(OFFSET($P426,0,AK$13),15-13*ORÇAMENTO!$AF$7)/$H426*OFFSET(ORÇAMENTO!$X$15,ROW(AK426)-ROW(AK$15),0),0)</f>
        <v>0</v>
      </c>
      <c r="AL426" s="632">
        <f ca="1">IF(AND($D426="Serviço",AL$12&lt;&gt;0,$H426&gt;0,OR(AUTOEVENTO&lt;&gt;"manual",$M426&lt;&gt;1)),ROUND(OFFSET($P426,0,AL$13),15-13*ORÇAMENTO!$AF$7)/$H426*OFFSET(ORÇAMENTO!$X$15,ROW(AL426)-ROW(AL$15),0),0)</f>
        <v>0</v>
      </c>
      <c r="AM426" s="632">
        <f ca="1">IF(AND($D426="Serviço",AM$12&lt;&gt;0,$H426&gt;0,OR(AUTOEVENTO&lt;&gt;"manual",$M426&lt;&gt;1)),ROUND(OFFSET($P426,0,AM$13),15-13*ORÇAMENTO!$AF$7)/$H426*OFFSET(ORÇAMENTO!$X$15,ROW(AM426)-ROW(AM$15),0),0)</f>
        <v>0</v>
      </c>
      <c r="AN426" s="632">
        <f ca="1">IF(AND($D426="Serviço",AN$12&lt;&gt;0,$H426&gt;0,OR(AUTOEVENTO&lt;&gt;"manual",$M426&lt;&gt;1)),ROUND(OFFSET($P426,0,AN$13),15-13*ORÇAMENTO!$AF$7)/$H426*OFFSET(ORÇAMENTO!$X$15,ROW(AN426)-ROW(AN$15),0),0)</f>
        <v>0</v>
      </c>
      <c r="AO426" s="632">
        <f ca="1">IF(AND($D426="Serviço",AO$12&lt;&gt;0,$H426&gt;0,OR(AUTOEVENTO&lt;&gt;"manual",$M426&lt;&gt;1)),ROUND(OFFSET($P426,0,AO$13),15-13*ORÇAMENTO!$AF$7)/$H426*OFFSET(ORÇAMENTO!$X$15,ROW(AO426)-ROW(AO$15),0),0)</f>
        <v>0</v>
      </c>
      <c r="AP426" s="632">
        <f ca="1">IF(AND($D426="Serviço",AP$12&lt;&gt;0,$H426&gt;0,OR(AUTOEVENTO&lt;&gt;"manual",$M426&lt;&gt;1)),ROUND(OFFSET($P426,0,AP$13),15-13*ORÇAMENTO!$AF$7)/$H426*OFFSET(ORÇAMENTO!$X$15,ROW(AP426)-ROW(AP$15),0),0)</f>
        <v>0</v>
      </c>
      <c r="AQ426" s="632">
        <f ca="1">IF(AND($D426="Serviço",AQ$12&lt;&gt;0,$H426&gt;0,OR(AUTOEVENTO&lt;&gt;"manual",$M426&lt;&gt;1)),ROUND(OFFSET($P426,0,AQ$13),15-13*ORÇAMENTO!$AF$7)/$H426*OFFSET(ORÇAMENTO!$X$15,ROW(AQ426)-ROW(AQ$15),0),0)</f>
        <v>0</v>
      </c>
      <c r="AR426" s="632">
        <f ca="1">IF(AND($D426="Serviço",AR$12&lt;&gt;0,$H426&gt;0,OR(AUTOEVENTO&lt;&gt;"manual",$M426&lt;&gt;1)),ROUND(OFFSET($P426,0,AR$13),15-13*ORÇAMENTO!$AF$7)/$H426*OFFSET(ORÇAMENTO!$X$15,ROW(AR426)-ROW(AR$15),0),0)</f>
        <v>0</v>
      </c>
      <c r="AS426" s="633">
        <f ca="1">IF(AND($D426="Serviço",AS$12&lt;&gt;0,$H426&gt;0,OR(AUTOEVENTO&lt;&gt;"manual",$M426&lt;&gt;1)),ROUND(OFFSET($P426,0,AS$13),15-13*ORÇAMENTO!$AF$7)/$H426*OFFSET(ORÇAMENTO!$X$15,ROW(AS426)-ROW(AS$15),0),0)</f>
        <v>0</v>
      </c>
      <c r="AT426" s="632">
        <f ca="1">IF(AND($D426="Serviço",AT$12&lt;&gt;0,$H426&gt;0,OR(AUTOEVENTO&lt;&gt;"manual",$M426&lt;&gt;1)),ROUND(OFFSET($P426,0,AT$13),15-13*ORÇAMENTO!$AF$7)/$H426*OFFSET(ORÇAMENTO!$X$15,ROW(AT426)-ROW(AT$15),0),0)</f>
        <v>0</v>
      </c>
      <c r="AU426" s="632">
        <f ca="1">IF(AND($D426="Serviço",AU$12&lt;&gt;0,$H426&gt;0,OR(AUTOEVENTO&lt;&gt;"manual",$M426&lt;&gt;1)),ROUND(OFFSET($P426,0,AU$13),15-13*ORÇAMENTO!$AF$7)/$H426*OFFSET(ORÇAMENTO!$X$15,ROW(AU426)-ROW(AU$15),0),0)</f>
        <v>0</v>
      </c>
      <c r="AV426" s="632">
        <f ca="1">IF(AND($D426="Serviço",AV$12&lt;&gt;0,$H426&gt;0,OR(AUTOEVENTO&lt;&gt;"manual",$M426&lt;&gt;1)),ROUND(OFFSET($P426,0,AV$13),15-13*ORÇAMENTO!$AF$7)/$H426*OFFSET(ORÇAMENTO!$X$15,ROW(AV426)-ROW(AV$15),0),0)</f>
        <v>0</v>
      </c>
      <c r="AW426" s="632">
        <f ca="1">IF(AND($D426="Serviço",AW$12&lt;&gt;0,$H426&gt;0,OR(AUTOEVENTO&lt;&gt;"manual",$M426&lt;&gt;1)),ROUND(OFFSET($P426,0,AW$13),15-13*ORÇAMENTO!$AF$7)/$H426*OFFSET(ORÇAMENTO!$X$15,ROW(AW426)-ROW(AW$15),0),0)</f>
        <v>0</v>
      </c>
      <c r="AX426" s="632">
        <f ca="1">IF(AND($D426="Serviço",AX$12&lt;&gt;0,$H426&gt;0,OR(AUTOEVENTO&lt;&gt;"manual",$M426&lt;&gt;1)),ROUND(OFFSET($P426,0,AX$13),15-13*ORÇAMENTO!$AF$7)/$H426*OFFSET(ORÇAMENTO!$X$15,ROW(AX426)-ROW(AX$15),0),0)</f>
        <v>0</v>
      </c>
      <c r="AY426" s="632">
        <f ca="1">IF(AND($D426="Serviço",AY$12&lt;&gt;0,$H426&gt;0,OR(AUTOEVENTO&lt;&gt;"manual",$M426&lt;&gt;1)),ROUND(OFFSET($P426,0,AY$13),15-13*ORÇAMENTO!$AF$7)/$H426*OFFSET(ORÇAMENTO!$X$15,ROW(AY426)-ROW(AY$15),0),0)</f>
        <v>0</v>
      </c>
      <c r="AZ426" s="632">
        <f ca="1">IF(AND($D426="Serviço",AZ$12&lt;&gt;0,$H426&gt;0,OR(AUTOEVENTO&lt;&gt;"manual",$M426&lt;&gt;1)),ROUND(OFFSET($P426,0,AZ$13),15-13*ORÇAMENTO!$AF$7)/$H426*OFFSET(ORÇAMENTO!$X$15,ROW(AZ426)-ROW(AZ$15),0),0)</f>
        <v>0</v>
      </c>
      <c r="BA426" s="633">
        <f ca="1">IF(AND($D426="Serviço",BA$12&lt;&gt;0,$H426&gt;0,OR(AUTOEVENTO&lt;&gt;"manual",$M426&lt;&gt;1)),ROUND(OFFSET($P426,0,BA$13),15-13*ORÇAMENTO!$AF$7)/$H426*OFFSET(ORÇAMENTO!$X$15,ROW(BA426)-ROW(BA$15),0),0)</f>
        <v>0</v>
      </c>
      <c r="BC426" s="215">
        <f ca="1">IF($D426&lt;&gt;"Serviço",0,IF(AND(AUTOEVENTO="Manual",$M426=1),0,IF(OFFSET(CRONOPLE!$F$14,$M426,BC$13)="",10^12,OFFSET(CRONOPLE!$F$14,$M426,BC$13))))</f>
        <v>0</v>
      </c>
      <c r="BD426" s="215">
        <f ca="1">IF($D426&lt;&gt;"Serviço",0,IF(AND(AUTOEVENTO="Manual",$M426=1),0,IF(OFFSET(CRONOPLE!$F$14,$M426,BD$13)="",10^12,OFFSET(CRONOPLE!$F$14,$M426,BD$13))))</f>
        <v>0</v>
      </c>
      <c r="BE426" s="215">
        <f ca="1">IF($D426&lt;&gt;"Serviço",0,IF(AND(AUTOEVENTO="Manual",$M426=1),0,IF(OFFSET(CRONOPLE!$F$14,$M426,BE$13)="",10^12,OFFSET(CRONOPLE!$F$14,$M426,BE$13))))</f>
        <v>0</v>
      </c>
      <c r="BF426" s="215">
        <f ca="1">IF($D426&lt;&gt;"Serviço",0,IF(AND(AUTOEVENTO="Manual",$M426=1),0,IF(OFFSET(CRONOPLE!$F$14,$M426,BF$13)="",10^12,OFFSET(CRONOPLE!$F$14,$M426,BF$13))))</f>
        <v>0</v>
      </c>
      <c r="BG426" s="215">
        <f ca="1">IF($D426&lt;&gt;"Serviço",0,IF(AND(AUTOEVENTO="Manual",$M426=1),0,IF(OFFSET(CRONOPLE!$F$14,$M426,BG$13)="",10^12,OFFSET(CRONOPLE!$F$14,$M426,BG$13))))</f>
        <v>0</v>
      </c>
      <c r="BH426" s="215">
        <f ca="1">IF($D426&lt;&gt;"Serviço",0,IF(AND(AUTOEVENTO="Manual",$M426=1),0,IF(OFFSET(CRONOPLE!$F$14,$M426,BH$13)="",10^12,OFFSET(CRONOPLE!$F$14,$M426,BH$13))))</f>
        <v>0</v>
      </c>
      <c r="BI426" s="215">
        <f ca="1">IF($D426&lt;&gt;"Serviço",0,IF(AND(AUTOEVENTO="Manual",$M426=1),0,IF(OFFSET(CRONOPLE!$F$14,$M426,BI$13)="",10^12,OFFSET(CRONOPLE!$F$14,$M426,BI$13))))</f>
        <v>0</v>
      </c>
      <c r="BJ426" s="215">
        <f ca="1">IF($D426&lt;&gt;"Serviço",0,IF(AND(AUTOEVENTO="Manual",$M426=1),0,IF(OFFSET(CRONOPLE!$F$14,$M426,BJ$13)="",10^12,OFFSET(CRONOPLE!$F$14,$M426,BJ$13))))</f>
        <v>0</v>
      </c>
      <c r="BK426" s="215">
        <f ca="1">IF($D426&lt;&gt;"Serviço",0,IF(AND(AUTOEVENTO="Manual",$M426=1),0,IF(OFFSET(CRONOPLE!$F$14,$M426,BK$13)="",10^12,OFFSET(CRONOPLE!$F$14,$M426,BK$13))))</f>
        <v>0</v>
      </c>
      <c r="BL426" s="215">
        <f ca="1">IF($D426&lt;&gt;"Serviço",0,IF(AND(AUTOEVENTO="Manual",$M426=1),0,IF(OFFSET(CRONOPLE!$F$14,$M426,BL$13)="",10^12,OFFSET(CRONOPLE!$F$14,$M426,BL$13))))</f>
        <v>0</v>
      </c>
      <c r="BM426" s="215">
        <f ca="1">IF($D426&lt;&gt;"Serviço",0,IF(AND(AUTOEVENTO="Manual",$M426=1),0,IF(OFFSET(CRONOPLE!$F$14,$M426,BM$13)="",10^12,OFFSET(CRONOPLE!$F$14,$M426,BM$13))))</f>
        <v>0</v>
      </c>
      <c r="BN426" s="215">
        <f ca="1">IF($D426&lt;&gt;"Serviço",0,IF(AND(AUTOEVENTO="Manual",$M426=1),0,IF(OFFSET(CRONOPLE!$F$14,$M426,BN$13)="",10^12,OFFSET(CRONOPLE!$F$14,$M426,BN$13))))</f>
        <v>0</v>
      </c>
      <c r="BO426" s="215">
        <f ca="1">IF($D426&lt;&gt;"Serviço",0,IF(AND(AUTOEVENTO="Manual",$M426=1),0,IF(OFFSET(CRONOPLE!$F$14,$M426,BO$13)="",10^12,OFFSET(CRONOPLE!$F$14,$M426,BO$13))))</f>
        <v>0</v>
      </c>
      <c r="BP426" s="215">
        <f ca="1">IF($D426&lt;&gt;"Serviço",0,IF(AND(AUTOEVENTO="Manual",$M426=1),0,IF(OFFSET(CRONOPLE!$F$14,$M426,BP$13)="",10^12,OFFSET(CRONOPLE!$F$14,$M426,BP$13))))</f>
        <v>0</v>
      </c>
      <c r="BQ426" s="215">
        <f ca="1">IF($D426&lt;&gt;"Serviço",0,IF(AND(AUTOEVENTO="Manual",$M426=1),0,IF(OFFSET(CRONOPLE!$F$14,$M426,BQ$13)="",10^12,OFFSET(CRONOPLE!$F$14,$M426,BQ$13))))</f>
        <v>0</v>
      </c>
      <c r="BR426" s="215">
        <f ca="1">IF($D426&lt;&gt;"Serviço",0,IF(AND(AUTOEVENTO="Manual",$M426=1),0,IF(OFFSET(CRONOPLE!$F$14,$M426,BR$13)="",10^12,OFFSET(CRONOPLE!$F$14,$M426,BR$13))))</f>
        <v>0</v>
      </c>
      <c r="BS426" s="215">
        <f ca="1">IF($D426&lt;&gt;"Serviço",0,IF(AND(AUTOEVENTO="Manual",$M426=1),0,IF(OFFSET(CRONOPLE!$F$14,$M426,BS$13)="",10^12,OFFSET(CRONOPLE!$F$14,$M426,BS$13))))</f>
        <v>0</v>
      </c>
      <c r="BT426" s="215">
        <f ca="1">IF($D426&lt;&gt;"Serviço",0,IF(AND(AUTOEVENTO="Manual",$M426=1),0,IF(OFFSET(CRONOPLE!$F$14,$M426,BT$13)="",10^12,OFFSET(CRONOPLE!$F$14,$M426,BT$13))))</f>
        <v>0</v>
      </c>
      <c r="BV426" s="216">
        <f ca="1">IF($D426&lt;&gt;"Serviço",0,IF(OR(AND(AUTOEVENTO="Manual",$M426=1),$M426&gt;(ROW(PLE.lastrow)-ROW(PLE.firstrow))),0,IF(OFFSET(PLE!$G$14,$M426,BV$13)="",10^12,OFFSET(PLE!$G$14,$M426,BV$13))))</f>
        <v>0</v>
      </c>
      <c r="BW426" s="216">
        <f ca="1">IF($D426&lt;&gt;"Serviço",0,IF(OR(AND(AUTOEVENTO="Manual",$M426=1),$M426&gt;(ROW(PLE.lastrow)-ROW(PLE.firstrow))),0,IF(OFFSET(PLE!$G$14,$M426,BW$13)="",10^12,OFFSET(PLE!$G$14,$M426,BW$13))))</f>
        <v>0</v>
      </c>
      <c r="BX426" s="216">
        <f ca="1">IF($D426&lt;&gt;"Serviço",0,IF(OR(AND(AUTOEVENTO="Manual",$M426=1),$M426&gt;(ROW(PLE.lastrow)-ROW(PLE.firstrow))),0,IF(OFFSET(PLE!$G$14,$M426,BX$13)="",10^12,OFFSET(PLE!$G$14,$M426,BX$13))))</f>
        <v>0</v>
      </c>
      <c r="BY426" s="216">
        <f ca="1">IF($D426&lt;&gt;"Serviço",0,IF(OR(AND(AUTOEVENTO="Manual",$M426=1),$M426&gt;(ROW(PLE.lastrow)-ROW(PLE.firstrow))),0,IF(OFFSET(PLE!$G$14,$M426,BY$13)="",10^12,OFFSET(PLE!$G$14,$M426,BY$13))))</f>
        <v>0</v>
      </c>
      <c r="BZ426" s="216">
        <f ca="1">IF($D426&lt;&gt;"Serviço",0,IF(OR(AND(AUTOEVENTO="Manual",$M426=1),$M426&gt;(ROW(PLE.lastrow)-ROW(PLE.firstrow))),0,IF(OFFSET(PLE!$G$14,$M426,BZ$13)="",10^12,OFFSET(PLE!$G$14,$M426,BZ$13))))</f>
        <v>0</v>
      </c>
      <c r="CA426" s="216">
        <f ca="1">IF($D426&lt;&gt;"Serviço",0,IF(OR(AND(AUTOEVENTO="Manual",$M426=1),$M426&gt;(ROW(PLE.lastrow)-ROW(PLE.firstrow))),0,IF(OFFSET(PLE!$G$14,$M426,CA$13)="",10^12,OFFSET(PLE!$G$14,$M426,CA$13))))</f>
        <v>0</v>
      </c>
      <c r="CB426" s="216">
        <f ca="1">IF($D426&lt;&gt;"Serviço",0,IF(OR(AND(AUTOEVENTO="Manual",$M426=1),$M426&gt;(ROW(PLE.lastrow)-ROW(PLE.firstrow))),0,IF(OFFSET(PLE!$G$14,$M426,CB$13)="",10^12,OFFSET(PLE!$G$14,$M426,CB$13))))</f>
        <v>0</v>
      </c>
      <c r="CC426" s="216">
        <f ca="1">IF($D426&lt;&gt;"Serviço",0,IF(OR(AND(AUTOEVENTO="Manual",$M426=1),$M426&gt;(ROW(PLE.lastrow)-ROW(PLE.firstrow))),0,IF(OFFSET(PLE!$G$14,$M426,CC$13)="",10^12,OFFSET(PLE!$G$14,$M426,CC$13))))</f>
        <v>0</v>
      </c>
      <c r="CD426" s="216">
        <f ca="1">IF($D426&lt;&gt;"Serviço",0,IF(OR(AND(AUTOEVENTO="Manual",$M426=1),$M426&gt;(ROW(PLE.lastrow)-ROW(PLE.firstrow))),0,IF(OFFSET(PLE!$G$14,$M426,CD$13)="",10^12,OFFSET(PLE!$G$14,$M426,CD$13))))</f>
        <v>0</v>
      </c>
      <c r="CE426" s="216">
        <f ca="1">IF($D426&lt;&gt;"Serviço",0,IF(OR(AND(AUTOEVENTO="Manual",$M426=1),$M426&gt;(ROW(PLE.lastrow)-ROW(PLE.firstrow))),0,IF(OFFSET(PLE!$G$14,$M426,CE$13)="",10^12,OFFSET(PLE!$G$14,$M426,CE$13))))</f>
        <v>0</v>
      </c>
      <c r="CF426" s="216">
        <f ca="1">IF($D426&lt;&gt;"Serviço",0,IF(OR(AND(AUTOEVENTO="Manual",$M426=1),$M426&gt;(ROW(PLE.lastrow)-ROW(PLE.firstrow))),0,IF(OFFSET(PLE!$G$14,$M426,CF$13)="",10^12,OFFSET(PLE!$G$14,$M426,CF$13))))</f>
        <v>0</v>
      </c>
      <c r="CG426" s="216">
        <f ca="1">IF($D426&lt;&gt;"Serviço",0,IF(OR(AND(AUTOEVENTO="Manual",$M426=1),$M426&gt;(ROW(PLE.lastrow)-ROW(PLE.firstrow))),0,IF(OFFSET(PLE!$G$14,$M426,CG$13)="",10^12,OFFSET(PLE!$G$14,$M426,CG$13))))</f>
        <v>0</v>
      </c>
      <c r="CH426" s="216">
        <f ca="1">IF($D426&lt;&gt;"Serviço",0,IF(OR(AND(AUTOEVENTO="Manual",$M426=1),$M426&gt;(ROW(PLE.lastrow)-ROW(PLE.firstrow))),0,IF(OFFSET(PLE!$G$14,$M426,CH$13)="",10^12,OFFSET(PLE!$G$14,$M426,CH$13))))</f>
        <v>0</v>
      </c>
      <c r="CI426" s="216">
        <f ca="1">IF($D426&lt;&gt;"Serviço",0,IF(OR(AND(AUTOEVENTO="Manual",$M426=1),$M426&gt;(ROW(PLE.lastrow)-ROW(PLE.firstrow))),0,IF(OFFSET(PLE!$G$14,$M426,CI$13)="",10^12,OFFSET(PLE!$G$14,$M426,CI$13))))</f>
        <v>0</v>
      </c>
      <c r="CJ426" s="216">
        <f ca="1">IF($D426&lt;&gt;"Serviço",0,IF(OR(AND(AUTOEVENTO="Manual",$M426=1),$M426&gt;(ROW(PLE.lastrow)-ROW(PLE.firstrow))),0,IF(OFFSET(PLE!$G$14,$M426,CJ$13)="",10^12,OFFSET(PLE!$G$14,$M426,CJ$13))))</f>
        <v>0</v>
      </c>
      <c r="CK426" s="216">
        <f ca="1">IF($D426&lt;&gt;"Serviço",0,IF(OR(AND(AUTOEVENTO="Manual",$M426=1),$M426&gt;(ROW(PLE.lastrow)-ROW(PLE.firstrow))),0,IF(OFFSET(PLE!$G$14,$M426,CK$13)="",10^12,OFFSET(PLE!$G$14,$M426,CK$13))))</f>
        <v>0</v>
      </c>
      <c r="CL426" s="216">
        <f ca="1">IF($D426&lt;&gt;"Serviço",0,IF(OR(AND(AUTOEVENTO="Manual",$M426=1),$M426&gt;(ROW(PLE.lastrow)-ROW(PLE.firstrow))),0,IF(OFFSET(PLE!$G$14,$M426,CL$13)="",10^12,OFFSET(PLE!$G$14,$M426,CL$13))))</f>
        <v>0</v>
      </c>
      <c r="CM426" s="216">
        <f ca="1">IF($D426&lt;&gt;"Serviço",0,IF(OR(AND(AUTOEVENTO="Manual",$M426=1),$M426&gt;(ROW(PLE.lastrow)-ROW(PLE.firstrow))),0,IF(OFFSET(PLE!$G$14,$M426,CM$13)="",10^12,OFFSET(PLE!$G$14,$M426,CM$13))))</f>
        <v>0</v>
      </c>
    </row>
    <row r="427" spans="1:91" ht="13.2" x14ac:dyDescent="0.25">
      <c r="A427" s="9">
        <f t="shared" ca="1" si="15"/>
        <v>0</v>
      </c>
      <c r="B427" s="9" t="str">
        <f ca="1">OFFSET(ORÇAMENTO!C$15,ROW(B427)-ROW(B$15),0)</f>
        <v>S</v>
      </c>
      <c r="C427" s="9" t="str">
        <f ca="1">OFFSET(ORÇAMENTO!L$15,ROW(C427)-ROW(C$15),0)</f>
        <v/>
      </c>
      <c r="D427" s="145" t="str">
        <f ca="1">OFFSET(ORÇAMENTO!N$15,ROW(D427)-ROW(D$15),0)</f>
        <v>Serviço</v>
      </c>
      <c r="E427" s="205" t="str">
        <f ca="1">OFFSET(ORÇAMENTO!O$15,ROW(E427)-ROW(E$15),0)</f>
        <v>-</v>
      </c>
      <c r="F427" s="206" t="str">
        <f ca="1">OFFSET(ORÇAMENTO!R$15,ROW(F427)-ROW(F$15),0)</f>
        <v>(abra o arquivo 'Referência 05-2024.xls)</v>
      </c>
      <c r="G427" s="207" t="str">
        <f ca="1">IF($D427&lt;&gt;"Serviço","",OFFSET(ORÇAMENTO!S$15,ROW(G427)-ROW(G$15),0))</f>
        <v>-</v>
      </c>
      <c r="H427" s="151">
        <f ca="1">IF($D427&lt;&gt;"Serviço",0,IF(ACOMPANHAMENTO="BM",ROUND(OFFSET(ORÇAMENTO!AJ$15,ROW(H427)-ROW(H$15),0),15-13*ORÇAMENTO!$AF$7),SUMPRODUCT(($Q$12:$AI$12&lt;&gt;"")*ROUND($Q427:$AI427,15-13*ORÇAMENTO!$AF$7))))</f>
        <v>16.5</v>
      </c>
      <c r="I427" s="650"/>
      <c r="K427" s="208"/>
      <c r="L427" s="209" t="s">
        <v>257</v>
      </c>
      <c r="M427" s="210">
        <f ca="1">IF($D427&lt;&gt;"Serviço","",IF(AUTOEVENTO="manual",$A427,IF(ISERROR(MATCH($A427,$A$15:OFFSET($A427,-1,0),0)),MAX($M$15:OFFSET(M427,-1,0))+1,INDEX($M$15:OFFSET(M427,-1,0),MATCH($A427,$A$15:OFFSET($A427,-1,0),0)))))</f>
        <v>0</v>
      </c>
      <c r="N427" s="211" t="str">
        <f ca="1">IF($D427&lt;&gt;"Serviço","",IF(AUTOEVENTO="Manual",IF($A427=0,"&lt;-- defina o número do agrupador",OFFSET(EVENTOS!$D$14,$A427,0)),OFFSET($F$15,$A427,0)))</f>
        <v>&lt;-- defina o número do agrupador</v>
      </c>
      <c r="O427" s="212"/>
      <c r="Q427" s="212"/>
      <c r="R427" s="213"/>
      <c r="S427" s="213"/>
      <c r="T427" s="213"/>
      <c r="U427" s="213"/>
      <c r="V427" s="213"/>
      <c r="W427" s="213"/>
      <c r="X427" s="213"/>
      <c r="Y427" s="213"/>
      <c r="Z427" s="214"/>
      <c r="AA427" s="213"/>
      <c r="AB427" s="213"/>
      <c r="AC427" s="213"/>
      <c r="AD427" s="213"/>
      <c r="AE427" s="213"/>
      <c r="AF427" s="213"/>
      <c r="AG427" s="213"/>
      <c r="AH427" s="214"/>
      <c r="AJ427" s="631">
        <f ca="1">IF(AND($D427="Serviço",AJ$12&lt;&gt;0,$H427&gt;0,OR(AUTOEVENTO&lt;&gt;"manual",$M427&lt;&gt;1)),ROUND(OFFSET($P427,0,AJ$13),15-13*ORÇAMENTO!$AF$7)/$H427*OFFSET(ORÇAMENTO!$X$15,ROW(AJ427)-ROW(AJ$15),0),0)</f>
        <v>0</v>
      </c>
      <c r="AK427" s="632">
        <f ca="1">IF(AND($D427="Serviço",AK$12&lt;&gt;0,$H427&gt;0,OR(AUTOEVENTO&lt;&gt;"manual",$M427&lt;&gt;1)),ROUND(OFFSET($P427,0,AK$13),15-13*ORÇAMENTO!$AF$7)/$H427*OFFSET(ORÇAMENTO!$X$15,ROW(AK427)-ROW(AK$15),0),0)</f>
        <v>0</v>
      </c>
      <c r="AL427" s="632">
        <f ca="1">IF(AND($D427="Serviço",AL$12&lt;&gt;0,$H427&gt;0,OR(AUTOEVENTO&lt;&gt;"manual",$M427&lt;&gt;1)),ROUND(OFFSET($P427,0,AL$13),15-13*ORÇAMENTO!$AF$7)/$H427*OFFSET(ORÇAMENTO!$X$15,ROW(AL427)-ROW(AL$15),0),0)</f>
        <v>0</v>
      </c>
      <c r="AM427" s="632">
        <f ca="1">IF(AND($D427="Serviço",AM$12&lt;&gt;0,$H427&gt;0,OR(AUTOEVENTO&lt;&gt;"manual",$M427&lt;&gt;1)),ROUND(OFFSET($P427,0,AM$13),15-13*ORÇAMENTO!$AF$7)/$H427*OFFSET(ORÇAMENTO!$X$15,ROW(AM427)-ROW(AM$15),0),0)</f>
        <v>0</v>
      </c>
      <c r="AN427" s="632">
        <f ca="1">IF(AND($D427="Serviço",AN$12&lt;&gt;0,$H427&gt;0,OR(AUTOEVENTO&lt;&gt;"manual",$M427&lt;&gt;1)),ROUND(OFFSET($P427,0,AN$13),15-13*ORÇAMENTO!$AF$7)/$H427*OFFSET(ORÇAMENTO!$X$15,ROW(AN427)-ROW(AN$15),0),0)</f>
        <v>0</v>
      </c>
      <c r="AO427" s="632">
        <f ca="1">IF(AND($D427="Serviço",AO$12&lt;&gt;0,$H427&gt;0,OR(AUTOEVENTO&lt;&gt;"manual",$M427&lt;&gt;1)),ROUND(OFFSET($P427,0,AO$13),15-13*ORÇAMENTO!$AF$7)/$H427*OFFSET(ORÇAMENTO!$X$15,ROW(AO427)-ROW(AO$15),0),0)</f>
        <v>0</v>
      </c>
      <c r="AP427" s="632">
        <f ca="1">IF(AND($D427="Serviço",AP$12&lt;&gt;0,$H427&gt;0,OR(AUTOEVENTO&lt;&gt;"manual",$M427&lt;&gt;1)),ROUND(OFFSET($P427,0,AP$13),15-13*ORÇAMENTO!$AF$7)/$H427*OFFSET(ORÇAMENTO!$X$15,ROW(AP427)-ROW(AP$15),0),0)</f>
        <v>0</v>
      </c>
      <c r="AQ427" s="632">
        <f ca="1">IF(AND($D427="Serviço",AQ$12&lt;&gt;0,$H427&gt;0,OR(AUTOEVENTO&lt;&gt;"manual",$M427&lt;&gt;1)),ROUND(OFFSET($P427,0,AQ$13),15-13*ORÇAMENTO!$AF$7)/$H427*OFFSET(ORÇAMENTO!$X$15,ROW(AQ427)-ROW(AQ$15),0),0)</f>
        <v>0</v>
      </c>
      <c r="AR427" s="632">
        <f ca="1">IF(AND($D427="Serviço",AR$12&lt;&gt;0,$H427&gt;0,OR(AUTOEVENTO&lt;&gt;"manual",$M427&lt;&gt;1)),ROUND(OFFSET($P427,0,AR$13),15-13*ORÇAMENTO!$AF$7)/$H427*OFFSET(ORÇAMENTO!$X$15,ROW(AR427)-ROW(AR$15),0),0)</f>
        <v>0</v>
      </c>
      <c r="AS427" s="633">
        <f ca="1">IF(AND($D427="Serviço",AS$12&lt;&gt;0,$H427&gt;0,OR(AUTOEVENTO&lt;&gt;"manual",$M427&lt;&gt;1)),ROUND(OFFSET($P427,0,AS$13),15-13*ORÇAMENTO!$AF$7)/$H427*OFFSET(ORÇAMENTO!$X$15,ROW(AS427)-ROW(AS$15),0),0)</f>
        <v>0</v>
      </c>
      <c r="AT427" s="632">
        <f ca="1">IF(AND($D427="Serviço",AT$12&lt;&gt;0,$H427&gt;0,OR(AUTOEVENTO&lt;&gt;"manual",$M427&lt;&gt;1)),ROUND(OFFSET($P427,0,AT$13),15-13*ORÇAMENTO!$AF$7)/$H427*OFFSET(ORÇAMENTO!$X$15,ROW(AT427)-ROW(AT$15),0),0)</f>
        <v>0</v>
      </c>
      <c r="AU427" s="632">
        <f ca="1">IF(AND($D427="Serviço",AU$12&lt;&gt;0,$H427&gt;0,OR(AUTOEVENTO&lt;&gt;"manual",$M427&lt;&gt;1)),ROUND(OFFSET($P427,0,AU$13),15-13*ORÇAMENTO!$AF$7)/$H427*OFFSET(ORÇAMENTO!$X$15,ROW(AU427)-ROW(AU$15),0),0)</f>
        <v>0</v>
      </c>
      <c r="AV427" s="632">
        <f ca="1">IF(AND($D427="Serviço",AV$12&lt;&gt;0,$H427&gt;0,OR(AUTOEVENTO&lt;&gt;"manual",$M427&lt;&gt;1)),ROUND(OFFSET($P427,0,AV$13),15-13*ORÇAMENTO!$AF$7)/$H427*OFFSET(ORÇAMENTO!$X$15,ROW(AV427)-ROW(AV$15),0),0)</f>
        <v>0</v>
      </c>
      <c r="AW427" s="632">
        <f ca="1">IF(AND($D427="Serviço",AW$12&lt;&gt;0,$H427&gt;0,OR(AUTOEVENTO&lt;&gt;"manual",$M427&lt;&gt;1)),ROUND(OFFSET($P427,0,AW$13),15-13*ORÇAMENTO!$AF$7)/$H427*OFFSET(ORÇAMENTO!$X$15,ROW(AW427)-ROW(AW$15),0),0)</f>
        <v>0</v>
      </c>
      <c r="AX427" s="632">
        <f ca="1">IF(AND($D427="Serviço",AX$12&lt;&gt;0,$H427&gt;0,OR(AUTOEVENTO&lt;&gt;"manual",$M427&lt;&gt;1)),ROUND(OFFSET($P427,0,AX$13),15-13*ORÇAMENTO!$AF$7)/$H427*OFFSET(ORÇAMENTO!$X$15,ROW(AX427)-ROW(AX$15),0),0)</f>
        <v>0</v>
      </c>
      <c r="AY427" s="632">
        <f ca="1">IF(AND($D427="Serviço",AY$12&lt;&gt;0,$H427&gt;0,OR(AUTOEVENTO&lt;&gt;"manual",$M427&lt;&gt;1)),ROUND(OFFSET($P427,0,AY$13),15-13*ORÇAMENTO!$AF$7)/$H427*OFFSET(ORÇAMENTO!$X$15,ROW(AY427)-ROW(AY$15),0),0)</f>
        <v>0</v>
      </c>
      <c r="AZ427" s="632">
        <f ca="1">IF(AND($D427="Serviço",AZ$12&lt;&gt;0,$H427&gt;0,OR(AUTOEVENTO&lt;&gt;"manual",$M427&lt;&gt;1)),ROUND(OFFSET($P427,0,AZ$13),15-13*ORÇAMENTO!$AF$7)/$H427*OFFSET(ORÇAMENTO!$X$15,ROW(AZ427)-ROW(AZ$15),0),0)</f>
        <v>0</v>
      </c>
      <c r="BA427" s="633">
        <f ca="1">IF(AND($D427="Serviço",BA$12&lt;&gt;0,$H427&gt;0,OR(AUTOEVENTO&lt;&gt;"manual",$M427&lt;&gt;1)),ROUND(OFFSET($P427,0,BA$13),15-13*ORÇAMENTO!$AF$7)/$H427*OFFSET(ORÇAMENTO!$X$15,ROW(BA427)-ROW(BA$15),0),0)</f>
        <v>0</v>
      </c>
      <c r="BC427" s="215">
        <f ca="1">IF($D427&lt;&gt;"Serviço",0,IF(AND(AUTOEVENTO="Manual",$M427=1),0,IF(OFFSET(CRONOPLE!$F$14,$M427,BC$13)="",10^12,OFFSET(CRONOPLE!$F$14,$M427,BC$13))))</f>
        <v>1000000000000</v>
      </c>
      <c r="BD427" s="215">
        <f ca="1">IF($D427&lt;&gt;"Serviço",0,IF(AND(AUTOEVENTO="Manual",$M427=1),0,IF(OFFSET(CRONOPLE!$F$14,$M427,BD$13)="",10^12,OFFSET(CRONOPLE!$F$14,$M427,BD$13))))</f>
        <v>1000000000000</v>
      </c>
      <c r="BE427" s="215">
        <f ca="1">IF($D427&lt;&gt;"Serviço",0,IF(AND(AUTOEVENTO="Manual",$M427=1),0,IF(OFFSET(CRONOPLE!$F$14,$M427,BE$13)="",10^12,OFFSET(CRONOPLE!$F$14,$M427,BE$13))))</f>
        <v>1000000000000</v>
      </c>
      <c r="BF427" s="215">
        <f ca="1">IF($D427&lt;&gt;"Serviço",0,IF(AND(AUTOEVENTO="Manual",$M427=1),0,IF(OFFSET(CRONOPLE!$F$14,$M427,BF$13)="",10^12,OFFSET(CRONOPLE!$F$14,$M427,BF$13))))</f>
        <v>1000000000000</v>
      </c>
      <c r="BG427" s="215">
        <f ca="1">IF($D427&lt;&gt;"Serviço",0,IF(AND(AUTOEVENTO="Manual",$M427=1),0,IF(OFFSET(CRONOPLE!$F$14,$M427,BG$13)="",10^12,OFFSET(CRONOPLE!$F$14,$M427,BG$13))))</f>
        <v>1000000000000</v>
      </c>
      <c r="BH427" s="215">
        <f ca="1">IF($D427&lt;&gt;"Serviço",0,IF(AND(AUTOEVENTO="Manual",$M427=1),0,IF(OFFSET(CRONOPLE!$F$14,$M427,BH$13)="",10^12,OFFSET(CRONOPLE!$F$14,$M427,BH$13))))</f>
        <v>1000000000000</v>
      </c>
      <c r="BI427" s="215">
        <f ca="1">IF($D427&lt;&gt;"Serviço",0,IF(AND(AUTOEVENTO="Manual",$M427=1),0,IF(OFFSET(CRONOPLE!$F$14,$M427,BI$13)="",10^12,OFFSET(CRONOPLE!$F$14,$M427,BI$13))))</f>
        <v>1000000000000</v>
      </c>
      <c r="BJ427" s="215">
        <f ca="1">IF($D427&lt;&gt;"Serviço",0,IF(AND(AUTOEVENTO="Manual",$M427=1),0,IF(OFFSET(CRONOPLE!$F$14,$M427,BJ$13)="",10^12,OFFSET(CRONOPLE!$F$14,$M427,BJ$13))))</f>
        <v>1000000000000</v>
      </c>
      <c r="BK427" s="215">
        <f ca="1">IF($D427&lt;&gt;"Serviço",0,IF(AND(AUTOEVENTO="Manual",$M427=1),0,IF(OFFSET(CRONOPLE!$F$14,$M427,BK$13)="",10^12,OFFSET(CRONOPLE!$F$14,$M427,BK$13))))</f>
        <v>1000000000000</v>
      </c>
      <c r="BL427" s="215">
        <f ca="1">IF($D427&lt;&gt;"Serviço",0,IF(AND(AUTOEVENTO="Manual",$M427=1),0,IF(OFFSET(CRONOPLE!$F$14,$M427,BL$13)="",10^12,OFFSET(CRONOPLE!$F$14,$M427,BL$13))))</f>
        <v>1000000000000</v>
      </c>
      <c r="BM427" s="215">
        <f ca="1">IF($D427&lt;&gt;"Serviço",0,IF(AND(AUTOEVENTO="Manual",$M427=1),0,IF(OFFSET(CRONOPLE!$F$14,$M427,BM$13)="",10^12,OFFSET(CRONOPLE!$F$14,$M427,BM$13))))</f>
        <v>1000000000000</v>
      </c>
      <c r="BN427" s="215">
        <f ca="1">IF($D427&lt;&gt;"Serviço",0,IF(AND(AUTOEVENTO="Manual",$M427=1),0,IF(OFFSET(CRONOPLE!$F$14,$M427,BN$13)="",10^12,OFFSET(CRONOPLE!$F$14,$M427,BN$13))))</f>
        <v>1000000000000</v>
      </c>
      <c r="BO427" s="215">
        <f ca="1">IF($D427&lt;&gt;"Serviço",0,IF(AND(AUTOEVENTO="Manual",$M427=1),0,IF(OFFSET(CRONOPLE!$F$14,$M427,BO$13)="",10^12,OFFSET(CRONOPLE!$F$14,$M427,BO$13))))</f>
        <v>1000000000000</v>
      </c>
      <c r="BP427" s="215">
        <f ca="1">IF($D427&lt;&gt;"Serviço",0,IF(AND(AUTOEVENTO="Manual",$M427=1),0,IF(OFFSET(CRONOPLE!$F$14,$M427,BP$13)="",10^12,OFFSET(CRONOPLE!$F$14,$M427,BP$13))))</f>
        <v>1000000000000</v>
      </c>
      <c r="BQ427" s="215">
        <f ca="1">IF($D427&lt;&gt;"Serviço",0,IF(AND(AUTOEVENTO="Manual",$M427=1),0,IF(OFFSET(CRONOPLE!$F$14,$M427,BQ$13)="",10^12,OFFSET(CRONOPLE!$F$14,$M427,BQ$13))))</f>
        <v>1000000000000</v>
      </c>
      <c r="BR427" s="215">
        <f ca="1">IF($D427&lt;&gt;"Serviço",0,IF(AND(AUTOEVENTO="Manual",$M427=1),0,IF(OFFSET(CRONOPLE!$F$14,$M427,BR$13)="",10^12,OFFSET(CRONOPLE!$F$14,$M427,BR$13))))</f>
        <v>1000000000000</v>
      </c>
      <c r="BS427" s="215">
        <f ca="1">IF($D427&lt;&gt;"Serviço",0,IF(AND(AUTOEVENTO="Manual",$M427=1),0,IF(OFFSET(CRONOPLE!$F$14,$M427,BS$13)="",10^12,OFFSET(CRONOPLE!$F$14,$M427,BS$13))))</f>
        <v>1000000000000</v>
      </c>
      <c r="BT427" s="215">
        <f ca="1">IF($D427&lt;&gt;"Serviço",0,IF(AND(AUTOEVENTO="Manual",$M427=1),0,IF(OFFSET(CRONOPLE!$F$14,$M427,BT$13)="",10^12,OFFSET(CRONOPLE!$F$14,$M427,BT$13))))</f>
        <v>1000000000000</v>
      </c>
      <c r="BV427" s="216">
        <f ca="1">IF($D427&lt;&gt;"Serviço",0,IF(OR(AND(AUTOEVENTO="Manual",$M427=1),$M427&gt;(ROW(PLE.lastrow)-ROW(PLE.firstrow))),0,IF(OFFSET(PLE!$G$14,$M427,BV$13)="",10^12,OFFSET(PLE!$G$14,$M427,BV$13))))</f>
        <v>1000000000000</v>
      </c>
      <c r="BW427" s="216">
        <f ca="1">IF($D427&lt;&gt;"Serviço",0,IF(OR(AND(AUTOEVENTO="Manual",$M427=1),$M427&gt;(ROW(PLE.lastrow)-ROW(PLE.firstrow))),0,IF(OFFSET(PLE!$G$14,$M427,BW$13)="",10^12,OFFSET(PLE!$G$14,$M427,BW$13))))</f>
        <v>1000000000000</v>
      </c>
      <c r="BX427" s="216">
        <f ca="1">IF($D427&lt;&gt;"Serviço",0,IF(OR(AND(AUTOEVENTO="Manual",$M427=1),$M427&gt;(ROW(PLE.lastrow)-ROW(PLE.firstrow))),0,IF(OFFSET(PLE!$G$14,$M427,BX$13)="",10^12,OFFSET(PLE!$G$14,$M427,BX$13))))</f>
        <v>1000000000000</v>
      </c>
      <c r="BY427" s="216">
        <f ca="1">IF($D427&lt;&gt;"Serviço",0,IF(OR(AND(AUTOEVENTO="Manual",$M427=1),$M427&gt;(ROW(PLE.lastrow)-ROW(PLE.firstrow))),0,IF(OFFSET(PLE!$G$14,$M427,BY$13)="",10^12,OFFSET(PLE!$G$14,$M427,BY$13))))</f>
        <v>1000000000000</v>
      </c>
      <c r="BZ427" s="216">
        <f ca="1">IF($D427&lt;&gt;"Serviço",0,IF(OR(AND(AUTOEVENTO="Manual",$M427=1),$M427&gt;(ROW(PLE.lastrow)-ROW(PLE.firstrow))),0,IF(OFFSET(PLE!$G$14,$M427,BZ$13)="",10^12,OFFSET(PLE!$G$14,$M427,BZ$13))))</f>
        <v>1000000000000</v>
      </c>
      <c r="CA427" s="216">
        <f ca="1">IF($D427&lt;&gt;"Serviço",0,IF(OR(AND(AUTOEVENTO="Manual",$M427=1),$M427&gt;(ROW(PLE.lastrow)-ROW(PLE.firstrow))),0,IF(OFFSET(PLE!$G$14,$M427,CA$13)="",10^12,OFFSET(PLE!$G$14,$M427,CA$13))))</f>
        <v>1000000000000</v>
      </c>
      <c r="CB427" s="216">
        <f ca="1">IF($D427&lt;&gt;"Serviço",0,IF(OR(AND(AUTOEVENTO="Manual",$M427=1),$M427&gt;(ROW(PLE.lastrow)-ROW(PLE.firstrow))),0,IF(OFFSET(PLE!$G$14,$M427,CB$13)="",10^12,OFFSET(PLE!$G$14,$M427,CB$13))))</f>
        <v>1000000000000</v>
      </c>
      <c r="CC427" s="216">
        <f ca="1">IF($D427&lt;&gt;"Serviço",0,IF(OR(AND(AUTOEVENTO="Manual",$M427=1),$M427&gt;(ROW(PLE.lastrow)-ROW(PLE.firstrow))),0,IF(OFFSET(PLE!$G$14,$M427,CC$13)="",10^12,OFFSET(PLE!$G$14,$M427,CC$13))))</f>
        <v>1000000000000</v>
      </c>
      <c r="CD427" s="216">
        <f ca="1">IF($D427&lt;&gt;"Serviço",0,IF(OR(AND(AUTOEVENTO="Manual",$M427=1),$M427&gt;(ROW(PLE.lastrow)-ROW(PLE.firstrow))),0,IF(OFFSET(PLE!$G$14,$M427,CD$13)="",10^12,OFFSET(PLE!$G$14,$M427,CD$13))))</f>
        <v>1000000000000</v>
      </c>
      <c r="CE427" s="216">
        <f ca="1">IF($D427&lt;&gt;"Serviço",0,IF(OR(AND(AUTOEVENTO="Manual",$M427=1),$M427&gt;(ROW(PLE.lastrow)-ROW(PLE.firstrow))),0,IF(OFFSET(PLE!$G$14,$M427,CE$13)="",10^12,OFFSET(PLE!$G$14,$M427,CE$13))))</f>
        <v>1000000000000</v>
      </c>
      <c r="CF427" s="216">
        <f ca="1">IF($D427&lt;&gt;"Serviço",0,IF(OR(AND(AUTOEVENTO="Manual",$M427=1),$M427&gt;(ROW(PLE.lastrow)-ROW(PLE.firstrow))),0,IF(OFFSET(PLE!$G$14,$M427,CF$13)="",10^12,OFFSET(PLE!$G$14,$M427,CF$13))))</f>
        <v>1000000000000</v>
      </c>
      <c r="CG427" s="216">
        <f ca="1">IF($D427&lt;&gt;"Serviço",0,IF(OR(AND(AUTOEVENTO="Manual",$M427=1),$M427&gt;(ROW(PLE.lastrow)-ROW(PLE.firstrow))),0,IF(OFFSET(PLE!$G$14,$M427,CG$13)="",10^12,OFFSET(PLE!$G$14,$M427,CG$13))))</f>
        <v>1000000000000</v>
      </c>
      <c r="CH427" s="216">
        <f ca="1">IF($D427&lt;&gt;"Serviço",0,IF(OR(AND(AUTOEVENTO="Manual",$M427=1),$M427&gt;(ROW(PLE.lastrow)-ROW(PLE.firstrow))),0,IF(OFFSET(PLE!$G$14,$M427,CH$13)="",10^12,OFFSET(PLE!$G$14,$M427,CH$13))))</f>
        <v>1000000000000</v>
      </c>
      <c r="CI427" s="216">
        <f ca="1">IF($D427&lt;&gt;"Serviço",0,IF(OR(AND(AUTOEVENTO="Manual",$M427=1),$M427&gt;(ROW(PLE.lastrow)-ROW(PLE.firstrow))),0,IF(OFFSET(PLE!$G$14,$M427,CI$13)="",10^12,OFFSET(PLE!$G$14,$M427,CI$13))))</f>
        <v>1000000000000</v>
      </c>
      <c r="CJ427" s="216">
        <f ca="1">IF($D427&lt;&gt;"Serviço",0,IF(OR(AND(AUTOEVENTO="Manual",$M427=1),$M427&gt;(ROW(PLE.lastrow)-ROW(PLE.firstrow))),0,IF(OFFSET(PLE!$G$14,$M427,CJ$13)="",10^12,OFFSET(PLE!$G$14,$M427,CJ$13))))</f>
        <v>1000000000000</v>
      </c>
      <c r="CK427" s="216">
        <f ca="1">IF($D427&lt;&gt;"Serviço",0,IF(OR(AND(AUTOEVENTO="Manual",$M427=1),$M427&gt;(ROW(PLE.lastrow)-ROW(PLE.firstrow))),0,IF(OFFSET(PLE!$G$14,$M427,CK$13)="",10^12,OFFSET(PLE!$G$14,$M427,CK$13))))</f>
        <v>1000000000000</v>
      </c>
      <c r="CL427" s="216">
        <f ca="1">IF($D427&lt;&gt;"Serviço",0,IF(OR(AND(AUTOEVENTO="Manual",$M427=1),$M427&gt;(ROW(PLE.lastrow)-ROW(PLE.firstrow))),0,IF(OFFSET(PLE!$G$14,$M427,CL$13)="",10^12,OFFSET(PLE!$G$14,$M427,CL$13))))</f>
        <v>1000000000000</v>
      </c>
      <c r="CM427" s="216">
        <f ca="1">IF($D427&lt;&gt;"Serviço",0,IF(OR(AND(AUTOEVENTO="Manual",$M427=1),$M427&gt;(ROW(PLE.lastrow)-ROW(PLE.firstrow))),0,IF(OFFSET(PLE!$G$14,$M427,CM$13)="",10^12,OFFSET(PLE!$G$14,$M427,CM$13))))</f>
        <v>1000000000000</v>
      </c>
    </row>
    <row r="428" spans="1:91" ht="13.2" x14ac:dyDescent="0.25">
      <c r="A428" s="9">
        <f t="shared" ca="1" si="15"/>
        <v>0</v>
      </c>
      <c r="B428" s="9" t="str">
        <f ca="1">OFFSET(ORÇAMENTO!C$15,ROW(B428)-ROW(B$15),0)</f>
        <v>S</v>
      </c>
      <c r="C428" s="9" t="str">
        <f ca="1">OFFSET(ORÇAMENTO!L$15,ROW(C428)-ROW(C$15),0)</f>
        <v/>
      </c>
      <c r="D428" s="145" t="str">
        <f ca="1">OFFSET(ORÇAMENTO!N$15,ROW(D428)-ROW(D$15),0)</f>
        <v>Serviço</v>
      </c>
      <c r="E428" s="205" t="str">
        <f ca="1">OFFSET(ORÇAMENTO!O$15,ROW(E428)-ROW(E$15),0)</f>
        <v>-</v>
      </c>
      <c r="F428" s="206" t="str">
        <f ca="1">OFFSET(ORÇAMENTO!R$15,ROW(F428)-ROW(F$15),0)</f>
        <v>(abra o arquivo 'Referência 05-2024.xls)</v>
      </c>
      <c r="G428" s="207" t="str">
        <f ca="1">IF($D428&lt;&gt;"Serviço","",OFFSET(ORÇAMENTO!S$15,ROW(G428)-ROW(G$15),0))</f>
        <v>-</v>
      </c>
      <c r="H428" s="151">
        <f ca="1">IF($D428&lt;&gt;"Serviço",0,IF(ACOMPANHAMENTO="BM",ROUND(OFFSET(ORÇAMENTO!AJ$15,ROW(H428)-ROW(H$15),0),15-13*ORÇAMENTO!$AF$7),SUMPRODUCT(($Q$12:$AI$12&lt;&gt;"")*ROUND($Q428:$AI428,15-13*ORÇAMENTO!$AF$7))))</f>
        <v>1</v>
      </c>
      <c r="I428" s="650"/>
      <c r="K428" s="208"/>
      <c r="L428" s="209" t="s">
        <v>257</v>
      </c>
      <c r="M428" s="210">
        <f ca="1">IF($D428&lt;&gt;"Serviço","",IF(AUTOEVENTO="manual",$A428,IF(ISERROR(MATCH($A428,$A$15:OFFSET($A428,-1,0),0)),MAX($M$15:OFFSET(M428,-1,0))+1,INDEX($M$15:OFFSET(M428,-1,0),MATCH($A428,$A$15:OFFSET($A428,-1,0),0)))))</f>
        <v>0</v>
      </c>
      <c r="N428" s="211" t="str">
        <f ca="1">IF($D428&lt;&gt;"Serviço","",IF(AUTOEVENTO="Manual",IF($A428=0,"&lt;-- defina o número do agrupador",OFFSET(EVENTOS!$D$14,$A428,0)),OFFSET($F$15,$A428,0)))</f>
        <v>&lt;-- defina o número do agrupador</v>
      </c>
      <c r="O428" s="212"/>
      <c r="Q428" s="212"/>
      <c r="R428" s="213"/>
      <c r="S428" s="213"/>
      <c r="T428" s="213"/>
      <c r="U428" s="213"/>
      <c r="V428" s="213"/>
      <c r="W428" s="213"/>
      <c r="X428" s="213"/>
      <c r="Y428" s="213"/>
      <c r="Z428" s="214"/>
      <c r="AA428" s="213"/>
      <c r="AB428" s="213"/>
      <c r="AC428" s="213"/>
      <c r="AD428" s="213"/>
      <c r="AE428" s="213"/>
      <c r="AF428" s="213"/>
      <c r="AG428" s="213"/>
      <c r="AH428" s="214"/>
      <c r="AJ428" s="631">
        <f ca="1">IF(AND($D428="Serviço",AJ$12&lt;&gt;0,$H428&gt;0,OR(AUTOEVENTO&lt;&gt;"manual",$M428&lt;&gt;1)),ROUND(OFFSET($P428,0,AJ$13),15-13*ORÇAMENTO!$AF$7)/$H428*OFFSET(ORÇAMENTO!$X$15,ROW(AJ428)-ROW(AJ$15),0),0)</f>
        <v>0</v>
      </c>
      <c r="AK428" s="632">
        <f ca="1">IF(AND($D428="Serviço",AK$12&lt;&gt;0,$H428&gt;0,OR(AUTOEVENTO&lt;&gt;"manual",$M428&lt;&gt;1)),ROUND(OFFSET($P428,0,AK$13),15-13*ORÇAMENTO!$AF$7)/$H428*OFFSET(ORÇAMENTO!$X$15,ROW(AK428)-ROW(AK$15),0),0)</f>
        <v>0</v>
      </c>
      <c r="AL428" s="632">
        <f ca="1">IF(AND($D428="Serviço",AL$12&lt;&gt;0,$H428&gt;0,OR(AUTOEVENTO&lt;&gt;"manual",$M428&lt;&gt;1)),ROUND(OFFSET($P428,0,AL$13),15-13*ORÇAMENTO!$AF$7)/$H428*OFFSET(ORÇAMENTO!$X$15,ROW(AL428)-ROW(AL$15),0),0)</f>
        <v>0</v>
      </c>
      <c r="AM428" s="632">
        <f ca="1">IF(AND($D428="Serviço",AM$12&lt;&gt;0,$H428&gt;0,OR(AUTOEVENTO&lt;&gt;"manual",$M428&lt;&gt;1)),ROUND(OFFSET($P428,0,AM$13),15-13*ORÇAMENTO!$AF$7)/$H428*OFFSET(ORÇAMENTO!$X$15,ROW(AM428)-ROW(AM$15),0),0)</f>
        <v>0</v>
      </c>
      <c r="AN428" s="632">
        <f ca="1">IF(AND($D428="Serviço",AN$12&lt;&gt;0,$H428&gt;0,OR(AUTOEVENTO&lt;&gt;"manual",$M428&lt;&gt;1)),ROUND(OFFSET($P428,0,AN$13),15-13*ORÇAMENTO!$AF$7)/$H428*OFFSET(ORÇAMENTO!$X$15,ROW(AN428)-ROW(AN$15),0),0)</f>
        <v>0</v>
      </c>
      <c r="AO428" s="632">
        <f ca="1">IF(AND($D428="Serviço",AO$12&lt;&gt;0,$H428&gt;0,OR(AUTOEVENTO&lt;&gt;"manual",$M428&lt;&gt;1)),ROUND(OFFSET($P428,0,AO$13),15-13*ORÇAMENTO!$AF$7)/$H428*OFFSET(ORÇAMENTO!$X$15,ROW(AO428)-ROW(AO$15),0),0)</f>
        <v>0</v>
      </c>
      <c r="AP428" s="632">
        <f ca="1">IF(AND($D428="Serviço",AP$12&lt;&gt;0,$H428&gt;0,OR(AUTOEVENTO&lt;&gt;"manual",$M428&lt;&gt;1)),ROUND(OFFSET($P428,0,AP$13),15-13*ORÇAMENTO!$AF$7)/$H428*OFFSET(ORÇAMENTO!$X$15,ROW(AP428)-ROW(AP$15),0),0)</f>
        <v>0</v>
      </c>
      <c r="AQ428" s="632">
        <f ca="1">IF(AND($D428="Serviço",AQ$12&lt;&gt;0,$H428&gt;0,OR(AUTOEVENTO&lt;&gt;"manual",$M428&lt;&gt;1)),ROUND(OFFSET($P428,0,AQ$13),15-13*ORÇAMENTO!$AF$7)/$H428*OFFSET(ORÇAMENTO!$X$15,ROW(AQ428)-ROW(AQ$15),0),0)</f>
        <v>0</v>
      </c>
      <c r="AR428" s="632">
        <f ca="1">IF(AND($D428="Serviço",AR$12&lt;&gt;0,$H428&gt;0,OR(AUTOEVENTO&lt;&gt;"manual",$M428&lt;&gt;1)),ROUND(OFFSET($P428,0,AR$13),15-13*ORÇAMENTO!$AF$7)/$H428*OFFSET(ORÇAMENTO!$X$15,ROW(AR428)-ROW(AR$15),0),0)</f>
        <v>0</v>
      </c>
      <c r="AS428" s="633">
        <f ca="1">IF(AND($D428="Serviço",AS$12&lt;&gt;0,$H428&gt;0,OR(AUTOEVENTO&lt;&gt;"manual",$M428&lt;&gt;1)),ROUND(OFFSET($P428,0,AS$13),15-13*ORÇAMENTO!$AF$7)/$H428*OFFSET(ORÇAMENTO!$X$15,ROW(AS428)-ROW(AS$15),0),0)</f>
        <v>0</v>
      </c>
      <c r="AT428" s="632">
        <f ca="1">IF(AND($D428="Serviço",AT$12&lt;&gt;0,$H428&gt;0,OR(AUTOEVENTO&lt;&gt;"manual",$M428&lt;&gt;1)),ROUND(OFFSET($P428,0,AT$13),15-13*ORÇAMENTO!$AF$7)/$H428*OFFSET(ORÇAMENTO!$X$15,ROW(AT428)-ROW(AT$15),0),0)</f>
        <v>0</v>
      </c>
      <c r="AU428" s="632">
        <f ca="1">IF(AND($D428="Serviço",AU$12&lt;&gt;0,$H428&gt;0,OR(AUTOEVENTO&lt;&gt;"manual",$M428&lt;&gt;1)),ROUND(OFFSET($P428,0,AU$13),15-13*ORÇAMENTO!$AF$7)/$H428*OFFSET(ORÇAMENTO!$X$15,ROW(AU428)-ROW(AU$15),0),0)</f>
        <v>0</v>
      </c>
      <c r="AV428" s="632">
        <f ca="1">IF(AND($D428="Serviço",AV$12&lt;&gt;0,$H428&gt;0,OR(AUTOEVENTO&lt;&gt;"manual",$M428&lt;&gt;1)),ROUND(OFFSET($P428,0,AV$13),15-13*ORÇAMENTO!$AF$7)/$H428*OFFSET(ORÇAMENTO!$X$15,ROW(AV428)-ROW(AV$15),0),0)</f>
        <v>0</v>
      </c>
      <c r="AW428" s="632">
        <f ca="1">IF(AND($D428="Serviço",AW$12&lt;&gt;0,$H428&gt;0,OR(AUTOEVENTO&lt;&gt;"manual",$M428&lt;&gt;1)),ROUND(OFFSET($P428,0,AW$13),15-13*ORÇAMENTO!$AF$7)/$H428*OFFSET(ORÇAMENTO!$X$15,ROW(AW428)-ROW(AW$15),0),0)</f>
        <v>0</v>
      </c>
      <c r="AX428" s="632">
        <f ca="1">IF(AND($D428="Serviço",AX$12&lt;&gt;0,$H428&gt;0,OR(AUTOEVENTO&lt;&gt;"manual",$M428&lt;&gt;1)),ROUND(OFFSET($P428,0,AX$13),15-13*ORÇAMENTO!$AF$7)/$H428*OFFSET(ORÇAMENTO!$X$15,ROW(AX428)-ROW(AX$15),0),0)</f>
        <v>0</v>
      </c>
      <c r="AY428" s="632">
        <f ca="1">IF(AND($D428="Serviço",AY$12&lt;&gt;0,$H428&gt;0,OR(AUTOEVENTO&lt;&gt;"manual",$M428&lt;&gt;1)),ROUND(OFFSET($P428,0,AY$13),15-13*ORÇAMENTO!$AF$7)/$H428*OFFSET(ORÇAMENTO!$X$15,ROW(AY428)-ROW(AY$15),0),0)</f>
        <v>0</v>
      </c>
      <c r="AZ428" s="632">
        <f ca="1">IF(AND($D428="Serviço",AZ$12&lt;&gt;0,$H428&gt;0,OR(AUTOEVENTO&lt;&gt;"manual",$M428&lt;&gt;1)),ROUND(OFFSET($P428,0,AZ$13),15-13*ORÇAMENTO!$AF$7)/$H428*OFFSET(ORÇAMENTO!$X$15,ROW(AZ428)-ROW(AZ$15),0),0)</f>
        <v>0</v>
      </c>
      <c r="BA428" s="633">
        <f ca="1">IF(AND($D428="Serviço",BA$12&lt;&gt;0,$H428&gt;0,OR(AUTOEVENTO&lt;&gt;"manual",$M428&lt;&gt;1)),ROUND(OFFSET($P428,0,BA$13),15-13*ORÇAMENTO!$AF$7)/$H428*OFFSET(ORÇAMENTO!$X$15,ROW(BA428)-ROW(BA$15),0),0)</f>
        <v>0</v>
      </c>
      <c r="BC428" s="215">
        <f ca="1">IF($D428&lt;&gt;"Serviço",0,IF(AND(AUTOEVENTO="Manual",$M428=1),0,IF(OFFSET(CRONOPLE!$F$14,$M428,BC$13)="",10^12,OFFSET(CRONOPLE!$F$14,$M428,BC$13))))</f>
        <v>1000000000000</v>
      </c>
      <c r="BD428" s="215">
        <f ca="1">IF($D428&lt;&gt;"Serviço",0,IF(AND(AUTOEVENTO="Manual",$M428=1),0,IF(OFFSET(CRONOPLE!$F$14,$M428,BD$13)="",10^12,OFFSET(CRONOPLE!$F$14,$M428,BD$13))))</f>
        <v>1000000000000</v>
      </c>
      <c r="BE428" s="215">
        <f ca="1">IF($D428&lt;&gt;"Serviço",0,IF(AND(AUTOEVENTO="Manual",$M428=1),0,IF(OFFSET(CRONOPLE!$F$14,$M428,BE$13)="",10^12,OFFSET(CRONOPLE!$F$14,$M428,BE$13))))</f>
        <v>1000000000000</v>
      </c>
      <c r="BF428" s="215">
        <f ca="1">IF($D428&lt;&gt;"Serviço",0,IF(AND(AUTOEVENTO="Manual",$M428=1),0,IF(OFFSET(CRONOPLE!$F$14,$M428,BF$13)="",10^12,OFFSET(CRONOPLE!$F$14,$M428,BF$13))))</f>
        <v>1000000000000</v>
      </c>
      <c r="BG428" s="215">
        <f ca="1">IF($D428&lt;&gt;"Serviço",0,IF(AND(AUTOEVENTO="Manual",$M428=1),0,IF(OFFSET(CRONOPLE!$F$14,$M428,BG$13)="",10^12,OFFSET(CRONOPLE!$F$14,$M428,BG$13))))</f>
        <v>1000000000000</v>
      </c>
      <c r="BH428" s="215">
        <f ca="1">IF($D428&lt;&gt;"Serviço",0,IF(AND(AUTOEVENTO="Manual",$M428=1),0,IF(OFFSET(CRONOPLE!$F$14,$M428,BH$13)="",10^12,OFFSET(CRONOPLE!$F$14,$M428,BH$13))))</f>
        <v>1000000000000</v>
      </c>
      <c r="BI428" s="215">
        <f ca="1">IF($D428&lt;&gt;"Serviço",0,IF(AND(AUTOEVENTO="Manual",$M428=1),0,IF(OFFSET(CRONOPLE!$F$14,$M428,BI$13)="",10^12,OFFSET(CRONOPLE!$F$14,$M428,BI$13))))</f>
        <v>1000000000000</v>
      </c>
      <c r="BJ428" s="215">
        <f ca="1">IF($D428&lt;&gt;"Serviço",0,IF(AND(AUTOEVENTO="Manual",$M428=1),0,IF(OFFSET(CRONOPLE!$F$14,$M428,BJ$13)="",10^12,OFFSET(CRONOPLE!$F$14,$M428,BJ$13))))</f>
        <v>1000000000000</v>
      </c>
      <c r="BK428" s="215">
        <f ca="1">IF($D428&lt;&gt;"Serviço",0,IF(AND(AUTOEVENTO="Manual",$M428=1),0,IF(OFFSET(CRONOPLE!$F$14,$M428,BK$13)="",10^12,OFFSET(CRONOPLE!$F$14,$M428,BK$13))))</f>
        <v>1000000000000</v>
      </c>
      <c r="BL428" s="215">
        <f ca="1">IF($D428&lt;&gt;"Serviço",0,IF(AND(AUTOEVENTO="Manual",$M428=1),0,IF(OFFSET(CRONOPLE!$F$14,$M428,BL$13)="",10^12,OFFSET(CRONOPLE!$F$14,$M428,BL$13))))</f>
        <v>1000000000000</v>
      </c>
      <c r="BM428" s="215">
        <f ca="1">IF($D428&lt;&gt;"Serviço",0,IF(AND(AUTOEVENTO="Manual",$M428=1),0,IF(OFFSET(CRONOPLE!$F$14,$M428,BM$13)="",10^12,OFFSET(CRONOPLE!$F$14,$M428,BM$13))))</f>
        <v>1000000000000</v>
      </c>
      <c r="BN428" s="215">
        <f ca="1">IF($D428&lt;&gt;"Serviço",0,IF(AND(AUTOEVENTO="Manual",$M428=1),0,IF(OFFSET(CRONOPLE!$F$14,$M428,BN$13)="",10^12,OFFSET(CRONOPLE!$F$14,$M428,BN$13))))</f>
        <v>1000000000000</v>
      </c>
      <c r="BO428" s="215">
        <f ca="1">IF($D428&lt;&gt;"Serviço",0,IF(AND(AUTOEVENTO="Manual",$M428=1),0,IF(OFFSET(CRONOPLE!$F$14,$M428,BO$13)="",10^12,OFFSET(CRONOPLE!$F$14,$M428,BO$13))))</f>
        <v>1000000000000</v>
      </c>
      <c r="BP428" s="215">
        <f ca="1">IF($D428&lt;&gt;"Serviço",0,IF(AND(AUTOEVENTO="Manual",$M428=1),0,IF(OFFSET(CRONOPLE!$F$14,$M428,BP$13)="",10^12,OFFSET(CRONOPLE!$F$14,$M428,BP$13))))</f>
        <v>1000000000000</v>
      </c>
      <c r="BQ428" s="215">
        <f ca="1">IF($D428&lt;&gt;"Serviço",0,IF(AND(AUTOEVENTO="Manual",$M428=1),0,IF(OFFSET(CRONOPLE!$F$14,$M428,BQ$13)="",10^12,OFFSET(CRONOPLE!$F$14,$M428,BQ$13))))</f>
        <v>1000000000000</v>
      </c>
      <c r="BR428" s="215">
        <f ca="1">IF($D428&lt;&gt;"Serviço",0,IF(AND(AUTOEVENTO="Manual",$M428=1),0,IF(OFFSET(CRONOPLE!$F$14,$M428,BR$13)="",10^12,OFFSET(CRONOPLE!$F$14,$M428,BR$13))))</f>
        <v>1000000000000</v>
      </c>
      <c r="BS428" s="215">
        <f ca="1">IF($D428&lt;&gt;"Serviço",0,IF(AND(AUTOEVENTO="Manual",$M428=1),0,IF(OFFSET(CRONOPLE!$F$14,$M428,BS$13)="",10^12,OFFSET(CRONOPLE!$F$14,$M428,BS$13))))</f>
        <v>1000000000000</v>
      </c>
      <c r="BT428" s="215">
        <f ca="1">IF($D428&lt;&gt;"Serviço",0,IF(AND(AUTOEVENTO="Manual",$M428=1),0,IF(OFFSET(CRONOPLE!$F$14,$M428,BT$13)="",10^12,OFFSET(CRONOPLE!$F$14,$M428,BT$13))))</f>
        <v>1000000000000</v>
      </c>
      <c r="BV428" s="216">
        <f ca="1">IF($D428&lt;&gt;"Serviço",0,IF(OR(AND(AUTOEVENTO="Manual",$M428=1),$M428&gt;(ROW(PLE.lastrow)-ROW(PLE.firstrow))),0,IF(OFFSET(PLE!$G$14,$M428,BV$13)="",10^12,OFFSET(PLE!$G$14,$M428,BV$13))))</f>
        <v>1000000000000</v>
      </c>
      <c r="BW428" s="216">
        <f ca="1">IF($D428&lt;&gt;"Serviço",0,IF(OR(AND(AUTOEVENTO="Manual",$M428=1),$M428&gt;(ROW(PLE.lastrow)-ROW(PLE.firstrow))),0,IF(OFFSET(PLE!$G$14,$M428,BW$13)="",10^12,OFFSET(PLE!$G$14,$M428,BW$13))))</f>
        <v>1000000000000</v>
      </c>
      <c r="BX428" s="216">
        <f ca="1">IF($D428&lt;&gt;"Serviço",0,IF(OR(AND(AUTOEVENTO="Manual",$M428=1),$M428&gt;(ROW(PLE.lastrow)-ROW(PLE.firstrow))),0,IF(OFFSET(PLE!$G$14,$M428,BX$13)="",10^12,OFFSET(PLE!$G$14,$M428,BX$13))))</f>
        <v>1000000000000</v>
      </c>
      <c r="BY428" s="216">
        <f ca="1">IF($D428&lt;&gt;"Serviço",0,IF(OR(AND(AUTOEVENTO="Manual",$M428=1),$M428&gt;(ROW(PLE.lastrow)-ROW(PLE.firstrow))),0,IF(OFFSET(PLE!$G$14,$M428,BY$13)="",10^12,OFFSET(PLE!$G$14,$M428,BY$13))))</f>
        <v>1000000000000</v>
      </c>
      <c r="BZ428" s="216">
        <f ca="1">IF($D428&lt;&gt;"Serviço",0,IF(OR(AND(AUTOEVENTO="Manual",$M428=1),$M428&gt;(ROW(PLE.lastrow)-ROW(PLE.firstrow))),0,IF(OFFSET(PLE!$G$14,$M428,BZ$13)="",10^12,OFFSET(PLE!$G$14,$M428,BZ$13))))</f>
        <v>1000000000000</v>
      </c>
      <c r="CA428" s="216">
        <f ca="1">IF($D428&lt;&gt;"Serviço",0,IF(OR(AND(AUTOEVENTO="Manual",$M428=1),$M428&gt;(ROW(PLE.lastrow)-ROW(PLE.firstrow))),0,IF(OFFSET(PLE!$G$14,$M428,CA$13)="",10^12,OFFSET(PLE!$G$14,$M428,CA$13))))</f>
        <v>1000000000000</v>
      </c>
      <c r="CB428" s="216">
        <f ca="1">IF($D428&lt;&gt;"Serviço",0,IF(OR(AND(AUTOEVENTO="Manual",$M428=1),$M428&gt;(ROW(PLE.lastrow)-ROW(PLE.firstrow))),0,IF(OFFSET(PLE!$G$14,$M428,CB$13)="",10^12,OFFSET(PLE!$G$14,$M428,CB$13))))</f>
        <v>1000000000000</v>
      </c>
      <c r="CC428" s="216">
        <f ca="1">IF($D428&lt;&gt;"Serviço",0,IF(OR(AND(AUTOEVENTO="Manual",$M428=1),$M428&gt;(ROW(PLE.lastrow)-ROW(PLE.firstrow))),0,IF(OFFSET(PLE!$G$14,$M428,CC$13)="",10^12,OFFSET(PLE!$G$14,$M428,CC$13))))</f>
        <v>1000000000000</v>
      </c>
      <c r="CD428" s="216">
        <f ca="1">IF($D428&lt;&gt;"Serviço",0,IF(OR(AND(AUTOEVENTO="Manual",$M428=1),$M428&gt;(ROW(PLE.lastrow)-ROW(PLE.firstrow))),0,IF(OFFSET(PLE!$G$14,$M428,CD$13)="",10^12,OFFSET(PLE!$G$14,$M428,CD$13))))</f>
        <v>1000000000000</v>
      </c>
      <c r="CE428" s="216">
        <f ca="1">IF($D428&lt;&gt;"Serviço",0,IF(OR(AND(AUTOEVENTO="Manual",$M428=1),$M428&gt;(ROW(PLE.lastrow)-ROW(PLE.firstrow))),0,IF(OFFSET(PLE!$G$14,$M428,CE$13)="",10^12,OFFSET(PLE!$G$14,$M428,CE$13))))</f>
        <v>1000000000000</v>
      </c>
      <c r="CF428" s="216">
        <f ca="1">IF($D428&lt;&gt;"Serviço",0,IF(OR(AND(AUTOEVENTO="Manual",$M428=1),$M428&gt;(ROW(PLE.lastrow)-ROW(PLE.firstrow))),0,IF(OFFSET(PLE!$G$14,$M428,CF$13)="",10^12,OFFSET(PLE!$G$14,$M428,CF$13))))</f>
        <v>1000000000000</v>
      </c>
      <c r="CG428" s="216">
        <f ca="1">IF($D428&lt;&gt;"Serviço",0,IF(OR(AND(AUTOEVENTO="Manual",$M428=1),$M428&gt;(ROW(PLE.lastrow)-ROW(PLE.firstrow))),0,IF(OFFSET(PLE!$G$14,$M428,CG$13)="",10^12,OFFSET(PLE!$G$14,$M428,CG$13))))</f>
        <v>1000000000000</v>
      </c>
      <c r="CH428" s="216">
        <f ca="1">IF($D428&lt;&gt;"Serviço",0,IF(OR(AND(AUTOEVENTO="Manual",$M428=1),$M428&gt;(ROW(PLE.lastrow)-ROW(PLE.firstrow))),0,IF(OFFSET(PLE!$G$14,$M428,CH$13)="",10^12,OFFSET(PLE!$G$14,$M428,CH$13))))</f>
        <v>1000000000000</v>
      </c>
      <c r="CI428" s="216">
        <f ca="1">IF($D428&lt;&gt;"Serviço",0,IF(OR(AND(AUTOEVENTO="Manual",$M428=1),$M428&gt;(ROW(PLE.lastrow)-ROW(PLE.firstrow))),0,IF(OFFSET(PLE!$G$14,$M428,CI$13)="",10^12,OFFSET(PLE!$G$14,$M428,CI$13))))</f>
        <v>1000000000000</v>
      </c>
      <c r="CJ428" s="216">
        <f ca="1">IF($D428&lt;&gt;"Serviço",0,IF(OR(AND(AUTOEVENTO="Manual",$M428=1),$M428&gt;(ROW(PLE.lastrow)-ROW(PLE.firstrow))),0,IF(OFFSET(PLE!$G$14,$M428,CJ$13)="",10^12,OFFSET(PLE!$G$14,$M428,CJ$13))))</f>
        <v>1000000000000</v>
      </c>
      <c r="CK428" s="216">
        <f ca="1">IF($D428&lt;&gt;"Serviço",0,IF(OR(AND(AUTOEVENTO="Manual",$M428=1),$M428&gt;(ROW(PLE.lastrow)-ROW(PLE.firstrow))),0,IF(OFFSET(PLE!$G$14,$M428,CK$13)="",10^12,OFFSET(PLE!$G$14,$M428,CK$13))))</f>
        <v>1000000000000</v>
      </c>
      <c r="CL428" s="216">
        <f ca="1">IF($D428&lt;&gt;"Serviço",0,IF(OR(AND(AUTOEVENTO="Manual",$M428=1),$M428&gt;(ROW(PLE.lastrow)-ROW(PLE.firstrow))),0,IF(OFFSET(PLE!$G$14,$M428,CL$13)="",10^12,OFFSET(PLE!$G$14,$M428,CL$13))))</f>
        <v>1000000000000</v>
      </c>
      <c r="CM428" s="216">
        <f ca="1">IF($D428&lt;&gt;"Serviço",0,IF(OR(AND(AUTOEVENTO="Manual",$M428=1),$M428&gt;(ROW(PLE.lastrow)-ROW(PLE.firstrow))),0,IF(OFFSET(PLE!$G$14,$M428,CM$13)="",10^12,OFFSET(PLE!$G$14,$M428,CM$13))))</f>
        <v>1000000000000</v>
      </c>
    </row>
    <row r="429" spans="1:91" ht="13.2" x14ac:dyDescent="0.25">
      <c r="A429" s="9">
        <f t="shared" ca="1" si="15"/>
        <v>0</v>
      </c>
      <c r="B429" s="9">
        <f ca="1">OFFSET(ORÇAMENTO!C$15,ROW(B429)-ROW(B$15),0)</f>
        <v>3</v>
      </c>
      <c r="C429" s="9" t="str">
        <f ca="1">OFFSET(ORÇAMENTO!L$15,ROW(C429)-ROW(C$15),0)</f>
        <v>F</v>
      </c>
      <c r="D429" s="145" t="str">
        <f ca="1">OFFSET(ORÇAMENTO!N$15,ROW(D429)-ROW(D$15),0)</f>
        <v>Nível 3</v>
      </c>
      <c r="E429" s="205" t="str">
        <f ca="1">OFFSET(ORÇAMENTO!O$15,ROW(E429)-ROW(E$15),0)</f>
        <v>1.14.3.</v>
      </c>
      <c r="F429" s="206" t="str">
        <f ca="1">OFFSET(ORÇAMENTO!R$15,ROW(F429)-ROW(F$15),0)</f>
        <v>VENTILAÇÃO</v>
      </c>
      <c r="G429" s="207" t="str">
        <f ca="1">IF($D429&lt;&gt;"Serviço","",OFFSET(ORÇAMENTO!S$15,ROW(G429)-ROW(G$15),0))</f>
        <v/>
      </c>
      <c r="H429" s="151">
        <f ca="1">IF($D429&lt;&gt;"Serviço",0,IF(ACOMPANHAMENTO="BM",ROUND(OFFSET(ORÇAMENTO!AJ$15,ROW(H429)-ROW(H$15),0),15-13*ORÇAMENTO!$AF$7),SUMPRODUCT(($Q$12:$AI$12&lt;&gt;"")*ROUND($Q429:$AI429,15-13*ORÇAMENTO!$AF$7))))</f>
        <v>0</v>
      </c>
      <c r="I429" s="650"/>
      <c r="K429" s="208"/>
      <c r="L429" s="209" t="s">
        <v>257</v>
      </c>
      <c r="M429" s="210" t="str">
        <f ca="1">IF($D429&lt;&gt;"Serviço","",IF(AUTOEVENTO="manual",$A429,IF(ISERROR(MATCH($A429,$A$15:OFFSET($A429,-1,0),0)),MAX($M$15:OFFSET(M429,-1,0))+1,INDEX($M$15:OFFSET(M429,-1,0),MATCH($A429,$A$15:OFFSET($A429,-1,0),0)))))</f>
        <v/>
      </c>
      <c r="N429" s="211" t="str">
        <f ca="1">IF($D429&lt;&gt;"Serviço","",IF(AUTOEVENTO="Manual",IF($A429=0,"&lt;-- defina o número do agrupador",OFFSET(EVENTOS!$D$14,$A429,0)),OFFSET($F$15,$A429,0)))</f>
        <v/>
      </c>
      <c r="O429" s="212"/>
      <c r="Q429" s="212"/>
      <c r="R429" s="213"/>
      <c r="S429" s="213"/>
      <c r="T429" s="213"/>
      <c r="U429" s="213"/>
      <c r="V429" s="213"/>
      <c r="W429" s="213"/>
      <c r="X429" s="213"/>
      <c r="Y429" s="213"/>
      <c r="Z429" s="214"/>
      <c r="AA429" s="213"/>
      <c r="AB429" s="213"/>
      <c r="AC429" s="213"/>
      <c r="AD429" s="213"/>
      <c r="AE429" s="213"/>
      <c r="AF429" s="213"/>
      <c r="AG429" s="213"/>
      <c r="AH429" s="214"/>
      <c r="AJ429" s="631">
        <f ca="1">IF(AND($D429="Serviço",AJ$12&lt;&gt;0,$H429&gt;0,OR(AUTOEVENTO&lt;&gt;"manual",$M429&lt;&gt;1)),ROUND(OFFSET($P429,0,AJ$13),15-13*ORÇAMENTO!$AF$7)/$H429*OFFSET(ORÇAMENTO!$X$15,ROW(AJ429)-ROW(AJ$15),0),0)</f>
        <v>0</v>
      </c>
      <c r="AK429" s="632">
        <f ca="1">IF(AND($D429="Serviço",AK$12&lt;&gt;0,$H429&gt;0,OR(AUTOEVENTO&lt;&gt;"manual",$M429&lt;&gt;1)),ROUND(OFFSET($P429,0,AK$13),15-13*ORÇAMENTO!$AF$7)/$H429*OFFSET(ORÇAMENTO!$X$15,ROW(AK429)-ROW(AK$15),0),0)</f>
        <v>0</v>
      </c>
      <c r="AL429" s="632">
        <f ca="1">IF(AND($D429="Serviço",AL$12&lt;&gt;0,$H429&gt;0,OR(AUTOEVENTO&lt;&gt;"manual",$M429&lt;&gt;1)),ROUND(OFFSET($P429,0,AL$13),15-13*ORÇAMENTO!$AF$7)/$H429*OFFSET(ORÇAMENTO!$X$15,ROW(AL429)-ROW(AL$15),0),0)</f>
        <v>0</v>
      </c>
      <c r="AM429" s="632">
        <f ca="1">IF(AND($D429="Serviço",AM$12&lt;&gt;0,$H429&gt;0,OR(AUTOEVENTO&lt;&gt;"manual",$M429&lt;&gt;1)),ROUND(OFFSET($P429,0,AM$13),15-13*ORÇAMENTO!$AF$7)/$H429*OFFSET(ORÇAMENTO!$X$15,ROW(AM429)-ROW(AM$15),0),0)</f>
        <v>0</v>
      </c>
      <c r="AN429" s="632">
        <f ca="1">IF(AND($D429="Serviço",AN$12&lt;&gt;0,$H429&gt;0,OR(AUTOEVENTO&lt;&gt;"manual",$M429&lt;&gt;1)),ROUND(OFFSET($P429,0,AN$13),15-13*ORÇAMENTO!$AF$7)/$H429*OFFSET(ORÇAMENTO!$X$15,ROW(AN429)-ROW(AN$15),0),0)</f>
        <v>0</v>
      </c>
      <c r="AO429" s="632">
        <f ca="1">IF(AND($D429="Serviço",AO$12&lt;&gt;0,$H429&gt;0,OR(AUTOEVENTO&lt;&gt;"manual",$M429&lt;&gt;1)),ROUND(OFFSET($P429,0,AO$13),15-13*ORÇAMENTO!$AF$7)/$H429*OFFSET(ORÇAMENTO!$X$15,ROW(AO429)-ROW(AO$15),0),0)</f>
        <v>0</v>
      </c>
      <c r="AP429" s="632">
        <f ca="1">IF(AND($D429="Serviço",AP$12&lt;&gt;0,$H429&gt;0,OR(AUTOEVENTO&lt;&gt;"manual",$M429&lt;&gt;1)),ROUND(OFFSET($P429,0,AP$13),15-13*ORÇAMENTO!$AF$7)/$H429*OFFSET(ORÇAMENTO!$X$15,ROW(AP429)-ROW(AP$15),0),0)</f>
        <v>0</v>
      </c>
      <c r="AQ429" s="632">
        <f ca="1">IF(AND($D429="Serviço",AQ$12&lt;&gt;0,$H429&gt;0,OR(AUTOEVENTO&lt;&gt;"manual",$M429&lt;&gt;1)),ROUND(OFFSET($P429,0,AQ$13),15-13*ORÇAMENTO!$AF$7)/$H429*OFFSET(ORÇAMENTO!$X$15,ROW(AQ429)-ROW(AQ$15),0),0)</f>
        <v>0</v>
      </c>
      <c r="AR429" s="632">
        <f ca="1">IF(AND($D429="Serviço",AR$12&lt;&gt;0,$H429&gt;0,OR(AUTOEVENTO&lt;&gt;"manual",$M429&lt;&gt;1)),ROUND(OFFSET($P429,0,AR$13),15-13*ORÇAMENTO!$AF$7)/$H429*OFFSET(ORÇAMENTO!$X$15,ROW(AR429)-ROW(AR$15),0),0)</f>
        <v>0</v>
      </c>
      <c r="AS429" s="633">
        <f ca="1">IF(AND($D429="Serviço",AS$12&lt;&gt;0,$H429&gt;0,OR(AUTOEVENTO&lt;&gt;"manual",$M429&lt;&gt;1)),ROUND(OFFSET($P429,0,AS$13),15-13*ORÇAMENTO!$AF$7)/$H429*OFFSET(ORÇAMENTO!$X$15,ROW(AS429)-ROW(AS$15),0),0)</f>
        <v>0</v>
      </c>
      <c r="AT429" s="632">
        <f ca="1">IF(AND($D429="Serviço",AT$12&lt;&gt;0,$H429&gt;0,OR(AUTOEVENTO&lt;&gt;"manual",$M429&lt;&gt;1)),ROUND(OFFSET($P429,0,AT$13),15-13*ORÇAMENTO!$AF$7)/$H429*OFFSET(ORÇAMENTO!$X$15,ROW(AT429)-ROW(AT$15),0),0)</f>
        <v>0</v>
      </c>
      <c r="AU429" s="632">
        <f ca="1">IF(AND($D429="Serviço",AU$12&lt;&gt;0,$H429&gt;0,OR(AUTOEVENTO&lt;&gt;"manual",$M429&lt;&gt;1)),ROUND(OFFSET($P429,0,AU$13),15-13*ORÇAMENTO!$AF$7)/$H429*OFFSET(ORÇAMENTO!$X$15,ROW(AU429)-ROW(AU$15),0),0)</f>
        <v>0</v>
      </c>
      <c r="AV429" s="632">
        <f ca="1">IF(AND($D429="Serviço",AV$12&lt;&gt;0,$H429&gt;0,OR(AUTOEVENTO&lt;&gt;"manual",$M429&lt;&gt;1)),ROUND(OFFSET($P429,0,AV$13),15-13*ORÇAMENTO!$AF$7)/$H429*OFFSET(ORÇAMENTO!$X$15,ROW(AV429)-ROW(AV$15),0),0)</f>
        <v>0</v>
      </c>
      <c r="AW429" s="632">
        <f ca="1">IF(AND($D429="Serviço",AW$12&lt;&gt;0,$H429&gt;0,OR(AUTOEVENTO&lt;&gt;"manual",$M429&lt;&gt;1)),ROUND(OFFSET($P429,0,AW$13),15-13*ORÇAMENTO!$AF$7)/$H429*OFFSET(ORÇAMENTO!$X$15,ROW(AW429)-ROW(AW$15),0),0)</f>
        <v>0</v>
      </c>
      <c r="AX429" s="632">
        <f ca="1">IF(AND($D429="Serviço",AX$12&lt;&gt;0,$H429&gt;0,OR(AUTOEVENTO&lt;&gt;"manual",$M429&lt;&gt;1)),ROUND(OFFSET($P429,0,AX$13),15-13*ORÇAMENTO!$AF$7)/$H429*OFFSET(ORÇAMENTO!$X$15,ROW(AX429)-ROW(AX$15),0),0)</f>
        <v>0</v>
      </c>
      <c r="AY429" s="632">
        <f ca="1">IF(AND($D429="Serviço",AY$12&lt;&gt;0,$H429&gt;0,OR(AUTOEVENTO&lt;&gt;"manual",$M429&lt;&gt;1)),ROUND(OFFSET($P429,0,AY$13),15-13*ORÇAMENTO!$AF$7)/$H429*OFFSET(ORÇAMENTO!$X$15,ROW(AY429)-ROW(AY$15),0),0)</f>
        <v>0</v>
      </c>
      <c r="AZ429" s="632">
        <f ca="1">IF(AND($D429="Serviço",AZ$12&lt;&gt;0,$H429&gt;0,OR(AUTOEVENTO&lt;&gt;"manual",$M429&lt;&gt;1)),ROUND(OFFSET($P429,0,AZ$13),15-13*ORÇAMENTO!$AF$7)/$H429*OFFSET(ORÇAMENTO!$X$15,ROW(AZ429)-ROW(AZ$15),0),0)</f>
        <v>0</v>
      </c>
      <c r="BA429" s="633">
        <f ca="1">IF(AND($D429="Serviço",BA$12&lt;&gt;0,$H429&gt;0,OR(AUTOEVENTO&lt;&gt;"manual",$M429&lt;&gt;1)),ROUND(OFFSET($P429,0,BA$13),15-13*ORÇAMENTO!$AF$7)/$H429*OFFSET(ORÇAMENTO!$X$15,ROW(BA429)-ROW(BA$15),0),0)</f>
        <v>0</v>
      </c>
      <c r="BC429" s="215">
        <f ca="1">IF($D429&lt;&gt;"Serviço",0,IF(AND(AUTOEVENTO="Manual",$M429=1),0,IF(OFFSET(CRONOPLE!$F$14,$M429,BC$13)="",10^12,OFFSET(CRONOPLE!$F$14,$M429,BC$13))))</f>
        <v>0</v>
      </c>
      <c r="BD429" s="215">
        <f ca="1">IF($D429&lt;&gt;"Serviço",0,IF(AND(AUTOEVENTO="Manual",$M429=1),0,IF(OFFSET(CRONOPLE!$F$14,$M429,BD$13)="",10^12,OFFSET(CRONOPLE!$F$14,$M429,BD$13))))</f>
        <v>0</v>
      </c>
      <c r="BE429" s="215">
        <f ca="1">IF($D429&lt;&gt;"Serviço",0,IF(AND(AUTOEVENTO="Manual",$M429=1),0,IF(OFFSET(CRONOPLE!$F$14,$M429,BE$13)="",10^12,OFFSET(CRONOPLE!$F$14,$M429,BE$13))))</f>
        <v>0</v>
      </c>
      <c r="BF429" s="215">
        <f ca="1">IF($D429&lt;&gt;"Serviço",0,IF(AND(AUTOEVENTO="Manual",$M429=1),0,IF(OFFSET(CRONOPLE!$F$14,$M429,BF$13)="",10^12,OFFSET(CRONOPLE!$F$14,$M429,BF$13))))</f>
        <v>0</v>
      </c>
      <c r="BG429" s="215">
        <f ca="1">IF($D429&lt;&gt;"Serviço",0,IF(AND(AUTOEVENTO="Manual",$M429=1),0,IF(OFFSET(CRONOPLE!$F$14,$M429,BG$13)="",10^12,OFFSET(CRONOPLE!$F$14,$M429,BG$13))))</f>
        <v>0</v>
      </c>
      <c r="BH429" s="215">
        <f ca="1">IF($D429&lt;&gt;"Serviço",0,IF(AND(AUTOEVENTO="Manual",$M429=1),0,IF(OFFSET(CRONOPLE!$F$14,$M429,BH$13)="",10^12,OFFSET(CRONOPLE!$F$14,$M429,BH$13))))</f>
        <v>0</v>
      </c>
      <c r="BI429" s="215">
        <f ca="1">IF($D429&lt;&gt;"Serviço",0,IF(AND(AUTOEVENTO="Manual",$M429=1),0,IF(OFFSET(CRONOPLE!$F$14,$M429,BI$13)="",10^12,OFFSET(CRONOPLE!$F$14,$M429,BI$13))))</f>
        <v>0</v>
      </c>
      <c r="BJ429" s="215">
        <f ca="1">IF($D429&lt;&gt;"Serviço",0,IF(AND(AUTOEVENTO="Manual",$M429=1),0,IF(OFFSET(CRONOPLE!$F$14,$M429,BJ$13)="",10^12,OFFSET(CRONOPLE!$F$14,$M429,BJ$13))))</f>
        <v>0</v>
      </c>
      <c r="BK429" s="215">
        <f ca="1">IF($D429&lt;&gt;"Serviço",0,IF(AND(AUTOEVENTO="Manual",$M429=1),0,IF(OFFSET(CRONOPLE!$F$14,$M429,BK$13)="",10^12,OFFSET(CRONOPLE!$F$14,$M429,BK$13))))</f>
        <v>0</v>
      </c>
      <c r="BL429" s="215">
        <f ca="1">IF($D429&lt;&gt;"Serviço",0,IF(AND(AUTOEVENTO="Manual",$M429=1),0,IF(OFFSET(CRONOPLE!$F$14,$M429,BL$13)="",10^12,OFFSET(CRONOPLE!$F$14,$M429,BL$13))))</f>
        <v>0</v>
      </c>
      <c r="BM429" s="215">
        <f ca="1">IF($D429&lt;&gt;"Serviço",0,IF(AND(AUTOEVENTO="Manual",$M429=1),0,IF(OFFSET(CRONOPLE!$F$14,$M429,BM$13)="",10^12,OFFSET(CRONOPLE!$F$14,$M429,BM$13))))</f>
        <v>0</v>
      </c>
      <c r="BN429" s="215">
        <f ca="1">IF($D429&lt;&gt;"Serviço",0,IF(AND(AUTOEVENTO="Manual",$M429=1),0,IF(OFFSET(CRONOPLE!$F$14,$M429,BN$13)="",10^12,OFFSET(CRONOPLE!$F$14,$M429,BN$13))))</f>
        <v>0</v>
      </c>
      <c r="BO429" s="215">
        <f ca="1">IF($D429&lt;&gt;"Serviço",0,IF(AND(AUTOEVENTO="Manual",$M429=1),0,IF(OFFSET(CRONOPLE!$F$14,$M429,BO$13)="",10^12,OFFSET(CRONOPLE!$F$14,$M429,BO$13))))</f>
        <v>0</v>
      </c>
      <c r="BP429" s="215">
        <f ca="1">IF($D429&lt;&gt;"Serviço",0,IF(AND(AUTOEVENTO="Manual",$M429=1),0,IF(OFFSET(CRONOPLE!$F$14,$M429,BP$13)="",10^12,OFFSET(CRONOPLE!$F$14,$M429,BP$13))))</f>
        <v>0</v>
      </c>
      <c r="BQ429" s="215">
        <f ca="1">IF($D429&lt;&gt;"Serviço",0,IF(AND(AUTOEVENTO="Manual",$M429=1),0,IF(OFFSET(CRONOPLE!$F$14,$M429,BQ$13)="",10^12,OFFSET(CRONOPLE!$F$14,$M429,BQ$13))))</f>
        <v>0</v>
      </c>
      <c r="BR429" s="215">
        <f ca="1">IF($D429&lt;&gt;"Serviço",0,IF(AND(AUTOEVENTO="Manual",$M429=1),0,IF(OFFSET(CRONOPLE!$F$14,$M429,BR$13)="",10^12,OFFSET(CRONOPLE!$F$14,$M429,BR$13))))</f>
        <v>0</v>
      </c>
      <c r="BS429" s="215">
        <f ca="1">IF($D429&lt;&gt;"Serviço",0,IF(AND(AUTOEVENTO="Manual",$M429=1),0,IF(OFFSET(CRONOPLE!$F$14,$M429,BS$13)="",10^12,OFFSET(CRONOPLE!$F$14,$M429,BS$13))))</f>
        <v>0</v>
      </c>
      <c r="BT429" s="215">
        <f ca="1">IF($D429&lt;&gt;"Serviço",0,IF(AND(AUTOEVENTO="Manual",$M429=1),0,IF(OFFSET(CRONOPLE!$F$14,$M429,BT$13)="",10^12,OFFSET(CRONOPLE!$F$14,$M429,BT$13))))</f>
        <v>0</v>
      </c>
      <c r="BV429" s="216">
        <f ca="1">IF($D429&lt;&gt;"Serviço",0,IF(OR(AND(AUTOEVENTO="Manual",$M429=1),$M429&gt;(ROW(PLE.lastrow)-ROW(PLE.firstrow))),0,IF(OFFSET(PLE!$G$14,$M429,BV$13)="",10^12,OFFSET(PLE!$G$14,$M429,BV$13))))</f>
        <v>0</v>
      </c>
      <c r="BW429" s="216">
        <f ca="1">IF($D429&lt;&gt;"Serviço",0,IF(OR(AND(AUTOEVENTO="Manual",$M429=1),$M429&gt;(ROW(PLE.lastrow)-ROW(PLE.firstrow))),0,IF(OFFSET(PLE!$G$14,$M429,BW$13)="",10^12,OFFSET(PLE!$G$14,$M429,BW$13))))</f>
        <v>0</v>
      </c>
      <c r="BX429" s="216">
        <f ca="1">IF($D429&lt;&gt;"Serviço",0,IF(OR(AND(AUTOEVENTO="Manual",$M429=1),$M429&gt;(ROW(PLE.lastrow)-ROW(PLE.firstrow))),0,IF(OFFSET(PLE!$G$14,$M429,BX$13)="",10^12,OFFSET(PLE!$G$14,$M429,BX$13))))</f>
        <v>0</v>
      </c>
      <c r="BY429" s="216">
        <f ca="1">IF($D429&lt;&gt;"Serviço",0,IF(OR(AND(AUTOEVENTO="Manual",$M429=1),$M429&gt;(ROW(PLE.lastrow)-ROW(PLE.firstrow))),0,IF(OFFSET(PLE!$G$14,$M429,BY$13)="",10^12,OFFSET(PLE!$G$14,$M429,BY$13))))</f>
        <v>0</v>
      </c>
      <c r="BZ429" s="216">
        <f ca="1">IF($D429&lt;&gt;"Serviço",0,IF(OR(AND(AUTOEVENTO="Manual",$M429=1),$M429&gt;(ROW(PLE.lastrow)-ROW(PLE.firstrow))),0,IF(OFFSET(PLE!$G$14,$M429,BZ$13)="",10^12,OFFSET(PLE!$G$14,$M429,BZ$13))))</f>
        <v>0</v>
      </c>
      <c r="CA429" s="216">
        <f ca="1">IF($D429&lt;&gt;"Serviço",0,IF(OR(AND(AUTOEVENTO="Manual",$M429=1),$M429&gt;(ROW(PLE.lastrow)-ROW(PLE.firstrow))),0,IF(OFFSET(PLE!$G$14,$M429,CA$13)="",10^12,OFFSET(PLE!$G$14,$M429,CA$13))))</f>
        <v>0</v>
      </c>
      <c r="CB429" s="216">
        <f ca="1">IF($D429&lt;&gt;"Serviço",0,IF(OR(AND(AUTOEVENTO="Manual",$M429=1),$M429&gt;(ROW(PLE.lastrow)-ROW(PLE.firstrow))),0,IF(OFFSET(PLE!$G$14,$M429,CB$13)="",10^12,OFFSET(PLE!$G$14,$M429,CB$13))))</f>
        <v>0</v>
      </c>
      <c r="CC429" s="216">
        <f ca="1">IF($D429&lt;&gt;"Serviço",0,IF(OR(AND(AUTOEVENTO="Manual",$M429=1),$M429&gt;(ROW(PLE.lastrow)-ROW(PLE.firstrow))),0,IF(OFFSET(PLE!$G$14,$M429,CC$13)="",10^12,OFFSET(PLE!$G$14,$M429,CC$13))))</f>
        <v>0</v>
      </c>
      <c r="CD429" s="216">
        <f ca="1">IF($D429&lt;&gt;"Serviço",0,IF(OR(AND(AUTOEVENTO="Manual",$M429=1),$M429&gt;(ROW(PLE.lastrow)-ROW(PLE.firstrow))),0,IF(OFFSET(PLE!$G$14,$M429,CD$13)="",10^12,OFFSET(PLE!$G$14,$M429,CD$13))))</f>
        <v>0</v>
      </c>
      <c r="CE429" s="216">
        <f ca="1">IF($D429&lt;&gt;"Serviço",0,IF(OR(AND(AUTOEVENTO="Manual",$M429=1),$M429&gt;(ROW(PLE.lastrow)-ROW(PLE.firstrow))),0,IF(OFFSET(PLE!$G$14,$M429,CE$13)="",10^12,OFFSET(PLE!$G$14,$M429,CE$13))))</f>
        <v>0</v>
      </c>
      <c r="CF429" s="216">
        <f ca="1">IF($D429&lt;&gt;"Serviço",0,IF(OR(AND(AUTOEVENTO="Manual",$M429=1),$M429&gt;(ROW(PLE.lastrow)-ROW(PLE.firstrow))),0,IF(OFFSET(PLE!$G$14,$M429,CF$13)="",10^12,OFFSET(PLE!$G$14,$M429,CF$13))))</f>
        <v>0</v>
      </c>
      <c r="CG429" s="216">
        <f ca="1">IF($D429&lt;&gt;"Serviço",0,IF(OR(AND(AUTOEVENTO="Manual",$M429=1),$M429&gt;(ROW(PLE.lastrow)-ROW(PLE.firstrow))),0,IF(OFFSET(PLE!$G$14,$M429,CG$13)="",10^12,OFFSET(PLE!$G$14,$M429,CG$13))))</f>
        <v>0</v>
      </c>
      <c r="CH429" s="216">
        <f ca="1">IF($D429&lt;&gt;"Serviço",0,IF(OR(AND(AUTOEVENTO="Manual",$M429=1),$M429&gt;(ROW(PLE.lastrow)-ROW(PLE.firstrow))),0,IF(OFFSET(PLE!$G$14,$M429,CH$13)="",10^12,OFFSET(PLE!$G$14,$M429,CH$13))))</f>
        <v>0</v>
      </c>
      <c r="CI429" s="216">
        <f ca="1">IF($D429&lt;&gt;"Serviço",0,IF(OR(AND(AUTOEVENTO="Manual",$M429=1),$M429&gt;(ROW(PLE.lastrow)-ROW(PLE.firstrow))),0,IF(OFFSET(PLE!$G$14,$M429,CI$13)="",10^12,OFFSET(PLE!$G$14,$M429,CI$13))))</f>
        <v>0</v>
      </c>
      <c r="CJ429" s="216">
        <f ca="1">IF($D429&lt;&gt;"Serviço",0,IF(OR(AND(AUTOEVENTO="Manual",$M429=1),$M429&gt;(ROW(PLE.lastrow)-ROW(PLE.firstrow))),0,IF(OFFSET(PLE!$G$14,$M429,CJ$13)="",10^12,OFFSET(PLE!$G$14,$M429,CJ$13))))</f>
        <v>0</v>
      </c>
      <c r="CK429" s="216">
        <f ca="1">IF($D429&lt;&gt;"Serviço",0,IF(OR(AND(AUTOEVENTO="Manual",$M429=1),$M429&gt;(ROW(PLE.lastrow)-ROW(PLE.firstrow))),0,IF(OFFSET(PLE!$G$14,$M429,CK$13)="",10^12,OFFSET(PLE!$G$14,$M429,CK$13))))</f>
        <v>0</v>
      </c>
      <c r="CL429" s="216">
        <f ca="1">IF($D429&lt;&gt;"Serviço",0,IF(OR(AND(AUTOEVENTO="Manual",$M429=1),$M429&gt;(ROW(PLE.lastrow)-ROW(PLE.firstrow))),0,IF(OFFSET(PLE!$G$14,$M429,CL$13)="",10^12,OFFSET(PLE!$G$14,$M429,CL$13))))</f>
        <v>0</v>
      </c>
      <c r="CM429" s="216">
        <f ca="1">IF($D429&lt;&gt;"Serviço",0,IF(OR(AND(AUTOEVENTO="Manual",$M429=1),$M429&gt;(ROW(PLE.lastrow)-ROW(PLE.firstrow))),0,IF(OFFSET(PLE!$G$14,$M429,CM$13)="",10^12,OFFSET(PLE!$G$14,$M429,CM$13))))</f>
        <v>0</v>
      </c>
    </row>
    <row r="430" spans="1:91" ht="13.2" x14ac:dyDescent="0.25">
      <c r="A430" s="9">
        <f t="shared" ca="1" si="15"/>
        <v>0</v>
      </c>
      <c r="B430" s="9" t="str">
        <f ca="1">OFFSET(ORÇAMENTO!C$15,ROW(B430)-ROW(B$15),0)</f>
        <v>S</v>
      </c>
      <c r="C430" s="9" t="str">
        <f ca="1">OFFSET(ORÇAMENTO!L$15,ROW(C430)-ROW(C$15),0)</f>
        <v/>
      </c>
      <c r="D430" s="145" t="str">
        <f ca="1">OFFSET(ORÇAMENTO!N$15,ROW(D430)-ROW(D$15),0)</f>
        <v>Serviço</v>
      </c>
      <c r="E430" s="205" t="str">
        <f ca="1">OFFSET(ORÇAMENTO!O$15,ROW(E430)-ROW(E$15),0)</f>
        <v>-</v>
      </c>
      <c r="F430" s="206" t="str">
        <f ca="1">OFFSET(ORÇAMENTO!R$15,ROW(F430)-ROW(F$15),0)</f>
        <v>(abra o arquivo 'Referência 05-2024.xls)</v>
      </c>
      <c r="G430" s="207" t="str">
        <f ca="1">IF($D430&lt;&gt;"Serviço","",OFFSET(ORÇAMENTO!S$15,ROW(G430)-ROW(G$15),0))</f>
        <v>-</v>
      </c>
      <c r="H430" s="151">
        <f ca="1">IF($D430&lt;&gt;"Serviço",0,IF(ACOMPANHAMENTO="BM",ROUND(OFFSET(ORÇAMENTO!AJ$15,ROW(H430)-ROW(H$15),0),15-13*ORÇAMENTO!$AF$7),SUMPRODUCT(($Q$12:$AI$12&lt;&gt;"")*ROUND($Q430:$AI430,15-13*ORÇAMENTO!$AF$7))))</f>
        <v>179.4</v>
      </c>
      <c r="I430" s="650"/>
      <c r="K430" s="208"/>
      <c r="L430" s="209" t="s">
        <v>257</v>
      </c>
      <c r="M430" s="210">
        <f ca="1">IF($D430&lt;&gt;"Serviço","",IF(AUTOEVENTO="manual",$A430,IF(ISERROR(MATCH($A430,$A$15:OFFSET($A430,-1,0),0)),MAX($M$15:OFFSET(M430,-1,0))+1,INDEX($M$15:OFFSET(M430,-1,0),MATCH($A430,$A$15:OFFSET($A430,-1,0),0)))))</f>
        <v>0</v>
      </c>
      <c r="N430" s="211" t="str">
        <f ca="1">IF($D430&lt;&gt;"Serviço","",IF(AUTOEVENTO="Manual",IF($A430=0,"&lt;-- defina o número do agrupador",OFFSET(EVENTOS!$D$14,$A430,0)),OFFSET($F$15,$A430,0)))</f>
        <v>&lt;-- defina o número do agrupador</v>
      </c>
      <c r="O430" s="212"/>
      <c r="Q430" s="212"/>
      <c r="R430" s="213"/>
      <c r="S430" s="213"/>
      <c r="T430" s="213"/>
      <c r="U430" s="213"/>
      <c r="V430" s="213"/>
      <c r="W430" s="213"/>
      <c r="X430" s="213"/>
      <c r="Y430" s="213"/>
      <c r="Z430" s="214"/>
      <c r="AA430" s="213"/>
      <c r="AB430" s="213"/>
      <c r="AC430" s="213"/>
      <c r="AD430" s="213"/>
      <c r="AE430" s="213"/>
      <c r="AF430" s="213"/>
      <c r="AG430" s="213"/>
      <c r="AH430" s="214"/>
      <c r="AJ430" s="631">
        <f ca="1">IF(AND($D430="Serviço",AJ$12&lt;&gt;0,$H430&gt;0,OR(AUTOEVENTO&lt;&gt;"manual",$M430&lt;&gt;1)),ROUND(OFFSET($P430,0,AJ$13),15-13*ORÇAMENTO!$AF$7)/$H430*OFFSET(ORÇAMENTO!$X$15,ROW(AJ430)-ROW(AJ$15),0),0)</f>
        <v>0</v>
      </c>
      <c r="AK430" s="632">
        <f ca="1">IF(AND($D430="Serviço",AK$12&lt;&gt;0,$H430&gt;0,OR(AUTOEVENTO&lt;&gt;"manual",$M430&lt;&gt;1)),ROUND(OFFSET($P430,0,AK$13),15-13*ORÇAMENTO!$AF$7)/$H430*OFFSET(ORÇAMENTO!$X$15,ROW(AK430)-ROW(AK$15),0),0)</f>
        <v>0</v>
      </c>
      <c r="AL430" s="632">
        <f ca="1">IF(AND($D430="Serviço",AL$12&lt;&gt;0,$H430&gt;0,OR(AUTOEVENTO&lt;&gt;"manual",$M430&lt;&gt;1)),ROUND(OFFSET($P430,0,AL$13),15-13*ORÇAMENTO!$AF$7)/$H430*OFFSET(ORÇAMENTO!$X$15,ROW(AL430)-ROW(AL$15),0),0)</f>
        <v>0</v>
      </c>
      <c r="AM430" s="632">
        <f ca="1">IF(AND($D430="Serviço",AM$12&lt;&gt;0,$H430&gt;0,OR(AUTOEVENTO&lt;&gt;"manual",$M430&lt;&gt;1)),ROUND(OFFSET($P430,0,AM$13),15-13*ORÇAMENTO!$AF$7)/$H430*OFFSET(ORÇAMENTO!$X$15,ROW(AM430)-ROW(AM$15),0),0)</f>
        <v>0</v>
      </c>
      <c r="AN430" s="632">
        <f ca="1">IF(AND($D430="Serviço",AN$12&lt;&gt;0,$H430&gt;0,OR(AUTOEVENTO&lt;&gt;"manual",$M430&lt;&gt;1)),ROUND(OFFSET($P430,0,AN$13),15-13*ORÇAMENTO!$AF$7)/$H430*OFFSET(ORÇAMENTO!$X$15,ROW(AN430)-ROW(AN$15),0),0)</f>
        <v>0</v>
      </c>
      <c r="AO430" s="632">
        <f ca="1">IF(AND($D430="Serviço",AO$12&lt;&gt;0,$H430&gt;0,OR(AUTOEVENTO&lt;&gt;"manual",$M430&lt;&gt;1)),ROUND(OFFSET($P430,0,AO$13),15-13*ORÇAMENTO!$AF$7)/$H430*OFFSET(ORÇAMENTO!$X$15,ROW(AO430)-ROW(AO$15),0),0)</f>
        <v>0</v>
      </c>
      <c r="AP430" s="632">
        <f ca="1">IF(AND($D430="Serviço",AP$12&lt;&gt;0,$H430&gt;0,OR(AUTOEVENTO&lt;&gt;"manual",$M430&lt;&gt;1)),ROUND(OFFSET($P430,0,AP$13),15-13*ORÇAMENTO!$AF$7)/$H430*OFFSET(ORÇAMENTO!$X$15,ROW(AP430)-ROW(AP$15),0),0)</f>
        <v>0</v>
      </c>
      <c r="AQ430" s="632">
        <f ca="1">IF(AND($D430="Serviço",AQ$12&lt;&gt;0,$H430&gt;0,OR(AUTOEVENTO&lt;&gt;"manual",$M430&lt;&gt;1)),ROUND(OFFSET($P430,0,AQ$13),15-13*ORÇAMENTO!$AF$7)/$H430*OFFSET(ORÇAMENTO!$X$15,ROW(AQ430)-ROW(AQ$15),0),0)</f>
        <v>0</v>
      </c>
      <c r="AR430" s="632">
        <f ca="1">IF(AND($D430="Serviço",AR$12&lt;&gt;0,$H430&gt;0,OR(AUTOEVENTO&lt;&gt;"manual",$M430&lt;&gt;1)),ROUND(OFFSET($P430,0,AR$13),15-13*ORÇAMENTO!$AF$7)/$H430*OFFSET(ORÇAMENTO!$X$15,ROW(AR430)-ROW(AR$15),0),0)</f>
        <v>0</v>
      </c>
      <c r="AS430" s="633">
        <f ca="1">IF(AND($D430="Serviço",AS$12&lt;&gt;0,$H430&gt;0,OR(AUTOEVENTO&lt;&gt;"manual",$M430&lt;&gt;1)),ROUND(OFFSET($P430,0,AS$13),15-13*ORÇAMENTO!$AF$7)/$H430*OFFSET(ORÇAMENTO!$X$15,ROW(AS430)-ROW(AS$15),0),0)</f>
        <v>0</v>
      </c>
      <c r="AT430" s="632">
        <f ca="1">IF(AND($D430="Serviço",AT$12&lt;&gt;0,$H430&gt;0,OR(AUTOEVENTO&lt;&gt;"manual",$M430&lt;&gt;1)),ROUND(OFFSET($P430,0,AT$13),15-13*ORÇAMENTO!$AF$7)/$H430*OFFSET(ORÇAMENTO!$X$15,ROW(AT430)-ROW(AT$15),0),0)</f>
        <v>0</v>
      </c>
      <c r="AU430" s="632">
        <f ca="1">IF(AND($D430="Serviço",AU$12&lt;&gt;0,$H430&gt;0,OR(AUTOEVENTO&lt;&gt;"manual",$M430&lt;&gt;1)),ROUND(OFFSET($P430,0,AU$13),15-13*ORÇAMENTO!$AF$7)/$H430*OFFSET(ORÇAMENTO!$X$15,ROW(AU430)-ROW(AU$15),0),0)</f>
        <v>0</v>
      </c>
      <c r="AV430" s="632">
        <f ca="1">IF(AND($D430="Serviço",AV$12&lt;&gt;0,$H430&gt;0,OR(AUTOEVENTO&lt;&gt;"manual",$M430&lt;&gt;1)),ROUND(OFFSET($P430,0,AV$13),15-13*ORÇAMENTO!$AF$7)/$H430*OFFSET(ORÇAMENTO!$X$15,ROW(AV430)-ROW(AV$15),0),0)</f>
        <v>0</v>
      </c>
      <c r="AW430" s="632">
        <f ca="1">IF(AND($D430="Serviço",AW$12&lt;&gt;0,$H430&gt;0,OR(AUTOEVENTO&lt;&gt;"manual",$M430&lt;&gt;1)),ROUND(OFFSET($P430,0,AW$13),15-13*ORÇAMENTO!$AF$7)/$H430*OFFSET(ORÇAMENTO!$X$15,ROW(AW430)-ROW(AW$15),0),0)</f>
        <v>0</v>
      </c>
      <c r="AX430" s="632">
        <f ca="1">IF(AND($D430="Serviço",AX$12&lt;&gt;0,$H430&gt;0,OR(AUTOEVENTO&lt;&gt;"manual",$M430&lt;&gt;1)),ROUND(OFFSET($P430,0,AX$13),15-13*ORÇAMENTO!$AF$7)/$H430*OFFSET(ORÇAMENTO!$X$15,ROW(AX430)-ROW(AX$15),0),0)</f>
        <v>0</v>
      </c>
      <c r="AY430" s="632">
        <f ca="1">IF(AND($D430="Serviço",AY$12&lt;&gt;0,$H430&gt;0,OR(AUTOEVENTO&lt;&gt;"manual",$M430&lt;&gt;1)),ROUND(OFFSET($P430,0,AY$13),15-13*ORÇAMENTO!$AF$7)/$H430*OFFSET(ORÇAMENTO!$X$15,ROW(AY430)-ROW(AY$15),0),0)</f>
        <v>0</v>
      </c>
      <c r="AZ430" s="632">
        <f ca="1">IF(AND($D430="Serviço",AZ$12&lt;&gt;0,$H430&gt;0,OR(AUTOEVENTO&lt;&gt;"manual",$M430&lt;&gt;1)),ROUND(OFFSET($P430,0,AZ$13),15-13*ORÇAMENTO!$AF$7)/$H430*OFFSET(ORÇAMENTO!$X$15,ROW(AZ430)-ROW(AZ$15),0),0)</f>
        <v>0</v>
      </c>
      <c r="BA430" s="633">
        <f ca="1">IF(AND($D430="Serviço",BA$12&lt;&gt;0,$H430&gt;0,OR(AUTOEVENTO&lt;&gt;"manual",$M430&lt;&gt;1)),ROUND(OFFSET($P430,0,BA$13),15-13*ORÇAMENTO!$AF$7)/$H430*OFFSET(ORÇAMENTO!$X$15,ROW(BA430)-ROW(BA$15),0),0)</f>
        <v>0</v>
      </c>
      <c r="BC430" s="215">
        <f ca="1">IF($D430&lt;&gt;"Serviço",0,IF(AND(AUTOEVENTO="Manual",$M430=1),0,IF(OFFSET(CRONOPLE!$F$14,$M430,BC$13)="",10^12,OFFSET(CRONOPLE!$F$14,$M430,BC$13))))</f>
        <v>1000000000000</v>
      </c>
      <c r="BD430" s="215">
        <f ca="1">IF($D430&lt;&gt;"Serviço",0,IF(AND(AUTOEVENTO="Manual",$M430=1),0,IF(OFFSET(CRONOPLE!$F$14,$M430,BD$13)="",10^12,OFFSET(CRONOPLE!$F$14,$M430,BD$13))))</f>
        <v>1000000000000</v>
      </c>
      <c r="BE430" s="215">
        <f ca="1">IF($D430&lt;&gt;"Serviço",0,IF(AND(AUTOEVENTO="Manual",$M430=1),0,IF(OFFSET(CRONOPLE!$F$14,$M430,BE$13)="",10^12,OFFSET(CRONOPLE!$F$14,$M430,BE$13))))</f>
        <v>1000000000000</v>
      </c>
      <c r="BF430" s="215">
        <f ca="1">IF($D430&lt;&gt;"Serviço",0,IF(AND(AUTOEVENTO="Manual",$M430=1),0,IF(OFFSET(CRONOPLE!$F$14,$M430,BF$13)="",10^12,OFFSET(CRONOPLE!$F$14,$M430,BF$13))))</f>
        <v>1000000000000</v>
      </c>
      <c r="BG430" s="215">
        <f ca="1">IF($D430&lt;&gt;"Serviço",0,IF(AND(AUTOEVENTO="Manual",$M430=1),0,IF(OFFSET(CRONOPLE!$F$14,$M430,BG$13)="",10^12,OFFSET(CRONOPLE!$F$14,$M430,BG$13))))</f>
        <v>1000000000000</v>
      </c>
      <c r="BH430" s="215">
        <f ca="1">IF($D430&lt;&gt;"Serviço",0,IF(AND(AUTOEVENTO="Manual",$M430=1),0,IF(OFFSET(CRONOPLE!$F$14,$M430,BH$13)="",10^12,OFFSET(CRONOPLE!$F$14,$M430,BH$13))))</f>
        <v>1000000000000</v>
      </c>
      <c r="BI430" s="215">
        <f ca="1">IF($D430&lt;&gt;"Serviço",0,IF(AND(AUTOEVENTO="Manual",$M430=1),0,IF(OFFSET(CRONOPLE!$F$14,$M430,BI$13)="",10^12,OFFSET(CRONOPLE!$F$14,$M430,BI$13))))</f>
        <v>1000000000000</v>
      </c>
      <c r="BJ430" s="215">
        <f ca="1">IF($D430&lt;&gt;"Serviço",0,IF(AND(AUTOEVENTO="Manual",$M430=1),0,IF(OFFSET(CRONOPLE!$F$14,$M430,BJ$13)="",10^12,OFFSET(CRONOPLE!$F$14,$M430,BJ$13))))</f>
        <v>1000000000000</v>
      </c>
      <c r="BK430" s="215">
        <f ca="1">IF($D430&lt;&gt;"Serviço",0,IF(AND(AUTOEVENTO="Manual",$M430=1),0,IF(OFFSET(CRONOPLE!$F$14,$M430,BK$13)="",10^12,OFFSET(CRONOPLE!$F$14,$M430,BK$13))))</f>
        <v>1000000000000</v>
      </c>
      <c r="BL430" s="215">
        <f ca="1">IF($D430&lt;&gt;"Serviço",0,IF(AND(AUTOEVENTO="Manual",$M430=1),0,IF(OFFSET(CRONOPLE!$F$14,$M430,BL$13)="",10^12,OFFSET(CRONOPLE!$F$14,$M430,BL$13))))</f>
        <v>1000000000000</v>
      </c>
      <c r="BM430" s="215">
        <f ca="1">IF($D430&lt;&gt;"Serviço",0,IF(AND(AUTOEVENTO="Manual",$M430=1),0,IF(OFFSET(CRONOPLE!$F$14,$M430,BM$13)="",10^12,OFFSET(CRONOPLE!$F$14,$M430,BM$13))))</f>
        <v>1000000000000</v>
      </c>
      <c r="BN430" s="215">
        <f ca="1">IF($D430&lt;&gt;"Serviço",0,IF(AND(AUTOEVENTO="Manual",$M430=1),0,IF(OFFSET(CRONOPLE!$F$14,$M430,BN$13)="",10^12,OFFSET(CRONOPLE!$F$14,$M430,BN$13))))</f>
        <v>1000000000000</v>
      </c>
      <c r="BO430" s="215">
        <f ca="1">IF($D430&lt;&gt;"Serviço",0,IF(AND(AUTOEVENTO="Manual",$M430=1),0,IF(OFFSET(CRONOPLE!$F$14,$M430,BO$13)="",10^12,OFFSET(CRONOPLE!$F$14,$M430,BO$13))))</f>
        <v>1000000000000</v>
      </c>
      <c r="BP430" s="215">
        <f ca="1">IF($D430&lt;&gt;"Serviço",0,IF(AND(AUTOEVENTO="Manual",$M430=1),0,IF(OFFSET(CRONOPLE!$F$14,$M430,BP$13)="",10^12,OFFSET(CRONOPLE!$F$14,$M430,BP$13))))</f>
        <v>1000000000000</v>
      </c>
      <c r="BQ430" s="215">
        <f ca="1">IF($D430&lt;&gt;"Serviço",0,IF(AND(AUTOEVENTO="Manual",$M430=1),0,IF(OFFSET(CRONOPLE!$F$14,$M430,BQ$13)="",10^12,OFFSET(CRONOPLE!$F$14,$M430,BQ$13))))</f>
        <v>1000000000000</v>
      </c>
      <c r="BR430" s="215">
        <f ca="1">IF($D430&lt;&gt;"Serviço",0,IF(AND(AUTOEVENTO="Manual",$M430=1),0,IF(OFFSET(CRONOPLE!$F$14,$M430,BR$13)="",10^12,OFFSET(CRONOPLE!$F$14,$M430,BR$13))))</f>
        <v>1000000000000</v>
      </c>
      <c r="BS430" s="215">
        <f ca="1">IF($D430&lt;&gt;"Serviço",0,IF(AND(AUTOEVENTO="Manual",$M430=1),0,IF(OFFSET(CRONOPLE!$F$14,$M430,BS$13)="",10^12,OFFSET(CRONOPLE!$F$14,$M430,BS$13))))</f>
        <v>1000000000000</v>
      </c>
      <c r="BT430" s="215">
        <f ca="1">IF($D430&lt;&gt;"Serviço",0,IF(AND(AUTOEVENTO="Manual",$M430=1),0,IF(OFFSET(CRONOPLE!$F$14,$M430,BT$13)="",10^12,OFFSET(CRONOPLE!$F$14,$M430,BT$13))))</f>
        <v>1000000000000</v>
      </c>
      <c r="BV430" s="216">
        <f ca="1">IF($D430&lt;&gt;"Serviço",0,IF(OR(AND(AUTOEVENTO="Manual",$M430=1),$M430&gt;(ROW(PLE.lastrow)-ROW(PLE.firstrow))),0,IF(OFFSET(PLE!$G$14,$M430,BV$13)="",10^12,OFFSET(PLE!$G$14,$M430,BV$13))))</f>
        <v>1000000000000</v>
      </c>
      <c r="BW430" s="216">
        <f ca="1">IF($D430&lt;&gt;"Serviço",0,IF(OR(AND(AUTOEVENTO="Manual",$M430=1),$M430&gt;(ROW(PLE.lastrow)-ROW(PLE.firstrow))),0,IF(OFFSET(PLE!$G$14,$M430,BW$13)="",10^12,OFFSET(PLE!$G$14,$M430,BW$13))))</f>
        <v>1000000000000</v>
      </c>
      <c r="BX430" s="216">
        <f ca="1">IF($D430&lt;&gt;"Serviço",0,IF(OR(AND(AUTOEVENTO="Manual",$M430=1),$M430&gt;(ROW(PLE.lastrow)-ROW(PLE.firstrow))),0,IF(OFFSET(PLE!$G$14,$M430,BX$13)="",10^12,OFFSET(PLE!$G$14,$M430,BX$13))))</f>
        <v>1000000000000</v>
      </c>
      <c r="BY430" s="216">
        <f ca="1">IF($D430&lt;&gt;"Serviço",0,IF(OR(AND(AUTOEVENTO="Manual",$M430=1),$M430&gt;(ROW(PLE.lastrow)-ROW(PLE.firstrow))),0,IF(OFFSET(PLE!$G$14,$M430,BY$13)="",10^12,OFFSET(PLE!$G$14,$M430,BY$13))))</f>
        <v>1000000000000</v>
      </c>
      <c r="BZ430" s="216">
        <f ca="1">IF($D430&lt;&gt;"Serviço",0,IF(OR(AND(AUTOEVENTO="Manual",$M430=1),$M430&gt;(ROW(PLE.lastrow)-ROW(PLE.firstrow))),0,IF(OFFSET(PLE!$G$14,$M430,BZ$13)="",10^12,OFFSET(PLE!$G$14,$M430,BZ$13))))</f>
        <v>1000000000000</v>
      </c>
      <c r="CA430" s="216">
        <f ca="1">IF($D430&lt;&gt;"Serviço",0,IF(OR(AND(AUTOEVENTO="Manual",$M430=1),$M430&gt;(ROW(PLE.lastrow)-ROW(PLE.firstrow))),0,IF(OFFSET(PLE!$G$14,$M430,CA$13)="",10^12,OFFSET(PLE!$G$14,$M430,CA$13))))</f>
        <v>1000000000000</v>
      </c>
      <c r="CB430" s="216">
        <f ca="1">IF($D430&lt;&gt;"Serviço",0,IF(OR(AND(AUTOEVENTO="Manual",$M430=1),$M430&gt;(ROW(PLE.lastrow)-ROW(PLE.firstrow))),0,IF(OFFSET(PLE!$G$14,$M430,CB$13)="",10^12,OFFSET(PLE!$G$14,$M430,CB$13))))</f>
        <v>1000000000000</v>
      </c>
      <c r="CC430" s="216">
        <f ca="1">IF($D430&lt;&gt;"Serviço",0,IF(OR(AND(AUTOEVENTO="Manual",$M430=1),$M430&gt;(ROW(PLE.lastrow)-ROW(PLE.firstrow))),0,IF(OFFSET(PLE!$G$14,$M430,CC$13)="",10^12,OFFSET(PLE!$G$14,$M430,CC$13))))</f>
        <v>1000000000000</v>
      </c>
      <c r="CD430" s="216">
        <f ca="1">IF($D430&lt;&gt;"Serviço",0,IF(OR(AND(AUTOEVENTO="Manual",$M430=1),$M430&gt;(ROW(PLE.lastrow)-ROW(PLE.firstrow))),0,IF(OFFSET(PLE!$G$14,$M430,CD$13)="",10^12,OFFSET(PLE!$G$14,$M430,CD$13))))</f>
        <v>1000000000000</v>
      </c>
      <c r="CE430" s="216">
        <f ca="1">IF($D430&lt;&gt;"Serviço",0,IF(OR(AND(AUTOEVENTO="Manual",$M430=1),$M430&gt;(ROW(PLE.lastrow)-ROW(PLE.firstrow))),0,IF(OFFSET(PLE!$G$14,$M430,CE$13)="",10^12,OFFSET(PLE!$G$14,$M430,CE$13))))</f>
        <v>1000000000000</v>
      </c>
      <c r="CF430" s="216">
        <f ca="1">IF($D430&lt;&gt;"Serviço",0,IF(OR(AND(AUTOEVENTO="Manual",$M430=1),$M430&gt;(ROW(PLE.lastrow)-ROW(PLE.firstrow))),0,IF(OFFSET(PLE!$G$14,$M430,CF$13)="",10^12,OFFSET(PLE!$G$14,$M430,CF$13))))</f>
        <v>1000000000000</v>
      </c>
      <c r="CG430" s="216">
        <f ca="1">IF($D430&lt;&gt;"Serviço",0,IF(OR(AND(AUTOEVENTO="Manual",$M430=1),$M430&gt;(ROW(PLE.lastrow)-ROW(PLE.firstrow))),0,IF(OFFSET(PLE!$G$14,$M430,CG$13)="",10^12,OFFSET(PLE!$G$14,$M430,CG$13))))</f>
        <v>1000000000000</v>
      </c>
      <c r="CH430" s="216">
        <f ca="1">IF($D430&lt;&gt;"Serviço",0,IF(OR(AND(AUTOEVENTO="Manual",$M430=1),$M430&gt;(ROW(PLE.lastrow)-ROW(PLE.firstrow))),0,IF(OFFSET(PLE!$G$14,$M430,CH$13)="",10^12,OFFSET(PLE!$G$14,$M430,CH$13))))</f>
        <v>1000000000000</v>
      </c>
      <c r="CI430" s="216">
        <f ca="1">IF($D430&lt;&gt;"Serviço",0,IF(OR(AND(AUTOEVENTO="Manual",$M430=1),$M430&gt;(ROW(PLE.lastrow)-ROW(PLE.firstrow))),0,IF(OFFSET(PLE!$G$14,$M430,CI$13)="",10^12,OFFSET(PLE!$G$14,$M430,CI$13))))</f>
        <v>1000000000000</v>
      </c>
      <c r="CJ430" s="216">
        <f ca="1">IF($D430&lt;&gt;"Serviço",0,IF(OR(AND(AUTOEVENTO="Manual",$M430=1),$M430&gt;(ROW(PLE.lastrow)-ROW(PLE.firstrow))),0,IF(OFFSET(PLE!$G$14,$M430,CJ$13)="",10^12,OFFSET(PLE!$G$14,$M430,CJ$13))))</f>
        <v>1000000000000</v>
      </c>
      <c r="CK430" s="216">
        <f ca="1">IF($D430&lt;&gt;"Serviço",0,IF(OR(AND(AUTOEVENTO="Manual",$M430=1),$M430&gt;(ROW(PLE.lastrow)-ROW(PLE.firstrow))),0,IF(OFFSET(PLE!$G$14,$M430,CK$13)="",10^12,OFFSET(PLE!$G$14,$M430,CK$13))))</f>
        <v>1000000000000</v>
      </c>
      <c r="CL430" s="216">
        <f ca="1">IF($D430&lt;&gt;"Serviço",0,IF(OR(AND(AUTOEVENTO="Manual",$M430=1),$M430&gt;(ROW(PLE.lastrow)-ROW(PLE.firstrow))),0,IF(OFFSET(PLE!$G$14,$M430,CL$13)="",10^12,OFFSET(PLE!$G$14,$M430,CL$13))))</f>
        <v>1000000000000</v>
      </c>
      <c r="CM430" s="216">
        <f ca="1">IF($D430&lt;&gt;"Serviço",0,IF(OR(AND(AUTOEVENTO="Manual",$M430=1),$M430&gt;(ROW(PLE.lastrow)-ROW(PLE.firstrow))),0,IF(OFFSET(PLE!$G$14,$M430,CM$13)="",10^12,OFFSET(PLE!$G$14,$M430,CM$13))))</f>
        <v>1000000000000</v>
      </c>
    </row>
    <row r="431" spans="1:91" ht="13.2" x14ac:dyDescent="0.25">
      <c r="A431" s="9">
        <f t="shared" ca="1" si="15"/>
        <v>0</v>
      </c>
      <c r="B431" s="9" t="str">
        <f ca="1">OFFSET(ORÇAMENTO!C$15,ROW(B431)-ROW(B$15),0)</f>
        <v>S</v>
      </c>
      <c r="C431" s="9" t="str">
        <f ca="1">OFFSET(ORÇAMENTO!L$15,ROW(C431)-ROW(C$15),0)</f>
        <v/>
      </c>
      <c r="D431" s="145" t="str">
        <f ca="1">OFFSET(ORÇAMENTO!N$15,ROW(D431)-ROW(D$15),0)</f>
        <v>Serviço</v>
      </c>
      <c r="E431" s="205" t="str">
        <f ca="1">OFFSET(ORÇAMENTO!O$15,ROW(E431)-ROW(E$15),0)</f>
        <v>-</v>
      </c>
      <c r="F431" s="206" t="str">
        <f ca="1">OFFSET(ORÇAMENTO!R$15,ROW(F431)-ROW(F$15),0)</f>
        <v>(abra o arquivo 'Referência 05-2024.xls)</v>
      </c>
      <c r="G431" s="207" t="str">
        <f ca="1">IF($D431&lt;&gt;"Serviço","",OFFSET(ORÇAMENTO!S$15,ROW(G431)-ROW(G$15),0))</f>
        <v>-</v>
      </c>
      <c r="H431" s="151">
        <f ca="1">IF($D431&lt;&gt;"Serviço",0,IF(ACOMPANHAMENTO="BM",ROUND(OFFSET(ORÇAMENTO!AJ$15,ROW(H431)-ROW(H$15),0),15-13*ORÇAMENTO!$AF$7),SUMPRODUCT(($Q$12:$AI$12&lt;&gt;"")*ROUND($Q431:$AI431,15-13*ORÇAMENTO!$AF$7))))</f>
        <v>37.1</v>
      </c>
      <c r="I431" s="650"/>
      <c r="K431" s="208"/>
      <c r="L431" s="209" t="s">
        <v>257</v>
      </c>
      <c r="M431" s="210">
        <f ca="1">IF($D431&lt;&gt;"Serviço","",IF(AUTOEVENTO="manual",$A431,IF(ISERROR(MATCH($A431,$A$15:OFFSET($A431,-1,0),0)),MAX($M$15:OFFSET(M431,-1,0))+1,INDEX($M$15:OFFSET(M431,-1,0),MATCH($A431,$A$15:OFFSET($A431,-1,0),0)))))</f>
        <v>0</v>
      </c>
      <c r="N431" s="211" t="str">
        <f ca="1">IF($D431&lt;&gt;"Serviço","",IF(AUTOEVENTO="Manual",IF($A431=0,"&lt;-- defina o número do agrupador",OFFSET(EVENTOS!$D$14,$A431,0)),OFFSET($F$15,$A431,0)))</f>
        <v>&lt;-- defina o número do agrupador</v>
      </c>
      <c r="O431" s="212"/>
      <c r="Q431" s="212"/>
      <c r="R431" s="213"/>
      <c r="S431" s="213"/>
      <c r="T431" s="213"/>
      <c r="U431" s="213"/>
      <c r="V431" s="213"/>
      <c r="W431" s="213"/>
      <c r="X431" s="213"/>
      <c r="Y431" s="213"/>
      <c r="Z431" s="214"/>
      <c r="AA431" s="213"/>
      <c r="AB431" s="213"/>
      <c r="AC431" s="213"/>
      <c r="AD431" s="213"/>
      <c r="AE431" s="213"/>
      <c r="AF431" s="213"/>
      <c r="AG431" s="213"/>
      <c r="AH431" s="214"/>
      <c r="AJ431" s="631">
        <f ca="1">IF(AND($D431="Serviço",AJ$12&lt;&gt;0,$H431&gt;0,OR(AUTOEVENTO&lt;&gt;"manual",$M431&lt;&gt;1)),ROUND(OFFSET($P431,0,AJ$13),15-13*ORÇAMENTO!$AF$7)/$H431*OFFSET(ORÇAMENTO!$X$15,ROW(AJ431)-ROW(AJ$15),0),0)</f>
        <v>0</v>
      </c>
      <c r="AK431" s="632">
        <f ca="1">IF(AND($D431="Serviço",AK$12&lt;&gt;0,$H431&gt;0,OR(AUTOEVENTO&lt;&gt;"manual",$M431&lt;&gt;1)),ROUND(OFFSET($P431,0,AK$13),15-13*ORÇAMENTO!$AF$7)/$H431*OFFSET(ORÇAMENTO!$X$15,ROW(AK431)-ROW(AK$15),0),0)</f>
        <v>0</v>
      </c>
      <c r="AL431" s="632">
        <f ca="1">IF(AND($D431="Serviço",AL$12&lt;&gt;0,$H431&gt;0,OR(AUTOEVENTO&lt;&gt;"manual",$M431&lt;&gt;1)),ROUND(OFFSET($P431,0,AL$13),15-13*ORÇAMENTO!$AF$7)/$H431*OFFSET(ORÇAMENTO!$X$15,ROW(AL431)-ROW(AL$15),0),0)</f>
        <v>0</v>
      </c>
      <c r="AM431" s="632">
        <f ca="1">IF(AND($D431="Serviço",AM$12&lt;&gt;0,$H431&gt;0,OR(AUTOEVENTO&lt;&gt;"manual",$M431&lt;&gt;1)),ROUND(OFFSET($P431,0,AM$13),15-13*ORÇAMENTO!$AF$7)/$H431*OFFSET(ORÇAMENTO!$X$15,ROW(AM431)-ROW(AM$15),0),0)</f>
        <v>0</v>
      </c>
      <c r="AN431" s="632">
        <f ca="1">IF(AND($D431="Serviço",AN$12&lt;&gt;0,$H431&gt;0,OR(AUTOEVENTO&lt;&gt;"manual",$M431&lt;&gt;1)),ROUND(OFFSET($P431,0,AN$13),15-13*ORÇAMENTO!$AF$7)/$H431*OFFSET(ORÇAMENTO!$X$15,ROW(AN431)-ROW(AN$15),0),0)</f>
        <v>0</v>
      </c>
      <c r="AO431" s="632">
        <f ca="1">IF(AND($D431="Serviço",AO$12&lt;&gt;0,$H431&gt;0,OR(AUTOEVENTO&lt;&gt;"manual",$M431&lt;&gt;1)),ROUND(OFFSET($P431,0,AO$13),15-13*ORÇAMENTO!$AF$7)/$H431*OFFSET(ORÇAMENTO!$X$15,ROW(AO431)-ROW(AO$15),0),0)</f>
        <v>0</v>
      </c>
      <c r="AP431" s="632">
        <f ca="1">IF(AND($D431="Serviço",AP$12&lt;&gt;0,$H431&gt;0,OR(AUTOEVENTO&lt;&gt;"manual",$M431&lt;&gt;1)),ROUND(OFFSET($P431,0,AP$13),15-13*ORÇAMENTO!$AF$7)/$H431*OFFSET(ORÇAMENTO!$X$15,ROW(AP431)-ROW(AP$15),0),0)</f>
        <v>0</v>
      </c>
      <c r="AQ431" s="632">
        <f ca="1">IF(AND($D431="Serviço",AQ$12&lt;&gt;0,$H431&gt;0,OR(AUTOEVENTO&lt;&gt;"manual",$M431&lt;&gt;1)),ROUND(OFFSET($P431,0,AQ$13),15-13*ORÇAMENTO!$AF$7)/$H431*OFFSET(ORÇAMENTO!$X$15,ROW(AQ431)-ROW(AQ$15),0),0)</f>
        <v>0</v>
      </c>
      <c r="AR431" s="632">
        <f ca="1">IF(AND($D431="Serviço",AR$12&lt;&gt;0,$H431&gt;0,OR(AUTOEVENTO&lt;&gt;"manual",$M431&lt;&gt;1)),ROUND(OFFSET($P431,0,AR$13),15-13*ORÇAMENTO!$AF$7)/$H431*OFFSET(ORÇAMENTO!$X$15,ROW(AR431)-ROW(AR$15),0),0)</f>
        <v>0</v>
      </c>
      <c r="AS431" s="633">
        <f ca="1">IF(AND($D431="Serviço",AS$12&lt;&gt;0,$H431&gt;0,OR(AUTOEVENTO&lt;&gt;"manual",$M431&lt;&gt;1)),ROUND(OFFSET($P431,0,AS$13),15-13*ORÇAMENTO!$AF$7)/$H431*OFFSET(ORÇAMENTO!$X$15,ROW(AS431)-ROW(AS$15),0),0)</f>
        <v>0</v>
      </c>
      <c r="AT431" s="632">
        <f ca="1">IF(AND($D431="Serviço",AT$12&lt;&gt;0,$H431&gt;0,OR(AUTOEVENTO&lt;&gt;"manual",$M431&lt;&gt;1)),ROUND(OFFSET($P431,0,AT$13),15-13*ORÇAMENTO!$AF$7)/$H431*OFFSET(ORÇAMENTO!$X$15,ROW(AT431)-ROW(AT$15),0),0)</f>
        <v>0</v>
      </c>
      <c r="AU431" s="632">
        <f ca="1">IF(AND($D431="Serviço",AU$12&lt;&gt;0,$H431&gt;0,OR(AUTOEVENTO&lt;&gt;"manual",$M431&lt;&gt;1)),ROUND(OFFSET($P431,0,AU$13),15-13*ORÇAMENTO!$AF$7)/$H431*OFFSET(ORÇAMENTO!$X$15,ROW(AU431)-ROW(AU$15),0),0)</f>
        <v>0</v>
      </c>
      <c r="AV431" s="632">
        <f ca="1">IF(AND($D431="Serviço",AV$12&lt;&gt;0,$H431&gt;0,OR(AUTOEVENTO&lt;&gt;"manual",$M431&lt;&gt;1)),ROUND(OFFSET($P431,0,AV$13),15-13*ORÇAMENTO!$AF$7)/$H431*OFFSET(ORÇAMENTO!$X$15,ROW(AV431)-ROW(AV$15),0),0)</f>
        <v>0</v>
      </c>
      <c r="AW431" s="632">
        <f ca="1">IF(AND($D431="Serviço",AW$12&lt;&gt;0,$H431&gt;0,OR(AUTOEVENTO&lt;&gt;"manual",$M431&lt;&gt;1)),ROUND(OFFSET($P431,0,AW$13),15-13*ORÇAMENTO!$AF$7)/$H431*OFFSET(ORÇAMENTO!$X$15,ROW(AW431)-ROW(AW$15),0),0)</f>
        <v>0</v>
      </c>
      <c r="AX431" s="632">
        <f ca="1">IF(AND($D431="Serviço",AX$12&lt;&gt;0,$H431&gt;0,OR(AUTOEVENTO&lt;&gt;"manual",$M431&lt;&gt;1)),ROUND(OFFSET($P431,0,AX$13),15-13*ORÇAMENTO!$AF$7)/$H431*OFFSET(ORÇAMENTO!$X$15,ROW(AX431)-ROW(AX$15),0),0)</f>
        <v>0</v>
      </c>
      <c r="AY431" s="632">
        <f ca="1">IF(AND($D431="Serviço",AY$12&lt;&gt;0,$H431&gt;0,OR(AUTOEVENTO&lt;&gt;"manual",$M431&lt;&gt;1)),ROUND(OFFSET($P431,0,AY$13),15-13*ORÇAMENTO!$AF$7)/$H431*OFFSET(ORÇAMENTO!$X$15,ROW(AY431)-ROW(AY$15),0),0)</f>
        <v>0</v>
      </c>
      <c r="AZ431" s="632">
        <f ca="1">IF(AND($D431="Serviço",AZ$12&lt;&gt;0,$H431&gt;0,OR(AUTOEVENTO&lt;&gt;"manual",$M431&lt;&gt;1)),ROUND(OFFSET($P431,0,AZ$13),15-13*ORÇAMENTO!$AF$7)/$H431*OFFSET(ORÇAMENTO!$X$15,ROW(AZ431)-ROW(AZ$15),0),0)</f>
        <v>0</v>
      </c>
      <c r="BA431" s="633">
        <f ca="1">IF(AND($D431="Serviço",BA$12&lt;&gt;0,$H431&gt;0,OR(AUTOEVENTO&lt;&gt;"manual",$M431&lt;&gt;1)),ROUND(OFFSET($P431,0,BA$13),15-13*ORÇAMENTO!$AF$7)/$H431*OFFSET(ORÇAMENTO!$X$15,ROW(BA431)-ROW(BA$15),0),0)</f>
        <v>0</v>
      </c>
      <c r="BC431" s="215">
        <f ca="1">IF($D431&lt;&gt;"Serviço",0,IF(AND(AUTOEVENTO="Manual",$M431=1),0,IF(OFFSET(CRONOPLE!$F$14,$M431,BC$13)="",10^12,OFFSET(CRONOPLE!$F$14,$M431,BC$13))))</f>
        <v>1000000000000</v>
      </c>
      <c r="BD431" s="215">
        <f ca="1">IF($D431&lt;&gt;"Serviço",0,IF(AND(AUTOEVENTO="Manual",$M431=1),0,IF(OFFSET(CRONOPLE!$F$14,$M431,BD$13)="",10^12,OFFSET(CRONOPLE!$F$14,$M431,BD$13))))</f>
        <v>1000000000000</v>
      </c>
      <c r="BE431" s="215">
        <f ca="1">IF($D431&lt;&gt;"Serviço",0,IF(AND(AUTOEVENTO="Manual",$M431=1),0,IF(OFFSET(CRONOPLE!$F$14,$M431,BE$13)="",10^12,OFFSET(CRONOPLE!$F$14,$M431,BE$13))))</f>
        <v>1000000000000</v>
      </c>
      <c r="BF431" s="215">
        <f ca="1">IF($D431&lt;&gt;"Serviço",0,IF(AND(AUTOEVENTO="Manual",$M431=1),0,IF(OFFSET(CRONOPLE!$F$14,$M431,BF$13)="",10^12,OFFSET(CRONOPLE!$F$14,$M431,BF$13))))</f>
        <v>1000000000000</v>
      </c>
      <c r="BG431" s="215">
        <f ca="1">IF($D431&lt;&gt;"Serviço",0,IF(AND(AUTOEVENTO="Manual",$M431=1),0,IF(OFFSET(CRONOPLE!$F$14,$M431,BG$13)="",10^12,OFFSET(CRONOPLE!$F$14,$M431,BG$13))))</f>
        <v>1000000000000</v>
      </c>
      <c r="BH431" s="215">
        <f ca="1">IF($D431&lt;&gt;"Serviço",0,IF(AND(AUTOEVENTO="Manual",$M431=1),0,IF(OFFSET(CRONOPLE!$F$14,$M431,BH$13)="",10^12,OFFSET(CRONOPLE!$F$14,$M431,BH$13))))</f>
        <v>1000000000000</v>
      </c>
      <c r="BI431" s="215">
        <f ca="1">IF($D431&lt;&gt;"Serviço",0,IF(AND(AUTOEVENTO="Manual",$M431=1),0,IF(OFFSET(CRONOPLE!$F$14,$M431,BI$13)="",10^12,OFFSET(CRONOPLE!$F$14,$M431,BI$13))))</f>
        <v>1000000000000</v>
      </c>
      <c r="BJ431" s="215">
        <f ca="1">IF($D431&lt;&gt;"Serviço",0,IF(AND(AUTOEVENTO="Manual",$M431=1),0,IF(OFFSET(CRONOPLE!$F$14,$M431,BJ$13)="",10^12,OFFSET(CRONOPLE!$F$14,$M431,BJ$13))))</f>
        <v>1000000000000</v>
      </c>
      <c r="BK431" s="215">
        <f ca="1">IF($D431&lt;&gt;"Serviço",0,IF(AND(AUTOEVENTO="Manual",$M431=1),0,IF(OFFSET(CRONOPLE!$F$14,$M431,BK$13)="",10^12,OFFSET(CRONOPLE!$F$14,$M431,BK$13))))</f>
        <v>1000000000000</v>
      </c>
      <c r="BL431" s="215">
        <f ca="1">IF($D431&lt;&gt;"Serviço",0,IF(AND(AUTOEVENTO="Manual",$M431=1),0,IF(OFFSET(CRONOPLE!$F$14,$M431,BL$13)="",10^12,OFFSET(CRONOPLE!$F$14,$M431,BL$13))))</f>
        <v>1000000000000</v>
      </c>
      <c r="BM431" s="215">
        <f ca="1">IF($D431&lt;&gt;"Serviço",0,IF(AND(AUTOEVENTO="Manual",$M431=1),0,IF(OFFSET(CRONOPLE!$F$14,$M431,BM$13)="",10^12,OFFSET(CRONOPLE!$F$14,$M431,BM$13))))</f>
        <v>1000000000000</v>
      </c>
      <c r="BN431" s="215">
        <f ca="1">IF($D431&lt;&gt;"Serviço",0,IF(AND(AUTOEVENTO="Manual",$M431=1),0,IF(OFFSET(CRONOPLE!$F$14,$M431,BN$13)="",10^12,OFFSET(CRONOPLE!$F$14,$M431,BN$13))))</f>
        <v>1000000000000</v>
      </c>
      <c r="BO431" s="215">
        <f ca="1">IF($D431&lt;&gt;"Serviço",0,IF(AND(AUTOEVENTO="Manual",$M431=1),0,IF(OFFSET(CRONOPLE!$F$14,$M431,BO$13)="",10^12,OFFSET(CRONOPLE!$F$14,$M431,BO$13))))</f>
        <v>1000000000000</v>
      </c>
      <c r="BP431" s="215">
        <f ca="1">IF($D431&lt;&gt;"Serviço",0,IF(AND(AUTOEVENTO="Manual",$M431=1),0,IF(OFFSET(CRONOPLE!$F$14,$M431,BP$13)="",10^12,OFFSET(CRONOPLE!$F$14,$M431,BP$13))))</f>
        <v>1000000000000</v>
      </c>
      <c r="BQ431" s="215">
        <f ca="1">IF($D431&lt;&gt;"Serviço",0,IF(AND(AUTOEVENTO="Manual",$M431=1),0,IF(OFFSET(CRONOPLE!$F$14,$M431,BQ$13)="",10^12,OFFSET(CRONOPLE!$F$14,$M431,BQ$13))))</f>
        <v>1000000000000</v>
      </c>
      <c r="BR431" s="215">
        <f ca="1">IF($D431&lt;&gt;"Serviço",0,IF(AND(AUTOEVENTO="Manual",$M431=1),0,IF(OFFSET(CRONOPLE!$F$14,$M431,BR$13)="",10^12,OFFSET(CRONOPLE!$F$14,$M431,BR$13))))</f>
        <v>1000000000000</v>
      </c>
      <c r="BS431" s="215">
        <f ca="1">IF($D431&lt;&gt;"Serviço",0,IF(AND(AUTOEVENTO="Manual",$M431=1),0,IF(OFFSET(CRONOPLE!$F$14,$M431,BS$13)="",10^12,OFFSET(CRONOPLE!$F$14,$M431,BS$13))))</f>
        <v>1000000000000</v>
      </c>
      <c r="BT431" s="215">
        <f ca="1">IF($D431&lt;&gt;"Serviço",0,IF(AND(AUTOEVENTO="Manual",$M431=1),0,IF(OFFSET(CRONOPLE!$F$14,$M431,BT$13)="",10^12,OFFSET(CRONOPLE!$F$14,$M431,BT$13))))</f>
        <v>1000000000000</v>
      </c>
      <c r="BV431" s="216">
        <f ca="1">IF($D431&lt;&gt;"Serviço",0,IF(OR(AND(AUTOEVENTO="Manual",$M431=1),$M431&gt;(ROW(PLE.lastrow)-ROW(PLE.firstrow))),0,IF(OFFSET(PLE!$G$14,$M431,BV$13)="",10^12,OFFSET(PLE!$G$14,$M431,BV$13))))</f>
        <v>1000000000000</v>
      </c>
      <c r="BW431" s="216">
        <f ca="1">IF($D431&lt;&gt;"Serviço",0,IF(OR(AND(AUTOEVENTO="Manual",$M431=1),$M431&gt;(ROW(PLE.lastrow)-ROW(PLE.firstrow))),0,IF(OFFSET(PLE!$G$14,$M431,BW$13)="",10^12,OFFSET(PLE!$G$14,$M431,BW$13))))</f>
        <v>1000000000000</v>
      </c>
      <c r="BX431" s="216">
        <f ca="1">IF($D431&lt;&gt;"Serviço",0,IF(OR(AND(AUTOEVENTO="Manual",$M431=1),$M431&gt;(ROW(PLE.lastrow)-ROW(PLE.firstrow))),0,IF(OFFSET(PLE!$G$14,$M431,BX$13)="",10^12,OFFSET(PLE!$G$14,$M431,BX$13))))</f>
        <v>1000000000000</v>
      </c>
      <c r="BY431" s="216">
        <f ca="1">IF($D431&lt;&gt;"Serviço",0,IF(OR(AND(AUTOEVENTO="Manual",$M431=1),$M431&gt;(ROW(PLE.lastrow)-ROW(PLE.firstrow))),0,IF(OFFSET(PLE!$G$14,$M431,BY$13)="",10^12,OFFSET(PLE!$G$14,$M431,BY$13))))</f>
        <v>1000000000000</v>
      </c>
      <c r="BZ431" s="216">
        <f ca="1">IF($D431&lt;&gt;"Serviço",0,IF(OR(AND(AUTOEVENTO="Manual",$M431=1),$M431&gt;(ROW(PLE.lastrow)-ROW(PLE.firstrow))),0,IF(OFFSET(PLE!$G$14,$M431,BZ$13)="",10^12,OFFSET(PLE!$G$14,$M431,BZ$13))))</f>
        <v>1000000000000</v>
      </c>
      <c r="CA431" s="216">
        <f ca="1">IF($D431&lt;&gt;"Serviço",0,IF(OR(AND(AUTOEVENTO="Manual",$M431=1),$M431&gt;(ROW(PLE.lastrow)-ROW(PLE.firstrow))),0,IF(OFFSET(PLE!$G$14,$M431,CA$13)="",10^12,OFFSET(PLE!$G$14,$M431,CA$13))))</f>
        <v>1000000000000</v>
      </c>
      <c r="CB431" s="216">
        <f ca="1">IF($D431&lt;&gt;"Serviço",0,IF(OR(AND(AUTOEVENTO="Manual",$M431=1),$M431&gt;(ROW(PLE.lastrow)-ROW(PLE.firstrow))),0,IF(OFFSET(PLE!$G$14,$M431,CB$13)="",10^12,OFFSET(PLE!$G$14,$M431,CB$13))))</f>
        <v>1000000000000</v>
      </c>
      <c r="CC431" s="216">
        <f ca="1">IF($D431&lt;&gt;"Serviço",0,IF(OR(AND(AUTOEVENTO="Manual",$M431=1),$M431&gt;(ROW(PLE.lastrow)-ROW(PLE.firstrow))),0,IF(OFFSET(PLE!$G$14,$M431,CC$13)="",10^12,OFFSET(PLE!$G$14,$M431,CC$13))))</f>
        <v>1000000000000</v>
      </c>
      <c r="CD431" s="216">
        <f ca="1">IF($D431&lt;&gt;"Serviço",0,IF(OR(AND(AUTOEVENTO="Manual",$M431=1),$M431&gt;(ROW(PLE.lastrow)-ROW(PLE.firstrow))),0,IF(OFFSET(PLE!$G$14,$M431,CD$13)="",10^12,OFFSET(PLE!$G$14,$M431,CD$13))))</f>
        <v>1000000000000</v>
      </c>
      <c r="CE431" s="216">
        <f ca="1">IF($D431&lt;&gt;"Serviço",0,IF(OR(AND(AUTOEVENTO="Manual",$M431=1),$M431&gt;(ROW(PLE.lastrow)-ROW(PLE.firstrow))),0,IF(OFFSET(PLE!$G$14,$M431,CE$13)="",10^12,OFFSET(PLE!$G$14,$M431,CE$13))))</f>
        <v>1000000000000</v>
      </c>
      <c r="CF431" s="216">
        <f ca="1">IF($D431&lt;&gt;"Serviço",0,IF(OR(AND(AUTOEVENTO="Manual",$M431=1),$M431&gt;(ROW(PLE.lastrow)-ROW(PLE.firstrow))),0,IF(OFFSET(PLE!$G$14,$M431,CF$13)="",10^12,OFFSET(PLE!$G$14,$M431,CF$13))))</f>
        <v>1000000000000</v>
      </c>
      <c r="CG431" s="216">
        <f ca="1">IF($D431&lt;&gt;"Serviço",0,IF(OR(AND(AUTOEVENTO="Manual",$M431=1),$M431&gt;(ROW(PLE.lastrow)-ROW(PLE.firstrow))),0,IF(OFFSET(PLE!$G$14,$M431,CG$13)="",10^12,OFFSET(PLE!$G$14,$M431,CG$13))))</f>
        <v>1000000000000</v>
      </c>
      <c r="CH431" s="216">
        <f ca="1">IF($D431&lt;&gt;"Serviço",0,IF(OR(AND(AUTOEVENTO="Manual",$M431=1),$M431&gt;(ROW(PLE.lastrow)-ROW(PLE.firstrow))),0,IF(OFFSET(PLE!$G$14,$M431,CH$13)="",10^12,OFFSET(PLE!$G$14,$M431,CH$13))))</f>
        <v>1000000000000</v>
      </c>
      <c r="CI431" s="216">
        <f ca="1">IF($D431&lt;&gt;"Serviço",0,IF(OR(AND(AUTOEVENTO="Manual",$M431=1),$M431&gt;(ROW(PLE.lastrow)-ROW(PLE.firstrow))),0,IF(OFFSET(PLE!$G$14,$M431,CI$13)="",10^12,OFFSET(PLE!$G$14,$M431,CI$13))))</f>
        <v>1000000000000</v>
      </c>
      <c r="CJ431" s="216">
        <f ca="1">IF($D431&lt;&gt;"Serviço",0,IF(OR(AND(AUTOEVENTO="Manual",$M431=1),$M431&gt;(ROW(PLE.lastrow)-ROW(PLE.firstrow))),0,IF(OFFSET(PLE!$G$14,$M431,CJ$13)="",10^12,OFFSET(PLE!$G$14,$M431,CJ$13))))</f>
        <v>1000000000000</v>
      </c>
      <c r="CK431" s="216">
        <f ca="1">IF($D431&lt;&gt;"Serviço",0,IF(OR(AND(AUTOEVENTO="Manual",$M431=1),$M431&gt;(ROW(PLE.lastrow)-ROW(PLE.firstrow))),0,IF(OFFSET(PLE!$G$14,$M431,CK$13)="",10^12,OFFSET(PLE!$G$14,$M431,CK$13))))</f>
        <v>1000000000000</v>
      </c>
      <c r="CL431" s="216">
        <f ca="1">IF($D431&lt;&gt;"Serviço",0,IF(OR(AND(AUTOEVENTO="Manual",$M431=1),$M431&gt;(ROW(PLE.lastrow)-ROW(PLE.firstrow))),0,IF(OFFSET(PLE!$G$14,$M431,CL$13)="",10^12,OFFSET(PLE!$G$14,$M431,CL$13))))</f>
        <v>1000000000000</v>
      </c>
      <c r="CM431" s="216">
        <f ca="1">IF($D431&lt;&gt;"Serviço",0,IF(OR(AND(AUTOEVENTO="Manual",$M431=1),$M431&gt;(ROW(PLE.lastrow)-ROW(PLE.firstrow))),0,IF(OFFSET(PLE!$G$14,$M431,CM$13)="",10^12,OFFSET(PLE!$G$14,$M431,CM$13))))</f>
        <v>1000000000000</v>
      </c>
    </row>
    <row r="432" spans="1:91" ht="13.2" x14ac:dyDescent="0.25">
      <c r="A432" s="9">
        <f t="shared" ca="1" si="15"/>
        <v>0</v>
      </c>
      <c r="B432" s="9" t="str">
        <f ca="1">OFFSET(ORÇAMENTO!C$15,ROW(B432)-ROW(B$15),0)</f>
        <v>S</v>
      </c>
      <c r="C432" s="9" t="str">
        <f ca="1">OFFSET(ORÇAMENTO!L$15,ROW(C432)-ROW(C$15),0)</f>
        <v/>
      </c>
      <c r="D432" s="145" t="str">
        <f ca="1">OFFSET(ORÇAMENTO!N$15,ROW(D432)-ROW(D$15),0)</f>
        <v>Serviço</v>
      </c>
      <c r="E432" s="205" t="str">
        <f ca="1">OFFSET(ORÇAMENTO!O$15,ROW(E432)-ROW(E$15),0)</f>
        <v>-</v>
      </c>
      <c r="F432" s="206" t="str">
        <f ca="1">OFFSET(ORÇAMENTO!R$15,ROW(F432)-ROW(F$15),0)</f>
        <v>(abra o arquivo 'Referência 05-2024.xls)</v>
      </c>
      <c r="G432" s="207" t="str">
        <f ca="1">IF($D432&lt;&gt;"Serviço","",OFFSET(ORÇAMENTO!S$15,ROW(G432)-ROW(G$15),0))</f>
        <v>-</v>
      </c>
      <c r="H432" s="151">
        <f ca="1">IF($D432&lt;&gt;"Serviço",0,IF(ACOMPANHAMENTO="BM",ROUND(OFFSET(ORÇAMENTO!AJ$15,ROW(H432)-ROW(H$15),0),15-13*ORÇAMENTO!$AF$7),SUMPRODUCT(($Q$12:$AI$12&lt;&gt;"")*ROUND($Q432:$AI432,15-13*ORÇAMENTO!$AF$7))))</f>
        <v>36</v>
      </c>
      <c r="I432" s="650"/>
      <c r="K432" s="208"/>
      <c r="L432" s="209" t="s">
        <v>257</v>
      </c>
      <c r="M432" s="210">
        <f ca="1">IF($D432&lt;&gt;"Serviço","",IF(AUTOEVENTO="manual",$A432,IF(ISERROR(MATCH($A432,$A$15:OFFSET($A432,-1,0),0)),MAX($M$15:OFFSET(M432,-1,0))+1,INDEX($M$15:OFFSET(M432,-1,0),MATCH($A432,$A$15:OFFSET($A432,-1,0),0)))))</f>
        <v>0</v>
      </c>
      <c r="N432" s="211" t="str">
        <f ca="1">IF($D432&lt;&gt;"Serviço","",IF(AUTOEVENTO="Manual",IF($A432=0,"&lt;-- defina o número do agrupador",OFFSET(EVENTOS!$D$14,$A432,0)),OFFSET($F$15,$A432,0)))</f>
        <v>&lt;-- defina o número do agrupador</v>
      </c>
      <c r="O432" s="212"/>
      <c r="Q432" s="212"/>
      <c r="R432" s="213"/>
      <c r="S432" s="213"/>
      <c r="T432" s="213"/>
      <c r="U432" s="213"/>
      <c r="V432" s="213"/>
      <c r="W432" s="213"/>
      <c r="X432" s="213"/>
      <c r="Y432" s="213"/>
      <c r="Z432" s="214"/>
      <c r="AA432" s="213"/>
      <c r="AB432" s="213"/>
      <c r="AC432" s="213"/>
      <c r="AD432" s="213"/>
      <c r="AE432" s="213"/>
      <c r="AF432" s="213"/>
      <c r="AG432" s="213"/>
      <c r="AH432" s="214"/>
      <c r="AJ432" s="631">
        <f ca="1">IF(AND($D432="Serviço",AJ$12&lt;&gt;0,$H432&gt;0,OR(AUTOEVENTO&lt;&gt;"manual",$M432&lt;&gt;1)),ROUND(OFFSET($P432,0,AJ$13),15-13*ORÇAMENTO!$AF$7)/$H432*OFFSET(ORÇAMENTO!$X$15,ROW(AJ432)-ROW(AJ$15),0),0)</f>
        <v>0</v>
      </c>
      <c r="AK432" s="632">
        <f ca="1">IF(AND($D432="Serviço",AK$12&lt;&gt;0,$H432&gt;0,OR(AUTOEVENTO&lt;&gt;"manual",$M432&lt;&gt;1)),ROUND(OFFSET($P432,0,AK$13),15-13*ORÇAMENTO!$AF$7)/$H432*OFFSET(ORÇAMENTO!$X$15,ROW(AK432)-ROW(AK$15),0),0)</f>
        <v>0</v>
      </c>
      <c r="AL432" s="632">
        <f ca="1">IF(AND($D432="Serviço",AL$12&lt;&gt;0,$H432&gt;0,OR(AUTOEVENTO&lt;&gt;"manual",$M432&lt;&gt;1)),ROUND(OFFSET($P432,0,AL$13),15-13*ORÇAMENTO!$AF$7)/$H432*OFFSET(ORÇAMENTO!$X$15,ROW(AL432)-ROW(AL$15),0),0)</f>
        <v>0</v>
      </c>
      <c r="AM432" s="632">
        <f ca="1">IF(AND($D432="Serviço",AM$12&lt;&gt;0,$H432&gt;0,OR(AUTOEVENTO&lt;&gt;"manual",$M432&lt;&gt;1)),ROUND(OFFSET($P432,0,AM$13),15-13*ORÇAMENTO!$AF$7)/$H432*OFFSET(ORÇAMENTO!$X$15,ROW(AM432)-ROW(AM$15),0),0)</f>
        <v>0</v>
      </c>
      <c r="AN432" s="632">
        <f ca="1">IF(AND($D432="Serviço",AN$12&lt;&gt;0,$H432&gt;0,OR(AUTOEVENTO&lt;&gt;"manual",$M432&lt;&gt;1)),ROUND(OFFSET($P432,0,AN$13),15-13*ORÇAMENTO!$AF$7)/$H432*OFFSET(ORÇAMENTO!$X$15,ROW(AN432)-ROW(AN$15),0),0)</f>
        <v>0</v>
      </c>
      <c r="AO432" s="632">
        <f ca="1">IF(AND($D432="Serviço",AO$12&lt;&gt;0,$H432&gt;0,OR(AUTOEVENTO&lt;&gt;"manual",$M432&lt;&gt;1)),ROUND(OFFSET($P432,0,AO$13),15-13*ORÇAMENTO!$AF$7)/$H432*OFFSET(ORÇAMENTO!$X$15,ROW(AO432)-ROW(AO$15),0),0)</f>
        <v>0</v>
      </c>
      <c r="AP432" s="632">
        <f ca="1">IF(AND($D432="Serviço",AP$12&lt;&gt;0,$H432&gt;0,OR(AUTOEVENTO&lt;&gt;"manual",$M432&lt;&gt;1)),ROUND(OFFSET($P432,0,AP$13),15-13*ORÇAMENTO!$AF$7)/$H432*OFFSET(ORÇAMENTO!$X$15,ROW(AP432)-ROW(AP$15),0),0)</f>
        <v>0</v>
      </c>
      <c r="AQ432" s="632">
        <f ca="1">IF(AND($D432="Serviço",AQ$12&lt;&gt;0,$H432&gt;0,OR(AUTOEVENTO&lt;&gt;"manual",$M432&lt;&gt;1)),ROUND(OFFSET($P432,0,AQ$13),15-13*ORÇAMENTO!$AF$7)/$H432*OFFSET(ORÇAMENTO!$X$15,ROW(AQ432)-ROW(AQ$15),0),0)</f>
        <v>0</v>
      </c>
      <c r="AR432" s="632">
        <f ca="1">IF(AND($D432="Serviço",AR$12&lt;&gt;0,$H432&gt;0,OR(AUTOEVENTO&lt;&gt;"manual",$M432&lt;&gt;1)),ROUND(OFFSET($P432,0,AR$13),15-13*ORÇAMENTO!$AF$7)/$H432*OFFSET(ORÇAMENTO!$X$15,ROW(AR432)-ROW(AR$15),0),0)</f>
        <v>0</v>
      </c>
      <c r="AS432" s="633">
        <f ca="1">IF(AND($D432="Serviço",AS$12&lt;&gt;0,$H432&gt;0,OR(AUTOEVENTO&lt;&gt;"manual",$M432&lt;&gt;1)),ROUND(OFFSET($P432,0,AS$13),15-13*ORÇAMENTO!$AF$7)/$H432*OFFSET(ORÇAMENTO!$X$15,ROW(AS432)-ROW(AS$15),0),0)</f>
        <v>0</v>
      </c>
      <c r="AT432" s="632">
        <f ca="1">IF(AND($D432="Serviço",AT$12&lt;&gt;0,$H432&gt;0,OR(AUTOEVENTO&lt;&gt;"manual",$M432&lt;&gt;1)),ROUND(OFFSET($P432,0,AT$13),15-13*ORÇAMENTO!$AF$7)/$H432*OFFSET(ORÇAMENTO!$X$15,ROW(AT432)-ROW(AT$15),0),0)</f>
        <v>0</v>
      </c>
      <c r="AU432" s="632">
        <f ca="1">IF(AND($D432="Serviço",AU$12&lt;&gt;0,$H432&gt;0,OR(AUTOEVENTO&lt;&gt;"manual",$M432&lt;&gt;1)),ROUND(OFFSET($P432,0,AU$13),15-13*ORÇAMENTO!$AF$7)/$H432*OFFSET(ORÇAMENTO!$X$15,ROW(AU432)-ROW(AU$15),0),0)</f>
        <v>0</v>
      </c>
      <c r="AV432" s="632">
        <f ca="1">IF(AND($D432="Serviço",AV$12&lt;&gt;0,$H432&gt;0,OR(AUTOEVENTO&lt;&gt;"manual",$M432&lt;&gt;1)),ROUND(OFFSET($P432,0,AV$13),15-13*ORÇAMENTO!$AF$7)/$H432*OFFSET(ORÇAMENTO!$X$15,ROW(AV432)-ROW(AV$15),0),0)</f>
        <v>0</v>
      </c>
      <c r="AW432" s="632">
        <f ca="1">IF(AND($D432="Serviço",AW$12&lt;&gt;0,$H432&gt;0,OR(AUTOEVENTO&lt;&gt;"manual",$M432&lt;&gt;1)),ROUND(OFFSET($P432,0,AW$13),15-13*ORÇAMENTO!$AF$7)/$H432*OFFSET(ORÇAMENTO!$X$15,ROW(AW432)-ROW(AW$15),0),0)</f>
        <v>0</v>
      </c>
      <c r="AX432" s="632">
        <f ca="1">IF(AND($D432="Serviço",AX$12&lt;&gt;0,$H432&gt;0,OR(AUTOEVENTO&lt;&gt;"manual",$M432&lt;&gt;1)),ROUND(OFFSET($P432,0,AX$13),15-13*ORÇAMENTO!$AF$7)/$H432*OFFSET(ORÇAMENTO!$X$15,ROW(AX432)-ROW(AX$15),0),0)</f>
        <v>0</v>
      </c>
      <c r="AY432" s="632">
        <f ca="1">IF(AND($D432="Serviço",AY$12&lt;&gt;0,$H432&gt;0,OR(AUTOEVENTO&lt;&gt;"manual",$M432&lt;&gt;1)),ROUND(OFFSET($P432,0,AY$13),15-13*ORÇAMENTO!$AF$7)/$H432*OFFSET(ORÇAMENTO!$X$15,ROW(AY432)-ROW(AY$15),0),0)</f>
        <v>0</v>
      </c>
      <c r="AZ432" s="632">
        <f ca="1">IF(AND($D432="Serviço",AZ$12&lt;&gt;0,$H432&gt;0,OR(AUTOEVENTO&lt;&gt;"manual",$M432&lt;&gt;1)),ROUND(OFFSET($P432,0,AZ$13),15-13*ORÇAMENTO!$AF$7)/$H432*OFFSET(ORÇAMENTO!$X$15,ROW(AZ432)-ROW(AZ$15),0),0)</f>
        <v>0</v>
      </c>
      <c r="BA432" s="633">
        <f ca="1">IF(AND($D432="Serviço",BA$12&lt;&gt;0,$H432&gt;0,OR(AUTOEVENTO&lt;&gt;"manual",$M432&lt;&gt;1)),ROUND(OFFSET($P432,0,BA$13),15-13*ORÇAMENTO!$AF$7)/$H432*OFFSET(ORÇAMENTO!$X$15,ROW(BA432)-ROW(BA$15),0),0)</f>
        <v>0</v>
      </c>
      <c r="BC432" s="215">
        <f ca="1">IF($D432&lt;&gt;"Serviço",0,IF(AND(AUTOEVENTO="Manual",$M432=1),0,IF(OFFSET(CRONOPLE!$F$14,$M432,BC$13)="",10^12,OFFSET(CRONOPLE!$F$14,$M432,BC$13))))</f>
        <v>1000000000000</v>
      </c>
      <c r="BD432" s="215">
        <f ca="1">IF($D432&lt;&gt;"Serviço",0,IF(AND(AUTOEVENTO="Manual",$M432=1),0,IF(OFFSET(CRONOPLE!$F$14,$M432,BD$13)="",10^12,OFFSET(CRONOPLE!$F$14,$M432,BD$13))))</f>
        <v>1000000000000</v>
      </c>
      <c r="BE432" s="215">
        <f ca="1">IF($D432&lt;&gt;"Serviço",0,IF(AND(AUTOEVENTO="Manual",$M432=1),0,IF(OFFSET(CRONOPLE!$F$14,$M432,BE$13)="",10^12,OFFSET(CRONOPLE!$F$14,$M432,BE$13))))</f>
        <v>1000000000000</v>
      </c>
      <c r="BF432" s="215">
        <f ca="1">IF($D432&lt;&gt;"Serviço",0,IF(AND(AUTOEVENTO="Manual",$M432=1),0,IF(OFFSET(CRONOPLE!$F$14,$M432,BF$13)="",10^12,OFFSET(CRONOPLE!$F$14,$M432,BF$13))))</f>
        <v>1000000000000</v>
      </c>
      <c r="BG432" s="215">
        <f ca="1">IF($D432&lt;&gt;"Serviço",0,IF(AND(AUTOEVENTO="Manual",$M432=1),0,IF(OFFSET(CRONOPLE!$F$14,$M432,BG$13)="",10^12,OFFSET(CRONOPLE!$F$14,$M432,BG$13))))</f>
        <v>1000000000000</v>
      </c>
      <c r="BH432" s="215">
        <f ca="1">IF($D432&lt;&gt;"Serviço",0,IF(AND(AUTOEVENTO="Manual",$M432=1),0,IF(OFFSET(CRONOPLE!$F$14,$M432,BH$13)="",10^12,OFFSET(CRONOPLE!$F$14,$M432,BH$13))))</f>
        <v>1000000000000</v>
      </c>
      <c r="BI432" s="215">
        <f ca="1">IF($D432&lt;&gt;"Serviço",0,IF(AND(AUTOEVENTO="Manual",$M432=1),0,IF(OFFSET(CRONOPLE!$F$14,$M432,BI$13)="",10^12,OFFSET(CRONOPLE!$F$14,$M432,BI$13))))</f>
        <v>1000000000000</v>
      </c>
      <c r="BJ432" s="215">
        <f ca="1">IF($D432&lt;&gt;"Serviço",0,IF(AND(AUTOEVENTO="Manual",$M432=1),0,IF(OFFSET(CRONOPLE!$F$14,$M432,BJ$13)="",10^12,OFFSET(CRONOPLE!$F$14,$M432,BJ$13))))</f>
        <v>1000000000000</v>
      </c>
      <c r="BK432" s="215">
        <f ca="1">IF($D432&lt;&gt;"Serviço",0,IF(AND(AUTOEVENTO="Manual",$M432=1),0,IF(OFFSET(CRONOPLE!$F$14,$M432,BK$13)="",10^12,OFFSET(CRONOPLE!$F$14,$M432,BK$13))))</f>
        <v>1000000000000</v>
      </c>
      <c r="BL432" s="215">
        <f ca="1">IF($D432&lt;&gt;"Serviço",0,IF(AND(AUTOEVENTO="Manual",$M432=1),0,IF(OFFSET(CRONOPLE!$F$14,$M432,BL$13)="",10^12,OFFSET(CRONOPLE!$F$14,$M432,BL$13))))</f>
        <v>1000000000000</v>
      </c>
      <c r="BM432" s="215">
        <f ca="1">IF($D432&lt;&gt;"Serviço",0,IF(AND(AUTOEVENTO="Manual",$M432=1),0,IF(OFFSET(CRONOPLE!$F$14,$M432,BM$13)="",10^12,OFFSET(CRONOPLE!$F$14,$M432,BM$13))))</f>
        <v>1000000000000</v>
      </c>
      <c r="BN432" s="215">
        <f ca="1">IF($D432&lt;&gt;"Serviço",0,IF(AND(AUTOEVENTO="Manual",$M432=1),0,IF(OFFSET(CRONOPLE!$F$14,$M432,BN$13)="",10^12,OFFSET(CRONOPLE!$F$14,$M432,BN$13))))</f>
        <v>1000000000000</v>
      </c>
      <c r="BO432" s="215">
        <f ca="1">IF($D432&lt;&gt;"Serviço",0,IF(AND(AUTOEVENTO="Manual",$M432=1),0,IF(OFFSET(CRONOPLE!$F$14,$M432,BO$13)="",10^12,OFFSET(CRONOPLE!$F$14,$M432,BO$13))))</f>
        <v>1000000000000</v>
      </c>
      <c r="BP432" s="215">
        <f ca="1">IF($D432&lt;&gt;"Serviço",0,IF(AND(AUTOEVENTO="Manual",$M432=1),0,IF(OFFSET(CRONOPLE!$F$14,$M432,BP$13)="",10^12,OFFSET(CRONOPLE!$F$14,$M432,BP$13))))</f>
        <v>1000000000000</v>
      </c>
      <c r="BQ432" s="215">
        <f ca="1">IF($D432&lt;&gt;"Serviço",0,IF(AND(AUTOEVENTO="Manual",$M432=1),0,IF(OFFSET(CRONOPLE!$F$14,$M432,BQ$13)="",10^12,OFFSET(CRONOPLE!$F$14,$M432,BQ$13))))</f>
        <v>1000000000000</v>
      </c>
      <c r="BR432" s="215">
        <f ca="1">IF($D432&lt;&gt;"Serviço",0,IF(AND(AUTOEVENTO="Manual",$M432=1),0,IF(OFFSET(CRONOPLE!$F$14,$M432,BR$13)="",10^12,OFFSET(CRONOPLE!$F$14,$M432,BR$13))))</f>
        <v>1000000000000</v>
      </c>
      <c r="BS432" s="215">
        <f ca="1">IF($D432&lt;&gt;"Serviço",0,IF(AND(AUTOEVENTO="Manual",$M432=1),0,IF(OFFSET(CRONOPLE!$F$14,$M432,BS$13)="",10^12,OFFSET(CRONOPLE!$F$14,$M432,BS$13))))</f>
        <v>1000000000000</v>
      </c>
      <c r="BT432" s="215">
        <f ca="1">IF($D432&lt;&gt;"Serviço",0,IF(AND(AUTOEVENTO="Manual",$M432=1),0,IF(OFFSET(CRONOPLE!$F$14,$M432,BT$13)="",10^12,OFFSET(CRONOPLE!$F$14,$M432,BT$13))))</f>
        <v>1000000000000</v>
      </c>
      <c r="BV432" s="216">
        <f ca="1">IF($D432&lt;&gt;"Serviço",0,IF(OR(AND(AUTOEVENTO="Manual",$M432=1),$M432&gt;(ROW(PLE.lastrow)-ROW(PLE.firstrow))),0,IF(OFFSET(PLE!$G$14,$M432,BV$13)="",10^12,OFFSET(PLE!$G$14,$M432,BV$13))))</f>
        <v>1000000000000</v>
      </c>
      <c r="BW432" s="216">
        <f ca="1">IF($D432&lt;&gt;"Serviço",0,IF(OR(AND(AUTOEVENTO="Manual",$M432=1),$M432&gt;(ROW(PLE.lastrow)-ROW(PLE.firstrow))),0,IF(OFFSET(PLE!$G$14,$M432,BW$13)="",10^12,OFFSET(PLE!$G$14,$M432,BW$13))))</f>
        <v>1000000000000</v>
      </c>
      <c r="BX432" s="216">
        <f ca="1">IF($D432&lt;&gt;"Serviço",0,IF(OR(AND(AUTOEVENTO="Manual",$M432=1),$M432&gt;(ROW(PLE.lastrow)-ROW(PLE.firstrow))),0,IF(OFFSET(PLE!$G$14,$M432,BX$13)="",10^12,OFFSET(PLE!$G$14,$M432,BX$13))))</f>
        <v>1000000000000</v>
      </c>
      <c r="BY432" s="216">
        <f ca="1">IF($D432&lt;&gt;"Serviço",0,IF(OR(AND(AUTOEVENTO="Manual",$M432=1),$M432&gt;(ROW(PLE.lastrow)-ROW(PLE.firstrow))),0,IF(OFFSET(PLE!$G$14,$M432,BY$13)="",10^12,OFFSET(PLE!$G$14,$M432,BY$13))))</f>
        <v>1000000000000</v>
      </c>
      <c r="BZ432" s="216">
        <f ca="1">IF($D432&lt;&gt;"Serviço",0,IF(OR(AND(AUTOEVENTO="Manual",$M432=1),$M432&gt;(ROW(PLE.lastrow)-ROW(PLE.firstrow))),0,IF(OFFSET(PLE!$G$14,$M432,BZ$13)="",10^12,OFFSET(PLE!$G$14,$M432,BZ$13))))</f>
        <v>1000000000000</v>
      </c>
      <c r="CA432" s="216">
        <f ca="1">IF($D432&lt;&gt;"Serviço",0,IF(OR(AND(AUTOEVENTO="Manual",$M432=1),$M432&gt;(ROW(PLE.lastrow)-ROW(PLE.firstrow))),0,IF(OFFSET(PLE!$G$14,$M432,CA$13)="",10^12,OFFSET(PLE!$G$14,$M432,CA$13))))</f>
        <v>1000000000000</v>
      </c>
      <c r="CB432" s="216">
        <f ca="1">IF($D432&lt;&gt;"Serviço",0,IF(OR(AND(AUTOEVENTO="Manual",$M432=1),$M432&gt;(ROW(PLE.lastrow)-ROW(PLE.firstrow))),0,IF(OFFSET(PLE!$G$14,$M432,CB$13)="",10^12,OFFSET(PLE!$G$14,$M432,CB$13))))</f>
        <v>1000000000000</v>
      </c>
      <c r="CC432" s="216">
        <f ca="1">IF($D432&lt;&gt;"Serviço",0,IF(OR(AND(AUTOEVENTO="Manual",$M432=1),$M432&gt;(ROW(PLE.lastrow)-ROW(PLE.firstrow))),0,IF(OFFSET(PLE!$G$14,$M432,CC$13)="",10^12,OFFSET(PLE!$G$14,$M432,CC$13))))</f>
        <v>1000000000000</v>
      </c>
      <c r="CD432" s="216">
        <f ca="1">IF($D432&lt;&gt;"Serviço",0,IF(OR(AND(AUTOEVENTO="Manual",$M432=1),$M432&gt;(ROW(PLE.lastrow)-ROW(PLE.firstrow))),0,IF(OFFSET(PLE!$G$14,$M432,CD$13)="",10^12,OFFSET(PLE!$G$14,$M432,CD$13))))</f>
        <v>1000000000000</v>
      </c>
      <c r="CE432" s="216">
        <f ca="1">IF($D432&lt;&gt;"Serviço",0,IF(OR(AND(AUTOEVENTO="Manual",$M432=1),$M432&gt;(ROW(PLE.lastrow)-ROW(PLE.firstrow))),0,IF(OFFSET(PLE!$G$14,$M432,CE$13)="",10^12,OFFSET(PLE!$G$14,$M432,CE$13))))</f>
        <v>1000000000000</v>
      </c>
      <c r="CF432" s="216">
        <f ca="1">IF($D432&lt;&gt;"Serviço",0,IF(OR(AND(AUTOEVENTO="Manual",$M432=1),$M432&gt;(ROW(PLE.lastrow)-ROW(PLE.firstrow))),0,IF(OFFSET(PLE!$G$14,$M432,CF$13)="",10^12,OFFSET(PLE!$G$14,$M432,CF$13))))</f>
        <v>1000000000000</v>
      </c>
      <c r="CG432" s="216">
        <f ca="1">IF($D432&lt;&gt;"Serviço",0,IF(OR(AND(AUTOEVENTO="Manual",$M432=1),$M432&gt;(ROW(PLE.lastrow)-ROW(PLE.firstrow))),0,IF(OFFSET(PLE!$G$14,$M432,CG$13)="",10^12,OFFSET(PLE!$G$14,$M432,CG$13))))</f>
        <v>1000000000000</v>
      </c>
      <c r="CH432" s="216">
        <f ca="1">IF($D432&lt;&gt;"Serviço",0,IF(OR(AND(AUTOEVENTO="Manual",$M432=1),$M432&gt;(ROW(PLE.lastrow)-ROW(PLE.firstrow))),0,IF(OFFSET(PLE!$G$14,$M432,CH$13)="",10^12,OFFSET(PLE!$G$14,$M432,CH$13))))</f>
        <v>1000000000000</v>
      </c>
      <c r="CI432" s="216">
        <f ca="1">IF($D432&lt;&gt;"Serviço",0,IF(OR(AND(AUTOEVENTO="Manual",$M432=1),$M432&gt;(ROW(PLE.lastrow)-ROW(PLE.firstrow))),0,IF(OFFSET(PLE!$G$14,$M432,CI$13)="",10^12,OFFSET(PLE!$G$14,$M432,CI$13))))</f>
        <v>1000000000000</v>
      </c>
      <c r="CJ432" s="216">
        <f ca="1">IF($D432&lt;&gt;"Serviço",0,IF(OR(AND(AUTOEVENTO="Manual",$M432=1),$M432&gt;(ROW(PLE.lastrow)-ROW(PLE.firstrow))),0,IF(OFFSET(PLE!$G$14,$M432,CJ$13)="",10^12,OFFSET(PLE!$G$14,$M432,CJ$13))))</f>
        <v>1000000000000</v>
      </c>
      <c r="CK432" s="216">
        <f ca="1">IF($D432&lt;&gt;"Serviço",0,IF(OR(AND(AUTOEVENTO="Manual",$M432=1),$M432&gt;(ROW(PLE.lastrow)-ROW(PLE.firstrow))),0,IF(OFFSET(PLE!$G$14,$M432,CK$13)="",10^12,OFFSET(PLE!$G$14,$M432,CK$13))))</f>
        <v>1000000000000</v>
      </c>
      <c r="CL432" s="216">
        <f ca="1">IF($D432&lt;&gt;"Serviço",0,IF(OR(AND(AUTOEVENTO="Manual",$M432=1),$M432&gt;(ROW(PLE.lastrow)-ROW(PLE.firstrow))),0,IF(OFFSET(PLE!$G$14,$M432,CL$13)="",10^12,OFFSET(PLE!$G$14,$M432,CL$13))))</f>
        <v>1000000000000</v>
      </c>
      <c r="CM432" s="216">
        <f ca="1">IF($D432&lt;&gt;"Serviço",0,IF(OR(AND(AUTOEVENTO="Manual",$M432=1),$M432&gt;(ROW(PLE.lastrow)-ROW(PLE.firstrow))),0,IF(OFFSET(PLE!$G$14,$M432,CM$13)="",10^12,OFFSET(PLE!$G$14,$M432,CM$13))))</f>
        <v>1000000000000</v>
      </c>
    </row>
    <row r="433" spans="1:91" ht="13.2" x14ac:dyDescent="0.25">
      <c r="A433" s="9">
        <f t="shared" ca="1" si="15"/>
        <v>0</v>
      </c>
      <c r="B433" s="9" t="str">
        <f ca="1">OFFSET(ORÇAMENTO!C$15,ROW(B433)-ROW(B$15),0)</f>
        <v>S</v>
      </c>
      <c r="C433" s="9" t="str">
        <f ca="1">OFFSET(ORÇAMENTO!L$15,ROW(C433)-ROW(C$15),0)</f>
        <v/>
      </c>
      <c r="D433" s="145" t="str">
        <f ca="1">OFFSET(ORÇAMENTO!N$15,ROW(D433)-ROW(D$15),0)</f>
        <v>Serviço</v>
      </c>
      <c r="E433" s="205" t="str">
        <f ca="1">OFFSET(ORÇAMENTO!O$15,ROW(E433)-ROW(E$15),0)</f>
        <v>-</v>
      </c>
      <c r="F433" s="206" t="str">
        <f ca="1">OFFSET(ORÇAMENTO!R$15,ROW(F433)-ROW(F$15),0)</f>
        <v>(abra o arquivo 'Referência 05-2024.xls)</v>
      </c>
      <c r="G433" s="207" t="str">
        <f ca="1">IF($D433&lt;&gt;"Serviço","",OFFSET(ORÇAMENTO!S$15,ROW(G433)-ROW(G$15),0))</f>
        <v>-</v>
      </c>
      <c r="H433" s="151">
        <f ca="1">IF($D433&lt;&gt;"Serviço",0,IF(ACOMPANHAMENTO="BM",ROUND(OFFSET(ORÇAMENTO!AJ$15,ROW(H433)-ROW(H$15),0),15-13*ORÇAMENTO!$AF$7),SUMPRODUCT(($Q$12:$AI$12&lt;&gt;"")*ROUND($Q433:$AI433,15-13*ORÇAMENTO!$AF$7))))</f>
        <v>2</v>
      </c>
      <c r="I433" s="650"/>
      <c r="K433" s="208"/>
      <c r="L433" s="209" t="s">
        <v>257</v>
      </c>
      <c r="M433" s="210">
        <f ca="1">IF($D433&lt;&gt;"Serviço","",IF(AUTOEVENTO="manual",$A433,IF(ISERROR(MATCH($A433,$A$15:OFFSET($A433,-1,0),0)),MAX($M$15:OFFSET(M433,-1,0))+1,INDEX($M$15:OFFSET(M433,-1,0),MATCH($A433,$A$15:OFFSET($A433,-1,0),0)))))</f>
        <v>0</v>
      </c>
      <c r="N433" s="211" t="str">
        <f ca="1">IF($D433&lt;&gt;"Serviço","",IF(AUTOEVENTO="Manual",IF($A433=0,"&lt;-- defina o número do agrupador",OFFSET(EVENTOS!$D$14,$A433,0)),OFFSET($F$15,$A433,0)))</f>
        <v>&lt;-- defina o número do agrupador</v>
      </c>
      <c r="O433" s="212"/>
      <c r="Q433" s="212"/>
      <c r="R433" s="213"/>
      <c r="S433" s="213"/>
      <c r="T433" s="213"/>
      <c r="U433" s="213"/>
      <c r="V433" s="213"/>
      <c r="W433" s="213"/>
      <c r="X433" s="213"/>
      <c r="Y433" s="213"/>
      <c r="Z433" s="214"/>
      <c r="AA433" s="213"/>
      <c r="AB433" s="213"/>
      <c r="AC433" s="213"/>
      <c r="AD433" s="213"/>
      <c r="AE433" s="213"/>
      <c r="AF433" s="213"/>
      <c r="AG433" s="213"/>
      <c r="AH433" s="214"/>
      <c r="AJ433" s="631">
        <f ca="1">IF(AND($D433="Serviço",AJ$12&lt;&gt;0,$H433&gt;0,OR(AUTOEVENTO&lt;&gt;"manual",$M433&lt;&gt;1)),ROUND(OFFSET($P433,0,AJ$13),15-13*ORÇAMENTO!$AF$7)/$H433*OFFSET(ORÇAMENTO!$X$15,ROW(AJ433)-ROW(AJ$15),0),0)</f>
        <v>0</v>
      </c>
      <c r="AK433" s="632">
        <f ca="1">IF(AND($D433="Serviço",AK$12&lt;&gt;0,$H433&gt;0,OR(AUTOEVENTO&lt;&gt;"manual",$M433&lt;&gt;1)),ROUND(OFFSET($P433,0,AK$13),15-13*ORÇAMENTO!$AF$7)/$H433*OFFSET(ORÇAMENTO!$X$15,ROW(AK433)-ROW(AK$15),0),0)</f>
        <v>0</v>
      </c>
      <c r="AL433" s="632">
        <f ca="1">IF(AND($D433="Serviço",AL$12&lt;&gt;0,$H433&gt;0,OR(AUTOEVENTO&lt;&gt;"manual",$M433&lt;&gt;1)),ROUND(OFFSET($P433,0,AL$13),15-13*ORÇAMENTO!$AF$7)/$H433*OFFSET(ORÇAMENTO!$X$15,ROW(AL433)-ROW(AL$15),0),0)</f>
        <v>0</v>
      </c>
      <c r="AM433" s="632">
        <f ca="1">IF(AND($D433="Serviço",AM$12&lt;&gt;0,$H433&gt;0,OR(AUTOEVENTO&lt;&gt;"manual",$M433&lt;&gt;1)),ROUND(OFFSET($P433,0,AM$13),15-13*ORÇAMENTO!$AF$7)/$H433*OFFSET(ORÇAMENTO!$X$15,ROW(AM433)-ROW(AM$15),0),0)</f>
        <v>0</v>
      </c>
      <c r="AN433" s="632">
        <f ca="1">IF(AND($D433="Serviço",AN$12&lt;&gt;0,$H433&gt;0,OR(AUTOEVENTO&lt;&gt;"manual",$M433&lt;&gt;1)),ROUND(OFFSET($P433,0,AN$13),15-13*ORÇAMENTO!$AF$7)/$H433*OFFSET(ORÇAMENTO!$X$15,ROW(AN433)-ROW(AN$15),0),0)</f>
        <v>0</v>
      </c>
      <c r="AO433" s="632">
        <f ca="1">IF(AND($D433="Serviço",AO$12&lt;&gt;0,$H433&gt;0,OR(AUTOEVENTO&lt;&gt;"manual",$M433&lt;&gt;1)),ROUND(OFFSET($P433,0,AO$13),15-13*ORÇAMENTO!$AF$7)/$H433*OFFSET(ORÇAMENTO!$X$15,ROW(AO433)-ROW(AO$15),0),0)</f>
        <v>0</v>
      </c>
      <c r="AP433" s="632">
        <f ca="1">IF(AND($D433="Serviço",AP$12&lt;&gt;0,$H433&gt;0,OR(AUTOEVENTO&lt;&gt;"manual",$M433&lt;&gt;1)),ROUND(OFFSET($P433,0,AP$13),15-13*ORÇAMENTO!$AF$7)/$H433*OFFSET(ORÇAMENTO!$X$15,ROW(AP433)-ROW(AP$15),0),0)</f>
        <v>0</v>
      </c>
      <c r="AQ433" s="632">
        <f ca="1">IF(AND($D433="Serviço",AQ$12&lt;&gt;0,$H433&gt;0,OR(AUTOEVENTO&lt;&gt;"manual",$M433&lt;&gt;1)),ROUND(OFFSET($P433,0,AQ$13),15-13*ORÇAMENTO!$AF$7)/$H433*OFFSET(ORÇAMENTO!$X$15,ROW(AQ433)-ROW(AQ$15),0),0)</f>
        <v>0</v>
      </c>
      <c r="AR433" s="632">
        <f ca="1">IF(AND($D433="Serviço",AR$12&lt;&gt;0,$H433&gt;0,OR(AUTOEVENTO&lt;&gt;"manual",$M433&lt;&gt;1)),ROUND(OFFSET($P433,0,AR$13),15-13*ORÇAMENTO!$AF$7)/$H433*OFFSET(ORÇAMENTO!$X$15,ROW(AR433)-ROW(AR$15),0),0)</f>
        <v>0</v>
      </c>
      <c r="AS433" s="633">
        <f ca="1">IF(AND($D433="Serviço",AS$12&lt;&gt;0,$H433&gt;0,OR(AUTOEVENTO&lt;&gt;"manual",$M433&lt;&gt;1)),ROUND(OFFSET($P433,0,AS$13),15-13*ORÇAMENTO!$AF$7)/$H433*OFFSET(ORÇAMENTO!$X$15,ROW(AS433)-ROW(AS$15),0),0)</f>
        <v>0</v>
      </c>
      <c r="AT433" s="632">
        <f ca="1">IF(AND($D433="Serviço",AT$12&lt;&gt;0,$H433&gt;0,OR(AUTOEVENTO&lt;&gt;"manual",$M433&lt;&gt;1)),ROUND(OFFSET($P433,0,AT$13),15-13*ORÇAMENTO!$AF$7)/$H433*OFFSET(ORÇAMENTO!$X$15,ROW(AT433)-ROW(AT$15),0),0)</f>
        <v>0</v>
      </c>
      <c r="AU433" s="632">
        <f ca="1">IF(AND($D433="Serviço",AU$12&lt;&gt;0,$H433&gt;0,OR(AUTOEVENTO&lt;&gt;"manual",$M433&lt;&gt;1)),ROUND(OFFSET($P433,0,AU$13),15-13*ORÇAMENTO!$AF$7)/$H433*OFFSET(ORÇAMENTO!$X$15,ROW(AU433)-ROW(AU$15),0),0)</f>
        <v>0</v>
      </c>
      <c r="AV433" s="632">
        <f ca="1">IF(AND($D433="Serviço",AV$12&lt;&gt;0,$H433&gt;0,OR(AUTOEVENTO&lt;&gt;"manual",$M433&lt;&gt;1)),ROUND(OFFSET($P433,0,AV$13),15-13*ORÇAMENTO!$AF$7)/$H433*OFFSET(ORÇAMENTO!$X$15,ROW(AV433)-ROW(AV$15),0),0)</f>
        <v>0</v>
      </c>
      <c r="AW433" s="632">
        <f ca="1">IF(AND($D433="Serviço",AW$12&lt;&gt;0,$H433&gt;0,OR(AUTOEVENTO&lt;&gt;"manual",$M433&lt;&gt;1)),ROUND(OFFSET($P433,0,AW$13),15-13*ORÇAMENTO!$AF$7)/$H433*OFFSET(ORÇAMENTO!$X$15,ROW(AW433)-ROW(AW$15),0),0)</f>
        <v>0</v>
      </c>
      <c r="AX433" s="632">
        <f ca="1">IF(AND($D433="Serviço",AX$12&lt;&gt;0,$H433&gt;0,OR(AUTOEVENTO&lt;&gt;"manual",$M433&lt;&gt;1)),ROUND(OFFSET($P433,0,AX$13),15-13*ORÇAMENTO!$AF$7)/$H433*OFFSET(ORÇAMENTO!$X$15,ROW(AX433)-ROW(AX$15),0),0)</f>
        <v>0</v>
      </c>
      <c r="AY433" s="632">
        <f ca="1">IF(AND($D433="Serviço",AY$12&lt;&gt;0,$H433&gt;0,OR(AUTOEVENTO&lt;&gt;"manual",$M433&lt;&gt;1)),ROUND(OFFSET($P433,0,AY$13),15-13*ORÇAMENTO!$AF$7)/$H433*OFFSET(ORÇAMENTO!$X$15,ROW(AY433)-ROW(AY$15),0),0)</f>
        <v>0</v>
      </c>
      <c r="AZ433" s="632">
        <f ca="1">IF(AND($D433="Serviço",AZ$12&lt;&gt;0,$H433&gt;0,OR(AUTOEVENTO&lt;&gt;"manual",$M433&lt;&gt;1)),ROUND(OFFSET($P433,0,AZ$13),15-13*ORÇAMENTO!$AF$7)/$H433*OFFSET(ORÇAMENTO!$X$15,ROW(AZ433)-ROW(AZ$15),0),0)</f>
        <v>0</v>
      </c>
      <c r="BA433" s="633">
        <f ca="1">IF(AND($D433="Serviço",BA$12&lt;&gt;0,$H433&gt;0,OR(AUTOEVENTO&lt;&gt;"manual",$M433&lt;&gt;1)),ROUND(OFFSET($P433,0,BA$13),15-13*ORÇAMENTO!$AF$7)/$H433*OFFSET(ORÇAMENTO!$X$15,ROW(BA433)-ROW(BA$15),0),0)</f>
        <v>0</v>
      </c>
      <c r="BC433" s="215">
        <f ca="1">IF($D433&lt;&gt;"Serviço",0,IF(AND(AUTOEVENTO="Manual",$M433=1),0,IF(OFFSET(CRONOPLE!$F$14,$M433,BC$13)="",10^12,OFFSET(CRONOPLE!$F$14,$M433,BC$13))))</f>
        <v>1000000000000</v>
      </c>
      <c r="BD433" s="215">
        <f ca="1">IF($D433&lt;&gt;"Serviço",0,IF(AND(AUTOEVENTO="Manual",$M433=1),0,IF(OFFSET(CRONOPLE!$F$14,$M433,BD$13)="",10^12,OFFSET(CRONOPLE!$F$14,$M433,BD$13))))</f>
        <v>1000000000000</v>
      </c>
      <c r="BE433" s="215">
        <f ca="1">IF($D433&lt;&gt;"Serviço",0,IF(AND(AUTOEVENTO="Manual",$M433=1),0,IF(OFFSET(CRONOPLE!$F$14,$M433,BE$13)="",10^12,OFFSET(CRONOPLE!$F$14,$M433,BE$13))))</f>
        <v>1000000000000</v>
      </c>
      <c r="BF433" s="215">
        <f ca="1">IF($D433&lt;&gt;"Serviço",0,IF(AND(AUTOEVENTO="Manual",$M433=1),0,IF(OFFSET(CRONOPLE!$F$14,$M433,BF$13)="",10^12,OFFSET(CRONOPLE!$F$14,$M433,BF$13))))</f>
        <v>1000000000000</v>
      </c>
      <c r="BG433" s="215">
        <f ca="1">IF($D433&lt;&gt;"Serviço",0,IF(AND(AUTOEVENTO="Manual",$M433=1),0,IF(OFFSET(CRONOPLE!$F$14,$M433,BG$13)="",10^12,OFFSET(CRONOPLE!$F$14,$M433,BG$13))))</f>
        <v>1000000000000</v>
      </c>
      <c r="BH433" s="215">
        <f ca="1">IF($D433&lt;&gt;"Serviço",0,IF(AND(AUTOEVENTO="Manual",$M433=1),0,IF(OFFSET(CRONOPLE!$F$14,$M433,BH$13)="",10^12,OFFSET(CRONOPLE!$F$14,$M433,BH$13))))</f>
        <v>1000000000000</v>
      </c>
      <c r="BI433" s="215">
        <f ca="1">IF($D433&lt;&gt;"Serviço",0,IF(AND(AUTOEVENTO="Manual",$M433=1),0,IF(OFFSET(CRONOPLE!$F$14,$M433,BI$13)="",10^12,OFFSET(CRONOPLE!$F$14,$M433,BI$13))))</f>
        <v>1000000000000</v>
      </c>
      <c r="BJ433" s="215">
        <f ca="1">IF($D433&lt;&gt;"Serviço",0,IF(AND(AUTOEVENTO="Manual",$M433=1),0,IF(OFFSET(CRONOPLE!$F$14,$M433,BJ$13)="",10^12,OFFSET(CRONOPLE!$F$14,$M433,BJ$13))))</f>
        <v>1000000000000</v>
      </c>
      <c r="BK433" s="215">
        <f ca="1">IF($D433&lt;&gt;"Serviço",0,IF(AND(AUTOEVENTO="Manual",$M433=1),0,IF(OFFSET(CRONOPLE!$F$14,$M433,BK$13)="",10^12,OFFSET(CRONOPLE!$F$14,$M433,BK$13))))</f>
        <v>1000000000000</v>
      </c>
      <c r="BL433" s="215">
        <f ca="1">IF($D433&lt;&gt;"Serviço",0,IF(AND(AUTOEVENTO="Manual",$M433=1),0,IF(OFFSET(CRONOPLE!$F$14,$M433,BL$13)="",10^12,OFFSET(CRONOPLE!$F$14,$M433,BL$13))))</f>
        <v>1000000000000</v>
      </c>
      <c r="BM433" s="215">
        <f ca="1">IF($D433&lt;&gt;"Serviço",0,IF(AND(AUTOEVENTO="Manual",$M433=1),0,IF(OFFSET(CRONOPLE!$F$14,$M433,BM$13)="",10^12,OFFSET(CRONOPLE!$F$14,$M433,BM$13))))</f>
        <v>1000000000000</v>
      </c>
      <c r="BN433" s="215">
        <f ca="1">IF($D433&lt;&gt;"Serviço",0,IF(AND(AUTOEVENTO="Manual",$M433=1),0,IF(OFFSET(CRONOPLE!$F$14,$M433,BN$13)="",10^12,OFFSET(CRONOPLE!$F$14,$M433,BN$13))))</f>
        <v>1000000000000</v>
      </c>
      <c r="BO433" s="215">
        <f ca="1">IF($D433&lt;&gt;"Serviço",0,IF(AND(AUTOEVENTO="Manual",$M433=1),0,IF(OFFSET(CRONOPLE!$F$14,$M433,BO$13)="",10^12,OFFSET(CRONOPLE!$F$14,$M433,BO$13))))</f>
        <v>1000000000000</v>
      </c>
      <c r="BP433" s="215">
        <f ca="1">IF($D433&lt;&gt;"Serviço",0,IF(AND(AUTOEVENTO="Manual",$M433=1),0,IF(OFFSET(CRONOPLE!$F$14,$M433,BP$13)="",10^12,OFFSET(CRONOPLE!$F$14,$M433,BP$13))))</f>
        <v>1000000000000</v>
      </c>
      <c r="BQ433" s="215">
        <f ca="1">IF($D433&lt;&gt;"Serviço",0,IF(AND(AUTOEVENTO="Manual",$M433=1),0,IF(OFFSET(CRONOPLE!$F$14,$M433,BQ$13)="",10^12,OFFSET(CRONOPLE!$F$14,$M433,BQ$13))))</f>
        <v>1000000000000</v>
      </c>
      <c r="BR433" s="215">
        <f ca="1">IF($D433&lt;&gt;"Serviço",0,IF(AND(AUTOEVENTO="Manual",$M433=1),0,IF(OFFSET(CRONOPLE!$F$14,$M433,BR$13)="",10^12,OFFSET(CRONOPLE!$F$14,$M433,BR$13))))</f>
        <v>1000000000000</v>
      </c>
      <c r="BS433" s="215">
        <f ca="1">IF($D433&lt;&gt;"Serviço",0,IF(AND(AUTOEVENTO="Manual",$M433=1),0,IF(OFFSET(CRONOPLE!$F$14,$M433,BS$13)="",10^12,OFFSET(CRONOPLE!$F$14,$M433,BS$13))))</f>
        <v>1000000000000</v>
      </c>
      <c r="BT433" s="215">
        <f ca="1">IF($D433&lt;&gt;"Serviço",0,IF(AND(AUTOEVENTO="Manual",$M433=1),0,IF(OFFSET(CRONOPLE!$F$14,$M433,BT$13)="",10^12,OFFSET(CRONOPLE!$F$14,$M433,BT$13))))</f>
        <v>1000000000000</v>
      </c>
      <c r="BV433" s="216">
        <f ca="1">IF($D433&lt;&gt;"Serviço",0,IF(OR(AND(AUTOEVENTO="Manual",$M433=1),$M433&gt;(ROW(PLE.lastrow)-ROW(PLE.firstrow))),0,IF(OFFSET(PLE!$G$14,$M433,BV$13)="",10^12,OFFSET(PLE!$G$14,$M433,BV$13))))</f>
        <v>1000000000000</v>
      </c>
      <c r="BW433" s="216">
        <f ca="1">IF($D433&lt;&gt;"Serviço",0,IF(OR(AND(AUTOEVENTO="Manual",$M433=1),$M433&gt;(ROW(PLE.lastrow)-ROW(PLE.firstrow))),0,IF(OFFSET(PLE!$G$14,$M433,BW$13)="",10^12,OFFSET(PLE!$G$14,$M433,BW$13))))</f>
        <v>1000000000000</v>
      </c>
      <c r="BX433" s="216">
        <f ca="1">IF($D433&lt;&gt;"Serviço",0,IF(OR(AND(AUTOEVENTO="Manual",$M433=1),$M433&gt;(ROW(PLE.lastrow)-ROW(PLE.firstrow))),0,IF(OFFSET(PLE!$G$14,$M433,BX$13)="",10^12,OFFSET(PLE!$G$14,$M433,BX$13))))</f>
        <v>1000000000000</v>
      </c>
      <c r="BY433" s="216">
        <f ca="1">IF($D433&lt;&gt;"Serviço",0,IF(OR(AND(AUTOEVENTO="Manual",$M433=1),$M433&gt;(ROW(PLE.lastrow)-ROW(PLE.firstrow))),0,IF(OFFSET(PLE!$G$14,$M433,BY$13)="",10^12,OFFSET(PLE!$G$14,$M433,BY$13))))</f>
        <v>1000000000000</v>
      </c>
      <c r="BZ433" s="216">
        <f ca="1">IF($D433&lt;&gt;"Serviço",0,IF(OR(AND(AUTOEVENTO="Manual",$M433=1),$M433&gt;(ROW(PLE.lastrow)-ROW(PLE.firstrow))),0,IF(OFFSET(PLE!$G$14,$M433,BZ$13)="",10^12,OFFSET(PLE!$G$14,$M433,BZ$13))))</f>
        <v>1000000000000</v>
      </c>
      <c r="CA433" s="216">
        <f ca="1">IF($D433&lt;&gt;"Serviço",0,IF(OR(AND(AUTOEVENTO="Manual",$M433=1),$M433&gt;(ROW(PLE.lastrow)-ROW(PLE.firstrow))),0,IF(OFFSET(PLE!$G$14,$M433,CA$13)="",10^12,OFFSET(PLE!$G$14,$M433,CA$13))))</f>
        <v>1000000000000</v>
      </c>
      <c r="CB433" s="216">
        <f ca="1">IF($D433&lt;&gt;"Serviço",0,IF(OR(AND(AUTOEVENTO="Manual",$M433=1),$M433&gt;(ROW(PLE.lastrow)-ROW(PLE.firstrow))),0,IF(OFFSET(PLE!$G$14,$M433,CB$13)="",10^12,OFFSET(PLE!$G$14,$M433,CB$13))))</f>
        <v>1000000000000</v>
      </c>
      <c r="CC433" s="216">
        <f ca="1">IF($D433&lt;&gt;"Serviço",0,IF(OR(AND(AUTOEVENTO="Manual",$M433=1),$M433&gt;(ROW(PLE.lastrow)-ROW(PLE.firstrow))),0,IF(OFFSET(PLE!$G$14,$M433,CC$13)="",10^12,OFFSET(PLE!$G$14,$M433,CC$13))))</f>
        <v>1000000000000</v>
      </c>
      <c r="CD433" s="216">
        <f ca="1">IF($D433&lt;&gt;"Serviço",0,IF(OR(AND(AUTOEVENTO="Manual",$M433=1),$M433&gt;(ROW(PLE.lastrow)-ROW(PLE.firstrow))),0,IF(OFFSET(PLE!$G$14,$M433,CD$13)="",10^12,OFFSET(PLE!$G$14,$M433,CD$13))))</f>
        <v>1000000000000</v>
      </c>
      <c r="CE433" s="216">
        <f ca="1">IF($D433&lt;&gt;"Serviço",0,IF(OR(AND(AUTOEVENTO="Manual",$M433=1),$M433&gt;(ROW(PLE.lastrow)-ROW(PLE.firstrow))),0,IF(OFFSET(PLE!$G$14,$M433,CE$13)="",10^12,OFFSET(PLE!$G$14,$M433,CE$13))))</f>
        <v>1000000000000</v>
      </c>
      <c r="CF433" s="216">
        <f ca="1">IF($D433&lt;&gt;"Serviço",0,IF(OR(AND(AUTOEVENTO="Manual",$M433=1),$M433&gt;(ROW(PLE.lastrow)-ROW(PLE.firstrow))),0,IF(OFFSET(PLE!$G$14,$M433,CF$13)="",10^12,OFFSET(PLE!$G$14,$M433,CF$13))))</f>
        <v>1000000000000</v>
      </c>
      <c r="CG433" s="216">
        <f ca="1">IF($D433&lt;&gt;"Serviço",0,IF(OR(AND(AUTOEVENTO="Manual",$M433=1),$M433&gt;(ROW(PLE.lastrow)-ROW(PLE.firstrow))),0,IF(OFFSET(PLE!$G$14,$M433,CG$13)="",10^12,OFFSET(PLE!$G$14,$M433,CG$13))))</f>
        <v>1000000000000</v>
      </c>
      <c r="CH433" s="216">
        <f ca="1">IF($D433&lt;&gt;"Serviço",0,IF(OR(AND(AUTOEVENTO="Manual",$M433=1),$M433&gt;(ROW(PLE.lastrow)-ROW(PLE.firstrow))),0,IF(OFFSET(PLE!$G$14,$M433,CH$13)="",10^12,OFFSET(PLE!$G$14,$M433,CH$13))))</f>
        <v>1000000000000</v>
      </c>
      <c r="CI433" s="216">
        <f ca="1">IF($D433&lt;&gt;"Serviço",0,IF(OR(AND(AUTOEVENTO="Manual",$M433=1),$M433&gt;(ROW(PLE.lastrow)-ROW(PLE.firstrow))),0,IF(OFFSET(PLE!$G$14,$M433,CI$13)="",10^12,OFFSET(PLE!$G$14,$M433,CI$13))))</f>
        <v>1000000000000</v>
      </c>
      <c r="CJ433" s="216">
        <f ca="1">IF($D433&lt;&gt;"Serviço",0,IF(OR(AND(AUTOEVENTO="Manual",$M433=1),$M433&gt;(ROW(PLE.lastrow)-ROW(PLE.firstrow))),0,IF(OFFSET(PLE!$G$14,$M433,CJ$13)="",10^12,OFFSET(PLE!$G$14,$M433,CJ$13))))</f>
        <v>1000000000000</v>
      </c>
      <c r="CK433" s="216">
        <f ca="1">IF($D433&lt;&gt;"Serviço",0,IF(OR(AND(AUTOEVENTO="Manual",$M433=1),$M433&gt;(ROW(PLE.lastrow)-ROW(PLE.firstrow))),0,IF(OFFSET(PLE!$G$14,$M433,CK$13)="",10^12,OFFSET(PLE!$G$14,$M433,CK$13))))</f>
        <v>1000000000000</v>
      </c>
      <c r="CL433" s="216">
        <f ca="1">IF($D433&lt;&gt;"Serviço",0,IF(OR(AND(AUTOEVENTO="Manual",$M433=1),$M433&gt;(ROW(PLE.lastrow)-ROW(PLE.firstrow))),0,IF(OFFSET(PLE!$G$14,$M433,CL$13)="",10^12,OFFSET(PLE!$G$14,$M433,CL$13))))</f>
        <v>1000000000000</v>
      </c>
      <c r="CM433" s="216">
        <f ca="1">IF($D433&lt;&gt;"Serviço",0,IF(OR(AND(AUTOEVENTO="Manual",$M433=1),$M433&gt;(ROW(PLE.lastrow)-ROW(PLE.firstrow))),0,IF(OFFSET(PLE!$G$14,$M433,CM$13)="",10^12,OFFSET(PLE!$G$14,$M433,CM$13))))</f>
        <v>1000000000000</v>
      </c>
    </row>
    <row r="434" spans="1:91" ht="13.2" x14ac:dyDescent="0.25">
      <c r="A434" s="9">
        <f t="shared" ca="1" si="15"/>
        <v>0</v>
      </c>
      <c r="B434" s="9" t="str">
        <f ca="1">OFFSET(ORÇAMENTO!C$15,ROW(B434)-ROW(B$15),0)</f>
        <v>S</v>
      </c>
      <c r="C434" s="9" t="str">
        <f ca="1">OFFSET(ORÇAMENTO!L$15,ROW(C434)-ROW(C$15),0)</f>
        <v/>
      </c>
      <c r="D434" s="145" t="str">
        <f ca="1">OFFSET(ORÇAMENTO!N$15,ROW(D434)-ROW(D$15),0)</f>
        <v>Serviço</v>
      </c>
      <c r="E434" s="205" t="str">
        <f ca="1">OFFSET(ORÇAMENTO!O$15,ROW(E434)-ROW(E$15),0)</f>
        <v>-</v>
      </c>
      <c r="F434" s="206" t="str">
        <f ca="1">OFFSET(ORÇAMENTO!R$15,ROW(F434)-ROW(F$15),0)</f>
        <v>(abra o arquivo 'Referência 05-2024.xls)</v>
      </c>
      <c r="G434" s="207" t="str">
        <f ca="1">IF($D434&lt;&gt;"Serviço","",OFFSET(ORÇAMENTO!S$15,ROW(G434)-ROW(G$15),0))</f>
        <v>-</v>
      </c>
      <c r="H434" s="151">
        <f ca="1">IF($D434&lt;&gt;"Serviço",0,IF(ACOMPANHAMENTO="BM",ROUND(OFFSET(ORÇAMENTO!AJ$15,ROW(H434)-ROW(H$15),0),15-13*ORÇAMENTO!$AF$7),SUMPRODUCT(($Q$12:$AI$12&lt;&gt;"")*ROUND($Q434:$AI434,15-13*ORÇAMENTO!$AF$7))))</f>
        <v>80</v>
      </c>
      <c r="I434" s="650"/>
      <c r="K434" s="208"/>
      <c r="L434" s="209" t="s">
        <v>257</v>
      </c>
      <c r="M434" s="210">
        <f ca="1">IF($D434&lt;&gt;"Serviço","",IF(AUTOEVENTO="manual",$A434,IF(ISERROR(MATCH($A434,$A$15:OFFSET($A434,-1,0),0)),MAX($M$15:OFFSET(M434,-1,0))+1,INDEX($M$15:OFFSET(M434,-1,0),MATCH($A434,$A$15:OFFSET($A434,-1,0),0)))))</f>
        <v>0</v>
      </c>
      <c r="N434" s="211" t="str">
        <f ca="1">IF($D434&lt;&gt;"Serviço","",IF(AUTOEVENTO="Manual",IF($A434=0,"&lt;-- defina o número do agrupador",OFFSET(EVENTOS!$D$14,$A434,0)),OFFSET($F$15,$A434,0)))</f>
        <v>&lt;-- defina o número do agrupador</v>
      </c>
      <c r="O434" s="212"/>
      <c r="Q434" s="212"/>
      <c r="R434" s="213"/>
      <c r="S434" s="213"/>
      <c r="T434" s="213"/>
      <c r="U434" s="213"/>
      <c r="V434" s="213"/>
      <c r="W434" s="213"/>
      <c r="X434" s="213"/>
      <c r="Y434" s="213"/>
      <c r="Z434" s="214"/>
      <c r="AA434" s="213"/>
      <c r="AB434" s="213"/>
      <c r="AC434" s="213"/>
      <c r="AD434" s="213"/>
      <c r="AE434" s="213"/>
      <c r="AF434" s="213"/>
      <c r="AG434" s="213"/>
      <c r="AH434" s="214"/>
      <c r="AJ434" s="631">
        <f ca="1">IF(AND($D434="Serviço",AJ$12&lt;&gt;0,$H434&gt;0,OR(AUTOEVENTO&lt;&gt;"manual",$M434&lt;&gt;1)),ROUND(OFFSET($P434,0,AJ$13),15-13*ORÇAMENTO!$AF$7)/$H434*OFFSET(ORÇAMENTO!$X$15,ROW(AJ434)-ROW(AJ$15),0),0)</f>
        <v>0</v>
      </c>
      <c r="AK434" s="632">
        <f ca="1">IF(AND($D434="Serviço",AK$12&lt;&gt;0,$H434&gt;0,OR(AUTOEVENTO&lt;&gt;"manual",$M434&lt;&gt;1)),ROUND(OFFSET($P434,0,AK$13),15-13*ORÇAMENTO!$AF$7)/$H434*OFFSET(ORÇAMENTO!$X$15,ROW(AK434)-ROW(AK$15),0),0)</f>
        <v>0</v>
      </c>
      <c r="AL434" s="632">
        <f ca="1">IF(AND($D434="Serviço",AL$12&lt;&gt;0,$H434&gt;0,OR(AUTOEVENTO&lt;&gt;"manual",$M434&lt;&gt;1)),ROUND(OFFSET($P434,0,AL$13),15-13*ORÇAMENTO!$AF$7)/$H434*OFFSET(ORÇAMENTO!$X$15,ROW(AL434)-ROW(AL$15),0),0)</f>
        <v>0</v>
      </c>
      <c r="AM434" s="632">
        <f ca="1">IF(AND($D434="Serviço",AM$12&lt;&gt;0,$H434&gt;0,OR(AUTOEVENTO&lt;&gt;"manual",$M434&lt;&gt;1)),ROUND(OFFSET($P434,0,AM$13),15-13*ORÇAMENTO!$AF$7)/$H434*OFFSET(ORÇAMENTO!$X$15,ROW(AM434)-ROW(AM$15),0),0)</f>
        <v>0</v>
      </c>
      <c r="AN434" s="632">
        <f ca="1">IF(AND($D434="Serviço",AN$12&lt;&gt;0,$H434&gt;0,OR(AUTOEVENTO&lt;&gt;"manual",$M434&lt;&gt;1)),ROUND(OFFSET($P434,0,AN$13),15-13*ORÇAMENTO!$AF$7)/$H434*OFFSET(ORÇAMENTO!$X$15,ROW(AN434)-ROW(AN$15),0),0)</f>
        <v>0</v>
      </c>
      <c r="AO434" s="632">
        <f ca="1">IF(AND($D434="Serviço",AO$12&lt;&gt;0,$H434&gt;0,OR(AUTOEVENTO&lt;&gt;"manual",$M434&lt;&gt;1)),ROUND(OFFSET($P434,0,AO$13),15-13*ORÇAMENTO!$AF$7)/$H434*OFFSET(ORÇAMENTO!$X$15,ROW(AO434)-ROW(AO$15),0),0)</f>
        <v>0</v>
      </c>
      <c r="AP434" s="632">
        <f ca="1">IF(AND($D434="Serviço",AP$12&lt;&gt;0,$H434&gt;0,OR(AUTOEVENTO&lt;&gt;"manual",$M434&lt;&gt;1)),ROUND(OFFSET($P434,0,AP$13),15-13*ORÇAMENTO!$AF$7)/$H434*OFFSET(ORÇAMENTO!$X$15,ROW(AP434)-ROW(AP$15),0),0)</f>
        <v>0</v>
      </c>
      <c r="AQ434" s="632">
        <f ca="1">IF(AND($D434="Serviço",AQ$12&lt;&gt;0,$H434&gt;0,OR(AUTOEVENTO&lt;&gt;"manual",$M434&lt;&gt;1)),ROUND(OFFSET($P434,0,AQ$13),15-13*ORÇAMENTO!$AF$7)/$H434*OFFSET(ORÇAMENTO!$X$15,ROW(AQ434)-ROW(AQ$15),0),0)</f>
        <v>0</v>
      </c>
      <c r="AR434" s="632">
        <f ca="1">IF(AND($D434="Serviço",AR$12&lt;&gt;0,$H434&gt;0,OR(AUTOEVENTO&lt;&gt;"manual",$M434&lt;&gt;1)),ROUND(OFFSET($P434,0,AR$13),15-13*ORÇAMENTO!$AF$7)/$H434*OFFSET(ORÇAMENTO!$X$15,ROW(AR434)-ROW(AR$15),0),0)</f>
        <v>0</v>
      </c>
      <c r="AS434" s="633">
        <f ca="1">IF(AND($D434="Serviço",AS$12&lt;&gt;0,$H434&gt;0,OR(AUTOEVENTO&lt;&gt;"manual",$M434&lt;&gt;1)),ROUND(OFFSET($P434,0,AS$13),15-13*ORÇAMENTO!$AF$7)/$H434*OFFSET(ORÇAMENTO!$X$15,ROW(AS434)-ROW(AS$15),0),0)</f>
        <v>0</v>
      </c>
      <c r="AT434" s="632">
        <f ca="1">IF(AND($D434="Serviço",AT$12&lt;&gt;0,$H434&gt;0,OR(AUTOEVENTO&lt;&gt;"manual",$M434&lt;&gt;1)),ROUND(OFFSET($P434,0,AT$13),15-13*ORÇAMENTO!$AF$7)/$H434*OFFSET(ORÇAMENTO!$X$15,ROW(AT434)-ROW(AT$15),0),0)</f>
        <v>0</v>
      </c>
      <c r="AU434" s="632">
        <f ca="1">IF(AND($D434="Serviço",AU$12&lt;&gt;0,$H434&gt;0,OR(AUTOEVENTO&lt;&gt;"manual",$M434&lt;&gt;1)),ROUND(OFFSET($P434,0,AU$13),15-13*ORÇAMENTO!$AF$7)/$H434*OFFSET(ORÇAMENTO!$X$15,ROW(AU434)-ROW(AU$15),0),0)</f>
        <v>0</v>
      </c>
      <c r="AV434" s="632">
        <f ca="1">IF(AND($D434="Serviço",AV$12&lt;&gt;0,$H434&gt;0,OR(AUTOEVENTO&lt;&gt;"manual",$M434&lt;&gt;1)),ROUND(OFFSET($P434,0,AV$13),15-13*ORÇAMENTO!$AF$7)/$H434*OFFSET(ORÇAMENTO!$X$15,ROW(AV434)-ROW(AV$15),0),0)</f>
        <v>0</v>
      </c>
      <c r="AW434" s="632">
        <f ca="1">IF(AND($D434="Serviço",AW$12&lt;&gt;0,$H434&gt;0,OR(AUTOEVENTO&lt;&gt;"manual",$M434&lt;&gt;1)),ROUND(OFFSET($P434,0,AW$13),15-13*ORÇAMENTO!$AF$7)/$H434*OFFSET(ORÇAMENTO!$X$15,ROW(AW434)-ROW(AW$15),0),0)</f>
        <v>0</v>
      </c>
      <c r="AX434" s="632">
        <f ca="1">IF(AND($D434="Serviço",AX$12&lt;&gt;0,$H434&gt;0,OR(AUTOEVENTO&lt;&gt;"manual",$M434&lt;&gt;1)),ROUND(OFFSET($P434,0,AX$13),15-13*ORÇAMENTO!$AF$7)/$H434*OFFSET(ORÇAMENTO!$X$15,ROW(AX434)-ROW(AX$15),0),0)</f>
        <v>0</v>
      </c>
      <c r="AY434" s="632">
        <f ca="1">IF(AND($D434="Serviço",AY$12&lt;&gt;0,$H434&gt;0,OR(AUTOEVENTO&lt;&gt;"manual",$M434&lt;&gt;1)),ROUND(OFFSET($P434,0,AY$13),15-13*ORÇAMENTO!$AF$7)/$H434*OFFSET(ORÇAMENTO!$X$15,ROW(AY434)-ROW(AY$15),0),0)</f>
        <v>0</v>
      </c>
      <c r="AZ434" s="632">
        <f ca="1">IF(AND($D434="Serviço",AZ$12&lt;&gt;0,$H434&gt;0,OR(AUTOEVENTO&lt;&gt;"manual",$M434&lt;&gt;1)),ROUND(OFFSET($P434,0,AZ$13),15-13*ORÇAMENTO!$AF$7)/$H434*OFFSET(ORÇAMENTO!$X$15,ROW(AZ434)-ROW(AZ$15),0),0)</f>
        <v>0</v>
      </c>
      <c r="BA434" s="633">
        <f ca="1">IF(AND($D434="Serviço",BA$12&lt;&gt;0,$H434&gt;0,OR(AUTOEVENTO&lt;&gt;"manual",$M434&lt;&gt;1)),ROUND(OFFSET($P434,0,BA$13),15-13*ORÇAMENTO!$AF$7)/$H434*OFFSET(ORÇAMENTO!$X$15,ROW(BA434)-ROW(BA$15),0),0)</f>
        <v>0</v>
      </c>
      <c r="BC434" s="215">
        <f ca="1">IF($D434&lt;&gt;"Serviço",0,IF(AND(AUTOEVENTO="Manual",$M434=1),0,IF(OFFSET(CRONOPLE!$F$14,$M434,BC$13)="",10^12,OFFSET(CRONOPLE!$F$14,$M434,BC$13))))</f>
        <v>1000000000000</v>
      </c>
      <c r="BD434" s="215">
        <f ca="1">IF($D434&lt;&gt;"Serviço",0,IF(AND(AUTOEVENTO="Manual",$M434=1),0,IF(OFFSET(CRONOPLE!$F$14,$M434,BD$13)="",10^12,OFFSET(CRONOPLE!$F$14,$M434,BD$13))))</f>
        <v>1000000000000</v>
      </c>
      <c r="BE434" s="215">
        <f ca="1">IF($D434&lt;&gt;"Serviço",0,IF(AND(AUTOEVENTO="Manual",$M434=1),0,IF(OFFSET(CRONOPLE!$F$14,$M434,BE$13)="",10^12,OFFSET(CRONOPLE!$F$14,$M434,BE$13))))</f>
        <v>1000000000000</v>
      </c>
      <c r="BF434" s="215">
        <f ca="1">IF($D434&lt;&gt;"Serviço",0,IF(AND(AUTOEVENTO="Manual",$M434=1),0,IF(OFFSET(CRONOPLE!$F$14,$M434,BF$13)="",10^12,OFFSET(CRONOPLE!$F$14,$M434,BF$13))))</f>
        <v>1000000000000</v>
      </c>
      <c r="BG434" s="215">
        <f ca="1">IF($D434&lt;&gt;"Serviço",0,IF(AND(AUTOEVENTO="Manual",$M434=1),0,IF(OFFSET(CRONOPLE!$F$14,$M434,BG$13)="",10^12,OFFSET(CRONOPLE!$F$14,$M434,BG$13))))</f>
        <v>1000000000000</v>
      </c>
      <c r="BH434" s="215">
        <f ca="1">IF($D434&lt;&gt;"Serviço",0,IF(AND(AUTOEVENTO="Manual",$M434=1),0,IF(OFFSET(CRONOPLE!$F$14,$M434,BH$13)="",10^12,OFFSET(CRONOPLE!$F$14,$M434,BH$13))))</f>
        <v>1000000000000</v>
      </c>
      <c r="BI434" s="215">
        <f ca="1">IF($D434&lt;&gt;"Serviço",0,IF(AND(AUTOEVENTO="Manual",$M434=1),0,IF(OFFSET(CRONOPLE!$F$14,$M434,BI$13)="",10^12,OFFSET(CRONOPLE!$F$14,$M434,BI$13))))</f>
        <v>1000000000000</v>
      </c>
      <c r="BJ434" s="215">
        <f ca="1">IF($D434&lt;&gt;"Serviço",0,IF(AND(AUTOEVENTO="Manual",$M434=1),0,IF(OFFSET(CRONOPLE!$F$14,$M434,BJ$13)="",10^12,OFFSET(CRONOPLE!$F$14,$M434,BJ$13))))</f>
        <v>1000000000000</v>
      </c>
      <c r="BK434" s="215">
        <f ca="1">IF($D434&lt;&gt;"Serviço",0,IF(AND(AUTOEVENTO="Manual",$M434=1),0,IF(OFFSET(CRONOPLE!$F$14,$M434,BK$13)="",10^12,OFFSET(CRONOPLE!$F$14,$M434,BK$13))))</f>
        <v>1000000000000</v>
      </c>
      <c r="BL434" s="215">
        <f ca="1">IF($D434&lt;&gt;"Serviço",0,IF(AND(AUTOEVENTO="Manual",$M434=1),0,IF(OFFSET(CRONOPLE!$F$14,$M434,BL$13)="",10^12,OFFSET(CRONOPLE!$F$14,$M434,BL$13))))</f>
        <v>1000000000000</v>
      </c>
      <c r="BM434" s="215">
        <f ca="1">IF($D434&lt;&gt;"Serviço",0,IF(AND(AUTOEVENTO="Manual",$M434=1),0,IF(OFFSET(CRONOPLE!$F$14,$M434,BM$13)="",10^12,OFFSET(CRONOPLE!$F$14,$M434,BM$13))))</f>
        <v>1000000000000</v>
      </c>
      <c r="BN434" s="215">
        <f ca="1">IF($D434&lt;&gt;"Serviço",0,IF(AND(AUTOEVENTO="Manual",$M434=1),0,IF(OFFSET(CRONOPLE!$F$14,$M434,BN$13)="",10^12,OFFSET(CRONOPLE!$F$14,$M434,BN$13))))</f>
        <v>1000000000000</v>
      </c>
      <c r="BO434" s="215">
        <f ca="1">IF($D434&lt;&gt;"Serviço",0,IF(AND(AUTOEVENTO="Manual",$M434=1),0,IF(OFFSET(CRONOPLE!$F$14,$M434,BO$13)="",10^12,OFFSET(CRONOPLE!$F$14,$M434,BO$13))))</f>
        <v>1000000000000</v>
      </c>
      <c r="BP434" s="215">
        <f ca="1">IF($D434&lt;&gt;"Serviço",0,IF(AND(AUTOEVENTO="Manual",$M434=1),0,IF(OFFSET(CRONOPLE!$F$14,$M434,BP$13)="",10^12,OFFSET(CRONOPLE!$F$14,$M434,BP$13))))</f>
        <v>1000000000000</v>
      </c>
      <c r="BQ434" s="215">
        <f ca="1">IF($D434&lt;&gt;"Serviço",0,IF(AND(AUTOEVENTO="Manual",$M434=1),0,IF(OFFSET(CRONOPLE!$F$14,$M434,BQ$13)="",10^12,OFFSET(CRONOPLE!$F$14,$M434,BQ$13))))</f>
        <v>1000000000000</v>
      </c>
      <c r="BR434" s="215">
        <f ca="1">IF($D434&lt;&gt;"Serviço",0,IF(AND(AUTOEVENTO="Manual",$M434=1),0,IF(OFFSET(CRONOPLE!$F$14,$M434,BR$13)="",10^12,OFFSET(CRONOPLE!$F$14,$M434,BR$13))))</f>
        <v>1000000000000</v>
      </c>
      <c r="BS434" s="215">
        <f ca="1">IF($D434&lt;&gt;"Serviço",0,IF(AND(AUTOEVENTO="Manual",$M434=1),0,IF(OFFSET(CRONOPLE!$F$14,$M434,BS$13)="",10^12,OFFSET(CRONOPLE!$F$14,$M434,BS$13))))</f>
        <v>1000000000000</v>
      </c>
      <c r="BT434" s="215">
        <f ca="1">IF($D434&lt;&gt;"Serviço",0,IF(AND(AUTOEVENTO="Manual",$M434=1),0,IF(OFFSET(CRONOPLE!$F$14,$M434,BT$13)="",10^12,OFFSET(CRONOPLE!$F$14,$M434,BT$13))))</f>
        <v>1000000000000</v>
      </c>
      <c r="BV434" s="216">
        <f ca="1">IF($D434&lt;&gt;"Serviço",0,IF(OR(AND(AUTOEVENTO="Manual",$M434=1),$M434&gt;(ROW(PLE.lastrow)-ROW(PLE.firstrow))),0,IF(OFFSET(PLE!$G$14,$M434,BV$13)="",10^12,OFFSET(PLE!$G$14,$M434,BV$13))))</f>
        <v>1000000000000</v>
      </c>
      <c r="BW434" s="216">
        <f ca="1">IF($D434&lt;&gt;"Serviço",0,IF(OR(AND(AUTOEVENTO="Manual",$M434=1),$M434&gt;(ROW(PLE.lastrow)-ROW(PLE.firstrow))),0,IF(OFFSET(PLE!$G$14,$M434,BW$13)="",10^12,OFFSET(PLE!$G$14,$M434,BW$13))))</f>
        <v>1000000000000</v>
      </c>
      <c r="BX434" s="216">
        <f ca="1">IF($D434&lt;&gt;"Serviço",0,IF(OR(AND(AUTOEVENTO="Manual",$M434=1),$M434&gt;(ROW(PLE.lastrow)-ROW(PLE.firstrow))),0,IF(OFFSET(PLE!$G$14,$M434,BX$13)="",10^12,OFFSET(PLE!$G$14,$M434,BX$13))))</f>
        <v>1000000000000</v>
      </c>
      <c r="BY434" s="216">
        <f ca="1">IF($D434&lt;&gt;"Serviço",0,IF(OR(AND(AUTOEVENTO="Manual",$M434=1),$M434&gt;(ROW(PLE.lastrow)-ROW(PLE.firstrow))),0,IF(OFFSET(PLE!$G$14,$M434,BY$13)="",10^12,OFFSET(PLE!$G$14,$M434,BY$13))))</f>
        <v>1000000000000</v>
      </c>
      <c r="BZ434" s="216">
        <f ca="1">IF($D434&lt;&gt;"Serviço",0,IF(OR(AND(AUTOEVENTO="Manual",$M434=1),$M434&gt;(ROW(PLE.lastrow)-ROW(PLE.firstrow))),0,IF(OFFSET(PLE!$G$14,$M434,BZ$13)="",10^12,OFFSET(PLE!$G$14,$M434,BZ$13))))</f>
        <v>1000000000000</v>
      </c>
      <c r="CA434" s="216">
        <f ca="1">IF($D434&lt;&gt;"Serviço",0,IF(OR(AND(AUTOEVENTO="Manual",$M434=1),$M434&gt;(ROW(PLE.lastrow)-ROW(PLE.firstrow))),0,IF(OFFSET(PLE!$G$14,$M434,CA$13)="",10^12,OFFSET(PLE!$G$14,$M434,CA$13))))</f>
        <v>1000000000000</v>
      </c>
      <c r="CB434" s="216">
        <f ca="1">IF($D434&lt;&gt;"Serviço",0,IF(OR(AND(AUTOEVENTO="Manual",$M434=1),$M434&gt;(ROW(PLE.lastrow)-ROW(PLE.firstrow))),0,IF(OFFSET(PLE!$G$14,$M434,CB$13)="",10^12,OFFSET(PLE!$G$14,$M434,CB$13))))</f>
        <v>1000000000000</v>
      </c>
      <c r="CC434" s="216">
        <f ca="1">IF($D434&lt;&gt;"Serviço",0,IF(OR(AND(AUTOEVENTO="Manual",$M434=1),$M434&gt;(ROW(PLE.lastrow)-ROW(PLE.firstrow))),0,IF(OFFSET(PLE!$G$14,$M434,CC$13)="",10^12,OFFSET(PLE!$G$14,$M434,CC$13))))</f>
        <v>1000000000000</v>
      </c>
      <c r="CD434" s="216">
        <f ca="1">IF($D434&lt;&gt;"Serviço",0,IF(OR(AND(AUTOEVENTO="Manual",$M434=1),$M434&gt;(ROW(PLE.lastrow)-ROW(PLE.firstrow))),0,IF(OFFSET(PLE!$G$14,$M434,CD$13)="",10^12,OFFSET(PLE!$G$14,$M434,CD$13))))</f>
        <v>1000000000000</v>
      </c>
      <c r="CE434" s="216">
        <f ca="1">IF($D434&lt;&gt;"Serviço",0,IF(OR(AND(AUTOEVENTO="Manual",$M434=1),$M434&gt;(ROW(PLE.lastrow)-ROW(PLE.firstrow))),0,IF(OFFSET(PLE!$G$14,$M434,CE$13)="",10^12,OFFSET(PLE!$G$14,$M434,CE$13))))</f>
        <v>1000000000000</v>
      </c>
      <c r="CF434" s="216">
        <f ca="1">IF($D434&lt;&gt;"Serviço",0,IF(OR(AND(AUTOEVENTO="Manual",$M434=1),$M434&gt;(ROW(PLE.lastrow)-ROW(PLE.firstrow))),0,IF(OFFSET(PLE!$G$14,$M434,CF$13)="",10^12,OFFSET(PLE!$G$14,$M434,CF$13))))</f>
        <v>1000000000000</v>
      </c>
      <c r="CG434" s="216">
        <f ca="1">IF($D434&lt;&gt;"Serviço",0,IF(OR(AND(AUTOEVENTO="Manual",$M434=1),$M434&gt;(ROW(PLE.lastrow)-ROW(PLE.firstrow))),0,IF(OFFSET(PLE!$G$14,$M434,CG$13)="",10^12,OFFSET(PLE!$G$14,$M434,CG$13))))</f>
        <v>1000000000000</v>
      </c>
      <c r="CH434" s="216">
        <f ca="1">IF($D434&lt;&gt;"Serviço",0,IF(OR(AND(AUTOEVENTO="Manual",$M434=1),$M434&gt;(ROW(PLE.lastrow)-ROW(PLE.firstrow))),0,IF(OFFSET(PLE!$G$14,$M434,CH$13)="",10^12,OFFSET(PLE!$G$14,$M434,CH$13))))</f>
        <v>1000000000000</v>
      </c>
      <c r="CI434" s="216">
        <f ca="1">IF($D434&lt;&gt;"Serviço",0,IF(OR(AND(AUTOEVENTO="Manual",$M434=1),$M434&gt;(ROW(PLE.lastrow)-ROW(PLE.firstrow))),0,IF(OFFSET(PLE!$G$14,$M434,CI$13)="",10^12,OFFSET(PLE!$G$14,$M434,CI$13))))</f>
        <v>1000000000000</v>
      </c>
      <c r="CJ434" s="216">
        <f ca="1">IF($D434&lt;&gt;"Serviço",0,IF(OR(AND(AUTOEVENTO="Manual",$M434=1),$M434&gt;(ROW(PLE.lastrow)-ROW(PLE.firstrow))),0,IF(OFFSET(PLE!$G$14,$M434,CJ$13)="",10^12,OFFSET(PLE!$G$14,$M434,CJ$13))))</f>
        <v>1000000000000</v>
      </c>
      <c r="CK434" s="216">
        <f ca="1">IF($D434&lt;&gt;"Serviço",0,IF(OR(AND(AUTOEVENTO="Manual",$M434=1),$M434&gt;(ROW(PLE.lastrow)-ROW(PLE.firstrow))),0,IF(OFFSET(PLE!$G$14,$M434,CK$13)="",10^12,OFFSET(PLE!$G$14,$M434,CK$13))))</f>
        <v>1000000000000</v>
      </c>
      <c r="CL434" s="216">
        <f ca="1">IF($D434&lt;&gt;"Serviço",0,IF(OR(AND(AUTOEVENTO="Manual",$M434=1),$M434&gt;(ROW(PLE.lastrow)-ROW(PLE.firstrow))),0,IF(OFFSET(PLE!$G$14,$M434,CL$13)="",10^12,OFFSET(PLE!$G$14,$M434,CL$13))))</f>
        <v>1000000000000</v>
      </c>
      <c r="CM434" s="216">
        <f ca="1">IF($D434&lt;&gt;"Serviço",0,IF(OR(AND(AUTOEVENTO="Manual",$M434=1),$M434&gt;(ROW(PLE.lastrow)-ROW(PLE.firstrow))),0,IF(OFFSET(PLE!$G$14,$M434,CM$13)="",10^12,OFFSET(PLE!$G$14,$M434,CM$13))))</f>
        <v>1000000000000</v>
      </c>
    </row>
    <row r="435" spans="1:91" ht="13.2" x14ac:dyDescent="0.25">
      <c r="A435" s="9">
        <f t="shared" ca="1" si="15"/>
        <v>0</v>
      </c>
      <c r="B435" s="9" t="str">
        <f ca="1">OFFSET(ORÇAMENTO!C$15,ROW(B435)-ROW(B$15),0)</f>
        <v>S</v>
      </c>
      <c r="C435" s="9" t="str">
        <f ca="1">OFFSET(ORÇAMENTO!L$15,ROW(C435)-ROW(C$15),0)</f>
        <v/>
      </c>
      <c r="D435" s="145" t="str">
        <f ca="1">OFFSET(ORÇAMENTO!N$15,ROW(D435)-ROW(D$15),0)</f>
        <v>Serviço</v>
      </c>
      <c r="E435" s="205" t="str">
        <f ca="1">OFFSET(ORÇAMENTO!O$15,ROW(E435)-ROW(E$15),0)</f>
        <v>-</v>
      </c>
      <c r="F435" s="206" t="str">
        <f ca="1">OFFSET(ORÇAMENTO!R$15,ROW(F435)-ROW(F$15),0)</f>
        <v>(abra o arquivo 'Referência 05-2024.xls)</v>
      </c>
      <c r="G435" s="207" t="str">
        <f ca="1">IF($D435&lt;&gt;"Serviço","",OFFSET(ORÇAMENTO!S$15,ROW(G435)-ROW(G$15),0))</f>
        <v>-</v>
      </c>
      <c r="H435" s="151">
        <f ca="1">IF($D435&lt;&gt;"Serviço",0,IF(ACOMPANHAMENTO="BM",ROUND(OFFSET(ORÇAMENTO!AJ$15,ROW(H435)-ROW(H$15),0),15-13*ORÇAMENTO!$AF$7),SUMPRODUCT(($Q$12:$AI$12&lt;&gt;"")*ROUND($Q435:$AI435,15-13*ORÇAMENTO!$AF$7))))</f>
        <v>9</v>
      </c>
      <c r="I435" s="650"/>
      <c r="K435" s="208"/>
      <c r="L435" s="209" t="s">
        <v>257</v>
      </c>
      <c r="M435" s="210">
        <f ca="1">IF($D435&lt;&gt;"Serviço","",IF(AUTOEVENTO="manual",$A435,IF(ISERROR(MATCH($A435,$A$15:OFFSET($A435,-1,0),0)),MAX($M$15:OFFSET(M435,-1,0))+1,INDEX($M$15:OFFSET(M435,-1,0),MATCH($A435,$A$15:OFFSET($A435,-1,0),0)))))</f>
        <v>0</v>
      </c>
      <c r="N435" s="211" t="str">
        <f ca="1">IF($D435&lt;&gt;"Serviço","",IF(AUTOEVENTO="Manual",IF($A435=0,"&lt;-- defina o número do agrupador",OFFSET(EVENTOS!$D$14,$A435,0)),OFFSET($F$15,$A435,0)))</f>
        <v>&lt;-- defina o número do agrupador</v>
      </c>
      <c r="O435" s="212"/>
      <c r="Q435" s="212"/>
      <c r="R435" s="213"/>
      <c r="S435" s="213"/>
      <c r="T435" s="213"/>
      <c r="U435" s="213"/>
      <c r="V435" s="213"/>
      <c r="W435" s="213"/>
      <c r="X435" s="213"/>
      <c r="Y435" s="213"/>
      <c r="Z435" s="214"/>
      <c r="AA435" s="213"/>
      <c r="AB435" s="213"/>
      <c r="AC435" s="213"/>
      <c r="AD435" s="213"/>
      <c r="AE435" s="213"/>
      <c r="AF435" s="213"/>
      <c r="AG435" s="213"/>
      <c r="AH435" s="214"/>
      <c r="AJ435" s="631">
        <f ca="1">IF(AND($D435="Serviço",AJ$12&lt;&gt;0,$H435&gt;0,OR(AUTOEVENTO&lt;&gt;"manual",$M435&lt;&gt;1)),ROUND(OFFSET($P435,0,AJ$13),15-13*ORÇAMENTO!$AF$7)/$H435*OFFSET(ORÇAMENTO!$X$15,ROW(AJ435)-ROW(AJ$15),0),0)</f>
        <v>0</v>
      </c>
      <c r="AK435" s="632">
        <f ca="1">IF(AND($D435="Serviço",AK$12&lt;&gt;0,$H435&gt;0,OR(AUTOEVENTO&lt;&gt;"manual",$M435&lt;&gt;1)),ROUND(OFFSET($P435,0,AK$13),15-13*ORÇAMENTO!$AF$7)/$H435*OFFSET(ORÇAMENTO!$X$15,ROW(AK435)-ROW(AK$15),0),0)</f>
        <v>0</v>
      </c>
      <c r="AL435" s="632">
        <f ca="1">IF(AND($D435="Serviço",AL$12&lt;&gt;0,$H435&gt;0,OR(AUTOEVENTO&lt;&gt;"manual",$M435&lt;&gt;1)),ROUND(OFFSET($P435,0,AL$13),15-13*ORÇAMENTO!$AF$7)/$H435*OFFSET(ORÇAMENTO!$X$15,ROW(AL435)-ROW(AL$15),0),0)</f>
        <v>0</v>
      </c>
      <c r="AM435" s="632">
        <f ca="1">IF(AND($D435="Serviço",AM$12&lt;&gt;0,$H435&gt;0,OR(AUTOEVENTO&lt;&gt;"manual",$M435&lt;&gt;1)),ROUND(OFFSET($P435,0,AM$13),15-13*ORÇAMENTO!$AF$7)/$H435*OFFSET(ORÇAMENTO!$X$15,ROW(AM435)-ROW(AM$15),0),0)</f>
        <v>0</v>
      </c>
      <c r="AN435" s="632">
        <f ca="1">IF(AND($D435="Serviço",AN$12&lt;&gt;0,$H435&gt;0,OR(AUTOEVENTO&lt;&gt;"manual",$M435&lt;&gt;1)),ROUND(OFFSET($P435,0,AN$13),15-13*ORÇAMENTO!$AF$7)/$H435*OFFSET(ORÇAMENTO!$X$15,ROW(AN435)-ROW(AN$15),0),0)</f>
        <v>0</v>
      </c>
      <c r="AO435" s="632">
        <f ca="1">IF(AND($D435="Serviço",AO$12&lt;&gt;0,$H435&gt;0,OR(AUTOEVENTO&lt;&gt;"manual",$M435&lt;&gt;1)),ROUND(OFFSET($P435,0,AO$13),15-13*ORÇAMENTO!$AF$7)/$H435*OFFSET(ORÇAMENTO!$X$15,ROW(AO435)-ROW(AO$15),0),0)</f>
        <v>0</v>
      </c>
      <c r="AP435" s="632">
        <f ca="1">IF(AND($D435="Serviço",AP$12&lt;&gt;0,$H435&gt;0,OR(AUTOEVENTO&lt;&gt;"manual",$M435&lt;&gt;1)),ROUND(OFFSET($P435,0,AP$13),15-13*ORÇAMENTO!$AF$7)/$H435*OFFSET(ORÇAMENTO!$X$15,ROW(AP435)-ROW(AP$15),0),0)</f>
        <v>0</v>
      </c>
      <c r="AQ435" s="632">
        <f ca="1">IF(AND($D435="Serviço",AQ$12&lt;&gt;0,$H435&gt;0,OR(AUTOEVENTO&lt;&gt;"manual",$M435&lt;&gt;1)),ROUND(OFFSET($P435,0,AQ$13),15-13*ORÇAMENTO!$AF$7)/$H435*OFFSET(ORÇAMENTO!$X$15,ROW(AQ435)-ROW(AQ$15),0),0)</f>
        <v>0</v>
      </c>
      <c r="AR435" s="632">
        <f ca="1">IF(AND($D435="Serviço",AR$12&lt;&gt;0,$H435&gt;0,OR(AUTOEVENTO&lt;&gt;"manual",$M435&lt;&gt;1)),ROUND(OFFSET($P435,0,AR$13),15-13*ORÇAMENTO!$AF$7)/$H435*OFFSET(ORÇAMENTO!$X$15,ROW(AR435)-ROW(AR$15),0),0)</f>
        <v>0</v>
      </c>
      <c r="AS435" s="633">
        <f ca="1">IF(AND($D435="Serviço",AS$12&lt;&gt;0,$H435&gt;0,OR(AUTOEVENTO&lt;&gt;"manual",$M435&lt;&gt;1)),ROUND(OFFSET($P435,0,AS$13),15-13*ORÇAMENTO!$AF$7)/$H435*OFFSET(ORÇAMENTO!$X$15,ROW(AS435)-ROW(AS$15),0),0)</f>
        <v>0</v>
      </c>
      <c r="AT435" s="632">
        <f ca="1">IF(AND($D435="Serviço",AT$12&lt;&gt;0,$H435&gt;0,OR(AUTOEVENTO&lt;&gt;"manual",$M435&lt;&gt;1)),ROUND(OFFSET($P435,0,AT$13),15-13*ORÇAMENTO!$AF$7)/$H435*OFFSET(ORÇAMENTO!$X$15,ROW(AT435)-ROW(AT$15),0),0)</f>
        <v>0</v>
      </c>
      <c r="AU435" s="632">
        <f ca="1">IF(AND($D435="Serviço",AU$12&lt;&gt;0,$H435&gt;0,OR(AUTOEVENTO&lt;&gt;"manual",$M435&lt;&gt;1)),ROUND(OFFSET($P435,0,AU$13),15-13*ORÇAMENTO!$AF$7)/$H435*OFFSET(ORÇAMENTO!$X$15,ROW(AU435)-ROW(AU$15),0),0)</f>
        <v>0</v>
      </c>
      <c r="AV435" s="632">
        <f ca="1">IF(AND($D435="Serviço",AV$12&lt;&gt;0,$H435&gt;0,OR(AUTOEVENTO&lt;&gt;"manual",$M435&lt;&gt;1)),ROUND(OFFSET($P435,0,AV$13),15-13*ORÇAMENTO!$AF$7)/$H435*OFFSET(ORÇAMENTO!$X$15,ROW(AV435)-ROW(AV$15),0),0)</f>
        <v>0</v>
      </c>
      <c r="AW435" s="632">
        <f ca="1">IF(AND($D435="Serviço",AW$12&lt;&gt;0,$H435&gt;0,OR(AUTOEVENTO&lt;&gt;"manual",$M435&lt;&gt;1)),ROUND(OFFSET($P435,0,AW$13),15-13*ORÇAMENTO!$AF$7)/$H435*OFFSET(ORÇAMENTO!$X$15,ROW(AW435)-ROW(AW$15),0),0)</f>
        <v>0</v>
      </c>
      <c r="AX435" s="632">
        <f ca="1">IF(AND($D435="Serviço",AX$12&lt;&gt;0,$H435&gt;0,OR(AUTOEVENTO&lt;&gt;"manual",$M435&lt;&gt;1)),ROUND(OFFSET($P435,0,AX$13),15-13*ORÇAMENTO!$AF$7)/$H435*OFFSET(ORÇAMENTO!$X$15,ROW(AX435)-ROW(AX$15),0),0)</f>
        <v>0</v>
      </c>
      <c r="AY435" s="632">
        <f ca="1">IF(AND($D435="Serviço",AY$12&lt;&gt;0,$H435&gt;0,OR(AUTOEVENTO&lt;&gt;"manual",$M435&lt;&gt;1)),ROUND(OFFSET($P435,0,AY$13),15-13*ORÇAMENTO!$AF$7)/$H435*OFFSET(ORÇAMENTO!$X$15,ROW(AY435)-ROW(AY$15),0),0)</f>
        <v>0</v>
      </c>
      <c r="AZ435" s="632">
        <f ca="1">IF(AND($D435="Serviço",AZ$12&lt;&gt;0,$H435&gt;0,OR(AUTOEVENTO&lt;&gt;"manual",$M435&lt;&gt;1)),ROUND(OFFSET($P435,0,AZ$13),15-13*ORÇAMENTO!$AF$7)/$H435*OFFSET(ORÇAMENTO!$X$15,ROW(AZ435)-ROW(AZ$15),0),0)</f>
        <v>0</v>
      </c>
      <c r="BA435" s="633">
        <f ca="1">IF(AND($D435="Serviço",BA$12&lt;&gt;0,$H435&gt;0,OR(AUTOEVENTO&lt;&gt;"manual",$M435&lt;&gt;1)),ROUND(OFFSET($P435,0,BA$13),15-13*ORÇAMENTO!$AF$7)/$H435*OFFSET(ORÇAMENTO!$X$15,ROW(BA435)-ROW(BA$15),0),0)</f>
        <v>0</v>
      </c>
      <c r="BC435" s="215">
        <f ca="1">IF($D435&lt;&gt;"Serviço",0,IF(AND(AUTOEVENTO="Manual",$M435=1),0,IF(OFFSET(CRONOPLE!$F$14,$M435,BC$13)="",10^12,OFFSET(CRONOPLE!$F$14,$M435,BC$13))))</f>
        <v>1000000000000</v>
      </c>
      <c r="BD435" s="215">
        <f ca="1">IF($D435&lt;&gt;"Serviço",0,IF(AND(AUTOEVENTO="Manual",$M435=1),0,IF(OFFSET(CRONOPLE!$F$14,$M435,BD$13)="",10^12,OFFSET(CRONOPLE!$F$14,$M435,BD$13))))</f>
        <v>1000000000000</v>
      </c>
      <c r="BE435" s="215">
        <f ca="1">IF($D435&lt;&gt;"Serviço",0,IF(AND(AUTOEVENTO="Manual",$M435=1),0,IF(OFFSET(CRONOPLE!$F$14,$M435,BE$13)="",10^12,OFFSET(CRONOPLE!$F$14,$M435,BE$13))))</f>
        <v>1000000000000</v>
      </c>
      <c r="BF435" s="215">
        <f ca="1">IF($D435&lt;&gt;"Serviço",0,IF(AND(AUTOEVENTO="Manual",$M435=1),0,IF(OFFSET(CRONOPLE!$F$14,$M435,BF$13)="",10^12,OFFSET(CRONOPLE!$F$14,$M435,BF$13))))</f>
        <v>1000000000000</v>
      </c>
      <c r="BG435" s="215">
        <f ca="1">IF($D435&lt;&gt;"Serviço",0,IF(AND(AUTOEVENTO="Manual",$M435=1),0,IF(OFFSET(CRONOPLE!$F$14,$M435,BG$13)="",10^12,OFFSET(CRONOPLE!$F$14,$M435,BG$13))))</f>
        <v>1000000000000</v>
      </c>
      <c r="BH435" s="215">
        <f ca="1">IF($D435&lt;&gt;"Serviço",0,IF(AND(AUTOEVENTO="Manual",$M435=1),0,IF(OFFSET(CRONOPLE!$F$14,$M435,BH$13)="",10^12,OFFSET(CRONOPLE!$F$14,$M435,BH$13))))</f>
        <v>1000000000000</v>
      </c>
      <c r="BI435" s="215">
        <f ca="1">IF($D435&lt;&gt;"Serviço",0,IF(AND(AUTOEVENTO="Manual",$M435=1),0,IF(OFFSET(CRONOPLE!$F$14,$M435,BI$13)="",10^12,OFFSET(CRONOPLE!$F$14,$M435,BI$13))))</f>
        <v>1000000000000</v>
      </c>
      <c r="BJ435" s="215">
        <f ca="1">IF($D435&lt;&gt;"Serviço",0,IF(AND(AUTOEVENTO="Manual",$M435=1),0,IF(OFFSET(CRONOPLE!$F$14,$M435,BJ$13)="",10^12,OFFSET(CRONOPLE!$F$14,$M435,BJ$13))))</f>
        <v>1000000000000</v>
      </c>
      <c r="BK435" s="215">
        <f ca="1">IF($D435&lt;&gt;"Serviço",0,IF(AND(AUTOEVENTO="Manual",$M435=1),0,IF(OFFSET(CRONOPLE!$F$14,$M435,BK$13)="",10^12,OFFSET(CRONOPLE!$F$14,$M435,BK$13))))</f>
        <v>1000000000000</v>
      </c>
      <c r="BL435" s="215">
        <f ca="1">IF($D435&lt;&gt;"Serviço",0,IF(AND(AUTOEVENTO="Manual",$M435=1),0,IF(OFFSET(CRONOPLE!$F$14,$M435,BL$13)="",10^12,OFFSET(CRONOPLE!$F$14,$M435,BL$13))))</f>
        <v>1000000000000</v>
      </c>
      <c r="BM435" s="215">
        <f ca="1">IF($D435&lt;&gt;"Serviço",0,IF(AND(AUTOEVENTO="Manual",$M435=1),0,IF(OFFSET(CRONOPLE!$F$14,$M435,BM$13)="",10^12,OFFSET(CRONOPLE!$F$14,$M435,BM$13))))</f>
        <v>1000000000000</v>
      </c>
      <c r="BN435" s="215">
        <f ca="1">IF($D435&lt;&gt;"Serviço",0,IF(AND(AUTOEVENTO="Manual",$M435=1),0,IF(OFFSET(CRONOPLE!$F$14,$M435,BN$13)="",10^12,OFFSET(CRONOPLE!$F$14,$M435,BN$13))))</f>
        <v>1000000000000</v>
      </c>
      <c r="BO435" s="215">
        <f ca="1">IF($D435&lt;&gt;"Serviço",0,IF(AND(AUTOEVENTO="Manual",$M435=1),0,IF(OFFSET(CRONOPLE!$F$14,$M435,BO$13)="",10^12,OFFSET(CRONOPLE!$F$14,$M435,BO$13))))</f>
        <v>1000000000000</v>
      </c>
      <c r="BP435" s="215">
        <f ca="1">IF($D435&lt;&gt;"Serviço",0,IF(AND(AUTOEVENTO="Manual",$M435=1),0,IF(OFFSET(CRONOPLE!$F$14,$M435,BP$13)="",10^12,OFFSET(CRONOPLE!$F$14,$M435,BP$13))))</f>
        <v>1000000000000</v>
      </c>
      <c r="BQ435" s="215">
        <f ca="1">IF($D435&lt;&gt;"Serviço",0,IF(AND(AUTOEVENTO="Manual",$M435=1),0,IF(OFFSET(CRONOPLE!$F$14,$M435,BQ$13)="",10^12,OFFSET(CRONOPLE!$F$14,$M435,BQ$13))))</f>
        <v>1000000000000</v>
      </c>
      <c r="BR435" s="215">
        <f ca="1">IF($D435&lt;&gt;"Serviço",0,IF(AND(AUTOEVENTO="Manual",$M435=1),0,IF(OFFSET(CRONOPLE!$F$14,$M435,BR$13)="",10^12,OFFSET(CRONOPLE!$F$14,$M435,BR$13))))</f>
        <v>1000000000000</v>
      </c>
      <c r="BS435" s="215">
        <f ca="1">IF($D435&lt;&gt;"Serviço",0,IF(AND(AUTOEVENTO="Manual",$M435=1),0,IF(OFFSET(CRONOPLE!$F$14,$M435,BS$13)="",10^12,OFFSET(CRONOPLE!$F$14,$M435,BS$13))))</f>
        <v>1000000000000</v>
      </c>
      <c r="BT435" s="215">
        <f ca="1">IF($D435&lt;&gt;"Serviço",0,IF(AND(AUTOEVENTO="Manual",$M435=1),0,IF(OFFSET(CRONOPLE!$F$14,$M435,BT$13)="",10^12,OFFSET(CRONOPLE!$F$14,$M435,BT$13))))</f>
        <v>1000000000000</v>
      </c>
      <c r="BV435" s="216">
        <f ca="1">IF($D435&lt;&gt;"Serviço",0,IF(OR(AND(AUTOEVENTO="Manual",$M435=1),$M435&gt;(ROW(PLE.lastrow)-ROW(PLE.firstrow))),0,IF(OFFSET(PLE!$G$14,$M435,BV$13)="",10^12,OFFSET(PLE!$G$14,$M435,BV$13))))</f>
        <v>1000000000000</v>
      </c>
      <c r="BW435" s="216">
        <f ca="1">IF($D435&lt;&gt;"Serviço",0,IF(OR(AND(AUTOEVENTO="Manual",$M435=1),$M435&gt;(ROW(PLE.lastrow)-ROW(PLE.firstrow))),0,IF(OFFSET(PLE!$G$14,$M435,BW$13)="",10^12,OFFSET(PLE!$G$14,$M435,BW$13))))</f>
        <v>1000000000000</v>
      </c>
      <c r="BX435" s="216">
        <f ca="1">IF($D435&lt;&gt;"Serviço",0,IF(OR(AND(AUTOEVENTO="Manual",$M435=1),$M435&gt;(ROW(PLE.lastrow)-ROW(PLE.firstrow))),0,IF(OFFSET(PLE!$G$14,$M435,BX$13)="",10^12,OFFSET(PLE!$G$14,$M435,BX$13))))</f>
        <v>1000000000000</v>
      </c>
      <c r="BY435" s="216">
        <f ca="1">IF($D435&lt;&gt;"Serviço",0,IF(OR(AND(AUTOEVENTO="Manual",$M435=1),$M435&gt;(ROW(PLE.lastrow)-ROW(PLE.firstrow))),0,IF(OFFSET(PLE!$G$14,$M435,BY$13)="",10^12,OFFSET(PLE!$G$14,$M435,BY$13))))</f>
        <v>1000000000000</v>
      </c>
      <c r="BZ435" s="216">
        <f ca="1">IF($D435&lt;&gt;"Serviço",0,IF(OR(AND(AUTOEVENTO="Manual",$M435=1),$M435&gt;(ROW(PLE.lastrow)-ROW(PLE.firstrow))),0,IF(OFFSET(PLE!$G$14,$M435,BZ$13)="",10^12,OFFSET(PLE!$G$14,$M435,BZ$13))))</f>
        <v>1000000000000</v>
      </c>
      <c r="CA435" s="216">
        <f ca="1">IF($D435&lt;&gt;"Serviço",0,IF(OR(AND(AUTOEVENTO="Manual",$M435=1),$M435&gt;(ROW(PLE.lastrow)-ROW(PLE.firstrow))),0,IF(OFFSET(PLE!$G$14,$M435,CA$13)="",10^12,OFFSET(PLE!$G$14,$M435,CA$13))))</f>
        <v>1000000000000</v>
      </c>
      <c r="CB435" s="216">
        <f ca="1">IF($D435&lt;&gt;"Serviço",0,IF(OR(AND(AUTOEVENTO="Manual",$M435=1),$M435&gt;(ROW(PLE.lastrow)-ROW(PLE.firstrow))),0,IF(OFFSET(PLE!$G$14,$M435,CB$13)="",10^12,OFFSET(PLE!$G$14,$M435,CB$13))))</f>
        <v>1000000000000</v>
      </c>
      <c r="CC435" s="216">
        <f ca="1">IF($D435&lt;&gt;"Serviço",0,IF(OR(AND(AUTOEVENTO="Manual",$M435=1),$M435&gt;(ROW(PLE.lastrow)-ROW(PLE.firstrow))),0,IF(OFFSET(PLE!$G$14,$M435,CC$13)="",10^12,OFFSET(PLE!$G$14,$M435,CC$13))))</f>
        <v>1000000000000</v>
      </c>
      <c r="CD435" s="216">
        <f ca="1">IF($D435&lt;&gt;"Serviço",0,IF(OR(AND(AUTOEVENTO="Manual",$M435=1),$M435&gt;(ROW(PLE.lastrow)-ROW(PLE.firstrow))),0,IF(OFFSET(PLE!$G$14,$M435,CD$13)="",10^12,OFFSET(PLE!$G$14,$M435,CD$13))))</f>
        <v>1000000000000</v>
      </c>
      <c r="CE435" s="216">
        <f ca="1">IF($D435&lt;&gt;"Serviço",0,IF(OR(AND(AUTOEVENTO="Manual",$M435=1),$M435&gt;(ROW(PLE.lastrow)-ROW(PLE.firstrow))),0,IF(OFFSET(PLE!$G$14,$M435,CE$13)="",10^12,OFFSET(PLE!$G$14,$M435,CE$13))))</f>
        <v>1000000000000</v>
      </c>
      <c r="CF435" s="216">
        <f ca="1">IF($D435&lt;&gt;"Serviço",0,IF(OR(AND(AUTOEVENTO="Manual",$M435=1),$M435&gt;(ROW(PLE.lastrow)-ROW(PLE.firstrow))),0,IF(OFFSET(PLE!$G$14,$M435,CF$13)="",10^12,OFFSET(PLE!$G$14,$M435,CF$13))))</f>
        <v>1000000000000</v>
      </c>
      <c r="CG435" s="216">
        <f ca="1">IF($D435&lt;&gt;"Serviço",0,IF(OR(AND(AUTOEVENTO="Manual",$M435=1),$M435&gt;(ROW(PLE.lastrow)-ROW(PLE.firstrow))),0,IF(OFFSET(PLE!$G$14,$M435,CG$13)="",10^12,OFFSET(PLE!$G$14,$M435,CG$13))))</f>
        <v>1000000000000</v>
      </c>
      <c r="CH435" s="216">
        <f ca="1">IF($D435&lt;&gt;"Serviço",0,IF(OR(AND(AUTOEVENTO="Manual",$M435=1),$M435&gt;(ROW(PLE.lastrow)-ROW(PLE.firstrow))),0,IF(OFFSET(PLE!$G$14,$M435,CH$13)="",10^12,OFFSET(PLE!$G$14,$M435,CH$13))))</f>
        <v>1000000000000</v>
      </c>
      <c r="CI435" s="216">
        <f ca="1">IF($D435&lt;&gt;"Serviço",0,IF(OR(AND(AUTOEVENTO="Manual",$M435=1),$M435&gt;(ROW(PLE.lastrow)-ROW(PLE.firstrow))),0,IF(OFFSET(PLE!$G$14,$M435,CI$13)="",10^12,OFFSET(PLE!$G$14,$M435,CI$13))))</f>
        <v>1000000000000</v>
      </c>
      <c r="CJ435" s="216">
        <f ca="1">IF($D435&lt;&gt;"Serviço",0,IF(OR(AND(AUTOEVENTO="Manual",$M435=1),$M435&gt;(ROW(PLE.lastrow)-ROW(PLE.firstrow))),0,IF(OFFSET(PLE!$G$14,$M435,CJ$13)="",10^12,OFFSET(PLE!$G$14,$M435,CJ$13))))</f>
        <v>1000000000000</v>
      </c>
      <c r="CK435" s="216">
        <f ca="1">IF($D435&lt;&gt;"Serviço",0,IF(OR(AND(AUTOEVENTO="Manual",$M435=1),$M435&gt;(ROW(PLE.lastrow)-ROW(PLE.firstrow))),0,IF(OFFSET(PLE!$G$14,$M435,CK$13)="",10^12,OFFSET(PLE!$G$14,$M435,CK$13))))</f>
        <v>1000000000000</v>
      </c>
      <c r="CL435" s="216">
        <f ca="1">IF($D435&lt;&gt;"Serviço",0,IF(OR(AND(AUTOEVENTO="Manual",$M435=1),$M435&gt;(ROW(PLE.lastrow)-ROW(PLE.firstrow))),0,IF(OFFSET(PLE!$G$14,$M435,CL$13)="",10^12,OFFSET(PLE!$G$14,$M435,CL$13))))</f>
        <v>1000000000000</v>
      </c>
      <c r="CM435" s="216">
        <f ca="1">IF($D435&lt;&gt;"Serviço",0,IF(OR(AND(AUTOEVENTO="Manual",$M435=1),$M435&gt;(ROW(PLE.lastrow)-ROW(PLE.firstrow))),0,IF(OFFSET(PLE!$G$14,$M435,CM$13)="",10^12,OFFSET(PLE!$G$14,$M435,CM$13))))</f>
        <v>1000000000000</v>
      </c>
    </row>
    <row r="436" spans="1:91" ht="13.2" x14ac:dyDescent="0.25">
      <c r="A436" s="9">
        <f t="shared" ca="1" si="15"/>
        <v>0</v>
      </c>
      <c r="B436" s="9" t="str">
        <f ca="1">OFFSET(ORÇAMENTO!C$15,ROW(B436)-ROW(B$15),0)</f>
        <v>S</v>
      </c>
      <c r="C436" s="9" t="str">
        <f ca="1">OFFSET(ORÇAMENTO!L$15,ROW(C436)-ROW(C$15),0)</f>
        <v/>
      </c>
      <c r="D436" s="145" t="str">
        <f ca="1">OFFSET(ORÇAMENTO!N$15,ROW(D436)-ROW(D$15),0)</f>
        <v>Serviço</v>
      </c>
      <c r="E436" s="205" t="str">
        <f ca="1">OFFSET(ORÇAMENTO!O$15,ROW(E436)-ROW(E$15),0)</f>
        <v>-</v>
      </c>
      <c r="F436" s="206" t="str">
        <f ca="1">OFFSET(ORÇAMENTO!R$15,ROW(F436)-ROW(F$15),0)</f>
        <v>(abra o arquivo 'Referência 05-2024.xls)</v>
      </c>
      <c r="G436" s="207" t="str">
        <f ca="1">IF($D436&lt;&gt;"Serviço","",OFFSET(ORÇAMENTO!S$15,ROW(G436)-ROW(G$15),0))</f>
        <v>-</v>
      </c>
      <c r="H436" s="151">
        <f ca="1">IF($D436&lt;&gt;"Serviço",0,IF(ACOMPANHAMENTO="BM",ROUND(OFFSET(ORÇAMENTO!AJ$15,ROW(H436)-ROW(H$15),0),15-13*ORÇAMENTO!$AF$7),SUMPRODUCT(($Q$12:$AI$12&lt;&gt;"")*ROUND($Q436:$AI436,15-13*ORÇAMENTO!$AF$7))))</f>
        <v>2</v>
      </c>
      <c r="I436" s="650"/>
      <c r="K436" s="208"/>
      <c r="L436" s="209" t="s">
        <v>257</v>
      </c>
      <c r="M436" s="210">
        <f ca="1">IF($D436&lt;&gt;"Serviço","",IF(AUTOEVENTO="manual",$A436,IF(ISERROR(MATCH($A436,$A$15:OFFSET($A436,-1,0),0)),MAX($M$15:OFFSET(M436,-1,0))+1,INDEX($M$15:OFFSET(M436,-1,0),MATCH($A436,$A$15:OFFSET($A436,-1,0),0)))))</f>
        <v>0</v>
      </c>
      <c r="N436" s="211" t="str">
        <f ca="1">IF($D436&lt;&gt;"Serviço","",IF(AUTOEVENTO="Manual",IF($A436=0,"&lt;-- defina o número do agrupador",OFFSET(EVENTOS!$D$14,$A436,0)),OFFSET($F$15,$A436,0)))</f>
        <v>&lt;-- defina o número do agrupador</v>
      </c>
      <c r="O436" s="212"/>
      <c r="Q436" s="212"/>
      <c r="R436" s="213"/>
      <c r="S436" s="213"/>
      <c r="T436" s="213"/>
      <c r="U436" s="213"/>
      <c r="V436" s="213"/>
      <c r="W436" s="213"/>
      <c r="X436" s="213"/>
      <c r="Y436" s="213"/>
      <c r="Z436" s="214"/>
      <c r="AA436" s="213"/>
      <c r="AB436" s="213"/>
      <c r="AC436" s="213"/>
      <c r="AD436" s="213"/>
      <c r="AE436" s="213"/>
      <c r="AF436" s="213"/>
      <c r="AG436" s="213"/>
      <c r="AH436" s="214"/>
      <c r="AJ436" s="631">
        <f ca="1">IF(AND($D436="Serviço",AJ$12&lt;&gt;0,$H436&gt;0,OR(AUTOEVENTO&lt;&gt;"manual",$M436&lt;&gt;1)),ROUND(OFFSET($P436,0,AJ$13),15-13*ORÇAMENTO!$AF$7)/$H436*OFFSET(ORÇAMENTO!$X$15,ROW(AJ436)-ROW(AJ$15),0),0)</f>
        <v>0</v>
      </c>
      <c r="AK436" s="632">
        <f ca="1">IF(AND($D436="Serviço",AK$12&lt;&gt;0,$H436&gt;0,OR(AUTOEVENTO&lt;&gt;"manual",$M436&lt;&gt;1)),ROUND(OFFSET($P436,0,AK$13),15-13*ORÇAMENTO!$AF$7)/$H436*OFFSET(ORÇAMENTO!$X$15,ROW(AK436)-ROW(AK$15),0),0)</f>
        <v>0</v>
      </c>
      <c r="AL436" s="632">
        <f ca="1">IF(AND($D436="Serviço",AL$12&lt;&gt;0,$H436&gt;0,OR(AUTOEVENTO&lt;&gt;"manual",$M436&lt;&gt;1)),ROUND(OFFSET($P436,0,AL$13),15-13*ORÇAMENTO!$AF$7)/$H436*OFFSET(ORÇAMENTO!$X$15,ROW(AL436)-ROW(AL$15),0),0)</f>
        <v>0</v>
      </c>
      <c r="AM436" s="632">
        <f ca="1">IF(AND($D436="Serviço",AM$12&lt;&gt;0,$H436&gt;0,OR(AUTOEVENTO&lt;&gt;"manual",$M436&lt;&gt;1)),ROUND(OFFSET($P436,0,AM$13),15-13*ORÇAMENTO!$AF$7)/$H436*OFFSET(ORÇAMENTO!$X$15,ROW(AM436)-ROW(AM$15),0),0)</f>
        <v>0</v>
      </c>
      <c r="AN436" s="632">
        <f ca="1">IF(AND($D436="Serviço",AN$12&lt;&gt;0,$H436&gt;0,OR(AUTOEVENTO&lt;&gt;"manual",$M436&lt;&gt;1)),ROUND(OFFSET($P436,0,AN$13),15-13*ORÇAMENTO!$AF$7)/$H436*OFFSET(ORÇAMENTO!$X$15,ROW(AN436)-ROW(AN$15),0),0)</f>
        <v>0</v>
      </c>
      <c r="AO436" s="632">
        <f ca="1">IF(AND($D436="Serviço",AO$12&lt;&gt;0,$H436&gt;0,OR(AUTOEVENTO&lt;&gt;"manual",$M436&lt;&gt;1)),ROUND(OFFSET($P436,0,AO$13),15-13*ORÇAMENTO!$AF$7)/$H436*OFFSET(ORÇAMENTO!$X$15,ROW(AO436)-ROW(AO$15),0),0)</f>
        <v>0</v>
      </c>
      <c r="AP436" s="632">
        <f ca="1">IF(AND($D436="Serviço",AP$12&lt;&gt;0,$H436&gt;0,OR(AUTOEVENTO&lt;&gt;"manual",$M436&lt;&gt;1)),ROUND(OFFSET($P436,0,AP$13),15-13*ORÇAMENTO!$AF$7)/$H436*OFFSET(ORÇAMENTO!$X$15,ROW(AP436)-ROW(AP$15),0),0)</f>
        <v>0</v>
      </c>
      <c r="AQ436" s="632">
        <f ca="1">IF(AND($D436="Serviço",AQ$12&lt;&gt;0,$H436&gt;0,OR(AUTOEVENTO&lt;&gt;"manual",$M436&lt;&gt;1)),ROUND(OFFSET($P436,0,AQ$13),15-13*ORÇAMENTO!$AF$7)/$H436*OFFSET(ORÇAMENTO!$X$15,ROW(AQ436)-ROW(AQ$15),0),0)</f>
        <v>0</v>
      </c>
      <c r="AR436" s="632">
        <f ca="1">IF(AND($D436="Serviço",AR$12&lt;&gt;0,$H436&gt;0,OR(AUTOEVENTO&lt;&gt;"manual",$M436&lt;&gt;1)),ROUND(OFFSET($P436,0,AR$13),15-13*ORÇAMENTO!$AF$7)/$H436*OFFSET(ORÇAMENTO!$X$15,ROW(AR436)-ROW(AR$15),0),0)</f>
        <v>0</v>
      </c>
      <c r="AS436" s="633">
        <f ca="1">IF(AND($D436="Serviço",AS$12&lt;&gt;0,$H436&gt;0,OR(AUTOEVENTO&lt;&gt;"manual",$M436&lt;&gt;1)),ROUND(OFFSET($P436,0,AS$13),15-13*ORÇAMENTO!$AF$7)/$H436*OFFSET(ORÇAMENTO!$X$15,ROW(AS436)-ROW(AS$15),0),0)</f>
        <v>0</v>
      </c>
      <c r="AT436" s="632">
        <f ca="1">IF(AND($D436="Serviço",AT$12&lt;&gt;0,$H436&gt;0,OR(AUTOEVENTO&lt;&gt;"manual",$M436&lt;&gt;1)),ROUND(OFFSET($P436,0,AT$13),15-13*ORÇAMENTO!$AF$7)/$H436*OFFSET(ORÇAMENTO!$X$15,ROW(AT436)-ROW(AT$15),0),0)</f>
        <v>0</v>
      </c>
      <c r="AU436" s="632">
        <f ca="1">IF(AND($D436="Serviço",AU$12&lt;&gt;0,$H436&gt;0,OR(AUTOEVENTO&lt;&gt;"manual",$M436&lt;&gt;1)),ROUND(OFFSET($P436,0,AU$13),15-13*ORÇAMENTO!$AF$7)/$H436*OFFSET(ORÇAMENTO!$X$15,ROW(AU436)-ROW(AU$15),0),0)</f>
        <v>0</v>
      </c>
      <c r="AV436" s="632">
        <f ca="1">IF(AND($D436="Serviço",AV$12&lt;&gt;0,$H436&gt;0,OR(AUTOEVENTO&lt;&gt;"manual",$M436&lt;&gt;1)),ROUND(OFFSET($P436,0,AV$13),15-13*ORÇAMENTO!$AF$7)/$H436*OFFSET(ORÇAMENTO!$X$15,ROW(AV436)-ROW(AV$15),0),0)</f>
        <v>0</v>
      </c>
      <c r="AW436" s="632">
        <f ca="1">IF(AND($D436="Serviço",AW$12&lt;&gt;0,$H436&gt;0,OR(AUTOEVENTO&lt;&gt;"manual",$M436&lt;&gt;1)),ROUND(OFFSET($P436,0,AW$13),15-13*ORÇAMENTO!$AF$7)/$H436*OFFSET(ORÇAMENTO!$X$15,ROW(AW436)-ROW(AW$15),0),0)</f>
        <v>0</v>
      </c>
      <c r="AX436" s="632">
        <f ca="1">IF(AND($D436="Serviço",AX$12&lt;&gt;0,$H436&gt;0,OR(AUTOEVENTO&lt;&gt;"manual",$M436&lt;&gt;1)),ROUND(OFFSET($P436,0,AX$13),15-13*ORÇAMENTO!$AF$7)/$H436*OFFSET(ORÇAMENTO!$X$15,ROW(AX436)-ROW(AX$15),0),0)</f>
        <v>0</v>
      </c>
      <c r="AY436" s="632">
        <f ca="1">IF(AND($D436="Serviço",AY$12&lt;&gt;0,$H436&gt;0,OR(AUTOEVENTO&lt;&gt;"manual",$M436&lt;&gt;1)),ROUND(OFFSET($P436,0,AY$13),15-13*ORÇAMENTO!$AF$7)/$H436*OFFSET(ORÇAMENTO!$X$15,ROW(AY436)-ROW(AY$15),0),0)</f>
        <v>0</v>
      </c>
      <c r="AZ436" s="632">
        <f ca="1">IF(AND($D436="Serviço",AZ$12&lt;&gt;0,$H436&gt;0,OR(AUTOEVENTO&lt;&gt;"manual",$M436&lt;&gt;1)),ROUND(OFFSET($P436,0,AZ$13),15-13*ORÇAMENTO!$AF$7)/$H436*OFFSET(ORÇAMENTO!$X$15,ROW(AZ436)-ROW(AZ$15),0),0)</f>
        <v>0</v>
      </c>
      <c r="BA436" s="633">
        <f ca="1">IF(AND($D436="Serviço",BA$12&lt;&gt;0,$H436&gt;0,OR(AUTOEVENTO&lt;&gt;"manual",$M436&lt;&gt;1)),ROUND(OFFSET($P436,0,BA$13),15-13*ORÇAMENTO!$AF$7)/$H436*OFFSET(ORÇAMENTO!$X$15,ROW(BA436)-ROW(BA$15),0),0)</f>
        <v>0</v>
      </c>
      <c r="BC436" s="215">
        <f ca="1">IF($D436&lt;&gt;"Serviço",0,IF(AND(AUTOEVENTO="Manual",$M436=1),0,IF(OFFSET(CRONOPLE!$F$14,$M436,BC$13)="",10^12,OFFSET(CRONOPLE!$F$14,$M436,BC$13))))</f>
        <v>1000000000000</v>
      </c>
      <c r="BD436" s="215">
        <f ca="1">IF($D436&lt;&gt;"Serviço",0,IF(AND(AUTOEVENTO="Manual",$M436=1),0,IF(OFFSET(CRONOPLE!$F$14,$M436,BD$13)="",10^12,OFFSET(CRONOPLE!$F$14,$M436,BD$13))))</f>
        <v>1000000000000</v>
      </c>
      <c r="BE436" s="215">
        <f ca="1">IF($D436&lt;&gt;"Serviço",0,IF(AND(AUTOEVENTO="Manual",$M436=1),0,IF(OFFSET(CRONOPLE!$F$14,$M436,BE$13)="",10^12,OFFSET(CRONOPLE!$F$14,$M436,BE$13))))</f>
        <v>1000000000000</v>
      </c>
      <c r="BF436" s="215">
        <f ca="1">IF($D436&lt;&gt;"Serviço",0,IF(AND(AUTOEVENTO="Manual",$M436=1),0,IF(OFFSET(CRONOPLE!$F$14,$M436,BF$13)="",10^12,OFFSET(CRONOPLE!$F$14,$M436,BF$13))))</f>
        <v>1000000000000</v>
      </c>
      <c r="BG436" s="215">
        <f ca="1">IF($D436&lt;&gt;"Serviço",0,IF(AND(AUTOEVENTO="Manual",$M436=1),0,IF(OFFSET(CRONOPLE!$F$14,$M436,BG$13)="",10^12,OFFSET(CRONOPLE!$F$14,$M436,BG$13))))</f>
        <v>1000000000000</v>
      </c>
      <c r="BH436" s="215">
        <f ca="1">IF($D436&lt;&gt;"Serviço",0,IF(AND(AUTOEVENTO="Manual",$M436=1),0,IF(OFFSET(CRONOPLE!$F$14,$M436,BH$13)="",10^12,OFFSET(CRONOPLE!$F$14,$M436,BH$13))))</f>
        <v>1000000000000</v>
      </c>
      <c r="BI436" s="215">
        <f ca="1">IF($D436&lt;&gt;"Serviço",0,IF(AND(AUTOEVENTO="Manual",$M436=1),0,IF(OFFSET(CRONOPLE!$F$14,$M436,BI$13)="",10^12,OFFSET(CRONOPLE!$F$14,$M436,BI$13))))</f>
        <v>1000000000000</v>
      </c>
      <c r="BJ436" s="215">
        <f ca="1">IF($D436&lt;&gt;"Serviço",0,IF(AND(AUTOEVENTO="Manual",$M436=1),0,IF(OFFSET(CRONOPLE!$F$14,$M436,BJ$13)="",10^12,OFFSET(CRONOPLE!$F$14,$M436,BJ$13))))</f>
        <v>1000000000000</v>
      </c>
      <c r="BK436" s="215">
        <f ca="1">IF($D436&lt;&gt;"Serviço",0,IF(AND(AUTOEVENTO="Manual",$M436=1),0,IF(OFFSET(CRONOPLE!$F$14,$M436,BK$13)="",10^12,OFFSET(CRONOPLE!$F$14,$M436,BK$13))))</f>
        <v>1000000000000</v>
      </c>
      <c r="BL436" s="215">
        <f ca="1">IF($D436&lt;&gt;"Serviço",0,IF(AND(AUTOEVENTO="Manual",$M436=1),0,IF(OFFSET(CRONOPLE!$F$14,$M436,BL$13)="",10^12,OFFSET(CRONOPLE!$F$14,$M436,BL$13))))</f>
        <v>1000000000000</v>
      </c>
      <c r="BM436" s="215">
        <f ca="1">IF($D436&lt;&gt;"Serviço",0,IF(AND(AUTOEVENTO="Manual",$M436=1),0,IF(OFFSET(CRONOPLE!$F$14,$M436,BM$13)="",10^12,OFFSET(CRONOPLE!$F$14,$M436,BM$13))))</f>
        <v>1000000000000</v>
      </c>
      <c r="BN436" s="215">
        <f ca="1">IF($D436&lt;&gt;"Serviço",0,IF(AND(AUTOEVENTO="Manual",$M436=1),0,IF(OFFSET(CRONOPLE!$F$14,$M436,BN$13)="",10^12,OFFSET(CRONOPLE!$F$14,$M436,BN$13))))</f>
        <v>1000000000000</v>
      </c>
      <c r="BO436" s="215">
        <f ca="1">IF($D436&lt;&gt;"Serviço",0,IF(AND(AUTOEVENTO="Manual",$M436=1),0,IF(OFFSET(CRONOPLE!$F$14,$M436,BO$13)="",10^12,OFFSET(CRONOPLE!$F$14,$M436,BO$13))))</f>
        <v>1000000000000</v>
      </c>
      <c r="BP436" s="215">
        <f ca="1">IF($D436&lt;&gt;"Serviço",0,IF(AND(AUTOEVENTO="Manual",$M436=1),0,IF(OFFSET(CRONOPLE!$F$14,$M436,BP$13)="",10^12,OFFSET(CRONOPLE!$F$14,$M436,BP$13))))</f>
        <v>1000000000000</v>
      </c>
      <c r="BQ436" s="215">
        <f ca="1">IF($D436&lt;&gt;"Serviço",0,IF(AND(AUTOEVENTO="Manual",$M436=1),0,IF(OFFSET(CRONOPLE!$F$14,$M436,BQ$13)="",10^12,OFFSET(CRONOPLE!$F$14,$M436,BQ$13))))</f>
        <v>1000000000000</v>
      </c>
      <c r="BR436" s="215">
        <f ca="1">IF($D436&lt;&gt;"Serviço",0,IF(AND(AUTOEVENTO="Manual",$M436=1),0,IF(OFFSET(CRONOPLE!$F$14,$M436,BR$13)="",10^12,OFFSET(CRONOPLE!$F$14,$M436,BR$13))))</f>
        <v>1000000000000</v>
      </c>
      <c r="BS436" s="215">
        <f ca="1">IF($D436&lt;&gt;"Serviço",0,IF(AND(AUTOEVENTO="Manual",$M436=1),0,IF(OFFSET(CRONOPLE!$F$14,$M436,BS$13)="",10^12,OFFSET(CRONOPLE!$F$14,$M436,BS$13))))</f>
        <v>1000000000000</v>
      </c>
      <c r="BT436" s="215">
        <f ca="1">IF($D436&lt;&gt;"Serviço",0,IF(AND(AUTOEVENTO="Manual",$M436=1),0,IF(OFFSET(CRONOPLE!$F$14,$M436,BT$13)="",10^12,OFFSET(CRONOPLE!$F$14,$M436,BT$13))))</f>
        <v>1000000000000</v>
      </c>
      <c r="BV436" s="216">
        <f ca="1">IF($D436&lt;&gt;"Serviço",0,IF(OR(AND(AUTOEVENTO="Manual",$M436=1),$M436&gt;(ROW(PLE.lastrow)-ROW(PLE.firstrow))),0,IF(OFFSET(PLE!$G$14,$M436,BV$13)="",10^12,OFFSET(PLE!$G$14,$M436,BV$13))))</f>
        <v>1000000000000</v>
      </c>
      <c r="BW436" s="216">
        <f ca="1">IF($D436&lt;&gt;"Serviço",0,IF(OR(AND(AUTOEVENTO="Manual",$M436=1),$M436&gt;(ROW(PLE.lastrow)-ROW(PLE.firstrow))),0,IF(OFFSET(PLE!$G$14,$M436,BW$13)="",10^12,OFFSET(PLE!$G$14,$M436,BW$13))))</f>
        <v>1000000000000</v>
      </c>
      <c r="BX436" s="216">
        <f ca="1">IF($D436&lt;&gt;"Serviço",0,IF(OR(AND(AUTOEVENTO="Manual",$M436=1),$M436&gt;(ROW(PLE.lastrow)-ROW(PLE.firstrow))),0,IF(OFFSET(PLE!$G$14,$M436,BX$13)="",10^12,OFFSET(PLE!$G$14,$M436,BX$13))))</f>
        <v>1000000000000</v>
      </c>
      <c r="BY436" s="216">
        <f ca="1">IF($D436&lt;&gt;"Serviço",0,IF(OR(AND(AUTOEVENTO="Manual",$M436=1),$M436&gt;(ROW(PLE.lastrow)-ROW(PLE.firstrow))),0,IF(OFFSET(PLE!$G$14,$M436,BY$13)="",10^12,OFFSET(PLE!$G$14,$M436,BY$13))))</f>
        <v>1000000000000</v>
      </c>
      <c r="BZ436" s="216">
        <f ca="1">IF($D436&lt;&gt;"Serviço",0,IF(OR(AND(AUTOEVENTO="Manual",$M436=1),$M436&gt;(ROW(PLE.lastrow)-ROW(PLE.firstrow))),0,IF(OFFSET(PLE!$G$14,$M436,BZ$13)="",10^12,OFFSET(PLE!$G$14,$M436,BZ$13))))</f>
        <v>1000000000000</v>
      </c>
      <c r="CA436" s="216">
        <f ca="1">IF($D436&lt;&gt;"Serviço",0,IF(OR(AND(AUTOEVENTO="Manual",$M436=1),$M436&gt;(ROW(PLE.lastrow)-ROW(PLE.firstrow))),0,IF(OFFSET(PLE!$G$14,$M436,CA$13)="",10^12,OFFSET(PLE!$G$14,$M436,CA$13))))</f>
        <v>1000000000000</v>
      </c>
      <c r="CB436" s="216">
        <f ca="1">IF($D436&lt;&gt;"Serviço",0,IF(OR(AND(AUTOEVENTO="Manual",$M436=1),$M436&gt;(ROW(PLE.lastrow)-ROW(PLE.firstrow))),0,IF(OFFSET(PLE!$G$14,$M436,CB$13)="",10^12,OFFSET(PLE!$G$14,$M436,CB$13))))</f>
        <v>1000000000000</v>
      </c>
      <c r="CC436" s="216">
        <f ca="1">IF($D436&lt;&gt;"Serviço",0,IF(OR(AND(AUTOEVENTO="Manual",$M436=1),$M436&gt;(ROW(PLE.lastrow)-ROW(PLE.firstrow))),0,IF(OFFSET(PLE!$G$14,$M436,CC$13)="",10^12,OFFSET(PLE!$G$14,$M436,CC$13))))</f>
        <v>1000000000000</v>
      </c>
      <c r="CD436" s="216">
        <f ca="1">IF($D436&lt;&gt;"Serviço",0,IF(OR(AND(AUTOEVENTO="Manual",$M436=1),$M436&gt;(ROW(PLE.lastrow)-ROW(PLE.firstrow))),0,IF(OFFSET(PLE!$G$14,$M436,CD$13)="",10^12,OFFSET(PLE!$G$14,$M436,CD$13))))</f>
        <v>1000000000000</v>
      </c>
      <c r="CE436" s="216">
        <f ca="1">IF($D436&lt;&gt;"Serviço",0,IF(OR(AND(AUTOEVENTO="Manual",$M436=1),$M436&gt;(ROW(PLE.lastrow)-ROW(PLE.firstrow))),0,IF(OFFSET(PLE!$G$14,$M436,CE$13)="",10^12,OFFSET(PLE!$G$14,$M436,CE$13))))</f>
        <v>1000000000000</v>
      </c>
      <c r="CF436" s="216">
        <f ca="1">IF($D436&lt;&gt;"Serviço",0,IF(OR(AND(AUTOEVENTO="Manual",$M436=1),$M436&gt;(ROW(PLE.lastrow)-ROW(PLE.firstrow))),0,IF(OFFSET(PLE!$G$14,$M436,CF$13)="",10^12,OFFSET(PLE!$G$14,$M436,CF$13))))</f>
        <v>1000000000000</v>
      </c>
      <c r="CG436" s="216">
        <f ca="1">IF($D436&lt;&gt;"Serviço",0,IF(OR(AND(AUTOEVENTO="Manual",$M436=1),$M436&gt;(ROW(PLE.lastrow)-ROW(PLE.firstrow))),0,IF(OFFSET(PLE!$G$14,$M436,CG$13)="",10^12,OFFSET(PLE!$G$14,$M436,CG$13))))</f>
        <v>1000000000000</v>
      </c>
      <c r="CH436" s="216">
        <f ca="1">IF($D436&lt;&gt;"Serviço",0,IF(OR(AND(AUTOEVENTO="Manual",$M436=1),$M436&gt;(ROW(PLE.lastrow)-ROW(PLE.firstrow))),0,IF(OFFSET(PLE!$G$14,$M436,CH$13)="",10^12,OFFSET(PLE!$G$14,$M436,CH$13))))</f>
        <v>1000000000000</v>
      </c>
      <c r="CI436" s="216">
        <f ca="1">IF($D436&lt;&gt;"Serviço",0,IF(OR(AND(AUTOEVENTO="Manual",$M436=1),$M436&gt;(ROW(PLE.lastrow)-ROW(PLE.firstrow))),0,IF(OFFSET(PLE!$G$14,$M436,CI$13)="",10^12,OFFSET(PLE!$G$14,$M436,CI$13))))</f>
        <v>1000000000000</v>
      </c>
      <c r="CJ436" s="216">
        <f ca="1">IF($D436&lt;&gt;"Serviço",0,IF(OR(AND(AUTOEVENTO="Manual",$M436=1),$M436&gt;(ROW(PLE.lastrow)-ROW(PLE.firstrow))),0,IF(OFFSET(PLE!$G$14,$M436,CJ$13)="",10^12,OFFSET(PLE!$G$14,$M436,CJ$13))))</f>
        <v>1000000000000</v>
      </c>
      <c r="CK436" s="216">
        <f ca="1">IF($D436&lt;&gt;"Serviço",0,IF(OR(AND(AUTOEVENTO="Manual",$M436=1),$M436&gt;(ROW(PLE.lastrow)-ROW(PLE.firstrow))),0,IF(OFFSET(PLE!$G$14,$M436,CK$13)="",10^12,OFFSET(PLE!$G$14,$M436,CK$13))))</f>
        <v>1000000000000</v>
      </c>
      <c r="CL436" s="216">
        <f ca="1">IF($D436&lt;&gt;"Serviço",0,IF(OR(AND(AUTOEVENTO="Manual",$M436=1),$M436&gt;(ROW(PLE.lastrow)-ROW(PLE.firstrow))),0,IF(OFFSET(PLE!$G$14,$M436,CL$13)="",10^12,OFFSET(PLE!$G$14,$M436,CL$13))))</f>
        <v>1000000000000</v>
      </c>
      <c r="CM436" s="216">
        <f ca="1">IF($D436&lt;&gt;"Serviço",0,IF(OR(AND(AUTOEVENTO="Manual",$M436=1),$M436&gt;(ROW(PLE.lastrow)-ROW(PLE.firstrow))),0,IF(OFFSET(PLE!$G$14,$M436,CM$13)="",10^12,OFFSET(PLE!$G$14,$M436,CM$13))))</f>
        <v>1000000000000</v>
      </c>
    </row>
    <row r="437" spans="1:91" ht="13.2" x14ac:dyDescent="0.25">
      <c r="A437" s="9">
        <f t="shared" ca="1" si="15"/>
        <v>0</v>
      </c>
      <c r="B437" s="9" t="str">
        <f ca="1">OFFSET(ORÇAMENTO!C$15,ROW(B437)-ROW(B$15),0)</f>
        <v>S</v>
      </c>
      <c r="C437" s="9" t="str">
        <f ca="1">OFFSET(ORÇAMENTO!L$15,ROW(C437)-ROW(C$15),0)</f>
        <v/>
      </c>
      <c r="D437" s="145" t="str">
        <f ca="1">OFFSET(ORÇAMENTO!N$15,ROW(D437)-ROW(D$15),0)</f>
        <v>Serviço</v>
      </c>
      <c r="E437" s="205" t="str">
        <f ca="1">OFFSET(ORÇAMENTO!O$15,ROW(E437)-ROW(E$15),0)</f>
        <v>-</v>
      </c>
      <c r="F437" s="206" t="str">
        <f ca="1">OFFSET(ORÇAMENTO!R$15,ROW(F437)-ROW(F$15),0)</f>
        <v>(abra o arquivo 'Referência 05-2024.xls)</v>
      </c>
      <c r="G437" s="207" t="str">
        <f ca="1">IF($D437&lt;&gt;"Serviço","",OFFSET(ORÇAMENTO!S$15,ROW(G437)-ROW(G$15),0))</f>
        <v>-</v>
      </c>
      <c r="H437" s="151">
        <f ca="1">IF($D437&lt;&gt;"Serviço",0,IF(ACOMPANHAMENTO="BM",ROUND(OFFSET(ORÇAMENTO!AJ$15,ROW(H437)-ROW(H$15),0),15-13*ORÇAMENTO!$AF$7),SUMPRODUCT(($Q$12:$AI$12&lt;&gt;"")*ROUND($Q437:$AI437,15-13*ORÇAMENTO!$AF$7))))</f>
        <v>1</v>
      </c>
      <c r="I437" s="650"/>
      <c r="K437" s="208"/>
      <c r="L437" s="209" t="s">
        <v>257</v>
      </c>
      <c r="M437" s="210">
        <f ca="1">IF($D437&lt;&gt;"Serviço","",IF(AUTOEVENTO="manual",$A437,IF(ISERROR(MATCH($A437,$A$15:OFFSET($A437,-1,0),0)),MAX($M$15:OFFSET(M437,-1,0))+1,INDEX($M$15:OFFSET(M437,-1,0),MATCH($A437,$A$15:OFFSET($A437,-1,0),0)))))</f>
        <v>0</v>
      </c>
      <c r="N437" s="211" t="str">
        <f ca="1">IF($D437&lt;&gt;"Serviço","",IF(AUTOEVENTO="Manual",IF($A437=0,"&lt;-- defina o número do agrupador",OFFSET(EVENTOS!$D$14,$A437,0)),OFFSET($F$15,$A437,0)))</f>
        <v>&lt;-- defina o número do agrupador</v>
      </c>
      <c r="O437" s="212"/>
      <c r="Q437" s="212"/>
      <c r="R437" s="213"/>
      <c r="S437" s="213"/>
      <c r="T437" s="213"/>
      <c r="U437" s="213"/>
      <c r="V437" s="213"/>
      <c r="W437" s="213"/>
      <c r="X437" s="213"/>
      <c r="Y437" s="213"/>
      <c r="Z437" s="214"/>
      <c r="AA437" s="213"/>
      <c r="AB437" s="213"/>
      <c r="AC437" s="213"/>
      <c r="AD437" s="213"/>
      <c r="AE437" s="213"/>
      <c r="AF437" s="213"/>
      <c r="AG437" s="213"/>
      <c r="AH437" s="214"/>
      <c r="AJ437" s="631">
        <f ca="1">IF(AND($D437="Serviço",AJ$12&lt;&gt;0,$H437&gt;0,OR(AUTOEVENTO&lt;&gt;"manual",$M437&lt;&gt;1)),ROUND(OFFSET($P437,0,AJ$13),15-13*ORÇAMENTO!$AF$7)/$H437*OFFSET(ORÇAMENTO!$X$15,ROW(AJ437)-ROW(AJ$15),0),0)</f>
        <v>0</v>
      </c>
      <c r="AK437" s="632">
        <f ca="1">IF(AND($D437="Serviço",AK$12&lt;&gt;0,$H437&gt;0,OR(AUTOEVENTO&lt;&gt;"manual",$M437&lt;&gt;1)),ROUND(OFFSET($P437,0,AK$13),15-13*ORÇAMENTO!$AF$7)/$H437*OFFSET(ORÇAMENTO!$X$15,ROW(AK437)-ROW(AK$15),0),0)</f>
        <v>0</v>
      </c>
      <c r="AL437" s="632">
        <f ca="1">IF(AND($D437="Serviço",AL$12&lt;&gt;0,$H437&gt;0,OR(AUTOEVENTO&lt;&gt;"manual",$M437&lt;&gt;1)),ROUND(OFFSET($P437,0,AL$13),15-13*ORÇAMENTO!$AF$7)/$H437*OFFSET(ORÇAMENTO!$X$15,ROW(AL437)-ROW(AL$15),0),0)</f>
        <v>0</v>
      </c>
      <c r="AM437" s="632">
        <f ca="1">IF(AND($D437="Serviço",AM$12&lt;&gt;0,$H437&gt;0,OR(AUTOEVENTO&lt;&gt;"manual",$M437&lt;&gt;1)),ROUND(OFFSET($P437,0,AM$13),15-13*ORÇAMENTO!$AF$7)/$H437*OFFSET(ORÇAMENTO!$X$15,ROW(AM437)-ROW(AM$15),0),0)</f>
        <v>0</v>
      </c>
      <c r="AN437" s="632">
        <f ca="1">IF(AND($D437="Serviço",AN$12&lt;&gt;0,$H437&gt;0,OR(AUTOEVENTO&lt;&gt;"manual",$M437&lt;&gt;1)),ROUND(OFFSET($P437,0,AN$13),15-13*ORÇAMENTO!$AF$7)/$H437*OFFSET(ORÇAMENTO!$X$15,ROW(AN437)-ROW(AN$15),0),0)</f>
        <v>0</v>
      </c>
      <c r="AO437" s="632">
        <f ca="1">IF(AND($D437="Serviço",AO$12&lt;&gt;0,$H437&gt;0,OR(AUTOEVENTO&lt;&gt;"manual",$M437&lt;&gt;1)),ROUND(OFFSET($P437,0,AO$13),15-13*ORÇAMENTO!$AF$7)/$H437*OFFSET(ORÇAMENTO!$X$15,ROW(AO437)-ROW(AO$15),0),0)</f>
        <v>0</v>
      </c>
      <c r="AP437" s="632">
        <f ca="1">IF(AND($D437="Serviço",AP$12&lt;&gt;0,$H437&gt;0,OR(AUTOEVENTO&lt;&gt;"manual",$M437&lt;&gt;1)),ROUND(OFFSET($P437,0,AP$13),15-13*ORÇAMENTO!$AF$7)/$H437*OFFSET(ORÇAMENTO!$X$15,ROW(AP437)-ROW(AP$15),0),0)</f>
        <v>0</v>
      </c>
      <c r="AQ437" s="632">
        <f ca="1">IF(AND($D437="Serviço",AQ$12&lt;&gt;0,$H437&gt;0,OR(AUTOEVENTO&lt;&gt;"manual",$M437&lt;&gt;1)),ROUND(OFFSET($P437,0,AQ$13),15-13*ORÇAMENTO!$AF$7)/$H437*OFFSET(ORÇAMENTO!$X$15,ROW(AQ437)-ROW(AQ$15),0),0)</f>
        <v>0</v>
      </c>
      <c r="AR437" s="632">
        <f ca="1">IF(AND($D437="Serviço",AR$12&lt;&gt;0,$H437&gt;0,OR(AUTOEVENTO&lt;&gt;"manual",$M437&lt;&gt;1)),ROUND(OFFSET($P437,0,AR$13),15-13*ORÇAMENTO!$AF$7)/$H437*OFFSET(ORÇAMENTO!$X$15,ROW(AR437)-ROW(AR$15),0),0)</f>
        <v>0</v>
      </c>
      <c r="AS437" s="633">
        <f ca="1">IF(AND($D437="Serviço",AS$12&lt;&gt;0,$H437&gt;0,OR(AUTOEVENTO&lt;&gt;"manual",$M437&lt;&gt;1)),ROUND(OFFSET($P437,0,AS$13),15-13*ORÇAMENTO!$AF$7)/$H437*OFFSET(ORÇAMENTO!$X$15,ROW(AS437)-ROW(AS$15),0),0)</f>
        <v>0</v>
      </c>
      <c r="AT437" s="632">
        <f ca="1">IF(AND($D437="Serviço",AT$12&lt;&gt;0,$H437&gt;0,OR(AUTOEVENTO&lt;&gt;"manual",$M437&lt;&gt;1)),ROUND(OFFSET($P437,0,AT$13),15-13*ORÇAMENTO!$AF$7)/$H437*OFFSET(ORÇAMENTO!$X$15,ROW(AT437)-ROW(AT$15),0),0)</f>
        <v>0</v>
      </c>
      <c r="AU437" s="632">
        <f ca="1">IF(AND($D437="Serviço",AU$12&lt;&gt;0,$H437&gt;0,OR(AUTOEVENTO&lt;&gt;"manual",$M437&lt;&gt;1)),ROUND(OFFSET($P437,0,AU$13),15-13*ORÇAMENTO!$AF$7)/$H437*OFFSET(ORÇAMENTO!$X$15,ROW(AU437)-ROW(AU$15),0),0)</f>
        <v>0</v>
      </c>
      <c r="AV437" s="632">
        <f ca="1">IF(AND($D437="Serviço",AV$12&lt;&gt;0,$H437&gt;0,OR(AUTOEVENTO&lt;&gt;"manual",$M437&lt;&gt;1)),ROUND(OFFSET($P437,0,AV$13),15-13*ORÇAMENTO!$AF$7)/$H437*OFFSET(ORÇAMENTO!$X$15,ROW(AV437)-ROW(AV$15),0),0)</f>
        <v>0</v>
      </c>
      <c r="AW437" s="632">
        <f ca="1">IF(AND($D437="Serviço",AW$12&lt;&gt;0,$H437&gt;0,OR(AUTOEVENTO&lt;&gt;"manual",$M437&lt;&gt;1)),ROUND(OFFSET($P437,0,AW$13),15-13*ORÇAMENTO!$AF$7)/$H437*OFFSET(ORÇAMENTO!$X$15,ROW(AW437)-ROW(AW$15),0),0)</f>
        <v>0</v>
      </c>
      <c r="AX437" s="632">
        <f ca="1">IF(AND($D437="Serviço",AX$12&lt;&gt;0,$H437&gt;0,OR(AUTOEVENTO&lt;&gt;"manual",$M437&lt;&gt;1)),ROUND(OFFSET($P437,0,AX$13),15-13*ORÇAMENTO!$AF$7)/$H437*OFFSET(ORÇAMENTO!$X$15,ROW(AX437)-ROW(AX$15),0),0)</f>
        <v>0</v>
      </c>
      <c r="AY437" s="632">
        <f ca="1">IF(AND($D437="Serviço",AY$12&lt;&gt;0,$H437&gt;0,OR(AUTOEVENTO&lt;&gt;"manual",$M437&lt;&gt;1)),ROUND(OFFSET($P437,0,AY$13),15-13*ORÇAMENTO!$AF$7)/$H437*OFFSET(ORÇAMENTO!$X$15,ROW(AY437)-ROW(AY$15),0),0)</f>
        <v>0</v>
      </c>
      <c r="AZ437" s="632">
        <f ca="1">IF(AND($D437="Serviço",AZ$12&lt;&gt;0,$H437&gt;0,OR(AUTOEVENTO&lt;&gt;"manual",$M437&lt;&gt;1)),ROUND(OFFSET($P437,0,AZ$13),15-13*ORÇAMENTO!$AF$7)/$H437*OFFSET(ORÇAMENTO!$X$15,ROW(AZ437)-ROW(AZ$15),0),0)</f>
        <v>0</v>
      </c>
      <c r="BA437" s="633">
        <f ca="1">IF(AND($D437="Serviço",BA$12&lt;&gt;0,$H437&gt;0,OR(AUTOEVENTO&lt;&gt;"manual",$M437&lt;&gt;1)),ROUND(OFFSET($P437,0,BA$13),15-13*ORÇAMENTO!$AF$7)/$H437*OFFSET(ORÇAMENTO!$X$15,ROW(BA437)-ROW(BA$15),0),0)</f>
        <v>0</v>
      </c>
      <c r="BC437" s="215">
        <f ca="1">IF($D437&lt;&gt;"Serviço",0,IF(AND(AUTOEVENTO="Manual",$M437=1),0,IF(OFFSET(CRONOPLE!$F$14,$M437,BC$13)="",10^12,OFFSET(CRONOPLE!$F$14,$M437,BC$13))))</f>
        <v>1000000000000</v>
      </c>
      <c r="BD437" s="215">
        <f ca="1">IF($D437&lt;&gt;"Serviço",0,IF(AND(AUTOEVENTO="Manual",$M437=1),0,IF(OFFSET(CRONOPLE!$F$14,$M437,BD$13)="",10^12,OFFSET(CRONOPLE!$F$14,$M437,BD$13))))</f>
        <v>1000000000000</v>
      </c>
      <c r="BE437" s="215">
        <f ca="1">IF($D437&lt;&gt;"Serviço",0,IF(AND(AUTOEVENTO="Manual",$M437=1),0,IF(OFFSET(CRONOPLE!$F$14,$M437,BE$13)="",10^12,OFFSET(CRONOPLE!$F$14,$M437,BE$13))))</f>
        <v>1000000000000</v>
      </c>
      <c r="BF437" s="215">
        <f ca="1">IF($D437&lt;&gt;"Serviço",0,IF(AND(AUTOEVENTO="Manual",$M437=1),0,IF(OFFSET(CRONOPLE!$F$14,$M437,BF$13)="",10^12,OFFSET(CRONOPLE!$F$14,$M437,BF$13))))</f>
        <v>1000000000000</v>
      </c>
      <c r="BG437" s="215">
        <f ca="1">IF($D437&lt;&gt;"Serviço",0,IF(AND(AUTOEVENTO="Manual",$M437=1),0,IF(OFFSET(CRONOPLE!$F$14,$M437,BG$13)="",10^12,OFFSET(CRONOPLE!$F$14,$M437,BG$13))))</f>
        <v>1000000000000</v>
      </c>
      <c r="BH437" s="215">
        <f ca="1">IF($D437&lt;&gt;"Serviço",0,IF(AND(AUTOEVENTO="Manual",$M437=1),0,IF(OFFSET(CRONOPLE!$F$14,$M437,BH$13)="",10^12,OFFSET(CRONOPLE!$F$14,$M437,BH$13))))</f>
        <v>1000000000000</v>
      </c>
      <c r="BI437" s="215">
        <f ca="1">IF($D437&lt;&gt;"Serviço",0,IF(AND(AUTOEVENTO="Manual",$M437=1),0,IF(OFFSET(CRONOPLE!$F$14,$M437,BI$13)="",10^12,OFFSET(CRONOPLE!$F$14,$M437,BI$13))))</f>
        <v>1000000000000</v>
      </c>
      <c r="BJ437" s="215">
        <f ca="1">IF($D437&lt;&gt;"Serviço",0,IF(AND(AUTOEVENTO="Manual",$M437=1),0,IF(OFFSET(CRONOPLE!$F$14,$M437,BJ$13)="",10^12,OFFSET(CRONOPLE!$F$14,$M437,BJ$13))))</f>
        <v>1000000000000</v>
      </c>
      <c r="BK437" s="215">
        <f ca="1">IF($D437&lt;&gt;"Serviço",0,IF(AND(AUTOEVENTO="Manual",$M437=1),0,IF(OFFSET(CRONOPLE!$F$14,$M437,BK$13)="",10^12,OFFSET(CRONOPLE!$F$14,$M437,BK$13))))</f>
        <v>1000000000000</v>
      </c>
      <c r="BL437" s="215">
        <f ca="1">IF($D437&lt;&gt;"Serviço",0,IF(AND(AUTOEVENTO="Manual",$M437=1),0,IF(OFFSET(CRONOPLE!$F$14,$M437,BL$13)="",10^12,OFFSET(CRONOPLE!$F$14,$M437,BL$13))))</f>
        <v>1000000000000</v>
      </c>
      <c r="BM437" s="215">
        <f ca="1">IF($D437&lt;&gt;"Serviço",0,IF(AND(AUTOEVENTO="Manual",$M437=1),0,IF(OFFSET(CRONOPLE!$F$14,$M437,BM$13)="",10^12,OFFSET(CRONOPLE!$F$14,$M437,BM$13))))</f>
        <v>1000000000000</v>
      </c>
      <c r="BN437" s="215">
        <f ca="1">IF($D437&lt;&gt;"Serviço",0,IF(AND(AUTOEVENTO="Manual",$M437=1),0,IF(OFFSET(CRONOPLE!$F$14,$M437,BN$13)="",10^12,OFFSET(CRONOPLE!$F$14,$M437,BN$13))))</f>
        <v>1000000000000</v>
      </c>
      <c r="BO437" s="215">
        <f ca="1">IF($D437&lt;&gt;"Serviço",0,IF(AND(AUTOEVENTO="Manual",$M437=1),0,IF(OFFSET(CRONOPLE!$F$14,$M437,BO$13)="",10^12,OFFSET(CRONOPLE!$F$14,$M437,BO$13))))</f>
        <v>1000000000000</v>
      </c>
      <c r="BP437" s="215">
        <f ca="1">IF($D437&lt;&gt;"Serviço",0,IF(AND(AUTOEVENTO="Manual",$M437=1),0,IF(OFFSET(CRONOPLE!$F$14,$M437,BP$13)="",10^12,OFFSET(CRONOPLE!$F$14,$M437,BP$13))))</f>
        <v>1000000000000</v>
      </c>
      <c r="BQ437" s="215">
        <f ca="1">IF($D437&lt;&gt;"Serviço",0,IF(AND(AUTOEVENTO="Manual",$M437=1),0,IF(OFFSET(CRONOPLE!$F$14,$M437,BQ$13)="",10^12,OFFSET(CRONOPLE!$F$14,$M437,BQ$13))))</f>
        <v>1000000000000</v>
      </c>
      <c r="BR437" s="215">
        <f ca="1">IF($D437&lt;&gt;"Serviço",0,IF(AND(AUTOEVENTO="Manual",$M437=1),0,IF(OFFSET(CRONOPLE!$F$14,$M437,BR$13)="",10^12,OFFSET(CRONOPLE!$F$14,$M437,BR$13))))</f>
        <v>1000000000000</v>
      </c>
      <c r="BS437" s="215">
        <f ca="1">IF($D437&lt;&gt;"Serviço",0,IF(AND(AUTOEVENTO="Manual",$M437=1),0,IF(OFFSET(CRONOPLE!$F$14,$M437,BS$13)="",10^12,OFFSET(CRONOPLE!$F$14,$M437,BS$13))))</f>
        <v>1000000000000</v>
      </c>
      <c r="BT437" s="215">
        <f ca="1">IF($D437&lt;&gt;"Serviço",0,IF(AND(AUTOEVENTO="Manual",$M437=1),0,IF(OFFSET(CRONOPLE!$F$14,$M437,BT$13)="",10^12,OFFSET(CRONOPLE!$F$14,$M437,BT$13))))</f>
        <v>1000000000000</v>
      </c>
      <c r="BV437" s="216">
        <f ca="1">IF($D437&lt;&gt;"Serviço",0,IF(OR(AND(AUTOEVENTO="Manual",$M437=1),$M437&gt;(ROW(PLE.lastrow)-ROW(PLE.firstrow))),0,IF(OFFSET(PLE!$G$14,$M437,BV$13)="",10^12,OFFSET(PLE!$G$14,$M437,BV$13))))</f>
        <v>1000000000000</v>
      </c>
      <c r="BW437" s="216">
        <f ca="1">IF($D437&lt;&gt;"Serviço",0,IF(OR(AND(AUTOEVENTO="Manual",$M437=1),$M437&gt;(ROW(PLE.lastrow)-ROW(PLE.firstrow))),0,IF(OFFSET(PLE!$G$14,$M437,BW$13)="",10^12,OFFSET(PLE!$G$14,$M437,BW$13))))</f>
        <v>1000000000000</v>
      </c>
      <c r="BX437" s="216">
        <f ca="1">IF($D437&lt;&gt;"Serviço",0,IF(OR(AND(AUTOEVENTO="Manual",$M437=1),$M437&gt;(ROW(PLE.lastrow)-ROW(PLE.firstrow))),0,IF(OFFSET(PLE!$G$14,$M437,BX$13)="",10^12,OFFSET(PLE!$G$14,$M437,BX$13))))</f>
        <v>1000000000000</v>
      </c>
      <c r="BY437" s="216">
        <f ca="1">IF($D437&lt;&gt;"Serviço",0,IF(OR(AND(AUTOEVENTO="Manual",$M437=1),$M437&gt;(ROW(PLE.lastrow)-ROW(PLE.firstrow))),0,IF(OFFSET(PLE!$G$14,$M437,BY$13)="",10^12,OFFSET(PLE!$G$14,$M437,BY$13))))</f>
        <v>1000000000000</v>
      </c>
      <c r="BZ437" s="216">
        <f ca="1">IF($D437&lt;&gt;"Serviço",0,IF(OR(AND(AUTOEVENTO="Manual",$M437=1),$M437&gt;(ROW(PLE.lastrow)-ROW(PLE.firstrow))),0,IF(OFFSET(PLE!$G$14,$M437,BZ$13)="",10^12,OFFSET(PLE!$G$14,$M437,BZ$13))))</f>
        <v>1000000000000</v>
      </c>
      <c r="CA437" s="216">
        <f ca="1">IF($D437&lt;&gt;"Serviço",0,IF(OR(AND(AUTOEVENTO="Manual",$M437=1),$M437&gt;(ROW(PLE.lastrow)-ROW(PLE.firstrow))),0,IF(OFFSET(PLE!$G$14,$M437,CA$13)="",10^12,OFFSET(PLE!$G$14,$M437,CA$13))))</f>
        <v>1000000000000</v>
      </c>
      <c r="CB437" s="216">
        <f ca="1">IF($D437&lt;&gt;"Serviço",0,IF(OR(AND(AUTOEVENTO="Manual",$M437=1),$M437&gt;(ROW(PLE.lastrow)-ROW(PLE.firstrow))),0,IF(OFFSET(PLE!$G$14,$M437,CB$13)="",10^12,OFFSET(PLE!$G$14,$M437,CB$13))))</f>
        <v>1000000000000</v>
      </c>
      <c r="CC437" s="216">
        <f ca="1">IF($D437&lt;&gt;"Serviço",0,IF(OR(AND(AUTOEVENTO="Manual",$M437=1),$M437&gt;(ROW(PLE.lastrow)-ROW(PLE.firstrow))),0,IF(OFFSET(PLE!$G$14,$M437,CC$13)="",10^12,OFFSET(PLE!$G$14,$M437,CC$13))))</f>
        <v>1000000000000</v>
      </c>
      <c r="CD437" s="216">
        <f ca="1">IF($D437&lt;&gt;"Serviço",0,IF(OR(AND(AUTOEVENTO="Manual",$M437=1),$M437&gt;(ROW(PLE.lastrow)-ROW(PLE.firstrow))),0,IF(OFFSET(PLE!$G$14,$M437,CD$13)="",10^12,OFFSET(PLE!$G$14,$M437,CD$13))))</f>
        <v>1000000000000</v>
      </c>
      <c r="CE437" s="216">
        <f ca="1">IF($D437&lt;&gt;"Serviço",0,IF(OR(AND(AUTOEVENTO="Manual",$M437=1),$M437&gt;(ROW(PLE.lastrow)-ROW(PLE.firstrow))),0,IF(OFFSET(PLE!$G$14,$M437,CE$13)="",10^12,OFFSET(PLE!$G$14,$M437,CE$13))))</f>
        <v>1000000000000</v>
      </c>
      <c r="CF437" s="216">
        <f ca="1">IF($D437&lt;&gt;"Serviço",0,IF(OR(AND(AUTOEVENTO="Manual",$M437=1),$M437&gt;(ROW(PLE.lastrow)-ROW(PLE.firstrow))),0,IF(OFFSET(PLE!$G$14,$M437,CF$13)="",10^12,OFFSET(PLE!$G$14,$M437,CF$13))))</f>
        <v>1000000000000</v>
      </c>
      <c r="CG437" s="216">
        <f ca="1">IF($D437&lt;&gt;"Serviço",0,IF(OR(AND(AUTOEVENTO="Manual",$M437=1),$M437&gt;(ROW(PLE.lastrow)-ROW(PLE.firstrow))),0,IF(OFFSET(PLE!$G$14,$M437,CG$13)="",10^12,OFFSET(PLE!$G$14,$M437,CG$13))))</f>
        <v>1000000000000</v>
      </c>
      <c r="CH437" s="216">
        <f ca="1">IF($D437&lt;&gt;"Serviço",0,IF(OR(AND(AUTOEVENTO="Manual",$M437=1),$M437&gt;(ROW(PLE.lastrow)-ROW(PLE.firstrow))),0,IF(OFFSET(PLE!$G$14,$M437,CH$13)="",10^12,OFFSET(PLE!$G$14,$M437,CH$13))))</f>
        <v>1000000000000</v>
      </c>
      <c r="CI437" s="216">
        <f ca="1">IF($D437&lt;&gt;"Serviço",0,IF(OR(AND(AUTOEVENTO="Manual",$M437=1),$M437&gt;(ROW(PLE.lastrow)-ROW(PLE.firstrow))),0,IF(OFFSET(PLE!$G$14,$M437,CI$13)="",10^12,OFFSET(PLE!$G$14,$M437,CI$13))))</f>
        <v>1000000000000</v>
      </c>
      <c r="CJ437" s="216">
        <f ca="1">IF($D437&lt;&gt;"Serviço",0,IF(OR(AND(AUTOEVENTO="Manual",$M437=1),$M437&gt;(ROW(PLE.lastrow)-ROW(PLE.firstrow))),0,IF(OFFSET(PLE!$G$14,$M437,CJ$13)="",10^12,OFFSET(PLE!$G$14,$M437,CJ$13))))</f>
        <v>1000000000000</v>
      </c>
      <c r="CK437" s="216">
        <f ca="1">IF($D437&lt;&gt;"Serviço",0,IF(OR(AND(AUTOEVENTO="Manual",$M437=1),$M437&gt;(ROW(PLE.lastrow)-ROW(PLE.firstrow))),0,IF(OFFSET(PLE!$G$14,$M437,CK$13)="",10^12,OFFSET(PLE!$G$14,$M437,CK$13))))</f>
        <v>1000000000000</v>
      </c>
      <c r="CL437" s="216">
        <f ca="1">IF($D437&lt;&gt;"Serviço",0,IF(OR(AND(AUTOEVENTO="Manual",$M437=1),$M437&gt;(ROW(PLE.lastrow)-ROW(PLE.firstrow))),0,IF(OFFSET(PLE!$G$14,$M437,CL$13)="",10^12,OFFSET(PLE!$G$14,$M437,CL$13))))</f>
        <v>1000000000000</v>
      </c>
      <c r="CM437" s="216">
        <f ca="1">IF($D437&lt;&gt;"Serviço",0,IF(OR(AND(AUTOEVENTO="Manual",$M437=1),$M437&gt;(ROW(PLE.lastrow)-ROW(PLE.firstrow))),0,IF(OFFSET(PLE!$G$14,$M437,CM$13)="",10^12,OFFSET(PLE!$G$14,$M437,CM$13))))</f>
        <v>1000000000000</v>
      </c>
    </row>
    <row r="438" spans="1:91" ht="13.2" x14ac:dyDescent="0.25">
      <c r="A438" s="9">
        <f t="shared" ca="1" si="15"/>
        <v>0</v>
      </c>
      <c r="B438" s="9" t="str">
        <f ca="1">OFFSET(ORÇAMENTO!C$15,ROW(B438)-ROW(B$15),0)</f>
        <v>S</v>
      </c>
      <c r="C438" s="9" t="str">
        <f ca="1">OFFSET(ORÇAMENTO!L$15,ROW(C438)-ROW(C$15),0)</f>
        <v/>
      </c>
      <c r="D438" s="145" t="str">
        <f ca="1">OFFSET(ORÇAMENTO!N$15,ROW(D438)-ROW(D$15),0)</f>
        <v>Serviço</v>
      </c>
      <c r="E438" s="205" t="str">
        <f ca="1">OFFSET(ORÇAMENTO!O$15,ROW(E438)-ROW(E$15),0)</f>
        <v>-</v>
      </c>
      <c r="F438" s="206" t="str">
        <f ca="1">OFFSET(ORÇAMENTO!R$15,ROW(F438)-ROW(F$15),0)</f>
        <v>(abra o arquivo 'Referência 05-2024.xls)</v>
      </c>
      <c r="G438" s="207" t="str">
        <f ca="1">IF($D438&lt;&gt;"Serviço","",OFFSET(ORÇAMENTO!S$15,ROW(G438)-ROW(G$15),0))</f>
        <v>-</v>
      </c>
      <c r="H438" s="151">
        <f ca="1">IF($D438&lt;&gt;"Serviço",0,IF(ACOMPANHAMENTO="BM",ROUND(OFFSET(ORÇAMENTO!AJ$15,ROW(H438)-ROW(H$15),0),15-13*ORÇAMENTO!$AF$7),SUMPRODUCT(($Q$12:$AI$12&lt;&gt;"")*ROUND($Q438:$AI438,15-13*ORÇAMENTO!$AF$7))))</f>
        <v>6</v>
      </c>
      <c r="I438" s="650"/>
      <c r="K438" s="208"/>
      <c r="L438" s="209" t="s">
        <v>257</v>
      </c>
      <c r="M438" s="210">
        <f ca="1">IF($D438&lt;&gt;"Serviço","",IF(AUTOEVENTO="manual",$A438,IF(ISERROR(MATCH($A438,$A$15:OFFSET($A438,-1,0),0)),MAX($M$15:OFFSET(M438,-1,0))+1,INDEX($M$15:OFFSET(M438,-1,0),MATCH($A438,$A$15:OFFSET($A438,-1,0),0)))))</f>
        <v>0</v>
      </c>
      <c r="N438" s="211" t="str">
        <f ca="1">IF($D438&lt;&gt;"Serviço","",IF(AUTOEVENTO="Manual",IF($A438=0,"&lt;-- defina o número do agrupador",OFFSET(EVENTOS!$D$14,$A438,0)),OFFSET($F$15,$A438,0)))</f>
        <v>&lt;-- defina o número do agrupador</v>
      </c>
      <c r="O438" s="212"/>
      <c r="Q438" s="212"/>
      <c r="R438" s="213"/>
      <c r="S438" s="213"/>
      <c r="T438" s="213"/>
      <c r="U438" s="213"/>
      <c r="V438" s="213"/>
      <c r="W438" s="213"/>
      <c r="X438" s="213"/>
      <c r="Y438" s="213"/>
      <c r="Z438" s="214"/>
      <c r="AA438" s="213"/>
      <c r="AB438" s="213"/>
      <c r="AC438" s="213"/>
      <c r="AD438" s="213"/>
      <c r="AE438" s="213"/>
      <c r="AF438" s="213"/>
      <c r="AG438" s="213"/>
      <c r="AH438" s="214"/>
      <c r="AJ438" s="631">
        <f ca="1">IF(AND($D438="Serviço",AJ$12&lt;&gt;0,$H438&gt;0,OR(AUTOEVENTO&lt;&gt;"manual",$M438&lt;&gt;1)),ROUND(OFFSET($P438,0,AJ$13),15-13*ORÇAMENTO!$AF$7)/$H438*OFFSET(ORÇAMENTO!$X$15,ROW(AJ438)-ROW(AJ$15),0),0)</f>
        <v>0</v>
      </c>
      <c r="AK438" s="632">
        <f ca="1">IF(AND($D438="Serviço",AK$12&lt;&gt;0,$H438&gt;0,OR(AUTOEVENTO&lt;&gt;"manual",$M438&lt;&gt;1)),ROUND(OFFSET($P438,0,AK$13),15-13*ORÇAMENTO!$AF$7)/$H438*OFFSET(ORÇAMENTO!$X$15,ROW(AK438)-ROW(AK$15),0),0)</f>
        <v>0</v>
      </c>
      <c r="AL438" s="632">
        <f ca="1">IF(AND($D438="Serviço",AL$12&lt;&gt;0,$H438&gt;0,OR(AUTOEVENTO&lt;&gt;"manual",$M438&lt;&gt;1)),ROUND(OFFSET($P438,0,AL$13),15-13*ORÇAMENTO!$AF$7)/$H438*OFFSET(ORÇAMENTO!$X$15,ROW(AL438)-ROW(AL$15),0),0)</f>
        <v>0</v>
      </c>
      <c r="AM438" s="632">
        <f ca="1">IF(AND($D438="Serviço",AM$12&lt;&gt;0,$H438&gt;0,OR(AUTOEVENTO&lt;&gt;"manual",$M438&lt;&gt;1)),ROUND(OFFSET($P438,0,AM$13),15-13*ORÇAMENTO!$AF$7)/$H438*OFFSET(ORÇAMENTO!$X$15,ROW(AM438)-ROW(AM$15),0),0)</f>
        <v>0</v>
      </c>
      <c r="AN438" s="632">
        <f ca="1">IF(AND($D438="Serviço",AN$12&lt;&gt;0,$H438&gt;0,OR(AUTOEVENTO&lt;&gt;"manual",$M438&lt;&gt;1)),ROUND(OFFSET($P438,0,AN$13),15-13*ORÇAMENTO!$AF$7)/$H438*OFFSET(ORÇAMENTO!$X$15,ROW(AN438)-ROW(AN$15),0),0)</f>
        <v>0</v>
      </c>
      <c r="AO438" s="632">
        <f ca="1">IF(AND($D438="Serviço",AO$12&lt;&gt;0,$H438&gt;0,OR(AUTOEVENTO&lt;&gt;"manual",$M438&lt;&gt;1)),ROUND(OFFSET($P438,0,AO$13),15-13*ORÇAMENTO!$AF$7)/$H438*OFFSET(ORÇAMENTO!$X$15,ROW(AO438)-ROW(AO$15),0),0)</f>
        <v>0</v>
      </c>
      <c r="AP438" s="632">
        <f ca="1">IF(AND($D438="Serviço",AP$12&lt;&gt;0,$H438&gt;0,OR(AUTOEVENTO&lt;&gt;"manual",$M438&lt;&gt;1)),ROUND(OFFSET($P438,0,AP$13),15-13*ORÇAMENTO!$AF$7)/$H438*OFFSET(ORÇAMENTO!$X$15,ROW(AP438)-ROW(AP$15),0),0)</f>
        <v>0</v>
      </c>
      <c r="AQ438" s="632">
        <f ca="1">IF(AND($D438="Serviço",AQ$12&lt;&gt;0,$H438&gt;0,OR(AUTOEVENTO&lt;&gt;"manual",$M438&lt;&gt;1)),ROUND(OFFSET($P438,0,AQ$13),15-13*ORÇAMENTO!$AF$7)/$H438*OFFSET(ORÇAMENTO!$X$15,ROW(AQ438)-ROW(AQ$15),0),0)</f>
        <v>0</v>
      </c>
      <c r="AR438" s="632">
        <f ca="1">IF(AND($D438="Serviço",AR$12&lt;&gt;0,$H438&gt;0,OR(AUTOEVENTO&lt;&gt;"manual",$M438&lt;&gt;1)),ROUND(OFFSET($P438,0,AR$13),15-13*ORÇAMENTO!$AF$7)/$H438*OFFSET(ORÇAMENTO!$X$15,ROW(AR438)-ROW(AR$15),0),0)</f>
        <v>0</v>
      </c>
      <c r="AS438" s="633">
        <f ca="1">IF(AND($D438="Serviço",AS$12&lt;&gt;0,$H438&gt;0,OR(AUTOEVENTO&lt;&gt;"manual",$M438&lt;&gt;1)),ROUND(OFFSET($P438,0,AS$13),15-13*ORÇAMENTO!$AF$7)/$H438*OFFSET(ORÇAMENTO!$X$15,ROW(AS438)-ROW(AS$15),0),0)</f>
        <v>0</v>
      </c>
      <c r="AT438" s="632">
        <f ca="1">IF(AND($D438="Serviço",AT$12&lt;&gt;0,$H438&gt;0,OR(AUTOEVENTO&lt;&gt;"manual",$M438&lt;&gt;1)),ROUND(OFFSET($P438,0,AT$13),15-13*ORÇAMENTO!$AF$7)/$H438*OFFSET(ORÇAMENTO!$X$15,ROW(AT438)-ROW(AT$15),0),0)</f>
        <v>0</v>
      </c>
      <c r="AU438" s="632">
        <f ca="1">IF(AND($D438="Serviço",AU$12&lt;&gt;0,$H438&gt;0,OR(AUTOEVENTO&lt;&gt;"manual",$M438&lt;&gt;1)),ROUND(OFFSET($P438,0,AU$13),15-13*ORÇAMENTO!$AF$7)/$H438*OFFSET(ORÇAMENTO!$X$15,ROW(AU438)-ROW(AU$15),0),0)</f>
        <v>0</v>
      </c>
      <c r="AV438" s="632">
        <f ca="1">IF(AND($D438="Serviço",AV$12&lt;&gt;0,$H438&gt;0,OR(AUTOEVENTO&lt;&gt;"manual",$M438&lt;&gt;1)),ROUND(OFFSET($P438,0,AV$13),15-13*ORÇAMENTO!$AF$7)/$H438*OFFSET(ORÇAMENTO!$X$15,ROW(AV438)-ROW(AV$15),0),0)</f>
        <v>0</v>
      </c>
      <c r="AW438" s="632">
        <f ca="1">IF(AND($D438="Serviço",AW$12&lt;&gt;0,$H438&gt;0,OR(AUTOEVENTO&lt;&gt;"manual",$M438&lt;&gt;1)),ROUND(OFFSET($P438,0,AW$13),15-13*ORÇAMENTO!$AF$7)/$H438*OFFSET(ORÇAMENTO!$X$15,ROW(AW438)-ROW(AW$15),0),0)</f>
        <v>0</v>
      </c>
      <c r="AX438" s="632">
        <f ca="1">IF(AND($D438="Serviço",AX$12&lt;&gt;0,$H438&gt;0,OR(AUTOEVENTO&lt;&gt;"manual",$M438&lt;&gt;1)),ROUND(OFFSET($P438,0,AX$13),15-13*ORÇAMENTO!$AF$7)/$H438*OFFSET(ORÇAMENTO!$X$15,ROW(AX438)-ROW(AX$15),0),0)</f>
        <v>0</v>
      </c>
      <c r="AY438" s="632">
        <f ca="1">IF(AND($D438="Serviço",AY$12&lt;&gt;0,$H438&gt;0,OR(AUTOEVENTO&lt;&gt;"manual",$M438&lt;&gt;1)),ROUND(OFFSET($P438,0,AY$13),15-13*ORÇAMENTO!$AF$7)/$H438*OFFSET(ORÇAMENTO!$X$15,ROW(AY438)-ROW(AY$15),0),0)</f>
        <v>0</v>
      </c>
      <c r="AZ438" s="632">
        <f ca="1">IF(AND($D438="Serviço",AZ$12&lt;&gt;0,$H438&gt;0,OR(AUTOEVENTO&lt;&gt;"manual",$M438&lt;&gt;1)),ROUND(OFFSET($P438,0,AZ$13),15-13*ORÇAMENTO!$AF$7)/$H438*OFFSET(ORÇAMENTO!$X$15,ROW(AZ438)-ROW(AZ$15),0),0)</f>
        <v>0</v>
      </c>
      <c r="BA438" s="633">
        <f ca="1">IF(AND($D438="Serviço",BA$12&lt;&gt;0,$H438&gt;0,OR(AUTOEVENTO&lt;&gt;"manual",$M438&lt;&gt;1)),ROUND(OFFSET($P438,0,BA$13),15-13*ORÇAMENTO!$AF$7)/$H438*OFFSET(ORÇAMENTO!$X$15,ROW(BA438)-ROW(BA$15),0),0)</f>
        <v>0</v>
      </c>
      <c r="BC438" s="215">
        <f ca="1">IF($D438&lt;&gt;"Serviço",0,IF(AND(AUTOEVENTO="Manual",$M438=1),0,IF(OFFSET(CRONOPLE!$F$14,$M438,BC$13)="",10^12,OFFSET(CRONOPLE!$F$14,$M438,BC$13))))</f>
        <v>1000000000000</v>
      </c>
      <c r="BD438" s="215">
        <f ca="1">IF($D438&lt;&gt;"Serviço",0,IF(AND(AUTOEVENTO="Manual",$M438=1),0,IF(OFFSET(CRONOPLE!$F$14,$M438,BD$13)="",10^12,OFFSET(CRONOPLE!$F$14,$M438,BD$13))))</f>
        <v>1000000000000</v>
      </c>
      <c r="BE438" s="215">
        <f ca="1">IF($D438&lt;&gt;"Serviço",0,IF(AND(AUTOEVENTO="Manual",$M438=1),0,IF(OFFSET(CRONOPLE!$F$14,$M438,BE$13)="",10^12,OFFSET(CRONOPLE!$F$14,$M438,BE$13))))</f>
        <v>1000000000000</v>
      </c>
      <c r="BF438" s="215">
        <f ca="1">IF($D438&lt;&gt;"Serviço",0,IF(AND(AUTOEVENTO="Manual",$M438=1),0,IF(OFFSET(CRONOPLE!$F$14,$M438,BF$13)="",10^12,OFFSET(CRONOPLE!$F$14,$M438,BF$13))))</f>
        <v>1000000000000</v>
      </c>
      <c r="BG438" s="215">
        <f ca="1">IF($D438&lt;&gt;"Serviço",0,IF(AND(AUTOEVENTO="Manual",$M438=1),0,IF(OFFSET(CRONOPLE!$F$14,$M438,BG$13)="",10^12,OFFSET(CRONOPLE!$F$14,$M438,BG$13))))</f>
        <v>1000000000000</v>
      </c>
      <c r="BH438" s="215">
        <f ca="1">IF($D438&lt;&gt;"Serviço",0,IF(AND(AUTOEVENTO="Manual",$M438=1),0,IF(OFFSET(CRONOPLE!$F$14,$M438,BH$13)="",10^12,OFFSET(CRONOPLE!$F$14,$M438,BH$13))))</f>
        <v>1000000000000</v>
      </c>
      <c r="BI438" s="215">
        <f ca="1">IF($D438&lt;&gt;"Serviço",0,IF(AND(AUTOEVENTO="Manual",$M438=1),0,IF(OFFSET(CRONOPLE!$F$14,$M438,BI$13)="",10^12,OFFSET(CRONOPLE!$F$14,$M438,BI$13))))</f>
        <v>1000000000000</v>
      </c>
      <c r="BJ438" s="215">
        <f ca="1">IF($D438&lt;&gt;"Serviço",0,IF(AND(AUTOEVENTO="Manual",$M438=1),0,IF(OFFSET(CRONOPLE!$F$14,$M438,BJ$13)="",10^12,OFFSET(CRONOPLE!$F$14,$M438,BJ$13))))</f>
        <v>1000000000000</v>
      </c>
      <c r="BK438" s="215">
        <f ca="1">IF($D438&lt;&gt;"Serviço",0,IF(AND(AUTOEVENTO="Manual",$M438=1),0,IF(OFFSET(CRONOPLE!$F$14,$M438,BK$13)="",10^12,OFFSET(CRONOPLE!$F$14,$M438,BK$13))))</f>
        <v>1000000000000</v>
      </c>
      <c r="BL438" s="215">
        <f ca="1">IF($D438&lt;&gt;"Serviço",0,IF(AND(AUTOEVENTO="Manual",$M438=1),0,IF(OFFSET(CRONOPLE!$F$14,$M438,BL$13)="",10^12,OFFSET(CRONOPLE!$F$14,$M438,BL$13))))</f>
        <v>1000000000000</v>
      </c>
      <c r="BM438" s="215">
        <f ca="1">IF($D438&lt;&gt;"Serviço",0,IF(AND(AUTOEVENTO="Manual",$M438=1),0,IF(OFFSET(CRONOPLE!$F$14,$M438,BM$13)="",10^12,OFFSET(CRONOPLE!$F$14,$M438,BM$13))))</f>
        <v>1000000000000</v>
      </c>
      <c r="BN438" s="215">
        <f ca="1">IF($D438&lt;&gt;"Serviço",0,IF(AND(AUTOEVENTO="Manual",$M438=1),0,IF(OFFSET(CRONOPLE!$F$14,$M438,BN$13)="",10^12,OFFSET(CRONOPLE!$F$14,$M438,BN$13))))</f>
        <v>1000000000000</v>
      </c>
      <c r="BO438" s="215">
        <f ca="1">IF($D438&lt;&gt;"Serviço",0,IF(AND(AUTOEVENTO="Manual",$M438=1),0,IF(OFFSET(CRONOPLE!$F$14,$M438,BO$13)="",10^12,OFFSET(CRONOPLE!$F$14,$M438,BO$13))))</f>
        <v>1000000000000</v>
      </c>
      <c r="BP438" s="215">
        <f ca="1">IF($D438&lt;&gt;"Serviço",0,IF(AND(AUTOEVENTO="Manual",$M438=1),0,IF(OFFSET(CRONOPLE!$F$14,$M438,BP$13)="",10^12,OFFSET(CRONOPLE!$F$14,$M438,BP$13))))</f>
        <v>1000000000000</v>
      </c>
      <c r="BQ438" s="215">
        <f ca="1">IF($D438&lt;&gt;"Serviço",0,IF(AND(AUTOEVENTO="Manual",$M438=1),0,IF(OFFSET(CRONOPLE!$F$14,$M438,BQ$13)="",10^12,OFFSET(CRONOPLE!$F$14,$M438,BQ$13))))</f>
        <v>1000000000000</v>
      </c>
      <c r="BR438" s="215">
        <f ca="1">IF($D438&lt;&gt;"Serviço",0,IF(AND(AUTOEVENTO="Manual",$M438=1),0,IF(OFFSET(CRONOPLE!$F$14,$M438,BR$13)="",10^12,OFFSET(CRONOPLE!$F$14,$M438,BR$13))))</f>
        <v>1000000000000</v>
      </c>
      <c r="BS438" s="215">
        <f ca="1">IF($D438&lt;&gt;"Serviço",0,IF(AND(AUTOEVENTO="Manual",$M438=1),0,IF(OFFSET(CRONOPLE!$F$14,$M438,BS$13)="",10^12,OFFSET(CRONOPLE!$F$14,$M438,BS$13))))</f>
        <v>1000000000000</v>
      </c>
      <c r="BT438" s="215">
        <f ca="1">IF($D438&lt;&gt;"Serviço",0,IF(AND(AUTOEVENTO="Manual",$M438=1),0,IF(OFFSET(CRONOPLE!$F$14,$M438,BT$13)="",10^12,OFFSET(CRONOPLE!$F$14,$M438,BT$13))))</f>
        <v>1000000000000</v>
      </c>
      <c r="BV438" s="216">
        <f ca="1">IF($D438&lt;&gt;"Serviço",0,IF(OR(AND(AUTOEVENTO="Manual",$M438=1),$M438&gt;(ROW(PLE.lastrow)-ROW(PLE.firstrow))),0,IF(OFFSET(PLE!$G$14,$M438,BV$13)="",10^12,OFFSET(PLE!$G$14,$M438,BV$13))))</f>
        <v>1000000000000</v>
      </c>
      <c r="BW438" s="216">
        <f ca="1">IF($D438&lt;&gt;"Serviço",0,IF(OR(AND(AUTOEVENTO="Manual",$M438=1),$M438&gt;(ROW(PLE.lastrow)-ROW(PLE.firstrow))),0,IF(OFFSET(PLE!$G$14,$M438,BW$13)="",10^12,OFFSET(PLE!$G$14,$M438,BW$13))))</f>
        <v>1000000000000</v>
      </c>
      <c r="BX438" s="216">
        <f ca="1">IF($D438&lt;&gt;"Serviço",0,IF(OR(AND(AUTOEVENTO="Manual",$M438=1),$M438&gt;(ROW(PLE.lastrow)-ROW(PLE.firstrow))),0,IF(OFFSET(PLE!$G$14,$M438,BX$13)="",10^12,OFFSET(PLE!$G$14,$M438,BX$13))))</f>
        <v>1000000000000</v>
      </c>
      <c r="BY438" s="216">
        <f ca="1">IF($D438&lt;&gt;"Serviço",0,IF(OR(AND(AUTOEVENTO="Manual",$M438=1),$M438&gt;(ROW(PLE.lastrow)-ROW(PLE.firstrow))),0,IF(OFFSET(PLE!$G$14,$M438,BY$13)="",10^12,OFFSET(PLE!$G$14,$M438,BY$13))))</f>
        <v>1000000000000</v>
      </c>
      <c r="BZ438" s="216">
        <f ca="1">IF($D438&lt;&gt;"Serviço",0,IF(OR(AND(AUTOEVENTO="Manual",$M438=1),$M438&gt;(ROW(PLE.lastrow)-ROW(PLE.firstrow))),0,IF(OFFSET(PLE!$G$14,$M438,BZ$13)="",10^12,OFFSET(PLE!$G$14,$M438,BZ$13))))</f>
        <v>1000000000000</v>
      </c>
      <c r="CA438" s="216">
        <f ca="1">IF($D438&lt;&gt;"Serviço",0,IF(OR(AND(AUTOEVENTO="Manual",$M438=1),$M438&gt;(ROW(PLE.lastrow)-ROW(PLE.firstrow))),0,IF(OFFSET(PLE!$G$14,$M438,CA$13)="",10^12,OFFSET(PLE!$G$14,$M438,CA$13))))</f>
        <v>1000000000000</v>
      </c>
      <c r="CB438" s="216">
        <f ca="1">IF($D438&lt;&gt;"Serviço",0,IF(OR(AND(AUTOEVENTO="Manual",$M438=1),$M438&gt;(ROW(PLE.lastrow)-ROW(PLE.firstrow))),0,IF(OFFSET(PLE!$G$14,$M438,CB$13)="",10^12,OFFSET(PLE!$G$14,$M438,CB$13))))</f>
        <v>1000000000000</v>
      </c>
      <c r="CC438" s="216">
        <f ca="1">IF($D438&lt;&gt;"Serviço",0,IF(OR(AND(AUTOEVENTO="Manual",$M438=1),$M438&gt;(ROW(PLE.lastrow)-ROW(PLE.firstrow))),0,IF(OFFSET(PLE!$G$14,$M438,CC$13)="",10^12,OFFSET(PLE!$G$14,$M438,CC$13))))</f>
        <v>1000000000000</v>
      </c>
      <c r="CD438" s="216">
        <f ca="1">IF($D438&lt;&gt;"Serviço",0,IF(OR(AND(AUTOEVENTO="Manual",$M438=1),$M438&gt;(ROW(PLE.lastrow)-ROW(PLE.firstrow))),0,IF(OFFSET(PLE!$G$14,$M438,CD$13)="",10^12,OFFSET(PLE!$G$14,$M438,CD$13))))</f>
        <v>1000000000000</v>
      </c>
      <c r="CE438" s="216">
        <f ca="1">IF($D438&lt;&gt;"Serviço",0,IF(OR(AND(AUTOEVENTO="Manual",$M438=1),$M438&gt;(ROW(PLE.lastrow)-ROW(PLE.firstrow))),0,IF(OFFSET(PLE!$G$14,$M438,CE$13)="",10^12,OFFSET(PLE!$G$14,$M438,CE$13))))</f>
        <v>1000000000000</v>
      </c>
      <c r="CF438" s="216">
        <f ca="1">IF($D438&lt;&gt;"Serviço",0,IF(OR(AND(AUTOEVENTO="Manual",$M438=1),$M438&gt;(ROW(PLE.lastrow)-ROW(PLE.firstrow))),0,IF(OFFSET(PLE!$G$14,$M438,CF$13)="",10^12,OFFSET(PLE!$G$14,$M438,CF$13))))</f>
        <v>1000000000000</v>
      </c>
      <c r="CG438" s="216">
        <f ca="1">IF($D438&lt;&gt;"Serviço",0,IF(OR(AND(AUTOEVENTO="Manual",$M438=1),$M438&gt;(ROW(PLE.lastrow)-ROW(PLE.firstrow))),0,IF(OFFSET(PLE!$G$14,$M438,CG$13)="",10^12,OFFSET(PLE!$G$14,$M438,CG$13))))</f>
        <v>1000000000000</v>
      </c>
      <c r="CH438" s="216">
        <f ca="1">IF($D438&lt;&gt;"Serviço",0,IF(OR(AND(AUTOEVENTO="Manual",$M438=1),$M438&gt;(ROW(PLE.lastrow)-ROW(PLE.firstrow))),0,IF(OFFSET(PLE!$G$14,$M438,CH$13)="",10^12,OFFSET(PLE!$G$14,$M438,CH$13))))</f>
        <v>1000000000000</v>
      </c>
      <c r="CI438" s="216">
        <f ca="1">IF($D438&lt;&gt;"Serviço",0,IF(OR(AND(AUTOEVENTO="Manual",$M438=1),$M438&gt;(ROW(PLE.lastrow)-ROW(PLE.firstrow))),0,IF(OFFSET(PLE!$G$14,$M438,CI$13)="",10^12,OFFSET(PLE!$G$14,$M438,CI$13))))</f>
        <v>1000000000000</v>
      </c>
      <c r="CJ438" s="216">
        <f ca="1">IF($D438&lt;&gt;"Serviço",0,IF(OR(AND(AUTOEVENTO="Manual",$M438=1),$M438&gt;(ROW(PLE.lastrow)-ROW(PLE.firstrow))),0,IF(OFFSET(PLE!$G$14,$M438,CJ$13)="",10^12,OFFSET(PLE!$G$14,$M438,CJ$13))))</f>
        <v>1000000000000</v>
      </c>
      <c r="CK438" s="216">
        <f ca="1">IF($D438&lt;&gt;"Serviço",0,IF(OR(AND(AUTOEVENTO="Manual",$M438=1),$M438&gt;(ROW(PLE.lastrow)-ROW(PLE.firstrow))),0,IF(OFFSET(PLE!$G$14,$M438,CK$13)="",10^12,OFFSET(PLE!$G$14,$M438,CK$13))))</f>
        <v>1000000000000</v>
      </c>
      <c r="CL438" s="216">
        <f ca="1">IF($D438&lt;&gt;"Serviço",0,IF(OR(AND(AUTOEVENTO="Manual",$M438=1),$M438&gt;(ROW(PLE.lastrow)-ROW(PLE.firstrow))),0,IF(OFFSET(PLE!$G$14,$M438,CL$13)="",10^12,OFFSET(PLE!$G$14,$M438,CL$13))))</f>
        <v>1000000000000</v>
      </c>
      <c r="CM438" s="216">
        <f ca="1">IF($D438&lt;&gt;"Serviço",0,IF(OR(AND(AUTOEVENTO="Manual",$M438=1),$M438&gt;(ROW(PLE.lastrow)-ROW(PLE.firstrow))),0,IF(OFFSET(PLE!$G$14,$M438,CM$13)="",10^12,OFFSET(PLE!$G$14,$M438,CM$13))))</f>
        <v>1000000000000</v>
      </c>
    </row>
    <row r="439" spans="1:91" ht="13.2" x14ac:dyDescent="0.25">
      <c r="A439" s="9">
        <f t="shared" ca="1" si="15"/>
        <v>0</v>
      </c>
      <c r="B439" s="9" t="str">
        <f ca="1">OFFSET(ORÇAMENTO!C$15,ROW(B439)-ROW(B$15),0)</f>
        <v>S</v>
      </c>
      <c r="C439" s="9" t="str">
        <f ca="1">OFFSET(ORÇAMENTO!L$15,ROW(C439)-ROW(C$15),0)</f>
        <v/>
      </c>
      <c r="D439" s="145" t="str">
        <f ca="1">OFFSET(ORÇAMENTO!N$15,ROW(D439)-ROW(D$15),0)</f>
        <v>Serviço</v>
      </c>
      <c r="E439" s="205" t="str">
        <f ca="1">OFFSET(ORÇAMENTO!O$15,ROW(E439)-ROW(E$15),0)</f>
        <v>-</v>
      </c>
      <c r="F439" s="206" t="str">
        <f ca="1">OFFSET(ORÇAMENTO!R$15,ROW(F439)-ROW(F$15),0)</f>
        <v>(abra o arquivo 'Referência 05-2024.xls)</v>
      </c>
      <c r="G439" s="207" t="str">
        <f ca="1">IF($D439&lt;&gt;"Serviço","",OFFSET(ORÇAMENTO!S$15,ROW(G439)-ROW(G$15),0))</f>
        <v>-</v>
      </c>
      <c r="H439" s="151">
        <f ca="1">IF($D439&lt;&gt;"Serviço",0,IF(ACOMPANHAMENTO="BM",ROUND(OFFSET(ORÇAMENTO!AJ$15,ROW(H439)-ROW(H$15),0),15-13*ORÇAMENTO!$AF$7),SUMPRODUCT(($Q$12:$AI$12&lt;&gt;"")*ROUND($Q439:$AI439,15-13*ORÇAMENTO!$AF$7))))</f>
        <v>4</v>
      </c>
      <c r="I439" s="650"/>
      <c r="K439" s="208"/>
      <c r="L439" s="209" t="s">
        <v>257</v>
      </c>
      <c r="M439" s="210">
        <f ca="1">IF($D439&lt;&gt;"Serviço","",IF(AUTOEVENTO="manual",$A439,IF(ISERROR(MATCH($A439,$A$15:OFFSET($A439,-1,0),0)),MAX($M$15:OFFSET(M439,-1,0))+1,INDEX($M$15:OFFSET(M439,-1,0),MATCH($A439,$A$15:OFFSET($A439,-1,0),0)))))</f>
        <v>0</v>
      </c>
      <c r="N439" s="211" t="str">
        <f ca="1">IF($D439&lt;&gt;"Serviço","",IF(AUTOEVENTO="Manual",IF($A439=0,"&lt;-- defina o número do agrupador",OFFSET(EVENTOS!$D$14,$A439,0)),OFFSET($F$15,$A439,0)))</f>
        <v>&lt;-- defina o número do agrupador</v>
      </c>
      <c r="O439" s="212"/>
      <c r="Q439" s="212"/>
      <c r="R439" s="213"/>
      <c r="S439" s="213"/>
      <c r="T439" s="213"/>
      <c r="U439" s="213"/>
      <c r="V439" s="213"/>
      <c r="W439" s="213"/>
      <c r="X439" s="213"/>
      <c r="Y439" s="213"/>
      <c r="Z439" s="214"/>
      <c r="AA439" s="213"/>
      <c r="AB439" s="213"/>
      <c r="AC439" s="213"/>
      <c r="AD439" s="213"/>
      <c r="AE439" s="213"/>
      <c r="AF439" s="213"/>
      <c r="AG439" s="213"/>
      <c r="AH439" s="214"/>
      <c r="AJ439" s="631">
        <f ca="1">IF(AND($D439="Serviço",AJ$12&lt;&gt;0,$H439&gt;0,OR(AUTOEVENTO&lt;&gt;"manual",$M439&lt;&gt;1)),ROUND(OFFSET($P439,0,AJ$13),15-13*ORÇAMENTO!$AF$7)/$H439*OFFSET(ORÇAMENTO!$X$15,ROW(AJ439)-ROW(AJ$15),0),0)</f>
        <v>0</v>
      </c>
      <c r="AK439" s="632">
        <f ca="1">IF(AND($D439="Serviço",AK$12&lt;&gt;0,$H439&gt;0,OR(AUTOEVENTO&lt;&gt;"manual",$M439&lt;&gt;1)),ROUND(OFFSET($P439,0,AK$13),15-13*ORÇAMENTO!$AF$7)/$H439*OFFSET(ORÇAMENTO!$X$15,ROW(AK439)-ROW(AK$15),0),0)</f>
        <v>0</v>
      </c>
      <c r="AL439" s="632">
        <f ca="1">IF(AND($D439="Serviço",AL$12&lt;&gt;0,$H439&gt;0,OR(AUTOEVENTO&lt;&gt;"manual",$M439&lt;&gt;1)),ROUND(OFFSET($P439,0,AL$13),15-13*ORÇAMENTO!$AF$7)/$H439*OFFSET(ORÇAMENTO!$X$15,ROW(AL439)-ROW(AL$15),0),0)</f>
        <v>0</v>
      </c>
      <c r="AM439" s="632">
        <f ca="1">IF(AND($D439="Serviço",AM$12&lt;&gt;0,$H439&gt;0,OR(AUTOEVENTO&lt;&gt;"manual",$M439&lt;&gt;1)),ROUND(OFFSET($P439,0,AM$13),15-13*ORÇAMENTO!$AF$7)/$H439*OFFSET(ORÇAMENTO!$X$15,ROW(AM439)-ROW(AM$15),0),0)</f>
        <v>0</v>
      </c>
      <c r="AN439" s="632">
        <f ca="1">IF(AND($D439="Serviço",AN$12&lt;&gt;0,$H439&gt;0,OR(AUTOEVENTO&lt;&gt;"manual",$M439&lt;&gt;1)),ROUND(OFFSET($P439,0,AN$13),15-13*ORÇAMENTO!$AF$7)/$H439*OFFSET(ORÇAMENTO!$X$15,ROW(AN439)-ROW(AN$15),0),0)</f>
        <v>0</v>
      </c>
      <c r="AO439" s="632">
        <f ca="1">IF(AND($D439="Serviço",AO$12&lt;&gt;0,$H439&gt;0,OR(AUTOEVENTO&lt;&gt;"manual",$M439&lt;&gt;1)),ROUND(OFFSET($P439,0,AO$13),15-13*ORÇAMENTO!$AF$7)/$H439*OFFSET(ORÇAMENTO!$X$15,ROW(AO439)-ROW(AO$15),0),0)</f>
        <v>0</v>
      </c>
      <c r="AP439" s="632">
        <f ca="1">IF(AND($D439="Serviço",AP$12&lt;&gt;0,$H439&gt;0,OR(AUTOEVENTO&lt;&gt;"manual",$M439&lt;&gt;1)),ROUND(OFFSET($P439,0,AP$13),15-13*ORÇAMENTO!$AF$7)/$H439*OFFSET(ORÇAMENTO!$X$15,ROW(AP439)-ROW(AP$15),0),0)</f>
        <v>0</v>
      </c>
      <c r="AQ439" s="632">
        <f ca="1">IF(AND($D439="Serviço",AQ$12&lt;&gt;0,$H439&gt;0,OR(AUTOEVENTO&lt;&gt;"manual",$M439&lt;&gt;1)),ROUND(OFFSET($P439,0,AQ$13),15-13*ORÇAMENTO!$AF$7)/$H439*OFFSET(ORÇAMENTO!$X$15,ROW(AQ439)-ROW(AQ$15),0),0)</f>
        <v>0</v>
      </c>
      <c r="AR439" s="632">
        <f ca="1">IF(AND($D439="Serviço",AR$12&lt;&gt;0,$H439&gt;0,OR(AUTOEVENTO&lt;&gt;"manual",$M439&lt;&gt;1)),ROUND(OFFSET($P439,0,AR$13),15-13*ORÇAMENTO!$AF$7)/$H439*OFFSET(ORÇAMENTO!$X$15,ROW(AR439)-ROW(AR$15),0),0)</f>
        <v>0</v>
      </c>
      <c r="AS439" s="633">
        <f ca="1">IF(AND($D439="Serviço",AS$12&lt;&gt;0,$H439&gt;0,OR(AUTOEVENTO&lt;&gt;"manual",$M439&lt;&gt;1)),ROUND(OFFSET($P439,0,AS$13),15-13*ORÇAMENTO!$AF$7)/$H439*OFFSET(ORÇAMENTO!$X$15,ROW(AS439)-ROW(AS$15),0),0)</f>
        <v>0</v>
      </c>
      <c r="AT439" s="632">
        <f ca="1">IF(AND($D439="Serviço",AT$12&lt;&gt;0,$H439&gt;0,OR(AUTOEVENTO&lt;&gt;"manual",$M439&lt;&gt;1)),ROUND(OFFSET($P439,0,AT$13),15-13*ORÇAMENTO!$AF$7)/$H439*OFFSET(ORÇAMENTO!$X$15,ROW(AT439)-ROW(AT$15),0),0)</f>
        <v>0</v>
      </c>
      <c r="AU439" s="632">
        <f ca="1">IF(AND($D439="Serviço",AU$12&lt;&gt;0,$H439&gt;0,OR(AUTOEVENTO&lt;&gt;"manual",$M439&lt;&gt;1)),ROUND(OFFSET($P439,0,AU$13),15-13*ORÇAMENTO!$AF$7)/$H439*OFFSET(ORÇAMENTO!$X$15,ROW(AU439)-ROW(AU$15),0),0)</f>
        <v>0</v>
      </c>
      <c r="AV439" s="632">
        <f ca="1">IF(AND($D439="Serviço",AV$12&lt;&gt;0,$H439&gt;0,OR(AUTOEVENTO&lt;&gt;"manual",$M439&lt;&gt;1)),ROUND(OFFSET($P439,0,AV$13),15-13*ORÇAMENTO!$AF$7)/$H439*OFFSET(ORÇAMENTO!$X$15,ROW(AV439)-ROW(AV$15),0),0)</f>
        <v>0</v>
      </c>
      <c r="AW439" s="632">
        <f ca="1">IF(AND($D439="Serviço",AW$12&lt;&gt;0,$H439&gt;0,OR(AUTOEVENTO&lt;&gt;"manual",$M439&lt;&gt;1)),ROUND(OFFSET($P439,0,AW$13),15-13*ORÇAMENTO!$AF$7)/$H439*OFFSET(ORÇAMENTO!$X$15,ROW(AW439)-ROW(AW$15),0),0)</f>
        <v>0</v>
      </c>
      <c r="AX439" s="632">
        <f ca="1">IF(AND($D439="Serviço",AX$12&lt;&gt;0,$H439&gt;0,OR(AUTOEVENTO&lt;&gt;"manual",$M439&lt;&gt;1)),ROUND(OFFSET($P439,0,AX$13),15-13*ORÇAMENTO!$AF$7)/$H439*OFFSET(ORÇAMENTO!$X$15,ROW(AX439)-ROW(AX$15),0),0)</f>
        <v>0</v>
      </c>
      <c r="AY439" s="632">
        <f ca="1">IF(AND($D439="Serviço",AY$12&lt;&gt;0,$H439&gt;0,OR(AUTOEVENTO&lt;&gt;"manual",$M439&lt;&gt;1)),ROUND(OFFSET($P439,0,AY$13),15-13*ORÇAMENTO!$AF$7)/$H439*OFFSET(ORÇAMENTO!$X$15,ROW(AY439)-ROW(AY$15),0),0)</f>
        <v>0</v>
      </c>
      <c r="AZ439" s="632">
        <f ca="1">IF(AND($D439="Serviço",AZ$12&lt;&gt;0,$H439&gt;0,OR(AUTOEVENTO&lt;&gt;"manual",$M439&lt;&gt;1)),ROUND(OFFSET($P439,0,AZ$13),15-13*ORÇAMENTO!$AF$7)/$H439*OFFSET(ORÇAMENTO!$X$15,ROW(AZ439)-ROW(AZ$15),0),0)</f>
        <v>0</v>
      </c>
      <c r="BA439" s="633">
        <f ca="1">IF(AND($D439="Serviço",BA$12&lt;&gt;0,$H439&gt;0,OR(AUTOEVENTO&lt;&gt;"manual",$M439&lt;&gt;1)),ROUND(OFFSET($P439,0,BA$13),15-13*ORÇAMENTO!$AF$7)/$H439*OFFSET(ORÇAMENTO!$X$15,ROW(BA439)-ROW(BA$15),0),0)</f>
        <v>0</v>
      </c>
      <c r="BC439" s="215">
        <f ca="1">IF($D439&lt;&gt;"Serviço",0,IF(AND(AUTOEVENTO="Manual",$M439=1),0,IF(OFFSET(CRONOPLE!$F$14,$M439,BC$13)="",10^12,OFFSET(CRONOPLE!$F$14,$M439,BC$13))))</f>
        <v>1000000000000</v>
      </c>
      <c r="BD439" s="215">
        <f ca="1">IF($D439&lt;&gt;"Serviço",0,IF(AND(AUTOEVENTO="Manual",$M439=1),0,IF(OFFSET(CRONOPLE!$F$14,$M439,BD$13)="",10^12,OFFSET(CRONOPLE!$F$14,$M439,BD$13))))</f>
        <v>1000000000000</v>
      </c>
      <c r="BE439" s="215">
        <f ca="1">IF($D439&lt;&gt;"Serviço",0,IF(AND(AUTOEVENTO="Manual",$M439=1),0,IF(OFFSET(CRONOPLE!$F$14,$M439,BE$13)="",10^12,OFFSET(CRONOPLE!$F$14,$M439,BE$13))))</f>
        <v>1000000000000</v>
      </c>
      <c r="BF439" s="215">
        <f ca="1">IF($D439&lt;&gt;"Serviço",0,IF(AND(AUTOEVENTO="Manual",$M439=1),0,IF(OFFSET(CRONOPLE!$F$14,$M439,BF$13)="",10^12,OFFSET(CRONOPLE!$F$14,$M439,BF$13))))</f>
        <v>1000000000000</v>
      </c>
      <c r="BG439" s="215">
        <f ca="1">IF($D439&lt;&gt;"Serviço",0,IF(AND(AUTOEVENTO="Manual",$M439=1),0,IF(OFFSET(CRONOPLE!$F$14,$M439,BG$13)="",10^12,OFFSET(CRONOPLE!$F$14,$M439,BG$13))))</f>
        <v>1000000000000</v>
      </c>
      <c r="BH439" s="215">
        <f ca="1">IF($D439&lt;&gt;"Serviço",0,IF(AND(AUTOEVENTO="Manual",$M439=1),0,IF(OFFSET(CRONOPLE!$F$14,$M439,BH$13)="",10^12,OFFSET(CRONOPLE!$F$14,$M439,BH$13))))</f>
        <v>1000000000000</v>
      </c>
      <c r="BI439" s="215">
        <f ca="1">IF($D439&lt;&gt;"Serviço",0,IF(AND(AUTOEVENTO="Manual",$M439=1),0,IF(OFFSET(CRONOPLE!$F$14,$M439,BI$13)="",10^12,OFFSET(CRONOPLE!$F$14,$M439,BI$13))))</f>
        <v>1000000000000</v>
      </c>
      <c r="BJ439" s="215">
        <f ca="1">IF($D439&lt;&gt;"Serviço",0,IF(AND(AUTOEVENTO="Manual",$M439=1),0,IF(OFFSET(CRONOPLE!$F$14,$M439,BJ$13)="",10^12,OFFSET(CRONOPLE!$F$14,$M439,BJ$13))))</f>
        <v>1000000000000</v>
      </c>
      <c r="BK439" s="215">
        <f ca="1">IF($D439&lt;&gt;"Serviço",0,IF(AND(AUTOEVENTO="Manual",$M439=1),0,IF(OFFSET(CRONOPLE!$F$14,$M439,BK$13)="",10^12,OFFSET(CRONOPLE!$F$14,$M439,BK$13))))</f>
        <v>1000000000000</v>
      </c>
      <c r="BL439" s="215">
        <f ca="1">IF($D439&lt;&gt;"Serviço",0,IF(AND(AUTOEVENTO="Manual",$M439=1),0,IF(OFFSET(CRONOPLE!$F$14,$M439,BL$13)="",10^12,OFFSET(CRONOPLE!$F$14,$M439,BL$13))))</f>
        <v>1000000000000</v>
      </c>
      <c r="BM439" s="215">
        <f ca="1">IF($D439&lt;&gt;"Serviço",0,IF(AND(AUTOEVENTO="Manual",$M439=1),0,IF(OFFSET(CRONOPLE!$F$14,$M439,BM$13)="",10^12,OFFSET(CRONOPLE!$F$14,$M439,BM$13))))</f>
        <v>1000000000000</v>
      </c>
      <c r="BN439" s="215">
        <f ca="1">IF($D439&lt;&gt;"Serviço",0,IF(AND(AUTOEVENTO="Manual",$M439=1),0,IF(OFFSET(CRONOPLE!$F$14,$M439,BN$13)="",10^12,OFFSET(CRONOPLE!$F$14,$M439,BN$13))))</f>
        <v>1000000000000</v>
      </c>
      <c r="BO439" s="215">
        <f ca="1">IF($D439&lt;&gt;"Serviço",0,IF(AND(AUTOEVENTO="Manual",$M439=1),0,IF(OFFSET(CRONOPLE!$F$14,$M439,BO$13)="",10^12,OFFSET(CRONOPLE!$F$14,$M439,BO$13))))</f>
        <v>1000000000000</v>
      </c>
      <c r="BP439" s="215">
        <f ca="1">IF($D439&lt;&gt;"Serviço",0,IF(AND(AUTOEVENTO="Manual",$M439=1),0,IF(OFFSET(CRONOPLE!$F$14,$M439,BP$13)="",10^12,OFFSET(CRONOPLE!$F$14,$M439,BP$13))))</f>
        <v>1000000000000</v>
      </c>
      <c r="BQ439" s="215">
        <f ca="1">IF($D439&lt;&gt;"Serviço",0,IF(AND(AUTOEVENTO="Manual",$M439=1),0,IF(OFFSET(CRONOPLE!$F$14,$M439,BQ$13)="",10^12,OFFSET(CRONOPLE!$F$14,$M439,BQ$13))))</f>
        <v>1000000000000</v>
      </c>
      <c r="BR439" s="215">
        <f ca="1">IF($D439&lt;&gt;"Serviço",0,IF(AND(AUTOEVENTO="Manual",$M439=1),0,IF(OFFSET(CRONOPLE!$F$14,$M439,BR$13)="",10^12,OFFSET(CRONOPLE!$F$14,$M439,BR$13))))</f>
        <v>1000000000000</v>
      </c>
      <c r="BS439" s="215">
        <f ca="1">IF($D439&lt;&gt;"Serviço",0,IF(AND(AUTOEVENTO="Manual",$M439=1),0,IF(OFFSET(CRONOPLE!$F$14,$M439,BS$13)="",10^12,OFFSET(CRONOPLE!$F$14,$M439,BS$13))))</f>
        <v>1000000000000</v>
      </c>
      <c r="BT439" s="215">
        <f ca="1">IF($D439&lt;&gt;"Serviço",0,IF(AND(AUTOEVENTO="Manual",$M439=1),0,IF(OFFSET(CRONOPLE!$F$14,$M439,BT$13)="",10^12,OFFSET(CRONOPLE!$F$14,$M439,BT$13))))</f>
        <v>1000000000000</v>
      </c>
      <c r="BV439" s="216">
        <f ca="1">IF($D439&lt;&gt;"Serviço",0,IF(OR(AND(AUTOEVENTO="Manual",$M439=1),$M439&gt;(ROW(PLE.lastrow)-ROW(PLE.firstrow))),0,IF(OFFSET(PLE!$G$14,$M439,BV$13)="",10^12,OFFSET(PLE!$G$14,$M439,BV$13))))</f>
        <v>1000000000000</v>
      </c>
      <c r="BW439" s="216">
        <f ca="1">IF($D439&lt;&gt;"Serviço",0,IF(OR(AND(AUTOEVENTO="Manual",$M439=1),$M439&gt;(ROW(PLE.lastrow)-ROW(PLE.firstrow))),0,IF(OFFSET(PLE!$G$14,$M439,BW$13)="",10^12,OFFSET(PLE!$G$14,$M439,BW$13))))</f>
        <v>1000000000000</v>
      </c>
      <c r="BX439" s="216">
        <f ca="1">IF($D439&lt;&gt;"Serviço",0,IF(OR(AND(AUTOEVENTO="Manual",$M439=1),$M439&gt;(ROW(PLE.lastrow)-ROW(PLE.firstrow))),0,IF(OFFSET(PLE!$G$14,$M439,BX$13)="",10^12,OFFSET(PLE!$G$14,$M439,BX$13))))</f>
        <v>1000000000000</v>
      </c>
      <c r="BY439" s="216">
        <f ca="1">IF($D439&lt;&gt;"Serviço",0,IF(OR(AND(AUTOEVENTO="Manual",$M439=1),$M439&gt;(ROW(PLE.lastrow)-ROW(PLE.firstrow))),0,IF(OFFSET(PLE!$G$14,$M439,BY$13)="",10^12,OFFSET(PLE!$G$14,$M439,BY$13))))</f>
        <v>1000000000000</v>
      </c>
      <c r="BZ439" s="216">
        <f ca="1">IF($D439&lt;&gt;"Serviço",0,IF(OR(AND(AUTOEVENTO="Manual",$M439=1),$M439&gt;(ROW(PLE.lastrow)-ROW(PLE.firstrow))),0,IF(OFFSET(PLE!$G$14,$M439,BZ$13)="",10^12,OFFSET(PLE!$G$14,$M439,BZ$13))))</f>
        <v>1000000000000</v>
      </c>
      <c r="CA439" s="216">
        <f ca="1">IF($D439&lt;&gt;"Serviço",0,IF(OR(AND(AUTOEVENTO="Manual",$M439=1),$M439&gt;(ROW(PLE.lastrow)-ROW(PLE.firstrow))),0,IF(OFFSET(PLE!$G$14,$M439,CA$13)="",10^12,OFFSET(PLE!$G$14,$M439,CA$13))))</f>
        <v>1000000000000</v>
      </c>
      <c r="CB439" s="216">
        <f ca="1">IF($D439&lt;&gt;"Serviço",0,IF(OR(AND(AUTOEVENTO="Manual",$M439=1),$M439&gt;(ROW(PLE.lastrow)-ROW(PLE.firstrow))),0,IF(OFFSET(PLE!$G$14,$M439,CB$13)="",10^12,OFFSET(PLE!$G$14,$M439,CB$13))))</f>
        <v>1000000000000</v>
      </c>
      <c r="CC439" s="216">
        <f ca="1">IF($D439&lt;&gt;"Serviço",0,IF(OR(AND(AUTOEVENTO="Manual",$M439=1),$M439&gt;(ROW(PLE.lastrow)-ROW(PLE.firstrow))),0,IF(OFFSET(PLE!$G$14,$M439,CC$13)="",10^12,OFFSET(PLE!$G$14,$M439,CC$13))))</f>
        <v>1000000000000</v>
      </c>
      <c r="CD439" s="216">
        <f ca="1">IF($D439&lt;&gt;"Serviço",0,IF(OR(AND(AUTOEVENTO="Manual",$M439=1),$M439&gt;(ROW(PLE.lastrow)-ROW(PLE.firstrow))),0,IF(OFFSET(PLE!$G$14,$M439,CD$13)="",10^12,OFFSET(PLE!$G$14,$M439,CD$13))))</f>
        <v>1000000000000</v>
      </c>
      <c r="CE439" s="216">
        <f ca="1">IF($D439&lt;&gt;"Serviço",0,IF(OR(AND(AUTOEVENTO="Manual",$M439=1),$M439&gt;(ROW(PLE.lastrow)-ROW(PLE.firstrow))),0,IF(OFFSET(PLE!$G$14,$M439,CE$13)="",10^12,OFFSET(PLE!$G$14,$M439,CE$13))))</f>
        <v>1000000000000</v>
      </c>
      <c r="CF439" s="216">
        <f ca="1">IF($D439&lt;&gt;"Serviço",0,IF(OR(AND(AUTOEVENTO="Manual",$M439=1),$M439&gt;(ROW(PLE.lastrow)-ROW(PLE.firstrow))),0,IF(OFFSET(PLE!$G$14,$M439,CF$13)="",10^12,OFFSET(PLE!$G$14,$M439,CF$13))))</f>
        <v>1000000000000</v>
      </c>
      <c r="CG439" s="216">
        <f ca="1">IF($D439&lt;&gt;"Serviço",0,IF(OR(AND(AUTOEVENTO="Manual",$M439=1),$M439&gt;(ROW(PLE.lastrow)-ROW(PLE.firstrow))),0,IF(OFFSET(PLE!$G$14,$M439,CG$13)="",10^12,OFFSET(PLE!$G$14,$M439,CG$13))))</f>
        <v>1000000000000</v>
      </c>
      <c r="CH439" s="216">
        <f ca="1">IF($D439&lt;&gt;"Serviço",0,IF(OR(AND(AUTOEVENTO="Manual",$M439=1),$M439&gt;(ROW(PLE.lastrow)-ROW(PLE.firstrow))),0,IF(OFFSET(PLE!$G$14,$M439,CH$13)="",10^12,OFFSET(PLE!$G$14,$M439,CH$13))))</f>
        <v>1000000000000</v>
      </c>
      <c r="CI439" s="216">
        <f ca="1">IF($D439&lt;&gt;"Serviço",0,IF(OR(AND(AUTOEVENTO="Manual",$M439=1),$M439&gt;(ROW(PLE.lastrow)-ROW(PLE.firstrow))),0,IF(OFFSET(PLE!$G$14,$M439,CI$13)="",10^12,OFFSET(PLE!$G$14,$M439,CI$13))))</f>
        <v>1000000000000</v>
      </c>
      <c r="CJ439" s="216">
        <f ca="1">IF($D439&lt;&gt;"Serviço",0,IF(OR(AND(AUTOEVENTO="Manual",$M439=1),$M439&gt;(ROW(PLE.lastrow)-ROW(PLE.firstrow))),0,IF(OFFSET(PLE!$G$14,$M439,CJ$13)="",10^12,OFFSET(PLE!$G$14,$M439,CJ$13))))</f>
        <v>1000000000000</v>
      </c>
      <c r="CK439" s="216">
        <f ca="1">IF($D439&lt;&gt;"Serviço",0,IF(OR(AND(AUTOEVENTO="Manual",$M439=1),$M439&gt;(ROW(PLE.lastrow)-ROW(PLE.firstrow))),0,IF(OFFSET(PLE!$G$14,$M439,CK$13)="",10^12,OFFSET(PLE!$G$14,$M439,CK$13))))</f>
        <v>1000000000000</v>
      </c>
      <c r="CL439" s="216">
        <f ca="1">IF($D439&lt;&gt;"Serviço",0,IF(OR(AND(AUTOEVENTO="Manual",$M439=1),$M439&gt;(ROW(PLE.lastrow)-ROW(PLE.firstrow))),0,IF(OFFSET(PLE!$G$14,$M439,CL$13)="",10^12,OFFSET(PLE!$G$14,$M439,CL$13))))</f>
        <v>1000000000000</v>
      </c>
      <c r="CM439" s="216">
        <f ca="1">IF($D439&lt;&gt;"Serviço",0,IF(OR(AND(AUTOEVENTO="Manual",$M439=1),$M439&gt;(ROW(PLE.lastrow)-ROW(PLE.firstrow))),0,IF(OFFSET(PLE!$G$14,$M439,CM$13)="",10^12,OFFSET(PLE!$G$14,$M439,CM$13))))</f>
        <v>1000000000000</v>
      </c>
    </row>
    <row r="440" spans="1:91" ht="13.2" x14ac:dyDescent="0.25">
      <c r="A440" s="9">
        <f t="shared" ca="1" si="15"/>
        <v>0</v>
      </c>
      <c r="B440" s="9" t="str">
        <f ca="1">OFFSET(ORÇAMENTO!C$15,ROW(B440)-ROW(B$15),0)</f>
        <v>S</v>
      </c>
      <c r="C440" s="9" t="str">
        <f ca="1">OFFSET(ORÇAMENTO!L$15,ROW(C440)-ROW(C$15),0)</f>
        <v/>
      </c>
      <c r="D440" s="145" t="str">
        <f ca="1">OFFSET(ORÇAMENTO!N$15,ROW(D440)-ROW(D$15),0)</f>
        <v>Serviço</v>
      </c>
      <c r="E440" s="205" t="str">
        <f ca="1">OFFSET(ORÇAMENTO!O$15,ROW(E440)-ROW(E$15),0)</f>
        <v>-</v>
      </c>
      <c r="F440" s="206" t="str">
        <f ca="1">OFFSET(ORÇAMENTO!R$15,ROW(F440)-ROW(F$15),0)</f>
        <v>(abra o arquivo 'Referência 05-2024.xls)</v>
      </c>
      <c r="G440" s="207" t="str">
        <f ca="1">IF($D440&lt;&gt;"Serviço","",OFFSET(ORÇAMENTO!S$15,ROW(G440)-ROW(G$15),0))</f>
        <v>-</v>
      </c>
      <c r="H440" s="151">
        <f ca="1">IF($D440&lt;&gt;"Serviço",0,IF(ACOMPANHAMENTO="BM",ROUND(OFFSET(ORÇAMENTO!AJ$15,ROW(H440)-ROW(H$15),0),15-13*ORÇAMENTO!$AF$7),SUMPRODUCT(($Q$12:$AI$12&lt;&gt;"")*ROUND($Q440:$AI440,15-13*ORÇAMENTO!$AF$7))))</f>
        <v>4</v>
      </c>
      <c r="I440" s="650"/>
      <c r="K440" s="208"/>
      <c r="L440" s="209" t="s">
        <v>257</v>
      </c>
      <c r="M440" s="210">
        <f ca="1">IF($D440&lt;&gt;"Serviço","",IF(AUTOEVENTO="manual",$A440,IF(ISERROR(MATCH($A440,$A$15:OFFSET($A440,-1,0),0)),MAX($M$15:OFFSET(M440,-1,0))+1,INDEX($M$15:OFFSET(M440,-1,0),MATCH($A440,$A$15:OFFSET($A440,-1,0),0)))))</f>
        <v>0</v>
      </c>
      <c r="N440" s="211" t="str">
        <f ca="1">IF($D440&lt;&gt;"Serviço","",IF(AUTOEVENTO="Manual",IF($A440=0,"&lt;-- defina o número do agrupador",OFFSET(EVENTOS!$D$14,$A440,0)),OFFSET($F$15,$A440,0)))</f>
        <v>&lt;-- defina o número do agrupador</v>
      </c>
      <c r="O440" s="212"/>
      <c r="Q440" s="212"/>
      <c r="R440" s="213"/>
      <c r="S440" s="213"/>
      <c r="T440" s="213"/>
      <c r="U440" s="213"/>
      <c r="V440" s="213"/>
      <c r="W440" s="213"/>
      <c r="X440" s="213"/>
      <c r="Y440" s="213"/>
      <c r="Z440" s="214"/>
      <c r="AA440" s="213"/>
      <c r="AB440" s="213"/>
      <c r="AC440" s="213"/>
      <c r="AD440" s="213"/>
      <c r="AE440" s="213"/>
      <c r="AF440" s="213"/>
      <c r="AG440" s="213"/>
      <c r="AH440" s="214"/>
      <c r="AJ440" s="631">
        <f ca="1">IF(AND($D440="Serviço",AJ$12&lt;&gt;0,$H440&gt;0,OR(AUTOEVENTO&lt;&gt;"manual",$M440&lt;&gt;1)),ROUND(OFFSET($P440,0,AJ$13),15-13*ORÇAMENTO!$AF$7)/$H440*OFFSET(ORÇAMENTO!$X$15,ROW(AJ440)-ROW(AJ$15),0),0)</f>
        <v>0</v>
      </c>
      <c r="AK440" s="632">
        <f ca="1">IF(AND($D440="Serviço",AK$12&lt;&gt;0,$H440&gt;0,OR(AUTOEVENTO&lt;&gt;"manual",$M440&lt;&gt;1)),ROUND(OFFSET($P440,0,AK$13),15-13*ORÇAMENTO!$AF$7)/$H440*OFFSET(ORÇAMENTO!$X$15,ROW(AK440)-ROW(AK$15),0),0)</f>
        <v>0</v>
      </c>
      <c r="AL440" s="632">
        <f ca="1">IF(AND($D440="Serviço",AL$12&lt;&gt;0,$H440&gt;0,OR(AUTOEVENTO&lt;&gt;"manual",$M440&lt;&gt;1)),ROUND(OFFSET($P440,0,AL$13),15-13*ORÇAMENTO!$AF$7)/$H440*OFFSET(ORÇAMENTO!$X$15,ROW(AL440)-ROW(AL$15),0),0)</f>
        <v>0</v>
      </c>
      <c r="AM440" s="632">
        <f ca="1">IF(AND($D440="Serviço",AM$12&lt;&gt;0,$H440&gt;0,OR(AUTOEVENTO&lt;&gt;"manual",$M440&lt;&gt;1)),ROUND(OFFSET($P440,0,AM$13),15-13*ORÇAMENTO!$AF$7)/$H440*OFFSET(ORÇAMENTO!$X$15,ROW(AM440)-ROW(AM$15),0),0)</f>
        <v>0</v>
      </c>
      <c r="AN440" s="632">
        <f ca="1">IF(AND($D440="Serviço",AN$12&lt;&gt;0,$H440&gt;0,OR(AUTOEVENTO&lt;&gt;"manual",$M440&lt;&gt;1)),ROUND(OFFSET($P440,0,AN$13),15-13*ORÇAMENTO!$AF$7)/$H440*OFFSET(ORÇAMENTO!$X$15,ROW(AN440)-ROW(AN$15),0),0)</f>
        <v>0</v>
      </c>
      <c r="AO440" s="632">
        <f ca="1">IF(AND($D440="Serviço",AO$12&lt;&gt;0,$H440&gt;0,OR(AUTOEVENTO&lt;&gt;"manual",$M440&lt;&gt;1)),ROUND(OFFSET($P440,0,AO$13),15-13*ORÇAMENTO!$AF$7)/$H440*OFFSET(ORÇAMENTO!$X$15,ROW(AO440)-ROW(AO$15),0),0)</f>
        <v>0</v>
      </c>
      <c r="AP440" s="632">
        <f ca="1">IF(AND($D440="Serviço",AP$12&lt;&gt;0,$H440&gt;0,OR(AUTOEVENTO&lt;&gt;"manual",$M440&lt;&gt;1)),ROUND(OFFSET($P440,0,AP$13),15-13*ORÇAMENTO!$AF$7)/$H440*OFFSET(ORÇAMENTO!$X$15,ROW(AP440)-ROW(AP$15),0),0)</f>
        <v>0</v>
      </c>
      <c r="AQ440" s="632">
        <f ca="1">IF(AND($D440="Serviço",AQ$12&lt;&gt;0,$H440&gt;0,OR(AUTOEVENTO&lt;&gt;"manual",$M440&lt;&gt;1)),ROUND(OFFSET($P440,0,AQ$13),15-13*ORÇAMENTO!$AF$7)/$H440*OFFSET(ORÇAMENTO!$X$15,ROW(AQ440)-ROW(AQ$15),0),0)</f>
        <v>0</v>
      </c>
      <c r="AR440" s="632">
        <f ca="1">IF(AND($D440="Serviço",AR$12&lt;&gt;0,$H440&gt;0,OR(AUTOEVENTO&lt;&gt;"manual",$M440&lt;&gt;1)),ROUND(OFFSET($P440,0,AR$13),15-13*ORÇAMENTO!$AF$7)/$H440*OFFSET(ORÇAMENTO!$X$15,ROW(AR440)-ROW(AR$15),0),0)</f>
        <v>0</v>
      </c>
      <c r="AS440" s="633">
        <f ca="1">IF(AND($D440="Serviço",AS$12&lt;&gt;0,$H440&gt;0,OR(AUTOEVENTO&lt;&gt;"manual",$M440&lt;&gt;1)),ROUND(OFFSET($P440,0,AS$13),15-13*ORÇAMENTO!$AF$7)/$H440*OFFSET(ORÇAMENTO!$X$15,ROW(AS440)-ROW(AS$15),0),0)</f>
        <v>0</v>
      </c>
      <c r="AT440" s="632">
        <f ca="1">IF(AND($D440="Serviço",AT$12&lt;&gt;0,$H440&gt;0,OR(AUTOEVENTO&lt;&gt;"manual",$M440&lt;&gt;1)),ROUND(OFFSET($P440,0,AT$13),15-13*ORÇAMENTO!$AF$7)/$H440*OFFSET(ORÇAMENTO!$X$15,ROW(AT440)-ROW(AT$15),0),0)</f>
        <v>0</v>
      </c>
      <c r="AU440" s="632">
        <f ca="1">IF(AND($D440="Serviço",AU$12&lt;&gt;0,$H440&gt;0,OR(AUTOEVENTO&lt;&gt;"manual",$M440&lt;&gt;1)),ROUND(OFFSET($P440,0,AU$13),15-13*ORÇAMENTO!$AF$7)/$H440*OFFSET(ORÇAMENTO!$X$15,ROW(AU440)-ROW(AU$15),0),0)</f>
        <v>0</v>
      </c>
      <c r="AV440" s="632">
        <f ca="1">IF(AND($D440="Serviço",AV$12&lt;&gt;0,$H440&gt;0,OR(AUTOEVENTO&lt;&gt;"manual",$M440&lt;&gt;1)),ROUND(OFFSET($P440,0,AV$13),15-13*ORÇAMENTO!$AF$7)/$H440*OFFSET(ORÇAMENTO!$X$15,ROW(AV440)-ROW(AV$15),0),0)</f>
        <v>0</v>
      </c>
      <c r="AW440" s="632">
        <f ca="1">IF(AND($D440="Serviço",AW$12&lt;&gt;0,$H440&gt;0,OR(AUTOEVENTO&lt;&gt;"manual",$M440&lt;&gt;1)),ROUND(OFFSET($P440,0,AW$13),15-13*ORÇAMENTO!$AF$7)/$H440*OFFSET(ORÇAMENTO!$X$15,ROW(AW440)-ROW(AW$15),0),0)</f>
        <v>0</v>
      </c>
      <c r="AX440" s="632">
        <f ca="1">IF(AND($D440="Serviço",AX$12&lt;&gt;0,$H440&gt;0,OR(AUTOEVENTO&lt;&gt;"manual",$M440&lt;&gt;1)),ROUND(OFFSET($P440,0,AX$13),15-13*ORÇAMENTO!$AF$7)/$H440*OFFSET(ORÇAMENTO!$X$15,ROW(AX440)-ROW(AX$15),0),0)</f>
        <v>0</v>
      </c>
      <c r="AY440" s="632">
        <f ca="1">IF(AND($D440="Serviço",AY$12&lt;&gt;0,$H440&gt;0,OR(AUTOEVENTO&lt;&gt;"manual",$M440&lt;&gt;1)),ROUND(OFFSET($P440,0,AY$13),15-13*ORÇAMENTO!$AF$7)/$H440*OFFSET(ORÇAMENTO!$X$15,ROW(AY440)-ROW(AY$15),0),0)</f>
        <v>0</v>
      </c>
      <c r="AZ440" s="632">
        <f ca="1">IF(AND($D440="Serviço",AZ$12&lt;&gt;0,$H440&gt;0,OR(AUTOEVENTO&lt;&gt;"manual",$M440&lt;&gt;1)),ROUND(OFFSET($P440,0,AZ$13),15-13*ORÇAMENTO!$AF$7)/$H440*OFFSET(ORÇAMENTO!$X$15,ROW(AZ440)-ROW(AZ$15),0),0)</f>
        <v>0</v>
      </c>
      <c r="BA440" s="633">
        <f ca="1">IF(AND($D440="Serviço",BA$12&lt;&gt;0,$H440&gt;0,OR(AUTOEVENTO&lt;&gt;"manual",$M440&lt;&gt;1)),ROUND(OFFSET($P440,0,BA$13),15-13*ORÇAMENTO!$AF$7)/$H440*OFFSET(ORÇAMENTO!$X$15,ROW(BA440)-ROW(BA$15),0),0)</f>
        <v>0</v>
      </c>
      <c r="BC440" s="215">
        <f ca="1">IF($D440&lt;&gt;"Serviço",0,IF(AND(AUTOEVENTO="Manual",$M440=1),0,IF(OFFSET(CRONOPLE!$F$14,$M440,BC$13)="",10^12,OFFSET(CRONOPLE!$F$14,$M440,BC$13))))</f>
        <v>1000000000000</v>
      </c>
      <c r="BD440" s="215">
        <f ca="1">IF($D440&lt;&gt;"Serviço",0,IF(AND(AUTOEVENTO="Manual",$M440=1),0,IF(OFFSET(CRONOPLE!$F$14,$M440,BD$13)="",10^12,OFFSET(CRONOPLE!$F$14,$M440,BD$13))))</f>
        <v>1000000000000</v>
      </c>
      <c r="BE440" s="215">
        <f ca="1">IF($D440&lt;&gt;"Serviço",0,IF(AND(AUTOEVENTO="Manual",$M440=1),0,IF(OFFSET(CRONOPLE!$F$14,$M440,BE$13)="",10^12,OFFSET(CRONOPLE!$F$14,$M440,BE$13))))</f>
        <v>1000000000000</v>
      </c>
      <c r="BF440" s="215">
        <f ca="1">IF($D440&lt;&gt;"Serviço",0,IF(AND(AUTOEVENTO="Manual",$M440=1),0,IF(OFFSET(CRONOPLE!$F$14,$M440,BF$13)="",10^12,OFFSET(CRONOPLE!$F$14,$M440,BF$13))))</f>
        <v>1000000000000</v>
      </c>
      <c r="BG440" s="215">
        <f ca="1">IF($D440&lt;&gt;"Serviço",0,IF(AND(AUTOEVENTO="Manual",$M440=1),0,IF(OFFSET(CRONOPLE!$F$14,$M440,BG$13)="",10^12,OFFSET(CRONOPLE!$F$14,$M440,BG$13))))</f>
        <v>1000000000000</v>
      </c>
      <c r="BH440" s="215">
        <f ca="1">IF($D440&lt;&gt;"Serviço",0,IF(AND(AUTOEVENTO="Manual",$M440=1),0,IF(OFFSET(CRONOPLE!$F$14,$M440,BH$13)="",10^12,OFFSET(CRONOPLE!$F$14,$M440,BH$13))))</f>
        <v>1000000000000</v>
      </c>
      <c r="BI440" s="215">
        <f ca="1">IF($D440&lt;&gt;"Serviço",0,IF(AND(AUTOEVENTO="Manual",$M440=1),0,IF(OFFSET(CRONOPLE!$F$14,$M440,BI$13)="",10^12,OFFSET(CRONOPLE!$F$14,$M440,BI$13))))</f>
        <v>1000000000000</v>
      </c>
      <c r="BJ440" s="215">
        <f ca="1">IF($D440&lt;&gt;"Serviço",0,IF(AND(AUTOEVENTO="Manual",$M440=1),0,IF(OFFSET(CRONOPLE!$F$14,$M440,BJ$13)="",10^12,OFFSET(CRONOPLE!$F$14,$M440,BJ$13))))</f>
        <v>1000000000000</v>
      </c>
      <c r="BK440" s="215">
        <f ca="1">IF($D440&lt;&gt;"Serviço",0,IF(AND(AUTOEVENTO="Manual",$M440=1),0,IF(OFFSET(CRONOPLE!$F$14,$M440,BK$13)="",10^12,OFFSET(CRONOPLE!$F$14,$M440,BK$13))))</f>
        <v>1000000000000</v>
      </c>
      <c r="BL440" s="215">
        <f ca="1">IF($D440&lt;&gt;"Serviço",0,IF(AND(AUTOEVENTO="Manual",$M440=1),0,IF(OFFSET(CRONOPLE!$F$14,$M440,BL$13)="",10^12,OFFSET(CRONOPLE!$F$14,$M440,BL$13))))</f>
        <v>1000000000000</v>
      </c>
      <c r="BM440" s="215">
        <f ca="1">IF($D440&lt;&gt;"Serviço",0,IF(AND(AUTOEVENTO="Manual",$M440=1),0,IF(OFFSET(CRONOPLE!$F$14,$M440,BM$13)="",10^12,OFFSET(CRONOPLE!$F$14,$M440,BM$13))))</f>
        <v>1000000000000</v>
      </c>
      <c r="BN440" s="215">
        <f ca="1">IF($D440&lt;&gt;"Serviço",0,IF(AND(AUTOEVENTO="Manual",$M440=1),0,IF(OFFSET(CRONOPLE!$F$14,$M440,BN$13)="",10^12,OFFSET(CRONOPLE!$F$14,$M440,BN$13))))</f>
        <v>1000000000000</v>
      </c>
      <c r="BO440" s="215">
        <f ca="1">IF($D440&lt;&gt;"Serviço",0,IF(AND(AUTOEVENTO="Manual",$M440=1),0,IF(OFFSET(CRONOPLE!$F$14,$M440,BO$13)="",10^12,OFFSET(CRONOPLE!$F$14,$M440,BO$13))))</f>
        <v>1000000000000</v>
      </c>
      <c r="BP440" s="215">
        <f ca="1">IF($D440&lt;&gt;"Serviço",0,IF(AND(AUTOEVENTO="Manual",$M440=1),0,IF(OFFSET(CRONOPLE!$F$14,$M440,BP$13)="",10^12,OFFSET(CRONOPLE!$F$14,$M440,BP$13))))</f>
        <v>1000000000000</v>
      </c>
      <c r="BQ440" s="215">
        <f ca="1">IF($D440&lt;&gt;"Serviço",0,IF(AND(AUTOEVENTO="Manual",$M440=1),0,IF(OFFSET(CRONOPLE!$F$14,$M440,BQ$13)="",10^12,OFFSET(CRONOPLE!$F$14,$M440,BQ$13))))</f>
        <v>1000000000000</v>
      </c>
      <c r="BR440" s="215">
        <f ca="1">IF($D440&lt;&gt;"Serviço",0,IF(AND(AUTOEVENTO="Manual",$M440=1),0,IF(OFFSET(CRONOPLE!$F$14,$M440,BR$13)="",10^12,OFFSET(CRONOPLE!$F$14,$M440,BR$13))))</f>
        <v>1000000000000</v>
      </c>
      <c r="BS440" s="215">
        <f ca="1">IF($D440&lt;&gt;"Serviço",0,IF(AND(AUTOEVENTO="Manual",$M440=1),0,IF(OFFSET(CRONOPLE!$F$14,$M440,BS$13)="",10^12,OFFSET(CRONOPLE!$F$14,$M440,BS$13))))</f>
        <v>1000000000000</v>
      </c>
      <c r="BT440" s="215">
        <f ca="1">IF($D440&lt;&gt;"Serviço",0,IF(AND(AUTOEVENTO="Manual",$M440=1),0,IF(OFFSET(CRONOPLE!$F$14,$M440,BT$13)="",10^12,OFFSET(CRONOPLE!$F$14,$M440,BT$13))))</f>
        <v>1000000000000</v>
      </c>
      <c r="BV440" s="216">
        <f ca="1">IF($D440&lt;&gt;"Serviço",0,IF(OR(AND(AUTOEVENTO="Manual",$M440=1),$M440&gt;(ROW(PLE.lastrow)-ROW(PLE.firstrow))),0,IF(OFFSET(PLE!$G$14,$M440,BV$13)="",10^12,OFFSET(PLE!$G$14,$M440,BV$13))))</f>
        <v>1000000000000</v>
      </c>
      <c r="BW440" s="216">
        <f ca="1">IF($D440&lt;&gt;"Serviço",0,IF(OR(AND(AUTOEVENTO="Manual",$M440=1),$M440&gt;(ROW(PLE.lastrow)-ROW(PLE.firstrow))),0,IF(OFFSET(PLE!$G$14,$M440,BW$13)="",10^12,OFFSET(PLE!$G$14,$M440,BW$13))))</f>
        <v>1000000000000</v>
      </c>
      <c r="BX440" s="216">
        <f ca="1">IF($D440&lt;&gt;"Serviço",0,IF(OR(AND(AUTOEVENTO="Manual",$M440=1),$M440&gt;(ROW(PLE.lastrow)-ROW(PLE.firstrow))),0,IF(OFFSET(PLE!$G$14,$M440,BX$13)="",10^12,OFFSET(PLE!$G$14,$M440,BX$13))))</f>
        <v>1000000000000</v>
      </c>
      <c r="BY440" s="216">
        <f ca="1">IF($D440&lt;&gt;"Serviço",0,IF(OR(AND(AUTOEVENTO="Manual",$M440=1),$M440&gt;(ROW(PLE.lastrow)-ROW(PLE.firstrow))),0,IF(OFFSET(PLE!$G$14,$M440,BY$13)="",10^12,OFFSET(PLE!$G$14,$M440,BY$13))))</f>
        <v>1000000000000</v>
      </c>
      <c r="BZ440" s="216">
        <f ca="1">IF($D440&lt;&gt;"Serviço",0,IF(OR(AND(AUTOEVENTO="Manual",$M440=1),$M440&gt;(ROW(PLE.lastrow)-ROW(PLE.firstrow))),0,IF(OFFSET(PLE!$G$14,$M440,BZ$13)="",10^12,OFFSET(PLE!$G$14,$M440,BZ$13))))</f>
        <v>1000000000000</v>
      </c>
      <c r="CA440" s="216">
        <f ca="1">IF($D440&lt;&gt;"Serviço",0,IF(OR(AND(AUTOEVENTO="Manual",$M440=1),$M440&gt;(ROW(PLE.lastrow)-ROW(PLE.firstrow))),0,IF(OFFSET(PLE!$G$14,$M440,CA$13)="",10^12,OFFSET(PLE!$G$14,$M440,CA$13))))</f>
        <v>1000000000000</v>
      </c>
      <c r="CB440" s="216">
        <f ca="1">IF($D440&lt;&gt;"Serviço",0,IF(OR(AND(AUTOEVENTO="Manual",$M440=1),$M440&gt;(ROW(PLE.lastrow)-ROW(PLE.firstrow))),0,IF(OFFSET(PLE!$G$14,$M440,CB$13)="",10^12,OFFSET(PLE!$G$14,$M440,CB$13))))</f>
        <v>1000000000000</v>
      </c>
      <c r="CC440" s="216">
        <f ca="1">IF($D440&lt;&gt;"Serviço",0,IF(OR(AND(AUTOEVENTO="Manual",$M440=1),$M440&gt;(ROW(PLE.lastrow)-ROW(PLE.firstrow))),0,IF(OFFSET(PLE!$G$14,$M440,CC$13)="",10^12,OFFSET(PLE!$G$14,$M440,CC$13))))</f>
        <v>1000000000000</v>
      </c>
      <c r="CD440" s="216">
        <f ca="1">IF($D440&lt;&gt;"Serviço",0,IF(OR(AND(AUTOEVENTO="Manual",$M440=1),$M440&gt;(ROW(PLE.lastrow)-ROW(PLE.firstrow))),0,IF(OFFSET(PLE!$G$14,$M440,CD$13)="",10^12,OFFSET(PLE!$G$14,$M440,CD$13))))</f>
        <v>1000000000000</v>
      </c>
      <c r="CE440" s="216">
        <f ca="1">IF($D440&lt;&gt;"Serviço",0,IF(OR(AND(AUTOEVENTO="Manual",$M440=1),$M440&gt;(ROW(PLE.lastrow)-ROW(PLE.firstrow))),0,IF(OFFSET(PLE!$G$14,$M440,CE$13)="",10^12,OFFSET(PLE!$G$14,$M440,CE$13))))</f>
        <v>1000000000000</v>
      </c>
      <c r="CF440" s="216">
        <f ca="1">IF($D440&lt;&gt;"Serviço",0,IF(OR(AND(AUTOEVENTO="Manual",$M440=1),$M440&gt;(ROW(PLE.lastrow)-ROW(PLE.firstrow))),0,IF(OFFSET(PLE!$G$14,$M440,CF$13)="",10^12,OFFSET(PLE!$G$14,$M440,CF$13))))</f>
        <v>1000000000000</v>
      </c>
      <c r="CG440" s="216">
        <f ca="1">IF($D440&lt;&gt;"Serviço",0,IF(OR(AND(AUTOEVENTO="Manual",$M440=1),$M440&gt;(ROW(PLE.lastrow)-ROW(PLE.firstrow))),0,IF(OFFSET(PLE!$G$14,$M440,CG$13)="",10^12,OFFSET(PLE!$G$14,$M440,CG$13))))</f>
        <v>1000000000000</v>
      </c>
      <c r="CH440" s="216">
        <f ca="1">IF($D440&lt;&gt;"Serviço",0,IF(OR(AND(AUTOEVENTO="Manual",$M440=1),$M440&gt;(ROW(PLE.lastrow)-ROW(PLE.firstrow))),0,IF(OFFSET(PLE!$G$14,$M440,CH$13)="",10^12,OFFSET(PLE!$G$14,$M440,CH$13))))</f>
        <v>1000000000000</v>
      </c>
      <c r="CI440" s="216">
        <f ca="1">IF($D440&lt;&gt;"Serviço",0,IF(OR(AND(AUTOEVENTO="Manual",$M440=1),$M440&gt;(ROW(PLE.lastrow)-ROW(PLE.firstrow))),0,IF(OFFSET(PLE!$G$14,$M440,CI$13)="",10^12,OFFSET(PLE!$G$14,$M440,CI$13))))</f>
        <v>1000000000000</v>
      </c>
      <c r="CJ440" s="216">
        <f ca="1">IF($D440&lt;&gt;"Serviço",0,IF(OR(AND(AUTOEVENTO="Manual",$M440=1),$M440&gt;(ROW(PLE.lastrow)-ROW(PLE.firstrow))),0,IF(OFFSET(PLE!$G$14,$M440,CJ$13)="",10^12,OFFSET(PLE!$G$14,$M440,CJ$13))))</f>
        <v>1000000000000</v>
      </c>
      <c r="CK440" s="216">
        <f ca="1">IF($D440&lt;&gt;"Serviço",0,IF(OR(AND(AUTOEVENTO="Manual",$M440=1),$M440&gt;(ROW(PLE.lastrow)-ROW(PLE.firstrow))),0,IF(OFFSET(PLE!$G$14,$M440,CK$13)="",10^12,OFFSET(PLE!$G$14,$M440,CK$13))))</f>
        <v>1000000000000</v>
      </c>
      <c r="CL440" s="216">
        <f ca="1">IF($D440&lt;&gt;"Serviço",0,IF(OR(AND(AUTOEVENTO="Manual",$M440=1),$M440&gt;(ROW(PLE.lastrow)-ROW(PLE.firstrow))),0,IF(OFFSET(PLE!$G$14,$M440,CL$13)="",10^12,OFFSET(PLE!$G$14,$M440,CL$13))))</f>
        <v>1000000000000</v>
      </c>
      <c r="CM440" s="216">
        <f ca="1">IF($D440&lt;&gt;"Serviço",0,IF(OR(AND(AUTOEVENTO="Manual",$M440=1),$M440&gt;(ROW(PLE.lastrow)-ROW(PLE.firstrow))),0,IF(OFFSET(PLE!$G$14,$M440,CM$13)="",10^12,OFFSET(PLE!$G$14,$M440,CM$13))))</f>
        <v>1000000000000</v>
      </c>
    </row>
    <row r="441" spans="1:91" ht="13.2" x14ac:dyDescent="0.25">
      <c r="A441" s="9">
        <f t="shared" ca="1" si="15"/>
        <v>0</v>
      </c>
      <c r="B441" s="9" t="str">
        <f ca="1">OFFSET(ORÇAMENTO!C$15,ROW(B441)-ROW(B$15),0)</f>
        <v>S</v>
      </c>
      <c r="C441" s="9" t="str">
        <f ca="1">OFFSET(ORÇAMENTO!L$15,ROW(C441)-ROW(C$15),0)</f>
        <v/>
      </c>
      <c r="D441" s="145" t="str">
        <f ca="1">OFFSET(ORÇAMENTO!N$15,ROW(D441)-ROW(D$15),0)</f>
        <v>Serviço</v>
      </c>
      <c r="E441" s="205" t="str">
        <f ca="1">OFFSET(ORÇAMENTO!O$15,ROW(E441)-ROW(E$15),0)</f>
        <v>-</v>
      </c>
      <c r="F441" s="206" t="str">
        <f ca="1">OFFSET(ORÇAMENTO!R$15,ROW(F441)-ROW(F$15),0)</f>
        <v>(abra o arquivo 'Referência 05-2024.xls)</v>
      </c>
      <c r="G441" s="207" t="str">
        <f ca="1">IF($D441&lt;&gt;"Serviço","",OFFSET(ORÇAMENTO!S$15,ROW(G441)-ROW(G$15),0))</f>
        <v>-</v>
      </c>
      <c r="H441" s="151">
        <f ca="1">IF($D441&lt;&gt;"Serviço",0,IF(ACOMPANHAMENTO="BM",ROUND(OFFSET(ORÇAMENTO!AJ$15,ROW(H441)-ROW(H$15),0),15-13*ORÇAMENTO!$AF$7),SUMPRODUCT(($Q$12:$AI$12&lt;&gt;"")*ROUND($Q441:$AI441,15-13*ORÇAMENTO!$AF$7))))</f>
        <v>6</v>
      </c>
      <c r="I441" s="650"/>
      <c r="K441" s="208"/>
      <c r="L441" s="209" t="s">
        <v>257</v>
      </c>
      <c r="M441" s="210">
        <f ca="1">IF($D441&lt;&gt;"Serviço","",IF(AUTOEVENTO="manual",$A441,IF(ISERROR(MATCH($A441,$A$15:OFFSET($A441,-1,0),0)),MAX($M$15:OFFSET(M441,-1,0))+1,INDEX($M$15:OFFSET(M441,-1,0),MATCH($A441,$A$15:OFFSET($A441,-1,0),0)))))</f>
        <v>0</v>
      </c>
      <c r="N441" s="211" t="str">
        <f ca="1">IF($D441&lt;&gt;"Serviço","",IF(AUTOEVENTO="Manual",IF($A441=0,"&lt;-- defina o número do agrupador",OFFSET(EVENTOS!$D$14,$A441,0)),OFFSET($F$15,$A441,0)))</f>
        <v>&lt;-- defina o número do agrupador</v>
      </c>
      <c r="O441" s="212"/>
      <c r="Q441" s="212"/>
      <c r="R441" s="213"/>
      <c r="S441" s="213"/>
      <c r="T441" s="213"/>
      <c r="U441" s="213"/>
      <c r="V441" s="213"/>
      <c r="W441" s="213"/>
      <c r="X441" s="213"/>
      <c r="Y441" s="213"/>
      <c r="Z441" s="214"/>
      <c r="AA441" s="213"/>
      <c r="AB441" s="213"/>
      <c r="AC441" s="213"/>
      <c r="AD441" s="213"/>
      <c r="AE441" s="213"/>
      <c r="AF441" s="213"/>
      <c r="AG441" s="213"/>
      <c r="AH441" s="214"/>
      <c r="AJ441" s="631">
        <f ca="1">IF(AND($D441="Serviço",AJ$12&lt;&gt;0,$H441&gt;0,OR(AUTOEVENTO&lt;&gt;"manual",$M441&lt;&gt;1)),ROUND(OFFSET($P441,0,AJ$13),15-13*ORÇAMENTO!$AF$7)/$H441*OFFSET(ORÇAMENTO!$X$15,ROW(AJ441)-ROW(AJ$15),0),0)</f>
        <v>0</v>
      </c>
      <c r="AK441" s="632">
        <f ca="1">IF(AND($D441="Serviço",AK$12&lt;&gt;0,$H441&gt;0,OR(AUTOEVENTO&lt;&gt;"manual",$M441&lt;&gt;1)),ROUND(OFFSET($P441,0,AK$13),15-13*ORÇAMENTO!$AF$7)/$H441*OFFSET(ORÇAMENTO!$X$15,ROW(AK441)-ROW(AK$15),0),0)</f>
        <v>0</v>
      </c>
      <c r="AL441" s="632">
        <f ca="1">IF(AND($D441="Serviço",AL$12&lt;&gt;0,$H441&gt;0,OR(AUTOEVENTO&lt;&gt;"manual",$M441&lt;&gt;1)),ROUND(OFFSET($P441,0,AL$13),15-13*ORÇAMENTO!$AF$7)/$H441*OFFSET(ORÇAMENTO!$X$15,ROW(AL441)-ROW(AL$15),0),0)</f>
        <v>0</v>
      </c>
      <c r="AM441" s="632">
        <f ca="1">IF(AND($D441="Serviço",AM$12&lt;&gt;0,$H441&gt;0,OR(AUTOEVENTO&lt;&gt;"manual",$M441&lt;&gt;1)),ROUND(OFFSET($P441,0,AM$13),15-13*ORÇAMENTO!$AF$7)/$H441*OFFSET(ORÇAMENTO!$X$15,ROW(AM441)-ROW(AM$15),0),0)</f>
        <v>0</v>
      </c>
      <c r="AN441" s="632">
        <f ca="1">IF(AND($D441="Serviço",AN$12&lt;&gt;0,$H441&gt;0,OR(AUTOEVENTO&lt;&gt;"manual",$M441&lt;&gt;1)),ROUND(OFFSET($P441,0,AN$13),15-13*ORÇAMENTO!$AF$7)/$H441*OFFSET(ORÇAMENTO!$X$15,ROW(AN441)-ROW(AN$15),0),0)</f>
        <v>0</v>
      </c>
      <c r="AO441" s="632">
        <f ca="1">IF(AND($D441="Serviço",AO$12&lt;&gt;0,$H441&gt;0,OR(AUTOEVENTO&lt;&gt;"manual",$M441&lt;&gt;1)),ROUND(OFFSET($P441,0,AO$13),15-13*ORÇAMENTO!$AF$7)/$H441*OFFSET(ORÇAMENTO!$X$15,ROW(AO441)-ROW(AO$15),0),0)</f>
        <v>0</v>
      </c>
      <c r="AP441" s="632">
        <f ca="1">IF(AND($D441="Serviço",AP$12&lt;&gt;0,$H441&gt;0,OR(AUTOEVENTO&lt;&gt;"manual",$M441&lt;&gt;1)),ROUND(OFFSET($P441,0,AP$13),15-13*ORÇAMENTO!$AF$7)/$H441*OFFSET(ORÇAMENTO!$X$15,ROW(AP441)-ROW(AP$15),0),0)</f>
        <v>0</v>
      </c>
      <c r="AQ441" s="632">
        <f ca="1">IF(AND($D441="Serviço",AQ$12&lt;&gt;0,$H441&gt;0,OR(AUTOEVENTO&lt;&gt;"manual",$M441&lt;&gt;1)),ROUND(OFFSET($P441,0,AQ$13),15-13*ORÇAMENTO!$AF$7)/$H441*OFFSET(ORÇAMENTO!$X$15,ROW(AQ441)-ROW(AQ$15),0),0)</f>
        <v>0</v>
      </c>
      <c r="AR441" s="632">
        <f ca="1">IF(AND($D441="Serviço",AR$12&lt;&gt;0,$H441&gt;0,OR(AUTOEVENTO&lt;&gt;"manual",$M441&lt;&gt;1)),ROUND(OFFSET($P441,0,AR$13),15-13*ORÇAMENTO!$AF$7)/$H441*OFFSET(ORÇAMENTO!$X$15,ROW(AR441)-ROW(AR$15),0),0)</f>
        <v>0</v>
      </c>
      <c r="AS441" s="633">
        <f ca="1">IF(AND($D441="Serviço",AS$12&lt;&gt;0,$H441&gt;0,OR(AUTOEVENTO&lt;&gt;"manual",$M441&lt;&gt;1)),ROUND(OFFSET($P441,0,AS$13),15-13*ORÇAMENTO!$AF$7)/$H441*OFFSET(ORÇAMENTO!$X$15,ROW(AS441)-ROW(AS$15),0),0)</f>
        <v>0</v>
      </c>
      <c r="AT441" s="632">
        <f ca="1">IF(AND($D441="Serviço",AT$12&lt;&gt;0,$H441&gt;0,OR(AUTOEVENTO&lt;&gt;"manual",$M441&lt;&gt;1)),ROUND(OFFSET($P441,0,AT$13),15-13*ORÇAMENTO!$AF$7)/$H441*OFFSET(ORÇAMENTO!$X$15,ROW(AT441)-ROW(AT$15),0),0)</f>
        <v>0</v>
      </c>
      <c r="AU441" s="632">
        <f ca="1">IF(AND($D441="Serviço",AU$12&lt;&gt;0,$H441&gt;0,OR(AUTOEVENTO&lt;&gt;"manual",$M441&lt;&gt;1)),ROUND(OFFSET($P441,0,AU$13),15-13*ORÇAMENTO!$AF$7)/$H441*OFFSET(ORÇAMENTO!$X$15,ROW(AU441)-ROW(AU$15),0),0)</f>
        <v>0</v>
      </c>
      <c r="AV441" s="632">
        <f ca="1">IF(AND($D441="Serviço",AV$12&lt;&gt;0,$H441&gt;0,OR(AUTOEVENTO&lt;&gt;"manual",$M441&lt;&gt;1)),ROUND(OFFSET($P441,0,AV$13),15-13*ORÇAMENTO!$AF$7)/$H441*OFFSET(ORÇAMENTO!$X$15,ROW(AV441)-ROW(AV$15),0),0)</f>
        <v>0</v>
      </c>
      <c r="AW441" s="632">
        <f ca="1">IF(AND($D441="Serviço",AW$12&lt;&gt;0,$H441&gt;0,OR(AUTOEVENTO&lt;&gt;"manual",$M441&lt;&gt;1)),ROUND(OFFSET($P441,0,AW$13),15-13*ORÇAMENTO!$AF$7)/$H441*OFFSET(ORÇAMENTO!$X$15,ROW(AW441)-ROW(AW$15),0),0)</f>
        <v>0</v>
      </c>
      <c r="AX441" s="632">
        <f ca="1">IF(AND($D441="Serviço",AX$12&lt;&gt;0,$H441&gt;0,OR(AUTOEVENTO&lt;&gt;"manual",$M441&lt;&gt;1)),ROUND(OFFSET($P441,0,AX$13),15-13*ORÇAMENTO!$AF$7)/$H441*OFFSET(ORÇAMENTO!$X$15,ROW(AX441)-ROW(AX$15),0),0)</f>
        <v>0</v>
      </c>
      <c r="AY441" s="632">
        <f ca="1">IF(AND($D441="Serviço",AY$12&lt;&gt;0,$H441&gt;0,OR(AUTOEVENTO&lt;&gt;"manual",$M441&lt;&gt;1)),ROUND(OFFSET($P441,0,AY$13),15-13*ORÇAMENTO!$AF$7)/$H441*OFFSET(ORÇAMENTO!$X$15,ROW(AY441)-ROW(AY$15),0),0)</f>
        <v>0</v>
      </c>
      <c r="AZ441" s="632">
        <f ca="1">IF(AND($D441="Serviço",AZ$12&lt;&gt;0,$H441&gt;0,OR(AUTOEVENTO&lt;&gt;"manual",$M441&lt;&gt;1)),ROUND(OFFSET($P441,0,AZ$13),15-13*ORÇAMENTO!$AF$7)/$H441*OFFSET(ORÇAMENTO!$X$15,ROW(AZ441)-ROW(AZ$15),0),0)</f>
        <v>0</v>
      </c>
      <c r="BA441" s="633">
        <f ca="1">IF(AND($D441="Serviço",BA$12&lt;&gt;0,$H441&gt;0,OR(AUTOEVENTO&lt;&gt;"manual",$M441&lt;&gt;1)),ROUND(OFFSET($P441,0,BA$13),15-13*ORÇAMENTO!$AF$7)/$H441*OFFSET(ORÇAMENTO!$X$15,ROW(BA441)-ROW(BA$15),0),0)</f>
        <v>0</v>
      </c>
      <c r="BC441" s="215">
        <f ca="1">IF($D441&lt;&gt;"Serviço",0,IF(AND(AUTOEVENTO="Manual",$M441=1),0,IF(OFFSET(CRONOPLE!$F$14,$M441,BC$13)="",10^12,OFFSET(CRONOPLE!$F$14,$M441,BC$13))))</f>
        <v>1000000000000</v>
      </c>
      <c r="BD441" s="215">
        <f ca="1">IF($D441&lt;&gt;"Serviço",0,IF(AND(AUTOEVENTO="Manual",$M441=1),0,IF(OFFSET(CRONOPLE!$F$14,$M441,BD$13)="",10^12,OFFSET(CRONOPLE!$F$14,$M441,BD$13))))</f>
        <v>1000000000000</v>
      </c>
      <c r="BE441" s="215">
        <f ca="1">IF($D441&lt;&gt;"Serviço",0,IF(AND(AUTOEVENTO="Manual",$M441=1),0,IF(OFFSET(CRONOPLE!$F$14,$M441,BE$13)="",10^12,OFFSET(CRONOPLE!$F$14,$M441,BE$13))))</f>
        <v>1000000000000</v>
      </c>
      <c r="BF441" s="215">
        <f ca="1">IF($D441&lt;&gt;"Serviço",0,IF(AND(AUTOEVENTO="Manual",$M441=1),0,IF(OFFSET(CRONOPLE!$F$14,$M441,BF$13)="",10^12,OFFSET(CRONOPLE!$F$14,$M441,BF$13))))</f>
        <v>1000000000000</v>
      </c>
      <c r="BG441" s="215">
        <f ca="1">IF($D441&lt;&gt;"Serviço",0,IF(AND(AUTOEVENTO="Manual",$M441=1),0,IF(OFFSET(CRONOPLE!$F$14,$M441,BG$13)="",10^12,OFFSET(CRONOPLE!$F$14,$M441,BG$13))))</f>
        <v>1000000000000</v>
      </c>
      <c r="BH441" s="215">
        <f ca="1">IF($D441&lt;&gt;"Serviço",0,IF(AND(AUTOEVENTO="Manual",$M441=1),0,IF(OFFSET(CRONOPLE!$F$14,$M441,BH$13)="",10^12,OFFSET(CRONOPLE!$F$14,$M441,BH$13))))</f>
        <v>1000000000000</v>
      </c>
      <c r="BI441" s="215">
        <f ca="1">IF($D441&lt;&gt;"Serviço",0,IF(AND(AUTOEVENTO="Manual",$M441=1),0,IF(OFFSET(CRONOPLE!$F$14,$M441,BI$13)="",10^12,OFFSET(CRONOPLE!$F$14,$M441,BI$13))))</f>
        <v>1000000000000</v>
      </c>
      <c r="BJ441" s="215">
        <f ca="1">IF($D441&lt;&gt;"Serviço",0,IF(AND(AUTOEVENTO="Manual",$M441=1),0,IF(OFFSET(CRONOPLE!$F$14,$M441,BJ$13)="",10^12,OFFSET(CRONOPLE!$F$14,$M441,BJ$13))))</f>
        <v>1000000000000</v>
      </c>
      <c r="BK441" s="215">
        <f ca="1">IF($D441&lt;&gt;"Serviço",0,IF(AND(AUTOEVENTO="Manual",$M441=1),0,IF(OFFSET(CRONOPLE!$F$14,$M441,BK$13)="",10^12,OFFSET(CRONOPLE!$F$14,$M441,BK$13))))</f>
        <v>1000000000000</v>
      </c>
      <c r="BL441" s="215">
        <f ca="1">IF($D441&lt;&gt;"Serviço",0,IF(AND(AUTOEVENTO="Manual",$M441=1),0,IF(OFFSET(CRONOPLE!$F$14,$M441,BL$13)="",10^12,OFFSET(CRONOPLE!$F$14,$M441,BL$13))))</f>
        <v>1000000000000</v>
      </c>
      <c r="BM441" s="215">
        <f ca="1">IF($D441&lt;&gt;"Serviço",0,IF(AND(AUTOEVENTO="Manual",$M441=1),0,IF(OFFSET(CRONOPLE!$F$14,$M441,BM$13)="",10^12,OFFSET(CRONOPLE!$F$14,$M441,BM$13))))</f>
        <v>1000000000000</v>
      </c>
      <c r="BN441" s="215">
        <f ca="1">IF($D441&lt;&gt;"Serviço",0,IF(AND(AUTOEVENTO="Manual",$M441=1),0,IF(OFFSET(CRONOPLE!$F$14,$M441,BN$13)="",10^12,OFFSET(CRONOPLE!$F$14,$M441,BN$13))))</f>
        <v>1000000000000</v>
      </c>
      <c r="BO441" s="215">
        <f ca="1">IF($D441&lt;&gt;"Serviço",0,IF(AND(AUTOEVENTO="Manual",$M441=1),0,IF(OFFSET(CRONOPLE!$F$14,$M441,BO$13)="",10^12,OFFSET(CRONOPLE!$F$14,$M441,BO$13))))</f>
        <v>1000000000000</v>
      </c>
      <c r="BP441" s="215">
        <f ca="1">IF($D441&lt;&gt;"Serviço",0,IF(AND(AUTOEVENTO="Manual",$M441=1),0,IF(OFFSET(CRONOPLE!$F$14,$M441,BP$13)="",10^12,OFFSET(CRONOPLE!$F$14,$M441,BP$13))))</f>
        <v>1000000000000</v>
      </c>
      <c r="BQ441" s="215">
        <f ca="1">IF($D441&lt;&gt;"Serviço",0,IF(AND(AUTOEVENTO="Manual",$M441=1),0,IF(OFFSET(CRONOPLE!$F$14,$M441,BQ$13)="",10^12,OFFSET(CRONOPLE!$F$14,$M441,BQ$13))))</f>
        <v>1000000000000</v>
      </c>
      <c r="BR441" s="215">
        <f ca="1">IF($D441&lt;&gt;"Serviço",0,IF(AND(AUTOEVENTO="Manual",$M441=1),0,IF(OFFSET(CRONOPLE!$F$14,$M441,BR$13)="",10^12,OFFSET(CRONOPLE!$F$14,$M441,BR$13))))</f>
        <v>1000000000000</v>
      </c>
      <c r="BS441" s="215">
        <f ca="1">IF($D441&lt;&gt;"Serviço",0,IF(AND(AUTOEVENTO="Manual",$M441=1),0,IF(OFFSET(CRONOPLE!$F$14,$M441,BS$13)="",10^12,OFFSET(CRONOPLE!$F$14,$M441,BS$13))))</f>
        <v>1000000000000</v>
      </c>
      <c r="BT441" s="215">
        <f ca="1">IF($D441&lt;&gt;"Serviço",0,IF(AND(AUTOEVENTO="Manual",$M441=1),0,IF(OFFSET(CRONOPLE!$F$14,$M441,BT$13)="",10^12,OFFSET(CRONOPLE!$F$14,$M441,BT$13))))</f>
        <v>1000000000000</v>
      </c>
      <c r="BV441" s="216">
        <f ca="1">IF($D441&lt;&gt;"Serviço",0,IF(OR(AND(AUTOEVENTO="Manual",$M441=1),$M441&gt;(ROW(PLE.lastrow)-ROW(PLE.firstrow))),0,IF(OFFSET(PLE!$G$14,$M441,BV$13)="",10^12,OFFSET(PLE!$G$14,$M441,BV$13))))</f>
        <v>1000000000000</v>
      </c>
      <c r="BW441" s="216">
        <f ca="1">IF($D441&lt;&gt;"Serviço",0,IF(OR(AND(AUTOEVENTO="Manual",$M441=1),$M441&gt;(ROW(PLE.lastrow)-ROW(PLE.firstrow))),0,IF(OFFSET(PLE!$G$14,$M441,BW$13)="",10^12,OFFSET(PLE!$G$14,$M441,BW$13))))</f>
        <v>1000000000000</v>
      </c>
      <c r="BX441" s="216">
        <f ca="1">IF($D441&lt;&gt;"Serviço",0,IF(OR(AND(AUTOEVENTO="Manual",$M441=1),$M441&gt;(ROW(PLE.lastrow)-ROW(PLE.firstrow))),0,IF(OFFSET(PLE!$G$14,$M441,BX$13)="",10^12,OFFSET(PLE!$G$14,$M441,BX$13))))</f>
        <v>1000000000000</v>
      </c>
      <c r="BY441" s="216">
        <f ca="1">IF($D441&lt;&gt;"Serviço",0,IF(OR(AND(AUTOEVENTO="Manual",$M441=1),$M441&gt;(ROW(PLE.lastrow)-ROW(PLE.firstrow))),0,IF(OFFSET(PLE!$G$14,$M441,BY$13)="",10^12,OFFSET(PLE!$G$14,$M441,BY$13))))</f>
        <v>1000000000000</v>
      </c>
      <c r="BZ441" s="216">
        <f ca="1">IF($D441&lt;&gt;"Serviço",0,IF(OR(AND(AUTOEVENTO="Manual",$M441=1),$M441&gt;(ROW(PLE.lastrow)-ROW(PLE.firstrow))),0,IF(OFFSET(PLE!$G$14,$M441,BZ$13)="",10^12,OFFSET(PLE!$G$14,$M441,BZ$13))))</f>
        <v>1000000000000</v>
      </c>
      <c r="CA441" s="216">
        <f ca="1">IF($D441&lt;&gt;"Serviço",0,IF(OR(AND(AUTOEVENTO="Manual",$M441=1),$M441&gt;(ROW(PLE.lastrow)-ROW(PLE.firstrow))),0,IF(OFFSET(PLE!$G$14,$M441,CA$13)="",10^12,OFFSET(PLE!$G$14,$M441,CA$13))))</f>
        <v>1000000000000</v>
      </c>
      <c r="CB441" s="216">
        <f ca="1">IF($D441&lt;&gt;"Serviço",0,IF(OR(AND(AUTOEVENTO="Manual",$M441=1),$M441&gt;(ROW(PLE.lastrow)-ROW(PLE.firstrow))),0,IF(OFFSET(PLE!$G$14,$M441,CB$13)="",10^12,OFFSET(PLE!$G$14,$M441,CB$13))))</f>
        <v>1000000000000</v>
      </c>
      <c r="CC441" s="216">
        <f ca="1">IF($D441&lt;&gt;"Serviço",0,IF(OR(AND(AUTOEVENTO="Manual",$M441=1),$M441&gt;(ROW(PLE.lastrow)-ROW(PLE.firstrow))),0,IF(OFFSET(PLE!$G$14,$M441,CC$13)="",10^12,OFFSET(PLE!$G$14,$M441,CC$13))))</f>
        <v>1000000000000</v>
      </c>
      <c r="CD441" s="216">
        <f ca="1">IF($D441&lt;&gt;"Serviço",0,IF(OR(AND(AUTOEVENTO="Manual",$M441=1),$M441&gt;(ROW(PLE.lastrow)-ROW(PLE.firstrow))),0,IF(OFFSET(PLE!$G$14,$M441,CD$13)="",10^12,OFFSET(PLE!$G$14,$M441,CD$13))))</f>
        <v>1000000000000</v>
      </c>
      <c r="CE441" s="216">
        <f ca="1">IF($D441&lt;&gt;"Serviço",0,IF(OR(AND(AUTOEVENTO="Manual",$M441=1),$M441&gt;(ROW(PLE.lastrow)-ROW(PLE.firstrow))),0,IF(OFFSET(PLE!$G$14,$M441,CE$13)="",10^12,OFFSET(PLE!$G$14,$M441,CE$13))))</f>
        <v>1000000000000</v>
      </c>
      <c r="CF441" s="216">
        <f ca="1">IF($D441&lt;&gt;"Serviço",0,IF(OR(AND(AUTOEVENTO="Manual",$M441=1),$M441&gt;(ROW(PLE.lastrow)-ROW(PLE.firstrow))),0,IF(OFFSET(PLE!$G$14,$M441,CF$13)="",10^12,OFFSET(PLE!$G$14,$M441,CF$13))))</f>
        <v>1000000000000</v>
      </c>
      <c r="CG441" s="216">
        <f ca="1">IF($D441&lt;&gt;"Serviço",0,IF(OR(AND(AUTOEVENTO="Manual",$M441=1),$M441&gt;(ROW(PLE.lastrow)-ROW(PLE.firstrow))),0,IF(OFFSET(PLE!$G$14,$M441,CG$13)="",10^12,OFFSET(PLE!$G$14,$M441,CG$13))))</f>
        <v>1000000000000</v>
      </c>
      <c r="CH441" s="216">
        <f ca="1">IF($D441&lt;&gt;"Serviço",0,IF(OR(AND(AUTOEVENTO="Manual",$M441=1),$M441&gt;(ROW(PLE.lastrow)-ROW(PLE.firstrow))),0,IF(OFFSET(PLE!$G$14,$M441,CH$13)="",10^12,OFFSET(PLE!$G$14,$M441,CH$13))))</f>
        <v>1000000000000</v>
      </c>
      <c r="CI441" s="216">
        <f ca="1">IF($D441&lt;&gt;"Serviço",0,IF(OR(AND(AUTOEVENTO="Manual",$M441=1),$M441&gt;(ROW(PLE.lastrow)-ROW(PLE.firstrow))),0,IF(OFFSET(PLE!$G$14,$M441,CI$13)="",10^12,OFFSET(PLE!$G$14,$M441,CI$13))))</f>
        <v>1000000000000</v>
      </c>
      <c r="CJ441" s="216">
        <f ca="1">IF($D441&lt;&gt;"Serviço",0,IF(OR(AND(AUTOEVENTO="Manual",$M441=1),$M441&gt;(ROW(PLE.lastrow)-ROW(PLE.firstrow))),0,IF(OFFSET(PLE!$G$14,$M441,CJ$13)="",10^12,OFFSET(PLE!$G$14,$M441,CJ$13))))</f>
        <v>1000000000000</v>
      </c>
      <c r="CK441" s="216">
        <f ca="1">IF($D441&lt;&gt;"Serviço",0,IF(OR(AND(AUTOEVENTO="Manual",$M441=1),$M441&gt;(ROW(PLE.lastrow)-ROW(PLE.firstrow))),0,IF(OFFSET(PLE!$G$14,$M441,CK$13)="",10^12,OFFSET(PLE!$G$14,$M441,CK$13))))</f>
        <v>1000000000000</v>
      </c>
      <c r="CL441" s="216">
        <f ca="1">IF($D441&lt;&gt;"Serviço",0,IF(OR(AND(AUTOEVENTO="Manual",$M441=1),$M441&gt;(ROW(PLE.lastrow)-ROW(PLE.firstrow))),0,IF(OFFSET(PLE!$G$14,$M441,CL$13)="",10^12,OFFSET(PLE!$G$14,$M441,CL$13))))</f>
        <v>1000000000000</v>
      </c>
      <c r="CM441" s="216">
        <f ca="1">IF($D441&lt;&gt;"Serviço",0,IF(OR(AND(AUTOEVENTO="Manual",$M441=1),$M441&gt;(ROW(PLE.lastrow)-ROW(PLE.firstrow))),0,IF(OFFSET(PLE!$G$14,$M441,CM$13)="",10^12,OFFSET(PLE!$G$14,$M441,CM$13))))</f>
        <v>1000000000000</v>
      </c>
    </row>
    <row r="442" spans="1:91" ht="13.2" x14ac:dyDescent="0.25">
      <c r="A442" s="9">
        <f t="shared" ca="1" si="15"/>
        <v>0</v>
      </c>
      <c r="B442" s="9" t="str">
        <f ca="1">OFFSET(ORÇAMENTO!C$15,ROW(B442)-ROW(B$15),0)</f>
        <v>S</v>
      </c>
      <c r="C442" s="9" t="str">
        <f ca="1">OFFSET(ORÇAMENTO!L$15,ROW(C442)-ROW(C$15),0)</f>
        <v/>
      </c>
      <c r="D442" s="145" t="str">
        <f ca="1">OFFSET(ORÇAMENTO!N$15,ROW(D442)-ROW(D$15),0)</f>
        <v>Serviço</v>
      </c>
      <c r="E442" s="205" t="str">
        <f ca="1">OFFSET(ORÇAMENTO!O$15,ROW(E442)-ROW(E$15),0)</f>
        <v>-</v>
      </c>
      <c r="F442" s="206" t="str">
        <f ca="1">OFFSET(ORÇAMENTO!R$15,ROW(F442)-ROW(F$15),0)</f>
        <v>(abra o arquivo 'Referência 05-2024.xls)</v>
      </c>
      <c r="G442" s="207" t="str">
        <f ca="1">IF($D442&lt;&gt;"Serviço","",OFFSET(ORÇAMENTO!S$15,ROW(G442)-ROW(G$15),0))</f>
        <v>-</v>
      </c>
      <c r="H442" s="151">
        <f ca="1">IF($D442&lt;&gt;"Serviço",0,IF(ACOMPANHAMENTO="BM",ROUND(OFFSET(ORÇAMENTO!AJ$15,ROW(H442)-ROW(H$15),0),15-13*ORÇAMENTO!$AF$7),SUMPRODUCT(($Q$12:$AI$12&lt;&gt;"")*ROUND($Q442:$AI442,15-13*ORÇAMENTO!$AF$7))))</f>
        <v>2</v>
      </c>
      <c r="I442" s="650"/>
      <c r="K442" s="208"/>
      <c r="L442" s="209" t="s">
        <v>257</v>
      </c>
      <c r="M442" s="210">
        <f ca="1">IF($D442&lt;&gt;"Serviço","",IF(AUTOEVENTO="manual",$A442,IF(ISERROR(MATCH($A442,$A$15:OFFSET($A442,-1,0),0)),MAX($M$15:OFFSET(M442,-1,0))+1,INDEX($M$15:OFFSET(M442,-1,0),MATCH($A442,$A$15:OFFSET($A442,-1,0),0)))))</f>
        <v>0</v>
      </c>
      <c r="N442" s="211" t="str">
        <f ca="1">IF($D442&lt;&gt;"Serviço","",IF(AUTOEVENTO="Manual",IF($A442=0,"&lt;-- defina o número do agrupador",OFFSET(EVENTOS!$D$14,$A442,0)),OFFSET($F$15,$A442,0)))</f>
        <v>&lt;-- defina o número do agrupador</v>
      </c>
      <c r="O442" s="212"/>
      <c r="Q442" s="212"/>
      <c r="R442" s="213"/>
      <c r="S442" s="213"/>
      <c r="T442" s="213"/>
      <c r="U442" s="213"/>
      <c r="V442" s="213"/>
      <c r="W442" s="213"/>
      <c r="X442" s="213"/>
      <c r="Y442" s="213"/>
      <c r="Z442" s="214"/>
      <c r="AA442" s="213"/>
      <c r="AB442" s="213"/>
      <c r="AC442" s="213"/>
      <c r="AD442" s="213"/>
      <c r="AE442" s="213"/>
      <c r="AF442" s="213"/>
      <c r="AG442" s="213"/>
      <c r="AH442" s="214"/>
      <c r="AJ442" s="631">
        <f ca="1">IF(AND($D442="Serviço",AJ$12&lt;&gt;0,$H442&gt;0,OR(AUTOEVENTO&lt;&gt;"manual",$M442&lt;&gt;1)),ROUND(OFFSET($P442,0,AJ$13),15-13*ORÇAMENTO!$AF$7)/$H442*OFFSET(ORÇAMENTO!$X$15,ROW(AJ442)-ROW(AJ$15),0),0)</f>
        <v>0</v>
      </c>
      <c r="AK442" s="632">
        <f ca="1">IF(AND($D442="Serviço",AK$12&lt;&gt;0,$H442&gt;0,OR(AUTOEVENTO&lt;&gt;"manual",$M442&lt;&gt;1)),ROUND(OFFSET($P442,0,AK$13),15-13*ORÇAMENTO!$AF$7)/$H442*OFFSET(ORÇAMENTO!$X$15,ROW(AK442)-ROW(AK$15),0),0)</f>
        <v>0</v>
      </c>
      <c r="AL442" s="632">
        <f ca="1">IF(AND($D442="Serviço",AL$12&lt;&gt;0,$H442&gt;0,OR(AUTOEVENTO&lt;&gt;"manual",$M442&lt;&gt;1)),ROUND(OFFSET($P442,0,AL$13),15-13*ORÇAMENTO!$AF$7)/$H442*OFFSET(ORÇAMENTO!$X$15,ROW(AL442)-ROW(AL$15),0),0)</f>
        <v>0</v>
      </c>
      <c r="AM442" s="632">
        <f ca="1">IF(AND($D442="Serviço",AM$12&lt;&gt;0,$H442&gt;0,OR(AUTOEVENTO&lt;&gt;"manual",$M442&lt;&gt;1)),ROUND(OFFSET($P442,0,AM$13),15-13*ORÇAMENTO!$AF$7)/$H442*OFFSET(ORÇAMENTO!$X$15,ROW(AM442)-ROW(AM$15),0),0)</f>
        <v>0</v>
      </c>
      <c r="AN442" s="632">
        <f ca="1">IF(AND($D442="Serviço",AN$12&lt;&gt;0,$H442&gt;0,OR(AUTOEVENTO&lt;&gt;"manual",$M442&lt;&gt;1)),ROUND(OFFSET($P442,0,AN$13),15-13*ORÇAMENTO!$AF$7)/$H442*OFFSET(ORÇAMENTO!$X$15,ROW(AN442)-ROW(AN$15),0),0)</f>
        <v>0</v>
      </c>
      <c r="AO442" s="632">
        <f ca="1">IF(AND($D442="Serviço",AO$12&lt;&gt;0,$H442&gt;0,OR(AUTOEVENTO&lt;&gt;"manual",$M442&lt;&gt;1)),ROUND(OFFSET($P442,0,AO$13),15-13*ORÇAMENTO!$AF$7)/$H442*OFFSET(ORÇAMENTO!$X$15,ROW(AO442)-ROW(AO$15),0),0)</f>
        <v>0</v>
      </c>
      <c r="AP442" s="632">
        <f ca="1">IF(AND($D442="Serviço",AP$12&lt;&gt;0,$H442&gt;0,OR(AUTOEVENTO&lt;&gt;"manual",$M442&lt;&gt;1)),ROUND(OFFSET($P442,0,AP$13),15-13*ORÇAMENTO!$AF$7)/$H442*OFFSET(ORÇAMENTO!$X$15,ROW(AP442)-ROW(AP$15),0),0)</f>
        <v>0</v>
      </c>
      <c r="AQ442" s="632">
        <f ca="1">IF(AND($D442="Serviço",AQ$12&lt;&gt;0,$H442&gt;0,OR(AUTOEVENTO&lt;&gt;"manual",$M442&lt;&gt;1)),ROUND(OFFSET($P442,0,AQ$13),15-13*ORÇAMENTO!$AF$7)/$H442*OFFSET(ORÇAMENTO!$X$15,ROW(AQ442)-ROW(AQ$15),0),0)</f>
        <v>0</v>
      </c>
      <c r="AR442" s="632">
        <f ca="1">IF(AND($D442="Serviço",AR$12&lt;&gt;0,$H442&gt;0,OR(AUTOEVENTO&lt;&gt;"manual",$M442&lt;&gt;1)),ROUND(OFFSET($P442,0,AR$13),15-13*ORÇAMENTO!$AF$7)/$H442*OFFSET(ORÇAMENTO!$X$15,ROW(AR442)-ROW(AR$15),0),0)</f>
        <v>0</v>
      </c>
      <c r="AS442" s="633">
        <f ca="1">IF(AND($D442="Serviço",AS$12&lt;&gt;0,$H442&gt;0,OR(AUTOEVENTO&lt;&gt;"manual",$M442&lt;&gt;1)),ROUND(OFFSET($P442,0,AS$13),15-13*ORÇAMENTO!$AF$7)/$H442*OFFSET(ORÇAMENTO!$X$15,ROW(AS442)-ROW(AS$15),0),0)</f>
        <v>0</v>
      </c>
      <c r="AT442" s="632">
        <f ca="1">IF(AND($D442="Serviço",AT$12&lt;&gt;0,$H442&gt;0,OR(AUTOEVENTO&lt;&gt;"manual",$M442&lt;&gt;1)),ROUND(OFFSET($P442,0,AT$13),15-13*ORÇAMENTO!$AF$7)/$H442*OFFSET(ORÇAMENTO!$X$15,ROW(AT442)-ROW(AT$15),0),0)</f>
        <v>0</v>
      </c>
      <c r="AU442" s="632">
        <f ca="1">IF(AND($D442="Serviço",AU$12&lt;&gt;0,$H442&gt;0,OR(AUTOEVENTO&lt;&gt;"manual",$M442&lt;&gt;1)),ROUND(OFFSET($P442,0,AU$13),15-13*ORÇAMENTO!$AF$7)/$H442*OFFSET(ORÇAMENTO!$X$15,ROW(AU442)-ROW(AU$15),0),0)</f>
        <v>0</v>
      </c>
      <c r="AV442" s="632">
        <f ca="1">IF(AND($D442="Serviço",AV$12&lt;&gt;0,$H442&gt;0,OR(AUTOEVENTO&lt;&gt;"manual",$M442&lt;&gt;1)),ROUND(OFFSET($P442,0,AV$13),15-13*ORÇAMENTO!$AF$7)/$H442*OFFSET(ORÇAMENTO!$X$15,ROW(AV442)-ROW(AV$15),0),0)</f>
        <v>0</v>
      </c>
      <c r="AW442" s="632">
        <f ca="1">IF(AND($D442="Serviço",AW$12&lt;&gt;0,$H442&gt;0,OR(AUTOEVENTO&lt;&gt;"manual",$M442&lt;&gt;1)),ROUND(OFFSET($P442,0,AW$13),15-13*ORÇAMENTO!$AF$7)/$H442*OFFSET(ORÇAMENTO!$X$15,ROW(AW442)-ROW(AW$15),0),0)</f>
        <v>0</v>
      </c>
      <c r="AX442" s="632">
        <f ca="1">IF(AND($D442="Serviço",AX$12&lt;&gt;0,$H442&gt;0,OR(AUTOEVENTO&lt;&gt;"manual",$M442&lt;&gt;1)),ROUND(OFFSET($P442,0,AX$13),15-13*ORÇAMENTO!$AF$7)/$H442*OFFSET(ORÇAMENTO!$X$15,ROW(AX442)-ROW(AX$15),0),0)</f>
        <v>0</v>
      </c>
      <c r="AY442" s="632">
        <f ca="1">IF(AND($D442="Serviço",AY$12&lt;&gt;0,$H442&gt;0,OR(AUTOEVENTO&lt;&gt;"manual",$M442&lt;&gt;1)),ROUND(OFFSET($P442,0,AY$13),15-13*ORÇAMENTO!$AF$7)/$H442*OFFSET(ORÇAMENTO!$X$15,ROW(AY442)-ROW(AY$15),0),0)</f>
        <v>0</v>
      </c>
      <c r="AZ442" s="632">
        <f ca="1">IF(AND($D442="Serviço",AZ$12&lt;&gt;0,$H442&gt;0,OR(AUTOEVENTO&lt;&gt;"manual",$M442&lt;&gt;1)),ROUND(OFFSET($P442,0,AZ$13),15-13*ORÇAMENTO!$AF$7)/$H442*OFFSET(ORÇAMENTO!$X$15,ROW(AZ442)-ROW(AZ$15),0),0)</f>
        <v>0</v>
      </c>
      <c r="BA442" s="633">
        <f ca="1">IF(AND($D442="Serviço",BA$12&lt;&gt;0,$H442&gt;0,OR(AUTOEVENTO&lt;&gt;"manual",$M442&lt;&gt;1)),ROUND(OFFSET($P442,0,BA$13),15-13*ORÇAMENTO!$AF$7)/$H442*OFFSET(ORÇAMENTO!$X$15,ROW(BA442)-ROW(BA$15),0),0)</f>
        <v>0</v>
      </c>
      <c r="BC442" s="215">
        <f ca="1">IF($D442&lt;&gt;"Serviço",0,IF(AND(AUTOEVENTO="Manual",$M442=1),0,IF(OFFSET(CRONOPLE!$F$14,$M442,BC$13)="",10^12,OFFSET(CRONOPLE!$F$14,$M442,BC$13))))</f>
        <v>1000000000000</v>
      </c>
      <c r="BD442" s="215">
        <f ca="1">IF($D442&lt;&gt;"Serviço",0,IF(AND(AUTOEVENTO="Manual",$M442=1),0,IF(OFFSET(CRONOPLE!$F$14,$M442,BD$13)="",10^12,OFFSET(CRONOPLE!$F$14,$M442,BD$13))))</f>
        <v>1000000000000</v>
      </c>
      <c r="BE442" s="215">
        <f ca="1">IF($D442&lt;&gt;"Serviço",0,IF(AND(AUTOEVENTO="Manual",$M442=1),0,IF(OFFSET(CRONOPLE!$F$14,$M442,BE$13)="",10^12,OFFSET(CRONOPLE!$F$14,$M442,BE$13))))</f>
        <v>1000000000000</v>
      </c>
      <c r="BF442" s="215">
        <f ca="1">IF($D442&lt;&gt;"Serviço",0,IF(AND(AUTOEVENTO="Manual",$M442=1),0,IF(OFFSET(CRONOPLE!$F$14,$M442,BF$13)="",10^12,OFFSET(CRONOPLE!$F$14,$M442,BF$13))))</f>
        <v>1000000000000</v>
      </c>
      <c r="BG442" s="215">
        <f ca="1">IF($D442&lt;&gt;"Serviço",0,IF(AND(AUTOEVENTO="Manual",$M442=1),0,IF(OFFSET(CRONOPLE!$F$14,$M442,BG$13)="",10^12,OFFSET(CRONOPLE!$F$14,$M442,BG$13))))</f>
        <v>1000000000000</v>
      </c>
      <c r="BH442" s="215">
        <f ca="1">IF($D442&lt;&gt;"Serviço",0,IF(AND(AUTOEVENTO="Manual",$M442=1),0,IF(OFFSET(CRONOPLE!$F$14,$M442,BH$13)="",10^12,OFFSET(CRONOPLE!$F$14,$M442,BH$13))))</f>
        <v>1000000000000</v>
      </c>
      <c r="BI442" s="215">
        <f ca="1">IF($D442&lt;&gt;"Serviço",0,IF(AND(AUTOEVENTO="Manual",$M442=1),0,IF(OFFSET(CRONOPLE!$F$14,$M442,BI$13)="",10^12,OFFSET(CRONOPLE!$F$14,$M442,BI$13))))</f>
        <v>1000000000000</v>
      </c>
      <c r="BJ442" s="215">
        <f ca="1">IF($D442&lt;&gt;"Serviço",0,IF(AND(AUTOEVENTO="Manual",$M442=1),0,IF(OFFSET(CRONOPLE!$F$14,$M442,BJ$13)="",10^12,OFFSET(CRONOPLE!$F$14,$M442,BJ$13))))</f>
        <v>1000000000000</v>
      </c>
      <c r="BK442" s="215">
        <f ca="1">IF($D442&lt;&gt;"Serviço",0,IF(AND(AUTOEVENTO="Manual",$M442=1),0,IF(OFFSET(CRONOPLE!$F$14,$M442,BK$13)="",10^12,OFFSET(CRONOPLE!$F$14,$M442,BK$13))))</f>
        <v>1000000000000</v>
      </c>
      <c r="BL442" s="215">
        <f ca="1">IF($D442&lt;&gt;"Serviço",0,IF(AND(AUTOEVENTO="Manual",$M442=1),0,IF(OFFSET(CRONOPLE!$F$14,$M442,BL$13)="",10^12,OFFSET(CRONOPLE!$F$14,$M442,BL$13))))</f>
        <v>1000000000000</v>
      </c>
      <c r="BM442" s="215">
        <f ca="1">IF($D442&lt;&gt;"Serviço",0,IF(AND(AUTOEVENTO="Manual",$M442=1),0,IF(OFFSET(CRONOPLE!$F$14,$M442,BM$13)="",10^12,OFFSET(CRONOPLE!$F$14,$M442,BM$13))))</f>
        <v>1000000000000</v>
      </c>
      <c r="BN442" s="215">
        <f ca="1">IF($D442&lt;&gt;"Serviço",0,IF(AND(AUTOEVENTO="Manual",$M442=1),0,IF(OFFSET(CRONOPLE!$F$14,$M442,BN$13)="",10^12,OFFSET(CRONOPLE!$F$14,$M442,BN$13))))</f>
        <v>1000000000000</v>
      </c>
      <c r="BO442" s="215">
        <f ca="1">IF($D442&lt;&gt;"Serviço",0,IF(AND(AUTOEVENTO="Manual",$M442=1),0,IF(OFFSET(CRONOPLE!$F$14,$M442,BO$13)="",10^12,OFFSET(CRONOPLE!$F$14,$M442,BO$13))))</f>
        <v>1000000000000</v>
      </c>
      <c r="BP442" s="215">
        <f ca="1">IF($D442&lt;&gt;"Serviço",0,IF(AND(AUTOEVENTO="Manual",$M442=1),0,IF(OFFSET(CRONOPLE!$F$14,$M442,BP$13)="",10^12,OFFSET(CRONOPLE!$F$14,$M442,BP$13))))</f>
        <v>1000000000000</v>
      </c>
      <c r="BQ442" s="215">
        <f ca="1">IF($D442&lt;&gt;"Serviço",0,IF(AND(AUTOEVENTO="Manual",$M442=1),0,IF(OFFSET(CRONOPLE!$F$14,$M442,BQ$13)="",10^12,OFFSET(CRONOPLE!$F$14,$M442,BQ$13))))</f>
        <v>1000000000000</v>
      </c>
      <c r="BR442" s="215">
        <f ca="1">IF($D442&lt;&gt;"Serviço",0,IF(AND(AUTOEVENTO="Manual",$M442=1),0,IF(OFFSET(CRONOPLE!$F$14,$M442,BR$13)="",10^12,OFFSET(CRONOPLE!$F$14,$M442,BR$13))))</f>
        <v>1000000000000</v>
      </c>
      <c r="BS442" s="215">
        <f ca="1">IF($D442&lt;&gt;"Serviço",0,IF(AND(AUTOEVENTO="Manual",$M442=1),0,IF(OFFSET(CRONOPLE!$F$14,$M442,BS$13)="",10^12,OFFSET(CRONOPLE!$F$14,$M442,BS$13))))</f>
        <v>1000000000000</v>
      </c>
      <c r="BT442" s="215">
        <f ca="1">IF($D442&lt;&gt;"Serviço",0,IF(AND(AUTOEVENTO="Manual",$M442=1),0,IF(OFFSET(CRONOPLE!$F$14,$M442,BT$13)="",10^12,OFFSET(CRONOPLE!$F$14,$M442,BT$13))))</f>
        <v>1000000000000</v>
      </c>
      <c r="BV442" s="216">
        <f ca="1">IF($D442&lt;&gt;"Serviço",0,IF(OR(AND(AUTOEVENTO="Manual",$M442=1),$M442&gt;(ROW(PLE.lastrow)-ROW(PLE.firstrow))),0,IF(OFFSET(PLE!$G$14,$M442,BV$13)="",10^12,OFFSET(PLE!$G$14,$M442,BV$13))))</f>
        <v>1000000000000</v>
      </c>
      <c r="BW442" s="216">
        <f ca="1">IF($D442&lt;&gt;"Serviço",0,IF(OR(AND(AUTOEVENTO="Manual",$M442=1),$M442&gt;(ROW(PLE.lastrow)-ROW(PLE.firstrow))),0,IF(OFFSET(PLE!$G$14,$M442,BW$13)="",10^12,OFFSET(PLE!$G$14,$M442,BW$13))))</f>
        <v>1000000000000</v>
      </c>
      <c r="BX442" s="216">
        <f ca="1">IF($D442&lt;&gt;"Serviço",0,IF(OR(AND(AUTOEVENTO="Manual",$M442=1),$M442&gt;(ROW(PLE.lastrow)-ROW(PLE.firstrow))),0,IF(OFFSET(PLE!$G$14,$M442,BX$13)="",10^12,OFFSET(PLE!$G$14,$M442,BX$13))))</f>
        <v>1000000000000</v>
      </c>
      <c r="BY442" s="216">
        <f ca="1">IF($D442&lt;&gt;"Serviço",0,IF(OR(AND(AUTOEVENTO="Manual",$M442=1),$M442&gt;(ROW(PLE.lastrow)-ROW(PLE.firstrow))),0,IF(OFFSET(PLE!$G$14,$M442,BY$13)="",10^12,OFFSET(PLE!$G$14,$M442,BY$13))))</f>
        <v>1000000000000</v>
      </c>
      <c r="BZ442" s="216">
        <f ca="1">IF($D442&lt;&gt;"Serviço",0,IF(OR(AND(AUTOEVENTO="Manual",$M442=1),$M442&gt;(ROW(PLE.lastrow)-ROW(PLE.firstrow))),0,IF(OFFSET(PLE!$G$14,$M442,BZ$13)="",10^12,OFFSET(PLE!$G$14,$M442,BZ$13))))</f>
        <v>1000000000000</v>
      </c>
      <c r="CA442" s="216">
        <f ca="1">IF($D442&lt;&gt;"Serviço",0,IF(OR(AND(AUTOEVENTO="Manual",$M442=1),$M442&gt;(ROW(PLE.lastrow)-ROW(PLE.firstrow))),0,IF(OFFSET(PLE!$G$14,$M442,CA$13)="",10^12,OFFSET(PLE!$G$14,$M442,CA$13))))</f>
        <v>1000000000000</v>
      </c>
      <c r="CB442" s="216">
        <f ca="1">IF($D442&lt;&gt;"Serviço",0,IF(OR(AND(AUTOEVENTO="Manual",$M442=1),$M442&gt;(ROW(PLE.lastrow)-ROW(PLE.firstrow))),0,IF(OFFSET(PLE!$G$14,$M442,CB$13)="",10^12,OFFSET(PLE!$G$14,$M442,CB$13))))</f>
        <v>1000000000000</v>
      </c>
      <c r="CC442" s="216">
        <f ca="1">IF($D442&lt;&gt;"Serviço",0,IF(OR(AND(AUTOEVENTO="Manual",$M442=1),$M442&gt;(ROW(PLE.lastrow)-ROW(PLE.firstrow))),0,IF(OFFSET(PLE!$G$14,$M442,CC$13)="",10^12,OFFSET(PLE!$G$14,$M442,CC$13))))</f>
        <v>1000000000000</v>
      </c>
      <c r="CD442" s="216">
        <f ca="1">IF($D442&lt;&gt;"Serviço",0,IF(OR(AND(AUTOEVENTO="Manual",$M442=1),$M442&gt;(ROW(PLE.lastrow)-ROW(PLE.firstrow))),0,IF(OFFSET(PLE!$G$14,$M442,CD$13)="",10^12,OFFSET(PLE!$G$14,$M442,CD$13))))</f>
        <v>1000000000000</v>
      </c>
      <c r="CE442" s="216">
        <f ca="1">IF($D442&lt;&gt;"Serviço",0,IF(OR(AND(AUTOEVENTO="Manual",$M442=1),$M442&gt;(ROW(PLE.lastrow)-ROW(PLE.firstrow))),0,IF(OFFSET(PLE!$G$14,$M442,CE$13)="",10^12,OFFSET(PLE!$G$14,$M442,CE$13))))</f>
        <v>1000000000000</v>
      </c>
      <c r="CF442" s="216">
        <f ca="1">IF($D442&lt;&gt;"Serviço",0,IF(OR(AND(AUTOEVENTO="Manual",$M442=1),$M442&gt;(ROW(PLE.lastrow)-ROW(PLE.firstrow))),0,IF(OFFSET(PLE!$G$14,$M442,CF$13)="",10^12,OFFSET(PLE!$G$14,$M442,CF$13))))</f>
        <v>1000000000000</v>
      </c>
      <c r="CG442" s="216">
        <f ca="1">IF($D442&lt;&gt;"Serviço",0,IF(OR(AND(AUTOEVENTO="Manual",$M442=1),$M442&gt;(ROW(PLE.lastrow)-ROW(PLE.firstrow))),0,IF(OFFSET(PLE!$G$14,$M442,CG$13)="",10^12,OFFSET(PLE!$G$14,$M442,CG$13))))</f>
        <v>1000000000000</v>
      </c>
      <c r="CH442" s="216">
        <f ca="1">IF($D442&lt;&gt;"Serviço",0,IF(OR(AND(AUTOEVENTO="Manual",$M442=1),$M442&gt;(ROW(PLE.lastrow)-ROW(PLE.firstrow))),0,IF(OFFSET(PLE!$G$14,$M442,CH$13)="",10^12,OFFSET(PLE!$G$14,$M442,CH$13))))</f>
        <v>1000000000000</v>
      </c>
      <c r="CI442" s="216">
        <f ca="1">IF($D442&lt;&gt;"Serviço",0,IF(OR(AND(AUTOEVENTO="Manual",$M442=1),$M442&gt;(ROW(PLE.lastrow)-ROW(PLE.firstrow))),0,IF(OFFSET(PLE!$G$14,$M442,CI$13)="",10^12,OFFSET(PLE!$G$14,$M442,CI$13))))</f>
        <v>1000000000000</v>
      </c>
      <c r="CJ442" s="216">
        <f ca="1">IF($D442&lt;&gt;"Serviço",0,IF(OR(AND(AUTOEVENTO="Manual",$M442=1),$M442&gt;(ROW(PLE.lastrow)-ROW(PLE.firstrow))),0,IF(OFFSET(PLE!$G$14,$M442,CJ$13)="",10^12,OFFSET(PLE!$G$14,$M442,CJ$13))))</f>
        <v>1000000000000</v>
      </c>
      <c r="CK442" s="216">
        <f ca="1">IF($D442&lt;&gt;"Serviço",0,IF(OR(AND(AUTOEVENTO="Manual",$M442=1),$M442&gt;(ROW(PLE.lastrow)-ROW(PLE.firstrow))),0,IF(OFFSET(PLE!$G$14,$M442,CK$13)="",10^12,OFFSET(PLE!$G$14,$M442,CK$13))))</f>
        <v>1000000000000</v>
      </c>
      <c r="CL442" s="216">
        <f ca="1">IF($D442&lt;&gt;"Serviço",0,IF(OR(AND(AUTOEVENTO="Manual",$M442=1),$M442&gt;(ROW(PLE.lastrow)-ROW(PLE.firstrow))),0,IF(OFFSET(PLE!$G$14,$M442,CL$13)="",10^12,OFFSET(PLE!$G$14,$M442,CL$13))))</f>
        <v>1000000000000</v>
      </c>
      <c r="CM442" s="216">
        <f ca="1">IF($D442&lt;&gt;"Serviço",0,IF(OR(AND(AUTOEVENTO="Manual",$M442=1),$M442&gt;(ROW(PLE.lastrow)-ROW(PLE.firstrow))),0,IF(OFFSET(PLE!$G$14,$M442,CM$13)="",10^12,OFFSET(PLE!$G$14,$M442,CM$13))))</f>
        <v>1000000000000</v>
      </c>
    </row>
    <row r="443" spans="1:91" ht="13.2" x14ac:dyDescent="0.25">
      <c r="A443" s="9">
        <f t="shared" ca="1" si="15"/>
        <v>0</v>
      </c>
      <c r="B443" s="9" t="str">
        <f ca="1">OFFSET(ORÇAMENTO!C$15,ROW(B443)-ROW(B$15),0)</f>
        <v>S</v>
      </c>
      <c r="C443" s="9" t="str">
        <f ca="1">OFFSET(ORÇAMENTO!L$15,ROW(C443)-ROW(C$15),0)</f>
        <v/>
      </c>
      <c r="D443" s="145" t="str">
        <f ca="1">OFFSET(ORÇAMENTO!N$15,ROW(D443)-ROW(D$15),0)</f>
        <v>Serviço</v>
      </c>
      <c r="E443" s="205" t="str">
        <f ca="1">OFFSET(ORÇAMENTO!O$15,ROW(E443)-ROW(E$15),0)</f>
        <v>-</v>
      </c>
      <c r="F443" s="206" t="str">
        <f ca="1">OFFSET(ORÇAMENTO!R$15,ROW(F443)-ROW(F$15),0)</f>
        <v>(abra o arquivo 'Referência 05-2024.xls)</v>
      </c>
      <c r="G443" s="207" t="str">
        <f ca="1">IF($D443&lt;&gt;"Serviço","",OFFSET(ORÇAMENTO!S$15,ROW(G443)-ROW(G$15),0))</f>
        <v>-</v>
      </c>
      <c r="H443" s="151">
        <f ca="1">IF($D443&lt;&gt;"Serviço",0,IF(ACOMPANHAMENTO="BM",ROUND(OFFSET(ORÇAMENTO!AJ$15,ROW(H443)-ROW(H$15),0),15-13*ORÇAMENTO!$AF$7),SUMPRODUCT(($Q$12:$AI$12&lt;&gt;"")*ROUND($Q443:$AI443,15-13*ORÇAMENTO!$AF$7))))</f>
        <v>57</v>
      </c>
      <c r="I443" s="650"/>
      <c r="K443" s="208"/>
      <c r="L443" s="209" t="s">
        <v>257</v>
      </c>
      <c r="M443" s="210">
        <f ca="1">IF($D443&lt;&gt;"Serviço","",IF(AUTOEVENTO="manual",$A443,IF(ISERROR(MATCH($A443,$A$15:OFFSET($A443,-1,0),0)),MAX($M$15:OFFSET(M443,-1,0))+1,INDEX($M$15:OFFSET(M443,-1,0),MATCH($A443,$A$15:OFFSET($A443,-1,0),0)))))</f>
        <v>0</v>
      </c>
      <c r="N443" s="211" t="str">
        <f ca="1">IF($D443&lt;&gt;"Serviço","",IF(AUTOEVENTO="Manual",IF($A443=0,"&lt;-- defina o número do agrupador",OFFSET(EVENTOS!$D$14,$A443,0)),OFFSET($F$15,$A443,0)))</f>
        <v>&lt;-- defina o número do agrupador</v>
      </c>
      <c r="O443" s="212"/>
      <c r="Q443" s="212"/>
      <c r="R443" s="213"/>
      <c r="S443" s="213"/>
      <c r="T443" s="213"/>
      <c r="U443" s="213"/>
      <c r="V443" s="213"/>
      <c r="W443" s="213"/>
      <c r="X443" s="213"/>
      <c r="Y443" s="213"/>
      <c r="Z443" s="214"/>
      <c r="AA443" s="213"/>
      <c r="AB443" s="213"/>
      <c r="AC443" s="213"/>
      <c r="AD443" s="213"/>
      <c r="AE443" s="213"/>
      <c r="AF443" s="213"/>
      <c r="AG443" s="213"/>
      <c r="AH443" s="214"/>
      <c r="AJ443" s="631">
        <f ca="1">IF(AND($D443="Serviço",AJ$12&lt;&gt;0,$H443&gt;0,OR(AUTOEVENTO&lt;&gt;"manual",$M443&lt;&gt;1)),ROUND(OFFSET($P443,0,AJ$13),15-13*ORÇAMENTO!$AF$7)/$H443*OFFSET(ORÇAMENTO!$X$15,ROW(AJ443)-ROW(AJ$15),0),0)</f>
        <v>0</v>
      </c>
      <c r="AK443" s="632">
        <f ca="1">IF(AND($D443="Serviço",AK$12&lt;&gt;0,$H443&gt;0,OR(AUTOEVENTO&lt;&gt;"manual",$M443&lt;&gt;1)),ROUND(OFFSET($P443,0,AK$13),15-13*ORÇAMENTO!$AF$7)/$H443*OFFSET(ORÇAMENTO!$X$15,ROW(AK443)-ROW(AK$15),0),0)</f>
        <v>0</v>
      </c>
      <c r="AL443" s="632">
        <f ca="1">IF(AND($D443="Serviço",AL$12&lt;&gt;0,$H443&gt;0,OR(AUTOEVENTO&lt;&gt;"manual",$M443&lt;&gt;1)),ROUND(OFFSET($P443,0,AL$13),15-13*ORÇAMENTO!$AF$7)/$H443*OFFSET(ORÇAMENTO!$X$15,ROW(AL443)-ROW(AL$15),0),0)</f>
        <v>0</v>
      </c>
      <c r="AM443" s="632">
        <f ca="1">IF(AND($D443="Serviço",AM$12&lt;&gt;0,$H443&gt;0,OR(AUTOEVENTO&lt;&gt;"manual",$M443&lt;&gt;1)),ROUND(OFFSET($P443,0,AM$13),15-13*ORÇAMENTO!$AF$7)/$H443*OFFSET(ORÇAMENTO!$X$15,ROW(AM443)-ROW(AM$15),0),0)</f>
        <v>0</v>
      </c>
      <c r="AN443" s="632">
        <f ca="1">IF(AND($D443="Serviço",AN$12&lt;&gt;0,$H443&gt;0,OR(AUTOEVENTO&lt;&gt;"manual",$M443&lt;&gt;1)),ROUND(OFFSET($P443,0,AN$13),15-13*ORÇAMENTO!$AF$7)/$H443*OFFSET(ORÇAMENTO!$X$15,ROW(AN443)-ROW(AN$15),0),0)</f>
        <v>0</v>
      </c>
      <c r="AO443" s="632">
        <f ca="1">IF(AND($D443="Serviço",AO$12&lt;&gt;0,$H443&gt;0,OR(AUTOEVENTO&lt;&gt;"manual",$M443&lt;&gt;1)),ROUND(OFFSET($P443,0,AO$13),15-13*ORÇAMENTO!$AF$7)/$H443*OFFSET(ORÇAMENTO!$X$15,ROW(AO443)-ROW(AO$15),0),0)</f>
        <v>0</v>
      </c>
      <c r="AP443" s="632">
        <f ca="1">IF(AND($D443="Serviço",AP$12&lt;&gt;0,$H443&gt;0,OR(AUTOEVENTO&lt;&gt;"manual",$M443&lt;&gt;1)),ROUND(OFFSET($P443,0,AP$13),15-13*ORÇAMENTO!$AF$7)/$H443*OFFSET(ORÇAMENTO!$X$15,ROW(AP443)-ROW(AP$15),0),0)</f>
        <v>0</v>
      </c>
      <c r="AQ443" s="632">
        <f ca="1">IF(AND($D443="Serviço",AQ$12&lt;&gt;0,$H443&gt;0,OR(AUTOEVENTO&lt;&gt;"manual",$M443&lt;&gt;1)),ROUND(OFFSET($P443,0,AQ$13),15-13*ORÇAMENTO!$AF$7)/$H443*OFFSET(ORÇAMENTO!$X$15,ROW(AQ443)-ROW(AQ$15),0),0)</f>
        <v>0</v>
      </c>
      <c r="AR443" s="632">
        <f ca="1">IF(AND($D443="Serviço",AR$12&lt;&gt;0,$H443&gt;0,OR(AUTOEVENTO&lt;&gt;"manual",$M443&lt;&gt;1)),ROUND(OFFSET($P443,0,AR$13),15-13*ORÇAMENTO!$AF$7)/$H443*OFFSET(ORÇAMENTO!$X$15,ROW(AR443)-ROW(AR$15),0),0)</f>
        <v>0</v>
      </c>
      <c r="AS443" s="633">
        <f ca="1">IF(AND($D443="Serviço",AS$12&lt;&gt;0,$H443&gt;0,OR(AUTOEVENTO&lt;&gt;"manual",$M443&lt;&gt;1)),ROUND(OFFSET($P443,0,AS$13),15-13*ORÇAMENTO!$AF$7)/$H443*OFFSET(ORÇAMENTO!$X$15,ROW(AS443)-ROW(AS$15),0),0)</f>
        <v>0</v>
      </c>
      <c r="AT443" s="632">
        <f ca="1">IF(AND($D443="Serviço",AT$12&lt;&gt;0,$H443&gt;0,OR(AUTOEVENTO&lt;&gt;"manual",$M443&lt;&gt;1)),ROUND(OFFSET($P443,0,AT$13),15-13*ORÇAMENTO!$AF$7)/$H443*OFFSET(ORÇAMENTO!$X$15,ROW(AT443)-ROW(AT$15),0),0)</f>
        <v>0</v>
      </c>
      <c r="AU443" s="632">
        <f ca="1">IF(AND($D443="Serviço",AU$12&lt;&gt;0,$H443&gt;0,OR(AUTOEVENTO&lt;&gt;"manual",$M443&lt;&gt;1)),ROUND(OFFSET($P443,0,AU$13),15-13*ORÇAMENTO!$AF$7)/$H443*OFFSET(ORÇAMENTO!$X$15,ROW(AU443)-ROW(AU$15),0),0)</f>
        <v>0</v>
      </c>
      <c r="AV443" s="632">
        <f ca="1">IF(AND($D443="Serviço",AV$12&lt;&gt;0,$H443&gt;0,OR(AUTOEVENTO&lt;&gt;"manual",$M443&lt;&gt;1)),ROUND(OFFSET($P443,0,AV$13),15-13*ORÇAMENTO!$AF$7)/$H443*OFFSET(ORÇAMENTO!$X$15,ROW(AV443)-ROW(AV$15),0),0)</f>
        <v>0</v>
      </c>
      <c r="AW443" s="632">
        <f ca="1">IF(AND($D443="Serviço",AW$12&lt;&gt;0,$H443&gt;0,OR(AUTOEVENTO&lt;&gt;"manual",$M443&lt;&gt;1)),ROUND(OFFSET($P443,0,AW$13),15-13*ORÇAMENTO!$AF$7)/$H443*OFFSET(ORÇAMENTO!$X$15,ROW(AW443)-ROW(AW$15),0),0)</f>
        <v>0</v>
      </c>
      <c r="AX443" s="632">
        <f ca="1">IF(AND($D443="Serviço",AX$12&lt;&gt;0,$H443&gt;0,OR(AUTOEVENTO&lt;&gt;"manual",$M443&lt;&gt;1)),ROUND(OFFSET($P443,0,AX$13),15-13*ORÇAMENTO!$AF$7)/$H443*OFFSET(ORÇAMENTO!$X$15,ROW(AX443)-ROW(AX$15),0),0)</f>
        <v>0</v>
      </c>
      <c r="AY443" s="632">
        <f ca="1">IF(AND($D443="Serviço",AY$12&lt;&gt;0,$H443&gt;0,OR(AUTOEVENTO&lt;&gt;"manual",$M443&lt;&gt;1)),ROUND(OFFSET($P443,0,AY$13),15-13*ORÇAMENTO!$AF$7)/$H443*OFFSET(ORÇAMENTO!$X$15,ROW(AY443)-ROW(AY$15),0),0)</f>
        <v>0</v>
      </c>
      <c r="AZ443" s="632">
        <f ca="1">IF(AND($D443="Serviço",AZ$12&lt;&gt;0,$H443&gt;0,OR(AUTOEVENTO&lt;&gt;"manual",$M443&lt;&gt;1)),ROUND(OFFSET($P443,0,AZ$13),15-13*ORÇAMENTO!$AF$7)/$H443*OFFSET(ORÇAMENTO!$X$15,ROW(AZ443)-ROW(AZ$15),0),0)</f>
        <v>0</v>
      </c>
      <c r="BA443" s="633">
        <f ca="1">IF(AND($D443="Serviço",BA$12&lt;&gt;0,$H443&gt;0,OR(AUTOEVENTO&lt;&gt;"manual",$M443&lt;&gt;1)),ROUND(OFFSET($P443,0,BA$13),15-13*ORÇAMENTO!$AF$7)/$H443*OFFSET(ORÇAMENTO!$X$15,ROW(BA443)-ROW(BA$15),0),0)</f>
        <v>0</v>
      </c>
      <c r="BC443" s="215">
        <f ca="1">IF($D443&lt;&gt;"Serviço",0,IF(AND(AUTOEVENTO="Manual",$M443=1),0,IF(OFFSET(CRONOPLE!$F$14,$M443,BC$13)="",10^12,OFFSET(CRONOPLE!$F$14,$M443,BC$13))))</f>
        <v>1000000000000</v>
      </c>
      <c r="BD443" s="215">
        <f ca="1">IF($D443&lt;&gt;"Serviço",0,IF(AND(AUTOEVENTO="Manual",$M443=1),0,IF(OFFSET(CRONOPLE!$F$14,$M443,BD$13)="",10^12,OFFSET(CRONOPLE!$F$14,$M443,BD$13))))</f>
        <v>1000000000000</v>
      </c>
      <c r="BE443" s="215">
        <f ca="1">IF($D443&lt;&gt;"Serviço",0,IF(AND(AUTOEVENTO="Manual",$M443=1),0,IF(OFFSET(CRONOPLE!$F$14,$M443,BE$13)="",10^12,OFFSET(CRONOPLE!$F$14,$M443,BE$13))))</f>
        <v>1000000000000</v>
      </c>
      <c r="BF443" s="215">
        <f ca="1">IF($D443&lt;&gt;"Serviço",0,IF(AND(AUTOEVENTO="Manual",$M443=1),0,IF(OFFSET(CRONOPLE!$F$14,$M443,BF$13)="",10^12,OFFSET(CRONOPLE!$F$14,$M443,BF$13))))</f>
        <v>1000000000000</v>
      </c>
      <c r="BG443" s="215">
        <f ca="1">IF($D443&lt;&gt;"Serviço",0,IF(AND(AUTOEVENTO="Manual",$M443=1),0,IF(OFFSET(CRONOPLE!$F$14,$M443,BG$13)="",10^12,OFFSET(CRONOPLE!$F$14,$M443,BG$13))))</f>
        <v>1000000000000</v>
      </c>
      <c r="BH443" s="215">
        <f ca="1">IF($D443&lt;&gt;"Serviço",0,IF(AND(AUTOEVENTO="Manual",$M443=1),0,IF(OFFSET(CRONOPLE!$F$14,$M443,BH$13)="",10^12,OFFSET(CRONOPLE!$F$14,$M443,BH$13))))</f>
        <v>1000000000000</v>
      </c>
      <c r="BI443" s="215">
        <f ca="1">IF($D443&lt;&gt;"Serviço",0,IF(AND(AUTOEVENTO="Manual",$M443=1),0,IF(OFFSET(CRONOPLE!$F$14,$M443,BI$13)="",10^12,OFFSET(CRONOPLE!$F$14,$M443,BI$13))))</f>
        <v>1000000000000</v>
      </c>
      <c r="BJ443" s="215">
        <f ca="1">IF($D443&lt;&gt;"Serviço",0,IF(AND(AUTOEVENTO="Manual",$M443=1),0,IF(OFFSET(CRONOPLE!$F$14,$M443,BJ$13)="",10^12,OFFSET(CRONOPLE!$F$14,$M443,BJ$13))))</f>
        <v>1000000000000</v>
      </c>
      <c r="BK443" s="215">
        <f ca="1">IF($D443&lt;&gt;"Serviço",0,IF(AND(AUTOEVENTO="Manual",$M443=1),0,IF(OFFSET(CRONOPLE!$F$14,$M443,BK$13)="",10^12,OFFSET(CRONOPLE!$F$14,$M443,BK$13))))</f>
        <v>1000000000000</v>
      </c>
      <c r="BL443" s="215">
        <f ca="1">IF($D443&lt;&gt;"Serviço",0,IF(AND(AUTOEVENTO="Manual",$M443=1),0,IF(OFFSET(CRONOPLE!$F$14,$M443,BL$13)="",10^12,OFFSET(CRONOPLE!$F$14,$M443,BL$13))))</f>
        <v>1000000000000</v>
      </c>
      <c r="BM443" s="215">
        <f ca="1">IF($D443&lt;&gt;"Serviço",0,IF(AND(AUTOEVENTO="Manual",$M443=1),0,IF(OFFSET(CRONOPLE!$F$14,$M443,BM$13)="",10^12,OFFSET(CRONOPLE!$F$14,$M443,BM$13))))</f>
        <v>1000000000000</v>
      </c>
      <c r="BN443" s="215">
        <f ca="1">IF($D443&lt;&gt;"Serviço",0,IF(AND(AUTOEVENTO="Manual",$M443=1),0,IF(OFFSET(CRONOPLE!$F$14,$M443,BN$13)="",10^12,OFFSET(CRONOPLE!$F$14,$M443,BN$13))))</f>
        <v>1000000000000</v>
      </c>
      <c r="BO443" s="215">
        <f ca="1">IF($D443&lt;&gt;"Serviço",0,IF(AND(AUTOEVENTO="Manual",$M443=1),0,IF(OFFSET(CRONOPLE!$F$14,$M443,BO$13)="",10^12,OFFSET(CRONOPLE!$F$14,$M443,BO$13))))</f>
        <v>1000000000000</v>
      </c>
      <c r="BP443" s="215">
        <f ca="1">IF($D443&lt;&gt;"Serviço",0,IF(AND(AUTOEVENTO="Manual",$M443=1),0,IF(OFFSET(CRONOPLE!$F$14,$M443,BP$13)="",10^12,OFFSET(CRONOPLE!$F$14,$M443,BP$13))))</f>
        <v>1000000000000</v>
      </c>
      <c r="BQ443" s="215">
        <f ca="1">IF($D443&lt;&gt;"Serviço",0,IF(AND(AUTOEVENTO="Manual",$M443=1),0,IF(OFFSET(CRONOPLE!$F$14,$M443,BQ$13)="",10^12,OFFSET(CRONOPLE!$F$14,$M443,BQ$13))))</f>
        <v>1000000000000</v>
      </c>
      <c r="BR443" s="215">
        <f ca="1">IF($D443&lt;&gt;"Serviço",0,IF(AND(AUTOEVENTO="Manual",$M443=1),0,IF(OFFSET(CRONOPLE!$F$14,$M443,BR$13)="",10^12,OFFSET(CRONOPLE!$F$14,$M443,BR$13))))</f>
        <v>1000000000000</v>
      </c>
      <c r="BS443" s="215">
        <f ca="1">IF($D443&lt;&gt;"Serviço",0,IF(AND(AUTOEVENTO="Manual",$M443=1),0,IF(OFFSET(CRONOPLE!$F$14,$M443,BS$13)="",10^12,OFFSET(CRONOPLE!$F$14,$M443,BS$13))))</f>
        <v>1000000000000</v>
      </c>
      <c r="BT443" s="215">
        <f ca="1">IF($D443&lt;&gt;"Serviço",0,IF(AND(AUTOEVENTO="Manual",$M443=1),0,IF(OFFSET(CRONOPLE!$F$14,$M443,BT$13)="",10^12,OFFSET(CRONOPLE!$F$14,$M443,BT$13))))</f>
        <v>1000000000000</v>
      </c>
      <c r="BV443" s="216">
        <f ca="1">IF($D443&lt;&gt;"Serviço",0,IF(OR(AND(AUTOEVENTO="Manual",$M443=1),$M443&gt;(ROW(PLE.lastrow)-ROW(PLE.firstrow))),0,IF(OFFSET(PLE!$G$14,$M443,BV$13)="",10^12,OFFSET(PLE!$G$14,$M443,BV$13))))</f>
        <v>1000000000000</v>
      </c>
      <c r="BW443" s="216">
        <f ca="1">IF($D443&lt;&gt;"Serviço",0,IF(OR(AND(AUTOEVENTO="Manual",$M443=1),$M443&gt;(ROW(PLE.lastrow)-ROW(PLE.firstrow))),0,IF(OFFSET(PLE!$G$14,$M443,BW$13)="",10^12,OFFSET(PLE!$G$14,$M443,BW$13))))</f>
        <v>1000000000000</v>
      </c>
      <c r="BX443" s="216">
        <f ca="1">IF($D443&lt;&gt;"Serviço",0,IF(OR(AND(AUTOEVENTO="Manual",$M443=1),$M443&gt;(ROW(PLE.lastrow)-ROW(PLE.firstrow))),0,IF(OFFSET(PLE!$G$14,$M443,BX$13)="",10^12,OFFSET(PLE!$G$14,$M443,BX$13))))</f>
        <v>1000000000000</v>
      </c>
      <c r="BY443" s="216">
        <f ca="1">IF($D443&lt;&gt;"Serviço",0,IF(OR(AND(AUTOEVENTO="Manual",$M443=1),$M443&gt;(ROW(PLE.lastrow)-ROW(PLE.firstrow))),0,IF(OFFSET(PLE!$G$14,$M443,BY$13)="",10^12,OFFSET(PLE!$G$14,$M443,BY$13))))</f>
        <v>1000000000000</v>
      </c>
      <c r="BZ443" s="216">
        <f ca="1">IF($D443&lt;&gt;"Serviço",0,IF(OR(AND(AUTOEVENTO="Manual",$M443=1),$M443&gt;(ROW(PLE.lastrow)-ROW(PLE.firstrow))),0,IF(OFFSET(PLE!$G$14,$M443,BZ$13)="",10^12,OFFSET(PLE!$G$14,$M443,BZ$13))))</f>
        <v>1000000000000</v>
      </c>
      <c r="CA443" s="216">
        <f ca="1">IF($D443&lt;&gt;"Serviço",0,IF(OR(AND(AUTOEVENTO="Manual",$M443=1),$M443&gt;(ROW(PLE.lastrow)-ROW(PLE.firstrow))),0,IF(OFFSET(PLE!$G$14,$M443,CA$13)="",10^12,OFFSET(PLE!$G$14,$M443,CA$13))))</f>
        <v>1000000000000</v>
      </c>
      <c r="CB443" s="216">
        <f ca="1">IF($D443&lt;&gt;"Serviço",0,IF(OR(AND(AUTOEVENTO="Manual",$M443=1),$M443&gt;(ROW(PLE.lastrow)-ROW(PLE.firstrow))),0,IF(OFFSET(PLE!$G$14,$M443,CB$13)="",10^12,OFFSET(PLE!$G$14,$M443,CB$13))))</f>
        <v>1000000000000</v>
      </c>
      <c r="CC443" s="216">
        <f ca="1">IF($D443&lt;&gt;"Serviço",0,IF(OR(AND(AUTOEVENTO="Manual",$M443=1),$M443&gt;(ROW(PLE.lastrow)-ROW(PLE.firstrow))),0,IF(OFFSET(PLE!$G$14,$M443,CC$13)="",10^12,OFFSET(PLE!$G$14,$M443,CC$13))))</f>
        <v>1000000000000</v>
      </c>
      <c r="CD443" s="216">
        <f ca="1">IF($D443&lt;&gt;"Serviço",0,IF(OR(AND(AUTOEVENTO="Manual",$M443=1),$M443&gt;(ROW(PLE.lastrow)-ROW(PLE.firstrow))),0,IF(OFFSET(PLE!$G$14,$M443,CD$13)="",10^12,OFFSET(PLE!$G$14,$M443,CD$13))))</f>
        <v>1000000000000</v>
      </c>
      <c r="CE443" s="216">
        <f ca="1">IF($D443&lt;&gt;"Serviço",0,IF(OR(AND(AUTOEVENTO="Manual",$M443=1),$M443&gt;(ROW(PLE.lastrow)-ROW(PLE.firstrow))),0,IF(OFFSET(PLE!$G$14,$M443,CE$13)="",10^12,OFFSET(PLE!$G$14,$M443,CE$13))))</f>
        <v>1000000000000</v>
      </c>
      <c r="CF443" s="216">
        <f ca="1">IF($D443&lt;&gt;"Serviço",0,IF(OR(AND(AUTOEVENTO="Manual",$M443=1),$M443&gt;(ROW(PLE.lastrow)-ROW(PLE.firstrow))),0,IF(OFFSET(PLE!$G$14,$M443,CF$13)="",10^12,OFFSET(PLE!$G$14,$M443,CF$13))))</f>
        <v>1000000000000</v>
      </c>
      <c r="CG443" s="216">
        <f ca="1">IF($D443&lt;&gt;"Serviço",0,IF(OR(AND(AUTOEVENTO="Manual",$M443=1),$M443&gt;(ROW(PLE.lastrow)-ROW(PLE.firstrow))),0,IF(OFFSET(PLE!$G$14,$M443,CG$13)="",10^12,OFFSET(PLE!$G$14,$M443,CG$13))))</f>
        <v>1000000000000</v>
      </c>
      <c r="CH443" s="216">
        <f ca="1">IF($D443&lt;&gt;"Serviço",0,IF(OR(AND(AUTOEVENTO="Manual",$M443=1),$M443&gt;(ROW(PLE.lastrow)-ROW(PLE.firstrow))),0,IF(OFFSET(PLE!$G$14,$M443,CH$13)="",10^12,OFFSET(PLE!$G$14,$M443,CH$13))))</f>
        <v>1000000000000</v>
      </c>
      <c r="CI443" s="216">
        <f ca="1">IF($D443&lt;&gt;"Serviço",0,IF(OR(AND(AUTOEVENTO="Manual",$M443=1),$M443&gt;(ROW(PLE.lastrow)-ROW(PLE.firstrow))),0,IF(OFFSET(PLE!$G$14,$M443,CI$13)="",10^12,OFFSET(PLE!$G$14,$M443,CI$13))))</f>
        <v>1000000000000</v>
      </c>
      <c r="CJ443" s="216">
        <f ca="1">IF($D443&lt;&gt;"Serviço",0,IF(OR(AND(AUTOEVENTO="Manual",$M443=1),$M443&gt;(ROW(PLE.lastrow)-ROW(PLE.firstrow))),0,IF(OFFSET(PLE!$G$14,$M443,CJ$13)="",10^12,OFFSET(PLE!$G$14,$M443,CJ$13))))</f>
        <v>1000000000000</v>
      </c>
      <c r="CK443" s="216">
        <f ca="1">IF($D443&lt;&gt;"Serviço",0,IF(OR(AND(AUTOEVENTO="Manual",$M443=1),$M443&gt;(ROW(PLE.lastrow)-ROW(PLE.firstrow))),0,IF(OFFSET(PLE!$G$14,$M443,CK$13)="",10^12,OFFSET(PLE!$G$14,$M443,CK$13))))</f>
        <v>1000000000000</v>
      </c>
      <c r="CL443" s="216">
        <f ca="1">IF($D443&lt;&gt;"Serviço",0,IF(OR(AND(AUTOEVENTO="Manual",$M443=1),$M443&gt;(ROW(PLE.lastrow)-ROW(PLE.firstrow))),0,IF(OFFSET(PLE!$G$14,$M443,CL$13)="",10^12,OFFSET(PLE!$G$14,$M443,CL$13))))</f>
        <v>1000000000000</v>
      </c>
      <c r="CM443" s="216">
        <f ca="1">IF($D443&lt;&gt;"Serviço",0,IF(OR(AND(AUTOEVENTO="Manual",$M443=1),$M443&gt;(ROW(PLE.lastrow)-ROW(PLE.firstrow))),0,IF(OFFSET(PLE!$G$14,$M443,CM$13)="",10^12,OFFSET(PLE!$G$14,$M443,CM$13))))</f>
        <v>1000000000000</v>
      </c>
    </row>
    <row r="444" spans="1:91" ht="13.2" x14ac:dyDescent="0.25">
      <c r="A444" s="9">
        <f t="shared" ca="1" si="15"/>
        <v>0</v>
      </c>
      <c r="B444" s="9" t="str">
        <f ca="1">OFFSET(ORÇAMENTO!C$15,ROW(B444)-ROW(B$15),0)</f>
        <v>S</v>
      </c>
      <c r="C444" s="9" t="str">
        <f ca="1">OFFSET(ORÇAMENTO!L$15,ROW(C444)-ROW(C$15),0)</f>
        <v/>
      </c>
      <c r="D444" s="145" t="str">
        <f ca="1">OFFSET(ORÇAMENTO!N$15,ROW(D444)-ROW(D$15),0)</f>
        <v>Serviço</v>
      </c>
      <c r="E444" s="205" t="str">
        <f ca="1">OFFSET(ORÇAMENTO!O$15,ROW(E444)-ROW(E$15),0)</f>
        <v>-</v>
      </c>
      <c r="F444" s="206" t="str">
        <f ca="1">OFFSET(ORÇAMENTO!R$15,ROW(F444)-ROW(F$15),0)</f>
        <v>(abra o arquivo 'Referência 05-2024.xls)</v>
      </c>
      <c r="G444" s="207" t="str">
        <f ca="1">IF($D444&lt;&gt;"Serviço","",OFFSET(ORÇAMENTO!S$15,ROW(G444)-ROW(G$15),0))</f>
        <v>-</v>
      </c>
      <c r="H444" s="151">
        <f ca="1">IF($D444&lt;&gt;"Serviço",0,IF(ACOMPANHAMENTO="BM",ROUND(OFFSET(ORÇAMENTO!AJ$15,ROW(H444)-ROW(H$15),0),15-13*ORÇAMENTO!$AF$7),SUMPRODUCT(($Q$12:$AI$12&lt;&gt;"")*ROUND($Q444:$AI444,15-13*ORÇAMENTO!$AF$7))))</f>
        <v>5</v>
      </c>
      <c r="I444" s="650"/>
      <c r="K444" s="208"/>
      <c r="L444" s="209" t="s">
        <v>257</v>
      </c>
      <c r="M444" s="210">
        <f ca="1">IF($D444&lt;&gt;"Serviço","",IF(AUTOEVENTO="manual",$A444,IF(ISERROR(MATCH($A444,$A$15:OFFSET($A444,-1,0),0)),MAX($M$15:OFFSET(M444,-1,0))+1,INDEX($M$15:OFFSET(M444,-1,0),MATCH($A444,$A$15:OFFSET($A444,-1,0),0)))))</f>
        <v>0</v>
      </c>
      <c r="N444" s="211" t="str">
        <f ca="1">IF($D444&lt;&gt;"Serviço","",IF(AUTOEVENTO="Manual",IF($A444=0,"&lt;-- defina o número do agrupador",OFFSET(EVENTOS!$D$14,$A444,0)),OFFSET($F$15,$A444,0)))</f>
        <v>&lt;-- defina o número do agrupador</v>
      </c>
      <c r="O444" s="212"/>
      <c r="Q444" s="212"/>
      <c r="R444" s="213"/>
      <c r="S444" s="213"/>
      <c r="T444" s="213"/>
      <c r="U444" s="213"/>
      <c r="V444" s="213"/>
      <c r="W444" s="213"/>
      <c r="X444" s="213"/>
      <c r="Y444" s="213"/>
      <c r="Z444" s="214"/>
      <c r="AA444" s="213"/>
      <c r="AB444" s="213"/>
      <c r="AC444" s="213"/>
      <c r="AD444" s="213"/>
      <c r="AE444" s="213"/>
      <c r="AF444" s="213"/>
      <c r="AG444" s="213"/>
      <c r="AH444" s="214"/>
      <c r="AJ444" s="631">
        <f ca="1">IF(AND($D444="Serviço",AJ$12&lt;&gt;0,$H444&gt;0,OR(AUTOEVENTO&lt;&gt;"manual",$M444&lt;&gt;1)),ROUND(OFFSET($P444,0,AJ$13),15-13*ORÇAMENTO!$AF$7)/$H444*OFFSET(ORÇAMENTO!$X$15,ROW(AJ444)-ROW(AJ$15),0),0)</f>
        <v>0</v>
      </c>
      <c r="AK444" s="632">
        <f ca="1">IF(AND($D444="Serviço",AK$12&lt;&gt;0,$H444&gt;0,OR(AUTOEVENTO&lt;&gt;"manual",$M444&lt;&gt;1)),ROUND(OFFSET($P444,0,AK$13),15-13*ORÇAMENTO!$AF$7)/$H444*OFFSET(ORÇAMENTO!$X$15,ROW(AK444)-ROW(AK$15),0),0)</f>
        <v>0</v>
      </c>
      <c r="AL444" s="632">
        <f ca="1">IF(AND($D444="Serviço",AL$12&lt;&gt;0,$H444&gt;0,OR(AUTOEVENTO&lt;&gt;"manual",$M444&lt;&gt;1)),ROUND(OFFSET($P444,0,AL$13),15-13*ORÇAMENTO!$AF$7)/$H444*OFFSET(ORÇAMENTO!$X$15,ROW(AL444)-ROW(AL$15),0),0)</f>
        <v>0</v>
      </c>
      <c r="AM444" s="632">
        <f ca="1">IF(AND($D444="Serviço",AM$12&lt;&gt;0,$H444&gt;0,OR(AUTOEVENTO&lt;&gt;"manual",$M444&lt;&gt;1)),ROUND(OFFSET($P444,0,AM$13),15-13*ORÇAMENTO!$AF$7)/$H444*OFFSET(ORÇAMENTO!$X$15,ROW(AM444)-ROW(AM$15),0),0)</f>
        <v>0</v>
      </c>
      <c r="AN444" s="632">
        <f ca="1">IF(AND($D444="Serviço",AN$12&lt;&gt;0,$H444&gt;0,OR(AUTOEVENTO&lt;&gt;"manual",$M444&lt;&gt;1)),ROUND(OFFSET($P444,0,AN$13),15-13*ORÇAMENTO!$AF$7)/$H444*OFFSET(ORÇAMENTO!$X$15,ROW(AN444)-ROW(AN$15),0),0)</f>
        <v>0</v>
      </c>
      <c r="AO444" s="632">
        <f ca="1">IF(AND($D444="Serviço",AO$12&lt;&gt;0,$H444&gt;0,OR(AUTOEVENTO&lt;&gt;"manual",$M444&lt;&gt;1)),ROUND(OFFSET($P444,0,AO$13),15-13*ORÇAMENTO!$AF$7)/$H444*OFFSET(ORÇAMENTO!$X$15,ROW(AO444)-ROW(AO$15),0),0)</f>
        <v>0</v>
      </c>
      <c r="AP444" s="632">
        <f ca="1">IF(AND($D444="Serviço",AP$12&lt;&gt;0,$H444&gt;0,OR(AUTOEVENTO&lt;&gt;"manual",$M444&lt;&gt;1)),ROUND(OFFSET($P444,0,AP$13),15-13*ORÇAMENTO!$AF$7)/$H444*OFFSET(ORÇAMENTO!$X$15,ROW(AP444)-ROW(AP$15),0),0)</f>
        <v>0</v>
      </c>
      <c r="AQ444" s="632">
        <f ca="1">IF(AND($D444="Serviço",AQ$12&lt;&gt;0,$H444&gt;0,OR(AUTOEVENTO&lt;&gt;"manual",$M444&lt;&gt;1)),ROUND(OFFSET($P444,0,AQ$13),15-13*ORÇAMENTO!$AF$7)/$H444*OFFSET(ORÇAMENTO!$X$15,ROW(AQ444)-ROW(AQ$15),0),0)</f>
        <v>0</v>
      </c>
      <c r="AR444" s="632">
        <f ca="1">IF(AND($D444="Serviço",AR$12&lt;&gt;0,$H444&gt;0,OR(AUTOEVENTO&lt;&gt;"manual",$M444&lt;&gt;1)),ROUND(OFFSET($P444,0,AR$13),15-13*ORÇAMENTO!$AF$7)/$H444*OFFSET(ORÇAMENTO!$X$15,ROW(AR444)-ROW(AR$15),0),0)</f>
        <v>0</v>
      </c>
      <c r="AS444" s="633">
        <f ca="1">IF(AND($D444="Serviço",AS$12&lt;&gt;0,$H444&gt;0,OR(AUTOEVENTO&lt;&gt;"manual",$M444&lt;&gt;1)),ROUND(OFFSET($P444,0,AS$13),15-13*ORÇAMENTO!$AF$7)/$H444*OFFSET(ORÇAMENTO!$X$15,ROW(AS444)-ROW(AS$15),0),0)</f>
        <v>0</v>
      </c>
      <c r="AT444" s="632">
        <f ca="1">IF(AND($D444="Serviço",AT$12&lt;&gt;0,$H444&gt;0,OR(AUTOEVENTO&lt;&gt;"manual",$M444&lt;&gt;1)),ROUND(OFFSET($P444,0,AT$13),15-13*ORÇAMENTO!$AF$7)/$H444*OFFSET(ORÇAMENTO!$X$15,ROW(AT444)-ROW(AT$15),0),0)</f>
        <v>0</v>
      </c>
      <c r="AU444" s="632">
        <f ca="1">IF(AND($D444="Serviço",AU$12&lt;&gt;0,$H444&gt;0,OR(AUTOEVENTO&lt;&gt;"manual",$M444&lt;&gt;1)),ROUND(OFFSET($P444,0,AU$13),15-13*ORÇAMENTO!$AF$7)/$H444*OFFSET(ORÇAMENTO!$X$15,ROW(AU444)-ROW(AU$15),0),0)</f>
        <v>0</v>
      </c>
      <c r="AV444" s="632">
        <f ca="1">IF(AND($D444="Serviço",AV$12&lt;&gt;0,$H444&gt;0,OR(AUTOEVENTO&lt;&gt;"manual",$M444&lt;&gt;1)),ROUND(OFFSET($P444,0,AV$13),15-13*ORÇAMENTO!$AF$7)/$H444*OFFSET(ORÇAMENTO!$X$15,ROW(AV444)-ROW(AV$15),0),0)</f>
        <v>0</v>
      </c>
      <c r="AW444" s="632">
        <f ca="1">IF(AND($D444="Serviço",AW$12&lt;&gt;0,$H444&gt;0,OR(AUTOEVENTO&lt;&gt;"manual",$M444&lt;&gt;1)),ROUND(OFFSET($P444,0,AW$13),15-13*ORÇAMENTO!$AF$7)/$H444*OFFSET(ORÇAMENTO!$X$15,ROW(AW444)-ROW(AW$15),0),0)</f>
        <v>0</v>
      </c>
      <c r="AX444" s="632">
        <f ca="1">IF(AND($D444="Serviço",AX$12&lt;&gt;0,$H444&gt;0,OR(AUTOEVENTO&lt;&gt;"manual",$M444&lt;&gt;1)),ROUND(OFFSET($P444,0,AX$13),15-13*ORÇAMENTO!$AF$7)/$H444*OFFSET(ORÇAMENTO!$X$15,ROW(AX444)-ROW(AX$15),0),0)</f>
        <v>0</v>
      </c>
      <c r="AY444" s="632">
        <f ca="1">IF(AND($D444="Serviço",AY$12&lt;&gt;0,$H444&gt;0,OR(AUTOEVENTO&lt;&gt;"manual",$M444&lt;&gt;1)),ROUND(OFFSET($P444,0,AY$13),15-13*ORÇAMENTO!$AF$7)/$H444*OFFSET(ORÇAMENTO!$X$15,ROW(AY444)-ROW(AY$15),0),0)</f>
        <v>0</v>
      </c>
      <c r="AZ444" s="632">
        <f ca="1">IF(AND($D444="Serviço",AZ$12&lt;&gt;0,$H444&gt;0,OR(AUTOEVENTO&lt;&gt;"manual",$M444&lt;&gt;1)),ROUND(OFFSET($P444,0,AZ$13),15-13*ORÇAMENTO!$AF$7)/$H444*OFFSET(ORÇAMENTO!$X$15,ROW(AZ444)-ROW(AZ$15),0),0)</f>
        <v>0</v>
      </c>
      <c r="BA444" s="633">
        <f ca="1">IF(AND($D444="Serviço",BA$12&lt;&gt;0,$H444&gt;0,OR(AUTOEVENTO&lt;&gt;"manual",$M444&lt;&gt;1)),ROUND(OFFSET($P444,0,BA$13),15-13*ORÇAMENTO!$AF$7)/$H444*OFFSET(ORÇAMENTO!$X$15,ROW(BA444)-ROW(BA$15),0),0)</f>
        <v>0</v>
      </c>
      <c r="BC444" s="215">
        <f ca="1">IF($D444&lt;&gt;"Serviço",0,IF(AND(AUTOEVENTO="Manual",$M444=1),0,IF(OFFSET(CRONOPLE!$F$14,$M444,BC$13)="",10^12,OFFSET(CRONOPLE!$F$14,$M444,BC$13))))</f>
        <v>1000000000000</v>
      </c>
      <c r="BD444" s="215">
        <f ca="1">IF($D444&lt;&gt;"Serviço",0,IF(AND(AUTOEVENTO="Manual",$M444=1),0,IF(OFFSET(CRONOPLE!$F$14,$M444,BD$13)="",10^12,OFFSET(CRONOPLE!$F$14,$M444,BD$13))))</f>
        <v>1000000000000</v>
      </c>
      <c r="BE444" s="215">
        <f ca="1">IF($D444&lt;&gt;"Serviço",0,IF(AND(AUTOEVENTO="Manual",$M444=1),0,IF(OFFSET(CRONOPLE!$F$14,$M444,BE$13)="",10^12,OFFSET(CRONOPLE!$F$14,$M444,BE$13))))</f>
        <v>1000000000000</v>
      </c>
      <c r="BF444" s="215">
        <f ca="1">IF($D444&lt;&gt;"Serviço",0,IF(AND(AUTOEVENTO="Manual",$M444=1),0,IF(OFFSET(CRONOPLE!$F$14,$M444,BF$13)="",10^12,OFFSET(CRONOPLE!$F$14,$M444,BF$13))))</f>
        <v>1000000000000</v>
      </c>
      <c r="BG444" s="215">
        <f ca="1">IF($D444&lt;&gt;"Serviço",0,IF(AND(AUTOEVENTO="Manual",$M444=1),0,IF(OFFSET(CRONOPLE!$F$14,$M444,BG$13)="",10^12,OFFSET(CRONOPLE!$F$14,$M444,BG$13))))</f>
        <v>1000000000000</v>
      </c>
      <c r="BH444" s="215">
        <f ca="1">IF($D444&lt;&gt;"Serviço",0,IF(AND(AUTOEVENTO="Manual",$M444=1),0,IF(OFFSET(CRONOPLE!$F$14,$M444,BH$13)="",10^12,OFFSET(CRONOPLE!$F$14,$M444,BH$13))))</f>
        <v>1000000000000</v>
      </c>
      <c r="BI444" s="215">
        <f ca="1">IF($D444&lt;&gt;"Serviço",0,IF(AND(AUTOEVENTO="Manual",$M444=1),0,IF(OFFSET(CRONOPLE!$F$14,$M444,BI$13)="",10^12,OFFSET(CRONOPLE!$F$14,$M444,BI$13))))</f>
        <v>1000000000000</v>
      </c>
      <c r="BJ444" s="215">
        <f ca="1">IF($D444&lt;&gt;"Serviço",0,IF(AND(AUTOEVENTO="Manual",$M444=1),0,IF(OFFSET(CRONOPLE!$F$14,$M444,BJ$13)="",10^12,OFFSET(CRONOPLE!$F$14,$M444,BJ$13))))</f>
        <v>1000000000000</v>
      </c>
      <c r="BK444" s="215">
        <f ca="1">IF($D444&lt;&gt;"Serviço",0,IF(AND(AUTOEVENTO="Manual",$M444=1),0,IF(OFFSET(CRONOPLE!$F$14,$M444,BK$13)="",10^12,OFFSET(CRONOPLE!$F$14,$M444,BK$13))))</f>
        <v>1000000000000</v>
      </c>
      <c r="BL444" s="215">
        <f ca="1">IF($D444&lt;&gt;"Serviço",0,IF(AND(AUTOEVENTO="Manual",$M444=1),0,IF(OFFSET(CRONOPLE!$F$14,$M444,BL$13)="",10^12,OFFSET(CRONOPLE!$F$14,$M444,BL$13))))</f>
        <v>1000000000000</v>
      </c>
      <c r="BM444" s="215">
        <f ca="1">IF($D444&lt;&gt;"Serviço",0,IF(AND(AUTOEVENTO="Manual",$M444=1),0,IF(OFFSET(CRONOPLE!$F$14,$M444,BM$13)="",10^12,OFFSET(CRONOPLE!$F$14,$M444,BM$13))))</f>
        <v>1000000000000</v>
      </c>
      <c r="BN444" s="215">
        <f ca="1">IF($D444&lt;&gt;"Serviço",0,IF(AND(AUTOEVENTO="Manual",$M444=1),0,IF(OFFSET(CRONOPLE!$F$14,$M444,BN$13)="",10^12,OFFSET(CRONOPLE!$F$14,$M444,BN$13))))</f>
        <v>1000000000000</v>
      </c>
      <c r="BO444" s="215">
        <f ca="1">IF($D444&lt;&gt;"Serviço",0,IF(AND(AUTOEVENTO="Manual",$M444=1),0,IF(OFFSET(CRONOPLE!$F$14,$M444,BO$13)="",10^12,OFFSET(CRONOPLE!$F$14,$M444,BO$13))))</f>
        <v>1000000000000</v>
      </c>
      <c r="BP444" s="215">
        <f ca="1">IF($D444&lt;&gt;"Serviço",0,IF(AND(AUTOEVENTO="Manual",$M444=1),0,IF(OFFSET(CRONOPLE!$F$14,$M444,BP$13)="",10^12,OFFSET(CRONOPLE!$F$14,$M444,BP$13))))</f>
        <v>1000000000000</v>
      </c>
      <c r="BQ444" s="215">
        <f ca="1">IF($D444&lt;&gt;"Serviço",0,IF(AND(AUTOEVENTO="Manual",$M444=1),0,IF(OFFSET(CRONOPLE!$F$14,$M444,BQ$13)="",10^12,OFFSET(CRONOPLE!$F$14,$M444,BQ$13))))</f>
        <v>1000000000000</v>
      </c>
      <c r="BR444" s="215">
        <f ca="1">IF($D444&lt;&gt;"Serviço",0,IF(AND(AUTOEVENTO="Manual",$M444=1),0,IF(OFFSET(CRONOPLE!$F$14,$M444,BR$13)="",10^12,OFFSET(CRONOPLE!$F$14,$M444,BR$13))))</f>
        <v>1000000000000</v>
      </c>
      <c r="BS444" s="215">
        <f ca="1">IF($D444&lt;&gt;"Serviço",0,IF(AND(AUTOEVENTO="Manual",$M444=1),0,IF(OFFSET(CRONOPLE!$F$14,$M444,BS$13)="",10^12,OFFSET(CRONOPLE!$F$14,$M444,BS$13))))</f>
        <v>1000000000000</v>
      </c>
      <c r="BT444" s="215">
        <f ca="1">IF($D444&lt;&gt;"Serviço",0,IF(AND(AUTOEVENTO="Manual",$M444=1),0,IF(OFFSET(CRONOPLE!$F$14,$M444,BT$13)="",10^12,OFFSET(CRONOPLE!$F$14,$M444,BT$13))))</f>
        <v>1000000000000</v>
      </c>
      <c r="BV444" s="216">
        <f ca="1">IF($D444&lt;&gt;"Serviço",0,IF(OR(AND(AUTOEVENTO="Manual",$M444=1),$M444&gt;(ROW(PLE.lastrow)-ROW(PLE.firstrow))),0,IF(OFFSET(PLE!$G$14,$M444,BV$13)="",10^12,OFFSET(PLE!$G$14,$M444,BV$13))))</f>
        <v>1000000000000</v>
      </c>
      <c r="BW444" s="216">
        <f ca="1">IF($D444&lt;&gt;"Serviço",0,IF(OR(AND(AUTOEVENTO="Manual",$M444=1),$M444&gt;(ROW(PLE.lastrow)-ROW(PLE.firstrow))),0,IF(OFFSET(PLE!$G$14,$M444,BW$13)="",10^12,OFFSET(PLE!$G$14,$M444,BW$13))))</f>
        <v>1000000000000</v>
      </c>
      <c r="BX444" s="216">
        <f ca="1">IF($D444&lt;&gt;"Serviço",0,IF(OR(AND(AUTOEVENTO="Manual",$M444=1),$M444&gt;(ROW(PLE.lastrow)-ROW(PLE.firstrow))),0,IF(OFFSET(PLE!$G$14,$M444,BX$13)="",10^12,OFFSET(PLE!$G$14,$M444,BX$13))))</f>
        <v>1000000000000</v>
      </c>
      <c r="BY444" s="216">
        <f ca="1">IF($D444&lt;&gt;"Serviço",0,IF(OR(AND(AUTOEVENTO="Manual",$M444=1),$M444&gt;(ROW(PLE.lastrow)-ROW(PLE.firstrow))),0,IF(OFFSET(PLE!$G$14,$M444,BY$13)="",10^12,OFFSET(PLE!$G$14,$M444,BY$13))))</f>
        <v>1000000000000</v>
      </c>
      <c r="BZ444" s="216">
        <f ca="1">IF($D444&lt;&gt;"Serviço",0,IF(OR(AND(AUTOEVENTO="Manual",$M444=1),$M444&gt;(ROW(PLE.lastrow)-ROW(PLE.firstrow))),0,IF(OFFSET(PLE!$G$14,$M444,BZ$13)="",10^12,OFFSET(PLE!$G$14,$M444,BZ$13))))</f>
        <v>1000000000000</v>
      </c>
      <c r="CA444" s="216">
        <f ca="1">IF($D444&lt;&gt;"Serviço",0,IF(OR(AND(AUTOEVENTO="Manual",$M444=1),$M444&gt;(ROW(PLE.lastrow)-ROW(PLE.firstrow))),0,IF(OFFSET(PLE!$G$14,$M444,CA$13)="",10^12,OFFSET(PLE!$G$14,$M444,CA$13))))</f>
        <v>1000000000000</v>
      </c>
      <c r="CB444" s="216">
        <f ca="1">IF($D444&lt;&gt;"Serviço",0,IF(OR(AND(AUTOEVENTO="Manual",$M444=1),$M444&gt;(ROW(PLE.lastrow)-ROW(PLE.firstrow))),0,IF(OFFSET(PLE!$G$14,$M444,CB$13)="",10^12,OFFSET(PLE!$G$14,$M444,CB$13))))</f>
        <v>1000000000000</v>
      </c>
      <c r="CC444" s="216">
        <f ca="1">IF($D444&lt;&gt;"Serviço",0,IF(OR(AND(AUTOEVENTO="Manual",$M444=1),$M444&gt;(ROW(PLE.lastrow)-ROW(PLE.firstrow))),0,IF(OFFSET(PLE!$G$14,$M444,CC$13)="",10^12,OFFSET(PLE!$G$14,$M444,CC$13))))</f>
        <v>1000000000000</v>
      </c>
      <c r="CD444" s="216">
        <f ca="1">IF($D444&lt;&gt;"Serviço",0,IF(OR(AND(AUTOEVENTO="Manual",$M444=1),$M444&gt;(ROW(PLE.lastrow)-ROW(PLE.firstrow))),0,IF(OFFSET(PLE!$G$14,$M444,CD$13)="",10^12,OFFSET(PLE!$G$14,$M444,CD$13))))</f>
        <v>1000000000000</v>
      </c>
      <c r="CE444" s="216">
        <f ca="1">IF($D444&lt;&gt;"Serviço",0,IF(OR(AND(AUTOEVENTO="Manual",$M444=1),$M444&gt;(ROW(PLE.lastrow)-ROW(PLE.firstrow))),0,IF(OFFSET(PLE!$G$14,$M444,CE$13)="",10^12,OFFSET(PLE!$G$14,$M444,CE$13))))</f>
        <v>1000000000000</v>
      </c>
      <c r="CF444" s="216">
        <f ca="1">IF($D444&lt;&gt;"Serviço",0,IF(OR(AND(AUTOEVENTO="Manual",$M444=1),$M444&gt;(ROW(PLE.lastrow)-ROW(PLE.firstrow))),0,IF(OFFSET(PLE!$G$14,$M444,CF$13)="",10^12,OFFSET(PLE!$G$14,$M444,CF$13))))</f>
        <v>1000000000000</v>
      </c>
      <c r="CG444" s="216">
        <f ca="1">IF($D444&lt;&gt;"Serviço",0,IF(OR(AND(AUTOEVENTO="Manual",$M444=1),$M444&gt;(ROW(PLE.lastrow)-ROW(PLE.firstrow))),0,IF(OFFSET(PLE!$G$14,$M444,CG$13)="",10^12,OFFSET(PLE!$G$14,$M444,CG$13))))</f>
        <v>1000000000000</v>
      </c>
      <c r="CH444" s="216">
        <f ca="1">IF($D444&lt;&gt;"Serviço",0,IF(OR(AND(AUTOEVENTO="Manual",$M444=1),$M444&gt;(ROW(PLE.lastrow)-ROW(PLE.firstrow))),0,IF(OFFSET(PLE!$G$14,$M444,CH$13)="",10^12,OFFSET(PLE!$G$14,$M444,CH$13))))</f>
        <v>1000000000000</v>
      </c>
      <c r="CI444" s="216">
        <f ca="1">IF($D444&lt;&gt;"Serviço",0,IF(OR(AND(AUTOEVENTO="Manual",$M444=1),$M444&gt;(ROW(PLE.lastrow)-ROW(PLE.firstrow))),0,IF(OFFSET(PLE!$G$14,$M444,CI$13)="",10^12,OFFSET(PLE!$G$14,$M444,CI$13))))</f>
        <v>1000000000000</v>
      </c>
      <c r="CJ444" s="216">
        <f ca="1">IF($D444&lt;&gt;"Serviço",0,IF(OR(AND(AUTOEVENTO="Manual",$M444=1),$M444&gt;(ROW(PLE.lastrow)-ROW(PLE.firstrow))),0,IF(OFFSET(PLE!$G$14,$M444,CJ$13)="",10^12,OFFSET(PLE!$G$14,$M444,CJ$13))))</f>
        <v>1000000000000</v>
      </c>
      <c r="CK444" s="216">
        <f ca="1">IF($D444&lt;&gt;"Serviço",0,IF(OR(AND(AUTOEVENTO="Manual",$M444=1),$M444&gt;(ROW(PLE.lastrow)-ROW(PLE.firstrow))),0,IF(OFFSET(PLE!$G$14,$M444,CK$13)="",10^12,OFFSET(PLE!$G$14,$M444,CK$13))))</f>
        <v>1000000000000</v>
      </c>
      <c r="CL444" s="216">
        <f ca="1">IF($D444&lt;&gt;"Serviço",0,IF(OR(AND(AUTOEVENTO="Manual",$M444=1),$M444&gt;(ROW(PLE.lastrow)-ROW(PLE.firstrow))),0,IF(OFFSET(PLE!$G$14,$M444,CL$13)="",10^12,OFFSET(PLE!$G$14,$M444,CL$13))))</f>
        <v>1000000000000</v>
      </c>
      <c r="CM444" s="216">
        <f ca="1">IF($D444&lt;&gt;"Serviço",0,IF(OR(AND(AUTOEVENTO="Manual",$M444=1),$M444&gt;(ROW(PLE.lastrow)-ROW(PLE.firstrow))),0,IF(OFFSET(PLE!$G$14,$M444,CM$13)="",10^12,OFFSET(PLE!$G$14,$M444,CM$13))))</f>
        <v>1000000000000</v>
      </c>
    </row>
    <row r="445" spans="1:91" ht="13.2" x14ac:dyDescent="0.25">
      <c r="A445" s="9">
        <f t="shared" ca="1" si="15"/>
        <v>0</v>
      </c>
      <c r="B445" s="9" t="str">
        <f ca="1">OFFSET(ORÇAMENTO!C$15,ROW(B445)-ROW(B$15),0)</f>
        <v>S</v>
      </c>
      <c r="C445" s="9" t="str">
        <f ca="1">OFFSET(ORÇAMENTO!L$15,ROW(C445)-ROW(C$15),0)</f>
        <v/>
      </c>
      <c r="D445" s="145" t="str">
        <f ca="1">OFFSET(ORÇAMENTO!N$15,ROW(D445)-ROW(D$15),0)</f>
        <v>Serviço</v>
      </c>
      <c r="E445" s="205" t="str">
        <f ca="1">OFFSET(ORÇAMENTO!O$15,ROW(E445)-ROW(E$15),0)</f>
        <v>-</v>
      </c>
      <c r="F445" s="206" t="str">
        <f ca="1">OFFSET(ORÇAMENTO!R$15,ROW(F445)-ROW(F$15),0)</f>
        <v>(abra o arquivo 'Referência 05-2024.xls)</v>
      </c>
      <c r="G445" s="207" t="str">
        <f ca="1">IF($D445&lt;&gt;"Serviço","",OFFSET(ORÇAMENTO!S$15,ROW(G445)-ROW(G$15),0))</f>
        <v>-</v>
      </c>
      <c r="H445" s="151">
        <f ca="1">IF($D445&lt;&gt;"Serviço",0,IF(ACOMPANHAMENTO="BM",ROUND(OFFSET(ORÇAMENTO!AJ$15,ROW(H445)-ROW(H$15),0),15-13*ORÇAMENTO!$AF$7),SUMPRODUCT(($Q$12:$AI$12&lt;&gt;"")*ROUND($Q445:$AI445,15-13*ORÇAMENTO!$AF$7))))</f>
        <v>9</v>
      </c>
      <c r="I445" s="650"/>
      <c r="K445" s="208"/>
      <c r="L445" s="209" t="s">
        <v>257</v>
      </c>
      <c r="M445" s="210">
        <f ca="1">IF($D445&lt;&gt;"Serviço","",IF(AUTOEVENTO="manual",$A445,IF(ISERROR(MATCH($A445,$A$15:OFFSET($A445,-1,0),0)),MAX($M$15:OFFSET(M445,-1,0))+1,INDEX($M$15:OFFSET(M445,-1,0),MATCH($A445,$A$15:OFFSET($A445,-1,0),0)))))</f>
        <v>0</v>
      </c>
      <c r="N445" s="211" t="str">
        <f ca="1">IF($D445&lt;&gt;"Serviço","",IF(AUTOEVENTO="Manual",IF($A445=0,"&lt;-- defina o número do agrupador",OFFSET(EVENTOS!$D$14,$A445,0)),OFFSET($F$15,$A445,0)))</f>
        <v>&lt;-- defina o número do agrupador</v>
      </c>
      <c r="O445" s="212"/>
      <c r="Q445" s="212"/>
      <c r="R445" s="213"/>
      <c r="S445" s="213"/>
      <c r="T445" s="213"/>
      <c r="U445" s="213"/>
      <c r="V445" s="213"/>
      <c r="W445" s="213"/>
      <c r="X445" s="213"/>
      <c r="Y445" s="213"/>
      <c r="Z445" s="214"/>
      <c r="AA445" s="213"/>
      <c r="AB445" s="213"/>
      <c r="AC445" s="213"/>
      <c r="AD445" s="213"/>
      <c r="AE445" s="213"/>
      <c r="AF445" s="213"/>
      <c r="AG445" s="213"/>
      <c r="AH445" s="214"/>
      <c r="AJ445" s="631">
        <f ca="1">IF(AND($D445="Serviço",AJ$12&lt;&gt;0,$H445&gt;0,OR(AUTOEVENTO&lt;&gt;"manual",$M445&lt;&gt;1)),ROUND(OFFSET($P445,0,AJ$13),15-13*ORÇAMENTO!$AF$7)/$H445*OFFSET(ORÇAMENTO!$X$15,ROW(AJ445)-ROW(AJ$15),0),0)</f>
        <v>0</v>
      </c>
      <c r="AK445" s="632">
        <f ca="1">IF(AND($D445="Serviço",AK$12&lt;&gt;0,$H445&gt;0,OR(AUTOEVENTO&lt;&gt;"manual",$M445&lt;&gt;1)),ROUND(OFFSET($P445,0,AK$13),15-13*ORÇAMENTO!$AF$7)/$H445*OFFSET(ORÇAMENTO!$X$15,ROW(AK445)-ROW(AK$15),0),0)</f>
        <v>0</v>
      </c>
      <c r="AL445" s="632">
        <f ca="1">IF(AND($D445="Serviço",AL$12&lt;&gt;0,$H445&gt;0,OR(AUTOEVENTO&lt;&gt;"manual",$M445&lt;&gt;1)),ROUND(OFFSET($P445,0,AL$13),15-13*ORÇAMENTO!$AF$7)/$H445*OFFSET(ORÇAMENTO!$X$15,ROW(AL445)-ROW(AL$15),0),0)</f>
        <v>0</v>
      </c>
      <c r="AM445" s="632">
        <f ca="1">IF(AND($D445="Serviço",AM$12&lt;&gt;0,$H445&gt;0,OR(AUTOEVENTO&lt;&gt;"manual",$M445&lt;&gt;1)),ROUND(OFFSET($P445,0,AM$13),15-13*ORÇAMENTO!$AF$7)/$H445*OFFSET(ORÇAMENTO!$X$15,ROW(AM445)-ROW(AM$15),0),0)</f>
        <v>0</v>
      </c>
      <c r="AN445" s="632">
        <f ca="1">IF(AND($D445="Serviço",AN$12&lt;&gt;0,$H445&gt;0,OR(AUTOEVENTO&lt;&gt;"manual",$M445&lt;&gt;1)),ROUND(OFFSET($P445,0,AN$13),15-13*ORÇAMENTO!$AF$7)/$H445*OFFSET(ORÇAMENTO!$X$15,ROW(AN445)-ROW(AN$15),0),0)</f>
        <v>0</v>
      </c>
      <c r="AO445" s="632">
        <f ca="1">IF(AND($D445="Serviço",AO$12&lt;&gt;0,$H445&gt;0,OR(AUTOEVENTO&lt;&gt;"manual",$M445&lt;&gt;1)),ROUND(OFFSET($P445,0,AO$13),15-13*ORÇAMENTO!$AF$7)/$H445*OFFSET(ORÇAMENTO!$X$15,ROW(AO445)-ROW(AO$15),0),0)</f>
        <v>0</v>
      </c>
      <c r="AP445" s="632">
        <f ca="1">IF(AND($D445="Serviço",AP$12&lt;&gt;0,$H445&gt;0,OR(AUTOEVENTO&lt;&gt;"manual",$M445&lt;&gt;1)),ROUND(OFFSET($P445,0,AP$13),15-13*ORÇAMENTO!$AF$7)/$H445*OFFSET(ORÇAMENTO!$X$15,ROW(AP445)-ROW(AP$15),0),0)</f>
        <v>0</v>
      </c>
      <c r="AQ445" s="632">
        <f ca="1">IF(AND($D445="Serviço",AQ$12&lt;&gt;0,$H445&gt;0,OR(AUTOEVENTO&lt;&gt;"manual",$M445&lt;&gt;1)),ROUND(OFFSET($P445,0,AQ$13),15-13*ORÇAMENTO!$AF$7)/$H445*OFFSET(ORÇAMENTO!$X$15,ROW(AQ445)-ROW(AQ$15),0),0)</f>
        <v>0</v>
      </c>
      <c r="AR445" s="632">
        <f ca="1">IF(AND($D445="Serviço",AR$12&lt;&gt;0,$H445&gt;0,OR(AUTOEVENTO&lt;&gt;"manual",$M445&lt;&gt;1)),ROUND(OFFSET($P445,0,AR$13),15-13*ORÇAMENTO!$AF$7)/$H445*OFFSET(ORÇAMENTO!$X$15,ROW(AR445)-ROW(AR$15),0),0)</f>
        <v>0</v>
      </c>
      <c r="AS445" s="633">
        <f ca="1">IF(AND($D445="Serviço",AS$12&lt;&gt;0,$H445&gt;0,OR(AUTOEVENTO&lt;&gt;"manual",$M445&lt;&gt;1)),ROUND(OFFSET($P445,0,AS$13),15-13*ORÇAMENTO!$AF$7)/$H445*OFFSET(ORÇAMENTO!$X$15,ROW(AS445)-ROW(AS$15),0),0)</f>
        <v>0</v>
      </c>
      <c r="AT445" s="632">
        <f ca="1">IF(AND($D445="Serviço",AT$12&lt;&gt;0,$H445&gt;0,OR(AUTOEVENTO&lt;&gt;"manual",$M445&lt;&gt;1)),ROUND(OFFSET($P445,0,AT$13),15-13*ORÇAMENTO!$AF$7)/$H445*OFFSET(ORÇAMENTO!$X$15,ROW(AT445)-ROW(AT$15),0),0)</f>
        <v>0</v>
      </c>
      <c r="AU445" s="632">
        <f ca="1">IF(AND($D445="Serviço",AU$12&lt;&gt;0,$H445&gt;0,OR(AUTOEVENTO&lt;&gt;"manual",$M445&lt;&gt;1)),ROUND(OFFSET($P445,0,AU$13),15-13*ORÇAMENTO!$AF$7)/$H445*OFFSET(ORÇAMENTO!$X$15,ROW(AU445)-ROW(AU$15),0),0)</f>
        <v>0</v>
      </c>
      <c r="AV445" s="632">
        <f ca="1">IF(AND($D445="Serviço",AV$12&lt;&gt;0,$H445&gt;0,OR(AUTOEVENTO&lt;&gt;"manual",$M445&lt;&gt;1)),ROUND(OFFSET($P445,0,AV$13),15-13*ORÇAMENTO!$AF$7)/$H445*OFFSET(ORÇAMENTO!$X$15,ROW(AV445)-ROW(AV$15),0),0)</f>
        <v>0</v>
      </c>
      <c r="AW445" s="632">
        <f ca="1">IF(AND($D445="Serviço",AW$12&lt;&gt;0,$H445&gt;0,OR(AUTOEVENTO&lt;&gt;"manual",$M445&lt;&gt;1)),ROUND(OFFSET($P445,0,AW$13),15-13*ORÇAMENTO!$AF$7)/$H445*OFFSET(ORÇAMENTO!$X$15,ROW(AW445)-ROW(AW$15),0),0)</f>
        <v>0</v>
      </c>
      <c r="AX445" s="632">
        <f ca="1">IF(AND($D445="Serviço",AX$12&lt;&gt;0,$H445&gt;0,OR(AUTOEVENTO&lt;&gt;"manual",$M445&lt;&gt;1)),ROUND(OFFSET($P445,0,AX$13),15-13*ORÇAMENTO!$AF$7)/$H445*OFFSET(ORÇAMENTO!$X$15,ROW(AX445)-ROW(AX$15),0),0)</f>
        <v>0</v>
      </c>
      <c r="AY445" s="632">
        <f ca="1">IF(AND($D445="Serviço",AY$12&lt;&gt;0,$H445&gt;0,OR(AUTOEVENTO&lt;&gt;"manual",$M445&lt;&gt;1)),ROUND(OFFSET($P445,0,AY$13),15-13*ORÇAMENTO!$AF$7)/$H445*OFFSET(ORÇAMENTO!$X$15,ROW(AY445)-ROW(AY$15),0),0)</f>
        <v>0</v>
      </c>
      <c r="AZ445" s="632">
        <f ca="1">IF(AND($D445="Serviço",AZ$12&lt;&gt;0,$H445&gt;0,OR(AUTOEVENTO&lt;&gt;"manual",$M445&lt;&gt;1)),ROUND(OFFSET($P445,0,AZ$13),15-13*ORÇAMENTO!$AF$7)/$H445*OFFSET(ORÇAMENTO!$X$15,ROW(AZ445)-ROW(AZ$15),0),0)</f>
        <v>0</v>
      </c>
      <c r="BA445" s="633">
        <f ca="1">IF(AND($D445="Serviço",BA$12&lt;&gt;0,$H445&gt;0,OR(AUTOEVENTO&lt;&gt;"manual",$M445&lt;&gt;1)),ROUND(OFFSET($P445,0,BA$13),15-13*ORÇAMENTO!$AF$7)/$H445*OFFSET(ORÇAMENTO!$X$15,ROW(BA445)-ROW(BA$15),0),0)</f>
        <v>0</v>
      </c>
      <c r="BC445" s="215">
        <f ca="1">IF($D445&lt;&gt;"Serviço",0,IF(AND(AUTOEVENTO="Manual",$M445=1),0,IF(OFFSET(CRONOPLE!$F$14,$M445,BC$13)="",10^12,OFFSET(CRONOPLE!$F$14,$M445,BC$13))))</f>
        <v>1000000000000</v>
      </c>
      <c r="BD445" s="215">
        <f ca="1">IF($D445&lt;&gt;"Serviço",0,IF(AND(AUTOEVENTO="Manual",$M445=1),0,IF(OFFSET(CRONOPLE!$F$14,$M445,BD$13)="",10^12,OFFSET(CRONOPLE!$F$14,$M445,BD$13))))</f>
        <v>1000000000000</v>
      </c>
      <c r="BE445" s="215">
        <f ca="1">IF($D445&lt;&gt;"Serviço",0,IF(AND(AUTOEVENTO="Manual",$M445=1),0,IF(OFFSET(CRONOPLE!$F$14,$M445,BE$13)="",10^12,OFFSET(CRONOPLE!$F$14,$M445,BE$13))))</f>
        <v>1000000000000</v>
      </c>
      <c r="BF445" s="215">
        <f ca="1">IF($D445&lt;&gt;"Serviço",0,IF(AND(AUTOEVENTO="Manual",$M445=1),0,IF(OFFSET(CRONOPLE!$F$14,$M445,BF$13)="",10^12,OFFSET(CRONOPLE!$F$14,$M445,BF$13))))</f>
        <v>1000000000000</v>
      </c>
      <c r="BG445" s="215">
        <f ca="1">IF($D445&lt;&gt;"Serviço",0,IF(AND(AUTOEVENTO="Manual",$M445=1),0,IF(OFFSET(CRONOPLE!$F$14,$M445,BG$13)="",10^12,OFFSET(CRONOPLE!$F$14,$M445,BG$13))))</f>
        <v>1000000000000</v>
      </c>
      <c r="BH445" s="215">
        <f ca="1">IF($D445&lt;&gt;"Serviço",0,IF(AND(AUTOEVENTO="Manual",$M445=1),0,IF(OFFSET(CRONOPLE!$F$14,$M445,BH$13)="",10^12,OFFSET(CRONOPLE!$F$14,$M445,BH$13))))</f>
        <v>1000000000000</v>
      </c>
      <c r="BI445" s="215">
        <f ca="1">IF($D445&lt;&gt;"Serviço",0,IF(AND(AUTOEVENTO="Manual",$M445=1),0,IF(OFFSET(CRONOPLE!$F$14,$M445,BI$13)="",10^12,OFFSET(CRONOPLE!$F$14,$M445,BI$13))))</f>
        <v>1000000000000</v>
      </c>
      <c r="BJ445" s="215">
        <f ca="1">IF($D445&lt;&gt;"Serviço",0,IF(AND(AUTOEVENTO="Manual",$M445=1),0,IF(OFFSET(CRONOPLE!$F$14,$M445,BJ$13)="",10^12,OFFSET(CRONOPLE!$F$14,$M445,BJ$13))))</f>
        <v>1000000000000</v>
      </c>
      <c r="BK445" s="215">
        <f ca="1">IF($D445&lt;&gt;"Serviço",0,IF(AND(AUTOEVENTO="Manual",$M445=1),0,IF(OFFSET(CRONOPLE!$F$14,$M445,BK$13)="",10^12,OFFSET(CRONOPLE!$F$14,$M445,BK$13))))</f>
        <v>1000000000000</v>
      </c>
      <c r="BL445" s="215">
        <f ca="1">IF($D445&lt;&gt;"Serviço",0,IF(AND(AUTOEVENTO="Manual",$M445=1),0,IF(OFFSET(CRONOPLE!$F$14,$M445,BL$13)="",10^12,OFFSET(CRONOPLE!$F$14,$M445,BL$13))))</f>
        <v>1000000000000</v>
      </c>
      <c r="BM445" s="215">
        <f ca="1">IF($D445&lt;&gt;"Serviço",0,IF(AND(AUTOEVENTO="Manual",$M445=1),0,IF(OFFSET(CRONOPLE!$F$14,$M445,BM$13)="",10^12,OFFSET(CRONOPLE!$F$14,$M445,BM$13))))</f>
        <v>1000000000000</v>
      </c>
      <c r="BN445" s="215">
        <f ca="1">IF($D445&lt;&gt;"Serviço",0,IF(AND(AUTOEVENTO="Manual",$M445=1),0,IF(OFFSET(CRONOPLE!$F$14,$M445,BN$13)="",10^12,OFFSET(CRONOPLE!$F$14,$M445,BN$13))))</f>
        <v>1000000000000</v>
      </c>
      <c r="BO445" s="215">
        <f ca="1">IF($D445&lt;&gt;"Serviço",0,IF(AND(AUTOEVENTO="Manual",$M445=1),0,IF(OFFSET(CRONOPLE!$F$14,$M445,BO$13)="",10^12,OFFSET(CRONOPLE!$F$14,$M445,BO$13))))</f>
        <v>1000000000000</v>
      </c>
      <c r="BP445" s="215">
        <f ca="1">IF($D445&lt;&gt;"Serviço",0,IF(AND(AUTOEVENTO="Manual",$M445=1),0,IF(OFFSET(CRONOPLE!$F$14,$M445,BP$13)="",10^12,OFFSET(CRONOPLE!$F$14,$M445,BP$13))))</f>
        <v>1000000000000</v>
      </c>
      <c r="BQ445" s="215">
        <f ca="1">IF($D445&lt;&gt;"Serviço",0,IF(AND(AUTOEVENTO="Manual",$M445=1),0,IF(OFFSET(CRONOPLE!$F$14,$M445,BQ$13)="",10^12,OFFSET(CRONOPLE!$F$14,$M445,BQ$13))))</f>
        <v>1000000000000</v>
      </c>
      <c r="BR445" s="215">
        <f ca="1">IF($D445&lt;&gt;"Serviço",0,IF(AND(AUTOEVENTO="Manual",$M445=1),0,IF(OFFSET(CRONOPLE!$F$14,$M445,BR$13)="",10^12,OFFSET(CRONOPLE!$F$14,$M445,BR$13))))</f>
        <v>1000000000000</v>
      </c>
      <c r="BS445" s="215">
        <f ca="1">IF($D445&lt;&gt;"Serviço",0,IF(AND(AUTOEVENTO="Manual",$M445=1),0,IF(OFFSET(CRONOPLE!$F$14,$M445,BS$13)="",10^12,OFFSET(CRONOPLE!$F$14,$M445,BS$13))))</f>
        <v>1000000000000</v>
      </c>
      <c r="BT445" s="215">
        <f ca="1">IF($D445&lt;&gt;"Serviço",0,IF(AND(AUTOEVENTO="Manual",$M445=1),0,IF(OFFSET(CRONOPLE!$F$14,$M445,BT$13)="",10^12,OFFSET(CRONOPLE!$F$14,$M445,BT$13))))</f>
        <v>1000000000000</v>
      </c>
      <c r="BV445" s="216">
        <f ca="1">IF($D445&lt;&gt;"Serviço",0,IF(OR(AND(AUTOEVENTO="Manual",$M445=1),$M445&gt;(ROW(PLE.lastrow)-ROW(PLE.firstrow))),0,IF(OFFSET(PLE!$G$14,$M445,BV$13)="",10^12,OFFSET(PLE!$G$14,$M445,BV$13))))</f>
        <v>1000000000000</v>
      </c>
      <c r="BW445" s="216">
        <f ca="1">IF($D445&lt;&gt;"Serviço",0,IF(OR(AND(AUTOEVENTO="Manual",$M445=1),$M445&gt;(ROW(PLE.lastrow)-ROW(PLE.firstrow))),0,IF(OFFSET(PLE!$G$14,$M445,BW$13)="",10^12,OFFSET(PLE!$G$14,$M445,BW$13))))</f>
        <v>1000000000000</v>
      </c>
      <c r="BX445" s="216">
        <f ca="1">IF($D445&lt;&gt;"Serviço",0,IF(OR(AND(AUTOEVENTO="Manual",$M445=1),$M445&gt;(ROW(PLE.lastrow)-ROW(PLE.firstrow))),0,IF(OFFSET(PLE!$G$14,$M445,BX$13)="",10^12,OFFSET(PLE!$G$14,$M445,BX$13))))</f>
        <v>1000000000000</v>
      </c>
      <c r="BY445" s="216">
        <f ca="1">IF($D445&lt;&gt;"Serviço",0,IF(OR(AND(AUTOEVENTO="Manual",$M445=1),$M445&gt;(ROW(PLE.lastrow)-ROW(PLE.firstrow))),0,IF(OFFSET(PLE!$G$14,$M445,BY$13)="",10^12,OFFSET(PLE!$G$14,$M445,BY$13))))</f>
        <v>1000000000000</v>
      </c>
      <c r="BZ445" s="216">
        <f ca="1">IF($D445&lt;&gt;"Serviço",0,IF(OR(AND(AUTOEVENTO="Manual",$M445=1),$M445&gt;(ROW(PLE.lastrow)-ROW(PLE.firstrow))),0,IF(OFFSET(PLE!$G$14,$M445,BZ$13)="",10^12,OFFSET(PLE!$G$14,$M445,BZ$13))))</f>
        <v>1000000000000</v>
      </c>
      <c r="CA445" s="216">
        <f ca="1">IF($D445&lt;&gt;"Serviço",0,IF(OR(AND(AUTOEVENTO="Manual",$M445=1),$M445&gt;(ROW(PLE.lastrow)-ROW(PLE.firstrow))),0,IF(OFFSET(PLE!$G$14,$M445,CA$13)="",10^12,OFFSET(PLE!$G$14,$M445,CA$13))))</f>
        <v>1000000000000</v>
      </c>
      <c r="CB445" s="216">
        <f ca="1">IF($D445&lt;&gt;"Serviço",0,IF(OR(AND(AUTOEVENTO="Manual",$M445=1),$M445&gt;(ROW(PLE.lastrow)-ROW(PLE.firstrow))),0,IF(OFFSET(PLE!$G$14,$M445,CB$13)="",10^12,OFFSET(PLE!$G$14,$M445,CB$13))))</f>
        <v>1000000000000</v>
      </c>
      <c r="CC445" s="216">
        <f ca="1">IF($D445&lt;&gt;"Serviço",0,IF(OR(AND(AUTOEVENTO="Manual",$M445=1),$M445&gt;(ROW(PLE.lastrow)-ROW(PLE.firstrow))),0,IF(OFFSET(PLE!$G$14,$M445,CC$13)="",10^12,OFFSET(PLE!$G$14,$M445,CC$13))))</f>
        <v>1000000000000</v>
      </c>
      <c r="CD445" s="216">
        <f ca="1">IF($D445&lt;&gt;"Serviço",0,IF(OR(AND(AUTOEVENTO="Manual",$M445=1),$M445&gt;(ROW(PLE.lastrow)-ROW(PLE.firstrow))),0,IF(OFFSET(PLE!$G$14,$M445,CD$13)="",10^12,OFFSET(PLE!$G$14,$M445,CD$13))))</f>
        <v>1000000000000</v>
      </c>
      <c r="CE445" s="216">
        <f ca="1">IF($D445&lt;&gt;"Serviço",0,IF(OR(AND(AUTOEVENTO="Manual",$M445=1),$M445&gt;(ROW(PLE.lastrow)-ROW(PLE.firstrow))),0,IF(OFFSET(PLE!$G$14,$M445,CE$13)="",10^12,OFFSET(PLE!$G$14,$M445,CE$13))))</f>
        <v>1000000000000</v>
      </c>
      <c r="CF445" s="216">
        <f ca="1">IF($D445&lt;&gt;"Serviço",0,IF(OR(AND(AUTOEVENTO="Manual",$M445=1),$M445&gt;(ROW(PLE.lastrow)-ROW(PLE.firstrow))),0,IF(OFFSET(PLE!$G$14,$M445,CF$13)="",10^12,OFFSET(PLE!$G$14,$M445,CF$13))))</f>
        <v>1000000000000</v>
      </c>
      <c r="CG445" s="216">
        <f ca="1">IF($D445&lt;&gt;"Serviço",0,IF(OR(AND(AUTOEVENTO="Manual",$M445=1),$M445&gt;(ROW(PLE.lastrow)-ROW(PLE.firstrow))),0,IF(OFFSET(PLE!$G$14,$M445,CG$13)="",10^12,OFFSET(PLE!$G$14,$M445,CG$13))))</f>
        <v>1000000000000</v>
      </c>
      <c r="CH445" s="216">
        <f ca="1">IF($D445&lt;&gt;"Serviço",0,IF(OR(AND(AUTOEVENTO="Manual",$M445=1),$M445&gt;(ROW(PLE.lastrow)-ROW(PLE.firstrow))),0,IF(OFFSET(PLE!$G$14,$M445,CH$13)="",10^12,OFFSET(PLE!$G$14,$M445,CH$13))))</f>
        <v>1000000000000</v>
      </c>
      <c r="CI445" s="216">
        <f ca="1">IF($D445&lt;&gt;"Serviço",0,IF(OR(AND(AUTOEVENTO="Manual",$M445=1),$M445&gt;(ROW(PLE.lastrow)-ROW(PLE.firstrow))),0,IF(OFFSET(PLE!$G$14,$M445,CI$13)="",10^12,OFFSET(PLE!$G$14,$M445,CI$13))))</f>
        <v>1000000000000</v>
      </c>
      <c r="CJ445" s="216">
        <f ca="1">IF($D445&lt;&gt;"Serviço",0,IF(OR(AND(AUTOEVENTO="Manual",$M445=1),$M445&gt;(ROW(PLE.lastrow)-ROW(PLE.firstrow))),0,IF(OFFSET(PLE!$G$14,$M445,CJ$13)="",10^12,OFFSET(PLE!$G$14,$M445,CJ$13))))</f>
        <v>1000000000000</v>
      </c>
      <c r="CK445" s="216">
        <f ca="1">IF($D445&lt;&gt;"Serviço",0,IF(OR(AND(AUTOEVENTO="Manual",$M445=1),$M445&gt;(ROW(PLE.lastrow)-ROW(PLE.firstrow))),0,IF(OFFSET(PLE!$G$14,$M445,CK$13)="",10^12,OFFSET(PLE!$G$14,$M445,CK$13))))</f>
        <v>1000000000000</v>
      </c>
      <c r="CL445" s="216">
        <f ca="1">IF($D445&lt;&gt;"Serviço",0,IF(OR(AND(AUTOEVENTO="Manual",$M445=1),$M445&gt;(ROW(PLE.lastrow)-ROW(PLE.firstrow))),0,IF(OFFSET(PLE!$G$14,$M445,CL$13)="",10^12,OFFSET(PLE!$G$14,$M445,CL$13))))</f>
        <v>1000000000000</v>
      </c>
      <c r="CM445" s="216">
        <f ca="1">IF($D445&lt;&gt;"Serviço",0,IF(OR(AND(AUTOEVENTO="Manual",$M445=1),$M445&gt;(ROW(PLE.lastrow)-ROW(PLE.firstrow))),0,IF(OFFSET(PLE!$G$14,$M445,CM$13)="",10^12,OFFSET(PLE!$G$14,$M445,CM$13))))</f>
        <v>1000000000000</v>
      </c>
    </row>
    <row r="446" spans="1:91" ht="13.2" x14ac:dyDescent="0.25">
      <c r="A446" s="9">
        <f t="shared" ca="1" si="15"/>
        <v>0</v>
      </c>
      <c r="B446" s="9">
        <f ca="1">OFFSET(ORÇAMENTO!C$15,ROW(B446)-ROW(B$15),0)</f>
        <v>2</v>
      </c>
      <c r="C446" s="9" t="str">
        <f ca="1">OFFSET(ORÇAMENTO!L$15,ROW(C446)-ROW(C$15),0)</f>
        <v>F</v>
      </c>
      <c r="D446" s="145" t="str">
        <f ca="1">OFFSET(ORÇAMENTO!N$15,ROW(D446)-ROW(D$15),0)</f>
        <v>Nível 2</v>
      </c>
      <c r="E446" s="205" t="str">
        <f ca="1">OFFSET(ORÇAMENTO!O$15,ROW(E446)-ROW(E$15),0)</f>
        <v>1.15.</v>
      </c>
      <c r="F446" s="206" t="str">
        <f ca="1">OFFSET(ORÇAMENTO!R$15,ROW(F446)-ROW(F$15),0)</f>
        <v>LOUÇAS, ACESSÓRIOS E METAIS</v>
      </c>
      <c r="G446" s="207" t="str">
        <f ca="1">IF($D446&lt;&gt;"Serviço","",OFFSET(ORÇAMENTO!S$15,ROW(G446)-ROW(G$15),0))</f>
        <v/>
      </c>
      <c r="H446" s="151">
        <f ca="1">IF($D446&lt;&gt;"Serviço",0,IF(ACOMPANHAMENTO="BM",ROUND(OFFSET(ORÇAMENTO!AJ$15,ROW(H446)-ROW(H$15),0),15-13*ORÇAMENTO!$AF$7),SUMPRODUCT(($Q$12:$AI$12&lt;&gt;"")*ROUND($Q446:$AI446,15-13*ORÇAMENTO!$AF$7))))</f>
        <v>0</v>
      </c>
      <c r="I446" s="650"/>
      <c r="K446" s="208"/>
      <c r="L446" s="209" t="s">
        <v>257</v>
      </c>
      <c r="M446" s="210" t="str">
        <f ca="1">IF($D446&lt;&gt;"Serviço","",IF(AUTOEVENTO="manual",$A446,IF(ISERROR(MATCH($A446,$A$15:OFFSET($A446,-1,0),0)),MAX($M$15:OFFSET(M446,-1,0))+1,INDEX($M$15:OFFSET(M446,-1,0),MATCH($A446,$A$15:OFFSET($A446,-1,0),0)))))</f>
        <v/>
      </c>
      <c r="N446" s="211" t="str">
        <f ca="1">IF($D446&lt;&gt;"Serviço","",IF(AUTOEVENTO="Manual",IF($A446=0,"&lt;-- defina o número do agrupador",OFFSET(EVENTOS!$D$14,$A446,0)),OFFSET($F$15,$A446,0)))</f>
        <v/>
      </c>
      <c r="O446" s="212"/>
      <c r="Q446" s="212"/>
      <c r="R446" s="213"/>
      <c r="S446" s="213"/>
      <c r="T446" s="213"/>
      <c r="U446" s="213"/>
      <c r="V446" s="213"/>
      <c r="W446" s="213"/>
      <c r="X446" s="213"/>
      <c r="Y446" s="213"/>
      <c r="Z446" s="214"/>
      <c r="AA446" s="213"/>
      <c r="AB446" s="213"/>
      <c r="AC446" s="213"/>
      <c r="AD446" s="213"/>
      <c r="AE446" s="213"/>
      <c r="AF446" s="213"/>
      <c r="AG446" s="213"/>
      <c r="AH446" s="214"/>
      <c r="AJ446" s="631">
        <f ca="1">IF(AND($D446="Serviço",AJ$12&lt;&gt;0,$H446&gt;0,OR(AUTOEVENTO&lt;&gt;"manual",$M446&lt;&gt;1)),ROUND(OFFSET($P446,0,AJ$13),15-13*ORÇAMENTO!$AF$7)/$H446*OFFSET(ORÇAMENTO!$X$15,ROW(AJ446)-ROW(AJ$15),0),0)</f>
        <v>0</v>
      </c>
      <c r="AK446" s="632">
        <f ca="1">IF(AND($D446="Serviço",AK$12&lt;&gt;0,$H446&gt;0,OR(AUTOEVENTO&lt;&gt;"manual",$M446&lt;&gt;1)),ROUND(OFFSET($P446,0,AK$13),15-13*ORÇAMENTO!$AF$7)/$H446*OFFSET(ORÇAMENTO!$X$15,ROW(AK446)-ROW(AK$15),0),0)</f>
        <v>0</v>
      </c>
      <c r="AL446" s="632">
        <f ca="1">IF(AND($D446="Serviço",AL$12&lt;&gt;0,$H446&gt;0,OR(AUTOEVENTO&lt;&gt;"manual",$M446&lt;&gt;1)),ROUND(OFFSET($P446,0,AL$13),15-13*ORÇAMENTO!$AF$7)/$H446*OFFSET(ORÇAMENTO!$X$15,ROW(AL446)-ROW(AL$15),0),0)</f>
        <v>0</v>
      </c>
      <c r="AM446" s="632">
        <f ca="1">IF(AND($D446="Serviço",AM$12&lt;&gt;0,$H446&gt;0,OR(AUTOEVENTO&lt;&gt;"manual",$M446&lt;&gt;1)),ROUND(OFFSET($P446,0,AM$13),15-13*ORÇAMENTO!$AF$7)/$H446*OFFSET(ORÇAMENTO!$X$15,ROW(AM446)-ROW(AM$15),0),0)</f>
        <v>0</v>
      </c>
      <c r="AN446" s="632">
        <f ca="1">IF(AND($D446="Serviço",AN$12&lt;&gt;0,$H446&gt;0,OR(AUTOEVENTO&lt;&gt;"manual",$M446&lt;&gt;1)),ROUND(OFFSET($P446,0,AN$13),15-13*ORÇAMENTO!$AF$7)/$H446*OFFSET(ORÇAMENTO!$X$15,ROW(AN446)-ROW(AN$15),0),0)</f>
        <v>0</v>
      </c>
      <c r="AO446" s="632">
        <f ca="1">IF(AND($D446="Serviço",AO$12&lt;&gt;0,$H446&gt;0,OR(AUTOEVENTO&lt;&gt;"manual",$M446&lt;&gt;1)),ROUND(OFFSET($P446,0,AO$13),15-13*ORÇAMENTO!$AF$7)/$H446*OFFSET(ORÇAMENTO!$X$15,ROW(AO446)-ROW(AO$15),0),0)</f>
        <v>0</v>
      </c>
      <c r="AP446" s="632">
        <f ca="1">IF(AND($D446="Serviço",AP$12&lt;&gt;0,$H446&gt;0,OR(AUTOEVENTO&lt;&gt;"manual",$M446&lt;&gt;1)),ROUND(OFFSET($P446,0,AP$13),15-13*ORÇAMENTO!$AF$7)/$H446*OFFSET(ORÇAMENTO!$X$15,ROW(AP446)-ROW(AP$15),0),0)</f>
        <v>0</v>
      </c>
      <c r="AQ446" s="632">
        <f ca="1">IF(AND($D446="Serviço",AQ$12&lt;&gt;0,$H446&gt;0,OR(AUTOEVENTO&lt;&gt;"manual",$M446&lt;&gt;1)),ROUND(OFFSET($P446,0,AQ$13),15-13*ORÇAMENTO!$AF$7)/$H446*OFFSET(ORÇAMENTO!$X$15,ROW(AQ446)-ROW(AQ$15),0),0)</f>
        <v>0</v>
      </c>
      <c r="AR446" s="632">
        <f ca="1">IF(AND($D446="Serviço",AR$12&lt;&gt;0,$H446&gt;0,OR(AUTOEVENTO&lt;&gt;"manual",$M446&lt;&gt;1)),ROUND(OFFSET($P446,0,AR$13),15-13*ORÇAMENTO!$AF$7)/$H446*OFFSET(ORÇAMENTO!$X$15,ROW(AR446)-ROW(AR$15),0),0)</f>
        <v>0</v>
      </c>
      <c r="AS446" s="633">
        <f ca="1">IF(AND($D446="Serviço",AS$12&lt;&gt;0,$H446&gt;0,OR(AUTOEVENTO&lt;&gt;"manual",$M446&lt;&gt;1)),ROUND(OFFSET($P446,0,AS$13),15-13*ORÇAMENTO!$AF$7)/$H446*OFFSET(ORÇAMENTO!$X$15,ROW(AS446)-ROW(AS$15),0),0)</f>
        <v>0</v>
      </c>
      <c r="AT446" s="632">
        <f ca="1">IF(AND($D446="Serviço",AT$12&lt;&gt;0,$H446&gt;0,OR(AUTOEVENTO&lt;&gt;"manual",$M446&lt;&gt;1)),ROUND(OFFSET($P446,0,AT$13),15-13*ORÇAMENTO!$AF$7)/$H446*OFFSET(ORÇAMENTO!$X$15,ROW(AT446)-ROW(AT$15),0),0)</f>
        <v>0</v>
      </c>
      <c r="AU446" s="632">
        <f ca="1">IF(AND($D446="Serviço",AU$12&lt;&gt;0,$H446&gt;0,OR(AUTOEVENTO&lt;&gt;"manual",$M446&lt;&gt;1)),ROUND(OFFSET($P446,0,AU$13),15-13*ORÇAMENTO!$AF$7)/$H446*OFFSET(ORÇAMENTO!$X$15,ROW(AU446)-ROW(AU$15),0),0)</f>
        <v>0</v>
      </c>
      <c r="AV446" s="632">
        <f ca="1">IF(AND($D446="Serviço",AV$12&lt;&gt;0,$H446&gt;0,OR(AUTOEVENTO&lt;&gt;"manual",$M446&lt;&gt;1)),ROUND(OFFSET($P446,0,AV$13),15-13*ORÇAMENTO!$AF$7)/$H446*OFFSET(ORÇAMENTO!$X$15,ROW(AV446)-ROW(AV$15),0),0)</f>
        <v>0</v>
      </c>
      <c r="AW446" s="632">
        <f ca="1">IF(AND($D446="Serviço",AW$12&lt;&gt;0,$H446&gt;0,OR(AUTOEVENTO&lt;&gt;"manual",$M446&lt;&gt;1)),ROUND(OFFSET($P446,0,AW$13),15-13*ORÇAMENTO!$AF$7)/$H446*OFFSET(ORÇAMENTO!$X$15,ROW(AW446)-ROW(AW$15),0),0)</f>
        <v>0</v>
      </c>
      <c r="AX446" s="632">
        <f ca="1">IF(AND($D446="Serviço",AX$12&lt;&gt;0,$H446&gt;0,OR(AUTOEVENTO&lt;&gt;"manual",$M446&lt;&gt;1)),ROUND(OFFSET($P446,0,AX$13),15-13*ORÇAMENTO!$AF$7)/$H446*OFFSET(ORÇAMENTO!$X$15,ROW(AX446)-ROW(AX$15),0),0)</f>
        <v>0</v>
      </c>
      <c r="AY446" s="632">
        <f ca="1">IF(AND($D446="Serviço",AY$12&lt;&gt;0,$H446&gt;0,OR(AUTOEVENTO&lt;&gt;"manual",$M446&lt;&gt;1)),ROUND(OFFSET($P446,0,AY$13),15-13*ORÇAMENTO!$AF$7)/$H446*OFFSET(ORÇAMENTO!$X$15,ROW(AY446)-ROW(AY$15),0),0)</f>
        <v>0</v>
      </c>
      <c r="AZ446" s="632">
        <f ca="1">IF(AND($D446="Serviço",AZ$12&lt;&gt;0,$H446&gt;0,OR(AUTOEVENTO&lt;&gt;"manual",$M446&lt;&gt;1)),ROUND(OFFSET($P446,0,AZ$13),15-13*ORÇAMENTO!$AF$7)/$H446*OFFSET(ORÇAMENTO!$X$15,ROW(AZ446)-ROW(AZ$15),0),0)</f>
        <v>0</v>
      </c>
      <c r="BA446" s="633">
        <f ca="1">IF(AND($D446="Serviço",BA$12&lt;&gt;0,$H446&gt;0,OR(AUTOEVENTO&lt;&gt;"manual",$M446&lt;&gt;1)),ROUND(OFFSET($P446,0,BA$13),15-13*ORÇAMENTO!$AF$7)/$H446*OFFSET(ORÇAMENTO!$X$15,ROW(BA446)-ROW(BA$15),0),0)</f>
        <v>0</v>
      </c>
      <c r="BC446" s="215">
        <f ca="1">IF($D446&lt;&gt;"Serviço",0,IF(AND(AUTOEVENTO="Manual",$M446=1),0,IF(OFFSET(CRONOPLE!$F$14,$M446,BC$13)="",10^12,OFFSET(CRONOPLE!$F$14,$M446,BC$13))))</f>
        <v>0</v>
      </c>
      <c r="BD446" s="215">
        <f ca="1">IF($D446&lt;&gt;"Serviço",0,IF(AND(AUTOEVENTO="Manual",$M446=1),0,IF(OFFSET(CRONOPLE!$F$14,$M446,BD$13)="",10^12,OFFSET(CRONOPLE!$F$14,$M446,BD$13))))</f>
        <v>0</v>
      </c>
      <c r="BE446" s="215">
        <f ca="1">IF($D446&lt;&gt;"Serviço",0,IF(AND(AUTOEVENTO="Manual",$M446=1),0,IF(OFFSET(CRONOPLE!$F$14,$M446,BE$13)="",10^12,OFFSET(CRONOPLE!$F$14,$M446,BE$13))))</f>
        <v>0</v>
      </c>
      <c r="BF446" s="215">
        <f ca="1">IF($D446&lt;&gt;"Serviço",0,IF(AND(AUTOEVENTO="Manual",$M446=1),0,IF(OFFSET(CRONOPLE!$F$14,$M446,BF$13)="",10^12,OFFSET(CRONOPLE!$F$14,$M446,BF$13))))</f>
        <v>0</v>
      </c>
      <c r="BG446" s="215">
        <f ca="1">IF($D446&lt;&gt;"Serviço",0,IF(AND(AUTOEVENTO="Manual",$M446=1),0,IF(OFFSET(CRONOPLE!$F$14,$M446,BG$13)="",10^12,OFFSET(CRONOPLE!$F$14,$M446,BG$13))))</f>
        <v>0</v>
      </c>
      <c r="BH446" s="215">
        <f ca="1">IF($D446&lt;&gt;"Serviço",0,IF(AND(AUTOEVENTO="Manual",$M446=1),0,IF(OFFSET(CRONOPLE!$F$14,$M446,BH$13)="",10^12,OFFSET(CRONOPLE!$F$14,$M446,BH$13))))</f>
        <v>0</v>
      </c>
      <c r="BI446" s="215">
        <f ca="1">IF($D446&lt;&gt;"Serviço",0,IF(AND(AUTOEVENTO="Manual",$M446=1),0,IF(OFFSET(CRONOPLE!$F$14,$M446,BI$13)="",10^12,OFFSET(CRONOPLE!$F$14,$M446,BI$13))))</f>
        <v>0</v>
      </c>
      <c r="BJ446" s="215">
        <f ca="1">IF($D446&lt;&gt;"Serviço",0,IF(AND(AUTOEVENTO="Manual",$M446=1),0,IF(OFFSET(CRONOPLE!$F$14,$M446,BJ$13)="",10^12,OFFSET(CRONOPLE!$F$14,$M446,BJ$13))))</f>
        <v>0</v>
      </c>
      <c r="BK446" s="215">
        <f ca="1">IF($D446&lt;&gt;"Serviço",0,IF(AND(AUTOEVENTO="Manual",$M446=1),0,IF(OFFSET(CRONOPLE!$F$14,$M446,BK$13)="",10^12,OFFSET(CRONOPLE!$F$14,$M446,BK$13))))</f>
        <v>0</v>
      </c>
      <c r="BL446" s="215">
        <f ca="1">IF($D446&lt;&gt;"Serviço",0,IF(AND(AUTOEVENTO="Manual",$M446=1),0,IF(OFFSET(CRONOPLE!$F$14,$M446,BL$13)="",10^12,OFFSET(CRONOPLE!$F$14,$M446,BL$13))))</f>
        <v>0</v>
      </c>
      <c r="BM446" s="215">
        <f ca="1">IF($D446&lt;&gt;"Serviço",0,IF(AND(AUTOEVENTO="Manual",$M446=1),0,IF(OFFSET(CRONOPLE!$F$14,$M446,BM$13)="",10^12,OFFSET(CRONOPLE!$F$14,$M446,BM$13))))</f>
        <v>0</v>
      </c>
      <c r="BN446" s="215">
        <f ca="1">IF($D446&lt;&gt;"Serviço",0,IF(AND(AUTOEVENTO="Manual",$M446=1),0,IF(OFFSET(CRONOPLE!$F$14,$M446,BN$13)="",10^12,OFFSET(CRONOPLE!$F$14,$M446,BN$13))))</f>
        <v>0</v>
      </c>
      <c r="BO446" s="215">
        <f ca="1">IF($D446&lt;&gt;"Serviço",0,IF(AND(AUTOEVENTO="Manual",$M446=1),0,IF(OFFSET(CRONOPLE!$F$14,$M446,BO$13)="",10^12,OFFSET(CRONOPLE!$F$14,$M446,BO$13))))</f>
        <v>0</v>
      </c>
      <c r="BP446" s="215">
        <f ca="1">IF($D446&lt;&gt;"Serviço",0,IF(AND(AUTOEVENTO="Manual",$M446=1),0,IF(OFFSET(CRONOPLE!$F$14,$M446,BP$13)="",10^12,OFFSET(CRONOPLE!$F$14,$M446,BP$13))))</f>
        <v>0</v>
      </c>
      <c r="BQ446" s="215">
        <f ca="1">IF($D446&lt;&gt;"Serviço",0,IF(AND(AUTOEVENTO="Manual",$M446=1),0,IF(OFFSET(CRONOPLE!$F$14,$M446,BQ$13)="",10^12,OFFSET(CRONOPLE!$F$14,$M446,BQ$13))))</f>
        <v>0</v>
      </c>
      <c r="BR446" s="215">
        <f ca="1">IF($D446&lt;&gt;"Serviço",0,IF(AND(AUTOEVENTO="Manual",$M446=1),0,IF(OFFSET(CRONOPLE!$F$14,$M446,BR$13)="",10^12,OFFSET(CRONOPLE!$F$14,$M446,BR$13))))</f>
        <v>0</v>
      </c>
      <c r="BS446" s="215">
        <f ca="1">IF($D446&lt;&gt;"Serviço",0,IF(AND(AUTOEVENTO="Manual",$M446=1),0,IF(OFFSET(CRONOPLE!$F$14,$M446,BS$13)="",10^12,OFFSET(CRONOPLE!$F$14,$M446,BS$13))))</f>
        <v>0</v>
      </c>
      <c r="BT446" s="215">
        <f ca="1">IF($D446&lt;&gt;"Serviço",0,IF(AND(AUTOEVENTO="Manual",$M446=1),0,IF(OFFSET(CRONOPLE!$F$14,$M446,BT$13)="",10^12,OFFSET(CRONOPLE!$F$14,$M446,BT$13))))</f>
        <v>0</v>
      </c>
      <c r="BV446" s="216">
        <f ca="1">IF($D446&lt;&gt;"Serviço",0,IF(OR(AND(AUTOEVENTO="Manual",$M446=1),$M446&gt;(ROW(PLE.lastrow)-ROW(PLE.firstrow))),0,IF(OFFSET(PLE!$G$14,$M446,BV$13)="",10^12,OFFSET(PLE!$G$14,$M446,BV$13))))</f>
        <v>0</v>
      </c>
      <c r="BW446" s="216">
        <f ca="1">IF($D446&lt;&gt;"Serviço",0,IF(OR(AND(AUTOEVENTO="Manual",$M446=1),$M446&gt;(ROW(PLE.lastrow)-ROW(PLE.firstrow))),0,IF(OFFSET(PLE!$G$14,$M446,BW$13)="",10^12,OFFSET(PLE!$G$14,$M446,BW$13))))</f>
        <v>0</v>
      </c>
      <c r="BX446" s="216">
        <f ca="1">IF($D446&lt;&gt;"Serviço",0,IF(OR(AND(AUTOEVENTO="Manual",$M446=1),$M446&gt;(ROW(PLE.lastrow)-ROW(PLE.firstrow))),0,IF(OFFSET(PLE!$G$14,$M446,BX$13)="",10^12,OFFSET(PLE!$G$14,$M446,BX$13))))</f>
        <v>0</v>
      </c>
      <c r="BY446" s="216">
        <f ca="1">IF($D446&lt;&gt;"Serviço",0,IF(OR(AND(AUTOEVENTO="Manual",$M446=1),$M446&gt;(ROW(PLE.lastrow)-ROW(PLE.firstrow))),0,IF(OFFSET(PLE!$G$14,$M446,BY$13)="",10^12,OFFSET(PLE!$G$14,$M446,BY$13))))</f>
        <v>0</v>
      </c>
      <c r="BZ446" s="216">
        <f ca="1">IF($D446&lt;&gt;"Serviço",0,IF(OR(AND(AUTOEVENTO="Manual",$M446=1),$M446&gt;(ROW(PLE.lastrow)-ROW(PLE.firstrow))),0,IF(OFFSET(PLE!$G$14,$M446,BZ$13)="",10^12,OFFSET(PLE!$G$14,$M446,BZ$13))))</f>
        <v>0</v>
      </c>
      <c r="CA446" s="216">
        <f ca="1">IF($D446&lt;&gt;"Serviço",0,IF(OR(AND(AUTOEVENTO="Manual",$M446=1),$M446&gt;(ROW(PLE.lastrow)-ROW(PLE.firstrow))),0,IF(OFFSET(PLE!$G$14,$M446,CA$13)="",10^12,OFFSET(PLE!$G$14,$M446,CA$13))))</f>
        <v>0</v>
      </c>
      <c r="CB446" s="216">
        <f ca="1">IF($D446&lt;&gt;"Serviço",0,IF(OR(AND(AUTOEVENTO="Manual",$M446=1),$M446&gt;(ROW(PLE.lastrow)-ROW(PLE.firstrow))),0,IF(OFFSET(PLE!$G$14,$M446,CB$13)="",10^12,OFFSET(PLE!$G$14,$M446,CB$13))))</f>
        <v>0</v>
      </c>
      <c r="CC446" s="216">
        <f ca="1">IF($D446&lt;&gt;"Serviço",0,IF(OR(AND(AUTOEVENTO="Manual",$M446=1),$M446&gt;(ROW(PLE.lastrow)-ROW(PLE.firstrow))),0,IF(OFFSET(PLE!$G$14,$M446,CC$13)="",10^12,OFFSET(PLE!$G$14,$M446,CC$13))))</f>
        <v>0</v>
      </c>
      <c r="CD446" s="216">
        <f ca="1">IF($D446&lt;&gt;"Serviço",0,IF(OR(AND(AUTOEVENTO="Manual",$M446=1),$M446&gt;(ROW(PLE.lastrow)-ROW(PLE.firstrow))),0,IF(OFFSET(PLE!$G$14,$M446,CD$13)="",10^12,OFFSET(PLE!$G$14,$M446,CD$13))))</f>
        <v>0</v>
      </c>
      <c r="CE446" s="216">
        <f ca="1">IF($D446&lt;&gt;"Serviço",0,IF(OR(AND(AUTOEVENTO="Manual",$M446=1),$M446&gt;(ROW(PLE.lastrow)-ROW(PLE.firstrow))),0,IF(OFFSET(PLE!$G$14,$M446,CE$13)="",10^12,OFFSET(PLE!$G$14,$M446,CE$13))))</f>
        <v>0</v>
      </c>
      <c r="CF446" s="216">
        <f ca="1">IF($D446&lt;&gt;"Serviço",0,IF(OR(AND(AUTOEVENTO="Manual",$M446=1),$M446&gt;(ROW(PLE.lastrow)-ROW(PLE.firstrow))),0,IF(OFFSET(PLE!$G$14,$M446,CF$13)="",10^12,OFFSET(PLE!$G$14,$M446,CF$13))))</f>
        <v>0</v>
      </c>
      <c r="CG446" s="216">
        <f ca="1">IF($D446&lt;&gt;"Serviço",0,IF(OR(AND(AUTOEVENTO="Manual",$M446=1),$M446&gt;(ROW(PLE.lastrow)-ROW(PLE.firstrow))),0,IF(OFFSET(PLE!$G$14,$M446,CG$13)="",10^12,OFFSET(PLE!$G$14,$M446,CG$13))))</f>
        <v>0</v>
      </c>
      <c r="CH446" s="216">
        <f ca="1">IF($D446&lt;&gt;"Serviço",0,IF(OR(AND(AUTOEVENTO="Manual",$M446=1),$M446&gt;(ROW(PLE.lastrow)-ROW(PLE.firstrow))),0,IF(OFFSET(PLE!$G$14,$M446,CH$13)="",10^12,OFFSET(PLE!$G$14,$M446,CH$13))))</f>
        <v>0</v>
      </c>
      <c r="CI446" s="216">
        <f ca="1">IF($D446&lt;&gt;"Serviço",0,IF(OR(AND(AUTOEVENTO="Manual",$M446=1),$M446&gt;(ROW(PLE.lastrow)-ROW(PLE.firstrow))),0,IF(OFFSET(PLE!$G$14,$M446,CI$13)="",10^12,OFFSET(PLE!$G$14,$M446,CI$13))))</f>
        <v>0</v>
      </c>
      <c r="CJ446" s="216">
        <f ca="1">IF($D446&lt;&gt;"Serviço",0,IF(OR(AND(AUTOEVENTO="Manual",$M446=1),$M446&gt;(ROW(PLE.lastrow)-ROW(PLE.firstrow))),0,IF(OFFSET(PLE!$G$14,$M446,CJ$13)="",10^12,OFFSET(PLE!$G$14,$M446,CJ$13))))</f>
        <v>0</v>
      </c>
      <c r="CK446" s="216">
        <f ca="1">IF($D446&lt;&gt;"Serviço",0,IF(OR(AND(AUTOEVENTO="Manual",$M446=1),$M446&gt;(ROW(PLE.lastrow)-ROW(PLE.firstrow))),0,IF(OFFSET(PLE!$G$14,$M446,CK$13)="",10^12,OFFSET(PLE!$G$14,$M446,CK$13))))</f>
        <v>0</v>
      </c>
      <c r="CL446" s="216">
        <f ca="1">IF($D446&lt;&gt;"Serviço",0,IF(OR(AND(AUTOEVENTO="Manual",$M446=1),$M446&gt;(ROW(PLE.lastrow)-ROW(PLE.firstrow))),0,IF(OFFSET(PLE!$G$14,$M446,CL$13)="",10^12,OFFSET(PLE!$G$14,$M446,CL$13))))</f>
        <v>0</v>
      </c>
      <c r="CM446" s="216">
        <f ca="1">IF($D446&lt;&gt;"Serviço",0,IF(OR(AND(AUTOEVENTO="Manual",$M446=1),$M446&gt;(ROW(PLE.lastrow)-ROW(PLE.firstrow))),0,IF(OFFSET(PLE!$G$14,$M446,CM$13)="",10^12,OFFSET(PLE!$G$14,$M446,CM$13))))</f>
        <v>0</v>
      </c>
    </row>
    <row r="447" spans="1:91" ht="13.2" x14ac:dyDescent="0.25">
      <c r="A447" s="9">
        <f t="shared" ca="1" si="15"/>
        <v>0</v>
      </c>
      <c r="B447" s="9" t="str">
        <f ca="1">OFFSET(ORÇAMENTO!C$15,ROW(B447)-ROW(B$15),0)</f>
        <v>S</v>
      </c>
      <c r="C447" s="9" t="str">
        <f ca="1">OFFSET(ORÇAMENTO!L$15,ROW(C447)-ROW(C$15),0)</f>
        <v/>
      </c>
      <c r="D447" s="145" t="str">
        <f ca="1">OFFSET(ORÇAMENTO!N$15,ROW(D447)-ROW(D$15),0)</f>
        <v>Serviço</v>
      </c>
      <c r="E447" s="205" t="str">
        <f ca="1">OFFSET(ORÇAMENTO!O$15,ROW(E447)-ROW(E$15),0)</f>
        <v>-</v>
      </c>
      <c r="F447" s="206" t="str">
        <f ca="1">OFFSET(ORÇAMENTO!R$15,ROW(F447)-ROW(F$15),0)</f>
        <v>(abra o arquivo 'Referência 05-2024.xls)</v>
      </c>
      <c r="G447" s="207" t="str">
        <f ca="1">IF($D447&lt;&gt;"Serviço","",OFFSET(ORÇAMENTO!S$15,ROW(G447)-ROW(G$15),0))</f>
        <v>-</v>
      </c>
      <c r="H447" s="151">
        <f ca="1">IF($D447&lt;&gt;"Serviço",0,IF(ACOMPANHAMENTO="BM",ROUND(OFFSET(ORÇAMENTO!AJ$15,ROW(H447)-ROW(H$15),0),15-13*ORÇAMENTO!$AF$7),SUMPRODUCT(($Q$12:$AI$12&lt;&gt;"")*ROUND($Q447:$AI447,15-13*ORÇAMENTO!$AF$7))))</f>
        <v>13</v>
      </c>
      <c r="I447" s="650"/>
      <c r="K447" s="208"/>
      <c r="L447" s="209" t="s">
        <v>257</v>
      </c>
      <c r="M447" s="210">
        <f ca="1">IF($D447&lt;&gt;"Serviço","",IF(AUTOEVENTO="manual",$A447,IF(ISERROR(MATCH($A447,$A$15:OFFSET($A447,-1,0),0)),MAX($M$15:OFFSET(M447,-1,0))+1,INDEX($M$15:OFFSET(M447,-1,0),MATCH($A447,$A$15:OFFSET($A447,-1,0),0)))))</f>
        <v>0</v>
      </c>
      <c r="N447" s="211" t="str">
        <f ca="1">IF($D447&lt;&gt;"Serviço","",IF(AUTOEVENTO="Manual",IF($A447=0,"&lt;-- defina o número do agrupador",OFFSET(EVENTOS!$D$14,$A447,0)),OFFSET($F$15,$A447,0)))</f>
        <v>&lt;-- defina o número do agrupador</v>
      </c>
      <c r="O447" s="212"/>
      <c r="Q447" s="212"/>
      <c r="R447" s="213"/>
      <c r="S447" s="213"/>
      <c r="T447" s="213"/>
      <c r="U447" s="213"/>
      <c r="V447" s="213"/>
      <c r="W447" s="213"/>
      <c r="X447" s="213"/>
      <c r="Y447" s="213"/>
      <c r="Z447" s="214"/>
      <c r="AA447" s="213"/>
      <c r="AB447" s="213"/>
      <c r="AC447" s="213"/>
      <c r="AD447" s="213"/>
      <c r="AE447" s="213"/>
      <c r="AF447" s="213"/>
      <c r="AG447" s="213"/>
      <c r="AH447" s="214"/>
      <c r="AJ447" s="631">
        <f ca="1">IF(AND($D447="Serviço",AJ$12&lt;&gt;0,$H447&gt;0,OR(AUTOEVENTO&lt;&gt;"manual",$M447&lt;&gt;1)),ROUND(OFFSET($P447,0,AJ$13),15-13*ORÇAMENTO!$AF$7)/$H447*OFFSET(ORÇAMENTO!$X$15,ROW(AJ447)-ROW(AJ$15),0),0)</f>
        <v>0</v>
      </c>
      <c r="AK447" s="632">
        <f ca="1">IF(AND($D447="Serviço",AK$12&lt;&gt;0,$H447&gt;0,OR(AUTOEVENTO&lt;&gt;"manual",$M447&lt;&gt;1)),ROUND(OFFSET($P447,0,AK$13),15-13*ORÇAMENTO!$AF$7)/$H447*OFFSET(ORÇAMENTO!$X$15,ROW(AK447)-ROW(AK$15),0),0)</f>
        <v>0</v>
      </c>
      <c r="AL447" s="632">
        <f ca="1">IF(AND($D447="Serviço",AL$12&lt;&gt;0,$H447&gt;0,OR(AUTOEVENTO&lt;&gt;"manual",$M447&lt;&gt;1)),ROUND(OFFSET($P447,0,AL$13),15-13*ORÇAMENTO!$AF$7)/$H447*OFFSET(ORÇAMENTO!$X$15,ROW(AL447)-ROW(AL$15),0),0)</f>
        <v>0</v>
      </c>
      <c r="AM447" s="632">
        <f ca="1">IF(AND($D447="Serviço",AM$12&lt;&gt;0,$H447&gt;0,OR(AUTOEVENTO&lt;&gt;"manual",$M447&lt;&gt;1)),ROUND(OFFSET($P447,0,AM$13),15-13*ORÇAMENTO!$AF$7)/$H447*OFFSET(ORÇAMENTO!$X$15,ROW(AM447)-ROW(AM$15),0),0)</f>
        <v>0</v>
      </c>
      <c r="AN447" s="632">
        <f ca="1">IF(AND($D447="Serviço",AN$12&lt;&gt;0,$H447&gt;0,OR(AUTOEVENTO&lt;&gt;"manual",$M447&lt;&gt;1)),ROUND(OFFSET($P447,0,AN$13),15-13*ORÇAMENTO!$AF$7)/$H447*OFFSET(ORÇAMENTO!$X$15,ROW(AN447)-ROW(AN$15),0),0)</f>
        <v>0</v>
      </c>
      <c r="AO447" s="632">
        <f ca="1">IF(AND($D447="Serviço",AO$12&lt;&gt;0,$H447&gt;0,OR(AUTOEVENTO&lt;&gt;"manual",$M447&lt;&gt;1)),ROUND(OFFSET($P447,0,AO$13),15-13*ORÇAMENTO!$AF$7)/$H447*OFFSET(ORÇAMENTO!$X$15,ROW(AO447)-ROW(AO$15),0),0)</f>
        <v>0</v>
      </c>
      <c r="AP447" s="632">
        <f ca="1">IF(AND($D447="Serviço",AP$12&lt;&gt;0,$H447&gt;0,OR(AUTOEVENTO&lt;&gt;"manual",$M447&lt;&gt;1)),ROUND(OFFSET($P447,0,AP$13),15-13*ORÇAMENTO!$AF$7)/$H447*OFFSET(ORÇAMENTO!$X$15,ROW(AP447)-ROW(AP$15),0),0)</f>
        <v>0</v>
      </c>
      <c r="AQ447" s="632">
        <f ca="1">IF(AND($D447="Serviço",AQ$12&lt;&gt;0,$H447&gt;0,OR(AUTOEVENTO&lt;&gt;"manual",$M447&lt;&gt;1)),ROUND(OFFSET($P447,0,AQ$13),15-13*ORÇAMENTO!$AF$7)/$H447*OFFSET(ORÇAMENTO!$X$15,ROW(AQ447)-ROW(AQ$15),0),0)</f>
        <v>0</v>
      </c>
      <c r="AR447" s="632">
        <f ca="1">IF(AND($D447="Serviço",AR$12&lt;&gt;0,$H447&gt;0,OR(AUTOEVENTO&lt;&gt;"manual",$M447&lt;&gt;1)),ROUND(OFFSET($P447,0,AR$13),15-13*ORÇAMENTO!$AF$7)/$H447*OFFSET(ORÇAMENTO!$X$15,ROW(AR447)-ROW(AR$15),0),0)</f>
        <v>0</v>
      </c>
      <c r="AS447" s="633">
        <f ca="1">IF(AND($D447="Serviço",AS$12&lt;&gt;0,$H447&gt;0,OR(AUTOEVENTO&lt;&gt;"manual",$M447&lt;&gt;1)),ROUND(OFFSET($P447,0,AS$13),15-13*ORÇAMENTO!$AF$7)/$H447*OFFSET(ORÇAMENTO!$X$15,ROW(AS447)-ROW(AS$15),0),0)</f>
        <v>0</v>
      </c>
      <c r="AT447" s="632">
        <f ca="1">IF(AND($D447="Serviço",AT$12&lt;&gt;0,$H447&gt;0,OR(AUTOEVENTO&lt;&gt;"manual",$M447&lt;&gt;1)),ROUND(OFFSET($P447,0,AT$13),15-13*ORÇAMENTO!$AF$7)/$H447*OFFSET(ORÇAMENTO!$X$15,ROW(AT447)-ROW(AT$15),0),0)</f>
        <v>0</v>
      </c>
      <c r="AU447" s="632">
        <f ca="1">IF(AND($D447="Serviço",AU$12&lt;&gt;0,$H447&gt;0,OR(AUTOEVENTO&lt;&gt;"manual",$M447&lt;&gt;1)),ROUND(OFFSET($P447,0,AU$13),15-13*ORÇAMENTO!$AF$7)/$H447*OFFSET(ORÇAMENTO!$X$15,ROW(AU447)-ROW(AU$15),0),0)</f>
        <v>0</v>
      </c>
      <c r="AV447" s="632">
        <f ca="1">IF(AND($D447="Serviço",AV$12&lt;&gt;0,$H447&gt;0,OR(AUTOEVENTO&lt;&gt;"manual",$M447&lt;&gt;1)),ROUND(OFFSET($P447,0,AV$13),15-13*ORÇAMENTO!$AF$7)/$H447*OFFSET(ORÇAMENTO!$X$15,ROW(AV447)-ROW(AV$15),0),0)</f>
        <v>0</v>
      </c>
      <c r="AW447" s="632">
        <f ca="1">IF(AND($D447="Serviço",AW$12&lt;&gt;0,$H447&gt;0,OR(AUTOEVENTO&lt;&gt;"manual",$M447&lt;&gt;1)),ROUND(OFFSET($P447,0,AW$13),15-13*ORÇAMENTO!$AF$7)/$H447*OFFSET(ORÇAMENTO!$X$15,ROW(AW447)-ROW(AW$15),0),0)</f>
        <v>0</v>
      </c>
      <c r="AX447" s="632">
        <f ca="1">IF(AND($D447="Serviço",AX$12&lt;&gt;0,$H447&gt;0,OR(AUTOEVENTO&lt;&gt;"manual",$M447&lt;&gt;1)),ROUND(OFFSET($P447,0,AX$13),15-13*ORÇAMENTO!$AF$7)/$H447*OFFSET(ORÇAMENTO!$X$15,ROW(AX447)-ROW(AX$15),0),0)</f>
        <v>0</v>
      </c>
      <c r="AY447" s="632">
        <f ca="1">IF(AND($D447="Serviço",AY$12&lt;&gt;0,$H447&gt;0,OR(AUTOEVENTO&lt;&gt;"manual",$M447&lt;&gt;1)),ROUND(OFFSET($P447,0,AY$13),15-13*ORÇAMENTO!$AF$7)/$H447*OFFSET(ORÇAMENTO!$X$15,ROW(AY447)-ROW(AY$15),0),0)</f>
        <v>0</v>
      </c>
      <c r="AZ447" s="632">
        <f ca="1">IF(AND($D447="Serviço",AZ$12&lt;&gt;0,$H447&gt;0,OR(AUTOEVENTO&lt;&gt;"manual",$M447&lt;&gt;1)),ROUND(OFFSET($P447,0,AZ$13),15-13*ORÇAMENTO!$AF$7)/$H447*OFFSET(ORÇAMENTO!$X$15,ROW(AZ447)-ROW(AZ$15),0),0)</f>
        <v>0</v>
      </c>
      <c r="BA447" s="633">
        <f ca="1">IF(AND($D447="Serviço",BA$12&lt;&gt;0,$H447&gt;0,OR(AUTOEVENTO&lt;&gt;"manual",$M447&lt;&gt;1)),ROUND(OFFSET($P447,0,BA$13),15-13*ORÇAMENTO!$AF$7)/$H447*OFFSET(ORÇAMENTO!$X$15,ROW(BA447)-ROW(BA$15),0),0)</f>
        <v>0</v>
      </c>
      <c r="BC447" s="215">
        <f ca="1">IF($D447&lt;&gt;"Serviço",0,IF(AND(AUTOEVENTO="Manual",$M447=1),0,IF(OFFSET(CRONOPLE!$F$14,$M447,BC$13)="",10^12,OFFSET(CRONOPLE!$F$14,$M447,BC$13))))</f>
        <v>1000000000000</v>
      </c>
      <c r="BD447" s="215">
        <f ca="1">IF($D447&lt;&gt;"Serviço",0,IF(AND(AUTOEVENTO="Manual",$M447=1),0,IF(OFFSET(CRONOPLE!$F$14,$M447,BD$13)="",10^12,OFFSET(CRONOPLE!$F$14,$M447,BD$13))))</f>
        <v>1000000000000</v>
      </c>
      <c r="BE447" s="215">
        <f ca="1">IF($D447&lt;&gt;"Serviço",0,IF(AND(AUTOEVENTO="Manual",$M447=1),0,IF(OFFSET(CRONOPLE!$F$14,$M447,BE$13)="",10^12,OFFSET(CRONOPLE!$F$14,$M447,BE$13))))</f>
        <v>1000000000000</v>
      </c>
      <c r="BF447" s="215">
        <f ca="1">IF($D447&lt;&gt;"Serviço",0,IF(AND(AUTOEVENTO="Manual",$M447=1),0,IF(OFFSET(CRONOPLE!$F$14,$M447,BF$13)="",10^12,OFFSET(CRONOPLE!$F$14,$M447,BF$13))))</f>
        <v>1000000000000</v>
      </c>
      <c r="BG447" s="215">
        <f ca="1">IF($D447&lt;&gt;"Serviço",0,IF(AND(AUTOEVENTO="Manual",$M447=1),0,IF(OFFSET(CRONOPLE!$F$14,$M447,BG$13)="",10^12,OFFSET(CRONOPLE!$F$14,$M447,BG$13))))</f>
        <v>1000000000000</v>
      </c>
      <c r="BH447" s="215">
        <f ca="1">IF($D447&lt;&gt;"Serviço",0,IF(AND(AUTOEVENTO="Manual",$M447=1),0,IF(OFFSET(CRONOPLE!$F$14,$M447,BH$13)="",10^12,OFFSET(CRONOPLE!$F$14,$M447,BH$13))))</f>
        <v>1000000000000</v>
      </c>
      <c r="BI447" s="215">
        <f ca="1">IF($D447&lt;&gt;"Serviço",0,IF(AND(AUTOEVENTO="Manual",$M447=1),0,IF(OFFSET(CRONOPLE!$F$14,$M447,BI$13)="",10^12,OFFSET(CRONOPLE!$F$14,$M447,BI$13))))</f>
        <v>1000000000000</v>
      </c>
      <c r="BJ447" s="215">
        <f ca="1">IF($D447&lt;&gt;"Serviço",0,IF(AND(AUTOEVENTO="Manual",$M447=1),0,IF(OFFSET(CRONOPLE!$F$14,$M447,BJ$13)="",10^12,OFFSET(CRONOPLE!$F$14,$M447,BJ$13))))</f>
        <v>1000000000000</v>
      </c>
      <c r="BK447" s="215">
        <f ca="1">IF($D447&lt;&gt;"Serviço",0,IF(AND(AUTOEVENTO="Manual",$M447=1),0,IF(OFFSET(CRONOPLE!$F$14,$M447,BK$13)="",10^12,OFFSET(CRONOPLE!$F$14,$M447,BK$13))))</f>
        <v>1000000000000</v>
      </c>
      <c r="BL447" s="215">
        <f ca="1">IF($D447&lt;&gt;"Serviço",0,IF(AND(AUTOEVENTO="Manual",$M447=1),0,IF(OFFSET(CRONOPLE!$F$14,$M447,BL$13)="",10^12,OFFSET(CRONOPLE!$F$14,$M447,BL$13))))</f>
        <v>1000000000000</v>
      </c>
      <c r="BM447" s="215">
        <f ca="1">IF($D447&lt;&gt;"Serviço",0,IF(AND(AUTOEVENTO="Manual",$M447=1),0,IF(OFFSET(CRONOPLE!$F$14,$M447,BM$13)="",10^12,OFFSET(CRONOPLE!$F$14,$M447,BM$13))))</f>
        <v>1000000000000</v>
      </c>
      <c r="BN447" s="215">
        <f ca="1">IF($D447&lt;&gt;"Serviço",0,IF(AND(AUTOEVENTO="Manual",$M447=1),0,IF(OFFSET(CRONOPLE!$F$14,$M447,BN$13)="",10^12,OFFSET(CRONOPLE!$F$14,$M447,BN$13))))</f>
        <v>1000000000000</v>
      </c>
      <c r="BO447" s="215">
        <f ca="1">IF($D447&lt;&gt;"Serviço",0,IF(AND(AUTOEVENTO="Manual",$M447=1),0,IF(OFFSET(CRONOPLE!$F$14,$M447,BO$13)="",10^12,OFFSET(CRONOPLE!$F$14,$M447,BO$13))))</f>
        <v>1000000000000</v>
      </c>
      <c r="BP447" s="215">
        <f ca="1">IF($D447&lt;&gt;"Serviço",0,IF(AND(AUTOEVENTO="Manual",$M447=1),0,IF(OFFSET(CRONOPLE!$F$14,$M447,BP$13)="",10^12,OFFSET(CRONOPLE!$F$14,$M447,BP$13))))</f>
        <v>1000000000000</v>
      </c>
      <c r="BQ447" s="215">
        <f ca="1">IF($D447&lt;&gt;"Serviço",0,IF(AND(AUTOEVENTO="Manual",$M447=1),0,IF(OFFSET(CRONOPLE!$F$14,$M447,BQ$13)="",10^12,OFFSET(CRONOPLE!$F$14,$M447,BQ$13))))</f>
        <v>1000000000000</v>
      </c>
      <c r="BR447" s="215">
        <f ca="1">IF($D447&lt;&gt;"Serviço",0,IF(AND(AUTOEVENTO="Manual",$M447=1),0,IF(OFFSET(CRONOPLE!$F$14,$M447,BR$13)="",10^12,OFFSET(CRONOPLE!$F$14,$M447,BR$13))))</f>
        <v>1000000000000</v>
      </c>
      <c r="BS447" s="215">
        <f ca="1">IF($D447&lt;&gt;"Serviço",0,IF(AND(AUTOEVENTO="Manual",$M447=1),0,IF(OFFSET(CRONOPLE!$F$14,$M447,BS$13)="",10^12,OFFSET(CRONOPLE!$F$14,$M447,BS$13))))</f>
        <v>1000000000000</v>
      </c>
      <c r="BT447" s="215">
        <f ca="1">IF($D447&lt;&gt;"Serviço",0,IF(AND(AUTOEVENTO="Manual",$M447=1),0,IF(OFFSET(CRONOPLE!$F$14,$M447,BT$13)="",10^12,OFFSET(CRONOPLE!$F$14,$M447,BT$13))))</f>
        <v>1000000000000</v>
      </c>
      <c r="BV447" s="216">
        <f ca="1">IF($D447&lt;&gt;"Serviço",0,IF(OR(AND(AUTOEVENTO="Manual",$M447=1),$M447&gt;(ROW(PLE.lastrow)-ROW(PLE.firstrow))),0,IF(OFFSET(PLE!$G$14,$M447,BV$13)="",10^12,OFFSET(PLE!$G$14,$M447,BV$13))))</f>
        <v>1000000000000</v>
      </c>
      <c r="BW447" s="216">
        <f ca="1">IF($D447&lt;&gt;"Serviço",0,IF(OR(AND(AUTOEVENTO="Manual",$M447=1),$M447&gt;(ROW(PLE.lastrow)-ROW(PLE.firstrow))),0,IF(OFFSET(PLE!$G$14,$M447,BW$13)="",10^12,OFFSET(PLE!$G$14,$M447,BW$13))))</f>
        <v>1000000000000</v>
      </c>
      <c r="BX447" s="216">
        <f ca="1">IF($D447&lt;&gt;"Serviço",0,IF(OR(AND(AUTOEVENTO="Manual",$M447=1),$M447&gt;(ROW(PLE.lastrow)-ROW(PLE.firstrow))),0,IF(OFFSET(PLE!$G$14,$M447,BX$13)="",10^12,OFFSET(PLE!$G$14,$M447,BX$13))))</f>
        <v>1000000000000</v>
      </c>
      <c r="BY447" s="216">
        <f ca="1">IF($D447&lt;&gt;"Serviço",0,IF(OR(AND(AUTOEVENTO="Manual",$M447=1),$M447&gt;(ROW(PLE.lastrow)-ROW(PLE.firstrow))),0,IF(OFFSET(PLE!$G$14,$M447,BY$13)="",10^12,OFFSET(PLE!$G$14,$M447,BY$13))))</f>
        <v>1000000000000</v>
      </c>
      <c r="BZ447" s="216">
        <f ca="1">IF($D447&lt;&gt;"Serviço",0,IF(OR(AND(AUTOEVENTO="Manual",$M447=1),$M447&gt;(ROW(PLE.lastrow)-ROW(PLE.firstrow))),0,IF(OFFSET(PLE!$G$14,$M447,BZ$13)="",10^12,OFFSET(PLE!$G$14,$M447,BZ$13))))</f>
        <v>1000000000000</v>
      </c>
      <c r="CA447" s="216">
        <f ca="1">IF($D447&lt;&gt;"Serviço",0,IF(OR(AND(AUTOEVENTO="Manual",$M447=1),$M447&gt;(ROW(PLE.lastrow)-ROW(PLE.firstrow))),0,IF(OFFSET(PLE!$G$14,$M447,CA$13)="",10^12,OFFSET(PLE!$G$14,$M447,CA$13))))</f>
        <v>1000000000000</v>
      </c>
      <c r="CB447" s="216">
        <f ca="1">IF($D447&lt;&gt;"Serviço",0,IF(OR(AND(AUTOEVENTO="Manual",$M447=1),$M447&gt;(ROW(PLE.lastrow)-ROW(PLE.firstrow))),0,IF(OFFSET(PLE!$G$14,$M447,CB$13)="",10^12,OFFSET(PLE!$G$14,$M447,CB$13))))</f>
        <v>1000000000000</v>
      </c>
      <c r="CC447" s="216">
        <f ca="1">IF($D447&lt;&gt;"Serviço",0,IF(OR(AND(AUTOEVENTO="Manual",$M447=1),$M447&gt;(ROW(PLE.lastrow)-ROW(PLE.firstrow))),0,IF(OFFSET(PLE!$G$14,$M447,CC$13)="",10^12,OFFSET(PLE!$G$14,$M447,CC$13))))</f>
        <v>1000000000000</v>
      </c>
      <c r="CD447" s="216">
        <f ca="1">IF($D447&lt;&gt;"Serviço",0,IF(OR(AND(AUTOEVENTO="Manual",$M447=1),$M447&gt;(ROW(PLE.lastrow)-ROW(PLE.firstrow))),0,IF(OFFSET(PLE!$G$14,$M447,CD$13)="",10^12,OFFSET(PLE!$G$14,$M447,CD$13))))</f>
        <v>1000000000000</v>
      </c>
      <c r="CE447" s="216">
        <f ca="1">IF($D447&lt;&gt;"Serviço",0,IF(OR(AND(AUTOEVENTO="Manual",$M447=1),$M447&gt;(ROW(PLE.lastrow)-ROW(PLE.firstrow))),0,IF(OFFSET(PLE!$G$14,$M447,CE$13)="",10^12,OFFSET(PLE!$G$14,$M447,CE$13))))</f>
        <v>1000000000000</v>
      </c>
      <c r="CF447" s="216">
        <f ca="1">IF($D447&lt;&gt;"Serviço",0,IF(OR(AND(AUTOEVENTO="Manual",$M447=1),$M447&gt;(ROW(PLE.lastrow)-ROW(PLE.firstrow))),0,IF(OFFSET(PLE!$G$14,$M447,CF$13)="",10^12,OFFSET(PLE!$G$14,$M447,CF$13))))</f>
        <v>1000000000000</v>
      </c>
      <c r="CG447" s="216">
        <f ca="1">IF($D447&lt;&gt;"Serviço",0,IF(OR(AND(AUTOEVENTO="Manual",$M447=1),$M447&gt;(ROW(PLE.lastrow)-ROW(PLE.firstrow))),0,IF(OFFSET(PLE!$G$14,$M447,CG$13)="",10^12,OFFSET(PLE!$G$14,$M447,CG$13))))</f>
        <v>1000000000000</v>
      </c>
      <c r="CH447" s="216">
        <f ca="1">IF($D447&lt;&gt;"Serviço",0,IF(OR(AND(AUTOEVENTO="Manual",$M447=1),$M447&gt;(ROW(PLE.lastrow)-ROW(PLE.firstrow))),0,IF(OFFSET(PLE!$G$14,$M447,CH$13)="",10^12,OFFSET(PLE!$G$14,$M447,CH$13))))</f>
        <v>1000000000000</v>
      </c>
      <c r="CI447" s="216">
        <f ca="1">IF($D447&lt;&gt;"Serviço",0,IF(OR(AND(AUTOEVENTO="Manual",$M447=1),$M447&gt;(ROW(PLE.lastrow)-ROW(PLE.firstrow))),0,IF(OFFSET(PLE!$G$14,$M447,CI$13)="",10^12,OFFSET(PLE!$G$14,$M447,CI$13))))</f>
        <v>1000000000000</v>
      </c>
      <c r="CJ447" s="216">
        <f ca="1">IF($D447&lt;&gt;"Serviço",0,IF(OR(AND(AUTOEVENTO="Manual",$M447=1),$M447&gt;(ROW(PLE.lastrow)-ROW(PLE.firstrow))),0,IF(OFFSET(PLE!$G$14,$M447,CJ$13)="",10^12,OFFSET(PLE!$G$14,$M447,CJ$13))))</f>
        <v>1000000000000</v>
      </c>
      <c r="CK447" s="216">
        <f ca="1">IF($D447&lt;&gt;"Serviço",0,IF(OR(AND(AUTOEVENTO="Manual",$M447=1),$M447&gt;(ROW(PLE.lastrow)-ROW(PLE.firstrow))),0,IF(OFFSET(PLE!$G$14,$M447,CK$13)="",10^12,OFFSET(PLE!$G$14,$M447,CK$13))))</f>
        <v>1000000000000</v>
      </c>
      <c r="CL447" s="216">
        <f ca="1">IF($D447&lt;&gt;"Serviço",0,IF(OR(AND(AUTOEVENTO="Manual",$M447=1),$M447&gt;(ROW(PLE.lastrow)-ROW(PLE.firstrow))),0,IF(OFFSET(PLE!$G$14,$M447,CL$13)="",10^12,OFFSET(PLE!$G$14,$M447,CL$13))))</f>
        <v>1000000000000</v>
      </c>
      <c r="CM447" s="216">
        <f ca="1">IF($D447&lt;&gt;"Serviço",0,IF(OR(AND(AUTOEVENTO="Manual",$M447=1),$M447&gt;(ROW(PLE.lastrow)-ROW(PLE.firstrow))),0,IF(OFFSET(PLE!$G$14,$M447,CM$13)="",10^12,OFFSET(PLE!$G$14,$M447,CM$13))))</f>
        <v>1000000000000</v>
      </c>
    </row>
    <row r="448" spans="1:91" ht="13.2" x14ac:dyDescent="0.25">
      <c r="A448" s="9">
        <f t="shared" ca="1" si="15"/>
        <v>0</v>
      </c>
      <c r="B448" s="9" t="str">
        <f ca="1">OFFSET(ORÇAMENTO!C$15,ROW(B448)-ROW(B$15),0)</f>
        <v>S</v>
      </c>
      <c r="C448" s="9" t="str">
        <f ca="1">OFFSET(ORÇAMENTO!L$15,ROW(C448)-ROW(C$15),0)</f>
        <v/>
      </c>
      <c r="D448" s="145" t="str">
        <f ca="1">OFFSET(ORÇAMENTO!N$15,ROW(D448)-ROW(D$15),0)</f>
        <v>Serviço</v>
      </c>
      <c r="E448" s="205" t="str">
        <f ca="1">OFFSET(ORÇAMENTO!O$15,ROW(E448)-ROW(E$15),0)</f>
        <v>-</v>
      </c>
      <c r="F448" s="206" t="str">
        <f ca="1">OFFSET(ORÇAMENTO!R$15,ROW(F448)-ROW(F$15),0)</f>
        <v>(abra o arquivo 'Referência 05-2024.xls)</v>
      </c>
      <c r="G448" s="207" t="str">
        <f ca="1">IF($D448&lt;&gt;"Serviço","",OFFSET(ORÇAMENTO!S$15,ROW(G448)-ROW(G$15),0))</f>
        <v>-</v>
      </c>
      <c r="H448" s="151">
        <f ca="1">IF($D448&lt;&gt;"Serviço",0,IF(ACOMPANHAMENTO="BM",ROUND(OFFSET(ORÇAMENTO!AJ$15,ROW(H448)-ROW(H$15),0),15-13*ORÇAMENTO!$AF$7),SUMPRODUCT(($Q$12:$AI$12&lt;&gt;"")*ROUND($Q448:$AI448,15-13*ORÇAMENTO!$AF$7))))</f>
        <v>13</v>
      </c>
      <c r="I448" s="650"/>
      <c r="K448" s="208"/>
      <c r="L448" s="209" t="s">
        <v>257</v>
      </c>
      <c r="M448" s="210">
        <f ca="1">IF($D448&lt;&gt;"Serviço","",IF(AUTOEVENTO="manual",$A448,IF(ISERROR(MATCH($A448,$A$15:OFFSET($A448,-1,0),0)),MAX($M$15:OFFSET(M448,-1,0))+1,INDEX($M$15:OFFSET(M448,-1,0),MATCH($A448,$A$15:OFFSET($A448,-1,0),0)))))</f>
        <v>0</v>
      </c>
      <c r="N448" s="211" t="str">
        <f ca="1">IF($D448&lt;&gt;"Serviço","",IF(AUTOEVENTO="Manual",IF($A448=0,"&lt;-- defina o número do agrupador",OFFSET(EVENTOS!$D$14,$A448,0)),OFFSET($F$15,$A448,0)))</f>
        <v>&lt;-- defina o número do agrupador</v>
      </c>
      <c r="O448" s="212"/>
      <c r="Q448" s="212"/>
      <c r="R448" s="213"/>
      <c r="S448" s="213"/>
      <c r="T448" s="213"/>
      <c r="U448" s="213"/>
      <c r="V448" s="213"/>
      <c r="W448" s="213"/>
      <c r="X448" s="213"/>
      <c r="Y448" s="213"/>
      <c r="Z448" s="214"/>
      <c r="AA448" s="213"/>
      <c r="AB448" s="213"/>
      <c r="AC448" s="213"/>
      <c r="AD448" s="213"/>
      <c r="AE448" s="213"/>
      <c r="AF448" s="213"/>
      <c r="AG448" s="213"/>
      <c r="AH448" s="214"/>
      <c r="AJ448" s="631">
        <f ca="1">IF(AND($D448="Serviço",AJ$12&lt;&gt;0,$H448&gt;0,OR(AUTOEVENTO&lt;&gt;"manual",$M448&lt;&gt;1)),ROUND(OFFSET($P448,0,AJ$13),15-13*ORÇAMENTO!$AF$7)/$H448*OFFSET(ORÇAMENTO!$X$15,ROW(AJ448)-ROW(AJ$15),0),0)</f>
        <v>0</v>
      </c>
      <c r="AK448" s="632">
        <f ca="1">IF(AND($D448="Serviço",AK$12&lt;&gt;0,$H448&gt;0,OR(AUTOEVENTO&lt;&gt;"manual",$M448&lt;&gt;1)),ROUND(OFFSET($P448,0,AK$13),15-13*ORÇAMENTO!$AF$7)/$H448*OFFSET(ORÇAMENTO!$X$15,ROW(AK448)-ROW(AK$15),0),0)</f>
        <v>0</v>
      </c>
      <c r="AL448" s="632">
        <f ca="1">IF(AND($D448="Serviço",AL$12&lt;&gt;0,$H448&gt;0,OR(AUTOEVENTO&lt;&gt;"manual",$M448&lt;&gt;1)),ROUND(OFFSET($P448,0,AL$13),15-13*ORÇAMENTO!$AF$7)/$H448*OFFSET(ORÇAMENTO!$X$15,ROW(AL448)-ROW(AL$15),0),0)</f>
        <v>0</v>
      </c>
      <c r="AM448" s="632">
        <f ca="1">IF(AND($D448="Serviço",AM$12&lt;&gt;0,$H448&gt;0,OR(AUTOEVENTO&lt;&gt;"manual",$M448&lt;&gt;1)),ROUND(OFFSET($P448,0,AM$13),15-13*ORÇAMENTO!$AF$7)/$H448*OFFSET(ORÇAMENTO!$X$15,ROW(AM448)-ROW(AM$15),0),0)</f>
        <v>0</v>
      </c>
      <c r="AN448" s="632">
        <f ca="1">IF(AND($D448="Serviço",AN$12&lt;&gt;0,$H448&gt;0,OR(AUTOEVENTO&lt;&gt;"manual",$M448&lt;&gt;1)),ROUND(OFFSET($P448,0,AN$13),15-13*ORÇAMENTO!$AF$7)/$H448*OFFSET(ORÇAMENTO!$X$15,ROW(AN448)-ROW(AN$15),0),0)</f>
        <v>0</v>
      </c>
      <c r="AO448" s="632">
        <f ca="1">IF(AND($D448="Serviço",AO$12&lt;&gt;0,$H448&gt;0,OR(AUTOEVENTO&lt;&gt;"manual",$M448&lt;&gt;1)),ROUND(OFFSET($P448,0,AO$13),15-13*ORÇAMENTO!$AF$7)/$H448*OFFSET(ORÇAMENTO!$X$15,ROW(AO448)-ROW(AO$15),0),0)</f>
        <v>0</v>
      </c>
      <c r="AP448" s="632">
        <f ca="1">IF(AND($D448="Serviço",AP$12&lt;&gt;0,$H448&gt;0,OR(AUTOEVENTO&lt;&gt;"manual",$M448&lt;&gt;1)),ROUND(OFFSET($P448,0,AP$13),15-13*ORÇAMENTO!$AF$7)/$H448*OFFSET(ORÇAMENTO!$X$15,ROW(AP448)-ROW(AP$15),0),0)</f>
        <v>0</v>
      </c>
      <c r="AQ448" s="632">
        <f ca="1">IF(AND($D448="Serviço",AQ$12&lt;&gt;0,$H448&gt;0,OR(AUTOEVENTO&lt;&gt;"manual",$M448&lt;&gt;1)),ROUND(OFFSET($P448,0,AQ$13),15-13*ORÇAMENTO!$AF$7)/$H448*OFFSET(ORÇAMENTO!$X$15,ROW(AQ448)-ROW(AQ$15),0),0)</f>
        <v>0</v>
      </c>
      <c r="AR448" s="632">
        <f ca="1">IF(AND($D448="Serviço",AR$12&lt;&gt;0,$H448&gt;0,OR(AUTOEVENTO&lt;&gt;"manual",$M448&lt;&gt;1)),ROUND(OFFSET($P448,0,AR$13),15-13*ORÇAMENTO!$AF$7)/$H448*OFFSET(ORÇAMENTO!$X$15,ROW(AR448)-ROW(AR$15),0),0)</f>
        <v>0</v>
      </c>
      <c r="AS448" s="633">
        <f ca="1">IF(AND($D448="Serviço",AS$12&lt;&gt;0,$H448&gt;0,OR(AUTOEVENTO&lt;&gt;"manual",$M448&lt;&gt;1)),ROUND(OFFSET($P448,0,AS$13),15-13*ORÇAMENTO!$AF$7)/$H448*OFFSET(ORÇAMENTO!$X$15,ROW(AS448)-ROW(AS$15),0),0)</f>
        <v>0</v>
      </c>
      <c r="AT448" s="632">
        <f ca="1">IF(AND($D448="Serviço",AT$12&lt;&gt;0,$H448&gt;0,OR(AUTOEVENTO&lt;&gt;"manual",$M448&lt;&gt;1)),ROUND(OFFSET($P448,0,AT$13),15-13*ORÇAMENTO!$AF$7)/$H448*OFFSET(ORÇAMENTO!$X$15,ROW(AT448)-ROW(AT$15),0),0)</f>
        <v>0</v>
      </c>
      <c r="AU448" s="632">
        <f ca="1">IF(AND($D448="Serviço",AU$12&lt;&gt;0,$H448&gt;0,OR(AUTOEVENTO&lt;&gt;"manual",$M448&lt;&gt;1)),ROUND(OFFSET($P448,0,AU$13),15-13*ORÇAMENTO!$AF$7)/$H448*OFFSET(ORÇAMENTO!$X$15,ROW(AU448)-ROW(AU$15),0),0)</f>
        <v>0</v>
      </c>
      <c r="AV448" s="632">
        <f ca="1">IF(AND($D448="Serviço",AV$12&lt;&gt;0,$H448&gt;0,OR(AUTOEVENTO&lt;&gt;"manual",$M448&lt;&gt;1)),ROUND(OFFSET($P448,0,AV$13),15-13*ORÇAMENTO!$AF$7)/$H448*OFFSET(ORÇAMENTO!$X$15,ROW(AV448)-ROW(AV$15),0),0)</f>
        <v>0</v>
      </c>
      <c r="AW448" s="632">
        <f ca="1">IF(AND($D448="Serviço",AW$12&lt;&gt;0,$H448&gt;0,OR(AUTOEVENTO&lt;&gt;"manual",$M448&lt;&gt;1)),ROUND(OFFSET($P448,0,AW$13),15-13*ORÇAMENTO!$AF$7)/$H448*OFFSET(ORÇAMENTO!$X$15,ROW(AW448)-ROW(AW$15),0),0)</f>
        <v>0</v>
      </c>
      <c r="AX448" s="632">
        <f ca="1">IF(AND($D448="Serviço",AX$12&lt;&gt;0,$H448&gt;0,OR(AUTOEVENTO&lt;&gt;"manual",$M448&lt;&gt;1)),ROUND(OFFSET($P448,0,AX$13),15-13*ORÇAMENTO!$AF$7)/$H448*OFFSET(ORÇAMENTO!$X$15,ROW(AX448)-ROW(AX$15),0),0)</f>
        <v>0</v>
      </c>
      <c r="AY448" s="632">
        <f ca="1">IF(AND($D448="Serviço",AY$12&lt;&gt;0,$H448&gt;0,OR(AUTOEVENTO&lt;&gt;"manual",$M448&lt;&gt;1)),ROUND(OFFSET($P448,0,AY$13),15-13*ORÇAMENTO!$AF$7)/$H448*OFFSET(ORÇAMENTO!$X$15,ROW(AY448)-ROW(AY$15),0),0)</f>
        <v>0</v>
      </c>
      <c r="AZ448" s="632">
        <f ca="1">IF(AND($D448="Serviço",AZ$12&lt;&gt;0,$H448&gt;0,OR(AUTOEVENTO&lt;&gt;"manual",$M448&lt;&gt;1)),ROUND(OFFSET($P448,0,AZ$13),15-13*ORÇAMENTO!$AF$7)/$H448*OFFSET(ORÇAMENTO!$X$15,ROW(AZ448)-ROW(AZ$15),0),0)</f>
        <v>0</v>
      </c>
      <c r="BA448" s="633">
        <f ca="1">IF(AND($D448="Serviço",BA$12&lt;&gt;0,$H448&gt;0,OR(AUTOEVENTO&lt;&gt;"manual",$M448&lt;&gt;1)),ROUND(OFFSET($P448,0,BA$13),15-13*ORÇAMENTO!$AF$7)/$H448*OFFSET(ORÇAMENTO!$X$15,ROW(BA448)-ROW(BA$15),0),0)</f>
        <v>0</v>
      </c>
      <c r="BC448" s="215">
        <f ca="1">IF($D448&lt;&gt;"Serviço",0,IF(AND(AUTOEVENTO="Manual",$M448=1),0,IF(OFFSET(CRONOPLE!$F$14,$M448,BC$13)="",10^12,OFFSET(CRONOPLE!$F$14,$M448,BC$13))))</f>
        <v>1000000000000</v>
      </c>
      <c r="BD448" s="215">
        <f ca="1">IF($D448&lt;&gt;"Serviço",0,IF(AND(AUTOEVENTO="Manual",$M448=1),0,IF(OFFSET(CRONOPLE!$F$14,$M448,BD$13)="",10^12,OFFSET(CRONOPLE!$F$14,$M448,BD$13))))</f>
        <v>1000000000000</v>
      </c>
      <c r="BE448" s="215">
        <f ca="1">IF($D448&lt;&gt;"Serviço",0,IF(AND(AUTOEVENTO="Manual",$M448=1),0,IF(OFFSET(CRONOPLE!$F$14,$M448,BE$13)="",10^12,OFFSET(CRONOPLE!$F$14,$M448,BE$13))))</f>
        <v>1000000000000</v>
      </c>
      <c r="BF448" s="215">
        <f ca="1">IF($D448&lt;&gt;"Serviço",0,IF(AND(AUTOEVENTO="Manual",$M448=1),0,IF(OFFSET(CRONOPLE!$F$14,$M448,BF$13)="",10^12,OFFSET(CRONOPLE!$F$14,$M448,BF$13))))</f>
        <v>1000000000000</v>
      </c>
      <c r="BG448" s="215">
        <f ca="1">IF($D448&lt;&gt;"Serviço",0,IF(AND(AUTOEVENTO="Manual",$M448=1),0,IF(OFFSET(CRONOPLE!$F$14,$M448,BG$13)="",10^12,OFFSET(CRONOPLE!$F$14,$M448,BG$13))))</f>
        <v>1000000000000</v>
      </c>
      <c r="BH448" s="215">
        <f ca="1">IF($D448&lt;&gt;"Serviço",0,IF(AND(AUTOEVENTO="Manual",$M448=1),0,IF(OFFSET(CRONOPLE!$F$14,$M448,BH$13)="",10^12,OFFSET(CRONOPLE!$F$14,$M448,BH$13))))</f>
        <v>1000000000000</v>
      </c>
      <c r="BI448" s="215">
        <f ca="1">IF($D448&lt;&gt;"Serviço",0,IF(AND(AUTOEVENTO="Manual",$M448=1),0,IF(OFFSET(CRONOPLE!$F$14,$M448,BI$13)="",10^12,OFFSET(CRONOPLE!$F$14,$M448,BI$13))))</f>
        <v>1000000000000</v>
      </c>
      <c r="BJ448" s="215">
        <f ca="1">IF($D448&lt;&gt;"Serviço",0,IF(AND(AUTOEVENTO="Manual",$M448=1),0,IF(OFFSET(CRONOPLE!$F$14,$M448,BJ$13)="",10^12,OFFSET(CRONOPLE!$F$14,$M448,BJ$13))))</f>
        <v>1000000000000</v>
      </c>
      <c r="BK448" s="215">
        <f ca="1">IF($D448&lt;&gt;"Serviço",0,IF(AND(AUTOEVENTO="Manual",$M448=1),0,IF(OFFSET(CRONOPLE!$F$14,$M448,BK$13)="",10^12,OFFSET(CRONOPLE!$F$14,$M448,BK$13))))</f>
        <v>1000000000000</v>
      </c>
      <c r="BL448" s="215">
        <f ca="1">IF($D448&lt;&gt;"Serviço",0,IF(AND(AUTOEVENTO="Manual",$M448=1),0,IF(OFFSET(CRONOPLE!$F$14,$M448,BL$13)="",10^12,OFFSET(CRONOPLE!$F$14,$M448,BL$13))))</f>
        <v>1000000000000</v>
      </c>
      <c r="BM448" s="215">
        <f ca="1">IF($D448&lt;&gt;"Serviço",0,IF(AND(AUTOEVENTO="Manual",$M448=1),0,IF(OFFSET(CRONOPLE!$F$14,$M448,BM$13)="",10^12,OFFSET(CRONOPLE!$F$14,$M448,BM$13))))</f>
        <v>1000000000000</v>
      </c>
      <c r="BN448" s="215">
        <f ca="1">IF($D448&lt;&gt;"Serviço",0,IF(AND(AUTOEVENTO="Manual",$M448=1),0,IF(OFFSET(CRONOPLE!$F$14,$M448,BN$13)="",10^12,OFFSET(CRONOPLE!$F$14,$M448,BN$13))))</f>
        <v>1000000000000</v>
      </c>
      <c r="BO448" s="215">
        <f ca="1">IF($D448&lt;&gt;"Serviço",0,IF(AND(AUTOEVENTO="Manual",$M448=1),0,IF(OFFSET(CRONOPLE!$F$14,$M448,BO$13)="",10^12,OFFSET(CRONOPLE!$F$14,$M448,BO$13))))</f>
        <v>1000000000000</v>
      </c>
      <c r="BP448" s="215">
        <f ca="1">IF($D448&lt;&gt;"Serviço",0,IF(AND(AUTOEVENTO="Manual",$M448=1),0,IF(OFFSET(CRONOPLE!$F$14,$M448,BP$13)="",10^12,OFFSET(CRONOPLE!$F$14,$M448,BP$13))))</f>
        <v>1000000000000</v>
      </c>
      <c r="BQ448" s="215">
        <f ca="1">IF($D448&lt;&gt;"Serviço",0,IF(AND(AUTOEVENTO="Manual",$M448=1),0,IF(OFFSET(CRONOPLE!$F$14,$M448,BQ$13)="",10^12,OFFSET(CRONOPLE!$F$14,$M448,BQ$13))))</f>
        <v>1000000000000</v>
      </c>
      <c r="BR448" s="215">
        <f ca="1">IF($D448&lt;&gt;"Serviço",0,IF(AND(AUTOEVENTO="Manual",$M448=1),0,IF(OFFSET(CRONOPLE!$F$14,$M448,BR$13)="",10^12,OFFSET(CRONOPLE!$F$14,$M448,BR$13))))</f>
        <v>1000000000000</v>
      </c>
      <c r="BS448" s="215">
        <f ca="1">IF($D448&lt;&gt;"Serviço",0,IF(AND(AUTOEVENTO="Manual",$M448=1),0,IF(OFFSET(CRONOPLE!$F$14,$M448,BS$13)="",10^12,OFFSET(CRONOPLE!$F$14,$M448,BS$13))))</f>
        <v>1000000000000</v>
      </c>
      <c r="BT448" s="215">
        <f ca="1">IF($D448&lt;&gt;"Serviço",0,IF(AND(AUTOEVENTO="Manual",$M448=1),0,IF(OFFSET(CRONOPLE!$F$14,$M448,BT$13)="",10^12,OFFSET(CRONOPLE!$F$14,$M448,BT$13))))</f>
        <v>1000000000000</v>
      </c>
      <c r="BV448" s="216">
        <f ca="1">IF($D448&lt;&gt;"Serviço",0,IF(OR(AND(AUTOEVENTO="Manual",$M448=1),$M448&gt;(ROW(PLE.lastrow)-ROW(PLE.firstrow))),0,IF(OFFSET(PLE!$G$14,$M448,BV$13)="",10^12,OFFSET(PLE!$G$14,$M448,BV$13))))</f>
        <v>1000000000000</v>
      </c>
      <c r="BW448" s="216">
        <f ca="1">IF($D448&lt;&gt;"Serviço",0,IF(OR(AND(AUTOEVENTO="Manual",$M448=1),$M448&gt;(ROW(PLE.lastrow)-ROW(PLE.firstrow))),0,IF(OFFSET(PLE!$G$14,$M448,BW$13)="",10^12,OFFSET(PLE!$G$14,$M448,BW$13))))</f>
        <v>1000000000000</v>
      </c>
      <c r="BX448" s="216">
        <f ca="1">IF($D448&lt;&gt;"Serviço",0,IF(OR(AND(AUTOEVENTO="Manual",$M448=1),$M448&gt;(ROW(PLE.lastrow)-ROW(PLE.firstrow))),0,IF(OFFSET(PLE!$G$14,$M448,BX$13)="",10^12,OFFSET(PLE!$G$14,$M448,BX$13))))</f>
        <v>1000000000000</v>
      </c>
      <c r="BY448" s="216">
        <f ca="1">IF($D448&lt;&gt;"Serviço",0,IF(OR(AND(AUTOEVENTO="Manual",$M448=1),$M448&gt;(ROW(PLE.lastrow)-ROW(PLE.firstrow))),0,IF(OFFSET(PLE!$G$14,$M448,BY$13)="",10^12,OFFSET(PLE!$G$14,$M448,BY$13))))</f>
        <v>1000000000000</v>
      </c>
      <c r="BZ448" s="216">
        <f ca="1">IF($D448&lt;&gt;"Serviço",0,IF(OR(AND(AUTOEVENTO="Manual",$M448=1),$M448&gt;(ROW(PLE.lastrow)-ROW(PLE.firstrow))),0,IF(OFFSET(PLE!$G$14,$M448,BZ$13)="",10^12,OFFSET(PLE!$G$14,$M448,BZ$13))))</f>
        <v>1000000000000</v>
      </c>
      <c r="CA448" s="216">
        <f ca="1">IF($D448&lt;&gt;"Serviço",0,IF(OR(AND(AUTOEVENTO="Manual",$M448=1),$M448&gt;(ROW(PLE.lastrow)-ROW(PLE.firstrow))),0,IF(OFFSET(PLE!$G$14,$M448,CA$13)="",10^12,OFFSET(PLE!$G$14,$M448,CA$13))))</f>
        <v>1000000000000</v>
      </c>
      <c r="CB448" s="216">
        <f ca="1">IF($D448&lt;&gt;"Serviço",0,IF(OR(AND(AUTOEVENTO="Manual",$M448=1),$M448&gt;(ROW(PLE.lastrow)-ROW(PLE.firstrow))),0,IF(OFFSET(PLE!$G$14,$M448,CB$13)="",10^12,OFFSET(PLE!$G$14,$M448,CB$13))))</f>
        <v>1000000000000</v>
      </c>
      <c r="CC448" s="216">
        <f ca="1">IF($D448&lt;&gt;"Serviço",0,IF(OR(AND(AUTOEVENTO="Manual",$M448=1),$M448&gt;(ROW(PLE.lastrow)-ROW(PLE.firstrow))),0,IF(OFFSET(PLE!$G$14,$M448,CC$13)="",10^12,OFFSET(PLE!$G$14,$M448,CC$13))))</f>
        <v>1000000000000</v>
      </c>
      <c r="CD448" s="216">
        <f ca="1">IF($D448&lt;&gt;"Serviço",0,IF(OR(AND(AUTOEVENTO="Manual",$M448=1),$M448&gt;(ROW(PLE.lastrow)-ROW(PLE.firstrow))),0,IF(OFFSET(PLE!$G$14,$M448,CD$13)="",10^12,OFFSET(PLE!$G$14,$M448,CD$13))))</f>
        <v>1000000000000</v>
      </c>
      <c r="CE448" s="216">
        <f ca="1">IF($D448&lt;&gt;"Serviço",0,IF(OR(AND(AUTOEVENTO="Manual",$M448=1),$M448&gt;(ROW(PLE.lastrow)-ROW(PLE.firstrow))),0,IF(OFFSET(PLE!$G$14,$M448,CE$13)="",10^12,OFFSET(PLE!$G$14,$M448,CE$13))))</f>
        <v>1000000000000</v>
      </c>
      <c r="CF448" s="216">
        <f ca="1">IF($D448&lt;&gt;"Serviço",0,IF(OR(AND(AUTOEVENTO="Manual",$M448=1),$M448&gt;(ROW(PLE.lastrow)-ROW(PLE.firstrow))),0,IF(OFFSET(PLE!$G$14,$M448,CF$13)="",10^12,OFFSET(PLE!$G$14,$M448,CF$13))))</f>
        <v>1000000000000</v>
      </c>
      <c r="CG448" s="216">
        <f ca="1">IF($D448&lt;&gt;"Serviço",0,IF(OR(AND(AUTOEVENTO="Manual",$M448=1),$M448&gt;(ROW(PLE.lastrow)-ROW(PLE.firstrow))),0,IF(OFFSET(PLE!$G$14,$M448,CG$13)="",10^12,OFFSET(PLE!$G$14,$M448,CG$13))))</f>
        <v>1000000000000</v>
      </c>
      <c r="CH448" s="216">
        <f ca="1">IF($D448&lt;&gt;"Serviço",0,IF(OR(AND(AUTOEVENTO="Manual",$M448=1),$M448&gt;(ROW(PLE.lastrow)-ROW(PLE.firstrow))),0,IF(OFFSET(PLE!$G$14,$M448,CH$13)="",10^12,OFFSET(PLE!$G$14,$M448,CH$13))))</f>
        <v>1000000000000</v>
      </c>
      <c r="CI448" s="216">
        <f ca="1">IF($D448&lt;&gt;"Serviço",0,IF(OR(AND(AUTOEVENTO="Manual",$M448=1),$M448&gt;(ROW(PLE.lastrow)-ROW(PLE.firstrow))),0,IF(OFFSET(PLE!$G$14,$M448,CI$13)="",10^12,OFFSET(PLE!$G$14,$M448,CI$13))))</f>
        <v>1000000000000</v>
      </c>
      <c r="CJ448" s="216">
        <f ca="1">IF($D448&lt;&gt;"Serviço",0,IF(OR(AND(AUTOEVENTO="Manual",$M448=1),$M448&gt;(ROW(PLE.lastrow)-ROW(PLE.firstrow))),0,IF(OFFSET(PLE!$G$14,$M448,CJ$13)="",10^12,OFFSET(PLE!$G$14,$M448,CJ$13))))</f>
        <v>1000000000000</v>
      </c>
      <c r="CK448" s="216">
        <f ca="1">IF($D448&lt;&gt;"Serviço",0,IF(OR(AND(AUTOEVENTO="Manual",$M448=1),$M448&gt;(ROW(PLE.lastrow)-ROW(PLE.firstrow))),0,IF(OFFSET(PLE!$G$14,$M448,CK$13)="",10^12,OFFSET(PLE!$G$14,$M448,CK$13))))</f>
        <v>1000000000000</v>
      </c>
      <c r="CL448" s="216">
        <f ca="1">IF($D448&lt;&gt;"Serviço",0,IF(OR(AND(AUTOEVENTO="Manual",$M448=1),$M448&gt;(ROW(PLE.lastrow)-ROW(PLE.firstrow))),0,IF(OFFSET(PLE!$G$14,$M448,CL$13)="",10^12,OFFSET(PLE!$G$14,$M448,CL$13))))</f>
        <v>1000000000000</v>
      </c>
      <c r="CM448" s="216">
        <f ca="1">IF($D448&lt;&gt;"Serviço",0,IF(OR(AND(AUTOEVENTO="Manual",$M448=1),$M448&gt;(ROW(PLE.lastrow)-ROW(PLE.firstrow))),0,IF(OFFSET(PLE!$G$14,$M448,CM$13)="",10^12,OFFSET(PLE!$G$14,$M448,CM$13))))</f>
        <v>1000000000000</v>
      </c>
    </row>
    <row r="449" spans="1:91" ht="13.2" x14ac:dyDescent="0.25">
      <c r="A449" s="9">
        <f t="shared" ca="1" si="15"/>
        <v>0</v>
      </c>
      <c r="B449" s="9" t="str">
        <f ca="1">OFFSET(ORÇAMENTO!C$15,ROW(B449)-ROW(B$15),0)</f>
        <v>S</v>
      </c>
      <c r="C449" s="9" t="str">
        <f ca="1">OFFSET(ORÇAMENTO!L$15,ROW(C449)-ROW(C$15),0)</f>
        <v/>
      </c>
      <c r="D449" s="145" t="str">
        <f ca="1">OFFSET(ORÇAMENTO!N$15,ROW(D449)-ROW(D$15),0)</f>
        <v>Serviço</v>
      </c>
      <c r="E449" s="205" t="str">
        <f ca="1">OFFSET(ORÇAMENTO!O$15,ROW(E449)-ROW(E$15),0)</f>
        <v>-</v>
      </c>
      <c r="F449" s="206" t="str">
        <f ca="1">OFFSET(ORÇAMENTO!R$15,ROW(F449)-ROW(F$15),0)</f>
        <v>(abra o arquivo 'Referência 05-2024.xls)</v>
      </c>
      <c r="G449" s="207" t="str">
        <f ca="1">IF($D449&lt;&gt;"Serviço","",OFFSET(ORÇAMENTO!S$15,ROW(G449)-ROW(G$15),0))</f>
        <v>-</v>
      </c>
      <c r="H449" s="151">
        <f ca="1">IF($D449&lt;&gt;"Serviço",0,IF(ACOMPANHAMENTO="BM",ROUND(OFFSET(ORÇAMENTO!AJ$15,ROW(H449)-ROW(H$15),0),15-13*ORÇAMENTO!$AF$7),SUMPRODUCT(($Q$12:$AI$12&lt;&gt;"")*ROUND($Q449:$AI449,15-13*ORÇAMENTO!$AF$7))))</f>
        <v>3</v>
      </c>
      <c r="I449" s="650"/>
      <c r="K449" s="208"/>
      <c r="L449" s="209" t="s">
        <v>257</v>
      </c>
      <c r="M449" s="210">
        <f ca="1">IF($D449&lt;&gt;"Serviço","",IF(AUTOEVENTO="manual",$A449,IF(ISERROR(MATCH($A449,$A$15:OFFSET($A449,-1,0),0)),MAX($M$15:OFFSET(M449,-1,0))+1,INDEX($M$15:OFFSET(M449,-1,0),MATCH($A449,$A$15:OFFSET($A449,-1,0),0)))))</f>
        <v>0</v>
      </c>
      <c r="N449" s="211" t="str">
        <f ca="1">IF($D449&lt;&gt;"Serviço","",IF(AUTOEVENTO="Manual",IF($A449=0,"&lt;-- defina o número do agrupador",OFFSET(EVENTOS!$D$14,$A449,0)),OFFSET($F$15,$A449,0)))</f>
        <v>&lt;-- defina o número do agrupador</v>
      </c>
      <c r="O449" s="212"/>
      <c r="Q449" s="212"/>
      <c r="R449" s="213"/>
      <c r="S449" s="213"/>
      <c r="T449" s="213"/>
      <c r="U449" s="213"/>
      <c r="V449" s="213"/>
      <c r="W449" s="213"/>
      <c r="X449" s="213"/>
      <c r="Y449" s="213"/>
      <c r="Z449" s="214"/>
      <c r="AA449" s="213"/>
      <c r="AB449" s="213"/>
      <c r="AC449" s="213"/>
      <c r="AD449" s="213"/>
      <c r="AE449" s="213"/>
      <c r="AF449" s="213"/>
      <c r="AG449" s="213"/>
      <c r="AH449" s="214"/>
      <c r="AJ449" s="631">
        <f ca="1">IF(AND($D449="Serviço",AJ$12&lt;&gt;0,$H449&gt;0,OR(AUTOEVENTO&lt;&gt;"manual",$M449&lt;&gt;1)),ROUND(OFFSET($P449,0,AJ$13),15-13*ORÇAMENTO!$AF$7)/$H449*OFFSET(ORÇAMENTO!$X$15,ROW(AJ449)-ROW(AJ$15),0),0)</f>
        <v>0</v>
      </c>
      <c r="AK449" s="632">
        <f ca="1">IF(AND($D449="Serviço",AK$12&lt;&gt;0,$H449&gt;0,OR(AUTOEVENTO&lt;&gt;"manual",$M449&lt;&gt;1)),ROUND(OFFSET($P449,0,AK$13),15-13*ORÇAMENTO!$AF$7)/$H449*OFFSET(ORÇAMENTO!$X$15,ROW(AK449)-ROW(AK$15),0),0)</f>
        <v>0</v>
      </c>
      <c r="AL449" s="632">
        <f ca="1">IF(AND($D449="Serviço",AL$12&lt;&gt;0,$H449&gt;0,OR(AUTOEVENTO&lt;&gt;"manual",$M449&lt;&gt;1)),ROUND(OFFSET($P449,0,AL$13),15-13*ORÇAMENTO!$AF$7)/$H449*OFFSET(ORÇAMENTO!$X$15,ROW(AL449)-ROW(AL$15),0),0)</f>
        <v>0</v>
      </c>
      <c r="AM449" s="632">
        <f ca="1">IF(AND($D449="Serviço",AM$12&lt;&gt;0,$H449&gt;0,OR(AUTOEVENTO&lt;&gt;"manual",$M449&lt;&gt;1)),ROUND(OFFSET($P449,0,AM$13),15-13*ORÇAMENTO!$AF$7)/$H449*OFFSET(ORÇAMENTO!$X$15,ROW(AM449)-ROW(AM$15),0),0)</f>
        <v>0</v>
      </c>
      <c r="AN449" s="632">
        <f ca="1">IF(AND($D449="Serviço",AN$12&lt;&gt;0,$H449&gt;0,OR(AUTOEVENTO&lt;&gt;"manual",$M449&lt;&gt;1)),ROUND(OFFSET($P449,0,AN$13),15-13*ORÇAMENTO!$AF$7)/$H449*OFFSET(ORÇAMENTO!$X$15,ROW(AN449)-ROW(AN$15),0),0)</f>
        <v>0</v>
      </c>
      <c r="AO449" s="632">
        <f ca="1">IF(AND($D449="Serviço",AO$12&lt;&gt;0,$H449&gt;0,OR(AUTOEVENTO&lt;&gt;"manual",$M449&lt;&gt;1)),ROUND(OFFSET($P449,0,AO$13),15-13*ORÇAMENTO!$AF$7)/$H449*OFFSET(ORÇAMENTO!$X$15,ROW(AO449)-ROW(AO$15),0),0)</f>
        <v>0</v>
      </c>
      <c r="AP449" s="632">
        <f ca="1">IF(AND($D449="Serviço",AP$12&lt;&gt;0,$H449&gt;0,OR(AUTOEVENTO&lt;&gt;"manual",$M449&lt;&gt;1)),ROUND(OFFSET($P449,0,AP$13),15-13*ORÇAMENTO!$AF$7)/$H449*OFFSET(ORÇAMENTO!$X$15,ROW(AP449)-ROW(AP$15),0),0)</f>
        <v>0</v>
      </c>
      <c r="AQ449" s="632">
        <f ca="1">IF(AND($D449="Serviço",AQ$12&lt;&gt;0,$H449&gt;0,OR(AUTOEVENTO&lt;&gt;"manual",$M449&lt;&gt;1)),ROUND(OFFSET($P449,0,AQ$13),15-13*ORÇAMENTO!$AF$7)/$H449*OFFSET(ORÇAMENTO!$X$15,ROW(AQ449)-ROW(AQ$15),0),0)</f>
        <v>0</v>
      </c>
      <c r="AR449" s="632">
        <f ca="1">IF(AND($D449="Serviço",AR$12&lt;&gt;0,$H449&gt;0,OR(AUTOEVENTO&lt;&gt;"manual",$M449&lt;&gt;1)),ROUND(OFFSET($P449,0,AR$13),15-13*ORÇAMENTO!$AF$7)/$H449*OFFSET(ORÇAMENTO!$X$15,ROW(AR449)-ROW(AR$15),0),0)</f>
        <v>0</v>
      </c>
      <c r="AS449" s="633">
        <f ca="1">IF(AND($D449="Serviço",AS$12&lt;&gt;0,$H449&gt;0,OR(AUTOEVENTO&lt;&gt;"manual",$M449&lt;&gt;1)),ROUND(OFFSET($P449,0,AS$13),15-13*ORÇAMENTO!$AF$7)/$H449*OFFSET(ORÇAMENTO!$X$15,ROW(AS449)-ROW(AS$15),0),0)</f>
        <v>0</v>
      </c>
      <c r="AT449" s="632">
        <f ca="1">IF(AND($D449="Serviço",AT$12&lt;&gt;0,$H449&gt;0,OR(AUTOEVENTO&lt;&gt;"manual",$M449&lt;&gt;1)),ROUND(OFFSET($P449,0,AT$13),15-13*ORÇAMENTO!$AF$7)/$H449*OFFSET(ORÇAMENTO!$X$15,ROW(AT449)-ROW(AT$15),0),0)</f>
        <v>0</v>
      </c>
      <c r="AU449" s="632">
        <f ca="1">IF(AND($D449="Serviço",AU$12&lt;&gt;0,$H449&gt;0,OR(AUTOEVENTO&lt;&gt;"manual",$M449&lt;&gt;1)),ROUND(OFFSET($P449,0,AU$13),15-13*ORÇAMENTO!$AF$7)/$H449*OFFSET(ORÇAMENTO!$X$15,ROW(AU449)-ROW(AU$15),0),0)</f>
        <v>0</v>
      </c>
      <c r="AV449" s="632">
        <f ca="1">IF(AND($D449="Serviço",AV$12&lt;&gt;0,$H449&gt;0,OR(AUTOEVENTO&lt;&gt;"manual",$M449&lt;&gt;1)),ROUND(OFFSET($P449,0,AV$13),15-13*ORÇAMENTO!$AF$7)/$H449*OFFSET(ORÇAMENTO!$X$15,ROW(AV449)-ROW(AV$15),0),0)</f>
        <v>0</v>
      </c>
      <c r="AW449" s="632">
        <f ca="1">IF(AND($D449="Serviço",AW$12&lt;&gt;0,$H449&gt;0,OR(AUTOEVENTO&lt;&gt;"manual",$M449&lt;&gt;1)),ROUND(OFFSET($P449,0,AW$13),15-13*ORÇAMENTO!$AF$7)/$H449*OFFSET(ORÇAMENTO!$X$15,ROW(AW449)-ROW(AW$15),0),0)</f>
        <v>0</v>
      </c>
      <c r="AX449" s="632">
        <f ca="1">IF(AND($D449="Serviço",AX$12&lt;&gt;0,$H449&gt;0,OR(AUTOEVENTO&lt;&gt;"manual",$M449&lt;&gt;1)),ROUND(OFFSET($P449,0,AX$13),15-13*ORÇAMENTO!$AF$7)/$H449*OFFSET(ORÇAMENTO!$X$15,ROW(AX449)-ROW(AX$15),0),0)</f>
        <v>0</v>
      </c>
      <c r="AY449" s="632">
        <f ca="1">IF(AND($D449="Serviço",AY$12&lt;&gt;0,$H449&gt;0,OR(AUTOEVENTO&lt;&gt;"manual",$M449&lt;&gt;1)),ROUND(OFFSET($P449,0,AY$13),15-13*ORÇAMENTO!$AF$7)/$H449*OFFSET(ORÇAMENTO!$X$15,ROW(AY449)-ROW(AY$15),0),0)</f>
        <v>0</v>
      </c>
      <c r="AZ449" s="632">
        <f ca="1">IF(AND($D449="Serviço",AZ$12&lt;&gt;0,$H449&gt;0,OR(AUTOEVENTO&lt;&gt;"manual",$M449&lt;&gt;1)),ROUND(OFFSET($P449,0,AZ$13),15-13*ORÇAMENTO!$AF$7)/$H449*OFFSET(ORÇAMENTO!$X$15,ROW(AZ449)-ROW(AZ$15),0),0)</f>
        <v>0</v>
      </c>
      <c r="BA449" s="633">
        <f ca="1">IF(AND($D449="Serviço",BA$12&lt;&gt;0,$H449&gt;0,OR(AUTOEVENTO&lt;&gt;"manual",$M449&lt;&gt;1)),ROUND(OFFSET($P449,0,BA$13),15-13*ORÇAMENTO!$AF$7)/$H449*OFFSET(ORÇAMENTO!$X$15,ROW(BA449)-ROW(BA$15),0),0)</f>
        <v>0</v>
      </c>
      <c r="BC449" s="215">
        <f ca="1">IF($D449&lt;&gt;"Serviço",0,IF(AND(AUTOEVENTO="Manual",$M449=1),0,IF(OFFSET(CRONOPLE!$F$14,$M449,BC$13)="",10^12,OFFSET(CRONOPLE!$F$14,$M449,BC$13))))</f>
        <v>1000000000000</v>
      </c>
      <c r="BD449" s="215">
        <f ca="1">IF($D449&lt;&gt;"Serviço",0,IF(AND(AUTOEVENTO="Manual",$M449=1),0,IF(OFFSET(CRONOPLE!$F$14,$M449,BD$13)="",10^12,OFFSET(CRONOPLE!$F$14,$M449,BD$13))))</f>
        <v>1000000000000</v>
      </c>
      <c r="BE449" s="215">
        <f ca="1">IF($D449&lt;&gt;"Serviço",0,IF(AND(AUTOEVENTO="Manual",$M449=1),0,IF(OFFSET(CRONOPLE!$F$14,$M449,BE$13)="",10^12,OFFSET(CRONOPLE!$F$14,$M449,BE$13))))</f>
        <v>1000000000000</v>
      </c>
      <c r="BF449" s="215">
        <f ca="1">IF($D449&lt;&gt;"Serviço",0,IF(AND(AUTOEVENTO="Manual",$M449=1),0,IF(OFFSET(CRONOPLE!$F$14,$M449,BF$13)="",10^12,OFFSET(CRONOPLE!$F$14,$M449,BF$13))))</f>
        <v>1000000000000</v>
      </c>
      <c r="BG449" s="215">
        <f ca="1">IF($D449&lt;&gt;"Serviço",0,IF(AND(AUTOEVENTO="Manual",$M449=1),0,IF(OFFSET(CRONOPLE!$F$14,$M449,BG$13)="",10^12,OFFSET(CRONOPLE!$F$14,$M449,BG$13))))</f>
        <v>1000000000000</v>
      </c>
      <c r="BH449" s="215">
        <f ca="1">IF($D449&lt;&gt;"Serviço",0,IF(AND(AUTOEVENTO="Manual",$M449=1),0,IF(OFFSET(CRONOPLE!$F$14,$M449,BH$13)="",10^12,OFFSET(CRONOPLE!$F$14,$M449,BH$13))))</f>
        <v>1000000000000</v>
      </c>
      <c r="BI449" s="215">
        <f ca="1">IF($D449&lt;&gt;"Serviço",0,IF(AND(AUTOEVENTO="Manual",$M449=1),0,IF(OFFSET(CRONOPLE!$F$14,$M449,BI$13)="",10^12,OFFSET(CRONOPLE!$F$14,$M449,BI$13))))</f>
        <v>1000000000000</v>
      </c>
      <c r="BJ449" s="215">
        <f ca="1">IF($D449&lt;&gt;"Serviço",0,IF(AND(AUTOEVENTO="Manual",$M449=1),0,IF(OFFSET(CRONOPLE!$F$14,$M449,BJ$13)="",10^12,OFFSET(CRONOPLE!$F$14,$M449,BJ$13))))</f>
        <v>1000000000000</v>
      </c>
      <c r="BK449" s="215">
        <f ca="1">IF($D449&lt;&gt;"Serviço",0,IF(AND(AUTOEVENTO="Manual",$M449=1),0,IF(OFFSET(CRONOPLE!$F$14,$M449,BK$13)="",10^12,OFFSET(CRONOPLE!$F$14,$M449,BK$13))))</f>
        <v>1000000000000</v>
      </c>
      <c r="BL449" s="215">
        <f ca="1">IF($D449&lt;&gt;"Serviço",0,IF(AND(AUTOEVENTO="Manual",$M449=1),0,IF(OFFSET(CRONOPLE!$F$14,$M449,BL$13)="",10^12,OFFSET(CRONOPLE!$F$14,$M449,BL$13))))</f>
        <v>1000000000000</v>
      </c>
      <c r="BM449" s="215">
        <f ca="1">IF($D449&lt;&gt;"Serviço",0,IF(AND(AUTOEVENTO="Manual",$M449=1),0,IF(OFFSET(CRONOPLE!$F$14,$M449,BM$13)="",10^12,OFFSET(CRONOPLE!$F$14,$M449,BM$13))))</f>
        <v>1000000000000</v>
      </c>
      <c r="BN449" s="215">
        <f ca="1">IF($D449&lt;&gt;"Serviço",0,IF(AND(AUTOEVENTO="Manual",$M449=1),0,IF(OFFSET(CRONOPLE!$F$14,$M449,BN$13)="",10^12,OFFSET(CRONOPLE!$F$14,$M449,BN$13))))</f>
        <v>1000000000000</v>
      </c>
      <c r="BO449" s="215">
        <f ca="1">IF($D449&lt;&gt;"Serviço",0,IF(AND(AUTOEVENTO="Manual",$M449=1),0,IF(OFFSET(CRONOPLE!$F$14,$M449,BO$13)="",10^12,OFFSET(CRONOPLE!$F$14,$M449,BO$13))))</f>
        <v>1000000000000</v>
      </c>
      <c r="BP449" s="215">
        <f ca="1">IF($D449&lt;&gt;"Serviço",0,IF(AND(AUTOEVENTO="Manual",$M449=1),0,IF(OFFSET(CRONOPLE!$F$14,$M449,BP$13)="",10^12,OFFSET(CRONOPLE!$F$14,$M449,BP$13))))</f>
        <v>1000000000000</v>
      </c>
      <c r="BQ449" s="215">
        <f ca="1">IF($D449&lt;&gt;"Serviço",0,IF(AND(AUTOEVENTO="Manual",$M449=1),0,IF(OFFSET(CRONOPLE!$F$14,$M449,BQ$13)="",10^12,OFFSET(CRONOPLE!$F$14,$M449,BQ$13))))</f>
        <v>1000000000000</v>
      </c>
      <c r="BR449" s="215">
        <f ca="1">IF($D449&lt;&gt;"Serviço",0,IF(AND(AUTOEVENTO="Manual",$M449=1),0,IF(OFFSET(CRONOPLE!$F$14,$M449,BR$13)="",10^12,OFFSET(CRONOPLE!$F$14,$M449,BR$13))))</f>
        <v>1000000000000</v>
      </c>
      <c r="BS449" s="215">
        <f ca="1">IF($D449&lt;&gt;"Serviço",0,IF(AND(AUTOEVENTO="Manual",$M449=1),0,IF(OFFSET(CRONOPLE!$F$14,$M449,BS$13)="",10^12,OFFSET(CRONOPLE!$F$14,$M449,BS$13))))</f>
        <v>1000000000000</v>
      </c>
      <c r="BT449" s="215">
        <f ca="1">IF($D449&lt;&gt;"Serviço",0,IF(AND(AUTOEVENTO="Manual",$M449=1),0,IF(OFFSET(CRONOPLE!$F$14,$M449,BT$13)="",10^12,OFFSET(CRONOPLE!$F$14,$M449,BT$13))))</f>
        <v>1000000000000</v>
      </c>
      <c r="BV449" s="216">
        <f ca="1">IF($D449&lt;&gt;"Serviço",0,IF(OR(AND(AUTOEVENTO="Manual",$M449=1),$M449&gt;(ROW(PLE.lastrow)-ROW(PLE.firstrow))),0,IF(OFFSET(PLE!$G$14,$M449,BV$13)="",10^12,OFFSET(PLE!$G$14,$M449,BV$13))))</f>
        <v>1000000000000</v>
      </c>
      <c r="BW449" s="216">
        <f ca="1">IF($D449&lt;&gt;"Serviço",0,IF(OR(AND(AUTOEVENTO="Manual",$M449=1),$M449&gt;(ROW(PLE.lastrow)-ROW(PLE.firstrow))),0,IF(OFFSET(PLE!$G$14,$M449,BW$13)="",10^12,OFFSET(PLE!$G$14,$M449,BW$13))))</f>
        <v>1000000000000</v>
      </c>
      <c r="BX449" s="216">
        <f ca="1">IF($D449&lt;&gt;"Serviço",0,IF(OR(AND(AUTOEVENTO="Manual",$M449=1),$M449&gt;(ROW(PLE.lastrow)-ROW(PLE.firstrow))),0,IF(OFFSET(PLE!$G$14,$M449,BX$13)="",10^12,OFFSET(PLE!$G$14,$M449,BX$13))))</f>
        <v>1000000000000</v>
      </c>
      <c r="BY449" s="216">
        <f ca="1">IF($D449&lt;&gt;"Serviço",0,IF(OR(AND(AUTOEVENTO="Manual",$M449=1),$M449&gt;(ROW(PLE.lastrow)-ROW(PLE.firstrow))),0,IF(OFFSET(PLE!$G$14,$M449,BY$13)="",10^12,OFFSET(PLE!$G$14,$M449,BY$13))))</f>
        <v>1000000000000</v>
      </c>
      <c r="BZ449" s="216">
        <f ca="1">IF($D449&lt;&gt;"Serviço",0,IF(OR(AND(AUTOEVENTO="Manual",$M449=1),$M449&gt;(ROW(PLE.lastrow)-ROW(PLE.firstrow))),0,IF(OFFSET(PLE!$G$14,$M449,BZ$13)="",10^12,OFFSET(PLE!$G$14,$M449,BZ$13))))</f>
        <v>1000000000000</v>
      </c>
      <c r="CA449" s="216">
        <f ca="1">IF($D449&lt;&gt;"Serviço",0,IF(OR(AND(AUTOEVENTO="Manual",$M449=1),$M449&gt;(ROW(PLE.lastrow)-ROW(PLE.firstrow))),0,IF(OFFSET(PLE!$G$14,$M449,CA$13)="",10^12,OFFSET(PLE!$G$14,$M449,CA$13))))</f>
        <v>1000000000000</v>
      </c>
      <c r="CB449" s="216">
        <f ca="1">IF($D449&lt;&gt;"Serviço",0,IF(OR(AND(AUTOEVENTO="Manual",$M449=1),$M449&gt;(ROW(PLE.lastrow)-ROW(PLE.firstrow))),0,IF(OFFSET(PLE!$G$14,$M449,CB$13)="",10^12,OFFSET(PLE!$G$14,$M449,CB$13))))</f>
        <v>1000000000000</v>
      </c>
      <c r="CC449" s="216">
        <f ca="1">IF($D449&lt;&gt;"Serviço",0,IF(OR(AND(AUTOEVENTO="Manual",$M449=1),$M449&gt;(ROW(PLE.lastrow)-ROW(PLE.firstrow))),0,IF(OFFSET(PLE!$G$14,$M449,CC$13)="",10^12,OFFSET(PLE!$G$14,$M449,CC$13))))</f>
        <v>1000000000000</v>
      </c>
      <c r="CD449" s="216">
        <f ca="1">IF($D449&lt;&gt;"Serviço",0,IF(OR(AND(AUTOEVENTO="Manual",$M449=1),$M449&gt;(ROW(PLE.lastrow)-ROW(PLE.firstrow))),0,IF(OFFSET(PLE!$G$14,$M449,CD$13)="",10^12,OFFSET(PLE!$G$14,$M449,CD$13))))</f>
        <v>1000000000000</v>
      </c>
      <c r="CE449" s="216">
        <f ca="1">IF($D449&lt;&gt;"Serviço",0,IF(OR(AND(AUTOEVENTO="Manual",$M449=1),$M449&gt;(ROW(PLE.lastrow)-ROW(PLE.firstrow))),0,IF(OFFSET(PLE!$G$14,$M449,CE$13)="",10^12,OFFSET(PLE!$G$14,$M449,CE$13))))</f>
        <v>1000000000000</v>
      </c>
      <c r="CF449" s="216">
        <f ca="1">IF($D449&lt;&gt;"Serviço",0,IF(OR(AND(AUTOEVENTO="Manual",$M449=1),$M449&gt;(ROW(PLE.lastrow)-ROW(PLE.firstrow))),0,IF(OFFSET(PLE!$G$14,$M449,CF$13)="",10^12,OFFSET(PLE!$G$14,$M449,CF$13))))</f>
        <v>1000000000000</v>
      </c>
      <c r="CG449" s="216">
        <f ca="1">IF($D449&lt;&gt;"Serviço",0,IF(OR(AND(AUTOEVENTO="Manual",$M449=1),$M449&gt;(ROW(PLE.lastrow)-ROW(PLE.firstrow))),0,IF(OFFSET(PLE!$G$14,$M449,CG$13)="",10^12,OFFSET(PLE!$G$14,$M449,CG$13))))</f>
        <v>1000000000000</v>
      </c>
      <c r="CH449" s="216">
        <f ca="1">IF($D449&lt;&gt;"Serviço",0,IF(OR(AND(AUTOEVENTO="Manual",$M449=1),$M449&gt;(ROW(PLE.lastrow)-ROW(PLE.firstrow))),0,IF(OFFSET(PLE!$G$14,$M449,CH$13)="",10^12,OFFSET(PLE!$G$14,$M449,CH$13))))</f>
        <v>1000000000000</v>
      </c>
      <c r="CI449" s="216">
        <f ca="1">IF($D449&lt;&gt;"Serviço",0,IF(OR(AND(AUTOEVENTO="Manual",$M449=1),$M449&gt;(ROW(PLE.lastrow)-ROW(PLE.firstrow))),0,IF(OFFSET(PLE!$G$14,$M449,CI$13)="",10^12,OFFSET(PLE!$G$14,$M449,CI$13))))</f>
        <v>1000000000000</v>
      </c>
      <c r="CJ449" s="216">
        <f ca="1">IF($D449&lt;&gt;"Serviço",0,IF(OR(AND(AUTOEVENTO="Manual",$M449=1),$M449&gt;(ROW(PLE.lastrow)-ROW(PLE.firstrow))),0,IF(OFFSET(PLE!$G$14,$M449,CJ$13)="",10^12,OFFSET(PLE!$G$14,$M449,CJ$13))))</f>
        <v>1000000000000</v>
      </c>
      <c r="CK449" s="216">
        <f ca="1">IF($D449&lt;&gt;"Serviço",0,IF(OR(AND(AUTOEVENTO="Manual",$M449=1),$M449&gt;(ROW(PLE.lastrow)-ROW(PLE.firstrow))),0,IF(OFFSET(PLE!$G$14,$M449,CK$13)="",10^12,OFFSET(PLE!$G$14,$M449,CK$13))))</f>
        <v>1000000000000</v>
      </c>
      <c r="CL449" s="216">
        <f ca="1">IF($D449&lt;&gt;"Serviço",0,IF(OR(AND(AUTOEVENTO="Manual",$M449=1),$M449&gt;(ROW(PLE.lastrow)-ROW(PLE.firstrow))),0,IF(OFFSET(PLE!$G$14,$M449,CL$13)="",10^12,OFFSET(PLE!$G$14,$M449,CL$13))))</f>
        <v>1000000000000</v>
      </c>
      <c r="CM449" s="216">
        <f ca="1">IF($D449&lt;&gt;"Serviço",0,IF(OR(AND(AUTOEVENTO="Manual",$M449=1),$M449&gt;(ROW(PLE.lastrow)-ROW(PLE.firstrow))),0,IF(OFFSET(PLE!$G$14,$M449,CM$13)="",10^12,OFFSET(PLE!$G$14,$M449,CM$13))))</f>
        <v>1000000000000</v>
      </c>
    </row>
    <row r="450" spans="1:91" ht="13.2" x14ac:dyDescent="0.25">
      <c r="A450" s="9">
        <f t="shared" ca="1" si="15"/>
        <v>0</v>
      </c>
      <c r="B450" s="9" t="str">
        <f ca="1">OFFSET(ORÇAMENTO!C$15,ROW(B450)-ROW(B$15),0)</f>
        <v>S</v>
      </c>
      <c r="C450" s="9" t="str">
        <f ca="1">OFFSET(ORÇAMENTO!L$15,ROW(C450)-ROW(C$15),0)</f>
        <v/>
      </c>
      <c r="D450" s="145" t="str">
        <f ca="1">OFFSET(ORÇAMENTO!N$15,ROW(D450)-ROW(D$15),0)</f>
        <v>Serviço</v>
      </c>
      <c r="E450" s="205" t="str">
        <f ca="1">OFFSET(ORÇAMENTO!O$15,ROW(E450)-ROW(E$15),0)</f>
        <v>-</v>
      </c>
      <c r="F450" s="206" t="str">
        <f ca="1">OFFSET(ORÇAMENTO!R$15,ROW(F450)-ROW(F$15),0)</f>
        <v>(abra o arquivo 'Referência 05-2024.xls)</v>
      </c>
      <c r="G450" s="207" t="str">
        <f ca="1">IF($D450&lt;&gt;"Serviço","",OFFSET(ORÇAMENTO!S$15,ROW(G450)-ROW(G$15),0))</f>
        <v>-</v>
      </c>
      <c r="H450" s="151">
        <f ca="1">IF($D450&lt;&gt;"Serviço",0,IF(ACOMPANHAMENTO="BM",ROUND(OFFSET(ORÇAMENTO!AJ$15,ROW(H450)-ROW(H$15),0),15-13*ORÇAMENTO!$AF$7),SUMPRODUCT(($Q$12:$AI$12&lt;&gt;"")*ROUND($Q450:$AI450,15-13*ORÇAMENTO!$AF$7))))</f>
        <v>15</v>
      </c>
      <c r="I450" s="650"/>
      <c r="K450" s="208"/>
      <c r="L450" s="209" t="s">
        <v>257</v>
      </c>
      <c r="M450" s="210">
        <f ca="1">IF($D450&lt;&gt;"Serviço","",IF(AUTOEVENTO="manual",$A450,IF(ISERROR(MATCH($A450,$A$15:OFFSET($A450,-1,0),0)),MAX($M$15:OFFSET(M450,-1,0))+1,INDEX($M$15:OFFSET(M450,-1,0),MATCH($A450,$A$15:OFFSET($A450,-1,0),0)))))</f>
        <v>0</v>
      </c>
      <c r="N450" s="211" t="str">
        <f ca="1">IF($D450&lt;&gt;"Serviço","",IF(AUTOEVENTO="Manual",IF($A450=0,"&lt;-- defina o número do agrupador",OFFSET(EVENTOS!$D$14,$A450,0)),OFFSET($F$15,$A450,0)))</f>
        <v>&lt;-- defina o número do agrupador</v>
      </c>
      <c r="O450" s="212"/>
      <c r="Q450" s="212"/>
      <c r="R450" s="213"/>
      <c r="S450" s="213"/>
      <c r="T450" s="213"/>
      <c r="U450" s="213"/>
      <c r="V450" s="213"/>
      <c r="W450" s="213"/>
      <c r="X450" s="213"/>
      <c r="Y450" s="213"/>
      <c r="Z450" s="214"/>
      <c r="AA450" s="213"/>
      <c r="AB450" s="213"/>
      <c r="AC450" s="213"/>
      <c r="AD450" s="213"/>
      <c r="AE450" s="213"/>
      <c r="AF450" s="213"/>
      <c r="AG450" s="213"/>
      <c r="AH450" s="214"/>
      <c r="AJ450" s="631">
        <f ca="1">IF(AND($D450="Serviço",AJ$12&lt;&gt;0,$H450&gt;0,OR(AUTOEVENTO&lt;&gt;"manual",$M450&lt;&gt;1)),ROUND(OFFSET($P450,0,AJ$13),15-13*ORÇAMENTO!$AF$7)/$H450*OFFSET(ORÇAMENTO!$X$15,ROW(AJ450)-ROW(AJ$15),0),0)</f>
        <v>0</v>
      </c>
      <c r="AK450" s="632">
        <f ca="1">IF(AND($D450="Serviço",AK$12&lt;&gt;0,$H450&gt;0,OR(AUTOEVENTO&lt;&gt;"manual",$M450&lt;&gt;1)),ROUND(OFFSET($P450,0,AK$13),15-13*ORÇAMENTO!$AF$7)/$H450*OFFSET(ORÇAMENTO!$X$15,ROW(AK450)-ROW(AK$15),0),0)</f>
        <v>0</v>
      </c>
      <c r="AL450" s="632">
        <f ca="1">IF(AND($D450="Serviço",AL$12&lt;&gt;0,$H450&gt;0,OR(AUTOEVENTO&lt;&gt;"manual",$M450&lt;&gt;1)),ROUND(OFFSET($P450,0,AL$13),15-13*ORÇAMENTO!$AF$7)/$H450*OFFSET(ORÇAMENTO!$X$15,ROW(AL450)-ROW(AL$15),0),0)</f>
        <v>0</v>
      </c>
      <c r="AM450" s="632">
        <f ca="1">IF(AND($D450="Serviço",AM$12&lt;&gt;0,$H450&gt;0,OR(AUTOEVENTO&lt;&gt;"manual",$M450&lt;&gt;1)),ROUND(OFFSET($P450,0,AM$13),15-13*ORÇAMENTO!$AF$7)/$H450*OFFSET(ORÇAMENTO!$X$15,ROW(AM450)-ROW(AM$15),0),0)</f>
        <v>0</v>
      </c>
      <c r="AN450" s="632">
        <f ca="1">IF(AND($D450="Serviço",AN$12&lt;&gt;0,$H450&gt;0,OR(AUTOEVENTO&lt;&gt;"manual",$M450&lt;&gt;1)),ROUND(OFFSET($P450,0,AN$13),15-13*ORÇAMENTO!$AF$7)/$H450*OFFSET(ORÇAMENTO!$X$15,ROW(AN450)-ROW(AN$15),0),0)</f>
        <v>0</v>
      </c>
      <c r="AO450" s="632">
        <f ca="1">IF(AND($D450="Serviço",AO$12&lt;&gt;0,$H450&gt;0,OR(AUTOEVENTO&lt;&gt;"manual",$M450&lt;&gt;1)),ROUND(OFFSET($P450,0,AO$13),15-13*ORÇAMENTO!$AF$7)/$H450*OFFSET(ORÇAMENTO!$X$15,ROW(AO450)-ROW(AO$15),0),0)</f>
        <v>0</v>
      </c>
      <c r="AP450" s="632">
        <f ca="1">IF(AND($D450="Serviço",AP$12&lt;&gt;0,$H450&gt;0,OR(AUTOEVENTO&lt;&gt;"manual",$M450&lt;&gt;1)),ROUND(OFFSET($P450,0,AP$13),15-13*ORÇAMENTO!$AF$7)/$H450*OFFSET(ORÇAMENTO!$X$15,ROW(AP450)-ROW(AP$15),0),0)</f>
        <v>0</v>
      </c>
      <c r="AQ450" s="632">
        <f ca="1">IF(AND($D450="Serviço",AQ$12&lt;&gt;0,$H450&gt;0,OR(AUTOEVENTO&lt;&gt;"manual",$M450&lt;&gt;1)),ROUND(OFFSET($P450,0,AQ$13),15-13*ORÇAMENTO!$AF$7)/$H450*OFFSET(ORÇAMENTO!$X$15,ROW(AQ450)-ROW(AQ$15),0),0)</f>
        <v>0</v>
      </c>
      <c r="AR450" s="632">
        <f ca="1">IF(AND($D450="Serviço",AR$12&lt;&gt;0,$H450&gt;0,OR(AUTOEVENTO&lt;&gt;"manual",$M450&lt;&gt;1)),ROUND(OFFSET($P450,0,AR$13),15-13*ORÇAMENTO!$AF$7)/$H450*OFFSET(ORÇAMENTO!$X$15,ROW(AR450)-ROW(AR$15),0),0)</f>
        <v>0</v>
      </c>
      <c r="AS450" s="633">
        <f ca="1">IF(AND($D450="Serviço",AS$12&lt;&gt;0,$H450&gt;0,OR(AUTOEVENTO&lt;&gt;"manual",$M450&lt;&gt;1)),ROUND(OFFSET($P450,0,AS$13),15-13*ORÇAMENTO!$AF$7)/$H450*OFFSET(ORÇAMENTO!$X$15,ROW(AS450)-ROW(AS$15),0),0)</f>
        <v>0</v>
      </c>
      <c r="AT450" s="632">
        <f ca="1">IF(AND($D450="Serviço",AT$12&lt;&gt;0,$H450&gt;0,OR(AUTOEVENTO&lt;&gt;"manual",$M450&lt;&gt;1)),ROUND(OFFSET($P450,0,AT$13),15-13*ORÇAMENTO!$AF$7)/$H450*OFFSET(ORÇAMENTO!$X$15,ROW(AT450)-ROW(AT$15),0),0)</f>
        <v>0</v>
      </c>
      <c r="AU450" s="632">
        <f ca="1">IF(AND($D450="Serviço",AU$12&lt;&gt;0,$H450&gt;0,OR(AUTOEVENTO&lt;&gt;"manual",$M450&lt;&gt;1)),ROUND(OFFSET($P450,0,AU$13),15-13*ORÇAMENTO!$AF$7)/$H450*OFFSET(ORÇAMENTO!$X$15,ROW(AU450)-ROW(AU$15),0),0)</f>
        <v>0</v>
      </c>
      <c r="AV450" s="632">
        <f ca="1">IF(AND($D450="Serviço",AV$12&lt;&gt;0,$H450&gt;0,OR(AUTOEVENTO&lt;&gt;"manual",$M450&lt;&gt;1)),ROUND(OFFSET($P450,0,AV$13),15-13*ORÇAMENTO!$AF$7)/$H450*OFFSET(ORÇAMENTO!$X$15,ROW(AV450)-ROW(AV$15),0),0)</f>
        <v>0</v>
      </c>
      <c r="AW450" s="632">
        <f ca="1">IF(AND($D450="Serviço",AW$12&lt;&gt;0,$H450&gt;0,OR(AUTOEVENTO&lt;&gt;"manual",$M450&lt;&gt;1)),ROUND(OFFSET($P450,0,AW$13),15-13*ORÇAMENTO!$AF$7)/$H450*OFFSET(ORÇAMENTO!$X$15,ROW(AW450)-ROW(AW$15),0),0)</f>
        <v>0</v>
      </c>
      <c r="AX450" s="632">
        <f ca="1">IF(AND($D450="Serviço",AX$12&lt;&gt;0,$H450&gt;0,OR(AUTOEVENTO&lt;&gt;"manual",$M450&lt;&gt;1)),ROUND(OFFSET($P450,0,AX$13),15-13*ORÇAMENTO!$AF$7)/$H450*OFFSET(ORÇAMENTO!$X$15,ROW(AX450)-ROW(AX$15),0),0)</f>
        <v>0</v>
      </c>
      <c r="AY450" s="632">
        <f ca="1">IF(AND($D450="Serviço",AY$12&lt;&gt;0,$H450&gt;0,OR(AUTOEVENTO&lt;&gt;"manual",$M450&lt;&gt;1)),ROUND(OFFSET($P450,0,AY$13),15-13*ORÇAMENTO!$AF$7)/$H450*OFFSET(ORÇAMENTO!$X$15,ROW(AY450)-ROW(AY$15),0),0)</f>
        <v>0</v>
      </c>
      <c r="AZ450" s="632">
        <f ca="1">IF(AND($D450="Serviço",AZ$12&lt;&gt;0,$H450&gt;0,OR(AUTOEVENTO&lt;&gt;"manual",$M450&lt;&gt;1)),ROUND(OFFSET($P450,0,AZ$13),15-13*ORÇAMENTO!$AF$7)/$H450*OFFSET(ORÇAMENTO!$X$15,ROW(AZ450)-ROW(AZ$15),0),0)</f>
        <v>0</v>
      </c>
      <c r="BA450" s="633">
        <f ca="1">IF(AND($D450="Serviço",BA$12&lt;&gt;0,$H450&gt;0,OR(AUTOEVENTO&lt;&gt;"manual",$M450&lt;&gt;1)),ROUND(OFFSET($P450,0,BA$13),15-13*ORÇAMENTO!$AF$7)/$H450*OFFSET(ORÇAMENTO!$X$15,ROW(BA450)-ROW(BA$15),0),0)</f>
        <v>0</v>
      </c>
      <c r="BC450" s="215">
        <f ca="1">IF($D450&lt;&gt;"Serviço",0,IF(AND(AUTOEVENTO="Manual",$M450=1),0,IF(OFFSET(CRONOPLE!$F$14,$M450,BC$13)="",10^12,OFFSET(CRONOPLE!$F$14,$M450,BC$13))))</f>
        <v>1000000000000</v>
      </c>
      <c r="BD450" s="215">
        <f ca="1">IF($D450&lt;&gt;"Serviço",0,IF(AND(AUTOEVENTO="Manual",$M450=1),0,IF(OFFSET(CRONOPLE!$F$14,$M450,BD$13)="",10^12,OFFSET(CRONOPLE!$F$14,$M450,BD$13))))</f>
        <v>1000000000000</v>
      </c>
      <c r="BE450" s="215">
        <f ca="1">IF($D450&lt;&gt;"Serviço",0,IF(AND(AUTOEVENTO="Manual",$M450=1),0,IF(OFFSET(CRONOPLE!$F$14,$M450,BE$13)="",10^12,OFFSET(CRONOPLE!$F$14,$M450,BE$13))))</f>
        <v>1000000000000</v>
      </c>
      <c r="BF450" s="215">
        <f ca="1">IF($D450&lt;&gt;"Serviço",0,IF(AND(AUTOEVENTO="Manual",$M450=1),0,IF(OFFSET(CRONOPLE!$F$14,$M450,BF$13)="",10^12,OFFSET(CRONOPLE!$F$14,$M450,BF$13))))</f>
        <v>1000000000000</v>
      </c>
      <c r="BG450" s="215">
        <f ca="1">IF($D450&lt;&gt;"Serviço",0,IF(AND(AUTOEVENTO="Manual",$M450=1),0,IF(OFFSET(CRONOPLE!$F$14,$M450,BG$13)="",10^12,OFFSET(CRONOPLE!$F$14,$M450,BG$13))))</f>
        <v>1000000000000</v>
      </c>
      <c r="BH450" s="215">
        <f ca="1">IF($D450&lt;&gt;"Serviço",0,IF(AND(AUTOEVENTO="Manual",$M450=1),0,IF(OFFSET(CRONOPLE!$F$14,$M450,BH$13)="",10^12,OFFSET(CRONOPLE!$F$14,$M450,BH$13))))</f>
        <v>1000000000000</v>
      </c>
      <c r="BI450" s="215">
        <f ca="1">IF($D450&lt;&gt;"Serviço",0,IF(AND(AUTOEVENTO="Manual",$M450=1),0,IF(OFFSET(CRONOPLE!$F$14,$M450,BI$13)="",10^12,OFFSET(CRONOPLE!$F$14,$M450,BI$13))))</f>
        <v>1000000000000</v>
      </c>
      <c r="BJ450" s="215">
        <f ca="1">IF($D450&lt;&gt;"Serviço",0,IF(AND(AUTOEVENTO="Manual",$M450=1),0,IF(OFFSET(CRONOPLE!$F$14,$M450,BJ$13)="",10^12,OFFSET(CRONOPLE!$F$14,$M450,BJ$13))))</f>
        <v>1000000000000</v>
      </c>
      <c r="BK450" s="215">
        <f ca="1">IF($D450&lt;&gt;"Serviço",0,IF(AND(AUTOEVENTO="Manual",$M450=1),0,IF(OFFSET(CRONOPLE!$F$14,$M450,BK$13)="",10^12,OFFSET(CRONOPLE!$F$14,$M450,BK$13))))</f>
        <v>1000000000000</v>
      </c>
      <c r="BL450" s="215">
        <f ca="1">IF($D450&lt;&gt;"Serviço",0,IF(AND(AUTOEVENTO="Manual",$M450=1),0,IF(OFFSET(CRONOPLE!$F$14,$M450,BL$13)="",10^12,OFFSET(CRONOPLE!$F$14,$M450,BL$13))))</f>
        <v>1000000000000</v>
      </c>
      <c r="BM450" s="215">
        <f ca="1">IF($D450&lt;&gt;"Serviço",0,IF(AND(AUTOEVENTO="Manual",$M450=1),0,IF(OFFSET(CRONOPLE!$F$14,$M450,BM$13)="",10^12,OFFSET(CRONOPLE!$F$14,$M450,BM$13))))</f>
        <v>1000000000000</v>
      </c>
      <c r="BN450" s="215">
        <f ca="1">IF($D450&lt;&gt;"Serviço",0,IF(AND(AUTOEVENTO="Manual",$M450=1),0,IF(OFFSET(CRONOPLE!$F$14,$M450,BN$13)="",10^12,OFFSET(CRONOPLE!$F$14,$M450,BN$13))))</f>
        <v>1000000000000</v>
      </c>
      <c r="BO450" s="215">
        <f ca="1">IF($D450&lt;&gt;"Serviço",0,IF(AND(AUTOEVENTO="Manual",$M450=1),0,IF(OFFSET(CRONOPLE!$F$14,$M450,BO$13)="",10^12,OFFSET(CRONOPLE!$F$14,$M450,BO$13))))</f>
        <v>1000000000000</v>
      </c>
      <c r="BP450" s="215">
        <f ca="1">IF($D450&lt;&gt;"Serviço",0,IF(AND(AUTOEVENTO="Manual",$M450=1),0,IF(OFFSET(CRONOPLE!$F$14,$M450,BP$13)="",10^12,OFFSET(CRONOPLE!$F$14,$M450,BP$13))))</f>
        <v>1000000000000</v>
      </c>
      <c r="BQ450" s="215">
        <f ca="1">IF($D450&lt;&gt;"Serviço",0,IF(AND(AUTOEVENTO="Manual",$M450=1),0,IF(OFFSET(CRONOPLE!$F$14,$M450,BQ$13)="",10^12,OFFSET(CRONOPLE!$F$14,$M450,BQ$13))))</f>
        <v>1000000000000</v>
      </c>
      <c r="BR450" s="215">
        <f ca="1">IF($D450&lt;&gt;"Serviço",0,IF(AND(AUTOEVENTO="Manual",$M450=1),0,IF(OFFSET(CRONOPLE!$F$14,$M450,BR$13)="",10^12,OFFSET(CRONOPLE!$F$14,$M450,BR$13))))</f>
        <v>1000000000000</v>
      </c>
      <c r="BS450" s="215">
        <f ca="1">IF($D450&lt;&gt;"Serviço",0,IF(AND(AUTOEVENTO="Manual",$M450=1),0,IF(OFFSET(CRONOPLE!$F$14,$M450,BS$13)="",10^12,OFFSET(CRONOPLE!$F$14,$M450,BS$13))))</f>
        <v>1000000000000</v>
      </c>
      <c r="BT450" s="215">
        <f ca="1">IF($D450&lt;&gt;"Serviço",0,IF(AND(AUTOEVENTO="Manual",$M450=1),0,IF(OFFSET(CRONOPLE!$F$14,$M450,BT$13)="",10^12,OFFSET(CRONOPLE!$F$14,$M450,BT$13))))</f>
        <v>1000000000000</v>
      </c>
      <c r="BV450" s="216">
        <f ca="1">IF($D450&lt;&gt;"Serviço",0,IF(OR(AND(AUTOEVENTO="Manual",$M450=1),$M450&gt;(ROW(PLE.lastrow)-ROW(PLE.firstrow))),0,IF(OFFSET(PLE!$G$14,$M450,BV$13)="",10^12,OFFSET(PLE!$G$14,$M450,BV$13))))</f>
        <v>1000000000000</v>
      </c>
      <c r="BW450" s="216">
        <f ca="1">IF($D450&lt;&gt;"Serviço",0,IF(OR(AND(AUTOEVENTO="Manual",$M450=1),$M450&gt;(ROW(PLE.lastrow)-ROW(PLE.firstrow))),0,IF(OFFSET(PLE!$G$14,$M450,BW$13)="",10^12,OFFSET(PLE!$G$14,$M450,BW$13))))</f>
        <v>1000000000000</v>
      </c>
      <c r="BX450" s="216">
        <f ca="1">IF($D450&lt;&gt;"Serviço",0,IF(OR(AND(AUTOEVENTO="Manual",$M450=1),$M450&gt;(ROW(PLE.lastrow)-ROW(PLE.firstrow))),0,IF(OFFSET(PLE!$G$14,$M450,BX$13)="",10^12,OFFSET(PLE!$G$14,$M450,BX$13))))</f>
        <v>1000000000000</v>
      </c>
      <c r="BY450" s="216">
        <f ca="1">IF($D450&lt;&gt;"Serviço",0,IF(OR(AND(AUTOEVENTO="Manual",$M450=1),$M450&gt;(ROW(PLE.lastrow)-ROW(PLE.firstrow))),0,IF(OFFSET(PLE!$G$14,$M450,BY$13)="",10^12,OFFSET(PLE!$G$14,$M450,BY$13))))</f>
        <v>1000000000000</v>
      </c>
      <c r="BZ450" s="216">
        <f ca="1">IF($D450&lt;&gt;"Serviço",0,IF(OR(AND(AUTOEVENTO="Manual",$M450=1),$M450&gt;(ROW(PLE.lastrow)-ROW(PLE.firstrow))),0,IF(OFFSET(PLE!$G$14,$M450,BZ$13)="",10^12,OFFSET(PLE!$G$14,$M450,BZ$13))))</f>
        <v>1000000000000</v>
      </c>
      <c r="CA450" s="216">
        <f ca="1">IF($D450&lt;&gt;"Serviço",0,IF(OR(AND(AUTOEVENTO="Manual",$M450=1),$M450&gt;(ROW(PLE.lastrow)-ROW(PLE.firstrow))),0,IF(OFFSET(PLE!$G$14,$M450,CA$13)="",10^12,OFFSET(PLE!$G$14,$M450,CA$13))))</f>
        <v>1000000000000</v>
      </c>
      <c r="CB450" s="216">
        <f ca="1">IF($D450&lt;&gt;"Serviço",0,IF(OR(AND(AUTOEVENTO="Manual",$M450=1),$M450&gt;(ROW(PLE.lastrow)-ROW(PLE.firstrow))),0,IF(OFFSET(PLE!$G$14,$M450,CB$13)="",10^12,OFFSET(PLE!$G$14,$M450,CB$13))))</f>
        <v>1000000000000</v>
      </c>
      <c r="CC450" s="216">
        <f ca="1">IF($D450&lt;&gt;"Serviço",0,IF(OR(AND(AUTOEVENTO="Manual",$M450=1),$M450&gt;(ROW(PLE.lastrow)-ROW(PLE.firstrow))),0,IF(OFFSET(PLE!$G$14,$M450,CC$13)="",10^12,OFFSET(PLE!$G$14,$M450,CC$13))))</f>
        <v>1000000000000</v>
      </c>
      <c r="CD450" s="216">
        <f ca="1">IF($D450&lt;&gt;"Serviço",0,IF(OR(AND(AUTOEVENTO="Manual",$M450=1),$M450&gt;(ROW(PLE.lastrow)-ROW(PLE.firstrow))),0,IF(OFFSET(PLE!$G$14,$M450,CD$13)="",10^12,OFFSET(PLE!$G$14,$M450,CD$13))))</f>
        <v>1000000000000</v>
      </c>
      <c r="CE450" s="216">
        <f ca="1">IF($D450&lt;&gt;"Serviço",0,IF(OR(AND(AUTOEVENTO="Manual",$M450=1),$M450&gt;(ROW(PLE.lastrow)-ROW(PLE.firstrow))),0,IF(OFFSET(PLE!$G$14,$M450,CE$13)="",10^12,OFFSET(PLE!$G$14,$M450,CE$13))))</f>
        <v>1000000000000</v>
      </c>
      <c r="CF450" s="216">
        <f ca="1">IF($D450&lt;&gt;"Serviço",0,IF(OR(AND(AUTOEVENTO="Manual",$M450=1),$M450&gt;(ROW(PLE.lastrow)-ROW(PLE.firstrow))),0,IF(OFFSET(PLE!$G$14,$M450,CF$13)="",10^12,OFFSET(PLE!$G$14,$M450,CF$13))))</f>
        <v>1000000000000</v>
      </c>
      <c r="CG450" s="216">
        <f ca="1">IF($D450&lt;&gt;"Serviço",0,IF(OR(AND(AUTOEVENTO="Manual",$M450=1),$M450&gt;(ROW(PLE.lastrow)-ROW(PLE.firstrow))),0,IF(OFFSET(PLE!$G$14,$M450,CG$13)="",10^12,OFFSET(PLE!$G$14,$M450,CG$13))))</f>
        <v>1000000000000</v>
      </c>
      <c r="CH450" s="216">
        <f ca="1">IF($D450&lt;&gt;"Serviço",0,IF(OR(AND(AUTOEVENTO="Manual",$M450=1),$M450&gt;(ROW(PLE.lastrow)-ROW(PLE.firstrow))),0,IF(OFFSET(PLE!$G$14,$M450,CH$13)="",10^12,OFFSET(PLE!$G$14,$M450,CH$13))))</f>
        <v>1000000000000</v>
      </c>
      <c r="CI450" s="216">
        <f ca="1">IF($D450&lt;&gt;"Serviço",0,IF(OR(AND(AUTOEVENTO="Manual",$M450=1),$M450&gt;(ROW(PLE.lastrow)-ROW(PLE.firstrow))),0,IF(OFFSET(PLE!$G$14,$M450,CI$13)="",10^12,OFFSET(PLE!$G$14,$M450,CI$13))))</f>
        <v>1000000000000</v>
      </c>
      <c r="CJ450" s="216">
        <f ca="1">IF($D450&lt;&gt;"Serviço",0,IF(OR(AND(AUTOEVENTO="Manual",$M450=1),$M450&gt;(ROW(PLE.lastrow)-ROW(PLE.firstrow))),0,IF(OFFSET(PLE!$G$14,$M450,CJ$13)="",10^12,OFFSET(PLE!$G$14,$M450,CJ$13))))</f>
        <v>1000000000000</v>
      </c>
      <c r="CK450" s="216">
        <f ca="1">IF($D450&lt;&gt;"Serviço",0,IF(OR(AND(AUTOEVENTO="Manual",$M450=1),$M450&gt;(ROW(PLE.lastrow)-ROW(PLE.firstrow))),0,IF(OFFSET(PLE!$G$14,$M450,CK$13)="",10^12,OFFSET(PLE!$G$14,$M450,CK$13))))</f>
        <v>1000000000000</v>
      </c>
      <c r="CL450" s="216">
        <f ca="1">IF($D450&lt;&gt;"Serviço",0,IF(OR(AND(AUTOEVENTO="Manual",$M450=1),$M450&gt;(ROW(PLE.lastrow)-ROW(PLE.firstrow))),0,IF(OFFSET(PLE!$G$14,$M450,CL$13)="",10^12,OFFSET(PLE!$G$14,$M450,CL$13))))</f>
        <v>1000000000000</v>
      </c>
      <c r="CM450" s="216">
        <f ca="1">IF($D450&lt;&gt;"Serviço",0,IF(OR(AND(AUTOEVENTO="Manual",$M450=1),$M450&gt;(ROW(PLE.lastrow)-ROW(PLE.firstrow))),0,IF(OFFSET(PLE!$G$14,$M450,CM$13)="",10^12,OFFSET(PLE!$G$14,$M450,CM$13))))</f>
        <v>1000000000000</v>
      </c>
    </row>
    <row r="451" spans="1:91" ht="13.2" x14ac:dyDescent="0.25">
      <c r="A451" s="9">
        <f t="shared" ca="1" si="15"/>
        <v>0</v>
      </c>
      <c r="B451" s="9" t="str">
        <f ca="1">OFFSET(ORÇAMENTO!C$15,ROW(B451)-ROW(B$15),0)</f>
        <v>S</v>
      </c>
      <c r="C451" s="9" t="str">
        <f ca="1">OFFSET(ORÇAMENTO!L$15,ROW(C451)-ROW(C$15),0)</f>
        <v/>
      </c>
      <c r="D451" s="145" t="str">
        <f ca="1">OFFSET(ORÇAMENTO!N$15,ROW(D451)-ROW(D$15),0)</f>
        <v>Serviço</v>
      </c>
      <c r="E451" s="205" t="str">
        <f ca="1">OFFSET(ORÇAMENTO!O$15,ROW(E451)-ROW(E$15),0)</f>
        <v>-</v>
      </c>
      <c r="F451" s="206" t="str">
        <f ca="1">OFFSET(ORÇAMENTO!R$15,ROW(F451)-ROW(F$15),0)</f>
        <v>(abra o arquivo 'Referência 05-2024.xls)</v>
      </c>
      <c r="G451" s="207" t="str">
        <f ca="1">IF($D451&lt;&gt;"Serviço","",OFFSET(ORÇAMENTO!S$15,ROW(G451)-ROW(G$15),0))</f>
        <v>-</v>
      </c>
      <c r="H451" s="151">
        <f ca="1">IF($D451&lt;&gt;"Serviço",0,IF(ACOMPANHAMENTO="BM",ROUND(OFFSET(ORÇAMENTO!AJ$15,ROW(H451)-ROW(H$15),0),15-13*ORÇAMENTO!$AF$7),SUMPRODUCT(($Q$12:$AI$12&lt;&gt;"")*ROUND($Q451:$AI451,15-13*ORÇAMENTO!$AF$7))))</f>
        <v>10</v>
      </c>
      <c r="I451" s="650"/>
      <c r="K451" s="208"/>
      <c r="L451" s="209" t="s">
        <v>257</v>
      </c>
      <c r="M451" s="210">
        <f ca="1">IF($D451&lt;&gt;"Serviço","",IF(AUTOEVENTO="manual",$A451,IF(ISERROR(MATCH($A451,$A$15:OFFSET($A451,-1,0),0)),MAX($M$15:OFFSET(M451,-1,0))+1,INDEX($M$15:OFFSET(M451,-1,0),MATCH($A451,$A$15:OFFSET($A451,-1,0),0)))))</f>
        <v>0</v>
      </c>
      <c r="N451" s="211" t="str">
        <f ca="1">IF($D451&lt;&gt;"Serviço","",IF(AUTOEVENTO="Manual",IF($A451=0,"&lt;-- defina o número do agrupador",OFFSET(EVENTOS!$D$14,$A451,0)),OFFSET($F$15,$A451,0)))</f>
        <v>&lt;-- defina o número do agrupador</v>
      </c>
      <c r="O451" s="212"/>
      <c r="Q451" s="212"/>
      <c r="R451" s="213"/>
      <c r="S451" s="213"/>
      <c r="T451" s="213"/>
      <c r="U451" s="213"/>
      <c r="V451" s="213"/>
      <c r="W451" s="213"/>
      <c r="X451" s="213"/>
      <c r="Y451" s="213"/>
      <c r="Z451" s="214"/>
      <c r="AA451" s="213"/>
      <c r="AB451" s="213"/>
      <c r="AC451" s="213"/>
      <c r="AD451" s="213"/>
      <c r="AE451" s="213"/>
      <c r="AF451" s="213"/>
      <c r="AG451" s="213"/>
      <c r="AH451" s="214"/>
      <c r="AJ451" s="631">
        <f ca="1">IF(AND($D451="Serviço",AJ$12&lt;&gt;0,$H451&gt;0,OR(AUTOEVENTO&lt;&gt;"manual",$M451&lt;&gt;1)),ROUND(OFFSET($P451,0,AJ$13),15-13*ORÇAMENTO!$AF$7)/$H451*OFFSET(ORÇAMENTO!$X$15,ROW(AJ451)-ROW(AJ$15),0),0)</f>
        <v>0</v>
      </c>
      <c r="AK451" s="632">
        <f ca="1">IF(AND($D451="Serviço",AK$12&lt;&gt;0,$H451&gt;0,OR(AUTOEVENTO&lt;&gt;"manual",$M451&lt;&gt;1)),ROUND(OFFSET($P451,0,AK$13),15-13*ORÇAMENTO!$AF$7)/$H451*OFFSET(ORÇAMENTO!$X$15,ROW(AK451)-ROW(AK$15),0),0)</f>
        <v>0</v>
      </c>
      <c r="AL451" s="632">
        <f ca="1">IF(AND($D451="Serviço",AL$12&lt;&gt;0,$H451&gt;0,OR(AUTOEVENTO&lt;&gt;"manual",$M451&lt;&gt;1)),ROUND(OFFSET($P451,0,AL$13),15-13*ORÇAMENTO!$AF$7)/$H451*OFFSET(ORÇAMENTO!$X$15,ROW(AL451)-ROW(AL$15),0),0)</f>
        <v>0</v>
      </c>
      <c r="AM451" s="632">
        <f ca="1">IF(AND($D451="Serviço",AM$12&lt;&gt;0,$H451&gt;0,OR(AUTOEVENTO&lt;&gt;"manual",$M451&lt;&gt;1)),ROUND(OFFSET($P451,0,AM$13),15-13*ORÇAMENTO!$AF$7)/$H451*OFFSET(ORÇAMENTO!$X$15,ROW(AM451)-ROW(AM$15),0),0)</f>
        <v>0</v>
      </c>
      <c r="AN451" s="632">
        <f ca="1">IF(AND($D451="Serviço",AN$12&lt;&gt;0,$H451&gt;0,OR(AUTOEVENTO&lt;&gt;"manual",$M451&lt;&gt;1)),ROUND(OFFSET($P451,0,AN$13),15-13*ORÇAMENTO!$AF$7)/$H451*OFFSET(ORÇAMENTO!$X$15,ROW(AN451)-ROW(AN$15),0),0)</f>
        <v>0</v>
      </c>
      <c r="AO451" s="632">
        <f ca="1">IF(AND($D451="Serviço",AO$12&lt;&gt;0,$H451&gt;0,OR(AUTOEVENTO&lt;&gt;"manual",$M451&lt;&gt;1)),ROUND(OFFSET($P451,0,AO$13),15-13*ORÇAMENTO!$AF$7)/$H451*OFFSET(ORÇAMENTO!$X$15,ROW(AO451)-ROW(AO$15),0),0)</f>
        <v>0</v>
      </c>
      <c r="AP451" s="632">
        <f ca="1">IF(AND($D451="Serviço",AP$12&lt;&gt;0,$H451&gt;0,OR(AUTOEVENTO&lt;&gt;"manual",$M451&lt;&gt;1)),ROUND(OFFSET($P451,0,AP$13),15-13*ORÇAMENTO!$AF$7)/$H451*OFFSET(ORÇAMENTO!$X$15,ROW(AP451)-ROW(AP$15),0),0)</f>
        <v>0</v>
      </c>
      <c r="AQ451" s="632">
        <f ca="1">IF(AND($D451="Serviço",AQ$12&lt;&gt;0,$H451&gt;0,OR(AUTOEVENTO&lt;&gt;"manual",$M451&lt;&gt;1)),ROUND(OFFSET($P451,0,AQ$13),15-13*ORÇAMENTO!$AF$7)/$H451*OFFSET(ORÇAMENTO!$X$15,ROW(AQ451)-ROW(AQ$15),0),0)</f>
        <v>0</v>
      </c>
      <c r="AR451" s="632">
        <f ca="1">IF(AND($D451="Serviço",AR$12&lt;&gt;0,$H451&gt;0,OR(AUTOEVENTO&lt;&gt;"manual",$M451&lt;&gt;1)),ROUND(OFFSET($P451,0,AR$13),15-13*ORÇAMENTO!$AF$7)/$H451*OFFSET(ORÇAMENTO!$X$15,ROW(AR451)-ROW(AR$15),0),0)</f>
        <v>0</v>
      </c>
      <c r="AS451" s="633">
        <f ca="1">IF(AND($D451="Serviço",AS$12&lt;&gt;0,$H451&gt;0,OR(AUTOEVENTO&lt;&gt;"manual",$M451&lt;&gt;1)),ROUND(OFFSET($P451,0,AS$13),15-13*ORÇAMENTO!$AF$7)/$H451*OFFSET(ORÇAMENTO!$X$15,ROW(AS451)-ROW(AS$15),0),0)</f>
        <v>0</v>
      </c>
      <c r="AT451" s="632">
        <f ca="1">IF(AND($D451="Serviço",AT$12&lt;&gt;0,$H451&gt;0,OR(AUTOEVENTO&lt;&gt;"manual",$M451&lt;&gt;1)),ROUND(OFFSET($P451,0,AT$13),15-13*ORÇAMENTO!$AF$7)/$H451*OFFSET(ORÇAMENTO!$X$15,ROW(AT451)-ROW(AT$15),0),0)</f>
        <v>0</v>
      </c>
      <c r="AU451" s="632">
        <f ca="1">IF(AND($D451="Serviço",AU$12&lt;&gt;0,$H451&gt;0,OR(AUTOEVENTO&lt;&gt;"manual",$M451&lt;&gt;1)),ROUND(OFFSET($P451,0,AU$13),15-13*ORÇAMENTO!$AF$7)/$H451*OFFSET(ORÇAMENTO!$X$15,ROW(AU451)-ROW(AU$15),0),0)</f>
        <v>0</v>
      </c>
      <c r="AV451" s="632">
        <f ca="1">IF(AND($D451="Serviço",AV$12&lt;&gt;0,$H451&gt;0,OR(AUTOEVENTO&lt;&gt;"manual",$M451&lt;&gt;1)),ROUND(OFFSET($P451,0,AV$13),15-13*ORÇAMENTO!$AF$7)/$H451*OFFSET(ORÇAMENTO!$X$15,ROW(AV451)-ROW(AV$15),0),0)</f>
        <v>0</v>
      </c>
      <c r="AW451" s="632">
        <f ca="1">IF(AND($D451="Serviço",AW$12&lt;&gt;0,$H451&gt;0,OR(AUTOEVENTO&lt;&gt;"manual",$M451&lt;&gt;1)),ROUND(OFFSET($P451,0,AW$13),15-13*ORÇAMENTO!$AF$7)/$H451*OFFSET(ORÇAMENTO!$X$15,ROW(AW451)-ROW(AW$15),0),0)</f>
        <v>0</v>
      </c>
      <c r="AX451" s="632">
        <f ca="1">IF(AND($D451="Serviço",AX$12&lt;&gt;0,$H451&gt;0,OR(AUTOEVENTO&lt;&gt;"manual",$M451&lt;&gt;1)),ROUND(OFFSET($P451,0,AX$13),15-13*ORÇAMENTO!$AF$7)/$H451*OFFSET(ORÇAMENTO!$X$15,ROW(AX451)-ROW(AX$15),0),0)</f>
        <v>0</v>
      </c>
      <c r="AY451" s="632">
        <f ca="1">IF(AND($D451="Serviço",AY$12&lt;&gt;0,$H451&gt;0,OR(AUTOEVENTO&lt;&gt;"manual",$M451&lt;&gt;1)),ROUND(OFFSET($P451,0,AY$13),15-13*ORÇAMENTO!$AF$7)/$H451*OFFSET(ORÇAMENTO!$X$15,ROW(AY451)-ROW(AY$15),0),0)</f>
        <v>0</v>
      </c>
      <c r="AZ451" s="632">
        <f ca="1">IF(AND($D451="Serviço",AZ$12&lt;&gt;0,$H451&gt;0,OR(AUTOEVENTO&lt;&gt;"manual",$M451&lt;&gt;1)),ROUND(OFFSET($P451,0,AZ$13),15-13*ORÇAMENTO!$AF$7)/$H451*OFFSET(ORÇAMENTO!$X$15,ROW(AZ451)-ROW(AZ$15),0),0)</f>
        <v>0</v>
      </c>
      <c r="BA451" s="633">
        <f ca="1">IF(AND($D451="Serviço",BA$12&lt;&gt;0,$H451&gt;0,OR(AUTOEVENTO&lt;&gt;"manual",$M451&lt;&gt;1)),ROUND(OFFSET($P451,0,BA$13),15-13*ORÇAMENTO!$AF$7)/$H451*OFFSET(ORÇAMENTO!$X$15,ROW(BA451)-ROW(BA$15),0),0)</f>
        <v>0</v>
      </c>
      <c r="BC451" s="215">
        <f ca="1">IF($D451&lt;&gt;"Serviço",0,IF(AND(AUTOEVENTO="Manual",$M451=1),0,IF(OFFSET(CRONOPLE!$F$14,$M451,BC$13)="",10^12,OFFSET(CRONOPLE!$F$14,$M451,BC$13))))</f>
        <v>1000000000000</v>
      </c>
      <c r="BD451" s="215">
        <f ca="1">IF($D451&lt;&gt;"Serviço",0,IF(AND(AUTOEVENTO="Manual",$M451=1),0,IF(OFFSET(CRONOPLE!$F$14,$M451,BD$13)="",10^12,OFFSET(CRONOPLE!$F$14,$M451,BD$13))))</f>
        <v>1000000000000</v>
      </c>
      <c r="BE451" s="215">
        <f ca="1">IF($D451&lt;&gt;"Serviço",0,IF(AND(AUTOEVENTO="Manual",$M451=1),0,IF(OFFSET(CRONOPLE!$F$14,$M451,BE$13)="",10^12,OFFSET(CRONOPLE!$F$14,$M451,BE$13))))</f>
        <v>1000000000000</v>
      </c>
      <c r="BF451" s="215">
        <f ca="1">IF($D451&lt;&gt;"Serviço",0,IF(AND(AUTOEVENTO="Manual",$M451=1),0,IF(OFFSET(CRONOPLE!$F$14,$M451,BF$13)="",10^12,OFFSET(CRONOPLE!$F$14,$M451,BF$13))))</f>
        <v>1000000000000</v>
      </c>
      <c r="BG451" s="215">
        <f ca="1">IF($D451&lt;&gt;"Serviço",0,IF(AND(AUTOEVENTO="Manual",$M451=1),0,IF(OFFSET(CRONOPLE!$F$14,$M451,BG$13)="",10^12,OFFSET(CRONOPLE!$F$14,$M451,BG$13))))</f>
        <v>1000000000000</v>
      </c>
      <c r="BH451" s="215">
        <f ca="1">IF($D451&lt;&gt;"Serviço",0,IF(AND(AUTOEVENTO="Manual",$M451=1),0,IF(OFFSET(CRONOPLE!$F$14,$M451,BH$13)="",10^12,OFFSET(CRONOPLE!$F$14,$M451,BH$13))))</f>
        <v>1000000000000</v>
      </c>
      <c r="BI451" s="215">
        <f ca="1">IF($D451&lt;&gt;"Serviço",0,IF(AND(AUTOEVENTO="Manual",$M451=1),0,IF(OFFSET(CRONOPLE!$F$14,$M451,BI$13)="",10^12,OFFSET(CRONOPLE!$F$14,$M451,BI$13))))</f>
        <v>1000000000000</v>
      </c>
      <c r="BJ451" s="215">
        <f ca="1">IF($D451&lt;&gt;"Serviço",0,IF(AND(AUTOEVENTO="Manual",$M451=1),0,IF(OFFSET(CRONOPLE!$F$14,$M451,BJ$13)="",10^12,OFFSET(CRONOPLE!$F$14,$M451,BJ$13))))</f>
        <v>1000000000000</v>
      </c>
      <c r="BK451" s="215">
        <f ca="1">IF($D451&lt;&gt;"Serviço",0,IF(AND(AUTOEVENTO="Manual",$M451=1),0,IF(OFFSET(CRONOPLE!$F$14,$M451,BK$13)="",10^12,OFFSET(CRONOPLE!$F$14,$M451,BK$13))))</f>
        <v>1000000000000</v>
      </c>
      <c r="BL451" s="215">
        <f ca="1">IF($D451&lt;&gt;"Serviço",0,IF(AND(AUTOEVENTO="Manual",$M451=1),0,IF(OFFSET(CRONOPLE!$F$14,$M451,BL$13)="",10^12,OFFSET(CRONOPLE!$F$14,$M451,BL$13))))</f>
        <v>1000000000000</v>
      </c>
      <c r="BM451" s="215">
        <f ca="1">IF($D451&lt;&gt;"Serviço",0,IF(AND(AUTOEVENTO="Manual",$M451=1),0,IF(OFFSET(CRONOPLE!$F$14,$M451,BM$13)="",10^12,OFFSET(CRONOPLE!$F$14,$M451,BM$13))))</f>
        <v>1000000000000</v>
      </c>
      <c r="BN451" s="215">
        <f ca="1">IF($D451&lt;&gt;"Serviço",0,IF(AND(AUTOEVENTO="Manual",$M451=1),0,IF(OFFSET(CRONOPLE!$F$14,$M451,BN$13)="",10^12,OFFSET(CRONOPLE!$F$14,$M451,BN$13))))</f>
        <v>1000000000000</v>
      </c>
      <c r="BO451" s="215">
        <f ca="1">IF($D451&lt;&gt;"Serviço",0,IF(AND(AUTOEVENTO="Manual",$M451=1),0,IF(OFFSET(CRONOPLE!$F$14,$M451,BO$13)="",10^12,OFFSET(CRONOPLE!$F$14,$M451,BO$13))))</f>
        <v>1000000000000</v>
      </c>
      <c r="BP451" s="215">
        <f ca="1">IF($D451&lt;&gt;"Serviço",0,IF(AND(AUTOEVENTO="Manual",$M451=1),0,IF(OFFSET(CRONOPLE!$F$14,$M451,BP$13)="",10^12,OFFSET(CRONOPLE!$F$14,$M451,BP$13))))</f>
        <v>1000000000000</v>
      </c>
      <c r="BQ451" s="215">
        <f ca="1">IF($D451&lt;&gt;"Serviço",0,IF(AND(AUTOEVENTO="Manual",$M451=1),0,IF(OFFSET(CRONOPLE!$F$14,$M451,BQ$13)="",10^12,OFFSET(CRONOPLE!$F$14,$M451,BQ$13))))</f>
        <v>1000000000000</v>
      </c>
      <c r="BR451" s="215">
        <f ca="1">IF($D451&lt;&gt;"Serviço",0,IF(AND(AUTOEVENTO="Manual",$M451=1),0,IF(OFFSET(CRONOPLE!$F$14,$M451,BR$13)="",10^12,OFFSET(CRONOPLE!$F$14,$M451,BR$13))))</f>
        <v>1000000000000</v>
      </c>
      <c r="BS451" s="215">
        <f ca="1">IF($D451&lt;&gt;"Serviço",0,IF(AND(AUTOEVENTO="Manual",$M451=1),0,IF(OFFSET(CRONOPLE!$F$14,$M451,BS$13)="",10^12,OFFSET(CRONOPLE!$F$14,$M451,BS$13))))</f>
        <v>1000000000000</v>
      </c>
      <c r="BT451" s="215">
        <f ca="1">IF($D451&lt;&gt;"Serviço",0,IF(AND(AUTOEVENTO="Manual",$M451=1),0,IF(OFFSET(CRONOPLE!$F$14,$M451,BT$13)="",10^12,OFFSET(CRONOPLE!$F$14,$M451,BT$13))))</f>
        <v>1000000000000</v>
      </c>
      <c r="BV451" s="216">
        <f ca="1">IF($D451&lt;&gt;"Serviço",0,IF(OR(AND(AUTOEVENTO="Manual",$M451=1),$M451&gt;(ROW(PLE.lastrow)-ROW(PLE.firstrow))),0,IF(OFFSET(PLE!$G$14,$M451,BV$13)="",10^12,OFFSET(PLE!$G$14,$M451,BV$13))))</f>
        <v>1000000000000</v>
      </c>
      <c r="BW451" s="216">
        <f ca="1">IF($D451&lt;&gt;"Serviço",0,IF(OR(AND(AUTOEVENTO="Manual",$M451=1),$M451&gt;(ROW(PLE.lastrow)-ROW(PLE.firstrow))),0,IF(OFFSET(PLE!$G$14,$M451,BW$13)="",10^12,OFFSET(PLE!$G$14,$M451,BW$13))))</f>
        <v>1000000000000</v>
      </c>
      <c r="BX451" s="216">
        <f ca="1">IF($D451&lt;&gt;"Serviço",0,IF(OR(AND(AUTOEVENTO="Manual",$M451=1),$M451&gt;(ROW(PLE.lastrow)-ROW(PLE.firstrow))),0,IF(OFFSET(PLE!$G$14,$M451,BX$13)="",10^12,OFFSET(PLE!$G$14,$M451,BX$13))))</f>
        <v>1000000000000</v>
      </c>
      <c r="BY451" s="216">
        <f ca="1">IF($D451&lt;&gt;"Serviço",0,IF(OR(AND(AUTOEVENTO="Manual",$M451=1),$M451&gt;(ROW(PLE.lastrow)-ROW(PLE.firstrow))),0,IF(OFFSET(PLE!$G$14,$M451,BY$13)="",10^12,OFFSET(PLE!$G$14,$M451,BY$13))))</f>
        <v>1000000000000</v>
      </c>
      <c r="BZ451" s="216">
        <f ca="1">IF($D451&lt;&gt;"Serviço",0,IF(OR(AND(AUTOEVENTO="Manual",$M451=1),$M451&gt;(ROW(PLE.lastrow)-ROW(PLE.firstrow))),0,IF(OFFSET(PLE!$G$14,$M451,BZ$13)="",10^12,OFFSET(PLE!$G$14,$M451,BZ$13))))</f>
        <v>1000000000000</v>
      </c>
      <c r="CA451" s="216">
        <f ca="1">IF($D451&lt;&gt;"Serviço",0,IF(OR(AND(AUTOEVENTO="Manual",$M451=1),$M451&gt;(ROW(PLE.lastrow)-ROW(PLE.firstrow))),0,IF(OFFSET(PLE!$G$14,$M451,CA$13)="",10^12,OFFSET(PLE!$G$14,$M451,CA$13))))</f>
        <v>1000000000000</v>
      </c>
      <c r="CB451" s="216">
        <f ca="1">IF($D451&lt;&gt;"Serviço",0,IF(OR(AND(AUTOEVENTO="Manual",$M451=1),$M451&gt;(ROW(PLE.lastrow)-ROW(PLE.firstrow))),0,IF(OFFSET(PLE!$G$14,$M451,CB$13)="",10^12,OFFSET(PLE!$G$14,$M451,CB$13))))</f>
        <v>1000000000000</v>
      </c>
      <c r="CC451" s="216">
        <f ca="1">IF($D451&lt;&gt;"Serviço",0,IF(OR(AND(AUTOEVENTO="Manual",$M451=1),$M451&gt;(ROW(PLE.lastrow)-ROW(PLE.firstrow))),0,IF(OFFSET(PLE!$G$14,$M451,CC$13)="",10^12,OFFSET(PLE!$G$14,$M451,CC$13))))</f>
        <v>1000000000000</v>
      </c>
      <c r="CD451" s="216">
        <f ca="1">IF($D451&lt;&gt;"Serviço",0,IF(OR(AND(AUTOEVENTO="Manual",$M451=1),$M451&gt;(ROW(PLE.lastrow)-ROW(PLE.firstrow))),0,IF(OFFSET(PLE!$G$14,$M451,CD$13)="",10^12,OFFSET(PLE!$G$14,$M451,CD$13))))</f>
        <v>1000000000000</v>
      </c>
      <c r="CE451" s="216">
        <f ca="1">IF($D451&lt;&gt;"Serviço",0,IF(OR(AND(AUTOEVENTO="Manual",$M451=1),$M451&gt;(ROW(PLE.lastrow)-ROW(PLE.firstrow))),0,IF(OFFSET(PLE!$G$14,$M451,CE$13)="",10^12,OFFSET(PLE!$G$14,$M451,CE$13))))</f>
        <v>1000000000000</v>
      </c>
      <c r="CF451" s="216">
        <f ca="1">IF($D451&lt;&gt;"Serviço",0,IF(OR(AND(AUTOEVENTO="Manual",$M451=1),$M451&gt;(ROW(PLE.lastrow)-ROW(PLE.firstrow))),0,IF(OFFSET(PLE!$G$14,$M451,CF$13)="",10^12,OFFSET(PLE!$G$14,$M451,CF$13))))</f>
        <v>1000000000000</v>
      </c>
      <c r="CG451" s="216">
        <f ca="1">IF($D451&lt;&gt;"Serviço",0,IF(OR(AND(AUTOEVENTO="Manual",$M451=1),$M451&gt;(ROW(PLE.lastrow)-ROW(PLE.firstrow))),0,IF(OFFSET(PLE!$G$14,$M451,CG$13)="",10^12,OFFSET(PLE!$G$14,$M451,CG$13))))</f>
        <v>1000000000000</v>
      </c>
      <c r="CH451" s="216">
        <f ca="1">IF($D451&lt;&gt;"Serviço",0,IF(OR(AND(AUTOEVENTO="Manual",$M451=1),$M451&gt;(ROW(PLE.lastrow)-ROW(PLE.firstrow))),0,IF(OFFSET(PLE!$G$14,$M451,CH$13)="",10^12,OFFSET(PLE!$G$14,$M451,CH$13))))</f>
        <v>1000000000000</v>
      </c>
      <c r="CI451" s="216">
        <f ca="1">IF($D451&lt;&gt;"Serviço",0,IF(OR(AND(AUTOEVENTO="Manual",$M451=1),$M451&gt;(ROW(PLE.lastrow)-ROW(PLE.firstrow))),0,IF(OFFSET(PLE!$G$14,$M451,CI$13)="",10^12,OFFSET(PLE!$G$14,$M451,CI$13))))</f>
        <v>1000000000000</v>
      </c>
      <c r="CJ451" s="216">
        <f ca="1">IF($D451&lt;&gt;"Serviço",0,IF(OR(AND(AUTOEVENTO="Manual",$M451=1),$M451&gt;(ROW(PLE.lastrow)-ROW(PLE.firstrow))),0,IF(OFFSET(PLE!$G$14,$M451,CJ$13)="",10^12,OFFSET(PLE!$G$14,$M451,CJ$13))))</f>
        <v>1000000000000</v>
      </c>
      <c r="CK451" s="216">
        <f ca="1">IF($D451&lt;&gt;"Serviço",0,IF(OR(AND(AUTOEVENTO="Manual",$M451=1),$M451&gt;(ROW(PLE.lastrow)-ROW(PLE.firstrow))),0,IF(OFFSET(PLE!$G$14,$M451,CK$13)="",10^12,OFFSET(PLE!$G$14,$M451,CK$13))))</f>
        <v>1000000000000</v>
      </c>
      <c r="CL451" s="216">
        <f ca="1">IF($D451&lt;&gt;"Serviço",0,IF(OR(AND(AUTOEVENTO="Manual",$M451=1),$M451&gt;(ROW(PLE.lastrow)-ROW(PLE.firstrow))),0,IF(OFFSET(PLE!$G$14,$M451,CL$13)="",10^12,OFFSET(PLE!$G$14,$M451,CL$13))))</f>
        <v>1000000000000</v>
      </c>
      <c r="CM451" s="216">
        <f ca="1">IF($D451&lt;&gt;"Serviço",0,IF(OR(AND(AUTOEVENTO="Manual",$M451=1),$M451&gt;(ROW(PLE.lastrow)-ROW(PLE.firstrow))),0,IF(OFFSET(PLE!$G$14,$M451,CM$13)="",10^12,OFFSET(PLE!$G$14,$M451,CM$13))))</f>
        <v>1000000000000</v>
      </c>
    </row>
    <row r="452" spans="1:91" ht="13.2" x14ac:dyDescent="0.25">
      <c r="A452" s="9">
        <f t="shared" ca="1" si="15"/>
        <v>0</v>
      </c>
      <c r="B452" s="9" t="str">
        <f ca="1">OFFSET(ORÇAMENTO!C$15,ROW(B452)-ROW(B$15),0)</f>
        <v>S</v>
      </c>
      <c r="C452" s="9" t="str">
        <f ca="1">OFFSET(ORÇAMENTO!L$15,ROW(C452)-ROW(C$15),0)</f>
        <v/>
      </c>
      <c r="D452" s="145" t="str">
        <f ca="1">OFFSET(ORÇAMENTO!N$15,ROW(D452)-ROW(D$15),0)</f>
        <v>Serviço</v>
      </c>
      <c r="E452" s="205" t="str">
        <f ca="1">OFFSET(ORÇAMENTO!O$15,ROW(E452)-ROW(E$15),0)</f>
        <v>-</v>
      </c>
      <c r="F452" s="206" t="str">
        <f ca="1">OFFSET(ORÇAMENTO!R$15,ROW(F452)-ROW(F$15),0)</f>
        <v>(abra o arquivo 'Referência 05-2024.xls)</v>
      </c>
      <c r="G452" s="207" t="str">
        <f ca="1">IF($D452&lt;&gt;"Serviço","",OFFSET(ORÇAMENTO!S$15,ROW(G452)-ROW(G$15),0))</f>
        <v>-</v>
      </c>
      <c r="H452" s="151">
        <f ca="1">IF($D452&lt;&gt;"Serviço",0,IF(ACOMPANHAMENTO="BM",ROUND(OFFSET(ORÇAMENTO!AJ$15,ROW(H452)-ROW(H$15),0),15-13*ORÇAMENTO!$AF$7),SUMPRODUCT(($Q$12:$AI$12&lt;&gt;"")*ROUND($Q452:$AI452,15-13*ORÇAMENTO!$AF$7))))</f>
        <v>2</v>
      </c>
      <c r="I452" s="650"/>
      <c r="K452" s="208"/>
      <c r="L452" s="209" t="s">
        <v>257</v>
      </c>
      <c r="M452" s="210">
        <f ca="1">IF($D452&lt;&gt;"Serviço","",IF(AUTOEVENTO="manual",$A452,IF(ISERROR(MATCH($A452,$A$15:OFFSET($A452,-1,0),0)),MAX($M$15:OFFSET(M452,-1,0))+1,INDEX($M$15:OFFSET(M452,-1,0),MATCH($A452,$A$15:OFFSET($A452,-1,0),0)))))</f>
        <v>0</v>
      </c>
      <c r="N452" s="211" t="str">
        <f ca="1">IF($D452&lt;&gt;"Serviço","",IF(AUTOEVENTO="Manual",IF($A452=0,"&lt;-- defina o número do agrupador",OFFSET(EVENTOS!$D$14,$A452,0)),OFFSET($F$15,$A452,0)))</f>
        <v>&lt;-- defina o número do agrupador</v>
      </c>
      <c r="O452" s="212"/>
      <c r="Q452" s="212"/>
      <c r="R452" s="213"/>
      <c r="S452" s="213"/>
      <c r="T452" s="213"/>
      <c r="U452" s="213"/>
      <c r="V452" s="213"/>
      <c r="W452" s="213"/>
      <c r="X452" s="213"/>
      <c r="Y452" s="213"/>
      <c r="Z452" s="214"/>
      <c r="AA452" s="213"/>
      <c r="AB452" s="213"/>
      <c r="AC452" s="213"/>
      <c r="AD452" s="213"/>
      <c r="AE452" s="213"/>
      <c r="AF452" s="213"/>
      <c r="AG452" s="213"/>
      <c r="AH452" s="214"/>
      <c r="AJ452" s="631">
        <f ca="1">IF(AND($D452="Serviço",AJ$12&lt;&gt;0,$H452&gt;0,OR(AUTOEVENTO&lt;&gt;"manual",$M452&lt;&gt;1)),ROUND(OFFSET($P452,0,AJ$13),15-13*ORÇAMENTO!$AF$7)/$H452*OFFSET(ORÇAMENTO!$X$15,ROW(AJ452)-ROW(AJ$15),0),0)</f>
        <v>0</v>
      </c>
      <c r="AK452" s="632">
        <f ca="1">IF(AND($D452="Serviço",AK$12&lt;&gt;0,$H452&gt;0,OR(AUTOEVENTO&lt;&gt;"manual",$M452&lt;&gt;1)),ROUND(OFFSET($P452,0,AK$13),15-13*ORÇAMENTO!$AF$7)/$H452*OFFSET(ORÇAMENTO!$X$15,ROW(AK452)-ROW(AK$15),0),0)</f>
        <v>0</v>
      </c>
      <c r="AL452" s="632">
        <f ca="1">IF(AND($D452="Serviço",AL$12&lt;&gt;0,$H452&gt;0,OR(AUTOEVENTO&lt;&gt;"manual",$M452&lt;&gt;1)),ROUND(OFFSET($P452,0,AL$13),15-13*ORÇAMENTO!$AF$7)/$H452*OFFSET(ORÇAMENTO!$X$15,ROW(AL452)-ROW(AL$15),0),0)</f>
        <v>0</v>
      </c>
      <c r="AM452" s="632">
        <f ca="1">IF(AND($D452="Serviço",AM$12&lt;&gt;0,$H452&gt;0,OR(AUTOEVENTO&lt;&gt;"manual",$M452&lt;&gt;1)),ROUND(OFFSET($P452,0,AM$13),15-13*ORÇAMENTO!$AF$7)/$H452*OFFSET(ORÇAMENTO!$X$15,ROW(AM452)-ROW(AM$15),0),0)</f>
        <v>0</v>
      </c>
      <c r="AN452" s="632">
        <f ca="1">IF(AND($D452="Serviço",AN$12&lt;&gt;0,$H452&gt;0,OR(AUTOEVENTO&lt;&gt;"manual",$M452&lt;&gt;1)),ROUND(OFFSET($P452,0,AN$13),15-13*ORÇAMENTO!$AF$7)/$H452*OFFSET(ORÇAMENTO!$X$15,ROW(AN452)-ROW(AN$15),0),0)</f>
        <v>0</v>
      </c>
      <c r="AO452" s="632">
        <f ca="1">IF(AND($D452="Serviço",AO$12&lt;&gt;0,$H452&gt;0,OR(AUTOEVENTO&lt;&gt;"manual",$M452&lt;&gt;1)),ROUND(OFFSET($P452,0,AO$13),15-13*ORÇAMENTO!$AF$7)/$H452*OFFSET(ORÇAMENTO!$X$15,ROW(AO452)-ROW(AO$15),0),0)</f>
        <v>0</v>
      </c>
      <c r="AP452" s="632">
        <f ca="1">IF(AND($D452="Serviço",AP$12&lt;&gt;0,$H452&gt;0,OR(AUTOEVENTO&lt;&gt;"manual",$M452&lt;&gt;1)),ROUND(OFFSET($P452,0,AP$13),15-13*ORÇAMENTO!$AF$7)/$H452*OFFSET(ORÇAMENTO!$X$15,ROW(AP452)-ROW(AP$15),0),0)</f>
        <v>0</v>
      </c>
      <c r="AQ452" s="632">
        <f ca="1">IF(AND($D452="Serviço",AQ$12&lt;&gt;0,$H452&gt;0,OR(AUTOEVENTO&lt;&gt;"manual",$M452&lt;&gt;1)),ROUND(OFFSET($P452,0,AQ$13),15-13*ORÇAMENTO!$AF$7)/$H452*OFFSET(ORÇAMENTO!$X$15,ROW(AQ452)-ROW(AQ$15),0),0)</f>
        <v>0</v>
      </c>
      <c r="AR452" s="632">
        <f ca="1">IF(AND($D452="Serviço",AR$12&lt;&gt;0,$H452&gt;0,OR(AUTOEVENTO&lt;&gt;"manual",$M452&lt;&gt;1)),ROUND(OFFSET($P452,0,AR$13),15-13*ORÇAMENTO!$AF$7)/$H452*OFFSET(ORÇAMENTO!$X$15,ROW(AR452)-ROW(AR$15),0),0)</f>
        <v>0</v>
      </c>
      <c r="AS452" s="633">
        <f ca="1">IF(AND($D452="Serviço",AS$12&lt;&gt;0,$H452&gt;0,OR(AUTOEVENTO&lt;&gt;"manual",$M452&lt;&gt;1)),ROUND(OFFSET($P452,0,AS$13),15-13*ORÇAMENTO!$AF$7)/$H452*OFFSET(ORÇAMENTO!$X$15,ROW(AS452)-ROW(AS$15),0),0)</f>
        <v>0</v>
      </c>
      <c r="AT452" s="632">
        <f ca="1">IF(AND($D452="Serviço",AT$12&lt;&gt;0,$H452&gt;0,OR(AUTOEVENTO&lt;&gt;"manual",$M452&lt;&gt;1)),ROUND(OFFSET($P452,0,AT$13),15-13*ORÇAMENTO!$AF$7)/$H452*OFFSET(ORÇAMENTO!$X$15,ROW(AT452)-ROW(AT$15),0),0)</f>
        <v>0</v>
      </c>
      <c r="AU452" s="632">
        <f ca="1">IF(AND($D452="Serviço",AU$12&lt;&gt;0,$H452&gt;0,OR(AUTOEVENTO&lt;&gt;"manual",$M452&lt;&gt;1)),ROUND(OFFSET($P452,0,AU$13),15-13*ORÇAMENTO!$AF$7)/$H452*OFFSET(ORÇAMENTO!$X$15,ROW(AU452)-ROW(AU$15),0),0)</f>
        <v>0</v>
      </c>
      <c r="AV452" s="632">
        <f ca="1">IF(AND($D452="Serviço",AV$12&lt;&gt;0,$H452&gt;0,OR(AUTOEVENTO&lt;&gt;"manual",$M452&lt;&gt;1)),ROUND(OFFSET($P452,0,AV$13),15-13*ORÇAMENTO!$AF$7)/$H452*OFFSET(ORÇAMENTO!$X$15,ROW(AV452)-ROW(AV$15),0),0)</f>
        <v>0</v>
      </c>
      <c r="AW452" s="632">
        <f ca="1">IF(AND($D452="Serviço",AW$12&lt;&gt;0,$H452&gt;0,OR(AUTOEVENTO&lt;&gt;"manual",$M452&lt;&gt;1)),ROUND(OFFSET($P452,0,AW$13),15-13*ORÇAMENTO!$AF$7)/$H452*OFFSET(ORÇAMENTO!$X$15,ROW(AW452)-ROW(AW$15),0),0)</f>
        <v>0</v>
      </c>
      <c r="AX452" s="632">
        <f ca="1">IF(AND($D452="Serviço",AX$12&lt;&gt;0,$H452&gt;0,OR(AUTOEVENTO&lt;&gt;"manual",$M452&lt;&gt;1)),ROUND(OFFSET($P452,0,AX$13),15-13*ORÇAMENTO!$AF$7)/$H452*OFFSET(ORÇAMENTO!$X$15,ROW(AX452)-ROW(AX$15),0),0)</f>
        <v>0</v>
      </c>
      <c r="AY452" s="632">
        <f ca="1">IF(AND($D452="Serviço",AY$12&lt;&gt;0,$H452&gt;0,OR(AUTOEVENTO&lt;&gt;"manual",$M452&lt;&gt;1)),ROUND(OFFSET($P452,0,AY$13),15-13*ORÇAMENTO!$AF$7)/$H452*OFFSET(ORÇAMENTO!$X$15,ROW(AY452)-ROW(AY$15),0),0)</f>
        <v>0</v>
      </c>
      <c r="AZ452" s="632">
        <f ca="1">IF(AND($D452="Serviço",AZ$12&lt;&gt;0,$H452&gt;0,OR(AUTOEVENTO&lt;&gt;"manual",$M452&lt;&gt;1)),ROUND(OFFSET($P452,0,AZ$13),15-13*ORÇAMENTO!$AF$7)/$H452*OFFSET(ORÇAMENTO!$X$15,ROW(AZ452)-ROW(AZ$15),0),0)</f>
        <v>0</v>
      </c>
      <c r="BA452" s="633">
        <f ca="1">IF(AND($D452="Serviço",BA$12&lt;&gt;0,$H452&gt;0,OR(AUTOEVENTO&lt;&gt;"manual",$M452&lt;&gt;1)),ROUND(OFFSET($P452,0,BA$13),15-13*ORÇAMENTO!$AF$7)/$H452*OFFSET(ORÇAMENTO!$X$15,ROW(BA452)-ROW(BA$15),0),0)</f>
        <v>0</v>
      </c>
      <c r="BC452" s="215">
        <f ca="1">IF($D452&lt;&gt;"Serviço",0,IF(AND(AUTOEVENTO="Manual",$M452=1),0,IF(OFFSET(CRONOPLE!$F$14,$M452,BC$13)="",10^12,OFFSET(CRONOPLE!$F$14,$M452,BC$13))))</f>
        <v>1000000000000</v>
      </c>
      <c r="BD452" s="215">
        <f ca="1">IF($D452&lt;&gt;"Serviço",0,IF(AND(AUTOEVENTO="Manual",$M452=1),0,IF(OFFSET(CRONOPLE!$F$14,$M452,BD$13)="",10^12,OFFSET(CRONOPLE!$F$14,$M452,BD$13))))</f>
        <v>1000000000000</v>
      </c>
      <c r="BE452" s="215">
        <f ca="1">IF($D452&lt;&gt;"Serviço",0,IF(AND(AUTOEVENTO="Manual",$M452=1),0,IF(OFFSET(CRONOPLE!$F$14,$M452,BE$13)="",10^12,OFFSET(CRONOPLE!$F$14,$M452,BE$13))))</f>
        <v>1000000000000</v>
      </c>
      <c r="BF452" s="215">
        <f ca="1">IF($D452&lt;&gt;"Serviço",0,IF(AND(AUTOEVENTO="Manual",$M452=1),0,IF(OFFSET(CRONOPLE!$F$14,$M452,BF$13)="",10^12,OFFSET(CRONOPLE!$F$14,$M452,BF$13))))</f>
        <v>1000000000000</v>
      </c>
      <c r="BG452" s="215">
        <f ca="1">IF($D452&lt;&gt;"Serviço",0,IF(AND(AUTOEVENTO="Manual",$M452=1),0,IF(OFFSET(CRONOPLE!$F$14,$M452,BG$13)="",10^12,OFFSET(CRONOPLE!$F$14,$M452,BG$13))))</f>
        <v>1000000000000</v>
      </c>
      <c r="BH452" s="215">
        <f ca="1">IF($D452&lt;&gt;"Serviço",0,IF(AND(AUTOEVENTO="Manual",$M452=1),0,IF(OFFSET(CRONOPLE!$F$14,$M452,BH$13)="",10^12,OFFSET(CRONOPLE!$F$14,$M452,BH$13))))</f>
        <v>1000000000000</v>
      </c>
      <c r="BI452" s="215">
        <f ca="1">IF($D452&lt;&gt;"Serviço",0,IF(AND(AUTOEVENTO="Manual",$M452=1),0,IF(OFFSET(CRONOPLE!$F$14,$M452,BI$13)="",10^12,OFFSET(CRONOPLE!$F$14,$M452,BI$13))))</f>
        <v>1000000000000</v>
      </c>
      <c r="BJ452" s="215">
        <f ca="1">IF($D452&lt;&gt;"Serviço",0,IF(AND(AUTOEVENTO="Manual",$M452=1),0,IF(OFFSET(CRONOPLE!$F$14,$M452,BJ$13)="",10^12,OFFSET(CRONOPLE!$F$14,$M452,BJ$13))))</f>
        <v>1000000000000</v>
      </c>
      <c r="BK452" s="215">
        <f ca="1">IF($D452&lt;&gt;"Serviço",0,IF(AND(AUTOEVENTO="Manual",$M452=1),0,IF(OFFSET(CRONOPLE!$F$14,$M452,BK$13)="",10^12,OFFSET(CRONOPLE!$F$14,$M452,BK$13))))</f>
        <v>1000000000000</v>
      </c>
      <c r="BL452" s="215">
        <f ca="1">IF($D452&lt;&gt;"Serviço",0,IF(AND(AUTOEVENTO="Manual",$M452=1),0,IF(OFFSET(CRONOPLE!$F$14,$M452,BL$13)="",10^12,OFFSET(CRONOPLE!$F$14,$M452,BL$13))))</f>
        <v>1000000000000</v>
      </c>
      <c r="BM452" s="215">
        <f ca="1">IF($D452&lt;&gt;"Serviço",0,IF(AND(AUTOEVENTO="Manual",$M452=1),0,IF(OFFSET(CRONOPLE!$F$14,$M452,BM$13)="",10^12,OFFSET(CRONOPLE!$F$14,$M452,BM$13))))</f>
        <v>1000000000000</v>
      </c>
      <c r="BN452" s="215">
        <f ca="1">IF($D452&lt;&gt;"Serviço",0,IF(AND(AUTOEVENTO="Manual",$M452=1),0,IF(OFFSET(CRONOPLE!$F$14,$M452,BN$13)="",10^12,OFFSET(CRONOPLE!$F$14,$M452,BN$13))))</f>
        <v>1000000000000</v>
      </c>
      <c r="BO452" s="215">
        <f ca="1">IF($D452&lt;&gt;"Serviço",0,IF(AND(AUTOEVENTO="Manual",$M452=1),0,IF(OFFSET(CRONOPLE!$F$14,$M452,BO$13)="",10^12,OFFSET(CRONOPLE!$F$14,$M452,BO$13))))</f>
        <v>1000000000000</v>
      </c>
      <c r="BP452" s="215">
        <f ca="1">IF($D452&lt;&gt;"Serviço",0,IF(AND(AUTOEVENTO="Manual",$M452=1),0,IF(OFFSET(CRONOPLE!$F$14,$M452,BP$13)="",10^12,OFFSET(CRONOPLE!$F$14,$M452,BP$13))))</f>
        <v>1000000000000</v>
      </c>
      <c r="BQ452" s="215">
        <f ca="1">IF($D452&lt;&gt;"Serviço",0,IF(AND(AUTOEVENTO="Manual",$M452=1),0,IF(OFFSET(CRONOPLE!$F$14,$M452,BQ$13)="",10^12,OFFSET(CRONOPLE!$F$14,$M452,BQ$13))))</f>
        <v>1000000000000</v>
      </c>
      <c r="BR452" s="215">
        <f ca="1">IF($D452&lt;&gt;"Serviço",0,IF(AND(AUTOEVENTO="Manual",$M452=1),0,IF(OFFSET(CRONOPLE!$F$14,$M452,BR$13)="",10^12,OFFSET(CRONOPLE!$F$14,$M452,BR$13))))</f>
        <v>1000000000000</v>
      </c>
      <c r="BS452" s="215">
        <f ca="1">IF($D452&lt;&gt;"Serviço",0,IF(AND(AUTOEVENTO="Manual",$M452=1),0,IF(OFFSET(CRONOPLE!$F$14,$M452,BS$13)="",10^12,OFFSET(CRONOPLE!$F$14,$M452,BS$13))))</f>
        <v>1000000000000</v>
      </c>
      <c r="BT452" s="215">
        <f ca="1">IF($D452&lt;&gt;"Serviço",0,IF(AND(AUTOEVENTO="Manual",$M452=1),0,IF(OFFSET(CRONOPLE!$F$14,$M452,BT$13)="",10^12,OFFSET(CRONOPLE!$F$14,$M452,BT$13))))</f>
        <v>1000000000000</v>
      </c>
      <c r="BV452" s="216">
        <f ca="1">IF($D452&lt;&gt;"Serviço",0,IF(OR(AND(AUTOEVENTO="Manual",$M452=1),$M452&gt;(ROW(PLE.lastrow)-ROW(PLE.firstrow))),0,IF(OFFSET(PLE!$G$14,$M452,BV$13)="",10^12,OFFSET(PLE!$G$14,$M452,BV$13))))</f>
        <v>1000000000000</v>
      </c>
      <c r="BW452" s="216">
        <f ca="1">IF($D452&lt;&gt;"Serviço",0,IF(OR(AND(AUTOEVENTO="Manual",$M452=1),$M452&gt;(ROW(PLE.lastrow)-ROW(PLE.firstrow))),0,IF(OFFSET(PLE!$G$14,$M452,BW$13)="",10^12,OFFSET(PLE!$G$14,$M452,BW$13))))</f>
        <v>1000000000000</v>
      </c>
      <c r="BX452" s="216">
        <f ca="1">IF($D452&lt;&gt;"Serviço",0,IF(OR(AND(AUTOEVENTO="Manual",$M452=1),$M452&gt;(ROW(PLE.lastrow)-ROW(PLE.firstrow))),0,IF(OFFSET(PLE!$G$14,$M452,BX$13)="",10^12,OFFSET(PLE!$G$14,$M452,BX$13))))</f>
        <v>1000000000000</v>
      </c>
      <c r="BY452" s="216">
        <f ca="1">IF($D452&lt;&gt;"Serviço",0,IF(OR(AND(AUTOEVENTO="Manual",$M452=1),$M452&gt;(ROW(PLE.lastrow)-ROW(PLE.firstrow))),0,IF(OFFSET(PLE!$G$14,$M452,BY$13)="",10^12,OFFSET(PLE!$G$14,$M452,BY$13))))</f>
        <v>1000000000000</v>
      </c>
      <c r="BZ452" s="216">
        <f ca="1">IF($D452&lt;&gt;"Serviço",0,IF(OR(AND(AUTOEVENTO="Manual",$M452=1),$M452&gt;(ROW(PLE.lastrow)-ROW(PLE.firstrow))),0,IF(OFFSET(PLE!$G$14,$M452,BZ$13)="",10^12,OFFSET(PLE!$G$14,$M452,BZ$13))))</f>
        <v>1000000000000</v>
      </c>
      <c r="CA452" s="216">
        <f ca="1">IF($D452&lt;&gt;"Serviço",0,IF(OR(AND(AUTOEVENTO="Manual",$M452=1),$M452&gt;(ROW(PLE.lastrow)-ROW(PLE.firstrow))),0,IF(OFFSET(PLE!$G$14,$M452,CA$13)="",10^12,OFFSET(PLE!$G$14,$M452,CA$13))))</f>
        <v>1000000000000</v>
      </c>
      <c r="CB452" s="216">
        <f ca="1">IF($D452&lt;&gt;"Serviço",0,IF(OR(AND(AUTOEVENTO="Manual",$M452=1),$M452&gt;(ROW(PLE.lastrow)-ROW(PLE.firstrow))),0,IF(OFFSET(PLE!$G$14,$M452,CB$13)="",10^12,OFFSET(PLE!$G$14,$M452,CB$13))))</f>
        <v>1000000000000</v>
      </c>
      <c r="CC452" s="216">
        <f ca="1">IF($D452&lt;&gt;"Serviço",0,IF(OR(AND(AUTOEVENTO="Manual",$M452=1),$M452&gt;(ROW(PLE.lastrow)-ROW(PLE.firstrow))),0,IF(OFFSET(PLE!$G$14,$M452,CC$13)="",10^12,OFFSET(PLE!$G$14,$M452,CC$13))))</f>
        <v>1000000000000</v>
      </c>
      <c r="CD452" s="216">
        <f ca="1">IF($D452&lt;&gt;"Serviço",0,IF(OR(AND(AUTOEVENTO="Manual",$M452=1),$M452&gt;(ROW(PLE.lastrow)-ROW(PLE.firstrow))),0,IF(OFFSET(PLE!$G$14,$M452,CD$13)="",10^12,OFFSET(PLE!$G$14,$M452,CD$13))))</f>
        <v>1000000000000</v>
      </c>
      <c r="CE452" s="216">
        <f ca="1">IF($D452&lt;&gt;"Serviço",0,IF(OR(AND(AUTOEVENTO="Manual",$M452=1),$M452&gt;(ROW(PLE.lastrow)-ROW(PLE.firstrow))),0,IF(OFFSET(PLE!$G$14,$M452,CE$13)="",10^12,OFFSET(PLE!$G$14,$M452,CE$13))))</f>
        <v>1000000000000</v>
      </c>
      <c r="CF452" s="216">
        <f ca="1">IF($D452&lt;&gt;"Serviço",0,IF(OR(AND(AUTOEVENTO="Manual",$M452=1),$M452&gt;(ROW(PLE.lastrow)-ROW(PLE.firstrow))),0,IF(OFFSET(PLE!$G$14,$M452,CF$13)="",10^12,OFFSET(PLE!$G$14,$M452,CF$13))))</f>
        <v>1000000000000</v>
      </c>
      <c r="CG452" s="216">
        <f ca="1">IF($D452&lt;&gt;"Serviço",0,IF(OR(AND(AUTOEVENTO="Manual",$M452=1),$M452&gt;(ROW(PLE.lastrow)-ROW(PLE.firstrow))),0,IF(OFFSET(PLE!$G$14,$M452,CG$13)="",10^12,OFFSET(PLE!$G$14,$M452,CG$13))))</f>
        <v>1000000000000</v>
      </c>
      <c r="CH452" s="216">
        <f ca="1">IF($D452&lt;&gt;"Serviço",0,IF(OR(AND(AUTOEVENTO="Manual",$M452=1),$M452&gt;(ROW(PLE.lastrow)-ROW(PLE.firstrow))),0,IF(OFFSET(PLE!$G$14,$M452,CH$13)="",10^12,OFFSET(PLE!$G$14,$M452,CH$13))))</f>
        <v>1000000000000</v>
      </c>
      <c r="CI452" s="216">
        <f ca="1">IF($D452&lt;&gt;"Serviço",0,IF(OR(AND(AUTOEVENTO="Manual",$M452=1),$M452&gt;(ROW(PLE.lastrow)-ROW(PLE.firstrow))),0,IF(OFFSET(PLE!$G$14,$M452,CI$13)="",10^12,OFFSET(PLE!$G$14,$M452,CI$13))))</f>
        <v>1000000000000</v>
      </c>
      <c r="CJ452" s="216">
        <f ca="1">IF($D452&lt;&gt;"Serviço",0,IF(OR(AND(AUTOEVENTO="Manual",$M452=1),$M452&gt;(ROW(PLE.lastrow)-ROW(PLE.firstrow))),0,IF(OFFSET(PLE!$G$14,$M452,CJ$13)="",10^12,OFFSET(PLE!$G$14,$M452,CJ$13))))</f>
        <v>1000000000000</v>
      </c>
      <c r="CK452" s="216">
        <f ca="1">IF($D452&lt;&gt;"Serviço",0,IF(OR(AND(AUTOEVENTO="Manual",$M452=1),$M452&gt;(ROW(PLE.lastrow)-ROW(PLE.firstrow))),0,IF(OFFSET(PLE!$G$14,$M452,CK$13)="",10^12,OFFSET(PLE!$G$14,$M452,CK$13))))</f>
        <v>1000000000000</v>
      </c>
      <c r="CL452" s="216">
        <f ca="1">IF($D452&lt;&gt;"Serviço",0,IF(OR(AND(AUTOEVENTO="Manual",$M452=1),$M452&gt;(ROW(PLE.lastrow)-ROW(PLE.firstrow))),0,IF(OFFSET(PLE!$G$14,$M452,CL$13)="",10^12,OFFSET(PLE!$G$14,$M452,CL$13))))</f>
        <v>1000000000000</v>
      </c>
      <c r="CM452" s="216">
        <f ca="1">IF($D452&lt;&gt;"Serviço",0,IF(OR(AND(AUTOEVENTO="Manual",$M452=1),$M452&gt;(ROW(PLE.lastrow)-ROW(PLE.firstrow))),0,IF(OFFSET(PLE!$G$14,$M452,CM$13)="",10^12,OFFSET(PLE!$G$14,$M452,CM$13))))</f>
        <v>1000000000000</v>
      </c>
    </row>
    <row r="453" spans="1:91" ht="13.2" x14ac:dyDescent="0.25">
      <c r="A453" s="9">
        <f t="shared" ca="1" si="15"/>
        <v>0</v>
      </c>
      <c r="B453" s="9" t="str">
        <f ca="1">OFFSET(ORÇAMENTO!C$15,ROW(B453)-ROW(B$15),0)</f>
        <v>S</v>
      </c>
      <c r="C453" s="9" t="str">
        <f ca="1">OFFSET(ORÇAMENTO!L$15,ROW(C453)-ROW(C$15),0)</f>
        <v/>
      </c>
      <c r="D453" s="145" t="str">
        <f ca="1">OFFSET(ORÇAMENTO!N$15,ROW(D453)-ROW(D$15),0)</f>
        <v>Serviço</v>
      </c>
      <c r="E453" s="205" t="str">
        <f ca="1">OFFSET(ORÇAMENTO!O$15,ROW(E453)-ROW(E$15),0)</f>
        <v>-</v>
      </c>
      <c r="F453" s="206" t="str">
        <f ca="1">OFFSET(ORÇAMENTO!R$15,ROW(F453)-ROW(F$15),0)</f>
        <v>(abra o arquivo 'Referência 05-2024.xls)</v>
      </c>
      <c r="G453" s="207" t="str">
        <f ca="1">IF($D453&lt;&gt;"Serviço","",OFFSET(ORÇAMENTO!S$15,ROW(G453)-ROW(G$15),0))</f>
        <v>-</v>
      </c>
      <c r="H453" s="151">
        <f ca="1">IF($D453&lt;&gt;"Serviço",0,IF(ACOMPANHAMENTO="BM",ROUND(OFFSET(ORÇAMENTO!AJ$15,ROW(H453)-ROW(H$15),0),15-13*ORÇAMENTO!$AF$7),SUMPRODUCT(($Q$12:$AI$12&lt;&gt;"")*ROUND($Q453:$AI453,15-13*ORÇAMENTO!$AF$7))))</f>
        <v>3</v>
      </c>
      <c r="I453" s="650"/>
      <c r="K453" s="208"/>
      <c r="L453" s="209" t="s">
        <v>257</v>
      </c>
      <c r="M453" s="210">
        <f ca="1">IF($D453&lt;&gt;"Serviço","",IF(AUTOEVENTO="manual",$A453,IF(ISERROR(MATCH($A453,$A$15:OFFSET($A453,-1,0),0)),MAX($M$15:OFFSET(M453,-1,0))+1,INDEX($M$15:OFFSET(M453,-1,0),MATCH($A453,$A$15:OFFSET($A453,-1,0),0)))))</f>
        <v>0</v>
      </c>
      <c r="N453" s="211" t="str">
        <f ca="1">IF($D453&lt;&gt;"Serviço","",IF(AUTOEVENTO="Manual",IF($A453=0,"&lt;-- defina o número do agrupador",OFFSET(EVENTOS!$D$14,$A453,0)),OFFSET($F$15,$A453,0)))</f>
        <v>&lt;-- defina o número do agrupador</v>
      </c>
      <c r="O453" s="212"/>
      <c r="Q453" s="212"/>
      <c r="R453" s="213"/>
      <c r="S453" s="213"/>
      <c r="T453" s="213"/>
      <c r="U453" s="213"/>
      <c r="V453" s="213"/>
      <c r="W453" s="213"/>
      <c r="X453" s="213"/>
      <c r="Y453" s="213"/>
      <c r="Z453" s="214"/>
      <c r="AA453" s="213"/>
      <c r="AB453" s="213"/>
      <c r="AC453" s="213"/>
      <c r="AD453" s="213"/>
      <c r="AE453" s="213"/>
      <c r="AF453" s="213"/>
      <c r="AG453" s="213"/>
      <c r="AH453" s="214"/>
      <c r="AJ453" s="631">
        <f ca="1">IF(AND($D453="Serviço",AJ$12&lt;&gt;0,$H453&gt;0,OR(AUTOEVENTO&lt;&gt;"manual",$M453&lt;&gt;1)),ROUND(OFFSET($P453,0,AJ$13),15-13*ORÇAMENTO!$AF$7)/$H453*OFFSET(ORÇAMENTO!$X$15,ROW(AJ453)-ROW(AJ$15),0),0)</f>
        <v>0</v>
      </c>
      <c r="AK453" s="632">
        <f ca="1">IF(AND($D453="Serviço",AK$12&lt;&gt;0,$H453&gt;0,OR(AUTOEVENTO&lt;&gt;"manual",$M453&lt;&gt;1)),ROUND(OFFSET($P453,0,AK$13),15-13*ORÇAMENTO!$AF$7)/$H453*OFFSET(ORÇAMENTO!$X$15,ROW(AK453)-ROW(AK$15),0),0)</f>
        <v>0</v>
      </c>
      <c r="AL453" s="632">
        <f ca="1">IF(AND($D453="Serviço",AL$12&lt;&gt;0,$H453&gt;0,OR(AUTOEVENTO&lt;&gt;"manual",$M453&lt;&gt;1)),ROUND(OFFSET($P453,0,AL$13),15-13*ORÇAMENTO!$AF$7)/$H453*OFFSET(ORÇAMENTO!$X$15,ROW(AL453)-ROW(AL$15),0),0)</f>
        <v>0</v>
      </c>
      <c r="AM453" s="632">
        <f ca="1">IF(AND($D453="Serviço",AM$12&lt;&gt;0,$H453&gt;0,OR(AUTOEVENTO&lt;&gt;"manual",$M453&lt;&gt;1)),ROUND(OFFSET($P453,0,AM$13),15-13*ORÇAMENTO!$AF$7)/$H453*OFFSET(ORÇAMENTO!$X$15,ROW(AM453)-ROW(AM$15),0),0)</f>
        <v>0</v>
      </c>
      <c r="AN453" s="632">
        <f ca="1">IF(AND($D453="Serviço",AN$12&lt;&gt;0,$H453&gt;0,OR(AUTOEVENTO&lt;&gt;"manual",$M453&lt;&gt;1)),ROUND(OFFSET($P453,0,AN$13),15-13*ORÇAMENTO!$AF$7)/$H453*OFFSET(ORÇAMENTO!$X$15,ROW(AN453)-ROW(AN$15),0),0)</f>
        <v>0</v>
      </c>
      <c r="AO453" s="632">
        <f ca="1">IF(AND($D453="Serviço",AO$12&lt;&gt;0,$H453&gt;0,OR(AUTOEVENTO&lt;&gt;"manual",$M453&lt;&gt;1)),ROUND(OFFSET($P453,0,AO$13),15-13*ORÇAMENTO!$AF$7)/$H453*OFFSET(ORÇAMENTO!$X$15,ROW(AO453)-ROW(AO$15),0),0)</f>
        <v>0</v>
      </c>
      <c r="AP453" s="632">
        <f ca="1">IF(AND($D453="Serviço",AP$12&lt;&gt;0,$H453&gt;0,OR(AUTOEVENTO&lt;&gt;"manual",$M453&lt;&gt;1)),ROUND(OFFSET($P453,0,AP$13),15-13*ORÇAMENTO!$AF$7)/$H453*OFFSET(ORÇAMENTO!$X$15,ROW(AP453)-ROW(AP$15),0),0)</f>
        <v>0</v>
      </c>
      <c r="AQ453" s="632">
        <f ca="1">IF(AND($D453="Serviço",AQ$12&lt;&gt;0,$H453&gt;0,OR(AUTOEVENTO&lt;&gt;"manual",$M453&lt;&gt;1)),ROUND(OFFSET($P453,0,AQ$13),15-13*ORÇAMENTO!$AF$7)/$H453*OFFSET(ORÇAMENTO!$X$15,ROW(AQ453)-ROW(AQ$15),0),0)</f>
        <v>0</v>
      </c>
      <c r="AR453" s="632">
        <f ca="1">IF(AND($D453="Serviço",AR$12&lt;&gt;0,$H453&gt;0,OR(AUTOEVENTO&lt;&gt;"manual",$M453&lt;&gt;1)),ROUND(OFFSET($P453,0,AR$13),15-13*ORÇAMENTO!$AF$7)/$H453*OFFSET(ORÇAMENTO!$X$15,ROW(AR453)-ROW(AR$15),0),0)</f>
        <v>0</v>
      </c>
      <c r="AS453" s="633">
        <f ca="1">IF(AND($D453="Serviço",AS$12&lt;&gt;0,$H453&gt;0,OR(AUTOEVENTO&lt;&gt;"manual",$M453&lt;&gt;1)),ROUND(OFFSET($P453,0,AS$13),15-13*ORÇAMENTO!$AF$7)/$H453*OFFSET(ORÇAMENTO!$X$15,ROW(AS453)-ROW(AS$15),0),0)</f>
        <v>0</v>
      </c>
      <c r="AT453" s="632">
        <f ca="1">IF(AND($D453="Serviço",AT$12&lt;&gt;0,$H453&gt;0,OR(AUTOEVENTO&lt;&gt;"manual",$M453&lt;&gt;1)),ROUND(OFFSET($P453,0,AT$13),15-13*ORÇAMENTO!$AF$7)/$H453*OFFSET(ORÇAMENTO!$X$15,ROW(AT453)-ROW(AT$15),0),0)</f>
        <v>0</v>
      </c>
      <c r="AU453" s="632">
        <f ca="1">IF(AND($D453="Serviço",AU$12&lt;&gt;0,$H453&gt;0,OR(AUTOEVENTO&lt;&gt;"manual",$M453&lt;&gt;1)),ROUND(OFFSET($P453,0,AU$13),15-13*ORÇAMENTO!$AF$7)/$H453*OFFSET(ORÇAMENTO!$X$15,ROW(AU453)-ROW(AU$15),0),0)</f>
        <v>0</v>
      </c>
      <c r="AV453" s="632">
        <f ca="1">IF(AND($D453="Serviço",AV$12&lt;&gt;0,$H453&gt;0,OR(AUTOEVENTO&lt;&gt;"manual",$M453&lt;&gt;1)),ROUND(OFFSET($P453,0,AV$13),15-13*ORÇAMENTO!$AF$7)/$H453*OFFSET(ORÇAMENTO!$X$15,ROW(AV453)-ROW(AV$15),0),0)</f>
        <v>0</v>
      </c>
      <c r="AW453" s="632">
        <f ca="1">IF(AND($D453="Serviço",AW$12&lt;&gt;0,$H453&gt;0,OR(AUTOEVENTO&lt;&gt;"manual",$M453&lt;&gt;1)),ROUND(OFFSET($P453,0,AW$13),15-13*ORÇAMENTO!$AF$7)/$H453*OFFSET(ORÇAMENTO!$X$15,ROW(AW453)-ROW(AW$15),0),0)</f>
        <v>0</v>
      </c>
      <c r="AX453" s="632">
        <f ca="1">IF(AND($D453="Serviço",AX$12&lt;&gt;0,$H453&gt;0,OR(AUTOEVENTO&lt;&gt;"manual",$M453&lt;&gt;1)),ROUND(OFFSET($P453,0,AX$13),15-13*ORÇAMENTO!$AF$7)/$H453*OFFSET(ORÇAMENTO!$X$15,ROW(AX453)-ROW(AX$15),0),0)</f>
        <v>0</v>
      </c>
      <c r="AY453" s="632">
        <f ca="1">IF(AND($D453="Serviço",AY$12&lt;&gt;0,$H453&gt;0,OR(AUTOEVENTO&lt;&gt;"manual",$M453&lt;&gt;1)),ROUND(OFFSET($P453,0,AY$13),15-13*ORÇAMENTO!$AF$7)/$H453*OFFSET(ORÇAMENTO!$X$15,ROW(AY453)-ROW(AY$15),0),0)</f>
        <v>0</v>
      </c>
      <c r="AZ453" s="632">
        <f ca="1">IF(AND($D453="Serviço",AZ$12&lt;&gt;0,$H453&gt;0,OR(AUTOEVENTO&lt;&gt;"manual",$M453&lt;&gt;1)),ROUND(OFFSET($P453,0,AZ$13),15-13*ORÇAMENTO!$AF$7)/$H453*OFFSET(ORÇAMENTO!$X$15,ROW(AZ453)-ROW(AZ$15),0),0)</f>
        <v>0</v>
      </c>
      <c r="BA453" s="633">
        <f ca="1">IF(AND($D453="Serviço",BA$12&lt;&gt;0,$H453&gt;0,OR(AUTOEVENTO&lt;&gt;"manual",$M453&lt;&gt;1)),ROUND(OFFSET($P453,0,BA$13),15-13*ORÇAMENTO!$AF$7)/$H453*OFFSET(ORÇAMENTO!$X$15,ROW(BA453)-ROW(BA$15),0),0)</f>
        <v>0</v>
      </c>
      <c r="BC453" s="215">
        <f ca="1">IF($D453&lt;&gt;"Serviço",0,IF(AND(AUTOEVENTO="Manual",$M453=1),0,IF(OFFSET(CRONOPLE!$F$14,$M453,BC$13)="",10^12,OFFSET(CRONOPLE!$F$14,$M453,BC$13))))</f>
        <v>1000000000000</v>
      </c>
      <c r="BD453" s="215">
        <f ca="1">IF($D453&lt;&gt;"Serviço",0,IF(AND(AUTOEVENTO="Manual",$M453=1),0,IF(OFFSET(CRONOPLE!$F$14,$M453,BD$13)="",10^12,OFFSET(CRONOPLE!$F$14,$M453,BD$13))))</f>
        <v>1000000000000</v>
      </c>
      <c r="BE453" s="215">
        <f ca="1">IF($D453&lt;&gt;"Serviço",0,IF(AND(AUTOEVENTO="Manual",$M453=1),0,IF(OFFSET(CRONOPLE!$F$14,$M453,BE$13)="",10^12,OFFSET(CRONOPLE!$F$14,$M453,BE$13))))</f>
        <v>1000000000000</v>
      </c>
      <c r="BF453" s="215">
        <f ca="1">IF($D453&lt;&gt;"Serviço",0,IF(AND(AUTOEVENTO="Manual",$M453=1),0,IF(OFFSET(CRONOPLE!$F$14,$M453,BF$13)="",10^12,OFFSET(CRONOPLE!$F$14,$M453,BF$13))))</f>
        <v>1000000000000</v>
      </c>
      <c r="BG453" s="215">
        <f ca="1">IF($D453&lt;&gt;"Serviço",0,IF(AND(AUTOEVENTO="Manual",$M453=1),0,IF(OFFSET(CRONOPLE!$F$14,$M453,BG$13)="",10^12,OFFSET(CRONOPLE!$F$14,$M453,BG$13))))</f>
        <v>1000000000000</v>
      </c>
      <c r="BH453" s="215">
        <f ca="1">IF($D453&lt;&gt;"Serviço",0,IF(AND(AUTOEVENTO="Manual",$M453=1),0,IF(OFFSET(CRONOPLE!$F$14,$M453,BH$13)="",10^12,OFFSET(CRONOPLE!$F$14,$M453,BH$13))))</f>
        <v>1000000000000</v>
      </c>
      <c r="BI453" s="215">
        <f ca="1">IF($D453&lt;&gt;"Serviço",0,IF(AND(AUTOEVENTO="Manual",$M453=1),0,IF(OFFSET(CRONOPLE!$F$14,$M453,BI$13)="",10^12,OFFSET(CRONOPLE!$F$14,$M453,BI$13))))</f>
        <v>1000000000000</v>
      </c>
      <c r="BJ453" s="215">
        <f ca="1">IF($D453&lt;&gt;"Serviço",0,IF(AND(AUTOEVENTO="Manual",$M453=1),0,IF(OFFSET(CRONOPLE!$F$14,$M453,BJ$13)="",10^12,OFFSET(CRONOPLE!$F$14,$M453,BJ$13))))</f>
        <v>1000000000000</v>
      </c>
      <c r="BK453" s="215">
        <f ca="1">IF($D453&lt;&gt;"Serviço",0,IF(AND(AUTOEVENTO="Manual",$M453=1),0,IF(OFFSET(CRONOPLE!$F$14,$M453,BK$13)="",10^12,OFFSET(CRONOPLE!$F$14,$M453,BK$13))))</f>
        <v>1000000000000</v>
      </c>
      <c r="BL453" s="215">
        <f ca="1">IF($D453&lt;&gt;"Serviço",0,IF(AND(AUTOEVENTO="Manual",$M453=1),0,IF(OFFSET(CRONOPLE!$F$14,$M453,BL$13)="",10^12,OFFSET(CRONOPLE!$F$14,$M453,BL$13))))</f>
        <v>1000000000000</v>
      </c>
      <c r="BM453" s="215">
        <f ca="1">IF($D453&lt;&gt;"Serviço",0,IF(AND(AUTOEVENTO="Manual",$M453=1),0,IF(OFFSET(CRONOPLE!$F$14,$M453,BM$13)="",10^12,OFFSET(CRONOPLE!$F$14,$M453,BM$13))))</f>
        <v>1000000000000</v>
      </c>
      <c r="BN453" s="215">
        <f ca="1">IF($D453&lt;&gt;"Serviço",0,IF(AND(AUTOEVENTO="Manual",$M453=1),0,IF(OFFSET(CRONOPLE!$F$14,$M453,BN$13)="",10^12,OFFSET(CRONOPLE!$F$14,$M453,BN$13))))</f>
        <v>1000000000000</v>
      </c>
      <c r="BO453" s="215">
        <f ca="1">IF($D453&lt;&gt;"Serviço",0,IF(AND(AUTOEVENTO="Manual",$M453=1),0,IF(OFFSET(CRONOPLE!$F$14,$M453,BO$13)="",10^12,OFFSET(CRONOPLE!$F$14,$M453,BO$13))))</f>
        <v>1000000000000</v>
      </c>
      <c r="BP453" s="215">
        <f ca="1">IF($D453&lt;&gt;"Serviço",0,IF(AND(AUTOEVENTO="Manual",$M453=1),0,IF(OFFSET(CRONOPLE!$F$14,$M453,BP$13)="",10^12,OFFSET(CRONOPLE!$F$14,$M453,BP$13))))</f>
        <v>1000000000000</v>
      </c>
      <c r="BQ453" s="215">
        <f ca="1">IF($D453&lt;&gt;"Serviço",0,IF(AND(AUTOEVENTO="Manual",$M453=1),0,IF(OFFSET(CRONOPLE!$F$14,$M453,BQ$13)="",10^12,OFFSET(CRONOPLE!$F$14,$M453,BQ$13))))</f>
        <v>1000000000000</v>
      </c>
      <c r="BR453" s="215">
        <f ca="1">IF($D453&lt;&gt;"Serviço",0,IF(AND(AUTOEVENTO="Manual",$M453=1),0,IF(OFFSET(CRONOPLE!$F$14,$M453,BR$13)="",10^12,OFFSET(CRONOPLE!$F$14,$M453,BR$13))))</f>
        <v>1000000000000</v>
      </c>
      <c r="BS453" s="215">
        <f ca="1">IF($D453&lt;&gt;"Serviço",0,IF(AND(AUTOEVENTO="Manual",$M453=1),0,IF(OFFSET(CRONOPLE!$F$14,$M453,BS$13)="",10^12,OFFSET(CRONOPLE!$F$14,$M453,BS$13))))</f>
        <v>1000000000000</v>
      </c>
      <c r="BT453" s="215">
        <f ca="1">IF($D453&lt;&gt;"Serviço",0,IF(AND(AUTOEVENTO="Manual",$M453=1),0,IF(OFFSET(CRONOPLE!$F$14,$M453,BT$13)="",10^12,OFFSET(CRONOPLE!$F$14,$M453,BT$13))))</f>
        <v>1000000000000</v>
      </c>
      <c r="BV453" s="216">
        <f ca="1">IF($D453&lt;&gt;"Serviço",0,IF(OR(AND(AUTOEVENTO="Manual",$M453=1),$M453&gt;(ROW(PLE.lastrow)-ROW(PLE.firstrow))),0,IF(OFFSET(PLE!$G$14,$M453,BV$13)="",10^12,OFFSET(PLE!$G$14,$M453,BV$13))))</f>
        <v>1000000000000</v>
      </c>
      <c r="BW453" s="216">
        <f ca="1">IF($D453&lt;&gt;"Serviço",0,IF(OR(AND(AUTOEVENTO="Manual",$M453=1),$M453&gt;(ROW(PLE.lastrow)-ROW(PLE.firstrow))),0,IF(OFFSET(PLE!$G$14,$M453,BW$13)="",10^12,OFFSET(PLE!$G$14,$M453,BW$13))))</f>
        <v>1000000000000</v>
      </c>
      <c r="BX453" s="216">
        <f ca="1">IF($D453&lt;&gt;"Serviço",0,IF(OR(AND(AUTOEVENTO="Manual",$M453=1),$M453&gt;(ROW(PLE.lastrow)-ROW(PLE.firstrow))),0,IF(OFFSET(PLE!$G$14,$M453,BX$13)="",10^12,OFFSET(PLE!$G$14,$M453,BX$13))))</f>
        <v>1000000000000</v>
      </c>
      <c r="BY453" s="216">
        <f ca="1">IF($D453&lt;&gt;"Serviço",0,IF(OR(AND(AUTOEVENTO="Manual",$M453=1),$M453&gt;(ROW(PLE.lastrow)-ROW(PLE.firstrow))),0,IF(OFFSET(PLE!$G$14,$M453,BY$13)="",10^12,OFFSET(PLE!$G$14,$M453,BY$13))))</f>
        <v>1000000000000</v>
      </c>
      <c r="BZ453" s="216">
        <f ca="1">IF($D453&lt;&gt;"Serviço",0,IF(OR(AND(AUTOEVENTO="Manual",$M453=1),$M453&gt;(ROW(PLE.lastrow)-ROW(PLE.firstrow))),0,IF(OFFSET(PLE!$G$14,$M453,BZ$13)="",10^12,OFFSET(PLE!$G$14,$M453,BZ$13))))</f>
        <v>1000000000000</v>
      </c>
      <c r="CA453" s="216">
        <f ca="1">IF($D453&lt;&gt;"Serviço",0,IF(OR(AND(AUTOEVENTO="Manual",$M453=1),$M453&gt;(ROW(PLE.lastrow)-ROW(PLE.firstrow))),0,IF(OFFSET(PLE!$G$14,$M453,CA$13)="",10^12,OFFSET(PLE!$G$14,$M453,CA$13))))</f>
        <v>1000000000000</v>
      </c>
      <c r="CB453" s="216">
        <f ca="1">IF($D453&lt;&gt;"Serviço",0,IF(OR(AND(AUTOEVENTO="Manual",$M453=1),$M453&gt;(ROW(PLE.lastrow)-ROW(PLE.firstrow))),0,IF(OFFSET(PLE!$G$14,$M453,CB$13)="",10^12,OFFSET(PLE!$G$14,$M453,CB$13))))</f>
        <v>1000000000000</v>
      </c>
      <c r="CC453" s="216">
        <f ca="1">IF($D453&lt;&gt;"Serviço",0,IF(OR(AND(AUTOEVENTO="Manual",$M453=1),$M453&gt;(ROW(PLE.lastrow)-ROW(PLE.firstrow))),0,IF(OFFSET(PLE!$G$14,$M453,CC$13)="",10^12,OFFSET(PLE!$G$14,$M453,CC$13))))</f>
        <v>1000000000000</v>
      </c>
      <c r="CD453" s="216">
        <f ca="1">IF($D453&lt;&gt;"Serviço",0,IF(OR(AND(AUTOEVENTO="Manual",$M453=1),$M453&gt;(ROW(PLE.lastrow)-ROW(PLE.firstrow))),0,IF(OFFSET(PLE!$G$14,$M453,CD$13)="",10^12,OFFSET(PLE!$G$14,$M453,CD$13))))</f>
        <v>1000000000000</v>
      </c>
      <c r="CE453" s="216">
        <f ca="1">IF($D453&lt;&gt;"Serviço",0,IF(OR(AND(AUTOEVENTO="Manual",$M453=1),$M453&gt;(ROW(PLE.lastrow)-ROW(PLE.firstrow))),0,IF(OFFSET(PLE!$G$14,$M453,CE$13)="",10^12,OFFSET(PLE!$G$14,$M453,CE$13))))</f>
        <v>1000000000000</v>
      </c>
      <c r="CF453" s="216">
        <f ca="1">IF($D453&lt;&gt;"Serviço",0,IF(OR(AND(AUTOEVENTO="Manual",$M453=1),$M453&gt;(ROW(PLE.lastrow)-ROW(PLE.firstrow))),0,IF(OFFSET(PLE!$G$14,$M453,CF$13)="",10^12,OFFSET(PLE!$G$14,$M453,CF$13))))</f>
        <v>1000000000000</v>
      </c>
      <c r="CG453" s="216">
        <f ca="1">IF($D453&lt;&gt;"Serviço",0,IF(OR(AND(AUTOEVENTO="Manual",$M453=1),$M453&gt;(ROW(PLE.lastrow)-ROW(PLE.firstrow))),0,IF(OFFSET(PLE!$G$14,$M453,CG$13)="",10^12,OFFSET(PLE!$G$14,$M453,CG$13))))</f>
        <v>1000000000000</v>
      </c>
      <c r="CH453" s="216">
        <f ca="1">IF($D453&lt;&gt;"Serviço",0,IF(OR(AND(AUTOEVENTO="Manual",$M453=1),$M453&gt;(ROW(PLE.lastrow)-ROW(PLE.firstrow))),0,IF(OFFSET(PLE!$G$14,$M453,CH$13)="",10^12,OFFSET(PLE!$G$14,$M453,CH$13))))</f>
        <v>1000000000000</v>
      </c>
      <c r="CI453" s="216">
        <f ca="1">IF($D453&lt;&gt;"Serviço",0,IF(OR(AND(AUTOEVENTO="Manual",$M453=1),$M453&gt;(ROW(PLE.lastrow)-ROW(PLE.firstrow))),0,IF(OFFSET(PLE!$G$14,$M453,CI$13)="",10^12,OFFSET(PLE!$G$14,$M453,CI$13))))</f>
        <v>1000000000000</v>
      </c>
      <c r="CJ453" s="216">
        <f ca="1">IF($D453&lt;&gt;"Serviço",0,IF(OR(AND(AUTOEVENTO="Manual",$M453=1),$M453&gt;(ROW(PLE.lastrow)-ROW(PLE.firstrow))),0,IF(OFFSET(PLE!$G$14,$M453,CJ$13)="",10^12,OFFSET(PLE!$G$14,$M453,CJ$13))))</f>
        <v>1000000000000</v>
      </c>
      <c r="CK453" s="216">
        <f ca="1">IF($D453&lt;&gt;"Serviço",0,IF(OR(AND(AUTOEVENTO="Manual",$M453=1),$M453&gt;(ROW(PLE.lastrow)-ROW(PLE.firstrow))),0,IF(OFFSET(PLE!$G$14,$M453,CK$13)="",10^12,OFFSET(PLE!$G$14,$M453,CK$13))))</f>
        <v>1000000000000</v>
      </c>
      <c r="CL453" s="216">
        <f ca="1">IF($D453&lt;&gt;"Serviço",0,IF(OR(AND(AUTOEVENTO="Manual",$M453=1),$M453&gt;(ROW(PLE.lastrow)-ROW(PLE.firstrow))),0,IF(OFFSET(PLE!$G$14,$M453,CL$13)="",10^12,OFFSET(PLE!$G$14,$M453,CL$13))))</f>
        <v>1000000000000</v>
      </c>
      <c r="CM453" s="216">
        <f ca="1">IF($D453&lt;&gt;"Serviço",0,IF(OR(AND(AUTOEVENTO="Manual",$M453=1),$M453&gt;(ROW(PLE.lastrow)-ROW(PLE.firstrow))),0,IF(OFFSET(PLE!$G$14,$M453,CM$13)="",10^12,OFFSET(PLE!$G$14,$M453,CM$13))))</f>
        <v>1000000000000</v>
      </c>
    </row>
    <row r="454" spans="1:91" ht="13.2" x14ac:dyDescent="0.25">
      <c r="A454" s="9">
        <f t="shared" ca="1" si="15"/>
        <v>0</v>
      </c>
      <c r="B454" s="9" t="str">
        <f ca="1">OFFSET(ORÇAMENTO!C$15,ROW(B454)-ROW(B$15),0)</f>
        <v>S</v>
      </c>
      <c r="C454" s="9" t="str">
        <f ca="1">OFFSET(ORÇAMENTO!L$15,ROW(C454)-ROW(C$15),0)</f>
        <v/>
      </c>
      <c r="D454" s="145" t="str">
        <f ca="1">OFFSET(ORÇAMENTO!N$15,ROW(D454)-ROW(D$15),0)</f>
        <v>Serviço</v>
      </c>
      <c r="E454" s="205" t="str">
        <f ca="1">OFFSET(ORÇAMENTO!O$15,ROW(E454)-ROW(E$15),0)</f>
        <v>-</v>
      </c>
      <c r="F454" s="206" t="str">
        <f ca="1">OFFSET(ORÇAMENTO!R$15,ROW(F454)-ROW(F$15),0)</f>
        <v>(abra o arquivo 'Referência 05-2024.xls)</v>
      </c>
      <c r="G454" s="207" t="str">
        <f ca="1">IF($D454&lt;&gt;"Serviço","",OFFSET(ORÇAMENTO!S$15,ROW(G454)-ROW(G$15),0))</f>
        <v>-</v>
      </c>
      <c r="H454" s="151">
        <f ca="1">IF($D454&lt;&gt;"Serviço",0,IF(ACOMPANHAMENTO="BM",ROUND(OFFSET(ORÇAMENTO!AJ$15,ROW(H454)-ROW(H$15),0),15-13*ORÇAMENTO!$AF$7),SUMPRODUCT(($Q$12:$AI$12&lt;&gt;"")*ROUND($Q454:$AI454,15-13*ORÇAMENTO!$AF$7))))</f>
        <v>4</v>
      </c>
      <c r="I454" s="650"/>
      <c r="K454" s="208"/>
      <c r="L454" s="209" t="s">
        <v>257</v>
      </c>
      <c r="M454" s="210">
        <f ca="1">IF($D454&lt;&gt;"Serviço","",IF(AUTOEVENTO="manual",$A454,IF(ISERROR(MATCH($A454,$A$15:OFFSET($A454,-1,0),0)),MAX($M$15:OFFSET(M454,-1,0))+1,INDEX($M$15:OFFSET(M454,-1,0),MATCH($A454,$A$15:OFFSET($A454,-1,0),0)))))</f>
        <v>0</v>
      </c>
      <c r="N454" s="211" t="str">
        <f ca="1">IF($D454&lt;&gt;"Serviço","",IF(AUTOEVENTO="Manual",IF($A454=0,"&lt;-- defina o número do agrupador",OFFSET(EVENTOS!$D$14,$A454,0)),OFFSET($F$15,$A454,0)))</f>
        <v>&lt;-- defina o número do agrupador</v>
      </c>
      <c r="O454" s="212"/>
      <c r="Q454" s="212"/>
      <c r="R454" s="213"/>
      <c r="S454" s="213"/>
      <c r="T454" s="213"/>
      <c r="U454" s="213"/>
      <c r="V454" s="213"/>
      <c r="W454" s="213"/>
      <c r="X454" s="213"/>
      <c r="Y454" s="213"/>
      <c r="Z454" s="214"/>
      <c r="AA454" s="213"/>
      <c r="AB454" s="213"/>
      <c r="AC454" s="213"/>
      <c r="AD454" s="213"/>
      <c r="AE454" s="213"/>
      <c r="AF454" s="213"/>
      <c r="AG454" s="213"/>
      <c r="AH454" s="214"/>
      <c r="AJ454" s="631">
        <f ca="1">IF(AND($D454="Serviço",AJ$12&lt;&gt;0,$H454&gt;0,OR(AUTOEVENTO&lt;&gt;"manual",$M454&lt;&gt;1)),ROUND(OFFSET($P454,0,AJ$13),15-13*ORÇAMENTO!$AF$7)/$H454*OFFSET(ORÇAMENTO!$X$15,ROW(AJ454)-ROW(AJ$15),0),0)</f>
        <v>0</v>
      </c>
      <c r="AK454" s="632">
        <f ca="1">IF(AND($D454="Serviço",AK$12&lt;&gt;0,$H454&gt;0,OR(AUTOEVENTO&lt;&gt;"manual",$M454&lt;&gt;1)),ROUND(OFFSET($P454,0,AK$13),15-13*ORÇAMENTO!$AF$7)/$H454*OFFSET(ORÇAMENTO!$X$15,ROW(AK454)-ROW(AK$15),0),0)</f>
        <v>0</v>
      </c>
      <c r="AL454" s="632">
        <f ca="1">IF(AND($D454="Serviço",AL$12&lt;&gt;0,$H454&gt;0,OR(AUTOEVENTO&lt;&gt;"manual",$M454&lt;&gt;1)),ROUND(OFFSET($P454,0,AL$13),15-13*ORÇAMENTO!$AF$7)/$H454*OFFSET(ORÇAMENTO!$X$15,ROW(AL454)-ROW(AL$15),0),0)</f>
        <v>0</v>
      </c>
      <c r="AM454" s="632">
        <f ca="1">IF(AND($D454="Serviço",AM$12&lt;&gt;0,$H454&gt;0,OR(AUTOEVENTO&lt;&gt;"manual",$M454&lt;&gt;1)),ROUND(OFFSET($P454,0,AM$13),15-13*ORÇAMENTO!$AF$7)/$H454*OFFSET(ORÇAMENTO!$X$15,ROW(AM454)-ROW(AM$15),0),0)</f>
        <v>0</v>
      </c>
      <c r="AN454" s="632">
        <f ca="1">IF(AND($D454="Serviço",AN$12&lt;&gt;0,$H454&gt;0,OR(AUTOEVENTO&lt;&gt;"manual",$M454&lt;&gt;1)),ROUND(OFFSET($P454,0,AN$13),15-13*ORÇAMENTO!$AF$7)/$H454*OFFSET(ORÇAMENTO!$X$15,ROW(AN454)-ROW(AN$15),0),0)</f>
        <v>0</v>
      </c>
      <c r="AO454" s="632">
        <f ca="1">IF(AND($D454="Serviço",AO$12&lt;&gt;0,$H454&gt;0,OR(AUTOEVENTO&lt;&gt;"manual",$M454&lt;&gt;1)),ROUND(OFFSET($P454,0,AO$13),15-13*ORÇAMENTO!$AF$7)/$H454*OFFSET(ORÇAMENTO!$X$15,ROW(AO454)-ROW(AO$15),0),0)</f>
        <v>0</v>
      </c>
      <c r="AP454" s="632">
        <f ca="1">IF(AND($D454="Serviço",AP$12&lt;&gt;0,$H454&gt;0,OR(AUTOEVENTO&lt;&gt;"manual",$M454&lt;&gt;1)),ROUND(OFFSET($P454,0,AP$13),15-13*ORÇAMENTO!$AF$7)/$H454*OFFSET(ORÇAMENTO!$X$15,ROW(AP454)-ROW(AP$15),0),0)</f>
        <v>0</v>
      </c>
      <c r="AQ454" s="632">
        <f ca="1">IF(AND($D454="Serviço",AQ$12&lt;&gt;0,$H454&gt;0,OR(AUTOEVENTO&lt;&gt;"manual",$M454&lt;&gt;1)),ROUND(OFFSET($P454,0,AQ$13),15-13*ORÇAMENTO!$AF$7)/$H454*OFFSET(ORÇAMENTO!$X$15,ROW(AQ454)-ROW(AQ$15),0),0)</f>
        <v>0</v>
      </c>
      <c r="AR454" s="632">
        <f ca="1">IF(AND($D454="Serviço",AR$12&lt;&gt;0,$H454&gt;0,OR(AUTOEVENTO&lt;&gt;"manual",$M454&lt;&gt;1)),ROUND(OFFSET($P454,0,AR$13),15-13*ORÇAMENTO!$AF$7)/$H454*OFFSET(ORÇAMENTO!$X$15,ROW(AR454)-ROW(AR$15),0),0)</f>
        <v>0</v>
      </c>
      <c r="AS454" s="633">
        <f ca="1">IF(AND($D454="Serviço",AS$12&lt;&gt;0,$H454&gt;0,OR(AUTOEVENTO&lt;&gt;"manual",$M454&lt;&gt;1)),ROUND(OFFSET($P454,0,AS$13),15-13*ORÇAMENTO!$AF$7)/$H454*OFFSET(ORÇAMENTO!$X$15,ROW(AS454)-ROW(AS$15),0),0)</f>
        <v>0</v>
      </c>
      <c r="AT454" s="632">
        <f ca="1">IF(AND($D454="Serviço",AT$12&lt;&gt;0,$H454&gt;0,OR(AUTOEVENTO&lt;&gt;"manual",$M454&lt;&gt;1)),ROUND(OFFSET($P454,0,AT$13),15-13*ORÇAMENTO!$AF$7)/$H454*OFFSET(ORÇAMENTO!$X$15,ROW(AT454)-ROW(AT$15),0),0)</f>
        <v>0</v>
      </c>
      <c r="AU454" s="632">
        <f ca="1">IF(AND($D454="Serviço",AU$12&lt;&gt;0,$H454&gt;0,OR(AUTOEVENTO&lt;&gt;"manual",$M454&lt;&gt;1)),ROUND(OFFSET($P454,0,AU$13),15-13*ORÇAMENTO!$AF$7)/$H454*OFFSET(ORÇAMENTO!$X$15,ROW(AU454)-ROW(AU$15),0),0)</f>
        <v>0</v>
      </c>
      <c r="AV454" s="632">
        <f ca="1">IF(AND($D454="Serviço",AV$12&lt;&gt;0,$H454&gt;0,OR(AUTOEVENTO&lt;&gt;"manual",$M454&lt;&gt;1)),ROUND(OFFSET($P454,0,AV$13),15-13*ORÇAMENTO!$AF$7)/$H454*OFFSET(ORÇAMENTO!$X$15,ROW(AV454)-ROW(AV$15),0),0)</f>
        <v>0</v>
      </c>
      <c r="AW454" s="632">
        <f ca="1">IF(AND($D454="Serviço",AW$12&lt;&gt;0,$H454&gt;0,OR(AUTOEVENTO&lt;&gt;"manual",$M454&lt;&gt;1)),ROUND(OFFSET($P454,0,AW$13),15-13*ORÇAMENTO!$AF$7)/$H454*OFFSET(ORÇAMENTO!$X$15,ROW(AW454)-ROW(AW$15),0),0)</f>
        <v>0</v>
      </c>
      <c r="AX454" s="632">
        <f ca="1">IF(AND($D454="Serviço",AX$12&lt;&gt;0,$H454&gt;0,OR(AUTOEVENTO&lt;&gt;"manual",$M454&lt;&gt;1)),ROUND(OFFSET($P454,0,AX$13),15-13*ORÇAMENTO!$AF$7)/$H454*OFFSET(ORÇAMENTO!$X$15,ROW(AX454)-ROW(AX$15),0),0)</f>
        <v>0</v>
      </c>
      <c r="AY454" s="632">
        <f ca="1">IF(AND($D454="Serviço",AY$12&lt;&gt;0,$H454&gt;0,OR(AUTOEVENTO&lt;&gt;"manual",$M454&lt;&gt;1)),ROUND(OFFSET($P454,0,AY$13),15-13*ORÇAMENTO!$AF$7)/$H454*OFFSET(ORÇAMENTO!$X$15,ROW(AY454)-ROW(AY$15),0),0)</f>
        <v>0</v>
      </c>
      <c r="AZ454" s="632">
        <f ca="1">IF(AND($D454="Serviço",AZ$12&lt;&gt;0,$H454&gt;0,OR(AUTOEVENTO&lt;&gt;"manual",$M454&lt;&gt;1)),ROUND(OFFSET($P454,0,AZ$13),15-13*ORÇAMENTO!$AF$7)/$H454*OFFSET(ORÇAMENTO!$X$15,ROW(AZ454)-ROW(AZ$15),0),0)</f>
        <v>0</v>
      </c>
      <c r="BA454" s="633">
        <f ca="1">IF(AND($D454="Serviço",BA$12&lt;&gt;0,$H454&gt;0,OR(AUTOEVENTO&lt;&gt;"manual",$M454&lt;&gt;1)),ROUND(OFFSET($P454,0,BA$13),15-13*ORÇAMENTO!$AF$7)/$H454*OFFSET(ORÇAMENTO!$X$15,ROW(BA454)-ROW(BA$15),0),0)</f>
        <v>0</v>
      </c>
      <c r="BC454" s="215">
        <f ca="1">IF($D454&lt;&gt;"Serviço",0,IF(AND(AUTOEVENTO="Manual",$M454=1),0,IF(OFFSET(CRONOPLE!$F$14,$M454,BC$13)="",10^12,OFFSET(CRONOPLE!$F$14,$M454,BC$13))))</f>
        <v>1000000000000</v>
      </c>
      <c r="BD454" s="215">
        <f ca="1">IF($D454&lt;&gt;"Serviço",0,IF(AND(AUTOEVENTO="Manual",$M454=1),0,IF(OFFSET(CRONOPLE!$F$14,$M454,BD$13)="",10^12,OFFSET(CRONOPLE!$F$14,$M454,BD$13))))</f>
        <v>1000000000000</v>
      </c>
      <c r="BE454" s="215">
        <f ca="1">IF($D454&lt;&gt;"Serviço",0,IF(AND(AUTOEVENTO="Manual",$M454=1),0,IF(OFFSET(CRONOPLE!$F$14,$M454,BE$13)="",10^12,OFFSET(CRONOPLE!$F$14,$M454,BE$13))))</f>
        <v>1000000000000</v>
      </c>
      <c r="BF454" s="215">
        <f ca="1">IF($D454&lt;&gt;"Serviço",0,IF(AND(AUTOEVENTO="Manual",$M454=1),0,IF(OFFSET(CRONOPLE!$F$14,$M454,BF$13)="",10^12,OFFSET(CRONOPLE!$F$14,$M454,BF$13))))</f>
        <v>1000000000000</v>
      </c>
      <c r="BG454" s="215">
        <f ca="1">IF($D454&lt;&gt;"Serviço",0,IF(AND(AUTOEVENTO="Manual",$M454=1),0,IF(OFFSET(CRONOPLE!$F$14,$M454,BG$13)="",10^12,OFFSET(CRONOPLE!$F$14,$M454,BG$13))))</f>
        <v>1000000000000</v>
      </c>
      <c r="BH454" s="215">
        <f ca="1">IF($D454&lt;&gt;"Serviço",0,IF(AND(AUTOEVENTO="Manual",$M454=1),0,IF(OFFSET(CRONOPLE!$F$14,$M454,BH$13)="",10^12,OFFSET(CRONOPLE!$F$14,$M454,BH$13))))</f>
        <v>1000000000000</v>
      </c>
      <c r="BI454" s="215">
        <f ca="1">IF($D454&lt;&gt;"Serviço",0,IF(AND(AUTOEVENTO="Manual",$M454=1),0,IF(OFFSET(CRONOPLE!$F$14,$M454,BI$13)="",10^12,OFFSET(CRONOPLE!$F$14,$M454,BI$13))))</f>
        <v>1000000000000</v>
      </c>
      <c r="BJ454" s="215">
        <f ca="1">IF($D454&lt;&gt;"Serviço",0,IF(AND(AUTOEVENTO="Manual",$M454=1),0,IF(OFFSET(CRONOPLE!$F$14,$M454,BJ$13)="",10^12,OFFSET(CRONOPLE!$F$14,$M454,BJ$13))))</f>
        <v>1000000000000</v>
      </c>
      <c r="BK454" s="215">
        <f ca="1">IF($D454&lt;&gt;"Serviço",0,IF(AND(AUTOEVENTO="Manual",$M454=1),0,IF(OFFSET(CRONOPLE!$F$14,$M454,BK$13)="",10^12,OFFSET(CRONOPLE!$F$14,$M454,BK$13))))</f>
        <v>1000000000000</v>
      </c>
      <c r="BL454" s="215">
        <f ca="1">IF($D454&lt;&gt;"Serviço",0,IF(AND(AUTOEVENTO="Manual",$M454=1),0,IF(OFFSET(CRONOPLE!$F$14,$M454,BL$13)="",10^12,OFFSET(CRONOPLE!$F$14,$M454,BL$13))))</f>
        <v>1000000000000</v>
      </c>
      <c r="BM454" s="215">
        <f ca="1">IF($D454&lt;&gt;"Serviço",0,IF(AND(AUTOEVENTO="Manual",$M454=1),0,IF(OFFSET(CRONOPLE!$F$14,$M454,BM$13)="",10^12,OFFSET(CRONOPLE!$F$14,$M454,BM$13))))</f>
        <v>1000000000000</v>
      </c>
      <c r="BN454" s="215">
        <f ca="1">IF($D454&lt;&gt;"Serviço",0,IF(AND(AUTOEVENTO="Manual",$M454=1),0,IF(OFFSET(CRONOPLE!$F$14,$M454,BN$13)="",10^12,OFFSET(CRONOPLE!$F$14,$M454,BN$13))))</f>
        <v>1000000000000</v>
      </c>
      <c r="BO454" s="215">
        <f ca="1">IF($D454&lt;&gt;"Serviço",0,IF(AND(AUTOEVENTO="Manual",$M454=1),0,IF(OFFSET(CRONOPLE!$F$14,$M454,BO$13)="",10^12,OFFSET(CRONOPLE!$F$14,$M454,BO$13))))</f>
        <v>1000000000000</v>
      </c>
      <c r="BP454" s="215">
        <f ca="1">IF($D454&lt;&gt;"Serviço",0,IF(AND(AUTOEVENTO="Manual",$M454=1),0,IF(OFFSET(CRONOPLE!$F$14,$M454,BP$13)="",10^12,OFFSET(CRONOPLE!$F$14,$M454,BP$13))))</f>
        <v>1000000000000</v>
      </c>
      <c r="BQ454" s="215">
        <f ca="1">IF($D454&lt;&gt;"Serviço",0,IF(AND(AUTOEVENTO="Manual",$M454=1),0,IF(OFFSET(CRONOPLE!$F$14,$M454,BQ$13)="",10^12,OFFSET(CRONOPLE!$F$14,$M454,BQ$13))))</f>
        <v>1000000000000</v>
      </c>
      <c r="BR454" s="215">
        <f ca="1">IF($D454&lt;&gt;"Serviço",0,IF(AND(AUTOEVENTO="Manual",$M454=1),0,IF(OFFSET(CRONOPLE!$F$14,$M454,BR$13)="",10^12,OFFSET(CRONOPLE!$F$14,$M454,BR$13))))</f>
        <v>1000000000000</v>
      </c>
      <c r="BS454" s="215">
        <f ca="1">IF($D454&lt;&gt;"Serviço",0,IF(AND(AUTOEVENTO="Manual",$M454=1),0,IF(OFFSET(CRONOPLE!$F$14,$M454,BS$13)="",10^12,OFFSET(CRONOPLE!$F$14,$M454,BS$13))))</f>
        <v>1000000000000</v>
      </c>
      <c r="BT454" s="215">
        <f ca="1">IF($D454&lt;&gt;"Serviço",0,IF(AND(AUTOEVENTO="Manual",$M454=1),0,IF(OFFSET(CRONOPLE!$F$14,$M454,BT$13)="",10^12,OFFSET(CRONOPLE!$F$14,$M454,BT$13))))</f>
        <v>1000000000000</v>
      </c>
      <c r="BV454" s="216">
        <f ca="1">IF($D454&lt;&gt;"Serviço",0,IF(OR(AND(AUTOEVENTO="Manual",$M454=1),$M454&gt;(ROW(PLE.lastrow)-ROW(PLE.firstrow))),0,IF(OFFSET(PLE!$G$14,$M454,BV$13)="",10^12,OFFSET(PLE!$G$14,$M454,BV$13))))</f>
        <v>1000000000000</v>
      </c>
      <c r="BW454" s="216">
        <f ca="1">IF($D454&lt;&gt;"Serviço",0,IF(OR(AND(AUTOEVENTO="Manual",$M454=1),$M454&gt;(ROW(PLE.lastrow)-ROW(PLE.firstrow))),0,IF(OFFSET(PLE!$G$14,$M454,BW$13)="",10^12,OFFSET(PLE!$G$14,$M454,BW$13))))</f>
        <v>1000000000000</v>
      </c>
      <c r="BX454" s="216">
        <f ca="1">IF($D454&lt;&gt;"Serviço",0,IF(OR(AND(AUTOEVENTO="Manual",$M454=1),$M454&gt;(ROW(PLE.lastrow)-ROW(PLE.firstrow))),0,IF(OFFSET(PLE!$G$14,$M454,BX$13)="",10^12,OFFSET(PLE!$G$14,$M454,BX$13))))</f>
        <v>1000000000000</v>
      </c>
      <c r="BY454" s="216">
        <f ca="1">IF($D454&lt;&gt;"Serviço",0,IF(OR(AND(AUTOEVENTO="Manual",$M454=1),$M454&gt;(ROW(PLE.lastrow)-ROW(PLE.firstrow))),0,IF(OFFSET(PLE!$G$14,$M454,BY$13)="",10^12,OFFSET(PLE!$G$14,$M454,BY$13))))</f>
        <v>1000000000000</v>
      </c>
      <c r="BZ454" s="216">
        <f ca="1">IF($D454&lt;&gt;"Serviço",0,IF(OR(AND(AUTOEVENTO="Manual",$M454=1),$M454&gt;(ROW(PLE.lastrow)-ROW(PLE.firstrow))),0,IF(OFFSET(PLE!$G$14,$M454,BZ$13)="",10^12,OFFSET(PLE!$G$14,$M454,BZ$13))))</f>
        <v>1000000000000</v>
      </c>
      <c r="CA454" s="216">
        <f ca="1">IF($D454&lt;&gt;"Serviço",0,IF(OR(AND(AUTOEVENTO="Manual",$M454=1),$M454&gt;(ROW(PLE.lastrow)-ROW(PLE.firstrow))),0,IF(OFFSET(PLE!$G$14,$M454,CA$13)="",10^12,OFFSET(PLE!$G$14,$M454,CA$13))))</f>
        <v>1000000000000</v>
      </c>
      <c r="CB454" s="216">
        <f ca="1">IF($D454&lt;&gt;"Serviço",0,IF(OR(AND(AUTOEVENTO="Manual",$M454=1),$M454&gt;(ROW(PLE.lastrow)-ROW(PLE.firstrow))),0,IF(OFFSET(PLE!$G$14,$M454,CB$13)="",10^12,OFFSET(PLE!$G$14,$M454,CB$13))))</f>
        <v>1000000000000</v>
      </c>
      <c r="CC454" s="216">
        <f ca="1">IF($D454&lt;&gt;"Serviço",0,IF(OR(AND(AUTOEVENTO="Manual",$M454=1),$M454&gt;(ROW(PLE.lastrow)-ROW(PLE.firstrow))),0,IF(OFFSET(PLE!$G$14,$M454,CC$13)="",10^12,OFFSET(PLE!$G$14,$M454,CC$13))))</f>
        <v>1000000000000</v>
      </c>
      <c r="CD454" s="216">
        <f ca="1">IF($D454&lt;&gt;"Serviço",0,IF(OR(AND(AUTOEVENTO="Manual",$M454=1),$M454&gt;(ROW(PLE.lastrow)-ROW(PLE.firstrow))),0,IF(OFFSET(PLE!$G$14,$M454,CD$13)="",10^12,OFFSET(PLE!$G$14,$M454,CD$13))))</f>
        <v>1000000000000</v>
      </c>
      <c r="CE454" s="216">
        <f ca="1">IF($D454&lt;&gt;"Serviço",0,IF(OR(AND(AUTOEVENTO="Manual",$M454=1),$M454&gt;(ROW(PLE.lastrow)-ROW(PLE.firstrow))),0,IF(OFFSET(PLE!$G$14,$M454,CE$13)="",10^12,OFFSET(PLE!$G$14,$M454,CE$13))))</f>
        <v>1000000000000</v>
      </c>
      <c r="CF454" s="216">
        <f ca="1">IF($D454&lt;&gt;"Serviço",0,IF(OR(AND(AUTOEVENTO="Manual",$M454=1),$M454&gt;(ROW(PLE.lastrow)-ROW(PLE.firstrow))),0,IF(OFFSET(PLE!$G$14,$M454,CF$13)="",10^12,OFFSET(PLE!$G$14,$M454,CF$13))))</f>
        <v>1000000000000</v>
      </c>
      <c r="CG454" s="216">
        <f ca="1">IF($D454&lt;&gt;"Serviço",0,IF(OR(AND(AUTOEVENTO="Manual",$M454=1),$M454&gt;(ROW(PLE.lastrow)-ROW(PLE.firstrow))),0,IF(OFFSET(PLE!$G$14,$M454,CG$13)="",10^12,OFFSET(PLE!$G$14,$M454,CG$13))))</f>
        <v>1000000000000</v>
      </c>
      <c r="CH454" s="216">
        <f ca="1">IF($D454&lt;&gt;"Serviço",0,IF(OR(AND(AUTOEVENTO="Manual",$M454=1),$M454&gt;(ROW(PLE.lastrow)-ROW(PLE.firstrow))),0,IF(OFFSET(PLE!$G$14,$M454,CH$13)="",10^12,OFFSET(PLE!$G$14,$M454,CH$13))))</f>
        <v>1000000000000</v>
      </c>
      <c r="CI454" s="216">
        <f ca="1">IF($D454&lt;&gt;"Serviço",0,IF(OR(AND(AUTOEVENTO="Manual",$M454=1),$M454&gt;(ROW(PLE.lastrow)-ROW(PLE.firstrow))),0,IF(OFFSET(PLE!$G$14,$M454,CI$13)="",10^12,OFFSET(PLE!$G$14,$M454,CI$13))))</f>
        <v>1000000000000</v>
      </c>
      <c r="CJ454" s="216">
        <f ca="1">IF($D454&lt;&gt;"Serviço",0,IF(OR(AND(AUTOEVENTO="Manual",$M454=1),$M454&gt;(ROW(PLE.lastrow)-ROW(PLE.firstrow))),0,IF(OFFSET(PLE!$G$14,$M454,CJ$13)="",10^12,OFFSET(PLE!$G$14,$M454,CJ$13))))</f>
        <v>1000000000000</v>
      </c>
      <c r="CK454" s="216">
        <f ca="1">IF($D454&lt;&gt;"Serviço",0,IF(OR(AND(AUTOEVENTO="Manual",$M454=1),$M454&gt;(ROW(PLE.lastrow)-ROW(PLE.firstrow))),0,IF(OFFSET(PLE!$G$14,$M454,CK$13)="",10^12,OFFSET(PLE!$G$14,$M454,CK$13))))</f>
        <v>1000000000000</v>
      </c>
      <c r="CL454" s="216">
        <f ca="1">IF($D454&lt;&gt;"Serviço",0,IF(OR(AND(AUTOEVENTO="Manual",$M454=1),$M454&gt;(ROW(PLE.lastrow)-ROW(PLE.firstrow))),0,IF(OFFSET(PLE!$G$14,$M454,CL$13)="",10^12,OFFSET(PLE!$G$14,$M454,CL$13))))</f>
        <v>1000000000000</v>
      </c>
      <c r="CM454" s="216">
        <f ca="1">IF($D454&lt;&gt;"Serviço",0,IF(OR(AND(AUTOEVENTO="Manual",$M454=1),$M454&gt;(ROW(PLE.lastrow)-ROW(PLE.firstrow))),0,IF(OFFSET(PLE!$G$14,$M454,CM$13)="",10^12,OFFSET(PLE!$G$14,$M454,CM$13))))</f>
        <v>1000000000000</v>
      </c>
    </row>
    <row r="455" spans="1:91" ht="13.2" x14ac:dyDescent="0.25">
      <c r="A455" s="9">
        <f t="shared" ca="1" si="15"/>
        <v>0</v>
      </c>
      <c r="B455" s="9" t="str">
        <f ca="1">OFFSET(ORÇAMENTO!C$15,ROW(B455)-ROW(B$15),0)</f>
        <v>S</v>
      </c>
      <c r="C455" s="9" t="str">
        <f ca="1">OFFSET(ORÇAMENTO!L$15,ROW(C455)-ROW(C$15),0)</f>
        <v/>
      </c>
      <c r="D455" s="145" t="str">
        <f ca="1">OFFSET(ORÇAMENTO!N$15,ROW(D455)-ROW(D$15),0)</f>
        <v>Serviço</v>
      </c>
      <c r="E455" s="205" t="str">
        <f ca="1">OFFSET(ORÇAMENTO!O$15,ROW(E455)-ROW(E$15),0)</f>
        <v>-</v>
      </c>
      <c r="F455" s="206" t="str">
        <f ca="1">OFFSET(ORÇAMENTO!R$15,ROW(F455)-ROW(F$15),0)</f>
        <v>(abra o arquivo 'Referência 05-2024.xls)</v>
      </c>
      <c r="G455" s="207" t="str">
        <f ca="1">IF($D455&lt;&gt;"Serviço","",OFFSET(ORÇAMENTO!S$15,ROW(G455)-ROW(G$15),0))</f>
        <v>-</v>
      </c>
      <c r="H455" s="151">
        <f ca="1">IF($D455&lt;&gt;"Serviço",0,IF(ACOMPANHAMENTO="BM",ROUND(OFFSET(ORÇAMENTO!AJ$15,ROW(H455)-ROW(H$15),0),15-13*ORÇAMENTO!$AF$7),SUMPRODUCT(($Q$12:$AI$12&lt;&gt;"")*ROUND($Q455:$AI455,15-13*ORÇAMENTO!$AF$7))))</f>
        <v>1</v>
      </c>
      <c r="I455" s="650"/>
      <c r="K455" s="208"/>
      <c r="L455" s="209" t="s">
        <v>257</v>
      </c>
      <c r="M455" s="210">
        <f ca="1">IF($D455&lt;&gt;"Serviço","",IF(AUTOEVENTO="manual",$A455,IF(ISERROR(MATCH($A455,$A$15:OFFSET($A455,-1,0),0)),MAX($M$15:OFFSET(M455,-1,0))+1,INDEX($M$15:OFFSET(M455,-1,0),MATCH($A455,$A$15:OFFSET($A455,-1,0),0)))))</f>
        <v>0</v>
      </c>
      <c r="N455" s="211" t="str">
        <f ca="1">IF($D455&lt;&gt;"Serviço","",IF(AUTOEVENTO="Manual",IF($A455=0,"&lt;-- defina o número do agrupador",OFFSET(EVENTOS!$D$14,$A455,0)),OFFSET($F$15,$A455,0)))</f>
        <v>&lt;-- defina o número do agrupador</v>
      </c>
      <c r="O455" s="212"/>
      <c r="Q455" s="212"/>
      <c r="R455" s="213"/>
      <c r="S455" s="213"/>
      <c r="T455" s="213"/>
      <c r="U455" s="213"/>
      <c r="V455" s="213"/>
      <c r="W455" s="213"/>
      <c r="X455" s="213"/>
      <c r="Y455" s="213"/>
      <c r="Z455" s="214"/>
      <c r="AA455" s="213"/>
      <c r="AB455" s="213"/>
      <c r="AC455" s="213"/>
      <c r="AD455" s="213"/>
      <c r="AE455" s="213"/>
      <c r="AF455" s="213"/>
      <c r="AG455" s="213"/>
      <c r="AH455" s="214"/>
      <c r="AJ455" s="631">
        <f ca="1">IF(AND($D455="Serviço",AJ$12&lt;&gt;0,$H455&gt;0,OR(AUTOEVENTO&lt;&gt;"manual",$M455&lt;&gt;1)),ROUND(OFFSET($P455,0,AJ$13),15-13*ORÇAMENTO!$AF$7)/$H455*OFFSET(ORÇAMENTO!$X$15,ROW(AJ455)-ROW(AJ$15),0),0)</f>
        <v>0</v>
      </c>
      <c r="AK455" s="632">
        <f ca="1">IF(AND($D455="Serviço",AK$12&lt;&gt;0,$H455&gt;0,OR(AUTOEVENTO&lt;&gt;"manual",$M455&lt;&gt;1)),ROUND(OFFSET($P455,0,AK$13),15-13*ORÇAMENTO!$AF$7)/$H455*OFFSET(ORÇAMENTO!$X$15,ROW(AK455)-ROW(AK$15),0),0)</f>
        <v>0</v>
      </c>
      <c r="AL455" s="632">
        <f ca="1">IF(AND($D455="Serviço",AL$12&lt;&gt;0,$H455&gt;0,OR(AUTOEVENTO&lt;&gt;"manual",$M455&lt;&gt;1)),ROUND(OFFSET($P455,0,AL$13),15-13*ORÇAMENTO!$AF$7)/$H455*OFFSET(ORÇAMENTO!$X$15,ROW(AL455)-ROW(AL$15),0),0)</f>
        <v>0</v>
      </c>
      <c r="AM455" s="632">
        <f ca="1">IF(AND($D455="Serviço",AM$12&lt;&gt;0,$H455&gt;0,OR(AUTOEVENTO&lt;&gt;"manual",$M455&lt;&gt;1)),ROUND(OFFSET($P455,0,AM$13),15-13*ORÇAMENTO!$AF$7)/$H455*OFFSET(ORÇAMENTO!$X$15,ROW(AM455)-ROW(AM$15),0),0)</f>
        <v>0</v>
      </c>
      <c r="AN455" s="632">
        <f ca="1">IF(AND($D455="Serviço",AN$12&lt;&gt;0,$H455&gt;0,OR(AUTOEVENTO&lt;&gt;"manual",$M455&lt;&gt;1)),ROUND(OFFSET($P455,0,AN$13),15-13*ORÇAMENTO!$AF$7)/$H455*OFFSET(ORÇAMENTO!$X$15,ROW(AN455)-ROW(AN$15),0),0)</f>
        <v>0</v>
      </c>
      <c r="AO455" s="632">
        <f ca="1">IF(AND($D455="Serviço",AO$12&lt;&gt;0,$H455&gt;0,OR(AUTOEVENTO&lt;&gt;"manual",$M455&lt;&gt;1)),ROUND(OFFSET($P455,0,AO$13),15-13*ORÇAMENTO!$AF$7)/$H455*OFFSET(ORÇAMENTO!$X$15,ROW(AO455)-ROW(AO$15),0),0)</f>
        <v>0</v>
      </c>
      <c r="AP455" s="632">
        <f ca="1">IF(AND($D455="Serviço",AP$12&lt;&gt;0,$H455&gt;0,OR(AUTOEVENTO&lt;&gt;"manual",$M455&lt;&gt;1)),ROUND(OFFSET($P455,0,AP$13),15-13*ORÇAMENTO!$AF$7)/$H455*OFFSET(ORÇAMENTO!$X$15,ROW(AP455)-ROW(AP$15),0),0)</f>
        <v>0</v>
      </c>
      <c r="AQ455" s="632">
        <f ca="1">IF(AND($D455="Serviço",AQ$12&lt;&gt;0,$H455&gt;0,OR(AUTOEVENTO&lt;&gt;"manual",$M455&lt;&gt;1)),ROUND(OFFSET($P455,0,AQ$13),15-13*ORÇAMENTO!$AF$7)/$H455*OFFSET(ORÇAMENTO!$X$15,ROW(AQ455)-ROW(AQ$15),0),0)</f>
        <v>0</v>
      </c>
      <c r="AR455" s="632">
        <f ca="1">IF(AND($D455="Serviço",AR$12&lt;&gt;0,$H455&gt;0,OR(AUTOEVENTO&lt;&gt;"manual",$M455&lt;&gt;1)),ROUND(OFFSET($P455,0,AR$13),15-13*ORÇAMENTO!$AF$7)/$H455*OFFSET(ORÇAMENTO!$X$15,ROW(AR455)-ROW(AR$15),0),0)</f>
        <v>0</v>
      </c>
      <c r="AS455" s="633">
        <f ca="1">IF(AND($D455="Serviço",AS$12&lt;&gt;0,$H455&gt;0,OR(AUTOEVENTO&lt;&gt;"manual",$M455&lt;&gt;1)),ROUND(OFFSET($P455,0,AS$13),15-13*ORÇAMENTO!$AF$7)/$H455*OFFSET(ORÇAMENTO!$X$15,ROW(AS455)-ROW(AS$15),0),0)</f>
        <v>0</v>
      </c>
      <c r="AT455" s="632">
        <f ca="1">IF(AND($D455="Serviço",AT$12&lt;&gt;0,$H455&gt;0,OR(AUTOEVENTO&lt;&gt;"manual",$M455&lt;&gt;1)),ROUND(OFFSET($P455,0,AT$13),15-13*ORÇAMENTO!$AF$7)/$H455*OFFSET(ORÇAMENTO!$X$15,ROW(AT455)-ROW(AT$15),0),0)</f>
        <v>0</v>
      </c>
      <c r="AU455" s="632">
        <f ca="1">IF(AND($D455="Serviço",AU$12&lt;&gt;0,$H455&gt;0,OR(AUTOEVENTO&lt;&gt;"manual",$M455&lt;&gt;1)),ROUND(OFFSET($P455,0,AU$13),15-13*ORÇAMENTO!$AF$7)/$H455*OFFSET(ORÇAMENTO!$X$15,ROW(AU455)-ROW(AU$15),0),0)</f>
        <v>0</v>
      </c>
      <c r="AV455" s="632">
        <f ca="1">IF(AND($D455="Serviço",AV$12&lt;&gt;0,$H455&gt;0,OR(AUTOEVENTO&lt;&gt;"manual",$M455&lt;&gt;1)),ROUND(OFFSET($P455,0,AV$13),15-13*ORÇAMENTO!$AF$7)/$H455*OFFSET(ORÇAMENTO!$X$15,ROW(AV455)-ROW(AV$15),0),0)</f>
        <v>0</v>
      </c>
      <c r="AW455" s="632">
        <f ca="1">IF(AND($D455="Serviço",AW$12&lt;&gt;0,$H455&gt;0,OR(AUTOEVENTO&lt;&gt;"manual",$M455&lt;&gt;1)),ROUND(OFFSET($P455,0,AW$13),15-13*ORÇAMENTO!$AF$7)/$H455*OFFSET(ORÇAMENTO!$X$15,ROW(AW455)-ROW(AW$15),0),0)</f>
        <v>0</v>
      </c>
      <c r="AX455" s="632">
        <f ca="1">IF(AND($D455="Serviço",AX$12&lt;&gt;0,$H455&gt;0,OR(AUTOEVENTO&lt;&gt;"manual",$M455&lt;&gt;1)),ROUND(OFFSET($P455,0,AX$13),15-13*ORÇAMENTO!$AF$7)/$H455*OFFSET(ORÇAMENTO!$X$15,ROW(AX455)-ROW(AX$15),0),0)</f>
        <v>0</v>
      </c>
      <c r="AY455" s="632">
        <f ca="1">IF(AND($D455="Serviço",AY$12&lt;&gt;0,$H455&gt;0,OR(AUTOEVENTO&lt;&gt;"manual",$M455&lt;&gt;1)),ROUND(OFFSET($P455,0,AY$13),15-13*ORÇAMENTO!$AF$7)/$H455*OFFSET(ORÇAMENTO!$X$15,ROW(AY455)-ROW(AY$15),0),0)</f>
        <v>0</v>
      </c>
      <c r="AZ455" s="632">
        <f ca="1">IF(AND($D455="Serviço",AZ$12&lt;&gt;0,$H455&gt;0,OR(AUTOEVENTO&lt;&gt;"manual",$M455&lt;&gt;1)),ROUND(OFFSET($P455,0,AZ$13),15-13*ORÇAMENTO!$AF$7)/$H455*OFFSET(ORÇAMENTO!$X$15,ROW(AZ455)-ROW(AZ$15),0),0)</f>
        <v>0</v>
      </c>
      <c r="BA455" s="633">
        <f ca="1">IF(AND($D455="Serviço",BA$12&lt;&gt;0,$H455&gt;0,OR(AUTOEVENTO&lt;&gt;"manual",$M455&lt;&gt;1)),ROUND(OFFSET($P455,0,BA$13),15-13*ORÇAMENTO!$AF$7)/$H455*OFFSET(ORÇAMENTO!$X$15,ROW(BA455)-ROW(BA$15),0),0)</f>
        <v>0</v>
      </c>
      <c r="BC455" s="215">
        <f ca="1">IF($D455&lt;&gt;"Serviço",0,IF(AND(AUTOEVENTO="Manual",$M455=1),0,IF(OFFSET(CRONOPLE!$F$14,$M455,BC$13)="",10^12,OFFSET(CRONOPLE!$F$14,$M455,BC$13))))</f>
        <v>1000000000000</v>
      </c>
      <c r="BD455" s="215">
        <f ca="1">IF($D455&lt;&gt;"Serviço",0,IF(AND(AUTOEVENTO="Manual",$M455=1),0,IF(OFFSET(CRONOPLE!$F$14,$M455,BD$13)="",10^12,OFFSET(CRONOPLE!$F$14,$M455,BD$13))))</f>
        <v>1000000000000</v>
      </c>
      <c r="BE455" s="215">
        <f ca="1">IF($D455&lt;&gt;"Serviço",0,IF(AND(AUTOEVENTO="Manual",$M455=1),0,IF(OFFSET(CRONOPLE!$F$14,$M455,BE$13)="",10^12,OFFSET(CRONOPLE!$F$14,$M455,BE$13))))</f>
        <v>1000000000000</v>
      </c>
      <c r="BF455" s="215">
        <f ca="1">IF($D455&lt;&gt;"Serviço",0,IF(AND(AUTOEVENTO="Manual",$M455=1),0,IF(OFFSET(CRONOPLE!$F$14,$M455,BF$13)="",10^12,OFFSET(CRONOPLE!$F$14,$M455,BF$13))))</f>
        <v>1000000000000</v>
      </c>
      <c r="BG455" s="215">
        <f ca="1">IF($D455&lt;&gt;"Serviço",0,IF(AND(AUTOEVENTO="Manual",$M455=1),0,IF(OFFSET(CRONOPLE!$F$14,$M455,BG$13)="",10^12,OFFSET(CRONOPLE!$F$14,$M455,BG$13))))</f>
        <v>1000000000000</v>
      </c>
      <c r="BH455" s="215">
        <f ca="1">IF($D455&lt;&gt;"Serviço",0,IF(AND(AUTOEVENTO="Manual",$M455=1),0,IF(OFFSET(CRONOPLE!$F$14,$M455,BH$13)="",10^12,OFFSET(CRONOPLE!$F$14,$M455,BH$13))))</f>
        <v>1000000000000</v>
      </c>
      <c r="BI455" s="215">
        <f ca="1">IF($D455&lt;&gt;"Serviço",0,IF(AND(AUTOEVENTO="Manual",$M455=1),0,IF(OFFSET(CRONOPLE!$F$14,$M455,BI$13)="",10^12,OFFSET(CRONOPLE!$F$14,$M455,BI$13))))</f>
        <v>1000000000000</v>
      </c>
      <c r="BJ455" s="215">
        <f ca="1">IF($D455&lt;&gt;"Serviço",0,IF(AND(AUTOEVENTO="Manual",$M455=1),0,IF(OFFSET(CRONOPLE!$F$14,$M455,BJ$13)="",10^12,OFFSET(CRONOPLE!$F$14,$M455,BJ$13))))</f>
        <v>1000000000000</v>
      </c>
      <c r="BK455" s="215">
        <f ca="1">IF($D455&lt;&gt;"Serviço",0,IF(AND(AUTOEVENTO="Manual",$M455=1),0,IF(OFFSET(CRONOPLE!$F$14,$M455,BK$13)="",10^12,OFFSET(CRONOPLE!$F$14,$M455,BK$13))))</f>
        <v>1000000000000</v>
      </c>
      <c r="BL455" s="215">
        <f ca="1">IF($D455&lt;&gt;"Serviço",0,IF(AND(AUTOEVENTO="Manual",$M455=1),0,IF(OFFSET(CRONOPLE!$F$14,$M455,BL$13)="",10^12,OFFSET(CRONOPLE!$F$14,$M455,BL$13))))</f>
        <v>1000000000000</v>
      </c>
      <c r="BM455" s="215">
        <f ca="1">IF($D455&lt;&gt;"Serviço",0,IF(AND(AUTOEVENTO="Manual",$M455=1),0,IF(OFFSET(CRONOPLE!$F$14,$M455,BM$13)="",10^12,OFFSET(CRONOPLE!$F$14,$M455,BM$13))))</f>
        <v>1000000000000</v>
      </c>
      <c r="BN455" s="215">
        <f ca="1">IF($D455&lt;&gt;"Serviço",0,IF(AND(AUTOEVENTO="Manual",$M455=1),0,IF(OFFSET(CRONOPLE!$F$14,$M455,BN$13)="",10^12,OFFSET(CRONOPLE!$F$14,$M455,BN$13))))</f>
        <v>1000000000000</v>
      </c>
      <c r="BO455" s="215">
        <f ca="1">IF($D455&lt;&gt;"Serviço",0,IF(AND(AUTOEVENTO="Manual",$M455=1),0,IF(OFFSET(CRONOPLE!$F$14,$M455,BO$13)="",10^12,OFFSET(CRONOPLE!$F$14,$M455,BO$13))))</f>
        <v>1000000000000</v>
      </c>
      <c r="BP455" s="215">
        <f ca="1">IF($D455&lt;&gt;"Serviço",0,IF(AND(AUTOEVENTO="Manual",$M455=1),0,IF(OFFSET(CRONOPLE!$F$14,$M455,BP$13)="",10^12,OFFSET(CRONOPLE!$F$14,$M455,BP$13))))</f>
        <v>1000000000000</v>
      </c>
      <c r="BQ455" s="215">
        <f ca="1">IF($D455&lt;&gt;"Serviço",0,IF(AND(AUTOEVENTO="Manual",$M455=1),0,IF(OFFSET(CRONOPLE!$F$14,$M455,BQ$13)="",10^12,OFFSET(CRONOPLE!$F$14,$M455,BQ$13))))</f>
        <v>1000000000000</v>
      </c>
      <c r="BR455" s="215">
        <f ca="1">IF($D455&lt;&gt;"Serviço",0,IF(AND(AUTOEVENTO="Manual",$M455=1),0,IF(OFFSET(CRONOPLE!$F$14,$M455,BR$13)="",10^12,OFFSET(CRONOPLE!$F$14,$M455,BR$13))))</f>
        <v>1000000000000</v>
      </c>
      <c r="BS455" s="215">
        <f ca="1">IF($D455&lt;&gt;"Serviço",0,IF(AND(AUTOEVENTO="Manual",$M455=1),0,IF(OFFSET(CRONOPLE!$F$14,$M455,BS$13)="",10^12,OFFSET(CRONOPLE!$F$14,$M455,BS$13))))</f>
        <v>1000000000000</v>
      </c>
      <c r="BT455" s="215">
        <f ca="1">IF($D455&lt;&gt;"Serviço",0,IF(AND(AUTOEVENTO="Manual",$M455=1),0,IF(OFFSET(CRONOPLE!$F$14,$M455,BT$13)="",10^12,OFFSET(CRONOPLE!$F$14,$M455,BT$13))))</f>
        <v>1000000000000</v>
      </c>
      <c r="BV455" s="216">
        <f ca="1">IF($D455&lt;&gt;"Serviço",0,IF(OR(AND(AUTOEVENTO="Manual",$M455=1),$M455&gt;(ROW(PLE.lastrow)-ROW(PLE.firstrow))),0,IF(OFFSET(PLE!$G$14,$M455,BV$13)="",10^12,OFFSET(PLE!$G$14,$M455,BV$13))))</f>
        <v>1000000000000</v>
      </c>
      <c r="BW455" s="216">
        <f ca="1">IF($D455&lt;&gt;"Serviço",0,IF(OR(AND(AUTOEVENTO="Manual",$M455=1),$M455&gt;(ROW(PLE.lastrow)-ROW(PLE.firstrow))),0,IF(OFFSET(PLE!$G$14,$M455,BW$13)="",10^12,OFFSET(PLE!$G$14,$M455,BW$13))))</f>
        <v>1000000000000</v>
      </c>
      <c r="BX455" s="216">
        <f ca="1">IF($D455&lt;&gt;"Serviço",0,IF(OR(AND(AUTOEVENTO="Manual",$M455=1),$M455&gt;(ROW(PLE.lastrow)-ROW(PLE.firstrow))),0,IF(OFFSET(PLE!$G$14,$M455,BX$13)="",10^12,OFFSET(PLE!$G$14,$M455,BX$13))))</f>
        <v>1000000000000</v>
      </c>
      <c r="BY455" s="216">
        <f ca="1">IF($D455&lt;&gt;"Serviço",0,IF(OR(AND(AUTOEVENTO="Manual",$M455=1),$M455&gt;(ROW(PLE.lastrow)-ROW(PLE.firstrow))),0,IF(OFFSET(PLE!$G$14,$M455,BY$13)="",10^12,OFFSET(PLE!$G$14,$M455,BY$13))))</f>
        <v>1000000000000</v>
      </c>
      <c r="BZ455" s="216">
        <f ca="1">IF($D455&lt;&gt;"Serviço",0,IF(OR(AND(AUTOEVENTO="Manual",$M455=1),$M455&gt;(ROW(PLE.lastrow)-ROW(PLE.firstrow))),0,IF(OFFSET(PLE!$G$14,$M455,BZ$13)="",10^12,OFFSET(PLE!$G$14,$M455,BZ$13))))</f>
        <v>1000000000000</v>
      </c>
      <c r="CA455" s="216">
        <f ca="1">IF($D455&lt;&gt;"Serviço",0,IF(OR(AND(AUTOEVENTO="Manual",$M455=1),$M455&gt;(ROW(PLE.lastrow)-ROW(PLE.firstrow))),0,IF(OFFSET(PLE!$G$14,$M455,CA$13)="",10^12,OFFSET(PLE!$G$14,$M455,CA$13))))</f>
        <v>1000000000000</v>
      </c>
      <c r="CB455" s="216">
        <f ca="1">IF($D455&lt;&gt;"Serviço",0,IF(OR(AND(AUTOEVENTO="Manual",$M455=1),$M455&gt;(ROW(PLE.lastrow)-ROW(PLE.firstrow))),0,IF(OFFSET(PLE!$G$14,$M455,CB$13)="",10^12,OFFSET(PLE!$G$14,$M455,CB$13))))</f>
        <v>1000000000000</v>
      </c>
      <c r="CC455" s="216">
        <f ca="1">IF($D455&lt;&gt;"Serviço",0,IF(OR(AND(AUTOEVENTO="Manual",$M455=1),$M455&gt;(ROW(PLE.lastrow)-ROW(PLE.firstrow))),0,IF(OFFSET(PLE!$G$14,$M455,CC$13)="",10^12,OFFSET(PLE!$G$14,$M455,CC$13))))</f>
        <v>1000000000000</v>
      </c>
      <c r="CD455" s="216">
        <f ca="1">IF($D455&lt;&gt;"Serviço",0,IF(OR(AND(AUTOEVENTO="Manual",$M455=1),$M455&gt;(ROW(PLE.lastrow)-ROW(PLE.firstrow))),0,IF(OFFSET(PLE!$G$14,$M455,CD$13)="",10^12,OFFSET(PLE!$G$14,$M455,CD$13))))</f>
        <v>1000000000000</v>
      </c>
      <c r="CE455" s="216">
        <f ca="1">IF($D455&lt;&gt;"Serviço",0,IF(OR(AND(AUTOEVENTO="Manual",$M455=1),$M455&gt;(ROW(PLE.lastrow)-ROW(PLE.firstrow))),0,IF(OFFSET(PLE!$G$14,$M455,CE$13)="",10^12,OFFSET(PLE!$G$14,$M455,CE$13))))</f>
        <v>1000000000000</v>
      </c>
      <c r="CF455" s="216">
        <f ca="1">IF($D455&lt;&gt;"Serviço",0,IF(OR(AND(AUTOEVENTO="Manual",$M455=1),$M455&gt;(ROW(PLE.lastrow)-ROW(PLE.firstrow))),0,IF(OFFSET(PLE!$G$14,$M455,CF$13)="",10^12,OFFSET(PLE!$G$14,$M455,CF$13))))</f>
        <v>1000000000000</v>
      </c>
      <c r="CG455" s="216">
        <f ca="1">IF($D455&lt;&gt;"Serviço",0,IF(OR(AND(AUTOEVENTO="Manual",$M455=1),$M455&gt;(ROW(PLE.lastrow)-ROW(PLE.firstrow))),0,IF(OFFSET(PLE!$G$14,$M455,CG$13)="",10^12,OFFSET(PLE!$G$14,$M455,CG$13))))</f>
        <v>1000000000000</v>
      </c>
      <c r="CH455" s="216">
        <f ca="1">IF($D455&lt;&gt;"Serviço",0,IF(OR(AND(AUTOEVENTO="Manual",$M455=1),$M455&gt;(ROW(PLE.lastrow)-ROW(PLE.firstrow))),0,IF(OFFSET(PLE!$G$14,$M455,CH$13)="",10^12,OFFSET(PLE!$G$14,$M455,CH$13))))</f>
        <v>1000000000000</v>
      </c>
      <c r="CI455" s="216">
        <f ca="1">IF($D455&lt;&gt;"Serviço",0,IF(OR(AND(AUTOEVENTO="Manual",$M455=1),$M455&gt;(ROW(PLE.lastrow)-ROW(PLE.firstrow))),0,IF(OFFSET(PLE!$G$14,$M455,CI$13)="",10^12,OFFSET(PLE!$G$14,$M455,CI$13))))</f>
        <v>1000000000000</v>
      </c>
      <c r="CJ455" s="216">
        <f ca="1">IF($D455&lt;&gt;"Serviço",0,IF(OR(AND(AUTOEVENTO="Manual",$M455=1),$M455&gt;(ROW(PLE.lastrow)-ROW(PLE.firstrow))),0,IF(OFFSET(PLE!$G$14,$M455,CJ$13)="",10^12,OFFSET(PLE!$G$14,$M455,CJ$13))))</f>
        <v>1000000000000</v>
      </c>
      <c r="CK455" s="216">
        <f ca="1">IF($D455&lt;&gt;"Serviço",0,IF(OR(AND(AUTOEVENTO="Manual",$M455=1),$M455&gt;(ROW(PLE.lastrow)-ROW(PLE.firstrow))),0,IF(OFFSET(PLE!$G$14,$M455,CK$13)="",10^12,OFFSET(PLE!$G$14,$M455,CK$13))))</f>
        <v>1000000000000</v>
      </c>
      <c r="CL455" s="216">
        <f ca="1">IF($D455&lt;&gt;"Serviço",0,IF(OR(AND(AUTOEVENTO="Manual",$M455=1),$M455&gt;(ROW(PLE.lastrow)-ROW(PLE.firstrow))),0,IF(OFFSET(PLE!$G$14,$M455,CL$13)="",10^12,OFFSET(PLE!$G$14,$M455,CL$13))))</f>
        <v>1000000000000</v>
      </c>
      <c r="CM455" s="216">
        <f ca="1">IF($D455&lt;&gt;"Serviço",0,IF(OR(AND(AUTOEVENTO="Manual",$M455=1),$M455&gt;(ROW(PLE.lastrow)-ROW(PLE.firstrow))),0,IF(OFFSET(PLE!$G$14,$M455,CM$13)="",10^12,OFFSET(PLE!$G$14,$M455,CM$13))))</f>
        <v>1000000000000</v>
      </c>
    </row>
    <row r="456" spans="1:91" ht="13.2" x14ac:dyDescent="0.25">
      <c r="A456" s="9">
        <f t="shared" ca="1" si="15"/>
        <v>0</v>
      </c>
      <c r="B456" s="9" t="str">
        <f ca="1">OFFSET(ORÇAMENTO!C$15,ROW(B456)-ROW(B$15),0)</f>
        <v>S</v>
      </c>
      <c r="C456" s="9" t="str">
        <f ca="1">OFFSET(ORÇAMENTO!L$15,ROW(C456)-ROW(C$15),0)</f>
        <v/>
      </c>
      <c r="D456" s="145" t="str">
        <f ca="1">OFFSET(ORÇAMENTO!N$15,ROW(D456)-ROW(D$15),0)</f>
        <v>Serviço</v>
      </c>
      <c r="E456" s="205" t="str">
        <f ca="1">OFFSET(ORÇAMENTO!O$15,ROW(E456)-ROW(E$15),0)</f>
        <v>-</v>
      </c>
      <c r="F456" s="206" t="str">
        <f ca="1">OFFSET(ORÇAMENTO!R$15,ROW(F456)-ROW(F$15),0)</f>
        <v>(abra o arquivo 'Referência 05-2024.xls)</v>
      </c>
      <c r="G456" s="207" t="str">
        <f ca="1">IF($D456&lt;&gt;"Serviço","",OFFSET(ORÇAMENTO!S$15,ROW(G456)-ROW(G$15),0))</f>
        <v>-</v>
      </c>
      <c r="H456" s="151">
        <f ca="1">IF($D456&lt;&gt;"Serviço",0,IF(ACOMPANHAMENTO="BM",ROUND(OFFSET(ORÇAMENTO!AJ$15,ROW(H456)-ROW(H$15),0),15-13*ORÇAMENTO!$AF$7),SUMPRODUCT(($Q$12:$AI$12&lt;&gt;"")*ROUND($Q456:$AI456,15-13*ORÇAMENTO!$AF$7))))</f>
        <v>2</v>
      </c>
      <c r="I456" s="650"/>
      <c r="K456" s="208"/>
      <c r="L456" s="209" t="s">
        <v>257</v>
      </c>
      <c r="M456" s="210">
        <f ca="1">IF($D456&lt;&gt;"Serviço","",IF(AUTOEVENTO="manual",$A456,IF(ISERROR(MATCH($A456,$A$15:OFFSET($A456,-1,0),0)),MAX($M$15:OFFSET(M456,-1,0))+1,INDEX($M$15:OFFSET(M456,-1,0),MATCH($A456,$A$15:OFFSET($A456,-1,0),0)))))</f>
        <v>0</v>
      </c>
      <c r="N456" s="211" t="str">
        <f ca="1">IF($D456&lt;&gt;"Serviço","",IF(AUTOEVENTO="Manual",IF($A456=0,"&lt;-- defina o número do agrupador",OFFSET(EVENTOS!$D$14,$A456,0)),OFFSET($F$15,$A456,0)))</f>
        <v>&lt;-- defina o número do agrupador</v>
      </c>
      <c r="O456" s="212"/>
      <c r="Q456" s="212"/>
      <c r="R456" s="213"/>
      <c r="S456" s="213"/>
      <c r="T456" s="213"/>
      <c r="U456" s="213"/>
      <c r="V456" s="213"/>
      <c r="W456" s="213"/>
      <c r="X456" s="213"/>
      <c r="Y456" s="213"/>
      <c r="Z456" s="214"/>
      <c r="AA456" s="213"/>
      <c r="AB456" s="213"/>
      <c r="AC456" s="213"/>
      <c r="AD456" s="213"/>
      <c r="AE456" s="213"/>
      <c r="AF456" s="213"/>
      <c r="AG456" s="213"/>
      <c r="AH456" s="214"/>
      <c r="AJ456" s="631">
        <f ca="1">IF(AND($D456="Serviço",AJ$12&lt;&gt;0,$H456&gt;0,OR(AUTOEVENTO&lt;&gt;"manual",$M456&lt;&gt;1)),ROUND(OFFSET($P456,0,AJ$13),15-13*ORÇAMENTO!$AF$7)/$H456*OFFSET(ORÇAMENTO!$X$15,ROW(AJ456)-ROW(AJ$15),0),0)</f>
        <v>0</v>
      </c>
      <c r="AK456" s="632">
        <f ca="1">IF(AND($D456="Serviço",AK$12&lt;&gt;0,$H456&gt;0,OR(AUTOEVENTO&lt;&gt;"manual",$M456&lt;&gt;1)),ROUND(OFFSET($P456,0,AK$13),15-13*ORÇAMENTO!$AF$7)/$H456*OFFSET(ORÇAMENTO!$X$15,ROW(AK456)-ROW(AK$15),0),0)</f>
        <v>0</v>
      </c>
      <c r="AL456" s="632">
        <f ca="1">IF(AND($D456="Serviço",AL$12&lt;&gt;0,$H456&gt;0,OR(AUTOEVENTO&lt;&gt;"manual",$M456&lt;&gt;1)),ROUND(OFFSET($P456,0,AL$13),15-13*ORÇAMENTO!$AF$7)/$H456*OFFSET(ORÇAMENTO!$X$15,ROW(AL456)-ROW(AL$15),0),0)</f>
        <v>0</v>
      </c>
      <c r="AM456" s="632">
        <f ca="1">IF(AND($D456="Serviço",AM$12&lt;&gt;0,$H456&gt;0,OR(AUTOEVENTO&lt;&gt;"manual",$M456&lt;&gt;1)),ROUND(OFFSET($P456,0,AM$13),15-13*ORÇAMENTO!$AF$7)/$H456*OFFSET(ORÇAMENTO!$X$15,ROW(AM456)-ROW(AM$15),0),0)</f>
        <v>0</v>
      </c>
      <c r="AN456" s="632">
        <f ca="1">IF(AND($D456="Serviço",AN$12&lt;&gt;0,$H456&gt;0,OR(AUTOEVENTO&lt;&gt;"manual",$M456&lt;&gt;1)),ROUND(OFFSET($P456,0,AN$13),15-13*ORÇAMENTO!$AF$7)/$H456*OFFSET(ORÇAMENTO!$X$15,ROW(AN456)-ROW(AN$15),0),0)</f>
        <v>0</v>
      </c>
      <c r="AO456" s="632">
        <f ca="1">IF(AND($D456="Serviço",AO$12&lt;&gt;0,$H456&gt;0,OR(AUTOEVENTO&lt;&gt;"manual",$M456&lt;&gt;1)),ROUND(OFFSET($P456,0,AO$13),15-13*ORÇAMENTO!$AF$7)/$H456*OFFSET(ORÇAMENTO!$X$15,ROW(AO456)-ROW(AO$15),0),0)</f>
        <v>0</v>
      </c>
      <c r="AP456" s="632">
        <f ca="1">IF(AND($D456="Serviço",AP$12&lt;&gt;0,$H456&gt;0,OR(AUTOEVENTO&lt;&gt;"manual",$M456&lt;&gt;1)),ROUND(OFFSET($P456,0,AP$13),15-13*ORÇAMENTO!$AF$7)/$H456*OFFSET(ORÇAMENTO!$X$15,ROW(AP456)-ROW(AP$15),0),0)</f>
        <v>0</v>
      </c>
      <c r="AQ456" s="632">
        <f ca="1">IF(AND($D456="Serviço",AQ$12&lt;&gt;0,$H456&gt;0,OR(AUTOEVENTO&lt;&gt;"manual",$M456&lt;&gt;1)),ROUND(OFFSET($P456,0,AQ$13),15-13*ORÇAMENTO!$AF$7)/$H456*OFFSET(ORÇAMENTO!$X$15,ROW(AQ456)-ROW(AQ$15),0),0)</f>
        <v>0</v>
      </c>
      <c r="AR456" s="632">
        <f ca="1">IF(AND($D456="Serviço",AR$12&lt;&gt;0,$H456&gt;0,OR(AUTOEVENTO&lt;&gt;"manual",$M456&lt;&gt;1)),ROUND(OFFSET($P456,0,AR$13),15-13*ORÇAMENTO!$AF$7)/$H456*OFFSET(ORÇAMENTO!$X$15,ROW(AR456)-ROW(AR$15),0),0)</f>
        <v>0</v>
      </c>
      <c r="AS456" s="633">
        <f ca="1">IF(AND($D456="Serviço",AS$12&lt;&gt;0,$H456&gt;0,OR(AUTOEVENTO&lt;&gt;"manual",$M456&lt;&gt;1)),ROUND(OFFSET($P456,0,AS$13),15-13*ORÇAMENTO!$AF$7)/$H456*OFFSET(ORÇAMENTO!$X$15,ROW(AS456)-ROW(AS$15),0),0)</f>
        <v>0</v>
      </c>
      <c r="AT456" s="632">
        <f ca="1">IF(AND($D456="Serviço",AT$12&lt;&gt;0,$H456&gt;0,OR(AUTOEVENTO&lt;&gt;"manual",$M456&lt;&gt;1)),ROUND(OFFSET($P456,0,AT$13),15-13*ORÇAMENTO!$AF$7)/$H456*OFFSET(ORÇAMENTO!$X$15,ROW(AT456)-ROW(AT$15),0),0)</f>
        <v>0</v>
      </c>
      <c r="AU456" s="632">
        <f ca="1">IF(AND($D456="Serviço",AU$12&lt;&gt;0,$H456&gt;0,OR(AUTOEVENTO&lt;&gt;"manual",$M456&lt;&gt;1)),ROUND(OFFSET($P456,0,AU$13),15-13*ORÇAMENTO!$AF$7)/$H456*OFFSET(ORÇAMENTO!$X$15,ROW(AU456)-ROW(AU$15),0),0)</f>
        <v>0</v>
      </c>
      <c r="AV456" s="632">
        <f ca="1">IF(AND($D456="Serviço",AV$12&lt;&gt;0,$H456&gt;0,OR(AUTOEVENTO&lt;&gt;"manual",$M456&lt;&gt;1)),ROUND(OFFSET($P456,0,AV$13),15-13*ORÇAMENTO!$AF$7)/$H456*OFFSET(ORÇAMENTO!$X$15,ROW(AV456)-ROW(AV$15),0),0)</f>
        <v>0</v>
      </c>
      <c r="AW456" s="632">
        <f ca="1">IF(AND($D456="Serviço",AW$12&lt;&gt;0,$H456&gt;0,OR(AUTOEVENTO&lt;&gt;"manual",$M456&lt;&gt;1)),ROUND(OFFSET($P456,0,AW$13),15-13*ORÇAMENTO!$AF$7)/$H456*OFFSET(ORÇAMENTO!$X$15,ROW(AW456)-ROW(AW$15),0),0)</f>
        <v>0</v>
      </c>
      <c r="AX456" s="632">
        <f ca="1">IF(AND($D456="Serviço",AX$12&lt;&gt;0,$H456&gt;0,OR(AUTOEVENTO&lt;&gt;"manual",$M456&lt;&gt;1)),ROUND(OFFSET($P456,0,AX$13),15-13*ORÇAMENTO!$AF$7)/$H456*OFFSET(ORÇAMENTO!$X$15,ROW(AX456)-ROW(AX$15),0),0)</f>
        <v>0</v>
      </c>
      <c r="AY456" s="632">
        <f ca="1">IF(AND($D456="Serviço",AY$12&lt;&gt;0,$H456&gt;0,OR(AUTOEVENTO&lt;&gt;"manual",$M456&lt;&gt;1)),ROUND(OFFSET($P456,0,AY$13),15-13*ORÇAMENTO!$AF$7)/$H456*OFFSET(ORÇAMENTO!$X$15,ROW(AY456)-ROW(AY$15),0),0)</f>
        <v>0</v>
      </c>
      <c r="AZ456" s="632">
        <f ca="1">IF(AND($D456="Serviço",AZ$12&lt;&gt;0,$H456&gt;0,OR(AUTOEVENTO&lt;&gt;"manual",$M456&lt;&gt;1)),ROUND(OFFSET($P456,0,AZ$13),15-13*ORÇAMENTO!$AF$7)/$H456*OFFSET(ORÇAMENTO!$X$15,ROW(AZ456)-ROW(AZ$15),0),0)</f>
        <v>0</v>
      </c>
      <c r="BA456" s="633">
        <f ca="1">IF(AND($D456="Serviço",BA$12&lt;&gt;0,$H456&gt;0,OR(AUTOEVENTO&lt;&gt;"manual",$M456&lt;&gt;1)),ROUND(OFFSET($P456,0,BA$13),15-13*ORÇAMENTO!$AF$7)/$H456*OFFSET(ORÇAMENTO!$X$15,ROW(BA456)-ROW(BA$15),0),0)</f>
        <v>0</v>
      </c>
      <c r="BC456" s="215">
        <f ca="1">IF($D456&lt;&gt;"Serviço",0,IF(AND(AUTOEVENTO="Manual",$M456=1),0,IF(OFFSET(CRONOPLE!$F$14,$M456,BC$13)="",10^12,OFFSET(CRONOPLE!$F$14,$M456,BC$13))))</f>
        <v>1000000000000</v>
      </c>
      <c r="BD456" s="215">
        <f ca="1">IF($D456&lt;&gt;"Serviço",0,IF(AND(AUTOEVENTO="Manual",$M456=1),0,IF(OFFSET(CRONOPLE!$F$14,$M456,BD$13)="",10^12,OFFSET(CRONOPLE!$F$14,$M456,BD$13))))</f>
        <v>1000000000000</v>
      </c>
      <c r="BE456" s="215">
        <f ca="1">IF($D456&lt;&gt;"Serviço",0,IF(AND(AUTOEVENTO="Manual",$M456=1),0,IF(OFFSET(CRONOPLE!$F$14,$M456,BE$13)="",10^12,OFFSET(CRONOPLE!$F$14,$M456,BE$13))))</f>
        <v>1000000000000</v>
      </c>
      <c r="BF456" s="215">
        <f ca="1">IF($D456&lt;&gt;"Serviço",0,IF(AND(AUTOEVENTO="Manual",$M456=1),0,IF(OFFSET(CRONOPLE!$F$14,$M456,BF$13)="",10^12,OFFSET(CRONOPLE!$F$14,$M456,BF$13))))</f>
        <v>1000000000000</v>
      </c>
      <c r="BG456" s="215">
        <f ca="1">IF($D456&lt;&gt;"Serviço",0,IF(AND(AUTOEVENTO="Manual",$M456=1),0,IF(OFFSET(CRONOPLE!$F$14,$M456,BG$13)="",10^12,OFFSET(CRONOPLE!$F$14,$M456,BG$13))))</f>
        <v>1000000000000</v>
      </c>
      <c r="BH456" s="215">
        <f ca="1">IF($D456&lt;&gt;"Serviço",0,IF(AND(AUTOEVENTO="Manual",$M456=1),0,IF(OFFSET(CRONOPLE!$F$14,$M456,BH$13)="",10^12,OFFSET(CRONOPLE!$F$14,$M456,BH$13))))</f>
        <v>1000000000000</v>
      </c>
      <c r="BI456" s="215">
        <f ca="1">IF($D456&lt;&gt;"Serviço",0,IF(AND(AUTOEVENTO="Manual",$M456=1),0,IF(OFFSET(CRONOPLE!$F$14,$M456,BI$13)="",10^12,OFFSET(CRONOPLE!$F$14,$M456,BI$13))))</f>
        <v>1000000000000</v>
      </c>
      <c r="BJ456" s="215">
        <f ca="1">IF($D456&lt;&gt;"Serviço",0,IF(AND(AUTOEVENTO="Manual",$M456=1),0,IF(OFFSET(CRONOPLE!$F$14,$M456,BJ$13)="",10^12,OFFSET(CRONOPLE!$F$14,$M456,BJ$13))))</f>
        <v>1000000000000</v>
      </c>
      <c r="BK456" s="215">
        <f ca="1">IF($D456&lt;&gt;"Serviço",0,IF(AND(AUTOEVENTO="Manual",$M456=1),0,IF(OFFSET(CRONOPLE!$F$14,$M456,BK$13)="",10^12,OFFSET(CRONOPLE!$F$14,$M456,BK$13))))</f>
        <v>1000000000000</v>
      </c>
      <c r="BL456" s="215">
        <f ca="1">IF($D456&lt;&gt;"Serviço",0,IF(AND(AUTOEVENTO="Manual",$M456=1),0,IF(OFFSET(CRONOPLE!$F$14,$M456,BL$13)="",10^12,OFFSET(CRONOPLE!$F$14,$M456,BL$13))))</f>
        <v>1000000000000</v>
      </c>
      <c r="BM456" s="215">
        <f ca="1">IF($D456&lt;&gt;"Serviço",0,IF(AND(AUTOEVENTO="Manual",$M456=1),0,IF(OFFSET(CRONOPLE!$F$14,$M456,BM$13)="",10^12,OFFSET(CRONOPLE!$F$14,$M456,BM$13))))</f>
        <v>1000000000000</v>
      </c>
      <c r="BN456" s="215">
        <f ca="1">IF($D456&lt;&gt;"Serviço",0,IF(AND(AUTOEVENTO="Manual",$M456=1),0,IF(OFFSET(CRONOPLE!$F$14,$M456,BN$13)="",10^12,OFFSET(CRONOPLE!$F$14,$M456,BN$13))))</f>
        <v>1000000000000</v>
      </c>
      <c r="BO456" s="215">
        <f ca="1">IF($D456&lt;&gt;"Serviço",0,IF(AND(AUTOEVENTO="Manual",$M456=1),0,IF(OFFSET(CRONOPLE!$F$14,$M456,BO$13)="",10^12,OFFSET(CRONOPLE!$F$14,$M456,BO$13))))</f>
        <v>1000000000000</v>
      </c>
      <c r="BP456" s="215">
        <f ca="1">IF($D456&lt;&gt;"Serviço",0,IF(AND(AUTOEVENTO="Manual",$M456=1),0,IF(OFFSET(CRONOPLE!$F$14,$M456,BP$13)="",10^12,OFFSET(CRONOPLE!$F$14,$M456,BP$13))))</f>
        <v>1000000000000</v>
      </c>
      <c r="BQ456" s="215">
        <f ca="1">IF($D456&lt;&gt;"Serviço",0,IF(AND(AUTOEVENTO="Manual",$M456=1),0,IF(OFFSET(CRONOPLE!$F$14,$M456,BQ$13)="",10^12,OFFSET(CRONOPLE!$F$14,$M456,BQ$13))))</f>
        <v>1000000000000</v>
      </c>
      <c r="BR456" s="215">
        <f ca="1">IF($D456&lt;&gt;"Serviço",0,IF(AND(AUTOEVENTO="Manual",$M456=1),0,IF(OFFSET(CRONOPLE!$F$14,$M456,BR$13)="",10^12,OFFSET(CRONOPLE!$F$14,$M456,BR$13))))</f>
        <v>1000000000000</v>
      </c>
      <c r="BS456" s="215">
        <f ca="1">IF($D456&lt;&gt;"Serviço",0,IF(AND(AUTOEVENTO="Manual",$M456=1),0,IF(OFFSET(CRONOPLE!$F$14,$M456,BS$13)="",10^12,OFFSET(CRONOPLE!$F$14,$M456,BS$13))))</f>
        <v>1000000000000</v>
      </c>
      <c r="BT456" s="215">
        <f ca="1">IF($D456&lt;&gt;"Serviço",0,IF(AND(AUTOEVENTO="Manual",$M456=1),0,IF(OFFSET(CRONOPLE!$F$14,$M456,BT$13)="",10^12,OFFSET(CRONOPLE!$F$14,$M456,BT$13))))</f>
        <v>1000000000000</v>
      </c>
      <c r="BV456" s="216">
        <f ca="1">IF($D456&lt;&gt;"Serviço",0,IF(OR(AND(AUTOEVENTO="Manual",$M456=1),$M456&gt;(ROW(PLE.lastrow)-ROW(PLE.firstrow))),0,IF(OFFSET(PLE!$G$14,$M456,BV$13)="",10^12,OFFSET(PLE!$G$14,$M456,BV$13))))</f>
        <v>1000000000000</v>
      </c>
      <c r="BW456" s="216">
        <f ca="1">IF($D456&lt;&gt;"Serviço",0,IF(OR(AND(AUTOEVENTO="Manual",$M456=1),$M456&gt;(ROW(PLE.lastrow)-ROW(PLE.firstrow))),0,IF(OFFSET(PLE!$G$14,$M456,BW$13)="",10^12,OFFSET(PLE!$G$14,$M456,BW$13))))</f>
        <v>1000000000000</v>
      </c>
      <c r="BX456" s="216">
        <f ca="1">IF($D456&lt;&gt;"Serviço",0,IF(OR(AND(AUTOEVENTO="Manual",$M456=1),$M456&gt;(ROW(PLE.lastrow)-ROW(PLE.firstrow))),0,IF(OFFSET(PLE!$G$14,$M456,BX$13)="",10^12,OFFSET(PLE!$G$14,$M456,BX$13))))</f>
        <v>1000000000000</v>
      </c>
      <c r="BY456" s="216">
        <f ca="1">IF($D456&lt;&gt;"Serviço",0,IF(OR(AND(AUTOEVENTO="Manual",$M456=1),$M456&gt;(ROW(PLE.lastrow)-ROW(PLE.firstrow))),0,IF(OFFSET(PLE!$G$14,$M456,BY$13)="",10^12,OFFSET(PLE!$G$14,$M456,BY$13))))</f>
        <v>1000000000000</v>
      </c>
      <c r="BZ456" s="216">
        <f ca="1">IF($D456&lt;&gt;"Serviço",0,IF(OR(AND(AUTOEVENTO="Manual",$M456=1),$M456&gt;(ROW(PLE.lastrow)-ROW(PLE.firstrow))),0,IF(OFFSET(PLE!$G$14,$M456,BZ$13)="",10^12,OFFSET(PLE!$G$14,$M456,BZ$13))))</f>
        <v>1000000000000</v>
      </c>
      <c r="CA456" s="216">
        <f ca="1">IF($D456&lt;&gt;"Serviço",0,IF(OR(AND(AUTOEVENTO="Manual",$M456=1),$M456&gt;(ROW(PLE.lastrow)-ROW(PLE.firstrow))),0,IF(OFFSET(PLE!$G$14,$M456,CA$13)="",10^12,OFFSET(PLE!$G$14,$M456,CA$13))))</f>
        <v>1000000000000</v>
      </c>
      <c r="CB456" s="216">
        <f ca="1">IF($D456&lt;&gt;"Serviço",0,IF(OR(AND(AUTOEVENTO="Manual",$M456=1),$M456&gt;(ROW(PLE.lastrow)-ROW(PLE.firstrow))),0,IF(OFFSET(PLE!$G$14,$M456,CB$13)="",10^12,OFFSET(PLE!$G$14,$M456,CB$13))))</f>
        <v>1000000000000</v>
      </c>
      <c r="CC456" s="216">
        <f ca="1">IF($D456&lt;&gt;"Serviço",0,IF(OR(AND(AUTOEVENTO="Manual",$M456=1),$M456&gt;(ROW(PLE.lastrow)-ROW(PLE.firstrow))),0,IF(OFFSET(PLE!$G$14,$M456,CC$13)="",10^12,OFFSET(PLE!$G$14,$M456,CC$13))))</f>
        <v>1000000000000</v>
      </c>
      <c r="CD456" s="216">
        <f ca="1">IF($D456&lt;&gt;"Serviço",0,IF(OR(AND(AUTOEVENTO="Manual",$M456=1),$M456&gt;(ROW(PLE.lastrow)-ROW(PLE.firstrow))),0,IF(OFFSET(PLE!$G$14,$M456,CD$13)="",10^12,OFFSET(PLE!$G$14,$M456,CD$13))))</f>
        <v>1000000000000</v>
      </c>
      <c r="CE456" s="216">
        <f ca="1">IF($D456&lt;&gt;"Serviço",0,IF(OR(AND(AUTOEVENTO="Manual",$M456=1),$M456&gt;(ROW(PLE.lastrow)-ROW(PLE.firstrow))),0,IF(OFFSET(PLE!$G$14,$M456,CE$13)="",10^12,OFFSET(PLE!$G$14,$M456,CE$13))))</f>
        <v>1000000000000</v>
      </c>
      <c r="CF456" s="216">
        <f ca="1">IF($D456&lt;&gt;"Serviço",0,IF(OR(AND(AUTOEVENTO="Manual",$M456=1),$M456&gt;(ROW(PLE.lastrow)-ROW(PLE.firstrow))),0,IF(OFFSET(PLE!$G$14,$M456,CF$13)="",10^12,OFFSET(PLE!$G$14,$M456,CF$13))))</f>
        <v>1000000000000</v>
      </c>
      <c r="CG456" s="216">
        <f ca="1">IF($D456&lt;&gt;"Serviço",0,IF(OR(AND(AUTOEVENTO="Manual",$M456=1),$M456&gt;(ROW(PLE.lastrow)-ROW(PLE.firstrow))),0,IF(OFFSET(PLE!$G$14,$M456,CG$13)="",10^12,OFFSET(PLE!$G$14,$M456,CG$13))))</f>
        <v>1000000000000</v>
      </c>
      <c r="CH456" s="216">
        <f ca="1">IF($D456&lt;&gt;"Serviço",0,IF(OR(AND(AUTOEVENTO="Manual",$M456=1),$M456&gt;(ROW(PLE.lastrow)-ROW(PLE.firstrow))),0,IF(OFFSET(PLE!$G$14,$M456,CH$13)="",10^12,OFFSET(PLE!$G$14,$M456,CH$13))))</f>
        <v>1000000000000</v>
      </c>
      <c r="CI456" s="216">
        <f ca="1">IF($D456&lt;&gt;"Serviço",0,IF(OR(AND(AUTOEVENTO="Manual",$M456=1),$M456&gt;(ROW(PLE.lastrow)-ROW(PLE.firstrow))),0,IF(OFFSET(PLE!$G$14,$M456,CI$13)="",10^12,OFFSET(PLE!$G$14,$M456,CI$13))))</f>
        <v>1000000000000</v>
      </c>
      <c r="CJ456" s="216">
        <f ca="1">IF($D456&lt;&gt;"Serviço",0,IF(OR(AND(AUTOEVENTO="Manual",$M456=1),$M456&gt;(ROW(PLE.lastrow)-ROW(PLE.firstrow))),0,IF(OFFSET(PLE!$G$14,$M456,CJ$13)="",10^12,OFFSET(PLE!$G$14,$M456,CJ$13))))</f>
        <v>1000000000000</v>
      </c>
      <c r="CK456" s="216">
        <f ca="1">IF($D456&lt;&gt;"Serviço",0,IF(OR(AND(AUTOEVENTO="Manual",$M456=1),$M456&gt;(ROW(PLE.lastrow)-ROW(PLE.firstrow))),0,IF(OFFSET(PLE!$G$14,$M456,CK$13)="",10^12,OFFSET(PLE!$G$14,$M456,CK$13))))</f>
        <v>1000000000000</v>
      </c>
      <c r="CL456" s="216">
        <f ca="1">IF($D456&lt;&gt;"Serviço",0,IF(OR(AND(AUTOEVENTO="Manual",$M456=1),$M456&gt;(ROW(PLE.lastrow)-ROW(PLE.firstrow))),0,IF(OFFSET(PLE!$G$14,$M456,CL$13)="",10^12,OFFSET(PLE!$G$14,$M456,CL$13))))</f>
        <v>1000000000000</v>
      </c>
      <c r="CM456" s="216">
        <f ca="1">IF($D456&lt;&gt;"Serviço",0,IF(OR(AND(AUTOEVENTO="Manual",$M456=1),$M456&gt;(ROW(PLE.lastrow)-ROW(PLE.firstrow))),0,IF(OFFSET(PLE!$G$14,$M456,CM$13)="",10^12,OFFSET(PLE!$G$14,$M456,CM$13))))</f>
        <v>1000000000000</v>
      </c>
    </row>
    <row r="457" spans="1:91" ht="13.2" x14ac:dyDescent="0.25">
      <c r="A457" s="9">
        <f t="shared" ca="1" si="15"/>
        <v>0</v>
      </c>
      <c r="B457" s="9" t="str">
        <f ca="1">OFFSET(ORÇAMENTO!C$15,ROW(B457)-ROW(B$15),0)</f>
        <v>S</v>
      </c>
      <c r="C457" s="9" t="str">
        <f ca="1">OFFSET(ORÇAMENTO!L$15,ROW(C457)-ROW(C$15),0)</f>
        <v/>
      </c>
      <c r="D457" s="145" t="str">
        <f ca="1">OFFSET(ORÇAMENTO!N$15,ROW(D457)-ROW(D$15),0)</f>
        <v>Serviço</v>
      </c>
      <c r="E457" s="205" t="str">
        <f ca="1">OFFSET(ORÇAMENTO!O$15,ROW(E457)-ROW(E$15),0)</f>
        <v>-</v>
      </c>
      <c r="F457" s="206" t="str">
        <f ca="1">OFFSET(ORÇAMENTO!R$15,ROW(F457)-ROW(F$15),0)</f>
        <v>(abra o arquivo 'Referência 05-2024.xls)</v>
      </c>
      <c r="G457" s="207" t="str">
        <f ca="1">IF($D457&lt;&gt;"Serviço","",OFFSET(ORÇAMENTO!S$15,ROW(G457)-ROW(G$15),0))</f>
        <v>-</v>
      </c>
      <c r="H457" s="151">
        <f ca="1">IF($D457&lt;&gt;"Serviço",0,IF(ACOMPANHAMENTO="BM",ROUND(OFFSET(ORÇAMENTO!AJ$15,ROW(H457)-ROW(H$15),0),15-13*ORÇAMENTO!$AF$7),SUMPRODUCT(($Q$12:$AI$12&lt;&gt;"")*ROUND($Q457:$AI457,15-13*ORÇAMENTO!$AF$7))))</f>
        <v>2</v>
      </c>
      <c r="I457" s="650"/>
      <c r="K457" s="208"/>
      <c r="L457" s="209" t="s">
        <v>257</v>
      </c>
      <c r="M457" s="210">
        <f ca="1">IF($D457&lt;&gt;"Serviço","",IF(AUTOEVENTO="manual",$A457,IF(ISERROR(MATCH($A457,$A$15:OFFSET($A457,-1,0),0)),MAX($M$15:OFFSET(M457,-1,0))+1,INDEX($M$15:OFFSET(M457,-1,0),MATCH($A457,$A$15:OFFSET($A457,-1,0),0)))))</f>
        <v>0</v>
      </c>
      <c r="N457" s="211" t="str">
        <f ca="1">IF($D457&lt;&gt;"Serviço","",IF(AUTOEVENTO="Manual",IF($A457=0,"&lt;-- defina o número do agrupador",OFFSET(EVENTOS!$D$14,$A457,0)),OFFSET($F$15,$A457,0)))</f>
        <v>&lt;-- defina o número do agrupador</v>
      </c>
      <c r="O457" s="212"/>
      <c r="Q457" s="212"/>
      <c r="R457" s="213"/>
      <c r="S457" s="213"/>
      <c r="T457" s="213"/>
      <c r="U457" s="213"/>
      <c r="V457" s="213"/>
      <c r="W457" s="213"/>
      <c r="X457" s="213"/>
      <c r="Y457" s="213"/>
      <c r="Z457" s="214"/>
      <c r="AA457" s="213"/>
      <c r="AB457" s="213"/>
      <c r="AC457" s="213"/>
      <c r="AD457" s="213"/>
      <c r="AE457" s="213"/>
      <c r="AF457" s="213"/>
      <c r="AG457" s="213"/>
      <c r="AH457" s="214"/>
      <c r="AJ457" s="631">
        <f ca="1">IF(AND($D457="Serviço",AJ$12&lt;&gt;0,$H457&gt;0,OR(AUTOEVENTO&lt;&gt;"manual",$M457&lt;&gt;1)),ROUND(OFFSET($P457,0,AJ$13),15-13*ORÇAMENTO!$AF$7)/$H457*OFFSET(ORÇAMENTO!$X$15,ROW(AJ457)-ROW(AJ$15),0),0)</f>
        <v>0</v>
      </c>
      <c r="AK457" s="632">
        <f ca="1">IF(AND($D457="Serviço",AK$12&lt;&gt;0,$H457&gt;0,OR(AUTOEVENTO&lt;&gt;"manual",$M457&lt;&gt;1)),ROUND(OFFSET($P457,0,AK$13),15-13*ORÇAMENTO!$AF$7)/$H457*OFFSET(ORÇAMENTO!$X$15,ROW(AK457)-ROW(AK$15),0),0)</f>
        <v>0</v>
      </c>
      <c r="AL457" s="632">
        <f ca="1">IF(AND($D457="Serviço",AL$12&lt;&gt;0,$H457&gt;0,OR(AUTOEVENTO&lt;&gt;"manual",$M457&lt;&gt;1)),ROUND(OFFSET($P457,0,AL$13),15-13*ORÇAMENTO!$AF$7)/$H457*OFFSET(ORÇAMENTO!$X$15,ROW(AL457)-ROW(AL$15),0),0)</f>
        <v>0</v>
      </c>
      <c r="AM457" s="632">
        <f ca="1">IF(AND($D457="Serviço",AM$12&lt;&gt;0,$H457&gt;0,OR(AUTOEVENTO&lt;&gt;"manual",$M457&lt;&gt;1)),ROUND(OFFSET($P457,0,AM$13),15-13*ORÇAMENTO!$AF$7)/$H457*OFFSET(ORÇAMENTO!$X$15,ROW(AM457)-ROW(AM$15),0),0)</f>
        <v>0</v>
      </c>
      <c r="AN457" s="632">
        <f ca="1">IF(AND($D457="Serviço",AN$12&lt;&gt;0,$H457&gt;0,OR(AUTOEVENTO&lt;&gt;"manual",$M457&lt;&gt;1)),ROUND(OFFSET($P457,0,AN$13),15-13*ORÇAMENTO!$AF$7)/$H457*OFFSET(ORÇAMENTO!$X$15,ROW(AN457)-ROW(AN$15),0),0)</f>
        <v>0</v>
      </c>
      <c r="AO457" s="632">
        <f ca="1">IF(AND($D457="Serviço",AO$12&lt;&gt;0,$H457&gt;0,OR(AUTOEVENTO&lt;&gt;"manual",$M457&lt;&gt;1)),ROUND(OFFSET($P457,0,AO$13),15-13*ORÇAMENTO!$AF$7)/$H457*OFFSET(ORÇAMENTO!$X$15,ROW(AO457)-ROW(AO$15),0),0)</f>
        <v>0</v>
      </c>
      <c r="AP457" s="632">
        <f ca="1">IF(AND($D457="Serviço",AP$12&lt;&gt;0,$H457&gt;0,OR(AUTOEVENTO&lt;&gt;"manual",$M457&lt;&gt;1)),ROUND(OFFSET($P457,0,AP$13),15-13*ORÇAMENTO!$AF$7)/$H457*OFFSET(ORÇAMENTO!$X$15,ROW(AP457)-ROW(AP$15),0),0)</f>
        <v>0</v>
      </c>
      <c r="AQ457" s="632">
        <f ca="1">IF(AND($D457="Serviço",AQ$12&lt;&gt;0,$H457&gt;0,OR(AUTOEVENTO&lt;&gt;"manual",$M457&lt;&gt;1)),ROUND(OFFSET($P457,0,AQ$13),15-13*ORÇAMENTO!$AF$7)/$H457*OFFSET(ORÇAMENTO!$X$15,ROW(AQ457)-ROW(AQ$15),0),0)</f>
        <v>0</v>
      </c>
      <c r="AR457" s="632">
        <f ca="1">IF(AND($D457="Serviço",AR$12&lt;&gt;0,$H457&gt;0,OR(AUTOEVENTO&lt;&gt;"manual",$M457&lt;&gt;1)),ROUND(OFFSET($P457,0,AR$13),15-13*ORÇAMENTO!$AF$7)/$H457*OFFSET(ORÇAMENTO!$X$15,ROW(AR457)-ROW(AR$15),0),0)</f>
        <v>0</v>
      </c>
      <c r="AS457" s="633">
        <f ca="1">IF(AND($D457="Serviço",AS$12&lt;&gt;0,$H457&gt;0,OR(AUTOEVENTO&lt;&gt;"manual",$M457&lt;&gt;1)),ROUND(OFFSET($P457,0,AS$13),15-13*ORÇAMENTO!$AF$7)/$H457*OFFSET(ORÇAMENTO!$X$15,ROW(AS457)-ROW(AS$15),0),0)</f>
        <v>0</v>
      </c>
      <c r="AT457" s="632">
        <f ca="1">IF(AND($D457="Serviço",AT$12&lt;&gt;0,$H457&gt;0,OR(AUTOEVENTO&lt;&gt;"manual",$M457&lt;&gt;1)),ROUND(OFFSET($P457,0,AT$13),15-13*ORÇAMENTO!$AF$7)/$H457*OFFSET(ORÇAMENTO!$X$15,ROW(AT457)-ROW(AT$15),0),0)</f>
        <v>0</v>
      </c>
      <c r="AU457" s="632">
        <f ca="1">IF(AND($D457="Serviço",AU$12&lt;&gt;0,$H457&gt;0,OR(AUTOEVENTO&lt;&gt;"manual",$M457&lt;&gt;1)),ROUND(OFFSET($P457,0,AU$13),15-13*ORÇAMENTO!$AF$7)/$H457*OFFSET(ORÇAMENTO!$X$15,ROW(AU457)-ROW(AU$15),0),0)</f>
        <v>0</v>
      </c>
      <c r="AV457" s="632">
        <f ca="1">IF(AND($D457="Serviço",AV$12&lt;&gt;0,$H457&gt;0,OR(AUTOEVENTO&lt;&gt;"manual",$M457&lt;&gt;1)),ROUND(OFFSET($P457,0,AV$13),15-13*ORÇAMENTO!$AF$7)/$H457*OFFSET(ORÇAMENTO!$X$15,ROW(AV457)-ROW(AV$15),0),0)</f>
        <v>0</v>
      </c>
      <c r="AW457" s="632">
        <f ca="1">IF(AND($D457="Serviço",AW$12&lt;&gt;0,$H457&gt;0,OR(AUTOEVENTO&lt;&gt;"manual",$M457&lt;&gt;1)),ROUND(OFFSET($P457,0,AW$13),15-13*ORÇAMENTO!$AF$7)/$H457*OFFSET(ORÇAMENTO!$X$15,ROW(AW457)-ROW(AW$15),0),0)</f>
        <v>0</v>
      </c>
      <c r="AX457" s="632">
        <f ca="1">IF(AND($D457="Serviço",AX$12&lt;&gt;0,$H457&gt;0,OR(AUTOEVENTO&lt;&gt;"manual",$M457&lt;&gt;1)),ROUND(OFFSET($P457,0,AX$13),15-13*ORÇAMENTO!$AF$7)/$H457*OFFSET(ORÇAMENTO!$X$15,ROW(AX457)-ROW(AX$15),0),0)</f>
        <v>0</v>
      </c>
      <c r="AY457" s="632">
        <f ca="1">IF(AND($D457="Serviço",AY$12&lt;&gt;0,$H457&gt;0,OR(AUTOEVENTO&lt;&gt;"manual",$M457&lt;&gt;1)),ROUND(OFFSET($P457,0,AY$13),15-13*ORÇAMENTO!$AF$7)/$H457*OFFSET(ORÇAMENTO!$X$15,ROW(AY457)-ROW(AY$15),0),0)</f>
        <v>0</v>
      </c>
      <c r="AZ457" s="632">
        <f ca="1">IF(AND($D457="Serviço",AZ$12&lt;&gt;0,$H457&gt;0,OR(AUTOEVENTO&lt;&gt;"manual",$M457&lt;&gt;1)),ROUND(OFFSET($P457,0,AZ$13),15-13*ORÇAMENTO!$AF$7)/$H457*OFFSET(ORÇAMENTO!$X$15,ROW(AZ457)-ROW(AZ$15),0),0)</f>
        <v>0</v>
      </c>
      <c r="BA457" s="633">
        <f ca="1">IF(AND($D457="Serviço",BA$12&lt;&gt;0,$H457&gt;0,OR(AUTOEVENTO&lt;&gt;"manual",$M457&lt;&gt;1)),ROUND(OFFSET($P457,0,BA$13),15-13*ORÇAMENTO!$AF$7)/$H457*OFFSET(ORÇAMENTO!$X$15,ROW(BA457)-ROW(BA$15),0),0)</f>
        <v>0</v>
      </c>
      <c r="BC457" s="215">
        <f ca="1">IF($D457&lt;&gt;"Serviço",0,IF(AND(AUTOEVENTO="Manual",$M457=1),0,IF(OFFSET(CRONOPLE!$F$14,$M457,BC$13)="",10^12,OFFSET(CRONOPLE!$F$14,$M457,BC$13))))</f>
        <v>1000000000000</v>
      </c>
      <c r="BD457" s="215">
        <f ca="1">IF($D457&lt;&gt;"Serviço",0,IF(AND(AUTOEVENTO="Manual",$M457=1),0,IF(OFFSET(CRONOPLE!$F$14,$M457,BD$13)="",10^12,OFFSET(CRONOPLE!$F$14,$M457,BD$13))))</f>
        <v>1000000000000</v>
      </c>
      <c r="BE457" s="215">
        <f ca="1">IF($D457&lt;&gt;"Serviço",0,IF(AND(AUTOEVENTO="Manual",$M457=1),0,IF(OFFSET(CRONOPLE!$F$14,$M457,BE$13)="",10^12,OFFSET(CRONOPLE!$F$14,$M457,BE$13))))</f>
        <v>1000000000000</v>
      </c>
      <c r="BF457" s="215">
        <f ca="1">IF($D457&lt;&gt;"Serviço",0,IF(AND(AUTOEVENTO="Manual",$M457=1),0,IF(OFFSET(CRONOPLE!$F$14,$M457,BF$13)="",10^12,OFFSET(CRONOPLE!$F$14,$M457,BF$13))))</f>
        <v>1000000000000</v>
      </c>
      <c r="BG457" s="215">
        <f ca="1">IF($D457&lt;&gt;"Serviço",0,IF(AND(AUTOEVENTO="Manual",$M457=1),0,IF(OFFSET(CRONOPLE!$F$14,$M457,BG$13)="",10^12,OFFSET(CRONOPLE!$F$14,$M457,BG$13))))</f>
        <v>1000000000000</v>
      </c>
      <c r="BH457" s="215">
        <f ca="1">IF($D457&lt;&gt;"Serviço",0,IF(AND(AUTOEVENTO="Manual",$M457=1),0,IF(OFFSET(CRONOPLE!$F$14,$M457,BH$13)="",10^12,OFFSET(CRONOPLE!$F$14,$M457,BH$13))))</f>
        <v>1000000000000</v>
      </c>
      <c r="BI457" s="215">
        <f ca="1">IF($D457&lt;&gt;"Serviço",0,IF(AND(AUTOEVENTO="Manual",$M457=1),0,IF(OFFSET(CRONOPLE!$F$14,$M457,BI$13)="",10^12,OFFSET(CRONOPLE!$F$14,$M457,BI$13))))</f>
        <v>1000000000000</v>
      </c>
      <c r="BJ457" s="215">
        <f ca="1">IF($D457&lt;&gt;"Serviço",0,IF(AND(AUTOEVENTO="Manual",$M457=1),0,IF(OFFSET(CRONOPLE!$F$14,$M457,BJ$13)="",10^12,OFFSET(CRONOPLE!$F$14,$M457,BJ$13))))</f>
        <v>1000000000000</v>
      </c>
      <c r="BK457" s="215">
        <f ca="1">IF($D457&lt;&gt;"Serviço",0,IF(AND(AUTOEVENTO="Manual",$M457=1),0,IF(OFFSET(CRONOPLE!$F$14,$M457,BK$13)="",10^12,OFFSET(CRONOPLE!$F$14,$M457,BK$13))))</f>
        <v>1000000000000</v>
      </c>
      <c r="BL457" s="215">
        <f ca="1">IF($D457&lt;&gt;"Serviço",0,IF(AND(AUTOEVENTO="Manual",$M457=1),0,IF(OFFSET(CRONOPLE!$F$14,$M457,BL$13)="",10^12,OFFSET(CRONOPLE!$F$14,$M457,BL$13))))</f>
        <v>1000000000000</v>
      </c>
      <c r="BM457" s="215">
        <f ca="1">IF($D457&lt;&gt;"Serviço",0,IF(AND(AUTOEVENTO="Manual",$M457=1),0,IF(OFFSET(CRONOPLE!$F$14,$M457,BM$13)="",10^12,OFFSET(CRONOPLE!$F$14,$M457,BM$13))))</f>
        <v>1000000000000</v>
      </c>
      <c r="BN457" s="215">
        <f ca="1">IF($D457&lt;&gt;"Serviço",0,IF(AND(AUTOEVENTO="Manual",$M457=1),0,IF(OFFSET(CRONOPLE!$F$14,$M457,BN$13)="",10^12,OFFSET(CRONOPLE!$F$14,$M457,BN$13))))</f>
        <v>1000000000000</v>
      </c>
      <c r="BO457" s="215">
        <f ca="1">IF($D457&lt;&gt;"Serviço",0,IF(AND(AUTOEVENTO="Manual",$M457=1),0,IF(OFFSET(CRONOPLE!$F$14,$M457,BO$13)="",10^12,OFFSET(CRONOPLE!$F$14,$M457,BO$13))))</f>
        <v>1000000000000</v>
      </c>
      <c r="BP457" s="215">
        <f ca="1">IF($D457&lt;&gt;"Serviço",0,IF(AND(AUTOEVENTO="Manual",$M457=1),0,IF(OFFSET(CRONOPLE!$F$14,$M457,BP$13)="",10^12,OFFSET(CRONOPLE!$F$14,$M457,BP$13))))</f>
        <v>1000000000000</v>
      </c>
      <c r="BQ457" s="215">
        <f ca="1">IF($D457&lt;&gt;"Serviço",0,IF(AND(AUTOEVENTO="Manual",$M457=1),0,IF(OFFSET(CRONOPLE!$F$14,$M457,BQ$13)="",10^12,OFFSET(CRONOPLE!$F$14,$M457,BQ$13))))</f>
        <v>1000000000000</v>
      </c>
      <c r="BR457" s="215">
        <f ca="1">IF($D457&lt;&gt;"Serviço",0,IF(AND(AUTOEVENTO="Manual",$M457=1),0,IF(OFFSET(CRONOPLE!$F$14,$M457,BR$13)="",10^12,OFFSET(CRONOPLE!$F$14,$M457,BR$13))))</f>
        <v>1000000000000</v>
      </c>
      <c r="BS457" s="215">
        <f ca="1">IF($D457&lt;&gt;"Serviço",0,IF(AND(AUTOEVENTO="Manual",$M457=1),0,IF(OFFSET(CRONOPLE!$F$14,$M457,BS$13)="",10^12,OFFSET(CRONOPLE!$F$14,$M457,BS$13))))</f>
        <v>1000000000000</v>
      </c>
      <c r="BT457" s="215">
        <f ca="1">IF($D457&lt;&gt;"Serviço",0,IF(AND(AUTOEVENTO="Manual",$M457=1),0,IF(OFFSET(CRONOPLE!$F$14,$M457,BT$13)="",10^12,OFFSET(CRONOPLE!$F$14,$M457,BT$13))))</f>
        <v>1000000000000</v>
      </c>
      <c r="BV457" s="216">
        <f ca="1">IF($D457&lt;&gt;"Serviço",0,IF(OR(AND(AUTOEVENTO="Manual",$M457=1),$M457&gt;(ROW(PLE.lastrow)-ROW(PLE.firstrow))),0,IF(OFFSET(PLE!$G$14,$M457,BV$13)="",10^12,OFFSET(PLE!$G$14,$M457,BV$13))))</f>
        <v>1000000000000</v>
      </c>
      <c r="BW457" s="216">
        <f ca="1">IF($D457&lt;&gt;"Serviço",0,IF(OR(AND(AUTOEVENTO="Manual",$M457=1),$M457&gt;(ROW(PLE.lastrow)-ROW(PLE.firstrow))),0,IF(OFFSET(PLE!$G$14,$M457,BW$13)="",10^12,OFFSET(PLE!$G$14,$M457,BW$13))))</f>
        <v>1000000000000</v>
      </c>
      <c r="BX457" s="216">
        <f ca="1">IF($D457&lt;&gt;"Serviço",0,IF(OR(AND(AUTOEVENTO="Manual",$M457=1),$M457&gt;(ROW(PLE.lastrow)-ROW(PLE.firstrow))),0,IF(OFFSET(PLE!$G$14,$M457,BX$13)="",10^12,OFFSET(PLE!$G$14,$M457,BX$13))))</f>
        <v>1000000000000</v>
      </c>
      <c r="BY457" s="216">
        <f ca="1">IF($D457&lt;&gt;"Serviço",0,IF(OR(AND(AUTOEVENTO="Manual",$M457=1),$M457&gt;(ROW(PLE.lastrow)-ROW(PLE.firstrow))),0,IF(OFFSET(PLE!$G$14,$M457,BY$13)="",10^12,OFFSET(PLE!$G$14,$M457,BY$13))))</f>
        <v>1000000000000</v>
      </c>
      <c r="BZ457" s="216">
        <f ca="1">IF($D457&lt;&gt;"Serviço",0,IF(OR(AND(AUTOEVENTO="Manual",$M457=1),$M457&gt;(ROW(PLE.lastrow)-ROW(PLE.firstrow))),0,IF(OFFSET(PLE!$G$14,$M457,BZ$13)="",10^12,OFFSET(PLE!$G$14,$M457,BZ$13))))</f>
        <v>1000000000000</v>
      </c>
      <c r="CA457" s="216">
        <f ca="1">IF($D457&lt;&gt;"Serviço",0,IF(OR(AND(AUTOEVENTO="Manual",$M457=1),$M457&gt;(ROW(PLE.lastrow)-ROW(PLE.firstrow))),0,IF(OFFSET(PLE!$G$14,$M457,CA$13)="",10^12,OFFSET(PLE!$G$14,$M457,CA$13))))</f>
        <v>1000000000000</v>
      </c>
      <c r="CB457" s="216">
        <f ca="1">IF($D457&lt;&gt;"Serviço",0,IF(OR(AND(AUTOEVENTO="Manual",$M457=1),$M457&gt;(ROW(PLE.lastrow)-ROW(PLE.firstrow))),0,IF(OFFSET(PLE!$G$14,$M457,CB$13)="",10^12,OFFSET(PLE!$G$14,$M457,CB$13))))</f>
        <v>1000000000000</v>
      </c>
      <c r="CC457" s="216">
        <f ca="1">IF($D457&lt;&gt;"Serviço",0,IF(OR(AND(AUTOEVENTO="Manual",$M457=1),$M457&gt;(ROW(PLE.lastrow)-ROW(PLE.firstrow))),0,IF(OFFSET(PLE!$G$14,$M457,CC$13)="",10^12,OFFSET(PLE!$G$14,$M457,CC$13))))</f>
        <v>1000000000000</v>
      </c>
      <c r="CD457" s="216">
        <f ca="1">IF($D457&lt;&gt;"Serviço",0,IF(OR(AND(AUTOEVENTO="Manual",$M457=1),$M457&gt;(ROW(PLE.lastrow)-ROW(PLE.firstrow))),0,IF(OFFSET(PLE!$G$14,$M457,CD$13)="",10^12,OFFSET(PLE!$G$14,$M457,CD$13))))</f>
        <v>1000000000000</v>
      </c>
      <c r="CE457" s="216">
        <f ca="1">IF($D457&lt;&gt;"Serviço",0,IF(OR(AND(AUTOEVENTO="Manual",$M457=1),$M457&gt;(ROW(PLE.lastrow)-ROW(PLE.firstrow))),0,IF(OFFSET(PLE!$G$14,$M457,CE$13)="",10^12,OFFSET(PLE!$G$14,$M457,CE$13))))</f>
        <v>1000000000000</v>
      </c>
      <c r="CF457" s="216">
        <f ca="1">IF($D457&lt;&gt;"Serviço",0,IF(OR(AND(AUTOEVENTO="Manual",$M457=1),$M457&gt;(ROW(PLE.lastrow)-ROW(PLE.firstrow))),0,IF(OFFSET(PLE!$G$14,$M457,CF$13)="",10^12,OFFSET(PLE!$G$14,$M457,CF$13))))</f>
        <v>1000000000000</v>
      </c>
      <c r="CG457" s="216">
        <f ca="1">IF($D457&lt;&gt;"Serviço",0,IF(OR(AND(AUTOEVENTO="Manual",$M457=1),$M457&gt;(ROW(PLE.lastrow)-ROW(PLE.firstrow))),0,IF(OFFSET(PLE!$G$14,$M457,CG$13)="",10^12,OFFSET(PLE!$G$14,$M457,CG$13))))</f>
        <v>1000000000000</v>
      </c>
      <c r="CH457" s="216">
        <f ca="1">IF($D457&lt;&gt;"Serviço",0,IF(OR(AND(AUTOEVENTO="Manual",$M457=1),$M457&gt;(ROW(PLE.lastrow)-ROW(PLE.firstrow))),0,IF(OFFSET(PLE!$G$14,$M457,CH$13)="",10^12,OFFSET(PLE!$G$14,$M457,CH$13))))</f>
        <v>1000000000000</v>
      </c>
      <c r="CI457" s="216">
        <f ca="1">IF($D457&lt;&gt;"Serviço",0,IF(OR(AND(AUTOEVENTO="Manual",$M457=1),$M457&gt;(ROW(PLE.lastrow)-ROW(PLE.firstrow))),0,IF(OFFSET(PLE!$G$14,$M457,CI$13)="",10^12,OFFSET(PLE!$G$14,$M457,CI$13))))</f>
        <v>1000000000000</v>
      </c>
      <c r="CJ457" s="216">
        <f ca="1">IF($D457&lt;&gt;"Serviço",0,IF(OR(AND(AUTOEVENTO="Manual",$M457=1),$M457&gt;(ROW(PLE.lastrow)-ROW(PLE.firstrow))),0,IF(OFFSET(PLE!$G$14,$M457,CJ$13)="",10^12,OFFSET(PLE!$G$14,$M457,CJ$13))))</f>
        <v>1000000000000</v>
      </c>
      <c r="CK457" s="216">
        <f ca="1">IF($D457&lt;&gt;"Serviço",0,IF(OR(AND(AUTOEVENTO="Manual",$M457=1),$M457&gt;(ROW(PLE.lastrow)-ROW(PLE.firstrow))),0,IF(OFFSET(PLE!$G$14,$M457,CK$13)="",10^12,OFFSET(PLE!$G$14,$M457,CK$13))))</f>
        <v>1000000000000</v>
      </c>
      <c r="CL457" s="216">
        <f ca="1">IF($D457&lt;&gt;"Serviço",0,IF(OR(AND(AUTOEVENTO="Manual",$M457=1),$M457&gt;(ROW(PLE.lastrow)-ROW(PLE.firstrow))),0,IF(OFFSET(PLE!$G$14,$M457,CL$13)="",10^12,OFFSET(PLE!$G$14,$M457,CL$13))))</f>
        <v>1000000000000</v>
      </c>
      <c r="CM457" s="216">
        <f ca="1">IF($D457&lt;&gt;"Serviço",0,IF(OR(AND(AUTOEVENTO="Manual",$M457=1),$M457&gt;(ROW(PLE.lastrow)-ROW(PLE.firstrow))),0,IF(OFFSET(PLE!$G$14,$M457,CM$13)="",10^12,OFFSET(PLE!$G$14,$M457,CM$13))))</f>
        <v>1000000000000</v>
      </c>
    </row>
    <row r="458" spans="1:91" ht="13.2" x14ac:dyDescent="0.25">
      <c r="A458" s="9">
        <f t="shared" ca="1" si="15"/>
        <v>0</v>
      </c>
      <c r="B458" s="9" t="str">
        <f ca="1">OFFSET(ORÇAMENTO!C$15,ROW(B458)-ROW(B$15),0)</f>
        <v>S</v>
      </c>
      <c r="C458" s="9" t="str">
        <f ca="1">OFFSET(ORÇAMENTO!L$15,ROW(C458)-ROW(C$15),0)</f>
        <v/>
      </c>
      <c r="D458" s="145" t="str">
        <f ca="1">OFFSET(ORÇAMENTO!N$15,ROW(D458)-ROW(D$15),0)</f>
        <v>Serviço</v>
      </c>
      <c r="E458" s="205" t="str">
        <f ca="1">OFFSET(ORÇAMENTO!O$15,ROW(E458)-ROW(E$15),0)</f>
        <v>-</v>
      </c>
      <c r="F458" s="206" t="str">
        <f ca="1">OFFSET(ORÇAMENTO!R$15,ROW(F458)-ROW(F$15),0)</f>
        <v>(abra o arquivo 'Referência 05-2024.xls)</v>
      </c>
      <c r="G458" s="207" t="str">
        <f ca="1">IF($D458&lt;&gt;"Serviço","",OFFSET(ORÇAMENTO!S$15,ROW(G458)-ROW(G$15),0))</f>
        <v>-</v>
      </c>
      <c r="H458" s="151">
        <f ca="1">IF($D458&lt;&gt;"Serviço",0,IF(ACOMPANHAMENTO="BM",ROUND(OFFSET(ORÇAMENTO!AJ$15,ROW(H458)-ROW(H$15),0),15-13*ORÇAMENTO!$AF$7),SUMPRODUCT(($Q$12:$AI$12&lt;&gt;"")*ROUND($Q458:$AI458,15-13*ORÇAMENTO!$AF$7))))</f>
        <v>10</v>
      </c>
      <c r="I458" s="650"/>
      <c r="K458" s="208"/>
      <c r="L458" s="209" t="s">
        <v>257</v>
      </c>
      <c r="M458" s="210">
        <f ca="1">IF($D458&lt;&gt;"Serviço","",IF(AUTOEVENTO="manual",$A458,IF(ISERROR(MATCH($A458,$A$15:OFFSET($A458,-1,0),0)),MAX($M$15:OFFSET(M458,-1,0))+1,INDEX($M$15:OFFSET(M458,-1,0),MATCH($A458,$A$15:OFFSET($A458,-1,0),0)))))</f>
        <v>0</v>
      </c>
      <c r="N458" s="211" t="str">
        <f ca="1">IF($D458&lt;&gt;"Serviço","",IF(AUTOEVENTO="Manual",IF($A458=0,"&lt;-- defina o número do agrupador",OFFSET(EVENTOS!$D$14,$A458,0)),OFFSET($F$15,$A458,0)))</f>
        <v>&lt;-- defina o número do agrupador</v>
      </c>
      <c r="O458" s="212"/>
      <c r="Q458" s="212"/>
      <c r="R458" s="213"/>
      <c r="S458" s="213"/>
      <c r="T458" s="213"/>
      <c r="U458" s="213"/>
      <c r="V458" s="213"/>
      <c r="W458" s="213"/>
      <c r="X458" s="213"/>
      <c r="Y458" s="213"/>
      <c r="Z458" s="214"/>
      <c r="AA458" s="213"/>
      <c r="AB458" s="213"/>
      <c r="AC458" s="213"/>
      <c r="AD458" s="213"/>
      <c r="AE458" s="213"/>
      <c r="AF458" s="213"/>
      <c r="AG458" s="213"/>
      <c r="AH458" s="214"/>
      <c r="AJ458" s="631">
        <f ca="1">IF(AND($D458="Serviço",AJ$12&lt;&gt;0,$H458&gt;0,OR(AUTOEVENTO&lt;&gt;"manual",$M458&lt;&gt;1)),ROUND(OFFSET($P458,0,AJ$13),15-13*ORÇAMENTO!$AF$7)/$H458*OFFSET(ORÇAMENTO!$X$15,ROW(AJ458)-ROW(AJ$15),0),0)</f>
        <v>0</v>
      </c>
      <c r="AK458" s="632">
        <f ca="1">IF(AND($D458="Serviço",AK$12&lt;&gt;0,$H458&gt;0,OR(AUTOEVENTO&lt;&gt;"manual",$M458&lt;&gt;1)),ROUND(OFFSET($P458,0,AK$13),15-13*ORÇAMENTO!$AF$7)/$H458*OFFSET(ORÇAMENTO!$X$15,ROW(AK458)-ROW(AK$15),0),0)</f>
        <v>0</v>
      </c>
      <c r="AL458" s="632">
        <f ca="1">IF(AND($D458="Serviço",AL$12&lt;&gt;0,$H458&gt;0,OR(AUTOEVENTO&lt;&gt;"manual",$M458&lt;&gt;1)),ROUND(OFFSET($P458,0,AL$13),15-13*ORÇAMENTO!$AF$7)/$H458*OFFSET(ORÇAMENTO!$X$15,ROW(AL458)-ROW(AL$15),0),0)</f>
        <v>0</v>
      </c>
      <c r="AM458" s="632">
        <f ca="1">IF(AND($D458="Serviço",AM$12&lt;&gt;0,$H458&gt;0,OR(AUTOEVENTO&lt;&gt;"manual",$M458&lt;&gt;1)),ROUND(OFFSET($P458,0,AM$13),15-13*ORÇAMENTO!$AF$7)/$H458*OFFSET(ORÇAMENTO!$X$15,ROW(AM458)-ROW(AM$15),0),0)</f>
        <v>0</v>
      </c>
      <c r="AN458" s="632">
        <f ca="1">IF(AND($D458="Serviço",AN$12&lt;&gt;0,$H458&gt;0,OR(AUTOEVENTO&lt;&gt;"manual",$M458&lt;&gt;1)),ROUND(OFFSET($P458,0,AN$13),15-13*ORÇAMENTO!$AF$7)/$H458*OFFSET(ORÇAMENTO!$X$15,ROW(AN458)-ROW(AN$15),0),0)</f>
        <v>0</v>
      </c>
      <c r="AO458" s="632">
        <f ca="1">IF(AND($D458="Serviço",AO$12&lt;&gt;0,$H458&gt;0,OR(AUTOEVENTO&lt;&gt;"manual",$M458&lt;&gt;1)),ROUND(OFFSET($P458,0,AO$13),15-13*ORÇAMENTO!$AF$7)/$H458*OFFSET(ORÇAMENTO!$X$15,ROW(AO458)-ROW(AO$15),0),0)</f>
        <v>0</v>
      </c>
      <c r="AP458" s="632">
        <f ca="1">IF(AND($D458="Serviço",AP$12&lt;&gt;0,$H458&gt;0,OR(AUTOEVENTO&lt;&gt;"manual",$M458&lt;&gt;1)),ROUND(OFFSET($P458,0,AP$13),15-13*ORÇAMENTO!$AF$7)/$H458*OFFSET(ORÇAMENTO!$X$15,ROW(AP458)-ROW(AP$15),0),0)</f>
        <v>0</v>
      </c>
      <c r="AQ458" s="632">
        <f ca="1">IF(AND($D458="Serviço",AQ$12&lt;&gt;0,$H458&gt;0,OR(AUTOEVENTO&lt;&gt;"manual",$M458&lt;&gt;1)),ROUND(OFFSET($P458,0,AQ$13),15-13*ORÇAMENTO!$AF$7)/$H458*OFFSET(ORÇAMENTO!$X$15,ROW(AQ458)-ROW(AQ$15),0),0)</f>
        <v>0</v>
      </c>
      <c r="AR458" s="632">
        <f ca="1">IF(AND($D458="Serviço",AR$12&lt;&gt;0,$H458&gt;0,OR(AUTOEVENTO&lt;&gt;"manual",$M458&lt;&gt;1)),ROUND(OFFSET($P458,0,AR$13),15-13*ORÇAMENTO!$AF$7)/$H458*OFFSET(ORÇAMENTO!$X$15,ROW(AR458)-ROW(AR$15),0),0)</f>
        <v>0</v>
      </c>
      <c r="AS458" s="633">
        <f ca="1">IF(AND($D458="Serviço",AS$12&lt;&gt;0,$H458&gt;0,OR(AUTOEVENTO&lt;&gt;"manual",$M458&lt;&gt;1)),ROUND(OFFSET($P458,0,AS$13),15-13*ORÇAMENTO!$AF$7)/$H458*OFFSET(ORÇAMENTO!$X$15,ROW(AS458)-ROW(AS$15),0),0)</f>
        <v>0</v>
      </c>
      <c r="AT458" s="632">
        <f ca="1">IF(AND($D458="Serviço",AT$12&lt;&gt;0,$H458&gt;0,OR(AUTOEVENTO&lt;&gt;"manual",$M458&lt;&gt;1)),ROUND(OFFSET($P458,0,AT$13),15-13*ORÇAMENTO!$AF$7)/$H458*OFFSET(ORÇAMENTO!$X$15,ROW(AT458)-ROW(AT$15),0),0)</f>
        <v>0</v>
      </c>
      <c r="AU458" s="632">
        <f ca="1">IF(AND($D458="Serviço",AU$12&lt;&gt;0,$H458&gt;0,OR(AUTOEVENTO&lt;&gt;"manual",$M458&lt;&gt;1)),ROUND(OFFSET($P458,0,AU$13),15-13*ORÇAMENTO!$AF$7)/$H458*OFFSET(ORÇAMENTO!$X$15,ROW(AU458)-ROW(AU$15),0),0)</f>
        <v>0</v>
      </c>
      <c r="AV458" s="632">
        <f ca="1">IF(AND($D458="Serviço",AV$12&lt;&gt;0,$H458&gt;0,OR(AUTOEVENTO&lt;&gt;"manual",$M458&lt;&gt;1)),ROUND(OFFSET($P458,0,AV$13),15-13*ORÇAMENTO!$AF$7)/$H458*OFFSET(ORÇAMENTO!$X$15,ROW(AV458)-ROW(AV$15),0),0)</f>
        <v>0</v>
      </c>
      <c r="AW458" s="632">
        <f ca="1">IF(AND($D458="Serviço",AW$12&lt;&gt;0,$H458&gt;0,OR(AUTOEVENTO&lt;&gt;"manual",$M458&lt;&gt;1)),ROUND(OFFSET($P458,0,AW$13),15-13*ORÇAMENTO!$AF$7)/$H458*OFFSET(ORÇAMENTO!$X$15,ROW(AW458)-ROW(AW$15),0),0)</f>
        <v>0</v>
      </c>
      <c r="AX458" s="632">
        <f ca="1">IF(AND($D458="Serviço",AX$12&lt;&gt;0,$H458&gt;0,OR(AUTOEVENTO&lt;&gt;"manual",$M458&lt;&gt;1)),ROUND(OFFSET($P458,0,AX$13),15-13*ORÇAMENTO!$AF$7)/$H458*OFFSET(ORÇAMENTO!$X$15,ROW(AX458)-ROW(AX$15),0),0)</f>
        <v>0</v>
      </c>
      <c r="AY458" s="632">
        <f ca="1">IF(AND($D458="Serviço",AY$12&lt;&gt;0,$H458&gt;0,OR(AUTOEVENTO&lt;&gt;"manual",$M458&lt;&gt;1)),ROUND(OFFSET($P458,0,AY$13),15-13*ORÇAMENTO!$AF$7)/$H458*OFFSET(ORÇAMENTO!$X$15,ROW(AY458)-ROW(AY$15),0),0)</f>
        <v>0</v>
      </c>
      <c r="AZ458" s="632">
        <f ca="1">IF(AND($D458="Serviço",AZ$12&lt;&gt;0,$H458&gt;0,OR(AUTOEVENTO&lt;&gt;"manual",$M458&lt;&gt;1)),ROUND(OFFSET($P458,0,AZ$13),15-13*ORÇAMENTO!$AF$7)/$H458*OFFSET(ORÇAMENTO!$X$15,ROW(AZ458)-ROW(AZ$15),0),0)</f>
        <v>0</v>
      </c>
      <c r="BA458" s="633">
        <f ca="1">IF(AND($D458="Serviço",BA$12&lt;&gt;0,$H458&gt;0,OR(AUTOEVENTO&lt;&gt;"manual",$M458&lt;&gt;1)),ROUND(OFFSET($P458,0,BA$13),15-13*ORÇAMENTO!$AF$7)/$H458*OFFSET(ORÇAMENTO!$X$15,ROW(BA458)-ROW(BA$15),0),0)</f>
        <v>0</v>
      </c>
      <c r="BC458" s="215">
        <f ca="1">IF($D458&lt;&gt;"Serviço",0,IF(AND(AUTOEVENTO="Manual",$M458=1),0,IF(OFFSET(CRONOPLE!$F$14,$M458,BC$13)="",10^12,OFFSET(CRONOPLE!$F$14,$M458,BC$13))))</f>
        <v>1000000000000</v>
      </c>
      <c r="BD458" s="215">
        <f ca="1">IF($D458&lt;&gt;"Serviço",0,IF(AND(AUTOEVENTO="Manual",$M458=1),0,IF(OFFSET(CRONOPLE!$F$14,$M458,BD$13)="",10^12,OFFSET(CRONOPLE!$F$14,$M458,BD$13))))</f>
        <v>1000000000000</v>
      </c>
      <c r="BE458" s="215">
        <f ca="1">IF($D458&lt;&gt;"Serviço",0,IF(AND(AUTOEVENTO="Manual",$M458=1),0,IF(OFFSET(CRONOPLE!$F$14,$M458,BE$13)="",10^12,OFFSET(CRONOPLE!$F$14,$M458,BE$13))))</f>
        <v>1000000000000</v>
      </c>
      <c r="BF458" s="215">
        <f ca="1">IF($D458&lt;&gt;"Serviço",0,IF(AND(AUTOEVENTO="Manual",$M458=1),0,IF(OFFSET(CRONOPLE!$F$14,$M458,BF$13)="",10^12,OFFSET(CRONOPLE!$F$14,$M458,BF$13))))</f>
        <v>1000000000000</v>
      </c>
      <c r="BG458" s="215">
        <f ca="1">IF($D458&lt;&gt;"Serviço",0,IF(AND(AUTOEVENTO="Manual",$M458=1),0,IF(OFFSET(CRONOPLE!$F$14,$M458,BG$13)="",10^12,OFFSET(CRONOPLE!$F$14,$M458,BG$13))))</f>
        <v>1000000000000</v>
      </c>
      <c r="BH458" s="215">
        <f ca="1">IF($D458&lt;&gt;"Serviço",0,IF(AND(AUTOEVENTO="Manual",$M458=1),0,IF(OFFSET(CRONOPLE!$F$14,$M458,BH$13)="",10^12,OFFSET(CRONOPLE!$F$14,$M458,BH$13))))</f>
        <v>1000000000000</v>
      </c>
      <c r="BI458" s="215">
        <f ca="1">IF($D458&lt;&gt;"Serviço",0,IF(AND(AUTOEVENTO="Manual",$M458=1),0,IF(OFFSET(CRONOPLE!$F$14,$M458,BI$13)="",10^12,OFFSET(CRONOPLE!$F$14,$M458,BI$13))))</f>
        <v>1000000000000</v>
      </c>
      <c r="BJ458" s="215">
        <f ca="1">IF($D458&lt;&gt;"Serviço",0,IF(AND(AUTOEVENTO="Manual",$M458=1),0,IF(OFFSET(CRONOPLE!$F$14,$M458,BJ$13)="",10^12,OFFSET(CRONOPLE!$F$14,$M458,BJ$13))))</f>
        <v>1000000000000</v>
      </c>
      <c r="BK458" s="215">
        <f ca="1">IF($D458&lt;&gt;"Serviço",0,IF(AND(AUTOEVENTO="Manual",$M458=1),0,IF(OFFSET(CRONOPLE!$F$14,$M458,BK$13)="",10^12,OFFSET(CRONOPLE!$F$14,$M458,BK$13))))</f>
        <v>1000000000000</v>
      </c>
      <c r="BL458" s="215">
        <f ca="1">IF($D458&lt;&gt;"Serviço",0,IF(AND(AUTOEVENTO="Manual",$M458=1),0,IF(OFFSET(CRONOPLE!$F$14,$M458,BL$13)="",10^12,OFFSET(CRONOPLE!$F$14,$M458,BL$13))))</f>
        <v>1000000000000</v>
      </c>
      <c r="BM458" s="215">
        <f ca="1">IF($D458&lt;&gt;"Serviço",0,IF(AND(AUTOEVENTO="Manual",$M458=1),0,IF(OFFSET(CRONOPLE!$F$14,$M458,BM$13)="",10^12,OFFSET(CRONOPLE!$F$14,$M458,BM$13))))</f>
        <v>1000000000000</v>
      </c>
      <c r="BN458" s="215">
        <f ca="1">IF($D458&lt;&gt;"Serviço",0,IF(AND(AUTOEVENTO="Manual",$M458=1),0,IF(OFFSET(CRONOPLE!$F$14,$M458,BN$13)="",10^12,OFFSET(CRONOPLE!$F$14,$M458,BN$13))))</f>
        <v>1000000000000</v>
      </c>
      <c r="BO458" s="215">
        <f ca="1">IF($D458&lt;&gt;"Serviço",0,IF(AND(AUTOEVENTO="Manual",$M458=1),0,IF(OFFSET(CRONOPLE!$F$14,$M458,BO$13)="",10^12,OFFSET(CRONOPLE!$F$14,$M458,BO$13))))</f>
        <v>1000000000000</v>
      </c>
      <c r="BP458" s="215">
        <f ca="1">IF($D458&lt;&gt;"Serviço",0,IF(AND(AUTOEVENTO="Manual",$M458=1),0,IF(OFFSET(CRONOPLE!$F$14,$M458,BP$13)="",10^12,OFFSET(CRONOPLE!$F$14,$M458,BP$13))))</f>
        <v>1000000000000</v>
      </c>
      <c r="BQ458" s="215">
        <f ca="1">IF($D458&lt;&gt;"Serviço",0,IF(AND(AUTOEVENTO="Manual",$M458=1),0,IF(OFFSET(CRONOPLE!$F$14,$M458,BQ$13)="",10^12,OFFSET(CRONOPLE!$F$14,$M458,BQ$13))))</f>
        <v>1000000000000</v>
      </c>
      <c r="BR458" s="215">
        <f ca="1">IF($D458&lt;&gt;"Serviço",0,IF(AND(AUTOEVENTO="Manual",$M458=1),0,IF(OFFSET(CRONOPLE!$F$14,$M458,BR$13)="",10^12,OFFSET(CRONOPLE!$F$14,$M458,BR$13))))</f>
        <v>1000000000000</v>
      </c>
      <c r="BS458" s="215">
        <f ca="1">IF($D458&lt;&gt;"Serviço",0,IF(AND(AUTOEVENTO="Manual",$M458=1),0,IF(OFFSET(CRONOPLE!$F$14,$M458,BS$13)="",10^12,OFFSET(CRONOPLE!$F$14,$M458,BS$13))))</f>
        <v>1000000000000</v>
      </c>
      <c r="BT458" s="215">
        <f ca="1">IF($D458&lt;&gt;"Serviço",0,IF(AND(AUTOEVENTO="Manual",$M458=1),0,IF(OFFSET(CRONOPLE!$F$14,$M458,BT$13)="",10^12,OFFSET(CRONOPLE!$F$14,$M458,BT$13))))</f>
        <v>1000000000000</v>
      </c>
      <c r="BV458" s="216">
        <f ca="1">IF($D458&lt;&gt;"Serviço",0,IF(OR(AND(AUTOEVENTO="Manual",$M458=1),$M458&gt;(ROW(PLE.lastrow)-ROW(PLE.firstrow))),0,IF(OFFSET(PLE!$G$14,$M458,BV$13)="",10^12,OFFSET(PLE!$G$14,$M458,BV$13))))</f>
        <v>1000000000000</v>
      </c>
      <c r="BW458" s="216">
        <f ca="1">IF($D458&lt;&gt;"Serviço",0,IF(OR(AND(AUTOEVENTO="Manual",$M458=1),$M458&gt;(ROW(PLE.lastrow)-ROW(PLE.firstrow))),0,IF(OFFSET(PLE!$G$14,$M458,BW$13)="",10^12,OFFSET(PLE!$G$14,$M458,BW$13))))</f>
        <v>1000000000000</v>
      </c>
      <c r="BX458" s="216">
        <f ca="1">IF($D458&lt;&gt;"Serviço",0,IF(OR(AND(AUTOEVENTO="Manual",$M458=1),$M458&gt;(ROW(PLE.lastrow)-ROW(PLE.firstrow))),0,IF(OFFSET(PLE!$G$14,$M458,BX$13)="",10^12,OFFSET(PLE!$G$14,$M458,BX$13))))</f>
        <v>1000000000000</v>
      </c>
      <c r="BY458" s="216">
        <f ca="1">IF($D458&lt;&gt;"Serviço",0,IF(OR(AND(AUTOEVENTO="Manual",$M458=1),$M458&gt;(ROW(PLE.lastrow)-ROW(PLE.firstrow))),0,IF(OFFSET(PLE!$G$14,$M458,BY$13)="",10^12,OFFSET(PLE!$G$14,$M458,BY$13))))</f>
        <v>1000000000000</v>
      </c>
      <c r="BZ458" s="216">
        <f ca="1">IF($D458&lt;&gt;"Serviço",0,IF(OR(AND(AUTOEVENTO="Manual",$M458=1),$M458&gt;(ROW(PLE.lastrow)-ROW(PLE.firstrow))),0,IF(OFFSET(PLE!$G$14,$M458,BZ$13)="",10^12,OFFSET(PLE!$G$14,$M458,BZ$13))))</f>
        <v>1000000000000</v>
      </c>
      <c r="CA458" s="216">
        <f ca="1">IF($D458&lt;&gt;"Serviço",0,IF(OR(AND(AUTOEVENTO="Manual",$M458=1),$M458&gt;(ROW(PLE.lastrow)-ROW(PLE.firstrow))),0,IF(OFFSET(PLE!$G$14,$M458,CA$13)="",10^12,OFFSET(PLE!$G$14,$M458,CA$13))))</f>
        <v>1000000000000</v>
      </c>
      <c r="CB458" s="216">
        <f ca="1">IF($D458&lt;&gt;"Serviço",0,IF(OR(AND(AUTOEVENTO="Manual",$M458=1),$M458&gt;(ROW(PLE.lastrow)-ROW(PLE.firstrow))),0,IF(OFFSET(PLE!$G$14,$M458,CB$13)="",10^12,OFFSET(PLE!$G$14,$M458,CB$13))))</f>
        <v>1000000000000</v>
      </c>
      <c r="CC458" s="216">
        <f ca="1">IF($D458&lt;&gt;"Serviço",0,IF(OR(AND(AUTOEVENTO="Manual",$M458=1),$M458&gt;(ROW(PLE.lastrow)-ROW(PLE.firstrow))),0,IF(OFFSET(PLE!$G$14,$M458,CC$13)="",10^12,OFFSET(PLE!$G$14,$M458,CC$13))))</f>
        <v>1000000000000</v>
      </c>
      <c r="CD458" s="216">
        <f ca="1">IF($D458&lt;&gt;"Serviço",0,IF(OR(AND(AUTOEVENTO="Manual",$M458=1),$M458&gt;(ROW(PLE.lastrow)-ROW(PLE.firstrow))),0,IF(OFFSET(PLE!$G$14,$M458,CD$13)="",10^12,OFFSET(PLE!$G$14,$M458,CD$13))))</f>
        <v>1000000000000</v>
      </c>
      <c r="CE458" s="216">
        <f ca="1">IF($D458&lt;&gt;"Serviço",0,IF(OR(AND(AUTOEVENTO="Manual",$M458=1),$M458&gt;(ROW(PLE.lastrow)-ROW(PLE.firstrow))),0,IF(OFFSET(PLE!$G$14,$M458,CE$13)="",10^12,OFFSET(PLE!$G$14,$M458,CE$13))))</f>
        <v>1000000000000</v>
      </c>
      <c r="CF458" s="216">
        <f ca="1">IF($D458&lt;&gt;"Serviço",0,IF(OR(AND(AUTOEVENTO="Manual",$M458=1),$M458&gt;(ROW(PLE.lastrow)-ROW(PLE.firstrow))),0,IF(OFFSET(PLE!$G$14,$M458,CF$13)="",10^12,OFFSET(PLE!$G$14,$M458,CF$13))))</f>
        <v>1000000000000</v>
      </c>
      <c r="CG458" s="216">
        <f ca="1">IF($D458&lt;&gt;"Serviço",0,IF(OR(AND(AUTOEVENTO="Manual",$M458=1),$M458&gt;(ROW(PLE.lastrow)-ROW(PLE.firstrow))),0,IF(OFFSET(PLE!$G$14,$M458,CG$13)="",10^12,OFFSET(PLE!$G$14,$M458,CG$13))))</f>
        <v>1000000000000</v>
      </c>
      <c r="CH458" s="216">
        <f ca="1">IF($D458&lt;&gt;"Serviço",0,IF(OR(AND(AUTOEVENTO="Manual",$M458=1),$M458&gt;(ROW(PLE.lastrow)-ROW(PLE.firstrow))),0,IF(OFFSET(PLE!$G$14,$M458,CH$13)="",10^12,OFFSET(PLE!$G$14,$M458,CH$13))))</f>
        <v>1000000000000</v>
      </c>
      <c r="CI458" s="216">
        <f ca="1">IF($D458&lt;&gt;"Serviço",0,IF(OR(AND(AUTOEVENTO="Manual",$M458=1),$M458&gt;(ROW(PLE.lastrow)-ROW(PLE.firstrow))),0,IF(OFFSET(PLE!$G$14,$M458,CI$13)="",10^12,OFFSET(PLE!$G$14,$M458,CI$13))))</f>
        <v>1000000000000</v>
      </c>
      <c r="CJ458" s="216">
        <f ca="1">IF($D458&lt;&gt;"Serviço",0,IF(OR(AND(AUTOEVENTO="Manual",$M458=1),$M458&gt;(ROW(PLE.lastrow)-ROW(PLE.firstrow))),0,IF(OFFSET(PLE!$G$14,$M458,CJ$13)="",10^12,OFFSET(PLE!$G$14,$M458,CJ$13))))</f>
        <v>1000000000000</v>
      </c>
      <c r="CK458" s="216">
        <f ca="1">IF($D458&lt;&gt;"Serviço",0,IF(OR(AND(AUTOEVENTO="Manual",$M458=1),$M458&gt;(ROW(PLE.lastrow)-ROW(PLE.firstrow))),0,IF(OFFSET(PLE!$G$14,$M458,CK$13)="",10^12,OFFSET(PLE!$G$14,$M458,CK$13))))</f>
        <v>1000000000000</v>
      </c>
      <c r="CL458" s="216">
        <f ca="1">IF($D458&lt;&gt;"Serviço",0,IF(OR(AND(AUTOEVENTO="Manual",$M458=1),$M458&gt;(ROW(PLE.lastrow)-ROW(PLE.firstrow))),0,IF(OFFSET(PLE!$G$14,$M458,CL$13)="",10^12,OFFSET(PLE!$G$14,$M458,CL$13))))</f>
        <v>1000000000000</v>
      </c>
      <c r="CM458" s="216">
        <f ca="1">IF($D458&lt;&gt;"Serviço",0,IF(OR(AND(AUTOEVENTO="Manual",$M458=1),$M458&gt;(ROW(PLE.lastrow)-ROW(PLE.firstrow))),0,IF(OFFSET(PLE!$G$14,$M458,CM$13)="",10^12,OFFSET(PLE!$G$14,$M458,CM$13))))</f>
        <v>1000000000000</v>
      </c>
    </row>
    <row r="459" spans="1:91" ht="13.2" x14ac:dyDescent="0.25">
      <c r="A459" s="9">
        <f t="shared" ca="1" si="15"/>
        <v>0</v>
      </c>
      <c r="B459" s="9" t="str">
        <f ca="1">OFFSET(ORÇAMENTO!C$15,ROW(B459)-ROW(B$15),0)</f>
        <v>S</v>
      </c>
      <c r="C459" s="9" t="str">
        <f ca="1">OFFSET(ORÇAMENTO!L$15,ROW(C459)-ROW(C$15),0)</f>
        <v/>
      </c>
      <c r="D459" s="145" t="str">
        <f ca="1">OFFSET(ORÇAMENTO!N$15,ROW(D459)-ROW(D$15),0)</f>
        <v>Serviço</v>
      </c>
      <c r="E459" s="205" t="str">
        <f ca="1">OFFSET(ORÇAMENTO!O$15,ROW(E459)-ROW(E$15),0)</f>
        <v>-</v>
      </c>
      <c r="F459" s="206" t="str">
        <f ca="1">OFFSET(ORÇAMENTO!R$15,ROW(F459)-ROW(F$15),0)</f>
        <v>(abra o arquivo 'Referência 05-2024.xls)</v>
      </c>
      <c r="G459" s="207" t="str">
        <f ca="1">IF($D459&lt;&gt;"Serviço","",OFFSET(ORÇAMENTO!S$15,ROW(G459)-ROW(G$15),0))</f>
        <v>-</v>
      </c>
      <c r="H459" s="151">
        <f ca="1">IF($D459&lt;&gt;"Serviço",0,IF(ACOMPANHAMENTO="BM",ROUND(OFFSET(ORÇAMENTO!AJ$15,ROW(H459)-ROW(H$15),0),15-13*ORÇAMENTO!$AF$7),SUMPRODUCT(($Q$12:$AI$12&lt;&gt;"")*ROUND($Q459:$AI459,15-13*ORÇAMENTO!$AF$7))))</f>
        <v>2</v>
      </c>
      <c r="I459" s="650"/>
      <c r="K459" s="208"/>
      <c r="L459" s="209" t="s">
        <v>257</v>
      </c>
      <c r="M459" s="210">
        <f ca="1">IF($D459&lt;&gt;"Serviço","",IF(AUTOEVENTO="manual",$A459,IF(ISERROR(MATCH($A459,$A$15:OFFSET($A459,-1,0),0)),MAX($M$15:OFFSET(M459,-1,0))+1,INDEX($M$15:OFFSET(M459,-1,0),MATCH($A459,$A$15:OFFSET($A459,-1,0),0)))))</f>
        <v>0</v>
      </c>
      <c r="N459" s="211" t="str">
        <f ca="1">IF($D459&lt;&gt;"Serviço","",IF(AUTOEVENTO="Manual",IF($A459=0,"&lt;-- defina o número do agrupador",OFFSET(EVENTOS!$D$14,$A459,0)),OFFSET($F$15,$A459,0)))</f>
        <v>&lt;-- defina o número do agrupador</v>
      </c>
      <c r="O459" s="212"/>
      <c r="Q459" s="212"/>
      <c r="R459" s="213"/>
      <c r="S459" s="213"/>
      <c r="T459" s="213"/>
      <c r="U459" s="213"/>
      <c r="V459" s="213"/>
      <c r="W459" s="213"/>
      <c r="X459" s="213"/>
      <c r="Y459" s="213"/>
      <c r="Z459" s="214"/>
      <c r="AA459" s="213"/>
      <c r="AB459" s="213"/>
      <c r="AC459" s="213"/>
      <c r="AD459" s="213"/>
      <c r="AE459" s="213"/>
      <c r="AF459" s="213"/>
      <c r="AG459" s="213"/>
      <c r="AH459" s="214"/>
      <c r="AJ459" s="631">
        <f ca="1">IF(AND($D459="Serviço",AJ$12&lt;&gt;0,$H459&gt;0,OR(AUTOEVENTO&lt;&gt;"manual",$M459&lt;&gt;1)),ROUND(OFFSET($P459,0,AJ$13),15-13*ORÇAMENTO!$AF$7)/$H459*OFFSET(ORÇAMENTO!$X$15,ROW(AJ459)-ROW(AJ$15),0),0)</f>
        <v>0</v>
      </c>
      <c r="AK459" s="632">
        <f ca="1">IF(AND($D459="Serviço",AK$12&lt;&gt;0,$H459&gt;0,OR(AUTOEVENTO&lt;&gt;"manual",$M459&lt;&gt;1)),ROUND(OFFSET($P459,0,AK$13),15-13*ORÇAMENTO!$AF$7)/$H459*OFFSET(ORÇAMENTO!$X$15,ROW(AK459)-ROW(AK$15),0),0)</f>
        <v>0</v>
      </c>
      <c r="AL459" s="632">
        <f ca="1">IF(AND($D459="Serviço",AL$12&lt;&gt;0,$H459&gt;0,OR(AUTOEVENTO&lt;&gt;"manual",$M459&lt;&gt;1)),ROUND(OFFSET($P459,0,AL$13),15-13*ORÇAMENTO!$AF$7)/$H459*OFFSET(ORÇAMENTO!$X$15,ROW(AL459)-ROW(AL$15),0),0)</f>
        <v>0</v>
      </c>
      <c r="AM459" s="632">
        <f ca="1">IF(AND($D459="Serviço",AM$12&lt;&gt;0,$H459&gt;0,OR(AUTOEVENTO&lt;&gt;"manual",$M459&lt;&gt;1)),ROUND(OFFSET($P459,0,AM$13),15-13*ORÇAMENTO!$AF$7)/$H459*OFFSET(ORÇAMENTO!$X$15,ROW(AM459)-ROW(AM$15),0),0)</f>
        <v>0</v>
      </c>
      <c r="AN459" s="632">
        <f ca="1">IF(AND($D459="Serviço",AN$12&lt;&gt;0,$H459&gt;0,OR(AUTOEVENTO&lt;&gt;"manual",$M459&lt;&gt;1)),ROUND(OFFSET($P459,0,AN$13),15-13*ORÇAMENTO!$AF$7)/$H459*OFFSET(ORÇAMENTO!$X$15,ROW(AN459)-ROW(AN$15),0),0)</f>
        <v>0</v>
      </c>
      <c r="AO459" s="632">
        <f ca="1">IF(AND($D459="Serviço",AO$12&lt;&gt;0,$H459&gt;0,OR(AUTOEVENTO&lt;&gt;"manual",$M459&lt;&gt;1)),ROUND(OFFSET($P459,0,AO$13),15-13*ORÇAMENTO!$AF$7)/$H459*OFFSET(ORÇAMENTO!$X$15,ROW(AO459)-ROW(AO$15),0),0)</f>
        <v>0</v>
      </c>
      <c r="AP459" s="632">
        <f ca="1">IF(AND($D459="Serviço",AP$12&lt;&gt;0,$H459&gt;0,OR(AUTOEVENTO&lt;&gt;"manual",$M459&lt;&gt;1)),ROUND(OFFSET($P459,0,AP$13),15-13*ORÇAMENTO!$AF$7)/$H459*OFFSET(ORÇAMENTO!$X$15,ROW(AP459)-ROW(AP$15),0),0)</f>
        <v>0</v>
      </c>
      <c r="AQ459" s="632">
        <f ca="1">IF(AND($D459="Serviço",AQ$12&lt;&gt;0,$H459&gt;0,OR(AUTOEVENTO&lt;&gt;"manual",$M459&lt;&gt;1)),ROUND(OFFSET($P459,0,AQ$13),15-13*ORÇAMENTO!$AF$7)/$H459*OFFSET(ORÇAMENTO!$X$15,ROW(AQ459)-ROW(AQ$15),0),0)</f>
        <v>0</v>
      </c>
      <c r="AR459" s="632">
        <f ca="1">IF(AND($D459="Serviço",AR$12&lt;&gt;0,$H459&gt;0,OR(AUTOEVENTO&lt;&gt;"manual",$M459&lt;&gt;1)),ROUND(OFFSET($P459,0,AR$13),15-13*ORÇAMENTO!$AF$7)/$H459*OFFSET(ORÇAMENTO!$X$15,ROW(AR459)-ROW(AR$15),0),0)</f>
        <v>0</v>
      </c>
      <c r="AS459" s="633">
        <f ca="1">IF(AND($D459="Serviço",AS$12&lt;&gt;0,$H459&gt;0,OR(AUTOEVENTO&lt;&gt;"manual",$M459&lt;&gt;1)),ROUND(OFFSET($P459,0,AS$13),15-13*ORÇAMENTO!$AF$7)/$H459*OFFSET(ORÇAMENTO!$X$15,ROW(AS459)-ROW(AS$15),0),0)</f>
        <v>0</v>
      </c>
      <c r="AT459" s="632">
        <f ca="1">IF(AND($D459="Serviço",AT$12&lt;&gt;0,$H459&gt;0,OR(AUTOEVENTO&lt;&gt;"manual",$M459&lt;&gt;1)),ROUND(OFFSET($P459,0,AT$13),15-13*ORÇAMENTO!$AF$7)/$H459*OFFSET(ORÇAMENTO!$X$15,ROW(AT459)-ROW(AT$15),0),0)</f>
        <v>0</v>
      </c>
      <c r="AU459" s="632">
        <f ca="1">IF(AND($D459="Serviço",AU$12&lt;&gt;0,$H459&gt;0,OR(AUTOEVENTO&lt;&gt;"manual",$M459&lt;&gt;1)),ROUND(OFFSET($P459,0,AU$13),15-13*ORÇAMENTO!$AF$7)/$H459*OFFSET(ORÇAMENTO!$X$15,ROW(AU459)-ROW(AU$15),0),0)</f>
        <v>0</v>
      </c>
      <c r="AV459" s="632">
        <f ca="1">IF(AND($D459="Serviço",AV$12&lt;&gt;0,$H459&gt;0,OR(AUTOEVENTO&lt;&gt;"manual",$M459&lt;&gt;1)),ROUND(OFFSET($P459,0,AV$13),15-13*ORÇAMENTO!$AF$7)/$H459*OFFSET(ORÇAMENTO!$X$15,ROW(AV459)-ROW(AV$15),0),0)</f>
        <v>0</v>
      </c>
      <c r="AW459" s="632">
        <f ca="1">IF(AND($D459="Serviço",AW$12&lt;&gt;0,$H459&gt;0,OR(AUTOEVENTO&lt;&gt;"manual",$M459&lt;&gt;1)),ROUND(OFFSET($P459,0,AW$13),15-13*ORÇAMENTO!$AF$7)/$H459*OFFSET(ORÇAMENTO!$X$15,ROW(AW459)-ROW(AW$15),0),0)</f>
        <v>0</v>
      </c>
      <c r="AX459" s="632">
        <f ca="1">IF(AND($D459="Serviço",AX$12&lt;&gt;0,$H459&gt;0,OR(AUTOEVENTO&lt;&gt;"manual",$M459&lt;&gt;1)),ROUND(OFFSET($P459,0,AX$13),15-13*ORÇAMENTO!$AF$7)/$H459*OFFSET(ORÇAMENTO!$X$15,ROW(AX459)-ROW(AX$15),0),0)</f>
        <v>0</v>
      </c>
      <c r="AY459" s="632">
        <f ca="1">IF(AND($D459="Serviço",AY$12&lt;&gt;0,$H459&gt;0,OR(AUTOEVENTO&lt;&gt;"manual",$M459&lt;&gt;1)),ROUND(OFFSET($P459,0,AY$13),15-13*ORÇAMENTO!$AF$7)/$H459*OFFSET(ORÇAMENTO!$X$15,ROW(AY459)-ROW(AY$15),0),0)</f>
        <v>0</v>
      </c>
      <c r="AZ459" s="632">
        <f ca="1">IF(AND($D459="Serviço",AZ$12&lt;&gt;0,$H459&gt;0,OR(AUTOEVENTO&lt;&gt;"manual",$M459&lt;&gt;1)),ROUND(OFFSET($P459,0,AZ$13),15-13*ORÇAMENTO!$AF$7)/$H459*OFFSET(ORÇAMENTO!$X$15,ROW(AZ459)-ROW(AZ$15),0),0)</f>
        <v>0</v>
      </c>
      <c r="BA459" s="633">
        <f ca="1">IF(AND($D459="Serviço",BA$12&lt;&gt;0,$H459&gt;0,OR(AUTOEVENTO&lt;&gt;"manual",$M459&lt;&gt;1)),ROUND(OFFSET($P459,0,BA$13),15-13*ORÇAMENTO!$AF$7)/$H459*OFFSET(ORÇAMENTO!$X$15,ROW(BA459)-ROW(BA$15),0),0)</f>
        <v>0</v>
      </c>
      <c r="BC459" s="215">
        <f ca="1">IF($D459&lt;&gt;"Serviço",0,IF(AND(AUTOEVENTO="Manual",$M459=1),0,IF(OFFSET(CRONOPLE!$F$14,$M459,BC$13)="",10^12,OFFSET(CRONOPLE!$F$14,$M459,BC$13))))</f>
        <v>1000000000000</v>
      </c>
      <c r="BD459" s="215">
        <f ca="1">IF($D459&lt;&gt;"Serviço",0,IF(AND(AUTOEVENTO="Manual",$M459=1),0,IF(OFFSET(CRONOPLE!$F$14,$M459,BD$13)="",10^12,OFFSET(CRONOPLE!$F$14,$M459,BD$13))))</f>
        <v>1000000000000</v>
      </c>
      <c r="BE459" s="215">
        <f ca="1">IF($D459&lt;&gt;"Serviço",0,IF(AND(AUTOEVENTO="Manual",$M459=1),0,IF(OFFSET(CRONOPLE!$F$14,$M459,BE$13)="",10^12,OFFSET(CRONOPLE!$F$14,$M459,BE$13))))</f>
        <v>1000000000000</v>
      </c>
      <c r="BF459" s="215">
        <f ca="1">IF($D459&lt;&gt;"Serviço",0,IF(AND(AUTOEVENTO="Manual",$M459=1),0,IF(OFFSET(CRONOPLE!$F$14,$M459,BF$13)="",10^12,OFFSET(CRONOPLE!$F$14,$M459,BF$13))))</f>
        <v>1000000000000</v>
      </c>
      <c r="BG459" s="215">
        <f ca="1">IF($D459&lt;&gt;"Serviço",0,IF(AND(AUTOEVENTO="Manual",$M459=1),0,IF(OFFSET(CRONOPLE!$F$14,$M459,BG$13)="",10^12,OFFSET(CRONOPLE!$F$14,$M459,BG$13))))</f>
        <v>1000000000000</v>
      </c>
      <c r="BH459" s="215">
        <f ca="1">IF($D459&lt;&gt;"Serviço",0,IF(AND(AUTOEVENTO="Manual",$M459=1),0,IF(OFFSET(CRONOPLE!$F$14,$M459,BH$13)="",10^12,OFFSET(CRONOPLE!$F$14,$M459,BH$13))))</f>
        <v>1000000000000</v>
      </c>
      <c r="BI459" s="215">
        <f ca="1">IF($D459&lt;&gt;"Serviço",0,IF(AND(AUTOEVENTO="Manual",$M459=1),0,IF(OFFSET(CRONOPLE!$F$14,$M459,BI$13)="",10^12,OFFSET(CRONOPLE!$F$14,$M459,BI$13))))</f>
        <v>1000000000000</v>
      </c>
      <c r="BJ459" s="215">
        <f ca="1">IF($D459&lt;&gt;"Serviço",0,IF(AND(AUTOEVENTO="Manual",$M459=1),0,IF(OFFSET(CRONOPLE!$F$14,$M459,BJ$13)="",10^12,OFFSET(CRONOPLE!$F$14,$M459,BJ$13))))</f>
        <v>1000000000000</v>
      </c>
      <c r="BK459" s="215">
        <f ca="1">IF($D459&lt;&gt;"Serviço",0,IF(AND(AUTOEVENTO="Manual",$M459=1),0,IF(OFFSET(CRONOPLE!$F$14,$M459,BK$13)="",10^12,OFFSET(CRONOPLE!$F$14,$M459,BK$13))))</f>
        <v>1000000000000</v>
      </c>
      <c r="BL459" s="215">
        <f ca="1">IF($D459&lt;&gt;"Serviço",0,IF(AND(AUTOEVENTO="Manual",$M459=1),0,IF(OFFSET(CRONOPLE!$F$14,$M459,BL$13)="",10^12,OFFSET(CRONOPLE!$F$14,$M459,BL$13))))</f>
        <v>1000000000000</v>
      </c>
      <c r="BM459" s="215">
        <f ca="1">IF($D459&lt;&gt;"Serviço",0,IF(AND(AUTOEVENTO="Manual",$M459=1),0,IF(OFFSET(CRONOPLE!$F$14,$M459,BM$13)="",10^12,OFFSET(CRONOPLE!$F$14,$M459,BM$13))))</f>
        <v>1000000000000</v>
      </c>
      <c r="BN459" s="215">
        <f ca="1">IF($D459&lt;&gt;"Serviço",0,IF(AND(AUTOEVENTO="Manual",$M459=1),0,IF(OFFSET(CRONOPLE!$F$14,$M459,BN$13)="",10^12,OFFSET(CRONOPLE!$F$14,$M459,BN$13))))</f>
        <v>1000000000000</v>
      </c>
      <c r="BO459" s="215">
        <f ca="1">IF($D459&lt;&gt;"Serviço",0,IF(AND(AUTOEVENTO="Manual",$M459=1),0,IF(OFFSET(CRONOPLE!$F$14,$M459,BO$13)="",10^12,OFFSET(CRONOPLE!$F$14,$M459,BO$13))))</f>
        <v>1000000000000</v>
      </c>
      <c r="BP459" s="215">
        <f ca="1">IF($D459&lt;&gt;"Serviço",0,IF(AND(AUTOEVENTO="Manual",$M459=1),0,IF(OFFSET(CRONOPLE!$F$14,$M459,BP$13)="",10^12,OFFSET(CRONOPLE!$F$14,$M459,BP$13))))</f>
        <v>1000000000000</v>
      </c>
      <c r="BQ459" s="215">
        <f ca="1">IF($D459&lt;&gt;"Serviço",0,IF(AND(AUTOEVENTO="Manual",$M459=1),0,IF(OFFSET(CRONOPLE!$F$14,$M459,BQ$13)="",10^12,OFFSET(CRONOPLE!$F$14,$M459,BQ$13))))</f>
        <v>1000000000000</v>
      </c>
      <c r="BR459" s="215">
        <f ca="1">IF($D459&lt;&gt;"Serviço",0,IF(AND(AUTOEVENTO="Manual",$M459=1),0,IF(OFFSET(CRONOPLE!$F$14,$M459,BR$13)="",10^12,OFFSET(CRONOPLE!$F$14,$M459,BR$13))))</f>
        <v>1000000000000</v>
      </c>
      <c r="BS459" s="215">
        <f ca="1">IF($D459&lt;&gt;"Serviço",0,IF(AND(AUTOEVENTO="Manual",$M459=1),0,IF(OFFSET(CRONOPLE!$F$14,$M459,BS$13)="",10^12,OFFSET(CRONOPLE!$F$14,$M459,BS$13))))</f>
        <v>1000000000000</v>
      </c>
      <c r="BT459" s="215">
        <f ca="1">IF($D459&lt;&gt;"Serviço",0,IF(AND(AUTOEVENTO="Manual",$M459=1),0,IF(OFFSET(CRONOPLE!$F$14,$M459,BT$13)="",10^12,OFFSET(CRONOPLE!$F$14,$M459,BT$13))))</f>
        <v>1000000000000</v>
      </c>
      <c r="BV459" s="216">
        <f ca="1">IF($D459&lt;&gt;"Serviço",0,IF(OR(AND(AUTOEVENTO="Manual",$M459=1),$M459&gt;(ROW(PLE.lastrow)-ROW(PLE.firstrow))),0,IF(OFFSET(PLE!$G$14,$M459,BV$13)="",10^12,OFFSET(PLE!$G$14,$M459,BV$13))))</f>
        <v>1000000000000</v>
      </c>
      <c r="BW459" s="216">
        <f ca="1">IF($D459&lt;&gt;"Serviço",0,IF(OR(AND(AUTOEVENTO="Manual",$M459=1),$M459&gt;(ROW(PLE.lastrow)-ROW(PLE.firstrow))),0,IF(OFFSET(PLE!$G$14,$M459,BW$13)="",10^12,OFFSET(PLE!$G$14,$M459,BW$13))))</f>
        <v>1000000000000</v>
      </c>
      <c r="BX459" s="216">
        <f ca="1">IF($D459&lt;&gt;"Serviço",0,IF(OR(AND(AUTOEVENTO="Manual",$M459=1),$M459&gt;(ROW(PLE.lastrow)-ROW(PLE.firstrow))),0,IF(OFFSET(PLE!$G$14,$M459,BX$13)="",10^12,OFFSET(PLE!$G$14,$M459,BX$13))))</f>
        <v>1000000000000</v>
      </c>
      <c r="BY459" s="216">
        <f ca="1">IF($D459&lt;&gt;"Serviço",0,IF(OR(AND(AUTOEVENTO="Manual",$M459=1),$M459&gt;(ROW(PLE.lastrow)-ROW(PLE.firstrow))),0,IF(OFFSET(PLE!$G$14,$M459,BY$13)="",10^12,OFFSET(PLE!$G$14,$M459,BY$13))))</f>
        <v>1000000000000</v>
      </c>
      <c r="BZ459" s="216">
        <f ca="1">IF($D459&lt;&gt;"Serviço",0,IF(OR(AND(AUTOEVENTO="Manual",$M459=1),$M459&gt;(ROW(PLE.lastrow)-ROW(PLE.firstrow))),0,IF(OFFSET(PLE!$G$14,$M459,BZ$13)="",10^12,OFFSET(PLE!$G$14,$M459,BZ$13))))</f>
        <v>1000000000000</v>
      </c>
      <c r="CA459" s="216">
        <f ca="1">IF($D459&lt;&gt;"Serviço",0,IF(OR(AND(AUTOEVENTO="Manual",$M459=1),$M459&gt;(ROW(PLE.lastrow)-ROW(PLE.firstrow))),0,IF(OFFSET(PLE!$G$14,$M459,CA$13)="",10^12,OFFSET(PLE!$G$14,$M459,CA$13))))</f>
        <v>1000000000000</v>
      </c>
      <c r="CB459" s="216">
        <f ca="1">IF($D459&lt;&gt;"Serviço",0,IF(OR(AND(AUTOEVENTO="Manual",$M459=1),$M459&gt;(ROW(PLE.lastrow)-ROW(PLE.firstrow))),0,IF(OFFSET(PLE!$G$14,$M459,CB$13)="",10^12,OFFSET(PLE!$G$14,$M459,CB$13))))</f>
        <v>1000000000000</v>
      </c>
      <c r="CC459" s="216">
        <f ca="1">IF($D459&lt;&gt;"Serviço",0,IF(OR(AND(AUTOEVENTO="Manual",$M459=1),$M459&gt;(ROW(PLE.lastrow)-ROW(PLE.firstrow))),0,IF(OFFSET(PLE!$G$14,$M459,CC$13)="",10^12,OFFSET(PLE!$G$14,$M459,CC$13))))</f>
        <v>1000000000000</v>
      </c>
      <c r="CD459" s="216">
        <f ca="1">IF($D459&lt;&gt;"Serviço",0,IF(OR(AND(AUTOEVENTO="Manual",$M459=1),$M459&gt;(ROW(PLE.lastrow)-ROW(PLE.firstrow))),0,IF(OFFSET(PLE!$G$14,$M459,CD$13)="",10^12,OFFSET(PLE!$G$14,$M459,CD$13))))</f>
        <v>1000000000000</v>
      </c>
      <c r="CE459" s="216">
        <f ca="1">IF($D459&lt;&gt;"Serviço",0,IF(OR(AND(AUTOEVENTO="Manual",$M459=1),$M459&gt;(ROW(PLE.lastrow)-ROW(PLE.firstrow))),0,IF(OFFSET(PLE!$G$14,$M459,CE$13)="",10^12,OFFSET(PLE!$G$14,$M459,CE$13))))</f>
        <v>1000000000000</v>
      </c>
      <c r="CF459" s="216">
        <f ca="1">IF($D459&lt;&gt;"Serviço",0,IF(OR(AND(AUTOEVENTO="Manual",$M459=1),$M459&gt;(ROW(PLE.lastrow)-ROW(PLE.firstrow))),0,IF(OFFSET(PLE!$G$14,$M459,CF$13)="",10^12,OFFSET(PLE!$G$14,$M459,CF$13))))</f>
        <v>1000000000000</v>
      </c>
      <c r="CG459" s="216">
        <f ca="1">IF($D459&lt;&gt;"Serviço",0,IF(OR(AND(AUTOEVENTO="Manual",$M459=1),$M459&gt;(ROW(PLE.lastrow)-ROW(PLE.firstrow))),0,IF(OFFSET(PLE!$G$14,$M459,CG$13)="",10^12,OFFSET(PLE!$G$14,$M459,CG$13))))</f>
        <v>1000000000000</v>
      </c>
      <c r="CH459" s="216">
        <f ca="1">IF($D459&lt;&gt;"Serviço",0,IF(OR(AND(AUTOEVENTO="Manual",$M459=1),$M459&gt;(ROW(PLE.lastrow)-ROW(PLE.firstrow))),0,IF(OFFSET(PLE!$G$14,$M459,CH$13)="",10^12,OFFSET(PLE!$G$14,$M459,CH$13))))</f>
        <v>1000000000000</v>
      </c>
      <c r="CI459" s="216">
        <f ca="1">IF($D459&lt;&gt;"Serviço",0,IF(OR(AND(AUTOEVENTO="Manual",$M459=1),$M459&gt;(ROW(PLE.lastrow)-ROW(PLE.firstrow))),0,IF(OFFSET(PLE!$G$14,$M459,CI$13)="",10^12,OFFSET(PLE!$G$14,$M459,CI$13))))</f>
        <v>1000000000000</v>
      </c>
      <c r="CJ459" s="216">
        <f ca="1">IF($D459&lt;&gt;"Serviço",0,IF(OR(AND(AUTOEVENTO="Manual",$M459=1),$M459&gt;(ROW(PLE.lastrow)-ROW(PLE.firstrow))),0,IF(OFFSET(PLE!$G$14,$M459,CJ$13)="",10^12,OFFSET(PLE!$G$14,$M459,CJ$13))))</f>
        <v>1000000000000</v>
      </c>
      <c r="CK459" s="216">
        <f ca="1">IF($D459&lt;&gt;"Serviço",0,IF(OR(AND(AUTOEVENTO="Manual",$M459=1),$M459&gt;(ROW(PLE.lastrow)-ROW(PLE.firstrow))),0,IF(OFFSET(PLE!$G$14,$M459,CK$13)="",10^12,OFFSET(PLE!$G$14,$M459,CK$13))))</f>
        <v>1000000000000</v>
      </c>
      <c r="CL459" s="216">
        <f ca="1">IF($D459&lt;&gt;"Serviço",0,IF(OR(AND(AUTOEVENTO="Manual",$M459=1),$M459&gt;(ROW(PLE.lastrow)-ROW(PLE.firstrow))),0,IF(OFFSET(PLE!$G$14,$M459,CL$13)="",10^12,OFFSET(PLE!$G$14,$M459,CL$13))))</f>
        <v>1000000000000</v>
      </c>
      <c r="CM459" s="216">
        <f ca="1">IF($D459&lt;&gt;"Serviço",0,IF(OR(AND(AUTOEVENTO="Manual",$M459=1),$M459&gt;(ROW(PLE.lastrow)-ROW(PLE.firstrow))),0,IF(OFFSET(PLE!$G$14,$M459,CM$13)="",10^12,OFFSET(PLE!$G$14,$M459,CM$13))))</f>
        <v>1000000000000</v>
      </c>
    </row>
    <row r="460" spans="1:91" ht="13.2" x14ac:dyDescent="0.25">
      <c r="A460" s="9">
        <f t="shared" ca="1" si="15"/>
        <v>0</v>
      </c>
      <c r="B460" s="9" t="str">
        <f ca="1">OFFSET(ORÇAMENTO!C$15,ROW(B460)-ROW(B$15),0)</f>
        <v>S</v>
      </c>
      <c r="C460" s="9" t="str">
        <f ca="1">OFFSET(ORÇAMENTO!L$15,ROW(C460)-ROW(C$15),0)</f>
        <v/>
      </c>
      <c r="D460" s="145" t="str">
        <f ca="1">OFFSET(ORÇAMENTO!N$15,ROW(D460)-ROW(D$15),0)</f>
        <v>Serviço</v>
      </c>
      <c r="E460" s="205" t="str">
        <f ca="1">OFFSET(ORÇAMENTO!O$15,ROW(E460)-ROW(E$15),0)</f>
        <v>-</v>
      </c>
      <c r="F460" s="206" t="str">
        <f ca="1">OFFSET(ORÇAMENTO!R$15,ROW(F460)-ROW(F$15),0)</f>
        <v>(abra o arquivo 'Referência 05-2024.xls)</v>
      </c>
      <c r="G460" s="207" t="str">
        <f ca="1">IF($D460&lt;&gt;"Serviço","",OFFSET(ORÇAMENTO!S$15,ROW(G460)-ROW(G$15),0))</f>
        <v>-</v>
      </c>
      <c r="H460" s="151">
        <f ca="1">IF($D460&lt;&gt;"Serviço",0,IF(ACOMPANHAMENTO="BM",ROUND(OFFSET(ORÇAMENTO!AJ$15,ROW(H460)-ROW(H$15),0),15-13*ORÇAMENTO!$AF$7),SUMPRODUCT(($Q$12:$AI$12&lt;&gt;"")*ROUND($Q460:$AI460,15-13*ORÇAMENTO!$AF$7))))</f>
        <v>11</v>
      </c>
      <c r="I460" s="650"/>
      <c r="K460" s="208"/>
      <c r="L460" s="209" t="s">
        <v>257</v>
      </c>
      <c r="M460" s="210">
        <f ca="1">IF($D460&lt;&gt;"Serviço","",IF(AUTOEVENTO="manual",$A460,IF(ISERROR(MATCH($A460,$A$15:OFFSET($A460,-1,0),0)),MAX($M$15:OFFSET(M460,-1,0))+1,INDEX($M$15:OFFSET(M460,-1,0),MATCH($A460,$A$15:OFFSET($A460,-1,0),0)))))</f>
        <v>0</v>
      </c>
      <c r="N460" s="211" t="str">
        <f ca="1">IF($D460&lt;&gt;"Serviço","",IF(AUTOEVENTO="Manual",IF($A460=0,"&lt;-- defina o número do agrupador",OFFSET(EVENTOS!$D$14,$A460,0)),OFFSET($F$15,$A460,0)))</f>
        <v>&lt;-- defina o número do agrupador</v>
      </c>
      <c r="O460" s="212"/>
      <c r="Q460" s="212"/>
      <c r="R460" s="213"/>
      <c r="S460" s="213"/>
      <c r="T460" s="213"/>
      <c r="U460" s="213"/>
      <c r="V460" s="213"/>
      <c r="W460" s="213"/>
      <c r="X460" s="213"/>
      <c r="Y460" s="213"/>
      <c r="Z460" s="214"/>
      <c r="AA460" s="213"/>
      <c r="AB460" s="213"/>
      <c r="AC460" s="213"/>
      <c r="AD460" s="213"/>
      <c r="AE460" s="213"/>
      <c r="AF460" s="213"/>
      <c r="AG460" s="213"/>
      <c r="AH460" s="214"/>
      <c r="AJ460" s="631">
        <f ca="1">IF(AND($D460="Serviço",AJ$12&lt;&gt;0,$H460&gt;0,OR(AUTOEVENTO&lt;&gt;"manual",$M460&lt;&gt;1)),ROUND(OFFSET($P460,0,AJ$13),15-13*ORÇAMENTO!$AF$7)/$H460*OFFSET(ORÇAMENTO!$X$15,ROW(AJ460)-ROW(AJ$15),0),0)</f>
        <v>0</v>
      </c>
      <c r="AK460" s="632">
        <f ca="1">IF(AND($D460="Serviço",AK$12&lt;&gt;0,$H460&gt;0,OR(AUTOEVENTO&lt;&gt;"manual",$M460&lt;&gt;1)),ROUND(OFFSET($P460,0,AK$13),15-13*ORÇAMENTO!$AF$7)/$H460*OFFSET(ORÇAMENTO!$X$15,ROW(AK460)-ROW(AK$15),0),0)</f>
        <v>0</v>
      </c>
      <c r="AL460" s="632">
        <f ca="1">IF(AND($D460="Serviço",AL$12&lt;&gt;0,$H460&gt;0,OR(AUTOEVENTO&lt;&gt;"manual",$M460&lt;&gt;1)),ROUND(OFFSET($P460,0,AL$13),15-13*ORÇAMENTO!$AF$7)/$H460*OFFSET(ORÇAMENTO!$X$15,ROW(AL460)-ROW(AL$15),0),0)</f>
        <v>0</v>
      </c>
      <c r="AM460" s="632">
        <f ca="1">IF(AND($D460="Serviço",AM$12&lt;&gt;0,$H460&gt;0,OR(AUTOEVENTO&lt;&gt;"manual",$M460&lt;&gt;1)),ROUND(OFFSET($P460,0,AM$13),15-13*ORÇAMENTO!$AF$7)/$H460*OFFSET(ORÇAMENTO!$X$15,ROW(AM460)-ROW(AM$15),0),0)</f>
        <v>0</v>
      </c>
      <c r="AN460" s="632">
        <f ca="1">IF(AND($D460="Serviço",AN$12&lt;&gt;0,$H460&gt;0,OR(AUTOEVENTO&lt;&gt;"manual",$M460&lt;&gt;1)),ROUND(OFFSET($P460,0,AN$13),15-13*ORÇAMENTO!$AF$7)/$H460*OFFSET(ORÇAMENTO!$X$15,ROW(AN460)-ROW(AN$15),0),0)</f>
        <v>0</v>
      </c>
      <c r="AO460" s="632">
        <f ca="1">IF(AND($D460="Serviço",AO$12&lt;&gt;0,$H460&gt;0,OR(AUTOEVENTO&lt;&gt;"manual",$M460&lt;&gt;1)),ROUND(OFFSET($P460,0,AO$13),15-13*ORÇAMENTO!$AF$7)/$H460*OFFSET(ORÇAMENTO!$X$15,ROW(AO460)-ROW(AO$15),0),0)</f>
        <v>0</v>
      </c>
      <c r="AP460" s="632">
        <f ca="1">IF(AND($D460="Serviço",AP$12&lt;&gt;0,$H460&gt;0,OR(AUTOEVENTO&lt;&gt;"manual",$M460&lt;&gt;1)),ROUND(OFFSET($P460,0,AP$13),15-13*ORÇAMENTO!$AF$7)/$H460*OFFSET(ORÇAMENTO!$X$15,ROW(AP460)-ROW(AP$15),0),0)</f>
        <v>0</v>
      </c>
      <c r="AQ460" s="632">
        <f ca="1">IF(AND($D460="Serviço",AQ$12&lt;&gt;0,$H460&gt;0,OR(AUTOEVENTO&lt;&gt;"manual",$M460&lt;&gt;1)),ROUND(OFFSET($P460,0,AQ$13),15-13*ORÇAMENTO!$AF$7)/$H460*OFFSET(ORÇAMENTO!$X$15,ROW(AQ460)-ROW(AQ$15),0),0)</f>
        <v>0</v>
      </c>
      <c r="AR460" s="632">
        <f ca="1">IF(AND($D460="Serviço",AR$12&lt;&gt;0,$H460&gt;0,OR(AUTOEVENTO&lt;&gt;"manual",$M460&lt;&gt;1)),ROUND(OFFSET($P460,0,AR$13),15-13*ORÇAMENTO!$AF$7)/$H460*OFFSET(ORÇAMENTO!$X$15,ROW(AR460)-ROW(AR$15),0),0)</f>
        <v>0</v>
      </c>
      <c r="AS460" s="633">
        <f ca="1">IF(AND($D460="Serviço",AS$12&lt;&gt;0,$H460&gt;0,OR(AUTOEVENTO&lt;&gt;"manual",$M460&lt;&gt;1)),ROUND(OFFSET($P460,0,AS$13),15-13*ORÇAMENTO!$AF$7)/$H460*OFFSET(ORÇAMENTO!$X$15,ROW(AS460)-ROW(AS$15),0),0)</f>
        <v>0</v>
      </c>
      <c r="AT460" s="632">
        <f ca="1">IF(AND($D460="Serviço",AT$12&lt;&gt;0,$H460&gt;0,OR(AUTOEVENTO&lt;&gt;"manual",$M460&lt;&gt;1)),ROUND(OFFSET($P460,0,AT$13),15-13*ORÇAMENTO!$AF$7)/$H460*OFFSET(ORÇAMENTO!$X$15,ROW(AT460)-ROW(AT$15),0),0)</f>
        <v>0</v>
      </c>
      <c r="AU460" s="632">
        <f ca="1">IF(AND($D460="Serviço",AU$12&lt;&gt;0,$H460&gt;0,OR(AUTOEVENTO&lt;&gt;"manual",$M460&lt;&gt;1)),ROUND(OFFSET($P460,0,AU$13),15-13*ORÇAMENTO!$AF$7)/$H460*OFFSET(ORÇAMENTO!$X$15,ROW(AU460)-ROW(AU$15),0),0)</f>
        <v>0</v>
      </c>
      <c r="AV460" s="632">
        <f ca="1">IF(AND($D460="Serviço",AV$12&lt;&gt;0,$H460&gt;0,OR(AUTOEVENTO&lt;&gt;"manual",$M460&lt;&gt;1)),ROUND(OFFSET($P460,0,AV$13),15-13*ORÇAMENTO!$AF$7)/$H460*OFFSET(ORÇAMENTO!$X$15,ROW(AV460)-ROW(AV$15),0),0)</f>
        <v>0</v>
      </c>
      <c r="AW460" s="632">
        <f ca="1">IF(AND($D460="Serviço",AW$12&lt;&gt;0,$H460&gt;0,OR(AUTOEVENTO&lt;&gt;"manual",$M460&lt;&gt;1)),ROUND(OFFSET($P460,0,AW$13),15-13*ORÇAMENTO!$AF$7)/$H460*OFFSET(ORÇAMENTO!$X$15,ROW(AW460)-ROW(AW$15),0),0)</f>
        <v>0</v>
      </c>
      <c r="AX460" s="632">
        <f ca="1">IF(AND($D460="Serviço",AX$12&lt;&gt;0,$H460&gt;0,OR(AUTOEVENTO&lt;&gt;"manual",$M460&lt;&gt;1)),ROUND(OFFSET($P460,0,AX$13),15-13*ORÇAMENTO!$AF$7)/$H460*OFFSET(ORÇAMENTO!$X$15,ROW(AX460)-ROW(AX$15),0),0)</f>
        <v>0</v>
      </c>
      <c r="AY460" s="632">
        <f ca="1">IF(AND($D460="Serviço",AY$12&lt;&gt;0,$H460&gt;0,OR(AUTOEVENTO&lt;&gt;"manual",$M460&lt;&gt;1)),ROUND(OFFSET($P460,0,AY$13),15-13*ORÇAMENTO!$AF$7)/$H460*OFFSET(ORÇAMENTO!$X$15,ROW(AY460)-ROW(AY$15),0),0)</f>
        <v>0</v>
      </c>
      <c r="AZ460" s="632">
        <f ca="1">IF(AND($D460="Serviço",AZ$12&lt;&gt;0,$H460&gt;0,OR(AUTOEVENTO&lt;&gt;"manual",$M460&lt;&gt;1)),ROUND(OFFSET($P460,0,AZ$13),15-13*ORÇAMENTO!$AF$7)/$H460*OFFSET(ORÇAMENTO!$X$15,ROW(AZ460)-ROW(AZ$15),0),0)</f>
        <v>0</v>
      </c>
      <c r="BA460" s="633">
        <f ca="1">IF(AND($D460="Serviço",BA$12&lt;&gt;0,$H460&gt;0,OR(AUTOEVENTO&lt;&gt;"manual",$M460&lt;&gt;1)),ROUND(OFFSET($P460,0,BA$13),15-13*ORÇAMENTO!$AF$7)/$H460*OFFSET(ORÇAMENTO!$X$15,ROW(BA460)-ROW(BA$15),0),0)</f>
        <v>0</v>
      </c>
      <c r="BC460" s="215">
        <f ca="1">IF($D460&lt;&gt;"Serviço",0,IF(AND(AUTOEVENTO="Manual",$M460=1),0,IF(OFFSET(CRONOPLE!$F$14,$M460,BC$13)="",10^12,OFFSET(CRONOPLE!$F$14,$M460,BC$13))))</f>
        <v>1000000000000</v>
      </c>
      <c r="BD460" s="215">
        <f ca="1">IF($D460&lt;&gt;"Serviço",0,IF(AND(AUTOEVENTO="Manual",$M460=1),0,IF(OFFSET(CRONOPLE!$F$14,$M460,BD$13)="",10^12,OFFSET(CRONOPLE!$F$14,$M460,BD$13))))</f>
        <v>1000000000000</v>
      </c>
      <c r="BE460" s="215">
        <f ca="1">IF($D460&lt;&gt;"Serviço",0,IF(AND(AUTOEVENTO="Manual",$M460=1),0,IF(OFFSET(CRONOPLE!$F$14,$M460,BE$13)="",10^12,OFFSET(CRONOPLE!$F$14,$M460,BE$13))))</f>
        <v>1000000000000</v>
      </c>
      <c r="BF460" s="215">
        <f ca="1">IF($D460&lt;&gt;"Serviço",0,IF(AND(AUTOEVENTO="Manual",$M460=1),0,IF(OFFSET(CRONOPLE!$F$14,$M460,BF$13)="",10^12,OFFSET(CRONOPLE!$F$14,$M460,BF$13))))</f>
        <v>1000000000000</v>
      </c>
      <c r="BG460" s="215">
        <f ca="1">IF($D460&lt;&gt;"Serviço",0,IF(AND(AUTOEVENTO="Manual",$M460=1),0,IF(OFFSET(CRONOPLE!$F$14,$M460,BG$13)="",10^12,OFFSET(CRONOPLE!$F$14,$M460,BG$13))))</f>
        <v>1000000000000</v>
      </c>
      <c r="BH460" s="215">
        <f ca="1">IF($D460&lt;&gt;"Serviço",0,IF(AND(AUTOEVENTO="Manual",$M460=1),0,IF(OFFSET(CRONOPLE!$F$14,$M460,BH$13)="",10^12,OFFSET(CRONOPLE!$F$14,$M460,BH$13))))</f>
        <v>1000000000000</v>
      </c>
      <c r="BI460" s="215">
        <f ca="1">IF($D460&lt;&gt;"Serviço",0,IF(AND(AUTOEVENTO="Manual",$M460=1),0,IF(OFFSET(CRONOPLE!$F$14,$M460,BI$13)="",10^12,OFFSET(CRONOPLE!$F$14,$M460,BI$13))))</f>
        <v>1000000000000</v>
      </c>
      <c r="BJ460" s="215">
        <f ca="1">IF($D460&lt;&gt;"Serviço",0,IF(AND(AUTOEVENTO="Manual",$M460=1),0,IF(OFFSET(CRONOPLE!$F$14,$M460,BJ$13)="",10^12,OFFSET(CRONOPLE!$F$14,$M460,BJ$13))))</f>
        <v>1000000000000</v>
      </c>
      <c r="BK460" s="215">
        <f ca="1">IF($D460&lt;&gt;"Serviço",0,IF(AND(AUTOEVENTO="Manual",$M460=1),0,IF(OFFSET(CRONOPLE!$F$14,$M460,BK$13)="",10^12,OFFSET(CRONOPLE!$F$14,$M460,BK$13))))</f>
        <v>1000000000000</v>
      </c>
      <c r="BL460" s="215">
        <f ca="1">IF($D460&lt;&gt;"Serviço",0,IF(AND(AUTOEVENTO="Manual",$M460=1),0,IF(OFFSET(CRONOPLE!$F$14,$M460,BL$13)="",10^12,OFFSET(CRONOPLE!$F$14,$M460,BL$13))))</f>
        <v>1000000000000</v>
      </c>
      <c r="BM460" s="215">
        <f ca="1">IF($D460&lt;&gt;"Serviço",0,IF(AND(AUTOEVENTO="Manual",$M460=1),0,IF(OFFSET(CRONOPLE!$F$14,$M460,BM$13)="",10^12,OFFSET(CRONOPLE!$F$14,$M460,BM$13))))</f>
        <v>1000000000000</v>
      </c>
      <c r="BN460" s="215">
        <f ca="1">IF($D460&lt;&gt;"Serviço",0,IF(AND(AUTOEVENTO="Manual",$M460=1),0,IF(OFFSET(CRONOPLE!$F$14,$M460,BN$13)="",10^12,OFFSET(CRONOPLE!$F$14,$M460,BN$13))))</f>
        <v>1000000000000</v>
      </c>
      <c r="BO460" s="215">
        <f ca="1">IF($D460&lt;&gt;"Serviço",0,IF(AND(AUTOEVENTO="Manual",$M460=1),0,IF(OFFSET(CRONOPLE!$F$14,$M460,BO$13)="",10^12,OFFSET(CRONOPLE!$F$14,$M460,BO$13))))</f>
        <v>1000000000000</v>
      </c>
      <c r="BP460" s="215">
        <f ca="1">IF($D460&lt;&gt;"Serviço",0,IF(AND(AUTOEVENTO="Manual",$M460=1),0,IF(OFFSET(CRONOPLE!$F$14,$M460,BP$13)="",10^12,OFFSET(CRONOPLE!$F$14,$M460,BP$13))))</f>
        <v>1000000000000</v>
      </c>
      <c r="BQ460" s="215">
        <f ca="1">IF($D460&lt;&gt;"Serviço",0,IF(AND(AUTOEVENTO="Manual",$M460=1),0,IF(OFFSET(CRONOPLE!$F$14,$M460,BQ$13)="",10^12,OFFSET(CRONOPLE!$F$14,$M460,BQ$13))))</f>
        <v>1000000000000</v>
      </c>
      <c r="BR460" s="215">
        <f ca="1">IF($D460&lt;&gt;"Serviço",0,IF(AND(AUTOEVENTO="Manual",$M460=1),0,IF(OFFSET(CRONOPLE!$F$14,$M460,BR$13)="",10^12,OFFSET(CRONOPLE!$F$14,$M460,BR$13))))</f>
        <v>1000000000000</v>
      </c>
      <c r="BS460" s="215">
        <f ca="1">IF($D460&lt;&gt;"Serviço",0,IF(AND(AUTOEVENTO="Manual",$M460=1),0,IF(OFFSET(CRONOPLE!$F$14,$M460,BS$13)="",10^12,OFFSET(CRONOPLE!$F$14,$M460,BS$13))))</f>
        <v>1000000000000</v>
      </c>
      <c r="BT460" s="215">
        <f ca="1">IF($D460&lt;&gt;"Serviço",0,IF(AND(AUTOEVENTO="Manual",$M460=1),0,IF(OFFSET(CRONOPLE!$F$14,$M460,BT$13)="",10^12,OFFSET(CRONOPLE!$F$14,$M460,BT$13))))</f>
        <v>1000000000000</v>
      </c>
      <c r="BV460" s="216">
        <f ca="1">IF($D460&lt;&gt;"Serviço",0,IF(OR(AND(AUTOEVENTO="Manual",$M460=1),$M460&gt;(ROW(PLE.lastrow)-ROW(PLE.firstrow))),0,IF(OFFSET(PLE!$G$14,$M460,BV$13)="",10^12,OFFSET(PLE!$G$14,$M460,BV$13))))</f>
        <v>1000000000000</v>
      </c>
      <c r="BW460" s="216">
        <f ca="1">IF($D460&lt;&gt;"Serviço",0,IF(OR(AND(AUTOEVENTO="Manual",$M460=1),$M460&gt;(ROW(PLE.lastrow)-ROW(PLE.firstrow))),0,IF(OFFSET(PLE!$G$14,$M460,BW$13)="",10^12,OFFSET(PLE!$G$14,$M460,BW$13))))</f>
        <v>1000000000000</v>
      </c>
      <c r="BX460" s="216">
        <f ca="1">IF($D460&lt;&gt;"Serviço",0,IF(OR(AND(AUTOEVENTO="Manual",$M460=1),$M460&gt;(ROW(PLE.lastrow)-ROW(PLE.firstrow))),0,IF(OFFSET(PLE!$G$14,$M460,BX$13)="",10^12,OFFSET(PLE!$G$14,$M460,BX$13))))</f>
        <v>1000000000000</v>
      </c>
      <c r="BY460" s="216">
        <f ca="1">IF($D460&lt;&gt;"Serviço",0,IF(OR(AND(AUTOEVENTO="Manual",$M460=1),$M460&gt;(ROW(PLE.lastrow)-ROW(PLE.firstrow))),0,IF(OFFSET(PLE!$G$14,$M460,BY$13)="",10^12,OFFSET(PLE!$G$14,$M460,BY$13))))</f>
        <v>1000000000000</v>
      </c>
      <c r="BZ460" s="216">
        <f ca="1">IF($D460&lt;&gt;"Serviço",0,IF(OR(AND(AUTOEVENTO="Manual",$M460=1),$M460&gt;(ROW(PLE.lastrow)-ROW(PLE.firstrow))),0,IF(OFFSET(PLE!$G$14,$M460,BZ$13)="",10^12,OFFSET(PLE!$G$14,$M460,BZ$13))))</f>
        <v>1000000000000</v>
      </c>
      <c r="CA460" s="216">
        <f ca="1">IF($D460&lt;&gt;"Serviço",0,IF(OR(AND(AUTOEVENTO="Manual",$M460=1),$M460&gt;(ROW(PLE.lastrow)-ROW(PLE.firstrow))),0,IF(OFFSET(PLE!$G$14,$M460,CA$13)="",10^12,OFFSET(PLE!$G$14,$M460,CA$13))))</f>
        <v>1000000000000</v>
      </c>
      <c r="CB460" s="216">
        <f ca="1">IF($D460&lt;&gt;"Serviço",0,IF(OR(AND(AUTOEVENTO="Manual",$M460=1),$M460&gt;(ROW(PLE.lastrow)-ROW(PLE.firstrow))),0,IF(OFFSET(PLE!$G$14,$M460,CB$13)="",10^12,OFFSET(PLE!$G$14,$M460,CB$13))))</f>
        <v>1000000000000</v>
      </c>
      <c r="CC460" s="216">
        <f ca="1">IF($D460&lt;&gt;"Serviço",0,IF(OR(AND(AUTOEVENTO="Manual",$M460=1),$M460&gt;(ROW(PLE.lastrow)-ROW(PLE.firstrow))),0,IF(OFFSET(PLE!$G$14,$M460,CC$13)="",10^12,OFFSET(PLE!$G$14,$M460,CC$13))))</f>
        <v>1000000000000</v>
      </c>
      <c r="CD460" s="216">
        <f ca="1">IF($D460&lt;&gt;"Serviço",0,IF(OR(AND(AUTOEVENTO="Manual",$M460=1),$M460&gt;(ROW(PLE.lastrow)-ROW(PLE.firstrow))),0,IF(OFFSET(PLE!$G$14,$M460,CD$13)="",10^12,OFFSET(PLE!$G$14,$M460,CD$13))))</f>
        <v>1000000000000</v>
      </c>
      <c r="CE460" s="216">
        <f ca="1">IF($D460&lt;&gt;"Serviço",0,IF(OR(AND(AUTOEVENTO="Manual",$M460=1),$M460&gt;(ROW(PLE.lastrow)-ROW(PLE.firstrow))),0,IF(OFFSET(PLE!$G$14,$M460,CE$13)="",10^12,OFFSET(PLE!$G$14,$M460,CE$13))))</f>
        <v>1000000000000</v>
      </c>
      <c r="CF460" s="216">
        <f ca="1">IF($D460&lt;&gt;"Serviço",0,IF(OR(AND(AUTOEVENTO="Manual",$M460=1),$M460&gt;(ROW(PLE.lastrow)-ROW(PLE.firstrow))),0,IF(OFFSET(PLE!$G$14,$M460,CF$13)="",10^12,OFFSET(PLE!$G$14,$M460,CF$13))))</f>
        <v>1000000000000</v>
      </c>
      <c r="CG460" s="216">
        <f ca="1">IF($D460&lt;&gt;"Serviço",0,IF(OR(AND(AUTOEVENTO="Manual",$M460=1),$M460&gt;(ROW(PLE.lastrow)-ROW(PLE.firstrow))),0,IF(OFFSET(PLE!$G$14,$M460,CG$13)="",10^12,OFFSET(PLE!$G$14,$M460,CG$13))))</f>
        <v>1000000000000</v>
      </c>
      <c r="CH460" s="216">
        <f ca="1">IF($D460&lt;&gt;"Serviço",0,IF(OR(AND(AUTOEVENTO="Manual",$M460=1),$M460&gt;(ROW(PLE.lastrow)-ROW(PLE.firstrow))),0,IF(OFFSET(PLE!$G$14,$M460,CH$13)="",10^12,OFFSET(PLE!$G$14,$M460,CH$13))))</f>
        <v>1000000000000</v>
      </c>
      <c r="CI460" s="216">
        <f ca="1">IF($D460&lt;&gt;"Serviço",0,IF(OR(AND(AUTOEVENTO="Manual",$M460=1),$M460&gt;(ROW(PLE.lastrow)-ROW(PLE.firstrow))),0,IF(OFFSET(PLE!$G$14,$M460,CI$13)="",10^12,OFFSET(PLE!$G$14,$M460,CI$13))))</f>
        <v>1000000000000</v>
      </c>
      <c r="CJ460" s="216">
        <f ca="1">IF($D460&lt;&gt;"Serviço",0,IF(OR(AND(AUTOEVENTO="Manual",$M460=1),$M460&gt;(ROW(PLE.lastrow)-ROW(PLE.firstrow))),0,IF(OFFSET(PLE!$G$14,$M460,CJ$13)="",10^12,OFFSET(PLE!$G$14,$M460,CJ$13))))</f>
        <v>1000000000000</v>
      </c>
      <c r="CK460" s="216">
        <f ca="1">IF($D460&lt;&gt;"Serviço",0,IF(OR(AND(AUTOEVENTO="Manual",$M460=1),$M460&gt;(ROW(PLE.lastrow)-ROW(PLE.firstrow))),0,IF(OFFSET(PLE!$G$14,$M460,CK$13)="",10^12,OFFSET(PLE!$G$14,$M460,CK$13))))</f>
        <v>1000000000000</v>
      </c>
      <c r="CL460" s="216">
        <f ca="1">IF($D460&lt;&gt;"Serviço",0,IF(OR(AND(AUTOEVENTO="Manual",$M460=1),$M460&gt;(ROW(PLE.lastrow)-ROW(PLE.firstrow))),0,IF(OFFSET(PLE!$G$14,$M460,CL$13)="",10^12,OFFSET(PLE!$G$14,$M460,CL$13))))</f>
        <v>1000000000000</v>
      </c>
      <c r="CM460" s="216">
        <f ca="1">IF($D460&lt;&gt;"Serviço",0,IF(OR(AND(AUTOEVENTO="Manual",$M460=1),$M460&gt;(ROW(PLE.lastrow)-ROW(PLE.firstrow))),0,IF(OFFSET(PLE!$G$14,$M460,CM$13)="",10^12,OFFSET(PLE!$G$14,$M460,CM$13))))</f>
        <v>1000000000000</v>
      </c>
    </row>
    <row r="461" spans="1:91" ht="13.2" x14ac:dyDescent="0.25">
      <c r="A461" s="9">
        <f t="shared" ca="1" si="15"/>
        <v>0</v>
      </c>
      <c r="B461" s="9" t="str">
        <f ca="1">OFFSET(ORÇAMENTO!C$15,ROW(B461)-ROW(B$15),0)</f>
        <v>S</v>
      </c>
      <c r="C461" s="9" t="str">
        <f ca="1">OFFSET(ORÇAMENTO!L$15,ROW(C461)-ROW(C$15),0)</f>
        <v/>
      </c>
      <c r="D461" s="145" t="str">
        <f ca="1">OFFSET(ORÇAMENTO!N$15,ROW(D461)-ROW(D$15),0)</f>
        <v>Serviço</v>
      </c>
      <c r="E461" s="205" t="str">
        <f ca="1">OFFSET(ORÇAMENTO!O$15,ROW(E461)-ROW(E$15),0)</f>
        <v>-</v>
      </c>
      <c r="F461" s="206" t="str">
        <f ca="1">OFFSET(ORÇAMENTO!R$15,ROW(F461)-ROW(F$15),0)</f>
        <v>(abra o arquivo 'Referência 05-2024.xls)</v>
      </c>
      <c r="G461" s="207" t="str">
        <f ca="1">IF($D461&lt;&gt;"Serviço","",OFFSET(ORÇAMENTO!S$15,ROW(G461)-ROW(G$15),0))</f>
        <v>-</v>
      </c>
      <c r="H461" s="151">
        <f ca="1">IF($D461&lt;&gt;"Serviço",0,IF(ACOMPANHAMENTO="BM",ROUND(OFFSET(ORÇAMENTO!AJ$15,ROW(H461)-ROW(H$15),0),15-13*ORÇAMENTO!$AF$7),SUMPRODUCT(($Q$12:$AI$12&lt;&gt;"")*ROUND($Q461:$AI461,15-13*ORÇAMENTO!$AF$7))))</f>
        <v>6</v>
      </c>
      <c r="I461" s="650"/>
      <c r="K461" s="208"/>
      <c r="L461" s="209" t="s">
        <v>257</v>
      </c>
      <c r="M461" s="210">
        <f ca="1">IF($D461&lt;&gt;"Serviço","",IF(AUTOEVENTO="manual",$A461,IF(ISERROR(MATCH($A461,$A$15:OFFSET($A461,-1,0),0)),MAX($M$15:OFFSET(M461,-1,0))+1,INDEX($M$15:OFFSET(M461,-1,0),MATCH($A461,$A$15:OFFSET($A461,-1,0),0)))))</f>
        <v>0</v>
      </c>
      <c r="N461" s="211" t="str">
        <f ca="1">IF($D461&lt;&gt;"Serviço","",IF(AUTOEVENTO="Manual",IF($A461=0,"&lt;-- defina o número do agrupador",OFFSET(EVENTOS!$D$14,$A461,0)),OFFSET($F$15,$A461,0)))</f>
        <v>&lt;-- defina o número do agrupador</v>
      </c>
      <c r="O461" s="212"/>
      <c r="Q461" s="212"/>
      <c r="R461" s="213"/>
      <c r="S461" s="213"/>
      <c r="T461" s="213"/>
      <c r="U461" s="213"/>
      <c r="V461" s="213"/>
      <c r="W461" s="213"/>
      <c r="X461" s="213"/>
      <c r="Y461" s="213"/>
      <c r="Z461" s="214"/>
      <c r="AA461" s="213"/>
      <c r="AB461" s="213"/>
      <c r="AC461" s="213"/>
      <c r="AD461" s="213"/>
      <c r="AE461" s="213"/>
      <c r="AF461" s="213"/>
      <c r="AG461" s="213"/>
      <c r="AH461" s="214"/>
      <c r="AJ461" s="631">
        <f ca="1">IF(AND($D461="Serviço",AJ$12&lt;&gt;0,$H461&gt;0,OR(AUTOEVENTO&lt;&gt;"manual",$M461&lt;&gt;1)),ROUND(OFFSET($P461,0,AJ$13),15-13*ORÇAMENTO!$AF$7)/$H461*OFFSET(ORÇAMENTO!$X$15,ROW(AJ461)-ROW(AJ$15),0),0)</f>
        <v>0</v>
      </c>
      <c r="AK461" s="632">
        <f ca="1">IF(AND($D461="Serviço",AK$12&lt;&gt;0,$H461&gt;0,OR(AUTOEVENTO&lt;&gt;"manual",$M461&lt;&gt;1)),ROUND(OFFSET($P461,0,AK$13),15-13*ORÇAMENTO!$AF$7)/$H461*OFFSET(ORÇAMENTO!$X$15,ROW(AK461)-ROW(AK$15),0),0)</f>
        <v>0</v>
      </c>
      <c r="AL461" s="632">
        <f ca="1">IF(AND($D461="Serviço",AL$12&lt;&gt;0,$H461&gt;0,OR(AUTOEVENTO&lt;&gt;"manual",$M461&lt;&gt;1)),ROUND(OFFSET($P461,0,AL$13),15-13*ORÇAMENTO!$AF$7)/$H461*OFFSET(ORÇAMENTO!$X$15,ROW(AL461)-ROW(AL$15),0),0)</f>
        <v>0</v>
      </c>
      <c r="AM461" s="632">
        <f ca="1">IF(AND($D461="Serviço",AM$12&lt;&gt;0,$H461&gt;0,OR(AUTOEVENTO&lt;&gt;"manual",$M461&lt;&gt;1)),ROUND(OFFSET($P461,0,AM$13),15-13*ORÇAMENTO!$AF$7)/$H461*OFFSET(ORÇAMENTO!$X$15,ROW(AM461)-ROW(AM$15),0),0)</f>
        <v>0</v>
      </c>
      <c r="AN461" s="632">
        <f ca="1">IF(AND($D461="Serviço",AN$12&lt;&gt;0,$H461&gt;0,OR(AUTOEVENTO&lt;&gt;"manual",$M461&lt;&gt;1)),ROUND(OFFSET($P461,0,AN$13),15-13*ORÇAMENTO!$AF$7)/$H461*OFFSET(ORÇAMENTO!$X$15,ROW(AN461)-ROW(AN$15),0),0)</f>
        <v>0</v>
      </c>
      <c r="AO461" s="632">
        <f ca="1">IF(AND($D461="Serviço",AO$12&lt;&gt;0,$H461&gt;0,OR(AUTOEVENTO&lt;&gt;"manual",$M461&lt;&gt;1)),ROUND(OFFSET($P461,0,AO$13),15-13*ORÇAMENTO!$AF$7)/$H461*OFFSET(ORÇAMENTO!$X$15,ROW(AO461)-ROW(AO$15),0),0)</f>
        <v>0</v>
      </c>
      <c r="AP461" s="632">
        <f ca="1">IF(AND($D461="Serviço",AP$12&lt;&gt;0,$H461&gt;0,OR(AUTOEVENTO&lt;&gt;"manual",$M461&lt;&gt;1)),ROUND(OFFSET($P461,0,AP$13),15-13*ORÇAMENTO!$AF$7)/$H461*OFFSET(ORÇAMENTO!$X$15,ROW(AP461)-ROW(AP$15),0),0)</f>
        <v>0</v>
      </c>
      <c r="AQ461" s="632">
        <f ca="1">IF(AND($D461="Serviço",AQ$12&lt;&gt;0,$H461&gt;0,OR(AUTOEVENTO&lt;&gt;"manual",$M461&lt;&gt;1)),ROUND(OFFSET($P461,0,AQ$13),15-13*ORÇAMENTO!$AF$7)/$H461*OFFSET(ORÇAMENTO!$X$15,ROW(AQ461)-ROW(AQ$15),0),0)</f>
        <v>0</v>
      </c>
      <c r="AR461" s="632">
        <f ca="1">IF(AND($D461="Serviço",AR$12&lt;&gt;0,$H461&gt;0,OR(AUTOEVENTO&lt;&gt;"manual",$M461&lt;&gt;1)),ROUND(OFFSET($P461,0,AR$13),15-13*ORÇAMENTO!$AF$7)/$H461*OFFSET(ORÇAMENTO!$X$15,ROW(AR461)-ROW(AR$15),0),0)</f>
        <v>0</v>
      </c>
      <c r="AS461" s="633">
        <f ca="1">IF(AND($D461="Serviço",AS$12&lt;&gt;0,$H461&gt;0,OR(AUTOEVENTO&lt;&gt;"manual",$M461&lt;&gt;1)),ROUND(OFFSET($P461,0,AS$13),15-13*ORÇAMENTO!$AF$7)/$H461*OFFSET(ORÇAMENTO!$X$15,ROW(AS461)-ROW(AS$15),0),0)</f>
        <v>0</v>
      </c>
      <c r="AT461" s="632">
        <f ca="1">IF(AND($D461="Serviço",AT$12&lt;&gt;0,$H461&gt;0,OR(AUTOEVENTO&lt;&gt;"manual",$M461&lt;&gt;1)),ROUND(OFFSET($P461,0,AT$13),15-13*ORÇAMENTO!$AF$7)/$H461*OFFSET(ORÇAMENTO!$X$15,ROW(AT461)-ROW(AT$15),0),0)</f>
        <v>0</v>
      </c>
      <c r="AU461" s="632">
        <f ca="1">IF(AND($D461="Serviço",AU$12&lt;&gt;0,$H461&gt;0,OR(AUTOEVENTO&lt;&gt;"manual",$M461&lt;&gt;1)),ROUND(OFFSET($P461,0,AU$13),15-13*ORÇAMENTO!$AF$7)/$H461*OFFSET(ORÇAMENTO!$X$15,ROW(AU461)-ROW(AU$15),0),0)</f>
        <v>0</v>
      </c>
      <c r="AV461" s="632">
        <f ca="1">IF(AND($D461="Serviço",AV$12&lt;&gt;0,$H461&gt;0,OR(AUTOEVENTO&lt;&gt;"manual",$M461&lt;&gt;1)),ROUND(OFFSET($P461,0,AV$13),15-13*ORÇAMENTO!$AF$7)/$H461*OFFSET(ORÇAMENTO!$X$15,ROW(AV461)-ROW(AV$15),0),0)</f>
        <v>0</v>
      </c>
      <c r="AW461" s="632">
        <f ca="1">IF(AND($D461="Serviço",AW$12&lt;&gt;0,$H461&gt;0,OR(AUTOEVENTO&lt;&gt;"manual",$M461&lt;&gt;1)),ROUND(OFFSET($P461,0,AW$13),15-13*ORÇAMENTO!$AF$7)/$H461*OFFSET(ORÇAMENTO!$X$15,ROW(AW461)-ROW(AW$15),0),0)</f>
        <v>0</v>
      </c>
      <c r="AX461" s="632">
        <f ca="1">IF(AND($D461="Serviço",AX$12&lt;&gt;0,$H461&gt;0,OR(AUTOEVENTO&lt;&gt;"manual",$M461&lt;&gt;1)),ROUND(OFFSET($P461,0,AX$13),15-13*ORÇAMENTO!$AF$7)/$H461*OFFSET(ORÇAMENTO!$X$15,ROW(AX461)-ROW(AX$15),0),0)</f>
        <v>0</v>
      </c>
      <c r="AY461" s="632">
        <f ca="1">IF(AND($D461="Serviço",AY$12&lt;&gt;0,$H461&gt;0,OR(AUTOEVENTO&lt;&gt;"manual",$M461&lt;&gt;1)),ROUND(OFFSET($P461,0,AY$13),15-13*ORÇAMENTO!$AF$7)/$H461*OFFSET(ORÇAMENTO!$X$15,ROW(AY461)-ROW(AY$15),0),0)</f>
        <v>0</v>
      </c>
      <c r="AZ461" s="632">
        <f ca="1">IF(AND($D461="Serviço",AZ$12&lt;&gt;0,$H461&gt;0,OR(AUTOEVENTO&lt;&gt;"manual",$M461&lt;&gt;1)),ROUND(OFFSET($P461,0,AZ$13),15-13*ORÇAMENTO!$AF$7)/$H461*OFFSET(ORÇAMENTO!$X$15,ROW(AZ461)-ROW(AZ$15),0),0)</f>
        <v>0</v>
      </c>
      <c r="BA461" s="633">
        <f ca="1">IF(AND($D461="Serviço",BA$12&lt;&gt;0,$H461&gt;0,OR(AUTOEVENTO&lt;&gt;"manual",$M461&lt;&gt;1)),ROUND(OFFSET($P461,0,BA$13),15-13*ORÇAMENTO!$AF$7)/$H461*OFFSET(ORÇAMENTO!$X$15,ROW(BA461)-ROW(BA$15),0),0)</f>
        <v>0</v>
      </c>
      <c r="BC461" s="215">
        <f ca="1">IF($D461&lt;&gt;"Serviço",0,IF(AND(AUTOEVENTO="Manual",$M461=1),0,IF(OFFSET(CRONOPLE!$F$14,$M461,BC$13)="",10^12,OFFSET(CRONOPLE!$F$14,$M461,BC$13))))</f>
        <v>1000000000000</v>
      </c>
      <c r="BD461" s="215">
        <f ca="1">IF($D461&lt;&gt;"Serviço",0,IF(AND(AUTOEVENTO="Manual",$M461=1),0,IF(OFFSET(CRONOPLE!$F$14,$M461,BD$13)="",10^12,OFFSET(CRONOPLE!$F$14,$M461,BD$13))))</f>
        <v>1000000000000</v>
      </c>
      <c r="BE461" s="215">
        <f ca="1">IF($D461&lt;&gt;"Serviço",0,IF(AND(AUTOEVENTO="Manual",$M461=1),0,IF(OFFSET(CRONOPLE!$F$14,$M461,BE$13)="",10^12,OFFSET(CRONOPLE!$F$14,$M461,BE$13))))</f>
        <v>1000000000000</v>
      </c>
      <c r="BF461" s="215">
        <f ca="1">IF($D461&lt;&gt;"Serviço",0,IF(AND(AUTOEVENTO="Manual",$M461=1),0,IF(OFFSET(CRONOPLE!$F$14,$M461,BF$13)="",10^12,OFFSET(CRONOPLE!$F$14,$M461,BF$13))))</f>
        <v>1000000000000</v>
      </c>
      <c r="BG461" s="215">
        <f ca="1">IF($D461&lt;&gt;"Serviço",0,IF(AND(AUTOEVENTO="Manual",$M461=1),0,IF(OFFSET(CRONOPLE!$F$14,$M461,BG$13)="",10^12,OFFSET(CRONOPLE!$F$14,$M461,BG$13))))</f>
        <v>1000000000000</v>
      </c>
      <c r="BH461" s="215">
        <f ca="1">IF($D461&lt;&gt;"Serviço",0,IF(AND(AUTOEVENTO="Manual",$M461=1),0,IF(OFFSET(CRONOPLE!$F$14,$M461,BH$13)="",10^12,OFFSET(CRONOPLE!$F$14,$M461,BH$13))))</f>
        <v>1000000000000</v>
      </c>
      <c r="BI461" s="215">
        <f ca="1">IF($D461&lt;&gt;"Serviço",0,IF(AND(AUTOEVENTO="Manual",$M461=1),0,IF(OFFSET(CRONOPLE!$F$14,$M461,BI$13)="",10^12,OFFSET(CRONOPLE!$F$14,$M461,BI$13))))</f>
        <v>1000000000000</v>
      </c>
      <c r="BJ461" s="215">
        <f ca="1">IF($D461&lt;&gt;"Serviço",0,IF(AND(AUTOEVENTO="Manual",$M461=1),0,IF(OFFSET(CRONOPLE!$F$14,$M461,BJ$13)="",10^12,OFFSET(CRONOPLE!$F$14,$M461,BJ$13))))</f>
        <v>1000000000000</v>
      </c>
      <c r="BK461" s="215">
        <f ca="1">IF($D461&lt;&gt;"Serviço",0,IF(AND(AUTOEVENTO="Manual",$M461=1),0,IF(OFFSET(CRONOPLE!$F$14,$M461,BK$13)="",10^12,OFFSET(CRONOPLE!$F$14,$M461,BK$13))))</f>
        <v>1000000000000</v>
      </c>
      <c r="BL461" s="215">
        <f ca="1">IF($D461&lt;&gt;"Serviço",0,IF(AND(AUTOEVENTO="Manual",$M461=1),0,IF(OFFSET(CRONOPLE!$F$14,$M461,BL$13)="",10^12,OFFSET(CRONOPLE!$F$14,$M461,BL$13))))</f>
        <v>1000000000000</v>
      </c>
      <c r="BM461" s="215">
        <f ca="1">IF($D461&lt;&gt;"Serviço",0,IF(AND(AUTOEVENTO="Manual",$M461=1),0,IF(OFFSET(CRONOPLE!$F$14,$M461,BM$13)="",10^12,OFFSET(CRONOPLE!$F$14,$M461,BM$13))))</f>
        <v>1000000000000</v>
      </c>
      <c r="BN461" s="215">
        <f ca="1">IF($D461&lt;&gt;"Serviço",0,IF(AND(AUTOEVENTO="Manual",$M461=1),0,IF(OFFSET(CRONOPLE!$F$14,$M461,BN$13)="",10^12,OFFSET(CRONOPLE!$F$14,$M461,BN$13))))</f>
        <v>1000000000000</v>
      </c>
      <c r="BO461" s="215">
        <f ca="1">IF($D461&lt;&gt;"Serviço",0,IF(AND(AUTOEVENTO="Manual",$M461=1),0,IF(OFFSET(CRONOPLE!$F$14,$M461,BO$13)="",10^12,OFFSET(CRONOPLE!$F$14,$M461,BO$13))))</f>
        <v>1000000000000</v>
      </c>
      <c r="BP461" s="215">
        <f ca="1">IF($D461&lt;&gt;"Serviço",0,IF(AND(AUTOEVENTO="Manual",$M461=1),0,IF(OFFSET(CRONOPLE!$F$14,$M461,BP$13)="",10^12,OFFSET(CRONOPLE!$F$14,$M461,BP$13))))</f>
        <v>1000000000000</v>
      </c>
      <c r="BQ461" s="215">
        <f ca="1">IF($D461&lt;&gt;"Serviço",0,IF(AND(AUTOEVENTO="Manual",$M461=1),0,IF(OFFSET(CRONOPLE!$F$14,$M461,BQ$13)="",10^12,OFFSET(CRONOPLE!$F$14,$M461,BQ$13))))</f>
        <v>1000000000000</v>
      </c>
      <c r="BR461" s="215">
        <f ca="1">IF($D461&lt;&gt;"Serviço",0,IF(AND(AUTOEVENTO="Manual",$M461=1),0,IF(OFFSET(CRONOPLE!$F$14,$M461,BR$13)="",10^12,OFFSET(CRONOPLE!$F$14,$M461,BR$13))))</f>
        <v>1000000000000</v>
      </c>
      <c r="BS461" s="215">
        <f ca="1">IF($D461&lt;&gt;"Serviço",0,IF(AND(AUTOEVENTO="Manual",$M461=1),0,IF(OFFSET(CRONOPLE!$F$14,$M461,BS$13)="",10^12,OFFSET(CRONOPLE!$F$14,$M461,BS$13))))</f>
        <v>1000000000000</v>
      </c>
      <c r="BT461" s="215">
        <f ca="1">IF($D461&lt;&gt;"Serviço",0,IF(AND(AUTOEVENTO="Manual",$M461=1),0,IF(OFFSET(CRONOPLE!$F$14,$M461,BT$13)="",10^12,OFFSET(CRONOPLE!$F$14,$M461,BT$13))))</f>
        <v>1000000000000</v>
      </c>
      <c r="BV461" s="216">
        <f ca="1">IF($D461&lt;&gt;"Serviço",0,IF(OR(AND(AUTOEVENTO="Manual",$M461=1),$M461&gt;(ROW(PLE.lastrow)-ROW(PLE.firstrow))),0,IF(OFFSET(PLE!$G$14,$M461,BV$13)="",10^12,OFFSET(PLE!$G$14,$M461,BV$13))))</f>
        <v>1000000000000</v>
      </c>
      <c r="BW461" s="216">
        <f ca="1">IF($D461&lt;&gt;"Serviço",0,IF(OR(AND(AUTOEVENTO="Manual",$M461=1),$M461&gt;(ROW(PLE.lastrow)-ROW(PLE.firstrow))),0,IF(OFFSET(PLE!$G$14,$M461,BW$13)="",10^12,OFFSET(PLE!$G$14,$M461,BW$13))))</f>
        <v>1000000000000</v>
      </c>
      <c r="BX461" s="216">
        <f ca="1">IF($D461&lt;&gt;"Serviço",0,IF(OR(AND(AUTOEVENTO="Manual",$M461=1),$M461&gt;(ROW(PLE.lastrow)-ROW(PLE.firstrow))),0,IF(OFFSET(PLE!$G$14,$M461,BX$13)="",10^12,OFFSET(PLE!$G$14,$M461,BX$13))))</f>
        <v>1000000000000</v>
      </c>
      <c r="BY461" s="216">
        <f ca="1">IF($D461&lt;&gt;"Serviço",0,IF(OR(AND(AUTOEVENTO="Manual",$M461=1),$M461&gt;(ROW(PLE.lastrow)-ROW(PLE.firstrow))),0,IF(OFFSET(PLE!$G$14,$M461,BY$13)="",10^12,OFFSET(PLE!$G$14,$M461,BY$13))))</f>
        <v>1000000000000</v>
      </c>
      <c r="BZ461" s="216">
        <f ca="1">IF($D461&lt;&gt;"Serviço",0,IF(OR(AND(AUTOEVENTO="Manual",$M461=1),$M461&gt;(ROW(PLE.lastrow)-ROW(PLE.firstrow))),0,IF(OFFSET(PLE!$G$14,$M461,BZ$13)="",10^12,OFFSET(PLE!$G$14,$M461,BZ$13))))</f>
        <v>1000000000000</v>
      </c>
      <c r="CA461" s="216">
        <f ca="1">IF($D461&lt;&gt;"Serviço",0,IF(OR(AND(AUTOEVENTO="Manual",$M461=1),$M461&gt;(ROW(PLE.lastrow)-ROW(PLE.firstrow))),0,IF(OFFSET(PLE!$G$14,$M461,CA$13)="",10^12,OFFSET(PLE!$G$14,$M461,CA$13))))</f>
        <v>1000000000000</v>
      </c>
      <c r="CB461" s="216">
        <f ca="1">IF($D461&lt;&gt;"Serviço",0,IF(OR(AND(AUTOEVENTO="Manual",$M461=1),$M461&gt;(ROW(PLE.lastrow)-ROW(PLE.firstrow))),0,IF(OFFSET(PLE!$G$14,$M461,CB$13)="",10^12,OFFSET(PLE!$G$14,$M461,CB$13))))</f>
        <v>1000000000000</v>
      </c>
      <c r="CC461" s="216">
        <f ca="1">IF($D461&lt;&gt;"Serviço",0,IF(OR(AND(AUTOEVENTO="Manual",$M461=1),$M461&gt;(ROW(PLE.lastrow)-ROW(PLE.firstrow))),0,IF(OFFSET(PLE!$G$14,$M461,CC$13)="",10^12,OFFSET(PLE!$G$14,$M461,CC$13))))</f>
        <v>1000000000000</v>
      </c>
      <c r="CD461" s="216">
        <f ca="1">IF($D461&lt;&gt;"Serviço",0,IF(OR(AND(AUTOEVENTO="Manual",$M461=1),$M461&gt;(ROW(PLE.lastrow)-ROW(PLE.firstrow))),0,IF(OFFSET(PLE!$G$14,$M461,CD$13)="",10^12,OFFSET(PLE!$G$14,$M461,CD$13))))</f>
        <v>1000000000000</v>
      </c>
      <c r="CE461" s="216">
        <f ca="1">IF($D461&lt;&gt;"Serviço",0,IF(OR(AND(AUTOEVENTO="Manual",$M461=1),$M461&gt;(ROW(PLE.lastrow)-ROW(PLE.firstrow))),0,IF(OFFSET(PLE!$G$14,$M461,CE$13)="",10^12,OFFSET(PLE!$G$14,$M461,CE$13))))</f>
        <v>1000000000000</v>
      </c>
      <c r="CF461" s="216">
        <f ca="1">IF($D461&lt;&gt;"Serviço",0,IF(OR(AND(AUTOEVENTO="Manual",$M461=1),$M461&gt;(ROW(PLE.lastrow)-ROW(PLE.firstrow))),0,IF(OFFSET(PLE!$G$14,$M461,CF$13)="",10^12,OFFSET(PLE!$G$14,$M461,CF$13))))</f>
        <v>1000000000000</v>
      </c>
      <c r="CG461" s="216">
        <f ca="1">IF($D461&lt;&gt;"Serviço",0,IF(OR(AND(AUTOEVENTO="Manual",$M461=1),$M461&gt;(ROW(PLE.lastrow)-ROW(PLE.firstrow))),0,IF(OFFSET(PLE!$G$14,$M461,CG$13)="",10^12,OFFSET(PLE!$G$14,$M461,CG$13))))</f>
        <v>1000000000000</v>
      </c>
      <c r="CH461" s="216">
        <f ca="1">IF($D461&lt;&gt;"Serviço",0,IF(OR(AND(AUTOEVENTO="Manual",$M461=1),$M461&gt;(ROW(PLE.lastrow)-ROW(PLE.firstrow))),0,IF(OFFSET(PLE!$G$14,$M461,CH$13)="",10^12,OFFSET(PLE!$G$14,$M461,CH$13))))</f>
        <v>1000000000000</v>
      </c>
      <c r="CI461" s="216">
        <f ca="1">IF($D461&lt;&gt;"Serviço",0,IF(OR(AND(AUTOEVENTO="Manual",$M461=1),$M461&gt;(ROW(PLE.lastrow)-ROW(PLE.firstrow))),0,IF(OFFSET(PLE!$G$14,$M461,CI$13)="",10^12,OFFSET(PLE!$G$14,$M461,CI$13))))</f>
        <v>1000000000000</v>
      </c>
      <c r="CJ461" s="216">
        <f ca="1">IF($D461&lt;&gt;"Serviço",0,IF(OR(AND(AUTOEVENTO="Manual",$M461=1),$M461&gt;(ROW(PLE.lastrow)-ROW(PLE.firstrow))),0,IF(OFFSET(PLE!$G$14,$M461,CJ$13)="",10^12,OFFSET(PLE!$G$14,$M461,CJ$13))))</f>
        <v>1000000000000</v>
      </c>
      <c r="CK461" s="216">
        <f ca="1">IF($D461&lt;&gt;"Serviço",0,IF(OR(AND(AUTOEVENTO="Manual",$M461=1),$M461&gt;(ROW(PLE.lastrow)-ROW(PLE.firstrow))),0,IF(OFFSET(PLE!$G$14,$M461,CK$13)="",10^12,OFFSET(PLE!$G$14,$M461,CK$13))))</f>
        <v>1000000000000</v>
      </c>
      <c r="CL461" s="216">
        <f ca="1">IF($D461&lt;&gt;"Serviço",0,IF(OR(AND(AUTOEVENTO="Manual",$M461=1),$M461&gt;(ROW(PLE.lastrow)-ROW(PLE.firstrow))),0,IF(OFFSET(PLE!$G$14,$M461,CL$13)="",10^12,OFFSET(PLE!$G$14,$M461,CL$13))))</f>
        <v>1000000000000</v>
      </c>
      <c r="CM461" s="216">
        <f ca="1">IF($D461&lt;&gt;"Serviço",0,IF(OR(AND(AUTOEVENTO="Manual",$M461=1),$M461&gt;(ROW(PLE.lastrow)-ROW(PLE.firstrow))),0,IF(OFFSET(PLE!$G$14,$M461,CM$13)="",10^12,OFFSET(PLE!$G$14,$M461,CM$13))))</f>
        <v>1000000000000</v>
      </c>
    </row>
    <row r="462" spans="1:91" ht="13.2" x14ac:dyDescent="0.25">
      <c r="A462" s="9">
        <f t="shared" ref="A462:A525" ca="1" si="16">IF(AUTOEVENTO="Manual",IF(K462&lt;&gt;"",MIN(VALUE(LEFT(K462,FIND(".",K462)-1)),COUNTA(EVENTOS.Lista)),0),IF(OR($B462&gt;AUTOEVENTO,$B462="S",$B462=0),SUBSTITUTE(OFFSET($A462,-1,0),IF($D462="Serviço",".",""),""),ROW(A462)-ROW($A$15)&amp;"."))</f>
        <v>0</v>
      </c>
      <c r="B462" s="9" t="str">
        <f ca="1">OFFSET(ORÇAMENTO!C$15,ROW(B462)-ROW(B$15),0)</f>
        <v>S</v>
      </c>
      <c r="C462" s="9" t="str">
        <f ca="1">OFFSET(ORÇAMENTO!L$15,ROW(C462)-ROW(C$15),0)</f>
        <v/>
      </c>
      <c r="D462" s="145" t="str">
        <f ca="1">OFFSET(ORÇAMENTO!N$15,ROW(D462)-ROW(D$15),0)</f>
        <v>Serviço</v>
      </c>
      <c r="E462" s="205" t="str">
        <f ca="1">OFFSET(ORÇAMENTO!O$15,ROW(E462)-ROW(E$15),0)</f>
        <v>-</v>
      </c>
      <c r="F462" s="206" t="str">
        <f ca="1">OFFSET(ORÇAMENTO!R$15,ROW(F462)-ROW(F$15),0)</f>
        <v>(abra o arquivo 'Referência 05-2024.xls)</v>
      </c>
      <c r="G462" s="207" t="str">
        <f ca="1">IF($D462&lt;&gt;"Serviço","",OFFSET(ORÇAMENTO!S$15,ROW(G462)-ROW(G$15),0))</f>
        <v>-</v>
      </c>
      <c r="H462" s="151">
        <f ca="1">IF($D462&lt;&gt;"Serviço",0,IF(ACOMPANHAMENTO="BM",ROUND(OFFSET(ORÇAMENTO!AJ$15,ROW(H462)-ROW(H$15),0),15-13*ORÇAMENTO!$AF$7),SUMPRODUCT(($Q$12:$AI$12&lt;&gt;"")*ROUND($Q462:$AI462,15-13*ORÇAMENTO!$AF$7))))</f>
        <v>2</v>
      </c>
      <c r="I462" s="650"/>
      <c r="K462" s="208"/>
      <c r="L462" s="209" t="s">
        <v>257</v>
      </c>
      <c r="M462" s="210">
        <f ca="1">IF($D462&lt;&gt;"Serviço","",IF(AUTOEVENTO="manual",$A462,IF(ISERROR(MATCH($A462,$A$15:OFFSET($A462,-1,0),0)),MAX($M$15:OFFSET(M462,-1,0))+1,INDEX($M$15:OFFSET(M462,-1,0),MATCH($A462,$A$15:OFFSET($A462,-1,0),0)))))</f>
        <v>0</v>
      </c>
      <c r="N462" s="211" t="str">
        <f ca="1">IF($D462&lt;&gt;"Serviço","",IF(AUTOEVENTO="Manual",IF($A462=0,"&lt;-- defina o número do agrupador",OFFSET(EVENTOS!$D$14,$A462,0)),OFFSET($F$15,$A462,0)))</f>
        <v>&lt;-- defina o número do agrupador</v>
      </c>
      <c r="O462" s="212"/>
      <c r="Q462" s="212"/>
      <c r="R462" s="213"/>
      <c r="S462" s="213"/>
      <c r="T462" s="213"/>
      <c r="U462" s="213"/>
      <c r="V462" s="213"/>
      <c r="W462" s="213"/>
      <c r="X462" s="213"/>
      <c r="Y462" s="213"/>
      <c r="Z462" s="214"/>
      <c r="AA462" s="213"/>
      <c r="AB462" s="213"/>
      <c r="AC462" s="213"/>
      <c r="AD462" s="213"/>
      <c r="AE462" s="213"/>
      <c r="AF462" s="213"/>
      <c r="AG462" s="213"/>
      <c r="AH462" s="214"/>
      <c r="AJ462" s="631">
        <f ca="1">IF(AND($D462="Serviço",AJ$12&lt;&gt;0,$H462&gt;0,OR(AUTOEVENTO&lt;&gt;"manual",$M462&lt;&gt;1)),ROUND(OFFSET($P462,0,AJ$13),15-13*ORÇAMENTO!$AF$7)/$H462*OFFSET(ORÇAMENTO!$X$15,ROW(AJ462)-ROW(AJ$15),0),0)</f>
        <v>0</v>
      </c>
      <c r="AK462" s="632">
        <f ca="1">IF(AND($D462="Serviço",AK$12&lt;&gt;0,$H462&gt;0,OR(AUTOEVENTO&lt;&gt;"manual",$M462&lt;&gt;1)),ROUND(OFFSET($P462,0,AK$13),15-13*ORÇAMENTO!$AF$7)/$H462*OFFSET(ORÇAMENTO!$X$15,ROW(AK462)-ROW(AK$15),0),0)</f>
        <v>0</v>
      </c>
      <c r="AL462" s="632">
        <f ca="1">IF(AND($D462="Serviço",AL$12&lt;&gt;0,$H462&gt;0,OR(AUTOEVENTO&lt;&gt;"manual",$M462&lt;&gt;1)),ROUND(OFFSET($P462,0,AL$13),15-13*ORÇAMENTO!$AF$7)/$H462*OFFSET(ORÇAMENTO!$X$15,ROW(AL462)-ROW(AL$15),0),0)</f>
        <v>0</v>
      </c>
      <c r="AM462" s="632">
        <f ca="1">IF(AND($D462="Serviço",AM$12&lt;&gt;0,$H462&gt;0,OR(AUTOEVENTO&lt;&gt;"manual",$M462&lt;&gt;1)),ROUND(OFFSET($P462,0,AM$13),15-13*ORÇAMENTO!$AF$7)/$H462*OFFSET(ORÇAMENTO!$X$15,ROW(AM462)-ROW(AM$15),0),0)</f>
        <v>0</v>
      </c>
      <c r="AN462" s="632">
        <f ca="1">IF(AND($D462="Serviço",AN$12&lt;&gt;0,$H462&gt;0,OR(AUTOEVENTO&lt;&gt;"manual",$M462&lt;&gt;1)),ROUND(OFFSET($P462,0,AN$13),15-13*ORÇAMENTO!$AF$7)/$H462*OFFSET(ORÇAMENTO!$X$15,ROW(AN462)-ROW(AN$15),0),0)</f>
        <v>0</v>
      </c>
      <c r="AO462" s="632">
        <f ca="1">IF(AND($D462="Serviço",AO$12&lt;&gt;0,$H462&gt;0,OR(AUTOEVENTO&lt;&gt;"manual",$M462&lt;&gt;1)),ROUND(OFFSET($P462,0,AO$13),15-13*ORÇAMENTO!$AF$7)/$H462*OFFSET(ORÇAMENTO!$X$15,ROW(AO462)-ROW(AO$15),0),0)</f>
        <v>0</v>
      </c>
      <c r="AP462" s="632">
        <f ca="1">IF(AND($D462="Serviço",AP$12&lt;&gt;0,$H462&gt;0,OR(AUTOEVENTO&lt;&gt;"manual",$M462&lt;&gt;1)),ROUND(OFFSET($P462,0,AP$13),15-13*ORÇAMENTO!$AF$7)/$H462*OFFSET(ORÇAMENTO!$X$15,ROW(AP462)-ROW(AP$15),0),0)</f>
        <v>0</v>
      </c>
      <c r="AQ462" s="632">
        <f ca="1">IF(AND($D462="Serviço",AQ$12&lt;&gt;0,$H462&gt;0,OR(AUTOEVENTO&lt;&gt;"manual",$M462&lt;&gt;1)),ROUND(OFFSET($P462,0,AQ$13),15-13*ORÇAMENTO!$AF$7)/$H462*OFFSET(ORÇAMENTO!$X$15,ROW(AQ462)-ROW(AQ$15),0),0)</f>
        <v>0</v>
      </c>
      <c r="AR462" s="632">
        <f ca="1">IF(AND($D462="Serviço",AR$12&lt;&gt;0,$H462&gt;0,OR(AUTOEVENTO&lt;&gt;"manual",$M462&lt;&gt;1)),ROUND(OFFSET($P462,0,AR$13),15-13*ORÇAMENTO!$AF$7)/$H462*OFFSET(ORÇAMENTO!$X$15,ROW(AR462)-ROW(AR$15),0),0)</f>
        <v>0</v>
      </c>
      <c r="AS462" s="633">
        <f ca="1">IF(AND($D462="Serviço",AS$12&lt;&gt;0,$H462&gt;0,OR(AUTOEVENTO&lt;&gt;"manual",$M462&lt;&gt;1)),ROUND(OFFSET($P462,0,AS$13),15-13*ORÇAMENTO!$AF$7)/$H462*OFFSET(ORÇAMENTO!$X$15,ROW(AS462)-ROW(AS$15),0),0)</f>
        <v>0</v>
      </c>
      <c r="AT462" s="632">
        <f ca="1">IF(AND($D462="Serviço",AT$12&lt;&gt;0,$H462&gt;0,OR(AUTOEVENTO&lt;&gt;"manual",$M462&lt;&gt;1)),ROUND(OFFSET($P462,0,AT$13),15-13*ORÇAMENTO!$AF$7)/$H462*OFFSET(ORÇAMENTO!$X$15,ROW(AT462)-ROW(AT$15),0),0)</f>
        <v>0</v>
      </c>
      <c r="AU462" s="632">
        <f ca="1">IF(AND($D462="Serviço",AU$12&lt;&gt;0,$H462&gt;0,OR(AUTOEVENTO&lt;&gt;"manual",$M462&lt;&gt;1)),ROUND(OFFSET($P462,0,AU$13),15-13*ORÇAMENTO!$AF$7)/$H462*OFFSET(ORÇAMENTO!$X$15,ROW(AU462)-ROW(AU$15),0),0)</f>
        <v>0</v>
      </c>
      <c r="AV462" s="632">
        <f ca="1">IF(AND($D462="Serviço",AV$12&lt;&gt;0,$H462&gt;0,OR(AUTOEVENTO&lt;&gt;"manual",$M462&lt;&gt;1)),ROUND(OFFSET($P462,0,AV$13),15-13*ORÇAMENTO!$AF$7)/$H462*OFFSET(ORÇAMENTO!$X$15,ROW(AV462)-ROW(AV$15),0),0)</f>
        <v>0</v>
      </c>
      <c r="AW462" s="632">
        <f ca="1">IF(AND($D462="Serviço",AW$12&lt;&gt;0,$H462&gt;0,OR(AUTOEVENTO&lt;&gt;"manual",$M462&lt;&gt;1)),ROUND(OFFSET($P462,0,AW$13),15-13*ORÇAMENTO!$AF$7)/$H462*OFFSET(ORÇAMENTO!$X$15,ROW(AW462)-ROW(AW$15),0),0)</f>
        <v>0</v>
      </c>
      <c r="AX462" s="632">
        <f ca="1">IF(AND($D462="Serviço",AX$12&lt;&gt;0,$H462&gt;0,OR(AUTOEVENTO&lt;&gt;"manual",$M462&lt;&gt;1)),ROUND(OFFSET($P462,0,AX$13),15-13*ORÇAMENTO!$AF$7)/$H462*OFFSET(ORÇAMENTO!$X$15,ROW(AX462)-ROW(AX$15),0),0)</f>
        <v>0</v>
      </c>
      <c r="AY462" s="632">
        <f ca="1">IF(AND($D462="Serviço",AY$12&lt;&gt;0,$H462&gt;0,OR(AUTOEVENTO&lt;&gt;"manual",$M462&lt;&gt;1)),ROUND(OFFSET($P462,0,AY$13),15-13*ORÇAMENTO!$AF$7)/$H462*OFFSET(ORÇAMENTO!$X$15,ROW(AY462)-ROW(AY$15),0),0)</f>
        <v>0</v>
      </c>
      <c r="AZ462" s="632">
        <f ca="1">IF(AND($D462="Serviço",AZ$12&lt;&gt;0,$H462&gt;0,OR(AUTOEVENTO&lt;&gt;"manual",$M462&lt;&gt;1)),ROUND(OFFSET($P462,0,AZ$13),15-13*ORÇAMENTO!$AF$7)/$H462*OFFSET(ORÇAMENTO!$X$15,ROW(AZ462)-ROW(AZ$15),0),0)</f>
        <v>0</v>
      </c>
      <c r="BA462" s="633">
        <f ca="1">IF(AND($D462="Serviço",BA$12&lt;&gt;0,$H462&gt;0,OR(AUTOEVENTO&lt;&gt;"manual",$M462&lt;&gt;1)),ROUND(OFFSET($P462,0,BA$13),15-13*ORÇAMENTO!$AF$7)/$H462*OFFSET(ORÇAMENTO!$X$15,ROW(BA462)-ROW(BA$15),0),0)</f>
        <v>0</v>
      </c>
      <c r="BC462" s="215">
        <f ca="1">IF($D462&lt;&gt;"Serviço",0,IF(AND(AUTOEVENTO="Manual",$M462=1),0,IF(OFFSET(CRONOPLE!$F$14,$M462,BC$13)="",10^12,OFFSET(CRONOPLE!$F$14,$M462,BC$13))))</f>
        <v>1000000000000</v>
      </c>
      <c r="BD462" s="215">
        <f ca="1">IF($D462&lt;&gt;"Serviço",0,IF(AND(AUTOEVENTO="Manual",$M462=1),0,IF(OFFSET(CRONOPLE!$F$14,$M462,BD$13)="",10^12,OFFSET(CRONOPLE!$F$14,$M462,BD$13))))</f>
        <v>1000000000000</v>
      </c>
      <c r="BE462" s="215">
        <f ca="1">IF($D462&lt;&gt;"Serviço",0,IF(AND(AUTOEVENTO="Manual",$M462=1),0,IF(OFFSET(CRONOPLE!$F$14,$M462,BE$13)="",10^12,OFFSET(CRONOPLE!$F$14,$M462,BE$13))))</f>
        <v>1000000000000</v>
      </c>
      <c r="BF462" s="215">
        <f ca="1">IF($D462&lt;&gt;"Serviço",0,IF(AND(AUTOEVENTO="Manual",$M462=1),0,IF(OFFSET(CRONOPLE!$F$14,$M462,BF$13)="",10^12,OFFSET(CRONOPLE!$F$14,$M462,BF$13))))</f>
        <v>1000000000000</v>
      </c>
      <c r="BG462" s="215">
        <f ca="1">IF($D462&lt;&gt;"Serviço",0,IF(AND(AUTOEVENTO="Manual",$M462=1),0,IF(OFFSET(CRONOPLE!$F$14,$M462,BG$13)="",10^12,OFFSET(CRONOPLE!$F$14,$M462,BG$13))))</f>
        <v>1000000000000</v>
      </c>
      <c r="BH462" s="215">
        <f ca="1">IF($D462&lt;&gt;"Serviço",0,IF(AND(AUTOEVENTO="Manual",$M462=1),0,IF(OFFSET(CRONOPLE!$F$14,$M462,BH$13)="",10^12,OFFSET(CRONOPLE!$F$14,$M462,BH$13))))</f>
        <v>1000000000000</v>
      </c>
      <c r="BI462" s="215">
        <f ca="1">IF($D462&lt;&gt;"Serviço",0,IF(AND(AUTOEVENTO="Manual",$M462=1),0,IF(OFFSET(CRONOPLE!$F$14,$M462,BI$13)="",10^12,OFFSET(CRONOPLE!$F$14,$M462,BI$13))))</f>
        <v>1000000000000</v>
      </c>
      <c r="BJ462" s="215">
        <f ca="1">IF($D462&lt;&gt;"Serviço",0,IF(AND(AUTOEVENTO="Manual",$M462=1),0,IF(OFFSET(CRONOPLE!$F$14,$M462,BJ$13)="",10^12,OFFSET(CRONOPLE!$F$14,$M462,BJ$13))))</f>
        <v>1000000000000</v>
      </c>
      <c r="BK462" s="215">
        <f ca="1">IF($D462&lt;&gt;"Serviço",0,IF(AND(AUTOEVENTO="Manual",$M462=1),0,IF(OFFSET(CRONOPLE!$F$14,$M462,BK$13)="",10^12,OFFSET(CRONOPLE!$F$14,$M462,BK$13))))</f>
        <v>1000000000000</v>
      </c>
      <c r="BL462" s="215">
        <f ca="1">IF($D462&lt;&gt;"Serviço",0,IF(AND(AUTOEVENTO="Manual",$M462=1),0,IF(OFFSET(CRONOPLE!$F$14,$M462,BL$13)="",10^12,OFFSET(CRONOPLE!$F$14,$M462,BL$13))))</f>
        <v>1000000000000</v>
      </c>
      <c r="BM462" s="215">
        <f ca="1">IF($D462&lt;&gt;"Serviço",0,IF(AND(AUTOEVENTO="Manual",$M462=1),0,IF(OFFSET(CRONOPLE!$F$14,$M462,BM$13)="",10^12,OFFSET(CRONOPLE!$F$14,$M462,BM$13))))</f>
        <v>1000000000000</v>
      </c>
      <c r="BN462" s="215">
        <f ca="1">IF($D462&lt;&gt;"Serviço",0,IF(AND(AUTOEVENTO="Manual",$M462=1),0,IF(OFFSET(CRONOPLE!$F$14,$M462,BN$13)="",10^12,OFFSET(CRONOPLE!$F$14,$M462,BN$13))))</f>
        <v>1000000000000</v>
      </c>
      <c r="BO462" s="215">
        <f ca="1">IF($D462&lt;&gt;"Serviço",0,IF(AND(AUTOEVENTO="Manual",$M462=1),0,IF(OFFSET(CRONOPLE!$F$14,$M462,BO$13)="",10^12,OFFSET(CRONOPLE!$F$14,$M462,BO$13))))</f>
        <v>1000000000000</v>
      </c>
      <c r="BP462" s="215">
        <f ca="1">IF($D462&lt;&gt;"Serviço",0,IF(AND(AUTOEVENTO="Manual",$M462=1),0,IF(OFFSET(CRONOPLE!$F$14,$M462,BP$13)="",10^12,OFFSET(CRONOPLE!$F$14,$M462,BP$13))))</f>
        <v>1000000000000</v>
      </c>
      <c r="BQ462" s="215">
        <f ca="1">IF($D462&lt;&gt;"Serviço",0,IF(AND(AUTOEVENTO="Manual",$M462=1),0,IF(OFFSET(CRONOPLE!$F$14,$M462,BQ$13)="",10^12,OFFSET(CRONOPLE!$F$14,$M462,BQ$13))))</f>
        <v>1000000000000</v>
      </c>
      <c r="BR462" s="215">
        <f ca="1">IF($D462&lt;&gt;"Serviço",0,IF(AND(AUTOEVENTO="Manual",$M462=1),0,IF(OFFSET(CRONOPLE!$F$14,$M462,BR$13)="",10^12,OFFSET(CRONOPLE!$F$14,$M462,BR$13))))</f>
        <v>1000000000000</v>
      </c>
      <c r="BS462" s="215">
        <f ca="1">IF($D462&lt;&gt;"Serviço",0,IF(AND(AUTOEVENTO="Manual",$M462=1),0,IF(OFFSET(CRONOPLE!$F$14,$M462,BS$13)="",10^12,OFFSET(CRONOPLE!$F$14,$M462,BS$13))))</f>
        <v>1000000000000</v>
      </c>
      <c r="BT462" s="215">
        <f ca="1">IF($D462&lt;&gt;"Serviço",0,IF(AND(AUTOEVENTO="Manual",$M462=1),0,IF(OFFSET(CRONOPLE!$F$14,$M462,BT$13)="",10^12,OFFSET(CRONOPLE!$F$14,$M462,BT$13))))</f>
        <v>1000000000000</v>
      </c>
      <c r="BV462" s="216">
        <f ca="1">IF($D462&lt;&gt;"Serviço",0,IF(OR(AND(AUTOEVENTO="Manual",$M462=1),$M462&gt;(ROW(PLE.lastrow)-ROW(PLE.firstrow))),0,IF(OFFSET(PLE!$G$14,$M462,BV$13)="",10^12,OFFSET(PLE!$G$14,$M462,BV$13))))</f>
        <v>1000000000000</v>
      </c>
      <c r="BW462" s="216">
        <f ca="1">IF($D462&lt;&gt;"Serviço",0,IF(OR(AND(AUTOEVENTO="Manual",$M462=1),$M462&gt;(ROW(PLE.lastrow)-ROW(PLE.firstrow))),0,IF(OFFSET(PLE!$G$14,$M462,BW$13)="",10^12,OFFSET(PLE!$G$14,$M462,BW$13))))</f>
        <v>1000000000000</v>
      </c>
      <c r="BX462" s="216">
        <f ca="1">IF($D462&lt;&gt;"Serviço",0,IF(OR(AND(AUTOEVENTO="Manual",$M462=1),$M462&gt;(ROW(PLE.lastrow)-ROW(PLE.firstrow))),0,IF(OFFSET(PLE!$G$14,$M462,BX$13)="",10^12,OFFSET(PLE!$G$14,$M462,BX$13))))</f>
        <v>1000000000000</v>
      </c>
      <c r="BY462" s="216">
        <f ca="1">IF($D462&lt;&gt;"Serviço",0,IF(OR(AND(AUTOEVENTO="Manual",$M462=1),$M462&gt;(ROW(PLE.lastrow)-ROW(PLE.firstrow))),0,IF(OFFSET(PLE!$G$14,$M462,BY$13)="",10^12,OFFSET(PLE!$G$14,$M462,BY$13))))</f>
        <v>1000000000000</v>
      </c>
      <c r="BZ462" s="216">
        <f ca="1">IF($D462&lt;&gt;"Serviço",0,IF(OR(AND(AUTOEVENTO="Manual",$M462=1),$M462&gt;(ROW(PLE.lastrow)-ROW(PLE.firstrow))),0,IF(OFFSET(PLE!$G$14,$M462,BZ$13)="",10^12,OFFSET(PLE!$G$14,$M462,BZ$13))))</f>
        <v>1000000000000</v>
      </c>
      <c r="CA462" s="216">
        <f ca="1">IF($D462&lt;&gt;"Serviço",0,IF(OR(AND(AUTOEVENTO="Manual",$M462=1),$M462&gt;(ROW(PLE.lastrow)-ROW(PLE.firstrow))),0,IF(OFFSET(PLE!$G$14,$M462,CA$13)="",10^12,OFFSET(PLE!$G$14,$M462,CA$13))))</f>
        <v>1000000000000</v>
      </c>
      <c r="CB462" s="216">
        <f ca="1">IF($D462&lt;&gt;"Serviço",0,IF(OR(AND(AUTOEVENTO="Manual",$M462=1),$M462&gt;(ROW(PLE.lastrow)-ROW(PLE.firstrow))),0,IF(OFFSET(PLE!$G$14,$M462,CB$13)="",10^12,OFFSET(PLE!$G$14,$M462,CB$13))))</f>
        <v>1000000000000</v>
      </c>
      <c r="CC462" s="216">
        <f ca="1">IF($D462&lt;&gt;"Serviço",0,IF(OR(AND(AUTOEVENTO="Manual",$M462=1),$M462&gt;(ROW(PLE.lastrow)-ROW(PLE.firstrow))),0,IF(OFFSET(PLE!$G$14,$M462,CC$13)="",10^12,OFFSET(PLE!$G$14,$M462,CC$13))))</f>
        <v>1000000000000</v>
      </c>
      <c r="CD462" s="216">
        <f ca="1">IF($D462&lt;&gt;"Serviço",0,IF(OR(AND(AUTOEVENTO="Manual",$M462=1),$M462&gt;(ROW(PLE.lastrow)-ROW(PLE.firstrow))),0,IF(OFFSET(PLE!$G$14,$M462,CD$13)="",10^12,OFFSET(PLE!$G$14,$M462,CD$13))))</f>
        <v>1000000000000</v>
      </c>
      <c r="CE462" s="216">
        <f ca="1">IF($D462&lt;&gt;"Serviço",0,IF(OR(AND(AUTOEVENTO="Manual",$M462=1),$M462&gt;(ROW(PLE.lastrow)-ROW(PLE.firstrow))),0,IF(OFFSET(PLE!$G$14,$M462,CE$13)="",10^12,OFFSET(PLE!$G$14,$M462,CE$13))))</f>
        <v>1000000000000</v>
      </c>
      <c r="CF462" s="216">
        <f ca="1">IF($D462&lt;&gt;"Serviço",0,IF(OR(AND(AUTOEVENTO="Manual",$M462=1),$M462&gt;(ROW(PLE.lastrow)-ROW(PLE.firstrow))),0,IF(OFFSET(PLE!$G$14,$M462,CF$13)="",10^12,OFFSET(PLE!$G$14,$M462,CF$13))))</f>
        <v>1000000000000</v>
      </c>
      <c r="CG462" s="216">
        <f ca="1">IF($D462&lt;&gt;"Serviço",0,IF(OR(AND(AUTOEVENTO="Manual",$M462=1),$M462&gt;(ROW(PLE.lastrow)-ROW(PLE.firstrow))),0,IF(OFFSET(PLE!$G$14,$M462,CG$13)="",10^12,OFFSET(PLE!$G$14,$M462,CG$13))))</f>
        <v>1000000000000</v>
      </c>
      <c r="CH462" s="216">
        <f ca="1">IF($D462&lt;&gt;"Serviço",0,IF(OR(AND(AUTOEVENTO="Manual",$M462=1),$M462&gt;(ROW(PLE.lastrow)-ROW(PLE.firstrow))),0,IF(OFFSET(PLE!$G$14,$M462,CH$13)="",10^12,OFFSET(PLE!$G$14,$M462,CH$13))))</f>
        <v>1000000000000</v>
      </c>
      <c r="CI462" s="216">
        <f ca="1">IF($D462&lt;&gt;"Serviço",0,IF(OR(AND(AUTOEVENTO="Manual",$M462=1),$M462&gt;(ROW(PLE.lastrow)-ROW(PLE.firstrow))),0,IF(OFFSET(PLE!$G$14,$M462,CI$13)="",10^12,OFFSET(PLE!$G$14,$M462,CI$13))))</f>
        <v>1000000000000</v>
      </c>
      <c r="CJ462" s="216">
        <f ca="1">IF($D462&lt;&gt;"Serviço",0,IF(OR(AND(AUTOEVENTO="Manual",$M462=1),$M462&gt;(ROW(PLE.lastrow)-ROW(PLE.firstrow))),0,IF(OFFSET(PLE!$G$14,$M462,CJ$13)="",10^12,OFFSET(PLE!$G$14,$M462,CJ$13))))</f>
        <v>1000000000000</v>
      </c>
      <c r="CK462" s="216">
        <f ca="1">IF($D462&lt;&gt;"Serviço",0,IF(OR(AND(AUTOEVENTO="Manual",$M462=1),$M462&gt;(ROW(PLE.lastrow)-ROW(PLE.firstrow))),0,IF(OFFSET(PLE!$G$14,$M462,CK$13)="",10^12,OFFSET(PLE!$G$14,$M462,CK$13))))</f>
        <v>1000000000000</v>
      </c>
      <c r="CL462" s="216">
        <f ca="1">IF($D462&lt;&gt;"Serviço",0,IF(OR(AND(AUTOEVENTO="Manual",$M462=1),$M462&gt;(ROW(PLE.lastrow)-ROW(PLE.firstrow))),0,IF(OFFSET(PLE!$G$14,$M462,CL$13)="",10^12,OFFSET(PLE!$G$14,$M462,CL$13))))</f>
        <v>1000000000000</v>
      </c>
      <c r="CM462" s="216">
        <f ca="1">IF($D462&lt;&gt;"Serviço",0,IF(OR(AND(AUTOEVENTO="Manual",$M462=1),$M462&gt;(ROW(PLE.lastrow)-ROW(PLE.firstrow))),0,IF(OFFSET(PLE!$G$14,$M462,CM$13)="",10^12,OFFSET(PLE!$G$14,$M462,CM$13))))</f>
        <v>1000000000000</v>
      </c>
    </row>
    <row r="463" spans="1:91" ht="13.2" x14ac:dyDescent="0.25">
      <c r="A463" s="9">
        <f t="shared" ca="1" si="16"/>
        <v>0</v>
      </c>
      <c r="B463" s="9" t="str">
        <f ca="1">OFFSET(ORÇAMENTO!C$15,ROW(B463)-ROW(B$15),0)</f>
        <v>S</v>
      </c>
      <c r="C463" s="9" t="str">
        <f ca="1">OFFSET(ORÇAMENTO!L$15,ROW(C463)-ROW(C$15),0)</f>
        <v/>
      </c>
      <c r="D463" s="145" t="str">
        <f ca="1">OFFSET(ORÇAMENTO!N$15,ROW(D463)-ROW(D$15),0)</f>
        <v>Serviço</v>
      </c>
      <c r="E463" s="205" t="str">
        <f ca="1">OFFSET(ORÇAMENTO!O$15,ROW(E463)-ROW(E$15),0)</f>
        <v>-</v>
      </c>
      <c r="F463" s="206" t="str">
        <f ca="1">OFFSET(ORÇAMENTO!R$15,ROW(F463)-ROW(F$15),0)</f>
        <v>(abra o arquivo 'Referência 05-2024.xls)</v>
      </c>
      <c r="G463" s="207" t="str">
        <f ca="1">IF($D463&lt;&gt;"Serviço","",OFFSET(ORÇAMENTO!S$15,ROW(G463)-ROW(G$15),0))</f>
        <v>-</v>
      </c>
      <c r="H463" s="151">
        <f ca="1">IF($D463&lt;&gt;"Serviço",0,IF(ACOMPANHAMENTO="BM",ROUND(OFFSET(ORÇAMENTO!AJ$15,ROW(H463)-ROW(H$15),0),15-13*ORÇAMENTO!$AF$7),SUMPRODUCT(($Q$12:$AI$12&lt;&gt;"")*ROUND($Q463:$AI463,15-13*ORÇAMENTO!$AF$7))))</f>
        <v>9</v>
      </c>
      <c r="I463" s="650"/>
      <c r="K463" s="208"/>
      <c r="L463" s="209" t="s">
        <v>257</v>
      </c>
      <c r="M463" s="210">
        <f ca="1">IF($D463&lt;&gt;"Serviço","",IF(AUTOEVENTO="manual",$A463,IF(ISERROR(MATCH($A463,$A$15:OFFSET($A463,-1,0),0)),MAX($M$15:OFFSET(M463,-1,0))+1,INDEX($M$15:OFFSET(M463,-1,0),MATCH($A463,$A$15:OFFSET($A463,-1,0),0)))))</f>
        <v>0</v>
      </c>
      <c r="N463" s="211" t="str">
        <f ca="1">IF($D463&lt;&gt;"Serviço","",IF(AUTOEVENTO="Manual",IF($A463=0,"&lt;-- defina o número do agrupador",OFFSET(EVENTOS!$D$14,$A463,0)),OFFSET($F$15,$A463,0)))</f>
        <v>&lt;-- defina o número do agrupador</v>
      </c>
      <c r="O463" s="212"/>
      <c r="Q463" s="212"/>
      <c r="R463" s="213"/>
      <c r="S463" s="213"/>
      <c r="T463" s="213"/>
      <c r="U463" s="213"/>
      <c r="V463" s="213"/>
      <c r="W463" s="213"/>
      <c r="X463" s="213"/>
      <c r="Y463" s="213"/>
      <c r="Z463" s="214"/>
      <c r="AA463" s="213"/>
      <c r="AB463" s="213"/>
      <c r="AC463" s="213"/>
      <c r="AD463" s="213"/>
      <c r="AE463" s="213"/>
      <c r="AF463" s="213"/>
      <c r="AG463" s="213"/>
      <c r="AH463" s="214"/>
      <c r="AJ463" s="631">
        <f ca="1">IF(AND($D463="Serviço",AJ$12&lt;&gt;0,$H463&gt;0,OR(AUTOEVENTO&lt;&gt;"manual",$M463&lt;&gt;1)),ROUND(OFFSET($P463,0,AJ$13),15-13*ORÇAMENTO!$AF$7)/$H463*OFFSET(ORÇAMENTO!$X$15,ROW(AJ463)-ROW(AJ$15),0),0)</f>
        <v>0</v>
      </c>
      <c r="AK463" s="632">
        <f ca="1">IF(AND($D463="Serviço",AK$12&lt;&gt;0,$H463&gt;0,OR(AUTOEVENTO&lt;&gt;"manual",$M463&lt;&gt;1)),ROUND(OFFSET($P463,0,AK$13),15-13*ORÇAMENTO!$AF$7)/$H463*OFFSET(ORÇAMENTO!$X$15,ROW(AK463)-ROW(AK$15),0),0)</f>
        <v>0</v>
      </c>
      <c r="AL463" s="632">
        <f ca="1">IF(AND($D463="Serviço",AL$12&lt;&gt;0,$H463&gt;0,OR(AUTOEVENTO&lt;&gt;"manual",$M463&lt;&gt;1)),ROUND(OFFSET($P463,0,AL$13),15-13*ORÇAMENTO!$AF$7)/$H463*OFFSET(ORÇAMENTO!$X$15,ROW(AL463)-ROW(AL$15),0),0)</f>
        <v>0</v>
      </c>
      <c r="AM463" s="632">
        <f ca="1">IF(AND($D463="Serviço",AM$12&lt;&gt;0,$H463&gt;0,OR(AUTOEVENTO&lt;&gt;"manual",$M463&lt;&gt;1)),ROUND(OFFSET($P463,0,AM$13),15-13*ORÇAMENTO!$AF$7)/$H463*OFFSET(ORÇAMENTO!$X$15,ROW(AM463)-ROW(AM$15),0),0)</f>
        <v>0</v>
      </c>
      <c r="AN463" s="632">
        <f ca="1">IF(AND($D463="Serviço",AN$12&lt;&gt;0,$H463&gt;0,OR(AUTOEVENTO&lt;&gt;"manual",$M463&lt;&gt;1)),ROUND(OFFSET($P463,0,AN$13),15-13*ORÇAMENTO!$AF$7)/$H463*OFFSET(ORÇAMENTO!$X$15,ROW(AN463)-ROW(AN$15),0),0)</f>
        <v>0</v>
      </c>
      <c r="AO463" s="632">
        <f ca="1">IF(AND($D463="Serviço",AO$12&lt;&gt;0,$H463&gt;0,OR(AUTOEVENTO&lt;&gt;"manual",$M463&lt;&gt;1)),ROUND(OFFSET($P463,0,AO$13),15-13*ORÇAMENTO!$AF$7)/$H463*OFFSET(ORÇAMENTO!$X$15,ROW(AO463)-ROW(AO$15),0),0)</f>
        <v>0</v>
      </c>
      <c r="AP463" s="632">
        <f ca="1">IF(AND($D463="Serviço",AP$12&lt;&gt;0,$H463&gt;0,OR(AUTOEVENTO&lt;&gt;"manual",$M463&lt;&gt;1)),ROUND(OFFSET($P463,0,AP$13),15-13*ORÇAMENTO!$AF$7)/$H463*OFFSET(ORÇAMENTO!$X$15,ROW(AP463)-ROW(AP$15),0),0)</f>
        <v>0</v>
      </c>
      <c r="AQ463" s="632">
        <f ca="1">IF(AND($D463="Serviço",AQ$12&lt;&gt;0,$H463&gt;0,OR(AUTOEVENTO&lt;&gt;"manual",$M463&lt;&gt;1)),ROUND(OFFSET($P463,0,AQ$13),15-13*ORÇAMENTO!$AF$7)/$H463*OFFSET(ORÇAMENTO!$X$15,ROW(AQ463)-ROW(AQ$15),0),0)</f>
        <v>0</v>
      </c>
      <c r="AR463" s="632">
        <f ca="1">IF(AND($D463="Serviço",AR$12&lt;&gt;0,$H463&gt;0,OR(AUTOEVENTO&lt;&gt;"manual",$M463&lt;&gt;1)),ROUND(OFFSET($P463,0,AR$13),15-13*ORÇAMENTO!$AF$7)/$H463*OFFSET(ORÇAMENTO!$X$15,ROW(AR463)-ROW(AR$15),0),0)</f>
        <v>0</v>
      </c>
      <c r="AS463" s="633">
        <f ca="1">IF(AND($D463="Serviço",AS$12&lt;&gt;0,$H463&gt;0,OR(AUTOEVENTO&lt;&gt;"manual",$M463&lt;&gt;1)),ROUND(OFFSET($P463,0,AS$13),15-13*ORÇAMENTO!$AF$7)/$H463*OFFSET(ORÇAMENTO!$X$15,ROW(AS463)-ROW(AS$15),0),0)</f>
        <v>0</v>
      </c>
      <c r="AT463" s="632">
        <f ca="1">IF(AND($D463="Serviço",AT$12&lt;&gt;0,$H463&gt;0,OR(AUTOEVENTO&lt;&gt;"manual",$M463&lt;&gt;1)),ROUND(OFFSET($P463,0,AT$13),15-13*ORÇAMENTO!$AF$7)/$H463*OFFSET(ORÇAMENTO!$X$15,ROW(AT463)-ROW(AT$15),0),0)</f>
        <v>0</v>
      </c>
      <c r="AU463" s="632">
        <f ca="1">IF(AND($D463="Serviço",AU$12&lt;&gt;0,$H463&gt;0,OR(AUTOEVENTO&lt;&gt;"manual",$M463&lt;&gt;1)),ROUND(OFFSET($P463,0,AU$13),15-13*ORÇAMENTO!$AF$7)/$H463*OFFSET(ORÇAMENTO!$X$15,ROW(AU463)-ROW(AU$15),0),0)</f>
        <v>0</v>
      </c>
      <c r="AV463" s="632">
        <f ca="1">IF(AND($D463="Serviço",AV$12&lt;&gt;0,$H463&gt;0,OR(AUTOEVENTO&lt;&gt;"manual",$M463&lt;&gt;1)),ROUND(OFFSET($P463,0,AV$13),15-13*ORÇAMENTO!$AF$7)/$H463*OFFSET(ORÇAMENTO!$X$15,ROW(AV463)-ROW(AV$15),0),0)</f>
        <v>0</v>
      </c>
      <c r="AW463" s="632">
        <f ca="1">IF(AND($D463="Serviço",AW$12&lt;&gt;0,$H463&gt;0,OR(AUTOEVENTO&lt;&gt;"manual",$M463&lt;&gt;1)),ROUND(OFFSET($P463,0,AW$13),15-13*ORÇAMENTO!$AF$7)/$H463*OFFSET(ORÇAMENTO!$X$15,ROW(AW463)-ROW(AW$15),0),0)</f>
        <v>0</v>
      </c>
      <c r="AX463" s="632">
        <f ca="1">IF(AND($D463="Serviço",AX$12&lt;&gt;0,$H463&gt;0,OR(AUTOEVENTO&lt;&gt;"manual",$M463&lt;&gt;1)),ROUND(OFFSET($P463,0,AX$13),15-13*ORÇAMENTO!$AF$7)/$H463*OFFSET(ORÇAMENTO!$X$15,ROW(AX463)-ROW(AX$15),0),0)</f>
        <v>0</v>
      </c>
      <c r="AY463" s="632">
        <f ca="1">IF(AND($D463="Serviço",AY$12&lt;&gt;0,$H463&gt;0,OR(AUTOEVENTO&lt;&gt;"manual",$M463&lt;&gt;1)),ROUND(OFFSET($P463,0,AY$13),15-13*ORÇAMENTO!$AF$7)/$H463*OFFSET(ORÇAMENTO!$X$15,ROW(AY463)-ROW(AY$15),0),0)</f>
        <v>0</v>
      </c>
      <c r="AZ463" s="632">
        <f ca="1">IF(AND($D463="Serviço",AZ$12&lt;&gt;0,$H463&gt;0,OR(AUTOEVENTO&lt;&gt;"manual",$M463&lt;&gt;1)),ROUND(OFFSET($P463,0,AZ$13),15-13*ORÇAMENTO!$AF$7)/$H463*OFFSET(ORÇAMENTO!$X$15,ROW(AZ463)-ROW(AZ$15),0),0)</f>
        <v>0</v>
      </c>
      <c r="BA463" s="633">
        <f ca="1">IF(AND($D463="Serviço",BA$12&lt;&gt;0,$H463&gt;0,OR(AUTOEVENTO&lt;&gt;"manual",$M463&lt;&gt;1)),ROUND(OFFSET($P463,0,BA$13),15-13*ORÇAMENTO!$AF$7)/$H463*OFFSET(ORÇAMENTO!$X$15,ROW(BA463)-ROW(BA$15),0),0)</f>
        <v>0</v>
      </c>
      <c r="BC463" s="215">
        <f ca="1">IF($D463&lt;&gt;"Serviço",0,IF(AND(AUTOEVENTO="Manual",$M463=1),0,IF(OFFSET(CRONOPLE!$F$14,$M463,BC$13)="",10^12,OFFSET(CRONOPLE!$F$14,$M463,BC$13))))</f>
        <v>1000000000000</v>
      </c>
      <c r="BD463" s="215">
        <f ca="1">IF($D463&lt;&gt;"Serviço",0,IF(AND(AUTOEVENTO="Manual",$M463=1),0,IF(OFFSET(CRONOPLE!$F$14,$M463,BD$13)="",10^12,OFFSET(CRONOPLE!$F$14,$M463,BD$13))))</f>
        <v>1000000000000</v>
      </c>
      <c r="BE463" s="215">
        <f ca="1">IF($D463&lt;&gt;"Serviço",0,IF(AND(AUTOEVENTO="Manual",$M463=1),0,IF(OFFSET(CRONOPLE!$F$14,$M463,BE$13)="",10^12,OFFSET(CRONOPLE!$F$14,$M463,BE$13))))</f>
        <v>1000000000000</v>
      </c>
      <c r="BF463" s="215">
        <f ca="1">IF($D463&lt;&gt;"Serviço",0,IF(AND(AUTOEVENTO="Manual",$M463=1),0,IF(OFFSET(CRONOPLE!$F$14,$M463,BF$13)="",10^12,OFFSET(CRONOPLE!$F$14,$M463,BF$13))))</f>
        <v>1000000000000</v>
      </c>
      <c r="BG463" s="215">
        <f ca="1">IF($D463&lt;&gt;"Serviço",0,IF(AND(AUTOEVENTO="Manual",$M463=1),0,IF(OFFSET(CRONOPLE!$F$14,$M463,BG$13)="",10^12,OFFSET(CRONOPLE!$F$14,$M463,BG$13))))</f>
        <v>1000000000000</v>
      </c>
      <c r="BH463" s="215">
        <f ca="1">IF($D463&lt;&gt;"Serviço",0,IF(AND(AUTOEVENTO="Manual",$M463=1),0,IF(OFFSET(CRONOPLE!$F$14,$M463,BH$13)="",10^12,OFFSET(CRONOPLE!$F$14,$M463,BH$13))))</f>
        <v>1000000000000</v>
      </c>
      <c r="BI463" s="215">
        <f ca="1">IF($D463&lt;&gt;"Serviço",0,IF(AND(AUTOEVENTO="Manual",$M463=1),0,IF(OFFSET(CRONOPLE!$F$14,$M463,BI$13)="",10^12,OFFSET(CRONOPLE!$F$14,$M463,BI$13))))</f>
        <v>1000000000000</v>
      </c>
      <c r="BJ463" s="215">
        <f ca="1">IF($D463&lt;&gt;"Serviço",0,IF(AND(AUTOEVENTO="Manual",$M463=1),0,IF(OFFSET(CRONOPLE!$F$14,$M463,BJ$13)="",10^12,OFFSET(CRONOPLE!$F$14,$M463,BJ$13))))</f>
        <v>1000000000000</v>
      </c>
      <c r="BK463" s="215">
        <f ca="1">IF($D463&lt;&gt;"Serviço",0,IF(AND(AUTOEVENTO="Manual",$M463=1),0,IF(OFFSET(CRONOPLE!$F$14,$M463,BK$13)="",10^12,OFFSET(CRONOPLE!$F$14,$M463,BK$13))))</f>
        <v>1000000000000</v>
      </c>
      <c r="BL463" s="215">
        <f ca="1">IF($D463&lt;&gt;"Serviço",0,IF(AND(AUTOEVENTO="Manual",$M463=1),0,IF(OFFSET(CRONOPLE!$F$14,$M463,BL$13)="",10^12,OFFSET(CRONOPLE!$F$14,$M463,BL$13))))</f>
        <v>1000000000000</v>
      </c>
      <c r="BM463" s="215">
        <f ca="1">IF($D463&lt;&gt;"Serviço",0,IF(AND(AUTOEVENTO="Manual",$M463=1),0,IF(OFFSET(CRONOPLE!$F$14,$M463,BM$13)="",10^12,OFFSET(CRONOPLE!$F$14,$M463,BM$13))))</f>
        <v>1000000000000</v>
      </c>
      <c r="BN463" s="215">
        <f ca="1">IF($D463&lt;&gt;"Serviço",0,IF(AND(AUTOEVENTO="Manual",$M463=1),0,IF(OFFSET(CRONOPLE!$F$14,$M463,BN$13)="",10^12,OFFSET(CRONOPLE!$F$14,$M463,BN$13))))</f>
        <v>1000000000000</v>
      </c>
      <c r="BO463" s="215">
        <f ca="1">IF($D463&lt;&gt;"Serviço",0,IF(AND(AUTOEVENTO="Manual",$M463=1),0,IF(OFFSET(CRONOPLE!$F$14,$M463,BO$13)="",10^12,OFFSET(CRONOPLE!$F$14,$M463,BO$13))))</f>
        <v>1000000000000</v>
      </c>
      <c r="BP463" s="215">
        <f ca="1">IF($D463&lt;&gt;"Serviço",0,IF(AND(AUTOEVENTO="Manual",$M463=1),0,IF(OFFSET(CRONOPLE!$F$14,$M463,BP$13)="",10^12,OFFSET(CRONOPLE!$F$14,$M463,BP$13))))</f>
        <v>1000000000000</v>
      </c>
      <c r="BQ463" s="215">
        <f ca="1">IF($D463&lt;&gt;"Serviço",0,IF(AND(AUTOEVENTO="Manual",$M463=1),0,IF(OFFSET(CRONOPLE!$F$14,$M463,BQ$13)="",10^12,OFFSET(CRONOPLE!$F$14,$M463,BQ$13))))</f>
        <v>1000000000000</v>
      </c>
      <c r="BR463" s="215">
        <f ca="1">IF($D463&lt;&gt;"Serviço",0,IF(AND(AUTOEVENTO="Manual",$M463=1),0,IF(OFFSET(CRONOPLE!$F$14,$M463,BR$13)="",10^12,OFFSET(CRONOPLE!$F$14,$M463,BR$13))))</f>
        <v>1000000000000</v>
      </c>
      <c r="BS463" s="215">
        <f ca="1">IF($D463&lt;&gt;"Serviço",0,IF(AND(AUTOEVENTO="Manual",$M463=1),0,IF(OFFSET(CRONOPLE!$F$14,$M463,BS$13)="",10^12,OFFSET(CRONOPLE!$F$14,$M463,BS$13))))</f>
        <v>1000000000000</v>
      </c>
      <c r="BT463" s="215">
        <f ca="1">IF($D463&lt;&gt;"Serviço",0,IF(AND(AUTOEVENTO="Manual",$M463=1),0,IF(OFFSET(CRONOPLE!$F$14,$M463,BT$13)="",10^12,OFFSET(CRONOPLE!$F$14,$M463,BT$13))))</f>
        <v>1000000000000</v>
      </c>
      <c r="BV463" s="216">
        <f ca="1">IF($D463&lt;&gt;"Serviço",0,IF(OR(AND(AUTOEVENTO="Manual",$M463=1),$M463&gt;(ROW(PLE.lastrow)-ROW(PLE.firstrow))),0,IF(OFFSET(PLE!$G$14,$M463,BV$13)="",10^12,OFFSET(PLE!$G$14,$M463,BV$13))))</f>
        <v>1000000000000</v>
      </c>
      <c r="BW463" s="216">
        <f ca="1">IF($D463&lt;&gt;"Serviço",0,IF(OR(AND(AUTOEVENTO="Manual",$M463=1),$M463&gt;(ROW(PLE.lastrow)-ROW(PLE.firstrow))),0,IF(OFFSET(PLE!$G$14,$M463,BW$13)="",10^12,OFFSET(PLE!$G$14,$M463,BW$13))))</f>
        <v>1000000000000</v>
      </c>
      <c r="BX463" s="216">
        <f ca="1">IF($D463&lt;&gt;"Serviço",0,IF(OR(AND(AUTOEVENTO="Manual",$M463=1),$M463&gt;(ROW(PLE.lastrow)-ROW(PLE.firstrow))),0,IF(OFFSET(PLE!$G$14,$M463,BX$13)="",10^12,OFFSET(PLE!$G$14,$M463,BX$13))))</f>
        <v>1000000000000</v>
      </c>
      <c r="BY463" s="216">
        <f ca="1">IF($D463&lt;&gt;"Serviço",0,IF(OR(AND(AUTOEVENTO="Manual",$M463=1),$M463&gt;(ROW(PLE.lastrow)-ROW(PLE.firstrow))),0,IF(OFFSET(PLE!$G$14,$M463,BY$13)="",10^12,OFFSET(PLE!$G$14,$M463,BY$13))))</f>
        <v>1000000000000</v>
      </c>
      <c r="BZ463" s="216">
        <f ca="1">IF($D463&lt;&gt;"Serviço",0,IF(OR(AND(AUTOEVENTO="Manual",$M463=1),$M463&gt;(ROW(PLE.lastrow)-ROW(PLE.firstrow))),0,IF(OFFSET(PLE!$G$14,$M463,BZ$13)="",10^12,OFFSET(PLE!$G$14,$M463,BZ$13))))</f>
        <v>1000000000000</v>
      </c>
      <c r="CA463" s="216">
        <f ca="1">IF($D463&lt;&gt;"Serviço",0,IF(OR(AND(AUTOEVENTO="Manual",$M463=1),$M463&gt;(ROW(PLE.lastrow)-ROW(PLE.firstrow))),0,IF(OFFSET(PLE!$G$14,$M463,CA$13)="",10^12,OFFSET(PLE!$G$14,$M463,CA$13))))</f>
        <v>1000000000000</v>
      </c>
      <c r="CB463" s="216">
        <f ca="1">IF($D463&lt;&gt;"Serviço",0,IF(OR(AND(AUTOEVENTO="Manual",$M463=1),$M463&gt;(ROW(PLE.lastrow)-ROW(PLE.firstrow))),0,IF(OFFSET(PLE!$G$14,$M463,CB$13)="",10^12,OFFSET(PLE!$G$14,$M463,CB$13))))</f>
        <v>1000000000000</v>
      </c>
      <c r="CC463" s="216">
        <f ca="1">IF($D463&lt;&gt;"Serviço",0,IF(OR(AND(AUTOEVENTO="Manual",$M463=1),$M463&gt;(ROW(PLE.lastrow)-ROW(PLE.firstrow))),0,IF(OFFSET(PLE!$G$14,$M463,CC$13)="",10^12,OFFSET(PLE!$G$14,$M463,CC$13))))</f>
        <v>1000000000000</v>
      </c>
      <c r="CD463" s="216">
        <f ca="1">IF($D463&lt;&gt;"Serviço",0,IF(OR(AND(AUTOEVENTO="Manual",$M463=1),$M463&gt;(ROW(PLE.lastrow)-ROW(PLE.firstrow))),0,IF(OFFSET(PLE!$G$14,$M463,CD$13)="",10^12,OFFSET(PLE!$G$14,$M463,CD$13))))</f>
        <v>1000000000000</v>
      </c>
      <c r="CE463" s="216">
        <f ca="1">IF($D463&lt;&gt;"Serviço",0,IF(OR(AND(AUTOEVENTO="Manual",$M463=1),$M463&gt;(ROW(PLE.lastrow)-ROW(PLE.firstrow))),0,IF(OFFSET(PLE!$G$14,$M463,CE$13)="",10^12,OFFSET(PLE!$G$14,$M463,CE$13))))</f>
        <v>1000000000000</v>
      </c>
      <c r="CF463" s="216">
        <f ca="1">IF($D463&lt;&gt;"Serviço",0,IF(OR(AND(AUTOEVENTO="Manual",$M463=1),$M463&gt;(ROW(PLE.lastrow)-ROW(PLE.firstrow))),0,IF(OFFSET(PLE!$G$14,$M463,CF$13)="",10^12,OFFSET(PLE!$G$14,$M463,CF$13))))</f>
        <v>1000000000000</v>
      </c>
      <c r="CG463" s="216">
        <f ca="1">IF($D463&lt;&gt;"Serviço",0,IF(OR(AND(AUTOEVENTO="Manual",$M463=1),$M463&gt;(ROW(PLE.lastrow)-ROW(PLE.firstrow))),0,IF(OFFSET(PLE!$G$14,$M463,CG$13)="",10^12,OFFSET(PLE!$G$14,$M463,CG$13))))</f>
        <v>1000000000000</v>
      </c>
      <c r="CH463" s="216">
        <f ca="1">IF($D463&lt;&gt;"Serviço",0,IF(OR(AND(AUTOEVENTO="Manual",$M463=1),$M463&gt;(ROW(PLE.lastrow)-ROW(PLE.firstrow))),0,IF(OFFSET(PLE!$G$14,$M463,CH$13)="",10^12,OFFSET(PLE!$G$14,$M463,CH$13))))</f>
        <v>1000000000000</v>
      </c>
      <c r="CI463" s="216">
        <f ca="1">IF($D463&lt;&gt;"Serviço",0,IF(OR(AND(AUTOEVENTO="Manual",$M463=1),$M463&gt;(ROW(PLE.lastrow)-ROW(PLE.firstrow))),0,IF(OFFSET(PLE!$G$14,$M463,CI$13)="",10^12,OFFSET(PLE!$G$14,$M463,CI$13))))</f>
        <v>1000000000000</v>
      </c>
      <c r="CJ463" s="216">
        <f ca="1">IF($D463&lt;&gt;"Serviço",0,IF(OR(AND(AUTOEVENTO="Manual",$M463=1),$M463&gt;(ROW(PLE.lastrow)-ROW(PLE.firstrow))),0,IF(OFFSET(PLE!$G$14,$M463,CJ$13)="",10^12,OFFSET(PLE!$G$14,$M463,CJ$13))))</f>
        <v>1000000000000</v>
      </c>
      <c r="CK463" s="216">
        <f ca="1">IF($D463&lt;&gt;"Serviço",0,IF(OR(AND(AUTOEVENTO="Manual",$M463=1),$M463&gt;(ROW(PLE.lastrow)-ROW(PLE.firstrow))),0,IF(OFFSET(PLE!$G$14,$M463,CK$13)="",10^12,OFFSET(PLE!$G$14,$M463,CK$13))))</f>
        <v>1000000000000</v>
      </c>
      <c r="CL463" s="216">
        <f ca="1">IF($D463&lt;&gt;"Serviço",0,IF(OR(AND(AUTOEVENTO="Manual",$M463=1),$M463&gt;(ROW(PLE.lastrow)-ROW(PLE.firstrow))),0,IF(OFFSET(PLE!$G$14,$M463,CL$13)="",10^12,OFFSET(PLE!$G$14,$M463,CL$13))))</f>
        <v>1000000000000</v>
      </c>
      <c r="CM463" s="216">
        <f ca="1">IF($D463&lt;&gt;"Serviço",0,IF(OR(AND(AUTOEVENTO="Manual",$M463=1),$M463&gt;(ROW(PLE.lastrow)-ROW(PLE.firstrow))),0,IF(OFFSET(PLE!$G$14,$M463,CM$13)="",10^12,OFFSET(PLE!$G$14,$M463,CM$13))))</f>
        <v>1000000000000</v>
      </c>
    </row>
    <row r="464" spans="1:91" ht="13.2" x14ac:dyDescent="0.25">
      <c r="A464" s="9">
        <f t="shared" ca="1" si="16"/>
        <v>0</v>
      </c>
      <c r="B464" s="9" t="str">
        <f ca="1">OFFSET(ORÇAMENTO!C$15,ROW(B464)-ROW(B$15),0)</f>
        <v>S</v>
      </c>
      <c r="C464" s="9" t="str">
        <f ca="1">OFFSET(ORÇAMENTO!L$15,ROW(C464)-ROW(C$15),0)</f>
        <v/>
      </c>
      <c r="D464" s="145" t="str">
        <f ca="1">OFFSET(ORÇAMENTO!N$15,ROW(D464)-ROW(D$15),0)</f>
        <v>Serviço</v>
      </c>
      <c r="E464" s="205" t="str">
        <f ca="1">OFFSET(ORÇAMENTO!O$15,ROW(E464)-ROW(E$15),0)</f>
        <v>-</v>
      </c>
      <c r="F464" s="206" t="str">
        <f ca="1">OFFSET(ORÇAMENTO!R$15,ROW(F464)-ROW(F$15),0)</f>
        <v>(abra o arquivo 'Referência 05-2024.xls)</v>
      </c>
      <c r="G464" s="207" t="str">
        <f ca="1">IF($D464&lt;&gt;"Serviço","",OFFSET(ORÇAMENTO!S$15,ROW(G464)-ROW(G$15),0))</f>
        <v>-</v>
      </c>
      <c r="H464" s="151">
        <f ca="1">IF($D464&lt;&gt;"Serviço",0,IF(ACOMPANHAMENTO="BM",ROUND(OFFSET(ORÇAMENTO!AJ$15,ROW(H464)-ROW(H$15),0),15-13*ORÇAMENTO!$AF$7),SUMPRODUCT(($Q$12:$AI$12&lt;&gt;"")*ROUND($Q464:$AI464,15-13*ORÇAMENTO!$AF$7))))</f>
        <v>6</v>
      </c>
      <c r="I464" s="650"/>
      <c r="K464" s="208"/>
      <c r="L464" s="209" t="s">
        <v>257</v>
      </c>
      <c r="M464" s="210">
        <f ca="1">IF($D464&lt;&gt;"Serviço","",IF(AUTOEVENTO="manual",$A464,IF(ISERROR(MATCH($A464,$A$15:OFFSET($A464,-1,0),0)),MAX($M$15:OFFSET(M464,-1,0))+1,INDEX($M$15:OFFSET(M464,-1,0),MATCH($A464,$A$15:OFFSET($A464,-1,0),0)))))</f>
        <v>0</v>
      </c>
      <c r="N464" s="211" t="str">
        <f ca="1">IF($D464&lt;&gt;"Serviço","",IF(AUTOEVENTO="Manual",IF($A464=0,"&lt;-- defina o número do agrupador",OFFSET(EVENTOS!$D$14,$A464,0)),OFFSET($F$15,$A464,0)))</f>
        <v>&lt;-- defina o número do agrupador</v>
      </c>
      <c r="O464" s="212"/>
      <c r="Q464" s="212"/>
      <c r="R464" s="213"/>
      <c r="S464" s="213"/>
      <c r="T464" s="213"/>
      <c r="U464" s="213"/>
      <c r="V464" s="213"/>
      <c r="W464" s="213"/>
      <c r="X464" s="213"/>
      <c r="Y464" s="213"/>
      <c r="Z464" s="214"/>
      <c r="AA464" s="213"/>
      <c r="AB464" s="213"/>
      <c r="AC464" s="213"/>
      <c r="AD464" s="213"/>
      <c r="AE464" s="213"/>
      <c r="AF464" s="213"/>
      <c r="AG464" s="213"/>
      <c r="AH464" s="214"/>
      <c r="AJ464" s="631">
        <f ca="1">IF(AND($D464="Serviço",AJ$12&lt;&gt;0,$H464&gt;0,OR(AUTOEVENTO&lt;&gt;"manual",$M464&lt;&gt;1)),ROUND(OFFSET($P464,0,AJ$13),15-13*ORÇAMENTO!$AF$7)/$H464*OFFSET(ORÇAMENTO!$X$15,ROW(AJ464)-ROW(AJ$15),0),0)</f>
        <v>0</v>
      </c>
      <c r="AK464" s="632">
        <f ca="1">IF(AND($D464="Serviço",AK$12&lt;&gt;0,$H464&gt;0,OR(AUTOEVENTO&lt;&gt;"manual",$M464&lt;&gt;1)),ROUND(OFFSET($P464,0,AK$13),15-13*ORÇAMENTO!$AF$7)/$H464*OFFSET(ORÇAMENTO!$X$15,ROW(AK464)-ROW(AK$15),0),0)</f>
        <v>0</v>
      </c>
      <c r="AL464" s="632">
        <f ca="1">IF(AND($D464="Serviço",AL$12&lt;&gt;0,$H464&gt;0,OR(AUTOEVENTO&lt;&gt;"manual",$M464&lt;&gt;1)),ROUND(OFFSET($P464,0,AL$13),15-13*ORÇAMENTO!$AF$7)/$H464*OFFSET(ORÇAMENTO!$X$15,ROW(AL464)-ROW(AL$15),0),0)</f>
        <v>0</v>
      </c>
      <c r="AM464" s="632">
        <f ca="1">IF(AND($D464="Serviço",AM$12&lt;&gt;0,$H464&gt;0,OR(AUTOEVENTO&lt;&gt;"manual",$M464&lt;&gt;1)),ROUND(OFFSET($P464,0,AM$13),15-13*ORÇAMENTO!$AF$7)/$H464*OFFSET(ORÇAMENTO!$X$15,ROW(AM464)-ROW(AM$15),0),0)</f>
        <v>0</v>
      </c>
      <c r="AN464" s="632">
        <f ca="1">IF(AND($D464="Serviço",AN$12&lt;&gt;0,$H464&gt;0,OR(AUTOEVENTO&lt;&gt;"manual",$M464&lt;&gt;1)),ROUND(OFFSET($P464,0,AN$13),15-13*ORÇAMENTO!$AF$7)/$H464*OFFSET(ORÇAMENTO!$X$15,ROW(AN464)-ROW(AN$15),0),0)</f>
        <v>0</v>
      </c>
      <c r="AO464" s="632">
        <f ca="1">IF(AND($D464="Serviço",AO$12&lt;&gt;0,$H464&gt;0,OR(AUTOEVENTO&lt;&gt;"manual",$M464&lt;&gt;1)),ROUND(OFFSET($P464,0,AO$13),15-13*ORÇAMENTO!$AF$7)/$H464*OFFSET(ORÇAMENTO!$X$15,ROW(AO464)-ROW(AO$15),0),0)</f>
        <v>0</v>
      </c>
      <c r="AP464" s="632">
        <f ca="1">IF(AND($D464="Serviço",AP$12&lt;&gt;0,$H464&gt;0,OR(AUTOEVENTO&lt;&gt;"manual",$M464&lt;&gt;1)),ROUND(OFFSET($P464,0,AP$13),15-13*ORÇAMENTO!$AF$7)/$H464*OFFSET(ORÇAMENTO!$X$15,ROW(AP464)-ROW(AP$15),0),0)</f>
        <v>0</v>
      </c>
      <c r="AQ464" s="632">
        <f ca="1">IF(AND($D464="Serviço",AQ$12&lt;&gt;0,$H464&gt;0,OR(AUTOEVENTO&lt;&gt;"manual",$M464&lt;&gt;1)),ROUND(OFFSET($P464,0,AQ$13),15-13*ORÇAMENTO!$AF$7)/$H464*OFFSET(ORÇAMENTO!$X$15,ROW(AQ464)-ROW(AQ$15),0),0)</f>
        <v>0</v>
      </c>
      <c r="AR464" s="632">
        <f ca="1">IF(AND($D464="Serviço",AR$12&lt;&gt;0,$H464&gt;0,OR(AUTOEVENTO&lt;&gt;"manual",$M464&lt;&gt;1)),ROUND(OFFSET($P464,0,AR$13),15-13*ORÇAMENTO!$AF$7)/$H464*OFFSET(ORÇAMENTO!$X$15,ROW(AR464)-ROW(AR$15),0),0)</f>
        <v>0</v>
      </c>
      <c r="AS464" s="633">
        <f ca="1">IF(AND($D464="Serviço",AS$12&lt;&gt;0,$H464&gt;0,OR(AUTOEVENTO&lt;&gt;"manual",$M464&lt;&gt;1)),ROUND(OFFSET($P464,0,AS$13),15-13*ORÇAMENTO!$AF$7)/$H464*OFFSET(ORÇAMENTO!$X$15,ROW(AS464)-ROW(AS$15),0),0)</f>
        <v>0</v>
      </c>
      <c r="AT464" s="632">
        <f ca="1">IF(AND($D464="Serviço",AT$12&lt;&gt;0,$H464&gt;0,OR(AUTOEVENTO&lt;&gt;"manual",$M464&lt;&gt;1)),ROUND(OFFSET($P464,0,AT$13),15-13*ORÇAMENTO!$AF$7)/$H464*OFFSET(ORÇAMENTO!$X$15,ROW(AT464)-ROW(AT$15),0),0)</f>
        <v>0</v>
      </c>
      <c r="AU464" s="632">
        <f ca="1">IF(AND($D464="Serviço",AU$12&lt;&gt;0,$H464&gt;0,OR(AUTOEVENTO&lt;&gt;"manual",$M464&lt;&gt;1)),ROUND(OFFSET($P464,0,AU$13),15-13*ORÇAMENTO!$AF$7)/$H464*OFFSET(ORÇAMENTO!$X$15,ROW(AU464)-ROW(AU$15),0),0)</f>
        <v>0</v>
      </c>
      <c r="AV464" s="632">
        <f ca="1">IF(AND($D464="Serviço",AV$12&lt;&gt;0,$H464&gt;0,OR(AUTOEVENTO&lt;&gt;"manual",$M464&lt;&gt;1)),ROUND(OFFSET($P464,0,AV$13),15-13*ORÇAMENTO!$AF$7)/$H464*OFFSET(ORÇAMENTO!$X$15,ROW(AV464)-ROW(AV$15),0),0)</f>
        <v>0</v>
      </c>
      <c r="AW464" s="632">
        <f ca="1">IF(AND($D464="Serviço",AW$12&lt;&gt;0,$H464&gt;0,OR(AUTOEVENTO&lt;&gt;"manual",$M464&lt;&gt;1)),ROUND(OFFSET($P464,0,AW$13),15-13*ORÇAMENTO!$AF$7)/$H464*OFFSET(ORÇAMENTO!$X$15,ROW(AW464)-ROW(AW$15),0),0)</f>
        <v>0</v>
      </c>
      <c r="AX464" s="632">
        <f ca="1">IF(AND($D464="Serviço",AX$12&lt;&gt;0,$H464&gt;0,OR(AUTOEVENTO&lt;&gt;"manual",$M464&lt;&gt;1)),ROUND(OFFSET($P464,0,AX$13),15-13*ORÇAMENTO!$AF$7)/$H464*OFFSET(ORÇAMENTO!$X$15,ROW(AX464)-ROW(AX$15),0),0)</f>
        <v>0</v>
      </c>
      <c r="AY464" s="632">
        <f ca="1">IF(AND($D464="Serviço",AY$12&lt;&gt;0,$H464&gt;0,OR(AUTOEVENTO&lt;&gt;"manual",$M464&lt;&gt;1)),ROUND(OFFSET($P464,0,AY$13),15-13*ORÇAMENTO!$AF$7)/$H464*OFFSET(ORÇAMENTO!$X$15,ROW(AY464)-ROW(AY$15),0),0)</f>
        <v>0</v>
      </c>
      <c r="AZ464" s="632">
        <f ca="1">IF(AND($D464="Serviço",AZ$12&lt;&gt;0,$H464&gt;0,OR(AUTOEVENTO&lt;&gt;"manual",$M464&lt;&gt;1)),ROUND(OFFSET($P464,0,AZ$13),15-13*ORÇAMENTO!$AF$7)/$H464*OFFSET(ORÇAMENTO!$X$15,ROW(AZ464)-ROW(AZ$15),0),0)</f>
        <v>0</v>
      </c>
      <c r="BA464" s="633">
        <f ca="1">IF(AND($D464="Serviço",BA$12&lt;&gt;0,$H464&gt;0,OR(AUTOEVENTO&lt;&gt;"manual",$M464&lt;&gt;1)),ROUND(OFFSET($P464,0,BA$13),15-13*ORÇAMENTO!$AF$7)/$H464*OFFSET(ORÇAMENTO!$X$15,ROW(BA464)-ROW(BA$15),0),0)</f>
        <v>0</v>
      </c>
      <c r="BC464" s="215">
        <f ca="1">IF($D464&lt;&gt;"Serviço",0,IF(AND(AUTOEVENTO="Manual",$M464=1),0,IF(OFFSET(CRONOPLE!$F$14,$M464,BC$13)="",10^12,OFFSET(CRONOPLE!$F$14,$M464,BC$13))))</f>
        <v>1000000000000</v>
      </c>
      <c r="BD464" s="215">
        <f ca="1">IF($D464&lt;&gt;"Serviço",0,IF(AND(AUTOEVENTO="Manual",$M464=1),0,IF(OFFSET(CRONOPLE!$F$14,$M464,BD$13)="",10^12,OFFSET(CRONOPLE!$F$14,$M464,BD$13))))</f>
        <v>1000000000000</v>
      </c>
      <c r="BE464" s="215">
        <f ca="1">IF($D464&lt;&gt;"Serviço",0,IF(AND(AUTOEVENTO="Manual",$M464=1),0,IF(OFFSET(CRONOPLE!$F$14,$M464,BE$13)="",10^12,OFFSET(CRONOPLE!$F$14,$M464,BE$13))))</f>
        <v>1000000000000</v>
      </c>
      <c r="BF464" s="215">
        <f ca="1">IF($D464&lt;&gt;"Serviço",0,IF(AND(AUTOEVENTO="Manual",$M464=1),0,IF(OFFSET(CRONOPLE!$F$14,$M464,BF$13)="",10^12,OFFSET(CRONOPLE!$F$14,$M464,BF$13))))</f>
        <v>1000000000000</v>
      </c>
      <c r="BG464" s="215">
        <f ca="1">IF($D464&lt;&gt;"Serviço",0,IF(AND(AUTOEVENTO="Manual",$M464=1),0,IF(OFFSET(CRONOPLE!$F$14,$M464,BG$13)="",10^12,OFFSET(CRONOPLE!$F$14,$M464,BG$13))))</f>
        <v>1000000000000</v>
      </c>
      <c r="BH464" s="215">
        <f ca="1">IF($D464&lt;&gt;"Serviço",0,IF(AND(AUTOEVENTO="Manual",$M464=1),0,IF(OFFSET(CRONOPLE!$F$14,$M464,BH$13)="",10^12,OFFSET(CRONOPLE!$F$14,$M464,BH$13))))</f>
        <v>1000000000000</v>
      </c>
      <c r="BI464" s="215">
        <f ca="1">IF($D464&lt;&gt;"Serviço",0,IF(AND(AUTOEVENTO="Manual",$M464=1),0,IF(OFFSET(CRONOPLE!$F$14,$M464,BI$13)="",10^12,OFFSET(CRONOPLE!$F$14,$M464,BI$13))))</f>
        <v>1000000000000</v>
      </c>
      <c r="BJ464" s="215">
        <f ca="1">IF($D464&lt;&gt;"Serviço",0,IF(AND(AUTOEVENTO="Manual",$M464=1),0,IF(OFFSET(CRONOPLE!$F$14,$M464,BJ$13)="",10^12,OFFSET(CRONOPLE!$F$14,$M464,BJ$13))))</f>
        <v>1000000000000</v>
      </c>
      <c r="BK464" s="215">
        <f ca="1">IF($D464&lt;&gt;"Serviço",0,IF(AND(AUTOEVENTO="Manual",$M464=1),0,IF(OFFSET(CRONOPLE!$F$14,$M464,BK$13)="",10^12,OFFSET(CRONOPLE!$F$14,$M464,BK$13))))</f>
        <v>1000000000000</v>
      </c>
      <c r="BL464" s="215">
        <f ca="1">IF($D464&lt;&gt;"Serviço",0,IF(AND(AUTOEVENTO="Manual",$M464=1),0,IF(OFFSET(CRONOPLE!$F$14,$M464,BL$13)="",10^12,OFFSET(CRONOPLE!$F$14,$M464,BL$13))))</f>
        <v>1000000000000</v>
      </c>
      <c r="BM464" s="215">
        <f ca="1">IF($D464&lt;&gt;"Serviço",0,IF(AND(AUTOEVENTO="Manual",$M464=1),0,IF(OFFSET(CRONOPLE!$F$14,$M464,BM$13)="",10^12,OFFSET(CRONOPLE!$F$14,$M464,BM$13))))</f>
        <v>1000000000000</v>
      </c>
      <c r="BN464" s="215">
        <f ca="1">IF($D464&lt;&gt;"Serviço",0,IF(AND(AUTOEVENTO="Manual",$M464=1),0,IF(OFFSET(CRONOPLE!$F$14,$M464,BN$13)="",10^12,OFFSET(CRONOPLE!$F$14,$M464,BN$13))))</f>
        <v>1000000000000</v>
      </c>
      <c r="BO464" s="215">
        <f ca="1">IF($D464&lt;&gt;"Serviço",0,IF(AND(AUTOEVENTO="Manual",$M464=1),0,IF(OFFSET(CRONOPLE!$F$14,$M464,BO$13)="",10^12,OFFSET(CRONOPLE!$F$14,$M464,BO$13))))</f>
        <v>1000000000000</v>
      </c>
      <c r="BP464" s="215">
        <f ca="1">IF($D464&lt;&gt;"Serviço",0,IF(AND(AUTOEVENTO="Manual",$M464=1),0,IF(OFFSET(CRONOPLE!$F$14,$M464,BP$13)="",10^12,OFFSET(CRONOPLE!$F$14,$M464,BP$13))))</f>
        <v>1000000000000</v>
      </c>
      <c r="BQ464" s="215">
        <f ca="1">IF($D464&lt;&gt;"Serviço",0,IF(AND(AUTOEVENTO="Manual",$M464=1),0,IF(OFFSET(CRONOPLE!$F$14,$M464,BQ$13)="",10^12,OFFSET(CRONOPLE!$F$14,$M464,BQ$13))))</f>
        <v>1000000000000</v>
      </c>
      <c r="BR464" s="215">
        <f ca="1">IF($D464&lt;&gt;"Serviço",0,IF(AND(AUTOEVENTO="Manual",$M464=1),0,IF(OFFSET(CRONOPLE!$F$14,$M464,BR$13)="",10^12,OFFSET(CRONOPLE!$F$14,$M464,BR$13))))</f>
        <v>1000000000000</v>
      </c>
      <c r="BS464" s="215">
        <f ca="1">IF($D464&lt;&gt;"Serviço",0,IF(AND(AUTOEVENTO="Manual",$M464=1),0,IF(OFFSET(CRONOPLE!$F$14,$M464,BS$13)="",10^12,OFFSET(CRONOPLE!$F$14,$M464,BS$13))))</f>
        <v>1000000000000</v>
      </c>
      <c r="BT464" s="215">
        <f ca="1">IF($D464&lt;&gt;"Serviço",0,IF(AND(AUTOEVENTO="Manual",$M464=1),0,IF(OFFSET(CRONOPLE!$F$14,$M464,BT$13)="",10^12,OFFSET(CRONOPLE!$F$14,$M464,BT$13))))</f>
        <v>1000000000000</v>
      </c>
      <c r="BV464" s="216">
        <f ca="1">IF($D464&lt;&gt;"Serviço",0,IF(OR(AND(AUTOEVENTO="Manual",$M464=1),$M464&gt;(ROW(PLE.lastrow)-ROW(PLE.firstrow))),0,IF(OFFSET(PLE!$G$14,$M464,BV$13)="",10^12,OFFSET(PLE!$G$14,$M464,BV$13))))</f>
        <v>1000000000000</v>
      </c>
      <c r="BW464" s="216">
        <f ca="1">IF($D464&lt;&gt;"Serviço",0,IF(OR(AND(AUTOEVENTO="Manual",$M464=1),$M464&gt;(ROW(PLE.lastrow)-ROW(PLE.firstrow))),0,IF(OFFSET(PLE!$G$14,$M464,BW$13)="",10^12,OFFSET(PLE!$G$14,$M464,BW$13))))</f>
        <v>1000000000000</v>
      </c>
      <c r="BX464" s="216">
        <f ca="1">IF($D464&lt;&gt;"Serviço",0,IF(OR(AND(AUTOEVENTO="Manual",$M464=1),$M464&gt;(ROW(PLE.lastrow)-ROW(PLE.firstrow))),0,IF(OFFSET(PLE!$G$14,$M464,BX$13)="",10^12,OFFSET(PLE!$G$14,$M464,BX$13))))</f>
        <v>1000000000000</v>
      </c>
      <c r="BY464" s="216">
        <f ca="1">IF($D464&lt;&gt;"Serviço",0,IF(OR(AND(AUTOEVENTO="Manual",$M464=1),$M464&gt;(ROW(PLE.lastrow)-ROW(PLE.firstrow))),0,IF(OFFSET(PLE!$G$14,$M464,BY$13)="",10^12,OFFSET(PLE!$G$14,$M464,BY$13))))</f>
        <v>1000000000000</v>
      </c>
      <c r="BZ464" s="216">
        <f ca="1">IF($D464&lt;&gt;"Serviço",0,IF(OR(AND(AUTOEVENTO="Manual",$M464=1),$M464&gt;(ROW(PLE.lastrow)-ROW(PLE.firstrow))),0,IF(OFFSET(PLE!$G$14,$M464,BZ$13)="",10^12,OFFSET(PLE!$G$14,$M464,BZ$13))))</f>
        <v>1000000000000</v>
      </c>
      <c r="CA464" s="216">
        <f ca="1">IF($D464&lt;&gt;"Serviço",0,IF(OR(AND(AUTOEVENTO="Manual",$M464=1),$M464&gt;(ROW(PLE.lastrow)-ROW(PLE.firstrow))),0,IF(OFFSET(PLE!$G$14,$M464,CA$13)="",10^12,OFFSET(PLE!$G$14,$M464,CA$13))))</f>
        <v>1000000000000</v>
      </c>
      <c r="CB464" s="216">
        <f ca="1">IF($D464&lt;&gt;"Serviço",0,IF(OR(AND(AUTOEVENTO="Manual",$M464=1),$M464&gt;(ROW(PLE.lastrow)-ROW(PLE.firstrow))),0,IF(OFFSET(PLE!$G$14,$M464,CB$13)="",10^12,OFFSET(PLE!$G$14,$M464,CB$13))))</f>
        <v>1000000000000</v>
      </c>
      <c r="CC464" s="216">
        <f ca="1">IF($D464&lt;&gt;"Serviço",0,IF(OR(AND(AUTOEVENTO="Manual",$M464=1),$M464&gt;(ROW(PLE.lastrow)-ROW(PLE.firstrow))),0,IF(OFFSET(PLE!$G$14,$M464,CC$13)="",10^12,OFFSET(PLE!$G$14,$M464,CC$13))))</f>
        <v>1000000000000</v>
      </c>
      <c r="CD464" s="216">
        <f ca="1">IF($D464&lt;&gt;"Serviço",0,IF(OR(AND(AUTOEVENTO="Manual",$M464=1),$M464&gt;(ROW(PLE.lastrow)-ROW(PLE.firstrow))),0,IF(OFFSET(PLE!$G$14,$M464,CD$13)="",10^12,OFFSET(PLE!$G$14,$M464,CD$13))))</f>
        <v>1000000000000</v>
      </c>
      <c r="CE464" s="216">
        <f ca="1">IF($D464&lt;&gt;"Serviço",0,IF(OR(AND(AUTOEVENTO="Manual",$M464=1),$M464&gt;(ROW(PLE.lastrow)-ROW(PLE.firstrow))),0,IF(OFFSET(PLE!$G$14,$M464,CE$13)="",10^12,OFFSET(PLE!$G$14,$M464,CE$13))))</f>
        <v>1000000000000</v>
      </c>
      <c r="CF464" s="216">
        <f ca="1">IF($D464&lt;&gt;"Serviço",0,IF(OR(AND(AUTOEVENTO="Manual",$M464=1),$M464&gt;(ROW(PLE.lastrow)-ROW(PLE.firstrow))),0,IF(OFFSET(PLE!$G$14,$M464,CF$13)="",10^12,OFFSET(PLE!$G$14,$M464,CF$13))))</f>
        <v>1000000000000</v>
      </c>
      <c r="CG464" s="216">
        <f ca="1">IF($D464&lt;&gt;"Serviço",0,IF(OR(AND(AUTOEVENTO="Manual",$M464=1),$M464&gt;(ROW(PLE.lastrow)-ROW(PLE.firstrow))),0,IF(OFFSET(PLE!$G$14,$M464,CG$13)="",10^12,OFFSET(PLE!$G$14,$M464,CG$13))))</f>
        <v>1000000000000</v>
      </c>
      <c r="CH464" s="216">
        <f ca="1">IF($D464&lt;&gt;"Serviço",0,IF(OR(AND(AUTOEVENTO="Manual",$M464=1),$M464&gt;(ROW(PLE.lastrow)-ROW(PLE.firstrow))),0,IF(OFFSET(PLE!$G$14,$M464,CH$13)="",10^12,OFFSET(PLE!$G$14,$M464,CH$13))))</f>
        <v>1000000000000</v>
      </c>
      <c r="CI464" s="216">
        <f ca="1">IF($D464&lt;&gt;"Serviço",0,IF(OR(AND(AUTOEVENTO="Manual",$M464=1),$M464&gt;(ROW(PLE.lastrow)-ROW(PLE.firstrow))),0,IF(OFFSET(PLE!$G$14,$M464,CI$13)="",10^12,OFFSET(PLE!$G$14,$M464,CI$13))))</f>
        <v>1000000000000</v>
      </c>
      <c r="CJ464" s="216">
        <f ca="1">IF($D464&lt;&gt;"Serviço",0,IF(OR(AND(AUTOEVENTO="Manual",$M464=1),$M464&gt;(ROW(PLE.lastrow)-ROW(PLE.firstrow))),0,IF(OFFSET(PLE!$G$14,$M464,CJ$13)="",10^12,OFFSET(PLE!$G$14,$M464,CJ$13))))</f>
        <v>1000000000000</v>
      </c>
      <c r="CK464" s="216">
        <f ca="1">IF($D464&lt;&gt;"Serviço",0,IF(OR(AND(AUTOEVENTO="Manual",$M464=1),$M464&gt;(ROW(PLE.lastrow)-ROW(PLE.firstrow))),0,IF(OFFSET(PLE!$G$14,$M464,CK$13)="",10^12,OFFSET(PLE!$G$14,$M464,CK$13))))</f>
        <v>1000000000000</v>
      </c>
      <c r="CL464" s="216">
        <f ca="1">IF($D464&lt;&gt;"Serviço",0,IF(OR(AND(AUTOEVENTO="Manual",$M464=1),$M464&gt;(ROW(PLE.lastrow)-ROW(PLE.firstrow))),0,IF(OFFSET(PLE!$G$14,$M464,CL$13)="",10^12,OFFSET(PLE!$G$14,$M464,CL$13))))</f>
        <v>1000000000000</v>
      </c>
      <c r="CM464" s="216">
        <f ca="1">IF($D464&lt;&gt;"Serviço",0,IF(OR(AND(AUTOEVENTO="Manual",$M464=1),$M464&gt;(ROW(PLE.lastrow)-ROW(PLE.firstrow))),0,IF(OFFSET(PLE!$G$14,$M464,CM$13)="",10^12,OFFSET(PLE!$G$14,$M464,CM$13))))</f>
        <v>1000000000000</v>
      </c>
    </row>
    <row r="465" spans="1:91" ht="13.2" x14ac:dyDescent="0.25">
      <c r="A465" s="9">
        <f t="shared" ca="1" si="16"/>
        <v>0</v>
      </c>
      <c r="B465" s="9" t="str">
        <f ca="1">OFFSET(ORÇAMENTO!C$15,ROW(B465)-ROW(B$15),0)</f>
        <v>S</v>
      </c>
      <c r="C465" s="9" t="str">
        <f ca="1">OFFSET(ORÇAMENTO!L$15,ROW(C465)-ROW(C$15),0)</f>
        <v/>
      </c>
      <c r="D465" s="145" t="str">
        <f ca="1">OFFSET(ORÇAMENTO!N$15,ROW(D465)-ROW(D$15),0)</f>
        <v>Serviço</v>
      </c>
      <c r="E465" s="205" t="str">
        <f ca="1">OFFSET(ORÇAMENTO!O$15,ROW(E465)-ROW(E$15),0)</f>
        <v>-</v>
      </c>
      <c r="F465" s="206" t="str">
        <f ca="1">OFFSET(ORÇAMENTO!R$15,ROW(F465)-ROW(F$15),0)</f>
        <v>(abra o arquivo 'Referência 05-2024.xls)</v>
      </c>
      <c r="G465" s="207" t="str">
        <f ca="1">IF($D465&lt;&gt;"Serviço","",OFFSET(ORÇAMENTO!S$15,ROW(G465)-ROW(G$15),0))</f>
        <v>-</v>
      </c>
      <c r="H465" s="151">
        <f ca="1">IF($D465&lt;&gt;"Serviço",0,IF(ACOMPANHAMENTO="BM",ROUND(OFFSET(ORÇAMENTO!AJ$15,ROW(H465)-ROW(H$15),0),15-13*ORÇAMENTO!$AF$7),SUMPRODUCT(($Q$12:$AI$12&lt;&gt;"")*ROUND($Q465:$AI465,15-13*ORÇAMENTO!$AF$7))))</f>
        <v>16</v>
      </c>
      <c r="I465" s="650"/>
      <c r="K465" s="208"/>
      <c r="L465" s="209" t="s">
        <v>257</v>
      </c>
      <c r="M465" s="210">
        <f ca="1">IF($D465&lt;&gt;"Serviço","",IF(AUTOEVENTO="manual",$A465,IF(ISERROR(MATCH($A465,$A$15:OFFSET($A465,-1,0),0)),MAX($M$15:OFFSET(M465,-1,0))+1,INDEX($M$15:OFFSET(M465,-1,0),MATCH($A465,$A$15:OFFSET($A465,-1,0),0)))))</f>
        <v>0</v>
      </c>
      <c r="N465" s="211" t="str">
        <f ca="1">IF($D465&lt;&gt;"Serviço","",IF(AUTOEVENTO="Manual",IF($A465=0,"&lt;-- defina o número do agrupador",OFFSET(EVENTOS!$D$14,$A465,0)),OFFSET($F$15,$A465,0)))</f>
        <v>&lt;-- defina o número do agrupador</v>
      </c>
      <c r="O465" s="212"/>
      <c r="Q465" s="212"/>
      <c r="R465" s="213"/>
      <c r="S465" s="213"/>
      <c r="T465" s="213"/>
      <c r="U465" s="213"/>
      <c r="V465" s="213"/>
      <c r="W465" s="213"/>
      <c r="X465" s="213"/>
      <c r="Y465" s="213"/>
      <c r="Z465" s="214"/>
      <c r="AA465" s="213"/>
      <c r="AB465" s="213"/>
      <c r="AC465" s="213"/>
      <c r="AD465" s="213"/>
      <c r="AE465" s="213"/>
      <c r="AF465" s="213"/>
      <c r="AG465" s="213"/>
      <c r="AH465" s="214"/>
      <c r="AJ465" s="631">
        <f ca="1">IF(AND($D465="Serviço",AJ$12&lt;&gt;0,$H465&gt;0,OR(AUTOEVENTO&lt;&gt;"manual",$M465&lt;&gt;1)),ROUND(OFFSET($P465,0,AJ$13),15-13*ORÇAMENTO!$AF$7)/$H465*OFFSET(ORÇAMENTO!$X$15,ROW(AJ465)-ROW(AJ$15),0),0)</f>
        <v>0</v>
      </c>
      <c r="AK465" s="632">
        <f ca="1">IF(AND($D465="Serviço",AK$12&lt;&gt;0,$H465&gt;0,OR(AUTOEVENTO&lt;&gt;"manual",$M465&lt;&gt;1)),ROUND(OFFSET($P465,0,AK$13),15-13*ORÇAMENTO!$AF$7)/$H465*OFFSET(ORÇAMENTO!$X$15,ROW(AK465)-ROW(AK$15),0),0)</f>
        <v>0</v>
      </c>
      <c r="AL465" s="632">
        <f ca="1">IF(AND($D465="Serviço",AL$12&lt;&gt;0,$H465&gt;0,OR(AUTOEVENTO&lt;&gt;"manual",$M465&lt;&gt;1)),ROUND(OFFSET($P465,0,AL$13),15-13*ORÇAMENTO!$AF$7)/$H465*OFFSET(ORÇAMENTO!$X$15,ROW(AL465)-ROW(AL$15),0),0)</f>
        <v>0</v>
      </c>
      <c r="AM465" s="632">
        <f ca="1">IF(AND($D465="Serviço",AM$12&lt;&gt;0,$H465&gt;0,OR(AUTOEVENTO&lt;&gt;"manual",$M465&lt;&gt;1)),ROUND(OFFSET($P465,0,AM$13),15-13*ORÇAMENTO!$AF$7)/$H465*OFFSET(ORÇAMENTO!$X$15,ROW(AM465)-ROW(AM$15),0),0)</f>
        <v>0</v>
      </c>
      <c r="AN465" s="632">
        <f ca="1">IF(AND($D465="Serviço",AN$12&lt;&gt;0,$H465&gt;0,OR(AUTOEVENTO&lt;&gt;"manual",$M465&lt;&gt;1)),ROUND(OFFSET($P465,0,AN$13),15-13*ORÇAMENTO!$AF$7)/$H465*OFFSET(ORÇAMENTO!$X$15,ROW(AN465)-ROW(AN$15),0),0)</f>
        <v>0</v>
      </c>
      <c r="AO465" s="632">
        <f ca="1">IF(AND($D465="Serviço",AO$12&lt;&gt;0,$H465&gt;0,OR(AUTOEVENTO&lt;&gt;"manual",$M465&lt;&gt;1)),ROUND(OFFSET($P465,0,AO$13),15-13*ORÇAMENTO!$AF$7)/$H465*OFFSET(ORÇAMENTO!$X$15,ROW(AO465)-ROW(AO$15),0),0)</f>
        <v>0</v>
      </c>
      <c r="AP465" s="632">
        <f ca="1">IF(AND($D465="Serviço",AP$12&lt;&gt;0,$H465&gt;0,OR(AUTOEVENTO&lt;&gt;"manual",$M465&lt;&gt;1)),ROUND(OFFSET($P465,0,AP$13),15-13*ORÇAMENTO!$AF$7)/$H465*OFFSET(ORÇAMENTO!$X$15,ROW(AP465)-ROW(AP$15),0),0)</f>
        <v>0</v>
      </c>
      <c r="AQ465" s="632">
        <f ca="1">IF(AND($D465="Serviço",AQ$12&lt;&gt;0,$H465&gt;0,OR(AUTOEVENTO&lt;&gt;"manual",$M465&lt;&gt;1)),ROUND(OFFSET($P465,0,AQ$13),15-13*ORÇAMENTO!$AF$7)/$H465*OFFSET(ORÇAMENTO!$X$15,ROW(AQ465)-ROW(AQ$15),0),0)</f>
        <v>0</v>
      </c>
      <c r="AR465" s="632">
        <f ca="1">IF(AND($D465="Serviço",AR$12&lt;&gt;0,$H465&gt;0,OR(AUTOEVENTO&lt;&gt;"manual",$M465&lt;&gt;1)),ROUND(OFFSET($P465,0,AR$13),15-13*ORÇAMENTO!$AF$7)/$H465*OFFSET(ORÇAMENTO!$X$15,ROW(AR465)-ROW(AR$15),0),0)</f>
        <v>0</v>
      </c>
      <c r="AS465" s="633">
        <f ca="1">IF(AND($D465="Serviço",AS$12&lt;&gt;0,$H465&gt;0,OR(AUTOEVENTO&lt;&gt;"manual",$M465&lt;&gt;1)),ROUND(OFFSET($P465,0,AS$13),15-13*ORÇAMENTO!$AF$7)/$H465*OFFSET(ORÇAMENTO!$X$15,ROW(AS465)-ROW(AS$15),0),0)</f>
        <v>0</v>
      </c>
      <c r="AT465" s="632">
        <f ca="1">IF(AND($D465="Serviço",AT$12&lt;&gt;0,$H465&gt;0,OR(AUTOEVENTO&lt;&gt;"manual",$M465&lt;&gt;1)),ROUND(OFFSET($P465,0,AT$13),15-13*ORÇAMENTO!$AF$7)/$H465*OFFSET(ORÇAMENTO!$X$15,ROW(AT465)-ROW(AT$15),0),0)</f>
        <v>0</v>
      </c>
      <c r="AU465" s="632">
        <f ca="1">IF(AND($D465="Serviço",AU$12&lt;&gt;0,$H465&gt;0,OR(AUTOEVENTO&lt;&gt;"manual",$M465&lt;&gt;1)),ROUND(OFFSET($P465,0,AU$13),15-13*ORÇAMENTO!$AF$7)/$H465*OFFSET(ORÇAMENTO!$X$15,ROW(AU465)-ROW(AU$15),0),0)</f>
        <v>0</v>
      </c>
      <c r="AV465" s="632">
        <f ca="1">IF(AND($D465="Serviço",AV$12&lt;&gt;0,$H465&gt;0,OR(AUTOEVENTO&lt;&gt;"manual",$M465&lt;&gt;1)),ROUND(OFFSET($P465,0,AV$13),15-13*ORÇAMENTO!$AF$7)/$H465*OFFSET(ORÇAMENTO!$X$15,ROW(AV465)-ROW(AV$15),0),0)</f>
        <v>0</v>
      </c>
      <c r="AW465" s="632">
        <f ca="1">IF(AND($D465="Serviço",AW$12&lt;&gt;0,$H465&gt;0,OR(AUTOEVENTO&lt;&gt;"manual",$M465&lt;&gt;1)),ROUND(OFFSET($P465,0,AW$13),15-13*ORÇAMENTO!$AF$7)/$H465*OFFSET(ORÇAMENTO!$X$15,ROW(AW465)-ROW(AW$15),0),0)</f>
        <v>0</v>
      </c>
      <c r="AX465" s="632">
        <f ca="1">IF(AND($D465="Serviço",AX$12&lt;&gt;0,$H465&gt;0,OR(AUTOEVENTO&lt;&gt;"manual",$M465&lt;&gt;1)),ROUND(OFFSET($P465,0,AX$13),15-13*ORÇAMENTO!$AF$7)/$H465*OFFSET(ORÇAMENTO!$X$15,ROW(AX465)-ROW(AX$15),0),0)</f>
        <v>0</v>
      </c>
      <c r="AY465" s="632">
        <f ca="1">IF(AND($D465="Serviço",AY$12&lt;&gt;0,$H465&gt;0,OR(AUTOEVENTO&lt;&gt;"manual",$M465&lt;&gt;1)),ROUND(OFFSET($P465,0,AY$13),15-13*ORÇAMENTO!$AF$7)/$H465*OFFSET(ORÇAMENTO!$X$15,ROW(AY465)-ROW(AY$15),0),0)</f>
        <v>0</v>
      </c>
      <c r="AZ465" s="632">
        <f ca="1">IF(AND($D465="Serviço",AZ$12&lt;&gt;0,$H465&gt;0,OR(AUTOEVENTO&lt;&gt;"manual",$M465&lt;&gt;1)),ROUND(OFFSET($P465,0,AZ$13),15-13*ORÇAMENTO!$AF$7)/$H465*OFFSET(ORÇAMENTO!$X$15,ROW(AZ465)-ROW(AZ$15),0),0)</f>
        <v>0</v>
      </c>
      <c r="BA465" s="633">
        <f ca="1">IF(AND($D465="Serviço",BA$12&lt;&gt;0,$H465&gt;0,OR(AUTOEVENTO&lt;&gt;"manual",$M465&lt;&gt;1)),ROUND(OFFSET($P465,0,BA$13),15-13*ORÇAMENTO!$AF$7)/$H465*OFFSET(ORÇAMENTO!$X$15,ROW(BA465)-ROW(BA$15),0),0)</f>
        <v>0</v>
      </c>
      <c r="BC465" s="215">
        <f ca="1">IF($D465&lt;&gt;"Serviço",0,IF(AND(AUTOEVENTO="Manual",$M465=1),0,IF(OFFSET(CRONOPLE!$F$14,$M465,BC$13)="",10^12,OFFSET(CRONOPLE!$F$14,$M465,BC$13))))</f>
        <v>1000000000000</v>
      </c>
      <c r="BD465" s="215">
        <f ca="1">IF($D465&lt;&gt;"Serviço",0,IF(AND(AUTOEVENTO="Manual",$M465=1),0,IF(OFFSET(CRONOPLE!$F$14,$M465,BD$13)="",10^12,OFFSET(CRONOPLE!$F$14,$M465,BD$13))))</f>
        <v>1000000000000</v>
      </c>
      <c r="BE465" s="215">
        <f ca="1">IF($D465&lt;&gt;"Serviço",0,IF(AND(AUTOEVENTO="Manual",$M465=1),0,IF(OFFSET(CRONOPLE!$F$14,$M465,BE$13)="",10^12,OFFSET(CRONOPLE!$F$14,$M465,BE$13))))</f>
        <v>1000000000000</v>
      </c>
      <c r="BF465" s="215">
        <f ca="1">IF($D465&lt;&gt;"Serviço",0,IF(AND(AUTOEVENTO="Manual",$M465=1),0,IF(OFFSET(CRONOPLE!$F$14,$M465,BF$13)="",10^12,OFFSET(CRONOPLE!$F$14,$M465,BF$13))))</f>
        <v>1000000000000</v>
      </c>
      <c r="BG465" s="215">
        <f ca="1">IF($D465&lt;&gt;"Serviço",0,IF(AND(AUTOEVENTO="Manual",$M465=1),0,IF(OFFSET(CRONOPLE!$F$14,$M465,BG$13)="",10^12,OFFSET(CRONOPLE!$F$14,$M465,BG$13))))</f>
        <v>1000000000000</v>
      </c>
      <c r="BH465" s="215">
        <f ca="1">IF($D465&lt;&gt;"Serviço",0,IF(AND(AUTOEVENTO="Manual",$M465=1),0,IF(OFFSET(CRONOPLE!$F$14,$M465,BH$13)="",10^12,OFFSET(CRONOPLE!$F$14,$M465,BH$13))))</f>
        <v>1000000000000</v>
      </c>
      <c r="BI465" s="215">
        <f ca="1">IF($D465&lt;&gt;"Serviço",0,IF(AND(AUTOEVENTO="Manual",$M465=1),0,IF(OFFSET(CRONOPLE!$F$14,$M465,BI$13)="",10^12,OFFSET(CRONOPLE!$F$14,$M465,BI$13))))</f>
        <v>1000000000000</v>
      </c>
      <c r="BJ465" s="215">
        <f ca="1">IF($D465&lt;&gt;"Serviço",0,IF(AND(AUTOEVENTO="Manual",$M465=1),0,IF(OFFSET(CRONOPLE!$F$14,$M465,BJ$13)="",10^12,OFFSET(CRONOPLE!$F$14,$M465,BJ$13))))</f>
        <v>1000000000000</v>
      </c>
      <c r="BK465" s="215">
        <f ca="1">IF($D465&lt;&gt;"Serviço",0,IF(AND(AUTOEVENTO="Manual",$M465=1),0,IF(OFFSET(CRONOPLE!$F$14,$M465,BK$13)="",10^12,OFFSET(CRONOPLE!$F$14,$M465,BK$13))))</f>
        <v>1000000000000</v>
      </c>
      <c r="BL465" s="215">
        <f ca="1">IF($D465&lt;&gt;"Serviço",0,IF(AND(AUTOEVENTO="Manual",$M465=1),0,IF(OFFSET(CRONOPLE!$F$14,$M465,BL$13)="",10^12,OFFSET(CRONOPLE!$F$14,$M465,BL$13))))</f>
        <v>1000000000000</v>
      </c>
      <c r="BM465" s="215">
        <f ca="1">IF($D465&lt;&gt;"Serviço",0,IF(AND(AUTOEVENTO="Manual",$M465=1),0,IF(OFFSET(CRONOPLE!$F$14,$M465,BM$13)="",10^12,OFFSET(CRONOPLE!$F$14,$M465,BM$13))))</f>
        <v>1000000000000</v>
      </c>
      <c r="BN465" s="215">
        <f ca="1">IF($D465&lt;&gt;"Serviço",0,IF(AND(AUTOEVENTO="Manual",$M465=1),0,IF(OFFSET(CRONOPLE!$F$14,$M465,BN$13)="",10^12,OFFSET(CRONOPLE!$F$14,$M465,BN$13))))</f>
        <v>1000000000000</v>
      </c>
      <c r="BO465" s="215">
        <f ca="1">IF($D465&lt;&gt;"Serviço",0,IF(AND(AUTOEVENTO="Manual",$M465=1),0,IF(OFFSET(CRONOPLE!$F$14,$M465,BO$13)="",10^12,OFFSET(CRONOPLE!$F$14,$M465,BO$13))))</f>
        <v>1000000000000</v>
      </c>
      <c r="BP465" s="215">
        <f ca="1">IF($D465&lt;&gt;"Serviço",0,IF(AND(AUTOEVENTO="Manual",$M465=1),0,IF(OFFSET(CRONOPLE!$F$14,$M465,BP$13)="",10^12,OFFSET(CRONOPLE!$F$14,$M465,BP$13))))</f>
        <v>1000000000000</v>
      </c>
      <c r="BQ465" s="215">
        <f ca="1">IF($D465&lt;&gt;"Serviço",0,IF(AND(AUTOEVENTO="Manual",$M465=1),0,IF(OFFSET(CRONOPLE!$F$14,$M465,BQ$13)="",10^12,OFFSET(CRONOPLE!$F$14,$M465,BQ$13))))</f>
        <v>1000000000000</v>
      </c>
      <c r="BR465" s="215">
        <f ca="1">IF($D465&lt;&gt;"Serviço",0,IF(AND(AUTOEVENTO="Manual",$M465=1),0,IF(OFFSET(CRONOPLE!$F$14,$M465,BR$13)="",10^12,OFFSET(CRONOPLE!$F$14,$M465,BR$13))))</f>
        <v>1000000000000</v>
      </c>
      <c r="BS465" s="215">
        <f ca="1">IF($D465&lt;&gt;"Serviço",0,IF(AND(AUTOEVENTO="Manual",$M465=1),0,IF(OFFSET(CRONOPLE!$F$14,$M465,BS$13)="",10^12,OFFSET(CRONOPLE!$F$14,$M465,BS$13))))</f>
        <v>1000000000000</v>
      </c>
      <c r="BT465" s="215">
        <f ca="1">IF($D465&lt;&gt;"Serviço",0,IF(AND(AUTOEVENTO="Manual",$M465=1),0,IF(OFFSET(CRONOPLE!$F$14,$M465,BT$13)="",10^12,OFFSET(CRONOPLE!$F$14,$M465,BT$13))))</f>
        <v>1000000000000</v>
      </c>
      <c r="BV465" s="216">
        <f ca="1">IF($D465&lt;&gt;"Serviço",0,IF(OR(AND(AUTOEVENTO="Manual",$M465=1),$M465&gt;(ROW(PLE.lastrow)-ROW(PLE.firstrow))),0,IF(OFFSET(PLE!$G$14,$M465,BV$13)="",10^12,OFFSET(PLE!$G$14,$M465,BV$13))))</f>
        <v>1000000000000</v>
      </c>
      <c r="BW465" s="216">
        <f ca="1">IF($D465&lt;&gt;"Serviço",0,IF(OR(AND(AUTOEVENTO="Manual",$M465=1),$M465&gt;(ROW(PLE.lastrow)-ROW(PLE.firstrow))),0,IF(OFFSET(PLE!$G$14,$M465,BW$13)="",10^12,OFFSET(PLE!$G$14,$M465,BW$13))))</f>
        <v>1000000000000</v>
      </c>
      <c r="BX465" s="216">
        <f ca="1">IF($D465&lt;&gt;"Serviço",0,IF(OR(AND(AUTOEVENTO="Manual",$M465=1),$M465&gt;(ROW(PLE.lastrow)-ROW(PLE.firstrow))),0,IF(OFFSET(PLE!$G$14,$M465,BX$13)="",10^12,OFFSET(PLE!$G$14,$M465,BX$13))))</f>
        <v>1000000000000</v>
      </c>
      <c r="BY465" s="216">
        <f ca="1">IF($D465&lt;&gt;"Serviço",0,IF(OR(AND(AUTOEVENTO="Manual",$M465=1),$M465&gt;(ROW(PLE.lastrow)-ROW(PLE.firstrow))),0,IF(OFFSET(PLE!$G$14,$M465,BY$13)="",10^12,OFFSET(PLE!$G$14,$M465,BY$13))))</f>
        <v>1000000000000</v>
      </c>
      <c r="BZ465" s="216">
        <f ca="1">IF($D465&lt;&gt;"Serviço",0,IF(OR(AND(AUTOEVENTO="Manual",$M465=1),$M465&gt;(ROW(PLE.lastrow)-ROW(PLE.firstrow))),0,IF(OFFSET(PLE!$G$14,$M465,BZ$13)="",10^12,OFFSET(PLE!$G$14,$M465,BZ$13))))</f>
        <v>1000000000000</v>
      </c>
      <c r="CA465" s="216">
        <f ca="1">IF($D465&lt;&gt;"Serviço",0,IF(OR(AND(AUTOEVENTO="Manual",$M465=1),$M465&gt;(ROW(PLE.lastrow)-ROW(PLE.firstrow))),0,IF(OFFSET(PLE!$G$14,$M465,CA$13)="",10^12,OFFSET(PLE!$G$14,$M465,CA$13))))</f>
        <v>1000000000000</v>
      </c>
      <c r="CB465" s="216">
        <f ca="1">IF($D465&lt;&gt;"Serviço",0,IF(OR(AND(AUTOEVENTO="Manual",$M465=1),$M465&gt;(ROW(PLE.lastrow)-ROW(PLE.firstrow))),0,IF(OFFSET(PLE!$G$14,$M465,CB$13)="",10^12,OFFSET(PLE!$G$14,$M465,CB$13))))</f>
        <v>1000000000000</v>
      </c>
      <c r="CC465" s="216">
        <f ca="1">IF($D465&lt;&gt;"Serviço",0,IF(OR(AND(AUTOEVENTO="Manual",$M465=1),$M465&gt;(ROW(PLE.lastrow)-ROW(PLE.firstrow))),0,IF(OFFSET(PLE!$G$14,$M465,CC$13)="",10^12,OFFSET(PLE!$G$14,$M465,CC$13))))</f>
        <v>1000000000000</v>
      </c>
      <c r="CD465" s="216">
        <f ca="1">IF($D465&lt;&gt;"Serviço",0,IF(OR(AND(AUTOEVENTO="Manual",$M465=1),$M465&gt;(ROW(PLE.lastrow)-ROW(PLE.firstrow))),0,IF(OFFSET(PLE!$G$14,$M465,CD$13)="",10^12,OFFSET(PLE!$G$14,$M465,CD$13))))</f>
        <v>1000000000000</v>
      </c>
      <c r="CE465" s="216">
        <f ca="1">IF($D465&lt;&gt;"Serviço",0,IF(OR(AND(AUTOEVENTO="Manual",$M465=1),$M465&gt;(ROW(PLE.lastrow)-ROW(PLE.firstrow))),0,IF(OFFSET(PLE!$G$14,$M465,CE$13)="",10^12,OFFSET(PLE!$G$14,$M465,CE$13))))</f>
        <v>1000000000000</v>
      </c>
      <c r="CF465" s="216">
        <f ca="1">IF($D465&lt;&gt;"Serviço",0,IF(OR(AND(AUTOEVENTO="Manual",$M465=1),$M465&gt;(ROW(PLE.lastrow)-ROW(PLE.firstrow))),0,IF(OFFSET(PLE!$G$14,$M465,CF$13)="",10^12,OFFSET(PLE!$G$14,$M465,CF$13))))</f>
        <v>1000000000000</v>
      </c>
      <c r="CG465" s="216">
        <f ca="1">IF($D465&lt;&gt;"Serviço",0,IF(OR(AND(AUTOEVENTO="Manual",$M465=1),$M465&gt;(ROW(PLE.lastrow)-ROW(PLE.firstrow))),0,IF(OFFSET(PLE!$G$14,$M465,CG$13)="",10^12,OFFSET(PLE!$G$14,$M465,CG$13))))</f>
        <v>1000000000000</v>
      </c>
      <c r="CH465" s="216">
        <f ca="1">IF($D465&lt;&gt;"Serviço",0,IF(OR(AND(AUTOEVENTO="Manual",$M465=1),$M465&gt;(ROW(PLE.lastrow)-ROW(PLE.firstrow))),0,IF(OFFSET(PLE!$G$14,$M465,CH$13)="",10^12,OFFSET(PLE!$G$14,$M465,CH$13))))</f>
        <v>1000000000000</v>
      </c>
      <c r="CI465" s="216">
        <f ca="1">IF($D465&lt;&gt;"Serviço",0,IF(OR(AND(AUTOEVENTO="Manual",$M465=1),$M465&gt;(ROW(PLE.lastrow)-ROW(PLE.firstrow))),0,IF(OFFSET(PLE!$G$14,$M465,CI$13)="",10^12,OFFSET(PLE!$G$14,$M465,CI$13))))</f>
        <v>1000000000000</v>
      </c>
      <c r="CJ465" s="216">
        <f ca="1">IF($D465&lt;&gt;"Serviço",0,IF(OR(AND(AUTOEVENTO="Manual",$M465=1),$M465&gt;(ROW(PLE.lastrow)-ROW(PLE.firstrow))),0,IF(OFFSET(PLE!$G$14,$M465,CJ$13)="",10^12,OFFSET(PLE!$G$14,$M465,CJ$13))))</f>
        <v>1000000000000</v>
      </c>
      <c r="CK465" s="216">
        <f ca="1">IF($D465&lt;&gt;"Serviço",0,IF(OR(AND(AUTOEVENTO="Manual",$M465=1),$M465&gt;(ROW(PLE.lastrow)-ROW(PLE.firstrow))),0,IF(OFFSET(PLE!$G$14,$M465,CK$13)="",10^12,OFFSET(PLE!$G$14,$M465,CK$13))))</f>
        <v>1000000000000</v>
      </c>
      <c r="CL465" s="216">
        <f ca="1">IF($D465&lt;&gt;"Serviço",0,IF(OR(AND(AUTOEVENTO="Manual",$M465=1),$M465&gt;(ROW(PLE.lastrow)-ROW(PLE.firstrow))),0,IF(OFFSET(PLE!$G$14,$M465,CL$13)="",10^12,OFFSET(PLE!$G$14,$M465,CL$13))))</f>
        <v>1000000000000</v>
      </c>
      <c r="CM465" s="216">
        <f ca="1">IF($D465&lt;&gt;"Serviço",0,IF(OR(AND(AUTOEVENTO="Manual",$M465=1),$M465&gt;(ROW(PLE.lastrow)-ROW(PLE.firstrow))),0,IF(OFFSET(PLE!$G$14,$M465,CM$13)="",10^12,OFFSET(PLE!$G$14,$M465,CM$13))))</f>
        <v>1000000000000</v>
      </c>
    </row>
    <row r="466" spans="1:91" ht="13.2" x14ac:dyDescent="0.25">
      <c r="A466" s="9">
        <f t="shared" ca="1" si="16"/>
        <v>0</v>
      </c>
      <c r="B466" s="9" t="str">
        <f ca="1">OFFSET(ORÇAMENTO!C$15,ROW(B466)-ROW(B$15),0)</f>
        <v>S</v>
      </c>
      <c r="C466" s="9" t="str">
        <f ca="1">OFFSET(ORÇAMENTO!L$15,ROW(C466)-ROW(C$15),0)</f>
        <v/>
      </c>
      <c r="D466" s="145" t="str">
        <f ca="1">OFFSET(ORÇAMENTO!N$15,ROW(D466)-ROW(D$15),0)</f>
        <v>Serviço</v>
      </c>
      <c r="E466" s="205" t="str">
        <f ca="1">OFFSET(ORÇAMENTO!O$15,ROW(E466)-ROW(E$15),0)</f>
        <v>-</v>
      </c>
      <c r="F466" s="206" t="str">
        <f ca="1">OFFSET(ORÇAMENTO!R$15,ROW(F466)-ROW(F$15),0)</f>
        <v>(abra o arquivo 'Referência 05-2024.xls)</v>
      </c>
      <c r="G466" s="207" t="str">
        <f ca="1">IF($D466&lt;&gt;"Serviço","",OFFSET(ORÇAMENTO!S$15,ROW(G466)-ROW(G$15),0))</f>
        <v>-</v>
      </c>
      <c r="H466" s="151">
        <f ca="1">IF($D466&lt;&gt;"Serviço",0,IF(ACOMPANHAMENTO="BM",ROUND(OFFSET(ORÇAMENTO!AJ$15,ROW(H466)-ROW(H$15),0),15-13*ORÇAMENTO!$AF$7),SUMPRODUCT(($Q$12:$AI$12&lt;&gt;"")*ROUND($Q466:$AI466,15-13*ORÇAMENTO!$AF$7))))</f>
        <v>6</v>
      </c>
      <c r="I466" s="650"/>
      <c r="K466" s="208"/>
      <c r="L466" s="209" t="s">
        <v>257</v>
      </c>
      <c r="M466" s="210">
        <f ca="1">IF($D466&lt;&gt;"Serviço","",IF(AUTOEVENTO="manual",$A466,IF(ISERROR(MATCH($A466,$A$15:OFFSET($A466,-1,0),0)),MAX($M$15:OFFSET(M466,-1,0))+1,INDEX($M$15:OFFSET(M466,-1,0),MATCH($A466,$A$15:OFFSET($A466,-1,0),0)))))</f>
        <v>0</v>
      </c>
      <c r="N466" s="211" t="str">
        <f ca="1">IF($D466&lt;&gt;"Serviço","",IF(AUTOEVENTO="Manual",IF($A466=0,"&lt;-- defina o número do agrupador",OFFSET(EVENTOS!$D$14,$A466,0)),OFFSET($F$15,$A466,0)))</f>
        <v>&lt;-- defina o número do agrupador</v>
      </c>
      <c r="O466" s="212"/>
      <c r="Q466" s="212"/>
      <c r="R466" s="213"/>
      <c r="S466" s="213"/>
      <c r="T466" s="213"/>
      <c r="U466" s="213"/>
      <c r="V466" s="213"/>
      <c r="W466" s="213"/>
      <c r="X466" s="213"/>
      <c r="Y466" s="213"/>
      <c r="Z466" s="214"/>
      <c r="AA466" s="213"/>
      <c r="AB466" s="213"/>
      <c r="AC466" s="213"/>
      <c r="AD466" s="213"/>
      <c r="AE466" s="213"/>
      <c r="AF466" s="213"/>
      <c r="AG466" s="213"/>
      <c r="AH466" s="214"/>
      <c r="AJ466" s="631">
        <f ca="1">IF(AND($D466="Serviço",AJ$12&lt;&gt;0,$H466&gt;0,OR(AUTOEVENTO&lt;&gt;"manual",$M466&lt;&gt;1)),ROUND(OFFSET($P466,0,AJ$13),15-13*ORÇAMENTO!$AF$7)/$H466*OFFSET(ORÇAMENTO!$X$15,ROW(AJ466)-ROW(AJ$15),0),0)</f>
        <v>0</v>
      </c>
      <c r="AK466" s="632">
        <f ca="1">IF(AND($D466="Serviço",AK$12&lt;&gt;0,$H466&gt;0,OR(AUTOEVENTO&lt;&gt;"manual",$M466&lt;&gt;1)),ROUND(OFFSET($P466,0,AK$13),15-13*ORÇAMENTO!$AF$7)/$H466*OFFSET(ORÇAMENTO!$X$15,ROW(AK466)-ROW(AK$15),0),0)</f>
        <v>0</v>
      </c>
      <c r="AL466" s="632">
        <f ca="1">IF(AND($D466="Serviço",AL$12&lt;&gt;0,$H466&gt;0,OR(AUTOEVENTO&lt;&gt;"manual",$M466&lt;&gt;1)),ROUND(OFFSET($P466,0,AL$13),15-13*ORÇAMENTO!$AF$7)/$H466*OFFSET(ORÇAMENTO!$X$15,ROW(AL466)-ROW(AL$15),0),0)</f>
        <v>0</v>
      </c>
      <c r="AM466" s="632">
        <f ca="1">IF(AND($D466="Serviço",AM$12&lt;&gt;0,$H466&gt;0,OR(AUTOEVENTO&lt;&gt;"manual",$M466&lt;&gt;1)),ROUND(OFFSET($P466,0,AM$13),15-13*ORÇAMENTO!$AF$7)/$H466*OFFSET(ORÇAMENTO!$X$15,ROW(AM466)-ROW(AM$15),0),0)</f>
        <v>0</v>
      </c>
      <c r="AN466" s="632">
        <f ca="1">IF(AND($D466="Serviço",AN$12&lt;&gt;0,$H466&gt;0,OR(AUTOEVENTO&lt;&gt;"manual",$M466&lt;&gt;1)),ROUND(OFFSET($P466,0,AN$13),15-13*ORÇAMENTO!$AF$7)/$H466*OFFSET(ORÇAMENTO!$X$15,ROW(AN466)-ROW(AN$15),0),0)</f>
        <v>0</v>
      </c>
      <c r="AO466" s="632">
        <f ca="1">IF(AND($D466="Serviço",AO$12&lt;&gt;0,$H466&gt;0,OR(AUTOEVENTO&lt;&gt;"manual",$M466&lt;&gt;1)),ROUND(OFFSET($P466,0,AO$13),15-13*ORÇAMENTO!$AF$7)/$H466*OFFSET(ORÇAMENTO!$X$15,ROW(AO466)-ROW(AO$15),0),0)</f>
        <v>0</v>
      </c>
      <c r="AP466" s="632">
        <f ca="1">IF(AND($D466="Serviço",AP$12&lt;&gt;0,$H466&gt;0,OR(AUTOEVENTO&lt;&gt;"manual",$M466&lt;&gt;1)),ROUND(OFFSET($P466,0,AP$13),15-13*ORÇAMENTO!$AF$7)/$H466*OFFSET(ORÇAMENTO!$X$15,ROW(AP466)-ROW(AP$15),0),0)</f>
        <v>0</v>
      </c>
      <c r="AQ466" s="632">
        <f ca="1">IF(AND($D466="Serviço",AQ$12&lt;&gt;0,$H466&gt;0,OR(AUTOEVENTO&lt;&gt;"manual",$M466&lt;&gt;1)),ROUND(OFFSET($P466,0,AQ$13),15-13*ORÇAMENTO!$AF$7)/$H466*OFFSET(ORÇAMENTO!$X$15,ROW(AQ466)-ROW(AQ$15),0),0)</f>
        <v>0</v>
      </c>
      <c r="AR466" s="632">
        <f ca="1">IF(AND($D466="Serviço",AR$12&lt;&gt;0,$H466&gt;0,OR(AUTOEVENTO&lt;&gt;"manual",$M466&lt;&gt;1)),ROUND(OFFSET($P466,0,AR$13),15-13*ORÇAMENTO!$AF$7)/$H466*OFFSET(ORÇAMENTO!$X$15,ROW(AR466)-ROW(AR$15),0),0)</f>
        <v>0</v>
      </c>
      <c r="AS466" s="633">
        <f ca="1">IF(AND($D466="Serviço",AS$12&lt;&gt;0,$H466&gt;0,OR(AUTOEVENTO&lt;&gt;"manual",$M466&lt;&gt;1)),ROUND(OFFSET($P466,0,AS$13),15-13*ORÇAMENTO!$AF$7)/$H466*OFFSET(ORÇAMENTO!$X$15,ROW(AS466)-ROW(AS$15),0),0)</f>
        <v>0</v>
      </c>
      <c r="AT466" s="632">
        <f ca="1">IF(AND($D466="Serviço",AT$12&lt;&gt;0,$H466&gt;0,OR(AUTOEVENTO&lt;&gt;"manual",$M466&lt;&gt;1)),ROUND(OFFSET($P466,0,AT$13),15-13*ORÇAMENTO!$AF$7)/$H466*OFFSET(ORÇAMENTO!$X$15,ROW(AT466)-ROW(AT$15),0),0)</f>
        <v>0</v>
      </c>
      <c r="AU466" s="632">
        <f ca="1">IF(AND($D466="Serviço",AU$12&lt;&gt;0,$H466&gt;0,OR(AUTOEVENTO&lt;&gt;"manual",$M466&lt;&gt;1)),ROUND(OFFSET($P466,0,AU$13),15-13*ORÇAMENTO!$AF$7)/$H466*OFFSET(ORÇAMENTO!$X$15,ROW(AU466)-ROW(AU$15),0),0)</f>
        <v>0</v>
      </c>
      <c r="AV466" s="632">
        <f ca="1">IF(AND($D466="Serviço",AV$12&lt;&gt;0,$H466&gt;0,OR(AUTOEVENTO&lt;&gt;"manual",$M466&lt;&gt;1)),ROUND(OFFSET($P466,0,AV$13),15-13*ORÇAMENTO!$AF$7)/$H466*OFFSET(ORÇAMENTO!$X$15,ROW(AV466)-ROW(AV$15),0),0)</f>
        <v>0</v>
      </c>
      <c r="AW466" s="632">
        <f ca="1">IF(AND($D466="Serviço",AW$12&lt;&gt;0,$H466&gt;0,OR(AUTOEVENTO&lt;&gt;"manual",$M466&lt;&gt;1)),ROUND(OFFSET($P466,0,AW$13),15-13*ORÇAMENTO!$AF$7)/$H466*OFFSET(ORÇAMENTO!$X$15,ROW(AW466)-ROW(AW$15),0),0)</f>
        <v>0</v>
      </c>
      <c r="AX466" s="632">
        <f ca="1">IF(AND($D466="Serviço",AX$12&lt;&gt;0,$H466&gt;0,OR(AUTOEVENTO&lt;&gt;"manual",$M466&lt;&gt;1)),ROUND(OFFSET($P466,0,AX$13),15-13*ORÇAMENTO!$AF$7)/$H466*OFFSET(ORÇAMENTO!$X$15,ROW(AX466)-ROW(AX$15),0),0)</f>
        <v>0</v>
      </c>
      <c r="AY466" s="632">
        <f ca="1">IF(AND($D466="Serviço",AY$12&lt;&gt;0,$H466&gt;0,OR(AUTOEVENTO&lt;&gt;"manual",$M466&lt;&gt;1)),ROUND(OFFSET($P466,0,AY$13),15-13*ORÇAMENTO!$AF$7)/$H466*OFFSET(ORÇAMENTO!$X$15,ROW(AY466)-ROW(AY$15),0),0)</f>
        <v>0</v>
      </c>
      <c r="AZ466" s="632">
        <f ca="1">IF(AND($D466="Serviço",AZ$12&lt;&gt;0,$H466&gt;0,OR(AUTOEVENTO&lt;&gt;"manual",$M466&lt;&gt;1)),ROUND(OFFSET($P466,0,AZ$13),15-13*ORÇAMENTO!$AF$7)/$H466*OFFSET(ORÇAMENTO!$X$15,ROW(AZ466)-ROW(AZ$15),0),0)</f>
        <v>0</v>
      </c>
      <c r="BA466" s="633">
        <f ca="1">IF(AND($D466="Serviço",BA$12&lt;&gt;0,$H466&gt;0,OR(AUTOEVENTO&lt;&gt;"manual",$M466&lt;&gt;1)),ROUND(OFFSET($P466,0,BA$13),15-13*ORÇAMENTO!$AF$7)/$H466*OFFSET(ORÇAMENTO!$X$15,ROW(BA466)-ROW(BA$15),0),0)</f>
        <v>0</v>
      </c>
      <c r="BC466" s="215">
        <f ca="1">IF($D466&lt;&gt;"Serviço",0,IF(AND(AUTOEVENTO="Manual",$M466=1),0,IF(OFFSET(CRONOPLE!$F$14,$M466,BC$13)="",10^12,OFFSET(CRONOPLE!$F$14,$M466,BC$13))))</f>
        <v>1000000000000</v>
      </c>
      <c r="BD466" s="215">
        <f ca="1">IF($D466&lt;&gt;"Serviço",0,IF(AND(AUTOEVENTO="Manual",$M466=1),0,IF(OFFSET(CRONOPLE!$F$14,$M466,BD$13)="",10^12,OFFSET(CRONOPLE!$F$14,$M466,BD$13))))</f>
        <v>1000000000000</v>
      </c>
      <c r="BE466" s="215">
        <f ca="1">IF($D466&lt;&gt;"Serviço",0,IF(AND(AUTOEVENTO="Manual",$M466=1),0,IF(OFFSET(CRONOPLE!$F$14,$M466,BE$13)="",10^12,OFFSET(CRONOPLE!$F$14,$M466,BE$13))))</f>
        <v>1000000000000</v>
      </c>
      <c r="BF466" s="215">
        <f ca="1">IF($D466&lt;&gt;"Serviço",0,IF(AND(AUTOEVENTO="Manual",$M466=1),0,IF(OFFSET(CRONOPLE!$F$14,$M466,BF$13)="",10^12,OFFSET(CRONOPLE!$F$14,$M466,BF$13))))</f>
        <v>1000000000000</v>
      </c>
      <c r="BG466" s="215">
        <f ca="1">IF($D466&lt;&gt;"Serviço",0,IF(AND(AUTOEVENTO="Manual",$M466=1),0,IF(OFFSET(CRONOPLE!$F$14,$M466,BG$13)="",10^12,OFFSET(CRONOPLE!$F$14,$M466,BG$13))))</f>
        <v>1000000000000</v>
      </c>
      <c r="BH466" s="215">
        <f ca="1">IF($D466&lt;&gt;"Serviço",0,IF(AND(AUTOEVENTO="Manual",$M466=1),0,IF(OFFSET(CRONOPLE!$F$14,$M466,BH$13)="",10^12,OFFSET(CRONOPLE!$F$14,$M466,BH$13))))</f>
        <v>1000000000000</v>
      </c>
      <c r="BI466" s="215">
        <f ca="1">IF($D466&lt;&gt;"Serviço",0,IF(AND(AUTOEVENTO="Manual",$M466=1),0,IF(OFFSET(CRONOPLE!$F$14,$M466,BI$13)="",10^12,OFFSET(CRONOPLE!$F$14,$M466,BI$13))))</f>
        <v>1000000000000</v>
      </c>
      <c r="BJ466" s="215">
        <f ca="1">IF($D466&lt;&gt;"Serviço",0,IF(AND(AUTOEVENTO="Manual",$M466=1),0,IF(OFFSET(CRONOPLE!$F$14,$M466,BJ$13)="",10^12,OFFSET(CRONOPLE!$F$14,$M466,BJ$13))))</f>
        <v>1000000000000</v>
      </c>
      <c r="BK466" s="215">
        <f ca="1">IF($D466&lt;&gt;"Serviço",0,IF(AND(AUTOEVENTO="Manual",$M466=1),0,IF(OFFSET(CRONOPLE!$F$14,$M466,BK$13)="",10^12,OFFSET(CRONOPLE!$F$14,$M466,BK$13))))</f>
        <v>1000000000000</v>
      </c>
      <c r="BL466" s="215">
        <f ca="1">IF($D466&lt;&gt;"Serviço",0,IF(AND(AUTOEVENTO="Manual",$M466=1),0,IF(OFFSET(CRONOPLE!$F$14,$M466,BL$13)="",10^12,OFFSET(CRONOPLE!$F$14,$M466,BL$13))))</f>
        <v>1000000000000</v>
      </c>
      <c r="BM466" s="215">
        <f ca="1">IF($D466&lt;&gt;"Serviço",0,IF(AND(AUTOEVENTO="Manual",$M466=1),0,IF(OFFSET(CRONOPLE!$F$14,$M466,BM$13)="",10^12,OFFSET(CRONOPLE!$F$14,$M466,BM$13))))</f>
        <v>1000000000000</v>
      </c>
      <c r="BN466" s="215">
        <f ca="1">IF($D466&lt;&gt;"Serviço",0,IF(AND(AUTOEVENTO="Manual",$M466=1),0,IF(OFFSET(CRONOPLE!$F$14,$M466,BN$13)="",10^12,OFFSET(CRONOPLE!$F$14,$M466,BN$13))))</f>
        <v>1000000000000</v>
      </c>
      <c r="BO466" s="215">
        <f ca="1">IF($D466&lt;&gt;"Serviço",0,IF(AND(AUTOEVENTO="Manual",$M466=1),0,IF(OFFSET(CRONOPLE!$F$14,$M466,BO$13)="",10^12,OFFSET(CRONOPLE!$F$14,$M466,BO$13))))</f>
        <v>1000000000000</v>
      </c>
      <c r="BP466" s="215">
        <f ca="1">IF($D466&lt;&gt;"Serviço",0,IF(AND(AUTOEVENTO="Manual",$M466=1),0,IF(OFFSET(CRONOPLE!$F$14,$M466,BP$13)="",10^12,OFFSET(CRONOPLE!$F$14,$M466,BP$13))))</f>
        <v>1000000000000</v>
      </c>
      <c r="BQ466" s="215">
        <f ca="1">IF($D466&lt;&gt;"Serviço",0,IF(AND(AUTOEVENTO="Manual",$M466=1),0,IF(OFFSET(CRONOPLE!$F$14,$M466,BQ$13)="",10^12,OFFSET(CRONOPLE!$F$14,$M466,BQ$13))))</f>
        <v>1000000000000</v>
      </c>
      <c r="BR466" s="215">
        <f ca="1">IF($D466&lt;&gt;"Serviço",0,IF(AND(AUTOEVENTO="Manual",$M466=1),0,IF(OFFSET(CRONOPLE!$F$14,$M466,BR$13)="",10^12,OFFSET(CRONOPLE!$F$14,$M466,BR$13))))</f>
        <v>1000000000000</v>
      </c>
      <c r="BS466" s="215">
        <f ca="1">IF($D466&lt;&gt;"Serviço",0,IF(AND(AUTOEVENTO="Manual",$M466=1),0,IF(OFFSET(CRONOPLE!$F$14,$M466,BS$13)="",10^12,OFFSET(CRONOPLE!$F$14,$M466,BS$13))))</f>
        <v>1000000000000</v>
      </c>
      <c r="BT466" s="215">
        <f ca="1">IF($D466&lt;&gt;"Serviço",0,IF(AND(AUTOEVENTO="Manual",$M466=1),0,IF(OFFSET(CRONOPLE!$F$14,$M466,BT$13)="",10^12,OFFSET(CRONOPLE!$F$14,$M466,BT$13))))</f>
        <v>1000000000000</v>
      </c>
      <c r="BV466" s="216">
        <f ca="1">IF($D466&lt;&gt;"Serviço",0,IF(OR(AND(AUTOEVENTO="Manual",$M466=1),$M466&gt;(ROW(PLE.lastrow)-ROW(PLE.firstrow))),0,IF(OFFSET(PLE!$G$14,$M466,BV$13)="",10^12,OFFSET(PLE!$G$14,$M466,BV$13))))</f>
        <v>1000000000000</v>
      </c>
      <c r="BW466" s="216">
        <f ca="1">IF($D466&lt;&gt;"Serviço",0,IF(OR(AND(AUTOEVENTO="Manual",$M466=1),$M466&gt;(ROW(PLE.lastrow)-ROW(PLE.firstrow))),0,IF(OFFSET(PLE!$G$14,$M466,BW$13)="",10^12,OFFSET(PLE!$G$14,$M466,BW$13))))</f>
        <v>1000000000000</v>
      </c>
      <c r="BX466" s="216">
        <f ca="1">IF($D466&lt;&gt;"Serviço",0,IF(OR(AND(AUTOEVENTO="Manual",$M466=1),$M466&gt;(ROW(PLE.lastrow)-ROW(PLE.firstrow))),0,IF(OFFSET(PLE!$G$14,$M466,BX$13)="",10^12,OFFSET(PLE!$G$14,$M466,BX$13))))</f>
        <v>1000000000000</v>
      </c>
      <c r="BY466" s="216">
        <f ca="1">IF($D466&lt;&gt;"Serviço",0,IF(OR(AND(AUTOEVENTO="Manual",$M466=1),$M466&gt;(ROW(PLE.lastrow)-ROW(PLE.firstrow))),0,IF(OFFSET(PLE!$G$14,$M466,BY$13)="",10^12,OFFSET(PLE!$G$14,$M466,BY$13))))</f>
        <v>1000000000000</v>
      </c>
      <c r="BZ466" s="216">
        <f ca="1">IF($D466&lt;&gt;"Serviço",0,IF(OR(AND(AUTOEVENTO="Manual",$M466=1),$M466&gt;(ROW(PLE.lastrow)-ROW(PLE.firstrow))),0,IF(OFFSET(PLE!$G$14,$M466,BZ$13)="",10^12,OFFSET(PLE!$G$14,$M466,BZ$13))))</f>
        <v>1000000000000</v>
      </c>
      <c r="CA466" s="216">
        <f ca="1">IF($D466&lt;&gt;"Serviço",0,IF(OR(AND(AUTOEVENTO="Manual",$M466=1),$M466&gt;(ROW(PLE.lastrow)-ROW(PLE.firstrow))),0,IF(OFFSET(PLE!$G$14,$M466,CA$13)="",10^12,OFFSET(PLE!$G$14,$M466,CA$13))))</f>
        <v>1000000000000</v>
      </c>
      <c r="CB466" s="216">
        <f ca="1">IF($D466&lt;&gt;"Serviço",0,IF(OR(AND(AUTOEVENTO="Manual",$M466=1),$M466&gt;(ROW(PLE.lastrow)-ROW(PLE.firstrow))),0,IF(OFFSET(PLE!$G$14,$M466,CB$13)="",10^12,OFFSET(PLE!$G$14,$M466,CB$13))))</f>
        <v>1000000000000</v>
      </c>
      <c r="CC466" s="216">
        <f ca="1">IF($D466&lt;&gt;"Serviço",0,IF(OR(AND(AUTOEVENTO="Manual",$M466=1),$M466&gt;(ROW(PLE.lastrow)-ROW(PLE.firstrow))),0,IF(OFFSET(PLE!$G$14,$M466,CC$13)="",10^12,OFFSET(PLE!$G$14,$M466,CC$13))))</f>
        <v>1000000000000</v>
      </c>
      <c r="CD466" s="216">
        <f ca="1">IF($D466&lt;&gt;"Serviço",0,IF(OR(AND(AUTOEVENTO="Manual",$M466=1),$M466&gt;(ROW(PLE.lastrow)-ROW(PLE.firstrow))),0,IF(OFFSET(PLE!$G$14,$M466,CD$13)="",10^12,OFFSET(PLE!$G$14,$M466,CD$13))))</f>
        <v>1000000000000</v>
      </c>
      <c r="CE466" s="216">
        <f ca="1">IF($D466&lt;&gt;"Serviço",0,IF(OR(AND(AUTOEVENTO="Manual",$M466=1),$M466&gt;(ROW(PLE.lastrow)-ROW(PLE.firstrow))),0,IF(OFFSET(PLE!$G$14,$M466,CE$13)="",10^12,OFFSET(PLE!$G$14,$M466,CE$13))))</f>
        <v>1000000000000</v>
      </c>
      <c r="CF466" s="216">
        <f ca="1">IF($D466&lt;&gt;"Serviço",0,IF(OR(AND(AUTOEVENTO="Manual",$M466=1),$M466&gt;(ROW(PLE.lastrow)-ROW(PLE.firstrow))),0,IF(OFFSET(PLE!$G$14,$M466,CF$13)="",10^12,OFFSET(PLE!$G$14,$M466,CF$13))))</f>
        <v>1000000000000</v>
      </c>
      <c r="CG466" s="216">
        <f ca="1">IF($D466&lt;&gt;"Serviço",0,IF(OR(AND(AUTOEVENTO="Manual",$M466=1),$M466&gt;(ROW(PLE.lastrow)-ROW(PLE.firstrow))),0,IF(OFFSET(PLE!$G$14,$M466,CG$13)="",10^12,OFFSET(PLE!$G$14,$M466,CG$13))))</f>
        <v>1000000000000</v>
      </c>
      <c r="CH466" s="216">
        <f ca="1">IF($D466&lt;&gt;"Serviço",0,IF(OR(AND(AUTOEVENTO="Manual",$M466=1),$M466&gt;(ROW(PLE.lastrow)-ROW(PLE.firstrow))),0,IF(OFFSET(PLE!$G$14,$M466,CH$13)="",10^12,OFFSET(PLE!$G$14,$M466,CH$13))))</f>
        <v>1000000000000</v>
      </c>
      <c r="CI466" s="216">
        <f ca="1">IF($D466&lt;&gt;"Serviço",0,IF(OR(AND(AUTOEVENTO="Manual",$M466=1),$M466&gt;(ROW(PLE.lastrow)-ROW(PLE.firstrow))),0,IF(OFFSET(PLE!$G$14,$M466,CI$13)="",10^12,OFFSET(PLE!$G$14,$M466,CI$13))))</f>
        <v>1000000000000</v>
      </c>
      <c r="CJ466" s="216">
        <f ca="1">IF($D466&lt;&gt;"Serviço",0,IF(OR(AND(AUTOEVENTO="Manual",$M466=1),$M466&gt;(ROW(PLE.lastrow)-ROW(PLE.firstrow))),0,IF(OFFSET(PLE!$G$14,$M466,CJ$13)="",10^12,OFFSET(PLE!$G$14,$M466,CJ$13))))</f>
        <v>1000000000000</v>
      </c>
      <c r="CK466" s="216">
        <f ca="1">IF($D466&lt;&gt;"Serviço",0,IF(OR(AND(AUTOEVENTO="Manual",$M466=1),$M466&gt;(ROW(PLE.lastrow)-ROW(PLE.firstrow))),0,IF(OFFSET(PLE!$G$14,$M466,CK$13)="",10^12,OFFSET(PLE!$G$14,$M466,CK$13))))</f>
        <v>1000000000000</v>
      </c>
      <c r="CL466" s="216">
        <f ca="1">IF($D466&lt;&gt;"Serviço",0,IF(OR(AND(AUTOEVENTO="Manual",$M466=1),$M466&gt;(ROW(PLE.lastrow)-ROW(PLE.firstrow))),0,IF(OFFSET(PLE!$G$14,$M466,CL$13)="",10^12,OFFSET(PLE!$G$14,$M466,CL$13))))</f>
        <v>1000000000000</v>
      </c>
      <c r="CM466" s="216">
        <f ca="1">IF($D466&lt;&gt;"Serviço",0,IF(OR(AND(AUTOEVENTO="Manual",$M466=1),$M466&gt;(ROW(PLE.lastrow)-ROW(PLE.firstrow))),0,IF(OFFSET(PLE!$G$14,$M466,CM$13)="",10^12,OFFSET(PLE!$G$14,$M466,CM$13))))</f>
        <v>1000000000000</v>
      </c>
    </row>
    <row r="467" spans="1:91" ht="13.2" x14ac:dyDescent="0.25">
      <c r="A467" s="9">
        <f t="shared" ca="1" si="16"/>
        <v>0</v>
      </c>
      <c r="B467" s="9" t="str">
        <f ca="1">OFFSET(ORÇAMENTO!C$15,ROW(B467)-ROW(B$15),0)</f>
        <v>S</v>
      </c>
      <c r="C467" s="9" t="str">
        <f ca="1">OFFSET(ORÇAMENTO!L$15,ROW(C467)-ROW(C$15),0)</f>
        <v/>
      </c>
      <c r="D467" s="145" t="str">
        <f ca="1">OFFSET(ORÇAMENTO!N$15,ROW(D467)-ROW(D$15),0)</f>
        <v>Serviço</v>
      </c>
      <c r="E467" s="205" t="str">
        <f ca="1">OFFSET(ORÇAMENTO!O$15,ROW(E467)-ROW(E$15),0)</f>
        <v>-</v>
      </c>
      <c r="F467" s="206" t="str">
        <f ca="1">OFFSET(ORÇAMENTO!R$15,ROW(F467)-ROW(F$15),0)</f>
        <v>(abra o arquivo 'Referência 05-2024.xls)</v>
      </c>
      <c r="G467" s="207" t="str">
        <f ca="1">IF($D467&lt;&gt;"Serviço","",OFFSET(ORÇAMENTO!S$15,ROW(G467)-ROW(G$15),0))</f>
        <v>-</v>
      </c>
      <c r="H467" s="151">
        <f ca="1">IF($D467&lt;&gt;"Serviço",0,IF(ACOMPANHAMENTO="BM",ROUND(OFFSET(ORÇAMENTO!AJ$15,ROW(H467)-ROW(H$15),0),15-13*ORÇAMENTO!$AF$7),SUMPRODUCT(($Q$12:$AI$12&lt;&gt;"")*ROUND($Q467:$AI467,15-13*ORÇAMENTO!$AF$7))))</f>
        <v>15</v>
      </c>
      <c r="I467" s="650"/>
      <c r="K467" s="208"/>
      <c r="L467" s="209" t="s">
        <v>257</v>
      </c>
      <c r="M467" s="210">
        <f ca="1">IF($D467&lt;&gt;"Serviço","",IF(AUTOEVENTO="manual",$A467,IF(ISERROR(MATCH($A467,$A$15:OFFSET($A467,-1,0),0)),MAX($M$15:OFFSET(M467,-1,0))+1,INDEX($M$15:OFFSET(M467,-1,0),MATCH($A467,$A$15:OFFSET($A467,-1,0),0)))))</f>
        <v>0</v>
      </c>
      <c r="N467" s="211" t="str">
        <f ca="1">IF($D467&lt;&gt;"Serviço","",IF(AUTOEVENTO="Manual",IF($A467=0,"&lt;-- defina o número do agrupador",OFFSET(EVENTOS!$D$14,$A467,0)),OFFSET($F$15,$A467,0)))</f>
        <v>&lt;-- defina o número do agrupador</v>
      </c>
      <c r="O467" s="212"/>
      <c r="Q467" s="212"/>
      <c r="R467" s="213"/>
      <c r="S467" s="213"/>
      <c r="T467" s="213"/>
      <c r="U467" s="213"/>
      <c r="V467" s="213"/>
      <c r="W467" s="213"/>
      <c r="X467" s="213"/>
      <c r="Y467" s="213"/>
      <c r="Z467" s="214"/>
      <c r="AA467" s="213"/>
      <c r="AB467" s="213"/>
      <c r="AC467" s="213"/>
      <c r="AD467" s="213"/>
      <c r="AE467" s="213"/>
      <c r="AF467" s="213"/>
      <c r="AG467" s="213"/>
      <c r="AH467" s="214"/>
      <c r="AJ467" s="631">
        <f ca="1">IF(AND($D467="Serviço",AJ$12&lt;&gt;0,$H467&gt;0,OR(AUTOEVENTO&lt;&gt;"manual",$M467&lt;&gt;1)),ROUND(OFFSET($P467,0,AJ$13),15-13*ORÇAMENTO!$AF$7)/$H467*OFFSET(ORÇAMENTO!$X$15,ROW(AJ467)-ROW(AJ$15),0),0)</f>
        <v>0</v>
      </c>
      <c r="AK467" s="632">
        <f ca="1">IF(AND($D467="Serviço",AK$12&lt;&gt;0,$H467&gt;0,OR(AUTOEVENTO&lt;&gt;"manual",$M467&lt;&gt;1)),ROUND(OFFSET($P467,0,AK$13),15-13*ORÇAMENTO!$AF$7)/$H467*OFFSET(ORÇAMENTO!$X$15,ROW(AK467)-ROW(AK$15),0),0)</f>
        <v>0</v>
      </c>
      <c r="AL467" s="632">
        <f ca="1">IF(AND($D467="Serviço",AL$12&lt;&gt;0,$H467&gt;0,OR(AUTOEVENTO&lt;&gt;"manual",$M467&lt;&gt;1)),ROUND(OFFSET($P467,0,AL$13),15-13*ORÇAMENTO!$AF$7)/$H467*OFFSET(ORÇAMENTO!$X$15,ROW(AL467)-ROW(AL$15),0),0)</f>
        <v>0</v>
      </c>
      <c r="AM467" s="632">
        <f ca="1">IF(AND($D467="Serviço",AM$12&lt;&gt;0,$H467&gt;0,OR(AUTOEVENTO&lt;&gt;"manual",$M467&lt;&gt;1)),ROUND(OFFSET($P467,0,AM$13),15-13*ORÇAMENTO!$AF$7)/$H467*OFFSET(ORÇAMENTO!$X$15,ROW(AM467)-ROW(AM$15),0),0)</f>
        <v>0</v>
      </c>
      <c r="AN467" s="632">
        <f ca="1">IF(AND($D467="Serviço",AN$12&lt;&gt;0,$H467&gt;0,OR(AUTOEVENTO&lt;&gt;"manual",$M467&lt;&gt;1)),ROUND(OFFSET($P467,0,AN$13),15-13*ORÇAMENTO!$AF$7)/$H467*OFFSET(ORÇAMENTO!$X$15,ROW(AN467)-ROW(AN$15),0),0)</f>
        <v>0</v>
      </c>
      <c r="AO467" s="632">
        <f ca="1">IF(AND($D467="Serviço",AO$12&lt;&gt;0,$H467&gt;0,OR(AUTOEVENTO&lt;&gt;"manual",$M467&lt;&gt;1)),ROUND(OFFSET($P467,0,AO$13),15-13*ORÇAMENTO!$AF$7)/$H467*OFFSET(ORÇAMENTO!$X$15,ROW(AO467)-ROW(AO$15),0),0)</f>
        <v>0</v>
      </c>
      <c r="AP467" s="632">
        <f ca="1">IF(AND($D467="Serviço",AP$12&lt;&gt;0,$H467&gt;0,OR(AUTOEVENTO&lt;&gt;"manual",$M467&lt;&gt;1)),ROUND(OFFSET($P467,0,AP$13),15-13*ORÇAMENTO!$AF$7)/$H467*OFFSET(ORÇAMENTO!$X$15,ROW(AP467)-ROW(AP$15),0),0)</f>
        <v>0</v>
      </c>
      <c r="AQ467" s="632">
        <f ca="1">IF(AND($D467="Serviço",AQ$12&lt;&gt;0,$H467&gt;0,OR(AUTOEVENTO&lt;&gt;"manual",$M467&lt;&gt;1)),ROUND(OFFSET($P467,0,AQ$13),15-13*ORÇAMENTO!$AF$7)/$H467*OFFSET(ORÇAMENTO!$X$15,ROW(AQ467)-ROW(AQ$15),0),0)</f>
        <v>0</v>
      </c>
      <c r="AR467" s="632">
        <f ca="1">IF(AND($D467="Serviço",AR$12&lt;&gt;0,$H467&gt;0,OR(AUTOEVENTO&lt;&gt;"manual",$M467&lt;&gt;1)),ROUND(OFFSET($P467,0,AR$13),15-13*ORÇAMENTO!$AF$7)/$H467*OFFSET(ORÇAMENTO!$X$15,ROW(AR467)-ROW(AR$15),0),0)</f>
        <v>0</v>
      </c>
      <c r="AS467" s="633">
        <f ca="1">IF(AND($D467="Serviço",AS$12&lt;&gt;0,$H467&gt;0,OR(AUTOEVENTO&lt;&gt;"manual",$M467&lt;&gt;1)),ROUND(OFFSET($P467,0,AS$13),15-13*ORÇAMENTO!$AF$7)/$H467*OFFSET(ORÇAMENTO!$X$15,ROW(AS467)-ROW(AS$15),0),0)</f>
        <v>0</v>
      </c>
      <c r="AT467" s="632">
        <f ca="1">IF(AND($D467="Serviço",AT$12&lt;&gt;0,$H467&gt;0,OR(AUTOEVENTO&lt;&gt;"manual",$M467&lt;&gt;1)),ROUND(OFFSET($P467,0,AT$13),15-13*ORÇAMENTO!$AF$7)/$H467*OFFSET(ORÇAMENTO!$X$15,ROW(AT467)-ROW(AT$15),0),0)</f>
        <v>0</v>
      </c>
      <c r="AU467" s="632">
        <f ca="1">IF(AND($D467="Serviço",AU$12&lt;&gt;0,$H467&gt;0,OR(AUTOEVENTO&lt;&gt;"manual",$M467&lt;&gt;1)),ROUND(OFFSET($P467,0,AU$13),15-13*ORÇAMENTO!$AF$7)/$H467*OFFSET(ORÇAMENTO!$X$15,ROW(AU467)-ROW(AU$15),0),0)</f>
        <v>0</v>
      </c>
      <c r="AV467" s="632">
        <f ca="1">IF(AND($D467="Serviço",AV$12&lt;&gt;0,$H467&gt;0,OR(AUTOEVENTO&lt;&gt;"manual",$M467&lt;&gt;1)),ROUND(OFFSET($P467,0,AV$13),15-13*ORÇAMENTO!$AF$7)/$H467*OFFSET(ORÇAMENTO!$X$15,ROW(AV467)-ROW(AV$15),0),0)</f>
        <v>0</v>
      </c>
      <c r="AW467" s="632">
        <f ca="1">IF(AND($D467="Serviço",AW$12&lt;&gt;0,$H467&gt;0,OR(AUTOEVENTO&lt;&gt;"manual",$M467&lt;&gt;1)),ROUND(OFFSET($P467,0,AW$13),15-13*ORÇAMENTO!$AF$7)/$H467*OFFSET(ORÇAMENTO!$X$15,ROW(AW467)-ROW(AW$15),0),0)</f>
        <v>0</v>
      </c>
      <c r="AX467" s="632">
        <f ca="1">IF(AND($D467="Serviço",AX$12&lt;&gt;0,$H467&gt;0,OR(AUTOEVENTO&lt;&gt;"manual",$M467&lt;&gt;1)),ROUND(OFFSET($P467,0,AX$13),15-13*ORÇAMENTO!$AF$7)/$H467*OFFSET(ORÇAMENTO!$X$15,ROW(AX467)-ROW(AX$15),0),0)</f>
        <v>0</v>
      </c>
      <c r="AY467" s="632">
        <f ca="1">IF(AND($D467="Serviço",AY$12&lt;&gt;0,$H467&gt;0,OR(AUTOEVENTO&lt;&gt;"manual",$M467&lt;&gt;1)),ROUND(OFFSET($P467,0,AY$13),15-13*ORÇAMENTO!$AF$7)/$H467*OFFSET(ORÇAMENTO!$X$15,ROW(AY467)-ROW(AY$15),0),0)</f>
        <v>0</v>
      </c>
      <c r="AZ467" s="632">
        <f ca="1">IF(AND($D467="Serviço",AZ$12&lt;&gt;0,$H467&gt;0,OR(AUTOEVENTO&lt;&gt;"manual",$M467&lt;&gt;1)),ROUND(OFFSET($P467,0,AZ$13),15-13*ORÇAMENTO!$AF$7)/$H467*OFFSET(ORÇAMENTO!$X$15,ROW(AZ467)-ROW(AZ$15),0),0)</f>
        <v>0</v>
      </c>
      <c r="BA467" s="633">
        <f ca="1">IF(AND($D467="Serviço",BA$12&lt;&gt;0,$H467&gt;0,OR(AUTOEVENTO&lt;&gt;"manual",$M467&lt;&gt;1)),ROUND(OFFSET($P467,0,BA$13),15-13*ORÇAMENTO!$AF$7)/$H467*OFFSET(ORÇAMENTO!$X$15,ROW(BA467)-ROW(BA$15),0),0)</f>
        <v>0</v>
      </c>
      <c r="BC467" s="215">
        <f ca="1">IF($D467&lt;&gt;"Serviço",0,IF(AND(AUTOEVENTO="Manual",$M467=1),0,IF(OFFSET(CRONOPLE!$F$14,$M467,BC$13)="",10^12,OFFSET(CRONOPLE!$F$14,$M467,BC$13))))</f>
        <v>1000000000000</v>
      </c>
      <c r="BD467" s="215">
        <f ca="1">IF($D467&lt;&gt;"Serviço",0,IF(AND(AUTOEVENTO="Manual",$M467=1),0,IF(OFFSET(CRONOPLE!$F$14,$M467,BD$13)="",10^12,OFFSET(CRONOPLE!$F$14,$M467,BD$13))))</f>
        <v>1000000000000</v>
      </c>
      <c r="BE467" s="215">
        <f ca="1">IF($D467&lt;&gt;"Serviço",0,IF(AND(AUTOEVENTO="Manual",$M467=1),0,IF(OFFSET(CRONOPLE!$F$14,$M467,BE$13)="",10^12,OFFSET(CRONOPLE!$F$14,$M467,BE$13))))</f>
        <v>1000000000000</v>
      </c>
      <c r="BF467" s="215">
        <f ca="1">IF($D467&lt;&gt;"Serviço",0,IF(AND(AUTOEVENTO="Manual",$M467=1),0,IF(OFFSET(CRONOPLE!$F$14,$M467,BF$13)="",10^12,OFFSET(CRONOPLE!$F$14,$M467,BF$13))))</f>
        <v>1000000000000</v>
      </c>
      <c r="BG467" s="215">
        <f ca="1">IF($D467&lt;&gt;"Serviço",0,IF(AND(AUTOEVENTO="Manual",$M467=1),0,IF(OFFSET(CRONOPLE!$F$14,$M467,BG$13)="",10^12,OFFSET(CRONOPLE!$F$14,$M467,BG$13))))</f>
        <v>1000000000000</v>
      </c>
      <c r="BH467" s="215">
        <f ca="1">IF($D467&lt;&gt;"Serviço",0,IF(AND(AUTOEVENTO="Manual",$M467=1),0,IF(OFFSET(CRONOPLE!$F$14,$M467,BH$13)="",10^12,OFFSET(CRONOPLE!$F$14,$M467,BH$13))))</f>
        <v>1000000000000</v>
      </c>
      <c r="BI467" s="215">
        <f ca="1">IF($D467&lt;&gt;"Serviço",0,IF(AND(AUTOEVENTO="Manual",$M467=1),0,IF(OFFSET(CRONOPLE!$F$14,$M467,BI$13)="",10^12,OFFSET(CRONOPLE!$F$14,$M467,BI$13))))</f>
        <v>1000000000000</v>
      </c>
      <c r="BJ467" s="215">
        <f ca="1">IF($D467&lt;&gt;"Serviço",0,IF(AND(AUTOEVENTO="Manual",$M467=1),0,IF(OFFSET(CRONOPLE!$F$14,$M467,BJ$13)="",10^12,OFFSET(CRONOPLE!$F$14,$M467,BJ$13))))</f>
        <v>1000000000000</v>
      </c>
      <c r="BK467" s="215">
        <f ca="1">IF($D467&lt;&gt;"Serviço",0,IF(AND(AUTOEVENTO="Manual",$M467=1),0,IF(OFFSET(CRONOPLE!$F$14,$M467,BK$13)="",10^12,OFFSET(CRONOPLE!$F$14,$M467,BK$13))))</f>
        <v>1000000000000</v>
      </c>
      <c r="BL467" s="215">
        <f ca="1">IF($D467&lt;&gt;"Serviço",0,IF(AND(AUTOEVENTO="Manual",$M467=1),0,IF(OFFSET(CRONOPLE!$F$14,$M467,BL$13)="",10^12,OFFSET(CRONOPLE!$F$14,$M467,BL$13))))</f>
        <v>1000000000000</v>
      </c>
      <c r="BM467" s="215">
        <f ca="1">IF($D467&lt;&gt;"Serviço",0,IF(AND(AUTOEVENTO="Manual",$M467=1),0,IF(OFFSET(CRONOPLE!$F$14,$M467,BM$13)="",10^12,OFFSET(CRONOPLE!$F$14,$M467,BM$13))))</f>
        <v>1000000000000</v>
      </c>
      <c r="BN467" s="215">
        <f ca="1">IF($D467&lt;&gt;"Serviço",0,IF(AND(AUTOEVENTO="Manual",$M467=1),0,IF(OFFSET(CRONOPLE!$F$14,$M467,BN$13)="",10^12,OFFSET(CRONOPLE!$F$14,$M467,BN$13))))</f>
        <v>1000000000000</v>
      </c>
      <c r="BO467" s="215">
        <f ca="1">IF($D467&lt;&gt;"Serviço",0,IF(AND(AUTOEVENTO="Manual",$M467=1),0,IF(OFFSET(CRONOPLE!$F$14,$M467,BO$13)="",10^12,OFFSET(CRONOPLE!$F$14,$M467,BO$13))))</f>
        <v>1000000000000</v>
      </c>
      <c r="BP467" s="215">
        <f ca="1">IF($D467&lt;&gt;"Serviço",0,IF(AND(AUTOEVENTO="Manual",$M467=1),0,IF(OFFSET(CRONOPLE!$F$14,$M467,BP$13)="",10^12,OFFSET(CRONOPLE!$F$14,$M467,BP$13))))</f>
        <v>1000000000000</v>
      </c>
      <c r="BQ467" s="215">
        <f ca="1">IF($D467&lt;&gt;"Serviço",0,IF(AND(AUTOEVENTO="Manual",$M467=1),0,IF(OFFSET(CRONOPLE!$F$14,$M467,BQ$13)="",10^12,OFFSET(CRONOPLE!$F$14,$M467,BQ$13))))</f>
        <v>1000000000000</v>
      </c>
      <c r="BR467" s="215">
        <f ca="1">IF($D467&lt;&gt;"Serviço",0,IF(AND(AUTOEVENTO="Manual",$M467=1),0,IF(OFFSET(CRONOPLE!$F$14,$M467,BR$13)="",10^12,OFFSET(CRONOPLE!$F$14,$M467,BR$13))))</f>
        <v>1000000000000</v>
      </c>
      <c r="BS467" s="215">
        <f ca="1">IF($D467&lt;&gt;"Serviço",0,IF(AND(AUTOEVENTO="Manual",$M467=1),0,IF(OFFSET(CRONOPLE!$F$14,$M467,BS$13)="",10^12,OFFSET(CRONOPLE!$F$14,$M467,BS$13))))</f>
        <v>1000000000000</v>
      </c>
      <c r="BT467" s="215">
        <f ca="1">IF($D467&lt;&gt;"Serviço",0,IF(AND(AUTOEVENTO="Manual",$M467=1),0,IF(OFFSET(CRONOPLE!$F$14,$M467,BT$13)="",10^12,OFFSET(CRONOPLE!$F$14,$M467,BT$13))))</f>
        <v>1000000000000</v>
      </c>
      <c r="BV467" s="216">
        <f ca="1">IF($D467&lt;&gt;"Serviço",0,IF(OR(AND(AUTOEVENTO="Manual",$M467=1),$M467&gt;(ROW(PLE.lastrow)-ROW(PLE.firstrow))),0,IF(OFFSET(PLE!$G$14,$M467,BV$13)="",10^12,OFFSET(PLE!$G$14,$M467,BV$13))))</f>
        <v>1000000000000</v>
      </c>
      <c r="BW467" s="216">
        <f ca="1">IF($D467&lt;&gt;"Serviço",0,IF(OR(AND(AUTOEVENTO="Manual",$M467=1),$M467&gt;(ROW(PLE.lastrow)-ROW(PLE.firstrow))),0,IF(OFFSET(PLE!$G$14,$M467,BW$13)="",10^12,OFFSET(PLE!$G$14,$M467,BW$13))))</f>
        <v>1000000000000</v>
      </c>
      <c r="BX467" s="216">
        <f ca="1">IF($D467&lt;&gt;"Serviço",0,IF(OR(AND(AUTOEVENTO="Manual",$M467=1),$M467&gt;(ROW(PLE.lastrow)-ROW(PLE.firstrow))),0,IF(OFFSET(PLE!$G$14,$M467,BX$13)="",10^12,OFFSET(PLE!$G$14,$M467,BX$13))))</f>
        <v>1000000000000</v>
      </c>
      <c r="BY467" s="216">
        <f ca="1">IF($D467&lt;&gt;"Serviço",0,IF(OR(AND(AUTOEVENTO="Manual",$M467=1),$M467&gt;(ROW(PLE.lastrow)-ROW(PLE.firstrow))),0,IF(OFFSET(PLE!$G$14,$M467,BY$13)="",10^12,OFFSET(PLE!$G$14,$M467,BY$13))))</f>
        <v>1000000000000</v>
      </c>
      <c r="BZ467" s="216">
        <f ca="1">IF($D467&lt;&gt;"Serviço",0,IF(OR(AND(AUTOEVENTO="Manual",$M467=1),$M467&gt;(ROW(PLE.lastrow)-ROW(PLE.firstrow))),0,IF(OFFSET(PLE!$G$14,$M467,BZ$13)="",10^12,OFFSET(PLE!$G$14,$M467,BZ$13))))</f>
        <v>1000000000000</v>
      </c>
      <c r="CA467" s="216">
        <f ca="1">IF($D467&lt;&gt;"Serviço",0,IF(OR(AND(AUTOEVENTO="Manual",$M467=1),$M467&gt;(ROW(PLE.lastrow)-ROW(PLE.firstrow))),0,IF(OFFSET(PLE!$G$14,$M467,CA$13)="",10^12,OFFSET(PLE!$G$14,$M467,CA$13))))</f>
        <v>1000000000000</v>
      </c>
      <c r="CB467" s="216">
        <f ca="1">IF($D467&lt;&gt;"Serviço",0,IF(OR(AND(AUTOEVENTO="Manual",$M467=1),$M467&gt;(ROW(PLE.lastrow)-ROW(PLE.firstrow))),0,IF(OFFSET(PLE!$G$14,$M467,CB$13)="",10^12,OFFSET(PLE!$G$14,$M467,CB$13))))</f>
        <v>1000000000000</v>
      </c>
      <c r="CC467" s="216">
        <f ca="1">IF($D467&lt;&gt;"Serviço",0,IF(OR(AND(AUTOEVENTO="Manual",$M467=1),$M467&gt;(ROW(PLE.lastrow)-ROW(PLE.firstrow))),0,IF(OFFSET(PLE!$G$14,$M467,CC$13)="",10^12,OFFSET(PLE!$G$14,$M467,CC$13))))</f>
        <v>1000000000000</v>
      </c>
      <c r="CD467" s="216">
        <f ca="1">IF($D467&lt;&gt;"Serviço",0,IF(OR(AND(AUTOEVENTO="Manual",$M467=1),$M467&gt;(ROW(PLE.lastrow)-ROW(PLE.firstrow))),0,IF(OFFSET(PLE!$G$14,$M467,CD$13)="",10^12,OFFSET(PLE!$G$14,$M467,CD$13))))</f>
        <v>1000000000000</v>
      </c>
      <c r="CE467" s="216">
        <f ca="1">IF($D467&lt;&gt;"Serviço",0,IF(OR(AND(AUTOEVENTO="Manual",$M467=1),$M467&gt;(ROW(PLE.lastrow)-ROW(PLE.firstrow))),0,IF(OFFSET(PLE!$G$14,$M467,CE$13)="",10^12,OFFSET(PLE!$G$14,$M467,CE$13))))</f>
        <v>1000000000000</v>
      </c>
      <c r="CF467" s="216">
        <f ca="1">IF($D467&lt;&gt;"Serviço",0,IF(OR(AND(AUTOEVENTO="Manual",$M467=1),$M467&gt;(ROW(PLE.lastrow)-ROW(PLE.firstrow))),0,IF(OFFSET(PLE!$G$14,$M467,CF$13)="",10^12,OFFSET(PLE!$G$14,$M467,CF$13))))</f>
        <v>1000000000000</v>
      </c>
      <c r="CG467" s="216">
        <f ca="1">IF($D467&lt;&gt;"Serviço",0,IF(OR(AND(AUTOEVENTO="Manual",$M467=1),$M467&gt;(ROW(PLE.lastrow)-ROW(PLE.firstrow))),0,IF(OFFSET(PLE!$G$14,$M467,CG$13)="",10^12,OFFSET(PLE!$G$14,$M467,CG$13))))</f>
        <v>1000000000000</v>
      </c>
      <c r="CH467" s="216">
        <f ca="1">IF($D467&lt;&gt;"Serviço",0,IF(OR(AND(AUTOEVENTO="Manual",$M467=1),$M467&gt;(ROW(PLE.lastrow)-ROW(PLE.firstrow))),0,IF(OFFSET(PLE!$G$14,$M467,CH$13)="",10^12,OFFSET(PLE!$G$14,$M467,CH$13))))</f>
        <v>1000000000000</v>
      </c>
      <c r="CI467" s="216">
        <f ca="1">IF($D467&lt;&gt;"Serviço",0,IF(OR(AND(AUTOEVENTO="Manual",$M467=1),$M467&gt;(ROW(PLE.lastrow)-ROW(PLE.firstrow))),0,IF(OFFSET(PLE!$G$14,$M467,CI$13)="",10^12,OFFSET(PLE!$G$14,$M467,CI$13))))</f>
        <v>1000000000000</v>
      </c>
      <c r="CJ467" s="216">
        <f ca="1">IF($D467&lt;&gt;"Serviço",0,IF(OR(AND(AUTOEVENTO="Manual",$M467=1),$M467&gt;(ROW(PLE.lastrow)-ROW(PLE.firstrow))),0,IF(OFFSET(PLE!$G$14,$M467,CJ$13)="",10^12,OFFSET(PLE!$G$14,$M467,CJ$13))))</f>
        <v>1000000000000</v>
      </c>
      <c r="CK467" s="216">
        <f ca="1">IF($D467&lt;&gt;"Serviço",0,IF(OR(AND(AUTOEVENTO="Manual",$M467=1),$M467&gt;(ROW(PLE.lastrow)-ROW(PLE.firstrow))),0,IF(OFFSET(PLE!$G$14,$M467,CK$13)="",10^12,OFFSET(PLE!$G$14,$M467,CK$13))))</f>
        <v>1000000000000</v>
      </c>
      <c r="CL467" s="216">
        <f ca="1">IF($D467&lt;&gt;"Serviço",0,IF(OR(AND(AUTOEVENTO="Manual",$M467=1),$M467&gt;(ROW(PLE.lastrow)-ROW(PLE.firstrow))),0,IF(OFFSET(PLE!$G$14,$M467,CL$13)="",10^12,OFFSET(PLE!$G$14,$M467,CL$13))))</f>
        <v>1000000000000</v>
      </c>
      <c r="CM467" s="216">
        <f ca="1">IF($D467&lt;&gt;"Serviço",0,IF(OR(AND(AUTOEVENTO="Manual",$M467=1),$M467&gt;(ROW(PLE.lastrow)-ROW(PLE.firstrow))),0,IF(OFFSET(PLE!$G$14,$M467,CM$13)="",10^12,OFFSET(PLE!$G$14,$M467,CM$13))))</f>
        <v>1000000000000</v>
      </c>
    </row>
    <row r="468" spans="1:91" ht="13.2" x14ac:dyDescent="0.25">
      <c r="A468" s="9">
        <f t="shared" ca="1" si="16"/>
        <v>0</v>
      </c>
      <c r="B468" s="9" t="str">
        <f ca="1">OFFSET(ORÇAMENTO!C$15,ROW(B468)-ROW(B$15),0)</f>
        <v>S</v>
      </c>
      <c r="C468" s="9" t="str">
        <f ca="1">OFFSET(ORÇAMENTO!L$15,ROW(C468)-ROW(C$15),0)</f>
        <v/>
      </c>
      <c r="D468" s="145" t="str">
        <f ca="1">OFFSET(ORÇAMENTO!N$15,ROW(D468)-ROW(D$15),0)</f>
        <v>Serviço</v>
      </c>
      <c r="E468" s="205" t="str">
        <f ca="1">OFFSET(ORÇAMENTO!O$15,ROW(E468)-ROW(E$15),0)</f>
        <v>-</v>
      </c>
      <c r="F468" s="206" t="str">
        <f ca="1">OFFSET(ORÇAMENTO!R$15,ROW(F468)-ROW(F$15),0)</f>
        <v>(abra o arquivo 'Referência 05-2024.xls)</v>
      </c>
      <c r="G468" s="207" t="str">
        <f ca="1">IF($D468&lt;&gt;"Serviço","",OFFSET(ORÇAMENTO!S$15,ROW(G468)-ROW(G$15),0))</f>
        <v>-</v>
      </c>
      <c r="H468" s="151">
        <f ca="1">IF($D468&lt;&gt;"Serviço",0,IF(ACOMPANHAMENTO="BM",ROUND(OFFSET(ORÇAMENTO!AJ$15,ROW(H468)-ROW(H$15),0),15-13*ORÇAMENTO!$AF$7),SUMPRODUCT(($Q$12:$AI$12&lt;&gt;"")*ROUND($Q468:$AI468,15-13*ORÇAMENTO!$AF$7))))</f>
        <v>16</v>
      </c>
      <c r="I468" s="650"/>
      <c r="K468" s="208"/>
      <c r="L468" s="209" t="s">
        <v>257</v>
      </c>
      <c r="M468" s="210">
        <f ca="1">IF($D468&lt;&gt;"Serviço","",IF(AUTOEVENTO="manual",$A468,IF(ISERROR(MATCH($A468,$A$15:OFFSET($A468,-1,0),0)),MAX($M$15:OFFSET(M468,-1,0))+1,INDEX($M$15:OFFSET(M468,-1,0),MATCH($A468,$A$15:OFFSET($A468,-1,0),0)))))</f>
        <v>0</v>
      </c>
      <c r="N468" s="211" t="str">
        <f ca="1">IF($D468&lt;&gt;"Serviço","",IF(AUTOEVENTO="Manual",IF($A468=0,"&lt;-- defina o número do agrupador",OFFSET(EVENTOS!$D$14,$A468,0)),OFFSET($F$15,$A468,0)))</f>
        <v>&lt;-- defina o número do agrupador</v>
      </c>
      <c r="O468" s="212"/>
      <c r="Q468" s="212"/>
      <c r="R468" s="213"/>
      <c r="S468" s="213"/>
      <c r="T468" s="213"/>
      <c r="U468" s="213"/>
      <c r="V468" s="213"/>
      <c r="W468" s="213"/>
      <c r="X468" s="213"/>
      <c r="Y468" s="213"/>
      <c r="Z468" s="214"/>
      <c r="AA468" s="213"/>
      <c r="AB468" s="213"/>
      <c r="AC468" s="213"/>
      <c r="AD468" s="213"/>
      <c r="AE468" s="213"/>
      <c r="AF468" s="213"/>
      <c r="AG468" s="213"/>
      <c r="AH468" s="214"/>
      <c r="AJ468" s="631">
        <f ca="1">IF(AND($D468="Serviço",AJ$12&lt;&gt;0,$H468&gt;0,OR(AUTOEVENTO&lt;&gt;"manual",$M468&lt;&gt;1)),ROUND(OFFSET($P468,0,AJ$13),15-13*ORÇAMENTO!$AF$7)/$H468*OFFSET(ORÇAMENTO!$X$15,ROW(AJ468)-ROW(AJ$15),0),0)</f>
        <v>0</v>
      </c>
      <c r="AK468" s="632">
        <f ca="1">IF(AND($D468="Serviço",AK$12&lt;&gt;0,$H468&gt;0,OR(AUTOEVENTO&lt;&gt;"manual",$M468&lt;&gt;1)),ROUND(OFFSET($P468,0,AK$13),15-13*ORÇAMENTO!$AF$7)/$H468*OFFSET(ORÇAMENTO!$X$15,ROW(AK468)-ROW(AK$15),0),0)</f>
        <v>0</v>
      </c>
      <c r="AL468" s="632">
        <f ca="1">IF(AND($D468="Serviço",AL$12&lt;&gt;0,$H468&gt;0,OR(AUTOEVENTO&lt;&gt;"manual",$M468&lt;&gt;1)),ROUND(OFFSET($P468,0,AL$13),15-13*ORÇAMENTO!$AF$7)/$H468*OFFSET(ORÇAMENTO!$X$15,ROW(AL468)-ROW(AL$15),0),0)</f>
        <v>0</v>
      </c>
      <c r="AM468" s="632">
        <f ca="1">IF(AND($D468="Serviço",AM$12&lt;&gt;0,$H468&gt;0,OR(AUTOEVENTO&lt;&gt;"manual",$M468&lt;&gt;1)),ROUND(OFFSET($P468,0,AM$13),15-13*ORÇAMENTO!$AF$7)/$H468*OFFSET(ORÇAMENTO!$X$15,ROW(AM468)-ROW(AM$15),0),0)</f>
        <v>0</v>
      </c>
      <c r="AN468" s="632">
        <f ca="1">IF(AND($D468="Serviço",AN$12&lt;&gt;0,$H468&gt;0,OR(AUTOEVENTO&lt;&gt;"manual",$M468&lt;&gt;1)),ROUND(OFFSET($P468,0,AN$13),15-13*ORÇAMENTO!$AF$7)/$H468*OFFSET(ORÇAMENTO!$X$15,ROW(AN468)-ROW(AN$15),0),0)</f>
        <v>0</v>
      </c>
      <c r="AO468" s="632">
        <f ca="1">IF(AND($D468="Serviço",AO$12&lt;&gt;0,$H468&gt;0,OR(AUTOEVENTO&lt;&gt;"manual",$M468&lt;&gt;1)),ROUND(OFFSET($P468,0,AO$13),15-13*ORÇAMENTO!$AF$7)/$H468*OFFSET(ORÇAMENTO!$X$15,ROW(AO468)-ROW(AO$15),0),0)</f>
        <v>0</v>
      </c>
      <c r="AP468" s="632">
        <f ca="1">IF(AND($D468="Serviço",AP$12&lt;&gt;0,$H468&gt;0,OR(AUTOEVENTO&lt;&gt;"manual",$M468&lt;&gt;1)),ROUND(OFFSET($P468,0,AP$13),15-13*ORÇAMENTO!$AF$7)/$H468*OFFSET(ORÇAMENTO!$X$15,ROW(AP468)-ROW(AP$15),0),0)</f>
        <v>0</v>
      </c>
      <c r="AQ468" s="632">
        <f ca="1">IF(AND($D468="Serviço",AQ$12&lt;&gt;0,$H468&gt;0,OR(AUTOEVENTO&lt;&gt;"manual",$M468&lt;&gt;1)),ROUND(OFFSET($P468,0,AQ$13),15-13*ORÇAMENTO!$AF$7)/$H468*OFFSET(ORÇAMENTO!$X$15,ROW(AQ468)-ROW(AQ$15),0),0)</f>
        <v>0</v>
      </c>
      <c r="AR468" s="632">
        <f ca="1">IF(AND($D468="Serviço",AR$12&lt;&gt;0,$H468&gt;0,OR(AUTOEVENTO&lt;&gt;"manual",$M468&lt;&gt;1)),ROUND(OFFSET($P468,0,AR$13),15-13*ORÇAMENTO!$AF$7)/$H468*OFFSET(ORÇAMENTO!$X$15,ROW(AR468)-ROW(AR$15),0),0)</f>
        <v>0</v>
      </c>
      <c r="AS468" s="633">
        <f ca="1">IF(AND($D468="Serviço",AS$12&lt;&gt;0,$H468&gt;0,OR(AUTOEVENTO&lt;&gt;"manual",$M468&lt;&gt;1)),ROUND(OFFSET($P468,0,AS$13),15-13*ORÇAMENTO!$AF$7)/$H468*OFFSET(ORÇAMENTO!$X$15,ROW(AS468)-ROW(AS$15),0),0)</f>
        <v>0</v>
      </c>
      <c r="AT468" s="632">
        <f ca="1">IF(AND($D468="Serviço",AT$12&lt;&gt;0,$H468&gt;0,OR(AUTOEVENTO&lt;&gt;"manual",$M468&lt;&gt;1)),ROUND(OFFSET($P468,0,AT$13),15-13*ORÇAMENTO!$AF$7)/$H468*OFFSET(ORÇAMENTO!$X$15,ROW(AT468)-ROW(AT$15),0),0)</f>
        <v>0</v>
      </c>
      <c r="AU468" s="632">
        <f ca="1">IF(AND($D468="Serviço",AU$12&lt;&gt;0,$H468&gt;0,OR(AUTOEVENTO&lt;&gt;"manual",$M468&lt;&gt;1)),ROUND(OFFSET($P468,0,AU$13),15-13*ORÇAMENTO!$AF$7)/$H468*OFFSET(ORÇAMENTO!$X$15,ROW(AU468)-ROW(AU$15),0),0)</f>
        <v>0</v>
      </c>
      <c r="AV468" s="632">
        <f ca="1">IF(AND($D468="Serviço",AV$12&lt;&gt;0,$H468&gt;0,OR(AUTOEVENTO&lt;&gt;"manual",$M468&lt;&gt;1)),ROUND(OFFSET($P468,0,AV$13),15-13*ORÇAMENTO!$AF$7)/$H468*OFFSET(ORÇAMENTO!$X$15,ROW(AV468)-ROW(AV$15),0),0)</f>
        <v>0</v>
      </c>
      <c r="AW468" s="632">
        <f ca="1">IF(AND($D468="Serviço",AW$12&lt;&gt;0,$H468&gt;0,OR(AUTOEVENTO&lt;&gt;"manual",$M468&lt;&gt;1)),ROUND(OFFSET($P468,0,AW$13),15-13*ORÇAMENTO!$AF$7)/$H468*OFFSET(ORÇAMENTO!$X$15,ROW(AW468)-ROW(AW$15),0),0)</f>
        <v>0</v>
      </c>
      <c r="AX468" s="632">
        <f ca="1">IF(AND($D468="Serviço",AX$12&lt;&gt;0,$H468&gt;0,OR(AUTOEVENTO&lt;&gt;"manual",$M468&lt;&gt;1)),ROUND(OFFSET($P468,0,AX$13),15-13*ORÇAMENTO!$AF$7)/$H468*OFFSET(ORÇAMENTO!$X$15,ROW(AX468)-ROW(AX$15),0),0)</f>
        <v>0</v>
      </c>
      <c r="AY468" s="632">
        <f ca="1">IF(AND($D468="Serviço",AY$12&lt;&gt;0,$H468&gt;0,OR(AUTOEVENTO&lt;&gt;"manual",$M468&lt;&gt;1)),ROUND(OFFSET($P468,0,AY$13),15-13*ORÇAMENTO!$AF$7)/$H468*OFFSET(ORÇAMENTO!$X$15,ROW(AY468)-ROW(AY$15),0),0)</f>
        <v>0</v>
      </c>
      <c r="AZ468" s="632">
        <f ca="1">IF(AND($D468="Serviço",AZ$12&lt;&gt;0,$H468&gt;0,OR(AUTOEVENTO&lt;&gt;"manual",$M468&lt;&gt;1)),ROUND(OFFSET($P468,0,AZ$13),15-13*ORÇAMENTO!$AF$7)/$H468*OFFSET(ORÇAMENTO!$X$15,ROW(AZ468)-ROW(AZ$15),0),0)</f>
        <v>0</v>
      </c>
      <c r="BA468" s="633">
        <f ca="1">IF(AND($D468="Serviço",BA$12&lt;&gt;0,$H468&gt;0,OR(AUTOEVENTO&lt;&gt;"manual",$M468&lt;&gt;1)),ROUND(OFFSET($P468,0,BA$13),15-13*ORÇAMENTO!$AF$7)/$H468*OFFSET(ORÇAMENTO!$X$15,ROW(BA468)-ROW(BA$15),0),0)</f>
        <v>0</v>
      </c>
      <c r="BC468" s="215">
        <f ca="1">IF($D468&lt;&gt;"Serviço",0,IF(AND(AUTOEVENTO="Manual",$M468=1),0,IF(OFFSET(CRONOPLE!$F$14,$M468,BC$13)="",10^12,OFFSET(CRONOPLE!$F$14,$M468,BC$13))))</f>
        <v>1000000000000</v>
      </c>
      <c r="BD468" s="215">
        <f ca="1">IF($D468&lt;&gt;"Serviço",0,IF(AND(AUTOEVENTO="Manual",$M468=1),0,IF(OFFSET(CRONOPLE!$F$14,$M468,BD$13)="",10^12,OFFSET(CRONOPLE!$F$14,$M468,BD$13))))</f>
        <v>1000000000000</v>
      </c>
      <c r="BE468" s="215">
        <f ca="1">IF($D468&lt;&gt;"Serviço",0,IF(AND(AUTOEVENTO="Manual",$M468=1),0,IF(OFFSET(CRONOPLE!$F$14,$M468,BE$13)="",10^12,OFFSET(CRONOPLE!$F$14,$M468,BE$13))))</f>
        <v>1000000000000</v>
      </c>
      <c r="BF468" s="215">
        <f ca="1">IF($D468&lt;&gt;"Serviço",0,IF(AND(AUTOEVENTO="Manual",$M468=1),0,IF(OFFSET(CRONOPLE!$F$14,$M468,BF$13)="",10^12,OFFSET(CRONOPLE!$F$14,$M468,BF$13))))</f>
        <v>1000000000000</v>
      </c>
      <c r="BG468" s="215">
        <f ca="1">IF($D468&lt;&gt;"Serviço",0,IF(AND(AUTOEVENTO="Manual",$M468=1),0,IF(OFFSET(CRONOPLE!$F$14,$M468,BG$13)="",10^12,OFFSET(CRONOPLE!$F$14,$M468,BG$13))))</f>
        <v>1000000000000</v>
      </c>
      <c r="BH468" s="215">
        <f ca="1">IF($D468&lt;&gt;"Serviço",0,IF(AND(AUTOEVENTO="Manual",$M468=1),0,IF(OFFSET(CRONOPLE!$F$14,$M468,BH$13)="",10^12,OFFSET(CRONOPLE!$F$14,$M468,BH$13))))</f>
        <v>1000000000000</v>
      </c>
      <c r="BI468" s="215">
        <f ca="1">IF($D468&lt;&gt;"Serviço",0,IF(AND(AUTOEVENTO="Manual",$M468=1),0,IF(OFFSET(CRONOPLE!$F$14,$M468,BI$13)="",10^12,OFFSET(CRONOPLE!$F$14,$M468,BI$13))))</f>
        <v>1000000000000</v>
      </c>
      <c r="BJ468" s="215">
        <f ca="1">IF($D468&lt;&gt;"Serviço",0,IF(AND(AUTOEVENTO="Manual",$M468=1),0,IF(OFFSET(CRONOPLE!$F$14,$M468,BJ$13)="",10^12,OFFSET(CRONOPLE!$F$14,$M468,BJ$13))))</f>
        <v>1000000000000</v>
      </c>
      <c r="BK468" s="215">
        <f ca="1">IF($D468&lt;&gt;"Serviço",0,IF(AND(AUTOEVENTO="Manual",$M468=1),0,IF(OFFSET(CRONOPLE!$F$14,$M468,BK$13)="",10^12,OFFSET(CRONOPLE!$F$14,$M468,BK$13))))</f>
        <v>1000000000000</v>
      </c>
      <c r="BL468" s="215">
        <f ca="1">IF($D468&lt;&gt;"Serviço",0,IF(AND(AUTOEVENTO="Manual",$M468=1),0,IF(OFFSET(CRONOPLE!$F$14,$M468,BL$13)="",10^12,OFFSET(CRONOPLE!$F$14,$M468,BL$13))))</f>
        <v>1000000000000</v>
      </c>
      <c r="BM468" s="215">
        <f ca="1">IF($D468&lt;&gt;"Serviço",0,IF(AND(AUTOEVENTO="Manual",$M468=1),0,IF(OFFSET(CRONOPLE!$F$14,$M468,BM$13)="",10^12,OFFSET(CRONOPLE!$F$14,$M468,BM$13))))</f>
        <v>1000000000000</v>
      </c>
      <c r="BN468" s="215">
        <f ca="1">IF($D468&lt;&gt;"Serviço",0,IF(AND(AUTOEVENTO="Manual",$M468=1),0,IF(OFFSET(CRONOPLE!$F$14,$M468,BN$13)="",10^12,OFFSET(CRONOPLE!$F$14,$M468,BN$13))))</f>
        <v>1000000000000</v>
      </c>
      <c r="BO468" s="215">
        <f ca="1">IF($D468&lt;&gt;"Serviço",0,IF(AND(AUTOEVENTO="Manual",$M468=1),0,IF(OFFSET(CRONOPLE!$F$14,$M468,BO$13)="",10^12,OFFSET(CRONOPLE!$F$14,$M468,BO$13))))</f>
        <v>1000000000000</v>
      </c>
      <c r="BP468" s="215">
        <f ca="1">IF($D468&lt;&gt;"Serviço",0,IF(AND(AUTOEVENTO="Manual",$M468=1),0,IF(OFFSET(CRONOPLE!$F$14,$M468,BP$13)="",10^12,OFFSET(CRONOPLE!$F$14,$M468,BP$13))))</f>
        <v>1000000000000</v>
      </c>
      <c r="BQ468" s="215">
        <f ca="1">IF($D468&lt;&gt;"Serviço",0,IF(AND(AUTOEVENTO="Manual",$M468=1),0,IF(OFFSET(CRONOPLE!$F$14,$M468,BQ$13)="",10^12,OFFSET(CRONOPLE!$F$14,$M468,BQ$13))))</f>
        <v>1000000000000</v>
      </c>
      <c r="BR468" s="215">
        <f ca="1">IF($D468&lt;&gt;"Serviço",0,IF(AND(AUTOEVENTO="Manual",$M468=1),0,IF(OFFSET(CRONOPLE!$F$14,$M468,BR$13)="",10^12,OFFSET(CRONOPLE!$F$14,$M468,BR$13))))</f>
        <v>1000000000000</v>
      </c>
      <c r="BS468" s="215">
        <f ca="1">IF($D468&lt;&gt;"Serviço",0,IF(AND(AUTOEVENTO="Manual",$M468=1),0,IF(OFFSET(CRONOPLE!$F$14,$M468,BS$13)="",10^12,OFFSET(CRONOPLE!$F$14,$M468,BS$13))))</f>
        <v>1000000000000</v>
      </c>
      <c r="BT468" s="215">
        <f ca="1">IF($D468&lt;&gt;"Serviço",0,IF(AND(AUTOEVENTO="Manual",$M468=1),0,IF(OFFSET(CRONOPLE!$F$14,$M468,BT$13)="",10^12,OFFSET(CRONOPLE!$F$14,$M468,BT$13))))</f>
        <v>1000000000000</v>
      </c>
      <c r="BV468" s="216">
        <f ca="1">IF($D468&lt;&gt;"Serviço",0,IF(OR(AND(AUTOEVENTO="Manual",$M468=1),$M468&gt;(ROW(PLE.lastrow)-ROW(PLE.firstrow))),0,IF(OFFSET(PLE!$G$14,$M468,BV$13)="",10^12,OFFSET(PLE!$G$14,$M468,BV$13))))</f>
        <v>1000000000000</v>
      </c>
      <c r="BW468" s="216">
        <f ca="1">IF($D468&lt;&gt;"Serviço",0,IF(OR(AND(AUTOEVENTO="Manual",$M468=1),$M468&gt;(ROW(PLE.lastrow)-ROW(PLE.firstrow))),0,IF(OFFSET(PLE!$G$14,$M468,BW$13)="",10^12,OFFSET(PLE!$G$14,$M468,BW$13))))</f>
        <v>1000000000000</v>
      </c>
      <c r="BX468" s="216">
        <f ca="1">IF($D468&lt;&gt;"Serviço",0,IF(OR(AND(AUTOEVENTO="Manual",$M468=1),$M468&gt;(ROW(PLE.lastrow)-ROW(PLE.firstrow))),0,IF(OFFSET(PLE!$G$14,$M468,BX$13)="",10^12,OFFSET(PLE!$G$14,$M468,BX$13))))</f>
        <v>1000000000000</v>
      </c>
      <c r="BY468" s="216">
        <f ca="1">IF($D468&lt;&gt;"Serviço",0,IF(OR(AND(AUTOEVENTO="Manual",$M468=1),$M468&gt;(ROW(PLE.lastrow)-ROW(PLE.firstrow))),0,IF(OFFSET(PLE!$G$14,$M468,BY$13)="",10^12,OFFSET(PLE!$G$14,$M468,BY$13))))</f>
        <v>1000000000000</v>
      </c>
      <c r="BZ468" s="216">
        <f ca="1">IF($D468&lt;&gt;"Serviço",0,IF(OR(AND(AUTOEVENTO="Manual",$M468=1),$M468&gt;(ROW(PLE.lastrow)-ROW(PLE.firstrow))),0,IF(OFFSET(PLE!$G$14,$M468,BZ$13)="",10^12,OFFSET(PLE!$G$14,$M468,BZ$13))))</f>
        <v>1000000000000</v>
      </c>
      <c r="CA468" s="216">
        <f ca="1">IF($D468&lt;&gt;"Serviço",0,IF(OR(AND(AUTOEVENTO="Manual",$M468=1),$M468&gt;(ROW(PLE.lastrow)-ROW(PLE.firstrow))),0,IF(OFFSET(PLE!$G$14,$M468,CA$13)="",10^12,OFFSET(PLE!$G$14,$M468,CA$13))))</f>
        <v>1000000000000</v>
      </c>
      <c r="CB468" s="216">
        <f ca="1">IF($D468&lt;&gt;"Serviço",0,IF(OR(AND(AUTOEVENTO="Manual",$M468=1),$M468&gt;(ROW(PLE.lastrow)-ROW(PLE.firstrow))),0,IF(OFFSET(PLE!$G$14,$M468,CB$13)="",10^12,OFFSET(PLE!$G$14,$M468,CB$13))))</f>
        <v>1000000000000</v>
      </c>
      <c r="CC468" s="216">
        <f ca="1">IF($D468&lt;&gt;"Serviço",0,IF(OR(AND(AUTOEVENTO="Manual",$M468=1),$M468&gt;(ROW(PLE.lastrow)-ROW(PLE.firstrow))),0,IF(OFFSET(PLE!$G$14,$M468,CC$13)="",10^12,OFFSET(PLE!$G$14,$M468,CC$13))))</f>
        <v>1000000000000</v>
      </c>
      <c r="CD468" s="216">
        <f ca="1">IF($D468&lt;&gt;"Serviço",0,IF(OR(AND(AUTOEVENTO="Manual",$M468=1),$M468&gt;(ROW(PLE.lastrow)-ROW(PLE.firstrow))),0,IF(OFFSET(PLE!$G$14,$M468,CD$13)="",10^12,OFFSET(PLE!$G$14,$M468,CD$13))))</f>
        <v>1000000000000</v>
      </c>
      <c r="CE468" s="216">
        <f ca="1">IF($D468&lt;&gt;"Serviço",0,IF(OR(AND(AUTOEVENTO="Manual",$M468=1),$M468&gt;(ROW(PLE.lastrow)-ROW(PLE.firstrow))),0,IF(OFFSET(PLE!$G$14,$M468,CE$13)="",10^12,OFFSET(PLE!$G$14,$M468,CE$13))))</f>
        <v>1000000000000</v>
      </c>
      <c r="CF468" s="216">
        <f ca="1">IF($D468&lt;&gt;"Serviço",0,IF(OR(AND(AUTOEVENTO="Manual",$M468=1),$M468&gt;(ROW(PLE.lastrow)-ROW(PLE.firstrow))),0,IF(OFFSET(PLE!$G$14,$M468,CF$13)="",10^12,OFFSET(PLE!$G$14,$M468,CF$13))))</f>
        <v>1000000000000</v>
      </c>
      <c r="CG468" s="216">
        <f ca="1">IF($D468&lt;&gt;"Serviço",0,IF(OR(AND(AUTOEVENTO="Manual",$M468=1),$M468&gt;(ROW(PLE.lastrow)-ROW(PLE.firstrow))),0,IF(OFFSET(PLE!$G$14,$M468,CG$13)="",10^12,OFFSET(PLE!$G$14,$M468,CG$13))))</f>
        <v>1000000000000</v>
      </c>
      <c r="CH468" s="216">
        <f ca="1">IF($D468&lt;&gt;"Serviço",0,IF(OR(AND(AUTOEVENTO="Manual",$M468=1),$M468&gt;(ROW(PLE.lastrow)-ROW(PLE.firstrow))),0,IF(OFFSET(PLE!$G$14,$M468,CH$13)="",10^12,OFFSET(PLE!$G$14,$M468,CH$13))))</f>
        <v>1000000000000</v>
      </c>
      <c r="CI468" s="216">
        <f ca="1">IF($D468&lt;&gt;"Serviço",0,IF(OR(AND(AUTOEVENTO="Manual",$M468=1),$M468&gt;(ROW(PLE.lastrow)-ROW(PLE.firstrow))),0,IF(OFFSET(PLE!$G$14,$M468,CI$13)="",10^12,OFFSET(PLE!$G$14,$M468,CI$13))))</f>
        <v>1000000000000</v>
      </c>
      <c r="CJ468" s="216">
        <f ca="1">IF($D468&lt;&gt;"Serviço",0,IF(OR(AND(AUTOEVENTO="Manual",$M468=1),$M468&gt;(ROW(PLE.lastrow)-ROW(PLE.firstrow))),0,IF(OFFSET(PLE!$G$14,$M468,CJ$13)="",10^12,OFFSET(PLE!$G$14,$M468,CJ$13))))</f>
        <v>1000000000000</v>
      </c>
      <c r="CK468" s="216">
        <f ca="1">IF($D468&lt;&gt;"Serviço",0,IF(OR(AND(AUTOEVENTO="Manual",$M468=1),$M468&gt;(ROW(PLE.lastrow)-ROW(PLE.firstrow))),0,IF(OFFSET(PLE!$G$14,$M468,CK$13)="",10^12,OFFSET(PLE!$G$14,$M468,CK$13))))</f>
        <v>1000000000000</v>
      </c>
      <c r="CL468" s="216">
        <f ca="1">IF($D468&lt;&gt;"Serviço",0,IF(OR(AND(AUTOEVENTO="Manual",$M468=1),$M468&gt;(ROW(PLE.lastrow)-ROW(PLE.firstrow))),0,IF(OFFSET(PLE!$G$14,$M468,CL$13)="",10^12,OFFSET(PLE!$G$14,$M468,CL$13))))</f>
        <v>1000000000000</v>
      </c>
      <c r="CM468" s="216">
        <f ca="1">IF($D468&lt;&gt;"Serviço",0,IF(OR(AND(AUTOEVENTO="Manual",$M468=1),$M468&gt;(ROW(PLE.lastrow)-ROW(PLE.firstrow))),0,IF(OFFSET(PLE!$G$14,$M468,CM$13)="",10^12,OFFSET(PLE!$G$14,$M468,CM$13))))</f>
        <v>1000000000000</v>
      </c>
    </row>
    <row r="469" spans="1:91" ht="13.2" x14ac:dyDescent="0.25">
      <c r="A469" s="9">
        <f t="shared" ca="1" si="16"/>
        <v>0</v>
      </c>
      <c r="B469" s="9" t="str">
        <f ca="1">OFFSET(ORÇAMENTO!C$15,ROW(B469)-ROW(B$15),0)</f>
        <v>S</v>
      </c>
      <c r="C469" s="9" t="str">
        <f ca="1">OFFSET(ORÇAMENTO!L$15,ROW(C469)-ROW(C$15),0)</f>
        <v/>
      </c>
      <c r="D469" s="145" t="str">
        <f ca="1">OFFSET(ORÇAMENTO!N$15,ROW(D469)-ROW(D$15),0)</f>
        <v>Serviço</v>
      </c>
      <c r="E469" s="205" t="str">
        <f ca="1">OFFSET(ORÇAMENTO!O$15,ROW(E469)-ROW(E$15),0)</f>
        <v>-</v>
      </c>
      <c r="F469" s="206" t="str">
        <f ca="1">OFFSET(ORÇAMENTO!R$15,ROW(F469)-ROW(F$15),0)</f>
        <v>(abra o arquivo 'Referência 05-2024.xls)</v>
      </c>
      <c r="G469" s="207" t="str">
        <f ca="1">IF($D469&lt;&gt;"Serviço","",OFFSET(ORÇAMENTO!S$15,ROW(G469)-ROW(G$15),0))</f>
        <v>-</v>
      </c>
      <c r="H469" s="151">
        <f ca="1">IF($D469&lt;&gt;"Serviço",0,IF(ACOMPANHAMENTO="BM",ROUND(OFFSET(ORÇAMENTO!AJ$15,ROW(H469)-ROW(H$15),0),15-13*ORÇAMENTO!$AF$7),SUMPRODUCT(($Q$12:$AI$12&lt;&gt;"")*ROUND($Q469:$AI469,15-13*ORÇAMENTO!$AF$7))))</f>
        <v>10</v>
      </c>
      <c r="I469" s="650"/>
      <c r="K469" s="208"/>
      <c r="L469" s="209" t="s">
        <v>257</v>
      </c>
      <c r="M469" s="210">
        <f ca="1">IF($D469&lt;&gt;"Serviço","",IF(AUTOEVENTO="manual",$A469,IF(ISERROR(MATCH($A469,$A$15:OFFSET($A469,-1,0),0)),MAX($M$15:OFFSET(M469,-1,0))+1,INDEX($M$15:OFFSET(M469,-1,0),MATCH($A469,$A$15:OFFSET($A469,-1,0),0)))))</f>
        <v>0</v>
      </c>
      <c r="N469" s="211" t="str">
        <f ca="1">IF($D469&lt;&gt;"Serviço","",IF(AUTOEVENTO="Manual",IF($A469=0,"&lt;-- defina o número do agrupador",OFFSET(EVENTOS!$D$14,$A469,0)),OFFSET($F$15,$A469,0)))</f>
        <v>&lt;-- defina o número do agrupador</v>
      </c>
      <c r="O469" s="212"/>
      <c r="Q469" s="212"/>
      <c r="R469" s="213"/>
      <c r="S469" s="213"/>
      <c r="T469" s="213"/>
      <c r="U469" s="213"/>
      <c r="V469" s="213"/>
      <c r="W469" s="213"/>
      <c r="X469" s="213"/>
      <c r="Y469" s="213"/>
      <c r="Z469" s="214"/>
      <c r="AA469" s="213"/>
      <c r="AB469" s="213"/>
      <c r="AC469" s="213"/>
      <c r="AD469" s="213"/>
      <c r="AE469" s="213"/>
      <c r="AF469" s="213"/>
      <c r="AG469" s="213"/>
      <c r="AH469" s="214"/>
      <c r="AJ469" s="631">
        <f ca="1">IF(AND($D469="Serviço",AJ$12&lt;&gt;0,$H469&gt;0,OR(AUTOEVENTO&lt;&gt;"manual",$M469&lt;&gt;1)),ROUND(OFFSET($P469,0,AJ$13),15-13*ORÇAMENTO!$AF$7)/$H469*OFFSET(ORÇAMENTO!$X$15,ROW(AJ469)-ROW(AJ$15),0),0)</f>
        <v>0</v>
      </c>
      <c r="AK469" s="632">
        <f ca="1">IF(AND($D469="Serviço",AK$12&lt;&gt;0,$H469&gt;0,OR(AUTOEVENTO&lt;&gt;"manual",$M469&lt;&gt;1)),ROUND(OFFSET($P469,0,AK$13),15-13*ORÇAMENTO!$AF$7)/$H469*OFFSET(ORÇAMENTO!$X$15,ROW(AK469)-ROW(AK$15),0),0)</f>
        <v>0</v>
      </c>
      <c r="AL469" s="632">
        <f ca="1">IF(AND($D469="Serviço",AL$12&lt;&gt;0,$H469&gt;0,OR(AUTOEVENTO&lt;&gt;"manual",$M469&lt;&gt;1)),ROUND(OFFSET($P469,0,AL$13),15-13*ORÇAMENTO!$AF$7)/$H469*OFFSET(ORÇAMENTO!$X$15,ROW(AL469)-ROW(AL$15),0),0)</f>
        <v>0</v>
      </c>
      <c r="AM469" s="632">
        <f ca="1">IF(AND($D469="Serviço",AM$12&lt;&gt;0,$H469&gt;0,OR(AUTOEVENTO&lt;&gt;"manual",$M469&lt;&gt;1)),ROUND(OFFSET($P469,0,AM$13),15-13*ORÇAMENTO!$AF$7)/$H469*OFFSET(ORÇAMENTO!$X$15,ROW(AM469)-ROW(AM$15),0),0)</f>
        <v>0</v>
      </c>
      <c r="AN469" s="632">
        <f ca="1">IF(AND($D469="Serviço",AN$12&lt;&gt;0,$H469&gt;0,OR(AUTOEVENTO&lt;&gt;"manual",$M469&lt;&gt;1)),ROUND(OFFSET($P469,0,AN$13),15-13*ORÇAMENTO!$AF$7)/$H469*OFFSET(ORÇAMENTO!$X$15,ROW(AN469)-ROW(AN$15),0),0)</f>
        <v>0</v>
      </c>
      <c r="AO469" s="632">
        <f ca="1">IF(AND($D469="Serviço",AO$12&lt;&gt;0,$H469&gt;0,OR(AUTOEVENTO&lt;&gt;"manual",$M469&lt;&gt;1)),ROUND(OFFSET($P469,0,AO$13),15-13*ORÇAMENTO!$AF$7)/$H469*OFFSET(ORÇAMENTO!$X$15,ROW(AO469)-ROW(AO$15),0),0)</f>
        <v>0</v>
      </c>
      <c r="AP469" s="632">
        <f ca="1">IF(AND($D469="Serviço",AP$12&lt;&gt;0,$H469&gt;0,OR(AUTOEVENTO&lt;&gt;"manual",$M469&lt;&gt;1)),ROUND(OFFSET($P469,0,AP$13),15-13*ORÇAMENTO!$AF$7)/$H469*OFFSET(ORÇAMENTO!$X$15,ROW(AP469)-ROW(AP$15),0),0)</f>
        <v>0</v>
      </c>
      <c r="AQ469" s="632">
        <f ca="1">IF(AND($D469="Serviço",AQ$12&lt;&gt;0,$H469&gt;0,OR(AUTOEVENTO&lt;&gt;"manual",$M469&lt;&gt;1)),ROUND(OFFSET($P469,0,AQ$13),15-13*ORÇAMENTO!$AF$7)/$H469*OFFSET(ORÇAMENTO!$X$15,ROW(AQ469)-ROW(AQ$15),0),0)</f>
        <v>0</v>
      </c>
      <c r="AR469" s="632">
        <f ca="1">IF(AND($D469="Serviço",AR$12&lt;&gt;0,$H469&gt;0,OR(AUTOEVENTO&lt;&gt;"manual",$M469&lt;&gt;1)),ROUND(OFFSET($P469,0,AR$13),15-13*ORÇAMENTO!$AF$7)/$H469*OFFSET(ORÇAMENTO!$X$15,ROW(AR469)-ROW(AR$15),0),0)</f>
        <v>0</v>
      </c>
      <c r="AS469" s="633">
        <f ca="1">IF(AND($D469="Serviço",AS$12&lt;&gt;0,$H469&gt;0,OR(AUTOEVENTO&lt;&gt;"manual",$M469&lt;&gt;1)),ROUND(OFFSET($P469,0,AS$13),15-13*ORÇAMENTO!$AF$7)/$H469*OFFSET(ORÇAMENTO!$X$15,ROW(AS469)-ROW(AS$15),0),0)</f>
        <v>0</v>
      </c>
      <c r="AT469" s="632">
        <f ca="1">IF(AND($D469="Serviço",AT$12&lt;&gt;0,$H469&gt;0,OR(AUTOEVENTO&lt;&gt;"manual",$M469&lt;&gt;1)),ROUND(OFFSET($P469,0,AT$13),15-13*ORÇAMENTO!$AF$7)/$H469*OFFSET(ORÇAMENTO!$X$15,ROW(AT469)-ROW(AT$15),0),0)</f>
        <v>0</v>
      </c>
      <c r="AU469" s="632">
        <f ca="1">IF(AND($D469="Serviço",AU$12&lt;&gt;0,$H469&gt;0,OR(AUTOEVENTO&lt;&gt;"manual",$M469&lt;&gt;1)),ROUND(OFFSET($P469,0,AU$13),15-13*ORÇAMENTO!$AF$7)/$H469*OFFSET(ORÇAMENTO!$X$15,ROW(AU469)-ROW(AU$15),0),0)</f>
        <v>0</v>
      </c>
      <c r="AV469" s="632">
        <f ca="1">IF(AND($D469="Serviço",AV$12&lt;&gt;0,$H469&gt;0,OR(AUTOEVENTO&lt;&gt;"manual",$M469&lt;&gt;1)),ROUND(OFFSET($P469,0,AV$13),15-13*ORÇAMENTO!$AF$7)/$H469*OFFSET(ORÇAMENTO!$X$15,ROW(AV469)-ROW(AV$15),0),0)</f>
        <v>0</v>
      </c>
      <c r="AW469" s="632">
        <f ca="1">IF(AND($D469="Serviço",AW$12&lt;&gt;0,$H469&gt;0,OR(AUTOEVENTO&lt;&gt;"manual",$M469&lt;&gt;1)),ROUND(OFFSET($P469,0,AW$13),15-13*ORÇAMENTO!$AF$7)/$H469*OFFSET(ORÇAMENTO!$X$15,ROW(AW469)-ROW(AW$15),0),0)</f>
        <v>0</v>
      </c>
      <c r="AX469" s="632">
        <f ca="1">IF(AND($D469="Serviço",AX$12&lt;&gt;0,$H469&gt;0,OR(AUTOEVENTO&lt;&gt;"manual",$M469&lt;&gt;1)),ROUND(OFFSET($P469,0,AX$13),15-13*ORÇAMENTO!$AF$7)/$H469*OFFSET(ORÇAMENTO!$X$15,ROW(AX469)-ROW(AX$15),0),0)</f>
        <v>0</v>
      </c>
      <c r="AY469" s="632">
        <f ca="1">IF(AND($D469="Serviço",AY$12&lt;&gt;0,$H469&gt;0,OR(AUTOEVENTO&lt;&gt;"manual",$M469&lt;&gt;1)),ROUND(OFFSET($P469,0,AY$13),15-13*ORÇAMENTO!$AF$7)/$H469*OFFSET(ORÇAMENTO!$X$15,ROW(AY469)-ROW(AY$15),0),0)</f>
        <v>0</v>
      </c>
      <c r="AZ469" s="632">
        <f ca="1">IF(AND($D469="Serviço",AZ$12&lt;&gt;0,$H469&gt;0,OR(AUTOEVENTO&lt;&gt;"manual",$M469&lt;&gt;1)),ROUND(OFFSET($P469,0,AZ$13),15-13*ORÇAMENTO!$AF$7)/$H469*OFFSET(ORÇAMENTO!$X$15,ROW(AZ469)-ROW(AZ$15),0),0)</f>
        <v>0</v>
      </c>
      <c r="BA469" s="633">
        <f ca="1">IF(AND($D469="Serviço",BA$12&lt;&gt;0,$H469&gt;0,OR(AUTOEVENTO&lt;&gt;"manual",$M469&lt;&gt;1)),ROUND(OFFSET($P469,0,BA$13),15-13*ORÇAMENTO!$AF$7)/$H469*OFFSET(ORÇAMENTO!$X$15,ROW(BA469)-ROW(BA$15),0),0)</f>
        <v>0</v>
      </c>
      <c r="BC469" s="215">
        <f ca="1">IF($D469&lt;&gt;"Serviço",0,IF(AND(AUTOEVENTO="Manual",$M469=1),0,IF(OFFSET(CRONOPLE!$F$14,$M469,BC$13)="",10^12,OFFSET(CRONOPLE!$F$14,$M469,BC$13))))</f>
        <v>1000000000000</v>
      </c>
      <c r="BD469" s="215">
        <f ca="1">IF($D469&lt;&gt;"Serviço",0,IF(AND(AUTOEVENTO="Manual",$M469=1),0,IF(OFFSET(CRONOPLE!$F$14,$M469,BD$13)="",10^12,OFFSET(CRONOPLE!$F$14,$M469,BD$13))))</f>
        <v>1000000000000</v>
      </c>
      <c r="BE469" s="215">
        <f ca="1">IF($D469&lt;&gt;"Serviço",0,IF(AND(AUTOEVENTO="Manual",$M469=1),0,IF(OFFSET(CRONOPLE!$F$14,$M469,BE$13)="",10^12,OFFSET(CRONOPLE!$F$14,$M469,BE$13))))</f>
        <v>1000000000000</v>
      </c>
      <c r="BF469" s="215">
        <f ca="1">IF($D469&lt;&gt;"Serviço",0,IF(AND(AUTOEVENTO="Manual",$M469=1),0,IF(OFFSET(CRONOPLE!$F$14,$M469,BF$13)="",10^12,OFFSET(CRONOPLE!$F$14,$M469,BF$13))))</f>
        <v>1000000000000</v>
      </c>
      <c r="BG469" s="215">
        <f ca="1">IF($D469&lt;&gt;"Serviço",0,IF(AND(AUTOEVENTO="Manual",$M469=1),0,IF(OFFSET(CRONOPLE!$F$14,$M469,BG$13)="",10^12,OFFSET(CRONOPLE!$F$14,$M469,BG$13))))</f>
        <v>1000000000000</v>
      </c>
      <c r="BH469" s="215">
        <f ca="1">IF($D469&lt;&gt;"Serviço",0,IF(AND(AUTOEVENTO="Manual",$M469=1),0,IF(OFFSET(CRONOPLE!$F$14,$M469,BH$13)="",10^12,OFFSET(CRONOPLE!$F$14,$M469,BH$13))))</f>
        <v>1000000000000</v>
      </c>
      <c r="BI469" s="215">
        <f ca="1">IF($D469&lt;&gt;"Serviço",0,IF(AND(AUTOEVENTO="Manual",$M469=1),0,IF(OFFSET(CRONOPLE!$F$14,$M469,BI$13)="",10^12,OFFSET(CRONOPLE!$F$14,$M469,BI$13))))</f>
        <v>1000000000000</v>
      </c>
      <c r="BJ469" s="215">
        <f ca="1">IF($D469&lt;&gt;"Serviço",0,IF(AND(AUTOEVENTO="Manual",$M469=1),0,IF(OFFSET(CRONOPLE!$F$14,$M469,BJ$13)="",10^12,OFFSET(CRONOPLE!$F$14,$M469,BJ$13))))</f>
        <v>1000000000000</v>
      </c>
      <c r="BK469" s="215">
        <f ca="1">IF($D469&lt;&gt;"Serviço",0,IF(AND(AUTOEVENTO="Manual",$M469=1),0,IF(OFFSET(CRONOPLE!$F$14,$M469,BK$13)="",10^12,OFFSET(CRONOPLE!$F$14,$M469,BK$13))))</f>
        <v>1000000000000</v>
      </c>
      <c r="BL469" s="215">
        <f ca="1">IF($D469&lt;&gt;"Serviço",0,IF(AND(AUTOEVENTO="Manual",$M469=1),0,IF(OFFSET(CRONOPLE!$F$14,$M469,BL$13)="",10^12,OFFSET(CRONOPLE!$F$14,$M469,BL$13))))</f>
        <v>1000000000000</v>
      </c>
      <c r="BM469" s="215">
        <f ca="1">IF($D469&lt;&gt;"Serviço",0,IF(AND(AUTOEVENTO="Manual",$M469=1),0,IF(OFFSET(CRONOPLE!$F$14,$M469,BM$13)="",10^12,OFFSET(CRONOPLE!$F$14,$M469,BM$13))))</f>
        <v>1000000000000</v>
      </c>
      <c r="BN469" s="215">
        <f ca="1">IF($D469&lt;&gt;"Serviço",0,IF(AND(AUTOEVENTO="Manual",$M469=1),0,IF(OFFSET(CRONOPLE!$F$14,$M469,BN$13)="",10^12,OFFSET(CRONOPLE!$F$14,$M469,BN$13))))</f>
        <v>1000000000000</v>
      </c>
      <c r="BO469" s="215">
        <f ca="1">IF($D469&lt;&gt;"Serviço",0,IF(AND(AUTOEVENTO="Manual",$M469=1),0,IF(OFFSET(CRONOPLE!$F$14,$M469,BO$13)="",10^12,OFFSET(CRONOPLE!$F$14,$M469,BO$13))))</f>
        <v>1000000000000</v>
      </c>
      <c r="BP469" s="215">
        <f ca="1">IF($D469&lt;&gt;"Serviço",0,IF(AND(AUTOEVENTO="Manual",$M469=1),0,IF(OFFSET(CRONOPLE!$F$14,$M469,BP$13)="",10^12,OFFSET(CRONOPLE!$F$14,$M469,BP$13))))</f>
        <v>1000000000000</v>
      </c>
      <c r="BQ469" s="215">
        <f ca="1">IF($D469&lt;&gt;"Serviço",0,IF(AND(AUTOEVENTO="Manual",$M469=1),0,IF(OFFSET(CRONOPLE!$F$14,$M469,BQ$13)="",10^12,OFFSET(CRONOPLE!$F$14,$M469,BQ$13))))</f>
        <v>1000000000000</v>
      </c>
      <c r="BR469" s="215">
        <f ca="1">IF($D469&lt;&gt;"Serviço",0,IF(AND(AUTOEVENTO="Manual",$M469=1),0,IF(OFFSET(CRONOPLE!$F$14,$M469,BR$13)="",10^12,OFFSET(CRONOPLE!$F$14,$M469,BR$13))))</f>
        <v>1000000000000</v>
      </c>
      <c r="BS469" s="215">
        <f ca="1">IF($D469&lt;&gt;"Serviço",0,IF(AND(AUTOEVENTO="Manual",$M469=1),0,IF(OFFSET(CRONOPLE!$F$14,$M469,BS$13)="",10^12,OFFSET(CRONOPLE!$F$14,$M469,BS$13))))</f>
        <v>1000000000000</v>
      </c>
      <c r="BT469" s="215">
        <f ca="1">IF($D469&lt;&gt;"Serviço",0,IF(AND(AUTOEVENTO="Manual",$M469=1),0,IF(OFFSET(CRONOPLE!$F$14,$M469,BT$13)="",10^12,OFFSET(CRONOPLE!$F$14,$M469,BT$13))))</f>
        <v>1000000000000</v>
      </c>
      <c r="BV469" s="216">
        <f ca="1">IF($D469&lt;&gt;"Serviço",0,IF(OR(AND(AUTOEVENTO="Manual",$M469=1),$M469&gt;(ROW(PLE.lastrow)-ROW(PLE.firstrow))),0,IF(OFFSET(PLE!$G$14,$M469,BV$13)="",10^12,OFFSET(PLE!$G$14,$M469,BV$13))))</f>
        <v>1000000000000</v>
      </c>
      <c r="BW469" s="216">
        <f ca="1">IF($D469&lt;&gt;"Serviço",0,IF(OR(AND(AUTOEVENTO="Manual",$M469=1),$M469&gt;(ROW(PLE.lastrow)-ROW(PLE.firstrow))),0,IF(OFFSET(PLE!$G$14,$M469,BW$13)="",10^12,OFFSET(PLE!$G$14,$M469,BW$13))))</f>
        <v>1000000000000</v>
      </c>
      <c r="BX469" s="216">
        <f ca="1">IF($D469&lt;&gt;"Serviço",0,IF(OR(AND(AUTOEVENTO="Manual",$M469=1),$M469&gt;(ROW(PLE.lastrow)-ROW(PLE.firstrow))),0,IF(OFFSET(PLE!$G$14,$M469,BX$13)="",10^12,OFFSET(PLE!$G$14,$M469,BX$13))))</f>
        <v>1000000000000</v>
      </c>
      <c r="BY469" s="216">
        <f ca="1">IF($D469&lt;&gt;"Serviço",0,IF(OR(AND(AUTOEVENTO="Manual",$M469=1),$M469&gt;(ROW(PLE.lastrow)-ROW(PLE.firstrow))),0,IF(OFFSET(PLE!$G$14,$M469,BY$13)="",10^12,OFFSET(PLE!$G$14,$M469,BY$13))))</f>
        <v>1000000000000</v>
      </c>
      <c r="BZ469" s="216">
        <f ca="1">IF($D469&lt;&gt;"Serviço",0,IF(OR(AND(AUTOEVENTO="Manual",$M469=1),$M469&gt;(ROW(PLE.lastrow)-ROW(PLE.firstrow))),0,IF(OFFSET(PLE!$G$14,$M469,BZ$13)="",10^12,OFFSET(PLE!$G$14,$M469,BZ$13))))</f>
        <v>1000000000000</v>
      </c>
      <c r="CA469" s="216">
        <f ca="1">IF($D469&lt;&gt;"Serviço",0,IF(OR(AND(AUTOEVENTO="Manual",$M469=1),$M469&gt;(ROW(PLE.lastrow)-ROW(PLE.firstrow))),0,IF(OFFSET(PLE!$G$14,$M469,CA$13)="",10^12,OFFSET(PLE!$G$14,$M469,CA$13))))</f>
        <v>1000000000000</v>
      </c>
      <c r="CB469" s="216">
        <f ca="1">IF($D469&lt;&gt;"Serviço",0,IF(OR(AND(AUTOEVENTO="Manual",$M469=1),$M469&gt;(ROW(PLE.lastrow)-ROW(PLE.firstrow))),0,IF(OFFSET(PLE!$G$14,$M469,CB$13)="",10^12,OFFSET(PLE!$G$14,$M469,CB$13))))</f>
        <v>1000000000000</v>
      </c>
      <c r="CC469" s="216">
        <f ca="1">IF($D469&lt;&gt;"Serviço",0,IF(OR(AND(AUTOEVENTO="Manual",$M469=1),$M469&gt;(ROW(PLE.lastrow)-ROW(PLE.firstrow))),0,IF(OFFSET(PLE!$G$14,$M469,CC$13)="",10^12,OFFSET(PLE!$G$14,$M469,CC$13))))</f>
        <v>1000000000000</v>
      </c>
      <c r="CD469" s="216">
        <f ca="1">IF($D469&lt;&gt;"Serviço",0,IF(OR(AND(AUTOEVENTO="Manual",$M469=1),$M469&gt;(ROW(PLE.lastrow)-ROW(PLE.firstrow))),0,IF(OFFSET(PLE!$G$14,$M469,CD$13)="",10^12,OFFSET(PLE!$G$14,$M469,CD$13))))</f>
        <v>1000000000000</v>
      </c>
      <c r="CE469" s="216">
        <f ca="1">IF($D469&lt;&gt;"Serviço",0,IF(OR(AND(AUTOEVENTO="Manual",$M469=1),$M469&gt;(ROW(PLE.lastrow)-ROW(PLE.firstrow))),0,IF(OFFSET(PLE!$G$14,$M469,CE$13)="",10^12,OFFSET(PLE!$G$14,$M469,CE$13))))</f>
        <v>1000000000000</v>
      </c>
      <c r="CF469" s="216">
        <f ca="1">IF($D469&lt;&gt;"Serviço",0,IF(OR(AND(AUTOEVENTO="Manual",$M469=1),$M469&gt;(ROW(PLE.lastrow)-ROW(PLE.firstrow))),0,IF(OFFSET(PLE!$G$14,$M469,CF$13)="",10^12,OFFSET(PLE!$G$14,$M469,CF$13))))</f>
        <v>1000000000000</v>
      </c>
      <c r="CG469" s="216">
        <f ca="1">IF($D469&lt;&gt;"Serviço",0,IF(OR(AND(AUTOEVENTO="Manual",$M469=1),$M469&gt;(ROW(PLE.lastrow)-ROW(PLE.firstrow))),0,IF(OFFSET(PLE!$G$14,$M469,CG$13)="",10^12,OFFSET(PLE!$G$14,$M469,CG$13))))</f>
        <v>1000000000000</v>
      </c>
      <c r="CH469" s="216">
        <f ca="1">IF($D469&lt;&gt;"Serviço",0,IF(OR(AND(AUTOEVENTO="Manual",$M469=1),$M469&gt;(ROW(PLE.lastrow)-ROW(PLE.firstrow))),0,IF(OFFSET(PLE!$G$14,$M469,CH$13)="",10^12,OFFSET(PLE!$G$14,$M469,CH$13))))</f>
        <v>1000000000000</v>
      </c>
      <c r="CI469" s="216">
        <f ca="1">IF($D469&lt;&gt;"Serviço",0,IF(OR(AND(AUTOEVENTO="Manual",$M469=1),$M469&gt;(ROW(PLE.lastrow)-ROW(PLE.firstrow))),0,IF(OFFSET(PLE!$G$14,$M469,CI$13)="",10^12,OFFSET(PLE!$G$14,$M469,CI$13))))</f>
        <v>1000000000000</v>
      </c>
      <c r="CJ469" s="216">
        <f ca="1">IF($D469&lt;&gt;"Serviço",0,IF(OR(AND(AUTOEVENTO="Manual",$M469=1),$M469&gt;(ROW(PLE.lastrow)-ROW(PLE.firstrow))),0,IF(OFFSET(PLE!$G$14,$M469,CJ$13)="",10^12,OFFSET(PLE!$G$14,$M469,CJ$13))))</f>
        <v>1000000000000</v>
      </c>
      <c r="CK469" s="216">
        <f ca="1">IF($D469&lt;&gt;"Serviço",0,IF(OR(AND(AUTOEVENTO="Manual",$M469=1),$M469&gt;(ROW(PLE.lastrow)-ROW(PLE.firstrow))),0,IF(OFFSET(PLE!$G$14,$M469,CK$13)="",10^12,OFFSET(PLE!$G$14,$M469,CK$13))))</f>
        <v>1000000000000</v>
      </c>
      <c r="CL469" s="216">
        <f ca="1">IF($D469&lt;&gt;"Serviço",0,IF(OR(AND(AUTOEVENTO="Manual",$M469=1),$M469&gt;(ROW(PLE.lastrow)-ROW(PLE.firstrow))),0,IF(OFFSET(PLE!$G$14,$M469,CL$13)="",10^12,OFFSET(PLE!$G$14,$M469,CL$13))))</f>
        <v>1000000000000</v>
      </c>
      <c r="CM469" s="216">
        <f ca="1">IF($D469&lt;&gt;"Serviço",0,IF(OR(AND(AUTOEVENTO="Manual",$M469=1),$M469&gt;(ROW(PLE.lastrow)-ROW(PLE.firstrow))),0,IF(OFFSET(PLE!$G$14,$M469,CM$13)="",10^12,OFFSET(PLE!$G$14,$M469,CM$13))))</f>
        <v>1000000000000</v>
      </c>
    </row>
    <row r="470" spans="1:91" ht="13.2" x14ac:dyDescent="0.25">
      <c r="A470" s="9">
        <f t="shared" ca="1" si="16"/>
        <v>0</v>
      </c>
      <c r="B470" s="9" t="str">
        <f ca="1">OFFSET(ORÇAMENTO!C$15,ROW(B470)-ROW(B$15),0)</f>
        <v>S</v>
      </c>
      <c r="C470" s="9" t="str">
        <f ca="1">OFFSET(ORÇAMENTO!L$15,ROW(C470)-ROW(C$15),0)</f>
        <v/>
      </c>
      <c r="D470" s="145" t="str">
        <f ca="1">OFFSET(ORÇAMENTO!N$15,ROW(D470)-ROW(D$15),0)</f>
        <v>Serviço</v>
      </c>
      <c r="E470" s="205" t="str">
        <f ca="1">OFFSET(ORÇAMENTO!O$15,ROW(E470)-ROW(E$15),0)</f>
        <v>-</v>
      </c>
      <c r="F470" s="206" t="str">
        <f ca="1">OFFSET(ORÇAMENTO!R$15,ROW(F470)-ROW(F$15),0)</f>
        <v>(abra o arquivo 'Referência 05-2024.xls)</v>
      </c>
      <c r="G470" s="207" t="str">
        <f ca="1">IF($D470&lt;&gt;"Serviço","",OFFSET(ORÇAMENTO!S$15,ROW(G470)-ROW(G$15),0))</f>
        <v>-</v>
      </c>
      <c r="H470" s="151">
        <f ca="1">IF($D470&lt;&gt;"Serviço",0,IF(ACOMPANHAMENTO="BM",ROUND(OFFSET(ORÇAMENTO!AJ$15,ROW(H470)-ROW(H$15),0),15-13*ORÇAMENTO!$AF$7),SUMPRODUCT(($Q$12:$AI$12&lt;&gt;"")*ROUND($Q470:$AI470,15-13*ORÇAMENTO!$AF$7))))</f>
        <v>10</v>
      </c>
      <c r="I470" s="650"/>
      <c r="K470" s="208"/>
      <c r="L470" s="209" t="s">
        <v>257</v>
      </c>
      <c r="M470" s="210">
        <f ca="1">IF($D470&lt;&gt;"Serviço","",IF(AUTOEVENTO="manual",$A470,IF(ISERROR(MATCH($A470,$A$15:OFFSET($A470,-1,0),0)),MAX($M$15:OFFSET(M470,-1,0))+1,INDEX($M$15:OFFSET(M470,-1,0),MATCH($A470,$A$15:OFFSET($A470,-1,0),0)))))</f>
        <v>0</v>
      </c>
      <c r="N470" s="211" t="str">
        <f ca="1">IF($D470&lt;&gt;"Serviço","",IF(AUTOEVENTO="Manual",IF($A470=0,"&lt;-- defina o número do agrupador",OFFSET(EVENTOS!$D$14,$A470,0)),OFFSET($F$15,$A470,0)))</f>
        <v>&lt;-- defina o número do agrupador</v>
      </c>
      <c r="O470" s="212"/>
      <c r="Q470" s="212"/>
      <c r="R470" s="213"/>
      <c r="S470" s="213"/>
      <c r="T470" s="213"/>
      <c r="U470" s="213"/>
      <c r="V470" s="213"/>
      <c r="W470" s="213"/>
      <c r="X470" s="213"/>
      <c r="Y470" s="213"/>
      <c r="Z470" s="214"/>
      <c r="AA470" s="213"/>
      <c r="AB470" s="213"/>
      <c r="AC470" s="213"/>
      <c r="AD470" s="213"/>
      <c r="AE470" s="213"/>
      <c r="AF470" s="213"/>
      <c r="AG470" s="213"/>
      <c r="AH470" s="214"/>
      <c r="AJ470" s="631">
        <f ca="1">IF(AND($D470="Serviço",AJ$12&lt;&gt;0,$H470&gt;0,OR(AUTOEVENTO&lt;&gt;"manual",$M470&lt;&gt;1)),ROUND(OFFSET($P470,0,AJ$13),15-13*ORÇAMENTO!$AF$7)/$H470*OFFSET(ORÇAMENTO!$X$15,ROW(AJ470)-ROW(AJ$15),0),0)</f>
        <v>0</v>
      </c>
      <c r="AK470" s="632">
        <f ca="1">IF(AND($D470="Serviço",AK$12&lt;&gt;0,$H470&gt;0,OR(AUTOEVENTO&lt;&gt;"manual",$M470&lt;&gt;1)),ROUND(OFFSET($P470,0,AK$13),15-13*ORÇAMENTO!$AF$7)/$H470*OFFSET(ORÇAMENTO!$X$15,ROW(AK470)-ROW(AK$15),0),0)</f>
        <v>0</v>
      </c>
      <c r="AL470" s="632">
        <f ca="1">IF(AND($D470="Serviço",AL$12&lt;&gt;0,$H470&gt;0,OR(AUTOEVENTO&lt;&gt;"manual",$M470&lt;&gt;1)),ROUND(OFFSET($P470,0,AL$13),15-13*ORÇAMENTO!$AF$7)/$H470*OFFSET(ORÇAMENTO!$X$15,ROW(AL470)-ROW(AL$15),0),0)</f>
        <v>0</v>
      </c>
      <c r="AM470" s="632">
        <f ca="1">IF(AND($D470="Serviço",AM$12&lt;&gt;0,$H470&gt;0,OR(AUTOEVENTO&lt;&gt;"manual",$M470&lt;&gt;1)),ROUND(OFFSET($P470,0,AM$13),15-13*ORÇAMENTO!$AF$7)/$H470*OFFSET(ORÇAMENTO!$X$15,ROW(AM470)-ROW(AM$15),0),0)</f>
        <v>0</v>
      </c>
      <c r="AN470" s="632">
        <f ca="1">IF(AND($D470="Serviço",AN$12&lt;&gt;0,$H470&gt;0,OR(AUTOEVENTO&lt;&gt;"manual",$M470&lt;&gt;1)),ROUND(OFFSET($P470,0,AN$13),15-13*ORÇAMENTO!$AF$7)/$H470*OFFSET(ORÇAMENTO!$X$15,ROW(AN470)-ROW(AN$15),0),0)</f>
        <v>0</v>
      </c>
      <c r="AO470" s="632">
        <f ca="1">IF(AND($D470="Serviço",AO$12&lt;&gt;0,$H470&gt;0,OR(AUTOEVENTO&lt;&gt;"manual",$M470&lt;&gt;1)),ROUND(OFFSET($P470,0,AO$13),15-13*ORÇAMENTO!$AF$7)/$H470*OFFSET(ORÇAMENTO!$X$15,ROW(AO470)-ROW(AO$15),0),0)</f>
        <v>0</v>
      </c>
      <c r="AP470" s="632">
        <f ca="1">IF(AND($D470="Serviço",AP$12&lt;&gt;0,$H470&gt;0,OR(AUTOEVENTO&lt;&gt;"manual",$M470&lt;&gt;1)),ROUND(OFFSET($P470,0,AP$13),15-13*ORÇAMENTO!$AF$7)/$H470*OFFSET(ORÇAMENTO!$X$15,ROW(AP470)-ROW(AP$15),0),0)</f>
        <v>0</v>
      </c>
      <c r="AQ470" s="632">
        <f ca="1">IF(AND($D470="Serviço",AQ$12&lt;&gt;0,$H470&gt;0,OR(AUTOEVENTO&lt;&gt;"manual",$M470&lt;&gt;1)),ROUND(OFFSET($P470,0,AQ$13),15-13*ORÇAMENTO!$AF$7)/$H470*OFFSET(ORÇAMENTO!$X$15,ROW(AQ470)-ROW(AQ$15),0),0)</f>
        <v>0</v>
      </c>
      <c r="AR470" s="632">
        <f ca="1">IF(AND($D470="Serviço",AR$12&lt;&gt;0,$H470&gt;0,OR(AUTOEVENTO&lt;&gt;"manual",$M470&lt;&gt;1)),ROUND(OFFSET($P470,0,AR$13),15-13*ORÇAMENTO!$AF$7)/$H470*OFFSET(ORÇAMENTO!$X$15,ROW(AR470)-ROW(AR$15),0),0)</f>
        <v>0</v>
      </c>
      <c r="AS470" s="633">
        <f ca="1">IF(AND($D470="Serviço",AS$12&lt;&gt;0,$H470&gt;0,OR(AUTOEVENTO&lt;&gt;"manual",$M470&lt;&gt;1)),ROUND(OFFSET($P470,0,AS$13),15-13*ORÇAMENTO!$AF$7)/$H470*OFFSET(ORÇAMENTO!$X$15,ROW(AS470)-ROW(AS$15),0),0)</f>
        <v>0</v>
      </c>
      <c r="AT470" s="632">
        <f ca="1">IF(AND($D470="Serviço",AT$12&lt;&gt;0,$H470&gt;0,OR(AUTOEVENTO&lt;&gt;"manual",$M470&lt;&gt;1)),ROUND(OFFSET($P470,0,AT$13),15-13*ORÇAMENTO!$AF$7)/$H470*OFFSET(ORÇAMENTO!$X$15,ROW(AT470)-ROW(AT$15),0),0)</f>
        <v>0</v>
      </c>
      <c r="AU470" s="632">
        <f ca="1">IF(AND($D470="Serviço",AU$12&lt;&gt;0,$H470&gt;0,OR(AUTOEVENTO&lt;&gt;"manual",$M470&lt;&gt;1)),ROUND(OFFSET($P470,0,AU$13),15-13*ORÇAMENTO!$AF$7)/$H470*OFFSET(ORÇAMENTO!$X$15,ROW(AU470)-ROW(AU$15),0),0)</f>
        <v>0</v>
      </c>
      <c r="AV470" s="632">
        <f ca="1">IF(AND($D470="Serviço",AV$12&lt;&gt;0,$H470&gt;0,OR(AUTOEVENTO&lt;&gt;"manual",$M470&lt;&gt;1)),ROUND(OFFSET($P470,0,AV$13),15-13*ORÇAMENTO!$AF$7)/$H470*OFFSET(ORÇAMENTO!$X$15,ROW(AV470)-ROW(AV$15),0),0)</f>
        <v>0</v>
      </c>
      <c r="AW470" s="632">
        <f ca="1">IF(AND($D470="Serviço",AW$12&lt;&gt;0,$H470&gt;0,OR(AUTOEVENTO&lt;&gt;"manual",$M470&lt;&gt;1)),ROUND(OFFSET($P470,0,AW$13),15-13*ORÇAMENTO!$AF$7)/$H470*OFFSET(ORÇAMENTO!$X$15,ROW(AW470)-ROW(AW$15),0),0)</f>
        <v>0</v>
      </c>
      <c r="AX470" s="632">
        <f ca="1">IF(AND($D470="Serviço",AX$12&lt;&gt;0,$H470&gt;0,OR(AUTOEVENTO&lt;&gt;"manual",$M470&lt;&gt;1)),ROUND(OFFSET($P470,0,AX$13),15-13*ORÇAMENTO!$AF$7)/$H470*OFFSET(ORÇAMENTO!$X$15,ROW(AX470)-ROW(AX$15),0),0)</f>
        <v>0</v>
      </c>
      <c r="AY470" s="632">
        <f ca="1">IF(AND($D470="Serviço",AY$12&lt;&gt;0,$H470&gt;0,OR(AUTOEVENTO&lt;&gt;"manual",$M470&lt;&gt;1)),ROUND(OFFSET($P470,0,AY$13),15-13*ORÇAMENTO!$AF$7)/$H470*OFFSET(ORÇAMENTO!$X$15,ROW(AY470)-ROW(AY$15),0),0)</f>
        <v>0</v>
      </c>
      <c r="AZ470" s="632">
        <f ca="1">IF(AND($D470="Serviço",AZ$12&lt;&gt;0,$H470&gt;0,OR(AUTOEVENTO&lt;&gt;"manual",$M470&lt;&gt;1)),ROUND(OFFSET($P470,0,AZ$13),15-13*ORÇAMENTO!$AF$7)/$H470*OFFSET(ORÇAMENTO!$X$15,ROW(AZ470)-ROW(AZ$15),0),0)</f>
        <v>0</v>
      </c>
      <c r="BA470" s="633">
        <f ca="1">IF(AND($D470="Serviço",BA$12&lt;&gt;0,$H470&gt;0,OR(AUTOEVENTO&lt;&gt;"manual",$M470&lt;&gt;1)),ROUND(OFFSET($P470,0,BA$13),15-13*ORÇAMENTO!$AF$7)/$H470*OFFSET(ORÇAMENTO!$X$15,ROW(BA470)-ROW(BA$15),0),0)</f>
        <v>0</v>
      </c>
      <c r="BC470" s="215">
        <f ca="1">IF($D470&lt;&gt;"Serviço",0,IF(AND(AUTOEVENTO="Manual",$M470=1),0,IF(OFFSET(CRONOPLE!$F$14,$M470,BC$13)="",10^12,OFFSET(CRONOPLE!$F$14,$M470,BC$13))))</f>
        <v>1000000000000</v>
      </c>
      <c r="BD470" s="215">
        <f ca="1">IF($D470&lt;&gt;"Serviço",0,IF(AND(AUTOEVENTO="Manual",$M470=1),0,IF(OFFSET(CRONOPLE!$F$14,$M470,BD$13)="",10^12,OFFSET(CRONOPLE!$F$14,$M470,BD$13))))</f>
        <v>1000000000000</v>
      </c>
      <c r="BE470" s="215">
        <f ca="1">IF($D470&lt;&gt;"Serviço",0,IF(AND(AUTOEVENTO="Manual",$M470=1),0,IF(OFFSET(CRONOPLE!$F$14,$M470,BE$13)="",10^12,OFFSET(CRONOPLE!$F$14,$M470,BE$13))))</f>
        <v>1000000000000</v>
      </c>
      <c r="BF470" s="215">
        <f ca="1">IF($D470&lt;&gt;"Serviço",0,IF(AND(AUTOEVENTO="Manual",$M470=1),0,IF(OFFSET(CRONOPLE!$F$14,$M470,BF$13)="",10^12,OFFSET(CRONOPLE!$F$14,$M470,BF$13))))</f>
        <v>1000000000000</v>
      </c>
      <c r="BG470" s="215">
        <f ca="1">IF($D470&lt;&gt;"Serviço",0,IF(AND(AUTOEVENTO="Manual",$M470=1),0,IF(OFFSET(CRONOPLE!$F$14,$M470,BG$13)="",10^12,OFFSET(CRONOPLE!$F$14,$M470,BG$13))))</f>
        <v>1000000000000</v>
      </c>
      <c r="BH470" s="215">
        <f ca="1">IF($D470&lt;&gt;"Serviço",0,IF(AND(AUTOEVENTO="Manual",$M470=1),0,IF(OFFSET(CRONOPLE!$F$14,$M470,BH$13)="",10^12,OFFSET(CRONOPLE!$F$14,$M470,BH$13))))</f>
        <v>1000000000000</v>
      </c>
      <c r="BI470" s="215">
        <f ca="1">IF($D470&lt;&gt;"Serviço",0,IF(AND(AUTOEVENTO="Manual",$M470=1),0,IF(OFFSET(CRONOPLE!$F$14,$M470,BI$13)="",10^12,OFFSET(CRONOPLE!$F$14,$M470,BI$13))))</f>
        <v>1000000000000</v>
      </c>
      <c r="BJ470" s="215">
        <f ca="1">IF($D470&lt;&gt;"Serviço",0,IF(AND(AUTOEVENTO="Manual",$M470=1),0,IF(OFFSET(CRONOPLE!$F$14,$M470,BJ$13)="",10^12,OFFSET(CRONOPLE!$F$14,$M470,BJ$13))))</f>
        <v>1000000000000</v>
      </c>
      <c r="BK470" s="215">
        <f ca="1">IF($D470&lt;&gt;"Serviço",0,IF(AND(AUTOEVENTO="Manual",$M470=1),0,IF(OFFSET(CRONOPLE!$F$14,$M470,BK$13)="",10^12,OFFSET(CRONOPLE!$F$14,$M470,BK$13))))</f>
        <v>1000000000000</v>
      </c>
      <c r="BL470" s="215">
        <f ca="1">IF($D470&lt;&gt;"Serviço",0,IF(AND(AUTOEVENTO="Manual",$M470=1),0,IF(OFFSET(CRONOPLE!$F$14,$M470,BL$13)="",10^12,OFFSET(CRONOPLE!$F$14,$M470,BL$13))))</f>
        <v>1000000000000</v>
      </c>
      <c r="BM470" s="215">
        <f ca="1">IF($D470&lt;&gt;"Serviço",0,IF(AND(AUTOEVENTO="Manual",$M470=1),0,IF(OFFSET(CRONOPLE!$F$14,$M470,BM$13)="",10^12,OFFSET(CRONOPLE!$F$14,$M470,BM$13))))</f>
        <v>1000000000000</v>
      </c>
      <c r="BN470" s="215">
        <f ca="1">IF($D470&lt;&gt;"Serviço",0,IF(AND(AUTOEVENTO="Manual",$M470=1),0,IF(OFFSET(CRONOPLE!$F$14,$M470,BN$13)="",10^12,OFFSET(CRONOPLE!$F$14,$M470,BN$13))))</f>
        <v>1000000000000</v>
      </c>
      <c r="BO470" s="215">
        <f ca="1">IF($D470&lt;&gt;"Serviço",0,IF(AND(AUTOEVENTO="Manual",$M470=1),0,IF(OFFSET(CRONOPLE!$F$14,$M470,BO$13)="",10^12,OFFSET(CRONOPLE!$F$14,$M470,BO$13))))</f>
        <v>1000000000000</v>
      </c>
      <c r="BP470" s="215">
        <f ca="1">IF($D470&lt;&gt;"Serviço",0,IF(AND(AUTOEVENTO="Manual",$M470=1),0,IF(OFFSET(CRONOPLE!$F$14,$M470,BP$13)="",10^12,OFFSET(CRONOPLE!$F$14,$M470,BP$13))))</f>
        <v>1000000000000</v>
      </c>
      <c r="BQ470" s="215">
        <f ca="1">IF($D470&lt;&gt;"Serviço",0,IF(AND(AUTOEVENTO="Manual",$M470=1),0,IF(OFFSET(CRONOPLE!$F$14,$M470,BQ$13)="",10^12,OFFSET(CRONOPLE!$F$14,$M470,BQ$13))))</f>
        <v>1000000000000</v>
      </c>
      <c r="BR470" s="215">
        <f ca="1">IF($D470&lt;&gt;"Serviço",0,IF(AND(AUTOEVENTO="Manual",$M470=1),0,IF(OFFSET(CRONOPLE!$F$14,$M470,BR$13)="",10^12,OFFSET(CRONOPLE!$F$14,$M470,BR$13))))</f>
        <v>1000000000000</v>
      </c>
      <c r="BS470" s="215">
        <f ca="1">IF($D470&lt;&gt;"Serviço",0,IF(AND(AUTOEVENTO="Manual",$M470=1),0,IF(OFFSET(CRONOPLE!$F$14,$M470,BS$13)="",10^12,OFFSET(CRONOPLE!$F$14,$M470,BS$13))))</f>
        <v>1000000000000</v>
      </c>
      <c r="BT470" s="215">
        <f ca="1">IF($D470&lt;&gt;"Serviço",0,IF(AND(AUTOEVENTO="Manual",$M470=1),0,IF(OFFSET(CRONOPLE!$F$14,$M470,BT$13)="",10^12,OFFSET(CRONOPLE!$F$14,$M470,BT$13))))</f>
        <v>1000000000000</v>
      </c>
      <c r="BV470" s="216">
        <f ca="1">IF($D470&lt;&gt;"Serviço",0,IF(OR(AND(AUTOEVENTO="Manual",$M470=1),$M470&gt;(ROW(PLE.lastrow)-ROW(PLE.firstrow))),0,IF(OFFSET(PLE!$G$14,$M470,BV$13)="",10^12,OFFSET(PLE!$G$14,$M470,BV$13))))</f>
        <v>1000000000000</v>
      </c>
      <c r="BW470" s="216">
        <f ca="1">IF($D470&lt;&gt;"Serviço",0,IF(OR(AND(AUTOEVENTO="Manual",$M470=1),$M470&gt;(ROW(PLE.lastrow)-ROW(PLE.firstrow))),0,IF(OFFSET(PLE!$G$14,$M470,BW$13)="",10^12,OFFSET(PLE!$G$14,$M470,BW$13))))</f>
        <v>1000000000000</v>
      </c>
      <c r="BX470" s="216">
        <f ca="1">IF($D470&lt;&gt;"Serviço",0,IF(OR(AND(AUTOEVENTO="Manual",$M470=1),$M470&gt;(ROW(PLE.lastrow)-ROW(PLE.firstrow))),0,IF(OFFSET(PLE!$G$14,$M470,BX$13)="",10^12,OFFSET(PLE!$G$14,$M470,BX$13))))</f>
        <v>1000000000000</v>
      </c>
      <c r="BY470" s="216">
        <f ca="1">IF($D470&lt;&gt;"Serviço",0,IF(OR(AND(AUTOEVENTO="Manual",$M470=1),$M470&gt;(ROW(PLE.lastrow)-ROW(PLE.firstrow))),0,IF(OFFSET(PLE!$G$14,$M470,BY$13)="",10^12,OFFSET(PLE!$G$14,$M470,BY$13))))</f>
        <v>1000000000000</v>
      </c>
      <c r="BZ470" s="216">
        <f ca="1">IF($D470&lt;&gt;"Serviço",0,IF(OR(AND(AUTOEVENTO="Manual",$M470=1),$M470&gt;(ROW(PLE.lastrow)-ROW(PLE.firstrow))),0,IF(OFFSET(PLE!$G$14,$M470,BZ$13)="",10^12,OFFSET(PLE!$G$14,$M470,BZ$13))))</f>
        <v>1000000000000</v>
      </c>
      <c r="CA470" s="216">
        <f ca="1">IF($D470&lt;&gt;"Serviço",0,IF(OR(AND(AUTOEVENTO="Manual",$M470=1),$M470&gt;(ROW(PLE.lastrow)-ROW(PLE.firstrow))),0,IF(OFFSET(PLE!$G$14,$M470,CA$13)="",10^12,OFFSET(PLE!$G$14,$M470,CA$13))))</f>
        <v>1000000000000</v>
      </c>
      <c r="CB470" s="216">
        <f ca="1">IF($D470&lt;&gt;"Serviço",0,IF(OR(AND(AUTOEVENTO="Manual",$M470=1),$M470&gt;(ROW(PLE.lastrow)-ROW(PLE.firstrow))),0,IF(OFFSET(PLE!$G$14,$M470,CB$13)="",10^12,OFFSET(PLE!$G$14,$M470,CB$13))))</f>
        <v>1000000000000</v>
      </c>
      <c r="CC470" s="216">
        <f ca="1">IF($D470&lt;&gt;"Serviço",0,IF(OR(AND(AUTOEVENTO="Manual",$M470=1),$M470&gt;(ROW(PLE.lastrow)-ROW(PLE.firstrow))),0,IF(OFFSET(PLE!$G$14,$M470,CC$13)="",10^12,OFFSET(PLE!$G$14,$M470,CC$13))))</f>
        <v>1000000000000</v>
      </c>
      <c r="CD470" s="216">
        <f ca="1">IF($D470&lt;&gt;"Serviço",0,IF(OR(AND(AUTOEVENTO="Manual",$M470=1),$M470&gt;(ROW(PLE.lastrow)-ROW(PLE.firstrow))),0,IF(OFFSET(PLE!$G$14,$M470,CD$13)="",10^12,OFFSET(PLE!$G$14,$M470,CD$13))))</f>
        <v>1000000000000</v>
      </c>
      <c r="CE470" s="216">
        <f ca="1">IF($D470&lt;&gt;"Serviço",0,IF(OR(AND(AUTOEVENTO="Manual",$M470=1),$M470&gt;(ROW(PLE.lastrow)-ROW(PLE.firstrow))),0,IF(OFFSET(PLE!$G$14,$M470,CE$13)="",10^12,OFFSET(PLE!$G$14,$M470,CE$13))))</f>
        <v>1000000000000</v>
      </c>
      <c r="CF470" s="216">
        <f ca="1">IF($D470&lt;&gt;"Serviço",0,IF(OR(AND(AUTOEVENTO="Manual",$M470=1),$M470&gt;(ROW(PLE.lastrow)-ROW(PLE.firstrow))),0,IF(OFFSET(PLE!$G$14,$M470,CF$13)="",10^12,OFFSET(PLE!$G$14,$M470,CF$13))))</f>
        <v>1000000000000</v>
      </c>
      <c r="CG470" s="216">
        <f ca="1">IF($D470&lt;&gt;"Serviço",0,IF(OR(AND(AUTOEVENTO="Manual",$M470=1),$M470&gt;(ROW(PLE.lastrow)-ROW(PLE.firstrow))),0,IF(OFFSET(PLE!$G$14,$M470,CG$13)="",10^12,OFFSET(PLE!$G$14,$M470,CG$13))))</f>
        <v>1000000000000</v>
      </c>
      <c r="CH470" s="216">
        <f ca="1">IF($D470&lt;&gt;"Serviço",0,IF(OR(AND(AUTOEVENTO="Manual",$M470=1),$M470&gt;(ROW(PLE.lastrow)-ROW(PLE.firstrow))),0,IF(OFFSET(PLE!$G$14,$M470,CH$13)="",10^12,OFFSET(PLE!$G$14,$M470,CH$13))))</f>
        <v>1000000000000</v>
      </c>
      <c r="CI470" s="216">
        <f ca="1">IF($D470&lt;&gt;"Serviço",0,IF(OR(AND(AUTOEVENTO="Manual",$M470=1),$M470&gt;(ROW(PLE.lastrow)-ROW(PLE.firstrow))),0,IF(OFFSET(PLE!$G$14,$M470,CI$13)="",10^12,OFFSET(PLE!$G$14,$M470,CI$13))))</f>
        <v>1000000000000</v>
      </c>
      <c r="CJ470" s="216">
        <f ca="1">IF($D470&lt;&gt;"Serviço",0,IF(OR(AND(AUTOEVENTO="Manual",$M470=1),$M470&gt;(ROW(PLE.lastrow)-ROW(PLE.firstrow))),0,IF(OFFSET(PLE!$G$14,$M470,CJ$13)="",10^12,OFFSET(PLE!$G$14,$M470,CJ$13))))</f>
        <v>1000000000000</v>
      </c>
      <c r="CK470" s="216">
        <f ca="1">IF($D470&lt;&gt;"Serviço",0,IF(OR(AND(AUTOEVENTO="Manual",$M470=1),$M470&gt;(ROW(PLE.lastrow)-ROW(PLE.firstrow))),0,IF(OFFSET(PLE!$G$14,$M470,CK$13)="",10^12,OFFSET(PLE!$G$14,$M470,CK$13))))</f>
        <v>1000000000000</v>
      </c>
      <c r="CL470" s="216">
        <f ca="1">IF($D470&lt;&gt;"Serviço",0,IF(OR(AND(AUTOEVENTO="Manual",$M470=1),$M470&gt;(ROW(PLE.lastrow)-ROW(PLE.firstrow))),0,IF(OFFSET(PLE!$G$14,$M470,CL$13)="",10^12,OFFSET(PLE!$G$14,$M470,CL$13))))</f>
        <v>1000000000000</v>
      </c>
      <c r="CM470" s="216">
        <f ca="1">IF($D470&lt;&gt;"Serviço",0,IF(OR(AND(AUTOEVENTO="Manual",$M470=1),$M470&gt;(ROW(PLE.lastrow)-ROW(PLE.firstrow))),0,IF(OFFSET(PLE!$G$14,$M470,CM$13)="",10^12,OFFSET(PLE!$G$14,$M470,CM$13))))</f>
        <v>1000000000000</v>
      </c>
    </row>
    <row r="471" spans="1:91" ht="13.2" x14ac:dyDescent="0.25">
      <c r="A471" s="9">
        <f t="shared" ca="1" si="16"/>
        <v>0</v>
      </c>
      <c r="B471" s="9" t="str">
        <f ca="1">OFFSET(ORÇAMENTO!C$15,ROW(B471)-ROW(B$15),0)</f>
        <v>S</v>
      </c>
      <c r="C471" s="9" t="str">
        <f ca="1">OFFSET(ORÇAMENTO!L$15,ROW(C471)-ROW(C$15),0)</f>
        <v/>
      </c>
      <c r="D471" s="145" t="str">
        <f ca="1">OFFSET(ORÇAMENTO!N$15,ROW(D471)-ROW(D$15),0)</f>
        <v>Serviço</v>
      </c>
      <c r="E471" s="205" t="str">
        <f ca="1">OFFSET(ORÇAMENTO!O$15,ROW(E471)-ROW(E$15),0)</f>
        <v>-</v>
      </c>
      <c r="F471" s="206" t="str">
        <f ca="1">OFFSET(ORÇAMENTO!R$15,ROW(F471)-ROW(F$15),0)</f>
        <v>(abra o arquivo 'Referência 05-2024.xls)</v>
      </c>
      <c r="G471" s="207" t="str">
        <f ca="1">IF($D471&lt;&gt;"Serviço","",OFFSET(ORÇAMENTO!S$15,ROW(G471)-ROW(G$15),0))</f>
        <v>-</v>
      </c>
      <c r="H471" s="151">
        <f ca="1">IF($D471&lt;&gt;"Serviço",0,IF(ACOMPANHAMENTO="BM",ROUND(OFFSET(ORÇAMENTO!AJ$15,ROW(H471)-ROW(H$15),0),15-13*ORÇAMENTO!$AF$7),SUMPRODUCT(($Q$12:$AI$12&lt;&gt;"")*ROUND($Q471:$AI471,15-13*ORÇAMENTO!$AF$7))))</f>
        <v>12</v>
      </c>
      <c r="I471" s="650"/>
      <c r="K471" s="208"/>
      <c r="L471" s="209" t="s">
        <v>257</v>
      </c>
      <c r="M471" s="210">
        <f ca="1">IF($D471&lt;&gt;"Serviço","",IF(AUTOEVENTO="manual",$A471,IF(ISERROR(MATCH($A471,$A$15:OFFSET($A471,-1,0),0)),MAX($M$15:OFFSET(M471,-1,0))+1,INDEX($M$15:OFFSET(M471,-1,0),MATCH($A471,$A$15:OFFSET($A471,-1,0),0)))))</f>
        <v>0</v>
      </c>
      <c r="N471" s="211" t="str">
        <f ca="1">IF($D471&lt;&gt;"Serviço","",IF(AUTOEVENTO="Manual",IF($A471=0,"&lt;-- defina o número do agrupador",OFFSET(EVENTOS!$D$14,$A471,0)),OFFSET($F$15,$A471,0)))</f>
        <v>&lt;-- defina o número do agrupador</v>
      </c>
      <c r="O471" s="212"/>
      <c r="Q471" s="212"/>
      <c r="R471" s="213"/>
      <c r="S471" s="213"/>
      <c r="T471" s="213"/>
      <c r="U471" s="213"/>
      <c r="V471" s="213"/>
      <c r="W471" s="213"/>
      <c r="X471" s="213"/>
      <c r="Y471" s="213"/>
      <c r="Z471" s="214"/>
      <c r="AA471" s="213"/>
      <c r="AB471" s="213"/>
      <c r="AC471" s="213"/>
      <c r="AD471" s="213"/>
      <c r="AE471" s="213"/>
      <c r="AF471" s="213"/>
      <c r="AG471" s="213"/>
      <c r="AH471" s="214"/>
      <c r="AJ471" s="631">
        <f ca="1">IF(AND($D471="Serviço",AJ$12&lt;&gt;0,$H471&gt;0,OR(AUTOEVENTO&lt;&gt;"manual",$M471&lt;&gt;1)),ROUND(OFFSET($P471,0,AJ$13),15-13*ORÇAMENTO!$AF$7)/$H471*OFFSET(ORÇAMENTO!$X$15,ROW(AJ471)-ROW(AJ$15),0),0)</f>
        <v>0</v>
      </c>
      <c r="AK471" s="632">
        <f ca="1">IF(AND($D471="Serviço",AK$12&lt;&gt;0,$H471&gt;0,OR(AUTOEVENTO&lt;&gt;"manual",$M471&lt;&gt;1)),ROUND(OFFSET($P471,0,AK$13),15-13*ORÇAMENTO!$AF$7)/$H471*OFFSET(ORÇAMENTO!$X$15,ROW(AK471)-ROW(AK$15),0),0)</f>
        <v>0</v>
      </c>
      <c r="AL471" s="632">
        <f ca="1">IF(AND($D471="Serviço",AL$12&lt;&gt;0,$H471&gt;0,OR(AUTOEVENTO&lt;&gt;"manual",$M471&lt;&gt;1)),ROUND(OFFSET($P471,0,AL$13),15-13*ORÇAMENTO!$AF$7)/$H471*OFFSET(ORÇAMENTO!$X$15,ROW(AL471)-ROW(AL$15),0),0)</f>
        <v>0</v>
      </c>
      <c r="AM471" s="632">
        <f ca="1">IF(AND($D471="Serviço",AM$12&lt;&gt;0,$H471&gt;0,OR(AUTOEVENTO&lt;&gt;"manual",$M471&lt;&gt;1)),ROUND(OFFSET($P471,0,AM$13),15-13*ORÇAMENTO!$AF$7)/$H471*OFFSET(ORÇAMENTO!$X$15,ROW(AM471)-ROW(AM$15),0),0)</f>
        <v>0</v>
      </c>
      <c r="AN471" s="632">
        <f ca="1">IF(AND($D471="Serviço",AN$12&lt;&gt;0,$H471&gt;0,OR(AUTOEVENTO&lt;&gt;"manual",$M471&lt;&gt;1)),ROUND(OFFSET($P471,0,AN$13),15-13*ORÇAMENTO!$AF$7)/$H471*OFFSET(ORÇAMENTO!$X$15,ROW(AN471)-ROW(AN$15),0),0)</f>
        <v>0</v>
      </c>
      <c r="AO471" s="632">
        <f ca="1">IF(AND($D471="Serviço",AO$12&lt;&gt;0,$H471&gt;0,OR(AUTOEVENTO&lt;&gt;"manual",$M471&lt;&gt;1)),ROUND(OFFSET($P471,0,AO$13),15-13*ORÇAMENTO!$AF$7)/$H471*OFFSET(ORÇAMENTO!$X$15,ROW(AO471)-ROW(AO$15),0),0)</f>
        <v>0</v>
      </c>
      <c r="AP471" s="632">
        <f ca="1">IF(AND($D471="Serviço",AP$12&lt;&gt;0,$H471&gt;0,OR(AUTOEVENTO&lt;&gt;"manual",$M471&lt;&gt;1)),ROUND(OFFSET($P471,0,AP$13),15-13*ORÇAMENTO!$AF$7)/$H471*OFFSET(ORÇAMENTO!$X$15,ROW(AP471)-ROW(AP$15),0),0)</f>
        <v>0</v>
      </c>
      <c r="AQ471" s="632">
        <f ca="1">IF(AND($D471="Serviço",AQ$12&lt;&gt;0,$H471&gt;0,OR(AUTOEVENTO&lt;&gt;"manual",$M471&lt;&gt;1)),ROUND(OFFSET($P471,0,AQ$13),15-13*ORÇAMENTO!$AF$7)/$H471*OFFSET(ORÇAMENTO!$X$15,ROW(AQ471)-ROW(AQ$15),0),0)</f>
        <v>0</v>
      </c>
      <c r="AR471" s="632">
        <f ca="1">IF(AND($D471="Serviço",AR$12&lt;&gt;0,$H471&gt;0,OR(AUTOEVENTO&lt;&gt;"manual",$M471&lt;&gt;1)),ROUND(OFFSET($P471,0,AR$13),15-13*ORÇAMENTO!$AF$7)/$H471*OFFSET(ORÇAMENTO!$X$15,ROW(AR471)-ROW(AR$15),0),0)</f>
        <v>0</v>
      </c>
      <c r="AS471" s="633">
        <f ca="1">IF(AND($D471="Serviço",AS$12&lt;&gt;0,$H471&gt;0,OR(AUTOEVENTO&lt;&gt;"manual",$M471&lt;&gt;1)),ROUND(OFFSET($P471,0,AS$13),15-13*ORÇAMENTO!$AF$7)/$H471*OFFSET(ORÇAMENTO!$X$15,ROW(AS471)-ROW(AS$15),0),0)</f>
        <v>0</v>
      </c>
      <c r="AT471" s="632">
        <f ca="1">IF(AND($D471="Serviço",AT$12&lt;&gt;0,$H471&gt;0,OR(AUTOEVENTO&lt;&gt;"manual",$M471&lt;&gt;1)),ROUND(OFFSET($P471,0,AT$13),15-13*ORÇAMENTO!$AF$7)/$H471*OFFSET(ORÇAMENTO!$X$15,ROW(AT471)-ROW(AT$15),0),0)</f>
        <v>0</v>
      </c>
      <c r="AU471" s="632">
        <f ca="1">IF(AND($D471="Serviço",AU$12&lt;&gt;0,$H471&gt;0,OR(AUTOEVENTO&lt;&gt;"manual",$M471&lt;&gt;1)),ROUND(OFFSET($P471,0,AU$13),15-13*ORÇAMENTO!$AF$7)/$H471*OFFSET(ORÇAMENTO!$X$15,ROW(AU471)-ROW(AU$15),0),0)</f>
        <v>0</v>
      </c>
      <c r="AV471" s="632">
        <f ca="1">IF(AND($D471="Serviço",AV$12&lt;&gt;0,$H471&gt;0,OR(AUTOEVENTO&lt;&gt;"manual",$M471&lt;&gt;1)),ROUND(OFFSET($P471,0,AV$13),15-13*ORÇAMENTO!$AF$7)/$H471*OFFSET(ORÇAMENTO!$X$15,ROW(AV471)-ROW(AV$15),0),0)</f>
        <v>0</v>
      </c>
      <c r="AW471" s="632">
        <f ca="1">IF(AND($D471="Serviço",AW$12&lt;&gt;0,$H471&gt;0,OR(AUTOEVENTO&lt;&gt;"manual",$M471&lt;&gt;1)),ROUND(OFFSET($P471,0,AW$13),15-13*ORÇAMENTO!$AF$7)/$H471*OFFSET(ORÇAMENTO!$X$15,ROW(AW471)-ROW(AW$15),0),0)</f>
        <v>0</v>
      </c>
      <c r="AX471" s="632">
        <f ca="1">IF(AND($D471="Serviço",AX$12&lt;&gt;0,$H471&gt;0,OR(AUTOEVENTO&lt;&gt;"manual",$M471&lt;&gt;1)),ROUND(OFFSET($P471,0,AX$13),15-13*ORÇAMENTO!$AF$7)/$H471*OFFSET(ORÇAMENTO!$X$15,ROW(AX471)-ROW(AX$15),0),0)</f>
        <v>0</v>
      </c>
      <c r="AY471" s="632">
        <f ca="1">IF(AND($D471="Serviço",AY$12&lt;&gt;0,$H471&gt;0,OR(AUTOEVENTO&lt;&gt;"manual",$M471&lt;&gt;1)),ROUND(OFFSET($P471,0,AY$13),15-13*ORÇAMENTO!$AF$7)/$H471*OFFSET(ORÇAMENTO!$X$15,ROW(AY471)-ROW(AY$15),0),0)</f>
        <v>0</v>
      </c>
      <c r="AZ471" s="632">
        <f ca="1">IF(AND($D471="Serviço",AZ$12&lt;&gt;0,$H471&gt;0,OR(AUTOEVENTO&lt;&gt;"manual",$M471&lt;&gt;1)),ROUND(OFFSET($P471,0,AZ$13),15-13*ORÇAMENTO!$AF$7)/$H471*OFFSET(ORÇAMENTO!$X$15,ROW(AZ471)-ROW(AZ$15),0),0)</f>
        <v>0</v>
      </c>
      <c r="BA471" s="633">
        <f ca="1">IF(AND($D471="Serviço",BA$12&lt;&gt;0,$H471&gt;0,OR(AUTOEVENTO&lt;&gt;"manual",$M471&lt;&gt;1)),ROUND(OFFSET($P471,0,BA$13),15-13*ORÇAMENTO!$AF$7)/$H471*OFFSET(ORÇAMENTO!$X$15,ROW(BA471)-ROW(BA$15),0),0)</f>
        <v>0</v>
      </c>
      <c r="BC471" s="215">
        <f ca="1">IF($D471&lt;&gt;"Serviço",0,IF(AND(AUTOEVENTO="Manual",$M471=1),0,IF(OFFSET(CRONOPLE!$F$14,$M471,BC$13)="",10^12,OFFSET(CRONOPLE!$F$14,$M471,BC$13))))</f>
        <v>1000000000000</v>
      </c>
      <c r="BD471" s="215">
        <f ca="1">IF($D471&lt;&gt;"Serviço",0,IF(AND(AUTOEVENTO="Manual",$M471=1),0,IF(OFFSET(CRONOPLE!$F$14,$M471,BD$13)="",10^12,OFFSET(CRONOPLE!$F$14,$M471,BD$13))))</f>
        <v>1000000000000</v>
      </c>
      <c r="BE471" s="215">
        <f ca="1">IF($D471&lt;&gt;"Serviço",0,IF(AND(AUTOEVENTO="Manual",$M471=1),0,IF(OFFSET(CRONOPLE!$F$14,$M471,BE$13)="",10^12,OFFSET(CRONOPLE!$F$14,$M471,BE$13))))</f>
        <v>1000000000000</v>
      </c>
      <c r="BF471" s="215">
        <f ca="1">IF($D471&lt;&gt;"Serviço",0,IF(AND(AUTOEVENTO="Manual",$M471=1),0,IF(OFFSET(CRONOPLE!$F$14,$M471,BF$13)="",10^12,OFFSET(CRONOPLE!$F$14,$M471,BF$13))))</f>
        <v>1000000000000</v>
      </c>
      <c r="BG471" s="215">
        <f ca="1">IF($D471&lt;&gt;"Serviço",0,IF(AND(AUTOEVENTO="Manual",$M471=1),0,IF(OFFSET(CRONOPLE!$F$14,$M471,BG$13)="",10^12,OFFSET(CRONOPLE!$F$14,$M471,BG$13))))</f>
        <v>1000000000000</v>
      </c>
      <c r="BH471" s="215">
        <f ca="1">IF($D471&lt;&gt;"Serviço",0,IF(AND(AUTOEVENTO="Manual",$M471=1),0,IF(OFFSET(CRONOPLE!$F$14,$M471,BH$13)="",10^12,OFFSET(CRONOPLE!$F$14,$M471,BH$13))))</f>
        <v>1000000000000</v>
      </c>
      <c r="BI471" s="215">
        <f ca="1">IF($D471&lt;&gt;"Serviço",0,IF(AND(AUTOEVENTO="Manual",$M471=1),0,IF(OFFSET(CRONOPLE!$F$14,$M471,BI$13)="",10^12,OFFSET(CRONOPLE!$F$14,$M471,BI$13))))</f>
        <v>1000000000000</v>
      </c>
      <c r="BJ471" s="215">
        <f ca="1">IF($D471&lt;&gt;"Serviço",0,IF(AND(AUTOEVENTO="Manual",$M471=1),0,IF(OFFSET(CRONOPLE!$F$14,$M471,BJ$13)="",10^12,OFFSET(CRONOPLE!$F$14,$M471,BJ$13))))</f>
        <v>1000000000000</v>
      </c>
      <c r="BK471" s="215">
        <f ca="1">IF($D471&lt;&gt;"Serviço",0,IF(AND(AUTOEVENTO="Manual",$M471=1),0,IF(OFFSET(CRONOPLE!$F$14,$M471,BK$13)="",10^12,OFFSET(CRONOPLE!$F$14,$M471,BK$13))))</f>
        <v>1000000000000</v>
      </c>
      <c r="BL471" s="215">
        <f ca="1">IF($D471&lt;&gt;"Serviço",0,IF(AND(AUTOEVENTO="Manual",$M471=1),0,IF(OFFSET(CRONOPLE!$F$14,$M471,BL$13)="",10^12,OFFSET(CRONOPLE!$F$14,$M471,BL$13))))</f>
        <v>1000000000000</v>
      </c>
      <c r="BM471" s="215">
        <f ca="1">IF($D471&lt;&gt;"Serviço",0,IF(AND(AUTOEVENTO="Manual",$M471=1),0,IF(OFFSET(CRONOPLE!$F$14,$M471,BM$13)="",10^12,OFFSET(CRONOPLE!$F$14,$M471,BM$13))))</f>
        <v>1000000000000</v>
      </c>
      <c r="BN471" s="215">
        <f ca="1">IF($D471&lt;&gt;"Serviço",0,IF(AND(AUTOEVENTO="Manual",$M471=1),0,IF(OFFSET(CRONOPLE!$F$14,$M471,BN$13)="",10^12,OFFSET(CRONOPLE!$F$14,$M471,BN$13))))</f>
        <v>1000000000000</v>
      </c>
      <c r="BO471" s="215">
        <f ca="1">IF($D471&lt;&gt;"Serviço",0,IF(AND(AUTOEVENTO="Manual",$M471=1),0,IF(OFFSET(CRONOPLE!$F$14,$M471,BO$13)="",10^12,OFFSET(CRONOPLE!$F$14,$M471,BO$13))))</f>
        <v>1000000000000</v>
      </c>
      <c r="BP471" s="215">
        <f ca="1">IF($D471&lt;&gt;"Serviço",0,IF(AND(AUTOEVENTO="Manual",$M471=1),0,IF(OFFSET(CRONOPLE!$F$14,$M471,BP$13)="",10^12,OFFSET(CRONOPLE!$F$14,$M471,BP$13))))</f>
        <v>1000000000000</v>
      </c>
      <c r="BQ471" s="215">
        <f ca="1">IF($D471&lt;&gt;"Serviço",0,IF(AND(AUTOEVENTO="Manual",$M471=1),0,IF(OFFSET(CRONOPLE!$F$14,$M471,BQ$13)="",10^12,OFFSET(CRONOPLE!$F$14,$M471,BQ$13))))</f>
        <v>1000000000000</v>
      </c>
      <c r="BR471" s="215">
        <f ca="1">IF($D471&lt;&gt;"Serviço",0,IF(AND(AUTOEVENTO="Manual",$M471=1),0,IF(OFFSET(CRONOPLE!$F$14,$M471,BR$13)="",10^12,OFFSET(CRONOPLE!$F$14,$M471,BR$13))))</f>
        <v>1000000000000</v>
      </c>
      <c r="BS471" s="215">
        <f ca="1">IF($D471&lt;&gt;"Serviço",0,IF(AND(AUTOEVENTO="Manual",$M471=1),0,IF(OFFSET(CRONOPLE!$F$14,$M471,BS$13)="",10^12,OFFSET(CRONOPLE!$F$14,$M471,BS$13))))</f>
        <v>1000000000000</v>
      </c>
      <c r="BT471" s="215">
        <f ca="1">IF($D471&lt;&gt;"Serviço",0,IF(AND(AUTOEVENTO="Manual",$M471=1),0,IF(OFFSET(CRONOPLE!$F$14,$M471,BT$13)="",10^12,OFFSET(CRONOPLE!$F$14,$M471,BT$13))))</f>
        <v>1000000000000</v>
      </c>
      <c r="BV471" s="216">
        <f ca="1">IF($D471&lt;&gt;"Serviço",0,IF(OR(AND(AUTOEVENTO="Manual",$M471=1),$M471&gt;(ROW(PLE.lastrow)-ROW(PLE.firstrow))),0,IF(OFFSET(PLE!$G$14,$M471,BV$13)="",10^12,OFFSET(PLE!$G$14,$M471,BV$13))))</f>
        <v>1000000000000</v>
      </c>
      <c r="BW471" s="216">
        <f ca="1">IF($D471&lt;&gt;"Serviço",0,IF(OR(AND(AUTOEVENTO="Manual",$M471=1),$M471&gt;(ROW(PLE.lastrow)-ROW(PLE.firstrow))),0,IF(OFFSET(PLE!$G$14,$M471,BW$13)="",10^12,OFFSET(PLE!$G$14,$M471,BW$13))))</f>
        <v>1000000000000</v>
      </c>
      <c r="BX471" s="216">
        <f ca="1">IF($D471&lt;&gt;"Serviço",0,IF(OR(AND(AUTOEVENTO="Manual",$M471=1),$M471&gt;(ROW(PLE.lastrow)-ROW(PLE.firstrow))),0,IF(OFFSET(PLE!$G$14,$M471,BX$13)="",10^12,OFFSET(PLE!$G$14,$M471,BX$13))))</f>
        <v>1000000000000</v>
      </c>
      <c r="BY471" s="216">
        <f ca="1">IF($D471&lt;&gt;"Serviço",0,IF(OR(AND(AUTOEVENTO="Manual",$M471=1),$M471&gt;(ROW(PLE.lastrow)-ROW(PLE.firstrow))),0,IF(OFFSET(PLE!$G$14,$M471,BY$13)="",10^12,OFFSET(PLE!$G$14,$M471,BY$13))))</f>
        <v>1000000000000</v>
      </c>
      <c r="BZ471" s="216">
        <f ca="1">IF($D471&lt;&gt;"Serviço",0,IF(OR(AND(AUTOEVENTO="Manual",$M471=1),$M471&gt;(ROW(PLE.lastrow)-ROW(PLE.firstrow))),0,IF(OFFSET(PLE!$G$14,$M471,BZ$13)="",10^12,OFFSET(PLE!$G$14,$M471,BZ$13))))</f>
        <v>1000000000000</v>
      </c>
      <c r="CA471" s="216">
        <f ca="1">IF($D471&lt;&gt;"Serviço",0,IF(OR(AND(AUTOEVENTO="Manual",$M471=1),$M471&gt;(ROW(PLE.lastrow)-ROW(PLE.firstrow))),0,IF(OFFSET(PLE!$G$14,$M471,CA$13)="",10^12,OFFSET(PLE!$G$14,$M471,CA$13))))</f>
        <v>1000000000000</v>
      </c>
      <c r="CB471" s="216">
        <f ca="1">IF($D471&lt;&gt;"Serviço",0,IF(OR(AND(AUTOEVENTO="Manual",$M471=1),$M471&gt;(ROW(PLE.lastrow)-ROW(PLE.firstrow))),0,IF(OFFSET(PLE!$G$14,$M471,CB$13)="",10^12,OFFSET(PLE!$G$14,$M471,CB$13))))</f>
        <v>1000000000000</v>
      </c>
      <c r="CC471" s="216">
        <f ca="1">IF($D471&lt;&gt;"Serviço",0,IF(OR(AND(AUTOEVENTO="Manual",$M471=1),$M471&gt;(ROW(PLE.lastrow)-ROW(PLE.firstrow))),0,IF(OFFSET(PLE!$G$14,$M471,CC$13)="",10^12,OFFSET(PLE!$G$14,$M471,CC$13))))</f>
        <v>1000000000000</v>
      </c>
      <c r="CD471" s="216">
        <f ca="1">IF($D471&lt;&gt;"Serviço",0,IF(OR(AND(AUTOEVENTO="Manual",$M471=1),$M471&gt;(ROW(PLE.lastrow)-ROW(PLE.firstrow))),0,IF(OFFSET(PLE!$G$14,$M471,CD$13)="",10^12,OFFSET(PLE!$G$14,$M471,CD$13))))</f>
        <v>1000000000000</v>
      </c>
      <c r="CE471" s="216">
        <f ca="1">IF($D471&lt;&gt;"Serviço",0,IF(OR(AND(AUTOEVENTO="Manual",$M471=1),$M471&gt;(ROW(PLE.lastrow)-ROW(PLE.firstrow))),0,IF(OFFSET(PLE!$G$14,$M471,CE$13)="",10^12,OFFSET(PLE!$G$14,$M471,CE$13))))</f>
        <v>1000000000000</v>
      </c>
      <c r="CF471" s="216">
        <f ca="1">IF($D471&lt;&gt;"Serviço",0,IF(OR(AND(AUTOEVENTO="Manual",$M471=1),$M471&gt;(ROW(PLE.lastrow)-ROW(PLE.firstrow))),0,IF(OFFSET(PLE!$G$14,$M471,CF$13)="",10^12,OFFSET(PLE!$G$14,$M471,CF$13))))</f>
        <v>1000000000000</v>
      </c>
      <c r="CG471" s="216">
        <f ca="1">IF($D471&lt;&gt;"Serviço",0,IF(OR(AND(AUTOEVENTO="Manual",$M471=1),$M471&gt;(ROW(PLE.lastrow)-ROW(PLE.firstrow))),0,IF(OFFSET(PLE!$G$14,$M471,CG$13)="",10^12,OFFSET(PLE!$G$14,$M471,CG$13))))</f>
        <v>1000000000000</v>
      </c>
      <c r="CH471" s="216">
        <f ca="1">IF($D471&lt;&gt;"Serviço",0,IF(OR(AND(AUTOEVENTO="Manual",$M471=1),$M471&gt;(ROW(PLE.lastrow)-ROW(PLE.firstrow))),0,IF(OFFSET(PLE!$G$14,$M471,CH$13)="",10^12,OFFSET(PLE!$G$14,$M471,CH$13))))</f>
        <v>1000000000000</v>
      </c>
      <c r="CI471" s="216">
        <f ca="1">IF($D471&lt;&gt;"Serviço",0,IF(OR(AND(AUTOEVENTO="Manual",$M471=1),$M471&gt;(ROW(PLE.lastrow)-ROW(PLE.firstrow))),0,IF(OFFSET(PLE!$G$14,$M471,CI$13)="",10^12,OFFSET(PLE!$G$14,$M471,CI$13))))</f>
        <v>1000000000000</v>
      </c>
      <c r="CJ471" s="216">
        <f ca="1">IF($D471&lt;&gt;"Serviço",0,IF(OR(AND(AUTOEVENTO="Manual",$M471=1),$M471&gt;(ROW(PLE.lastrow)-ROW(PLE.firstrow))),0,IF(OFFSET(PLE!$G$14,$M471,CJ$13)="",10^12,OFFSET(PLE!$G$14,$M471,CJ$13))))</f>
        <v>1000000000000</v>
      </c>
      <c r="CK471" s="216">
        <f ca="1">IF($D471&lt;&gt;"Serviço",0,IF(OR(AND(AUTOEVENTO="Manual",$M471=1),$M471&gt;(ROW(PLE.lastrow)-ROW(PLE.firstrow))),0,IF(OFFSET(PLE!$G$14,$M471,CK$13)="",10^12,OFFSET(PLE!$G$14,$M471,CK$13))))</f>
        <v>1000000000000</v>
      </c>
      <c r="CL471" s="216">
        <f ca="1">IF($D471&lt;&gt;"Serviço",0,IF(OR(AND(AUTOEVENTO="Manual",$M471=1),$M471&gt;(ROW(PLE.lastrow)-ROW(PLE.firstrow))),0,IF(OFFSET(PLE!$G$14,$M471,CL$13)="",10^12,OFFSET(PLE!$G$14,$M471,CL$13))))</f>
        <v>1000000000000</v>
      </c>
      <c r="CM471" s="216">
        <f ca="1">IF($D471&lt;&gt;"Serviço",0,IF(OR(AND(AUTOEVENTO="Manual",$M471=1),$M471&gt;(ROW(PLE.lastrow)-ROW(PLE.firstrow))),0,IF(OFFSET(PLE!$G$14,$M471,CM$13)="",10^12,OFFSET(PLE!$G$14,$M471,CM$13))))</f>
        <v>1000000000000</v>
      </c>
    </row>
    <row r="472" spans="1:91" ht="13.2" x14ac:dyDescent="0.25">
      <c r="A472" s="9">
        <f t="shared" ca="1" si="16"/>
        <v>0</v>
      </c>
      <c r="B472" s="9" t="str">
        <f ca="1">OFFSET(ORÇAMENTO!C$15,ROW(B472)-ROW(B$15),0)</f>
        <v>S</v>
      </c>
      <c r="C472" s="9" t="str">
        <f ca="1">OFFSET(ORÇAMENTO!L$15,ROW(C472)-ROW(C$15),0)</f>
        <v/>
      </c>
      <c r="D472" s="145" t="str">
        <f ca="1">OFFSET(ORÇAMENTO!N$15,ROW(D472)-ROW(D$15),0)</f>
        <v>Serviço</v>
      </c>
      <c r="E472" s="205" t="str">
        <f ca="1">OFFSET(ORÇAMENTO!O$15,ROW(E472)-ROW(E$15),0)</f>
        <v>-</v>
      </c>
      <c r="F472" s="206" t="str">
        <f ca="1">OFFSET(ORÇAMENTO!R$15,ROW(F472)-ROW(F$15),0)</f>
        <v>(abra o arquivo 'Referência 05-2024.xls)</v>
      </c>
      <c r="G472" s="207" t="str">
        <f ca="1">IF($D472&lt;&gt;"Serviço","",OFFSET(ORÇAMENTO!S$15,ROW(G472)-ROW(G$15),0))</f>
        <v>-</v>
      </c>
      <c r="H472" s="151">
        <f ca="1">IF($D472&lt;&gt;"Serviço",0,IF(ACOMPANHAMENTO="BM",ROUND(OFFSET(ORÇAMENTO!AJ$15,ROW(H472)-ROW(H$15),0),15-13*ORÇAMENTO!$AF$7),SUMPRODUCT(($Q$12:$AI$12&lt;&gt;"")*ROUND($Q472:$AI472,15-13*ORÇAMENTO!$AF$7))))</f>
        <v>12</v>
      </c>
      <c r="I472" s="650"/>
      <c r="K472" s="208"/>
      <c r="L472" s="209" t="s">
        <v>257</v>
      </c>
      <c r="M472" s="210">
        <f ca="1">IF($D472&lt;&gt;"Serviço","",IF(AUTOEVENTO="manual",$A472,IF(ISERROR(MATCH($A472,$A$15:OFFSET($A472,-1,0),0)),MAX($M$15:OFFSET(M472,-1,0))+1,INDEX($M$15:OFFSET(M472,-1,0),MATCH($A472,$A$15:OFFSET($A472,-1,0),0)))))</f>
        <v>0</v>
      </c>
      <c r="N472" s="211" t="str">
        <f ca="1">IF($D472&lt;&gt;"Serviço","",IF(AUTOEVENTO="Manual",IF($A472=0,"&lt;-- defina o número do agrupador",OFFSET(EVENTOS!$D$14,$A472,0)),OFFSET($F$15,$A472,0)))</f>
        <v>&lt;-- defina o número do agrupador</v>
      </c>
      <c r="O472" s="212"/>
      <c r="Q472" s="212"/>
      <c r="R472" s="213"/>
      <c r="S472" s="213"/>
      <c r="T472" s="213"/>
      <c r="U472" s="213"/>
      <c r="V472" s="213"/>
      <c r="W472" s="213"/>
      <c r="X472" s="213"/>
      <c r="Y472" s="213"/>
      <c r="Z472" s="214"/>
      <c r="AA472" s="213"/>
      <c r="AB472" s="213"/>
      <c r="AC472" s="213"/>
      <c r="AD472" s="213"/>
      <c r="AE472" s="213"/>
      <c r="AF472" s="213"/>
      <c r="AG472" s="213"/>
      <c r="AH472" s="214"/>
      <c r="AJ472" s="631">
        <f ca="1">IF(AND($D472="Serviço",AJ$12&lt;&gt;0,$H472&gt;0,OR(AUTOEVENTO&lt;&gt;"manual",$M472&lt;&gt;1)),ROUND(OFFSET($P472,0,AJ$13),15-13*ORÇAMENTO!$AF$7)/$H472*OFFSET(ORÇAMENTO!$X$15,ROW(AJ472)-ROW(AJ$15),0),0)</f>
        <v>0</v>
      </c>
      <c r="AK472" s="632">
        <f ca="1">IF(AND($D472="Serviço",AK$12&lt;&gt;0,$H472&gt;0,OR(AUTOEVENTO&lt;&gt;"manual",$M472&lt;&gt;1)),ROUND(OFFSET($P472,0,AK$13),15-13*ORÇAMENTO!$AF$7)/$H472*OFFSET(ORÇAMENTO!$X$15,ROW(AK472)-ROW(AK$15),0),0)</f>
        <v>0</v>
      </c>
      <c r="AL472" s="632">
        <f ca="1">IF(AND($D472="Serviço",AL$12&lt;&gt;0,$H472&gt;0,OR(AUTOEVENTO&lt;&gt;"manual",$M472&lt;&gt;1)),ROUND(OFFSET($P472,0,AL$13),15-13*ORÇAMENTO!$AF$7)/$H472*OFFSET(ORÇAMENTO!$X$15,ROW(AL472)-ROW(AL$15),0),0)</f>
        <v>0</v>
      </c>
      <c r="AM472" s="632">
        <f ca="1">IF(AND($D472="Serviço",AM$12&lt;&gt;0,$H472&gt;0,OR(AUTOEVENTO&lt;&gt;"manual",$M472&lt;&gt;1)),ROUND(OFFSET($P472,0,AM$13),15-13*ORÇAMENTO!$AF$7)/$H472*OFFSET(ORÇAMENTO!$X$15,ROW(AM472)-ROW(AM$15),0),0)</f>
        <v>0</v>
      </c>
      <c r="AN472" s="632">
        <f ca="1">IF(AND($D472="Serviço",AN$12&lt;&gt;0,$H472&gt;0,OR(AUTOEVENTO&lt;&gt;"manual",$M472&lt;&gt;1)),ROUND(OFFSET($P472,0,AN$13),15-13*ORÇAMENTO!$AF$7)/$H472*OFFSET(ORÇAMENTO!$X$15,ROW(AN472)-ROW(AN$15),0),0)</f>
        <v>0</v>
      </c>
      <c r="AO472" s="632">
        <f ca="1">IF(AND($D472="Serviço",AO$12&lt;&gt;0,$H472&gt;0,OR(AUTOEVENTO&lt;&gt;"manual",$M472&lt;&gt;1)),ROUND(OFFSET($P472,0,AO$13),15-13*ORÇAMENTO!$AF$7)/$H472*OFFSET(ORÇAMENTO!$X$15,ROW(AO472)-ROW(AO$15),0),0)</f>
        <v>0</v>
      </c>
      <c r="AP472" s="632">
        <f ca="1">IF(AND($D472="Serviço",AP$12&lt;&gt;0,$H472&gt;0,OR(AUTOEVENTO&lt;&gt;"manual",$M472&lt;&gt;1)),ROUND(OFFSET($P472,0,AP$13),15-13*ORÇAMENTO!$AF$7)/$H472*OFFSET(ORÇAMENTO!$X$15,ROW(AP472)-ROW(AP$15),0),0)</f>
        <v>0</v>
      </c>
      <c r="AQ472" s="632">
        <f ca="1">IF(AND($D472="Serviço",AQ$12&lt;&gt;0,$H472&gt;0,OR(AUTOEVENTO&lt;&gt;"manual",$M472&lt;&gt;1)),ROUND(OFFSET($P472,0,AQ$13),15-13*ORÇAMENTO!$AF$7)/$H472*OFFSET(ORÇAMENTO!$X$15,ROW(AQ472)-ROW(AQ$15),0),0)</f>
        <v>0</v>
      </c>
      <c r="AR472" s="632">
        <f ca="1">IF(AND($D472="Serviço",AR$12&lt;&gt;0,$H472&gt;0,OR(AUTOEVENTO&lt;&gt;"manual",$M472&lt;&gt;1)),ROUND(OFFSET($P472,0,AR$13),15-13*ORÇAMENTO!$AF$7)/$H472*OFFSET(ORÇAMENTO!$X$15,ROW(AR472)-ROW(AR$15),0),0)</f>
        <v>0</v>
      </c>
      <c r="AS472" s="633">
        <f ca="1">IF(AND($D472="Serviço",AS$12&lt;&gt;0,$H472&gt;0,OR(AUTOEVENTO&lt;&gt;"manual",$M472&lt;&gt;1)),ROUND(OFFSET($P472,0,AS$13),15-13*ORÇAMENTO!$AF$7)/$H472*OFFSET(ORÇAMENTO!$X$15,ROW(AS472)-ROW(AS$15),0),0)</f>
        <v>0</v>
      </c>
      <c r="AT472" s="632">
        <f ca="1">IF(AND($D472="Serviço",AT$12&lt;&gt;0,$H472&gt;0,OR(AUTOEVENTO&lt;&gt;"manual",$M472&lt;&gt;1)),ROUND(OFFSET($P472,0,AT$13),15-13*ORÇAMENTO!$AF$7)/$H472*OFFSET(ORÇAMENTO!$X$15,ROW(AT472)-ROW(AT$15),0),0)</f>
        <v>0</v>
      </c>
      <c r="AU472" s="632">
        <f ca="1">IF(AND($D472="Serviço",AU$12&lt;&gt;0,$H472&gt;0,OR(AUTOEVENTO&lt;&gt;"manual",$M472&lt;&gt;1)),ROUND(OFFSET($P472,0,AU$13),15-13*ORÇAMENTO!$AF$7)/$H472*OFFSET(ORÇAMENTO!$X$15,ROW(AU472)-ROW(AU$15),0),0)</f>
        <v>0</v>
      </c>
      <c r="AV472" s="632">
        <f ca="1">IF(AND($D472="Serviço",AV$12&lt;&gt;0,$H472&gt;0,OR(AUTOEVENTO&lt;&gt;"manual",$M472&lt;&gt;1)),ROUND(OFFSET($P472,0,AV$13),15-13*ORÇAMENTO!$AF$7)/$H472*OFFSET(ORÇAMENTO!$X$15,ROW(AV472)-ROW(AV$15),0),0)</f>
        <v>0</v>
      </c>
      <c r="AW472" s="632">
        <f ca="1">IF(AND($D472="Serviço",AW$12&lt;&gt;0,$H472&gt;0,OR(AUTOEVENTO&lt;&gt;"manual",$M472&lt;&gt;1)),ROUND(OFFSET($P472,0,AW$13),15-13*ORÇAMENTO!$AF$7)/$H472*OFFSET(ORÇAMENTO!$X$15,ROW(AW472)-ROW(AW$15),0),0)</f>
        <v>0</v>
      </c>
      <c r="AX472" s="632">
        <f ca="1">IF(AND($D472="Serviço",AX$12&lt;&gt;0,$H472&gt;0,OR(AUTOEVENTO&lt;&gt;"manual",$M472&lt;&gt;1)),ROUND(OFFSET($P472,0,AX$13),15-13*ORÇAMENTO!$AF$7)/$H472*OFFSET(ORÇAMENTO!$X$15,ROW(AX472)-ROW(AX$15),0),0)</f>
        <v>0</v>
      </c>
      <c r="AY472" s="632">
        <f ca="1">IF(AND($D472="Serviço",AY$12&lt;&gt;0,$H472&gt;0,OR(AUTOEVENTO&lt;&gt;"manual",$M472&lt;&gt;1)),ROUND(OFFSET($P472,0,AY$13),15-13*ORÇAMENTO!$AF$7)/$H472*OFFSET(ORÇAMENTO!$X$15,ROW(AY472)-ROW(AY$15),0),0)</f>
        <v>0</v>
      </c>
      <c r="AZ472" s="632">
        <f ca="1">IF(AND($D472="Serviço",AZ$12&lt;&gt;0,$H472&gt;0,OR(AUTOEVENTO&lt;&gt;"manual",$M472&lt;&gt;1)),ROUND(OFFSET($P472,0,AZ$13),15-13*ORÇAMENTO!$AF$7)/$H472*OFFSET(ORÇAMENTO!$X$15,ROW(AZ472)-ROW(AZ$15),0),0)</f>
        <v>0</v>
      </c>
      <c r="BA472" s="633">
        <f ca="1">IF(AND($D472="Serviço",BA$12&lt;&gt;0,$H472&gt;0,OR(AUTOEVENTO&lt;&gt;"manual",$M472&lt;&gt;1)),ROUND(OFFSET($P472,0,BA$13),15-13*ORÇAMENTO!$AF$7)/$H472*OFFSET(ORÇAMENTO!$X$15,ROW(BA472)-ROW(BA$15),0),0)</f>
        <v>0</v>
      </c>
      <c r="BC472" s="215">
        <f ca="1">IF($D472&lt;&gt;"Serviço",0,IF(AND(AUTOEVENTO="Manual",$M472=1),0,IF(OFFSET(CRONOPLE!$F$14,$M472,BC$13)="",10^12,OFFSET(CRONOPLE!$F$14,$M472,BC$13))))</f>
        <v>1000000000000</v>
      </c>
      <c r="BD472" s="215">
        <f ca="1">IF($D472&lt;&gt;"Serviço",0,IF(AND(AUTOEVENTO="Manual",$M472=1),0,IF(OFFSET(CRONOPLE!$F$14,$M472,BD$13)="",10^12,OFFSET(CRONOPLE!$F$14,$M472,BD$13))))</f>
        <v>1000000000000</v>
      </c>
      <c r="BE472" s="215">
        <f ca="1">IF($D472&lt;&gt;"Serviço",0,IF(AND(AUTOEVENTO="Manual",$M472=1),0,IF(OFFSET(CRONOPLE!$F$14,$M472,BE$13)="",10^12,OFFSET(CRONOPLE!$F$14,$M472,BE$13))))</f>
        <v>1000000000000</v>
      </c>
      <c r="BF472" s="215">
        <f ca="1">IF($D472&lt;&gt;"Serviço",0,IF(AND(AUTOEVENTO="Manual",$M472=1),0,IF(OFFSET(CRONOPLE!$F$14,$M472,BF$13)="",10^12,OFFSET(CRONOPLE!$F$14,$M472,BF$13))))</f>
        <v>1000000000000</v>
      </c>
      <c r="BG472" s="215">
        <f ca="1">IF($D472&lt;&gt;"Serviço",0,IF(AND(AUTOEVENTO="Manual",$M472=1),0,IF(OFFSET(CRONOPLE!$F$14,$M472,BG$13)="",10^12,OFFSET(CRONOPLE!$F$14,$M472,BG$13))))</f>
        <v>1000000000000</v>
      </c>
      <c r="BH472" s="215">
        <f ca="1">IF($D472&lt;&gt;"Serviço",0,IF(AND(AUTOEVENTO="Manual",$M472=1),0,IF(OFFSET(CRONOPLE!$F$14,$M472,BH$13)="",10^12,OFFSET(CRONOPLE!$F$14,$M472,BH$13))))</f>
        <v>1000000000000</v>
      </c>
      <c r="BI472" s="215">
        <f ca="1">IF($D472&lt;&gt;"Serviço",0,IF(AND(AUTOEVENTO="Manual",$M472=1),0,IF(OFFSET(CRONOPLE!$F$14,$M472,BI$13)="",10^12,OFFSET(CRONOPLE!$F$14,$M472,BI$13))))</f>
        <v>1000000000000</v>
      </c>
      <c r="BJ472" s="215">
        <f ca="1">IF($D472&lt;&gt;"Serviço",0,IF(AND(AUTOEVENTO="Manual",$M472=1),0,IF(OFFSET(CRONOPLE!$F$14,$M472,BJ$13)="",10^12,OFFSET(CRONOPLE!$F$14,$M472,BJ$13))))</f>
        <v>1000000000000</v>
      </c>
      <c r="BK472" s="215">
        <f ca="1">IF($D472&lt;&gt;"Serviço",0,IF(AND(AUTOEVENTO="Manual",$M472=1),0,IF(OFFSET(CRONOPLE!$F$14,$M472,BK$13)="",10^12,OFFSET(CRONOPLE!$F$14,$M472,BK$13))))</f>
        <v>1000000000000</v>
      </c>
      <c r="BL472" s="215">
        <f ca="1">IF($D472&lt;&gt;"Serviço",0,IF(AND(AUTOEVENTO="Manual",$M472=1),0,IF(OFFSET(CRONOPLE!$F$14,$M472,BL$13)="",10^12,OFFSET(CRONOPLE!$F$14,$M472,BL$13))))</f>
        <v>1000000000000</v>
      </c>
      <c r="BM472" s="215">
        <f ca="1">IF($D472&lt;&gt;"Serviço",0,IF(AND(AUTOEVENTO="Manual",$M472=1),0,IF(OFFSET(CRONOPLE!$F$14,$M472,BM$13)="",10^12,OFFSET(CRONOPLE!$F$14,$M472,BM$13))))</f>
        <v>1000000000000</v>
      </c>
      <c r="BN472" s="215">
        <f ca="1">IF($D472&lt;&gt;"Serviço",0,IF(AND(AUTOEVENTO="Manual",$M472=1),0,IF(OFFSET(CRONOPLE!$F$14,$M472,BN$13)="",10^12,OFFSET(CRONOPLE!$F$14,$M472,BN$13))))</f>
        <v>1000000000000</v>
      </c>
      <c r="BO472" s="215">
        <f ca="1">IF($D472&lt;&gt;"Serviço",0,IF(AND(AUTOEVENTO="Manual",$M472=1),0,IF(OFFSET(CRONOPLE!$F$14,$M472,BO$13)="",10^12,OFFSET(CRONOPLE!$F$14,$M472,BO$13))))</f>
        <v>1000000000000</v>
      </c>
      <c r="BP472" s="215">
        <f ca="1">IF($D472&lt;&gt;"Serviço",0,IF(AND(AUTOEVENTO="Manual",$M472=1),0,IF(OFFSET(CRONOPLE!$F$14,$M472,BP$13)="",10^12,OFFSET(CRONOPLE!$F$14,$M472,BP$13))))</f>
        <v>1000000000000</v>
      </c>
      <c r="BQ472" s="215">
        <f ca="1">IF($D472&lt;&gt;"Serviço",0,IF(AND(AUTOEVENTO="Manual",$M472=1),0,IF(OFFSET(CRONOPLE!$F$14,$M472,BQ$13)="",10^12,OFFSET(CRONOPLE!$F$14,$M472,BQ$13))))</f>
        <v>1000000000000</v>
      </c>
      <c r="BR472" s="215">
        <f ca="1">IF($D472&lt;&gt;"Serviço",0,IF(AND(AUTOEVENTO="Manual",$M472=1),0,IF(OFFSET(CRONOPLE!$F$14,$M472,BR$13)="",10^12,OFFSET(CRONOPLE!$F$14,$M472,BR$13))))</f>
        <v>1000000000000</v>
      </c>
      <c r="BS472" s="215">
        <f ca="1">IF($D472&lt;&gt;"Serviço",0,IF(AND(AUTOEVENTO="Manual",$M472=1),0,IF(OFFSET(CRONOPLE!$F$14,$M472,BS$13)="",10^12,OFFSET(CRONOPLE!$F$14,$M472,BS$13))))</f>
        <v>1000000000000</v>
      </c>
      <c r="BT472" s="215">
        <f ca="1">IF($D472&lt;&gt;"Serviço",0,IF(AND(AUTOEVENTO="Manual",$M472=1),0,IF(OFFSET(CRONOPLE!$F$14,$M472,BT$13)="",10^12,OFFSET(CRONOPLE!$F$14,$M472,BT$13))))</f>
        <v>1000000000000</v>
      </c>
      <c r="BV472" s="216">
        <f ca="1">IF($D472&lt;&gt;"Serviço",0,IF(OR(AND(AUTOEVENTO="Manual",$M472=1),$M472&gt;(ROW(PLE.lastrow)-ROW(PLE.firstrow))),0,IF(OFFSET(PLE!$G$14,$M472,BV$13)="",10^12,OFFSET(PLE!$G$14,$M472,BV$13))))</f>
        <v>1000000000000</v>
      </c>
      <c r="BW472" s="216">
        <f ca="1">IF($D472&lt;&gt;"Serviço",0,IF(OR(AND(AUTOEVENTO="Manual",$M472=1),$M472&gt;(ROW(PLE.lastrow)-ROW(PLE.firstrow))),0,IF(OFFSET(PLE!$G$14,$M472,BW$13)="",10^12,OFFSET(PLE!$G$14,$M472,BW$13))))</f>
        <v>1000000000000</v>
      </c>
      <c r="BX472" s="216">
        <f ca="1">IF($D472&lt;&gt;"Serviço",0,IF(OR(AND(AUTOEVENTO="Manual",$M472=1),$M472&gt;(ROW(PLE.lastrow)-ROW(PLE.firstrow))),0,IF(OFFSET(PLE!$G$14,$M472,BX$13)="",10^12,OFFSET(PLE!$G$14,$M472,BX$13))))</f>
        <v>1000000000000</v>
      </c>
      <c r="BY472" s="216">
        <f ca="1">IF($D472&lt;&gt;"Serviço",0,IF(OR(AND(AUTOEVENTO="Manual",$M472=1),$M472&gt;(ROW(PLE.lastrow)-ROW(PLE.firstrow))),0,IF(OFFSET(PLE!$G$14,$M472,BY$13)="",10^12,OFFSET(PLE!$G$14,$M472,BY$13))))</f>
        <v>1000000000000</v>
      </c>
      <c r="BZ472" s="216">
        <f ca="1">IF($D472&lt;&gt;"Serviço",0,IF(OR(AND(AUTOEVENTO="Manual",$M472=1),$M472&gt;(ROW(PLE.lastrow)-ROW(PLE.firstrow))),0,IF(OFFSET(PLE!$G$14,$M472,BZ$13)="",10^12,OFFSET(PLE!$G$14,$M472,BZ$13))))</f>
        <v>1000000000000</v>
      </c>
      <c r="CA472" s="216">
        <f ca="1">IF($D472&lt;&gt;"Serviço",0,IF(OR(AND(AUTOEVENTO="Manual",$M472=1),$M472&gt;(ROW(PLE.lastrow)-ROW(PLE.firstrow))),0,IF(OFFSET(PLE!$G$14,$M472,CA$13)="",10^12,OFFSET(PLE!$G$14,$M472,CA$13))))</f>
        <v>1000000000000</v>
      </c>
      <c r="CB472" s="216">
        <f ca="1">IF($D472&lt;&gt;"Serviço",0,IF(OR(AND(AUTOEVENTO="Manual",$M472=1),$M472&gt;(ROW(PLE.lastrow)-ROW(PLE.firstrow))),0,IF(OFFSET(PLE!$G$14,$M472,CB$13)="",10^12,OFFSET(PLE!$G$14,$M472,CB$13))))</f>
        <v>1000000000000</v>
      </c>
      <c r="CC472" s="216">
        <f ca="1">IF($D472&lt;&gt;"Serviço",0,IF(OR(AND(AUTOEVENTO="Manual",$M472=1),$M472&gt;(ROW(PLE.lastrow)-ROW(PLE.firstrow))),0,IF(OFFSET(PLE!$G$14,$M472,CC$13)="",10^12,OFFSET(PLE!$G$14,$M472,CC$13))))</f>
        <v>1000000000000</v>
      </c>
      <c r="CD472" s="216">
        <f ca="1">IF($D472&lt;&gt;"Serviço",0,IF(OR(AND(AUTOEVENTO="Manual",$M472=1),$M472&gt;(ROW(PLE.lastrow)-ROW(PLE.firstrow))),0,IF(OFFSET(PLE!$G$14,$M472,CD$13)="",10^12,OFFSET(PLE!$G$14,$M472,CD$13))))</f>
        <v>1000000000000</v>
      </c>
      <c r="CE472" s="216">
        <f ca="1">IF($D472&lt;&gt;"Serviço",0,IF(OR(AND(AUTOEVENTO="Manual",$M472=1),$M472&gt;(ROW(PLE.lastrow)-ROW(PLE.firstrow))),0,IF(OFFSET(PLE!$G$14,$M472,CE$13)="",10^12,OFFSET(PLE!$G$14,$M472,CE$13))))</f>
        <v>1000000000000</v>
      </c>
      <c r="CF472" s="216">
        <f ca="1">IF($D472&lt;&gt;"Serviço",0,IF(OR(AND(AUTOEVENTO="Manual",$M472=1),$M472&gt;(ROW(PLE.lastrow)-ROW(PLE.firstrow))),0,IF(OFFSET(PLE!$G$14,$M472,CF$13)="",10^12,OFFSET(PLE!$G$14,$M472,CF$13))))</f>
        <v>1000000000000</v>
      </c>
      <c r="CG472" s="216">
        <f ca="1">IF($D472&lt;&gt;"Serviço",0,IF(OR(AND(AUTOEVENTO="Manual",$M472=1),$M472&gt;(ROW(PLE.lastrow)-ROW(PLE.firstrow))),0,IF(OFFSET(PLE!$G$14,$M472,CG$13)="",10^12,OFFSET(PLE!$G$14,$M472,CG$13))))</f>
        <v>1000000000000</v>
      </c>
      <c r="CH472" s="216">
        <f ca="1">IF($D472&lt;&gt;"Serviço",0,IF(OR(AND(AUTOEVENTO="Manual",$M472=1),$M472&gt;(ROW(PLE.lastrow)-ROW(PLE.firstrow))),0,IF(OFFSET(PLE!$G$14,$M472,CH$13)="",10^12,OFFSET(PLE!$G$14,$M472,CH$13))))</f>
        <v>1000000000000</v>
      </c>
      <c r="CI472" s="216">
        <f ca="1">IF($D472&lt;&gt;"Serviço",0,IF(OR(AND(AUTOEVENTO="Manual",$M472=1),$M472&gt;(ROW(PLE.lastrow)-ROW(PLE.firstrow))),0,IF(OFFSET(PLE!$G$14,$M472,CI$13)="",10^12,OFFSET(PLE!$G$14,$M472,CI$13))))</f>
        <v>1000000000000</v>
      </c>
      <c r="CJ472" s="216">
        <f ca="1">IF($D472&lt;&gt;"Serviço",0,IF(OR(AND(AUTOEVENTO="Manual",$M472=1),$M472&gt;(ROW(PLE.lastrow)-ROW(PLE.firstrow))),0,IF(OFFSET(PLE!$G$14,$M472,CJ$13)="",10^12,OFFSET(PLE!$G$14,$M472,CJ$13))))</f>
        <v>1000000000000</v>
      </c>
      <c r="CK472" s="216">
        <f ca="1">IF($D472&lt;&gt;"Serviço",0,IF(OR(AND(AUTOEVENTO="Manual",$M472=1),$M472&gt;(ROW(PLE.lastrow)-ROW(PLE.firstrow))),0,IF(OFFSET(PLE!$G$14,$M472,CK$13)="",10^12,OFFSET(PLE!$G$14,$M472,CK$13))))</f>
        <v>1000000000000</v>
      </c>
      <c r="CL472" s="216">
        <f ca="1">IF($D472&lt;&gt;"Serviço",0,IF(OR(AND(AUTOEVENTO="Manual",$M472=1),$M472&gt;(ROW(PLE.lastrow)-ROW(PLE.firstrow))),0,IF(OFFSET(PLE!$G$14,$M472,CL$13)="",10^12,OFFSET(PLE!$G$14,$M472,CL$13))))</f>
        <v>1000000000000</v>
      </c>
      <c r="CM472" s="216">
        <f ca="1">IF($D472&lt;&gt;"Serviço",0,IF(OR(AND(AUTOEVENTO="Manual",$M472=1),$M472&gt;(ROW(PLE.lastrow)-ROW(PLE.firstrow))),0,IF(OFFSET(PLE!$G$14,$M472,CM$13)="",10^12,OFFSET(PLE!$G$14,$M472,CM$13))))</f>
        <v>1000000000000</v>
      </c>
    </row>
    <row r="473" spans="1:91" ht="13.2" x14ac:dyDescent="0.25">
      <c r="A473" s="9">
        <f t="shared" ca="1" si="16"/>
        <v>0</v>
      </c>
      <c r="B473" s="9" t="str">
        <f ca="1">OFFSET(ORÇAMENTO!C$15,ROW(B473)-ROW(B$15),0)</f>
        <v>S</v>
      </c>
      <c r="C473" s="9" t="str">
        <f ca="1">OFFSET(ORÇAMENTO!L$15,ROW(C473)-ROW(C$15),0)</f>
        <v/>
      </c>
      <c r="D473" s="145" t="str">
        <f ca="1">OFFSET(ORÇAMENTO!N$15,ROW(D473)-ROW(D$15),0)</f>
        <v>Serviço</v>
      </c>
      <c r="E473" s="205" t="str">
        <f ca="1">OFFSET(ORÇAMENTO!O$15,ROW(E473)-ROW(E$15),0)</f>
        <v>-</v>
      </c>
      <c r="F473" s="206" t="str">
        <f ca="1">OFFSET(ORÇAMENTO!R$15,ROW(F473)-ROW(F$15),0)</f>
        <v>(abra o arquivo 'Referência 05-2024.xls)</v>
      </c>
      <c r="G473" s="207" t="str">
        <f ca="1">IF($D473&lt;&gt;"Serviço","",OFFSET(ORÇAMENTO!S$15,ROW(G473)-ROW(G$15),0))</f>
        <v>-</v>
      </c>
      <c r="H473" s="151">
        <f ca="1">IF($D473&lt;&gt;"Serviço",0,IF(ACOMPANHAMENTO="BM",ROUND(OFFSET(ORÇAMENTO!AJ$15,ROW(H473)-ROW(H$15),0),15-13*ORÇAMENTO!$AF$7),SUMPRODUCT(($Q$12:$AI$12&lt;&gt;"")*ROUND($Q473:$AI473,15-13*ORÇAMENTO!$AF$7))))</f>
        <v>2</v>
      </c>
      <c r="I473" s="650"/>
      <c r="K473" s="208"/>
      <c r="L473" s="209" t="s">
        <v>257</v>
      </c>
      <c r="M473" s="210">
        <f ca="1">IF($D473&lt;&gt;"Serviço","",IF(AUTOEVENTO="manual",$A473,IF(ISERROR(MATCH($A473,$A$15:OFFSET($A473,-1,0),0)),MAX($M$15:OFFSET(M473,-1,0))+1,INDEX($M$15:OFFSET(M473,-1,0),MATCH($A473,$A$15:OFFSET($A473,-1,0),0)))))</f>
        <v>0</v>
      </c>
      <c r="N473" s="211" t="str">
        <f ca="1">IF($D473&lt;&gt;"Serviço","",IF(AUTOEVENTO="Manual",IF($A473=0,"&lt;-- defina o número do agrupador",OFFSET(EVENTOS!$D$14,$A473,0)),OFFSET($F$15,$A473,0)))</f>
        <v>&lt;-- defina o número do agrupador</v>
      </c>
      <c r="O473" s="212"/>
      <c r="Q473" s="212"/>
      <c r="R473" s="213"/>
      <c r="S473" s="213"/>
      <c r="T473" s="213"/>
      <c r="U473" s="213"/>
      <c r="V473" s="213"/>
      <c r="W473" s="213"/>
      <c r="X473" s="213"/>
      <c r="Y473" s="213"/>
      <c r="Z473" s="214"/>
      <c r="AA473" s="213"/>
      <c r="AB473" s="213"/>
      <c r="AC473" s="213"/>
      <c r="AD473" s="213"/>
      <c r="AE473" s="213"/>
      <c r="AF473" s="213"/>
      <c r="AG473" s="213"/>
      <c r="AH473" s="214"/>
      <c r="AJ473" s="631">
        <f ca="1">IF(AND($D473="Serviço",AJ$12&lt;&gt;0,$H473&gt;0,OR(AUTOEVENTO&lt;&gt;"manual",$M473&lt;&gt;1)),ROUND(OFFSET($P473,0,AJ$13),15-13*ORÇAMENTO!$AF$7)/$H473*OFFSET(ORÇAMENTO!$X$15,ROW(AJ473)-ROW(AJ$15),0),0)</f>
        <v>0</v>
      </c>
      <c r="AK473" s="632">
        <f ca="1">IF(AND($D473="Serviço",AK$12&lt;&gt;0,$H473&gt;0,OR(AUTOEVENTO&lt;&gt;"manual",$M473&lt;&gt;1)),ROUND(OFFSET($P473,0,AK$13),15-13*ORÇAMENTO!$AF$7)/$H473*OFFSET(ORÇAMENTO!$X$15,ROW(AK473)-ROW(AK$15),0),0)</f>
        <v>0</v>
      </c>
      <c r="AL473" s="632">
        <f ca="1">IF(AND($D473="Serviço",AL$12&lt;&gt;0,$H473&gt;0,OR(AUTOEVENTO&lt;&gt;"manual",$M473&lt;&gt;1)),ROUND(OFFSET($P473,0,AL$13),15-13*ORÇAMENTO!$AF$7)/$H473*OFFSET(ORÇAMENTO!$X$15,ROW(AL473)-ROW(AL$15),0),0)</f>
        <v>0</v>
      </c>
      <c r="AM473" s="632">
        <f ca="1">IF(AND($D473="Serviço",AM$12&lt;&gt;0,$H473&gt;0,OR(AUTOEVENTO&lt;&gt;"manual",$M473&lt;&gt;1)),ROUND(OFFSET($P473,0,AM$13),15-13*ORÇAMENTO!$AF$7)/$H473*OFFSET(ORÇAMENTO!$X$15,ROW(AM473)-ROW(AM$15),0),0)</f>
        <v>0</v>
      </c>
      <c r="AN473" s="632">
        <f ca="1">IF(AND($D473="Serviço",AN$12&lt;&gt;0,$H473&gt;0,OR(AUTOEVENTO&lt;&gt;"manual",$M473&lt;&gt;1)),ROUND(OFFSET($P473,0,AN$13),15-13*ORÇAMENTO!$AF$7)/$H473*OFFSET(ORÇAMENTO!$X$15,ROW(AN473)-ROW(AN$15),0),0)</f>
        <v>0</v>
      </c>
      <c r="AO473" s="632">
        <f ca="1">IF(AND($D473="Serviço",AO$12&lt;&gt;0,$H473&gt;0,OR(AUTOEVENTO&lt;&gt;"manual",$M473&lt;&gt;1)),ROUND(OFFSET($P473,0,AO$13),15-13*ORÇAMENTO!$AF$7)/$H473*OFFSET(ORÇAMENTO!$X$15,ROW(AO473)-ROW(AO$15),0),0)</f>
        <v>0</v>
      </c>
      <c r="AP473" s="632">
        <f ca="1">IF(AND($D473="Serviço",AP$12&lt;&gt;0,$H473&gt;0,OR(AUTOEVENTO&lt;&gt;"manual",$M473&lt;&gt;1)),ROUND(OFFSET($P473,0,AP$13),15-13*ORÇAMENTO!$AF$7)/$H473*OFFSET(ORÇAMENTO!$X$15,ROW(AP473)-ROW(AP$15),0),0)</f>
        <v>0</v>
      </c>
      <c r="AQ473" s="632">
        <f ca="1">IF(AND($D473="Serviço",AQ$12&lt;&gt;0,$H473&gt;0,OR(AUTOEVENTO&lt;&gt;"manual",$M473&lt;&gt;1)),ROUND(OFFSET($P473,0,AQ$13),15-13*ORÇAMENTO!$AF$7)/$H473*OFFSET(ORÇAMENTO!$X$15,ROW(AQ473)-ROW(AQ$15),0),0)</f>
        <v>0</v>
      </c>
      <c r="AR473" s="632">
        <f ca="1">IF(AND($D473="Serviço",AR$12&lt;&gt;0,$H473&gt;0,OR(AUTOEVENTO&lt;&gt;"manual",$M473&lt;&gt;1)),ROUND(OFFSET($P473,0,AR$13),15-13*ORÇAMENTO!$AF$7)/$H473*OFFSET(ORÇAMENTO!$X$15,ROW(AR473)-ROW(AR$15),0),0)</f>
        <v>0</v>
      </c>
      <c r="AS473" s="633">
        <f ca="1">IF(AND($D473="Serviço",AS$12&lt;&gt;0,$H473&gt;0,OR(AUTOEVENTO&lt;&gt;"manual",$M473&lt;&gt;1)),ROUND(OFFSET($P473,0,AS$13),15-13*ORÇAMENTO!$AF$7)/$H473*OFFSET(ORÇAMENTO!$X$15,ROW(AS473)-ROW(AS$15),0),0)</f>
        <v>0</v>
      </c>
      <c r="AT473" s="632">
        <f ca="1">IF(AND($D473="Serviço",AT$12&lt;&gt;0,$H473&gt;0,OR(AUTOEVENTO&lt;&gt;"manual",$M473&lt;&gt;1)),ROUND(OFFSET($P473,0,AT$13),15-13*ORÇAMENTO!$AF$7)/$H473*OFFSET(ORÇAMENTO!$X$15,ROW(AT473)-ROW(AT$15),0),0)</f>
        <v>0</v>
      </c>
      <c r="AU473" s="632">
        <f ca="1">IF(AND($D473="Serviço",AU$12&lt;&gt;0,$H473&gt;0,OR(AUTOEVENTO&lt;&gt;"manual",$M473&lt;&gt;1)),ROUND(OFFSET($P473,0,AU$13),15-13*ORÇAMENTO!$AF$7)/$H473*OFFSET(ORÇAMENTO!$X$15,ROW(AU473)-ROW(AU$15),0),0)</f>
        <v>0</v>
      </c>
      <c r="AV473" s="632">
        <f ca="1">IF(AND($D473="Serviço",AV$12&lt;&gt;0,$H473&gt;0,OR(AUTOEVENTO&lt;&gt;"manual",$M473&lt;&gt;1)),ROUND(OFFSET($P473,0,AV$13),15-13*ORÇAMENTO!$AF$7)/$H473*OFFSET(ORÇAMENTO!$X$15,ROW(AV473)-ROW(AV$15),0),0)</f>
        <v>0</v>
      </c>
      <c r="AW473" s="632">
        <f ca="1">IF(AND($D473="Serviço",AW$12&lt;&gt;0,$H473&gt;0,OR(AUTOEVENTO&lt;&gt;"manual",$M473&lt;&gt;1)),ROUND(OFFSET($P473,0,AW$13),15-13*ORÇAMENTO!$AF$7)/$H473*OFFSET(ORÇAMENTO!$X$15,ROW(AW473)-ROW(AW$15),0),0)</f>
        <v>0</v>
      </c>
      <c r="AX473" s="632">
        <f ca="1">IF(AND($D473="Serviço",AX$12&lt;&gt;0,$H473&gt;0,OR(AUTOEVENTO&lt;&gt;"manual",$M473&lt;&gt;1)),ROUND(OFFSET($P473,0,AX$13),15-13*ORÇAMENTO!$AF$7)/$H473*OFFSET(ORÇAMENTO!$X$15,ROW(AX473)-ROW(AX$15),0),0)</f>
        <v>0</v>
      </c>
      <c r="AY473" s="632">
        <f ca="1">IF(AND($D473="Serviço",AY$12&lt;&gt;0,$H473&gt;0,OR(AUTOEVENTO&lt;&gt;"manual",$M473&lt;&gt;1)),ROUND(OFFSET($P473,0,AY$13),15-13*ORÇAMENTO!$AF$7)/$H473*OFFSET(ORÇAMENTO!$X$15,ROW(AY473)-ROW(AY$15),0),0)</f>
        <v>0</v>
      </c>
      <c r="AZ473" s="632">
        <f ca="1">IF(AND($D473="Serviço",AZ$12&lt;&gt;0,$H473&gt;0,OR(AUTOEVENTO&lt;&gt;"manual",$M473&lt;&gt;1)),ROUND(OFFSET($P473,0,AZ$13),15-13*ORÇAMENTO!$AF$7)/$H473*OFFSET(ORÇAMENTO!$X$15,ROW(AZ473)-ROW(AZ$15),0),0)</f>
        <v>0</v>
      </c>
      <c r="BA473" s="633">
        <f ca="1">IF(AND($D473="Serviço",BA$12&lt;&gt;0,$H473&gt;0,OR(AUTOEVENTO&lt;&gt;"manual",$M473&lt;&gt;1)),ROUND(OFFSET($P473,0,BA$13),15-13*ORÇAMENTO!$AF$7)/$H473*OFFSET(ORÇAMENTO!$X$15,ROW(BA473)-ROW(BA$15),0),0)</f>
        <v>0</v>
      </c>
      <c r="BC473" s="215">
        <f ca="1">IF($D473&lt;&gt;"Serviço",0,IF(AND(AUTOEVENTO="Manual",$M473=1),0,IF(OFFSET(CRONOPLE!$F$14,$M473,BC$13)="",10^12,OFFSET(CRONOPLE!$F$14,$M473,BC$13))))</f>
        <v>1000000000000</v>
      </c>
      <c r="BD473" s="215">
        <f ca="1">IF($D473&lt;&gt;"Serviço",0,IF(AND(AUTOEVENTO="Manual",$M473=1),0,IF(OFFSET(CRONOPLE!$F$14,$M473,BD$13)="",10^12,OFFSET(CRONOPLE!$F$14,$M473,BD$13))))</f>
        <v>1000000000000</v>
      </c>
      <c r="BE473" s="215">
        <f ca="1">IF($D473&lt;&gt;"Serviço",0,IF(AND(AUTOEVENTO="Manual",$M473=1),0,IF(OFFSET(CRONOPLE!$F$14,$M473,BE$13)="",10^12,OFFSET(CRONOPLE!$F$14,$M473,BE$13))))</f>
        <v>1000000000000</v>
      </c>
      <c r="BF473" s="215">
        <f ca="1">IF($D473&lt;&gt;"Serviço",0,IF(AND(AUTOEVENTO="Manual",$M473=1),0,IF(OFFSET(CRONOPLE!$F$14,$M473,BF$13)="",10^12,OFFSET(CRONOPLE!$F$14,$M473,BF$13))))</f>
        <v>1000000000000</v>
      </c>
      <c r="BG473" s="215">
        <f ca="1">IF($D473&lt;&gt;"Serviço",0,IF(AND(AUTOEVENTO="Manual",$M473=1),0,IF(OFFSET(CRONOPLE!$F$14,$M473,BG$13)="",10^12,OFFSET(CRONOPLE!$F$14,$M473,BG$13))))</f>
        <v>1000000000000</v>
      </c>
      <c r="BH473" s="215">
        <f ca="1">IF($D473&lt;&gt;"Serviço",0,IF(AND(AUTOEVENTO="Manual",$M473=1),0,IF(OFFSET(CRONOPLE!$F$14,$M473,BH$13)="",10^12,OFFSET(CRONOPLE!$F$14,$M473,BH$13))))</f>
        <v>1000000000000</v>
      </c>
      <c r="BI473" s="215">
        <f ca="1">IF($D473&lt;&gt;"Serviço",0,IF(AND(AUTOEVENTO="Manual",$M473=1),0,IF(OFFSET(CRONOPLE!$F$14,$M473,BI$13)="",10^12,OFFSET(CRONOPLE!$F$14,$M473,BI$13))))</f>
        <v>1000000000000</v>
      </c>
      <c r="BJ473" s="215">
        <f ca="1">IF($D473&lt;&gt;"Serviço",0,IF(AND(AUTOEVENTO="Manual",$M473=1),0,IF(OFFSET(CRONOPLE!$F$14,$M473,BJ$13)="",10^12,OFFSET(CRONOPLE!$F$14,$M473,BJ$13))))</f>
        <v>1000000000000</v>
      </c>
      <c r="BK473" s="215">
        <f ca="1">IF($D473&lt;&gt;"Serviço",0,IF(AND(AUTOEVENTO="Manual",$M473=1),0,IF(OFFSET(CRONOPLE!$F$14,$M473,BK$13)="",10^12,OFFSET(CRONOPLE!$F$14,$M473,BK$13))))</f>
        <v>1000000000000</v>
      </c>
      <c r="BL473" s="215">
        <f ca="1">IF($D473&lt;&gt;"Serviço",0,IF(AND(AUTOEVENTO="Manual",$M473=1),0,IF(OFFSET(CRONOPLE!$F$14,$M473,BL$13)="",10^12,OFFSET(CRONOPLE!$F$14,$M473,BL$13))))</f>
        <v>1000000000000</v>
      </c>
      <c r="BM473" s="215">
        <f ca="1">IF($D473&lt;&gt;"Serviço",0,IF(AND(AUTOEVENTO="Manual",$M473=1),0,IF(OFFSET(CRONOPLE!$F$14,$M473,BM$13)="",10^12,OFFSET(CRONOPLE!$F$14,$M473,BM$13))))</f>
        <v>1000000000000</v>
      </c>
      <c r="BN473" s="215">
        <f ca="1">IF($D473&lt;&gt;"Serviço",0,IF(AND(AUTOEVENTO="Manual",$M473=1),0,IF(OFFSET(CRONOPLE!$F$14,$M473,BN$13)="",10^12,OFFSET(CRONOPLE!$F$14,$M473,BN$13))))</f>
        <v>1000000000000</v>
      </c>
      <c r="BO473" s="215">
        <f ca="1">IF($D473&lt;&gt;"Serviço",0,IF(AND(AUTOEVENTO="Manual",$M473=1),0,IF(OFFSET(CRONOPLE!$F$14,$M473,BO$13)="",10^12,OFFSET(CRONOPLE!$F$14,$M473,BO$13))))</f>
        <v>1000000000000</v>
      </c>
      <c r="BP473" s="215">
        <f ca="1">IF($D473&lt;&gt;"Serviço",0,IF(AND(AUTOEVENTO="Manual",$M473=1),0,IF(OFFSET(CRONOPLE!$F$14,$M473,BP$13)="",10^12,OFFSET(CRONOPLE!$F$14,$M473,BP$13))))</f>
        <v>1000000000000</v>
      </c>
      <c r="BQ473" s="215">
        <f ca="1">IF($D473&lt;&gt;"Serviço",0,IF(AND(AUTOEVENTO="Manual",$M473=1),0,IF(OFFSET(CRONOPLE!$F$14,$M473,BQ$13)="",10^12,OFFSET(CRONOPLE!$F$14,$M473,BQ$13))))</f>
        <v>1000000000000</v>
      </c>
      <c r="BR473" s="215">
        <f ca="1">IF($D473&lt;&gt;"Serviço",0,IF(AND(AUTOEVENTO="Manual",$M473=1),0,IF(OFFSET(CRONOPLE!$F$14,$M473,BR$13)="",10^12,OFFSET(CRONOPLE!$F$14,$M473,BR$13))))</f>
        <v>1000000000000</v>
      </c>
      <c r="BS473" s="215">
        <f ca="1">IF($D473&lt;&gt;"Serviço",0,IF(AND(AUTOEVENTO="Manual",$M473=1),0,IF(OFFSET(CRONOPLE!$F$14,$M473,BS$13)="",10^12,OFFSET(CRONOPLE!$F$14,$M473,BS$13))))</f>
        <v>1000000000000</v>
      </c>
      <c r="BT473" s="215">
        <f ca="1">IF($D473&lt;&gt;"Serviço",0,IF(AND(AUTOEVENTO="Manual",$M473=1),0,IF(OFFSET(CRONOPLE!$F$14,$M473,BT$13)="",10^12,OFFSET(CRONOPLE!$F$14,$M473,BT$13))))</f>
        <v>1000000000000</v>
      </c>
      <c r="BV473" s="216">
        <f ca="1">IF($D473&lt;&gt;"Serviço",0,IF(OR(AND(AUTOEVENTO="Manual",$M473=1),$M473&gt;(ROW(PLE.lastrow)-ROW(PLE.firstrow))),0,IF(OFFSET(PLE!$G$14,$M473,BV$13)="",10^12,OFFSET(PLE!$G$14,$M473,BV$13))))</f>
        <v>1000000000000</v>
      </c>
      <c r="BW473" s="216">
        <f ca="1">IF($D473&lt;&gt;"Serviço",0,IF(OR(AND(AUTOEVENTO="Manual",$M473=1),$M473&gt;(ROW(PLE.lastrow)-ROW(PLE.firstrow))),0,IF(OFFSET(PLE!$G$14,$M473,BW$13)="",10^12,OFFSET(PLE!$G$14,$M473,BW$13))))</f>
        <v>1000000000000</v>
      </c>
      <c r="BX473" s="216">
        <f ca="1">IF($D473&lt;&gt;"Serviço",0,IF(OR(AND(AUTOEVENTO="Manual",$M473=1),$M473&gt;(ROW(PLE.lastrow)-ROW(PLE.firstrow))),0,IF(OFFSET(PLE!$G$14,$M473,BX$13)="",10^12,OFFSET(PLE!$G$14,$M473,BX$13))))</f>
        <v>1000000000000</v>
      </c>
      <c r="BY473" s="216">
        <f ca="1">IF($D473&lt;&gt;"Serviço",0,IF(OR(AND(AUTOEVENTO="Manual",$M473=1),$M473&gt;(ROW(PLE.lastrow)-ROW(PLE.firstrow))),0,IF(OFFSET(PLE!$G$14,$M473,BY$13)="",10^12,OFFSET(PLE!$G$14,$M473,BY$13))))</f>
        <v>1000000000000</v>
      </c>
      <c r="BZ473" s="216">
        <f ca="1">IF($D473&lt;&gt;"Serviço",0,IF(OR(AND(AUTOEVENTO="Manual",$M473=1),$M473&gt;(ROW(PLE.lastrow)-ROW(PLE.firstrow))),0,IF(OFFSET(PLE!$G$14,$M473,BZ$13)="",10^12,OFFSET(PLE!$G$14,$M473,BZ$13))))</f>
        <v>1000000000000</v>
      </c>
      <c r="CA473" s="216">
        <f ca="1">IF($D473&lt;&gt;"Serviço",0,IF(OR(AND(AUTOEVENTO="Manual",$M473=1),$M473&gt;(ROW(PLE.lastrow)-ROW(PLE.firstrow))),0,IF(OFFSET(PLE!$G$14,$M473,CA$13)="",10^12,OFFSET(PLE!$G$14,$M473,CA$13))))</f>
        <v>1000000000000</v>
      </c>
      <c r="CB473" s="216">
        <f ca="1">IF($D473&lt;&gt;"Serviço",0,IF(OR(AND(AUTOEVENTO="Manual",$M473=1),$M473&gt;(ROW(PLE.lastrow)-ROW(PLE.firstrow))),0,IF(OFFSET(PLE!$G$14,$M473,CB$13)="",10^12,OFFSET(PLE!$G$14,$M473,CB$13))))</f>
        <v>1000000000000</v>
      </c>
      <c r="CC473" s="216">
        <f ca="1">IF($D473&lt;&gt;"Serviço",0,IF(OR(AND(AUTOEVENTO="Manual",$M473=1),$M473&gt;(ROW(PLE.lastrow)-ROW(PLE.firstrow))),0,IF(OFFSET(PLE!$G$14,$M473,CC$13)="",10^12,OFFSET(PLE!$G$14,$M473,CC$13))))</f>
        <v>1000000000000</v>
      </c>
      <c r="CD473" s="216">
        <f ca="1">IF($D473&lt;&gt;"Serviço",0,IF(OR(AND(AUTOEVENTO="Manual",$M473=1),$M473&gt;(ROW(PLE.lastrow)-ROW(PLE.firstrow))),0,IF(OFFSET(PLE!$G$14,$M473,CD$13)="",10^12,OFFSET(PLE!$G$14,$M473,CD$13))))</f>
        <v>1000000000000</v>
      </c>
      <c r="CE473" s="216">
        <f ca="1">IF($D473&lt;&gt;"Serviço",0,IF(OR(AND(AUTOEVENTO="Manual",$M473=1),$M473&gt;(ROW(PLE.lastrow)-ROW(PLE.firstrow))),0,IF(OFFSET(PLE!$G$14,$M473,CE$13)="",10^12,OFFSET(PLE!$G$14,$M473,CE$13))))</f>
        <v>1000000000000</v>
      </c>
      <c r="CF473" s="216">
        <f ca="1">IF($D473&lt;&gt;"Serviço",0,IF(OR(AND(AUTOEVENTO="Manual",$M473=1),$M473&gt;(ROW(PLE.lastrow)-ROW(PLE.firstrow))),0,IF(OFFSET(PLE!$G$14,$M473,CF$13)="",10^12,OFFSET(PLE!$G$14,$M473,CF$13))))</f>
        <v>1000000000000</v>
      </c>
      <c r="CG473" s="216">
        <f ca="1">IF($D473&lt;&gt;"Serviço",0,IF(OR(AND(AUTOEVENTO="Manual",$M473=1),$M473&gt;(ROW(PLE.lastrow)-ROW(PLE.firstrow))),0,IF(OFFSET(PLE!$G$14,$M473,CG$13)="",10^12,OFFSET(PLE!$G$14,$M473,CG$13))))</f>
        <v>1000000000000</v>
      </c>
      <c r="CH473" s="216">
        <f ca="1">IF($D473&lt;&gt;"Serviço",0,IF(OR(AND(AUTOEVENTO="Manual",$M473=1),$M473&gt;(ROW(PLE.lastrow)-ROW(PLE.firstrow))),0,IF(OFFSET(PLE!$G$14,$M473,CH$13)="",10^12,OFFSET(PLE!$G$14,$M473,CH$13))))</f>
        <v>1000000000000</v>
      </c>
      <c r="CI473" s="216">
        <f ca="1">IF($D473&lt;&gt;"Serviço",0,IF(OR(AND(AUTOEVENTO="Manual",$M473=1),$M473&gt;(ROW(PLE.lastrow)-ROW(PLE.firstrow))),0,IF(OFFSET(PLE!$G$14,$M473,CI$13)="",10^12,OFFSET(PLE!$G$14,$M473,CI$13))))</f>
        <v>1000000000000</v>
      </c>
      <c r="CJ473" s="216">
        <f ca="1">IF($D473&lt;&gt;"Serviço",0,IF(OR(AND(AUTOEVENTO="Manual",$M473=1),$M473&gt;(ROW(PLE.lastrow)-ROW(PLE.firstrow))),0,IF(OFFSET(PLE!$G$14,$M473,CJ$13)="",10^12,OFFSET(PLE!$G$14,$M473,CJ$13))))</f>
        <v>1000000000000</v>
      </c>
      <c r="CK473" s="216">
        <f ca="1">IF($D473&lt;&gt;"Serviço",0,IF(OR(AND(AUTOEVENTO="Manual",$M473=1),$M473&gt;(ROW(PLE.lastrow)-ROW(PLE.firstrow))),0,IF(OFFSET(PLE!$G$14,$M473,CK$13)="",10^12,OFFSET(PLE!$G$14,$M473,CK$13))))</f>
        <v>1000000000000</v>
      </c>
      <c r="CL473" s="216">
        <f ca="1">IF($D473&lt;&gt;"Serviço",0,IF(OR(AND(AUTOEVENTO="Manual",$M473=1),$M473&gt;(ROW(PLE.lastrow)-ROW(PLE.firstrow))),0,IF(OFFSET(PLE!$G$14,$M473,CL$13)="",10^12,OFFSET(PLE!$G$14,$M473,CL$13))))</f>
        <v>1000000000000</v>
      </c>
      <c r="CM473" s="216">
        <f ca="1">IF($D473&lt;&gt;"Serviço",0,IF(OR(AND(AUTOEVENTO="Manual",$M473=1),$M473&gt;(ROW(PLE.lastrow)-ROW(PLE.firstrow))),0,IF(OFFSET(PLE!$G$14,$M473,CM$13)="",10^12,OFFSET(PLE!$G$14,$M473,CM$13))))</f>
        <v>1000000000000</v>
      </c>
    </row>
    <row r="474" spans="1:91" ht="13.2" x14ac:dyDescent="0.25">
      <c r="A474" s="9">
        <f t="shared" ca="1" si="16"/>
        <v>0</v>
      </c>
      <c r="B474" s="9" t="str">
        <f ca="1">OFFSET(ORÇAMENTO!C$15,ROW(B474)-ROW(B$15),0)</f>
        <v>S</v>
      </c>
      <c r="C474" s="9" t="str">
        <f ca="1">OFFSET(ORÇAMENTO!L$15,ROW(C474)-ROW(C$15),0)</f>
        <v/>
      </c>
      <c r="D474" s="145" t="str">
        <f ca="1">OFFSET(ORÇAMENTO!N$15,ROW(D474)-ROW(D$15),0)</f>
        <v>Serviço</v>
      </c>
      <c r="E474" s="205" t="str">
        <f ca="1">OFFSET(ORÇAMENTO!O$15,ROW(E474)-ROW(E$15),0)</f>
        <v>-</v>
      </c>
      <c r="F474" s="206" t="str">
        <f ca="1">OFFSET(ORÇAMENTO!R$15,ROW(F474)-ROW(F$15),0)</f>
        <v>(abra o arquivo 'Referência 05-2024.xls)</v>
      </c>
      <c r="G474" s="207" t="str">
        <f ca="1">IF($D474&lt;&gt;"Serviço","",OFFSET(ORÇAMENTO!S$15,ROW(G474)-ROW(G$15),0))</f>
        <v>-</v>
      </c>
      <c r="H474" s="151">
        <f ca="1">IF($D474&lt;&gt;"Serviço",0,IF(ACOMPANHAMENTO="BM",ROUND(OFFSET(ORÇAMENTO!AJ$15,ROW(H474)-ROW(H$15),0),15-13*ORÇAMENTO!$AF$7),SUMPRODUCT(($Q$12:$AI$12&lt;&gt;"")*ROUND($Q474:$AI474,15-13*ORÇAMENTO!$AF$7))))</f>
        <v>2</v>
      </c>
      <c r="I474" s="650"/>
      <c r="K474" s="208"/>
      <c r="L474" s="209" t="s">
        <v>257</v>
      </c>
      <c r="M474" s="210">
        <f ca="1">IF($D474&lt;&gt;"Serviço","",IF(AUTOEVENTO="manual",$A474,IF(ISERROR(MATCH($A474,$A$15:OFFSET($A474,-1,0),0)),MAX($M$15:OFFSET(M474,-1,0))+1,INDEX($M$15:OFFSET(M474,-1,0),MATCH($A474,$A$15:OFFSET($A474,-1,0),0)))))</f>
        <v>0</v>
      </c>
      <c r="N474" s="211" t="str">
        <f ca="1">IF($D474&lt;&gt;"Serviço","",IF(AUTOEVENTO="Manual",IF($A474=0,"&lt;-- defina o número do agrupador",OFFSET(EVENTOS!$D$14,$A474,0)),OFFSET($F$15,$A474,0)))</f>
        <v>&lt;-- defina o número do agrupador</v>
      </c>
      <c r="O474" s="212"/>
      <c r="Q474" s="212"/>
      <c r="R474" s="213"/>
      <c r="S474" s="213"/>
      <c r="T474" s="213"/>
      <c r="U474" s="213"/>
      <c r="V474" s="213"/>
      <c r="W474" s="213"/>
      <c r="X474" s="213"/>
      <c r="Y474" s="213"/>
      <c r="Z474" s="214"/>
      <c r="AA474" s="213"/>
      <c r="AB474" s="213"/>
      <c r="AC474" s="213"/>
      <c r="AD474" s="213"/>
      <c r="AE474" s="213"/>
      <c r="AF474" s="213"/>
      <c r="AG474" s="213"/>
      <c r="AH474" s="214"/>
      <c r="AJ474" s="631">
        <f ca="1">IF(AND($D474="Serviço",AJ$12&lt;&gt;0,$H474&gt;0,OR(AUTOEVENTO&lt;&gt;"manual",$M474&lt;&gt;1)),ROUND(OFFSET($P474,0,AJ$13),15-13*ORÇAMENTO!$AF$7)/$H474*OFFSET(ORÇAMENTO!$X$15,ROW(AJ474)-ROW(AJ$15),0),0)</f>
        <v>0</v>
      </c>
      <c r="AK474" s="632">
        <f ca="1">IF(AND($D474="Serviço",AK$12&lt;&gt;0,$H474&gt;0,OR(AUTOEVENTO&lt;&gt;"manual",$M474&lt;&gt;1)),ROUND(OFFSET($P474,0,AK$13),15-13*ORÇAMENTO!$AF$7)/$H474*OFFSET(ORÇAMENTO!$X$15,ROW(AK474)-ROW(AK$15),0),0)</f>
        <v>0</v>
      </c>
      <c r="AL474" s="632">
        <f ca="1">IF(AND($D474="Serviço",AL$12&lt;&gt;0,$H474&gt;0,OR(AUTOEVENTO&lt;&gt;"manual",$M474&lt;&gt;1)),ROUND(OFFSET($P474,0,AL$13),15-13*ORÇAMENTO!$AF$7)/$H474*OFFSET(ORÇAMENTO!$X$15,ROW(AL474)-ROW(AL$15),0),0)</f>
        <v>0</v>
      </c>
      <c r="AM474" s="632">
        <f ca="1">IF(AND($D474="Serviço",AM$12&lt;&gt;0,$H474&gt;0,OR(AUTOEVENTO&lt;&gt;"manual",$M474&lt;&gt;1)),ROUND(OFFSET($P474,0,AM$13),15-13*ORÇAMENTO!$AF$7)/$H474*OFFSET(ORÇAMENTO!$X$15,ROW(AM474)-ROW(AM$15),0),0)</f>
        <v>0</v>
      </c>
      <c r="AN474" s="632">
        <f ca="1">IF(AND($D474="Serviço",AN$12&lt;&gt;0,$H474&gt;0,OR(AUTOEVENTO&lt;&gt;"manual",$M474&lt;&gt;1)),ROUND(OFFSET($P474,0,AN$13),15-13*ORÇAMENTO!$AF$7)/$H474*OFFSET(ORÇAMENTO!$X$15,ROW(AN474)-ROW(AN$15),0),0)</f>
        <v>0</v>
      </c>
      <c r="AO474" s="632">
        <f ca="1">IF(AND($D474="Serviço",AO$12&lt;&gt;0,$H474&gt;0,OR(AUTOEVENTO&lt;&gt;"manual",$M474&lt;&gt;1)),ROUND(OFFSET($P474,0,AO$13),15-13*ORÇAMENTO!$AF$7)/$H474*OFFSET(ORÇAMENTO!$X$15,ROW(AO474)-ROW(AO$15),0),0)</f>
        <v>0</v>
      </c>
      <c r="AP474" s="632">
        <f ca="1">IF(AND($D474="Serviço",AP$12&lt;&gt;0,$H474&gt;0,OR(AUTOEVENTO&lt;&gt;"manual",$M474&lt;&gt;1)),ROUND(OFFSET($P474,0,AP$13),15-13*ORÇAMENTO!$AF$7)/$H474*OFFSET(ORÇAMENTO!$X$15,ROW(AP474)-ROW(AP$15),0),0)</f>
        <v>0</v>
      </c>
      <c r="AQ474" s="632">
        <f ca="1">IF(AND($D474="Serviço",AQ$12&lt;&gt;0,$H474&gt;0,OR(AUTOEVENTO&lt;&gt;"manual",$M474&lt;&gt;1)),ROUND(OFFSET($P474,0,AQ$13),15-13*ORÇAMENTO!$AF$7)/$H474*OFFSET(ORÇAMENTO!$X$15,ROW(AQ474)-ROW(AQ$15),0),0)</f>
        <v>0</v>
      </c>
      <c r="AR474" s="632">
        <f ca="1">IF(AND($D474="Serviço",AR$12&lt;&gt;0,$H474&gt;0,OR(AUTOEVENTO&lt;&gt;"manual",$M474&lt;&gt;1)),ROUND(OFFSET($P474,0,AR$13),15-13*ORÇAMENTO!$AF$7)/$H474*OFFSET(ORÇAMENTO!$X$15,ROW(AR474)-ROW(AR$15),0),0)</f>
        <v>0</v>
      </c>
      <c r="AS474" s="633">
        <f ca="1">IF(AND($D474="Serviço",AS$12&lt;&gt;0,$H474&gt;0,OR(AUTOEVENTO&lt;&gt;"manual",$M474&lt;&gt;1)),ROUND(OFFSET($P474,0,AS$13),15-13*ORÇAMENTO!$AF$7)/$H474*OFFSET(ORÇAMENTO!$X$15,ROW(AS474)-ROW(AS$15),0),0)</f>
        <v>0</v>
      </c>
      <c r="AT474" s="632">
        <f ca="1">IF(AND($D474="Serviço",AT$12&lt;&gt;0,$H474&gt;0,OR(AUTOEVENTO&lt;&gt;"manual",$M474&lt;&gt;1)),ROUND(OFFSET($P474,0,AT$13),15-13*ORÇAMENTO!$AF$7)/$H474*OFFSET(ORÇAMENTO!$X$15,ROW(AT474)-ROW(AT$15),0),0)</f>
        <v>0</v>
      </c>
      <c r="AU474" s="632">
        <f ca="1">IF(AND($D474="Serviço",AU$12&lt;&gt;0,$H474&gt;0,OR(AUTOEVENTO&lt;&gt;"manual",$M474&lt;&gt;1)),ROUND(OFFSET($P474,0,AU$13),15-13*ORÇAMENTO!$AF$7)/$H474*OFFSET(ORÇAMENTO!$X$15,ROW(AU474)-ROW(AU$15),0),0)</f>
        <v>0</v>
      </c>
      <c r="AV474" s="632">
        <f ca="1">IF(AND($D474="Serviço",AV$12&lt;&gt;0,$H474&gt;0,OR(AUTOEVENTO&lt;&gt;"manual",$M474&lt;&gt;1)),ROUND(OFFSET($P474,0,AV$13),15-13*ORÇAMENTO!$AF$7)/$H474*OFFSET(ORÇAMENTO!$X$15,ROW(AV474)-ROW(AV$15),0),0)</f>
        <v>0</v>
      </c>
      <c r="AW474" s="632">
        <f ca="1">IF(AND($D474="Serviço",AW$12&lt;&gt;0,$H474&gt;0,OR(AUTOEVENTO&lt;&gt;"manual",$M474&lt;&gt;1)),ROUND(OFFSET($P474,0,AW$13),15-13*ORÇAMENTO!$AF$7)/$H474*OFFSET(ORÇAMENTO!$X$15,ROW(AW474)-ROW(AW$15),0),0)</f>
        <v>0</v>
      </c>
      <c r="AX474" s="632">
        <f ca="1">IF(AND($D474="Serviço",AX$12&lt;&gt;0,$H474&gt;0,OR(AUTOEVENTO&lt;&gt;"manual",$M474&lt;&gt;1)),ROUND(OFFSET($P474,0,AX$13),15-13*ORÇAMENTO!$AF$7)/$H474*OFFSET(ORÇAMENTO!$X$15,ROW(AX474)-ROW(AX$15),0),0)</f>
        <v>0</v>
      </c>
      <c r="AY474" s="632">
        <f ca="1">IF(AND($D474="Serviço",AY$12&lt;&gt;0,$H474&gt;0,OR(AUTOEVENTO&lt;&gt;"manual",$M474&lt;&gt;1)),ROUND(OFFSET($P474,0,AY$13),15-13*ORÇAMENTO!$AF$7)/$H474*OFFSET(ORÇAMENTO!$X$15,ROW(AY474)-ROW(AY$15),0),0)</f>
        <v>0</v>
      </c>
      <c r="AZ474" s="632">
        <f ca="1">IF(AND($D474="Serviço",AZ$12&lt;&gt;0,$H474&gt;0,OR(AUTOEVENTO&lt;&gt;"manual",$M474&lt;&gt;1)),ROUND(OFFSET($P474,0,AZ$13),15-13*ORÇAMENTO!$AF$7)/$H474*OFFSET(ORÇAMENTO!$X$15,ROW(AZ474)-ROW(AZ$15),0),0)</f>
        <v>0</v>
      </c>
      <c r="BA474" s="633">
        <f ca="1">IF(AND($D474="Serviço",BA$12&lt;&gt;0,$H474&gt;0,OR(AUTOEVENTO&lt;&gt;"manual",$M474&lt;&gt;1)),ROUND(OFFSET($P474,0,BA$13),15-13*ORÇAMENTO!$AF$7)/$H474*OFFSET(ORÇAMENTO!$X$15,ROW(BA474)-ROW(BA$15),0),0)</f>
        <v>0</v>
      </c>
      <c r="BC474" s="215">
        <f ca="1">IF($D474&lt;&gt;"Serviço",0,IF(AND(AUTOEVENTO="Manual",$M474=1),0,IF(OFFSET(CRONOPLE!$F$14,$M474,BC$13)="",10^12,OFFSET(CRONOPLE!$F$14,$M474,BC$13))))</f>
        <v>1000000000000</v>
      </c>
      <c r="BD474" s="215">
        <f ca="1">IF($D474&lt;&gt;"Serviço",0,IF(AND(AUTOEVENTO="Manual",$M474=1),0,IF(OFFSET(CRONOPLE!$F$14,$M474,BD$13)="",10^12,OFFSET(CRONOPLE!$F$14,$M474,BD$13))))</f>
        <v>1000000000000</v>
      </c>
      <c r="BE474" s="215">
        <f ca="1">IF($D474&lt;&gt;"Serviço",0,IF(AND(AUTOEVENTO="Manual",$M474=1),0,IF(OFFSET(CRONOPLE!$F$14,$M474,BE$13)="",10^12,OFFSET(CRONOPLE!$F$14,$M474,BE$13))))</f>
        <v>1000000000000</v>
      </c>
      <c r="BF474" s="215">
        <f ca="1">IF($D474&lt;&gt;"Serviço",0,IF(AND(AUTOEVENTO="Manual",$M474=1),0,IF(OFFSET(CRONOPLE!$F$14,$M474,BF$13)="",10^12,OFFSET(CRONOPLE!$F$14,$M474,BF$13))))</f>
        <v>1000000000000</v>
      </c>
      <c r="BG474" s="215">
        <f ca="1">IF($D474&lt;&gt;"Serviço",0,IF(AND(AUTOEVENTO="Manual",$M474=1),0,IF(OFFSET(CRONOPLE!$F$14,$M474,BG$13)="",10^12,OFFSET(CRONOPLE!$F$14,$M474,BG$13))))</f>
        <v>1000000000000</v>
      </c>
      <c r="BH474" s="215">
        <f ca="1">IF($D474&lt;&gt;"Serviço",0,IF(AND(AUTOEVENTO="Manual",$M474=1),0,IF(OFFSET(CRONOPLE!$F$14,$M474,BH$13)="",10^12,OFFSET(CRONOPLE!$F$14,$M474,BH$13))))</f>
        <v>1000000000000</v>
      </c>
      <c r="BI474" s="215">
        <f ca="1">IF($D474&lt;&gt;"Serviço",0,IF(AND(AUTOEVENTO="Manual",$M474=1),0,IF(OFFSET(CRONOPLE!$F$14,$M474,BI$13)="",10^12,OFFSET(CRONOPLE!$F$14,$M474,BI$13))))</f>
        <v>1000000000000</v>
      </c>
      <c r="BJ474" s="215">
        <f ca="1">IF($D474&lt;&gt;"Serviço",0,IF(AND(AUTOEVENTO="Manual",$M474=1),0,IF(OFFSET(CRONOPLE!$F$14,$M474,BJ$13)="",10^12,OFFSET(CRONOPLE!$F$14,$M474,BJ$13))))</f>
        <v>1000000000000</v>
      </c>
      <c r="BK474" s="215">
        <f ca="1">IF($D474&lt;&gt;"Serviço",0,IF(AND(AUTOEVENTO="Manual",$M474=1),0,IF(OFFSET(CRONOPLE!$F$14,$M474,BK$13)="",10^12,OFFSET(CRONOPLE!$F$14,$M474,BK$13))))</f>
        <v>1000000000000</v>
      </c>
      <c r="BL474" s="215">
        <f ca="1">IF($D474&lt;&gt;"Serviço",0,IF(AND(AUTOEVENTO="Manual",$M474=1),0,IF(OFFSET(CRONOPLE!$F$14,$M474,BL$13)="",10^12,OFFSET(CRONOPLE!$F$14,$M474,BL$13))))</f>
        <v>1000000000000</v>
      </c>
      <c r="BM474" s="215">
        <f ca="1">IF($D474&lt;&gt;"Serviço",0,IF(AND(AUTOEVENTO="Manual",$M474=1),0,IF(OFFSET(CRONOPLE!$F$14,$M474,BM$13)="",10^12,OFFSET(CRONOPLE!$F$14,$M474,BM$13))))</f>
        <v>1000000000000</v>
      </c>
      <c r="BN474" s="215">
        <f ca="1">IF($D474&lt;&gt;"Serviço",0,IF(AND(AUTOEVENTO="Manual",$M474=1),0,IF(OFFSET(CRONOPLE!$F$14,$M474,BN$13)="",10^12,OFFSET(CRONOPLE!$F$14,$M474,BN$13))))</f>
        <v>1000000000000</v>
      </c>
      <c r="BO474" s="215">
        <f ca="1">IF($D474&lt;&gt;"Serviço",0,IF(AND(AUTOEVENTO="Manual",$M474=1),0,IF(OFFSET(CRONOPLE!$F$14,$M474,BO$13)="",10^12,OFFSET(CRONOPLE!$F$14,$M474,BO$13))))</f>
        <v>1000000000000</v>
      </c>
      <c r="BP474" s="215">
        <f ca="1">IF($D474&lt;&gt;"Serviço",0,IF(AND(AUTOEVENTO="Manual",$M474=1),0,IF(OFFSET(CRONOPLE!$F$14,$M474,BP$13)="",10^12,OFFSET(CRONOPLE!$F$14,$M474,BP$13))))</f>
        <v>1000000000000</v>
      </c>
      <c r="BQ474" s="215">
        <f ca="1">IF($D474&lt;&gt;"Serviço",0,IF(AND(AUTOEVENTO="Manual",$M474=1),0,IF(OFFSET(CRONOPLE!$F$14,$M474,BQ$13)="",10^12,OFFSET(CRONOPLE!$F$14,$M474,BQ$13))))</f>
        <v>1000000000000</v>
      </c>
      <c r="BR474" s="215">
        <f ca="1">IF($D474&lt;&gt;"Serviço",0,IF(AND(AUTOEVENTO="Manual",$M474=1),0,IF(OFFSET(CRONOPLE!$F$14,$M474,BR$13)="",10^12,OFFSET(CRONOPLE!$F$14,$M474,BR$13))))</f>
        <v>1000000000000</v>
      </c>
      <c r="BS474" s="215">
        <f ca="1">IF($D474&lt;&gt;"Serviço",0,IF(AND(AUTOEVENTO="Manual",$M474=1),0,IF(OFFSET(CRONOPLE!$F$14,$M474,BS$13)="",10^12,OFFSET(CRONOPLE!$F$14,$M474,BS$13))))</f>
        <v>1000000000000</v>
      </c>
      <c r="BT474" s="215">
        <f ca="1">IF($D474&lt;&gt;"Serviço",0,IF(AND(AUTOEVENTO="Manual",$M474=1),0,IF(OFFSET(CRONOPLE!$F$14,$M474,BT$13)="",10^12,OFFSET(CRONOPLE!$F$14,$M474,BT$13))))</f>
        <v>1000000000000</v>
      </c>
      <c r="BV474" s="216">
        <f ca="1">IF($D474&lt;&gt;"Serviço",0,IF(OR(AND(AUTOEVENTO="Manual",$M474=1),$M474&gt;(ROW(PLE.lastrow)-ROW(PLE.firstrow))),0,IF(OFFSET(PLE!$G$14,$M474,BV$13)="",10^12,OFFSET(PLE!$G$14,$M474,BV$13))))</f>
        <v>1000000000000</v>
      </c>
      <c r="BW474" s="216">
        <f ca="1">IF($D474&lt;&gt;"Serviço",0,IF(OR(AND(AUTOEVENTO="Manual",$M474=1),$M474&gt;(ROW(PLE.lastrow)-ROW(PLE.firstrow))),0,IF(OFFSET(PLE!$G$14,$M474,BW$13)="",10^12,OFFSET(PLE!$G$14,$M474,BW$13))))</f>
        <v>1000000000000</v>
      </c>
      <c r="BX474" s="216">
        <f ca="1">IF($D474&lt;&gt;"Serviço",0,IF(OR(AND(AUTOEVENTO="Manual",$M474=1),$M474&gt;(ROW(PLE.lastrow)-ROW(PLE.firstrow))),0,IF(OFFSET(PLE!$G$14,$M474,BX$13)="",10^12,OFFSET(PLE!$G$14,$M474,BX$13))))</f>
        <v>1000000000000</v>
      </c>
      <c r="BY474" s="216">
        <f ca="1">IF($D474&lt;&gt;"Serviço",0,IF(OR(AND(AUTOEVENTO="Manual",$M474=1),$M474&gt;(ROW(PLE.lastrow)-ROW(PLE.firstrow))),0,IF(OFFSET(PLE!$G$14,$M474,BY$13)="",10^12,OFFSET(PLE!$G$14,$M474,BY$13))))</f>
        <v>1000000000000</v>
      </c>
      <c r="BZ474" s="216">
        <f ca="1">IF($D474&lt;&gt;"Serviço",0,IF(OR(AND(AUTOEVENTO="Manual",$M474=1),$M474&gt;(ROW(PLE.lastrow)-ROW(PLE.firstrow))),0,IF(OFFSET(PLE!$G$14,$M474,BZ$13)="",10^12,OFFSET(PLE!$G$14,$M474,BZ$13))))</f>
        <v>1000000000000</v>
      </c>
      <c r="CA474" s="216">
        <f ca="1">IF($D474&lt;&gt;"Serviço",0,IF(OR(AND(AUTOEVENTO="Manual",$M474=1),$M474&gt;(ROW(PLE.lastrow)-ROW(PLE.firstrow))),0,IF(OFFSET(PLE!$G$14,$M474,CA$13)="",10^12,OFFSET(PLE!$G$14,$M474,CA$13))))</f>
        <v>1000000000000</v>
      </c>
      <c r="CB474" s="216">
        <f ca="1">IF($D474&lt;&gt;"Serviço",0,IF(OR(AND(AUTOEVENTO="Manual",$M474=1),$M474&gt;(ROW(PLE.lastrow)-ROW(PLE.firstrow))),0,IF(OFFSET(PLE!$G$14,$M474,CB$13)="",10^12,OFFSET(PLE!$G$14,$M474,CB$13))))</f>
        <v>1000000000000</v>
      </c>
      <c r="CC474" s="216">
        <f ca="1">IF($D474&lt;&gt;"Serviço",0,IF(OR(AND(AUTOEVENTO="Manual",$M474=1),$M474&gt;(ROW(PLE.lastrow)-ROW(PLE.firstrow))),0,IF(OFFSET(PLE!$G$14,$M474,CC$13)="",10^12,OFFSET(PLE!$G$14,$M474,CC$13))))</f>
        <v>1000000000000</v>
      </c>
      <c r="CD474" s="216">
        <f ca="1">IF($D474&lt;&gt;"Serviço",0,IF(OR(AND(AUTOEVENTO="Manual",$M474=1),$M474&gt;(ROW(PLE.lastrow)-ROW(PLE.firstrow))),0,IF(OFFSET(PLE!$G$14,$M474,CD$13)="",10^12,OFFSET(PLE!$G$14,$M474,CD$13))))</f>
        <v>1000000000000</v>
      </c>
      <c r="CE474" s="216">
        <f ca="1">IF($D474&lt;&gt;"Serviço",0,IF(OR(AND(AUTOEVENTO="Manual",$M474=1),$M474&gt;(ROW(PLE.lastrow)-ROW(PLE.firstrow))),0,IF(OFFSET(PLE!$G$14,$M474,CE$13)="",10^12,OFFSET(PLE!$G$14,$M474,CE$13))))</f>
        <v>1000000000000</v>
      </c>
      <c r="CF474" s="216">
        <f ca="1">IF($D474&lt;&gt;"Serviço",0,IF(OR(AND(AUTOEVENTO="Manual",$M474=1),$M474&gt;(ROW(PLE.lastrow)-ROW(PLE.firstrow))),0,IF(OFFSET(PLE!$G$14,$M474,CF$13)="",10^12,OFFSET(PLE!$G$14,$M474,CF$13))))</f>
        <v>1000000000000</v>
      </c>
      <c r="CG474" s="216">
        <f ca="1">IF($D474&lt;&gt;"Serviço",0,IF(OR(AND(AUTOEVENTO="Manual",$M474=1),$M474&gt;(ROW(PLE.lastrow)-ROW(PLE.firstrow))),0,IF(OFFSET(PLE!$G$14,$M474,CG$13)="",10^12,OFFSET(PLE!$G$14,$M474,CG$13))))</f>
        <v>1000000000000</v>
      </c>
      <c r="CH474" s="216">
        <f ca="1">IF($D474&lt;&gt;"Serviço",0,IF(OR(AND(AUTOEVENTO="Manual",$M474=1),$M474&gt;(ROW(PLE.lastrow)-ROW(PLE.firstrow))),0,IF(OFFSET(PLE!$G$14,$M474,CH$13)="",10^12,OFFSET(PLE!$G$14,$M474,CH$13))))</f>
        <v>1000000000000</v>
      </c>
      <c r="CI474" s="216">
        <f ca="1">IF($D474&lt;&gt;"Serviço",0,IF(OR(AND(AUTOEVENTO="Manual",$M474=1),$M474&gt;(ROW(PLE.lastrow)-ROW(PLE.firstrow))),0,IF(OFFSET(PLE!$G$14,$M474,CI$13)="",10^12,OFFSET(PLE!$G$14,$M474,CI$13))))</f>
        <v>1000000000000</v>
      </c>
      <c r="CJ474" s="216">
        <f ca="1">IF($D474&lt;&gt;"Serviço",0,IF(OR(AND(AUTOEVENTO="Manual",$M474=1),$M474&gt;(ROW(PLE.lastrow)-ROW(PLE.firstrow))),0,IF(OFFSET(PLE!$G$14,$M474,CJ$13)="",10^12,OFFSET(PLE!$G$14,$M474,CJ$13))))</f>
        <v>1000000000000</v>
      </c>
      <c r="CK474" s="216">
        <f ca="1">IF($D474&lt;&gt;"Serviço",0,IF(OR(AND(AUTOEVENTO="Manual",$M474=1),$M474&gt;(ROW(PLE.lastrow)-ROW(PLE.firstrow))),0,IF(OFFSET(PLE!$G$14,$M474,CK$13)="",10^12,OFFSET(PLE!$G$14,$M474,CK$13))))</f>
        <v>1000000000000</v>
      </c>
      <c r="CL474" s="216">
        <f ca="1">IF($D474&lt;&gt;"Serviço",0,IF(OR(AND(AUTOEVENTO="Manual",$M474=1),$M474&gt;(ROW(PLE.lastrow)-ROW(PLE.firstrow))),0,IF(OFFSET(PLE!$G$14,$M474,CL$13)="",10^12,OFFSET(PLE!$G$14,$M474,CL$13))))</f>
        <v>1000000000000</v>
      </c>
      <c r="CM474" s="216">
        <f ca="1">IF($D474&lt;&gt;"Serviço",0,IF(OR(AND(AUTOEVENTO="Manual",$M474=1),$M474&gt;(ROW(PLE.lastrow)-ROW(PLE.firstrow))),0,IF(OFFSET(PLE!$G$14,$M474,CM$13)="",10^12,OFFSET(PLE!$G$14,$M474,CM$13))))</f>
        <v>1000000000000</v>
      </c>
    </row>
    <row r="475" spans="1:91" ht="13.2" x14ac:dyDescent="0.25">
      <c r="A475" s="9">
        <f t="shared" ca="1" si="16"/>
        <v>0</v>
      </c>
      <c r="B475" s="9" t="str">
        <f ca="1">OFFSET(ORÇAMENTO!C$15,ROW(B475)-ROW(B$15),0)</f>
        <v>S</v>
      </c>
      <c r="C475" s="9" t="str">
        <f ca="1">OFFSET(ORÇAMENTO!L$15,ROW(C475)-ROW(C$15),0)</f>
        <v/>
      </c>
      <c r="D475" s="145" t="str">
        <f ca="1">OFFSET(ORÇAMENTO!N$15,ROW(D475)-ROW(D$15),0)</f>
        <v>Serviço</v>
      </c>
      <c r="E475" s="205" t="str">
        <f ca="1">OFFSET(ORÇAMENTO!O$15,ROW(E475)-ROW(E$15),0)</f>
        <v>-</v>
      </c>
      <c r="F475" s="206" t="str">
        <f ca="1">OFFSET(ORÇAMENTO!R$15,ROW(F475)-ROW(F$15),0)</f>
        <v>(abra o arquivo 'Referência 05-2024.xls)</v>
      </c>
      <c r="G475" s="207" t="str">
        <f ca="1">IF($D475&lt;&gt;"Serviço","",OFFSET(ORÇAMENTO!S$15,ROW(G475)-ROW(G$15),0))</f>
        <v>-</v>
      </c>
      <c r="H475" s="151">
        <f ca="1">IF($D475&lt;&gt;"Serviço",0,IF(ACOMPANHAMENTO="BM",ROUND(OFFSET(ORÇAMENTO!AJ$15,ROW(H475)-ROW(H$15),0),15-13*ORÇAMENTO!$AF$7),SUMPRODUCT(($Q$12:$AI$12&lt;&gt;"")*ROUND($Q475:$AI475,15-13*ORÇAMENTO!$AF$7))))</f>
        <v>3</v>
      </c>
      <c r="I475" s="650"/>
      <c r="K475" s="208"/>
      <c r="L475" s="209" t="s">
        <v>257</v>
      </c>
      <c r="M475" s="210">
        <f ca="1">IF($D475&lt;&gt;"Serviço","",IF(AUTOEVENTO="manual",$A475,IF(ISERROR(MATCH($A475,$A$15:OFFSET($A475,-1,0),0)),MAX($M$15:OFFSET(M475,-1,0))+1,INDEX($M$15:OFFSET(M475,-1,0),MATCH($A475,$A$15:OFFSET($A475,-1,0),0)))))</f>
        <v>0</v>
      </c>
      <c r="N475" s="211" t="str">
        <f ca="1">IF($D475&lt;&gt;"Serviço","",IF(AUTOEVENTO="Manual",IF($A475=0,"&lt;-- defina o número do agrupador",OFFSET(EVENTOS!$D$14,$A475,0)),OFFSET($F$15,$A475,0)))</f>
        <v>&lt;-- defina o número do agrupador</v>
      </c>
      <c r="O475" s="212"/>
      <c r="Q475" s="212"/>
      <c r="R475" s="213"/>
      <c r="S475" s="213"/>
      <c r="T475" s="213"/>
      <c r="U475" s="213"/>
      <c r="V475" s="213"/>
      <c r="W475" s="213"/>
      <c r="X475" s="213"/>
      <c r="Y475" s="213"/>
      <c r="Z475" s="214"/>
      <c r="AA475" s="213"/>
      <c r="AB475" s="213"/>
      <c r="AC475" s="213"/>
      <c r="AD475" s="213"/>
      <c r="AE475" s="213"/>
      <c r="AF475" s="213"/>
      <c r="AG475" s="213"/>
      <c r="AH475" s="214"/>
      <c r="AJ475" s="631">
        <f ca="1">IF(AND($D475="Serviço",AJ$12&lt;&gt;0,$H475&gt;0,OR(AUTOEVENTO&lt;&gt;"manual",$M475&lt;&gt;1)),ROUND(OFFSET($P475,0,AJ$13),15-13*ORÇAMENTO!$AF$7)/$H475*OFFSET(ORÇAMENTO!$X$15,ROW(AJ475)-ROW(AJ$15),0),0)</f>
        <v>0</v>
      </c>
      <c r="AK475" s="632">
        <f ca="1">IF(AND($D475="Serviço",AK$12&lt;&gt;0,$H475&gt;0,OR(AUTOEVENTO&lt;&gt;"manual",$M475&lt;&gt;1)),ROUND(OFFSET($P475,0,AK$13),15-13*ORÇAMENTO!$AF$7)/$H475*OFFSET(ORÇAMENTO!$X$15,ROW(AK475)-ROW(AK$15),0),0)</f>
        <v>0</v>
      </c>
      <c r="AL475" s="632">
        <f ca="1">IF(AND($D475="Serviço",AL$12&lt;&gt;0,$H475&gt;0,OR(AUTOEVENTO&lt;&gt;"manual",$M475&lt;&gt;1)),ROUND(OFFSET($P475,0,AL$13),15-13*ORÇAMENTO!$AF$7)/$H475*OFFSET(ORÇAMENTO!$X$15,ROW(AL475)-ROW(AL$15),0),0)</f>
        <v>0</v>
      </c>
      <c r="AM475" s="632">
        <f ca="1">IF(AND($D475="Serviço",AM$12&lt;&gt;0,$H475&gt;0,OR(AUTOEVENTO&lt;&gt;"manual",$M475&lt;&gt;1)),ROUND(OFFSET($P475,0,AM$13),15-13*ORÇAMENTO!$AF$7)/$H475*OFFSET(ORÇAMENTO!$X$15,ROW(AM475)-ROW(AM$15),0),0)</f>
        <v>0</v>
      </c>
      <c r="AN475" s="632">
        <f ca="1">IF(AND($D475="Serviço",AN$12&lt;&gt;0,$H475&gt;0,OR(AUTOEVENTO&lt;&gt;"manual",$M475&lt;&gt;1)),ROUND(OFFSET($P475,0,AN$13),15-13*ORÇAMENTO!$AF$7)/$H475*OFFSET(ORÇAMENTO!$X$15,ROW(AN475)-ROW(AN$15),0),0)</f>
        <v>0</v>
      </c>
      <c r="AO475" s="632">
        <f ca="1">IF(AND($D475="Serviço",AO$12&lt;&gt;0,$H475&gt;0,OR(AUTOEVENTO&lt;&gt;"manual",$M475&lt;&gt;1)),ROUND(OFFSET($P475,0,AO$13),15-13*ORÇAMENTO!$AF$7)/$H475*OFFSET(ORÇAMENTO!$X$15,ROW(AO475)-ROW(AO$15),0),0)</f>
        <v>0</v>
      </c>
      <c r="AP475" s="632">
        <f ca="1">IF(AND($D475="Serviço",AP$12&lt;&gt;0,$H475&gt;0,OR(AUTOEVENTO&lt;&gt;"manual",$M475&lt;&gt;1)),ROUND(OFFSET($P475,0,AP$13),15-13*ORÇAMENTO!$AF$7)/$H475*OFFSET(ORÇAMENTO!$X$15,ROW(AP475)-ROW(AP$15),0),0)</f>
        <v>0</v>
      </c>
      <c r="AQ475" s="632">
        <f ca="1">IF(AND($D475="Serviço",AQ$12&lt;&gt;0,$H475&gt;0,OR(AUTOEVENTO&lt;&gt;"manual",$M475&lt;&gt;1)),ROUND(OFFSET($P475,0,AQ$13),15-13*ORÇAMENTO!$AF$7)/$H475*OFFSET(ORÇAMENTO!$X$15,ROW(AQ475)-ROW(AQ$15),0),0)</f>
        <v>0</v>
      </c>
      <c r="AR475" s="632">
        <f ca="1">IF(AND($D475="Serviço",AR$12&lt;&gt;0,$H475&gt;0,OR(AUTOEVENTO&lt;&gt;"manual",$M475&lt;&gt;1)),ROUND(OFFSET($P475,0,AR$13),15-13*ORÇAMENTO!$AF$7)/$H475*OFFSET(ORÇAMENTO!$X$15,ROW(AR475)-ROW(AR$15),0),0)</f>
        <v>0</v>
      </c>
      <c r="AS475" s="633">
        <f ca="1">IF(AND($D475="Serviço",AS$12&lt;&gt;0,$H475&gt;0,OR(AUTOEVENTO&lt;&gt;"manual",$M475&lt;&gt;1)),ROUND(OFFSET($P475,0,AS$13),15-13*ORÇAMENTO!$AF$7)/$H475*OFFSET(ORÇAMENTO!$X$15,ROW(AS475)-ROW(AS$15),0),0)</f>
        <v>0</v>
      </c>
      <c r="AT475" s="632">
        <f ca="1">IF(AND($D475="Serviço",AT$12&lt;&gt;0,$H475&gt;0,OR(AUTOEVENTO&lt;&gt;"manual",$M475&lt;&gt;1)),ROUND(OFFSET($P475,0,AT$13),15-13*ORÇAMENTO!$AF$7)/$H475*OFFSET(ORÇAMENTO!$X$15,ROW(AT475)-ROW(AT$15),0),0)</f>
        <v>0</v>
      </c>
      <c r="AU475" s="632">
        <f ca="1">IF(AND($D475="Serviço",AU$12&lt;&gt;0,$H475&gt;0,OR(AUTOEVENTO&lt;&gt;"manual",$M475&lt;&gt;1)),ROUND(OFFSET($P475,0,AU$13),15-13*ORÇAMENTO!$AF$7)/$H475*OFFSET(ORÇAMENTO!$X$15,ROW(AU475)-ROW(AU$15),0),0)</f>
        <v>0</v>
      </c>
      <c r="AV475" s="632">
        <f ca="1">IF(AND($D475="Serviço",AV$12&lt;&gt;0,$H475&gt;0,OR(AUTOEVENTO&lt;&gt;"manual",$M475&lt;&gt;1)),ROUND(OFFSET($P475,0,AV$13),15-13*ORÇAMENTO!$AF$7)/$H475*OFFSET(ORÇAMENTO!$X$15,ROW(AV475)-ROW(AV$15),0),0)</f>
        <v>0</v>
      </c>
      <c r="AW475" s="632">
        <f ca="1">IF(AND($D475="Serviço",AW$12&lt;&gt;0,$H475&gt;0,OR(AUTOEVENTO&lt;&gt;"manual",$M475&lt;&gt;1)),ROUND(OFFSET($P475,0,AW$13),15-13*ORÇAMENTO!$AF$7)/$H475*OFFSET(ORÇAMENTO!$X$15,ROW(AW475)-ROW(AW$15),0),0)</f>
        <v>0</v>
      </c>
      <c r="AX475" s="632">
        <f ca="1">IF(AND($D475="Serviço",AX$12&lt;&gt;0,$H475&gt;0,OR(AUTOEVENTO&lt;&gt;"manual",$M475&lt;&gt;1)),ROUND(OFFSET($P475,0,AX$13),15-13*ORÇAMENTO!$AF$7)/$H475*OFFSET(ORÇAMENTO!$X$15,ROW(AX475)-ROW(AX$15),0),0)</f>
        <v>0</v>
      </c>
      <c r="AY475" s="632">
        <f ca="1">IF(AND($D475="Serviço",AY$12&lt;&gt;0,$H475&gt;0,OR(AUTOEVENTO&lt;&gt;"manual",$M475&lt;&gt;1)),ROUND(OFFSET($P475,0,AY$13),15-13*ORÇAMENTO!$AF$7)/$H475*OFFSET(ORÇAMENTO!$X$15,ROW(AY475)-ROW(AY$15),0),0)</f>
        <v>0</v>
      </c>
      <c r="AZ475" s="632">
        <f ca="1">IF(AND($D475="Serviço",AZ$12&lt;&gt;0,$H475&gt;0,OR(AUTOEVENTO&lt;&gt;"manual",$M475&lt;&gt;1)),ROUND(OFFSET($P475,0,AZ$13),15-13*ORÇAMENTO!$AF$7)/$H475*OFFSET(ORÇAMENTO!$X$15,ROW(AZ475)-ROW(AZ$15),0),0)</f>
        <v>0</v>
      </c>
      <c r="BA475" s="633">
        <f ca="1">IF(AND($D475="Serviço",BA$12&lt;&gt;0,$H475&gt;0,OR(AUTOEVENTO&lt;&gt;"manual",$M475&lt;&gt;1)),ROUND(OFFSET($P475,0,BA$13),15-13*ORÇAMENTO!$AF$7)/$H475*OFFSET(ORÇAMENTO!$X$15,ROW(BA475)-ROW(BA$15),0),0)</f>
        <v>0</v>
      </c>
      <c r="BC475" s="215">
        <f ca="1">IF($D475&lt;&gt;"Serviço",0,IF(AND(AUTOEVENTO="Manual",$M475=1),0,IF(OFFSET(CRONOPLE!$F$14,$M475,BC$13)="",10^12,OFFSET(CRONOPLE!$F$14,$M475,BC$13))))</f>
        <v>1000000000000</v>
      </c>
      <c r="BD475" s="215">
        <f ca="1">IF($D475&lt;&gt;"Serviço",0,IF(AND(AUTOEVENTO="Manual",$M475=1),0,IF(OFFSET(CRONOPLE!$F$14,$M475,BD$13)="",10^12,OFFSET(CRONOPLE!$F$14,$M475,BD$13))))</f>
        <v>1000000000000</v>
      </c>
      <c r="BE475" s="215">
        <f ca="1">IF($D475&lt;&gt;"Serviço",0,IF(AND(AUTOEVENTO="Manual",$M475=1),0,IF(OFFSET(CRONOPLE!$F$14,$M475,BE$13)="",10^12,OFFSET(CRONOPLE!$F$14,$M475,BE$13))))</f>
        <v>1000000000000</v>
      </c>
      <c r="BF475" s="215">
        <f ca="1">IF($D475&lt;&gt;"Serviço",0,IF(AND(AUTOEVENTO="Manual",$M475=1),0,IF(OFFSET(CRONOPLE!$F$14,$M475,BF$13)="",10^12,OFFSET(CRONOPLE!$F$14,$M475,BF$13))))</f>
        <v>1000000000000</v>
      </c>
      <c r="BG475" s="215">
        <f ca="1">IF($D475&lt;&gt;"Serviço",0,IF(AND(AUTOEVENTO="Manual",$M475=1),0,IF(OFFSET(CRONOPLE!$F$14,$M475,BG$13)="",10^12,OFFSET(CRONOPLE!$F$14,$M475,BG$13))))</f>
        <v>1000000000000</v>
      </c>
      <c r="BH475" s="215">
        <f ca="1">IF($D475&lt;&gt;"Serviço",0,IF(AND(AUTOEVENTO="Manual",$M475=1),0,IF(OFFSET(CRONOPLE!$F$14,$M475,BH$13)="",10^12,OFFSET(CRONOPLE!$F$14,$M475,BH$13))))</f>
        <v>1000000000000</v>
      </c>
      <c r="BI475" s="215">
        <f ca="1">IF($D475&lt;&gt;"Serviço",0,IF(AND(AUTOEVENTO="Manual",$M475=1),0,IF(OFFSET(CRONOPLE!$F$14,$M475,BI$13)="",10^12,OFFSET(CRONOPLE!$F$14,$M475,BI$13))))</f>
        <v>1000000000000</v>
      </c>
      <c r="BJ475" s="215">
        <f ca="1">IF($D475&lt;&gt;"Serviço",0,IF(AND(AUTOEVENTO="Manual",$M475=1),0,IF(OFFSET(CRONOPLE!$F$14,$M475,BJ$13)="",10^12,OFFSET(CRONOPLE!$F$14,$M475,BJ$13))))</f>
        <v>1000000000000</v>
      </c>
      <c r="BK475" s="215">
        <f ca="1">IF($D475&lt;&gt;"Serviço",0,IF(AND(AUTOEVENTO="Manual",$M475=1),0,IF(OFFSET(CRONOPLE!$F$14,$M475,BK$13)="",10^12,OFFSET(CRONOPLE!$F$14,$M475,BK$13))))</f>
        <v>1000000000000</v>
      </c>
      <c r="BL475" s="215">
        <f ca="1">IF($D475&lt;&gt;"Serviço",0,IF(AND(AUTOEVENTO="Manual",$M475=1),0,IF(OFFSET(CRONOPLE!$F$14,$M475,BL$13)="",10^12,OFFSET(CRONOPLE!$F$14,$M475,BL$13))))</f>
        <v>1000000000000</v>
      </c>
      <c r="BM475" s="215">
        <f ca="1">IF($D475&lt;&gt;"Serviço",0,IF(AND(AUTOEVENTO="Manual",$M475=1),0,IF(OFFSET(CRONOPLE!$F$14,$M475,BM$13)="",10^12,OFFSET(CRONOPLE!$F$14,$M475,BM$13))))</f>
        <v>1000000000000</v>
      </c>
      <c r="BN475" s="215">
        <f ca="1">IF($D475&lt;&gt;"Serviço",0,IF(AND(AUTOEVENTO="Manual",$M475=1),0,IF(OFFSET(CRONOPLE!$F$14,$M475,BN$13)="",10^12,OFFSET(CRONOPLE!$F$14,$M475,BN$13))))</f>
        <v>1000000000000</v>
      </c>
      <c r="BO475" s="215">
        <f ca="1">IF($D475&lt;&gt;"Serviço",0,IF(AND(AUTOEVENTO="Manual",$M475=1),0,IF(OFFSET(CRONOPLE!$F$14,$M475,BO$13)="",10^12,OFFSET(CRONOPLE!$F$14,$M475,BO$13))))</f>
        <v>1000000000000</v>
      </c>
      <c r="BP475" s="215">
        <f ca="1">IF($D475&lt;&gt;"Serviço",0,IF(AND(AUTOEVENTO="Manual",$M475=1),0,IF(OFFSET(CRONOPLE!$F$14,$M475,BP$13)="",10^12,OFFSET(CRONOPLE!$F$14,$M475,BP$13))))</f>
        <v>1000000000000</v>
      </c>
      <c r="BQ475" s="215">
        <f ca="1">IF($D475&lt;&gt;"Serviço",0,IF(AND(AUTOEVENTO="Manual",$M475=1),0,IF(OFFSET(CRONOPLE!$F$14,$M475,BQ$13)="",10^12,OFFSET(CRONOPLE!$F$14,$M475,BQ$13))))</f>
        <v>1000000000000</v>
      </c>
      <c r="BR475" s="215">
        <f ca="1">IF($D475&lt;&gt;"Serviço",0,IF(AND(AUTOEVENTO="Manual",$M475=1),0,IF(OFFSET(CRONOPLE!$F$14,$M475,BR$13)="",10^12,OFFSET(CRONOPLE!$F$14,$M475,BR$13))))</f>
        <v>1000000000000</v>
      </c>
      <c r="BS475" s="215">
        <f ca="1">IF($D475&lt;&gt;"Serviço",0,IF(AND(AUTOEVENTO="Manual",$M475=1),0,IF(OFFSET(CRONOPLE!$F$14,$M475,BS$13)="",10^12,OFFSET(CRONOPLE!$F$14,$M475,BS$13))))</f>
        <v>1000000000000</v>
      </c>
      <c r="BT475" s="215">
        <f ca="1">IF($D475&lt;&gt;"Serviço",0,IF(AND(AUTOEVENTO="Manual",$M475=1),0,IF(OFFSET(CRONOPLE!$F$14,$M475,BT$13)="",10^12,OFFSET(CRONOPLE!$F$14,$M475,BT$13))))</f>
        <v>1000000000000</v>
      </c>
      <c r="BV475" s="216">
        <f ca="1">IF($D475&lt;&gt;"Serviço",0,IF(OR(AND(AUTOEVENTO="Manual",$M475=1),$M475&gt;(ROW(PLE.lastrow)-ROW(PLE.firstrow))),0,IF(OFFSET(PLE!$G$14,$M475,BV$13)="",10^12,OFFSET(PLE!$G$14,$M475,BV$13))))</f>
        <v>1000000000000</v>
      </c>
      <c r="BW475" s="216">
        <f ca="1">IF($D475&lt;&gt;"Serviço",0,IF(OR(AND(AUTOEVENTO="Manual",$M475=1),$M475&gt;(ROW(PLE.lastrow)-ROW(PLE.firstrow))),0,IF(OFFSET(PLE!$G$14,$M475,BW$13)="",10^12,OFFSET(PLE!$G$14,$M475,BW$13))))</f>
        <v>1000000000000</v>
      </c>
      <c r="BX475" s="216">
        <f ca="1">IF($D475&lt;&gt;"Serviço",0,IF(OR(AND(AUTOEVENTO="Manual",$M475=1),$M475&gt;(ROW(PLE.lastrow)-ROW(PLE.firstrow))),0,IF(OFFSET(PLE!$G$14,$M475,BX$13)="",10^12,OFFSET(PLE!$G$14,$M475,BX$13))))</f>
        <v>1000000000000</v>
      </c>
      <c r="BY475" s="216">
        <f ca="1">IF($D475&lt;&gt;"Serviço",0,IF(OR(AND(AUTOEVENTO="Manual",$M475=1),$M475&gt;(ROW(PLE.lastrow)-ROW(PLE.firstrow))),0,IF(OFFSET(PLE!$G$14,$M475,BY$13)="",10^12,OFFSET(PLE!$G$14,$M475,BY$13))))</f>
        <v>1000000000000</v>
      </c>
      <c r="BZ475" s="216">
        <f ca="1">IF($D475&lt;&gt;"Serviço",0,IF(OR(AND(AUTOEVENTO="Manual",$M475=1),$M475&gt;(ROW(PLE.lastrow)-ROW(PLE.firstrow))),0,IF(OFFSET(PLE!$G$14,$M475,BZ$13)="",10^12,OFFSET(PLE!$G$14,$M475,BZ$13))))</f>
        <v>1000000000000</v>
      </c>
      <c r="CA475" s="216">
        <f ca="1">IF($D475&lt;&gt;"Serviço",0,IF(OR(AND(AUTOEVENTO="Manual",$M475=1),$M475&gt;(ROW(PLE.lastrow)-ROW(PLE.firstrow))),0,IF(OFFSET(PLE!$G$14,$M475,CA$13)="",10^12,OFFSET(PLE!$G$14,$M475,CA$13))))</f>
        <v>1000000000000</v>
      </c>
      <c r="CB475" s="216">
        <f ca="1">IF($D475&lt;&gt;"Serviço",0,IF(OR(AND(AUTOEVENTO="Manual",$M475=1),$M475&gt;(ROW(PLE.lastrow)-ROW(PLE.firstrow))),0,IF(OFFSET(PLE!$G$14,$M475,CB$13)="",10^12,OFFSET(PLE!$G$14,$M475,CB$13))))</f>
        <v>1000000000000</v>
      </c>
      <c r="CC475" s="216">
        <f ca="1">IF($D475&lt;&gt;"Serviço",0,IF(OR(AND(AUTOEVENTO="Manual",$M475=1),$M475&gt;(ROW(PLE.lastrow)-ROW(PLE.firstrow))),0,IF(OFFSET(PLE!$G$14,$M475,CC$13)="",10^12,OFFSET(PLE!$G$14,$M475,CC$13))))</f>
        <v>1000000000000</v>
      </c>
      <c r="CD475" s="216">
        <f ca="1">IF($D475&lt;&gt;"Serviço",0,IF(OR(AND(AUTOEVENTO="Manual",$M475=1),$M475&gt;(ROW(PLE.lastrow)-ROW(PLE.firstrow))),0,IF(OFFSET(PLE!$G$14,$M475,CD$13)="",10^12,OFFSET(PLE!$G$14,$M475,CD$13))))</f>
        <v>1000000000000</v>
      </c>
      <c r="CE475" s="216">
        <f ca="1">IF($D475&lt;&gt;"Serviço",0,IF(OR(AND(AUTOEVENTO="Manual",$M475=1),$M475&gt;(ROW(PLE.lastrow)-ROW(PLE.firstrow))),0,IF(OFFSET(PLE!$G$14,$M475,CE$13)="",10^12,OFFSET(PLE!$G$14,$M475,CE$13))))</f>
        <v>1000000000000</v>
      </c>
      <c r="CF475" s="216">
        <f ca="1">IF($D475&lt;&gt;"Serviço",0,IF(OR(AND(AUTOEVENTO="Manual",$M475=1),$M475&gt;(ROW(PLE.lastrow)-ROW(PLE.firstrow))),0,IF(OFFSET(PLE!$G$14,$M475,CF$13)="",10^12,OFFSET(PLE!$G$14,$M475,CF$13))))</f>
        <v>1000000000000</v>
      </c>
      <c r="CG475" s="216">
        <f ca="1">IF($D475&lt;&gt;"Serviço",0,IF(OR(AND(AUTOEVENTO="Manual",$M475=1),$M475&gt;(ROW(PLE.lastrow)-ROW(PLE.firstrow))),0,IF(OFFSET(PLE!$G$14,$M475,CG$13)="",10^12,OFFSET(PLE!$G$14,$M475,CG$13))))</f>
        <v>1000000000000</v>
      </c>
      <c r="CH475" s="216">
        <f ca="1">IF($D475&lt;&gt;"Serviço",0,IF(OR(AND(AUTOEVENTO="Manual",$M475=1),$M475&gt;(ROW(PLE.lastrow)-ROW(PLE.firstrow))),0,IF(OFFSET(PLE!$G$14,$M475,CH$13)="",10^12,OFFSET(PLE!$G$14,$M475,CH$13))))</f>
        <v>1000000000000</v>
      </c>
      <c r="CI475" s="216">
        <f ca="1">IF($D475&lt;&gt;"Serviço",0,IF(OR(AND(AUTOEVENTO="Manual",$M475=1),$M475&gt;(ROW(PLE.lastrow)-ROW(PLE.firstrow))),0,IF(OFFSET(PLE!$G$14,$M475,CI$13)="",10^12,OFFSET(PLE!$G$14,$M475,CI$13))))</f>
        <v>1000000000000</v>
      </c>
      <c r="CJ475" s="216">
        <f ca="1">IF($D475&lt;&gt;"Serviço",0,IF(OR(AND(AUTOEVENTO="Manual",$M475=1),$M475&gt;(ROW(PLE.lastrow)-ROW(PLE.firstrow))),0,IF(OFFSET(PLE!$G$14,$M475,CJ$13)="",10^12,OFFSET(PLE!$G$14,$M475,CJ$13))))</f>
        <v>1000000000000</v>
      </c>
      <c r="CK475" s="216">
        <f ca="1">IF($D475&lt;&gt;"Serviço",0,IF(OR(AND(AUTOEVENTO="Manual",$M475=1),$M475&gt;(ROW(PLE.lastrow)-ROW(PLE.firstrow))),0,IF(OFFSET(PLE!$G$14,$M475,CK$13)="",10^12,OFFSET(PLE!$G$14,$M475,CK$13))))</f>
        <v>1000000000000</v>
      </c>
      <c r="CL475" s="216">
        <f ca="1">IF($D475&lt;&gt;"Serviço",0,IF(OR(AND(AUTOEVENTO="Manual",$M475=1),$M475&gt;(ROW(PLE.lastrow)-ROW(PLE.firstrow))),0,IF(OFFSET(PLE!$G$14,$M475,CL$13)="",10^12,OFFSET(PLE!$G$14,$M475,CL$13))))</f>
        <v>1000000000000</v>
      </c>
      <c r="CM475" s="216">
        <f ca="1">IF($D475&lt;&gt;"Serviço",0,IF(OR(AND(AUTOEVENTO="Manual",$M475=1),$M475&gt;(ROW(PLE.lastrow)-ROW(PLE.firstrow))),0,IF(OFFSET(PLE!$G$14,$M475,CM$13)="",10^12,OFFSET(PLE!$G$14,$M475,CM$13))))</f>
        <v>1000000000000</v>
      </c>
    </row>
    <row r="476" spans="1:91" ht="13.2" x14ac:dyDescent="0.25">
      <c r="A476" s="9">
        <f t="shared" ca="1" si="16"/>
        <v>0</v>
      </c>
      <c r="B476" s="9" t="str">
        <f ca="1">OFFSET(ORÇAMENTO!C$15,ROW(B476)-ROW(B$15),0)</f>
        <v>S</v>
      </c>
      <c r="C476" s="9" t="str">
        <f ca="1">OFFSET(ORÇAMENTO!L$15,ROW(C476)-ROW(C$15),0)</f>
        <v/>
      </c>
      <c r="D476" s="145" t="str">
        <f ca="1">OFFSET(ORÇAMENTO!N$15,ROW(D476)-ROW(D$15),0)</f>
        <v>Serviço</v>
      </c>
      <c r="E476" s="205" t="str">
        <f ca="1">OFFSET(ORÇAMENTO!O$15,ROW(E476)-ROW(E$15),0)</f>
        <v>-</v>
      </c>
      <c r="F476" s="206" t="str">
        <f ca="1">OFFSET(ORÇAMENTO!R$15,ROW(F476)-ROW(F$15),0)</f>
        <v>(abra o arquivo 'Referência 05-2024.xls)</v>
      </c>
      <c r="G476" s="207" t="str">
        <f ca="1">IF($D476&lt;&gt;"Serviço","",OFFSET(ORÇAMENTO!S$15,ROW(G476)-ROW(G$15),0))</f>
        <v>-</v>
      </c>
      <c r="H476" s="151">
        <f ca="1">IF($D476&lt;&gt;"Serviço",0,IF(ACOMPANHAMENTO="BM",ROUND(OFFSET(ORÇAMENTO!AJ$15,ROW(H476)-ROW(H$15),0),15-13*ORÇAMENTO!$AF$7),SUMPRODUCT(($Q$12:$AI$12&lt;&gt;"")*ROUND($Q476:$AI476,15-13*ORÇAMENTO!$AF$7))))</f>
        <v>10</v>
      </c>
      <c r="I476" s="650"/>
      <c r="K476" s="208"/>
      <c r="L476" s="209" t="s">
        <v>257</v>
      </c>
      <c r="M476" s="210">
        <f ca="1">IF($D476&lt;&gt;"Serviço","",IF(AUTOEVENTO="manual",$A476,IF(ISERROR(MATCH($A476,$A$15:OFFSET($A476,-1,0),0)),MAX($M$15:OFFSET(M476,-1,0))+1,INDEX($M$15:OFFSET(M476,-1,0),MATCH($A476,$A$15:OFFSET($A476,-1,0),0)))))</f>
        <v>0</v>
      </c>
      <c r="N476" s="211" t="str">
        <f ca="1">IF($D476&lt;&gt;"Serviço","",IF(AUTOEVENTO="Manual",IF($A476=0,"&lt;-- defina o número do agrupador",OFFSET(EVENTOS!$D$14,$A476,0)),OFFSET($F$15,$A476,0)))</f>
        <v>&lt;-- defina o número do agrupador</v>
      </c>
      <c r="O476" s="212"/>
      <c r="Q476" s="212"/>
      <c r="R476" s="213"/>
      <c r="S476" s="213"/>
      <c r="T476" s="213"/>
      <c r="U476" s="213"/>
      <c r="V476" s="213"/>
      <c r="W476" s="213"/>
      <c r="X476" s="213"/>
      <c r="Y476" s="213"/>
      <c r="Z476" s="214"/>
      <c r="AA476" s="213"/>
      <c r="AB476" s="213"/>
      <c r="AC476" s="213"/>
      <c r="AD476" s="213"/>
      <c r="AE476" s="213"/>
      <c r="AF476" s="213"/>
      <c r="AG476" s="213"/>
      <c r="AH476" s="214"/>
      <c r="AJ476" s="631">
        <f ca="1">IF(AND($D476="Serviço",AJ$12&lt;&gt;0,$H476&gt;0,OR(AUTOEVENTO&lt;&gt;"manual",$M476&lt;&gt;1)),ROUND(OFFSET($P476,0,AJ$13),15-13*ORÇAMENTO!$AF$7)/$H476*OFFSET(ORÇAMENTO!$X$15,ROW(AJ476)-ROW(AJ$15),0),0)</f>
        <v>0</v>
      </c>
      <c r="AK476" s="632">
        <f ca="1">IF(AND($D476="Serviço",AK$12&lt;&gt;0,$H476&gt;0,OR(AUTOEVENTO&lt;&gt;"manual",$M476&lt;&gt;1)),ROUND(OFFSET($P476,0,AK$13),15-13*ORÇAMENTO!$AF$7)/$H476*OFFSET(ORÇAMENTO!$X$15,ROW(AK476)-ROW(AK$15),0),0)</f>
        <v>0</v>
      </c>
      <c r="AL476" s="632">
        <f ca="1">IF(AND($D476="Serviço",AL$12&lt;&gt;0,$H476&gt;0,OR(AUTOEVENTO&lt;&gt;"manual",$M476&lt;&gt;1)),ROUND(OFFSET($P476,0,AL$13),15-13*ORÇAMENTO!$AF$7)/$H476*OFFSET(ORÇAMENTO!$X$15,ROW(AL476)-ROW(AL$15),0),0)</f>
        <v>0</v>
      </c>
      <c r="AM476" s="632">
        <f ca="1">IF(AND($D476="Serviço",AM$12&lt;&gt;0,$H476&gt;0,OR(AUTOEVENTO&lt;&gt;"manual",$M476&lt;&gt;1)),ROUND(OFFSET($P476,0,AM$13),15-13*ORÇAMENTO!$AF$7)/$H476*OFFSET(ORÇAMENTO!$X$15,ROW(AM476)-ROW(AM$15),0),0)</f>
        <v>0</v>
      </c>
      <c r="AN476" s="632">
        <f ca="1">IF(AND($D476="Serviço",AN$12&lt;&gt;0,$H476&gt;0,OR(AUTOEVENTO&lt;&gt;"manual",$M476&lt;&gt;1)),ROUND(OFFSET($P476,0,AN$13),15-13*ORÇAMENTO!$AF$7)/$H476*OFFSET(ORÇAMENTO!$X$15,ROW(AN476)-ROW(AN$15),0),0)</f>
        <v>0</v>
      </c>
      <c r="AO476" s="632">
        <f ca="1">IF(AND($D476="Serviço",AO$12&lt;&gt;0,$H476&gt;0,OR(AUTOEVENTO&lt;&gt;"manual",$M476&lt;&gt;1)),ROUND(OFFSET($P476,0,AO$13),15-13*ORÇAMENTO!$AF$7)/$H476*OFFSET(ORÇAMENTO!$X$15,ROW(AO476)-ROW(AO$15),0),0)</f>
        <v>0</v>
      </c>
      <c r="AP476" s="632">
        <f ca="1">IF(AND($D476="Serviço",AP$12&lt;&gt;0,$H476&gt;0,OR(AUTOEVENTO&lt;&gt;"manual",$M476&lt;&gt;1)),ROUND(OFFSET($P476,0,AP$13),15-13*ORÇAMENTO!$AF$7)/$H476*OFFSET(ORÇAMENTO!$X$15,ROW(AP476)-ROW(AP$15),0),0)</f>
        <v>0</v>
      </c>
      <c r="AQ476" s="632">
        <f ca="1">IF(AND($D476="Serviço",AQ$12&lt;&gt;0,$H476&gt;0,OR(AUTOEVENTO&lt;&gt;"manual",$M476&lt;&gt;1)),ROUND(OFFSET($P476,0,AQ$13),15-13*ORÇAMENTO!$AF$7)/$H476*OFFSET(ORÇAMENTO!$X$15,ROW(AQ476)-ROW(AQ$15),0),0)</f>
        <v>0</v>
      </c>
      <c r="AR476" s="632">
        <f ca="1">IF(AND($D476="Serviço",AR$12&lt;&gt;0,$H476&gt;0,OR(AUTOEVENTO&lt;&gt;"manual",$M476&lt;&gt;1)),ROUND(OFFSET($P476,0,AR$13),15-13*ORÇAMENTO!$AF$7)/$H476*OFFSET(ORÇAMENTO!$X$15,ROW(AR476)-ROW(AR$15),0),0)</f>
        <v>0</v>
      </c>
      <c r="AS476" s="633">
        <f ca="1">IF(AND($D476="Serviço",AS$12&lt;&gt;0,$H476&gt;0,OR(AUTOEVENTO&lt;&gt;"manual",$M476&lt;&gt;1)),ROUND(OFFSET($P476,0,AS$13),15-13*ORÇAMENTO!$AF$7)/$H476*OFFSET(ORÇAMENTO!$X$15,ROW(AS476)-ROW(AS$15),0),0)</f>
        <v>0</v>
      </c>
      <c r="AT476" s="632">
        <f ca="1">IF(AND($D476="Serviço",AT$12&lt;&gt;0,$H476&gt;0,OR(AUTOEVENTO&lt;&gt;"manual",$M476&lt;&gt;1)),ROUND(OFFSET($P476,0,AT$13),15-13*ORÇAMENTO!$AF$7)/$H476*OFFSET(ORÇAMENTO!$X$15,ROW(AT476)-ROW(AT$15),0),0)</f>
        <v>0</v>
      </c>
      <c r="AU476" s="632">
        <f ca="1">IF(AND($D476="Serviço",AU$12&lt;&gt;0,$H476&gt;0,OR(AUTOEVENTO&lt;&gt;"manual",$M476&lt;&gt;1)),ROUND(OFFSET($P476,0,AU$13),15-13*ORÇAMENTO!$AF$7)/$H476*OFFSET(ORÇAMENTO!$X$15,ROW(AU476)-ROW(AU$15),0),0)</f>
        <v>0</v>
      </c>
      <c r="AV476" s="632">
        <f ca="1">IF(AND($D476="Serviço",AV$12&lt;&gt;0,$H476&gt;0,OR(AUTOEVENTO&lt;&gt;"manual",$M476&lt;&gt;1)),ROUND(OFFSET($P476,0,AV$13),15-13*ORÇAMENTO!$AF$7)/$H476*OFFSET(ORÇAMENTO!$X$15,ROW(AV476)-ROW(AV$15),0),0)</f>
        <v>0</v>
      </c>
      <c r="AW476" s="632">
        <f ca="1">IF(AND($D476="Serviço",AW$12&lt;&gt;0,$H476&gt;0,OR(AUTOEVENTO&lt;&gt;"manual",$M476&lt;&gt;1)),ROUND(OFFSET($P476,0,AW$13),15-13*ORÇAMENTO!$AF$7)/$H476*OFFSET(ORÇAMENTO!$X$15,ROW(AW476)-ROW(AW$15),0),0)</f>
        <v>0</v>
      </c>
      <c r="AX476" s="632">
        <f ca="1">IF(AND($D476="Serviço",AX$12&lt;&gt;0,$H476&gt;0,OR(AUTOEVENTO&lt;&gt;"manual",$M476&lt;&gt;1)),ROUND(OFFSET($P476,0,AX$13),15-13*ORÇAMENTO!$AF$7)/$H476*OFFSET(ORÇAMENTO!$X$15,ROW(AX476)-ROW(AX$15),0),0)</f>
        <v>0</v>
      </c>
      <c r="AY476" s="632">
        <f ca="1">IF(AND($D476="Serviço",AY$12&lt;&gt;0,$H476&gt;0,OR(AUTOEVENTO&lt;&gt;"manual",$M476&lt;&gt;1)),ROUND(OFFSET($P476,0,AY$13),15-13*ORÇAMENTO!$AF$7)/$H476*OFFSET(ORÇAMENTO!$X$15,ROW(AY476)-ROW(AY$15),0),0)</f>
        <v>0</v>
      </c>
      <c r="AZ476" s="632">
        <f ca="1">IF(AND($D476="Serviço",AZ$12&lt;&gt;0,$H476&gt;0,OR(AUTOEVENTO&lt;&gt;"manual",$M476&lt;&gt;1)),ROUND(OFFSET($P476,0,AZ$13),15-13*ORÇAMENTO!$AF$7)/$H476*OFFSET(ORÇAMENTO!$X$15,ROW(AZ476)-ROW(AZ$15),0),0)</f>
        <v>0</v>
      </c>
      <c r="BA476" s="633">
        <f ca="1">IF(AND($D476="Serviço",BA$12&lt;&gt;0,$H476&gt;0,OR(AUTOEVENTO&lt;&gt;"manual",$M476&lt;&gt;1)),ROUND(OFFSET($P476,0,BA$13),15-13*ORÇAMENTO!$AF$7)/$H476*OFFSET(ORÇAMENTO!$X$15,ROW(BA476)-ROW(BA$15),0),0)</f>
        <v>0</v>
      </c>
      <c r="BC476" s="215">
        <f ca="1">IF($D476&lt;&gt;"Serviço",0,IF(AND(AUTOEVENTO="Manual",$M476=1),0,IF(OFFSET(CRONOPLE!$F$14,$M476,BC$13)="",10^12,OFFSET(CRONOPLE!$F$14,$M476,BC$13))))</f>
        <v>1000000000000</v>
      </c>
      <c r="BD476" s="215">
        <f ca="1">IF($D476&lt;&gt;"Serviço",0,IF(AND(AUTOEVENTO="Manual",$M476=1),0,IF(OFFSET(CRONOPLE!$F$14,$M476,BD$13)="",10^12,OFFSET(CRONOPLE!$F$14,$M476,BD$13))))</f>
        <v>1000000000000</v>
      </c>
      <c r="BE476" s="215">
        <f ca="1">IF($D476&lt;&gt;"Serviço",0,IF(AND(AUTOEVENTO="Manual",$M476=1),0,IF(OFFSET(CRONOPLE!$F$14,$M476,BE$13)="",10^12,OFFSET(CRONOPLE!$F$14,$M476,BE$13))))</f>
        <v>1000000000000</v>
      </c>
      <c r="BF476" s="215">
        <f ca="1">IF($D476&lt;&gt;"Serviço",0,IF(AND(AUTOEVENTO="Manual",$M476=1),0,IF(OFFSET(CRONOPLE!$F$14,$M476,BF$13)="",10^12,OFFSET(CRONOPLE!$F$14,$M476,BF$13))))</f>
        <v>1000000000000</v>
      </c>
      <c r="BG476" s="215">
        <f ca="1">IF($D476&lt;&gt;"Serviço",0,IF(AND(AUTOEVENTO="Manual",$M476=1),0,IF(OFFSET(CRONOPLE!$F$14,$M476,BG$13)="",10^12,OFFSET(CRONOPLE!$F$14,$M476,BG$13))))</f>
        <v>1000000000000</v>
      </c>
      <c r="BH476" s="215">
        <f ca="1">IF($D476&lt;&gt;"Serviço",0,IF(AND(AUTOEVENTO="Manual",$M476=1),0,IF(OFFSET(CRONOPLE!$F$14,$M476,BH$13)="",10^12,OFFSET(CRONOPLE!$F$14,$M476,BH$13))))</f>
        <v>1000000000000</v>
      </c>
      <c r="BI476" s="215">
        <f ca="1">IF($D476&lt;&gt;"Serviço",0,IF(AND(AUTOEVENTO="Manual",$M476=1),0,IF(OFFSET(CRONOPLE!$F$14,$M476,BI$13)="",10^12,OFFSET(CRONOPLE!$F$14,$M476,BI$13))))</f>
        <v>1000000000000</v>
      </c>
      <c r="BJ476" s="215">
        <f ca="1">IF($D476&lt;&gt;"Serviço",0,IF(AND(AUTOEVENTO="Manual",$M476=1),0,IF(OFFSET(CRONOPLE!$F$14,$M476,BJ$13)="",10^12,OFFSET(CRONOPLE!$F$14,$M476,BJ$13))))</f>
        <v>1000000000000</v>
      </c>
      <c r="BK476" s="215">
        <f ca="1">IF($D476&lt;&gt;"Serviço",0,IF(AND(AUTOEVENTO="Manual",$M476=1),0,IF(OFFSET(CRONOPLE!$F$14,$M476,BK$13)="",10^12,OFFSET(CRONOPLE!$F$14,$M476,BK$13))))</f>
        <v>1000000000000</v>
      </c>
      <c r="BL476" s="215">
        <f ca="1">IF($D476&lt;&gt;"Serviço",0,IF(AND(AUTOEVENTO="Manual",$M476=1),0,IF(OFFSET(CRONOPLE!$F$14,$M476,BL$13)="",10^12,OFFSET(CRONOPLE!$F$14,$M476,BL$13))))</f>
        <v>1000000000000</v>
      </c>
      <c r="BM476" s="215">
        <f ca="1">IF($D476&lt;&gt;"Serviço",0,IF(AND(AUTOEVENTO="Manual",$M476=1),0,IF(OFFSET(CRONOPLE!$F$14,$M476,BM$13)="",10^12,OFFSET(CRONOPLE!$F$14,$M476,BM$13))))</f>
        <v>1000000000000</v>
      </c>
      <c r="BN476" s="215">
        <f ca="1">IF($D476&lt;&gt;"Serviço",0,IF(AND(AUTOEVENTO="Manual",$M476=1),0,IF(OFFSET(CRONOPLE!$F$14,$M476,BN$13)="",10^12,OFFSET(CRONOPLE!$F$14,$M476,BN$13))))</f>
        <v>1000000000000</v>
      </c>
      <c r="BO476" s="215">
        <f ca="1">IF($D476&lt;&gt;"Serviço",0,IF(AND(AUTOEVENTO="Manual",$M476=1),0,IF(OFFSET(CRONOPLE!$F$14,$M476,BO$13)="",10^12,OFFSET(CRONOPLE!$F$14,$M476,BO$13))))</f>
        <v>1000000000000</v>
      </c>
      <c r="BP476" s="215">
        <f ca="1">IF($D476&lt;&gt;"Serviço",0,IF(AND(AUTOEVENTO="Manual",$M476=1),0,IF(OFFSET(CRONOPLE!$F$14,$M476,BP$13)="",10^12,OFFSET(CRONOPLE!$F$14,$M476,BP$13))))</f>
        <v>1000000000000</v>
      </c>
      <c r="BQ476" s="215">
        <f ca="1">IF($D476&lt;&gt;"Serviço",0,IF(AND(AUTOEVENTO="Manual",$M476=1),0,IF(OFFSET(CRONOPLE!$F$14,$M476,BQ$13)="",10^12,OFFSET(CRONOPLE!$F$14,$M476,BQ$13))))</f>
        <v>1000000000000</v>
      </c>
      <c r="BR476" s="215">
        <f ca="1">IF($D476&lt;&gt;"Serviço",0,IF(AND(AUTOEVENTO="Manual",$M476=1),0,IF(OFFSET(CRONOPLE!$F$14,$M476,BR$13)="",10^12,OFFSET(CRONOPLE!$F$14,$M476,BR$13))))</f>
        <v>1000000000000</v>
      </c>
      <c r="BS476" s="215">
        <f ca="1">IF($D476&lt;&gt;"Serviço",0,IF(AND(AUTOEVENTO="Manual",$M476=1),0,IF(OFFSET(CRONOPLE!$F$14,$M476,BS$13)="",10^12,OFFSET(CRONOPLE!$F$14,$M476,BS$13))))</f>
        <v>1000000000000</v>
      </c>
      <c r="BT476" s="215">
        <f ca="1">IF($D476&lt;&gt;"Serviço",0,IF(AND(AUTOEVENTO="Manual",$M476=1),0,IF(OFFSET(CRONOPLE!$F$14,$M476,BT$13)="",10^12,OFFSET(CRONOPLE!$F$14,$M476,BT$13))))</f>
        <v>1000000000000</v>
      </c>
      <c r="BV476" s="216">
        <f ca="1">IF($D476&lt;&gt;"Serviço",0,IF(OR(AND(AUTOEVENTO="Manual",$M476=1),$M476&gt;(ROW(PLE.lastrow)-ROW(PLE.firstrow))),0,IF(OFFSET(PLE!$G$14,$M476,BV$13)="",10^12,OFFSET(PLE!$G$14,$M476,BV$13))))</f>
        <v>1000000000000</v>
      </c>
      <c r="BW476" s="216">
        <f ca="1">IF($D476&lt;&gt;"Serviço",0,IF(OR(AND(AUTOEVENTO="Manual",$M476=1),$M476&gt;(ROW(PLE.lastrow)-ROW(PLE.firstrow))),0,IF(OFFSET(PLE!$G$14,$M476,BW$13)="",10^12,OFFSET(PLE!$G$14,$M476,BW$13))))</f>
        <v>1000000000000</v>
      </c>
      <c r="BX476" s="216">
        <f ca="1">IF($D476&lt;&gt;"Serviço",0,IF(OR(AND(AUTOEVENTO="Manual",$M476=1),$M476&gt;(ROW(PLE.lastrow)-ROW(PLE.firstrow))),0,IF(OFFSET(PLE!$G$14,$M476,BX$13)="",10^12,OFFSET(PLE!$G$14,$M476,BX$13))))</f>
        <v>1000000000000</v>
      </c>
      <c r="BY476" s="216">
        <f ca="1">IF($D476&lt;&gt;"Serviço",0,IF(OR(AND(AUTOEVENTO="Manual",$M476=1),$M476&gt;(ROW(PLE.lastrow)-ROW(PLE.firstrow))),0,IF(OFFSET(PLE!$G$14,$M476,BY$13)="",10^12,OFFSET(PLE!$G$14,$M476,BY$13))))</f>
        <v>1000000000000</v>
      </c>
      <c r="BZ476" s="216">
        <f ca="1">IF($D476&lt;&gt;"Serviço",0,IF(OR(AND(AUTOEVENTO="Manual",$M476=1),$M476&gt;(ROW(PLE.lastrow)-ROW(PLE.firstrow))),0,IF(OFFSET(PLE!$G$14,$M476,BZ$13)="",10^12,OFFSET(PLE!$G$14,$M476,BZ$13))))</f>
        <v>1000000000000</v>
      </c>
      <c r="CA476" s="216">
        <f ca="1">IF($D476&lt;&gt;"Serviço",0,IF(OR(AND(AUTOEVENTO="Manual",$M476=1),$M476&gt;(ROW(PLE.lastrow)-ROW(PLE.firstrow))),0,IF(OFFSET(PLE!$G$14,$M476,CA$13)="",10^12,OFFSET(PLE!$G$14,$M476,CA$13))))</f>
        <v>1000000000000</v>
      </c>
      <c r="CB476" s="216">
        <f ca="1">IF($D476&lt;&gt;"Serviço",0,IF(OR(AND(AUTOEVENTO="Manual",$M476=1),$M476&gt;(ROW(PLE.lastrow)-ROW(PLE.firstrow))),0,IF(OFFSET(PLE!$G$14,$M476,CB$13)="",10^12,OFFSET(PLE!$G$14,$M476,CB$13))))</f>
        <v>1000000000000</v>
      </c>
      <c r="CC476" s="216">
        <f ca="1">IF($D476&lt;&gt;"Serviço",0,IF(OR(AND(AUTOEVENTO="Manual",$M476=1),$M476&gt;(ROW(PLE.lastrow)-ROW(PLE.firstrow))),0,IF(OFFSET(PLE!$G$14,$M476,CC$13)="",10^12,OFFSET(PLE!$G$14,$M476,CC$13))))</f>
        <v>1000000000000</v>
      </c>
      <c r="CD476" s="216">
        <f ca="1">IF($D476&lt;&gt;"Serviço",0,IF(OR(AND(AUTOEVENTO="Manual",$M476=1),$M476&gt;(ROW(PLE.lastrow)-ROW(PLE.firstrow))),0,IF(OFFSET(PLE!$G$14,$M476,CD$13)="",10^12,OFFSET(PLE!$G$14,$M476,CD$13))))</f>
        <v>1000000000000</v>
      </c>
      <c r="CE476" s="216">
        <f ca="1">IF($D476&lt;&gt;"Serviço",0,IF(OR(AND(AUTOEVENTO="Manual",$M476=1),$M476&gt;(ROW(PLE.lastrow)-ROW(PLE.firstrow))),0,IF(OFFSET(PLE!$G$14,$M476,CE$13)="",10^12,OFFSET(PLE!$G$14,$M476,CE$13))))</f>
        <v>1000000000000</v>
      </c>
      <c r="CF476" s="216">
        <f ca="1">IF($D476&lt;&gt;"Serviço",0,IF(OR(AND(AUTOEVENTO="Manual",$M476=1),$M476&gt;(ROW(PLE.lastrow)-ROW(PLE.firstrow))),0,IF(OFFSET(PLE!$G$14,$M476,CF$13)="",10^12,OFFSET(PLE!$G$14,$M476,CF$13))))</f>
        <v>1000000000000</v>
      </c>
      <c r="CG476" s="216">
        <f ca="1">IF($D476&lt;&gt;"Serviço",0,IF(OR(AND(AUTOEVENTO="Manual",$M476=1),$M476&gt;(ROW(PLE.lastrow)-ROW(PLE.firstrow))),0,IF(OFFSET(PLE!$G$14,$M476,CG$13)="",10^12,OFFSET(PLE!$G$14,$M476,CG$13))))</f>
        <v>1000000000000</v>
      </c>
      <c r="CH476" s="216">
        <f ca="1">IF($D476&lt;&gt;"Serviço",0,IF(OR(AND(AUTOEVENTO="Manual",$M476=1),$M476&gt;(ROW(PLE.lastrow)-ROW(PLE.firstrow))),0,IF(OFFSET(PLE!$G$14,$M476,CH$13)="",10^12,OFFSET(PLE!$G$14,$M476,CH$13))))</f>
        <v>1000000000000</v>
      </c>
      <c r="CI476" s="216">
        <f ca="1">IF($D476&lt;&gt;"Serviço",0,IF(OR(AND(AUTOEVENTO="Manual",$M476=1),$M476&gt;(ROW(PLE.lastrow)-ROW(PLE.firstrow))),0,IF(OFFSET(PLE!$G$14,$M476,CI$13)="",10^12,OFFSET(PLE!$G$14,$M476,CI$13))))</f>
        <v>1000000000000</v>
      </c>
      <c r="CJ476" s="216">
        <f ca="1">IF($D476&lt;&gt;"Serviço",0,IF(OR(AND(AUTOEVENTO="Manual",$M476=1),$M476&gt;(ROW(PLE.lastrow)-ROW(PLE.firstrow))),0,IF(OFFSET(PLE!$G$14,$M476,CJ$13)="",10^12,OFFSET(PLE!$G$14,$M476,CJ$13))))</f>
        <v>1000000000000</v>
      </c>
      <c r="CK476" s="216">
        <f ca="1">IF($D476&lt;&gt;"Serviço",0,IF(OR(AND(AUTOEVENTO="Manual",$M476=1),$M476&gt;(ROW(PLE.lastrow)-ROW(PLE.firstrow))),0,IF(OFFSET(PLE!$G$14,$M476,CK$13)="",10^12,OFFSET(PLE!$G$14,$M476,CK$13))))</f>
        <v>1000000000000</v>
      </c>
      <c r="CL476" s="216">
        <f ca="1">IF($D476&lt;&gt;"Serviço",0,IF(OR(AND(AUTOEVENTO="Manual",$M476=1),$M476&gt;(ROW(PLE.lastrow)-ROW(PLE.firstrow))),0,IF(OFFSET(PLE!$G$14,$M476,CL$13)="",10^12,OFFSET(PLE!$G$14,$M476,CL$13))))</f>
        <v>1000000000000</v>
      </c>
      <c r="CM476" s="216">
        <f ca="1">IF($D476&lt;&gt;"Serviço",0,IF(OR(AND(AUTOEVENTO="Manual",$M476=1),$M476&gt;(ROW(PLE.lastrow)-ROW(PLE.firstrow))),0,IF(OFFSET(PLE!$G$14,$M476,CM$13)="",10^12,OFFSET(PLE!$G$14,$M476,CM$13))))</f>
        <v>1000000000000</v>
      </c>
    </row>
    <row r="477" spans="1:91" ht="13.2" x14ac:dyDescent="0.25">
      <c r="A477" s="9">
        <f t="shared" ca="1" si="16"/>
        <v>0</v>
      </c>
      <c r="B477" s="9" t="str">
        <f ca="1">OFFSET(ORÇAMENTO!C$15,ROW(B477)-ROW(B$15),0)</f>
        <v>S</v>
      </c>
      <c r="C477" s="9" t="str">
        <f ca="1">OFFSET(ORÇAMENTO!L$15,ROW(C477)-ROW(C$15),0)</f>
        <v/>
      </c>
      <c r="D477" s="145" t="str">
        <f ca="1">OFFSET(ORÇAMENTO!N$15,ROW(D477)-ROW(D$15),0)</f>
        <v>Serviço</v>
      </c>
      <c r="E477" s="205" t="str">
        <f ca="1">OFFSET(ORÇAMENTO!O$15,ROW(E477)-ROW(E$15),0)</f>
        <v>-</v>
      </c>
      <c r="F477" s="206" t="str">
        <f ca="1">OFFSET(ORÇAMENTO!R$15,ROW(F477)-ROW(F$15),0)</f>
        <v>(abra o arquivo 'Referência 05-2024.xls)</v>
      </c>
      <c r="G477" s="207" t="str">
        <f ca="1">IF($D477&lt;&gt;"Serviço","",OFFSET(ORÇAMENTO!S$15,ROW(G477)-ROW(G$15),0))</f>
        <v>-</v>
      </c>
      <c r="H477" s="151">
        <f ca="1">IF($D477&lt;&gt;"Serviço",0,IF(ACOMPANHAMENTO="BM",ROUND(OFFSET(ORÇAMENTO!AJ$15,ROW(H477)-ROW(H$15),0),15-13*ORÇAMENTO!$AF$7),SUMPRODUCT(($Q$12:$AI$12&lt;&gt;"")*ROUND($Q477:$AI477,15-13*ORÇAMENTO!$AF$7))))</f>
        <v>30</v>
      </c>
      <c r="I477" s="650"/>
      <c r="K477" s="208"/>
      <c r="L477" s="209" t="s">
        <v>257</v>
      </c>
      <c r="M477" s="210">
        <f ca="1">IF($D477&lt;&gt;"Serviço","",IF(AUTOEVENTO="manual",$A477,IF(ISERROR(MATCH($A477,$A$15:OFFSET($A477,-1,0),0)),MAX($M$15:OFFSET(M477,-1,0))+1,INDEX($M$15:OFFSET(M477,-1,0),MATCH($A477,$A$15:OFFSET($A477,-1,0),0)))))</f>
        <v>0</v>
      </c>
      <c r="N477" s="211" t="str">
        <f ca="1">IF($D477&lt;&gt;"Serviço","",IF(AUTOEVENTO="Manual",IF($A477=0,"&lt;-- defina o número do agrupador",OFFSET(EVENTOS!$D$14,$A477,0)),OFFSET($F$15,$A477,0)))</f>
        <v>&lt;-- defina o número do agrupador</v>
      </c>
      <c r="O477" s="212"/>
      <c r="Q477" s="212"/>
      <c r="R477" s="213"/>
      <c r="S477" s="213"/>
      <c r="T477" s="213"/>
      <c r="U477" s="213"/>
      <c r="V477" s="213"/>
      <c r="W477" s="213"/>
      <c r="X477" s="213"/>
      <c r="Y477" s="213"/>
      <c r="Z477" s="214"/>
      <c r="AA477" s="213"/>
      <c r="AB477" s="213"/>
      <c r="AC477" s="213"/>
      <c r="AD477" s="213"/>
      <c r="AE477" s="213"/>
      <c r="AF477" s="213"/>
      <c r="AG477" s="213"/>
      <c r="AH477" s="214"/>
      <c r="AJ477" s="631">
        <f ca="1">IF(AND($D477="Serviço",AJ$12&lt;&gt;0,$H477&gt;0,OR(AUTOEVENTO&lt;&gt;"manual",$M477&lt;&gt;1)),ROUND(OFFSET($P477,0,AJ$13),15-13*ORÇAMENTO!$AF$7)/$H477*OFFSET(ORÇAMENTO!$X$15,ROW(AJ477)-ROW(AJ$15),0),0)</f>
        <v>0</v>
      </c>
      <c r="AK477" s="632">
        <f ca="1">IF(AND($D477="Serviço",AK$12&lt;&gt;0,$H477&gt;0,OR(AUTOEVENTO&lt;&gt;"manual",$M477&lt;&gt;1)),ROUND(OFFSET($P477,0,AK$13),15-13*ORÇAMENTO!$AF$7)/$H477*OFFSET(ORÇAMENTO!$X$15,ROW(AK477)-ROW(AK$15),0),0)</f>
        <v>0</v>
      </c>
      <c r="AL477" s="632">
        <f ca="1">IF(AND($D477="Serviço",AL$12&lt;&gt;0,$H477&gt;0,OR(AUTOEVENTO&lt;&gt;"manual",$M477&lt;&gt;1)),ROUND(OFFSET($P477,0,AL$13),15-13*ORÇAMENTO!$AF$7)/$H477*OFFSET(ORÇAMENTO!$X$15,ROW(AL477)-ROW(AL$15),0),0)</f>
        <v>0</v>
      </c>
      <c r="AM477" s="632">
        <f ca="1">IF(AND($D477="Serviço",AM$12&lt;&gt;0,$H477&gt;0,OR(AUTOEVENTO&lt;&gt;"manual",$M477&lt;&gt;1)),ROUND(OFFSET($P477,0,AM$13),15-13*ORÇAMENTO!$AF$7)/$H477*OFFSET(ORÇAMENTO!$X$15,ROW(AM477)-ROW(AM$15),0),0)</f>
        <v>0</v>
      </c>
      <c r="AN477" s="632">
        <f ca="1">IF(AND($D477="Serviço",AN$12&lt;&gt;0,$H477&gt;0,OR(AUTOEVENTO&lt;&gt;"manual",$M477&lt;&gt;1)),ROUND(OFFSET($P477,0,AN$13),15-13*ORÇAMENTO!$AF$7)/$H477*OFFSET(ORÇAMENTO!$X$15,ROW(AN477)-ROW(AN$15),0),0)</f>
        <v>0</v>
      </c>
      <c r="AO477" s="632">
        <f ca="1">IF(AND($D477="Serviço",AO$12&lt;&gt;0,$H477&gt;0,OR(AUTOEVENTO&lt;&gt;"manual",$M477&lt;&gt;1)),ROUND(OFFSET($P477,0,AO$13),15-13*ORÇAMENTO!$AF$7)/$H477*OFFSET(ORÇAMENTO!$X$15,ROW(AO477)-ROW(AO$15),0),0)</f>
        <v>0</v>
      </c>
      <c r="AP477" s="632">
        <f ca="1">IF(AND($D477="Serviço",AP$12&lt;&gt;0,$H477&gt;0,OR(AUTOEVENTO&lt;&gt;"manual",$M477&lt;&gt;1)),ROUND(OFFSET($P477,0,AP$13),15-13*ORÇAMENTO!$AF$7)/$H477*OFFSET(ORÇAMENTO!$X$15,ROW(AP477)-ROW(AP$15),0),0)</f>
        <v>0</v>
      </c>
      <c r="AQ477" s="632">
        <f ca="1">IF(AND($D477="Serviço",AQ$12&lt;&gt;0,$H477&gt;0,OR(AUTOEVENTO&lt;&gt;"manual",$M477&lt;&gt;1)),ROUND(OFFSET($P477,0,AQ$13),15-13*ORÇAMENTO!$AF$7)/$H477*OFFSET(ORÇAMENTO!$X$15,ROW(AQ477)-ROW(AQ$15),0),0)</f>
        <v>0</v>
      </c>
      <c r="AR477" s="632">
        <f ca="1">IF(AND($D477="Serviço",AR$12&lt;&gt;0,$H477&gt;0,OR(AUTOEVENTO&lt;&gt;"manual",$M477&lt;&gt;1)),ROUND(OFFSET($P477,0,AR$13),15-13*ORÇAMENTO!$AF$7)/$H477*OFFSET(ORÇAMENTO!$X$15,ROW(AR477)-ROW(AR$15),0),0)</f>
        <v>0</v>
      </c>
      <c r="AS477" s="633">
        <f ca="1">IF(AND($D477="Serviço",AS$12&lt;&gt;0,$H477&gt;0,OR(AUTOEVENTO&lt;&gt;"manual",$M477&lt;&gt;1)),ROUND(OFFSET($P477,0,AS$13),15-13*ORÇAMENTO!$AF$7)/$H477*OFFSET(ORÇAMENTO!$X$15,ROW(AS477)-ROW(AS$15),0),0)</f>
        <v>0</v>
      </c>
      <c r="AT477" s="632">
        <f ca="1">IF(AND($D477="Serviço",AT$12&lt;&gt;0,$H477&gt;0,OR(AUTOEVENTO&lt;&gt;"manual",$M477&lt;&gt;1)),ROUND(OFFSET($P477,0,AT$13),15-13*ORÇAMENTO!$AF$7)/$H477*OFFSET(ORÇAMENTO!$X$15,ROW(AT477)-ROW(AT$15),0),0)</f>
        <v>0</v>
      </c>
      <c r="AU477" s="632">
        <f ca="1">IF(AND($D477="Serviço",AU$12&lt;&gt;0,$H477&gt;0,OR(AUTOEVENTO&lt;&gt;"manual",$M477&lt;&gt;1)),ROUND(OFFSET($P477,0,AU$13),15-13*ORÇAMENTO!$AF$7)/$H477*OFFSET(ORÇAMENTO!$X$15,ROW(AU477)-ROW(AU$15),0),0)</f>
        <v>0</v>
      </c>
      <c r="AV477" s="632">
        <f ca="1">IF(AND($D477="Serviço",AV$12&lt;&gt;0,$H477&gt;0,OR(AUTOEVENTO&lt;&gt;"manual",$M477&lt;&gt;1)),ROUND(OFFSET($P477,0,AV$13),15-13*ORÇAMENTO!$AF$7)/$H477*OFFSET(ORÇAMENTO!$X$15,ROW(AV477)-ROW(AV$15),0),0)</f>
        <v>0</v>
      </c>
      <c r="AW477" s="632">
        <f ca="1">IF(AND($D477="Serviço",AW$12&lt;&gt;0,$H477&gt;0,OR(AUTOEVENTO&lt;&gt;"manual",$M477&lt;&gt;1)),ROUND(OFFSET($P477,0,AW$13),15-13*ORÇAMENTO!$AF$7)/$H477*OFFSET(ORÇAMENTO!$X$15,ROW(AW477)-ROW(AW$15),0),0)</f>
        <v>0</v>
      </c>
      <c r="AX477" s="632">
        <f ca="1">IF(AND($D477="Serviço",AX$12&lt;&gt;0,$H477&gt;0,OR(AUTOEVENTO&lt;&gt;"manual",$M477&lt;&gt;1)),ROUND(OFFSET($P477,0,AX$13),15-13*ORÇAMENTO!$AF$7)/$H477*OFFSET(ORÇAMENTO!$X$15,ROW(AX477)-ROW(AX$15),0),0)</f>
        <v>0</v>
      </c>
      <c r="AY477" s="632">
        <f ca="1">IF(AND($D477="Serviço",AY$12&lt;&gt;0,$H477&gt;0,OR(AUTOEVENTO&lt;&gt;"manual",$M477&lt;&gt;1)),ROUND(OFFSET($P477,0,AY$13),15-13*ORÇAMENTO!$AF$7)/$H477*OFFSET(ORÇAMENTO!$X$15,ROW(AY477)-ROW(AY$15),0),0)</f>
        <v>0</v>
      </c>
      <c r="AZ477" s="632">
        <f ca="1">IF(AND($D477="Serviço",AZ$12&lt;&gt;0,$H477&gt;0,OR(AUTOEVENTO&lt;&gt;"manual",$M477&lt;&gt;1)),ROUND(OFFSET($P477,0,AZ$13),15-13*ORÇAMENTO!$AF$7)/$H477*OFFSET(ORÇAMENTO!$X$15,ROW(AZ477)-ROW(AZ$15),0),0)</f>
        <v>0</v>
      </c>
      <c r="BA477" s="633">
        <f ca="1">IF(AND($D477="Serviço",BA$12&lt;&gt;0,$H477&gt;0,OR(AUTOEVENTO&lt;&gt;"manual",$M477&lt;&gt;1)),ROUND(OFFSET($P477,0,BA$13),15-13*ORÇAMENTO!$AF$7)/$H477*OFFSET(ORÇAMENTO!$X$15,ROW(BA477)-ROW(BA$15),0),0)</f>
        <v>0</v>
      </c>
      <c r="BC477" s="215">
        <f ca="1">IF($D477&lt;&gt;"Serviço",0,IF(AND(AUTOEVENTO="Manual",$M477=1),0,IF(OFFSET(CRONOPLE!$F$14,$M477,BC$13)="",10^12,OFFSET(CRONOPLE!$F$14,$M477,BC$13))))</f>
        <v>1000000000000</v>
      </c>
      <c r="BD477" s="215">
        <f ca="1">IF($D477&lt;&gt;"Serviço",0,IF(AND(AUTOEVENTO="Manual",$M477=1),0,IF(OFFSET(CRONOPLE!$F$14,$M477,BD$13)="",10^12,OFFSET(CRONOPLE!$F$14,$M477,BD$13))))</f>
        <v>1000000000000</v>
      </c>
      <c r="BE477" s="215">
        <f ca="1">IF($D477&lt;&gt;"Serviço",0,IF(AND(AUTOEVENTO="Manual",$M477=1),0,IF(OFFSET(CRONOPLE!$F$14,$M477,BE$13)="",10^12,OFFSET(CRONOPLE!$F$14,$M477,BE$13))))</f>
        <v>1000000000000</v>
      </c>
      <c r="BF477" s="215">
        <f ca="1">IF($D477&lt;&gt;"Serviço",0,IF(AND(AUTOEVENTO="Manual",$M477=1),0,IF(OFFSET(CRONOPLE!$F$14,$M477,BF$13)="",10^12,OFFSET(CRONOPLE!$F$14,$M477,BF$13))))</f>
        <v>1000000000000</v>
      </c>
      <c r="BG477" s="215">
        <f ca="1">IF($D477&lt;&gt;"Serviço",0,IF(AND(AUTOEVENTO="Manual",$M477=1),0,IF(OFFSET(CRONOPLE!$F$14,$M477,BG$13)="",10^12,OFFSET(CRONOPLE!$F$14,$M477,BG$13))))</f>
        <v>1000000000000</v>
      </c>
      <c r="BH477" s="215">
        <f ca="1">IF($D477&lt;&gt;"Serviço",0,IF(AND(AUTOEVENTO="Manual",$M477=1),0,IF(OFFSET(CRONOPLE!$F$14,$M477,BH$13)="",10^12,OFFSET(CRONOPLE!$F$14,$M477,BH$13))))</f>
        <v>1000000000000</v>
      </c>
      <c r="BI477" s="215">
        <f ca="1">IF($D477&lt;&gt;"Serviço",0,IF(AND(AUTOEVENTO="Manual",$M477=1),0,IF(OFFSET(CRONOPLE!$F$14,$M477,BI$13)="",10^12,OFFSET(CRONOPLE!$F$14,$M477,BI$13))))</f>
        <v>1000000000000</v>
      </c>
      <c r="BJ477" s="215">
        <f ca="1">IF($D477&lt;&gt;"Serviço",0,IF(AND(AUTOEVENTO="Manual",$M477=1),0,IF(OFFSET(CRONOPLE!$F$14,$M477,BJ$13)="",10^12,OFFSET(CRONOPLE!$F$14,$M477,BJ$13))))</f>
        <v>1000000000000</v>
      </c>
      <c r="BK477" s="215">
        <f ca="1">IF($D477&lt;&gt;"Serviço",0,IF(AND(AUTOEVENTO="Manual",$M477=1),0,IF(OFFSET(CRONOPLE!$F$14,$M477,BK$13)="",10^12,OFFSET(CRONOPLE!$F$14,$M477,BK$13))))</f>
        <v>1000000000000</v>
      </c>
      <c r="BL477" s="215">
        <f ca="1">IF($D477&lt;&gt;"Serviço",0,IF(AND(AUTOEVENTO="Manual",$M477=1),0,IF(OFFSET(CRONOPLE!$F$14,$M477,BL$13)="",10^12,OFFSET(CRONOPLE!$F$14,$M477,BL$13))))</f>
        <v>1000000000000</v>
      </c>
      <c r="BM477" s="215">
        <f ca="1">IF($D477&lt;&gt;"Serviço",0,IF(AND(AUTOEVENTO="Manual",$M477=1),0,IF(OFFSET(CRONOPLE!$F$14,$M477,BM$13)="",10^12,OFFSET(CRONOPLE!$F$14,$M477,BM$13))))</f>
        <v>1000000000000</v>
      </c>
      <c r="BN477" s="215">
        <f ca="1">IF($D477&lt;&gt;"Serviço",0,IF(AND(AUTOEVENTO="Manual",$M477=1),0,IF(OFFSET(CRONOPLE!$F$14,$M477,BN$13)="",10^12,OFFSET(CRONOPLE!$F$14,$M477,BN$13))))</f>
        <v>1000000000000</v>
      </c>
      <c r="BO477" s="215">
        <f ca="1">IF($D477&lt;&gt;"Serviço",0,IF(AND(AUTOEVENTO="Manual",$M477=1),0,IF(OFFSET(CRONOPLE!$F$14,$M477,BO$13)="",10^12,OFFSET(CRONOPLE!$F$14,$M477,BO$13))))</f>
        <v>1000000000000</v>
      </c>
      <c r="BP477" s="215">
        <f ca="1">IF($D477&lt;&gt;"Serviço",0,IF(AND(AUTOEVENTO="Manual",$M477=1),0,IF(OFFSET(CRONOPLE!$F$14,$M477,BP$13)="",10^12,OFFSET(CRONOPLE!$F$14,$M477,BP$13))))</f>
        <v>1000000000000</v>
      </c>
      <c r="BQ477" s="215">
        <f ca="1">IF($D477&lt;&gt;"Serviço",0,IF(AND(AUTOEVENTO="Manual",$M477=1),0,IF(OFFSET(CRONOPLE!$F$14,$M477,BQ$13)="",10^12,OFFSET(CRONOPLE!$F$14,$M477,BQ$13))))</f>
        <v>1000000000000</v>
      </c>
      <c r="BR477" s="215">
        <f ca="1">IF($D477&lt;&gt;"Serviço",0,IF(AND(AUTOEVENTO="Manual",$M477=1),0,IF(OFFSET(CRONOPLE!$F$14,$M477,BR$13)="",10^12,OFFSET(CRONOPLE!$F$14,$M477,BR$13))))</f>
        <v>1000000000000</v>
      </c>
      <c r="BS477" s="215">
        <f ca="1">IF($D477&lt;&gt;"Serviço",0,IF(AND(AUTOEVENTO="Manual",$M477=1),0,IF(OFFSET(CRONOPLE!$F$14,$M477,BS$13)="",10^12,OFFSET(CRONOPLE!$F$14,$M477,BS$13))))</f>
        <v>1000000000000</v>
      </c>
      <c r="BT477" s="215">
        <f ca="1">IF($D477&lt;&gt;"Serviço",0,IF(AND(AUTOEVENTO="Manual",$M477=1),0,IF(OFFSET(CRONOPLE!$F$14,$M477,BT$13)="",10^12,OFFSET(CRONOPLE!$F$14,$M477,BT$13))))</f>
        <v>1000000000000</v>
      </c>
      <c r="BV477" s="216">
        <f ca="1">IF($D477&lt;&gt;"Serviço",0,IF(OR(AND(AUTOEVENTO="Manual",$M477=1),$M477&gt;(ROW(PLE.lastrow)-ROW(PLE.firstrow))),0,IF(OFFSET(PLE!$G$14,$M477,BV$13)="",10^12,OFFSET(PLE!$G$14,$M477,BV$13))))</f>
        <v>1000000000000</v>
      </c>
      <c r="BW477" s="216">
        <f ca="1">IF($D477&lt;&gt;"Serviço",0,IF(OR(AND(AUTOEVENTO="Manual",$M477=1),$M477&gt;(ROW(PLE.lastrow)-ROW(PLE.firstrow))),0,IF(OFFSET(PLE!$G$14,$M477,BW$13)="",10^12,OFFSET(PLE!$G$14,$M477,BW$13))))</f>
        <v>1000000000000</v>
      </c>
      <c r="BX477" s="216">
        <f ca="1">IF($D477&lt;&gt;"Serviço",0,IF(OR(AND(AUTOEVENTO="Manual",$M477=1),$M477&gt;(ROW(PLE.lastrow)-ROW(PLE.firstrow))),0,IF(OFFSET(PLE!$G$14,$M477,BX$13)="",10^12,OFFSET(PLE!$G$14,$M477,BX$13))))</f>
        <v>1000000000000</v>
      </c>
      <c r="BY477" s="216">
        <f ca="1">IF($D477&lt;&gt;"Serviço",0,IF(OR(AND(AUTOEVENTO="Manual",$M477=1),$M477&gt;(ROW(PLE.lastrow)-ROW(PLE.firstrow))),0,IF(OFFSET(PLE!$G$14,$M477,BY$13)="",10^12,OFFSET(PLE!$G$14,$M477,BY$13))))</f>
        <v>1000000000000</v>
      </c>
      <c r="BZ477" s="216">
        <f ca="1">IF($D477&lt;&gt;"Serviço",0,IF(OR(AND(AUTOEVENTO="Manual",$M477=1),$M477&gt;(ROW(PLE.lastrow)-ROW(PLE.firstrow))),0,IF(OFFSET(PLE!$G$14,$M477,BZ$13)="",10^12,OFFSET(PLE!$G$14,$M477,BZ$13))))</f>
        <v>1000000000000</v>
      </c>
      <c r="CA477" s="216">
        <f ca="1">IF($D477&lt;&gt;"Serviço",0,IF(OR(AND(AUTOEVENTO="Manual",$M477=1),$M477&gt;(ROW(PLE.lastrow)-ROW(PLE.firstrow))),0,IF(OFFSET(PLE!$G$14,$M477,CA$13)="",10^12,OFFSET(PLE!$G$14,$M477,CA$13))))</f>
        <v>1000000000000</v>
      </c>
      <c r="CB477" s="216">
        <f ca="1">IF($D477&lt;&gt;"Serviço",0,IF(OR(AND(AUTOEVENTO="Manual",$M477=1),$M477&gt;(ROW(PLE.lastrow)-ROW(PLE.firstrow))),0,IF(OFFSET(PLE!$G$14,$M477,CB$13)="",10^12,OFFSET(PLE!$G$14,$M477,CB$13))))</f>
        <v>1000000000000</v>
      </c>
      <c r="CC477" s="216">
        <f ca="1">IF($D477&lt;&gt;"Serviço",0,IF(OR(AND(AUTOEVENTO="Manual",$M477=1),$M477&gt;(ROW(PLE.lastrow)-ROW(PLE.firstrow))),0,IF(OFFSET(PLE!$G$14,$M477,CC$13)="",10^12,OFFSET(PLE!$G$14,$M477,CC$13))))</f>
        <v>1000000000000</v>
      </c>
      <c r="CD477" s="216">
        <f ca="1">IF($D477&lt;&gt;"Serviço",0,IF(OR(AND(AUTOEVENTO="Manual",$M477=1),$M477&gt;(ROW(PLE.lastrow)-ROW(PLE.firstrow))),0,IF(OFFSET(PLE!$G$14,$M477,CD$13)="",10^12,OFFSET(PLE!$G$14,$M477,CD$13))))</f>
        <v>1000000000000</v>
      </c>
      <c r="CE477" s="216">
        <f ca="1">IF($D477&lt;&gt;"Serviço",0,IF(OR(AND(AUTOEVENTO="Manual",$M477=1),$M477&gt;(ROW(PLE.lastrow)-ROW(PLE.firstrow))),0,IF(OFFSET(PLE!$G$14,$M477,CE$13)="",10^12,OFFSET(PLE!$G$14,$M477,CE$13))))</f>
        <v>1000000000000</v>
      </c>
      <c r="CF477" s="216">
        <f ca="1">IF($D477&lt;&gt;"Serviço",0,IF(OR(AND(AUTOEVENTO="Manual",$M477=1),$M477&gt;(ROW(PLE.lastrow)-ROW(PLE.firstrow))),0,IF(OFFSET(PLE!$G$14,$M477,CF$13)="",10^12,OFFSET(PLE!$G$14,$M477,CF$13))))</f>
        <v>1000000000000</v>
      </c>
      <c r="CG477" s="216">
        <f ca="1">IF($D477&lt;&gt;"Serviço",0,IF(OR(AND(AUTOEVENTO="Manual",$M477=1),$M477&gt;(ROW(PLE.lastrow)-ROW(PLE.firstrow))),0,IF(OFFSET(PLE!$G$14,$M477,CG$13)="",10^12,OFFSET(PLE!$G$14,$M477,CG$13))))</f>
        <v>1000000000000</v>
      </c>
      <c r="CH477" s="216">
        <f ca="1">IF($D477&lt;&gt;"Serviço",0,IF(OR(AND(AUTOEVENTO="Manual",$M477=1),$M477&gt;(ROW(PLE.lastrow)-ROW(PLE.firstrow))),0,IF(OFFSET(PLE!$G$14,$M477,CH$13)="",10^12,OFFSET(PLE!$G$14,$M477,CH$13))))</f>
        <v>1000000000000</v>
      </c>
      <c r="CI477" s="216">
        <f ca="1">IF($D477&lt;&gt;"Serviço",0,IF(OR(AND(AUTOEVENTO="Manual",$M477=1),$M477&gt;(ROW(PLE.lastrow)-ROW(PLE.firstrow))),0,IF(OFFSET(PLE!$G$14,$M477,CI$13)="",10^12,OFFSET(PLE!$G$14,$M477,CI$13))))</f>
        <v>1000000000000</v>
      </c>
      <c r="CJ477" s="216">
        <f ca="1">IF($D477&lt;&gt;"Serviço",0,IF(OR(AND(AUTOEVENTO="Manual",$M477=1),$M477&gt;(ROW(PLE.lastrow)-ROW(PLE.firstrow))),0,IF(OFFSET(PLE!$G$14,$M477,CJ$13)="",10^12,OFFSET(PLE!$G$14,$M477,CJ$13))))</f>
        <v>1000000000000</v>
      </c>
      <c r="CK477" s="216">
        <f ca="1">IF($D477&lt;&gt;"Serviço",0,IF(OR(AND(AUTOEVENTO="Manual",$M477=1),$M477&gt;(ROW(PLE.lastrow)-ROW(PLE.firstrow))),0,IF(OFFSET(PLE!$G$14,$M477,CK$13)="",10^12,OFFSET(PLE!$G$14,$M477,CK$13))))</f>
        <v>1000000000000</v>
      </c>
      <c r="CL477" s="216">
        <f ca="1">IF($D477&lt;&gt;"Serviço",0,IF(OR(AND(AUTOEVENTO="Manual",$M477=1),$M477&gt;(ROW(PLE.lastrow)-ROW(PLE.firstrow))),0,IF(OFFSET(PLE!$G$14,$M477,CL$13)="",10^12,OFFSET(PLE!$G$14,$M477,CL$13))))</f>
        <v>1000000000000</v>
      </c>
      <c r="CM477" s="216">
        <f ca="1">IF($D477&lt;&gt;"Serviço",0,IF(OR(AND(AUTOEVENTO="Manual",$M477=1),$M477&gt;(ROW(PLE.lastrow)-ROW(PLE.firstrow))),0,IF(OFFSET(PLE!$G$14,$M477,CM$13)="",10^12,OFFSET(PLE!$G$14,$M477,CM$13))))</f>
        <v>1000000000000</v>
      </c>
    </row>
    <row r="478" spans="1:91" ht="13.2" x14ac:dyDescent="0.25">
      <c r="A478" s="9">
        <f t="shared" ca="1" si="16"/>
        <v>0</v>
      </c>
      <c r="B478" s="9" t="str">
        <f ca="1">OFFSET(ORÇAMENTO!C$15,ROW(B478)-ROW(B$15),0)</f>
        <v>S</v>
      </c>
      <c r="C478" s="9" t="str">
        <f ca="1">OFFSET(ORÇAMENTO!L$15,ROW(C478)-ROW(C$15),0)</f>
        <v/>
      </c>
      <c r="D478" s="145" t="str">
        <f ca="1">OFFSET(ORÇAMENTO!N$15,ROW(D478)-ROW(D$15),0)</f>
        <v>Serviço</v>
      </c>
      <c r="E478" s="205" t="str">
        <f ca="1">OFFSET(ORÇAMENTO!O$15,ROW(E478)-ROW(E$15),0)</f>
        <v>-</v>
      </c>
      <c r="F478" s="206" t="str">
        <f ca="1">OFFSET(ORÇAMENTO!R$15,ROW(F478)-ROW(F$15),0)</f>
        <v>(abra o arquivo 'Referência 05-2024.xls)</v>
      </c>
      <c r="G478" s="207" t="str">
        <f ca="1">IF($D478&lt;&gt;"Serviço","",OFFSET(ORÇAMENTO!S$15,ROW(G478)-ROW(G$15),0))</f>
        <v>-</v>
      </c>
      <c r="H478" s="151">
        <f ca="1">IF($D478&lt;&gt;"Serviço",0,IF(ACOMPANHAMENTO="BM",ROUND(OFFSET(ORÇAMENTO!AJ$15,ROW(H478)-ROW(H$15),0),15-13*ORÇAMENTO!$AF$7),SUMPRODUCT(($Q$12:$AI$12&lt;&gt;"")*ROUND($Q478:$AI478,15-13*ORÇAMENTO!$AF$7))))</f>
        <v>24</v>
      </c>
      <c r="I478" s="650"/>
      <c r="K478" s="208"/>
      <c r="L478" s="209" t="s">
        <v>257</v>
      </c>
      <c r="M478" s="210">
        <f ca="1">IF($D478&lt;&gt;"Serviço","",IF(AUTOEVENTO="manual",$A478,IF(ISERROR(MATCH($A478,$A$15:OFFSET($A478,-1,0),0)),MAX($M$15:OFFSET(M478,-1,0))+1,INDEX($M$15:OFFSET(M478,-1,0),MATCH($A478,$A$15:OFFSET($A478,-1,0),0)))))</f>
        <v>0</v>
      </c>
      <c r="N478" s="211" t="str">
        <f ca="1">IF($D478&lt;&gt;"Serviço","",IF(AUTOEVENTO="Manual",IF($A478=0,"&lt;-- defina o número do agrupador",OFFSET(EVENTOS!$D$14,$A478,0)),OFFSET($F$15,$A478,0)))</f>
        <v>&lt;-- defina o número do agrupador</v>
      </c>
      <c r="O478" s="212"/>
      <c r="Q478" s="212"/>
      <c r="R478" s="213"/>
      <c r="S478" s="213"/>
      <c r="T478" s="213"/>
      <c r="U478" s="213"/>
      <c r="V478" s="213"/>
      <c r="W478" s="213"/>
      <c r="X478" s="213"/>
      <c r="Y478" s="213"/>
      <c r="Z478" s="214"/>
      <c r="AA478" s="213"/>
      <c r="AB478" s="213"/>
      <c r="AC478" s="213"/>
      <c r="AD478" s="213"/>
      <c r="AE478" s="213"/>
      <c r="AF478" s="213"/>
      <c r="AG478" s="213"/>
      <c r="AH478" s="214"/>
      <c r="AJ478" s="631">
        <f ca="1">IF(AND($D478="Serviço",AJ$12&lt;&gt;0,$H478&gt;0,OR(AUTOEVENTO&lt;&gt;"manual",$M478&lt;&gt;1)),ROUND(OFFSET($P478,0,AJ$13),15-13*ORÇAMENTO!$AF$7)/$H478*OFFSET(ORÇAMENTO!$X$15,ROW(AJ478)-ROW(AJ$15),0),0)</f>
        <v>0</v>
      </c>
      <c r="AK478" s="632">
        <f ca="1">IF(AND($D478="Serviço",AK$12&lt;&gt;0,$H478&gt;0,OR(AUTOEVENTO&lt;&gt;"manual",$M478&lt;&gt;1)),ROUND(OFFSET($P478,0,AK$13),15-13*ORÇAMENTO!$AF$7)/$H478*OFFSET(ORÇAMENTO!$X$15,ROW(AK478)-ROW(AK$15),0),0)</f>
        <v>0</v>
      </c>
      <c r="AL478" s="632">
        <f ca="1">IF(AND($D478="Serviço",AL$12&lt;&gt;0,$H478&gt;0,OR(AUTOEVENTO&lt;&gt;"manual",$M478&lt;&gt;1)),ROUND(OFFSET($P478,0,AL$13),15-13*ORÇAMENTO!$AF$7)/$H478*OFFSET(ORÇAMENTO!$X$15,ROW(AL478)-ROW(AL$15),0),0)</f>
        <v>0</v>
      </c>
      <c r="AM478" s="632">
        <f ca="1">IF(AND($D478="Serviço",AM$12&lt;&gt;0,$H478&gt;0,OR(AUTOEVENTO&lt;&gt;"manual",$M478&lt;&gt;1)),ROUND(OFFSET($P478,0,AM$13),15-13*ORÇAMENTO!$AF$7)/$H478*OFFSET(ORÇAMENTO!$X$15,ROW(AM478)-ROW(AM$15),0),0)</f>
        <v>0</v>
      </c>
      <c r="AN478" s="632">
        <f ca="1">IF(AND($D478="Serviço",AN$12&lt;&gt;0,$H478&gt;0,OR(AUTOEVENTO&lt;&gt;"manual",$M478&lt;&gt;1)),ROUND(OFFSET($P478,0,AN$13),15-13*ORÇAMENTO!$AF$7)/$H478*OFFSET(ORÇAMENTO!$X$15,ROW(AN478)-ROW(AN$15),0),0)</f>
        <v>0</v>
      </c>
      <c r="AO478" s="632">
        <f ca="1">IF(AND($D478="Serviço",AO$12&lt;&gt;0,$H478&gt;0,OR(AUTOEVENTO&lt;&gt;"manual",$M478&lt;&gt;1)),ROUND(OFFSET($P478,0,AO$13),15-13*ORÇAMENTO!$AF$7)/$H478*OFFSET(ORÇAMENTO!$X$15,ROW(AO478)-ROW(AO$15),0),0)</f>
        <v>0</v>
      </c>
      <c r="AP478" s="632">
        <f ca="1">IF(AND($D478="Serviço",AP$12&lt;&gt;0,$H478&gt;0,OR(AUTOEVENTO&lt;&gt;"manual",$M478&lt;&gt;1)),ROUND(OFFSET($P478,0,AP$13),15-13*ORÇAMENTO!$AF$7)/$H478*OFFSET(ORÇAMENTO!$X$15,ROW(AP478)-ROW(AP$15),0),0)</f>
        <v>0</v>
      </c>
      <c r="AQ478" s="632">
        <f ca="1">IF(AND($D478="Serviço",AQ$12&lt;&gt;0,$H478&gt;0,OR(AUTOEVENTO&lt;&gt;"manual",$M478&lt;&gt;1)),ROUND(OFFSET($P478,0,AQ$13),15-13*ORÇAMENTO!$AF$7)/$H478*OFFSET(ORÇAMENTO!$X$15,ROW(AQ478)-ROW(AQ$15),0),0)</f>
        <v>0</v>
      </c>
      <c r="AR478" s="632">
        <f ca="1">IF(AND($D478="Serviço",AR$12&lt;&gt;0,$H478&gt;0,OR(AUTOEVENTO&lt;&gt;"manual",$M478&lt;&gt;1)),ROUND(OFFSET($P478,0,AR$13),15-13*ORÇAMENTO!$AF$7)/$H478*OFFSET(ORÇAMENTO!$X$15,ROW(AR478)-ROW(AR$15),0),0)</f>
        <v>0</v>
      </c>
      <c r="AS478" s="633">
        <f ca="1">IF(AND($D478="Serviço",AS$12&lt;&gt;0,$H478&gt;0,OR(AUTOEVENTO&lt;&gt;"manual",$M478&lt;&gt;1)),ROUND(OFFSET($P478,0,AS$13),15-13*ORÇAMENTO!$AF$7)/$H478*OFFSET(ORÇAMENTO!$X$15,ROW(AS478)-ROW(AS$15),0),0)</f>
        <v>0</v>
      </c>
      <c r="AT478" s="632">
        <f ca="1">IF(AND($D478="Serviço",AT$12&lt;&gt;0,$H478&gt;0,OR(AUTOEVENTO&lt;&gt;"manual",$M478&lt;&gt;1)),ROUND(OFFSET($P478,0,AT$13),15-13*ORÇAMENTO!$AF$7)/$H478*OFFSET(ORÇAMENTO!$X$15,ROW(AT478)-ROW(AT$15),0),0)</f>
        <v>0</v>
      </c>
      <c r="AU478" s="632">
        <f ca="1">IF(AND($D478="Serviço",AU$12&lt;&gt;0,$H478&gt;0,OR(AUTOEVENTO&lt;&gt;"manual",$M478&lt;&gt;1)),ROUND(OFFSET($P478,0,AU$13),15-13*ORÇAMENTO!$AF$7)/$H478*OFFSET(ORÇAMENTO!$X$15,ROW(AU478)-ROW(AU$15),0),0)</f>
        <v>0</v>
      </c>
      <c r="AV478" s="632">
        <f ca="1">IF(AND($D478="Serviço",AV$12&lt;&gt;0,$H478&gt;0,OR(AUTOEVENTO&lt;&gt;"manual",$M478&lt;&gt;1)),ROUND(OFFSET($P478,0,AV$13),15-13*ORÇAMENTO!$AF$7)/$H478*OFFSET(ORÇAMENTO!$X$15,ROW(AV478)-ROW(AV$15),0),0)</f>
        <v>0</v>
      </c>
      <c r="AW478" s="632">
        <f ca="1">IF(AND($D478="Serviço",AW$12&lt;&gt;0,$H478&gt;0,OR(AUTOEVENTO&lt;&gt;"manual",$M478&lt;&gt;1)),ROUND(OFFSET($P478,0,AW$13),15-13*ORÇAMENTO!$AF$7)/$H478*OFFSET(ORÇAMENTO!$X$15,ROW(AW478)-ROW(AW$15),0),0)</f>
        <v>0</v>
      </c>
      <c r="AX478" s="632">
        <f ca="1">IF(AND($D478="Serviço",AX$12&lt;&gt;0,$H478&gt;0,OR(AUTOEVENTO&lt;&gt;"manual",$M478&lt;&gt;1)),ROUND(OFFSET($P478,0,AX$13),15-13*ORÇAMENTO!$AF$7)/$H478*OFFSET(ORÇAMENTO!$X$15,ROW(AX478)-ROW(AX$15),0),0)</f>
        <v>0</v>
      </c>
      <c r="AY478" s="632">
        <f ca="1">IF(AND($D478="Serviço",AY$12&lt;&gt;0,$H478&gt;0,OR(AUTOEVENTO&lt;&gt;"manual",$M478&lt;&gt;1)),ROUND(OFFSET($P478,0,AY$13),15-13*ORÇAMENTO!$AF$7)/$H478*OFFSET(ORÇAMENTO!$X$15,ROW(AY478)-ROW(AY$15),0),0)</f>
        <v>0</v>
      </c>
      <c r="AZ478" s="632">
        <f ca="1">IF(AND($D478="Serviço",AZ$12&lt;&gt;0,$H478&gt;0,OR(AUTOEVENTO&lt;&gt;"manual",$M478&lt;&gt;1)),ROUND(OFFSET($P478,0,AZ$13),15-13*ORÇAMENTO!$AF$7)/$H478*OFFSET(ORÇAMENTO!$X$15,ROW(AZ478)-ROW(AZ$15),0),0)</f>
        <v>0</v>
      </c>
      <c r="BA478" s="633">
        <f ca="1">IF(AND($D478="Serviço",BA$12&lt;&gt;0,$H478&gt;0,OR(AUTOEVENTO&lt;&gt;"manual",$M478&lt;&gt;1)),ROUND(OFFSET($P478,0,BA$13),15-13*ORÇAMENTO!$AF$7)/$H478*OFFSET(ORÇAMENTO!$X$15,ROW(BA478)-ROW(BA$15),0),0)</f>
        <v>0</v>
      </c>
      <c r="BC478" s="215">
        <f ca="1">IF($D478&lt;&gt;"Serviço",0,IF(AND(AUTOEVENTO="Manual",$M478=1),0,IF(OFFSET(CRONOPLE!$F$14,$M478,BC$13)="",10^12,OFFSET(CRONOPLE!$F$14,$M478,BC$13))))</f>
        <v>1000000000000</v>
      </c>
      <c r="BD478" s="215">
        <f ca="1">IF($D478&lt;&gt;"Serviço",0,IF(AND(AUTOEVENTO="Manual",$M478=1),0,IF(OFFSET(CRONOPLE!$F$14,$M478,BD$13)="",10^12,OFFSET(CRONOPLE!$F$14,$M478,BD$13))))</f>
        <v>1000000000000</v>
      </c>
      <c r="BE478" s="215">
        <f ca="1">IF($D478&lt;&gt;"Serviço",0,IF(AND(AUTOEVENTO="Manual",$M478=1),0,IF(OFFSET(CRONOPLE!$F$14,$M478,BE$13)="",10^12,OFFSET(CRONOPLE!$F$14,$M478,BE$13))))</f>
        <v>1000000000000</v>
      </c>
      <c r="BF478" s="215">
        <f ca="1">IF($D478&lt;&gt;"Serviço",0,IF(AND(AUTOEVENTO="Manual",$M478=1),0,IF(OFFSET(CRONOPLE!$F$14,$M478,BF$13)="",10^12,OFFSET(CRONOPLE!$F$14,$M478,BF$13))))</f>
        <v>1000000000000</v>
      </c>
      <c r="BG478" s="215">
        <f ca="1">IF($D478&lt;&gt;"Serviço",0,IF(AND(AUTOEVENTO="Manual",$M478=1),0,IF(OFFSET(CRONOPLE!$F$14,$M478,BG$13)="",10^12,OFFSET(CRONOPLE!$F$14,$M478,BG$13))))</f>
        <v>1000000000000</v>
      </c>
      <c r="BH478" s="215">
        <f ca="1">IF($D478&lt;&gt;"Serviço",0,IF(AND(AUTOEVENTO="Manual",$M478=1),0,IF(OFFSET(CRONOPLE!$F$14,$M478,BH$13)="",10^12,OFFSET(CRONOPLE!$F$14,$M478,BH$13))))</f>
        <v>1000000000000</v>
      </c>
      <c r="BI478" s="215">
        <f ca="1">IF($D478&lt;&gt;"Serviço",0,IF(AND(AUTOEVENTO="Manual",$M478=1),0,IF(OFFSET(CRONOPLE!$F$14,$M478,BI$13)="",10^12,OFFSET(CRONOPLE!$F$14,$M478,BI$13))))</f>
        <v>1000000000000</v>
      </c>
      <c r="BJ478" s="215">
        <f ca="1">IF($D478&lt;&gt;"Serviço",0,IF(AND(AUTOEVENTO="Manual",$M478=1),0,IF(OFFSET(CRONOPLE!$F$14,$M478,BJ$13)="",10^12,OFFSET(CRONOPLE!$F$14,$M478,BJ$13))))</f>
        <v>1000000000000</v>
      </c>
      <c r="BK478" s="215">
        <f ca="1">IF($D478&lt;&gt;"Serviço",0,IF(AND(AUTOEVENTO="Manual",$M478=1),0,IF(OFFSET(CRONOPLE!$F$14,$M478,BK$13)="",10^12,OFFSET(CRONOPLE!$F$14,$M478,BK$13))))</f>
        <v>1000000000000</v>
      </c>
      <c r="BL478" s="215">
        <f ca="1">IF($D478&lt;&gt;"Serviço",0,IF(AND(AUTOEVENTO="Manual",$M478=1),0,IF(OFFSET(CRONOPLE!$F$14,$M478,BL$13)="",10^12,OFFSET(CRONOPLE!$F$14,$M478,BL$13))))</f>
        <v>1000000000000</v>
      </c>
      <c r="BM478" s="215">
        <f ca="1">IF($D478&lt;&gt;"Serviço",0,IF(AND(AUTOEVENTO="Manual",$M478=1),0,IF(OFFSET(CRONOPLE!$F$14,$M478,BM$13)="",10^12,OFFSET(CRONOPLE!$F$14,$M478,BM$13))))</f>
        <v>1000000000000</v>
      </c>
      <c r="BN478" s="215">
        <f ca="1">IF($D478&lt;&gt;"Serviço",0,IF(AND(AUTOEVENTO="Manual",$M478=1),0,IF(OFFSET(CRONOPLE!$F$14,$M478,BN$13)="",10^12,OFFSET(CRONOPLE!$F$14,$M478,BN$13))))</f>
        <v>1000000000000</v>
      </c>
      <c r="BO478" s="215">
        <f ca="1">IF($D478&lt;&gt;"Serviço",0,IF(AND(AUTOEVENTO="Manual",$M478=1),0,IF(OFFSET(CRONOPLE!$F$14,$M478,BO$13)="",10^12,OFFSET(CRONOPLE!$F$14,$M478,BO$13))))</f>
        <v>1000000000000</v>
      </c>
      <c r="BP478" s="215">
        <f ca="1">IF($D478&lt;&gt;"Serviço",0,IF(AND(AUTOEVENTO="Manual",$M478=1),0,IF(OFFSET(CRONOPLE!$F$14,$M478,BP$13)="",10^12,OFFSET(CRONOPLE!$F$14,$M478,BP$13))))</f>
        <v>1000000000000</v>
      </c>
      <c r="BQ478" s="215">
        <f ca="1">IF($D478&lt;&gt;"Serviço",0,IF(AND(AUTOEVENTO="Manual",$M478=1),0,IF(OFFSET(CRONOPLE!$F$14,$M478,BQ$13)="",10^12,OFFSET(CRONOPLE!$F$14,$M478,BQ$13))))</f>
        <v>1000000000000</v>
      </c>
      <c r="BR478" s="215">
        <f ca="1">IF($D478&lt;&gt;"Serviço",0,IF(AND(AUTOEVENTO="Manual",$M478=1),0,IF(OFFSET(CRONOPLE!$F$14,$M478,BR$13)="",10^12,OFFSET(CRONOPLE!$F$14,$M478,BR$13))))</f>
        <v>1000000000000</v>
      </c>
      <c r="BS478" s="215">
        <f ca="1">IF($D478&lt;&gt;"Serviço",0,IF(AND(AUTOEVENTO="Manual",$M478=1),0,IF(OFFSET(CRONOPLE!$F$14,$M478,BS$13)="",10^12,OFFSET(CRONOPLE!$F$14,$M478,BS$13))))</f>
        <v>1000000000000</v>
      </c>
      <c r="BT478" s="215">
        <f ca="1">IF($D478&lt;&gt;"Serviço",0,IF(AND(AUTOEVENTO="Manual",$M478=1),0,IF(OFFSET(CRONOPLE!$F$14,$M478,BT$13)="",10^12,OFFSET(CRONOPLE!$F$14,$M478,BT$13))))</f>
        <v>1000000000000</v>
      </c>
      <c r="BV478" s="216">
        <f ca="1">IF($D478&lt;&gt;"Serviço",0,IF(OR(AND(AUTOEVENTO="Manual",$M478=1),$M478&gt;(ROW(PLE.lastrow)-ROW(PLE.firstrow))),0,IF(OFFSET(PLE!$G$14,$M478,BV$13)="",10^12,OFFSET(PLE!$G$14,$M478,BV$13))))</f>
        <v>1000000000000</v>
      </c>
      <c r="BW478" s="216">
        <f ca="1">IF($D478&lt;&gt;"Serviço",0,IF(OR(AND(AUTOEVENTO="Manual",$M478=1),$M478&gt;(ROW(PLE.lastrow)-ROW(PLE.firstrow))),0,IF(OFFSET(PLE!$G$14,$M478,BW$13)="",10^12,OFFSET(PLE!$G$14,$M478,BW$13))))</f>
        <v>1000000000000</v>
      </c>
      <c r="BX478" s="216">
        <f ca="1">IF($D478&lt;&gt;"Serviço",0,IF(OR(AND(AUTOEVENTO="Manual",$M478=1),$M478&gt;(ROW(PLE.lastrow)-ROW(PLE.firstrow))),0,IF(OFFSET(PLE!$G$14,$M478,BX$13)="",10^12,OFFSET(PLE!$G$14,$M478,BX$13))))</f>
        <v>1000000000000</v>
      </c>
      <c r="BY478" s="216">
        <f ca="1">IF($D478&lt;&gt;"Serviço",0,IF(OR(AND(AUTOEVENTO="Manual",$M478=1),$M478&gt;(ROW(PLE.lastrow)-ROW(PLE.firstrow))),0,IF(OFFSET(PLE!$G$14,$M478,BY$13)="",10^12,OFFSET(PLE!$G$14,$M478,BY$13))))</f>
        <v>1000000000000</v>
      </c>
      <c r="BZ478" s="216">
        <f ca="1">IF($D478&lt;&gt;"Serviço",0,IF(OR(AND(AUTOEVENTO="Manual",$M478=1),$M478&gt;(ROW(PLE.lastrow)-ROW(PLE.firstrow))),0,IF(OFFSET(PLE!$G$14,$M478,BZ$13)="",10^12,OFFSET(PLE!$G$14,$M478,BZ$13))))</f>
        <v>1000000000000</v>
      </c>
      <c r="CA478" s="216">
        <f ca="1">IF($D478&lt;&gt;"Serviço",0,IF(OR(AND(AUTOEVENTO="Manual",$M478=1),$M478&gt;(ROW(PLE.lastrow)-ROW(PLE.firstrow))),0,IF(OFFSET(PLE!$G$14,$M478,CA$13)="",10^12,OFFSET(PLE!$G$14,$M478,CA$13))))</f>
        <v>1000000000000</v>
      </c>
      <c r="CB478" s="216">
        <f ca="1">IF($D478&lt;&gt;"Serviço",0,IF(OR(AND(AUTOEVENTO="Manual",$M478=1),$M478&gt;(ROW(PLE.lastrow)-ROW(PLE.firstrow))),0,IF(OFFSET(PLE!$G$14,$M478,CB$13)="",10^12,OFFSET(PLE!$G$14,$M478,CB$13))))</f>
        <v>1000000000000</v>
      </c>
      <c r="CC478" s="216">
        <f ca="1">IF($D478&lt;&gt;"Serviço",0,IF(OR(AND(AUTOEVENTO="Manual",$M478=1),$M478&gt;(ROW(PLE.lastrow)-ROW(PLE.firstrow))),0,IF(OFFSET(PLE!$G$14,$M478,CC$13)="",10^12,OFFSET(PLE!$G$14,$M478,CC$13))))</f>
        <v>1000000000000</v>
      </c>
      <c r="CD478" s="216">
        <f ca="1">IF($D478&lt;&gt;"Serviço",0,IF(OR(AND(AUTOEVENTO="Manual",$M478=1),$M478&gt;(ROW(PLE.lastrow)-ROW(PLE.firstrow))),0,IF(OFFSET(PLE!$G$14,$M478,CD$13)="",10^12,OFFSET(PLE!$G$14,$M478,CD$13))))</f>
        <v>1000000000000</v>
      </c>
      <c r="CE478" s="216">
        <f ca="1">IF($D478&lt;&gt;"Serviço",0,IF(OR(AND(AUTOEVENTO="Manual",$M478=1),$M478&gt;(ROW(PLE.lastrow)-ROW(PLE.firstrow))),0,IF(OFFSET(PLE!$G$14,$M478,CE$13)="",10^12,OFFSET(PLE!$G$14,$M478,CE$13))))</f>
        <v>1000000000000</v>
      </c>
      <c r="CF478" s="216">
        <f ca="1">IF($D478&lt;&gt;"Serviço",0,IF(OR(AND(AUTOEVENTO="Manual",$M478=1),$M478&gt;(ROW(PLE.lastrow)-ROW(PLE.firstrow))),0,IF(OFFSET(PLE!$G$14,$M478,CF$13)="",10^12,OFFSET(PLE!$G$14,$M478,CF$13))))</f>
        <v>1000000000000</v>
      </c>
      <c r="CG478" s="216">
        <f ca="1">IF($D478&lt;&gt;"Serviço",0,IF(OR(AND(AUTOEVENTO="Manual",$M478=1),$M478&gt;(ROW(PLE.lastrow)-ROW(PLE.firstrow))),0,IF(OFFSET(PLE!$G$14,$M478,CG$13)="",10^12,OFFSET(PLE!$G$14,$M478,CG$13))))</f>
        <v>1000000000000</v>
      </c>
      <c r="CH478" s="216">
        <f ca="1">IF($D478&lt;&gt;"Serviço",0,IF(OR(AND(AUTOEVENTO="Manual",$M478=1),$M478&gt;(ROW(PLE.lastrow)-ROW(PLE.firstrow))),0,IF(OFFSET(PLE!$G$14,$M478,CH$13)="",10^12,OFFSET(PLE!$G$14,$M478,CH$13))))</f>
        <v>1000000000000</v>
      </c>
      <c r="CI478" s="216">
        <f ca="1">IF($D478&lt;&gt;"Serviço",0,IF(OR(AND(AUTOEVENTO="Manual",$M478=1),$M478&gt;(ROW(PLE.lastrow)-ROW(PLE.firstrow))),0,IF(OFFSET(PLE!$G$14,$M478,CI$13)="",10^12,OFFSET(PLE!$G$14,$M478,CI$13))))</f>
        <v>1000000000000</v>
      </c>
      <c r="CJ478" s="216">
        <f ca="1">IF($D478&lt;&gt;"Serviço",0,IF(OR(AND(AUTOEVENTO="Manual",$M478=1),$M478&gt;(ROW(PLE.lastrow)-ROW(PLE.firstrow))),0,IF(OFFSET(PLE!$G$14,$M478,CJ$13)="",10^12,OFFSET(PLE!$G$14,$M478,CJ$13))))</f>
        <v>1000000000000</v>
      </c>
      <c r="CK478" s="216">
        <f ca="1">IF($D478&lt;&gt;"Serviço",0,IF(OR(AND(AUTOEVENTO="Manual",$M478=1),$M478&gt;(ROW(PLE.lastrow)-ROW(PLE.firstrow))),0,IF(OFFSET(PLE!$G$14,$M478,CK$13)="",10^12,OFFSET(PLE!$G$14,$M478,CK$13))))</f>
        <v>1000000000000</v>
      </c>
      <c r="CL478" s="216">
        <f ca="1">IF($D478&lt;&gt;"Serviço",0,IF(OR(AND(AUTOEVENTO="Manual",$M478=1),$M478&gt;(ROW(PLE.lastrow)-ROW(PLE.firstrow))),0,IF(OFFSET(PLE!$G$14,$M478,CL$13)="",10^12,OFFSET(PLE!$G$14,$M478,CL$13))))</f>
        <v>1000000000000</v>
      </c>
      <c r="CM478" s="216">
        <f ca="1">IF($D478&lt;&gt;"Serviço",0,IF(OR(AND(AUTOEVENTO="Manual",$M478=1),$M478&gt;(ROW(PLE.lastrow)-ROW(PLE.firstrow))),0,IF(OFFSET(PLE!$G$14,$M478,CM$13)="",10^12,OFFSET(PLE!$G$14,$M478,CM$13))))</f>
        <v>1000000000000</v>
      </c>
    </row>
    <row r="479" spans="1:91" ht="13.2" x14ac:dyDescent="0.25">
      <c r="A479" s="9">
        <f t="shared" ca="1" si="16"/>
        <v>0</v>
      </c>
      <c r="B479" s="9" t="str">
        <f ca="1">OFFSET(ORÇAMENTO!C$15,ROW(B479)-ROW(B$15),0)</f>
        <v>S</v>
      </c>
      <c r="C479" s="9" t="str">
        <f ca="1">OFFSET(ORÇAMENTO!L$15,ROW(C479)-ROW(C$15),0)</f>
        <v/>
      </c>
      <c r="D479" s="145" t="str">
        <f ca="1">OFFSET(ORÇAMENTO!N$15,ROW(D479)-ROW(D$15),0)</f>
        <v>Serviço</v>
      </c>
      <c r="E479" s="205" t="str">
        <f ca="1">OFFSET(ORÇAMENTO!O$15,ROW(E479)-ROW(E$15),0)</f>
        <v>-</v>
      </c>
      <c r="F479" s="206" t="str">
        <f ca="1">OFFSET(ORÇAMENTO!R$15,ROW(F479)-ROW(F$15),0)</f>
        <v>(abra o arquivo 'Referência 05-2024.xls)</v>
      </c>
      <c r="G479" s="207" t="str">
        <f ca="1">IF($D479&lt;&gt;"Serviço","",OFFSET(ORÇAMENTO!S$15,ROW(G479)-ROW(G$15),0))</f>
        <v>-</v>
      </c>
      <c r="H479" s="151">
        <f ca="1">IF($D479&lt;&gt;"Serviço",0,IF(ACOMPANHAMENTO="BM",ROUND(OFFSET(ORÇAMENTO!AJ$15,ROW(H479)-ROW(H$15),0),15-13*ORÇAMENTO!$AF$7),SUMPRODUCT(($Q$12:$AI$12&lt;&gt;"")*ROUND($Q479:$AI479,15-13*ORÇAMENTO!$AF$7))))</f>
        <v>15</v>
      </c>
      <c r="I479" s="650"/>
      <c r="K479" s="208"/>
      <c r="L479" s="209" t="s">
        <v>257</v>
      </c>
      <c r="M479" s="210">
        <f ca="1">IF($D479&lt;&gt;"Serviço","",IF(AUTOEVENTO="manual",$A479,IF(ISERROR(MATCH($A479,$A$15:OFFSET($A479,-1,0),0)),MAX($M$15:OFFSET(M479,-1,0))+1,INDEX($M$15:OFFSET(M479,-1,0),MATCH($A479,$A$15:OFFSET($A479,-1,0),0)))))</f>
        <v>0</v>
      </c>
      <c r="N479" s="211" t="str">
        <f ca="1">IF($D479&lt;&gt;"Serviço","",IF(AUTOEVENTO="Manual",IF($A479=0,"&lt;-- defina o número do agrupador",OFFSET(EVENTOS!$D$14,$A479,0)),OFFSET($F$15,$A479,0)))</f>
        <v>&lt;-- defina o número do agrupador</v>
      </c>
      <c r="O479" s="212"/>
      <c r="Q479" s="212"/>
      <c r="R479" s="213"/>
      <c r="S479" s="213"/>
      <c r="T479" s="213"/>
      <c r="U479" s="213"/>
      <c r="V479" s="213"/>
      <c r="W479" s="213"/>
      <c r="X479" s="213"/>
      <c r="Y479" s="213"/>
      <c r="Z479" s="214"/>
      <c r="AA479" s="213"/>
      <c r="AB479" s="213"/>
      <c r="AC479" s="213"/>
      <c r="AD479" s="213"/>
      <c r="AE479" s="213"/>
      <c r="AF479" s="213"/>
      <c r="AG479" s="213"/>
      <c r="AH479" s="214"/>
      <c r="AJ479" s="631">
        <f ca="1">IF(AND($D479="Serviço",AJ$12&lt;&gt;0,$H479&gt;0,OR(AUTOEVENTO&lt;&gt;"manual",$M479&lt;&gt;1)),ROUND(OFFSET($P479,0,AJ$13),15-13*ORÇAMENTO!$AF$7)/$H479*OFFSET(ORÇAMENTO!$X$15,ROW(AJ479)-ROW(AJ$15),0),0)</f>
        <v>0</v>
      </c>
      <c r="AK479" s="632">
        <f ca="1">IF(AND($D479="Serviço",AK$12&lt;&gt;0,$H479&gt;0,OR(AUTOEVENTO&lt;&gt;"manual",$M479&lt;&gt;1)),ROUND(OFFSET($P479,0,AK$13),15-13*ORÇAMENTO!$AF$7)/$H479*OFFSET(ORÇAMENTO!$X$15,ROW(AK479)-ROW(AK$15),0),0)</f>
        <v>0</v>
      </c>
      <c r="AL479" s="632">
        <f ca="1">IF(AND($D479="Serviço",AL$12&lt;&gt;0,$H479&gt;0,OR(AUTOEVENTO&lt;&gt;"manual",$M479&lt;&gt;1)),ROUND(OFFSET($P479,0,AL$13),15-13*ORÇAMENTO!$AF$7)/$H479*OFFSET(ORÇAMENTO!$X$15,ROW(AL479)-ROW(AL$15),0),0)</f>
        <v>0</v>
      </c>
      <c r="AM479" s="632">
        <f ca="1">IF(AND($D479="Serviço",AM$12&lt;&gt;0,$H479&gt;0,OR(AUTOEVENTO&lt;&gt;"manual",$M479&lt;&gt;1)),ROUND(OFFSET($P479,0,AM$13),15-13*ORÇAMENTO!$AF$7)/$H479*OFFSET(ORÇAMENTO!$X$15,ROW(AM479)-ROW(AM$15),0),0)</f>
        <v>0</v>
      </c>
      <c r="AN479" s="632">
        <f ca="1">IF(AND($D479="Serviço",AN$12&lt;&gt;0,$H479&gt;0,OR(AUTOEVENTO&lt;&gt;"manual",$M479&lt;&gt;1)),ROUND(OFFSET($P479,0,AN$13),15-13*ORÇAMENTO!$AF$7)/$H479*OFFSET(ORÇAMENTO!$X$15,ROW(AN479)-ROW(AN$15),0),0)</f>
        <v>0</v>
      </c>
      <c r="AO479" s="632">
        <f ca="1">IF(AND($D479="Serviço",AO$12&lt;&gt;0,$H479&gt;0,OR(AUTOEVENTO&lt;&gt;"manual",$M479&lt;&gt;1)),ROUND(OFFSET($P479,0,AO$13),15-13*ORÇAMENTO!$AF$7)/$H479*OFFSET(ORÇAMENTO!$X$15,ROW(AO479)-ROW(AO$15),0),0)</f>
        <v>0</v>
      </c>
      <c r="AP479" s="632">
        <f ca="1">IF(AND($D479="Serviço",AP$12&lt;&gt;0,$H479&gt;0,OR(AUTOEVENTO&lt;&gt;"manual",$M479&lt;&gt;1)),ROUND(OFFSET($P479,0,AP$13),15-13*ORÇAMENTO!$AF$7)/$H479*OFFSET(ORÇAMENTO!$X$15,ROW(AP479)-ROW(AP$15),0),0)</f>
        <v>0</v>
      </c>
      <c r="AQ479" s="632">
        <f ca="1">IF(AND($D479="Serviço",AQ$12&lt;&gt;0,$H479&gt;0,OR(AUTOEVENTO&lt;&gt;"manual",$M479&lt;&gt;1)),ROUND(OFFSET($P479,0,AQ$13),15-13*ORÇAMENTO!$AF$7)/$H479*OFFSET(ORÇAMENTO!$X$15,ROW(AQ479)-ROW(AQ$15),0),0)</f>
        <v>0</v>
      </c>
      <c r="AR479" s="632">
        <f ca="1">IF(AND($D479="Serviço",AR$12&lt;&gt;0,$H479&gt;0,OR(AUTOEVENTO&lt;&gt;"manual",$M479&lt;&gt;1)),ROUND(OFFSET($P479,0,AR$13),15-13*ORÇAMENTO!$AF$7)/$H479*OFFSET(ORÇAMENTO!$X$15,ROW(AR479)-ROW(AR$15),0),0)</f>
        <v>0</v>
      </c>
      <c r="AS479" s="633">
        <f ca="1">IF(AND($D479="Serviço",AS$12&lt;&gt;0,$H479&gt;0,OR(AUTOEVENTO&lt;&gt;"manual",$M479&lt;&gt;1)),ROUND(OFFSET($P479,0,AS$13),15-13*ORÇAMENTO!$AF$7)/$H479*OFFSET(ORÇAMENTO!$X$15,ROW(AS479)-ROW(AS$15),0),0)</f>
        <v>0</v>
      </c>
      <c r="AT479" s="632">
        <f ca="1">IF(AND($D479="Serviço",AT$12&lt;&gt;0,$H479&gt;0,OR(AUTOEVENTO&lt;&gt;"manual",$M479&lt;&gt;1)),ROUND(OFFSET($P479,0,AT$13),15-13*ORÇAMENTO!$AF$7)/$H479*OFFSET(ORÇAMENTO!$X$15,ROW(AT479)-ROW(AT$15),0),0)</f>
        <v>0</v>
      </c>
      <c r="AU479" s="632">
        <f ca="1">IF(AND($D479="Serviço",AU$12&lt;&gt;0,$H479&gt;0,OR(AUTOEVENTO&lt;&gt;"manual",$M479&lt;&gt;1)),ROUND(OFFSET($P479,0,AU$13),15-13*ORÇAMENTO!$AF$7)/$H479*OFFSET(ORÇAMENTO!$X$15,ROW(AU479)-ROW(AU$15),0),0)</f>
        <v>0</v>
      </c>
      <c r="AV479" s="632">
        <f ca="1">IF(AND($D479="Serviço",AV$12&lt;&gt;0,$H479&gt;0,OR(AUTOEVENTO&lt;&gt;"manual",$M479&lt;&gt;1)),ROUND(OFFSET($P479,0,AV$13),15-13*ORÇAMENTO!$AF$7)/$H479*OFFSET(ORÇAMENTO!$X$15,ROW(AV479)-ROW(AV$15),0),0)</f>
        <v>0</v>
      </c>
      <c r="AW479" s="632">
        <f ca="1">IF(AND($D479="Serviço",AW$12&lt;&gt;0,$H479&gt;0,OR(AUTOEVENTO&lt;&gt;"manual",$M479&lt;&gt;1)),ROUND(OFFSET($P479,0,AW$13),15-13*ORÇAMENTO!$AF$7)/$H479*OFFSET(ORÇAMENTO!$X$15,ROW(AW479)-ROW(AW$15),0),0)</f>
        <v>0</v>
      </c>
      <c r="AX479" s="632">
        <f ca="1">IF(AND($D479="Serviço",AX$12&lt;&gt;0,$H479&gt;0,OR(AUTOEVENTO&lt;&gt;"manual",$M479&lt;&gt;1)),ROUND(OFFSET($P479,0,AX$13),15-13*ORÇAMENTO!$AF$7)/$H479*OFFSET(ORÇAMENTO!$X$15,ROW(AX479)-ROW(AX$15),0),0)</f>
        <v>0</v>
      </c>
      <c r="AY479" s="632">
        <f ca="1">IF(AND($D479="Serviço",AY$12&lt;&gt;0,$H479&gt;0,OR(AUTOEVENTO&lt;&gt;"manual",$M479&lt;&gt;1)),ROUND(OFFSET($P479,0,AY$13),15-13*ORÇAMENTO!$AF$7)/$H479*OFFSET(ORÇAMENTO!$X$15,ROW(AY479)-ROW(AY$15),0),0)</f>
        <v>0</v>
      </c>
      <c r="AZ479" s="632">
        <f ca="1">IF(AND($D479="Serviço",AZ$12&lt;&gt;0,$H479&gt;0,OR(AUTOEVENTO&lt;&gt;"manual",$M479&lt;&gt;1)),ROUND(OFFSET($P479,0,AZ$13),15-13*ORÇAMENTO!$AF$7)/$H479*OFFSET(ORÇAMENTO!$X$15,ROW(AZ479)-ROW(AZ$15),0),0)</f>
        <v>0</v>
      </c>
      <c r="BA479" s="633">
        <f ca="1">IF(AND($D479="Serviço",BA$12&lt;&gt;0,$H479&gt;0,OR(AUTOEVENTO&lt;&gt;"manual",$M479&lt;&gt;1)),ROUND(OFFSET($P479,0,BA$13),15-13*ORÇAMENTO!$AF$7)/$H479*OFFSET(ORÇAMENTO!$X$15,ROW(BA479)-ROW(BA$15),0),0)</f>
        <v>0</v>
      </c>
      <c r="BC479" s="215">
        <f ca="1">IF($D479&lt;&gt;"Serviço",0,IF(AND(AUTOEVENTO="Manual",$M479=1),0,IF(OFFSET(CRONOPLE!$F$14,$M479,BC$13)="",10^12,OFFSET(CRONOPLE!$F$14,$M479,BC$13))))</f>
        <v>1000000000000</v>
      </c>
      <c r="BD479" s="215">
        <f ca="1">IF($D479&lt;&gt;"Serviço",0,IF(AND(AUTOEVENTO="Manual",$M479=1),0,IF(OFFSET(CRONOPLE!$F$14,$M479,BD$13)="",10^12,OFFSET(CRONOPLE!$F$14,$M479,BD$13))))</f>
        <v>1000000000000</v>
      </c>
      <c r="BE479" s="215">
        <f ca="1">IF($D479&lt;&gt;"Serviço",0,IF(AND(AUTOEVENTO="Manual",$M479=1),0,IF(OFFSET(CRONOPLE!$F$14,$M479,BE$13)="",10^12,OFFSET(CRONOPLE!$F$14,$M479,BE$13))))</f>
        <v>1000000000000</v>
      </c>
      <c r="BF479" s="215">
        <f ca="1">IF($D479&lt;&gt;"Serviço",0,IF(AND(AUTOEVENTO="Manual",$M479=1),0,IF(OFFSET(CRONOPLE!$F$14,$M479,BF$13)="",10^12,OFFSET(CRONOPLE!$F$14,$M479,BF$13))))</f>
        <v>1000000000000</v>
      </c>
      <c r="BG479" s="215">
        <f ca="1">IF($D479&lt;&gt;"Serviço",0,IF(AND(AUTOEVENTO="Manual",$M479=1),0,IF(OFFSET(CRONOPLE!$F$14,$M479,BG$13)="",10^12,OFFSET(CRONOPLE!$F$14,$M479,BG$13))))</f>
        <v>1000000000000</v>
      </c>
      <c r="BH479" s="215">
        <f ca="1">IF($D479&lt;&gt;"Serviço",0,IF(AND(AUTOEVENTO="Manual",$M479=1),0,IF(OFFSET(CRONOPLE!$F$14,$M479,BH$13)="",10^12,OFFSET(CRONOPLE!$F$14,$M479,BH$13))))</f>
        <v>1000000000000</v>
      </c>
      <c r="BI479" s="215">
        <f ca="1">IF($D479&lt;&gt;"Serviço",0,IF(AND(AUTOEVENTO="Manual",$M479=1),0,IF(OFFSET(CRONOPLE!$F$14,$M479,BI$13)="",10^12,OFFSET(CRONOPLE!$F$14,$M479,BI$13))))</f>
        <v>1000000000000</v>
      </c>
      <c r="BJ479" s="215">
        <f ca="1">IF($D479&lt;&gt;"Serviço",0,IF(AND(AUTOEVENTO="Manual",$M479=1),0,IF(OFFSET(CRONOPLE!$F$14,$M479,BJ$13)="",10^12,OFFSET(CRONOPLE!$F$14,$M479,BJ$13))))</f>
        <v>1000000000000</v>
      </c>
      <c r="BK479" s="215">
        <f ca="1">IF($D479&lt;&gt;"Serviço",0,IF(AND(AUTOEVENTO="Manual",$M479=1),0,IF(OFFSET(CRONOPLE!$F$14,$M479,BK$13)="",10^12,OFFSET(CRONOPLE!$F$14,$M479,BK$13))))</f>
        <v>1000000000000</v>
      </c>
      <c r="BL479" s="215">
        <f ca="1">IF($D479&lt;&gt;"Serviço",0,IF(AND(AUTOEVENTO="Manual",$M479=1),0,IF(OFFSET(CRONOPLE!$F$14,$M479,BL$13)="",10^12,OFFSET(CRONOPLE!$F$14,$M479,BL$13))))</f>
        <v>1000000000000</v>
      </c>
      <c r="BM479" s="215">
        <f ca="1">IF($D479&lt;&gt;"Serviço",0,IF(AND(AUTOEVENTO="Manual",$M479=1),0,IF(OFFSET(CRONOPLE!$F$14,$M479,BM$13)="",10^12,OFFSET(CRONOPLE!$F$14,$M479,BM$13))))</f>
        <v>1000000000000</v>
      </c>
      <c r="BN479" s="215">
        <f ca="1">IF($D479&lt;&gt;"Serviço",0,IF(AND(AUTOEVENTO="Manual",$M479=1),0,IF(OFFSET(CRONOPLE!$F$14,$M479,BN$13)="",10^12,OFFSET(CRONOPLE!$F$14,$M479,BN$13))))</f>
        <v>1000000000000</v>
      </c>
      <c r="BO479" s="215">
        <f ca="1">IF($D479&lt;&gt;"Serviço",0,IF(AND(AUTOEVENTO="Manual",$M479=1),0,IF(OFFSET(CRONOPLE!$F$14,$M479,BO$13)="",10^12,OFFSET(CRONOPLE!$F$14,$M479,BO$13))))</f>
        <v>1000000000000</v>
      </c>
      <c r="BP479" s="215">
        <f ca="1">IF($D479&lt;&gt;"Serviço",0,IF(AND(AUTOEVENTO="Manual",$M479=1),0,IF(OFFSET(CRONOPLE!$F$14,$M479,BP$13)="",10^12,OFFSET(CRONOPLE!$F$14,$M479,BP$13))))</f>
        <v>1000000000000</v>
      </c>
      <c r="BQ479" s="215">
        <f ca="1">IF($D479&lt;&gt;"Serviço",0,IF(AND(AUTOEVENTO="Manual",$M479=1),0,IF(OFFSET(CRONOPLE!$F$14,$M479,BQ$13)="",10^12,OFFSET(CRONOPLE!$F$14,$M479,BQ$13))))</f>
        <v>1000000000000</v>
      </c>
      <c r="BR479" s="215">
        <f ca="1">IF($D479&lt;&gt;"Serviço",0,IF(AND(AUTOEVENTO="Manual",$M479=1),0,IF(OFFSET(CRONOPLE!$F$14,$M479,BR$13)="",10^12,OFFSET(CRONOPLE!$F$14,$M479,BR$13))))</f>
        <v>1000000000000</v>
      </c>
      <c r="BS479" s="215">
        <f ca="1">IF($D479&lt;&gt;"Serviço",0,IF(AND(AUTOEVENTO="Manual",$M479=1),0,IF(OFFSET(CRONOPLE!$F$14,$M479,BS$13)="",10^12,OFFSET(CRONOPLE!$F$14,$M479,BS$13))))</f>
        <v>1000000000000</v>
      </c>
      <c r="BT479" s="215">
        <f ca="1">IF($D479&lt;&gt;"Serviço",0,IF(AND(AUTOEVENTO="Manual",$M479=1),0,IF(OFFSET(CRONOPLE!$F$14,$M479,BT$13)="",10^12,OFFSET(CRONOPLE!$F$14,$M479,BT$13))))</f>
        <v>1000000000000</v>
      </c>
      <c r="BV479" s="216">
        <f ca="1">IF($D479&lt;&gt;"Serviço",0,IF(OR(AND(AUTOEVENTO="Manual",$M479=1),$M479&gt;(ROW(PLE.lastrow)-ROW(PLE.firstrow))),0,IF(OFFSET(PLE!$G$14,$M479,BV$13)="",10^12,OFFSET(PLE!$G$14,$M479,BV$13))))</f>
        <v>1000000000000</v>
      </c>
      <c r="BW479" s="216">
        <f ca="1">IF($D479&lt;&gt;"Serviço",0,IF(OR(AND(AUTOEVENTO="Manual",$M479=1),$M479&gt;(ROW(PLE.lastrow)-ROW(PLE.firstrow))),0,IF(OFFSET(PLE!$G$14,$M479,BW$13)="",10^12,OFFSET(PLE!$G$14,$M479,BW$13))))</f>
        <v>1000000000000</v>
      </c>
      <c r="BX479" s="216">
        <f ca="1">IF($D479&lt;&gt;"Serviço",0,IF(OR(AND(AUTOEVENTO="Manual",$M479=1),$M479&gt;(ROW(PLE.lastrow)-ROW(PLE.firstrow))),0,IF(OFFSET(PLE!$G$14,$M479,BX$13)="",10^12,OFFSET(PLE!$G$14,$M479,BX$13))))</f>
        <v>1000000000000</v>
      </c>
      <c r="BY479" s="216">
        <f ca="1">IF($D479&lt;&gt;"Serviço",0,IF(OR(AND(AUTOEVENTO="Manual",$M479=1),$M479&gt;(ROW(PLE.lastrow)-ROW(PLE.firstrow))),0,IF(OFFSET(PLE!$G$14,$M479,BY$13)="",10^12,OFFSET(PLE!$G$14,$M479,BY$13))))</f>
        <v>1000000000000</v>
      </c>
      <c r="BZ479" s="216">
        <f ca="1">IF($D479&lt;&gt;"Serviço",0,IF(OR(AND(AUTOEVENTO="Manual",$M479=1),$M479&gt;(ROW(PLE.lastrow)-ROW(PLE.firstrow))),0,IF(OFFSET(PLE!$G$14,$M479,BZ$13)="",10^12,OFFSET(PLE!$G$14,$M479,BZ$13))))</f>
        <v>1000000000000</v>
      </c>
      <c r="CA479" s="216">
        <f ca="1">IF($D479&lt;&gt;"Serviço",0,IF(OR(AND(AUTOEVENTO="Manual",$M479=1),$M479&gt;(ROW(PLE.lastrow)-ROW(PLE.firstrow))),0,IF(OFFSET(PLE!$G$14,$M479,CA$13)="",10^12,OFFSET(PLE!$G$14,$M479,CA$13))))</f>
        <v>1000000000000</v>
      </c>
      <c r="CB479" s="216">
        <f ca="1">IF($D479&lt;&gt;"Serviço",0,IF(OR(AND(AUTOEVENTO="Manual",$M479=1),$M479&gt;(ROW(PLE.lastrow)-ROW(PLE.firstrow))),0,IF(OFFSET(PLE!$G$14,$M479,CB$13)="",10^12,OFFSET(PLE!$G$14,$M479,CB$13))))</f>
        <v>1000000000000</v>
      </c>
      <c r="CC479" s="216">
        <f ca="1">IF($D479&lt;&gt;"Serviço",0,IF(OR(AND(AUTOEVENTO="Manual",$M479=1),$M479&gt;(ROW(PLE.lastrow)-ROW(PLE.firstrow))),0,IF(OFFSET(PLE!$G$14,$M479,CC$13)="",10^12,OFFSET(PLE!$G$14,$M479,CC$13))))</f>
        <v>1000000000000</v>
      </c>
      <c r="CD479" s="216">
        <f ca="1">IF($D479&lt;&gt;"Serviço",0,IF(OR(AND(AUTOEVENTO="Manual",$M479=1),$M479&gt;(ROW(PLE.lastrow)-ROW(PLE.firstrow))),0,IF(OFFSET(PLE!$G$14,$M479,CD$13)="",10^12,OFFSET(PLE!$G$14,$M479,CD$13))))</f>
        <v>1000000000000</v>
      </c>
      <c r="CE479" s="216">
        <f ca="1">IF($D479&lt;&gt;"Serviço",0,IF(OR(AND(AUTOEVENTO="Manual",$M479=1),$M479&gt;(ROW(PLE.lastrow)-ROW(PLE.firstrow))),0,IF(OFFSET(PLE!$G$14,$M479,CE$13)="",10^12,OFFSET(PLE!$G$14,$M479,CE$13))))</f>
        <v>1000000000000</v>
      </c>
      <c r="CF479" s="216">
        <f ca="1">IF($D479&lt;&gt;"Serviço",0,IF(OR(AND(AUTOEVENTO="Manual",$M479=1),$M479&gt;(ROW(PLE.lastrow)-ROW(PLE.firstrow))),0,IF(OFFSET(PLE!$G$14,$M479,CF$13)="",10^12,OFFSET(PLE!$G$14,$M479,CF$13))))</f>
        <v>1000000000000</v>
      </c>
      <c r="CG479" s="216">
        <f ca="1">IF($D479&lt;&gt;"Serviço",0,IF(OR(AND(AUTOEVENTO="Manual",$M479=1),$M479&gt;(ROW(PLE.lastrow)-ROW(PLE.firstrow))),0,IF(OFFSET(PLE!$G$14,$M479,CG$13)="",10^12,OFFSET(PLE!$G$14,$M479,CG$13))))</f>
        <v>1000000000000</v>
      </c>
      <c r="CH479" s="216">
        <f ca="1">IF($D479&lt;&gt;"Serviço",0,IF(OR(AND(AUTOEVENTO="Manual",$M479=1),$M479&gt;(ROW(PLE.lastrow)-ROW(PLE.firstrow))),0,IF(OFFSET(PLE!$G$14,$M479,CH$13)="",10^12,OFFSET(PLE!$G$14,$M479,CH$13))))</f>
        <v>1000000000000</v>
      </c>
      <c r="CI479" s="216">
        <f ca="1">IF($D479&lt;&gt;"Serviço",0,IF(OR(AND(AUTOEVENTO="Manual",$M479=1),$M479&gt;(ROW(PLE.lastrow)-ROW(PLE.firstrow))),0,IF(OFFSET(PLE!$G$14,$M479,CI$13)="",10^12,OFFSET(PLE!$G$14,$M479,CI$13))))</f>
        <v>1000000000000</v>
      </c>
      <c r="CJ479" s="216">
        <f ca="1">IF($D479&lt;&gt;"Serviço",0,IF(OR(AND(AUTOEVENTO="Manual",$M479=1),$M479&gt;(ROW(PLE.lastrow)-ROW(PLE.firstrow))),0,IF(OFFSET(PLE!$G$14,$M479,CJ$13)="",10^12,OFFSET(PLE!$G$14,$M479,CJ$13))))</f>
        <v>1000000000000</v>
      </c>
      <c r="CK479" s="216">
        <f ca="1">IF($D479&lt;&gt;"Serviço",0,IF(OR(AND(AUTOEVENTO="Manual",$M479=1),$M479&gt;(ROW(PLE.lastrow)-ROW(PLE.firstrow))),0,IF(OFFSET(PLE!$G$14,$M479,CK$13)="",10^12,OFFSET(PLE!$G$14,$M479,CK$13))))</f>
        <v>1000000000000</v>
      </c>
      <c r="CL479" s="216">
        <f ca="1">IF($D479&lt;&gt;"Serviço",0,IF(OR(AND(AUTOEVENTO="Manual",$M479=1),$M479&gt;(ROW(PLE.lastrow)-ROW(PLE.firstrow))),0,IF(OFFSET(PLE!$G$14,$M479,CL$13)="",10^12,OFFSET(PLE!$G$14,$M479,CL$13))))</f>
        <v>1000000000000</v>
      </c>
      <c r="CM479" s="216">
        <f ca="1">IF($D479&lt;&gt;"Serviço",0,IF(OR(AND(AUTOEVENTO="Manual",$M479=1),$M479&gt;(ROW(PLE.lastrow)-ROW(PLE.firstrow))),0,IF(OFFSET(PLE!$G$14,$M479,CM$13)="",10^12,OFFSET(PLE!$G$14,$M479,CM$13))))</f>
        <v>1000000000000</v>
      </c>
    </row>
    <row r="480" spans="1:91" ht="13.2" x14ac:dyDescent="0.25">
      <c r="A480" s="9">
        <f t="shared" ca="1" si="16"/>
        <v>0</v>
      </c>
      <c r="B480" s="9" t="str">
        <f ca="1">OFFSET(ORÇAMENTO!C$15,ROW(B480)-ROW(B$15),0)</f>
        <v>S</v>
      </c>
      <c r="C480" s="9" t="str">
        <f ca="1">OFFSET(ORÇAMENTO!L$15,ROW(C480)-ROW(C$15),0)</f>
        <v/>
      </c>
      <c r="D480" s="145" t="str">
        <f ca="1">OFFSET(ORÇAMENTO!N$15,ROW(D480)-ROW(D$15),0)</f>
        <v>Serviço</v>
      </c>
      <c r="E480" s="205" t="str">
        <f ca="1">OFFSET(ORÇAMENTO!O$15,ROW(E480)-ROW(E$15),0)</f>
        <v>-</v>
      </c>
      <c r="F480" s="206" t="str">
        <f ca="1">OFFSET(ORÇAMENTO!R$15,ROW(F480)-ROW(F$15),0)</f>
        <v>(abra o arquivo 'Referência 05-2024.xls)</v>
      </c>
      <c r="G480" s="207" t="str">
        <f ca="1">IF($D480&lt;&gt;"Serviço","",OFFSET(ORÇAMENTO!S$15,ROW(G480)-ROW(G$15),0))</f>
        <v>-</v>
      </c>
      <c r="H480" s="151">
        <f ca="1">IF($D480&lt;&gt;"Serviço",0,IF(ACOMPANHAMENTO="BM",ROUND(OFFSET(ORÇAMENTO!AJ$15,ROW(H480)-ROW(H$15),0),15-13*ORÇAMENTO!$AF$7),SUMPRODUCT(($Q$12:$AI$12&lt;&gt;"")*ROUND($Q480:$AI480,15-13*ORÇAMENTO!$AF$7))))</f>
        <v>3</v>
      </c>
      <c r="I480" s="650"/>
      <c r="K480" s="208"/>
      <c r="L480" s="209" t="s">
        <v>257</v>
      </c>
      <c r="M480" s="210">
        <f ca="1">IF($D480&lt;&gt;"Serviço","",IF(AUTOEVENTO="manual",$A480,IF(ISERROR(MATCH($A480,$A$15:OFFSET($A480,-1,0),0)),MAX($M$15:OFFSET(M480,-1,0))+1,INDEX($M$15:OFFSET(M480,-1,0),MATCH($A480,$A$15:OFFSET($A480,-1,0),0)))))</f>
        <v>0</v>
      </c>
      <c r="N480" s="211" t="str">
        <f ca="1">IF($D480&lt;&gt;"Serviço","",IF(AUTOEVENTO="Manual",IF($A480=0,"&lt;-- defina o número do agrupador",OFFSET(EVENTOS!$D$14,$A480,0)),OFFSET($F$15,$A480,0)))</f>
        <v>&lt;-- defina o número do agrupador</v>
      </c>
      <c r="O480" s="212"/>
      <c r="Q480" s="212"/>
      <c r="R480" s="213"/>
      <c r="S480" s="213"/>
      <c r="T480" s="213"/>
      <c r="U480" s="213"/>
      <c r="V480" s="213"/>
      <c r="W480" s="213"/>
      <c r="X480" s="213"/>
      <c r="Y480" s="213"/>
      <c r="Z480" s="214"/>
      <c r="AA480" s="213"/>
      <c r="AB480" s="213"/>
      <c r="AC480" s="213"/>
      <c r="AD480" s="213"/>
      <c r="AE480" s="213"/>
      <c r="AF480" s="213"/>
      <c r="AG480" s="213"/>
      <c r="AH480" s="214"/>
      <c r="AJ480" s="631">
        <f ca="1">IF(AND($D480="Serviço",AJ$12&lt;&gt;0,$H480&gt;0,OR(AUTOEVENTO&lt;&gt;"manual",$M480&lt;&gt;1)),ROUND(OFFSET($P480,0,AJ$13),15-13*ORÇAMENTO!$AF$7)/$H480*OFFSET(ORÇAMENTO!$X$15,ROW(AJ480)-ROW(AJ$15),0),0)</f>
        <v>0</v>
      </c>
      <c r="AK480" s="632">
        <f ca="1">IF(AND($D480="Serviço",AK$12&lt;&gt;0,$H480&gt;0,OR(AUTOEVENTO&lt;&gt;"manual",$M480&lt;&gt;1)),ROUND(OFFSET($P480,0,AK$13),15-13*ORÇAMENTO!$AF$7)/$H480*OFFSET(ORÇAMENTO!$X$15,ROW(AK480)-ROW(AK$15),0),0)</f>
        <v>0</v>
      </c>
      <c r="AL480" s="632">
        <f ca="1">IF(AND($D480="Serviço",AL$12&lt;&gt;0,$H480&gt;0,OR(AUTOEVENTO&lt;&gt;"manual",$M480&lt;&gt;1)),ROUND(OFFSET($P480,0,AL$13),15-13*ORÇAMENTO!$AF$7)/$H480*OFFSET(ORÇAMENTO!$X$15,ROW(AL480)-ROW(AL$15),0),0)</f>
        <v>0</v>
      </c>
      <c r="AM480" s="632">
        <f ca="1">IF(AND($D480="Serviço",AM$12&lt;&gt;0,$H480&gt;0,OR(AUTOEVENTO&lt;&gt;"manual",$M480&lt;&gt;1)),ROUND(OFFSET($P480,0,AM$13),15-13*ORÇAMENTO!$AF$7)/$H480*OFFSET(ORÇAMENTO!$X$15,ROW(AM480)-ROW(AM$15),0),0)</f>
        <v>0</v>
      </c>
      <c r="AN480" s="632">
        <f ca="1">IF(AND($D480="Serviço",AN$12&lt;&gt;0,$H480&gt;0,OR(AUTOEVENTO&lt;&gt;"manual",$M480&lt;&gt;1)),ROUND(OFFSET($P480,0,AN$13),15-13*ORÇAMENTO!$AF$7)/$H480*OFFSET(ORÇAMENTO!$X$15,ROW(AN480)-ROW(AN$15),0),0)</f>
        <v>0</v>
      </c>
      <c r="AO480" s="632">
        <f ca="1">IF(AND($D480="Serviço",AO$12&lt;&gt;0,$H480&gt;0,OR(AUTOEVENTO&lt;&gt;"manual",$M480&lt;&gt;1)),ROUND(OFFSET($P480,0,AO$13),15-13*ORÇAMENTO!$AF$7)/$H480*OFFSET(ORÇAMENTO!$X$15,ROW(AO480)-ROW(AO$15),0),0)</f>
        <v>0</v>
      </c>
      <c r="AP480" s="632">
        <f ca="1">IF(AND($D480="Serviço",AP$12&lt;&gt;0,$H480&gt;0,OR(AUTOEVENTO&lt;&gt;"manual",$M480&lt;&gt;1)),ROUND(OFFSET($P480,0,AP$13),15-13*ORÇAMENTO!$AF$7)/$H480*OFFSET(ORÇAMENTO!$X$15,ROW(AP480)-ROW(AP$15),0),0)</f>
        <v>0</v>
      </c>
      <c r="AQ480" s="632">
        <f ca="1">IF(AND($D480="Serviço",AQ$12&lt;&gt;0,$H480&gt;0,OR(AUTOEVENTO&lt;&gt;"manual",$M480&lt;&gt;1)),ROUND(OFFSET($P480,0,AQ$13),15-13*ORÇAMENTO!$AF$7)/$H480*OFFSET(ORÇAMENTO!$X$15,ROW(AQ480)-ROW(AQ$15),0),0)</f>
        <v>0</v>
      </c>
      <c r="AR480" s="632">
        <f ca="1">IF(AND($D480="Serviço",AR$12&lt;&gt;0,$H480&gt;0,OR(AUTOEVENTO&lt;&gt;"manual",$M480&lt;&gt;1)),ROUND(OFFSET($P480,0,AR$13),15-13*ORÇAMENTO!$AF$7)/$H480*OFFSET(ORÇAMENTO!$X$15,ROW(AR480)-ROW(AR$15),0),0)</f>
        <v>0</v>
      </c>
      <c r="AS480" s="633">
        <f ca="1">IF(AND($D480="Serviço",AS$12&lt;&gt;0,$H480&gt;0,OR(AUTOEVENTO&lt;&gt;"manual",$M480&lt;&gt;1)),ROUND(OFFSET($P480,0,AS$13),15-13*ORÇAMENTO!$AF$7)/$H480*OFFSET(ORÇAMENTO!$X$15,ROW(AS480)-ROW(AS$15),0),0)</f>
        <v>0</v>
      </c>
      <c r="AT480" s="632">
        <f ca="1">IF(AND($D480="Serviço",AT$12&lt;&gt;0,$H480&gt;0,OR(AUTOEVENTO&lt;&gt;"manual",$M480&lt;&gt;1)),ROUND(OFFSET($P480,0,AT$13),15-13*ORÇAMENTO!$AF$7)/$H480*OFFSET(ORÇAMENTO!$X$15,ROW(AT480)-ROW(AT$15),0),0)</f>
        <v>0</v>
      </c>
      <c r="AU480" s="632">
        <f ca="1">IF(AND($D480="Serviço",AU$12&lt;&gt;0,$H480&gt;0,OR(AUTOEVENTO&lt;&gt;"manual",$M480&lt;&gt;1)),ROUND(OFFSET($P480,0,AU$13),15-13*ORÇAMENTO!$AF$7)/$H480*OFFSET(ORÇAMENTO!$X$15,ROW(AU480)-ROW(AU$15),0),0)</f>
        <v>0</v>
      </c>
      <c r="AV480" s="632">
        <f ca="1">IF(AND($D480="Serviço",AV$12&lt;&gt;0,$H480&gt;0,OR(AUTOEVENTO&lt;&gt;"manual",$M480&lt;&gt;1)),ROUND(OFFSET($P480,0,AV$13),15-13*ORÇAMENTO!$AF$7)/$H480*OFFSET(ORÇAMENTO!$X$15,ROW(AV480)-ROW(AV$15),0),0)</f>
        <v>0</v>
      </c>
      <c r="AW480" s="632">
        <f ca="1">IF(AND($D480="Serviço",AW$12&lt;&gt;0,$H480&gt;0,OR(AUTOEVENTO&lt;&gt;"manual",$M480&lt;&gt;1)),ROUND(OFFSET($P480,0,AW$13),15-13*ORÇAMENTO!$AF$7)/$H480*OFFSET(ORÇAMENTO!$X$15,ROW(AW480)-ROW(AW$15),0),0)</f>
        <v>0</v>
      </c>
      <c r="AX480" s="632">
        <f ca="1">IF(AND($D480="Serviço",AX$12&lt;&gt;0,$H480&gt;0,OR(AUTOEVENTO&lt;&gt;"manual",$M480&lt;&gt;1)),ROUND(OFFSET($P480,0,AX$13),15-13*ORÇAMENTO!$AF$7)/$H480*OFFSET(ORÇAMENTO!$X$15,ROW(AX480)-ROW(AX$15),0),0)</f>
        <v>0</v>
      </c>
      <c r="AY480" s="632">
        <f ca="1">IF(AND($D480="Serviço",AY$12&lt;&gt;0,$H480&gt;0,OR(AUTOEVENTO&lt;&gt;"manual",$M480&lt;&gt;1)),ROUND(OFFSET($P480,0,AY$13),15-13*ORÇAMENTO!$AF$7)/$H480*OFFSET(ORÇAMENTO!$X$15,ROW(AY480)-ROW(AY$15),0),0)</f>
        <v>0</v>
      </c>
      <c r="AZ480" s="632">
        <f ca="1">IF(AND($D480="Serviço",AZ$12&lt;&gt;0,$H480&gt;0,OR(AUTOEVENTO&lt;&gt;"manual",$M480&lt;&gt;1)),ROUND(OFFSET($P480,0,AZ$13),15-13*ORÇAMENTO!$AF$7)/$H480*OFFSET(ORÇAMENTO!$X$15,ROW(AZ480)-ROW(AZ$15),0),0)</f>
        <v>0</v>
      </c>
      <c r="BA480" s="633">
        <f ca="1">IF(AND($D480="Serviço",BA$12&lt;&gt;0,$H480&gt;0,OR(AUTOEVENTO&lt;&gt;"manual",$M480&lt;&gt;1)),ROUND(OFFSET($P480,0,BA$13),15-13*ORÇAMENTO!$AF$7)/$H480*OFFSET(ORÇAMENTO!$X$15,ROW(BA480)-ROW(BA$15),0),0)</f>
        <v>0</v>
      </c>
      <c r="BC480" s="215">
        <f ca="1">IF($D480&lt;&gt;"Serviço",0,IF(AND(AUTOEVENTO="Manual",$M480=1),0,IF(OFFSET(CRONOPLE!$F$14,$M480,BC$13)="",10^12,OFFSET(CRONOPLE!$F$14,$M480,BC$13))))</f>
        <v>1000000000000</v>
      </c>
      <c r="BD480" s="215">
        <f ca="1">IF($D480&lt;&gt;"Serviço",0,IF(AND(AUTOEVENTO="Manual",$M480=1),0,IF(OFFSET(CRONOPLE!$F$14,$M480,BD$13)="",10^12,OFFSET(CRONOPLE!$F$14,$M480,BD$13))))</f>
        <v>1000000000000</v>
      </c>
      <c r="BE480" s="215">
        <f ca="1">IF($D480&lt;&gt;"Serviço",0,IF(AND(AUTOEVENTO="Manual",$M480=1),0,IF(OFFSET(CRONOPLE!$F$14,$M480,BE$13)="",10^12,OFFSET(CRONOPLE!$F$14,$M480,BE$13))))</f>
        <v>1000000000000</v>
      </c>
      <c r="BF480" s="215">
        <f ca="1">IF($D480&lt;&gt;"Serviço",0,IF(AND(AUTOEVENTO="Manual",$M480=1),0,IF(OFFSET(CRONOPLE!$F$14,$M480,BF$13)="",10^12,OFFSET(CRONOPLE!$F$14,$M480,BF$13))))</f>
        <v>1000000000000</v>
      </c>
      <c r="BG480" s="215">
        <f ca="1">IF($D480&lt;&gt;"Serviço",0,IF(AND(AUTOEVENTO="Manual",$M480=1),0,IF(OFFSET(CRONOPLE!$F$14,$M480,BG$13)="",10^12,OFFSET(CRONOPLE!$F$14,$M480,BG$13))))</f>
        <v>1000000000000</v>
      </c>
      <c r="BH480" s="215">
        <f ca="1">IF($D480&lt;&gt;"Serviço",0,IF(AND(AUTOEVENTO="Manual",$M480=1),0,IF(OFFSET(CRONOPLE!$F$14,$M480,BH$13)="",10^12,OFFSET(CRONOPLE!$F$14,$M480,BH$13))))</f>
        <v>1000000000000</v>
      </c>
      <c r="BI480" s="215">
        <f ca="1">IF($D480&lt;&gt;"Serviço",0,IF(AND(AUTOEVENTO="Manual",$M480=1),0,IF(OFFSET(CRONOPLE!$F$14,$M480,BI$13)="",10^12,OFFSET(CRONOPLE!$F$14,$M480,BI$13))))</f>
        <v>1000000000000</v>
      </c>
      <c r="BJ480" s="215">
        <f ca="1">IF($D480&lt;&gt;"Serviço",0,IF(AND(AUTOEVENTO="Manual",$M480=1),0,IF(OFFSET(CRONOPLE!$F$14,$M480,BJ$13)="",10^12,OFFSET(CRONOPLE!$F$14,$M480,BJ$13))))</f>
        <v>1000000000000</v>
      </c>
      <c r="BK480" s="215">
        <f ca="1">IF($D480&lt;&gt;"Serviço",0,IF(AND(AUTOEVENTO="Manual",$M480=1),0,IF(OFFSET(CRONOPLE!$F$14,$M480,BK$13)="",10^12,OFFSET(CRONOPLE!$F$14,$M480,BK$13))))</f>
        <v>1000000000000</v>
      </c>
      <c r="BL480" s="215">
        <f ca="1">IF($D480&lt;&gt;"Serviço",0,IF(AND(AUTOEVENTO="Manual",$M480=1),0,IF(OFFSET(CRONOPLE!$F$14,$M480,BL$13)="",10^12,OFFSET(CRONOPLE!$F$14,$M480,BL$13))))</f>
        <v>1000000000000</v>
      </c>
      <c r="BM480" s="215">
        <f ca="1">IF($D480&lt;&gt;"Serviço",0,IF(AND(AUTOEVENTO="Manual",$M480=1),0,IF(OFFSET(CRONOPLE!$F$14,$M480,BM$13)="",10^12,OFFSET(CRONOPLE!$F$14,$M480,BM$13))))</f>
        <v>1000000000000</v>
      </c>
      <c r="BN480" s="215">
        <f ca="1">IF($D480&lt;&gt;"Serviço",0,IF(AND(AUTOEVENTO="Manual",$M480=1),0,IF(OFFSET(CRONOPLE!$F$14,$M480,BN$13)="",10^12,OFFSET(CRONOPLE!$F$14,$M480,BN$13))))</f>
        <v>1000000000000</v>
      </c>
      <c r="BO480" s="215">
        <f ca="1">IF($D480&lt;&gt;"Serviço",0,IF(AND(AUTOEVENTO="Manual",$M480=1),0,IF(OFFSET(CRONOPLE!$F$14,$M480,BO$13)="",10^12,OFFSET(CRONOPLE!$F$14,$M480,BO$13))))</f>
        <v>1000000000000</v>
      </c>
      <c r="BP480" s="215">
        <f ca="1">IF($D480&lt;&gt;"Serviço",0,IF(AND(AUTOEVENTO="Manual",$M480=1),0,IF(OFFSET(CRONOPLE!$F$14,$M480,BP$13)="",10^12,OFFSET(CRONOPLE!$F$14,$M480,BP$13))))</f>
        <v>1000000000000</v>
      </c>
      <c r="BQ480" s="215">
        <f ca="1">IF($D480&lt;&gt;"Serviço",0,IF(AND(AUTOEVENTO="Manual",$M480=1),0,IF(OFFSET(CRONOPLE!$F$14,$M480,BQ$13)="",10^12,OFFSET(CRONOPLE!$F$14,$M480,BQ$13))))</f>
        <v>1000000000000</v>
      </c>
      <c r="BR480" s="215">
        <f ca="1">IF($D480&lt;&gt;"Serviço",0,IF(AND(AUTOEVENTO="Manual",$M480=1),0,IF(OFFSET(CRONOPLE!$F$14,$M480,BR$13)="",10^12,OFFSET(CRONOPLE!$F$14,$M480,BR$13))))</f>
        <v>1000000000000</v>
      </c>
      <c r="BS480" s="215">
        <f ca="1">IF($D480&lt;&gt;"Serviço",0,IF(AND(AUTOEVENTO="Manual",$M480=1),0,IF(OFFSET(CRONOPLE!$F$14,$M480,BS$13)="",10^12,OFFSET(CRONOPLE!$F$14,$M480,BS$13))))</f>
        <v>1000000000000</v>
      </c>
      <c r="BT480" s="215">
        <f ca="1">IF($D480&lt;&gt;"Serviço",0,IF(AND(AUTOEVENTO="Manual",$M480=1),0,IF(OFFSET(CRONOPLE!$F$14,$M480,BT$13)="",10^12,OFFSET(CRONOPLE!$F$14,$M480,BT$13))))</f>
        <v>1000000000000</v>
      </c>
      <c r="BV480" s="216">
        <f ca="1">IF($D480&lt;&gt;"Serviço",0,IF(OR(AND(AUTOEVENTO="Manual",$M480=1),$M480&gt;(ROW(PLE.lastrow)-ROW(PLE.firstrow))),0,IF(OFFSET(PLE!$G$14,$M480,BV$13)="",10^12,OFFSET(PLE!$G$14,$M480,BV$13))))</f>
        <v>1000000000000</v>
      </c>
      <c r="BW480" s="216">
        <f ca="1">IF($D480&lt;&gt;"Serviço",0,IF(OR(AND(AUTOEVENTO="Manual",$M480=1),$M480&gt;(ROW(PLE.lastrow)-ROW(PLE.firstrow))),0,IF(OFFSET(PLE!$G$14,$M480,BW$13)="",10^12,OFFSET(PLE!$G$14,$M480,BW$13))))</f>
        <v>1000000000000</v>
      </c>
      <c r="BX480" s="216">
        <f ca="1">IF($D480&lt;&gt;"Serviço",0,IF(OR(AND(AUTOEVENTO="Manual",$M480=1),$M480&gt;(ROW(PLE.lastrow)-ROW(PLE.firstrow))),0,IF(OFFSET(PLE!$G$14,$M480,BX$13)="",10^12,OFFSET(PLE!$G$14,$M480,BX$13))))</f>
        <v>1000000000000</v>
      </c>
      <c r="BY480" s="216">
        <f ca="1">IF($D480&lt;&gt;"Serviço",0,IF(OR(AND(AUTOEVENTO="Manual",$M480=1),$M480&gt;(ROW(PLE.lastrow)-ROW(PLE.firstrow))),0,IF(OFFSET(PLE!$G$14,$M480,BY$13)="",10^12,OFFSET(PLE!$G$14,$M480,BY$13))))</f>
        <v>1000000000000</v>
      </c>
      <c r="BZ480" s="216">
        <f ca="1">IF($D480&lt;&gt;"Serviço",0,IF(OR(AND(AUTOEVENTO="Manual",$M480=1),$M480&gt;(ROW(PLE.lastrow)-ROW(PLE.firstrow))),0,IF(OFFSET(PLE!$G$14,$M480,BZ$13)="",10^12,OFFSET(PLE!$G$14,$M480,BZ$13))))</f>
        <v>1000000000000</v>
      </c>
      <c r="CA480" s="216">
        <f ca="1">IF($D480&lt;&gt;"Serviço",0,IF(OR(AND(AUTOEVENTO="Manual",$M480=1),$M480&gt;(ROW(PLE.lastrow)-ROW(PLE.firstrow))),0,IF(OFFSET(PLE!$G$14,$M480,CA$13)="",10^12,OFFSET(PLE!$G$14,$M480,CA$13))))</f>
        <v>1000000000000</v>
      </c>
      <c r="CB480" s="216">
        <f ca="1">IF($D480&lt;&gt;"Serviço",0,IF(OR(AND(AUTOEVENTO="Manual",$M480=1),$M480&gt;(ROW(PLE.lastrow)-ROW(PLE.firstrow))),0,IF(OFFSET(PLE!$G$14,$M480,CB$13)="",10^12,OFFSET(PLE!$G$14,$M480,CB$13))))</f>
        <v>1000000000000</v>
      </c>
      <c r="CC480" s="216">
        <f ca="1">IF($D480&lt;&gt;"Serviço",0,IF(OR(AND(AUTOEVENTO="Manual",$M480=1),$M480&gt;(ROW(PLE.lastrow)-ROW(PLE.firstrow))),0,IF(OFFSET(PLE!$G$14,$M480,CC$13)="",10^12,OFFSET(PLE!$G$14,$M480,CC$13))))</f>
        <v>1000000000000</v>
      </c>
      <c r="CD480" s="216">
        <f ca="1">IF($D480&lt;&gt;"Serviço",0,IF(OR(AND(AUTOEVENTO="Manual",$M480=1),$M480&gt;(ROW(PLE.lastrow)-ROW(PLE.firstrow))),0,IF(OFFSET(PLE!$G$14,$M480,CD$13)="",10^12,OFFSET(PLE!$G$14,$M480,CD$13))))</f>
        <v>1000000000000</v>
      </c>
      <c r="CE480" s="216">
        <f ca="1">IF($D480&lt;&gt;"Serviço",0,IF(OR(AND(AUTOEVENTO="Manual",$M480=1),$M480&gt;(ROW(PLE.lastrow)-ROW(PLE.firstrow))),0,IF(OFFSET(PLE!$G$14,$M480,CE$13)="",10^12,OFFSET(PLE!$G$14,$M480,CE$13))))</f>
        <v>1000000000000</v>
      </c>
      <c r="CF480" s="216">
        <f ca="1">IF($D480&lt;&gt;"Serviço",0,IF(OR(AND(AUTOEVENTO="Manual",$M480=1),$M480&gt;(ROW(PLE.lastrow)-ROW(PLE.firstrow))),0,IF(OFFSET(PLE!$G$14,$M480,CF$13)="",10^12,OFFSET(PLE!$G$14,$M480,CF$13))))</f>
        <v>1000000000000</v>
      </c>
      <c r="CG480" s="216">
        <f ca="1">IF($D480&lt;&gt;"Serviço",0,IF(OR(AND(AUTOEVENTO="Manual",$M480=1),$M480&gt;(ROW(PLE.lastrow)-ROW(PLE.firstrow))),0,IF(OFFSET(PLE!$G$14,$M480,CG$13)="",10^12,OFFSET(PLE!$G$14,$M480,CG$13))))</f>
        <v>1000000000000</v>
      </c>
      <c r="CH480" s="216">
        <f ca="1">IF($D480&lt;&gt;"Serviço",0,IF(OR(AND(AUTOEVENTO="Manual",$M480=1),$M480&gt;(ROW(PLE.lastrow)-ROW(PLE.firstrow))),0,IF(OFFSET(PLE!$G$14,$M480,CH$13)="",10^12,OFFSET(PLE!$G$14,$M480,CH$13))))</f>
        <v>1000000000000</v>
      </c>
      <c r="CI480" s="216">
        <f ca="1">IF($D480&lt;&gt;"Serviço",0,IF(OR(AND(AUTOEVENTO="Manual",$M480=1),$M480&gt;(ROW(PLE.lastrow)-ROW(PLE.firstrow))),0,IF(OFFSET(PLE!$G$14,$M480,CI$13)="",10^12,OFFSET(PLE!$G$14,$M480,CI$13))))</f>
        <v>1000000000000</v>
      </c>
      <c r="CJ480" s="216">
        <f ca="1">IF($D480&lt;&gt;"Serviço",0,IF(OR(AND(AUTOEVENTO="Manual",$M480=1),$M480&gt;(ROW(PLE.lastrow)-ROW(PLE.firstrow))),0,IF(OFFSET(PLE!$G$14,$M480,CJ$13)="",10^12,OFFSET(PLE!$G$14,$M480,CJ$13))))</f>
        <v>1000000000000</v>
      </c>
      <c r="CK480" s="216">
        <f ca="1">IF($D480&lt;&gt;"Serviço",0,IF(OR(AND(AUTOEVENTO="Manual",$M480=1),$M480&gt;(ROW(PLE.lastrow)-ROW(PLE.firstrow))),0,IF(OFFSET(PLE!$G$14,$M480,CK$13)="",10^12,OFFSET(PLE!$G$14,$M480,CK$13))))</f>
        <v>1000000000000</v>
      </c>
      <c r="CL480" s="216">
        <f ca="1">IF($D480&lt;&gt;"Serviço",0,IF(OR(AND(AUTOEVENTO="Manual",$M480=1),$M480&gt;(ROW(PLE.lastrow)-ROW(PLE.firstrow))),0,IF(OFFSET(PLE!$G$14,$M480,CL$13)="",10^12,OFFSET(PLE!$G$14,$M480,CL$13))))</f>
        <v>1000000000000</v>
      </c>
      <c r="CM480" s="216">
        <f ca="1">IF($D480&lt;&gt;"Serviço",0,IF(OR(AND(AUTOEVENTO="Manual",$M480=1),$M480&gt;(ROW(PLE.lastrow)-ROW(PLE.firstrow))),0,IF(OFFSET(PLE!$G$14,$M480,CM$13)="",10^12,OFFSET(PLE!$G$14,$M480,CM$13))))</f>
        <v>1000000000000</v>
      </c>
    </row>
    <row r="481" spans="1:91" ht="13.2" x14ac:dyDescent="0.25">
      <c r="A481" s="9">
        <f t="shared" ca="1" si="16"/>
        <v>0</v>
      </c>
      <c r="B481" s="9" t="str">
        <f ca="1">OFFSET(ORÇAMENTO!C$15,ROW(B481)-ROW(B$15),0)</f>
        <v>S</v>
      </c>
      <c r="C481" s="9" t="str">
        <f ca="1">OFFSET(ORÇAMENTO!L$15,ROW(C481)-ROW(C$15),0)</f>
        <v/>
      </c>
      <c r="D481" s="145" t="str">
        <f ca="1">OFFSET(ORÇAMENTO!N$15,ROW(D481)-ROW(D$15),0)</f>
        <v>Serviço</v>
      </c>
      <c r="E481" s="205" t="str">
        <f ca="1">OFFSET(ORÇAMENTO!O$15,ROW(E481)-ROW(E$15),0)</f>
        <v>-</v>
      </c>
      <c r="F481" s="206" t="str">
        <f ca="1">OFFSET(ORÇAMENTO!R$15,ROW(F481)-ROW(F$15),0)</f>
        <v>(abra o arquivo 'Referência 05-2024.xls)</v>
      </c>
      <c r="G481" s="207" t="str">
        <f ca="1">IF($D481&lt;&gt;"Serviço","",OFFSET(ORÇAMENTO!S$15,ROW(G481)-ROW(G$15),0))</f>
        <v>-</v>
      </c>
      <c r="H481" s="151">
        <f ca="1">IF($D481&lt;&gt;"Serviço",0,IF(ACOMPANHAMENTO="BM",ROUND(OFFSET(ORÇAMENTO!AJ$15,ROW(H481)-ROW(H$15),0),15-13*ORÇAMENTO!$AF$7),SUMPRODUCT(($Q$12:$AI$12&lt;&gt;"")*ROUND($Q481:$AI481,15-13*ORÇAMENTO!$AF$7))))</f>
        <v>31</v>
      </c>
      <c r="I481" s="650"/>
      <c r="K481" s="208"/>
      <c r="L481" s="209" t="s">
        <v>257</v>
      </c>
      <c r="M481" s="210">
        <f ca="1">IF($D481&lt;&gt;"Serviço","",IF(AUTOEVENTO="manual",$A481,IF(ISERROR(MATCH($A481,$A$15:OFFSET($A481,-1,0),0)),MAX($M$15:OFFSET(M481,-1,0))+1,INDEX($M$15:OFFSET(M481,-1,0),MATCH($A481,$A$15:OFFSET($A481,-1,0),0)))))</f>
        <v>0</v>
      </c>
      <c r="N481" s="211" t="str">
        <f ca="1">IF($D481&lt;&gt;"Serviço","",IF(AUTOEVENTO="Manual",IF($A481=0,"&lt;-- defina o número do agrupador",OFFSET(EVENTOS!$D$14,$A481,0)),OFFSET($F$15,$A481,0)))</f>
        <v>&lt;-- defina o número do agrupador</v>
      </c>
      <c r="O481" s="212"/>
      <c r="Q481" s="212"/>
      <c r="R481" s="213"/>
      <c r="S481" s="213"/>
      <c r="T481" s="213"/>
      <c r="U481" s="213"/>
      <c r="V481" s="213"/>
      <c r="W481" s="213"/>
      <c r="X481" s="213"/>
      <c r="Y481" s="213"/>
      <c r="Z481" s="214"/>
      <c r="AA481" s="213"/>
      <c r="AB481" s="213"/>
      <c r="AC481" s="213"/>
      <c r="AD481" s="213"/>
      <c r="AE481" s="213"/>
      <c r="AF481" s="213"/>
      <c r="AG481" s="213"/>
      <c r="AH481" s="214"/>
      <c r="AJ481" s="631">
        <f ca="1">IF(AND($D481="Serviço",AJ$12&lt;&gt;0,$H481&gt;0,OR(AUTOEVENTO&lt;&gt;"manual",$M481&lt;&gt;1)),ROUND(OFFSET($P481,0,AJ$13),15-13*ORÇAMENTO!$AF$7)/$H481*OFFSET(ORÇAMENTO!$X$15,ROW(AJ481)-ROW(AJ$15),0),0)</f>
        <v>0</v>
      </c>
      <c r="AK481" s="632">
        <f ca="1">IF(AND($D481="Serviço",AK$12&lt;&gt;0,$H481&gt;0,OR(AUTOEVENTO&lt;&gt;"manual",$M481&lt;&gt;1)),ROUND(OFFSET($P481,0,AK$13),15-13*ORÇAMENTO!$AF$7)/$H481*OFFSET(ORÇAMENTO!$X$15,ROW(AK481)-ROW(AK$15),0),0)</f>
        <v>0</v>
      </c>
      <c r="AL481" s="632">
        <f ca="1">IF(AND($D481="Serviço",AL$12&lt;&gt;0,$H481&gt;0,OR(AUTOEVENTO&lt;&gt;"manual",$M481&lt;&gt;1)),ROUND(OFFSET($P481,0,AL$13),15-13*ORÇAMENTO!$AF$7)/$H481*OFFSET(ORÇAMENTO!$X$15,ROW(AL481)-ROW(AL$15),0),0)</f>
        <v>0</v>
      </c>
      <c r="AM481" s="632">
        <f ca="1">IF(AND($D481="Serviço",AM$12&lt;&gt;0,$H481&gt;0,OR(AUTOEVENTO&lt;&gt;"manual",$M481&lt;&gt;1)),ROUND(OFFSET($P481,0,AM$13),15-13*ORÇAMENTO!$AF$7)/$H481*OFFSET(ORÇAMENTO!$X$15,ROW(AM481)-ROW(AM$15),0),0)</f>
        <v>0</v>
      </c>
      <c r="AN481" s="632">
        <f ca="1">IF(AND($D481="Serviço",AN$12&lt;&gt;0,$H481&gt;0,OR(AUTOEVENTO&lt;&gt;"manual",$M481&lt;&gt;1)),ROUND(OFFSET($P481,0,AN$13),15-13*ORÇAMENTO!$AF$7)/$H481*OFFSET(ORÇAMENTO!$X$15,ROW(AN481)-ROW(AN$15),0),0)</f>
        <v>0</v>
      </c>
      <c r="AO481" s="632">
        <f ca="1">IF(AND($D481="Serviço",AO$12&lt;&gt;0,$H481&gt;0,OR(AUTOEVENTO&lt;&gt;"manual",$M481&lt;&gt;1)),ROUND(OFFSET($P481,0,AO$13),15-13*ORÇAMENTO!$AF$7)/$H481*OFFSET(ORÇAMENTO!$X$15,ROW(AO481)-ROW(AO$15),0),0)</f>
        <v>0</v>
      </c>
      <c r="AP481" s="632">
        <f ca="1">IF(AND($D481="Serviço",AP$12&lt;&gt;0,$H481&gt;0,OR(AUTOEVENTO&lt;&gt;"manual",$M481&lt;&gt;1)),ROUND(OFFSET($P481,0,AP$13),15-13*ORÇAMENTO!$AF$7)/$H481*OFFSET(ORÇAMENTO!$X$15,ROW(AP481)-ROW(AP$15),0),0)</f>
        <v>0</v>
      </c>
      <c r="AQ481" s="632">
        <f ca="1">IF(AND($D481="Serviço",AQ$12&lt;&gt;0,$H481&gt;0,OR(AUTOEVENTO&lt;&gt;"manual",$M481&lt;&gt;1)),ROUND(OFFSET($P481,0,AQ$13),15-13*ORÇAMENTO!$AF$7)/$H481*OFFSET(ORÇAMENTO!$X$15,ROW(AQ481)-ROW(AQ$15),0),0)</f>
        <v>0</v>
      </c>
      <c r="AR481" s="632">
        <f ca="1">IF(AND($D481="Serviço",AR$12&lt;&gt;0,$H481&gt;0,OR(AUTOEVENTO&lt;&gt;"manual",$M481&lt;&gt;1)),ROUND(OFFSET($P481,0,AR$13),15-13*ORÇAMENTO!$AF$7)/$H481*OFFSET(ORÇAMENTO!$X$15,ROW(AR481)-ROW(AR$15),0),0)</f>
        <v>0</v>
      </c>
      <c r="AS481" s="633">
        <f ca="1">IF(AND($D481="Serviço",AS$12&lt;&gt;0,$H481&gt;0,OR(AUTOEVENTO&lt;&gt;"manual",$M481&lt;&gt;1)),ROUND(OFFSET($P481,0,AS$13),15-13*ORÇAMENTO!$AF$7)/$H481*OFFSET(ORÇAMENTO!$X$15,ROW(AS481)-ROW(AS$15),0),0)</f>
        <v>0</v>
      </c>
      <c r="AT481" s="632">
        <f ca="1">IF(AND($D481="Serviço",AT$12&lt;&gt;0,$H481&gt;0,OR(AUTOEVENTO&lt;&gt;"manual",$M481&lt;&gt;1)),ROUND(OFFSET($P481,0,AT$13),15-13*ORÇAMENTO!$AF$7)/$H481*OFFSET(ORÇAMENTO!$X$15,ROW(AT481)-ROW(AT$15),0),0)</f>
        <v>0</v>
      </c>
      <c r="AU481" s="632">
        <f ca="1">IF(AND($D481="Serviço",AU$12&lt;&gt;0,$H481&gt;0,OR(AUTOEVENTO&lt;&gt;"manual",$M481&lt;&gt;1)),ROUND(OFFSET($P481,0,AU$13),15-13*ORÇAMENTO!$AF$7)/$H481*OFFSET(ORÇAMENTO!$X$15,ROW(AU481)-ROW(AU$15),0),0)</f>
        <v>0</v>
      </c>
      <c r="AV481" s="632">
        <f ca="1">IF(AND($D481="Serviço",AV$12&lt;&gt;0,$H481&gt;0,OR(AUTOEVENTO&lt;&gt;"manual",$M481&lt;&gt;1)),ROUND(OFFSET($P481,0,AV$13),15-13*ORÇAMENTO!$AF$7)/$H481*OFFSET(ORÇAMENTO!$X$15,ROW(AV481)-ROW(AV$15),0),0)</f>
        <v>0</v>
      </c>
      <c r="AW481" s="632">
        <f ca="1">IF(AND($D481="Serviço",AW$12&lt;&gt;0,$H481&gt;0,OR(AUTOEVENTO&lt;&gt;"manual",$M481&lt;&gt;1)),ROUND(OFFSET($P481,0,AW$13),15-13*ORÇAMENTO!$AF$7)/$H481*OFFSET(ORÇAMENTO!$X$15,ROW(AW481)-ROW(AW$15),0),0)</f>
        <v>0</v>
      </c>
      <c r="AX481" s="632">
        <f ca="1">IF(AND($D481="Serviço",AX$12&lt;&gt;0,$H481&gt;0,OR(AUTOEVENTO&lt;&gt;"manual",$M481&lt;&gt;1)),ROUND(OFFSET($P481,0,AX$13),15-13*ORÇAMENTO!$AF$7)/$H481*OFFSET(ORÇAMENTO!$X$15,ROW(AX481)-ROW(AX$15),0),0)</f>
        <v>0</v>
      </c>
      <c r="AY481" s="632">
        <f ca="1">IF(AND($D481="Serviço",AY$12&lt;&gt;0,$H481&gt;0,OR(AUTOEVENTO&lt;&gt;"manual",$M481&lt;&gt;1)),ROUND(OFFSET($P481,0,AY$13),15-13*ORÇAMENTO!$AF$7)/$H481*OFFSET(ORÇAMENTO!$X$15,ROW(AY481)-ROW(AY$15),0),0)</f>
        <v>0</v>
      </c>
      <c r="AZ481" s="632">
        <f ca="1">IF(AND($D481="Serviço",AZ$12&lt;&gt;0,$H481&gt;0,OR(AUTOEVENTO&lt;&gt;"manual",$M481&lt;&gt;1)),ROUND(OFFSET($P481,0,AZ$13),15-13*ORÇAMENTO!$AF$7)/$H481*OFFSET(ORÇAMENTO!$X$15,ROW(AZ481)-ROW(AZ$15),0),0)</f>
        <v>0</v>
      </c>
      <c r="BA481" s="633">
        <f ca="1">IF(AND($D481="Serviço",BA$12&lt;&gt;0,$H481&gt;0,OR(AUTOEVENTO&lt;&gt;"manual",$M481&lt;&gt;1)),ROUND(OFFSET($P481,0,BA$13),15-13*ORÇAMENTO!$AF$7)/$H481*OFFSET(ORÇAMENTO!$X$15,ROW(BA481)-ROW(BA$15),0),0)</f>
        <v>0</v>
      </c>
      <c r="BC481" s="215">
        <f ca="1">IF($D481&lt;&gt;"Serviço",0,IF(AND(AUTOEVENTO="Manual",$M481=1),0,IF(OFFSET(CRONOPLE!$F$14,$M481,BC$13)="",10^12,OFFSET(CRONOPLE!$F$14,$M481,BC$13))))</f>
        <v>1000000000000</v>
      </c>
      <c r="BD481" s="215">
        <f ca="1">IF($D481&lt;&gt;"Serviço",0,IF(AND(AUTOEVENTO="Manual",$M481=1),0,IF(OFFSET(CRONOPLE!$F$14,$M481,BD$13)="",10^12,OFFSET(CRONOPLE!$F$14,$M481,BD$13))))</f>
        <v>1000000000000</v>
      </c>
      <c r="BE481" s="215">
        <f ca="1">IF($D481&lt;&gt;"Serviço",0,IF(AND(AUTOEVENTO="Manual",$M481=1),0,IF(OFFSET(CRONOPLE!$F$14,$M481,BE$13)="",10^12,OFFSET(CRONOPLE!$F$14,$M481,BE$13))))</f>
        <v>1000000000000</v>
      </c>
      <c r="BF481" s="215">
        <f ca="1">IF($D481&lt;&gt;"Serviço",0,IF(AND(AUTOEVENTO="Manual",$M481=1),0,IF(OFFSET(CRONOPLE!$F$14,$M481,BF$13)="",10^12,OFFSET(CRONOPLE!$F$14,$M481,BF$13))))</f>
        <v>1000000000000</v>
      </c>
      <c r="BG481" s="215">
        <f ca="1">IF($D481&lt;&gt;"Serviço",0,IF(AND(AUTOEVENTO="Manual",$M481=1),0,IF(OFFSET(CRONOPLE!$F$14,$M481,BG$13)="",10^12,OFFSET(CRONOPLE!$F$14,$M481,BG$13))))</f>
        <v>1000000000000</v>
      </c>
      <c r="BH481" s="215">
        <f ca="1">IF($D481&lt;&gt;"Serviço",0,IF(AND(AUTOEVENTO="Manual",$M481=1),0,IF(OFFSET(CRONOPLE!$F$14,$M481,BH$13)="",10^12,OFFSET(CRONOPLE!$F$14,$M481,BH$13))))</f>
        <v>1000000000000</v>
      </c>
      <c r="BI481" s="215">
        <f ca="1">IF($D481&lt;&gt;"Serviço",0,IF(AND(AUTOEVENTO="Manual",$M481=1),0,IF(OFFSET(CRONOPLE!$F$14,$M481,BI$13)="",10^12,OFFSET(CRONOPLE!$F$14,$M481,BI$13))))</f>
        <v>1000000000000</v>
      </c>
      <c r="BJ481" s="215">
        <f ca="1">IF($D481&lt;&gt;"Serviço",0,IF(AND(AUTOEVENTO="Manual",$M481=1),0,IF(OFFSET(CRONOPLE!$F$14,$M481,BJ$13)="",10^12,OFFSET(CRONOPLE!$F$14,$M481,BJ$13))))</f>
        <v>1000000000000</v>
      </c>
      <c r="BK481" s="215">
        <f ca="1">IF($D481&lt;&gt;"Serviço",0,IF(AND(AUTOEVENTO="Manual",$M481=1),0,IF(OFFSET(CRONOPLE!$F$14,$M481,BK$13)="",10^12,OFFSET(CRONOPLE!$F$14,$M481,BK$13))))</f>
        <v>1000000000000</v>
      </c>
      <c r="BL481" s="215">
        <f ca="1">IF($D481&lt;&gt;"Serviço",0,IF(AND(AUTOEVENTO="Manual",$M481=1),0,IF(OFFSET(CRONOPLE!$F$14,$M481,BL$13)="",10^12,OFFSET(CRONOPLE!$F$14,$M481,BL$13))))</f>
        <v>1000000000000</v>
      </c>
      <c r="BM481" s="215">
        <f ca="1">IF($D481&lt;&gt;"Serviço",0,IF(AND(AUTOEVENTO="Manual",$M481=1),0,IF(OFFSET(CRONOPLE!$F$14,$M481,BM$13)="",10^12,OFFSET(CRONOPLE!$F$14,$M481,BM$13))))</f>
        <v>1000000000000</v>
      </c>
      <c r="BN481" s="215">
        <f ca="1">IF($D481&lt;&gt;"Serviço",0,IF(AND(AUTOEVENTO="Manual",$M481=1),0,IF(OFFSET(CRONOPLE!$F$14,$M481,BN$13)="",10^12,OFFSET(CRONOPLE!$F$14,$M481,BN$13))))</f>
        <v>1000000000000</v>
      </c>
      <c r="BO481" s="215">
        <f ca="1">IF($D481&lt;&gt;"Serviço",0,IF(AND(AUTOEVENTO="Manual",$M481=1),0,IF(OFFSET(CRONOPLE!$F$14,$M481,BO$13)="",10^12,OFFSET(CRONOPLE!$F$14,$M481,BO$13))))</f>
        <v>1000000000000</v>
      </c>
      <c r="BP481" s="215">
        <f ca="1">IF($D481&lt;&gt;"Serviço",0,IF(AND(AUTOEVENTO="Manual",$M481=1),0,IF(OFFSET(CRONOPLE!$F$14,$M481,BP$13)="",10^12,OFFSET(CRONOPLE!$F$14,$M481,BP$13))))</f>
        <v>1000000000000</v>
      </c>
      <c r="BQ481" s="215">
        <f ca="1">IF($D481&lt;&gt;"Serviço",0,IF(AND(AUTOEVENTO="Manual",$M481=1),0,IF(OFFSET(CRONOPLE!$F$14,$M481,BQ$13)="",10^12,OFFSET(CRONOPLE!$F$14,$M481,BQ$13))))</f>
        <v>1000000000000</v>
      </c>
      <c r="BR481" s="215">
        <f ca="1">IF($D481&lt;&gt;"Serviço",0,IF(AND(AUTOEVENTO="Manual",$M481=1),0,IF(OFFSET(CRONOPLE!$F$14,$M481,BR$13)="",10^12,OFFSET(CRONOPLE!$F$14,$M481,BR$13))))</f>
        <v>1000000000000</v>
      </c>
      <c r="BS481" s="215">
        <f ca="1">IF($D481&lt;&gt;"Serviço",0,IF(AND(AUTOEVENTO="Manual",$M481=1),0,IF(OFFSET(CRONOPLE!$F$14,$M481,BS$13)="",10^12,OFFSET(CRONOPLE!$F$14,$M481,BS$13))))</f>
        <v>1000000000000</v>
      </c>
      <c r="BT481" s="215">
        <f ca="1">IF($D481&lt;&gt;"Serviço",0,IF(AND(AUTOEVENTO="Manual",$M481=1),0,IF(OFFSET(CRONOPLE!$F$14,$M481,BT$13)="",10^12,OFFSET(CRONOPLE!$F$14,$M481,BT$13))))</f>
        <v>1000000000000</v>
      </c>
      <c r="BV481" s="216">
        <f ca="1">IF($D481&lt;&gt;"Serviço",0,IF(OR(AND(AUTOEVENTO="Manual",$M481=1),$M481&gt;(ROW(PLE.lastrow)-ROW(PLE.firstrow))),0,IF(OFFSET(PLE!$G$14,$M481,BV$13)="",10^12,OFFSET(PLE!$G$14,$M481,BV$13))))</f>
        <v>1000000000000</v>
      </c>
      <c r="BW481" s="216">
        <f ca="1">IF($D481&lt;&gt;"Serviço",0,IF(OR(AND(AUTOEVENTO="Manual",$M481=1),$M481&gt;(ROW(PLE.lastrow)-ROW(PLE.firstrow))),0,IF(OFFSET(PLE!$G$14,$M481,BW$13)="",10^12,OFFSET(PLE!$G$14,$M481,BW$13))))</f>
        <v>1000000000000</v>
      </c>
      <c r="BX481" s="216">
        <f ca="1">IF($D481&lt;&gt;"Serviço",0,IF(OR(AND(AUTOEVENTO="Manual",$M481=1),$M481&gt;(ROW(PLE.lastrow)-ROW(PLE.firstrow))),0,IF(OFFSET(PLE!$G$14,$M481,BX$13)="",10^12,OFFSET(PLE!$G$14,$M481,BX$13))))</f>
        <v>1000000000000</v>
      </c>
      <c r="BY481" s="216">
        <f ca="1">IF($D481&lt;&gt;"Serviço",0,IF(OR(AND(AUTOEVENTO="Manual",$M481=1),$M481&gt;(ROW(PLE.lastrow)-ROW(PLE.firstrow))),0,IF(OFFSET(PLE!$G$14,$M481,BY$13)="",10^12,OFFSET(PLE!$G$14,$M481,BY$13))))</f>
        <v>1000000000000</v>
      </c>
      <c r="BZ481" s="216">
        <f ca="1">IF($D481&lt;&gt;"Serviço",0,IF(OR(AND(AUTOEVENTO="Manual",$M481=1),$M481&gt;(ROW(PLE.lastrow)-ROW(PLE.firstrow))),0,IF(OFFSET(PLE!$G$14,$M481,BZ$13)="",10^12,OFFSET(PLE!$G$14,$M481,BZ$13))))</f>
        <v>1000000000000</v>
      </c>
      <c r="CA481" s="216">
        <f ca="1">IF($D481&lt;&gt;"Serviço",0,IF(OR(AND(AUTOEVENTO="Manual",$M481=1),$M481&gt;(ROW(PLE.lastrow)-ROW(PLE.firstrow))),0,IF(OFFSET(PLE!$G$14,$M481,CA$13)="",10^12,OFFSET(PLE!$G$14,$M481,CA$13))))</f>
        <v>1000000000000</v>
      </c>
      <c r="CB481" s="216">
        <f ca="1">IF($D481&lt;&gt;"Serviço",0,IF(OR(AND(AUTOEVENTO="Manual",$M481=1),$M481&gt;(ROW(PLE.lastrow)-ROW(PLE.firstrow))),0,IF(OFFSET(PLE!$G$14,$M481,CB$13)="",10^12,OFFSET(PLE!$G$14,$M481,CB$13))))</f>
        <v>1000000000000</v>
      </c>
      <c r="CC481" s="216">
        <f ca="1">IF($D481&lt;&gt;"Serviço",0,IF(OR(AND(AUTOEVENTO="Manual",$M481=1),$M481&gt;(ROW(PLE.lastrow)-ROW(PLE.firstrow))),0,IF(OFFSET(PLE!$G$14,$M481,CC$13)="",10^12,OFFSET(PLE!$G$14,$M481,CC$13))))</f>
        <v>1000000000000</v>
      </c>
      <c r="CD481" s="216">
        <f ca="1">IF($D481&lt;&gt;"Serviço",0,IF(OR(AND(AUTOEVENTO="Manual",$M481=1),$M481&gt;(ROW(PLE.lastrow)-ROW(PLE.firstrow))),0,IF(OFFSET(PLE!$G$14,$M481,CD$13)="",10^12,OFFSET(PLE!$G$14,$M481,CD$13))))</f>
        <v>1000000000000</v>
      </c>
      <c r="CE481" s="216">
        <f ca="1">IF($D481&lt;&gt;"Serviço",0,IF(OR(AND(AUTOEVENTO="Manual",$M481=1),$M481&gt;(ROW(PLE.lastrow)-ROW(PLE.firstrow))),0,IF(OFFSET(PLE!$G$14,$M481,CE$13)="",10^12,OFFSET(PLE!$G$14,$M481,CE$13))))</f>
        <v>1000000000000</v>
      </c>
      <c r="CF481" s="216">
        <f ca="1">IF($D481&lt;&gt;"Serviço",0,IF(OR(AND(AUTOEVENTO="Manual",$M481=1),$M481&gt;(ROW(PLE.lastrow)-ROW(PLE.firstrow))),0,IF(OFFSET(PLE!$G$14,$M481,CF$13)="",10^12,OFFSET(PLE!$G$14,$M481,CF$13))))</f>
        <v>1000000000000</v>
      </c>
      <c r="CG481" s="216">
        <f ca="1">IF($D481&lt;&gt;"Serviço",0,IF(OR(AND(AUTOEVENTO="Manual",$M481=1),$M481&gt;(ROW(PLE.lastrow)-ROW(PLE.firstrow))),0,IF(OFFSET(PLE!$G$14,$M481,CG$13)="",10^12,OFFSET(PLE!$G$14,$M481,CG$13))))</f>
        <v>1000000000000</v>
      </c>
      <c r="CH481" s="216">
        <f ca="1">IF($D481&lt;&gt;"Serviço",0,IF(OR(AND(AUTOEVENTO="Manual",$M481=1),$M481&gt;(ROW(PLE.lastrow)-ROW(PLE.firstrow))),0,IF(OFFSET(PLE!$G$14,$M481,CH$13)="",10^12,OFFSET(PLE!$G$14,$M481,CH$13))))</f>
        <v>1000000000000</v>
      </c>
      <c r="CI481" s="216">
        <f ca="1">IF($D481&lt;&gt;"Serviço",0,IF(OR(AND(AUTOEVENTO="Manual",$M481=1),$M481&gt;(ROW(PLE.lastrow)-ROW(PLE.firstrow))),0,IF(OFFSET(PLE!$G$14,$M481,CI$13)="",10^12,OFFSET(PLE!$G$14,$M481,CI$13))))</f>
        <v>1000000000000</v>
      </c>
      <c r="CJ481" s="216">
        <f ca="1">IF($D481&lt;&gt;"Serviço",0,IF(OR(AND(AUTOEVENTO="Manual",$M481=1),$M481&gt;(ROW(PLE.lastrow)-ROW(PLE.firstrow))),0,IF(OFFSET(PLE!$G$14,$M481,CJ$13)="",10^12,OFFSET(PLE!$G$14,$M481,CJ$13))))</f>
        <v>1000000000000</v>
      </c>
      <c r="CK481" s="216">
        <f ca="1">IF($D481&lt;&gt;"Serviço",0,IF(OR(AND(AUTOEVENTO="Manual",$M481=1),$M481&gt;(ROW(PLE.lastrow)-ROW(PLE.firstrow))),0,IF(OFFSET(PLE!$G$14,$M481,CK$13)="",10^12,OFFSET(PLE!$G$14,$M481,CK$13))))</f>
        <v>1000000000000</v>
      </c>
      <c r="CL481" s="216">
        <f ca="1">IF($D481&lt;&gt;"Serviço",0,IF(OR(AND(AUTOEVENTO="Manual",$M481=1),$M481&gt;(ROW(PLE.lastrow)-ROW(PLE.firstrow))),0,IF(OFFSET(PLE!$G$14,$M481,CL$13)="",10^12,OFFSET(PLE!$G$14,$M481,CL$13))))</f>
        <v>1000000000000</v>
      </c>
      <c r="CM481" s="216">
        <f ca="1">IF($D481&lt;&gt;"Serviço",0,IF(OR(AND(AUTOEVENTO="Manual",$M481=1),$M481&gt;(ROW(PLE.lastrow)-ROW(PLE.firstrow))),0,IF(OFFSET(PLE!$G$14,$M481,CM$13)="",10^12,OFFSET(PLE!$G$14,$M481,CM$13))))</f>
        <v>1000000000000</v>
      </c>
    </row>
    <row r="482" spans="1:91" ht="13.2" x14ac:dyDescent="0.25">
      <c r="A482" s="9">
        <f t="shared" ca="1" si="16"/>
        <v>0</v>
      </c>
      <c r="B482" s="9">
        <f ca="1">OFFSET(ORÇAMENTO!C$15,ROW(B482)-ROW(B$15),0)</f>
        <v>2</v>
      </c>
      <c r="C482" s="9" t="str">
        <f ca="1">OFFSET(ORÇAMENTO!L$15,ROW(C482)-ROW(C$15),0)</f>
        <v>F</v>
      </c>
      <c r="D482" s="145" t="str">
        <f ca="1">OFFSET(ORÇAMENTO!N$15,ROW(D482)-ROW(D$15),0)</f>
        <v>Nível 2</v>
      </c>
      <c r="E482" s="205" t="str">
        <f ca="1">OFFSET(ORÇAMENTO!O$15,ROW(E482)-ROW(E$15),0)</f>
        <v>1.16.</v>
      </c>
      <c r="F482" s="206" t="str">
        <f ca="1">OFFSET(ORÇAMENTO!R$15,ROW(F482)-ROW(F$15),0)</f>
        <v>INSTALAÇÃO DE GÁS COMBUSTÍVEL</v>
      </c>
      <c r="G482" s="207" t="str">
        <f ca="1">IF($D482&lt;&gt;"Serviço","",OFFSET(ORÇAMENTO!S$15,ROW(G482)-ROW(G$15),0))</f>
        <v/>
      </c>
      <c r="H482" s="151">
        <f ca="1">IF($D482&lt;&gt;"Serviço",0,IF(ACOMPANHAMENTO="BM",ROUND(OFFSET(ORÇAMENTO!AJ$15,ROW(H482)-ROW(H$15),0),15-13*ORÇAMENTO!$AF$7),SUMPRODUCT(($Q$12:$AI$12&lt;&gt;"")*ROUND($Q482:$AI482,15-13*ORÇAMENTO!$AF$7))))</f>
        <v>0</v>
      </c>
      <c r="I482" s="650"/>
      <c r="K482" s="208"/>
      <c r="L482" s="209" t="s">
        <v>257</v>
      </c>
      <c r="M482" s="210" t="str">
        <f ca="1">IF($D482&lt;&gt;"Serviço","",IF(AUTOEVENTO="manual",$A482,IF(ISERROR(MATCH($A482,$A$15:OFFSET($A482,-1,0),0)),MAX($M$15:OFFSET(M482,-1,0))+1,INDEX($M$15:OFFSET(M482,-1,0),MATCH($A482,$A$15:OFFSET($A482,-1,0),0)))))</f>
        <v/>
      </c>
      <c r="N482" s="211" t="str">
        <f ca="1">IF($D482&lt;&gt;"Serviço","",IF(AUTOEVENTO="Manual",IF($A482=0,"&lt;-- defina o número do agrupador",OFFSET(EVENTOS!$D$14,$A482,0)),OFFSET($F$15,$A482,0)))</f>
        <v/>
      </c>
      <c r="O482" s="212"/>
      <c r="Q482" s="212"/>
      <c r="R482" s="213"/>
      <c r="S482" s="213"/>
      <c r="T482" s="213"/>
      <c r="U482" s="213"/>
      <c r="V482" s="213"/>
      <c r="W482" s="213"/>
      <c r="X482" s="213"/>
      <c r="Y482" s="213"/>
      <c r="Z482" s="214"/>
      <c r="AA482" s="213"/>
      <c r="AB482" s="213"/>
      <c r="AC482" s="213"/>
      <c r="AD482" s="213"/>
      <c r="AE482" s="213"/>
      <c r="AF482" s="213"/>
      <c r="AG482" s="213"/>
      <c r="AH482" s="214"/>
      <c r="AJ482" s="631">
        <f ca="1">IF(AND($D482="Serviço",AJ$12&lt;&gt;0,$H482&gt;0,OR(AUTOEVENTO&lt;&gt;"manual",$M482&lt;&gt;1)),ROUND(OFFSET($P482,0,AJ$13),15-13*ORÇAMENTO!$AF$7)/$H482*OFFSET(ORÇAMENTO!$X$15,ROW(AJ482)-ROW(AJ$15),0),0)</f>
        <v>0</v>
      </c>
      <c r="AK482" s="632">
        <f ca="1">IF(AND($D482="Serviço",AK$12&lt;&gt;0,$H482&gt;0,OR(AUTOEVENTO&lt;&gt;"manual",$M482&lt;&gt;1)),ROUND(OFFSET($P482,0,AK$13),15-13*ORÇAMENTO!$AF$7)/$H482*OFFSET(ORÇAMENTO!$X$15,ROW(AK482)-ROW(AK$15),0),0)</f>
        <v>0</v>
      </c>
      <c r="AL482" s="632">
        <f ca="1">IF(AND($D482="Serviço",AL$12&lt;&gt;0,$H482&gt;0,OR(AUTOEVENTO&lt;&gt;"manual",$M482&lt;&gt;1)),ROUND(OFFSET($P482,0,AL$13),15-13*ORÇAMENTO!$AF$7)/$H482*OFFSET(ORÇAMENTO!$X$15,ROW(AL482)-ROW(AL$15),0),0)</f>
        <v>0</v>
      </c>
      <c r="AM482" s="632">
        <f ca="1">IF(AND($D482="Serviço",AM$12&lt;&gt;0,$H482&gt;0,OR(AUTOEVENTO&lt;&gt;"manual",$M482&lt;&gt;1)),ROUND(OFFSET($P482,0,AM$13),15-13*ORÇAMENTO!$AF$7)/$H482*OFFSET(ORÇAMENTO!$X$15,ROW(AM482)-ROW(AM$15),0),0)</f>
        <v>0</v>
      </c>
      <c r="AN482" s="632">
        <f ca="1">IF(AND($D482="Serviço",AN$12&lt;&gt;0,$H482&gt;0,OR(AUTOEVENTO&lt;&gt;"manual",$M482&lt;&gt;1)),ROUND(OFFSET($P482,0,AN$13),15-13*ORÇAMENTO!$AF$7)/$H482*OFFSET(ORÇAMENTO!$X$15,ROW(AN482)-ROW(AN$15),0),0)</f>
        <v>0</v>
      </c>
      <c r="AO482" s="632">
        <f ca="1">IF(AND($D482="Serviço",AO$12&lt;&gt;0,$H482&gt;0,OR(AUTOEVENTO&lt;&gt;"manual",$M482&lt;&gt;1)),ROUND(OFFSET($P482,0,AO$13),15-13*ORÇAMENTO!$AF$7)/$H482*OFFSET(ORÇAMENTO!$X$15,ROW(AO482)-ROW(AO$15),0),0)</f>
        <v>0</v>
      </c>
      <c r="AP482" s="632">
        <f ca="1">IF(AND($D482="Serviço",AP$12&lt;&gt;0,$H482&gt;0,OR(AUTOEVENTO&lt;&gt;"manual",$M482&lt;&gt;1)),ROUND(OFFSET($P482,0,AP$13),15-13*ORÇAMENTO!$AF$7)/$H482*OFFSET(ORÇAMENTO!$X$15,ROW(AP482)-ROW(AP$15),0),0)</f>
        <v>0</v>
      </c>
      <c r="AQ482" s="632">
        <f ca="1">IF(AND($D482="Serviço",AQ$12&lt;&gt;0,$H482&gt;0,OR(AUTOEVENTO&lt;&gt;"manual",$M482&lt;&gt;1)),ROUND(OFFSET($P482,0,AQ$13),15-13*ORÇAMENTO!$AF$7)/$H482*OFFSET(ORÇAMENTO!$X$15,ROW(AQ482)-ROW(AQ$15),0),0)</f>
        <v>0</v>
      </c>
      <c r="AR482" s="632">
        <f ca="1">IF(AND($D482="Serviço",AR$12&lt;&gt;0,$H482&gt;0,OR(AUTOEVENTO&lt;&gt;"manual",$M482&lt;&gt;1)),ROUND(OFFSET($P482,0,AR$13),15-13*ORÇAMENTO!$AF$7)/$H482*OFFSET(ORÇAMENTO!$X$15,ROW(AR482)-ROW(AR$15),0),0)</f>
        <v>0</v>
      </c>
      <c r="AS482" s="633">
        <f ca="1">IF(AND($D482="Serviço",AS$12&lt;&gt;0,$H482&gt;0,OR(AUTOEVENTO&lt;&gt;"manual",$M482&lt;&gt;1)),ROUND(OFFSET($P482,0,AS$13),15-13*ORÇAMENTO!$AF$7)/$H482*OFFSET(ORÇAMENTO!$X$15,ROW(AS482)-ROW(AS$15),0),0)</f>
        <v>0</v>
      </c>
      <c r="AT482" s="632">
        <f ca="1">IF(AND($D482="Serviço",AT$12&lt;&gt;0,$H482&gt;0,OR(AUTOEVENTO&lt;&gt;"manual",$M482&lt;&gt;1)),ROUND(OFFSET($P482,0,AT$13),15-13*ORÇAMENTO!$AF$7)/$H482*OFFSET(ORÇAMENTO!$X$15,ROW(AT482)-ROW(AT$15),0),0)</f>
        <v>0</v>
      </c>
      <c r="AU482" s="632">
        <f ca="1">IF(AND($D482="Serviço",AU$12&lt;&gt;0,$H482&gt;0,OR(AUTOEVENTO&lt;&gt;"manual",$M482&lt;&gt;1)),ROUND(OFFSET($P482,0,AU$13),15-13*ORÇAMENTO!$AF$7)/$H482*OFFSET(ORÇAMENTO!$X$15,ROW(AU482)-ROW(AU$15),0),0)</f>
        <v>0</v>
      </c>
      <c r="AV482" s="632">
        <f ca="1">IF(AND($D482="Serviço",AV$12&lt;&gt;0,$H482&gt;0,OR(AUTOEVENTO&lt;&gt;"manual",$M482&lt;&gt;1)),ROUND(OFFSET($P482,0,AV$13),15-13*ORÇAMENTO!$AF$7)/$H482*OFFSET(ORÇAMENTO!$X$15,ROW(AV482)-ROW(AV$15),0),0)</f>
        <v>0</v>
      </c>
      <c r="AW482" s="632">
        <f ca="1">IF(AND($D482="Serviço",AW$12&lt;&gt;0,$H482&gt;0,OR(AUTOEVENTO&lt;&gt;"manual",$M482&lt;&gt;1)),ROUND(OFFSET($P482,0,AW$13),15-13*ORÇAMENTO!$AF$7)/$H482*OFFSET(ORÇAMENTO!$X$15,ROW(AW482)-ROW(AW$15),0),0)</f>
        <v>0</v>
      </c>
      <c r="AX482" s="632">
        <f ca="1">IF(AND($D482="Serviço",AX$12&lt;&gt;0,$H482&gt;0,OR(AUTOEVENTO&lt;&gt;"manual",$M482&lt;&gt;1)),ROUND(OFFSET($P482,0,AX$13),15-13*ORÇAMENTO!$AF$7)/$H482*OFFSET(ORÇAMENTO!$X$15,ROW(AX482)-ROW(AX$15),0),0)</f>
        <v>0</v>
      </c>
      <c r="AY482" s="632">
        <f ca="1">IF(AND($D482="Serviço",AY$12&lt;&gt;0,$H482&gt;0,OR(AUTOEVENTO&lt;&gt;"manual",$M482&lt;&gt;1)),ROUND(OFFSET($P482,0,AY$13),15-13*ORÇAMENTO!$AF$7)/$H482*OFFSET(ORÇAMENTO!$X$15,ROW(AY482)-ROW(AY$15),0),0)</f>
        <v>0</v>
      </c>
      <c r="AZ482" s="632">
        <f ca="1">IF(AND($D482="Serviço",AZ$12&lt;&gt;0,$H482&gt;0,OR(AUTOEVENTO&lt;&gt;"manual",$M482&lt;&gt;1)),ROUND(OFFSET($P482,0,AZ$13),15-13*ORÇAMENTO!$AF$7)/$H482*OFFSET(ORÇAMENTO!$X$15,ROW(AZ482)-ROW(AZ$15),0),0)</f>
        <v>0</v>
      </c>
      <c r="BA482" s="633">
        <f ca="1">IF(AND($D482="Serviço",BA$12&lt;&gt;0,$H482&gt;0,OR(AUTOEVENTO&lt;&gt;"manual",$M482&lt;&gt;1)),ROUND(OFFSET($P482,0,BA$13),15-13*ORÇAMENTO!$AF$7)/$H482*OFFSET(ORÇAMENTO!$X$15,ROW(BA482)-ROW(BA$15),0),0)</f>
        <v>0</v>
      </c>
      <c r="BC482" s="215">
        <f ca="1">IF($D482&lt;&gt;"Serviço",0,IF(AND(AUTOEVENTO="Manual",$M482=1),0,IF(OFFSET(CRONOPLE!$F$14,$M482,BC$13)="",10^12,OFFSET(CRONOPLE!$F$14,$M482,BC$13))))</f>
        <v>0</v>
      </c>
      <c r="BD482" s="215">
        <f ca="1">IF($D482&lt;&gt;"Serviço",0,IF(AND(AUTOEVENTO="Manual",$M482=1),0,IF(OFFSET(CRONOPLE!$F$14,$M482,BD$13)="",10^12,OFFSET(CRONOPLE!$F$14,$M482,BD$13))))</f>
        <v>0</v>
      </c>
      <c r="BE482" s="215">
        <f ca="1">IF($D482&lt;&gt;"Serviço",0,IF(AND(AUTOEVENTO="Manual",$M482=1),0,IF(OFFSET(CRONOPLE!$F$14,$M482,BE$13)="",10^12,OFFSET(CRONOPLE!$F$14,$M482,BE$13))))</f>
        <v>0</v>
      </c>
      <c r="BF482" s="215">
        <f ca="1">IF($D482&lt;&gt;"Serviço",0,IF(AND(AUTOEVENTO="Manual",$M482=1),0,IF(OFFSET(CRONOPLE!$F$14,$M482,BF$13)="",10^12,OFFSET(CRONOPLE!$F$14,$M482,BF$13))))</f>
        <v>0</v>
      </c>
      <c r="BG482" s="215">
        <f ca="1">IF($D482&lt;&gt;"Serviço",0,IF(AND(AUTOEVENTO="Manual",$M482=1),0,IF(OFFSET(CRONOPLE!$F$14,$M482,BG$13)="",10^12,OFFSET(CRONOPLE!$F$14,$M482,BG$13))))</f>
        <v>0</v>
      </c>
      <c r="BH482" s="215">
        <f ca="1">IF($D482&lt;&gt;"Serviço",0,IF(AND(AUTOEVENTO="Manual",$M482=1),0,IF(OFFSET(CRONOPLE!$F$14,$M482,BH$13)="",10^12,OFFSET(CRONOPLE!$F$14,$M482,BH$13))))</f>
        <v>0</v>
      </c>
      <c r="BI482" s="215">
        <f ca="1">IF($D482&lt;&gt;"Serviço",0,IF(AND(AUTOEVENTO="Manual",$M482=1),0,IF(OFFSET(CRONOPLE!$F$14,$M482,BI$13)="",10^12,OFFSET(CRONOPLE!$F$14,$M482,BI$13))))</f>
        <v>0</v>
      </c>
      <c r="BJ482" s="215">
        <f ca="1">IF($D482&lt;&gt;"Serviço",0,IF(AND(AUTOEVENTO="Manual",$M482=1),0,IF(OFFSET(CRONOPLE!$F$14,$M482,BJ$13)="",10^12,OFFSET(CRONOPLE!$F$14,$M482,BJ$13))))</f>
        <v>0</v>
      </c>
      <c r="BK482" s="215">
        <f ca="1">IF($D482&lt;&gt;"Serviço",0,IF(AND(AUTOEVENTO="Manual",$M482=1),0,IF(OFFSET(CRONOPLE!$F$14,$M482,BK$13)="",10^12,OFFSET(CRONOPLE!$F$14,$M482,BK$13))))</f>
        <v>0</v>
      </c>
      <c r="BL482" s="215">
        <f ca="1">IF($D482&lt;&gt;"Serviço",0,IF(AND(AUTOEVENTO="Manual",$M482=1),0,IF(OFFSET(CRONOPLE!$F$14,$M482,BL$13)="",10^12,OFFSET(CRONOPLE!$F$14,$M482,BL$13))))</f>
        <v>0</v>
      </c>
      <c r="BM482" s="215">
        <f ca="1">IF($D482&lt;&gt;"Serviço",0,IF(AND(AUTOEVENTO="Manual",$M482=1),0,IF(OFFSET(CRONOPLE!$F$14,$M482,BM$13)="",10^12,OFFSET(CRONOPLE!$F$14,$M482,BM$13))))</f>
        <v>0</v>
      </c>
      <c r="BN482" s="215">
        <f ca="1">IF($D482&lt;&gt;"Serviço",0,IF(AND(AUTOEVENTO="Manual",$M482=1),0,IF(OFFSET(CRONOPLE!$F$14,$M482,BN$13)="",10^12,OFFSET(CRONOPLE!$F$14,$M482,BN$13))))</f>
        <v>0</v>
      </c>
      <c r="BO482" s="215">
        <f ca="1">IF($D482&lt;&gt;"Serviço",0,IF(AND(AUTOEVENTO="Manual",$M482=1),0,IF(OFFSET(CRONOPLE!$F$14,$M482,BO$13)="",10^12,OFFSET(CRONOPLE!$F$14,$M482,BO$13))))</f>
        <v>0</v>
      </c>
      <c r="BP482" s="215">
        <f ca="1">IF($D482&lt;&gt;"Serviço",0,IF(AND(AUTOEVENTO="Manual",$M482=1),0,IF(OFFSET(CRONOPLE!$F$14,$M482,BP$13)="",10^12,OFFSET(CRONOPLE!$F$14,$M482,BP$13))))</f>
        <v>0</v>
      </c>
      <c r="BQ482" s="215">
        <f ca="1">IF($D482&lt;&gt;"Serviço",0,IF(AND(AUTOEVENTO="Manual",$M482=1),0,IF(OFFSET(CRONOPLE!$F$14,$M482,BQ$13)="",10^12,OFFSET(CRONOPLE!$F$14,$M482,BQ$13))))</f>
        <v>0</v>
      </c>
      <c r="BR482" s="215">
        <f ca="1">IF($D482&lt;&gt;"Serviço",0,IF(AND(AUTOEVENTO="Manual",$M482=1),0,IF(OFFSET(CRONOPLE!$F$14,$M482,BR$13)="",10^12,OFFSET(CRONOPLE!$F$14,$M482,BR$13))))</f>
        <v>0</v>
      </c>
      <c r="BS482" s="215">
        <f ca="1">IF($D482&lt;&gt;"Serviço",0,IF(AND(AUTOEVENTO="Manual",$M482=1),0,IF(OFFSET(CRONOPLE!$F$14,$M482,BS$13)="",10^12,OFFSET(CRONOPLE!$F$14,$M482,BS$13))))</f>
        <v>0</v>
      </c>
      <c r="BT482" s="215">
        <f ca="1">IF($D482&lt;&gt;"Serviço",0,IF(AND(AUTOEVENTO="Manual",$M482=1),0,IF(OFFSET(CRONOPLE!$F$14,$M482,BT$13)="",10^12,OFFSET(CRONOPLE!$F$14,$M482,BT$13))))</f>
        <v>0</v>
      </c>
      <c r="BV482" s="216">
        <f ca="1">IF($D482&lt;&gt;"Serviço",0,IF(OR(AND(AUTOEVENTO="Manual",$M482=1),$M482&gt;(ROW(PLE.lastrow)-ROW(PLE.firstrow))),0,IF(OFFSET(PLE!$G$14,$M482,BV$13)="",10^12,OFFSET(PLE!$G$14,$M482,BV$13))))</f>
        <v>0</v>
      </c>
      <c r="BW482" s="216">
        <f ca="1">IF($D482&lt;&gt;"Serviço",0,IF(OR(AND(AUTOEVENTO="Manual",$M482=1),$M482&gt;(ROW(PLE.lastrow)-ROW(PLE.firstrow))),0,IF(OFFSET(PLE!$G$14,$M482,BW$13)="",10^12,OFFSET(PLE!$G$14,$M482,BW$13))))</f>
        <v>0</v>
      </c>
      <c r="BX482" s="216">
        <f ca="1">IF($D482&lt;&gt;"Serviço",0,IF(OR(AND(AUTOEVENTO="Manual",$M482=1),$M482&gt;(ROW(PLE.lastrow)-ROW(PLE.firstrow))),0,IF(OFFSET(PLE!$G$14,$M482,BX$13)="",10^12,OFFSET(PLE!$G$14,$M482,BX$13))))</f>
        <v>0</v>
      </c>
      <c r="BY482" s="216">
        <f ca="1">IF($D482&lt;&gt;"Serviço",0,IF(OR(AND(AUTOEVENTO="Manual",$M482=1),$M482&gt;(ROW(PLE.lastrow)-ROW(PLE.firstrow))),0,IF(OFFSET(PLE!$G$14,$M482,BY$13)="",10^12,OFFSET(PLE!$G$14,$M482,BY$13))))</f>
        <v>0</v>
      </c>
      <c r="BZ482" s="216">
        <f ca="1">IF($D482&lt;&gt;"Serviço",0,IF(OR(AND(AUTOEVENTO="Manual",$M482=1),$M482&gt;(ROW(PLE.lastrow)-ROW(PLE.firstrow))),0,IF(OFFSET(PLE!$G$14,$M482,BZ$13)="",10^12,OFFSET(PLE!$G$14,$M482,BZ$13))))</f>
        <v>0</v>
      </c>
      <c r="CA482" s="216">
        <f ca="1">IF($D482&lt;&gt;"Serviço",0,IF(OR(AND(AUTOEVENTO="Manual",$M482=1),$M482&gt;(ROW(PLE.lastrow)-ROW(PLE.firstrow))),0,IF(OFFSET(PLE!$G$14,$M482,CA$13)="",10^12,OFFSET(PLE!$G$14,$M482,CA$13))))</f>
        <v>0</v>
      </c>
      <c r="CB482" s="216">
        <f ca="1">IF($D482&lt;&gt;"Serviço",0,IF(OR(AND(AUTOEVENTO="Manual",$M482=1),$M482&gt;(ROW(PLE.lastrow)-ROW(PLE.firstrow))),0,IF(OFFSET(PLE!$G$14,$M482,CB$13)="",10^12,OFFSET(PLE!$G$14,$M482,CB$13))))</f>
        <v>0</v>
      </c>
      <c r="CC482" s="216">
        <f ca="1">IF($D482&lt;&gt;"Serviço",0,IF(OR(AND(AUTOEVENTO="Manual",$M482=1),$M482&gt;(ROW(PLE.lastrow)-ROW(PLE.firstrow))),0,IF(OFFSET(PLE!$G$14,$M482,CC$13)="",10^12,OFFSET(PLE!$G$14,$M482,CC$13))))</f>
        <v>0</v>
      </c>
      <c r="CD482" s="216">
        <f ca="1">IF($D482&lt;&gt;"Serviço",0,IF(OR(AND(AUTOEVENTO="Manual",$M482=1),$M482&gt;(ROW(PLE.lastrow)-ROW(PLE.firstrow))),0,IF(OFFSET(PLE!$G$14,$M482,CD$13)="",10^12,OFFSET(PLE!$G$14,$M482,CD$13))))</f>
        <v>0</v>
      </c>
      <c r="CE482" s="216">
        <f ca="1">IF($D482&lt;&gt;"Serviço",0,IF(OR(AND(AUTOEVENTO="Manual",$M482=1),$M482&gt;(ROW(PLE.lastrow)-ROW(PLE.firstrow))),0,IF(OFFSET(PLE!$G$14,$M482,CE$13)="",10^12,OFFSET(PLE!$G$14,$M482,CE$13))))</f>
        <v>0</v>
      </c>
      <c r="CF482" s="216">
        <f ca="1">IF($D482&lt;&gt;"Serviço",0,IF(OR(AND(AUTOEVENTO="Manual",$M482=1),$M482&gt;(ROW(PLE.lastrow)-ROW(PLE.firstrow))),0,IF(OFFSET(PLE!$G$14,$M482,CF$13)="",10^12,OFFSET(PLE!$G$14,$M482,CF$13))))</f>
        <v>0</v>
      </c>
      <c r="CG482" s="216">
        <f ca="1">IF($D482&lt;&gt;"Serviço",0,IF(OR(AND(AUTOEVENTO="Manual",$M482=1),$M482&gt;(ROW(PLE.lastrow)-ROW(PLE.firstrow))),0,IF(OFFSET(PLE!$G$14,$M482,CG$13)="",10^12,OFFSET(PLE!$G$14,$M482,CG$13))))</f>
        <v>0</v>
      </c>
      <c r="CH482" s="216">
        <f ca="1">IF($D482&lt;&gt;"Serviço",0,IF(OR(AND(AUTOEVENTO="Manual",$M482=1),$M482&gt;(ROW(PLE.lastrow)-ROW(PLE.firstrow))),0,IF(OFFSET(PLE!$G$14,$M482,CH$13)="",10^12,OFFSET(PLE!$G$14,$M482,CH$13))))</f>
        <v>0</v>
      </c>
      <c r="CI482" s="216">
        <f ca="1">IF($D482&lt;&gt;"Serviço",0,IF(OR(AND(AUTOEVENTO="Manual",$M482=1),$M482&gt;(ROW(PLE.lastrow)-ROW(PLE.firstrow))),0,IF(OFFSET(PLE!$G$14,$M482,CI$13)="",10^12,OFFSET(PLE!$G$14,$M482,CI$13))))</f>
        <v>0</v>
      </c>
      <c r="CJ482" s="216">
        <f ca="1">IF($D482&lt;&gt;"Serviço",0,IF(OR(AND(AUTOEVENTO="Manual",$M482=1),$M482&gt;(ROW(PLE.lastrow)-ROW(PLE.firstrow))),0,IF(OFFSET(PLE!$G$14,$M482,CJ$13)="",10^12,OFFSET(PLE!$G$14,$M482,CJ$13))))</f>
        <v>0</v>
      </c>
      <c r="CK482" s="216">
        <f ca="1">IF($D482&lt;&gt;"Serviço",0,IF(OR(AND(AUTOEVENTO="Manual",$M482=1),$M482&gt;(ROW(PLE.lastrow)-ROW(PLE.firstrow))),0,IF(OFFSET(PLE!$G$14,$M482,CK$13)="",10^12,OFFSET(PLE!$G$14,$M482,CK$13))))</f>
        <v>0</v>
      </c>
      <c r="CL482" s="216">
        <f ca="1">IF($D482&lt;&gt;"Serviço",0,IF(OR(AND(AUTOEVENTO="Manual",$M482=1),$M482&gt;(ROW(PLE.lastrow)-ROW(PLE.firstrow))),0,IF(OFFSET(PLE!$G$14,$M482,CL$13)="",10^12,OFFSET(PLE!$G$14,$M482,CL$13))))</f>
        <v>0</v>
      </c>
      <c r="CM482" s="216">
        <f ca="1">IF($D482&lt;&gt;"Serviço",0,IF(OR(AND(AUTOEVENTO="Manual",$M482=1),$M482&gt;(ROW(PLE.lastrow)-ROW(PLE.firstrow))),0,IF(OFFSET(PLE!$G$14,$M482,CM$13)="",10^12,OFFSET(PLE!$G$14,$M482,CM$13))))</f>
        <v>0</v>
      </c>
    </row>
    <row r="483" spans="1:91" ht="13.2" x14ac:dyDescent="0.25">
      <c r="A483" s="9">
        <f t="shared" ca="1" si="16"/>
        <v>0</v>
      </c>
      <c r="B483" s="9" t="str">
        <f ca="1">OFFSET(ORÇAMENTO!C$15,ROW(B483)-ROW(B$15),0)</f>
        <v>S</v>
      </c>
      <c r="C483" s="9" t="str">
        <f ca="1">OFFSET(ORÇAMENTO!L$15,ROW(C483)-ROW(C$15),0)</f>
        <v/>
      </c>
      <c r="D483" s="145" t="str">
        <f ca="1">OFFSET(ORÇAMENTO!N$15,ROW(D483)-ROW(D$15),0)</f>
        <v>Serviço</v>
      </c>
      <c r="E483" s="205" t="str">
        <f ca="1">OFFSET(ORÇAMENTO!O$15,ROW(E483)-ROW(E$15),0)</f>
        <v>-</v>
      </c>
      <c r="F483" s="206" t="str">
        <f ca="1">OFFSET(ORÇAMENTO!R$15,ROW(F483)-ROW(F$15),0)</f>
        <v>(abra o arquivo 'Referência 05-2024.xls)</v>
      </c>
      <c r="G483" s="207" t="str">
        <f ca="1">IF($D483&lt;&gt;"Serviço","",OFFSET(ORÇAMENTO!S$15,ROW(G483)-ROW(G$15),0))</f>
        <v>-</v>
      </c>
      <c r="H483" s="151">
        <f ca="1">IF($D483&lt;&gt;"Serviço",0,IF(ACOMPANHAMENTO="BM",ROUND(OFFSET(ORÇAMENTO!AJ$15,ROW(H483)-ROW(H$15),0),15-13*ORÇAMENTO!$AF$7),SUMPRODUCT(($Q$12:$AI$12&lt;&gt;"")*ROUND($Q483:$AI483,15-13*ORÇAMENTO!$AF$7))))</f>
        <v>0.48</v>
      </c>
      <c r="I483" s="650"/>
      <c r="K483" s="208"/>
      <c r="L483" s="209" t="s">
        <v>257</v>
      </c>
      <c r="M483" s="210">
        <f ca="1">IF($D483&lt;&gt;"Serviço","",IF(AUTOEVENTO="manual",$A483,IF(ISERROR(MATCH($A483,$A$15:OFFSET($A483,-1,0),0)),MAX($M$15:OFFSET(M483,-1,0))+1,INDEX($M$15:OFFSET(M483,-1,0),MATCH($A483,$A$15:OFFSET($A483,-1,0),0)))))</f>
        <v>0</v>
      </c>
      <c r="N483" s="211" t="str">
        <f ca="1">IF($D483&lt;&gt;"Serviço","",IF(AUTOEVENTO="Manual",IF($A483=0,"&lt;-- defina o número do agrupador",OFFSET(EVENTOS!$D$14,$A483,0)),OFFSET($F$15,$A483,0)))</f>
        <v>&lt;-- defina o número do agrupador</v>
      </c>
      <c r="O483" s="212"/>
      <c r="Q483" s="212"/>
      <c r="R483" s="213"/>
      <c r="S483" s="213"/>
      <c r="T483" s="213"/>
      <c r="U483" s="213"/>
      <c r="V483" s="213"/>
      <c r="W483" s="213"/>
      <c r="X483" s="213"/>
      <c r="Y483" s="213"/>
      <c r="Z483" s="214"/>
      <c r="AA483" s="213"/>
      <c r="AB483" s="213"/>
      <c r="AC483" s="213"/>
      <c r="AD483" s="213"/>
      <c r="AE483" s="213"/>
      <c r="AF483" s="213"/>
      <c r="AG483" s="213"/>
      <c r="AH483" s="214"/>
      <c r="AJ483" s="631">
        <f ca="1">IF(AND($D483="Serviço",AJ$12&lt;&gt;0,$H483&gt;0,OR(AUTOEVENTO&lt;&gt;"manual",$M483&lt;&gt;1)),ROUND(OFFSET($P483,0,AJ$13),15-13*ORÇAMENTO!$AF$7)/$H483*OFFSET(ORÇAMENTO!$X$15,ROW(AJ483)-ROW(AJ$15),0),0)</f>
        <v>0</v>
      </c>
      <c r="AK483" s="632">
        <f ca="1">IF(AND($D483="Serviço",AK$12&lt;&gt;0,$H483&gt;0,OR(AUTOEVENTO&lt;&gt;"manual",$M483&lt;&gt;1)),ROUND(OFFSET($P483,0,AK$13),15-13*ORÇAMENTO!$AF$7)/$H483*OFFSET(ORÇAMENTO!$X$15,ROW(AK483)-ROW(AK$15),0),0)</f>
        <v>0</v>
      </c>
      <c r="AL483" s="632">
        <f ca="1">IF(AND($D483="Serviço",AL$12&lt;&gt;0,$H483&gt;0,OR(AUTOEVENTO&lt;&gt;"manual",$M483&lt;&gt;1)),ROUND(OFFSET($P483,0,AL$13),15-13*ORÇAMENTO!$AF$7)/$H483*OFFSET(ORÇAMENTO!$X$15,ROW(AL483)-ROW(AL$15),0),0)</f>
        <v>0</v>
      </c>
      <c r="AM483" s="632">
        <f ca="1">IF(AND($D483="Serviço",AM$12&lt;&gt;0,$H483&gt;0,OR(AUTOEVENTO&lt;&gt;"manual",$M483&lt;&gt;1)),ROUND(OFFSET($P483,0,AM$13),15-13*ORÇAMENTO!$AF$7)/$H483*OFFSET(ORÇAMENTO!$X$15,ROW(AM483)-ROW(AM$15),0),0)</f>
        <v>0</v>
      </c>
      <c r="AN483" s="632">
        <f ca="1">IF(AND($D483="Serviço",AN$12&lt;&gt;0,$H483&gt;0,OR(AUTOEVENTO&lt;&gt;"manual",$M483&lt;&gt;1)),ROUND(OFFSET($P483,0,AN$13),15-13*ORÇAMENTO!$AF$7)/$H483*OFFSET(ORÇAMENTO!$X$15,ROW(AN483)-ROW(AN$15),0),0)</f>
        <v>0</v>
      </c>
      <c r="AO483" s="632">
        <f ca="1">IF(AND($D483="Serviço",AO$12&lt;&gt;0,$H483&gt;0,OR(AUTOEVENTO&lt;&gt;"manual",$M483&lt;&gt;1)),ROUND(OFFSET($P483,0,AO$13),15-13*ORÇAMENTO!$AF$7)/$H483*OFFSET(ORÇAMENTO!$X$15,ROW(AO483)-ROW(AO$15),0),0)</f>
        <v>0</v>
      </c>
      <c r="AP483" s="632">
        <f ca="1">IF(AND($D483="Serviço",AP$12&lt;&gt;0,$H483&gt;0,OR(AUTOEVENTO&lt;&gt;"manual",$M483&lt;&gt;1)),ROUND(OFFSET($P483,0,AP$13),15-13*ORÇAMENTO!$AF$7)/$H483*OFFSET(ORÇAMENTO!$X$15,ROW(AP483)-ROW(AP$15),0),0)</f>
        <v>0</v>
      </c>
      <c r="AQ483" s="632">
        <f ca="1">IF(AND($D483="Serviço",AQ$12&lt;&gt;0,$H483&gt;0,OR(AUTOEVENTO&lt;&gt;"manual",$M483&lt;&gt;1)),ROUND(OFFSET($P483,0,AQ$13),15-13*ORÇAMENTO!$AF$7)/$H483*OFFSET(ORÇAMENTO!$X$15,ROW(AQ483)-ROW(AQ$15),0),0)</f>
        <v>0</v>
      </c>
      <c r="AR483" s="632">
        <f ca="1">IF(AND($D483="Serviço",AR$12&lt;&gt;0,$H483&gt;0,OR(AUTOEVENTO&lt;&gt;"manual",$M483&lt;&gt;1)),ROUND(OFFSET($P483,0,AR$13),15-13*ORÇAMENTO!$AF$7)/$H483*OFFSET(ORÇAMENTO!$X$15,ROW(AR483)-ROW(AR$15),0),0)</f>
        <v>0</v>
      </c>
      <c r="AS483" s="633">
        <f ca="1">IF(AND($D483="Serviço",AS$12&lt;&gt;0,$H483&gt;0,OR(AUTOEVENTO&lt;&gt;"manual",$M483&lt;&gt;1)),ROUND(OFFSET($P483,0,AS$13),15-13*ORÇAMENTO!$AF$7)/$H483*OFFSET(ORÇAMENTO!$X$15,ROW(AS483)-ROW(AS$15),0),0)</f>
        <v>0</v>
      </c>
      <c r="AT483" s="632">
        <f ca="1">IF(AND($D483="Serviço",AT$12&lt;&gt;0,$H483&gt;0,OR(AUTOEVENTO&lt;&gt;"manual",$M483&lt;&gt;1)),ROUND(OFFSET($P483,0,AT$13),15-13*ORÇAMENTO!$AF$7)/$H483*OFFSET(ORÇAMENTO!$X$15,ROW(AT483)-ROW(AT$15),0),0)</f>
        <v>0</v>
      </c>
      <c r="AU483" s="632">
        <f ca="1">IF(AND($D483="Serviço",AU$12&lt;&gt;0,$H483&gt;0,OR(AUTOEVENTO&lt;&gt;"manual",$M483&lt;&gt;1)),ROUND(OFFSET($P483,0,AU$13),15-13*ORÇAMENTO!$AF$7)/$H483*OFFSET(ORÇAMENTO!$X$15,ROW(AU483)-ROW(AU$15),0),0)</f>
        <v>0</v>
      </c>
      <c r="AV483" s="632">
        <f ca="1">IF(AND($D483="Serviço",AV$12&lt;&gt;0,$H483&gt;0,OR(AUTOEVENTO&lt;&gt;"manual",$M483&lt;&gt;1)),ROUND(OFFSET($P483,0,AV$13),15-13*ORÇAMENTO!$AF$7)/$H483*OFFSET(ORÇAMENTO!$X$15,ROW(AV483)-ROW(AV$15),0),0)</f>
        <v>0</v>
      </c>
      <c r="AW483" s="632">
        <f ca="1">IF(AND($D483="Serviço",AW$12&lt;&gt;0,$H483&gt;0,OR(AUTOEVENTO&lt;&gt;"manual",$M483&lt;&gt;1)),ROUND(OFFSET($P483,0,AW$13),15-13*ORÇAMENTO!$AF$7)/$H483*OFFSET(ORÇAMENTO!$X$15,ROW(AW483)-ROW(AW$15),0),0)</f>
        <v>0</v>
      </c>
      <c r="AX483" s="632">
        <f ca="1">IF(AND($D483="Serviço",AX$12&lt;&gt;0,$H483&gt;0,OR(AUTOEVENTO&lt;&gt;"manual",$M483&lt;&gt;1)),ROUND(OFFSET($P483,0,AX$13),15-13*ORÇAMENTO!$AF$7)/$H483*OFFSET(ORÇAMENTO!$X$15,ROW(AX483)-ROW(AX$15),0),0)</f>
        <v>0</v>
      </c>
      <c r="AY483" s="632">
        <f ca="1">IF(AND($D483="Serviço",AY$12&lt;&gt;0,$H483&gt;0,OR(AUTOEVENTO&lt;&gt;"manual",$M483&lt;&gt;1)),ROUND(OFFSET($P483,0,AY$13),15-13*ORÇAMENTO!$AF$7)/$H483*OFFSET(ORÇAMENTO!$X$15,ROW(AY483)-ROW(AY$15),0),0)</f>
        <v>0</v>
      </c>
      <c r="AZ483" s="632">
        <f ca="1">IF(AND($D483="Serviço",AZ$12&lt;&gt;0,$H483&gt;0,OR(AUTOEVENTO&lt;&gt;"manual",$M483&lt;&gt;1)),ROUND(OFFSET($P483,0,AZ$13),15-13*ORÇAMENTO!$AF$7)/$H483*OFFSET(ORÇAMENTO!$X$15,ROW(AZ483)-ROW(AZ$15),0),0)</f>
        <v>0</v>
      </c>
      <c r="BA483" s="633">
        <f ca="1">IF(AND($D483="Serviço",BA$12&lt;&gt;0,$H483&gt;0,OR(AUTOEVENTO&lt;&gt;"manual",$M483&lt;&gt;1)),ROUND(OFFSET($P483,0,BA$13),15-13*ORÇAMENTO!$AF$7)/$H483*OFFSET(ORÇAMENTO!$X$15,ROW(BA483)-ROW(BA$15),0),0)</f>
        <v>0</v>
      </c>
      <c r="BC483" s="215">
        <f ca="1">IF($D483&lt;&gt;"Serviço",0,IF(AND(AUTOEVENTO="Manual",$M483=1),0,IF(OFFSET(CRONOPLE!$F$14,$M483,BC$13)="",10^12,OFFSET(CRONOPLE!$F$14,$M483,BC$13))))</f>
        <v>1000000000000</v>
      </c>
      <c r="BD483" s="215">
        <f ca="1">IF($D483&lt;&gt;"Serviço",0,IF(AND(AUTOEVENTO="Manual",$M483=1),0,IF(OFFSET(CRONOPLE!$F$14,$M483,BD$13)="",10^12,OFFSET(CRONOPLE!$F$14,$M483,BD$13))))</f>
        <v>1000000000000</v>
      </c>
      <c r="BE483" s="215">
        <f ca="1">IF($D483&lt;&gt;"Serviço",0,IF(AND(AUTOEVENTO="Manual",$M483=1),0,IF(OFFSET(CRONOPLE!$F$14,$M483,BE$13)="",10^12,OFFSET(CRONOPLE!$F$14,$M483,BE$13))))</f>
        <v>1000000000000</v>
      </c>
      <c r="BF483" s="215">
        <f ca="1">IF($D483&lt;&gt;"Serviço",0,IF(AND(AUTOEVENTO="Manual",$M483=1),0,IF(OFFSET(CRONOPLE!$F$14,$M483,BF$13)="",10^12,OFFSET(CRONOPLE!$F$14,$M483,BF$13))))</f>
        <v>1000000000000</v>
      </c>
      <c r="BG483" s="215">
        <f ca="1">IF($D483&lt;&gt;"Serviço",0,IF(AND(AUTOEVENTO="Manual",$M483=1),0,IF(OFFSET(CRONOPLE!$F$14,$M483,BG$13)="",10^12,OFFSET(CRONOPLE!$F$14,$M483,BG$13))))</f>
        <v>1000000000000</v>
      </c>
      <c r="BH483" s="215">
        <f ca="1">IF($D483&lt;&gt;"Serviço",0,IF(AND(AUTOEVENTO="Manual",$M483=1),0,IF(OFFSET(CRONOPLE!$F$14,$M483,BH$13)="",10^12,OFFSET(CRONOPLE!$F$14,$M483,BH$13))))</f>
        <v>1000000000000</v>
      </c>
      <c r="BI483" s="215">
        <f ca="1">IF($D483&lt;&gt;"Serviço",0,IF(AND(AUTOEVENTO="Manual",$M483=1),0,IF(OFFSET(CRONOPLE!$F$14,$M483,BI$13)="",10^12,OFFSET(CRONOPLE!$F$14,$M483,BI$13))))</f>
        <v>1000000000000</v>
      </c>
      <c r="BJ483" s="215">
        <f ca="1">IF($D483&lt;&gt;"Serviço",0,IF(AND(AUTOEVENTO="Manual",$M483=1),0,IF(OFFSET(CRONOPLE!$F$14,$M483,BJ$13)="",10^12,OFFSET(CRONOPLE!$F$14,$M483,BJ$13))))</f>
        <v>1000000000000</v>
      </c>
      <c r="BK483" s="215">
        <f ca="1">IF($D483&lt;&gt;"Serviço",0,IF(AND(AUTOEVENTO="Manual",$M483=1),0,IF(OFFSET(CRONOPLE!$F$14,$M483,BK$13)="",10^12,OFFSET(CRONOPLE!$F$14,$M483,BK$13))))</f>
        <v>1000000000000</v>
      </c>
      <c r="BL483" s="215">
        <f ca="1">IF($D483&lt;&gt;"Serviço",0,IF(AND(AUTOEVENTO="Manual",$M483=1),0,IF(OFFSET(CRONOPLE!$F$14,$M483,BL$13)="",10^12,OFFSET(CRONOPLE!$F$14,$M483,BL$13))))</f>
        <v>1000000000000</v>
      </c>
      <c r="BM483" s="215">
        <f ca="1">IF($D483&lt;&gt;"Serviço",0,IF(AND(AUTOEVENTO="Manual",$M483=1),0,IF(OFFSET(CRONOPLE!$F$14,$M483,BM$13)="",10^12,OFFSET(CRONOPLE!$F$14,$M483,BM$13))))</f>
        <v>1000000000000</v>
      </c>
      <c r="BN483" s="215">
        <f ca="1">IF($D483&lt;&gt;"Serviço",0,IF(AND(AUTOEVENTO="Manual",$M483=1),0,IF(OFFSET(CRONOPLE!$F$14,$M483,BN$13)="",10^12,OFFSET(CRONOPLE!$F$14,$M483,BN$13))))</f>
        <v>1000000000000</v>
      </c>
      <c r="BO483" s="215">
        <f ca="1">IF($D483&lt;&gt;"Serviço",0,IF(AND(AUTOEVENTO="Manual",$M483=1),0,IF(OFFSET(CRONOPLE!$F$14,$M483,BO$13)="",10^12,OFFSET(CRONOPLE!$F$14,$M483,BO$13))))</f>
        <v>1000000000000</v>
      </c>
      <c r="BP483" s="215">
        <f ca="1">IF($D483&lt;&gt;"Serviço",0,IF(AND(AUTOEVENTO="Manual",$M483=1),0,IF(OFFSET(CRONOPLE!$F$14,$M483,BP$13)="",10^12,OFFSET(CRONOPLE!$F$14,$M483,BP$13))))</f>
        <v>1000000000000</v>
      </c>
      <c r="BQ483" s="215">
        <f ca="1">IF($D483&lt;&gt;"Serviço",0,IF(AND(AUTOEVENTO="Manual",$M483=1),0,IF(OFFSET(CRONOPLE!$F$14,$M483,BQ$13)="",10^12,OFFSET(CRONOPLE!$F$14,$M483,BQ$13))))</f>
        <v>1000000000000</v>
      </c>
      <c r="BR483" s="215">
        <f ca="1">IF($D483&lt;&gt;"Serviço",0,IF(AND(AUTOEVENTO="Manual",$M483=1),0,IF(OFFSET(CRONOPLE!$F$14,$M483,BR$13)="",10^12,OFFSET(CRONOPLE!$F$14,$M483,BR$13))))</f>
        <v>1000000000000</v>
      </c>
      <c r="BS483" s="215">
        <f ca="1">IF($D483&lt;&gt;"Serviço",0,IF(AND(AUTOEVENTO="Manual",$M483=1),0,IF(OFFSET(CRONOPLE!$F$14,$M483,BS$13)="",10^12,OFFSET(CRONOPLE!$F$14,$M483,BS$13))))</f>
        <v>1000000000000</v>
      </c>
      <c r="BT483" s="215">
        <f ca="1">IF($D483&lt;&gt;"Serviço",0,IF(AND(AUTOEVENTO="Manual",$M483=1),0,IF(OFFSET(CRONOPLE!$F$14,$M483,BT$13)="",10^12,OFFSET(CRONOPLE!$F$14,$M483,BT$13))))</f>
        <v>1000000000000</v>
      </c>
      <c r="BV483" s="216">
        <f ca="1">IF($D483&lt;&gt;"Serviço",0,IF(OR(AND(AUTOEVENTO="Manual",$M483=1),$M483&gt;(ROW(PLE.lastrow)-ROW(PLE.firstrow))),0,IF(OFFSET(PLE!$G$14,$M483,BV$13)="",10^12,OFFSET(PLE!$G$14,$M483,BV$13))))</f>
        <v>1000000000000</v>
      </c>
      <c r="BW483" s="216">
        <f ca="1">IF($D483&lt;&gt;"Serviço",0,IF(OR(AND(AUTOEVENTO="Manual",$M483=1),$M483&gt;(ROW(PLE.lastrow)-ROW(PLE.firstrow))),0,IF(OFFSET(PLE!$G$14,$M483,BW$13)="",10^12,OFFSET(PLE!$G$14,$M483,BW$13))))</f>
        <v>1000000000000</v>
      </c>
      <c r="BX483" s="216">
        <f ca="1">IF($D483&lt;&gt;"Serviço",0,IF(OR(AND(AUTOEVENTO="Manual",$M483=1),$M483&gt;(ROW(PLE.lastrow)-ROW(PLE.firstrow))),0,IF(OFFSET(PLE!$G$14,$M483,BX$13)="",10^12,OFFSET(PLE!$G$14,$M483,BX$13))))</f>
        <v>1000000000000</v>
      </c>
      <c r="BY483" s="216">
        <f ca="1">IF($D483&lt;&gt;"Serviço",0,IF(OR(AND(AUTOEVENTO="Manual",$M483=1),$M483&gt;(ROW(PLE.lastrow)-ROW(PLE.firstrow))),0,IF(OFFSET(PLE!$G$14,$M483,BY$13)="",10^12,OFFSET(PLE!$G$14,$M483,BY$13))))</f>
        <v>1000000000000</v>
      </c>
      <c r="BZ483" s="216">
        <f ca="1">IF($D483&lt;&gt;"Serviço",0,IF(OR(AND(AUTOEVENTO="Manual",$M483=1),$M483&gt;(ROW(PLE.lastrow)-ROW(PLE.firstrow))),0,IF(OFFSET(PLE!$G$14,$M483,BZ$13)="",10^12,OFFSET(PLE!$G$14,$M483,BZ$13))))</f>
        <v>1000000000000</v>
      </c>
      <c r="CA483" s="216">
        <f ca="1">IF($D483&lt;&gt;"Serviço",0,IF(OR(AND(AUTOEVENTO="Manual",$M483=1),$M483&gt;(ROW(PLE.lastrow)-ROW(PLE.firstrow))),0,IF(OFFSET(PLE!$G$14,$M483,CA$13)="",10^12,OFFSET(PLE!$G$14,$M483,CA$13))))</f>
        <v>1000000000000</v>
      </c>
      <c r="CB483" s="216">
        <f ca="1">IF($D483&lt;&gt;"Serviço",0,IF(OR(AND(AUTOEVENTO="Manual",$M483=1),$M483&gt;(ROW(PLE.lastrow)-ROW(PLE.firstrow))),0,IF(OFFSET(PLE!$G$14,$M483,CB$13)="",10^12,OFFSET(PLE!$G$14,$M483,CB$13))))</f>
        <v>1000000000000</v>
      </c>
      <c r="CC483" s="216">
        <f ca="1">IF($D483&lt;&gt;"Serviço",0,IF(OR(AND(AUTOEVENTO="Manual",$M483=1),$M483&gt;(ROW(PLE.lastrow)-ROW(PLE.firstrow))),0,IF(OFFSET(PLE!$G$14,$M483,CC$13)="",10^12,OFFSET(PLE!$G$14,$M483,CC$13))))</f>
        <v>1000000000000</v>
      </c>
      <c r="CD483" s="216">
        <f ca="1">IF($D483&lt;&gt;"Serviço",0,IF(OR(AND(AUTOEVENTO="Manual",$M483=1),$M483&gt;(ROW(PLE.lastrow)-ROW(PLE.firstrow))),0,IF(OFFSET(PLE!$G$14,$M483,CD$13)="",10^12,OFFSET(PLE!$G$14,$M483,CD$13))))</f>
        <v>1000000000000</v>
      </c>
      <c r="CE483" s="216">
        <f ca="1">IF($D483&lt;&gt;"Serviço",0,IF(OR(AND(AUTOEVENTO="Manual",$M483=1),$M483&gt;(ROW(PLE.lastrow)-ROW(PLE.firstrow))),0,IF(OFFSET(PLE!$G$14,$M483,CE$13)="",10^12,OFFSET(PLE!$G$14,$M483,CE$13))))</f>
        <v>1000000000000</v>
      </c>
      <c r="CF483" s="216">
        <f ca="1">IF($D483&lt;&gt;"Serviço",0,IF(OR(AND(AUTOEVENTO="Manual",$M483=1),$M483&gt;(ROW(PLE.lastrow)-ROW(PLE.firstrow))),0,IF(OFFSET(PLE!$G$14,$M483,CF$13)="",10^12,OFFSET(PLE!$G$14,$M483,CF$13))))</f>
        <v>1000000000000</v>
      </c>
      <c r="CG483" s="216">
        <f ca="1">IF($D483&lt;&gt;"Serviço",0,IF(OR(AND(AUTOEVENTO="Manual",$M483=1),$M483&gt;(ROW(PLE.lastrow)-ROW(PLE.firstrow))),0,IF(OFFSET(PLE!$G$14,$M483,CG$13)="",10^12,OFFSET(PLE!$G$14,$M483,CG$13))))</f>
        <v>1000000000000</v>
      </c>
      <c r="CH483" s="216">
        <f ca="1">IF($D483&lt;&gt;"Serviço",0,IF(OR(AND(AUTOEVENTO="Manual",$M483=1),$M483&gt;(ROW(PLE.lastrow)-ROW(PLE.firstrow))),0,IF(OFFSET(PLE!$G$14,$M483,CH$13)="",10^12,OFFSET(PLE!$G$14,$M483,CH$13))))</f>
        <v>1000000000000</v>
      </c>
      <c r="CI483" s="216">
        <f ca="1">IF($D483&lt;&gt;"Serviço",0,IF(OR(AND(AUTOEVENTO="Manual",$M483=1),$M483&gt;(ROW(PLE.lastrow)-ROW(PLE.firstrow))),0,IF(OFFSET(PLE!$G$14,$M483,CI$13)="",10^12,OFFSET(PLE!$G$14,$M483,CI$13))))</f>
        <v>1000000000000</v>
      </c>
      <c r="CJ483" s="216">
        <f ca="1">IF($D483&lt;&gt;"Serviço",0,IF(OR(AND(AUTOEVENTO="Manual",$M483=1),$M483&gt;(ROW(PLE.lastrow)-ROW(PLE.firstrow))),0,IF(OFFSET(PLE!$G$14,$M483,CJ$13)="",10^12,OFFSET(PLE!$G$14,$M483,CJ$13))))</f>
        <v>1000000000000</v>
      </c>
      <c r="CK483" s="216">
        <f ca="1">IF($D483&lt;&gt;"Serviço",0,IF(OR(AND(AUTOEVENTO="Manual",$M483=1),$M483&gt;(ROW(PLE.lastrow)-ROW(PLE.firstrow))),0,IF(OFFSET(PLE!$G$14,$M483,CK$13)="",10^12,OFFSET(PLE!$G$14,$M483,CK$13))))</f>
        <v>1000000000000</v>
      </c>
      <c r="CL483" s="216">
        <f ca="1">IF($D483&lt;&gt;"Serviço",0,IF(OR(AND(AUTOEVENTO="Manual",$M483=1),$M483&gt;(ROW(PLE.lastrow)-ROW(PLE.firstrow))),0,IF(OFFSET(PLE!$G$14,$M483,CL$13)="",10^12,OFFSET(PLE!$G$14,$M483,CL$13))))</f>
        <v>1000000000000</v>
      </c>
      <c r="CM483" s="216">
        <f ca="1">IF($D483&lt;&gt;"Serviço",0,IF(OR(AND(AUTOEVENTO="Manual",$M483=1),$M483&gt;(ROW(PLE.lastrow)-ROW(PLE.firstrow))),0,IF(OFFSET(PLE!$G$14,$M483,CM$13)="",10^12,OFFSET(PLE!$G$14,$M483,CM$13))))</f>
        <v>1000000000000</v>
      </c>
    </row>
    <row r="484" spans="1:91" ht="13.2" x14ac:dyDescent="0.25">
      <c r="A484" s="9">
        <f t="shared" ca="1" si="16"/>
        <v>0</v>
      </c>
      <c r="B484" s="9" t="str">
        <f ca="1">OFFSET(ORÇAMENTO!C$15,ROW(B484)-ROW(B$15),0)</f>
        <v>S</v>
      </c>
      <c r="C484" s="9" t="str">
        <f ca="1">OFFSET(ORÇAMENTO!L$15,ROW(C484)-ROW(C$15),0)</f>
        <v/>
      </c>
      <c r="D484" s="145" t="str">
        <f ca="1">OFFSET(ORÇAMENTO!N$15,ROW(D484)-ROW(D$15),0)</f>
        <v>Serviço</v>
      </c>
      <c r="E484" s="205" t="str">
        <f ca="1">OFFSET(ORÇAMENTO!O$15,ROW(E484)-ROW(E$15),0)</f>
        <v>-</v>
      </c>
      <c r="F484" s="206" t="str">
        <f ca="1">OFFSET(ORÇAMENTO!R$15,ROW(F484)-ROW(F$15),0)</f>
        <v>(abra o arquivo 'Referência 05-2024.xls)</v>
      </c>
      <c r="G484" s="207" t="str">
        <f ca="1">IF($D484&lt;&gt;"Serviço","",OFFSET(ORÇAMENTO!S$15,ROW(G484)-ROW(G$15),0))</f>
        <v>-</v>
      </c>
      <c r="H484" s="151">
        <f ca="1">IF($D484&lt;&gt;"Serviço",0,IF(ACOMPANHAMENTO="BM",ROUND(OFFSET(ORÇAMENTO!AJ$15,ROW(H484)-ROW(H$15),0),15-13*ORÇAMENTO!$AF$7),SUMPRODUCT(($Q$12:$AI$12&lt;&gt;"")*ROUND($Q484:$AI484,15-13*ORÇAMENTO!$AF$7))))</f>
        <v>35.200000000000003</v>
      </c>
      <c r="I484" s="650"/>
      <c r="K484" s="208"/>
      <c r="L484" s="209" t="s">
        <v>257</v>
      </c>
      <c r="M484" s="210">
        <f ca="1">IF($D484&lt;&gt;"Serviço","",IF(AUTOEVENTO="manual",$A484,IF(ISERROR(MATCH($A484,$A$15:OFFSET($A484,-1,0),0)),MAX($M$15:OFFSET(M484,-1,0))+1,INDEX($M$15:OFFSET(M484,-1,0),MATCH($A484,$A$15:OFFSET($A484,-1,0),0)))))</f>
        <v>0</v>
      </c>
      <c r="N484" s="211" t="str">
        <f ca="1">IF($D484&lt;&gt;"Serviço","",IF(AUTOEVENTO="Manual",IF($A484=0,"&lt;-- defina o número do agrupador",OFFSET(EVENTOS!$D$14,$A484,0)),OFFSET($F$15,$A484,0)))</f>
        <v>&lt;-- defina o número do agrupador</v>
      </c>
      <c r="O484" s="212"/>
      <c r="Q484" s="212"/>
      <c r="R484" s="213"/>
      <c r="S484" s="213"/>
      <c r="T484" s="213"/>
      <c r="U484" s="213"/>
      <c r="V484" s="213"/>
      <c r="W484" s="213"/>
      <c r="X484" s="213"/>
      <c r="Y484" s="213"/>
      <c r="Z484" s="214"/>
      <c r="AA484" s="213"/>
      <c r="AB484" s="213"/>
      <c r="AC484" s="213"/>
      <c r="AD484" s="213"/>
      <c r="AE484" s="213"/>
      <c r="AF484" s="213"/>
      <c r="AG484" s="213"/>
      <c r="AH484" s="214"/>
      <c r="AJ484" s="631">
        <f ca="1">IF(AND($D484="Serviço",AJ$12&lt;&gt;0,$H484&gt;0,OR(AUTOEVENTO&lt;&gt;"manual",$M484&lt;&gt;1)),ROUND(OFFSET($P484,0,AJ$13),15-13*ORÇAMENTO!$AF$7)/$H484*OFFSET(ORÇAMENTO!$X$15,ROW(AJ484)-ROW(AJ$15),0),0)</f>
        <v>0</v>
      </c>
      <c r="AK484" s="632">
        <f ca="1">IF(AND($D484="Serviço",AK$12&lt;&gt;0,$H484&gt;0,OR(AUTOEVENTO&lt;&gt;"manual",$M484&lt;&gt;1)),ROUND(OFFSET($P484,0,AK$13),15-13*ORÇAMENTO!$AF$7)/$H484*OFFSET(ORÇAMENTO!$X$15,ROW(AK484)-ROW(AK$15),0),0)</f>
        <v>0</v>
      </c>
      <c r="AL484" s="632">
        <f ca="1">IF(AND($D484="Serviço",AL$12&lt;&gt;0,$H484&gt;0,OR(AUTOEVENTO&lt;&gt;"manual",$M484&lt;&gt;1)),ROUND(OFFSET($P484,0,AL$13),15-13*ORÇAMENTO!$AF$7)/$H484*OFFSET(ORÇAMENTO!$X$15,ROW(AL484)-ROW(AL$15),0),0)</f>
        <v>0</v>
      </c>
      <c r="AM484" s="632">
        <f ca="1">IF(AND($D484="Serviço",AM$12&lt;&gt;0,$H484&gt;0,OR(AUTOEVENTO&lt;&gt;"manual",$M484&lt;&gt;1)),ROUND(OFFSET($P484,0,AM$13),15-13*ORÇAMENTO!$AF$7)/$H484*OFFSET(ORÇAMENTO!$X$15,ROW(AM484)-ROW(AM$15),0),0)</f>
        <v>0</v>
      </c>
      <c r="AN484" s="632">
        <f ca="1">IF(AND($D484="Serviço",AN$12&lt;&gt;0,$H484&gt;0,OR(AUTOEVENTO&lt;&gt;"manual",$M484&lt;&gt;1)),ROUND(OFFSET($P484,0,AN$13),15-13*ORÇAMENTO!$AF$7)/$H484*OFFSET(ORÇAMENTO!$X$15,ROW(AN484)-ROW(AN$15),0),0)</f>
        <v>0</v>
      </c>
      <c r="AO484" s="632">
        <f ca="1">IF(AND($D484="Serviço",AO$12&lt;&gt;0,$H484&gt;0,OR(AUTOEVENTO&lt;&gt;"manual",$M484&lt;&gt;1)),ROUND(OFFSET($P484,0,AO$13),15-13*ORÇAMENTO!$AF$7)/$H484*OFFSET(ORÇAMENTO!$X$15,ROW(AO484)-ROW(AO$15),0),0)</f>
        <v>0</v>
      </c>
      <c r="AP484" s="632">
        <f ca="1">IF(AND($D484="Serviço",AP$12&lt;&gt;0,$H484&gt;0,OR(AUTOEVENTO&lt;&gt;"manual",$M484&lt;&gt;1)),ROUND(OFFSET($P484,0,AP$13),15-13*ORÇAMENTO!$AF$7)/$H484*OFFSET(ORÇAMENTO!$X$15,ROW(AP484)-ROW(AP$15),0),0)</f>
        <v>0</v>
      </c>
      <c r="AQ484" s="632">
        <f ca="1">IF(AND($D484="Serviço",AQ$12&lt;&gt;0,$H484&gt;0,OR(AUTOEVENTO&lt;&gt;"manual",$M484&lt;&gt;1)),ROUND(OFFSET($P484,0,AQ$13),15-13*ORÇAMENTO!$AF$7)/$H484*OFFSET(ORÇAMENTO!$X$15,ROW(AQ484)-ROW(AQ$15),0),0)</f>
        <v>0</v>
      </c>
      <c r="AR484" s="632">
        <f ca="1">IF(AND($D484="Serviço",AR$12&lt;&gt;0,$H484&gt;0,OR(AUTOEVENTO&lt;&gt;"manual",$M484&lt;&gt;1)),ROUND(OFFSET($P484,0,AR$13),15-13*ORÇAMENTO!$AF$7)/$H484*OFFSET(ORÇAMENTO!$X$15,ROW(AR484)-ROW(AR$15),0),0)</f>
        <v>0</v>
      </c>
      <c r="AS484" s="633">
        <f ca="1">IF(AND($D484="Serviço",AS$12&lt;&gt;0,$H484&gt;0,OR(AUTOEVENTO&lt;&gt;"manual",$M484&lt;&gt;1)),ROUND(OFFSET($P484,0,AS$13),15-13*ORÇAMENTO!$AF$7)/$H484*OFFSET(ORÇAMENTO!$X$15,ROW(AS484)-ROW(AS$15),0),0)</f>
        <v>0</v>
      </c>
      <c r="AT484" s="632">
        <f ca="1">IF(AND($D484="Serviço",AT$12&lt;&gt;0,$H484&gt;0,OR(AUTOEVENTO&lt;&gt;"manual",$M484&lt;&gt;1)),ROUND(OFFSET($P484,0,AT$13),15-13*ORÇAMENTO!$AF$7)/$H484*OFFSET(ORÇAMENTO!$X$15,ROW(AT484)-ROW(AT$15),0),0)</f>
        <v>0</v>
      </c>
      <c r="AU484" s="632">
        <f ca="1">IF(AND($D484="Serviço",AU$12&lt;&gt;0,$H484&gt;0,OR(AUTOEVENTO&lt;&gt;"manual",$M484&lt;&gt;1)),ROUND(OFFSET($P484,0,AU$13),15-13*ORÇAMENTO!$AF$7)/$H484*OFFSET(ORÇAMENTO!$X$15,ROW(AU484)-ROW(AU$15),0),0)</f>
        <v>0</v>
      </c>
      <c r="AV484" s="632">
        <f ca="1">IF(AND($D484="Serviço",AV$12&lt;&gt;0,$H484&gt;0,OR(AUTOEVENTO&lt;&gt;"manual",$M484&lt;&gt;1)),ROUND(OFFSET($P484,0,AV$13),15-13*ORÇAMENTO!$AF$7)/$H484*OFFSET(ORÇAMENTO!$X$15,ROW(AV484)-ROW(AV$15),0),0)</f>
        <v>0</v>
      </c>
      <c r="AW484" s="632">
        <f ca="1">IF(AND($D484="Serviço",AW$12&lt;&gt;0,$H484&gt;0,OR(AUTOEVENTO&lt;&gt;"manual",$M484&lt;&gt;1)),ROUND(OFFSET($P484,0,AW$13),15-13*ORÇAMENTO!$AF$7)/$H484*OFFSET(ORÇAMENTO!$X$15,ROW(AW484)-ROW(AW$15),0),0)</f>
        <v>0</v>
      </c>
      <c r="AX484" s="632">
        <f ca="1">IF(AND($D484="Serviço",AX$12&lt;&gt;0,$H484&gt;0,OR(AUTOEVENTO&lt;&gt;"manual",$M484&lt;&gt;1)),ROUND(OFFSET($P484,0,AX$13),15-13*ORÇAMENTO!$AF$7)/$H484*OFFSET(ORÇAMENTO!$X$15,ROW(AX484)-ROW(AX$15),0),0)</f>
        <v>0</v>
      </c>
      <c r="AY484" s="632">
        <f ca="1">IF(AND($D484="Serviço",AY$12&lt;&gt;0,$H484&gt;0,OR(AUTOEVENTO&lt;&gt;"manual",$M484&lt;&gt;1)),ROUND(OFFSET($P484,0,AY$13),15-13*ORÇAMENTO!$AF$7)/$H484*OFFSET(ORÇAMENTO!$X$15,ROW(AY484)-ROW(AY$15),0),0)</f>
        <v>0</v>
      </c>
      <c r="AZ484" s="632">
        <f ca="1">IF(AND($D484="Serviço",AZ$12&lt;&gt;0,$H484&gt;0,OR(AUTOEVENTO&lt;&gt;"manual",$M484&lt;&gt;1)),ROUND(OFFSET($P484,0,AZ$13),15-13*ORÇAMENTO!$AF$7)/$H484*OFFSET(ORÇAMENTO!$X$15,ROW(AZ484)-ROW(AZ$15),0),0)</f>
        <v>0</v>
      </c>
      <c r="BA484" s="633">
        <f ca="1">IF(AND($D484="Serviço",BA$12&lt;&gt;0,$H484&gt;0,OR(AUTOEVENTO&lt;&gt;"manual",$M484&lt;&gt;1)),ROUND(OFFSET($P484,0,BA$13),15-13*ORÇAMENTO!$AF$7)/$H484*OFFSET(ORÇAMENTO!$X$15,ROW(BA484)-ROW(BA$15),0),0)</f>
        <v>0</v>
      </c>
      <c r="BC484" s="215">
        <f ca="1">IF($D484&lt;&gt;"Serviço",0,IF(AND(AUTOEVENTO="Manual",$M484=1),0,IF(OFFSET(CRONOPLE!$F$14,$M484,BC$13)="",10^12,OFFSET(CRONOPLE!$F$14,$M484,BC$13))))</f>
        <v>1000000000000</v>
      </c>
      <c r="BD484" s="215">
        <f ca="1">IF($D484&lt;&gt;"Serviço",0,IF(AND(AUTOEVENTO="Manual",$M484=1),0,IF(OFFSET(CRONOPLE!$F$14,$M484,BD$13)="",10^12,OFFSET(CRONOPLE!$F$14,$M484,BD$13))))</f>
        <v>1000000000000</v>
      </c>
      <c r="BE484" s="215">
        <f ca="1">IF($D484&lt;&gt;"Serviço",0,IF(AND(AUTOEVENTO="Manual",$M484=1),0,IF(OFFSET(CRONOPLE!$F$14,$M484,BE$13)="",10^12,OFFSET(CRONOPLE!$F$14,$M484,BE$13))))</f>
        <v>1000000000000</v>
      </c>
      <c r="BF484" s="215">
        <f ca="1">IF($D484&lt;&gt;"Serviço",0,IF(AND(AUTOEVENTO="Manual",$M484=1),0,IF(OFFSET(CRONOPLE!$F$14,$M484,BF$13)="",10^12,OFFSET(CRONOPLE!$F$14,$M484,BF$13))))</f>
        <v>1000000000000</v>
      </c>
      <c r="BG484" s="215">
        <f ca="1">IF($D484&lt;&gt;"Serviço",0,IF(AND(AUTOEVENTO="Manual",$M484=1),0,IF(OFFSET(CRONOPLE!$F$14,$M484,BG$13)="",10^12,OFFSET(CRONOPLE!$F$14,$M484,BG$13))))</f>
        <v>1000000000000</v>
      </c>
      <c r="BH484" s="215">
        <f ca="1">IF($D484&lt;&gt;"Serviço",0,IF(AND(AUTOEVENTO="Manual",$M484=1),0,IF(OFFSET(CRONOPLE!$F$14,$M484,BH$13)="",10^12,OFFSET(CRONOPLE!$F$14,$M484,BH$13))))</f>
        <v>1000000000000</v>
      </c>
      <c r="BI484" s="215">
        <f ca="1">IF($D484&lt;&gt;"Serviço",0,IF(AND(AUTOEVENTO="Manual",$M484=1),0,IF(OFFSET(CRONOPLE!$F$14,$M484,BI$13)="",10^12,OFFSET(CRONOPLE!$F$14,$M484,BI$13))))</f>
        <v>1000000000000</v>
      </c>
      <c r="BJ484" s="215">
        <f ca="1">IF($D484&lt;&gt;"Serviço",0,IF(AND(AUTOEVENTO="Manual",$M484=1),0,IF(OFFSET(CRONOPLE!$F$14,$M484,BJ$13)="",10^12,OFFSET(CRONOPLE!$F$14,$M484,BJ$13))))</f>
        <v>1000000000000</v>
      </c>
      <c r="BK484" s="215">
        <f ca="1">IF($D484&lt;&gt;"Serviço",0,IF(AND(AUTOEVENTO="Manual",$M484=1),0,IF(OFFSET(CRONOPLE!$F$14,$M484,BK$13)="",10^12,OFFSET(CRONOPLE!$F$14,$M484,BK$13))))</f>
        <v>1000000000000</v>
      </c>
      <c r="BL484" s="215">
        <f ca="1">IF($D484&lt;&gt;"Serviço",0,IF(AND(AUTOEVENTO="Manual",$M484=1),0,IF(OFFSET(CRONOPLE!$F$14,$M484,BL$13)="",10^12,OFFSET(CRONOPLE!$F$14,$M484,BL$13))))</f>
        <v>1000000000000</v>
      </c>
      <c r="BM484" s="215">
        <f ca="1">IF($D484&lt;&gt;"Serviço",0,IF(AND(AUTOEVENTO="Manual",$M484=1),0,IF(OFFSET(CRONOPLE!$F$14,$M484,BM$13)="",10^12,OFFSET(CRONOPLE!$F$14,$M484,BM$13))))</f>
        <v>1000000000000</v>
      </c>
      <c r="BN484" s="215">
        <f ca="1">IF($D484&lt;&gt;"Serviço",0,IF(AND(AUTOEVENTO="Manual",$M484=1),0,IF(OFFSET(CRONOPLE!$F$14,$M484,BN$13)="",10^12,OFFSET(CRONOPLE!$F$14,$M484,BN$13))))</f>
        <v>1000000000000</v>
      </c>
      <c r="BO484" s="215">
        <f ca="1">IF($D484&lt;&gt;"Serviço",0,IF(AND(AUTOEVENTO="Manual",$M484=1),0,IF(OFFSET(CRONOPLE!$F$14,$M484,BO$13)="",10^12,OFFSET(CRONOPLE!$F$14,$M484,BO$13))))</f>
        <v>1000000000000</v>
      </c>
      <c r="BP484" s="215">
        <f ca="1">IF($D484&lt;&gt;"Serviço",0,IF(AND(AUTOEVENTO="Manual",$M484=1),0,IF(OFFSET(CRONOPLE!$F$14,$M484,BP$13)="",10^12,OFFSET(CRONOPLE!$F$14,$M484,BP$13))))</f>
        <v>1000000000000</v>
      </c>
      <c r="BQ484" s="215">
        <f ca="1">IF($D484&lt;&gt;"Serviço",0,IF(AND(AUTOEVENTO="Manual",$M484=1),0,IF(OFFSET(CRONOPLE!$F$14,$M484,BQ$13)="",10^12,OFFSET(CRONOPLE!$F$14,$M484,BQ$13))))</f>
        <v>1000000000000</v>
      </c>
      <c r="BR484" s="215">
        <f ca="1">IF($D484&lt;&gt;"Serviço",0,IF(AND(AUTOEVENTO="Manual",$M484=1),0,IF(OFFSET(CRONOPLE!$F$14,$M484,BR$13)="",10^12,OFFSET(CRONOPLE!$F$14,$M484,BR$13))))</f>
        <v>1000000000000</v>
      </c>
      <c r="BS484" s="215">
        <f ca="1">IF($D484&lt;&gt;"Serviço",0,IF(AND(AUTOEVENTO="Manual",$M484=1),0,IF(OFFSET(CRONOPLE!$F$14,$M484,BS$13)="",10^12,OFFSET(CRONOPLE!$F$14,$M484,BS$13))))</f>
        <v>1000000000000</v>
      </c>
      <c r="BT484" s="215">
        <f ca="1">IF($D484&lt;&gt;"Serviço",0,IF(AND(AUTOEVENTO="Manual",$M484=1),0,IF(OFFSET(CRONOPLE!$F$14,$M484,BT$13)="",10^12,OFFSET(CRONOPLE!$F$14,$M484,BT$13))))</f>
        <v>1000000000000</v>
      </c>
      <c r="BV484" s="216">
        <f ca="1">IF($D484&lt;&gt;"Serviço",0,IF(OR(AND(AUTOEVENTO="Manual",$M484=1),$M484&gt;(ROW(PLE.lastrow)-ROW(PLE.firstrow))),0,IF(OFFSET(PLE!$G$14,$M484,BV$13)="",10^12,OFFSET(PLE!$G$14,$M484,BV$13))))</f>
        <v>1000000000000</v>
      </c>
      <c r="BW484" s="216">
        <f ca="1">IF($D484&lt;&gt;"Serviço",0,IF(OR(AND(AUTOEVENTO="Manual",$M484=1),$M484&gt;(ROW(PLE.lastrow)-ROW(PLE.firstrow))),0,IF(OFFSET(PLE!$G$14,$M484,BW$13)="",10^12,OFFSET(PLE!$G$14,$M484,BW$13))))</f>
        <v>1000000000000</v>
      </c>
      <c r="BX484" s="216">
        <f ca="1">IF($D484&lt;&gt;"Serviço",0,IF(OR(AND(AUTOEVENTO="Manual",$M484=1),$M484&gt;(ROW(PLE.lastrow)-ROW(PLE.firstrow))),0,IF(OFFSET(PLE!$G$14,$M484,BX$13)="",10^12,OFFSET(PLE!$G$14,$M484,BX$13))))</f>
        <v>1000000000000</v>
      </c>
      <c r="BY484" s="216">
        <f ca="1">IF($D484&lt;&gt;"Serviço",0,IF(OR(AND(AUTOEVENTO="Manual",$M484=1),$M484&gt;(ROW(PLE.lastrow)-ROW(PLE.firstrow))),0,IF(OFFSET(PLE!$G$14,$M484,BY$13)="",10^12,OFFSET(PLE!$G$14,$M484,BY$13))))</f>
        <v>1000000000000</v>
      </c>
      <c r="BZ484" s="216">
        <f ca="1">IF($D484&lt;&gt;"Serviço",0,IF(OR(AND(AUTOEVENTO="Manual",$M484=1),$M484&gt;(ROW(PLE.lastrow)-ROW(PLE.firstrow))),0,IF(OFFSET(PLE!$G$14,$M484,BZ$13)="",10^12,OFFSET(PLE!$G$14,$M484,BZ$13))))</f>
        <v>1000000000000</v>
      </c>
      <c r="CA484" s="216">
        <f ca="1">IF($D484&lt;&gt;"Serviço",0,IF(OR(AND(AUTOEVENTO="Manual",$M484=1),$M484&gt;(ROW(PLE.lastrow)-ROW(PLE.firstrow))),0,IF(OFFSET(PLE!$G$14,$M484,CA$13)="",10^12,OFFSET(PLE!$G$14,$M484,CA$13))))</f>
        <v>1000000000000</v>
      </c>
      <c r="CB484" s="216">
        <f ca="1">IF($D484&lt;&gt;"Serviço",0,IF(OR(AND(AUTOEVENTO="Manual",$M484=1),$M484&gt;(ROW(PLE.lastrow)-ROW(PLE.firstrow))),0,IF(OFFSET(PLE!$G$14,$M484,CB$13)="",10^12,OFFSET(PLE!$G$14,$M484,CB$13))))</f>
        <v>1000000000000</v>
      </c>
      <c r="CC484" s="216">
        <f ca="1">IF($D484&lt;&gt;"Serviço",0,IF(OR(AND(AUTOEVENTO="Manual",$M484=1),$M484&gt;(ROW(PLE.lastrow)-ROW(PLE.firstrow))),0,IF(OFFSET(PLE!$G$14,$M484,CC$13)="",10^12,OFFSET(PLE!$G$14,$M484,CC$13))))</f>
        <v>1000000000000</v>
      </c>
      <c r="CD484" s="216">
        <f ca="1">IF($D484&lt;&gt;"Serviço",0,IF(OR(AND(AUTOEVENTO="Manual",$M484=1),$M484&gt;(ROW(PLE.lastrow)-ROW(PLE.firstrow))),0,IF(OFFSET(PLE!$G$14,$M484,CD$13)="",10^12,OFFSET(PLE!$G$14,$M484,CD$13))))</f>
        <v>1000000000000</v>
      </c>
      <c r="CE484" s="216">
        <f ca="1">IF($D484&lt;&gt;"Serviço",0,IF(OR(AND(AUTOEVENTO="Manual",$M484=1),$M484&gt;(ROW(PLE.lastrow)-ROW(PLE.firstrow))),0,IF(OFFSET(PLE!$G$14,$M484,CE$13)="",10^12,OFFSET(PLE!$G$14,$M484,CE$13))))</f>
        <v>1000000000000</v>
      </c>
      <c r="CF484" s="216">
        <f ca="1">IF($D484&lt;&gt;"Serviço",0,IF(OR(AND(AUTOEVENTO="Manual",$M484=1),$M484&gt;(ROW(PLE.lastrow)-ROW(PLE.firstrow))),0,IF(OFFSET(PLE!$G$14,$M484,CF$13)="",10^12,OFFSET(PLE!$G$14,$M484,CF$13))))</f>
        <v>1000000000000</v>
      </c>
      <c r="CG484" s="216">
        <f ca="1">IF($D484&lt;&gt;"Serviço",0,IF(OR(AND(AUTOEVENTO="Manual",$M484=1),$M484&gt;(ROW(PLE.lastrow)-ROW(PLE.firstrow))),0,IF(OFFSET(PLE!$G$14,$M484,CG$13)="",10^12,OFFSET(PLE!$G$14,$M484,CG$13))))</f>
        <v>1000000000000</v>
      </c>
      <c r="CH484" s="216">
        <f ca="1">IF($D484&lt;&gt;"Serviço",0,IF(OR(AND(AUTOEVENTO="Manual",$M484=1),$M484&gt;(ROW(PLE.lastrow)-ROW(PLE.firstrow))),0,IF(OFFSET(PLE!$G$14,$M484,CH$13)="",10^12,OFFSET(PLE!$G$14,$M484,CH$13))))</f>
        <v>1000000000000</v>
      </c>
      <c r="CI484" s="216">
        <f ca="1">IF($D484&lt;&gt;"Serviço",0,IF(OR(AND(AUTOEVENTO="Manual",$M484=1),$M484&gt;(ROW(PLE.lastrow)-ROW(PLE.firstrow))),0,IF(OFFSET(PLE!$G$14,$M484,CI$13)="",10^12,OFFSET(PLE!$G$14,$M484,CI$13))))</f>
        <v>1000000000000</v>
      </c>
      <c r="CJ484" s="216">
        <f ca="1">IF($D484&lt;&gt;"Serviço",0,IF(OR(AND(AUTOEVENTO="Manual",$M484=1),$M484&gt;(ROW(PLE.lastrow)-ROW(PLE.firstrow))),0,IF(OFFSET(PLE!$G$14,$M484,CJ$13)="",10^12,OFFSET(PLE!$G$14,$M484,CJ$13))))</f>
        <v>1000000000000</v>
      </c>
      <c r="CK484" s="216">
        <f ca="1">IF($D484&lt;&gt;"Serviço",0,IF(OR(AND(AUTOEVENTO="Manual",$M484=1),$M484&gt;(ROW(PLE.lastrow)-ROW(PLE.firstrow))),0,IF(OFFSET(PLE!$G$14,$M484,CK$13)="",10^12,OFFSET(PLE!$G$14,$M484,CK$13))))</f>
        <v>1000000000000</v>
      </c>
      <c r="CL484" s="216">
        <f ca="1">IF($D484&lt;&gt;"Serviço",0,IF(OR(AND(AUTOEVENTO="Manual",$M484=1),$M484&gt;(ROW(PLE.lastrow)-ROW(PLE.firstrow))),0,IF(OFFSET(PLE!$G$14,$M484,CL$13)="",10^12,OFFSET(PLE!$G$14,$M484,CL$13))))</f>
        <v>1000000000000</v>
      </c>
      <c r="CM484" s="216">
        <f ca="1">IF($D484&lt;&gt;"Serviço",0,IF(OR(AND(AUTOEVENTO="Manual",$M484=1),$M484&gt;(ROW(PLE.lastrow)-ROW(PLE.firstrow))),0,IF(OFFSET(PLE!$G$14,$M484,CM$13)="",10^12,OFFSET(PLE!$G$14,$M484,CM$13))))</f>
        <v>1000000000000</v>
      </c>
    </row>
    <row r="485" spans="1:91" ht="13.2" x14ac:dyDescent="0.25">
      <c r="A485" s="9">
        <f t="shared" ca="1" si="16"/>
        <v>0</v>
      </c>
      <c r="B485" s="9" t="str">
        <f ca="1">OFFSET(ORÇAMENTO!C$15,ROW(B485)-ROW(B$15),0)</f>
        <v>S</v>
      </c>
      <c r="C485" s="9" t="str">
        <f ca="1">OFFSET(ORÇAMENTO!L$15,ROW(C485)-ROW(C$15),0)</f>
        <v/>
      </c>
      <c r="D485" s="145" t="str">
        <f ca="1">OFFSET(ORÇAMENTO!N$15,ROW(D485)-ROW(D$15),0)</f>
        <v>Serviço</v>
      </c>
      <c r="E485" s="205" t="str">
        <f ca="1">OFFSET(ORÇAMENTO!O$15,ROW(E485)-ROW(E$15),0)</f>
        <v>-</v>
      </c>
      <c r="F485" s="206" t="str">
        <f ca="1">OFFSET(ORÇAMENTO!R$15,ROW(F485)-ROW(F$15),0)</f>
        <v>(abra o arquivo 'Referência 05-2024.xls)</v>
      </c>
      <c r="G485" s="207" t="str">
        <f ca="1">IF($D485&lt;&gt;"Serviço","",OFFSET(ORÇAMENTO!S$15,ROW(G485)-ROW(G$15),0))</f>
        <v>-</v>
      </c>
      <c r="H485" s="151">
        <f ca="1">IF($D485&lt;&gt;"Serviço",0,IF(ACOMPANHAMENTO="BM",ROUND(OFFSET(ORÇAMENTO!AJ$15,ROW(H485)-ROW(H$15),0),15-13*ORÇAMENTO!$AF$7),SUMPRODUCT(($Q$12:$AI$12&lt;&gt;"")*ROUND($Q485:$AI485,15-13*ORÇAMENTO!$AF$7))))</f>
        <v>6</v>
      </c>
      <c r="I485" s="650"/>
      <c r="K485" s="208"/>
      <c r="L485" s="209" t="s">
        <v>257</v>
      </c>
      <c r="M485" s="210">
        <f ca="1">IF($D485&lt;&gt;"Serviço","",IF(AUTOEVENTO="manual",$A485,IF(ISERROR(MATCH($A485,$A$15:OFFSET($A485,-1,0),0)),MAX($M$15:OFFSET(M485,-1,0))+1,INDEX($M$15:OFFSET(M485,-1,0),MATCH($A485,$A$15:OFFSET($A485,-1,0),0)))))</f>
        <v>0</v>
      </c>
      <c r="N485" s="211" t="str">
        <f ca="1">IF($D485&lt;&gt;"Serviço","",IF(AUTOEVENTO="Manual",IF($A485=0,"&lt;-- defina o número do agrupador",OFFSET(EVENTOS!$D$14,$A485,0)),OFFSET($F$15,$A485,0)))</f>
        <v>&lt;-- defina o número do agrupador</v>
      </c>
      <c r="O485" s="212"/>
      <c r="Q485" s="212"/>
      <c r="R485" s="213"/>
      <c r="S485" s="213"/>
      <c r="T485" s="213"/>
      <c r="U485" s="213"/>
      <c r="V485" s="213"/>
      <c r="W485" s="213"/>
      <c r="X485" s="213"/>
      <c r="Y485" s="213"/>
      <c r="Z485" s="214"/>
      <c r="AA485" s="213"/>
      <c r="AB485" s="213"/>
      <c r="AC485" s="213"/>
      <c r="AD485" s="213"/>
      <c r="AE485" s="213"/>
      <c r="AF485" s="213"/>
      <c r="AG485" s="213"/>
      <c r="AH485" s="214"/>
      <c r="AJ485" s="631">
        <f ca="1">IF(AND($D485="Serviço",AJ$12&lt;&gt;0,$H485&gt;0,OR(AUTOEVENTO&lt;&gt;"manual",$M485&lt;&gt;1)),ROUND(OFFSET($P485,0,AJ$13),15-13*ORÇAMENTO!$AF$7)/$H485*OFFSET(ORÇAMENTO!$X$15,ROW(AJ485)-ROW(AJ$15),0),0)</f>
        <v>0</v>
      </c>
      <c r="AK485" s="632">
        <f ca="1">IF(AND($D485="Serviço",AK$12&lt;&gt;0,$H485&gt;0,OR(AUTOEVENTO&lt;&gt;"manual",$M485&lt;&gt;1)),ROUND(OFFSET($P485,0,AK$13),15-13*ORÇAMENTO!$AF$7)/$H485*OFFSET(ORÇAMENTO!$X$15,ROW(AK485)-ROW(AK$15),0),0)</f>
        <v>0</v>
      </c>
      <c r="AL485" s="632">
        <f ca="1">IF(AND($D485="Serviço",AL$12&lt;&gt;0,$H485&gt;0,OR(AUTOEVENTO&lt;&gt;"manual",$M485&lt;&gt;1)),ROUND(OFFSET($P485,0,AL$13),15-13*ORÇAMENTO!$AF$7)/$H485*OFFSET(ORÇAMENTO!$X$15,ROW(AL485)-ROW(AL$15),0),0)</f>
        <v>0</v>
      </c>
      <c r="AM485" s="632">
        <f ca="1">IF(AND($D485="Serviço",AM$12&lt;&gt;0,$H485&gt;0,OR(AUTOEVENTO&lt;&gt;"manual",$M485&lt;&gt;1)),ROUND(OFFSET($P485,0,AM$13),15-13*ORÇAMENTO!$AF$7)/$H485*OFFSET(ORÇAMENTO!$X$15,ROW(AM485)-ROW(AM$15),0),0)</f>
        <v>0</v>
      </c>
      <c r="AN485" s="632">
        <f ca="1">IF(AND($D485="Serviço",AN$12&lt;&gt;0,$H485&gt;0,OR(AUTOEVENTO&lt;&gt;"manual",$M485&lt;&gt;1)),ROUND(OFFSET($P485,0,AN$13),15-13*ORÇAMENTO!$AF$7)/$H485*OFFSET(ORÇAMENTO!$X$15,ROW(AN485)-ROW(AN$15),0),0)</f>
        <v>0</v>
      </c>
      <c r="AO485" s="632">
        <f ca="1">IF(AND($D485="Serviço",AO$12&lt;&gt;0,$H485&gt;0,OR(AUTOEVENTO&lt;&gt;"manual",$M485&lt;&gt;1)),ROUND(OFFSET($P485,0,AO$13),15-13*ORÇAMENTO!$AF$7)/$H485*OFFSET(ORÇAMENTO!$X$15,ROW(AO485)-ROW(AO$15),0),0)</f>
        <v>0</v>
      </c>
      <c r="AP485" s="632">
        <f ca="1">IF(AND($D485="Serviço",AP$12&lt;&gt;0,$H485&gt;0,OR(AUTOEVENTO&lt;&gt;"manual",$M485&lt;&gt;1)),ROUND(OFFSET($P485,0,AP$13),15-13*ORÇAMENTO!$AF$7)/$H485*OFFSET(ORÇAMENTO!$X$15,ROW(AP485)-ROW(AP$15),0),0)</f>
        <v>0</v>
      </c>
      <c r="AQ485" s="632">
        <f ca="1">IF(AND($D485="Serviço",AQ$12&lt;&gt;0,$H485&gt;0,OR(AUTOEVENTO&lt;&gt;"manual",$M485&lt;&gt;1)),ROUND(OFFSET($P485,0,AQ$13),15-13*ORÇAMENTO!$AF$7)/$H485*OFFSET(ORÇAMENTO!$X$15,ROW(AQ485)-ROW(AQ$15),0),0)</f>
        <v>0</v>
      </c>
      <c r="AR485" s="632">
        <f ca="1">IF(AND($D485="Serviço",AR$12&lt;&gt;0,$H485&gt;0,OR(AUTOEVENTO&lt;&gt;"manual",$M485&lt;&gt;1)),ROUND(OFFSET($P485,0,AR$13),15-13*ORÇAMENTO!$AF$7)/$H485*OFFSET(ORÇAMENTO!$X$15,ROW(AR485)-ROW(AR$15),0),0)</f>
        <v>0</v>
      </c>
      <c r="AS485" s="633">
        <f ca="1">IF(AND($D485="Serviço",AS$12&lt;&gt;0,$H485&gt;0,OR(AUTOEVENTO&lt;&gt;"manual",$M485&lt;&gt;1)),ROUND(OFFSET($P485,0,AS$13),15-13*ORÇAMENTO!$AF$7)/$H485*OFFSET(ORÇAMENTO!$X$15,ROW(AS485)-ROW(AS$15),0),0)</f>
        <v>0</v>
      </c>
      <c r="AT485" s="632">
        <f ca="1">IF(AND($D485="Serviço",AT$12&lt;&gt;0,$H485&gt;0,OR(AUTOEVENTO&lt;&gt;"manual",$M485&lt;&gt;1)),ROUND(OFFSET($P485,0,AT$13),15-13*ORÇAMENTO!$AF$7)/$H485*OFFSET(ORÇAMENTO!$X$15,ROW(AT485)-ROW(AT$15),0),0)</f>
        <v>0</v>
      </c>
      <c r="AU485" s="632">
        <f ca="1">IF(AND($D485="Serviço",AU$12&lt;&gt;0,$H485&gt;0,OR(AUTOEVENTO&lt;&gt;"manual",$M485&lt;&gt;1)),ROUND(OFFSET($P485,0,AU$13),15-13*ORÇAMENTO!$AF$7)/$H485*OFFSET(ORÇAMENTO!$X$15,ROW(AU485)-ROW(AU$15),0),0)</f>
        <v>0</v>
      </c>
      <c r="AV485" s="632">
        <f ca="1">IF(AND($D485="Serviço",AV$12&lt;&gt;0,$H485&gt;0,OR(AUTOEVENTO&lt;&gt;"manual",$M485&lt;&gt;1)),ROUND(OFFSET($P485,0,AV$13),15-13*ORÇAMENTO!$AF$7)/$H485*OFFSET(ORÇAMENTO!$X$15,ROW(AV485)-ROW(AV$15),0),0)</f>
        <v>0</v>
      </c>
      <c r="AW485" s="632">
        <f ca="1">IF(AND($D485="Serviço",AW$12&lt;&gt;0,$H485&gt;0,OR(AUTOEVENTO&lt;&gt;"manual",$M485&lt;&gt;1)),ROUND(OFFSET($P485,0,AW$13),15-13*ORÇAMENTO!$AF$7)/$H485*OFFSET(ORÇAMENTO!$X$15,ROW(AW485)-ROW(AW$15),0),0)</f>
        <v>0</v>
      </c>
      <c r="AX485" s="632">
        <f ca="1">IF(AND($D485="Serviço",AX$12&lt;&gt;0,$H485&gt;0,OR(AUTOEVENTO&lt;&gt;"manual",$M485&lt;&gt;1)),ROUND(OFFSET($P485,0,AX$13),15-13*ORÇAMENTO!$AF$7)/$H485*OFFSET(ORÇAMENTO!$X$15,ROW(AX485)-ROW(AX$15),0),0)</f>
        <v>0</v>
      </c>
      <c r="AY485" s="632">
        <f ca="1">IF(AND($D485="Serviço",AY$12&lt;&gt;0,$H485&gt;0,OR(AUTOEVENTO&lt;&gt;"manual",$M485&lt;&gt;1)),ROUND(OFFSET($P485,0,AY$13),15-13*ORÇAMENTO!$AF$7)/$H485*OFFSET(ORÇAMENTO!$X$15,ROW(AY485)-ROW(AY$15),0),0)</f>
        <v>0</v>
      </c>
      <c r="AZ485" s="632">
        <f ca="1">IF(AND($D485="Serviço",AZ$12&lt;&gt;0,$H485&gt;0,OR(AUTOEVENTO&lt;&gt;"manual",$M485&lt;&gt;1)),ROUND(OFFSET($P485,0,AZ$13),15-13*ORÇAMENTO!$AF$7)/$H485*OFFSET(ORÇAMENTO!$X$15,ROW(AZ485)-ROW(AZ$15),0),0)</f>
        <v>0</v>
      </c>
      <c r="BA485" s="633">
        <f ca="1">IF(AND($D485="Serviço",BA$12&lt;&gt;0,$H485&gt;0,OR(AUTOEVENTO&lt;&gt;"manual",$M485&lt;&gt;1)),ROUND(OFFSET($P485,0,BA$13),15-13*ORÇAMENTO!$AF$7)/$H485*OFFSET(ORÇAMENTO!$X$15,ROW(BA485)-ROW(BA$15),0),0)</f>
        <v>0</v>
      </c>
      <c r="BC485" s="215">
        <f ca="1">IF($D485&lt;&gt;"Serviço",0,IF(AND(AUTOEVENTO="Manual",$M485=1),0,IF(OFFSET(CRONOPLE!$F$14,$M485,BC$13)="",10^12,OFFSET(CRONOPLE!$F$14,$M485,BC$13))))</f>
        <v>1000000000000</v>
      </c>
      <c r="BD485" s="215">
        <f ca="1">IF($D485&lt;&gt;"Serviço",0,IF(AND(AUTOEVENTO="Manual",$M485=1),0,IF(OFFSET(CRONOPLE!$F$14,$M485,BD$13)="",10^12,OFFSET(CRONOPLE!$F$14,$M485,BD$13))))</f>
        <v>1000000000000</v>
      </c>
      <c r="BE485" s="215">
        <f ca="1">IF($D485&lt;&gt;"Serviço",0,IF(AND(AUTOEVENTO="Manual",$M485=1),0,IF(OFFSET(CRONOPLE!$F$14,$M485,BE$13)="",10^12,OFFSET(CRONOPLE!$F$14,$M485,BE$13))))</f>
        <v>1000000000000</v>
      </c>
      <c r="BF485" s="215">
        <f ca="1">IF($D485&lt;&gt;"Serviço",0,IF(AND(AUTOEVENTO="Manual",$M485=1),0,IF(OFFSET(CRONOPLE!$F$14,$M485,BF$13)="",10^12,OFFSET(CRONOPLE!$F$14,$M485,BF$13))))</f>
        <v>1000000000000</v>
      </c>
      <c r="BG485" s="215">
        <f ca="1">IF($D485&lt;&gt;"Serviço",0,IF(AND(AUTOEVENTO="Manual",$M485=1),0,IF(OFFSET(CRONOPLE!$F$14,$M485,BG$13)="",10^12,OFFSET(CRONOPLE!$F$14,$M485,BG$13))))</f>
        <v>1000000000000</v>
      </c>
      <c r="BH485" s="215">
        <f ca="1">IF($D485&lt;&gt;"Serviço",0,IF(AND(AUTOEVENTO="Manual",$M485=1),0,IF(OFFSET(CRONOPLE!$F$14,$M485,BH$13)="",10^12,OFFSET(CRONOPLE!$F$14,$M485,BH$13))))</f>
        <v>1000000000000</v>
      </c>
      <c r="BI485" s="215">
        <f ca="1">IF($D485&lt;&gt;"Serviço",0,IF(AND(AUTOEVENTO="Manual",$M485=1),0,IF(OFFSET(CRONOPLE!$F$14,$M485,BI$13)="",10^12,OFFSET(CRONOPLE!$F$14,$M485,BI$13))))</f>
        <v>1000000000000</v>
      </c>
      <c r="BJ485" s="215">
        <f ca="1">IF($D485&lt;&gt;"Serviço",0,IF(AND(AUTOEVENTO="Manual",$M485=1),0,IF(OFFSET(CRONOPLE!$F$14,$M485,BJ$13)="",10^12,OFFSET(CRONOPLE!$F$14,$M485,BJ$13))))</f>
        <v>1000000000000</v>
      </c>
      <c r="BK485" s="215">
        <f ca="1">IF($D485&lt;&gt;"Serviço",0,IF(AND(AUTOEVENTO="Manual",$M485=1),0,IF(OFFSET(CRONOPLE!$F$14,$M485,BK$13)="",10^12,OFFSET(CRONOPLE!$F$14,$M485,BK$13))))</f>
        <v>1000000000000</v>
      </c>
      <c r="BL485" s="215">
        <f ca="1">IF($D485&lt;&gt;"Serviço",0,IF(AND(AUTOEVENTO="Manual",$M485=1),0,IF(OFFSET(CRONOPLE!$F$14,$M485,BL$13)="",10^12,OFFSET(CRONOPLE!$F$14,$M485,BL$13))))</f>
        <v>1000000000000</v>
      </c>
      <c r="BM485" s="215">
        <f ca="1">IF($D485&lt;&gt;"Serviço",0,IF(AND(AUTOEVENTO="Manual",$M485=1),0,IF(OFFSET(CRONOPLE!$F$14,$M485,BM$13)="",10^12,OFFSET(CRONOPLE!$F$14,$M485,BM$13))))</f>
        <v>1000000000000</v>
      </c>
      <c r="BN485" s="215">
        <f ca="1">IF($D485&lt;&gt;"Serviço",0,IF(AND(AUTOEVENTO="Manual",$M485=1),0,IF(OFFSET(CRONOPLE!$F$14,$M485,BN$13)="",10^12,OFFSET(CRONOPLE!$F$14,$M485,BN$13))))</f>
        <v>1000000000000</v>
      </c>
      <c r="BO485" s="215">
        <f ca="1">IF($D485&lt;&gt;"Serviço",0,IF(AND(AUTOEVENTO="Manual",$M485=1),0,IF(OFFSET(CRONOPLE!$F$14,$M485,BO$13)="",10^12,OFFSET(CRONOPLE!$F$14,$M485,BO$13))))</f>
        <v>1000000000000</v>
      </c>
      <c r="BP485" s="215">
        <f ca="1">IF($D485&lt;&gt;"Serviço",0,IF(AND(AUTOEVENTO="Manual",$M485=1),0,IF(OFFSET(CRONOPLE!$F$14,$M485,BP$13)="",10^12,OFFSET(CRONOPLE!$F$14,$M485,BP$13))))</f>
        <v>1000000000000</v>
      </c>
      <c r="BQ485" s="215">
        <f ca="1">IF($D485&lt;&gt;"Serviço",0,IF(AND(AUTOEVENTO="Manual",$M485=1),0,IF(OFFSET(CRONOPLE!$F$14,$M485,BQ$13)="",10^12,OFFSET(CRONOPLE!$F$14,$M485,BQ$13))))</f>
        <v>1000000000000</v>
      </c>
      <c r="BR485" s="215">
        <f ca="1">IF($D485&lt;&gt;"Serviço",0,IF(AND(AUTOEVENTO="Manual",$M485=1),0,IF(OFFSET(CRONOPLE!$F$14,$M485,BR$13)="",10^12,OFFSET(CRONOPLE!$F$14,$M485,BR$13))))</f>
        <v>1000000000000</v>
      </c>
      <c r="BS485" s="215">
        <f ca="1">IF($D485&lt;&gt;"Serviço",0,IF(AND(AUTOEVENTO="Manual",$M485=1),0,IF(OFFSET(CRONOPLE!$F$14,$M485,BS$13)="",10^12,OFFSET(CRONOPLE!$F$14,$M485,BS$13))))</f>
        <v>1000000000000</v>
      </c>
      <c r="BT485" s="215">
        <f ca="1">IF($D485&lt;&gt;"Serviço",0,IF(AND(AUTOEVENTO="Manual",$M485=1),0,IF(OFFSET(CRONOPLE!$F$14,$M485,BT$13)="",10^12,OFFSET(CRONOPLE!$F$14,$M485,BT$13))))</f>
        <v>1000000000000</v>
      </c>
      <c r="BV485" s="216">
        <f ca="1">IF($D485&lt;&gt;"Serviço",0,IF(OR(AND(AUTOEVENTO="Manual",$M485=1),$M485&gt;(ROW(PLE.lastrow)-ROW(PLE.firstrow))),0,IF(OFFSET(PLE!$G$14,$M485,BV$13)="",10^12,OFFSET(PLE!$G$14,$M485,BV$13))))</f>
        <v>1000000000000</v>
      </c>
      <c r="BW485" s="216">
        <f ca="1">IF($D485&lt;&gt;"Serviço",0,IF(OR(AND(AUTOEVENTO="Manual",$M485=1),$M485&gt;(ROW(PLE.lastrow)-ROW(PLE.firstrow))),0,IF(OFFSET(PLE!$G$14,$M485,BW$13)="",10^12,OFFSET(PLE!$G$14,$M485,BW$13))))</f>
        <v>1000000000000</v>
      </c>
      <c r="BX485" s="216">
        <f ca="1">IF($D485&lt;&gt;"Serviço",0,IF(OR(AND(AUTOEVENTO="Manual",$M485=1),$M485&gt;(ROW(PLE.lastrow)-ROW(PLE.firstrow))),0,IF(OFFSET(PLE!$G$14,$M485,BX$13)="",10^12,OFFSET(PLE!$G$14,$M485,BX$13))))</f>
        <v>1000000000000</v>
      </c>
      <c r="BY485" s="216">
        <f ca="1">IF($D485&lt;&gt;"Serviço",0,IF(OR(AND(AUTOEVENTO="Manual",$M485=1),$M485&gt;(ROW(PLE.lastrow)-ROW(PLE.firstrow))),0,IF(OFFSET(PLE!$G$14,$M485,BY$13)="",10^12,OFFSET(PLE!$G$14,$M485,BY$13))))</f>
        <v>1000000000000</v>
      </c>
      <c r="BZ485" s="216">
        <f ca="1">IF($D485&lt;&gt;"Serviço",0,IF(OR(AND(AUTOEVENTO="Manual",$M485=1),$M485&gt;(ROW(PLE.lastrow)-ROW(PLE.firstrow))),0,IF(OFFSET(PLE!$G$14,$M485,BZ$13)="",10^12,OFFSET(PLE!$G$14,$M485,BZ$13))))</f>
        <v>1000000000000</v>
      </c>
      <c r="CA485" s="216">
        <f ca="1">IF($D485&lt;&gt;"Serviço",0,IF(OR(AND(AUTOEVENTO="Manual",$M485=1),$M485&gt;(ROW(PLE.lastrow)-ROW(PLE.firstrow))),0,IF(OFFSET(PLE!$G$14,$M485,CA$13)="",10^12,OFFSET(PLE!$G$14,$M485,CA$13))))</f>
        <v>1000000000000</v>
      </c>
      <c r="CB485" s="216">
        <f ca="1">IF($D485&lt;&gt;"Serviço",0,IF(OR(AND(AUTOEVENTO="Manual",$M485=1),$M485&gt;(ROW(PLE.lastrow)-ROW(PLE.firstrow))),0,IF(OFFSET(PLE!$G$14,$M485,CB$13)="",10^12,OFFSET(PLE!$G$14,$M485,CB$13))))</f>
        <v>1000000000000</v>
      </c>
      <c r="CC485" s="216">
        <f ca="1">IF($D485&lt;&gt;"Serviço",0,IF(OR(AND(AUTOEVENTO="Manual",$M485=1),$M485&gt;(ROW(PLE.lastrow)-ROW(PLE.firstrow))),0,IF(OFFSET(PLE!$G$14,$M485,CC$13)="",10^12,OFFSET(PLE!$G$14,$M485,CC$13))))</f>
        <v>1000000000000</v>
      </c>
      <c r="CD485" s="216">
        <f ca="1">IF($D485&lt;&gt;"Serviço",0,IF(OR(AND(AUTOEVENTO="Manual",$M485=1),$M485&gt;(ROW(PLE.lastrow)-ROW(PLE.firstrow))),0,IF(OFFSET(PLE!$G$14,$M485,CD$13)="",10^12,OFFSET(PLE!$G$14,$M485,CD$13))))</f>
        <v>1000000000000</v>
      </c>
      <c r="CE485" s="216">
        <f ca="1">IF($D485&lt;&gt;"Serviço",0,IF(OR(AND(AUTOEVENTO="Manual",$M485=1),$M485&gt;(ROW(PLE.lastrow)-ROW(PLE.firstrow))),0,IF(OFFSET(PLE!$G$14,$M485,CE$13)="",10^12,OFFSET(PLE!$G$14,$M485,CE$13))))</f>
        <v>1000000000000</v>
      </c>
      <c r="CF485" s="216">
        <f ca="1">IF($D485&lt;&gt;"Serviço",0,IF(OR(AND(AUTOEVENTO="Manual",$M485=1),$M485&gt;(ROW(PLE.lastrow)-ROW(PLE.firstrow))),0,IF(OFFSET(PLE!$G$14,$M485,CF$13)="",10^12,OFFSET(PLE!$G$14,$M485,CF$13))))</f>
        <v>1000000000000</v>
      </c>
      <c r="CG485" s="216">
        <f ca="1">IF($D485&lt;&gt;"Serviço",0,IF(OR(AND(AUTOEVENTO="Manual",$M485=1),$M485&gt;(ROW(PLE.lastrow)-ROW(PLE.firstrow))),0,IF(OFFSET(PLE!$G$14,$M485,CG$13)="",10^12,OFFSET(PLE!$G$14,$M485,CG$13))))</f>
        <v>1000000000000</v>
      </c>
      <c r="CH485" s="216">
        <f ca="1">IF($D485&lt;&gt;"Serviço",0,IF(OR(AND(AUTOEVENTO="Manual",$M485=1),$M485&gt;(ROW(PLE.lastrow)-ROW(PLE.firstrow))),0,IF(OFFSET(PLE!$G$14,$M485,CH$13)="",10^12,OFFSET(PLE!$G$14,$M485,CH$13))))</f>
        <v>1000000000000</v>
      </c>
      <c r="CI485" s="216">
        <f ca="1">IF($D485&lt;&gt;"Serviço",0,IF(OR(AND(AUTOEVENTO="Manual",$M485=1),$M485&gt;(ROW(PLE.lastrow)-ROW(PLE.firstrow))),0,IF(OFFSET(PLE!$G$14,$M485,CI$13)="",10^12,OFFSET(PLE!$G$14,$M485,CI$13))))</f>
        <v>1000000000000</v>
      </c>
      <c r="CJ485" s="216">
        <f ca="1">IF($D485&lt;&gt;"Serviço",0,IF(OR(AND(AUTOEVENTO="Manual",$M485=1),$M485&gt;(ROW(PLE.lastrow)-ROW(PLE.firstrow))),0,IF(OFFSET(PLE!$G$14,$M485,CJ$13)="",10^12,OFFSET(PLE!$G$14,$M485,CJ$13))))</f>
        <v>1000000000000</v>
      </c>
      <c r="CK485" s="216">
        <f ca="1">IF($D485&lt;&gt;"Serviço",0,IF(OR(AND(AUTOEVENTO="Manual",$M485=1),$M485&gt;(ROW(PLE.lastrow)-ROW(PLE.firstrow))),0,IF(OFFSET(PLE!$G$14,$M485,CK$13)="",10^12,OFFSET(PLE!$G$14,$M485,CK$13))))</f>
        <v>1000000000000</v>
      </c>
      <c r="CL485" s="216">
        <f ca="1">IF($D485&lt;&gt;"Serviço",0,IF(OR(AND(AUTOEVENTO="Manual",$M485=1),$M485&gt;(ROW(PLE.lastrow)-ROW(PLE.firstrow))),0,IF(OFFSET(PLE!$G$14,$M485,CL$13)="",10^12,OFFSET(PLE!$G$14,$M485,CL$13))))</f>
        <v>1000000000000</v>
      </c>
      <c r="CM485" s="216">
        <f ca="1">IF($D485&lt;&gt;"Serviço",0,IF(OR(AND(AUTOEVENTO="Manual",$M485=1),$M485&gt;(ROW(PLE.lastrow)-ROW(PLE.firstrow))),0,IF(OFFSET(PLE!$G$14,$M485,CM$13)="",10^12,OFFSET(PLE!$G$14,$M485,CM$13))))</f>
        <v>1000000000000</v>
      </c>
    </row>
    <row r="486" spans="1:91" ht="13.2" x14ac:dyDescent="0.25">
      <c r="A486" s="9">
        <f t="shared" ca="1" si="16"/>
        <v>0</v>
      </c>
      <c r="B486" s="9" t="str">
        <f ca="1">OFFSET(ORÇAMENTO!C$15,ROW(B486)-ROW(B$15),0)</f>
        <v>S</v>
      </c>
      <c r="C486" s="9" t="str">
        <f ca="1">OFFSET(ORÇAMENTO!L$15,ROW(C486)-ROW(C$15),0)</f>
        <v/>
      </c>
      <c r="D486" s="145" t="str">
        <f ca="1">OFFSET(ORÇAMENTO!N$15,ROW(D486)-ROW(D$15),0)</f>
        <v>Serviço</v>
      </c>
      <c r="E486" s="205" t="str">
        <f ca="1">OFFSET(ORÇAMENTO!O$15,ROW(E486)-ROW(E$15),0)</f>
        <v>-</v>
      </c>
      <c r="F486" s="206" t="str">
        <f ca="1">OFFSET(ORÇAMENTO!R$15,ROW(F486)-ROW(F$15),0)</f>
        <v>(abra o arquivo 'Referência 05-2024.xls)</v>
      </c>
      <c r="G486" s="207" t="str">
        <f ca="1">IF($D486&lt;&gt;"Serviço","",OFFSET(ORÇAMENTO!S$15,ROW(G486)-ROW(G$15),0))</f>
        <v>-</v>
      </c>
      <c r="H486" s="151">
        <f ca="1">IF($D486&lt;&gt;"Serviço",0,IF(ACOMPANHAMENTO="BM",ROUND(OFFSET(ORÇAMENTO!AJ$15,ROW(H486)-ROW(H$15),0),15-13*ORÇAMENTO!$AF$7),SUMPRODUCT(($Q$12:$AI$12&lt;&gt;"")*ROUND($Q486:$AI486,15-13*ORÇAMENTO!$AF$7))))</f>
        <v>4</v>
      </c>
      <c r="I486" s="650"/>
      <c r="K486" s="208"/>
      <c r="L486" s="209" t="s">
        <v>257</v>
      </c>
      <c r="M486" s="210">
        <f ca="1">IF($D486&lt;&gt;"Serviço","",IF(AUTOEVENTO="manual",$A486,IF(ISERROR(MATCH($A486,$A$15:OFFSET($A486,-1,0),0)),MAX($M$15:OFFSET(M486,-1,0))+1,INDEX($M$15:OFFSET(M486,-1,0),MATCH($A486,$A$15:OFFSET($A486,-1,0),0)))))</f>
        <v>0</v>
      </c>
      <c r="N486" s="211" t="str">
        <f ca="1">IF($D486&lt;&gt;"Serviço","",IF(AUTOEVENTO="Manual",IF($A486=0,"&lt;-- defina o número do agrupador",OFFSET(EVENTOS!$D$14,$A486,0)),OFFSET($F$15,$A486,0)))</f>
        <v>&lt;-- defina o número do agrupador</v>
      </c>
      <c r="O486" s="212"/>
      <c r="Q486" s="212"/>
      <c r="R486" s="213"/>
      <c r="S486" s="213"/>
      <c r="T486" s="213"/>
      <c r="U486" s="213"/>
      <c r="V486" s="213"/>
      <c r="W486" s="213"/>
      <c r="X486" s="213"/>
      <c r="Y486" s="213"/>
      <c r="Z486" s="214"/>
      <c r="AA486" s="213"/>
      <c r="AB486" s="213"/>
      <c r="AC486" s="213"/>
      <c r="AD486" s="213"/>
      <c r="AE486" s="213"/>
      <c r="AF486" s="213"/>
      <c r="AG486" s="213"/>
      <c r="AH486" s="214"/>
      <c r="AJ486" s="631">
        <f ca="1">IF(AND($D486="Serviço",AJ$12&lt;&gt;0,$H486&gt;0,OR(AUTOEVENTO&lt;&gt;"manual",$M486&lt;&gt;1)),ROUND(OFFSET($P486,0,AJ$13),15-13*ORÇAMENTO!$AF$7)/$H486*OFFSET(ORÇAMENTO!$X$15,ROW(AJ486)-ROW(AJ$15),0),0)</f>
        <v>0</v>
      </c>
      <c r="AK486" s="632">
        <f ca="1">IF(AND($D486="Serviço",AK$12&lt;&gt;0,$H486&gt;0,OR(AUTOEVENTO&lt;&gt;"manual",$M486&lt;&gt;1)),ROUND(OFFSET($P486,0,AK$13),15-13*ORÇAMENTO!$AF$7)/$H486*OFFSET(ORÇAMENTO!$X$15,ROW(AK486)-ROW(AK$15),0),0)</f>
        <v>0</v>
      </c>
      <c r="AL486" s="632">
        <f ca="1">IF(AND($D486="Serviço",AL$12&lt;&gt;0,$H486&gt;0,OR(AUTOEVENTO&lt;&gt;"manual",$M486&lt;&gt;1)),ROUND(OFFSET($P486,0,AL$13),15-13*ORÇAMENTO!$AF$7)/$H486*OFFSET(ORÇAMENTO!$X$15,ROW(AL486)-ROW(AL$15),0),0)</f>
        <v>0</v>
      </c>
      <c r="AM486" s="632">
        <f ca="1">IF(AND($D486="Serviço",AM$12&lt;&gt;0,$H486&gt;0,OR(AUTOEVENTO&lt;&gt;"manual",$M486&lt;&gt;1)),ROUND(OFFSET($P486,0,AM$13),15-13*ORÇAMENTO!$AF$7)/$H486*OFFSET(ORÇAMENTO!$X$15,ROW(AM486)-ROW(AM$15),0),0)</f>
        <v>0</v>
      </c>
      <c r="AN486" s="632">
        <f ca="1">IF(AND($D486="Serviço",AN$12&lt;&gt;0,$H486&gt;0,OR(AUTOEVENTO&lt;&gt;"manual",$M486&lt;&gt;1)),ROUND(OFFSET($P486,0,AN$13),15-13*ORÇAMENTO!$AF$7)/$H486*OFFSET(ORÇAMENTO!$X$15,ROW(AN486)-ROW(AN$15),0),0)</f>
        <v>0</v>
      </c>
      <c r="AO486" s="632">
        <f ca="1">IF(AND($D486="Serviço",AO$12&lt;&gt;0,$H486&gt;0,OR(AUTOEVENTO&lt;&gt;"manual",$M486&lt;&gt;1)),ROUND(OFFSET($P486,0,AO$13),15-13*ORÇAMENTO!$AF$7)/$H486*OFFSET(ORÇAMENTO!$X$15,ROW(AO486)-ROW(AO$15),0),0)</f>
        <v>0</v>
      </c>
      <c r="AP486" s="632">
        <f ca="1">IF(AND($D486="Serviço",AP$12&lt;&gt;0,$H486&gt;0,OR(AUTOEVENTO&lt;&gt;"manual",$M486&lt;&gt;1)),ROUND(OFFSET($P486,0,AP$13),15-13*ORÇAMENTO!$AF$7)/$H486*OFFSET(ORÇAMENTO!$X$15,ROW(AP486)-ROW(AP$15),0),0)</f>
        <v>0</v>
      </c>
      <c r="AQ486" s="632">
        <f ca="1">IF(AND($D486="Serviço",AQ$12&lt;&gt;0,$H486&gt;0,OR(AUTOEVENTO&lt;&gt;"manual",$M486&lt;&gt;1)),ROUND(OFFSET($P486,0,AQ$13),15-13*ORÇAMENTO!$AF$7)/$H486*OFFSET(ORÇAMENTO!$X$15,ROW(AQ486)-ROW(AQ$15),0),0)</f>
        <v>0</v>
      </c>
      <c r="AR486" s="632">
        <f ca="1">IF(AND($D486="Serviço",AR$12&lt;&gt;0,$H486&gt;0,OR(AUTOEVENTO&lt;&gt;"manual",$M486&lt;&gt;1)),ROUND(OFFSET($P486,0,AR$13),15-13*ORÇAMENTO!$AF$7)/$H486*OFFSET(ORÇAMENTO!$X$15,ROW(AR486)-ROW(AR$15),0),0)</f>
        <v>0</v>
      </c>
      <c r="AS486" s="633">
        <f ca="1">IF(AND($D486="Serviço",AS$12&lt;&gt;0,$H486&gt;0,OR(AUTOEVENTO&lt;&gt;"manual",$M486&lt;&gt;1)),ROUND(OFFSET($P486,0,AS$13),15-13*ORÇAMENTO!$AF$7)/$H486*OFFSET(ORÇAMENTO!$X$15,ROW(AS486)-ROW(AS$15),0),0)</f>
        <v>0</v>
      </c>
      <c r="AT486" s="632">
        <f ca="1">IF(AND($D486="Serviço",AT$12&lt;&gt;0,$H486&gt;0,OR(AUTOEVENTO&lt;&gt;"manual",$M486&lt;&gt;1)),ROUND(OFFSET($P486,0,AT$13),15-13*ORÇAMENTO!$AF$7)/$H486*OFFSET(ORÇAMENTO!$X$15,ROW(AT486)-ROW(AT$15),0),0)</f>
        <v>0</v>
      </c>
      <c r="AU486" s="632">
        <f ca="1">IF(AND($D486="Serviço",AU$12&lt;&gt;0,$H486&gt;0,OR(AUTOEVENTO&lt;&gt;"manual",$M486&lt;&gt;1)),ROUND(OFFSET($P486,0,AU$13),15-13*ORÇAMENTO!$AF$7)/$H486*OFFSET(ORÇAMENTO!$X$15,ROW(AU486)-ROW(AU$15),0),0)</f>
        <v>0</v>
      </c>
      <c r="AV486" s="632">
        <f ca="1">IF(AND($D486="Serviço",AV$12&lt;&gt;0,$H486&gt;0,OR(AUTOEVENTO&lt;&gt;"manual",$M486&lt;&gt;1)),ROUND(OFFSET($P486,0,AV$13),15-13*ORÇAMENTO!$AF$7)/$H486*OFFSET(ORÇAMENTO!$X$15,ROW(AV486)-ROW(AV$15),0),0)</f>
        <v>0</v>
      </c>
      <c r="AW486" s="632">
        <f ca="1">IF(AND($D486="Serviço",AW$12&lt;&gt;0,$H486&gt;0,OR(AUTOEVENTO&lt;&gt;"manual",$M486&lt;&gt;1)),ROUND(OFFSET($P486,0,AW$13),15-13*ORÇAMENTO!$AF$7)/$H486*OFFSET(ORÇAMENTO!$X$15,ROW(AW486)-ROW(AW$15),0),0)</f>
        <v>0</v>
      </c>
      <c r="AX486" s="632">
        <f ca="1">IF(AND($D486="Serviço",AX$12&lt;&gt;0,$H486&gt;0,OR(AUTOEVENTO&lt;&gt;"manual",$M486&lt;&gt;1)),ROUND(OFFSET($P486,0,AX$13),15-13*ORÇAMENTO!$AF$7)/$H486*OFFSET(ORÇAMENTO!$X$15,ROW(AX486)-ROW(AX$15),0),0)</f>
        <v>0</v>
      </c>
      <c r="AY486" s="632">
        <f ca="1">IF(AND($D486="Serviço",AY$12&lt;&gt;0,$H486&gt;0,OR(AUTOEVENTO&lt;&gt;"manual",$M486&lt;&gt;1)),ROUND(OFFSET($P486,0,AY$13),15-13*ORÇAMENTO!$AF$7)/$H486*OFFSET(ORÇAMENTO!$X$15,ROW(AY486)-ROW(AY$15),0),0)</f>
        <v>0</v>
      </c>
      <c r="AZ486" s="632">
        <f ca="1">IF(AND($D486="Serviço",AZ$12&lt;&gt;0,$H486&gt;0,OR(AUTOEVENTO&lt;&gt;"manual",$M486&lt;&gt;1)),ROUND(OFFSET($P486,0,AZ$13),15-13*ORÇAMENTO!$AF$7)/$H486*OFFSET(ORÇAMENTO!$X$15,ROW(AZ486)-ROW(AZ$15),0),0)</f>
        <v>0</v>
      </c>
      <c r="BA486" s="633">
        <f ca="1">IF(AND($D486="Serviço",BA$12&lt;&gt;0,$H486&gt;0,OR(AUTOEVENTO&lt;&gt;"manual",$M486&lt;&gt;1)),ROUND(OFFSET($P486,0,BA$13),15-13*ORÇAMENTO!$AF$7)/$H486*OFFSET(ORÇAMENTO!$X$15,ROW(BA486)-ROW(BA$15),0),0)</f>
        <v>0</v>
      </c>
      <c r="BC486" s="215">
        <f ca="1">IF($D486&lt;&gt;"Serviço",0,IF(AND(AUTOEVENTO="Manual",$M486=1),0,IF(OFFSET(CRONOPLE!$F$14,$M486,BC$13)="",10^12,OFFSET(CRONOPLE!$F$14,$M486,BC$13))))</f>
        <v>1000000000000</v>
      </c>
      <c r="BD486" s="215">
        <f ca="1">IF($D486&lt;&gt;"Serviço",0,IF(AND(AUTOEVENTO="Manual",$M486=1),0,IF(OFFSET(CRONOPLE!$F$14,$M486,BD$13)="",10^12,OFFSET(CRONOPLE!$F$14,$M486,BD$13))))</f>
        <v>1000000000000</v>
      </c>
      <c r="BE486" s="215">
        <f ca="1">IF($D486&lt;&gt;"Serviço",0,IF(AND(AUTOEVENTO="Manual",$M486=1),0,IF(OFFSET(CRONOPLE!$F$14,$M486,BE$13)="",10^12,OFFSET(CRONOPLE!$F$14,$M486,BE$13))))</f>
        <v>1000000000000</v>
      </c>
      <c r="BF486" s="215">
        <f ca="1">IF($D486&lt;&gt;"Serviço",0,IF(AND(AUTOEVENTO="Manual",$M486=1),0,IF(OFFSET(CRONOPLE!$F$14,$M486,BF$13)="",10^12,OFFSET(CRONOPLE!$F$14,$M486,BF$13))))</f>
        <v>1000000000000</v>
      </c>
      <c r="BG486" s="215">
        <f ca="1">IF($D486&lt;&gt;"Serviço",0,IF(AND(AUTOEVENTO="Manual",$M486=1),0,IF(OFFSET(CRONOPLE!$F$14,$M486,BG$13)="",10^12,OFFSET(CRONOPLE!$F$14,$M486,BG$13))))</f>
        <v>1000000000000</v>
      </c>
      <c r="BH486" s="215">
        <f ca="1">IF($D486&lt;&gt;"Serviço",0,IF(AND(AUTOEVENTO="Manual",$M486=1),0,IF(OFFSET(CRONOPLE!$F$14,$M486,BH$13)="",10^12,OFFSET(CRONOPLE!$F$14,$M486,BH$13))))</f>
        <v>1000000000000</v>
      </c>
      <c r="BI486" s="215">
        <f ca="1">IF($D486&lt;&gt;"Serviço",0,IF(AND(AUTOEVENTO="Manual",$M486=1),0,IF(OFFSET(CRONOPLE!$F$14,$M486,BI$13)="",10^12,OFFSET(CRONOPLE!$F$14,$M486,BI$13))))</f>
        <v>1000000000000</v>
      </c>
      <c r="BJ486" s="215">
        <f ca="1">IF($D486&lt;&gt;"Serviço",0,IF(AND(AUTOEVENTO="Manual",$M486=1),0,IF(OFFSET(CRONOPLE!$F$14,$M486,BJ$13)="",10^12,OFFSET(CRONOPLE!$F$14,$M486,BJ$13))))</f>
        <v>1000000000000</v>
      </c>
      <c r="BK486" s="215">
        <f ca="1">IF($D486&lt;&gt;"Serviço",0,IF(AND(AUTOEVENTO="Manual",$M486=1),0,IF(OFFSET(CRONOPLE!$F$14,$M486,BK$13)="",10^12,OFFSET(CRONOPLE!$F$14,$M486,BK$13))))</f>
        <v>1000000000000</v>
      </c>
      <c r="BL486" s="215">
        <f ca="1">IF($D486&lt;&gt;"Serviço",0,IF(AND(AUTOEVENTO="Manual",$M486=1),0,IF(OFFSET(CRONOPLE!$F$14,$M486,BL$13)="",10^12,OFFSET(CRONOPLE!$F$14,$M486,BL$13))))</f>
        <v>1000000000000</v>
      </c>
      <c r="BM486" s="215">
        <f ca="1">IF($D486&lt;&gt;"Serviço",0,IF(AND(AUTOEVENTO="Manual",$M486=1),0,IF(OFFSET(CRONOPLE!$F$14,$M486,BM$13)="",10^12,OFFSET(CRONOPLE!$F$14,$M486,BM$13))))</f>
        <v>1000000000000</v>
      </c>
      <c r="BN486" s="215">
        <f ca="1">IF($D486&lt;&gt;"Serviço",0,IF(AND(AUTOEVENTO="Manual",$M486=1),0,IF(OFFSET(CRONOPLE!$F$14,$M486,BN$13)="",10^12,OFFSET(CRONOPLE!$F$14,$M486,BN$13))))</f>
        <v>1000000000000</v>
      </c>
      <c r="BO486" s="215">
        <f ca="1">IF($D486&lt;&gt;"Serviço",0,IF(AND(AUTOEVENTO="Manual",$M486=1),0,IF(OFFSET(CRONOPLE!$F$14,$M486,BO$13)="",10^12,OFFSET(CRONOPLE!$F$14,$M486,BO$13))))</f>
        <v>1000000000000</v>
      </c>
      <c r="BP486" s="215">
        <f ca="1">IF($D486&lt;&gt;"Serviço",0,IF(AND(AUTOEVENTO="Manual",$M486=1),0,IF(OFFSET(CRONOPLE!$F$14,$M486,BP$13)="",10^12,OFFSET(CRONOPLE!$F$14,$M486,BP$13))))</f>
        <v>1000000000000</v>
      </c>
      <c r="BQ486" s="215">
        <f ca="1">IF($D486&lt;&gt;"Serviço",0,IF(AND(AUTOEVENTO="Manual",$M486=1),0,IF(OFFSET(CRONOPLE!$F$14,$M486,BQ$13)="",10^12,OFFSET(CRONOPLE!$F$14,$M486,BQ$13))))</f>
        <v>1000000000000</v>
      </c>
      <c r="BR486" s="215">
        <f ca="1">IF($D486&lt;&gt;"Serviço",0,IF(AND(AUTOEVENTO="Manual",$M486=1),0,IF(OFFSET(CRONOPLE!$F$14,$M486,BR$13)="",10^12,OFFSET(CRONOPLE!$F$14,$M486,BR$13))))</f>
        <v>1000000000000</v>
      </c>
      <c r="BS486" s="215">
        <f ca="1">IF($D486&lt;&gt;"Serviço",0,IF(AND(AUTOEVENTO="Manual",$M486=1),0,IF(OFFSET(CRONOPLE!$F$14,$M486,BS$13)="",10^12,OFFSET(CRONOPLE!$F$14,$M486,BS$13))))</f>
        <v>1000000000000</v>
      </c>
      <c r="BT486" s="215">
        <f ca="1">IF($D486&lt;&gt;"Serviço",0,IF(AND(AUTOEVENTO="Manual",$M486=1),0,IF(OFFSET(CRONOPLE!$F$14,$M486,BT$13)="",10^12,OFFSET(CRONOPLE!$F$14,$M486,BT$13))))</f>
        <v>1000000000000</v>
      </c>
      <c r="BV486" s="216">
        <f ca="1">IF($D486&lt;&gt;"Serviço",0,IF(OR(AND(AUTOEVENTO="Manual",$M486=1),$M486&gt;(ROW(PLE.lastrow)-ROW(PLE.firstrow))),0,IF(OFFSET(PLE!$G$14,$M486,BV$13)="",10^12,OFFSET(PLE!$G$14,$M486,BV$13))))</f>
        <v>1000000000000</v>
      </c>
      <c r="BW486" s="216">
        <f ca="1">IF($D486&lt;&gt;"Serviço",0,IF(OR(AND(AUTOEVENTO="Manual",$M486=1),$M486&gt;(ROW(PLE.lastrow)-ROW(PLE.firstrow))),0,IF(OFFSET(PLE!$G$14,$M486,BW$13)="",10^12,OFFSET(PLE!$G$14,$M486,BW$13))))</f>
        <v>1000000000000</v>
      </c>
      <c r="BX486" s="216">
        <f ca="1">IF($D486&lt;&gt;"Serviço",0,IF(OR(AND(AUTOEVENTO="Manual",$M486=1),$M486&gt;(ROW(PLE.lastrow)-ROW(PLE.firstrow))),0,IF(OFFSET(PLE!$G$14,$M486,BX$13)="",10^12,OFFSET(PLE!$G$14,$M486,BX$13))))</f>
        <v>1000000000000</v>
      </c>
      <c r="BY486" s="216">
        <f ca="1">IF($D486&lt;&gt;"Serviço",0,IF(OR(AND(AUTOEVENTO="Manual",$M486=1),$M486&gt;(ROW(PLE.lastrow)-ROW(PLE.firstrow))),0,IF(OFFSET(PLE!$G$14,$M486,BY$13)="",10^12,OFFSET(PLE!$G$14,$M486,BY$13))))</f>
        <v>1000000000000</v>
      </c>
      <c r="BZ486" s="216">
        <f ca="1">IF($D486&lt;&gt;"Serviço",0,IF(OR(AND(AUTOEVENTO="Manual",$M486=1),$M486&gt;(ROW(PLE.lastrow)-ROW(PLE.firstrow))),0,IF(OFFSET(PLE!$G$14,$M486,BZ$13)="",10^12,OFFSET(PLE!$G$14,$M486,BZ$13))))</f>
        <v>1000000000000</v>
      </c>
      <c r="CA486" s="216">
        <f ca="1">IF($D486&lt;&gt;"Serviço",0,IF(OR(AND(AUTOEVENTO="Manual",$M486=1),$M486&gt;(ROW(PLE.lastrow)-ROW(PLE.firstrow))),0,IF(OFFSET(PLE!$G$14,$M486,CA$13)="",10^12,OFFSET(PLE!$G$14,$M486,CA$13))))</f>
        <v>1000000000000</v>
      </c>
      <c r="CB486" s="216">
        <f ca="1">IF($D486&lt;&gt;"Serviço",0,IF(OR(AND(AUTOEVENTO="Manual",$M486=1),$M486&gt;(ROW(PLE.lastrow)-ROW(PLE.firstrow))),0,IF(OFFSET(PLE!$G$14,$M486,CB$13)="",10^12,OFFSET(PLE!$G$14,$M486,CB$13))))</f>
        <v>1000000000000</v>
      </c>
      <c r="CC486" s="216">
        <f ca="1">IF($D486&lt;&gt;"Serviço",0,IF(OR(AND(AUTOEVENTO="Manual",$M486=1),$M486&gt;(ROW(PLE.lastrow)-ROW(PLE.firstrow))),0,IF(OFFSET(PLE!$G$14,$M486,CC$13)="",10^12,OFFSET(PLE!$G$14,$M486,CC$13))))</f>
        <v>1000000000000</v>
      </c>
      <c r="CD486" s="216">
        <f ca="1">IF($D486&lt;&gt;"Serviço",0,IF(OR(AND(AUTOEVENTO="Manual",$M486=1),$M486&gt;(ROW(PLE.lastrow)-ROW(PLE.firstrow))),0,IF(OFFSET(PLE!$G$14,$M486,CD$13)="",10^12,OFFSET(PLE!$G$14,$M486,CD$13))))</f>
        <v>1000000000000</v>
      </c>
      <c r="CE486" s="216">
        <f ca="1">IF($D486&lt;&gt;"Serviço",0,IF(OR(AND(AUTOEVENTO="Manual",$M486=1),$M486&gt;(ROW(PLE.lastrow)-ROW(PLE.firstrow))),0,IF(OFFSET(PLE!$G$14,$M486,CE$13)="",10^12,OFFSET(PLE!$G$14,$M486,CE$13))))</f>
        <v>1000000000000</v>
      </c>
      <c r="CF486" s="216">
        <f ca="1">IF($D486&lt;&gt;"Serviço",0,IF(OR(AND(AUTOEVENTO="Manual",$M486=1),$M486&gt;(ROW(PLE.lastrow)-ROW(PLE.firstrow))),0,IF(OFFSET(PLE!$G$14,$M486,CF$13)="",10^12,OFFSET(PLE!$G$14,$M486,CF$13))))</f>
        <v>1000000000000</v>
      </c>
      <c r="CG486" s="216">
        <f ca="1">IF($D486&lt;&gt;"Serviço",0,IF(OR(AND(AUTOEVENTO="Manual",$M486=1),$M486&gt;(ROW(PLE.lastrow)-ROW(PLE.firstrow))),0,IF(OFFSET(PLE!$G$14,$M486,CG$13)="",10^12,OFFSET(PLE!$G$14,$M486,CG$13))))</f>
        <v>1000000000000</v>
      </c>
      <c r="CH486" s="216">
        <f ca="1">IF($D486&lt;&gt;"Serviço",0,IF(OR(AND(AUTOEVENTO="Manual",$M486=1),$M486&gt;(ROW(PLE.lastrow)-ROW(PLE.firstrow))),0,IF(OFFSET(PLE!$G$14,$M486,CH$13)="",10^12,OFFSET(PLE!$G$14,$M486,CH$13))))</f>
        <v>1000000000000</v>
      </c>
      <c r="CI486" s="216">
        <f ca="1">IF($D486&lt;&gt;"Serviço",0,IF(OR(AND(AUTOEVENTO="Manual",$M486=1),$M486&gt;(ROW(PLE.lastrow)-ROW(PLE.firstrow))),0,IF(OFFSET(PLE!$G$14,$M486,CI$13)="",10^12,OFFSET(PLE!$G$14,$M486,CI$13))))</f>
        <v>1000000000000</v>
      </c>
      <c r="CJ486" s="216">
        <f ca="1">IF($D486&lt;&gt;"Serviço",0,IF(OR(AND(AUTOEVENTO="Manual",$M486=1),$M486&gt;(ROW(PLE.lastrow)-ROW(PLE.firstrow))),0,IF(OFFSET(PLE!$G$14,$M486,CJ$13)="",10^12,OFFSET(PLE!$G$14,$M486,CJ$13))))</f>
        <v>1000000000000</v>
      </c>
      <c r="CK486" s="216">
        <f ca="1">IF($D486&lt;&gt;"Serviço",0,IF(OR(AND(AUTOEVENTO="Manual",$M486=1),$M486&gt;(ROW(PLE.lastrow)-ROW(PLE.firstrow))),0,IF(OFFSET(PLE!$G$14,$M486,CK$13)="",10^12,OFFSET(PLE!$G$14,$M486,CK$13))))</f>
        <v>1000000000000</v>
      </c>
      <c r="CL486" s="216">
        <f ca="1">IF($D486&lt;&gt;"Serviço",0,IF(OR(AND(AUTOEVENTO="Manual",$M486=1),$M486&gt;(ROW(PLE.lastrow)-ROW(PLE.firstrow))),0,IF(OFFSET(PLE!$G$14,$M486,CL$13)="",10^12,OFFSET(PLE!$G$14,$M486,CL$13))))</f>
        <v>1000000000000</v>
      </c>
      <c r="CM486" s="216">
        <f ca="1">IF($D486&lt;&gt;"Serviço",0,IF(OR(AND(AUTOEVENTO="Manual",$M486=1),$M486&gt;(ROW(PLE.lastrow)-ROW(PLE.firstrow))),0,IF(OFFSET(PLE!$G$14,$M486,CM$13)="",10^12,OFFSET(PLE!$G$14,$M486,CM$13))))</f>
        <v>1000000000000</v>
      </c>
    </row>
    <row r="487" spans="1:91" ht="13.2" x14ac:dyDescent="0.25">
      <c r="A487" s="9">
        <f t="shared" ca="1" si="16"/>
        <v>0</v>
      </c>
      <c r="B487" s="9" t="str">
        <f ca="1">OFFSET(ORÇAMENTO!C$15,ROW(B487)-ROW(B$15),0)</f>
        <v>S</v>
      </c>
      <c r="C487" s="9" t="str">
        <f ca="1">OFFSET(ORÇAMENTO!L$15,ROW(C487)-ROW(C$15),0)</f>
        <v/>
      </c>
      <c r="D487" s="145" t="str">
        <f ca="1">OFFSET(ORÇAMENTO!N$15,ROW(D487)-ROW(D$15),0)</f>
        <v>Serviço</v>
      </c>
      <c r="E487" s="205" t="str">
        <f ca="1">OFFSET(ORÇAMENTO!O$15,ROW(E487)-ROW(E$15),0)</f>
        <v>-</v>
      </c>
      <c r="F487" s="206" t="str">
        <f ca="1">OFFSET(ORÇAMENTO!R$15,ROW(F487)-ROW(F$15),0)</f>
        <v>(abra o arquivo 'Referência 05-2024.xls)</v>
      </c>
      <c r="G487" s="207" t="str">
        <f ca="1">IF($D487&lt;&gt;"Serviço","",OFFSET(ORÇAMENTO!S$15,ROW(G487)-ROW(G$15),0))</f>
        <v>-</v>
      </c>
      <c r="H487" s="151">
        <f ca="1">IF($D487&lt;&gt;"Serviço",0,IF(ACOMPANHAMENTO="BM",ROUND(OFFSET(ORÇAMENTO!AJ$15,ROW(H487)-ROW(H$15),0),15-13*ORÇAMENTO!$AF$7),SUMPRODUCT(($Q$12:$AI$12&lt;&gt;"")*ROUND($Q487:$AI487,15-13*ORÇAMENTO!$AF$7))))</f>
        <v>2</v>
      </c>
      <c r="I487" s="650"/>
      <c r="K487" s="208"/>
      <c r="L487" s="209" t="s">
        <v>257</v>
      </c>
      <c r="M487" s="210">
        <f ca="1">IF($D487&lt;&gt;"Serviço","",IF(AUTOEVENTO="manual",$A487,IF(ISERROR(MATCH($A487,$A$15:OFFSET($A487,-1,0),0)),MAX($M$15:OFFSET(M487,-1,0))+1,INDEX($M$15:OFFSET(M487,-1,0),MATCH($A487,$A$15:OFFSET($A487,-1,0),0)))))</f>
        <v>0</v>
      </c>
      <c r="N487" s="211" t="str">
        <f ca="1">IF($D487&lt;&gt;"Serviço","",IF(AUTOEVENTO="Manual",IF($A487=0,"&lt;-- defina o número do agrupador",OFFSET(EVENTOS!$D$14,$A487,0)),OFFSET($F$15,$A487,0)))</f>
        <v>&lt;-- defina o número do agrupador</v>
      </c>
      <c r="O487" s="212"/>
      <c r="Q487" s="212"/>
      <c r="R487" s="213"/>
      <c r="S487" s="213"/>
      <c r="T487" s="213"/>
      <c r="U487" s="213"/>
      <c r="V487" s="213"/>
      <c r="W487" s="213"/>
      <c r="X487" s="213"/>
      <c r="Y487" s="213"/>
      <c r="Z487" s="214"/>
      <c r="AA487" s="213"/>
      <c r="AB487" s="213"/>
      <c r="AC487" s="213"/>
      <c r="AD487" s="213"/>
      <c r="AE487" s="213"/>
      <c r="AF487" s="213"/>
      <c r="AG487" s="213"/>
      <c r="AH487" s="214"/>
      <c r="AJ487" s="631">
        <f ca="1">IF(AND($D487="Serviço",AJ$12&lt;&gt;0,$H487&gt;0,OR(AUTOEVENTO&lt;&gt;"manual",$M487&lt;&gt;1)),ROUND(OFFSET($P487,0,AJ$13),15-13*ORÇAMENTO!$AF$7)/$H487*OFFSET(ORÇAMENTO!$X$15,ROW(AJ487)-ROW(AJ$15),0),0)</f>
        <v>0</v>
      </c>
      <c r="AK487" s="632">
        <f ca="1">IF(AND($D487="Serviço",AK$12&lt;&gt;0,$H487&gt;0,OR(AUTOEVENTO&lt;&gt;"manual",$M487&lt;&gt;1)),ROUND(OFFSET($P487,0,AK$13),15-13*ORÇAMENTO!$AF$7)/$H487*OFFSET(ORÇAMENTO!$X$15,ROW(AK487)-ROW(AK$15),0),0)</f>
        <v>0</v>
      </c>
      <c r="AL487" s="632">
        <f ca="1">IF(AND($D487="Serviço",AL$12&lt;&gt;0,$H487&gt;0,OR(AUTOEVENTO&lt;&gt;"manual",$M487&lt;&gt;1)),ROUND(OFFSET($P487,0,AL$13),15-13*ORÇAMENTO!$AF$7)/$H487*OFFSET(ORÇAMENTO!$X$15,ROW(AL487)-ROW(AL$15),0),0)</f>
        <v>0</v>
      </c>
      <c r="AM487" s="632">
        <f ca="1">IF(AND($D487="Serviço",AM$12&lt;&gt;0,$H487&gt;0,OR(AUTOEVENTO&lt;&gt;"manual",$M487&lt;&gt;1)),ROUND(OFFSET($P487,0,AM$13),15-13*ORÇAMENTO!$AF$7)/$H487*OFFSET(ORÇAMENTO!$X$15,ROW(AM487)-ROW(AM$15),0),0)</f>
        <v>0</v>
      </c>
      <c r="AN487" s="632">
        <f ca="1">IF(AND($D487="Serviço",AN$12&lt;&gt;0,$H487&gt;0,OR(AUTOEVENTO&lt;&gt;"manual",$M487&lt;&gt;1)),ROUND(OFFSET($P487,0,AN$13),15-13*ORÇAMENTO!$AF$7)/$H487*OFFSET(ORÇAMENTO!$X$15,ROW(AN487)-ROW(AN$15),0),0)</f>
        <v>0</v>
      </c>
      <c r="AO487" s="632">
        <f ca="1">IF(AND($D487="Serviço",AO$12&lt;&gt;0,$H487&gt;0,OR(AUTOEVENTO&lt;&gt;"manual",$M487&lt;&gt;1)),ROUND(OFFSET($P487,0,AO$13),15-13*ORÇAMENTO!$AF$7)/$H487*OFFSET(ORÇAMENTO!$X$15,ROW(AO487)-ROW(AO$15),0),0)</f>
        <v>0</v>
      </c>
      <c r="AP487" s="632">
        <f ca="1">IF(AND($D487="Serviço",AP$12&lt;&gt;0,$H487&gt;0,OR(AUTOEVENTO&lt;&gt;"manual",$M487&lt;&gt;1)),ROUND(OFFSET($P487,0,AP$13),15-13*ORÇAMENTO!$AF$7)/$H487*OFFSET(ORÇAMENTO!$X$15,ROW(AP487)-ROW(AP$15),0),0)</f>
        <v>0</v>
      </c>
      <c r="AQ487" s="632">
        <f ca="1">IF(AND($D487="Serviço",AQ$12&lt;&gt;0,$H487&gt;0,OR(AUTOEVENTO&lt;&gt;"manual",$M487&lt;&gt;1)),ROUND(OFFSET($P487,0,AQ$13),15-13*ORÇAMENTO!$AF$7)/$H487*OFFSET(ORÇAMENTO!$X$15,ROW(AQ487)-ROW(AQ$15),0),0)</f>
        <v>0</v>
      </c>
      <c r="AR487" s="632">
        <f ca="1">IF(AND($D487="Serviço",AR$12&lt;&gt;0,$H487&gt;0,OR(AUTOEVENTO&lt;&gt;"manual",$M487&lt;&gt;1)),ROUND(OFFSET($P487,0,AR$13),15-13*ORÇAMENTO!$AF$7)/$H487*OFFSET(ORÇAMENTO!$X$15,ROW(AR487)-ROW(AR$15),0),0)</f>
        <v>0</v>
      </c>
      <c r="AS487" s="633">
        <f ca="1">IF(AND($D487="Serviço",AS$12&lt;&gt;0,$H487&gt;0,OR(AUTOEVENTO&lt;&gt;"manual",$M487&lt;&gt;1)),ROUND(OFFSET($P487,0,AS$13),15-13*ORÇAMENTO!$AF$7)/$H487*OFFSET(ORÇAMENTO!$X$15,ROW(AS487)-ROW(AS$15),0),0)</f>
        <v>0</v>
      </c>
      <c r="AT487" s="632">
        <f ca="1">IF(AND($D487="Serviço",AT$12&lt;&gt;0,$H487&gt;0,OR(AUTOEVENTO&lt;&gt;"manual",$M487&lt;&gt;1)),ROUND(OFFSET($P487,0,AT$13),15-13*ORÇAMENTO!$AF$7)/$H487*OFFSET(ORÇAMENTO!$X$15,ROW(AT487)-ROW(AT$15),0),0)</f>
        <v>0</v>
      </c>
      <c r="AU487" s="632">
        <f ca="1">IF(AND($D487="Serviço",AU$12&lt;&gt;0,$H487&gt;0,OR(AUTOEVENTO&lt;&gt;"manual",$M487&lt;&gt;1)),ROUND(OFFSET($P487,0,AU$13),15-13*ORÇAMENTO!$AF$7)/$H487*OFFSET(ORÇAMENTO!$X$15,ROW(AU487)-ROW(AU$15),0),0)</f>
        <v>0</v>
      </c>
      <c r="AV487" s="632">
        <f ca="1">IF(AND($D487="Serviço",AV$12&lt;&gt;0,$H487&gt;0,OR(AUTOEVENTO&lt;&gt;"manual",$M487&lt;&gt;1)),ROUND(OFFSET($P487,0,AV$13),15-13*ORÇAMENTO!$AF$7)/$H487*OFFSET(ORÇAMENTO!$X$15,ROW(AV487)-ROW(AV$15),0),0)</f>
        <v>0</v>
      </c>
      <c r="AW487" s="632">
        <f ca="1">IF(AND($D487="Serviço",AW$12&lt;&gt;0,$H487&gt;0,OR(AUTOEVENTO&lt;&gt;"manual",$M487&lt;&gt;1)),ROUND(OFFSET($P487,0,AW$13),15-13*ORÇAMENTO!$AF$7)/$H487*OFFSET(ORÇAMENTO!$X$15,ROW(AW487)-ROW(AW$15),0),0)</f>
        <v>0</v>
      </c>
      <c r="AX487" s="632">
        <f ca="1">IF(AND($D487="Serviço",AX$12&lt;&gt;0,$H487&gt;0,OR(AUTOEVENTO&lt;&gt;"manual",$M487&lt;&gt;1)),ROUND(OFFSET($P487,0,AX$13),15-13*ORÇAMENTO!$AF$7)/$H487*OFFSET(ORÇAMENTO!$X$15,ROW(AX487)-ROW(AX$15),0),0)</f>
        <v>0</v>
      </c>
      <c r="AY487" s="632">
        <f ca="1">IF(AND($D487="Serviço",AY$12&lt;&gt;0,$H487&gt;0,OR(AUTOEVENTO&lt;&gt;"manual",$M487&lt;&gt;1)),ROUND(OFFSET($P487,0,AY$13),15-13*ORÇAMENTO!$AF$7)/$H487*OFFSET(ORÇAMENTO!$X$15,ROW(AY487)-ROW(AY$15),0),0)</f>
        <v>0</v>
      </c>
      <c r="AZ487" s="632">
        <f ca="1">IF(AND($D487="Serviço",AZ$12&lt;&gt;0,$H487&gt;0,OR(AUTOEVENTO&lt;&gt;"manual",$M487&lt;&gt;1)),ROUND(OFFSET($P487,0,AZ$13),15-13*ORÇAMENTO!$AF$7)/$H487*OFFSET(ORÇAMENTO!$X$15,ROW(AZ487)-ROW(AZ$15),0),0)</f>
        <v>0</v>
      </c>
      <c r="BA487" s="633">
        <f ca="1">IF(AND($D487="Serviço",BA$12&lt;&gt;0,$H487&gt;0,OR(AUTOEVENTO&lt;&gt;"manual",$M487&lt;&gt;1)),ROUND(OFFSET($P487,0,BA$13),15-13*ORÇAMENTO!$AF$7)/$H487*OFFSET(ORÇAMENTO!$X$15,ROW(BA487)-ROW(BA$15),0),0)</f>
        <v>0</v>
      </c>
      <c r="BC487" s="215">
        <f ca="1">IF($D487&lt;&gt;"Serviço",0,IF(AND(AUTOEVENTO="Manual",$M487=1),0,IF(OFFSET(CRONOPLE!$F$14,$M487,BC$13)="",10^12,OFFSET(CRONOPLE!$F$14,$M487,BC$13))))</f>
        <v>1000000000000</v>
      </c>
      <c r="BD487" s="215">
        <f ca="1">IF($D487&lt;&gt;"Serviço",0,IF(AND(AUTOEVENTO="Manual",$M487=1),0,IF(OFFSET(CRONOPLE!$F$14,$M487,BD$13)="",10^12,OFFSET(CRONOPLE!$F$14,$M487,BD$13))))</f>
        <v>1000000000000</v>
      </c>
      <c r="BE487" s="215">
        <f ca="1">IF($D487&lt;&gt;"Serviço",0,IF(AND(AUTOEVENTO="Manual",$M487=1),0,IF(OFFSET(CRONOPLE!$F$14,$M487,BE$13)="",10^12,OFFSET(CRONOPLE!$F$14,$M487,BE$13))))</f>
        <v>1000000000000</v>
      </c>
      <c r="BF487" s="215">
        <f ca="1">IF($D487&lt;&gt;"Serviço",0,IF(AND(AUTOEVENTO="Manual",$M487=1),0,IF(OFFSET(CRONOPLE!$F$14,$M487,BF$13)="",10^12,OFFSET(CRONOPLE!$F$14,$M487,BF$13))))</f>
        <v>1000000000000</v>
      </c>
      <c r="BG487" s="215">
        <f ca="1">IF($D487&lt;&gt;"Serviço",0,IF(AND(AUTOEVENTO="Manual",$M487=1),0,IF(OFFSET(CRONOPLE!$F$14,$M487,BG$13)="",10^12,OFFSET(CRONOPLE!$F$14,$M487,BG$13))))</f>
        <v>1000000000000</v>
      </c>
      <c r="BH487" s="215">
        <f ca="1">IF($D487&lt;&gt;"Serviço",0,IF(AND(AUTOEVENTO="Manual",$M487=1),0,IF(OFFSET(CRONOPLE!$F$14,$M487,BH$13)="",10^12,OFFSET(CRONOPLE!$F$14,$M487,BH$13))))</f>
        <v>1000000000000</v>
      </c>
      <c r="BI487" s="215">
        <f ca="1">IF($D487&lt;&gt;"Serviço",0,IF(AND(AUTOEVENTO="Manual",$M487=1),0,IF(OFFSET(CRONOPLE!$F$14,$M487,BI$13)="",10^12,OFFSET(CRONOPLE!$F$14,$M487,BI$13))))</f>
        <v>1000000000000</v>
      </c>
      <c r="BJ487" s="215">
        <f ca="1">IF($D487&lt;&gt;"Serviço",0,IF(AND(AUTOEVENTO="Manual",$M487=1),0,IF(OFFSET(CRONOPLE!$F$14,$M487,BJ$13)="",10^12,OFFSET(CRONOPLE!$F$14,$M487,BJ$13))))</f>
        <v>1000000000000</v>
      </c>
      <c r="BK487" s="215">
        <f ca="1">IF($D487&lt;&gt;"Serviço",0,IF(AND(AUTOEVENTO="Manual",$M487=1),0,IF(OFFSET(CRONOPLE!$F$14,$M487,BK$13)="",10^12,OFFSET(CRONOPLE!$F$14,$M487,BK$13))))</f>
        <v>1000000000000</v>
      </c>
      <c r="BL487" s="215">
        <f ca="1">IF($D487&lt;&gt;"Serviço",0,IF(AND(AUTOEVENTO="Manual",$M487=1),0,IF(OFFSET(CRONOPLE!$F$14,$M487,BL$13)="",10^12,OFFSET(CRONOPLE!$F$14,$M487,BL$13))))</f>
        <v>1000000000000</v>
      </c>
      <c r="BM487" s="215">
        <f ca="1">IF($D487&lt;&gt;"Serviço",0,IF(AND(AUTOEVENTO="Manual",$M487=1),0,IF(OFFSET(CRONOPLE!$F$14,$M487,BM$13)="",10^12,OFFSET(CRONOPLE!$F$14,$M487,BM$13))))</f>
        <v>1000000000000</v>
      </c>
      <c r="BN487" s="215">
        <f ca="1">IF($D487&lt;&gt;"Serviço",0,IF(AND(AUTOEVENTO="Manual",$M487=1),0,IF(OFFSET(CRONOPLE!$F$14,$M487,BN$13)="",10^12,OFFSET(CRONOPLE!$F$14,$M487,BN$13))))</f>
        <v>1000000000000</v>
      </c>
      <c r="BO487" s="215">
        <f ca="1">IF($D487&lt;&gt;"Serviço",0,IF(AND(AUTOEVENTO="Manual",$M487=1),0,IF(OFFSET(CRONOPLE!$F$14,$M487,BO$13)="",10^12,OFFSET(CRONOPLE!$F$14,$M487,BO$13))))</f>
        <v>1000000000000</v>
      </c>
      <c r="BP487" s="215">
        <f ca="1">IF($D487&lt;&gt;"Serviço",0,IF(AND(AUTOEVENTO="Manual",$M487=1),0,IF(OFFSET(CRONOPLE!$F$14,$M487,BP$13)="",10^12,OFFSET(CRONOPLE!$F$14,$M487,BP$13))))</f>
        <v>1000000000000</v>
      </c>
      <c r="BQ487" s="215">
        <f ca="1">IF($D487&lt;&gt;"Serviço",0,IF(AND(AUTOEVENTO="Manual",$M487=1),0,IF(OFFSET(CRONOPLE!$F$14,$M487,BQ$13)="",10^12,OFFSET(CRONOPLE!$F$14,$M487,BQ$13))))</f>
        <v>1000000000000</v>
      </c>
      <c r="BR487" s="215">
        <f ca="1">IF($D487&lt;&gt;"Serviço",0,IF(AND(AUTOEVENTO="Manual",$M487=1),0,IF(OFFSET(CRONOPLE!$F$14,$M487,BR$13)="",10^12,OFFSET(CRONOPLE!$F$14,$M487,BR$13))))</f>
        <v>1000000000000</v>
      </c>
      <c r="BS487" s="215">
        <f ca="1">IF($D487&lt;&gt;"Serviço",0,IF(AND(AUTOEVENTO="Manual",$M487=1),0,IF(OFFSET(CRONOPLE!$F$14,$M487,BS$13)="",10^12,OFFSET(CRONOPLE!$F$14,$M487,BS$13))))</f>
        <v>1000000000000</v>
      </c>
      <c r="BT487" s="215">
        <f ca="1">IF($D487&lt;&gt;"Serviço",0,IF(AND(AUTOEVENTO="Manual",$M487=1),0,IF(OFFSET(CRONOPLE!$F$14,$M487,BT$13)="",10^12,OFFSET(CRONOPLE!$F$14,$M487,BT$13))))</f>
        <v>1000000000000</v>
      </c>
      <c r="BV487" s="216">
        <f ca="1">IF($D487&lt;&gt;"Serviço",0,IF(OR(AND(AUTOEVENTO="Manual",$M487=1),$M487&gt;(ROW(PLE.lastrow)-ROW(PLE.firstrow))),0,IF(OFFSET(PLE!$G$14,$M487,BV$13)="",10^12,OFFSET(PLE!$G$14,$M487,BV$13))))</f>
        <v>1000000000000</v>
      </c>
      <c r="BW487" s="216">
        <f ca="1">IF($D487&lt;&gt;"Serviço",0,IF(OR(AND(AUTOEVENTO="Manual",$M487=1),$M487&gt;(ROW(PLE.lastrow)-ROW(PLE.firstrow))),0,IF(OFFSET(PLE!$G$14,$M487,BW$13)="",10^12,OFFSET(PLE!$G$14,$M487,BW$13))))</f>
        <v>1000000000000</v>
      </c>
      <c r="BX487" s="216">
        <f ca="1">IF($D487&lt;&gt;"Serviço",0,IF(OR(AND(AUTOEVENTO="Manual",$M487=1),$M487&gt;(ROW(PLE.lastrow)-ROW(PLE.firstrow))),0,IF(OFFSET(PLE!$G$14,$M487,BX$13)="",10^12,OFFSET(PLE!$G$14,$M487,BX$13))))</f>
        <v>1000000000000</v>
      </c>
      <c r="BY487" s="216">
        <f ca="1">IF($D487&lt;&gt;"Serviço",0,IF(OR(AND(AUTOEVENTO="Manual",$M487=1),$M487&gt;(ROW(PLE.lastrow)-ROW(PLE.firstrow))),0,IF(OFFSET(PLE!$G$14,$M487,BY$13)="",10^12,OFFSET(PLE!$G$14,$M487,BY$13))))</f>
        <v>1000000000000</v>
      </c>
      <c r="BZ487" s="216">
        <f ca="1">IF($D487&lt;&gt;"Serviço",0,IF(OR(AND(AUTOEVENTO="Manual",$M487=1),$M487&gt;(ROW(PLE.lastrow)-ROW(PLE.firstrow))),0,IF(OFFSET(PLE!$G$14,$M487,BZ$13)="",10^12,OFFSET(PLE!$G$14,$M487,BZ$13))))</f>
        <v>1000000000000</v>
      </c>
      <c r="CA487" s="216">
        <f ca="1">IF($D487&lt;&gt;"Serviço",0,IF(OR(AND(AUTOEVENTO="Manual",$M487=1),$M487&gt;(ROW(PLE.lastrow)-ROW(PLE.firstrow))),0,IF(OFFSET(PLE!$G$14,$M487,CA$13)="",10^12,OFFSET(PLE!$G$14,$M487,CA$13))))</f>
        <v>1000000000000</v>
      </c>
      <c r="CB487" s="216">
        <f ca="1">IF($D487&lt;&gt;"Serviço",0,IF(OR(AND(AUTOEVENTO="Manual",$M487=1),$M487&gt;(ROW(PLE.lastrow)-ROW(PLE.firstrow))),0,IF(OFFSET(PLE!$G$14,$M487,CB$13)="",10^12,OFFSET(PLE!$G$14,$M487,CB$13))))</f>
        <v>1000000000000</v>
      </c>
      <c r="CC487" s="216">
        <f ca="1">IF($D487&lt;&gt;"Serviço",0,IF(OR(AND(AUTOEVENTO="Manual",$M487=1),$M487&gt;(ROW(PLE.lastrow)-ROW(PLE.firstrow))),0,IF(OFFSET(PLE!$G$14,$M487,CC$13)="",10^12,OFFSET(PLE!$G$14,$M487,CC$13))))</f>
        <v>1000000000000</v>
      </c>
      <c r="CD487" s="216">
        <f ca="1">IF($D487&lt;&gt;"Serviço",0,IF(OR(AND(AUTOEVENTO="Manual",$M487=1),$M487&gt;(ROW(PLE.lastrow)-ROW(PLE.firstrow))),0,IF(OFFSET(PLE!$G$14,$M487,CD$13)="",10^12,OFFSET(PLE!$G$14,$M487,CD$13))))</f>
        <v>1000000000000</v>
      </c>
      <c r="CE487" s="216">
        <f ca="1">IF($D487&lt;&gt;"Serviço",0,IF(OR(AND(AUTOEVENTO="Manual",$M487=1),$M487&gt;(ROW(PLE.lastrow)-ROW(PLE.firstrow))),0,IF(OFFSET(PLE!$G$14,$M487,CE$13)="",10^12,OFFSET(PLE!$G$14,$M487,CE$13))))</f>
        <v>1000000000000</v>
      </c>
      <c r="CF487" s="216">
        <f ca="1">IF($D487&lt;&gt;"Serviço",0,IF(OR(AND(AUTOEVENTO="Manual",$M487=1),$M487&gt;(ROW(PLE.lastrow)-ROW(PLE.firstrow))),0,IF(OFFSET(PLE!$G$14,$M487,CF$13)="",10^12,OFFSET(PLE!$G$14,$M487,CF$13))))</f>
        <v>1000000000000</v>
      </c>
      <c r="CG487" s="216">
        <f ca="1">IF($D487&lt;&gt;"Serviço",0,IF(OR(AND(AUTOEVENTO="Manual",$M487=1),$M487&gt;(ROW(PLE.lastrow)-ROW(PLE.firstrow))),0,IF(OFFSET(PLE!$G$14,$M487,CG$13)="",10^12,OFFSET(PLE!$G$14,$M487,CG$13))))</f>
        <v>1000000000000</v>
      </c>
      <c r="CH487" s="216">
        <f ca="1">IF($D487&lt;&gt;"Serviço",0,IF(OR(AND(AUTOEVENTO="Manual",$M487=1),$M487&gt;(ROW(PLE.lastrow)-ROW(PLE.firstrow))),0,IF(OFFSET(PLE!$G$14,$M487,CH$13)="",10^12,OFFSET(PLE!$G$14,$M487,CH$13))))</f>
        <v>1000000000000</v>
      </c>
      <c r="CI487" s="216">
        <f ca="1">IF($D487&lt;&gt;"Serviço",0,IF(OR(AND(AUTOEVENTO="Manual",$M487=1),$M487&gt;(ROW(PLE.lastrow)-ROW(PLE.firstrow))),0,IF(OFFSET(PLE!$G$14,$M487,CI$13)="",10^12,OFFSET(PLE!$G$14,$M487,CI$13))))</f>
        <v>1000000000000</v>
      </c>
      <c r="CJ487" s="216">
        <f ca="1">IF($D487&lt;&gt;"Serviço",0,IF(OR(AND(AUTOEVENTO="Manual",$M487=1),$M487&gt;(ROW(PLE.lastrow)-ROW(PLE.firstrow))),0,IF(OFFSET(PLE!$G$14,$M487,CJ$13)="",10^12,OFFSET(PLE!$G$14,$M487,CJ$13))))</f>
        <v>1000000000000</v>
      </c>
      <c r="CK487" s="216">
        <f ca="1">IF($D487&lt;&gt;"Serviço",0,IF(OR(AND(AUTOEVENTO="Manual",$M487=1),$M487&gt;(ROW(PLE.lastrow)-ROW(PLE.firstrow))),0,IF(OFFSET(PLE!$G$14,$M487,CK$13)="",10^12,OFFSET(PLE!$G$14,$M487,CK$13))))</f>
        <v>1000000000000</v>
      </c>
      <c r="CL487" s="216">
        <f ca="1">IF($D487&lt;&gt;"Serviço",0,IF(OR(AND(AUTOEVENTO="Manual",$M487=1),$M487&gt;(ROW(PLE.lastrow)-ROW(PLE.firstrow))),0,IF(OFFSET(PLE!$G$14,$M487,CL$13)="",10^12,OFFSET(PLE!$G$14,$M487,CL$13))))</f>
        <v>1000000000000</v>
      </c>
      <c r="CM487" s="216">
        <f ca="1">IF($D487&lt;&gt;"Serviço",0,IF(OR(AND(AUTOEVENTO="Manual",$M487=1),$M487&gt;(ROW(PLE.lastrow)-ROW(PLE.firstrow))),0,IF(OFFSET(PLE!$G$14,$M487,CM$13)="",10^12,OFFSET(PLE!$G$14,$M487,CM$13))))</f>
        <v>1000000000000</v>
      </c>
    </row>
    <row r="488" spans="1:91" ht="13.2" x14ac:dyDescent="0.25">
      <c r="A488" s="9">
        <f t="shared" ca="1" si="16"/>
        <v>0</v>
      </c>
      <c r="B488" s="9" t="str">
        <f ca="1">OFFSET(ORÇAMENTO!C$15,ROW(B488)-ROW(B$15),0)</f>
        <v>S</v>
      </c>
      <c r="C488" s="9" t="str">
        <f ca="1">OFFSET(ORÇAMENTO!L$15,ROW(C488)-ROW(C$15),0)</f>
        <v/>
      </c>
      <c r="D488" s="145" t="str">
        <f ca="1">OFFSET(ORÇAMENTO!N$15,ROW(D488)-ROW(D$15),0)</f>
        <v>Serviço</v>
      </c>
      <c r="E488" s="205" t="str">
        <f ca="1">OFFSET(ORÇAMENTO!O$15,ROW(E488)-ROW(E$15),0)</f>
        <v>-</v>
      </c>
      <c r="F488" s="206" t="str">
        <f ca="1">OFFSET(ORÇAMENTO!R$15,ROW(F488)-ROW(F$15),0)</f>
        <v>(abra o arquivo 'Referência 05-2024.xls)</v>
      </c>
      <c r="G488" s="207" t="str">
        <f ca="1">IF($D488&lt;&gt;"Serviço","",OFFSET(ORÇAMENTO!S$15,ROW(G488)-ROW(G$15),0))</f>
        <v>-</v>
      </c>
      <c r="H488" s="151">
        <f ca="1">IF($D488&lt;&gt;"Serviço",0,IF(ACOMPANHAMENTO="BM",ROUND(OFFSET(ORÇAMENTO!AJ$15,ROW(H488)-ROW(H$15),0),15-13*ORÇAMENTO!$AF$7),SUMPRODUCT(($Q$12:$AI$12&lt;&gt;"")*ROUND($Q488:$AI488,15-13*ORÇAMENTO!$AF$7))))</f>
        <v>1</v>
      </c>
      <c r="I488" s="650"/>
      <c r="K488" s="208"/>
      <c r="L488" s="209" t="s">
        <v>257</v>
      </c>
      <c r="M488" s="210">
        <f ca="1">IF($D488&lt;&gt;"Serviço","",IF(AUTOEVENTO="manual",$A488,IF(ISERROR(MATCH($A488,$A$15:OFFSET($A488,-1,0),0)),MAX($M$15:OFFSET(M488,-1,0))+1,INDEX($M$15:OFFSET(M488,-1,0),MATCH($A488,$A$15:OFFSET($A488,-1,0),0)))))</f>
        <v>0</v>
      </c>
      <c r="N488" s="211" t="str">
        <f ca="1">IF($D488&lt;&gt;"Serviço","",IF(AUTOEVENTO="Manual",IF($A488=0,"&lt;-- defina o número do agrupador",OFFSET(EVENTOS!$D$14,$A488,0)),OFFSET($F$15,$A488,0)))</f>
        <v>&lt;-- defina o número do agrupador</v>
      </c>
      <c r="O488" s="212"/>
      <c r="Q488" s="212"/>
      <c r="R488" s="213"/>
      <c r="S488" s="213"/>
      <c r="T488" s="213"/>
      <c r="U488" s="213"/>
      <c r="V488" s="213"/>
      <c r="W488" s="213"/>
      <c r="X488" s="213"/>
      <c r="Y488" s="213"/>
      <c r="Z488" s="214"/>
      <c r="AA488" s="213"/>
      <c r="AB488" s="213"/>
      <c r="AC488" s="213"/>
      <c r="AD488" s="213"/>
      <c r="AE488" s="213"/>
      <c r="AF488" s="213"/>
      <c r="AG488" s="213"/>
      <c r="AH488" s="214"/>
      <c r="AJ488" s="631">
        <f ca="1">IF(AND($D488="Serviço",AJ$12&lt;&gt;0,$H488&gt;0,OR(AUTOEVENTO&lt;&gt;"manual",$M488&lt;&gt;1)),ROUND(OFFSET($P488,0,AJ$13),15-13*ORÇAMENTO!$AF$7)/$H488*OFFSET(ORÇAMENTO!$X$15,ROW(AJ488)-ROW(AJ$15),0),0)</f>
        <v>0</v>
      </c>
      <c r="AK488" s="632">
        <f ca="1">IF(AND($D488="Serviço",AK$12&lt;&gt;0,$H488&gt;0,OR(AUTOEVENTO&lt;&gt;"manual",$M488&lt;&gt;1)),ROUND(OFFSET($P488,0,AK$13),15-13*ORÇAMENTO!$AF$7)/$H488*OFFSET(ORÇAMENTO!$X$15,ROW(AK488)-ROW(AK$15),0),0)</f>
        <v>0</v>
      </c>
      <c r="AL488" s="632">
        <f ca="1">IF(AND($D488="Serviço",AL$12&lt;&gt;0,$H488&gt;0,OR(AUTOEVENTO&lt;&gt;"manual",$M488&lt;&gt;1)),ROUND(OFFSET($P488,0,AL$13),15-13*ORÇAMENTO!$AF$7)/$H488*OFFSET(ORÇAMENTO!$X$15,ROW(AL488)-ROW(AL$15),0),0)</f>
        <v>0</v>
      </c>
      <c r="AM488" s="632">
        <f ca="1">IF(AND($D488="Serviço",AM$12&lt;&gt;0,$H488&gt;0,OR(AUTOEVENTO&lt;&gt;"manual",$M488&lt;&gt;1)),ROUND(OFFSET($P488,0,AM$13),15-13*ORÇAMENTO!$AF$7)/$H488*OFFSET(ORÇAMENTO!$X$15,ROW(AM488)-ROW(AM$15),0),0)</f>
        <v>0</v>
      </c>
      <c r="AN488" s="632">
        <f ca="1">IF(AND($D488="Serviço",AN$12&lt;&gt;0,$H488&gt;0,OR(AUTOEVENTO&lt;&gt;"manual",$M488&lt;&gt;1)),ROUND(OFFSET($P488,0,AN$13),15-13*ORÇAMENTO!$AF$7)/$H488*OFFSET(ORÇAMENTO!$X$15,ROW(AN488)-ROW(AN$15),0),0)</f>
        <v>0</v>
      </c>
      <c r="AO488" s="632">
        <f ca="1">IF(AND($D488="Serviço",AO$12&lt;&gt;0,$H488&gt;0,OR(AUTOEVENTO&lt;&gt;"manual",$M488&lt;&gt;1)),ROUND(OFFSET($P488,0,AO$13),15-13*ORÇAMENTO!$AF$7)/$H488*OFFSET(ORÇAMENTO!$X$15,ROW(AO488)-ROW(AO$15),0),0)</f>
        <v>0</v>
      </c>
      <c r="AP488" s="632">
        <f ca="1">IF(AND($D488="Serviço",AP$12&lt;&gt;0,$H488&gt;0,OR(AUTOEVENTO&lt;&gt;"manual",$M488&lt;&gt;1)),ROUND(OFFSET($P488,0,AP$13),15-13*ORÇAMENTO!$AF$7)/$H488*OFFSET(ORÇAMENTO!$X$15,ROW(AP488)-ROW(AP$15),0),0)</f>
        <v>0</v>
      </c>
      <c r="AQ488" s="632">
        <f ca="1">IF(AND($D488="Serviço",AQ$12&lt;&gt;0,$H488&gt;0,OR(AUTOEVENTO&lt;&gt;"manual",$M488&lt;&gt;1)),ROUND(OFFSET($P488,0,AQ$13),15-13*ORÇAMENTO!$AF$7)/$H488*OFFSET(ORÇAMENTO!$X$15,ROW(AQ488)-ROW(AQ$15),0),0)</f>
        <v>0</v>
      </c>
      <c r="AR488" s="632">
        <f ca="1">IF(AND($D488="Serviço",AR$12&lt;&gt;0,$H488&gt;0,OR(AUTOEVENTO&lt;&gt;"manual",$M488&lt;&gt;1)),ROUND(OFFSET($P488,0,AR$13),15-13*ORÇAMENTO!$AF$7)/$H488*OFFSET(ORÇAMENTO!$X$15,ROW(AR488)-ROW(AR$15),0),0)</f>
        <v>0</v>
      </c>
      <c r="AS488" s="633">
        <f ca="1">IF(AND($D488="Serviço",AS$12&lt;&gt;0,$H488&gt;0,OR(AUTOEVENTO&lt;&gt;"manual",$M488&lt;&gt;1)),ROUND(OFFSET($P488,0,AS$13),15-13*ORÇAMENTO!$AF$7)/$H488*OFFSET(ORÇAMENTO!$X$15,ROW(AS488)-ROW(AS$15),0),0)</f>
        <v>0</v>
      </c>
      <c r="AT488" s="632">
        <f ca="1">IF(AND($D488="Serviço",AT$12&lt;&gt;0,$H488&gt;0,OR(AUTOEVENTO&lt;&gt;"manual",$M488&lt;&gt;1)),ROUND(OFFSET($P488,0,AT$13),15-13*ORÇAMENTO!$AF$7)/$H488*OFFSET(ORÇAMENTO!$X$15,ROW(AT488)-ROW(AT$15),0),0)</f>
        <v>0</v>
      </c>
      <c r="AU488" s="632">
        <f ca="1">IF(AND($D488="Serviço",AU$12&lt;&gt;0,$H488&gt;0,OR(AUTOEVENTO&lt;&gt;"manual",$M488&lt;&gt;1)),ROUND(OFFSET($P488,0,AU$13),15-13*ORÇAMENTO!$AF$7)/$H488*OFFSET(ORÇAMENTO!$X$15,ROW(AU488)-ROW(AU$15),0),0)</f>
        <v>0</v>
      </c>
      <c r="AV488" s="632">
        <f ca="1">IF(AND($D488="Serviço",AV$12&lt;&gt;0,$H488&gt;0,OR(AUTOEVENTO&lt;&gt;"manual",$M488&lt;&gt;1)),ROUND(OFFSET($P488,0,AV$13),15-13*ORÇAMENTO!$AF$7)/$H488*OFFSET(ORÇAMENTO!$X$15,ROW(AV488)-ROW(AV$15),0),0)</f>
        <v>0</v>
      </c>
      <c r="AW488" s="632">
        <f ca="1">IF(AND($D488="Serviço",AW$12&lt;&gt;0,$H488&gt;0,OR(AUTOEVENTO&lt;&gt;"manual",$M488&lt;&gt;1)),ROUND(OFFSET($P488,0,AW$13),15-13*ORÇAMENTO!$AF$7)/$H488*OFFSET(ORÇAMENTO!$X$15,ROW(AW488)-ROW(AW$15),0),0)</f>
        <v>0</v>
      </c>
      <c r="AX488" s="632">
        <f ca="1">IF(AND($D488="Serviço",AX$12&lt;&gt;0,$H488&gt;0,OR(AUTOEVENTO&lt;&gt;"manual",$M488&lt;&gt;1)),ROUND(OFFSET($P488,0,AX$13),15-13*ORÇAMENTO!$AF$7)/$H488*OFFSET(ORÇAMENTO!$X$15,ROW(AX488)-ROW(AX$15),0),0)</f>
        <v>0</v>
      </c>
      <c r="AY488" s="632">
        <f ca="1">IF(AND($D488="Serviço",AY$12&lt;&gt;0,$H488&gt;0,OR(AUTOEVENTO&lt;&gt;"manual",$M488&lt;&gt;1)),ROUND(OFFSET($P488,0,AY$13),15-13*ORÇAMENTO!$AF$7)/$H488*OFFSET(ORÇAMENTO!$X$15,ROW(AY488)-ROW(AY$15),0),0)</f>
        <v>0</v>
      </c>
      <c r="AZ488" s="632">
        <f ca="1">IF(AND($D488="Serviço",AZ$12&lt;&gt;0,$H488&gt;0,OR(AUTOEVENTO&lt;&gt;"manual",$M488&lt;&gt;1)),ROUND(OFFSET($P488,0,AZ$13),15-13*ORÇAMENTO!$AF$7)/$H488*OFFSET(ORÇAMENTO!$X$15,ROW(AZ488)-ROW(AZ$15),0),0)</f>
        <v>0</v>
      </c>
      <c r="BA488" s="633">
        <f ca="1">IF(AND($D488="Serviço",BA$12&lt;&gt;0,$H488&gt;0,OR(AUTOEVENTO&lt;&gt;"manual",$M488&lt;&gt;1)),ROUND(OFFSET($P488,0,BA$13),15-13*ORÇAMENTO!$AF$7)/$H488*OFFSET(ORÇAMENTO!$X$15,ROW(BA488)-ROW(BA$15),0),0)</f>
        <v>0</v>
      </c>
      <c r="BC488" s="215">
        <f ca="1">IF($D488&lt;&gt;"Serviço",0,IF(AND(AUTOEVENTO="Manual",$M488=1),0,IF(OFFSET(CRONOPLE!$F$14,$M488,BC$13)="",10^12,OFFSET(CRONOPLE!$F$14,$M488,BC$13))))</f>
        <v>1000000000000</v>
      </c>
      <c r="BD488" s="215">
        <f ca="1">IF($D488&lt;&gt;"Serviço",0,IF(AND(AUTOEVENTO="Manual",$M488=1),0,IF(OFFSET(CRONOPLE!$F$14,$M488,BD$13)="",10^12,OFFSET(CRONOPLE!$F$14,$M488,BD$13))))</f>
        <v>1000000000000</v>
      </c>
      <c r="BE488" s="215">
        <f ca="1">IF($D488&lt;&gt;"Serviço",0,IF(AND(AUTOEVENTO="Manual",$M488=1),0,IF(OFFSET(CRONOPLE!$F$14,$M488,BE$13)="",10^12,OFFSET(CRONOPLE!$F$14,$M488,BE$13))))</f>
        <v>1000000000000</v>
      </c>
      <c r="BF488" s="215">
        <f ca="1">IF($D488&lt;&gt;"Serviço",0,IF(AND(AUTOEVENTO="Manual",$M488=1),0,IF(OFFSET(CRONOPLE!$F$14,$M488,BF$13)="",10^12,OFFSET(CRONOPLE!$F$14,$M488,BF$13))))</f>
        <v>1000000000000</v>
      </c>
      <c r="BG488" s="215">
        <f ca="1">IF($D488&lt;&gt;"Serviço",0,IF(AND(AUTOEVENTO="Manual",$M488=1),0,IF(OFFSET(CRONOPLE!$F$14,$M488,BG$13)="",10^12,OFFSET(CRONOPLE!$F$14,$M488,BG$13))))</f>
        <v>1000000000000</v>
      </c>
      <c r="BH488" s="215">
        <f ca="1">IF($D488&lt;&gt;"Serviço",0,IF(AND(AUTOEVENTO="Manual",$M488=1),0,IF(OFFSET(CRONOPLE!$F$14,$M488,BH$13)="",10^12,OFFSET(CRONOPLE!$F$14,$M488,BH$13))))</f>
        <v>1000000000000</v>
      </c>
      <c r="BI488" s="215">
        <f ca="1">IF($D488&lt;&gt;"Serviço",0,IF(AND(AUTOEVENTO="Manual",$M488=1),0,IF(OFFSET(CRONOPLE!$F$14,$M488,BI$13)="",10^12,OFFSET(CRONOPLE!$F$14,$M488,BI$13))))</f>
        <v>1000000000000</v>
      </c>
      <c r="BJ488" s="215">
        <f ca="1">IF($D488&lt;&gt;"Serviço",0,IF(AND(AUTOEVENTO="Manual",$M488=1),0,IF(OFFSET(CRONOPLE!$F$14,$M488,BJ$13)="",10^12,OFFSET(CRONOPLE!$F$14,$M488,BJ$13))))</f>
        <v>1000000000000</v>
      </c>
      <c r="BK488" s="215">
        <f ca="1">IF($D488&lt;&gt;"Serviço",0,IF(AND(AUTOEVENTO="Manual",$M488=1),0,IF(OFFSET(CRONOPLE!$F$14,$M488,BK$13)="",10^12,OFFSET(CRONOPLE!$F$14,$M488,BK$13))))</f>
        <v>1000000000000</v>
      </c>
      <c r="BL488" s="215">
        <f ca="1">IF($D488&lt;&gt;"Serviço",0,IF(AND(AUTOEVENTO="Manual",$M488=1),0,IF(OFFSET(CRONOPLE!$F$14,$M488,BL$13)="",10^12,OFFSET(CRONOPLE!$F$14,$M488,BL$13))))</f>
        <v>1000000000000</v>
      </c>
      <c r="BM488" s="215">
        <f ca="1">IF($D488&lt;&gt;"Serviço",0,IF(AND(AUTOEVENTO="Manual",$M488=1),0,IF(OFFSET(CRONOPLE!$F$14,$M488,BM$13)="",10^12,OFFSET(CRONOPLE!$F$14,$M488,BM$13))))</f>
        <v>1000000000000</v>
      </c>
      <c r="BN488" s="215">
        <f ca="1">IF($D488&lt;&gt;"Serviço",0,IF(AND(AUTOEVENTO="Manual",$M488=1),0,IF(OFFSET(CRONOPLE!$F$14,$M488,BN$13)="",10^12,OFFSET(CRONOPLE!$F$14,$M488,BN$13))))</f>
        <v>1000000000000</v>
      </c>
      <c r="BO488" s="215">
        <f ca="1">IF($D488&lt;&gt;"Serviço",0,IF(AND(AUTOEVENTO="Manual",$M488=1),0,IF(OFFSET(CRONOPLE!$F$14,$M488,BO$13)="",10^12,OFFSET(CRONOPLE!$F$14,$M488,BO$13))))</f>
        <v>1000000000000</v>
      </c>
      <c r="BP488" s="215">
        <f ca="1">IF($D488&lt;&gt;"Serviço",0,IF(AND(AUTOEVENTO="Manual",$M488=1),0,IF(OFFSET(CRONOPLE!$F$14,$M488,BP$13)="",10^12,OFFSET(CRONOPLE!$F$14,$M488,BP$13))))</f>
        <v>1000000000000</v>
      </c>
      <c r="BQ488" s="215">
        <f ca="1">IF($D488&lt;&gt;"Serviço",0,IF(AND(AUTOEVENTO="Manual",$M488=1),0,IF(OFFSET(CRONOPLE!$F$14,$M488,BQ$13)="",10^12,OFFSET(CRONOPLE!$F$14,$M488,BQ$13))))</f>
        <v>1000000000000</v>
      </c>
      <c r="BR488" s="215">
        <f ca="1">IF($D488&lt;&gt;"Serviço",0,IF(AND(AUTOEVENTO="Manual",$M488=1),0,IF(OFFSET(CRONOPLE!$F$14,$M488,BR$13)="",10^12,OFFSET(CRONOPLE!$F$14,$M488,BR$13))))</f>
        <v>1000000000000</v>
      </c>
      <c r="BS488" s="215">
        <f ca="1">IF($D488&lt;&gt;"Serviço",0,IF(AND(AUTOEVENTO="Manual",$M488=1),0,IF(OFFSET(CRONOPLE!$F$14,$M488,BS$13)="",10^12,OFFSET(CRONOPLE!$F$14,$M488,BS$13))))</f>
        <v>1000000000000</v>
      </c>
      <c r="BT488" s="215">
        <f ca="1">IF($D488&lt;&gt;"Serviço",0,IF(AND(AUTOEVENTO="Manual",$M488=1),0,IF(OFFSET(CRONOPLE!$F$14,$M488,BT$13)="",10^12,OFFSET(CRONOPLE!$F$14,$M488,BT$13))))</f>
        <v>1000000000000</v>
      </c>
      <c r="BV488" s="216">
        <f ca="1">IF($D488&lt;&gt;"Serviço",0,IF(OR(AND(AUTOEVENTO="Manual",$M488=1),$M488&gt;(ROW(PLE.lastrow)-ROW(PLE.firstrow))),0,IF(OFFSET(PLE!$G$14,$M488,BV$13)="",10^12,OFFSET(PLE!$G$14,$M488,BV$13))))</f>
        <v>1000000000000</v>
      </c>
      <c r="BW488" s="216">
        <f ca="1">IF($D488&lt;&gt;"Serviço",0,IF(OR(AND(AUTOEVENTO="Manual",$M488=1),$M488&gt;(ROW(PLE.lastrow)-ROW(PLE.firstrow))),0,IF(OFFSET(PLE!$G$14,$M488,BW$13)="",10^12,OFFSET(PLE!$G$14,$M488,BW$13))))</f>
        <v>1000000000000</v>
      </c>
      <c r="BX488" s="216">
        <f ca="1">IF($D488&lt;&gt;"Serviço",0,IF(OR(AND(AUTOEVENTO="Manual",$M488=1),$M488&gt;(ROW(PLE.lastrow)-ROW(PLE.firstrow))),0,IF(OFFSET(PLE!$G$14,$M488,BX$13)="",10^12,OFFSET(PLE!$G$14,$M488,BX$13))))</f>
        <v>1000000000000</v>
      </c>
      <c r="BY488" s="216">
        <f ca="1">IF($D488&lt;&gt;"Serviço",0,IF(OR(AND(AUTOEVENTO="Manual",$M488=1),$M488&gt;(ROW(PLE.lastrow)-ROW(PLE.firstrow))),0,IF(OFFSET(PLE!$G$14,$M488,BY$13)="",10^12,OFFSET(PLE!$G$14,$M488,BY$13))))</f>
        <v>1000000000000</v>
      </c>
      <c r="BZ488" s="216">
        <f ca="1">IF($D488&lt;&gt;"Serviço",0,IF(OR(AND(AUTOEVENTO="Manual",$M488=1),$M488&gt;(ROW(PLE.lastrow)-ROW(PLE.firstrow))),0,IF(OFFSET(PLE!$G$14,$M488,BZ$13)="",10^12,OFFSET(PLE!$G$14,$M488,BZ$13))))</f>
        <v>1000000000000</v>
      </c>
      <c r="CA488" s="216">
        <f ca="1">IF($D488&lt;&gt;"Serviço",0,IF(OR(AND(AUTOEVENTO="Manual",$M488=1),$M488&gt;(ROW(PLE.lastrow)-ROW(PLE.firstrow))),0,IF(OFFSET(PLE!$G$14,$M488,CA$13)="",10^12,OFFSET(PLE!$G$14,$M488,CA$13))))</f>
        <v>1000000000000</v>
      </c>
      <c r="CB488" s="216">
        <f ca="1">IF($D488&lt;&gt;"Serviço",0,IF(OR(AND(AUTOEVENTO="Manual",$M488=1),$M488&gt;(ROW(PLE.lastrow)-ROW(PLE.firstrow))),0,IF(OFFSET(PLE!$G$14,$M488,CB$13)="",10^12,OFFSET(PLE!$G$14,$M488,CB$13))))</f>
        <v>1000000000000</v>
      </c>
      <c r="CC488" s="216">
        <f ca="1">IF($D488&lt;&gt;"Serviço",0,IF(OR(AND(AUTOEVENTO="Manual",$M488=1),$M488&gt;(ROW(PLE.lastrow)-ROW(PLE.firstrow))),0,IF(OFFSET(PLE!$G$14,$M488,CC$13)="",10^12,OFFSET(PLE!$G$14,$M488,CC$13))))</f>
        <v>1000000000000</v>
      </c>
      <c r="CD488" s="216">
        <f ca="1">IF($D488&lt;&gt;"Serviço",0,IF(OR(AND(AUTOEVENTO="Manual",$M488=1),$M488&gt;(ROW(PLE.lastrow)-ROW(PLE.firstrow))),0,IF(OFFSET(PLE!$G$14,$M488,CD$13)="",10^12,OFFSET(PLE!$G$14,$M488,CD$13))))</f>
        <v>1000000000000</v>
      </c>
      <c r="CE488" s="216">
        <f ca="1">IF($D488&lt;&gt;"Serviço",0,IF(OR(AND(AUTOEVENTO="Manual",$M488=1),$M488&gt;(ROW(PLE.lastrow)-ROW(PLE.firstrow))),0,IF(OFFSET(PLE!$G$14,$M488,CE$13)="",10^12,OFFSET(PLE!$G$14,$M488,CE$13))))</f>
        <v>1000000000000</v>
      </c>
      <c r="CF488" s="216">
        <f ca="1">IF($D488&lt;&gt;"Serviço",0,IF(OR(AND(AUTOEVENTO="Manual",$M488=1),$M488&gt;(ROW(PLE.lastrow)-ROW(PLE.firstrow))),0,IF(OFFSET(PLE!$G$14,$M488,CF$13)="",10^12,OFFSET(PLE!$G$14,$M488,CF$13))))</f>
        <v>1000000000000</v>
      </c>
      <c r="CG488" s="216">
        <f ca="1">IF($D488&lt;&gt;"Serviço",0,IF(OR(AND(AUTOEVENTO="Manual",$M488=1),$M488&gt;(ROW(PLE.lastrow)-ROW(PLE.firstrow))),0,IF(OFFSET(PLE!$G$14,$M488,CG$13)="",10^12,OFFSET(PLE!$G$14,$M488,CG$13))))</f>
        <v>1000000000000</v>
      </c>
      <c r="CH488" s="216">
        <f ca="1">IF($D488&lt;&gt;"Serviço",0,IF(OR(AND(AUTOEVENTO="Manual",$M488=1),$M488&gt;(ROW(PLE.lastrow)-ROW(PLE.firstrow))),0,IF(OFFSET(PLE!$G$14,$M488,CH$13)="",10^12,OFFSET(PLE!$G$14,$M488,CH$13))))</f>
        <v>1000000000000</v>
      </c>
      <c r="CI488" s="216">
        <f ca="1">IF($D488&lt;&gt;"Serviço",0,IF(OR(AND(AUTOEVENTO="Manual",$M488=1),$M488&gt;(ROW(PLE.lastrow)-ROW(PLE.firstrow))),0,IF(OFFSET(PLE!$G$14,$M488,CI$13)="",10^12,OFFSET(PLE!$G$14,$M488,CI$13))))</f>
        <v>1000000000000</v>
      </c>
      <c r="CJ488" s="216">
        <f ca="1">IF($D488&lt;&gt;"Serviço",0,IF(OR(AND(AUTOEVENTO="Manual",$M488=1),$M488&gt;(ROW(PLE.lastrow)-ROW(PLE.firstrow))),0,IF(OFFSET(PLE!$G$14,$M488,CJ$13)="",10^12,OFFSET(PLE!$G$14,$M488,CJ$13))))</f>
        <v>1000000000000</v>
      </c>
      <c r="CK488" s="216">
        <f ca="1">IF($D488&lt;&gt;"Serviço",0,IF(OR(AND(AUTOEVENTO="Manual",$M488=1),$M488&gt;(ROW(PLE.lastrow)-ROW(PLE.firstrow))),0,IF(OFFSET(PLE!$G$14,$M488,CK$13)="",10^12,OFFSET(PLE!$G$14,$M488,CK$13))))</f>
        <v>1000000000000</v>
      </c>
      <c r="CL488" s="216">
        <f ca="1">IF($D488&lt;&gt;"Serviço",0,IF(OR(AND(AUTOEVENTO="Manual",$M488=1),$M488&gt;(ROW(PLE.lastrow)-ROW(PLE.firstrow))),0,IF(OFFSET(PLE!$G$14,$M488,CL$13)="",10^12,OFFSET(PLE!$G$14,$M488,CL$13))))</f>
        <v>1000000000000</v>
      </c>
      <c r="CM488" s="216">
        <f ca="1">IF($D488&lt;&gt;"Serviço",0,IF(OR(AND(AUTOEVENTO="Manual",$M488=1),$M488&gt;(ROW(PLE.lastrow)-ROW(PLE.firstrow))),0,IF(OFFSET(PLE!$G$14,$M488,CM$13)="",10^12,OFFSET(PLE!$G$14,$M488,CM$13))))</f>
        <v>1000000000000</v>
      </c>
    </row>
    <row r="489" spans="1:91" ht="13.2" x14ac:dyDescent="0.25">
      <c r="A489" s="9">
        <f t="shared" ca="1" si="16"/>
        <v>0</v>
      </c>
      <c r="B489" s="9" t="str">
        <f ca="1">OFFSET(ORÇAMENTO!C$15,ROW(B489)-ROW(B$15),0)</f>
        <v>S</v>
      </c>
      <c r="C489" s="9" t="str">
        <f ca="1">OFFSET(ORÇAMENTO!L$15,ROW(C489)-ROW(C$15),0)</f>
        <v/>
      </c>
      <c r="D489" s="145" t="str">
        <f ca="1">OFFSET(ORÇAMENTO!N$15,ROW(D489)-ROW(D$15),0)</f>
        <v>Serviço</v>
      </c>
      <c r="E489" s="205" t="str">
        <f ca="1">OFFSET(ORÇAMENTO!O$15,ROW(E489)-ROW(E$15),0)</f>
        <v>-</v>
      </c>
      <c r="F489" s="206" t="str">
        <f ca="1">OFFSET(ORÇAMENTO!R$15,ROW(F489)-ROW(F$15),0)</f>
        <v>(abra o arquivo 'Referência 05-2024.xls)</v>
      </c>
      <c r="G489" s="207" t="str">
        <f ca="1">IF($D489&lt;&gt;"Serviço","",OFFSET(ORÇAMENTO!S$15,ROW(G489)-ROW(G$15),0))</f>
        <v>-</v>
      </c>
      <c r="H489" s="151">
        <f ca="1">IF($D489&lt;&gt;"Serviço",0,IF(ACOMPANHAMENTO="BM",ROUND(OFFSET(ORÇAMENTO!AJ$15,ROW(H489)-ROW(H$15),0),15-13*ORÇAMENTO!$AF$7),SUMPRODUCT(($Q$12:$AI$12&lt;&gt;"")*ROUND($Q489:$AI489,15-13*ORÇAMENTO!$AF$7))))</f>
        <v>2</v>
      </c>
      <c r="I489" s="650"/>
      <c r="K489" s="208"/>
      <c r="L489" s="209" t="s">
        <v>257</v>
      </c>
      <c r="M489" s="210">
        <f ca="1">IF($D489&lt;&gt;"Serviço","",IF(AUTOEVENTO="manual",$A489,IF(ISERROR(MATCH($A489,$A$15:OFFSET($A489,-1,0),0)),MAX($M$15:OFFSET(M489,-1,0))+1,INDEX($M$15:OFFSET(M489,-1,0),MATCH($A489,$A$15:OFFSET($A489,-1,0),0)))))</f>
        <v>0</v>
      </c>
      <c r="N489" s="211" t="str">
        <f ca="1">IF($D489&lt;&gt;"Serviço","",IF(AUTOEVENTO="Manual",IF($A489=0,"&lt;-- defina o número do agrupador",OFFSET(EVENTOS!$D$14,$A489,0)),OFFSET($F$15,$A489,0)))</f>
        <v>&lt;-- defina o número do agrupador</v>
      </c>
      <c r="O489" s="212"/>
      <c r="Q489" s="212"/>
      <c r="R489" s="213"/>
      <c r="S489" s="213"/>
      <c r="T489" s="213"/>
      <c r="U489" s="213"/>
      <c r="V489" s="213"/>
      <c r="W489" s="213"/>
      <c r="X489" s="213"/>
      <c r="Y489" s="213"/>
      <c r="Z489" s="214"/>
      <c r="AA489" s="213"/>
      <c r="AB489" s="213"/>
      <c r="AC489" s="213"/>
      <c r="AD489" s="213"/>
      <c r="AE489" s="213"/>
      <c r="AF489" s="213"/>
      <c r="AG489" s="213"/>
      <c r="AH489" s="214"/>
      <c r="AJ489" s="631">
        <f ca="1">IF(AND($D489="Serviço",AJ$12&lt;&gt;0,$H489&gt;0,OR(AUTOEVENTO&lt;&gt;"manual",$M489&lt;&gt;1)),ROUND(OFFSET($P489,0,AJ$13),15-13*ORÇAMENTO!$AF$7)/$H489*OFFSET(ORÇAMENTO!$X$15,ROW(AJ489)-ROW(AJ$15),0),0)</f>
        <v>0</v>
      </c>
      <c r="AK489" s="632">
        <f ca="1">IF(AND($D489="Serviço",AK$12&lt;&gt;0,$H489&gt;0,OR(AUTOEVENTO&lt;&gt;"manual",$M489&lt;&gt;1)),ROUND(OFFSET($P489,0,AK$13),15-13*ORÇAMENTO!$AF$7)/$H489*OFFSET(ORÇAMENTO!$X$15,ROW(AK489)-ROW(AK$15),0),0)</f>
        <v>0</v>
      </c>
      <c r="AL489" s="632">
        <f ca="1">IF(AND($D489="Serviço",AL$12&lt;&gt;0,$H489&gt;0,OR(AUTOEVENTO&lt;&gt;"manual",$M489&lt;&gt;1)),ROUND(OFFSET($P489,0,AL$13),15-13*ORÇAMENTO!$AF$7)/$H489*OFFSET(ORÇAMENTO!$X$15,ROW(AL489)-ROW(AL$15),0),0)</f>
        <v>0</v>
      </c>
      <c r="AM489" s="632">
        <f ca="1">IF(AND($D489="Serviço",AM$12&lt;&gt;0,$H489&gt;0,OR(AUTOEVENTO&lt;&gt;"manual",$M489&lt;&gt;1)),ROUND(OFFSET($P489,0,AM$13),15-13*ORÇAMENTO!$AF$7)/$H489*OFFSET(ORÇAMENTO!$X$15,ROW(AM489)-ROW(AM$15),0),0)</f>
        <v>0</v>
      </c>
      <c r="AN489" s="632">
        <f ca="1">IF(AND($D489="Serviço",AN$12&lt;&gt;0,$H489&gt;0,OR(AUTOEVENTO&lt;&gt;"manual",$M489&lt;&gt;1)),ROUND(OFFSET($P489,0,AN$13),15-13*ORÇAMENTO!$AF$7)/$H489*OFFSET(ORÇAMENTO!$X$15,ROW(AN489)-ROW(AN$15),0),0)</f>
        <v>0</v>
      </c>
      <c r="AO489" s="632">
        <f ca="1">IF(AND($D489="Serviço",AO$12&lt;&gt;0,$H489&gt;0,OR(AUTOEVENTO&lt;&gt;"manual",$M489&lt;&gt;1)),ROUND(OFFSET($P489,0,AO$13),15-13*ORÇAMENTO!$AF$7)/$H489*OFFSET(ORÇAMENTO!$X$15,ROW(AO489)-ROW(AO$15),0),0)</f>
        <v>0</v>
      </c>
      <c r="AP489" s="632">
        <f ca="1">IF(AND($D489="Serviço",AP$12&lt;&gt;0,$H489&gt;0,OR(AUTOEVENTO&lt;&gt;"manual",$M489&lt;&gt;1)),ROUND(OFFSET($P489,0,AP$13),15-13*ORÇAMENTO!$AF$7)/$H489*OFFSET(ORÇAMENTO!$X$15,ROW(AP489)-ROW(AP$15),0),0)</f>
        <v>0</v>
      </c>
      <c r="AQ489" s="632">
        <f ca="1">IF(AND($D489="Serviço",AQ$12&lt;&gt;0,$H489&gt;0,OR(AUTOEVENTO&lt;&gt;"manual",$M489&lt;&gt;1)),ROUND(OFFSET($P489,0,AQ$13),15-13*ORÇAMENTO!$AF$7)/$H489*OFFSET(ORÇAMENTO!$X$15,ROW(AQ489)-ROW(AQ$15),0),0)</f>
        <v>0</v>
      </c>
      <c r="AR489" s="632">
        <f ca="1">IF(AND($D489="Serviço",AR$12&lt;&gt;0,$H489&gt;0,OR(AUTOEVENTO&lt;&gt;"manual",$M489&lt;&gt;1)),ROUND(OFFSET($P489,0,AR$13),15-13*ORÇAMENTO!$AF$7)/$H489*OFFSET(ORÇAMENTO!$X$15,ROW(AR489)-ROW(AR$15),0),0)</f>
        <v>0</v>
      </c>
      <c r="AS489" s="633">
        <f ca="1">IF(AND($D489="Serviço",AS$12&lt;&gt;0,$H489&gt;0,OR(AUTOEVENTO&lt;&gt;"manual",$M489&lt;&gt;1)),ROUND(OFFSET($P489,0,AS$13),15-13*ORÇAMENTO!$AF$7)/$H489*OFFSET(ORÇAMENTO!$X$15,ROW(AS489)-ROW(AS$15),0),0)</f>
        <v>0</v>
      </c>
      <c r="AT489" s="632">
        <f ca="1">IF(AND($D489="Serviço",AT$12&lt;&gt;0,$H489&gt;0,OR(AUTOEVENTO&lt;&gt;"manual",$M489&lt;&gt;1)),ROUND(OFFSET($P489,0,AT$13),15-13*ORÇAMENTO!$AF$7)/$H489*OFFSET(ORÇAMENTO!$X$15,ROW(AT489)-ROW(AT$15),0),0)</f>
        <v>0</v>
      </c>
      <c r="AU489" s="632">
        <f ca="1">IF(AND($D489="Serviço",AU$12&lt;&gt;0,$H489&gt;0,OR(AUTOEVENTO&lt;&gt;"manual",$M489&lt;&gt;1)),ROUND(OFFSET($P489,0,AU$13),15-13*ORÇAMENTO!$AF$7)/$H489*OFFSET(ORÇAMENTO!$X$15,ROW(AU489)-ROW(AU$15),0),0)</f>
        <v>0</v>
      </c>
      <c r="AV489" s="632">
        <f ca="1">IF(AND($D489="Serviço",AV$12&lt;&gt;0,$H489&gt;0,OR(AUTOEVENTO&lt;&gt;"manual",$M489&lt;&gt;1)),ROUND(OFFSET($P489,0,AV$13),15-13*ORÇAMENTO!$AF$7)/$H489*OFFSET(ORÇAMENTO!$X$15,ROW(AV489)-ROW(AV$15),0),0)</f>
        <v>0</v>
      </c>
      <c r="AW489" s="632">
        <f ca="1">IF(AND($D489="Serviço",AW$12&lt;&gt;0,$H489&gt;0,OR(AUTOEVENTO&lt;&gt;"manual",$M489&lt;&gt;1)),ROUND(OFFSET($P489,0,AW$13),15-13*ORÇAMENTO!$AF$7)/$H489*OFFSET(ORÇAMENTO!$X$15,ROW(AW489)-ROW(AW$15),0),0)</f>
        <v>0</v>
      </c>
      <c r="AX489" s="632">
        <f ca="1">IF(AND($D489="Serviço",AX$12&lt;&gt;0,$H489&gt;0,OR(AUTOEVENTO&lt;&gt;"manual",$M489&lt;&gt;1)),ROUND(OFFSET($P489,0,AX$13),15-13*ORÇAMENTO!$AF$7)/$H489*OFFSET(ORÇAMENTO!$X$15,ROW(AX489)-ROW(AX$15),0),0)</f>
        <v>0</v>
      </c>
      <c r="AY489" s="632">
        <f ca="1">IF(AND($D489="Serviço",AY$12&lt;&gt;0,$H489&gt;0,OR(AUTOEVENTO&lt;&gt;"manual",$M489&lt;&gt;1)),ROUND(OFFSET($P489,0,AY$13),15-13*ORÇAMENTO!$AF$7)/$H489*OFFSET(ORÇAMENTO!$X$15,ROW(AY489)-ROW(AY$15),0),0)</f>
        <v>0</v>
      </c>
      <c r="AZ489" s="632">
        <f ca="1">IF(AND($D489="Serviço",AZ$12&lt;&gt;0,$H489&gt;0,OR(AUTOEVENTO&lt;&gt;"manual",$M489&lt;&gt;1)),ROUND(OFFSET($P489,0,AZ$13),15-13*ORÇAMENTO!$AF$7)/$H489*OFFSET(ORÇAMENTO!$X$15,ROW(AZ489)-ROW(AZ$15),0),0)</f>
        <v>0</v>
      </c>
      <c r="BA489" s="633">
        <f ca="1">IF(AND($D489="Serviço",BA$12&lt;&gt;0,$H489&gt;0,OR(AUTOEVENTO&lt;&gt;"manual",$M489&lt;&gt;1)),ROUND(OFFSET($P489,0,BA$13),15-13*ORÇAMENTO!$AF$7)/$H489*OFFSET(ORÇAMENTO!$X$15,ROW(BA489)-ROW(BA$15),0),0)</f>
        <v>0</v>
      </c>
      <c r="BC489" s="215">
        <f ca="1">IF($D489&lt;&gt;"Serviço",0,IF(AND(AUTOEVENTO="Manual",$M489=1),0,IF(OFFSET(CRONOPLE!$F$14,$M489,BC$13)="",10^12,OFFSET(CRONOPLE!$F$14,$M489,BC$13))))</f>
        <v>1000000000000</v>
      </c>
      <c r="BD489" s="215">
        <f ca="1">IF($D489&lt;&gt;"Serviço",0,IF(AND(AUTOEVENTO="Manual",$M489=1),0,IF(OFFSET(CRONOPLE!$F$14,$M489,BD$13)="",10^12,OFFSET(CRONOPLE!$F$14,$M489,BD$13))))</f>
        <v>1000000000000</v>
      </c>
      <c r="BE489" s="215">
        <f ca="1">IF($D489&lt;&gt;"Serviço",0,IF(AND(AUTOEVENTO="Manual",$M489=1),0,IF(OFFSET(CRONOPLE!$F$14,$M489,BE$13)="",10^12,OFFSET(CRONOPLE!$F$14,$M489,BE$13))))</f>
        <v>1000000000000</v>
      </c>
      <c r="BF489" s="215">
        <f ca="1">IF($D489&lt;&gt;"Serviço",0,IF(AND(AUTOEVENTO="Manual",$M489=1),0,IF(OFFSET(CRONOPLE!$F$14,$M489,BF$13)="",10^12,OFFSET(CRONOPLE!$F$14,$M489,BF$13))))</f>
        <v>1000000000000</v>
      </c>
      <c r="BG489" s="215">
        <f ca="1">IF($D489&lt;&gt;"Serviço",0,IF(AND(AUTOEVENTO="Manual",$M489=1),0,IF(OFFSET(CRONOPLE!$F$14,$M489,BG$13)="",10^12,OFFSET(CRONOPLE!$F$14,$M489,BG$13))))</f>
        <v>1000000000000</v>
      </c>
      <c r="BH489" s="215">
        <f ca="1">IF($D489&lt;&gt;"Serviço",0,IF(AND(AUTOEVENTO="Manual",$M489=1),0,IF(OFFSET(CRONOPLE!$F$14,$M489,BH$13)="",10^12,OFFSET(CRONOPLE!$F$14,$M489,BH$13))))</f>
        <v>1000000000000</v>
      </c>
      <c r="BI489" s="215">
        <f ca="1">IF($D489&lt;&gt;"Serviço",0,IF(AND(AUTOEVENTO="Manual",$M489=1),0,IF(OFFSET(CRONOPLE!$F$14,$M489,BI$13)="",10^12,OFFSET(CRONOPLE!$F$14,$M489,BI$13))))</f>
        <v>1000000000000</v>
      </c>
      <c r="BJ489" s="215">
        <f ca="1">IF($D489&lt;&gt;"Serviço",0,IF(AND(AUTOEVENTO="Manual",$M489=1),0,IF(OFFSET(CRONOPLE!$F$14,$M489,BJ$13)="",10^12,OFFSET(CRONOPLE!$F$14,$M489,BJ$13))))</f>
        <v>1000000000000</v>
      </c>
      <c r="BK489" s="215">
        <f ca="1">IF($D489&lt;&gt;"Serviço",0,IF(AND(AUTOEVENTO="Manual",$M489=1),0,IF(OFFSET(CRONOPLE!$F$14,$M489,BK$13)="",10^12,OFFSET(CRONOPLE!$F$14,$M489,BK$13))))</f>
        <v>1000000000000</v>
      </c>
      <c r="BL489" s="215">
        <f ca="1">IF($D489&lt;&gt;"Serviço",0,IF(AND(AUTOEVENTO="Manual",$M489=1),0,IF(OFFSET(CRONOPLE!$F$14,$M489,BL$13)="",10^12,OFFSET(CRONOPLE!$F$14,$M489,BL$13))))</f>
        <v>1000000000000</v>
      </c>
      <c r="BM489" s="215">
        <f ca="1">IF($D489&lt;&gt;"Serviço",0,IF(AND(AUTOEVENTO="Manual",$M489=1),0,IF(OFFSET(CRONOPLE!$F$14,$M489,BM$13)="",10^12,OFFSET(CRONOPLE!$F$14,$M489,BM$13))))</f>
        <v>1000000000000</v>
      </c>
      <c r="BN489" s="215">
        <f ca="1">IF($D489&lt;&gt;"Serviço",0,IF(AND(AUTOEVENTO="Manual",$M489=1),0,IF(OFFSET(CRONOPLE!$F$14,$M489,BN$13)="",10^12,OFFSET(CRONOPLE!$F$14,$M489,BN$13))))</f>
        <v>1000000000000</v>
      </c>
      <c r="BO489" s="215">
        <f ca="1">IF($D489&lt;&gt;"Serviço",0,IF(AND(AUTOEVENTO="Manual",$M489=1),0,IF(OFFSET(CRONOPLE!$F$14,$M489,BO$13)="",10^12,OFFSET(CRONOPLE!$F$14,$M489,BO$13))))</f>
        <v>1000000000000</v>
      </c>
      <c r="BP489" s="215">
        <f ca="1">IF($D489&lt;&gt;"Serviço",0,IF(AND(AUTOEVENTO="Manual",$M489=1),0,IF(OFFSET(CRONOPLE!$F$14,$M489,BP$13)="",10^12,OFFSET(CRONOPLE!$F$14,$M489,BP$13))))</f>
        <v>1000000000000</v>
      </c>
      <c r="BQ489" s="215">
        <f ca="1">IF($D489&lt;&gt;"Serviço",0,IF(AND(AUTOEVENTO="Manual",$M489=1),0,IF(OFFSET(CRONOPLE!$F$14,$M489,BQ$13)="",10^12,OFFSET(CRONOPLE!$F$14,$M489,BQ$13))))</f>
        <v>1000000000000</v>
      </c>
      <c r="BR489" s="215">
        <f ca="1">IF($D489&lt;&gt;"Serviço",0,IF(AND(AUTOEVENTO="Manual",$M489=1),0,IF(OFFSET(CRONOPLE!$F$14,$M489,BR$13)="",10^12,OFFSET(CRONOPLE!$F$14,$M489,BR$13))))</f>
        <v>1000000000000</v>
      </c>
      <c r="BS489" s="215">
        <f ca="1">IF($D489&lt;&gt;"Serviço",0,IF(AND(AUTOEVENTO="Manual",$M489=1),0,IF(OFFSET(CRONOPLE!$F$14,$M489,BS$13)="",10^12,OFFSET(CRONOPLE!$F$14,$M489,BS$13))))</f>
        <v>1000000000000</v>
      </c>
      <c r="BT489" s="215">
        <f ca="1">IF($D489&lt;&gt;"Serviço",0,IF(AND(AUTOEVENTO="Manual",$M489=1),0,IF(OFFSET(CRONOPLE!$F$14,$M489,BT$13)="",10^12,OFFSET(CRONOPLE!$F$14,$M489,BT$13))))</f>
        <v>1000000000000</v>
      </c>
      <c r="BV489" s="216">
        <f ca="1">IF($D489&lt;&gt;"Serviço",0,IF(OR(AND(AUTOEVENTO="Manual",$M489=1),$M489&gt;(ROW(PLE.lastrow)-ROW(PLE.firstrow))),0,IF(OFFSET(PLE!$G$14,$M489,BV$13)="",10^12,OFFSET(PLE!$G$14,$M489,BV$13))))</f>
        <v>1000000000000</v>
      </c>
      <c r="BW489" s="216">
        <f ca="1">IF($D489&lt;&gt;"Serviço",0,IF(OR(AND(AUTOEVENTO="Manual",$M489=1),$M489&gt;(ROW(PLE.lastrow)-ROW(PLE.firstrow))),0,IF(OFFSET(PLE!$G$14,$M489,BW$13)="",10^12,OFFSET(PLE!$G$14,$M489,BW$13))))</f>
        <v>1000000000000</v>
      </c>
      <c r="BX489" s="216">
        <f ca="1">IF($D489&lt;&gt;"Serviço",0,IF(OR(AND(AUTOEVENTO="Manual",$M489=1),$M489&gt;(ROW(PLE.lastrow)-ROW(PLE.firstrow))),0,IF(OFFSET(PLE!$G$14,$M489,BX$13)="",10^12,OFFSET(PLE!$G$14,$M489,BX$13))))</f>
        <v>1000000000000</v>
      </c>
      <c r="BY489" s="216">
        <f ca="1">IF($D489&lt;&gt;"Serviço",0,IF(OR(AND(AUTOEVENTO="Manual",$M489=1),$M489&gt;(ROW(PLE.lastrow)-ROW(PLE.firstrow))),0,IF(OFFSET(PLE!$G$14,$M489,BY$13)="",10^12,OFFSET(PLE!$G$14,$M489,BY$13))))</f>
        <v>1000000000000</v>
      </c>
      <c r="BZ489" s="216">
        <f ca="1">IF($D489&lt;&gt;"Serviço",0,IF(OR(AND(AUTOEVENTO="Manual",$M489=1),$M489&gt;(ROW(PLE.lastrow)-ROW(PLE.firstrow))),0,IF(OFFSET(PLE!$G$14,$M489,BZ$13)="",10^12,OFFSET(PLE!$G$14,$M489,BZ$13))))</f>
        <v>1000000000000</v>
      </c>
      <c r="CA489" s="216">
        <f ca="1">IF($D489&lt;&gt;"Serviço",0,IF(OR(AND(AUTOEVENTO="Manual",$M489=1),$M489&gt;(ROW(PLE.lastrow)-ROW(PLE.firstrow))),0,IF(OFFSET(PLE!$G$14,$M489,CA$13)="",10^12,OFFSET(PLE!$G$14,$M489,CA$13))))</f>
        <v>1000000000000</v>
      </c>
      <c r="CB489" s="216">
        <f ca="1">IF($D489&lt;&gt;"Serviço",0,IF(OR(AND(AUTOEVENTO="Manual",$M489=1),$M489&gt;(ROW(PLE.lastrow)-ROW(PLE.firstrow))),0,IF(OFFSET(PLE!$G$14,$M489,CB$13)="",10^12,OFFSET(PLE!$G$14,$M489,CB$13))))</f>
        <v>1000000000000</v>
      </c>
      <c r="CC489" s="216">
        <f ca="1">IF($D489&lt;&gt;"Serviço",0,IF(OR(AND(AUTOEVENTO="Manual",$M489=1),$M489&gt;(ROW(PLE.lastrow)-ROW(PLE.firstrow))),0,IF(OFFSET(PLE!$G$14,$M489,CC$13)="",10^12,OFFSET(PLE!$G$14,$M489,CC$13))))</f>
        <v>1000000000000</v>
      </c>
      <c r="CD489" s="216">
        <f ca="1">IF($D489&lt;&gt;"Serviço",0,IF(OR(AND(AUTOEVENTO="Manual",$M489=1),$M489&gt;(ROW(PLE.lastrow)-ROW(PLE.firstrow))),0,IF(OFFSET(PLE!$G$14,$M489,CD$13)="",10^12,OFFSET(PLE!$G$14,$M489,CD$13))))</f>
        <v>1000000000000</v>
      </c>
      <c r="CE489" s="216">
        <f ca="1">IF($D489&lt;&gt;"Serviço",0,IF(OR(AND(AUTOEVENTO="Manual",$M489=1),$M489&gt;(ROW(PLE.lastrow)-ROW(PLE.firstrow))),0,IF(OFFSET(PLE!$G$14,$M489,CE$13)="",10^12,OFFSET(PLE!$G$14,$M489,CE$13))))</f>
        <v>1000000000000</v>
      </c>
      <c r="CF489" s="216">
        <f ca="1">IF($D489&lt;&gt;"Serviço",0,IF(OR(AND(AUTOEVENTO="Manual",$M489=1),$M489&gt;(ROW(PLE.lastrow)-ROW(PLE.firstrow))),0,IF(OFFSET(PLE!$G$14,$M489,CF$13)="",10^12,OFFSET(PLE!$G$14,$M489,CF$13))))</f>
        <v>1000000000000</v>
      </c>
      <c r="CG489" s="216">
        <f ca="1">IF($D489&lt;&gt;"Serviço",0,IF(OR(AND(AUTOEVENTO="Manual",$M489=1),$M489&gt;(ROW(PLE.lastrow)-ROW(PLE.firstrow))),0,IF(OFFSET(PLE!$G$14,$M489,CG$13)="",10^12,OFFSET(PLE!$G$14,$M489,CG$13))))</f>
        <v>1000000000000</v>
      </c>
      <c r="CH489" s="216">
        <f ca="1">IF($D489&lt;&gt;"Serviço",0,IF(OR(AND(AUTOEVENTO="Manual",$M489=1),$M489&gt;(ROW(PLE.lastrow)-ROW(PLE.firstrow))),0,IF(OFFSET(PLE!$G$14,$M489,CH$13)="",10^12,OFFSET(PLE!$G$14,$M489,CH$13))))</f>
        <v>1000000000000</v>
      </c>
      <c r="CI489" s="216">
        <f ca="1">IF($D489&lt;&gt;"Serviço",0,IF(OR(AND(AUTOEVENTO="Manual",$M489=1),$M489&gt;(ROW(PLE.lastrow)-ROW(PLE.firstrow))),0,IF(OFFSET(PLE!$G$14,$M489,CI$13)="",10^12,OFFSET(PLE!$G$14,$M489,CI$13))))</f>
        <v>1000000000000</v>
      </c>
      <c r="CJ489" s="216">
        <f ca="1">IF($D489&lt;&gt;"Serviço",0,IF(OR(AND(AUTOEVENTO="Manual",$M489=1),$M489&gt;(ROW(PLE.lastrow)-ROW(PLE.firstrow))),0,IF(OFFSET(PLE!$G$14,$M489,CJ$13)="",10^12,OFFSET(PLE!$G$14,$M489,CJ$13))))</f>
        <v>1000000000000</v>
      </c>
      <c r="CK489" s="216">
        <f ca="1">IF($D489&lt;&gt;"Serviço",0,IF(OR(AND(AUTOEVENTO="Manual",$M489=1),$M489&gt;(ROW(PLE.lastrow)-ROW(PLE.firstrow))),0,IF(OFFSET(PLE!$G$14,$M489,CK$13)="",10^12,OFFSET(PLE!$G$14,$M489,CK$13))))</f>
        <v>1000000000000</v>
      </c>
      <c r="CL489" s="216">
        <f ca="1">IF($D489&lt;&gt;"Serviço",0,IF(OR(AND(AUTOEVENTO="Manual",$M489=1),$M489&gt;(ROW(PLE.lastrow)-ROW(PLE.firstrow))),0,IF(OFFSET(PLE!$G$14,$M489,CL$13)="",10^12,OFFSET(PLE!$G$14,$M489,CL$13))))</f>
        <v>1000000000000</v>
      </c>
      <c r="CM489" s="216">
        <f ca="1">IF($D489&lt;&gt;"Serviço",0,IF(OR(AND(AUTOEVENTO="Manual",$M489=1),$M489&gt;(ROW(PLE.lastrow)-ROW(PLE.firstrow))),0,IF(OFFSET(PLE!$G$14,$M489,CM$13)="",10^12,OFFSET(PLE!$G$14,$M489,CM$13))))</f>
        <v>1000000000000</v>
      </c>
    </row>
    <row r="490" spans="1:91" ht="13.2" x14ac:dyDescent="0.25">
      <c r="A490" s="9">
        <f t="shared" ca="1" si="16"/>
        <v>0</v>
      </c>
      <c r="B490" s="9" t="str">
        <f ca="1">OFFSET(ORÇAMENTO!C$15,ROW(B490)-ROW(B$15),0)</f>
        <v>S</v>
      </c>
      <c r="C490" s="9" t="str">
        <f ca="1">OFFSET(ORÇAMENTO!L$15,ROW(C490)-ROW(C$15),0)</f>
        <v/>
      </c>
      <c r="D490" s="145" t="str">
        <f ca="1">OFFSET(ORÇAMENTO!N$15,ROW(D490)-ROW(D$15),0)</f>
        <v>Serviço</v>
      </c>
      <c r="E490" s="205" t="str">
        <f ca="1">OFFSET(ORÇAMENTO!O$15,ROW(E490)-ROW(E$15),0)</f>
        <v>-</v>
      </c>
      <c r="F490" s="206" t="str">
        <f ca="1">OFFSET(ORÇAMENTO!R$15,ROW(F490)-ROW(F$15),0)</f>
        <v>(abra o arquivo 'Referência 05-2024.xls)</v>
      </c>
      <c r="G490" s="207" t="str">
        <f ca="1">IF($D490&lt;&gt;"Serviço","",OFFSET(ORÇAMENTO!S$15,ROW(G490)-ROW(G$15),0))</f>
        <v>-</v>
      </c>
      <c r="H490" s="151">
        <f ca="1">IF($D490&lt;&gt;"Serviço",0,IF(ACOMPANHAMENTO="BM",ROUND(OFFSET(ORÇAMENTO!AJ$15,ROW(H490)-ROW(H$15),0),15-13*ORÇAMENTO!$AF$7),SUMPRODUCT(($Q$12:$AI$12&lt;&gt;"")*ROUND($Q490:$AI490,15-13*ORÇAMENTO!$AF$7))))</f>
        <v>4</v>
      </c>
      <c r="I490" s="650"/>
      <c r="K490" s="208"/>
      <c r="L490" s="209" t="s">
        <v>257</v>
      </c>
      <c r="M490" s="210">
        <f ca="1">IF($D490&lt;&gt;"Serviço","",IF(AUTOEVENTO="manual",$A490,IF(ISERROR(MATCH($A490,$A$15:OFFSET($A490,-1,0),0)),MAX($M$15:OFFSET(M490,-1,0))+1,INDEX($M$15:OFFSET(M490,-1,0),MATCH($A490,$A$15:OFFSET($A490,-1,0),0)))))</f>
        <v>0</v>
      </c>
      <c r="N490" s="211" t="str">
        <f ca="1">IF($D490&lt;&gt;"Serviço","",IF(AUTOEVENTO="Manual",IF($A490=0,"&lt;-- defina o número do agrupador",OFFSET(EVENTOS!$D$14,$A490,0)),OFFSET($F$15,$A490,0)))</f>
        <v>&lt;-- defina o número do agrupador</v>
      </c>
      <c r="O490" s="212"/>
      <c r="Q490" s="212"/>
      <c r="R490" s="213"/>
      <c r="S490" s="213"/>
      <c r="T490" s="213"/>
      <c r="U490" s="213"/>
      <c r="V490" s="213"/>
      <c r="W490" s="213"/>
      <c r="X490" s="213"/>
      <c r="Y490" s="213"/>
      <c r="Z490" s="214"/>
      <c r="AA490" s="213"/>
      <c r="AB490" s="213"/>
      <c r="AC490" s="213"/>
      <c r="AD490" s="213"/>
      <c r="AE490" s="213"/>
      <c r="AF490" s="213"/>
      <c r="AG490" s="213"/>
      <c r="AH490" s="214"/>
      <c r="AJ490" s="631">
        <f ca="1">IF(AND($D490="Serviço",AJ$12&lt;&gt;0,$H490&gt;0,OR(AUTOEVENTO&lt;&gt;"manual",$M490&lt;&gt;1)),ROUND(OFFSET($P490,0,AJ$13),15-13*ORÇAMENTO!$AF$7)/$H490*OFFSET(ORÇAMENTO!$X$15,ROW(AJ490)-ROW(AJ$15),0),0)</f>
        <v>0</v>
      </c>
      <c r="AK490" s="632">
        <f ca="1">IF(AND($D490="Serviço",AK$12&lt;&gt;0,$H490&gt;0,OR(AUTOEVENTO&lt;&gt;"manual",$M490&lt;&gt;1)),ROUND(OFFSET($P490,0,AK$13),15-13*ORÇAMENTO!$AF$7)/$H490*OFFSET(ORÇAMENTO!$X$15,ROW(AK490)-ROW(AK$15),0),0)</f>
        <v>0</v>
      </c>
      <c r="AL490" s="632">
        <f ca="1">IF(AND($D490="Serviço",AL$12&lt;&gt;0,$H490&gt;0,OR(AUTOEVENTO&lt;&gt;"manual",$M490&lt;&gt;1)),ROUND(OFFSET($P490,0,AL$13),15-13*ORÇAMENTO!$AF$7)/$H490*OFFSET(ORÇAMENTO!$X$15,ROW(AL490)-ROW(AL$15),0),0)</f>
        <v>0</v>
      </c>
      <c r="AM490" s="632">
        <f ca="1">IF(AND($D490="Serviço",AM$12&lt;&gt;0,$H490&gt;0,OR(AUTOEVENTO&lt;&gt;"manual",$M490&lt;&gt;1)),ROUND(OFFSET($P490,0,AM$13),15-13*ORÇAMENTO!$AF$7)/$H490*OFFSET(ORÇAMENTO!$X$15,ROW(AM490)-ROW(AM$15),0),0)</f>
        <v>0</v>
      </c>
      <c r="AN490" s="632">
        <f ca="1">IF(AND($D490="Serviço",AN$12&lt;&gt;0,$H490&gt;0,OR(AUTOEVENTO&lt;&gt;"manual",$M490&lt;&gt;1)),ROUND(OFFSET($P490,0,AN$13),15-13*ORÇAMENTO!$AF$7)/$H490*OFFSET(ORÇAMENTO!$X$15,ROW(AN490)-ROW(AN$15),0),0)</f>
        <v>0</v>
      </c>
      <c r="AO490" s="632">
        <f ca="1">IF(AND($D490="Serviço",AO$12&lt;&gt;0,$H490&gt;0,OR(AUTOEVENTO&lt;&gt;"manual",$M490&lt;&gt;1)),ROUND(OFFSET($P490,0,AO$13),15-13*ORÇAMENTO!$AF$7)/$H490*OFFSET(ORÇAMENTO!$X$15,ROW(AO490)-ROW(AO$15),0),0)</f>
        <v>0</v>
      </c>
      <c r="AP490" s="632">
        <f ca="1">IF(AND($D490="Serviço",AP$12&lt;&gt;0,$H490&gt;0,OR(AUTOEVENTO&lt;&gt;"manual",$M490&lt;&gt;1)),ROUND(OFFSET($P490,0,AP$13),15-13*ORÇAMENTO!$AF$7)/$H490*OFFSET(ORÇAMENTO!$X$15,ROW(AP490)-ROW(AP$15),0),0)</f>
        <v>0</v>
      </c>
      <c r="AQ490" s="632">
        <f ca="1">IF(AND($D490="Serviço",AQ$12&lt;&gt;0,$H490&gt;0,OR(AUTOEVENTO&lt;&gt;"manual",$M490&lt;&gt;1)),ROUND(OFFSET($P490,0,AQ$13),15-13*ORÇAMENTO!$AF$7)/$H490*OFFSET(ORÇAMENTO!$X$15,ROW(AQ490)-ROW(AQ$15),0),0)</f>
        <v>0</v>
      </c>
      <c r="AR490" s="632">
        <f ca="1">IF(AND($D490="Serviço",AR$12&lt;&gt;0,$H490&gt;0,OR(AUTOEVENTO&lt;&gt;"manual",$M490&lt;&gt;1)),ROUND(OFFSET($P490,0,AR$13),15-13*ORÇAMENTO!$AF$7)/$H490*OFFSET(ORÇAMENTO!$X$15,ROW(AR490)-ROW(AR$15),0),0)</f>
        <v>0</v>
      </c>
      <c r="AS490" s="633">
        <f ca="1">IF(AND($D490="Serviço",AS$12&lt;&gt;0,$H490&gt;0,OR(AUTOEVENTO&lt;&gt;"manual",$M490&lt;&gt;1)),ROUND(OFFSET($P490,0,AS$13),15-13*ORÇAMENTO!$AF$7)/$H490*OFFSET(ORÇAMENTO!$X$15,ROW(AS490)-ROW(AS$15),0),0)</f>
        <v>0</v>
      </c>
      <c r="AT490" s="632">
        <f ca="1">IF(AND($D490="Serviço",AT$12&lt;&gt;0,$H490&gt;0,OR(AUTOEVENTO&lt;&gt;"manual",$M490&lt;&gt;1)),ROUND(OFFSET($P490,0,AT$13),15-13*ORÇAMENTO!$AF$7)/$H490*OFFSET(ORÇAMENTO!$X$15,ROW(AT490)-ROW(AT$15),0),0)</f>
        <v>0</v>
      </c>
      <c r="AU490" s="632">
        <f ca="1">IF(AND($D490="Serviço",AU$12&lt;&gt;0,$H490&gt;0,OR(AUTOEVENTO&lt;&gt;"manual",$M490&lt;&gt;1)),ROUND(OFFSET($P490,0,AU$13),15-13*ORÇAMENTO!$AF$7)/$H490*OFFSET(ORÇAMENTO!$X$15,ROW(AU490)-ROW(AU$15),0),0)</f>
        <v>0</v>
      </c>
      <c r="AV490" s="632">
        <f ca="1">IF(AND($D490="Serviço",AV$12&lt;&gt;0,$H490&gt;0,OR(AUTOEVENTO&lt;&gt;"manual",$M490&lt;&gt;1)),ROUND(OFFSET($P490,0,AV$13),15-13*ORÇAMENTO!$AF$7)/$H490*OFFSET(ORÇAMENTO!$X$15,ROW(AV490)-ROW(AV$15),0),0)</f>
        <v>0</v>
      </c>
      <c r="AW490" s="632">
        <f ca="1">IF(AND($D490="Serviço",AW$12&lt;&gt;0,$H490&gt;0,OR(AUTOEVENTO&lt;&gt;"manual",$M490&lt;&gt;1)),ROUND(OFFSET($P490,0,AW$13),15-13*ORÇAMENTO!$AF$7)/$H490*OFFSET(ORÇAMENTO!$X$15,ROW(AW490)-ROW(AW$15),0),0)</f>
        <v>0</v>
      </c>
      <c r="AX490" s="632">
        <f ca="1">IF(AND($D490="Serviço",AX$12&lt;&gt;0,$H490&gt;0,OR(AUTOEVENTO&lt;&gt;"manual",$M490&lt;&gt;1)),ROUND(OFFSET($P490,0,AX$13),15-13*ORÇAMENTO!$AF$7)/$H490*OFFSET(ORÇAMENTO!$X$15,ROW(AX490)-ROW(AX$15),0),0)</f>
        <v>0</v>
      </c>
      <c r="AY490" s="632">
        <f ca="1">IF(AND($D490="Serviço",AY$12&lt;&gt;0,$H490&gt;0,OR(AUTOEVENTO&lt;&gt;"manual",$M490&lt;&gt;1)),ROUND(OFFSET($P490,0,AY$13),15-13*ORÇAMENTO!$AF$7)/$H490*OFFSET(ORÇAMENTO!$X$15,ROW(AY490)-ROW(AY$15),0),0)</f>
        <v>0</v>
      </c>
      <c r="AZ490" s="632">
        <f ca="1">IF(AND($D490="Serviço",AZ$12&lt;&gt;0,$H490&gt;0,OR(AUTOEVENTO&lt;&gt;"manual",$M490&lt;&gt;1)),ROUND(OFFSET($P490,0,AZ$13),15-13*ORÇAMENTO!$AF$7)/$H490*OFFSET(ORÇAMENTO!$X$15,ROW(AZ490)-ROW(AZ$15),0),0)</f>
        <v>0</v>
      </c>
      <c r="BA490" s="633">
        <f ca="1">IF(AND($D490="Serviço",BA$12&lt;&gt;0,$H490&gt;0,OR(AUTOEVENTO&lt;&gt;"manual",$M490&lt;&gt;1)),ROUND(OFFSET($P490,0,BA$13),15-13*ORÇAMENTO!$AF$7)/$H490*OFFSET(ORÇAMENTO!$X$15,ROW(BA490)-ROW(BA$15),0),0)</f>
        <v>0</v>
      </c>
      <c r="BC490" s="215">
        <f ca="1">IF($D490&lt;&gt;"Serviço",0,IF(AND(AUTOEVENTO="Manual",$M490=1),0,IF(OFFSET(CRONOPLE!$F$14,$M490,BC$13)="",10^12,OFFSET(CRONOPLE!$F$14,$M490,BC$13))))</f>
        <v>1000000000000</v>
      </c>
      <c r="BD490" s="215">
        <f ca="1">IF($D490&lt;&gt;"Serviço",0,IF(AND(AUTOEVENTO="Manual",$M490=1),0,IF(OFFSET(CRONOPLE!$F$14,$M490,BD$13)="",10^12,OFFSET(CRONOPLE!$F$14,$M490,BD$13))))</f>
        <v>1000000000000</v>
      </c>
      <c r="BE490" s="215">
        <f ca="1">IF($D490&lt;&gt;"Serviço",0,IF(AND(AUTOEVENTO="Manual",$M490=1),0,IF(OFFSET(CRONOPLE!$F$14,$M490,BE$13)="",10^12,OFFSET(CRONOPLE!$F$14,$M490,BE$13))))</f>
        <v>1000000000000</v>
      </c>
      <c r="BF490" s="215">
        <f ca="1">IF($D490&lt;&gt;"Serviço",0,IF(AND(AUTOEVENTO="Manual",$M490=1),0,IF(OFFSET(CRONOPLE!$F$14,$M490,BF$13)="",10^12,OFFSET(CRONOPLE!$F$14,$M490,BF$13))))</f>
        <v>1000000000000</v>
      </c>
      <c r="BG490" s="215">
        <f ca="1">IF($D490&lt;&gt;"Serviço",0,IF(AND(AUTOEVENTO="Manual",$M490=1),0,IF(OFFSET(CRONOPLE!$F$14,$M490,BG$13)="",10^12,OFFSET(CRONOPLE!$F$14,$M490,BG$13))))</f>
        <v>1000000000000</v>
      </c>
      <c r="BH490" s="215">
        <f ca="1">IF($D490&lt;&gt;"Serviço",0,IF(AND(AUTOEVENTO="Manual",$M490=1),0,IF(OFFSET(CRONOPLE!$F$14,$M490,BH$13)="",10^12,OFFSET(CRONOPLE!$F$14,$M490,BH$13))))</f>
        <v>1000000000000</v>
      </c>
      <c r="BI490" s="215">
        <f ca="1">IF($D490&lt;&gt;"Serviço",0,IF(AND(AUTOEVENTO="Manual",$M490=1),0,IF(OFFSET(CRONOPLE!$F$14,$M490,BI$13)="",10^12,OFFSET(CRONOPLE!$F$14,$M490,BI$13))))</f>
        <v>1000000000000</v>
      </c>
      <c r="BJ490" s="215">
        <f ca="1">IF($D490&lt;&gt;"Serviço",0,IF(AND(AUTOEVENTO="Manual",$M490=1),0,IF(OFFSET(CRONOPLE!$F$14,$M490,BJ$13)="",10^12,OFFSET(CRONOPLE!$F$14,$M490,BJ$13))))</f>
        <v>1000000000000</v>
      </c>
      <c r="BK490" s="215">
        <f ca="1">IF($D490&lt;&gt;"Serviço",0,IF(AND(AUTOEVENTO="Manual",$M490=1),0,IF(OFFSET(CRONOPLE!$F$14,$M490,BK$13)="",10^12,OFFSET(CRONOPLE!$F$14,$M490,BK$13))))</f>
        <v>1000000000000</v>
      </c>
      <c r="BL490" s="215">
        <f ca="1">IF($D490&lt;&gt;"Serviço",0,IF(AND(AUTOEVENTO="Manual",$M490=1),0,IF(OFFSET(CRONOPLE!$F$14,$M490,BL$13)="",10^12,OFFSET(CRONOPLE!$F$14,$M490,BL$13))))</f>
        <v>1000000000000</v>
      </c>
      <c r="BM490" s="215">
        <f ca="1">IF($D490&lt;&gt;"Serviço",0,IF(AND(AUTOEVENTO="Manual",$M490=1),0,IF(OFFSET(CRONOPLE!$F$14,$M490,BM$13)="",10^12,OFFSET(CRONOPLE!$F$14,$M490,BM$13))))</f>
        <v>1000000000000</v>
      </c>
      <c r="BN490" s="215">
        <f ca="1">IF($D490&lt;&gt;"Serviço",0,IF(AND(AUTOEVENTO="Manual",$M490=1),0,IF(OFFSET(CRONOPLE!$F$14,$M490,BN$13)="",10^12,OFFSET(CRONOPLE!$F$14,$M490,BN$13))))</f>
        <v>1000000000000</v>
      </c>
      <c r="BO490" s="215">
        <f ca="1">IF($D490&lt;&gt;"Serviço",0,IF(AND(AUTOEVENTO="Manual",$M490=1),0,IF(OFFSET(CRONOPLE!$F$14,$M490,BO$13)="",10^12,OFFSET(CRONOPLE!$F$14,$M490,BO$13))))</f>
        <v>1000000000000</v>
      </c>
      <c r="BP490" s="215">
        <f ca="1">IF($D490&lt;&gt;"Serviço",0,IF(AND(AUTOEVENTO="Manual",$M490=1),0,IF(OFFSET(CRONOPLE!$F$14,$M490,BP$13)="",10^12,OFFSET(CRONOPLE!$F$14,$M490,BP$13))))</f>
        <v>1000000000000</v>
      </c>
      <c r="BQ490" s="215">
        <f ca="1">IF($D490&lt;&gt;"Serviço",0,IF(AND(AUTOEVENTO="Manual",$M490=1),0,IF(OFFSET(CRONOPLE!$F$14,$M490,BQ$13)="",10^12,OFFSET(CRONOPLE!$F$14,$M490,BQ$13))))</f>
        <v>1000000000000</v>
      </c>
      <c r="BR490" s="215">
        <f ca="1">IF($D490&lt;&gt;"Serviço",0,IF(AND(AUTOEVENTO="Manual",$M490=1),0,IF(OFFSET(CRONOPLE!$F$14,$M490,BR$13)="",10^12,OFFSET(CRONOPLE!$F$14,$M490,BR$13))))</f>
        <v>1000000000000</v>
      </c>
      <c r="BS490" s="215">
        <f ca="1">IF($D490&lt;&gt;"Serviço",0,IF(AND(AUTOEVENTO="Manual",$M490=1),0,IF(OFFSET(CRONOPLE!$F$14,$M490,BS$13)="",10^12,OFFSET(CRONOPLE!$F$14,$M490,BS$13))))</f>
        <v>1000000000000</v>
      </c>
      <c r="BT490" s="215">
        <f ca="1">IF($D490&lt;&gt;"Serviço",0,IF(AND(AUTOEVENTO="Manual",$M490=1),0,IF(OFFSET(CRONOPLE!$F$14,$M490,BT$13)="",10^12,OFFSET(CRONOPLE!$F$14,$M490,BT$13))))</f>
        <v>1000000000000</v>
      </c>
      <c r="BV490" s="216">
        <f ca="1">IF($D490&lt;&gt;"Serviço",0,IF(OR(AND(AUTOEVENTO="Manual",$M490=1),$M490&gt;(ROW(PLE.lastrow)-ROW(PLE.firstrow))),0,IF(OFFSET(PLE!$G$14,$M490,BV$13)="",10^12,OFFSET(PLE!$G$14,$M490,BV$13))))</f>
        <v>1000000000000</v>
      </c>
      <c r="BW490" s="216">
        <f ca="1">IF($D490&lt;&gt;"Serviço",0,IF(OR(AND(AUTOEVENTO="Manual",$M490=1),$M490&gt;(ROW(PLE.lastrow)-ROW(PLE.firstrow))),0,IF(OFFSET(PLE!$G$14,$M490,BW$13)="",10^12,OFFSET(PLE!$G$14,$M490,BW$13))))</f>
        <v>1000000000000</v>
      </c>
      <c r="BX490" s="216">
        <f ca="1">IF($D490&lt;&gt;"Serviço",0,IF(OR(AND(AUTOEVENTO="Manual",$M490=1),$M490&gt;(ROW(PLE.lastrow)-ROW(PLE.firstrow))),0,IF(OFFSET(PLE!$G$14,$M490,BX$13)="",10^12,OFFSET(PLE!$G$14,$M490,BX$13))))</f>
        <v>1000000000000</v>
      </c>
      <c r="BY490" s="216">
        <f ca="1">IF($D490&lt;&gt;"Serviço",0,IF(OR(AND(AUTOEVENTO="Manual",$M490=1),$M490&gt;(ROW(PLE.lastrow)-ROW(PLE.firstrow))),0,IF(OFFSET(PLE!$G$14,$M490,BY$13)="",10^12,OFFSET(PLE!$G$14,$M490,BY$13))))</f>
        <v>1000000000000</v>
      </c>
      <c r="BZ490" s="216">
        <f ca="1">IF($D490&lt;&gt;"Serviço",0,IF(OR(AND(AUTOEVENTO="Manual",$M490=1),$M490&gt;(ROW(PLE.lastrow)-ROW(PLE.firstrow))),0,IF(OFFSET(PLE!$G$14,$M490,BZ$13)="",10^12,OFFSET(PLE!$G$14,$M490,BZ$13))))</f>
        <v>1000000000000</v>
      </c>
      <c r="CA490" s="216">
        <f ca="1">IF($D490&lt;&gt;"Serviço",0,IF(OR(AND(AUTOEVENTO="Manual",$M490=1),$M490&gt;(ROW(PLE.lastrow)-ROW(PLE.firstrow))),0,IF(OFFSET(PLE!$G$14,$M490,CA$13)="",10^12,OFFSET(PLE!$G$14,$M490,CA$13))))</f>
        <v>1000000000000</v>
      </c>
      <c r="CB490" s="216">
        <f ca="1">IF($D490&lt;&gt;"Serviço",0,IF(OR(AND(AUTOEVENTO="Manual",$M490=1),$M490&gt;(ROW(PLE.lastrow)-ROW(PLE.firstrow))),0,IF(OFFSET(PLE!$G$14,$M490,CB$13)="",10^12,OFFSET(PLE!$G$14,$M490,CB$13))))</f>
        <v>1000000000000</v>
      </c>
      <c r="CC490" s="216">
        <f ca="1">IF($D490&lt;&gt;"Serviço",0,IF(OR(AND(AUTOEVENTO="Manual",$M490=1),$M490&gt;(ROW(PLE.lastrow)-ROW(PLE.firstrow))),0,IF(OFFSET(PLE!$G$14,$M490,CC$13)="",10^12,OFFSET(PLE!$G$14,$M490,CC$13))))</f>
        <v>1000000000000</v>
      </c>
      <c r="CD490" s="216">
        <f ca="1">IF($D490&lt;&gt;"Serviço",0,IF(OR(AND(AUTOEVENTO="Manual",$M490=1),$M490&gt;(ROW(PLE.lastrow)-ROW(PLE.firstrow))),0,IF(OFFSET(PLE!$G$14,$M490,CD$13)="",10^12,OFFSET(PLE!$G$14,$M490,CD$13))))</f>
        <v>1000000000000</v>
      </c>
      <c r="CE490" s="216">
        <f ca="1">IF($D490&lt;&gt;"Serviço",0,IF(OR(AND(AUTOEVENTO="Manual",$M490=1),$M490&gt;(ROW(PLE.lastrow)-ROW(PLE.firstrow))),0,IF(OFFSET(PLE!$G$14,$M490,CE$13)="",10^12,OFFSET(PLE!$G$14,$M490,CE$13))))</f>
        <v>1000000000000</v>
      </c>
      <c r="CF490" s="216">
        <f ca="1">IF($D490&lt;&gt;"Serviço",0,IF(OR(AND(AUTOEVENTO="Manual",$M490=1),$M490&gt;(ROW(PLE.lastrow)-ROW(PLE.firstrow))),0,IF(OFFSET(PLE!$G$14,$M490,CF$13)="",10^12,OFFSET(PLE!$G$14,$M490,CF$13))))</f>
        <v>1000000000000</v>
      </c>
      <c r="CG490" s="216">
        <f ca="1">IF($D490&lt;&gt;"Serviço",0,IF(OR(AND(AUTOEVENTO="Manual",$M490=1),$M490&gt;(ROW(PLE.lastrow)-ROW(PLE.firstrow))),0,IF(OFFSET(PLE!$G$14,$M490,CG$13)="",10^12,OFFSET(PLE!$G$14,$M490,CG$13))))</f>
        <v>1000000000000</v>
      </c>
      <c r="CH490" s="216">
        <f ca="1">IF($D490&lt;&gt;"Serviço",0,IF(OR(AND(AUTOEVENTO="Manual",$M490=1),$M490&gt;(ROW(PLE.lastrow)-ROW(PLE.firstrow))),0,IF(OFFSET(PLE!$G$14,$M490,CH$13)="",10^12,OFFSET(PLE!$G$14,$M490,CH$13))))</f>
        <v>1000000000000</v>
      </c>
      <c r="CI490" s="216">
        <f ca="1">IF($D490&lt;&gt;"Serviço",0,IF(OR(AND(AUTOEVENTO="Manual",$M490=1),$M490&gt;(ROW(PLE.lastrow)-ROW(PLE.firstrow))),0,IF(OFFSET(PLE!$G$14,$M490,CI$13)="",10^12,OFFSET(PLE!$G$14,$M490,CI$13))))</f>
        <v>1000000000000</v>
      </c>
      <c r="CJ490" s="216">
        <f ca="1">IF($D490&lt;&gt;"Serviço",0,IF(OR(AND(AUTOEVENTO="Manual",$M490=1),$M490&gt;(ROW(PLE.lastrow)-ROW(PLE.firstrow))),0,IF(OFFSET(PLE!$G$14,$M490,CJ$13)="",10^12,OFFSET(PLE!$G$14,$M490,CJ$13))))</f>
        <v>1000000000000</v>
      </c>
      <c r="CK490" s="216">
        <f ca="1">IF($D490&lt;&gt;"Serviço",0,IF(OR(AND(AUTOEVENTO="Manual",$M490=1),$M490&gt;(ROW(PLE.lastrow)-ROW(PLE.firstrow))),0,IF(OFFSET(PLE!$G$14,$M490,CK$13)="",10^12,OFFSET(PLE!$G$14,$M490,CK$13))))</f>
        <v>1000000000000</v>
      </c>
      <c r="CL490" s="216">
        <f ca="1">IF($D490&lt;&gt;"Serviço",0,IF(OR(AND(AUTOEVENTO="Manual",$M490=1),$M490&gt;(ROW(PLE.lastrow)-ROW(PLE.firstrow))),0,IF(OFFSET(PLE!$G$14,$M490,CL$13)="",10^12,OFFSET(PLE!$G$14,$M490,CL$13))))</f>
        <v>1000000000000</v>
      </c>
      <c r="CM490" s="216">
        <f ca="1">IF($D490&lt;&gt;"Serviço",0,IF(OR(AND(AUTOEVENTO="Manual",$M490=1),$M490&gt;(ROW(PLE.lastrow)-ROW(PLE.firstrow))),0,IF(OFFSET(PLE!$G$14,$M490,CM$13)="",10^12,OFFSET(PLE!$G$14,$M490,CM$13))))</f>
        <v>1000000000000</v>
      </c>
    </row>
    <row r="491" spans="1:91" ht="13.2" x14ac:dyDescent="0.25">
      <c r="A491" s="9">
        <f t="shared" ca="1" si="16"/>
        <v>0</v>
      </c>
      <c r="B491" s="9">
        <f ca="1">OFFSET(ORÇAMENTO!C$15,ROW(B491)-ROW(B$15),0)</f>
        <v>2</v>
      </c>
      <c r="C491" s="9" t="str">
        <f ca="1">OFFSET(ORÇAMENTO!L$15,ROW(C491)-ROW(C$15),0)</f>
        <v>F</v>
      </c>
      <c r="D491" s="145" t="str">
        <f ca="1">OFFSET(ORÇAMENTO!N$15,ROW(D491)-ROW(D$15),0)</f>
        <v>Nível 2</v>
      </c>
      <c r="E491" s="205" t="str">
        <f ca="1">OFFSET(ORÇAMENTO!O$15,ROW(E491)-ROW(E$15),0)</f>
        <v>1.17.</v>
      </c>
      <c r="F491" s="206" t="str">
        <f ca="1">OFFSET(ORÇAMENTO!R$15,ROW(F491)-ROW(F$15),0)</f>
        <v>SISTEMA DE PROTEÇÃO CONTRA INCÊNDIO</v>
      </c>
      <c r="G491" s="207" t="str">
        <f ca="1">IF($D491&lt;&gt;"Serviço","",OFFSET(ORÇAMENTO!S$15,ROW(G491)-ROW(G$15),0))</f>
        <v/>
      </c>
      <c r="H491" s="151">
        <f ca="1">IF($D491&lt;&gt;"Serviço",0,IF(ACOMPANHAMENTO="BM",ROUND(OFFSET(ORÇAMENTO!AJ$15,ROW(H491)-ROW(H$15),0),15-13*ORÇAMENTO!$AF$7),SUMPRODUCT(($Q$12:$AI$12&lt;&gt;"")*ROUND($Q491:$AI491,15-13*ORÇAMENTO!$AF$7))))</f>
        <v>0</v>
      </c>
      <c r="I491" s="650"/>
      <c r="K491" s="208"/>
      <c r="L491" s="209" t="s">
        <v>257</v>
      </c>
      <c r="M491" s="210" t="str">
        <f ca="1">IF($D491&lt;&gt;"Serviço","",IF(AUTOEVENTO="manual",$A491,IF(ISERROR(MATCH($A491,$A$15:OFFSET($A491,-1,0),0)),MAX($M$15:OFFSET(M491,-1,0))+1,INDEX($M$15:OFFSET(M491,-1,0),MATCH($A491,$A$15:OFFSET($A491,-1,0),0)))))</f>
        <v/>
      </c>
      <c r="N491" s="211" t="str">
        <f ca="1">IF($D491&lt;&gt;"Serviço","",IF(AUTOEVENTO="Manual",IF($A491=0,"&lt;-- defina o número do agrupador",OFFSET(EVENTOS!$D$14,$A491,0)),OFFSET($F$15,$A491,0)))</f>
        <v/>
      </c>
      <c r="O491" s="212"/>
      <c r="Q491" s="212"/>
      <c r="R491" s="213"/>
      <c r="S491" s="213"/>
      <c r="T491" s="213"/>
      <c r="U491" s="213"/>
      <c r="V491" s="213"/>
      <c r="W491" s="213"/>
      <c r="X491" s="213"/>
      <c r="Y491" s="213"/>
      <c r="Z491" s="214"/>
      <c r="AA491" s="213"/>
      <c r="AB491" s="213"/>
      <c r="AC491" s="213"/>
      <c r="AD491" s="213"/>
      <c r="AE491" s="213"/>
      <c r="AF491" s="213"/>
      <c r="AG491" s="213"/>
      <c r="AH491" s="214"/>
      <c r="AJ491" s="631">
        <f ca="1">IF(AND($D491="Serviço",AJ$12&lt;&gt;0,$H491&gt;0,OR(AUTOEVENTO&lt;&gt;"manual",$M491&lt;&gt;1)),ROUND(OFFSET($P491,0,AJ$13),15-13*ORÇAMENTO!$AF$7)/$H491*OFFSET(ORÇAMENTO!$X$15,ROW(AJ491)-ROW(AJ$15),0),0)</f>
        <v>0</v>
      </c>
      <c r="AK491" s="632">
        <f ca="1">IF(AND($D491="Serviço",AK$12&lt;&gt;0,$H491&gt;0,OR(AUTOEVENTO&lt;&gt;"manual",$M491&lt;&gt;1)),ROUND(OFFSET($P491,0,AK$13),15-13*ORÇAMENTO!$AF$7)/$H491*OFFSET(ORÇAMENTO!$X$15,ROW(AK491)-ROW(AK$15),0),0)</f>
        <v>0</v>
      </c>
      <c r="AL491" s="632">
        <f ca="1">IF(AND($D491="Serviço",AL$12&lt;&gt;0,$H491&gt;0,OR(AUTOEVENTO&lt;&gt;"manual",$M491&lt;&gt;1)),ROUND(OFFSET($P491,0,AL$13),15-13*ORÇAMENTO!$AF$7)/$H491*OFFSET(ORÇAMENTO!$X$15,ROW(AL491)-ROW(AL$15),0),0)</f>
        <v>0</v>
      </c>
      <c r="AM491" s="632">
        <f ca="1">IF(AND($D491="Serviço",AM$12&lt;&gt;0,$H491&gt;0,OR(AUTOEVENTO&lt;&gt;"manual",$M491&lt;&gt;1)),ROUND(OFFSET($P491,0,AM$13),15-13*ORÇAMENTO!$AF$7)/$H491*OFFSET(ORÇAMENTO!$X$15,ROW(AM491)-ROW(AM$15),0),0)</f>
        <v>0</v>
      </c>
      <c r="AN491" s="632">
        <f ca="1">IF(AND($D491="Serviço",AN$12&lt;&gt;0,$H491&gt;0,OR(AUTOEVENTO&lt;&gt;"manual",$M491&lt;&gt;1)),ROUND(OFFSET($P491,0,AN$13),15-13*ORÇAMENTO!$AF$7)/$H491*OFFSET(ORÇAMENTO!$X$15,ROW(AN491)-ROW(AN$15),0),0)</f>
        <v>0</v>
      </c>
      <c r="AO491" s="632">
        <f ca="1">IF(AND($D491="Serviço",AO$12&lt;&gt;0,$H491&gt;0,OR(AUTOEVENTO&lt;&gt;"manual",$M491&lt;&gt;1)),ROUND(OFFSET($P491,0,AO$13),15-13*ORÇAMENTO!$AF$7)/$H491*OFFSET(ORÇAMENTO!$X$15,ROW(AO491)-ROW(AO$15),0),0)</f>
        <v>0</v>
      </c>
      <c r="AP491" s="632">
        <f ca="1">IF(AND($D491="Serviço",AP$12&lt;&gt;0,$H491&gt;0,OR(AUTOEVENTO&lt;&gt;"manual",$M491&lt;&gt;1)),ROUND(OFFSET($P491,0,AP$13),15-13*ORÇAMENTO!$AF$7)/$H491*OFFSET(ORÇAMENTO!$X$15,ROW(AP491)-ROW(AP$15),0),0)</f>
        <v>0</v>
      </c>
      <c r="AQ491" s="632">
        <f ca="1">IF(AND($D491="Serviço",AQ$12&lt;&gt;0,$H491&gt;0,OR(AUTOEVENTO&lt;&gt;"manual",$M491&lt;&gt;1)),ROUND(OFFSET($P491,0,AQ$13),15-13*ORÇAMENTO!$AF$7)/$H491*OFFSET(ORÇAMENTO!$X$15,ROW(AQ491)-ROW(AQ$15),0),0)</f>
        <v>0</v>
      </c>
      <c r="AR491" s="632">
        <f ca="1">IF(AND($D491="Serviço",AR$12&lt;&gt;0,$H491&gt;0,OR(AUTOEVENTO&lt;&gt;"manual",$M491&lt;&gt;1)),ROUND(OFFSET($P491,0,AR$13),15-13*ORÇAMENTO!$AF$7)/$H491*OFFSET(ORÇAMENTO!$X$15,ROW(AR491)-ROW(AR$15),0),0)</f>
        <v>0</v>
      </c>
      <c r="AS491" s="633">
        <f ca="1">IF(AND($D491="Serviço",AS$12&lt;&gt;0,$H491&gt;0,OR(AUTOEVENTO&lt;&gt;"manual",$M491&lt;&gt;1)),ROUND(OFFSET($P491,0,AS$13),15-13*ORÇAMENTO!$AF$7)/$H491*OFFSET(ORÇAMENTO!$X$15,ROW(AS491)-ROW(AS$15),0),0)</f>
        <v>0</v>
      </c>
      <c r="AT491" s="632">
        <f ca="1">IF(AND($D491="Serviço",AT$12&lt;&gt;0,$H491&gt;0,OR(AUTOEVENTO&lt;&gt;"manual",$M491&lt;&gt;1)),ROUND(OFFSET($P491,0,AT$13),15-13*ORÇAMENTO!$AF$7)/$H491*OFFSET(ORÇAMENTO!$X$15,ROW(AT491)-ROW(AT$15),0),0)</f>
        <v>0</v>
      </c>
      <c r="AU491" s="632">
        <f ca="1">IF(AND($D491="Serviço",AU$12&lt;&gt;0,$H491&gt;0,OR(AUTOEVENTO&lt;&gt;"manual",$M491&lt;&gt;1)),ROUND(OFFSET($P491,0,AU$13),15-13*ORÇAMENTO!$AF$7)/$H491*OFFSET(ORÇAMENTO!$X$15,ROW(AU491)-ROW(AU$15),0),0)</f>
        <v>0</v>
      </c>
      <c r="AV491" s="632">
        <f ca="1">IF(AND($D491="Serviço",AV$12&lt;&gt;0,$H491&gt;0,OR(AUTOEVENTO&lt;&gt;"manual",$M491&lt;&gt;1)),ROUND(OFFSET($P491,0,AV$13),15-13*ORÇAMENTO!$AF$7)/$H491*OFFSET(ORÇAMENTO!$X$15,ROW(AV491)-ROW(AV$15),0),0)</f>
        <v>0</v>
      </c>
      <c r="AW491" s="632">
        <f ca="1">IF(AND($D491="Serviço",AW$12&lt;&gt;0,$H491&gt;0,OR(AUTOEVENTO&lt;&gt;"manual",$M491&lt;&gt;1)),ROUND(OFFSET($P491,0,AW$13),15-13*ORÇAMENTO!$AF$7)/$H491*OFFSET(ORÇAMENTO!$X$15,ROW(AW491)-ROW(AW$15),0),0)</f>
        <v>0</v>
      </c>
      <c r="AX491" s="632">
        <f ca="1">IF(AND($D491="Serviço",AX$12&lt;&gt;0,$H491&gt;0,OR(AUTOEVENTO&lt;&gt;"manual",$M491&lt;&gt;1)),ROUND(OFFSET($P491,0,AX$13),15-13*ORÇAMENTO!$AF$7)/$H491*OFFSET(ORÇAMENTO!$X$15,ROW(AX491)-ROW(AX$15),0),0)</f>
        <v>0</v>
      </c>
      <c r="AY491" s="632">
        <f ca="1">IF(AND($D491="Serviço",AY$12&lt;&gt;0,$H491&gt;0,OR(AUTOEVENTO&lt;&gt;"manual",$M491&lt;&gt;1)),ROUND(OFFSET($P491,0,AY$13),15-13*ORÇAMENTO!$AF$7)/$H491*OFFSET(ORÇAMENTO!$X$15,ROW(AY491)-ROW(AY$15),0),0)</f>
        <v>0</v>
      </c>
      <c r="AZ491" s="632">
        <f ca="1">IF(AND($D491="Serviço",AZ$12&lt;&gt;0,$H491&gt;0,OR(AUTOEVENTO&lt;&gt;"manual",$M491&lt;&gt;1)),ROUND(OFFSET($P491,0,AZ$13),15-13*ORÇAMENTO!$AF$7)/$H491*OFFSET(ORÇAMENTO!$X$15,ROW(AZ491)-ROW(AZ$15),0),0)</f>
        <v>0</v>
      </c>
      <c r="BA491" s="633">
        <f ca="1">IF(AND($D491="Serviço",BA$12&lt;&gt;0,$H491&gt;0,OR(AUTOEVENTO&lt;&gt;"manual",$M491&lt;&gt;1)),ROUND(OFFSET($P491,0,BA$13),15-13*ORÇAMENTO!$AF$7)/$H491*OFFSET(ORÇAMENTO!$X$15,ROW(BA491)-ROW(BA$15),0),0)</f>
        <v>0</v>
      </c>
      <c r="BC491" s="215">
        <f ca="1">IF($D491&lt;&gt;"Serviço",0,IF(AND(AUTOEVENTO="Manual",$M491=1),0,IF(OFFSET(CRONOPLE!$F$14,$M491,BC$13)="",10^12,OFFSET(CRONOPLE!$F$14,$M491,BC$13))))</f>
        <v>0</v>
      </c>
      <c r="BD491" s="215">
        <f ca="1">IF($D491&lt;&gt;"Serviço",0,IF(AND(AUTOEVENTO="Manual",$M491=1),0,IF(OFFSET(CRONOPLE!$F$14,$M491,BD$13)="",10^12,OFFSET(CRONOPLE!$F$14,$M491,BD$13))))</f>
        <v>0</v>
      </c>
      <c r="BE491" s="215">
        <f ca="1">IF($D491&lt;&gt;"Serviço",0,IF(AND(AUTOEVENTO="Manual",$M491=1),0,IF(OFFSET(CRONOPLE!$F$14,$M491,BE$13)="",10^12,OFFSET(CRONOPLE!$F$14,$M491,BE$13))))</f>
        <v>0</v>
      </c>
      <c r="BF491" s="215">
        <f ca="1">IF($D491&lt;&gt;"Serviço",0,IF(AND(AUTOEVENTO="Manual",$M491=1),0,IF(OFFSET(CRONOPLE!$F$14,$M491,BF$13)="",10^12,OFFSET(CRONOPLE!$F$14,$M491,BF$13))))</f>
        <v>0</v>
      </c>
      <c r="BG491" s="215">
        <f ca="1">IF($D491&lt;&gt;"Serviço",0,IF(AND(AUTOEVENTO="Manual",$M491=1),0,IF(OFFSET(CRONOPLE!$F$14,$M491,BG$13)="",10^12,OFFSET(CRONOPLE!$F$14,$M491,BG$13))))</f>
        <v>0</v>
      </c>
      <c r="BH491" s="215">
        <f ca="1">IF($D491&lt;&gt;"Serviço",0,IF(AND(AUTOEVENTO="Manual",$M491=1),0,IF(OFFSET(CRONOPLE!$F$14,$M491,BH$13)="",10^12,OFFSET(CRONOPLE!$F$14,$M491,BH$13))))</f>
        <v>0</v>
      </c>
      <c r="BI491" s="215">
        <f ca="1">IF($D491&lt;&gt;"Serviço",0,IF(AND(AUTOEVENTO="Manual",$M491=1),0,IF(OFFSET(CRONOPLE!$F$14,$M491,BI$13)="",10^12,OFFSET(CRONOPLE!$F$14,$M491,BI$13))))</f>
        <v>0</v>
      </c>
      <c r="BJ491" s="215">
        <f ca="1">IF($D491&lt;&gt;"Serviço",0,IF(AND(AUTOEVENTO="Manual",$M491=1),0,IF(OFFSET(CRONOPLE!$F$14,$M491,BJ$13)="",10^12,OFFSET(CRONOPLE!$F$14,$M491,BJ$13))))</f>
        <v>0</v>
      </c>
      <c r="BK491" s="215">
        <f ca="1">IF($D491&lt;&gt;"Serviço",0,IF(AND(AUTOEVENTO="Manual",$M491=1),0,IF(OFFSET(CRONOPLE!$F$14,$M491,BK$13)="",10^12,OFFSET(CRONOPLE!$F$14,$M491,BK$13))))</f>
        <v>0</v>
      </c>
      <c r="BL491" s="215">
        <f ca="1">IF($D491&lt;&gt;"Serviço",0,IF(AND(AUTOEVENTO="Manual",$M491=1),0,IF(OFFSET(CRONOPLE!$F$14,$M491,BL$13)="",10^12,OFFSET(CRONOPLE!$F$14,$M491,BL$13))))</f>
        <v>0</v>
      </c>
      <c r="BM491" s="215">
        <f ca="1">IF($D491&lt;&gt;"Serviço",0,IF(AND(AUTOEVENTO="Manual",$M491=1),0,IF(OFFSET(CRONOPLE!$F$14,$M491,BM$13)="",10^12,OFFSET(CRONOPLE!$F$14,$M491,BM$13))))</f>
        <v>0</v>
      </c>
      <c r="BN491" s="215">
        <f ca="1">IF($D491&lt;&gt;"Serviço",0,IF(AND(AUTOEVENTO="Manual",$M491=1),0,IF(OFFSET(CRONOPLE!$F$14,$M491,BN$13)="",10^12,OFFSET(CRONOPLE!$F$14,$M491,BN$13))))</f>
        <v>0</v>
      </c>
      <c r="BO491" s="215">
        <f ca="1">IF($D491&lt;&gt;"Serviço",0,IF(AND(AUTOEVENTO="Manual",$M491=1),0,IF(OFFSET(CRONOPLE!$F$14,$M491,BO$13)="",10^12,OFFSET(CRONOPLE!$F$14,$M491,BO$13))))</f>
        <v>0</v>
      </c>
      <c r="BP491" s="215">
        <f ca="1">IF($D491&lt;&gt;"Serviço",0,IF(AND(AUTOEVENTO="Manual",$M491=1),0,IF(OFFSET(CRONOPLE!$F$14,$M491,BP$13)="",10^12,OFFSET(CRONOPLE!$F$14,$M491,BP$13))))</f>
        <v>0</v>
      </c>
      <c r="BQ491" s="215">
        <f ca="1">IF($D491&lt;&gt;"Serviço",0,IF(AND(AUTOEVENTO="Manual",$M491=1),0,IF(OFFSET(CRONOPLE!$F$14,$M491,BQ$13)="",10^12,OFFSET(CRONOPLE!$F$14,$M491,BQ$13))))</f>
        <v>0</v>
      </c>
      <c r="BR491" s="215">
        <f ca="1">IF($D491&lt;&gt;"Serviço",0,IF(AND(AUTOEVENTO="Manual",$M491=1),0,IF(OFFSET(CRONOPLE!$F$14,$M491,BR$13)="",10^12,OFFSET(CRONOPLE!$F$14,$M491,BR$13))))</f>
        <v>0</v>
      </c>
      <c r="BS491" s="215">
        <f ca="1">IF($D491&lt;&gt;"Serviço",0,IF(AND(AUTOEVENTO="Manual",$M491=1),0,IF(OFFSET(CRONOPLE!$F$14,$M491,BS$13)="",10^12,OFFSET(CRONOPLE!$F$14,$M491,BS$13))))</f>
        <v>0</v>
      </c>
      <c r="BT491" s="215">
        <f ca="1">IF($D491&lt;&gt;"Serviço",0,IF(AND(AUTOEVENTO="Manual",$M491=1),0,IF(OFFSET(CRONOPLE!$F$14,$M491,BT$13)="",10^12,OFFSET(CRONOPLE!$F$14,$M491,BT$13))))</f>
        <v>0</v>
      </c>
      <c r="BV491" s="216">
        <f ca="1">IF($D491&lt;&gt;"Serviço",0,IF(OR(AND(AUTOEVENTO="Manual",$M491=1),$M491&gt;(ROW(PLE.lastrow)-ROW(PLE.firstrow))),0,IF(OFFSET(PLE!$G$14,$M491,BV$13)="",10^12,OFFSET(PLE!$G$14,$M491,BV$13))))</f>
        <v>0</v>
      </c>
      <c r="BW491" s="216">
        <f ca="1">IF($D491&lt;&gt;"Serviço",0,IF(OR(AND(AUTOEVENTO="Manual",$M491=1),$M491&gt;(ROW(PLE.lastrow)-ROW(PLE.firstrow))),0,IF(OFFSET(PLE!$G$14,$M491,BW$13)="",10^12,OFFSET(PLE!$G$14,$M491,BW$13))))</f>
        <v>0</v>
      </c>
      <c r="BX491" s="216">
        <f ca="1">IF($D491&lt;&gt;"Serviço",0,IF(OR(AND(AUTOEVENTO="Manual",$M491=1),$M491&gt;(ROW(PLE.lastrow)-ROW(PLE.firstrow))),0,IF(OFFSET(PLE!$G$14,$M491,BX$13)="",10^12,OFFSET(PLE!$G$14,$M491,BX$13))))</f>
        <v>0</v>
      </c>
      <c r="BY491" s="216">
        <f ca="1">IF($D491&lt;&gt;"Serviço",0,IF(OR(AND(AUTOEVENTO="Manual",$M491=1),$M491&gt;(ROW(PLE.lastrow)-ROW(PLE.firstrow))),0,IF(OFFSET(PLE!$G$14,$M491,BY$13)="",10^12,OFFSET(PLE!$G$14,$M491,BY$13))))</f>
        <v>0</v>
      </c>
      <c r="BZ491" s="216">
        <f ca="1">IF($D491&lt;&gt;"Serviço",0,IF(OR(AND(AUTOEVENTO="Manual",$M491=1),$M491&gt;(ROW(PLE.lastrow)-ROW(PLE.firstrow))),0,IF(OFFSET(PLE!$G$14,$M491,BZ$13)="",10^12,OFFSET(PLE!$G$14,$M491,BZ$13))))</f>
        <v>0</v>
      </c>
      <c r="CA491" s="216">
        <f ca="1">IF($D491&lt;&gt;"Serviço",0,IF(OR(AND(AUTOEVENTO="Manual",$M491=1),$M491&gt;(ROW(PLE.lastrow)-ROW(PLE.firstrow))),0,IF(OFFSET(PLE!$G$14,$M491,CA$13)="",10^12,OFFSET(PLE!$G$14,$M491,CA$13))))</f>
        <v>0</v>
      </c>
      <c r="CB491" s="216">
        <f ca="1">IF($D491&lt;&gt;"Serviço",0,IF(OR(AND(AUTOEVENTO="Manual",$M491=1),$M491&gt;(ROW(PLE.lastrow)-ROW(PLE.firstrow))),0,IF(OFFSET(PLE!$G$14,$M491,CB$13)="",10^12,OFFSET(PLE!$G$14,$M491,CB$13))))</f>
        <v>0</v>
      </c>
      <c r="CC491" s="216">
        <f ca="1">IF($D491&lt;&gt;"Serviço",0,IF(OR(AND(AUTOEVENTO="Manual",$M491=1),$M491&gt;(ROW(PLE.lastrow)-ROW(PLE.firstrow))),0,IF(OFFSET(PLE!$G$14,$M491,CC$13)="",10^12,OFFSET(PLE!$G$14,$M491,CC$13))))</f>
        <v>0</v>
      </c>
      <c r="CD491" s="216">
        <f ca="1">IF($D491&lt;&gt;"Serviço",0,IF(OR(AND(AUTOEVENTO="Manual",$M491=1),$M491&gt;(ROW(PLE.lastrow)-ROW(PLE.firstrow))),0,IF(OFFSET(PLE!$G$14,$M491,CD$13)="",10^12,OFFSET(PLE!$G$14,$M491,CD$13))))</f>
        <v>0</v>
      </c>
      <c r="CE491" s="216">
        <f ca="1">IF($D491&lt;&gt;"Serviço",0,IF(OR(AND(AUTOEVENTO="Manual",$M491=1),$M491&gt;(ROW(PLE.lastrow)-ROW(PLE.firstrow))),0,IF(OFFSET(PLE!$G$14,$M491,CE$13)="",10^12,OFFSET(PLE!$G$14,$M491,CE$13))))</f>
        <v>0</v>
      </c>
      <c r="CF491" s="216">
        <f ca="1">IF($D491&lt;&gt;"Serviço",0,IF(OR(AND(AUTOEVENTO="Manual",$M491=1),$M491&gt;(ROW(PLE.lastrow)-ROW(PLE.firstrow))),0,IF(OFFSET(PLE!$G$14,$M491,CF$13)="",10^12,OFFSET(PLE!$G$14,$M491,CF$13))))</f>
        <v>0</v>
      </c>
      <c r="CG491" s="216">
        <f ca="1">IF($D491&lt;&gt;"Serviço",0,IF(OR(AND(AUTOEVENTO="Manual",$M491=1),$M491&gt;(ROW(PLE.lastrow)-ROW(PLE.firstrow))),0,IF(OFFSET(PLE!$G$14,$M491,CG$13)="",10^12,OFFSET(PLE!$G$14,$M491,CG$13))))</f>
        <v>0</v>
      </c>
      <c r="CH491" s="216">
        <f ca="1">IF($D491&lt;&gt;"Serviço",0,IF(OR(AND(AUTOEVENTO="Manual",$M491=1),$M491&gt;(ROW(PLE.lastrow)-ROW(PLE.firstrow))),0,IF(OFFSET(PLE!$G$14,$M491,CH$13)="",10^12,OFFSET(PLE!$G$14,$M491,CH$13))))</f>
        <v>0</v>
      </c>
      <c r="CI491" s="216">
        <f ca="1">IF($D491&lt;&gt;"Serviço",0,IF(OR(AND(AUTOEVENTO="Manual",$M491=1),$M491&gt;(ROW(PLE.lastrow)-ROW(PLE.firstrow))),0,IF(OFFSET(PLE!$G$14,$M491,CI$13)="",10^12,OFFSET(PLE!$G$14,$M491,CI$13))))</f>
        <v>0</v>
      </c>
      <c r="CJ491" s="216">
        <f ca="1">IF($D491&lt;&gt;"Serviço",0,IF(OR(AND(AUTOEVENTO="Manual",$M491=1),$M491&gt;(ROW(PLE.lastrow)-ROW(PLE.firstrow))),0,IF(OFFSET(PLE!$G$14,$M491,CJ$13)="",10^12,OFFSET(PLE!$G$14,$M491,CJ$13))))</f>
        <v>0</v>
      </c>
      <c r="CK491" s="216">
        <f ca="1">IF($D491&lt;&gt;"Serviço",0,IF(OR(AND(AUTOEVENTO="Manual",$M491=1),$M491&gt;(ROW(PLE.lastrow)-ROW(PLE.firstrow))),0,IF(OFFSET(PLE!$G$14,$M491,CK$13)="",10^12,OFFSET(PLE!$G$14,$M491,CK$13))))</f>
        <v>0</v>
      </c>
      <c r="CL491" s="216">
        <f ca="1">IF($D491&lt;&gt;"Serviço",0,IF(OR(AND(AUTOEVENTO="Manual",$M491=1),$M491&gt;(ROW(PLE.lastrow)-ROW(PLE.firstrow))),0,IF(OFFSET(PLE!$G$14,$M491,CL$13)="",10^12,OFFSET(PLE!$G$14,$M491,CL$13))))</f>
        <v>0</v>
      </c>
      <c r="CM491" s="216">
        <f ca="1">IF($D491&lt;&gt;"Serviço",0,IF(OR(AND(AUTOEVENTO="Manual",$M491=1),$M491&gt;(ROW(PLE.lastrow)-ROW(PLE.firstrow))),0,IF(OFFSET(PLE!$G$14,$M491,CM$13)="",10^12,OFFSET(PLE!$G$14,$M491,CM$13))))</f>
        <v>0</v>
      </c>
    </row>
    <row r="492" spans="1:91" ht="13.2" x14ac:dyDescent="0.25">
      <c r="A492" s="9">
        <f t="shared" ca="1" si="16"/>
        <v>0</v>
      </c>
      <c r="B492" s="9">
        <f ca="1">OFFSET(ORÇAMENTO!C$15,ROW(B492)-ROW(B$15),0)</f>
        <v>3</v>
      </c>
      <c r="C492" s="9" t="str">
        <f ca="1">OFFSET(ORÇAMENTO!L$15,ROW(C492)-ROW(C$15),0)</f>
        <v>F</v>
      </c>
      <c r="D492" s="145" t="str">
        <f ca="1">OFFSET(ORÇAMENTO!N$15,ROW(D492)-ROW(D$15),0)</f>
        <v>Nível 3</v>
      </c>
      <c r="E492" s="205" t="str">
        <f ca="1">OFFSET(ORÇAMENTO!O$15,ROW(E492)-ROW(E$15),0)</f>
        <v>1.17.1.</v>
      </c>
      <c r="F492" s="206" t="str">
        <f ca="1">OFFSET(ORÇAMENTO!R$15,ROW(F492)-ROW(F$15),0)</f>
        <v>EXTINTOR</v>
      </c>
      <c r="G492" s="207" t="str">
        <f ca="1">IF($D492&lt;&gt;"Serviço","",OFFSET(ORÇAMENTO!S$15,ROW(G492)-ROW(G$15),0))</f>
        <v/>
      </c>
      <c r="H492" s="151">
        <f ca="1">IF($D492&lt;&gt;"Serviço",0,IF(ACOMPANHAMENTO="BM",ROUND(OFFSET(ORÇAMENTO!AJ$15,ROW(H492)-ROW(H$15),0),15-13*ORÇAMENTO!$AF$7),SUMPRODUCT(($Q$12:$AI$12&lt;&gt;"")*ROUND($Q492:$AI492,15-13*ORÇAMENTO!$AF$7))))</f>
        <v>0</v>
      </c>
      <c r="I492" s="650"/>
      <c r="K492" s="208"/>
      <c r="L492" s="209" t="s">
        <v>257</v>
      </c>
      <c r="M492" s="210" t="str">
        <f ca="1">IF($D492&lt;&gt;"Serviço","",IF(AUTOEVENTO="manual",$A492,IF(ISERROR(MATCH($A492,$A$15:OFFSET($A492,-1,0),0)),MAX($M$15:OFFSET(M492,-1,0))+1,INDEX($M$15:OFFSET(M492,-1,0),MATCH($A492,$A$15:OFFSET($A492,-1,0),0)))))</f>
        <v/>
      </c>
      <c r="N492" s="211" t="str">
        <f ca="1">IF($D492&lt;&gt;"Serviço","",IF(AUTOEVENTO="Manual",IF($A492=0,"&lt;-- defina o número do agrupador",OFFSET(EVENTOS!$D$14,$A492,0)),OFFSET($F$15,$A492,0)))</f>
        <v/>
      </c>
      <c r="O492" s="212"/>
      <c r="Q492" s="212"/>
      <c r="R492" s="213"/>
      <c r="S492" s="213"/>
      <c r="T492" s="213"/>
      <c r="U492" s="213"/>
      <c r="V492" s="213"/>
      <c r="W492" s="213"/>
      <c r="X492" s="213"/>
      <c r="Y492" s="213"/>
      <c r="Z492" s="214"/>
      <c r="AA492" s="213"/>
      <c r="AB492" s="213"/>
      <c r="AC492" s="213"/>
      <c r="AD492" s="213"/>
      <c r="AE492" s="213"/>
      <c r="AF492" s="213"/>
      <c r="AG492" s="213"/>
      <c r="AH492" s="214"/>
      <c r="AJ492" s="631">
        <f ca="1">IF(AND($D492="Serviço",AJ$12&lt;&gt;0,$H492&gt;0,OR(AUTOEVENTO&lt;&gt;"manual",$M492&lt;&gt;1)),ROUND(OFFSET($P492,0,AJ$13),15-13*ORÇAMENTO!$AF$7)/$H492*OFFSET(ORÇAMENTO!$X$15,ROW(AJ492)-ROW(AJ$15),0),0)</f>
        <v>0</v>
      </c>
      <c r="AK492" s="632">
        <f ca="1">IF(AND($D492="Serviço",AK$12&lt;&gt;0,$H492&gt;0,OR(AUTOEVENTO&lt;&gt;"manual",$M492&lt;&gt;1)),ROUND(OFFSET($P492,0,AK$13),15-13*ORÇAMENTO!$AF$7)/$H492*OFFSET(ORÇAMENTO!$X$15,ROW(AK492)-ROW(AK$15),0),0)</f>
        <v>0</v>
      </c>
      <c r="AL492" s="632">
        <f ca="1">IF(AND($D492="Serviço",AL$12&lt;&gt;0,$H492&gt;0,OR(AUTOEVENTO&lt;&gt;"manual",$M492&lt;&gt;1)),ROUND(OFFSET($P492,0,AL$13),15-13*ORÇAMENTO!$AF$7)/$H492*OFFSET(ORÇAMENTO!$X$15,ROW(AL492)-ROW(AL$15),0),0)</f>
        <v>0</v>
      </c>
      <c r="AM492" s="632">
        <f ca="1">IF(AND($D492="Serviço",AM$12&lt;&gt;0,$H492&gt;0,OR(AUTOEVENTO&lt;&gt;"manual",$M492&lt;&gt;1)),ROUND(OFFSET($P492,0,AM$13),15-13*ORÇAMENTO!$AF$7)/$H492*OFFSET(ORÇAMENTO!$X$15,ROW(AM492)-ROW(AM$15),0),0)</f>
        <v>0</v>
      </c>
      <c r="AN492" s="632">
        <f ca="1">IF(AND($D492="Serviço",AN$12&lt;&gt;0,$H492&gt;0,OR(AUTOEVENTO&lt;&gt;"manual",$M492&lt;&gt;1)),ROUND(OFFSET($P492,0,AN$13),15-13*ORÇAMENTO!$AF$7)/$H492*OFFSET(ORÇAMENTO!$X$15,ROW(AN492)-ROW(AN$15),0),0)</f>
        <v>0</v>
      </c>
      <c r="AO492" s="632">
        <f ca="1">IF(AND($D492="Serviço",AO$12&lt;&gt;0,$H492&gt;0,OR(AUTOEVENTO&lt;&gt;"manual",$M492&lt;&gt;1)),ROUND(OFFSET($P492,0,AO$13),15-13*ORÇAMENTO!$AF$7)/$H492*OFFSET(ORÇAMENTO!$X$15,ROW(AO492)-ROW(AO$15),0),0)</f>
        <v>0</v>
      </c>
      <c r="AP492" s="632">
        <f ca="1">IF(AND($D492="Serviço",AP$12&lt;&gt;0,$H492&gt;0,OR(AUTOEVENTO&lt;&gt;"manual",$M492&lt;&gt;1)),ROUND(OFFSET($P492,0,AP$13),15-13*ORÇAMENTO!$AF$7)/$H492*OFFSET(ORÇAMENTO!$X$15,ROW(AP492)-ROW(AP$15),0),0)</f>
        <v>0</v>
      </c>
      <c r="AQ492" s="632">
        <f ca="1">IF(AND($D492="Serviço",AQ$12&lt;&gt;0,$H492&gt;0,OR(AUTOEVENTO&lt;&gt;"manual",$M492&lt;&gt;1)),ROUND(OFFSET($P492,0,AQ$13),15-13*ORÇAMENTO!$AF$7)/$H492*OFFSET(ORÇAMENTO!$X$15,ROW(AQ492)-ROW(AQ$15),0),0)</f>
        <v>0</v>
      </c>
      <c r="AR492" s="632">
        <f ca="1">IF(AND($D492="Serviço",AR$12&lt;&gt;0,$H492&gt;0,OR(AUTOEVENTO&lt;&gt;"manual",$M492&lt;&gt;1)),ROUND(OFFSET($P492,0,AR$13),15-13*ORÇAMENTO!$AF$7)/$H492*OFFSET(ORÇAMENTO!$X$15,ROW(AR492)-ROW(AR$15),0),0)</f>
        <v>0</v>
      </c>
      <c r="AS492" s="633">
        <f ca="1">IF(AND($D492="Serviço",AS$12&lt;&gt;0,$H492&gt;0,OR(AUTOEVENTO&lt;&gt;"manual",$M492&lt;&gt;1)),ROUND(OFFSET($P492,0,AS$13),15-13*ORÇAMENTO!$AF$7)/$H492*OFFSET(ORÇAMENTO!$X$15,ROW(AS492)-ROW(AS$15),0),0)</f>
        <v>0</v>
      </c>
      <c r="AT492" s="632">
        <f ca="1">IF(AND($D492="Serviço",AT$12&lt;&gt;0,$H492&gt;0,OR(AUTOEVENTO&lt;&gt;"manual",$M492&lt;&gt;1)),ROUND(OFFSET($P492,0,AT$13),15-13*ORÇAMENTO!$AF$7)/$H492*OFFSET(ORÇAMENTO!$X$15,ROW(AT492)-ROW(AT$15),0),0)</f>
        <v>0</v>
      </c>
      <c r="AU492" s="632">
        <f ca="1">IF(AND($D492="Serviço",AU$12&lt;&gt;0,$H492&gt;0,OR(AUTOEVENTO&lt;&gt;"manual",$M492&lt;&gt;1)),ROUND(OFFSET($P492,0,AU$13),15-13*ORÇAMENTO!$AF$7)/$H492*OFFSET(ORÇAMENTO!$X$15,ROW(AU492)-ROW(AU$15),0),0)</f>
        <v>0</v>
      </c>
      <c r="AV492" s="632">
        <f ca="1">IF(AND($D492="Serviço",AV$12&lt;&gt;0,$H492&gt;0,OR(AUTOEVENTO&lt;&gt;"manual",$M492&lt;&gt;1)),ROUND(OFFSET($P492,0,AV$13),15-13*ORÇAMENTO!$AF$7)/$H492*OFFSET(ORÇAMENTO!$X$15,ROW(AV492)-ROW(AV$15),0),0)</f>
        <v>0</v>
      </c>
      <c r="AW492" s="632">
        <f ca="1">IF(AND($D492="Serviço",AW$12&lt;&gt;0,$H492&gt;0,OR(AUTOEVENTO&lt;&gt;"manual",$M492&lt;&gt;1)),ROUND(OFFSET($P492,0,AW$13),15-13*ORÇAMENTO!$AF$7)/$H492*OFFSET(ORÇAMENTO!$X$15,ROW(AW492)-ROW(AW$15),0),0)</f>
        <v>0</v>
      </c>
      <c r="AX492" s="632">
        <f ca="1">IF(AND($D492="Serviço",AX$12&lt;&gt;0,$H492&gt;0,OR(AUTOEVENTO&lt;&gt;"manual",$M492&lt;&gt;1)),ROUND(OFFSET($P492,0,AX$13),15-13*ORÇAMENTO!$AF$7)/$H492*OFFSET(ORÇAMENTO!$X$15,ROW(AX492)-ROW(AX$15),0),0)</f>
        <v>0</v>
      </c>
      <c r="AY492" s="632">
        <f ca="1">IF(AND($D492="Serviço",AY$12&lt;&gt;0,$H492&gt;0,OR(AUTOEVENTO&lt;&gt;"manual",$M492&lt;&gt;1)),ROUND(OFFSET($P492,0,AY$13),15-13*ORÇAMENTO!$AF$7)/$H492*OFFSET(ORÇAMENTO!$X$15,ROW(AY492)-ROW(AY$15),0),0)</f>
        <v>0</v>
      </c>
      <c r="AZ492" s="632">
        <f ca="1">IF(AND($D492="Serviço",AZ$12&lt;&gt;0,$H492&gt;0,OR(AUTOEVENTO&lt;&gt;"manual",$M492&lt;&gt;1)),ROUND(OFFSET($P492,0,AZ$13),15-13*ORÇAMENTO!$AF$7)/$H492*OFFSET(ORÇAMENTO!$X$15,ROW(AZ492)-ROW(AZ$15),0),0)</f>
        <v>0</v>
      </c>
      <c r="BA492" s="633">
        <f ca="1">IF(AND($D492="Serviço",BA$12&lt;&gt;0,$H492&gt;0,OR(AUTOEVENTO&lt;&gt;"manual",$M492&lt;&gt;1)),ROUND(OFFSET($P492,0,BA$13),15-13*ORÇAMENTO!$AF$7)/$H492*OFFSET(ORÇAMENTO!$X$15,ROW(BA492)-ROW(BA$15),0),0)</f>
        <v>0</v>
      </c>
      <c r="BC492" s="215">
        <f ca="1">IF($D492&lt;&gt;"Serviço",0,IF(AND(AUTOEVENTO="Manual",$M492=1),0,IF(OFFSET(CRONOPLE!$F$14,$M492,BC$13)="",10^12,OFFSET(CRONOPLE!$F$14,$M492,BC$13))))</f>
        <v>0</v>
      </c>
      <c r="BD492" s="215">
        <f ca="1">IF($D492&lt;&gt;"Serviço",0,IF(AND(AUTOEVENTO="Manual",$M492=1),0,IF(OFFSET(CRONOPLE!$F$14,$M492,BD$13)="",10^12,OFFSET(CRONOPLE!$F$14,$M492,BD$13))))</f>
        <v>0</v>
      </c>
      <c r="BE492" s="215">
        <f ca="1">IF($D492&lt;&gt;"Serviço",0,IF(AND(AUTOEVENTO="Manual",$M492=1),0,IF(OFFSET(CRONOPLE!$F$14,$M492,BE$13)="",10^12,OFFSET(CRONOPLE!$F$14,$M492,BE$13))))</f>
        <v>0</v>
      </c>
      <c r="BF492" s="215">
        <f ca="1">IF($D492&lt;&gt;"Serviço",0,IF(AND(AUTOEVENTO="Manual",$M492=1),0,IF(OFFSET(CRONOPLE!$F$14,$M492,BF$13)="",10^12,OFFSET(CRONOPLE!$F$14,$M492,BF$13))))</f>
        <v>0</v>
      </c>
      <c r="BG492" s="215">
        <f ca="1">IF($D492&lt;&gt;"Serviço",0,IF(AND(AUTOEVENTO="Manual",$M492=1),0,IF(OFFSET(CRONOPLE!$F$14,$M492,BG$13)="",10^12,OFFSET(CRONOPLE!$F$14,$M492,BG$13))))</f>
        <v>0</v>
      </c>
      <c r="BH492" s="215">
        <f ca="1">IF($D492&lt;&gt;"Serviço",0,IF(AND(AUTOEVENTO="Manual",$M492=1),0,IF(OFFSET(CRONOPLE!$F$14,$M492,BH$13)="",10^12,OFFSET(CRONOPLE!$F$14,$M492,BH$13))))</f>
        <v>0</v>
      </c>
      <c r="BI492" s="215">
        <f ca="1">IF($D492&lt;&gt;"Serviço",0,IF(AND(AUTOEVENTO="Manual",$M492=1),0,IF(OFFSET(CRONOPLE!$F$14,$M492,BI$13)="",10^12,OFFSET(CRONOPLE!$F$14,$M492,BI$13))))</f>
        <v>0</v>
      </c>
      <c r="BJ492" s="215">
        <f ca="1">IF($D492&lt;&gt;"Serviço",0,IF(AND(AUTOEVENTO="Manual",$M492=1),0,IF(OFFSET(CRONOPLE!$F$14,$M492,BJ$13)="",10^12,OFFSET(CRONOPLE!$F$14,$M492,BJ$13))))</f>
        <v>0</v>
      </c>
      <c r="BK492" s="215">
        <f ca="1">IF($D492&lt;&gt;"Serviço",0,IF(AND(AUTOEVENTO="Manual",$M492=1),0,IF(OFFSET(CRONOPLE!$F$14,$M492,BK$13)="",10^12,OFFSET(CRONOPLE!$F$14,$M492,BK$13))))</f>
        <v>0</v>
      </c>
      <c r="BL492" s="215">
        <f ca="1">IF($D492&lt;&gt;"Serviço",0,IF(AND(AUTOEVENTO="Manual",$M492=1),0,IF(OFFSET(CRONOPLE!$F$14,$M492,BL$13)="",10^12,OFFSET(CRONOPLE!$F$14,$M492,BL$13))))</f>
        <v>0</v>
      </c>
      <c r="BM492" s="215">
        <f ca="1">IF($D492&lt;&gt;"Serviço",0,IF(AND(AUTOEVENTO="Manual",$M492=1),0,IF(OFFSET(CRONOPLE!$F$14,$M492,BM$13)="",10^12,OFFSET(CRONOPLE!$F$14,$M492,BM$13))))</f>
        <v>0</v>
      </c>
      <c r="BN492" s="215">
        <f ca="1">IF($D492&lt;&gt;"Serviço",0,IF(AND(AUTOEVENTO="Manual",$M492=1),0,IF(OFFSET(CRONOPLE!$F$14,$M492,BN$13)="",10^12,OFFSET(CRONOPLE!$F$14,$M492,BN$13))))</f>
        <v>0</v>
      </c>
      <c r="BO492" s="215">
        <f ca="1">IF($D492&lt;&gt;"Serviço",0,IF(AND(AUTOEVENTO="Manual",$M492=1),0,IF(OFFSET(CRONOPLE!$F$14,$M492,BO$13)="",10^12,OFFSET(CRONOPLE!$F$14,$M492,BO$13))))</f>
        <v>0</v>
      </c>
      <c r="BP492" s="215">
        <f ca="1">IF($D492&lt;&gt;"Serviço",0,IF(AND(AUTOEVENTO="Manual",$M492=1),0,IF(OFFSET(CRONOPLE!$F$14,$M492,BP$13)="",10^12,OFFSET(CRONOPLE!$F$14,$M492,BP$13))))</f>
        <v>0</v>
      </c>
      <c r="BQ492" s="215">
        <f ca="1">IF($D492&lt;&gt;"Serviço",0,IF(AND(AUTOEVENTO="Manual",$M492=1),0,IF(OFFSET(CRONOPLE!$F$14,$M492,BQ$13)="",10^12,OFFSET(CRONOPLE!$F$14,$M492,BQ$13))))</f>
        <v>0</v>
      </c>
      <c r="BR492" s="215">
        <f ca="1">IF($D492&lt;&gt;"Serviço",0,IF(AND(AUTOEVENTO="Manual",$M492=1),0,IF(OFFSET(CRONOPLE!$F$14,$M492,BR$13)="",10^12,OFFSET(CRONOPLE!$F$14,$M492,BR$13))))</f>
        <v>0</v>
      </c>
      <c r="BS492" s="215">
        <f ca="1">IF($D492&lt;&gt;"Serviço",0,IF(AND(AUTOEVENTO="Manual",$M492=1),0,IF(OFFSET(CRONOPLE!$F$14,$M492,BS$13)="",10^12,OFFSET(CRONOPLE!$F$14,$M492,BS$13))))</f>
        <v>0</v>
      </c>
      <c r="BT492" s="215">
        <f ca="1">IF($D492&lt;&gt;"Serviço",0,IF(AND(AUTOEVENTO="Manual",$M492=1),0,IF(OFFSET(CRONOPLE!$F$14,$M492,BT$13)="",10^12,OFFSET(CRONOPLE!$F$14,$M492,BT$13))))</f>
        <v>0</v>
      </c>
      <c r="BV492" s="216">
        <f ca="1">IF($D492&lt;&gt;"Serviço",0,IF(OR(AND(AUTOEVENTO="Manual",$M492=1),$M492&gt;(ROW(PLE.lastrow)-ROW(PLE.firstrow))),0,IF(OFFSET(PLE!$G$14,$M492,BV$13)="",10^12,OFFSET(PLE!$G$14,$M492,BV$13))))</f>
        <v>0</v>
      </c>
      <c r="BW492" s="216">
        <f ca="1">IF($D492&lt;&gt;"Serviço",0,IF(OR(AND(AUTOEVENTO="Manual",$M492=1),$M492&gt;(ROW(PLE.lastrow)-ROW(PLE.firstrow))),0,IF(OFFSET(PLE!$G$14,$M492,BW$13)="",10^12,OFFSET(PLE!$G$14,$M492,BW$13))))</f>
        <v>0</v>
      </c>
      <c r="BX492" s="216">
        <f ca="1">IF($D492&lt;&gt;"Serviço",0,IF(OR(AND(AUTOEVENTO="Manual",$M492=1),$M492&gt;(ROW(PLE.lastrow)-ROW(PLE.firstrow))),0,IF(OFFSET(PLE!$G$14,$M492,BX$13)="",10^12,OFFSET(PLE!$G$14,$M492,BX$13))))</f>
        <v>0</v>
      </c>
      <c r="BY492" s="216">
        <f ca="1">IF($D492&lt;&gt;"Serviço",0,IF(OR(AND(AUTOEVENTO="Manual",$M492=1),$M492&gt;(ROW(PLE.lastrow)-ROW(PLE.firstrow))),0,IF(OFFSET(PLE!$G$14,$M492,BY$13)="",10^12,OFFSET(PLE!$G$14,$M492,BY$13))))</f>
        <v>0</v>
      </c>
      <c r="BZ492" s="216">
        <f ca="1">IF($D492&lt;&gt;"Serviço",0,IF(OR(AND(AUTOEVENTO="Manual",$M492=1),$M492&gt;(ROW(PLE.lastrow)-ROW(PLE.firstrow))),0,IF(OFFSET(PLE!$G$14,$M492,BZ$13)="",10^12,OFFSET(PLE!$G$14,$M492,BZ$13))))</f>
        <v>0</v>
      </c>
      <c r="CA492" s="216">
        <f ca="1">IF($D492&lt;&gt;"Serviço",0,IF(OR(AND(AUTOEVENTO="Manual",$M492=1),$M492&gt;(ROW(PLE.lastrow)-ROW(PLE.firstrow))),0,IF(OFFSET(PLE!$G$14,$M492,CA$13)="",10^12,OFFSET(PLE!$G$14,$M492,CA$13))))</f>
        <v>0</v>
      </c>
      <c r="CB492" s="216">
        <f ca="1">IF($D492&lt;&gt;"Serviço",0,IF(OR(AND(AUTOEVENTO="Manual",$M492=1),$M492&gt;(ROW(PLE.lastrow)-ROW(PLE.firstrow))),0,IF(OFFSET(PLE!$G$14,$M492,CB$13)="",10^12,OFFSET(PLE!$G$14,$M492,CB$13))))</f>
        <v>0</v>
      </c>
      <c r="CC492" s="216">
        <f ca="1">IF($D492&lt;&gt;"Serviço",0,IF(OR(AND(AUTOEVENTO="Manual",$M492=1),$M492&gt;(ROW(PLE.lastrow)-ROW(PLE.firstrow))),0,IF(OFFSET(PLE!$G$14,$M492,CC$13)="",10^12,OFFSET(PLE!$G$14,$M492,CC$13))))</f>
        <v>0</v>
      </c>
      <c r="CD492" s="216">
        <f ca="1">IF($D492&lt;&gt;"Serviço",0,IF(OR(AND(AUTOEVENTO="Manual",$M492=1),$M492&gt;(ROW(PLE.lastrow)-ROW(PLE.firstrow))),0,IF(OFFSET(PLE!$G$14,$M492,CD$13)="",10^12,OFFSET(PLE!$G$14,$M492,CD$13))))</f>
        <v>0</v>
      </c>
      <c r="CE492" s="216">
        <f ca="1">IF($D492&lt;&gt;"Serviço",0,IF(OR(AND(AUTOEVENTO="Manual",$M492=1),$M492&gt;(ROW(PLE.lastrow)-ROW(PLE.firstrow))),0,IF(OFFSET(PLE!$G$14,$M492,CE$13)="",10^12,OFFSET(PLE!$G$14,$M492,CE$13))))</f>
        <v>0</v>
      </c>
      <c r="CF492" s="216">
        <f ca="1">IF($D492&lt;&gt;"Serviço",0,IF(OR(AND(AUTOEVENTO="Manual",$M492=1),$M492&gt;(ROW(PLE.lastrow)-ROW(PLE.firstrow))),0,IF(OFFSET(PLE!$G$14,$M492,CF$13)="",10^12,OFFSET(PLE!$G$14,$M492,CF$13))))</f>
        <v>0</v>
      </c>
      <c r="CG492" s="216">
        <f ca="1">IF($D492&lt;&gt;"Serviço",0,IF(OR(AND(AUTOEVENTO="Manual",$M492=1),$M492&gt;(ROW(PLE.lastrow)-ROW(PLE.firstrow))),0,IF(OFFSET(PLE!$G$14,$M492,CG$13)="",10^12,OFFSET(PLE!$G$14,$M492,CG$13))))</f>
        <v>0</v>
      </c>
      <c r="CH492" s="216">
        <f ca="1">IF($D492&lt;&gt;"Serviço",0,IF(OR(AND(AUTOEVENTO="Manual",$M492=1),$M492&gt;(ROW(PLE.lastrow)-ROW(PLE.firstrow))),0,IF(OFFSET(PLE!$G$14,$M492,CH$13)="",10^12,OFFSET(PLE!$G$14,$M492,CH$13))))</f>
        <v>0</v>
      </c>
      <c r="CI492" s="216">
        <f ca="1">IF($D492&lt;&gt;"Serviço",0,IF(OR(AND(AUTOEVENTO="Manual",$M492=1),$M492&gt;(ROW(PLE.lastrow)-ROW(PLE.firstrow))),0,IF(OFFSET(PLE!$G$14,$M492,CI$13)="",10^12,OFFSET(PLE!$G$14,$M492,CI$13))))</f>
        <v>0</v>
      </c>
      <c r="CJ492" s="216">
        <f ca="1">IF($D492&lt;&gt;"Serviço",0,IF(OR(AND(AUTOEVENTO="Manual",$M492=1),$M492&gt;(ROW(PLE.lastrow)-ROW(PLE.firstrow))),0,IF(OFFSET(PLE!$G$14,$M492,CJ$13)="",10^12,OFFSET(PLE!$G$14,$M492,CJ$13))))</f>
        <v>0</v>
      </c>
      <c r="CK492" s="216">
        <f ca="1">IF($D492&lt;&gt;"Serviço",0,IF(OR(AND(AUTOEVENTO="Manual",$M492=1),$M492&gt;(ROW(PLE.lastrow)-ROW(PLE.firstrow))),0,IF(OFFSET(PLE!$G$14,$M492,CK$13)="",10^12,OFFSET(PLE!$G$14,$M492,CK$13))))</f>
        <v>0</v>
      </c>
      <c r="CL492" s="216">
        <f ca="1">IF($D492&lt;&gt;"Serviço",0,IF(OR(AND(AUTOEVENTO="Manual",$M492=1),$M492&gt;(ROW(PLE.lastrow)-ROW(PLE.firstrow))),0,IF(OFFSET(PLE!$G$14,$M492,CL$13)="",10^12,OFFSET(PLE!$G$14,$M492,CL$13))))</f>
        <v>0</v>
      </c>
      <c r="CM492" s="216">
        <f ca="1">IF($D492&lt;&gt;"Serviço",0,IF(OR(AND(AUTOEVENTO="Manual",$M492=1),$M492&gt;(ROW(PLE.lastrow)-ROW(PLE.firstrow))),0,IF(OFFSET(PLE!$G$14,$M492,CM$13)="",10^12,OFFSET(PLE!$G$14,$M492,CM$13))))</f>
        <v>0</v>
      </c>
    </row>
    <row r="493" spans="1:91" ht="13.2" x14ac:dyDescent="0.25">
      <c r="A493" s="9">
        <f t="shared" ca="1" si="16"/>
        <v>0</v>
      </c>
      <c r="B493" s="9" t="str">
        <f ca="1">OFFSET(ORÇAMENTO!C$15,ROW(B493)-ROW(B$15),0)</f>
        <v>S</v>
      </c>
      <c r="C493" s="9" t="str">
        <f ca="1">OFFSET(ORÇAMENTO!L$15,ROW(C493)-ROW(C$15),0)</f>
        <v/>
      </c>
      <c r="D493" s="145" t="str">
        <f ca="1">OFFSET(ORÇAMENTO!N$15,ROW(D493)-ROW(D$15),0)</f>
        <v>Serviço</v>
      </c>
      <c r="E493" s="205" t="str">
        <f ca="1">OFFSET(ORÇAMENTO!O$15,ROW(E493)-ROW(E$15),0)</f>
        <v>-</v>
      </c>
      <c r="F493" s="206" t="str">
        <f ca="1">OFFSET(ORÇAMENTO!R$15,ROW(F493)-ROW(F$15),0)</f>
        <v>(abra o arquivo 'Referência 05-2024.xls)</v>
      </c>
      <c r="G493" s="207" t="str">
        <f ca="1">IF($D493&lt;&gt;"Serviço","",OFFSET(ORÇAMENTO!S$15,ROW(G493)-ROW(G$15),0))</f>
        <v>-</v>
      </c>
      <c r="H493" s="151">
        <f ca="1">IF($D493&lt;&gt;"Serviço",0,IF(ACOMPANHAMENTO="BM",ROUND(OFFSET(ORÇAMENTO!AJ$15,ROW(H493)-ROW(H$15),0),15-13*ORÇAMENTO!$AF$7),SUMPRODUCT(($Q$12:$AI$12&lt;&gt;"")*ROUND($Q493:$AI493,15-13*ORÇAMENTO!$AF$7))))</f>
        <v>22</v>
      </c>
      <c r="I493" s="650"/>
      <c r="K493" s="208"/>
      <c r="L493" s="209" t="s">
        <v>257</v>
      </c>
      <c r="M493" s="210">
        <f ca="1">IF($D493&lt;&gt;"Serviço","",IF(AUTOEVENTO="manual",$A493,IF(ISERROR(MATCH($A493,$A$15:OFFSET($A493,-1,0),0)),MAX($M$15:OFFSET(M493,-1,0))+1,INDEX($M$15:OFFSET(M493,-1,0),MATCH($A493,$A$15:OFFSET($A493,-1,0),0)))))</f>
        <v>0</v>
      </c>
      <c r="N493" s="211" t="str">
        <f ca="1">IF($D493&lt;&gt;"Serviço","",IF(AUTOEVENTO="Manual",IF($A493=0,"&lt;-- defina o número do agrupador",OFFSET(EVENTOS!$D$14,$A493,0)),OFFSET($F$15,$A493,0)))</f>
        <v>&lt;-- defina o número do agrupador</v>
      </c>
      <c r="O493" s="212"/>
      <c r="Q493" s="212"/>
      <c r="R493" s="213"/>
      <c r="S493" s="213"/>
      <c r="T493" s="213"/>
      <c r="U493" s="213"/>
      <c r="V493" s="213"/>
      <c r="W493" s="213"/>
      <c r="X493" s="213"/>
      <c r="Y493" s="213"/>
      <c r="Z493" s="214"/>
      <c r="AA493" s="213"/>
      <c r="AB493" s="213"/>
      <c r="AC493" s="213"/>
      <c r="AD493" s="213"/>
      <c r="AE493" s="213"/>
      <c r="AF493" s="213"/>
      <c r="AG493" s="213"/>
      <c r="AH493" s="214"/>
      <c r="AJ493" s="631">
        <f ca="1">IF(AND($D493="Serviço",AJ$12&lt;&gt;0,$H493&gt;0,OR(AUTOEVENTO&lt;&gt;"manual",$M493&lt;&gt;1)),ROUND(OFFSET($P493,0,AJ$13),15-13*ORÇAMENTO!$AF$7)/$H493*OFFSET(ORÇAMENTO!$X$15,ROW(AJ493)-ROW(AJ$15),0),0)</f>
        <v>0</v>
      </c>
      <c r="AK493" s="632">
        <f ca="1">IF(AND($D493="Serviço",AK$12&lt;&gt;0,$H493&gt;0,OR(AUTOEVENTO&lt;&gt;"manual",$M493&lt;&gt;1)),ROUND(OFFSET($P493,0,AK$13),15-13*ORÇAMENTO!$AF$7)/$H493*OFFSET(ORÇAMENTO!$X$15,ROW(AK493)-ROW(AK$15),0),0)</f>
        <v>0</v>
      </c>
      <c r="AL493" s="632">
        <f ca="1">IF(AND($D493="Serviço",AL$12&lt;&gt;0,$H493&gt;0,OR(AUTOEVENTO&lt;&gt;"manual",$M493&lt;&gt;1)),ROUND(OFFSET($P493,0,AL$13),15-13*ORÇAMENTO!$AF$7)/$H493*OFFSET(ORÇAMENTO!$X$15,ROW(AL493)-ROW(AL$15),0),0)</f>
        <v>0</v>
      </c>
      <c r="AM493" s="632">
        <f ca="1">IF(AND($D493="Serviço",AM$12&lt;&gt;0,$H493&gt;0,OR(AUTOEVENTO&lt;&gt;"manual",$M493&lt;&gt;1)),ROUND(OFFSET($P493,0,AM$13),15-13*ORÇAMENTO!$AF$7)/$H493*OFFSET(ORÇAMENTO!$X$15,ROW(AM493)-ROW(AM$15),0),0)</f>
        <v>0</v>
      </c>
      <c r="AN493" s="632">
        <f ca="1">IF(AND($D493="Serviço",AN$12&lt;&gt;0,$H493&gt;0,OR(AUTOEVENTO&lt;&gt;"manual",$M493&lt;&gt;1)),ROUND(OFFSET($P493,0,AN$13),15-13*ORÇAMENTO!$AF$7)/$H493*OFFSET(ORÇAMENTO!$X$15,ROW(AN493)-ROW(AN$15),0),0)</f>
        <v>0</v>
      </c>
      <c r="AO493" s="632">
        <f ca="1">IF(AND($D493="Serviço",AO$12&lt;&gt;0,$H493&gt;0,OR(AUTOEVENTO&lt;&gt;"manual",$M493&lt;&gt;1)),ROUND(OFFSET($P493,0,AO$13),15-13*ORÇAMENTO!$AF$7)/$H493*OFFSET(ORÇAMENTO!$X$15,ROW(AO493)-ROW(AO$15),0),0)</f>
        <v>0</v>
      </c>
      <c r="AP493" s="632">
        <f ca="1">IF(AND($D493="Serviço",AP$12&lt;&gt;0,$H493&gt;0,OR(AUTOEVENTO&lt;&gt;"manual",$M493&lt;&gt;1)),ROUND(OFFSET($P493,0,AP$13),15-13*ORÇAMENTO!$AF$7)/$H493*OFFSET(ORÇAMENTO!$X$15,ROW(AP493)-ROW(AP$15),0),0)</f>
        <v>0</v>
      </c>
      <c r="AQ493" s="632">
        <f ca="1">IF(AND($D493="Serviço",AQ$12&lt;&gt;0,$H493&gt;0,OR(AUTOEVENTO&lt;&gt;"manual",$M493&lt;&gt;1)),ROUND(OFFSET($P493,0,AQ$13),15-13*ORÇAMENTO!$AF$7)/$H493*OFFSET(ORÇAMENTO!$X$15,ROW(AQ493)-ROW(AQ$15),0),0)</f>
        <v>0</v>
      </c>
      <c r="AR493" s="632">
        <f ca="1">IF(AND($D493="Serviço",AR$12&lt;&gt;0,$H493&gt;0,OR(AUTOEVENTO&lt;&gt;"manual",$M493&lt;&gt;1)),ROUND(OFFSET($P493,0,AR$13),15-13*ORÇAMENTO!$AF$7)/$H493*OFFSET(ORÇAMENTO!$X$15,ROW(AR493)-ROW(AR$15),0),0)</f>
        <v>0</v>
      </c>
      <c r="AS493" s="633">
        <f ca="1">IF(AND($D493="Serviço",AS$12&lt;&gt;0,$H493&gt;0,OR(AUTOEVENTO&lt;&gt;"manual",$M493&lt;&gt;1)),ROUND(OFFSET($P493,0,AS$13),15-13*ORÇAMENTO!$AF$7)/$H493*OFFSET(ORÇAMENTO!$X$15,ROW(AS493)-ROW(AS$15),0),0)</f>
        <v>0</v>
      </c>
      <c r="AT493" s="632">
        <f ca="1">IF(AND($D493="Serviço",AT$12&lt;&gt;0,$H493&gt;0,OR(AUTOEVENTO&lt;&gt;"manual",$M493&lt;&gt;1)),ROUND(OFFSET($P493,0,AT$13),15-13*ORÇAMENTO!$AF$7)/$H493*OFFSET(ORÇAMENTO!$X$15,ROW(AT493)-ROW(AT$15),0),0)</f>
        <v>0</v>
      </c>
      <c r="AU493" s="632">
        <f ca="1">IF(AND($D493="Serviço",AU$12&lt;&gt;0,$H493&gt;0,OR(AUTOEVENTO&lt;&gt;"manual",$M493&lt;&gt;1)),ROUND(OFFSET($P493,0,AU$13),15-13*ORÇAMENTO!$AF$7)/$H493*OFFSET(ORÇAMENTO!$X$15,ROW(AU493)-ROW(AU$15),0),0)</f>
        <v>0</v>
      </c>
      <c r="AV493" s="632">
        <f ca="1">IF(AND($D493="Serviço",AV$12&lt;&gt;0,$H493&gt;0,OR(AUTOEVENTO&lt;&gt;"manual",$M493&lt;&gt;1)),ROUND(OFFSET($P493,0,AV$13),15-13*ORÇAMENTO!$AF$7)/$H493*OFFSET(ORÇAMENTO!$X$15,ROW(AV493)-ROW(AV$15),0),0)</f>
        <v>0</v>
      </c>
      <c r="AW493" s="632">
        <f ca="1">IF(AND($D493="Serviço",AW$12&lt;&gt;0,$H493&gt;0,OR(AUTOEVENTO&lt;&gt;"manual",$M493&lt;&gt;1)),ROUND(OFFSET($P493,0,AW$13),15-13*ORÇAMENTO!$AF$7)/$H493*OFFSET(ORÇAMENTO!$X$15,ROW(AW493)-ROW(AW$15),0),0)</f>
        <v>0</v>
      </c>
      <c r="AX493" s="632">
        <f ca="1">IF(AND($D493="Serviço",AX$12&lt;&gt;0,$H493&gt;0,OR(AUTOEVENTO&lt;&gt;"manual",$M493&lt;&gt;1)),ROUND(OFFSET($P493,0,AX$13),15-13*ORÇAMENTO!$AF$7)/$H493*OFFSET(ORÇAMENTO!$X$15,ROW(AX493)-ROW(AX$15),0),0)</f>
        <v>0</v>
      </c>
      <c r="AY493" s="632">
        <f ca="1">IF(AND($D493="Serviço",AY$12&lt;&gt;0,$H493&gt;0,OR(AUTOEVENTO&lt;&gt;"manual",$M493&lt;&gt;1)),ROUND(OFFSET($P493,0,AY$13),15-13*ORÇAMENTO!$AF$7)/$H493*OFFSET(ORÇAMENTO!$X$15,ROW(AY493)-ROW(AY$15),0),0)</f>
        <v>0</v>
      </c>
      <c r="AZ493" s="632">
        <f ca="1">IF(AND($D493="Serviço",AZ$12&lt;&gt;0,$H493&gt;0,OR(AUTOEVENTO&lt;&gt;"manual",$M493&lt;&gt;1)),ROUND(OFFSET($P493,0,AZ$13),15-13*ORÇAMENTO!$AF$7)/$H493*OFFSET(ORÇAMENTO!$X$15,ROW(AZ493)-ROW(AZ$15),0),0)</f>
        <v>0</v>
      </c>
      <c r="BA493" s="633">
        <f ca="1">IF(AND($D493="Serviço",BA$12&lt;&gt;0,$H493&gt;0,OR(AUTOEVENTO&lt;&gt;"manual",$M493&lt;&gt;1)),ROUND(OFFSET($P493,0,BA$13),15-13*ORÇAMENTO!$AF$7)/$H493*OFFSET(ORÇAMENTO!$X$15,ROW(BA493)-ROW(BA$15),0),0)</f>
        <v>0</v>
      </c>
      <c r="BC493" s="215">
        <f ca="1">IF($D493&lt;&gt;"Serviço",0,IF(AND(AUTOEVENTO="Manual",$M493=1),0,IF(OFFSET(CRONOPLE!$F$14,$M493,BC$13)="",10^12,OFFSET(CRONOPLE!$F$14,$M493,BC$13))))</f>
        <v>1000000000000</v>
      </c>
      <c r="BD493" s="215">
        <f ca="1">IF($D493&lt;&gt;"Serviço",0,IF(AND(AUTOEVENTO="Manual",$M493=1),0,IF(OFFSET(CRONOPLE!$F$14,$M493,BD$13)="",10^12,OFFSET(CRONOPLE!$F$14,$M493,BD$13))))</f>
        <v>1000000000000</v>
      </c>
      <c r="BE493" s="215">
        <f ca="1">IF($D493&lt;&gt;"Serviço",0,IF(AND(AUTOEVENTO="Manual",$M493=1),0,IF(OFFSET(CRONOPLE!$F$14,$M493,BE$13)="",10^12,OFFSET(CRONOPLE!$F$14,$M493,BE$13))))</f>
        <v>1000000000000</v>
      </c>
      <c r="BF493" s="215">
        <f ca="1">IF($D493&lt;&gt;"Serviço",0,IF(AND(AUTOEVENTO="Manual",$M493=1),0,IF(OFFSET(CRONOPLE!$F$14,$M493,BF$13)="",10^12,OFFSET(CRONOPLE!$F$14,$M493,BF$13))))</f>
        <v>1000000000000</v>
      </c>
      <c r="BG493" s="215">
        <f ca="1">IF($D493&lt;&gt;"Serviço",0,IF(AND(AUTOEVENTO="Manual",$M493=1),0,IF(OFFSET(CRONOPLE!$F$14,$M493,BG$13)="",10^12,OFFSET(CRONOPLE!$F$14,$M493,BG$13))))</f>
        <v>1000000000000</v>
      </c>
      <c r="BH493" s="215">
        <f ca="1">IF($D493&lt;&gt;"Serviço",0,IF(AND(AUTOEVENTO="Manual",$M493=1),0,IF(OFFSET(CRONOPLE!$F$14,$M493,BH$13)="",10^12,OFFSET(CRONOPLE!$F$14,$M493,BH$13))))</f>
        <v>1000000000000</v>
      </c>
      <c r="BI493" s="215">
        <f ca="1">IF($D493&lt;&gt;"Serviço",0,IF(AND(AUTOEVENTO="Manual",$M493=1),0,IF(OFFSET(CRONOPLE!$F$14,$M493,BI$13)="",10^12,OFFSET(CRONOPLE!$F$14,$M493,BI$13))))</f>
        <v>1000000000000</v>
      </c>
      <c r="BJ493" s="215">
        <f ca="1">IF($D493&lt;&gt;"Serviço",0,IF(AND(AUTOEVENTO="Manual",$M493=1),0,IF(OFFSET(CRONOPLE!$F$14,$M493,BJ$13)="",10^12,OFFSET(CRONOPLE!$F$14,$M493,BJ$13))))</f>
        <v>1000000000000</v>
      </c>
      <c r="BK493" s="215">
        <f ca="1">IF($D493&lt;&gt;"Serviço",0,IF(AND(AUTOEVENTO="Manual",$M493=1),0,IF(OFFSET(CRONOPLE!$F$14,$M493,BK$13)="",10^12,OFFSET(CRONOPLE!$F$14,$M493,BK$13))))</f>
        <v>1000000000000</v>
      </c>
      <c r="BL493" s="215">
        <f ca="1">IF($D493&lt;&gt;"Serviço",0,IF(AND(AUTOEVENTO="Manual",$M493=1),0,IF(OFFSET(CRONOPLE!$F$14,$M493,BL$13)="",10^12,OFFSET(CRONOPLE!$F$14,$M493,BL$13))))</f>
        <v>1000000000000</v>
      </c>
      <c r="BM493" s="215">
        <f ca="1">IF($D493&lt;&gt;"Serviço",0,IF(AND(AUTOEVENTO="Manual",$M493=1),0,IF(OFFSET(CRONOPLE!$F$14,$M493,BM$13)="",10^12,OFFSET(CRONOPLE!$F$14,$M493,BM$13))))</f>
        <v>1000000000000</v>
      </c>
      <c r="BN493" s="215">
        <f ca="1">IF($D493&lt;&gt;"Serviço",0,IF(AND(AUTOEVENTO="Manual",$M493=1),0,IF(OFFSET(CRONOPLE!$F$14,$M493,BN$13)="",10^12,OFFSET(CRONOPLE!$F$14,$M493,BN$13))))</f>
        <v>1000000000000</v>
      </c>
      <c r="BO493" s="215">
        <f ca="1">IF($D493&lt;&gt;"Serviço",0,IF(AND(AUTOEVENTO="Manual",$M493=1),0,IF(OFFSET(CRONOPLE!$F$14,$M493,BO$13)="",10^12,OFFSET(CRONOPLE!$F$14,$M493,BO$13))))</f>
        <v>1000000000000</v>
      </c>
      <c r="BP493" s="215">
        <f ca="1">IF($D493&lt;&gt;"Serviço",0,IF(AND(AUTOEVENTO="Manual",$M493=1),0,IF(OFFSET(CRONOPLE!$F$14,$M493,BP$13)="",10^12,OFFSET(CRONOPLE!$F$14,$M493,BP$13))))</f>
        <v>1000000000000</v>
      </c>
      <c r="BQ493" s="215">
        <f ca="1">IF($D493&lt;&gt;"Serviço",0,IF(AND(AUTOEVENTO="Manual",$M493=1),0,IF(OFFSET(CRONOPLE!$F$14,$M493,BQ$13)="",10^12,OFFSET(CRONOPLE!$F$14,$M493,BQ$13))))</f>
        <v>1000000000000</v>
      </c>
      <c r="BR493" s="215">
        <f ca="1">IF($D493&lt;&gt;"Serviço",0,IF(AND(AUTOEVENTO="Manual",$M493=1),0,IF(OFFSET(CRONOPLE!$F$14,$M493,BR$13)="",10^12,OFFSET(CRONOPLE!$F$14,$M493,BR$13))))</f>
        <v>1000000000000</v>
      </c>
      <c r="BS493" s="215">
        <f ca="1">IF($D493&lt;&gt;"Serviço",0,IF(AND(AUTOEVENTO="Manual",$M493=1),0,IF(OFFSET(CRONOPLE!$F$14,$M493,BS$13)="",10^12,OFFSET(CRONOPLE!$F$14,$M493,BS$13))))</f>
        <v>1000000000000</v>
      </c>
      <c r="BT493" s="215">
        <f ca="1">IF($D493&lt;&gt;"Serviço",0,IF(AND(AUTOEVENTO="Manual",$M493=1),0,IF(OFFSET(CRONOPLE!$F$14,$M493,BT$13)="",10^12,OFFSET(CRONOPLE!$F$14,$M493,BT$13))))</f>
        <v>1000000000000</v>
      </c>
      <c r="BV493" s="216">
        <f ca="1">IF($D493&lt;&gt;"Serviço",0,IF(OR(AND(AUTOEVENTO="Manual",$M493=1),$M493&gt;(ROW(PLE.lastrow)-ROW(PLE.firstrow))),0,IF(OFFSET(PLE!$G$14,$M493,BV$13)="",10^12,OFFSET(PLE!$G$14,$M493,BV$13))))</f>
        <v>1000000000000</v>
      </c>
      <c r="BW493" s="216">
        <f ca="1">IF($D493&lt;&gt;"Serviço",0,IF(OR(AND(AUTOEVENTO="Manual",$M493=1),$M493&gt;(ROW(PLE.lastrow)-ROW(PLE.firstrow))),0,IF(OFFSET(PLE!$G$14,$M493,BW$13)="",10^12,OFFSET(PLE!$G$14,$M493,BW$13))))</f>
        <v>1000000000000</v>
      </c>
      <c r="BX493" s="216">
        <f ca="1">IF($D493&lt;&gt;"Serviço",0,IF(OR(AND(AUTOEVENTO="Manual",$M493=1),$M493&gt;(ROW(PLE.lastrow)-ROW(PLE.firstrow))),0,IF(OFFSET(PLE!$G$14,$M493,BX$13)="",10^12,OFFSET(PLE!$G$14,$M493,BX$13))))</f>
        <v>1000000000000</v>
      </c>
      <c r="BY493" s="216">
        <f ca="1">IF($D493&lt;&gt;"Serviço",0,IF(OR(AND(AUTOEVENTO="Manual",$M493=1),$M493&gt;(ROW(PLE.lastrow)-ROW(PLE.firstrow))),0,IF(OFFSET(PLE!$G$14,$M493,BY$13)="",10^12,OFFSET(PLE!$G$14,$M493,BY$13))))</f>
        <v>1000000000000</v>
      </c>
      <c r="BZ493" s="216">
        <f ca="1">IF($D493&lt;&gt;"Serviço",0,IF(OR(AND(AUTOEVENTO="Manual",$M493=1),$M493&gt;(ROW(PLE.lastrow)-ROW(PLE.firstrow))),0,IF(OFFSET(PLE!$G$14,$M493,BZ$13)="",10^12,OFFSET(PLE!$G$14,$M493,BZ$13))))</f>
        <v>1000000000000</v>
      </c>
      <c r="CA493" s="216">
        <f ca="1">IF($D493&lt;&gt;"Serviço",0,IF(OR(AND(AUTOEVENTO="Manual",$M493=1),$M493&gt;(ROW(PLE.lastrow)-ROW(PLE.firstrow))),0,IF(OFFSET(PLE!$G$14,$M493,CA$13)="",10^12,OFFSET(PLE!$G$14,$M493,CA$13))))</f>
        <v>1000000000000</v>
      </c>
      <c r="CB493" s="216">
        <f ca="1">IF($D493&lt;&gt;"Serviço",0,IF(OR(AND(AUTOEVENTO="Manual",$M493=1),$M493&gt;(ROW(PLE.lastrow)-ROW(PLE.firstrow))),0,IF(OFFSET(PLE!$G$14,$M493,CB$13)="",10^12,OFFSET(PLE!$G$14,$M493,CB$13))))</f>
        <v>1000000000000</v>
      </c>
      <c r="CC493" s="216">
        <f ca="1">IF($D493&lt;&gt;"Serviço",0,IF(OR(AND(AUTOEVENTO="Manual",$M493=1),$M493&gt;(ROW(PLE.lastrow)-ROW(PLE.firstrow))),0,IF(OFFSET(PLE!$G$14,$M493,CC$13)="",10^12,OFFSET(PLE!$G$14,$M493,CC$13))))</f>
        <v>1000000000000</v>
      </c>
      <c r="CD493" s="216">
        <f ca="1">IF($D493&lt;&gt;"Serviço",0,IF(OR(AND(AUTOEVENTO="Manual",$M493=1),$M493&gt;(ROW(PLE.lastrow)-ROW(PLE.firstrow))),0,IF(OFFSET(PLE!$G$14,$M493,CD$13)="",10^12,OFFSET(PLE!$G$14,$M493,CD$13))))</f>
        <v>1000000000000</v>
      </c>
      <c r="CE493" s="216">
        <f ca="1">IF($D493&lt;&gt;"Serviço",0,IF(OR(AND(AUTOEVENTO="Manual",$M493=1),$M493&gt;(ROW(PLE.lastrow)-ROW(PLE.firstrow))),0,IF(OFFSET(PLE!$G$14,$M493,CE$13)="",10^12,OFFSET(PLE!$G$14,$M493,CE$13))))</f>
        <v>1000000000000</v>
      </c>
      <c r="CF493" s="216">
        <f ca="1">IF($D493&lt;&gt;"Serviço",0,IF(OR(AND(AUTOEVENTO="Manual",$M493=1),$M493&gt;(ROW(PLE.lastrow)-ROW(PLE.firstrow))),0,IF(OFFSET(PLE!$G$14,$M493,CF$13)="",10^12,OFFSET(PLE!$G$14,$M493,CF$13))))</f>
        <v>1000000000000</v>
      </c>
      <c r="CG493" s="216">
        <f ca="1">IF($D493&lt;&gt;"Serviço",0,IF(OR(AND(AUTOEVENTO="Manual",$M493=1),$M493&gt;(ROW(PLE.lastrow)-ROW(PLE.firstrow))),0,IF(OFFSET(PLE!$G$14,$M493,CG$13)="",10^12,OFFSET(PLE!$G$14,$M493,CG$13))))</f>
        <v>1000000000000</v>
      </c>
      <c r="CH493" s="216">
        <f ca="1">IF($D493&lt;&gt;"Serviço",0,IF(OR(AND(AUTOEVENTO="Manual",$M493=1),$M493&gt;(ROW(PLE.lastrow)-ROW(PLE.firstrow))),0,IF(OFFSET(PLE!$G$14,$M493,CH$13)="",10^12,OFFSET(PLE!$G$14,$M493,CH$13))))</f>
        <v>1000000000000</v>
      </c>
      <c r="CI493" s="216">
        <f ca="1">IF($D493&lt;&gt;"Serviço",0,IF(OR(AND(AUTOEVENTO="Manual",$M493=1),$M493&gt;(ROW(PLE.lastrow)-ROW(PLE.firstrow))),0,IF(OFFSET(PLE!$G$14,$M493,CI$13)="",10^12,OFFSET(PLE!$G$14,$M493,CI$13))))</f>
        <v>1000000000000</v>
      </c>
      <c r="CJ493" s="216">
        <f ca="1">IF($D493&lt;&gt;"Serviço",0,IF(OR(AND(AUTOEVENTO="Manual",$M493=1),$M493&gt;(ROW(PLE.lastrow)-ROW(PLE.firstrow))),0,IF(OFFSET(PLE!$G$14,$M493,CJ$13)="",10^12,OFFSET(PLE!$G$14,$M493,CJ$13))))</f>
        <v>1000000000000</v>
      </c>
      <c r="CK493" s="216">
        <f ca="1">IF($D493&lt;&gt;"Serviço",0,IF(OR(AND(AUTOEVENTO="Manual",$M493=1),$M493&gt;(ROW(PLE.lastrow)-ROW(PLE.firstrow))),0,IF(OFFSET(PLE!$G$14,$M493,CK$13)="",10^12,OFFSET(PLE!$G$14,$M493,CK$13))))</f>
        <v>1000000000000</v>
      </c>
      <c r="CL493" s="216">
        <f ca="1">IF($D493&lt;&gt;"Serviço",0,IF(OR(AND(AUTOEVENTO="Manual",$M493=1),$M493&gt;(ROW(PLE.lastrow)-ROW(PLE.firstrow))),0,IF(OFFSET(PLE!$G$14,$M493,CL$13)="",10^12,OFFSET(PLE!$G$14,$M493,CL$13))))</f>
        <v>1000000000000</v>
      </c>
      <c r="CM493" s="216">
        <f ca="1">IF($D493&lt;&gt;"Serviço",0,IF(OR(AND(AUTOEVENTO="Manual",$M493=1),$M493&gt;(ROW(PLE.lastrow)-ROW(PLE.firstrow))),0,IF(OFFSET(PLE!$G$14,$M493,CM$13)="",10^12,OFFSET(PLE!$G$14,$M493,CM$13))))</f>
        <v>1000000000000</v>
      </c>
    </row>
    <row r="494" spans="1:91" ht="13.2" x14ac:dyDescent="0.25">
      <c r="A494" s="9">
        <f t="shared" ca="1" si="16"/>
        <v>0</v>
      </c>
      <c r="B494" s="9" t="str">
        <f ca="1">OFFSET(ORÇAMENTO!C$15,ROW(B494)-ROW(B$15),0)</f>
        <v>S</v>
      </c>
      <c r="C494" s="9" t="str">
        <f ca="1">OFFSET(ORÇAMENTO!L$15,ROW(C494)-ROW(C$15),0)</f>
        <v/>
      </c>
      <c r="D494" s="145" t="str">
        <f ca="1">OFFSET(ORÇAMENTO!N$15,ROW(D494)-ROW(D$15),0)</f>
        <v>Serviço</v>
      </c>
      <c r="E494" s="205" t="str">
        <f ca="1">OFFSET(ORÇAMENTO!O$15,ROW(E494)-ROW(E$15),0)</f>
        <v>-</v>
      </c>
      <c r="F494" s="206" t="str">
        <f ca="1">OFFSET(ORÇAMENTO!R$15,ROW(F494)-ROW(F$15),0)</f>
        <v>(abra o arquivo 'Referência 05-2024.xls)</v>
      </c>
      <c r="G494" s="207" t="str">
        <f ca="1">IF($D494&lt;&gt;"Serviço","",OFFSET(ORÇAMENTO!S$15,ROW(G494)-ROW(G$15),0))</f>
        <v>-</v>
      </c>
      <c r="H494" s="151">
        <f ca="1">IF($D494&lt;&gt;"Serviço",0,IF(ACOMPANHAMENTO="BM",ROUND(OFFSET(ORÇAMENTO!AJ$15,ROW(H494)-ROW(H$15),0),15-13*ORÇAMENTO!$AF$7),SUMPRODUCT(($Q$12:$AI$12&lt;&gt;"")*ROUND($Q494:$AI494,15-13*ORÇAMENTO!$AF$7))))</f>
        <v>2</v>
      </c>
      <c r="I494" s="650"/>
      <c r="K494" s="208"/>
      <c r="L494" s="209" t="s">
        <v>257</v>
      </c>
      <c r="M494" s="210">
        <f ca="1">IF($D494&lt;&gt;"Serviço","",IF(AUTOEVENTO="manual",$A494,IF(ISERROR(MATCH($A494,$A$15:OFFSET($A494,-1,0),0)),MAX($M$15:OFFSET(M494,-1,0))+1,INDEX($M$15:OFFSET(M494,-1,0),MATCH($A494,$A$15:OFFSET($A494,-1,0),0)))))</f>
        <v>0</v>
      </c>
      <c r="N494" s="211" t="str">
        <f ca="1">IF($D494&lt;&gt;"Serviço","",IF(AUTOEVENTO="Manual",IF($A494=0,"&lt;-- defina o número do agrupador",OFFSET(EVENTOS!$D$14,$A494,0)),OFFSET($F$15,$A494,0)))</f>
        <v>&lt;-- defina o número do agrupador</v>
      </c>
      <c r="O494" s="212"/>
      <c r="Q494" s="212"/>
      <c r="R494" s="213"/>
      <c r="S494" s="213"/>
      <c r="T494" s="213"/>
      <c r="U494" s="213"/>
      <c r="V494" s="213"/>
      <c r="W494" s="213"/>
      <c r="X494" s="213"/>
      <c r="Y494" s="213"/>
      <c r="Z494" s="214"/>
      <c r="AA494" s="213"/>
      <c r="AB494" s="213"/>
      <c r="AC494" s="213"/>
      <c r="AD494" s="213"/>
      <c r="AE494" s="213"/>
      <c r="AF494" s="213"/>
      <c r="AG494" s="213"/>
      <c r="AH494" s="214"/>
      <c r="AJ494" s="631">
        <f ca="1">IF(AND($D494="Serviço",AJ$12&lt;&gt;0,$H494&gt;0,OR(AUTOEVENTO&lt;&gt;"manual",$M494&lt;&gt;1)),ROUND(OFFSET($P494,0,AJ$13),15-13*ORÇAMENTO!$AF$7)/$H494*OFFSET(ORÇAMENTO!$X$15,ROW(AJ494)-ROW(AJ$15),0),0)</f>
        <v>0</v>
      </c>
      <c r="AK494" s="632">
        <f ca="1">IF(AND($D494="Serviço",AK$12&lt;&gt;0,$H494&gt;0,OR(AUTOEVENTO&lt;&gt;"manual",$M494&lt;&gt;1)),ROUND(OFFSET($P494,0,AK$13),15-13*ORÇAMENTO!$AF$7)/$H494*OFFSET(ORÇAMENTO!$X$15,ROW(AK494)-ROW(AK$15),0),0)</f>
        <v>0</v>
      </c>
      <c r="AL494" s="632">
        <f ca="1">IF(AND($D494="Serviço",AL$12&lt;&gt;0,$H494&gt;0,OR(AUTOEVENTO&lt;&gt;"manual",$M494&lt;&gt;1)),ROUND(OFFSET($P494,0,AL$13),15-13*ORÇAMENTO!$AF$7)/$H494*OFFSET(ORÇAMENTO!$X$15,ROW(AL494)-ROW(AL$15),0),0)</f>
        <v>0</v>
      </c>
      <c r="AM494" s="632">
        <f ca="1">IF(AND($D494="Serviço",AM$12&lt;&gt;0,$H494&gt;0,OR(AUTOEVENTO&lt;&gt;"manual",$M494&lt;&gt;1)),ROUND(OFFSET($P494,0,AM$13),15-13*ORÇAMENTO!$AF$7)/$H494*OFFSET(ORÇAMENTO!$X$15,ROW(AM494)-ROW(AM$15),0),0)</f>
        <v>0</v>
      </c>
      <c r="AN494" s="632">
        <f ca="1">IF(AND($D494="Serviço",AN$12&lt;&gt;0,$H494&gt;0,OR(AUTOEVENTO&lt;&gt;"manual",$M494&lt;&gt;1)),ROUND(OFFSET($P494,0,AN$13),15-13*ORÇAMENTO!$AF$7)/$H494*OFFSET(ORÇAMENTO!$X$15,ROW(AN494)-ROW(AN$15),0),0)</f>
        <v>0</v>
      </c>
      <c r="AO494" s="632">
        <f ca="1">IF(AND($D494="Serviço",AO$12&lt;&gt;0,$H494&gt;0,OR(AUTOEVENTO&lt;&gt;"manual",$M494&lt;&gt;1)),ROUND(OFFSET($P494,0,AO$13),15-13*ORÇAMENTO!$AF$7)/$H494*OFFSET(ORÇAMENTO!$X$15,ROW(AO494)-ROW(AO$15),0),0)</f>
        <v>0</v>
      </c>
      <c r="AP494" s="632">
        <f ca="1">IF(AND($D494="Serviço",AP$12&lt;&gt;0,$H494&gt;0,OR(AUTOEVENTO&lt;&gt;"manual",$M494&lt;&gt;1)),ROUND(OFFSET($P494,0,AP$13),15-13*ORÇAMENTO!$AF$7)/$H494*OFFSET(ORÇAMENTO!$X$15,ROW(AP494)-ROW(AP$15),0),0)</f>
        <v>0</v>
      </c>
      <c r="AQ494" s="632">
        <f ca="1">IF(AND($D494="Serviço",AQ$12&lt;&gt;0,$H494&gt;0,OR(AUTOEVENTO&lt;&gt;"manual",$M494&lt;&gt;1)),ROUND(OFFSET($P494,0,AQ$13),15-13*ORÇAMENTO!$AF$7)/$H494*OFFSET(ORÇAMENTO!$X$15,ROW(AQ494)-ROW(AQ$15),0),0)</f>
        <v>0</v>
      </c>
      <c r="AR494" s="632">
        <f ca="1">IF(AND($D494="Serviço",AR$12&lt;&gt;0,$H494&gt;0,OR(AUTOEVENTO&lt;&gt;"manual",$M494&lt;&gt;1)),ROUND(OFFSET($P494,0,AR$13),15-13*ORÇAMENTO!$AF$7)/$H494*OFFSET(ORÇAMENTO!$X$15,ROW(AR494)-ROW(AR$15),0),0)</f>
        <v>0</v>
      </c>
      <c r="AS494" s="633">
        <f ca="1">IF(AND($D494="Serviço",AS$12&lt;&gt;0,$H494&gt;0,OR(AUTOEVENTO&lt;&gt;"manual",$M494&lt;&gt;1)),ROUND(OFFSET($P494,0,AS$13),15-13*ORÇAMENTO!$AF$7)/$H494*OFFSET(ORÇAMENTO!$X$15,ROW(AS494)-ROW(AS$15),0),0)</f>
        <v>0</v>
      </c>
      <c r="AT494" s="632">
        <f ca="1">IF(AND($D494="Serviço",AT$12&lt;&gt;0,$H494&gt;0,OR(AUTOEVENTO&lt;&gt;"manual",$M494&lt;&gt;1)),ROUND(OFFSET($P494,0,AT$13),15-13*ORÇAMENTO!$AF$7)/$H494*OFFSET(ORÇAMENTO!$X$15,ROW(AT494)-ROW(AT$15),0),0)</f>
        <v>0</v>
      </c>
      <c r="AU494" s="632">
        <f ca="1">IF(AND($D494="Serviço",AU$12&lt;&gt;0,$H494&gt;0,OR(AUTOEVENTO&lt;&gt;"manual",$M494&lt;&gt;1)),ROUND(OFFSET($P494,0,AU$13),15-13*ORÇAMENTO!$AF$7)/$H494*OFFSET(ORÇAMENTO!$X$15,ROW(AU494)-ROW(AU$15),0),0)</f>
        <v>0</v>
      </c>
      <c r="AV494" s="632">
        <f ca="1">IF(AND($D494="Serviço",AV$12&lt;&gt;0,$H494&gt;0,OR(AUTOEVENTO&lt;&gt;"manual",$M494&lt;&gt;1)),ROUND(OFFSET($P494,0,AV$13),15-13*ORÇAMENTO!$AF$7)/$H494*OFFSET(ORÇAMENTO!$X$15,ROW(AV494)-ROW(AV$15),0),0)</f>
        <v>0</v>
      </c>
      <c r="AW494" s="632">
        <f ca="1">IF(AND($D494="Serviço",AW$12&lt;&gt;0,$H494&gt;0,OR(AUTOEVENTO&lt;&gt;"manual",$M494&lt;&gt;1)),ROUND(OFFSET($P494,0,AW$13),15-13*ORÇAMENTO!$AF$7)/$H494*OFFSET(ORÇAMENTO!$X$15,ROW(AW494)-ROW(AW$15),0),0)</f>
        <v>0</v>
      </c>
      <c r="AX494" s="632">
        <f ca="1">IF(AND($D494="Serviço",AX$12&lt;&gt;0,$H494&gt;0,OR(AUTOEVENTO&lt;&gt;"manual",$M494&lt;&gt;1)),ROUND(OFFSET($P494,0,AX$13),15-13*ORÇAMENTO!$AF$7)/$H494*OFFSET(ORÇAMENTO!$X$15,ROW(AX494)-ROW(AX$15),0),0)</f>
        <v>0</v>
      </c>
      <c r="AY494" s="632">
        <f ca="1">IF(AND($D494="Serviço",AY$12&lt;&gt;0,$H494&gt;0,OR(AUTOEVENTO&lt;&gt;"manual",$M494&lt;&gt;1)),ROUND(OFFSET($P494,0,AY$13),15-13*ORÇAMENTO!$AF$7)/$H494*OFFSET(ORÇAMENTO!$X$15,ROW(AY494)-ROW(AY$15),0),0)</f>
        <v>0</v>
      </c>
      <c r="AZ494" s="632">
        <f ca="1">IF(AND($D494="Serviço",AZ$12&lt;&gt;0,$H494&gt;0,OR(AUTOEVENTO&lt;&gt;"manual",$M494&lt;&gt;1)),ROUND(OFFSET($P494,0,AZ$13),15-13*ORÇAMENTO!$AF$7)/$H494*OFFSET(ORÇAMENTO!$X$15,ROW(AZ494)-ROW(AZ$15),0),0)</f>
        <v>0</v>
      </c>
      <c r="BA494" s="633">
        <f ca="1">IF(AND($D494="Serviço",BA$12&lt;&gt;0,$H494&gt;0,OR(AUTOEVENTO&lt;&gt;"manual",$M494&lt;&gt;1)),ROUND(OFFSET($P494,0,BA$13),15-13*ORÇAMENTO!$AF$7)/$H494*OFFSET(ORÇAMENTO!$X$15,ROW(BA494)-ROW(BA$15),0),0)</f>
        <v>0</v>
      </c>
      <c r="BC494" s="215">
        <f ca="1">IF($D494&lt;&gt;"Serviço",0,IF(AND(AUTOEVENTO="Manual",$M494=1),0,IF(OFFSET(CRONOPLE!$F$14,$M494,BC$13)="",10^12,OFFSET(CRONOPLE!$F$14,$M494,BC$13))))</f>
        <v>1000000000000</v>
      </c>
      <c r="BD494" s="215">
        <f ca="1">IF($D494&lt;&gt;"Serviço",0,IF(AND(AUTOEVENTO="Manual",$M494=1),0,IF(OFFSET(CRONOPLE!$F$14,$M494,BD$13)="",10^12,OFFSET(CRONOPLE!$F$14,$M494,BD$13))))</f>
        <v>1000000000000</v>
      </c>
      <c r="BE494" s="215">
        <f ca="1">IF($D494&lt;&gt;"Serviço",0,IF(AND(AUTOEVENTO="Manual",$M494=1),0,IF(OFFSET(CRONOPLE!$F$14,$M494,BE$13)="",10^12,OFFSET(CRONOPLE!$F$14,$M494,BE$13))))</f>
        <v>1000000000000</v>
      </c>
      <c r="BF494" s="215">
        <f ca="1">IF($D494&lt;&gt;"Serviço",0,IF(AND(AUTOEVENTO="Manual",$M494=1),0,IF(OFFSET(CRONOPLE!$F$14,$M494,BF$13)="",10^12,OFFSET(CRONOPLE!$F$14,$M494,BF$13))))</f>
        <v>1000000000000</v>
      </c>
      <c r="BG494" s="215">
        <f ca="1">IF($D494&lt;&gt;"Serviço",0,IF(AND(AUTOEVENTO="Manual",$M494=1),0,IF(OFFSET(CRONOPLE!$F$14,$M494,BG$13)="",10^12,OFFSET(CRONOPLE!$F$14,$M494,BG$13))))</f>
        <v>1000000000000</v>
      </c>
      <c r="BH494" s="215">
        <f ca="1">IF($D494&lt;&gt;"Serviço",0,IF(AND(AUTOEVENTO="Manual",$M494=1),0,IF(OFFSET(CRONOPLE!$F$14,$M494,BH$13)="",10^12,OFFSET(CRONOPLE!$F$14,$M494,BH$13))))</f>
        <v>1000000000000</v>
      </c>
      <c r="BI494" s="215">
        <f ca="1">IF($D494&lt;&gt;"Serviço",0,IF(AND(AUTOEVENTO="Manual",$M494=1),0,IF(OFFSET(CRONOPLE!$F$14,$M494,BI$13)="",10^12,OFFSET(CRONOPLE!$F$14,$M494,BI$13))))</f>
        <v>1000000000000</v>
      </c>
      <c r="BJ494" s="215">
        <f ca="1">IF($D494&lt;&gt;"Serviço",0,IF(AND(AUTOEVENTO="Manual",$M494=1),0,IF(OFFSET(CRONOPLE!$F$14,$M494,BJ$13)="",10^12,OFFSET(CRONOPLE!$F$14,$M494,BJ$13))))</f>
        <v>1000000000000</v>
      </c>
      <c r="BK494" s="215">
        <f ca="1">IF($D494&lt;&gt;"Serviço",0,IF(AND(AUTOEVENTO="Manual",$M494=1),0,IF(OFFSET(CRONOPLE!$F$14,$M494,BK$13)="",10^12,OFFSET(CRONOPLE!$F$14,$M494,BK$13))))</f>
        <v>1000000000000</v>
      </c>
      <c r="BL494" s="215">
        <f ca="1">IF($D494&lt;&gt;"Serviço",0,IF(AND(AUTOEVENTO="Manual",$M494=1),0,IF(OFFSET(CRONOPLE!$F$14,$M494,BL$13)="",10^12,OFFSET(CRONOPLE!$F$14,$M494,BL$13))))</f>
        <v>1000000000000</v>
      </c>
      <c r="BM494" s="215">
        <f ca="1">IF($D494&lt;&gt;"Serviço",0,IF(AND(AUTOEVENTO="Manual",$M494=1),0,IF(OFFSET(CRONOPLE!$F$14,$M494,BM$13)="",10^12,OFFSET(CRONOPLE!$F$14,$M494,BM$13))))</f>
        <v>1000000000000</v>
      </c>
      <c r="BN494" s="215">
        <f ca="1">IF($D494&lt;&gt;"Serviço",0,IF(AND(AUTOEVENTO="Manual",$M494=1),0,IF(OFFSET(CRONOPLE!$F$14,$M494,BN$13)="",10^12,OFFSET(CRONOPLE!$F$14,$M494,BN$13))))</f>
        <v>1000000000000</v>
      </c>
      <c r="BO494" s="215">
        <f ca="1">IF($D494&lt;&gt;"Serviço",0,IF(AND(AUTOEVENTO="Manual",$M494=1),0,IF(OFFSET(CRONOPLE!$F$14,$M494,BO$13)="",10^12,OFFSET(CRONOPLE!$F$14,$M494,BO$13))))</f>
        <v>1000000000000</v>
      </c>
      <c r="BP494" s="215">
        <f ca="1">IF($D494&lt;&gt;"Serviço",0,IF(AND(AUTOEVENTO="Manual",$M494=1),0,IF(OFFSET(CRONOPLE!$F$14,$M494,BP$13)="",10^12,OFFSET(CRONOPLE!$F$14,$M494,BP$13))))</f>
        <v>1000000000000</v>
      </c>
      <c r="BQ494" s="215">
        <f ca="1">IF($D494&lt;&gt;"Serviço",0,IF(AND(AUTOEVENTO="Manual",$M494=1),0,IF(OFFSET(CRONOPLE!$F$14,$M494,BQ$13)="",10^12,OFFSET(CRONOPLE!$F$14,$M494,BQ$13))))</f>
        <v>1000000000000</v>
      </c>
      <c r="BR494" s="215">
        <f ca="1">IF($D494&lt;&gt;"Serviço",0,IF(AND(AUTOEVENTO="Manual",$M494=1),0,IF(OFFSET(CRONOPLE!$F$14,$M494,BR$13)="",10^12,OFFSET(CRONOPLE!$F$14,$M494,BR$13))))</f>
        <v>1000000000000</v>
      </c>
      <c r="BS494" s="215">
        <f ca="1">IF($D494&lt;&gt;"Serviço",0,IF(AND(AUTOEVENTO="Manual",$M494=1),0,IF(OFFSET(CRONOPLE!$F$14,$M494,BS$13)="",10^12,OFFSET(CRONOPLE!$F$14,$M494,BS$13))))</f>
        <v>1000000000000</v>
      </c>
      <c r="BT494" s="215">
        <f ca="1">IF($D494&lt;&gt;"Serviço",0,IF(AND(AUTOEVENTO="Manual",$M494=1),0,IF(OFFSET(CRONOPLE!$F$14,$M494,BT$13)="",10^12,OFFSET(CRONOPLE!$F$14,$M494,BT$13))))</f>
        <v>1000000000000</v>
      </c>
      <c r="BV494" s="216">
        <f ca="1">IF($D494&lt;&gt;"Serviço",0,IF(OR(AND(AUTOEVENTO="Manual",$M494=1),$M494&gt;(ROW(PLE.lastrow)-ROW(PLE.firstrow))),0,IF(OFFSET(PLE!$G$14,$M494,BV$13)="",10^12,OFFSET(PLE!$G$14,$M494,BV$13))))</f>
        <v>1000000000000</v>
      </c>
      <c r="BW494" s="216">
        <f ca="1">IF($D494&lt;&gt;"Serviço",0,IF(OR(AND(AUTOEVENTO="Manual",$M494=1),$M494&gt;(ROW(PLE.lastrow)-ROW(PLE.firstrow))),0,IF(OFFSET(PLE!$G$14,$M494,BW$13)="",10^12,OFFSET(PLE!$G$14,$M494,BW$13))))</f>
        <v>1000000000000</v>
      </c>
      <c r="BX494" s="216">
        <f ca="1">IF($D494&lt;&gt;"Serviço",0,IF(OR(AND(AUTOEVENTO="Manual",$M494=1),$M494&gt;(ROW(PLE.lastrow)-ROW(PLE.firstrow))),0,IF(OFFSET(PLE!$G$14,$M494,BX$13)="",10^12,OFFSET(PLE!$G$14,$M494,BX$13))))</f>
        <v>1000000000000</v>
      </c>
      <c r="BY494" s="216">
        <f ca="1">IF($D494&lt;&gt;"Serviço",0,IF(OR(AND(AUTOEVENTO="Manual",$M494=1),$M494&gt;(ROW(PLE.lastrow)-ROW(PLE.firstrow))),0,IF(OFFSET(PLE!$G$14,$M494,BY$13)="",10^12,OFFSET(PLE!$G$14,$M494,BY$13))))</f>
        <v>1000000000000</v>
      </c>
      <c r="BZ494" s="216">
        <f ca="1">IF($D494&lt;&gt;"Serviço",0,IF(OR(AND(AUTOEVENTO="Manual",$M494=1),$M494&gt;(ROW(PLE.lastrow)-ROW(PLE.firstrow))),0,IF(OFFSET(PLE!$G$14,$M494,BZ$13)="",10^12,OFFSET(PLE!$G$14,$M494,BZ$13))))</f>
        <v>1000000000000</v>
      </c>
      <c r="CA494" s="216">
        <f ca="1">IF($D494&lt;&gt;"Serviço",0,IF(OR(AND(AUTOEVENTO="Manual",$M494=1),$M494&gt;(ROW(PLE.lastrow)-ROW(PLE.firstrow))),0,IF(OFFSET(PLE!$G$14,$M494,CA$13)="",10^12,OFFSET(PLE!$G$14,$M494,CA$13))))</f>
        <v>1000000000000</v>
      </c>
      <c r="CB494" s="216">
        <f ca="1">IF($D494&lt;&gt;"Serviço",0,IF(OR(AND(AUTOEVENTO="Manual",$M494=1),$M494&gt;(ROW(PLE.lastrow)-ROW(PLE.firstrow))),0,IF(OFFSET(PLE!$G$14,$M494,CB$13)="",10^12,OFFSET(PLE!$G$14,$M494,CB$13))))</f>
        <v>1000000000000</v>
      </c>
      <c r="CC494" s="216">
        <f ca="1">IF($D494&lt;&gt;"Serviço",0,IF(OR(AND(AUTOEVENTO="Manual",$M494=1),$M494&gt;(ROW(PLE.lastrow)-ROW(PLE.firstrow))),0,IF(OFFSET(PLE!$G$14,$M494,CC$13)="",10^12,OFFSET(PLE!$G$14,$M494,CC$13))))</f>
        <v>1000000000000</v>
      </c>
      <c r="CD494" s="216">
        <f ca="1">IF($D494&lt;&gt;"Serviço",0,IF(OR(AND(AUTOEVENTO="Manual",$M494=1),$M494&gt;(ROW(PLE.lastrow)-ROW(PLE.firstrow))),0,IF(OFFSET(PLE!$G$14,$M494,CD$13)="",10^12,OFFSET(PLE!$G$14,$M494,CD$13))))</f>
        <v>1000000000000</v>
      </c>
      <c r="CE494" s="216">
        <f ca="1">IF($D494&lt;&gt;"Serviço",0,IF(OR(AND(AUTOEVENTO="Manual",$M494=1),$M494&gt;(ROW(PLE.lastrow)-ROW(PLE.firstrow))),0,IF(OFFSET(PLE!$G$14,$M494,CE$13)="",10^12,OFFSET(PLE!$G$14,$M494,CE$13))))</f>
        <v>1000000000000</v>
      </c>
      <c r="CF494" s="216">
        <f ca="1">IF($D494&lt;&gt;"Serviço",0,IF(OR(AND(AUTOEVENTO="Manual",$M494=1),$M494&gt;(ROW(PLE.lastrow)-ROW(PLE.firstrow))),0,IF(OFFSET(PLE!$G$14,$M494,CF$13)="",10^12,OFFSET(PLE!$G$14,$M494,CF$13))))</f>
        <v>1000000000000</v>
      </c>
      <c r="CG494" s="216">
        <f ca="1">IF($D494&lt;&gt;"Serviço",0,IF(OR(AND(AUTOEVENTO="Manual",$M494=1),$M494&gt;(ROW(PLE.lastrow)-ROW(PLE.firstrow))),0,IF(OFFSET(PLE!$G$14,$M494,CG$13)="",10^12,OFFSET(PLE!$G$14,$M494,CG$13))))</f>
        <v>1000000000000</v>
      </c>
      <c r="CH494" s="216">
        <f ca="1">IF($D494&lt;&gt;"Serviço",0,IF(OR(AND(AUTOEVENTO="Manual",$M494=1),$M494&gt;(ROW(PLE.lastrow)-ROW(PLE.firstrow))),0,IF(OFFSET(PLE!$G$14,$M494,CH$13)="",10^12,OFFSET(PLE!$G$14,$M494,CH$13))))</f>
        <v>1000000000000</v>
      </c>
      <c r="CI494" s="216">
        <f ca="1">IF($D494&lt;&gt;"Serviço",0,IF(OR(AND(AUTOEVENTO="Manual",$M494=1),$M494&gt;(ROW(PLE.lastrow)-ROW(PLE.firstrow))),0,IF(OFFSET(PLE!$G$14,$M494,CI$13)="",10^12,OFFSET(PLE!$G$14,$M494,CI$13))))</f>
        <v>1000000000000</v>
      </c>
      <c r="CJ494" s="216">
        <f ca="1">IF($D494&lt;&gt;"Serviço",0,IF(OR(AND(AUTOEVENTO="Manual",$M494=1),$M494&gt;(ROW(PLE.lastrow)-ROW(PLE.firstrow))),0,IF(OFFSET(PLE!$G$14,$M494,CJ$13)="",10^12,OFFSET(PLE!$G$14,$M494,CJ$13))))</f>
        <v>1000000000000</v>
      </c>
      <c r="CK494" s="216">
        <f ca="1">IF($D494&lt;&gt;"Serviço",0,IF(OR(AND(AUTOEVENTO="Manual",$M494=1),$M494&gt;(ROW(PLE.lastrow)-ROW(PLE.firstrow))),0,IF(OFFSET(PLE!$G$14,$M494,CK$13)="",10^12,OFFSET(PLE!$G$14,$M494,CK$13))))</f>
        <v>1000000000000</v>
      </c>
      <c r="CL494" s="216">
        <f ca="1">IF($D494&lt;&gt;"Serviço",0,IF(OR(AND(AUTOEVENTO="Manual",$M494=1),$M494&gt;(ROW(PLE.lastrow)-ROW(PLE.firstrow))),0,IF(OFFSET(PLE!$G$14,$M494,CL$13)="",10^12,OFFSET(PLE!$G$14,$M494,CL$13))))</f>
        <v>1000000000000</v>
      </c>
      <c r="CM494" s="216">
        <f ca="1">IF($D494&lt;&gt;"Serviço",0,IF(OR(AND(AUTOEVENTO="Manual",$M494=1),$M494&gt;(ROW(PLE.lastrow)-ROW(PLE.firstrow))),0,IF(OFFSET(PLE!$G$14,$M494,CM$13)="",10^12,OFFSET(PLE!$G$14,$M494,CM$13))))</f>
        <v>1000000000000</v>
      </c>
    </row>
    <row r="495" spans="1:91" ht="13.2" x14ac:dyDescent="0.25">
      <c r="A495" s="9">
        <f t="shared" ca="1" si="16"/>
        <v>0</v>
      </c>
      <c r="B495" s="9">
        <f ca="1">OFFSET(ORÇAMENTO!C$15,ROW(B495)-ROW(B$15),0)</f>
        <v>3</v>
      </c>
      <c r="C495" s="9" t="str">
        <f ca="1">OFFSET(ORÇAMENTO!L$15,ROW(C495)-ROW(C$15),0)</f>
        <v>F</v>
      </c>
      <c r="D495" s="145" t="str">
        <f ca="1">OFFSET(ORÇAMENTO!N$15,ROW(D495)-ROW(D$15),0)</f>
        <v>Nível 3</v>
      </c>
      <c r="E495" s="205" t="str">
        <f ca="1">OFFSET(ORÇAMENTO!O$15,ROW(E495)-ROW(E$15),0)</f>
        <v>1.17.2.</v>
      </c>
      <c r="F495" s="206" t="str">
        <f ca="1">OFFSET(ORÇAMENTO!R$15,ROW(F495)-ROW(F$15),0)</f>
        <v>FERRO MALEAVEL CLASSE 10</v>
      </c>
      <c r="G495" s="207" t="str">
        <f ca="1">IF($D495&lt;&gt;"Serviço","",OFFSET(ORÇAMENTO!S$15,ROW(G495)-ROW(G$15),0))</f>
        <v/>
      </c>
      <c r="H495" s="151">
        <f ca="1">IF($D495&lt;&gt;"Serviço",0,IF(ACOMPANHAMENTO="BM",ROUND(OFFSET(ORÇAMENTO!AJ$15,ROW(H495)-ROW(H$15),0),15-13*ORÇAMENTO!$AF$7),SUMPRODUCT(($Q$12:$AI$12&lt;&gt;"")*ROUND($Q495:$AI495,15-13*ORÇAMENTO!$AF$7))))</f>
        <v>0</v>
      </c>
      <c r="I495" s="650"/>
      <c r="K495" s="208"/>
      <c r="L495" s="209" t="s">
        <v>257</v>
      </c>
      <c r="M495" s="210" t="str">
        <f ca="1">IF($D495&lt;&gt;"Serviço","",IF(AUTOEVENTO="manual",$A495,IF(ISERROR(MATCH($A495,$A$15:OFFSET($A495,-1,0),0)),MAX($M$15:OFFSET(M495,-1,0))+1,INDEX($M$15:OFFSET(M495,-1,0),MATCH($A495,$A$15:OFFSET($A495,-1,0),0)))))</f>
        <v/>
      </c>
      <c r="N495" s="211" t="str">
        <f ca="1">IF($D495&lt;&gt;"Serviço","",IF(AUTOEVENTO="Manual",IF($A495=0,"&lt;-- defina o número do agrupador",OFFSET(EVENTOS!$D$14,$A495,0)),OFFSET($F$15,$A495,0)))</f>
        <v/>
      </c>
      <c r="O495" s="212"/>
      <c r="Q495" s="212"/>
      <c r="R495" s="213"/>
      <c r="S495" s="213"/>
      <c r="T495" s="213"/>
      <c r="U495" s="213"/>
      <c r="V495" s="213"/>
      <c r="W495" s="213"/>
      <c r="X495" s="213"/>
      <c r="Y495" s="213"/>
      <c r="Z495" s="214"/>
      <c r="AA495" s="213"/>
      <c r="AB495" s="213"/>
      <c r="AC495" s="213"/>
      <c r="AD495" s="213"/>
      <c r="AE495" s="213"/>
      <c r="AF495" s="213"/>
      <c r="AG495" s="213"/>
      <c r="AH495" s="214"/>
      <c r="AJ495" s="631">
        <f ca="1">IF(AND($D495="Serviço",AJ$12&lt;&gt;0,$H495&gt;0,OR(AUTOEVENTO&lt;&gt;"manual",$M495&lt;&gt;1)),ROUND(OFFSET($P495,0,AJ$13),15-13*ORÇAMENTO!$AF$7)/$H495*OFFSET(ORÇAMENTO!$X$15,ROW(AJ495)-ROW(AJ$15),0),0)</f>
        <v>0</v>
      </c>
      <c r="AK495" s="632">
        <f ca="1">IF(AND($D495="Serviço",AK$12&lt;&gt;0,$H495&gt;0,OR(AUTOEVENTO&lt;&gt;"manual",$M495&lt;&gt;1)),ROUND(OFFSET($P495,0,AK$13),15-13*ORÇAMENTO!$AF$7)/$H495*OFFSET(ORÇAMENTO!$X$15,ROW(AK495)-ROW(AK$15),0),0)</f>
        <v>0</v>
      </c>
      <c r="AL495" s="632">
        <f ca="1">IF(AND($D495="Serviço",AL$12&lt;&gt;0,$H495&gt;0,OR(AUTOEVENTO&lt;&gt;"manual",$M495&lt;&gt;1)),ROUND(OFFSET($P495,0,AL$13),15-13*ORÇAMENTO!$AF$7)/$H495*OFFSET(ORÇAMENTO!$X$15,ROW(AL495)-ROW(AL$15),0),0)</f>
        <v>0</v>
      </c>
      <c r="AM495" s="632">
        <f ca="1">IF(AND($D495="Serviço",AM$12&lt;&gt;0,$H495&gt;0,OR(AUTOEVENTO&lt;&gt;"manual",$M495&lt;&gt;1)),ROUND(OFFSET($P495,0,AM$13),15-13*ORÇAMENTO!$AF$7)/$H495*OFFSET(ORÇAMENTO!$X$15,ROW(AM495)-ROW(AM$15),0),0)</f>
        <v>0</v>
      </c>
      <c r="AN495" s="632">
        <f ca="1">IF(AND($D495="Serviço",AN$12&lt;&gt;0,$H495&gt;0,OR(AUTOEVENTO&lt;&gt;"manual",$M495&lt;&gt;1)),ROUND(OFFSET($P495,0,AN$13),15-13*ORÇAMENTO!$AF$7)/$H495*OFFSET(ORÇAMENTO!$X$15,ROW(AN495)-ROW(AN$15),0),0)</f>
        <v>0</v>
      </c>
      <c r="AO495" s="632">
        <f ca="1">IF(AND($D495="Serviço",AO$12&lt;&gt;0,$H495&gt;0,OR(AUTOEVENTO&lt;&gt;"manual",$M495&lt;&gt;1)),ROUND(OFFSET($P495,0,AO$13),15-13*ORÇAMENTO!$AF$7)/$H495*OFFSET(ORÇAMENTO!$X$15,ROW(AO495)-ROW(AO$15),0),0)</f>
        <v>0</v>
      </c>
      <c r="AP495" s="632">
        <f ca="1">IF(AND($D495="Serviço",AP$12&lt;&gt;0,$H495&gt;0,OR(AUTOEVENTO&lt;&gt;"manual",$M495&lt;&gt;1)),ROUND(OFFSET($P495,0,AP$13),15-13*ORÇAMENTO!$AF$7)/$H495*OFFSET(ORÇAMENTO!$X$15,ROW(AP495)-ROW(AP$15),0),0)</f>
        <v>0</v>
      </c>
      <c r="AQ495" s="632">
        <f ca="1">IF(AND($D495="Serviço",AQ$12&lt;&gt;0,$H495&gt;0,OR(AUTOEVENTO&lt;&gt;"manual",$M495&lt;&gt;1)),ROUND(OFFSET($P495,0,AQ$13),15-13*ORÇAMENTO!$AF$7)/$H495*OFFSET(ORÇAMENTO!$X$15,ROW(AQ495)-ROW(AQ$15),0),0)</f>
        <v>0</v>
      </c>
      <c r="AR495" s="632">
        <f ca="1">IF(AND($D495="Serviço",AR$12&lt;&gt;0,$H495&gt;0,OR(AUTOEVENTO&lt;&gt;"manual",$M495&lt;&gt;1)),ROUND(OFFSET($P495,0,AR$13),15-13*ORÇAMENTO!$AF$7)/$H495*OFFSET(ORÇAMENTO!$X$15,ROW(AR495)-ROW(AR$15),0),0)</f>
        <v>0</v>
      </c>
      <c r="AS495" s="633">
        <f ca="1">IF(AND($D495="Serviço",AS$12&lt;&gt;0,$H495&gt;0,OR(AUTOEVENTO&lt;&gt;"manual",$M495&lt;&gt;1)),ROUND(OFFSET($P495,0,AS$13),15-13*ORÇAMENTO!$AF$7)/$H495*OFFSET(ORÇAMENTO!$X$15,ROW(AS495)-ROW(AS$15),0),0)</f>
        <v>0</v>
      </c>
      <c r="AT495" s="632">
        <f ca="1">IF(AND($D495="Serviço",AT$12&lt;&gt;0,$H495&gt;0,OR(AUTOEVENTO&lt;&gt;"manual",$M495&lt;&gt;1)),ROUND(OFFSET($P495,0,AT$13),15-13*ORÇAMENTO!$AF$7)/$H495*OFFSET(ORÇAMENTO!$X$15,ROW(AT495)-ROW(AT$15),0),0)</f>
        <v>0</v>
      </c>
      <c r="AU495" s="632">
        <f ca="1">IF(AND($D495="Serviço",AU$12&lt;&gt;0,$H495&gt;0,OR(AUTOEVENTO&lt;&gt;"manual",$M495&lt;&gt;1)),ROUND(OFFSET($P495,0,AU$13),15-13*ORÇAMENTO!$AF$7)/$H495*OFFSET(ORÇAMENTO!$X$15,ROW(AU495)-ROW(AU$15),0),0)</f>
        <v>0</v>
      </c>
      <c r="AV495" s="632">
        <f ca="1">IF(AND($D495="Serviço",AV$12&lt;&gt;0,$H495&gt;0,OR(AUTOEVENTO&lt;&gt;"manual",$M495&lt;&gt;1)),ROUND(OFFSET($P495,0,AV$13),15-13*ORÇAMENTO!$AF$7)/$H495*OFFSET(ORÇAMENTO!$X$15,ROW(AV495)-ROW(AV$15),0),0)</f>
        <v>0</v>
      </c>
      <c r="AW495" s="632">
        <f ca="1">IF(AND($D495="Serviço",AW$12&lt;&gt;0,$H495&gt;0,OR(AUTOEVENTO&lt;&gt;"manual",$M495&lt;&gt;1)),ROUND(OFFSET($P495,0,AW$13),15-13*ORÇAMENTO!$AF$7)/$H495*OFFSET(ORÇAMENTO!$X$15,ROW(AW495)-ROW(AW$15),0),0)</f>
        <v>0</v>
      </c>
      <c r="AX495" s="632">
        <f ca="1">IF(AND($D495="Serviço",AX$12&lt;&gt;0,$H495&gt;0,OR(AUTOEVENTO&lt;&gt;"manual",$M495&lt;&gt;1)),ROUND(OFFSET($P495,0,AX$13),15-13*ORÇAMENTO!$AF$7)/$H495*OFFSET(ORÇAMENTO!$X$15,ROW(AX495)-ROW(AX$15),0),0)</f>
        <v>0</v>
      </c>
      <c r="AY495" s="632">
        <f ca="1">IF(AND($D495="Serviço",AY$12&lt;&gt;0,$H495&gt;0,OR(AUTOEVENTO&lt;&gt;"manual",$M495&lt;&gt;1)),ROUND(OFFSET($P495,0,AY$13),15-13*ORÇAMENTO!$AF$7)/$H495*OFFSET(ORÇAMENTO!$X$15,ROW(AY495)-ROW(AY$15),0),0)</f>
        <v>0</v>
      </c>
      <c r="AZ495" s="632">
        <f ca="1">IF(AND($D495="Serviço",AZ$12&lt;&gt;0,$H495&gt;0,OR(AUTOEVENTO&lt;&gt;"manual",$M495&lt;&gt;1)),ROUND(OFFSET($P495,0,AZ$13),15-13*ORÇAMENTO!$AF$7)/$H495*OFFSET(ORÇAMENTO!$X$15,ROW(AZ495)-ROW(AZ$15),0),0)</f>
        <v>0</v>
      </c>
      <c r="BA495" s="633">
        <f ca="1">IF(AND($D495="Serviço",BA$12&lt;&gt;0,$H495&gt;0,OR(AUTOEVENTO&lt;&gt;"manual",$M495&lt;&gt;1)),ROUND(OFFSET($P495,0,BA$13),15-13*ORÇAMENTO!$AF$7)/$H495*OFFSET(ORÇAMENTO!$X$15,ROW(BA495)-ROW(BA$15),0),0)</f>
        <v>0</v>
      </c>
      <c r="BC495" s="215">
        <f ca="1">IF($D495&lt;&gt;"Serviço",0,IF(AND(AUTOEVENTO="Manual",$M495=1),0,IF(OFFSET(CRONOPLE!$F$14,$M495,BC$13)="",10^12,OFFSET(CRONOPLE!$F$14,$M495,BC$13))))</f>
        <v>0</v>
      </c>
      <c r="BD495" s="215">
        <f ca="1">IF($D495&lt;&gt;"Serviço",0,IF(AND(AUTOEVENTO="Manual",$M495=1),0,IF(OFFSET(CRONOPLE!$F$14,$M495,BD$13)="",10^12,OFFSET(CRONOPLE!$F$14,$M495,BD$13))))</f>
        <v>0</v>
      </c>
      <c r="BE495" s="215">
        <f ca="1">IF($D495&lt;&gt;"Serviço",0,IF(AND(AUTOEVENTO="Manual",$M495=1),0,IF(OFFSET(CRONOPLE!$F$14,$M495,BE$13)="",10^12,OFFSET(CRONOPLE!$F$14,$M495,BE$13))))</f>
        <v>0</v>
      </c>
      <c r="BF495" s="215">
        <f ca="1">IF($D495&lt;&gt;"Serviço",0,IF(AND(AUTOEVENTO="Manual",$M495=1),0,IF(OFFSET(CRONOPLE!$F$14,$M495,BF$13)="",10^12,OFFSET(CRONOPLE!$F$14,$M495,BF$13))))</f>
        <v>0</v>
      </c>
      <c r="BG495" s="215">
        <f ca="1">IF($D495&lt;&gt;"Serviço",0,IF(AND(AUTOEVENTO="Manual",$M495=1),0,IF(OFFSET(CRONOPLE!$F$14,$M495,BG$13)="",10^12,OFFSET(CRONOPLE!$F$14,$M495,BG$13))))</f>
        <v>0</v>
      </c>
      <c r="BH495" s="215">
        <f ca="1">IF($D495&lt;&gt;"Serviço",0,IF(AND(AUTOEVENTO="Manual",$M495=1),0,IF(OFFSET(CRONOPLE!$F$14,$M495,BH$13)="",10^12,OFFSET(CRONOPLE!$F$14,$M495,BH$13))))</f>
        <v>0</v>
      </c>
      <c r="BI495" s="215">
        <f ca="1">IF($D495&lt;&gt;"Serviço",0,IF(AND(AUTOEVENTO="Manual",$M495=1),0,IF(OFFSET(CRONOPLE!$F$14,$M495,BI$13)="",10^12,OFFSET(CRONOPLE!$F$14,$M495,BI$13))))</f>
        <v>0</v>
      </c>
      <c r="BJ495" s="215">
        <f ca="1">IF($D495&lt;&gt;"Serviço",0,IF(AND(AUTOEVENTO="Manual",$M495=1),0,IF(OFFSET(CRONOPLE!$F$14,$M495,BJ$13)="",10^12,OFFSET(CRONOPLE!$F$14,$M495,BJ$13))))</f>
        <v>0</v>
      </c>
      <c r="BK495" s="215">
        <f ca="1">IF($D495&lt;&gt;"Serviço",0,IF(AND(AUTOEVENTO="Manual",$M495=1),0,IF(OFFSET(CRONOPLE!$F$14,$M495,BK$13)="",10^12,OFFSET(CRONOPLE!$F$14,$M495,BK$13))))</f>
        <v>0</v>
      </c>
      <c r="BL495" s="215">
        <f ca="1">IF($D495&lt;&gt;"Serviço",0,IF(AND(AUTOEVENTO="Manual",$M495=1),0,IF(OFFSET(CRONOPLE!$F$14,$M495,BL$13)="",10^12,OFFSET(CRONOPLE!$F$14,$M495,BL$13))))</f>
        <v>0</v>
      </c>
      <c r="BM495" s="215">
        <f ca="1">IF($D495&lt;&gt;"Serviço",0,IF(AND(AUTOEVENTO="Manual",$M495=1),0,IF(OFFSET(CRONOPLE!$F$14,$M495,BM$13)="",10^12,OFFSET(CRONOPLE!$F$14,$M495,BM$13))))</f>
        <v>0</v>
      </c>
      <c r="BN495" s="215">
        <f ca="1">IF($D495&lt;&gt;"Serviço",0,IF(AND(AUTOEVENTO="Manual",$M495=1),0,IF(OFFSET(CRONOPLE!$F$14,$M495,BN$13)="",10^12,OFFSET(CRONOPLE!$F$14,$M495,BN$13))))</f>
        <v>0</v>
      </c>
      <c r="BO495" s="215">
        <f ca="1">IF($D495&lt;&gt;"Serviço",0,IF(AND(AUTOEVENTO="Manual",$M495=1),0,IF(OFFSET(CRONOPLE!$F$14,$M495,BO$13)="",10^12,OFFSET(CRONOPLE!$F$14,$M495,BO$13))))</f>
        <v>0</v>
      </c>
      <c r="BP495" s="215">
        <f ca="1">IF($D495&lt;&gt;"Serviço",0,IF(AND(AUTOEVENTO="Manual",$M495=1),0,IF(OFFSET(CRONOPLE!$F$14,$M495,BP$13)="",10^12,OFFSET(CRONOPLE!$F$14,$M495,BP$13))))</f>
        <v>0</v>
      </c>
      <c r="BQ495" s="215">
        <f ca="1">IF($D495&lt;&gt;"Serviço",0,IF(AND(AUTOEVENTO="Manual",$M495=1),0,IF(OFFSET(CRONOPLE!$F$14,$M495,BQ$13)="",10^12,OFFSET(CRONOPLE!$F$14,$M495,BQ$13))))</f>
        <v>0</v>
      </c>
      <c r="BR495" s="215">
        <f ca="1">IF($D495&lt;&gt;"Serviço",0,IF(AND(AUTOEVENTO="Manual",$M495=1),0,IF(OFFSET(CRONOPLE!$F$14,$M495,BR$13)="",10^12,OFFSET(CRONOPLE!$F$14,$M495,BR$13))))</f>
        <v>0</v>
      </c>
      <c r="BS495" s="215">
        <f ca="1">IF($D495&lt;&gt;"Serviço",0,IF(AND(AUTOEVENTO="Manual",$M495=1),0,IF(OFFSET(CRONOPLE!$F$14,$M495,BS$13)="",10^12,OFFSET(CRONOPLE!$F$14,$M495,BS$13))))</f>
        <v>0</v>
      </c>
      <c r="BT495" s="215">
        <f ca="1">IF($D495&lt;&gt;"Serviço",0,IF(AND(AUTOEVENTO="Manual",$M495=1),0,IF(OFFSET(CRONOPLE!$F$14,$M495,BT$13)="",10^12,OFFSET(CRONOPLE!$F$14,$M495,BT$13))))</f>
        <v>0</v>
      </c>
      <c r="BV495" s="216">
        <f ca="1">IF($D495&lt;&gt;"Serviço",0,IF(OR(AND(AUTOEVENTO="Manual",$M495=1),$M495&gt;(ROW(PLE.lastrow)-ROW(PLE.firstrow))),0,IF(OFFSET(PLE!$G$14,$M495,BV$13)="",10^12,OFFSET(PLE!$G$14,$M495,BV$13))))</f>
        <v>0</v>
      </c>
      <c r="BW495" s="216">
        <f ca="1">IF($D495&lt;&gt;"Serviço",0,IF(OR(AND(AUTOEVENTO="Manual",$M495=1),$M495&gt;(ROW(PLE.lastrow)-ROW(PLE.firstrow))),0,IF(OFFSET(PLE!$G$14,$M495,BW$13)="",10^12,OFFSET(PLE!$G$14,$M495,BW$13))))</f>
        <v>0</v>
      </c>
      <c r="BX495" s="216">
        <f ca="1">IF($D495&lt;&gt;"Serviço",0,IF(OR(AND(AUTOEVENTO="Manual",$M495=1),$M495&gt;(ROW(PLE.lastrow)-ROW(PLE.firstrow))),0,IF(OFFSET(PLE!$G$14,$M495,BX$13)="",10^12,OFFSET(PLE!$G$14,$M495,BX$13))))</f>
        <v>0</v>
      </c>
      <c r="BY495" s="216">
        <f ca="1">IF($D495&lt;&gt;"Serviço",0,IF(OR(AND(AUTOEVENTO="Manual",$M495=1),$M495&gt;(ROW(PLE.lastrow)-ROW(PLE.firstrow))),0,IF(OFFSET(PLE!$G$14,$M495,BY$13)="",10^12,OFFSET(PLE!$G$14,$M495,BY$13))))</f>
        <v>0</v>
      </c>
      <c r="BZ495" s="216">
        <f ca="1">IF($D495&lt;&gt;"Serviço",0,IF(OR(AND(AUTOEVENTO="Manual",$M495=1),$M495&gt;(ROW(PLE.lastrow)-ROW(PLE.firstrow))),0,IF(OFFSET(PLE!$G$14,$M495,BZ$13)="",10^12,OFFSET(PLE!$G$14,$M495,BZ$13))))</f>
        <v>0</v>
      </c>
      <c r="CA495" s="216">
        <f ca="1">IF($D495&lt;&gt;"Serviço",0,IF(OR(AND(AUTOEVENTO="Manual",$M495=1),$M495&gt;(ROW(PLE.lastrow)-ROW(PLE.firstrow))),0,IF(OFFSET(PLE!$G$14,$M495,CA$13)="",10^12,OFFSET(PLE!$G$14,$M495,CA$13))))</f>
        <v>0</v>
      </c>
      <c r="CB495" s="216">
        <f ca="1">IF($D495&lt;&gt;"Serviço",0,IF(OR(AND(AUTOEVENTO="Manual",$M495=1),$M495&gt;(ROW(PLE.lastrow)-ROW(PLE.firstrow))),0,IF(OFFSET(PLE!$G$14,$M495,CB$13)="",10^12,OFFSET(PLE!$G$14,$M495,CB$13))))</f>
        <v>0</v>
      </c>
      <c r="CC495" s="216">
        <f ca="1">IF($D495&lt;&gt;"Serviço",0,IF(OR(AND(AUTOEVENTO="Manual",$M495=1),$M495&gt;(ROW(PLE.lastrow)-ROW(PLE.firstrow))),0,IF(OFFSET(PLE!$G$14,$M495,CC$13)="",10^12,OFFSET(PLE!$G$14,$M495,CC$13))))</f>
        <v>0</v>
      </c>
      <c r="CD495" s="216">
        <f ca="1">IF($D495&lt;&gt;"Serviço",0,IF(OR(AND(AUTOEVENTO="Manual",$M495=1),$M495&gt;(ROW(PLE.lastrow)-ROW(PLE.firstrow))),0,IF(OFFSET(PLE!$G$14,$M495,CD$13)="",10^12,OFFSET(PLE!$G$14,$M495,CD$13))))</f>
        <v>0</v>
      </c>
      <c r="CE495" s="216">
        <f ca="1">IF($D495&lt;&gt;"Serviço",0,IF(OR(AND(AUTOEVENTO="Manual",$M495=1),$M495&gt;(ROW(PLE.lastrow)-ROW(PLE.firstrow))),0,IF(OFFSET(PLE!$G$14,$M495,CE$13)="",10^12,OFFSET(PLE!$G$14,$M495,CE$13))))</f>
        <v>0</v>
      </c>
      <c r="CF495" s="216">
        <f ca="1">IF($D495&lt;&gt;"Serviço",0,IF(OR(AND(AUTOEVENTO="Manual",$M495=1),$M495&gt;(ROW(PLE.lastrow)-ROW(PLE.firstrow))),0,IF(OFFSET(PLE!$G$14,$M495,CF$13)="",10^12,OFFSET(PLE!$G$14,$M495,CF$13))))</f>
        <v>0</v>
      </c>
      <c r="CG495" s="216">
        <f ca="1">IF($D495&lt;&gt;"Serviço",0,IF(OR(AND(AUTOEVENTO="Manual",$M495=1),$M495&gt;(ROW(PLE.lastrow)-ROW(PLE.firstrow))),0,IF(OFFSET(PLE!$G$14,$M495,CG$13)="",10^12,OFFSET(PLE!$G$14,$M495,CG$13))))</f>
        <v>0</v>
      </c>
      <c r="CH495" s="216">
        <f ca="1">IF($D495&lt;&gt;"Serviço",0,IF(OR(AND(AUTOEVENTO="Manual",$M495=1),$M495&gt;(ROW(PLE.lastrow)-ROW(PLE.firstrow))),0,IF(OFFSET(PLE!$G$14,$M495,CH$13)="",10^12,OFFSET(PLE!$G$14,$M495,CH$13))))</f>
        <v>0</v>
      </c>
      <c r="CI495" s="216">
        <f ca="1">IF($D495&lt;&gt;"Serviço",0,IF(OR(AND(AUTOEVENTO="Manual",$M495=1),$M495&gt;(ROW(PLE.lastrow)-ROW(PLE.firstrow))),0,IF(OFFSET(PLE!$G$14,$M495,CI$13)="",10^12,OFFSET(PLE!$G$14,$M495,CI$13))))</f>
        <v>0</v>
      </c>
      <c r="CJ495" s="216">
        <f ca="1">IF($D495&lt;&gt;"Serviço",0,IF(OR(AND(AUTOEVENTO="Manual",$M495=1),$M495&gt;(ROW(PLE.lastrow)-ROW(PLE.firstrow))),0,IF(OFFSET(PLE!$G$14,$M495,CJ$13)="",10^12,OFFSET(PLE!$G$14,$M495,CJ$13))))</f>
        <v>0</v>
      </c>
      <c r="CK495" s="216">
        <f ca="1">IF($D495&lt;&gt;"Serviço",0,IF(OR(AND(AUTOEVENTO="Manual",$M495=1),$M495&gt;(ROW(PLE.lastrow)-ROW(PLE.firstrow))),0,IF(OFFSET(PLE!$G$14,$M495,CK$13)="",10^12,OFFSET(PLE!$G$14,$M495,CK$13))))</f>
        <v>0</v>
      </c>
      <c r="CL495" s="216">
        <f ca="1">IF($D495&lt;&gt;"Serviço",0,IF(OR(AND(AUTOEVENTO="Manual",$M495=1),$M495&gt;(ROW(PLE.lastrow)-ROW(PLE.firstrow))),0,IF(OFFSET(PLE!$G$14,$M495,CL$13)="",10^12,OFFSET(PLE!$G$14,$M495,CL$13))))</f>
        <v>0</v>
      </c>
      <c r="CM495" s="216">
        <f ca="1">IF($D495&lt;&gt;"Serviço",0,IF(OR(AND(AUTOEVENTO="Manual",$M495=1),$M495&gt;(ROW(PLE.lastrow)-ROW(PLE.firstrow))),0,IF(OFFSET(PLE!$G$14,$M495,CM$13)="",10^12,OFFSET(PLE!$G$14,$M495,CM$13))))</f>
        <v>0</v>
      </c>
    </row>
    <row r="496" spans="1:91" ht="13.2" x14ac:dyDescent="0.25">
      <c r="A496" s="9">
        <f t="shared" ca="1" si="16"/>
        <v>0</v>
      </c>
      <c r="B496" s="9" t="str">
        <f ca="1">OFFSET(ORÇAMENTO!C$15,ROW(B496)-ROW(B$15),0)</f>
        <v>S</v>
      </c>
      <c r="C496" s="9" t="str">
        <f ca="1">OFFSET(ORÇAMENTO!L$15,ROW(C496)-ROW(C$15),0)</f>
        <v/>
      </c>
      <c r="D496" s="145" t="str">
        <f ca="1">OFFSET(ORÇAMENTO!N$15,ROW(D496)-ROW(D$15),0)</f>
        <v>Serviço</v>
      </c>
      <c r="E496" s="205" t="str">
        <f ca="1">OFFSET(ORÇAMENTO!O$15,ROW(E496)-ROW(E$15),0)</f>
        <v>-</v>
      </c>
      <c r="F496" s="206" t="str">
        <f ca="1">OFFSET(ORÇAMENTO!R$15,ROW(F496)-ROW(F$15),0)</f>
        <v>(abra o arquivo 'Referência 05-2024.xls)</v>
      </c>
      <c r="G496" s="207" t="str">
        <f ca="1">IF($D496&lt;&gt;"Serviço","",OFFSET(ORÇAMENTO!S$15,ROW(G496)-ROW(G$15),0))</f>
        <v>-</v>
      </c>
      <c r="H496" s="151">
        <f ca="1">IF($D496&lt;&gt;"Serviço",0,IF(ACOMPANHAMENTO="BM",ROUND(OFFSET(ORÇAMENTO!AJ$15,ROW(H496)-ROW(H$15),0),15-13*ORÇAMENTO!$AF$7),SUMPRODUCT(($Q$12:$AI$12&lt;&gt;"")*ROUND($Q496:$AI496,15-13*ORÇAMENTO!$AF$7))))</f>
        <v>1</v>
      </c>
      <c r="I496" s="650"/>
      <c r="K496" s="208"/>
      <c r="L496" s="209" t="s">
        <v>257</v>
      </c>
      <c r="M496" s="210">
        <f ca="1">IF($D496&lt;&gt;"Serviço","",IF(AUTOEVENTO="manual",$A496,IF(ISERROR(MATCH($A496,$A$15:OFFSET($A496,-1,0),0)),MAX($M$15:OFFSET(M496,-1,0))+1,INDEX($M$15:OFFSET(M496,-1,0),MATCH($A496,$A$15:OFFSET($A496,-1,0),0)))))</f>
        <v>0</v>
      </c>
      <c r="N496" s="211" t="str">
        <f ca="1">IF($D496&lt;&gt;"Serviço","",IF(AUTOEVENTO="Manual",IF($A496=0,"&lt;-- defina o número do agrupador",OFFSET(EVENTOS!$D$14,$A496,0)),OFFSET($F$15,$A496,0)))</f>
        <v>&lt;-- defina o número do agrupador</v>
      </c>
      <c r="O496" s="212"/>
      <c r="Q496" s="212"/>
      <c r="R496" s="213"/>
      <c r="S496" s="213"/>
      <c r="T496" s="213"/>
      <c r="U496" s="213"/>
      <c r="V496" s="213"/>
      <c r="W496" s="213"/>
      <c r="X496" s="213"/>
      <c r="Y496" s="213"/>
      <c r="Z496" s="214"/>
      <c r="AA496" s="213"/>
      <c r="AB496" s="213"/>
      <c r="AC496" s="213"/>
      <c r="AD496" s="213"/>
      <c r="AE496" s="213"/>
      <c r="AF496" s="213"/>
      <c r="AG496" s="213"/>
      <c r="AH496" s="214"/>
      <c r="AJ496" s="631">
        <f ca="1">IF(AND($D496="Serviço",AJ$12&lt;&gt;0,$H496&gt;0,OR(AUTOEVENTO&lt;&gt;"manual",$M496&lt;&gt;1)),ROUND(OFFSET($P496,0,AJ$13),15-13*ORÇAMENTO!$AF$7)/$H496*OFFSET(ORÇAMENTO!$X$15,ROW(AJ496)-ROW(AJ$15),0),0)</f>
        <v>0</v>
      </c>
      <c r="AK496" s="632">
        <f ca="1">IF(AND($D496="Serviço",AK$12&lt;&gt;0,$H496&gt;0,OR(AUTOEVENTO&lt;&gt;"manual",$M496&lt;&gt;1)),ROUND(OFFSET($P496,0,AK$13),15-13*ORÇAMENTO!$AF$7)/$H496*OFFSET(ORÇAMENTO!$X$15,ROW(AK496)-ROW(AK$15),0),0)</f>
        <v>0</v>
      </c>
      <c r="AL496" s="632">
        <f ca="1">IF(AND($D496="Serviço",AL$12&lt;&gt;0,$H496&gt;0,OR(AUTOEVENTO&lt;&gt;"manual",$M496&lt;&gt;1)),ROUND(OFFSET($P496,0,AL$13),15-13*ORÇAMENTO!$AF$7)/$H496*OFFSET(ORÇAMENTO!$X$15,ROW(AL496)-ROW(AL$15),0),0)</f>
        <v>0</v>
      </c>
      <c r="AM496" s="632">
        <f ca="1">IF(AND($D496="Serviço",AM$12&lt;&gt;0,$H496&gt;0,OR(AUTOEVENTO&lt;&gt;"manual",$M496&lt;&gt;1)),ROUND(OFFSET($P496,0,AM$13),15-13*ORÇAMENTO!$AF$7)/$H496*OFFSET(ORÇAMENTO!$X$15,ROW(AM496)-ROW(AM$15),0),0)</f>
        <v>0</v>
      </c>
      <c r="AN496" s="632">
        <f ca="1">IF(AND($D496="Serviço",AN$12&lt;&gt;0,$H496&gt;0,OR(AUTOEVENTO&lt;&gt;"manual",$M496&lt;&gt;1)),ROUND(OFFSET($P496,0,AN$13),15-13*ORÇAMENTO!$AF$7)/$H496*OFFSET(ORÇAMENTO!$X$15,ROW(AN496)-ROW(AN$15),0),0)</f>
        <v>0</v>
      </c>
      <c r="AO496" s="632">
        <f ca="1">IF(AND($D496="Serviço",AO$12&lt;&gt;0,$H496&gt;0,OR(AUTOEVENTO&lt;&gt;"manual",$M496&lt;&gt;1)),ROUND(OFFSET($P496,0,AO$13),15-13*ORÇAMENTO!$AF$7)/$H496*OFFSET(ORÇAMENTO!$X$15,ROW(AO496)-ROW(AO$15),0),0)</f>
        <v>0</v>
      </c>
      <c r="AP496" s="632">
        <f ca="1">IF(AND($D496="Serviço",AP$12&lt;&gt;0,$H496&gt;0,OR(AUTOEVENTO&lt;&gt;"manual",$M496&lt;&gt;1)),ROUND(OFFSET($P496,0,AP$13),15-13*ORÇAMENTO!$AF$7)/$H496*OFFSET(ORÇAMENTO!$X$15,ROW(AP496)-ROW(AP$15),0),0)</f>
        <v>0</v>
      </c>
      <c r="AQ496" s="632">
        <f ca="1">IF(AND($D496="Serviço",AQ$12&lt;&gt;0,$H496&gt;0,OR(AUTOEVENTO&lt;&gt;"manual",$M496&lt;&gt;1)),ROUND(OFFSET($P496,0,AQ$13),15-13*ORÇAMENTO!$AF$7)/$H496*OFFSET(ORÇAMENTO!$X$15,ROW(AQ496)-ROW(AQ$15),0),0)</f>
        <v>0</v>
      </c>
      <c r="AR496" s="632">
        <f ca="1">IF(AND($D496="Serviço",AR$12&lt;&gt;0,$H496&gt;0,OR(AUTOEVENTO&lt;&gt;"manual",$M496&lt;&gt;1)),ROUND(OFFSET($P496,0,AR$13),15-13*ORÇAMENTO!$AF$7)/$H496*OFFSET(ORÇAMENTO!$X$15,ROW(AR496)-ROW(AR$15),0),0)</f>
        <v>0</v>
      </c>
      <c r="AS496" s="633">
        <f ca="1">IF(AND($D496="Serviço",AS$12&lt;&gt;0,$H496&gt;0,OR(AUTOEVENTO&lt;&gt;"manual",$M496&lt;&gt;1)),ROUND(OFFSET($P496,0,AS$13),15-13*ORÇAMENTO!$AF$7)/$H496*OFFSET(ORÇAMENTO!$X$15,ROW(AS496)-ROW(AS$15),0),0)</f>
        <v>0</v>
      </c>
      <c r="AT496" s="632">
        <f ca="1">IF(AND($D496="Serviço",AT$12&lt;&gt;0,$H496&gt;0,OR(AUTOEVENTO&lt;&gt;"manual",$M496&lt;&gt;1)),ROUND(OFFSET($P496,0,AT$13),15-13*ORÇAMENTO!$AF$7)/$H496*OFFSET(ORÇAMENTO!$X$15,ROW(AT496)-ROW(AT$15),0),0)</f>
        <v>0</v>
      </c>
      <c r="AU496" s="632">
        <f ca="1">IF(AND($D496="Serviço",AU$12&lt;&gt;0,$H496&gt;0,OR(AUTOEVENTO&lt;&gt;"manual",$M496&lt;&gt;1)),ROUND(OFFSET($P496,0,AU$13),15-13*ORÇAMENTO!$AF$7)/$H496*OFFSET(ORÇAMENTO!$X$15,ROW(AU496)-ROW(AU$15),0),0)</f>
        <v>0</v>
      </c>
      <c r="AV496" s="632">
        <f ca="1">IF(AND($D496="Serviço",AV$12&lt;&gt;0,$H496&gt;0,OR(AUTOEVENTO&lt;&gt;"manual",$M496&lt;&gt;1)),ROUND(OFFSET($P496,0,AV$13),15-13*ORÇAMENTO!$AF$7)/$H496*OFFSET(ORÇAMENTO!$X$15,ROW(AV496)-ROW(AV$15),0),0)</f>
        <v>0</v>
      </c>
      <c r="AW496" s="632">
        <f ca="1">IF(AND($D496="Serviço",AW$12&lt;&gt;0,$H496&gt;0,OR(AUTOEVENTO&lt;&gt;"manual",$M496&lt;&gt;1)),ROUND(OFFSET($P496,0,AW$13),15-13*ORÇAMENTO!$AF$7)/$H496*OFFSET(ORÇAMENTO!$X$15,ROW(AW496)-ROW(AW$15),0),0)</f>
        <v>0</v>
      </c>
      <c r="AX496" s="632">
        <f ca="1">IF(AND($D496="Serviço",AX$12&lt;&gt;0,$H496&gt;0,OR(AUTOEVENTO&lt;&gt;"manual",$M496&lt;&gt;1)),ROUND(OFFSET($P496,0,AX$13),15-13*ORÇAMENTO!$AF$7)/$H496*OFFSET(ORÇAMENTO!$X$15,ROW(AX496)-ROW(AX$15),0),0)</f>
        <v>0</v>
      </c>
      <c r="AY496" s="632">
        <f ca="1">IF(AND($D496="Serviço",AY$12&lt;&gt;0,$H496&gt;0,OR(AUTOEVENTO&lt;&gt;"manual",$M496&lt;&gt;1)),ROUND(OFFSET($P496,0,AY$13),15-13*ORÇAMENTO!$AF$7)/$H496*OFFSET(ORÇAMENTO!$X$15,ROW(AY496)-ROW(AY$15),0),0)</f>
        <v>0</v>
      </c>
      <c r="AZ496" s="632">
        <f ca="1">IF(AND($D496="Serviço",AZ$12&lt;&gt;0,$H496&gt;0,OR(AUTOEVENTO&lt;&gt;"manual",$M496&lt;&gt;1)),ROUND(OFFSET($P496,0,AZ$13),15-13*ORÇAMENTO!$AF$7)/$H496*OFFSET(ORÇAMENTO!$X$15,ROW(AZ496)-ROW(AZ$15),0),0)</f>
        <v>0</v>
      </c>
      <c r="BA496" s="633">
        <f ca="1">IF(AND($D496="Serviço",BA$12&lt;&gt;0,$H496&gt;0,OR(AUTOEVENTO&lt;&gt;"manual",$M496&lt;&gt;1)),ROUND(OFFSET($P496,0,BA$13),15-13*ORÇAMENTO!$AF$7)/$H496*OFFSET(ORÇAMENTO!$X$15,ROW(BA496)-ROW(BA$15),0),0)</f>
        <v>0</v>
      </c>
      <c r="BC496" s="215">
        <f ca="1">IF($D496&lt;&gt;"Serviço",0,IF(AND(AUTOEVENTO="Manual",$M496=1),0,IF(OFFSET(CRONOPLE!$F$14,$M496,BC$13)="",10^12,OFFSET(CRONOPLE!$F$14,$M496,BC$13))))</f>
        <v>1000000000000</v>
      </c>
      <c r="BD496" s="215">
        <f ca="1">IF($D496&lt;&gt;"Serviço",0,IF(AND(AUTOEVENTO="Manual",$M496=1),0,IF(OFFSET(CRONOPLE!$F$14,$M496,BD$13)="",10^12,OFFSET(CRONOPLE!$F$14,$M496,BD$13))))</f>
        <v>1000000000000</v>
      </c>
      <c r="BE496" s="215">
        <f ca="1">IF($D496&lt;&gt;"Serviço",0,IF(AND(AUTOEVENTO="Manual",$M496=1),0,IF(OFFSET(CRONOPLE!$F$14,$M496,BE$13)="",10^12,OFFSET(CRONOPLE!$F$14,$M496,BE$13))))</f>
        <v>1000000000000</v>
      </c>
      <c r="BF496" s="215">
        <f ca="1">IF($D496&lt;&gt;"Serviço",0,IF(AND(AUTOEVENTO="Manual",$M496=1),0,IF(OFFSET(CRONOPLE!$F$14,$M496,BF$13)="",10^12,OFFSET(CRONOPLE!$F$14,$M496,BF$13))))</f>
        <v>1000000000000</v>
      </c>
      <c r="BG496" s="215">
        <f ca="1">IF($D496&lt;&gt;"Serviço",0,IF(AND(AUTOEVENTO="Manual",$M496=1),0,IF(OFFSET(CRONOPLE!$F$14,$M496,BG$13)="",10^12,OFFSET(CRONOPLE!$F$14,$M496,BG$13))))</f>
        <v>1000000000000</v>
      </c>
      <c r="BH496" s="215">
        <f ca="1">IF($D496&lt;&gt;"Serviço",0,IF(AND(AUTOEVENTO="Manual",$M496=1),0,IF(OFFSET(CRONOPLE!$F$14,$M496,BH$13)="",10^12,OFFSET(CRONOPLE!$F$14,$M496,BH$13))))</f>
        <v>1000000000000</v>
      </c>
      <c r="BI496" s="215">
        <f ca="1">IF($D496&lt;&gt;"Serviço",0,IF(AND(AUTOEVENTO="Manual",$M496=1),0,IF(OFFSET(CRONOPLE!$F$14,$M496,BI$13)="",10^12,OFFSET(CRONOPLE!$F$14,$M496,BI$13))))</f>
        <v>1000000000000</v>
      </c>
      <c r="BJ496" s="215">
        <f ca="1">IF($D496&lt;&gt;"Serviço",0,IF(AND(AUTOEVENTO="Manual",$M496=1),0,IF(OFFSET(CRONOPLE!$F$14,$M496,BJ$13)="",10^12,OFFSET(CRONOPLE!$F$14,$M496,BJ$13))))</f>
        <v>1000000000000</v>
      </c>
      <c r="BK496" s="215">
        <f ca="1">IF($D496&lt;&gt;"Serviço",0,IF(AND(AUTOEVENTO="Manual",$M496=1),0,IF(OFFSET(CRONOPLE!$F$14,$M496,BK$13)="",10^12,OFFSET(CRONOPLE!$F$14,$M496,BK$13))))</f>
        <v>1000000000000</v>
      </c>
      <c r="BL496" s="215">
        <f ca="1">IF($D496&lt;&gt;"Serviço",0,IF(AND(AUTOEVENTO="Manual",$M496=1),0,IF(OFFSET(CRONOPLE!$F$14,$M496,BL$13)="",10^12,OFFSET(CRONOPLE!$F$14,$M496,BL$13))))</f>
        <v>1000000000000</v>
      </c>
      <c r="BM496" s="215">
        <f ca="1">IF($D496&lt;&gt;"Serviço",0,IF(AND(AUTOEVENTO="Manual",$M496=1),0,IF(OFFSET(CRONOPLE!$F$14,$M496,BM$13)="",10^12,OFFSET(CRONOPLE!$F$14,$M496,BM$13))))</f>
        <v>1000000000000</v>
      </c>
      <c r="BN496" s="215">
        <f ca="1">IF($D496&lt;&gt;"Serviço",0,IF(AND(AUTOEVENTO="Manual",$M496=1),0,IF(OFFSET(CRONOPLE!$F$14,$M496,BN$13)="",10^12,OFFSET(CRONOPLE!$F$14,$M496,BN$13))))</f>
        <v>1000000000000</v>
      </c>
      <c r="BO496" s="215">
        <f ca="1">IF($D496&lt;&gt;"Serviço",0,IF(AND(AUTOEVENTO="Manual",$M496=1),0,IF(OFFSET(CRONOPLE!$F$14,$M496,BO$13)="",10^12,OFFSET(CRONOPLE!$F$14,$M496,BO$13))))</f>
        <v>1000000000000</v>
      </c>
      <c r="BP496" s="215">
        <f ca="1">IF($D496&lt;&gt;"Serviço",0,IF(AND(AUTOEVENTO="Manual",$M496=1),0,IF(OFFSET(CRONOPLE!$F$14,$M496,BP$13)="",10^12,OFFSET(CRONOPLE!$F$14,$M496,BP$13))))</f>
        <v>1000000000000</v>
      </c>
      <c r="BQ496" s="215">
        <f ca="1">IF($D496&lt;&gt;"Serviço",0,IF(AND(AUTOEVENTO="Manual",$M496=1),0,IF(OFFSET(CRONOPLE!$F$14,$M496,BQ$13)="",10^12,OFFSET(CRONOPLE!$F$14,$M496,BQ$13))))</f>
        <v>1000000000000</v>
      </c>
      <c r="BR496" s="215">
        <f ca="1">IF($D496&lt;&gt;"Serviço",0,IF(AND(AUTOEVENTO="Manual",$M496=1),0,IF(OFFSET(CRONOPLE!$F$14,$M496,BR$13)="",10^12,OFFSET(CRONOPLE!$F$14,$M496,BR$13))))</f>
        <v>1000000000000</v>
      </c>
      <c r="BS496" s="215">
        <f ca="1">IF($D496&lt;&gt;"Serviço",0,IF(AND(AUTOEVENTO="Manual",$M496=1),0,IF(OFFSET(CRONOPLE!$F$14,$M496,BS$13)="",10^12,OFFSET(CRONOPLE!$F$14,$M496,BS$13))))</f>
        <v>1000000000000</v>
      </c>
      <c r="BT496" s="215">
        <f ca="1">IF($D496&lt;&gt;"Serviço",0,IF(AND(AUTOEVENTO="Manual",$M496=1),0,IF(OFFSET(CRONOPLE!$F$14,$M496,BT$13)="",10^12,OFFSET(CRONOPLE!$F$14,$M496,BT$13))))</f>
        <v>1000000000000</v>
      </c>
      <c r="BV496" s="216">
        <f ca="1">IF($D496&lt;&gt;"Serviço",0,IF(OR(AND(AUTOEVENTO="Manual",$M496=1),$M496&gt;(ROW(PLE.lastrow)-ROW(PLE.firstrow))),0,IF(OFFSET(PLE!$G$14,$M496,BV$13)="",10^12,OFFSET(PLE!$G$14,$M496,BV$13))))</f>
        <v>1000000000000</v>
      </c>
      <c r="BW496" s="216">
        <f ca="1">IF($D496&lt;&gt;"Serviço",0,IF(OR(AND(AUTOEVENTO="Manual",$M496=1),$M496&gt;(ROW(PLE.lastrow)-ROW(PLE.firstrow))),0,IF(OFFSET(PLE!$G$14,$M496,BW$13)="",10^12,OFFSET(PLE!$G$14,$M496,BW$13))))</f>
        <v>1000000000000</v>
      </c>
      <c r="BX496" s="216">
        <f ca="1">IF($D496&lt;&gt;"Serviço",0,IF(OR(AND(AUTOEVENTO="Manual",$M496=1),$M496&gt;(ROW(PLE.lastrow)-ROW(PLE.firstrow))),0,IF(OFFSET(PLE!$G$14,$M496,BX$13)="",10^12,OFFSET(PLE!$G$14,$M496,BX$13))))</f>
        <v>1000000000000</v>
      </c>
      <c r="BY496" s="216">
        <f ca="1">IF($D496&lt;&gt;"Serviço",0,IF(OR(AND(AUTOEVENTO="Manual",$M496=1),$M496&gt;(ROW(PLE.lastrow)-ROW(PLE.firstrow))),0,IF(OFFSET(PLE!$G$14,$M496,BY$13)="",10^12,OFFSET(PLE!$G$14,$M496,BY$13))))</f>
        <v>1000000000000</v>
      </c>
      <c r="BZ496" s="216">
        <f ca="1">IF($D496&lt;&gt;"Serviço",0,IF(OR(AND(AUTOEVENTO="Manual",$M496=1),$M496&gt;(ROW(PLE.lastrow)-ROW(PLE.firstrow))),0,IF(OFFSET(PLE!$G$14,$M496,BZ$13)="",10^12,OFFSET(PLE!$G$14,$M496,BZ$13))))</f>
        <v>1000000000000</v>
      </c>
      <c r="CA496" s="216">
        <f ca="1">IF($D496&lt;&gt;"Serviço",0,IF(OR(AND(AUTOEVENTO="Manual",$M496=1),$M496&gt;(ROW(PLE.lastrow)-ROW(PLE.firstrow))),0,IF(OFFSET(PLE!$G$14,$M496,CA$13)="",10^12,OFFSET(PLE!$G$14,$M496,CA$13))))</f>
        <v>1000000000000</v>
      </c>
      <c r="CB496" s="216">
        <f ca="1">IF($D496&lt;&gt;"Serviço",0,IF(OR(AND(AUTOEVENTO="Manual",$M496=1),$M496&gt;(ROW(PLE.lastrow)-ROW(PLE.firstrow))),0,IF(OFFSET(PLE!$G$14,$M496,CB$13)="",10^12,OFFSET(PLE!$G$14,$M496,CB$13))))</f>
        <v>1000000000000</v>
      </c>
      <c r="CC496" s="216">
        <f ca="1">IF($D496&lt;&gt;"Serviço",0,IF(OR(AND(AUTOEVENTO="Manual",$M496=1),$M496&gt;(ROW(PLE.lastrow)-ROW(PLE.firstrow))),0,IF(OFFSET(PLE!$G$14,$M496,CC$13)="",10^12,OFFSET(PLE!$G$14,$M496,CC$13))))</f>
        <v>1000000000000</v>
      </c>
      <c r="CD496" s="216">
        <f ca="1">IF($D496&lt;&gt;"Serviço",0,IF(OR(AND(AUTOEVENTO="Manual",$M496=1),$M496&gt;(ROW(PLE.lastrow)-ROW(PLE.firstrow))),0,IF(OFFSET(PLE!$G$14,$M496,CD$13)="",10^12,OFFSET(PLE!$G$14,$M496,CD$13))))</f>
        <v>1000000000000</v>
      </c>
      <c r="CE496" s="216">
        <f ca="1">IF($D496&lt;&gt;"Serviço",0,IF(OR(AND(AUTOEVENTO="Manual",$M496=1),$M496&gt;(ROW(PLE.lastrow)-ROW(PLE.firstrow))),0,IF(OFFSET(PLE!$G$14,$M496,CE$13)="",10^12,OFFSET(PLE!$G$14,$M496,CE$13))))</f>
        <v>1000000000000</v>
      </c>
      <c r="CF496" s="216">
        <f ca="1">IF($D496&lt;&gt;"Serviço",0,IF(OR(AND(AUTOEVENTO="Manual",$M496=1),$M496&gt;(ROW(PLE.lastrow)-ROW(PLE.firstrow))),0,IF(OFFSET(PLE!$G$14,$M496,CF$13)="",10^12,OFFSET(PLE!$G$14,$M496,CF$13))))</f>
        <v>1000000000000</v>
      </c>
      <c r="CG496" s="216">
        <f ca="1">IF($D496&lt;&gt;"Serviço",0,IF(OR(AND(AUTOEVENTO="Manual",$M496=1),$M496&gt;(ROW(PLE.lastrow)-ROW(PLE.firstrow))),0,IF(OFFSET(PLE!$G$14,$M496,CG$13)="",10^12,OFFSET(PLE!$G$14,$M496,CG$13))))</f>
        <v>1000000000000</v>
      </c>
      <c r="CH496" s="216">
        <f ca="1">IF($D496&lt;&gt;"Serviço",0,IF(OR(AND(AUTOEVENTO="Manual",$M496=1),$M496&gt;(ROW(PLE.lastrow)-ROW(PLE.firstrow))),0,IF(OFFSET(PLE!$G$14,$M496,CH$13)="",10^12,OFFSET(PLE!$G$14,$M496,CH$13))))</f>
        <v>1000000000000</v>
      </c>
      <c r="CI496" s="216">
        <f ca="1">IF($D496&lt;&gt;"Serviço",0,IF(OR(AND(AUTOEVENTO="Manual",$M496=1),$M496&gt;(ROW(PLE.lastrow)-ROW(PLE.firstrow))),0,IF(OFFSET(PLE!$G$14,$M496,CI$13)="",10^12,OFFSET(PLE!$G$14,$M496,CI$13))))</f>
        <v>1000000000000</v>
      </c>
      <c r="CJ496" s="216">
        <f ca="1">IF($D496&lt;&gt;"Serviço",0,IF(OR(AND(AUTOEVENTO="Manual",$M496=1),$M496&gt;(ROW(PLE.lastrow)-ROW(PLE.firstrow))),0,IF(OFFSET(PLE!$G$14,$M496,CJ$13)="",10^12,OFFSET(PLE!$G$14,$M496,CJ$13))))</f>
        <v>1000000000000</v>
      </c>
      <c r="CK496" s="216">
        <f ca="1">IF($D496&lt;&gt;"Serviço",0,IF(OR(AND(AUTOEVENTO="Manual",$M496=1),$M496&gt;(ROW(PLE.lastrow)-ROW(PLE.firstrow))),0,IF(OFFSET(PLE!$G$14,$M496,CK$13)="",10^12,OFFSET(PLE!$G$14,$M496,CK$13))))</f>
        <v>1000000000000</v>
      </c>
      <c r="CL496" s="216">
        <f ca="1">IF($D496&lt;&gt;"Serviço",0,IF(OR(AND(AUTOEVENTO="Manual",$M496=1),$M496&gt;(ROW(PLE.lastrow)-ROW(PLE.firstrow))),0,IF(OFFSET(PLE!$G$14,$M496,CL$13)="",10^12,OFFSET(PLE!$G$14,$M496,CL$13))))</f>
        <v>1000000000000</v>
      </c>
      <c r="CM496" s="216">
        <f ca="1">IF($D496&lt;&gt;"Serviço",0,IF(OR(AND(AUTOEVENTO="Manual",$M496=1),$M496&gt;(ROW(PLE.lastrow)-ROW(PLE.firstrow))),0,IF(OFFSET(PLE!$G$14,$M496,CM$13)="",10^12,OFFSET(PLE!$G$14,$M496,CM$13))))</f>
        <v>1000000000000</v>
      </c>
    </row>
    <row r="497" spans="1:91" ht="13.2" x14ac:dyDescent="0.25">
      <c r="A497" s="9">
        <f t="shared" ca="1" si="16"/>
        <v>0</v>
      </c>
      <c r="B497" s="9" t="str">
        <f ca="1">OFFSET(ORÇAMENTO!C$15,ROW(B497)-ROW(B$15),0)</f>
        <v>S</v>
      </c>
      <c r="C497" s="9" t="str">
        <f ca="1">OFFSET(ORÇAMENTO!L$15,ROW(C497)-ROW(C$15),0)</f>
        <v/>
      </c>
      <c r="D497" s="145" t="str">
        <f ca="1">OFFSET(ORÇAMENTO!N$15,ROW(D497)-ROW(D$15),0)</f>
        <v>Serviço</v>
      </c>
      <c r="E497" s="205" t="str">
        <f ca="1">OFFSET(ORÇAMENTO!O$15,ROW(E497)-ROW(E$15),0)</f>
        <v>-</v>
      </c>
      <c r="F497" s="206" t="str">
        <f ca="1">OFFSET(ORÇAMENTO!R$15,ROW(F497)-ROW(F$15),0)</f>
        <v>(abra o arquivo 'Referência 05-2024.xls)</v>
      </c>
      <c r="G497" s="207" t="str">
        <f ca="1">IF($D497&lt;&gt;"Serviço","",OFFSET(ORÇAMENTO!S$15,ROW(G497)-ROW(G$15),0))</f>
        <v>-</v>
      </c>
      <c r="H497" s="151">
        <f ca="1">IF($D497&lt;&gt;"Serviço",0,IF(ACOMPANHAMENTO="BM",ROUND(OFFSET(ORÇAMENTO!AJ$15,ROW(H497)-ROW(H$15),0),15-13*ORÇAMENTO!$AF$7),SUMPRODUCT(($Q$12:$AI$12&lt;&gt;"")*ROUND($Q497:$AI497,15-13*ORÇAMENTO!$AF$7))))</f>
        <v>43</v>
      </c>
      <c r="I497" s="650"/>
      <c r="K497" s="208"/>
      <c r="L497" s="209" t="s">
        <v>257</v>
      </c>
      <c r="M497" s="210">
        <f ca="1">IF($D497&lt;&gt;"Serviço","",IF(AUTOEVENTO="manual",$A497,IF(ISERROR(MATCH($A497,$A$15:OFFSET($A497,-1,0),0)),MAX($M$15:OFFSET(M497,-1,0))+1,INDEX($M$15:OFFSET(M497,-1,0),MATCH($A497,$A$15:OFFSET($A497,-1,0),0)))))</f>
        <v>0</v>
      </c>
      <c r="N497" s="211" t="str">
        <f ca="1">IF($D497&lt;&gt;"Serviço","",IF(AUTOEVENTO="Manual",IF($A497=0,"&lt;-- defina o número do agrupador",OFFSET(EVENTOS!$D$14,$A497,0)),OFFSET($F$15,$A497,0)))</f>
        <v>&lt;-- defina o número do agrupador</v>
      </c>
      <c r="O497" s="212"/>
      <c r="Q497" s="212"/>
      <c r="R497" s="213"/>
      <c r="S497" s="213"/>
      <c r="T497" s="213"/>
      <c r="U497" s="213"/>
      <c r="V497" s="213"/>
      <c r="W497" s="213"/>
      <c r="X497" s="213"/>
      <c r="Y497" s="213"/>
      <c r="Z497" s="214"/>
      <c r="AA497" s="213"/>
      <c r="AB497" s="213"/>
      <c r="AC497" s="213"/>
      <c r="AD497" s="213"/>
      <c r="AE497" s="213"/>
      <c r="AF497" s="213"/>
      <c r="AG497" s="213"/>
      <c r="AH497" s="214"/>
      <c r="AJ497" s="631">
        <f ca="1">IF(AND($D497="Serviço",AJ$12&lt;&gt;0,$H497&gt;0,OR(AUTOEVENTO&lt;&gt;"manual",$M497&lt;&gt;1)),ROUND(OFFSET($P497,0,AJ$13),15-13*ORÇAMENTO!$AF$7)/$H497*OFFSET(ORÇAMENTO!$X$15,ROW(AJ497)-ROW(AJ$15),0),0)</f>
        <v>0</v>
      </c>
      <c r="AK497" s="632">
        <f ca="1">IF(AND($D497="Serviço",AK$12&lt;&gt;0,$H497&gt;0,OR(AUTOEVENTO&lt;&gt;"manual",$M497&lt;&gt;1)),ROUND(OFFSET($P497,0,AK$13),15-13*ORÇAMENTO!$AF$7)/$H497*OFFSET(ORÇAMENTO!$X$15,ROW(AK497)-ROW(AK$15),0),0)</f>
        <v>0</v>
      </c>
      <c r="AL497" s="632">
        <f ca="1">IF(AND($D497="Serviço",AL$12&lt;&gt;0,$H497&gt;0,OR(AUTOEVENTO&lt;&gt;"manual",$M497&lt;&gt;1)),ROUND(OFFSET($P497,0,AL$13),15-13*ORÇAMENTO!$AF$7)/$H497*OFFSET(ORÇAMENTO!$X$15,ROW(AL497)-ROW(AL$15),0),0)</f>
        <v>0</v>
      </c>
      <c r="AM497" s="632">
        <f ca="1">IF(AND($D497="Serviço",AM$12&lt;&gt;0,$H497&gt;0,OR(AUTOEVENTO&lt;&gt;"manual",$M497&lt;&gt;1)),ROUND(OFFSET($P497,0,AM$13),15-13*ORÇAMENTO!$AF$7)/$H497*OFFSET(ORÇAMENTO!$X$15,ROW(AM497)-ROW(AM$15),0),0)</f>
        <v>0</v>
      </c>
      <c r="AN497" s="632">
        <f ca="1">IF(AND($D497="Serviço",AN$12&lt;&gt;0,$H497&gt;0,OR(AUTOEVENTO&lt;&gt;"manual",$M497&lt;&gt;1)),ROUND(OFFSET($P497,0,AN$13),15-13*ORÇAMENTO!$AF$7)/$H497*OFFSET(ORÇAMENTO!$X$15,ROW(AN497)-ROW(AN$15),0),0)</f>
        <v>0</v>
      </c>
      <c r="AO497" s="632">
        <f ca="1">IF(AND($D497="Serviço",AO$12&lt;&gt;0,$H497&gt;0,OR(AUTOEVENTO&lt;&gt;"manual",$M497&lt;&gt;1)),ROUND(OFFSET($P497,0,AO$13),15-13*ORÇAMENTO!$AF$7)/$H497*OFFSET(ORÇAMENTO!$X$15,ROW(AO497)-ROW(AO$15),0),0)</f>
        <v>0</v>
      </c>
      <c r="AP497" s="632">
        <f ca="1">IF(AND($D497="Serviço",AP$12&lt;&gt;0,$H497&gt;0,OR(AUTOEVENTO&lt;&gt;"manual",$M497&lt;&gt;1)),ROUND(OFFSET($P497,0,AP$13),15-13*ORÇAMENTO!$AF$7)/$H497*OFFSET(ORÇAMENTO!$X$15,ROW(AP497)-ROW(AP$15),0),0)</f>
        <v>0</v>
      </c>
      <c r="AQ497" s="632">
        <f ca="1">IF(AND($D497="Serviço",AQ$12&lt;&gt;0,$H497&gt;0,OR(AUTOEVENTO&lt;&gt;"manual",$M497&lt;&gt;1)),ROUND(OFFSET($P497,0,AQ$13),15-13*ORÇAMENTO!$AF$7)/$H497*OFFSET(ORÇAMENTO!$X$15,ROW(AQ497)-ROW(AQ$15),0),0)</f>
        <v>0</v>
      </c>
      <c r="AR497" s="632">
        <f ca="1">IF(AND($D497="Serviço",AR$12&lt;&gt;0,$H497&gt;0,OR(AUTOEVENTO&lt;&gt;"manual",$M497&lt;&gt;1)),ROUND(OFFSET($P497,0,AR$13),15-13*ORÇAMENTO!$AF$7)/$H497*OFFSET(ORÇAMENTO!$X$15,ROW(AR497)-ROW(AR$15),0),0)</f>
        <v>0</v>
      </c>
      <c r="AS497" s="633">
        <f ca="1">IF(AND($D497="Serviço",AS$12&lt;&gt;0,$H497&gt;0,OR(AUTOEVENTO&lt;&gt;"manual",$M497&lt;&gt;1)),ROUND(OFFSET($P497,0,AS$13),15-13*ORÇAMENTO!$AF$7)/$H497*OFFSET(ORÇAMENTO!$X$15,ROW(AS497)-ROW(AS$15),0),0)</f>
        <v>0</v>
      </c>
      <c r="AT497" s="632">
        <f ca="1">IF(AND($D497="Serviço",AT$12&lt;&gt;0,$H497&gt;0,OR(AUTOEVENTO&lt;&gt;"manual",$M497&lt;&gt;1)),ROUND(OFFSET($P497,0,AT$13),15-13*ORÇAMENTO!$AF$7)/$H497*OFFSET(ORÇAMENTO!$X$15,ROW(AT497)-ROW(AT$15),0),0)</f>
        <v>0</v>
      </c>
      <c r="AU497" s="632">
        <f ca="1">IF(AND($D497="Serviço",AU$12&lt;&gt;0,$H497&gt;0,OR(AUTOEVENTO&lt;&gt;"manual",$M497&lt;&gt;1)),ROUND(OFFSET($P497,0,AU$13),15-13*ORÇAMENTO!$AF$7)/$H497*OFFSET(ORÇAMENTO!$X$15,ROW(AU497)-ROW(AU$15),0),0)</f>
        <v>0</v>
      </c>
      <c r="AV497" s="632">
        <f ca="1">IF(AND($D497="Serviço",AV$12&lt;&gt;0,$H497&gt;0,OR(AUTOEVENTO&lt;&gt;"manual",$M497&lt;&gt;1)),ROUND(OFFSET($P497,0,AV$13),15-13*ORÇAMENTO!$AF$7)/$H497*OFFSET(ORÇAMENTO!$X$15,ROW(AV497)-ROW(AV$15),0),0)</f>
        <v>0</v>
      </c>
      <c r="AW497" s="632">
        <f ca="1">IF(AND($D497="Serviço",AW$12&lt;&gt;0,$H497&gt;0,OR(AUTOEVENTO&lt;&gt;"manual",$M497&lt;&gt;1)),ROUND(OFFSET($P497,0,AW$13),15-13*ORÇAMENTO!$AF$7)/$H497*OFFSET(ORÇAMENTO!$X$15,ROW(AW497)-ROW(AW$15),0),0)</f>
        <v>0</v>
      </c>
      <c r="AX497" s="632">
        <f ca="1">IF(AND($D497="Serviço",AX$12&lt;&gt;0,$H497&gt;0,OR(AUTOEVENTO&lt;&gt;"manual",$M497&lt;&gt;1)),ROUND(OFFSET($P497,0,AX$13),15-13*ORÇAMENTO!$AF$7)/$H497*OFFSET(ORÇAMENTO!$X$15,ROW(AX497)-ROW(AX$15),0),0)</f>
        <v>0</v>
      </c>
      <c r="AY497" s="632">
        <f ca="1">IF(AND($D497="Serviço",AY$12&lt;&gt;0,$H497&gt;0,OR(AUTOEVENTO&lt;&gt;"manual",$M497&lt;&gt;1)),ROUND(OFFSET($P497,0,AY$13),15-13*ORÇAMENTO!$AF$7)/$H497*OFFSET(ORÇAMENTO!$X$15,ROW(AY497)-ROW(AY$15),0),0)</f>
        <v>0</v>
      </c>
      <c r="AZ497" s="632">
        <f ca="1">IF(AND($D497="Serviço",AZ$12&lt;&gt;0,$H497&gt;0,OR(AUTOEVENTO&lt;&gt;"manual",$M497&lt;&gt;1)),ROUND(OFFSET($P497,0,AZ$13),15-13*ORÇAMENTO!$AF$7)/$H497*OFFSET(ORÇAMENTO!$X$15,ROW(AZ497)-ROW(AZ$15),0),0)</f>
        <v>0</v>
      </c>
      <c r="BA497" s="633">
        <f ca="1">IF(AND($D497="Serviço",BA$12&lt;&gt;0,$H497&gt;0,OR(AUTOEVENTO&lt;&gt;"manual",$M497&lt;&gt;1)),ROUND(OFFSET($P497,0,BA$13),15-13*ORÇAMENTO!$AF$7)/$H497*OFFSET(ORÇAMENTO!$X$15,ROW(BA497)-ROW(BA$15),0),0)</f>
        <v>0</v>
      </c>
      <c r="BC497" s="215">
        <f ca="1">IF($D497&lt;&gt;"Serviço",0,IF(AND(AUTOEVENTO="Manual",$M497=1),0,IF(OFFSET(CRONOPLE!$F$14,$M497,BC$13)="",10^12,OFFSET(CRONOPLE!$F$14,$M497,BC$13))))</f>
        <v>1000000000000</v>
      </c>
      <c r="BD497" s="215">
        <f ca="1">IF($D497&lt;&gt;"Serviço",0,IF(AND(AUTOEVENTO="Manual",$M497=1),0,IF(OFFSET(CRONOPLE!$F$14,$M497,BD$13)="",10^12,OFFSET(CRONOPLE!$F$14,$M497,BD$13))))</f>
        <v>1000000000000</v>
      </c>
      <c r="BE497" s="215">
        <f ca="1">IF($D497&lt;&gt;"Serviço",0,IF(AND(AUTOEVENTO="Manual",$M497=1),0,IF(OFFSET(CRONOPLE!$F$14,$M497,BE$13)="",10^12,OFFSET(CRONOPLE!$F$14,$M497,BE$13))))</f>
        <v>1000000000000</v>
      </c>
      <c r="BF497" s="215">
        <f ca="1">IF($D497&lt;&gt;"Serviço",0,IF(AND(AUTOEVENTO="Manual",$M497=1),0,IF(OFFSET(CRONOPLE!$F$14,$M497,BF$13)="",10^12,OFFSET(CRONOPLE!$F$14,$M497,BF$13))))</f>
        <v>1000000000000</v>
      </c>
      <c r="BG497" s="215">
        <f ca="1">IF($D497&lt;&gt;"Serviço",0,IF(AND(AUTOEVENTO="Manual",$M497=1),0,IF(OFFSET(CRONOPLE!$F$14,$M497,BG$13)="",10^12,OFFSET(CRONOPLE!$F$14,$M497,BG$13))))</f>
        <v>1000000000000</v>
      </c>
      <c r="BH497" s="215">
        <f ca="1">IF($D497&lt;&gt;"Serviço",0,IF(AND(AUTOEVENTO="Manual",$M497=1),0,IF(OFFSET(CRONOPLE!$F$14,$M497,BH$13)="",10^12,OFFSET(CRONOPLE!$F$14,$M497,BH$13))))</f>
        <v>1000000000000</v>
      </c>
      <c r="BI497" s="215">
        <f ca="1">IF($D497&lt;&gt;"Serviço",0,IF(AND(AUTOEVENTO="Manual",$M497=1),0,IF(OFFSET(CRONOPLE!$F$14,$M497,BI$13)="",10^12,OFFSET(CRONOPLE!$F$14,$M497,BI$13))))</f>
        <v>1000000000000</v>
      </c>
      <c r="BJ497" s="215">
        <f ca="1">IF($D497&lt;&gt;"Serviço",0,IF(AND(AUTOEVENTO="Manual",$M497=1),0,IF(OFFSET(CRONOPLE!$F$14,$M497,BJ$13)="",10^12,OFFSET(CRONOPLE!$F$14,$M497,BJ$13))))</f>
        <v>1000000000000</v>
      </c>
      <c r="BK497" s="215">
        <f ca="1">IF($D497&lt;&gt;"Serviço",0,IF(AND(AUTOEVENTO="Manual",$M497=1),0,IF(OFFSET(CRONOPLE!$F$14,$M497,BK$13)="",10^12,OFFSET(CRONOPLE!$F$14,$M497,BK$13))))</f>
        <v>1000000000000</v>
      </c>
      <c r="BL497" s="215">
        <f ca="1">IF($D497&lt;&gt;"Serviço",0,IF(AND(AUTOEVENTO="Manual",$M497=1),0,IF(OFFSET(CRONOPLE!$F$14,$M497,BL$13)="",10^12,OFFSET(CRONOPLE!$F$14,$M497,BL$13))))</f>
        <v>1000000000000</v>
      </c>
      <c r="BM497" s="215">
        <f ca="1">IF($D497&lt;&gt;"Serviço",0,IF(AND(AUTOEVENTO="Manual",$M497=1),0,IF(OFFSET(CRONOPLE!$F$14,$M497,BM$13)="",10^12,OFFSET(CRONOPLE!$F$14,$M497,BM$13))))</f>
        <v>1000000000000</v>
      </c>
      <c r="BN497" s="215">
        <f ca="1">IF($D497&lt;&gt;"Serviço",0,IF(AND(AUTOEVENTO="Manual",$M497=1),0,IF(OFFSET(CRONOPLE!$F$14,$M497,BN$13)="",10^12,OFFSET(CRONOPLE!$F$14,$M497,BN$13))))</f>
        <v>1000000000000</v>
      </c>
      <c r="BO497" s="215">
        <f ca="1">IF($D497&lt;&gt;"Serviço",0,IF(AND(AUTOEVENTO="Manual",$M497=1),0,IF(OFFSET(CRONOPLE!$F$14,$M497,BO$13)="",10^12,OFFSET(CRONOPLE!$F$14,$M497,BO$13))))</f>
        <v>1000000000000</v>
      </c>
      <c r="BP497" s="215">
        <f ca="1">IF($D497&lt;&gt;"Serviço",0,IF(AND(AUTOEVENTO="Manual",$M497=1),0,IF(OFFSET(CRONOPLE!$F$14,$M497,BP$13)="",10^12,OFFSET(CRONOPLE!$F$14,$M497,BP$13))))</f>
        <v>1000000000000</v>
      </c>
      <c r="BQ497" s="215">
        <f ca="1">IF($D497&lt;&gt;"Serviço",0,IF(AND(AUTOEVENTO="Manual",$M497=1),0,IF(OFFSET(CRONOPLE!$F$14,$M497,BQ$13)="",10^12,OFFSET(CRONOPLE!$F$14,$M497,BQ$13))))</f>
        <v>1000000000000</v>
      </c>
      <c r="BR497" s="215">
        <f ca="1">IF($D497&lt;&gt;"Serviço",0,IF(AND(AUTOEVENTO="Manual",$M497=1),0,IF(OFFSET(CRONOPLE!$F$14,$M497,BR$13)="",10^12,OFFSET(CRONOPLE!$F$14,$M497,BR$13))))</f>
        <v>1000000000000</v>
      </c>
      <c r="BS497" s="215">
        <f ca="1">IF($D497&lt;&gt;"Serviço",0,IF(AND(AUTOEVENTO="Manual",$M497=1),0,IF(OFFSET(CRONOPLE!$F$14,$M497,BS$13)="",10^12,OFFSET(CRONOPLE!$F$14,$M497,BS$13))))</f>
        <v>1000000000000</v>
      </c>
      <c r="BT497" s="215">
        <f ca="1">IF($D497&lt;&gt;"Serviço",0,IF(AND(AUTOEVENTO="Manual",$M497=1),0,IF(OFFSET(CRONOPLE!$F$14,$M497,BT$13)="",10^12,OFFSET(CRONOPLE!$F$14,$M497,BT$13))))</f>
        <v>1000000000000</v>
      </c>
      <c r="BV497" s="216">
        <f ca="1">IF($D497&lt;&gt;"Serviço",0,IF(OR(AND(AUTOEVENTO="Manual",$M497=1),$M497&gt;(ROW(PLE.lastrow)-ROW(PLE.firstrow))),0,IF(OFFSET(PLE!$G$14,$M497,BV$13)="",10^12,OFFSET(PLE!$G$14,$M497,BV$13))))</f>
        <v>1000000000000</v>
      </c>
      <c r="BW497" s="216">
        <f ca="1">IF($D497&lt;&gt;"Serviço",0,IF(OR(AND(AUTOEVENTO="Manual",$M497=1),$M497&gt;(ROW(PLE.lastrow)-ROW(PLE.firstrow))),0,IF(OFFSET(PLE!$G$14,$M497,BW$13)="",10^12,OFFSET(PLE!$G$14,$M497,BW$13))))</f>
        <v>1000000000000</v>
      </c>
      <c r="BX497" s="216">
        <f ca="1">IF($D497&lt;&gt;"Serviço",0,IF(OR(AND(AUTOEVENTO="Manual",$M497=1),$M497&gt;(ROW(PLE.lastrow)-ROW(PLE.firstrow))),0,IF(OFFSET(PLE!$G$14,$M497,BX$13)="",10^12,OFFSET(PLE!$G$14,$M497,BX$13))))</f>
        <v>1000000000000</v>
      </c>
      <c r="BY497" s="216">
        <f ca="1">IF($D497&lt;&gt;"Serviço",0,IF(OR(AND(AUTOEVENTO="Manual",$M497=1),$M497&gt;(ROW(PLE.lastrow)-ROW(PLE.firstrow))),0,IF(OFFSET(PLE!$G$14,$M497,BY$13)="",10^12,OFFSET(PLE!$G$14,$M497,BY$13))))</f>
        <v>1000000000000</v>
      </c>
      <c r="BZ497" s="216">
        <f ca="1">IF($D497&lt;&gt;"Serviço",0,IF(OR(AND(AUTOEVENTO="Manual",$M497=1),$M497&gt;(ROW(PLE.lastrow)-ROW(PLE.firstrow))),0,IF(OFFSET(PLE!$G$14,$M497,BZ$13)="",10^12,OFFSET(PLE!$G$14,$M497,BZ$13))))</f>
        <v>1000000000000</v>
      </c>
      <c r="CA497" s="216">
        <f ca="1">IF($D497&lt;&gt;"Serviço",0,IF(OR(AND(AUTOEVENTO="Manual",$M497=1),$M497&gt;(ROW(PLE.lastrow)-ROW(PLE.firstrow))),0,IF(OFFSET(PLE!$G$14,$M497,CA$13)="",10^12,OFFSET(PLE!$G$14,$M497,CA$13))))</f>
        <v>1000000000000</v>
      </c>
      <c r="CB497" s="216">
        <f ca="1">IF($D497&lt;&gt;"Serviço",0,IF(OR(AND(AUTOEVENTO="Manual",$M497=1),$M497&gt;(ROW(PLE.lastrow)-ROW(PLE.firstrow))),0,IF(OFFSET(PLE!$G$14,$M497,CB$13)="",10^12,OFFSET(PLE!$G$14,$M497,CB$13))))</f>
        <v>1000000000000</v>
      </c>
      <c r="CC497" s="216">
        <f ca="1">IF($D497&lt;&gt;"Serviço",0,IF(OR(AND(AUTOEVENTO="Manual",$M497=1),$M497&gt;(ROW(PLE.lastrow)-ROW(PLE.firstrow))),0,IF(OFFSET(PLE!$G$14,$M497,CC$13)="",10^12,OFFSET(PLE!$G$14,$M497,CC$13))))</f>
        <v>1000000000000</v>
      </c>
      <c r="CD497" s="216">
        <f ca="1">IF($D497&lt;&gt;"Serviço",0,IF(OR(AND(AUTOEVENTO="Manual",$M497=1),$M497&gt;(ROW(PLE.lastrow)-ROW(PLE.firstrow))),0,IF(OFFSET(PLE!$G$14,$M497,CD$13)="",10^12,OFFSET(PLE!$G$14,$M497,CD$13))))</f>
        <v>1000000000000</v>
      </c>
      <c r="CE497" s="216">
        <f ca="1">IF($D497&lt;&gt;"Serviço",0,IF(OR(AND(AUTOEVENTO="Manual",$M497=1),$M497&gt;(ROW(PLE.lastrow)-ROW(PLE.firstrow))),0,IF(OFFSET(PLE!$G$14,$M497,CE$13)="",10^12,OFFSET(PLE!$G$14,$M497,CE$13))))</f>
        <v>1000000000000</v>
      </c>
      <c r="CF497" s="216">
        <f ca="1">IF($D497&lt;&gt;"Serviço",0,IF(OR(AND(AUTOEVENTO="Manual",$M497=1),$M497&gt;(ROW(PLE.lastrow)-ROW(PLE.firstrow))),0,IF(OFFSET(PLE!$G$14,$M497,CF$13)="",10^12,OFFSET(PLE!$G$14,$M497,CF$13))))</f>
        <v>1000000000000</v>
      </c>
      <c r="CG497" s="216">
        <f ca="1">IF($D497&lt;&gt;"Serviço",0,IF(OR(AND(AUTOEVENTO="Manual",$M497=1),$M497&gt;(ROW(PLE.lastrow)-ROW(PLE.firstrow))),0,IF(OFFSET(PLE!$G$14,$M497,CG$13)="",10^12,OFFSET(PLE!$G$14,$M497,CG$13))))</f>
        <v>1000000000000</v>
      </c>
      <c r="CH497" s="216">
        <f ca="1">IF($D497&lt;&gt;"Serviço",0,IF(OR(AND(AUTOEVENTO="Manual",$M497=1),$M497&gt;(ROW(PLE.lastrow)-ROW(PLE.firstrow))),0,IF(OFFSET(PLE!$G$14,$M497,CH$13)="",10^12,OFFSET(PLE!$G$14,$M497,CH$13))))</f>
        <v>1000000000000</v>
      </c>
      <c r="CI497" s="216">
        <f ca="1">IF($D497&lt;&gt;"Serviço",0,IF(OR(AND(AUTOEVENTO="Manual",$M497=1),$M497&gt;(ROW(PLE.lastrow)-ROW(PLE.firstrow))),0,IF(OFFSET(PLE!$G$14,$M497,CI$13)="",10^12,OFFSET(PLE!$G$14,$M497,CI$13))))</f>
        <v>1000000000000</v>
      </c>
      <c r="CJ497" s="216">
        <f ca="1">IF($D497&lt;&gt;"Serviço",0,IF(OR(AND(AUTOEVENTO="Manual",$M497=1),$M497&gt;(ROW(PLE.lastrow)-ROW(PLE.firstrow))),0,IF(OFFSET(PLE!$G$14,$M497,CJ$13)="",10^12,OFFSET(PLE!$G$14,$M497,CJ$13))))</f>
        <v>1000000000000</v>
      </c>
      <c r="CK497" s="216">
        <f ca="1">IF($D497&lt;&gt;"Serviço",0,IF(OR(AND(AUTOEVENTO="Manual",$M497=1),$M497&gt;(ROW(PLE.lastrow)-ROW(PLE.firstrow))),0,IF(OFFSET(PLE!$G$14,$M497,CK$13)="",10^12,OFFSET(PLE!$G$14,$M497,CK$13))))</f>
        <v>1000000000000</v>
      </c>
      <c r="CL497" s="216">
        <f ca="1">IF($D497&lt;&gt;"Serviço",0,IF(OR(AND(AUTOEVENTO="Manual",$M497=1),$M497&gt;(ROW(PLE.lastrow)-ROW(PLE.firstrow))),0,IF(OFFSET(PLE!$G$14,$M497,CL$13)="",10^12,OFFSET(PLE!$G$14,$M497,CL$13))))</f>
        <v>1000000000000</v>
      </c>
      <c r="CM497" s="216">
        <f ca="1">IF($D497&lt;&gt;"Serviço",0,IF(OR(AND(AUTOEVENTO="Manual",$M497=1),$M497&gt;(ROW(PLE.lastrow)-ROW(PLE.firstrow))),0,IF(OFFSET(PLE!$G$14,$M497,CM$13)="",10^12,OFFSET(PLE!$G$14,$M497,CM$13))))</f>
        <v>1000000000000</v>
      </c>
    </row>
    <row r="498" spans="1:91" ht="13.2" x14ac:dyDescent="0.25">
      <c r="A498" s="9">
        <f t="shared" ca="1" si="16"/>
        <v>0</v>
      </c>
      <c r="B498" s="9" t="str">
        <f ca="1">OFFSET(ORÇAMENTO!C$15,ROW(B498)-ROW(B$15),0)</f>
        <v>S</v>
      </c>
      <c r="C498" s="9" t="str">
        <f ca="1">OFFSET(ORÇAMENTO!L$15,ROW(C498)-ROW(C$15),0)</f>
        <v/>
      </c>
      <c r="D498" s="145" t="str">
        <f ca="1">OFFSET(ORÇAMENTO!N$15,ROW(D498)-ROW(D$15),0)</f>
        <v>Serviço</v>
      </c>
      <c r="E498" s="205" t="str">
        <f ca="1">OFFSET(ORÇAMENTO!O$15,ROW(E498)-ROW(E$15),0)</f>
        <v>-</v>
      </c>
      <c r="F498" s="206" t="str">
        <f ca="1">OFFSET(ORÇAMENTO!R$15,ROW(F498)-ROW(F$15),0)</f>
        <v>(abra o arquivo 'Referência 05-2024.xls)</v>
      </c>
      <c r="G498" s="207" t="str">
        <f ca="1">IF($D498&lt;&gt;"Serviço","",OFFSET(ORÇAMENTO!S$15,ROW(G498)-ROW(G$15),0))</f>
        <v>-</v>
      </c>
      <c r="H498" s="151">
        <f ca="1">IF($D498&lt;&gt;"Serviço",0,IF(ACOMPANHAMENTO="BM",ROUND(OFFSET(ORÇAMENTO!AJ$15,ROW(H498)-ROW(H$15),0),15-13*ORÇAMENTO!$AF$7),SUMPRODUCT(($Q$12:$AI$12&lt;&gt;"")*ROUND($Q498:$AI498,15-13*ORÇAMENTO!$AF$7))))</f>
        <v>1</v>
      </c>
      <c r="I498" s="650"/>
      <c r="K498" s="208"/>
      <c r="L498" s="209" t="s">
        <v>257</v>
      </c>
      <c r="M498" s="210">
        <f ca="1">IF($D498&lt;&gt;"Serviço","",IF(AUTOEVENTO="manual",$A498,IF(ISERROR(MATCH($A498,$A$15:OFFSET($A498,-1,0),0)),MAX($M$15:OFFSET(M498,-1,0))+1,INDEX($M$15:OFFSET(M498,-1,0),MATCH($A498,$A$15:OFFSET($A498,-1,0),0)))))</f>
        <v>0</v>
      </c>
      <c r="N498" s="211" t="str">
        <f ca="1">IF($D498&lt;&gt;"Serviço","",IF(AUTOEVENTO="Manual",IF($A498=0,"&lt;-- defina o número do agrupador",OFFSET(EVENTOS!$D$14,$A498,0)),OFFSET($F$15,$A498,0)))</f>
        <v>&lt;-- defina o número do agrupador</v>
      </c>
      <c r="O498" s="212"/>
      <c r="Q498" s="212"/>
      <c r="R498" s="213"/>
      <c r="S498" s="213"/>
      <c r="T498" s="213"/>
      <c r="U498" s="213"/>
      <c r="V498" s="213"/>
      <c r="W498" s="213"/>
      <c r="X498" s="213"/>
      <c r="Y498" s="213"/>
      <c r="Z498" s="214"/>
      <c r="AA498" s="213"/>
      <c r="AB498" s="213"/>
      <c r="AC498" s="213"/>
      <c r="AD498" s="213"/>
      <c r="AE498" s="213"/>
      <c r="AF498" s="213"/>
      <c r="AG498" s="213"/>
      <c r="AH498" s="214"/>
      <c r="AJ498" s="631">
        <f ca="1">IF(AND($D498="Serviço",AJ$12&lt;&gt;0,$H498&gt;0,OR(AUTOEVENTO&lt;&gt;"manual",$M498&lt;&gt;1)),ROUND(OFFSET($P498,0,AJ$13),15-13*ORÇAMENTO!$AF$7)/$H498*OFFSET(ORÇAMENTO!$X$15,ROW(AJ498)-ROW(AJ$15),0),0)</f>
        <v>0</v>
      </c>
      <c r="AK498" s="632">
        <f ca="1">IF(AND($D498="Serviço",AK$12&lt;&gt;0,$H498&gt;0,OR(AUTOEVENTO&lt;&gt;"manual",$M498&lt;&gt;1)),ROUND(OFFSET($P498,0,AK$13),15-13*ORÇAMENTO!$AF$7)/$H498*OFFSET(ORÇAMENTO!$X$15,ROW(AK498)-ROW(AK$15),0),0)</f>
        <v>0</v>
      </c>
      <c r="AL498" s="632">
        <f ca="1">IF(AND($D498="Serviço",AL$12&lt;&gt;0,$H498&gt;0,OR(AUTOEVENTO&lt;&gt;"manual",$M498&lt;&gt;1)),ROUND(OFFSET($P498,0,AL$13),15-13*ORÇAMENTO!$AF$7)/$H498*OFFSET(ORÇAMENTO!$X$15,ROW(AL498)-ROW(AL$15),0),0)</f>
        <v>0</v>
      </c>
      <c r="AM498" s="632">
        <f ca="1">IF(AND($D498="Serviço",AM$12&lt;&gt;0,$H498&gt;0,OR(AUTOEVENTO&lt;&gt;"manual",$M498&lt;&gt;1)),ROUND(OFFSET($P498,0,AM$13),15-13*ORÇAMENTO!$AF$7)/$H498*OFFSET(ORÇAMENTO!$X$15,ROW(AM498)-ROW(AM$15),0),0)</f>
        <v>0</v>
      </c>
      <c r="AN498" s="632">
        <f ca="1">IF(AND($D498="Serviço",AN$12&lt;&gt;0,$H498&gt;0,OR(AUTOEVENTO&lt;&gt;"manual",$M498&lt;&gt;1)),ROUND(OFFSET($P498,0,AN$13),15-13*ORÇAMENTO!$AF$7)/$H498*OFFSET(ORÇAMENTO!$X$15,ROW(AN498)-ROW(AN$15),0),0)</f>
        <v>0</v>
      </c>
      <c r="AO498" s="632">
        <f ca="1">IF(AND($D498="Serviço",AO$12&lt;&gt;0,$H498&gt;0,OR(AUTOEVENTO&lt;&gt;"manual",$M498&lt;&gt;1)),ROUND(OFFSET($P498,0,AO$13),15-13*ORÇAMENTO!$AF$7)/$H498*OFFSET(ORÇAMENTO!$X$15,ROW(AO498)-ROW(AO$15),0),0)</f>
        <v>0</v>
      </c>
      <c r="AP498" s="632">
        <f ca="1">IF(AND($D498="Serviço",AP$12&lt;&gt;0,$H498&gt;0,OR(AUTOEVENTO&lt;&gt;"manual",$M498&lt;&gt;1)),ROUND(OFFSET($P498,0,AP$13),15-13*ORÇAMENTO!$AF$7)/$H498*OFFSET(ORÇAMENTO!$X$15,ROW(AP498)-ROW(AP$15),0),0)</f>
        <v>0</v>
      </c>
      <c r="AQ498" s="632">
        <f ca="1">IF(AND($D498="Serviço",AQ$12&lt;&gt;0,$H498&gt;0,OR(AUTOEVENTO&lt;&gt;"manual",$M498&lt;&gt;1)),ROUND(OFFSET($P498,0,AQ$13),15-13*ORÇAMENTO!$AF$7)/$H498*OFFSET(ORÇAMENTO!$X$15,ROW(AQ498)-ROW(AQ$15),0),0)</f>
        <v>0</v>
      </c>
      <c r="AR498" s="632">
        <f ca="1">IF(AND($D498="Serviço",AR$12&lt;&gt;0,$H498&gt;0,OR(AUTOEVENTO&lt;&gt;"manual",$M498&lt;&gt;1)),ROUND(OFFSET($P498,0,AR$13),15-13*ORÇAMENTO!$AF$7)/$H498*OFFSET(ORÇAMENTO!$X$15,ROW(AR498)-ROW(AR$15),0),0)</f>
        <v>0</v>
      </c>
      <c r="AS498" s="633">
        <f ca="1">IF(AND($D498="Serviço",AS$12&lt;&gt;0,$H498&gt;0,OR(AUTOEVENTO&lt;&gt;"manual",$M498&lt;&gt;1)),ROUND(OFFSET($P498,0,AS$13),15-13*ORÇAMENTO!$AF$7)/$H498*OFFSET(ORÇAMENTO!$X$15,ROW(AS498)-ROW(AS$15),0),0)</f>
        <v>0</v>
      </c>
      <c r="AT498" s="632">
        <f ca="1">IF(AND($D498="Serviço",AT$12&lt;&gt;0,$H498&gt;0,OR(AUTOEVENTO&lt;&gt;"manual",$M498&lt;&gt;1)),ROUND(OFFSET($P498,0,AT$13),15-13*ORÇAMENTO!$AF$7)/$H498*OFFSET(ORÇAMENTO!$X$15,ROW(AT498)-ROW(AT$15),0),0)</f>
        <v>0</v>
      </c>
      <c r="AU498" s="632">
        <f ca="1">IF(AND($D498="Serviço",AU$12&lt;&gt;0,$H498&gt;0,OR(AUTOEVENTO&lt;&gt;"manual",$M498&lt;&gt;1)),ROUND(OFFSET($P498,0,AU$13),15-13*ORÇAMENTO!$AF$7)/$H498*OFFSET(ORÇAMENTO!$X$15,ROW(AU498)-ROW(AU$15),0),0)</f>
        <v>0</v>
      </c>
      <c r="AV498" s="632">
        <f ca="1">IF(AND($D498="Serviço",AV$12&lt;&gt;0,$H498&gt;0,OR(AUTOEVENTO&lt;&gt;"manual",$M498&lt;&gt;1)),ROUND(OFFSET($P498,0,AV$13),15-13*ORÇAMENTO!$AF$7)/$H498*OFFSET(ORÇAMENTO!$X$15,ROW(AV498)-ROW(AV$15),0),0)</f>
        <v>0</v>
      </c>
      <c r="AW498" s="632">
        <f ca="1">IF(AND($D498="Serviço",AW$12&lt;&gt;0,$H498&gt;0,OR(AUTOEVENTO&lt;&gt;"manual",$M498&lt;&gt;1)),ROUND(OFFSET($P498,0,AW$13),15-13*ORÇAMENTO!$AF$7)/$H498*OFFSET(ORÇAMENTO!$X$15,ROW(AW498)-ROW(AW$15),0),0)</f>
        <v>0</v>
      </c>
      <c r="AX498" s="632">
        <f ca="1">IF(AND($D498="Serviço",AX$12&lt;&gt;0,$H498&gt;0,OR(AUTOEVENTO&lt;&gt;"manual",$M498&lt;&gt;1)),ROUND(OFFSET($P498,0,AX$13),15-13*ORÇAMENTO!$AF$7)/$H498*OFFSET(ORÇAMENTO!$X$15,ROW(AX498)-ROW(AX$15),0),0)</f>
        <v>0</v>
      </c>
      <c r="AY498" s="632">
        <f ca="1">IF(AND($D498="Serviço",AY$12&lt;&gt;0,$H498&gt;0,OR(AUTOEVENTO&lt;&gt;"manual",$M498&lt;&gt;1)),ROUND(OFFSET($P498,0,AY$13),15-13*ORÇAMENTO!$AF$7)/$H498*OFFSET(ORÇAMENTO!$X$15,ROW(AY498)-ROW(AY$15),0),0)</f>
        <v>0</v>
      </c>
      <c r="AZ498" s="632">
        <f ca="1">IF(AND($D498="Serviço",AZ$12&lt;&gt;0,$H498&gt;0,OR(AUTOEVENTO&lt;&gt;"manual",$M498&lt;&gt;1)),ROUND(OFFSET($P498,0,AZ$13),15-13*ORÇAMENTO!$AF$7)/$H498*OFFSET(ORÇAMENTO!$X$15,ROW(AZ498)-ROW(AZ$15),0),0)</f>
        <v>0</v>
      </c>
      <c r="BA498" s="633">
        <f ca="1">IF(AND($D498="Serviço",BA$12&lt;&gt;0,$H498&gt;0,OR(AUTOEVENTO&lt;&gt;"manual",$M498&lt;&gt;1)),ROUND(OFFSET($P498,0,BA$13),15-13*ORÇAMENTO!$AF$7)/$H498*OFFSET(ORÇAMENTO!$X$15,ROW(BA498)-ROW(BA$15),0),0)</f>
        <v>0</v>
      </c>
      <c r="BC498" s="215">
        <f ca="1">IF($D498&lt;&gt;"Serviço",0,IF(AND(AUTOEVENTO="Manual",$M498=1),0,IF(OFFSET(CRONOPLE!$F$14,$M498,BC$13)="",10^12,OFFSET(CRONOPLE!$F$14,$M498,BC$13))))</f>
        <v>1000000000000</v>
      </c>
      <c r="BD498" s="215">
        <f ca="1">IF($D498&lt;&gt;"Serviço",0,IF(AND(AUTOEVENTO="Manual",$M498=1),0,IF(OFFSET(CRONOPLE!$F$14,$M498,BD$13)="",10^12,OFFSET(CRONOPLE!$F$14,$M498,BD$13))))</f>
        <v>1000000000000</v>
      </c>
      <c r="BE498" s="215">
        <f ca="1">IF($D498&lt;&gt;"Serviço",0,IF(AND(AUTOEVENTO="Manual",$M498=1),0,IF(OFFSET(CRONOPLE!$F$14,$M498,BE$13)="",10^12,OFFSET(CRONOPLE!$F$14,$M498,BE$13))))</f>
        <v>1000000000000</v>
      </c>
      <c r="BF498" s="215">
        <f ca="1">IF($D498&lt;&gt;"Serviço",0,IF(AND(AUTOEVENTO="Manual",$M498=1),0,IF(OFFSET(CRONOPLE!$F$14,$M498,BF$13)="",10^12,OFFSET(CRONOPLE!$F$14,$M498,BF$13))))</f>
        <v>1000000000000</v>
      </c>
      <c r="BG498" s="215">
        <f ca="1">IF($D498&lt;&gt;"Serviço",0,IF(AND(AUTOEVENTO="Manual",$M498=1),0,IF(OFFSET(CRONOPLE!$F$14,$M498,BG$13)="",10^12,OFFSET(CRONOPLE!$F$14,$M498,BG$13))))</f>
        <v>1000000000000</v>
      </c>
      <c r="BH498" s="215">
        <f ca="1">IF($D498&lt;&gt;"Serviço",0,IF(AND(AUTOEVENTO="Manual",$M498=1),0,IF(OFFSET(CRONOPLE!$F$14,$M498,BH$13)="",10^12,OFFSET(CRONOPLE!$F$14,$M498,BH$13))))</f>
        <v>1000000000000</v>
      </c>
      <c r="BI498" s="215">
        <f ca="1">IF($D498&lt;&gt;"Serviço",0,IF(AND(AUTOEVENTO="Manual",$M498=1),0,IF(OFFSET(CRONOPLE!$F$14,$M498,BI$13)="",10^12,OFFSET(CRONOPLE!$F$14,$M498,BI$13))))</f>
        <v>1000000000000</v>
      </c>
      <c r="BJ498" s="215">
        <f ca="1">IF($D498&lt;&gt;"Serviço",0,IF(AND(AUTOEVENTO="Manual",$M498=1),0,IF(OFFSET(CRONOPLE!$F$14,$M498,BJ$13)="",10^12,OFFSET(CRONOPLE!$F$14,$M498,BJ$13))))</f>
        <v>1000000000000</v>
      </c>
      <c r="BK498" s="215">
        <f ca="1">IF($D498&lt;&gt;"Serviço",0,IF(AND(AUTOEVENTO="Manual",$M498=1),0,IF(OFFSET(CRONOPLE!$F$14,$M498,BK$13)="",10^12,OFFSET(CRONOPLE!$F$14,$M498,BK$13))))</f>
        <v>1000000000000</v>
      </c>
      <c r="BL498" s="215">
        <f ca="1">IF($D498&lt;&gt;"Serviço",0,IF(AND(AUTOEVENTO="Manual",$M498=1),0,IF(OFFSET(CRONOPLE!$F$14,$M498,BL$13)="",10^12,OFFSET(CRONOPLE!$F$14,$M498,BL$13))))</f>
        <v>1000000000000</v>
      </c>
      <c r="BM498" s="215">
        <f ca="1">IF($D498&lt;&gt;"Serviço",0,IF(AND(AUTOEVENTO="Manual",$M498=1),0,IF(OFFSET(CRONOPLE!$F$14,$M498,BM$13)="",10^12,OFFSET(CRONOPLE!$F$14,$M498,BM$13))))</f>
        <v>1000000000000</v>
      </c>
      <c r="BN498" s="215">
        <f ca="1">IF($D498&lt;&gt;"Serviço",0,IF(AND(AUTOEVENTO="Manual",$M498=1),0,IF(OFFSET(CRONOPLE!$F$14,$M498,BN$13)="",10^12,OFFSET(CRONOPLE!$F$14,$M498,BN$13))))</f>
        <v>1000000000000</v>
      </c>
      <c r="BO498" s="215">
        <f ca="1">IF($D498&lt;&gt;"Serviço",0,IF(AND(AUTOEVENTO="Manual",$M498=1),0,IF(OFFSET(CRONOPLE!$F$14,$M498,BO$13)="",10^12,OFFSET(CRONOPLE!$F$14,$M498,BO$13))))</f>
        <v>1000000000000</v>
      </c>
      <c r="BP498" s="215">
        <f ca="1">IF($D498&lt;&gt;"Serviço",0,IF(AND(AUTOEVENTO="Manual",$M498=1),0,IF(OFFSET(CRONOPLE!$F$14,$M498,BP$13)="",10^12,OFFSET(CRONOPLE!$F$14,$M498,BP$13))))</f>
        <v>1000000000000</v>
      </c>
      <c r="BQ498" s="215">
        <f ca="1">IF($D498&lt;&gt;"Serviço",0,IF(AND(AUTOEVENTO="Manual",$M498=1),0,IF(OFFSET(CRONOPLE!$F$14,$M498,BQ$13)="",10^12,OFFSET(CRONOPLE!$F$14,$M498,BQ$13))))</f>
        <v>1000000000000</v>
      </c>
      <c r="BR498" s="215">
        <f ca="1">IF($D498&lt;&gt;"Serviço",0,IF(AND(AUTOEVENTO="Manual",$M498=1),0,IF(OFFSET(CRONOPLE!$F$14,$M498,BR$13)="",10^12,OFFSET(CRONOPLE!$F$14,$M498,BR$13))))</f>
        <v>1000000000000</v>
      </c>
      <c r="BS498" s="215">
        <f ca="1">IF($D498&lt;&gt;"Serviço",0,IF(AND(AUTOEVENTO="Manual",$M498=1),0,IF(OFFSET(CRONOPLE!$F$14,$M498,BS$13)="",10^12,OFFSET(CRONOPLE!$F$14,$M498,BS$13))))</f>
        <v>1000000000000</v>
      </c>
      <c r="BT498" s="215">
        <f ca="1">IF($D498&lt;&gt;"Serviço",0,IF(AND(AUTOEVENTO="Manual",$M498=1),0,IF(OFFSET(CRONOPLE!$F$14,$M498,BT$13)="",10^12,OFFSET(CRONOPLE!$F$14,$M498,BT$13))))</f>
        <v>1000000000000</v>
      </c>
      <c r="BV498" s="216">
        <f ca="1">IF($D498&lt;&gt;"Serviço",0,IF(OR(AND(AUTOEVENTO="Manual",$M498=1),$M498&gt;(ROW(PLE.lastrow)-ROW(PLE.firstrow))),0,IF(OFFSET(PLE!$G$14,$M498,BV$13)="",10^12,OFFSET(PLE!$G$14,$M498,BV$13))))</f>
        <v>1000000000000</v>
      </c>
      <c r="BW498" s="216">
        <f ca="1">IF($D498&lt;&gt;"Serviço",0,IF(OR(AND(AUTOEVENTO="Manual",$M498=1),$M498&gt;(ROW(PLE.lastrow)-ROW(PLE.firstrow))),0,IF(OFFSET(PLE!$G$14,$M498,BW$13)="",10^12,OFFSET(PLE!$G$14,$M498,BW$13))))</f>
        <v>1000000000000</v>
      </c>
      <c r="BX498" s="216">
        <f ca="1">IF($D498&lt;&gt;"Serviço",0,IF(OR(AND(AUTOEVENTO="Manual",$M498=1),$M498&gt;(ROW(PLE.lastrow)-ROW(PLE.firstrow))),0,IF(OFFSET(PLE!$G$14,$M498,BX$13)="",10^12,OFFSET(PLE!$G$14,$M498,BX$13))))</f>
        <v>1000000000000</v>
      </c>
      <c r="BY498" s="216">
        <f ca="1">IF($D498&lt;&gt;"Serviço",0,IF(OR(AND(AUTOEVENTO="Manual",$M498=1),$M498&gt;(ROW(PLE.lastrow)-ROW(PLE.firstrow))),0,IF(OFFSET(PLE!$G$14,$M498,BY$13)="",10^12,OFFSET(PLE!$G$14,$M498,BY$13))))</f>
        <v>1000000000000</v>
      </c>
      <c r="BZ498" s="216">
        <f ca="1">IF($D498&lt;&gt;"Serviço",0,IF(OR(AND(AUTOEVENTO="Manual",$M498=1),$M498&gt;(ROW(PLE.lastrow)-ROW(PLE.firstrow))),0,IF(OFFSET(PLE!$G$14,$M498,BZ$13)="",10^12,OFFSET(PLE!$G$14,$M498,BZ$13))))</f>
        <v>1000000000000</v>
      </c>
      <c r="CA498" s="216">
        <f ca="1">IF($D498&lt;&gt;"Serviço",0,IF(OR(AND(AUTOEVENTO="Manual",$M498=1),$M498&gt;(ROW(PLE.lastrow)-ROW(PLE.firstrow))),0,IF(OFFSET(PLE!$G$14,$M498,CA$13)="",10^12,OFFSET(PLE!$G$14,$M498,CA$13))))</f>
        <v>1000000000000</v>
      </c>
      <c r="CB498" s="216">
        <f ca="1">IF($D498&lt;&gt;"Serviço",0,IF(OR(AND(AUTOEVENTO="Manual",$M498=1),$M498&gt;(ROW(PLE.lastrow)-ROW(PLE.firstrow))),0,IF(OFFSET(PLE!$G$14,$M498,CB$13)="",10^12,OFFSET(PLE!$G$14,$M498,CB$13))))</f>
        <v>1000000000000</v>
      </c>
      <c r="CC498" s="216">
        <f ca="1">IF($D498&lt;&gt;"Serviço",0,IF(OR(AND(AUTOEVENTO="Manual",$M498=1),$M498&gt;(ROW(PLE.lastrow)-ROW(PLE.firstrow))),0,IF(OFFSET(PLE!$G$14,$M498,CC$13)="",10^12,OFFSET(PLE!$G$14,$M498,CC$13))))</f>
        <v>1000000000000</v>
      </c>
      <c r="CD498" s="216">
        <f ca="1">IF($D498&lt;&gt;"Serviço",0,IF(OR(AND(AUTOEVENTO="Manual",$M498=1),$M498&gt;(ROW(PLE.lastrow)-ROW(PLE.firstrow))),0,IF(OFFSET(PLE!$G$14,$M498,CD$13)="",10^12,OFFSET(PLE!$G$14,$M498,CD$13))))</f>
        <v>1000000000000</v>
      </c>
      <c r="CE498" s="216">
        <f ca="1">IF($D498&lt;&gt;"Serviço",0,IF(OR(AND(AUTOEVENTO="Manual",$M498=1),$M498&gt;(ROW(PLE.lastrow)-ROW(PLE.firstrow))),0,IF(OFFSET(PLE!$G$14,$M498,CE$13)="",10^12,OFFSET(PLE!$G$14,$M498,CE$13))))</f>
        <v>1000000000000</v>
      </c>
      <c r="CF498" s="216">
        <f ca="1">IF($D498&lt;&gt;"Serviço",0,IF(OR(AND(AUTOEVENTO="Manual",$M498=1),$M498&gt;(ROW(PLE.lastrow)-ROW(PLE.firstrow))),0,IF(OFFSET(PLE!$G$14,$M498,CF$13)="",10^12,OFFSET(PLE!$G$14,$M498,CF$13))))</f>
        <v>1000000000000</v>
      </c>
      <c r="CG498" s="216">
        <f ca="1">IF($D498&lt;&gt;"Serviço",0,IF(OR(AND(AUTOEVENTO="Manual",$M498=1),$M498&gt;(ROW(PLE.lastrow)-ROW(PLE.firstrow))),0,IF(OFFSET(PLE!$G$14,$M498,CG$13)="",10^12,OFFSET(PLE!$G$14,$M498,CG$13))))</f>
        <v>1000000000000</v>
      </c>
      <c r="CH498" s="216">
        <f ca="1">IF($D498&lt;&gt;"Serviço",0,IF(OR(AND(AUTOEVENTO="Manual",$M498=1),$M498&gt;(ROW(PLE.lastrow)-ROW(PLE.firstrow))),0,IF(OFFSET(PLE!$G$14,$M498,CH$13)="",10^12,OFFSET(PLE!$G$14,$M498,CH$13))))</f>
        <v>1000000000000</v>
      </c>
      <c r="CI498" s="216">
        <f ca="1">IF($D498&lt;&gt;"Serviço",0,IF(OR(AND(AUTOEVENTO="Manual",$M498=1),$M498&gt;(ROW(PLE.lastrow)-ROW(PLE.firstrow))),0,IF(OFFSET(PLE!$G$14,$M498,CI$13)="",10^12,OFFSET(PLE!$G$14,$M498,CI$13))))</f>
        <v>1000000000000</v>
      </c>
      <c r="CJ498" s="216">
        <f ca="1">IF($D498&lt;&gt;"Serviço",0,IF(OR(AND(AUTOEVENTO="Manual",$M498=1),$M498&gt;(ROW(PLE.lastrow)-ROW(PLE.firstrow))),0,IF(OFFSET(PLE!$G$14,$M498,CJ$13)="",10^12,OFFSET(PLE!$G$14,$M498,CJ$13))))</f>
        <v>1000000000000</v>
      </c>
      <c r="CK498" s="216">
        <f ca="1">IF($D498&lt;&gt;"Serviço",0,IF(OR(AND(AUTOEVENTO="Manual",$M498=1),$M498&gt;(ROW(PLE.lastrow)-ROW(PLE.firstrow))),0,IF(OFFSET(PLE!$G$14,$M498,CK$13)="",10^12,OFFSET(PLE!$G$14,$M498,CK$13))))</f>
        <v>1000000000000</v>
      </c>
      <c r="CL498" s="216">
        <f ca="1">IF($D498&lt;&gt;"Serviço",0,IF(OR(AND(AUTOEVENTO="Manual",$M498=1),$M498&gt;(ROW(PLE.lastrow)-ROW(PLE.firstrow))),0,IF(OFFSET(PLE!$G$14,$M498,CL$13)="",10^12,OFFSET(PLE!$G$14,$M498,CL$13))))</f>
        <v>1000000000000</v>
      </c>
      <c r="CM498" s="216">
        <f ca="1">IF($D498&lt;&gt;"Serviço",0,IF(OR(AND(AUTOEVENTO="Manual",$M498=1),$M498&gt;(ROW(PLE.lastrow)-ROW(PLE.firstrow))),0,IF(OFFSET(PLE!$G$14,$M498,CM$13)="",10^12,OFFSET(PLE!$G$14,$M498,CM$13))))</f>
        <v>1000000000000</v>
      </c>
    </row>
    <row r="499" spans="1:91" ht="13.2" x14ac:dyDescent="0.25">
      <c r="A499" s="9">
        <f t="shared" ca="1" si="16"/>
        <v>0</v>
      </c>
      <c r="B499" s="9" t="str">
        <f ca="1">OFFSET(ORÇAMENTO!C$15,ROW(B499)-ROW(B$15),0)</f>
        <v>S</v>
      </c>
      <c r="C499" s="9" t="str">
        <f ca="1">OFFSET(ORÇAMENTO!L$15,ROW(C499)-ROW(C$15),0)</f>
        <v/>
      </c>
      <c r="D499" s="145" t="str">
        <f ca="1">OFFSET(ORÇAMENTO!N$15,ROW(D499)-ROW(D$15),0)</f>
        <v>Serviço</v>
      </c>
      <c r="E499" s="205" t="str">
        <f ca="1">OFFSET(ORÇAMENTO!O$15,ROW(E499)-ROW(E$15),0)</f>
        <v>-</v>
      </c>
      <c r="F499" s="206" t="str">
        <f ca="1">OFFSET(ORÇAMENTO!R$15,ROW(F499)-ROW(F$15),0)</f>
        <v>(abra o arquivo 'Referência 05-2024.xls)</v>
      </c>
      <c r="G499" s="207" t="str">
        <f ca="1">IF($D499&lt;&gt;"Serviço","",OFFSET(ORÇAMENTO!S$15,ROW(G499)-ROW(G$15),0))</f>
        <v>-</v>
      </c>
      <c r="H499" s="151">
        <f ca="1">IF($D499&lt;&gt;"Serviço",0,IF(ACOMPANHAMENTO="BM",ROUND(OFFSET(ORÇAMENTO!AJ$15,ROW(H499)-ROW(H$15),0),15-13*ORÇAMENTO!$AF$7),SUMPRODUCT(($Q$12:$AI$12&lt;&gt;"")*ROUND($Q499:$AI499,15-13*ORÇAMENTO!$AF$7))))</f>
        <v>11</v>
      </c>
      <c r="I499" s="650"/>
      <c r="K499" s="208"/>
      <c r="L499" s="209" t="s">
        <v>257</v>
      </c>
      <c r="M499" s="210">
        <f ca="1">IF($D499&lt;&gt;"Serviço","",IF(AUTOEVENTO="manual",$A499,IF(ISERROR(MATCH($A499,$A$15:OFFSET($A499,-1,0),0)),MAX($M$15:OFFSET(M499,-1,0))+1,INDEX($M$15:OFFSET(M499,-1,0),MATCH($A499,$A$15:OFFSET($A499,-1,0),0)))))</f>
        <v>0</v>
      </c>
      <c r="N499" s="211" t="str">
        <f ca="1">IF($D499&lt;&gt;"Serviço","",IF(AUTOEVENTO="Manual",IF($A499=0,"&lt;-- defina o número do agrupador",OFFSET(EVENTOS!$D$14,$A499,0)),OFFSET($F$15,$A499,0)))</f>
        <v>&lt;-- defina o número do agrupador</v>
      </c>
      <c r="O499" s="212"/>
      <c r="Q499" s="212"/>
      <c r="R499" s="213"/>
      <c r="S499" s="213"/>
      <c r="T499" s="213"/>
      <c r="U499" s="213"/>
      <c r="V499" s="213"/>
      <c r="W499" s="213"/>
      <c r="X499" s="213"/>
      <c r="Y499" s="213"/>
      <c r="Z499" s="214"/>
      <c r="AA499" s="213"/>
      <c r="AB499" s="213"/>
      <c r="AC499" s="213"/>
      <c r="AD499" s="213"/>
      <c r="AE499" s="213"/>
      <c r="AF499" s="213"/>
      <c r="AG499" s="213"/>
      <c r="AH499" s="214"/>
      <c r="AJ499" s="631">
        <f ca="1">IF(AND($D499="Serviço",AJ$12&lt;&gt;0,$H499&gt;0,OR(AUTOEVENTO&lt;&gt;"manual",$M499&lt;&gt;1)),ROUND(OFFSET($P499,0,AJ$13),15-13*ORÇAMENTO!$AF$7)/$H499*OFFSET(ORÇAMENTO!$X$15,ROW(AJ499)-ROW(AJ$15),0),0)</f>
        <v>0</v>
      </c>
      <c r="AK499" s="632">
        <f ca="1">IF(AND($D499="Serviço",AK$12&lt;&gt;0,$H499&gt;0,OR(AUTOEVENTO&lt;&gt;"manual",$M499&lt;&gt;1)),ROUND(OFFSET($P499,0,AK$13),15-13*ORÇAMENTO!$AF$7)/$H499*OFFSET(ORÇAMENTO!$X$15,ROW(AK499)-ROW(AK$15),0),0)</f>
        <v>0</v>
      </c>
      <c r="AL499" s="632">
        <f ca="1">IF(AND($D499="Serviço",AL$12&lt;&gt;0,$H499&gt;0,OR(AUTOEVENTO&lt;&gt;"manual",$M499&lt;&gt;1)),ROUND(OFFSET($P499,0,AL$13),15-13*ORÇAMENTO!$AF$7)/$H499*OFFSET(ORÇAMENTO!$X$15,ROW(AL499)-ROW(AL$15),0),0)</f>
        <v>0</v>
      </c>
      <c r="AM499" s="632">
        <f ca="1">IF(AND($D499="Serviço",AM$12&lt;&gt;0,$H499&gt;0,OR(AUTOEVENTO&lt;&gt;"manual",$M499&lt;&gt;1)),ROUND(OFFSET($P499,0,AM$13),15-13*ORÇAMENTO!$AF$7)/$H499*OFFSET(ORÇAMENTO!$X$15,ROW(AM499)-ROW(AM$15),0),0)</f>
        <v>0</v>
      </c>
      <c r="AN499" s="632">
        <f ca="1">IF(AND($D499="Serviço",AN$12&lt;&gt;0,$H499&gt;0,OR(AUTOEVENTO&lt;&gt;"manual",$M499&lt;&gt;1)),ROUND(OFFSET($P499,0,AN$13),15-13*ORÇAMENTO!$AF$7)/$H499*OFFSET(ORÇAMENTO!$X$15,ROW(AN499)-ROW(AN$15),0),0)</f>
        <v>0</v>
      </c>
      <c r="AO499" s="632">
        <f ca="1">IF(AND($D499="Serviço",AO$12&lt;&gt;0,$H499&gt;0,OR(AUTOEVENTO&lt;&gt;"manual",$M499&lt;&gt;1)),ROUND(OFFSET($P499,0,AO$13),15-13*ORÇAMENTO!$AF$7)/$H499*OFFSET(ORÇAMENTO!$X$15,ROW(AO499)-ROW(AO$15),0),0)</f>
        <v>0</v>
      </c>
      <c r="AP499" s="632">
        <f ca="1">IF(AND($D499="Serviço",AP$12&lt;&gt;0,$H499&gt;0,OR(AUTOEVENTO&lt;&gt;"manual",$M499&lt;&gt;1)),ROUND(OFFSET($P499,0,AP$13),15-13*ORÇAMENTO!$AF$7)/$H499*OFFSET(ORÇAMENTO!$X$15,ROW(AP499)-ROW(AP$15),0),0)</f>
        <v>0</v>
      </c>
      <c r="AQ499" s="632">
        <f ca="1">IF(AND($D499="Serviço",AQ$12&lt;&gt;0,$H499&gt;0,OR(AUTOEVENTO&lt;&gt;"manual",$M499&lt;&gt;1)),ROUND(OFFSET($P499,0,AQ$13),15-13*ORÇAMENTO!$AF$7)/$H499*OFFSET(ORÇAMENTO!$X$15,ROW(AQ499)-ROW(AQ$15),0),0)</f>
        <v>0</v>
      </c>
      <c r="AR499" s="632">
        <f ca="1">IF(AND($D499="Serviço",AR$12&lt;&gt;0,$H499&gt;0,OR(AUTOEVENTO&lt;&gt;"manual",$M499&lt;&gt;1)),ROUND(OFFSET($P499,0,AR$13),15-13*ORÇAMENTO!$AF$7)/$H499*OFFSET(ORÇAMENTO!$X$15,ROW(AR499)-ROW(AR$15),0),0)</f>
        <v>0</v>
      </c>
      <c r="AS499" s="633">
        <f ca="1">IF(AND($D499="Serviço",AS$12&lt;&gt;0,$H499&gt;0,OR(AUTOEVENTO&lt;&gt;"manual",$M499&lt;&gt;1)),ROUND(OFFSET($P499,0,AS$13),15-13*ORÇAMENTO!$AF$7)/$H499*OFFSET(ORÇAMENTO!$X$15,ROW(AS499)-ROW(AS$15),0),0)</f>
        <v>0</v>
      </c>
      <c r="AT499" s="632">
        <f ca="1">IF(AND($D499="Serviço",AT$12&lt;&gt;0,$H499&gt;0,OR(AUTOEVENTO&lt;&gt;"manual",$M499&lt;&gt;1)),ROUND(OFFSET($P499,0,AT$13),15-13*ORÇAMENTO!$AF$7)/$H499*OFFSET(ORÇAMENTO!$X$15,ROW(AT499)-ROW(AT$15),0),0)</f>
        <v>0</v>
      </c>
      <c r="AU499" s="632">
        <f ca="1">IF(AND($D499="Serviço",AU$12&lt;&gt;0,$H499&gt;0,OR(AUTOEVENTO&lt;&gt;"manual",$M499&lt;&gt;1)),ROUND(OFFSET($P499,0,AU$13),15-13*ORÇAMENTO!$AF$7)/$H499*OFFSET(ORÇAMENTO!$X$15,ROW(AU499)-ROW(AU$15),0),0)</f>
        <v>0</v>
      </c>
      <c r="AV499" s="632">
        <f ca="1">IF(AND($D499="Serviço",AV$12&lt;&gt;0,$H499&gt;0,OR(AUTOEVENTO&lt;&gt;"manual",$M499&lt;&gt;1)),ROUND(OFFSET($P499,0,AV$13),15-13*ORÇAMENTO!$AF$7)/$H499*OFFSET(ORÇAMENTO!$X$15,ROW(AV499)-ROW(AV$15),0),0)</f>
        <v>0</v>
      </c>
      <c r="AW499" s="632">
        <f ca="1">IF(AND($D499="Serviço",AW$12&lt;&gt;0,$H499&gt;0,OR(AUTOEVENTO&lt;&gt;"manual",$M499&lt;&gt;1)),ROUND(OFFSET($P499,0,AW$13),15-13*ORÇAMENTO!$AF$7)/$H499*OFFSET(ORÇAMENTO!$X$15,ROW(AW499)-ROW(AW$15),0),0)</f>
        <v>0</v>
      </c>
      <c r="AX499" s="632">
        <f ca="1">IF(AND($D499="Serviço",AX$12&lt;&gt;0,$H499&gt;0,OR(AUTOEVENTO&lt;&gt;"manual",$M499&lt;&gt;1)),ROUND(OFFSET($P499,0,AX$13),15-13*ORÇAMENTO!$AF$7)/$H499*OFFSET(ORÇAMENTO!$X$15,ROW(AX499)-ROW(AX$15),0),0)</f>
        <v>0</v>
      </c>
      <c r="AY499" s="632">
        <f ca="1">IF(AND($D499="Serviço",AY$12&lt;&gt;0,$H499&gt;0,OR(AUTOEVENTO&lt;&gt;"manual",$M499&lt;&gt;1)),ROUND(OFFSET($P499,0,AY$13),15-13*ORÇAMENTO!$AF$7)/$H499*OFFSET(ORÇAMENTO!$X$15,ROW(AY499)-ROW(AY$15),0),0)</f>
        <v>0</v>
      </c>
      <c r="AZ499" s="632">
        <f ca="1">IF(AND($D499="Serviço",AZ$12&lt;&gt;0,$H499&gt;0,OR(AUTOEVENTO&lt;&gt;"manual",$M499&lt;&gt;1)),ROUND(OFFSET($P499,0,AZ$13),15-13*ORÇAMENTO!$AF$7)/$H499*OFFSET(ORÇAMENTO!$X$15,ROW(AZ499)-ROW(AZ$15),0),0)</f>
        <v>0</v>
      </c>
      <c r="BA499" s="633">
        <f ca="1">IF(AND($D499="Serviço",BA$12&lt;&gt;0,$H499&gt;0,OR(AUTOEVENTO&lt;&gt;"manual",$M499&lt;&gt;1)),ROUND(OFFSET($P499,0,BA$13),15-13*ORÇAMENTO!$AF$7)/$H499*OFFSET(ORÇAMENTO!$X$15,ROW(BA499)-ROW(BA$15),0),0)</f>
        <v>0</v>
      </c>
      <c r="BC499" s="215">
        <f ca="1">IF($D499&lt;&gt;"Serviço",0,IF(AND(AUTOEVENTO="Manual",$M499=1),0,IF(OFFSET(CRONOPLE!$F$14,$M499,BC$13)="",10^12,OFFSET(CRONOPLE!$F$14,$M499,BC$13))))</f>
        <v>1000000000000</v>
      </c>
      <c r="BD499" s="215">
        <f ca="1">IF($D499&lt;&gt;"Serviço",0,IF(AND(AUTOEVENTO="Manual",$M499=1),0,IF(OFFSET(CRONOPLE!$F$14,$M499,BD$13)="",10^12,OFFSET(CRONOPLE!$F$14,$M499,BD$13))))</f>
        <v>1000000000000</v>
      </c>
      <c r="BE499" s="215">
        <f ca="1">IF($D499&lt;&gt;"Serviço",0,IF(AND(AUTOEVENTO="Manual",$M499=1),0,IF(OFFSET(CRONOPLE!$F$14,$M499,BE$13)="",10^12,OFFSET(CRONOPLE!$F$14,$M499,BE$13))))</f>
        <v>1000000000000</v>
      </c>
      <c r="BF499" s="215">
        <f ca="1">IF($D499&lt;&gt;"Serviço",0,IF(AND(AUTOEVENTO="Manual",$M499=1),0,IF(OFFSET(CRONOPLE!$F$14,$M499,BF$13)="",10^12,OFFSET(CRONOPLE!$F$14,$M499,BF$13))))</f>
        <v>1000000000000</v>
      </c>
      <c r="BG499" s="215">
        <f ca="1">IF($D499&lt;&gt;"Serviço",0,IF(AND(AUTOEVENTO="Manual",$M499=1),0,IF(OFFSET(CRONOPLE!$F$14,$M499,BG$13)="",10^12,OFFSET(CRONOPLE!$F$14,$M499,BG$13))))</f>
        <v>1000000000000</v>
      </c>
      <c r="BH499" s="215">
        <f ca="1">IF($D499&lt;&gt;"Serviço",0,IF(AND(AUTOEVENTO="Manual",$M499=1),0,IF(OFFSET(CRONOPLE!$F$14,$M499,BH$13)="",10^12,OFFSET(CRONOPLE!$F$14,$M499,BH$13))))</f>
        <v>1000000000000</v>
      </c>
      <c r="BI499" s="215">
        <f ca="1">IF($D499&lt;&gt;"Serviço",0,IF(AND(AUTOEVENTO="Manual",$M499=1),0,IF(OFFSET(CRONOPLE!$F$14,$M499,BI$13)="",10^12,OFFSET(CRONOPLE!$F$14,$M499,BI$13))))</f>
        <v>1000000000000</v>
      </c>
      <c r="BJ499" s="215">
        <f ca="1">IF($D499&lt;&gt;"Serviço",0,IF(AND(AUTOEVENTO="Manual",$M499=1),0,IF(OFFSET(CRONOPLE!$F$14,$M499,BJ$13)="",10^12,OFFSET(CRONOPLE!$F$14,$M499,BJ$13))))</f>
        <v>1000000000000</v>
      </c>
      <c r="BK499" s="215">
        <f ca="1">IF($D499&lt;&gt;"Serviço",0,IF(AND(AUTOEVENTO="Manual",$M499=1),0,IF(OFFSET(CRONOPLE!$F$14,$M499,BK$13)="",10^12,OFFSET(CRONOPLE!$F$14,$M499,BK$13))))</f>
        <v>1000000000000</v>
      </c>
      <c r="BL499" s="215">
        <f ca="1">IF($D499&lt;&gt;"Serviço",0,IF(AND(AUTOEVENTO="Manual",$M499=1),0,IF(OFFSET(CRONOPLE!$F$14,$M499,BL$13)="",10^12,OFFSET(CRONOPLE!$F$14,$M499,BL$13))))</f>
        <v>1000000000000</v>
      </c>
      <c r="BM499" s="215">
        <f ca="1">IF($D499&lt;&gt;"Serviço",0,IF(AND(AUTOEVENTO="Manual",$M499=1),0,IF(OFFSET(CRONOPLE!$F$14,$M499,BM$13)="",10^12,OFFSET(CRONOPLE!$F$14,$M499,BM$13))))</f>
        <v>1000000000000</v>
      </c>
      <c r="BN499" s="215">
        <f ca="1">IF($D499&lt;&gt;"Serviço",0,IF(AND(AUTOEVENTO="Manual",$M499=1),0,IF(OFFSET(CRONOPLE!$F$14,$M499,BN$13)="",10^12,OFFSET(CRONOPLE!$F$14,$M499,BN$13))))</f>
        <v>1000000000000</v>
      </c>
      <c r="BO499" s="215">
        <f ca="1">IF($D499&lt;&gt;"Serviço",0,IF(AND(AUTOEVENTO="Manual",$M499=1),0,IF(OFFSET(CRONOPLE!$F$14,$M499,BO$13)="",10^12,OFFSET(CRONOPLE!$F$14,$M499,BO$13))))</f>
        <v>1000000000000</v>
      </c>
      <c r="BP499" s="215">
        <f ca="1">IF($D499&lt;&gt;"Serviço",0,IF(AND(AUTOEVENTO="Manual",$M499=1),0,IF(OFFSET(CRONOPLE!$F$14,$M499,BP$13)="",10^12,OFFSET(CRONOPLE!$F$14,$M499,BP$13))))</f>
        <v>1000000000000</v>
      </c>
      <c r="BQ499" s="215">
        <f ca="1">IF($D499&lt;&gt;"Serviço",0,IF(AND(AUTOEVENTO="Manual",$M499=1),0,IF(OFFSET(CRONOPLE!$F$14,$M499,BQ$13)="",10^12,OFFSET(CRONOPLE!$F$14,$M499,BQ$13))))</f>
        <v>1000000000000</v>
      </c>
      <c r="BR499" s="215">
        <f ca="1">IF($D499&lt;&gt;"Serviço",0,IF(AND(AUTOEVENTO="Manual",$M499=1),0,IF(OFFSET(CRONOPLE!$F$14,$M499,BR$13)="",10^12,OFFSET(CRONOPLE!$F$14,$M499,BR$13))))</f>
        <v>1000000000000</v>
      </c>
      <c r="BS499" s="215">
        <f ca="1">IF($D499&lt;&gt;"Serviço",0,IF(AND(AUTOEVENTO="Manual",$M499=1),0,IF(OFFSET(CRONOPLE!$F$14,$M499,BS$13)="",10^12,OFFSET(CRONOPLE!$F$14,$M499,BS$13))))</f>
        <v>1000000000000</v>
      </c>
      <c r="BT499" s="215">
        <f ca="1">IF($D499&lt;&gt;"Serviço",0,IF(AND(AUTOEVENTO="Manual",$M499=1),0,IF(OFFSET(CRONOPLE!$F$14,$M499,BT$13)="",10^12,OFFSET(CRONOPLE!$F$14,$M499,BT$13))))</f>
        <v>1000000000000</v>
      </c>
      <c r="BV499" s="216">
        <f ca="1">IF($D499&lt;&gt;"Serviço",0,IF(OR(AND(AUTOEVENTO="Manual",$M499=1),$M499&gt;(ROW(PLE.lastrow)-ROW(PLE.firstrow))),0,IF(OFFSET(PLE!$G$14,$M499,BV$13)="",10^12,OFFSET(PLE!$G$14,$M499,BV$13))))</f>
        <v>1000000000000</v>
      </c>
      <c r="BW499" s="216">
        <f ca="1">IF($D499&lt;&gt;"Serviço",0,IF(OR(AND(AUTOEVENTO="Manual",$M499=1),$M499&gt;(ROW(PLE.lastrow)-ROW(PLE.firstrow))),0,IF(OFFSET(PLE!$G$14,$M499,BW$13)="",10^12,OFFSET(PLE!$G$14,$M499,BW$13))))</f>
        <v>1000000000000</v>
      </c>
      <c r="BX499" s="216">
        <f ca="1">IF($D499&lt;&gt;"Serviço",0,IF(OR(AND(AUTOEVENTO="Manual",$M499=1),$M499&gt;(ROW(PLE.lastrow)-ROW(PLE.firstrow))),0,IF(OFFSET(PLE!$G$14,$M499,BX$13)="",10^12,OFFSET(PLE!$G$14,$M499,BX$13))))</f>
        <v>1000000000000</v>
      </c>
      <c r="BY499" s="216">
        <f ca="1">IF($D499&lt;&gt;"Serviço",0,IF(OR(AND(AUTOEVENTO="Manual",$M499=1),$M499&gt;(ROW(PLE.lastrow)-ROW(PLE.firstrow))),0,IF(OFFSET(PLE!$G$14,$M499,BY$13)="",10^12,OFFSET(PLE!$G$14,$M499,BY$13))))</f>
        <v>1000000000000</v>
      </c>
      <c r="BZ499" s="216">
        <f ca="1">IF($D499&lt;&gt;"Serviço",0,IF(OR(AND(AUTOEVENTO="Manual",$M499=1),$M499&gt;(ROW(PLE.lastrow)-ROW(PLE.firstrow))),0,IF(OFFSET(PLE!$G$14,$M499,BZ$13)="",10^12,OFFSET(PLE!$G$14,$M499,BZ$13))))</f>
        <v>1000000000000</v>
      </c>
      <c r="CA499" s="216">
        <f ca="1">IF($D499&lt;&gt;"Serviço",0,IF(OR(AND(AUTOEVENTO="Manual",$M499=1),$M499&gt;(ROW(PLE.lastrow)-ROW(PLE.firstrow))),0,IF(OFFSET(PLE!$G$14,$M499,CA$13)="",10^12,OFFSET(PLE!$G$14,$M499,CA$13))))</f>
        <v>1000000000000</v>
      </c>
      <c r="CB499" s="216">
        <f ca="1">IF($D499&lt;&gt;"Serviço",0,IF(OR(AND(AUTOEVENTO="Manual",$M499=1),$M499&gt;(ROW(PLE.lastrow)-ROW(PLE.firstrow))),0,IF(OFFSET(PLE!$G$14,$M499,CB$13)="",10^12,OFFSET(PLE!$G$14,$M499,CB$13))))</f>
        <v>1000000000000</v>
      </c>
      <c r="CC499" s="216">
        <f ca="1">IF($D499&lt;&gt;"Serviço",0,IF(OR(AND(AUTOEVENTO="Manual",$M499=1),$M499&gt;(ROW(PLE.lastrow)-ROW(PLE.firstrow))),0,IF(OFFSET(PLE!$G$14,$M499,CC$13)="",10^12,OFFSET(PLE!$G$14,$M499,CC$13))))</f>
        <v>1000000000000</v>
      </c>
      <c r="CD499" s="216">
        <f ca="1">IF($D499&lt;&gt;"Serviço",0,IF(OR(AND(AUTOEVENTO="Manual",$M499=1),$M499&gt;(ROW(PLE.lastrow)-ROW(PLE.firstrow))),0,IF(OFFSET(PLE!$G$14,$M499,CD$13)="",10^12,OFFSET(PLE!$G$14,$M499,CD$13))))</f>
        <v>1000000000000</v>
      </c>
      <c r="CE499" s="216">
        <f ca="1">IF($D499&lt;&gt;"Serviço",0,IF(OR(AND(AUTOEVENTO="Manual",$M499=1),$M499&gt;(ROW(PLE.lastrow)-ROW(PLE.firstrow))),0,IF(OFFSET(PLE!$G$14,$M499,CE$13)="",10^12,OFFSET(PLE!$G$14,$M499,CE$13))))</f>
        <v>1000000000000</v>
      </c>
      <c r="CF499" s="216">
        <f ca="1">IF($D499&lt;&gt;"Serviço",0,IF(OR(AND(AUTOEVENTO="Manual",$M499=1),$M499&gt;(ROW(PLE.lastrow)-ROW(PLE.firstrow))),0,IF(OFFSET(PLE!$G$14,$M499,CF$13)="",10^12,OFFSET(PLE!$G$14,$M499,CF$13))))</f>
        <v>1000000000000</v>
      </c>
      <c r="CG499" s="216">
        <f ca="1">IF($D499&lt;&gt;"Serviço",0,IF(OR(AND(AUTOEVENTO="Manual",$M499=1),$M499&gt;(ROW(PLE.lastrow)-ROW(PLE.firstrow))),0,IF(OFFSET(PLE!$G$14,$M499,CG$13)="",10^12,OFFSET(PLE!$G$14,$M499,CG$13))))</f>
        <v>1000000000000</v>
      </c>
      <c r="CH499" s="216">
        <f ca="1">IF($D499&lt;&gt;"Serviço",0,IF(OR(AND(AUTOEVENTO="Manual",$M499=1),$M499&gt;(ROW(PLE.lastrow)-ROW(PLE.firstrow))),0,IF(OFFSET(PLE!$G$14,$M499,CH$13)="",10^12,OFFSET(PLE!$G$14,$M499,CH$13))))</f>
        <v>1000000000000</v>
      </c>
      <c r="CI499" s="216">
        <f ca="1">IF($D499&lt;&gt;"Serviço",0,IF(OR(AND(AUTOEVENTO="Manual",$M499=1),$M499&gt;(ROW(PLE.lastrow)-ROW(PLE.firstrow))),0,IF(OFFSET(PLE!$G$14,$M499,CI$13)="",10^12,OFFSET(PLE!$G$14,$M499,CI$13))))</f>
        <v>1000000000000</v>
      </c>
      <c r="CJ499" s="216">
        <f ca="1">IF($D499&lt;&gt;"Serviço",0,IF(OR(AND(AUTOEVENTO="Manual",$M499=1),$M499&gt;(ROW(PLE.lastrow)-ROW(PLE.firstrow))),0,IF(OFFSET(PLE!$G$14,$M499,CJ$13)="",10^12,OFFSET(PLE!$G$14,$M499,CJ$13))))</f>
        <v>1000000000000</v>
      </c>
      <c r="CK499" s="216">
        <f ca="1">IF($D499&lt;&gt;"Serviço",0,IF(OR(AND(AUTOEVENTO="Manual",$M499=1),$M499&gt;(ROW(PLE.lastrow)-ROW(PLE.firstrow))),0,IF(OFFSET(PLE!$G$14,$M499,CK$13)="",10^12,OFFSET(PLE!$G$14,$M499,CK$13))))</f>
        <v>1000000000000</v>
      </c>
      <c r="CL499" s="216">
        <f ca="1">IF($D499&lt;&gt;"Serviço",0,IF(OR(AND(AUTOEVENTO="Manual",$M499=1),$M499&gt;(ROW(PLE.lastrow)-ROW(PLE.firstrow))),0,IF(OFFSET(PLE!$G$14,$M499,CL$13)="",10^12,OFFSET(PLE!$G$14,$M499,CL$13))))</f>
        <v>1000000000000</v>
      </c>
      <c r="CM499" s="216">
        <f ca="1">IF($D499&lt;&gt;"Serviço",0,IF(OR(AND(AUTOEVENTO="Manual",$M499=1),$M499&gt;(ROW(PLE.lastrow)-ROW(PLE.firstrow))),0,IF(OFFSET(PLE!$G$14,$M499,CM$13)="",10^12,OFFSET(PLE!$G$14,$M499,CM$13))))</f>
        <v>1000000000000</v>
      </c>
    </row>
    <row r="500" spans="1:91" ht="13.2" x14ac:dyDescent="0.25">
      <c r="A500" s="9">
        <f t="shared" ca="1" si="16"/>
        <v>0</v>
      </c>
      <c r="B500" s="9" t="str">
        <f ca="1">OFFSET(ORÇAMENTO!C$15,ROW(B500)-ROW(B$15),0)</f>
        <v>S</v>
      </c>
      <c r="C500" s="9" t="str">
        <f ca="1">OFFSET(ORÇAMENTO!L$15,ROW(C500)-ROW(C$15),0)</f>
        <v/>
      </c>
      <c r="D500" s="145" t="str">
        <f ca="1">OFFSET(ORÇAMENTO!N$15,ROW(D500)-ROW(D$15),0)</f>
        <v>Serviço</v>
      </c>
      <c r="E500" s="205" t="str">
        <f ca="1">OFFSET(ORÇAMENTO!O$15,ROW(E500)-ROW(E$15),0)</f>
        <v>-</v>
      </c>
      <c r="F500" s="206" t="str">
        <f ca="1">OFFSET(ORÇAMENTO!R$15,ROW(F500)-ROW(F$15),0)</f>
        <v>(abra o arquivo 'Referência 05-2024.xls)</v>
      </c>
      <c r="G500" s="207" t="str">
        <f ca="1">IF($D500&lt;&gt;"Serviço","",OFFSET(ORÇAMENTO!S$15,ROW(G500)-ROW(G$15),0))</f>
        <v>-</v>
      </c>
      <c r="H500" s="151">
        <f ca="1">IF($D500&lt;&gt;"Serviço",0,IF(ACOMPANHAMENTO="BM",ROUND(OFFSET(ORÇAMENTO!AJ$15,ROW(H500)-ROW(H$15),0),15-13*ORÇAMENTO!$AF$7),SUMPRODUCT(($Q$12:$AI$12&lt;&gt;"")*ROUND($Q500:$AI500,15-13*ORÇAMENTO!$AF$7))))</f>
        <v>272.31</v>
      </c>
      <c r="I500" s="650"/>
      <c r="K500" s="208"/>
      <c r="L500" s="209" t="s">
        <v>257</v>
      </c>
      <c r="M500" s="210">
        <f ca="1">IF($D500&lt;&gt;"Serviço","",IF(AUTOEVENTO="manual",$A500,IF(ISERROR(MATCH($A500,$A$15:OFFSET($A500,-1,0),0)),MAX($M$15:OFFSET(M500,-1,0))+1,INDEX($M$15:OFFSET(M500,-1,0),MATCH($A500,$A$15:OFFSET($A500,-1,0),0)))))</f>
        <v>0</v>
      </c>
      <c r="N500" s="211" t="str">
        <f ca="1">IF($D500&lt;&gt;"Serviço","",IF(AUTOEVENTO="Manual",IF($A500=0,"&lt;-- defina o número do agrupador",OFFSET(EVENTOS!$D$14,$A500,0)),OFFSET($F$15,$A500,0)))</f>
        <v>&lt;-- defina o número do agrupador</v>
      </c>
      <c r="O500" s="212"/>
      <c r="Q500" s="212"/>
      <c r="R500" s="213"/>
      <c r="S500" s="213"/>
      <c r="T500" s="213"/>
      <c r="U500" s="213"/>
      <c r="V500" s="213"/>
      <c r="W500" s="213"/>
      <c r="X500" s="213"/>
      <c r="Y500" s="213"/>
      <c r="Z500" s="214"/>
      <c r="AA500" s="213"/>
      <c r="AB500" s="213"/>
      <c r="AC500" s="213"/>
      <c r="AD500" s="213"/>
      <c r="AE500" s="213"/>
      <c r="AF500" s="213"/>
      <c r="AG500" s="213"/>
      <c r="AH500" s="214"/>
      <c r="AJ500" s="631">
        <f ca="1">IF(AND($D500="Serviço",AJ$12&lt;&gt;0,$H500&gt;0,OR(AUTOEVENTO&lt;&gt;"manual",$M500&lt;&gt;1)),ROUND(OFFSET($P500,0,AJ$13),15-13*ORÇAMENTO!$AF$7)/$H500*OFFSET(ORÇAMENTO!$X$15,ROW(AJ500)-ROW(AJ$15),0),0)</f>
        <v>0</v>
      </c>
      <c r="AK500" s="632">
        <f ca="1">IF(AND($D500="Serviço",AK$12&lt;&gt;0,$H500&gt;0,OR(AUTOEVENTO&lt;&gt;"manual",$M500&lt;&gt;1)),ROUND(OFFSET($P500,0,AK$13),15-13*ORÇAMENTO!$AF$7)/$H500*OFFSET(ORÇAMENTO!$X$15,ROW(AK500)-ROW(AK$15),0),0)</f>
        <v>0</v>
      </c>
      <c r="AL500" s="632">
        <f ca="1">IF(AND($D500="Serviço",AL$12&lt;&gt;0,$H500&gt;0,OR(AUTOEVENTO&lt;&gt;"manual",$M500&lt;&gt;1)),ROUND(OFFSET($P500,0,AL$13),15-13*ORÇAMENTO!$AF$7)/$H500*OFFSET(ORÇAMENTO!$X$15,ROW(AL500)-ROW(AL$15),0),0)</f>
        <v>0</v>
      </c>
      <c r="AM500" s="632">
        <f ca="1">IF(AND($D500="Serviço",AM$12&lt;&gt;0,$H500&gt;0,OR(AUTOEVENTO&lt;&gt;"manual",$M500&lt;&gt;1)),ROUND(OFFSET($P500,0,AM$13),15-13*ORÇAMENTO!$AF$7)/$H500*OFFSET(ORÇAMENTO!$X$15,ROW(AM500)-ROW(AM$15),0),0)</f>
        <v>0</v>
      </c>
      <c r="AN500" s="632">
        <f ca="1">IF(AND($D500="Serviço",AN$12&lt;&gt;0,$H500&gt;0,OR(AUTOEVENTO&lt;&gt;"manual",$M500&lt;&gt;1)),ROUND(OFFSET($P500,0,AN$13),15-13*ORÇAMENTO!$AF$7)/$H500*OFFSET(ORÇAMENTO!$X$15,ROW(AN500)-ROW(AN$15),0),0)</f>
        <v>0</v>
      </c>
      <c r="AO500" s="632">
        <f ca="1">IF(AND($D500="Serviço",AO$12&lt;&gt;0,$H500&gt;0,OR(AUTOEVENTO&lt;&gt;"manual",$M500&lt;&gt;1)),ROUND(OFFSET($P500,0,AO$13),15-13*ORÇAMENTO!$AF$7)/$H500*OFFSET(ORÇAMENTO!$X$15,ROW(AO500)-ROW(AO$15),0),0)</f>
        <v>0</v>
      </c>
      <c r="AP500" s="632">
        <f ca="1">IF(AND($D500="Serviço",AP$12&lt;&gt;0,$H500&gt;0,OR(AUTOEVENTO&lt;&gt;"manual",$M500&lt;&gt;1)),ROUND(OFFSET($P500,0,AP$13),15-13*ORÇAMENTO!$AF$7)/$H500*OFFSET(ORÇAMENTO!$X$15,ROW(AP500)-ROW(AP$15),0),0)</f>
        <v>0</v>
      </c>
      <c r="AQ500" s="632">
        <f ca="1">IF(AND($D500="Serviço",AQ$12&lt;&gt;0,$H500&gt;0,OR(AUTOEVENTO&lt;&gt;"manual",$M500&lt;&gt;1)),ROUND(OFFSET($P500,0,AQ$13),15-13*ORÇAMENTO!$AF$7)/$H500*OFFSET(ORÇAMENTO!$X$15,ROW(AQ500)-ROW(AQ$15),0),0)</f>
        <v>0</v>
      </c>
      <c r="AR500" s="632">
        <f ca="1">IF(AND($D500="Serviço",AR$12&lt;&gt;0,$H500&gt;0,OR(AUTOEVENTO&lt;&gt;"manual",$M500&lt;&gt;1)),ROUND(OFFSET($P500,0,AR$13),15-13*ORÇAMENTO!$AF$7)/$H500*OFFSET(ORÇAMENTO!$X$15,ROW(AR500)-ROW(AR$15),0),0)</f>
        <v>0</v>
      </c>
      <c r="AS500" s="633">
        <f ca="1">IF(AND($D500="Serviço",AS$12&lt;&gt;0,$H500&gt;0,OR(AUTOEVENTO&lt;&gt;"manual",$M500&lt;&gt;1)),ROUND(OFFSET($P500,0,AS$13),15-13*ORÇAMENTO!$AF$7)/$H500*OFFSET(ORÇAMENTO!$X$15,ROW(AS500)-ROW(AS$15),0),0)</f>
        <v>0</v>
      </c>
      <c r="AT500" s="632">
        <f ca="1">IF(AND($D500="Serviço",AT$12&lt;&gt;0,$H500&gt;0,OR(AUTOEVENTO&lt;&gt;"manual",$M500&lt;&gt;1)),ROUND(OFFSET($P500,0,AT$13),15-13*ORÇAMENTO!$AF$7)/$H500*OFFSET(ORÇAMENTO!$X$15,ROW(AT500)-ROW(AT$15),0),0)</f>
        <v>0</v>
      </c>
      <c r="AU500" s="632">
        <f ca="1">IF(AND($D500="Serviço",AU$12&lt;&gt;0,$H500&gt;0,OR(AUTOEVENTO&lt;&gt;"manual",$M500&lt;&gt;1)),ROUND(OFFSET($P500,0,AU$13),15-13*ORÇAMENTO!$AF$7)/$H500*OFFSET(ORÇAMENTO!$X$15,ROW(AU500)-ROW(AU$15),0),0)</f>
        <v>0</v>
      </c>
      <c r="AV500" s="632">
        <f ca="1">IF(AND($D500="Serviço",AV$12&lt;&gt;0,$H500&gt;0,OR(AUTOEVENTO&lt;&gt;"manual",$M500&lt;&gt;1)),ROUND(OFFSET($P500,0,AV$13),15-13*ORÇAMENTO!$AF$7)/$H500*OFFSET(ORÇAMENTO!$X$15,ROW(AV500)-ROW(AV$15),0),0)</f>
        <v>0</v>
      </c>
      <c r="AW500" s="632">
        <f ca="1">IF(AND($D500="Serviço",AW$12&lt;&gt;0,$H500&gt;0,OR(AUTOEVENTO&lt;&gt;"manual",$M500&lt;&gt;1)),ROUND(OFFSET($P500,0,AW$13),15-13*ORÇAMENTO!$AF$7)/$H500*OFFSET(ORÇAMENTO!$X$15,ROW(AW500)-ROW(AW$15),0),0)</f>
        <v>0</v>
      </c>
      <c r="AX500" s="632">
        <f ca="1">IF(AND($D500="Serviço",AX$12&lt;&gt;0,$H500&gt;0,OR(AUTOEVENTO&lt;&gt;"manual",$M500&lt;&gt;1)),ROUND(OFFSET($P500,0,AX$13),15-13*ORÇAMENTO!$AF$7)/$H500*OFFSET(ORÇAMENTO!$X$15,ROW(AX500)-ROW(AX$15),0),0)</f>
        <v>0</v>
      </c>
      <c r="AY500" s="632">
        <f ca="1">IF(AND($D500="Serviço",AY$12&lt;&gt;0,$H500&gt;0,OR(AUTOEVENTO&lt;&gt;"manual",$M500&lt;&gt;1)),ROUND(OFFSET($P500,0,AY$13),15-13*ORÇAMENTO!$AF$7)/$H500*OFFSET(ORÇAMENTO!$X$15,ROW(AY500)-ROW(AY$15),0),0)</f>
        <v>0</v>
      </c>
      <c r="AZ500" s="632">
        <f ca="1">IF(AND($D500="Serviço",AZ$12&lt;&gt;0,$H500&gt;0,OR(AUTOEVENTO&lt;&gt;"manual",$M500&lt;&gt;1)),ROUND(OFFSET($P500,0,AZ$13),15-13*ORÇAMENTO!$AF$7)/$H500*OFFSET(ORÇAMENTO!$X$15,ROW(AZ500)-ROW(AZ$15),0),0)</f>
        <v>0</v>
      </c>
      <c r="BA500" s="633">
        <f ca="1">IF(AND($D500="Serviço",BA$12&lt;&gt;0,$H500&gt;0,OR(AUTOEVENTO&lt;&gt;"manual",$M500&lt;&gt;1)),ROUND(OFFSET($P500,0,BA$13),15-13*ORÇAMENTO!$AF$7)/$H500*OFFSET(ORÇAMENTO!$X$15,ROW(BA500)-ROW(BA$15),0),0)</f>
        <v>0</v>
      </c>
      <c r="BC500" s="215">
        <f ca="1">IF($D500&lt;&gt;"Serviço",0,IF(AND(AUTOEVENTO="Manual",$M500=1),0,IF(OFFSET(CRONOPLE!$F$14,$M500,BC$13)="",10^12,OFFSET(CRONOPLE!$F$14,$M500,BC$13))))</f>
        <v>1000000000000</v>
      </c>
      <c r="BD500" s="215">
        <f ca="1">IF($D500&lt;&gt;"Serviço",0,IF(AND(AUTOEVENTO="Manual",$M500=1),0,IF(OFFSET(CRONOPLE!$F$14,$M500,BD$13)="",10^12,OFFSET(CRONOPLE!$F$14,$M500,BD$13))))</f>
        <v>1000000000000</v>
      </c>
      <c r="BE500" s="215">
        <f ca="1">IF($D500&lt;&gt;"Serviço",0,IF(AND(AUTOEVENTO="Manual",$M500=1),0,IF(OFFSET(CRONOPLE!$F$14,$M500,BE$13)="",10^12,OFFSET(CRONOPLE!$F$14,$M500,BE$13))))</f>
        <v>1000000000000</v>
      </c>
      <c r="BF500" s="215">
        <f ca="1">IF($D500&lt;&gt;"Serviço",0,IF(AND(AUTOEVENTO="Manual",$M500=1),0,IF(OFFSET(CRONOPLE!$F$14,$M500,BF$13)="",10^12,OFFSET(CRONOPLE!$F$14,$M500,BF$13))))</f>
        <v>1000000000000</v>
      </c>
      <c r="BG500" s="215">
        <f ca="1">IF($D500&lt;&gt;"Serviço",0,IF(AND(AUTOEVENTO="Manual",$M500=1),0,IF(OFFSET(CRONOPLE!$F$14,$M500,BG$13)="",10^12,OFFSET(CRONOPLE!$F$14,$M500,BG$13))))</f>
        <v>1000000000000</v>
      </c>
      <c r="BH500" s="215">
        <f ca="1">IF($D500&lt;&gt;"Serviço",0,IF(AND(AUTOEVENTO="Manual",$M500=1),0,IF(OFFSET(CRONOPLE!$F$14,$M500,BH$13)="",10^12,OFFSET(CRONOPLE!$F$14,$M500,BH$13))))</f>
        <v>1000000000000</v>
      </c>
      <c r="BI500" s="215">
        <f ca="1">IF($D500&lt;&gt;"Serviço",0,IF(AND(AUTOEVENTO="Manual",$M500=1),0,IF(OFFSET(CRONOPLE!$F$14,$M500,BI$13)="",10^12,OFFSET(CRONOPLE!$F$14,$M500,BI$13))))</f>
        <v>1000000000000</v>
      </c>
      <c r="BJ500" s="215">
        <f ca="1">IF($D500&lt;&gt;"Serviço",0,IF(AND(AUTOEVENTO="Manual",$M500=1),0,IF(OFFSET(CRONOPLE!$F$14,$M500,BJ$13)="",10^12,OFFSET(CRONOPLE!$F$14,$M500,BJ$13))))</f>
        <v>1000000000000</v>
      </c>
      <c r="BK500" s="215">
        <f ca="1">IF($D500&lt;&gt;"Serviço",0,IF(AND(AUTOEVENTO="Manual",$M500=1),0,IF(OFFSET(CRONOPLE!$F$14,$M500,BK$13)="",10^12,OFFSET(CRONOPLE!$F$14,$M500,BK$13))))</f>
        <v>1000000000000</v>
      </c>
      <c r="BL500" s="215">
        <f ca="1">IF($D500&lt;&gt;"Serviço",0,IF(AND(AUTOEVENTO="Manual",$M500=1),0,IF(OFFSET(CRONOPLE!$F$14,$M500,BL$13)="",10^12,OFFSET(CRONOPLE!$F$14,$M500,BL$13))))</f>
        <v>1000000000000</v>
      </c>
      <c r="BM500" s="215">
        <f ca="1">IF($D500&lt;&gt;"Serviço",0,IF(AND(AUTOEVENTO="Manual",$M500=1),0,IF(OFFSET(CRONOPLE!$F$14,$M500,BM$13)="",10^12,OFFSET(CRONOPLE!$F$14,$M500,BM$13))))</f>
        <v>1000000000000</v>
      </c>
      <c r="BN500" s="215">
        <f ca="1">IF($D500&lt;&gt;"Serviço",0,IF(AND(AUTOEVENTO="Manual",$M500=1),0,IF(OFFSET(CRONOPLE!$F$14,$M500,BN$13)="",10^12,OFFSET(CRONOPLE!$F$14,$M500,BN$13))))</f>
        <v>1000000000000</v>
      </c>
      <c r="BO500" s="215">
        <f ca="1">IF($D500&lt;&gt;"Serviço",0,IF(AND(AUTOEVENTO="Manual",$M500=1),0,IF(OFFSET(CRONOPLE!$F$14,$M500,BO$13)="",10^12,OFFSET(CRONOPLE!$F$14,$M500,BO$13))))</f>
        <v>1000000000000</v>
      </c>
      <c r="BP500" s="215">
        <f ca="1">IF($D500&lt;&gt;"Serviço",0,IF(AND(AUTOEVENTO="Manual",$M500=1),0,IF(OFFSET(CRONOPLE!$F$14,$M500,BP$13)="",10^12,OFFSET(CRONOPLE!$F$14,$M500,BP$13))))</f>
        <v>1000000000000</v>
      </c>
      <c r="BQ500" s="215">
        <f ca="1">IF($D500&lt;&gt;"Serviço",0,IF(AND(AUTOEVENTO="Manual",$M500=1),0,IF(OFFSET(CRONOPLE!$F$14,$M500,BQ$13)="",10^12,OFFSET(CRONOPLE!$F$14,$M500,BQ$13))))</f>
        <v>1000000000000</v>
      </c>
      <c r="BR500" s="215">
        <f ca="1">IF($D500&lt;&gt;"Serviço",0,IF(AND(AUTOEVENTO="Manual",$M500=1),0,IF(OFFSET(CRONOPLE!$F$14,$M500,BR$13)="",10^12,OFFSET(CRONOPLE!$F$14,$M500,BR$13))))</f>
        <v>1000000000000</v>
      </c>
      <c r="BS500" s="215">
        <f ca="1">IF($D500&lt;&gt;"Serviço",0,IF(AND(AUTOEVENTO="Manual",$M500=1),0,IF(OFFSET(CRONOPLE!$F$14,$M500,BS$13)="",10^12,OFFSET(CRONOPLE!$F$14,$M500,BS$13))))</f>
        <v>1000000000000</v>
      </c>
      <c r="BT500" s="215">
        <f ca="1">IF($D500&lt;&gt;"Serviço",0,IF(AND(AUTOEVENTO="Manual",$M500=1),0,IF(OFFSET(CRONOPLE!$F$14,$M500,BT$13)="",10^12,OFFSET(CRONOPLE!$F$14,$M500,BT$13))))</f>
        <v>1000000000000</v>
      </c>
      <c r="BV500" s="216">
        <f ca="1">IF($D500&lt;&gt;"Serviço",0,IF(OR(AND(AUTOEVENTO="Manual",$M500=1),$M500&gt;(ROW(PLE.lastrow)-ROW(PLE.firstrow))),0,IF(OFFSET(PLE!$G$14,$M500,BV$13)="",10^12,OFFSET(PLE!$G$14,$M500,BV$13))))</f>
        <v>1000000000000</v>
      </c>
      <c r="BW500" s="216">
        <f ca="1">IF($D500&lt;&gt;"Serviço",0,IF(OR(AND(AUTOEVENTO="Manual",$M500=1),$M500&gt;(ROW(PLE.lastrow)-ROW(PLE.firstrow))),0,IF(OFFSET(PLE!$G$14,$M500,BW$13)="",10^12,OFFSET(PLE!$G$14,$M500,BW$13))))</f>
        <v>1000000000000</v>
      </c>
      <c r="BX500" s="216">
        <f ca="1">IF($D500&lt;&gt;"Serviço",0,IF(OR(AND(AUTOEVENTO="Manual",$M500=1),$M500&gt;(ROW(PLE.lastrow)-ROW(PLE.firstrow))),0,IF(OFFSET(PLE!$G$14,$M500,BX$13)="",10^12,OFFSET(PLE!$G$14,$M500,BX$13))))</f>
        <v>1000000000000</v>
      </c>
      <c r="BY500" s="216">
        <f ca="1">IF($D500&lt;&gt;"Serviço",0,IF(OR(AND(AUTOEVENTO="Manual",$M500=1),$M500&gt;(ROW(PLE.lastrow)-ROW(PLE.firstrow))),0,IF(OFFSET(PLE!$G$14,$M500,BY$13)="",10^12,OFFSET(PLE!$G$14,$M500,BY$13))))</f>
        <v>1000000000000</v>
      </c>
      <c r="BZ500" s="216">
        <f ca="1">IF($D500&lt;&gt;"Serviço",0,IF(OR(AND(AUTOEVENTO="Manual",$M500=1),$M500&gt;(ROW(PLE.lastrow)-ROW(PLE.firstrow))),0,IF(OFFSET(PLE!$G$14,$M500,BZ$13)="",10^12,OFFSET(PLE!$G$14,$M500,BZ$13))))</f>
        <v>1000000000000</v>
      </c>
      <c r="CA500" s="216">
        <f ca="1">IF($D500&lt;&gt;"Serviço",0,IF(OR(AND(AUTOEVENTO="Manual",$M500=1),$M500&gt;(ROW(PLE.lastrow)-ROW(PLE.firstrow))),0,IF(OFFSET(PLE!$G$14,$M500,CA$13)="",10^12,OFFSET(PLE!$G$14,$M500,CA$13))))</f>
        <v>1000000000000</v>
      </c>
      <c r="CB500" s="216">
        <f ca="1">IF($D500&lt;&gt;"Serviço",0,IF(OR(AND(AUTOEVENTO="Manual",$M500=1),$M500&gt;(ROW(PLE.lastrow)-ROW(PLE.firstrow))),0,IF(OFFSET(PLE!$G$14,$M500,CB$13)="",10^12,OFFSET(PLE!$G$14,$M500,CB$13))))</f>
        <v>1000000000000</v>
      </c>
      <c r="CC500" s="216">
        <f ca="1">IF($D500&lt;&gt;"Serviço",0,IF(OR(AND(AUTOEVENTO="Manual",$M500=1),$M500&gt;(ROW(PLE.lastrow)-ROW(PLE.firstrow))),0,IF(OFFSET(PLE!$G$14,$M500,CC$13)="",10^12,OFFSET(PLE!$G$14,$M500,CC$13))))</f>
        <v>1000000000000</v>
      </c>
      <c r="CD500" s="216">
        <f ca="1">IF($D500&lt;&gt;"Serviço",0,IF(OR(AND(AUTOEVENTO="Manual",$M500=1),$M500&gt;(ROW(PLE.lastrow)-ROW(PLE.firstrow))),0,IF(OFFSET(PLE!$G$14,$M500,CD$13)="",10^12,OFFSET(PLE!$G$14,$M500,CD$13))))</f>
        <v>1000000000000</v>
      </c>
      <c r="CE500" s="216">
        <f ca="1">IF($D500&lt;&gt;"Serviço",0,IF(OR(AND(AUTOEVENTO="Manual",$M500=1),$M500&gt;(ROW(PLE.lastrow)-ROW(PLE.firstrow))),0,IF(OFFSET(PLE!$G$14,$M500,CE$13)="",10^12,OFFSET(PLE!$G$14,$M500,CE$13))))</f>
        <v>1000000000000</v>
      </c>
      <c r="CF500" s="216">
        <f ca="1">IF($D500&lt;&gt;"Serviço",0,IF(OR(AND(AUTOEVENTO="Manual",$M500=1),$M500&gt;(ROW(PLE.lastrow)-ROW(PLE.firstrow))),0,IF(OFFSET(PLE!$G$14,$M500,CF$13)="",10^12,OFFSET(PLE!$G$14,$M500,CF$13))))</f>
        <v>1000000000000</v>
      </c>
      <c r="CG500" s="216">
        <f ca="1">IF($D500&lt;&gt;"Serviço",0,IF(OR(AND(AUTOEVENTO="Manual",$M500=1),$M500&gt;(ROW(PLE.lastrow)-ROW(PLE.firstrow))),0,IF(OFFSET(PLE!$G$14,$M500,CG$13)="",10^12,OFFSET(PLE!$G$14,$M500,CG$13))))</f>
        <v>1000000000000</v>
      </c>
      <c r="CH500" s="216">
        <f ca="1">IF($D500&lt;&gt;"Serviço",0,IF(OR(AND(AUTOEVENTO="Manual",$M500=1),$M500&gt;(ROW(PLE.lastrow)-ROW(PLE.firstrow))),0,IF(OFFSET(PLE!$G$14,$M500,CH$13)="",10^12,OFFSET(PLE!$G$14,$M500,CH$13))))</f>
        <v>1000000000000</v>
      </c>
      <c r="CI500" s="216">
        <f ca="1">IF($D500&lt;&gt;"Serviço",0,IF(OR(AND(AUTOEVENTO="Manual",$M500=1),$M500&gt;(ROW(PLE.lastrow)-ROW(PLE.firstrow))),0,IF(OFFSET(PLE!$G$14,$M500,CI$13)="",10^12,OFFSET(PLE!$G$14,$M500,CI$13))))</f>
        <v>1000000000000</v>
      </c>
      <c r="CJ500" s="216">
        <f ca="1">IF($D500&lt;&gt;"Serviço",0,IF(OR(AND(AUTOEVENTO="Manual",$M500=1),$M500&gt;(ROW(PLE.lastrow)-ROW(PLE.firstrow))),0,IF(OFFSET(PLE!$G$14,$M500,CJ$13)="",10^12,OFFSET(PLE!$G$14,$M500,CJ$13))))</f>
        <v>1000000000000</v>
      </c>
      <c r="CK500" s="216">
        <f ca="1">IF($D500&lt;&gt;"Serviço",0,IF(OR(AND(AUTOEVENTO="Manual",$M500=1),$M500&gt;(ROW(PLE.lastrow)-ROW(PLE.firstrow))),0,IF(OFFSET(PLE!$G$14,$M500,CK$13)="",10^12,OFFSET(PLE!$G$14,$M500,CK$13))))</f>
        <v>1000000000000</v>
      </c>
      <c r="CL500" s="216">
        <f ca="1">IF($D500&lt;&gt;"Serviço",0,IF(OR(AND(AUTOEVENTO="Manual",$M500=1),$M500&gt;(ROW(PLE.lastrow)-ROW(PLE.firstrow))),0,IF(OFFSET(PLE!$G$14,$M500,CL$13)="",10^12,OFFSET(PLE!$G$14,$M500,CL$13))))</f>
        <v>1000000000000</v>
      </c>
      <c r="CM500" s="216">
        <f ca="1">IF($D500&lt;&gt;"Serviço",0,IF(OR(AND(AUTOEVENTO="Manual",$M500=1),$M500&gt;(ROW(PLE.lastrow)-ROW(PLE.firstrow))),0,IF(OFFSET(PLE!$G$14,$M500,CM$13)="",10^12,OFFSET(PLE!$G$14,$M500,CM$13))))</f>
        <v>1000000000000</v>
      </c>
    </row>
    <row r="501" spans="1:91" ht="13.2" x14ac:dyDescent="0.25">
      <c r="A501" s="9">
        <f t="shared" ca="1" si="16"/>
        <v>0</v>
      </c>
      <c r="B501" s="9" t="str">
        <f ca="1">OFFSET(ORÇAMENTO!C$15,ROW(B501)-ROW(B$15),0)</f>
        <v>S</v>
      </c>
      <c r="C501" s="9" t="str">
        <f ca="1">OFFSET(ORÇAMENTO!L$15,ROW(C501)-ROW(C$15),0)</f>
        <v/>
      </c>
      <c r="D501" s="145" t="str">
        <f ca="1">OFFSET(ORÇAMENTO!N$15,ROW(D501)-ROW(D$15),0)</f>
        <v>Serviço</v>
      </c>
      <c r="E501" s="205" t="str">
        <f ca="1">OFFSET(ORÇAMENTO!O$15,ROW(E501)-ROW(E$15),0)</f>
        <v>-</v>
      </c>
      <c r="F501" s="206" t="str">
        <f ca="1">OFFSET(ORÇAMENTO!R$15,ROW(F501)-ROW(F$15),0)</f>
        <v>(abra o arquivo 'Referência 05-2024.xls)</v>
      </c>
      <c r="G501" s="207" t="str">
        <f ca="1">IF($D501&lt;&gt;"Serviço","",OFFSET(ORÇAMENTO!S$15,ROW(G501)-ROW(G$15),0))</f>
        <v>-</v>
      </c>
      <c r="H501" s="151">
        <f ca="1">IF($D501&lt;&gt;"Serviço",0,IF(ACOMPANHAMENTO="BM",ROUND(OFFSET(ORÇAMENTO!AJ$15,ROW(H501)-ROW(H$15),0),15-13*ORÇAMENTO!$AF$7),SUMPRODUCT(($Q$12:$AI$12&lt;&gt;"")*ROUND($Q501:$AI501,15-13*ORÇAMENTO!$AF$7))))</f>
        <v>13</v>
      </c>
      <c r="I501" s="650"/>
      <c r="K501" s="208"/>
      <c r="L501" s="209" t="s">
        <v>257</v>
      </c>
      <c r="M501" s="210">
        <f ca="1">IF($D501&lt;&gt;"Serviço","",IF(AUTOEVENTO="manual",$A501,IF(ISERROR(MATCH($A501,$A$15:OFFSET($A501,-1,0),0)),MAX($M$15:OFFSET(M501,-1,0))+1,INDEX($M$15:OFFSET(M501,-1,0),MATCH($A501,$A$15:OFFSET($A501,-1,0),0)))))</f>
        <v>0</v>
      </c>
      <c r="N501" s="211" t="str">
        <f ca="1">IF($D501&lt;&gt;"Serviço","",IF(AUTOEVENTO="Manual",IF($A501=0,"&lt;-- defina o número do agrupador",OFFSET(EVENTOS!$D$14,$A501,0)),OFFSET($F$15,$A501,0)))</f>
        <v>&lt;-- defina o número do agrupador</v>
      </c>
      <c r="O501" s="212"/>
      <c r="Q501" s="212"/>
      <c r="R501" s="213"/>
      <c r="S501" s="213"/>
      <c r="T501" s="213"/>
      <c r="U501" s="213"/>
      <c r="V501" s="213"/>
      <c r="W501" s="213"/>
      <c r="X501" s="213"/>
      <c r="Y501" s="213"/>
      <c r="Z501" s="214"/>
      <c r="AA501" s="213"/>
      <c r="AB501" s="213"/>
      <c r="AC501" s="213"/>
      <c r="AD501" s="213"/>
      <c r="AE501" s="213"/>
      <c r="AF501" s="213"/>
      <c r="AG501" s="213"/>
      <c r="AH501" s="214"/>
      <c r="AJ501" s="631">
        <f ca="1">IF(AND($D501="Serviço",AJ$12&lt;&gt;0,$H501&gt;0,OR(AUTOEVENTO&lt;&gt;"manual",$M501&lt;&gt;1)),ROUND(OFFSET($P501,0,AJ$13),15-13*ORÇAMENTO!$AF$7)/$H501*OFFSET(ORÇAMENTO!$X$15,ROW(AJ501)-ROW(AJ$15),0),0)</f>
        <v>0</v>
      </c>
      <c r="AK501" s="632">
        <f ca="1">IF(AND($D501="Serviço",AK$12&lt;&gt;0,$H501&gt;0,OR(AUTOEVENTO&lt;&gt;"manual",$M501&lt;&gt;1)),ROUND(OFFSET($P501,0,AK$13),15-13*ORÇAMENTO!$AF$7)/$H501*OFFSET(ORÇAMENTO!$X$15,ROW(AK501)-ROW(AK$15),0),0)</f>
        <v>0</v>
      </c>
      <c r="AL501" s="632">
        <f ca="1">IF(AND($D501="Serviço",AL$12&lt;&gt;0,$H501&gt;0,OR(AUTOEVENTO&lt;&gt;"manual",$M501&lt;&gt;1)),ROUND(OFFSET($P501,0,AL$13),15-13*ORÇAMENTO!$AF$7)/$H501*OFFSET(ORÇAMENTO!$X$15,ROW(AL501)-ROW(AL$15),0),0)</f>
        <v>0</v>
      </c>
      <c r="AM501" s="632">
        <f ca="1">IF(AND($D501="Serviço",AM$12&lt;&gt;0,$H501&gt;0,OR(AUTOEVENTO&lt;&gt;"manual",$M501&lt;&gt;1)),ROUND(OFFSET($P501,0,AM$13),15-13*ORÇAMENTO!$AF$7)/$H501*OFFSET(ORÇAMENTO!$X$15,ROW(AM501)-ROW(AM$15),0),0)</f>
        <v>0</v>
      </c>
      <c r="AN501" s="632">
        <f ca="1">IF(AND($D501="Serviço",AN$12&lt;&gt;0,$H501&gt;0,OR(AUTOEVENTO&lt;&gt;"manual",$M501&lt;&gt;1)),ROUND(OFFSET($P501,0,AN$13),15-13*ORÇAMENTO!$AF$7)/$H501*OFFSET(ORÇAMENTO!$X$15,ROW(AN501)-ROW(AN$15),0),0)</f>
        <v>0</v>
      </c>
      <c r="AO501" s="632">
        <f ca="1">IF(AND($D501="Serviço",AO$12&lt;&gt;0,$H501&gt;0,OR(AUTOEVENTO&lt;&gt;"manual",$M501&lt;&gt;1)),ROUND(OFFSET($P501,0,AO$13),15-13*ORÇAMENTO!$AF$7)/$H501*OFFSET(ORÇAMENTO!$X$15,ROW(AO501)-ROW(AO$15),0),0)</f>
        <v>0</v>
      </c>
      <c r="AP501" s="632">
        <f ca="1">IF(AND($D501="Serviço",AP$12&lt;&gt;0,$H501&gt;0,OR(AUTOEVENTO&lt;&gt;"manual",$M501&lt;&gt;1)),ROUND(OFFSET($P501,0,AP$13),15-13*ORÇAMENTO!$AF$7)/$H501*OFFSET(ORÇAMENTO!$X$15,ROW(AP501)-ROW(AP$15),0),0)</f>
        <v>0</v>
      </c>
      <c r="AQ501" s="632">
        <f ca="1">IF(AND($D501="Serviço",AQ$12&lt;&gt;0,$H501&gt;0,OR(AUTOEVENTO&lt;&gt;"manual",$M501&lt;&gt;1)),ROUND(OFFSET($P501,0,AQ$13),15-13*ORÇAMENTO!$AF$7)/$H501*OFFSET(ORÇAMENTO!$X$15,ROW(AQ501)-ROW(AQ$15),0),0)</f>
        <v>0</v>
      </c>
      <c r="AR501" s="632">
        <f ca="1">IF(AND($D501="Serviço",AR$12&lt;&gt;0,$H501&gt;0,OR(AUTOEVENTO&lt;&gt;"manual",$M501&lt;&gt;1)),ROUND(OFFSET($P501,0,AR$13),15-13*ORÇAMENTO!$AF$7)/$H501*OFFSET(ORÇAMENTO!$X$15,ROW(AR501)-ROW(AR$15),0),0)</f>
        <v>0</v>
      </c>
      <c r="AS501" s="633">
        <f ca="1">IF(AND($D501="Serviço",AS$12&lt;&gt;0,$H501&gt;0,OR(AUTOEVENTO&lt;&gt;"manual",$M501&lt;&gt;1)),ROUND(OFFSET($P501,0,AS$13),15-13*ORÇAMENTO!$AF$7)/$H501*OFFSET(ORÇAMENTO!$X$15,ROW(AS501)-ROW(AS$15),0),0)</f>
        <v>0</v>
      </c>
      <c r="AT501" s="632">
        <f ca="1">IF(AND($D501="Serviço",AT$12&lt;&gt;0,$H501&gt;0,OR(AUTOEVENTO&lt;&gt;"manual",$M501&lt;&gt;1)),ROUND(OFFSET($P501,0,AT$13),15-13*ORÇAMENTO!$AF$7)/$H501*OFFSET(ORÇAMENTO!$X$15,ROW(AT501)-ROW(AT$15),0),0)</f>
        <v>0</v>
      </c>
      <c r="AU501" s="632">
        <f ca="1">IF(AND($D501="Serviço",AU$12&lt;&gt;0,$H501&gt;0,OR(AUTOEVENTO&lt;&gt;"manual",$M501&lt;&gt;1)),ROUND(OFFSET($P501,0,AU$13),15-13*ORÇAMENTO!$AF$7)/$H501*OFFSET(ORÇAMENTO!$X$15,ROW(AU501)-ROW(AU$15),0),0)</f>
        <v>0</v>
      </c>
      <c r="AV501" s="632">
        <f ca="1">IF(AND($D501="Serviço",AV$12&lt;&gt;0,$H501&gt;0,OR(AUTOEVENTO&lt;&gt;"manual",$M501&lt;&gt;1)),ROUND(OFFSET($P501,0,AV$13),15-13*ORÇAMENTO!$AF$7)/$H501*OFFSET(ORÇAMENTO!$X$15,ROW(AV501)-ROW(AV$15),0),0)</f>
        <v>0</v>
      </c>
      <c r="AW501" s="632">
        <f ca="1">IF(AND($D501="Serviço",AW$12&lt;&gt;0,$H501&gt;0,OR(AUTOEVENTO&lt;&gt;"manual",$M501&lt;&gt;1)),ROUND(OFFSET($P501,0,AW$13),15-13*ORÇAMENTO!$AF$7)/$H501*OFFSET(ORÇAMENTO!$X$15,ROW(AW501)-ROW(AW$15),0),0)</f>
        <v>0</v>
      </c>
      <c r="AX501" s="632">
        <f ca="1">IF(AND($D501="Serviço",AX$12&lt;&gt;0,$H501&gt;0,OR(AUTOEVENTO&lt;&gt;"manual",$M501&lt;&gt;1)),ROUND(OFFSET($P501,0,AX$13),15-13*ORÇAMENTO!$AF$7)/$H501*OFFSET(ORÇAMENTO!$X$15,ROW(AX501)-ROW(AX$15),0),0)</f>
        <v>0</v>
      </c>
      <c r="AY501" s="632">
        <f ca="1">IF(AND($D501="Serviço",AY$12&lt;&gt;0,$H501&gt;0,OR(AUTOEVENTO&lt;&gt;"manual",$M501&lt;&gt;1)),ROUND(OFFSET($P501,0,AY$13),15-13*ORÇAMENTO!$AF$7)/$H501*OFFSET(ORÇAMENTO!$X$15,ROW(AY501)-ROW(AY$15),0),0)</f>
        <v>0</v>
      </c>
      <c r="AZ501" s="632">
        <f ca="1">IF(AND($D501="Serviço",AZ$12&lt;&gt;0,$H501&gt;0,OR(AUTOEVENTO&lt;&gt;"manual",$M501&lt;&gt;1)),ROUND(OFFSET($P501,0,AZ$13),15-13*ORÇAMENTO!$AF$7)/$H501*OFFSET(ORÇAMENTO!$X$15,ROW(AZ501)-ROW(AZ$15),0),0)</f>
        <v>0</v>
      </c>
      <c r="BA501" s="633">
        <f ca="1">IF(AND($D501="Serviço",BA$12&lt;&gt;0,$H501&gt;0,OR(AUTOEVENTO&lt;&gt;"manual",$M501&lt;&gt;1)),ROUND(OFFSET($P501,0,BA$13),15-13*ORÇAMENTO!$AF$7)/$H501*OFFSET(ORÇAMENTO!$X$15,ROW(BA501)-ROW(BA$15),0),0)</f>
        <v>0</v>
      </c>
      <c r="BC501" s="215">
        <f ca="1">IF($D501&lt;&gt;"Serviço",0,IF(AND(AUTOEVENTO="Manual",$M501=1),0,IF(OFFSET(CRONOPLE!$F$14,$M501,BC$13)="",10^12,OFFSET(CRONOPLE!$F$14,$M501,BC$13))))</f>
        <v>1000000000000</v>
      </c>
      <c r="BD501" s="215">
        <f ca="1">IF($D501&lt;&gt;"Serviço",0,IF(AND(AUTOEVENTO="Manual",$M501=1),0,IF(OFFSET(CRONOPLE!$F$14,$M501,BD$13)="",10^12,OFFSET(CRONOPLE!$F$14,$M501,BD$13))))</f>
        <v>1000000000000</v>
      </c>
      <c r="BE501" s="215">
        <f ca="1">IF($D501&lt;&gt;"Serviço",0,IF(AND(AUTOEVENTO="Manual",$M501=1),0,IF(OFFSET(CRONOPLE!$F$14,$M501,BE$13)="",10^12,OFFSET(CRONOPLE!$F$14,$M501,BE$13))))</f>
        <v>1000000000000</v>
      </c>
      <c r="BF501" s="215">
        <f ca="1">IF($D501&lt;&gt;"Serviço",0,IF(AND(AUTOEVENTO="Manual",$M501=1),0,IF(OFFSET(CRONOPLE!$F$14,$M501,BF$13)="",10^12,OFFSET(CRONOPLE!$F$14,$M501,BF$13))))</f>
        <v>1000000000000</v>
      </c>
      <c r="BG501" s="215">
        <f ca="1">IF($D501&lt;&gt;"Serviço",0,IF(AND(AUTOEVENTO="Manual",$M501=1),0,IF(OFFSET(CRONOPLE!$F$14,$M501,BG$13)="",10^12,OFFSET(CRONOPLE!$F$14,$M501,BG$13))))</f>
        <v>1000000000000</v>
      </c>
      <c r="BH501" s="215">
        <f ca="1">IF($D501&lt;&gt;"Serviço",0,IF(AND(AUTOEVENTO="Manual",$M501=1),0,IF(OFFSET(CRONOPLE!$F$14,$M501,BH$13)="",10^12,OFFSET(CRONOPLE!$F$14,$M501,BH$13))))</f>
        <v>1000000000000</v>
      </c>
      <c r="BI501" s="215">
        <f ca="1">IF($D501&lt;&gt;"Serviço",0,IF(AND(AUTOEVENTO="Manual",$M501=1),0,IF(OFFSET(CRONOPLE!$F$14,$M501,BI$13)="",10^12,OFFSET(CRONOPLE!$F$14,$M501,BI$13))))</f>
        <v>1000000000000</v>
      </c>
      <c r="BJ501" s="215">
        <f ca="1">IF($D501&lt;&gt;"Serviço",0,IF(AND(AUTOEVENTO="Manual",$M501=1),0,IF(OFFSET(CRONOPLE!$F$14,$M501,BJ$13)="",10^12,OFFSET(CRONOPLE!$F$14,$M501,BJ$13))))</f>
        <v>1000000000000</v>
      </c>
      <c r="BK501" s="215">
        <f ca="1">IF($D501&lt;&gt;"Serviço",0,IF(AND(AUTOEVENTO="Manual",$M501=1),0,IF(OFFSET(CRONOPLE!$F$14,$M501,BK$13)="",10^12,OFFSET(CRONOPLE!$F$14,$M501,BK$13))))</f>
        <v>1000000000000</v>
      </c>
      <c r="BL501" s="215">
        <f ca="1">IF($D501&lt;&gt;"Serviço",0,IF(AND(AUTOEVENTO="Manual",$M501=1),0,IF(OFFSET(CRONOPLE!$F$14,$M501,BL$13)="",10^12,OFFSET(CRONOPLE!$F$14,$M501,BL$13))))</f>
        <v>1000000000000</v>
      </c>
      <c r="BM501" s="215">
        <f ca="1">IF($D501&lt;&gt;"Serviço",0,IF(AND(AUTOEVENTO="Manual",$M501=1),0,IF(OFFSET(CRONOPLE!$F$14,$M501,BM$13)="",10^12,OFFSET(CRONOPLE!$F$14,$M501,BM$13))))</f>
        <v>1000000000000</v>
      </c>
      <c r="BN501" s="215">
        <f ca="1">IF($D501&lt;&gt;"Serviço",0,IF(AND(AUTOEVENTO="Manual",$M501=1),0,IF(OFFSET(CRONOPLE!$F$14,$M501,BN$13)="",10^12,OFFSET(CRONOPLE!$F$14,$M501,BN$13))))</f>
        <v>1000000000000</v>
      </c>
      <c r="BO501" s="215">
        <f ca="1">IF($D501&lt;&gt;"Serviço",0,IF(AND(AUTOEVENTO="Manual",$M501=1),0,IF(OFFSET(CRONOPLE!$F$14,$M501,BO$13)="",10^12,OFFSET(CRONOPLE!$F$14,$M501,BO$13))))</f>
        <v>1000000000000</v>
      </c>
      <c r="BP501" s="215">
        <f ca="1">IF($D501&lt;&gt;"Serviço",0,IF(AND(AUTOEVENTO="Manual",$M501=1),0,IF(OFFSET(CRONOPLE!$F$14,$M501,BP$13)="",10^12,OFFSET(CRONOPLE!$F$14,$M501,BP$13))))</f>
        <v>1000000000000</v>
      </c>
      <c r="BQ501" s="215">
        <f ca="1">IF($D501&lt;&gt;"Serviço",0,IF(AND(AUTOEVENTO="Manual",$M501=1),0,IF(OFFSET(CRONOPLE!$F$14,$M501,BQ$13)="",10^12,OFFSET(CRONOPLE!$F$14,$M501,BQ$13))))</f>
        <v>1000000000000</v>
      </c>
      <c r="BR501" s="215">
        <f ca="1">IF($D501&lt;&gt;"Serviço",0,IF(AND(AUTOEVENTO="Manual",$M501=1),0,IF(OFFSET(CRONOPLE!$F$14,$M501,BR$13)="",10^12,OFFSET(CRONOPLE!$F$14,$M501,BR$13))))</f>
        <v>1000000000000</v>
      </c>
      <c r="BS501" s="215">
        <f ca="1">IF($D501&lt;&gt;"Serviço",0,IF(AND(AUTOEVENTO="Manual",$M501=1),0,IF(OFFSET(CRONOPLE!$F$14,$M501,BS$13)="",10^12,OFFSET(CRONOPLE!$F$14,$M501,BS$13))))</f>
        <v>1000000000000</v>
      </c>
      <c r="BT501" s="215">
        <f ca="1">IF($D501&lt;&gt;"Serviço",0,IF(AND(AUTOEVENTO="Manual",$M501=1),0,IF(OFFSET(CRONOPLE!$F$14,$M501,BT$13)="",10^12,OFFSET(CRONOPLE!$F$14,$M501,BT$13))))</f>
        <v>1000000000000</v>
      </c>
      <c r="BV501" s="216">
        <f ca="1">IF($D501&lt;&gt;"Serviço",0,IF(OR(AND(AUTOEVENTO="Manual",$M501=1),$M501&gt;(ROW(PLE.lastrow)-ROW(PLE.firstrow))),0,IF(OFFSET(PLE!$G$14,$M501,BV$13)="",10^12,OFFSET(PLE!$G$14,$M501,BV$13))))</f>
        <v>1000000000000</v>
      </c>
      <c r="BW501" s="216">
        <f ca="1">IF($D501&lt;&gt;"Serviço",0,IF(OR(AND(AUTOEVENTO="Manual",$M501=1),$M501&gt;(ROW(PLE.lastrow)-ROW(PLE.firstrow))),0,IF(OFFSET(PLE!$G$14,$M501,BW$13)="",10^12,OFFSET(PLE!$G$14,$M501,BW$13))))</f>
        <v>1000000000000</v>
      </c>
      <c r="BX501" s="216">
        <f ca="1">IF($D501&lt;&gt;"Serviço",0,IF(OR(AND(AUTOEVENTO="Manual",$M501=1),$M501&gt;(ROW(PLE.lastrow)-ROW(PLE.firstrow))),0,IF(OFFSET(PLE!$G$14,$M501,BX$13)="",10^12,OFFSET(PLE!$G$14,$M501,BX$13))))</f>
        <v>1000000000000</v>
      </c>
      <c r="BY501" s="216">
        <f ca="1">IF($D501&lt;&gt;"Serviço",0,IF(OR(AND(AUTOEVENTO="Manual",$M501=1),$M501&gt;(ROW(PLE.lastrow)-ROW(PLE.firstrow))),0,IF(OFFSET(PLE!$G$14,$M501,BY$13)="",10^12,OFFSET(PLE!$G$14,$M501,BY$13))))</f>
        <v>1000000000000</v>
      </c>
      <c r="BZ501" s="216">
        <f ca="1">IF($D501&lt;&gt;"Serviço",0,IF(OR(AND(AUTOEVENTO="Manual",$M501=1),$M501&gt;(ROW(PLE.lastrow)-ROW(PLE.firstrow))),0,IF(OFFSET(PLE!$G$14,$M501,BZ$13)="",10^12,OFFSET(PLE!$G$14,$M501,BZ$13))))</f>
        <v>1000000000000</v>
      </c>
      <c r="CA501" s="216">
        <f ca="1">IF($D501&lt;&gt;"Serviço",0,IF(OR(AND(AUTOEVENTO="Manual",$M501=1),$M501&gt;(ROW(PLE.lastrow)-ROW(PLE.firstrow))),0,IF(OFFSET(PLE!$G$14,$M501,CA$13)="",10^12,OFFSET(PLE!$G$14,$M501,CA$13))))</f>
        <v>1000000000000</v>
      </c>
      <c r="CB501" s="216">
        <f ca="1">IF($D501&lt;&gt;"Serviço",0,IF(OR(AND(AUTOEVENTO="Manual",$M501=1),$M501&gt;(ROW(PLE.lastrow)-ROW(PLE.firstrow))),0,IF(OFFSET(PLE!$G$14,$M501,CB$13)="",10^12,OFFSET(PLE!$G$14,$M501,CB$13))))</f>
        <v>1000000000000</v>
      </c>
      <c r="CC501" s="216">
        <f ca="1">IF($D501&lt;&gt;"Serviço",0,IF(OR(AND(AUTOEVENTO="Manual",$M501=1),$M501&gt;(ROW(PLE.lastrow)-ROW(PLE.firstrow))),0,IF(OFFSET(PLE!$G$14,$M501,CC$13)="",10^12,OFFSET(PLE!$G$14,$M501,CC$13))))</f>
        <v>1000000000000</v>
      </c>
      <c r="CD501" s="216">
        <f ca="1">IF($D501&lt;&gt;"Serviço",0,IF(OR(AND(AUTOEVENTO="Manual",$M501=1),$M501&gt;(ROW(PLE.lastrow)-ROW(PLE.firstrow))),0,IF(OFFSET(PLE!$G$14,$M501,CD$13)="",10^12,OFFSET(PLE!$G$14,$M501,CD$13))))</f>
        <v>1000000000000</v>
      </c>
      <c r="CE501" s="216">
        <f ca="1">IF($D501&lt;&gt;"Serviço",0,IF(OR(AND(AUTOEVENTO="Manual",$M501=1),$M501&gt;(ROW(PLE.lastrow)-ROW(PLE.firstrow))),0,IF(OFFSET(PLE!$G$14,$M501,CE$13)="",10^12,OFFSET(PLE!$G$14,$M501,CE$13))))</f>
        <v>1000000000000</v>
      </c>
      <c r="CF501" s="216">
        <f ca="1">IF($D501&lt;&gt;"Serviço",0,IF(OR(AND(AUTOEVENTO="Manual",$M501=1),$M501&gt;(ROW(PLE.lastrow)-ROW(PLE.firstrow))),0,IF(OFFSET(PLE!$G$14,$M501,CF$13)="",10^12,OFFSET(PLE!$G$14,$M501,CF$13))))</f>
        <v>1000000000000</v>
      </c>
      <c r="CG501" s="216">
        <f ca="1">IF($D501&lt;&gt;"Serviço",0,IF(OR(AND(AUTOEVENTO="Manual",$M501=1),$M501&gt;(ROW(PLE.lastrow)-ROW(PLE.firstrow))),0,IF(OFFSET(PLE!$G$14,$M501,CG$13)="",10^12,OFFSET(PLE!$G$14,$M501,CG$13))))</f>
        <v>1000000000000</v>
      </c>
      <c r="CH501" s="216">
        <f ca="1">IF($D501&lt;&gt;"Serviço",0,IF(OR(AND(AUTOEVENTO="Manual",$M501=1),$M501&gt;(ROW(PLE.lastrow)-ROW(PLE.firstrow))),0,IF(OFFSET(PLE!$G$14,$M501,CH$13)="",10^12,OFFSET(PLE!$G$14,$M501,CH$13))))</f>
        <v>1000000000000</v>
      </c>
      <c r="CI501" s="216">
        <f ca="1">IF($D501&lt;&gt;"Serviço",0,IF(OR(AND(AUTOEVENTO="Manual",$M501=1),$M501&gt;(ROW(PLE.lastrow)-ROW(PLE.firstrow))),0,IF(OFFSET(PLE!$G$14,$M501,CI$13)="",10^12,OFFSET(PLE!$G$14,$M501,CI$13))))</f>
        <v>1000000000000</v>
      </c>
      <c r="CJ501" s="216">
        <f ca="1">IF($D501&lt;&gt;"Serviço",0,IF(OR(AND(AUTOEVENTO="Manual",$M501=1),$M501&gt;(ROW(PLE.lastrow)-ROW(PLE.firstrow))),0,IF(OFFSET(PLE!$G$14,$M501,CJ$13)="",10^12,OFFSET(PLE!$G$14,$M501,CJ$13))))</f>
        <v>1000000000000</v>
      </c>
      <c r="CK501" s="216">
        <f ca="1">IF($D501&lt;&gt;"Serviço",0,IF(OR(AND(AUTOEVENTO="Manual",$M501=1),$M501&gt;(ROW(PLE.lastrow)-ROW(PLE.firstrow))),0,IF(OFFSET(PLE!$G$14,$M501,CK$13)="",10^12,OFFSET(PLE!$G$14,$M501,CK$13))))</f>
        <v>1000000000000</v>
      </c>
      <c r="CL501" s="216">
        <f ca="1">IF($D501&lt;&gt;"Serviço",0,IF(OR(AND(AUTOEVENTO="Manual",$M501=1),$M501&gt;(ROW(PLE.lastrow)-ROW(PLE.firstrow))),0,IF(OFFSET(PLE!$G$14,$M501,CL$13)="",10^12,OFFSET(PLE!$G$14,$M501,CL$13))))</f>
        <v>1000000000000</v>
      </c>
      <c r="CM501" s="216">
        <f ca="1">IF($D501&lt;&gt;"Serviço",0,IF(OR(AND(AUTOEVENTO="Manual",$M501=1),$M501&gt;(ROW(PLE.lastrow)-ROW(PLE.firstrow))),0,IF(OFFSET(PLE!$G$14,$M501,CM$13)="",10^12,OFFSET(PLE!$G$14,$M501,CM$13))))</f>
        <v>1000000000000</v>
      </c>
    </row>
    <row r="502" spans="1:91" ht="13.2" x14ac:dyDescent="0.25">
      <c r="A502" s="9">
        <f t="shared" ca="1" si="16"/>
        <v>0</v>
      </c>
      <c r="B502" s="9" t="str">
        <f ca="1">OFFSET(ORÇAMENTO!C$15,ROW(B502)-ROW(B$15),0)</f>
        <v>S</v>
      </c>
      <c r="C502" s="9" t="str">
        <f ca="1">OFFSET(ORÇAMENTO!L$15,ROW(C502)-ROW(C$15),0)</f>
        <v/>
      </c>
      <c r="D502" s="145" t="str">
        <f ca="1">OFFSET(ORÇAMENTO!N$15,ROW(D502)-ROW(D$15),0)</f>
        <v>Serviço</v>
      </c>
      <c r="E502" s="205" t="str">
        <f ca="1">OFFSET(ORÇAMENTO!O$15,ROW(E502)-ROW(E$15),0)</f>
        <v>-</v>
      </c>
      <c r="F502" s="206" t="str">
        <f ca="1">OFFSET(ORÇAMENTO!R$15,ROW(F502)-ROW(F$15),0)</f>
        <v>(abra o arquivo 'Referência 05-2024.xls)</v>
      </c>
      <c r="G502" s="207" t="str">
        <f ca="1">IF($D502&lt;&gt;"Serviço","",OFFSET(ORÇAMENTO!S$15,ROW(G502)-ROW(G$15),0))</f>
        <v>-</v>
      </c>
      <c r="H502" s="151">
        <f ca="1">IF($D502&lt;&gt;"Serviço",0,IF(ACOMPANHAMENTO="BM",ROUND(OFFSET(ORÇAMENTO!AJ$15,ROW(H502)-ROW(H$15),0),15-13*ORÇAMENTO!$AF$7),SUMPRODUCT(($Q$12:$AI$12&lt;&gt;"")*ROUND($Q502:$AI502,15-13*ORÇAMENTO!$AF$7))))</f>
        <v>6</v>
      </c>
      <c r="I502" s="650"/>
      <c r="K502" s="208"/>
      <c r="L502" s="209" t="s">
        <v>257</v>
      </c>
      <c r="M502" s="210">
        <f ca="1">IF($D502&lt;&gt;"Serviço","",IF(AUTOEVENTO="manual",$A502,IF(ISERROR(MATCH($A502,$A$15:OFFSET($A502,-1,0),0)),MAX($M$15:OFFSET(M502,-1,0))+1,INDEX($M$15:OFFSET(M502,-1,0),MATCH($A502,$A$15:OFFSET($A502,-1,0),0)))))</f>
        <v>0</v>
      </c>
      <c r="N502" s="211" t="str">
        <f ca="1">IF($D502&lt;&gt;"Serviço","",IF(AUTOEVENTO="Manual",IF($A502=0,"&lt;-- defina o número do agrupador",OFFSET(EVENTOS!$D$14,$A502,0)),OFFSET($F$15,$A502,0)))</f>
        <v>&lt;-- defina o número do agrupador</v>
      </c>
      <c r="O502" s="212"/>
      <c r="Q502" s="212"/>
      <c r="R502" s="213"/>
      <c r="S502" s="213"/>
      <c r="T502" s="213"/>
      <c r="U502" s="213"/>
      <c r="V502" s="213"/>
      <c r="W502" s="213"/>
      <c r="X502" s="213"/>
      <c r="Y502" s="213"/>
      <c r="Z502" s="214"/>
      <c r="AA502" s="213"/>
      <c r="AB502" s="213"/>
      <c r="AC502" s="213"/>
      <c r="AD502" s="213"/>
      <c r="AE502" s="213"/>
      <c r="AF502" s="213"/>
      <c r="AG502" s="213"/>
      <c r="AH502" s="214"/>
      <c r="AJ502" s="631">
        <f ca="1">IF(AND($D502="Serviço",AJ$12&lt;&gt;0,$H502&gt;0,OR(AUTOEVENTO&lt;&gt;"manual",$M502&lt;&gt;1)),ROUND(OFFSET($P502,0,AJ$13),15-13*ORÇAMENTO!$AF$7)/$H502*OFFSET(ORÇAMENTO!$X$15,ROW(AJ502)-ROW(AJ$15),0),0)</f>
        <v>0</v>
      </c>
      <c r="AK502" s="632">
        <f ca="1">IF(AND($D502="Serviço",AK$12&lt;&gt;0,$H502&gt;0,OR(AUTOEVENTO&lt;&gt;"manual",$M502&lt;&gt;1)),ROUND(OFFSET($P502,0,AK$13),15-13*ORÇAMENTO!$AF$7)/$H502*OFFSET(ORÇAMENTO!$X$15,ROW(AK502)-ROW(AK$15),0),0)</f>
        <v>0</v>
      </c>
      <c r="AL502" s="632">
        <f ca="1">IF(AND($D502="Serviço",AL$12&lt;&gt;0,$H502&gt;0,OR(AUTOEVENTO&lt;&gt;"manual",$M502&lt;&gt;1)),ROUND(OFFSET($P502,0,AL$13),15-13*ORÇAMENTO!$AF$7)/$H502*OFFSET(ORÇAMENTO!$X$15,ROW(AL502)-ROW(AL$15),0),0)</f>
        <v>0</v>
      </c>
      <c r="AM502" s="632">
        <f ca="1">IF(AND($D502="Serviço",AM$12&lt;&gt;0,$H502&gt;0,OR(AUTOEVENTO&lt;&gt;"manual",$M502&lt;&gt;1)),ROUND(OFFSET($P502,0,AM$13),15-13*ORÇAMENTO!$AF$7)/$H502*OFFSET(ORÇAMENTO!$X$15,ROW(AM502)-ROW(AM$15),0),0)</f>
        <v>0</v>
      </c>
      <c r="AN502" s="632">
        <f ca="1">IF(AND($D502="Serviço",AN$12&lt;&gt;0,$H502&gt;0,OR(AUTOEVENTO&lt;&gt;"manual",$M502&lt;&gt;1)),ROUND(OFFSET($P502,0,AN$13),15-13*ORÇAMENTO!$AF$7)/$H502*OFFSET(ORÇAMENTO!$X$15,ROW(AN502)-ROW(AN$15),0),0)</f>
        <v>0</v>
      </c>
      <c r="AO502" s="632">
        <f ca="1">IF(AND($D502="Serviço",AO$12&lt;&gt;0,$H502&gt;0,OR(AUTOEVENTO&lt;&gt;"manual",$M502&lt;&gt;1)),ROUND(OFFSET($P502,0,AO$13),15-13*ORÇAMENTO!$AF$7)/$H502*OFFSET(ORÇAMENTO!$X$15,ROW(AO502)-ROW(AO$15),0),0)</f>
        <v>0</v>
      </c>
      <c r="AP502" s="632">
        <f ca="1">IF(AND($D502="Serviço",AP$12&lt;&gt;0,$H502&gt;0,OR(AUTOEVENTO&lt;&gt;"manual",$M502&lt;&gt;1)),ROUND(OFFSET($P502,0,AP$13),15-13*ORÇAMENTO!$AF$7)/$H502*OFFSET(ORÇAMENTO!$X$15,ROW(AP502)-ROW(AP$15),0),0)</f>
        <v>0</v>
      </c>
      <c r="AQ502" s="632">
        <f ca="1">IF(AND($D502="Serviço",AQ$12&lt;&gt;0,$H502&gt;0,OR(AUTOEVENTO&lt;&gt;"manual",$M502&lt;&gt;1)),ROUND(OFFSET($P502,0,AQ$13),15-13*ORÇAMENTO!$AF$7)/$H502*OFFSET(ORÇAMENTO!$X$15,ROW(AQ502)-ROW(AQ$15),0),0)</f>
        <v>0</v>
      </c>
      <c r="AR502" s="632">
        <f ca="1">IF(AND($D502="Serviço",AR$12&lt;&gt;0,$H502&gt;0,OR(AUTOEVENTO&lt;&gt;"manual",$M502&lt;&gt;1)),ROUND(OFFSET($P502,0,AR$13),15-13*ORÇAMENTO!$AF$7)/$H502*OFFSET(ORÇAMENTO!$X$15,ROW(AR502)-ROW(AR$15),0),0)</f>
        <v>0</v>
      </c>
      <c r="AS502" s="633">
        <f ca="1">IF(AND($D502="Serviço",AS$12&lt;&gt;0,$H502&gt;0,OR(AUTOEVENTO&lt;&gt;"manual",$M502&lt;&gt;1)),ROUND(OFFSET($P502,0,AS$13),15-13*ORÇAMENTO!$AF$7)/$H502*OFFSET(ORÇAMENTO!$X$15,ROW(AS502)-ROW(AS$15),0),0)</f>
        <v>0</v>
      </c>
      <c r="AT502" s="632">
        <f ca="1">IF(AND($D502="Serviço",AT$12&lt;&gt;0,$H502&gt;0,OR(AUTOEVENTO&lt;&gt;"manual",$M502&lt;&gt;1)),ROUND(OFFSET($P502,0,AT$13),15-13*ORÇAMENTO!$AF$7)/$H502*OFFSET(ORÇAMENTO!$X$15,ROW(AT502)-ROW(AT$15),0),0)</f>
        <v>0</v>
      </c>
      <c r="AU502" s="632">
        <f ca="1">IF(AND($D502="Serviço",AU$12&lt;&gt;0,$H502&gt;0,OR(AUTOEVENTO&lt;&gt;"manual",$M502&lt;&gt;1)),ROUND(OFFSET($P502,0,AU$13),15-13*ORÇAMENTO!$AF$7)/$H502*OFFSET(ORÇAMENTO!$X$15,ROW(AU502)-ROW(AU$15),0),0)</f>
        <v>0</v>
      </c>
      <c r="AV502" s="632">
        <f ca="1">IF(AND($D502="Serviço",AV$12&lt;&gt;0,$H502&gt;0,OR(AUTOEVENTO&lt;&gt;"manual",$M502&lt;&gt;1)),ROUND(OFFSET($P502,0,AV$13),15-13*ORÇAMENTO!$AF$7)/$H502*OFFSET(ORÇAMENTO!$X$15,ROW(AV502)-ROW(AV$15),0),0)</f>
        <v>0</v>
      </c>
      <c r="AW502" s="632">
        <f ca="1">IF(AND($D502="Serviço",AW$12&lt;&gt;0,$H502&gt;0,OR(AUTOEVENTO&lt;&gt;"manual",$M502&lt;&gt;1)),ROUND(OFFSET($P502,0,AW$13),15-13*ORÇAMENTO!$AF$7)/$H502*OFFSET(ORÇAMENTO!$X$15,ROW(AW502)-ROW(AW$15),0),0)</f>
        <v>0</v>
      </c>
      <c r="AX502" s="632">
        <f ca="1">IF(AND($D502="Serviço",AX$12&lt;&gt;0,$H502&gt;0,OR(AUTOEVENTO&lt;&gt;"manual",$M502&lt;&gt;1)),ROUND(OFFSET($P502,0,AX$13),15-13*ORÇAMENTO!$AF$7)/$H502*OFFSET(ORÇAMENTO!$X$15,ROW(AX502)-ROW(AX$15),0),0)</f>
        <v>0</v>
      </c>
      <c r="AY502" s="632">
        <f ca="1">IF(AND($D502="Serviço",AY$12&lt;&gt;0,$H502&gt;0,OR(AUTOEVENTO&lt;&gt;"manual",$M502&lt;&gt;1)),ROUND(OFFSET($P502,0,AY$13),15-13*ORÇAMENTO!$AF$7)/$H502*OFFSET(ORÇAMENTO!$X$15,ROW(AY502)-ROW(AY$15),0),0)</f>
        <v>0</v>
      </c>
      <c r="AZ502" s="632">
        <f ca="1">IF(AND($D502="Serviço",AZ$12&lt;&gt;0,$H502&gt;0,OR(AUTOEVENTO&lt;&gt;"manual",$M502&lt;&gt;1)),ROUND(OFFSET($P502,0,AZ$13),15-13*ORÇAMENTO!$AF$7)/$H502*OFFSET(ORÇAMENTO!$X$15,ROW(AZ502)-ROW(AZ$15),0),0)</f>
        <v>0</v>
      </c>
      <c r="BA502" s="633">
        <f ca="1">IF(AND($D502="Serviço",BA$12&lt;&gt;0,$H502&gt;0,OR(AUTOEVENTO&lt;&gt;"manual",$M502&lt;&gt;1)),ROUND(OFFSET($P502,0,BA$13),15-13*ORÇAMENTO!$AF$7)/$H502*OFFSET(ORÇAMENTO!$X$15,ROW(BA502)-ROW(BA$15),0),0)</f>
        <v>0</v>
      </c>
      <c r="BC502" s="215">
        <f ca="1">IF($D502&lt;&gt;"Serviço",0,IF(AND(AUTOEVENTO="Manual",$M502=1),0,IF(OFFSET(CRONOPLE!$F$14,$M502,BC$13)="",10^12,OFFSET(CRONOPLE!$F$14,$M502,BC$13))))</f>
        <v>1000000000000</v>
      </c>
      <c r="BD502" s="215">
        <f ca="1">IF($D502&lt;&gt;"Serviço",0,IF(AND(AUTOEVENTO="Manual",$M502=1),0,IF(OFFSET(CRONOPLE!$F$14,$M502,BD$13)="",10^12,OFFSET(CRONOPLE!$F$14,$M502,BD$13))))</f>
        <v>1000000000000</v>
      </c>
      <c r="BE502" s="215">
        <f ca="1">IF($D502&lt;&gt;"Serviço",0,IF(AND(AUTOEVENTO="Manual",$M502=1),0,IF(OFFSET(CRONOPLE!$F$14,$M502,BE$13)="",10^12,OFFSET(CRONOPLE!$F$14,$M502,BE$13))))</f>
        <v>1000000000000</v>
      </c>
      <c r="BF502" s="215">
        <f ca="1">IF($D502&lt;&gt;"Serviço",0,IF(AND(AUTOEVENTO="Manual",$M502=1),0,IF(OFFSET(CRONOPLE!$F$14,$M502,BF$13)="",10^12,OFFSET(CRONOPLE!$F$14,$M502,BF$13))))</f>
        <v>1000000000000</v>
      </c>
      <c r="BG502" s="215">
        <f ca="1">IF($D502&lt;&gt;"Serviço",0,IF(AND(AUTOEVENTO="Manual",$M502=1),0,IF(OFFSET(CRONOPLE!$F$14,$M502,BG$13)="",10^12,OFFSET(CRONOPLE!$F$14,$M502,BG$13))))</f>
        <v>1000000000000</v>
      </c>
      <c r="BH502" s="215">
        <f ca="1">IF($D502&lt;&gt;"Serviço",0,IF(AND(AUTOEVENTO="Manual",$M502=1),0,IF(OFFSET(CRONOPLE!$F$14,$M502,BH$13)="",10^12,OFFSET(CRONOPLE!$F$14,$M502,BH$13))))</f>
        <v>1000000000000</v>
      </c>
      <c r="BI502" s="215">
        <f ca="1">IF($D502&lt;&gt;"Serviço",0,IF(AND(AUTOEVENTO="Manual",$M502=1),0,IF(OFFSET(CRONOPLE!$F$14,$M502,BI$13)="",10^12,OFFSET(CRONOPLE!$F$14,$M502,BI$13))))</f>
        <v>1000000000000</v>
      </c>
      <c r="BJ502" s="215">
        <f ca="1">IF($D502&lt;&gt;"Serviço",0,IF(AND(AUTOEVENTO="Manual",$M502=1),0,IF(OFFSET(CRONOPLE!$F$14,$M502,BJ$13)="",10^12,OFFSET(CRONOPLE!$F$14,$M502,BJ$13))))</f>
        <v>1000000000000</v>
      </c>
      <c r="BK502" s="215">
        <f ca="1">IF($D502&lt;&gt;"Serviço",0,IF(AND(AUTOEVENTO="Manual",$M502=1),0,IF(OFFSET(CRONOPLE!$F$14,$M502,BK$13)="",10^12,OFFSET(CRONOPLE!$F$14,$M502,BK$13))))</f>
        <v>1000000000000</v>
      </c>
      <c r="BL502" s="215">
        <f ca="1">IF($D502&lt;&gt;"Serviço",0,IF(AND(AUTOEVENTO="Manual",$M502=1),0,IF(OFFSET(CRONOPLE!$F$14,$M502,BL$13)="",10^12,OFFSET(CRONOPLE!$F$14,$M502,BL$13))))</f>
        <v>1000000000000</v>
      </c>
      <c r="BM502" s="215">
        <f ca="1">IF($D502&lt;&gt;"Serviço",0,IF(AND(AUTOEVENTO="Manual",$M502=1),0,IF(OFFSET(CRONOPLE!$F$14,$M502,BM$13)="",10^12,OFFSET(CRONOPLE!$F$14,$M502,BM$13))))</f>
        <v>1000000000000</v>
      </c>
      <c r="BN502" s="215">
        <f ca="1">IF($D502&lt;&gt;"Serviço",0,IF(AND(AUTOEVENTO="Manual",$M502=1),0,IF(OFFSET(CRONOPLE!$F$14,$M502,BN$13)="",10^12,OFFSET(CRONOPLE!$F$14,$M502,BN$13))))</f>
        <v>1000000000000</v>
      </c>
      <c r="BO502" s="215">
        <f ca="1">IF($D502&lt;&gt;"Serviço",0,IF(AND(AUTOEVENTO="Manual",$M502=1),0,IF(OFFSET(CRONOPLE!$F$14,$M502,BO$13)="",10^12,OFFSET(CRONOPLE!$F$14,$M502,BO$13))))</f>
        <v>1000000000000</v>
      </c>
      <c r="BP502" s="215">
        <f ca="1">IF($D502&lt;&gt;"Serviço",0,IF(AND(AUTOEVENTO="Manual",$M502=1),0,IF(OFFSET(CRONOPLE!$F$14,$M502,BP$13)="",10^12,OFFSET(CRONOPLE!$F$14,$M502,BP$13))))</f>
        <v>1000000000000</v>
      </c>
      <c r="BQ502" s="215">
        <f ca="1">IF($D502&lt;&gt;"Serviço",0,IF(AND(AUTOEVENTO="Manual",$M502=1),0,IF(OFFSET(CRONOPLE!$F$14,$M502,BQ$13)="",10^12,OFFSET(CRONOPLE!$F$14,$M502,BQ$13))))</f>
        <v>1000000000000</v>
      </c>
      <c r="BR502" s="215">
        <f ca="1">IF($D502&lt;&gt;"Serviço",0,IF(AND(AUTOEVENTO="Manual",$M502=1),0,IF(OFFSET(CRONOPLE!$F$14,$M502,BR$13)="",10^12,OFFSET(CRONOPLE!$F$14,$M502,BR$13))))</f>
        <v>1000000000000</v>
      </c>
      <c r="BS502" s="215">
        <f ca="1">IF($D502&lt;&gt;"Serviço",0,IF(AND(AUTOEVENTO="Manual",$M502=1),0,IF(OFFSET(CRONOPLE!$F$14,$M502,BS$13)="",10^12,OFFSET(CRONOPLE!$F$14,$M502,BS$13))))</f>
        <v>1000000000000</v>
      </c>
      <c r="BT502" s="215">
        <f ca="1">IF($D502&lt;&gt;"Serviço",0,IF(AND(AUTOEVENTO="Manual",$M502=1),0,IF(OFFSET(CRONOPLE!$F$14,$M502,BT$13)="",10^12,OFFSET(CRONOPLE!$F$14,$M502,BT$13))))</f>
        <v>1000000000000</v>
      </c>
      <c r="BV502" s="216">
        <f ca="1">IF($D502&lt;&gt;"Serviço",0,IF(OR(AND(AUTOEVENTO="Manual",$M502=1),$M502&gt;(ROW(PLE.lastrow)-ROW(PLE.firstrow))),0,IF(OFFSET(PLE!$G$14,$M502,BV$13)="",10^12,OFFSET(PLE!$G$14,$M502,BV$13))))</f>
        <v>1000000000000</v>
      </c>
      <c r="BW502" s="216">
        <f ca="1">IF($D502&lt;&gt;"Serviço",0,IF(OR(AND(AUTOEVENTO="Manual",$M502=1),$M502&gt;(ROW(PLE.lastrow)-ROW(PLE.firstrow))),0,IF(OFFSET(PLE!$G$14,$M502,BW$13)="",10^12,OFFSET(PLE!$G$14,$M502,BW$13))))</f>
        <v>1000000000000</v>
      </c>
      <c r="BX502" s="216">
        <f ca="1">IF($D502&lt;&gt;"Serviço",0,IF(OR(AND(AUTOEVENTO="Manual",$M502=1),$M502&gt;(ROW(PLE.lastrow)-ROW(PLE.firstrow))),0,IF(OFFSET(PLE!$G$14,$M502,BX$13)="",10^12,OFFSET(PLE!$G$14,$M502,BX$13))))</f>
        <v>1000000000000</v>
      </c>
      <c r="BY502" s="216">
        <f ca="1">IF($D502&lt;&gt;"Serviço",0,IF(OR(AND(AUTOEVENTO="Manual",$M502=1),$M502&gt;(ROW(PLE.lastrow)-ROW(PLE.firstrow))),0,IF(OFFSET(PLE!$G$14,$M502,BY$13)="",10^12,OFFSET(PLE!$G$14,$M502,BY$13))))</f>
        <v>1000000000000</v>
      </c>
      <c r="BZ502" s="216">
        <f ca="1">IF($D502&lt;&gt;"Serviço",0,IF(OR(AND(AUTOEVENTO="Manual",$M502=1),$M502&gt;(ROW(PLE.lastrow)-ROW(PLE.firstrow))),0,IF(OFFSET(PLE!$G$14,$M502,BZ$13)="",10^12,OFFSET(PLE!$G$14,$M502,BZ$13))))</f>
        <v>1000000000000</v>
      </c>
      <c r="CA502" s="216">
        <f ca="1">IF($D502&lt;&gt;"Serviço",0,IF(OR(AND(AUTOEVENTO="Manual",$M502=1),$M502&gt;(ROW(PLE.lastrow)-ROW(PLE.firstrow))),0,IF(OFFSET(PLE!$G$14,$M502,CA$13)="",10^12,OFFSET(PLE!$G$14,$M502,CA$13))))</f>
        <v>1000000000000</v>
      </c>
      <c r="CB502" s="216">
        <f ca="1">IF($D502&lt;&gt;"Serviço",0,IF(OR(AND(AUTOEVENTO="Manual",$M502=1),$M502&gt;(ROW(PLE.lastrow)-ROW(PLE.firstrow))),0,IF(OFFSET(PLE!$G$14,$M502,CB$13)="",10^12,OFFSET(PLE!$G$14,$M502,CB$13))))</f>
        <v>1000000000000</v>
      </c>
      <c r="CC502" s="216">
        <f ca="1">IF($D502&lt;&gt;"Serviço",0,IF(OR(AND(AUTOEVENTO="Manual",$M502=1),$M502&gt;(ROW(PLE.lastrow)-ROW(PLE.firstrow))),0,IF(OFFSET(PLE!$G$14,$M502,CC$13)="",10^12,OFFSET(PLE!$G$14,$M502,CC$13))))</f>
        <v>1000000000000</v>
      </c>
      <c r="CD502" s="216">
        <f ca="1">IF($D502&lt;&gt;"Serviço",0,IF(OR(AND(AUTOEVENTO="Manual",$M502=1),$M502&gt;(ROW(PLE.lastrow)-ROW(PLE.firstrow))),0,IF(OFFSET(PLE!$G$14,$M502,CD$13)="",10^12,OFFSET(PLE!$G$14,$M502,CD$13))))</f>
        <v>1000000000000</v>
      </c>
      <c r="CE502" s="216">
        <f ca="1">IF($D502&lt;&gt;"Serviço",0,IF(OR(AND(AUTOEVENTO="Manual",$M502=1),$M502&gt;(ROW(PLE.lastrow)-ROW(PLE.firstrow))),0,IF(OFFSET(PLE!$G$14,$M502,CE$13)="",10^12,OFFSET(PLE!$G$14,$M502,CE$13))))</f>
        <v>1000000000000</v>
      </c>
      <c r="CF502" s="216">
        <f ca="1">IF($D502&lt;&gt;"Serviço",0,IF(OR(AND(AUTOEVENTO="Manual",$M502=1),$M502&gt;(ROW(PLE.lastrow)-ROW(PLE.firstrow))),0,IF(OFFSET(PLE!$G$14,$M502,CF$13)="",10^12,OFFSET(PLE!$G$14,$M502,CF$13))))</f>
        <v>1000000000000</v>
      </c>
      <c r="CG502" s="216">
        <f ca="1">IF($D502&lt;&gt;"Serviço",0,IF(OR(AND(AUTOEVENTO="Manual",$M502=1),$M502&gt;(ROW(PLE.lastrow)-ROW(PLE.firstrow))),0,IF(OFFSET(PLE!$G$14,$M502,CG$13)="",10^12,OFFSET(PLE!$G$14,$M502,CG$13))))</f>
        <v>1000000000000</v>
      </c>
      <c r="CH502" s="216">
        <f ca="1">IF($D502&lt;&gt;"Serviço",0,IF(OR(AND(AUTOEVENTO="Manual",$M502=1),$M502&gt;(ROW(PLE.lastrow)-ROW(PLE.firstrow))),0,IF(OFFSET(PLE!$G$14,$M502,CH$13)="",10^12,OFFSET(PLE!$G$14,$M502,CH$13))))</f>
        <v>1000000000000</v>
      </c>
      <c r="CI502" s="216">
        <f ca="1">IF($D502&lt;&gt;"Serviço",0,IF(OR(AND(AUTOEVENTO="Manual",$M502=1),$M502&gt;(ROW(PLE.lastrow)-ROW(PLE.firstrow))),0,IF(OFFSET(PLE!$G$14,$M502,CI$13)="",10^12,OFFSET(PLE!$G$14,$M502,CI$13))))</f>
        <v>1000000000000</v>
      </c>
      <c r="CJ502" s="216">
        <f ca="1">IF($D502&lt;&gt;"Serviço",0,IF(OR(AND(AUTOEVENTO="Manual",$M502=1),$M502&gt;(ROW(PLE.lastrow)-ROW(PLE.firstrow))),0,IF(OFFSET(PLE!$G$14,$M502,CJ$13)="",10^12,OFFSET(PLE!$G$14,$M502,CJ$13))))</f>
        <v>1000000000000</v>
      </c>
      <c r="CK502" s="216">
        <f ca="1">IF($D502&lt;&gt;"Serviço",0,IF(OR(AND(AUTOEVENTO="Manual",$M502=1),$M502&gt;(ROW(PLE.lastrow)-ROW(PLE.firstrow))),0,IF(OFFSET(PLE!$G$14,$M502,CK$13)="",10^12,OFFSET(PLE!$G$14,$M502,CK$13))))</f>
        <v>1000000000000</v>
      </c>
      <c r="CL502" s="216">
        <f ca="1">IF($D502&lt;&gt;"Serviço",0,IF(OR(AND(AUTOEVENTO="Manual",$M502=1),$M502&gt;(ROW(PLE.lastrow)-ROW(PLE.firstrow))),0,IF(OFFSET(PLE!$G$14,$M502,CL$13)="",10^12,OFFSET(PLE!$G$14,$M502,CL$13))))</f>
        <v>1000000000000</v>
      </c>
      <c r="CM502" s="216">
        <f ca="1">IF($D502&lt;&gt;"Serviço",0,IF(OR(AND(AUTOEVENTO="Manual",$M502=1),$M502&gt;(ROW(PLE.lastrow)-ROW(PLE.firstrow))),0,IF(OFFSET(PLE!$G$14,$M502,CM$13)="",10^12,OFFSET(PLE!$G$14,$M502,CM$13))))</f>
        <v>1000000000000</v>
      </c>
    </row>
    <row r="503" spans="1:91" ht="13.2" x14ac:dyDescent="0.25">
      <c r="A503" s="9">
        <f t="shared" ca="1" si="16"/>
        <v>0</v>
      </c>
      <c r="B503" s="9">
        <f ca="1">OFFSET(ORÇAMENTO!C$15,ROW(B503)-ROW(B$15),0)</f>
        <v>3</v>
      </c>
      <c r="C503" s="9" t="str">
        <f ca="1">OFFSET(ORÇAMENTO!L$15,ROW(C503)-ROW(C$15),0)</f>
        <v>F</v>
      </c>
      <c r="D503" s="145" t="str">
        <f ca="1">OFFSET(ORÇAMENTO!N$15,ROW(D503)-ROW(D$15),0)</f>
        <v>Nível 3</v>
      </c>
      <c r="E503" s="205" t="str">
        <f ca="1">OFFSET(ORÇAMENTO!O$15,ROW(E503)-ROW(E$15),0)</f>
        <v>1.17.3.</v>
      </c>
      <c r="F503" s="206" t="str">
        <f ca="1">OFFSET(ORÇAMENTO!R$15,ROW(F503)-ROW(F$15),0)</f>
        <v>METAIS</v>
      </c>
      <c r="G503" s="207" t="str">
        <f ca="1">IF($D503&lt;&gt;"Serviço","",OFFSET(ORÇAMENTO!S$15,ROW(G503)-ROW(G$15),0))</f>
        <v/>
      </c>
      <c r="H503" s="151">
        <f ca="1">IF($D503&lt;&gt;"Serviço",0,IF(ACOMPANHAMENTO="BM",ROUND(OFFSET(ORÇAMENTO!AJ$15,ROW(H503)-ROW(H$15),0),15-13*ORÇAMENTO!$AF$7),SUMPRODUCT(($Q$12:$AI$12&lt;&gt;"")*ROUND($Q503:$AI503,15-13*ORÇAMENTO!$AF$7))))</f>
        <v>0</v>
      </c>
      <c r="I503" s="650"/>
      <c r="K503" s="208"/>
      <c r="L503" s="209" t="s">
        <v>257</v>
      </c>
      <c r="M503" s="210" t="str">
        <f ca="1">IF($D503&lt;&gt;"Serviço","",IF(AUTOEVENTO="manual",$A503,IF(ISERROR(MATCH($A503,$A$15:OFFSET($A503,-1,0),0)),MAX($M$15:OFFSET(M503,-1,0))+1,INDEX($M$15:OFFSET(M503,-1,0),MATCH($A503,$A$15:OFFSET($A503,-1,0),0)))))</f>
        <v/>
      </c>
      <c r="N503" s="211" t="str">
        <f ca="1">IF($D503&lt;&gt;"Serviço","",IF(AUTOEVENTO="Manual",IF($A503=0,"&lt;-- defina o número do agrupador",OFFSET(EVENTOS!$D$14,$A503,0)),OFFSET($F$15,$A503,0)))</f>
        <v/>
      </c>
      <c r="O503" s="212"/>
      <c r="Q503" s="212"/>
      <c r="R503" s="213"/>
      <c r="S503" s="213"/>
      <c r="T503" s="213"/>
      <c r="U503" s="213"/>
      <c r="V503" s="213"/>
      <c r="W503" s="213"/>
      <c r="X503" s="213"/>
      <c r="Y503" s="213"/>
      <c r="Z503" s="214"/>
      <c r="AA503" s="213"/>
      <c r="AB503" s="213"/>
      <c r="AC503" s="213"/>
      <c r="AD503" s="213"/>
      <c r="AE503" s="213"/>
      <c r="AF503" s="213"/>
      <c r="AG503" s="213"/>
      <c r="AH503" s="214"/>
      <c r="AJ503" s="631">
        <f ca="1">IF(AND($D503="Serviço",AJ$12&lt;&gt;0,$H503&gt;0,OR(AUTOEVENTO&lt;&gt;"manual",$M503&lt;&gt;1)),ROUND(OFFSET($P503,0,AJ$13),15-13*ORÇAMENTO!$AF$7)/$H503*OFFSET(ORÇAMENTO!$X$15,ROW(AJ503)-ROW(AJ$15),0),0)</f>
        <v>0</v>
      </c>
      <c r="AK503" s="632">
        <f ca="1">IF(AND($D503="Serviço",AK$12&lt;&gt;0,$H503&gt;0,OR(AUTOEVENTO&lt;&gt;"manual",$M503&lt;&gt;1)),ROUND(OFFSET($P503,0,AK$13),15-13*ORÇAMENTO!$AF$7)/$H503*OFFSET(ORÇAMENTO!$X$15,ROW(AK503)-ROW(AK$15),0),0)</f>
        <v>0</v>
      </c>
      <c r="AL503" s="632">
        <f ca="1">IF(AND($D503="Serviço",AL$12&lt;&gt;0,$H503&gt;0,OR(AUTOEVENTO&lt;&gt;"manual",$M503&lt;&gt;1)),ROUND(OFFSET($P503,0,AL$13),15-13*ORÇAMENTO!$AF$7)/$H503*OFFSET(ORÇAMENTO!$X$15,ROW(AL503)-ROW(AL$15),0),0)</f>
        <v>0</v>
      </c>
      <c r="AM503" s="632">
        <f ca="1">IF(AND($D503="Serviço",AM$12&lt;&gt;0,$H503&gt;0,OR(AUTOEVENTO&lt;&gt;"manual",$M503&lt;&gt;1)),ROUND(OFFSET($P503,0,AM$13),15-13*ORÇAMENTO!$AF$7)/$H503*OFFSET(ORÇAMENTO!$X$15,ROW(AM503)-ROW(AM$15),0),0)</f>
        <v>0</v>
      </c>
      <c r="AN503" s="632">
        <f ca="1">IF(AND($D503="Serviço",AN$12&lt;&gt;0,$H503&gt;0,OR(AUTOEVENTO&lt;&gt;"manual",$M503&lt;&gt;1)),ROUND(OFFSET($P503,0,AN$13),15-13*ORÇAMENTO!$AF$7)/$H503*OFFSET(ORÇAMENTO!$X$15,ROW(AN503)-ROW(AN$15),0),0)</f>
        <v>0</v>
      </c>
      <c r="AO503" s="632">
        <f ca="1">IF(AND($D503="Serviço",AO$12&lt;&gt;0,$H503&gt;0,OR(AUTOEVENTO&lt;&gt;"manual",$M503&lt;&gt;1)),ROUND(OFFSET($P503,0,AO$13),15-13*ORÇAMENTO!$AF$7)/$H503*OFFSET(ORÇAMENTO!$X$15,ROW(AO503)-ROW(AO$15),0),0)</f>
        <v>0</v>
      </c>
      <c r="AP503" s="632">
        <f ca="1">IF(AND($D503="Serviço",AP$12&lt;&gt;0,$H503&gt;0,OR(AUTOEVENTO&lt;&gt;"manual",$M503&lt;&gt;1)),ROUND(OFFSET($P503,0,AP$13),15-13*ORÇAMENTO!$AF$7)/$H503*OFFSET(ORÇAMENTO!$X$15,ROW(AP503)-ROW(AP$15),0),0)</f>
        <v>0</v>
      </c>
      <c r="AQ503" s="632">
        <f ca="1">IF(AND($D503="Serviço",AQ$12&lt;&gt;0,$H503&gt;0,OR(AUTOEVENTO&lt;&gt;"manual",$M503&lt;&gt;1)),ROUND(OFFSET($P503,0,AQ$13),15-13*ORÇAMENTO!$AF$7)/$H503*OFFSET(ORÇAMENTO!$X$15,ROW(AQ503)-ROW(AQ$15),0),0)</f>
        <v>0</v>
      </c>
      <c r="AR503" s="632">
        <f ca="1">IF(AND($D503="Serviço",AR$12&lt;&gt;0,$H503&gt;0,OR(AUTOEVENTO&lt;&gt;"manual",$M503&lt;&gt;1)),ROUND(OFFSET($P503,0,AR$13),15-13*ORÇAMENTO!$AF$7)/$H503*OFFSET(ORÇAMENTO!$X$15,ROW(AR503)-ROW(AR$15),0),0)</f>
        <v>0</v>
      </c>
      <c r="AS503" s="633">
        <f ca="1">IF(AND($D503="Serviço",AS$12&lt;&gt;0,$H503&gt;0,OR(AUTOEVENTO&lt;&gt;"manual",$M503&lt;&gt;1)),ROUND(OFFSET($P503,0,AS$13),15-13*ORÇAMENTO!$AF$7)/$H503*OFFSET(ORÇAMENTO!$X$15,ROW(AS503)-ROW(AS$15),0),0)</f>
        <v>0</v>
      </c>
      <c r="AT503" s="632">
        <f ca="1">IF(AND($D503="Serviço",AT$12&lt;&gt;0,$H503&gt;0,OR(AUTOEVENTO&lt;&gt;"manual",$M503&lt;&gt;1)),ROUND(OFFSET($P503,0,AT$13),15-13*ORÇAMENTO!$AF$7)/$H503*OFFSET(ORÇAMENTO!$X$15,ROW(AT503)-ROW(AT$15),0),0)</f>
        <v>0</v>
      </c>
      <c r="AU503" s="632">
        <f ca="1">IF(AND($D503="Serviço",AU$12&lt;&gt;0,$H503&gt;0,OR(AUTOEVENTO&lt;&gt;"manual",$M503&lt;&gt;1)),ROUND(OFFSET($P503,0,AU$13),15-13*ORÇAMENTO!$AF$7)/$H503*OFFSET(ORÇAMENTO!$X$15,ROW(AU503)-ROW(AU$15),0),0)</f>
        <v>0</v>
      </c>
      <c r="AV503" s="632">
        <f ca="1">IF(AND($D503="Serviço",AV$12&lt;&gt;0,$H503&gt;0,OR(AUTOEVENTO&lt;&gt;"manual",$M503&lt;&gt;1)),ROUND(OFFSET($P503,0,AV$13),15-13*ORÇAMENTO!$AF$7)/$H503*OFFSET(ORÇAMENTO!$X$15,ROW(AV503)-ROW(AV$15),0),0)</f>
        <v>0</v>
      </c>
      <c r="AW503" s="632">
        <f ca="1">IF(AND($D503="Serviço",AW$12&lt;&gt;0,$H503&gt;0,OR(AUTOEVENTO&lt;&gt;"manual",$M503&lt;&gt;1)),ROUND(OFFSET($P503,0,AW$13),15-13*ORÇAMENTO!$AF$7)/$H503*OFFSET(ORÇAMENTO!$X$15,ROW(AW503)-ROW(AW$15),0),0)</f>
        <v>0</v>
      </c>
      <c r="AX503" s="632">
        <f ca="1">IF(AND($D503="Serviço",AX$12&lt;&gt;0,$H503&gt;0,OR(AUTOEVENTO&lt;&gt;"manual",$M503&lt;&gt;1)),ROUND(OFFSET($P503,0,AX$13),15-13*ORÇAMENTO!$AF$7)/$H503*OFFSET(ORÇAMENTO!$X$15,ROW(AX503)-ROW(AX$15),0),0)</f>
        <v>0</v>
      </c>
      <c r="AY503" s="632">
        <f ca="1">IF(AND($D503="Serviço",AY$12&lt;&gt;0,$H503&gt;0,OR(AUTOEVENTO&lt;&gt;"manual",$M503&lt;&gt;1)),ROUND(OFFSET($P503,0,AY$13),15-13*ORÇAMENTO!$AF$7)/$H503*OFFSET(ORÇAMENTO!$X$15,ROW(AY503)-ROW(AY$15),0),0)</f>
        <v>0</v>
      </c>
      <c r="AZ503" s="632">
        <f ca="1">IF(AND($D503="Serviço",AZ$12&lt;&gt;0,$H503&gt;0,OR(AUTOEVENTO&lt;&gt;"manual",$M503&lt;&gt;1)),ROUND(OFFSET($P503,0,AZ$13),15-13*ORÇAMENTO!$AF$7)/$H503*OFFSET(ORÇAMENTO!$X$15,ROW(AZ503)-ROW(AZ$15),0),0)</f>
        <v>0</v>
      </c>
      <c r="BA503" s="633">
        <f ca="1">IF(AND($D503="Serviço",BA$12&lt;&gt;0,$H503&gt;0,OR(AUTOEVENTO&lt;&gt;"manual",$M503&lt;&gt;1)),ROUND(OFFSET($P503,0,BA$13),15-13*ORÇAMENTO!$AF$7)/$H503*OFFSET(ORÇAMENTO!$X$15,ROW(BA503)-ROW(BA$15),0),0)</f>
        <v>0</v>
      </c>
      <c r="BC503" s="215">
        <f ca="1">IF($D503&lt;&gt;"Serviço",0,IF(AND(AUTOEVENTO="Manual",$M503=1),0,IF(OFFSET(CRONOPLE!$F$14,$M503,BC$13)="",10^12,OFFSET(CRONOPLE!$F$14,$M503,BC$13))))</f>
        <v>0</v>
      </c>
      <c r="BD503" s="215">
        <f ca="1">IF($D503&lt;&gt;"Serviço",0,IF(AND(AUTOEVENTO="Manual",$M503=1),0,IF(OFFSET(CRONOPLE!$F$14,$M503,BD$13)="",10^12,OFFSET(CRONOPLE!$F$14,$M503,BD$13))))</f>
        <v>0</v>
      </c>
      <c r="BE503" s="215">
        <f ca="1">IF($D503&lt;&gt;"Serviço",0,IF(AND(AUTOEVENTO="Manual",$M503=1),0,IF(OFFSET(CRONOPLE!$F$14,$M503,BE$13)="",10^12,OFFSET(CRONOPLE!$F$14,$M503,BE$13))))</f>
        <v>0</v>
      </c>
      <c r="BF503" s="215">
        <f ca="1">IF($D503&lt;&gt;"Serviço",0,IF(AND(AUTOEVENTO="Manual",$M503=1),0,IF(OFFSET(CRONOPLE!$F$14,$M503,BF$13)="",10^12,OFFSET(CRONOPLE!$F$14,$M503,BF$13))))</f>
        <v>0</v>
      </c>
      <c r="BG503" s="215">
        <f ca="1">IF($D503&lt;&gt;"Serviço",0,IF(AND(AUTOEVENTO="Manual",$M503=1),0,IF(OFFSET(CRONOPLE!$F$14,$M503,BG$13)="",10^12,OFFSET(CRONOPLE!$F$14,$M503,BG$13))))</f>
        <v>0</v>
      </c>
      <c r="BH503" s="215">
        <f ca="1">IF($D503&lt;&gt;"Serviço",0,IF(AND(AUTOEVENTO="Manual",$M503=1),0,IF(OFFSET(CRONOPLE!$F$14,$M503,BH$13)="",10^12,OFFSET(CRONOPLE!$F$14,$M503,BH$13))))</f>
        <v>0</v>
      </c>
      <c r="BI503" s="215">
        <f ca="1">IF($D503&lt;&gt;"Serviço",0,IF(AND(AUTOEVENTO="Manual",$M503=1),0,IF(OFFSET(CRONOPLE!$F$14,$M503,BI$13)="",10^12,OFFSET(CRONOPLE!$F$14,$M503,BI$13))))</f>
        <v>0</v>
      </c>
      <c r="BJ503" s="215">
        <f ca="1">IF($D503&lt;&gt;"Serviço",0,IF(AND(AUTOEVENTO="Manual",$M503=1),0,IF(OFFSET(CRONOPLE!$F$14,$M503,BJ$13)="",10^12,OFFSET(CRONOPLE!$F$14,$M503,BJ$13))))</f>
        <v>0</v>
      </c>
      <c r="BK503" s="215">
        <f ca="1">IF($D503&lt;&gt;"Serviço",0,IF(AND(AUTOEVENTO="Manual",$M503=1),0,IF(OFFSET(CRONOPLE!$F$14,$M503,BK$13)="",10^12,OFFSET(CRONOPLE!$F$14,$M503,BK$13))))</f>
        <v>0</v>
      </c>
      <c r="BL503" s="215">
        <f ca="1">IF($D503&lt;&gt;"Serviço",0,IF(AND(AUTOEVENTO="Manual",$M503=1),0,IF(OFFSET(CRONOPLE!$F$14,$M503,BL$13)="",10^12,OFFSET(CRONOPLE!$F$14,$M503,BL$13))))</f>
        <v>0</v>
      </c>
      <c r="BM503" s="215">
        <f ca="1">IF($D503&lt;&gt;"Serviço",0,IF(AND(AUTOEVENTO="Manual",$M503=1),0,IF(OFFSET(CRONOPLE!$F$14,$M503,BM$13)="",10^12,OFFSET(CRONOPLE!$F$14,$M503,BM$13))))</f>
        <v>0</v>
      </c>
      <c r="BN503" s="215">
        <f ca="1">IF($D503&lt;&gt;"Serviço",0,IF(AND(AUTOEVENTO="Manual",$M503=1),0,IF(OFFSET(CRONOPLE!$F$14,$M503,BN$13)="",10^12,OFFSET(CRONOPLE!$F$14,$M503,BN$13))))</f>
        <v>0</v>
      </c>
      <c r="BO503" s="215">
        <f ca="1">IF($D503&lt;&gt;"Serviço",0,IF(AND(AUTOEVENTO="Manual",$M503=1),0,IF(OFFSET(CRONOPLE!$F$14,$M503,BO$13)="",10^12,OFFSET(CRONOPLE!$F$14,$M503,BO$13))))</f>
        <v>0</v>
      </c>
      <c r="BP503" s="215">
        <f ca="1">IF($D503&lt;&gt;"Serviço",0,IF(AND(AUTOEVENTO="Manual",$M503=1),0,IF(OFFSET(CRONOPLE!$F$14,$M503,BP$13)="",10^12,OFFSET(CRONOPLE!$F$14,$M503,BP$13))))</f>
        <v>0</v>
      </c>
      <c r="BQ503" s="215">
        <f ca="1">IF($D503&lt;&gt;"Serviço",0,IF(AND(AUTOEVENTO="Manual",$M503=1),0,IF(OFFSET(CRONOPLE!$F$14,$M503,BQ$13)="",10^12,OFFSET(CRONOPLE!$F$14,$M503,BQ$13))))</f>
        <v>0</v>
      </c>
      <c r="BR503" s="215">
        <f ca="1">IF($D503&lt;&gt;"Serviço",0,IF(AND(AUTOEVENTO="Manual",$M503=1),0,IF(OFFSET(CRONOPLE!$F$14,$M503,BR$13)="",10^12,OFFSET(CRONOPLE!$F$14,$M503,BR$13))))</f>
        <v>0</v>
      </c>
      <c r="BS503" s="215">
        <f ca="1">IF($D503&lt;&gt;"Serviço",0,IF(AND(AUTOEVENTO="Manual",$M503=1),0,IF(OFFSET(CRONOPLE!$F$14,$M503,BS$13)="",10^12,OFFSET(CRONOPLE!$F$14,$M503,BS$13))))</f>
        <v>0</v>
      </c>
      <c r="BT503" s="215">
        <f ca="1">IF($D503&lt;&gt;"Serviço",0,IF(AND(AUTOEVENTO="Manual",$M503=1),0,IF(OFFSET(CRONOPLE!$F$14,$M503,BT$13)="",10^12,OFFSET(CRONOPLE!$F$14,$M503,BT$13))))</f>
        <v>0</v>
      </c>
      <c r="BV503" s="216">
        <f ca="1">IF($D503&lt;&gt;"Serviço",0,IF(OR(AND(AUTOEVENTO="Manual",$M503=1),$M503&gt;(ROW(PLE.lastrow)-ROW(PLE.firstrow))),0,IF(OFFSET(PLE!$G$14,$M503,BV$13)="",10^12,OFFSET(PLE!$G$14,$M503,BV$13))))</f>
        <v>0</v>
      </c>
      <c r="BW503" s="216">
        <f ca="1">IF($D503&lt;&gt;"Serviço",0,IF(OR(AND(AUTOEVENTO="Manual",$M503=1),$M503&gt;(ROW(PLE.lastrow)-ROW(PLE.firstrow))),0,IF(OFFSET(PLE!$G$14,$M503,BW$13)="",10^12,OFFSET(PLE!$G$14,$M503,BW$13))))</f>
        <v>0</v>
      </c>
      <c r="BX503" s="216">
        <f ca="1">IF($D503&lt;&gt;"Serviço",0,IF(OR(AND(AUTOEVENTO="Manual",$M503=1),$M503&gt;(ROW(PLE.lastrow)-ROW(PLE.firstrow))),0,IF(OFFSET(PLE!$G$14,$M503,BX$13)="",10^12,OFFSET(PLE!$G$14,$M503,BX$13))))</f>
        <v>0</v>
      </c>
      <c r="BY503" s="216">
        <f ca="1">IF($D503&lt;&gt;"Serviço",0,IF(OR(AND(AUTOEVENTO="Manual",$M503=1),$M503&gt;(ROW(PLE.lastrow)-ROW(PLE.firstrow))),0,IF(OFFSET(PLE!$G$14,$M503,BY$13)="",10^12,OFFSET(PLE!$G$14,$M503,BY$13))))</f>
        <v>0</v>
      </c>
      <c r="BZ503" s="216">
        <f ca="1">IF($D503&lt;&gt;"Serviço",0,IF(OR(AND(AUTOEVENTO="Manual",$M503=1),$M503&gt;(ROW(PLE.lastrow)-ROW(PLE.firstrow))),0,IF(OFFSET(PLE!$G$14,$M503,BZ$13)="",10^12,OFFSET(PLE!$G$14,$M503,BZ$13))))</f>
        <v>0</v>
      </c>
      <c r="CA503" s="216">
        <f ca="1">IF($D503&lt;&gt;"Serviço",0,IF(OR(AND(AUTOEVENTO="Manual",$M503=1),$M503&gt;(ROW(PLE.lastrow)-ROW(PLE.firstrow))),0,IF(OFFSET(PLE!$G$14,$M503,CA$13)="",10^12,OFFSET(PLE!$G$14,$M503,CA$13))))</f>
        <v>0</v>
      </c>
      <c r="CB503" s="216">
        <f ca="1">IF($D503&lt;&gt;"Serviço",0,IF(OR(AND(AUTOEVENTO="Manual",$M503=1),$M503&gt;(ROW(PLE.lastrow)-ROW(PLE.firstrow))),0,IF(OFFSET(PLE!$G$14,$M503,CB$13)="",10^12,OFFSET(PLE!$G$14,$M503,CB$13))))</f>
        <v>0</v>
      </c>
      <c r="CC503" s="216">
        <f ca="1">IF($D503&lt;&gt;"Serviço",0,IF(OR(AND(AUTOEVENTO="Manual",$M503=1),$M503&gt;(ROW(PLE.lastrow)-ROW(PLE.firstrow))),0,IF(OFFSET(PLE!$G$14,$M503,CC$13)="",10^12,OFFSET(PLE!$G$14,$M503,CC$13))))</f>
        <v>0</v>
      </c>
      <c r="CD503" s="216">
        <f ca="1">IF($D503&lt;&gt;"Serviço",0,IF(OR(AND(AUTOEVENTO="Manual",$M503=1),$M503&gt;(ROW(PLE.lastrow)-ROW(PLE.firstrow))),0,IF(OFFSET(PLE!$G$14,$M503,CD$13)="",10^12,OFFSET(PLE!$G$14,$M503,CD$13))))</f>
        <v>0</v>
      </c>
      <c r="CE503" s="216">
        <f ca="1">IF($D503&lt;&gt;"Serviço",0,IF(OR(AND(AUTOEVENTO="Manual",$M503=1),$M503&gt;(ROW(PLE.lastrow)-ROW(PLE.firstrow))),0,IF(OFFSET(PLE!$G$14,$M503,CE$13)="",10^12,OFFSET(PLE!$G$14,$M503,CE$13))))</f>
        <v>0</v>
      </c>
      <c r="CF503" s="216">
        <f ca="1">IF($D503&lt;&gt;"Serviço",0,IF(OR(AND(AUTOEVENTO="Manual",$M503=1),$M503&gt;(ROW(PLE.lastrow)-ROW(PLE.firstrow))),0,IF(OFFSET(PLE!$G$14,$M503,CF$13)="",10^12,OFFSET(PLE!$G$14,$M503,CF$13))))</f>
        <v>0</v>
      </c>
      <c r="CG503" s="216">
        <f ca="1">IF($D503&lt;&gt;"Serviço",0,IF(OR(AND(AUTOEVENTO="Manual",$M503=1),$M503&gt;(ROW(PLE.lastrow)-ROW(PLE.firstrow))),0,IF(OFFSET(PLE!$G$14,$M503,CG$13)="",10^12,OFFSET(PLE!$G$14,$M503,CG$13))))</f>
        <v>0</v>
      </c>
      <c r="CH503" s="216">
        <f ca="1">IF($D503&lt;&gt;"Serviço",0,IF(OR(AND(AUTOEVENTO="Manual",$M503=1),$M503&gt;(ROW(PLE.lastrow)-ROW(PLE.firstrow))),0,IF(OFFSET(PLE!$G$14,$M503,CH$13)="",10^12,OFFSET(PLE!$G$14,$M503,CH$13))))</f>
        <v>0</v>
      </c>
      <c r="CI503" s="216">
        <f ca="1">IF($D503&lt;&gt;"Serviço",0,IF(OR(AND(AUTOEVENTO="Manual",$M503=1),$M503&gt;(ROW(PLE.lastrow)-ROW(PLE.firstrow))),0,IF(OFFSET(PLE!$G$14,$M503,CI$13)="",10^12,OFFSET(PLE!$G$14,$M503,CI$13))))</f>
        <v>0</v>
      </c>
      <c r="CJ503" s="216">
        <f ca="1">IF($D503&lt;&gt;"Serviço",0,IF(OR(AND(AUTOEVENTO="Manual",$M503=1),$M503&gt;(ROW(PLE.lastrow)-ROW(PLE.firstrow))),0,IF(OFFSET(PLE!$G$14,$M503,CJ$13)="",10^12,OFFSET(PLE!$G$14,$M503,CJ$13))))</f>
        <v>0</v>
      </c>
      <c r="CK503" s="216">
        <f ca="1">IF($D503&lt;&gt;"Serviço",0,IF(OR(AND(AUTOEVENTO="Manual",$M503=1),$M503&gt;(ROW(PLE.lastrow)-ROW(PLE.firstrow))),0,IF(OFFSET(PLE!$G$14,$M503,CK$13)="",10^12,OFFSET(PLE!$G$14,$M503,CK$13))))</f>
        <v>0</v>
      </c>
      <c r="CL503" s="216">
        <f ca="1">IF($D503&lt;&gt;"Serviço",0,IF(OR(AND(AUTOEVENTO="Manual",$M503=1),$M503&gt;(ROW(PLE.lastrow)-ROW(PLE.firstrow))),0,IF(OFFSET(PLE!$G$14,$M503,CL$13)="",10^12,OFFSET(PLE!$G$14,$M503,CL$13))))</f>
        <v>0</v>
      </c>
      <c r="CM503" s="216">
        <f ca="1">IF($D503&lt;&gt;"Serviço",0,IF(OR(AND(AUTOEVENTO="Manual",$M503=1),$M503&gt;(ROW(PLE.lastrow)-ROW(PLE.firstrow))),0,IF(OFFSET(PLE!$G$14,$M503,CM$13)="",10^12,OFFSET(PLE!$G$14,$M503,CM$13))))</f>
        <v>0</v>
      </c>
    </row>
    <row r="504" spans="1:91" ht="13.2" x14ac:dyDescent="0.25">
      <c r="A504" s="9">
        <f t="shared" ca="1" si="16"/>
        <v>0</v>
      </c>
      <c r="B504" s="9" t="str">
        <f ca="1">OFFSET(ORÇAMENTO!C$15,ROW(B504)-ROW(B$15),0)</f>
        <v>S</v>
      </c>
      <c r="C504" s="9" t="str">
        <f ca="1">OFFSET(ORÇAMENTO!L$15,ROW(C504)-ROW(C$15),0)</f>
        <v/>
      </c>
      <c r="D504" s="145" t="str">
        <f ca="1">OFFSET(ORÇAMENTO!N$15,ROW(D504)-ROW(D$15),0)</f>
        <v>Serviço</v>
      </c>
      <c r="E504" s="205" t="str">
        <f ca="1">OFFSET(ORÇAMENTO!O$15,ROW(E504)-ROW(E$15),0)</f>
        <v>-</v>
      </c>
      <c r="F504" s="206" t="str">
        <f ca="1">OFFSET(ORÇAMENTO!R$15,ROW(F504)-ROW(F$15),0)</f>
        <v>(abra o arquivo 'Referência 05-2024.xls)</v>
      </c>
      <c r="G504" s="207" t="str">
        <f ca="1">IF($D504&lt;&gt;"Serviço","",OFFSET(ORÇAMENTO!S$15,ROW(G504)-ROW(G$15),0))</f>
        <v>-</v>
      </c>
      <c r="H504" s="151">
        <f ca="1">IF($D504&lt;&gt;"Serviço",0,IF(ACOMPANHAMENTO="BM",ROUND(OFFSET(ORÇAMENTO!AJ$15,ROW(H504)-ROW(H$15),0),15-13*ORÇAMENTO!$AF$7),SUMPRODUCT(($Q$12:$AI$12&lt;&gt;"")*ROUND($Q504:$AI504,15-13*ORÇAMENTO!$AF$7))))</f>
        <v>5</v>
      </c>
      <c r="I504" s="650"/>
      <c r="K504" s="208"/>
      <c r="L504" s="209" t="s">
        <v>257</v>
      </c>
      <c r="M504" s="210">
        <f ca="1">IF($D504&lt;&gt;"Serviço","",IF(AUTOEVENTO="manual",$A504,IF(ISERROR(MATCH($A504,$A$15:OFFSET($A504,-1,0),0)),MAX($M$15:OFFSET(M504,-1,0))+1,INDEX($M$15:OFFSET(M504,-1,0),MATCH($A504,$A$15:OFFSET($A504,-1,0),0)))))</f>
        <v>0</v>
      </c>
      <c r="N504" s="211" t="str">
        <f ca="1">IF($D504&lt;&gt;"Serviço","",IF(AUTOEVENTO="Manual",IF($A504=0,"&lt;-- defina o número do agrupador",OFFSET(EVENTOS!$D$14,$A504,0)),OFFSET($F$15,$A504,0)))</f>
        <v>&lt;-- defina o número do agrupador</v>
      </c>
      <c r="O504" s="212"/>
      <c r="Q504" s="212"/>
      <c r="R504" s="213"/>
      <c r="S504" s="213"/>
      <c r="T504" s="213"/>
      <c r="U504" s="213"/>
      <c r="V504" s="213"/>
      <c r="W504" s="213"/>
      <c r="X504" s="213"/>
      <c r="Y504" s="213"/>
      <c r="Z504" s="214"/>
      <c r="AA504" s="213"/>
      <c r="AB504" s="213"/>
      <c r="AC504" s="213"/>
      <c r="AD504" s="213"/>
      <c r="AE504" s="213"/>
      <c r="AF504" s="213"/>
      <c r="AG504" s="213"/>
      <c r="AH504" s="214"/>
      <c r="AJ504" s="631">
        <f ca="1">IF(AND($D504="Serviço",AJ$12&lt;&gt;0,$H504&gt;0,OR(AUTOEVENTO&lt;&gt;"manual",$M504&lt;&gt;1)),ROUND(OFFSET($P504,0,AJ$13),15-13*ORÇAMENTO!$AF$7)/$H504*OFFSET(ORÇAMENTO!$X$15,ROW(AJ504)-ROW(AJ$15),0),0)</f>
        <v>0</v>
      </c>
      <c r="AK504" s="632">
        <f ca="1">IF(AND($D504="Serviço",AK$12&lt;&gt;0,$H504&gt;0,OR(AUTOEVENTO&lt;&gt;"manual",$M504&lt;&gt;1)),ROUND(OFFSET($P504,0,AK$13),15-13*ORÇAMENTO!$AF$7)/$H504*OFFSET(ORÇAMENTO!$X$15,ROW(AK504)-ROW(AK$15),0),0)</f>
        <v>0</v>
      </c>
      <c r="AL504" s="632">
        <f ca="1">IF(AND($D504="Serviço",AL$12&lt;&gt;0,$H504&gt;0,OR(AUTOEVENTO&lt;&gt;"manual",$M504&lt;&gt;1)),ROUND(OFFSET($P504,0,AL$13),15-13*ORÇAMENTO!$AF$7)/$H504*OFFSET(ORÇAMENTO!$X$15,ROW(AL504)-ROW(AL$15),0),0)</f>
        <v>0</v>
      </c>
      <c r="AM504" s="632">
        <f ca="1">IF(AND($D504="Serviço",AM$12&lt;&gt;0,$H504&gt;0,OR(AUTOEVENTO&lt;&gt;"manual",$M504&lt;&gt;1)),ROUND(OFFSET($P504,0,AM$13),15-13*ORÇAMENTO!$AF$7)/$H504*OFFSET(ORÇAMENTO!$X$15,ROW(AM504)-ROW(AM$15),0),0)</f>
        <v>0</v>
      </c>
      <c r="AN504" s="632">
        <f ca="1">IF(AND($D504="Serviço",AN$12&lt;&gt;0,$H504&gt;0,OR(AUTOEVENTO&lt;&gt;"manual",$M504&lt;&gt;1)),ROUND(OFFSET($P504,0,AN$13),15-13*ORÇAMENTO!$AF$7)/$H504*OFFSET(ORÇAMENTO!$X$15,ROW(AN504)-ROW(AN$15),0),0)</f>
        <v>0</v>
      </c>
      <c r="AO504" s="632">
        <f ca="1">IF(AND($D504="Serviço",AO$12&lt;&gt;0,$H504&gt;0,OR(AUTOEVENTO&lt;&gt;"manual",$M504&lt;&gt;1)),ROUND(OFFSET($P504,0,AO$13),15-13*ORÇAMENTO!$AF$7)/$H504*OFFSET(ORÇAMENTO!$X$15,ROW(AO504)-ROW(AO$15),0),0)</f>
        <v>0</v>
      </c>
      <c r="AP504" s="632">
        <f ca="1">IF(AND($D504="Serviço",AP$12&lt;&gt;0,$H504&gt;0,OR(AUTOEVENTO&lt;&gt;"manual",$M504&lt;&gt;1)),ROUND(OFFSET($P504,0,AP$13),15-13*ORÇAMENTO!$AF$7)/$H504*OFFSET(ORÇAMENTO!$X$15,ROW(AP504)-ROW(AP$15),0),0)</f>
        <v>0</v>
      </c>
      <c r="AQ504" s="632">
        <f ca="1">IF(AND($D504="Serviço",AQ$12&lt;&gt;0,$H504&gt;0,OR(AUTOEVENTO&lt;&gt;"manual",$M504&lt;&gt;1)),ROUND(OFFSET($P504,0,AQ$13),15-13*ORÇAMENTO!$AF$7)/$H504*OFFSET(ORÇAMENTO!$X$15,ROW(AQ504)-ROW(AQ$15),0),0)</f>
        <v>0</v>
      </c>
      <c r="AR504" s="632">
        <f ca="1">IF(AND($D504="Serviço",AR$12&lt;&gt;0,$H504&gt;0,OR(AUTOEVENTO&lt;&gt;"manual",$M504&lt;&gt;1)),ROUND(OFFSET($P504,0,AR$13),15-13*ORÇAMENTO!$AF$7)/$H504*OFFSET(ORÇAMENTO!$X$15,ROW(AR504)-ROW(AR$15),0),0)</f>
        <v>0</v>
      </c>
      <c r="AS504" s="633">
        <f ca="1">IF(AND($D504="Serviço",AS$12&lt;&gt;0,$H504&gt;0,OR(AUTOEVENTO&lt;&gt;"manual",$M504&lt;&gt;1)),ROUND(OFFSET($P504,0,AS$13),15-13*ORÇAMENTO!$AF$7)/$H504*OFFSET(ORÇAMENTO!$X$15,ROW(AS504)-ROW(AS$15),0),0)</f>
        <v>0</v>
      </c>
      <c r="AT504" s="632">
        <f ca="1">IF(AND($D504="Serviço",AT$12&lt;&gt;0,$H504&gt;0,OR(AUTOEVENTO&lt;&gt;"manual",$M504&lt;&gt;1)),ROUND(OFFSET($P504,0,AT$13),15-13*ORÇAMENTO!$AF$7)/$H504*OFFSET(ORÇAMENTO!$X$15,ROW(AT504)-ROW(AT$15),0),0)</f>
        <v>0</v>
      </c>
      <c r="AU504" s="632">
        <f ca="1">IF(AND($D504="Serviço",AU$12&lt;&gt;0,$H504&gt;0,OR(AUTOEVENTO&lt;&gt;"manual",$M504&lt;&gt;1)),ROUND(OFFSET($P504,0,AU$13),15-13*ORÇAMENTO!$AF$7)/$H504*OFFSET(ORÇAMENTO!$X$15,ROW(AU504)-ROW(AU$15),0),0)</f>
        <v>0</v>
      </c>
      <c r="AV504" s="632">
        <f ca="1">IF(AND($D504="Serviço",AV$12&lt;&gt;0,$H504&gt;0,OR(AUTOEVENTO&lt;&gt;"manual",$M504&lt;&gt;1)),ROUND(OFFSET($P504,0,AV$13),15-13*ORÇAMENTO!$AF$7)/$H504*OFFSET(ORÇAMENTO!$X$15,ROW(AV504)-ROW(AV$15),0),0)</f>
        <v>0</v>
      </c>
      <c r="AW504" s="632">
        <f ca="1">IF(AND($D504="Serviço",AW$12&lt;&gt;0,$H504&gt;0,OR(AUTOEVENTO&lt;&gt;"manual",$M504&lt;&gt;1)),ROUND(OFFSET($P504,0,AW$13),15-13*ORÇAMENTO!$AF$7)/$H504*OFFSET(ORÇAMENTO!$X$15,ROW(AW504)-ROW(AW$15),0),0)</f>
        <v>0</v>
      </c>
      <c r="AX504" s="632">
        <f ca="1">IF(AND($D504="Serviço",AX$12&lt;&gt;0,$H504&gt;0,OR(AUTOEVENTO&lt;&gt;"manual",$M504&lt;&gt;1)),ROUND(OFFSET($P504,0,AX$13),15-13*ORÇAMENTO!$AF$7)/$H504*OFFSET(ORÇAMENTO!$X$15,ROW(AX504)-ROW(AX$15),0),0)</f>
        <v>0</v>
      </c>
      <c r="AY504" s="632">
        <f ca="1">IF(AND($D504="Serviço",AY$12&lt;&gt;0,$H504&gt;0,OR(AUTOEVENTO&lt;&gt;"manual",$M504&lt;&gt;1)),ROUND(OFFSET($P504,0,AY$13),15-13*ORÇAMENTO!$AF$7)/$H504*OFFSET(ORÇAMENTO!$X$15,ROW(AY504)-ROW(AY$15),0),0)</f>
        <v>0</v>
      </c>
      <c r="AZ504" s="632">
        <f ca="1">IF(AND($D504="Serviço",AZ$12&lt;&gt;0,$H504&gt;0,OR(AUTOEVENTO&lt;&gt;"manual",$M504&lt;&gt;1)),ROUND(OFFSET($P504,0,AZ$13),15-13*ORÇAMENTO!$AF$7)/$H504*OFFSET(ORÇAMENTO!$X$15,ROW(AZ504)-ROW(AZ$15),0),0)</f>
        <v>0</v>
      </c>
      <c r="BA504" s="633">
        <f ca="1">IF(AND($D504="Serviço",BA$12&lt;&gt;0,$H504&gt;0,OR(AUTOEVENTO&lt;&gt;"manual",$M504&lt;&gt;1)),ROUND(OFFSET($P504,0,BA$13),15-13*ORÇAMENTO!$AF$7)/$H504*OFFSET(ORÇAMENTO!$X$15,ROW(BA504)-ROW(BA$15),0),0)</f>
        <v>0</v>
      </c>
      <c r="BC504" s="215">
        <f ca="1">IF($D504&lt;&gt;"Serviço",0,IF(AND(AUTOEVENTO="Manual",$M504=1),0,IF(OFFSET(CRONOPLE!$F$14,$M504,BC$13)="",10^12,OFFSET(CRONOPLE!$F$14,$M504,BC$13))))</f>
        <v>1000000000000</v>
      </c>
      <c r="BD504" s="215">
        <f ca="1">IF($D504&lt;&gt;"Serviço",0,IF(AND(AUTOEVENTO="Manual",$M504=1),0,IF(OFFSET(CRONOPLE!$F$14,$M504,BD$13)="",10^12,OFFSET(CRONOPLE!$F$14,$M504,BD$13))))</f>
        <v>1000000000000</v>
      </c>
      <c r="BE504" s="215">
        <f ca="1">IF($D504&lt;&gt;"Serviço",0,IF(AND(AUTOEVENTO="Manual",$M504=1),0,IF(OFFSET(CRONOPLE!$F$14,$M504,BE$13)="",10^12,OFFSET(CRONOPLE!$F$14,$M504,BE$13))))</f>
        <v>1000000000000</v>
      </c>
      <c r="BF504" s="215">
        <f ca="1">IF($D504&lt;&gt;"Serviço",0,IF(AND(AUTOEVENTO="Manual",$M504=1),0,IF(OFFSET(CRONOPLE!$F$14,$M504,BF$13)="",10^12,OFFSET(CRONOPLE!$F$14,$M504,BF$13))))</f>
        <v>1000000000000</v>
      </c>
      <c r="BG504" s="215">
        <f ca="1">IF($D504&lt;&gt;"Serviço",0,IF(AND(AUTOEVENTO="Manual",$M504=1),0,IF(OFFSET(CRONOPLE!$F$14,$M504,BG$13)="",10^12,OFFSET(CRONOPLE!$F$14,$M504,BG$13))))</f>
        <v>1000000000000</v>
      </c>
      <c r="BH504" s="215">
        <f ca="1">IF($D504&lt;&gt;"Serviço",0,IF(AND(AUTOEVENTO="Manual",$M504=1),0,IF(OFFSET(CRONOPLE!$F$14,$M504,BH$13)="",10^12,OFFSET(CRONOPLE!$F$14,$M504,BH$13))))</f>
        <v>1000000000000</v>
      </c>
      <c r="BI504" s="215">
        <f ca="1">IF($D504&lt;&gt;"Serviço",0,IF(AND(AUTOEVENTO="Manual",$M504=1),0,IF(OFFSET(CRONOPLE!$F$14,$M504,BI$13)="",10^12,OFFSET(CRONOPLE!$F$14,$M504,BI$13))))</f>
        <v>1000000000000</v>
      </c>
      <c r="BJ504" s="215">
        <f ca="1">IF($D504&lt;&gt;"Serviço",0,IF(AND(AUTOEVENTO="Manual",$M504=1),0,IF(OFFSET(CRONOPLE!$F$14,$M504,BJ$13)="",10^12,OFFSET(CRONOPLE!$F$14,$M504,BJ$13))))</f>
        <v>1000000000000</v>
      </c>
      <c r="BK504" s="215">
        <f ca="1">IF($D504&lt;&gt;"Serviço",0,IF(AND(AUTOEVENTO="Manual",$M504=1),0,IF(OFFSET(CRONOPLE!$F$14,$M504,BK$13)="",10^12,OFFSET(CRONOPLE!$F$14,$M504,BK$13))))</f>
        <v>1000000000000</v>
      </c>
      <c r="BL504" s="215">
        <f ca="1">IF($D504&lt;&gt;"Serviço",0,IF(AND(AUTOEVENTO="Manual",$M504=1),0,IF(OFFSET(CRONOPLE!$F$14,$M504,BL$13)="",10^12,OFFSET(CRONOPLE!$F$14,$M504,BL$13))))</f>
        <v>1000000000000</v>
      </c>
      <c r="BM504" s="215">
        <f ca="1">IF($D504&lt;&gt;"Serviço",0,IF(AND(AUTOEVENTO="Manual",$M504=1),0,IF(OFFSET(CRONOPLE!$F$14,$M504,BM$13)="",10^12,OFFSET(CRONOPLE!$F$14,$M504,BM$13))))</f>
        <v>1000000000000</v>
      </c>
      <c r="BN504" s="215">
        <f ca="1">IF($D504&lt;&gt;"Serviço",0,IF(AND(AUTOEVENTO="Manual",$M504=1),0,IF(OFFSET(CRONOPLE!$F$14,$M504,BN$13)="",10^12,OFFSET(CRONOPLE!$F$14,$M504,BN$13))))</f>
        <v>1000000000000</v>
      </c>
      <c r="BO504" s="215">
        <f ca="1">IF($D504&lt;&gt;"Serviço",0,IF(AND(AUTOEVENTO="Manual",$M504=1),0,IF(OFFSET(CRONOPLE!$F$14,$M504,BO$13)="",10^12,OFFSET(CRONOPLE!$F$14,$M504,BO$13))))</f>
        <v>1000000000000</v>
      </c>
      <c r="BP504" s="215">
        <f ca="1">IF($D504&lt;&gt;"Serviço",0,IF(AND(AUTOEVENTO="Manual",$M504=1),0,IF(OFFSET(CRONOPLE!$F$14,$M504,BP$13)="",10^12,OFFSET(CRONOPLE!$F$14,$M504,BP$13))))</f>
        <v>1000000000000</v>
      </c>
      <c r="BQ504" s="215">
        <f ca="1">IF($D504&lt;&gt;"Serviço",0,IF(AND(AUTOEVENTO="Manual",$M504=1),0,IF(OFFSET(CRONOPLE!$F$14,$M504,BQ$13)="",10^12,OFFSET(CRONOPLE!$F$14,$M504,BQ$13))))</f>
        <v>1000000000000</v>
      </c>
      <c r="BR504" s="215">
        <f ca="1">IF($D504&lt;&gt;"Serviço",0,IF(AND(AUTOEVENTO="Manual",$M504=1),0,IF(OFFSET(CRONOPLE!$F$14,$M504,BR$13)="",10^12,OFFSET(CRONOPLE!$F$14,$M504,BR$13))))</f>
        <v>1000000000000</v>
      </c>
      <c r="BS504" s="215">
        <f ca="1">IF($D504&lt;&gt;"Serviço",0,IF(AND(AUTOEVENTO="Manual",$M504=1),0,IF(OFFSET(CRONOPLE!$F$14,$M504,BS$13)="",10^12,OFFSET(CRONOPLE!$F$14,$M504,BS$13))))</f>
        <v>1000000000000</v>
      </c>
      <c r="BT504" s="215">
        <f ca="1">IF($D504&lt;&gt;"Serviço",0,IF(AND(AUTOEVENTO="Manual",$M504=1),0,IF(OFFSET(CRONOPLE!$F$14,$M504,BT$13)="",10^12,OFFSET(CRONOPLE!$F$14,$M504,BT$13))))</f>
        <v>1000000000000</v>
      </c>
      <c r="BV504" s="216">
        <f ca="1">IF($D504&lt;&gt;"Serviço",0,IF(OR(AND(AUTOEVENTO="Manual",$M504=1),$M504&gt;(ROW(PLE.lastrow)-ROW(PLE.firstrow))),0,IF(OFFSET(PLE!$G$14,$M504,BV$13)="",10^12,OFFSET(PLE!$G$14,$M504,BV$13))))</f>
        <v>1000000000000</v>
      </c>
      <c r="BW504" s="216">
        <f ca="1">IF($D504&lt;&gt;"Serviço",0,IF(OR(AND(AUTOEVENTO="Manual",$M504=1),$M504&gt;(ROW(PLE.lastrow)-ROW(PLE.firstrow))),0,IF(OFFSET(PLE!$G$14,$M504,BW$13)="",10^12,OFFSET(PLE!$G$14,$M504,BW$13))))</f>
        <v>1000000000000</v>
      </c>
      <c r="BX504" s="216">
        <f ca="1">IF($D504&lt;&gt;"Serviço",0,IF(OR(AND(AUTOEVENTO="Manual",$M504=1),$M504&gt;(ROW(PLE.lastrow)-ROW(PLE.firstrow))),0,IF(OFFSET(PLE!$G$14,$M504,BX$13)="",10^12,OFFSET(PLE!$G$14,$M504,BX$13))))</f>
        <v>1000000000000</v>
      </c>
      <c r="BY504" s="216">
        <f ca="1">IF($D504&lt;&gt;"Serviço",0,IF(OR(AND(AUTOEVENTO="Manual",$M504=1),$M504&gt;(ROW(PLE.lastrow)-ROW(PLE.firstrow))),0,IF(OFFSET(PLE!$G$14,$M504,BY$13)="",10^12,OFFSET(PLE!$G$14,$M504,BY$13))))</f>
        <v>1000000000000</v>
      </c>
      <c r="BZ504" s="216">
        <f ca="1">IF($D504&lt;&gt;"Serviço",0,IF(OR(AND(AUTOEVENTO="Manual",$M504=1),$M504&gt;(ROW(PLE.lastrow)-ROW(PLE.firstrow))),0,IF(OFFSET(PLE!$G$14,$M504,BZ$13)="",10^12,OFFSET(PLE!$G$14,$M504,BZ$13))))</f>
        <v>1000000000000</v>
      </c>
      <c r="CA504" s="216">
        <f ca="1">IF($D504&lt;&gt;"Serviço",0,IF(OR(AND(AUTOEVENTO="Manual",$M504=1),$M504&gt;(ROW(PLE.lastrow)-ROW(PLE.firstrow))),0,IF(OFFSET(PLE!$G$14,$M504,CA$13)="",10^12,OFFSET(PLE!$G$14,$M504,CA$13))))</f>
        <v>1000000000000</v>
      </c>
      <c r="CB504" s="216">
        <f ca="1">IF($D504&lt;&gt;"Serviço",0,IF(OR(AND(AUTOEVENTO="Manual",$M504=1),$M504&gt;(ROW(PLE.lastrow)-ROW(PLE.firstrow))),0,IF(OFFSET(PLE!$G$14,$M504,CB$13)="",10^12,OFFSET(PLE!$G$14,$M504,CB$13))))</f>
        <v>1000000000000</v>
      </c>
      <c r="CC504" s="216">
        <f ca="1">IF($D504&lt;&gt;"Serviço",0,IF(OR(AND(AUTOEVENTO="Manual",$M504=1),$M504&gt;(ROW(PLE.lastrow)-ROW(PLE.firstrow))),0,IF(OFFSET(PLE!$G$14,$M504,CC$13)="",10^12,OFFSET(PLE!$G$14,$M504,CC$13))))</f>
        <v>1000000000000</v>
      </c>
      <c r="CD504" s="216">
        <f ca="1">IF($D504&lt;&gt;"Serviço",0,IF(OR(AND(AUTOEVENTO="Manual",$M504=1),$M504&gt;(ROW(PLE.lastrow)-ROW(PLE.firstrow))),0,IF(OFFSET(PLE!$G$14,$M504,CD$13)="",10^12,OFFSET(PLE!$G$14,$M504,CD$13))))</f>
        <v>1000000000000</v>
      </c>
      <c r="CE504" s="216">
        <f ca="1">IF($D504&lt;&gt;"Serviço",0,IF(OR(AND(AUTOEVENTO="Manual",$M504=1),$M504&gt;(ROW(PLE.lastrow)-ROW(PLE.firstrow))),0,IF(OFFSET(PLE!$G$14,$M504,CE$13)="",10^12,OFFSET(PLE!$G$14,$M504,CE$13))))</f>
        <v>1000000000000</v>
      </c>
      <c r="CF504" s="216">
        <f ca="1">IF($D504&lt;&gt;"Serviço",0,IF(OR(AND(AUTOEVENTO="Manual",$M504=1),$M504&gt;(ROW(PLE.lastrow)-ROW(PLE.firstrow))),0,IF(OFFSET(PLE!$G$14,$M504,CF$13)="",10^12,OFFSET(PLE!$G$14,$M504,CF$13))))</f>
        <v>1000000000000</v>
      </c>
      <c r="CG504" s="216">
        <f ca="1">IF($D504&lt;&gt;"Serviço",0,IF(OR(AND(AUTOEVENTO="Manual",$M504=1),$M504&gt;(ROW(PLE.lastrow)-ROW(PLE.firstrow))),0,IF(OFFSET(PLE!$G$14,$M504,CG$13)="",10^12,OFFSET(PLE!$G$14,$M504,CG$13))))</f>
        <v>1000000000000</v>
      </c>
      <c r="CH504" s="216">
        <f ca="1">IF($D504&lt;&gt;"Serviço",0,IF(OR(AND(AUTOEVENTO="Manual",$M504=1),$M504&gt;(ROW(PLE.lastrow)-ROW(PLE.firstrow))),0,IF(OFFSET(PLE!$G$14,$M504,CH$13)="",10^12,OFFSET(PLE!$G$14,$M504,CH$13))))</f>
        <v>1000000000000</v>
      </c>
      <c r="CI504" s="216">
        <f ca="1">IF($D504&lt;&gt;"Serviço",0,IF(OR(AND(AUTOEVENTO="Manual",$M504=1),$M504&gt;(ROW(PLE.lastrow)-ROW(PLE.firstrow))),0,IF(OFFSET(PLE!$G$14,$M504,CI$13)="",10^12,OFFSET(PLE!$G$14,$M504,CI$13))))</f>
        <v>1000000000000</v>
      </c>
      <c r="CJ504" s="216">
        <f ca="1">IF($D504&lt;&gt;"Serviço",0,IF(OR(AND(AUTOEVENTO="Manual",$M504=1),$M504&gt;(ROW(PLE.lastrow)-ROW(PLE.firstrow))),0,IF(OFFSET(PLE!$G$14,$M504,CJ$13)="",10^12,OFFSET(PLE!$G$14,$M504,CJ$13))))</f>
        <v>1000000000000</v>
      </c>
      <c r="CK504" s="216">
        <f ca="1">IF($D504&lt;&gt;"Serviço",0,IF(OR(AND(AUTOEVENTO="Manual",$M504=1),$M504&gt;(ROW(PLE.lastrow)-ROW(PLE.firstrow))),0,IF(OFFSET(PLE!$G$14,$M504,CK$13)="",10^12,OFFSET(PLE!$G$14,$M504,CK$13))))</f>
        <v>1000000000000</v>
      </c>
      <c r="CL504" s="216">
        <f ca="1">IF($D504&lt;&gt;"Serviço",0,IF(OR(AND(AUTOEVENTO="Manual",$M504=1),$M504&gt;(ROW(PLE.lastrow)-ROW(PLE.firstrow))),0,IF(OFFSET(PLE!$G$14,$M504,CL$13)="",10^12,OFFSET(PLE!$G$14,$M504,CL$13))))</f>
        <v>1000000000000</v>
      </c>
      <c r="CM504" s="216">
        <f ca="1">IF($D504&lt;&gt;"Serviço",0,IF(OR(AND(AUTOEVENTO="Manual",$M504=1),$M504&gt;(ROW(PLE.lastrow)-ROW(PLE.firstrow))),0,IF(OFFSET(PLE!$G$14,$M504,CM$13)="",10^12,OFFSET(PLE!$G$14,$M504,CM$13))))</f>
        <v>1000000000000</v>
      </c>
    </row>
    <row r="505" spans="1:91" ht="13.2" x14ac:dyDescent="0.25">
      <c r="A505" s="9">
        <f t="shared" ca="1" si="16"/>
        <v>0</v>
      </c>
      <c r="B505" s="9" t="str">
        <f ca="1">OFFSET(ORÇAMENTO!C$15,ROW(B505)-ROW(B$15),0)</f>
        <v>S</v>
      </c>
      <c r="C505" s="9" t="str">
        <f ca="1">OFFSET(ORÇAMENTO!L$15,ROW(C505)-ROW(C$15),0)</f>
        <v/>
      </c>
      <c r="D505" s="145" t="str">
        <f ca="1">OFFSET(ORÇAMENTO!N$15,ROW(D505)-ROW(D$15),0)</f>
        <v>Serviço</v>
      </c>
      <c r="E505" s="205" t="str">
        <f ca="1">OFFSET(ORÇAMENTO!O$15,ROW(E505)-ROW(E$15),0)</f>
        <v>-</v>
      </c>
      <c r="F505" s="206" t="str">
        <f ca="1">OFFSET(ORÇAMENTO!R$15,ROW(F505)-ROW(F$15),0)</f>
        <v>(abra o arquivo 'Referência 05-2024.xls)</v>
      </c>
      <c r="G505" s="207" t="str">
        <f ca="1">IF($D505&lt;&gt;"Serviço","",OFFSET(ORÇAMENTO!S$15,ROW(G505)-ROW(G$15),0))</f>
        <v>-</v>
      </c>
      <c r="H505" s="151">
        <f ca="1">IF($D505&lt;&gt;"Serviço",0,IF(ACOMPANHAMENTO="BM",ROUND(OFFSET(ORÇAMENTO!AJ$15,ROW(H505)-ROW(H$15),0),15-13*ORÇAMENTO!$AF$7),SUMPRODUCT(($Q$12:$AI$12&lt;&gt;"")*ROUND($Q505:$AI505,15-13*ORÇAMENTO!$AF$7))))</f>
        <v>2</v>
      </c>
      <c r="I505" s="650"/>
      <c r="K505" s="208"/>
      <c r="L505" s="209" t="s">
        <v>257</v>
      </c>
      <c r="M505" s="210">
        <f ca="1">IF($D505&lt;&gt;"Serviço","",IF(AUTOEVENTO="manual",$A505,IF(ISERROR(MATCH($A505,$A$15:OFFSET($A505,-1,0),0)),MAX($M$15:OFFSET(M505,-1,0))+1,INDEX($M$15:OFFSET(M505,-1,0),MATCH($A505,$A$15:OFFSET($A505,-1,0),0)))))</f>
        <v>0</v>
      </c>
      <c r="N505" s="211" t="str">
        <f ca="1">IF($D505&lt;&gt;"Serviço","",IF(AUTOEVENTO="Manual",IF($A505=0,"&lt;-- defina o número do agrupador",OFFSET(EVENTOS!$D$14,$A505,0)),OFFSET($F$15,$A505,0)))</f>
        <v>&lt;-- defina o número do agrupador</v>
      </c>
      <c r="O505" s="212"/>
      <c r="Q505" s="212"/>
      <c r="R505" s="213"/>
      <c r="S505" s="213"/>
      <c r="T505" s="213"/>
      <c r="U505" s="213"/>
      <c r="V505" s="213"/>
      <c r="W505" s="213"/>
      <c r="X505" s="213"/>
      <c r="Y505" s="213"/>
      <c r="Z505" s="214"/>
      <c r="AA505" s="213"/>
      <c r="AB505" s="213"/>
      <c r="AC505" s="213"/>
      <c r="AD505" s="213"/>
      <c r="AE505" s="213"/>
      <c r="AF505" s="213"/>
      <c r="AG505" s="213"/>
      <c r="AH505" s="214"/>
      <c r="AJ505" s="631">
        <f ca="1">IF(AND($D505="Serviço",AJ$12&lt;&gt;0,$H505&gt;0,OR(AUTOEVENTO&lt;&gt;"manual",$M505&lt;&gt;1)),ROUND(OFFSET($P505,0,AJ$13),15-13*ORÇAMENTO!$AF$7)/$H505*OFFSET(ORÇAMENTO!$X$15,ROW(AJ505)-ROW(AJ$15),0),0)</f>
        <v>0</v>
      </c>
      <c r="AK505" s="632">
        <f ca="1">IF(AND($D505="Serviço",AK$12&lt;&gt;0,$H505&gt;0,OR(AUTOEVENTO&lt;&gt;"manual",$M505&lt;&gt;1)),ROUND(OFFSET($P505,0,AK$13),15-13*ORÇAMENTO!$AF$7)/$H505*OFFSET(ORÇAMENTO!$X$15,ROW(AK505)-ROW(AK$15),0),0)</f>
        <v>0</v>
      </c>
      <c r="AL505" s="632">
        <f ca="1">IF(AND($D505="Serviço",AL$12&lt;&gt;0,$H505&gt;0,OR(AUTOEVENTO&lt;&gt;"manual",$M505&lt;&gt;1)),ROUND(OFFSET($P505,0,AL$13),15-13*ORÇAMENTO!$AF$7)/$H505*OFFSET(ORÇAMENTO!$X$15,ROW(AL505)-ROW(AL$15),0),0)</f>
        <v>0</v>
      </c>
      <c r="AM505" s="632">
        <f ca="1">IF(AND($D505="Serviço",AM$12&lt;&gt;0,$H505&gt;0,OR(AUTOEVENTO&lt;&gt;"manual",$M505&lt;&gt;1)),ROUND(OFFSET($P505,0,AM$13),15-13*ORÇAMENTO!$AF$7)/$H505*OFFSET(ORÇAMENTO!$X$15,ROW(AM505)-ROW(AM$15),0),0)</f>
        <v>0</v>
      </c>
      <c r="AN505" s="632">
        <f ca="1">IF(AND($D505="Serviço",AN$12&lt;&gt;0,$H505&gt;0,OR(AUTOEVENTO&lt;&gt;"manual",$M505&lt;&gt;1)),ROUND(OFFSET($P505,0,AN$13),15-13*ORÇAMENTO!$AF$7)/$H505*OFFSET(ORÇAMENTO!$X$15,ROW(AN505)-ROW(AN$15),0),0)</f>
        <v>0</v>
      </c>
      <c r="AO505" s="632">
        <f ca="1">IF(AND($D505="Serviço",AO$12&lt;&gt;0,$H505&gt;0,OR(AUTOEVENTO&lt;&gt;"manual",$M505&lt;&gt;1)),ROUND(OFFSET($P505,0,AO$13),15-13*ORÇAMENTO!$AF$7)/$H505*OFFSET(ORÇAMENTO!$X$15,ROW(AO505)-ROW(AO$15),0),0)</f>
        <v>0</v>
      </c>
      <c r="AP505" s="632">
        <f ca="1">IF(AND($D505="Serviço",AP$12&lt;&gt;0,$H505&gt;0,OR(AUTOEVENTO&lt;&gt;"manual",$M505&lt;&gt;1)),ROUND(OFFSET($P505,0,AP$13),15-13*ORÇAMENTO!$AF$7)/$H505*OFFSET(ORÇAMENTO!$X$15,ROW(AP505)-ROW(AP$15),0),0)</f>
        <v>0</v>
      </c>
      <c r="AQ505" s="632">
        <f ca="1">IF(AND($D505="Serviço",AQ$12&lt;&gt;0,$H505&gt;0,OR(AUTOEVENTO&lt;&gt;"manual",$M505&lt;&gt;1)),ROUND(OFFSET($P505,0,AQ$13),15-13*ORÇAMENTO!$AF$7)/$H505*OFFSET(ORÇAMENTO!$X$15,ROW(AQ505)-ROW(AQ$15),0),0)</f>
        <v>0</v>
      </c>
      <c r="AR505" s="632">
        <f ca="1">IF(AND($D505="Serviço",AR$12&lt;&gt;0,$H505&gt;0,OR(AUTOEVENTO&lt;&gt;"manual",$M505&lt;&gt;1)),ROUND(OFFSET($P505,0,AR$13),15-13*ORÇAMENTO!$AF$7)/$H505*OFFSET(ORÇAMENTO!$X$15,ROW(AR505)-ROW(AR$15),0),0)</f>
        <v>0</v>
      </c>
      <c r="AS505" s="633">
        <f ca="1">IF(AND($D505="Serviço",AS$12&lt;&gt;0,$H505&gt;0,OR(AUTOEVENTO&lt;&gt;"manual",$M505&lt;&gt;1)),ROUND(OFFSET($P505,0,AS$13),15-13*ORÇAMENTO!$AF$7)/$H505*OFFSET(ORÇAMENTO!$X$15,ROW(AS505)-ROW(AS$15),0),0)</f>
        <v>0</v>
      </c>
      <c r="AT505" s="632">
        <f ca="1">IF(AND($D505="Serviço",AT$12&lt;&gt;0,$H505&gt;0,OR(AUTOEVENTO&lt;&gt;"manual",$M505&lt;&gt;1)),ROUND(OFFSET($P505,0,AT$13),15-13*ORÇAMENTO!$AF$7)/$H505*OFFSET(ORÇAMENTO!$X$15,ROW(AT505)-ROW(AT$15),0),0)</f>
        <v>0</v>
      </c>
      <c r="AU505" s="632">
        <f ca="1">IF(AND($D505="Serviço",AU$12&lt;&gt;0,$H505&gt;0,OR(AUTOEVENTO&lt;&gt;"manual",$M505&lt;&gt;1)),ROUND(OFFSET($P505,0,AU$13),15-13*ORÇAMENTO!$AF$7)/$H505*OFFSET(ORÇAMENTO!$X$15,ROW(AU505)-ROW(AU$15),0),0)</f>
        <v>0</v>
      </c>
      <c r="AV505" s="632">
        <f ca="1">IF(AND($D505="Serviço",AV$12&lt;&gt;0,$H505&gt;0,OR(AUTOEVENTO&lt;&gt;"manual",$M505&lt;&gt;1)),ROUND(OFFSET($P505,0,AV$13),15-13*ORÇAMENTO!$AF$7)/$H505*OFFSET(ORÇAMENTO!$X$15,ROW(AV505)-ROW(AV$15),0),0)</f>
        <v>0</v>
      </c>
      <c r="AW505" s="632">
        <f ca="1">IF(AND($D505="Serviço",AW$12&lt;&gt;0,$H505&gt;0,OR(AUTOEVENTO&lt;&gt;"manual",$M505&lt;&gt;1)),ROUND(OFFSET($P505,0,AW$13),15-13*ORÇAMENTO!$AF$7)/$H505*OFFSET(ORÇAMENTO!$X$15,ROW(AW505)-ROW(AW$15),0),0)</f>
        <v>0</v>
      </c>
      <c r="AX505" s="632">
        <f ca="1">IF(AND($D505="Serviço",AX$12&lt;&gt;0,$H505&gt;0,OR(AUTOEVENTO&lt;&gt;"manual",$M505&lt;&gt;1)),ROUND(OFFSET($P505,0,AX$13),15-13*ORÇAMENTO!$AF$7)/$H505*OFFSET(ORÇAMENTO!$X$15,ROW(AX505)-ROW(AX$15),0),0)</f>
        <v>0</v>
      </c>
      <c r="AY505" s="632">
        <f ca="1">IF(AND($D505="Serviço",AY$12&lt;&gt;0,$H505&gt;0,OR(AUTOEVENTO&lt;&gt;"manual",$M505&lt;&gt;1)),ROUND(OFFSET($P505,0,AY$13),15-13*ORÇAMENTO!$AF$7)/$H505*OFFSET(ORÇAMENTO!$X$15,ROW(AY505)-ROW(AY$15),0),0)</f>
        <v>0</v>
      </c>
      <c r="AZ505" s="632">
        <f ca="1">IF(AND($D505="Serviço",AZ$12&lt;&gt;0,$H505&gt;0,OR(AUTOEVENTO&lt;&gt;"manual",$M505&lt;&gt;1)),ROUND(OFFSET($P505,0,AZ$13),15-13*ORÇAMENTO!$AF$7)/$H505*OFFSET(ORÇAMENTO!$X$15,ROW(AZ505)-ROW(AZ$15),0),0)</f>
        <v>0</v>
      </c>
      <c r="BA505" s="633">
        <f ca="1">IF(AND($D505="Serviço",BA$12&lt;&gt;0,$H505&gt;0,OR(AUTOEVENTO&lt;&gt;"manual",$M505&lt;&gt;1)),ROUND(OFFSET($P505,0,BA$13),15-13*ORÇAMENTO!$AF$7)/$H505*OFFSET(ORÇAMENTO!$X$15,ROW(BA505)-ROW(BA$15),0),0)</f>
        <v>0</v>
      </c>
      <c r="BC505" s="215">
        <f ca="1">IF($D505&lt;&gt;"Serviço",0,IF(AND(AUTOEVENTO="Manual",$M505=1),0,IF(OFFSET(CRONOPLE!$F$14,$M505,BC$13)="",10^12,OFFSET(CRONOPLE!$F$14,$M505,BC$13))))</f>
        <v>1000000000000</v>
      </c>
      <c r="BD505" s="215">
        <f ca="1">IF($D505&lt;&gt;"Serviço",0,IF(AND(AUTOEVENTO="Manual",$M505=1),0,IF(OFFSET(CRONOPLE!$F$14,$M505,BD$13)="",10^12,OFFSET(CRONOPLE!$F$14,$M505,BD$13))))</f>
        <v>1000000000000</v>
      </c>
      <c r="BE505" s="215">
        <f ca="1">IF($D505&lt;&gt;"Serviço",0,IF(AND(AUTOEVENTO="Manual",$M505=1),0,IF(OFFSET(CRONOPLE!$F$14,$M505,BE$13)="",10^12,OFFSET(CRONOPLE!$F$14,$M505,BE$13))))</f>
        <v>1000000000000</v>
      </c>
      <c r="BF505" s="215">
        <f ca="1">IF($D505&lt;&gt;"Serviço",0,IF(AND(AUTOEVENTO="Manual",$M505=1),0,IF(OFFSET(CRONOPLE!$F$14,$M505,BF$13)="",10^12,OFFSET(CRONOPLE!$F$14,$M505,BF$13))))</f>
        <v>1000000000000</v>
      </c>
      <c r="BG505" s="215">
        <f ca="1">IF($D505&lt;&gt;"Serviço",0,IF(AND(AUTOEVENTO="Manual",$M505=1),0,IF(OFFSET(CRONOPLE!$F$14,$M505,BG$13)="",10^12,OFFSET(CRONOPLE!$F$14,$M505,BG$13))))</f>
        <v>1000000000000</v>
      </c>
      <c r="BH505" s="215">
        <f ca="1">IF($D505&lt;&gt;"Serviço",0,IF(AND(AUTOEVENTO="Manual",$M505=1),0,IF(OFFSET(CRONOPLE!$F$14,$M505,BH$13)="",10^12,OFFSET(CRONOPLE!$F$14,$M505,BH$13))))</f>
        <v>1000000000000</v>
      </c>
      <c r="BI505" s="215">
        <f ca="1">IF($D505&lt;&gt;"Serviço",0,IF(AND(AUTOEVENTO="Manual",$M505=1),0,IF(OFFSET(CRONOPLE!$F$14,$M505,BI$13)="",10^12,OFFSET(CRONOPLE!$F$14,$M505,BI$13))))</f>
        <v>1000000000000</v>
      </c>
      <c r="BJ505" s="215">
        <f ca="1">IF($D505&lt;&gt;"Serviço",0,IF(AND(AUTOEVENTO="Manual",$M505=1),0,IF(OFFSET(CRONOPLE!$F$14,$M505,BJ$13)="",10^12,OFFSET(CRONOPLE!$F$14,$M505,BJ$13))))</f>
        <v>1000000000000</v>
      </c>
      <c r="BK505" s="215">
        <f ca="1">IF($D505&lt;&gt;"Serviço",0,IF(AND(AUTOEVENTO="Manual",$M505=1),0,IF(OFFSET(CRONOPLE!$F$14,$M505,BK$13)="",10^12,OFFSET(CRONOPLE!$F$14,$M505,BK$13))))</f>
        <v>1000000000000</v>
      </c>
      <c r="BL505" s="215">
        <f ca="1">IF($D505&lt;&gt;"Serviço",0,IF(AND(AUTOEVENTO="Manual",$M505=1),0,IF(OFFSET(CRONOPLE!$F$14,$M505,BL$13)="",10^12,OFFSET(CRONOPLE!$F$14,$M505,BL$13))))</f>
        <v>1000000000000</v>
      </c>
      <c r="BM505" s="215">
        <f ca="1">IF($D505&lt;&gt;"Serviço",0,IF(AND(AUTOEVENTO="Manual",$M505=1),0,IF(OFFSET(CRONOPLE!$F$14,$M505,BM$13)="",10^12,OFFSET(CRONOPLE!$F$14,$M505,BM$13))))</f>
        <v>1000000000000</v>
      </c>
      <c r="BN505" s="215">
        <f ca="1">IF($D505&lt;&gt;"Serviço",0,IF(AND(AUTOEVENTO="Manual",$M505=1),0,IF(OFFSET(CRONOPLE!$F$14,$M505,BN$13)="",10^12,OFFSET(CRONOPLE!$F$14,$M505,BN$13))))</f>
        <v>1000000000000</v>
      </c>
      <c r="BO505" s="215">
        <f ca="1">IF($D505&lt;&gt;"Serviço",0,IF(AND(AUTOEVENTO="Manual",$M505=1),0,IF(OFFSET(CRONOPLE!$F$14,$M505,BO$13)="",10^12,OFFSET(CRONOPLE!$F$14,$M505,BO$13))))</f>
        <v>1000000000000</v>
      </c>
      <c r="BP505" s="215">
        <f ca="1">IF($D505&lt;&gt;"Serviço",0,IF(AND(AUTOEVENTO="Manual",$M505=1),0,IF(OFFSET(CRONOPLE!$F$14,$M505,BP$13)="",10^12,OFFSET(CRONOPLE!$F$14,$M505,BP$13))))</f>
        <v>1000000000000</v>
      </c>
      <c r="BQ505" s="215">
        <f ca="1">IF($D505&lt;&gt;"Serviço",0,IF(AND(AUTOEVENTO="Manual",$M505=1),0,IF(OFFSET(CRONOPLE!$F$14,$M505,BQ$13)="",10^12,OFFSET(CRONOPLE!$F$14,$M505,BQ$13))))</f>
        <v>1000000000000</v>
      </c>
      <c r="BR505" s="215">
        <f ca="1">IF($D505&lt;&gt;"Serviço",0,IF(AND(AUTOEVENTO="Manual",$M505=1),0,IF(OFFSET(CRONOPLE!$F$14,$M505,BR$13)="",10^12,OFFSET(CRONOPLE!$F$14,$M505,BR$13))))</f>
        <v>1000000000000</v>
      </c>
      <c r="BS505" s="215">
        <f ca="1">IF($D505&lt;&gt;"Serviço",0,IF(AND(AUTOEVENTO="Manual",$M505=1),0,IF(OFFSET(CRONOPLE!$F$14,$M505,BS$13)="",10^12,OFFSET(CRONOPLE!$F$14,$M505,BS$13))))</f>
        <v>1000000000000</v>
      </c>
      <c r="BT505" s="215">
        <f ca="1">IF($D505&lt;&gt;"Serviço",0,IF(AND(AUTOEVENTO="Manual",$M505=1),0,IF(OFFSET(CRONOPLE!$F$14,$M505,BT$13)="",10^12,OFFSET(CRONOPLE!$F$14,$M505,BT$13))))</f>
        <v>1000000000000</v>
      </c>
      <c r="BV505" s="216">
        <f ca="1">IF($D505&lt;&gt;"Serviço",0,IF(OR(AND(AUTOEVENTO="Manual",$M505=1),$M505&gt;(ROW(PLE.lastrow)-ROW(PLE.firstrow))),0,IF(OFFSET(PLE!$G$14,$M505,BV$13)="",10^12,OFFSET(PLE!$G$14,$M505,BV$13))))</f>
        <v>1000000000000</v>
      </c>
      <c r="BW505" s="216">
        <f ca="1">IF($D505&lt;&gt;"Serviço",0,IF(OR(AND(AUTOEVENTO="Manual",$M505=1),$M505&gt;(ROW(PLE.lastrow)-ROW(PLE.firstrow))),0,IF(OFFSET(PLE!$G$14,$M505,BW$13)="",10^12,OFFSET(PLE!$G$14,$M505,BW$13))))</f>
        <v>1000000000000</v>
      </c>
      <c r="BX505" s="216">
        <f ca="1">IF($D505&lt;&gt;"Serviço",0,IF(OR(AND(AUTOEVENTO="Manual",$M505=1),$M505&gt;(ROW(PLE.lastrow)-ROW(PLE.firstrow))),0,IF(OFFSET(PLE!$G$14,$M505,BX$13)="",10^12,OFFSET(PLE!$G$14,$M505,BX$13))))</f>
        <v>1000000000000</v>
      </c>
      <c r="BY505" s="216">
        <f ca="1">IF($D505&lt;&gt;"Serviço",0,IF(OR(AND(AUTOEVENTO="Manual",$M505=1),$M505&gt;(ROW(PLE.lastrow)-ROW(PLE.firstrow))),0,IF(OFFSET(PLE!$G$14,$M505,BY$13)="",10^12,OFFSET(PLE!$G$14,$M505,BY$13))))</f>
        <v>1000000000000</v>
      </c>
      <c r="BZ505" s="216">
        <f ca="1">IF($D505&lt;&gt;"Serviço",0,IF(OR(AND(AUTOEVENTO="Manual",$M505=1),$M505&gt;(ROW(PLE.lastrow)-ROW(PLE.firstrow))),0,IF(OFFSET(PLE!$G$14,$M505,BZ$13)="",10^12,OFFSET(PLE!$G$14,$M505,BZ$13))))</f>
        <v>1000000000000</v>
      </c>
      <c r="CA505" s="216">
        <f ca="1">IF($D505&lt;&gt;"Serviço",0,IF(OR(AND(AUTOEVENTO="Manual",$M505=1),$M505&gt;(ROW(PLE.lastrow)-ROW(PLE.firstrow))),0,IF(OFFSET(PLE!$G$14,$M505,CA$13)="",10^12,OFFSET(PLE!$G$14,$M505,CA$13))))</f>
        <v>1000000000000</v>
      </c>
      <c r="CB505" s="216">
        <f ca="1">IF($D505&lt;&gt;"Serviço",0,IF(OR(AND(AUTOEVENTO="Manual",$M505=1),$M505&gt;(ROW(PLE.lastrow)-ROW(PLE.firstrow))),0,IF(OFFSET(PLE!$G$14,$M505,CB$13)="",10^12,OFFSET(PLE!$G$14,$M505,CB$13))))</f>
        <v>1000000000000</v>
      </c>
      <c r="CC505" s="216">
        <f ca="1">IF($D505&lt;&gt;"Serviço",0,IF(OR(AND(AUTOEVENTO="Manual",$M505=1),$M505&gt;(ROW(PLE.lastrow)-ROW(PLE.firstrow))),0,IF(OFFSET(PLE!$G$14,$M505,CC$13)="",10^12,OFFSET(PLE!$G$14,$M505,CC$13))))</f>
        <v>1000000000000</v>
      </c>
      <c r="CD505" s="216">
        <f ca="1">IF($D505&lt;&gt;"Serviço",0,IF(OR(AND(AUTOEVENTO="Manual",$M505=1),$M505&gt;(ROW(PLE.lastrow)-ROW(PLE.firstrow))),0,IF(OFFSET(PLE!$G$14,$M505,CD$13)="",10^12,OFFSET(PLE!$G$14,$M505,CD$13))))</f>
        <v>1000000000000</v>
      </c>
      <c r="CE505" s="216">
        <f ca="1">IF($D505&lt;&gt;"Serviço",0,IF(OR(AND(AUTOEVENTO="Manual",$M505=1),$M505&gt;(ROW(PLE.lastrow)-ROW(PLE.firstrow))),0,IF(OFFSET(PLE!$G$14,$M505,CE$13)="",10^12,OFFSET(PLE!$G$14,$M505,CE$13))))</f>
        <v>1000000000000</v>
      </c>
      <c r="CF505" s="216">
        <f ca="1">IF($D505&lt;&gt;"Serviço",0,IF(OR(AND(AUTOEVENTO="Manual",$M505=1),$M505&gt;(ROW(PLE.lastrow)-ROW(PLE.firstrow))),0,IF(OFFSET(PLE!$G$14,$M505,CF$13)="",10^12,OFFSET(PLE!$G$14,$M505,CF$13))))</f>
        <v>1000000000000</v>
      </c>
      <c r="CG505" s="216">
        <f ca="1">IF($D505&lt;&gt;"Serviço",0,IF(OR(AND(AUTOEVENTO="Manual",$M505=1),$M505&gt;(ROW(PLE.lastrow)-ROW(PLE.firstrow))),0,IF(OFFSET(PLE!$G$14,$M505,CG$13)="",10^12,OFFSET(PLE!$G$14,$M505,CG$13))))</f>
        <v>1000000000000</v>
      </c>
      <c r="CH505" s="216">
        <f ca="1">IF($D505&lt;&gt;"Serviço",0,IF(OR(AND(AUTOEVENTO="Manual",$M505=1),$M505&gt;(ROW(PLE.lastrow)-ROW(PLE.firstrow))),0,IF(OFFSET(PLE!$G$14,$M505,CH$13)="",10^12,OFFSET(PLE!$G$14,$M505,CH$13))))</f>
        <v>1000000000000</v>
      </c>
      <c r="CI505" s="216">
        <f ca="1">IF($D505&lt;&gt;"Serviço",0,IF(OR(AND(AUTOEVENTO="Manual",$M505=1),$M505&gt;(ROW(PLE.lastrow)-ROW(PLE.firstrow))),0,IF(OFFSET(PLE!$G$14,$M505,CI$13)="",10^12,OFFSET(PLE!$G$14,$M505,CI$13))))</f>
        <v>1000000000000</v>
      </c>
      <c r="CJ505" s="216">
        <f ca="1">IF($D505&lt;&gt;"Serviço",0,IF(OR(AND(AUTOEVENTO="Manual",$M505=1),$M505&gt;(ROW(PLE.lastrow)-ROW(PLE.firstrow))),0,IF(OFFSET(PLE!$G$14,$M505,CJ$13)="",10^12,OFFSET(PLE!$G$14,$M505,CJ$13))))</f>
        <v>1000000000000</v>
      </c>
      <c r="CK505" s="216">
        <f ca="1">IF($D505&lt;&gt;"Serviço",0,IF(OR(AND(AUTOEVENTO="Manual",$M505=1),$M505&gt;(ROW(PLE.lastrow)-ROW(PLE.firstrow))),0,IF(OFFSET(PLE!$G$14,$M505,CK$13)="",10^12,OFFSET(PLE!$G$14,$M505,CK$13))))</f>
        <v>1000000000000</v>
      </c>
      <c r="CL505" s="216">
        <f ca="1">IF($D505&lt;&gt;"Serviço",0,IF(OR(AND(AUTOEVENTO="Manual",$M505=1),$M505&gt;(ROW(PLE.lastrow)-ROW(PLE.firstrow))),0,IF(OFFSET(PLE!$G$14,$M505,CL$13)="",10^12,OFFSET(PLE!$G$14,$M505,CL$13))))</f>
        <v>1000000000000</v>
      </c>
      <c r="CM505" s="216">
        <f ca="1">IF($D505&lt;&gt;"Serviço",0,IF(OR(AND(AUTOEVENTO="Manual",$M505=1),$M505&gt;(ROW(PLE.lastrow)-ROW(PLE.firstrow))),0,IF(OFFSET(PLE!$G$14,$M505,CM$13)="",10^12,OFFSET(PLE!$G$14,$M505,CM$13))))</f>
        <v>1000000000000</v>
      </c>
    </row>
    <row r="506" spans="1:91" ht="13.2" x14ac:dyDescent="0.25">
      <c r="A506" s="9">
        <f t="shared" ca="1" si="16"/>
        <v>0</v>
      </c>
      <c r="B506" s="9" t="str">
        <f ca="1">OFFSET(ORÇAMENTO!C$15,ROW(B506)-ROW(B$15),0)</f>
        <v>S</v>
      </c>
      <c r="C506" s="9" t="str">
        <f ca="1">OFFSET(ORÇAMENTO!L$15,ROW(C506)-ROW(C$15),0)</f>
        <v/>
      </c>
      <c r="D506" s="145" t="str">
        <f ca="1">OFFSET(ORÇAMENTO!N$15,ROW(D506)-ROW(D$15),0)</f>
        <v>Serviço</v>
      </c>
      <c r="E506" s="205" t="str">
        <f ca="1">OFFSET(ORÇAMENTO!O$15,ROW(E506)-ROW(E$15),0)</f>
        <v>-</v>
      </c>
      <c r="F506" s="206" t="str">
        <f ca="1">OFFSET(ORÇAMENTO!R$15,ROW(F506)-ROW(F$15),0)</f>
        <v>(abra o arquivo 'Referência 05-2024.xls)</v>
      </c>
      <c r="G506" s="207" t="str">
        <f ca="1">IF($D506&lt;&gt;"Serviço","",OFFSET(ORÇAMENTO!S$15,ROW(G506)-ROW(G$15),0))</f>
        <v>-</v>
      </c>
      <c r="H506" s="151">
        <f ca="1">IF($D506&lt;&gt;"Serviço",0,IF(ACOMPANHAMENTO="BM",ROUND(OFFSET(ORÇAMENTO!AJ$15,ROW(H506)-ROW(H$15),0),15-13*ORÇAMENTO!$AF$7),SUMPRODUCT(($Q$12:$AI$12&lt;&gt;"")*ROUND($Q506:$AI506,15-13*ORÇAMENTO!$AF$7))))</f>
        <v>1</v>
      </c>
      <c r="I506" s="650"/>
      <c r="K506" s="208"/>
      <c r="L506" s="209" t="s">
        <v>257</v>
      </c>
      <c r="M506" s="210">
        <f ca="1">IF($D506&lt;&gt;"Serviço","",IF(AUTOEVENTO="manual",$A506,IF(ISERROR(MATCH($A506,$A$15:OFFSET($A506,-1,0),0)),MAX($M$15:OFFSET(M506,-1,0))+1,INDEX($M$15:OFFSET(M506,-1,0),MATCH($A506,$A$15:OFFSET($A506,-1,0),0)))))</f>
        <v>0</v>
      </c>
      <c r="N506" s="211" t="str">
        <f ca="1">IF($D506&lt;&gt;"Serviço","",IF(AUTOEVENTO="Manual",IF($A506=0,"&lt;-- defina o número do agrupador",OFFSET(EVENTOS!$D$14,$A506,0)),OFFSET($F$15,$A506,0)))</f>
        <v>&lt;-- defina o número do agrupador</v>
      </c>
      <c r="O506" s="212"/>
      <c r="Q506" s="212"/>
      <c r="R506" s="213"/>
      <c r="S506" s="213"/>
      <c r="T506" s="213"/>
      <c r="U506" s="213"/>
      <c r="V506" s="213"/>
      <c r="W506" s="213"/>
      <c r="X506" s="213"/>
      <c r="Y506" s="213"/>
      <c r="Z506" s="214"/>
      <c r="AA506" s="213"/>
      <c r="AB506" s="213"/>
      <c r="AC506" s="213"/>
      <c r="AD506" s="213"/>
      <c r="AE506" s="213"/>
      <c r="AF506" s="213"/>
      <c r="AG506" s="213"/>
      <c r="AH506" s="214"/>
      <c r="AJ506" s="631">
        <f ca="1">IF(AND($D506="Serviço",AJ$12&lt;&gt;0,$H506&gt;0,OR(AUTOEVENTO&lt;&gt;"manual",$M506&lt;&gt;1)),ROUND(OFFSET($P506,0,AJ$13),15-13*ORÇAMENTO!$AF$7)/$H506*OFFSET(ORÇAMENTO!$X$15,ROW(AJ506)-ROW(AJ$15),0),0)</f>
        <v>0</v>
      </c>
      <c r="AK506" s="632">
        <f ca="1">IF(AND($D506="Serviço",AK$12&lt;&gt;0,$H506&gt;0,OR(AUTOEVENTO&lt;&gt;"manual",$M506&lt;&gt;1)),ROUND(OFFSET($P506,0,AK$13),15-13*ORÇAMENTO!$AF$7)/$H506*OFFSET(ORÇAMENTO!$X$15,ROW(AK506)-ROW(AK$15),0),0)</f>
        <v>0</v>
      </c>
      <c r="AL506" s="632">
        <f ca="1">IF(AND($D506="Serviço",AL$12&lt;&gt;0,$H506&gt;0,OR(AUTOEVENTO&lt;&gt;"manual",$M506&lt;&gt;1)),ROUND(OFFSET($P506,0,AL$13),15-13*ORÇAMENTO!$AF$7)/$H506*OFFSET(ORÇAMENTO!$X$15,ROW(AL506)-ROW(AL$15),0),0)</f>
        <v>0</v>
      </c>
      <c r="AM506" s="632">
        <f ca="1">IF(AND($D506="Serviço",AM$12&lt;&gt;0,$H506&gt;0,OR(AUTOEVENTO&lt;&gt;"manual",$M506&lt;&gt;1)),ROUND(OFFSET($P506,0,AM$13),15-13*ORÇAMENTO!$AF$7)/$H506*OFFSET(ORÇAMENTO!$X$15,ROW(AM506)-ROW(AM$15),0),0)</f>
        <v>0</v>
      </c>
      <c r="AN506" s="632">
        <f ca="1">IF(AND($D506="Serviço",AN$12&lt;&gt;0,$H506&gt;0,OR(AUTOEVENTO&lt;&gt;"manual",$M506&lt;&gt;1)),ROUND(OFFSET($P506,0,AN$13),15-13*ORÇAMENTO!$AF$7)/$H506*OFFSET(ORÇAMENTO!$X$15,ROW(AN506)-ROW(AN$15),0),0)</f>
        <v>0</v>
      </c>
      <c r="AO506" s="632">
        <f ca="1">IF(AND($D506="Serviço",AO$12&lt;&gt;0,$H506&gt;0,OR(AUTOEVENTO&lt;&gt;"manual",$M506&lt;&gt;1)),ROUND(OFFSET($P506,0,AO$13),15-13*ORÇAMENTO!$AF$7)/$H506*OFFSET(ORÇAMENTO!$X$15,ROW(AO506)-ROW(AO$15),0),0)</f>
        <v>0</v>
      </c>
      <c r="AP506" s="632">
        <f ca="1">IF(AND($D506="Serviço",AP$12&lt;&gt;0,$H506&gt;0,OR(AUTOEVENTO&lt;&gt;"manual",$M506&lt;&gt;1)),ROUND(OFFSET($P506,0,AP$13),15-13*ORÇAMENTO!$AF$7)/$H506*OFFSET(ORÇAMENTO!$X$15,ROW(AP506)-ROW(AP$15),0),0)</f>
        <v>0</v>
      </c>
      <c r="AQ506" s="632">
        <f ca="1">IF(AND($D506="Serviço",AQ$12&lt;&gt;0,$H506&gt;0,OR(AUTOEVENTO&lt;&gt;"manual",$M506&lt;&gt;1)),ROUND(OFFSET($P506,0,AQ$13),15-13*ORÇAMENTO!$AF$7)/$H506*OFFSET(ORÇAMENTO!$X$15,ROW(AQ506)-ROW(AQ$15),0),0)</f>
        <v>0</v>
      </c>
      <c r="AR506" s="632">
        <f ca="1">IF(AND($D506="Serviço",AR$12&lt;&gt;0,$H506&gt;0,OR(AUTOEVENTO&lt;&gt;"manual",$M506&lt;&gt;1)),ROUND(OFFSET($P506,0,AR$13),15-13*ORÇAMENTO!$AF$7)/$H506*OFFSET(ORÇAMENTO!$X$15,ROW(AR506)-ROW(AR$15),0),0)</f>
        <v>0</v>
      </c>
      <c r="AS506" s="633">
        <f ca="1">IF(AND($D506="Serviço",AS$12&lt;&gt;0,$H506&gt;0,OR(AUTOEVENTO&lt;&gt;"manual",$M506&lt;&gt;1)),ROUND(OFFSET($P506,0,AS$13),15-13*ORÇAMENTO!$AF$7)/$H506*OFFSET(ORÇAMENTO!$X$15,ROW(AS506)-ROW(AS$15),0),0)</f>
        <v>0</v>
      </c>
      <c r="AT506" s="632">
        <f ca="1">IF(AND($D506="Serviço",AT$12&lt;&gt;0,$H506&gt;0,OR(AUTOEVENTO&lt;&gt;"manual",$M506&lt;&gt;1)),ROUND(OFFSET($P506,0,AT$13),15-13*ORÇAMENTO!$AF$7)/$H506*OFFSET(ORÇAMENTO!$X$15,ROW(AT506)-ROW(AT$15),0),0)</f>
        <v>0</v>
      </c>
      <c r="AU506" s="632">
        <f ca="1">IF(AND($D506="Serviço",AU$12&lt;&gt;0,$H506&gt;0,OR(AUTOEVENTO&lt;&gt;"manual",$M506&lt;&gt;1)),ROUND(OFFSET($P506,0,AU$13),15-13*ORÇAMENTO!$AF$7)/$H506*OFFSET(ORÇAMENTO!$X$15,ROW(AU506)-ROW(AU$15),0),0)</f>
        <v>0</v>
      </c>
      <c r="AV506" s="632">
        <f ca="1">IF(AND($D506="Serviço",AV$12&lt;&gt;0,$H506&gt;0,OR(AUTOEVENTO&lt;&gt;"manual",$M506&lt;&gt;1)),ROUND(OFFSET($P506,0,AV$13),15-13*ORÇAMENTO!$AF$7)/$H506*OFFSET(ORÇAMENTO!$X$15,ROW(AV506)-ROW(AV$15),0),0)</f>
        <v>0</v>
      </c>
      <c r="AW506" s="632">
        <f ca="1">IF(AND($D506="Serviço",AW$12&lt;&gt;0,$H506&gt;0,OR(AUTOEVENTO&lt;&gt;"manual",$M506&lt;&gt;1)),ROUND(OFFSET($P506,0,AW$13),15-13*ORÇAMENTO!$AF$7)/$H506*OFFSET(ORÇAMENTO!$X$15,ROW(AW506)-ROW(AW$15),0),0)</f>
        <v>0</v>
      </c>
      <c r="AX506" s="632">
        <f ca="1">IF(AND($D506="Serviço",AX$12&lt;&gt;0,$H506&gt;0,OR(AUTOEVENTO&lt;&gt;"manual",$M506&lt;&gt;1)),ROUND(OFFSET($P506,0,AX$13),15-13*ORÇAMENTO!$AF$7)/$H506*OFFSET(ORÇAMENTO!$X$15,ROW(AX506)-ROW(AX$15),0),0)</f>
        <v>0</v>
      </c>
      <c r="AY506" s="632">
        <f ca="1">IF(AND($D506="Serviço",AY$12&lt;&gt;0,$H506&gt;0,OR(AUTOEVENTO&lt;&gt;"manual",$M506&lt;&gt;1)),ROUND(OFFSET($P506,0,AY$13),15-13*ORÇAMENTO!$AF$7)/$H506*OFFSET(ORÇAMENTO!$X$15,ROW(AY506)-ROW(AY$15),0),0)</f>
        <v>0</v>
      </c>
      <c r="AZ506" s="632">
        <f ca="1">IF(AND($D506="Serviço",AZ$12&lt;&gt;0,$H506&gt;0,OR(AUTOEVENTO&lt;&gt;"manual",$M506&lt;&gt;1)),ROUND(OFFSET($P506,0,AZ$13),15-13*ORÇAMENTO!$AF$7)/$H506*OFFSET(ORÇAMENTO!$X$15,ROW(AZ506)-ROW(AZ$15),0),0)</f>
        <v>0</v>
      </c>
      <c r="BA506" s="633">
        <f ca="1">IF(AND($D506="Serviço",BA$12&lt;&gt;0,$H506&gt;0,OR(AUTOEVENTO&lt;&gt;"manual",$M506&lt;&gt;1)),ROUND(OFFSET($P506,0,BA$13),15-13*ORÇAMENTO!$AF$7)/$H506*OFFSET(ORÇAMENTO!$X$15,ROW(BA506)-ROW(BA$15),0),0)</f>
        <v>0</v>
      </c>
      <c r="BC506" s="215">
        <f ca="1">IF($D506&lt;&gt;"Serviço",0,IF(AND(AUTOEVENTO="Manual",$M506=1),0,IF(OFFSET(CRONOPLE!$F$14,$M506,BC$13)="",10^12,OFFSET(CRONOPLE!$F$14,$M506,BC$13))))</f>
        <v>1000000000000</v>
      </c>
      <c r="BD506" s="215">
        <f ca="1">IF($D506&lt;&gt;"Serviço",0,IF(AND(AUTOEVENTO="Manual",$M506=1),0,IF(OFFSET(CRONOPLE!$F$14,$M506,BD$13)="",10^12,OFFSET(CRONOPLE!$F$14,$M506,BD$13))))</f>
        <v>1000000000000</v>
      </c>
      <c r="BE506" s="215">
        <f ca="1">IF($D506&lt;&gt;"Serviço",0,IF(AND(AUTOEVENTO="Manual",$M506=1),0,IF(OFFSET(CRONOPLE!$F$14,$M506,BE$13)="",10^12,OFFSET(CRONOPLE!$F$14,$M506,BE$13))))</f>
        <v>1000000000000</v>
      </c>
      <c r="BF506" s="215">
        <f ca="1">IF($D506&lt;&gt;"Serviço",0,IF(AND(AUTOEVENTO="Manual",$M506=1),0,IF(OFFSET(CRONOPLE!$F$14,$M506,BF$13)="",10^12,OFFSET(CRONOPLE!$F$14,$M506,BF$13))))</f>
        <v>1000000000000</v>
      </c>
      <c r="BG506" s="215">
        <f ca="1">IF($D506&lt;&gt;"Serviço",0,IF(AND(AUTOEVENTO="Manual",$M506=1),0,IF(OFFSET(CRONOPLE!$F$14,$M506,BG$13)="",10^12,OFFSET(CRONOPLE!$F$14,$M506,BG$13))))</f>
        <v>1000000000000</v>
      </c>
      <c r="BH506" s="215">
        <f ca="1">IF($D506&lt;&gt;"Serviço",0,IF(AND(AUTOEVENTO="Manual",$M506=1),0,IF(OFFSET(CRONOPLE!$F$14,$M506,BH$13)="",10^12,OFFSET(CRONOPLE!$F$14,$M506,BH$13))))</f>
        <v>1000000000000</v>
      </c>
      <c r="BI506" s="215">
        <f ca="1">IF($D506&lt;&gt;"Serviço",0,IF(AND(AUTOEVENTO="Manual",$M506=1),0,IF(OFFSET(CRONOPLE!$F$14,$M506,BI$13)="",10^12,OFFSET(CRONOPLE!$F$14,$M506,BI$13))))</f>
        <v>1000000000000</v>
      </c>
      <c r="BJ506" s="215">
        <f ca="1">IF($D506&lt;&gt;"Serviço",0,IF(AND(AUTOEVENTO="Manual",$M506=1),0,IF(OFFSET(CRONOPLE!$F$14,$M506,BJ$13)="",10^12,OFFSET(CRONOPLE!$F$14,$M506,BJ$13))))</f>
        <v>1000000000000</v>
      </c>
      <c r="BK506" s="215">
        <f ca="1">IF($D506&lt;&gt;"Serviço",0,IF(AND(AUTOEVENTO="Manual",$M506=1),0,IF(OFFSET(CRONOPLE!$F$14,$M506,BK$13)="",10^12,OFFSET(CRONOPLE!$F$14,$M506,BK$13))))</f>
        <v>1000000000000</v>
      </c>
      <c r="BL506" s="215">
        <f ca="1">IF($D506&lt;&gt;"Serviço",0,IF(AND(AUTOEVENTO="Manual",$M506=1),0,IF(OFFSET(CRONOPLE!$F$14,$M506,BL$13)="",10^12,OFFSET(CRONOPLE!$F$14,$M506,BL$13))))</f>
        <v>1000000000000</v>
      </c>
      <c r="BM506" s="215">
        <f ca="1">IF($D506&lt;&gt;"Serviço",0,IF(AND(AUTOEVENTO="Manual",$M506=1),0,IF(OFFSET(CRONOPLE!$F$14,$M506,BM$13)="",10^12,OFFSET(CRONOPLE!$F$14,$M506,BM$13))))</f>
        <v>1000000000000</v>
      </c>
      <c r="BN506" s="215">
        <f ca="1">IF($D506&lt;&gt;"Serviço",0,IF(AND(AUTOEVENTO="Manual",$M506=1),0,IF(OFFSET(CRONOPLE!$F$14,$M506,BN$13)="",10^12,OFFSET(CRONOPLE!$F$14,$M506,BN$13))))</f>
        <v>1000000000000</v>
      </c>
      <c r="BO506" s="215">
        <f ca="1">IF($D506&lt;&gt;"Serviço",0,IF(AND(AUTOEVENTO="Manual",$M506=1),0,IF(OFFSET(CRONOPLE!$F$14,$M506,BO$13)="",10^12,OFFSET(CRONOPLE!$F$14,$M506,BO$13))))</f>
        <v>1000000000000</v>
      </c>
      <c r="BP506" s="215">
        <f ca="1">IF($D506&lt;&gt;"Serviço",0,IF(AND(AUTOEVENTO="Manual",$M506=1),0,IF(OFFSET(CRONOPLE!$F$14,$M506,BP$13)="",10^12,OFFSET(CRONOPLE!$F$14,$M506,BP$13))))</f>
        <v>1000000000000</v>
      </c>
      <c r="BQ506" s="215">
        <f ca="1">IF($D506&lt;&gt;"Serviço",0,IF(AND(AUTOEVENTO="Manual",$M506=1),0,IF(OFFSET(CRONOPLE!$F$14,$M506,BQ$13)="",10^12,OFFSET(CRONOPLE!$F$14,$M506,BQ$13))))</f>
        <v>1000000000000</v>
      </c>
      <c r="BR506" s="215">
        <f ca="1">IF($D506&lt;&gt;"Serviço",0,IF(AND(AUTOEVENTO="Manual",$M506=1),0,IF(OFFSET(CRONOPLE!$F$14,$M506,BR$13)="",10^12,OFFSET(CRONOPLE!$F$14,$M506,BR$13))))</f>
        <v>1000000000000</v>
      </c>
      <c r="BS506" s="215">
        <f ca="1">IF($D506&lt;&gt;"Serviço",0,IF(AND(AUTOEVENTO="Manual",$M506=1),0,IF(OFFSET(CRONOPLE!$F$14,$M506,BS$13)="",10^12,OFFSET(CRONOPLE!$F$14,$M506,BS$13))))</f>
        <v>1000000000000</v>
      </c>
      <c r="BT506" s="215">
        <f ca="1">IF($D506&lt;&gt;"Serviço",0,IF(AND(AUTOEVENTO="Manual",$M506=1),0,IF(OFFSET(CRONOPLE!$F$14,$M506,BT$13)="",10^12,OFFSET(CRONOPLE!$F$14,$M506,BT$13))))</f>
        <v>1000000000000</v>
      </c>
      <c r="BV506" s="216">
        <f ca="1">IF($D506&lt;&gt;"Serviço",0,IF(OR(AND(AUTOEVENTO="Manual",$M506=1),$M506&gt;(ROW(PLE.lastrow)-ROW(PLE.firstrow))),0,IF(OFFSET(PLE!$G$14,$M506,BV$13)="",10^12,OFFSET(PLE!$G$14,$M506,BV$13))))</f>
        <v>1000000000000</v>
      </c>
      <c r="BW506" s="216">
        <f ca="1">IF($D506&lt;&gt;"Serviço",0,IF(OR(AND(AUTOEVENTO="Manual",$M506=1),$M506&gt;(ROW(PLE.lastrow)-ROW(PLE.firstrow))),0,IF(OFFSET(PLE!$G$14,$M506,BW$13)="",10^12,OFFSET(PLE!$G$14,$M506,BW$13))))</f>
        <v>1000000000000</v>
      </c>
      <c r="BX506" s="216">
        <f ca="1">IF($D506&lt;&gt;"Serviço",0,IF(OR(AND(AUTOEVENTO="Manual",$M506=1),$M506&gt;(ROW(PLE.lastrow)-ROW(PLE.firstrow))),0,IF(OFFSET(PLE!$G$14,$M506,BX$13)="",10^12,OFFSET(PLE!$G$14,$M506,BX$13))))</f>
        <v>1000000000000</v>
      </c>
      <c r="BY506" s="216">
        <f ca="1">IF($D506&lt;&gt;"Serviço",0,IF(OR(AND(AUTOEVENTO="Manual",$M506=1),$M506&gt;(ROW(PLE.lastrow)-ROW(PLE.firstrow))),0,IF(OFFSET(PLE!$G$14,$M506,BY$13)="",10^12,OFFSET(PLE!$G$14,$M506,BY$13))))</f>
        <v>1000000000000</v>
      </c>
      <c r="BZ506" s="216">
        <f ca="1">IF($D506&lt;&gt;"Serviço",0,IF(OR(AND(AUTOEVENTO="Manual",$M506=1),$M506&gt;(ROW(PLE.lastrow)-ROW(PLE.firstrow))),0,IF(OFFSET(PLE!$G$14,$M506,BZ$13)="",10^12,OFFSET(PLE!$G$14,$M506,BZ$13))))</f>
        <v>1000000000000</v>
      </c>
      <c r="CA506" s="216">
        <f ca="1">IF($D506&lt;&gt;"Serviço",0,IF(OR(AND(AUTOEVENTO="Manual",$M506=1),$M506&gt;(ROW(PLE.lastrow)-ROW(PLE.firstrow))),0,IF(OFFSET(PLE!$G$14,$M506,CA$13)="",10^12,OFFSET(PLE!$G$14,$M506,CA$13))))</f>
        <v>1000000000000</v>
      </c>
      <c r="CB506" s="216">
        <f ca="1">IF($D506&lt;&gt;"Serviço",0,IF(OR(AND(AUTOEVENTO="Manual",$M506=1),$M506&gt;(ROW(PLE.lastrow)-ROW(PLE.firstrow))),0,IF(OFFSET(PLE!$G$14,$M506,CB$13)="",10^12,OFFSET(PLE!$G$14,$M506,CB$13))))</f>
        <v>1000000000000</v>
      </c>
      <c r="CC506" s="216">
        <f ca="1">IF($D506&lt;&gt;"Serviço",0,IF(OR(AND(AUTOEVENTO="Manual",$M506=1),$M506&gt;(ROW(PLE.lastrow)-ROW(PLE.firstrow))),0,IF(OFFSET(PLE!$G$14,$M506,CC$13)="",10^12,OFFSET(PLE!$G$14,$M506,CC$13))))</f>
        <v>1000000000000</v>
      </c>
      <c r="CD506" s="216">
        <f ca="1">IF($D506&lt;&gt;"Serviço",0,IF(OR(AND(AUTOEVENTO="Manual",$M506=1),$M506&gt;(ROW(PLE.lastrow)-ROW(PLE.firstrow))),0,IF(OFFSET(PLE!$G$14,$M506,CD$13)="",10^12,OFFSET(PLE!$G$14,$M506,CD$13))))</f>
        <v>1000000000000</v>
      </c>
      <c r="CE506" s="216">
        <f ca="1">IF($D506&lt;&gt;"Serviço",0,IF(OR(AND(AUTOEVENTO="Manual",$M506=1),$M506&gt;(ROW(PLE.lastrow)-ROW(PLE.firstrow))),0,IF(OFFSET(PLE!$G$14,$M506,CE$13)="",10^12,OFFSET(PLE!$G$14,$M506,CE$13))))</f>
        <v>1000000000000</v>
      </c>
      <c r="CF506" s="216">
        <f ca="1">IF($D506&lt;&gt;"Serviço",0,IF(OR(AND(AUTOEVENTO="Manual",$M506=1),$M506&gt;(ROW(PLE.lastrow)-ROW(PLE.firstrow))),0,IF(OFFSET(PLE!$G$14,$M506,CF$13)="",10^12,OFFSET(PLE!$G$14,$M506,CF$13))))</f>
        <v>1000000000000</v>
      </c>
      <c r="CG506" s="216">
        <f ca="1">IF($D506&lt;&gt;"Serviço",0,IF(OR(AND(AUTOEVENTO="Manual",$M506=1),$M506&gt;(ROW(PLE.lastrow)-ROW(PLE.firstrow))),0,IF(OFFSET(PLE!$G$14,$M506,CG$13)="",10^12,OFFSET(PLE!$G$14,$M506,CG$13))))</f>
        <v>1000000000000</v>
      </c>
      <c r="CH506" s="216">
        <f ca="1">IF($D506&lt;&gt;"Serviço",0,IF(OR(AND(AUTOEVENTO="Manual",$M506=1),$M506&gt;(ROW(PLE.lastrow)-ROW(PLE.firstrow))),0,IF(OFFSET(PLE!$G$14,$M506,CH$13)="",10^12,OFFSET(PLE!$G$14,$M506,CH$13))))</f>
        <v>1000000000000</v>
      </c>
      <c r="CI506" s="216">
        <f ca="1">IF($D506&lt;&gt;"Serviço",0,IF(OR(AND(AUTOEVENTO="Manual",$M506=1),$M506&gt;(ROW(PLE.lastrow)-ROW(PLE.firstrow))),0,IF(OFFSET(PLE!$G$14,$M506,CI$13)="",10^12,OFFSET(PLE!$G$14,$M506,CI$13))))</f>
        <v>1000000000000</v>
      </c>
      <c r="CJ506" s="216">
        <f ca="1">IF($D506&lt;&gt;"Serviço",0,IF(OR(AND(AUTOEVENTO="Manual",$M506=1),$M506&gt;(ROW(PLE.lastrow)-ROW(PLE.firstrow))),0,IF(OFFSET(PLE!$G$14,$M506,CJ$13)="",10^12,OFFSET(PLE!$G$14,$M506,CJ$13))))</f>
        <v>1000000000000</v>
      </c>
      <c r="CK506" s="216">
        <f ca="1">IF($D506&lt;&gt;"Serviço",0,IF(OR(AND(AUTOEVENTO="Manual",$M506=1),$M506&gt;(ROW(PLE.lastrow)-ROW(PLE.firstrow))),0,IF(OFFSET(PLE!$G$14,$M506,CK$13)="",10^12,OFFSET(PLE!$G$14,$M506,CK$13))))</f>
        <v>1000000000000</v>
      </c>
      <c r="CL506" s="216">
        <f ca="1">IF($D506&lt;&gt;"Serviço",0,IF(OR(AND(AUTOEVENTO="Manual",$M506=1),$M506&gt;(ROW(PLE.lastrow)-ROW(PLE.firstrow))),0,IF(OFFSET(PLE!$G$14,$M506,CL$13)="",10^12,OFFSET(PLE!$G$14,$M506,CL$13))))</f>
        <v>1000000000000</v>
      </c>
      <c r="CM506" s="216">
        <f ca="1">IF($D506&lt;&gt;"Serviço",0,IF(OR(AND(AUTOEVENTO="Manual",$M506=1),$M506&gt;(ROW(PLE.lastrow)-ROW(PLE.firstrow))),0,IF(OFFSET(PLE!$G$14,$M506,CM$13)="",10^12,OFFSET(PLE!$G$14,$M506,CM$13))))</f>
        <v>1000000000000</v>
      </c>
    </row>
    <row r="507" spans="1:91" ht="13.2" x14ac:dyDescent="0.25">
      <c r="A507" s="9">
        <f t="shared" ca="1" si="16"/>
        <v>0</v>
      </c>
      <c r="B507" s="9">
        <f ca="1">OFFSET(ORÇAMENTO!C$15,ROW(B507)-ROW(B$15),0)</f>
        <v>3</v>
      </c>
      <c r="C507" s="9" t="str">
        <f ca="1">OFFSET(ORÇAMENTO!L$15,ROW(C507)-ROW(C$15),0)</f>
        <v>F</v>
      </c>
      <c r="D507" s="145" t="str">
        <f ca="1">OFFSET(ORÇAMENTO!N$15,ROW(D507)-ROW(D$15),0)</f>
        <v>Nível 3</v>
      </c>
      <c r="E507" s="205" t="str">
        <f ca="1">OFFSET(ORÇAMENTO!O$15,ROW(E507)-ROW(E$15),0)</f>
        <v>1.17.4.</v>
      </c>
      <c r="F507" s="206" t="str">
        <f ca="1">OFFSET(ORÇAMENTO!R$15,ROW(F507)-ROW(F$15),0)</f>
        <v>HIDRANTES</v>
      </c>
      <c r="G507" s="207" t="str">
        <f ca="1">IF($D507&lt;&gt;"Serviço","",OFFSET(ORÇAMENTO!S$15,ROW(G507)-ROW(G$15),0))</f>
        <v/>
      </c>
      <c r="H507" s="151">
        <f ca="1">IF($D507&lt;&gt;"Serviço",0,IF(ACOMPANHAMENTO="BM",ROUND(OFFSET(ORÇAMENTO!AJ$15,ROW(H507)-ROW(H$15),0),15-13*ORÇAMENTO!$AF$7),SUMPRODUCT(($Q$12:$AI$12&lt;&gt;"")*ROUND($Q507:$AI507,15-13*ORÇAMENTO!$AF$7))))</f>
        <v>0</v>
      </c>
      <c r="I507" s="650"/>
      <c r="K507" s="208"/>
      <c r="L507" s="209" t="s">
        <v>257</v>
      </c>
      <c r="M507" s="210" t="str">
        <f ca="1">IF($D507&lt;&gt;"Serviço","",IF(AUTOEVENTO="manual",$A507,IF(ISERROR(MATCH($A507,$A$15:OFFSET($A507,-1,0),0)),MAX($M$15:OFFSET(M507,-1,0))+1,INDEX($M$15:OFFSET(M507,-1,0),MATCH($A507,$A$15:OFFSET($A507,-1,0),0)))))</f>
        <v/>
      </c>
      <c r="N507" s="211" t="str">
        <f ca="1">IF($D507&lt;&gt;"Serviço","",IF(AUTOEVENTO="Manual",IF($A507=0,"&lt;-- defina o número do agrupador",OFFSET(EVENTOS!$D$14,$A507,0)),OFFSET($F$15,$A507,0)))</f>
        <v/>
      </c>
      <c r="O507" s="212"/>
      <c r="Q507" s="212"/>
      <c r="R507" s="213"/>
      <c r="S507" s="213"/>
      <c r="T507" s="213"/>
      <c r="U507" s="213"/>
      <c r="V507" s="213"/>
      <c r="W507" s="213"/>
      <c r="X507" s="213"/>
      <c r="Y507" s="213"/>
      <c r="Z507" s="214"/>
      <c r="AA507" s="213"/>
      <c r="AB507" s="213"/>
      <c r="AC507" s="213"/>
      <c r="AD507" s="213"/>
      <c r="AE507" s="213"/>
      <c r="AF507" s="213"/>
      <c r="AG507" s="213"/>
      <c r="AH507" s="214"/>
      <c r="AJ507" s="631">
        <f ca="1">IF(AND($D507="Serviço",AJ$12&lt;&gt;0,$H507&gt;0,OR(AUTOEVENTO&lt;&gt;"manual",$M507&lt;&gt;1)),ROUND(OFFSET($P507,0,AJ$13),15-13*ORÇAMENTO!$AF$7)/$H507*OFFSET(ORÇAMENTO!$X$15,ROW(AJ507)-ROW(AJ$15),0),0)</f>
        <v>0</v>
      </c>
      <c r="AK507" s="632">
        <f ca="1">IF(AND($D507="Serviço",AK$12&lt;&gt;0,$H507&gt;0,OR(AUTOEVENTO&lt;&gt;"manual",$M507&lt;&gt;1)),ROUND(OFFSET($P507,0,AK$13),15-13*ORÇAMENTO!$AF$7)/$H507*OFFSET(ORÇAMENTO!$X$15,ROW(AK507)-ROW(AK$15),0),0)</f>
        <v>0</v>
      </c>
      <c r="AL507" s="632">
        <f ca="1">IF(AND($D507="Serviço",AL$12&lt;&gt;0,$H507&gt;0,OR(AUTOEVENTO&lt;&gt;"manual",$M507&lt;&gt;1)),ROUND(OFFSET($P507,0,AL$13),15-13*ORÇAMENTO!$AF$7)/$H507*OFFSET(ORÇAMENTO!$X$15,ROW(AL507)-ROW(AL$15),0),0)</f>
        <v>0</v>
      </c>
      <c r="AM507" s="632">
        <f ca="1">IF(AND($D507="Serviço",AM$12&lt;&gt;0,$H507&gt;0,OR(AUTOEVENTO&lt;&gt;"manual",$M507&lt;&gt;1)),ROUND(OFFSET($P507,0,AM$13),15-13*ORÇAMENTO!$AF$7)/$H507*OFFSET(ORÇAMENTO!$X$15,ROW(AM507)-ROW(AM$15),0),0)</f>
        <v>0</v>
      </c>
      <c r="AN507" s="632">
        <f ca="1">IF(AND($D507="Serviço",AN$12&lt;&gt;0,$H507&gt;0,OR(AUTOEVENTO&lt;&gt;"manual",$M507&lt;&gt;1)),ROUND(OFFSET($P507,0,AN$13),15-13*ORÇAMENTO!$AF$7)/$H507*OFFSET(ORÇAMENTO!$X$15,ROW(AN507)-ROW(AN$15),0),0)</f>
        <v>0</v>
      </c>
      <c r="AO507" s="632">
        <f ca="1">IF(AND($D507="Serviço",AO$12&lt;&gt;0,$H507&gt;0,OR(AUTOEVENTO&lt;&gt;"manual",$M507&lt;&gt;1)),ROUND(OFFSET($P507,0,AO$13),15-13*ORÇAMENTO!$AF$7)/$H507*OFFSET(ORÇAMENTO!$X$15,ROW(AO507)-ROW(AO$15),0),0)</f>
        <v>0</v>
      </c>
      <c r="AP507" s="632">
        <f ca="1">IF(AND($D507="Serviço",AP$12&lt;&gt;0,$H507&gt;0,OR(AUTOEVENTO&lt;&gt;"manual",$M507&lt;&gt;1)),ROUND(OFFSET($P507,0,AP$13),15-13*ORÇAMENTO!$AF$7)/$H507*OFFSET(ORÇAMENTO!$X$15,ROW(AP507)-ROW(AP$15),0),0)</f>
        <v>0</v>
      </c>
      <c r="AQ507" s="632">
        <f ca="1">IF(AND($D507="Serviço",AQ$12&lt;&gt;0,$H507&gt;0,OR(AUTOEVENTO&lt;&gt;"manual",$M507&lt;&gt;1)),ROUND(OFFSET($P507,0,AQ$13),15-13*ORÇAMENTO!$AF$7)/$H507*OFFSET(ORÇAMENTO!$X$15,ROW(AQ507)-ROW(AQ$15),0),0)</f>
        <v>0</v>
      </c>
      <c r="AR507" s="632">
        <f ca="1">IF(AND($D507="Serviço",AR$12&lt;&gt;0,$H507&gt;0,OR(AUTOEVENTO&lt;&gt;"manual",$M507&lt;&gt;1)),ROUND(OFFSET($P507,0,AR$13),15-13*ORÇAMENTO!$AF$7)/$H507*OFFSET(ORÇAMENTO!$X$15,ROW(AR507)-ROW(AR$15),0),0)</f>
        <v>0</v>
      </c>
      <c r="AS507" s="633">
        <f ca="1">IF(AND($D507="Serviço",AS$12&lt;&gt;0,$H507&gt;0,OR(AUTOEVENTO&lt;&gt;"manual",$M507&lt;&gt;1)),ROUND(OFFSET($P507,0,AS$13),15-13*ORÇAMENTO!$AF$7)/$H507*OFFSET(ORÇAMENTO!$X$15,ROW(AS507)-ROW(AS$15),0),0)</f>
        <v>0</v>
      </c>
      <c r="AT507" s="632">
        <f ca="1">IF(AND($D507="Serviço",AT$12&lt;&gt;0,$H507&gt;0,OR(AUTOEVENTO&lt;&gt;"manual",$M507&lt;&gt;1)),ROUND(OFFSET($P507,0,AT$13),15-13*ORÇAMENTO!$AF$7)/$H507*OFFSET(ORÇAMENTO!$X$15,ROW(AT507)-ROW(AT$15),0),0)</f>
        <v>0</v>
      </c>
      <c r="AU507" s="632">
        <f ca="1">IF(AND($D507="Serviço",AU$12&lt;&gt;0,$H507&gt;0,OR(AUTOEVENTO&lt;&gt;"manual",$M507&lt;&gt;1)),ROUND(OFFSET($P507,0,AU$13),15-13*ORÇAMENTO!$AF$7)/$H507*OFFSET(ORÇAMENTO!$X$15,ROW(AU507)-ROW(AU$15),0),0)</f>
        <v>0</v>
      </c>
      <c r="AV507" s="632">
        <f ca="1">IF(AND($D507="Serviço",AV$12&lt;&gt;0,$H507&gt;0,OR(AUTOEVENTO&lt;&gt;"manual",$M507&lt;&gt;1)),ROUND(OFFSET($P507,0,AV$13),15-13*ORÇAMENTO!$AF$7)/$H507*OFFSET(ORÇAMENTO!$X$15,ROW(AV507)-ROW(AV$15),0),0)</f>
        <v>0</v>
      </c>
      <c r="AW507" s="632">
        <f ca="1">IF(AND($D507="Serviço",AW$12&lt;&gt;0,$H507&gt;0,OR(AUTOEVENTO&lt;&gt;"manual",$M507&lt;&gt;1)),ROUND(OFFSET($P507,0,AW$13),15-13*ORÇAMENTO!$AF$7)/$H507*OFFSET(ORÇAMENTO!$X$15,ROW(AW507)-ROW(AW$15),0),0)</f>
        <v>0</v>
      </c>
      <c r="AX507" s="632">
        <f ca="1">IF(AND($D507="Serviço",AX$12&lt;&gt;0,$H507&gt;0,OR(AUTOEVENTO&lt;&gt;"manual",$M507&lt;&gt;1)),ROUND(OFFSET($P507,0,AX$13),15-13*ORÇAMENTO!$AF$7)/$H507*OFFSET(ORÇAMENTO!$X$15,ROW(AX507)-ROW(AX$15),0),0)</f>
        <v>0</v>
      </c>
      <c r="AY507" s="632">
        <f ca="1">IF(AND($D507="Serviço",AY$12&lt;&gt;0,$H507&gt;0,OR(AUTOEVENTO&lt;&gt;"manual",$M507&lt;&gt;1)),ROUND(OFFSET($P507,0,AY$13),15-13*ORÇAMENTO!$AF$7)/$H507*OFFSET(ORÇAMENTO!$X$15,ROW(AY507)-ROW(AY$15),0),0)</f>
        <v>0</v>
      </c>
      <c r="AZ507" s="632">
        <f ca="1">IF(AND($D507="Serviço",AZ$12&lt;&gt;0,$H507&gt;0,OR(AUTOEVENTO&lt;&gt;"manual",$M507&lt;&gt;1)),ROUND(OFFSET($P507,0,AZ$13),15-13*ORÇAMENTO!$AF$7)/$H507*OFFSET(ORÇAMENTO!$X$15,ROW(AZ507)-ROW(AZ$15),0),0)</f>
        <v>0</v>
      </c>
      <c r="BA507" s="633">
        <f ca="1">IF(AND($D507="Serviço",BA$12&lt;&gt;0,$H507&gt;0,OR(AUTOEVENTO&lt;&gt;"manual",$M507&lt;&gt;1)),ROUND(OFFSET($P507,0,BA$13),15-13*ORÇAMENTO!$AF$7)/$H507*OFFSET(ORÇAMENTO!$X$15,ROW(BA507)-ROW(BA$15),0),0)</f>
        <v>0</v>
      </c>
      <c r="BC507" s="215">
        <f ca="1">IF($D507&lt;&gt;"Serviço",0,IF(AND(AUTOEVENTO="Manual",$M507=1),0,IF(OFFSET(CRONOPLE!$F$14,$M507,BC$13)="",10^12,OFFSET(CRONOPLE!$F$14,$M507,BC$13))))</f>
        <v>0</v>
      </c>
      <c r="BD507" s="215">
        <f ca="1">IF($D507&lt;&gt;"Serviço",0,IF(AND(AUTOEVENTO="Manual",$M507=1),0,IF(OFFSET(CRONOPLE!$F$14,$M507,BD$13)="",10^12,OFFSET(CRONOPLE!$F$14,$M507,BD$13))))</f>
        <v>0</v>
      </c>
      <c r="BE507" s="215">
        <f ca="1">IF($D507&lt;&gt;"Serviço",0,IF(AND(AUTOEVENTO="Manual",$M507=1),0,IF(OFFSET(CRONOPLE!$F$14,$M507,BE$13)="",10^12,OFFSET(CRONOPLE!$F$14,$M507,BE$13))))</f>
        <v>0</v>
      </c>
      <c r="BF507" s="215">
        <f ca="1">IF($D507&lt;&gt;"Serviço",0,IF(AND(AUTOEVENTO="Manual",$M507=1),0,IF(OFFSET(CRONOPLE!$F$14,$M507,BF$13)="",10^12,OFFSET(CRONOPLE!$F$14,$M507,BF$13))))</f>
        <v>0</v>
      </c>
      <c r="BG507" s="215">
        <f ca="1">IF($D507&lt;&gt;"Serviço",0,IF(AND(AUTOEVENTO="Manual",$M507=1),0,IF(OFFSET(CRONOPLE!$F$14,$M507,BG$13)="",10^12,OFFSET(CRONOPLE!$F$14,$M507,BG$13))))</f>
        <v>0</v>
      </c>
      <c r="BH507" s="215">
        <f ca="1">IF($D507&lt;&gt;"Serviço",0,IF(AND(AUTOEVENTO="Manual",$M507=1),0,IF(OFFSET(CRONOPLE!$F$14,$M507,BH$13)="",10^12,OFFSET(CRONOPLE!$F$14,$M507,BH$13))))</f>
        <v>0</v>
      </c>
      <c r="BI507" s="215">
        <f ca="1">IF($D507&lt;&gt;"Serviço",0,IF(AND(AUTOEVENTO="Manual",$M507=1),0,IF(OFFSET(CRONOPLE!$F$14,$M507,BI$13)="",10^12,OFFSET(CRONOPLE!$F$14,$M507,BI$13))))</f>
        <v>0</v>
      </c>
      <c r="BJ507" s="215">
        <f ca="1">IF($D507&lt;&gt;"Serviço",0,IF(AND(AUTOEVENTO="Manual",$M507=1),0,IF(OFFSET(CRONOPLE!$F$14,$M507,BJ$13)="",10^12,OFFSET(CRONOPLE!$F$14,$M507,BJ$13))))</f>
        <v>0</v>
      </c>
      <c r="BK507" s="215">
        <f ca="1">IF($D507&lt;&gt;"Serviço",0,IF(AND(AUTOEVENTO="Manual",$M507=1),0,IF(OFFSET(CRONOPLE!$F$14,$M507,BK$13)="",10^12,OFFSET(CRONOPLE!$F$14,$M507,BK$13))))</f>
        <v>0</v>
      </c>
      <c r="BL507" s="215">
        <f ca="1">IF($D507&lt;&gt;"Serviço",0,IF(AND(AUTOEVENTO="Manual",$M507=1),0,IF(OFFSET(CRONOPLE!$F$14,$M507,BL$13)="",10^12,OFFSET(CRONOPLE!$F$14,$M507,BL$13))))</f>
        <v>0</v>
      </c>
      <c r="BM507" s="215">
        <f ca="1">IF($D507&lt;&gt;"Serviço",0,IF(AND(AUTOEVENTO="Manual",$M507=1),0,IF(OFFSET(CRONOPLE!$F$14,$M507,BM$13)="",10^12,OFFSET(CRONOPLE!$F$14,$M507,BM$13))))</f>
        <v>0</v>
      </c>
      <c r="BN507" s="215">
        <f ca="1">IF($D507&lt;&gt;"Serviço",0,IF(AND(AUTOEVENTO="Manual",$M507=1),0,IF(OFFSET(CRONOPLE!$F$14,$M507,BN$13)="",10^12,OFFSET(CRONOPLE!$F$14,$M507,BN$13))))</f>
        <v>0</v>
      </c>
      <c r="BO507" s="215">
        <f ca="1">IF($D507&lt;&gt;"Serviço",0,IF(AND(AUTOEVENTO="Manual",$M507=1),0,IF(OFFSET(CRONOPLE!$F$14,$M507,BO$13)="",10^12,OFFSET(CRONOPLE!$F$14,$M507,BO$13))))</f>
        <v>0</v>
      </c>
      <c r="BP507" s="215">
        <f ca="1">IF($D507&lt;&gt;"Serviço",0,IF(AND(AUTOEVENTO="Manual",$M507=1),0,IF(OFFSET(CRONOPLE!$F$14,$M507,BP$13)="",10^12,OFFSET(CRONOPLE!$F$14,$M507,BP$13))))</f>
        <v>0</v>
      </c>
      <c r="BQ507" s="215">
        <f ca="1">IF($D507&lt;&gt;"Serviço",0,IF(AND(AUTOEVENTO="Manual",$M507=1),0,IF(OFFSET(CRONOPLE!$F$14,$M507,BQ$13)="",10^12,OFFSET(CRONOPLE!$F$14,$M507,BQ$13))))</f>
        <v>0</v>
      </c>
      <c r="BR507" s="215">
        <f ca="1">IF($D507&lt;&gt;"Serviço",0,IF(AND(AUTOEVENTO="Manual",$M507=1),0,IF(OFFSET(CRONOPLE!$F$14,$M507,BR$13)="",10^12,OFFSET(CRONOPLE!$F$14,$M507,BR$13))))</f>
        <v>0</v>
      </c>
      <c r="BS507" s="215">
        <f ca="1">IF($D507&lt;&gt;"Serviço",0,IF(AND(AUTOEVENTO="Manual",$M507=1),0,IF(OFFSET(CRONOPLE!$F$14,$M507,BS$13)="",10^12,OFFSET(CRONOPLE!$F$14,$M507,BS$13))))</f>
        <v>0</v>
      </c>
      <c r="BT507" s="215">
        <f ca="1">IF($D507&lt;&gt;"Serviço",0,IF(AND(AUTOEVENTO="Manual",$M507=1),0,IF(OFFSET(CRONOPLE!$F$14,$M507,BT$13)="",10^12,OFFSET(CRONOPLE!$F$14,$M507,BT$13))))</f>
        <v>0</v>
      </c>
      <c r="BV507" s="216">
        <f ca="1">IF($D507&lt;&gt;"Serviço",0,IF(OR(AND(AUTOEVENTO="Manual",$M507=1),$M507&gt;(ROW(PLE.lastrow)-ROW(PLE.firstrow))),0,IF(OFFSET(PLE!$G$14,$M507,BV$13)="",10^12,OFFSET(PLE!$G$14,$M507,BV$13))))</f>
        <v>0</v>
      </c>
      <c r="BW507" s="216">
        <f ca="1">IF($D507&lt;&gt;"Serviço",0,IF(OR(AND(AUTOEVENTO="Manual",$M507=1),$M507&gt;(ROW(PLE.lastrow)-ROW(PLE.firstrow))),0,IF(OFFSET(PLE!$G$14,$M507,BW$13)="",10^12,OFFSET(PLE!$G$14,$M507,BW$13))))</f>
        <v>0</v>
      </c>
      <c r="BX507" s="216">
        <f ca="1">IF($D507&lt;&gt;"Serviço",0,IF(OR(AND(AUTOEVENTO="Manual",$M507=1),$M507&gt;(ROW(PLE.lastrow)-ROW(PLE.firstrow))),0,IF(OFFSET(PLE!$G$14,$M507,BX$13)="",10^12,OFFSET(PLE!$G$14,$M507,BX$13))))</f>
        <v>0</v>
      </c>
      <c r="BY507" s="216">
        <f ca="1">IF($D507&lt;&gt;"Serviço",0,IF(OR(AND(AUTOEVENTO="Manual",$M507=1),$M507&gt;(ROW(PLE.lastrow)-ROW(PLE.firstrow))),0,IF(OFFSET(PLE!$G$14,$M507,BY$13)="",10^12,OFFSET(PLE!$G$14,$M507,BY$13))))</f>
        <v>0</v>
      </c>
      <c r="BZ507" s="216">
        <f ca="1">IF($D507&lt;&gt;"Serviço",0,IF(OR(AND(AUTOEVENTO="Manual",$M507=1),$M507&gt;(ROW(PLE.lastrow)-ROW(PLE.firstrow))),0,IF(OFFSET(PLE!$G$14,$M507,BZ$13)="",10^12,OFFSET(PLE!$G$14,$M507,BZ$13))))</f>
        <v>0</v>
      </c>
      <c r="CA507" s="216">
        <f ca="1">IF($D507&lt;&gt;"Serviço",0,IF(OR(AND(AUTOEVENTO="Manual",$M507=1),$M507&gt;(ROW(PLE.lastrow)-ROW(PLE.firstrow))),0,IF(OFFSET(PLE!$G$14,$M507,CA$13)="",10^12,OFFSET(PLE!$G$14,$M507,CA$13))))</f>
        <v>0</v>
      </c>
      <c r="CB507" s="216">
        <f ca="1">IF($D507&lt;&gt;"Serviço",0,IF(OR(AND(AUTOEVENTO="Manual",$M507=1),$M507&gt;(ROW(PLE.lastrow)-ROW(PLE.firstrow))),0,IF(OFFSET(PLE!$G$14,$M507,CB$13)="",10^12,OFFSET(PLE!$G$14,$M507,CB$13))))</f>
        <v>0</v>
      </c>
      <c r="CC507" s="216">
        <f ca="1">IF($D507&lt;&gt;"Serviço",0,IF(OR(AND(AUTOEVENTO="Manual",$M507=1),$M507&gt;(ROW(PLE.lastrow)-ROW(PLE.firstrow))),0,IF(OFFSET(PLE!$G$14,$M507,CC$13)="",10^12,OFFSET(PLE!$G$14,$M507,CC$13))))</f>
        <v>0</v>
      </c>
      <c r="CD507" s="216">
        <f ca="1">IF($D507&lt;&gt;"Serviço",0,IF(OR(AND(AUTOEVENTO="Manual",$M507=1),$M507&gt;(ROW(PLE.lastrow)-ROW(PLE.firstrow))),0,IF(OFFSET(PLE!$G$14,$M507,CD$13)="",10^12,OFFSET(PLE!$G$14,$M507,CD$13))))</f>
        <v>0</v>
      </c>
      <c r="CE507" s="216">
        <f ca="1">IF($D507&lt;&gt;"Serviço",0,IF(OR(AND(AUTOEVENTO="Manual",$M507=1),$M507&gt;(ROW(PLE.lastrow)-ROW(PLE.firstrow))),0,IF(OFFSET(PLE!$G$14,$M507,CE$13)="",10^12,OFFSET(PLE!$G$14,$M507,CE$13))))</f>
        <v>0</v>
      </c>
      <c r="CF507" s="216">
        <f ca="1">IF($D507&lt;&gt;"Serviço",0,IF(OR(AND(AUTOEVENTO="Manual",$M507=1),$M507&gt;(ROW(PLE.lastrow)-ROW(PLE.firstrow))),0,IF(OFFSET(PLE!$G$14,$M507,CF$13)="",10^12,OFFSET(PLE!$G$14,$M507,CF$13))))</f>
        <v>0</v>
      </c>
      <c r="CG507" s="216">
        <f ca="1">IF($D507&lt;&gt;"Serviço",0,IF(OR(AND(AUTOEVENTO="Manual",$M507=1),$M507&gt;(ROW(PLE.lastrow)-ROW(PLE.firstrow))),0,IF(OFFSET(PLE!$G$14,$M507,CG$13)="",10^12,OFFSET(PLE!$G$14,$M507,CG$13))))</f>
        <v>0</v>
      </c>
      <c r="CH507" s="216">
        <f ca="1">IF($D507&lt;&gt;"Serviço",0,IF(OR(AND(AUTOEVENTO="Manual",$M507=1),$M507&gt;(ROW(PLE.lastrow)-ROW(PLE.firstrow))),0,IF(OFFSET(PLE!$G$14,$M507,CH$13)="",10^12,OFFSET(PLE!$G$14,$M507,CH$13))))</f>
        <v>0</v>
      </c>
      <c r="CI507" s="216">
        <f ca="1">IF($D507&lt;&gt;"Serviço",0,IF(OR(AND(AUTOEVENTO="Manual",$M507=1),$M507&gt;(ROW(PLE.lastrow)-ROW(PLE.firstrow))),0,IF(OFFSET(PLE!$G$14,$M507,CI$13)="",10^12,OFFSET(PLE!$G$14,$M507,CI$13))))</f>
        <v>0</v>
      </c>
      <c r="CJ507" s="216">
        <f ca="1">IF($D507&lt;&gt;"Serviço",0,IF(OR(AND(AUTOEVENTO="Manual",$M507=1),$M507&gt;(ROW(PLE.lastrow)-ROW(PLE.firstrow))),0,IF(OFFSET(PLE!$G$14,$M507,CJ$13)="",10^12,OFFSET(PLE!$G$14,$M507,CJ$13))))</f>
        <v>0</v>
      </c>
      <c r="CK507" s="216">
        <f ca="1">IF($D507&lt;&gt;"Serviço",0,IF(OR(AND(AUTOEVENTO="Manual",$M507=1),$M507&gt;(ROW(PLE.lastrow)-ROW(PLE.firstrow))),0,IF(OFFSET(PLE!$G$14,$M507,CK$13)="",10^12,OFFSET(PLE!$G$14,$M507,CK$13))))</f>
        <v>0</v>
      </c>
      <c r="CL507" s="216">
        <f ca="1">IF($D507&lt;&gt;"Serviço",0,IF(OR(AND(AUTOEVENTO="Manual",$M507=1),$M507&gt;(ROW(PLE.lastrow)-ROW(PLE.firstrow))),0,IF(OFFSET(PLE!$G$14,$M507,CL$13)="",10^12,OFFSET(PLE!$G$14,$M507,CL$13))))</f>
        <v>0</v>
      </c>
      <c r="CM507" s="216">
        <f ca="1">IF($D507&lt;&gt;"Serviço",0,IF(OR(AND(AUTOEVENTO="Manual",$M507=1),$M507&gt;(ROW(PLE.lastrow)-ROW(PLE.firstrow))),0,IF(OFFSET(PLE!$G$14,$M507,CM$13)="",10^12,OFFSET(PLE!$G$14,$M507,CM$13))))</f>
        <v>0</v>
      </c>
    </row>
    <row r="508" spans="1:91" ht="13.2" x14ac:dyDescent="0.25">
      <c r="A508" s="9">
        <f t="shared" ca="1" si="16"/>
        <v>0</v>
      </c>
      <c r="B508" s="9" t="str">
        <f ca="1">OFFSET(ORÇAMENTO!C$15,ROW(B508)-ROW(B$15),0)</f>
        <v>S</v>
      </c>
      <c r="C508" s="9" t="str">
        <f ca="1">OFFSET(ORÇAMENTO!L$15,ROW(C508)-ROW(C$15),0)</f>
        <v/>
      </c>
      <c r="D508" s="145" t="str">
        <f ca="1">OFFSET(ORÇAMENTO!N$15,ROW(D508)-ROW(D$15),0)</f>
        <v>Serviço</v>
      </c>
      <c r="E508" s="205" t="str">
        <f ca="1">OFFSET(ORÇAMENTO!O$15,ROW(E508)-ROW(E$15),0)</f>
        <v>-</v>
      </c>
      <c r="F508" s="206" t="str">
        <f ca="1">OFFSET(ORÇAMENTO!R$15,ROW(F508)-ROW(F$15),0)</f>
        <v>(abra o arquivo 'Referência 05-2024.xls)</v>
      </c>
      <c r="G508" s="207" t="str">
        <f ca="1">IF($D508&lt;&gt;"Serviço","",OFFSET(ORÇAMENTO!S$15,ROW(G508)-ROW(G$15),0))</f>
        <v>-</v>
      </c>
      <c r="H508" s="151">
        <f ca="1">IF($D508&lt;&gt;"Serviço",0,IF(ACOMPANHAMENTO="BM",ROUND(OFFSET(ORÇAMENTO!AJ$15,ROW(H508)-ROW(H$15),0),15-13*ORÇAMENTO!$AF$7),SUMPRODUCT(($Q$12:$AI$12&lt;&gt;"")*ROUND($Q508:$AI508,15-13*ORÇAMENTO!$AF$7))))</f>
        <v>9</v>
      </c>
      <c r="I508" s="650"/>
      <c r="K508" s="208"/>
      <c r="L508" s="209" t="s">
        <v>257</v>
      </c>
      <c r="M508" s="210">
        <f ca="1">IF($D508&lt;&gt;"Serviço","",IF(AUTOEVENTO="manual",$A508,IF(ISERROR(MATCH($A508,$A$15:OFFSET($A508,-1,0),0)),MAX($M$15:OFFSET(M508,-1,0))+1,INDEX($M$15:OFFSET(M508,-1,0),MATCH($A508,$A$15:OFFSET($A508,-1,0),0)))))</f>
        <v>0</v>
      </c>
      <c r="N508" s="211" t="str">
        <f ca="1">IF($D508&lt;&gt;"Serviço","",IF(AUTOEVENTO="Manual",IF($A508=0,"&lt;-- defina o número do agrupador",OFFSET(EVENTOS!$D$14,$A508,0)),OFFSET($F$15,$A508,0)))</f>
        <v>&lt;-- defina o número do agrupador</v>
      </c>
      <c r="O508" s="212"/>
      <c r="Q508" s="212"/>
      <c r="R508" s="213"/>
      <c r="S508" s="213"/>
      <c r="T508" s="213"/>
      <c r="U508" s="213"/>
      <c r="V508" s="213"/>
      <c r="W508" s="213"/>
      <c r="X508" s="213"/>
      <c r="Y508" s="213"/>
      <c r="Z508" s="214"/>
      <c r="AA508" s="213"/>
      <c r="AB508" s="213"/>
      <c r="AC508" s="213"/>
      <c r="AD508" s="213"/>
      <c r="AE508" s="213"/>
      <c r="AF508" s="213"/>
      <c r="AG508" s="213"/>
      <c r="AH508" s="214"/>
      <c r="AJ508" s="631">
        <f ca="1">IF(AND($D508="Serviço",AJ$12&lt;&gt;0,$H508&gt;0,OR(AUTOEVENTO&lt;&gt;"manual",$M508&lt;&gt;1)),ROUND(OFFSET($P508,0,AJ$13),15-13*ORÇAMENTO!$AF$7)/$H508*OFFSET(ORÇAMENTO!$X$15,ROW(AJ508)-ROW(AJ$15),0),0)</f>
        <v>0</v>
      </c>
      <c r="AK508" s="632">
        <f ca="1">IF(AND($D508="Serviço",AK$12&lt;&gt;0,$H508&gt;0,OR(AUTOEVENTO&lt;&gt;"manual",$M508&lt;&gt;1)),ROUND(OFFSET($P508,0,AK$13),15-13*ORÇAMENTO!$AF$7)/$H508*OFFSET(ORÇAMENTO!$X$15,ROW(AK508)-ROW(AK$15),0),0)</f>
        <v>0</v>
      </c>
      <c r="AL508" s="632">
        <f ca="1">IF(AND($D508="Serviço",AL$12&lt;&gt;0,$H508&gt;0,OR(AUTOEVENTO&lt;&gt;"manual",$M508&lt;&gt;1)),ROUND(OFFSET($P508,0,AL$13),15-13*ORÇAMENTO!$AF$7)/$H508*OFFSET(ORÇAMENTO!$X$15,ROW(AL508)-ROW(AL$15),0),0)</f>
        <v>0</v>
      </c>
      <c r="AM508" s="632">
        <f ca="1">IF(AND($D508="Serviço",AM$12&lt;&gt;0,$H508&gt;0,OR(AUTOEVENTO&lt;&gt;"manual",$M508&lt;&gt;1)),ROUND(OFFSET($P508,0,AM$13),15-13*ORÇAMENTO!$AF$7)/$H508*OFFSET(ORÇAMENTO!$X$15,ROW(AM508)-ROW(AM$15),0),0)</f>
        <v>0</v>
      </c>
      <c r="AN508" s="632">
        <f ca="1">IF(AND($D508="Serviço",AN$12&lt;&gt;0,$H508&gt;0,OR(AUTOEVENTO&lt;&gt;"manual",$M508&lt;&gt;1)),ROUND(OFFSET($P508,0,AN$13),15-13*ORÇAMENTO!$AF$7)/$H508*OFFSET(ORÇAMENTO!$X$15,ROW(AN508)-ROW(AN$15),0),0)</f>
        <v>0</v>
      </c>
      <c r="AO508" s="632">
        <f ca="1">IF(AND($D508="Serviço",AO$12&lt;&gt;0,$H508&gt;0,OR(AUTOEVENTO&lt;&gt;"manual",$M508&lt;&gt;1)),ROUND(OFFSET($P508,0,AO$13),15-13*ORÇAMENTO!$AF$7)/$H508*OFFSET(ORÇAMENTO!$X$15,ROW(AO508)-ROW(AO$15),0),0)</f>
        <v>0</v>
      </c>
      <c r="AP508" s="632">
        <f ca="1">IF(AND($D508="Serviço",AP$12&lt;&gt;0,$H508&gt;0,OR(AUTOEVENTO&lt;&gt;"manual",$M508&lt;&gt;1)),ROUND(OFFSET($P508,0,AP$13),15-13*ORÇAMENTO!$AF$7)/$H508*OFFSET(ORÇAMENTO!$X$15,ROW(AP508)-ROW(AP$15),0),0)</f>
        <v>0</v>
      </c>
      <c r="AQ508" s="632">
        <f ca="1">IF(AND($D508="Serviço",AQ$12&lt;&gt;0,$H508&gt;0,OR(AUTOEVENTO&lt;&gt;"manual",$M508&lt;&gt;1)),ROUND(OFFSET($P508,0,AQ$13),15-13*ORÇAMENTO!$AF$7)/$H508*OFFSET(ORÇAMENTO!$X$15,ROW(AQ508)-ROW(AQ$15),0),0)</f>
        <v>0</v>
      </c>
      <c r="AR508" s="632">
        <f ca="1">IF(AND($D508="Serviço",AR$12&lt;&gt;0,$H508&gt;0,OR(AUTOEVENTO&lt;&gt;"manual",$M508&lt;&gt;1)),ROUND(OFFSET($P508,0,AR$13),15-13*ORÇAMENTO!$AF$7)/$H508*OFFSET(ORÇAMENTO!$X$15,ROW(AR508)-ROW(AR$15),0),0)</f>
        <v>0</v>
      </c>
      <c r="AS508" s="633">
        <f ca="1">IF(AND($D508="Serviço",AS$12&lt;&gt;0,$H508&gt;0,OR(AUTOEVENTO&lt;&gt;"manual",$M508&lt;&gt;1)),ROUND(OFFSET($P508,0,AS$13),15-13*ORÇAMENTO!$AF$7)/$H508*OFFSET(ORÇAMENTO!$X$15,ROW(AS508)-ROW(AS$15),0),0)</f>
        <v>0</v>
      </c>
      <c r="AT508" s="632">
        <f ca="1">IF(AND($D508="Serviço",AT$12&lt;&gt;0,$H508&gt;0,OR(AUTOEVENTO&lt;&gt;"manual",$M508&lt;&gt;1)),ROUND(OFFSET($P508,0,AT$13),15-13*ORÇAMENTO!$AF$7)/$H508*OFFSET(ORÇAMENTO!$X$15,ROW(AT508)-ROW(AT$15),0),0)</f>
        <v>0</v>
      </c>
      <c r="AU508" s="632">
        <f ca="1">IF(AND($D508="Serviço",AU$12&lt;&gt;0,$H508&gt;0,OR(AUTOEVENTO&lt;&gt;"manual",$M508&lt;&gt;1)),ROUND(OFFSET($P508,0,AU$13),15-13*ORÇAMENTO!$AF$7)/$H508*OFFSET(ORÇAMENTO!$X$15,ROW(AU508)-ROW(AU$15),0),0)</f>
        <v>0</v>
      </c>
      <c r="AV508" s="632">
        <f ca="1">IF(AND($D508="Serviço",AV$12&lt;&gt;0,$H508&gt;0,OR(AUTOEVENTO&lt;&gt;"manual",$M508&lt;&gt;1)),ROUND(OFFSET($P508,0,AV$13),15-13*ORÇAMENTO!$AF$7)/$H508*OFFSET(ORÇAMENTO!$X$15,ROW(AV508)-ROW(AV$15),0),0)</f>
        <v>0</v>
      </c>
      <c r="AW508" s="632">
        <f ca="1">IF(AND($D508="Serviço",AW$12&lt;&gt;0,$H508&gt;0,OR(AUTOEVENTO&lt;&gt;"manual",$M508&lt;&gt;1)),ROUND(OFFSET($P508,0,AW$13),15-13*ORÇAMENTO!$AF$7)/$H508*OFFSET(ORÇAMENTO!$X$15,ROW(AW508)-ROW(AW$15),0),0)</f>
        <v>0</v>
      </c>
      <c r="AX508" s="632">
        <f ca="1">IF(AND($D508="Serviço",AX$12&lt;&gt;0,$H508&gt;0,OR(AUTOEVENTO&lt;&gt;"manual",$M508&lt;&gt;1)),ROUND(OFFSET($P508,0,AX$13),15-13*ORÇAMENTO!$AF$7)/$H508*OFFSET(ORÇAMENTO!$X$15,ROW(AX508)-ROW(AX$15),0),0)</f>
        <v>0</v>
      </c>
      <c r="AY508" s="632">
        <f ca="1">IF(AND($D508="Serviço",AY$12&lt;&gt;0,$H508&gt;0,OR(AUTOEVENTO&lt;&gt;"manual",$M508&lt;&gt;1)),ROUND(OFFSET($P508,0,AY$13),15-13*ORÇAMENTO!$AF$7)/$H508*OFFSET(ORÇAMENTO!$X$15,ROW(AY508)-ROW(AY$15),0),0)</f>
        <v>0</v>
      </c>
      <c r="AZ508" s="632">
        <f ca="1">IF(AND($D508="Serviço",AZ$12&lt;&gt;0,$H508&gt;0,OR(AUTOEVENTO&lt;&gt;"manual",$M508&lt;&gt;1)),ROUND(OFFSET($P508,0,AZ$13),15-13*ORÇAMENTO!$AF$7)/$H508*OFFSET(ORÇAMENTO!$X$15,ROW(AZ508)-ROW(AZ$15),0),0)</f>
        <v>0</v>
      </c>
      <c r="BA508" s="633">
        <f ca="1">IF(AND($D508="Serviço",BA$12&lt;&gt;0,$H508&gt;0,OR(AUTOEVENTO&lt;&gt;"manual",$M508&lt;&gt;1)),ROUND(OFFSET($P508,0,BA$13),15-13*ORÇAMENTO!$AF$7)/$H508*OFFSET(ORÇAMENTO!$X$15,ROW(BA508)-ROW(BA$15),0),0)</f>
        <v>0</v>
      </c>
      <c r="BC508" s="215">
        <f ca="1">IF($D508&lt;&gt;"Serviço",0,IF(AND(AUTOEVENTO="Manual",$M508=1),0,IF(OFFSET(CRONOPLE!$F$14,$M508,BC$13)="",10^12,OFFSET(CRONOPLE!$F$14,$M508,BC$13))))</f>
        <v>1000000000000</v>
      </c>
      <c r="BD508" s="215">
        <f ca="1">IF($D508&lt;&gt;"Serviço",0,IF(AND(AUTOEVENTO="Manual",$M508=1),0,IF(OFFSET(CRONOPLE!$F$14,$M508,BD$13)="",10^12,OFFSET(CRONOPLE!$F$14,$M508,BD$13))))</f>
        <v>1000000000000</v>
      </c>
      <c r="BE508" s="215">
        <f ca="1">IF($D508&lt;&gt;"Serviço",0,IF(AND(AUTOEVENTO="Manual",$M508=1),0,IF(OFFSET(CRONOPLE!$F$14,$M508,BE$13)="",10^12,OFFSET(CRONOPLE!$F$14,$M508,BE$13))))</f>
        <v>1000000000000</v>
      </c>
      <c r="BF508" s="215">
        <f ca="1">IF($D508&lt;&gt;"Serviço",0,IF(AND(AUTOEVENTO="Manual",$M508=1),0,IF(OFFSET(CRONOPLE!$F$14,$M508,BF$13)="",10^12,OFFSET(CRONOPLE!$F$14,$M508,BF$13))))</f>
        <v>1000000000000</v>
      </c>
      <c r="BG508" s="215">
        <f ca="1">IF($D508&lt;&gt;"Serviço",0,IF(AND(AUTOEVENTO="Manual",$M508=1),0,IF(OFFSET(CRONOPLE!$F$14,$M508,BG$13)="",10^12,OFFSET(CRONOPLE!$F$14,$M508,BG$13))))</f>
        <v>1000000000000</v>
      </c>
      <c r="BH508" s="215">
        <f ca="1">IF($D508&lt;&gt;"Serviço",0,IF(AND(AUTOEVENTO="Manual",$M508=1),0,IF(OFFSET(CRONOPLE!$F$14,$M508,BH$13)="",10^12,OFFSET(CRONOPLE!$F$14,$M508,BH$13))))</f>
        <v>1000000000000</v>
      </c>
      <c r="BI508" s="215">
        <f ca="1">IF($D508&lt;&gt;"Serviço",0,IF(AND(AUTOEVENTO="Manual",$M508=1),0,IF(OFFSET(CRONOPLE!$F$14,$M508,BI$13)="",10^12,OFFSET(CRONOPLE!$F$14,$M508,BI$13))))</f>
        <v>1000000000000</v>
      </c>
      <c r="BJ508" s="215">
        <f ca="1">IF($D508&lt;&gt;"Serviço",0,IF(AND(AUTOEVENTO="Manual",$M508=1),0,IF(OFFSET(CRONOPLE!$F$14,$M508,BJ$13)="",10^12,OFFSET(CRONOPLE!$F$14,$M508,BJ$13))))</f>
        <v>1000000000000</v>
      </c>
      <c r="BK508" s="215">
        <f ca="1">IF($D508&lt;&gt;"Serviço",0,IF(AND(AUTOEVENTO="Manual",$M508=1),0,IF(OFFSET(CRONOPLE!$F$14,$M508,BK$13)="",10^12,OFFSET(CRONOPLE!$F$14,$M508,BK$13))))</f>
        <v>1000000000000</v>
      </c>
      <c r="BL508" s="215">
        <f ca="1">IF($D508&lt;&gt;"Serviço",0,IF(AND(AUTOEVENTO="Manual",$M508=1),0,IF(OFFSET(CRONOPLE!$F$14,$M508,BL$13)="",10^12,OFFSET(CRONOPLE!$F$14,$M508,BL$13))))</f>
        <v>1000000000000</v>
      </c>
      <c r="BM508" s="215">
        <f ca="1">IF($D508&lt;&gt;"Serviço",0,IF(AND(AUTOEVENTO="Manual",$M508=1),0,IF(OFFSET(CRONOPLE!$F$14,$M508,BM$13)="",10^12,OFFSET(CRONOPLE!$F$14,$M508,BM$13))))</f>
        <v>1000000000000</v>
      </c>
      <c r="BN508" s="215">
        <f ca="1">IF($D508&lt;&gt;"Serviço",0,IF(AND(AUTOEVENTO="Manual",$M508=1),0,IF(OFFSET(CRONOPLE!$F$14,$M508,BN$13)="",10^12,OFFSET(CRONOPLE!$F$14,$M508,BN$13))))</f>
        <v>1000000000000</v>
      </c>
      <c r="BO508" s="215">
        <f ca="1">IF($D508&lt;&gt;"Serviço",0,IF(AND(AUTOEVENTO="Manual",$M508=1),0,IF(OFFSET(CRONOPLE!$F$14,$M508,BO$13)="",10^12,OFFSET(CRONOPLE!$F$14,$M508,BO$13))))</f>
        <v>1000000000000</v>
      </c>
      <c r="BP508" s="215">
        <f ca="1">IF($D508&lt;&gt;"Serviço",0,IF(AND(AUTOEVENTO="Manual",$M508=1),0,IF(OFFSET(CRONOPLE!$F$14,$M508,BP$13)="",10^12,OFFSET(CRONOPLE!$F$14,$M508,BP$13))))</f>
        <v>1000000000000</v>
      </c>
      <c r="BQ508" s="215">
        <f ca="1">IF($D508&lt;&gt;"Serviço",0,IF(AND(AUTOEVENTO="Manual",$M508=1),0,IF(OFFSET(CRONOPLE!$F$14,$M508,BQ$13)="",10^12,OFFSET(CRONOPLE!$F$14,$M508,BQ$13))))</f>
        <v>1000000000000</v>
      </c>
      <c r="BR508" s="215">
        <f ca="1">IF($D508&lt;&gt;"Serviço",0,IF(AND(AUTOEVENTO="Manual",$M508=1),0,IF(OFFSET(CRONOPLE!$F$14,$M508,BR$13)="",10^12,OFFSET(CRONOPLE!$F$14,$M508,BR$13))))</f>
        <v>1000000000000</v>
      </c>
      <c r="BS508" s="215">
        <f ca="1">IF($D508&lt;&gt;"Serviço",0,IF(AND(AUTOEVENTO="Manual",$M508=1),0,IF(OFFSET(CRONOPLE!$F$14,$M508,BS$13)="",10^12,OFFSET(CRONOPLE!$F$14,$M508,BS$13))))</f>
        <v>1000000000000</v>
      </c>
      <c r="BT508" s="215">
        <f ca="1">IF($D508&lt;&gt;"Serviço",0,IF(AND(AUTOEVENTO="Manual",$M508=1),0,IF(OFFSET(CRONOPLE!$F$14,$M508,BT$13)="",10^12,OFFSET(CRONOPLE!$F$14,$M508,BT$13))))</f>
        <v>1000000000000</v>
      </c>
      <c r="BV508" s="216">
        <f ca="1">IF($D508&lt;&gt;"Serviço",0,IF(OR(AND(AUTOEVENTO="Manual",$M508=1),$M508&gt;(ROW(PLE.lastrow)-ROW(PLE.firstrow))),0,IF(OFFSET(PLE!$G$14,$M508,BV$13)="",10^12,OFFSET(PLE!$G$14,$M508,BV$13))))</f>
        <v>1000000000000</v>
      </c>
      <c r="BW508" s="216">
        <f ca="1">IF($D508&lt;&gt;"Serviço",0,IF(OR(AND(AUTOEVENTO="Manual",$M508=1),$M508&gt;(ROW(PLE.lastrow)-ROW(PLE.firstrow))),0,IF(OFFSET(PLE!$G$14,$M508,BW$13)="",10^12,OFFSET(PLE!$G$14,$M508,BW$13))))</f>
        <v>1000000000000</v>
      </c>
      <c r="BX508" s="216">
        <f ca="1">IF($D508&lt;&gt;"Serviço",0,IF(OR(AND(AUTOEVENTO="Manual",$M508=1),$M508&gt;(ROW(PLE.lastrow)-ROW(PLE.firstrow))),0,IF(OFFSET(PLE!$G$14,$M508,BX$13)="",10^12,OFFSET(PLE!$G$14,$M508,BX$13))))</f>
        <v>1000000000000</v>
      </c>
      <c r="BY508" s="216">
        <f ca="1">IF($D508&lt;&gt;"Serviço",0,IF(OR(AND(AUTOEVENTO="Manual",$M508=1),$M508&gt;(ROW(PLE.lastrow)-ROW(PLE.firstrow))),0,IF(OFFSET(PLE!$G$14,$M508,BY$13)="",10^12,OFFSET(PLE!$G$14,$M508,BY$13))))</f>
        <v>1000000000000</v>
      </c>
      <c r="BZ508" s="216">
        <f ca="1">IF($D508&lt;&gt;"Serviço",0,IF(OR(AND(AUTOEVENTO="Manual",$M508=1),$M508&gt;(ROW(PLE.lastrow)-ROW(PLE.firstrow))),0,IF(OFFSET(PLE!$G$14,$M508,BZ$13)="",10^12,OFFSET(PLE!$G$14,$M508,BZ$13))))</f>
        <v>1000000000000</v>
      </c>
      <c r="CA508" s="216">
        <f ca="1">IF($D508&lt;&gt;"Serviço",0,IF(OR(AND(AUTOEVENTO="Manual",$M508=1),$M508&gt;(ROW(PLE.lastrow)-ROW(PLE.firstrow))),0,IF(OFFSET(PLE!$G$14,$M508,CA$13)="",10^12,OFFSET(PLE!$G$14,$M508,CA$13))))</f>
        <v>1000000000000</v>
      </c>
      <c r="CB508" s="216">
        <f ca="1">IF($D508&lt;&gt;"Serviço",0,IF(OR(AND(AUTOEVENTO="Manual",$M508=1),$M508&gt;(ROW(PLE.lastrow)-ROW(PLE.firstrow))),0,IF(OFFSET(PLE!$G$14,$M508,CB$13)="",10^12,OFFSET(PLE!$G$14,$M508,CB$13))))</f>
        <v>1000000000000</v>
      </c>
      <c r="CC508" s="216">
        <f ca="1">IF($D508&lt;&gt;"Serviço",0,IF(OR(AND(AUTOEVENTO="Manual",$M508=1),$M508&gt;(ROW(PLE.lastrow)-ROW(PLE.firstrow))),0,IF(OFFSET(PLE!$G$14,$M508,CC$13)="",10^12,OFFSET(PLE!$G$14,$M508,CC$13))))</f>
        <v>1000000000000</v>
      </c>
      <c r="CD508" s="216">
        <f ca="1">IF($D508&lt;&gt;"Serviço",0,IF(OR(AND(AUTOEVENTO="Manual",$M508=1),$M508&gt;(ROW(PLE.lastrow)-ROW(PLE.firstrow))),0,IF(OFFSET(PLE!$G$14,$M508,CD$13)="",10^12,OFFSET(PLE!$G$14,$M508,CD$13))))</f>
        <v>1000000000000</v>
      </c>
      <c r="CE508" s="216">
        <f ca="1">IF($D508&lt;&gt;"Serviço",0,IF(OR(AND(AUTOEVENTO="Manual",$M508=1),$M508&gt;(ROW(PLE.lastrow)-ROW(PLE.firstrow))),0,IF(OFFSET(PLE!$G$14,$M508,CE$13)="",10^12,OFFSET(PLE!$G$14,$M508,CE$13))))</f>
        <v>1000000000000</v>
      </c>
      <c r="CF508" s="216">
        <f ca="1">IF($D508&lt;&gt;"Serviço",0,IF(OR(AND(AUTOEVENTO="Manual",$M508=1),$M508&gt;(ROW(PLE.lastrow)-ROW(PLE.firstrow))),0,IF(OFFSET(PLE!$G$14,$M508,CF$13)="",10^12,OFFSET(PLE!$G$14,$M508,CF$13))))</f>
        <v>1000000000000</v>
      </c>
      <c r="CG508" s="216">
        <f ca="1">IF($D508&lt;&gt;"Serviço",0,IF(OR(AND(AUTOEVENTO="Manual",$M508=1),$M508&gt;(ROW(PLE.lastrow)-ROW(PLE.firstrow))),0,IF(OFFSET(PLE!$G$14,$M508,CG$13)="",10^12,OFFSET(PLE!$G$14,$M508,CG$13))))</f>
        <v>1000000000000</v>
      </c>
      <c r="CH508" s="216">
        <f ca="1">IF($D508&lt;&gt;"Serviço",0,IF(OR(AND(AUTOEVENTO="Manual",$M508=1),$M508&gt;(ROW(PLE.lastrow)-ROW(PLE.firstrow))),0,IF(OFFSET(PLE!$G$14,$M508,CH$13)="",10^12,OFFSET(PLE!$G$14,$M508,CH$13))))</f>
        <v>1000000000000</v>
      </c>
      <c r="CI508" s="216">
        <f ca="1">IF($D508&lt;&gt;"Serviço",0,IF(OR(AND(AUTOEVENTO="Manual",$M508=1),$M508&gt;(ROW(PLE.lastrow)-ROW(PLE.firstrow))),0,IF(OFFSET(PLE!$G$14,$M508,CI$13)="",10^12,OFFSET(PLE!$G$14,$M508,CI$13))))</f>
        <v>1000000000000</v>
      </c>
      <c r="CJ508" s="216">
        <f ca="1">IF($D508&lt;&gt;"Serviço",0,IF(OR(AND(AUTOEVENTO="Manual",$M508=1),$M508&gt;(ROW(PLE.lastrow)-ROW(PLE.firstrow))),0,IF(OFFSET(PLE!$G$14,$M508,CJ$13)="",10^12,OFFSET(PLE!$G$14,$M508,CJ$13))))</f>
        <v>1000000000000</v>
      </c>
      <c r="CK508" s="216">
        <f ca="1">IF($D508&lt;&gt;"Serviço",0,IF(OR(AND(AUTOEVENTO="Manual",$M508=1),$M508&gt;(ROW(PLE.lastrow)-ROW(PLE.firstrow))),0,IF(OFFSET(PLE!$G$14,$M508,CK$13)="",10^12,OFFSET(PLE!$G$14,$M508,CK$13))))</f>
        <v>1000000000000</v>
      </c>
      <c r="CL508" s="216">
        <f ca="1">IF($D508&lt;&gt;"Serviço",0,IF(OR(AND(AUTOEVENTO="Manual",$M508=1),$M508&gt;(ROW(PLE.lastrow)-ROW(PLE.firstrow))),0,IF(OFFSET(PLE!$G$14,$M508,CL$13)="",10^12,OFFSET(PLE!$G$14,$M508,CL$13))))</f>
        <v>1000000000000</v>
      </c>
      <c r="CM508" s="216">
        <f ca="1">IF($D508&lt;&gt;"Serviço",0,IF(OR(AND(AUTOEVENTO="Manual",$M508=1),$M508&gt;(ROW(PLE.lastrow)-ROW(PLE.firstrow))),0,IF(OFFSET(PLE!$G$14,$M508,CM$13)="",10^12,OFFSET(PLE!$G$14,$M508,CM$13))))</f>
        <v>1000000000000</v>
      </c>
    </row>
    <row r="509" spans="1:91" ht="13.2" x14ac:dyDescent="0.25">
      <c r="A509" s="9">
        <f t="shared" ca="1" si="16"/>
        <v>0</v>
      </c>
      <c r="B509" s="9" t="str">
        <f ca="1">OFFSET(ORÇAMENTO!C$15,ROW(B509)-ROW(B$15),0)</f>
        <v>S</v>
      </c>
      <c r="C509" s="9" t="str">
        <f ca="1">OFFSET(ORÇAMENTO!L$15,ROW(C509)-ROW(C$15),0)</f>
        <v/>
      </c>
      <c r="D509" s="145" t="str">
        <f ca="1">OFFSET(ORÇAMENTO!N$15,ROW(D509)-ROW(D$15),0)</f>
        <v>Serviço</v>
      </c>
      <c r="E509" s="205" t="str">
        <f ca="1">OFFSET(ORÇAMENTO!O$15,ROW(E509)-ROW(E$15),0)</f>
        <v>-</v>
      </c>
      <c r="F509" s="206" t="str">
        <f ca="1">OFFSET(ORÇAMENTO!R$15,ROW(F509)-ROW(F$15),0)</f>
        <v>(abra o arquivo 'Referência 05-2024.xls)</v>
      </c>
      <c r="G509" s="207" t="str">
        <f ca="1">IF($D509&lt;&gt;"Serviço","",OFFSET(ORÇAMENTO!S$15,ROW(G509)-ROW(G$15),0))</f>
        <v>-</v>
      </c>
      <c r="H509" s="151">
        <f ca="1">IF($D509&lt;&gt;"Serviço",0,IF(ACOMPANHAMENTO="BM",ROUND(OFFSET(ORÇAMENTO!AJ$15,ROW(H509)-ROW(H$15),0),15-13*ORÇAMENTO!$AF$7),SUMPRODUCT(($Q$12:$AI$12&lt;&gt;"")*ROUND($Q509:$AI509,15-13*ORÇAMENTO!$AF$7))))</f>
        <v>1</v>
      </c>
      <c r="I509" s="650"/>
      <c r="K509" s="208"/>
      <c r="L509" s="209" t="s">
        <v>257</v>
      </c>
      <c r="M509" s="210">
        <f ca="1">IF($D509&lt;&gt;"Serviço","",IF(AUTOEVENTO="manual",$A509,IF(ISERROR(MATCH($A509,$A$15:OFFSET($A509,-1,0),0)),MAX($M$15:OFFSET(M509,-1,0))+1,INDEX($M$15:OFFSET(M509,-1,0),MATCH($A509,$A$15:OFFSET($A509,-1,0),0)))))</f>
        <v>0</v>
      </c>
      <c r="N509" s="211" t="str">
        <f ca="1">IF($D509&lt;&gt;"Serviço","",IF(AUTOEVENTO="Manual",IF($A509=0,"&lt;-- defina o número do agrupador",OFFSET(EVENTOS!$D$14,$A509,0)),OFFSET($F$15,$A509,0)))</f>
        <v>&lt;-- defina o número do agrupador</v>
      </c>
      <c r="O509" s="212"/>
      <c r="Q509" s="212"/>
      <c r="R509" s="213"/>
      <c r="S509" s="213"/>
      <c r="T509" s="213"/>
      <c r="U509" s="213"/>
      <c r="V509" s="213"/>
      <c r="W509" s="213"/>
      <c r="X509" s="213"/>
      <c r="Y509" s="213"/>
      <c r="Z509" s="214"/>
      <c r="AA509" s="213"/>
      <c r="AB509" s="213"/>
      <c r="AC509" s="213"/>
      <c r="AD509" s="213"/>
      <c r="AE509" s="213"/>
      <c r="AF509" s="213"/>
      <c r="AG509" s="213"/>
      <c r="AH509" s="214"/>
      <c r="AJ509" s="631">
        <f ca="1">IF(AND($D509="Serviço",AJ$12&lt;&gt;0,$H509&gt;0,OR(AUTOEVENTO&lt;&gt;"manual",$M509&lt;&gt;1)),ROUND(OFFSET($P509,0,AJ$13),15-13*ORÇAMENTO!$AF$7)/$H509*OFFSET(ORÇAMENTO!$X$15,ROW(AJ509)-ROW(AJ$15),0),0)</f>
        <v>0</v>
      </c>
      <c r="AK509" s="632">
        <f ca="1">IF(AND($D509="Serviço",AK$12&lt;&gt;0,$H509&gt;0,OR(AUTOEVENTO&lt;&gt;"manual",$M509&lt;&gt;1)),ROUND(OFFSET($P509,0,AK$13),15-13*ORÇAMENTO!$AF$7)/$H509*OFFSET(ORÇAMENTO!$X$15,ROW(AK509)-ROW(AK$15),0),0)</f>
        <v>0</v>
      </c>
      <c r="AL509" s="632">
        <f ca="1">IF(AND($D509="Serviço",AL$12&lt;&gt;0,$H509&gt;0,OR(AUTOEVENTO&lt;&gt;"manual",$M509&lt;&gt;1)),ROUND(OFFSET($P509,0,AL$13),15-13*ORÇAMENTO!$AF$7)/$H509*OFFSET(ORÇAMENTO!$X$15,ROW(AL509)-ROW(AL$15),0),0)</f>
        <v>0</v>
      </c>
      <c r="AM509" s="632">
        <f ca="1">IF(AND($D509="Serviço",AM$12&lt;&gt;0,$H509&gt;0,OR(AUTOEVENTO&lt;&gt;"manual",$M509&lt;&gt;1)),ROUND(OFFSET($P509,0,AM$13),15-13*ORÇAMENTO!$AF$7)/$H509*OFFSET(ORÇAMENTO!$X$15,ROW(AM509)-ROW(AM$15),0),0)</f>
        <v>0</v>
      </c>
      <c r="AN509" s="632">
        <f ca="1">IF(AND($D509="Serviço",AN$12&lt;&gt;0,$H509&gt;0,OR(AUTOEVENTO&lt;&gt;"manual",$M509&lt;&gt;1)),ROUND(OFFSET($P509,0,AN$13),15-13*ORÇAMENTO!$AF$7)/$H509*OFFSET(ORÇAMENTO!$X$15,ROW(AN509)-ROW(AN$15),0),0)</f>
        <v>0</v>
      </c>
      <c r="AO509" s="632">
        <f ca="1">IF(AND($D509="Serviço",AO$12&lt;&gt;0,$H509&gt;0,OR(AUTOEVENTO&lt;&gt;"manual",$M509&lt;&gt;1)),ROUND(OFFSET($P509,0,AO$13),15-13*ORÇAMENTO!$AF$7)/$H509*OFFSET(ORÇAMENTO!$X$15,ROW(AO509)-ROW(AO$15),0),0)</f>
        <v>0</v>
      </c>
      <c r="AP509" s="632">
        <f ca="1">IF(AND($D509="Serviço",AP$12&lt;&gt;0,$H509&gt;0,OR(AUTOEVENTO&lt;&gt;"manual",$M509&lt;&gt;1)),ROUND(OFFSET($P509,0,AP$13),15-13*ORÇAMENTO!$AF$7)/$H509*OFFSET(ORÇAMENTO!$X$15,ROW(AP509)-ROW(AP$15),0),0)</f>
        <v>0</v>
      </c>
      <c r="AQ509" s="632">
        <f ca="1">IF(AND($D509="Serviço",AQ$12&lt;&gt;0,$H509&gt;0,OR(AUTOEVENTO&lt;&gt;"manual",$M509&lt;&gt;1)),ROUND(OFFSET($P509,0,AQ$13),15-13*ORÇAMENTO!$AF$7)/$H509*OFFSET(ORÇAMENTO!$X$15,ROW(AQ509)-ROW(AQ$15),0),0)</f>
        <v>0</v>
      </c>
      <c r="AR509" s="632">
        <f ca="1">IF(AND($D509="Serviço",AR$12&lt;&gt;0,$H509&gt;0,OR(AUTOEVENTO&lt;&gt;"manual",$M509&lt;&gt;1)),ROUND(OFFSET($P509,0,AR$13),15-13*ORÇAMENTO!$AF$7)/$H509*OFFSET(ORÇAMENTO!$X$15,ROW(AR509)-ROW(AR$15),0),0)</f>
        <v>0</v>
      </c>
      <c r="AS509" s="633">
        <f ca="1">IF(AND($D509="Serviço",AS$12&lt;&gt;0,$H509&gt;0,OR(AUTOEVENTO&lt;&gt;"manual",$M509&lt;&gt;1)),ROUND(OFFSET($P509,0,AS$13),15-13*ORÇAMENTO!$AF$7)/$H509*OFFSET(ORÇAMENTO!$X$15,ROW(AS509)-ROW(AS$15),0),0)</f>
        <v>0</v>
      </c>
      <c r="AT509" s="632">
        <f ca="1">IF(AND($D509="Serviço",AT$12&lt;&gt;0,$H509&gt;0,OR(AUTOEVENTO&lt;&gt;"manual",$M509&lt;&gt;1)),ROUND(OFFSET($P509,0,AT$13),15-13*ORÇAMENTO!$AF$7)/$H509*OFFSET(ORÇAMENTO!$X$15,ROW(AT509)-ROW(AT$15),0),0)</f>
        <v>0</v>
      </c>
      <c r="AU509" s="632">
        <f ca="1">IF(AND($D509="Serviço",AU$12&lt;&gt;0,$H509&gt;0,OR(AUTOEVENTO&lt;&gt;"manual",$M509&lt;&gt;1)),ROUND(OFFSET($P509,0,AU$13),15-13*ORÇAMENTO!$AF$7)/$H509*OFFSET(ORÇAMENTO!$X$15,ROW(AU509)-ROW(AU$15),0),0)</f>
        <v>0</v>
      </c>
      <c r="AV509" s="632">
        <f ca="1">IF(AND($D509="Serviço",AV$12&lt;&gt;0,$H509&gt;0,OR(AUTOEVENTO&lt;&gt;"manual",$M509&lt;&gt;1)),ROUND(OFFSET($P509,0,AV$13),15-13*ORÇAMENTO!$AF$7)/$H509*OFFSET(ORÇAMENTO!$X$15,ROW(AV509)-ROW(AV$15),0),0)</f>
        <v>0</v>
      </c>
      <c r="AW509" s="632">
        <f ca="1">IF(AND($D509="Serviço",AW$12&lt;&gt;0,$H509&gt;0,OR(AUTOEVENTO&lt;&gt;"manual",$M509&lt;&gt;1)),ROUND(OFFSET($P509,0,AW$13),15-13*ORÇAMENTO!$AF$7)/$H509*OFFSET(ORÇAMENTO!$X$15,ROW(AW509)-ROW(AW$15),0),0)</f>
        <v>0</v>
      </c>
      <c r="AX509" s="632">
        <f ca="1">IF(AND($D509="Serviço",AX$12&lt;&gt;0,$H509&gt;0,OR(AUTOEVENTO&lt;&gt;"manual",$M509&lt;&gt;1)),ROUND(OFFSET($P509,0,AX$13),15-13*ORÇAMENTO!$AF$7)/$H509*OFFSET(ORÇAMENTO!$X$15,ROW(AX509)-ROW(AX$15),0),0)</f>
        <v>0</v>
      </c>
      <c r="AY509" s="632">
        <f ca="1">IF(AND($D509="Serviço",AY$12&lt;&gt;0,$H509&gt;0,OR(AUTOEVENTO&lt;&gt;"manual",$M509&lt;&gt;1)),ROUND(OFFSET($P509,0,AY$13),15-13*ORÇAMENTO!$AF$7)/$H509*OFFSET(ORÇAMENTO!$X$15,ROW(AY509)-ROW(AY$15),0),0)</f>
        <v>0</v>
      </c>
      <c r="AZ509" s="632">
        <f ca="1">IF(AND($D509="Serviço",AZ$12&lt;&gt;0,$H509&gt;0,OR(AUTOEVENTO&lt;&gt;"manual",$M509&lt;&gt;1)),ROUND(OFFSET($P509,0,AZ$13),15-13*ORÇAMENTO!$AF$7)/$H509*OFFSET(ORÇAMENTO!$X$15,ROW(AZ509)-ROW(AZ$15),0),0)</f>
        <v>0</v>
      </c>
      <c r="BA509" s="633">
        <f ca="1">IF(AND($D509="Serviço",BA$12&lt;&gt;0,$H509&gt;0,OR(AUTOEVENTO&lt;&gt;"manual",$M509&lt;&gt;1)),ROUND(OFFSET($P509,0,BA$13),15-13*ORÇAMENTO!$AF$7)/$H509*OFFSET(ORÇAMENTO!$X$15,ROW(BA509)-ROW(BA$15),0),0)</f>
        <v>0</v>
      </c>
      <c r="BC509" s="215">
        <f ca="1">IF($D509&lt;&gt;"Serviço",0,IF(AND(AUTOEVENTO="Manual",$M509=1),0,IF(OFFSET(CRONOPLE!$F$14,$M509,BC$13)="",10^12,OFFSET(CRONOPLE!$F$14,$M509,BC$13))))</f>
        <v>1000000000000</v>
      </c>
      <c r="BD509" s="215">
        <f ca="1">IF($D509&lt;&gt;"Serviço",0,IF(AND(AUTOEVENTO="Manual",$M509=1),0,IF(OFFSET(CRONOPLE!$F$14,$M509,BD$13)="",10^12,OFFSET(CRONOPLE!$F$14,$M509,BD$13))))</f>
        <v>1000000000000</v>
      </c>
      <c r="BE509" s="215">
        <f ca="1">IF($D509&lt;&gt;"Serviço",0,IF(AND(AUTOEVENTO="Manual",$M509=1),0,IF(OFFSET(CRONOPLE!$F$14,$M509,BE$13)="",10^12,OFFSET(CRONOPLE!$F$14,$M509,BE$13))))</f>
        <v>1000000000000</v>
      </c>
      <c r="BF509" s="215">
        <f ca="1">IF($D509&lt;&gt;"Serviço",0,IF(AND(AUTOEVENTO="Manual",$M509=1),0,IF(OFFSET(CRONOPLE!$F$14,$M509,BF$13)="",10^12,OFFSET(CRONOPLE!$F$14,$M509,BF$13))))</f>
        <v>1000000000000</v>
      </c>
      <c r="BG509" s="215">
        <f ca="1">IF($D509&lt;&gt;"Serviço",0,IF(AND(AUTOEVENTO="Manual",$M509=1),0,IF(OFFSET(CRONOPLE!$F$14,$M509,BG$13)="",10^12,OFFSET(CRONOPLE!$F$14,$M509,BG$13))))</f>
        <v>1000000000000</v>
      </c>
      <c r="BH509" s="215">
        <f ca="1">IF($D509&lt;&gt;"Serviço",0,IF(AND(AUTOEVENTO="Manual",$M509=1),0,IF(OFFSET(CRONOPLE!$F$14,$M509,BH$13)="",10^12,OFFSET(CRONOPLE!$F$14,$M509,BH$13))))</f>
        <v>1000000000000</v>
      </c>
      <c r="BI509" s="215">
        <f ca="1">IF($D509&lt;&gt;"Serviço",0,IF(AND(AUTOEVENTO="Manual",$M509=1),0,IF(OFFSET(CRONOPLE!$F$14,$M509,BI$13)="",10^12,OFFSET(CRONOPLE!$F$14,$M509,BI$13))))</f>
        <v>1000000000000</v>
      </c>
      <c r="BJ509" s="215">
        <f ca="1">IF($D509&lt;&gt;"Serviço",0,IF(AND(AUTOEVENTO="Manual",$M509=1),0,IF(OFFSET(CRONOPLE!$F$14,$M509,BJ$13)="",10^12,OFFSET(CRONOPLE!$F$14,$M509,BJ$13))))</f>
        <v>1000000000000</v>
      </c>
      <c r="BK509" s="215">
        <f ca="1">IF($D509&lt;&gt;"Serviço",0,IF(AND(AUTOEVENTO="Manual",$M509=1),0,IF(OFFSET(CRONOPLE!$F$14,$M509,BK$13)="",10^12,OFFSET(CRONOPLE!$F$14,$M509,BK$13))))</f>
        <v>1000000000000</v>
      </c>
      <c r="BL509" s="215">
        <f ca="1">IF($D509&lt;&gt;"Serviço",0,IF(AND(AUTOEVENTO="Manual",$M509=1),0,IF(OFFSET(CRONOPLE!$F$14,$M509,BL$13)="",10^12,OFFSET(CRONOPLE!$F$14,$M509,BL$13))))</f>
        <v>1000000000000</v>
      </c>
      <c r="BM509" s="215">
        <f ca="1">IF($D509&lt;&gt;"Serviço",0,IF(AND(AUTOEVENTO="Manual",$M509=1),0,IF(OFFSET(CRONOPLE!$F$14,$M509,BM$13)="",10^12,OFFSET(CRONOPLE!$F$14,$M509,BM$13))))</f>
        <v>1000000000000</v>
      </c>
      <c r="BN509" s="215">
        <f ca="1">IF($D509&lt;&gt;"Serviço",0,IF(AND(AUTOEVENTO="Manual",$M509=1),0,IF(OFFSET(CRONOPLE!$F$14,$M509,BN$13)="",10^12,OFFSET(CRONOPLE!$F$14,$M509,BN$13))))</f>
        <v>1000000000000</v>
      </c>
      <c r="BO509" s="215">
        <f ca="1">IF($D509&lt;&gt;"Serviço",0,IF(AND(AUTOEVENTO="Manual",$M509=1),0,IF(OFFSET(CRONOPLE!$F$14,$M509,BO$13)="",10^12,OFFSET(CRONOPLE!$F$14,$M509,BO$13))))</f>
        <v>1000000000000</v>
      </c>
      <c r="BP509" s="215">
        <f ca="1">IF($D509&lt;&gt;"Serviço",0,IF(AND(AUTOEVENTO="Manual",$M509=1),0,IF(OFFSET(CRONOPLE!$F$14,$M509,BP$13)="",10^12,OFFSET(CRONOPLE!$F$14,$M509,BP$13))))</f>
        <v>1000000000000</v>
      </c>
      <c r="BQ509" s="215">
        <f ca="1">IF($D509&lt;&gt;"Serviço",0,IF(AND(AUTOEVENTO="Manual",$M509=1),0,IF(OFFSET(CRONOPLE!$F$14,$M509,BQ$13)="",10^12,OFFSET(CRONOPLE!$F$14,$M509,BQ$13))))</f>
        <v>1000000000000</v>
      </c>
      <c r="BR509" s="215">
        <f ca="1">IF($D509&lt;&gt;"Serviço",0,IF(AND(AUTOEVENTO="Manual",$M509=1),0,IF(OFFSET(CRONOPLE!$F$14,$M509,BR$13)="",10^12,OFFSET(CRONOPLE!$F$14,$M509,BR$13))))</f>
        <v>1000000000000</v>
      </c>
      <c r="BS509" s="215">
        <f ca="1">IF($D509&lt;&gt;"Serviço",0,IF(AND(AUTOEVENTO="Manual",$M509=1),0,IF(OFFSET(CRONOPLE!$F$14,$M509,BS$13)="",10^12,OFFSET(CRONOPLE!$F$14,$M509,BS$13))))</f>
        <v>1000000000000</v>
      </c>
      <c r="BT509" s="215">
        <f ca="1">IF($D509&lt;&gt;"Serviço",0,IF(AND(AUTOEVENTO="Manual",$M509=1),0,IF(OFFSET(CRONOPLE!$F$14,$M509,BT$13)="",10^12,OFFSET(CRONOPLE!$F$14,$M509,BT$13))))</f>
        <v>1000000000000</v>
      </c>
      <c r="BV509" s="216">
        <f ca="1">IF($D509&lt;&gt;"Serviço",0,IF(OR(AND(AUTOEVENTO="Manual",$M509=1),$M509&gt;(ROW(PLE.lastrow)-ROW(PLE.firstrow))),0,IF(OFFSET(PLE!$G$14,$M509,BV$13)="",10^12,OFFSET(PLE!$G$14,$M509,BV$13))))</f>
        <v>1000000000000</v>
      </c>
      <c r="BW509" s="216">
        <f ca="1">IF($D509&lt;&gt;"Serviço",0,IF(OR(AND(AUTOEVENTO="Manual",$M509=1),$M509&gt;(ROW(PLE.lastrow)-ROW(PLE.firstrow))),0,IF(OFFSET(PLE!$G$14,$M509,BW$13)="",10^12,OFFSET(PLE!$G$14,$M509,BW$13))))</f>
        <v>1000000000000</v>
      </c>
      <c r="BX509" s="216">
        <f ca="1">IF($D509&lt;&gt;"Serviço",0,IF(OR(AND(AUTOEVENTO="Manual",$M509=1),$M509&gt;(ROW(PLE.lastrow)-ROW(PLE.firstrow))),0,IF(OFFSET(PLE!$G$14,$M509,BX$13)="",10^12,OFFSET(PLE!$G$14,$M509,BX$13))))</f>
        <v>1000000000000</v>
      </c>
      <c r="BY509" s="216">
        <f ca="1">IF($D509&lt;&gt;"Serviço",0,IF(OR(AND(AUTOEVENTO="Manual",$M509=1),$M509&gt;(ROW(PLE.lastrow)-ROW(PLE.firstrow))),0,IF(OFFSET(PLE!$G$14,$M509,BY$13)="",10^12,OFFSET(PLE!$G$14,$M509,BY$13))))</f>
        <v>1000000000000</v>
      </c>
      <c r="BZ509" s="216">
        <f ca="1">IF($D509&lt;&gt;"Serviço",0,IF(OR(AND(AUTOEVENTO="Manual",$M509=1),$M509&gt;(ROW(PLE.lastrow)-ROW(PLE.firstrow))),0,IF(OFFSET(PLE!$G$14,$M509,BZ$13)="",10^12,OFFSET(PLE!$G$14,$M509,BZ$13))))</f>
        <v>1000000000000</v>
      </c>
      <c r="CA509" s="216">
        <f ca="1">IF($D509&lt;&gt;"Serviço",0,IF(OR(AND(AUTOEVENTO="Manual",$M509=1),$M509&gt;(ROW(PLE.lastrow)-ROW(PLE.firstrow))),0,IF(OFFSET(PLE!$G$14,$M509,CA$13)="",10^12,OFFSET(PLE!$G$14,$M509,CA$13))))</f>
        <v>1000000000000</v>
      </c>
      <c r="CB509" s="216">
        <f ca="1">IF($D509&lt;&gt;"Serviço",0,IF(OR(AND(AUTOEVENTO="Manual",$M509=1),$M509&gt;(ROW(PLE.lastrow)-ROW(PLE.firstrow))),0,IF(OFFSET(PLE!$G$14,$M509,CB$13)="",10^12,OFFSET(PLE!$G$14,$M509,CB$13))))</f>
        <v>1000000000000</v>
      </c>
      <c r="CC509" s="216">
        <f ca="1">IF($D509&lt;&gt;"Serviço",0,IF(OR(AND(AUTOEVENTO="Manual",$M509=1),$M509&gt;(ROW(PLE.lastrow)-ROW(PLE.firstrow))),0,IF(OFFSET(PLE!$G$14,$M509,CC$13)="",10^12,OFFSET(PLE!$G$14,$M509,CC$13))))</f>
        <v>1000000000000</v>
      </c>
      <c r="CD509" s="216">
        <f ca="1">IF($D509&lt;&gt;"Serviço",0,IF(OR(AND(AUTOEVENTO="Manual",$M509=1),$M509&gt;(ROW(PLE.lastrow)-ROW(PLE.firstrow))),0,IF(OFFSET(PLE!$G$14,$M509,CD$13)="",10^12,OFFSET(PLE!$G$14,$M509,CD$13))))</f>
        <v>1000000000000</v>
      </c>
      <c r="CE509" s="216">
        <f ca="1">IF($D509&lt;&gt;"Serviço",0,IF(OR(AND(AUTOEVENTO="Manual",$M509=1),$M509&gt;(ROW(PLE.lastrow)-ROW(PLE.firstrow))),0,IF(OFFSET(PLE!$G$14,$M509,CE$13)="",10^12,OFFSET(PLE!$G$14,$M509,CE$13))))</f>
        <v>1000000000000</v>
      </c>
      <c r="CF509" s="216">
        <f ca="1">IF($D509&lt;&gt;"Serviço",0,IF(OR(AND(AUTOEVENTO="Manual",$M509=1),$M509&gt;(ROW(PLE.lastrow)-ROW(PLE.firstrow))),0,IF(OFFSET(PLE!$G$14,$M509,CF$13)="",10^12,OFFSET(PLE!$G$14,$M509,CF$13))))</f>
        <v>1000000000000</v>
      </c>
      <c r="CG509" s="216">
        <f ca="1">IF($D509&lt;&gt;"Serviço",0,IF(OR(AND(AUTOEVENTO="Manual",$M509=1),$M509&gt;(ROW(PLE.lastrow)-ROW(PLE.firstrow))),0,IF(OFFSET(PLE!$G$14,$M509,CG$13)="",10^12,OFFSET(PLE!$G$14,$M509,CG$13))))</f>
        <v>1000000000000</v>
      </c>
      <c r="CH509" s="216">
        <f ca="1">IF($D509&lt;&gt;"Serviço",0,IF(OR(AND(AUTOEVENTO="Manual",$M509=1),$M509&gt;(ROW(PLE.lastrow)-ROW(PLE.firstrow))),0,IF(OFFSET(PLE!$G$14,$M509,CH$13)="",10^12,OFFSET(PLE!$G$14,$M509,CH$13))))</f>
        <v>1000000000000</v>
      </c>
      <c r="CI509" s="216">
        <f ca="1">IF($D509&lt;&gt;"Serviço",0,IF(OR(AND(AUTOEVENTO="Manual",$M509=1),$M509&gt;(ROW(PLE.lastrow)-ROW(PLE.firstrow))),0,IF(OFFSET(PLE!$G$14,$M509,CI$13)="",10^12,OFFSET(PLE!$G$14,$M509,CI$13))))</f>
        <v>1000000000000</v>
      </c>
      <c r="CJ509" s="216">
        <f ca="1">IF($D509&lt;&gt;"Serviço",0,IF(OR(AND(AUTOEVENTO="Manual",$M509=1),$M509&gt;(ROW(PLE.lastrow)-ROW(PLE.firstrow))),0,IF(OFFSET(PLE!$G$14,$M509,CJ$13)="",10^12,OFFSET(PLE!$G$14,$M509,CJ$13))))</f>
        <v>1000000000000</v>
      </c>
      <c r="CK509" s="216">
        <f ca="1">IF($D509&lt;&gt;"Serviço",0,IF(OR(AND(AUTOEVENTO="Manual",$M509=1),$M509&gt;(ROW(PLE.lastrow)-ROW(PLE.firstrow))),0,IF(OFFSET(PLE!$G$14,$M509,CK$13)="",10^12,OFFSET(PLE!$G$14,$M509,CK$13))))</f>
        <v>1000000000000</v>
      </c>
      <c r="CL509" s="216">
        <f ca="1">IF($D509&lt;&gt;"Serviço",0,IF(OR(AND(AUTOEVENTO="Manual",$M509=1),$M509&gt;(ROW(PLE.lastrow)-ROW(PLE.firstrow))),0,IF(OFFSET(PLE!$G$14,$M509,CL$13)="",10^12,OFFSET(PLE!$G$14,$M509,CL$13))))</f>
        <v>1000000000000</v>
      </c>
      <c r="CM509" s="216">
        <f ca="1">IF($D509&lt;&gt;"Serviço",0,IF(OR(AND(AUTOEVENTO="Manual",$M509=1),$M509&gt;(ROW(PLE.lastrow)-ROW(PLE.firstrow))),0,IF(OFFSET(PLE!$G$14,$M509,CM$13)="",10^12,OFFSET(PLE!$G$14,$M509,CM$13))))</f>
        <v>1000000000000</v>
      </c>
    </row>
    <row r="510" spans="1:91" ht="13.2" x14ac:dyDescent="0.25">
      <c r="A510" s="9">
        <f t="shared" ca="1" si="16"/>
        <v>0</v>
      </c>
      <c r="B510" s="9" t="str">
        <f ca="1">OFFSET(ORÇAMENTO!C$15,ROW(B510)-ROW(B$15),0)</f>
        <v>S</v>
      </c>
      <c r="C510" s="9" t="str">
        <f ca="1">OFFSET(ORÇAMENTO!L$15,ROW(C510)-ROW(C$15),0)</f>
        <v/>
      </c>
      <c r="D510" s="145" t="str">
        <f ca="1">OFFSET(ORÇAMENTO!N$15,ROW(D510)-ROW(D$15),0)</f>
        <v>Serviço</v>
      </c>
      <c r="E510" s="205" t="str">
        <f ca="1">OFFSET(ORÇAMENTO!O$15,ROW(E510)-ROW(E$15),0)</f>
        <v>-</v>
      </c>
      <c r="F510" s="206" t="str">
        <f ca="1">OFFSET(ORÇAMENTO!R$15,ROW(F510)-ROW(F$15),0)</f>
        <v>(abra o arquivo 'Referência 05-2024.xls)</v>
      </c>
      <c r="G510" s="207" t="str">
        <f ca="1">IF($D510&lt;&gt;"Serviço","",OFFSET(ORÇAMENTO!S$15,ROW(G510)-ROW(G$15),0))</f>
        <v>-</v>
      </c>
      <c r="H510" s="151">
        <f ca="1">IF($D510&lt;&gt;"Serviço",0,IF(ACOMPANHAMENTO="BM",ROUND(OFFSET(ORÇAMENTO!AJ$15,ROW(H510)-ROW(H$15),0),15-13*ORÇAMENTO!$AF$7),SUMPRODUCT(($Q$12:$AI$12&lt;&gt;"")*ROUND($Q510:$AI510,15-13*ORÇAMENTO!$AF$7))))</f>
        <v>1</v>
      </c>
      <c r="I510" s="650"/>
      <c r="K510" s="208"/>
      <c r="L510" s="209" t="s">
        <v>257</v>
      </c>
      <c r="M510" s="210">
        <f ca="1">IF($D510&lt;&gt;"Serviço","",IF(AUTOEVENTO="manual",$A510,IF(ISERROR(MATCH($A510,$A$15:OFFSET($A510,-1,0),0)),MAX($M$15:OFFSET(M510,-1,0))+1,INDEX($M$15:OFFSET(M510,-1,0),MATCH($A510,$A$15:OFFSET($A510,-1,0),0)))))</f>
        <v>0</v>
      </c>
      <c r="N510" s="211" t="str">
        <f ca="1">IF($D510&lt;&gt;"Serviço","",IF(AUTOEVENTO="Manual",IF($A510=0,"&lt;-- defina o número do agrupador",OFFSET(EVENTOS!$D$14,$A510,0)),OFFSET($F$15,$A510,0)))</f>
        <v>&lt;-- defina o número do agrupador</v>
      </c>
      <c r="O510" s="212"/>
      <c r="Q510" s="212"/>
      <c r="R510" s="213"/>
      <c r="S510" s="213"/>
      <c r="T510" s="213"/>
      <c r="U510" s="213"/>
      <c r="V510" s="213"/>
      <c r="W510" s="213"/>
      <c r="X510" s="213"/>
      <c r="Y510" s="213"/>
      <c r="Z510" s="214"/>
      <c r="AA510" s="213"/>
      <c r="AB510" s="213"/>
      <c r="AC510" s="213"/>
      <c r="AD510" s="213"/>
      <c r="AE510" s="213"/>
      <c r="AF510" s="213"/>
      <c r="AG510" s="213"/>
      <c r="AH510" s="214"/>
      <c r="AJ510" s="631">
        <f ca="1">IF(AND($D510="Serviço",AJ$12&lt;&gt;0,$H510&gt;0,OR(AUTOEVENTO&lt;&gt;"manual",$M510&lt;&gt;1)),ROUND(OFFSET($P510,0,AJ$13),15-13*ORÇAMENTO!$AF$7)/$H510*OFFSET(ORÇAMENTO!$X$15,ROW(AJ510)-ROW(AJ$15),0),0)</f>
        <v>0</v>
      </c>
      <c r="AK510" s="632">
        <f ca="1">IF(AND($D510="Serviço",AK$12&lt;&gt;0,$H510&gt;0,OR(AUTOEVENTO&lt;&gt;"manual",$M510&lt;&gt;1)),ROUND(OFFSET($P510,0,AK$13),15-13*ORÇAMENTO!$AF$7)/$H510*OFFSET(ORÇAMENTO!$X$15,ROW(AK510)-ROW(AK$15),0),0)</f>
        <v>0</v>
      </c>
      <c r="AL510" s="632">
        <f ca="1">IF(AND($D510="Serviço",AL$12&lt;&gt;0,$H510&gt;0,OR(AUTOEVENTO&lt;&gt;"manual",$M510&lt;&gt;1)),ROUND(OFFSET($P510,0,AL$13),15-13*ORÇAMENTO!$AF$7)/$H510*OFFSET(ORÇAMENTO!$X$15,ROW(AL510)-ROW(AL$15),0),0)</f>
        <v>0</v>
      </c>
      <c r="AM510" s="632">
        <f ca="1">IF(AND($D510="Serviço",AM$12&lt;&gt;0,$H510&gt;0,OR(AUTOEVENTO&lt;&gt;"manual",$M510&lt;&gt;1)),ROUND(OFFSET($P510,0,AM$13),15-13*ORÇAMENTO!$AF$7)/$H510*OFFSET(ORÇAMENTO!$X$15,ROW(AM510)-ROW(AM$15),0),0)</f>
        <v>0</v>
      </c>
      <c r="AN510" s="632">
        <f ca="1">IF(AND($D510="Serviço",AN$12&lt;&gt;0,$H510&gt;0,OR(AUTOEVENTO&lt;&gt;"manual",$M510&lt;&gt;1)),ROUND(OFFSET($P510,0,AN$13),15-13*ORÇAMENTO!$AF$7)/$H510*OFFSET(ORÇAMENTO!$X$15,ROW(AN510)-ROW(AN$15),0),0)</f>
        <v>0</v>
      </c>
      <c r="AO510" s="632">
        <f ca="1">IF(AND($D510="Serviço",AO$12&lt;&gt;0,$H510&gt;0,OR(AUTOEVENTO&lt;&gt;"manual",$M510&lt;&gt;1)),ROUND(OFFSET($P510,0,AO$13),15-13*ORÇAMENTO!$AF$7)/$H510*OFFSET(ORÇAMENTO!$X$15,ROW(AO510)-ROW(AO$15),0),0)</f>
        <v>0</v>
      </c>
      <c r="AP510" s="632">
        <f ca="1">IF(AND($D510="Serviço",AP$12&lt;&gt;0,$H510&gt;0,OR(AUTOEVENTO&lt;&gt;"manual",$M510&lt;&gt;1)),ROUND(OFFSET($P510,0,AP$13),15-13*ORÇAMENTO!$AF$7)/$H510*OFFSET(ORÇAMENTO!$X$15,ROW(AP510)-ROW(AP$15),0),0)</f>
        <v>0</v>
      </c>
      <c r="AQ510" s="632">
        <f ca="1">IF(AND($D510="Serviço",AQ$12&lt;&gt;0,$H510&gt;0,OR(AUTOEVENTO&lt;&gt;"manual",$M510&lt;&gt;1)),ROUND(OFFSET($P510,0,AQ$13),15-13*ORÇAMENTO!$AF$7)/$H510*OFFSET(ORÇAMENTO!$X$15,ROW(AQ510)-ROW(AQ$15),0),0)</f>
        <v>0</v>
      </c>
      <c r="AR510" s="632">
        <f ca="1">IF(AND($D510="Serviço",AR$12&lt;&gt;0,$H510&gt;0,OR(AUTOEVENTO&lt;&gt;"manual",$M510&lt;&gt;1)),ROUND(OFFSET($P510,0,AR$13),15-13*ORÇAMENTO!$AF$7)/$H510*OFFSET(ORÇAMENTO!$X$15,ROW(AR510)-ROW(AR$15),0),0)</f>
        <v>0</v>
      </c>
      <c r="AS510" s="633">
        <f ca="1">IF(AND($D510="Serviço",AS$12&lt;&gt;0,$H510&gt;0,OR(AUTOEVENTO&lt;&gt;"manual",$M510&lt;&gt;1)),ROUND(OFFSET($P510,0,AS$13),15-13*ORÇAMENTO!$AF$7)/$H510*OFFSET(ORÇAMENTO!$X$15,ROW(AS510)-ROW(AS$15),0),0)</f>
        <v>0</v>
      </c>
      <c r="AT510" s="632">
        <f ca="1">IF(AND($D510="Serviço",AT$12&lt;&gt;0,$H510&gt;0,OR(AUTOEVENTO&lt;&gt;"manual",$M510&lt;&gt;1)),ROUND(OFFSET($P510,0,AT$13),15-13*ORÇAMENTO!$AF$7)/$H510*OFFSET(ORÇAMENTO!$X$15,ROW(AT510)-ROW(AT$15),0),0)</f>
        <v>0</v>
      </c>
      <c r="AU510" s="632">
        <f ca="1">IF(AND($D510="Serviço",AU$12&lt;&gt;0,$H510&gt;0,OR(AUTOEVENTO&lt;&gt;"manual",$M510&lt;&gt;1)),ROUND(OFFSET($P510,0,AU$13),15-13*ORÇAMENTO!$AF$7)/$H510*OFFSET(ORÇAMENTO!$X$15,ROW(AU510)-ROW(AU$15),0),0)</f>
        <v>0</v>
      </c>
      <c r="AV510" s="632">
        <f ca="1">IF(AND($D510="Serviço",AV$12&lt;&gt;0,$H510&gt;0,OR(AUTOEVENTO&lt;&gt;"manual",$M510&lt;&gt;1)),ROUND(OFFSET($P510,0,AV$13),15-13*ORÇAMENTO!$AF$7)/$H510*OFFSET(ORÇAMENTO!$X$15,ROW(AV510)-ROW(AV$15),0),0)</f>
        <v>0</v>
      </c>
      <c r="AW510" s="632">
        <f ca="1">IF(AND($D510="Serviço",AW$12&lt;&gt;0,$H510&gt;0,OR(AUTOEVENTO&lt;&gt;"manual",$M510&lt;&gt;1)),ROUND(OFFSET($P510,0,AW$13),15-13*ORÇAMENTO!$AF$7)/$H510*OFFSET(ORÇAMENTO!$X$15,ROW(AW510)-ROW(AW$15),0),0)</f>
        <v>0</v>
      </c>
      <c r="AX510" s="632">
        <f ca="1">IF(AND($D510="Serviço",AX$12&lt;&gt;0,$H510&gt;0,OR(AUTOEVENTO&lt;&gt;"manual",$M510&lt;&gt;1)),ROUND(OFFSET($P510,0,AX$13),15-13*ORÇAMENTO!$AF$7)/$H510*OFFSET(ORÇAMENTO!$X$15,ROW(AX510)-ROW(AX$15),0),0)</f>
        <v>0</v>
      </c>
      <c r="AY510" s="632">
        <f ca="1">IF(AND($D510="Serviço",AY$12&lt;&gt;0,$H510&gt;0,OR(AUTOEVENTO&lt;&gt;"manual",$M510&lt;&gt;1)),ROUND(OFFSET($P510,0,AY$13),15-13*ORÇAMENTO!$AF$7)/$H510*OFFSET(ORÇAMENTO!$X$15,ROW(AY510)-ROW(AY$15),0),0)</f>
        <v>0</v>
      </c>
      <c r="AZ510" s="632">
        <f ca="1">IF(AND($D510="Serviço",AZ$12&lt;&gt;0,$H510&gt;0,OR(AUTOEVENTO&lt;&gt;"manual",$M510&lt;&gt;1)),ROUND(OFFSET($P510,0,AZ$13),15-13*ORÇAMENTO!$AF$7)/$H510*OFFSET(ORÇAMENTO!$X$15,ROW(AZ510)-ROW(AZ$15),0),0)</f>
        <v>0</v>
      </c>
      <c r="BA510" s="633">
        <f ca="1">IF(AND($D510="Serviço",BA$12&lt;&gt;0,$H510&gt;0,OR(AUTOEVENTO&lt;&gt;"manual",$M510&lt;&gt;1)),ROUND(OFFSET($P510,0,BA$13),15-13*ORÇAMENTO!$AF$7)/$H510*OFFSET(ORÇAMENTO!$X$15,ROW(BA510)-ROW(BA$15),0),0)</f>
        <v>0</v>
      </c>
      <c r="BC510" s="215">
        <f ca="1">IF($D510&lt;&gt;"Serviço",0,IF(AND(AUTOEVENTO="Manual",$M510=1),0,IF(OFFSET(CRONOPLE!$F$14,$M510,BC$13)="",10^12,OFFSET(CRONOPLE!$F$14,$M510,BC$13))))</f>
        <v>1000000000000</v>
      </c>
      <c r="BD510" s="215">
        <f ca="1">IF($D510&lt;&gt;"Serviço",0,IF(AND(AUTOEVENTO="Manual",$M510=1),0,IF(OFFSET(CRONOPLE!$F$14,$M510,BD$13)="",10^12,OFFSET(CRONOPLE!$F$14,$M510,BD$13))))</f>
        <v>1000000000000</v>
      </c>
      <c r="BE510" s="215">
        <f ca="1">IF($D510&lt;&gt;"Serviço",0,IF(AND(AUTOEVENTO="Manual",$M510=1),0,IF(OFFSET(CRONOPLE!$F$14,$M510,BE$13)="",10^12,OFFSET(CRONOPLE!$F$14,$M510,BE$13))))</f>
        <v>1000000000000</v>
      </c>
      <c r="BF510" s="215">
        <f ca="1">IF($D510&lt;&gt;"Serviço",0,IF(AND(AUTOEVENTO="Manual",$M510=1),0,IF(OFFSET(CRONOPLE!$F$14,$M510,BF$13)="",10^12,OFFSET(CRONOPLE!$F$14,$M510,BF$13))))</f>
        <v>1000000000000</v>
      </c>
      <c r="BG510" s="215">
        <f ca="1">IF($D510&lt;&gt;"Serviço",0,IF(AND(AUTOEVENTO="Manual",$M510=1),0,IF(OFFSET(CRONOPLE!$F$14,$M510,BG$13)="",10^12,OFFSET(CRONOPLE!$F$14,$M510,BG$13))))</f>
        <v>1000000000000</v>
      </c>
      <c r="BH510" s="215">
        <f ca="1">IF($D510&lt;&gt;"Serviço",0,IF(AND(AUTOEVENTO="Manual",$M510=1),0,IF(OFFSET(CRONOPLE!$F$14,$M510,BH$13)="",10^12,OFFSET(CRONOPLE!$F$14,$M510,BH$13))))</f>
        <v>1000000000000</v>
      </c>
      <c r="BI510" s="215">
        <f ca="1">IF($D510&lt;&gt;"Serviço",0,IF(AND(AUTOEVENTO="Manual",$M510=1),0,IF(OFFSET(CRONOPLE!$F$14,$M510,BI$13)="",10^12,OFFSET(CRONOPLE!$F$14,$M510,BI$13))))</f>
        <v>1000000000000</v>
      </c>
      <c r="BJ510" s="215">
        <f ca="1">IF($D510&lt;&gt;"Serviço",0,IF(AND(AUTOEVENTO="Manual",$M510=1),0,IF(OFFSET(CRONOPLE!$F$14,$M510,BJ$13)="",10^12,OFFSET(CRONOPLE!$F$14,$M510,BJ$13))))</f>
        <v>1000000000000</v>
      </c>
      <c r="BK510" s="215">
        <f ca="1">IF($D510&lt;&gt;"Serviço",0,IF(AND(AUTOEVENTO="Manual",$M510=1),0,IF(OFFSET(CRONOPLE!$F$14,$M510,BK$13)="",10^12,OFFSET(CRONOPLE!$F$14,$M510,BK$13))))</f>
        <v>1000000000000</v>
      </c>
      <c r="BL510" s="215">
        <f ca="1">IF($D510&lt;&gt;"Serviço",0,IF(AND(AUTOEVENTO="Manual",$M510=1),0,IF(OFFSET(CRONOPLE!$F$14,$M510,BL$13)="",10^12,OFFSET(CRONOPLE!$F$14,$M510,BL$13))))</f>
        <v>1000000000000</v>
      </c>
      <c r="BM510" s="215">
        <f ca="1">IF($D510&lt;&gt;"Serviço",0,IF(AND(AUTOEVENTO="Manual",$M510=1),0,IF(OFFSET(CRONOPLE!$F$14,$M510,BM$13)="",10^12,OFFSET(CRONOPLE!$F$14,$M510,BM$13))))</f>
        <v>1000000000000</v>
      </c>
      <c r="BN510" s="215">
        <f ca="1">IF($D510&lt;&gt;"Serviço",0,IF(AND(AUTOEVENTO="Manual",$M510=1),0,IF(OFFSET(CRONOPLE!$F$14,$M510,BN$13)="",10^12,OFFSET(CRONOPLE!$F$14,$M510,BN$13))))</f>
        <v>1000000000000</v>
      </c>
      <c r="BO510" s="215">
        <f ca="1">IF($D510&lt;&gt;"Serviço",0,IF(AND(AUTOEVENTO="Manual",$M510=1),0,IF(OFFSET(CRONOPLE!$F$14,$M510,BO$13)="",10^12,OFFSET(CRONOPLE!$F$14,$M510,BO$13))))</f>
        <v>1000000000000</v>
      </c>
      <c r="BP510" s="215">
        <f ca="1">IF($D510&lt;&gt;"Serviço",0,IF(AND(AUTOEVENTO="Manual",$M510=1),0,IF(OFFSET(CRONOPLE!$F$14,$M510,BP$13)="",10^12,OFFSET(CRONOPLE!$F$14,$M510,BP$13))))</f>
        <v>1000000000000</v>
      </c>
      <c r="BQ510" s="215">
        <f ca="1">IF($D510&lt;&gt;"Serviço",0,IF(AND(AUTOEVENTO="Manual",$M510=1),0,IF(OFFSET(CRONOPLE!$F$14,$M510,BQ$13)="",10^12,OFFSET(CRONOPLE!$F$14,$M510,BQ$13))))</f>
        <v>1000000000000</v>
      </c>
      <c r="BR510" s="215">
        <f ca="1">IF($D510&lt;&gt;"Serviço",0,IF(AND(AUTOEVENTO="Manual",$M510=1),0,IF(OFFSET(CRONOPLE!$F$14,$M510,BR$13)="",10^12,OFFSET(CRONOPLE!$F$14,$M510,BR$13))))</f>
        <v>1000000000000</v>
      </c>
      <c r="BS510" s="215">
        <f ca="1">IF($D510&lt;&gt;"Serviço",0,IF(AND(AUTOEVENTO="Manual",$M510=1),0,IF(OFFSET(CRONOPLE!$F$14,$M510,BS$13)="",10^12,OFFSET(CRONOPLE!$F$14,$M510,BS$13))))</f>
        <v>1000000000000</v>
      </c>
      <c r="BT510" s="215">
        <f ca="1">IF($D510&lt;&gt;"Serviço",0,IF(AND(AUTOEVENTO="Manual",$M510=1),0,IF(OFFSET(CRONOPLE!$F$14,$M510,BT$13)="",10^12,OFFSET(CRONOPLE!$F$14,$M510,BT$13))))</f>
        <v>1000000000000</v>
      </c>
      <c r="BV510" s="216">
        <f ca="1">IF($D510&lt;&gt;"Serviço",0,IF(OR(AND(AUTOEVENTO="Manual",$M510=1),$M510&gt;(ROW(PLE.lastrow)-ROW(PLE.firstrow))),0,IF(OFFSET(PLE!$G$14,$M510,BV$13)="",10^12,OFFSET(PLE!$G$14,$M510,BV$13))))</f>
        <v>1000000000000</v>
      </c>
      <c r="BW510" s="216">
        <f ca="1">IF($D510&lt;&gt;"Serviço",0,IF(OR(AND(AUTOEVENTO="Manual",$M510=1),$M510&gt;(ROW(PLE.lastrow)-ROW(PLE.firstrow))),0,IF(OFFSET(PLE!$G$14,$M510,BW$13)="",10^12,OFFSET(PLE!$G$14,$M510,BW$13))))</f>
        <v>1000000000000</v>
      </c>
      <c r="BX510" s="216">
        <f ca="1">IF($D510&lt;&gt;"Serviço",0,IF(OR(AND(AUTOEVENTO="Manual",$M510=1),$M510&gt;(ROW(PLE.lastrow)-ROW(PLE.firstrow))),0,IF(OFFSET(PLE!$G$14,$M510,BX$13)="",10^12,OFFSET(PLE!$G$14,$M510,BX$13))))</f>
        <v>1000000000000</v>
      </c>
      <c r="BY510" s="216">
        <f ca="1">IF($D510&lt;&gt;"Serviço",0,IF(OR(AND(AUTOEVENTO="Manual",$M510=1),$M510&gt;(ROW(PLE.lastrow)-ROW(PLE.firstrow))),0,IF(OFFSET(PLE!$G$14,$M510,BY$13)="",10^12,OFFSET(PLE!$G$14,$M510,BY$13))))</f>
        <v>1000000000000</v>
      </c>
      <c r="BZ510" s="216">
        <f ca="1">IF($D510&lt;&gt;"Serviço",0,IF(OR(AND(AUTOEVENTO="Manual",$M510=1),$M510&gt;(ROW(PLE.lastrow)-ROW(PLE.firstrow))),0,IF(OFFSET(PLE!$G$14,$M510,BZ$13)="",10^12,OFFSET(PLE!$G$14,$M510,BZ$13))))</f>
        <v>1000000000000</v>
      </c>
      <c r="CA510" s="216">
        <f ca="1">IF($D510&lt;&gt;"Serviço",0,IF(OR(AND(AUTOEVENTO="Manual",$M510=1),$M510&gt;(ROW(PLE.lastrow)-ROW(PLE.firstrow))),0,IF(OFFSET(PLE!$G$14,$M510,CA$13)="",10^12,OFFSET(PLE!$G$14,$M510,CA$13))))</f>
        <v>1000000000000</v>
      </c>
      <c r="CB510" s="216">
        <f ca="1">IF($D510&lt;&gt;"Serviço",0,IF(OR(AND(AUTOEVENTO="Manual",$M510=1),$M510&gt;(ROW(PLE.lastrow)-ROW(PLE.firstrow))),0,IF(OFFSET(PLE!$G$14,$M510,CB$13)="",10^12,OFFSET(PLE!$G$14,$M510,CB$13))))</f>
        <v>1000000000000</v>
      </c>
      <c r="CC510" s="216">
        <f ca="1">IF($D510&lt;&gt;"Serviço",0,IF(OR(AND(AUTOEVENTO="Manual",$M510=1),$M510&gt;(ROW(PLE.lastrow)-ROW(PLE.firstrow))),0,IF(OFFSET(PLE!$G$14,$M510,CC$13)="",10^12,OFFSET(PLE!$G$14,$M510,CC$13))))</f>
        <v>1000000000000</v>
      </c>
      <c r="CD510" s="216">
        <f ca="1">IF($D510&lt;&gt;"Serviço",0,IF(OR(AND(AUTOEVENTO="Manual",$M510=1),$M510&gt;(ROW(PLE.lastrow)-ROW(PLE.firstrow))),0,IF(OFFSET(PLE!$G$14,$M510,CD$13)="",10^12,OFFSET(PLE!$G$14,$M510,CD$13))))</f>
        <v>1000000000000</v>
      </c>
      <c r="CE510" s="216">
        <f ca="1">IF($D510&lt;&gt;"Serviço",0,IF(OR(AND(AUTOEVENTO="Manual",$M510=1),$M510&gt;(ROW(PLE.lastrow)-ROW(PLE.firstrow))),0,IF(OFFSET(PLE!$G$14,$M510,CE$13)="",10^12,OFFSET(PLE!$G$14,$M510,CE$13))))</f>
        <v>1000000000000</v>
      </c>
      <c r="CF510" s="216">
        <f ca="1">IF($D510&lt;&gt;"Serviço",0,IF(OR(AND(AUTOEVENTO="Manual",$M510=1),$M510&gt;(ROW(PLE.lastrow)-ROW(PLE.firstrow))),0,IF(OFFSET(PLE!$G$14,$M510,CF$13)="",10^12,OFFSET(PLE!$G$14,$M510,CF$13))))</f>
        <v>1000000000000</v>
      </c>
      <c r="CG510" s="216">
        <f ca="1">IF($D510&lt;&gt;"Serviço",0,IF(OR(AND(AUTOEVENTO="Manual",$M510=1),$M510&gt;(ROW(PLE.lastrow)-ROW(PLE.firstrow))),0,IF(OFFSET(PLE!$G$14,$M510,CG$13)="",10^12,OFFSET(PLE!$G$14,$M510,CG$13))))</f>
        <v>1000000000000</v>
      </c>
      <c r="CH510" s="216">
        <f ca="1">IF($D510&lt;&gt;"Serviço",0,IF(OR(AND(AUTOEVENTO="Manual",$M510=1),$M510&gt;(ROW(PLE.lastrow)-ROW(PLE.firstrow))),0,IF(OFFSET(PLE!$G$14,$M510,CH$13)="",10^12,OFFSET(PLE!$G$14,$M510,CH$13))))</f>
        <v>1000000000000</v>
      </c>
      <c r="CI510" s="216">
        <f ca="1">IF($D510&lt;&gt;"Serviço",0,IF(OR(AND(AUTOEVENTO="Manual",$M510=1),$M510&gt;(ROW(PLE.lastrow)-ROW(PLE.firstrow))),0,IF(OFFSET(PLE!$G$14,$M510,CI$13)="",10^12,OFFSET(PLE!$G$14,$M510,CI$13))))</f>
        <v>1000000000000</v>
      </c>
      <c r="CJ510" s="216">
        <f ca="1">IF($D510&lt;&gt;"Serviço",0,IF(OR(AND(AUTOEVENTO="Manual",$M510=1),$M510&gt;(ROW(PLE.lastrow)-ROW(PLE.firstrow))),0,IF(OFFSET(PLE!$G$14,$M510,CJ$13)="",10^12,OFFSET(PLE!$G$14,$M510,CJ$13))))</f>
        <v>1000000000000</v>
      </c>
      <c r="CK510" s="216">
        <f ca="1">IF($D510&lt;&gt;"Serviço",0,IF(OR(AND(AUTOEVENTO="Manual",$M510=1),$M510&gt;(ROW(PLE.lastrow)-ROW(PLE.firstrow))),0,IF(OFFSET(PLE!$G$14,$M510,CK$13)="",10^12,OFFSET(PLE!$G$14,$M510,CK$13))))</f>
        <v>1000000000000</v>
      </c>
      <c r="CL510" s="216">
        <f ca="1">IF($D510&lt;&gt;"Serviço",0,IF(OR(AND(AUTOEVENTO="Manual",$M510=1),$M510&gt;(ROW(PLE.lastrow)-ROW(PLE.firstrow))),0,IF(OFFSET(PLE!$G$14,$M510,CL$13)="",10^12,OFFSET(PLE!$G$14,$M510,CL$13))))</f>
        <v>1000000000000</v>
      </c>
      <c r="CM510" s="216">
        <f ca="1">IF($D510&lt;&gt;"Serviço",0,IF(OR(AND(AUTOEVENTO="Manual",$M510=1),$M510&gt;(ROW(PLE.lastrow)-ROW(PLE.firstrow))),0,IF(OFFSET(PLE!$G$14,$M510,CM$13)="",10^12,OFFSET(PLE!$G$14,$M510,CM$13))))</f>
        <v>1000000000000</v>
      </c>
    </row>
    <row r="511" spans="1:91" ht="13.2" x14ac:dyDescent="0.25">
      <c r="A511" s="9">
        <f t="shared" ca="1" si="16"/>
        <v>0</v>
      </c>
      <c r="B511" s="9" t="str">
        <f ca="1">OFFSET(ORÇAMENTO!C$15,ROW(B511)-ROW(B$15),0)</f>
        <v>S</v>
      </c>
      <c r="C511" s="9" t="str">
        <f ca="1">OFFSET(ORÇAMENTO!L$15,ROW(C511)-ROW(C$15),0)</f>
        <v/>
      </c>
      <c r="D511" s="145" t="str">
        <f ca="1">OFFSET(ORÇAMENTO!N$15,ROW(D511)-ROW(D$15),0)</f>
        <v>Serviço</v>
      </c>
      <c r="E511" s="205" t="str">
        <f ca="1">OFFSET(ORÇAMENTO!O$15,ROW(E511)-ROW(E$15),0)</f>
        <v>-</v>
      </c>
      <c r="F511" s="206" t="str">
        <f ca="1">OFFSET(ORÇAMENTO!R$15,ROW(F511)-ROW(F$15),0)</f>
        <v>(abra o arquivo 'Referência 05-2024.xls)</v>
      </c>
      <c r="G511" s="207" t="str">
        <f ca="1">IF($D511&lt;&gt;"Serviço","",OFFSET(ORÇAMENTO!S$15,ROW(G511)-ROW(G$15),0))</f>
        <v>-</v>
      </c>
      <c r="H511" s="151">
        <f ca="1">IF($D511&lt;&gt;"Serviço",0,IF(ACOMPANHAMENTO="BM",ROUND(OFFSET(ORÇAMENTO!AJ$15,ROW(H511)-ROW(H$15),0),15-13*ORÇAMENTO!$AF$7),SUMPRODUCT(($Q$12:$AI$12&lt;&gt;"")*ROUND($Q511:$AI511,15-13*ORÇAMENTO!$AF$7))))</f>
        <v>1</v>
      </c>
      <c r="I511" s="650"/>
      <c r="K511" s="208"/>
      <c r="L511" s="209" t="s">
        <v>257</v>
      </c>
      <c r="M511" s="210">
        <f ca="1">IF($D511&lt;&gt;"Serviço","",IF(AUTOEVENTO="manual",$A511,IF(ISERROR(MATCH($A511,$A$15:OFFSET($A511,-1,0),0)),MAX($M$15:OFFSET(M511,-1,0))+1,INDEX($M$15:OFFSET(M511,-1,0),MATCH($A511,$A$15:OFFSET($A511,-1,0),0)))))</f>
        <v>0</v>
      </c>
      <c r="N511" s="211" t="str">
        <f ca="1">IF($D511&lt;&gt;"Serviço","",IF(AUTOEVENTO="Manual",IF($A511=0,"&lt;-- defina o número do agrupador",OFFSET(EVENTOS!$D$14,$A511,0)),OFFSET($F$15,$A511,0)))</f>
        <v>&lt;-- defina o número do agrupador</v>
      </c>
      <c r="O511" s="212"/>
      <c r="Q511" s="212"/>
      <c r="R511" s="213"/>
      <c r="S511" s="213"/>
      <c r="T511" s="213"/>
      <c r="U511" s="213"/>
      <c r="V511" s="213"/>
      <c r="W511" s="213"/>
      <c r="X511" s="213"/>
      <c r="Y511" s="213"/>
      <c r="Z511" s="214"/>
      <c r="AA511" s="213"/>
      <c r="AB511" s="213"/>
      <c r="AC511" s="213"/>
      <c r="AD511" s="213"/>
      <c r="AE511" s="213"/>
      <c r="AF511" s="213"/>
      <c r="AG511" s="213"/>
      <c r="AH511" s="214"/>
      <c r="AJ511" s="631">
        <f ca="1">IF(AND($D511="Serviço",AJ$12&lt;&gt;0,$H511&gt;0,OR(AUTOEVENTO&lt;&gt;"manual",$M511&lt;&gt;1)),ROUND(OFFSET($P511,0,AJ$13),15-13*ORÇAMENTO!$AF$7)/$H511*OFFSET(ORÇAMENTO!$X$15,ROW(AJ511)-ROW(AJ$15),0),0)</f>
        <v>0</v>
      </c>
      <c r="AK511" s="632">
        <f ca="1">IF(AND($D511="Serviço",AK$12&lt;&gt;0,$H511&gt;0,OR(AUTOEVENTO&lt;&gt;"manual",$M511&lt;&gt;1)),ROUND(OFFSET($P511,0,AK$13),15-13*ORÇAMENTO!$AF$7)/$H511*OFFSET(ORÇAMENTO!$X$15,ROW(AK511)-ROW(AK$15),0),0)</f>
        <v>0</v>
      </c>
      <c r="AL511" s="632">
        <f ca="1">IF(AND($D511="Serviço",AL$12&lt;&gt;0,$H511&gt;0,OR(AUTOEVENTO&lt;&gt;"manual",$M511&lt;&gt;1)),ROUND(OFFSET($P511,0,AL$13),15-13*ORÇAMENTO!$AF$7)/$H511*OFFSET(ORÇAMENTO!$X$15,ROW(AL511)-ROW(AL$15),0),0)</f>
        <v>0</v>
      </c>
      <c r="AM511" s="632">
        <f ca="1">IF(AND($D511="Serviço",AM$12&lt;&gt;0,$H511&gt;0,OR(AUTOEVENTO&lt;&gt;"manual",$M511&lt;&gt;1)),ROUND(OFFSET($P511,0,AM$13),15-13*ORÇAMENTO!$AF$7)/$H511*OFFSET(ORÇAMENTO!$X$15,ROW(AM511)-ROW(AM$15),0),0)</f>
        <v>0</v>
      </c>
      <c r="AN511" s="632">
        <f ca="1">IF(AND($D511="Serviço",AN$12&lt;&gt;0,$H511&gt;0,OR(AUTOEVENTO&lt;&gt;"manual",$M511&lt;&gt;1)),ROUND(OFFSET($P511,0,AN$13),15-13*ORÇAMENTO!$AF$7)/$H511*OFFSET(ORÇAMENTO!$X$15,ROW(AN511)-ROW(AN$15),0),0)</f>
        <v>0</v>
      </c>
      <c r="AO511" s="632">
        <f ca="1">IF(AND($D511="Serviço",AO$12&lt;&gt;0,$H511&gt;0,OR(AUTOEVENTO&lt;&gt;"manual",$M511&lt;&gt;1)),ROUND(OFFSET($P511,0,AO$13),15-13*ORÇAMENTO!$AF$7)/$H511*OFFSET(ORÇAMENTO!$X$15,ROW(AO511)-ROW(AO$15),0),0)</f>
        <v>0</v>
      </c>
      <c r="AP511" s="632">
        <f ca="1">IF(AND($D511="Serviço",AP$12&lt;&gt;0,$H511&gt;0,OR(AUTOEVENTO&lt;&gt;"manual",$M511&lt;&gt;1)),ROUND(OFFSET($P511,0,AP$13),15-13*ORÇAMENTO!$AF$7)/$H511*OFFSET(ORÇAMENTO!$X$15,ROW(AP511)-ROW(AP$15),0),0)</f>
        <v>0</v>
      </c>
      <c r="AQ511" s="632">
        <f ca="1">IF(AND($D511="Serviço",AQ$12&lt;&gt;0,$H511&gt;0,OR(AUTOEVENTO&lt;&gt;"manual",$M511&lt;&gt;1)),ROUND(OFFSET($P511,0,AQ$13),15-13*ORÇAMENTO!$AF$7)/$H511*OFFSET(ORÇAMENTO!$X$15,ROW(AQ511)-ROW(AQ$15),0),0)</f>
        <v>0</v>
      </c>
      <c r="AR511" s="632">
        <f ca="1">IF(AND($D511="Serviço",AR$12&lt;&gt;0,$H511&gt;0,OR(AUTOEVENTO&lt;&gt;"manual",$M511&lt;&gt;1)),ROUND(OFFSET($P511,0,AR$13),15-13*ORÇAMENTO!$AF$7)/$H511*OFFSET(ORÇAMENTO!$X$15,ROW(AR511)-ROW(AR$15),0),0)</f>
        <v>0</v>
      </c>
      <c r="AS511" s="633">
        <f ca="1">IF(AND($D511="Serviço",AS$12&lt;&gt;0,$H511&gt;0,OR(AUTOEVENTO&lt;&gt;"manual",$M511&lt;&gt;1)),ROUND(OFFSET($P511,0,AS$13),15-13*ORÇAMENTO!$AF$7)/$H511*OFFSET(ORÇAMENTO!$X$15,ROW(AS511)-ROW(AS$15),0),0)</f>
        <v>0</v>
      </c>
      <c r="AT511" s="632">
        <f ca="1">IF(AND($D511="Serviço",AT$12&lt;&gt;0,$H511&gt;0,OR(AUTOEVENTO&lt;&gt;"manual",$M511&lt;&gt;1)),ROUND(OFFSET($P511,0,AT$13),15-13*ORÇAMENTO!$AF$7)/$H511*OFFSET(ORÇAMENTO!$X$15,ROW(AT511)-ROW(AT$15),0),0)</f>
        <v>0</v>
      </c>
      <c r="AU511" s="632">
        <f ca="1">IF(AND($D511="Serviço",AU$12&lt;&gt;0,$H511&gt;0,OR(AUTOEVENTO&lt;&gt;"manual",$M511&lt;&gt;1)),ROUND(OFFSET($P511,0,AU$13),15-13*ORÇAMENTO!$AF$7)/$H511*OFFSET(ORÇAMENTO!$X$15,ROW(AU511)-ROW(AU$15),0),0)</f>
        <v>0</v>
      </c>
      <c r="AV511" s="632">
        <f ca="1">IF(AND($D511="Serviço",AV$12&lt;&gt;0,$H511&gt;0,OR(AUTOEVENTO&lt;&gt;"manual",$M511&lt;&gt;1)),ROUND(OFFSET($P511,0,AV$13),15-13*ORÇAMENTO!$AF$7)/$H511*OFFSET(ORÇAMENTO!$X$15,ROW(AV511)-ROW(AV$15),0),0)</f>
        <v>0</v>
      </c>
      <c r="AW511" s="632">
        <f ca="1">IF(AND($D511="Serviço",AW$12&lt;&gt;0,$H511&gt;0,OR(AUTOEVENTO&lt;&gt;"manual",$M511&lt;&gt;1)),ROUND(OFFSET($P511,0,AW$13),15-13*ORÇAMENTO!$AF$7)/$H511*OFFSET(ORÇAMENTO!$X$15,ROW(AW511)-ROW(AW$15),0),0)</f>
        <v>0</v>
      </c>
      <c r="AX511" s="632">
        <f ca="1">IF(AND($D511="Serviço",AX$12&lt;&gt;0,$H511&gt;0,OR(AUTOEVENTO&lt;&gt;"manual",$M511&lt;&gt;1)),ROUND(OFFSET($P511,0,AX$13),15-13*ORÇAMENTO!$AF$7)/$H511*OFFSET(ORÇAMENTO!$X$15,ROW(AX511)-ROW(AX$15),0),0)</f>
        <v>0</v>
      </c>
      <c r="AY511" s="632">
        <f ca="1">IF(AND($D511="Serviço",AY$12&lt;&gt;0,$H511&gt;0,OR(AUTOEVENTO&lt;&gt;"manual",$M511&lt;&gt;1)),ROUND(OFFSET($P511,0,AY$13),15-13*ORÇAMENTO!$AF$7)/$H511*OFFSET(ORÇAMENTO!$X$15,ROW(AY511)-ROW(AY$15),0),0)</f>
        <v>0</v>
      </c>
      <c r="AZ511" s="632">
        <f ca="1">IF(AND($D511="Serviço",AZ$12&lt;&gt;0,$H511&gt;0,OR(AUTOEVENTO&lt;&gt;"manual",$M511&lt;&gt;1)),ROUND(OFFSET($P511,0,AZ$13),15-13*ORÇAMENTO!$AF$7)/$H511*OFFSET(ORÇAMENTO!$X$15,ROW(AZ511)-ROW(AZ$15),0),0)</f>
        <v>0</v>
      </c>
      <c r="BA511" s="633">
        <f ca="1">IF(AND($D511="Serviço",BA$12&lt;&gt;0,$H511&gt;0,OR(AUTOEVENTO&lt;&gt;"manual",$M511&lt;&gt;1)),ROUND(OFFSET($P511,0,BA$13),15-13*ORÇAMENTO!$AF$7)/$H511*OFFSET(ORÇAMENTO!$X$15,ROW(BA511)-ROW(BA$15),0),0)</f>
        <v>0</v>
      </c>
      <c r="BC511" s="215">
        <f ca="1">IF($D511&lt;&gt;"Serviço",0,IF(AND(AUTOEVENTO="Manual",$M511=1),0,IF(OFFSET(CRONOPLE!$F$14,$M511,BC$13)="",10^12,OFFSET(CRONOPLE!$F$14,$M511,BC$13))))</f>
        <v>1000000000000</v>
      </c>
      <c r="BD511" s="215">
        <f ca="1">IF($D511&lt;&gt;"Serviço",0,IF(AND(AUTOEVENTO="Manual",$M511=1),0,IF(OFFSET(CRONOPLE!$F$14,$M511,BD$13)="",10^12,OFFSET(CRONOPLE!$F$14,$M511,BD$13))))</f>
        <v>1000000000000</v>
      </c>
      <c r="BE511" s="215">
        <f ca="1">IF($D511&lt;&gt;"Serviço",0,IF(AND(AUTOEVENTO="Manual",$M511=1),0,IF(OFFSET(CRONOPLE!$F$14,$M511,BE$13)="",10^12,OFFSET(CRONOPLE!$F$14,$M511,BE$13))))</f>
        <v>1000000000000</v>
      </c>
      <c r="BF511" s="215">
        <f ca="1">IF($D511&lt;&gt;"Serviço",0,IF(AND(AUTOEVENTO="Manual",$M511=1),0,IF(OFFSET(CRONOPLE!$F$14,$M511,BF$13)="",10^12,OFFSET(CRONOPLE!$F$14,$M511,BF$13))))</f>
        <v>1000000000000</v>
      </c>
      <c r="BG511" s="215">
        <f ca="1">IF($D511&lt;&gt;"Serviço",0,IF(AND(AUTOEVENTO="Manual",$M511=1),0,IF(OFFSET(CRONOPLE!$F$14,$M511,BG$13)="",10^12,OFFSET(CRONOPLE!$F$14,$M511,BG$13))))</f>
        <v>1000000000000</v>
      </c>
      <c r="BH511" s="215">
        <f ca="1">IF($D511&lt;&gt;"Serviço",0,IF(AND(AUTOEVENTO="Manual",$M511=1),0,IF(OFFSET(CRONOPLE!$F$14,$M511,BH$13)="",10^12,OFFSET(CRONOPLE!$F$14,$M511,BH$13))))</f>
        <v>1000000000000</v>
      </c>
      <c r="BI511" s="215">
        <f ca="1">IF($D511&lt;&gt;"Serviço",0,IF(AND(AUTOEVENTO="Manual",$M511=1),0,IF(OFFSET(CRONOPLE!$F$14,$M511,BI$13)="",10^12,OFFSET(CRONOPLE!$F$14,$M511,BI$13))))</f>
        <v>1000000000000</v>
      </c>
      <c r="BJ511" s="215">
        <f ca="1">IF($D511&lt;&gt;"Serviço",0,IF(AND(AUTOEVENTO="Manual",$M511=1),0,IF(OFFSET(CRONOPLE!$F$14,$M511,BJ$13)="",10^12,OFFSET(CRONOPLE!$F$14,$M511,BJ$13))))</f>
        <v>1000000000000</v>
      </c>
      <c r="BK511" s="215">
        <f ca="1">IF($D511&lt;&gt;"Serviço",0,IF(AND(AUTOEVENTO="Manual",$M511=1),0,IF(OFFSET(CRONOPLE!$F$14,$M511,BK$13)="",10^12,OFFSET(CRONOPLE!$F$14,$M511,BK$13))))</f>
        <v>1000000000000</v>
      </c>
      <c r="BL511" s="215">
        <f ca="1">IF($D511&lt;&gt;"Serviço",0,IF(AND(AUTOEVENTO="Manual",$M511=1),0,IF(OFFSET(CRONOPLE!$F$14,$M511,BL$13)="",10^12,OFFSET(CRONOPLE!$F$14,$M511,BL$13))))</f>
        <v>1000000000000</v>
      </c>
      <c r="BM511" s="215">
        <f ca="1">IF($D511&lt;&gt;"Serviço",0,IF(AND(AUTOEVENTO="Manual",$M511=1),0,IF(OFFSET(CRONOPLE!$F$14,$M511,BM$13)="",10^12,OFFSET(CRONOPLE!$F$14,$M511,BM$13))))</f>
        <v>1000000000000</v>
      </c>
      <c r="BN511" s="215">
        <f ca="1">IF($D511&lt;&gt;"Serviço",0,IF(AND(AUTOEVENTO="Manual",$M511=1),0,IF(OFFSET(CRONOPLE!$F$14,$M511,BN$13)="",10^12,OFFSET(CRONOPLE!$F$14,$M511,BN$13))))</f>
        <v>1000000000000</v>
      </c>
      <c r="BO511" s="215">
        <f ca="1">IF($D511&lt;&gt;"Serviço",0,IF(AND(AUTOEVENTO="Manual",$M511=1),0,IF(OFFSET(CRONOPLE!$F$14,$M511,BO$13)="",10^12,OFFSET(CRONOPLE!$F$14,$M511,BO$13))))</f>
        <v>1000000000000</v>
      </c>
      <c r="BP511" s="215">
        <f ca="1">IF($D511&lt;&gt;"Serviço",0,IF(AND(AUTOEVENTO="Manual",$M511=1),0,IF(OFFSET(CRONOPLE!$F$14,$M511,BP$13)="",10^12,OFFSET(CRONOPLE!$F$14,$M511,BP$13))))</f>
        <v>1000000000000</v>
      </c>
      <c r="BQ511" s="215">
        <f ca="1">IF($D511&lt;&gt;"Serviço",0,IF(AND(AUTOEVENTO="Manual",$M511=1),0,IF(OFFSET(CRONOPLE!$F$14,$M511,BQ$13)="",10^12,OFFSET(CRONOPLE!$F$14,$M511,BQ$13))))</f>
        <v>1000000000000</v>
      </c>
      <c r="BR511" s="215">
        <f ca="1">IF($D511&lt;&gt;"Serviço",0,IF(AND(AUTOEVENTO="Manual",$M511=1),0,IF(OFFSET(CRONOPLE!$F$14,$M511,BR$13)="",10^12,OFFSET(CRONOPLE!$F$14,$M511,BR$13))))</f>
        <v>1000000000000</v>
      </c>
      <c r="BS511" s="215">
        <f ca="1">IF($D511&lt;&gt;"Serviço",0,IF(AND(AUTOEVENTO="Manual",$M511=1),0,IF(OFFSET(CRONOPLE!$F$14,$M511,BS$13)="",10^12,OFFSET(CRONOPLE!$F$14,$M511,BS$13))))</f>
        <v>1000000000000</v>
      </c>
      <c r="BT511" s="215">
        <f ca="1">IF($D511&lt;&gt;"Serviço",0,IF(AND(AUTOEVENTO="Manual",$M511=1),0,IF(OFFSET(CRONOPLE!$F$14,$M511,BT$13)="",10^12,OFFSET(CRONOPLE!$F$14,$M511,BT$13))))</f>
        <v>1000000000000</v>
      </c>
      <c r="BV511" s="216">
        <f ca="1">IF($D511&lt;&gt;"Serviço",0,IF(OR(AND(AUTOEVENTO="Manual",$M511=1),$M511&gt;(ROW(PLE.lastrow)-ROW(PLE.firstrow))),0,IF(OFFSET(PLE!$G$14,$M511,BV$13)="",10^12,OFFSET(PLE!$G$14,$M511,BV$13))))</f>
        <v>1000000000000</v>
      </c>
      <c r="BW511" s="216">
        <f ca="1">IF($D511&lt;&gt;"Serviço",0,IF(OR(AND(AUTOEVENTO="Manual",$M511=1),$M511&gt;(ROW(PLE.lastrow)-ROW(PLE.firstrow))),0,IF(OFFSET(PLE!$G$14,$M511,BW$13)="",10^12,OFFSET(PLE!$G$14,$M511,BW$13))))</f>
        <v>1000000000000</v>
      </c>
      <c r="BX511" s="216">
        <f ca="1">IF($D511&lt;&gt;"Serviço",0,IF(OR(AND(AUTOEVENTO="Manual",$M511=1),$M511&gt;(ROW(PLE.lastrow)-ROW(PLE.firstrow))),0,IF(OFFSET(PLE!$G$14,$M511,BX$13)="",10^12,OFFSET(PLE!$G$14,$M511,BX$13))))</f>
        <v>1000000000000</v>
      </c>
      <c r="BY511" s="216">
        <f ca="1">IF($D511&lt;&gt;"Serviço",0,IF(OR(AND(AUTOEVENTO="Manual",$M511=1),$M511&gt;(ROW(PLE.lastrow)-ROW(PLE.firstrow))),0,IF(OFFSET(PLE!$G$14,$M511,BY$13)="",10^12,OFFSET(PLE!$G$14,$M511,BY$13))))</f>
        <v>1000000000000</v>
      </c>
      <c r="BZ511" s="216">
        <f ca="1">IF($D511&lt;&gt;"Serviço",0,IF(OR(AND(AUTOEVENTO="Manual",$M511=1),$M511&gt;(ROW(PLE.lastrow)-ROW(PLE.firstrow))),0,IF(OFFSET(PLE!$G$14,$M511,BZ$13)="",10^12,OFFSET(PLE!$G$14,$M511,BZ$13))))</f>
        <v>1000000000000</v>
      </c>
      <c r="CA511" s="216">
        <f ca="1">IF($D511&lt;&gt;"Serviço",0,IF(OR(AND(AUTOEVENTO="Manual",$M511=1),$M511&gt;(ROW(PLE.lastrow)-ROW(PLE.firstrow))),0,IF(OFFSET(PLE!$G$14,$M511,CA$13)="",10^12,OFFSET(PLE!$G$14,$M511,CA$13))))</f>
        <v>1000000000000</v>
      </c>
      <c r="CB511" s="216">
        <f ca="1">IF($D511&lt;&gt;"Serviço",0,IF(OR(AND(AUTOEVENTO="Manual",$M511=1),$M511&gt;(ROW(PLE.lastrow)-ROW(PLE.firstrow))),0,IF(OFFSET(PLE!$G$14,$M511,CB$13)="",10^12,OFFSET(PLE!$G$14,$M511,CB$13))))</f>
        <v>1000000000000</v>
      </c>
      <c r="CC511" s="216">
        <f ca="1">IF($D511&lt;&gt;"Serviço",0,IF(OR(AND(AUTOEVENTO="Manual",$M511=1),$M511&gt;(ROW(PLE.lastrow)-ROW(PLE.firstrow))),0,IF(OFFSET(PLE!$G$14,$M511,CC$13)="",10^12,OFFSET(PLE!$G$14,$M511,CC$13))))</f>
        <v>1000000000000</v>
      </c>
      <c r="CD511" s="216">
        <f ca="1">IF($D511&lt;&gt;"Serviço",0,IF(OR(AND(AUTOEVENTO="Manual",$M511=1),$M511&gt;(ROW(PLE.lastrow)-ROW(PLE.firstrow))),0,IF(OFFSET(PLE!$G$14,$M511,CD$13)="",10^12,OFFSET(PLE!$G$14,$M511,CD$13))))</f>
        <v>1000000000000</v>
      </c>
      <c r="CE511" s="216">
        <f ca="1">IF($D511&lt;&gt;"Serviço",0,IF(OR(AND(AUTOEVENTO="Manual",$M511=1),$M511&gt;(ROW(PLE.lastrow)-ROW(PLE.firstrow))),0,IF(OFFSET(PLE!$G$14,$M511,CE$13)="",10^12,OFFSET(PLE!$G$14,$M511,CE$13))))</f>
        <v>1000000000000</v>
      </c>
      <c r="CF511" s="216">
        <f ca="1">IF($D511&lt;&gt;"Serviço",0,IF(OR(AND(AUTOEVENTO="Manual",$M511=1),$M511&gt;(ROW(PLE.lastrow)-ROW(PLE.firstrow))),0,IF(OFFSET(PLE!$G$14,$M511,CF$13)="",10^12,OFFSET(PLE!$G$14,$M511,CF$13))))</f>
        <v>1000000000000</v>
      </c>
      <c r="CG511" s="216">
        <f ca="1">IF($D511&lt;&gt;"Serviço",0,IF(OR(AND(AUTOEVENTO="Manual",$M511=1),$M511&gt;(ROW(PLE.lastrow)-ROW(PLE.firstrow))),0,IF(OFFSET(PLE!$G$14,$M511,CG$13)="",10^12,OFFSET(PLE!$G$14,$M511,CG$13))))</f>
        <v>1000000000000</v>
      </c>
      <c r="CH511" s="216">
        <f ca="1">IF($D511&lt;&gt;"Serviço",0,IF(OR(AND(AUTOEVENTO="Manual",$M511=1),$M511&gt;(ROW(PLE.lastrow)-ROW(PLE.firstrow))),0,IF(OFFSET(PLE!$G$14,$M511,CH$13)="",10^12,OFFSET(PLE!$G$14,$M511,CH$13))))</f>
        <v>1000000000000</v>
      </c>
      <c r="CI511" s="216">
        <f ca="1">IF($D511&lt;&gt;"Serviço",0,IF(OR(AND(AUTOEVENTO="Manual",$M511=1),$M511&gt;(ROW(PLE.lastrow)-ROW(PLE.firstrow))),0,IF(OFFSET(PLE!$G$14,$M511,CI$13)="",10^12,OFFSET(PLE!$G$14,$M511,CI$13))))</f>
        <v>1000000000000</v>
      </c>
      <c r="CJ511" s="216">
        <f ca="1">IF($D511&lt;&gt;"Serviço",0,IF(OR(AND(AUTOEVENTO="Manual",$M511=1),$M511&gt;(ROW(PLE.lastrow)-ROW(PLE.firstrow))),0,IF(OFFSET(PLE!$G$14,$M511,CJ$13)="",10^12,OFFSET(PLE!$G$14,$M511,CJ$13))))</f>
        <v>1000000000000</v>
      </c>
      <c r="CK511" s="216">
        <f ca="1">IF($D511&lt;&gt;"Serviço",0,IF(OR(AND(AUTOEVENTO="Manual",$M511=1),$M511&gt;(ROW(PLE.lastrow)-ROW(PLE.firstrow))),0,IF(OFFSET(PLE!$G$14,$M511,CK$13)="",10^12,OFFSET(PLE!$G$14,$M511,CK$13))))</f>
        <v>1000000000000</v>
      </c>
      <c r="CL511" s="216">
        <f ca="1">IF($D511&lt;&gt;"Serviço",0,IF(OR(AND(AUTOEVENTO="Manual",$M511=1),$M511&gt;(ROW(PLE.lastrow)-ROW(PLE.firstrow))),0,IF(OFFSET(PLE!$G$14,$M511,CL$13)="",10^12,OFFSET(PLE!$G$14,$M511,CL$13))))</f>
        <v>1000000000000</v>
      </c>
      <c r="CM511" s="216">
        <f ca="1">IF($D511&lt;&gt;"Serviço",0,IF(OR(AND(AUTOEVENTO="Manual",$M511=1),$M511&gt;(ROW(PLE.lastrow)-ROW(PLE.firstrow))),0,IF(OFFSET(PLE!$G$14,$M511,CM$13)="",10^12,OFFSET(PLE!$G$14,$M511,CM$13))))</f>
        <v>1000000000000</v>
      </c>
    </row>
    <row r="512" spans="1:91" ht="13.2" x14ac:dyDescent="0.25">
      <c r="A512" s="9">
        <f t="shared" ca="1" si="16"/>
        <v>0</v>
      </c>
      <c r="B512" s="9" t="str">
        <f ca="1">OFFSET(ORÇAMENTO!C$15,ROW(B512)-ROW(B$15),0)</f>
        <v>S</v>
      </c>
      <c r="C512" s="9" t="str">
        <f ca="1">OFFSET(ORÇAMENTO!L$15,ROW(C512)-ROW(C$15),0)</f>
        <v/>
      </c>
      <c r="D512" s="145" t="str">
        <f ca="1">OFFSET(ORÇAMENTO!N$15,ROW(D512)-ROW(D$15),0)</f>
        <v>Serviço</v>
      </c>
      <c r="E512" s="205" t="str">
        <f ca="1">OFFSET(ORÇAMENTO!O$15,ROW(E512)-ROW(E$15),0)</f>
        <v>-</v>
      </c>
      <c r="F512" s="206" t="str">
        <f ca="1">OFFSET(ORÇAMENTO!R$15,ROW(F512)-ROW(F$15),0)</f>
        <v>(abra o arquivo 'Referência 05-2024.xls)</v>
      </c>
      <c r="G512" s="207" t="str">
        <f ca="1">IF($D512&lt;&gt;"Serviço","",OFFSET(ORÇAMENTO!S$15,ROW(G512)-ROW(G$15),0))</f>
        <v>-</v>
      </c>
      <c r="H512" s="151">
        <f ca="1">IF($D512&lt;&gt;"Serviço",0,IF(ACOMPANHAMENTO="BM",ROUND(OFFSET(ORÇAMENTO!AJ$15,ROW(H512)-ROW(H$15),0),15-13*ORÇAMENTO!$AF$7),SUMPRODUCT(($Q$12:$AI$12&lt;&gt;"")*ROUND($Q512:$AI512,15-13*ORÇAMENTO!$AF$7))))</f>
        <v>1</v>
      </c>
      <c r="I512" s="650"/>
      <c r="K512" s="208"/>
      <c r="L512" s="209" t="s">
        <v>257</v>
      </c>
      <c r="M512" s="210">
        <f ca="1">IF($D512&lt;&gt;"Serviço","",IF(AUTOEVENTO="manual",$A512,IF(ISERROR(MATCH($A512,$A$15:OFFSET($A512,-1,0),0)),MAX($M$15:OFFSET(M512,-1,0))+1,INDEX($M$15:OFFSET(M512,-1,0),MATCH($A512,$A$15:OFFSET($A512,-1,0),0)))))</f>
        <v>0</v>
      </c>
      <c r="N512" s="211" t="str">
        <f ca="1">IF($D512&lt;&gt;"Serviço","",IF(AUTOEVENTO="Manual",IF($A512=0,"&lt;-- defina o número do agrupador",OFFSET(EVENTOS!$D$14,$A512,0)),OFFSET($F$15,$A512,0)))</f>
        <v>&lt;-- defina o número do agrupador</v>
      </c>
      <c r="O512" s="212"/>
      <c r="Q512" s="212"/>
      <c r="R512" s="213"/>
      <c r="S512" s="213"/>
      <c r="T512" s="213"/>
      <c r="U512" s="213"/>
      <c r="V512" s="213"/>
      <c r="W512" s="213"/>
      <c r="X512" s="213"/>
      <c r="Y512" s="213"/>
      <c r="Z512" s="214"/>
      <c r="AA512" s="213"/>
      <c r="AB512" s="213"/>
      <c r="AC512" s="213"/>
      <c r="AD512" s="213"/>
      <c r="AE512" s="213"/>
      <c r="AF512" s="213"/>
      <c r="AG512" s="213"/>
      <c r="AH512" s="214"/>
      <c r="AJ512" s="631">
        <f ca="1">IF(AND($D512="Serviço",AJ$12&lt;&gt;0,$H512&gt;0,OR(AUTOEVENTO&lt;&gt;"manual",$M512&lt;&gt;1)),ROUND(OFFSET($P512,0,AJ$13),15-13*ORÇAMENTO!$AF$7)/$H512*OFFSET(ORÇAMENTO!$X$15,ROW(AJ512)-ROW(AJ$15),0),0)</f>
        <v>0</v>
      </c>
      <c r="AK512" s="632">
        <f ca="1">IF(AND($D512="Serviço",AK$12&lt;&gt;0,$H512&gt;0,OR(AUTOEVENTO&lt;&gt;"manual",$M512&lt;&gt;1)),ROUND(OFFSET($P512,0,AK$13),15-13*ORÇAMENTO!$AF$7)/$H512*OFFSET(ORÇAMENTO!$X$15,ROW(AK512)-ROW(AK$15),0),0)</f>
        <v>0</v>
      </c>
      <c r="AL512" s="632">
        <f ca="1">IF(AND($D512="Serviço",AL$12&lt;&gt;0,$H512&gt;0,OR(AUTOEVENTO&lt;&gt;"manual",$M512&lt;&gt;1)),ROUND(OFFSET($P512,0,AL$13),15-13*ORÇAMENTO!$AF$7)/$H512*OFFSET(ORÇAMENTO!$X$15,ROW(AL512)-ROW(AL$15),0),0)</f>
        <v>0</v>
      </c>
      <c r="AM512" s="632">
        <f ca="1">IF(AND($D512="Serviço",AM$12&lt;&gt;0,$H512&gt;0,OR(AUTOEVENTO&lt;&gt;"manual",$M512&lt;&gt;1)),ROUND(OFFSET($P512,0,AM$13),15-13*ORÇAMENTO!$AF$7)/$H512*OFFSET(ORÇAMENTO!$X$15,ROW(AM512)-ROW(AM$15),0),0)</f>
        <v>0</v>
      </c>
      <c r="AN512" s="632">
        <f ca="1">IF(AND($D512="Serviço",AN$12&lt;&gt;0,$H512&gt;0,OR(AUTOEVENTO&lt;&gt;"manual",$M512&lt;&gt;1)),ROUND(OFFSET($P512,0,AN$13),15-13*ORÇAMENTO!$AF$7)/$H512*OFFSET(ORÇAMENTO!$X$15,ROW(AN512)-ROW(AN$15),0),0)</f>
        <v>0</v>
      </c>
      <c r="AO512" s="632">
        <f ca="1">IF(AND($D512="Serviço",AO$12&lt;&gt;0,$H512&gt;0,OR(AUTOEVENTO&lt;&gt;"manual",$M512&lt;&gt;1)),ROUND(OFFSET($P512,0,AO$13),15-13*ORÇAMENTO!$AF$7)/$H512*OFFSET(ORÇAMENTO!$X$15,ROW(AO512)-ROW(AO$15),0),0)</f>
        <v>0</v>
      </c>
      <c r="AP512" s="632">
        <f ca="1">IF(AND($D512="Serviço",AP$12&lt;&gt;0,$H512&gt;0,OR(AUTOEVENTO&lt;&gt;"manual",$M512&lt;&gt;1)),ROUND(OFFSET($P512,0,AP$13),15-13*ORÇAMENTO!$AF$7)/$H512*OFFSET(ORÇAMENTO!$X$15,ROW(AP512)-ROW(AP$15),0),0)</f>
        <v>0</v>
      </c>
      <c r="AQ512" s="632">
        <f ca="1">IF(AND($D512="Serviço",AQ$12&lt;&gt;0,$H512&gt;0,OR(AUTOEVENTO&lt;&gt;"manual",$M512&lt;&gt;1)),ROUND(OFFSET($P512,0,AQ$13),15-13*ORÇAMENTO!$AF$7)/$H512*OFFSET(ORÇAMENTO!$X$15,ROW(AQ512)-ROW(AQ$15),0),0)</f>
        <v>0</v>
      </c>
      <c r="AR512" s="632">
        <f ca="1">IF(AND($D512="Serviço",AR$12&lt;&gt;0,$H512&gt;0,OR(AUTOEVENTO&lt;&gt;"manual",$M512&lt;&gt;1)),ROUND(OFFSET($P512,0,AR$13),15-13*ORÇAMENTO!$AF$7)/$H512*OFFSET(ORÇAMENTO!$X$15,ROW(AR512)-ROW(AR$15),0),0)</f>
        <v>0</v>
      </c>
      <c r="AS512" s="633">
        <f ca="1">IF(AND($D512="Serviço",AS$12&lt;&gt;0,$H512&gt;0,OR(AUTOEVENTO&lt;&gt;"manual",$M512&lt;&gt;1)),ROUND(OFFSET($P512,0,AS$13),15-13*ORÇAMENTO!$AF$7)/$H512*OFFSET(ORÇAMENTO!$X$15,ROW(AS512)-ROW(AS$15),0),0)</f>
        <v>0</v>
      </c>
      <c r="AT512" s="632">
        <f ca="1">IF(AND($D512="Serviço",AT$12&lt;&gt;0,$H512&gt;0,OR(AUTOEVENTO&lt;&gt;"manual",$M512&lt;&gt;1)),ROUND(OFFSET($P512,0,AT$13),15-13*ORÇAMENTO!$AF$7)/$H512*OFFSET(ORÇAMENTO!$X$15,ROW(AT512)-ROW(AT$15),0),0)</f>
        <v>0</v>
      </c>
      <c r="AU512" s="632">
        <f ca="1">IF(AND($D512="Serviço",AU$12&lt;&gt;0,$H512&gt;0,OR(AUTOEVENTO&lt;&gt;"manual",$M512&lt;&gt;1)),ROUND(OFFSET($P512,0,AU$13),15-13*ORÇAMENTO!$AF$7)/$H512*OFFSET(ORÇAMENTO!$X$15,ROW(AU512)-ROW(AU$15),0),0)</f>
        <v>0</v>
      </c>
      <c r="AV512" s="632">
        <f ca="1">IF(AND($D512="Serviço",AV$12&lt;&gt;0,$H512&gt;0,OR(AUTOEVENTO&lt;&gt;"manual",$M512&lt;&gt;1)),ROUND(OFFSET($P512,0,AV$13),15-13*ORÇAMENTO!$AF$7)/$H512*OFFSET(ORÇAMENTO!$X$15,ROW(AV512)-ROW(AV$15),0),0)</f>
        <v>0</v>
      </c>
      <c r="AW512" s="632">
        <f ca="1">IF(AND($D512="Serviço",AW$12&lt;&gt;0,$H512&gt;0,OR(AUTOEVENTO&lt;&gt;"manual",$M512&lt;&gt;1)),ROUND(OFFSET($P512,0,AW$13),15-13*ORÇAMENTO!$AF$7)/$H512*OFFSET(ORÇAMENTO!$X$15,ROW(AW512)-ROW(AW$15),0),0)</f>
        <v>0</v>
      </c>
      <c r="AX512" s="632">
        <f ca="1">IF(AND($D512="Serviço",AX$12&lt;&gt;0,$H512&gt;0,OR(AUTOEVENTO&lt;&gt;"manual",$M512&lt;&gt;1)),ROUND(OFFSET($P512,0,AX$13),15-13*ORÇAMENTO!$AF$7)/$H512*OFFSET(ORÇAMENTO!$X$15,ROW(AX512)-ROW(AX$15),0),0)</f>
        <v>0</v>
      </c>
      <c r="AY512" s="632">
        <f ca="1">IF(AND($D512="Serviço",AY$12&lt;&gt;0,$H512&gt;0,OR(AUTOEVENTO&lt;&gt;"manual",$M512&lt;&gt;1)),ROUND(OFFSET($P512,0,AY$13),15-13*ORÇAMENTO!$AF$7)/$H512*OFFSET(ORÇAMENTO!$X$15,ROW(AY512)-ROW(AY$15),0),0)</f>
        <v>0</v>
      </c>
      <c r="AZ512" s="632">
        <f ca="1">IF(AND($D512="Serviço",AZ$12&lt;&gt;0,$H512&gt;0,OR(AUTOEVENTO&lt;&gt;"manual",$M512&lt;&gt;1)),ROUND(OFFSET($P512,0,AZ$13),15-13*ORÇAMENTO!$AF$7)/$H512*OFFSET(ORÇAMENTO!$X$15,ROW(AZ512)-ROW(AZ$15),0),0)</f>
        <v>0</v>
      </c>
      <c r="BA512" s="633">
        <f ca="1">IF(AND($D512="Serviço",BA$12&lt;&gt;0,$H512&gt;0,OR(AUTOEVENTO&lt;&gt;"manual",$M512&lt;&gt;1)),ROUND(OFFSET($P512,0,BA$13),15-13*ORÇAMENTO!$AF$7)/$H512*OFFSET(ORÇAMENTO!$X$15,ROW(BA512)-ROW(BA$15),0),0)</f>
        <v>0</v>
      </c>
      <c r="BC512" s="215">
        <f ca="1">IF($D512&lt;&gt;"Serviço",0,IF(AND(AUTOEVENTO="Manual",$M512=1),0,IF(OFFSET(CRONOPLE!$F$14,$M512,BC$13)="",10^12,OFFSET(CRONOPLE!$F$14,$M512,BC$13))))</f>
        <v>1000000000000</v>
      </c>
      <c r="BD512" s="215">
        <f ca="1">IF($D512&lt;&gt;"Serviço",0,IF(AND(AUTOEVENTO="Manual",$M512=1),0,IF(OFFSET(CRONOPLE!$F$14,$M512,BD$13)="",10^12,OFFSET(CRONOPLE!$F$14,$M512,BD$13))))</f>
        <v>1000000000000</v>
      </c>
      <c r="BE512" s="215">
        <f ca="1">IF($D512&lt;&gt;"Serviço",0,IF(AND(AUTOEVENTO="Manual",$M512=1),0,IF(OFFSET(CRONOPLE!$F$14,$M512,BE$13)="",10^12,OFFSET(CRONOPLE!$F$14,$M512,BE$13))))</f>
        <v>1000000000000</v>
      </c>
      <c r="BF512" s="215">
        <f ca="1">IF($D512&lt;&gt;"Serviço",0,IF(AND(AUTOEVENTO="Manual",$M512=1),0,IF(OFFSET(CRONOPLE!$F$14,$M512,BF$13)="",10^12,OFFSET(CRONOPLE!$F$14,$M512,BF$13))))</f>
        <v>1000000000000</v>
      </c>
      <c r="BG512" s="215">
        <f ca="1">IF($D512&lt;&gt;"Serviço",0,IF(AND(AUTOEVENTO="Manual",$M512=1),0,IF(OFFSET(CRONOPLE!$F$14,$M512,BG$13)="",10^12,OFFSET(CRONOPLE!$F$14,$M512,BG$13))))</f>
        <v>1000000000000</v>
      </c>
      <c r="BH512" s="215">
        <f ca="1">IF($D512&lt;&gt;"Serviço",0,IF(AND(AUTOEVENTO="Manual",$M512=1),0,IF(OFFSET(CRONOPLE!$F$14,$M512,BH$13)="",10^12,OFFSET(CRONOPLE!$F$14,$M512,BH$13))))</f>
        <v>1000000000000</v>
      </c>
      <c r="BI512" s="215">
        <f ca="1">IF($D512&lt;&gt;"Serviço",0,IF(AND(AUTOEVENTO="Manual",$M512=1),0,IF(OFFSET(CRONOPLE!$F$14,$M512,BI$13)="",10^12,OFFSET(CRONOPLE!$F$14,$M512,BI$13))))</f>
        <v>1000000000000</v>
      </c>
      <c r="BJ512" s="215">
        <f ca="1">IF($D512&lt;&gt;"Serviço",0,IF(AND(AUTOEVENTO="Manual",$M512=1),0,IF(OFFSET(CRONOPLE!$F$14,$M512,BJ$13)="",10^12,OFFSET(CRONOPLE!$F$14,$M512,BJ$13))))</f>
        <v>1000000000000</v>
      </c>
      <c r="BK512" s="215">
        <f ca="1">IF($D512&lt;&gt;"Serviço",0,IF(AND(AUTOEVENTO="Manual",$M512=1),0,IF(OFFSET(CRONOPLE!$F$14,$M512,BK$13)="",10^12,OFFSET(CRONOPLE!$F$14,$M512,BK$13))))</f>
        <v>1000000000000</v>
      </c>
      <c r="BL512" s="215">
        <f ca="1">IF($D512&lt;&gt;"Serviço",0,IF(AND(AUTOEVENTO="Manual",$M512=1),0,IF(OFFSET(CRONOPLE!$F$14,$M512,BL$13)="",10^12,OFFSET(CRONOPLE!$F$14,$M512,BL$13))))</f>
        <v>1000000000000</v>
      </c>
      <c r="BM512" s="215">
        <f ca="1">IF($D512&lt;&gt;"Serviço",0,IF(AND(AUTOEVENTO="Manual",$M512=1),0,IF(OFFSET(CRONOPLE!$F$14,$M512,BM$13)="",10^12,OFFSET(CRONOPLE!$F$14,$M512,BM$13))))</f>
        <v>1000000000000</v>
      </c>
      <c r="BN512" s="215">
        <f ca="1">IF($D512&lt;&gt;"Serviço",0,IF(AND(AUTOEVENTO="Manual",$M512=1),0,IF(OFFSET(CRONOPLE!$F$14,$M512,BN$13)="",10^12,OFFSET(CRONOPLE!$F$14,$M512,BN$13))))</f>
        <v>1000000000000</v>
      </c>
      <c r="BO512" s="215">
        <f ca="1">IF($D512&lt;&gt;"Serviço",0,IF(AND(AUTOEVENTO="Manual",$M512=1),0,IF(OFFSET(CRONOPLE!$F$14,$M512,BO$13)="",10^12,OFFSET(CRONOPLE!$F$14,$M512,BO$13))))</f>
        <v>1000000000000</v>
      </c>
      <c r="BP512" s="215">
        <f ca="1">IF($D512&lt;&gt;"Serviço",0,IF(AND(AUTOEVENTO="Manual",$M512=1),0,IF(OFFSET(CRONOPLE!$F$14,$M512,BP$13)="",10^12,OFFSET(CRONOPLE!$F$14,$M512,BP$13))))</f>
        <v>1000000000000</v>
      </c>
      <c r="BQ512" s="215">
        <f ca="1">IF($D512&lt;&gt;"Serviço",0,IF(AND(AUTOEVENTO="Manual",$M512=1),0,IF(OFFSET(CRONOPLE!$F$14,$M512,BQ$13)="",10^12,OFFSET(CRONOPLE!$F$14,$M512,BQ$13))))</f>
        <v>1000000000000</v>
      </c>
      <c r="BR512" s="215">
        <f ca="1">IF($D512&lt;&gt;"Serviço",0,IF(AND(AUTOEVENTO="Manual",$M512=1),0,IF(OFFSET(CRONOPLE!$F$14,$M512,BR$13)="",10^12,OFFSET(CRONOPLE!$F$14,$M512,BR$13))))</f>
        <v>1000000000000</v>
      </c>
      <c r="BS512" s="215">
        <f ca="1">IF($D512&lt;&gt;"Serviço",0,IF(AND(AUTOEVENTO="Manual",$M512=1),0,IF(OFFSET(CRONOPLE!$F$14,$M512,BS$13)="",10^12,OFFSET(CRONOPLE!$F$14,$M512,BS$13))))</f>
        <v>1000000000000</v>
      </c>
      <c r="BT512" s="215">
        <f ca="1">IF($D512&lt;&gt;"Serviço",0,IF(AND(AUTOEVENTO="Manual",$M512=1),0,IF(OFFSET(CRONOPLE!$F$14,$M512,BT$13)="",10^12,OFFSET(CRONOPLE!$F$14,$M512,BT$13))))</f>
        <v>1000000000000</v>
      </c>
      <c r="BV512" s="216">
        <f ca="1">IF($D512&lt;&gt;"Serviço",0,IF(OR(AND(AUTOEVENTO="Manual",$M512=1),$M512&gt;(ROW(PLE.lastrow)-ROW(PLE.firstrow))),0,IF(OFFSET(PLE!$G$14,$M512,BV$13)="",10^12,OFFSET(PLE!$G$14,$M512,BV$13))))</f>
        <v>1000000000000</v>
      </c>
      <c r="BW512" s="216">
        <f ca="1">IF($D512&lt;&gt;"Serviço",0,IF(OR(AND(AUTOEVENTO="Manual",$M512=1),$M512&gt;(ROW(PLE.lastrow)-ROW(PLE.firstrow))),0,IF(OFFSET(PLE!$G$14,$M512,BW$13)="",10^12,OFFSET(PLE!$G$14,$M512,BW$13))))</f>
        <v>1000000000000</v>
      </c>
      <c r="BX512" s="216">
        <f ca="1">IF($D512&lt;&gt;"Serviço",0,IF(OR(AND(AUTOEVENTO="Manual",$M512=1),$M512&gt;(ROW(PLE.lastrow)-ROW(PLE.firstrow))),0,IF(OFFSET(PLE!$G$14,$M512,BX$13)="",10^12,OFFSET(PLE!$G$14,$M512,BX$13))))</f>
        <v>1000000000000</v>
      </c>
      <c r="BY512" s="216">
        <f ca="1">IF($D512&lt;&gt;"Serviço",0,IF(OR(AND(AUTOEVENTO="Manual",$M512=1),$M512&gt;(ROW(PLE.lastrow)-ROW(PLE.firstrow))),0,IF(OFFSET(PLE!$G$14,$M512,BY$13)="",10^12,OFFSET(PLE!$G$14,$M512,BY$13))))</f>
        <v>1000000000000</v>
      </c>
      <c r="BZ512" s="216">
        <f ca="1">IF($D512&lt;&gt;"Serviço",0,IF(OR(AND(AUTOEVENTO="Manual",$M512=1),$M512&gt;(ROW(PLE.lastrow)-ROW(PLE.firstrow))),0,IF(OFFSET(PLE!$G$14,$M512,BZ$13)="",10^12,OFFSET(PLE!$G$14,$M512,BZ$13))))</f>
        <v>1000000000000</v>
      </c>
      <c r="CA512" s="216">
        <f ca="1">IF($D512&lt;&gt;"Serviço",0,IF(OR(AND(AUTOEVENTO="Manual",$M512=1),$M512&gt;(ROW(PLE.lastrow)-ROW(PLE.firstrow))),0,IF(OFFSET(PLE!$G$14,$M512,CA$13)="",10^12,OFFSET(PLE!$G$14,$M512,CA$13))))</f>
        <v>1000000000000</v>
      </c>
      <c r="CB512" s="216">
        <f ca="1">IF($D512&lt;&gt;"Serviço",0,IF(OR(AND(AUTOEVENTO="Manual",$M512=1),$M512&gt;(ROW(PLE.lastrow)-ROW(PLE.firstrow))),0,IF(OFFSET(PLE!$G$14,$M512,CB$13)="",10^12,OFFSET(PLE!$G$14,$M512,CB$13))))</f>
        <v>1000000000000</v>
      </c>
      <c r="CC512" s="216">
        <f ca="1">IF($D512&lt;&gt;"Serviço",0,IF(OR(AND(AUTOEVENTO="Manual",$M512=1),$M512&gt;(ROW(PLE.lastrow)-ROW(PLE.firstrow))),0,IF(OFFSET(PLE!$G$14,$M512,CC$13)="",10^12,OFFSET(PLE!$G$14,$M512,CC$13))))</f>
        <v>1000000000000</v>
      </c>
      <c r="CD512" s="216">
        <f ca="1">IF($D512&lt;&gt;"Serviço",0,IF(OR(AND(AUTOEVENTO="Manual",$M512=1),$M512&gt;(ROW(PLE.lastrow)-ROW(PLE.firstrow))),0,IF(OFFSET(PLE!$G$14,$M512,CD$13)="",10^12,OFFSET(PLE!$G$14,$M512,CD$13))))</f>
        <v>1000000000000</v>
      </c>
      <c r="CE512" s="216">
        <f ca="1">IF($D512&lt;&gt;"Serviço",0,IF(OR(AND(AUTOEVENTO="Manual",$M512=1),$M512&gt;(ROW(PLE.lastrow)-ROW(PLE.firstrow))),0,IF(OFFSET(PLE!$G$14,$M512,CE$13)="",10^12,OFFSET(PLE!$G$14,$M512,CE$13))))</f>
        <v>1000000000000</v>
      </c>
      <c r="CF512" s="216">
        <f ca="1">IF($D512&lt;&gt;"Serviço",0,IF(OR(AND(AUTOEVENTO="Manual",$M512=1),$M512&gt;(ROW(PLE.lastrow)-ROW(PLE.firstrow))),0,IF(OFFSET(PLE!$G$14,$M512,CF$13)="",10^12,OFFSET(PLE!$G$14,$M512,CF$13))))</f>
        <v>1000000000000</v>
      </c>
      <c r="CG512" s="216">
        <f ca="1">IF($D512&lt;&gt;"Serviço",0,IF(OR(AND(AUTOEVENTO="Manual",$M512=1),$M512&gt;(ROW(PLE.lastrow)-ROW(PLE.firstrow))),0,IF(OFFSET(PLE!$G$14,$M512,CG$13)="",10^12,OFFSET(PLE!$G$14,$M512,CG$13))))</f>
        <v>1000000000000</v>
      </c>
      <c r="CH512" s="216">
        <f ca="1">IF($D512&lt;&gt;"Serviço",0,IF(OR(AND(AUTOEVENTO="Manual",$M512=1),$M512&gt;(ROW(PLE.lastrow)-ROW(PLE.firstrow))),0,IF(OFFSET(PLE!$G$14,$M512,CH$13)="",10^12,OFFSET(PLE!$G$14,$M512,CH$13))))</f>
        <v>1000000000000</v>
      </c>
      <c r="CI512" s="216">
        <f ca="1">IF($D512&lt;&gt;"Serviço",0,IF(OR(AND(AUTOEVENTO="Manual",$M512=1),$M512&gt;(ROW(PLE.lastrow)-ROW(PLE.firstrow))),0,IF(OFFSET(PLE!$G$14,$M512,CI$13)="",10^12,OFFSET(PLE!$G$14,$M512,CI$13))))</f>
        <v>1000000000000</v>
      </c>
      <c r="CJ512" s="216">
        <f ca="1">IF($D512&lt;&gt;"Serviço",0,IF(OR(AND(AUTOEVENTO="Manual",$M512=1),$M512&gt;(ROW(PLE.lastrow)-ROW(PLE.firstrow))),0,IF(OFFSET(PLE!$G$14,$M512,CJ$13)="",10^12,OFFSET(PLE!$G$14,$M512,CJ$13))))</f>
        <v>1000000000000</v>
      </c>
      <c r="CK512" s="216">
        <f ca="1">IF($D512&lt;&gt;"Serviço",0,IF(OR(AND(AUTOEVENTO="Manual",$M512=1),$M512&gt;(ROW(PLE.lastrow)-ROW(PLE.firstrow))),0,IF(OFFSET(PLE!$G$14,$M512,CK$13)="",10^12,OFFSET(PLE!$G$14,$M512,CK$13))))</f>
        <v>1000000000000</v>
      </c>
      <c r="CL512" s="216">
        <f ca="1">IF($D512&lt;&gt;"Serviço",0,IF(OR(AND(AUTOEVENTO="Manual",$M512=1),$M512&gt;(ROW(PLE.lastrow)-ROW(PLE.firstrow))),0,IF(OFFSET(PLE!$G$14,$M512,CL$13)="",10^12,OFFSET(PLE!$G$14,$M512,CL$13))))</f>
        <v>1000000000000</v>
      </c>
      <c r="CM512" s="216">
        <f ca="1">IF($D512&lt;&gt;"Serviço",0,IF(OR(AND(AUTOEVENTO="Manual",$M512=1),$M512&gt;(ROW(PLE.lastrow)-ROW(PLE.firstrow))),0,IF(OFFSET(PLE!$G$14,$M512,CM$13)="",10^12,OFFSET(PLE!$G$14,$M512,CM$13))))</f>
        <v>1000000000000</v>
      </c>
    </row>
    <row r="513" spans="1:91" ht="13.2" x14ac:dyDescent="0.25">
      <c r="A513" s="9">
        <f t="shared" ca="1" si="16"/>
        <v>0</v>
      </c>
      <c r="B513" s="9">
        <f ca="1">OFFSET(ORÇAMENTO!C$15,ROW(B513)-ROW(B$15),0)</f>
        <v>3</v>
      </c>
      <c r="C513" s="9" t="str">
        <f ca="1">OFFSET(ORÇAMENTO!L$15,ROW(C513)-ROW(C$15),0)</f>
        <v>F</v>
      </c>
      <c r="D513" s="145" t="str">
        <f ca="1">OFFSET(ORÇAMENTO!N$15,ROW(D513)-ROW(D$15),0)</f>
        <v>Nível 3</v>
      </c>
      <c r="E513" s="205" t="str">
        <f ca="1">OFFSET(ORÇAMENTO!O$15,ROW(E513)-ROW(E$15),0)</f>
        <v>1.17.5.</v>
      </c>
      <c r="F513" s="206" t="str">
        <f ca="1">OFFSET(ORÇAMENTO!R$15,ROW(F513)-ROW(F$15),0)</f>
        <v>ALARME MANUAL</v>
      </c>
      <c r="G513" s="207" t="str">
        <f ca="1">IF($D513&lt;&gt;"Serviço","",OFFSET(ORÇAMENTO!S$15,ROW(G513)-ROW(G$15),0))</f>
        <v/>
      </c>
      <c r="H513" s="151">
        <f ca="1">IF($D513&lt;&gt;"Serviço",0,IF(ACOMPANHAMENTO="BM",ROUND(OFFSET(ORÇAMENTO!AJ$15,ROW(H513)-ROW(H$15),0),15-13*ORÇAMENTO!$AF$7),SUMPRODUCT(($Q$12:$AI$12&lt;&gt;"")*ROUND($Q513:$AI513,15-13*ORÇAMENTO!$AF$7))))</f>
        <v>0</v>
      </c>
      <c r="I513" s="650"/>
      <c r="K513" s="208"/>
      <c r="L513" s="209" t="s">
        <v>257</v>
      </c>
      <c r="M513" s="210" t="str">
        <f ca="1">IF($D513&lt;&gt;"Serviço","",IF(AUTOEVENTO="manual",$A513,IF(ISERROR(MATCH($A513,$A$15:OFFSET($A513,-1,0),0)),MAX($M$15:OFFSET(M513,-1,0))+1,INDEX($M$15:OFFSET(M513,-1,0),MATCH($A513,$A$15:OFFSET($A513,-1,0),0)))))</f>
        <v/>
      </c>
      <c r="N513" s="211" t="str">
        <f ca="1">IF($D513&lt;&gt;"Serviço","",IF(AUTOEVENTO="Manual",IF($A513=0,"&lt;-- defina o número do agrupador",OFFSET(EVENTOS!$D$14,$A513,0)),OFFSET($F$15,$A513,0)))</f>
        <v/>
      </c>
      <c r="O513" s="212"/>
      <c r="Q513" s="212"/>
      <c r="R513" s="213"/>
      <c r="S513" s="213"/>
      <c r="T513" s="213"/>
      <c r="U513" s="213"/>
      <c r="V513" s="213"/>
      <c r="W513" s="213"/>
      <c r="X513" s="213"/>
      <c r="Y513" s="213"/>
      <c r="Z513" s="214"/>
      <c r="AA513" s="213"/>
      <c r="AB513" s="213"/>
      <c r="AC513" s="213"/>
      <c r="AD513" s="213"/>
      <c r="AE513" s="213"/>
      <c r="AF513" s="213"/>
      <c r="AG513" s="213"/>
      <c r="AH513" s="214"/>
      <c r="AJ513" s="631">
        <f ca="1">IF(AND($D513="Serviço",AJ$12&lt;&gt;0,$H513&gt;0,OR(AUTOEVENTO&lt;&gt;"manual",$M513&lt;&gt;1)),ROUND(OFFSET($P513,0,AJ$13),15-13*ORÇAMENTO!$AF$7)/$H513*OFFSET(ORÇAMENTO!$X$15,ROW(AJ513)-ROW(AJ$15),0),0)</f>
        <v>0</v>
      </c>
      <c r="AK513" s="632">
        <f ca="1">IF(AND($D513="Serviço",AK$12&lt;&gt;0,$H513&gt;0,OR(AUTOEVENTO&lt;&gt;"manual",$M513&lt;&gt;1)),ROUND(OFFSET($P513,0,AK$13),15-13*ORÇAMENTO!$AF$7)/$H513*OFFSET(ORÇAMENTO!$X$15,ROW(AK513)-ROW(AK$15),0),0)</f>
        <v>0</v>
      </c>
      <c r="AL513" s="632">
        <f ca="1">IF(AND($D513="Serviço",AL$12&lt;&gt;0,$H513&gt;0,OR(AUTOEVENTO&lt;&gt;"manual",$M513&lt;&gt;1)),ROUND(OFFSET($P513,0,AL$13),15-13*ORÇAMENTO!$AF$7)/$H513*OFFSET(ORÇAMENTO!$X$15,ROW(AL513)-ROW(AL$15),0),0)</f>
        <v>0</v>
      </c>
      <c r="AM513" s="632">
        <f ca="1">IF(AND($D513="Serviço",AM$12&lt;&gt;0,$H513&gt;0,OR(AUTOEVENTO&lt;&gt;"manual",$M513&lt;&gt;1)),ROUND(OFFSET($P513,0,AM$13),15-13*ORÇAMENTO!$AF$7)/$H513*OFFSET(ORÇAMENTO!$X$15,ROW(AM513)-ROW(AM$15),0),0)</f>
        <v>0</v>
      </c>
      <c r="AN513" s="632">
        <f ca="1">IF(AND($D513="Serviço",AN$12&lt;&gt;0,$H513&gt;0,OR(AUTOEVENTO&lt;&gt;"manual",$M513&lt;&gt;1)),ROUND(OFFSET($P513,0,AN$13),15-13*ORÇAMENTO!$AF$7)/$H513*OFFSET(ORÇAMENTO!$X$15,ROW(AN513)-ROW(AN$15),0),0)</f>
        <v>0</v>
      </c>
      <c r="AO513" s="632">
        <f ca="1">IF(AND($D513="Serviço",AO$12&lt;&gt;0,$H513&gt;0,OR(AUTOEVENTO&lt;&gt;"manual",$M513&lt;&gt;1)),ROUND(OFFSET($P513,0,AO$13),15-13*ORÇAMENTO!$AF$7)/$H513*OFFSET(ORÇAMENTO!$X$15,ROW(AO513)-ROW(AO$15),0),0)</f>
        <v>0</v>
      </c>
      <c r="AP513" s="632">
        <f ca="1">IF(AND($D513="Serviço",AP$12&lt;&gt;0,$H513&gt;0,OR(AUTOEVENTO&lt;&gt;"manual",$M513&lt;&gt;1)),ROUND(OFFSET($P513,0,AP$13),15-13*ORÇAMENTO!$AF$7)/$H513*OFFSET(ORÇAMENTO!$X$15,ROW(AP513)-ROW(AP$15),0),0)</f>
        <v>0</v>
      </c>
      <c r="AQ513" s="632">
        <f ca="1">IF(AND($D513="Serviço",AQ$12&lt;&gt;0,$H513&gt;0,OR(AUTOEVENTO&lt;&gt;"manual",$M513&lt;&gt;1)),ROUND(OFFSET($P513,0,AQ$13),15-13*ORÇAMENTO!$AF$7)/$H513*OFFSET(ORÇAMENTO!$X$15,ROW(AQ513)-ROW(AQ$15),0),0)</f>
        <v>0</v>
      </c>
      <c r="AR513" s="632">
        <f ca="1">IF(AND($D513="Serviço",AR$12&lt;&gt;0,$H513&gt;0,OR(AUTOEVENTO&lt;&gt;"manual",$M513&lt;&gt;1)),ROUND(OFFSET($P513,0,AR$13),15-13*ORÇAMENTO!$AF$7)/$H513*OFFSET(ORÇAMENTO!$X$15,ROW(AR513)-ROW(AR$15),0),0)</f>
        <v>0</v>
      </c>
      <c r="AS513" s="633">
        <f ca="1">IF(AND($D513="Serviço",AS$12&lt;&gt;0,$H513&gt;0,OR(AUTOEVENTO&lt;&gt;"manual",$M513&lt;&gt;1)),ROUND(OFFSET($P513,0,AS$13),15-13*ORÇAMENTO!$AF$7)/$H513*OFFSET(ORÇAMENTO!$X$15,ROW(AS513)-ROW(AS$15),0),0)</f>
        <v>0</v>
      </c>
      <c r="AT513" s="632">
        <f ca="1">IF(AND($D513="Serviço",AT$12&lt;&gt;0,$H513&gt;0,OR(AUTOEVENTO&lt;&gt;"manual",$M513&lt;&gt;1)),ROUND(OFFSET($P513,0,AT$13),15-13*ORÇAMENTO!$AF$7)/$H513*OFFSET(ORÇAMENTO!$X$15,ROW(AT513)-ROW(AT$15),0),0)</f>
        <v>0</v>
      </c>
      <c r="AU513" s="632">
        <f ca="1">IF(AND($D513="Serviço",AU$12&lt;&gt;0,$H513&gt;0,OR(AUTOEVENTO&lt;&gt;"manual",$M513&lt;&gt;1)),ROUND(OFFSET($P513,0,AU$13),15-13*ORÇAMENTO!$AF$7)/$H513*OFFSET(ORÇAMENTO!$X$15,ROW(AU513)-ROW(AU$15),0),0)</f>
        <v>0</v>
      </c>
      <c r="AV513" s="632">
        <f ca="1">IF(AND($D513="Serviço",AV$12&lt;&gt;0,$H513&gt;0,OR(AUTOEVENTO&lt;&gt;"manual",$M513&lt;&gt;1)),ROUND(OFFSET($P513,0,AV$13),15-13*ORÇAMENTO!$AF$7)/$H513*OFFSET(ORÇAMENTO!$X$15,ROW(AV513)-ROW(AV$15),0),0)</f>
        <v>0</v>
      </c>
      <c r="AW513" s="632">
        <f ca="1">IF(AND($D513="Serviço",AW$12&lt;&gt;0,$H513&gt;0,OR(AUTOEVENTO&lt;&gt;"manual",$M513&lt;&gt;1)),ROUND(OFFSET($P513,0,AW$13),15-13*ORÇAMENTO!$AF$7)/$H513*OFFSET(ORÇAMENTO!$X$15,ROW(AW513)-ROW(AW$15),0),0)</f>
        <v>0</v>
      </c>
      <c r="AX513" s="632">
        <f ca="1">IF(AND($D513="Serviço",AX$12&lt;&gt;0,$H513&gt;0,OR(AUTOEVENTO&lt;&gt;"manual",$M513&lt;&gt;1)),ROUND(OFFSET($P513,0,AX$13),15-13*ORÇAMENTO!$AF$7)/$H513*OFFSET(ORÇAMENTO!$X$15,ROW(AX513)-ROW(AX$15),0),0)</f>
        <v>0</v>
      </c>
      <c r="AY513" s="632">
        <f ca="1">IF(AND($D513="Serviço",AY$12&lt;&gt;0,$H513&gt;0,OR(AUTOEVENTO&lt;&gt;"manual",$M513&lt;&gt;1)),ROUND(OFFSET($P513,0,AY$13),15-13*ORÇAMENTO!$AF$7)/$H513*OFFSET(ORÇAMENTO!$X$15,ROW(AY513)-ROW(AY$15),0),0)</f>
        <v>0</v>
      </c>
      <c r="AZ513" s="632">
        <f ca="1">IF(AND($D513="Serviço",AZ$12&lt;&gt;0,$H513&gt;0,OR(AUTOEVENTO&lt;&gt;"manual",$M513&lt;&gt;1)),ROUND(OFFSET($P513,0,AZ$13),15-13*ORÇAMENTO!$AF$7)/$H513*OFFSET(ORÇAMENTO!$X$15,ROW(AZ513)-ROW(AZ$15),0),0)</f>
        <v>0</v>
      </c>
      <c r="BA513" s="633">
        <f ca="1">IF(AND($D513="Serviço",BA$12&lt;&gt;0,$H513&gt;0,OR(AUTOEVENTO&lt;&gt;"manual",$M513&lt;&gt;1)),ROUND(OFFSET($P513,0,BA$13),15-13*ORÇAMENTO!$AF$7)/$H513*OFFSET(ORÇAMENTO!$X$15,ROW(BA513)-ROW(BA$15),0),0)</f>
        <v>0</v>
      </c>
      <c r="BC513" s="215">
        <f ca="1">IF($D513&lt;&gt;"Serviço",0,IF(AND(AUTOEVENTO="Manual",$M513=1),0,IF(OFFSET(CRONOPLE!$F$14,$M513,BC$13)="",10^12,OFFSET(CRONOPLE!$F$14,$M513,BC$13))))</f>
        <v>0</v>
      </c>
      <c r="BD513" s="215">
        <f ca="1">IF($D513&lt;&gt;"Serviço",0,IF(AND(AUTOEVENTO="Manual",$M513=1),0,IF(OFFSET(CRONOPLE!$F$14,$M513,BD$13)="",10^12,OFFSET(CRONOPLE!$F$14,$M513,BD$13))))</f>
        <v>0</v>
      </c>
      <c r="BE513" s="215">
        <f ca="1">IF($D513&lt;&gt;"Serviço",0,IF(AND(AUTOEVENTO="Manual",$M513=1),0,IF(OFFSET(CRONOPLE!$F$14,$M513,BE$13)="",10^12,OFFSET(CRONOPLE!$F$14,$M513,BE$13))))</f>
        <v>0</v>
      </c>
      <c r="BF513" s="215">
        <f ca="1">IF($D513&lt;&gt;"Serviço",0,IF(AND(AUTOEVENTO="Manual",$M513=1),0,IF(OFFSET(CRONOPLE!$F$14,$M513,BF$13)="",10^12,OFFSET(CRONOPLE!$F$14,$M513,BF$13))))</f>
        <v>0</v>
      </c>
      <c r="BG513" s="215">
        <f ca="1">IF($D513&lt;&gt;"Serviço",0,IF(AND(AUTOEVENTO="Manual",$M513=1),0,IF(OFFSET(CRONOPLE!$F$14,$M513,BG$13)="",10^12,OFFSET(CRONOPLE!$F$14,$M513,BG$13))))</f>
        <v>0</v>
      </c>
      <c r="BH513" s="215">
        <f ca="1">IF($D513&lt;&gt;"Serviço",0,IF(AND(AUTOEVENTO="Manual",$M513=1),0,IF(OFFSET(CRONOPLE!$F$14,$M513,BH$13)="",10^12,OFFSET(CRONOPLE!$F$14,$M513,BH$13))))</f>
        <v>0</v>
      </c>
      <c r="BI513" s="215">
        <f ca="1">IF($D513&lt;&gt;"Serviço",0,IF(AND(AUTOEVENTO="Manual",$M513=1),0,IF(OFFSET(CRONOPLE!$F$14,$M513,BI$13)="",10^12,OFFSET(CRONOPLE!$F$14,$M513,BI$13))))</f>
        <v>0</v>
      </c>
      <c r="BJ513" s="215">
        <f ca="1">IF($D513&lt;&gt;"Serviço",0,IF(AND(AUTOEVENTO="Manual",$M513=1),0,IF(OFFSET(CRONOPLE!$F$14,$M513,BJ$13)="",10^12,OFFSET(CRONOPLE!$F$14,$M513,BJ$13))))</f>
        <v>0</v>
      </c>
      <c r="BK513" s="215">
        <f ca="1">IF($D513&lt;&gt;"Serviço",0,IF(AND(AUTOEVENTO="Manual",$M513=1),0,IF(OFFSET(CRONOPLE!$F$14,$M513,BK$13)="",10^12,OFFSET(CRONOPLE!$F$14,$M513,BK$13))))</f>
        <v>0</v>
      </c>
      <c r="BL513" s="215">
        <f ca="1">IF($D513&lt;&gt;"Serviço",0,IF(AND(AUTOEVENTO="Manual",$M513=1),0,IF(OFFSET(CRONOPLE!$F$14,$M513,BL$13)="",10^12,OFFSET(CRONOPLE!$F$14,$M513,BL$13))))</f>
        <v>0</v>
      </c>
      <c r="BM513" s="215">
        <f ca="1">IF($D513&lt;&gt;"Serviço",0,IF(AND(AUTOEVENTO="Manual",$M513=1),0,IF(OFFSET(CRONOPLE!$F$14,$M513,BM$13)="",10^12,OFFSET(CRONOPLE!$F$14,$M513,BM$13))))</f>
        <v>0</v>
      </c>
      <c r="BN513" s="215">
        <f ca="1">IF($D513&lt;&gt;"Serviço",0,IF(AND(AUTOEVENTO="Manual",$M513=1),0,IF(OFFSET(CRONOPLE!$F$14,$M513,BN$13)="",10^12,OFFSET(CRONOPLE!$F$14,$M513,BN$13))))</f>
        <v>0</v>
      </c>
      <c r="BO513" s="215">
        <f ca="1">IF($D513&lt;&gt;"Serviço",0,IF(AND(AUTOEVENTO="Manual",$M513=1),0,IF(OFFSET(CRONOPLE!$F$14,$M513,BO$13)="",10^12,OFFSET(CRONOPLE!$F$14,$M513,BO$13))))</f>
        <v>0</v>
      </c>
      <c r="BP513" s="215">
        <f ca="1">IF($D513&lt;&gt;"Serviço",0,IF(AND(AUTOEVENTO="Manual",$M513=1),0,IF(OFFSET(CRONOPLE!$F$14,$M513,BP$13)="",10^12,OFFSET(CRONOPLE!$F$14,$M513,BP$13))))</f>
        <v>0</v>
      </c>
      <c r="BQ513" s="215">
        <f ca="1">IF($D513&lt;&gt;"Serviço",0,IF(AND(AUTOEVENTO="Manual",$M513=1),0,IF(OFFSET(CRONOPLE!$F$14,$M513,BQ$13)="",10^12,OFFSET(CRONOPLE!$F$14,$M513,BQ$13))))</f>
        <v>0</v>
      </c>
      <c r="BR513" s="215">
        <f ca="1">IF($D513&lt;&gt;"Serviço",0,IF(AND(AUTOEVENTO="Manual",$M513=1),0,IF(OFFSET(CRONOPLE!$F$14,$M513,BR$13)="",10^12,OFFSET(CRONOPLE!$F$14,$M513,BR$13))))</f>
        <v>0</v>
      </c>
      <c r="BS513" s="215">
        <f ca="1">IF($D513&lt;&gt;"Serviço",0,IF(AND(AUTOEVENTO="Manual",$M513=1),0,IF(OFFSET(CRONOPLE!$F$14,$M513,BS$13)="",10^12,OFFSET(CRONOPLE!$F$14,$M513,BS$13))))</f>
        <v>0</v>
      </c>
      <c r="BT513" s="215">
        <f ca="1">IF($D513&lt;&gt;"Serviço",0,IF(AND(AUTOEVENTO="Manual",$M513=1),0,IF(OFFSET(CRONOPLE!$F$14,$M513,BT$13)="",10^12,OFFSET(CRONOPLE!$F$14,$M513,BT$13))))</f>
        <v>0</v>
      </c>
      <c r="BV513" s="216">
        <f ca="1">IF($D513&lt;&gt;"Serviço",0,IF(OR(AND(AUTOEVENTO="Manual",$M513=1),$M513&gt;(ROW(PLE.lastrow)-ROW(PLE.firstrow))),0,IF(OFFSET(PLE!$G$14,$M513,BV$13)="",10^12,OFFSET(PLE!$G$14,$M513,BV$13))))</f>
        <v>0</v>
      </c>
      <c r="BW513" s="216">
        <f ca="1">IF($D513&lt;&gt;"Serviço",0,IF(OR(AND(AUTOEVENTO="Manual",$M513=1),$M513&gt;(ROW(PLE.lastrow)-ROW(PLE.firstrow))),0,IF(OFFSET(PLE!$G$14,$M513,BW$13)="",10^12,OFFSET(PLE!$G$14,$M513,BW$13))))</f>
        <v>0</v>
      </c>
      <c r="BX513" s="216">
        <f ca="1">IF($D513&lt;&gt;"Serviço",0,IF(OR(AND(AUTOEVENTO="Manual",$M513=1),$M513&gt;(ROW(PLE.lastrow)-ROW(PLE.firstrow))),0,IF(OFFSET(PLE!$G$14,$M513,BX$13)="",10^12,OFFSET(PLE!$G$14,$M513,BX$13))))</f>
        <v>0</v>
      </c>
      <c r="BY513" s="216">
        <f ca="1">IF($D513&lt;&gt;"Serviço",0,IF(OR(AND(AUTOEVENTO="Manual",$M513=1),$M513&gt;(ROW(PLE.lastrow)-ROW(PLE.firstrow))),0,IF(OFFSET(PLE!$G$14,$M513,BY$13)="",10^12,OFFSET(PLE!$G$14,$M513,BY$13))))</f>
        <v>0</v>
      </c>
      <c r="BZ513" s="216">
        <f ca="1">IF($D513&lt;&gt;"Serviço",0,IF(OR(AND(AUTOEVENTO="Manual",$M513=1),$M513&gt;(ROW(PLE.lastrow)-ROW(PLE.firstrow))),0,IF(OFFSET(PLE!$G$14,$M513,BZ$13)="",10^12,OFFSET(PLE!$G$14,$M513,BZ$13))))</f>
        <v>0</v>
      </c>
      <c r="CA513" s="216">
        <f ca="1">IF($D513&lt;&gt;"Serviço",0,IF(OR(AND(AUTOEVENTO="Manual",$M513=1),$M513&gt;(ROW(PLE.lastrow)-ROW(PLE.firstrow))),0,IF(OFFSET(PLE!$G$14,$M513,CA$13)="",10^12,OFFSET(PLE!$G$14,$M513,CA$13))))</f>
        <v>0</v>
      </c>
      <c r="CB513" s="216">
        <f ca="1">IF($D513&lt;&gt;"Serviço",0,IF(OR(AND(AUTOEVENTO="Manual",$M513=1),$M513&gt;(ROW(PLE.lastrow)-ROW(PLE.firstrow))),0,IF(OFFSET(PLE!$G$14,$M513,CB$13)="",10^12,OFFSET(PLE!$G$14,$M513,CB$13))))</f>
        <v>0</v>
      </c>
      <c r="CC513" s="216">
        <f ca="1">IF($D513&lt;&gt;"Serviço",0,IF(OR(AND(AUTOEVENTO="Manual",$M513=1),$M513&gt;(ROW(PLE.lastrow)-ROW(PLE.firstrow))),0,IF(OFFSET(PLE!$G$14,$M513,CC$13)="",10^12,OFFSET(PLE!$G$14,$M513,CC$13))))</f>
        <v>0</v>
      </c>
      <c r="CD513" s="216">
        <f ca="1">IF($D513&lt;&gt;"Serviço",0,IF(OR(AND(AUTOEVENTO="Manual",$M513=1),$M513&gt;(ROW(PLE.lastrow)-ROW(PLE.firstrow))),0,IF(OFFSET(PLE!$G$14,$M513,CD$13)="",10^12,OFFSET(PLE!$G$14,$M513,CD$13))))</f>
        <v>0</v>
      </c>
      <c r="CE513" s="216">
        <f ca="1">IF($D513&lt;&gt;"Serviço",0,IF(OR(AND(AUTOEVENTO="Manual",$M513=1),$M513&gt;(ROW(PLE.lastrow)-ROW(PLE.firstrow))),0,IF(OFFSET(PLE!$G$14,$M513,CE$13)="",10^12,OFFSET(PLE!$G$14,$M513,CE$13))))</f>
        <v>0</v>
      </c>
      <c r="CF513" s="216">
        <f ca="1">IF($D513&lt;&gt;"Serviço",0,IF(OR(AND(AUTOEVENTO="Manual",$M513=1),$M513&gt;(ROW(PLE.lastrow)-ROW(PLE.firstrow))),0,IF(OFFSET(PLE!$G$14,$M513,CF$13)="",10^12,OFFSET(PLE!$G$14,$M513,CF$13))))</f>
        <v>0</v>
      </c>
      <c r="CG513" s="216">
        <f ca="1">IF($D513&lt;&gt;"Serviço",0,IF(OR(AND(AUTOEVENTO="Manual",$M513=1),$M513&gt;(ROW(PLE.lastrow)-ROW(PLE.firstrow))),0,IF(OFFSET(PLE!$G$14,$M513,CG$13)="",10^12,OFFSET(PLE!$G$14,$M513,CG$13))))</f>
        <v>0</v>
      </c>
      <c r="CH513" s="216">
        <f ca="1">IF($D513&lt;&gt;"Serviço",0,IF(OR(AND(AUTOEVENTO="Manual",$M513=1),$M513&gt;(ROW(PLE.lastrow)-ROW(PLE.firstrow))),0,IF(OFFSET(PLE!$G$14,$M513,CH$13)="",10^12,OFFSET(PLE!$G$14,$M513,CH$13))))</f>
        <v>0</v>
      </c>
      <c r="CI513" s="216">
        <f ca="1">IF($D513&lt;&gt;"Serviço",0,IF(OR(AND(AUTOEVENTO="Manual",$M513=1),$M513&gt;(ROW(PLE.lastrow)-ROW(PLE.firstrow))),0,IF(OFFSET(PLE!$G$14,$M513,CI$13)="",10^12,OFFSET(PLE!$G$14,$M513,CI$13))))</f>
        <v>0</v>
      </c>
      <c r="CJ513" s="216">
        <f ca="1">IF($D513&lt;&gt;"Serviço",0,IF(OR(AND(AUTOEVENTO="Manual",$M513=1),$M513&gt;(ROW(PLE.lastrow)-ROW(PLE.firstrow))),0,IF(OFFSET(PLE!$G$14,$M513,CJ$13)="",10^12,OFFSET(PLE!$G$14,$M513,CJ$13))))</f>
        <v>0</v>
      </c>
      <c r="CK513" s="216">
        <f ca="1">IF($D513&lt;&gt;"Serviço",0,IF(OR(AND(AUTOEVENTO="Manual",$M513=1),$M513&gt;(ROW(PLE.lastrow)-ROW(PLE.firstrow))),0,IF(OFFSET(PLE!$G$14,$M513,CK$13)="",10^12,OFFSET(PLE!$G$14,$M513,CK$13))))</f>
        <v>0</v>
      </c>
      <c r="CL513" s="216">
        <f ca="1">IF($D513&lt;&gt;"Serviço",0,IF(OR(AND(AUTOEVENTO="Manual",$M513=1),$M513&gt;(ROW(PLE.lastrow)-ROW(PLE.firstrow))),0,IF(OFFSET(PLE!$G$14,$M513,CL$13)="",10^12,OFFSET(PLE!$G$14,$M513,CL$13))))</f>
        <v>0</v>
      </c>
      <c r="CM513" s="216">
        <f ca="1">IF($D513&lt;&gt;"Serviço",0,IF(OR(AND(AUTOEVENTO="Manual",$M513=1),$M513&gt;(ROW(PLE.lastrow)-ROW(PLE.firstrow))),0,IF(OFFSET(PLE!$G$14,$M513,CM$13)="",10^12,OFFSET(PLE!$G$14,$M513,CM$13))))</f>
        <v>0</v>
      </c>
    </row>
    <row r="514" spans="1:91" ht="13.2" x14ac:dyDescent="0.25">
      <c r="A514" s="9">
        <f t="shared" ca="1" si="16"/>
        <v>0</v>
      </c>
      <c r="B514" s="9" t="str">
        <f ca="1">OFFSET(ORÇAMENTO!C$15,ROW(B514)-ROW(B$15),0)</f>
        <v>S</v>
      </c>
      <c r="C514" s="9" t="str">
        <f ca="1">OFFSET(ORÇAMENTO!L$15,ROW(C514)-ROW(C$15),0)</f>
        <v/>
      </c>
      <c r="D514" s="145" t="str">
        <f ca="1">OFFSET(ORÇAMENTO!N$15,ROW(D514)-ROW(D$15),0)</f>
        <v>Serviço</v>
      </c>
      <c r="E514" s="205" t="str">
        <f ca="1">OFFSET(ORÇAMENTO!O$15,ROW(E514)-ROW(E$15),0)</f>
        <v>-</v>
      </c>
      <c r="F514" s="206" t="str">
        <f ca="1">OFFSET(ORÇAMENTO!R$15,ROW(F514)-ROW(F$15),0)</f>
        <v>(abra o arquivo 'Referência 05-2024.xls)</v>
      </c>
      <c r="G514" s="207" t="str">
        <f ca="1">IF($D514&lt;&gt;"Serviço","",OFFSET(ORÇAMENTO!S$15,ROW(G514)-ROW(G$15),0))</f>
        <v>-</v>
      </c>
      <c r="H514" s="151">
        <f ca="1">IF($D514&lt;&gt;"Serviço",0,IF(ACOMPANHAMENTO="BM",ROUND(OFFSET(ORÇAMENTO!AJ$15,ROW(H514)-ROW(H$15),0),15-13*ORÇAMENTO!$AF$7),SUMPRODUCT(($Q$12:$AI$12&lt;&gt;"")*ROUND($Q514:$AI514,15-13*ORÇAMENTO!$AF$7))))</f>
        <v>9</v>
      </c>
      <c r="I514" s="650"/>
      <c r="K514" s="208"/>
      <c r="L514" s="209" t="s">
        <v>257</v>
      </c>
      <c r="M514" s="210">
        <f ca="1">IF($D514&lt;&gt;"Serviço","",IF(AUTOEVENTO="manual",$A514,IF(ISERROR(MATCH($A514,$A$15:OFFSET($A514,-1,0),0)),MAX($M$15:OFFSET(M514,-1,0))+1,INDEX($M$15:OFFSET(M514,-1,0),MATCH($A514,$A$15:OFFSET($A514,-1,0),0)))))</f>
        <v>0</v>
      </c>
      <c r="N514" s="211" t="str">
        <f ca="1">IF($D514&lt;&gt;"Serviço","",IF(AUTOEVENTO="Manual",IF($A514=0,"&lt;-- defina o número do agrupador",OFFSET(EVENTOS!$D$14,$A514,0)),OFFSET($F$15,$A514,0)))</f>
        <v>&lt;-- defina o número do agrupador</v>
      </c>
      <c r="O514" s="212"/>
      <c r="Q514" s="212"/>
      <c r="R514" s="213"/>
      <c r="S514" s="213"/>
      <c r="T514" s="213"/>
      <c r="U514" s="213"/>
      <c r="V514" s="213"/>
      <c r="W514" s="213"/>
      <c r="X514" s="213"/>
      <c r="Y514" s="213"/>
      <c r="Z514" s="214"/>
      <c r="AA514" s="213"/>
      <c r="AB514" s="213"/>
      <c r="AC514" s="213"/>
      <c r="AD514" s="213"/>
      <c r="AE514" s="213"/>
      <c r="AF514" s="213"/>
      <c r="AG514" s="213"/>
      <c r="AH514" s="214"/>
      <c r="AJ514" s="631">
        <f ca="1">IF(AND($D514="Serviço",AJ$12&lt;&gt;0,$H514&gt;0,OR(AUTOEVENTO&lt;&gt;"manual",$M514&lt;&gt;1)),ROUND(OFFSET($P514,0,AJ$13),15-13*ORÇAMENTO!$AF$7)/$H514*OFFSET(ORÇAMENTO!$X$15,ROW(AJ514)-ROW(AJ$15),0),0)</f>
        <v>0</v>
      </c>
      <c r="AK514" s="632">
        <f ca="1">IF(AND($D514="Serviço",AK$12&lt;&gt;0,$H514&gt;0,OR(AUTOEVENTO&lt;&gt;"manual",$M514&lt;&gt;1)),ROUND(OFFSET($P514,0,AK$13),15-13*ORÇAMENTO!$AF$7)/$H514*OFFSET(ORÇAMENTO!$X$15,ROW(AK514)-ROW(AK$15),0),0)</f>
        <v>0</v>
      </c>
      <c r="AL514" s="632">
        <f ca="1">IF(AND($D514="Serviço",AL$12&lt;&gt;0,$H514&gt;0,OR(AUTOEVENTO&lt;&gt;"manual",$M514&lt;&gt;1)),ROUND(OFFSET($P514,0,AL$13),15-13*ORÇAMENTO!$AF$7)/$H514*OFFSET(ORÇAMENTO!$X$15,ROW(AL514)-ROW(AL$15),0),0)</f>
        <v>0</v>
      </c>
      <c r="AM514" s="632">
        <f ca="1">IF(AND($D514="Serviço",AM$12&lt;&gt;0,$H514&gt;0,OR(AUTOEVENTO&lt;&gt;"manual",$M514&lt;&gt;1)),ROUND(OFFSET($P514,0,AM$13),15-13*ORÇAMENTO!$AF$7)/$H514*OFFSET(ORÇAMENTO!$X$15,ROW(AM514)-ROW(AM$15),0),0)</f>
        <v>0</v>
      </c>
      <c r="AN514" s="632">
        <f ca="1">IF(AND($D514="Serviço",AN$12&lt;&gt;0,$H514&gt;0,OR(AUTOEVENTO&lt;&gt;"manual",$M514&lt;&gt;1)),ROUND(OFFSET($P514,0,AN$13),15-13*ORÇAMENTO!$AF$7)/$H514*OFFSET(ORÇAMENTO!$X$15,ROW(AN514)-ROW(AN$15),0),0)</f>
        <v>0</v>
      </c>
      <c r="AO514" s="632">
        <f ca="1">IF(AND($D514="Serviço",AO$12&lt;&gt;0,$H514&gt;0,OR(AUTOEVENTO&lt;&gt;"manual",$M514&lt;&gt;1)),ROUND(OFFSET($P514,0,AO$13),15-13*ORÇAMENTO!$AF$7)/$H514*OFFSET(ORÇAMENTO!$X$15,ROW(AO514)-ROW(AO$15),0),0)</f>
        <v>0</v>
      </c>
      <c r="AP514" s="632">
        <f ca="1">IF(AND($D514="Serviço",AP$12&lt;&gt;0,$H514&gt;0,OR(AUTOEVENTO&lt;&gt;"manual",$M514&lt;&gt;1)),ROUND(OFFSET($P514,0,AP$13),15-13*ORÇAMENTO!$AF$7)/$H514*OFFSET(ORÇAMENTO!$X$15,ROW(AP514)-ROW(AP$15),0),0)</f>
        <v>0</v>
      </c>
      <c r="AQ514" s="632">
        <f ca="1">IF(AND($D514="Serviço",AQ$12&lt;&gt;0,$H514&gt;0,OR(AUTOEVENTO&lt;&gt;"manual",$M514&lt;&gt;1)),ROUND(OFFSET($P514,0,AQ$13),15-13*ORÇAMENTO!$AF$7)/$H514*OFFSET(ORÇAMENTO!$X$15,ROW(AQ514)-ROW(AQ$15),0),0)</f>
        <v>0</v>
      </c>
      <c r="AR514" s="632">
        <f ca="1">IF(AND($D514="Serviço",AR$12&lt;&gt;0,$H514&gt;0,OR(AUTOEVENTO&lt;&gt;"manual",$M514&lt;&gt;1)),ROUND(OFFSET($P514,0,AR$13),15-13*ORÇAMENTO!$AF$7)/$H514*OFFSET(ORÇAMENTO!$X$15,ROW(AR514)-ROW(AR$15),0),0)</f>
        <v>0</v>
      </c>
      <c r="AS514" s="633">
        <f ca="1">IF(AND($D514="Serviço",AS$12&lt;&gt;0,$H514&gt;0,OR(AUTOEVENTO&lt;&gt;"manual",$M514&lt;&gt;1)),ROUND(OFFSET($P514,0,AS$13),15-13*ORÇAMENTO!$AF$7)/$H514*OFFSET(ORÇAMENTO!$X$15,ROW(AS514)-ROW(AS$15),0),0)</f>
        <v>0</v>
      </c>
      <c r="AT514" s="632">
        <f ca="1">IF(AND($D514="Serviço",AT$12&lt;&gt;0,$H514&gt;0,OR(AUTOEVENTO&lt;&gt;"manual",$M514&lt;&gt;1)),ROUND(OFFSET($P514,0,AT$13),15-13*ORÇAMENTO!$AF$7)/$H514*OFFSET(ORÇAMENTO!$X$15,ROW(AT514)-ROW(AT$15),0),0)</f>
        <v>0</v>
      </c>
      <c r="AU514" s="632">
        <f ca="1">IF(AND($D514="Serviço",AU$12&lt;&gt;0,$H514&gt;0,OR(AUTOEVENTO&lt;&gt;"manual",$M514&lt;&gt;1)),ROUND(OFFSET($P514,0,AU$13),15-13*ORÇAMENTO!$AF$7)/$H514*OFFSET(ORÇAMENTO!$X$15,ROW(AU514)-ROW(AU$15),0),0)</f>
        <v>0</v>
      </c>
      <c r="AV514" s="632">
        <f ca="1">IF(AND($D514="Serviço",AV$12&lt;&gt;0,$H514&gt;0,OR(AUTOEVENTO&lt;&gt;"manual",$M514&lt;&gt;1)),ROUND(OFFSET($P514,0,AV$13),15-13*ORÇAMENTO!$AF$7)/$H514*OFFSET(ORÇAMENTO!$X$15,ROW(AV514)-ROW(AV$15),0),0)</f>
        <v>0</v>
      </c>
      <c r="AW514" s="632">
        <f ca="1">IF(AND($D514="Serviço",AW$12&lt;&gt;0,$H514&gt;0,OR(AUTOEVENTO&lt;&gt;"manual",$M514&lt;&gt;1)),ROUND(OFFSET($P514,0,AW$13),15-13*ORÇAMENTO!$AF$7)/$H514*OFFSET(ORÇAMENTO!$X$15,ROW(AW514)-ROW(AW$15),0),0)</f>
        <v>0</v>
      </c>
      <c r="AX514" s="632">
        <f ca="1">IF(AND($D514="Serviço",AX$12&lt;&gt;0,$H514&gt;0,OR(AUTOEVENTO&lt;&gt;"manual",$M514&lt;&gt;1)),ROUND(OFFSET($P514,0,AX$13),15-13*ORÇAMENTO!$AF$7)/$H514*OFFSET(ORÇAMENTO!$X$15,ROW(AX514)-ROW(AX$15),0),0)</f>
        <v>0</v>
      </c>
      <c r="AY514" s="632">
        <f ca="1">IF(AND($D514="Serviço",AY$12&lt;&gt;0,$H514&gt;0,OR(AUTOEVENTO&lt;&gt;"manual",$M514&lt;&gt;1)),ROUND(OFFSET($P514,0,AY$13),15-13*ORÇAMENTO!$AF$7)/$H514*OFFSET(ORÇAMENTO!$X$15,ROW(AY514)-ROW(AY$15),0),0)</f>
        <v>0</v>
      </c>
      <c r="AZ514" s="632">
        <f ca="1">IF(AND($D514="Serviço",AZ$12&lt;&gt;0,$H514&gt;0,OR(AUTOEVENTO&lt;&gt;"manual",$M514&lt;&gt;1)),ROUND(OFFSET($P514,0,AZ$13),15-13*ORÇAMENTO!$AF$7)/$H514*OFFSET(ORÇAMENTO!$X$15,ROW(AZ514)-ROW(AZ$15),0),0)</f>
        <v>0</v>
      </c>
      <c r="BA514" s="633">
        <f ca="1">IF(AND($D514="Serviço",BA$12&lt;&gt;0,$H514&gt;0,OR(AUTOEVENTO&lt;&gt;"manual",$M514&lt;&gt;1)),ROUND(OFFSET($P514,0,BA$13),15-13*ORÇAMENTO!$AF$7)/$H514*OFFSET(ORÇAMENTO!$X$15,ROW(BA514)-ROW(BA$15),0),0)</f>
        <v>0</v>
      </c>
      <c r="BC514" s="215">
        <f ca="1">IF($D514&lt;&gt;"Serviço",0,IF(AND(AUTOEVENTO="Manual",$M514=1),0,IF(OFFSET(CRONOPLE!$F$14,$M514,BC$13)="",10^12,OFFSET(CRONOPLE!$F$14,$M514,BC$13))))</f>
        <v>1000000000000</v>
      </c>
      <c r="BD514" s="215">
        <f ca="1">IF($D514&lt;&gt;"Serviço",0,IF(AND(AUTOEVENTO="Manual",$M514=1),0,IF(OFFSET(CRONOPLE!$F$14,$M514,BD$13)="",10^12,OFFSET(CRONOPLE!$F$14,$M514,BD$13))))</f>
        <v>1000000000000</v>
      </c>
      <c r="BE514" s="215">
        <f ca="1">IF($D514&lt;&gt;"Serviço",0,IF(AND(AUTOEVENTO="Manual",$M514=1),0,IF(OFFSET(CRONOPLE!$F$14,$M514,BE$13)="",10^12,OFFSET(CRONOPLE!$F$14,$M514,BE$13))))</f>
        <v>1000000000000</v>
      </c>
      <c r="BF514" s="215">
        <f ca="1">IF($D514&lt;&gt;"Serviço",0,IF(AND(AUTOEVENTO="Manual",$M514=1),0,IF(OFFSET(CRONOPLE!$F$14,$M514,BF$13)="",10^12,OFFSET(CRONOPLE!$F$14,$M514,BF$13))))</f>
        <v>1000000000000</v>
      </c>
      <c r="BG514" s="215">
        <f ca="1">IF($D514&lt;&gt;"Serviço",0,IF(AND(AUTOEVENTO="Manual",$M514=1),0,IF(OFFSET(CRONOPLE!$F$14,$M514,BG$13)="",10^12,OFFSET(CRONOPLE!$F$14,$M514,BG$13))))</f>
        <v>1000000000000</v>
      </c>
      <c r="BH514" s="215">
        <f ca="1">IF($D514&lt;&gt;"Serviço",0,IF(AND(AUTOEVENTO="Manual",$M514=1),0,IF(OFFSET(CRONOPLE!$F$14,$M514,BH$13)="",10^12,OFFSET(CRONOPLE!$F$14,$M514,BH$13))))</f>
        <v>1000000000000</v>
      </c>
      <c r="BI514" s="215">
        <f ca="1">IF($D514&lt;&gt;"Serviço",0,IF(AND(AUTOEVENTO="Manual",$M514=1),0,IF(OFFSET(CRONOPLE!$F$14,$M514,BI$13)="",10^12,OFFSET(CRONOPLE!$F$14,$M514,BI$13))))</f>
        <v>1000000000000</v>
      </c>
      <c r="BJ514" s="215">
        <f ca="1">IF($D514&lt;&gt;"Serviço",0,IF(AND(AUTOEVENTO="Manual",$M514=1),0,IF(OFFSET(CRONOPLE!$F$14,$M514,BJ$13)="",10^12,OFFSET(CRONOPLE!$F$14,$M514,BJ$13))))</f>
        <v>1000000000000</v>
      </c>
      <c r="BK514" s="215">
        <f ca="1">IF($D514&lt;&gt;"Serviço",0,IF(AND(AUTOEVENTO="Manual",$M514=1),0,IF(OFFSET(CRONOPLE!$F$14,$M514,BK$13)="",10^12,OFFSET(CRONOPLE!$F$14,$M514,BK$13))))</f>
        <v>1000000000000</v>
      </c>
      <c r="BL514" s="215">
        <f ca="1">IF($D514&lt;&gt;"Serviço",0,IF(AND(AUTOEVENTO="Manual",$M514=1),0,IF(OFFSET(CRONOPLE!$F$14,$M514,BL$13)="",10^12,OFFSET(CRONOPLE!$F$14,$M514,BL$13))))</f>
        <v>1000000000000</v>
      </c>
      <c r="BM514" s="215">
        <f ca="1">IF($D514&lt;&gt;"Serviço",0,IF(AND(AUTOEVENTO="Manual",$M514=1),0,IF(OFFSET(CRONOPLE!$F$14,$M514,BM$13)="",10^12,OFFSET(CRONOPLE!$F$14,$M514,BM$13))))</f>
        <v>1000000000000</v>
      </c>
      <c r="BN514" s="215">
        <f ca="1">IF($D514&lt;&gt;"Serviço",0,IF(AND(AUTOEVENTO="Manual",$M514=1),0,IF(OFFSET(CRONOPLE!$F$14,$M514,BN$13)="",10^12,OFFSET(CRONOPLE!$F$14,$M514,BN$13))))</f>
        <v>1000000000000</v>
      </c>
      <c r="BO514" s="215">
        <f ca="1">IF($D514&lt;&gt;"Serviço",0,IF(AND(AUTOEVENTO="Manual",$M514=1),0,IF(OFFSET(CRONOPLE!$F$14,$M514,BO$13)="",10^12,OFFSET(CRONOPLE!$F$14,$M514,BO$13))))</f>
        <v>1000000000000</v>
      </c>
      <c r="BP514" s="215">
        <f ca="1">IF($D514&lt;&gt;"Serviço",0,IF(AND(AUTOEVENTO="Manual",$M514=1),0,IF(OFFSET(CRONOPLE!$F$14,$M514,BP$13)="",10^12,OFFSET(CRONOPLE!$F$14,$M514,BP$13))))</f>
        <v>1000000000000</v>
      </c>
      <c r="BQ514" s="215">
        <f ca="1">IF($D514&lt;&gt;"Serviço",0,IF(AND(AUTOEVENTO="Manual",$M514=1),0,IF(OFFSET(CRONOPLE!$F$14,$M514,BQ$13)="",10^12,OFFSET(CRONOPLE!$F$14,$M514,BQ$13))))</f>
        <v>1000000000000</v>
      </c>
      <c r="BR514" s="215">
        <f ca="1">IF($D514&lt;&gt;"Serviço",0,IF(AND(AUTOEVENTO="Manual",$M514=1),0,IF(OFFSET(CRONOPLE!$F$14,$M514,BR$13)="",10^12,OFFSET(CRONOPLE!$F$14,$M514,BR$13))))</f>
        <v>1000000000000</v>
      </c>
      <c r="BS514" s="215">
        <f ca="1">IF($D514&lt;&gt;"Serviço",0,IF(AND(AUTOEVENTO="Manual",$M514=1),0,IF(OFFSET(CRONOPLE!$F$14,$M514,BS$13)="",10^12,OFFSET(CRONOPLE!$F$14,$M514,BS$13))))</f>
        <v>1000000000000</v>
      </c>
      <c r="BT514" s="215">
        <f ca="1">IF($D514&lt;&gt;"Serviço",0,IF(AND(AUTOEVENTO="Manual",$M514=1),0,IF(OFFSET(CRONOPLE!$F$14,$M514,BT$13)="",10^12,OFFSET(CRONOPLE!$F$14,$M514,BT$13))))</f>
        <v>1000000000000</v>
      </c>
      <c r="BV514" s="216">
        <f ca="1">IF($D514&lt;&gt;"Serviço",0,IF(OR(AND(AUTOEVENTO="Manual",$M514=1),$M514&gt;(ROW(PLE.lastrow)-ROW(PLE.firstrow))),0,IF(OFFSET(PLE!$G$14,$M514,BV$13)="",10^12,OFFSET(PLE!$G$14,$M514,BV$13))))</f>
        <v>1000000000000</v>
      </c>
      <c r="BW514" s="216">
        <f ca="1">IF($D514&lt;&gt;"Serviço",0,IF(OR(AND(AUTOEVENTO="Manual",$M514=1),$M514&gt;(ROW(PLE.lastrow)-ROW(PLE.firstrow))),0,IF(OFFSET(PLE!$G$14,$M514,BW$13)="",10^12,OFFSET(PLE!$G$14,$M514,BW$13))))</f>
        <v>1000000000000</v>
      </c>
      <c r="BX514" s="216">
        <f ca="1">IF($D514&lt;&gt;"Serviço",0,IF(OR(AND(AUTOEVENTO="Manual",$M514=1),$M514&gt;(ROW(PLE.lastrow)-ROW(PLE.firstrow))),0,IF(OFFSET(PLE!$G$14,$M514,BX$13)="",10^12,OFFSET(PLE!$G$14,$M514,BX$13))))</f>
        <v>1000000000000</v>
      </c>
      <c r="BY514" s="216">
        <f ca="1">IF($D514&lt;&gt;"Serviço",0,IF(OR(AND(AUTOEVENTO="Manual",$M514=1),$M514&gt;(ROW(PLE.lastrow)-ROW(PLE.firstrow))),0,IF(OFFSET(PLE!$G$14,$M514,BY$13)="",10^12,OFFSET(PLE!$G$14,$M514,BY$13))))</f>
        <v>1000000000000</v>
      </c>
      <c r="BZ514" s="216">
        <f ca="1">IF($D514&lt;&gt;"Serviço",0,IF(OR(AND(AUTOEVENTO="Manual",$M514=1),$M514&gt;(ROW(PLE.lastrow)-ROW(PLE.firstrow))),0,IF(OFFSET(PLE!$G$14,$M514,BZ$13)="",10^12,OFFSET(PLE!$G$14,$M514,BZ$13))))</f>
        <v>1000000000000</v>
      </c>
      <c r="CA514" s="216">
        <f ca="1">IF($D514&lt;&gt;"Serviço",0,IF(OR(AND(AUTOEVENTO="Manual",$M514=1),$M514&gt;(ROW(PLE.lastrow)-ROW(PLE.firstrow))),0,IF(OFFSET(PLE!$G$14,$M514,CA$13)="",10^12,OFFSET(PLE!$G$14,$M514,CA$13))))</f>
        <v>1000000000000</v>
      </c>
      <c r="CB514" s="216">
        <f ca="1">IF($D514&lt;&gt;"Serviço",0,IF(OR(AND(AUTOEVENTO="Manual",$M514=1),$M514&gt;(ROW(PLE.lastrow)-ROW(PLE.firstrow))),0,IF(OFFSET(PLE!$G$14,$M514,CB$13)="",10^12,OFFSET(PLE!$G$14,$M514,CB$13))))</f>
        <v>1000000000000</v>
      </c>
      <c r="CC514" s="216">
        <f ca="1">IF($D514&lt;&gt;"Serviço",0,IF(OR(AND(AUTOEVENTO="Manual",$M514=1),$M514&gt;(ROW(PLE.lastrow)-ROW(PLE.firstrow))),0,IF(OFFSET(PLE!$G$14,$M514,CC$13)="",10^12,OFFSET(PLE!$G$14,$M514,CC$13))))</f>
        <v>1000000000000</v>
      </c>
      <c r="CD514" s="216">
        <f ca="1">IF($D514&lt;&gt;"Serviço",0,IF(OR(AND(AUTOEVENTO="Manual",$M514=1),$M514&gt;(ROW(PLE.lastrow)-ROW(PLE.firstrow))),0,IF(OFFSET(PLE!$G$14,$M514,CD$13)="",10^12,OFFSET(PLE!$G$14,$M514,CD$13))))</f>
        <v>1000000000000</v>
      </c>
      <c r="CE514" s="216">
        <f ca="1">IF($D514&lt;&gt;"Serviço",0,IF(OR(AND(AUTOEVENTO="Manual",$M514=1),$M514&gt;(ROW(PLE.lastrow)-ROW(PLE.firstrow))),0,IF(OFFSET(PLE!$G$14,$M514,CE$13)="",10^12,OFFSET(PLE!$G$14,$M514,CE$13))))</f>
        <v>1000000000000</v>
      </c>
      <c r="CF514" s="216">
        <f ca="1">IF($D514&lt;&gt;"Serviço",0,IF(OR(AND(AUTOEVENTO="Manual",$M514=1),$M514&gt;(ROW(PLE.lastrow)-ROW(PLE.firstrow))),0,IF(OFFSET(PLE!$G$14,$M514,CF$13)="",10^12,OFFSET(PLE!$G$14,$M514,CF$13))))</f>
        <v>1000000000000</v>
      </c>
      <c r="CG514" s="216">
        <f ca="1">IF($D514&lt;&gt;"Serviço",0,IF(OR(AND(AUTOEVENTO="Manual",$M514=1),$M514&gt;(ROW(PLE.lastrow)-ROW(PLE.firstrow))),0,IF(OFFSET(PLE!$G$14,$M514,CG$13)="",10^12,OFFSET(PLE!$G$14,$M514,CG$13))))</f>
        <v>1000000000000</v>
      </c>
      <c r="CH514" s="216">
        <f ca="1">IF($D514&lt;&gt;"Serviço",0,IF(OR(AND(AUTOEVENTO="Manual",$M514=1),$M514&gt;(ROW(PLE.lastrow)-ROW(PLE.firstrow))),0,IF(OFFSET(PLE!$G$14,$M514,CH$13)="",10^12,OFFSET(PLE!$G$14,$M514,CH$13))))</f>
        <v>1000000000000</v>
      </c>
      <c r="CI514" s="216">
        <f ca="1">IF($D514&lt;&gt;"Serviço",0,IF(OR(AND(AUTOEVENTO="Manual",$M514=1),$M514&gt;(ROW(PLE.lastrow)-ROW(PLE.firstrow))),0,IF(OFFSET(PLE!$G$14,$M514,CI$13)="",10^12,OFFSET(PLE!$G$14,$M514,CI$13))))</f>
        <v>1000000000000</v>
      </c>
      <c r="CJ514" s="216">
        <f ca="1">IF($D514&lt;&gt;"Serviço",0,IF(OR(AND(AUTOEVENTO="Manual",$M514=1),$M514&gt;(ROW(PLE.lastrow)-ROW(PLE.firstrow))),0,IF(OFFSET(PLE!$G$14,$M514,CJ$13)="",10^12,OFFSET(PLE!$G$14,$M514,CJ$13))))</f>
        <v>1000000000000</v>
      </c>
      <c r="CK514" s="216">
        <f ca="1">IF($D514&lt;&gt;"Serviço",0,IF(OR(AND(AUTOEVENTO="Manual",$M514=1),$M514&gt;(ROW(PLE.lastrow)-ROW(PLE.firstrow))),0,IF(OFFSET(PLE!$G$14,$M514,CK$13)="",10^12,OFFSET(PLE!$G$14,$M514,CK$13))))</f>
        <v>1000000000000</v>
      </c>
      <c r="CL514" s="216">
        <f ca="1">IF($D514&lt;&gt;"Serviço",0,IF(OR(AND(AUTOEVENTO="Manual",$M514=1),$M514&gt;(ROW(PLE.lastrow)-ROW(PLE.firstrow))),0,IF(OFFSET(PLE!$G$14,$M514,CL$13)="",10^12,OFFSET(PLE!$G$14,$M514,CL$13))))</f>
        <v>1000000000000</v>
      </c>
      <c r="CM514" s="216">
        <f ca="1">IF($D514&lt;&gt;"Serviço",0,IF(OR(AND(AUTOEVENTO="Manual",$M514=1),$M514&gt;(ROW(PLE.lastrow)-ROW(PLE.firstrow))),0,IF(OFFSET(PLE!$G$14,$M514,CM$13)="",10^12,OFFSET(PLE!$G$14,$M514,CM$13))))</f>
        <v>1000000000000</v>
      </c>
    </row>
    <row r="515" spans="1:91" ht="13.2" x14ac:dyDescent="0.25">
      <c r="A515" s="9">
        <f t="shared" ca="1" si="16"/>
        <v>0</v>
      </c>
      <c r="B515" s="9" t="str">
        <f ca="1">OFFSET(ORÇAMENTO!C$15,ROW(B515)-ROW(B$15),0)</f>
        <v>S</v>
      </c>
      <c r="C515" s="9" t="str">
        <f ca="1">OFFSET(ORÇAMENTO!L$15,ROW(C515)-ROW(C$15),0)</f>
        <v/>
      </c>
      <c r="D515" s="145" t="str">
        <f ca="1">OFFSET(ORÇAMENTO!N$15,ROW(D515)-ROW(D$15),0)</f>
        <v>Serviço</v>
      </c>
      <c r="E515" s="205" t="str">
        <f ca="1">OFFSET(ORÇAMENTO!O$15,ROW(E515)-ROW(E$15),0)</f>
        <v>-</v>
      </c>
      <c r="F515" s="206" t="str">
        <f ca="1">OFFSET(ORÇAMENTO!R$15,ROW(F515)-ROW(F$15),0)</f>
        <v>(abra o arquivo 'Referência 05-2024.xls)</v>
      </c>
      <c r="G515" s="207" t="str">
        <f ca="1">IF($D515&lt;&gt;"Serviço","",OFFSET(ORÇAMENTO!S$15,ROW(G515)-ROW(G$15),0))</f>
        <v>-</v>
      </c>
      <c r="H515" s="151">
        <f ca="1">IF($D515&lt;&gt;"Serviço",0,IF(ACOMPANHAMENTO="BM",ROUND(OFFSET(ORÇAMENTO!AJ$15,ROW(H515)-ROW(H$15),0),15-13*ORÇAMENTO!$AF$7),SUMPRODUCT(($Q$12:$AI$12&lt;&gt;"")*ROUND($Q515:$AI515,15-13*ORÇAMENTO!$AF$7))))</f>
        <v>7</v>
      </c>
      <c r="I515" s="650"/>
      <c r="K515" s="208"/>
      <c r="L515" s="209" t="s">
        <v>257</v>
      </c>
      <c r="M515" s="210">
        <f ca="1">IF($D515&lt;&gt;"Serviço","",IF(AUTOEVENTO="manual",$A515,IF(ISERROR(MATCH($A515,$A$15:OFFSET($A515,-1,0),0)),MAX($M$15:OFFSET(M515,-1,0))+1,INDEX($M$15:OFFSET(M515,-1,0),MATCH($A515,$A$15:OFFSET($A515,-1,0),0)))))</f>
        <v>0</v>
      </c>
      <c r="N515" s="211" t="str">
        <f ca="1">IF($D515&lt;&gt;"Serviço","",IF(AUTOEVENTO="Manual",IF($A515=0,"&lt;-- defina o número do agrupador",OFFSET(EVENTOS!$D$14,$A515,0)),OFFSET($F$15,$A515,0)))</f>
        <v>&lt;-- defina o número do agrupador</v>
      </c>
      <c r="O515" s="212"/>
      <c r="Q515" s="212"/>
      <c r="R515" s="213"/>
      <c r="S515" s="213"/>
      <c r="T515" s="213"/>
      <c r="U515" s="213"/>
      <c r="V515" s="213"/>
      <c r="W515" s="213"/>
      <c r="X515" s="213"/>
      <c r="Y515" s="213"/>
      <c r="Z515" s="214"/>
      <c r="AA515" s="213"/>
      <c r="AB515" s="213"/>
      <c r="AC515" s="213"/>
      <c r="AD515" s="213"/>
      <c r="AE515" s="213"/>
      <c r="AF515" s="213"/>
      <c r="AG515" s="213"/>
      <c r="AH515" s="214"/>
      <c r="AJ515" s="631">
        <f ca="1">IF(AND($D515="Serviço",AJ$12&lt;&gt;0,$H515&gt;0,OR(AUTOEVENTO&lt;&gt;"manual",$M515&lt;&gt;1)),ROUND(OFFSET($P515,0,AJ$13),15-13*ORÇAMENTO!$AF$7)/$H515*OFFSET(ORÇAMENTO!$X$15,ROW(AJ515)-ROW(AJ$15),0),0)</f>
        <v>0</v>
      </c>
      <c r="AK515" s="632">
        <f ca="1">IF(AND($D515="Serviço",AK$12&lt;&gt;0,$H515&gt;0,OR(AUTOEVENTO&lt;&gt;"manual",$M515&lt;&gt;1)),ROUND(OFFSET($P515,0,AK$13),15-13*ORÇAMENTO!$AF$7)/$H515*OFFSET(ORÇAMENTO!$X$15,ROW(AK515)-ROW(AK$15),0),0)</f>
        <v>0</v>
      </c>
      <c r="AL515" s="632">
        <f ca="1">IF(AND($D515="Serviço",AL$12&lt;&gt;0,$H515&gt;0,OR(AUTOEVENTO&lt;&gt;"manual",$M515&lt;&gt;1)),ROUND(OFFSET($P515,0,AL$13),15-13*ORÇAMENTO!$AF$7)/$H515*OFFSET(ORÇAMENTO!$X$15,ROW(AL515)-ROW(AL$15),0),0)</f>
        <v>0</v>
      </c>
      <c r="AM515" s="632">
        <f ca="1">IF(AND($D515="Serviço",AM$12&lt;&gt;0,$H515&gt;0,OR(AUTOEVENTO&lt;&gt;"manual",$M515&lt;&gt;1)),ROUND(OFFSET($P515,0,AM$13),15-13*ORÇAMENTO!$AF$7)/$H515*OFFSET(ORÇAMENTO!$X$15,ROW(AM515)-ROW(AM$15),0),0)</f>
        <v>0</v>
      </c>
      <c r="AN515" s="632">
        <f ca="1">IF(AND($D515="Serviço",AN$12&lt;&gt;0,$H515&gt;0,OR(AUTOEVENTO&lt;&gt;"manual",$M515&lt;&gt;1)),ROUND(OFFSET($P515,0,AN$13),15-13*ORÇAMENTO!$AF$7)/$H515*OFFSET(ORÇAMENTO!$X$15,ROW(AN515)-ROW(AN$15),0),0)</f>
        <v>0</v>
      </c>
      <c r="AO515" s="632">
        <f ca="1">IF(AND($D515="Serviço",AO$12&lt;&gt;0,$H515&gt;0,OR(AUTOEVENTO&lt;&gt;"manual",$M515&lt;&gt;1)),ROUND(OFFSET($P515,0,AO$13),15-13*ORÇAMENTO!$AF$7)/$H515*OFFSET(ORÇAMENTO!$X$15,ROW(AO515)-ROW(AO$15),0),0)</f>
        <v>0</v>
      </c>
      <c r="AP515" s="632">
        <f ca="1">IF(AND($D515="Serviço",AP$12&lt;&gt;0,$H515&gt;0,OR(AUTOEVENTO&lt;&gt;"manual",$M515&lt;&gt;1)),ROUND(OFFSET($P515,0,AP$13),15-13*ORÇAMENTO!$AF$7)/$H515*OFFSET(ORÇAMENTO!$X$15,ROW(AP515)-ROW(AP$15),0),0)</f>
        <v>0</v>
      </c>
      <c r="AQ515" s="632">
        <f ca="1">IF(AND($D515="Serviço",AQ$12&lt;&gt;0,$H515&gt;0,OR(AUTOEVENTO&lt;&gt;"manual",$M515&lt;&gt;1)),ROUND(OFFSET($P515,0,AQ$13),15-13*ORÇAMENTO!$AF$7)/$H515*OFFSET(ORÇAMENTO!$X$15,ROW(AQ515)-ROW(AQ$15),0),0)</f>
        <v>0</v>
      </c>
      <c r="AR515" s="632">
        <f ca="1">IF(AND($D515="Serviço",AR$12&lt;&gt;0,$H515&gt;0,OR(AUTOEVENTO&lt;&gt;"manual",$M515&lt;&gt;1)),ROUND(OFFSET($P515,0,AR$13),15-13*ORÇAMENTO!$AF$7)/$H515*OFFSET(ORÇAMENTO!$X$15,ROW(AR515)-ROW(AR$15),0),0)</f>
        <v>0</v>
      </c>
      <c r="AS515" s="633">
        <f ca="1">IF(AND($D515="Serviço",AS$12&lt;&gt;0,$H515&gt;0,OR(AUTOEVENTO&lt;&gt;"manual",$M515&lt;&gt;1)),ROUND(OFFSET($P515,0,AS$13),15-13*ORÇAMENTO!$AF$7)/$H515*OFFSET(ORÇAMENTO!$X$15,ROW(AS515)-ROW(AS$15),0),0)</f>
        <v>0</v>
      </c>
      <c r="AT515" s="632">
        <f ca="1">IF(AND($D515="Serviço",AT$12&lt;&gt;0,$H515&gt;0,OR(AUTOEVENTO&lt;&gt;"manual",$M515&lt;&gt;1)),ROUND(OFFSET($P515,0,AT$13),15-13*ORÇAMENTO!$AF$7)/$H515*OFFSET(ORÇAMENTO!$X$15,ROW(AT515)-ROW(AT$15),0),0)</f>
        <v>0</v>
      </c>
      <c r="AU515" s="632">
        <f ca="1">IF(AND($D515="Serviço",AU$12&lt;&gt;0,$H515&gt;0,OR(AUTOEVENTO&lt;&gt;"manual",$M515&lt;&gt;1)),ROUND(OFFSET($P515,0,AU$13),15-13*ORÇAMENTO!$AF$7)/$H515*OFFSET(ORÇAMENTO!$X$15,ROW(AU515)-ROW(AU$15),0),0)</f>
        <v>0</v>
      </c>
      <c r="AV515" s="632">
        <f ca="1">IF(AND($D515="Serviço",AV$12&lt;&gt;0,$H515&gt;0,OR(AUTOEVENTO&lt;&gt;"manual",$M515&lt;&gt;1)),ROUND(OFFSET($P515,0,AV$13),15-13*ORÇAMENTO!$AF$7)/$H515*OFFSET(ORÇAMENTO!$X$15,ROW(AV515)-ROW(AV$15),0),0)</f>
        <v>0</v>
      </c>
      <c r="AW515" s="632">
        <f ca="1">IF(AND($D515="Serviço",AW$12&lt;&gt;0,$H515&gt;0,OR(AUTOEVENTO&lt;&gt;"manual",$M515&lt;&gt;1)),ROUND(OFFSET($P515,0,AW$13),15-13*ORÇAMENTO!$AF$7)/$H515*OFFSET(ORÇAMENTO!$X$15,ROW(AW515)-ROW(AW$15),0),0)</f>
        <v>0</v>
      </c>
      <c r="AX515" s="632">
        <f ca="1">IF(AND($D515="Serviço",AX$12&lt;&gt;0,$H515&gt;0,OR(AUTOEVENTO&lt;&gt;"manual",$M515&lt;&gt;1)),ROUND(OFFSET($P515,0,AX$13),15-13*ORÇAMENTO!$AF$7)/$H515*OFFSET(ORÇAMENTO!$X$15,ROW(AX515)-ROW(AX$15),0),0)</f>
        <v>0</v>
      </c>
      <c r="AY515" s="632">
        <f ca="1">IF(AND($D515="Serviço",AY$12&lt;&gt;0,$H515&gt;0,OR(AUTOEVENTO&lt;&gt;"manual",$M515&lt;&gt;1)),ROUND(OFFSET($P515,0,AY$13),15-13*ORÇAMENTO!$AF$7)/$H515*OFFSET(ORÇAMENTO!$X$15,ROW(AY515)-ROW(AY$15),0),0)</f>
        <v>0</v>
      </c>
      <c r="AZ515" s="632">
        <f ca="1">IF(AND($D515="Serviço",AZ$12&lt;&gt;0,$H515&gt;0,OR(AUTOEVENTO&lt;&gt;"manual",$M515&lt;&gt;1)),ROUND(OFFSET($P515,0,AZ$13),15-13*ORÇAMENTO!$AF$7)/$H515*OFFSET(ORÇAMENTO!$X$15,ROW(AZ515)-ROW(AZ$15),0),0)</f>
        <v>0</v>
      </c>
      <c r="BA515" s="633">
        <f ca="1">IF(AND($D515="Serviço",BA$12&lt;&gt;0,$H515&gt;0,OR(AUTOEVENTO&lt;&gt;"manual",$M515&lt;&gt;1)),ROUND(OFFSET($P515,0,BA$13),15-13*ORÇAMENTO!$AF$7)/$H515*OFFSET(ORÇAMENTO!$X$15,ROW(BA515)-ROW(BA$15),0),0)</f>
        <v>0</v>
      </c>
      <c r="BC515" s="215">
        <f ca="1">IF($D515&lt;&gt;"Serviço",0,IF(AND(AUTOEVENTO="Manual",$M515=1),0,IF(OFFSET(CRONOPLE!$F$14,$M515,BC$13)="",10^12,OFFSET(CRONOPLE!$F$14,$M515,BC$13))))</f>
        <v>1000000000000</v>
      </c>
      <c r="BD515" s="215">
        <f ca="1">IF($D515&lt;&gt;"Serviço",0,IF(AND(AUTOEVENTO="Manual",$M515=1),0,IF(OFFSET(CRONOPLE!$F$14,$M515,BD$13)="",10^12,OFFSET(CRONOPLE!$F$14,$M515,BD$13))))</f>
        <v>1000000000000</v>
      </c>
      <c r="BE515" s="215">
        <f ca="1">IF($D515&lt;&gt;"Serviço",0,IF(AND(AUTOEVENTO="Manual",$M515=1),0,IF(OFFSET(CRONOPLE!$F$14,$M515,BE$13)="",10^12,OFFSET(CRONOPLE!$F$14,$M515,BE$13))))</f>
        <v>1000000000000</v>
      </c>
      <c r="BF515" s="215">
        <f ca="1">IF($D515&lt;&gt;"Serviço",0,IF(AND(AUTOEVENTO="Manual",$M515=1),0,IF(OFFSET(CRONOPLE!$F$14,$M515,BF$13)="",10^12,OFFSET(CRONOPLE!$F$14,$M515,BF$13))))</f>
        <v>1000000000000</v>
      </c>
      <c r="BG515" s="215">
        <f ca="1">IF($D515&lt;&gt;"Serviço",0,IF(AND(AUTOEVENTO="Manual",$M515=1),0,IF(OFFSET(CRONOPLE!$F$14,$M515,BG$13)="",10^12,OFFSET(CRONOPLE!$F$14,$M515,BG$13))))</f>
        <v>1000000000000</v>
      </c>
      <c r="BH515" s="215">
        <f ca="1">IF($D515&lt;&gt;"Serviço",0,IF(AND(AUTOEVENTO="Manual",$M515=1),0,IF(OFFSET(CRONOPLE!$F$14,$M515,BH$13)="",10^12,OFFSET(CRONOPLE!$F$14,$M515,BH$13))))</f>
        <v>1000000000000</v>
      </c>
      <c r="BI515" s="215">
        <f ca="1">IF($D515&lt;&gt;"Serviço",0,IF(AND(AUTOEVENTO="Manual",$M515=1),0,IF(OFFSET(CRONOPLE!$F$14,$M515,BI$13)="",10^12,OFFSET(CRONOPLE!$F$14,$M515,BI$13))))</f>
        <v>1000000000000</v>
      </c>
      <c r="BJ515" s="215">
        <f ca="1">IF($D515&lt;&gt;"Serviço",0,IF(AND(AUTOEVENTO="Manual",$M515=1),0,IF(OFFSET(CRONOPLE!$F$14,$M515,BJ$13)="",10^12,OFFSET(CRONOPLE!$F$14,$M515,BJ$13))))</f>
        <v>1000000000000</v>
      </c>
      <c r="BK515" s="215">
        <f ca="1">IF($D515&lt;&gt;"Serviço",0,IF(AND(AUTOEVENTO="Manual",$M515=1),0,IF(OFFSET(CRONOPLE!$F$14,$M515,BK$13)="",10^12,OFFSET(CRONOPLE!$F$14,$M515,BK$13))))</f>
        <v>1000000000000</v>
      </c>
      <c r="BL515" s="215">
        <f ca="1">IF($D515&lt;&gt;"Serviço",0,IF(AND(AUTOEVENTO="Manual",$M515=1),0,IF(OFFSET(CRONOPLE!$F$14,$M515,BL$13)="",10^12,OFFSET(CRONOPLE!$F$14,$M515,BL$13))))</f>
        <v>1000000000000</v>
      </c>
      <c r="BM515" s="215">
        <f ca="1">IF($D515&lt;&gt;"Serviço",0,IF(AND(AUTOEVENTO="Manual",$M515=1),0,IF(OFFSET(CRONOPLE!$F$14,$M515,BM$13)="",10^12,OFFSET(CRONOPLE!$F$14,$M515,BM$13))))</f>
        <v>1000000000000</v>
      </c>
      <c r="BN515" s="215">
        <f ca="1">IF($D515&lt;&gt;"Serviço",0,IF(AND(AUTOEVENTO="Manual",$M515=1),0,IF(OFFSET(CRONOPLE!$F$14,$M515,BN$13)="",10^12,OFFSET(CRONOPLE!$F$14,$M515,BN$13))))</f>
        <v>1000000000000</v>
      </c>
      <c r="BO515" s="215">
        <f ca="1">IF($D515&lt;&gt;"Serviço",0,IF(AND(AUTOEVENTO="Manual",$M515=1),0,IF(OFFSET(CRONOPLE!$F$14,$M515,BO$13)="",10^12,OFFSET(CRONOPLE!$F$14,$M515,BO$13))))</f>
        <v>1000000000000</v>
      </c>
      <c r="BP515" s="215">
        <f ca="1">IF($D515&lt;&gt;"Serviço",0,IF(AND(AUTOEVENTO="Manual",$M515=1),0,IF(OFFSET(CRONOPLE!$F$14,$M515,BP$13)="",10^12,OFFSET(CRONOPLE!$F$14,$M515,BP$13))))</f>
        <v>1000000000000</v>
      </c>
      <c r="BQ515" s="215">
        <f ca="1">IF($D515&lt;&gt;"Serviço",0,IF(AND(AUTOEVENTO="Manual",$M515=1),0,IF(OFFSET(CRONOPLE!$F$14,$M515,BQ$13)="",10^12,OFFSET(CRONOPLE!$F$14,$M515,BQ$13))))</f>
        <v>1000000000000</v>
      </c>
      <c r="BR515" s="215">
        <f ca="1">IF($D515&lt;&gt;"Serviço",0,IF(AND(AUTOEVENTO="Manual",$M515=1),0,IF(OFFSET(CRONOPLE!$F$14,$M515,BR$13)="",10^12,OFFSET(CRONOPLE!$F$14,$M515,BR$13))))</f>
        <v>1000000000000</v>
      </c>
      <c r="BS515" s="215">
        <f ca="1">IF($D515&lt;&gt;"Serviço",0,IF(AND(AUTOEVENTO="Manual",$M515=1),0,IF(OFFSET(CRONOPLE!$F$14,$M515,BS$13)="",10^12,OFFSET(CRONOPLE!$F$14,$M515,BS$13))))</f>
        <v>1000000000000</v>
      </c>
      <c r="BT515" s="215">
        <f ca="1">IF($D515&lt;&gt;"Serviço",0,IF(AND(AUTOEVENTO="Manual",$M515=1),0,IF(OFFSET(CRONOPLE!$F$14,$M515,BT$13)="",10^12,OFFSET(CRONOPLE!$F$14,$M515,BT$13))))</f>
        <v>1000000000000</v>
      </c>
      <c r="BV515" s="216">
        <f ca="1">IF($D515&lt;&gt;"Serviço",0,IF(OR(AND(AUTOEVENTO="Manual",$M515=1),$M515&gt;(ROW(PLE.lastrow)-ROW(PLE.firstrow))),0,IF(OFFSET(PLE!$G$14,$M515,BV$13)="",10^12,OFFSET(PLE!$G$14,$M515,BV$13))))</f>
        <v>1000000000000</v>
      </c>
      <c r="BW515" s="216">
        <f ca="1">IF($D515&lt;&gt;"Serviço",0,IF(OR(AND(AUTOEVENTO="Manual",$M515=1),$M515&gt;(ROW(PLE.lastrow)-ROW(PLE.firstrow))),0,IF(OFFSET(PLE!$G$14,$M515,BW$13)="",10^12,OFFSET(PLE!$G$14,$M515,BW$13))))</f>
        <v>1000000000000</v>
      </c>
      <c r="BX515" s="216">
        <f ca="1">IF($D515&lt;&gt;"Serviço",0,IF(OR(AND(AUTOEVENTO="Manual",$M515=1),$M515&gt;(ROW(PLE.lastrow)-ROW(PLE.firstrow))),0,IF(OFFSET(PLE!$G$14,$M515,BX$13)="",10^12,OFFSET(PLE!$G$14,$M515,BX$13))))</f>
        <v>1000000000000</v>
      </c>
      <c r="BY515" s="216">
        <f ca="1">IF($D515&lt;&gt;"Serviço",0,IF(OR(AND(AUTOEVENTO="Manual",$M515=1),$M515&gt;(ROW(PLE.lastrow)-ROW(PLE.firstrow))),0,IF(OFFSET(PLE!$G$14,$M515,BY$13)="",10^12,OFFSET(PLE!$G$14,$M515,BY$13))))</f>
        <v>1000000000000</v>
      </c>
      <c r="BZ515" s="216">
        <f ca="1">IF($D515&lt;&gt;"Serviço",0,IF(OR(AND(AUTOEVENTO="Manual",$M515=1),$M515&gt;(ROW(PLE.lastrow)-ROW(PLE.firstrow))),0,IF(OFFSET(PLE!$G$14,$M515,BZ$13)="",10^12,OFFSET(PLE!$G$14,$M515,BZ$13))))</f>
        <v>1000000000000</v>
      </c>
      <c r="CA515" s="216">
        <f ca="1">IF($D515&lt;&gt;"Serviço",0,IF(OR(AND(AUTOEVENTO="Manual",$M515=1),$M515&gt;(ROW(PLE.lastrow)-ROW(PLE.firstrow))),0,IF(OFFSET(PLE!$G$14,$M515,CA$13)="",10^12,OFFSET(PLE!$G$14,$M515,CA$13))))</f>
        <v>1000000000000</v>
      </c>
      <c r="CB515" s="216">
        <f ca="1">IF($D515&lt;&gt;"Serviço",0,IF(OR(AND(AUTOEVENTO="Manual",$M515=1),$M515&gt;(ROW(PLE.lastrow)-ROW(PLE.firstrow))),0,IF(OFFSET(PLE!$G$14,$M515,CB$13)="",10^12,OFFSET(PLE!$G$14,$M515,CB$13))))</f>
        <v>1000000000000</v>
      </c>
      <c r="CC515" s="216">
        <f ca="1">IF($D515&lt;&gt;"Serviço",0,IF(OR(AND(AUTOEVENTO="Manual",$M515=1),$M515&gt;(ROW(PLE.lastrow)-ROW(PLE.firstrow))),0,IF(OFFSET(PLE!$G$14,$M515,CC$13)="",10^12,OFFSET(PLE!$G$14,$M515,CC$13))))</f>
        <v>1000000000000</v>
      </c>
      <c r="CD515" s="216">
        <f ca="1">IF($D515&lt;&gt;"Serviço",0,IF(OR(AND(AUTOEVENTO="Manual",$M515=1),$M515&gt;(ROW(PLE.lastrow)-ROW(PLE.firstrow))),0,IF(OFFSET(PLE!$G$14,$M515,CD$13)="",10^12,OFFSET(PLE!$G$14,$M515,CD$13))))</f>
        <v>1000000000000</v>
      </c>
      <c r="CE515" s="216">
        <f ca="1">IF($D515&lt;&gt;"Serviço",0,IF(OR(AND(AUTOEVENTO="Manual",$M515=1),$M515&gt;(ROW(PLE.lastrow)-ROW(PLE.firstrow))),0,IF(OFFSET(PLE!$G$14,$M515,CE$13)="",10^12,OFFSET(PLE!$G$14,$M515,CE$13))))</f>
        <v>1000000000000</v>
      </c>
      <c r="CF515" s="216">
        <f ca="1">IF($D515&lt;&gt;"Serviço",0,IF(OR(AND(AUTOEVENTO="Manual",$M515=1),$M515&gt;(ROW(PLE.lastrow)-ROW(PLE.firstrow))),0,IF(OFFSET(PLE!$G$14,$M515,CF$13)="",10^12,OFFSET(PLE!$G$14,$M515,CF$13))))</f>
        <v>1000000000000</v>
      </c>
      <c r="CG515" s="216">
        <f ca="1">IF($D515&lt;&gt;"Serviço",0,IF(OR(AND(AUTOEVENTO="Manual",$M515=1),$M515&gt;(ROW(PLE.lastrow)-ROW(PLE.firstrow))),0,IF(OFFSET(PLE!$G$14,$M515,CG$13)="",10^12,OFFSET(PLE!$G$14,$M515,CG$13))))</f>
        <v>1000000000000</v>
      </c>
      <c r="CH515" s="216">
        <f ca="1">IF($D515&lt;&gt;"Serviço",0,IF(OR(AND(AUTOEVENTO="Manual",$M515=1),$M515&gt;(ROW(PLE.lastrow)-ROW(PLE.firstrow))),0,IF(OFFSET(PLE!$G$14,$M515,CH$13)="",10^12,OFFSET(PLE!$G$14,$M515,CH$13))))</f>
        <v>1000000000000</v>
      </c>
      <c r="CI515" s="216">
        <f ca="1">IF($D515&lt;&gt;"Serviço",0,IF(OR(AND(AUTOEVENTO="Manual",$M515=1),$M515&gt;(ROW(PLE.lastrow)-ROW(PLE.firstrow))),0,IF(OFFSET(PLE!$G$14,$M515,CI$13)="",10^12,OFFSET(PLE!$G$14,$M515,CI$13))))</f>
        <v>1000000000000</v>
      </c>
      <c r="CJ515" s="216">
        <f ca="1">IF($D515&lt;&gt;"Serviço",0,IF(OR(AND(AUTOEVENTO="Manual",$M515=1),$M515&gt;(ROW(PLE.lastrow)-ROW(PLE.firstrow))),0,IF(OFFSET(PLE!$G$14,$M515,CJ$13)="",10^12,OFFSET(PLE!$G$14,$M515,CJ$13))))</f>
        <v>1000000000000</v>
      </c>
      <c r="CK515" s="216">
        <f ca="1">IF($D515&lt;&gt;"Serviço",0,IF(OR(AND(AUTOEVENTO="Manual",$M515=1),$M515&gt;(ROW(PLE.lastrow)-ROW(PLE.firstrow))),0,IF(OFFSET(PLE!$G$14,$M515,CK$13)="",10^12,OFFSET(PLE!$G$14,$M515,CK$13))))</f>
        <v>1000000000000</v>
      </c>
      <c r="CL515" s="216">
        <f ca="1">IF($D515&lt;&gt;"Serviço",0,IF(OR(AND(AUTOEVENTO="Manual",$M515=1),$M515&gt;(ROW(PLE.lastrow)-ROW(PLE.firstrow))),0,IF(OFFSET(PLE!$G$14,$M515,CL$13)="",10^12,OFFSET(PLE!$G$14,$M515,CL$13))))</f>
        <v>1000000000000</v>
      </c>
      <c r="CM515" s="216">
        <f ca="1">IF($D515&lt;&gt;"Serviço",0,IF(OR(AND(AUTOEVENTO="Manual",$M515=1),$M515&gt;(ROW(PLE.lastrow)-ROW(PLE.firstrow))),0,IF(OFFSET(PLE!$G$14,$M515,CM$13)="",10^12,OFFSET(PLE!$G$14,$M515,CM$13))))</f>
        <v>1000000000000</v>
      </c>
    </row>
    <row r="516" spans="1:91" ht="13.2" x14ac:dyDescent="0.25">
      <c r="A516" s="9">
        <f t="shared" ca="1" si="16"/>
        <v>0</v>
      </c>
      <c r="B516" s="9" t="str">
        <f ca="1">OFFSET(ORÇAMENTO!C$15,ROW(B516)-ROW(B$15),0)</f>
        <v>S</v>
      </c>
      <c r="C516" s="9" t="str">
        <f ca="1">OFFSET(ORÇAMENTO!L$15,ROW(C516)-ROW(C$15),0)</f>
        <v/>
      </c>
      <c r="D516" s="145" t="str">
        <f ca="1">OFFSET(ORÇAMENTO!N$15,ROW(D516)-ROW(D$15),0)</f>
        <v>Serviço</v>
      </c>
      <c r="E516" s="205" t="str">
        <f ca="1">OFFSET(ORÇAMENTO!O$15,ROW(E516)-ROW(E$15),0)</f>
        <v>-</v>
      </c>
      <c r="F516" s="206" t="str">
        <f ca="1">OFFSET(ORÇAMENTO!R$15,ROW(F516)-ROW(F$15),0)</f>
        <v>(abra o arquivo 'Referência 05-2024.xls)</v>
      </c>
      <c r="G516" s="207" t="str">
        <f ca="1">IF($D516&lt;&gt;"Serviço","",OFFSET(ORÇAMENTO!S$15,ROW(G516)-ROW(G$15),0))</f>
        <v>-</v>
      </c>
      <c r="H516" s="151">
        <f ca="1">IF($D516&lt;&gt;"Serviço",0,IF(ACOMPANHAMENTO="BM",ROUND(OFFSET(ORÇAMENTO!AJ$15,ROW(H516)-ROW(H$15),0),15-13*ORÇAMENTO!$AF$7),SUMPRODUCT(($Q$12:$AI$12&lt;&gt;"")*ROUND($Q516:$AI516,15-13*ORÇAMENTO!$AF$7))))</f>
        <v>456</v>
      </c>
      <c r="I516" s="650"/>
      <c r="K516" s="208"/>
      <c r="L516" s="209" t="s">
        <v>257</v>
      </c>
      <c r="M516" s="210">
        <f ca="1">IF($D516&lt;&gt;"Serviço","",IF(AUTOEVENTO="manual",$A516,IF(ISERROR(MATCH($A516,$A$15:OFFSET($A516,-1,0),0)),MAX($M$15:OFFSET(M516,-1,0))+1,INDEX($M$15:OFFSET(M516,-1,0),MATCH($A516,$A$15:OFFSET($A516,-1,0),0)))))</f>
        <v>0</v>
      </c>
      <c r="N516" s="211" t="str">
        <f ca="1">IF($D516&lt;&gt;"Serviço","",IF(AUTOEVENTO="Manual",IF($A516=0,"&lt;-- defina o número do agrupador",OFFSET(EVENTOS!$D$14,$A516,0)),OFFSET($F$15,$A516,0)))</f>
        <v>&lt;-- defina o número do agrupador</v>
      </c>
      <c r="O516" s="212"/>
      <c r="Q516" s="212"/>
      <c r="R516" s="213"/>
      <c r="S516" s="213"/>
      <c r="T516" s="213"/>
      <c r="U516" s="213"/>
      <c r="V516" s="213"/>
      <c r="W516" s="213"/>
      <c r="X516" s="213"/>
      <c r="Y516" s="213"/>
      <c r="Z516" s="214"/>
      <c r="AA516" s="213"/>
      <c r="AB516" s="213"/>
      <c r="AC516" s="213"/>
      <c r="AD516" s="213"/>
      <c r="AE516" s="213"/>
      <c r="AF516" s="213"/>
      <c r="AG516" s="213"/>
      <c r="AH516" s="214"/>
      <c r="AJ516" s="631">
        <f ca="1">IF(AND($D516="Serviço",AJ$12&lt;&gt;0,$H516&gt;0,OR(AUTOEVENTO&lt;&gt;"manual",$M516&lt;&gt;1)),ROUND(OFFSET($P516,0,AJ$13),15-13*ORÇAMENTO!$AF$7)/$H516*OFFSET(ORÇAMENTO!$X$15,ROW(AJ516)-ROW(AJ$15),0),0)</f>
        <v>0</v>
      </c>
      <c r="AK516" s="632">
        <f ca="1">IF(AND($D516="Serviço",AK$12&lt;&gt;0,$H516&gt;0,OR(AUTOEVENTO&lt;&gt;"manual",$M516&lt;&gt;1)),ROUND(OFFSET($P516,0,AK$13),15-13*ORÇAMENTO!$AF$7)/$H516*OFFSET(ORÇAMENTO!$X$15,ROW(AK516)-ROW(AK$15),0),0)</f>
        <v>0</v>
      </c>
      <c r="AL516" s="632">
        <f ca="1">IF(AND($D516="Serviço",AL$12&lt;&gt;0,$H516&gt;0,OR(AUTOEVENTO&lt;&gt;"manual",$M516&lt;&gt;1)),ROUND(OFFSET($P516,0,AL$13),15-13*ORÇAMENTO!$AF$7)/$H516*OFFSET(ORÇAMENTO!$X$15,ROW(AL516)-ROW(AL$15),0),0)</f>
        <v>0</v>
      </c>
      <c r="AM516" s="632">
        <f ca="1">IF(AND($D516="Serviço",AM$12&lt;&gt;0,$H516&gt;0,OR(AUTOEVENTO&lt;&gt;"manual",$M516&lt;&gt;1)),ROUND(OFFSET($P516,0,AM$13),15-13*ORÇAMENTO!$AF$7)/$H516*OFFSET(ORÇAMENTO!$X$15,ROW(AM516)-ROW(AM$15),0),0)</f>
        <v>0</v>
      </c>
      <c r="AN516" s="632">
        <f ca="1">IF(AND($D516="Serviço",AN$12&lt;&gt;0,$H516&gt;0,OR(AUTOEVENTO&lt;&gt;"manual",$M516&lt;&gt;1)),ROUND(OFFSET($P516,0,AN$13),15-13*ORÇAMENTO!$AF$7)/$H516*OFFSET(ORÇAMENTO!$X$15,ROW(AN516)-ROW(AN$15),0),0)</f>
        <v>0</v>
      </c>
      <c r="AO516" s="632">
        <f ca="1">IF(AND($D516="Serviço",AO$12&lt;&gt;0,$H516&gt;0,OR(AUTOEVENTO&lt;&gt;"manual",$M516&lt;&gt;1)),ROUND(OFFSET($P516,0,AO$13),15-13*ORÇAMENTO!$AF$7)/$H516*OFFSET(ORÇAMENTO!$X$15,ROW(AO516)-ROW(AO$15),0),0)</f>
        <v>0</v>
      </c>
      <c r="AP516" s="632">
        <f ca="1">IF(AND($D516="Serviço",AP$12&lt;&gt;0,$H516&gt;0,OR(AUTOEVENTO&lt;&gt;"manual",$M516&lt;&gt;1)),ROUND(OFFSET($P516,0,AP$13),15-13*ORÇAMENTO!$AF$7)/$H516*OFFSET(ORÇAMENTO!$X$15,ROW(AP516)-ROW(AP$15),0),0)</f>
        <v>0</v>
      </c>
      <c r="AQ516" s="632">
        <f ca="1">IF(AND($D516="Serviço",AQ$12&lt;&gt;0,$H516&gt;0,OR(AUTOEVENTO&lt;&gt;"manual",$M516&lt;&gt;1)),ROUND(OFFSET($P516,0,AQ$13),15-13*ORÇAMENTO!$AF$7)/$H516*OFFSET(ORÇAMENTO!$X$15,ROW(AQ516)-ROW(AQ$15),0),0)</f>
        <v>0</v>
      </c>
      <c r="AR516" s="632">
        <f ca="1">IF(AND($D516="Serviço",AR$12&lt;&gt;0,$H516&gt;0,OR(AUTOEVENTO&lt;&gt;"manual",$M516&lt;&gt;1)),ROUND(OFFSET($P516,0,AR$13),15-13*ORÇAMENTO!$AF$7)/$H516*OFFSET(ORÇAMENTO!$X$15,ROW(AR516)-ROW(AR$15),0),0)</f>
        <v>0</v>
      </c>
      <c r="AS516" s="633">
        <f ca="1">IF(AND($D516="Serviço",AS$12&lt;&gt;0,$H516&gt;0,OR(AUTOEVENTO&lt;&gt;"manual",$M516&lt;&gt;1)),ROUND(OFFSET($P516,0,AS$13),15-13*ORÇAMENTO!$AF$7)/$H516*OFFSET(ORÇAMENTO!$X$15,ROW(AS516)-ROW(AS$15),0),0)</f>
        <v>0</v>
      </c>
      <c r="AT516" s="632">
        <f ca="1">IF(AND($D516="Serviço",AT$12&lt;&gt;0,$H516&gt;0,OR(AUTOEVENTO&lt;&gt;"manual",$M516&lt;&gt;1)),ROUND(OFFSET($P516,0,AT$13),15-13*ORÇAMENTO!$AF$7)/$H516*OFFSET(ORÇAMENTO!$X$15,ROW(AT516)-ROW(AT$15),0),0)</f>
        <v>0</v>
      </c>
      <c r="AU516" s="632">
        <f ca="1">IF(AND($D516="Serviço",AU$12&lt;&gt;0,$H516&gt;0,OR(AUTOEVENTO&lt;&gt;"manual",$M516&lt;&gt;1)),ROUND(OFFSET($P516,0,AU$13),15-13*ORÇAMENTO!$AF$7)/$H516*OFFSET(ORÇAMENTO!$X$15,ROW(AU516)-ROW(AU$15),0),0)</f>
        <v>0</v>
      </c>
      <c r="AV516" s="632">
        <f ca="1">IF(AND($D516="Serviço",AV$12&lt;&gt;0,$H516&gt;0,OR(AUTOEVENTO&lt;&gt;"manual",$M516&lt;&gt;1)),ROUND(OFFSET($P516,0,AV$13),15-13*ORÇAMENTO!$AF$7)/$H516*OFFSET(ORÇAMENTO!$X$15,ROW(AV516)-ROW(AV$15),0),0)</f>
        <v>0</v>
      </c>
      <c r="AW516" s="632">
        <f ca="1">IF(AND($D516="Serviço",AW$12&lt;&gt;0,$H516&gt;0,OR(AUTOEVENTO&lt;&gt;"manual",$M516&lt;&gt;1)),ROUND(OFFSET($P516,0,AW$13),15-13*ORÇAMENTO!$AF$7)/$H516*OFFSET(ORÇAMENTO!$X$15,ROW(AW516)-ROW(AW$15),0),0)</f>
        <v>0</v>
      </c>
      <c r="AX516" s="632">
        <f ca="1">IF(AND($D516="Serviço",AX$12&lt;&gt;0,$H516&gt;0,OR(AUTOEVENTO&lt;&gt;"manual",$M516&lt;&gt;1)),ROUND(OFFSET($P516,0,AX$13),15-13*ORÇAMENTO!$AF$7)/$H516*OFFSET(ORÇAMENTO!$X$15,ROW(AX516)-ROW(AX$15),0),0)</f>
        <v>0</v>
      </c>
      <c r="AY516" s="632">
        <f ca="1">IF(AND($D516="Serviço",AY$12&lt;&gt;0,$H516&gt;0,OR(AUTOEVENTO&lt;&gt;"manual",$M516&lt;&gt;1)),ROUND(OFFSET($P516,0,AY$13),15-13*ORÇAMENTO!$AF$7)/$H516*OFFSET(ORÇAMENTO!$X$15,ROW(AY516)-ROW(AY$15),0),0)</f>
        <v>0</v>
      </c>
      <c r="AZ516" s="632">
        <f ca="1">IF(AND($D516="Serviço",AZ$12&lt;&gt;0,$H516&gt;0,OR(AUTOEVENTO&lt;&gt;"manual",$M516&lt;&gt;1)),ROUND(OFFSET($P516,0,AZ$13),15-13*ORÇAMENTO!$AF$7)/$H516*OFFSET(ORÇAMENTO!$X$15,ROW(AZ516)-ROW(AZ$15),0),0)</f>
        <v>0</v>
      </c>
      <c r="BA516" s="633">
        <f ca="1">IF(AND($D516="Serviço",BA$12&lt;&gt;0,$H516&gt;0,OR(AUTOEVENTO&lt;&gt;"manual",$M516&lt;&gt;1)),ROUND(OFFSET($P516,0,BA$13),15-13*ORÇAMENTO!$AF$7)/$H516*OFFSET(ORÇAMENTO!$X$15,ROW(BA516)-ROW(BA$15),0),0)</f>
        <v>0</v>
      </c>
      <c r="BC516" s="215">
        <f ca="1">IF($D516&lt;&gt;"Serviço",0,IF(AND(AUTOEVENTO="Manual",$M516=1),0,IF(OFFSET(CRONOPLE!$F$14,$M516,BC$13)="",10^12,OFFSET(CRONOPLE!$F$14,$M516,BC$13))))</f>
        <v>1000000000000</v>
      </c>
      <c r="BD516" s="215">
        <f ca="1">IF($D516&lt;&gt;"Serviço",0,IF(AND(AUTOEVENTO="Manual",$M516=1),0,IF(OFFSET(CRONOPLE!$F$14,$M516,BD$13)="",10^12,OFFSET(CRONOPLE!$F$14,$M516,BD$13))))</f>
        <v>1000000000000</v>
      </c>
      <c r="BE516" s="215">
        <f ca="1">IF($D516&lt;&gt;"Serviço",0,IF(AND(AUTOEVENTO="Manual",$M516=1),0,IF(OFFSET(CRONOPLE!$F$14,$M516,BE$13)="",10^12,OFFSET(CRONOPLE!$F$14,$M516,BE$13))))</f>
        <v>1000000000000</v>
      </c>
      <c r="BF516" s="215">
        <f ca="1">IF($D516&lt;&gt;"Serviço",0,IF(AND(AUTOEVENTO="Manual",$M516=1),0,IF(OFFSET(CRONOPLE!$F$14,$M516,BF$13)="",10^12,OFFSET(CRONOPLE!$F$14,$M516,BF$13))))</f>
        <v>1000000000000</v>
      </c>
      <c r="BG516" s="215">
        <f ca="1">IF($D516&lt;&gt;"Serviço",0,IF(AND(AUTOEVENTO="Manual",$M516=1),0,IF(OFFSET(CRONOPLE!$F$14,$M516,BG$13)="",10^12,OFFSET(CRONOPLE!$F$14,$M516,BG$13))))</f>
        <v>1000000000000</v>
      </c>
      <c r="BH516" s="215">
        <f ca="1">IF($D516&lt;&gt;"Serviço",0,IF(AND(AUTOEVENTO="Manual",$M516=1),0,IF(OFFSET(CRONOPLE!$F$14,$M516,BH$13)="",10^12,OFFSET(CRONOPLE!$F$14,$M516,BH$13))))</f>
        <v>1000000000000</v>
      </c>
      <c r="BI516" s="215">
        <f ca="1">IF($D516&lt;&gt;"Serviço",0,IF(AND(AUTOEVENTO="Manual",$M516=1),0,IF(OFFSET(CRONOPLE!$F$14,$M516,BI$13)="",10^12,OFFSET(CRONOPLE!$F$14,$M516,BI$13))))</f>
        <v>1000000000000</v>
      </c>
      <c r="BJ516" s="215">
        <f ca="1">IF($D516&lt;&gt;"Serviço",0,IF(AND(AUTOEVENTO="Manual",$M516=1),0,IF(OFFSET(CRONOPLE!$F$14,$M516,BJ$13)="",10^12,OFFSET(CRONOPLE!$F$14,$M516,BJ$13))))</f>
        <v>1000000000000</v>
      </c>
      <c r="BK516" s="215">
        <f ca="1">IF($D516&lt;&gt;"Serviço",0,IF(AND(AUTOEVENTO="Manual",$M516=1),0,IF(OFFSET(CRONOPLE!$F$14,$M516,BK$13)="",10^12,OFFSET(CRONOPLE!$F$14,$M516,BK$13))))</f>
        <v>1000000000000</v>
      </c>
      <c r="BL516" s="215">
        <f ca="1">IF($D516&lt;&gt;"Serviço",0,IF(AND(AUTOEVENTO="Manual",$M516=1),0,IF(OFFSET(CRONOPLE!$F$14,$M516,BL$13)="",10^12,OFFSET(CRONOPLE!$F$14,$M516,BL$13))))</f>
        <v>1000000000000</v>
      </c>
      <c r="BM516" s="215">
        <f ca="1">IF($D516&lt;&gt;"Serviço",0,IF(AND(AUTOEVENTO="Manual",$M516=1),0,IF(OFFSET(CRONOPLE!$F$14,$M516,BM$13)="",10^12,OFFSET(CRONOPLE!$F$14,$M516,BM$13))))</f>
        <v>1000000000000</v>
      </c>
      <c r="BN516" s="215">
        <f ca="1">IF($D516&lt;&gt;"Serviço",0,IF(AND(AUTOEVENTO="Manual",$M516=1),0,IF(OFFSET(CRONOPLE!$F$14,$M516,BN$13)="",10^12,OFFSET(CRONOPLE!$F$14,$M516,BN$13))))</f>
        <v>1000000000000</v>
      </c>
      <c r="BO516" s="215">
        <f ca="1">IF($D516&lt;&gt;"Serviço",0,IF(AND(AUTOEVENTO="Manual",$M516=1),0,IF(OFFSET(CRONOPLE!$F$14,$M516,BO$13)="",10^12,OFFSET(CRONOPLE!$F$14,$M516,BO$13))))</f>
        <v>1000000000000</v>
      </c>
      <c r="BP516" s="215">
        <f ca="1">IF($D516&lt;&gt;"Serviço",0,IF(AND(AUTOEVENTO="Manual",$M516=1),0,IF(OFFSET(CRONOPLE!$F$14,$M516,BP$13)="",10^12,OFFSET(CRONOPLE!$F$14,$M516,BP$13))))</f>
        <v>1000000000000</v>
      </c>
      <c r="BQ516" s="215">
        <f ca="1">IF($D516&lt;&gt;"Serviço",0,IF(AND(AUTOEVENTO="Manual",$M516=1),0,IF(OFFSET(CRONOPLE!$F$14,$M516,BQ$13)="",10^12,OFFSET(CRONOPLE!$F$14,$M516,BQ$13))))</f>
        <v>1000000000000</v>
      </c>
      <c r="BR516" s="215">
        <f ca="1">IF($D516&lt;&gt;"Serviço",0,IF(AND(AUTOEVENTO="Manual",$M516=1),0,IF(OFFSET(CRONOPLE!$F$14,$M516,BR$13)="",10^12,OFFSET(CRONOPLE!$F$14,$M516,BR$13))))</f>
        <v>1000000000000</v>
      </c>
      <c r="BS516" s="215">
        <f ca="1">IF($D516&lt;&gt;"Serviço",0,IF(AND(AUTOEVENTO="Manual",$M516=1),0,IF(OFFSET(CRONOPLE!$F$14,$M516,BS$13)="",10^12,OFFSET(CRONOPLE!$F$14,$M516,BS$13))))</f>
        <v>1000000000000</v>
      </c>
      <c r="BT516" s="215">
        <f ca="1">IF($D516&lt;&gt;"Serviço",0,IF(AND(AUTOEVENTO="Manual",$M516=1),0,IF(OFFSET(CRONOPLE!$F$14,$M516,BT$13)="",10^12,OFFSET(CRONOPLE!$F$14,$M516,BT$13))))</f>
        <v>1000000000000</v>
      </c>
      <c r="BV516" s="216">
        <f ca="1">IF($D516&lt;&gt;"Serviço",0,IF(OR(AND(AUTOEVENTO="Manual",$M516=1),$M516&gt;(ROW(PLE.lastrow)-ROW(PLE.firstrow))),0,IF(OFFSET(PLE!$G$14,$M516,BV$13)="",10^12,OFFSET(PLE!$G$14,$M516,BV$13))))</f>
        <v>1000000000000</v>
      </c>
      <c r="BW516" s="216">
        <f ca="1">IF($D516&lt;&gt;"Serviço",0,IF(OR(AND(AUTOEVENTO="Manual",$M516=1),$M516&gt;(ROW(PLE.lastrow)-ROW(PLE.firstrow))),0,IF(OFFSET(PLE!$G$14,$M516,BW$13)="",10^12,OFFSET(PLE!$G$14,$M516,BW$13))))</f>
        <v>1000000000000</v>
      </c>
      <c r="BX516" s="216">
        <f ca="1">IF($D516&lt;&gt;"Serviço",0,IF(OR(AND(AUTOEVENTO="Manual",$M516=1),$M516&gt;(ROW(PLE.lastrow)-ROW(PLE.firstrow))),0,IF(OFFSET(PLE!$G$14,$M516,BX$13)="",10^12,OFFSET(PLE!$G$14,$M516,BX$13))))</f>
        <v>1000000000000</v>
      </c>
      <c r="BY516" s="216">
        <f ca="1">IF($D516&lt;&gt;"Serviço",0,IF(OR(AND(AUTOEVENTO="Manual",$M516=1),$M516&gt;(ROW(PLE.lastrow)-ROW(PLE.firstrow))),0,IF(OFFSET(PLE!$G$14,$M516,BY$13)="",10^12,OFFSET(PLE!$G$14,$M516,BY$13))))</f>
        <v>1000000000000</v>
      </c>
      <c r="BZ516" s="216">
        <f ca="1">IF($D516&lt;&gt;"Serviço",0,IF(OR(AND(AUTOEVENTO="Manual",$M516=1),$M516&gt;(ROW(PLE.lastrow)-ROW(PLE.firstrow))),0,IF(OFFSET(PLE!$G$14,$M516,BZ$13)="",10^12,OFFSET(PLE!$G$14,$M516,BZ$13))))</f>
        <v>1000000000000</v>
      </c>
      <c r="CA516" s="216">
        <f ca="1">IF($D516&lt;&gt;"Serviço",0,IF(OR(AND(AUTOEVENTO="Manual",$M516=1),$M516&gt;(ROW(PLE.lastrow)-ROW(PLE.firstrow))),0,IF(OFFSET(PLE!$G$14,$M516,CA$13)="",10^12,OFFSET(PLE!$G$14,$M516,CA$13))))</f>
        <v>1000000000000</v>
      </c>
      <c r="CB516" s="216">
        <f ca="1">IF($D516&lt;&gt;"Serviço",0,IF(OR(AND(AUTOEVENTO="Manual",$M516=1),$M516&gt;(ROW(PLE.lastrow)-ROW(PLE.firstrow))),0,IF(OFFSET(PLE!$G$14,$M516,CB$13)="",10^12,OFFSET(PLE!$G$14,$M516,CB$13))))</f>
        <v>1000000000000</v>
      </c>
      <c r="CC516" s="216">
        <f ca="1">IF($D516&lt;&gt;"Serviço",0,IF(OR(AND(AUTOEVENTO="Manual",$M516=1),$M516&gt;(ROW(PLE.lastrow)-ROW(PLE.firstrow))),0,IF(OFFSET(PLE!$G$14,$M516,CC$13)="",10^12,OFFSET(PLE!$G$14,$M516,CC$13))))</f>
        <v>1000000000000</v>
      </c>
      <c r="CD516" s="216">
        <f ca="1">IF($D516&lt;&gt;"Serviço",0,IF(OR(AND(AUTOEVENTO="Manual",$M516=1),$M516&gt;(ROW(PLE.lastrow)-ROW(PLE.firstrow))),0,IF(OFFSET(PLE!$G$14,$M516,CD$13)="",10^12,OFFSET(PLE!$G$14,$M516,CD$13))))</f>
        <v>1000000000000</v>
      </c>
      <c r="CE516" s="216">
        <f ca="1">IF($D516&lt;&gt;"Serviço",0,IF(OR(AND(AUTOEVENTO="Manual",$M516=1),$M516&gt;(ROW(PLE.lastrow)-ROW(PLE.firstrow))),0,IF(OFFSET(PLE!$G$14,$M516,CE$13)="",10^12,OFFSET(PLE!$G$14,$M516,CE$13))))</f>
        <v>1000000000000</v>
      </c>
      <c r="CF516" s="216">
        <f ca="1">IF($D516&lt;&gt;"Serviço",0,IF(OR(AND(AUTOEVENTO="Manual",$M516=1),$M516&gt;(ROW(PLE.lastrow)-ROW(PLE.firstrow))),0,IF(OFFSET(PLE!$G$14,$M516,CF$13)="",10^12,OFFSET(PLE!$G$14,$M516,CF$13))))</f>
        <v>1000000000000</v>
      </c>
      <c r="CG516" s="216">
        <f ca="1">IF($D516&lt;&gt;"Serviço",0,IF(OR(AND(AUTOEVENTO="Manual",$M516=1),$M516&gt;(ROW(PLE.lastrow)-ROW(PLE.firstrow))),0,IF(OFFSET(PLE!$G$14,$M516,CG$13)="",10^12,OFFSET(PLE!$G$14,$M516,CG$13))))</f>
        <v>1000000000000</v>
      </c>
      <c r="CH516" s="216">
        <f ca="1">IF($D516&lt;&gt;"Serviço",0,IF(OR(AND(AUTOEVENTO="Manual",$M516=1),$M516&gt;(ROW(PLE.lastrow)-ROW(PLE.firstrow))),0,IF(OFFSET(PLE!$G$14,$M516,CH$13)="",10^12,OFFSET(PLE!$G$14,$M516,CH$13))))</f>
        <v>1000000000000</v>
      </c>
      <c r="CI516" s="216">
        <f ca="1">IF($D516&lt;&gt;"Serviço",0,IF(OR(AND(AUTOEVENTO="Manual",$M516=1),$M516&gt;(ROW(PLE.lastrow)-ROW(PLE.firstrow))),0,IF(OFFSET(PLE!$G$14,$M516,CI$13)="",10^12,OFFSET(PLE!$G$14,$M516,CI$13))))</f>
        <v>1000000000000</v>
      </c>
      <c r="CJ516" s="216">
        <f ca="1">IF($D516&lt;&gt;"Serviço",0,IF(OR(AND(AUTOEVENTO="Manual",$M516=1),$M516&gt;(ROW(PLE.lastrow)-ROW(PLE.firstrow))),0,IF(OFFSET(PLE!$G$14,$M516,CJ$13)="",10^12,OFFSET(PLE!$G$14,$M516,CJ$13))))</f>
        <v>1000000000000</v>
      </c>
      <c r="CK516" s="216">
        <f ca="1">IF($D516&lt;&gt;"Serviço",0,IF(OR(AND(AUTOEVENTO="Manual",$M516=1),$M516&gt;(ROW(PLE.lastrow)-ROW(PLE.firstrow))),0,IF(OFFSET(PLE!$G$14,$M516,CK$13)="",10^12,OFFSET(PLE!$G$14,$M516,CK$13))))</f>
        <v>1000000000000</v>
      </c>
      <c r="CL516" s="216">
        <f ca="1">IF($D516&lt;&gt;"Serviço",0,IF(OR(AND(AUTOEVENTO="Manual",$M516=1),$M516&gt;(ROW(PLE.lastrow)-ROW(PLE.firstrow))),0,IF(OFFSET(PLE!$G$14,$M516,CL$13)="",10^12,OFFSET(PLE!$G$14,$M516,CL$13))))</f>
        <v>1000000000000</v>
      </c>
      <c r="CM516" s="216">
        <f ca="1">IF($D516&lt;&gt;"Serviço",0,IF(OR(AND(AUTOEVENTO="Manual",$M516=1),$M516&gt;(ROW(PLE.lastrow)-ROW(PLE.firstrow))),0,IF(OFFSET(PLE!$G$14,$M516,CM$13)="",10^12,OFFSET(PLE!$G$14,$M516,CM$13))))</f>
        <v>1000000000000</v>
      </c>
    </row>
    <row r="517" spans="1:91" ht="13.2" x14ac:dyDescent="0.25">
      <c r="A517" s="9">
        <f t="shared" ca="1" si="16"/>
        <v>0</v>
      </c>
      <c r="B517" s="9" t="str">
        <f ca="1">OFFSET(ORÇAMENTO!C$15,ROW(B517)-ROW(B$15),0)</f>
        <v>S</v>
      </c>
      <c r="C517" s="9" t="str">
        <f ca="1">OFFSET(ORÇAMENTO!L$15,ROW(C517)-ROW(C$15),0)</f>
        <v/>
      </c>
      <c r="D517" s="145" t="str">
        <f ca="1">OFFSET(ORÇAMENTO!N$15,ROW(D517)-ROW(D$15),0)</f>
        <v>Serviço</v>
      </c>
      <c r="E517" s="205" t="str">
        <f ca="1">OFFSET(ORÇAMENTO!O$15,ROW(E517)-ROW(E$15),0)</f>
        <v>-</v>
      </c>
      <c r="F517" s="206" t="str">
        <f ca="1">OFFSET(ORÇAMENTO!R$15,ROW(F517)-ROW(F$15),0)</f>
        <v>(abra o arquivo 'Referência 05-2024.xls)</v>
      </c>
      <c r="G517" s="207" t="str">
        <f ca="1">IF($D517&lt;&gt;"Serviço","",OFFSET(ORÇAMENTO!S$15,ROW(G517)-ROW(G$15),0))</f>
        <v>-</v>
      </c>
      <c r="H517" s="151">
        <f ca="1">IF($D517&lt;&gt;"Serviço",0,IF(ACOMPANHAMENTO="BM",ROUND(OFFSET(ORÇAMENTO!AJ$15,ROW(H517)-ROW(H$15),0),15-13*ORÇAMENTO!$AF$7),SUMPRODUCT(($Q$12:$AI$12&lt;&gt;"")*ROUND($Q517:$AI517,15-13*ORÇAMENTO!$AF$7))))</f>
        <v>1</v>
      </c>
      <c r="I517" s="650"/>
      <c r="K517" s="208"/>
      <c r="L517" s="209" t="s">
        <v>257</v>
      </c>
      <c r="M517" s="210">
        <f ca="1">IF($D517&lt;&gt;"Serviço","",IF(AUTOEVENTO="manual",$A517,IF(ISERROR(MATCH($A517,$A$15:OFFSET($A517,-1,0),0)),MAX($M$15:OFFSET(M517,-1,0))+1,INDEX($M$15:OFFSET(M517,-1,0),MATCH($A517,$A$15:OFFSET($A517,-1,0),0)))))</f>
        <v>0</v>
      </c>
      <c r="N517" s="211" t="str">
        <f ca="1">IF($D517&lt;&gt;"Serviço","",IF(AUTOEVENTO="Manual",IF($A517=0,"&lt;-- defina o número do agrupador",OFFSET(EVENTOS!$D$14,$A517,0)),OFFSET($F$15,$A517,0)))</f>
        <v>&lt;-- defina o número do agrupador</v>
      </c>
      <c r="O517" s="212"/>
      <c r="Q517" s="212"/>
      <c r="R517" s="213"/>
      <c r="S517" s="213"/>
      <c r="T517" s="213"/>
      <c r="U517" s="213"/>
      <c r="V517" s="213"/>
      <c r="W517" s="213"/>
      <c r="X517" s="213"/>
      <c r="Y517" s="213"/>
      <c r="Z517" s="214"/>
      <c r="AA517" s="213"/>
      <c r="AB517" s="213"/>
      <c r="AC517" s="213"/>
      <c r="AD517" s="213"/>
      <c r="AE517" s="213"/>
      <c r="AF517" s="213"/>
      <c r="AG517" s="213"/>
      <c r="AH517" s="214"/>
      <c r="AJ517" s="631">
        <f ca="1">IF(AND($D517="Serviço",AJ$12&lt;&gt;0,$H517&gt;0,OR(AUTOEVENTO&lt;&gt;"manual",$M517&lt;&gt;1)),ROUND(OFFSET($P517,0,AJ$13),15-13*ORÇAMENTO!$AF$7)/$H517*OFFSET(ORÇAMENTO!$X$15,ROW(AJ517)-ROW(AJ$15),0),0)</f>
        <v>0</v>
      </c>
      <c r="AK517" s="632">
        <f ca="1">IF(AND($D517="Serviço",AK$12&lt;&gt;0,$H517&gt;0,OR(AUTOEVENTO&lt;&gt;"manual",$M517&lt;&gt;1)),ROUND(OFFSET($P517,0,AK$13),15-13*ORÇAMENTO!$AF$7)/$H517*OFFSET(ORÇAMENTO!$X$15,ROW(AK517)-ROW(AK$15),0),0)</f>
        <v>0</v>
      </c>
      <c r="AL517" s="632">
        <f ca="1">IF(AND($D517="Serviço",AL$12&lt;&gt;0,$H517&gt;0,OR(AUTOEVENTO&lt;&gt;"manual",$M517&lt;&gt;1)),ROUND(OFFSET($P517,0,AL$13),15-13*ORÇAMENTO!$AF$7)/$H517*OFFSET(ORÇAMENTO!$X$15,ROW(AL517)-ROW(AL$15),0),0)</f>
        <v>0</v>
      </c>
      <c r="AM517" s="632">
        <f ca="1">IF(AND($D517="Serviço",AM$12&lt;&gt;0,$H517&gt;0,OR(AUTOEVENTO&lt;&gt;"manual",$M517&lt;&gt;1)),ROUND(OFFSET($P517,0,AM$13),15-13*ORÇAMENTO!$AF$7)/$H517*OFFSET(ORÇAMENTO!$X$15,ROW(AM517)-ROW(AM$15),0),0)</f>
        <v>0</v>
      </c>
      <c r="AN517" s="632">
        <f ca="1">IF(AND($D517="Serviço",AN$12&lt;&gt;0,$H517&gt;0,OR(AUTOEVENTO&lt;&gt;"manual",$M517&lt;&gt;1)),ROUND(OFFSET($P517,0,AN$13),15-13*ORÇAMENTO!$AF$7)/$H517*OFFSET(ORÇAMENTO!$X$15,ROW(AN517)-ROW(AN$15),0),0)</f>
        <v>0</v>
      </c>
      <c r="AO517" s="632">
        <f ca="1">IF(AND($D517="Serviço",AO$12&lt;&gt;0,$H517&gt;0,OR(AUTOEVENTO&lt;&gt;"manual",$M517&lt;&gt;1)),ROUND(OFFSET($P517,0,AO$13),15-13*ORÇAMENTO!$AF$7)/$H517*OFFSET(ORÇAMENTO!$X$15,ROW(AO517)-ROW(AO$15),0),0)</f>
        <v>0</v>
      </c>
      <c r="AP517" s="632">
        <f ca="1">IF(AND($D517="Serviço",AP$12&lt;&gt;0,$H517&gt;0,OR(AUTOEVENTO&lt;&gt;"manual",$M517&lt;&gt;1)),ROUND(OFFSET($P517,0,AP$13),15-13*ORÇAMENTO!$AF$7)/$H517*OFFSET(ORÇAMENTO!$X$15,ROW(AP517)-ROW(AP$15),0),0)</f>
        <v>0</v>
      </c>
      <c r="AQ517" s="632">
        <f ca="1">IF(AND($D517="Serviço",AQ$12&lt;&gt;0,$H517&gt;0,OR(AUTOEVENTO&lt;&gt;"manual",$M517&lt;&gt;1)),ROUND(OFFSET($P517,0,AQ$13),15-13*ORÇAMENTO!$AF$7)/$H517*OFFSET(ORÇAMENTO!$X$15,ROW(AQ517)-ROW(AQ$15),0),0)</f>
        <v>0</v>
      </c>
      <c r="AR517" s="632">
        <f ca="1">IF(AND($D517="Serviço",AR$12&lt;&gt;0,$H517&gt;0,OR(AUTOEVENTO&lt;&gt;"manual",$M517&lt;&gt;1)),ROUND(OFFSET($P517,0,AR$13),15-13*ORÇAMENTO!$AF$7)/$H517*OFFSET(ORÇAMENTO!$X$15,ROW(AR517)-ROW(AR$15),0),0)</f>
        <v>0</v>
      </c>
      <c r="AS517" s="633">
        <f ca="1">IF(AND($D517="Serviço",AS$12&lt;&gt;0,$H517&gt;0,OR(AUTOEVENTO&lt;&gt;"manual",$M517&lt;&gt;1)),ROUND(OFFSET($P517,0,AS$13),15-13*ORÇAMENTO!$AF$7)/$H517*OFFSET(ORÇAMENTO!$X$15,ROW(AS517)-ROW(AS$15),0),0)</f>
        <v>0</v>
      </c>
      <c r="AT517" s="632">
        <f ca="1">IF(AND($D517="Serviço",AT$12&lt;&gt;0,$H517&gt;0,OR(AUTOEVENTO&lt;&gt;"manual",$M517&lt;&gt;1)),ROUND(OFFSET($P517,0,AT$13),15-13*ORÇAMENTO!$AF$7)/$H517*OFFSET(ORÇAMENTO!$X$15,ROW(AT517)-ROW(AT$15),0),0)</f>
        <v>0</v>
      </c>
      <c r="AU517" s="632">
        <f ca="1">IF(AND($D517="Serviço",AU$12&lt;&gt;0,$H517&gt;0,OR(AUTOEVENTO&lt;&gt;"manual",$M517&lt;&gt;1)),ROUND(OFFSET($P517,0,AU$13),15-13*ORÇAMENTO!$AF$7)/$H517*OFFSET(ORÇAMENTO!$X$15,ROW(AU517)-ROW(AU$15),0),0)</f>
        <v>0</v>
      </c>
      <c r="AV517" s="632">
        <f ca="1">IF(AND($D517="Serviço",AV$12&lt;&gt;0,$H517&gt;0,OR(AUTOEVENTO&lt;&gt;"manual",$M517&lt;&gt;1)),ROUND(OFFSET($P517,0,AV$13),15-13*ORÇAMENTO!$AF$7)/$H517*OFFSET(ORÇAMENTO!$X$15,ROW(AV517)-ROW(AV$15),0),0)</f>
        <v>0</v>
      </c>
      <c r="AW517" s="632">
        <f ca="1">IF(AND($D517="Serviço",AW$12&lt;&gt;0,$H517&gt;0,OR(AUTOEVENTO&lt;&gt;"manual",$M517&lt;&gt;1)),ROUND(OFFSET($P517,0,AW$13),15-13*ORÇAMENTO!$AF$7)/$H517*OFFSET(ORÇAMENTO!$X$15,ROW(AW517)-ROW(AW$15),0),0)</f>
        <v>0</v>
      </c>
      <c r="AX517" s="632">
        <f ca="1">IF(AND($D517="Serviço",AX$12&lt;&gt;0,$H517&gt;0,OR(AUTOEVENTO&lt;&gt;"manual",$M517&lt;&gt;1)),ROUND(OFFSET($P517,0,AX$13),15-13*ORÇAMENTO!$AF$7)/$H517*OFFSET(ORÇAMENTO!$X$15,ROW(AX517)-ROW(AX$15),0),0)</f>
        <v>0</v>
      </c>
      <c r="AY517" s="632">
        <f ca="1">IF(AND($D517="Serviço",AY$12&lt;&gt;0,$H517&gt;0,OR(AUTOEVENTO&lt;&gt;"manual",$M517&lt;&gt;1)),ROUND(OFFSET($P517,0,AY$13),15-13*ORÇAMENTO!$AF$7)/$H517*OFFSET(ORÇAMENTO!$X$15,ROW(AY517)-ROW(AY$15),0),0)</f>
        <v>0</v>
      </c>
      <c r="AZ517" s="632">
        <f ca="1">IF(AND($D517="Serviço",AZ$12&lt;&gt;0,$H517&gt;0,OR(AUTOEVENTO&lt;&gt;"manual",$M517&lt;&gt;1)),ROUND(OFFSET($P517,0,AZ$13),15-13*ORÇAMENTO!$AF$7)/$H517*OFFSET(ORÇAMENTO!$X$15,ROW(AZ517)-ROW(AZ$15),0),0)</f>
        <v>0</v>
      </c>
      <c r="BA517" s="633">
        <f ca="1">IF(AND($D517="Serviço",BA$12&lt;&gt;0,$H517&gt;0,OR(AUTOEVENTO&lt;&gt;"manual",$M517&lt;&gt;1)),ROUND(OFFSET($P517,0,BA$13),15-13*ORÇAMENTO!$AF$7)/$H517*OFFSET(ORÇAMENTO!$X$15,ROW(BA517)-ROW(BA$15),0),0)</f>
        <v>0</v>
      </c>
      <c r="BC517" s="215">
        <f ca="1">IF($D517&lt;&gt;"Serviço",0,IF(AND(AUTOEVENTO="Manual",$M517=1),0,IF(OFFSET(CRONOPLE!$F$14,$M517,BC$13)="",10^12,OFFSET(CRONOPLE!$F$14,$M517,BC$13))))</f>
        <v>1000000000000</v>
      </c>
      <c r="BD517" s="215">
        <f ca="1">IF($D517&lt;&gt;"Serviço",0,IF(AND(AUTOEVENTO="Manual",$M517=1),0,IF(OFFSET(CRONOPLE!$F$14,$M517,BD$13)="",10^12,OFFSET(CRONOPLE!$F$14,$M517,BD$13))))</f>
        <v>1000000000000</v>
      </c>
      <c r="BE517" s="215">
        <f ca="1">IF($D517&lt;&gt;"Serviço",0,IF(AND(AUTOEVENTO="Manual",$M517=1),0,IF(OFFSET(CRONOPLE!$F$14,$M517,BE$13)="",10^12,OFFSET(CRONOPLE!$F$14,$M517,BE$13))))</f>
        <v>1000000000000</v>
      </c>
      <c r="BF517" s="215">
        <f ca="1">IF($D517&lt;&gt;"Serviço",0,IF(AND(AUTOEVENTO="Manual",$M517=1),0,IF(OFFSET(CRONOPLE!$F$14,$M517,BF$13)="",10^12,OFFSET(CRONOPLE!$F$14,$M517,BF$13))))</f>
        <v>1000000000000</v>
      </c>
      <c r="BG517" s="215">
        <f ca="1">IF($D517&lt;&gt;"Serviço",0,IF(AND(AUTOEVENTO="Manual",$M517=1),0,IF(OFFSET(CRONOPLE!$F$14,$M517,BG$13)="",10^12,OFFSET(CRONOPLE!$F$14,$M517,BG$13))))</f>
        <v>1000000000000</v>
      </c>
      <c r="BH517" s="215">
        <f ca="1">IF($D517&lt;&gt;"Serviço",0,IF(AND(AUTOEVENTO="Manual",$M517=1),0,IF(OFFSET(CRONOPLE!$F$14,$M517,BH$13)="",10^12,OFFSET(CRONOPLE!$F$14,$M517,BH$13))))</f>
        <v>1000000000000</v>
      </c>
      <c r="BI517" s="215">
        <f ca="1">IF($D517&lt;&gt;"Serviço",0,IF(AND(AUTOEVENTO="Manual",$M517=1),0,IF(OFFSET(CRONOPLE!$F$14,$M517,BI$13)="",10^12,OFFSET(CRONOPLE!$F$14,$M517,BI$13))))</f>
        <v>1000000000000</v>
      </c>
      <c r="BJ517" s="215">
        <f ca="1">IF($D517&lt;&gt;"Serviço",0,IF(AND(AUTOEVENTO="Manual",$M517=1),0,IF(OFFSET(CRONOPLE!$F$14,$M517,BJ$13)="",10^12,OFFSET(CRONOPLE!$F$14,$M517,BJ$13))))</f>
        <v>1000000000000</v>
      </c>
      <c r="BK517" s="215">
        <f ca="1">IF($D517&lt;&gt;"Serviço",0,IF(AND(AUTOEVENTO="Manual",$M517=1),0,IF(OFFSET(CRONOPLE!$F$14,$M517,BK$13)="",10^12,OFFSET(CRONOPLE!$F$14,$M517,BK$13))))</f>
        <v>1000000000000</v>
      </c>
      <c r="BL517" s="215">
        <f ca="1">IF($D517&lt;&gt;"Serviço",0,IF(AND(AUTOEVENTO="Manual",$M517=1),0,IF(OFFSET(CRONOPLE!$F$14,$M517,BL$13)="",10^12,OFFSET(CRONOPLE!$F$14,$M517,BL$13))))</f>
        <v>1000000000000</v>
      </c>
      <c r="BM517" s="215">
        <f ca="1">IF($D517&lt;&gt;"Serviço",0,IF(AND(AUTOEVENTO="Manual",$M517=1),0,IF(OFFSET(CRONOPLE!$F$14,$M517,BM$13)="",10^12,OFFSET(CRONOPLE!$F$14,$M517,BM$13))))</f>
        <v>1000000000000</v>
      </c>
      <c r="BN517" s="215">
        <f ca="1">IF($D517&lt;&gt;"Serviço",0,IF(AND(AUTOEVENTO="Manual",$M517=1),0,IF(OFFSET(CRONOPLE!$F$14,$M517,BN$13)="",10^12,OFFSET(CRONOPLE!$F$14,$M517,BN$13))))</f>
        <v>1000000000000</v>
      </c>
      <c r="BO517" s="215">
        <f ca="1">IF($D517&lt;&gt;"Serviço",0,IF(AND(AUTOEVENTO="Manual",$M517=1),0,IF(OFFSET(CRONOPLE!$F$14,$M517,BO$13)="",10^12,OFFSET(CRONOPLE!$F$14,$M517,BO$13))))</f>
        <v>1000000000000</v>
      </c>
      <c r="BP517" s="215">
        <f ca="1">IF($D517&lt;&gt;"Serviço",0,IF(AND(AUTOEVENTO="Manual",$M517=1),0,IF(OFFSET(CRONOPLE!$F$14,$M517,BP$13)="",10^12,OFFSET(CRONOPLE!$F$14,$M517,BP$13))))</f>
        <v>1000000000000</v>
      </c>
      <c r="BQ517" s="215">
        <f ca="1">IF($D517&lt;&gt;"Serviço",0,IF(AND(AUTOEVENTO="Manual",$M517=1),0,IF(OFFSET(CRONOPLE!$F$14,$M517,BQ$13)="",10^12,OFFSET(CRONOPLE!$F$14,$M517,BQ$13))))</f>
        <v>1000000000000</v>
      </c>
      <c r="BR517" s="215">
        <f ca="1">IF($D517&lt;&gt;"Serviço",0,IF(AND(AUTOEVENTO="Manual",$M517=1),0,IF(OFFSET(CRONOPLE!$F$14,$M517,BR$13)="",10^12,OFFSET(CRONOPLE!$F$14,$M517,BR$13))))</f>
        <v>1000000000000</v>
      </c>
      <c r="BS517" s="215">
        <f ca="1">IF($D517&lt;&gt;"Serviço",0,IF(AND(AUTOEVENTO="Manual",$M517=1),0,IF(OFFSET(CRONOPLE!$F$14,$M517,BS$13)="",10^12,OFFSET(CRONOPLE!$F$14,$M517,BS$13))))</f>
        <v>1000000000000</v>
      </c>
      <c r="BT517" s="215">
        <f ca="1">IF($D517&lt;&gt;"Serviço",0,IF(AND(AUTOEVENTO="Manual",$M517=1),0,IF(OFFSET(CRONOPLE!$F$14,$M517,BT$13)="",10^12,OFFSET(CRONOPLE!$F$14,$M517,BT$13))))</f>
        <v>1000000000000</v>
      </c>
      <c r="BV517" s="216">
        <f ca="1">IF($D517&lt;&gt;"Serviço",0,IF(OR(AND(AUTOEVENTO="Manual",$M517=1),$M517&gt;(ROW(PLE.lastrow)-ROW(PLE.firstrow))),0,IF(OFFSET(PLE!$G$14,$M517,BV$13)="",10^12,OFFSET(PLE!$G$14,$M517,BV$13))))</f>
        <v>1000000000000</v>
      </c>
      <c r="BW517" s="216">
        <f ca="1">IF($D517&lt;&gt;"Serviço",0,IF(OR(AND(AUTOEVENTO="Manual",$M517=1),$M517&gt;(ROW(PLE.lastrow)-ROW(PLE.firstrow))),0,IF(OFFSET(PLE!$G$14,$M517,BW$13)="",10^12,OFFSET(PLE!$G$14,$M517,BW$13))))</f>
        <v>1000000000000</v>
      </c>
      <c r="BX517" s="216">
        <f ca="1">IF($D517&lt;&gt;"Serviço",0,IF(OR(AND(AUTOEVENTO="Manual",$M517=1),$M517&gt;(ROW(PLE.lastrow)-ROW(PLE.firstrow))),0,IF(OFFSET(PLE!$G$14,$M517,BX$13)="",10^12,OFFSET(PLE!$G$14,$M517,BX$13))))</f>
        <v>1000000000000</v>
      </c>
      <c r="BY517" s="216">
        <f ca="1">IF($D517&lt;&gt;"Serviço",0,IF(OR(AND(AUTOEVENTO="Manual",$M517=1),$M517&gt;(ROW(PLE.lastrow)-ROW(PLE.firstrow))),0,IF(OFFSET(PLE!$G$14,$M517,BY$13)="",10^12,OFFSET(PLE!$G$14,$M517,BY$13))))</f>
        <v>1000000000000</v>
      </c>
      <c r="BZ517" s="216">
        <f ca="1">IF($D517&lt;&gt;"Serviço",0,IF(OR(AND(AUTOEVENTO="Manual",$M517=1),$M517&gt;(ROW(PLE.lastrow)-ROW(PLE.firstrow))),0,IF(OFFSET(PLE!$G$14,$M517,BZ$13)="",10^12,OFFSET(PLE!$G$14,$M517,BZ$13))))</f>
        <v>1000000000000</v>
      </c>
      <c r="CA517" s="216">
        <f ca="1">IF($D517&lt;&gt;"Serviço",0,IF(OR(AND(AUTOEVENTO="Manual",$M517=1),$M517&gt;(ROW(PLE.lastrow)-ROW(PLE.firstrow))),0,IF(OFFSET(PLE!$G$14,$M517,CA$13)="",10^12,OFFSET(PLE!$G$14,$M517,CA$13))))</f>
        <v>1000000000000</v>
      </c>
      <c r="CB517" s="216">
        <f ca="1">IF($D517&lt;&gt;"Serviço",0,IF(OR(AND(AUTOEVENTO="Manual",$M517=1),$M517&gt;(ROW(PLE.lastrow)-ROW(PLE.firstrow))),0,IF(OFFSET(PLE!$G$14,$M517,CB$13)="",10^12,OFFSET(PLE!$G$14,$M517,CB$13))))</f>
        <v>1000000000000</v>
      </c>
      <c r="CC517" s="216">
        <f ca="1">IF($D517&lt;&gt;"Serviço",0,IF(OR(AND(AUTOEVENTO="Manual",$M517=1),$M517&gt;(ROW(PLE.lastrow)-ROW(PLE.firstrow))),0,IF(OFFSET(PLE!$G$14,$M517,CC$13)="",10^12,OFFSET(PLE!$G$14,$M517,CC$13))))</f>
        <v>1000000000000</v>
      </c>
      <c r="CD517" s="216">
        <f ca="1">IF($D517&lt;&gt;"Serviço",0,IF(OR(AND(AUTOEVENTO="Manual",$M517=1),$M517&gt;(ROW(PLE.lastrow)-ROW(PLE.firstrow))),0,IF(OFFSET(PLE!$G$14,$M517,CD$13)="",10^12,OFFSET(PLE!$G$14,$M517,CD$13))))</f>
        <v>1000000000000</v>
      </c>
      <c r="CE517" s="216">
        <f ca="1">IF($D517&lt;&gt;"Serviço",0,IF(OR(AND(AUTOEVENTO="Manual",$M517=1),$M517&gt;(ROW(PLE.lastrow)-ROW(PLE.firstrow))),0,IF(OFFSET(PLE!$G$14,$M517,CE$13)="",10^12,OFFSET(PLE!$G$14,$M517,CE$13))))</f>
        <v>1000000000000</v>
      </c>
      <c r="CF517" s="216">
        <f ca="1">IF($D517&lt;&gt;"Serviço",0,IF(OR(AND(AUTOEVENTO="Manual",$M517=1),$M517&gt;(ROW(PLE.lastrow)-ROW(PLE.firstrow))),0,IF(OFFSET(PLE!$G$14,$M517,CF$13)="",10^12,OFFSET(PLE!$G$14,$M517,CF$13))))</f>
        <v>1000000000000</v>
      </c>
      <c r="CG517" s="216">
        <f ca="1">IF($D517&lt;&gt;"Serviço",0,IF(OR(AND(AUTOEVENTO="Manual",$M517=1),$M517&gt;(ROW(PLE.lastrow)-ROW(PLE.firstrow))),0,IF(OFFSET(PLE!$G$14,$M517,CG$13)="",10^12,OFFSET(PLE!$G$14,$M517,CG$13))))</f>
        <v>1000000000000</v>
      </c>
      <c r="CH517" s="216">
        <f ca="1">IF($D517&lt;&gt;"Serviço",0,IF(OR(AND(AUTOEVENTO="Manual",$M517=1),$M517&gt;(ROW(PLE.lastrow)-ROW(PLE.firstrow))),0,IF(OFFSET(PLE!$G$14,$M517,CH$13)="",10^12,OFFSET(PLE!$G$14,$M517,CH$13))))</f>
        <v>1000000000000</v>
      </c>
      <c r="CI517" s="216">
        <f ca="1">IF($D517&lt;&gt;"Serviço",0,IF(OR(AND(AUTOEVENTO="Manual",$M517=1),$M517&gt;(ROW(PLE.lastrow)-ROW(PLE.firstrow))),0,IF(OFFSET(PLE!$G$14,$M517,CI$13)="",10^12,OFFSET(PLE!$G$14,$M517,CI$13))))</f>
        <v>1000000000000</v>
      </c>
      <c r="CJ517" s="216">
        <f ca="1">IF($D517&lt;&gt;"Serviço",0,IF(OR(AND(AUTOEVENTO="Manual",$M517=1),$M517&gt;(ROW(PLE.lastrow)-ROW(PLE.firstrow))),0,IF(OFFSET(PLE!$G$14,$M517,CJ$13)="",10^12,OFFSET(PLE!$G$14,$M517,CJ$13))))</f>
        <v>1000000000000</v>
      </c>
      <c r="CK517" s="216">
        <f ca="1">IF($D517&lt;&gt;"Serviço",0,IF(OR(AND(AUTOEVENTO="Manual",$M517=1),$M517&gt;(ROW(PLE.lastrow)-ROW(PLE.firstrow))),0,IF(OFFSET(PLE!$G$14,$M517,CK$13)="",10^12,OFFSET(PLE!$G$14,$M517,CK$13))))</f>
        <v>1000000000000</v>
      </c>
      <c r="CL517" s="216">
        <f ca="1">IF($D517&lt;&gt;"Serviço",0,IF(OR(AND(AUTOEVENTO="Manual",$M517=1),$M517&gt;(ROW(PLE.lastrow)-ROW(PLE.firstrow))),0,IF(OFFSET(PLE!$G$14,$M517,CL$13)="",10^12,OFFSET(PLE!$G$14,$M517,CL$13))))</f>
        <v>1000000000000</v>
      </c>
      <c r="CM517" s="216">
        <f ca="1">IF($D517&lt;&gt;"Serviço",0,IF(OR(AND(AUTOEVENTO="Manual",$M517=1),$M517&gt;(ROW(PLE.lastrow)-ROW(PLE.firstrow))),0,IF(OFFSET(PLE!$G$14,$M517,CM$13)="",10^12,OFFSET(PLE!$G$14,$M517,CM$13))))</f>
        <v>1000000000000</v>
      </c>
    </row>
    <row r="518" spans="1:91" ht="13.2" x14ac:dyDescent="0.25">
      <c r="A518" s="9">
        <f t="shared" ca="1" si="16"/>
        <v>0</v>
      </c>
      <c r="B518" s="9" t="str">
        <f ca="1">OFFSET(ORÇAMENTO!C$15,ROW(B518)-ROW(B$15),0)</f>
        <v>S</v>
      </c>
      <c r="C518" s="9" t="str">
        <f ca="1">OFFSET(ORÇAMENTO!L$15,ROW(C518)-ROW(C$15),0)</f>
        <v/>
      </c>
      <c r="D518" s="145" t="str">
        <f ca="1">OFFSET(ORÇAMENTO!N$15,ROW(D518)-ROW(D$15),0)</f>
        <v>Serviço</v>
      </c>
      <c r="E518" s="205" t="str">
        <f ca="1">OFFSET(ORÇAMENTO!O$15,ROW(E518)-ROW(E$15),0)</f>
        <v>-</v>
      </c>
      <c r="F518" s="206" t="str">
        <f ca="1">OFFSET(ORÇAMENTO!R$15,ROW(F518)-ROW(F$15),0)</f>
        <v>(abra o arquivo 'Referência 05-2024.xls)</v>
      </c>
      <c r="G518" s="207" t="str">
        <f ca="1">IF($D518&lt;&gt;"Serviço","",OFFSET(ORÇAMENTO!S$15,ROW(G518)-ROW(G$15),0))</f>
        <v>-</v>
      </c>
      <c r="H518" s="151">
        <f ca="1">IF($D518&lt;&gt;"Serviço",0,IF(ACOMPANHAMENTO="BM",ROUND(OFFSET(ORÇAMENTO!AJ$15,ROW(H518)-ROW(H$15),0),15-13*ORÇAMENTO!$AF$7),SUMPRODUCT(($Q$12:$AI$12&lt;&gt;"")*ROUND($Q518:$AI518,15-13*ORÇAMENTO!$AF$7))))</f>
        <v>7</v>
      </c>
      <c r="I518" s="650"/>
      <c r="K518" s="208"/>
      <c r="L518" s="209" t="s">
        <v>257</v>
      </c>
      <c r="M518" s="210">
        <f ca="1">IF($D518&lt;&gt;"Serviço","",IF(AUTOEVENTO="manual",$A518,IF(ISERROR(MATCH($A518,$A$15:OFFSET($A518,-1,0),0)),MAX($M$15:OFFSET(M518,-1,0))+1,INDEX($M$15:OFFSET(M518,-1,0),MATCH($A518,$A$15:OFFSET($A518,-1,0),0)))))</f>
        <v>0</v>
      </c>
      <c r="N518" s="211" t="str">
        <f ca="1">IF($D518&lt;&gt;"Serviço","",IF(AUTOEVENTO="Manual",IF($A518=0,"&lt;-- defina o número do agrupador",OFFSET(EVENTOS!$D$14,$A518,0)),OFFSET($F$15,$A518,0)))</f>
        <v>&lt;-- defina o número do agrupador</v>
      </c>
      <c r="O518" s="212"/>
      <c r="Q518" s="212"/>
      <c r="R518" s="213"/>
      <c r="S518" s="213"/>
      <c r="T518" s="213"/>
      <c r="U518" s="213"/>
      <c r="V518" s="213"/>
      <c r="W518" s="213"/>
      <c r="X518" s="213"/>
      <c r="Y518" s="213"/>
      <c r="Z518" s="214"/>
      <c r="AA518" s="213"/>
      <c r="AB518" s="213"/>
      <c r="AC518" s="213"/>
      <c r="AD518" s="213"/>
      <c r="AE518" s="213"/>
      <c r="AF518" s="213"/>
      <c r="AG518" s="213"/>
      <c r="AH518" s="214"/>
      <c r="AJ518" s="631">
        <f ca="1">IF(AND($D518="Serviço",AJ$12&lt;&gt;0,$H518&gt;0,OR(AUTOEVENTO&lt;&gt;"manual",$M518&lt;&gt;1)),ROUND(OFFSET($P518,0,AJ$13),15-13*ORÇAMENTO!$AF$7)/$H518*OFFSET(ORÇAMENTO!$X$15,ROW(AJ518)-ROW(AJ$15),0),0)</f>
        <v>0</v>
      </c>
      <c r="AK518" s="632">
        <f ca="1">IF(AND($D518="Serviço",AK$12&lt;&gt;0,$H518&gt;0,OR(AUTOEVENTO&lt;&gt;"manual",$M518&lt;&gt;1)),ROUND(OFFSET($P518,0,AK$13),15-13*ORÇAMENTO!$AF$7)/$H518*OFFSET(ORÇAMENTO!$X$15,ROW(AK518)-ROW(AK$15),0),0)</f>
        <v>0</v>
      </c>
      <c r="AL518" s="632">
        <f ca="1">IF(AND($D518="Serviço",AL$12&lt;&gt;0,$H518&gt;0,OR(AUTOEVENTO&lt;&gt;"manual",$M518&lt;&gt;1)),ROUND(OFFSET($P518,0,AL$13),15-13*ORÇAMENTO!$AF$7)/$H518*OFFSET(ORÇAMENTO!$X$15,ROW(AL518)-ROW(AL$15),0),0)</f>
        <v>0</v>
      </c>
      <c r="AM518" s="632">
        <f ca="1">IF(AND($D518="Serviço",AM$12&lt;&gt;0,$H518&gt;0,OR(AUTOEVENTO&lt;&gt;"manual",$M518&lt;&gt;1)),ROUND(OFFSET($P518,0,AM$13),15-13*ORÇAMENTO!$AF$7)/$H518*OFFSET(ORÇAMENTO!$X$15,ROW(AM518)-ROW(AM$15),0),0)</f>
        <v>0</v>
      </c>
      <c r="AN518" s="632">
        <f ca="1">IF(AND($D518="Serviço",AN$12&lt;&gt;0,$H518&gt;0,OR(AUTOEVENTO&lt;&gt;"manual",$M518&lt;&gt;1)),ROUND(OFFSET($P518,0,AN$13),15-13*ORÇAMENTO!$AF$7)/$H518*OFFSET(ORÇAMENTO!$X$15,ROW(AN518)-ROW(AN$15),0),0)</f>
        <v>0</v>
      </c>
      <c r="AO518" s="632">
        <f ca="1">IF(AND($D518="Serviço",AO$12&lt;&gt;0,$H518&gt;0,OR(AUTOEVENTO&lt;&gt;"manual",$M518&lt;&gt;1)),ROUND(OFFSET($P518,0,AO$13),15-13*ORÇAMENTO!$AF$7)/$H518*OFFSET(ORÇAMENTO!$X$15,ROW(AO518)-ROW(AO$15),0),0)</f>
        <v>0</v>
      </c>
      <c r="AP518" s="632">
        <f ca="1">IF(AND($D518="Serviço",AP$12&lt;&gt;0,$H518&gt;0,OR(AUTOEVENTO&lt;&gt;"manual",$M518&lt;&gt;1)),ROUND(OFFSET($P518,0,AP$13),15-13*ORÇAMENTO!$AF$7)/$H518*OFFSET(ORÇAMENTO!$X$15,ROW(AP518)-ROW(AP$15),0),0)</f>
        <v>0</v>
      </c>
      <c r="AQ518" s="632">
        <f ca="1">IF(AND($D518="Serviço",AQ$12&lt;&gt;0,$H518&gt;0,OR(AUTOEVENTO&lt;&gt;"manual",$M518&lt;&gt;1)),ROUND(OFFSET($P518,0,AQ$13),15-13*ORÇAMENTO!$AF$7)/$H518*OFFSET(ORÇAMENTO!$X$15,ROW(AQ518)-ROW(AQ$15),0),0)</f>
        <v>0</v>
      </c>
      <c r="AR518" s="632">
        <f ca="1">IF(AND($D518="Serviço",AR$12&lt;&gt;0,$H518&gt;0,OR(AUTOEVENTO&lt;&gt;"manual",$M518&lt;&gt;1)),ROUND(OFFSET($P518,0,AR$13),15-13*ORÇAMENTO!$AF$7)/$H518*OFFSET(ORÇAMENTO!$X$15,ROW(AR518)-ROW(AR$15),0),0)</f>
        <v>0</v>
      </c>
      <c r="AS518" s="633">
        <f ca="1">IF(AND($D518="Serviço",AS$12&lt;&gt;0,$H518&gt;0,OR(AUTOEVENTO&lt;&gt;"manual",$M518&lt;&gt;1)),ROUND(OFFSET($P518,0,AS$13),15-13*ORÇAMENTO!$AF$7)/$H518*OFFSET(ORÇAMENTO!$X$15,ROW(AS518)-ROW(AS$15),0),0)</f>
        <v>0</v>
      </c>
      <c r="AT518" s="632">
        <f ca="1">IF(AND($D518="Serviço",AT$12&lt;&gt;0,$H518&gt;0,OR(AUTOEVENTO&lt;&gt;"manual",$M518&lt;&gt;1)),ROUND(OFFSET($P518,0,AT$13),15-13*ORÇAMENTO!$AF$7)/$H518*OFFSET(ORÇAMENTO!$X$15,ROW(AT518)-ROW(AT$15),0),0)</f>
        <v>0</v>
      </c>
      <c r="AU518" s="632">
        <f ca="1">IF(AND($D518="Serviço",AU$12&lt;&gt;0,$H518&gt;0,OR(AUTOEVENTO&lt;&gt;"manual",$M518&lt;&gt;1)),ROUND(OFFSET($P518,0,AU$13),15-13*ORÇAMENTO!$AF$7)/$H518*OFFSET(ORÇAMENTO!$X$15,ROW(AU518)-ROW(AU$15),0),0)</f>
        <v>0</v>
      </c>
      <c r="AV518" s="632">
        <f ca="1">IF(AND($D518="Serviço",AV$12&lt;&gt;0,$H518&gt;0,OR(AUTOEVENTO&lt;&gt;"manual",$M518&lt;&gt;1)),ROUND(OFFSET($P518,0,AV$13),15-13*ORÇAMENTO!$AF$7)/$H518*OFFSET(ORÇAMENTO!$X$15,ROW(AV518)-ROW(AV$15),0),0)</f>
        <v>0</v>
      </c>
      <c r="AW518" s="632">
        <f ca="1">IF(AND($D518="Serviço",AW$12&lt;&gt;0,$H518&gt;0,OR(AUTOEVENTO&lt;&gt;"manual",$M518&lt;&gt;1)),ROUND(OFFSET($P518,0,AW$13),15-13*ORÇAMENTO!$AF$7)/$H518*OFFSET(ORÇAMENTO!$X$15,ROW(AW518)-ROW(AW$15),0),0)</f>
        <v>0</v>
      </c>
      <c r="AX518" s="632">
        <f ca="1">IF(AND($D518="Serviço",AX$12&lt;&gt;0,$H518&gt;0,OR(AUTOEVENTO&lt;&gt;"manual",$M518&lt;&gt;1)),ROUND(OFFSET($P518,0,AX$13),15-13*ORÇAMENTO!$AF$7)/$H518*OFFSET(ORÇAMENTO!$X$15,ROW(AX518)-ROW(AX$15),0),0)</f>
        <v>0</v>
      </c>
      <c r="AY518" s="632">
        <f ca="1">IF(AND($D518="Serviço",AY$12&lt;&gt;0,$H518&gt;0,OR(AUTOEVENTO&lt;&gt;"manual",$M518&lt;&gt;1)),ROUND(OFFSET($P518,0,AY$13),15-13*ORÇAMENTO!$AF$7)/$H518*OFFSET(ORÇAMENTO!$X$15,ROW(AY518)-ROW(AY$15),0),0)</f>
        <v>0</v>
      </c>
      <c r="AZ518" s="632">
        <f ca="1">IF(AND($D518="Serviço",AZ$12&lt;&gt;0,$H518&gt;0,OR(AUTOEVENTO&lt;&gt;"manual",$M518&lt;&gt;1)),ROUND(OFFSET($P518,0,AZ$13),15-13*ORÇAMENTO!$AF$7)/$H518*OFFSET(ORÇAMENTO!$X$15,ROW(AZ518)-ROW(AZ$15),0),0)</f>
        <v>0</v>
      </c>
      <c r="BA518" s="633">
        <f ca="1">IF(AND($D518="Serviço",BA$12&lt;&gt;0,$H518&gt;0,OR(AUTOEVENTO&lt;&gt;"manual",$M518&lt;&gt;1)),ROUND(OFFSET($P518,0,BA$13),15-13*ORÇAMENTO!$AF$7)/$H518*OFFSET(ORÇAMENTO!$X$15,ROW(BA518)-ROW(BA$15),0),0)</f>
        <v>0</v>
      </c>
      <c r="BC518" s="215">
        <f ca="1">IF($D518&lt;&gt;"Serviço",0,IF(AND(AUTOEVENTO="Manual",$M518=1),0,IF(OFFSET(CRONOPLE!$F$14,$M518,BC$13)="",10^12,OFFSET(CRONOPLE!$F$14,$M518,BC$13))))</f>
        <v>1000000000000</v>
      </c>
      <c r="BD518" s="215">
        <f ca="1">IF($D518&lt;&gt;"Serviço",0,IF(AND(AUTOEVENTO="Manual",$M518=1),0,IF(OFFSET(CRONOPLE!$F$14,$M518,BD$13)="",10^12,OFFSET(CRONOPLE!$F$14,$M518,BD$13))))</f>
        <v>1000000000000</v>
      </c>
      <c r="BE518" s="215">
        <f ca="1">IF($D518&lt;&gt;"Serviço",0,IF(AND(AUTOEVENTO="Manual",$M518=1),0,IF(OFFSET(CRONOPLE!$F$14,$M518,BE$13)="",10^12,OFFSET(CRONOPLE!$F$14,$M518,BE$13))))</f>
        <v>1000000000000</v>
      </c>
      <c r="BF518" s="215">
        <f ca="1">IF($D518&lt;&gt;"Serviço",0,IF(AND(AUTOEVENTO="Manual",$M518=1),0,IF(OFFSET(CRONOPLE!$F$14,$M518,BF$13)="",10^12,OFFSET(CRONOPLE!$F$14,$M518,BF$13))))</f>
        <v>1000000000000</v>
      </c>
      <c r="BG518" s="215">
        <f ca="1">IF($D518&lt;&gt;"Serviço",0,IF(AND(AUTOEVENTO="Manual",$M518=1),0,IF(OFFSET(CRONOPLE!$F$14,$M518,BG$13)="",10^12,OFFSET(CRONOPLE!$F$14,$M518,BG$13))))</f>
        <v>1000000000000</v>
      </c>
      <c r="BH518" s="215">
        <f ca="1">IF($D518&lt;&gt;"Serviço",0,IF(AND(AUTOEVENTO="Manual",$M518=1),0,IF(OFFSET(CRONOPLE!$F$14,$M518,BH$13)="",10^12,OFFSET(CRONOPLE!$F$14,$M518,BH$13))))</f>
        <v>1000000000000</v>
      </c>
      <c r="BI518" s="215">
        <f ca="1">IF($D518&lt;&gt;"Serviço",0,IF(AND(AUTOEVENTO="Manual",$M518=1),0,IF(OFFSET(CRONOPLE!$F$14,$M518,BI$13)="",10^12,OFFSET(CRONOPLE!$F$14,$M518,BI$13))))</f>
        <v>1000000000000</v>
      </c>
      <c r="BJ518" s="215">
        <f ca="1">IF($D518&lt;&gt;"Serviço",0,IF(AND(AUTOEVENTO="Manual",$M518=1),0,IF(OFFSET(CRONOPLE!$F$14,$M518,BJ$13)="",10^12,OFFSET(CRONOPLE!$F$14,$M518,BJ$13))))</f>
        <v>1000000000000</v>
      </c>
      <c r="BK518" s="215">
        <f ca="1">IF($D518&lt;&gt;"Serviço",0,IF(AND(AUTOEVENTO="Manual",$M518=1),0,IF(OFFSET(CRONOPLE!$F$14,$M518,BK$13)="",10^12,OFFSET(CRONOPLE!$F$14,$M518,BK$13))))</f>
        <v>1000000000000</v>
      </c>
      <c r="BL518" s="215">
        <f ca="1">IF($D518&lt;&gt;"Serviço",0,IF(AND(AUTOEVENTO="Manual",$M518=1),0,IF(OFFSET(CRONOPLE!$F$14,$M518,BL$13)="",10^12,OFFSET(CRONOPLE!$F$14,$M518,BL$13))))</f>
        <v>1000000000000</v>
      </c>
      <c r="BM518" s="215">
        <f ca="1">IF($D518&lt;&gt;"Serviço",0,IF(AND(AUTOEVENTO="Manual",$M518=1),0,IF(OFFSET(CRONOPLE!$F$14,$M518,BM$13)="",10^12,OFFSET(CRONOPLE!$F$14,$M518,BM$13))))</f>
        <v>1000000000000</v>
      </c>
      <c r="BN518" s="215">
        <f ca="1">IF($D518&lt;&gt;"Serviço",0,IF(AND(AUTOEVENTO="Manual",$M518=1),0,IF(OFFSET(CRONOPLE!$F$14,$M518,BN$13)="",10^12,OFFSET(CRONOPLE!$F$14,$M518,BN$13))))</f>
        <v>1000000000000</v>
      </c>
      <c r="BO518" s="215">
        <f ca="1">IF($D518&lt;&gt;"Serviço",0,IF(AND(AUTOEVENTO="Manual",$M518=1),0,IF(OFFSET(CRONOPLE!$F$14,$M518,BO$13)="",10^12,OFFSET(CRONOPLE!$F$14,$M518,BO$13))))</f>
        <v>1000000000000</v>
      </c>
      <c r="BP518" s="215">
        <f ca="1">IF($D518&lt;&gt;"Serviço",0,IF(AND(AUTOEVENTO="Manual",$M518=1),0,IF(OFFSET(CRONOPLE!$F$14,$M518,BP$13)="",10^12,OFFSET(CRONOPLE!$F$14,$M518,BP$13))))</f>
        <v>1000000000000</v>
      </c>
      <c r="BQ518" s="215">
        <f ca="1">IF($D518&lt;&gt;"Serviço",0,IF(AND(AUTOEVENTO="Manual",$M518=1),0,IF(OFFSET(CRONOPLE!$F$14,$M518,BQ$13)="",10^12,OFFSET(CRONOPLE!$F$14,$M518,BQ$13))))</f>
        <v>1000000000000</v>
      </c>
      <c r="BR518" s="215">
        <f ca="1">IF($D518&lt;&gt;"Serviço",0,IF(AND(AUTOEVENTO="Manual",$M518=1),0,IF(OFFSET(CRONOPLE!$F$14,$M518,BR$13)="",10^12,OFFSET(CRONOPLE!$F$14,$M518,BR$13))))</f>
        <v>1000000000000</v>
      </c>
      <c r="BS518" s="215">
        <f ca="1">IF($D518&lt;&gt;"Serviço",0,IF(AND(AUTOEVENTO="Manual",$M518=1),0,IF(OFFSET(CRONOPLE!$F$14,$M518,BS$13)="",10^12,OFFSET(CRONOPLE!$F$14,$M518,BS$13))))</f>
        <v>1000000000000</v>
      </c>
      <c r="BT518" s="215">
        <f ca="1">IF($D518&lt;&gt;"Serviço",0,IF(AND(AUTOEVENTO="Manual",$M518=1),0,IF(OFFSET(CRONOPLE!$F$14,$M518,BT$13)="",10^12,OFFSET(CRONOPLE!$F$14,$M518,BT$13))))</f>
        <v>1000000000000</v>
      </c>
      <c r="BV518" s="216">
        <f ca="1">IF($D518&lt;&gt;"Serviço",0,IF(OR(AND(AUTOEVENTO="Manual",$M518=1),$M518&gt;(ROW(PLE.lastrow)-ROW(PLE.firstrow))),0,IF(OFFSET(PLE!$G$14,$M518,BV$13)="",10^12,OFFSET(PLE!$G$14,$M518,BV$13))))</f>
        <v>1000000000000</v>
      </c>
      <c r="BW518" s="216">
        <f ca="1">IF($D518&lt;&gt;"Serviço",0,IF(OR(AND(AUTOEVENTO="Manual",$M518=1),$M518&gt;(ROW(PLE.lastrow)-ROW(PLE.firstrow))),0,IF(OFFSET(PLE!$G$14,$M518,BW$13)="",10^12,OFFSET(PLE!$G$14,$M518,BW$13))))</f>
        <v>1000000000000</v>
      </c>
      <c r="BX518" s="216">
        <f ca="1">IF($D518&lt;&gt;"Serviço",0,IF(OR(AND(AUTOEVENTO="Manual",$M518=1),$M518&gt;(ROW(PLE.lastrow)-ROW(PLE.firstrow))),0,IF(OFFSET(PLE!$G$14,$M518,BX$13)="",10^12,OFFSET(PLE!$G$14,$M518,BX$13))))</f>
        <v>1000000000000</v>
      </c>
      <c r="BY518" s="216">
        <f ca="1">IF($D518&lt;&gt;"Serviço",0,IF(OR(AND(AUTOEVENTO="Manual",$M518=1),$M518&gt;(ROW(PLE.lastrow)-ROW(PLE.firstrow))),0,IF(OFFSET(PLE!$G$14,$M518,BY$13)="",10^12,OFFSET(PLE!$G$14,$M518,BY$13))))</f>
        <v>1000000000000</v>
      </c>
      <c r="BZ518" s="216">
        <f ca="1">IF($D518&lt;&gt;"Serviço",0,IF(OR(AND(AUTOEVENTO="Manual",$M518=1),$M518&gt;(ROW(PLE.lastrow)-ROW(PLE.firstrow))),0,IF(OFFSET(PLE!$G$14,$M518,BZ$13)="",10^12,OFFSET(PLE!$G$14,$M518,BZ$13))))</f>
        <v>1000000000000</v>
      </c>
      <c r="CA518" s="216">
        <f ca="1">IF($D518&lt;&gt;"Serviço",0,IF(OR(AND(AUTOEVENTO="Manual",$M518=1),$M518&gt;(ROW(PLE.lastrow)-ROW(PLE.firstrow))),0,IF(OFFSET(PLE!$G$14,$M518,CA$13)="",10^12,OFFSET(PLE!$G$14,$M518,CA$13))))</f>
        <v>1000000000000</v>
      </c>
      <c r="CB518" s="216">
        <f ca="1">IF($D518&lt;&gt;"Serviço",0,IF(OR(AND(AUTOEVENTO="Manual",$M518=1),$M518&gt;(ROW(PLE.lastrow)-ROW(PLE.firstrow))),0,IF(OFFSET(PLE!$G$14,$M518,CB$13)="",10^12,OFFSET(PLE!$G$14,$M518,CB$13))))</f>
        <v>1000000000000</v>
      </c>
      <c r="CC518" s="216">
        <f ca="1">IF($D518&lt;&gt;"Serviço",0,IF(OR(AND(AUTOEVENTO="Manual",$M518=1),$M518&gt;(ROW(PLE.lastrow)-ROW(PLE.firstrow))),0,IF(OFFSET(PLE!$G$14,$M518,CC$13)="",10^12,OFFSET(PLE!$G$14,$M518,CC$13))))</f>
        <v>1000000000000</v>
      </c>
      <c r="CD518" s="216">
        <f ca="1">IF($D518&lt;&gt;"Serviço",0,IF(OR(AND(AUTOEVENTO="Manual",$M518=1),$M518&gt;(ROW(PLE.lastrow)-ROW(PLE.firstrow))),0,IF(OFFSET(PLE!$G$14,$M518,CD$13)="",10^12,OFFSET(PLE!$G$14,$M518,CD$13))))</f>
        <v>1000000000000</v>
      </c>
      <c r="CE518" s="216">
        <f ca="1">IF($D518&lt;&gt;"Serviço",0,IF(OR(AND(AUTOEVENTO="Manual",$M518=1),$M518&gt;(ROW(PLE.lastrow)-ROW(PLE.firstrow))),0,IF(OFFSET(PLE!$G$14,$M518,CE$13)="",10^12,OFFSET(PLE!$G$14,$M518,CE$13))))</f>
        <v>1000000000000</v>
      </c>
      <c r="CF518" s="216">
        <f ca="1">IF($D518&lt;&gt;"Serviço",0,IF(OR(AND(AUTOEVENTO="Manual",$M518=1),$M518&gt;(ROW(PLE.lastrow)-ROW(PLE.firstrow))),0,IF(OFFSET(PLE!$G$14,$M518,CF$13)="",10^12,OFFSET(PLE!$G$14,$M518,CF$13))))</f>
        <v>1000000000000</v>
      </c>
      <c r="CG518" s="216">
        <f ca="1">IF($D518&lt;&gt;"Serviço",0,IF(OR(AND(AUTOEVENTO="Manual",$M518=1),$M518&gt;(ROW(PLE.lastrow)-ROW(PLE.firstrow))),0,IF(OFFSET(PLE!$G$14,$M518,CG$13)="",10^12,OFFSET(PLE!$G$14,$M518,CG$13))))</f>
        <v>1000000000000</v>
      </c>
      <c r="CH518" s="216">
        <f ca="1">IF($D518&lt;&gt;"Serviço",0,IF(OR(AND(AUTOEVENTO="Manual",$M518=1),$M518&gt;(ROW(PLE.lastrow)-ROW(PLE.firstrow))),0,IF(OFFSET(PLE!$G$14,$M518,CH$13)="",10^12,OFFSET(PLE!$G$14,$M518,CH$13))))</f>
        <v>1000000000000</v>
      </c>
      <c r="CI518" s="216">
        <f ca="1">IF($D518&lt;&gt;"Serviço",0,IF(OR(AND(AUTOEVENTO="Manual",$M518=1),$M518&gt;(ROW(PLE.lastrow)-ROW(PLE.firstrow))),0,IF(OFFSET(PLE!$G$14,$M518,CI$13)="",10^12,OFFSET(PLE!$G$14,$M518,CI$13))))</f>
        <v>1000000000000</v>
      </c>
      <c r="CJ518" s="216">
        <f ca="1">IF($D518&lt;&gt;"Serviço",0,IF(OR(AND(AUTOEVENTO="Manual",$M518=1),$M518&gt;(ROW(PLE.lastrow)-ROW(PLE.firstrow))),0,IF(OFFSET(PLE!$G$14,$M518,CJ$13)="",10^12,OFFSET(PLE!$G$14,$M518,CJ$13))))</f>
        <v>1000000000000</v>
      </c>
      <c r="CK518" s="216">
        <f ca="1">IF($D518&lt;&gt;"Serviço",0,IF(OR(AND(AUTOEVENTO="Manual",$M518=1),$M518&gt;(ROW(PLE.lastrow)-ROW(PLE.firstrow))),0,IF(OFFSET(PLE!$G$14,$M518,CK$13)="",10^12,OFFSET(PLE!$G$14,$M518,CK$13))))</f>
        <v>1000000000000</v>
      </c>
      <c r="CL518" s="216">
        <f ca="1">IF($D518&lt;&gt;"Serviço",0,IF(OR(AND(AUTOEVENTO="Manual",$M518=1),$M518&gt;(ROW(PLE.lastrow)-ROW(PLE.firstrow))),0,IF(OFFSET(PLE!$G$14,$M518,CL$13)="",10^12,OFFSET(PLE!$G$14,$M518,CL$13))))</f>
        <v>1000000000000</v>
      </c>
      <c r="CM518" s="216">
        <f ca="1">IF($D518&lt;&gt;"Serviço",0,IF(OR(AND(AUTOEVENTO="Manual",$M518=1),$M518&gt;(ROW(PLE.lastrow)-ROW(PLE.firstrow))),0,IF(OFFSET(PLE!$G$14,$M518,CM$13)="",10^12,OFFSET(PLE!$G$14,$M518,CM$13))))</f>
        <v>1000000000000</v>
      </c>
    </row>
    <row r="519" spans="1:91" ht="13.2" x14ac:dyDescent="0.25">
      <c r="A519" s="9">
        <f t="shared" ca="1" si="16"/>
        <v>0</v>
      </c>
      <c r="B519" s="9" t="str">
        <f ca="1">OFFSET(ORÇAMENTO!C$15,ROW(B519)-ROW(B$15),0)</f>
        <v>S</v>
      </c>
      <c r="C519" s="9" t="str">
        <f ca="1">OFFSET(ORÇAMENTO!L$15,ROW(C519)-ROW(C$15),0)</f>
        <v/>
      </c>
      <c r="D519" s="145" t="str">
        <f ca="1">OFFSET(ORÇAMENTO!N$15,ROW(D519)-ROW(D$15),0)</f>
        <v>Serviço</v>
      </c>
      <c r="E519" s="205" t="str">
        <f ca="1">OFFSET(ORÇAMENTO!O$15,ROW(E519)-ROW(E$15),0)</f>
        <v>-</v>
      </c>
      <c r="F519" s="206" t="str">
        <f ca="1">OFFSET(ORÇAMENTO!R$15,ROW(F519)-ROW(F$15),0)</f>
        <v>(abra o arquivo 'Referência 05-2024.xls)</v>
      </c>
      <c r="G519" s="207" t="str">
        <f ca="1">IF($D519&lt;&gt;"Serviço","",OFFSET(ORÇAMENTO!S$15,ROW(G519)-ROW(G$15),0))</f>
        <v>-</v>
      </c>
      <c r="H519" s="151">
        <f ca="1">IF($D519&lt;&gt;"Serviço",0,IF(ACOMPANHAMENTO="BM",ROUND(OFFSET(ORÇAMENTO!AJ$15,ROW(H519)-ROW(H$15),0),15-13*ORÇAMENTO!$AF$7),SUMPRODUCT(($Q$12:$AI$12&lt;&gt;"")*ROUND($Q519:$AI519,15-13*ORÇAMENTO!$AF$7))))</f>
        <v>9</v>
      </c>
      <c r="I519" s="650"/>
      <c r="K519" s="208"/>
      <c r="L519" s="209" t="s">
        <v>257</v>
      </c>
      <c r="M519" s="210">
        <f ca="1">IF($D519&lt;&gt;"Serviço","",IF(AUTOEVENTO="manual",$A519,IF(ISERROR(MATCH($A519,$A$15:OFFSET($A519,-1,0),0)),MAX($M$15:OFFSET(M519,-1,0))+1,INDEX($M$15:OFFSET(M519,-1,0),MATCH($A519,$A$15:OFFSET($A519,-1,0),0)))))</f>
        <v>0</v>
      </c>
      <c r="N519" s="211" t="str">
        <f ca="1">IF($D519&lt;&gt;"Serviço","",IF(AUTOEVENTO="Manual",IF($A519=0,"&lt;-- defina o número do agrupador",OFFSET(EVENTOS!$D$14,$A519,0)),OFFSET($F$15,$A519,0)))</f>
        <v>&lt;-- defina o número do agrupador</v>
      </c>
      <c r="O519" s="212"/>
      <c r="Q519" s="212"/>
      <c r="R519" s="213"/>
      <c r="S519" s="213"/>
      <c r="T519" s="213"/>
      <c r="U519" s="213"/>
      <c r="V519" s="213"/>
      <c r="W519" s="213"/>
      <c r="X519" s="213"/>
      <c r="Y519" s="213"/>
      <c r="Z519" s="214"/>
      <c r="AA519" s="213"/>
      <c r="AB519" s="213"/>
      <c r="AC519" s="213"/>
      <c r="AD519" s="213"/>
      <c r="AE519" s="213"/>
      <c r="AF519" s="213"/>
      <c r="AG519" s="213"/>
      <c r="AH519" s="214"/>
      <c r="AJ519" s="631">
        <f ca="1">IF(AND($D519="Serviço",AJ$12&lt;&gt;0,$H519&gt;0,OR(AUTOEVENTO&lt;&gt;"manual",$M519&lt;&gt;1)),ROUND(OFFSET($P519,0,AJ$13),15-13*ORÇAMENTO!$AF$7)/$H519*OFFSET(ORÇAMENTO!$X$15,ROW(AJ519)-ROW(AJ$15),0),0)</f>
        <v>0</v>
      </c>
      <c r="AK519" s="632">
        <f ca="1">IF(AND($D519="Serviço",AK$12&lt;&gt;0,$H519&gt;0,OR(AUTOEVENTO&lt;&gt;"manual",$M519&lt;&gt;1)),ROUND(OFFSET($P519,0,AK$13),15-13*ORÇAMENTO!$AF$7)/$H519*OFFSET(ORÇAMENTO!$X$15,ROW(AK519)-ROW(AK$15),0),0)</f>
        <v>0</v>
      </c>
      <c r="AL519" s="632">
        <f ca="1">IF(AND($D519="Serviço",AL$12&lt;&gt;0,$H519&gt;0,OR(AUTOEVENTO&lt;&gt;"manual",$M519&lt;&gt;1)),ROUND(OFFSET($P519,0,AL$13),15-13*ORÇAMENTO!$AF$7)/$H519*OFFSET(ORÇAMENTO!$X$15,ROW(AL519)-ROW(AL$15),0),0)</f>
        <v>0</v>
      </c>
      <c r="AM519" s="632">
        <f ca="1">IF(AND($D519="Serviço",AM$12&lt;&gt;0,$H519&gt;0,OR(AUTOEVENTO&lt;&gt;"manual",$M519&lt;&gt;1)),ROUND(OFFSET($P519,0,AM$13),15-13*ORÇAMENTO!$AF$7)/$H519*OFFSET(ORÇAMENTO!$X$15,ROW(AM519)-ROW(AM$15),0),0)</f>
        <v>0</v>
      </c>
      <c r="AN519" s="632">
        <f ca="1">IF(AND($D519="Serviço",AN$12&lt;&gt;0,$H519&gt;0,OR(AUTOEVENTO&lt;&gt;"manual",$M519&lt;&gt;1)),ROUND(OFFSET($P519,0,AN$13),15-13*ORÇAMENTO!$AF$7)/$H519*OFFSET(ORÇAMENTO!$X$15,ROW(AN519)-ROW(AN$15),0),0)</f>
        <v>0</v>
      </c>
      <c r="AO519" s="632">
        <f ca="1">IF(AND($D519="Serviço",AO$12&lt;&gt;0,$H519&gt;0,OR(AUTOEVENTO&lt;&gt;"manual",$M519&lt;&gt;1)),ROUND(OFFSET($P519,0,AO$13),15-13*ORÇAMENTO!$AF$7)/$H519*OFFSET(ORÇAMENTO!$X$15,ROW(AO519)-ROW(AO$15),0),0)</f>
        <v>0</v>
      </c>
      <c r="AP519" s="632">
        <f ca="1">IF(AND($D519="Serviço",AP$12&lt;&gt;0,$H519&gt;0,OR(AUTOEVENTO&lt;&gt;"manual",$M519&lt;&gt;1)),ROUND(OFFSET($P519,0,AP$13),15-13*ORÇAMENTO!$AF$7)/$H519*OFFSET(ORÇAMENTO!$X$15,ROW(AP519)-ROW(AP$15),0),0)</f>
        <v>0</v>
      </c>
      <c r="AQ519" s="632">
        <f ca="1">IF(AND($D519="Serviço",AQ$12&lt;&gt;0,$H519&gt;0,OR(AUTOEVENTO&lt;&gt;"manual",$M519&lt;&gt;1)),ROUND(OFFSET($P519,0,AQ$13),15-13*ORÇAMENTO!$AF$7)/$H519*OFFSET(ORÇAMENTO!$X$15,ROW(AQ519)-ROW(AQ$15),0),0)</f>
        <v>0</v>
      </c>
      <c r="AR519" s="632">
        <f ca="1">IF(AND($D519="Serviço",AR$12&lt;&gt;0,$H519&gt;0,OR(AUTOEVENTO&lt;&gt;"manual",$M519&lt;&gt;1)),ROUND(OFFSET($P519,0,AR$13),15-13*ORÇAMENTO!$AF$7)/$H519*OFFSET(ORÇAMENTO!$X$15,ROW(AR519)-ROW(AR$15),0),0)</f>
        <v>0</v>
      </c>
      <c r="AS519" s="633">
        <f ca="1">IF(AND($D519="Serviço",AS$12&lt;&gt;0,$H519&gt;0,OR(AUTOEVENTO&lt;&gt;"manual",$M519&lt;&gt;1)),ROUND(OFFSET($P519,0,AS$13),15-13*ORÇAMENTO!$AF$7)/$H519*OFFSET(ORÇAMENTO!$X$15,ROW(AS519)-ROW(AS$15),0),0)</f>
        <v>0</v>
      </c>
      <c r="AT519" s="632">
        <f ca="1">IF(AND($D519="Serviço",AT$12&lt;&gt;0,$H519&gt;0,OR(AUTOEVENTO&lt;&gt;"manual",$M519&lt;&gt;1)),ROUND(OFFSET($P519,0,AT$13),15-13*ORÇAMENTO!$AF$7)/$H519*OFFSET(ORÇAMENTO!$X$15,ROW(AT519)-ROW(AT$15),0),0)</f>
        <v>0</v>
      </c>
      <c r="AU519" s="632">
        <f ca="1">IF(AND($D519="Serviço",AU$12&lt;&gt;0,$H519&gt;0,OR(AUTOEVENTO&lt;&gt;"manual",$M519&lt;&gt;1)),ROUND(OFFSET($P519,0,AU$13),15-13*ORÇAMENTO!$AF$7)/$H519*OFFSET(ORÇAMENTO!$X$15,ROW(AU519)-ROW(AU$15),0),0)</f>
        <v>0</v>
      </c>
      <c r="AV519" s="632">
        <f ca="1">IF(AND($D519="Serviço",AV$12&lt;&gt;0,$H519&gt;0,OR(AUTOEVENTO&lt;&gt;"manual",$M519&lt;&gt;1)),ROUND(OFFSET($P519,0,AV$13),15-13*ORÇAMENTO!$AF$7)/$H519*OFFSET(ORÇAMENTO!$X$15,ROW(AV519)-ROW(AV$15),0),0)</f>
        <v>0</v>
      </c>
      <c r="AW519" s="632">
        <f ca="1">IF(AND($D519="Serviço",AW$12&lt;&gt;0,$H519&gt;0,OR(AUTOEVENTO&lt;&gt;"manual",$M519&lt;&gt;1)),ROUND(OFFSET($P519,0,AW$13),15-13*ORÇAMENTO!$AF$7)/$H519*OFFSET(ORÇAMENTO!$X$15,ROW(AW519)-ROW(AW$15),0),0)</f>
        <v>0</v>
      </c>
      <c r="AX519" s="632">
        <f ca="1">IF(AND($D519="Serviço",AX$12&lt;&gt;0,$H519&gt;0,OR(AUTOEVENTO&lt;&gt;"manual",$M519&lt;&gt;1)),ROUND(OFFSET($P519,0,AX$13),15-13*ORÇAMENTO!$AF$7)/$H519*OFFSET(ORÇAMENTO!$X$15,ROW(AX519)-ROW(AX$15),0),0)</f>
        <v>0</v>
      </c>
      <c r="AY519" s="632">
        <f ca="1">IF(AND($D519="Serviço",AY$12&lt;&gt;0,$H519&gt;0,OR(AUTOEVENTO&lt;&gt;"manual",$M519&lt;&gt;1)),ROUND(OFFSET($P519,0,AY$13),15-13*ORÇAMENTO!$AF$7)/$H519*OFFSET(ORÇAMENTO!$X$15,ROW(AY519)-ROW(AY$15),0),0)</f>
        <v>0</v>
      </c>
      <c r="AZ519" s="632">
        <f ca="1">IF(AND($D519="Serviço",AZ$12&lt;&gt;0,$H519&gt;0,OR(AUTOEVENTO&lt;&gt;"manual",$M519&lt;&gt;1)),ROUND(OFFSET($P519,0,AZ$13),15-13*ORÇAMENTO!$AF$7)/$H519*OFFSET(ORÇAMENTO!$X$15,ROW(AZ519)-ROW(AZ$15),0),0)</f>
        <v>0</v>
      </c>
      <c r="BA519" s="633">
        <f ca="1">IF(AND($D519="Serviço",BA$12&lt;&gt;0,$H519&gt;0,OR(AUTOEVENTO&lt;&gt;"manual",$M519&lt;&gt;1)),ROUND(OFFSET($P519,0,BA$13),15-13*ORÇAMENTO!$AF$7)/$H519*OFFSET(ORÇAMENTO!$X$15,ROW(BA519)-ROW(BA$15),0),0)</f>
        <v>0</v>
      </c>
      <c r="BC519" s="215">
        <f ca="1">IF($D519&lt;&gt;"Serviço",0,IF(AND(AUTOEVENTO="Manual",$M519=1),0,IF(OFFSET(CRONOPLE!$F$14,$M519,BC$13)="",10^12,OFFSET(CRONOPLE!$F$14,$M519,BC$13))))</f>
        <v>1000000000000</v>
      </c>
      <c r="BD519" s="215">
        <f ca="1">IF($D519&lt;&gt;"Serviço",0,IF(AND(AUTOEVENTO="Manual",$M519=1),0,IF(OFFSET(CRONOPLE!$F$14,$M519,BD$13)="",10^12,OFFSET(CRONOPLE!$F$14,$M519,BD$13))))</f>
        <v>1000000000000</v>
      </c>
      <c r="BE519" s="215">
        <f ca="1">IF($D519&lt;&gt;"Serviço",0,IF(AND(AUTOEVENTO="Manual",$M519=1),0,IF(OFFSET(CRONOPLE!$F$14,$M519,BE$13)="",10^12,OFFSET(CRONOPLE!$F$14,$M519,BE$13))))</f>
        <v>1000000000000</v>
      </c>
      <c r="BF519" s="215">
        <f ca="1">IF($D519&lt;&gt;"Serviço",0,IF(AND(AUTOEVENTO="Manual",$M519=1),0,IF(OFFSET(CRONOPLE!$F$14,$M519,BF$13)="",10^12,OFFSET(CRONOPLE!$F$14,$M519,BF$13))))</f>
        <v>1000000000000</v>
      </c>
      <c r="BG519" s="215">
        <f ca="1">IF($D519&lt;&gt;"Serviço",0,IF(AND(AUTOEVENTO="Manual",$M519=1),0,IF(OFFSET(CRONOPLE!$F$14,$M519,BG$13)="",10^12,OFFSET(CRONOPLE!$F$14,$M519,BG$13))))</f>
        <v>1000000000000</v>
      </c>
      <c r="BH519" s="215">
        <f ca="1">IF($D519&lt;&gt;"Serviço",0,IF(AND(AUTOEVENTO="Manual",$M519=1),0,IF(OFFSET(CRONOPLE!$F$14,$M519,BH$13)="",10^12,OFFSET(CRONOPLE!$F$14,$M519,BH$13))))</f>
        <v>1000000000000</v>
      </c>
      <c r="BI519" s="215">
        <f ca="1">IF($D519&lt;&gt;"Serviço",0,IF(AND(AUTOEVENTO="Manual",$M519=1),0,IF(OFFSET(CRONOPLE!$F$14,$M519,BI$13)="",10^12,OFFSET(CRONOPLE!$F$14,$M519,BI$13))))</f>
        <v>1000000000000</v>
      </c>
      <c r="BJ519" s="215">
        <f ca="1">IF($D519&lt;&gt;"Serviço",0,IF(AND(AUTOEVENTO="Manual",$M519=1),0,IF(OFFSET(CRONOPLE!$F$14,$M519,BJ$13)="",10^12,OFFSET(CRONOPLE!$F$14,$M519,BJ$13))))</f>
        <v>1000000000000</v>
      </c>
      <c r="BK519" s="215">
        <f ca="1">IF($D519&lt;&gt;"Serviço",0,IF(AND(AUTOEVENTO="Manual",$M519=1),0,IF(OFFSET(CRONOPLE!$F$14,$M519,BK$13)="",10^12,OFFSET(CRONOPLE!$F$14,$M519,BK$13))))</f>
        <v>1000000000000</v>
      </c>
      <c r="BL519" s="215">
        <f ca="1">IF($D519&lt;&gt;"Serviço",0,IF(AND(AUTOEVENTO="Manual",$M519=1),0,IF(OFFSET(CRONOPLE!$F$14,$M519,BL$13)="",10^12,OFFSET(CRONOPLE!$F$14,$M519,BL$13))))</f>
        <v>1000000000000</v>
      </c>
      <c r="BM519" s="215">
        <f ca="1">IF($D519&lt;&gt;"Serviço",0,IF(AND(AUTOEVENTO="Manual",$M519=1),0,IF(OFFSET(CRONOPLE!$F$14,$M519,BM$13)="",10^12,OFFSET(CRONOPLE!$F$14,$M519,BM$13))))</f>
        <v>1000000000000</v>
      </c>
      <c r="BN519" s="215">
        <f ca="1">IF($D519&lt;&gt;"Serviço",0,IF(AND(AUTOEVENTO="Manual",$M519=1),0,IF(OFFSET(CRONOPLE!$F$14,$M519,BN$13)="",10^12,OFFSET(CRONOPLE!$F$14,$M519,BN$13))))</f>
        <v>1000000000000</v>
      </c>
      <c r="BO519" s="215">
        <f ca="1">IF($D519&lt;&gt;"Serviço",0,IF(AND(AUTOEVENTO="Manual",$M519=1),0,IF(OFFSET(CRONOPLE!$F$14,$M519,BO$13)="",10^12,OFFSET(CRONOPLE!$F$14,$M519,BO$13))))</f>
        <v>1000000000000</v>
      </c>
      <c r="BP519" s="215">
        <f ca="1">IF($D519&lt;&gt;"Serviço",0,IF(AND(AUTOEVENTO="Manual",$M519=1),0,IF(OFFSET(CRONOPLE!$F$14,$M519,BP$13)="",10^12,OFFSET(CRONOPLE!$F$14,$M519,BP$13))))</f>
        <v>1000000000000</v>
      </c>
      <c r="BQ519" s="215">
        <f ca="1">IF($D519&lt;&gt;"Serviço",0,IF(AND(AUTOEVENTO="Manual",$M519=1),0,IF(OFFSET(CRONOPLE!$F$14,$M519,BQ$13)="",10^12,OFFSET(CRONOPLE!$F$14,$M519,BQ$13))))</f>
        <v>1000000000000</v>
      </c>
      <c r="BR519" s="215">
        <f ca="1">IF($D519&lt;&gt;"Serviço",0,IF(AND(AUTOEVENTO="Manual",$M519=1),0,IF(OFFSET(CRONOPLE!$F$14,$M519,BR$13)="",10^12,OFFSET(CRONOPLE!$F$14,$M519,BR$13))))</f>
        <v>1000000000000</v>
      </c>
      <c r="BS519" s="215">
        <f ca="1">IF($D519&lt;&gt;"Serviço",0,IF(AND(AUTOEVENTO="Manual",$M519=1),0,IF(OFFSET(CRONOPLE!$F$14,$M519,BS$13)="",10^12,OFFSET(CRONOPLE!$F$14,$M519,BS$13))))</f>
        <v>1000000000000</v>
      </c>
      <c r="BT519" s="215">
        <f ca="1">IF($D519&lt;&gt;"Serviço",0,IF(AND(AUTOEVENTO="Manual",$M519=1),0,IF(OFFSET(CRONOPLE!$F$14,$M519,BT$13)="",10^12,OFFSET(CRONOPLE!$F$14,$M519,BT$13))))</f>
        <v>1000000000000</v>
      </c>
      <c r="BV519" s="216">
        <f ca="1">IF($D519&lt;&gt;"Serviço",0,IF(OR(AND(AUTOEVENTO="Manual",$M519=1),$M519&gt;(ROW(PLE.lastrow)-ROW(PLE.firstrow))),0,IF(OFFSET(PLE!$G$14,$M519,BV$13)="",10^12,OFFSET(PLE!$G$14,$M519,BV$13))))</f>
        <v>1000000000000</v>
      </c>
      <c r="BW519" s="216">
        <f ca="1">IF($D519&lt;&gt;"Serviço",0,IF(OR(AND(AUTOEVENTO="Manual",$M519=1),$M519&gt;(ROW(PLE.lastrow)-ROW(PLE.firstrow))),0,IF(OFFSET(PLE!$G$14,$M519,BW$13)="",10^12,OFFSET(PLE!$G$14,$M519,BW$13))))</f>
        <v>1000000000000</v>
      </c>
      <c r="BX519" s="216">
        <f ca="1">IF($D519&lt;&gt;"Serviço",0,IF(OR(AND(AUTOEVENTO="Manual",$M519=1),$M519&gt;(ROW(PLE.lastrow)-ROW(PLE.firstrow))),0,IF(OFFSET(PLE!$G$14,$M519,BX$13)="",10^12,OFFSET(PLE!$G$14,$M519,BX$13))))</f>
        <v>1000000000000</v>
      </c>
      <c r="BY519" s="216">
        <f ca="1">IF($D519&lt;&gt;"Serviço",0,IF(OR(AND(AUTOEVENTO="Manual",$M519=1),$M519&gt;(ROW(PLE.lastrow)-ROW(PLE.firstrow))),0,IF(OFFSET(PLE!$G$14,$M519,BY$13)="",10^12,OFFSET(PLE!$G$14,$M519,BY$13))))</f>
        <v>1000000000000</v>
      </c>
      <c r="BZ519" s="216">
        <f ca="1">IF($D519&lt;&gt;"Serviço",0,IF(OR(AND(AUTOEVENTO="Manual",$M519=1),$M519&gt;(ROW(PLE.lastrow)-ROW(PLE.firstrow))),0,IF(OFFSET(PLE!$G$14,$M519,BZ$13)="",10^12,OFFSET(PLE!$G$14,$M519,BZ$13))))</f>
        <v>1000000000000</v>
      </c>
      <c r="CA519" s="216">
        <f ca="1">IF($D519&lt;&gt;"Serviço",0,IF(OR(AND(AUTOEVENTO="Manual",$M519=1),$M519&gt;(ROW(PLE.lastrow)-ROW(PLE.firstrow))),0,IF(OFFSET(PLE!$G$14,$M519,CA$13)="",10^12,OFFSET(PLE!$G$14,$M519,CA$13))))</f>
        <v>1000000000000</v>
      </c>
      <c r="CB519" s="216">
        <f ca="1">IF($D519&lt;&gt;"Serviço",0,IF(OR(AND(AUTOEVENTO="Manual",$M519=1),$M519&gt;(ROW(PLE.lastrow)-ROW(PLE.firstrow))),0,IF(OFFSET(PLE!$G$14,$M519,CB$13)="",10^12,OFFSET(PLE!$G$14,$M519,CB$13))))</f>
        <v>1000000000000</v>
      </c>
      <c r="CC519" s="216">
        <f ca="1">IF($D519&lt;&gt;"Serviço",0,IF(OR(AND(AUTOEVENTO="Manual",$M519=1),$M519&gt;(ROW(PLE.lastrow)-ROW(PLE.firstrow))),0,IF(OFFSET(PLE!$G$14,$M519,CC$13)="",10^12,OFFSET(PLE!$G$14,$M519,CC$13))))</f>
        <v>1000000000000</v>
      </c>
      <c r="CD519" s="216">
        <f ca="1">IF($D519&lt;&gt;"Serviço",0,IF(OR(AND(AUTOEVENTO="Manual",$M519=1),$M519&gt;(ROW(PLE.lastrow)-ROW(PLE.firstrow))),0,IF(OFFSET(PLE!$G$14,$M519,CD$13)="",10^12,OFFSET(PLE!$G$14,$M519,CD$13))))</f>
        <v>1000000000000</v>
      </c>
      <c r="CE519" s="216">
        <f ca="1">IF($D519&lt;&gt;"Serviço",0,IF(OR(AND(AUTOEVENTO="Manual",$M519=1),$M519&gt;(ROW(PLE.lastrow)-ROW(PLE.firstrow))),0,IF(OFFSET(PLE!$G$14,$M519,CE$13)="",10^12,OFFSET(PLE!$G$14,$M519,CE$13))))</f>
        <v>1000000000000</v>
      </c>
      <c r="CF519" s="216">
        <f ca="1">IF($D519&lt;&gt;"Serviço",0,IF(OR(AND(AUTOEVENTO="Manual",$M519=1),$M519&gt;(ROW(PLE.lastrow)-ROW(PLE.firstrow))),0,IF(OFFSET(PLE!$G$14,$M519,CF$13)="",10^12,OFFSET(PLE!$G$14,$M519,CF$13))))</f>
        <v>1000000000000</v>
      </c>
      <c r="CG519" s="216">
        <f ca="1">IF($D519&lt;&gt;"Serviço",0,IF(OR(AND(AUTOEVENTO="Manual",$M519=1),$M519&gt;(ROW(PLE.lastrow)-ROW(PLE.firstrow))),0,IF(OFFSET(PLE!$G$14,$M519,CG$13)="",10^12,OFFSET(PLE!$G$14,$M519,CG$13))))</f>
        <v>1000000000000</v>
      </c>
      <c r="CH519" s="216">
        <f ca="1">IF($D519&lt;&gt;"Serviço",0,IF(OR(AND(AUTOEVENTO="Manual",$M519=1),$M519&gt;(ROW(PLE.lastrow)-ROW(PLE.firstrow))),0,IF(OFFSET(PLE!$G$14,$M519,CH$13)="",10^12,OFFSET(PLE!$G$14,$M519,CH$13))))</f>
        <v>1000000000000</v>
      </c>
      <c r="CI519" s="216">
        <f ca="1">IF($D519&lt;&gt;"Serviço",0,IF(OR(AND(AUTOEVENTO="Manual",$M519=1),$M519&gt;(ROW(PLE.lastrow)-ROW(PLE.firstrow))),0,IF(OFFSET(PLE!$G$14,$M519,CI$13)="",10^12,OFFSET(PLE!$G$14,$M519,CI$13))))</f>
        <v>1000000000000</v>
      </c>
      <c r="CJ519" s="216">
        <f ca="1">IF($D519&lt;&gt;"Serviço",0,IF(OR(AND(AUTOEVENTO="Manual",$M519=1),$M519&gt;(ROW(PLE.lastrow)-ROW(PLE.firstrow))),0,IF(OFFSET(PLE!$G$14,$M519,CJ$13)="",10^12,OFFSET(PLE!$G$14,$M519,CJ$13))))</f>
        <v>1000000000000</v>
      </c>
      <c r="CK519" s="216">
        <f ca="1">IF($D519&lt;&gt;"Serviço",0,IF(OR(AND(AUTOEVENTO="Manual",$M519=1),$M519&gt;(ROW(PLE.lastrow)-ROW(PLE.firstrow))),0,IF(OFFSET(PLE!$G$14,$M519,CK$13)="",10^12,OFFSET(PLE!$G$14,$M519,CK$13))))</f>
        <v>1000000000000</v>
      </c>
      <c r="CL519" s="216">
        <f ca="1">IF($D519&lt;&gt;"Serviço",0,IF(OR(AND(AUTOEVENTO="Manual",$M519=1),$M519&gt;(ROW(PLE.lastrow)-ROW(PLE.firstrow))),0,IF(OFFSET(PLE!$G$14,$M519,CL$13)="",10^12,OFFSET(PLE!$G$14,$M519,CL$13))))</f>
        <v>1000000000000</v>
      </c>
      <c r="CM519" s="216">
        <f ca="1">IF($D519&lt;&gt;"Serviço",0,IF(OR(AND(AUTOEVENTO="Manual",$M519=1),$M519&gt;(ROW(PLE.lastrow)-ROW(PLE.firstrow))),0,IF(OFFSET(PLE!$G$14,$M519,CM$13)="",10^12,OFFSET(PLE!$G$14,$M519,CM$13))))</f>
        <v>1000000000000</v>
      </c>
    </row>
    <row r="520" spans="1:91" ht="13.2" x14ac:dyDescent="0.25">
      <c r="A520" s="9">
        <f t="shared" ca="1" si="16"/>
        <v>0</v>
      </c>
      <c r="B520" s="9" t="str">
        <f ca="1">OFFSET(ORÇAMENTO!C$15,ROW(B520)-ROW(B$15),0)</f>
        <v>S</v>
      </c>
      <c r="C520" s="9" t="str">
        <f ca="1">OFFSET(ORÇAMENTO!L$15,ROW(C520)-ROW(C$15),0)</f>
        <v/>
      </c>
      <c r="D520" s="145" t="str">
        <f ca="1">OFFSET(ORÇAMENTO!N$15,ROW(D520)-ROW(D$15),0)</f>
        <v>Serviço</v>
      </c>
      <c r="E520" s="205" t="str">
        <f ca="1">OFFSET(ORÇAMENTO!O$15,ROW(E520)-ROW(E$15),0)</f>
        <v>-</v>
      </c>
      <c r="F520" s="206" t="str">
        <f ca="1">OFFSET(ORÇAMENTO!R$15,ROW(F520)-ROW(F$15),0)</f>
        <v>(abra o arquivo 'Referência 05-2024.xls)</v>
      </c>
      <c r="G520" s="207" t="str">
        <f ca="1">IF($D520&lt;&gt;"Serviço","",OFFSET(ORÇAMENTO!S$15,ROW(G520)-ROW(G$15),0))</f>
        <v>-</v>
      </c>
      <c r="H520" s="151">
        <f ca="1">IF($D520&lt;&gt;"Serviço",0,IF(ACOMPANHAMENTO="BM",ROUND(OFFSET(ORÇAMENTO!AJ$15,ROW(H520)-ROW(H$15),0),15-13*ORÇAMENTO!$AF$7),SUMPRODUCT(($Q$12:$AI$12&lt;&gt;"")*ROUND($Q520:$AI520,15-13*ORÇAMENTO!$AF$7))))</f>
        <v>228</v>
      </c>
      <c r="I520" s="650"/>
      <c r="K520" s="208"/>
      <c r="L520" s="209" t="s">
        <v>257</v>
      </c>
      <c r="M520" s="210">
        <f ca="1">IF($D520&lt;&gt;"Serviço","",IF(AUTOEVENTO="manual",$A520,IF(ISERROR(MATCH($A520,$A$15:OFFSET($A520,-1,0),0)),MAX($M$15:OFFSET(M520,-1,0))+1,INDEX($M$15:OFFSET(M520,-1,0),MATCH($A520,$A$15:OFFSET($A520,-1,0),0)))))</f>
        <v>0</v>
      </c>
      <c r="N520" s="211" t="str">
        <f ca="1">IF($D520&lt;&gt;"Serviço","",IF(AUTOEVENTO="Manual",IF($A520=0,"&lt;-- defina o número do agrupador",OFFSET(EVENTOS!$D$14,$A520,0)),OFFSET($F$15,$A520,0)))</f>
        <v>&lt;-- defina o número do agrupador</v>
      </c>
      <c r="O520" s="212"/>
      <c r="Q520" s="212"/>
      <c r="R520" s="213"/>
      <c r="S520" s="213"/>
      <c r="T520" s="213"/>
      <c r="U520" s="213"/>
      <c r="V520" s="213"/>
      <c r="W520" s="213"/>
      <c r="X520" s="213"/>
      <c r="Y520" s="213"/>
      <c r="Z520" s="214"/>
      <c r="AA520" s="213"/>
      <c r="AB520" s="213"/>
      <c r="AC520" s="213"/>
      <c r="AD520" s="213"/>
      <c r="AE520" s="213"/>
      <c r="AF520" s="213"/>
      <c r="AG520" s="213"/>
      <c r="AH520" s="214"/>
      <c r="AJ520" s="631">
        <f ca="1">IF(AND($D520="Serviço",AJ$12&lt;&gt;0,$H520&gt;0,OR(AUTOEVENTO&lt;&gt;"manual",$M520&lt;&gt;1)),ROUND(OFFSET($P520,0,AJ$13),15-13*ORÇAMENTO!$AF$7)/$H520*OFFSET(ORÇAMENTO!$X$15,ROW(AJ520)-ROW(AJ$15),0),0)</f>
        <v>0</v>
      </c>
      <c r="AK520" s="632">
        <f ca="1">IF(AND($D520="Serviço",AK$12&lt;&gt;0,$H520&gt;0,OR(AUTOEVENTO&lt;&gt;"manual",$M520&lt;&gt;1)),ROUND(OFFSET($P520,0,AK$13),15-13*ORÇAMENTO!$AF$7)/$H520*OFFSET(ORÇAMENTO!$X$15,ROW(AK520)-ROW(AK$15),0),0)</f>
        <v>0</v>
      </c>
      <c r="AL520" s="632">
        <f ca="1">IF(AND($D520="Serviço",AL$12&lt;&gt;0,$H520&gt;0,OR(AUTOEVENTO&lt;&gt;"manual",$M520&lt;&gt;1)),ROUND(OFFSET($P520,0,AL$13),15-13*ORÇAMENTO!$AF$7)/$H520*OFFSET(ORÇAMENTO!$X$15,ROW(AL520)-ROW(AL$15),0),0)</f>
        <v>0</v>
      </c>
      <c r="AM520" s="632">
        <f ca="1">IF(AND($D520="Serviço",AM$12&lt;&gt;0,$H520&gt;0,OR(AUTOEVENTO&lt;&gt;"manual",$M520&lt;&gt;1)),ROUND(OFFSET($P520,0,AM$13),15-13*ORÇAMENTO!$AF$7)/$H520*OFFSET(ORÇAMENTO!$X$15,ROW(AM520)-ROW(AM$15),0),0)</f>
        <v>0</v>
      </c>
      <c r="AN520" s="632">
        <f ca="1">IF(AND($D520="Serviço",AN$12&lt;&gt;0,$H520&gt;0,OR(AUTOEVENTO&lt;&gt;"manual",$M520&lt;&gt;1)),ROUND(OFFSET($P520,0,AN$13),15-13*ORÇAMENTO!$AF$7)/$H520*OFFSET(ORÇAMENTO!$X$15,ROW(AN520)-ROW(AN$15),0),0)</f>
        <v>0</v>
      </c>
      <c r="AO520" s="632">
        <f ca="1">IF(AND($D520="Serviço",AO$12&lt;&gt;0,$H520&gt;0,OR(AUTOEVENTO&lt;&gt;"manual",$M520&lt;&gt;1)),ROUND(OFFSET($P520,0,AO$13),15-13*ORÇAMENTO!$AF$7)/$H520*OFFSET(ORÇAMENTO!$X$15,ROW(AO520)-ROW(AO$15),0),0)</f>
        <v>0</v>
      </c>
      <c r="AP520" s="632">
        <f ca="1">IF(AND($D520="Serviço",AP$12&lt;&gt;0,$H520&gt;0,OR(AUTOEVENTO&lt;&gt;"manual",$M520&lt;&gt;1)),ROUND(OFFSET($P520,0,AP$13),15-13*ORÇAMENTO!$AF$7)/$H520*OFFSET(ORÇAMENTO!$X$15,ROW(AP520)-ROW(AP$15),0),0)</f>
        <v>0</v>
      </c>
      <c r="AQ520" s="632">
        <f ca="1">IF(AND($D520="Serviço",AQ$12&lt;&gt;0,$H520&gt;0,OR(AUTOEVENTO&lt;&gt;"manual",$M520&lt;&gt;1)),ROUND(OFFSET($P520,0,AQ$13),15-13*ORÇAMENTO!$AF$7)/$H520*OFFSET(ORÇAMENTO!$X$15,ROW(AQ520)-ROW(AQ$15),0),0)</f>
        <v>0</v>
      </c>
      <c r="AR520" s="632">
        <f ca="1">IF(AND($D520="Serviço",AR$12&lt;&gt;0,$H520&gt;0,OR(AUTOEVENTO&lt;&gt;"manual",$M520&lt;&gt;1)),ROUND(OFFSET($P520,0,AR$13),15-13*ORÇAMENTO!$AF$7)/$H520*OFFSET(ORÇAMENTO!$X$15,ROW(AR520)-ROW(AR$15),0),0)</f>
        <v>0</v>
      </c>
      <c r="AS520" s="633">
        <f ca="1">IF(AND($D520="Serviço",AS$12&lt;&gt;0,$H520&gt;0,OR(AUTOEVENTO&lt;&gt;"manual",$M520&lt;&gt;1)),ROUND(OFFSET($P520,0,AS$13),15-13*ORÇAMENTO!$AF$7)/$H520*OFFSET(ORÇAMENTO!$X$15,ROW(AS520)-ROW(AS$15),0),0)</f>
        <v>0</v>
      </c>
      <c r="AT520" s="632">
        <f ca="1">IF(AND($D520="Serviço",AT$12&lt;&gt;0,$H520&gt;0,OR(AUTOEVENTO&lt;&gt;"manual",$M520&lt;&gt;1)),ROUND(OFFSET($P520,0,AT$13),15-13*ORÇAMENTO!$AF$7)/$H520*OFFSET(ORÇAMENTO!$X$15,ROW(AT520)-ROW(AT$15),0),0)</f>
        <v>0</v>
      </c>
      <c r="AU520" s="632">
        <f ca="1">IF(AND($D520="Serviço",AU$12&lt;&gt;0,$H520&gt;0,OR(AUTOEVENTO&lt;&gt;"manual",$M520&lt;&gt;1)),ROUND(OFFSET($P520,0,AU$13),15-13*ORÇAMENTO!$AF$7)/$H520*OFFSET(ORÇAMENTO!$X$15,ROW(AU520)-ROW(AU$15),0),0)</f>
        <v>0</v>
      </c>
      <c r="AV520" s="632">
        <f ca="1">IF(AND($D520="Serviço",AV$12&lt;&gt;0,$H520&gt;0,OR(AUTOEVENTO&lt;&gt;"manual",$M520&lt;&gt;1)),ROUND(OFFSET($P520,0,AV$13),15-13*ORÇAMENTO!$AF$7)/$H520*OFFSET(ORÇAMENTO!$X$15,ROW(AV520)-ROW(AV$15),0),0)</f>
        <v>0</v>
      </c>
      <c r="AW520" s="632">
        <f ca="1">IF(AND($D520="Serviço",AW$12&lt;&gt;0,$H520&gt;0,OR(AUTOEVENTO&lt;&gt;"manual",$M520&lt;&gt;1)),ROUND(OFFSET($P520,0,AW$13),15-13*ORÇAMENTO!$AF$7)/$H520*OFFSET(ORÇAMENTO!$X$15,ROW(AW520)-ROW(AW$15),0),0)</f>
        <v>0</v>
      </c>
      <c r="AX520" s="632">
        <f ca="1">IF(AND($D520="Serviço",AX$12&lt;&gt;0,$H520&gt;0,OR(AUTOEVENTO&lt;&gt;"manual",$M520&lt;&gt;1)),ROUND(OFFSET($P520,0,AX$13),15-13*ORÇAMENTO!$AF$7)/$H520*OFFSET(ORÇAMENTO!$X$15,ROW(AX520)-ROW(AX$15),0),0)</f>
        <v>0</v>
      </c>
      <c r="AY520" s="632">
        <f ca="1">IF(AND($D520="Serviço",AY$12&lt;&gt;0,$H520&gt;0,OR(AUTOEVENTO&lt;&gt;"manual",$M520&lt;&gt;1)),ROUND(OFFSET($P520,0,AY$13),15-13*ORÇAMENTO!$AF$7)/$H520*OFFSET(ORÇAMENTO!$X$15,ROW(AY520)-ROW(AY$15),0),0)</f>
        <v>0</v>
      </c>
      <c r="AZ520" s="632">
        <f ca="1">IF(AND($D520="Serviço",AZ$12&lt;&gt;0,$H520&gt;0,OR(AUTOEVENTO&lt;&gt;"manual",$M520&lt;&gt;1)),ROUND(OFFSET($P520,0,AZ$13),15-13*ORÇAMENTO!$AF$7)/$H520*OFFSET(ORÇAMENTO!$X$15,ROW(AZ520)-ROW(AZ$15),0),0)</f>
        <v>0</v>
      </c>
      <c r="BA520" s="633">
        <f ca="1">IF(AND($D520="Serviço",BA$12&lt;&gt;0,$H520&gt;0,OR(AUTOEVENTO&lt;&gt;"manual",$M520&lt;&gt;1)),ROUND(OFFSET($P520,0,BA$13),15-13*ORÇAMENTO!$AF$7)/$H520*OFFSET(ORÇAMENTO!$X$15,ROW(BA520)-ROW(BA$15),0),0)</f>
        <v>0</v>
      </c>
      <c r="BC520" s="215">
        <f ca="1">IF($D520&lt;&gt;"Serviço",0,IF(AND(AUTOEVENTO="Manual",$M520=1),0,IF(OFFSET(CRONOPLE!$F$14,$M520,BC$13)="",10^12,OFFSET(CRONOPLE!$F$14,$M520,BC$13))))</f>
        <v>1000000000000</v>
      </c>
      <c r="BD520" s="215">
        <f ca="1">IF($D520&lt;&gt;"Serviço",0,IF(AND(AUTOEVENTO="Manual",$M520=1),0,IF(OFFSET(CRONOPLE!$F$14,$M520,BD$13)="",10^12,OFFSET(CRONOPLE!$F$14,$M520,BD$13))))</f>
        <v>1000000000000</v>
      </c>
      <c r="BE520" s="215">
        <f ca="1">IF($D520&lt;&gt;"Serviço",0,IF(AND(AUTOEVENTO="Manual",$M520=1),0,IF(OFFSET(CRONOPLE!$F$14,$M520,BE$13)="",10^12,OFFSET(CRONOPLE!$F$14,$M520,BE$13))))</f>
        <v>1000000000000</v>
      </c>
      <c r="BF520" s="215">
        <f ca="1">IF($D520&lt;&gt;"Serviço",0,IF(AND(AUTOEVENTO="Manual",$M520=1),0,IF(OFFSET(CRONOPLE!$F$14,$M520,BF$13)="",10^12,OFFSET(CRONOPLE!$F$14,$M520,BF$13))))</f>
        <v>1000000000000</v>
      </c>
      <c r="BG520" s="215">
        <f ca="1">IF($D520&lt;&gt;"Serviço",0,IF(AND(AUTOEVENTO="Manual",$M520=1),0,IF(OFFSET(CRONOPLE!$F$14,$M520,BG$13)="",10^12,OFFSET(CRONOPLE!$F$14,$M520,BG$13))))</f>
        <v>1000000000000</v>
      </c>
      <c r="BH520" s="215">
        <f ca="1">IF($D520&lt;&gt;"Serviço",0,IF(AND(AUTOEVENTO="Manual",$M520=1),0,IF(OFFSET(CRONOPLE!$F$14,$M520,BH$13)="",10^12,OFFSET(CRONOPLE!$F$14,$M520,BH$13))))</f>
        <v>1000000000000</v>
      </c>
      <c r="BI520" s="215">
        <f ca="1">IF($D520&lt;&gt;"Serviço",0,IF(AND(AUTOEVENTO="Manual",$M520=1),0,IF(OFFSET(CRONOPLE!$F$14,$M520,BI$13)="",10^12,OFFSET(CRONOPLE!$F$14,$M520,BI$13))))</f>
        <v>1000000000000</v>
      </c>
      <c r="BJ520" s="215">
        <f ca="1">IF($D520&lt;&gt;"Serviço",0,IF(AND(AUTOEVENTO="Manual",$M520=1),0,IF(OFFSET(CRONOPLE!$F$14,$M520,BJ$13)="",10^12,OFFSET(CRONOPLE!$F$14,$M520,BJ$13))))</f>
        <v>1000000000000</v>
      </c>
      <c r="BK520" s="215">
        <f ca="1">IF($D520&lt;&gt;"Serviço",0,IF(AND(AUTOEVENTO="Manual",$M520=1),0,IF(OFFSET(CRONOPLE!$F$14,$M520,BK$13)="",10^12,OFFSET(CRONOPLE!$F$14,$M520,BK$13))))</f>
        <v>1000000000000</v>
      </c>
      <c r="BL520" s="215">
        <f ca="1">IF($D520&lt;&gt;"Serviço",0,IF(AND(AUTOEVENTO="Manual",$M520=1),0,IF(OFFSET(CRONOPLE!$F$14,$M520,BL$13)="",10^12,OFFSET(CRONOPLE!$F$14,$M520,BL$13))))</f>
        <v>1000000000000</v>
      </c>
      <c r="BM520" s="215">
        <f ca="1">IF($D520&lt;&gt;"Serviço",0,IF(AND(AUTOEVENTO="Manual",$M520=1),0,IF(OFFSET(CRONOPLE!$F$14,$M520,BM$13)="",10^12,OFFSET(CRONOPLE!$F$14,$M520,BM$13))))</f>
        <v>1000000000000</v>
      </c>
      <c r="BN520" s="215">
        <f ca="1">IF($D520&lt;&gt;"Serviço",0,IF(AND(AUTOEVENTO="Manual",$M520=1),0,IF(OFFSET(CRONOPLE!$F$14,$M520,BN$13)="",10^12,OFFSET(CRONOPLE!$F$14,$M520,BN$13))))</f>
        <v>1000000000000</v>
      </c>
      <c r="BO520" s="215">
        <f ca="1">IF($D520&lt;&gt;"Serviço",0,IF(AND(AUTOEVENTO="Manual",$M520=1),0,IF(OFFSET(CRONOPLE!$F$14,$M520,BO$13)="",10^12,OFFSET(CRONOPLE!$F$14,$M520,BO$13))))</f>
        <v>1000000000000</v>
      </c>
      <c r="BP520" s="215">
        <f ca="1">IF($D520&lt;&gt;"Serviço",0,IF(AND(AUTOEVENTO="Manual",$M520=1),0,IF(OFFSET(CRONOPLE!$F$14,$M520,BP$13)="",10^12,OFFSET(CRONOPLE!$F$14,$M520,BP$13))))</f>
        <v>1000000000000</v>
      </c>
      <c r="BQ520" s="215">
        <f ca="1">IF($D520&lt;&gt;"Serviço",0,IF(AND(AUTOEVENTO="Manual",$M520=1),0,IF(OFFSET(CRONOPLE!$F$14,$M520,BQ$13)="",10^12,OFFSET(CRONOPLE!$F$14,$M520,BQ$13))))</f>
        <v>1000000000000</v>
      </c>
      <c r="BR520" s="215">
        <f ca="1">IF($D520&lt;&gt;"Serviço",0,IF(AND(AUTOEVENTO="Manual",$M520=1),0,IF(OFFSET(CRONOPLE!$F$14,$M520,BR$13)="",10^12,OFFSET(CRONOPLE!$F$14,$M520,BR$13))))</f>
        <v>1000000000000</v>
      </c>
      <c r="BS520" s="215">
        <f ca="1">IF($D520&lt;&gt;"Serviço",0,IF(AND(AUTOEVENTO="Manual",$M520=1),0,IF(OFFSET(CRONOPLE!$F$14,$M520,BS$13)="",10^12,OFFSET(CRONOPLE!$F$14,$M520,BS$13))))</f>
        <v>1000000000000</v>
      </c>
      <c r="BT520" s="215">
        <f ca="1">IF($D520&lt;&gt;"Serviço",0,IF(AND(AUTOEVENTO="Manual",$M520=1),0,IF(OFFSET(CRONOPLE!$F$14,$M520,BT$13)="",10^12,OFFSET(CRONOPLE!$F$14,$M520,BT$13))))</f>
        <v>1000000000000</v>
      </c>
      <c r="BV520" s="216">
        <f ca="1">IF($D520&lt;&gt;"Serviço",0,IF(OR(AND(AUTOEVENTO="Manual",$M520=1),$M520&gt;(ROW(PLE.lastrow)-ROW(PLE.firstrow))),0,IF(OFFSET(PLE!$G$14,$M520,BV$13)="",10^12,OFFSET(PLE!$G$14,$M520,BV$13))))</f>
        <v>1000000000000</v>
      </c>
      <c r="BW520" s="216">
        <f ca="1">IF($D520&lt;&gt;"Serviço",0,IF(OR(AND(AUTOEVENTO="Manual",$M520=1),$M520&gt;(ROW(PLE.lastrow)-ROW(PLE.firstrow))),0,IF(OFFSET(PLE!$G$14,$M520,BW$13)="",10^12,OFFSET(PLE!$G$14,$M520,BW$13))))</f>
        <v>1000000000000</v>
      </c>
      <c r="BX520" s="216">
        <f ca="1">IF($D520&lt;&gt;"Serviço",0,IF(OR(AND(AUTOEVENTO="Manual",$M520=1),$M520&gt;(ROW(PLE.lastrow)-ROW(PLE.firstrow))),0,IF(OFFSET(PLE!$G$14,$M520,BX$13)="",10^12,OFFSET(PLE!$G$14,$M520,BX$13))))</f>
        <v>1000000000000</v>
      </c>
      <c r="BY520" s="216">
        <f ca="1">IF($D520&lt;&gt;"Serviço",0,IF(OR(AND(AUTOEVENTO="Manual",$M520=1),$M520&gt;(ROW(PLE.lastrow)-ROW(PLE.firstrow))),0,IF(OFFSET(PLE!$G$14,$M520,BY$13)="",10^12,OFFSET(PLE!$G$14,$M520,BY$13))))</f>
        <v>1000000000000</v>
      </c>
      <c r="BZ520" s="216">
        <f ca="1">IF($D520&lt;&gt;"Serviço",0,IF(OR(AND(AUTOEVENTO="Manual",$M520=1),$M520&gt;(ROW(PLE.lastrow)-ROW(PLE.firstrow))),0,IF(OFFSET(PLE!$G$14,$M520,BZ$13)="",10^12,OFFSET(PLE!$G$14,$M520,BZ$13))))</f>
        <v>1000000000000</v>
      </c>
      <c r="CA520" s="216">
        <f ca="1">IF($D520&lt;&gt;"Serviço",0,IF(OR(AND(AUTOEVENTO="Manual",$M520=1),$M520&gt;(ROW(PLE.lastrow)-ROW(PLE.firstrow))),0,IF(OFFSET(PLE!$G$14,$M520,CA$13)="",10^12,OFFSET(PLE!$G$14,$M520,CA$13))))</f>
        <v>1000000000000</v>
      </c>
      <c r="CB520" s="216">
        <f ca="1">IF($D520&lt;&gt;"Serviço",0,IF(OR(AND(AUTOEVENTO="Manual",$M520=1),$M520&gt;(ROW(PLE.lastrow)-ROW(PLE.firstrow))),0,IF(OFFSET(PLE!$G$14,$M520,CB$13)="",10^12,OFFSET(PLE!$G$14,$M520,CB$13))))</f>
        <v>1000000000000</v>
      </c>
      <c r="CC520" s="216">
        <f ca="1">IF($D520&lt;&gt;"Serviço",0,IF(OR(AND(AUTOEVENTO="Manual",$M520=1),$M520&gt;(ROW(PLE.lastrow)-ROW(PLE.firstrow))),0,IF(OFFSET(PLE!$G$14,$M520,CC$13)="",10^12,OFFSET(PLE!$G$14,$M520,CC$13))))</f>
        <v>1000000000000</v>
      </c>
      <c r="CD520" s="216">
        <f ca="1">IF($D520&lt;&gt;"Serviço",0,IF(OR(AND(AUTOEVENTO="Manual",$M520=1),$M520&gt;(ROW(PLE.lastrow)-ROW(PLE.firstrow))),0,IF(OFFSET(PLE!$G$14,$M520,CD$13)="",10^12,OFFSET(PLE!$G$14,$M520,CD$13))))</f>
        <v>1000000000000</v>
      </c>
      <c r="CE520" s="216">
        <f ca="1">IF($D520&lt;&gt;"Serviço",0,IF(OR(AND(AUTOEVENTO="Manual",$M520=1),$M520&gt;(ROW(PLE.lastrow)-ROW(PLE.firstrow))),0,IF(OFFSET(PLE!$G$14,$M520,CE$13)="",10^12,OFFSET(PLE!$G$14,$M520,CE$13))))</f>
        <v>1000000000000</v>
      </c>
      <c r="CF520" s="216">
        <f ca="1">IF($D520&lt;&gt;"Serviço",0,IF(OR(AND(AUTOEVENTO="Manual",$M520=1),$M520&gt;(ROW(PLE.lastrow)-ROW(PLE.firstrow))),0,IF(OFFSET(PLE!$G$14,$M520,CF$13)="",10^12,OFFSET(PLE!$G$14,$M520,CF$13))))</f>
        <v>1000000000000</v>
      </c>
      <c r="CG520" s="216">
        <f ca="1">IF($D520&lt;&gt;"Serviço",0,IF(OR(AND(AUTOEVENTO="Manual",$M520=1),$M520&gt;(ROW(PLE.lastrow)-ROW(PLE.firstrow))),0,IF(OFFSET(PLE!$G$14,$M520,CG$13)="",10^12,OFFSET(PLE!$G$14,$M520,CG$13))))</f>
        <v>1000000000000</v>
      </c>
      <c r="CH520" s="216">
        <f ca="1">IF($D520&lt;&gt;"Serviço",0,IF(OR(AND(AUTOEVENTO="Manual",$M520=1),$M520&gt;(ROW(PLE.lastrow)-ROW(PLE.firstrow))),0,IF(OFFSET(PLE!$G$14,$M520,CH$13)="",10^12,OFFSET(PLE!$G$14,$M520,CH$13))))</f>
        <v>1000000000000</v>
      </c>
      <c r="CI520" s="216">
        <f ca="1">IF($D520&lt;&gt;"Serviço",0,IF(OR(AND(AUTOEVENTO="Manual",$M520=1),$M520&gt;(ROW(PLE.lastrow)-ROW(PLE.firstrow))),0,IF(OFFSET(PLE!$G$14,$M520,CI$13)="",10^12,OFFSET(PLE!$G$14,$M520,CI$13))))</f>
        <v>1000000000000</v>
      </c>
      <c r="CJ520" s="216">
        <f ca="1">IF($D520&lt;&gt;"Serviço",0,IF(OR(AND(AUTOEVENTO="Manual",$M520=1),$M520&gt;(ROW(PLE.lastrow)-ROW(PLE.firstrow))),0,IF(OFFSET(PLE!$G$14,$M520,CJ$13)="",10^12,OFFSET(PLE!$G$14,$M520,CJ$13))))</f>
        <v>1000000000000</v>
      </c>
      <c r="CK520" s="216">
        <f ca="1">IF($D520&lt;&gt;"Serviço",0,IF(OR(AND(AUTOEVENTO="Manual",$M520=1),$M520&gt;(ROW(PLE.lastrow)-ROW(PLE.firstrow))),0,IF(OFFSET(PLE!$G$14,$M520,CK$13)="",10^12,OFFSET(PLE!$G$14,$M520,CK$13))))</f>
        <v>1000000000000</v>
      </c>
      <c r="CL520" s="216">
        <f ca="1">IF($D520&lt;&gt;"Serviço",0,IF(OR(AND(AUTOEVENTO="Manual",$M520=1),$M520&gt;(ROW(PLE.lastrow)-ROW(PLE.firstrow))),0,IF(OFFSET(PLE!$G$14,$M520,CL$13)="",10^12,OFFSET(PLE!$G$14,$M520,CL$13))))</f>
        <v>1000000000000</v>
      </c>
      <c r="CM520" s="216">
        <f ca="1">IF($D520&lt;&gt;"Serviço",0,IF(OR(AND(AUTOEVENTO="Manual",$M520=1),$M520&gt;(ROW(PLE.lastrow)-ROW(PLE.firstrow))),0,IF(OFFSET(PLE!$G$14,$M520,CM$13)="",10^12,OFFSET(PLE!$G$14,$M520,CM$13))))</f>
        <v>1000000000000</v>
      </c>
    </row>
    <row r="521" spans="1:91" ht="13.2" x14ac:dyDescent="0.25">
      <c r="A521" s="9">
        <f t="shared" ca="1" si="16"/>
        <v>0</v>
      </c>
      <c r="B521" s="9" t="str">
        <f ca="1">OFFSET(ORÇAMENTO!C$15,ROW(B521)-ROW(B$15),0)</f>
        <v>S</v>
      </c>
      <c r="C521" s="9" t="str">
        <f ca="1">OFFSET(ORÇAMENTO!L$15,ROW(C521)-ROW(C$15),0)</f>
        <v/>
      </c>
      <c r="D521" s="145" t="str">
        <f ca="1">OFFSET(ORÇAMENTO!N$15,ROW(D521)-ROW(D$15),0)</f>
        <v>Serviço</v>
      </c>
      <c r="E521" s="205" t="str">
        <f ca="1">OFFSET(ORÇAMENTO!O$15,ROW(E521)-ROW(E$15),0)</f>
        <v>-</v>
      </c>
      <c r="F521" s="206" t="str">
        <f ca="1">OFFSET(ORÇAMENTO!R$15,ROW(F521)-ROW(F$15),0)</f>
        <v>(abra o arquivo 'Referência 05-2024.xls)</v>
      </c>
      <c r="G521" s="207" t="str">
        <f ca="1">IF($D521&lt;&gt;"Serviço","",OFFSET(ORÇAMENTO!S$15,ROW(G521)-ROW(G$15),0))</f>
        <v>-</v>
      </c>
      <c r="H521" s="151">
        <f ca="1">IF($D521&lt;&gt;"Serviço",0,IF(ACOMPANHAMENTO="BM",ROUND(OFFSET(ORÇAMENTO!AJ$15,ROW(H521)-ROW(H$15),0),15-13*ORÇAMENTO!$AF$7),SUMPRODUCT(($Q$12:$AI$12&lt;&gt;"")*ROUND($Q521:$AI521,15-13*ORÇAMENTO!$AF$7))))</f>
        <v>228</v>
      </c>
      <c r="I521" s="650"/>
      <c r="K521" s="208"/>
      <c r="L521" s="209" t="s">
        <v>257</v>
      </c>
      <c r="M521" s="210">
        <f ca="1">IF($D521&lt;&gt;"Serviço","",IF(AUTOEVENTO="manual",$A521,IF(ISERROR(MATCH($A521,$A$15:OFFSET($A521,-1,0),0)),MAX($M$15:OFFSET(M521,-1,0))+1,INDEX($M$15:OFFSET(M521,-1,0),MATCH($A521,$A$15:OFFSET($A521,-1,0),0)))))</f>
        <v>0</v>
      </c>
      <c r="N521" s="211" t="str">
        <f ca="1">IF($D521&lt;&gt;"Serviço","",IF(AUTOEVENTO="Manual",IF($A521=0,"&lt;-- defina o número do agrupador",OFFSET(EVENTOS!$D$14,$A521,0)),OFFSET($F$15,$A521,0)))</f>
        <v>&lt;-- defina o número do agrupador</v>
      </c>
      <c r="O521" s="212"/>
      <c r="Q521" s="212"/>
      <c r="R521" s="213"/>
      <c r="S521" s="213"/>
      <c r="T521" s="213"/>
      <c r="U521" s="213"/>
      <c r="V521" s="213"/>
      <c r="W521" s="213"/>
      <c r="X521" s="213"/>
      <c r="Y521" s="213"/>
      <c r="Z521" s="214"/>
      <c r="AA521" s="213"/>
      <c r="AB521" s="213"/>
      <c r="AC521" s="213"/>
      <c r="AD521" s="213"/>
      <c r="AE521" s="213"/>
      <c r="AF521" s="213"/>
      <c r="AG521" s="213"/>
      <c r="AH521" s="214"/>
      <c r="AJ521" s="631">
        <f ca="1">IF(AND($D521="Serviço",AJ$12&lt;&gt;0,$H521&gt;0,OR(AUTOEVENTO&lt;&gt;"manual",$M521&lt;&gt;1)),ROUND(OFFSET($P521,0,AJ$13),15-13*ORÇAMENTO!$AF$7)/$H521*OFFSET(ORÇAMENTO!$X$15,ROW(AJ521)-ROW(AJ$15),0),0)</f>
        <v>0</v>
      </c>
      <c r="AK521" s="632">
        <f ca="1">IF(AND($D521="Serviço",AK$12&lt;&gt;0,$H521&gt;0,OR(AUTOEVENTO&lt;&gt;"manual",$M521&lt;&gt;1)),ROUND(OFFSET($P521,0,AK$13),15-13*ORÇAMENTO!$AF$7)/$H521*OFFSET(ORÇAMENTO!$X$15,ROW(AK521)-ROW(AK$15),0),0)</f>
        <v>0</v>
      </c>
      <c r="AL521" s="632">
        <f ca="1">IF(AND($D521="Serviço",AL$12&lt;&gt;0,$H521&gt;0,OR(AUTOEVENTO&lt;&gt;"manual",$M521&lt;&gt;1)),ROUND(OFFSET($P521,0,AL$13),15-13*ORÇAMENTO!$AF$7)/$H521*OFFSET(ORÇAMENTO!$X$15,ROW(AL521)-ROW(AL$15),0),0)</f>
        <v>0</v>
      </c>
      <c r="AM521" s="632">
        <f ca="1">IF(AND($D521="Serviço",AM$12&lt;&gt;0,$H521&gt;0,OR(AUTOEVENTO&lt;&gt;"manual",$M521&lt;&gt;1)),ROUND(OFFSET($P521,0,AM$13),15-13*ORÇAMENTO!$AF$7)/$H521*OFFSET(ORÇAMENTO!$X$15,ROW(AM521)-ROW(AM$15),0),0)</f>
        <v>0</v>
      </c>
      <c r="AN521" s="632">
        <f ca="1">IF(AND($D521="Serviço",AN$12&lt;&gt;0,$H521&gt;0,OR(AUTOEVENTO&lt;&gt;"manual",$M521&lt;&gt;1)),ROUND(OFFSET($P521,0,AN$13),15-13*ORÇAMENTO!$AF$7)/$H521*OFFSET(ORÇAMENTO!$X$15,ROW(AN521)-ROW(AN$15),0),0)</f>
        <v>0</v>
      </c>
      <c r="AO521" s="632">
        <f ca="1">IF(AND($D521="Serviço",AO$12&lt;&gt;0,$H521&gt;0,OR(AUTOEVENTO&lt;&gt;"manual",$M521&lt;&gt;1)),ROUND(OFFSET($P521,0,AO$13),15-13*ORÇAMENTO!$AF$7)/$H521*OFFSET(ORÇAMENTO!$X$15,ROW(AO521)-ROW(AO$15),0),0)</f>
        <v>0</v>
      </c>
      <c r="AP521" s="632">
        <f ca="1">IF(AND($D521="Serviço",AP$12&lt;&gt;0,$H521&gt;0,OR(AUTOEVENTO&lt;&gt;"manual",$M521&lt;&gt;1)),ROUND(OFFSET($P521,0,AP$13),15-13*ORÇAMENTO!$AF$7)/$H521*OFFSET(ORÇAMENTO!$X$15,ROW(AP521)-ROW(AP$15),0),0)</f>
        <v>0</v>
      </c>
      <c r="AQ521" s="632">
        <f ca="1">IF(AND($D521="Serviço",AQ$12&lt;&gt;0,$H521&gt;0,OR(AUTOEVENTO&lt;&gt;"manual",$M521&lt;&gt;1)),ROUND(OFFSET($P521,0,AQ$13),15-13*ORÇAMENTO!$AF$7)/$H521*OFFSET(ORÇAMENTO!$X$15,ROW(AQ521)-ROW(AQ$15),0),0)</f>
        <v>0</v>
      </c>
      <c r="AR521" s="632">
        <f ca="1">IF(AND($D521="Serviço",AR$12&lt;&gt;0,$H521&gt;0,OR(AUTOEVENTO&lt;&gt;"manual",$M521&lt;&gt;1)),ROUND(OFFSET($P521,0,AR$13),15-13*ORÇAMENTO!$AF$7)/$H521*OFFSET(ORÇAMENTO!$X$15,ROW(AR521)-ROW(AR$15),0),0)</f>
        <v>0</v>
      </c>
      <c r="AS521" s="633">
        <f ca="1">IF(AND($D521="Serviço",AS$12&lt;&gt;0,$H521&gt;0,OR(AUTOEVENTO&lt;&gt;"manual",$M521&lt;&gt;1)),ROUND(OFFSET($P521,0,AS$13),15-13*ORÇAMENTO!$AF$7)/$H521*OFFSET(ORÇAMENTO!$X$15,ROW(AS521)-ROW(AS$15),0),0)</f>
        <v>0</v>
      </c>
      <c r="AT521" s="632">
        <f ca="1">IF(AND($D521="Serviço",AT$12&lt;&gt;0,$H521&gt;0,OR(AUTOEVENTO&lt;&gt;"manual",$M521&lt;&gt;1)),ROUND(OFFSET($P521,0,AT$13),15-13*ORÇAMENTO!$AF$7)/$H521*OFFSET(ORÇAMENTO!$X$15,ROW(AT521)-ROW(AT$15),0),0)</f>
        <v>0</v>
      </c>
      <c r="AU521" s="632">
        <f ca="1">IF(AND($D521="Serviço",AU$12&lt;&gt;0,$H521&gt;0,OR(AUTOEVENTO&lt;&gt;"manual",$M521&lt;&gt;1)),ROUND(OFFSET($P521,0,AU$13),15-13*ORÇAMENTO!$AF$7)/$H521*OFFSET(ORÇAMENTO!$X$15,ROW(AU521)-ROW(AU$15),0),0)</f>
        <v>0</v>
      </c>
      <c r="AV521" s="632">
        <f ca="1">IF(AND($D521="Serviço",AV$12&lt;&gt;0,$H521&gt;0,OR(AUTOEVENTO&lt;&gt;"manual",$M521&lt;&gt;1)),ROUND(OFFSET($P521,0,AV$13),15-13*ORÇAMENTO!$AF$7)/$H521*OFFSET(ORÇAMENTO!$X$15,ROW(AV521)-ROW(AV$15),0),0)</f>
        <v>0</v>
      </c>
      <c r="AW521" s="632">
        <f ca="1">IF(AND($D521="Serviço",AW$12&lt;&gt;0,$H521&gt;0,OR(AUTOEVENTO&lt;&gt;"manual",$M521&lt;&gt;1)),ROUND(OFFSET($P521,0,AW$13),15-13*ORÇAMENTO!$AF$7)/$H521*OFFSET(ORÇAMENTO!$X$15,ROW(AW521)-ROW(AW$15),0),0)</f>
        <v>0</v>
      </c>
      <c r="AX521" s="632">
        <f ca="1">IF(AND($D521="Serviço",AX$12&lt;&gt;0,$H521&gt;0,OR(AUTOEVENTO&lt;&gt;"manual",$M521&lt;&gt;1)),ROUND(OFFSET($P521,0,AX$13),15-13*ORÇAMENTO!$AF$7)/$H521*OFFSET(ORÇAMENTO!$X$15,ROW(AX521)-ROW(AX$15),0),0)</f>
        <v>0</v>
      </c>
      <c r="AY521" s="632">
        <f ca="1">IF(AND($D521="Serviço",AY$12&lt;&gt;0,$H521&gt;0,OR(AUTOEVENTO&lt;&gt;"manual",$M521&lt;&gt;1)),ROUND(OFFSET($P521,0,AY$13),15-13*ORÇAMENTO!$AF$7)/$H521*OFFSET(ORÇAMENTO!$X$15,ROW(AY521)-ROW(AY$15),0),0)</f>
        <v>0</v>
      </c>
      <c r="AZ521" s="632">
        <f ca="1">IF(AND($D521="Serviço",AZ$12&lt;&gt;0,$H521&gt;0,OR(AUTOEVENTO&lt;&gt;"manual",$M521&lt;&gt;1)),ROUND(OFFSET($P521,0,AZ$13),15-13*ORÇAMENTO!$AF$7)/$H521*OFFSET(ORÇAMENTO!$X$15,ROW(AZ521)-ROW(AZ$15),0),0)</f>
        <v>0</v>
      </c>
      <c r="BA521" s="633">
        <f ca="1">IF(AND($D521="Serviço",BA$12&lt;&gt;0,$H521&gt;0,OR(AUTOEVENTO&lt;&gt;"manual",$M521&lt;&gt;1)),ROUND(OFFSET($P521,0,BA$13),15-13*ORÇAMENTO!$AF$7)/$H521*OFFSET(ORÇAMENTO!$X$15,ROW(BA521)-ROW(BA$15),0),0)</f>
        <v>0</v>
      </c>
      <c r="BC521" s="215">
        <f ca="1">IF($D521&lt;&gt;"Serviço",0,IF(AND(AUTOEVENTO="Manual",$M521=1),0,IF(OFFSET(CRONOPLE!$F$14,$M521,BC$13)="",10^12,OFFSET(CRONOPLE!$F$14,$M521,BC$13))))</f>
        <v>1000000000000</v>
      </c>
      <c r="BD521" s="215">
        <f ca="1">IF($D521&lt;&gt;"Serviço",0,IF(AND(AUTOEVENTO="Manual",$M521=1),0,IF(OFFSET(CRONOPLE!$F$14,$M521,BD$13)="",10^12,OFFSET(CRONOPLE!$F$14,$M521,BD$13))))</f>
        <v>1000000000000</v>
      </c>
      <c r="BE521" s="215">
        <f ca="1">IF($D521&lt;&gt;"Serviço",0,IF(AND(AUTOEVENTO="Manual",$M521=1),0,IF(OFFSET(CRONOPLE!$F$14,$M521,BE$13)="",10^12,OFFSET(CRONOPLE!$F$14,$M521,BE$13))))</f>
        <v>1000000000000</v>
      </c>
      <c r="BF521" s="215">
        <f ca="1">IF($D521&lt;&gt;"Serviço",0,IF(AND(AUTOEVENTO="Manual",$M521=1),0,IF(OFFSET(CRONOPLE!$F$14,$M521,BF$13)="",10^12,OFFSET(CRONOPLE!$F$14,$M521,BF$13))))</f>
        <v>1000000000000</v>
      </c>
      <c r="BG521" s="215">
        <f ca="1">IF($D521&lt;&gt;"Serviço",0,IF(AND(AUTOEVENTO="Manual",$M521=1),0,IF(OFFSET(CRONOPLE!$F$14,$M521,BG$13)="",10^12,OFFSET(CRONOPLE!$F$14,$M521,BG$13))))</f>
        <v>1000000000000</v>
      </c>
      <c r="BH521" s="215">
        <f ca="1">IF($D521&lt;&gt;"Serviço",0,IF(AND(AUTOEVENTO="Manual",$M521=1),0,IF(OFFSET(CRONOPLE!$F$14,$M521,BH$13)="",10^12,OFFSET(CRONOPLE!$F$14,$M521,BH$13))))</f>
        <v>1000000000000</v>
      </c>
      <c r="BI521" s="215">
        <f ca="1">IF($D521&lt;&gt;"Serviço",0,IF(AND(AUTOEVENTO="Manual",$M521=1),0,IF(OFFSET(CRONOPLE!$F$14,$M521,BI$13)="",10^12,OFFSET(CRONOPLE!$F$14,$M521,BI$13))))</f>
        <v>1000000000000</v>
      </c>
      <c r="BJ521" s="215">
        <f ca="1">IF($D521&lt;&gt;"Serviço",0,IF(AND(AUTOEVENTO="Manual",$M521=1),0,IF(OFFSET(CRONOPLE!$F$14,$M521,BJ$13)="",10^12,OFFSET(CRONOPLE!$F$14,$M521,BJ$13))))</f>
        <v>1000000000000</v>
      </c>
      <c r="BK521" s="215">
        <f ca="1">IF($D521&lt;&gt;"Serviço",0,IF(AND(AUTOEVENTO="Manual",$M521=1),0,IF(OFFSET(CRONOPLE!$F$14,$M521,BK$13)="",10^12,OFFSET(CRONOPLE!$F$14,$M521,BK$13))))</f>
        <v>1000000000000</v>
      </c>
      <c r="BL521" s="215">
        <f ca="1">IF($D521&lt;&gt;"Serviço",0,IF(AND(AUTOEVENTO="Manual",$M521=1),0,IF(OFFSET(CRONOPLE!$F$14,$M521,BL$13)="",10^12,OFFSET(CRONOPLE!$F$14,$M521,BL$13))))</f>
        <v>1000000000000</v>
      </c>
      <c r="BM521" s="215">
        <f ca="1">IF($D521&lt;&gt;"Serviço",0,IF(AND(AUTOEVENTO="Manual",$M521=1),0,IF(OFFSET(CRONOPLE!$F$14,$M521,BM$13)="",10^12,OFFSET(CRONOPLE!$F$14,$M521,BM$13))))</f>
        <v>1000000000000</v>
      </c>
      <c r="BN521" s="215">
        <f ca="1">IF($D521&lt;&gt;"Serviço",0,IF(AND(AUTOEVENTO="Manual",$M521=1),0,IF(OFFSET(CRONOPLE!$F$14,$M521,BN$13)="",10^12,OFFSET(CRONOPLE!$F$14,$M521,BN$13))))</f>
        <v>1000000000000</v>
      </c>
      <c r="BO521" s="215">
        <f ca="1">IF($D521&lt;&gt;"Serviço",0,IF(AND(AUTOEVENTO="Manual",$M521=1),0,IF(OFFSET(CRONOPLE!$F$14,$M521,BO$13)="",10^12,OFFSET(CRONOPLE!$F$14,$M521,BO$13))))</f>
        <v>1000000000000</v>
      </c>
      <c r="BP521" s="215">
        <f ca="1">IF($D521&lt;&gt;"Serviço",0,IF(AND(AUTOEVENTO="Manual",$M521=1),0,IF(OFFSET(CRONOPLE!$F$14,$M521,BP$13)="",10^12,OFFSET(CRONOPLE!$F$14,$M521,BP$13))))</f>
        <v>1000000000000</v>
      </c>
      <c r="BQ521" s="215">
        <f ca="1">IF($D521&lt;&gt;"Serviço",0,IF(AND(AUTOEVENTO="Manual",$M521=1),0,IF(OFFSET(CRONOPLE!$F$14,$M521,BQ$13)="",10^12,OFFSET(CRONOPLE!$F$14,$M521,BQ$13))))</f>
        <v>1000000000000</v>
      </c>
      <c r="BR521" s="215">
        <f ca="1">IF($D521&lt;&gt;"Serviço",0,IF(AND(AUTOEVENTO="Manual",$M521=1),0,IF(OFFSET(CRONOPLE!$F$14,$M521,BR$13)="",10^12,OFFSET(CRONOPLE!$F$14,$M521,BR$13))))</f>
        <v>1000000000000</v>
      </c>
      <c r="BS521" s="215">
        <f ca="1">IF($D521&lt;&gt;"Serviço",0,IF(AND(AUTOEVENTO="Manual",$M521=1),0,IF(OFFSET(CRONOPLE!$F$14,$M521,BS$13)="",10^12,OFFSET(CRONOPLE!$F$14,$M521,BS$13))))</f>
        <v>1000000000000</v>
      </c>
      <c r="BT521" s="215">
        <f ca="1">IF($D521&lt;&gt;"Serviço",0,IF(AND(AUTOEVENTO="Manual",$M521=1),0,IF(OFFSET(CRONOPLE!$F$14,$M521,BT$13)="",10^12,OFFSET(CRONOPLE!$F$14,$M521,BT$13))))</f>
        <v>1000000000000</v>
      </c>
      <c r="BV521" s="216">
        <f ca="1">IF($D521&lt;&gt;"Serviço",0,IF(OR(AND(AUTOEVENTO="Manual",$M521=1),$M521&gt;(ROW(PLE.lastrow)-ROW(PLE.firstrow))),0,IF(OFFSET(PLE!$G$14,$M521,BV$13)="",10^12,OFFSET(PLE!$G$14,$M521,BV$13))))</f>
        <v>1000000000000</v>
      </c>
      <c r="BW521" s="216">
        <f ca="1">IF($D521&lt;&gt;"Serviço",0,IF(OR(AND(AUTOEVENTO="Manual",$M521=1),$M521&gt;(ROW(PLE.lastrow)-ROW(PLE.firstrow))),0,IF(OFFSET(PLE!$G$14,$M521,BW$13)="",10^12,OFFSET(PLE!$G$14,$M521,BW$13))))</f>
        <v>1000000000000</v>
      </c>
      <c r="BX521" s="216">
        <f ca="1">IF($D521&lt;&gt;"Serviço",0,IF(OR(AND(AUTOEVENTO="Manual",$M521=1),$M521&gt;(ROW(PLE.lastrow)-ROW(PLE.firstrow))),0,IF(OFFSET(PLE!$G$14,$M521,BX$13)="",10^12,OFFSET(PLE!$G$14,$M521,BX$13))))</f>
        <v>1000000000000</v>
      </c>
      <c r="BY521" s="216">
        <f ca="1">IF($D521&lt;&gt;"Serviço",0,IF(OR(AND(AUTOEVENTO="Manual",$M521=1),$M521&gt;(ROW(PLE.lastrow)-ROW(PLE.firstrow))),0,IF(OFFSET(PLE!$G$14,$M521,BY$13)="",10^12,OFFSET(PLE!$G$14,$M521,BY$13))))</f>
        <v>1000000000000</v>
      </c>
      <c r="BZ521" s="216">
        <f ca="1">IF($D521&lt;&gt;"Serviço",0,IF(OR(AND(AUTOEVENTO="Manual",$M521=1),$M521&gt;(ROW(PLE.lastrow)-ROW(PLE.firstrow))),0,IF(OFFSET(PLE!$G$14,$M521,BZ$13)="",10^12,OFFSET(PLE!$G$14,$M521,BZ$13))))</f>
        <v>1000000000000</v>
      </c>
      <c r="CA521" s="216">
        <f ca="1">IF($D521&lt;&gt;"Serviço",0,IF(OR(AND(AUTOEVENTO="Manual",$M521=1),$M521&gt;(ROW(PLE.lastrow)-ROW(PLE.firstrow))),0,IF(OFFSET(PLE!$G$14,$M521,CA$13)="",10^12,OFFSET(PLE!$G$14,$M521,CA$13))))</f>
        <v>1000000000000</v>
      </c>
      <c r="CB521" s="216">
        <f ca="1">IF($D521&lt;&gt;"Serviço",0,IF(OR(AND(AUTOEVENTO="Manual",$M521=1),$M521&gt;(ROW(PLE.lastrow)-ROW(PLE.firstrow))),0,IF(OFFSET(PLE!$G$14,$M521,CB$13)="",10^12,OFFSET(PLE!$G$14,$M521,CB$13))))</f>
        <v>1000000000000</v>
      </c>
      <c r="CC521" s="216">
        <f ca="1">IF($D521&lt;&gt;"Serviço",0,IF(OR(AND(AUTOEVENTO="Manual",$M521=1),$M521&gt;(ROW(PLE.lastrow)-ROW(PLE.firstrow))),0,IF(OFFSET(PLE!$G$14,$M521,CC$13)="",10^12,OFFSET(PLE!$G$14,$M521,CC$13))))</f>
        <v>1000000000000</v>
      </c>
      <c r="CD521" s="216">
        <f ca="1">IF($D521&lt;&gt;"Serviço",0,IF(OR(AND(AUTOEVENTO="Manual",$M521=1),$M521&gt;(ROW(PLE.lastrow)-ROW(PLE.firstrow))),0,IF(OFFSET(PLE!$G$14,$M521,CD$13)="",10^12,OFFSET(PLE!$G$14,$M521,CD$13))))</f>
        <v>1000000000000</v>
      </c>
      <c r="CE521" s="216">
        <f ca="1">IF($D521&lt;&gt;"Serviço",0,IF(OR(AND(AUTOEVENTO="Manual",$M521=1),$M521&gt;(ROW(PLE.lastrow)-ROW(PLE.firstrow))),0,IF(OFFSET(PLE!$G$14,$M521,CE$13)="",10^12,OFFSET(PLE!$G$14,$M521,CE$13))))</f>
        <v>1000000000000</v>
      </c>
      <c r="CF521" s="216">
        <f ca="1">IF($D521&lt;&gt;"Serviço",0,IF(OR(AND(AUTOEVENTO="Manual",$M521=1),$M521&gt;(ROW(PLE.lastrow)-ROW(PLE.firstrow))),0,IF(OFFSET(PLE!$G$14,$M521,CF$13)="",10^12,OFFSET(PLE!$G$14,$M521,CF$13))))</f>
        <v>1000000000000</v>
      </c>
      <c r="CG521" s="216">
        <f ca="1">IF($D521&lt;&gt;"Serviço",0,IF(OR(AND(AUTOEVENTO="Manual",$M521=1),$M521&gt;(ROW(PLE.lastrow)-ROW(PLE.firstrow))),0,IF(OFFSET(PLE!$G$14,$M521,CG$13)="",10^12,OFFSET(PLE!$G$14,$M521,CG$13))))</f>
        <v>1000000000000</v>
      </c>
      <c r="CH521" s="216">
        <f ca="1">IF($D521&lt;&gt;"Serviço",0,IF(OR(AND(AUTOEVENTO="Manual",$M521=1),$M521&gt;(ROW(PLE.lastrow)-ROW(PLE.firstrow))),0,IF(OFFSET(PLE!$G$14,$M521,CH$13)="",10^12,OFFSET(PLE!$G$14,$M521,CH$13))))</f>
        <v>1000000000000</v>
      </c>
      <c r="CI521" s="216">
        <f ca="1">IF($D521&lt;&gt;"Serviço",0,IF(OR(AND(AUTOEVENTO="Manual",$M521=1),$M521&gt;(ROW(PLE.lastrow)-ROW(PLE.firstrow))),0,IF(OFFSET(PLE!$G$14,$M521,CI$13)="",10^12,OFFSET(PLE!$G$14,$M521,CI$13))))</f>
        <v>1000000000000</v>
      </c>
      <c r="CJ521" s="216">
        <f ca="1">IF($D521&lt;&gt;"Serviço",0,IF(OR(AND(AUTOEVENTO="Manual",$M521=1),$M521&gt;(ROW(PLE.lastrow)-ROW(PLE.firstrow))),0,IF(OFFSET(PLE!$G$14,$M521,CJ$13)="",10^12,OFFSET(PLE!$G$14,$M521,CJ$13))))</f>
        <v>1000000000000</v>
      </c>
      <c r="CK521" s="216">
        <f ca="1">IF($D521&lt;&gt;"Serviço",0,IF(OR(AND(AUTOEVENTO="Manual",$M521=1),$M521&gt;(ROW(PLE.lastrow)-ROW(PLE.firstrow))),0,IF(OFFSET(PLE!$G$14,$M521,CK$13)="",10^12,OFFSET(PLE!$G$14,$M521,CK$13))))</f>
        <v>1000000000000</v>
      </c>
      <c r="CL521" s="216">
        <f ca="1">IF($D521&lt;&gt;"Serviço",0,IF(OR(AND(AUTOEVENTO="Manual",$M521=1),$M521&gt;(ROW(PLE.lastrow)-ROW(PLE.firstrow))),0,IF(OFFSET(PLE!$G$14,$M521,CL$13)="",10^12,OFFSET(PLE!$G$14,$M521,CL$13))))</f>
        <v>1000000000000</v>
      </c>
      <c r="CM521" s="216">
        <f ca="1">IF($D521&lt;&gt;"Serviço",0,IF(OR(AND(AUTOEVENTO="Manual",$M521=1),$M521&gt;(ROW(PLE.lastrow)-ROW(PLE.firstrow))),0,IF(OFFSET(PLE!$G$14,$M521,CM$13)="",10^12,OFFSET(PLE!$G$14,$M521,CM$13))))</f>
        <v>1000000000000</v>
      </c>
    </row>
    <row r="522" spans="1:91" ht="13.2" x14ac:dyDescent="0.25">
      <c r="A522" s="9">
        <f t="shared" ca="1" si="16"/>
        <v>0</v>
      </c>
      <c r="B522" s="9" t="str">
        <f ca="1">OFFSET(ORÇAMENTO!C$15,ROW(B522)-ROW(B$15),0)</f>
        <v>S</v>
      </c>
      <c r="C522" s="9" t="str">
        <f ca="1">OFFSET(ORÇAMENTO!L$15,ROW(C522)-ROW(C$15),0)</f>
        <v/>
      </c>
      <c r="D522" s="145" t="str">
        <f ca="1">OFFSET(ORÇAMENTO!N$15,ROW(D522)-ROW(D$15),0)</f>
        <v>Serviço</v>
      </c>
      <c r="E522" s="205" t="str">
        <f ca="1">OFFSET(ORÇAMENTO!O$15,ROW(E522)-ROW(E$15),0)</f>
        <v>-</v>
      </c>
      <c r="F522" s="206" t="str">
        <f ca="1">OFFSET(ORÇAMENTO!R$15,ROW(F522)-ROW(F$15),0)</f>
        <v>(abra o arquivo 'Referência 05-2024.xls)</v>
      </c>
      <c r="G522" s="207" t="str">
        <f ca="1">IF($D522&lt;&gt;"Serviço","",OFFSET(ORÇAMENTO!S$15,ROW(G522)-ROW(G$15),0))</f>
        <v>-</v>
      </c>
      <c r="H522" s="151">
        <f ca="1">IF($D522&lt;&gt;"Serviço",0,IF(ACOMPANHAMENTO="BM",ROUND(OFFSET(ORÇAMENTO!AJ$15,ROW(H522)-ROW(H$15),0),15-13*ORÇAMENTO!$AF$7),SUMPRODUCT(($Q$12:$AI$12&lt;&gt;"")*ROUND($Q522:$AI522,15-13*ORÇAMENTO!$AF$7))))</f>
        <v>6</v>
      </c>
      <c r="I522" s="650"/>
      <c r="K522" s="208"/>
      <c r="L522" s="209" t="s">
        <v>257</v>
      </c>
      <c r="M522" s="210">
        <f ca="1">IF($D522&lt;&gt;"Serviço","",IF(AUTOEVENTO="manual",$A522,IF(ISERROR(MATCH($A522,$A$15:OFFSET($A522,-1,0),0)),MAX($M$15:OFFSET(M522,-1,0))+1,INDEX($M$15:OFFSET(M522,-1,0),MATCH($A522,$A$15:OFFSET($A522,-1,0),0)))))</f>
        <v>0</v>
      </c>
      <c r="N522" s="211" t="str">
        <f ca="1">IF($D522&lt;&gt;"Serviço","",IF(AUTOEVENTO="Manual",IF($A522=0,"&lt;-- defina o número do agrupador",OFFSET(EVENTOS!$D$14,$A522,0)),OFFSET($F$15,$A522,0)))</f>
        <v>&lt;-- defina o número do agrupador</v>
      </c>
      <c r="O522" s="212"/>
      <c r="Q522" s="212"/>
      <c r="R522" s="213"/>
      <c r="S522" s="213"/>
      <c r="T522" s="213"/>
      <c r="U522" s="213"/>
      <c r="V522" s="213"/>
      <c r="W522" s="213"/>
      <c r="X522" s="213"/>
      <c r="Y522" s="213"/>
      <c r="Z522" s="214"/>
      <c r="AA522" s="213"/>
      <c r="AB522" s="213"/>
      <c r="AC522" s="213"/>
      <c r="AD522" s="213"/>
      <c r="AE522" s="213"/>
      <c r="AF522" s="213"/>
      <c r="AG522" s="213"/>
      <c r="AH522" s="214"/>
      <c r="AJ522" s="631">
        <f ca="1">IF(AND($D522="Serviço",AJ$12&lt;&gt;0,$H522&gt;0,OR(AUTOEVENTO&lt;&gt;"manual",$M522&lt;&gt;1)),ROUND(OFFSET($P522,0,AJ$13),15-13*ORÇAMENTO!$AF$7)/$H522*OFFSET(ORÇAMENTO!$X$15,ROW(AJ522)-ROW(AJ$15),0),0)</f>
        <v>0</v>
      </c>
      <c r="AK522" s="632">
        <f ca="1">IF(AND($D522="Serviço",AK$12&lt;&gt;0,$H522&gt;0,OR(AUTOEVENTO&lt;&gt;"manual",$M522&lt;&gt;1)),ROUND(OFFSET($P522,0,AK$13),15-13*ORÇAMENTO!$AF$7)/$H522*OFFSET(ORÇAMENTO!$X$15,ROW(AK522)-ROW(AK$15),0),0)</f>
        <v>0</v>
      </c>
      <c r="AL522" s="632">
        <f ca="1">IF(AND($D522="Serviço",AL$12&lt;&gt;0,$H522&gt;0,OR(AUTOEVENTO&lt;&gt;"manual",$M522&lt;&gt;1)),ROUND(OFFSET($P522,0,AL$13),15-13*ORÇAMENTO!$AF$7)/$H522*OFFSET(ORÇAMENTO!$X$15,ROW(AL522)-ROW(AL$15),0),0)</f>
        <v>0</v>
      </c>
      <c r="AM522" s="632">
        <f ca="1">IF(AND($D522="Serviço",AM$12&lt;&gt;0,$H522&gt;0,OR(AUTOEVENTO&lt;&gt;"manual",$M522&lt;&gt;1)),ROUND(OFFSET($P522,0,AM$13),15-13*ORÇAMENTO!$AF$7)/$H522*OFFSET(ORÇAMENTO!$X$15,ROW(AM522)-ROW(AM$15),0),0)</f>
        <v>0</v>
      </c>
      <c r="AN522" s="632">
        <f ca="1">IF(AND($D522="Serviço",AN$12&lt;&gt;0,$H522&gt;0,OR(AUTOEVENTO&lt;&gt;"manual",$M522&lt;&gt;1)),ROUND(OFFSET($P522,0,AN$13),15-13*ORÇAMENTO!$AF$7)/$H522*OFFSET(ORÇAMENTO!$X$15,ROW(AN522)-ROW(AN$15),0),0)</f>
        <v>0</v>
      </c>
      <c r="AO522" s="632">
        <f ca="1">IF(AND($D522="Serviço",AO$12&lt;&gt;0,$H522&gt;0,OR(AUTOEVENTO&lt;&gt;"manual",$M522&lt;&gt;1)),ROUND(OFFSET($P522,0,AO$13),15-13*ORÇAMENTO!$AF$7)/$H522*OFFSET(ORÇAMENTO!$X$15,ROW(AO522)-ROW(AO$15),0),0)</f>
        <v>0</v>
      </c>
      <c r="AP522" s="632">
        <f ca="1">IF(AND($D522="Serviço",AP$12&lt;&gt;0,$H522&gt;0,OR(AUTOEVENTO&lt;&gt;"manual",$M522&lt;&gt;1)),ROUND(OFFSET($P522,0,AP$13),15-13*ORÇAMENTO!$AF$7)/$H522*OFFSET(ORÇAMENTO!$X$15,ROW(AP522)-ROW(AP$15),0),0)</f>
        <v>0</v>
      </c>
      <c r="AQ522" s="632">
        <f ca="1">IF(AND($D522="Serviço",AQ$12&lt;&gt;0,$H522&gt;0,OR(AUTOEVENTO&lt;&gt;"manual",$M522&lt;&gt;1)),ROUND(OFFSET($P522,0,AQ$13),15-13*ORÇAMENTO!$AF$7)/$H522*OFFSET(ORÇAMENTO!$X$15,ROW(AQ522)-ROW(AQ$15),0),0)</f>
        <v>0</v>
      </c>
      <c r="AR522" s="632">
        <f ca="1">IF(AND($D522="Serviço",AR$12&lt;&gt;0,$H522&gt;0,OR(AUTOEVENTO&lt;&gt;"manual",$M522&lt;&gt;1)),ROUND(OFFSET($P522,0,AR$13),15-13*ORÇAMENTO!$AF$7)/$H522*OFFSET(ORÇAMENTO!$X$15,ROW(AR522)-ROW(AR$15),0),0)</f>
        <v>0</v>
      </c>
      <c r="AS522" s="633">
        <f ca="1">IF(AND($D522="Serviço",AS$12&lt;&gt;0,$H522&gt;0,OR(AUTOEVENTO&lt;&gt;"manual",$M522&lt;&gt;1)),ROUND(OFFSET($P522,0,AS$13),15-13*ORÇAMENTO!$AF$7)/$H522*OFFSET(ORÇAMENTO!$X$15,ROW(AS522)-ROW(AS$15),0),0)</f>
        <v>0</v>
      </c>
      <c r="AT522" s="632">
        <f ca="1">IF(AND($D522="Serviço",AT$12&lt;&gt;0,$H522&gt;0,OR(AUTOEVENTO&lt;&gt;"manual",$M522&lt;&gt;1)),ROUND(OFFSET($P522,0,AT$13),15-13*ORÇAMENTO!$AF$7)/$H522*OFFSET(ORÇAMENTO!$X$15,ROW(AT522)-ROW(AT$15),0),0)</f>
        <v>0</v>
      </c>
      <c r="AU522" s="632">
        <f ca="1">IF(AND($D522="Serviço",AU$12&lt;&gt;0,$H522&gt;0,OR(AUTOEVENTO&lt;&gt;"manual",$M522&lt;&gt;1)),ROUND(OFFSET($P522,0,AU$13),15-13*ORÇAMENTO!$AF$7)/$H522*OFFSET(ORÇAMENTO!$X$15,ROW(AU522)-ROW(AU$15),0),0)</f>
        <v>0</v>
      </c>
      <c r="AV522" s="632">
        <f ca="1">IF(AND($D522="Serviço",AV$12&lt;&gt;0,$H522&gt;0,OR(AUTOEVENTO&lt;&gt;"manual",$M522&lt;&gt;1)),ROUND(OFFSET($P522,0,AV$13),15-13*ORÇAMENTO!$AF$7)/$H522*OFFSET(ORÇAMENTO!$X$15,ROW(AV522)-ROW(AV$15),0),0)</f>
        <v>0</v>
      </c>
      <c r="AW522" s="632">
        <f ca="1">IF(AND($D522="Serviço",AW$12&lt;&gt;0,$H522&gt;0,OR(AUTOEVENTO&lt;&gt;"manual",$M522&lt;&gt;1)),ROUND(OFFSET($P522,0,AW$13),15-13*ORÇAMENTO!$AF$7)/$H522*OFFSET(ORÇAMENTO!$X$15,ROW(AW522)-ROW(AW$15),0),0)</f>
        <v>0</v>
      </c>
      <c r="AX522" s="632">
        <f ca="1">IF(AND($D522="Serviço",AX$12&lt;&gt;0,$H522&gt;0,OR(AUTOEVENTO&lt;&gt;"manual",$M522&lt;&gt;1)),ROUND(OFFSET($P522,0,AX$13),15-13*ORÇAMENTO!$AF$7)/$H522*OFFSET(ORÇAMENTO!$X$15,ROW(AX522)-ROW(AX$15),0),0)</f>
        <v>0</v>
      </c>
      <c r="AY522" s="632">
        <f ca="1">IF(AND($D522="Serviço",AY$12&lt;&gt;0,$H522&gt;0,OR(AUTOEVENTO&lt;&gt;"manual",$M522&lt;&gt;1)),ROUND(OFFSET($P522,0,AY$13),15-13*ORÇAMENTO!$AF$7)/$H522*OFFSET(ORÇAMENTO!$X$15,ROW(AY522)-ROW(AY$15),0),0)</f>
        <v>0</v>
      </c>
      <c r="AZ522" s="632">
        <f ca="1">IF(AND($D522="Serviço",AZ$12&lt;&gt;0,$H522&gt;0,OR(AUTOEVENTO&lt;&gt;"manual",$M522&lt;&gt;1)),ROUND(OFFSET($P522,0,AZ$13),15-13*ORÇAMENTO!$AF$7)/$H522*OFFSET(ORÇAMENTO!$X$15,ROW(AZ522)-ROW(AZ$15),0),0)</f>
        <v>0</v>
      </c>
      <c r="BA522" s="633">
        <f ca="1">IF(AND($D522="Serviço",BA$12&lt;&gt;0,$H522&gt;0,OR(AUTOEVENTO&lt;&gt;"manual",$M522&lt;&gt;1)),ROUND(OFFSET($P522,0,BA$13),15-13*ORÇAMENTO!$AF$7)/$H522*OFFSET(ORÇAMENTO!$X$15,ROW(BA522)-ROW(BA$15),0),0)</f>
        <v>0</v>
      </c>
      <c r="BC522" s="215">
        <f ca="1">IF($D522&lt;&gt;"Serviço",0,IF(AND(AUTOEVENTO="Manual",$M522=1),0,IF(OFFSET(CRONOPLE!$F$14,$M522,BC$13)="",10^12,OFFSET(CRONOPLE!$F$14,$M522,BC$13))))</f>
        <v>1000000000000</v>
      </c>
      <c r="BD522" s="215">
        <f ca="1">IF($D522&lt;&gt;"Serviço",0,IF(AND(AUTOEVENTO="Manual",$M522=1),0,IF(OFFSET(CRONOPLE!$F$14,$M522,BD$13)="",10^12,OFFSET(CRONOPLE!$F$14,$M522,BD$13))))</f>
        <v>1000000000000</v>
      </c>
      <c r="BE522" s="215">
        <f ca="1">IF($D522&lt;&gt;"Serviço",0,IF(AND(AUTOEVENTO="Manual",$M522=1),0,IF(OFFSET(CRONOPLE!$F$14,$M522,BE$13)="",10^12,OFFSET(CRONOPLE!$F$14,$M522,BE$13))))</f>
        <v>1000000000000</v>
      </c>
      <c r="BF522" s="215">
        <f ca="1">IF($D522&lt;&gt;"Serviço",0,IF(AND(AUTOEVENTO="Manual",$M522=1),0,IF(OFFSET(CRONOPLE!$F$14,$M522,BF$13)="",10^12,OFFSET(CRONOPLE!$F$14,$M522,BF$13))))</f>
        <v>1000000000000</v>
      </c>
      <c r="BG522" s="215">
        <f ca="1">IF($D522&lt;&gt;"Serviço",0,IF(AND(AUTOEVENTO="Manual",$M522=1),0,IF(OFFSET(CRONOPLE!$F$14,$M522,BG$13)="",10^12,OFFSET(CRONOPLE!$F$14,$M522,BG$13))))</f>
        <v>1000000000000</v>
      </c>
      <c r="BH522" s="215">
        <f ca="1">IF($D522&lt;&gt;"Serviço",0,IF(AND(AUTOEVENTO="Manual",$M522=1),0,IF(OFFSET(CRONOPLE!$F$14,$M522,BH$13)="",10^12,OFFSET(CRONOPLE!$F$14,$M522,BH$13))))</f>
        <v>1000000000000</v>
      </c>
      <c r="BI522" s="215">
        <f ca="1">IF($D522&lt;&gt;"Serviço",0,IF(AND(AUTOEVENTO="Manual",$M522=1),0,IF(OFFSET(CRONOPLE!$F$14,$M522,BI$13)="",10^12,OFFSET(CRONOPLE!$F$14,$M522,BI$13))))</f>
        <v>1000000000000</v>
      </c>
      <c r="BJ522" s="215">
        <f ca="1">IF($D522&lt;&gt;"Serviço",0,IF(AND(AUTOEVENTO="Manual",$M522=1),0,IF(OFFSET(CRONOPLE!$F$14,$M522,BJ$13)="",10^12,OFFSET(CRONOPLE!$F$14,$M522,BJ$13))))</f>
        <v>1000000000000</v>
      </c>
      <c r="BK522" s="215">
        <f ca="1">IF($D522&lt;&gt;"Serviço",0,IF(AND(AUTOEVENTO="Manual",$M522=1),0,IF(OFFSET(CRONOPLE!$F$14,$M522,BK$13)="",10^12,OFFSET(CRONOPLE!$F$14,$M522,BK$13))))</f>
        <v>1000000000000</v>
      </c>
      <c r="BL522" s="215">
        <f ca="1">IF($D522&lt;&gt;"Serviço",0,IF(AND(AUTOEVENTO="Manual",$M522=1),0,IF(OFFSET(CRONOPLE!$F$14,$M522,BL$13)="",10^12,OFFSET(CRONOPLE!$F$14,$M522,BL$13))))</f>
        <v>1000000000000</v>
      </c>
      <c r="BM522" s="215">
        <f ca="1">IF($D522&lt;&gt;"Serviço",0,IF(AND(AUTOEVENTO="Manual",$M522=1),0,IF(OFFSET(CRONOPLE!$F$14,$M522,BM$13)="",10^12,OFFSET(CRONOPLE!$F$14,$M522,BM$13))))</f>
        <v>1000000000000</v>
      </c>
      <c r="BN522" s="215">
        <f ca="1">IF($D522&lt;&gt;"Serviço",0,IF(AND(AUTOEVENTO="Manual",$M522=1),0,IF(OFFSET(CRONOPLE!$F$14,$M522,BN$13)="",10^12,OFFSET(CRONOPLE!$F$14,$M522,BN$13))))</f>
        <v>1000000000000</v>
      </c>
      <c r="BO522" s="215">
        <f ca="1">IF($D522&lt;&gt;"Serviço",0,IF(AND(AUTOEVENTO="Manual",$M522=1),0,IF(OFFSET(CRONOPLE!$F$14,$M522,BO$13)="",10^12,OFFSET(CRONOPLE!$F$14,$M522,BO$13))))</f>
        <v>1000000000000</v>
      </c>
      <c r="BP522" s="215">
        <f ca="1">IF($D522&lt;&gt;"Serviço",0,IF(AND(AUTOEVENTO="Manual",$M522=1),0,IF(OFFSET(CRONOPLE!$F$14,$M522,BP$13)="",10^12,OFFSET(CRONOPLE!$F$14,$M522,BP$13))))</f>
        <v>1000000000000</v>
      </c>
      <c r="BQ522" s="215">
        <f ca="1">IF($D522&lt;&gt;"Serviço",0,IF(AND(AUTOEVENTO="Manual",$M522=1),0,IF(OFFSET(CRONOPLE!$F$14,$M522,BQ$13)="",10^12,OFFSET(CRONOPLE!$F$14,$M522,BQ$13))))</f>
        <v>1000000000000</v>
      </c>
      <c r="BR522" s="215">
        <f ca="1">IF($D522&lt;&gt;"Serviço",0,IF(AND(AUTOEVENTO="Manual",$M522=1),0,IF(OFFSET(CRONOPLE!$F$14,$M522,BR$13)="",10^12,OFFSET(CRONOPLE!$F$14,$M522,BR$13))))</f>
        <v>1000000000000</v>
      </c>
      <c r="BS522" s="215">
        <f ca="1">IF($D522&lt;&gt;"Serviço",0,IF(AND(AUTOEVENTO="Manual",$M522=1),0,IF(OFFSET(CRONOPLE!$F$14,$M522,BS$13)="",10^12,OFFSET(CRONOPLE!$F$14,$M522,BS$13))))</f>
        <v>1000000000000</v>
      </c>
      <c r="BT522" s="215">
        <f ca="1">IF($D522&lt;&gt;"Serviço",0,IF(AND(AUTOEVENTO="Manual",$M522=1),0,IF(OFFSET(CRONOPLE!$F$14,$M522,BT$13)="",10^12,OFFSET(CRONOPLE!$F$14,$M522,BT$13))))</f>
        <v>1000000000000</v>
      </c>
      <c r="BV522" s="216">
        <f ca="1">IF($D522&lt;&gt;"Serviço",0,IF(OR(AND(AUTOEVENTO="Manual",$M522=1),$M522&gt;(ROW(PLE.lastrow)-ROW(PLE.firstrow))),0,IF(OFFSET(PLE!$G$14,$M522,BV$13)="",10^12,OFFSET(PLE!$G$14,$M522,BV$13))))</f>
        <v>1000000000000</v>
      </c>
      <c r="BW522" s="216">
        <f ca="1">IF($D522&lt;&gt;"Serviço",0,IF(OR(AND(AUTOEVENTO="Manual",$M522=1),$M522&gt;(ROW(PLE.lastrow)-ROW(PLE.firstrow))),0,IF(OFFSET(PLE!$G$14,$M522,BW$13)="",10^12,OFFSET(PLE!$G$14,$M522,BW$13))))</f>
        <v>1000000000000</v>
      </c>
      <c r="BX522" s="216">
        <f ca="1">IF($D522&lt;&gt;"Serviço",0,IF(OR(AND(AUTOEVENTO="Manual",$M522=1),$M522&gt;(ROW(PLE.lastrow)-ROW(PLE.firstrow))),0,IF(OFFSET(PLE!$G$14,$M522,BX$13)="",10^12,OFFSET(PLE!$G$14,$M522,BX$13))))</f>
        <v>1000000000000</v>
      </c>
      <c r="BY522" s="216">
        <f ca="1">IF($D522&lt;&gt;"Serviço",0,IF(OR(AND(AUTOEVENTO="Manual",$M522=1),$M522&gt;(ROW(PLE.lastrow)-ROW(PLE.firstrow))),0,IF(OFFSET(PLE!$G$14,$M522,BY$13)="",10^12,OFFSET(PLE!$G$14,$M522,BY$13))))</f>
        <v>1000000000000</v>
      </c>
      <c r="BZ522" s="216">
        <f ca="1">IF($D522&lt;&gt;"Serviço",0,IF(OR(AND(AUTOEVENTO="Manual",$M522=1),$M522&gt;(ROW(PLE.lastrow)-ROW(PLE.firstrow))),0,IF(OFFSET(PLE!$G$14,$M522,BZ$13)="",10^12,OFFSET(PLE!$G$14,$M522,BZ$13))))</f>
        <v>1000000000000</v>
      </c>
      <c r="CA522" s="216">
        <f ca="1">IF($D522&lt;&gt;"Serviço",0,IF(OR(AND(AUTOEVENTO="Manual",$M522=1),$M522&gt;(ROW(PLE.lastrow)-ROW(PLE.firstrow))),0,IF(OFFSET(PLE!$G$14,$M522,CA$13)="",10^12,OFFSET(PLE!$G$14,$M522,CA$13))))</f>
        <v>1000000000000</v>
      </c>
      <c r="CB522" s="216">
        <f ca="1">IF($D522&lt;&gt;"Serviço",0,IF(OR(AND(AUTOEVENTO="Manual",$M522=1),$M522&gt;(ROW(PLE.lastrow)-ROW(PLE.firstrow))),0,IF(OFFSET(PLE!$G$14,$M522,CB$13)="",10^12,OFFSET(PLE!$G$14,$M522,CB$13))))</f>
        <v>1000000000000</v>
      </c>
      <c r="CC522" s="216">
        <f ca="1">IF($D522&lt;&gt;"Serviço",0,IF(OR(AND(AUTOEVENTO="Manual",$M522=1),$M522&gt;(ROW(PLE.lastrow)-ROW(PLE.firstrow))),0,IF(OFFSET(PLE!$G$14,$M522,CC$13)="",10^12,OFFSET(PLE!$G$14,$M522,CC$13))))</f>
        <v>1000000000000</v>
      </c>
      <c r="CD522" s="216">
        <f ca="1">IF($D522&lt;&gt;"Serviço",0,IF(OR(AND(AUTOEVENTO="Manual",$M522=1),$M522&gt;(ROW(PLE.lastrow)-ROW(PLE.firstrow))),0,IF(OFFSET(PLE!$G$14,$M522,CD$13)="",10^12,OFFSET(PLE!$G$14,$M522,CD$13))))</f>
        <v>1000000000000</v>
      </c>
      <c r="CE522" s="216">
        <f ca="1">IF($D522&lt;&gt;"Serviço",0,IF(OR(AND(AUTOEVENTO="Manual",$M522=1),$M522&gt;(ROW(PLE.lastrow)-ROW(PLE.firstrow))),0,IF(OFFSET(PLE!$G$14,$M522,CE$13)="",10^12,OFFSET(PLE!$G$14,$M522,CE$13))))</f>
        <v>1000000000000</v>
      </c>
      <c r="CF522" s="216">
        <f ca="1">IF($D522&lt;&gt;"Serviço",0,IF(OR(AND(AUTOEVENTO="Manual",$M522=1),$M522&gt;(ROW(PLE.lastrow)-ROW(PLE.firstrow))),0,IF(OFFSET(PLE!$G$14,$M522,CF$13)="",10^12,OFFSET(PLE!$G$14,$M522,CF$13))))</f>
        <v>1000000000000</v>
      </c>
      <c r="CG522" s="216">
        <f ca="1">IF($D522&lt;&gt;"Serviço",0,IF(OR(AND(AUTOEVENTO="Manual",$M522=1),$M522&gt;(ROW(PLE.lastrow)-ROW(PLE.firstrow))),0,IF(OFFSET(PLE!$G$14,$M522,CG$13)="",10^12,OFFSET(PLE!$G$14,$M522,CG$13))))</f>
        <v>1000000000000</v>
      </c>
      <c r="CH522" s="216">
        <f ca="1">IF($D522&lt;&gt;"Serviço",0,IF(OR(AND(AUTOEVENTO="Manual",$M522=1),$M522&gt;(ROW(PLE.lastrow)-ROW(PLE.firstrow))),0,IF(OFFSET(PLE!$G$14,$M522,CH$13)="",10^12,OFFSET(PLE!$G$14,$M522,CH$13))))</f>
        <v>1000000000000</v>
      </c>
      <c r="CI522" s="216">
        <f ca="1">IF($D522&lt;&gt;"Serviço",0,IF(OR(AND(AUTOEVENTO="Manual",$M522=1),$M522&gt;(ROW(PLE.lastrow)-ROW(PLE.firstrow))),0,IF(OFFSET(PLE!$G$14,$M522,CI$13)="",10^12,OFFSET(PLE!$G$14,$M522,CI$13))))</f>
        <v>1000000000000</v>
      </c>
      <c r="CJ522" s="216">
        <f ca="1">IF($D522&lt;&gt;"Serviço",0,IF(OR(AND(AUTOEVENTO="Manual",$M522=1),$M522&gt;(ROW(PLE.lastrow)-ROW(PLE.firstrow))),0,IF(OFFSET(PLE!$G$14,$M522,CJ$13)="",10^12,OFFSET(PLE!$G$14,$M522,CJ$13))))</f>
        <v>1000000000000</v>
      </c>
      <c r="CK522" s="216">
        <f ca="1">IF($D522&lt;&gt;"Serviço",0,IF(OR(AND(AUTOEVENTO="Manual",$M522=1),$M522&gt;(ROW(PLE.lastrow)-ROW(PLE.firstrow))),0,IF(OFFSET(PLE!$G$14,$M522,CK$13)="",10^12,OFFSET(PLE!$G$14,$M522,CK$13))))</f>
        <v>1000000000000</v>
      </c>
      <c r="CL522" s="216">
        <f ca="1">IF($D522&lt;&gt;"Serviço",0,IF(OR(AND(AUTOEVENTO="Manual",$M522=1),$M522&gt;(ROW(PLE.lastrow)-ROW(PLE.firstrow))),0,IF(OFFSET(PLE!$G$14,$M522,CL$13)="",10^12,OFFSET(PLE!$G$14,$M522,CL$13))))</f>
        <v>1000000000000</v>
      </c>
      <c r="CM522" s="216">
        <f ca="1">IF($D522&lt;&gt;"Serviço",0,IF(OR(AND(AUTOEVENTO="Manual",$M522=1),$M522&gt;(ROW(PLE.lastrow)-ROW(PLE.firstrow))),0,IF(OFFSET(PLE!$G$14,$M522,CM$13)="",10^12,OFFSET(PLE!$G$14,$M522,CM$13))))</f>
        <v>1000000000000</v>
      </c>
    </row>
    <row r="523" spans="1:91" ht="13.2" x14ac:dyDescent="0.25">
      <c r="A523" s="9">
        <f t="shared" ca="1" si="16"/>
        <v>0</v>
      </c>
      <c r="B523" s="9">
        <f ca="1">OFFSET(ORÇAMENTO!C$15,ROW(B523)-ROW(B$15),0)</f>
        <v>3</v>
      </c>
      <c r="C523" s="9" t="str">
        <f ca="1">OFFSET(ORÇAMENTO!L$15,ROW(C523)-ROW(C$15),0)</f>
        <v>F</v>
      </c>
      <c r="D523" s="145" t="str">
        <f ca="1">OFFSET(ORÇAMENTO!N$15,ROW(D523)-ROW(D$15),0)</f>
        <v>Nível 3</v>
      </c>
      <c r="E523" s="205" t="str">
        <f ca="1">OFFSET(ORÇAMENTO!O$15,ROW(E523)-ROW(E$15),0)</f>
        <v>1.17.6.</v>
      </c>
      <c r="F523" s="206" t="str">
        <f ca="1">OFFSET(ORÇAMENTO!R$15,ROW(F523)-ROW(F$15),0)</f>
        <v>OUTROS</v>
      </c>
      <c r="G523" s="207" t="str">
        <f ca="1">IF($D523&lt;&gt;"Serviço","",OFFSET(ORÇAMENTO!S$15,ROW(G523)-ROW(G$15),0))</f>
        <v/>
      </c>
      <c r="H523" s="151">
        <f ca="1">IF($D523&lt;&gt;"Serviço",0,IF(ACOMPANHAMENTO="BM",ROUND(OFFSET(ORÇAMENTO!AJ$15,ROW(H523)-ROW(H$15),0),15-13*ORÇAMENTO!$AF$7),SUMPRODUCT(($Q$12:$AI$12&lt;&gt;"")*ROUND($Q523:$AI523,15-13*ORÇAMENTO!$AF$7))))</f>
        <v>0</v>
      </c>
      <c r="I523" s="650"/>
      <c r="K523" s="208"/>
      <c r="L523" s="209" t="s">
        <v>257</v>
      </c>
      <c r="M523" s="210" t="str">
        <f ca="1">IF($D523&lt;&gt;"Serviço","",IF(AUTOEVENTO="manual",$A523,IF(ISERROR(MATCH($A523,$A$15:OFFSET($A523,-1,0),0)),MAX($M$15:OFFSET(M523,-1,0))+1,INDEX($M$15:OFFSET(M523,-1,0),MATCH($A523,$A$15:OFFSET($A523,-1,0),0)))))</f>
        <v/>
      </c>
      <c r="N523" s="211" t="str">
        <f ca="1">IF($D523&lt;&gt;"Serviço","",IF(AUTOEVENTO="Manual",IF($A523=0,"&lt;-- defina o número do agrupador",OFFSET(EVENTOS!$D$14,$A523,0)),OFFSET($F$15,$A523,0)))</f>
        <v/>
      </c>
      <c r="O523" s="212"/>
      <c r="Q523" s="212"/>
      <c r="R523" s="213"/>
      <c r="S523" s="213"/>
      <c r="T523" s="213"/>
      <c r="U523" s="213"/>
      <c r="V523" s="213"/>
      <c r="W523" s="213"/>
      <c r="X523" s="213"/>
      <c r="Y523" s="213"/>
      <c r="Z523" s="214"/>
      <c r="AA523" s="213"/>
      <c r="AB523" s="213"/>
      <c r="AC523" s="213"/>
      <c r="AD523" s="213"/>
      <c r="AE523" s="213"/>
      <c r="AF523" s="213"/>
      <c r="AG523" s="213"/>
      <c r="AH523" s="214"/>
      <c r="AJ523" s="631">
        <f ca="1">IF(AND($D523="Serviço",AJ$12&lt;&gt;0,$H523&gt;0,OR(AUTOEVENTO&lt;&gt;"manual",$M523&lt;&gt;1)),ROUND(OFFSET($P523,0,AJ$13),15-13*ORÇAMENTO!$AF$7)/$H523*OFFSET(ORÇAMENTO!$X$15,ROW(AJ523)-ROW(AJ$15),0),0)</f>
        <v>0</v>
      </c>
      <c r="AK523" s="632">
        <f ca="1">IF(AND($D523="Serviço",AK$12&lt;&gt;0,$H523&gt;0,OR(AUTOEVENTO&lt;&gt;"manual",$M523&lt;&gt;1)),ROUND(OFFSET($P523,0,AK$13),15-13*ORÇAMENTO!$AF$7)/$H523*OFFSET(ORÇAMENTO!$X$15,ROW(AK523)-ROW(AK$15),0),0)</f>
        <v>0</v>
      </c>
      <c r="AL523" s="632">
        <f ca="1">IF(AND($D523="Serviço",AL$12&lt;&gt;0,$H523&gt;0,OR(AUTOEVENTO&lt;&gt;"manual",$M523&lt;&gt;1)),ROUND(OFFSET($P523,0,AL$13),15-13*ORÇAMENTO!$AF$7)/$H523*OFFSET(ORÇAMENTO!$X$15,ROW(AL523)-ROW(AL$15),0),0)</f>
        <v>0</v>
      </c>
      <c r="AM523" s="632">
        <f ca="1">IF(AND($D523="Serviço",AM$12&lt;&gt;0,$H523&gt;0,OR(AUTOEVENTO&lt;&gt;"manual",$M523&lt;&gt;1)),ROUND(OFFSET($P523,0,AM$13),15-13*ORÇAMENTO!$AF$7)/$H523*OFFSET(ORÇAMENTO!$X$15,ROW(AM523)-ROW(AM$15),0),0)</f>
        <v>0</v>
      </c>
      <c r="AN523" s="632">
        <f ca="1">IF(AND($D523="Serviço",AN$12&lt;&gt;0,$H523&gt;0,OR(AUTOEVENTO&lt;&gt;"manual",$M523&lt;&gt;1)),ROUND(OFFSET($P523,0,AN$13),15-13*ORÇAMENTO!$AF$7)/$H523*OFFSET(ORÇAMENTO!$X$15,ROW(AN523)-ROW(AN$15),0),0)</f>
        <v>0</v>
      </c>
      <c r="AO523" s="632">
        <f ca="1">IF(AND($D523="Serviço",AO$12&lt;&gt;0,$H523&gt;0,OR(AUTOEVENTO&lt;&gt;"manual",$M523&lt;&gt;1)),ROUND(OFFSET($P523,0,AO$13),15-13*ORÇAMENTO!$AF$7)/$H523*OFFSET(ORÇAMENTO!$X$15,ROW(AO523)-ROW(AO$15),0),0)</f>
        <v>0</v>
      </c>
      <c r="AP523" s="632">
        <f ca="1">IF(AND($D523="Serviço",AP$12&lt;&gt;0,$H523&gt;0,OR(AUTOEVENTO&lt;&gt;"manual",$M523&lt;&gt;1)),ROUND(OFFSET($P523,0,AP$13),15-13*ORÇAMENTO!$AF$7)/$H523*OFFSET(ORÇAMENTO!$X$15,ROW(AP523)-ROW(AP$15),0),0)</f>
        <v>0</v>
      </c>
      <c r="AQ523" s="632">
        <f ca="1">IF(AND($D523="Serviço",AQ$12&lt;&gt;0,$H523&gt;0,OR(AUTOEVENTO&lt;&gt;"manual",$M523&lt;&gt;1)),ROUND(OFFSET($P523,0,AQ$13),15-13*ORÇAMENTO!$AF$7)/$H523*OFFSET(ORÇAMENTO!$X$15,ROW(AQ523)-ROW(AQ$15),0),0)</f>
        <v>0</v>
      </c>
      <c r="AR523" s="632">
        <f ca="1">IF(AND($D523="Serviço",AR$12&lt;&gt;0,$H523&gt;0,OR(AUTOEVENTO&lt;&gt;"manual",$M523&lt;&gt;1)),ROUND(OFFSET($P523,0,AR$13),15-13*ORÇAMENTO!$AF$7)/$H523*OFFSET(ORÇAMENTO!$X$15,ROW(AR523)-ROW(AR$15),0),0)</f>
        <v>0</v>
      </c>
      <c r="AS523" s="633">
        <f ca="1">IF(AND($D523="Serviço",AS$12&lt;&gt;0,$H523&gt;0,OR(AUTOEVENTO&lt;&gt;"manual",$M523&lt;&gt;1)),ROUND(OFFSET($P523,0,AS$13),15-13*ORÇAMENTO!$AF$7)/$H523*OFFSET(ORÇAMENTO!$X$15,ROW(AS523)-ROW(AS$15),0),0)</f>
        <v>0</v>
      </c>
      <c r="AT523" s="632">
        <f ca="1">IF(AND($D523="Serviço",AT$12&lt;&gt;0,$H523&gt;0,OR(AUTOEVENTO&lt;&gt;"manual",$M523&lt;&gt;1)),ROUND(OFFSET($P523,0,AT$13),15-13*ORÇAMENTO!$AF$7)/$H523*OFFSET(ORÇAMENTO!$X$15,ROW(AT523)-ROW(AT$15),0),0)</f>
        <v>0</v>
      </c>
      <c r="AU523" s="632">
        <f ca="1">IF(AND($D523="Serviço",AU$12&lt;&gt;0,$H523&gt;0,OR(AUTOEVENTO&lt;&gt;"manual",$M523&lt;&gt;1)),ROUND(OFFSET($P523,0,AU$13),15-13*ORÇAMENTO!$AF$7)/$H523*OFFSET(ORÇAMENTO!$X$15,ROW(AU523)-ROW(AU$15),0),0)</f>
        <v>0</v>
      </c>
      <c r="AV523" s="632">
        <f ca="1">IF(AND($D523="Serviço",AV$12&lt;&gt;0,$H523&gt;0,OR(AUTOEVENTO&lt;&gt;"manual",$M523&lt;&gt;1)),ROUND(OFFSET($P523,0,AV$13),15-13*ORÇAMENTO!$AF$7)/$H523*OFFSET(ORÇAMENTO!$X$15,ROW(AV523)-ROW(AV$15),0),0)</f>
        <v>0</v>
      </c>
      <c r="AW523" s="632">
        <f ca="1">IF(AND($D523="Serviço",AW$12&lt;&gt;0,$H523&gt;0,OR(AUTOEVENTO&lt;&gt;"manual",$M523&lt;&gt;1)),ROUND(OFFSET($P523,0,AW$13),15-13*ORÇAMENTO!$AF$7)/$H523*OFFSET(ORÇAMENTO!$X$15,ROW(AW523)-ROW(AW$15),0),0)</f>
        <v>0</v>
      </c>
      <c r="AX523" s="632">
        <f ca="1">IF(AND($D523="Serviço",AX$12&lt;&gt;0,$H523&gt;0,OR(AUTOEVENTO&lt;&gt;"manual",$M523&lt;&gt;1)),ROUND(OFFSET($P523,0,AX$13),15-13*ORÇAMENTO!$AF$7)/$H523*OFFSET(ORÇAMENTO!$X$15,ROW(AX523)-ROW(AX$15),0),0)</f>
        <v>0</v>
      </c>
      <c r="AY523" s="632">
        <f ca="1">IF(AND($D523="Serviço",AY$12&lt;&gt;0,$H523&gt;0,OR(AUTOEVENTO&lt;&gt;"manual",$M523&lt;&gt;1)),ROUND(OFFSET($P523,0,AY$13),15-13*ORÇAMENTO!$AF$7)/$H523*OFFSET(ORÇAMENTO!$X$15,ROW(AY523)-ROW(AY$15),0),0)</f>
        <v>0</v>
      </c>
      <c r="AZ523" s="632">
        <f ca="1">IF(AND($D523="Serviço",AZ$12&lt;&gt;0,$H523&gt;0,OR(AUTOEVENTO&lt;&gt;"manual",$M523&lt;&gt;1)),ROUND(OFFSET($P523,0,AZ$13),15-13*ORÇAMENTO!$AF$7)/$H523*OFFSET(ORÇAMENTO!$X$15,ROW(AZ523)-ROW(AZ$15),0),0)</f>
        <v>0</v>
      </c>
      <c r="BA523" s="633">
        <f ca="1">IF(AND($D523="Serviço",BA$12&lt;&gt;0,$H523&gt;0,OR(AUTOEVENTO&lt;&gt;"manual",$M523&lt;&gt;1)),ROUND(OFFSET($P523,0,BA$13),15-13*ORÇAMENTO!$AF$7)/$H523*OFFSET(ORÇAMENTO!$X$15,ROW(BA523)-ROW(BA$15),0),0)</f>
        <v>0</v>
      </c>
      <c r="BC523" s="215">
        <f ca="1">IF($D523&lt;&gt;"Serviço",0,IF(AND(AUTOEVENTO="Manual",$M523=1),0,IF(OFFSET(CRONOPLE!$F$14,$M523,BC$13)="",10^12,OFFSET(CRONOPLE!$F$14,$M523,BC$13))))</f>
        <v>0</v>
      </c>
      <c r="BD523" s="215">
        <f ca="1">IF($D523&lt;&gt;"Serviço",0,IF(AND(AUTOEVENTO="Manual",$M523=1),0,IF(OFFSET(CRONOPLE!$F$14,$M523,BD$13)="",10^12,OFFSET(CRONOPLE!$F$14,$M523,BD$13))))</f>
        <v>0</v>
      </c>
      <c r="BE523" s="215">
        <f ca="1">IF($D523&lt;&gt;"Serviço",0,IF(AND(AUTOEVENTO="Manual",$M523=1),0,IF(OFFSET(CRONOPLE!$F$14,$M523,BE$13)="",10^12,OFFSET(CRONOPLE!$F$14,$M523,BE$13))))</f>
        <v>0</v>
      </c>
      <c r="BF523" s="215">
        <f ca="1">IF($D523&lt;&gt;"Serviço",0,IF(AND(AUTOEVENTO="Manual",$M523=1),0,IF(OFFSET(CRONOPLE!$F$14,$M523,BF$13)="",10^12,OFFSET(CRONOPLE!$F$14,$M523,BF$13))))</f>
        <v>0</v>
      </c>
      <c r="BG523" s="215">
        <f ca="1">IF($D523&lt;&gt;"Serviço",0,IF(AND(AUTOEVENTO="Manual",$M523=1),0,IF(OFFSET(CRONOPLE!$F$14,$M523,BG$13)="",10^12,OFFSET(CRONOPLE!$F$14,$M523,BG$13))))</f>
        <v>0</v>
      </c>
      <c r="BH523" s="215">
        <f ca="1">IF($D523&lt;&gt;"Serviço",0,IF(AND(AUTOEVENTO="Manual",$M523=1),0,IF(OFFSET(CRONOPLE!$F$14,$M523,BH$13)="",10^12,OFFSET(CRONOPLE!$F$14,$M523,BH$13))))</f>
        <v>0</v>
      </c>
      <c r="BI523" s="215">
        <f ca="1">IF($D523&lt;&gt;"Serviço",0,IF(AND(AUTOEVENTO="Manual",$M523=1),0,IF(OFFSET(CRONOPLE!$F$14,$M523,BI$13)="",10^12,OFFSET(CRONOPLE!$F$14,$M523,BI$13))))</f>
        <v>0</v>
      </c>
      <c r="BJ523" s="215">
        <f ca="1">IF($D523&lt;&gt;"Serviço",0,IF(AND(AUTOEVENTO="Manual",$M523=1),0,IF(OFFSET(CRONOPLE!$F$14,$M523,BJ$13)="",10^12,OFFSET(CRONOPLE!$F$14,$M523,BJ$13))))</f>
        <v>0</v>
      </c>
      <c r="BK523" s="215">
        <f ca="1">IF($D523&lt;&gt;"Serviço",0,IF(AND(AUTOEVENTO="Manual",$M523=1),0,IF(OFFSET(CRONOPLE!$F$14,$M523,BK$13)="",10^12,OFFSET(CRONOPLE!$F$14,$M523,BK$13))))</f>
        <v>0</v>
      </c>
      <c r="BL523" s="215">
        <f ca="1">IF($D523&lt;&gt;"Serviço",0,IF(AND(AUTOEVENTO="Manual",$M523=1),0,IF(OFFSET(CRONOPLE!$F$14,$M523,BL$13)="",10^12,OFFSET(CRONOPLE!$F$14,$M523,BL$13))))</f>
        <v>0</v>
      </c>
      <c r="BM523" s="215">
        <f ca="1">IF($D523&lt;&gt;"Serviço",0,IF(AND(AUTOEVENTO="Manual",$M523=1),0,IF(OFFSET(CRONOPLE!$F$14,$M523,BM$13)="",10^12,OFFSET(CRONOPLE!$F$14,$M523,BM$13))))</f>
        <v>0</v>
      </c>
      <c r="BN523" s="215">
        <f ca="1">IF($D523&lt;&gt;"Serviço",0,IF(AND(AUTOEVENTO="Manual",$M523=1),0,IF(OFFSET(CRONOPLE!$F$14,$M523,BN$13)="",10^12,OFFSET(CRONOPLE!$F$14,$M523,BN$13))))</f>
        <v>0</v>
      </c>
      <c r="BO523" s="215">
        <f ca="1">IF($D523&lt;&gt;"Serviço",0,IF(AND(AUTOEVENTO="Manual",$M523=1),0,IF(OFFSET(CRONOPLE!$F$14,$M523,BO$13)="",10^12,OFFSET(CRONOPLE!$F$14,$M523,BO$13))))</f>
        <v>0</v>
      </c>
      <c r="BP523" s="215">
        <f ca="1">IF($D523&lt;&gt;"Serviço",0,IF(AND(AUTOEVENTO="Manual",$M523=1),0,IF(OFFSET(CRONOPLE!$F$14,$M523,BP$13)="",10^12,OFFSET(CRONOPLE!$F$14,$M523,BP$13))))</f>
        <v>0</v>
      </c>
      <c r="BQ523" s="215">
        <f ca="1">IF($D523&lt;&gt;"Serviço",0,IF(AND(AUTOEVENTO="Manual",$M523=1),0,IF(OFFSET(CRONOPLE!$F$14,$M523,BQ$13)="",10^12,OFFSET(CRONOPLE!$F$14,$M523,BQ$13))))</f>
        <v>0</v>
      </c>
      <c r="BR523" s="215">
        <f ca="1">IF($D523&lt;&gt;"Serviço",0,IF(AND(AUTOEVENTO="Manual",$M523=1),0,IF(OFFSET(CRONOPLE!$F$14,$M523,BR$13)="",10^12,OFFSET(CRONOPLE!$F$14,$M523,BR$13))))</f>
        <v>0</v>
      </c>
      <c r="BS523" s="215">
        <f ca="1">IF($D523&lt;&gt;"Serviço",0,IF(AND(AUTOEVENTO="Manual",$M523=1),0,IF(OFFSET(CRONOPLE!$F$14,$M523,BS$13)="",10^12,OFFSET(CRONOPLE!$F$14,$M523,BS$13))))</f>
        <v>0</v>
      </c>
      <c r="BT523" s="215">
        <f ca="1">IF($D523&lt;&gt;"Serviço",0,IF(AND(AUTOEVENTO="Manual",$M523=1),0,IF(OFFSET(CRONOPLE!$F$14,$M523,BT$13)="",10^12,OFFSET(CRONOPLE!$F$14,$M523,BT$13))))</f>
        <v>0</v>
      </c>
      <c r="BV523" s="216">
        <f ca="1">IF($D523&lt;&gt;"Serviço",0,IF(OR(AND(AUTOEVENTO="Manual",$M523=1),$M523&gt;(ROW(PLE.lastrow)-ROW(PLE.firstrow))),0,IF(OFFSET(PLE!$G$14,$M523,BV$13)="",10^12,OFFSET(PLE!$G$14,$M523,BV$13))))</f>
        <v>0</v>
      </c>
      <c r="BW523" s="216">
        <f ca="1">IF($D523&lt;&gt;"Serviço",0,IF(OR(AND(AUTOEVENTO="Manual",$M523=1),$M523&gt;(ROW(PLE.lastrow)-ROW(PLE.firstrow))),0,IF(OFFSET(PLE!$G$14,$M523,BW$13)="",10^12,OFFSET(PLE!$G$14,$M523,BW$13))))</f>
        <v>0</v>
      </c>
      <c r="BX523" s="216">
        <f ca="1">IF($D523&lt;&gt;"Serviço",0,IF(OR(AND(AUTOEVENTO="Manual",$M523=1),$M523&gt;(ROW(PLE.lastrow)-ROW(PLE.firstrow))),0,IF(OFFSET(PLE!$G$14,$M523,BX$13)="",10^12,OFFSET(PLE!$G$14,$M523,BX$13))))</f>
        <v>0</v>
      </c>
      <c r="BY523" s="216">
        <f ca="1">IF($D523&lt;&gt;"Serviço",0,IF(OR(AND(AUTOEVENTO="Manual",$M523=1),$M523&gt;(ROW(PLE.lastrow)-ROW(PLE.firstrow))),0,IF(OFFSET(PLE!$G$14,$M523,BY$13)="",10^12,OFFSET(PLE!$G$14,$M523,BY$13))))</f>
        <v>0</v>
      </c>
      <c r="BZ523" s="216">
        <f ca="1">IF($D523&lt;&gt;"Serviço",0,IF(OR(AND(AUTOEVENTO="Manual",$M523=1),$M523&gt;(ROW(PLE.lastrow)-ROW(PLE.firstrow))),0,IF(OFFSET(PLE!$G$14,$M523,BZ$13)="",10^12,OFFSET(PLE!$G$14,$M523,BZ$13))))</f>
        <v>0</v>
      </c>
      <c r="CA523" s="216">
        <f ca="1">IF($D523&lt;&gt;"Serviço",0,IF(OR(AND(AUTOEVENTO="Manual",$M523=1),$M523&gt;(ROW(PLE.lastrow)-ROW(PLE.firstrow))),0,IF(OFFSET(PLE!$G$14,$M523,CA$13)="",10^12,OFFSET(PLE!$G$14,$M523,CA$13))))</f>
        <v>0</v>
      </c>
      <c r="CB523" s="216">
        <f ca="1">IF($D523&lt;&gt;"Serviço",0,IF(OR(AND(AUTOEVENTO="Manual",$M523=1),$M523&gt;(ROW(PLE.lastrow)-ROW(PLE.firstrow))),0,IF(OFFSET(PLE!$G$14,$M523,CB$13)="",10^12,OFFSET(PLE!$G$14,$M523,CB$13))))</f>
        <v>0</v>
      </c>
      <c r="CC523" s="216">
        <f ca="1">IF($D523&lt;&gt;"Serviço",0,IF(OR(AND(AUTOEVENTO="Manual",$M523=1),$M523&gt;(ROW(PLE.lastrow)-ROW(PLE.firstrow))),0,IF(OFFSET(PLE!$G$14,$M523,CC$13)="",10^12,OFFSET(PLE!$G$14,$M523,CC$13))))</f>
        <v>0</v>
      </c>
      <c r="CD523" s="216">
        <f ca="1">IF($D523&lt;&gt;"Serviço",0,IF(OR(AND(AUTOEVENTO="Manual",$M523=1),$M523&gt;(ROW(PLE.lastrow)-ROW(PLE.firstrow))),0,IF(OFFSET(PLE!$G$14,$M523,CD$13)="",10^12,OFFSET(PLE!$G$14,$M523,CD$13))))</f>
        <v>0</v>
      </c>
      <c r="CE523" s="216">
        <f ca="1">IF($D523&lt;&gt;"Serviço",0,IF(OR(AND(AUTOEVENTO="Manual",$M523=1),$M523&gt;(ROW(PLE.lastrow)-ROW(PLE.firstrow))),0,IF(OFFSET(PLE!$G$14,$M523,CE$13)="",10^12,OFFSET(PLE!$G$14,$M523,CE$13))))</f>
        <v>0</v>
      </c>
      <c r="CF523" s="216">
        <f ca="1">IF($D523&lt;&gt;"Serviço",0,IF(OR(AND(AUTOEVENTO="Manual",$M523=1),$M523&gt;(ROW(PLE.lastrow)-ROW(PLE.firstrow))),0,IF(OFFSET(PLE!$G$14,$M523,CF$13)="",10^12,OFFSET(PLE!$G$14,$M523,CF$13))))</f>
        <v>0</v>
      </c>
      <c r="CG523" s="216">
        <f ca="1">IF($D523&lt;&gt;"Serviço",0,IF(OR(AND(AUTOEVENTO="Manual",$M523=1),$M523&gt;(ROW(PLE.lastrow)-ROW(PLE.firstrow))),0,IF(OFFSET(PLE!$G$14,$M523,CG$13)="",10^12,OFFSET(PLE!$G$14,$M523,CG$13))))</f>
        <v>0</v>
      </c>
      <c r="CH523" s="216">
        <f ca="1">IF($D523&lt;&gt;"Serviço",0,IF(OR(AND(AUTOEVENTO="Manual",$M523=1),$M523&gt;(ROW(PLE.lastrow)-ROW(PLE.firstrow))),0,IF(OFFSET(PLE!$G$14,$M523,CH$13)="",10^12,OFFSET(PLE!$G$14,$M523,CH$13))))</f>
        <v>0</v>
      </c>
      <c r="CI523" s="216">
        <f ca="1">IF($D523&lt;&gt;"Serviço",0,IF(OR(AND(AUTOEVENTO="Manual",$M523=1),$M523&gt;(ROW(PLE.lastrow)-ROW(PLE.firstrow))),0,IF(OFFSET(PLE!$G$14,$M523,CI$13)="",10^12,OFFSET(PLE!$G$14,$M523,CI$13))))</f>
        <v>0</v>
      </c>
      <c r="CJ523" s="216">
        <f ca="1">IF($D523&lt;&gt;"Serviço",0,IF(OR(AND(AUTOEVENTO="Manual",$M523=1),$M523&gt;(ROW(PLE.lastrow)-ROW(PLE.firstrow))),0,IF(OFFSET(PLE!$G$14,$M523,CJ$13)="",10^12,OFFSET(PLE!$G$14,$M523,CJ$13))))</f>
        <v>0</v>
      </c>
      <c r="CK523" s="216">
        <f ca="1">IF($D523&lt;&gt;"Serviço",0,IF(OR(AND(AUTOEVENTO="Manual",$M523=1),$M523&gt;(ROW(PLE.lastrow)-ROW(PLE.firstrow))),0,IF(OFFSET(PLE!$G$14,$M523,CK$13)="",10^12,OFFSET(PLE!$G$14,$M523,CK$13))))</f>
        <v>0</v>
      </c>
      <c r="CL523" s="216">
        <f ca="1">IF($D523&lt;&gt;"Serviço",0,IF(OR(AND(AUTOEVENTO="Manual",$M523=1),$M523&gt;(ROW(PLE.lastrow)-ROW(PLE.firstrow))),0,IF(OFFSET(PLE!$G$14,$M523,CL$13)="",10^12,OFFSET(PLE!$G$14,$M523,CL$13))))</f>
        <v>0</v>
      </c>
      <c r="CM523" s="216">
        <f ca="1">IF($D523&lt;&gt;"Serviço",0,IF(OR(AND(AUTOEVENTO="Manual",$M523=1),$M523&gt;(ROW(PLE.lastrow)-ROW(PLE.firstrow))),0,IF(OFFSET(PLE!$G$14,$M523,CM$13)="",10^12,OFFSET(PLE!$G$14,$M523,CM$13))))</f>
        <v>0</v>
      </c>
    </row>
    <row r="524" spans="1:91" ht="13.2" x14ac:dyDescent="0.25">
      <c r="A524" s="9">
        <f t="shared" ca="1" si="16"/>
        <v>0</v>
      </c>
      <c r="B524" s="9" t="str">
        <f ca="1">OFFSET(ORÇAMENTO!C$15,ROW(B524)-ROW(B$15),0)</f>
        <v>S</v>
      </c>
      <c r="C524" s="9" t="str">
        <f ca="1">OFFSET(ORÇAMENTO!L$15,ROW(C524)-ROW(C$15),0)</f>
        <v/>
      </c>
      <c r="D524" s="145" t="str">
        <f ca="1">OFFSET(ORÇAMENTO!N$15,ROW(D524)-ROW(D$15),0)</f>
        <v>Serviço</v>
      </c>
      <c r="E524" s="205" t="str">
        <f ca="1">OFFSET(ORÇAMENTO!O$15,ROW(E524)-ROW(E$15),0)</f>
        <v>-</v>
      </c>
      <c r="F524" s="206" t="str">
        <f ca="1">OFFSET(ORÇAMENTO!R$15,ROW(F524)-ROW(F$15),0)</f>
        <v>(abra o arquivo 'Referência 05-2024.xls)</v>
      </c>
      <c r="G524" s="207" t="str">
        <f ca="1">IF($D524&lt;&gt;"Serviço","",OFFSET(ORÇAMENTO!S$15,ROW(G524)-ROW(G$15),0))</f>
        <v>-</v>
      </c>
      <c r="H524" s="151">
        <f ca="1">IF($D524&lt;&gt;"Serviço",0,IF(ACOMPANHAMENTO="BM",ROUND(OFFSET(ORÇAMENTO!AJ$15,ROW(H524)-ROW(H$15),0),15-13*ORÇAMENTO!$AF$7),SUMPRODUCT(($Q$12:$AI$12&lt;&gt;"")*ROUND($Q524:$AI524,15-13*ORÇAMENTO!$AF$7))))</f>
        <v>69</v>
      </c>
      <c r="I524" s="650"/>
      <c r="K524" s="208"/>
      <c r="L524" s="209" t="s">
        <v>257</v>
      </c>
      <c r="M524" s="210">
        <f ca="1">IF($D524&lt;&gt;"Serviço","",IF(AUTOEVENTO="manual",$A524,IF(ISERROR(MATCH($A524,$A$15:OFFSET($A524,-1,0),0)),MAX($M$15:OFFSET(M524,-1,0))+1,INDEX($M$15:OFFSET(M524,-1,0),MATCH($A524,$A$15:OFFSET($A524,-1,0),0)))))</f>
        <v>0</v>
      </c>
      <c r="N524" s="211" t="str">
        <f ca="1">IF($D524&lt;&gt;"Serviço","",IF(AUTOEVENTO="Manual",IF($A524=0,"&lt;-- defina o número do agrupador",OFFSET(EVENTOS!$D$14,$A524,0)),OFFSET($F$15,$A524,0)))</f>
        <v>&lt;-- defina o número do agrupador</v>
      </c>
      <c r="O524" s="212"/>
      <c r="Q524" s="212"/>
      <c r="R524" s="213"/>
      <c r="S524" s="213"/>
      <c r="T524" s="213"/>
      <c r="U524" s="213"/>
      <c r="V524" s="213"/>
      <c r="W524" s="213"/>
      <c r="X524" s="213"/>
      <c r="Y524" s="213"/>
      <c r="Z524" s="214"/>
      <c r="AA524" s="213"/>
      <c r="AB524" s="213"/>
      <c r="AC524" s="213"/>
      <c r="AD524" s="213"/>
      <c r="AE524" s="213"/>
      <c r="AF524" s="213"/>
      <c r="AG524" s="213"/>
      <c r="AH524" s="214"/>
      <c r="AJ524" s="631">
        <f ca="1">IF(AND($D524="Serviço",AJ$12&lt;&gt;0,$H524&gt;0,OR(AUTOEVENTO&lt;&gt;"manual",$M524&lt;&gt;1)),ROUND(OFFSET($P524,0,AJ$13),15-13*ORÇAMENTO!$AF$7)/$H524*OFFSET(ORÇAMENTO!$X$15,ROW(AJ524)-ROW(AJ$15),0),0)</f>
        <v>0</v>
      </c>
      <c r="AK524" s="632">
        <f ca="1">IF(AND($D524="Serviço",AK$12&lt;&gt;0,$H524&gt;0,OR(AUTOEVENTO&lt;&gt;"manual",$M524&lt;&gt;1)),ROUND(OFFSET($P524,0,AK$13),15-13*ORÇAMENTO!$AF$7)/$H524*OFFSET(ORÇAMENTO!$X$15,ROW(AK524)-ROW(AK$15),0),0)</f>
        <v>0</v>
      </c>
      <c r="AL524" s="632">
        <f ca="1">IF(AND($D524="Serviço",AL$12&lt;&gt;0,$H524&gt;0,OR(AUTOEVENTO&lt;&gt;"manual",$M524&lt;&gt;1)),ROUND(OFFSET($P524,0,AL$13),15-13*ORÇAMENTO!$AF$7)/$H524*OFFSET(ORÇAMENTO!$X$15,ROW(AL524)-ROW(AL$15),0),0)</f>
        <v>0</v>
      </c>
      <c r="AM524" s="632">
        <f ca="1">IF(AND($D524="Serviço",AM$12&lt;&gt;0,$H524&gt;0,OR(AUTOEVENTO&lt;&gt;"manual",$M524&lt;&gt;1)),ROUND(OFFSET($P524,0,AM$13),15-13*ORÇAMENTO!$AF$7)/$H524*OFFSET(ORÇAMENTO!$X$15,ROW(AM524)-ROW(AM$15),0),0)</f>
        <v>0</v>
      </c>
      <c r="AN524" s="632">
        <f ca="1">IF(AND($D524="Serviço",AN$12&lt;&gt;0,$H524&gt;0,OR(AUTOEVENTO&lt;&gt;"manual",$M524&lt;&gt;1)),ROUND(OFFSET($P524,0,AN$13),15-13*ORÇAMENTO!$AF$7)/$H524*OFFSET(ORÇAMENTO!$X$15,ROW(AN524)-ROW(AN$15),0),0)</f>
        <v>0</v>
      </c>
      <c r="AO524" s="632">
        <f ca="1">IF(AND($D524="Serviço",AO$12&lt;&gt;0,$H524&gt;0,OR(AUTOEVENTO&lt;&gt;"manual",$M524&lt;&gt;1)),ROUND(OFFSET($P524,0,AO$13),15-13*ORÇAMENTO!$AF$7)/$H524*OFFSET(ORÇAMENTO!$X$15,ROW(AO524)-ROW(AO$15),0),0)</f>
        <v>0</v>
      </c>
      <c r="AP524" s="632">
        <f ca="1">IF(AND($D524="Serviço",AP$12&lt;&gt;0,$H524&gt;0,OR(AUTOEVENTO&lt;&gt;"manual",$M524&lt;&gt;1)),ROUND(OFFSET($P524,0,AP$13),15-13*ORÇAMENTO!$AF$7)/$H524*OFFSET(ORÇAMENTO!$X$15,ROW(AP524)-ROW(AP$15),0),0)</f>
        <v>0</v>
      </c>
      <c r="AQ524" s="632">
        <f ca="1">IF(AND($D524="Serviço",AQ$12&lt;&gt;0,$H524&gt;0,OR(AUTOEVENTO&lt;&gt;"manual",$M524&lt;&gt;1)),ROUND(OFFSET($P524,0,AQ$13),15-13*ORÇAMENTO!$AF$7)/$H524*OFFSET(ORÇAMENTO!$X$15,ROW(AQ524)-ROW(AQ$15),0),0)</f>
        <v>0</v>
      </c>
      <c r="AR524" s="632">
        <f ca="1">IF(AND($D524="Serviço",AR$12&lt;&gt;0,$H524&gt;0,OR(AUTOEVENTO&lt;&gt;"manual",$M524&lt;&gt;1)),ROUND(OFFSET($P524,0,AR$13),15-13*ORÇAMENTO!$AF$7)/$H524*OFFSET(ORÇAMENTO!$X$15,ROW(AR524)-ROW(AR$15),0),0)</f>
        <v>0</v>
      </c>
      <c r="AS524" s="633">
        <f ca="1">IF(AND($D524="Serviço",AS$12&lt;&gt;0,$H524&gt;0,OR(AUTOEVENTO&lt;&gt;"manual",$M524&lt;&gt;1)),ROUND(OFFSET($P524,0,AS$13),15-13*ORÇAMENTO!$AF$7)/$H524*OFFSET(ORÇAMENTO!$X$15,ROW(AS524)-ROW(AS$15),0),0)</f>
        <v>0</v>
      </c>
      <c r="AT524" s="632">
        <f ca="1">IF(AND($D524="Serviço",AT$12&lt;&gt;0,$H524&gt;0,OR(AUTOEVENTO&lt;&gt;"manual",$M524&lt;&gt;1)),ROUND(OFFSET($P524,0,AT$13),15-13*ORÇAMENTO!$AF$7)/$H524*OFFSET(ORÇAMENTO!$X$15,ROW(AT524)-ROW(AT$15),0),0)</f>
        <v>0</v>
      </c>
      <c r="AU524" s="632">
        <f ca="1">IF(AND($D524="Serviço",AU$12&lt;&gt;0,$H524&gt;0,OR(AUTOEVENTO&lt;&gt;"manual",$M524&lt;&gt;1)),ROUND(OFFSET($P524,0,AU$13),15-13*ORÇAMENTO!$AF$7)/$H524*OFFSET(ORÇAMENTO!$X$15,ROW(AU524)-ROW(AU$15),0),0)</f>
        <v>0</v>
      </c>
      <c r="AV524" s="632">
        <f ca="1">IF(AND($D524="Serviço",AV$12&lt;&gt;0,$H524&gt;0,OR(AUTOEVENTO&lt;&gt;"manual",$M524&lt;&gt;1)),ROUND(OFFSET($P524,0,AV$13),15-13*ORÇAMENTO!$AF$7)/$H524*OFFSET(ORÇAMENTO!$X$15,ROW(AV524)-ROW(AV$15),0),0)</f>
        <v>0</v>
      </c>
      <c r="AW524" s="632">
        <f ca="1">IF(AND($D524="Serviço",AW$12&lt;&gt;0,$H524&gt;0,OR(AUTOEVENTO&lt;&gt;"manual",$M524&lt;&gt;1)),ROUND(OFFSET($P524,0,AW$13),15-13*ORÇAMENTO!$AF$7)/$H524*OFFSET(ORÇAMENTO!$X$15,ROW(AW524)-ROW(AW$15),0),0)</f>
        <v>0</v>
      </c>
      <c r="AX524" s="632">
        <f ca="1">IF(AND($D524="Serviço",AX$12&lt;&gt;0,$H524&gt;0,OR(AUTOEVENTO&lt;&gt;"manual",$M524&lt;&gt;1)),ROUND(OFFSET($P524,0,AX$13),15-13*ORÇAMENTO!$AF$7)/$H524*OFFSET(ORÇAMENTO!$X$15,ROW(AX524)-ROW(AX$15),0),0)</f>
        <v>0</v>
      </c>
      <c r="AY524" s="632">
        <f ca="1">IF(AND($D524="Serviço",AY$12&lt;&gt;0,$H524&gt;0,OR(AUTOEVENTO&lt;&gt;"manual",$M524&lt;&gt;1)),ROUND(OFFSET($P524,0,AY$13),15-13*ORÇAMENTO!$AF$7)/$H524*OFFSET(ORÇAMENTO!$X$15,ROW(AY524)-ROW(AY$15),0),0)</f>
        <v>0</v>
      </c>
      <c r="AZ524" s="632">
        <f ca="1">IF(AND($D524="Serviço",AZ$12&lt;&gt;0,$H524&gt;0,OR(AUTOEVENTO&lt;&gt;"manual",$M524&lt;&gt;1)),ROUND(OFFSET($P524,0,AZ$13),15-13*ORÇAMENTO!$AF$7)/$H524*OFFSET(ORÇAMENTO!$X$15,ROW(AZ524)-ROW(AZ$15),0),0)</f>
        <v>0</v>
      </c>
      <c r="BA524" s="633">
        <f ca="1">IF(AND($D524="Serviço",BA$12&lt;&gt;0,$H524&gt;0,OR(AUTOEVENTO&lt;&gt;"manual",$M524&lt;&gt;1)),ROUND(OFFSET($P524,0,BA$13),15-13*ORÇAMENTO!$AF$7)/$H524*OFFSET(ORÇAMENTO!$X$15,ROW(BA524)-ROW(BA$15),0),0)</f>
        <v>0</v>
      </c>
      <c r="BC524" s="215">
        <f ca="1">IF($D524&lt;&gt;"Serviço",0,IF(AND(AUTOEVENTO="Manual",$M524=1),0,IF(OFFSET(CRONOPLE!$F$14,$M524,BC$13)="",10^12,OFFSET(CRONOPLE!$F$14,$M524,BC$13))))</f>
        <v>1000000000000</v>
      </c>
      <c r="BD524" s="215">
        <f ca="1">IF($D524&lt;&gt;"Serviço",0,IF(AND(AUTOEVENTO="Manual",$M524=1),0,IF(OFFSET(CRONOPLE!$F$14,$M524,BD$13)="",10^12,OFFSET(CRONOPLE!$F$14,$M524,BD$13))))</f>
        <v>1000000000000</v>
      </c>
      <c r="BE524" s="215">
        <f ca="1">IF($D524&lt;&gt;"Serviço",0,IF(AND(AUTOEVENTO="Manual",$M524=1),0,IF(OFFSET(CRONOPLE!$F$14,$M524,BE$13)="",10^12,OFFSET(CRONOPLE!$F$14,$M524,BE$13))))</f>
        <v>1000000000000</v>
      </c>
      <c r="BF524" s="215">
        <f ca="1">IF($D524&lt;&gt;"Serviço",0,IF(AND(AUTOEVENTO="Manual",$M524=1),0,IF(OFFSET(CRONOPLE!$F$14,$M524,BF$13)="",10^12,OFFSET(CRONOPLE!$F$14,$M524,BF$13))))</f>
        <v>1000000000000</v>
      </c>
      <c r="BG524" s="215">
        <f ca="1">IF($D524&lt;&gt;"Serviço",0,IF(AND(AUTOEVENTO="Manual",$M524=1),0,IF(OFFSET(CRONOPLE!$F$14,$M524,BG$13)="",10^12,OFFSET(CRONOPLE!$F$14,$M524,BG$13))))</f>
        <v>1000000000000</v>
      </c>
      <c r="BH524" s="215">
        <f ca="1">IF($D524&lt;&gt;"Serviço",0,IF(AND(AUTOEVENTO="Manual",$M524=1),0,IF(OFFSET(CRONOPLE!$F$14,$M524,BH$13)="",10^12,OFFSET(CRONOPLE!$F$14,$M524,BH$13))))</f>
        <v>1000000000000</v>
      </c>
      <c r="BI524" s="215">
        <f ca="1">IF($D524&lt;&gt;"Serviço",0,IF(AND(AUTOEVENTO="Manual",$M524=1),0,IF(OFFSET(CRONOPLE!$F$14,$M524,BI$13)="",10^12,OFFSET(CRONOPLE!$F$14,$M524,BI$13))))</f>
        <v>1000000000000</v>
      </c>
      <c r="BJ524" s="215">
        <f ca="1">IF($D524&lt;&gt;"Serviço",0,IF(AND(AUTOEVENTO="Manual",$M524=1),0,IF(OFFSET(CRONOPLE!$F$14,$M524,BJ$13)="",10^12,OFFSET(CRONOPLE!$F$14,$M524,BJ$13))))</f>
        <v>1000000000000</v>
      </c>
      <c r="BK524" s="215">
        <f ca="1">IF($D524&lt;&gt;"Serviço",0,IF(AND(AUTOEVENTO="Manual",$M524=1),0,IF(OFFSET(CRONOPLE!$F$14,$M524,BK$13)="",10^12,OFFSET(CRONOPLE!$F$14,$M524,BK$13))))</f>
        <v>1000000000000</v>
      </c>
      <c r="BL524" s="215">
        <f ca="1">IF($D524&lt;&gt;"Serviço",0,IF(AND(AUTOEVENTO="Manual",$M524=1),0,IF(OFFSET(CRONOPLE!$F$14,$M524,BL$13)="",10^12,OFFSET(CRONOPLE!$F$14,$M524,BL$13))))</f>
        <v>1000000000000</v>
      </c>
      <c r="BM524" s="215">
        <f ca="1">IF($D524&lt;&gt;"Serviço",0,IF(AND(AUTOEVENTO="Manual",$M524=1),0,IF(OFFSET(CRONOPLE!$F$14,$M524,BM$13)="",10^12,OFFSET(CRONOPLE!$F$14,$M524,BM$13))))</f>
        <v>1000000000000</v>
      </c>
      <c r="BN524" s="215">
        <f ca="1">IF($D524&lt;&gt;"Serviço",0,IF(AND(AUTOEVENTO="Manual",$M524=1),0,IF(OFFSET(CRONOPLE!$F$14,$M524,BN$13)="",10^12,OFFSET(CRONOPLE!$F$14,$M524,BN$13))))</f>
        <v>1000000000000</v>
      </c>
      <c r="BO524" s="215">
        <f ca="1">IF($D524&lt;&gt;"Serviço",0,IF(AND(AUTOEVENTO="Manual",$M524=1),0,IF(OFFSET(CRONOPLE!$F$14,$M524,BO$13)="",10^12,OFFSET(CRONOPLE!$F$14,$M524,BO$13))))</f>
        <v>1000000000000</v>
      </c>
      <c r="BP524" s="215">
        <f ca="1">IF($D524&lt;&gt;"Serviço",0,IF(AND(AUTOEVENTO="Manual",$M524=1),0,IF(OFFSET(CRONOPLE!$F$14,$M524,BP$13)="",10^12,OFFSET(CRONOPLE!$F$14,$M524,BP$13))))</f>
        <v>1000000000000</v>
      </c>
      <c r="BQ524" s="215">
        <f ca="1">IF($D524&lt;&gt;"Serviço",0,IF(AND(AUTOEVENTO="Manual",$M524=1),0,IF(OFFSET(CRONOPLE!$F$14,$M524,BQ$13)="",10^12,OFFSET(CRONOPLE!$F$14,$M524,BQ$13))))</f>
        <v>1000000000000</v>
      </c>
      <c r="BR524" s="215">
        <f ca="1">IF($D524&lt;&gt;"Serviço",0,IF(AND(AUTOEVENTO="Manual",$M524=1),0,IF(OFFSET(CRONOPLE!$F$14,$M524,BR$13)="",10^12,OFFSET(CRONOPLE!$F$14,$M524,BR$13))))</f>
        <v>1000000000000</v>
      </c>
      <c r="BS524" s="215">
        <f ca="1">IF($D524&lt;&gt;"Serviço",0,IF(AND(AUTOEVENTO="Manual",$M524=1),0,IF(OFFSET(CRONOPLE!$F$14,$M524,BS$13)="",10^12,OFFSET(CRONOPLE!$F$14,$M524,BS$13))))</f>
        <v>1000000000000</v>
      </c>
      <c r="BT524" s="215">
        <f ca="1">IF($D524&lt;&gt;"Serviço",0,IF(AND(AUTOEVENTO="Manual",$M524=1),0,IF(OFFSET(CRONOPLE!$F$14,$M524,BT$13)="",10^12,OFFSET(CRONOPLE!$F$14,$M524,BT$13))))</f>
        <v>1000000000000</v>
      </c>
      <c r="BV524" s="216">
        <f ca="1">IF($D524&lt;&gt;"Serviço",0,IF(OR(AND(AUTOEVENTO="Manual",$M524=1),$M524&gt;(ROW(PLE.lastrow)-ROW(PLE.firstrow))),0,IF(OFFSET(PLE!$G$14,$M524,BV$13)="",10^12,OFFSET(PLE!$G$14,$M524,BV$13))))</f>
        <v>1000000000000</v>
      </c>
      <c r="BW524" s="216">
        <f ca="1">IF($D524&lt;&gt;"Serviço",0,IF(OR(AND(AUTOEVENTO="Manual",$M524=1),$M524&gt;(ROW(PLE.lastrow)-ROW(PLE.firstrow))),0,IF(OFFSET(PLE!$G$14,$M524,BW$13)="",10^12,OFFSET(PLE!$G$14,$M524,BW$13))))</f>
        <v>1000000000000</v>
      </c>
      <c r="BX524" s="216">
        <f ca="1">IF($D524&lt;&gt;"Serviço",0,IF(OR(AND(AUTOEVENTO="Manual",$M524=1),$M524&gt;(ROW(PLE.lastrow)-ROW(PLE.firstrow))),0,IF(OFFSET(PLE!$G$14,$M524,BX$13)="",10^12,OFFSET(PLE!$G$14,$M524,BX$13))))</f>
        <v>1000000000000</v>
      </c>
      <c r="BY524" s="216">
        <f ca="1">IF($D524&lt;&gt;"Serviço",0,IF(OR(AND(AUTOEVENTO="Manual",$M524=1),$M524&gt;(ROW(PLE.lastrow)-ROW(PLE.firstrow))),0,IF(OFFSET(PLE!$G$14,$M524,BY$13)="",10^12,OFFSET(PLE!$G$14,$M524,BY$13))))</f>
        <v>1000000000000</v>
      </c>
      <c r="BZ524" s="216">
        <f ca="1">IF($D524&lt;&gt;"Serviço",0,IF(OR(AND(AUTOEVENTO="Manual",$M524=1),$M524&gt;(ROW(PLE.lastrow)-ROW(PLE.firstrow))),0,IF(OFFSET(PLE!$G$14,$M524,BZ$13)="",10^12,OFFSET(PLE!$G$14,$M524,BZ$13))))</f>
        <v>1000000000000</v>
      </c>
      <c r="CA524" s="216">
        <f ca="1">IF($D524&lt;&gt;"Serviço",0,IF(OR(AND(AUTOEVENTO="Manual",$M524=1),$M524&gt;(ROW(PLE.lastrow)-ROW(PLE.firstrow))),0,IF(OFFSET(PLE!$G$14,$M524,CA$13)="",10^12,OFFSET(PLE!$G$14,$M524,CA$13))))</f>
        <v>1000000000000</v>
      </c>
      <c r="CB524" s="216">
        <f ca="1">IF($D524&lt;&gt;"Serviço",0,IF(OR(AND(AUTOEVENTO="Manual",$M524=1),$M524&gt;(ROW(PLE.lastrow)-ROW(PLE.firstrow))),0,IF(OFFSET(PLE!$G$14,$M524,CB$13)="",10^12,OFFSET(PLE!$G$14,$M524,CB$13))))</f>
        <v>1000000000000</v>
      </c>
      <c r="CC524" s="216">
        <f ca="1">IF($D524&lt;&gt;"Serviço",0,IF(OR(AND(AUTOEVENTO="Manual",$M524=1),$M524&gt;(ROW(PLE.lastrow)-ROW(PLE.firstrow))),0,IF(OFFSET(PLE!$G$14,$M524,CC$13)="",10^12,OFFSET(PLE!$G$14,$M524,CC$13))))</f>
        <v>1000000000000</v>
      </c>
      <c r="CD524" s="216">
        <f ca="1">IF($D524&lt;&gt;"Serviço",0,IF(OR(AND(AUTOEVENTO="Manual",$M524=1),$M524&gt;(ROW(PLE.lastrow)-ROW(PLE.firstrow))),0,IF(OFFSET(PLE!$G$14,$M524,CD$13)="",10^12,OFFSET(PLE!$G$14,$M524,CD$13))))</f>
        <v>1000000000000</v>
      </c>
      <c r="CE524" s="216">
        <f ca="1">IF($D524&lt;&gt;"Serviço",0,IF(OR(AND(AUTOEVENTO="Manual",$M524=1),$M524&gt;(ROW(PLE.lastrow)-ROW(PLE.firstrow))),0,IF(OFFSET(PLE!$G$14,$M524,CE$13)="",10^12,OFFSET(PLE!$G$14,$M524,CE$13))))</f>
        <v>1000000000000</v>
      </c>
      <c r="CF524" s="216">
        <f ca="1">IF($D524&lt;&gt;"Serviço",0,IF(OR(AND(AUTOEVENTO="Manual",$M524=1),$M524&gt;(ROW(PLE.lastrow)-ROW(PLE.firstrow))),0,IF(OFFSET(PLE!$G$14,$M524,CF$13)="",10^12,OFFSET(PLE!$G$14,$M524,CF$13))))</f>
        <v>1000000000000</v>
      </c>
      <c r="CG524" s="216">
        <f ca="1">IF($D524&lt;&gt;"Serviço",0,IF(OR(AND(AUTOEVENTO="Manual",$M524=1),$M524&gt;(ROW(PLE.lastrow)-ROW(PLE.firstrow))),0,IF(OFFSET(PLE!$G$14,$M524,CG$13)="",10^12,OFFSET(PLE!$G$14,$M524,CG$13))))</f>
        <v>1000000000000</v>
      </c>
      <c r="CH524" s="216">
        <f ca="1">IF($D524&lt;&gt;"Serviço",0,IF(OR(AND(AUTOEVENTO="Manual",$M524=1),$M524&gt;(ROW(PLE.lastrow)-ROW(PLE.firstrow))),0,IF(OFFSET(PLE!$G$14,$M524,CH$13)="",10^12,OFFSET(PLE!$G$14,$M524,CH$13))))</f>
        <v>1000000000000</v>
      </c>
      <c r="CI524" s="216">
        <f ca="1">IF($D524&lt;&gt;"Serviço",0,IF(OR(AND(AUTOEVENTO="Manual",$M524=1),$M524&gt;(ROW(PLE.lastrow)-ROW(PLE.firstrow))),0,IF(OFFSET(PLE!$G$14,$M524,CI$13)="",10^12,OFFSET(PLE!$G$14,$M524,CI$13))))</f>
        <v>1000000000000</v>
      </c>
      <c r="CJ524" s="216">
        <f ca="1">IF($D524&lt;&gt;"Serviço",0,IF(OR(AND(AUTOEVENTO="Manual",$M524=1),$M524&gt;(ROW(PLE.lastrow)-ROW(PLE.firstrow))),0,IF(OFFSET(PLE!$G$14,$M524,CJ$13)="",10^12,OFFSET(PLE!$G$14,$M524,CJ$13))))</f>
        <v>1000000000000</v>
      </c>
      <c r="CK524" s="216">
        <f ca="1">IF($D524&lt;&gt;"Serviço",0,IF(OR(AND(AUTOEVENTO="Manual",$M524=1),$M524&gt;(ROW(PLE.lastrow)-ROW(PLE.firstrow))),0,IF(OFFSET(PLE!$G$14,$M524,CK$13)="",10^12,OFFSET(PLE!$G$14,$M524,CK$13))))</f>
        <v>1000000000000</v>
      </c>
      <c r="CL524" s="216">
        <f ca="1">IF($D524&lt;&gt;"Serviço",0,IF(OR(AND(AUTOEVENTO="Manual",$M524=1),$M524&gt;(ROW(PLE.lastrow)-ROW(PLE.firstrow))),0,IF(OFFSET(PLE!$G$14,$M524,CL$13)="",10^12,OFFSET(PLE!$G$14,$M524,CL$13))))</f>
        <v>1000000000000</v>
      </c>
      <c r="CM524" s="216">
        <f ca="1">IF($D524&lt;&gt;"Serviço",0,IF(OR(AND(AUTOEVENTO="Manual",$M524=1),$M524&gt;(ROW(PLE.lastrow)-ROW(PLE.firstrow))),0,IF(OFFSET(PLE!$G$14,$M524,CM$13)="",10^12,OFFSET(PLE!$G$14,$M524,CM$13))))</f>
        <v>1000000000000</v>
      </c>
    </row>
    <row r="525" spans="1:91" ht="13.2" x14ac:dyDescent="0.25">
      <c r="A525" s="9">
        <f t="shared" ca="1" si="16"/>
        <v>0</v>
      </c>
      <c r="B525" s="9" t="str">
        <f ca="1">OFFSET(ORÇAMENTO!C$15,ROW(B525)-ROW(B$15),0)</f>
        <v>S</v>
      </c>
      <c r="C525" s="9" t="str">
        <f ca="1">OFFSET(ORÇAMENTO!L$15,ROW(C525)-ROW(C$15),0)</f>
        <v/>
      </c>
      <c r="D525" s="145" t="str">
        <f ca="1">OFFSET(ORÇAMENTO!N$15,ROW(D525)-ROW(D$15),0)</f>
        <v>Serviço</v>
      </c>
      <c r="E525" s="205" t="str">
        <f ca="1">OFFSET(ORÇAMENTO!O$15,ROW(E525)-ROW(E$15),0)</f>
        <v>-</v>
      </c>
      <c r="F525" s="206" t="str">
        <f ca="1">OFFSET(ORÇAMENTO!R$15,ROW(F525)-ROW(F$15),0)</f>
        <v>(abra o arquivo 'Referência 05-2024.xls)</v>
      </c>
      <c r="G525" s="207" t="str">
        <f ca="1">IF($D525&lt;&gt;"Serviço","",OFFSET(ORÇAMENTO!S$15,ROW(G525)-ROW(G$15),0))</f>
        <v>-</v>
      </c>
      <c r="H525" s="151">
        <f ca="1">IF($D525&lt;&gt;"Serviço",0,IF(ACOMPANHAMENTO="BM",ROUND(OFFSET(ORÇAMENTO!AJ$15,ROW(H525)-ROW(H$15),0),15-13*ORÇAMENTO!$AF$7),SUMPRODUCT(($Q$12:$AI$12&lt;&gt;"")*ROUND($Q525:$AI525,15-13*ORÇAMENTO!$AF$7))))</f>
        <v>27</v>
      </c>
      <c r="I525" s="650"/>
      <c r="K525" s="208"/>
      <c r="L525" s="209" t="s">
        <v>257</v>
      </c>
      <c r="M525" s="210">
        <f ca="1">IF($D525&lt;&gt;"Serviço","",IF(AUTOEVENTO="manual",$A525,IF(ISERROR(MATCH($A525,$A$15:OFFSET($A525,-1,0),0)),MAX($M$15:OFFSET(M525,-1,0))+1,INDEX($M$15:OFFSET(M525,-1,0),MATCH($A525,$A$15:OFFSET($A525,-1,0),0)))))</f>
        <v>0</v>
      </c>
      <c r="N525" s="211" t="str">
        <f ca="1">IF($D525&lt;&gt;"Serviço","",IF(AUTOEVENTO="Manual",IF($A525=0,"&lt;-- defina o número do agrupador",OFFSET(EVENTOS!$D$14,$A525,0)),OFFSET($F$15,$A525,0)))</f>
        <v>&lt;-- defina o número do agrupador</v>
      </c>
      <c r="O525" s="212"/>
      <c r="Q525" s="212"/>
      <c r="R525" s="213"/>
      <c r="S525" s="213"/>
      <c r="T525" s="213"/>
      <c r="U525" s="213"/>
      <c r="V525" s="213"/>
      <c r="W525" s="213"/>
      <c r="X525" s="213"/>
      <c r="Y525" s="213"/>
      <c r="Z525" s="214"/>
      <c r="AA525" s="213"/>
      <c r="AB525" s="213"/>
      <c r="AC525" s="213"/>
      <c r="AD525" s="213"/>
      <c r="AE525" s="213"/>
      <c r="AF525" s="213"/>
      <c r="AG525" s="213"/>
      <c r="AH525" s="214"/>
      <c r="AJ525" s="631">
        <f ca="1">IF(AND($D525="Serviço",AJ$12&lt;&gt;0,$H525&gt;0,OR(AUTOEVENTO&lt;&gt;"manual",$M525&lt;&gt;1)),ROUND(OFFSET($P525,0,AJ$13),15-13*ORÇAMENTO!$AF$7)/$H525*OFFSET(ORÇAMENTO!$X$15,ROW(AJ525)-ROW(AJ$15),0),0)</f>
        <v>0</v>
      </c>
      <c r="AK525" s="632">
        <f ca="1">IF(AND($D525="Serviço",AK$12&lt;&gt;0,$H525&gt;0,OR(AUTOEVENTO&lt;&gt;"manual",$M525&lt;&gt;1)),ROUND(OFFSET($P525,0,AK$13),15-13*ORÇAMENTO!$AF$7)/$H525*OFFSET(ORÇAMENTO!$X$15,ROW(AK525)-ROW(AK$15),0),0)</f>
        <v>0</v>
      </c>
      <c r="AL525" s="632">
        <f ca="1">IF(AND($D525="Serviço",AL$12&lt;&gt;0,$H525&gt;0,OR(AUTOEVENTO&lt;&gt;"manual",$M525&lt;&gt;1)),ROUND(OFFSET($P525,0,AL$13),15-13*ORÇAMENTO!$AF$7)/$H525*OFFSET(ORÇAMENTO!$X$15,ROW(AL525)-ROW(AL$15),0),0)</f>
        <v>0</v>
      </c>
      <c r="AM525" s="632">
        <f ca="1">IF(AND($D525="Serviço",AM$12&lt;&gt;0,$H525&gt;0,OR(AUTOEVENTO&lt;&gt;"manual",$M525&lt;&gt;1)),ROUND(OFFSET($P525,0,AM$13),15-13*ORÇAMENTO!$AF$7)/$H525*OFFSET(ORÇAMENTO!$X$15,ROW(AM525)-ROW(AM$15),0),0)</f>
        <v>0</v>
      </c>
      <c r="AN525" s="632">
        <f ca="1">IF(AND($D525="Serviço",AN$12&lt;&gt;0,$H525&gt;0,OR(AUTOEVENTO&lt;&gt;"manual",$M525&lt;&gt;1)),ROUND(OFFSET($P525,0,AN$13),15-13*ORÇAMENTO!$AF$7)/$H525*OFFSET(ORÇAMENTO!$X$15,ROW(AN525)-ROW(AN$15),0),0)</f>
        <v>0</v>
      </c>
      <c r="AO525" s="632">
        <f ca="1">IF(AND($D525="Serviço",AO$12&lt;&gt;0,$H525&gt;0,OR(AUTOEVENTO&lt;&gt;"manual",$M525&lt;&gt;1)),ROUND(OFFSET($P525,0,AO$13),15-13*ORÇAMENTO!$AF$7)/$H525*OFFSET(ORÇAMENTO!$X$15,ROW(AO525)-ROW(AO$15),0),0)</f>
        <v>0</v>
      </c>
      <c r="AP525" s="632">
        <f ca="1">IF(AND($D525="Serviço",AP$12&lt;&gt;0,$H525&gt;0,OR(AUTOEVENTO&lt;&gt;"manual",$M525&lt;&gt;1)),ROUND(OFFSET($P525,0,AP$13),15-13*ORÇAMENTO!$AF$7)/$H525*OFFSET(ORÇAMENTO!$X$15,ROW(AP525)-ROW(AP$15),0),0)</f>
        <v>0</v>
      </c>
      <c r="AQ525" s="632">
        <f ca="1">IF(AND($D525="Serviço",AQ$12&lt;&gt;0,$H525&gt;0,OR(AUTOEVENTO&lt;&gt;"manual",$M525&lt;&gt;1)),ROUND(OFFSET($P525,0,AQ$13),15-13*ORÇAMENTO!$AF$7)/$H525*OFFSET(ORÇAMENTO!$X$15,ROW(AQ525)-ROW(AQ$15),0),0)</f>
        <v>0</v>
      </c>
      <c r="AR525" s="632">
        <f ca="1">IF(AND($D525="Serviço",AR$12&lt;&gt;0,$H525&gt;0,OR(AUTOEVENTO&lt;&gt;"manual",$M525&lt;&gt;1)),ROUND(OFFSET($P525,0,AR$13),15-13*ORÇAMENTO!$AF$7)/$H525*OFFSET(ORÇAMENTO!$X$15,ROW(AR525)-ROW(AR$15),0),0)</f>
        <v>0</v>
      </c>
      <c r="AS525" s="633">
        <f ca="1">IF(AND($D525="Serviço",AS$12&lt;&gt;0,$H525&gt;0,OR(AUTOEVENTO&lt;&gt;"manual",$M525&lt;&gt;1)),ROUND(OFFSET($P525,0,AS$13),15-13*ORÇAMENTO!$AF$7)/$H525*OFFSET(ORÇAMENTO!$X$15,ROW(AS525)-ROW(AS$15),0),0)</f>
        <v>0</v>
      </c>
      <c r="AT525" s="632">
        <f ca="1">IF(AND($D525="Serviço",AT$12&lt;&gt;0,$H525&gt;0,OR(AUTOEVENTO&lt;&gt;"manual",$M525&lt;&gt;1)),ROUND(OFFSET($P525,0,AT$13),15-13*ORÇAMENTO!$AF$7)/$H525*OFFSET(ORÇAMENTO!$X$15,ROW(AT525)-ROW(AT$15),0),0)</f>
        <v>0</v>
      </c>
      <c r="AU525" s="632">
        <f ca="1">IF(AND($D525="Serviço",AU$12&lt;&gt;0,$H525&gt;0,OR(AUTOEVENTO&lt;&gt;"manual",$M525&lt;&gt;1)),ROUND(OFFSET($P525,0,AU$13),15-13*ORÇAMENTO!$AF$7)/$H525*OFFSET(ORÇAMENTO!$X$15,ROW(AU525)-ROW(AU$15),0),0)</f>
        <v>0</v>
      </c>
      <c r="AV525" s="632">
        <f ca="1">IF(AND($D525="Serviço",AV$12&lt;&gt;0,$H525&gt;0,OR(AUTOEVENTO&lt;&gt;"manual",$M525&lt;&gt;1)),ROUND(OFFSET($P525,0,AV$13),15-13*ORÇAMENTO!$AF$7)/$H525*OFFSET(ORÇAMENTO!$X$15,ROW(AV525)-ROW(AV$15),0),0)</f>
        <v>0</v>
      </c>
      <c r="AW525" s="632">
        <f ca="1">IF(AND($D525="Serviço",AW$12&lt;&gt;0,$H525&gt;0,OR(AUTOEVENTO&lt;&gt;"manual",$M525&lt;&gt;1)),ROUND(OFFSET($P525,0,AW$13),15-13*ORÇAMENTO!$AF$7)/$H525*OFFSET(ORÇAMENTO!$X$15,ROW(AW525)-ROW(AW$15),0),0)</f>
        <v>0</v>
      </c>
      <c r="AX525" s="632">
        <f ca="1">IF(AND($D525="Serviço",AX$12&lt;&gt;0,$H525&gt;0,OR(AUTOEVENTO&lt;&gt;"manual",$M525&lt;&gt;1)),ROUND(OFFSET($P525,0,AX$13),15-13*ORÇAMENTO!$AF$7)/$H525*OFFSET(ORÇAMENTO!$X$15,ROW(AX525)-ROW(AX$15),0),0)</f>
        <v>0</v>
      </c>
      <c r="AY525" s="632">
        <f ca="1">IF(AND($D525="Serviço",AY$12&lt;&gt;0,$H525&gt;0,OR(AUTOEVENTO&lt;&gt;"manual",$M525&lt;&gt;1)),ROUND(OFFSET($P525,0,AY$13),15-13*ORÇAMENTO!$AF$7)/$H525*OFFSET(ORÇAMENTO!$X$15,ROW(AY525)-ROW(AY$15),0),0)</f>
        <v>0</v>
      </c>
      <c r="AZ525" s="632">
        <f ca="1">IF(AND($D525="Serviço",AZ$12&lt;&gt;0,$H525&gt;0,OR(AUTOEVENTO&lt;&gt;"manual",$M525&lt;&gt;1)),ROUND(OFFSET($P525,0,AZ$13),15-13*ORÇAMENTO!$AF$7)/$H525*OFFSET(ORÇAMENTO!$X$15,ROW(AZ525)-ROW(AZ$15),0),0)</f>
        <v>0</v>
      </c>
      <c r="BA525" s="633">
        <f ca="1">IF(AND($D525="Serviço",BA$12&lt;&gt;0,$H525&gt;0,OR(AUTOEVENTO&lt;&gt;"manual",$M525&lt;&gt;1)),ROUND(OFFSET($P525,0,BA$13),15-13*ORÇAMENTO!$AF$7)/$H525*OFFSET(ORÇAMENTO!$X$15,ROW(BA525)-ROW(BA$15),0),0)</f>
        <v>0</v>
      </c>
      <c r="BC525" s="215">
        <f ca="1">IF($D525&lt;&gt;"Serviço",0,IF(AND(AUTOEVENTO="Manual",$M525=1),0,IF(OFFSET(CRONOPLE!$F$14,$M525,BC$13)="",10^12,OFFSET(CRONOPLE!$F$14,$M525,BC$13))))</f>
        <v>1000000000000</v>
      </c>
      <c r="BD525" s="215">
        <f ca="1">IF($D525&lt;&gt;"Serviço",0,IF(AND(AUTOEVENTO="Manual",$M525=1),0,IF(OFFSET(CRONOPLE!$F$14,$M525,BD$13)="",10^12,OFFSET(CRONOPLE!$F$14,$M525,BD$13))))</f>
        <v>1000000000000</v>
      </c>
      <c r="BE525" s="215">
        <f ca="1">IF($D525&lt;&gt;"Serviço",0,IF(AND(AUTOEVENTO="Manual",$M525=1),0,IF(OFFSET(CRONOPLE!$F$14,$M525,BE$13)="",10^12,OFFSET(CRONOPLE!$F$14,$M525,BE$13))))</f>
        <v>1000000000000</v>
      </c>
      <c r="BF525" s="215">
        <f ca="1">IF($D525&lt;&gt;"Serviço",0,IF(AND(AUTOEVENTO="Manual",$M525=1),0,IF(OFFSET(CRONOPLE!$F$14,$M525,BF$13)="",10^12,OFFSET(CRONOPLE!$F$14,$M525,BF$13))))</f>
        <v>1000000000000</v>
      </c>
      <c r="BG525" s="215">
        <f ca="1">IF($D525&lt;&gt;"Serviço",0,IF(AND(AUTOEVENTO="Manual",$M525=1),0,IF(OFFSET(CRONOPLE!$F$14,$M525,BG$13)="",10^12,OFFSET(CRONOPLE!$F$14,$M525,BG$13))))</f>
        <v>1000000000000</v>
      </c>
      <c r="BH525" s="215">
        <f ca="1">IF($D525&lt;&gt;"Serviço",0,IF(AND(AUTOEVENTO="Manual",$M525=1),0,IF(OFFSET(CRONOPLE!$F$14,$M525,BH$13)="",10^12,OFFSET(CRONOPLE!$F$14,$M525,BH$13))))</f>
        <v>1000000000000</v>
      </c>
      <c r="BI525" s="215">
        <f ca="1">IF($D525&lt;&gt;"Serviço",0,IF(AND(AUTOEVENTO="Manual",$M525=1),0,IF(OFFSET(CRONOPLE!$F$14,$M525,BI$13)="",10^12,OFFSET(CRONOPLE!$F$14,$M525,BI$13))))</f>
        <v>1000000000000</v>
      </c>
      <c r="BJ525" s="215">
        <f ca="1">IF($D525&lt;&gt;"Serviço",0,IF(AND(AUTOEVENTO="Manual",$M525=1),0,IF(OFFSET(CRONOPLE!$F$14,$M525,BJ$13)="",10^12,OFFSET(CRONOPLE!$F$14,$M525,BJ$13))))</f>
        <v>1000000000000</v>
      </c>
      <c r="BK525" s="215">
        <f ca="1">IF($D525&lt;&gt;"Serviço",0,IF(AND(AUTOEVENTO="Manual",$M525=1),0,IF(OFFSET(CRONOPLE!$F$14,$M525,BK$13)="",10^12,OFFSET(CRONOPLE!$F$14,$M525,BK$13))))</f>
        <v>1000000000000</v>
      </c>
      <c r="BL525" s="215">
        <f ca="1">IF($D525&lt;&gt;"Serviço",0,IF(AND(AUTOEVENTO="Manual",$M525=1),0,IF(OFFSET(CRONOPLE!$F$14,$M525,BL$13)="",10^12,OFFSET(CRONOPLE!$F$14,$M525,BL$13))))</f>
        <v>1000000000000</v>
      </c>
      <c r="BM525" s="215">
        <f ca="1">IF($D525&lt;&gt;"Serviço",0,IF(AND(AUTOEVENTO="Manual",$M525=1),0,IF(OFFSET(CRONOPLE!$F$14,$M525,BM$13)="",10^12,OFFSET(CRONOPLE!$F$14,$M525,BM$13))))</f>
        <v>1000000000000</v>
      </c>
      <c r="BN525" s="215">
        <f ca="1">IF($D525&lt;&gt;"Serviço",0,IF(AND(AUTOEVENTO="Manual",$M525=1),0,IF(OFFSET(CRONOPLE!$F$14,$M525,BN$13)="",10^12,OFFSET(CRONOPLE!$F$14,$M525,BN$13))))</f>
        <v>1000000000000</v>
      </c>
      <c r="BO525" s="215">
        <f ca="1">IF($D525&lt;&gt;"Serviço",0,IF(AND(AUTOEVENTO="Manual",$M525=1),0,IF(OFFSET(CRONOPLE!$F$14,$M525,BO$13)="",10^12,OFFSET(CRONOPLE!$F$14,$M525,BO$13))))</f>
        <v>1000000000000</v>
      </c>
      <c r="BP525" s="215">
        <f ca="1">IF($D525&lt;&gt;"Serviço",0,IF(AND(AUTOEVENTO="Manual",$M525=1),0,IF(OFFSET(CRONOPLE!$F$14,$M525,BP$13)="",10^12,OFFSET(CRONOPLE!$F$14,$M525,BP$13))))</f>
        <v>1000000000000</v>
      </c>
      <c r="BQ525" s="215">
        <f ca="1">IF($D525&lt;&gt;"Serviço",0,IF(AND(AUTOEVENTO="Manual",$M525=1),0,IF(OFFSET(CRONOPLE!$F$14,$M525,BQ$13)="",10^12,OFFSET(CRONOPLE!$F$14,$M525,BQ$13))))</f>
        <v>1000000000000</v>
      </c>
      <c r="BR525" s="215">
        <f ca="1">IF($D525&lt;&gt;"Serviço",0,IF(AND(AUTOEVENTO="Manual",$M525=1),0,IF(OFFSET(CRONOPLE!$F$14,$M525,BR$13)="",10^12,OFFSET(CRONOPLE!$F$14,$M525,BR$13))))</f>
        <v>1000000000000</v>
      </c>
      <c r="BS525" s="215">
        <f ca="1">IF($D525&lt;&gt;"Serviço",0,IF(AND(AUTOEVENTO="Manual",$M525=1),0,IF(OFFSET(CRONOPLE!$F$14,$M525,BS$13)="",10^12,OFFSET(CRONOPLE!$F$14,$M525,BS$13))))</f>
        <v>1000000000000</v>
      </c>
      <c r="BT525" s="215">
        <f ca="1">IF($D525&lt;&gt;"Serviço",0,IF(AND(AUTOEVENTO="Manual",$M525=1),0,IF(OFFSET(CRONOPLE!$F$14,$M525,BT$13)="",10^12,OFFSET(CRONOPLE!$F$14,$M525,BT$13))))</f>
        <v>1000000000000</v>
      </c>
      <c r="BV525" s="216">
        <f ca="1">IF($D525&lt;&gt;"Serviço",0,IF(OR(AND(AUTOEVENTO="Manual",$M525=1),$M525&gt;(ROW(PLE.lastrow)-ROW(PLE.firstrow))),0,IF(OFFSET(PLE!$G$14,$M525,BV$13)="",10^12,OFFSET(PLE!$G$14,$M525,BV$13))))</f>
        <v>1000000000000</v>
      </c>
      <c r="BW525" s="216">
        <f ca="1">IF($D525&lt;&gt;"Serviço",0,IF(OR(AND(AUTOEVENTO="Manual",$M525=1),$M525&gt;(ROW(PLE.lastrow)-ROW(PLE.firstrow))),0,IF(OFFSET(PLE!$G$14,$M525,BW$13)="",10^12,OFFSET(PLE!$G$14,$M525,BW$13))))</f>
        <v>1000000000000</v>
      </c>
      <c r="BX525" s="216">
        <f ca="1">IF($D525&lt;&gt;"Serviço",0,IF(OR(AND(AUTOEVENTO="Manual",$M525=1),$M525&gt;(ROW(PLE.lastrow)-ROW(PLE.firstrow))),0,IF(OFFSET(PLE!$G$14,$M525,BX$13)="",10^12,OFFSET(PLE!$G$14,$M525,BX$13))))</f>
        <v>1000000000000</v>
      </c>
      <c r="BY525" s="216">
        <f ca="1">IF($D525&lt;&gt;"Serviço",0,IF(OR(AND(AUTOEVENTO="Manual",$M525=1),$M525&gt;(ROW(PLE.lastrow)-ROW(PLE.firstrow))),0,IF(OFFSET(PLE!$G$14,$M525,BY$13)="",10^12,OFFSET(PLE!$G$14,$M525,BY$13))))</f>
        <v>1000000000000</v>
      </c>
      <c r="BZ525" s="216">
        <f ca="1">IF($D525&lt;&gt;"Serviço",0,IF(OR(AND(AUTOEVENTO="Manual",$M525=1),$M525&gt;(ROW(PLE.lastrow)-ROW(PLE.firstrow))),0,IF(OFFSET(PLE!$G$14,$M525,BZ$13)="",10^12,OFFSET(PLE!$G$14,$M525,BZ$13))))</f>
        <v>1000000000000</v>
      </c>
      <c r="CA525" s="216">
        <f ca="1">IF($D525&lt;&gt;"Serviço",0,IF(OR(AND(AUTOEVENTO="Manual",$M525=1),$M525&gt;(ROW(PLE.lastrow)-ROW(PLE.firstrow))),0,IF(OFFSET(PLE!$G$14,$M525,CA$13)="",10^12,OFFSET(PLE!$G$14,$M525,CA$13))))</f>
        <v>1000000000000</v>
      </c>
      <c r="CB525" s="216">
        <f ca="1">IF($D525&lt;&gt;"Serviço",0,IF(OR(AND(AUTOEVENTO="Manual",$M525=1),$M525&gt;(ROW(PLE.lastrow)-ROW(PLE.firstrow))),0,IF(OFFSET(PLE!$G$14,$M525,CB$13)="",10^12,OFFSET(PLE!$G$14,$M525,CB$13))))</f>
        <v>1000000000000</v>
      </c>
      <c r="CC525" s="216">
        <f ca="1">IF($D525&lt;&gt;"Serviço",0,IF(OR(AND(AUTOEVENTO="Manual",$M525=1),$M525&gt;(ROW(PLE.lastrow)-ROW(PLE.firstrow))),0,IF(OFFSET(PLE!$G$14,$M525,CC$13)="",10^12,OFFSET(PLE!$G$14,$M525,CC$13))))</f>
        <v>1000000000000</v>
      </c>
      <c r="CD525" s="216">
        <f ca="1">IF($D525&lt;&gt;"Serviço",0,IF(OR(AND(AUTOEVENTO="Manual",$M525=1),$M525&gt;(ROW(PLE.lastrow)-ROW(PLE.firstrow))),0,IF(OFFSET(PLE!$G$14,$M525,CD$13)="",10^12,OFFSET(PLE!$G$14,$M525,CD$13))))</f>
        <v>1000000000000</v>
      </c>
      <c r="CE525" s="216">
        <f ca="1">IF($D525&lt;&gt;"Serviço",0,IF(OR(AND(AUTOEVENTO="Manual",$M525=1),$M525&gt;(ROW(PLE.lastrow)-ROW(PLE.firstrow))),0,IF(OFFSET(PLE!$G$14,$M525,CE$13)="",10^12,OFFSET(PLE!$G$14,$M525,CE$13))))</f>
        <v>1000000000000</v>
      </c>
      <c r="CF525" s="216">
        <f ca="1">IF($D525&lt;&gt;"Serviço",0,IF(OR(AND(AUTOEVENTO="Manual",$M525=1),$M525&gt;(ROW(PLE.lastrow)-ROW(PLE.firstrow))),0,IF(OFFSET(PLE!$G$14,$M525,CF$13)="",10^12,OFFSET(PLE!$G$14,$M525,CF$13))))</f>
        <v>1000000000000</v>
      </c>
      <c r="CG525" s="216">
        <f ca="1">IF($D525&lt;&gt;"Serviço",0,IF(OR(AND(AUTOEVENTO="Manual",$M525=1),$M525&gt;(ROW(PLE.lastrow)-ROW(PLE.firstrow))),0,IF(OFFSET(PLE!$G$14,$M525,CG$13)="",10^12,OFFSET(PLE!$G$14,$M525,CG$13))))</f>
        <v>1000000000000</v>
      </c>
      <c r="CH525" s="216">
        <f ca="1">IF($D525&lt;&gt;"Serviço",0,IF(OR(AND(AUTOEVENTO="Manual",$M525=1),$M525&gt;(ROW(PLE.lastrow)-ROW(PLE.firstrow))),0,IF(OFFSET(PLE!$G$14,$M525,CH$13)="",10^12,OFFSET(PLE!$G$14,$M525,CH$13))))</f>
        <v>1000000000000</v>
      </c>
      <c r="CI525" s="216">
        <f ca="1">IF($D525&lt;&gt;"Serviço",0,IF(OR(AND(AUTOEVENTO="Manual",$M525=1),$M525&gt;(ROW(PLE.lastrow)-ROW(PLE.firstrow))),0,IF(OFFSET(PLE!$G$14,$M525,CI$13)="",10^12,OFFSET(PLE!$G$14,$M525,CI$13))))</f>
        <v>1000000000000</v>
      </c>
      <c r="CJ525" s="216">
        <f ca="1">IF($D525&lt;&gt;"Serviço",0,IF(OR(AND(AUTOEVENTO="Manual",$M525=1),$M525&gt;(ROW(PLE.lastrow)-ROW(PLE.firstrow))),0,IF(OFFSET(PLE!$G$14,$M525,CJ$13)="",10^12,OFFSET(PLE!$G$14,$M525,CJ$13))))</f>
        <v>1000000000000</v>
      </c>
      <c r="CK525" s="216">
        <f ca="1">IF($D525&lt;&gt;"Serviço",0,IF(OR(AND(AUTOEVENTO="Manual",$M525=1),$M525&gt;(ROW(PLE.lastrow)-ROW(PLE.firstrow))),0,IF(OFFSET(PLE!$G$14,$M525,CK$13)="",10^12,OFFSET(PLE!$G$14,$M525,CK$13))))</f>
        <v>1000000000000</v>
      </c>
      <c r="CL525" s="216">
        <f ca="1">IF($D525&lt;&gt;"Serviço",0,IF(OR(AND(AUTOEVENTO="Manual",$M525=1),$M525&gt;(ROW(PLE.lastrow)-ROW(PLE.firstrow))),0,IF(OFFSET(PLE!$G$14,$M525,CL$13)="",10^12,OFFSET(PLE!$G$14,$M525,CL$13))))</f>
        <v>1000000000000</v>
      </c>
      <c r="CM525" s="216">
        <f ca="1">IF($D525&lt;&gt;"Serviço",0,IF(OR(AND(AUTOEVENTO="Manual",$M525=1),$M525&gt;(ROW(PLE.lastrow)-ROW(PLE.firstrow))),0,IF(OFFSET(PLE!$G$14,$M525,CM$13)="",10^12,OFFSET(PLE!$G$14,$M525,CM$13))))</f>
        <v>1000000000000</v>
      </c>
    </row>
    <row r="526" spans="1:91" ht="13.2" x14ac:dyDescent="0.25">
      <c r="A526" s="9">
        <f t="shared" ref="A526:A589" ca="1" si="17">IF(AUTOEVENTO="Manual",IF(K526&lt;&gt;"",MIN(VALUE(LEFT(K526,FIND(".",K526)-1)),COUNTA(EVENTOS.Lista)),0),IF(OR($B526&gt;AUTOEVENTO,$B526="S",$B526=0),SUBSTITUTE(OFFSET($A526,-1,0),IF($D526="Serviço",".",""),""),ROW(A526)-ROW($A$15)&amp;"."))</f>
        <v>0</v>
      </c>
      <c r="B526" s="9" t="str">
        <f ca="1">OFFSET(ORÇAMENTO!C$15,ROW(B526)-ROW(B$15),0)</f>
        <v>S</v>
      </c>
      <c r="C526" s="9" t="str">
        <f ca="1">OFFSET(ORÇAMENTO!L$15,ROW(C526)-ROW(C$15),0)</f>
        <v/>
      </c>
      <c r="D526" s="145" t="str">
        <f ca="1">OFFSET(ORÇAMENTO!N$15,ROW(D526)-ROW(D$15),0)</f>
        <v>Serviço</v>
      </c>
      <c r="E526" s="205" t="str">
        <f ca="1">OFFSET(ORÇAMENTO!O$15,ROW(E526)-ROW(E$15),0)</f>
        <v>-</v>
      </c>
      <c r="F526" s="206" t="str">
        <f ca="1">OFFSET(ORÇAMENTO!R$15,ROW(F526)-ROW(F$15),0)</f>
        <v>(abra o arquivo 'Referência 05-2024.xls)</v>
      </c>
      <c r="G526" s="207" t="str">
        <f ca="1">IF($D526&lt;&gt;"Serviço","",OFFSET(ORÇAMENTO!S$15,ROW(G526)-ROW(G$15),0))</f>
        <v>-</v>
      </c>
      <c r="H526" s="151">
        <f ca="1">IF($D526&lt;&gt;"Serviço",0,IF(ACOMPANHAMENTO="BM",ROUND(OFFSET(ORÇAMENTO!AJ$15,ROW(H526)-ROW(H$15),0),15-13*ORÇAMENTO!$AF$7),SUMPRODUCT(($Q$12:$AI$12&lt;&gt;"")*ROUND($Q526:$AI526,15-13*ORÇAMENTO!$AF$7))))</f>
        <v>2</v>
      </c>
      <c r="I526" s="650"/>
      <c r="K526" s="208"/>
      <c r="L526" s="209" t="s">
        <v>257</v>
      </c>
      <c r="M526" s="210">
        <f ca="1">IF($D526&lt;&gt;"Serviço","",IF(AUTOEVENTO="manual",$A526,IF(ISERROR(MATCH($A526,$A$15:OFFSET($A526,-1,0),0)),MAX($M$15:OFFSET(M526,-1,0))+1,INDEX($M$15:OFFSET(M526,-1,0),MATCH($A526,$A$15:OFFSET($A526,-1,0),0)))))</f>
        <v>0</v>
      </c>
      <c r="N526" s="211" t="str">
        <f ca="1">IF($D526&lt;&gt;"Serviço","",IF(AUTOEVENTO="Manual",IF($A526=0,"&lt;-- defina o número do agrupador",OFFSET(EVENTOS!$D$14,$A526,0)),OFFSET($F$15,$A526,0)))</f>
        <v>&lt;-- defina o número do agrupador</v>
      </c>
      <c r="O526" s="212"/>
      <c r="Q526" s="212"/>
      <c r="R526" s="213"/>
      <c r="S526" s="213"/>
      <c r="T526" s="213"/>
      <c r="U526" s="213"/>
      <c r="V526" s="213"/>
      <c r="W526" s="213"/>
      <c r="X526" s="213"/>
      <c r="Y526" s="213"/>
      <c r="Z526" s="214"/>
      <c r="AA526" s="213"/>
      <c r="AB526" s="213"/>
      <c r="AC526" s="213"/>
      <c r="AD526" s="213"/>
      <c r="AE526" s="213"/>
      <c r="AF526" s="213"/>
      <c r="AG526" s="213"/>
      <c r="AH526" s="214"/>
      <c r="AJ526" s="631">
        <f ca="1">IF(AND($D526="Serviço",AJ$12&lt;&gt;0,$H526&gt;0,OR(AUTOEVENTO&lt;&gt;"manual",$M526&lt;&gt;1)),ROUND(OFFSET($P526,0,AJ$13),15-13*ORÇAMENTO!$AF$7)/$H526*OFFSET(ORÇAMENTO!$X$15,ROW(AJ526)-ROW(AJ$15),0),0)</f>
        <v>0</v>
      </c>
      <c r="AK526" s="632">
        <f ca="1">IF(AND($D526="Serviço",AK$12&lt;&gt;0,$H526&gt;0,OR(AUTOEVENTO&lt;&gt;"manual",$M526&lt;&gt;1)),ROUND(OFFSET($P526,0,AK$13),15-13*ORÇAMENTO!$AF$7)/$H526*OFFSET(ORÇAMENTO!$X$15,ROW(AK526)-ROW(AK$15),0),0)</f>
        <v>0</v>
      </c>
      <c r="AL526" s="632">
        <f ca="1">IF(AND($D526="Serviço",AL$12&lt;&gt;0,$H526&gt;0,OR(AUTOEVENTO&lt;&gt;"manual",$M526&lt;&gt;1)),ROUND(OFFSET($P526,0,AL$13),15-13*ORÇAMENTO!$AF$7)/$H526*OFFSET(ORÇAMENTO!$X$15,ROW(AL526)-ROW(AL$15),0),0)</f>
        <v>0</v>
      </c>
      <c r="AM526" s="632">
        <f ca="1">IF(AND($D526="Serviço",AM$12&lt;&gt;0,$H526&gt;0,OR(AUTOEVENTO&lt;&gt;"manual",$M526&lt;&gt;1)),ROUND(OFFSET($P526,0,AM$13),15-13*ORÇAMENTO!$AF$7)/$H526*OFFSET(ORÇAMENTO!$X$15,ROW(AM526)-ROW(AM$15),0),0)</f>
        <v>0</v>
      </c>
      <c r="AN526" s="632">
        <f ca="1">IF(AND($D526="Serviço",AN$12&lt;&gt;0,$H526&gt;0,OR(AUTOEVENTO&lt;&gt;"manual",$M526&lt;&gt;1)),ROUND(OFFSET($P526,0,AN$13),15-13*ORÇAMENTO!$AF$7)/$H526*OFFSET(ORÇAMENTO!$X$15,ROW(AN526)-ROW(AN$15),0),0)</f>
        <v>0</v>
      </c>
      <c r="AO526" s="632">
        <f ca="1">IF(AND($D526="Serviço",AO$12&lt;&gt;0,$H526&gt;0,OR(AUTOEVENTO&lt;&gt;"manual",$M526&lt;&gt;1)),ROUND(OFFSET($P526,0,AO$13),15-13*ORÇAMENTO!$AF$7)/$H526*OFFSET(ORÇAMENTO!$X$15,ROW(AO526)-ROW(AO$15),0),0)</f>
        <v>0</v>
      </c>
      <c r="AP526" s="632">
        <f ca="1">IF(AND($D526="Serviço",AP$12&lt;&gt;0,$H526&gt;0,OR(AUTOEVENTO&lt;&gt;"manual",$M526&lt;&gt;1)),ROUND(OFFSET($P526,0,AP$13),15-13*ORÇAMENTO!$AF$7)/$H526*OFFSET(ORÇAMENTO!$X$15,ROW(AP526)-ROW(AP$15),0),0)</f>
        <v>0</v>
      </c>
      <c r="AQ526" s="632">
        <f ca="1">IF(AND($D526="Serviço",AQ$12&lt;&gt;0,$H526&gt;0,OR(AUTOEVENTO&lt;&gt;"manual",$M526&lt;&gt;1)),ROUND(OFFSET($P526,0,AQ$13),15-13*ORÇAMENTO!$AF$7)/$H526*OFFSET(ORÇAMENTO!$X$15,ROW(AQ526)-ROW(AQ$15),0),0)</f>
        <v>0</v>
      </c>
      <c r="AR526" s="632">
        <f ca="1">IF(AND($D526="Serviço",AR$12&lt;&gt;0,$H526&gt;0,OR(AUTOEVENTO&lt;&gt;"manual",$M526&lt;&gt;1)),ROUND(OFFSET($P526,0,AR$13),15-13*ORÇAMENTO!$AF$7)/$H526*OFFSET(ORÇAMENTO!$X$15,ROW(AR526)-ROW(AR$15),0),0)</f>
        <v>0</v>
      </c>
      <c r="AS526" s="633">
        <f ca="1">IF(AND($D526="Serviço",AS$12&lt;&gt;0,$H526&gt;0,OR(AUTOEVENTO&lt;&gt;"manual",$M526&lt;&gt;1)),ROUND(OFFSET($P526,0,AS$13),15-13*ORÇAMENTO!$AF$7)/$H526*OFFSET(ORÇAMENTO!$X$15,ROW(AS526)-ROW(AS$15),0),0)</f>
        <v>0</v>
      </c>
      <c r="AT526" s="632">
        <f ca="1">IF(AND($D526="Serviço",AT$12&lt;&gt;0,$H526&gt;0,OR(AUTOEVENTO&lt;&gt;"manual",$M526&lt;&gt;1)),ROUND(OFFSET($P526,0,AT$13),15-13*ORÇAMENTO!$AF$7)/$H526*OFFSET(ORÇAMENTO!$X$15,ROW(AT526)-ROW(AT$15),0),0)</f>
        <v>0</v>
      </c>
      <c r="AU526" s="632">
        <f ca="1">IF(AND($D526="Serviço",AU$12&lt;&gt;0,$H526&gt;0,OR(AUTOEVENTO&lt;&gt;"manual",$M526&lt;&gt;1)),ROUND(OFFSET($P526,0,AU$13),15-13*ORÇAMENTO!$AF$7)/$H526*OFFSET(ORÇAMENTO!$X$15,ROW(AU526)-ROW(AU$15),0),0)</f>
        <v>0</v>
      </c>
      <c r="AV526" s="632">
        <f ca="1">IF(AND($D526="Serviço",AV$12&lt;&gt;0,$H526&gt;0,OR(AUTOEVENTO&lt;&gt;"manual",$M526&lt;&gt;1)),ROUND(OFFSET($P526,0,AV$13),15-13*ORÇAMENTO!$AF$7)/$H526*OFFSET(ORÇAMENTO!$X$15,ROW(AV526)-ROW(AV$15),0),0)</f>
        <v>0</v>
      </c>
      <c r="AW526" s="632">
        <f ca="1">IF(AND($D526="Serviço",AW$12&lt;&gt;0,$H526&gt;0,OR(AUTOEVENTO&lt;&gt;"manual",$M526&lt;&gt;1)),ROUND(OFFSET($P526,0,AW$13),15-13*ORÇAMENTO!$AF$7)/$H526*OFFSET(ORÇAMENTO!$X$15,ROW(AW526)-ROW(AW$15),0),0)</f>
        <v>0</v>
      </c>
      <c r="AX526" s="632">
        <f ca="1">IF(AND($D526="Serviço",AX$12&lt;&gt;0,$H526&gt;0,OR(AUTOEVENTO&lt;&gt;"manual",$M526&lt;&gt;1)),ROUND(OFFSET($P526,0,AX$13),15-13*ORÇAMENTO!$AF$7)/$H526*OFFSET(ORÇAMENTO!$X$15,ROW(AX526)-ROW(AX$15),0),0)</f>
        <v>0</v>
      </c>
      <c r="AY526" s="632">
        <f ca="1">IF(AND($D526="Serviço",AY$12&lt;&gt;0,$H526&gt;0,OR(AUTOEVENTO&lt;&gt;"manual",$M526&lt;&gt;1)),ROUND(OFFSET($P526,0,AY$13),15-13*ORÇAMENTO!$AF$7)/$H526*OFFSET(ORÇAMENTO!$X$15,ROW(AY526)-ROW(AY$15),0),0)</f>
        <v>0</v>
      </c>
      <c r="AZ526" s="632">
        <f ca="1">IF(AND($D526="Serviço",AZ$12&lt;&gt;0,$H526&gt;0,OR(AUTOEVENTO&lt;&gt;"manual",$M526&lt;&gt;1)),ROUND(OFFSET($P526,0,AZ$13),15-13*ORÇAMENTO!$AF$7)/$H526*OFFSET(ORÇAMENTO!$X$15,ROW(AZ526)-ROW(AZ$15),0),0)</f>
        <v>0</v>
      </c>
      <c r="BA526" s="633">
        <f ca="1">IF(AND($D526="Serviço",BA$12&lt;&gt;0,$H526&gt;0,OR(AUTOEVENTO&lt;&gt;"manual",$M526&lt;&gt;1)),ROUND(OFFSET($P526,0,BA$13),15-13*ORÇAMENTO!$AF$7)/$H526*OFFSET(ORÇAMENTO!$X$15,ROW(BA526)-ROW(BA$15),0),0)</f>
        <v>0</v>
      </c>
      <c r="BC526" s="215">
        <f ca="1">IF($D526&lt;&gt;"Serviço",0,IF(AND(AUTOEVENTO="Manual",$M526=1),0,IF(OFFSET(CRONOPLE!$F$14,$M526,BC$13)="",10^12,OFFSET(CRONOPLE!$F$14,$M526,BC$13))))</f>
        <v>1000000000000</v>
      </c>
      <c r="BD526" s="215">
        <f ca="1">IF($D526&lt;&gt;"Serviço",0,IF(AND(AUTOEVENTO="Manual",$M526=1),0,IF(OFFSET(CRONOPLE!$F$14,$M526,BD$13)="",10^12,OFFSET(CRONOPLE!$F$14,$M526,BD$13))))</f>
        <v>1000000000000</v>
      </c>
      <c r="BE526" s="215">
        <f ca="1">IF($D526&lt;&gt;"Serviço",0,IF(AND(AUTOEVENTO="Manual",$M526=1),0,IF(OFFSET(CRONOPLE!$F$14,$M526,BE$13)="",10^12,OFFSET(CRONOPLE!$F$14,$M526,BE$13))))</f>
        <v>1000000000000</v>
      </c>
      <c r="BF526" s="215">
        <f ca="1">IF($D526&lt;&gt;"Serviço",0,IF(AND(AUTOEVENTO="Manual",$M526=1),0,IF(OFFSET(CRONOPLE!$F$14,$M526,BF$13)="",10^12,OFFSET(CRONOPLE!$F$14,$M526,BF$13))))</f>
        <v>1000000000000</v>
      </c>
      <c r="BG526" s="215">
        <f ca="1">IF($D526&lt;&gt;"Serviço",0,IF(AND(AUTOEVENTO="Manual",$M526=1),0,IF(OFFSET(CRONOPLE!$F$14,$M526,BG$13)="",10^12,OFFSET(CRONOPLE!$F$14,$M526,BG$13))))</f>
        <v>1000000000000</v>
      </c>
      <c r="BH526" s="215">
        <f ca="1">IF($D526&lt;&gt;"Serviço",0,IF(AND(AUTOEVENTO="Manual",$M526=1),0,IF(OFFSET(CRONOPLE!$F$14,$M526,BH$13)="",10^12,OFFSET(CRONOPLE!$F$14,$M526,BH$13))))</f>
        <v>1000000000000</v>
      </c>
      <c r="BI526" s="215">
        <f ca="1">IF($D526&lt;&gt;"Serviço",0,IF(AND(AUTOEVENTO="Manual",$M526=1),0,IF(OFFSET(CRONOPLE!$F$14,$M526,BI$13)="",10^12,OFFSET(CRONOPLE!$F$14,$M526,BI$13))))</f>
        <v>1000000000000</v>
      </c>
      <c r="BJ526" s="215">
        <f ca="1">IF($D526&lt;&gt;"Serviço",0,IF(AND(AUTOEVENTO="Manual",$M526=1),0,IF(OFFSET(CRONOPLE!$F$14,$M526,BJ$13)="",10^12,OFFSET(CRONOPLE!$F$14,$M526,BJ$13))))</f>
        <v>1000000000000</v>
      </c>
      <c r="BK526" s="215">
        <f ca="1">IF($D526&lt;&gt;"Serviço",0,IF(AND(AUTOEVENTO="Manual",$M526=1),0,IF(OFFSET(CRONOPLE!$F$14,$M526,BK$13)="",10^12,OFFSET(CRONOPLE!$F$14,$M526,BK$13))))</f>
        <v>1000000000000</v>
      </c>
      <c r="BL526" s="215">
        <f ca="1">IF($D526&lt;&gt;"Serviço",0,IF(AND(AUTOEVENTO="Manual",$M526=1),0,IF(OFFSET(CRONOPLE!$F$14,$M526,BL$13)="",10^12,OFFSET(CRONOPLE!$F$14,$M526,BL$13))))</f>
        <v>1000000000000</v>
      </c>
      <c r="BM526" s="215">
        <f ca="1">IF($D526&lt;&gt;"Serviço",0,IF(AND(AUTOEVENTO="Manual",$M526=1),0,IF(OFFSET(CRONOPLE!$F$14,$M526,BM$13)="",10^12,OFFSET(CRONOPLE!$F$14,$M526,BM$13))))</f>
        <v>1000000000000</v>
      </c>
      <c r="BN526" s="215">
        <f ca="1">IF($D526&lt;&gt;"Serviço",0,IF(AND(AUTOEVENTO="Manual",$M526=1),0,IF(OFFSET(CRONOPLE!$F$14,$M526,BN$13)="",10^12,OFFSET(CRONOPLE!$F$14,$M526,BN$13))))</f>
        <v>1000000000000</v>
      </c>
      <c r="BO526" s="215">
        <f ca="1">IF($D526&lt;&gt;"Serviço",0,IF(AND(AUTOEVENTO="Manual",$M526=1),0,IF(OFFSET(CRONOPLE!$F$14,$M526,BO$13)="",10^12,OFFSET(CRONOPLE!$F$14,$M526,BO$13))))</f>
        <v>1000000000000</v>
      </c>
      <c r="BP526" s="215">
        <f ca="1">IF($D526&lt;&gt;"Serviço",0,IF(AND(AUTOEVENTO="Manual",$M526=1),0,IF(OFFSET(CRONOPLE!$F$14,$M526,BP$13)="",10^12,OFFSET(CRONOPLE!$F$14,$M526,BP$13))))</f>
        <v>1000000000000</v>
      </c>
      <c r="BQ526" s="215">
        <f ca="1">IF($D526&lt;&gt;"Serviço",0,IF(AND(AUTOEVENTO="Manual",$M526=1),0,IF(OFFSET(CRONOPLE!$F$14,$M526,BQ$13)="",10^12,OFFSET(CRONOPLE!$F$14,$M526,BQ$13))))</f>
        <v>1000000000000</v>
      </c>
      <c r="BR526" s="215">
        <f ca="1">IF($D526&lt;&gt;"Serviço",0,IF(AND(AUTOEVENTO="Manual",$M526=1),0,IF(OFFSET(CRONOPLE!$F$14,$M526,BR$13)="",10^12,OFFSET(CRONOPLE!$F$14,$M526,BR$13))))</f>
        <v>1000000000000</v>
      </c>
      <c r="BS526" s="215">
        <f ca="1">IF($D526&lt;&gt;"Serviço",0,IF(AND(AUTOEVENTO="Manual",$M526=1),0,IF(OFFSET(CRONOPLE!$F$14,$M526,BS$13)="",10^12,OFFSET(CRONOPLE!$F$14,$M526,BS$13))))</f>
        <v>1000000000000</v>
      </c>
      <c r="BT526" s="215">
        <f ca="1">IF($D526&lt;&gt;"Serviço",0,IF(AND(AUTOEVENTO="Manual",$M526=1),0,IF(OFFSET(CRONOPLE!$F$14,$M526,BT$13)="",10^12,OFFSET(CRONOPLE!$F$14,$M526,BT$13))))</f>
        <v>1000000000000</v>
      </c>
      <c r="BV526" s="216">
        <f ca="1">IF($D526&lt;&gt;"Serviço",0,IF(OR(AND(AUTOEVENTO="Manual",$M526=1),$M526&gt;(ROW(PLE.lastrow)-ROW(PLE.firstrow))),0,IF(OFFSET(PLE!$G$14,$M526,BV$13)="",10^12,OFFSET(PLE!$G$14,$M526,BV$13))))</f>
        <v>1000000000000</v>
      </c>
      <c r="BW526" s="216">
        <f ca="1">IF($D526&lt;&gt;"Serviço",0,IF(OR(AND(AUTOEVENTO="Manual",$M526=1),$M526&gt;(ROW(PLE.lastrow)-ROW(PLE.firstrow))),0,IF(OFFSET(PLE!$G$14,$M526,BW$13)="",10^12,OFFSET(PLE!$G$14,$M526,BW$13))))</f>
        <v>1000000000000</v>
      </c>
      <c r="BX526" s="216">
        <f ca="1">IF($D526&lt;&gt;"Serviço",0,IF(OR(AND(AUTOEVENTO="Manual",$M526=1),$M526&gt;(ROW(PLE.lastrow)-ROW(PLE.firstrow))),0,IF(OFFSET(PLE!$G$14,$M526,BX$13)="",10^12,OFFSET(PLE!$G$14,$M526,BX$13))))</f>
        <v>1000000000000</v>
      </c>
      <c r="BY526" s="216">
        <f ca="1">IF($D526&lt;&gt;"Serviço",0,IF(OR(AND(AUTOEVENTO="Manual",$M526=1),$M526&gt;(ROW(PLE.lastrow)-ROW(PLE.firstrow))),0,IF(OFFSET(PLE!$G$14,$M526,BY$13)="",10^12,OFFSET(PLE!$G$14,$M526,BY$13))))</f>
        <v>1000000000000</v>
      </c>
      <c r="BZ526" s="216">
        <f ca="1">IF($D526&lt;&gt;"Serviço",0,IF(OR(AND(AUTOEVENTO="Manual",$M526=1),$M526&gt;(ROW(PLE.lastrow)-ROW(PLE.firstrow))),0,IF(OFFSET(PLE!$G$14,$M526,BZ$13)="",10^12,OFFSET(PLE!$G$14,$M526,BZ$13))))</f>
        <v>1000000000000</v>
      </c>
      <c r="CA526" s="216">
        <f ca="1">IF($D526&lt;&gt;"Serviço",0,IF(OR(AND(AUTOEVENTO="Manual",$M526=1),$M526&gt;(ROW(PLE.lastrow)-ROW(PLE.firstrow))),0,IF(OFFSET(PLE!$G$14,$M526,CA$13)="",10^12,OFFSET(PLE!$G$14,$M526,CA$13))))</f>
        <v>1000000000000</v>
      </c>
      <c r="CB526" s="216">
        <f ca="1">IF($D526&lt;&gt;"Serviço",0,IF(OR(AND(AUTOEVENTO="Manual",$M526=1),$M526&gt;(ROW(PLE.lastrow)-ROW(PLE.firstrow))),0,IF(OFFSET(PLE!$G$14,$M526,CB$13)="",10^12,OFFSET(PLE!$G$14,$M526,CB$13))))</f>
        <v>1000000000000</v>
      </c>
      <c r="CC526" s="216">
        <f ca="1">IF($D526&lt;&gt;"Serviço",0,IF(OR(AND(AUTOEVENTO="Manual",$M526=1),$M526&gt;(ROW(PLE.lastrow)-ROW(PLE.firstrow))),0,IF(OFFSET(PLE!$G$14,$M526,CC$13)="",10^12,OFFSET(PLE!$G$14,$M526,CC$13))))</f>
        <v>1000000000000</v>
      </c>
      <c r="CD526" s="216">
        <f ca="1">IF($D526&lt;&gt;"Serviço",0,IF(OR(AND(AUTOEVENTO="Manual",$M526=1),$M526&gt;(ROW(PLE.lastrow)-ROW(PLE.firstrow))),0,IF(OFFSET(PLE!$G$14,$M526,CD$13)="",10^12,OFFSET(PLE!$G$14,$M526,CD$13))))</f>
        <v>1000000000000</v>
      </c>
      <c r="CE526" s="216">
        <f ca="1">IF($D526&lt;&gt;"Serviço",0,IF(OR(AND(AUTOEVENTO="Manual",$M526=1),$M526&gt;(ROW(PLE.lastrow)-ROW(PLE.firstrow))),0,IF(OFFSET(PLE!$G$14,$M526,CE$13)="",10^12,OFFSET(PLE!$G$14,$M526,CE$13))))</f>
        <v>1000000000000</v>
      </c>
      <c r="CF526" s="216">
        <f ca="1">IF($D526&lt;&gt;"Serviço",0,IF(OR(AND(AUTOEVENTO="Manual",$M526=1),$M526&gt;(ROW(PLE.lastrow)-ROW(PLE.firstrow))),0,IF(OFFSET(PLE!$G$14,$M526,CF$13)="",10^12,OFFSET(PLE!$G$14,$M526,CF$13))))</f>
        <v>1000000000000</v>
      </c>
      <c r="CG526" s="216">
        <f ca="1">IF($D526&lt;&gt;"Serviço",0,IF(OR(AND(AUTOEVENTO="Manual",$M526=1),$M526&gt;(ROW(PLE.lastrow)-ROW(PLE.firstrow))),0,IF(OFFSET(PLE!$G$14,$M526,CG$13)="",10^12,OFFSET(PLE!$G$14,$M526,CG$13))))</f>
        <v>1000000000000</v>
      </c>
      <c r="CH526" s="216">
        <f ca="1">IF($D526&lt;&gt;"Serviço",0,IF(OR(AND(AUTOEVENTO="Manual",$M526=1),$M526&gt;(ROW(PLE.lastrow)-ROW(PLE.firstrow))),0,IF(OFFSET(PLE!$G$14,$M526,CH$13)="",10^12,OFFSET(PLE!$G$14,$M526,CH$13))))</f>
        <v>1000000000000</v>
      </c>
      <c r="CI526" s="216">
        <f ca="1">IF($D526&lt;&gt;"Serviço",0,IF(OR(AND(AUTOEVENTO="Manual",$M526=1),$M526&gt;(ROW(PLE.lastrow)-ROW(PLE.firstrow))),0,IF(OFFSET(PLE!$G$14,$M526,CI$13)="",10^12,OFFSET(PLE!$G$14,$M526,CI$13))))</f>
        <v>1000000000000</v>
      </c>
      <c r="CJ526" s="216">
        <f ca="1">IF($D526&lt;&gt;"Serviço",0,IF(OR(AND(AUTOEVENTO="Manual",$M526=1),$M526&gt;(ROW(PLE.lastrow)-ROW(PLE.firstrow))),0,IF(OFFSET(PLE!$G$14,$M526,CJ$13)="",10^12,OFFSET(PLE!$G$14,$M526,CJ$13))))</f>
        <v>1000000000000</v>
      </c>
      <c r="CK526" s="216">
        <f ca="1">IF($D526&lt;&gt;"Serviço",0,IF(OR(AND(AUTOEVENTO="Manual",$M526=1),$M526&gt;(ROW(PLE.lastrow)-ROW(PLE.firstrow))),0,IF(OFFSET(PLE!$G$14,$M526,CK$13)="",10^12,OFFSET(PLE!$G$14,$M526,CK$13))))</f>
        <v>1000000000000</v>
      </c>
      <c r="CL526" s="216">
        <f ca="1">IF($D526&lt;&gt;"Serviço",0,IF(OR(AND(AUTOEVENTO="Manual",$M526=1),$M526&gt;(ROW(PLE.lastrow)-ROW(PLE.firstrow))),0,IF(OFFSET(PLE!$G$14,$M526,CL$13)="",10^12,OFFSET(PLE!$G$14,$M526,CL$13))))</f>
        <v>1000000000000</v>
      </c>
      <c r="CM526" s="216">
        <f ca="1">IF($D526&lt;&gt;"Serviço",0,IF(OR(AND(AUTOEVENTO="Manual",$M526=1),$M526&gt;(ROW(PLE.lastrow)-ROW(PLE.firstrow))),0,IF(OFFSET(PLE!$G$14,$M526,CM$13)="",10^12,OFFSET(PLE!$G$14,$M526,CM$13))))</f>
        <v>1000000000000</v>
      </c>
    </row>
    <row r="527" spans="1:91" ht="13.2" x14ac:dyDescent="0.25">
      <c r="A527" s="9">
        <f t="shared" ca="1" si="17"/>
        <v>0</v>
      </c>
      <c r="B527" s="9" t="str">
        <f ca="1">OFFSET(ORÇAMENTO!C$15,ROW(B527)-ROW(B$15),0)</f>
        <v>S</v>
      </c>
      <c r="C527" s="9" t="str">
        <f ca="1">OFFSET(ORÇAMENTO!L$15,ROW(C527)-ROW(C$15),0)</f>
        <v/>
      </c>
      <c r="D527" s="145" t="str">
        <f ca="1">OFFSET(ORÇAMENTO!N$15,ROW(D527)-ROW(D$15),0)</f>
        <v>Serviço</v>
      </c>
      <c r="E527" s="205" t="str">
        <f ca="1">OFFSET(ORÇAMENTO!O$15,ROW(E527)-ROW(E$15),0)</f>
        <v>-</v>
      </c>
      <c r="F527" s="206" t="str">
        <f ca="1">OFFSET(ORÇAMENTO!R$15,ROW(F527)-ROW(F$15),0)</f>
        <v>(abra o arquivo 'Referência 05-2024.xls)</v>
      </c>
      <c r="G527" s="207" t="str">
        <f ca="1">IF($D527&lt;&gt;"Serviço","",OFFSET(ORÇAMENTO!S$15,ROW(G527)-ROW(G$15),0))</f>
        <v>-</v>
      </c>
      <c r="H527" s="151">
        <f ca="1">IF($D527&lt;&gt;"Serviço",0,IF(ACOMPANHAMENTO="BM",ROUND(OFFSET(ORÇAMENTO!AJ$15,ROW(H527)-ROW(H$15),0),15-13*ORÇAMENTO!$AF$7),SUMPRODUCT(($Q$12:$AI$12&lt;&gt;"")*ROUND($Q527:$AI527,15-13*ORÇAMENTO!$AF$7))))</f>
        <v>110</v>
      </c>
      <c r="I527" s="650"/>
      <c r="K527" s="208"/>
      <c r="L527" s="209" t="s">
        <v>257</v>
      </c>
      <c r="M527" s="210">
        <f ca="1">IF($D527&lt;&gt;"Serviço","",IF(AUTOEVENTO="manual",$A527,IF(ISERROR(MATCH($A527,$A$15:OFFSET($A527,-1,0),0)),MAX($M$15:OFFSET(M527,-1,0))+1,INDEX($M$15:OFFSET(M527,-1,0),MATCH($A527,$A$15:OFFSET($A527,-1,0),0)))))</f>
        <v>0</v>
      </c>
      <c r="N527" s="211" t="str">
        <f ca="1">IF($D527&lt;&gt;"Serviço","",IF(AUTOEVENTO="Manual",IF($A527=0,"&lt;-- defina o número do agrupador",OFFSET(EVENTOS!$D$14,$A527,0)),OFFSET($F$15,$A527,0)))</f>
        <v>&lt;-- defina o número do agrupador</v>
      </c>
      <c r="O527" s="212"/>
      <c r="Q527" s="212"/>
      <c r="R527" s="213"/>
      <c r="S527" s="213"/>
      <c r="T527" s="213"/>
      <c r="U527" s="213"/>
      <c r="V527" s="213"/>
      <c r="W527" s="213"/>
      <c r="X527" s="213"/>
      <c r="Y527" s="213"/>
      <c r="Z527" s="214"/>
      <c r="AA527" s="213"/>
      <c r="AB527" s="213"/>
      <c r="AC527" s="213"/>
      <c r="AD527" s="213"/>
      <c r="AE527" s="213"/>
      <c r="AF527" s="213"/>
      <c r="AG527" s="213"/>
      <c r="AH527" s="214"/>
      <c r="AJ527" s="631">
        <f ca="1">IF(AND($D527="Serviço",AJ$12&lt;&gt;0,$H527&gt;0,OR(AUTOEVENTO&lt;&gt;"manual",$M527&lt;&gt;1)),ROUND(OFFSET($P527,0,AJ$13),15-13*ORÇAMENTO!$AF$7)/$H527*OFFSET(ORÇAMENTO!$X$15,ROW(AJ527)-ROW(AJ$15),0),0)</f>
        <v>0</v>
      </c>
      <c r="AK527" s="632">
        <f ca="1">IF(AND($D527="Serviço",AK$12&lt;&gt;0,$H527&gt;0,OR(AUTOEVENTO&lt;&gt;"manual",$M527&lt;&gt;1)),ROUND(OFFSET($P527,0,AK$13),15-13*ORÇAMENTO!$AF$7)/$H527*OFFSET(ORÇAMENTO!$X$15,ROW(AK527)-ROW(AK$15),0),0)</f>
        <v>0</v>
      </c>
      <c r="AL527" s="632">
        <f ca="1">IF(AND($D527="Serviço",AL$12&lt;&gt;0,$H527&gt;0,OR(AUTOEVENTO&lt;&gt;"manual",$M527&lt;&gt;1)),ROUND(OFFSET($P527,0,AL$13),15-13*ORÇAMENTO!$AF$7)/$H527*OFFSET(ORÇAMENTO!$X$15,ROW(AL527)-ROW(AL$15),0),0)</f>
        <v>0</v>
      </c>
      <c r="AM527" s="632">
        <f ca="1">IF(AND($D527="Serviço",AM$12&lt;&gt;0,$H527&gt;0,OR(AUTOEVENTO&lt;&gt;"manual",$M527&lt;&gt;1)),ROUND(OFFSET($P527,0,AM$13),15-13*ORÇAMENTO!$AF$7)/$H527*OFFSET(ORÇAMENTO!$X$15,ROW(AM527)-ROW(AM$15),0),0)</f>
        <v>0</v>
      </c>
      <c r="AN527" s="632">
        <f ca="1">IF(AND($D527="Serviço",AN$12&lt;&gt;0,$H527&gt;0,OR(AUTOEVENTO&lt;&gt;"manual",$M527&lt;&gt;1)),ROUND(OFFSET($P527,0,AN$13),15-13*ORÇAMENTO!$AF$7)/$H527*OFFSET(ORÇAMENTO!$X$15,ROW(AN527)-ROW(AN$15),0),0)</f>
        <v>0</v>
      </c>
      <c r="AO527" s="632">
        <f ca="1">IF(AND($D527="Serviço",AO$12&lt;&gt;0,$H527&gt;0,OR(AUTOEVENTO&lt;&gt;"manual",$M527&lt;&gt;1)),ROUND(OFFSET($P527,0,AO$13),15-13*ORÇAMENTO!$AF$7)/$H527*OFFSET(ORÇAMENTO!$X$15,ROW(AO527)-ROW(AO$15),0),0)</f>
        <v>0</v>
      </c>
      <c r="AP527" s="632">
        <f ca="1">IF(AND($D527="Serviço",AP$12&lt;&gt;0,$H527&gt;0,OR(AUTOEVENTO&lt;&gt;"manual",$M527&lt;&gt;1)),ROUND(OFFSET($P527,0,AP$13),15-13*ORÇAMENTO!$AF$7)/$H527*OFFSET(ORÇAMENTO!$X$15,ROW(AP527)-ROW(AP$15),0),0)</f>
        <v>0</v>
      </c>
      <c r="AQ527" s="632">
        <f ca="1">IF(AND($D527="Serviço",AQ$12&lt;&gt;0,$H527&gt;0,OR(AUTOEVENTO&lt;&gt;"manual",$M527&lt;&gt;1)),ROUND(OFFSET($P527,0,AQ$13),15-13*ORÇAMENTO!$AF$7)/$H527*OFFSET(ORÇAMENTO!$X$15,ROW(AQ527)-ROW(AQ$15),0),0)</f>
        <v>0</v>
      </c>
      <c r="AR527" s="632">
        <f ca="1">IF(AND($D527="Serviço",AR$12&lt;&gt;0,$H527&gt;0,OR(AUTOEVENTO&lt;&gt;"manual",$M527&lt;&gt;1)),ROUND(OFFSET($P527,0,AR$13),15-13*ORÇAMENTO!$AF$7)/$H527*OFFSET(ORÇAMENTO!$X$15,ROW(AR527)-ROW(AR$15),0),0)</f>
        <v>0</v>
      </c>
      <c r="AS527" s="633">
        <f ca="1">IF(AND($D527="Serviço",AS$12&lt;&gt;0,$H527&gt;0,OR(AUTOEVENTO&lt;&gt;"manual",$M527&lt;&gt;1)),ROUND(OFFSET($P527,0,AS$13),15-13*ORÇAMENTO!$AF$7)/$H527*OFFSET(ORÇAMENTO!$X$15,ROW(AS527)-ROW(AS$15),0),0)</f>
        <v>0</v>
      </c>
      <c r="AT527" s="632">
        <f ca="1">IF(AND($D527="Serviço",AT$12&lt;&gt;0,$H527&gt;0,OR(AUTOEVENTO&lt;&gt;"manual",$M527&lt;&gt;1)),ROUND(OFFSET($P527,0,AT$13),15-13*ORÇAMENTO!$AF$7)/$H527*OFFSET(ORÇAMENTO!$X$15,ROW(AT527)-ROW(AT$15),0),0)</f>
        <v>0</v>
      </c>
      <c r="AU527" s="632">
        <f ca="1">IF(AND($D527="Serviço",AU$12&lt;&gt;0,$H527&gt;0,OR(AUTOEVENTO&lt;&gt;"manual",$M527&lt;&gt;1)),ROUND(OFFSET($P527,0,AU$13),15-13*ORÇAMENTO!$AF$7)/$H527*OFFSET(ORÇAMENTO!$X$15,ROW(AU527)-ROW(AU$15),0),0)</f>
        <v>0</v>
      </c>
      <c r="AV527" s="632">
        <f ca="1">IF(AND($D527="Serviço",AV$12&lt;&gt;0,$H527&gt;0,OR(AUTOEVENTO&lt;&gt;"manual",$M527&lt;&gt;1)),ROUND(OFFSET($P527,0,AV$13),15-13*ORÇAMENTO!$AF$7)/$H527*OFFSET(ORÇAMENTO!$X$15,ROW(AV527)-ROW(AV$15),0),0)</f>
        <v>0</v>
      </c>
      <c r="AW527" s="632">
        <f ca="1">IF(AND($D527="Serviço",AW$12&lt;&gt;0,$H527&gt;0,OR(AUTOEVENTO&lt;&gt;"manual",$M527&lt;&gt;1)),ROUND(OFFSET($P527,0,AW$13),15-13*ORÇAMENTO!$AF$7)/$H527*OFFSET(ORÇAMENTO!$X$15,ROW(AW527)-ROW(AW$15),0),0)</f>
        <v>0</v>
      </c>
      <c r="AX527" s="632">
        <f ca="1">IF(AND($D527="Serviço",AX$12&lt;&gt;0,$H527&gt;0,OR(AUTOEVENTO&lt;&gt;"manual",$M527&lt;&gt;1)),ROUND(OFFSET($P527,0,AX$13),15-13*ORÇAMENTO!$AF$7)/$H527*OFFSET(ORÇAMENTO!$X$15,ROW(AX527)-ROW(AX$15),0),0)</f>
        <v>0</v>
      </c>
      <c r="AY527" s="632">
        <f ca="1">IF(AND($D527="Serviço",AY$12&lt;&gt;0,$H527&gt;0,OR(AUTOEVENTO&lt;&gt;"manual",$M527&lt;&gt;1)),ROUND(OFFSET($P527,0,AY$13),15-13*ORÇAMENTO!$AF$7)/$H527*OFFSET(ORÇAMENTO!$X$15,ROW(AY527)-ROW(AY$15),0),0)</f>
        <v>0</v>
      </c>
      <c r="AZ527" s="632">
        <f ca="1">IF(AND($D527="Serviço",AZ$12&lt;&gt;0,$H527&gt;0,OR(AUTOEVENTO&lt;&gt;"manual",$M527&lt;&gt;1)),ROUND(OFFSET($P527,0,AZ$13),15-13*ORÇAMENTO!$AF$7)/$H527*OFFSET(ORÇAMENTO!$X$15,ROW(AZ527)-ROW(AZ$15),0),0)</f>
        <v>0</v>
      </c>
      <c r="BA527" s="633">
        <f ca="1">IF(AND($D527="Serviço",BA$12&lt;&gt;0,$H527&gt;0,OR(AUTOEVENTO&lt;&gt;"manual",$M527&lt;&gt;1)),ROUND(OFFSET($P527,0,BA$13),15-13*ORÇAMENTO!$AF$7)/$H527*OFFSET(ORÇAMENTO!$X$15,ROW(BA527)-ROW(BA$15),0),0)</f>
        <v>0</v>
      </c>
      <c r="BC527" s="215">
        <f ca="1">IF($D527&lt;&gt;"Serviço",0,IF(AND(AUTOEVENTO="Manual",$M527=1),0,IF(OFFSET(CRONOPLE!$F$14,$M527,BC$13)="",10^12,OFFSET(CRONOPLE!$F$14,$M527,BC$13))))</f>
        <v>1000000000000</v>
      </c>
      <c r="BD527" s="215">
        <f ca="1">IF($D527&lt;&gt;"Serviço",0,IF(AND(AUTOEVENTO="Manual",$M527=1),0,IF(OFFSET(CRONOPLE!$F$14,$M527,BD$13)="",10^12,OFFSET(CRONOPLE!$F$14,$M527,BD$13))))</f>
        <v>1000000000000</v>
      </c>
      <c r="BE527" s="215">
        <f ca="1">IF($D527&lt;&gt;"Serviço",0,IF(AND(AUTOEVENTO="Manual",$M527=1),0,IF(OFFSET(CRONOPLE!$F$14,$M527,BE$13)="",10^12,OFFSET(CRONOPLE!$F$14,$M527,BE$13))))</f>
        <v>1000000000000</v>
      </c>
      <c r="BF527" s="215">
        <f ca="1">IF($D527&lt;&gt;"Serviço",0,IF(AND(AUTOEVENTO="Manual",$M527=1),0,IF(OFFSET(CRONOPLE!$F$14,$M527,BF$13)="",10^12,OFFSET(CRONOPLE!$F$14,$M527,BF$13))))</f>
        <v>1000000000000</v>
      </c>
      <c r="BG527" s="215">
        <f ca="1">IF($D527&lt;&gt;"Serviço",0,IF(AND(AUTOEVENTO="Manual",$M527=1),0,IF(OFFSET(CRONOPLE!$F$14,$M527,BG$13)="",10^12,OFFSET(CRONOPLE!$F$14,$M527,BG$13))))</f>
        <v>1000000000000</v>
      </c>
      <c r="BH527" s="215">
        <f ca="1">IF($D527&lt;&gt;"Serviço",0,IF(AND(AUTOEVENTO="Manual",$M527=1),0,IF(OFFSET(CRONOPLE!$F$14,$M527,BH$13)="",10^12,OFFSET(CRONOPLE!$F$14,$M527,BH$13))))</f>
        <v>1000000000000</v>
      </c>
      <c r="BI527" s="215">
        <f ca="1">IF($D527&lt;&gt;"Serviço",0,IF(AND(AUTOEVENTO="Manual",$M527=1),0,IF(OFFSET(CRONOPLE!$F$14,$M527,BI$13)="",10^12,OFFSET(CRONOPLE!$F$14,$M527,BI$13))))</f>
        <v>1000000000000</v>
      </c>
      <c r="BJ527" s="215">
        <f ca="1">IF($D527&lt;&gt;"Serviço",0,IF(AND(AUTOEVENTO="Manual",$M527=1),0,IF(OFFSET(CRONOPLE!$F$14,$M527,BJ$13)="",10^12,OFFSET(CRONOPLE!$F$14,$M527,BJ$13))))</f>
        <v>1000000000000</v>
      </c>
      <c r="BK527" s="215">
        <f ca="1">IF($D527&lt;&gt;"Serviço",0,IF(AND(AUTOEVENTO="Manual",$M527=1),0,IF(OFFSET(CRONOPLE!$F$14,$M527,BK$13)="",10^12,OFFSET(CRONOPLE!$F$14,$M527,BK$13))))</f>
        <v>1000000000000</v>
      </c>
      <c r="BL527" s="215">
        <f ca="1">IF($D527&lt;&gt;"Serviço",0,IF(AND(AUTOEVENTO="Manual",$M527=1),0,IF(OFFSET(CRONOPLE!$F$14,$M527,BL$13)="",10^12,OFFSET(CRONOPLE!$F$14,$M527,BL$13))))</f>
        <v>1000000000000</v>
      </c>
      <c r="BM527" s="215">
        <f ca="1">IF($D527&lt;&gt;"Serviço",0,IF(AND(AUTOEVENTO="Manual",$M527=1),0,IF(OFFSET(CRONOPLE!$F$14,$M527,BM$13)="",10^12,OFFSET(CRONOPLE!$F$14,$M527,BM$13))))</f>
        <v>1000000000000</v>
      </c>
      <c r="BN527" s="215">
        <f ca="1">IF($D527&lt;&gt;"Serviço",0,IF(AND(AUTOEVENTO="Manual",$M527=1),0,IF(OFFSET(CRONOPLE!$F$14,$M527,BN$13)="",10^12,OFFSET(CRONOPLE!$F$14,$M527,BN$13))))</f>
        <v>1000000000000</v>
      </c>
      <c r="BO527" s="215">
        <f ca="1">IF($D527&lt;&gt;"Serviço",0,IF(AND(AUTOEVENTO="Manual",$M527=1),0,IF(OFFSET(CRONOPLE!$F$14,$M527,BO$13)="",10^12,OFFSET(CRONOPLE!$F$14,$M527,BO$13))))</f>
        <v>1000000000000</v>
      </c>
      <c r="BP527" s="215">
        <f ca="1">IF($D527&lt;&gt;"Serviço",0,IF(AND(AUTOEVENTO="Manual",$M527=1),0,IF(OFFSET(CRONOPLE!$F$14,$M527,BP$13)="",10^12,OFFSET(CRONOPLE!$F$14,$M527,BP$13))))</f>
        <v>1000000000000</v>
      </c>
      <c r="BQ527" s="215">
        <f ca="1">IF($D527&lt;&gt;"Serviço",0,IF(AND(AUTOEVENTO="Manual",$M527=1),0,IF(OFFSET(CRONOPLE!$F$14,$M527,BQ$13)="",10^12,OFFSET(CRONOPLE!$F$14,$M527,BQ$13))))</f>
        <v>1000000000000</v>
      </c>
      <c r="BR527" s="215">
        <f ca="1">IF($D527&lt;&gt;"Serviço",0,IF(AND(AUTOEVENTO="Manual",$M527=1),0,IF(OFFSET(CRONOPLE!$F$14,$M527,BR$13)="",10^12,OFFSET(CRONOPLE!$F$14,$M527,BR$13))))</f>
        <v>1000000000000</v>
      </c>
      <c r="BS527" s="215">
        <f ca="1">IF($D527&lt;&gt;"Serviço",0,IF(AND(AUTOEVENTO="Manual",$M527=1),0,IF(OFFSET(CRONOPLE!$F$14,$M527,BS$13)="",10^12,OFFSET(CRONOPLE!$F$14,$M527,BS$13))))</f>
        <v>1000000000000</v>
      </c>
      <c r="BT527" s="215">
        <f ca="1">IF($D527&lt;&gt;"Serviço",0,IF(AND(AUTOEVENTO="Manual",$M527=1),0,IF(OFFSET(CRONOPLE!$F$14,$M527,BT$13)="",10^12,OFFSET(CRONOPLE!$F$14,$M527,BT$13))))</f>
        <v>1000000000000</v>
      </c>
      <c r="BV527" s="216">
        <f ca="1">IF($D527&lt;&gt;"Serviço",0,IF(OR(AND(AUTOEVENTO="Manual",$M527=1),$M527&gt;(ROW(PLE.lastrow)-ROW(PLE.firstrow))),0,IF(OFFSET(PLE!$G$14,$M527,BV$13)="",10^12,OFFSET(PLE!$G$14,$M527,BV$13))))</f>
        <v>1000000000000</v>
      </c>
      <c r="BW527" s="216">
        <f ca="1">IF($D527&lt;&gt;"Serviço",0,IF(OR(AND(AUTOEVENTO="Manual",$M527=1),$M527&gt;(ROW(PLE.lastrow)-ROW(PLE.firstrow))),0,IF(OFFSET(PLE!$G$14,$M527,BW$13)="",10^12,OFFSET(PLE!$G$14,$M527,BW$13))))</f>
        <v>1000000000000</v>
      </c>
      <c r="BX527" s="216">
        <f ca="1">IF($D527&lt;&gt;"Serviço",0,IF(OR(AND(AUTOEVENTO="Manual",$M527=1),$M527&gt;(ROW(PLE.lastrow)-ROW(PLE.firstrow))),0,IF(OFFSET(PLE!$G$14,$M527,BX$13)="",10^12,OFFSET(PLE!$G$14,$M527,BX$13))))</f>
        <v>1000000000000</v>
      </c>
      <c r="BY527" s="216">
        <f ca="1">IF($D527&lt;&gt;"Serviço",0,IF(OR(AND(AUTOEVENTO="Manual",$M527=1),$M527&gt;(ROW(PLE.lastrow)-ROW(PLE.firstrow))),0,IF(OFFSET(PLE!$G$14,$M527,BY$13)="",10^12,OFFSET(PLE!$G$14,$M527,BY$13))))</f>
        <v>1000000000000</v>
      </c>
      <c r="BZ527" s="216">
        <f ca="1">IF($D527&lt;&gt;"Serviço",0,IF(OR(AND(AUTOEVENTO="Manual",$M527=1),$M527&gt;(ROW(PLE.lastrow)-ROW(PLE.firstrow))),0,IF(OFFSET(PLE!$G$14,$M527,BZ$13)="",10^12,OFFSET(PLE!$G$14,$M527,BZ$13))))</f>
        <v>1000000000000</v>
      </c>
      <c r="CA527" s="216">
        <f ca="1">IF($D527&lt;&gt;"Serviço",0,IF(OR(AND(AUTOEVENTO="Manual",$M527=1),$M527&gt;(ROW(PLE.lastrow)-ROW(PLE.firstrow))),0,IF(OFFSET(PLE!$G$14,$M527,CA$13)="",10^12,OFFSET(PLE!$G$14,$M527,CA$13))))</f>
        <v>1000000000000</v>
      </c>
      <c r="CB527" s="216">
        <f ca="1">IF($D527&lt;&gt;"Serviço",0,IF(OR(AND(AUTOEVENTO="Manual",$M527=1),$M527&gt;(ROW(PLE.lastrow)-ROW(PLE.firstrow))),0,IF(OFFSET(PLE!$G$14,$M527,CB$13)="",10^12,OFFSET(PLE!$G$14,$M527,CB$13))))</f>
        <v>1000000000000</v>
      </c>
      <c r="CC527" s="216">
        <f ca="1">IF($D527&lt;&gt;"Serviço",0,IF(OR(AND(AUTOEVENTO="Manual",$M527=1),$M527&gt;(ROW(PLE.lastrow)-ROW(PLE.firstrow))),0,IF(OFFSET(PLE!$G$14,$M527,CC$13)="",10^12,OFFSET(PLE!$G$14,$M527,CC$13))))</f>
        <v>1000000000000</v>
      </c>
      <c r="CD527" s="216">
        <f ca="1">IF($D527&lt;&gt;"Serviço",0,IF(OR(AND(AUTOEVENTO="Manual",$M527=1),$M527&gt;(ROW(PLE.lastrow)-ROW(PLE.firstrow))),0,IF(OFFSET(PLE!$G$14,$M527,CD$13)="",10^12,OFFSET(PLE!$G$14,$M527,CD$13))))</f>
        <v>1000000000000</v>
      </c>
      <c r="CE527" s="216">
        <f ca="1">IF($D527&lt;&gt;"Serviço",0,IF(OR(AND(AUTOEVENTO="Manual",$M527=1),$M527&gt;(ROW(PLE.lastrow)-ROW(PLE.firstrow))),0,IF(OFFSET(PLE!$G$14,$M527,CE$13)="",10^12,OFFSET(PLE!$G$14,$M527,CE$13))))</f>
        <v>1000000000000</v>
      </c>
      <c r="CF527" s="216">
        <f ca="1">IF($D527&lt;&gt;"Serviço",0,IF(OR(AND(AUTOEVENTO="Manual",$M527=1),$M527&gt;(ROW(PLE.lastrow)-ROW(PLE.firstrow))),0,IF(OFFSET(PLE!$G$14,$M527,CF$13)="",10^12,OFFSET(PLE!$G$14,$M527,CF$13))))</f>
        <v>1000000000000</v>
      </c>
      <c r="CG527" s="216">
        <f ca="1">IF($D527&lt;&gt;"Serviço",0,IF(OR(AND(AUTOEVENTO="Manual",$M527=1),$M527&gt;(ROW(PLE.lastrow)-ROW(PLE.firstrow))),0,IF(OFFSET(PLE!$G$14,$M527,CG$13)="",10^12,OFFSET(PLE!$G$14,$M527,CG$13))))</f>
        <v>1000000000000</v>
      </c>
      <c r="CH527" s="216">
        <f ca="1">IF($D527&lt;&gt;"Serviço",0,IF(OR(AND(AUTOEVENTO="Manual",$M527=1),$M527&gt;(ROW(PLE.lastrow)-ROW(PLE.firstrow))),0,IF(OFFSET(PLE!$G$14,$M527,CH$13)="",10^12,OFFSET(PLE!$G$14,$M527,CH$13))))</f>
        <v>1000000000000</v>
      </c>
      <c r="CI527" s="216">
        <f ca="1">IF($D527&lt;&gt;"Serviço",0,IF(OR(AND(AUTOEVENTO="Manual",$M527=1),$M527&gt;(ROW(PLE.lastrow)-ROW(PLE.firstrow))),0,IF(OFFSET(PLE!$G$14,$M527,CI$13)="",10^12,OFFSET(PLE!$G$14,$M527,CI$13))))</f>
        <v>1000000000000</v>
      </c>
      <c r="CJ527" s="216">
        <f ca="1">IF($D527&lt;&gt;"Serviço",0,IF(OR(AND(AUTOEVENTO="Manual",$M527=1),$M527&gt;(ROW(PLE.lastrow)-ROW(PLE.firstrow))),0,IF(OFFSET(PLE!$G$14,$M527,CJ$13)="",10^12,OFFSET(PLE!$G$14,$M527,CJ$13))))</f>
        <v>1000000000000</v>
      </c>
      <c r="CK527" s="216">
        <f ca="1">IF($D527&lt;&gt;"Serviço",0,IF(OR(AND(AUTOEVENTO="Manual",$M527=1),$M527&gt;(ROW(PLE.lastrow)-ROW(PLE.firstrow))),0,IF(OFFSET(PLE!$G$14,$M527,CK$13)="",10^12,OFFSET(PLE!$G$14,$M527,CK$13))))</f>
        <v>1000000000000</v>
      </c>
      <c r="CL527" s="216">
        <f ca="1">IF($D527&lt;&gt;"Serviço",0,IF(OR(AND(AUTOEVENTO="Manual",$M527=1),$M527&gt;(ROW(PLE.lastrow)-ROW(PLE.firstrow))),0,IF(OFFSET(PLE!$G$14,$M527,CL$13)="",10^12,OFFSET(PLE!$G$14,$M527,CL$13))))</f>
        <v>1000000000000</v>
      </c>
      <c r="CM527" s="216">
        <f ca="1">IF($D527&lt;&gt;"Serviço",0,IF(OR(AND(AUTOEVENTO="Manual",$M527=1),$M527&gt;(ROW(PLE.lastrow)-ROW(PLE.firstrow))),0,IF(OFFSET(PLE!$G$14,$M527,CM$13)="",10^12,OFFSET(PLE!$G$14,$M527,CM$13))))</f>
        <v>1000000000000</v>
      </c>
    </row>
    <row r="528" spans="1:91" ht="13.2" x14ac:dyDescent="0.25">
      <c r="A528" s="9">
        <f t="shared" ca="1" si="17"/>
        <v>0</v>
      </c>
      <c r="B528" s="9">
        <f ca="1">OFFSET(ORÇAMENTO!C$15,ROW(B528)-ROW(B$15),0)</f>
        <v>2</v>
      </c>
      <c r="C528" s="9" t="str">
        <f ca="1">OFFSET(ORÇAMENTO!L$15,ROW(C528)-ROW(C$15),0)</f>
        <v>F</v>
      </c>
      <c r="D528" s="145" t="str">
        <f ca="1">OFFSET(ORÇAMENTO!N$15,ROW(D528)-ROW(D$15),0)</f>
        <v>Nível 2</v>
      </c>
      <c r="E528" s="205" t="str">
        <f ca="1">OFFSET(ORÇAMENTO!O$15,ROW(E528)-ROW(E$15),0)</f>
        <v>1.18.</v>
      </c>
      <c r="F528" s="206" t="str">
        <f ca="1">OFFSET(ORÇAMENTO!R$15,ROW(F528)-ROW(F$15),0)</f>
        <v>INSTALAÇÃO ELÉTRICA - 220V</v>
      </c>
      <c r="G528" s="207" t="str">
        <f ca="1">IF($D528&lt;&gt;"Serviço","",OFFSET(ORÇAMENTO!S$15,ROW(G528)-ROW(G$15),0))</f>
        <v/>
      </c>
      <c r="H528" s="151">
        <f ca="1">IF($D528&lt;&gt;"Serviço",0,IF(ACOMPANHAMENTO="BM",ROUND(OFFSET(ORÇAMENTO!AJ$15,ROW(H528)-ROW(H$15),0),15-13*ORÇAMENTO!$AF$7),SUMPRODUCT(($Q$12:$AI$12&lt;&gt;"")*ROUND($Q528:$AI528,15-13*ORÇAMENTO!$AF$7))))</f>
        <v>0</v>
      </c>
      <c r="I528" s="650"/>
      <c r="K528" s="208"/>
      <c r="L528" s="209" t="s">
        <v>257</v>
      </c>
      <c r="M528" s="210" t="str">
        <f ca="1">IF($D528&lt;&gt;"Serviço","",IF(AUTOEVENTO="manual",$A528,IF(ISERROR(MATCH($A528,$A$15:OFFSET($A528,-1,0),0)),MAX($M$15:OFFSET(M528,-1,0))+1,INDEX($M$15:OFFSET(M528,-1,0),MATCH($A528,$A$15:OFFSET($A528,-1,0),0)))))</f>
        <v/>
      </c>
      <c r="N528" s="211" t="str">
        <f ca="1">IF($D528&lt;&gt;"Serviço","",IF(AUTOEVENTO="Manual",IF($A528=0,"&lt;-- defina o número do agrupador",OFFSET(EVENTOS!$D$14,$A528,0)),OFFSET($F$15,$A528,0)))</f>
        <v/>
      </c>
      <c r="O528" s="212"/>
      <c r="Q528" s="212"/>
      <c r="R528" s="213"/>
      <c r="S528" s="213"/>
      <c r="T528" s="213"/>
      <c r="U528" s="213"/>
      <c r="V528" s="213"/>
      <c r="W528" s="213"/>
      <c r="X528" s="213"/>
      <c r="Y528" s="213"/>
      <c r="Z528" s="214"/>
      <c r="AA528" s="213"/>
      <c r="AB528" s="213"/>
      <c r="AC528" s="213"/>
      <c r="AD528" s="213"/>
      <c r="AE528" s="213"/>
      <c r="AF528" s="213"/>
      <c r="AG528" s="213"/>
      <c r="AH528" s="214"/>
      <c r="AJ528" s="631">
        <f ca="1">IF(AND($D528="Serviço",AJ$12&lt;&gt;0,$H528&gt;0,OR(AUTOEVENTO&lt;&gt;"manual",$M528&lt;&gt;1)),ROUND(OFFSET($P528,0,AJ$13),15-13*ORÇAMENTO!$AF$7)/$H528*OFFSET(ORÇAMENTO!$X$15,ROW(AJ528)-ROW(AJ$15),0),0)</f>
        <v>0</v>
      </c>
      <c r="AK528" s="632">
        <f ca="1">IF(AND($D528="Serviço",AK$12&lt;&gt;0,$H528&gt;0,OR(AUTOEVENTO&lt;&gt;"manual",$M528&lt;&gt;1)),ROUND(OFFSET($P528,0,AK$13),15-13*ORÇAMENTO!$AF$7)/$H528*OFFSET(ORÇAMENTO!$X$15,ROW(AK528)-ROW(AK$15),0),0)</f>
        <v>0</v>
      </c>
      <c r="AL528" s="632">
        <f ca="1">IF(AND($D528="Serviço",AL$12&lt;&gt;0,$H528&gt;0,OR(AUTOEVENTO&lt;&gt;"manual",$M528&lt;&gt;1)),ROUND(OFFSET($P528,0,AL$13),15-13*ORÇAMENTO!$AF$7)/$H528*OFFSET(ORÇAMENTO!$X$15,ROW(AL528)-ROW(AL$15),0),0)</f>
        <v>0</v>
      </c>
      <c r="AM528" s="632">
        <f ca="1">IF(AND($D528="Serviço",AM$12&lt;&gt;0,$H528&gt;0,OR(AUTOEVENTO&lt;&gt;"manual",$M528&lt;&gt;1)),ROUND(OFFSET($P528,0,AM$13),15-13*ORÇAMENTO!$AF$7)/$H528*OFFSET(ORÇAMENTO!$X$15,ROW(AM528)-ROW(AM$15),0),0)</f>
        <v>0</v>
      </c>
      <c r="AN528" s="632">
        <f ca="1">IF(AND($D528="Serviço",AN$12&lt;&gt;0,$H528&gt;0,OR(AUTOEVENTO&lt;&gt;"manual",$M528&lt;&gt;1)),ROUND(OFFSET($P528,0,AN$13),15-13*ORÇAMENTO!$AF$7)/$H528*OFFSET(ORÇAMENTO!$X$15,ROW(AN528)-ROW(AN$15),0),0)</f>
        <v>0</v>
      </c>
      <c r="AO528" s="632">
        <f ca="1">IF(AND($D528="Serviço",AO$12&lt;&gt;0,$H528&gt;0,OR(AUTOEVENTO&lt;&gt;"manual",$M528&lt;&gt;1)),ROUND(OFFSET($P528,0,AO$13),15-13*ORÇAMENTO!$AF$7)/$H528*OFFSET(ORÇAMENTO!$X$15,ROW(AO528)-ROW(AO$15),0),0)</f>
        <v>0</v>
      </c>
      <c r="AP528" s="632">
        <f ca="1">IF(AND($D528="Serviço",AP$12&lt;&gt;0,$H528&gt;0,OR(AUTOEVENTO&lt;&gt;"manual",$M528&lt;&gt;1)),ROUND(OFFSET($P528,0,AP$13),15-13*ORÇAMENTO!$AF$7)/$H528*OFFSET(ORÇAMENTO!$X$15,ROW(AP528)-ROW(AP$15),0),0)</f>
        <v>0</v>
      </c>
      <c r="AQ528" s="632">
        <f ca="1">IF(AND($D528="Serviço",AQ$12&lt;&gt;0,$H528&gt;0,OR(AUTOEVENTO&lt;&gt;"manual",$M528&lt;&gt;1)),ROUND(OFFSET($P528,0,AQ$13),15-13*ORÇAMENTO!$AF$7)/$H528*OFFSET(ORÇAMENTO!$X$15,ROW(AQ528)-ROW(AQ$15),0),0)</f>
        <v>0</v>
      </c>
      <c r="AR528" s="632">
        <f ca="1">IF(AND($D528="Serviço",AR$12&lt;&gt;0,$H528&gt;0,OR(AUTOEVENTO&lt;&gt;"manual",$M528&lt;&gt;1)),ROUND(OFFSET($P528,0,AR$13),15-13*ORÇAMENTO!$AF$7)/$H528*OFFSET(ORÇAMENTO!$X$15,ROW(AR528)-ROW(AR$15),0),0)</f>
        <v>0</v>
      </c>
      <c r="AS528" s="633">
        <f ca="1">IF(AND($D528="Serviço",AS$12&lt;&gt;0,$H528&gt;0,OR(AUTOEVENTO&lt;&gt;"manual",$M528&lt;&gt;1)),ROUND(OFFSET($P528,0,AS$13),15-13*ORÇAMENTO!$AF$7)/$H528*OFFSET(ORÇAMENTO!$X$15,ROW(AS528)-ROW(AS$15),0),0)</f>
        <v>0</v>
      </c>
      <c r="AT528" s="632">
        <f ca="1">IF(AND($D528="Serviço",AT$12&lt;&gt;0,$H528&gt;0,OR(AUTOEVENTO&lt;&gt;"manual",$M528&lt;&gt;1)),ROUND(OFFSET($P528,0,AT$13),15-13*ORÇAMENTO!$AF$7)/$H528*OFFSET(ORÇAMENTO!$X$15,ROW(AT528)-ROW(AT$15),0),0)</f>
        <v>0</v>
      </c>
      <c r="AU528" s="632">
        <f ca="1">IF(AND($D528="Serviço",AU$12&lt;&gt;0,$H528&gt;0,OR(AUTOEVENTO&lt;&gt;"manual",$M528&lt;&gt;1)),ROUND(OFFSET($P528,0,AU$13),15-13*ORÇAMENTO!$AF$7)/$H528*OFFSET(ORÇAMENTO!$X$15,ROW(AU528)-ROW(AU$15),0),0)</f>
        <v>0</v>
      </c>
      <c r="AV528" s="632">
        <f ca="1">IF(AND($D528="Serviço",AV$12&lt;&gt;0,$H528&gt;0,OR(AUTOEVENTO&lt;&gt;"manual",$M528&lt;&gt;1)),ROUND(OFFSET($P528,0,AV$13),15-13*ORÇAMENTO!$AF$7)/$H528*OFFSET(ORÇAMENTO!$X$15,ROW(AV528)-ROW(AV$15),0),0)</f>
        <v>0</v>
      </c>
      <c r="AW528" s="632">
        <f ca="1">IF(AND($D528="Serviço",AW$12&lt;&gt;0,$H528&gt;0,OR(AUTOEVENTO&lt;&gt;"manual",$M528&lt;&gt;1)),ROUND(OFFSET($P528,0,AW$13),15-13*ORÇAMENTO!$AF$7)/$H528*OFFSET(ORÇAMENTO!$X$15,ROW(AW528)-ROW(AW$15),0),0)</f>
        <v>0</v>
      </c>
      <c r="AX528" s="632">
        <f ca="1">IF(AND($D528="Serviço",AX$12&lt;&gt;0,$H528&gt;0,OR(AUTOEVENTO&lt;&gt;"manual",$M528&lt;&gt;1)),ROUND(OFFSET($P528,0,AX$13),15-13*ORÇAMENTO!$AF$7)/$H528*OFFSET(ORÇAMENTO!$X$15,ROW(AX528)-ROW(AX$15),0),0)</f>
        <v>0</v>
      </c>
      <c r="AY528" s="632">
        <f ca="1">IF(AND($D528="Serviço",AY$12&lt;&gt;0,$H528&gt;0,OR(AUTOEVENTO&lt;&gt;"manual",$M528&lt;&gt;1)),ROUND(OFFSET($P528,0,AY$13),15-13*ORÇAMENTO!$AF$7)/$H528*OFFSET(ORÇAMENTO!$X$15,ROW(AY528)-ROW(AY$15),0),0)</f>
        <v>0</v>
      </c>
      <c r="AZ528" s="632">
        <f ca="1">IF(AND($D528="Serviço",AZ$12&lt;&gt;0,$H528&gt;0,OR(AUTOEVENTO&lt;&gt;"manual",$M528&lt;&gt;1)),ROUND(OFFSET($P528,0,AZ$13),15-13*ORÇAMENTO!$AF$7)/$H528*OFFSET(ORÇAMENTO!$X$15,ROW(AZ528)-ROW(AZ$15),0),0)</f>
        <v>0</v>
      </c>
      <c r="BA528" s="633">
        <f ca="1">IF(AND($D528="Serviço",BA$12&lt;&gt;0,$H528&gt;0,OR(AUTOEVENTO&lt;&gt;"manual",$M528&lt;&gt;1)),ROUND(OFFSET($P528,0,BA$13),15-13*ORÇAMENTO!$AF$7)/$H528*OFFSET(ORÇAMENTO!$X$15,ROW(BA528)-ROW(BA$15),0),0)</f>
        <v>0</v>
      </c>
      <c r="BC528" s="215">
        <f ca="1">IF($D528&lt;&gt;"Serviço",0,IF(AND(AUTOEVENTO="Manual",$M528=1),0,IF(OFFSET(CRONOPLE!$F$14,$M528,BC$13)="",10^12,OFFSET(CRONOPLE!$F$14,$M528,BC$13))))</f>
        <v>0</v>
      </c>
      <c r="BD528" s="215">
        <f ca="1">IF($D528&lt;&gt;"Serviço",0,IF(AND(AUTOEVENTO="Manual",$M528=1),0,IF(OFFSET(CRONOPLE!$F$14,$M528,BD$13)="",10^12,OFFSET(CRONOPLE!$F$14,$M528,BD$13))))</f>
        <v>0</v>
      </c>
      <c r="BE528" s="215">
        <f ca="1">IF($D528&lt;&gt;"Serviço",0,IF(AND(AUTOEVENTO="Manual",$M528=1),0,IF(OFFSET(CRONOPLE!$F$14,$M528,BE$13)="",10^12,OFFSET(CRONOPLE!$F$14,$M528,BE$13))))</f>
        <v>0</v>
      </c>
      <c r="BF528" s="215">
        <f ca="1">IF($D528&lt;&gt;"Serviço",0,IF(AND(AUTOEVENTO="Manual",$M528=1),0,IF(OFFSET(CRONOPLE!$F$14,$M528,BF$13)="",10^12,OFFSET(CRONOPLE!$F$14,$M528,BF$13))))</f>
        <v>0</v>
      </c>
      <c r="BG528" s="215">
        <f ca="1">IF($D528&lt;&gt;"Serviço",0,IF(AND(AUTOEVENTO="Manual",$M528=1),0,IF(OFFSET(CRONOPLE!$F$14,$M528,BG$13)="",10^12,OFFSET(CRONOPLE!$F$14,$M528,BG$13))))</f>
        <v>0</v>
      </c>
      <c r="BH528" s="215">
        <f ca="1">IF($D528&lt;&gt;"Serviço",0,IF(AND(AUTOEVENTO="Manual",$M528=1),0,IF(OFFSET(CRONOPLE!$F$14,$M528,BH$13)="",10^12,OFFSET(CRONOPLE!$F$14,$M528,BH$13))))</f>
        <v>0</v>
      </c>
      <c r="BI528" s="215">
        <f ca="1">IF($D528&lt;&gt;"Serviço",0,IF(AND(AUTOEVENTO="Manual",$M528=1),0,IF(OFFSET(CRONOPLE!$F$14,$M528,BI$13)="",10^12,OFFSET(CRONOPLE!$F$14,$M528,BI$13))))</f>
        <v>0</v>
      </c>
      <c r="BJ528" s="215">
        <f ca="1">IF($D528&lt;&gt;"Serviço",0,IF(AND(AUTOEVENTO="Manual",$M528=1),0,IF(OFFSET(CRONOPLE!$F$14,$M528,BJ$13)="",10^12,OFFSET(CRONOPLE!$F$14,$M528,BJ$13))))</f>
        <v>0</v>
      </c>
      <c r="BK528" s="215">
        <f ca="1">IF($D528&lt;&gt;"Serviço",0,IF(AND(AUTOEVENTO="Manual",$M528=1),0,IF(OFFSET(CRONOPLE!$F$14,$M528,BK$13)="",10^12,OFFSET(CRONOPLE!$F$14,$M528,BK$13))))</f>
        <v>0</v>
      </c>
      <c r="BL528" s="215">
        <f ca="1">IF($D528&lt;&gt;"Serviço",0,IF(AND(AUTOEVENTO="Manual",$M528=1),0,IF(OFFSET(CRONOPLE!$F$14,$M528,BL$13)="",10^12,OFFSET(CRONOPLE!$F$14,$M528,BL$13))))</f>
        <v>0</v>
      </c>
      <c r="BM528" s="215">
        <f ca="1">IF($D528&lt;&gt;"Serviço",0,IF(AND(AUTOEVENTO="Manual",$M528=1),0,IF(OFFSET(CRONOPLE!$F$14,$M528,BM$13)="",10^12,OFFSET(CRONOPLE!$F$14,$M528,BM$13))))</f>
        <v>0</v>
      </c>
      <c r="BN528" s="215">
        <f ca="1">IF($D528&lt;&gt;"Serviço",0,IF(AND(AUTOEVENTO="Manual",$M528=1),0,IF(OFFSET(CRONOPLE!$F$14,$M528,BN$13)="",10^12,OFFSET(CRONOPLE!$F$14,$M528,BN$13))))</f>
        <v>0</v>
      </c>
      <c r="BO528" s="215">
        <f ca="1">IF($D528&lt;&gt;"Serviço",0,IF(AND(AUTOEVENTO="Manual",$M528=1),0,IF(OFFSET(CRONOPLE!$F$14,$M528,BO$13)="",10^12,OFFSET(CRONOPLE!$F$14,$M528,BO$13))))</f>
        <v>0</v>
      </c>
      <c r="BP528" s="215">
        <f ca="1">IF($D528&lt;&gt;"Serviço",0,IF(AND(AUTOEVENTO="Manual",$M528=1),0,IF(OFFSET(CRONOPLE!$F$14,$M528,BP$13)="",10^12,OFFSET(CRONOPLE!$F$14,$M528,BP$13))))</f>
        <v>0</v>
      </c>
      <c r="BQ528" s="215">
        <f ca="1">IF($D528&lt;&gt;"Serviço",0,IF(AND(AUTOEVENTO="Manual",$M528=1),0,IF(OFFSET(CRONOPLE!$F$14,$M528,BQ$13)="",10^12,OFFSET(CRONOPLE!$F$14,$M528,BQ$13))))</f>
        <v>0</v>
      </c>
      <c r="BR528" s="215">
        <f ca="1">IF($D528&lt;&gt;"Serviço",0,IF(AND(AUTOEVENTO="Manual",$M528=1),0,IF(OFFSET(CRONOPLE!$F$14,$M528,BR$13)="",10^12,OFFSET(CRONOPLE!$F$14,$M528,BR$13))))</f>
        <v>0</v>
      </c>
      <c r="BS528" s="215">
        <f ca="1">IF($D528&lt;&gt;"Serviço",0,IF(AND(AUTOEVENTO="Manual",$M528=1),0,IF(OFFSET(CRONOPLE!$F$14,$M528,BS$13)="",10^12,OFFSET(CRONOPLE!$F$14,$M528,BS$13))))</f>
        <v>0</v>
      </c>
      <c r="BT528" s="215">
        <f ca="1">IF($D528&lt;&gt;"Serviço",0,IF(AND(AUTOEVENTO="Manual",$M528=1),0,IF(OFFSET(CRONOPLE!$F$14,$M528,BT$13)="",10^12,OFFSET(CRONOPLE!$F$14,$M528,BT$13))))</f>
        <v>0</v>
      </c>
      <c r="BV528" s="216">
        <f ca="1">IF($D528&lt;&gt;"Serviço",0,IF(OR(AND(AUTOEVENTO="Manual",$M528=1),$M528&gt;(ROW(PLE.lastrow)-ROW(PLE.firstrow))),0,IF(OFFSET(PLE!$G$14,$M528,BV$13)="",10^12,OFFSET(PLE!$G$14,$M528,BV$13))))</f>
        <v>0</v>
      </c>
      <c r="BW528" s="216">
        <f ca="1">IF($D528&lt;&gt;"Serviço",0,IF(OR(AND(AUTOEVENTO="Manual",$M528=1),$M528&gt;(ROW(PLE.lastrow)-ROW(PLE.firstrow))),0,IF(OFFSET(PLE!$G$14,$M528,BW$13)="",10^12,OFFSET(PLE!$G$14,$M528,BW$13))))</f>
        <v>0</v>
      </c>
      <c r="BX528" s="216">
        <f ca="1">IF($D528&lt;&gt;"Serviço",0,IF(OR(AND(AUTOEVENTO="Manual",$M528=1),$M528&gt;(ROW(PLE.lastrow)-ROW(PLE.firstrow))),0,IF(OFFSET(PLE!$G$14,$M528,BX$13)="",10^12,OFFSET(PLE!$G$14,$M528,BX$13))))</f>
        <v>0</v>
      </c>
      <c r="BY528" s="216">
        <f ca="1">IF($D528&lt;&gt;"Serviço",0,IF(OR(AND(AUTOEVENTO="Manual",$M528=1),$M528&gt;(ROW(PLE.lastrow)-ROW(PLE.firstrow))),0,IF(OFFSET(PLE!$G$14,$M528,BY$13)="",10^12,OFFSET(PLE!$G$14,$M528,BY$13))))</f>
        <v>0</v>
      </c>
      <c r="BZ528" s="216">
        <f ca="1">IF($D528&lt;&gt;"Serviço",0,IF(OR(AND(AUTOEVENTO="Manual",$M528=1),$M528&gt;(ROW(PLE.lastrow)-ROW(PLE.firstrow))),0,IF(OFFSET(PLE!$G$14,$M528,BZ$13)="",10^12,OFFSET(PLE!$G$14,$M528,BZ$13))))</f>
        <v>0</v>
      </c>
      <c r="CA528" s="216">
        <f ca="1">IF($D528&lt;&gt;"Serviço",0,IF(OR(AND(AUTOEVENTO="Manual",$M528=1),$M528&gt;(ROW(PLE.lastrow)-ROW(PLE.firstrow))),0,IF(OFFSET(PLE!$G$14,$M528,CA$13)="",10^12,OFFSET(PLE!$G$14,$M528,CA$13))))</f>
        <v>0</v>
      </c>
      <c r="CB528" s="216">
        <f ca="1">IF($D528&lt;&gt;"Serviço",0,IF(OR(AND(AUTOEVENTO="Manual",$M528=1),$M528&gt;(ROW(PLE.lastrow)-ROW(PLE.firstrow))),0,IF(OFFSET(PLE!$G$14,$M528,CB$13)="",10^12,OFFSET(PLE!$G$14,$M528,CB$13))))</f>
        <v>0</v>
      </c>
      <c r="CC528" s="216">
        <f ca="1">IF($D528&lt;&gt;"Serviço",0,IF(OR(AND(AUTOEVENTO="Manual",$M528=1),$M528&gt;(ROW(PLE.lastrow)-ROW(PLE.firstrow))),0,IF(OFFSET(PLE!$G$14,$M528,CC$13)="",10^12,OFFSET(PLE!$G$14,$M528,CC$13))))</f>
        <v>0</v>
      </c>
      <c r="CD528" s="216">
        <f ca="1">IF($D528&lt;&gt;"Serviço",0,IF(OR(AND(AUTOEVENTO="Manual",$M528=1),$M528&gt;(ROW(PLE.lastrow)-ROW(PLE.firstrow))),0,IF(OFFSET(PLE!$G$14,$M528,CD$13)="",10^12,OFFSET(PLE!$G$14,$M528,CD$13))))</f>
        <v>0</v>
      </c>
      <c r="CE528" s="216">
        <f ca="1">IF($D528&lt;&gt;"Serviço",0,IF(OR(AND(AUTOEVENTO="Manual",$M528=1),$M528&gt;(ROW(PLE.lastrow)-ROW(PLE.firstrow))),0,IF(OFFSET(PLE!$G$14,$M528,CE$13)="",10^12,OFFSET(PLE!$G$14,$M528,CE$13))))</f>
        <v>0</v>
      </c>
      <c r="CF528" s="216">
        <f ca="1">IF($D528&lt;&gt;"Serviço",0,IF(OR(AND(AUTOEVENTO="Manual",$M528=1),$M528&gt;(ROW(PLE.lastrow)-ROW(PLE.firstrow))),0,IF(OFFSET(PLE!$G$14,$M528,CF$13)="",10^12,OFFSET(PLE!$G$14,$M528,CF$13))))</f>
        <v>0</v>
      </c>
      <c r="CG528" s="216">
        <f ca="1">IF($D528&lt;&gt;"Serviço",0,IF(OR(AND(AUTOEVENTO="Manual",$M528=1),$M528&gt;(ROW(PLE.lastrow)-ROW(PLE.firstrow))),0,IF(OFFSET(PLE!$G$14,$M528,CG$13)="",10^12,OFFSET(PLE!$G$14,$M528,CG$13))))</f>
        <v>0</v>
      </c>
      <c r="CH528" s="216">
        <f ca="1">IF($D528&lt;&gt;"Serviço",0,IF(OR(AND(AUTOEVENTO="Manual",$M528=1),$M528&gt;(ROW(PLE.lastrow)-ROW(PLE.firstrow))),0,IF(OFFSET(PLE!$G$14,$M528,CH$13)="",10^12,OFFSET(PLE!$G$14,$M528,CH$13))))</f>
        <v>0</v>
      </c>
      <c r="CI528" s="216">
        <f ca="1">IF($D528&lt;&gt;"Serviço",0,IF(OR(AND(AUTOEVENTO="Manual",$M528=1),$M528&gt;(ROW(PLE.lastrow)-ROW(PLE.firstrow))),0,IF(OFFSET(PLE!$G$14,$M528,CI$13)="",10^12,OFFSET(PLE!$G$14,$M528,CI$13))))</f>
        <v>0</v>
      </c>
      <c r="CJ528" s="216">
        <f ca="1">IF($D528&lt;&gt;"Serviço",0,IF(OR(AND(AUTOEVENTO="Manual",$M528=1),$M528&gt;(ROW(PLE.lastrow)-ROW(PLE.firstrow))),0,IF(OFFSET(PLE!$G$14,$M528,CJ$13)="",10^12,OFFSET(PLE!$G$14,$M528,CJ$13))))</f>
        <v>0</v>
      </c>
      <c r="CK528" s="216">
        <f ca="1">IF($D528&lt;&gt;"Serviço",0,IF(OR(AND(AUTOEVENTO="Manual",$M528=1),$M528&gt;(ROW(PLE.lastrow)-ROW(PLE.firstrow))),0,IF(OFFSET(PLE!$G$14,$M528,CK$13)="",10^12,OFFSET(PLE!$G$14,$M528,CK$13))))</f>
        <v>0</v>
      </c>
      <c r="CL528" s="216">
        <f ca="1">IF($D528&lt;&gt;"Serviço",0,IF(OR(AND(AUTOEVENTO="Manual",$M528=1),$M528&gt;(ROW(PLE.lastrow)-ROW(PLE.firstrow))),0,IF(OFFSET(PLE!$G$14,$M528,CL$13)="",10^12,OFFSET(PLE!$G$14,$M528,CL$13))))</f>
        <v>0</v>
      </c>
      <c r="CM528" s="216">
        <f ca="1">IF($D528&lt;&gt;"Serviço",0,IF(OR(AND(AUTOEVENTO="Manual",$M528=1),$M528&gt;(ROW(PLE.lastrow)-ROW(PLE.firstrow))),0,IF(OFFSET(PLE!$G$14,$M528,CM$13)="",10^12,OFFSET(PLE!$G$14,$M528,CM$13))))</f>
        <v>0</v>
      </c>
    </row>
    <row r="529" spans="1:91" ht="13.2" x14ac:dyDescent="0.25">
      <c r="A529" s="9">
        <f t="shared" ca="1" si="17"/>
        <v>0</v>
      </c>
      <c r="B529" s="9">
        <f ca="1">OFFSET(ORÇAMENTO!C$15,ROW(B529)-ROW(B$15),0)</f>
        <v>3</v>
      </c>
      <c r="C529" s="9" t="str">
        <f ca="1">OFFSET(ORÇAMENTO!L$15,ROW(C529)-ROW(C$15),0)</f>
        <v>F</v>
      </c>
      <c r="D529" s="145" t="str">
        <f ca="1">OFFSET(ORÇAMENTO!N$15,ROW(D529)-ROW(D$15),0)</f>
        <v>Nível 3</v>
      </c>
      <c r="E529" s="205" t="str">
        <f ca="1">OFFSET(ORÇAMENTO!O$15,ROW(E529)-ROW(E$15),0)</f>
        <v>1.18.1.</v>
      </c>
      <c r="F529" s="206" t="str">
        <f ca="1">OFFSET(ORÇAMENTO!R$15,ROW(F529)-ROW(F$15),0)</f>
        <v>CENTRO DE DISTRIBUIÇÃO</v>
      </c>
      <c r="G529" s="207" t="str">
        <f ca="1">IF($D529&lt;&gt;"Serviço","",OFFSET(ORÇAMENTO!S$15,ROW(G529)-ROW(G$15),0))</f>
        <v/>
      </c>
      <c r="H529" s="151">
        <f ca="1">IF($D529&lt;&gt;"Serviço",0,IF(ACOMPANHAMENTO="BM",ROUND(OFFSET(ORÇAMENTO!AJ$15,ROW(H529)-ROW(H$15),0),15-13*ORÇAMENTO!$AF$7),SUMPRODUCT(($Q$12:$AI$12&lt;&gt;"")*ROUND($Q529:$AI529,15-13*ORÇAMENTO!$AF$7))))</f>
        <v>0</v>
      </c>
      <c r="I529" s="650"/>
      <c r="K529" s="208"/>
      <c r="L529" s="209" t="s">
        <v>257</v>
      </c>
      <c r="M529" s="210" t="str">
        <f ca="1">IF($D529&lt;&gt;"Serviço","",IF(AUTOEVENTO="manual",$A529,IF(ISERROR(MATCH($A529,$A$15:OFFSET($A529,-1,0),0)),MAX($M$15:OFFSET(M529,-1,0))+1,INDEX($M$15:OFFSET(M529,-1,0),MATCH($A529,$A$15:OFFSET($A529,-1,0),0)))))</f>
        <v/>
      </c>
      <c r="N529" s="211" t="str">
        <f ca="1">IF($D529&lt;&gt;"Serviço","",IF(AUTOEVENTO="Manual",IF($A529=0,"&lt;-- defina o número do agrupador",OFFSET(EVENTOS!$D$14,$A529,0)),OFFSET($F$15,$A529,0)))</f>
        <v/>
      </c>
      <c r="O529" s="212"/>
      <c r="Q529" s="212"/>
      <c r="R529" s="213"/>
      <c r="S529" s="213"/>
      <c r="T529" s="213"/>
      <c r="U529" s="213"/>
      <c r="V529" s="213"/>
      <c r="W529" s="213"/>
      <c r="X529" s="213"/>
      <c r="Y529" s="213"/>
      <c r="Z529" s="214"/>
      <c r="AA529" s="213"/>
      <c r="AB529" s="213"/>
      <c r="AC529" s="213"/>
      <c r="AD529" s="213"/>
      <c r="AE529" s="213"/>
      <c r="AF529" s="213"/>
      <c r="AG529" s="213"/>
      <c r="AH529" s="214"/>
      <c r="AJ529" s="631">
        <f ca="1">IF(AND($D529="Serviço",AJ$12&lt;&gt;0,$H529&gt;0,OR(AUTOEVENTO&lt;&gt;"manual",$M529&lt;&gt;1)),ROUND(OFFSET($P529,0,AJ$13),15-13*ORÇAMENTO!$AF$7)/$H529*OFFSET(ORÇAMENTO!$X$15,ROW(AJ529)-ROW(AJ$15),0),0)</f>
        <v>0</v>
      </c>
      <c r="AK529" s="632">
        <f ca="1">IF(AND($D529="Serviço",AK$12&lt;&gt;0,$H529&gt;0,OR(AUTOEVENTO&lt;&gt;"manual",$M529&lt;&gt;1)),ROUND(OFFSET($P529,0,AK$13),15-13*ORÇAMENTO!$AF$7)/$H529*OFFSET(ORÇAMENTO!$X$15,ROW(AK529)-ROW(AK$15),0),0)</f>
        <v>0</v>
      </c>
      <c r="AL529" s="632">
        <f ca="1">IF(AND($D529="Serviço",AL$12&lt;&gt;0,$H529&gt;0,OR(AUTOEVENTO&lt;&gt;"manual",$M529&lt;&gt;1)),ROUND(OFFSET($P529,0,AL$13),15-13*ORÇAMENTO!$AF$7)/$H529*OFFSET(ORÇAMENTO!$X$15,ROW(AL529)-ROW(AL$15),0),0)</f>
        <v>0</v>
      </c>
      <c r="AM529" s="632">
        <f ca="1">IF(AND($D529="Serviço",AM$12&lt;&gt;0,$H529&gt;0,OR(AUTOEVENTO&lt;&gt;"manual",$M529&lt;&gt;1)),ROUND(OFFSET($P529,0,AM$13),15-13*ORÇAMENTO!$AF$7)/$H529*OFFSET(ORÇAMENTO!$X$15,ROW(AM529)-ROW(AM$15),0),0)</f>
        <v>0</v>
      </c>
      <c r="AN529" s="632">
        <f ca="1">IF(AND($D529="Serviço",AN$12&lt;&gt;0,$H529&gt;0,OR(AUTOEVENTO&lt;&gt;"manual",$M529&lt;&gt;1)),ROUND(OFFSET($P529,0,AN$13),15-13*ORÇAMENTO!$AF$7)/$H529*OFFSET(ORÇAMENTO!$X$15,ROW(AN529)-ROW(AN$15),0),0)</f>
        <v>0</v>
      </c>
      <c r="AO529" s="632">
        <f ca="1">IF(AND($D529="Serviço",AO$12&lt;&gt;0,$H529&gt;0,OR(AUTOEVENTO&lt;&gt;"manual",$M529&lt;&gt;1)),ROUND(OFFSET($P529,0,AO$13),15-13*ORÇAMENTO!$AF$7)/$H529*OFFSET(ORÇAMENTO!$X$15,ROW(AO529)-ROW(AO$15),0),0)</f>
        <v>0</v>
      </c>
      <c r="AP529" s="632">
        <f ca="1">IF(AND($D529="Serviço",AP$12&lt;&gt;0,$H529&gt;0,OR(AUTOEVENTO&lt;&gt;"manual",$M529&lt;&gt;1)),ROUND(OFFSET($P529,0,AP$13),15-13*ORÇAMENTO!$AF$7)/$H529*OFFSET(ORÇAMENTO!$X$15,ROW(AP529)-ROW(AP$15),0),0)</f>
        <v>0</v>
      </c>
      <c r="AQ529" s="632">
        <f ca="1">IF(AND($D529="Serviço",AQ$12&lt;&gt;0,$H529&gt;0,OR(AUTOEVENTO&lt;&gt;"manual",$M529&lt;&gt;1)),ROUND(OFFSET($P529,0,AQ$13),15-13*ORÇAMENTO!$AF$7)/$H529*OFFSET(ORÇAMENTO!$X$15,ROW(AQ529)-ROW(AQ$15),0),0)</f>
        <v>0</v>
      </c>
      <c r="AR529" s="632">
        <f ca="1">IF(AND($D529="Serviço",AR$12&lt;&gt;0,$H529&gt;0,OR(AUTOEVENTO&lt;&gt;"manual",$M529&lt;&gt;1)),ROUND(OFFSET($P529,0,AR$13),15-13*ORÇAMENTO!$AF$7)/$H529*OFFSET(ORÇAMENTO!$X$15,ROW(AR529)-ROW(AR$15),0),0)</f>
        <v>0</v>
      </c>
      <c r="AS529" s="633">
        <f ca="1">IF(AND($D529="Serviço",AS$12&lt;&gt;0,$H529&gt;0,OR(AUTOEVENTO&lt;&gt;"manual",$M529&lt;&gt;1)),ROUND(OFFSET($P529,0,AS$13),15-13*ORÇAMENTO!$AF$7)/$H529*OFFSET(ORÇAMENTO!$X$15,ROW(AS529)-ROW(AS$15),0),0)</f>
        <v>0</v>
      </c>
      <c r="AT529" s="632">
        <f ca="1">IF(AND($D529="Serviço",AT$12&lt;&gt;0,$H529&gt;0,OR(AUTOEVENTO&lt;&gt;"manual",$M529&lt;&gt;1)),ROUND(OFFSET($P529,0,AT$13),15-13*ORÇAMENTO!$AF$7)/$H529*OFFSET(ORÇAMENTO!$X$15,ROW(AT529)-ROW(AT$15),0),0)</f>
        <v>0</v>
      </c>
      <c r="AU529" s="632">
        <f ca="1">IF(AND($D529="Serviço",AU$12&lt;&gt;0,$H529&gt;0,OR(AUTOEVENTO&lt;&gt;"manual",$M529&lt;&gt;1)),ROUND(OFFSET($P529,0,AU$13),15-13*ORÇAMENTO!$AF$7)/$H529*OFFSET(ORÇAMENTO!$X$15,ROW(AU529)-ROW(AU$15),0),0)</f>
        <v>0</v>
      </c>
      <c r="AV529" s="632">
        <f ca="1">IF(AND($D529="Serviço",AV$12&lt;&gt;0,$H529&gt;0,OR(AUTOEVENTO&lt;&gt;"manual",$M529&lt;&gt;1)),ROUND(OFFSET($P529,0,AV$13),15-13*ORÇAMENTO!$AF$7)/$H529*OFFSET(ORÇAMENTO!$X$15,ROW(AV529)-ROW(AV$15),0),0)</f>
        <v>0</v>
      </c>
      <c r="AW529" s="632">
        <f ca="1">IF(AND($D529="Serviço",AW$12&lt;&gt;0,$H529&gt;0,OR(AUTOEVENTO&lt;&gt;"manual",$M529&lt;&gt;1)),ROUND(OFFSET($P529,0,AW$13),15-13*ORÇAMENTO!$AF$7)/$H529*OFFSET(ORÇAMENTO!$X$15,ROW(AW529)-ROW(AW$15),0),0)</f>
        <v>0</v>
      </c>
      <c r="AX529" s="632">
        <f ca="1">IF(AND($D529="Serviço",AX$12&lt;&gt;0,$H529&gt;0,OR(AUTOEVENTO&lt;&gt;"manual",$M529&lt;&gt;1)),ROUND(OFFSET($P529,0,AX$13),15-13*ORÇAMENTO!$AF$7)/$H529*OFFSET(ORÇAMENTO!$X$15,ROW(AX529)-ROW(AX$15),0),0)</f>
        <v>0</v>
      </c>
      <c r="AY529" s="632">
        <f ca="1">IF(AND($D529="Serviço",AY$12&lt;&gt;0,$H529&gt;0,OR(AUTOEVENTO&lt;&gt;"manual",$M529&lt;&gt;1)),ROUND(OFFSET($P529,0,AY$13),15-13*ORÇAMENTO!$AF$7)/$H529*OFFSET(ORÇAMENTO!$X$15,ROW(AY529)-ROW(AY$15),0),0)</f>
        <v>0</v>
      </c>
      <c r="AZ529" s="632">
        <f ca="1">IF(AND($D529="Serviço",AZ$12&lt;&gt;0,$H529&gt;0,OR(AUTOEVENTO&lt;&gt;"manual",$M529&lt;&gt;1)),ROUND(OFFSET($P529,0,AZ$13),15-13*ORÇAMENTO!$AF$7)/$H529*OFFSET(ORÇAMENTO!$X$15,ROW(AZ529)-ROW(AZ$15),0),0)</f>
        <v>0</v>
      </c>
      <c r="BA529" s="633">
        <f ca="1">IF(AND($D529="Serviço",BA$12&lt;&gt;0,$H529&gt;0,OR(AUTOEVENTO&lt;&gt;"manual",$M529&lt;&gt;1)),ROUND(OFFSET($P529,0,BA$13),15-13*ORÇAMENTO!$AF$7)/$H529*OFFSET(ORÇAMENTO!$X$15,ROW(BA529)-ROW(BA$15),0),0)</f>
        <v>0</v>
      </c>
      <c r="BC529" s="215">
        <f ca="1">IF($D529&lt;&gt;"Serviço",0,IF(AND(AUTOEVENTO="Manual",$M529=1),0,IF(OFFSET(CRONOPLE!$F$14,$M529,BC$13)="",10^12,OFFSET(CRONOPLE!$F$14,$M529,BC$13))))</f>
        <v>0</v>
      </c>
      <c r="BD529" s="215">
        <f ca="1">IF($D529&lt;&gt;"Serviço",0,IF(AND(AUTOEVENTO="Manual",$M529=1),0,IF(OFFSET(CRONOPLE!$F$14,$M529,BD$13)="",10^12,OFFSET(CRONOPLE!$F$14,$M529,BD$13))))</f>
        <v>0</v>
      </c>
      <c r="BE529" s="215">
        <f ca="1">IF($D529&lt;&gt;"Serviço",0,IF(AND(AUTOEVENTO="Manual",$M529=1),0,IF(OFFSET(CRONOPLE!$F$14,$M529,BE$13)="",10^12,OFFSET(CRONOPLE!$F$14,$M529,BE$13))))</f>
        <v>0</v>
      </c>
      <c r="BF529" s="215">
        <f ca="1">IF($D529&lt;&gt;"Serviço",0,IF(AND(AUTOEVENTO="Manual",$M529=1),0,IF(OFFSET(CRONOPLE!$F$14,$M529,BF$13)="",10^12,OFFSET(CRONOPLE!$F$14,$M529,BF$13))))</f>
        <v>0</v>
      </c>
      <c r="BG529" s="215">
        <f ca="1">IF($D529&lt;&gt;"Serviço",0,IF(AND(AUTOEVENTO="Manual",$M529=1),0,IF(OFFSET(CRONOPLE!$F$14,$M529,BG$13)="",10^12,OFFSET(CRONOPLE!$F$14,$M529,BG$13))))</f>
        <v>0</v>
      </c>
      <c r="BH529" s="215">
        <f ca="1">IF($D529&lt;&gt;"Serviço",0,IF(AND(AUTOEVENTO="Manual",$M529=1),0,IF(OFFSET(CRONOPLE!$F$14,$M529,BH$13)="",10^12,OFFSET(CRONOPLE!$F$14,$M529,BH$13))))</f>
        <v>0</v>
      </c>
      <c r="BI529" s="215">
        <f ca="1">IF($D529&lt;&gt;"Serviço",0,IF(AND(AUTOEVENTO="Manual",$M529=1),0,IF(OFFSET(CRONOPLE!$F$14,$M529,BI$13)="",10^12,OFFSET(CRONOPLE!$F$14,$M529,BI$13))))</f>
        <v>0</v>
      </c>
      <c r="BJ529" s="215">
        <f ca="1">IF($D529&lt;&gt;"Serviço",0,IF(AND(AUTOEVENTO="Manual",$M529=1),0,IF(OFFSET(CRONOPLE!$F$14,$M529,BJ$13)="",10^12,OFFSET(CRONOPLE!$F$14,$M529,BJ$13))))</f>
        <v>0</v>
      </c>
      <c r="BK529" s="215">
        <f ca="1">IF($D529&lt;&gt;"Serviço",0,IF(AND(AUTOEVENTO="Manual",$M529=1),0,IF(OFFSET(CRONOPLE!$F$14,$M529,BK$13)="",10^12,OFFSET(CRONOPLE!$F$14,$M529,BK$13))))</f>
        <v>0</v>
      </c>
      <c r="BL529" s="215">
        <f ca="1">IF($D529&lt;&gt;"Serviço",0,IF(AND(AUTOEVENTO="Manual",$M529=1),0,IF(OFFSET(CRONOPLE!$F$14,$M529,BL$13)="",10^12,OFFSET(CRONOPLE!$F$14,$M529,BL$13))))</f>
        <v>0</v>
      </c>
      <c r="BM529" s="215">
        <f ca="1">IF($D529&lt;&gt;"Serviço",0,IF(AND(AUTOEVENTO="Manual",$M529=1),0,IF(OFFSET(CRONOPLE!$F$14,$M529,BM$13)="",10^12,OFFSET(CRONOPLE!$F$14,$M529,BM$13))))</f>
        <v>0</v>
      </c>
      <c r="BN529" s="215">
        <f ca="1">IF($D529&lt;&gt;"Serviço",0,IF(AND(AUTOEVENTO="Manual",$M529=1),0,IF(OFFSET(CRONOPLE!$F$14,$M529,BN$13)="",10^12,OFFSET(CRONOPLE!$F$14,$M529,BN$13))))</f>
        <v>0</v>
      </c>
      <c r="BO529" s="215">
        <f ca="1">IF($D529&lt;&gt;"Serviço",0,IF(AND(AUTOEVENTO="Manual",$M529=1),0,IF(OFFSET(CRONOPLE!$F$14,$M529,BO$13)="",10^12,OFFSET(CRONOPLE!$F$14,$M529,BO$13))))</f>
        <v>0</v>
      </c>
      <c r="BP529" s="215">
        <f ca="1">IF($D529&lt;&gt;"Serviço",0,IF(AND(AUTOEVENTO="Manual",$M529=1),0,IF(OFFSET(CRONOPLE!$F$14,$M529,BP$13)="",10^12,OFFSET(CRONOPLE!$F$14,$M529,BP$13))))</f>
        <v>0</v>
      </c>
      <c r="BQ529" s="215">
        <f ca="1">IF($D529&lt;&gt;"Serviço",0,IF(AND(AUTOEVENTO="Manual",$M529=1),0,IF(OFFSET(CRONOPLE!$F$14,$M529,BQ$13)="",10^12,OFFSET(CRONOPLE!$F$14,$M529,BQ$13))))</f>
        <v>0</v>
      </c>
      <c r="BR529" s="215">
        <f ca="1">IF($D529&lt;&gt;"Serviço",0,IF(AND(AUTOEVENTO="Manual",$M529=1),0,IF(OFFSET(CRONOPLE!$F$14,$M529,BR$13)="",10^12,OFFSET(CRONOPLE!$F$14,$M529,BR$13))))</f>
        <v>0</v>
      </c>
      <c r="BS529" s="215">
        <f ca="1">IF($D529&lt;&gt;"Serviço",0,IF(AND(AUTOEVENTO="Manual",$M529=1),0,IF(OFFSET(CRONOPLE!$F$14,$M529,BS$13)="",10^12,OFFSET(CRONOPLE!$F$14,$M529,BS$13))))</f>
        <v>0</v>
      </c>
      <c r="BT529" s="215">
        <f ca="1">IF($D529&lt;&gt;"Serviço",0,IF(AND(AUTOEVENTO="Manual",$M529=1),0,IF(OFFSET(CRONOPLE!$F$14,$M529,BT$13)="",10^12,OFFSET(CRONOPLE!$F$14,$M529,BT$13))))</f>
        <v>0</v>
      </c>
      <c r="BV529" s="216">
        <f ca="1">IF($D529&lt;&gt;"Serviço",0,IF(OR(AND(AUTOEVENTO="Manual",$M529=1),$M529&gt;(ROW(PLE.lastrow)-ROW(PLE.firstrow))),0,IF(OFFSET(PLE!$G$14,$M529,BV$13)="",10^12,OFFSET(PLE!$G$14,$M529,BV$13))))</f>
        <v>0</v>
      </c>
      <c r="BW529" s="216">
        <f ca="1">IF($D529&lt;&gt;"Serviço",0,IF(OR(AND(AUTOEVENTO="Manual",$M529=1),$M529&gt;(ROW(PLE.lastrow)-ROW(PLE.firstrow))),0,IF(OFFSET(PLE!$G$14,$M529,BW$13)="",10^12,OFFSET(PLE!$G$14,$M529,BW$13))))</f>
        <v>0</v>
      </c>
      <c r="BX529" s="216">
        <f ca="1">IF($D529&lt;&gt;"Serviço",0,IF(OR(AND(AUTOEVENTO="Manual",$M529=1),$M529&gt;(ROW(PLE.lastrow)-ROW(PLE.firstrow))),0,IF(OFFSET(PLE!$G$14,$M529,BX$13)="",10^12,OFFSET(PLE!$G$14,$M529,BX$13))))</f>
        <v>0</v>
      </c>
      <c r="BY529" s="216">
        <f ca="1">IF($D529&lt;&gt;"Serviço",0,IF(OR(AND(AUTOEVENTO="Manual",$M529=1),$M529&gt;(ROW(PLE.lastrow)-ROW(PLE.firstrow))),0,IF(OFFSET(PLE!$G$14,$M529,BY$13)="",10^12,OFFSET(PLE!$G$14,$M529,BY$13))))</f>
        <v>0</v>
      </c>
      <c r="BZ529" s="216">
        <f ca="1">IF($D529&lt;&gt;"Serviço",0,IF(OR(AND(AUTOEVENTO="Manual",$M529=1),$M529&gt;(ROW(PLE.lastrow)-ROW(PLE.firstrow))),0,IF(OFFSET(PLE!$G$14,$M529,BZ$13)="",10^12,OFFSET(PLE!$G$14,$M529,BZ$13))))</f>
        <v>0</v>
      </c>
      <c r="CA529" s="216">
        <f ca="1">IF($D529&lt;&gt;"Serviço",0,IF(OR(AND(AUTOEVENTO="Manual",$M529=1),$M529&gt;(ROW(PLE.lastrow)-ROW(PLE.firstrow))),0,IF(OFFSET(PLE!$G$14,$M529,CA$13)="",10^12,OFFSET(PLE!$G$14,$M529,CA$13))))</f>
        <v>0</v>
      </c>
      <c r="CB529" s="216">
        <f ca="1">IF($D529&lt;&gt;"Serviço",0,IF(OR(AND(AUTOEVENTO="Manual",$M529=1),$M529&gt;(ROW(PLE.lastrow)-ROW(PLE.firstrow))),0,IF(OFFSET(PLE!$G$14,$M529,CB$13)="",10^12,OFFSET(PLE!$G$14,$M529,CB$13))))</f>
        <v>0</v>
      </c>
      <c r="CC529" s="216">
        <f ca="1">IF($D529&lt;&gt;"Serviço",0,IF(OR(AND(AUTOEVENTO="Manual",$M529=1),$M529&gt;(ROW(PLE.lastrow)-ROW(PLE.firstrow))),0,IF(OFFSET(PLE!$G$14,$M529,CC$13)="",10^12,OFFSET(PLE!$G$14,$M529,CC$13))))</f>
        <v>0</v>
      </c>
      <c r="CD529" s="216">
        <f ca="1">IF($D529&lt;&gt;"Serviço",0,IF(OR(AND(AUTOEVENTO="Manual",$M529=1),$M529&gt;(ROW(PLE.lastrow)-ROW(PLE.firstrow))),0,IF(OFFSET(PLE!$G$14,$M529,CD$13)="",10^12,OFFSET(PLE!$G$14,$M529,CD$13))))</f>
        <v>0</v>
      </c>
      <c r="CE529" s="216">
        <f ca="1">IF($D529&lt;&gt;"Serviço",0,IF(OR(AND(AUTOEVENTO="Manual",$M529=1),$M529&gt;(ROW(PLE.lastrow)-ROW(PLE.firstrow))),0,IF(OFFSET(PLE!$G$14,$M529,CE$13)="",10^12,OFFSET(PLE!$G$14,$M529,CE$13))))</f>
        <v>0</v>
      </c>
      <c r="CF529" s="216">
        <f ca="1">IF($D529&lt;&gt;"Serviço",0,IF(OR(AND(AUTOEVENTO="Manual",$M529=1),$M529&gt;(ROW(PLE.lastrow)-ROW(PLE.firstrow))),0,IF(OFFSET(PLE!$G$14,$M529,CF$13)="",10^12,OFFSET(PLE!$G$14,$M529,CF$13))))</f>
        <v>0</v>
      </c>
      <c r="CG529" s="216">
        <f ca="1">IF($D529&lt;&gt;"Serviço",0,IF(OR(AND(AUTOEVENTO="Manual",$M529=1),$M529&gt;(ROW(PLE.lastrow)-ROW(PLE.firstrow))),0,IF(OFFSET(PLE!$G$14,$M529,CG$13)="",10^12,OFFSET(PLE!$G$14,$M529,CG$13))))</f>
        <v>0</v>
      </c>
      <c r="CH529" s="216">
        <f ca="1">IF($D529&lt;&gt;"Serviço",0,IF(OR(AND(AUTOEVENTO="Manual",$M529=1),$M529&gt;(ROW(PLE.lastrow)-ROW(PLE.firstrow))),0,IF(OFFSET(PLE!$G$14,$M529,CH$13)="",10^12,OFFSET(PLE!$G$14,$M529,CH$13))))</f>
        <v>0</v>
      </c>
      <c r="CI529" s="216">
        <f ca="1">IF($D529&lt;&gt;"Serviço",0,IF(OR(AND(AUTOEVENTO="Manual",$M529=1),$M529&gt;(ROW(PLE.lastrow)-ROW(PLE.firstrow))),0,IF(OFFSET(PLE!$G$14,$M529,CI$13)="",10^12,OFFSET(PLE!$G$14,$M529,CI$13))))</f>
        <v>0</v>
      </c>
      <c r="CJ529" s="216">
        <f ca="1">IF($D529&lt;&gt;"Serviço",0,IF(OR(AND(AUTOEVENTO="Manual",$M529=1),$M529&gt;(ROW(PLE.lastrow)-ROW(PLE.firstrow))),0,IF(OFFSET(PLE!$G$14,$M529,CJ$13)="",10^12,OFFSET(PLE!$G$14,$M529,CJ$13))))</f>
        <v>0</v>
      </c>
      <c r="CK529" s="216">
        <f ca="1">IF($D529&lt;&gt;"Serviço",0,IF(OR(AND(AUTOEVENTO="Manual",$M529=1),$M529&gt;(ROW(PLE.lastrow)-ROW(PLE.firstrow))),0,IF(OFFSET(PLE!$G$14,$M529,CK$13)="",10^12,OFFSET(PLE!$G$14,$M529,CK$13))))</f>
        <v>0</v>
      </c>
      <c r="CL529" s="216">
        <f ca="1">IF($D529&lt;&gt;"Serviço",0,IF(OR(AND(AUTOEVENTO="Manual",$M529=1),$M529&gt;(ROW(PLE.lastrow)-ROW(PLE.firstrow))),0,IF(OFFSET(PLE!$G$14,$M529,CL$13)="",10^12,OFFSET(PLE!$G$14,$M529,CL$13))))</f>
        <v>0</v>
      </c>
      <c r="CM529" s="216">
        <f ca="1">IF($D529&lt;&gt;"Serviço",0,IF(OR(AND(AUTOEVENTO="Manual",$M529=1),$M529&gt;(ROW(PLE.lastrow)-ROW(PLE.firstrow))),0,IF(OFFSET(PLE!$G$14,$M529,CM$13)="",10^12,OFFSET(PLE!$G$14,$M529,CM$13))))</f>
        <v>0</v>
      </c>
    </row>
    <row r="530" spans="1:91" ht="13.2" x14ac:dyDescent="0.25">
      <c r="A530" s="9">
        <f t="shared" ca="1" si="17"/>
        <v>0</v>
      </c>
      <c r="B530" s="9" t="str">
        <f ca="1">OFFSET(ORÇAMENTO!C$15,ROW(B530)-ROW(B$15),0)</f>
        <v>S</v>
      </c>
      <c r="C530" s="9" t="str">
        <f ca="1">OFFSET(ORÇAMENTO!L$15,ROW(C530)-ROW(C$15),0)</f>
        <v/>
      </c>
      <c r="D530" s="145" t="str">
        <f ca="1">OFFSET(ORÇAMENTO!N$15,ROW(D530)-ROW(D$15),0)</f>
        <v>Serviço</v>
      </c>
      <c r="E530" s="205" t="str">
        <f ca="1">OFFSET(ORÇAMENTO!O$15,ROW(E530)-ROW(E$15),0)</f>
        <v>-</v>
      </c>
      <c r="F530" s="206" t="str">
        <f ca="1">OFFSET(ORÇAMENTO!R$15,ROW(F530)-ROW(F$15),0)</f>
        <v>(abra o arquivo 'Referência 05-2024.xls)</v>
      </c>
      <c r="G530" s="207" t="str">
        <f ca="1">IF($D530&lt;&gt;"Serviço","",OFFSET(ORÇAMENTO!S$15,ROW(G530)-ROW(G$15),0))</f>
        <v>-</v>
      </c>
      <c r="H530" s="151">
        <f ca="1">IF($D530&lt;&gt;"Serviço",0,IF(ACOMPANHAMENTO="BM",ROUND(OFFSET(ORÇAMENTO!AJ$15,ROW(H530)-ROW(H$15),0),15-13*ORÇAMENTO!$AF$7),SUMPRODUCT(($Q$12:$AI$12&lt;&gt;"")*ROUND($Q530:$AI530,15-13*ORÇAMENTO!$AF$7))))</f>
        <v>2</v>
      </c>
      <c r="I530" s="650"/>
      <c r="K530" s="208"/>
      <c r="L530" s="209" t="s">
        <v>257</v>
      </c>
      <c r="M530" s="210">
        <f ca="1">IF($D530&lt;&gt;"Serviço","",IF(AUTOEVENTO="manual",$A530,IF(ISERROR(MATCH($A530,$A$15:OFFSET($A530,-1,0),0)),MAX($M$15:OFFSET(M530,-1,0))+1,INDEX($M$15:OFFSET(M530,-1,0),MATCH($A530,$A$15:OFFSET($A530,-1,0),0)))))</f>
        <v>0</v>
      </c>
      <c r="N530" s="211" t="str">
        <f ca="1">IF($D530&lt;&gt;"Serviço","",IF(AUTOEVENTO="Manual",IF($A530=0,"&lt;-- defina o número do agrupador",OFFSET(EVENTOS!$D$14,$A530,0)),OFFSET($F$15,$A530,0)))</f>
        <v>&lt;-- defina o número do agrupador</v>
      </c>
      <c r="O530" s="212"/>
      <c r="Q530" s="212"/>
      <c r="R530" s="213"/>
      <c r="S530" s="213"/>
      <c r="T530" s="213"/>
      <c r="U530" s="213"/>
      <c r="V530" s="213"/>
      <c r="W530" s="213"/>
      <c r="X530" s="213"/>
      <c r="Y530" s="213"/>
      <c r="Z530" s="214"/>
      <c r="AA530" s="213"/>
      <c r="AB530" s="213"/>
      <c r="AC530" s="213"/>
      <c r="AD530" s="213"/>
      <c r="AE530" s="213"/>
      <c r="AF530" s="213"/>
      <c r="AG530" s="213"/>
      <c r="AH530" s="214"/>
      <c r="AJ530" s="631">
        <f ca="1">IF(AND($D530="Serviço",AJ$12&lt;&gt;0,$H530&gt;0,OR(AUTOEVENTO&lt;&gt;"manual",$M530&lt;&gt;1)),ROUND(OFFSET($P530,0,AJ$13),15-13*ORÇAMENTO!$AF$7)/$H530*OFFSET(ORÇAMENTO!$X$15,ROW(AJ530)-ROW(AJ$15),0),0)</f>
        <v>0</v>
      </c>
      <c r="AK530" s="632">
        <f ca="1">IF(AND($D530="Serviço",AK$12&lt;&gt;0,$H530&gt;0,OR(AUTOEVENTO&lt;&gt;"manual",$M530&lt;&gt;1)),ROUND(OFFSET($P530,0,AK$13),15-13*ORÇAMENTO!$AF$7)/$H530*OFFSET(ORÇAMENTO!$X$15,ROW(AK530)-ROW(AK$15),0),0)</f>
        <v>0</v>
      </c>
      <c r="AL530" s="632">
        <f ca="1">IF(AND($D530="Serviço",AL$12&lt;&gt;0,$H530&gt;0,OR(AUTOEVENTO&lt;&gt;"manual",$M530&lt;&gt;1)),ROUND(OFFSET($P530,0,AL$13),15-13*ORÇAMENTO!$AF$7)/$H530*OFFSET(ORÇAMENTO!$X$15,ROW(AL530)-ROW(AL$15),0),0)</f>
        <v>0</v>
      </c>
      <c r="AM530" s="632">
        <f ca="1">IF(AND($D530="Serviço",AM$12&lt;&gt;0,$H530&gt;0,OR(AUTOEVENTO&lt;&gt;"manual",$M530&lt;&gt;1)),ROUND(OFFSET($P530,0,AM$13),15-13*ORÇAMENTO!$AF$7)/$H530*OFFSET(ORÇAMENTO!$X$15,ROW(AM530)-ROW(AM$15),0),0)</f>
        <v>0</v>
      </c>
      <c r="AN530" s="632">
        <f ca="1">IF(AND($D530="Serviço",AN$12&lt;&gt;0,$H530&gt;0,OR(AUTOEVENTO&lt;&gt;"manual",$M530&lt;&gt;1)),ROUND(OFFSET($P530,0,AN$13),15-13*ORÇAMENTO!$AF$7)/$H530*OFFSET(ORÇAMENTO!$X$15,ROW(AN530)-ROW(AN$15),0),0)</f>
        <v>0</v>
      </c>
      <c r="AO530" s="632">
        <f ca="1">IF(AND($D530="Serviço",AO$12&lt;&gt;0,$H530&gt;0,OR(AUTOEVENTO&lt;&gt;"manual",$M530&lt;&gt;1)),ROUND(OFFSET($P530,0,AO$13),15-13*ORÇAMENTO!$AF$7)/$H530*OFFSET(ORÇAMENTO!$X$15,ROW(AO530)-ROW(AO$15),0),0)</f>
        <v>0</v>
      </c>
      <c r="AP530" s="632">
        <f ca="1">IF(AND($D530="Serviço",AP$12&lt;&gt;0,$H530&gt;0,OR(AUTOEVENTO&lt;&gt;"manual",$M530&lt;&gt;1)),ROUND(OFFSET($P530,0,AP$13),15-13*ORÇAMENTO!$AF$7)/$H530*OFFSET(ORÇAMENTO!$X$15,ROW(AP530)-ROW(AP$15),0),0)</f>
        <v>0</v>
      </c>
      <c r="AQ530" s="632">
        <f ca="1">IF(AND($D530="Serviço",AQ$12&lt;&gt;0,$H530&gt;0,OR(AUTOEVENTO&lt;&gt;"manual",$M530&lt;&gt;1)),ROUND(OFFSET($P530,0,AQ$13),15-13*ORÇAMENTO!$AF$7)/$H530*OFFSET(ORÇAMENTO!$X$15,ROW(AQ530)-ROW(AQ$15),0),0)</f>
        <v>0</v>
      </c>
      <c r="AR530" s="632">
        <f ca="1">IF(AND($D530="Serviço",AR$12&lt;&gt;0,$H530&gt;0,OR(AUTOEVENTO&lt;&gt;"manual",$M530&lt;&gt;1)),ROUND(OFFSET($P530,0,AR$13),15-13*ORÇAMENTO!$AF$7)/$H530*OFFSET(ORÇAMENTO!$X$15,ROW(AR530)-ROW(AR$15),0),0)</f>
        <v>0</v>
      </c>
      <c r="AS530" s="633">
        <f ca="1">IF(AND($D530="Serviço",AS$12&lt;&gt;0,$H530&gt;0,OR(AUTOEVENTO&lt;&gt;"manual",$M530&lt;&gt;1)),ROUND(OFFSET($P530,0,AS$13),15-13*ORÇAMENTO!$AF$7)/$H530*OFFSET(ORÇAMENTO!$X$15,ROW(AS530)-ROW(AS$15),0),0)</f>
        <v>0</v>
      </c>
      <c r="AT530" s="632">
        <f ca="1">IF(AND($D530="Serviço",AT$12&lt;&gt;0,$H530&gt;0,OR(AUTOEVENTO&lt;&gt;"manual",$M530&lt;&gt;1)),ROUND(OFFSET($P530,0,AT$13),15-13*ORÇAMENTO!$AF$7)/$H530*OFFSET(ORÇAMENTO!$X$15,ROW(AT530)-ROW(AT$15),0),0)</f>
        <v>0</v>
      </c>
      <c r="AU530" s="632">
        <f ca="1">IF(AND($D530="Serviço",AU$12&lt;&gt;0,$H530&gt;0,OR(AUTOEVENTO&lt;&gt;"manual",$M530&lt;&gt;1)),ROUND(OFFSET($P530,0,AU$13),15-13*ORÇAMENTO!$AF$7)/$H530*OFFSET(ORÇAMENTO!$X$15,ROW(AU530)-ROW(AU$15),0),0)</f>
        <v>0</v>
      </c>
      <c r="AV530" s="632">
        <f ca="1">IF(AND($D530="Serviço",AV$12&lt;&gt;0,$H530&gt;0,OR(AUTOEVENTO&lt;&gt;"manual",$M530&lt;&gt;1)),ROUND(OFFSET($P530,0,AV$13),15-13*ORÇAMENTO!$AF$7)/$H530*OFFSET(ORÇAMENTO!$X$15,ROW(AV530)-ROW(AV$15),0),0)</f>
        <v>0</v>
      </c>
      <c r="AW530" s="632">
        <f ca="1">IF(AND($D530="Serviço",AW$12&lt;&gt;0,$H530&gt;0,OR(AUTOEVENTO&lt;&gt;"manual",$M530&lt;&gt;1)),ROUND(OFFSET($P530,0,AW$13),15-13*ORÇAMENTO!$AF$7)/$H530*OFFSET(ORÇAMENTO!$X$15,ROW(AW530)-ROW(AW$15),0),0)</f>
        <v>0</v>
      </c>
      <c r="AX530" s="632">
        <f ca="1">IF(AND($D530="Serviço",AX$12&lt;&gt;0,$H530&gt;0,OR(AUTOEVENTO&lt;&gt;"manual",$M530&lt;&gt;1)),ROUND(OFFSET($P530,0,AX$13),15-13*ORÇAMENTO!$AF$7)/$H530*OFFSET(ORÇAMENTO!$X$15,ROW(AX530)-ROW(AX$15),0),0)</f>
        <v>0</v>
      </c>
      <c r="AY530" s="632">
        <f ca="1">IF(AND($D530="Serviço",AY$12&lt;&gt;0,$H530&gt;0,OR(AUTOEVENTO&lt;&gt;"manual",$M530&lt;&gt;1)),ROUND(OFFSET($P530,0,AY$13),15-13*ORÇAMENTO!$AF$7)/$H530*OFFSET(ORÇAMENTO!$X$15,ROW(AY530)-ROW(AY$15),0),0)</f>
        <v>0</v>
      </c>
      <c r="AZ530" s="632">
        <f ca="1">IF(AND($D530="Serviço",AZ$12&lt;&gt;0,$H530&gt;0,OR(AUTOEVENTO&lt;&gt;"manual",$M530&lt;&gt;1)),ROUND(OFFSET($P530,0,AZ$13),15-13*ORÇAMENTO!$AF$7)/$H530*OFFSET(ORÇAMENTO!$X$15,ROW(AZ530)-ROW(AZ$15),0),0)</f>
        <v>0</v>
      </c>
      <c r="BA530" s="633">
        <f ca="1">IF(AND($D530="Serviço",BA$12&lt;&gt;0,$H530&gt;0,OR(AUTOEVENTO&lt;&gt;"manual",$M530&lt;&gt;1)),ROUND(OFFSET($P530,0,BA$13),15-13*ORÇAMENTO!$AF$7)/$H530*OFFSET(ORÇAMENTO!$X$15,ROW(BA530)-ROW(BA$15),0),0)</f>
        <v>0</v>
      </c>
      <c r="BC530" s="215">
        <f ca="1">IF($D530&lt;&gt;"Serviço",0,IF(AND(AUTOEVENTO="Manual",$M530=1),0,IF(OFFSET(CRONOPLE!$F$14,$M530,BC$13)="",10^12,OFFSET(CRONOPLE!$F$14,$M530,BC$13))))</f>
        <v>1000000000000</v>
      </c>
      <c r="BD530" s="215">
        <f ca="1">IF($D530&lt;&gt;"Serviço",0,IF(AND(AUTOEVENTO="Manual",$M530=1),0,IF(OFFSET(CRONOPLE!$F$14,$M530,BD$13)="",10^12,OFFSET(CRONOPLE!$F$14,$M530,BD$13))))</f>
        <v>1000000000000</v>
      </c>
      <c r="BE530" s="215">
        <f ca="1">IF($D530&lt;&gt;"Serviço",0,IF(AND(AUTOEVENTO="Manual",$M530=1),0,IF(OFFSET(CRONOPLE!$F$14,$M530,BE$13)="",10^12,OFFSET(CRONOPLE!$F$14,$M530,BE$13))))</f>
        <v>1000000000000</v>
      </c>
      <c r="BF530" s="215">
        <f ca="1">IF($D530&lt;&gt;"Serviço",0,IF(AND(AUTOEVENTO="Manual",$M530=1),0,IF(OFFSET(CRONOPLE!$F$14,$M530,BF$13)="",10^12,OFFSET(CRONOPLE!$F$14,$M530,BF$13))))</f>
        <v>1000000000000</v>
      </c>
      <c r="BG530" s="215">
        <f ca="1">IF($D530&lt;&gt;"Serviço",0,IF(AND(AUTOEVENTO="Manual",$M530=1),0,IF(OFFSET(CRONOPLE!$F$14,$M530,BG$13)="",10^12,OFFSET(CRONOPLE!$F$14,$M530,BG$13))))</f>
        <v>1000000000000</v>
      </c>
      <c r="BH530" s="215">
        <f ca="1">IF($D530&lt;&gt;"Serviço",0,IF(AND(AUTOEVENTO="Manual",$M530=1),0,IF(OFFSET(CRONOPLE!$F$14,$M530,BH$13)="",10^12,OFFSET(CRONOPLE!$F$14,$M530,BH$13))))</f>
        <v>1000000000000</v>
      </c>
      <c r="BI530" s="215">
        <f ca="1">IF($D530&lt;&gt;"Serviço",0,IF(AND(AUTOEVENTO="Manual",$M530=1),0,IF(OFFSET(CRONOPLE!$F$14,$M530,BI$13)="",10^12,OFFSET(CRONOPLE!$F$14,$M530,BI$13))))</f>
        <v>1000000000000</v>
      </c>
      <c r="BJ530" s="215">
        <f ca="1">IF($D530&lt;&gt;"Serviço",0,IF(AND(AUTOEVENTO="Manual",$M530=1),0,IF(OFFSET(CRONOPLE!$F$14,$M530,BJ$13)="",10^12,OFFSET(CRONOPLE!$F$14,$M530,BJ$13))))</f>
        <v>1000000000000</v>
      </c>
      <c r="BK530" s="215">
        <f ca="1">IF($D530&lt;&gt;"Serviço",0,IF(AND(AUTOEVENTO="Manual",$M530=1),0,IF(OFFSET(CRONOPLE!$F$14,$M530,BK$13)="",10^12,OFFSET(CRONOPLE!$F$14,$M530,BK$13))))</f>
        <v>1000000000000</v>
      </c>
      <c r="BL530" s="215">
        <f ca="1">IF($D530&lt;&gt;"Serviço",0,IF(AND(AUTOEVENTO="Manual",$M530=1),0,IF(OFFSET(CRONOPLE!$F$14,$M530,BL$13)="",10^12,OFFSET(CRONOPLE!$F$14,$M530,BL$13))))</f>
        <v>1000000000000</v>
      </c>
      <c r="BM530" s="215">
        <f ca="1">IF($D530&lt;&gt;"Serviço",0,IF(AND(AUTOEVENTO="Manual",$M530=1),0,IF(OFFSET(CRONOPLE!$F$14,$M530,BM$13)="",10^12,OFFSET(CRONOPLE!$F$14,$M530,BM$13))))</f>
        <v>1000000000000</v>
      </c>
      <c r="BN530" s="215">
        <f ca="1">IF($D530&lt;&gt;"Serviço",0,IF(AND(AUTOEVENTO="Manual",$M530=1),0,IF(OFFSET(CRONOPLE!$F$14,$M530,BN$13)="",10^12,OFFSET(CRONOPLE!$F$14,$M530,BN$13))))</f>
        <v>1000000000000</v>
      </c>
      <c r="BO530" s="215">
        <f ca="1">IF($D530&lt;&gt;"Serviço",0,IF(AND(AUTOEVENTO="Manual",$M530=1),0,IF(OFFSET(CRONOPLE!$F$14,$M530,BO$13)="",10^12,OFFSET(CRONOPLE!$F$14,$M530,BO$13))))</f>
        <v>1000000000000</v>
      </c>
      <c r="BP530" s="215">
        <f ca="1">IF($D530&lt;&gt;"Serviço",0,IF(AND(AUTOEVENTO="Manual",$M530=1),0,IF(OFFSET(CRONOPLE!$F$14,$M530,BP$13)="",10^12,OFFSET(CRONOPLE!$F$14,$M530,BP$13))))</f>
        <v>1000000000000</v>
      </c>
      <c r="BQ530" s="215">
        <f ca="1">IF($D530&lt;&gt;"Serviço",0,IF(AND(AUTOEVENTO="Manual",$M530=1),0,IF(OFFSET(CRONOPLE!$F$14,$M530,BQ$13)="",10^12,OFFSET(CRONOPLE!$F$14,$M530,BQ$13))))</f>
        <v>1000000000000</v>
      </c>
      <c r="BR530" s="215">
        <f ca="1">IF($D530&lt;&gt;"Serviço",0,IF(AND(AUTOEVENTO="Manual",$M530=1),0,IF(OFFSET(CRONOPLE!$F$14,$M530,BR$13)="",10^12,OFFSET(CRONOPLE!$F$14,$M530,BR$13))))</f>
        <v>1000000000000</v>
      </c>
      <c r="BS530" s="215">
        <f ca="1">IF($D530&lt;&gt;"Serviço",0,IF(AND(AUTOEVENTO="Manual",$M530=1),0,IF(OFFSET(CRONOPLE!$F$14,$M530,BS$13)="",10^12,OFFSET(CRONOPLE!$F$14,$M530,BS$13))))</f>
        <v>1000000000000</v>
      </c>
      <c r="BT530" s="215">
        <f ca="1">IF($D530&lt;&gt;"Serviço",0,IF(AND(AUTOEVENTO="Manual",$M530=1),0,IF(OFFSET(CRONOPLE!$F$14,$M530,BT$13)="",10^12,OFFSET(CRONOPLE!$F$14,$M530,BT$13))))</f>
        <v>1000000000000</v>
      </c>
      <c r="BV530" s="216">
        <f ca="1">IF($D530&lt;&gt;"Serviço",0,IF(OR(AND(AUTOEVENTO="Manual",$M530=1),$M530&gt;(ROW(PLE.lastrow)-ROW(PLE.firstrow))),0,IF(OFFSET(PLE!$G$14,$M530,BV$13)="",10^12,OFFSET(PLE!$G$14,$M530,BV$13))))</f>
        <v>1000000000000</v>
      </c>
      <c r="BW530" s="216">
        <f ca="1">IF($D530&lt;&gt;"Serviço",0,IF(OR(AND(AUTOEVENTO="Manual",$M530=1),$M530&gt;(ROW(PLE.lastrow)-ROW(PLE.firstrow))),0,IF(OFFSET(PLE!$G$14,$M530,BW$13)="",10^12,OFFSET(PLE!$G$14,$M530,BW$13))))</f>
        <v>1000000000000</v>
      </c>
      <c r="BX530" s="216">
        <f ca="1">IF($D530&lt;&gt;"Serviço",0,IF(OR(AND(AUTOEVENTO="Manual",$M530=1),$M530&gt;(ROW(PLE.lastrow)-ROW(PLE.firstrow))),0,IF(OFFSET(PLE!$G$14,$M530,BX$13)="",10^12,OFFSET(PLE!$G$14,$M530,BX$13))))</f>
        <v>1000000000000</v>
      </c>
      <c r="BY530" s="216">
        <f ca="1">IF($D530&lt;&gt;"Serviço",0,IF(OR(AND(AUTOEVENTO="Manual",$M530=1),$M530&gt;(ROW(PLE.lastrow)-ROW(PLE.firstrow))),0,IF(OFFSET(PLE!$G$14,$M530,BY$13)="",10^12,OFFSET(PLE!$G$14,$M530,BY$13))))</f>
        <v>1000000000000</v>
      </c>
      <c r="BZ530" s="216">
        <f ca="1">IF($D530&lt;&gt;"Serviço",0,IF(OR(AND(AUTOEVENTO="Manual",$M530=1),$M530&gt;(ROW(PLE.lastrow)-ROW(PLE.firstrow))),0,IF(OFFSET(PLE!$G$14,$M530,BZ$13)="",10^12,OFFSET(PLE!$G$14,$M530,BZ$13))))</f>
        <v>1000000000000</v>
      </c>
      <c r="CA530" s="216">
        <f ca="1">IF($D530&lt;&gt;"Serviço",0,IF(OR(AND(AUTOEVENTO="Manual",$M530=1),$M530&gt;(ROW(PLE.lastrow)-ROW(PLE.firstrow))),0,IF(OFFSET(PLE!$G$14,$M530,CA$13)="",10^12,OFFSET(PLE!$G$14,$M530,CA$13))))</f>
        <v>1000000000000</v>
      </c>
      <c r="CB530" s="216">
        <f ca="1">IF($D530&lt;&gt;"Serviço",0,IF(OR(AND(AUTOEVENTO="Manual",$M530=1),$M530&gt;(ROW(PLE.lastrow)-ROW(PLE.firstrow))),0,IF(OFFSET(PLE!$G$14,$M530,CB$13)="",10^12,OFFSET(PLE!$G$14,$M530,CB$13))))</f>
        <v>1000000000000</v>
      </c>
      <c r="CC530" s="216">
        <f ca="1">IF($D530&lt;&gt;"Serviço",0,IF(OR(AND(AUTOEVENTO="Manual",$M530=1),$M530&gt;(ROW(PLE.lastrow)-ROW(PLE.firstrow))),0,IF(OFFSET(PLE!$G$14,$M530,CC$13)="",10^12,OFFSET(PLE!$G$14,$M530,CC$13))))</f>
        <v>1000000000000</v>
      </c>
      <c r="CD530" s="216">
        <f ca="1">IF($D530&lt;&gt;"Serviço",0,IF(OR(AND(AUTOEVENTO="Manual",$M530=1),$M530&gt;(ROW(PLE.lastrow)-ROW(PLE.firstrow))),0,IF(OFFSET(PLE!$G$14,$M530,CD$13)="",10^12,OFFSET(PLE!$G$14,$M530,CD$13))))</f>
        <v>1000000000000</v>
      </c>
      <c r="CE530" s="216">
        <f ca="1">IF($D530&lt;&gt;"Serviço",0,IF(OR(AND(AUTOEVENTO="Manual",$M530=1),$M530&gt;(ROW(PLE.lastrow)-ROW(PLE.firstrow))),0,IF(OFFSET(PLE!$G$14,$M530,CE$13)="",10^12,OFFSET(PLE!$G$14,$M530,CE$13))))</f>
        <v>1000000000000</v>
      </c>
      <c r="CF530" s="216">
        <f ca="1">IF($D530&lt;&gt;"Serviço",0,IF(OR(AND(AUTOEVENTO="Manual",$M530=1),$M530&gt;(ROW(PLE.lastrow)-ROW(PLE.firstrow))),0,IF(OFFSET(PLE!$G$14,$M530,CF$13)="",10^12,OFFSET(PLE!$G$14,$M530,CF$13))))</f>
        <v>1000000000000</v>
      </c>
      <c r="CG530" s="216">
        <f ca="1">IF($D530&lt;&gt;"Serviço",0,IF(OR(AND(AUTOEVENTO="Manual",$M530=1),$M530&gt;(ROW(PLE.lastrow)-ROW(PLE.firstrow))),0,IF(OFFSET(PLE!$G$14,$M530,CG$13)="",10^12,OFFSET(PLE!$G$14,$M530,CG$13))))</f>
        <v>1000000000000</v>
      </c>
      <c r="CH530" s="216">
        <f ca="1">IF($D530&lt;&gt;"Serviço",0,IF(OR(AND(AUTOEVENTO="Manual",$M530=1),$M530&gt;(ROW(PLE.lastrow)-ROW(PLE.firstrow))),0,IF(OFFSET(PLE!$G$14,$M530,CH$13)="",10^12,OFFSET(PLE!$G$14,$M530,CH$13))))</f>
        <v>1000000000000</v>
      </c>
      <c r="CI530" s="216">
        <f ca="1">IF($D530&lt;&gt;"Serviço",0,IF(OR(AND(AUTOEVENTO="Manual",$M530=1),$M530&gt;(ROW(PLE.lastrow)-ROW(PLE.firstrow))),0,IF(OFFSET(PLE!$G$14,$M530,CI$13)="",10^12,OFFSET(PLE!$G$14,$M530,CI$13))))</f>
        <v>1000000000000</v>
      </c>
      <c r="CJ530" s="216">
        <f ca="1">IF($D530&lt;&gt;"Serviço",0,IF(OR(AND(AUTOEVENTO="Manual",$M530=1),$M530&gt;(ROW(PLE.lastrow)-ROW(PLE.firstrow))),0,IF(OFFSET(PLE!$G$14,$M530,CJ$13)="",10^12,OFFSET(PLE!$G$14,$M530,CJ$13))))</f>
        <v>1000000000000</v>
      </c>
      <c r="CK530" s="216">
        <f ca="1">IF($D530&lt;&gt;"Serviço",0,IF(OR(AND(AUTOEVENTO="Manual",$M530=1),$M530&gt;(ROW(PLE.lastrow)-ROW(PLE.firstrow))),0,IF(OFFSET(PLE!$G$14,$M530,CK$13)="",10^12,OFFSET(PLE!$G$14,$M530,CK$13))))</f>
        <v>1000000000000</v>
      </c>
      <c r="CL530" s="216">
        <f ca="1">IF($D530&lt;&gt;"Serviço",0,IF(OR(AND(AUTOEVENTO="Manual",$M530=1),$M530&gt;(ROW(PLE.lastrow)-ROW(PLE.firstrow))),0,IF(OFFSET(PLE!$G$14,$M530,CL$13)="",10^12,OFFSET(PLE!$G$14,$M530,CL$13))))</f>
        <v>1000000000000</v>
      </c>
      <c r="CM530" s="216">
        <f ca="1">IF($D530&lt;&gt;"Serviço",0,IF(OR(AND(AUTOEVENTO="Manual",$M530=1),$M530&gt;(ROW(PLE.lastrow)-ROW(PLE.firstrow))),0,IF(OFFSET(PLE!$G$14,$M530,CM$13)="",10^12,OFFSET(PLE!$G$14,$M530,CM$13))))</f>
        <v>1000000000000</v>
      </c>
    </row>
    <row r="531" spans="1:91" ht="13.2" x14ac:dyDescent="0.25">
      <c r="A531" s="9">
        <f t="shared" ca="1" si="17"/>
        <v>0</v>
      </c>
      <c r="B531" s="9" t="str">
        <f ca="1">OFFSET(ORÇAMENTO!C$15,ROW(B531)-ROW(B$15),0)</f>
        <v>S</v>
      </c>
      <c r="C531" s="9" t="str">
        <f ca="1">OFFSET(ORÇAMENTO!L$15,ROW(C531)-ROW(C$15),0)</f>
        <v/>
      </c>
      <c r="D531" s="145" t="str">
        <f ca="1">OFFSET(ORÇAMENTO!N$15,ROW(D531)-ROW(D$15),0)</f>
        <v>Serviço</v>
      </c>
      <c r="E531" s="205" t="str">
        <f ca="1">OFFSET(ORÇAMENTO!O$15,ROW(E531)-ROW(E$15),0)</f>
        <v>-</v>
      </c>
      <c r="F531" s="206" t="str">
        <f ca="1">OFFSET(ORÇAMENTO!R$15,ROW(F531)-ROW(F$15),0)</f>
        <v>(abra o arquivo 'Referência 05-2024.xls)</v>
      </c>
      <c r="G531" s="207" t="str">
        <f ca="1">IF($D531&lt;&gt;"Serviço","",OFFSET(ORÇAMENTO!S$15,ROW(G531)-ROW(G$15),0))</f>
        <v>-</v>
      </c>
      <c r="H531" s="151">
        <f ca="1">IF($D531&lt;&gt;"Serviço",0,IF(ACOMPANHAMENTO="BM",ROUND(OFFSET(ORÇAMENTO!AJ$15,ROW(H531)-ROW(H$15),0),15-13*ORÇAMENTO!$AF$7),SUMPRODUCT(($Q$12:$AI$12&lt;&gt;"")*ROUND($Q531:$AI531,15-13*ORÇAMENTO!$AF$7))))</f>
        <v>2</v>
      </c>
      <c r="I531" s="650"/>
      <c r="K531" s="208"/>
      <c r="L531" s="209" t="s">
        <v>257</v>
      </c>
      <c r="M531" s="210">
        <f ca="1">IF($D531&lt;&gt;"Serviço","",IF(AUTOEVENTO="manual",$A531,IF(ISERROR(MATCH($A531,$A$15:OFFSET($A531,-1,0),0)),MAX($M$15:OFFSET(M531,-1,0))+1,INDEX($M$15:OFFSET(M531,-1,0),MATCH($A531,$A$15:OFFSET($A531,-1,0),0)))))</f>
        <v>0</v>
      </c>
      <c r="N531" s="211" t="str">
        <f ca="1">IF($D531&lt;&gt;"Serviço","",IF(AUTOEVENTO="Manual",IF($A531=0,"&lt;-- defina o número do agrupador",OFFSET(EVENTOS!$D$14,$A531,0)),OFFSET($F$15,$A531,0)))</f>
        <v>&lt;-- defina o número do agrupador</v>
      </c>
      <c r="O531" s="212"/>
      <c r="Q531" s="212"/>
      <c r="R531" s="213"/>
      <c r="S531" s="213"/>
      <c r="T531" s="213"/>
      <c r="U531" s="213"/>
      <c r="V531" s="213"/>
      <c r="W531" s="213"/>
      <c r="X531" s="213"/>
      <c r="Y531" s="213"/>
      <c r="Z531" s="214"/>
      <c r="AA531" s="213"/>
      <c r="AB531" s="213"/>
      <c r="AC531" s="213"/>
      <c r="AD531" s="213"/>
      <c r="AE531" s="213"/>
      <c r="AF531" s="213"/>
      <c r="AG531" s="213"/>
      <c r="AH531" s="214"/>
      <c r="AJ531" s="631">
        <f ca="1">IF(AND($D531="Serviço",AJ$12&lt;&gt;0,$H531&gt;0,OR(AUTOEVENTO&lt;&gt;"manual",$M531&lt;&gt;1)),ROUND(OFFSET($P531,0,AJ$13),15-13*ORÇAMENTO!$AF$7)/$H531*OFFSET(ORÇAMENTO!$X$15,ROW(AJ531)-ROW(AJ$15),0),0)</f>
        <v>0</v>
      </c>
      <c r="AK531" s="632">
        <f ca="1">IF(AND($D531="Serviço",AK$12&lt;&gt;0,$H531&gt;0,OR(AUTOEVENTO&lt;&gt;"manual",$M531&lt;&gt;1)),ROUND(OFFSET($P531,0,AK$13),15-13*ORÇAMENTO!$AF$7)/$H531*OFFSET(ORÇAMENTO!$X$15,ROW(AK531)-ROW(AK$15),0),0)</f>
        <v>0</v>
      </c>
      <c r="AL531" s="632">
        <f ca="1">IF(AND($D531="Serviço",AL$12&lt;&gt;0,$H531&gt;0,OR(AUTOEVENTO&lt;&gt;"manual",$M531&lt;&gt;1)),ROUND(OFFSET($P531,0,AL$13),15-13*ORÇAMENTO!$AF$7)/$H531*OFFSET(ORÇAMENTO!$X$15,ROW(AL531)-ROW(AL$15),0),0)</f>
        <v>0</v>
      </c>
      <c r="AM531" s="632">
        <f ca="1">IF(AND($D531="Serviço",AM$12&lt;&gt;0,$H531&gt;0,OR(AUTOEVENTO&lt;&gt;"manual",$M531&lt;&gt;1)),ROUND(OFFSET($P531,0,AM$13),15-13*ORÇAMENTO!$AF$7)/$H531*OFFSET(ORÇAMENTO!$X$15,ROW(AM531)-ROW(AM$15),0),0)</f>
        <v>0</v>
      </c>
      <c r="AN531" s="632">
        <f ca="1">IF(AND($D531="Serviço",AN$12&lt;&gt;0,$H531&gt;0,OR(AUTOEVENTO&lt;&gt;"manual",$M531&lt;&gt;1)),ROUND(OFFSET($P531,0,AN$13),15-13*ORÇAMENTO!$AF$7)/$H531*OFFSET(ORÇAMENTO!$X$15,ROW(AN531)-ROW(AN$15),0),0)</f>
        <v>0</v>
      </c>
      <c r="AO531" s="632">
        <f ca="1">IF(AND($D531="Serviço",AO$12&lt;&gt;0,$H531&gt;0,OR(AUTOEVENTO&lt;&gt;"manual",$M531&lt;&gt;1)),ROUND(OFFSET($P531,0,AO$13),15-13*ORÇAMENTO!$AF$7)/$H531*OFFSET(ORÇAMENTO!$X$15,ROW(AO531)-ROW(AO$15),0),0)</f>
        <v>0</v>
      </c>
      <c r="AP531" s="632">
        <f ca="1">IF(AND($D531="Serviço",AP$12&lt;&gt;0,$H531&gt;0,OR(AUTOEVENTO&lt;&gt;"manual",$M531&lt;&gt;1)),ROUND(OFFSET($P531,0,AP$13),15-13*ORÇAMENTO!$AF$7)/$H531*OFFSET(ORÇAMENTO!$X$15,ROW(AP531)-ROW(AP$15),0),0)</f>
        <v>0</v>
      </c>
      <c r="AQ531" s="632">
        <f ca="1">IF(AND($D531="Serviço",AQ$12&lt;&gt;0,$H531&gt;0,OR(AUTOEVENTO&lt;&gt;"manual",$M531&lt;&gt;1)),ROUND(OFFSET($P531,0,AQ$13),15-13*ORÇAMENTO!$AF$7)/$H531*OFFSET(ORÇAMENTO!$X$15,ROW(AQ531)-ROW(AQ$15),0),0)</f>
        <v>0</v>
      </c>
      <c r="AR531" s="632">
        <f ca="1">IF(AND($D531="Serviço",AR$12&lt;&gt;0,$H531&gt;0,OR(AUTOEVENTO&lt;&gt;"manual",$M531&lt;&gt;1)),ROUND(OFFSET($P531,0,AR$13),15-13*ORÇAMENTO!$AF$7)/$H531*OFFSET(ORÇAMENTO!$X$15,ROW(AR531)-ROW(AR$15),0),0)</f>
        <v>0</v>
      </c>
      <c r="AS531" s="633">
        <f ca="1">IF(AND($D531="Serviço",AS$12&lt;&gt;0,$H531&gt;0,OR(AUTOEVENTO&lt;&gt;"manual",$M531&lt;&gt;1)),ROUND(OFFSET($P531,0,AS$13),15-13*ORÇAMENTO!$AF$7)/$H531*OFFSET(ORÇAMENTO!$X$15,ROW(AS531)-ROW(AS$15),0),0)</f>
        <v>0</v>
      </c>
      <c r="AT531" s="632">
        <f ca="1">IF(AND($D531="Serviço",AT$12&lt;&gt;0,$H531&gt;0,OR(AUTOEVENTO&lt;&gt;"manual",$M531&lt;&gt;1)),ROUND(OFFSET($P531,0,AT$13),15-13*ORÇAMENTO!$AF$7)/$H531*OFFSET(ORÇAMENTO!$X$15,ROW(AT531)-ROW(AT$15),0),0)</f>
        <v>0</v>
      </c>
      <c r="AU531" s="632">
        <f ca="1">IF(AND($D531="Serviço",AU$12&lt;&gt;0,$H531&gt;0,OR(AUTOEVENTO&lt;&gt;"manual",$M531&lt;&gt;1)),ROUND(OFFSET($P531,0,AU$13),15-13*ORÇAMENTO!$AF$7)/$H531*OFFSET(ORÇAMENTO!$X$15,ROW(AU531)-ROW(AU$15),0),0)</f>
        <v>0</v>
      </c>
      <c r="AV531" s="632">
        <f ca="1">IF(AND($D531="Serviço",AV$12&lt;&gt;0,$H531&gt;0,OR(AUTOEVENTO&lt;&gt;"manual",$M531&lt;&gt;1)),ROUND(OFFSET($P531,0,AV$13),15-13*ORÇAMENTO!$AF$7)/$H531*OFFSET(ORÇAMENTO!$X$15,ROW(AV531)-ROW(AV$15),0),0)</f>
        <v>0</v>
      </c>
      <c r="AW531" s="632">
        <f ca="1">IF(AND($D531="Serviço",AW$12&lt;&gt;0,$H531&gt;0,OR(AUTOEVENTO&lt;&gt;"manual",$M531&lt;&gt;1)),ROUND(OFFSET($P531,0,AW$13),15-13*ORÇAMENTO!$AF$7)/$H531*OFFSET(ORÇAMENTO!$X$15,ROW(AW531)-ROW(AW$15),0),0)</f>
        <v>0</v>
      </c>
      <c r="AX531" s="632">
        <f ca="1">IF(AND($D531="Serviço",AX$12&lt;&gt;0,$H531&gt;0,OR(AUTOEVENTO&lt;&gt;"manual",$M531&lt;&gt;1)),ROUND(OFFSET($P531,0,AX$13),15-13*ORÇAMENTO!$AF$7)/$H531*OFFSET(ORÇAMENTO!$X$15,ROW(AX531)-ROW(AX$15),0),0)</f>
        <v>0</v>
      </c>
      <c r="AY531" s="632">
        <f ca="1">IF(AND($D531="Serviço",AY$12&lt;&gt;0,$H531&gt;0,OR(AUTOEVENTO&lt;&gt;"manual",$M531&lt;&gt;1)),ROUND(OFFSET($P531,0,AY$13),15-13*ORÇAMENTO!$AF$7)/$H531*OFFSET(ORÇAMENTO!$X$15,ROW(AY531)-ROW(AY$15),0),0)</f>
        <v>0</v>
      </c>
      <c r="AZ531" s="632">
        <f ca="1">IF(AND($D531="Serviço",AZ$12&lt;&gt;0,$H531&gt;0,OR(AUTOEVENTO&lt;&gt;"manual",$M531&lt;&gt;1)),ROUND(OFFSET($P531,0,AZ$13),15-13*ORÇAMENTO!$AF$7)/$H531*OFFSET(ORÇAMENTO!$X$15,ROW(AZ531)-ROW(AZ$15),0),0)</f>
        <v>0</v>
      </c>
      <c r="BA531" s="633">
        <f ca="1">IF(AND($D531="Serviço",BA$12&lt;&gt;0,$H531&gt;0,OR(AUTOEVENTO&lt;&gt;"manual",$M531&lt;&gt;1)),ROUND(OFFSET($P531,0,BA$13),15-13*ORÇAMENTO!$AF$7)/$H531*OFFSET(ORÇAMENTO!$X$15,ROW(BA531)-ROW(BA$15),0),0)</f>
        <v>0</v>
      </c>
      <c r="BC531" s="215">
        <f ca="1">IF($D531&lt;&gt;"Serviço",0,IF(AND(AUTOEVENTO="Manual",$M531=1),0,IF(OFFSET(CRONOPLE!$F$14,$M531,BC$13)="",10^12,OFFSET(CRONOPLE!$F$14,$M531,BC$13))))</f>
        <v>1000000000000</v>
      </c>
      <c r="BD531" s="215">
        <f ca="1">IF($D531&lt;&gt;"Serviço",0,IF(AND(AUTOEVENTO="Manual",$M531=1),0,IF(OFFSET(CRONOPLE!$F$14,$M531,BD$13)="",10^12,OFFSET(CRONOPLE!$F$14,$M531,BD$13))))</f>
        <v>1000000000000</v>
      </c>
      <c r="BE531" s="215">
        <f ca="1">IF($D531&lt;&gt;"Serviço",0,IF(AND(AUTOEVENTO="Manual",$M531=1),0,IF(OFFSET(CRONOPLE!$F$14,$M531,BE$13)="",10^12,OFFSET(CRONOPLE!$F$14,$M531,BE$13))))</f>
        <v>1000000000000</v>
      </c>
      <c r="BF531" s="215">
        <f ca="1">IF($D531&lt;&gt;"Serviço",0,IF(AND(AUTOEVENTO="Manual",$M531=1),0,IF(OFFSET(CRONOPLE!$F$14,$M531,BF$13)="",10^12,OFFSET(CRONOPLE!$F$14,$M531,BF$13))))</f>
        <v>1000000000000</v>
      </c>
      <c r="BG531" s="215">
        <f ca="1">IF($D531&lt;&gt;"Serviço",0,IF(AND(AUTOEVENTO="Manual",$M531=1),0,IF(OFFSET(CRONOPLE!$F$14,$M531,BG$13)="",10^12,OFFSET(CRONOPLE!$F$14,$M531,BG$13))))</f>
        <v>1000000000000</v>
      </c>
      <c r="BH531" s="215">
        <f ca="1">IF($D531&lt;&gt;"Serviço",0,IF(AND(AUTOEVENTO="Manual",$M531=1),0,IF(OFFSET(CRONOPLE!$F$14,$M531,BH$13)="",10^12,OFFSET(CRONOPLE!$F$14,$M531,BH$13))))</f>
        <v>1000000000000</v>
      </c>
      <c r="BI531" s="215">
        <f ca="1">IF($D531&lt;&gt;"Serviço",0,IF(AND(AUTOEVENTO="Manual",$M531=1),0,IF(OFFSET(CRONOPLE!$F$14,$M531,BI$13)="",10^12,OFFSET(CRONOPLE!$F$14,$M531,BI$13))))</f>
        <v>1000000000000</v>
      </c>
      <c r="BJ531" s="215">
        <f ca="1">IF($D531&lt;&gt;"Serviço",0,IF(AND(AUTOEVENTO="Manual",$M531=1),0,IF(OFFSET(CRONOPLE!$F$14,$M531,BJ$13)="",10^12,OFFSET(CRONOPLE!$F$14,$M531,BJ$13))))</f>
        <v>1000000000000</v>
      </c>
      <c r="BK531" s="215">
        <f ca="1">IF($D531&lt;&gt;"Serviço",0,IF(AND(AUTOEVENTO="Manual",$M531=1),0,IF(OFFSET(CRONOPLE!$F$14,$M531,BK$13)="",10^12,OFFSET(CRONOPLE!$F$14,$M531,BK$13))))</f>
        <v>1000000000000</v>
      </c>
      <c r="BL531" s="215">
        <f ca="1">IF($D531&lt;&gt;"Serviço",0,IF(AND(AUTOEVENTO="Manual",$M531=1),0,IF(OFFSET(CRONOPLE!$F$14,$M531,BL$13)="",10^12,OFFSET(CRONOPLE!$F$14,$M531,BL$13))))</f>
        <v>1000000000000</v>
      </c>
      <c r="BM531" s="215">
        <f ca="1">IF($D531&lt;&gt;"Serviço",0,IF(AND(AUTOEVENTO="Manual",$M531=1),0,IF(OFFSET(CRONOPLE!$F$14,$M531,BM$13)="",10^12,OFFSET(CRONOPLE!$F$14,$M531,BM$13))))</f>
        <v>1000000000000</v>
      </c>
      <c r="BN531" s="215">
        <f ca="1">IF($D531&lt;&gt;"Serviço",0,IF(AND(AUTOEVENTO="Manual",$M531=1),0,IF(OFFSET(CRONOPLE!$F$14,$M531,BN$13)="",10^12,OFFSET(CRONOPLE!$F$14,$M531,BN$13))))</f>
        <v>1000000000000</v>
      </c>
      <c r="BO531" s="215">
        <f ca="1">IF($D531&lt;&gt;"Serviço",0,IF(AND(AUTOEVENTO="Manual",$M531=1),0,IF(OFFSET(CRONOPLE!$F$14,$M531,BO$13)="",10^12,OFFSET(CRONOPLE!$F$14,$M531,BO$13))))</f>
        <v>1000000000000</v>
      </c>
      <c r="BP531" s="215">
        <f ca="1">IF($D531&lt;&gt;"Serviço",0,IF(AND(AUTOEVENTO="Manual",$M531=1),0,IF(OFFSET(CRONOPLE!$F$14,$M531,BP$13)="",10^12,OFFSET(CRONOPLE!$F$14,$M531,BP$13))))</f>
        <v>1000000000000</v>
      </c>
      <c r="BQ531" s="215">
        <f ca="1">IF($D531&lt;&gt;"Serviço",0,IF(AND(AUTOEVENTO="Manual",$M531=1),0,IF(OFFSET(CRONOPLE!$F$14,$M531,BQ$13)="",10^12,OFFSET(CRONOPLE!$F$14,$M531,BQ$13))))</f>
        <v>1000000000000</v>
      </c>
      <c r="BR531" s="215">
        <f ca="1">IF($D531&lt;&gt;"Serviço",0,IF(AND(AUTOEVENTO="Manual",$M531=1),0,IF(OFFSET(CRONOPLE!$F$14,$M531,BR$13)="",10^12,OFFSET(CRONOPLE!$F$14,$M531,BR$13))))</f>
        <v>1000000000000</v>
      </c>
      <c r="BS531" s="215">
        <f ca="1">IF($D531&lt;&gt;"Serviço",0,IF(AND(AUTOEVENTO="Manual",$M531=1),0,IF(OFFSET(CRONOPLE!$F$14,$M531,BS$13)="",10^12,OFFSET(CRONOPLE!$F$14,$M531,BS$13))))</f>
        <v>1000000000000</v>
      </c>
      <c r="BT531" s="215">
        <f ca="1">IF($D531&lt;&gt;"Serviço",0,IF(AND(AUTOEVENTO="Manual",$M531=1),0,IF(OFFSET(CRONOPLE!$F$14,$M531,BT$13)="",10^12,OFFSET(CRONOPLE!$F$14,$M531,BT$13))))</f>
        <v>1000000000000</v>
      </c>
      <c r="BV531" s="216">
        <f ca="1">IF($D531&lt;&gt;"Serviço",0,IF(OR(AND(AUTOEVENTO="Manual",$M531=1),$M531&gt;(ROW(PLE.lastrow)-ROW(PLE.firstrow))),0,IF(OFFSET(PLE!$G$14,$M531,BV$13)="",10^12,OFFSET(PLE!$G$14,$M531,BV$13))))</f>
        <v>1000000000000</v>
      </c>
      <c r="BW531" s="216">
        <f ca="1">IF($D531&lt;&gt;"Serviço",0,IF(OR(AND(AUTOEVENTO="Manual",$M531=1),$M531&gt;(ROW(PLE.lastrow)-ROW(PLE.firstrow))),0,IF(OFFSET(PLE!$G$14,$M531,BW$13)="",10^12,OFFSET(PLE!$G$14,$M531,BW$13))))</f>
        <v>1000000000000</v>
      </c>
      <c r="BX531" s="216">
        <f ca="1">IF($D531&lt;&gt;"Serviço",0,IF(OR(AND(AUTOEVENTO="Manual",$M531=1),$M531&gt;(ROW(PLE.lastrow)-ROW(PLE.firstrow))),0,IF(OFFSET(PLE!$G$14,$M531,BX$13)="",10^12,OFFSET(PLE!$G$14,$M531,BX$13))))</f>
        <v>1000000000000</v>
      </c>
      <c r="BY531" s="216">
        <f ca="1">IF($D531&lt;&gt;"Serviço",0,IF(OR(AND(AUTOEVENTO="Manual",$M531=1),$M531&gt;(ROW(PLE.lastrow)-ROW(PLE.firstrow))),0,IF(OFFSET(PLE!$G$14,$M531,BY$13)="",10^12,OFFSET(PLE!$G$14,$M531,BY$13))))</f>
        <v>1000000000000</v>
      </c>
      <c r="BZ531" s="216">
        <f ca="1">IF($D531&lt;&gt;"Serviço",0,IF(OR(AND(AUTOEVENTO="Manual",$M531=1),$M531&gt;(ROW(PLE.lastrow)-ROW(PLE.firstrow))),0,IF(OFFSET(PLE!$G$14,$M531,BZ$13)="",10^12,OFFSET(PLE!$G$14,$M531,BZ$13))))</f>
        <v>1000000000000</v>
      </c>
      <c r="CA531" s="216">
        <f ca="1">IF($D531&lt;&gt;"Serviço",0,IF(OR(AND(AUTOEVENTO="Manual",$M531=1),$M531&gt;(ROW(PLE.lastrow)-ROW(PLE.firstrow))),0,IF(OFFSET(PLE!$G$14,$M531,CA$13)="",10^12,OFFSET(PLE!$G$14,$M531,CA$13))))</f>
        <v>1000000000000</v>
      </c>
      <c r="CB531" s="216">
        <f ca="1">IF($D531&lt;&gt;"Serviço",0,IF(OR(AND(AUTOEVENTO="Manual",$M531=1),$M531&gt;(ROW(PLE.lastrow)-ROW(PLE.firstrow))),0,IF(OFFSET(PLE!$G$14,$M531,CB$13)="",10^12,OFFSET(PLE!$G$14,$M531,CB$13))))</f>
        <v>1000000000000</v>
      </c>
      <c r="CC531" s="216">
        <f ca="1">IF($D531&lt;&gt;"Serviço",0,IF(OR(AND(AUTOEVENTO="Manual",$M531=1),$M531&gt;(ROW(PLE.lastrow)-ROW(PLE.firstrow))),0,IF(OFFSET(PLE!$G$14,$M531,CC$13)="",10^12,OFFSET(PLE!$G$14,$M531,CC$13))))</f>
        <v>1000000000000</v>
      </c>
      <c r="CD531" s="216">
        <f ca="1">IF($D531&lt;&gt;"Serviço",0,IF(OR(AND(AUTOEVENTO="Manual",$M531=1),$M531&gt;(ROW(PLE.lastrow)-ROW(PLE.firstrow))),0,IF(OFFSET(PLE!$G$14,$M531,CD$13)="",10^12,OFFSET(PLE!$G$14,$M531,CD$13))))</f>
        <v>1000000000000</v>
      </c>
      <c r="CE531" s="216">
        <f ca="1">IF($D531&lt;&gt;"Serviço",0,IF(OR(AND(AUTOEVENTO="Manual",$M531=1),$M531&gt;(ROW(PLE.lastrow)-ROW(PLE.firstrow))),0,IF(OFFSET(PLE!$G$14,$M531,CE$13)="",10^12,OFFSET(PLE!$G$14,$M531,CE$13))))</f>
        <v>1000000000000</v>
      </c>
      <c r="CF531" s="216">
        <f ca="1">IF($D531&lt;&gt;"Serviço",0,IF(OR(AND(AUTOEVENTO="Manual",$M531=1),$M531&gt;(ROW(PLE.lastrow)-ROW(PLE.firstrow))),0,IF(OFFSET(PLE!$G$14,$M531,CF$13)="",10^12,OFFSET(PLE!$G$14,$M531,CF$13))))</f>
        <v>1000000000000</v>
      </c>
      <c r="CG531" s="216">
        <f ca="1">IF($D531&lt;&gt;"Serviço",0,IF(OR(AND(AUTOEVENTO="Manual",$M531=1),$M531&gt;(ROW(PLE.lastrow)-ROW(PLE.firstrow))),0,IF(OFFSET(PLE!$G$14,$M531,CG$13)="",10^12,OFFSET(PLE!$G$14,$M531,CG$13))))</f>
        <v>1000000000000</v>
      </c>
      <c r="CH531" s="216">
        <f ca="1">IF($D531&lt;&gt;"Serviço",0,IF(OR(AND(AUTOEVENTO="Manual",$M531=1),$M531&gt;(ROW(PLE.lastrow)-ROW(PLE.firstrow))),0,IF(OFFSET(PLE!$G$14,$M531,CH$13)="",10^12,OFFSET(PLE!$G$14,$M531,CH$13))))</f>
        <v>1000000000000</v>
      </c>
      <c r="CI531" s="216">
        <f ca="1">IF($D531&lt;&gt;"Serviço",0,IF(OR(AND(AUTOEVENTO="Manual",$M531=1),$M531&gt;(ROW(PLE.lastrow)-ROW(PLE.firstrow))),0,IF(OFFSET(PLE!$G$14,$M531,CI$13)="",10^12,OFFSET(PLE!$G$14,$M531,CI$13))))</f>
        <v>1000000000000</v>
      </c>
      <c r="CJ531" s="216">
        <f ca="1">IF($D531&lt;&gt;"Serviço",0,IF(OR(AND(AUTOEVENTO="Manual",$M531=1),$M531&gt;(ROW(PLE.lastrow)-ROW(PLE.firstrow))),0,IF(OFFSET(PLE!$G$14,$M531,CJ$13)="",10^12,OFFSET(PLE!$G$14,$M531,CJ$13))))</f>
        <v>1000000000000</v>
      </c>
      <c r="CK531" s="216">
        <f ca="1">IF($D531&lt;&gt;"Serviço",0,IF(OR(AND(AUTOEVENTO="Manual",$M531=1),$M531&gt;(ROW(PLE.lastrow)-ROW(PLE.firstrow))),0,IF(OFFSET(PLE!$G$14,$M531,CK$13)="",10^12,OFFSET(PLE!$G$14,$M531,CK$13))))</f>
        <v>1000000000000</v>
      </c>
      <c r="CL531" s="216">
        <f ca="1">IF($D531&lt;&gt;"Serviço",0,IF(OR(AND(AUTOEVENTO="Manual",$M531=1),$M531&gt;(ROW(PLE.lastrow)-ROW(PLE.firstrow))),0,IF(OFFSET(PLE!$G$14,$M531,CL$13)="",10^12,OFFSET(PLE!$G$14,$M531,CL$13))))</f>
        <v>1000000000000</v>
      </c>
      <c r="CM531" s="216">
        <f ca="1">IF($D531&lt;&gt;"Serviço",0,IF(OR(AND(AUTOEVENTO="Manual",$M531=1),$M531&gt;(ROW(PLE.lastrow)-ROW(PLE.firstrow))),0,IF(OFFSET(PLE!$G$14,$M531,CM$13)="",10^12,OFFSET(PLE!$G$14,$M531,CM$13))))</f>
        <v>1000000000000</v>
      </c>
    </row>
    <row r="532" spans="1:91" ht="13.2" x14ac:dyDescent="0.25">
      <c r="A532" s="9">
        <f t="shared" ca="1" si="17"/>
        <v>0</v>
      </c>
      <c r="B532" s="9" t="str">
        <f ca="1">OFFSET(ORÇAMENTO!C$15,ROW(B532)-ROW(B$15),0)</f>
        <v>S</v>
      </c>
      <c r="C532" s="9" t="str">
        <f ca="1">OFFSET(ORÇAMENTO!L$15,ROW(C532)-ROW(C$15),0)</f>
        <v/>
      </c>
      <c r="D532" s="145" t="str">
        <f ca="1">OFFSET(ORÇAMENTO!N$15,ROW(D532)-ROW(D$15),0)</f>
        <v>Serviço</v>
      </c>
      <c r="E532" s="205" t="str">
        <f ca="1">OFFSET(ORÇAMENTO!O$15,ROW(E532)-ROW(E$15),0)</f>
        <v>-</v>
      </c>
      <c r="F532" s="206" t="str">
        <f ca="1">OFFSET(ORÇAMENTO!R$15,ROW(F532)-ROW(F$15),0)</f>
        <v>(abra o arquivo 'Referência 05-2024.xls)</v>
      </c>
      <c r="G532" s="207" t="str">
        <f ca="1">IF($D532&lt;&gt;"Serviço","",OFFSET(ORÇAMENTO!S$15,ROW(G532)-ROW(G$15),0))</f>
        <v>-</v>
      </c>
      <c r="H532" s="151">
        <f ca="1">IF($D532&lt;&gt;"Serviço",0,IF(ACOMPANHAMENTO="BM",ROUND(OFFSET(ORÇAMENTO!AJ$15,ROW(H532)-ROW(H$15),0),15-13*ORÇAMENTO!$AF$7),SUMPRODUCT(($Q$12:$AI$12&lt;&gt;"")*ROUND($Q532:$AI532,15-13*ORÇAMENTO!$AF$7))))</f>
        <v>3</v>
      </c>
      <c r="I532" s="650"/>
      <c r="K532" s="208"/>
      <c r="L532" s="209" t="s">
        <v>257</v>
      </c>
      <c r="M532" s="210">
        <f ca="1">IF($D532&lt;&gt;"Serviço","",IF(AUTOEVENTO="manual",$A532,IF(ISERROR(MATCH($A532,$A$15:OFFSET($A532,-1,0),0)),MAX($M$15:OFFSET(M532,-1,0))+1,INDEX($M$15:OFFSET(M532,-1,0),MATCH($A532,$A$15:OFFSET($A532,-1,0),0)))))</f>
        <v>0</v>
      </c>
      <c r="N532" s="211" t="str">
        <f ca="1">IF($D532&lt;&gt;"Serviço","",IF(AUTOEVENTO="Manual",IF($A532=0,"&lt;-- defina o número do agrupador",OFFSET(EVENTOS!$D$14,$A532,0)),OFFSET($F$15,$A532,0)))</f>
        <v>&lt;-- defina o número do agrupador</v>
      </c>
      <c r="O532" s="212"/>
      <c r="Q532" s="212"/>
      <c r="R532" s="213"/>
      <c r="S532" s="213"/>
      <c r="T532" s="213"/>
      <c r="U532" s="213"/>
      <c r="V532" s="213"/>
      <c r="W532" s="213"/>
      <c r="X532" s="213"/>
      <c r="Y532" s="213"/>
      <c r="Z532" s="214"/>
      <c r="AA532" s="213"/>
      <c r="AB532" s="213"/>
      <c r="AC532" s="213"/>
      <c r="AD532" s="213"/>
      <c r="AE532" s="213"/>
      <c r="AF532" s="213"/>
      <c r="AG532" s="213"/>
      <c r="AH532" s="214"/>
      <c r="AJ532" s="631">
        <f ca="1">IF(AND($D532="Serviço",AJ$12&lt;&gt;0,$H532&gt;0,OR(AUTOEVENTO&lt;&gt;"manual",$M532&lt;&gt;1)),ROUND(OFFSET($P532,0,AJ$13),15-13*ORÇAMENTO!$AF$7)/$H532*OFFSET(ORÇAMENTO!$X$15,ROW(AJ532)-ROW(AJ$15),0),0)</f>
        <v>0</v>
      </c>
      <c r="AK532" s="632">
        <f ca="1">IF(AND($D532="Serviço",AK$12&lt;&gt;0,$H532&gt;0,OR(AUTOEVENTO&lt;&gt;"manual",$M532&lt;&gt;1)),ROUND(OFFSET($P532,0,AK$13),15-13*ORÇAMENTO!$AF$7)/$H532*OFFSET(ORÇAMENTO!$X$15,ROW(AK532)-ROW(AK$15),0),0)</f>
        <v>0</v>
      </c>
      <c r="AL532" s="632">
        <f ca="1">IF(AND($D532="Serviço",AL$12&lt;&gt;0,$H532&gt;0,OR(AUTOEVENTO&lt;&gt;"manual",$M532&lt;&gt;1)),ROUND(OFFSET($P532,0,AL$13),15-13*ORÇAMENTO!$AF$7)/$H532*OFFSET(ORÇAMENTO!$X$15,ROW(AL532)-ROW(AL$15),0),0)</f>
        <v>0</v>
      </c>
      <c r="AM532" s="632">
        <f ca="1">IF(AND($D532="Serviço",AM$12&lt;&gt;0,$H532&gt;0,OR(AUTOEVENTO&lt;&gt;"manual",$M532&lt;&gt;1)),ROUND(OFFSET($P532,0,AM$13),15-13*ORÇAMENTO!$AF$7)/$H532*OFFSET(ORÇAMENTO!$X$15,ROW(AM532)-ROW(AM$15),0),0)</f>
        <v>0</v>
      </c>
      <c r="AN532" s="632">
        <f ca="1">IF(AND($D532="Serviço",AN$12&lt;&gt;0,$H532&gt;0,OR(AUTOEVENTO&lt;&gt;"manual",$M532&lt;&gt;1)),ROUND(OFFSET($P532,0,AN$13),15-13*ORÇAMENTO!$AF$7)/$H532*OFFSET(ORÇAMENTO!$X$15,ROW(AN532)-ROW(AN$15),0),0)</f>
        <v>0</v>
      </c>
      <c r="AO532" s="632">
        <f ca="1">IF(AND($D532="Serviço",AO$12&lt;&gt;0,$H532&gt;0,OR(AUTOEVENTO&lt;&gt;"manual",$M532&lt;&gt;1)),ROUND(OFFSET($P532,0,AO$13),15-13*ORÇAMENTO!$AF$7)/$H532*OFFSET(ORÇAMENTO!$X$15,ROW(AO532)-ROW(AO$15),0),0)</f>
        <v>0</v>
      </c>
      <c r="AP532" s="632">
        <f ca="1">IF(AND($D532="Serviço",AP$12&lt;&gt;0,$H532&gt;0,OR(AUTOEVENTO&lt;&gt;"manual",$M532&lt;&gt;1)),ROUND(OFFSET($P532,0,AP$13),15-13*ORÇAMENTO!$AF$7)/$H532*OFFSET(ORÇAMENTO!$X$15,ROW(AP532)-ROW(AP$15),0),0)</f>
        <v>0</v>
      </c>
      <c r="AQ532" s="632">
        <f ca="1">IF(AND($D532="Serviço",AQ$12&lt;&gt;0,$H532&gt;0,OR(AUTOEVENTO&lt;&gt;"manual",$M532&lt;&gt;1)),ROUND(OFFSET($P532,0,AQ$13),15-13*ORÇAMENTO!$AF$7)/$H532*OFFSET(ORÇAMENTO!$X$15,ROW(AQ532)-ROW(AQ$15),0),0)</f>
        <v>0</v>
      </c>
      <c r="AR532" s="632">
        <f ca="1">IF(AND($D532="Serviço",AR$12&lt;&gt;0,$H532&gt;0,OR(AUTOEVENTO&lt;&gt;"manual",$M532&lt;&gt;1)),ROUND(OFFSET($P532,0,AR$13),15-13*ORÇAMENTO!$AF$7)/$H532*OFFSET(ORÇAMENTO!$X$15,ROW(AR532)-ROW(AR$15),0),0)</f>
        <v>0</v>
      </c>
      <c r="AS532" s="633">
        <f ca="1">IF(AND($D532="Serviço",AS$12&lt;&gt;0,$H532&gt;0,OR(AUTOEVENTO&lt;&gt;"manual",$M532&lt;&gt;1)),ROUND(OFFSET($P532,0,AS$13),15-13*ORÇAMENTO!$AF$7)/$H532*OFFSET(ORÇAMENTO!$X$15,ROW(AS532)-ROW(AS$15),0),0)</f>
        <v>0</v>
      </c>
      <c r="AT532" s="632">
        <f ca="1">IF(AND($D532="Serviço",AT$12&lt;&gt;0,$H532&gt;0,OR(AUTOEVENTO&lt;&gt;"manual",$M532&lt;&gt;1)),ROUND(OFFSET($P532,0,AT$13),15-13*ORÇAMENTO!$AF$7)/$H532*OFFSET(ORÇAMENTO!$X$15,ROW(AT532)-ROW(AT$15),0),0)</f>
        <v>0</v>
      </c>
      <c r="AU532" s="632">
        <f ca="1">IF(AND($D532="Serviço",AU$12&lt;&gt;0,$H532&gt;0,OR(AUTOEVENTO&lt;&gt;"manual",$M532&lt;&gt;1)),ROUND(OFFSET($P532,0,AU$13),15-13*ORÇAMENTO!$AF$7)/$H532*OFFSET(ORÇAMENTO!$X$15,ROW(AU532)-ROW(AU$15),0),0)</f>
        <v>0</v>
      </c>
      <c r="AV532" s="632">
        <f ca="1">IF(AND($D532="Serviço",AV$12&lt;&gt;0,$H532&gt;0,OR(AUTOEVENTO&lt;&gt;"manual",$M532&lt;&gt;1)),ROUND(OFFSET($P532,0,AV$13),15-13*ORÇAMENTO!$AF$7)/$H532*OFFSET(ORÇAMENTO!$X$15,ROW(AV532)-ROW(AV$15),0),0)</f>
        <v>0</v>
      </c>
      <c r="AW532" s="632">
        <f ca="1">IF(AND($D532="Serviço",AW$12&lt;&gt;0,$H532&gt;0,OR(AUTOEVENTO&lt;&gt;"manual",$M532&lt;&gt;1)),ROUND(OFFSET($P532,0,AW$13),15-13*ORÇAMENTO!$AF$7)/$H532*OFFSET(ORÇAMENTO!$X$15,ROW(AW532)-ROW(AW$15),0),0)</f>
        <v>0</v>
      </c>
      <c r="AX532" s="632">
        <f ca="1">IF(AND($D532="Serviço",AX$12&lt;&gt;0,$H532&gt;0,OR(AUTOEVENTO&lt;&gt;"manual",$M532&lt;&gt;1)),ROUND(OFFSET($P532,0,AX$13),15-13*ORÇAMENTO!$AF$7)/$H532*OFFSET(ORÇAMENTO!$X$15,ROW(AX532)-ROW(AX$15),0),0)</f>
        <v>0</v>
      </c>
      <c r="AY532" s="632">
        <f ca="1">IF(AND($D532="Serviço",AY$12&lt;&gt;0,$H532&gt;0,OR(AUTOEVENTO&lt;&gt;"manual",$M532&lt;&gt;1)),ROUND(OFFSET($P532,0,AY$13),15-13*ORÇAMENTO!$AF$7)/$H532*OFFSET(ORÇAMENTO!$X$15,ROW(AY532)-ROW(AY$15),0),0)</f>
        <v>0</v>
      </c>
      <c r="AZ532" s="632">
        <f ca="1">IF(AND($D532="Serviço",AZ$12&lt;&gt;0,$H532&gt;0,OR(AUTOEVENTO&lt;&gt;"manual",$M532&lt;&gt;1)),ROUND(OFFSET($P532,0,AZ$13),15-13*ORÇAMENTO!$AF$7)/$H532*OFFSET(ORÇAMENTO!$X$15,ROW(AZ532)-ROW(AZ$15),0),0)</f>
        <v>0</v>
      </c>
      <c r="BA532" s="633">
        <f ca="1">IF(AND($D532="Serviço",BA$12&lt;&gt;0,$H532&gt;0,OR(AUTOEVENTO&lt;&gt;"manual",$M532&lt;&gt;1)),ROUND(OFFSET($P532,0,BA$13),15-13*ORÇAMENTO!$AF$7)/$H532*OFFSET(ORÇAMENTO!$X$15,ROW(BA532)-ROW(BA$15),0),0)</f>
        <v>0</v>
      </c>
      <c r="BC532" s="215">
        <f ca="1">IF($D532&lt;&gt;"Serviço",0,IF(AND(AUTOEVENTO="Manual",$M532=1),0,IF(OFFSET(CRONOPLE!$F$14,$M532,BC$13)="",10^12,OFFSET(CRONOPLE!$F$14,$M532,BC$13))))</f>
        <v>1000000000000</v>
      </c>
      <c r="BD532" s="215">
        <f ca="1">IF($D532&lt;&gt;"Serviço",0,IF(AND(AUTOEVENTO="Manual",$M532=1),0,IF(OFFSET(CRONOPLE!$F$14,$M532,BD$13)="",10^12,OFFSET(CRONOPLE!$F$14,$M532,BD$13))))</f>
        <v>1000000000000</v>
      </c>
      <c r="BE532" s="215">
        <f ca="1">IF($D532&lt;&gt;"Serviço",0,IF(AND(AUTOEVENTO="Manual",$M532=1),0,IF(OFFSET(CRONOPLE!$F$14,$M532,BE$13)="",10^12,OFFSET(CRONOPLE!$F$14,$M532,BE$13))))</f>
        <v>1000000000000</v>
      </c>
      <c r="BF532" s="215">
        <f ca="1">IF($D532&lt;&gt;"Serviço",0,IF(AND(AUTOEVENTO="Manual",$M532=1),0,IF(OFFSET(CRONOPLE!$F$14,$M532,BF$13)="",10^12,OFFSET(CRONOPLE!$F$14,$M532,BF$13))))</f>
        <v>1000000000000</v>
      </c>
      <c r="BG532" s="215">
        <f ca="1">IF($D532&lt;&gt;"Serviço",0,IF(AND(AUTOEVENTO="Manual",$M532=1),0,IF(OFFSET(CRONOPLE!$F$14,$M532,BG$13)="",10^12,OFFSET(CRONOPLE!$F$14,$M532,BG$13))))</f>
        <v>1000000000000</v>
      </c>
      <c r="BH532" s="215">
        <f ca="1">IF($D532&lt;&gt;"Serviço",0,IF(AND(AUTOEVENTO="Manual",$M532=1),0,IF(OFFSET(CRONOPLE!$F$14,$M532,BH$13)="",10^12,OFFSET(CRONOPLE!$F$14,$M532,BH$13))))</f>
        <v>1000000000000</v>
      </c>
      <c r="BI532" s="215">
        <f ca="1">IF($D532&lt;&gt;"Serviço",0,IF(AND(AUTOEVENTO="Manual",$M532=1),0,IF(OFFSET(CRONOPLE!$F$14,$M532,BI$13)="",10^12,OFFSET(CRONOPLE!$F$14,$M532,BI$13))))</f>
        <v>1000000000000</v>
      </c>
      <c r="BJ532" s="215">
        <f ca="1">IF($D532&lt;&gt;"Serviço",0,IF(AND(AUTOEVENTO="Manual",$M532=1),0,IF(OFFSET(CRONOPLE!$F$14,$M532,BJ$13)="",10^12,OFFSET(CRONOPLE!$F$14,$M532,BJ$13))))</f>
        <v>1000000000000</v>
      </c>
      <c r="BK532" s="215">
        <f ca="1">IF($D532&lt;&gt;"Serviço",0,IF(AND(AUTOEVENTO="Manual",$M532=1),0,IF(OFFSET(CRONOPLE!$F$14,$M532,BK$13)="",10^12,OFFSET(CRONOPLE!$F$14,$M532,BK$13))))</f>
        <v>1000000000000</v>
      </c>
      <c r="BL532" s="215">
        <f ca="1">IF($D532&lt;&gt;"Serviço",0,IF(AND(AUTOEVENTO="Manual",$M532=1),0,IF(OFFSET(CRONOPLE!$F$14,$M532,BL$13)="",10^12,OFFSET(CRONOPLE!$F$14,$M532,BL$13))))</f>
        <v>1000000000000</v>
      </c>
      <c r="BM532" s="215">
        <f ca="1">IF($D532&lt;&gt;"Serviço",0,IF(AND(AUTOEVENTO="Manual",$M532=1),0,IF(OFFSET(CRONOPLE!$F$14,$M532,BM$13)="",10^12,OFFSET(CRONOPLE!$F$14,$M532,BM$13))))</f>
        <v>1000000000000</v>
      </c>
      <c r="BN532" s="215">
        <f ca="1">IF($D532&lt;&gt;"Serviço",0,IF(AND(AUTOEVENTO="Manual",$M532=1),0,IF(OFFSET(CRONOPLE!$F$14,$M532,BN$13)="",10^12,OFFSET(CRONOPLE!$F$14,$M532,BN$13))))</f>
        <v>1000000000000</v>
      </c>
      <c r="BO532" s="215">
        <f ca="1">IF($D532&lt;&gt;"Serviço",0,IF(AND(AUTOEVENTO="Manual",$M532=1),0,IF(OFFSET(CRONOPLE!$F$14,$M532,BO$13)="",10^12,OFFSET(CRONOPLE!$F$14,$M532,BO$13))))</f>
        <v>1000000000000</v>
      </c>
      <c r="BP532" s="215">
        <f ca="1">IF($D532&lt;&gt;"Serviço",0,IF(AND(AUTOEVENTO="Manual",$M532=1),0,IF(OFFSET(CRONOPLE!$F$14,$M532,BP$13)="",10^12,OFFSET(CRONOPLE!$F$14,$M532,BP$13))))</f>
        <v>1000000000000</v>
      </c>
      <c r="BQ532" s="215">
        <f ca="1">IF($D532&lt;&gt;"Serviço",0,IF(AND(AUTOEVENTO="Manual",$M532=1),0,IF(OFFSET(CRONOPLE!$F$14,$M532,BQ$13)="",10^12,OFFSET(CRONOPLE!$F$14,$M532,BQ$13))))</f>
        <v>1000000000000</v>
      </c>
      <c r="BR532" s="215">
        <f ca="1">IF($D532&lt;&gt;"Serviço",0,IF(AND(AUTOEVENTO="Manual",$M532=1),0,IF(OFFSET(CRONOPLE!$F$14,$M532,BR$13)="",10^12,OFFSET(CRONOPLE!$F$14,$M532,BR$13))))</f>
        <v>1000000000000</v>
      </c>
      <c r="BS532" s="215">
        <f ca="1">IF($D532&lt;&gt;"Serviço",0,IF(AND(AUTOEVENTO="Manual",$M532=1),0,IF(OFFSET(CRONOPLE!$F$14,$M532,BS$13)="",10^12,OFFSET(CRONOPLE!$F$14,$M532,BS$13))))</f>
        <v>1000000000000</v>
      </c>
      <c r="BT532" s="215">
        <f ca="1">IF($D532&lt;&gt;"Serviço",0,IF(AND(AUTOEVENTO="Manual",$M532=1),0,IF(OFFSET(CRONOPLE!$F$14,$M532,BT$13)="",10^12,OFFSET(CRONOPLE!$F$14,$M532,BT$13))))</f>
        <v>1000000000000</v>
      </c>
      <c r="BV532" s="216">
        <f ca="1">IF($D532&lt;&gt;"Serviço",0,IF(OR(AND(AUTOEVENTO="Manual",$M532=1),$M532&gt;(ROW(PLE.lastrow)-ROW(PLE.firstrow))),0,IF(OFFSET(PLE!$G$14,$M532,BV$13)="",10^12,OFFSET(PLE!$G$14,$M532,BV$13))))</f>
        <v>1000000000000</v>
      </c>
      <c r="BW532" s="216">
        <f ca="1">IF($D532&lt;&gt;"Serviço",0,IF(OR(AND(AUTOEVENTO="Manual",$M532=1),$M532&gt;(ROW(PLE.lastrow)-ROW(PLE.firstrow))),0,IF(OFFSET(PLE!$G$14,$M532,BW$13)="",10^12,OFFSET(PLE!$G$14,$M532,BW$13))))</f>
        <v>1000000000000</v>
      </c>
      <c r="BX532" s="216">
        <f ca="1">IF($D532&lt;&gt;"Serviço",0,IF(OR(AND(AUTOEVENTO="Manual",$M532=1),$M532&gt;(ROW(PLE.lastrow)-ROW(PLE.firstrow))),0,IF(OFFSET(PLE!$G$14,$M532,BX$13)="",10^12,OFFSET(PLE!$G$14,$M532,BX$13))))</f>
        <v>1000000000000</v>
      </c>
      <c r="BY532" s="216">
        <f ca="1">IF($D532&lt;&gt;"Serviço",0,IF(OR(AND(AUTOEVENTO="Manual",$M532=1),$M532&gt;(ROW(PLE.lastrow)-ROW(PLE.firstrow))),0,IF(OFFSET(PLE!$G$14,$M532,BY$13)="",10^12,OFFSET(PLE!$G$14,$M532,BY$13))))</f>
        <v>1000000000000</v>
      </c>
      <c r="BZ532" s="216">
        <f ca="1">IF($D532&lt;&gt;"Serviço",0,IF(OR(AND(AUTOEVENTO="Manual",$M532=1),$M532&gt;(ROW(PLE.lastrow)-ROW(PLE.firstrow))),0,IF(OFFSET(PLE!$G$14,$M532,BZ$13)="",10^12,OFFSET(PLE!$G$14,$M532,BZ$13))))</f>
        <v>1000000000000</v>
      </c>
      <c r="CA532" s="216">
        <f ca="1">IF($D532&lt;&gt;"Serviço",0,IF(OR(AND(AUTOEVENTO="Manual",$M532=1),$M532&gt;(ROW(PLE.lastrow)-ROW(PLE.firstrow))),0,IF(OFFSET(PLE!$G$14,$M532,CA$13)="",10^12,OFFSET(PLE!$G$14,$M532,CA$13))))</f>
        <v>1000000000000</v>
      </c>
      <c r="CB532" s="216">
        <f ca="1">IF($D532&lt;&gt;"Serviço",0,IF(OR(AND(AUTOEVENTO="Manual",$M532=1),$M532&gt;(ROW(PLE.lastrow)-ROW(PLE.firstrow))),0,IF(OFFSET(PLE!$G$14,$M532,CB$13)="",10^12,OFFSET(PLE!$G$14,$M532,CB$13))))</f>
        <v>1000000000000</v>
      </c>
      <c r="CC532" s="216">
        <f ca="1">IF($D532&lt;&gt;"Serviço",0,IF(OR(AND(AUTOEVENTO="Manual",$M532=1),$M532&gt;(ROW(PLE.lastrow)-ROW(PLE.firstrow))),0,IF(OFFSET(PLE!$G$14,$M532,CC$13)="",10^12,OFFSET(PLE!$G$14,$M532,CC$13))))</f>
        <v>1000000000000</v>
      </c>
      <c r="CD532" s="216">
        <f ca="1">IF($D532&lt;&gt;"Serviço",0,IF(OR(AND(AUTOEVENTO="Manual",$M532=1),$M532&gt;(ROW(PLE.lastrow)-ROW(PLE.firstrow))),0,IF(OFFSET(PLE!$G$14,$M532,CD$13)="",10^12,OFFSET(PLE!$G$14,$M532,CD$13))))</f>
        <v>1000000000000</v>
      </c>
      <c r="CE532" s="216">
        <f ca="1">IF($D532&lt;&gt;"Serviço",0,IF(OR(AND(AUTOEVENTO="Manual",$M532=1),$M532&gt;(ROW(PLE.lastrow)-ROW(PLE.firstrow))),0,IF(OFFSET(PLE!$G$14,$M532,CE$13)="",10^12,OFFSET(PLE!$G$14,$M532,CE$13))))</f>
        <v>1000000000000</v>
      </c>
      <c r="CF532" s="216">
        <f ca="1">IF($D532&lt;&gt;"Serviço",0,IF(OR(AND(AUTOEVENTO="Manual",$M532=1),$M532&gt;(ROW(PLE.lastrow)-ROW(PLE.firstrow))),0,IF(OFFSET(PLE!$G$14,$M532,CF$13)="",10^12,OFFSET(PLE!$G$14,$M532,CF$13))))</f>
        <v>1000000000000</v>
      </c>
      <c r="CG532" s="216">
        <f ca="1">IF($D532&lt;&gt;"Serviço",0,IF(OR(AND(AUTOEVENTO="Manual",$M532=1),$M532&gt;(ROW(PLE.lastrow)-ROW(PLE.firstrow))),0,IF(OFFSET(PLE!$G$14,$M532,CG$13)="",10^12,OFFSET(PLE!$G$14,$M532,CG$13))))</f>
        <v>1000000000000</v>
      </c>
      <c r="CH532" s="216">
        <f ca="1">IF($D532&lt;&gt;"Serviço",0,IF(OR(AND(AUTOEVENTO="Manual",$M532=1),$M532&gt;(ROW(PLE.lastrow)-ROW(PLE.firstrow))),0,IF(OFFSET(PLE!$G$14,$M532,CH$13)="",10^12,OFFSET(PLE!$G$14,$M532,CH$13))))</f>
        <v>1000000000000</v>
      </c>
      <c r="CI532" s="216">
        <f ca="1">IF($D532&lt;&gt;"Serviço",0,IF(OR(AND(AUTOEVENTO="Manual",$M532=1),$M532&gt;(ROW(PLE.lastrow)-ROW(PLE.firstrow))),0,IF(OFFSET(PLE!$G$14,$M532,CI$13)="",10^12,OFFSET(PLE!$G$14,$M532,CI$13))))</f>
        <v>1000000000000</v>
      </c>
      <c r="CJ532" s="216">
        <f ca="1">IF($D532&lt;&gt;"Serviço",0,IF(OR(AND(AUTOEVENTO="Manual",$M532=1),$M532&gt;(ROW(PLE.lastrow)-ROW(PLE.firstrow))),0,IF(OFFSET(PLE!$G$14,$M532,CJ$13)="",10^12,OFFSET(PLE!$G$14,$M532,CJ$13))))</f>
        <v>1000000000000</v>
      </c>
      <c r="CK532" s="216">
        <f ca="1">IF($D532&lt;&gt;"Serviço",0,IF(OR(AND(AUTOEVENTO="Manual",$M532=1),$M532&gt;(ROW(PLE.lastrow)-ROW(PLE.firstrow))),0,IF(OFFSET(PLE!$G$14,$M532,CK$13)="",10^12,OFFSET(PLE!$G$14,$M532,CK$13))))</f>
        <v>1000000000000</v>
      </c>
      <c r="CL532" s="216">
        <f ca="1">IF($D532&lt;&gt;"Serviço",0,IF(OR(AND(AUTOEVENTO="Manual",$M532=1),$M532&gt;(ROW(PLE.lastrow)-ROW(PLE.firstrow))),0,IF(OFFSET(PLE!$G$14,$M532,CL$13)="",10^12,OFFSET(PLE!$G$14,$M532,CL$13))))</f>
        <v>1000000000000</v>
      </c>
      <c r="CM532" s="216">
        <f ca="1">IF($D532&lt;&gt;"Serviço",0,IF(OR(AND(AUTOEVENTO="Manual",$M532=1),$M532&gt;(ROW(PLE.lastrow)-ROW(PLE.firstrow))),0,IF(OFFSET(PLE!$G$14,$M532,CM$13)="",10^12,OFFSET(PLE!$G$14,$M532,CM$13))))</f>
        <v>1000000000000</v>
      </c>
    </row>
    <row r="533" spans="1:91" ht="13.2" x14ac:dyDescent="0.25">
      <c r="A533" s="9">
        <f t="shared" ca="1" si="17"/>
        <v>0</v>
      </c>
      <c r="B533" s="9" t="str">
        <f ca="1">OFFSET(ORÇAMENTO!C$15,ROW(B533)-ROW(B$15),0)</f>
        <v>S</v>
      </c>
      <c r="C533" s="9" t="str">
        <f ca="1">OFFSET(ORÇAMENTO!L$15,ROW(C533)-ROW(C$15),0)</f>
        <v/>
      </c>
      <c r="D533" s="145" t="str">
        <f ca="1">OFFSET(ORÇAMENTO!N$15,ROW(D533)-ROW(D$15),0)</f>
        <v>Serviço</v>
      </c>
      <c r="E533" s="205" t="str">
        <f ca="1">OFFSET(ORÇAMENTO!O$15,ROW(E533)-ROW(E$15),0)</f>
        <v>-</v>
      </c>
      <c r="F533" s="206" t="str">
        <f ca="1">OFFSET(ORÇAMENTO!R$15,ROW(F533)-ROW(F$15),0)</f>
        <v>(abra o arquivo 'Referência 05-2024.xls)</v>
      </c>
      <c r="G533" s="207" t="str">
        <f ca="1">IF($D533&lt;&gt;"Serviço","",OFFSET(ORÇAMENTO!S$15,ROW(G533)-ROW(G$15),0))</f>
        <v>-</v>
      </c>
      <c r="H533" s="151">
        <f ca="1">IF($D533&lt;&gt;"Serviço",0,IF(ACOMPANHAMENTO="BM",ROUND(OFFSET(ORÇAMENTO!AJ$15,ROW(H533)-ROW(H$15),0),15-13*ORÇAMENTO!$AF$7),SUMPRODUCT(($Q$12:$AI$12&lt;&gt;"")*ROUND($Q533:$AI533,15-13*ORÇAMENTO!$AF$7))))</f>
        <v>4</v>
      </c>
      <c r="I533" s="650"/>
      <c r="K533" s="208"/>
      <c r="L533" s="209" t="s">
        <v>257</v>
      </c>
      <c r="M533" s="210">
        <f ca="1">IF($D533&lt;&gt;"Serviço","",IF(AUTOEVENTO="manual",$A533,IF(ISERROR(MATCH($A533,$A$15:OFFSET($A533,-1,0),0)),MAX($M$15:OFFSET(M533,-1,0))+1,INDEX($M$15:OFFSET(M533,-1,0),MATCH($A533,$A$15:OFFSET($A533,-1,0),0)))))</f>
        <v>0</v>
      </c>
      <c r="N533" s="211" t="str">
        <f ca="1">IF($D533&lt;&gt;"Serviço","",IF(AUTOEVENTO="Manual",IF($A533=0,"&lt;-- defina o número do agrupador",OFFSET(EVENTOS!$D$14,$A533,0)),OFFSET($F$15,$A533,0)))</f>
        <v>&lt;-- defina o número do agrupador</v>
      </c>
      <c r="O533" s="212"/>
      <c r="Q533" s="212"/>
      <c r="R533" s="213"/>
      <c r="S533" s="213"/>
      <c r="T533" s="213"/>
      <c r="U533" s="213"/>
      <c r="V533" s="213"/>
      <c r="W533" s="213"/>
      <c r="X533" s="213"/>
      <c r="Y533" s="213"/>
      <c r="Z533" s="214"/>
      <c r="AA533" s="213"/>
      <c r="AB533" s="213"/>
      <c r="AC533" s="213"/>
      <c r="AD533" s="213"/>
      <c r="AE533" s="213"/>
      <c r="AF533" s="213"/>
      <c r="AG533" s="213"/>
      <c r="AH533" s="214"/>
      <c r="AJ533" s="631">
        <f ca="1">IF(AND($D533="Serviço",AJ$12&lt;&gt;0,$H533&gt;0,OR(AUTOEVENTO&lt;&gt;"manual",$M533&lt;&gt;1)),ROUND(OFFSET($P533,0,AJ$13),15-13*ORÇAMENTO!$AF$7)/$H533*OFFSET(ORÇAMENTO!$X$15,ROW(AJ533)-ROW(AJ$15),0),0)</f>
        <v>0</v>
      </c>
      <c r="AK533" s="632">
        <f ca="1">IF(AND($D533="Serviço",AK$12&lt;&gt;0,$H533&gt;0,OR(AUTOEVENTO&lt;&gt;"manual",$M533&lt;&gt;1)),ROUND(OFFSET($P533,0,AK$13),15-13*ORÇAMENTO!$AF$7)/$H533*OFFSET(ORÇAMENTO!$X$15,ROW(AK533)-ROW(AK$15),0),0)</f>
        <v>0</v>
      </c>
      <c r="AL533" s="632">
        <f ca="1">IF(AND($D533="Serviço",AL$12&lt;&gt;0,$H533&gt;0,OR(AUTOEVENTO&lt;&gt;"manual",$M533&lt;&gt;1)),ROUND(OFFSET($P533,0,AL$13),15-13*ORÇAMENTO!$AF$7)/$H533*OFFSET(ORÇAMENTO!$X$15,ROW(AL533)-ROW(AL$15),0),0)</f>
        <v>0</v>
      </c>
      <c r="AM533" s="632">
        <f ca="1">IF(AND($D533="Serviço",AM$12&lt;&gt;0,$H533&gt;0,OR(AUTOEVENTO&lt;&gt;"manual",$M533&lt;&gt;1)),ROUND(OFFSET($P533,0,AM$13),15-13*ORÇAMENTO!$AF$7)/$H533*OFFSET(ORÇAMENTO!$X$15,ROW(AM533)-ROW(AM$15),0),0)</f>
        <v>0</v>
      </c>
      <c r="AN533" s="632">
        <f ca="1">IF(AND($D533="Serviço",AN$12&lt;&gt;0,$H533&gt;0,OR(AUTOEVENTO&lt;&gt;"manual",$M533&lt;&gt;1)),ROUND(OFFSET($P533,0,AN$13),15-13*ORÇAMENTO!$AF$7)/$H533*OFFSET(ORÇAMENTO!$X$15,ROW(AN533)-ROW(AN$15),0),0)</f>
        <v>0</v>
      </c>
      <c r="AO533" s="632">
        <f ca="1">IF(AND($D533="Serviço",AO$12&lt;&gt;0,$H533&gt;0,OR(AUTOEVENTO&lt;&gt;"manual",$M533&lt;&gt;1)),ROUND(OFFSET($P533,0,AO$13),15-13*ORÇAMENTO!$AF$7)/$H533*OFFSET(ORÇAMENTO!$X$15,ROW(AO533)-ROW(AO$15),0),0)</f>
        <v>0</v>
      </c>
      <c r="AP533" s="632">
        <f ca="1">IF(AND($D533="Serviço",AP$12&lt;&gt;0,$H533&gt;0,OR(AUTOEVENTO&lt;&gt;"manual",$M533&lt;&gt;1)),ROUND(OFFSET($P533,0,AP$13),15-13*ORÇAMENTO!$AF$7)/$H533*OFFSET(ORÇAMENTO!$X$15,ROW(AP533)-ROW(AP$15),0),0)</f>
        <v>0</v>
      </c>
      <c r="AQ533" s="632">
        <f ca="1">IF(AND($D533="Serviço",AQ$12&lt;&gt;0,$H533&gt;0,OR(AUTOEVENTO&lt;&gt;"manual",$M533&lt;&gt;1)),ROUND(OFFSET($P533,0,AQ$13),15-13*ORÇAMENTO!$AF$7)/$H533*OFFSET(ORÇAMENTO!$X$15,ROW(AQ533)-ROW(AQ$15),0),0)</f>
        <v>0</v>
      </c>
      <c r="AR533" s="632">
        <f ca="1">IF(AND($D533="Serviço",AR$12&lt;&gt;0,$H533&gt;0,OR(AUTOEVENTO&lt;&gt;"manual",$M533&lt;&gt;1)),ROUND(OFFSET($P533,0,AR$13),15-13*ORÇAMENTO!$AF$7)/$H533*OFFSET(ORÇAMENTO!$X$15,ROW(AR533)-ROW(AR$15),0),0)</f>
        <v>0</v>
      </c>
      <c r="AS533" s="633">
        <f ca="1">IF(AND($D533="Serviço",AS$12&lt;&gt;0,$H533&gt;0,OR(AUTOEVENTO&lt;&gt;"manual",$M533&lt;&gt;1)),ROUND(OFFSET($P533,0,AS$13),15-13*ORÇAMENTO!$AF$7)/$H533*OFFSET(ORÇAMENTO!$X$15,ROW(AS533)-ROW(AS$15),0),0)</f>
        <v>0</v>
      </c>
      <c r="AT533" s="632">
        <f ca="1">IF(AND($D533="Serviço",AT$12&lt;&gt;0,$H533&gt;0,OR(AUTOEVENTO&lt;&gt;"manual",$M533&lt;&gt;1)),ROUND(OFFSET($P533,0,AT$13),15-13*ORÇAMENTO!$AF$7)/$H533*OFFSET(ORÇAMENTO!$X$15,ROW(AT533)-ROW(AT$15),0),0)</f>
        <v>0</v>
      </c>
      <c r="AU533" s="632">
        <f ca="1">IF(AND($D533="Serviço",AU$12&lt;&gt;0,$H533&gt;0,OR(AUTOEVENTO&lt;&gt;"manual",$M533&lt;&gt;1)),ROUND(OFFSET($P533,0,AU$13),15-13*ORÇAMENTO!$AF$7)/$H533*OFFSET(ORÇAMENTO!$X$15,ROW(AU533)-ROW(AU$15),0),0)</f>
        <v>0</v>
      </c>
      <c r="AV533" s="632">
        <f ca="1">IF(AND($D533="Serviço",AV$12&lt;&gt;0,$H533&gt;0,OR(AUTOEVENTO&lt;&gt;"manual",$M533&lt;&gt;1)),ROUND(OFFSET($P533,0,AV$13),15-13*ORÇAMENTO!$AF$7)/$H533*OFFSET(ORÇAMENTO!$X$15,ROW(AV533)-ROW(AV$15),0),0)</f>
        <v>0</v>
      </c>
      <c r="AW533" s="632">
        <f ca="1">IF(AND($D533="Serviço",AW$12&lt;&gt;0,$H533&gt;0,OR(AUTOEVENTO&lt;&gt;"manual",$M533&lt;&gt;1)),ROUND(OFFSET($P533,0,AW$13),15-13*ORÇAMENTO!$AF$7)/$H533*OFFSET(ORÇAMENTO!$X$15,ROW(AW533)-ROW(AW$15),0),0)</f>
        <v>0</v>
      </c>
      <c r="AX533" s="632">
        <f ca="1">IF(AND($D533="Serviço",AX$12&lt;&gt;0,$H533&gt;0,OR(AUTOEVENTO&lt;&gt;"manual",$M533&lt;&gt;1)),ROUND(OFFSET($P533,0,AX$13),15-13*ORÇAMENTO!$AF$7)/$H533*OFFSET(ORÇAMENTO!$X$15,ROW(AX533)-ROW(AX$15),0),0)</f>
        <v>0</v>
      </c>
      <c r="AY533" s="632">
        <f ca="1">IF(AND($D533="Serviço",AY$12&lt;&gt;0,$H533&gt;0,OR(AUTOEVENTO&lt;&gt;"manual",$M533&lt;&gt;1)),ROUND(OFFSET($P533,0,AY$13),15-13*ORÇAMENTO!$AF$7)/$H533*OFFSET(ORÇAMENTO!$X$15,ROW(AY533)-ROW(AY$15),0),0)</f>
        <v>0</v>
      </c>
      <c r="AZ533" s="632">
        <f ca="1">IF(AND($D533="Serviço",AZ$12&lt;&gt;0,$H533&gt;0,OR(AUTOEVENTO&lt;&gt;"manual",$M533&lt;&gt;1)),ROUND(OFFSET($P533,0,AZ$13),15-13*ORÇAMENTO!$AF$7)/$H533*OFFSET(ORÇAMENTO!$X$15,ROW(AZ533)-ROW(AZ$15),0),0)</f>
        <v>0</v>
      </c>
      <c r="BA533" s="633">
        <f ca="1">IF(AND($D533="Serviço",BA$12&lt;&gt;0,$H533&gt;0,OR(AUTOEVENTO&lt;&gt;"manual",$M533&lt;&gt;1)),ROUND(OFFSET($P533,0,BA$13),15-13*ORÇAMENTO!$AF$7)/$H533*OFFSET(ORÇAMENTO!$X$15,ROW(BA533)-ROW(BA$15),0),0)</f>
        <v>0</v>
      </c>
      <c r="BC533" s="215">
        <f ca="1">IF($D533&lt;&gt;"Serviço",0,IF(AND(AUTOEVENTO="Manual",$M533=1),0,IF(OFFSET(CRONOPLE!$F$14,$M533,BC$13)="",10^12,OFFSET(CRONOPLE!$F$14,$M533,BC$13))))</f>
        <v>1000000000000</v>
      </c>
      <c r="BD533" s="215">
        <f ca="1">IF($D533&lt;&gt;"Serviço",0,IF(AND(AUTOEVENTO="Manual",$M533=1),0,IF(OFFSET(CRONOPLE!$F$14,$M533,BD$13)="",10^12,OFFSET(CRONOPLE!$F$14,$M533,BD$13))))</f>
        <v>1000000000000</v>
      </c>
      <c r="BE533" s="215">
        <f ca="1">IF($D533&lt;&gt;"Serviço",0,IF(AND(AUTOEVENTO="Manual",$M533=1),0,IF(OFFSET(CRONOPLE!$F$14,$M533,BE$13)="",10^12,OFFSET(CRONOPLE!$F$14,$M533,BE$13))))</f>
        <v>1000000000000</v>
      </c>
      <c r="BF533" s="215">
        <f ca="1">IF($D533&lt;&gt;"Serviço",0,IF(AND(AUTOEVENTO="Manual",$M533=1),0,IF(OFFSET(CRONOPLE!$F$14,$M533,BF$13)="",10^12,OFFSET(CRONOPLE!$F$14,$M533,BF$13))))</f>
        <v>1000000000000</v>
      </c>
      <c r="BG533" s="215">
        <f ca="1">IF($D533&lt;&gt;"Serviço",0,IF(AND(AUTOEVENTO="Manual",$M533=1),0,IF(OFFSET(CRONOPLE!$F$14,$M533,BG$13)="",10^12,OFFSET(CRONOPLE!$F$14,$M533,BG$13))))</f>
        <v>1000000000000</v>
      </c>
      <c r="BH533" s="215">
        <f ca="1">IF($D533&lt;&gt;"Serviço",0,IF(AND(AUTOEVENTO="Manual",$M533=1),0,IF(OFFSET(CRONOPLE!$F$14,$M533,BH$13)="",10^12,OFFSET(CRONOPLE!$F$14,$M533,BH$13))))</f>
        <v>1000000000000</v>
      </c>
      <c r="BI533" s="215">
        <f ca="1">IF($D533&lt;&gt;"Serviço",0,IF(AND(AUTOEVENTO="Manual",$M533=1),0,IF(OFFSET(CRONOPLE!$F$14,$M533,BI$13)="",10^12,OFFSET(CRONOPLE!$F$14,$M533,BI$13))))</f>
        <v>1000000000000</v>
      </c>
      <c r="BJ533" s="215">
        <f ca="1">IF($D533&lt;&gt;"Serviço",0,IF(AND(AUTOEVENTO="Manual",$M533=1),0,IF(OFFSET(CRONOPLE!$F$14,$M533,BJ$13)="",10^12,OFFSET(CRONOPLE!$F$14,$M533,BJ$13))))</f>
        <v>1000000000000</v>
      </c>
      <c r="BK533" s="215">
        <f ca="1">IF($D533&lt;&gt;"Serviço",0,IF(AND(AUTOEVENTO="Manual",$M533=1),0,IF(OFFSET(CRONOPLE!$F$14,$M533,BK$13)="",10^12,OFFSET(CRONOPLE!$F$14,$M533,BK$13))))</f>
        <v>1000000000000</v>
      </c>
      <c r="BL533" s="215">
        <f ca="1">IF($D533&lt;&gt;"Serviço",0,IF(AND(AUTOEVENTO="Manual",$M533=1),0,IF(OFFSET(CRONOPLE!$F$14,$M533,BL$13)="",10^12,OFFSET(CRONOPLE!$F$14,$M533,BL$13))))</f>
        <v>1000000000000</v>
      </c>
      <c r="BM533" s="215">
        <f ca="1">IF($D533&lt;&gt;"Serviço",0,IF(AND(AUTOEVENTO="Manual",$M533=1),0,IF(OFFSET(CRONOPLE!$F$14,$M533,BM$13)="",10^12,OFFSET(CRONOPLE!$F$14,$M533,BM$13))))</f>
        <v>1000000000000</v>
      </c>
      <c r="BN533" s="215">
        <f ca="1">IF($D533&lt;&gt;"Serviço",0,IF(AND(AUTOEVENTO="Manual",$M533=1),0,IF(OFFSET(CRONOPLE!$F$14,$M533,BN$13)="",10^12,OFFSET(CRONOPLE!$F$14,$M533,BN$13))))</f>
        <v>1000000000000</v>
      </c>
      <c r="BO533" s="215">
        <f ca="1">IF($D533&lt;&gt;"Serviço",0,IF(AND(AUTOEVENTO="Manual",$M533=1),0,IF(OFFSET(CRONOPLE!$F$14,$M533,BO$13)="",10^12,OFFSET(CRONOPLE!$F$14,$M533,BO$13))))</f>
        <v>1000000000000</v>
      </c>
      <c r="BP533" s="215">
        <f ca="1">IF($D533&lt;&gt;"Serviço",0,IF(AND(AUTOEVENTO="Manual",$M533=1),0,IF(OFFSET(CRONOPLE!$F$14,$M533,BP$13)="",10^12,OFFSET(CRONOPLE!$F$14,$M533,BP$13))))</f>
        <v>1000000000000</v>
      </c>
      <c r="BQ533" s="215">
        <f ca="1">IF($D533&lt;&gt;"Serviço",0,IF(AND(AUTOEVENTO="Manual",$M533=1),0,IF(OFFSET(CRONOPLE!$F$14,$M533,BQ$13)="",10^12,OFFSET(CRONOPLE!$F$14,$M533,BQ$13))))</f>
        <v>1000000000000</v>
      </c>
      <c r="BR533" s="215">
        <f ca="1">IF($D533&lt;&gt;"Serviço",0,IF(AND(AUTOEVENTO="Manual",$M533=1),0,IF(OFFSET(CRONOPLE!$F$14,$M533,BR$13)="",10^12,OFFSET(CRONOPLE!$F$14,$M533,BR$13))))</f>
        <v>1000000000000</v>
      </c>
      <c r="BS533" s="215">
        <f ca="1">IF($D533&lt;&gt;"Serviço",0,IF(AND(AUTOEVENTO="Manual",$M533=1),0,IF(OFFSET(CRONOPLE!$F$14,$M533,BS$13)="",10^12,OFFSET(CRONOPLE!$F$14,$M533,BS$13))))</f>
        <v>1000000000000</v>
      </c>
      <c r="BT533" s="215">
        <f ca="1">IF($D533&lt;&gt;"Serviço",0,IF(AND(AUTOEVENTO="Manual",$M533=1),0,IF(OFFSET(CRONOPLE!$F$14,$M533,BT$13)="",10^12,OFFSET(CRONOPLE!$F$14,$M533,BT$13))))</f>
        <v>1000000000000</v>
      </c>
      <c r="BV533" s="216">
        <f ca="1">IF($D533&lt;&gt;"Serviço",0,IF(OR(AND(AUTOEVENTO="Manual",$M533=1),$M533&gt;(ROW(PLE.lastrow)-ROW(PLE.firstrow))),0,IF(OFFSET(PLE!$G$14,$M533,BV$13)="",10^12,OFFSET(PLE!$G$14,$M533,BV$13))))</f>
        <v>1000000000000</v>
      </c>
      <c r="BW533" s="216">
        <f ca="1">IF($D533&lt;&gt;"Serviço",0,IF(OR(AND(AUTOEVENTO="Manual",$M533=1),$M533&gt;(ROW(PLE.lastrow)-ROW(PLE.firstrow))),0,IF(OFFSET(PLE!$G$14,$M533,BW$13)="",10^12,OFFSET(PLE!$G$14,$M533,BW$13))))</f>
        <v>1000000000000</v>
      </c>
      <c r="BX533" s="216">
        <f ca="1">IF($D533&lt;&gt;"Serviço",0,IF(OR(AND(AUTOEVENTO="Manual",$M533=1),$M533&gt;(ROW(PLE.lastrow)-ROW(PLE.firstrow))),0,IF(OFFSET(PLE!$G$14,$M533,BX$13)="",10^12,OFFSET(PLE!$G$14,$M533,BX$13))))</f>
        <v>1000000000000</v>
      </c>
      <c r="BY533" s="216">
        <f ca="1">IF($D533&lt;&gt;"Serviço",0,IF(OR(AND(AUTOEVENTO="Manual",$M533=1),$M533&gt;(ROW(PLE.lastrow)-ROW(PLE.firstrow))),0,IF(OFFSET(PLE!$G$14,$M533,BY$13)="",10^12,OFFSET(PLE!$G$14,$M533,BY$13))))</f>
        <v>1000000000000</v>
      </c>
      <c r="BZ533" s="216">
        <f ca="1">IF($D533&lt;&gt;"Serviço",0,IF(OR(AND(AUTOEVENTO="Manual",$M533=1),$M533&gt;(ROW(PLE.lastrow)-ROW(PLE.firstrow))),0,IF(OFFSET(PLE!$G$14,$M533,BZ$13)="",10^12,OFFSET(PLE!$G$14,$M533,BZ$13))))</f>
        <v>1000000000000</v>
      </c>
      <c r="CA533" s="216">
        <f ca="1">IF($D533&lt;&gt;"Serviço",0,IF(OR(AND(AUTOEVENTO="Manual",$M533=1),$M533&gt;(ROW(PLE.lastrow)-ROW(PLE.firstrow))),0,IF(OFFSET(PLE!$G$14,$M533,CA$13)="",10^12,OFFSET(PLE!$G$14,$M533,CA$13))))</f>
        <v>1000000000000</v>
      </c>
      <c r="CB533" s="216">
        <f ca="1">IF($D533&lt;&gt;"Serviço",0,IF(OR(AND(AUTOEVENTO="Manual",$M533=1),$M533&gt;(ROW(PLE.lastrow)-ROW(PLE.firstrow))),0,IF(OFFSET(PLE!$G$14,$M533,CB$13)="",10^12,OFFSET(PLE!$G$14,$M533,CB$13))))</f>
        <v>1000000000000</v>
      </c>
      <c r="CC533" s="216">
        <f ca="1">IF($D533&lt;&gt;"Serviço",0,IF(OR(AND(AUTOEVENTO="Manual",$M533=1),$M533&gt;(ROW(PLE.lastrow)-ROW(PLE.firstrow))),0,IF(OFFSET(PLE!$G$14,$M533,CC$13)="",10^12,OFFSET(PLE!$G$14,$M533,CC$13))))</f>
        <v>1000000000000</v>
      </c>
      <c r="CD533" s="216">
        <f ca="1">IF($D533&lt;&gt;"Serviço",0,IF(OR(AND(AUTOEVENTO="Manual",$M533=1),$M533&gt;(ROW(PLE.lastrow)-ROW(PLE.firstrow))),0,IF(OFFSET(PLE!$G$14,$M533,CD$13)="",10^12,OFFSET(PLE!$G$14,$M533,CD$13))))</f>
        <v>1000000000000</v>
      </c>
      <c r="CE533" s="216">
        <f ca="1">IF($D533&lt;&gt;"Serviço",0,IF(OR(AND(AUTOEVENTO="Manual",$M533=1),$M533&gt;(ROW(PLE.lastrow)-ROW(PLE.firstrow))),0,IF(OFFSET(PLE!$G$14,$M533,CE$13)="",10^12,OFFSET(PLE!$G$14,$M533,CE$13))))</f>
        <v>1000000000000</v>
      </c>
      <c r="CF533" s="216">
        <f ca="1">IF($D533&lt;&gt;"Serviço",0,IF(OR(AND(AUTOEVENTO="Manual",$M533=1),$M533&gt;(ROW(PLE.lastrow)-ROW(PLE.firstrow))),0,IF(OFFSET(PLE!$G$14,$M533,CF$13)="",10^12,OFFSET(PLE!$G$14,$M533,CF$13))))</f>
        <v>1000000000000</v>
      </c>
      <c r="CG533" s="216">
        <f ca="1">IF($D533&lt;&gt;"Serviço",0,IF(OR(AND(AUTOEVENTO="Manual",$M533=1),$M533&gt;(ROW(PLE.lastrow)-ROW(PLE.firstrow))),0,IF(OFFSET(PLE!$G$14,$M533,CG$13)="",10^12,OFFSET(PLE!$G$14,$M533,CG$13))))</f>
        <v>1000000000000</v>
      </c>
      <c r="CH533" s="216">
        <f ca="1">IF($D533&lt;&gt;"Serviço",0,IF(OR(AND(AUTOEVENTO="Manual",$M533=1),$M533&gt;(ROW(PLE.lastrow)-ROW(PLE.firstrow))),0,IF(OFFSET(PLE!$G$14,$M533,CH$13)="",10^12,OFFSET(PLE!$G$14,$M533,CH$13))))</f>
        <v>1000000000000</v>
      </c>
      <c r="CI533" s="216">
        <f ca="1">IF($D533&lt;&gt;"Serviço",0,IF(OR(AND(AUTOEVENTO="Manual",$M533=1),$M533&gt;(ROW(PLE.lastrow)-ROW(PLE.firstrow))),0,IF(OFFSET(PLE!$G$14,$M533,CI$13)="",10^12,OFFSET(PLE!$G$14,$M533,CI$13))))</f>
        <v>1000000000000</v>
      </c>
      <c r="CJ533" s="216">
        <f ca="1">IF($D533&lt;&gt;"Serviço",0,IF(OR(AND(AUTOEVENTO="Manual",$M533=1),$M533&gt;(ROW(PLE.lastrow)-ROW(PLE.firstrow))),0,IF(OFFSET(PLE!$G$14,$M533,CJ$13)="",10^12,OFFSET(PLE!$G$14,$M533,CJ$13))))</f>
        <v>1000000000000</v>
      </c>
      <c r="CK533" s="216">
        <f ca="1">IF($D533&lt;&gt;"Serviço",0,IF(OR(AND(AUTOEVENTO="Manual",$M533=1),$M533&gt;(ROW(PLE.lastrow)-ROW(PLE.firstrow))),0,IF(OFFSET(PLE!$G$14,$M533,CK$13)="",10^12,OFFSET(PLE!$G$14,$M533,CK$13))))</f>
        <v>1000000000000</v>
      </c>
      <c r="CL533" s="216">
        <f ca="1">IF($D533&lt;&gt;"Serviço",0,IF(OR(AND(AUTOEVENTO="Manual",$M533=1),$M533&gt;(ROW(PLE.lastrow)-ROW(PLE.firstrow))),0,IF(OFFSET(PLE!$G$14,$M533,CL$13)="",10^12,OFFSET(PLE!$G$14,$M533,CL$13))))</f>
        <v>1000000000000</v>
      </c>
      <c r="CM533" s="216">
        <f ca="1">IF($D533&lt;&gt;"Serviço",0,IF(OR(AND(AUTOEVENTO="Manual",$M533=1),$M533&gt;(ROW(PLE.lastrow)-ROW(PLE.firstrow))),0,IF(OFFSET(PLE!$G$14,$M533,CM$13)="",10^12,OFFSET(PLE!$G$14,$M533,CM$13))))</f>
        <v>1000000000000</v>
      </c>
    </row>
    <row r="534" spans="1:91" ht="13.2" x14ac:dyDescent="0.25">
      <c r="A534" s="9">
        <f t="shared" ca="1" si="17"/>
        <v>0</v>
      </c>
      <c r="B534" s="9" t="str">
        <f ca="1">OFFSET(ORÇAMENTO!C$15,ROW(B534)-ROW(B$15),0)</f>
        <v>S</v>
      </c>
      <c r="C534" s="9" t="str">
        <f ca="1">OFFSET(ORÇAMENTO!L$15,ROW(C534)-ROW(C$15),0)</f>
        <v/>
      </c>
      <c r="D534" s="145" t="str">
        <f ca="1">OFFSET(ORÇAMENTO!N$15,ROW(D534)-ROW(D$15),0)</f>
        <v>Serviço</v>
      </c>
      <c r="E534" s="205" t="str">
        <f ca="1">OFFSET(ORÇAMENTO!O$15,ROW(E534)-ROW(E$15),0)</f>
        <v>-</v>
      </c>
      <c r="F534" s="206" t="str">
        <f ca="1">OFFSET(ORÇAMENTO!R$15,ROW(F534)-ROW(F$15),0)</f>
        <v>(abra o arquivo 'Referência 05-2024.xls)</v>
      </c>
      <c r="G534" s="207" t="str">
        <f ca="1">IF($D534&lt;&gt;"Serviço","",OFFSET(ORÇAMENTO!S$15,ROW(G534)-ROW(G$15),0))</f>
        <v>-</v>
      </c>
      <c r="H534" s="151">
        <f ca="1">IF($D534&lt;&gt;"Serviço",0,IF(ACOMPANHAMENTO="BM",ROUND(OFFSET(ORÇAMENTO!AJ$15,ROW(H534)-ROW(H$15),0),15-13*ORÇAMENTO!$AF$7),SUMPRODUCT(($Q$12:$AI$12&lt;&gt;"")*ROUND($Q534:$AI534,15-13*ORÇAMENTO!$AF$7))))</f>
        <v>3</v>
      </c>
      <c r="I534" s="650"/>
      <c r="K534" s="208"/>
      <c r="L534" s="209" t="s">
        <v>257</v>
      </c>
      <c r="M534" s="210">
        <f ca="1">IF($D534&lt;&gt;"Serviço","",IF(AUTOEVENTO="manual",$A534,IF(ISERROR(MATCH($A534,$A$15:OFFSET($A534,-1,0),0)),MAX($M$15:OFFSET(M534,-1,0))+1,INDEX($M$15:OFFSET(M534,-1,0),MATCH($A534,$A$15:OFFSET($A534,-1,0),0)))))</f>
        <v>0</v>
      </c>
      <c r="N534" s="211" t="str">
        <f ca="1">IF($D534&lt;&gt;"Serviço","",IF(AUTOEVENTO="Manual",IF($A534=0,"&lt;-- defina o número do agrupador",OFFSET(EVENTOS!$D$14,$A534,0)),OFFSET($F$15,$A534,0)))</f>
        <v>&lt;-- defina o número do agrupador</v>
      </c>
      <c r="O534" s="212"/>
      <c r="Q534" s="212"/>
      <c r="R534" s="213"/>
      <c r="S534" s="213"/>
      <c r="T534" s="213"/>
      <c r="U534" s="213"/>
      <c r="V534" s="213"/>
      <c r="W534" s="213"/>
      <c r="X534" s="213"/>
      <c r="Y534" s="213"/>
      <c r="Z534" s="214"/>
      <c r="AA534" s="213"/>
      <c r="AB534" s="213"/>
      <c r="AC534" s="213"/>
      <c r="AD534" s="213"/>
      <c r="AE534" s="213"/>
      <c r="AF534" s="213"/>
      <c r="AG534" s="213"/>
      <c r="AH534" s="214"/>
      <c r="AJ534" s="631">
        <f ca="1">IF(AND($D534="Serviço",AJ$12&lt;&gt;0,$H534&gt;0,OR(AUTOEVENTO&lt;&gt;"manual",$M534&lt;&gt;1)),ROUND(OFFSET($P534,0,AJ$13),15-13*ORÇAMENTO!$AF$7)/$H534*OFFSET(ORÇAMENTO!$X$15,ROW(AJ534)-ROW(AJ$15),0),0)</f>
        <v>0</v>
      </c>
      <c r="AK534" s="632">
        <f ca="1">IF(AND($D534="Serviço",AK$12&lt;&gt;0,$H534&gt;0,OR(AUTOEVENTO&lt;&gt;"manual",$M534&lt;&gt;1)),ROUND(OFFSET($P534,0,AK$13),15-13*ORÇAMENTO!$AF$7)/$H534*OFFSET(ORÇAMENTO!$X$15,ROW(AK534)-ROW(AK$15),0),0)</f>
        <v>0</v>
      </c>
      <c r="AL534" s="632">
        <f ca="1">IF(AND($D534="Serviço",AL$12&lt;&gt;0,$H534&gt;0,OR(AUTOEVENTO&lt;&gt;"manual",$M534&lt;&gt;1)),ROUND(OFFSET($P534,0,AL$13),15-13*ORÇAMENTO!$AF$7)/$H534*OFFSET(ORÇAMENTO!$X$15,ROW(AL534)-ROW(AL$15),0),0)</f>
        <v>0</v>
      </c>
      <c r="AM534" s="632">
        <f ca="1">IF(AND($D534="Serviço",AM$12&lt;&gt;0,$H534&gt;0,OR(AUTOEVENTO&lt;&gt;"manual",$M534&lt;&gt;1)),ROUND(OFFSET($P534,0,AM$13),15-13*ORÇAMENTO!$AF$7)/$H534*OFFSET(ORÇAMENTO!$X$15,ROW(AM534)-ROW(AM$15),0),0)</f>
        <v>0</v>
      </c>
      <c r="AN534" s="632">
        <f ca="1">IF(AND($D534="Serviço",AN$12&lt;&gt;0,$H534&gt;0,OR(AUTOEVENTO&lt;&gt;"manual",$M534&lt;&gt;1)),ROUND(OFFSET($P534,0,AN$13),15-13*ORÇAMENTO!$AF$7)/$H534*OFFSET(ORÇAMENTO!$X$15,ROW(AN534)-ROW(AN$15),0),0)</f>
        <v>0</v>
      </c>
      <c r="AO534" s="632">
        <f ca="1">IF(AND($D534="Serviço",AO$12&lt;&gt;0,$H534&gt;0,OR(AUTOEVENTO&lt;&gt;"manual",$M534&lt;&gt;1)),ROUND(OFFSET($P534,0,AO$13),15-13*ORÇAMENTO!$AF$7)/$H534*OFFSET(ORÇAMENTO!$X$15,ROW(AO534)-ROW(AO$15),0),0)</f>
        <v>0</v>
      </c>
      <c r="AP534" s="632">
        <f ca="1">IF(AND($D534="Serviço",AP$12&lt;&gt;0,$H534&gt;0,OR(AUTOEVENTO&lt;&gt;"manual",$M534&lt;&gt;1)),ROUND(OFFSET($P534,0,AP$13),15-13*ORÇAMENTO!$AF$7)/$H534*OFFSET(ORÇAMENTO!$X$15,ROW(AP534)-ROW(AP$15),0),0)</f>
        <v>0</v>
      </c>
      <c r="AQ534" s="632">
        <f ca="1">IF(AND($D534="Serviço",AQ$12&lt;&gt;0,$H534&gt;0,OR(AUTOEVENTO&lt;&gt;"manual",$M534&lt;&gt;1)),ROUND(OFFSET($P534,0,AQ$13),15-13*ORÇAMENTO!$AF$7)/$H534*OFFSET(ORÇAMENTO!$X$15,ROW(AQ534)-ROW(AQ$15),0),0)</f>
        <v>0</v>
      </c>
      <c r="AR534" s="632">
        <f ca="1">IF(AND($D534="Serviço",AR$12&lt;&gt;0,$H534&gt;0,OR(AUTOEVENTO&lt;&gt;"manual",$M534&lt;&gt;1)),ROUND(OFFSET($P534,0,AR$13),15-13*ORÇAMENTO!$AF$7)/$H534*OFFSET(ORÇAMENTO!$X$15,ROW(AR534)-ROW(AR$15),0),0)</f>
        <v>0</v>
      </c>
      <c r="AS534" s="633">
        <f ca="1">IF(AND($D534="Serviço",AS$12&lt;&gt;0,$H534&gt;0,OR(AUTOEVENTO&lt;&gt;"manual",$M534&lt;&gt;1)),ROUND(OFFSET($P534,0,AS$13),15-13*ORÇAMENTO!$AF$7)/$H534*OFFSET(ORÇAMENTO!$X$15,ROW(AS534)-ROW(AS$15),0),0)</f>
        <v>0</v>
      </c>
      <c r="AT534" s="632">
        <f ca="1">IF(AND($D534="Serviço",AT$12&lt;&gt;0,$H534&gt;0,OR(AUTOEVENTO&lt;&gt;"manual",$M534&lt;&gt;1)),ROUND(OFFSET($P534,0,AT$13),15-13*ORÇAMENTO!$AF$7)/$H534*OFFSET(ORÇAMENTO!$X$15,ROW(AT534)-ROW(AT$15),0),0)</f>
        <v>0</v>
      </c>
      <c r="AU534" s="632">
        <f ca="1">IF(AND($D534="Serviço",AU$12&lt;&gt;0,$H534&gt;0,OR(AUTOEVENTO&lt;&gt;"manual",$M534&lt;&gt;1)),ROUND(OFFSET($P534,0,AU$13),15-13*ORÇAMENTO!$AF$7)/$H534*OFFSET(ORÇAMENTO!$X$15,ROW(AU534)-ROW(AU$15),0),0)</f>
        <v>0</v>
      </c>
      <c r="AV534" s="632">
        <f ca="1">IF(AND($D534="Serviço",AV$12&lt;&gt;0,$H534&gt;0,OR(AUTOEVENTO&lt;&gt;"manual",$M534&lt;&gt;1)),ROUND(OFFSET($P534,0,AV$13),15-13*ORÇAMENTO!$AF$7)/$H534*OFFSET(ORÇAMENTO!$X$15,ROW(AV534)-ROW(AV$15),0),0)</f>
        <v>0</v>
      </c>
      <c r="AW534" s="632">
        <f ca="1">IF(AND($D534="Serviço",AW$12&lt;&gt;0,$H534&gt;0,OR(AUTOEVENTO&lt;&gt;"manual",$M534&lt;&gt;1)),ROUND(OFFSET($P534,0,AW$13),15-13*ORÇAMENTO!$AF$7)/$H534*OFFSET(ORÇAMENTO!$X$15,ROW(AW534)-ROW(AW$15),0),0)</f>
        <v>0</v>
      </c>
      <c r="AX534" s="632">
        <f ca="1">IF(AND($D534="Serviço",AX$12&lt;&gt;0,$H534&gt;0,OR(AUTOEVENTO&lt;&gt;"manual",$M534&lt;&gt;1)),ROUND(OFFSET($P534,0,AX$13),15-13*ORÇAMENTO!$AF$7)/$H534*OFFSET(ORÇAMENTO!$X$15,ROW(AX534)-ROW(AX$15),0),0)</f>
        <v>0</v>
      </c>
      <c r="AY534" s="632">
        <f ca="1">IF(AND($D534="Serviço",AY$12&lt;&gt;0,$H534&gt;0,OR(AUTOEVENTO&lt;&gt;"manual",$M534&lt;&gt;1)),ROUND(OFFSET($P534,0,AY$13),15-13*ORÇAMENTO!$AF$7)/$H534*OFFSET(ORÇAMENTO!$X$15,ROW(AY534)-ROW(AY$15),0),0)</f>
        <v>0</v>
      </c>
      <c r="AZ534" s="632">
        <f ca="1">IF(AND($D534="Serviço",AZ$12&lt;&gt;0,$H534&gt;0,OR(AUTOEVENTO&lt;&gt;"manual",$M534&lt;&gt;1)),ROUND(OFFSET($P534,0,AZ$13),15-13*ORÇAMENTO!$AF$7)/$H534*OFFSET(ORÇAMENTO!$X$15,ROW(AZ534)-ROW(AZ$15),0),0)</f>
        <v>0</v>
      </c>
      <c r="BA534" s="633">
        <f ca="1">IF(AND($D534="Serviço",BA$12&lt;&gt;0,$H534&gt;0,OR(AUTOEVENTO&lt;&gt;"manual",$M534&lt;&gt;1)),ROUND(OFFSET($P534,0,BA$13),15-13*ORÇAMENTO!$AF$7)/$H534*OFFSET(ORÇAMENTO!$X$15,ROW(BA534)-ROW(BA$15),0),0)</f>
        <v>0</v>
      </c>
      <c r="BC534" s="215">
        <f ca="1">IF($D534&lt;&gt;"Serviço",0,IF(AND(AUTOEVENTO="Manual",$M534=1),0,IF(OFFSET(CRONOPLE!$F$14,$M534,BC$13)="",10^12,OFFSET(CRONOPLE!$F$14,$M534,BC$13))))</f>
        <v>1000000000000</v>
      </c>
      <c r="BD534" s="215">
        <f ca="1">IF($D534&lt;&gt;"Serviço",0,IF(AND(AUTOEVENTO="Manual",$M534=1),0,IF(OFFSET(CRONOPLE!$F$14,$M534,BD$13)="",10^12,OFFSET(CRONOPLE!$F$14,$M534,BD$13))))</f>
        <v>1000000000000</v>
      </c>
      <c r="BE534" s="215">
        <f ca="1">IF($D534&lt;&gt;"Serviço",0,IF(AND(AUTOEVENTO="Manual",$M534=1),0,IF(OFFSET(CRONOPLE!$F$14,$M534,BE$13)="",10^12,OFFSET(CRONOPLE!$F$14,$M534,BE$13))))</f>
        <v>1000000000000</v>
      </c>
      <c r="BF534" s="215">
        <f ca="1">IF($D534&lt;&gt;"Serviço",0,IF(AND(AUTOEVENTO="Manual",$M534=1),0,IF(OFFSET(CRONOPLE!$F$14,$M534,BF$13)="",10^12,OFFSET(CRONOPLE!$F$14,$M534,BF$13))))</f>
        <v>1000000000000</v>
      </c>
      <c r="BG534" s="215">
        <f ca="1">IF($D534&lt;&gt;"Serviço",0,IF(AND(AUTOEVENTO="Manual",$M534=1),0,IF(OFFSET(CRONOPLE!$F$14,$M534,BG$13)="",10^12,OFFSET(CRONOPLE!$F$14,$M534,BG$13))))</f>
        <v>1000000000000</v>
      </c>
      <c r="BH534" s="215">
        <f ca="1">IF($D534&lt;&gt;"Serviço",0,IF(AND(AUTOEVENTO="Manual",$M534=1),0,IF(OFFSET(CRONOPLE!$F$14,$M534,BH$13)="",10^12,OFFSET(CRONOPLE!$F$14,$M534,BH$13))))</f>
        <v>1000000000000</v>
      </c>
      <c r="BI534" s="215">
        <f ca="1">IF($D534&lt;&gt;"Serviço",0,IF(AND(AUTOEVENTO="Manual",$M534=1),0,IF(OFFSET(CRONOPLE!$F$14,$M534,BI$13)="",10^12,OFFSET(CRONOPLE!$F$14,$M534,BI$13))))</f>
        <v>1000000000000</v>
      </c>
      <c r="BJ534" s="215">
        <f ca="1">IF($D534&lt;&gt;"Serviço",0,IF(AND(AUTOEVENTO="Manual",$M534=1),0,IF(OFFSET(CRONOPLE!$F$14,$M534,BJ$13)="",10^12,OFFSET(CRONOPLE!$F$14,$M534,BJ$13))))</f>
        <v>1000000000000</v>
      </c>
      <c r="BK534" s="215">
        <f ca="1">IF($D534&lt;&gt;"Serviço",0,IF(AND(AUTOEVENTO="Manual",$M534=1),0,IF(OFFSET(CRONOPLE!$F$14,$M534,BK$13)="",10^12,OFFSET(CRONOPLE!$F$14,$M534,BK$13))))</f>
        <v>1000000000000</v>
      </c>
      <c r="BL534" s="215">
        <f ca="1">IF($D534&lt;&gt;"Serviço",0,IF(AND(AUTOEVENTO="Manual",$M534=1),0,IF(OFFSET(CRONOPLE!$F$14,$M534,BL$13)="",10^12,OFFSET(CRONOPLE!$F$14,$M534,BL$13))))</f>
        <v>1000000000000</v>
      </c>
      <c r="BM534" s="215">
        <f ca="1">IF($D534&lt;&gt;"Serviço",0,IF(AND(AUTOEVENTO="Manual",$M534=1),0,IF(OFFSET(CRONOPLE!$F$14,$M534,BM$13)="",10^12,OFFSET(CRONOPLE!$F$14,$M534,BM$13))))</f>
        <v>1000000000000</v>
      </c>
      <c r="BN534" s="215">
        <f ca="1">IF($D534&lt;&gt;"Serviço",0,IF(AND(AUTOEVENTO="Manual",$M534=1),0,IF(OFFSET(CRONOPLE!$F$14,$M534,BN$13)="",10^12,OFFSET(CRONOPLE!$F$14,$M534,BN$13))))</f>
        <v>1000000000000</v>
      </c>
      <c r="BO534" s="215">
        <f ca="1">IF($D534&lt;&gt;"Serviço",0,IF(AND(AUTOEVENTO="Manual",$M534=1),0,IF(OFFSET(CRONOPLE!$F$14,$M534,BO$13)="",10^12,OFFSET(CRONOPLE!$F$14,$M534,BO$13))))</f>
        <v>1000000000000</v>
      </c>
      <c r="BP534" s="215">
        <f ca="1">IF($D534&lt;&gt;"Serviço",0,IF(AND(AUTOEVENTO="Manual",$M534=1),0,IF(OFFSET(CRONOPLE!$F$14,$M534,BP$13)="",10^12,OFFSET(CRONOPLE!$F$14,$M534,BP$13))))</f>
        <v>1000000000000</v>
      </c>
      <c r="BQ534" s="215">
        <f ca="1">IF($D534&lt;&gt;"Serviço",0,IF(AND(AUTOEVENTO="Manual",$M534=1),0,IF(OFFSET(CRONOPLE!$F$14,$M534,BQ$13)="",10^12,OFFSET(CRONOPLE!$F$14,$M534,BQ$13))))</f>
        <v>1000000000000</v>
      </c>
      <c r="BR534" s="215">
        <f ca="1">IF($D534&lt;&gt;"Serviço",0,IF(AND(AUTOEVENTO="Manual",$M534=1),0,IF(OFFSET(CRONOPLE!$F$14,$M534,BR$13)="",10^12,OFFSET(CRONOPLE!$F$14,$M534,BR$13))))</f>
        <v>1000000000000</v>
      </c>
      <c r="BS534" s="215">
        <f ca="1">IF($D534&lt;&gt;"Serviço",0,IF(AND(AUTOEVENTO="Manual",$M534=1),0,IF(OFFSET(CRONOPLE!$F$14,$M534,BS$13)="",10^12,OFFSET(CRONOPLE!$F$14,$M534,BS$13))))</f>
        <v>1000000000000</v>
      </c>
      <c r="BT534" s="215">
        <f ca="1">IF($D534&lt;&gt;"Serviço",0,IF(AND(AUTOEVENTO="Manual",$M534=1),0,IF(OFFSET(CRONOPLE!$F$14,$M534,BT$13)="",10^12,OFFSET(CRONOPLE!$F$14,$M534,BT$13))))</f>
        <v>1000000000000</v>
      </c>
      <c r="BV534" s="216">
        <f ca="1">IF($D534&lt;&gt;"Serviço",0,IF(OR(AND(AUTOEVENTO="Manual",$M534=1),$M534&gt;(ROW(PLE.lastrow)-ROW(PLE.firstrow))),0,IF(OFFSET(PLE!$G$14,$M534,BV$13)="",10^12,OFFSET(PLE!$G$14,$M534,BV$13))))</f>
        <v>1000000000000</v>
      </c>
      <c r="BW534" s="216">
        <f ca="1">IF($D534&lt;&gt;"Serviço",0,IF(OR(AND(AUTOEVENTO="Manual",$M534=1),$M534&gt;(ROW(PLE.lastrow)-ROW(PLE.firstrow))),0,IF(OFFSET(PLE!$G$14,$M534,BW$13)="",10^12,OFFSET(PLE!$G$14,$M534,BW$13))))</f>
        <v>1000000000000</v>
      </c>
      <c r="BX534" s="216">
        <f ca="1">IF($D534&lt;&gt;"Serviço",0,IF(OR(AND(AUTOEVENTO="Manual",$M534=1),$M534&gt;(ROW(PLE.lastrow)-ROW(PLE.firstrow))),0,IF(OFFSET(PLE!$G$14,$M534,BX$13)="",10^12,OFFSET(PLE!$G$14,$M534,BX$13))))</f>
        <v>1000000000000</v>
      </c>
      <c r="BY534" s="216">
        <f ca="1">IF($D534&lt;&gt;"Serviço",0,IF(OR(AND(AUTOEVENTO="Manual",$M534=1),$M534&gt;(ROW(PLE.lastrow)-ROW(PLE.firstrow))),0,IF(OFFSET(PLE!$G$14,$M534,BY$13)="",10^12,OFFSET(PLE!$G$14,$M534,BY$13))))</f>
        <v>1000000000000</v>
      </c>
      <c r="BZ534" s="216">
        <f ca="1">IF($D534&lt;&gt;"Serviço",0,IF(OR(AND(AUTOEVENTO="Manual",$M534=1),$M534&gt;(ROW(PLE.lastrow)-ROW(PLE.firstrow))),0,IF(OFFSET(PLE!$G$14,$M534,BZ$13)="",10^12,OFFSET(PLE!$G$14,$M534,BZ$13))))</f>
        <v>1000000000000</v>
      </c>
      <c r="CA534" s="216">
        <f ca="1">IF($D534&lt;&gt;"Serviço",0,IF(OR(AND(AUTOEVENTO="Manual",$M534=1),$M534&gt;(ROW(PLE.lastrow)-ROW(PLE.firstrow))),0,IF(OFFSET(PLE!$G$14,$M534,CA$13)="",10^12,OFFSET(PLE!$G$14,$M534,CA$13))))</f>
        <v>1000000000000</v>
      </c>
      <c r="CB534" s="216">
        <f ca="1">IF($D534&lt;&gt;"Serviço",0,IF(OR(AND(AUTOEVENTO="Manual",$M534=1),$M534&gt;(ROW(PLE.lastrow)-ROW(PLE.firstrow))),0,IF(OFFSET(PLE!$G$14,$M534,CB$13)="",10^12,OFFSET(PLE!$G$14,$M534,CB$13))))</f>
        <v>1000000000000</v>
      </c>
      <c r="CC534" s="216">
        <f ca="1">IF($D534&lt;&gt;"Serviço",0,IF(OR(AND(AUTOEVENTO="Manual",$M534=1),$M534&gt;(ROW(PLE.lastrow)-ROW(PLE.firstrow))),0,IF(OFFSET(PLE!$G$14,$M534,CC$13)="",10^12,OFFSET(PLE!$G$14,$M534,CC$13))))</f>
        <v>1000000000000</v>
      </c>
      <c r="CD534" s="216">
        <f ca="1">IF($D534&lt;&gt;"Serviço",0,IF(OR(AND(AUTOEVENTO="Manual",$M534=1),$M534&gt;(ROW(PLE.lastrow)-ROW(PLE.firstrow))),0,IF(OFFSET(PLE!$G$14,$M534,CD$13)="",10^12,OFFSET(PLE!$G$14,$M534,CD$13))))</f>
        <v>1000000000000</v>
      </c>
      <c r="CE534" s="216">
        <f ca="1">IF($D534&lt;&gt;"Serviço",0,IF(OR(AND(AUTOEVENTO="Manual",$M534=1),$M534&gt;(ROW(PLE.lastrow)-ROW(PLE.firstrow))),0,IF(OFFSET(PLE!$G$14,$M534,CE$13)="",10^12,OFFSET(PLE!$G$14,$M534,CE$13))))</f>
        <v>1000000000000</v>
      </c>
      <c r="CF534" s="216">
        <f ca="1">IF($D534&lt;&gt;"Serviço",0,IF(OR(AND(AUTOEVENTO="Manual",$M534=1),$M534&gt;(ROW(PLE.lastrow)-ROW(PLE.firstrow))),0,IF(OFFSET(PLE!$G$14,$M534,CF$13)="",10^12,OFFSET(PLE!$G$14,$M534,CF$13))))</f>
        <v>1000000000000</v>
      </c>
      <c r="CG534" s="216">
        <f ca="1">IF($D534&lt;&gt;"Serviço",0,IF(OR(AND(AUTOEVENTO="Manual",$M534=1),$M534&gt;(ROW(PLE.lastrow)-ROW(PLE.firstrow))),0,IF(OFFSET(PLE!$G$14,$M534,CG$13)="",10^12,OFFSET(PLE!$G$14,$M534,CG$13))))</f>
        <v>1000000000000</v>
      </c>
      <c r="CH534" s="216">
        <f ca="1">IF($D534&lt;&gt;"Serviço",0,IF(OR(AND(AUTOEVENTO="Manual",$M534=1),$M534&gt;(ROW(PLE.lastrow)-ROW(PLE.firstrow))),0,IF(OFFSET(PLE!$G$14,$M534,CH$13)="",10^12,OFFSET(PLE!$G$14,$M534,CH$13))))</f>
        <v>1000000000000</v>
      </c>
      <c r="CI534" s="216">
        <f ca="1">IF($D534&lt;&gt;"Serviço",0,IF(OR(AND(AUTOEVENTO="Manual",$M534=1),$M534&gt;(ROW(PLE.lastrow)-ROW(PLE.firstrow))),0,IF(OFFSET(PLE!$G$14,$M534,CI$13)="",10^12,OFFSET(PLE!$G$14,$M534,CI$13))))</f>
        <v>1000000000000</v>
      </c>
      <c r="CJ534" s="216">
        <f ca="1">IF($D534&lt;&gt;"Serviço",0,IF(OR(AND(AUTOEVENTO="Manual",$M534=1),$M534&gt;(ROW(PLE.lastrow)-ROW(PLE.firstrow))),0,IF(OFFSET(PLE!$G$14,$M534,CJ$13)="",10^12,OFFSET(PLE!$G$14,$M534,CJ$13))))</f>
        <v>1000000000000</v>
      </c>
      <c r="CK534" s="216">
        <f ca="1">IF($D534&lt;&gt;"Serviço",0,IF(OR(AND(AUTOEVENTO="Manual",$M534=1),$M534&gt;(ROW(PLE.lastrow)-ROW(PLE.firstrow))),0,IF(OFFSET(PLE!$G$14,$M534,CK$13)="",10^12,OFFSET(PLE!$G$14,$M534,CK$13))))</f>
        <v>1000000000000</v>
      </c>
      <c r="CL534" s="216">
        <f ca="1">IF($D534&lt;&gt;"Serviço",0,IF(OR(AND(AUTOEVENTO="Manual",$M534=1),$M534&gt;(ROW(PLE.lastrow)-ROW(PLE.firstrow))),0,IF(OFFSET(PLE!$G$14,$M534,CL$13)="",10^12,OFFSET(PLE!$G$14,$M534,CL$13))))</f>
        <v>1000000000000</v>
      </c>
      <c r="CM534" s="216">
        <f ca="1">IF($D534&lt;&gt;"Serviço",0,IF(OR(AND(AUTOEVENTO="Manual",$M534=1),$M534&gt;(ROW(PLE.lastrow)-ROW(PLE.firstrow))),0,IF(OFFSET(PLE!$G$14,$M534,CM$13)="",10^12,OFFSET(PLE!$G$14,$M534,CM$13))))</f>
        <v>1000000000000</v>
      </c>
    </row>
    <row r="535" spans="1:91" ht="13.2" x14ac:dyDescent="0.25">
      <c r="A535" s="9">
        <f t="shared" ca="1" si="17"/>
        <v>0</v>
      </c>
      <c r="B535" s="9">
        <f ca="1">OFFSET(ORÇAMENTO!C$15,ROW(B535)-ROW(B$15),0)</f>
        <v>3</v>
      </c>
      <c r="C535" s="9" t="str">
        <f ca="1">OFFSET(ORÇAMENTO!L$15,ROW(C535)-ROW(C$15),0)</f>
        <v>F</v>
      </c>
      <c r="D535" s="145" t="str">
        <f ca="1">OFFSET(ORÇAMENTO!N$15,ROW(D535)-ROW(D$15),0)</f>
        <v>Nível 3</v>
      </c>
      <c r="E535" s="205" t="str">
        <f ca="1">OFFSET(ORÇAMENTO!O$15,ROW(E535)-ROW(E$15),0)</f>
        <v>1.18.2.</v>
      </c>
      <c r="F535" s="206" t="str">
        <f ca="1">OFFSET(ORÇAMENTO!R$15,ROW(F535)-ROW(F$15),0)</f>
        <v>DISJUNTORES</v>
      </c>
      <c r="G535" s="207" t="str">
        <f ca="1">IF($D535&lt;&gt;"Serviço","",OFFSET(ORÇAMENTO!S$15,ROW(G535)-ROW(G$15),0))</f>
        <v/>
      </c>
      <c r="H535" s="151">
        <f ca="1">IF($D535&lt;&gt;"Serviço",0,IF(ACOMPANHAMENTO="BM",ROUND(OFFSET(ORÇAMENTO!AJ$15,ROW(H535)-ROW(H$15),0),15-13*ORÇAMENTO!$AF$7),SUMPRODUCT(($Q$12:$AI$12&lt;&gt;"")*ROUND($Q535:$AI535,15-13*ORÇAMENTO!$AF$7))))</f>
        <v>0</v>
      </c>
      <c r="I535" s="650"/>
      <c r="K535" s="208"/>
      <c r="L535" s="209" t="s">
        <v>257</v>
      </c>
      <c r="M535" s="210" t="str">
        <f ca="1">IF($D535&lt;&gt;"Serviço","",IF(AUTOEVENTO="manual",$A535,IF(ISERROR(MATCH($A535,$A$15:OFFSET($A535,-1,0),0)),MAX($M$15:OFFSET(M535,-1,0))+1,INDEX($M$15:OFFSET(M535,-1,0),MATCH($A535,$A$15:OFFSET($A535,-1,0),0)))))</f>
        <v/>
      </c>
      <c r="N535" s="211" t="str">
        <f ca="1">IF($D535&lt;&gt;"Serviço","",IF(AUTOEVENTO="Manual",IF($A535=0,"&lt;-- defina o número do agrupador",OFFSET(EVENTOS!$D$14,$A535,0)),OFFSET($F$15,$A535,0)))</f>
        <v/>
      </c>
      <c r="O535" s="212"/>
      <c r="Q535" s="212"/>
      <c r="R535" s="213"/>
      <c r="S535" s="213"/>
      <c r="T535" s="213"/>
      <c r="U535" s="213"/>
      <c r="V535" s="213"/>
      <c r="W535" s="213"/>
      <c r="X535" s="213"/>
      <c r="Y535" s="213"/>
      <c r="Z535" s="214"/>
      <c r="AA535" s="213"/>
      <c r="AB535" s="213"/>
      <c r="AC535" s="213"/>
      <c r="AD535" s="213"/>
      <c r="AE535" s="213"/>
      <c r="AF535" s="213"/>
      <c r="AG535" s="213"/>
      <c r="AH535" s="214"/>
      <c r="AJ535" s="631">
        <f ca="1">IF(AND($D535="Serviço",AJ$12&lt;&gt;0,$H535&gt;0,OR(AUTOEVENTO&lt;&gt;"manual",$M535&lt;&gt;1)),ROUND(OFFSET($P535,0,AJ$13),15-13*ORÇAMENTO!$AF$7)/$H535*OFFSET(ORÇAMENTO!$X$15,ROW(AJ535)-ROW(AJ$15),0),0)</f>
        <v>0</v>
      </c>
      <c r="AK535" s="632">
        <f ca="1">IF(AND($D535="Serviço",AK$12&lt;&gt;0,$H535&gt;0,OR(AUTOEVENTO&lt;&gt;"manual",$M535&lt;&gt;1)),ROUND(OFFSET($P535,0,AK$13),15-13*ORÇAMENTO!$AF$7)/$H535*OFFSET(ORÇAMENTO!$X$15,ROW(AK535)-ROW(AK$15),0),0)</f>
        <v>0</v>
      </c>
      <c r="AL535" s="632">
        <f ca="1">IF(AND($D535="Serviço",AL$12&lt;&gt;0,$H535&gt;0,OR(AUTOEVENTO&lt;&gt;"manual",$M535&lt;&gt;1)),ROUND(OFFSET($P535,0,AL$13),15-13*ORÇAMENTO!$AF$7)/$H535*OFFSET(ORÇAMENTO!$X$15,ROW(AL535)-ROW(AL$15),0),0)</f>
        <v>0</v>
      </c>
      <c r="AM535" s="632">
        <f ca="1">IF(AND($D535="Serviço",AM$12&lt;&gt;0,$H535&gt;0,OR(AUTOEVENTO&lt;&gt;"manual",$M535&lt;&gt;1)),ROUND(OFFSET($P535,0,AM$13),15-13*ORÇAMENTO!$AF$7)/$H535*OFFSET(ORÇAMENTO!$X$15,ROW(AM535)-ROW(AM$15),0),0)</f>
        <v>0</v>
      </c>
      <c r="AN535" s="632">
        <f ca="1">IF(AND($D535="Serviço",AN$12&lt;&gt;0,$H535&gt;0,OR(AUTOEVENTO&lt;&gt;"manual",$M535&lt;&gt;1)),ROUND(OFFSET($P535,0,AN$13),15-13*ORÇAMENTO!$AF$7)/$H535*OFFSET(ORÇAMENTO!$X$15,ROW(AN535)-ROW(AN$15),0),0)</f>
        <v>0</v>
      </c>
      <c r="AO535" s="632">
        <f ca="1">IF(AND($D535="Serviço",AO$12&lt;&gt;0,$H535&gt;0,OR(AUTOEVENTO&lt;&gt;"manual",$M535&lt;&gt;1)),ROUND(OFFSET($P535,0,AO$13),15-13*ORÇAMENTO!$AF$7)/$H535*OFFSET(ORÇAMENTO!$X$15,ROW(AO535)-ROW(AO$15),0),0)</f>
        <v>0</v>
      </c>
      <c r="AP535" s="632">
        <f ca="1">IF(AND($D535="Serviço",AP$12&lt;&gt;0,$H535&gt;0,OR(AUTOEVENTO&lt;&gt;"manual",$M535&lt;&gt;1)),ROUND(OFFSET($P535,0,AP$13),15-13*ORÇAMENTO!$AF$7)/$H535*OFFSET(ORÇAMENTO!$X$15,ROW(AP535)-ROW(AP$15),0),0)</f>
        <v>0</v>
      </c>
      <c r="AQ535" s="632">
        <f ca="1">IF(AND($D535="Serviço",AQ$12&lt;&gt;0,$H535&gt;0,OR(AUTOEVENTO&lt;&gt;"manual",$M535&lt;&gt;1)),ROUND(OFFSET($P535,0,AQ$13),15-13*ORÇAMENTO!$AF$7)/$H535*OFFSET(ORÇAMENTO!$X$15,ROW(AQ535)-ROW(AQ$15),0),0)</f>
        <v>0</v>
      </c>
      <c r="AR535" s="632">
        <f ca="1">IF(AND($D535="Serviço",AR$12&lt;&gt;0,$H535&gt;0,OR(AUTOEVENTO&lt;&gt;"manual",$M535&lt;&gt;1)),ROUND(OFFSET($P535,0,AR$13),15-13*ORÇAMENTO!$AF$7)/$H535*OFFSET(ORÇAMENTO!$X$15,ROW(AR535)-ROW(AR$15),0),0)</f>
        <v>0</v>
      </c>
      <c r="AS535" s="633">
        <f ca="1">IF(AND($D535="Serviço",AS$12&lt;&gt;0,$H535&gt;0,OR(AUTOEVENTO&lt;&gt;"manual",$M535&lt;&gt;1)),ROUND(OFFSET($P535,0,AS$13),15-13*ORÇAMENTO!$AF$7)/$H535*OFFSET(ORÇAMENTO!$X$15,ROW(AS535)-ROW(AS$15),0),0)</f>
        <v>0</v>
      </c>
      <c r="AT535" s="632">
        <f ca="1">IF(AND($D535="Serviço",AT$12&lt;&gt;0,$H535&gt;0,OR(AUTOEVENTO&lt;&gt;"manual",$M535&lt;&gt;1)),ROUND(OFFSET($P535,0,AT$13),15-13*ORÇAMENTO!$AF$7)/$H535*OFFSET(ORÇAMENTO!$X$15,ROW(AT535)-ROW(AT$15),0),0)</f>
        <v>0</v>
      </c>
      <c r="AU535" s="632">
        <f ca="1">IF(AND($D535="Serviço",AU$12&lt;&gt;0,$H535&gt;0,OR(AUTOEVENTO&lt;&gt;"manual",$M535&lt;&gt;1)),ROUND(OFFSET($P535,0,AU$13),15-13*ORÇAMENTO!$AF$7)/$H535*OFFSET(ORÇAMENTO!$X$15,ROW(AU535)-ROW(AU$15),0),0)</f>
        <v>0</v>
      </c>
      <c r="AV535" s="632">
        <f ca="1">IF(AND($D535="Serviço",AV$12&lt;&gt;0,$H535&gt;0,OR(AUTOEVENTO&lt;&gt;"manual",$M535&lt;&gt;1)),ROUND(OFFSET($P535,0,AV$13),15-13*ORÇAMENTO!$AF$7)/$H535*OFFSET(ORÇAMENTO!$X$15,ROW(AV535)-ROW(AV$15),0),0)</f>
        <v>0</v>
      </c>
      <c r="AW535" s="632">
        <f ca="1">IF(AND($D535="Serviço",AW$12&lt;&gt;0,$H535&gt;0,OR(AUTOEVENTO&lt;&gt;"manual",$M535&lt;&gt;1)),ROUND(OFFSET($P535,0,AW$13),15-13*ORÇAMENTO!$AF$7)/$H535*OFFSET(ORÇAMENTO!$X$15,ROW(AW535)-ROW(AW$15),0),0)</f>
        <v>0</v>
      </c>
      <c r="AX535" s="632">
        <f ca="1">IF(AND($D535="Serviço",AX$12&lt;&gt;0,$H535&gt;0,OR(AUTOEVENTO&lt;&gt;"manual",$M535&lt;&gt;1)),ROUND(OFFSET($P535,0,AX$13),15-13*ORÇAMENTO!$AF$7)/$H535*OFFSET(ORÇAMENTO!$X$15,ROW(AX535)-ROW(AX$15),0),0)</f>
        <v>0</v>
      </c>
      <c r="AY535" s="632">
        <f ca="1">IF(AND($D535="Serviço",AY$12&lt;&gt;0,$H535&gt;0,OR(AUTOEVENTO&lt;&gt;"manual",$M535&lt;&gt;1)),ROUND(OFFSET($P535,0,AY$13),15-13*ORÇAMENTO!$AF$7)/$H535*OFFSET(ORÇAMENTO!$X$15,ROW(AY535)-ROW(AY$15),0),0)</f>
        <v>0</v>
      </c>
      <c r="AZ535" s="632">
        <f ca="1">IF(AND($D535="Serviço",AZ$12&lt;&gt;0,$H535&gt;0,OR(AUTOEVENTO&lt;&gt;"manual",$M535&lt;&gt;1)),ROUND(OFFSET($P535,0,AZ$13),15-13*ORÇAMENTO!$AF$7)/$H535*OFFSET(ORÇAMENTO!$X$15,ROW(AZ535)-ROW(AZ$15),0),0)</f>
        <v>0</v>
      </c>
      <c r="BA535" s="633">
        <f ca="1">IF(AND($D535="Serviço",BA$12&lt;&gt;0,$H535&gt;0,OR(AUTOEVENTO&lt;&gt;"manual",$M535&lt;&gt;1)),ROUND(OFFSET($P535,0,BA$13),15-13*ORÇAMENTO!$AF$7)/$H535*OFFSET(ORÇAMENTO!$X$15,ROW(BA535)-ROW(BA$15),0),0)</f>
        <v>0</v>
      </c>
      <c r="BC535" s="215">
        <f ca="1">IF($D535&lt;&gt;"Serviço",0,IF(AND(AUTOEVENTO="Manual",$M535=1),0,IF(OFFSET(CRONOPLE!$F$14,$M535,BC$13)="",10^12,OFFSET(CRONOPLE!$F$14,$M535,BC$13))))</f>
        <v>0</v>
      </c>
      <c r="BD535" s="215">
        <f ca="1">IF($D535&lt;&gt;"Serviço",0,IF(AND(AUTOEVENTO="Manual",$M535=1),0,IF(OFFSET(CRONOPLE!$F$14,$M535,BD$13)="",10^12,OFFSET(CRONOPLE!$F$14,$M535,BD$13))))</f>
        <v>0</v>
      </c>
      <c r="BE535" s="215">
        <f ca="1">IF($D535&lt;&gt;"Serviço",0,IF(AND(AUTOEVENTO="Manual",$M535=1),0,IF(OFFSET(CRONOPLE!$F$14,$M535,BE$13)="",10^12,OFFSET(CRONOPLE!$F$14,$M535,BE$13))))</f>
        <v>0</v>
      </c>
      <c r="BF535" s="215">
        <f ca="1">IF($D535&lt;&gt;"Serviço",0,IF(AND(AUTOEVENTO="Manual",$M535=1),0,IF(OFFSET(CRONOPLE!$F$14,$M535,BF$13)="",10^12,OFFSET(CRONOPLE!$F$14,$M535,BF$13))))</f>
        <v>0</v>
      </c>
      <c r="BG535" s="215">
        <f ca="1">IF($D535&lt;&gt;"Serviço",0,IF(AND(AUTOEVENTO="Manual",$M535=1),0,IF(OFFSET(CRONOPLE!$F$14,$M535,BG$13)="",10^12,OFFSET(CRONOPLE!$F$14,$M535,BG$13))))</f>
        <v>0</v>
      </c>
      <c r="BH535" s="215">
        <f ca="1">IF($D535&lt;&gt;"Serviço",0,IF(AND(AUTOEVENTO="Manual",$M535=1),0,IF(OFFSET(CRONOPLE!$F$14,$M535,BH$13)="",10^12,OFFSET(CRONOPLE!$F$14,$M535,BH$13))))</f>
        <v>0</v>
      </c>
      <c r="BI535" s="215">
        <f ca="1">IF($D535&lt;&gt;"Serviço",0,IF(AND(AUTOEVENTO="Manual",$M535=1),0,IF(OFFSET(CRONOPLE!$F$14,$M535,BI$13)="",10^12,OFFSET(CRONOPLE!$F$14,$M535,BI$13))))</f>
        <v>0</v>
      </c>
      <c r="BJ535" s="215">
        <f ca="1">IF($D535&lt;&gt;"Serviço",0,IF(AND(AUTOEVENTO="Manual",$M535=1),0,IF(OFFSET(CRONOPLE!$F$14,$M535,BJ$13)="",10^12,OFFSET(CRONOPLE!$F$14,$M535,BJ$13))))</f>
        <v>0</v>
      </c>
      <c r="BK535" s="215">
        <f ca="1">IF($D535&lt;&gt;"Serviço",0,IF(AND(AUTOEVENTO="Manual",$M535=1),0,IF(OFFSET(CRONOPLE!$F$14,$M535,BK$13)="",10^12,OFFSET(CRONOPLE!$F$14,$M535,BK$13))))</f>
        <v>0</v>
      </c>
      <c r="BL535" s="215">
        <f ca="1">IF($D535&lt;&gt;"Serviço",0,IF(AND(AUTOEVENTO="Manual",$M535=1),0,IF(OFFSET(CRONOPLE!$F$14,$M535,BL$13)="",10^12,OFFSET(CRONOPLE!$F$14,$M535,BL$13))))</f>
        <v>0</v>
      </c>
      <c r="BM535" s="215">
        <f ca="1">IF($D535&lt;&gt;"Serviço",0,IF(AND(AUTOEVENTO="Manual",$M535=1),0,IF(OFFSET(CRONOPLE!$F$14,$M535,BM$13)="",10^12,OFFSET(CRONOPLE!$F$14,$M535,BM$13))))</f>
        <v>0</v>
      </c>
      <c r="BN535" s="215">
        <f ca="1">IF($D535&lt;&gt;"Serviço",0,IF(AND(AUTOEVENTO="Manual",$M535=1),0,IF(OFFSET(CRONOPLE!$F$14,$M535,BN$13)="",10^12,OFFSET(CRONOPLE!$F$14,$M535,BN$13))))</f>
        <v>0</v>
      </c>
      <c r="BO535" s="215">
        <f ca="1">IF($D535&lt;&gt;"Serviço",0,IF(AND(AUTOEVENTO="Manual",$M535=1),0,IF(OFFSET(CRONOPLE!$F$14,$M535,BO$13)="",10^12,OFFSET(CRONOPLE!$F$14,$M535,BO$13))))</f>
        <v>0</v>
      </c>
      <c r="BP535" s="215">
        <f ca="1">IF($D535&lt;&gt;"Serviço",0,IF(AND(AUTOEVENTO="Manual",$M535=1),0,IF(OFFSET(CRONOPLE!$F$14,$M535,BP$13)="",10^12,OFFSET(CRONOPLE!$F$14,$M535,BP$13))))</f>
        <v>0</v>
      </c>
      <c r="BQ535" s="215">
        <f ca="1">IF($D535&lt;&gt;"Serviço",0,IF(AND(AUTOEVENTO="Manual",$M535=1),0,IF(OFFSET(CRONOPLE!$F$14,$M535,BQ$13)="",10^12,OFFSET(CRONOPLE!$F$14,$M535,BQ$13))))</f>
        <v>0</v>
      </c>
      <c r="BR535" s="215">
        <f ca="1">IF($D535&lt;&gt;"Serviço",0,IF(AND(AUTOEVENTO="Manual",$M535=1),0,IF(OFFSET(CRONOPLE!$F$14,$M535,BR$13)="",10^12,OFFSET(CRONOPLE!$F$14,$M535,BR$13))))</f>
        <v>0</v>
      </c>
      <c r="BS535" s="215">
        <f ca="1">IF($D535&lt;&gt;"Serviço",0,IF(AND(AUTOEVENTO="Manual",$M535=1),0,IF(OFFSET(CRONOPLE!$F$14,$M535,BS$13)="",10^12,OFFSET(CRONOPLE!$F$14,$M535,BS$13))))</f>
        <v>0</v>
      </c>
      <c r="BT535" s="215">
        <f ca="1">IF($D535&lt;&gt;"Serviço",0,IF(AND(AUTOEVENTO="Manual",$M535=1),0,IF(OFFSET(CRONOPLE!$F$14,$M535,BT$13)="",10^12,OFFSET(CRONOPLE!$F$14,$M535,BT$13))))</f>
        <v>0</v>
      </c>
      <c r="BV535" s="216">
        <f ca="1">IF($D535&lt;&gt;"Serviço",0,IF(OR(AND(AUTOEVENTO="Manual",$M535=1),$M535&gt;(ROW(PLE.lastrow)-ROW(PLE.firstrow))),0,IF(OFFSET(PLE!$G$14,$M535,BV$13)="",10^12,OFFSET(PLE!$G$14,$M535,BV$13))))</f>
        <v>0</v>
      </c>
      <c r="BW535" s="216">
        <f ca="1">IF($D535&lt;&gt;"Serviço",0,IF(OR(AND(AUTOEVENTO="Manual",$M535=1),$M535&gt;(ROW(PLE.lastrow)-ROW(PLE.firstrow))),0,IF(OFFSET(PLE!$G$14,$M535,BW$13)="",10^12,OFFSET(PLE!$G$14,$M535,BW$13))))</f>
        <v>0</v>
      </c>
      <c r="BX535" s="216">
        <f ca="1">IF($D535&lt;&gt;"Serviço",0,IF(OR(AND(AUTOEVENTO="Manual",$M535=1),$M535&gt;(ROW(PLE.lastrow)-ROW(PLE.firstrow))),0,IF(OFFSET(PLE!$G$14,$M535,BX$13)="",10^12,OFFSET(PLE!$G$14,$M535,BX$13))))</f>
        <v>0</v>
      </c>
      <c r="BY535" s="216">
        <f ca="1">IF($D535&lt;&gt;"Serviço",0,IF(OR(AND(AUTOEVENTO="Manual",$M535=1),$M535&gt;(ROW(PLE.lastrow)-ROW(PLE.firstrow))),0,IF(OFFSET(PLE!$G$14,$M535,BY$13)="",10^12,OFFSET(PLE!$G$14,$M535,BY$13))))</f>
        <v>0</v>
      </c>
      <c r="BZ535" s="216">
        <f ca="1">IF($D535&lt;&gt;"Serviço",0,IF(OR(AND(AUTOEVENTO="Manual",$M535=1),$M535&gt;(ROW(PLE.lastrow)-ROW(PLE.firstrow))),0,IF(OFFSET(PLE!$G$14,$M535,BZ$13)="",10^12,OFFSET(PLE!$G$14,$M535,BZ$13))))</f>
        <v>0</v>
      </c>
      <c r="CA535" s="216">
        <f ca="1">IF($D535&lt;&gt;"Serviço",0,IF(OR(AND(AUTOEVENTO="Manual",$M535=1),$M535&gt;(ROW(PLE.lastrow)-ROW(PLE.firstrow))),0,IF(OFFSET(PLE!$G$14,$M535,CA$13)="",10^12,OFFSET(PLE!$G$14,$M535,CA$13))))</f>
        <v>0</v>
      </c>
      <c r="CB535" s="216">
        <f ca="1">IF($D535&lt;&gt;"Serviço",0,IF(OR(AND(AUTOEVENTO="Manual",$M535=1),$M535&gt;(ROW(PLE.lastrow)-ROW(PLE.firstrow))),0,IF(OFFSET(PLE!$G$14,$M535,CB$13)="",10^12,OFFSET(PLE!$G$14,$M535,CB$13))))</f>
        <v>0</v>
      </c>
      <c r="CC535" s="216">
        <f ca="1">IF($D535&lt;&gt;"Serviço",0,IF(OR(AND(AUTOEVENTO="Manual",$M535=1),$M535&gt;(ROW(PLE.lastrow)-ROW(PLE.firstrow))),0,IF(OFFSET(PLE!$G$14,$M535,CC$13)="",10^12,OFFSET(PLE!$G$14,$M535,CC$13))))</f>
        <v>0</v>
      </c>
      <c r="CD535" s="216">
        <f ca="1">IF($D535&lt;&gt;"Serviço",0,IF(OR(AND(AUTOEVENTO="Manual",$M535=1),$M535&gt;(ROW(PLE.lastrow)-ROW(PLE.firstrow))),0,IF(OFFSET(PLE!$G$14,$M535,CD$13)="",10^12,OFFSET(PLE!$G$14,$M535,CD$13))))</f>
        <v>0</v>
      </c>
      <c r="CE535" s="216">
        <f ca="1">IF($D535&lt;&gt;"Serviço",0,IF(OR(AND(AUTOEVENTO="Manual",$M535=1),$M535&gt;(ROW(PLE.lastrow)-ROW(PLE.firstrow))),0,IF(OFFSET(PLE!$G$14,$M535,CE$13)="",10^12,OFFSET(PLE!$G$14,$M535,CE$13))))</f>
        <v>0</v>
      </c>
      <c r="CF535" s="216">
        <f ca="1">IF($D535&lt;&gt;"Serviço",0,IF(OR(AND(AUTOEVENTO="Manual",$M535=1),$M535&gt;(ROW(PLE.lastrow)-ROW(PLE.firstrow))),0,IF(OFFSET(PLE!$G$14,$M535,CF$13)="",10^12,OFFSET(PLE!$G$14,$M535,CF$13))))</f>
        <v>0</v>
      </c>
      <c r="CG535" s="216">
        <f ca="1">IF($D535&lt;&gt;"Serviço",0,IF(OR(AND(AUTOEVENTO="Manual",$M535=1),$M535&gt;(ROW(PLE.lastrow)-ROW(PLE.firstrow))),0,IF(OFFSET(PLE!$G$14,$M535,CG$13)="",10^12,OFFSET(PLE!$G$14,$M535,CG$13))))</f>
        <v>0</v>
      </c>
      <c r="CH535" s="216">
        <f ca="1">IF($D535&lt;&gt;"Serviço",0,IF(OR(AND(AUTOEVENTO="Manual",$M535=1),$M535&gt;(ROW(PLE.lastrow)-ROW(PLE.firstrow))),0,IF(OFFSET(PLE!$G$14,$M535,CH$13)="",10^12,OFFSET(PLE!$G$14,$M535,CH$13))))</f>
        <v>0</v>
      </c>
      <c r="CI535" s="216">
        <f ca="1">IF($D535&lt;&gt;"Serviço",0,IF(OR(AND(AUTOEVENTO="Manual",$M535=1),$M535&gt;(ROW(PLE.lastrow)-ROW(PLE.firstrow))),0,IF(OFFSET(PLE!$G$14,$M535,CI$13)="",10^12,OFFSET(PLE!$G$14,$M535,CI$13))))</f>
        <v>0</v>
      </c>
      <c r="CJ535" s="216">
        <f ca="1">IF($D535&lt;&gt;"Serviço",0,IF(OR(AND(AUTOEVENTO="Manual",$M535=1),$M535&gt;(ROW(PLE.lastrow)-ROW(PLE.firstrow))),0,IF(OFFSET(PLE!$G$14,$M535,CJ$13)="",10^12,OFFSET(PLE!$G$14,$M535,CJ$13))))</f>
        <v>0</v>
      </c>
      <c r="CK535" s="216">
        <f ca="1">IF($D535&lt;&gt;"Serviço",0,IF(OR(AND(AUTOEVENTO="Manual",$M535=1),$M535&gt;(ROW(PLE.lastrow)-ROW(PLE.firstrow))),0,IF(OFFSET(PLE!$G$14,$M535,CK$13)="",10^12,OFFSET(PLE!$G$14,$M535,CK$13))))</f>
        <v>0</v>
      </c>
      <c r="CL535" s="216">
        <f ca="1">IF($D535&lt;&gt;"Serviço",0,IF(OR(AND(AUTOEVENTO="Manual",$M535=1),$M535&gt;(ROW(PLE.lastrow)-ROW(PLE.firstrow))),0,IF(OFFSET(PLE!$G$14,$M535,CL$13)="",10^12,OFFSET(PLE!$G$14,$M535,CL$13))))</f>
        <v>0</v>
      </c>
      <c r="CM535" s="216">
        <f ca="1">IF($D535&lt;&gt;"Serviço",0,IF(OR(AND(AUTOEVENTO="Manual",$M535=1),$M535&gt;(ROW(PLE.lastrow)-ROW(PLE.firstrow))),0,IF(OFFSET(PLE!$G$14,$M535,CM$13)="",10^12,OFFSET(PLE!$G$14,$M535,CM$13))))</f>
        <v>0</v>
      </c>
    </row>
    <row r="536" spans="1:91" ht="13.2" x14ac:dyDescent="0.25">
      <c r="A536" s="9">
        <f t="shared" ca="1" si="17"/>
        <v>0</v>
      </c>
      <c r="B536" s="9" t="str">
        <f ca="1">OFFSET(ORÇAMENTO!C$15,ROW(B536)-ROW(B$15),0)</f>
        <v>S</v>
      </c>
      <c r="C536" s="9" t="str">
        <f ca="1">OFFSET(ORÇAMENTO!L$15,ROW(C536)-ROW(C$15),0)</f>
        <v/>
      </c>
      <c r="D536" s="145" t="str">
        <f ca="1">OFFSET(ORÇAMENTO!N$15,ROW(D536)-ROW(D$15),0)</f>
        <v>Serviço</v>
      </c>
      <c r="E536" s="205" t="str">
        <f ca="1">OFFSET(ORÇAMENTO!O$15,ROW(E536)-ROW(E$15),0)</f>
        <v>-</v>
      </c>
      <c r="F536" s="206" t="str">
        <f ca="1">OFFSET(ORÇAMENTO!R$15,ROW(F536)-ROW(F$15),0)</f>
        <v>(abra o arquivo 'Referência 05-2024.xls)</v>
      </c>
      <c r="G536" s="207" t="str">
        <f ca="1">IF($D536&lt;&gt;"Serviço","",OFFSET(ORÇAMENTO!S$15,ROW(G536)-ROW(G$15),0))</f>
        <v>-</v>
      </c>
      <c r="H536" s="151">
        <f ca="1">IF($D536&lt;&gt;"Serviço",0,IF(ACOMPANHAMENTO="BM",ROUND(OFFSET(ORÇAMENTO!AJ$15,ROW(H536)-ROW(H$15),0),15-13*ORÇAMENTO!$AF$7),SUMPRODUCT(($Q$12:$AI$12&lt;&gt;"")*ROUND($Q536:$AI536,15-13*ORÇAMENTO!$AF$7))))</f>
        <v>54</v>
      </c>
      <c r="I536" s="650"/>
      <c r="K536" s="208"/>
      <c r="L536" s="209" t="s">
        <v>257</v>
      </c>
      <c r="M536" s="210">
        <f ca="1">IF($D536&lt;&gt;"Serviço","",IF(AUTOEVENTO="manual",$A536,IF(ISERROR(MATCH($A536,$A$15:OFFSET($A536,-1,0),0)),MAX($M$15:OFFSET(M536,-1,0))+1,INDEX($M$15:OFFSET(M536,-1,0),MATCH($A536,$A$15:OFFSET($A536,-1,0),0)))))</f>
        <v>0</v>
      </c>
      <c r="N536" s="211" t="str">
        <f ca="1">IF($D536&lt;&gt;"Serviço","",IF(AUTOEVENTO="Manual",IF($A536=0,"&lt;-- defina o número do agrupador",OFFSET(EVENTOS!$D$14,$A536,0)),OFFSET($F$15,$A536,0)))</f>
        <v>&lt;-- defina o número do agrupador</v>
      </c>
      <c r="O536" s="212"/>
      <c r="Q536" s="212"/>
      <c r="R536" s="213"/>
      <c r="S536" s="213"/>
      <c r="T536" s="213"/>
      <c r="U536" s="213"/>
      <c r="V536" s="213"/>
      <c r="W536" s="213"/>
      <c r="X536" s="213"/>
      <c r="Y536" s="213"/>
      <c r="Z536" s="214"/>
      <c r="AA536" s="213"/>
      <c r="AB536" s="213"/>
      <c r="AC536" s="213"/>
      <c r="AD536" s="213"/>
      <c r="AE536" s="213"/>
      <c r="AF536" s="213"/>
      <c r="AG536" s="213"/>
      <c r="AH536" s="214"/>
      <c r="AJ536" s="631">
        <f ca="1">IF(AND($D536="Serviço",AJ$12&lt;&gt;0,$H536&gt;0,OR(AUTOEVENTO&lt;&gt;"manual",$M536&lt;&gt;1)),ROUND(OFFSET($P536,0,AJ$13),15-13*ORÇAMENTO!$AF$7)/$H536*OFFSET(ORÇAMENTO!$X$15,ROW(AJ536)-ROW(AJ$15),0),0)</f>
        <v>0</v>
      </c>
      <c r="AK536" s="632">
        <f ca="1">IF(AND($D536="Serviço",AK$12&lt;&gt;0,$H536&gt;0,OR(AUTOEVENTO&lt;&gt;"manual",$M536&lt;&gt;1)),ROUND(OFFSET($P536,0,AK$13),15-13*ORÇAMENTO!$AF$7)/$H536*OFFSET(ORÇAMENTO!$X$15,ROW(AK536)-ROW(AK$15),0),0)</f>
        <v>0</v>
      </c>
      <c r="AL536" s="632">
        <f ca="1">IF(AND($D536="Serviço",AL$12&lt;&gt;0,$H536&gt;0,OR(AUTOEVENTO&lt;&gt;"manual",$M536&lt;&gt;1)),ROUND(OFFSET($P536,0,AL$13),15-13*ORÇAMENTO!$AF$7)/$H536*OFFSET(ORÇAMENTO!$X$15,ROW(AL536)-ROW(AL$15),0),0)</f>
        <v>0</v>
      </c>
      <c r="AM536" s="632">
        <f ca="1">IF(AND($D536="Serviço",AM$12&lt;&gt;0,$H536&gt;0,OR(AUTOEVENTO&lt;&gt;"manual",$M536&lt;&gt;1)),ROUND(OFFSET($P536,0,AM$13),15-13*ORÇAMENTO!$AF$7)/$H536*OFFSET(ORÇAMENTO!$X$15,ROW(AM536)-ROW(AM$15),0),0)</f>
        <v>0</v>
      </c>
      <c r="AN536" s="632">
        <f ca="1">IF(AND($D536="Serviço",AN$12&lt;&gt;0,$H536&gt;0,OR(AUTOEVENTO&lt;&gt;"manual",$M536&lt;&gt;1)),ROUND(OFFSET($P536,0,AN$13),15-13*ORÇAMENTO!$AF$7)/$H536*OFFSET(ORÇAMENTO!$X$15,ROW(AN536)-ROW(AN$15),0),0)</f>
        <v>0</v>
      </c>
      <c r="AO536" s="632">
        <f ca="1">IF(AND($D536="Serviço",AO$12&lt;&gt;0,$H536&gt;0,OR(AUTOEVENTO&lt;&gt;"manual",$M536&lt;&gt;1)),ROUND(OFFSET($P536,0,AO$13),15-13*ORÇAMENTO!$AF$7)/$H536*OFFSET(ORÇAMENTO!$X$15,ROW(AO536)-ROW(AO$15),0),0)</f>
        <v>0</v>
      </c>
      <c r="AP536" s="632">
        <f ca="1">IF(AND($D536="Serviço",AP$12&lt;&gt;0,$H536&gt;0,OR(AUTOEVENTO&lt;&gt;"manual",$M536&lt;&gt;1)),ROUND(OFFSET($P536,0,AP$13),15-13*ORÇAMENTO!$AF$7)/$H536*OFFSET(ORÇAMENTO!$X$15,ROW(AP536)-ROW(AP$15),0),0)</f>
        <v>0</v>
      </c>
      <c r="AQ536" s="632">
        <f ca="1">IF(AND($D536="Serviço",AQ$12&lt;&gt;0,$H536&gt;0,OR(AUTOEVENTO&lt;&gt;"manual",$M536&lt;&gt;1)),ROUND(OFFSET($P536,0,AQ$13),15-13*ORÇAMENTO!$AF$7)/$H536*OFFSET(ORÇAMENTO!$X$15,ROW(AQ536)-ROW(AQ$15),0),0)</f>
        <v>0</v>
      </c>
      <c r="AR536" s="632">
        <f ca="1">IF(AND($D536="Serviço",AR$12&lt;&gt;0,$H536&gt;0,OR(AUTOEVENTO&lt;&gt;"manual",$M536&lt;&gt;1)),ROUND(OFFSET($P536,0,AR$13),15-13*ORÇAMENTO!$AF$7)/$H536*OFFSET(ORÇAMENTO!$X$15,ROW(AR536)-ROW(AR$15),0),0)</f>
        <v>0</v>
      </c>
      <c r="AS536" s="633">
        <f ca="1">IF(AND($D536="Serviço",AS$12&lt;&gt;0,$H536&gt;0,OR(AUTOEVENTO&lt;&gt;"manual",$M536&lt;&gt;1)),ROUND(OFFSET($P536,0,AS$13),15-13*ORÇAMENTO!$AF$7)/$H536*OFFSET(ORÇAMENTO!$X$15,ROW(AS536)-ROW(AS$15),0),0)</f>
        <v>0</v>
      </c>
      <c r="AT536" s="632">
        <f ca="1">IF(AND($D536="Serviço",AT$12&lt;&gt;0,$H536&gt;0,OR(AUTOEVENTO&lt;&gt;"manual",$M536&lt;&gt;1)),ROUND(OFFSET($P536,0,AT$13),15-13*ORÇAMENTO!$AF$7)/$H536*OFFSET(ORÇAMENTO!$X$15,ROW(AT536)-ROW(AT$15),0),0)</f>
        <v>0</v>
      </c>
      <c r="AU536" s="632">
        <f ca="1">IF(AND($D536="Serviço",AU$12&lt;&gt;0,$H536&gt;0,OR(AUTOEVENTO&lt;&gt;"manual",$M536&lt;&gt;1)),ROUND(OFFSET($P536,0,AU$13),15-13*ORÇAMENTO!$AF$7)/$H536*OFFSET(ORÇAMENTO!$X$15,ROW(AU536)-ROW(AU$15),0),0)</f>
        <v>0</v>
      </c>
      <c r="AV536" s="632">
        <f ca="1">IF(AND($D536="Serviço",AV$12&lt;&gt;0,$H536&gt;0,OR(AUTOEVENTO&lt;&gt;"manual",$M536&lt;&gt;1)),ROUND(OFFSET($P536,0,AV$13),15-13*ORÇAMENTO!$AF$7)/$H536*OFFSET(ORÇAMENTO!$X$15,ROW(AV536)-ROW(AV$15),0),0)</f>
        <v>0</v>
      </c>
      <c r="AW536" s="632">
        <f ca="1">IF(AND($D536="Serviço",AW$12&lt;&gt;0,$H536&gt;0,OR(AUTOEVENTO&lt;&gt;"manual",$M536&lt;&gt;1)),ROUND(OFFSET($P536,0,AW$13),15-13*ORÇAMENTO!$AF$7)/$H536*OFFSET(ORÇAMENTO!$X$15,ROW(AW536)-ROW(AW$15),0),0)</f>
        <v>0</v>
      </c>
      <c r="AX536" s="632">
        <f ca="1">IF(AND($D536="Serviço",AX$12&lt;&gt;0,$H536&gt;0,OR(AUTOEVENTO&lt;&gt;"manual",$M536&lt;&gt;1)),ROUND(OFFSET($P536,0,AX$13),15-13*ORÇAMENTO!$AF$7)/$H536*OFFSET(ORÇAMENTO!$X$15,ROW(AX536)-ROW(AX$15),0),0)</f>
        <v>0</v>
      </c>
      <c r="AY536" s="632">
        <f ca="1">IF(AND($D536="Serviço",AY$12&lt;&gt;0,$H536&gt;0,OR(AUTOEVENTO&lt;&gt;"manual",$M536&lt;&gt;1)),ROUND(OFFSET($P536,0,AY$13),15-13*ORÇAMENTO!$AF$7)/$H536*OFFSET(ORÇAMENTO!$X$15,ROW(AY536)-ROW(AY$15),0),0)</f>
        <v>0</v>
      </c>
      <c r="AZ536" s="632">
        <f ca="1">IF(AND($D536="Serviço",AZ$12&lt;&gt;0,$H536&gt;0,OR(AUTOEVENTO&lt;&gt;"manual",$M536&lt;&gt;1)),ROUND(OFFSET($P536,0,AZ$13),15-13*ORÇAMENTO!$AF$7)/$H536*OFFSET(ORÇAMENTO!$X$15,ROW(AZ536)-ROW(AZ$15),0),0)</f>
        <v>0</v>
      </c>
      <c r="BA536" s="633">
        <f ca="1">IF(AND($D536="Serviço",BA$12&lt;&gt;0,$H536&gt;0,OR(AUTOEVENTO&lt;&gt;"manual",$M536&lt;&gt;1)),ROUND(OFFSET($P536,0,BA$13),15-13*ORÇAMENTO!$AF$7)/$H536*OFFSET(ORÇAMENTO!$X$15,ROW(BA536)-ROW(BA$15),0),0)</f>
        <v>0</v>
      </c>
      <c r="BC536" s="215">
        <f ca="1">IF($D536&lt;&gt;"Serviço",0,IF(AND(AUTOEVENTO="Manual",$M536=1),0,IF(OFFSET(CRONOPLE!$F$14,$M536,BC$13)="",10^12,OFFSET(CRONOPLE!$F$14,$M536,BC$13))))</f>
        <v>1000000000000</v>
      </c>
      <c r="BD536" s="215">
        <f ca="1">IF($D536&lt;&gt;"Serviço",0,IF(AND(AUTOEVENTO="Manual",$M536=1),0,IF(OFFSET(CRONOPLE!$F$14,$M536,BD$13)="",10^12,OFFSET(CRONOPLE!$F$14,$M536,BD$13))))</f>
        <v>1000000000000</v>
      </c>
      <c r="BE536" s="215">
        <f ca="1">IF($D536&lt;&gt;"Serviço",0,IF(AND(AUTOEVENTO="Manual",$M536=1),0,IF(OFFSET(CRONOPLE!$F$14,$M536,BE$13)="",10^12,OFFSET(CRONOPLE!$F$14,$M536,BE$13))))</f>
        <v>1000000000000</v>
      </c>
      <c r="BF536" s="215">
        <f ca="1">IF($D536&lt;&gt;"Serviço",0,IF(AND(AUTOEVENTO="Manual",$M536=1),0,IF(OFFSET(CRONOPLE!$F$14,$M536,BF$13)="",10^12,OFFSET(CRONOPLE!$F$14,$M536,BF$13))))</f>
        <v>1000000000000</v>
      </c>
      <c r="BG536" s="215">
        <f ca="1">IF($D536&lt;&gt;"Serviço",0,IF(AND(AUTOEVENTO="Manual",$M536=1),0,IF(OFFSET(CRONOPLE!$F$14,$M536,BG$13)="",10^12,OFFSET(CRONOPLE!$F$14,$M536,BG$13))))</f>
        <v>1000000000000</v>
      </c>
      <c r="BH536" s="215">
        <f ca="1">IF($D536&lt;&gt;"Serviço",0,IF(AND(AUTOEVENTO="Manual",$M536=1),0,IF(OFFSET(CRONOPLE!$F$14,$M536,BH$13)="",10^12,OFFSET(CRONOPLE!$F$14,$M536,BH$13))))</f>
        <v>1000000000000</v>
      </c>
      <c r="BI536" s="215">
        <f ca="1">IF($D536&lt;&gt;"Serviço",0,IF(AND(AUTOEVENTO="Manual",$M536=1),0,IF(OFFSET(CRONOPLE!$F$14,$M536,BI$13)="",10^12,OFFSET(CRONOPLE!$F$14,$M536,BI$13))))</f>
        <v>1000000000000</v>
      </c>
      <c r="BJ536" s="215">
        <f ca="1">IF($D536&lt;&gt;"Serviço",0,IF(AND(AUTOEVENTO="Manual",$M536=1),0,IF(OFFSET(CRONOPLE!$F$14,$M536,BJ$13)="",10^12,OFFSET(CRONOPLE!$F$14,$M536,BJ$13))))</f>
        <v>1000000000000</v>
      </c>
      <c r="BK536" s="215">
        <f ca="1">IF($D536&lt;&gt;"Serviço",0,IF(AND(AUTOEVENTO="Manual",$M536=1),0,IF(OFFSET(CRONOPLE!$F$14,$M536,BK$13)="",10^12,OFFSET(CRONOPLE!$F$14,$M536,BK$13))))</f>
        <v>1000000000000</v>
      </c>
      <c r="BL536" s="215">
        <f ca="1">IF($D536&lt;&gt;"Serviço",0,IF(AND(AUTOEVENTO="Manual",$M536=1),0,IF(OFFSET(CRONOPLE!$F$14,$M536,BL$13)="",10^12,OFFSET(CRONOPLE!$F$14,$M536,BL$13))))</f>
        <v>1000000000000</v>
      </c>
      <c r="BM536" s="215">
        <f ca="1">IF($D536&lt;&gt;"Serviço",0,IF(AND(AUTOEVENTO="Manual",$M536=1),0,IF(OFFSET(CRONOPLE!$F$14,$M536,BM$13)="",10^12,OFFSET(CRONOPLE!$F$14,$M536,BM$13))))</f>
        <v>1000000000000</v>
      </c>
      <c r="BN536" s="215">
        <f ca="1">IF($D536&lt;&gt;"Serviço",0,IF(AND(AUTOEVENTO="Manual",$M536=1),0,IF(OFFSET(CRONOPLE!$F$14,$M536,BN$13)="",10^12,OFFSET(CRONOPLE!$F$14,$M536,BN$13))))</f>
        <v>1000000000000</v>
      </c>
      <c r="BO536" s="215">
        <f ca="1">IF($D536&lt;&gt;"Serviço",0,IF(AND(AUTOEVENTO="Manual",$M536=1),0,IF(OFFSET(CRONOPLE!$F$14,$M536,BO$13)="",10^12,OFFSET(CRONOPLE!$F$14,$M536,BO$13))))</f>
        <v>1000000000000</v>
      </c>
      <c r="BP536" s="215">
        <f ca="1">IF($D536&lt;&gt;"Serviço",0,IF(AND(AUTOEVENTO="Manual",$M536=1),0,IF(OFFSET(CRONOPLE!$F$14,$M536,BP$13)="",10^12,OFFSET(CRONOPLE!$F$14,$M536,BP$13))))</f>
        <v>1000000000000</v>
      </c>
      <c r="BQ536" s="215">
        <f ca="1">IF($D536&lt;&gt;"Serviço",0,IF(AND(AUTOEVENTO="Manual",$M536=1),0,IF(OFFSET(CRONOPLE!$F$14,$M536,BQ$13)="",10^12,OFFSET(CRONOPLE!$F$14,$M536,BQ$13))))</f>
        <v>1000000000000</v>
      </c>
      <c r="BR536" s="215">
        <f ca="1">IF($D536&lt;&gt;"Serviço",0,IF(AND(AUTOEVENTO="Manual",$M536=1),0,IF(OFFSET(CRONOPLE!$F$14,$M536,BR$13)="",10^12,OFFSET(CRONOPLE!$F$14,$M536,BR$13))))</f>
        <v>1000000000000</v>
      </c>
      <c r="BS536" s="215">
        <f ca="1">IF($D536&lt;&gt;"Serviço",0,IF(AND(AUTOEVENTO="Manual",$M536=1),0,IF(OFFSET(CRONOPLE!$F$14,$M536,BS$13)="",10^12,OFFSET(CRONOPLE!$F$14,$M536,BS$13))))</f>
        <v>1000000000000</v>
      </c>
      <c r="BT536" s="215">
        <f ca="1">IF($D536&lt;&gt;"Serviço",0,IF(AND(AUTOEVENTO="Manual",$M536=1),0,IF(OFFSET(CRONOPLE!$F$14,$M536,BT$13)="",10^12,OFFSET(CRONOPLE!$F$14,$M536,BT$13))))</f>
        <v>1000000000000</v>
      </c>
      <c r="BV536" s="216">
        <f ca="1">IF($D536&lt;&gt;"Serviço",0,IF(OR(AND(AUTOEVENTO="Manual",$M536=1),$M536&gt;(ROW(PLE.lastrow)-ROW(PLE.firstrow))),0,IF(OFFSET(PLE!$G$14,$M536,BV$13)="",10^12,OFFSET(PLE!$G$14,$M536,BV$13))))</f>
        <v>1000000000000</v>
      </c>
      <c r="BW536" s="216">
        <f ca="1">IF($D536&lt;&gt;"Serviço",0,IF(OR(AND(AUTOEVENTO="Manual",$M536=1),$M536&gt;(ROW(PLE.lastrow)-ROW(PLE.firstrow))),0,IF(OFFSET(PLE!$G$14,$M536,BW$13)="",10^12,OFFSET(PLE!$G$14,$M536,BW$13))))</f>
        <v>1000000000000</v>
      </c>
      <c r="BX536" s="216">
        <f ca="1">IF($D536&lt;&gt;"Serviço",0,IF(OR(AND(AUTOEVENTO="Manual",$M536=1),$M536&gt;(ROW(PLE.lastrow)-ROW(PLE.firstrow))),0,IF(OFFSET(PLE!$G$14,$M536,BX$13)="",10^12,OFFSET(PLE!$G$14,$M536,BX$13))))</f>
        <v>1000000000000</v>
      </c>
      <c r="BY536" s="216">
        <f ca="1">IF($D536&lt;&gt;"Serviço",0,IF(OR(AND(AUTOEVENTO="Manual",$M536=1),$M536&gt;(ROW(PLE.lastrow)-ROW(PLE.firstrow))),0,IF(OFFSET(PLE!$G$14,$M536,BY$13)="",10^12,OFFSET(PLE!$G$14,$M536,BY$13))))</f>
        <v>1000000000000</v>
      </c>
      <c r="BZ536" s="216">
        <f ca="1">IF($D536&lt;&gt;"Serviço",0,IF(OR(AND(AUTOEVENTO="Manual",$M536=1),$M536&gt;(ROW(PLE.lastrow)-ROW(PLE.firstrow))),0,IF(OFFSET(PLE!$G$14,$M536,BZ$13)="",10^12,OFFSET(PLE!$G$14,$M536,BZ$13))))</f>
        <v>1000000000000</v>
      </c>
      <c r="CA536" s="216">
        <f ca="1">IF($D536&lt;&gt;"Serviço",0,IF(OR(AND(AUTOEVENTO="Manual",$M536=1),$M536&gt;(ROW(PLE.lastrow)-ROW(PLE.firstrow))),0,IF(OFFSET(PLE!$G$14,$M536,CA$13)="",10^12,OFFSET(PLE!$G$14,$M536,CA$13))))</f>
        <v>1000000000000</v>
      </c>
      <c r="CB536" s="216">
        <f ca="1">IF($D536&lt;&gt;"Serviço",0,IF(OR(AND(AUTOEVENTO="Manual",$M536=1),$M536&gt;(ROW(PLE.lastrow)-ROW(PLE.firstrow))),0,IF(OFFSET(PLE!$G$14,$M536,CB$13)="",10^12,OFFSET(PLE!$G$14,$M536,CB$13))))</f>
        <v>1000000000000</v>
      </c>
      <c r="CC536" s="216">
        <f ca="1">IF($D536&lt;&gt;"Serviço",0,IF(OR(AND(AUTOEVENTO="Manual",$M536=1),$M536&gt;(ROW(PLE.lastrow)-ROW(PLE.firstrow))),0,IF(OFFSET(PLE!$G$14,$M536,CC$13)="",10^12,OFFSET(PLE!$G$14,$M536,CC$13))))</f>
        <v>1000000000000</v>
      </c>
      <c r="CD536" s="216">
        <f ca="1">IF($D536&lt;&gt;"Serviço",0,IF(OR(AND(AUTOEVENTO="Manual",$M536=1),$M536&gt;(ROW(PLE.lastrow)-ROW(PLE.firstrow))),0,IF(OFFSET(PLE!$G$14,$M536,CD$13)="",10^12,OFFSET(PLE!$G$14,$M536,CD$13))))</f>
        <v>1000000000000</v>
      </c>
      <c r="CE536" s="216">
        <f ca="1">IF($D536&lt;&gt;"Serviço",0,IF(OR(AND(AUTOEVENTO="Manual",$M536=1),$M536&gt;(ROW(PLE.lastrow)-ROW(PLE.firstrow))),0,IF(OFFSET(PLE!$G$14,$M536,CE$13)="",10^12,OFFSET(PLE!$G$14,$M536,CE$13))))</f>
        <v>1000000000000</v>
      </c>
      <c r="CF536" s="216">
        <f ca="1">IF($D536&lt;&gt;"Serviço",0,IF(OR(AND(AUTOEVENTO="Manual",$M536=1),$M536&gt;(ROW(PLE.lastrow)-ROW(PLE.firstrow))),0,IF(OFFSET(PLE!$G$14,$M536,CF$13)="",10^12,OFFSET(PLE!$G$14,$M536,CF$13))))</f>
        <v>1000000000000</v>
      </c>
      <c r="CG536" s="216">
        <f ca="1">IF($D536&lt;&gt;"Serviço",0,IF(OR(AND(AUTOEVENTO="Manual",$M536=1),$M536&gt;(ROW(PLE.lastrow)-ROW(PLE.firstrow))),0,IF(OFFSET(PLE!$G$14,$M536,CG$13)="",10^12,OFFSET(PLE!$G$14,$M536,CG$13))))</f>
        <v>1000000000000</v>
      </c>
      <c r="CH536" s="216">
        <f ca="1">IF($D536&lt;&gt;"Serviço",0,IF(OR(AND(AUTOEVENTO="Manual",$M536=1),$M536&gt;(ROW(PLE.lastrow)-ROW(PLE.firstrow))),0,IF(OFFSET(PLE!$G$14,$M536,CH$13)="",10^12,OFFSET(PLE!$G$14,$M536,CH$13))))</f>
        <v>1000000000000</v>
      </c>
      <c r="CI536" s="216">
        <f ca="1">IF($D536&lt;&gt;"Serviço",0,IF(OR(AND(AUTOEVENTO="Manual",$M536=1),$M536&gt;(ROW(PLE.lastrow)-ROW(PLE.firstrow))),0,IF(OFFSET(PLE!$G$14,$M536,CI$13)="",10^12,OFFSET(PLE!$G$14,$M536,CI$13))))</f>
        <v>1000000000000</v>
      </c>
      <c r="CJ536" s="216">
        <f ca="1">IF($D536&lt;&gt;"Serviço",0,IF(OR(AND(AUTOEVENTO="Manual",$M536=1),$M536&gt;(ROW(PLE.lastrow)-ROW(PLE.firstrow))),0,IF(OFFSET(PLE!$G$14,$M536,CJ$13)="",10^12,OFFSET(PLE!$G$14,$M536,CJ$13))))</f>
        <v>1000000000000</v>
      </c>
      <c r="CK536" s="216">
        <f ca="1">IF($D536&lt;&gt;"Serviço",0,IF(OR(AND(AUTOEVENTO="Manual",$M536=1),$M536&gt;(ROW(PLE.lastrow)-ROW(PLE.firstrow))),0,IF(OFFSET(PLE!$G$14,$M536,CK$13)="",10^12,OFFSET(PLE!$G$14,$M536,CK$13))))</f>
        <v>1000000000000</v>
      </c>
      <c r="CL536" s="216">
        <f ca="1">IF($D536&lt;&gt;"Serviço",0,IF(OR(AND(AUTOEVENTO="Manual",$M536=1),$M536&gt;(ROW(PLE.lastrow)-ROW(PLE.firstrow))),0,IF(OFFSET(PLE!$G$14,$M536,CL$13)="",10^12,OFFSET(PLE!$G$14,$M536,CL$13))))</f>
        <v>1000000000000</v>
      </c>
      <c r="CM536" s="216">
        <f ca="1">IF($D536&lt;&gt;"Serviço",0,IF(OR(AND(AUTOEVENTO="Manual",$M536=1),$M536&gt;(ROW(PLE.lastrow)-ROW(PLE.firstrow))),0,IF(OFFSET(PLE!$G$14,$M536,CM$13)="",10^12,OFFSET(PLE!$G$14,$M536,CM$13))))</f>
        <v>1000000000000</v>
      </c>
    </row>
    <row r="537" spans="1:91" ht="13.2" x14ac:dyDescent="0.25">
      <c r="A537" s="9">
        <f t="shared" ca="1" si="17"/>
        <v>0</v>
      </c>
      <c r="B537" s="9" t="str">
        <f ca="1">OFFSET(ORÇAMENTO!C$15,ROW(B537)-ROW(B$15),0)</f>
        <v>S</v>
      </c>
      <c r="C537" s="9" t="str">
        <f ca="1">OFFSET(ORÇAMENTO!L$15,ROW(C537)-ROW(C$15),0)</f>
        <v/>
      </c>
      <c r="D537" s="145" t="str">
        <f ca="1">OFFSET(ORÇAMENTO!N$15,ROW(D537)-ROW(D$15),0)</f>
        <v>Serviço</v>
      </c>
      <c r="E537" s="205" t="str">
        <f ca="1">OFFSET(ORÇAMENTO!O$15,ROW(E537)-ROW(E$15),0)</f>
        <v>-</v>
      </c>
      <c r="F537" s="206" t="str">
        <f ca="1">OFFSET(ORÇAMENTO!R$15,ROW(F537)-ROW(F$15),0)</f>
        <v>(abra o arquivo 'Referência 05-2024.xls)</v>
      </c>
      <c r="G537" s="207" t="str">
        <f ca="1">IF($D537&lt;&gt;"Serviço","",OFFSET(ORÇAMENTO!S$15,ROW(G537)-ROW(G$15),0))</f>
        <v>-</v>
      </c>
      <c r="H537" s="151">
        <f ca="1">IF($D537&lt;&gt;"Serviço",0,IF(ACOMPANHAMENTO="BM",ROUND(OFFSET(ORÇAMENTO!AJ$15,ROW(H537)-ROW(H$15),0),15-13*ORÇAMENTO!$AF$7),SUMPRODUCT(($Q$12:$AI$12&lt;&gt;"")*ROUND($Q537:$AI537,15-13*ORÇAMENTO!$AF$7))))</f>
        <v>21</v>
      </c>
      <c r="I537" s="650"/>
      <c r="K537" s="208"/>
      <c r="L537" s="209" t="s">
        <v>257</v>
      </c>
      <c r="M537" s="210">
        <f ca="1">IF($D537&lt;&gt;"Serviço","",IF(AUTOEVENTO="manual",$A537,IF(ISERROR(MATCH($A537,$A$15:OFFSET($A537,-1,0),0)),MAX($M$15:OFFSET(M537,-1,0))+1,INDEX($M$15:OFFSET(M537,-1,0),MATCH($A537,$A$15:OFFSET($A537,-1,0),0)))))</f>
        <v>0</v>
      </c>
      <c r="N537" s="211" t="str">
        <f ca="1">IF($D537&lt;&gt;"Serviço","",IF(AUTOEVENTO="Manual",IF($A537=0,"&lt;-- defina o número do agrupador",OFFSET(EVENTOS!$D$14,$A537,0)),OFFSET($F$15,$A537,0)))</f>
        <v>&lt;-- defina o número do agrupador</v>
      </c>
      <c r="O537" s="212"/>
      <c r="Q537" s="212"/>
      <c r="R537" s="213"/>
      <c r="S537" s="213"/>
      <c r="T537" s="213"/>
      <c r="U537" s="213"/>
      <c r="V537" s="213"/>
      <c r="W537" s="213"/>
      <c r="X537" s="213"/>
      <c r="Y537" s="213"/>
      <c r="Z537" s="214"/>
      <c r="AA537" s="213"/>
      <c r="AB537" s="213"/>
      <c r="AC537" s="213"/>
      <c r="AD537" s="213"/>
      <c r="AE537" s="213"/>
      <c r="AF537" s="213"/>
      <c r="AG537" s="213"/>
      <c r="AH537" s="214"/>
      <c r="AJ537" s="631">
        <f ca="1">IF(AND($D537="Serviço",AJ$12&lt;&gt;0,$H537&gt;0,OR(AUTOEVENTO&lt;&gt;"manual",$M537&lt;&gt;1)),ROUND(OFFSET($P537,0,AJ$13),15-13*ORÇAMENTO!$AF$7)/$H537*OFFSET(ORÇAMENTO!$X$15,ROW(AJ537)-ROW(AJ$15),0),0)</f>
        <v>0</v>
      </c>
      <c r="AK537" s="632">
        <f ca="1">IF(AND($D537="Serviço",AK$12&lt;&gt;0,$H537&gt;0,OR(AUTOEVENTO&lt;&gt;"manual",$M537&lt;&gt;1)),ROUND(OFFSET($P537,0,AK$13),15-13*ORÇAMENTO!$AF$7)/$H537*OFFSET(ORÇAMENTO!$X$15,ROW(AK537)-ROW(AK$15),0),0)</f>
        <v>0</v>
      </c>
      <c r="AL537" s="632">
        <f ca="1">IF(AND($D537="Serviço",AL$12&lt;&gt;0,$H537&gt;0,OR(AUTOEVENTO&lt;&gt;"manual",$M537&lt;&gt;1)),ROUND(OFFSET($P537,0,AL$13),15-13*ORÇAMENTO!$AF$7)/$H537*OFFSET(ORÇAMENTO!$X$15,ROW(AL537)-ROW(AL$15),0),0)</f>
        <v>0</v>
      </c>
      <c r="AM537" s="632">
        <f ca="1">IF(AND($D537="Serviço",AM$12&lt;&gt;0,$H537&gt;0,OR(AUTOEVENTO&lt;&gt;"manual",$M537&lt;&gt;1)),ROUND(OFFSET($P537,0,AM$13),15-13*ORÇAMENTO!$AF$7)/$H537*OFFSET(ORÇAMENTO!$X$15,ROW(AM537)-ROW(AM$15),0),0)</f>
        <v>0</v>
      </c>
      <c r="AN537" s="632">
        <f ca="1">IF(AND($D537="Serviço",AN$12&lt;&gt;0,$H537&gt;0,OR(AUTOEVENTO&lt;&gt;"manual",$M537&lt;&gt;1)),ROUND(OFFSET($P537,0,AN$13),15-13*ORÇAMENTO!$AF$7)/$H537*OFFSET(ORÇAMENTO!$X$15,ROW(AN537)-ROW(AN$15),0),0)</f>
        <v>0</v>
      </c>
      <c r="AO537" s="632">
        <f ca="1">IF(AND($D537="Serviço",AO$12&lt;&gt;0,$H537&gt;0,OR(AUTOEVENTO&lt;&gt;"manual",$M537&lt;&gt;1)),ROUND(OFFSET($P537,0,AO$13),15-13*ORÇAMENTO!$AF$7)/$H537*OFFSET(ORÇAMENTO!$X$15,ROW(AO537)-ROW(AO$15),0),0)</f>
        <v>0</v>
      </c>
      <c r="AP537" s="632">
        <f ca="1">IF(AND($D537="Serviço",AP$12&lt;&gt;0,$H537&gt;0,OR(AUTOEVENTO&lt;&gt;"manual",$M537&lt;&gt;1)),ROUND(OFFSET($P537,0,AP$13),15-13*ORÇAMENTO!$AF$7)/$H537*OFFSET(ORÇAMENTO!$X$15,ROW(AP537)-ROW(AP$15),0),0)</f>
        <v>0</v>
      </c>
      <c r="AQ537" s="632">
        <f ca="1">IF(AND($D537="Serviço",AQ$12&lt;&gt;0,$H537&gt;0,OR(AUTOEVENTO&lt;&gt;"manual",$M537&lt;&gt;1)),ROUND(OFFSET($P537,0,AQ$13),15-13*ORÇAMENTO!$AF$7)/$H537*OFFSET(ORÇAMENTO!$X$15,ROW(AQ537)-ROW(AQ$15),0),0)</f>
        <v>0</v>
      </c>
      <c r="AR537" s="632">
        <f ca="1">IF(AND($D537="Serviço",AR$12&lt;&gt;0,$H537&gt;0,OR(AUTOEVENTO&lt;&gt;"manual",$M537&lt;&gt;1)),ROUND(OFFSET($P537,0,AR$13),15-13*ORÇAMENTO!$AF$7)/$H537*OFFSET(ORÇAMENTO!$X$15,ROW(AR537)-ROW(AR$15),0),0)</f>
        <v>0</v>
      </c>
      <c r="AS537" s="633">
        <f ca="1">IF(AND($D537="Serviço",AS$12&lt;&gt;0,$H537&gt;0,OR(AUTOEVENTO&lt;&gt;"manual",$M537&lt;&gt;1)),ROUND(OFFSET($P537,0,AS$13),15-13*ORÇAMENTO!$AF$7)/$H537*OFFSET(ORÇAMENTO!$X$15,ROW(AS537)-ROW(AS$15),0),0)</f>
        <v>0</v>
      </c>
      <c r="AT537" s="632">
        <f ca="1">IF(AND($D537="Serviço",AT$12&lt;&gt;0,$H537&gt;0,OR(AUTOEVENTO&lt;&gt;"manual",$M537&lt;&gt;1)),ROUND(OFFSET($P537,0,AT$13),15-13*ORÇAMENTO!$AF$7)/$H537*OFFSET(ORÇAMENTO!$X$15,ROW(AT537)-ROW(AT$15),0),0)</f>
        <v>0</v>
      </c>
      <c r="AU537" s="632">
        <f ca="1">IF(AND($D537="Serviço",AU$12&lt;&gt;0,$H537&gt;0,OR(AUTOEVENTO&lt;&gt;"manual",$M537&lt;&gt;1)),ROUND(OFFSET($P537,0,AU$13),15-13*ORÇAMENTO!$AF$7)/$H537*OFFSET(ORÇAMENTO!$X$15,ROW(AU537)-ROW(AU$15),0),0)</f>
        <v>0</v>
      </c>
      <c r="AV537" s="632">
        <f ca="1">IF(AND($D537="Serviço",AV$12&lt;&gt;0,$H537&gt;0,OR(AUTOEVENTO&lt;&gt;"manual",$M537&lt;&gt;1)),ROUND(OFFSET($P537,0,AV$13),15-13*ORÇAMENTO!$AF$7)/$H537*OFFSET(ORÇAMENTO!$X$15,ROW(AV537)-ROW(AV$15),0),0)</f>
        <v>0</v>
      </c>
      <c r="AW537" s="632">
        <f ca="1">IF(AND($D537="Serviço",AW$12&lt;&gt;0,$H537&gt;0,OR(AUTOEVENTO&lt;&gt;"manual",$M537&lt;&gt;1)),ROUND(OFFSET($P537,0,AW$13),15-13*ORÇAMENTO!$AF$7)/$H537*OFFSET(ORÇAMENTO!$X$15,ROW(AW537)-ROW(AW$15),0),0)</f>
        <v>0</v>
      </c>
      <c r="AX537" s="632">
        <f ca="1">IF(AND($D537="Serviço",AX$12&lt;&gt;0,$H537&gt;0,OR(AUTOEVENTO&lt;&gt;"manual",$M537&lt;&gt;1)),ROUND(OFFSET($P537,0,AX$13),15-13*ORÇAMENTO!$AF$7)/$H537*OFFSET(ORÇAMENTO!$X$15,ROW(AX537)-ROW(AX$15),0),0)</f>
        <v>0</v>
      </c>
      <c r="AY537" s="632">
        <f ca="1">IF(AND($D537="Serviço",AY$12&lt;&gt;0,$H537&gt;0,OR(AUTOEVENTO&lt;&gt;"manual",$M537&lt;&gt;1)),ROUND(OFFSET($P537,0,AY$13),15-13*ORÇAMENTO!$AF$7)/$H537*OFFSET(ORÇAMENTO!$X$15,ROW(AY537)-ROW(AY$15),0),0)</f>
        <v>0</v>
      </c>
      <c r="AZ537" s="632">
        <f ca="1">IF(AND($D537="Serviço",AZ$12&lt;&gt;0,$H537&gt;0,OR(AUTOEVENTO&lt;&gt;"manual",$M537&lt;&gt;1)),ROUND(OFFSET($P537,0,AZ$13),15-13*ORÇAMENTO!$AF$7)/$H537*OFFSET(ORÇAMENTO!$X$15,ROW(AZ537)-ROW(AZ$15),0),0)</f>
        <v>0</v>
      </c>
      <c r="BA537" s="633">
        <f ca="1">IF(AND($D537="Serviço",BA$12&lt;&gt;0,$H537&gt;0,OR(AUTOEVENTO&lt;&gt;"manual",$M537&lt;&gt;1)),ROUND(OFFSET($P537,0,BA$13),15-13*ORÇAMENTO!$AF$7)/$H537*OFFSET(ORÇAMENTO!$X$15,ROW(BA537)-ROW(BA$15),0),0)</f>
        <v>0</v>
      </c>
      <c r="BC537" s="215">
        <f ca="1">IF($D537&lt;&gt;"Serviço",0,IF(AND(AUTOEVENTO="Manual",$M537=1),0,IF(OFFSET(CRONOPLE!$F$14,$M537,BC$13)="",10^12,OFFSET(CRONOPLE!$F$14,$M537,BC$13))))</f>
        <v>1000000000000</v>
      </c>
      <c r="BD537" s="215">
        <f ca="1">IF($D537&lt;&gt;"Serviço",0,IF(AND(AUTOEVENTO="Manual",$M537=1),0,IF(OFFSET(CRONOPLE!$F$14,$M537,BD$13)="",10^12,OFFSET(CRONOPLE!$F$14,$M537,BD$13))))</f>
        <v>1000000000000</v>
      </c>
      <c r="BE537" s="215">
        <f ca="1">IF($D537&lt;&gt;"Serviço",0,IF(AND(AUTOEVENTO="Manual",$M537=1),0,IF(OFFSET(CRONOPLE!$F$14,$M537,BE$13)="",10^12,OFFSET(CRONOPLE!$F$14,$M537,BE$13))))</f>
        <v>1000000000000</v>
      </c>
      <c r="BF537" s="215">
        <f ca="1">IF($D537&lt;&gt;"Serviço",0,IF(AND(AUTOEVENTO="Manual",$M537=1),0,IF(OFFSET(CRONOPLE!$F$14,$M537,BF$13)="",10^12,OFFSET(CRONOPLE!$F$14,$M537,BF$13))))</f>
        <v>1000000000000</v>
      </c>
      <c r="BG537" s="215">
        <f ca="1">IF($D537&lt;&gt;"Serviço",0,IF(AND(AUTOEVENTO="Manual",$M537=1),0,IF(OFFSET(CRONOPLE!$F$14,$M537,BG$13)="",10^12,OFFSET(CRONOPLE!$F$14,$M537,BG$13))))</f>
        <v>1000000000000</v>
      </c>
      <c r="BH537" s="215">
        <f ca="1">IF($D537&lt;&gt;"Serviço",0,IF(AND(AUTOEVENTO="Manual",$M537=1),0,IF(OFFSET(CRONOPLE!$F$14,$M537,BH$13)="",10^12,OFFSET(CRONOPLE!$F$14,$M537,BH$13))))</f>
        <v>1000000000000</v>
      </c>
      <c r="BI537" s="215">
        <f ca="1">IF($D537&lt;&gt;"Serviço",0,IF(AND(AUTOEVENTO="Manual",$M537=1),0,IF(OFFSET(CRONOPLE!$F$14,$M537,BI$13)="",10^12,OFFSET(CRONOPLE!$F$14,$M537,BI$13))))</f>
        <v>1000000000000</v>
      </c>
      <c r="BJ537" s="215">
        <f ca="1">IF($D537&lt;&gt;"Serviço",0,IF(AND(AUTOEVENTO="Manual",$M537=1),0,IF(OFFSET(CRONOPLE!$F$14,$M537,BJ$13)="",10^12,OFFSET(CRONOPLE!$F$14,$M537,BJ$13))))</f>
        <v>1000000000000</v>
      </c>
      <c r="BK537" s="215">
        <f ca="1">IF($D537&lt;&gt;"Serviço",0,IF(AND(AUTOEVENTO="Manual",$M537=1),0,IF(OFFSET(CRONOPLE!$F$14,$M537,BK$13)="",10^12,OFFSET(CRONOPLE!$F$14,$M537,BK$13))))</f>
        <v>1000000000000</v>
      </c>
      <c r="BL537" s="215">
        <f ca="1">IF($D537&lt;&gt;"Serviço",0,IF(AND(AUTOEVENTO="Manual",$M537=1),0,IF(OFFSET(CRONOPLE!$F$14,$M537,BL$13)="",10^12,OFFSET(CRONOPLE!$F$14,$M537,BL$13))))</f>
        <v>1000000000000</v>
      </c>
      <c r="BM537" s="215">
        <f ca="1">IF($D537&lt;&gt;"Serviço",0,IF(AND(AUTOEVENTO="Manual",$M537=1),0,IF(OFFSET(CRONOPLE!$F$14,$M537,BM$13)="",10^12,OFFSET(CRONOPLE!$F$14,$M537,BM$13))))</f>
        <v>1000000000000</v>
      </c>
      <c r="BN537" s="215">
        <f ca="1">IF($D537&lt;&gt;"Serviço",0,IF(AND(AUTOEVENTO="Manual",$M537=1),0,IF(OFFSET(CRONOPLE!$F$14,$M537,BN$13)="",10^12,OFFSET(CRONOPLE!$F$14,$M537,BN$13))))</f>
        <v>1000000000000</v>
      </c>
      <c r="BO537" s="215">
        <f ca="1">IF($D537&lt;&gt;"Serviço",0,IF(AND(AUTOEVENTO="Manual",$M537=1),0,IF(OFFSET(CRONOPLE!$F$14,$M537,BO$13)="",10^12,OFFSET(CRONOPLE!$F$14,$M537,BO$13))))</f>
        <v>1000000000000</v>
      </c>
      <c r="BP537" s="215">
        <f ca="1">IF($D537&lt;&gt;"Serviço",0,IF(AND(AUTOEVENTO="Manual",$M537=1),0,IF(OFFSET(CRONOPLE!$F$14,$M537,BP$13)="",10^12,OFFSET(CRONOPLE!$F$14,$M537,BP$13))))</f>
        <v>1000000000000</v>
      </c>
      <c r="BQ537" s="215">
        <f ca="1">IF($D537&lt;&gt;"Serviço",0,IF(AND(AUTOEVENTO="Manual",$M537=1),0,IF(OFFSET(CRONOPLE!$F$14,$M537,BQ$13)="",10^12,OFFSET(CRONOPLE!$F$14,$M537,BQ$13))))</f>
        <v>1000000000000</v>
      </c>
      <c r="BR537" s="215">
        <f ca="1">IF($D537&lt;&gt;"Serviço",0,IF(AND(AUTOEVENTO="Manual",$M537=1),0,IF(OFFSET(CRONOPLE!$F$14,$M537,BR$13)="",10^12,OFFSET(CRONOPLE!$F$14,$M537,BR$13))))</f>
        <v>1000000000000</v>
      </c>
      <c r="BS537" s="215">
        <f ca="1">IF($D537&lt;&gt;"Serviço",0,IF(AND(AUTOEVENTO="Manual",$M537=1),0,IF(OFFSET(CRONOPLE!$F$14,$M537,BS$13)="",10^12,OFFSET(CRONOPLE!$F$14,$M537,BS$13))))</f>
        <v>1000000000000</v>
      </c>
      <c r="BT537" s="215">
        <f ca="1">IF($D537&lt;&gt;"Serviço",0,IF(AND(AUTOEVENTO="Manual",$M537=1),0,IF(OFFSET(CRONOPLE!$F$14,$M537,BT$13)="",10^12,OFFSET(CRONOPLE!$F$14,$M537,BT$13))))</f>
        <v>1000000000000</v>
      </c>
      <c r="BV537" s="216">
        <f ca="1">IF($D537&lt;&gt;"Serviço",0,IF(OR(AND(AUTOEVENTO="Manual",$M537=1),$M537&gt;(ROW(PLE.lastrow)-ROW(PLE.firstrow))),0,IF(OFFSET(PLE!$G$14,$M537,BV$13)="",10^12,OFFSET(PLE!$G$14,$M537,BV$13))))</f>
        <v>1000000000000</v>
      </c>
      <c r="BW537" s="216">
        <f ca="1">IF($D537&lt;&gt;"Serviço",0,IF(OR(AND(AUTOEVENTO="Manual",$M537=1),$M537&gt;(ROW(PLE.lastrow)-ROW(PLE.firstrow))),0,IF(OFFSET(PLE!$G$14,$M537,BW$13)="",10^12,OFFSET(PLE!$G$14,$M537,BW$13))))</f>
        <v>1000000000000</v>
      </c>
      <c r="BX537" s="216">
        <f ca="1">IF($D537&lt;&gt;"Serviço",0,IF(OR(AND(AUTOEVENTO="Manual",$M537=1),$M537&gt;(ROW(PLE.lastrow)-ROW(PLE.firstrow))),0,IF(OFFSET(PLE!$G$14,$M537,BX$13)="",10^12,OFFSET(PLE!$G$14,$M537,BX$13))))</f>
        <v>1000000000000</v>
      </c>
      <c r="BY537" s="216">
        <f ca="1">IF($D537&lt;&gt;"Serviço",0,IF(OR(AND(AUTOEVENTO="Manual",$M537=1),$M537&gt;(ROW(PLE.lastrow)-ROW(PLE.firstrow))),0,IF(OFFSET(PLE!$G$14,$M537,BY$13)="",10^12,OFFSET(PLE!$G$14,$M537,BY$13))))</f>
        <v>1000000000000</v>
      </c>
      <c r="BZ537" s="216">
        <f ca="1">IF($D537&lt;&gt;"Serviço",0,IF(OR(AND(AUTOEVENTO="Manual",$M537=1),$M537&gt;(ROW(PLE.lastrow)-ROW(PLE.firstrow))),0,IF(OFFSET(PLE!$G$14,$M537,BZ$13)="",10^12,OFFSET(PLE!$G$14,$M537,BZ$13))))</f>
        <v>1000000000000</v>
      </c>
      <c r="CA537" s="216">
        <f ca="1">IF($D537&lt;&gt;"Serviço",0,IF(OR(AND(AUTOEVENTO="Manual",$M537=1),$M537&gt;(ROW(PLE.lastrow)-ROW(PLE.firstrow))),0,IF(OFFSET(PLE!$G$14,$M537,CA$13)="",10^12,OFFSET(PLE!$G$14,$M537,CA$13))))</f>
        <v>1000000000000</v>
      </c>
      <c r="CB537" s="216">
        <f ca="1">IF($D537&lt;&gt;"Serviço",0,IF(OR(AND(AUTOEVENTO="Manual",$M537=1),$M537&gt;(ROW(PLE.lastrow)-ROW(PLE.firstrow))),0,IF(OFFSET(PLE!$G$14,$M537,CB$13)="",10^12,OFFSET(PLE!$G$14,$M537,CB$13))))</f>
        <v>1000000000000</v>
      </c>
      <c r="CC537" s="216">
        <f ca="1">IF($D537&lt;&gt;"Serviço",0,IF(OR(AND(AUTOEVENTO="Manual",$M537=1),$M537&gt;(ROW(PLE.lastrow)-ROW(PLE.firstrow))),0,IF(OFFSET(PLE!$G$14,$M537,CC$13)="",10^12,OFFSET(PLE!$G$14,$M537,CC$13))))</f>
        <v>1000000000000</v>
      </c>
      <c r="CD537" s="216">
        <f ca="1">IF($D537&lt;&gt;"Serviço",0,IF(OR(AND(AUTOEVENTO="Manual",$M537=1),$M537&gt;(ROW(PLE.lastrow)-ROW(PLE.firstrow))),0,IF(OFFSET(PLE!$G$14,$M537,CD$13)="",10^12,OFFSET(PLE!$G$14,$M537,CD$13))))</f>
        <v>1000000000000</v>
      </c>
      <c r="CE537" s="216">
        <f ca="1">IF($D537&lt;&gt;"Serviço",0,IF(OR(AND(AUTOEVENTO="Manual",$M537=1),$M537&gt;(ROW(PLE.lastrow)-ROW(PLE.firstrow))),0,IF(OFFSET(PLE!$G$14,$M537,CE$13)="",10^12,OFFSET(PLE!$G$14,$M537,CE$13))))</f>
        <v>1000000000000</v>
      </c>
      <c r="CF537" s="216">
        <f ca="1">IF($D537&lt;&gt;"Serviço",0,IF(OR(AND(AUTOEVENTO="Manual",$M537=1),$M537&gt;(ROW(PLE.lastrow)-ROW(PLE.firstrow))),0,IF(OFFSET(PLE!$G$14,$M537,CF$13)="",10^12,OFFSET(PLE!$G$14,$M537,CF$13))))</f>
        <v>1000000000000</v>
      </c>
      <c r="CG537" s="216">
        <f ca="1">IF($D537&lt;&gt;"Serviço",0,IF(OR(AND(AUTOEVENTO="Manual",$M537=1),$M537&gt;(ROW(PLE.lastrow)-ROW(PLE.firstrow))),0,IF(OFFSET(PLE!$G$14,$M537,CG$13)="",10^12,OFFSET(PLE!$G$14,$M537,CG$13))))</f>
        <v>1000000000000</v>
      </c>
      <c r="CH537" s="216">
        <f ca="1">IF($D537&lt;&gt;"Serviço",0,IF(OR(AND(AUTOEVENTO="Manual",$M537=1),$M537&gt;(ROW(PLE.lastrow)-ROW(PLE.firstrow))),0,IF(OFFSET(PLE!$G$14,$M537,CH$13)="",10^12,OFFSET(PLE!$G$14,$M537,CH$13))))</f>
        <v>1000000000000</v>
      </c>
      <c r="CI537" s="216">
        <f ca="1">IF($D537&lt;&gt;"Serviço",0,IF(OR(AND(AUTOEVENTO="Manual",$M537=1),$M537&gt;(ROW(PLE.lastrow)-ROW(PLE.firstrow))),0,IF(OFFSET(PLE!$G$14,$M537,CI$13)="",10^12,OFFSET(PLE!$G$14,$M537,CI$13))))</f>
        <v>1000000000000</v>
      </c>
      <c r="CJ537" s="216">
        <f ca="1">IF($D537&lt;&gt;"Serviço",0,IF(OR(AND(AUTOEVENTO="Manual",$M537=1),$M537&gt;(ROW(PLE.lastrow)-ROW(PLE.firstrow))),0,IF(OFFSET(PLE!$G$14,$M537,CJ$13)="",10^12,OFFSET(PLE!$G$14,$M537,CJ$13))))</f>
        <v>1000000000000</v>
      </c>
      <c r="CK537" s="216">
        <f ca="1">IF($D537&lt;&gt;"Serviço",0,IF(OR(AND(AUTOEVENTO="Manual",$M537=1),$M537&gt;(ROW(PLE.lastrow)-ROW(PLE.firstrow))),0,IF(OFFSET(PLE!$G$14,$M537,CK$13)="",10^12,OFFSET(PLE!$G$14,$M537,CK$13))))</f>
        <v>1000000000000</v>
      </c>
      <c r="CL537" s="216">
        <f ca="1">IF($D537&lt;&gt;"Serviço",0,IF(OR(AND(AUTOEVENTO="Manual",$M537=1),$M537&gt;(ROW(PLE.lastrow)-ROW(PLE.firstrow))),0,IF(OFFSET(PLE!$G$14,$M537,CL$13)="",10^12,OFFSET(PLE!$G$14,$M537,CL$13))))</f>
        <v>1000000000000</v>
      </c>
      <c r="CM537" s="216">
        <f ca="1">IF($D537&lt;&gt;"Serviço",0,IF(OR(AND(AUTOEVENTO="Manual",$M537=1),$M537&gt;(ROW(PLE.lastrow)-ROW(PLE.firstrow))),0,IF(OFFSET(PLE!$G$14,$M537,CM$13)="",10^12,OFFSET(PLE!$G$14,$M537,CM$13))))</f>
        <v>1000000000000</v>
      </c>
    </row>
    <row r="538" spans="1:91" ht="13.2" x14ac:dyDescent="0.25">
      <c r="A538" s="9">
        <f t="shared" ca="1" si="17"/>
        <v>0</v>
      </c>
      <c r="B538" s="9" t="str">
        <f ca="1">OFFSET(ORÇAMENTO!C$15,ROW(B538)-ROW(B$15),0)</f>
        <v>S</v>
      </c>
      <c r="C538" s="9" t="str">
        <f ca="1">OFFSET(ORÇAMENTO!L$15,ROW(C538)-ROW(C$15),0)</f>
        <v/>
      </c>
      <c r="D538" s="145" t="str">
        <f ca="1">OFFSET(ORÇAMENTO!N$15,ROW(D538)-ROW(D$15),0)</f>
        <v>Serviço</v>
      </c>
      <c r="E538" s="205" t="str">
        <f ca="1">OFFSET(ORÇAMENTO!O$15,ROW(E538)-ROW(E$15),0)</f>
        <v>-</v>
      </c>
      <c r="F538" s="206" t="str">
        <f ca="1">OFFSET(ORÇAMENTO!R$15,ROW(F538)-ROW(F$15),0)</f>
        <v>(abra o arquivo 'Referência 05-2024.xls)</v>
      </c>
      <c r="G538" s="207" t="str">
        <f ca="1">IF($D538&lt;&gt;"Serviço","",OFFSET(ORÇAMENTO!S$15,ROW(G538)-ROW(G$15),0))</f>
        <v>-</v>
      </c>
      <c r="H538" s="151">
        <f ca="1">IF($D538&lt;&gt;"Serviço",0,IF(ACOMPANHAMENTO="BM",ROUND(OFFSET(ORÇAMENTO!AJ$15,ROW(H538)-ROW(H$15),0),15-13*ORÇAMENTO!$AF$7),SUMPRODUCT(($Q$12:$AI$12&lt;&gt;"")*ROUND($Q538:$AI538,15-13*ORÇAMENTO!$AF$7))))</f>
        <v>11</v>
      </c>
      <c r="I538" s="650"/>
      <c r="K538" s="208"/>
      <c r="L538" s="209" t="s">
        <v>257</v>
      </c>
      <c r="M538" s="210">
        <f ca="1">IF($D538&lt;&gt;"Serviço","",IF(AUTOEVENTO="manual",$A538,IF(ISERROR(MATCH($A538,$A$15:OFFSET($A538,-1,0),0)),MAX($M$15:OFFSET(M538,-1,0))+1,INDEX($M$15:OFFSET(M538,-1,0),MATCH($A538,$A$15:OFFSET($A538,-1,0),0)))))</f>
        <v>0</v>
      </c>
      <c r="N538" s="211" t="str">
        <f ca="1">IF($D538&lt;&gt;"Serviço","",IF(AUTOEVENTO="Manual",IF($A538=0,"&lt;-- defina o número do agrupador",OFFSET(EVENTOS!$D$14,$A538,0)),OFFSET($F$15,$A538,0)))</f>
        <v>&lt;-- defina o número do agrupador</v>
      </c>
      <c r="O538" s="212"/>
      <c r="Q538" s="212"/>
      <c r="R538" s="213"/>
      <c r="S538" s="213"/>
      <c r="T538" s="213"/>
      <c r="U538" s="213"/>
      <c r="V538" s="213"/>
      <c r="W538" s="213"/>
      <c r="X538" s="213"/>
      <c r="Y538" s="213"/>
      <c r="Z538" s="214"/>
      <c r="AA538" s="213"/>
      <c r="AB538" s="213"/>
      <c r="AC538" s="213"/>
      <c r="AD538" s="213"/>
      <c r="AE538" s="213"/>
      <c r="AF538" s="213"/>
      <c r="AG538" s="213"/>
      <c r="AH538" s="214"/>
      <c r="AJ538" s="631">
        <f ca="1">IF(AND($D538="Serviço",AJ$12&lt;&gt;0,$H538&gt;0,OR(AUTOEVENTO&lt;&gt;"manual",$M538&lt;&gt;1)),ROUND(OFFSET($P538,0,AJ$13),15-13*ORÇAMENTO!$AF$7)/$H538*OFFSET(ORÇAMENTO!$X$15,ROW(AJ538)-ROW(AJ$15),0),0)</f>
        <v>0</v>
      </c>
      <c r="AK538" s="632">
        <f ca="1">IF(AND($D538="Serviço",AK$12&lt;&gt;0,$H538&gt;0,OR(AUTOEVENTO&lt;&gt;"manual",$M538&lt;&gt;1)),ROUND(OFFSET($P538,0,AK$13),15-13*ORÇAMENTO!$AF$7)/$H538*OFFSET(ORÇAMENTO!$X$15,ROW(AK538)-ROW(AK$15),0),0)</f>
        <v>0</v>
      </c>
      <c r="AL538" s="632">
        <f ca="1">IF(AND($D538="Serviço",AL$12&lt;&gt;0,$H538&gt;0,OR(AUTOEVENTO&lt;&gt;"manual",$M538&lt;&gt;1)),ROUND(OFFSET($P538,0,AL$13),15-13*ORÇAMENTO!$AF$7)/$H538*OFFSET(ORÇAMENTO!$X$15,ROW(AL538)-ROW(AL$15),0),0)</f>
        <v>0</v>
      </c>
      <c r="AM538" s="632">
        <f ca="1">IF(AND($D538="Serviço",AM$12&lt;&gt;0,$H538&gt;0,OR(AUTOEVENTO&lt;&gt;"manual",$M538&lt;&gt;1)),ROUND(OFFSET($P538,0,AM$13),15-13*ORÇAMENTO!$AF$7)/$H538*OFFSET(ORÇAMENTO!$X$15,ROW(AM538)-ROW(AM$15),0),0)</f>
        <v>0</v>
      </c>
      <c r="AN538" s="632">
        <f ca="1">IF(AND($D538="Serviço",AN$12&lt;&gt;0,$H538&gt;0,OR(AUTOEVENTO&lt;&gt;"manual",$M538&lt;&gt;1)),ROUND(OFFSET($P538,0,AN$13),15-13*ORÇAMENTO!$AF$7)/$H538*OFFSET(ORÇAMENTO!$X$15,ROW(AN538)-ROW(AN$15),0),0)</f>
        <v>0</v>
      </c>
      <c r="AO538" s="632">
        <f ca="1">IF(AND($D538="Serviço",AO$12&lt;&gt;0,$H538&gt;0,OR(AUTOEVENTO&lt;&gt;"manual",$M538&lt;&gt;1)),ROUND(OFFSET($P538,0,AO$13),15-13*ORÇAMENTO!$AF$7)/$H538*OFFSET(ORÇAMENTO!$X$15,ROW(AO538)-ROW(AO$15),0),0)</f>
        <v>0</v>
      </c>
      <c r="AP538" s="632">
        <f ca="1">IF(AND($D538="Serviço",AP$12&lt;&gt;0,$H538&gt;0,OR(AUTOEVENTO&lt;&gt;"manual",$M538&lt;&gt;1)),ROUND(OFFSET($P538,0,AP$13),15-13*ORÇAMENTO!$AF$7)/$H538*OFFSET(ORÇAMENTO!$X$15,ROW(AP538)-ROW(AP$15),0),0)</f>
        <v>0</v>
      </c>
      <c r="AQ538" s="632">
        <f ca="1">IF(AND($D538="Serviço",AQ$12&lt;&gt;0,$H538&gt;0,OR(AUTOEVENTO&lt;&gt;"manual",$M538&lt;&gt;1)),ROUND(OFFSET($P538,0,AQ$13),15-13*ORÇAMENTO!$AF$7)/$H538*OFFSET(ORÇAMENTO!$X$15,ROW(AQ538)-ROW(AQ$15),0),0)</f>
        <v>0</v>
      </c>
      <c r="AR538" s="632">
        <f ca="1">IF(AND($D538="Serviço",AR$12&lt;&gt;0,$H538&gt;0,OR(AUTOEVENTO&lt;&gt;"manual",$M538&lt;&gt;1)),ROUND(OFFSET($P538,0,AR$13),15-13*ORÇAMENTO!$AF$7)/$H538*OFFSET(ORÇAMENTO!$X$15,ROW(AR538)-ROW(AR$15),0),0)</f>
        <v>0</v>
      </c>
      <c r="AS538" s="633">
        <f ca="1">IF(AND($D538="Serviço",AS$12&lt;&gt;0,$H538&gt;0,OR(AUTOEVENTO&lt;&gt;"manual",$M538&lt;&gt;1)),ROUND(OFFSET($P538,0,AS$13),15-13*ORÇAMENTO!$AF$7)/$H538*OFFSET(ORÇAMENTO!$X$15,ROW(AS538)-ROW(AS$15),0),0)</f>
        <v>0</v>
      </c>
      <c r="AT538" s="632">
        <f ca="1">IF(AND($D538="Serviço",AT$12&lt;&gt;0,$H538&gt;0,OR(AUTOEVENTO&lt;&gt;"manual",$M538&lt;&gt;1)),ROUND(OFFSET($P538,0,AT$13),15-13*ORÇAMENTO!$AF$7)/$H538*OFFSET(ORÇAMENTO!$X$15,ROW(AT538)-ROW(AT$15),0),0)</f>
        <v>0</v>
      </c>
      <c r="AU538" s="632">
        <f ca="1">IF(AND($D538="Serviço",AU$12&lt;&gt;0,$H538&gt;0,OR(AUTOEVENTO&lt;&gt;"manual",$M538&lt;&gt;1)),ROUND(OFFSET($P538,0,AU$13),15-13*ORÇAMENTO!$AF$7)/$H538*OFFSET(ORÇAMENTO!$X$15,ROW(AU538)-ROW(AU$15),0),0)</f>
        <v>0</v>
      </c>
      <c r="AV538" s="632">
        <f ca="1">IF(AND($D538="Serviço",AV$12&lt;&gt;0,$H538&gt;0,OR(AUTOEVENTO&lt;&gt;"manual",$M538&lt;&gt;1)),ROUND(OFFSET($P538,0,AV$13),15-13*ORÇAMENTO!$AF$7)/$H538*OFFSET(ORÇAMENTO!$X$15,ROW(AV538)-ROW(AV$15),0),0)</f>
        <v>0</v>
      </c>
      <c r="AW538" s="632">
        <f ca="1">IF(AND($D538="Serviço",AW$12&lt;&gt;0,$H538&gt;0,OR(AUTOEVENTO&lt;&gt;"manual",$M538&lt;&gt;1)),ROUND(OFFSET($P538,0,AW$13),15-13*ORÇAMENTO!$AF$7)/$H538*OFFSET(ORÇAMENTO!$X$15,ROW(AW538)-ROW(AW$15),0),0)</f>
        <v>0</v>
      </c>
      <c r="AX538" s="632">
        <f ca="1">IF(AND($D538="Serviço",AX$12&lt;&gt;0,$H538&gt;0,OR(AUTOEVENTO&lt;&gt;"manual",$M538&lt;&gt;1)),ROUND(OFFSET($P538,0,AX$13),15-13*ORÇAMENTO!$AF$7)/$H538*OFFSET(ORÇAMENTO!$X$15,ROW(AX538)-ROW(AX$15),0),0)</f>
        <v>0</v>
      </c>
      <c r="AY538" s="632">
        <f ca="1">IF(AND($D538="Serviço",AY$12&lt;&gt;0,$H538&gt;0,OR(AUTOEVENTO&lt;&gt;"manual",$M538&lt;&gt;1)),ROUND(OFFSET($P538,0,AY$13),15-13*ORÇAMENTO!$AF$7)/$H538*OFFSET(ORÇAMENTO!$X$15,ROW(AY538)-ROW(AY$15),0),0)</f>
        <v>0</v>
      </c>
      <c r="AZ538" s="632">
        <f ca="1">IF(AND($D538="Serviço",AZ$12&lt;&gt;0,$H538&gt;0,OR(AUTOEVENTO&lt;&gt;"manual",$M538&lt;&gt;1)),ROUND(OFFSET($P538,0,AZ$13),15-13*ORÇAMENTO!$AF$7)/$H538*OFFSET(ORÇAMENTO!$X$15,ROW(AZ538)-ROW(AZ$15),0),0)</f>
        <v>0</v>
      </c>
      <c r="BA538" s="633">
        <f ca="1">IF(AND($D538="Serviço",BA$12&lt;&gt;0,$H538&gt;0,OR(AUTOEVENTO&lt;&gt;"manual",$M538&lt;&gt;1)),ROUND(OFFSET($P538,0,BA$13),15-13*ORÇAMENTO!$AF$7)/$H538*OFFSET(ORÇAMENTO!$X$15,ROW(BA538)-ROW(BA$15),0),0)</f>
        <v>0</v>
      </c>
      <c r="BC538" s="215">
        <f ca="1">IF($D538&lt;&gt;"Serviço",0,IF(AND(AUTOEVENTO="Manual",$M538=1),0,IF(OFFSET(CRONOPLE!$F$14,$M538,BC$13)="",10^12,OFFSET(CRONOPLE!$F$14,$M538,BC$13))))</f>
        <v>1000000000000</v>
      </c>
      <c r="BD538" s="215">
        <f ca="1">IF($D538&lt;&gt;"Serviço",0,IF(AND(AUTOEVENTO="Manual",$M538=1),0,IF(OFFSET(CRONOPLE!$F$14,$M538,BD$13)="",10^12,OFFSET(CRONOPLE!$F$14,$M538,BD$13))))</f>
        <v>1000000000000</v>
      </c>
      <c r="BE538" s="215">
        <f ca="1">IF($D538&lt;&gt;"Serviço",0,IF(AND(AUTOEVENTO="Manual",$M538=1),0,IF(OFFSET(CRONOPLE!$F$14,$M538,BE$13)="",10^12,OFFSET(CRONOPLE!$F$14,$M538,BE$13))))</f>
        <v>1000000000000</v>
      </c>
      <c r="BF538" s="215">
        <f ca="1">IF($D538&lt;&gt;"Serviço",0,IF(AND(AUTOEVENTO="Manual",$M538=1),0,IF(OFFSET(CRONOPLE!$F$14,$M538,BF$13)="",10^12,OFFSET(CRONOPLE!$F$14,$M538,BF$13))))</f>
        <v>1000000000000</v>
      </c>
      <c r="BG538" s="215">
        <f ca="1">IF($D538&lt;&gt;"Serviço",0,IF(AND(AUTOEVENTO="Manual",$M538=1),0,IF(OFFSET(CRONOPLE!$F$14,$M538,BG$13)="",10^12,OFFSET(CRONOPLE!$F$14,$M538,BG$13))))</f>
        <v>1000000000000</v>
      </c>
      <c r="BH538" s="215">
        <f ca="1">IF($D538&lt;&gt;"Serviço",0,IF(AND(AUTOEVENTO="Manual",$M538=1),0,IF(OFFSET(CRONOPLE!$F$14,$M538,BH$13)="",10^12,OFFSET(CRONOPLE!$F$14,$M538,BH$13))))</f>
        <v>1000000000000</v>
      </c>
      <c r="BI538" s="215">
        <f ca="1">IF($D538&lt;&gt;"Serviço",0,IF(AND(AUTOEVENTO="Manual",$M538=1),0,IF(OFFSET(CRONOPLE!$F$14,$M538,BI$13)="",10^12,OFFSET(CRONOPLE!$F$14,$M538,BI$13))))</f>
        <v>1000000000000</v>
      </c>
      <c r="BJ538" s="215">
        <f ca="1">IF($D538&lt;&gt;"Serviço",0,IF(AND(AUTOEVENTO="Manual",$M538=1),0,IF(OFFSET(CRONOPLE!$F$14,$M538,BJ$13)="",10^12,OFFSET(CRONOPLE!$F$14,$M538,BJ$13))))</f>
        <v>1000000000000</v>
      </c>
      <c r="BK538" s="215">
        <f ca="1">IF($D538&lt;&gt;"Serviço",0,IF(AND(AUTOEVENTO="Manual",$M538=1),0,IF(OFFSET(CRONOPLE!$F$14,$M538,BK$13)="",10^12,OFFSET(CRONOPLE!$F$14,$M538,BK$13))))</f>
        <v>1000000000000</v>
      </c>
      <c r="BL538" s="215">
        <f ca="1">IF($D538&lt;&gt;"Serviço",0,IF(AND(AUTOEVENTO="Manual",$M538=1),0,IF(OFFSET(CRONOPLE!$F$14,$M538,BL$13)="",10^12,OFFSET(CRONOPLE!$F$14,$M538,BL$13))))</f>
        <v>1000000000000</v>
      </c>
      <c r="BM538" s="215">
        <f ca="1">IF($D538&lt;&gt;"Serviço",0,IF(AND(AUTOEVENTO="Manual",$M538=1),0,IF(OFFSET(CRONOPLE!$F$14,$M538,BM$13)="",10^12,OFFSET(CRONOPLE!$F$14,$M538,BM$13))))</f>
        <v>1000000000000</v>
      </c>
      <c r="BN538" s="215">
        <f ca="1">IF($D538&lt;&gt;"Serviço",0,IF(AND(AUTOEVENTO="Manual",$M538=1),0,IF(OFFSET(CRONOPLE!$F$14,$M538,BN$13)="",10^12,OFFSET(CRONOPLE!$F$14,$M538,BN$13))))</f>
        <v>1000000000000</v>
      </c>
      <c r="BO538" s="215">
        <f ca="1">IF($D538&lt;&gt;"Serviço",0,IF(AND(AUTOEVENTO="Manual",$M538=1),0,IF(OFFSET(CRONOPLE!$F$14,$M538,BO$13)="",10^12,OFFSET(CRONOPLE!$F$14,$M538,BO$13))))</f>
        <v>1000000000000</v>
      </c>
      <c r="BP538" s="215">
        <f ca="1">IF($D538&lt;&gt;"Serviço",0,IF(AND(AUTOEVENTO="Manual",$M538=1),0,IF(OFFSET(CRONOPLE!$F$14,$M538,BP$13)="",10^12,OFFSET(CRONOPLE!$F$14,$M538,BP$13))))</f>
        <v>1000000000000</v>
      </c>
      <c r="BQ538" s="215">
        <f ca="1">IF($D538&lt;&gt;"Serviço",0,IF(AND(AUTOEVENTO="Manual",$M538=1),0,IF(OFFSET(CRONOPLE!$F$14,$M538,BQ$13)="",10^12,OFFSET(CRONOPLE!$F$14,$M538,BQ$13))))</f>
        <v>1000000000000</v>
      </c>
      <c r="BR538" s="215">
        <f ca="1">IF($D538&lt;&gt;"Serviço",0,IF(AND(AUTOEVENTO="Manual",$M538=1),0,IF(OFFSET(CRONOPLE!$F$14,$M538,BR$13)="",10^12,OFFSET(CRONOPLE!$F$14,$M538,BR$13))))</f>
        <v>1000000000000</v>
      </c>
      <c r="BS538" s="215">
        <f ca="1">IF($D538&lt;&gt;"Serviço",0,IF(AND(AUTOEVENTO="Manual",$M538=1),0,IF(OFFSET(CRONOPLE!$F$14,$M538,BS$13)="",10^12,OFFSET(CRONOPLE!$F$14,$M538,BS$13))))</f>
        <v>1000000000000</v>
      </c>
      <c r="BT538" s="215">
        <f ca="1">IF($D538&lt;&gt;"Serviço",0,IF(AND(AUTOEVENTO="Manual",$M538=1),0,IF(OFFSET(CRONOPLE!$F$14,$M538,BT$13)="",10^12,OFFSET(CRONOPLE!$F$14,$M538,BT$13))))</f>
        <v>1000000000000</v>
      </c>
      <c r="BV538" s="216">
        <f ca="1">IF($D538&lt;&gt;"Serviço",0,IF(OR(AND(AUTOEVENTO="Manual",$M538=1),$M538&gt;(ROW(PLE.lastrow)-ROW(PLE.firstrow))),0,IF(OFFSET(PLE!$G$14,$M538,BV$13)="",10^12,OFFSET(PLE!$G$14,$M538,BV$13))))</f>
        <v>1000000000000</v>
      </c>
      <c r="BW538" s="216">
        <f ca="1">IF($D538&lt;&gt;"Serviço",0,IF(OR(AND(AUTOEVENTO="Manual",$M538=1),$M538&gt;(ROW(PLE.lastrow)-ROW(PLE.firstrow))),0,IF(OFFSET(PLE!$G$14,$M538,BW$13)="",10^12,OFFSET(PLE!$G$14,$M538,BW$13))))</f>
        <v>1000000000000</v>
      </c>
      <c r="BX538" s="216">
        <f ca="1">IF($D538&lt;&gt;"Serviço",0,IF(OR(AND(AUTOEVENTO="Manual",$M538=1),$M538&gt;(ROW(PLE.lastrow)-ROW(PLE.firstrow))),0,IF(OFFSET(PLE!$G$14,$M538,BX$13)="",10^12,OFFSET(PLE!$G$14,$M538,BX$13))))</f>
        <v>1000000000000</v>
      </c>
      <c r="BY538" s="216">
        <f ca="1">IF($D538&lt;&gt;"Serviço",0,IF(OR(AND(AUTOEVENTO="Manual",$M538=1),$M538&gt;(ROW(PLE.lastrow)-ROW(PLE.firstrow))),0,IF(OFFSET(PLE!$G$14,$M538,BY$13)="",10^12,OFFSET(PLE!$G$14,$M538,BY$13))))</f>
        <v>1000000000000</v>
      </c>
      <c r="BZ538" s="216">
        <f ca="1">IF($D538&lt;&gt;"Serviço",0,IF(OR(AND(AUTOEVENTO="Manual",$M538=1),$M538&gt;(ROW(PLE.lastrow)-ROW(PLE.firstrow))),0,IF(OFFSET(PLE!$G$14,$M538,BZ$13)="",10^12,OFFSET(PLE!$G$14,$M538,BZ$13))))</f>
        <v>1000000000000</v>
      </c>
      <c r="CA538" s="216">
        <f ca="1">IF($D538&lt;&gt;"Serviço",0,IF(OR(AND(AUTOEVENTO="Manual",$M538=1),$M538&gt;(ROW(PLE.lastrow)-ROW(PLE.firstrow))),0,IF(OFFSET(PLE!$G$14,$M538,CA$13)="",10^12,OFFSET(PLE!$G$14,$M538,CA$13))))</f>
        <v>1000000000000</v>
      </c>
      <c r="CB538" s="216">
        <f ca="1">IF($D538&lt;&gt;"Serviço",0,IF(OR(AND(AUTOEVENTO="Manual",$M538=1),$M538&gt;(ROW(PLE.lastrow)-ROW(PLE.firstrow))),0,IF(OFFSET(PLE!$G$14,$M538,CB$13)="",10^12,OFFSET(PLE!$G$14,$M538,CB$13))))</f>
        <v>1000000000000</v>
      </c>
      <c r="CC538" s="216">
        <f ca="1">IF($D538&lt;&gt;"Serviço",0,IF(OR(AND(AUTOEVENTO="Manual",$M538=1),$M538&gt;(ROW(PLE.lastrow)-ROW(PLE.firstrow))),0,IF(OFFSET(PLE!$G$14,$M538,CC$13)="",10^12,OFFSET(PLE!$G$14,$M538,CC$13))))</f>
        <v>1000000000000</v>
      </c>
      <c r="CD538" s="216">
        <f ca="1">IF($D538&lt;&gt;"Serviço",0,IF(OR(AND(AUTOEVENTO="Manual",$M538=1),$M538&gt;(ROW(PLE.lastrow)-ROW(PLE.firstrow))),0,IF(OFFSET(PLE!$G$14,$M538,CD$13)="",10^12,OFFSET(PLE!$G$14,$M538,CD$13))))</f>
        <v>1000000000000</v>
      </c>
      <c r="CE538" s="216">
        <f ca="1">IF($D538&lt;&gt;"Serviço",0,IF(OR(AND(AUTOEVENTO="Manual",$M538=1),$M538&gt;(ROW(PLE.lastrow)-ROW(PLE.firstrow))),0,IF(OFFSET(PLE!$G$14,$M538,CE$13)="",10^12,OFFSET(PLE!$G$14,$M538,CE$13))))</f>
        <v>1000000000000</v>
      </c>
      <c r="CF538" s="216">
        <f ca="1">IF($D538&lt;&gt;"Serviço",0,IF(OR(AND(AUTOEVENTO="Manual",$M538=1),$M538&gt;(ROW(PLE.lastrow)-ROW(PLE.firstrow))),0,IF(OFFSET(PLE!$G$14,$M538,CF$13)="",10^12,OFFSET(PLE!$G$14,$M538,CF$13))))</f>
        <v>1000000000000</v>
      </c>
      <c r="CG538" s="216">
        <f ca="1">IF($D538&lt;&gt;"Serviço",0,IF(OR(AND(AUTOEVENTO="Manual",$M538=1),$M538&gt;(ROW(PLE.lastrow)-ROW(PLE.firstrow))),0,IF(OFFSET(PLE!$G$14,$M538,CG$13)="",10^12,OFFSET(PLE!$G$14,$M538,CG$13))))</f>
        <v>1000000000000</v>
      </c>
      <c r="CH538" s="216">
        <f ca="1">IF($D538&lt;&gt;"Serviço",0,IF(OR(AND(AUTOEVENTO="Manual",$M538=1),$M538&gt;(ROW(PLE.lastrow)-ROW(PLE.firstrow))),0,IF(OFFSET(PLE!$G$14,$M538,CH$13)="",10^12,OFFSET(PLE!$G$14,$M538,CH$13))))</f>
        <v>1000000000000</v>
      </c>
      <c r="CI538" s="216">
        <f ca="1">IF($D538&lt;&gt;"Serviço",0,IF(OR(AND(AUTOEVENTO="Manual",$M538=1),$M538&gt;(ROW(PLE.lastrow)-ROW(PLE.firstrow))),0,IF(OFFSET(PLE!$G$14,$M538,CI$13)="",10^12,OFFSET(PLE!$G$14,$M538,CI$13))))</f>
        <v>1000000000000</v>
      </c>
      <c r="CJ538" s="216">
        <f ca="1">IF($D538&lt;&gt;"Serviço",0,IF(OR(AND(AUTOEVENTO="Manual",$M538=1),$M538&gt;(ROW(PLE.lastrow)-ROW(PLE.firstrow))),0,IF(OFFSET(PLE!$G$14,$M538,CJ$13)="",10^12,OFFSET(PLE!$G$14,$M538,CJ$13))))</f>
        <v>1000000000000</v>
      </c>
      <c r="CK538" s="216">
        <f ca="1">IF($D538&lt;&gt;"Serviço",0,IF(OR(AND(AUTOEVENTO="Manual",$M538=1),$M538&gt;(ROW(PLE.lastrow)-ROW(PLE.firstrow))),0,IF(OFFSET(PLE!$G$14,$M538,CK$13)="",10^12,OFFSET(PLE!$G$14,$M538,CK$13))))</f>
        <v>1000000000000</v>
      </c>
      <c r="CL538" s="216">
        <f ca="1">IF($D538&lt;&gt;"Serviço",0,IF(OR(AND(AUTOEVENTO="Manual",$M538=1),$M538&gt;(ROW(PLE.lastrow)-ROW(PLE.firstrow))),0,IF(OFFSET(PLE!$G$14,$M538,CL$13)="",10^12,OFFSET(PLE!$G$14,$M538,CL$13))))</f>
        <v>1000000000000</v>
      </c>
      <c r="CM538" s="216">
        <f ca="1">IF($D538&lt;&gt;"Serviço",0,IF(OR(AND(AUTOEVENTO="Manual",$M538=1),$M538&gt;(ROW(PLE.lastrow)-ROW(PLE.firstrow))),0,IF(OFFSET(PLE!$G$14,$M538,CM$13)="",10^12,OFFSET(PLE!$G$14,$M538,CM$13))))</f>
        <v>1000000000000</v>
      </c>
    </row>
    <row r="539" spans="1:91" ht="13.2" x14ac:dyDescent="0.25">
      <c r="A539" s="9">
        <f t="shared" ca="1" si="17"/>
        <v>0</v>
      </c>
      <c r="B539" s="9" t="str">
        <f ca="1">OFFSET(ORÇAMENTO!C$15,ROW(B539)-ROW(B$15),0)</f>
        <v>S</v>
      </c>
      <c r="C539" s="9" t="str">
        <f ca="1">OFFSET(ORÇAMENTO!L$15,ROW(C539)-ROW(C$15),0)</f>
        <v/>
      </c>
      <c r="D539" s="145" t="str">
        <f ca="1">OFFSET(ORÇAMENTO!N$15,ROW(D539)-ROW(D$15),0)</f>
        <v>Serviço</v>
      </c>
      <c r="E539" s="205" t="str">
        <f ca="1">OFFSET(ORÇAMENTO!O$15,ROW(E539)-ROW(E$15),0)</f>
        <v>-</v>
      </c>
      <c r="F539" s="206" t="str">
        <f ca="1">OFFSET(ORÇAMENTO!R$15,ROW(F539)-ROW(F$15),0)</f>
        <v>(abra o arquivo 'Referência 05-2024.xls)</v>
      </c>
      <c r="G539" s="207" t="str">
        <f ca="1">IF($D539&lt;&gt;"Serviço","",OFFSET(ORÇAMENTO!S$15,ROW(G539)-ROW(G$15),0))</f>
        <v>-</v>
      </c>
      <c r="H539" s="151">
        <f ca="1">IF($D539&lt;&gt;"Serviço",0,IF(ACOMPANHAMENTO="BM",ROUND(OFFSET(ORÇAMENTO!AJ$15,ROW(H539)-ROW(H$15),0),15-13*ORÇAMENTO!$AF$7),SUMPRODUCT(($Q$12:$AI$12&lt;&gt;"")*ROUND($Q539:$AI539,15-13*ORÇAMENTO!$AF$7))))</f>
        <v>12</v>
      </c>
      <c r="I539" s="650"/>
      <c r="K539" s="208"/>
      <c r="L539" s="209" t="s">
        <v>257</v>
      </c>
      <c r="M539" s="210">
        <f ca="1">IF($D539&lt;&gt;"Serviço","",IF(AUTOEVENTO="manual",$A539,IF(ISERROR(MATCH($A539,$A$15:OFFSET($A539,-1,0),0)),MAX($M$15:OFFSET(M539,-1,0))+1,INDEX($M$15:OFFSET(M539,-1,0),MATCH($A539,$A$15:OFFSET($A539,-1,0),0)))))</f>
        <v>0</v>
      </c>
      <c r="N539" s="211" t="str">
        <f ca="1">IF($D539&lt;&gt;"Serviço","",IF(AUTOEVENTO="Manual",IF($A539=0,"&lt;-- defina o número do agrupador",OFFSET(EVENTOS!$D$14,$A539,0)),OFFSET($F$15,$A539,0)))</f>
        <v>&lt;-- defina o número do agrupador</v>
      </c>
      <c r="O539" s="212"/>
      <c r="Q539" s="212"/>
      <c r="R539" s="213"/>
      <c r="S539" s="213"/>
      <c r="T539" s="213"/>
      <c r="U539" s="213"/>
      <c r="V539" s="213"/>
      <c r="W539" s="213"/>
      <c r="X539" s="213"/>
      <c r="Y539" s="213"/>
      <c r="Z539" s="214"/>
      <c r="AA539" s="213"/>
      <c r="AB539" s="213"/>
      <c r="AC539" s="213"/>
      <c r="AD539" s="213"/>
      <c r="AE539" s="213"/>
      <c r="AF539" s="213"/>
      <c r="AG539" s="213"/>
      <c r="AH539" s="214"/>
      <c r="AJ539" s="631">
        <f ca="1">IF(AND($D539="Serviço",AJ$12&lt;&gt;0,$H539&gt;0,OR(AUTOEVENTO&lt;&gt;"manual",$M539&lt;&gt;1)),ROUND(OFFSET($P539,0,AJ$13),15-13*ORÇAMENTO!$AF$7)/$H539*OFFSET(ORÇAMENTO!$X$15,ROW(AJ539)-ROW(AJ$15),0),0)</f>
        <v>0</v>
      </c>
      <c r="AK539" s="632">
        <f ca="1">IF(AND($D539="Serviço",AK$12&lt;&gt;0,$H539&gt;0,OR(AUTOEVENTO&lt;&gt;"manual",$M539&lt;&gt;1)),ROUND(OFFSET($P539,0,AK$13),15-13*ORÇAMENTO!$AF$7)/$H539*OFFSET(ORÇAMENTO!$X$15,ROW(AK539)-ROW(AK$15),0),0)</f>
        <v>0</v>
      </c>
      <c r="AL539" s="632">
        <f ca="1">IF(AND($D539="Serviço",AL$12&lt;&gt;0,$H539&gt;0,OR(AUTOEVENTO&lt;&gt;"manual",$M539&lt;&gt;1)),ROUND(OFFSET($P539,0,AL$13),15-13*ORÇAMENTO!$AF$7)/$H539*OFFSET(ORÇAMENTO!$X$15,ROW(AL539)-ROW(AL$15),0),0)</f>
        <v>0</v>
      </c>
      <c r="AM539" s="632">
        <f ca="1">IF(AND($D539="Serviço",AM$12&lt;&gt;0,$H539&gt;0,OR(AUTOEVENTO&lt;&gt;"manual",$M539&lt;&gt;1)),ROUND(OFFSET($P539,0,AM$13),15-13*ORÇAMENTO!$AF$7)/$H539*OFFSET(ORÇAMENTO!$X$15,ROW(AM539)-ROW(AM$15),0),0)</f>
        <v>0</v>
      </c>
      <c r="AN539" s="632">
        <f ca="1">IF(AND($D539="Serviço",AN$12&lt;&gt;0,$H539&gt;0,OR(AUTOEVENTO&lt;&gt;"manual",$M539&lt;&gt;1)),ROUND(OFFSET($P539,0,AN$13),15-13*ORÇAMENTO!$AF$7)/$H539*OFFSET(ORÇAMENTO!$X$15,ROW(AN539)-ROW(AN$15),0),0)</f>
        <v>0</v>
      </c>
      <c r="AO539" s="632">
        <f ca="1">IF(AND($D539="Serviço",AO$12&lt;&gt;0,$H539&gt;0,OR(AUTOEVENTO&lt;&gt;"manual",$M539&lt;&gt;1)),ROUND(OFFSET($P539,0,AO$13),15-13*ORÇAMENTO!$AF$7)/$H539*OFFSET(ORÇAMENTO!$X$15,ROW(AO539)-ROW(AO$15),0),0)</f>
        <v>0</v>
      </c>
      <c r="AP539" s="632">
        <f ca="1">IF(AND($D539="Serviço",AP$12&lt;&gt;0,$H539&gt;0,OR(AUTOEVENTO&lt;&gt;"manual",$M539&lt;&gt;1)),ROUND(OFFSET($P539,0,AP$13),15-13*ORÇAMENTO!$AF$7)/$H539*OFFSET(ORÇAMENTO!$X$15,ROW(AP539)-ROW(AP$15),0),0)</f>
        <v>0</v>
      </c>
      <c r="AQ539" s="632">
        <f ca="1">IF(AND($D539="Serviço",AQ$12&lt;&gt;0,$H539&gt;0,OR(AUTOEVENTO&lt;&gt;"manual",$M539&lt;&gt;1)),ROUND(OFFSET($P539,0,AQ$13),15-13*ORÇAMENTO!$AF$7)/$H539*OFFSET(ORÇAMENTO!$X$15,ROW(AQ539)-ROW(AQ$15),0),0)</f>
        <v>0</v>
      </c>
      <c r="AR539" s="632">
        <f ca="1">IF(AND($D539="Serviço",AR$12&lt;&gt;0,$H539&gt;0,OR(AUTOEVENTO&lt;&gt;"manual",$M539&lt;&gt;1)),ROUND(OFFSET($P539,0,AR$13),15-13*ORÇAMENTO!$AF$7)/$H539*OFFSET(ORÇAMENTO!$X$15,ROW(AR539)-ROW(AR$15),0),0)</f>
        <v>0</v>
      </c>
      <c r="AS539" s="633">
        <f ca="1">IF(AND($D539="Serviço",AS$12&lt;&gt;0,$H539&gt;0,OR(AUTOEVENTO&lt;&gt;"manual",$M539&lt;&gt;1)),ROUND(OFFSET($P539,0,AS$13),15-13*ORÇAMENTO!$AF$7)/$H539*OFFSET(ORÇAMENTO!$X$15,ROW(AS539)-ROW(AS$15),0),0)</f>
        <v>0</v>
      </c>
      <c r="AT539" s="632">
        <f ca="1">IF(AND($D539="Serviço",AT$12&lt;&gt;0,$H539&gt;0,OR(AUTOEVENTO&lt;&gt;"manual",$M539&lt;&gt;1)),ROUND(OFFSET($P539,0,AT$13),15-13*ORÇAMENTO!$AF$7)/$H539*OFFSET(ORÇAMENTO!$X$15,ROW(AT539)-ROW(AT$15),0),0)</f>
        <v>0</v>
      </c>
      <c r="AU539" s="632">
        <f ca="1">IF(AND($D539="Serviço",AU$12&lt;&gt;0,$H539&gt;0,OR(AUTOEVENTO&lt;&gt;"manual",$M539&lt;&gt;1)),ROUND(OFFSET($P539,0,AU$13),15-13*ORÇAMENTO!$AF$7)/$H539*OFFSET(ORÇAMENTO!$X$15,ROW(AU539)-ROW(AU$15),0),0)</f>
        <v>0</v>
      </c>
      <c r="AV539" s="632">
        <f ca="1">IF(AND($D539="Serviço",AV$12&lt;&gt;0,$H539&gt;0,OR(AUTOEVENTO&lt;&gt;"manual",$M539&lt;&gt;1)),ROUND(OFFSET($P539,0,AV$13),15-13*ORÇAMENTO!$AF$7)/$H539*OFFSET(ORÇAMENTO!$X$15,ROW(AV539)-ROW(AV$15),0),0)</f>
        <v>0</v>
      </c>
      <c r="AW539" s="632">
        <f ca="1">IF(AND($D539="Serviço",AW$12&lt;&gt;0,$H539&gt;0,OR(AUTOEVENTO&lt;&gt;"manual",$M539&lt;&gt;1)),ROUND(OFFSET($P539,0,AW$13),15-13*ORÇAMENTO!$AF$7)/$H539*OFFSET(ORÇAMENTO!$X$15,ROW(AW539)-ROW(AW$15),0),0)</f>
        <v>0</v>
      </c>
      <c r="AX539" s="632">
        <f ca="1">IF(AND($D539="Serviço",AX$12&lt;&gt;0,$H539&gt;0,OR(AUTOEVENTO&lt;&gt;"manual",$M539&lt;&gt;1)),ROUND(OFFSET($P539,0,AX$13),15-13*ORÇAMENTO!$AF$7)/$H539*OFFSET(ORÇAMENTO!$X$15,ROW(AX539)-ROW(AX$15),0),0)</f>
        <v>0</v>
      </c>
      <c r="AY539" s="632">
        <f ca="1">IF(AND($D539="Serviço",AY$12&lt;&gt;0,$H539&gt;0,OR(AUTOEVENTO&lt;&gt;"manual",$M539&lt;&gt;1)),ROUND(OFFSET($P539,0,AY$13),15-13*ORÇAMENTO!$AF$7)/$H539*OFFSET(ORÇAMENTO!$X$15,ROW(AY539)-ROW(AY$15),0),0)</f>
        <v>0</v>
      </c>
      <c r="AZ539" s="632">
        <f ca="1">IF(AND($D539="Serviço",AZ$12&lt;&gt;0,$H539&gt;0,OR(AUTOEVENTO&lt;&gt;"manual",$M539&lt;&gt;1)),ROUND(OFFSET($P539,0,AZ$13),15-13*ORÇAMENTO!$AF$7)/$H539*OFFSET(ORÇAMENTO!$X$15,ROW(AZ539)-ROW(AZ$15),0),0)</f>
        <v>0</v>
      </c>
      <c r="BA539" s="633">
        <f ca="1">IF(AND($D539="Serviço",BA$12&lt;&gt;0,$H539&gt;0,OR(AUTOEVENTO&lt;&gt;"manual",$M539&lt;&gt;1)),ROUND(OFFSET($P539,0,BA$13),15-13*ORÇAMENTO!$AF$7)/$H539*OFFSET(ORÇAMENTO!$X$15,ROW(BA539)-ROW(BA$15),0),0)</f>
        <v>0</v>
      </c>
      <c r="BC539" s="215">
        <f ca="1">IF($D539&lt;&gt;"Serviço",0,IF(AND(AUTOEVENTO="Manual",$M539=1),0,IF(OFFSET(CRONOPLE!$F$14,$M539,BC$13)="",10^12,OFFSET(CRONOPLE!$F$14,$M539,BC$13))))</f>
        <v>1000000000000</v>
      </c>
      <c r="BD539" s="215">
        <f ca="1">IF($D539&lt;&gt;"Serviço",0,IF(AND(AUTOEVENTO="Manual",$M539=1),0,IF(OFFSET(CRONOPLE!$F$14,$M539,BD$13)="",10^12,OFFSET(CRONOPLE!$F$14,$M539,BD$13))))</f>
        <v>1000000000000</v>
      </c>
      <c r="BE539" s="215">
        <f ca="1">IF($D539&lt;&gt;"Serviço",0,IF(AND(AUTOEVENTO="Manual",$M539=1),0,IF(OFFSET(CRONOPLE!$F$14,$M539,BE$13)="",10^12,OFFSET(CRONOPLE!$F$14,$M539,BE$13))))</f>
        <v>1000000000000</v>
      </c>
      <c r="BF539" s="215">
        <f ca="1">IF($D539&lt;&gt;"Serviço",0,IF(AND(AUTOEVENTO="Manual",$M539=1),0,IF(OFFSET(CRONOPLE!$F$14,$M539,BF$13)="",10^12,OFFSET(CRONOPLE!$F$14,$M539,BF$13))))</f>
        <v>1000000000000</v>
      </c>
      <c r="BG539" s="215">
        <f ca="1">IF($D539&lt;&gt;"Serviço",0,IF(AND(AUTOEVENTO="Manual",$M539=1),0,IF(OFFSET(CRONOPLE!$F$14,$M539,BG$13)="",10^12,OFFSET(CRONOPLE!$F$14,$M539,BG$13))))</f>
        <v>1000000000000</v>
      </c>
      <c r="BH539" s="215">
        <f ca="1">IF($D539&lt;&gt;"Serviço",0,IF(AND(AUTOEVENTO="Manual",$M539=1),0,IF(OFFSET(CRONOPLE!$F$14,$M539,BH$13)="",10^12,OFFSET(CRONOPLE!$F$14,$M539,BH$13))))</f>
        <v>1000000000000</v>
      </c>
      <c r="BI539" s="215">
        <f ca="1">IF($D539&lt;&gt;"Serviço",0,IF(AND(AUTOEVENTO="Manual",$M539=1),0,IF(OFFSET(CRONOPLE!$F$14,$M539,BI$13)="",10^12,OFFSET(CRONOPLE!$F$14,$M539,BI$13))))</f>
        <v>1000000000000</v>
      </c>
      <c r="BJ539" s="215">
        <f ca="1">IF($D539&lt;&gt;"Serviço",0,IF(AND(AUTOEVENTO="Manual",$M539=1),0,IF(OFFSET(CRONOPLE!$F$14,$M539,BJ$13)="",10^12,OFFSET(CRONOPLE!$F$14,$M539,BJ$13))))</f>
        <v>1000000000000</v>
      </c>
      <c r="BK539" s="215">
        <f ca="1">IF($D539&lt;&gt;"Serviço",0,IF(AND(AUTOEVENTO="Manual",$M539=1),0,IF(OFFSET(CRONOPLE!$F$14,$M539,BK$13)="",10^12,OFFSET(CRONOPLE!$F$14,$M539,BK$13))))</f>
        <v>1000000000000</v>
      </c>
      <c r="BL539" s="215">
        <f ca="1">IF($D539&lt;&gt;"Serviço",0,IF(AND(AUTOEVENTO="Manual",$M539=1),0,IF(OFFSET(CRONOPLE!$F$14,$M539,BL$13)="",10^12,OFFSET(CRONOPLE!$F$14,$M539,BL$13))))</f>
        <v>1000000000000</v>
      </c>
      <c r="BM539" s="215">
        <f ca="1">IF($D539&lt;&gt;"Serviço",0,IF(AND(AUTOEVENTO="Manual",$M539=1),0,IF(OFFSET(CRONOPLE!$F$14,$M539,BM$13)="",10^12,OFFSET(CRONOPLE!$F$14,$M539,BM$13))))</f>
        <v>1000000000000</v>
      </c>
      <c r="BN539" s="215">
        <f ca="1">IF($D539&lt;&gt;"Serviço",0,IF(AND(AUTOEVENTO="Manual",$M539=1),0,IF(OFFSET(CRONOPLE!$F$14,$M539,BN$13)="",10^12,OFFSET(CRONOPLE!$F$14,$M539,BN$13))))</f>
        <v>1000000000000</v>
      </c>
      <c r="BO539" s="215">
        <f ca="1">IF($D539&lt;&gt;"Serviço",0,IF(AND(AUTOEVENTO="Manual",$M539=1),0,IF(OFFSET(CRONOPLE!$F$14,$M539,BO$13)="",10^12,OFFSET(CRONOPLE!$F$14,$M539,BO$13))))</f>
        <v>1000000000000</v>
      </c>
      <c r="BP539" s="215">
        <f ca="1">IF($D539&lt;&gt;"Serviço",0,IF(AND(AUTOEVENTO="Manual",$M539=1),0,IF(OFFSET(CRONOPLE!$F$14,$M539,BP$13)="",10^12,OFFSET(CRONOPLE!$F$14,$M539,BP$13))))</f>
        <v>1000000000000</v>
      </c>
      <c r="BQ539" s="215">
        <f ca="1">IF($D539&lt;&gt;"Serviço",0,IF(AND(AUTOEVENTO="Manual",$M539=1),0,IF(OFFSET(CRONOPLE!$F$14,$M539,BQ$13)="",10^12,OFFSET(CRONOPLE!$F$14,$M539,BQ$13))))</f>
        <v>1000000000000</v>
      </c>
      <c r="BR539" s="215">
        <f ca="1">IF($D539&lt;&gt;"Serviço",0,IF(AND(AUTOEVENTO="Manual",$M539=1),0,IF(OFFSET(CRONOPLE!$F$14,$M539,BR$13)="",10^12,OFFSET(CRONOPLE!$F$14,$M539,BR$13))))</f>
        <v>1000000000000</v>
      </c>
      <c r="BS539" s="215">
        <f ca="1">IF($D539&lt;&gt;"Serviço",0,IF(AND(AUTOEVENTO="Manual",$M539=1),0,IF(OFFSET(CRONOPLE!$F$14,$M539,BS$13)="",10^12,OFFSET(CRONOPLE!$F$14,$M539,BS$13))))</f>
        <v>1000000000000</v>
      </c>
      <c r="BT539" s="215">
        <f ca="1">IF($D539&lt;&gt;"Serviço",0,IF(AND(AUTOEVENTO="Manual",$M539=1),0,IF(OFFSET(CRONOPLE!$F$14,$M539,BT$13)="",10^12,OFFSET(CRONOPLE!$F$14,$M539,BT$13))))</f>
        <v>1000000000000</v>
      </c>
      <c r="BV539" s="216">
        <f ca="1">IF($D539&lt;&gt;"Serviço",0,IF(OR(AND(AUTOEVENTO="Manual",$M539=1),$M539&gt;(ROW(PLE.lastrow)-ROW(PLE.firstrow))),0,IF(OFFSET(PLE!$G$14,$M539,BV$13)="",10^12,OFFSET(PLE!$G$14,$M539,BV$13))))</f>
        <v>1000000000000</v>
      </c>
      <c r="BW539" s="216">
        <f ca="1">IF($D539&lt;&gt;"Serviço",0,IF(OR(AND(AUTOEVENTO="Manual",$M539=1),$M539&gt;(ROW(PLE.lastrow)-ROW(PLE.firstrow))),0,IF(OFFSET(PLE!$G$14,$M539,BW$13)="",10^12,OFFSET(PLE!$G$14,$M539,BW$13))))</f>
        <v>1000000000000</v>
      </c>
      <c r="BX539" s="216">
        <f ca="1">IF($D539&lt;&gt;"Serviço",0,IF(OR(AND(AUTOEVENTO="Manual",$M539=1),$M539&gt;(ROW(PLE.lastrow)-ROW(PLE.firstrow))),0,IF(OFFSET(PLE!$G$14,$M539,BX$13)="",10^12,OFFSET(PLE!$G$14,$M539,BX$13))))</f>
        <v>1000000000000</v>
      </c>
      <c r="BY539" s="216">
        <f ca="1">IF($D539&lt;&gt;"Serviço",0,IF(OR(AND(AUTOEVENTO="Manual",$M539=1),$M539&gt;(ROW(PLE.lastrow)-ROW(PLE.firstrow))),0,IF(OFFSET(PLE!$G$14,$M539,BY$13)="",10^12,OFFSET(PLE!$G$14,$M539,BY$13))))</f>
        <v>1000000000000</v>
      </c>
      <c r="BZ539" s="216">
        <f ca="1">IF($D539&lt;&gt;"Serviço",0,IF(OR(AND(AUTOEVENTO="Manual",$M539=1),$M539&gt;(ROW(PLE.lastrow)-ROW(PLE.firstrow))),0,IF(OFFSET(PLE!$G$14,$M539,BZ$13)="",10^12,OFFSET(PLE!$G$14,$M539,BZ$13))))</f>
        <v>1000000000000</v>
      </c>
      <c r="CA539" s="216">
        <f ca="1">IF($D539&lt;&gt;"Serviço",0,IF(OR(AND(AUTOEVENTO="Manual",$M539=1),$M539&gt;(ROW(PLE.lastrow)-ROW(PLE.firstrow))),0,IF(OFFSET(PLE!$G$14,$M539,CA$13)="",10^12,OFFSET(PLE!$G$14,$M539,CA$13))))</f>
        <v>1000000000000</v>
      </c>
      <c r="CB539" s="216">
        <f ca="1">IF($D539&lt;&gt;"Serviço",0,IF(OR(AND(AUTOEVENTO="Manual",$M539=1),$M539&gt;(ROW(PLE.lastrow)-ROW(PLE.firstrow))),0,IF(OFFSET(PLE!$G$14,$M539,CB$13)="",10^12,OFFSET(PLE!$G$14,$M539,CB$13))))</f>
        <v>1000000000000</v>
      </c>
      <c r="CC539" s="216">
        <f ca="1">IF($D539&lt;&gt;"Serviço",0,IF(OR(AND(AUTOEVENTO="Manual",$M539=1),$M539&gt;(ROW(PLE.lastrow)-ROW(PLE.firstrow))),0,IF(OFFSET(PLE!$G$14,$M539,CC$13)="",10^12,OFFSET(PLE!$G$14,$M539,CC$13))))</f>
        <v>1000000000000</v>
      </c>
      <c r="CD539" s="216">
        <f ca="1">IF($D539&lt;&gt;"Serviço",0,IF(OR(AND(AUTOEVENTO="Manual",$M539=1),$M539&gt;(ROW(PLE.lastrow)-ROW(PLE.firstrow))),0,IF(OFFSET(PLE!$G$14,$M539,CD$13)="",10^12,OFFSET(PLE!$G$14,$M539,CD$13))))</f>
        <v>1000000000000</v>
      </c>
      <c r="CE539" s="216">
        <f ca="1">IF($D539&lt;&gt;"Serviço",0,IF(OR(AND(AUTOEVENTO="Manual",$M539=1),$M539&gt;(ROW(PLE.lastrow)-ROW(PLE.firstrow))),0,IF(OFFSET(PLE!$G$14,$M539,CE$13)="",10^12,OFFSET(PLE!$G$14,$M539,CE$13))))</f>
        <v>1000000000000</v>
      </c>
      <c r="CF539" s="216">
        <f ca="1">IF($D539&lt;&gt;"Serviço",0,IF(OR(AND(AUTOEVENTO="Manual",$M539=1),$M539&gt;(ROW(PLE.lastrow)-ROW(PLE.firstrow))),0,IF(OFFSET(PLE!$G$14,$M539,CF$13)="",10^12,OFFSET(PLE!$G$14,$M539,CF$13))))</f>
        <v>1000000000000</v>
      </c>
      <c r="CG539" s="216">
        <f ca="1">IF($D539&lt;&gt;"Serviço",0,IF(OR(AND(AUTOEVENTO="Manual",$M539=1),$M539&gt;(ROW(PLE.lastrow)-ROW(PLE.firstrow))),0,IF(OFFSET(PLE!$G$14,$M539,CG$13)="",10^12,OFFSET(PLE!$G$14,$M539,CG$13))))</f>
        <v>1000000000000</v>
      </c>
      <c r="CH539" s="216">
        <f ca="1">IF($D539&lt;&gt;"Serviço",0,IF(OR(AND(AUTOEVENTO="Manual",$M539=1),$M539&gt;(ROW(PLE.lastrow)-ROW(PLE.firstrow))),0,IF(OFFSET(PLE!$G$14,$M539,CH$13)="",10^12,OFFSET(PLE!$G$14,$M539,CH$13))))</f>
        <v>1000000000000</v>
      </c>
      <c r="CI539" s="216">
        <f ca="1">IF($D539&lt;&gt;"Serviço",0,IF(OR(AND(AUTOEVENTO="Manual",$M539=1),$M539&gt;(ROW(PLE.lastrow)-ROW(PLE.firstrow))),0,IF(OFFSET(PLE!$G$14,$M539,CI$13)="",10^12,OFFSET(PLE!$G$14,$M539,CI$13))))</f>
        <v>1000000000000</v>
      </c>
      <c r="CJ539" s="216">
        <f ca="1">IF($D539&lt;&gt;"Serviço",0,IF(OR(AND(AUTOEVENTO="Manual",$M539=1),$M539&gt;(ROW(PLE.lastrow)-ROW(PLE.firstrow))),0,IF(OFFSET(PLE!$G$14,$M539,CJ$13)="",10^12,OFFSET(PLE!$G$14,$M539,CJ$13))))</f>
        <v>1000000000000</v>
      </c>
      <c r="CK539" s="216">
        <f ca="1">IF($D539&lt;&gt;"Serviço",0,IF(OR(AND(AUTOEVENTO="Manual",$M539=1),$M539&gt;(ROW(PLE.lastrow)-ROW(PLE.firstrow))),0,IF(OFFSET(PLE!$G$14,$M539,CK$13)="",10^12,OFFSET(PLE!$G$14,$M539,CK$13))))</f>
        <v>1000000000000</v>
      </c>
      <c r="CL539" s="216">
        <f ca="1">IF($D539&lt;&gt;"Serviço",0,IF(OR(AND(AUTOEVENTO="Manual",$M539=1),$M539&gt;(ROW(PLE.lastrow)-ROW(PLE.firstrow))),0,IF(OFFSET(PLE!$G$14,$M539,CL$13)="",10^12,OFFSET(PLE!$G$14,$M539,CL$13))))</f>
        <v>1000000000000</v>
      </c>
      <c r="CM539" s="216">
        <f ca="1">IF($D539&lt;&gt;"Serviço",0,IF(OR(AND(AUTOEVENTO="Manual",$M539=1),$M539&gt;(ROW(PLE.lastrow)-ROW(PLE.firstrow))),0,IF(OFFSET(PLE!$G$14,$M539,CM$13)="",10^12,OFFSET(PLE!$G$14,$M539,CM$13))))</f>
        <v>1000000000000</v>
      </c>
    </row>
    <row r="540" spans="1:91" ht="13.2" x14ac:dyDescent="0.25">
      <c r="A540" s="9">
        <f t="shared" ca="1" si="17"/>
        <v>0</v>
      </c>
      <c r="B540" s="9" t="str">
        <f ca="1">OFFSET(ORÇAMENTO!C$15,ROW(B540)-ROW(B$15),0)</f>
        <v>S</v>
      </c>
      <c r="C540" s="9" t="str">
        <f ca="1">OFFSET(ORÇAMENTO!L$15,ROW(C540)-ROW(C$15),0)</f>
        <v/>
      </c>
      <c r="D540" s="145" t="str">
        <f ca="1">OFFSET(ORÇAMENTO!N$15,ROW(D540)-ROW(D$15),0)</f>
        <v>Serviço</v>
      </c>
      <c r="E540" s="205" t="str">
        <f ca="1">OFFSET(ORÇAMENTO!O$15,ROW(E540)-ROW(E$15),0)</f>
        <v>-</v>
      </c>
      <c r="F540" s="206" t="str">
        <f ca="1">OFFSET(ORÇAMENTO!R$15,ROW(F540)-ROW(F$15),0)</f>
        <v>(abra o arquivo 'Referência 05-2024.xls)</v>
      </c>
      <c r="G540" s="207" t="str">
        <f ca="1">IF($D540&lt;&gt;"Serviço","",OFFSET(ORÇAMENTO!S$15,ROW(G540)-ROW(G$15),0))</f>
        <v>-</v>
      </c>
      <c r="H540" s="151">
        <f ca="1">IF($D540&lt;&gt;"Serviço",0,IF(ACOMPANHAMENTO="BM",ROUND(OFFSET(ORÇAMENTO!AJ$15,ROW(H540)-ROW(H$15),0),15-13*ORÇAMENTO!$AF$7),SUMPRODUCT(($Q$12:$AI$12&lt;&gt;"")*ROUND($Q540:$AI540,15-13*ORÇAMENTO!$AF$7))))</f>
        <v>1</v>
      </c>
      <c r="I540" s="650"/>
      <c r="K540" s="208"/>
      <c r="L540" s="209" t="s">
        <v>257</v>
      </c>
      <c r="M540" s="210">
        <f ca="1">IF($D540&lt;&gt;"Serviço","",IF(AUTOEVENTO="manual",$A540,IF(ISERROR(MATCH($A540,$A$15:OFFSET($A540,-1,0),0)),MAX($M$15:OFFSET(M540,-1,0))+1,INDEX($M$15:OFFSET(M540,-1,0),MATCH($A540,$A$15:OFFSET($A540,-1,0),0)))))</f>
        <v>0</v>
      </c>
      <c r="N540" s="211" t="str">
        <f ca="1">IF($D540&lt;&gt;"Serviço","",IF(AUTOEVENTO="Manual",IF($A540=0,"&lt;-- defina o número do agrupador",OFFSET(EVENTOS!$D$14,$A540,0)),OFFSET($F$15,$A540,0)))</f>
        <v>&lt;-- defina o número do agrupador</v>
      </c>
      <c r="O540" s="212"/>
      <c r="Q540" s="212"/>
      <c r="R540" s="213"/>
      <c r="S540" s="213"/>
      <c r="T540" s="213"/>
      <c r="U540" s="213"/>
      <c r="V540" s="213"/>
      <c r="W540" s="213"/>
      <c r="X540" s="213"/>
      <c r="Y540" s="213"/>
      <c r="Z540" s="214"/>
      <c r="AA540" s="213"/>
      <c r="AB540" s="213"/>
      <c r="AC540" s="213"/>
      <c r="AD540" s="213"/>
      <c r="AE540" s="213"/>
      <c r="AF540" s="213"/>
      <c r="AG540" s="213"/>
      <c r="AH540" s="214"/>
      <c r="AJ540" s="631">
        <f ca="1">IF(AND($D540="Serviço",AJ$12&lt;&gt;0,$H540&gt;0,OR(AUTOEVENTO&lt;&gt;"manual",$M540&lt;&gt;1)),ROUND(OFFSET($P540,0,AJ$13),15-13*ORÇAMENTO!$AF$7)/$H540*OFFSET(ORÇAMENTO!$X$15,ROW(AJ540)-ROW(AJ$15),0),0)</f>
        <v>0</v>
      </c>
      <c r="AK540" s="632">
        <f ca="1">IF(AND($D540="Serviço",AK$12&lt;&gt;0,$H540&gt;0,OR(AUTOEVENTO&lt;&gt;"manual",$M540&lt;&gt;1)),ROUND(OFFSET($P540,0,AK$13),15-13*ORÇAMENTO!$AF$7)/$H540*OFFSET(ORÇAMENTO!$X$15,ROW(AK540)-ROW(AK$15),0),0)</f>
        <v>0</v>
      </c>
      <c r="AL540" s="632">
        <f ca="1">IF(AND($D540="Serviço",AL$12&lt;&gt;0,$H540&gt;0,OR(AUTOEVENTO&lt;&gt;"manual",$M540&lt;&gt;1)),ROUND(OFFSET($P540,0,AL$13),15-13*ORÇAMENTO!$AF$7)/$H540*OFFSET(ORÇAMENTO!$X$15,ROW(AL540)-ROW(AL$15),0),0)</f>
        <v>0</v>
      </c>
      <c r="AM540" s="632">
        <f ca="1">IF(AND($D540="Serviço",AM$12&lt;&gt;0,$H540&gt;0,OR(AUTOEVENTO&lt;&gt;"manual",$M540&lt;&gt;1)),ROUND(OFFSET($P540,0,AM$13),15-13*ORÇAMENTO!$AF$7)/$H540*OFFSET(ORÇAMENTO!$X$15,ROW(AM540)-ROW(AM$15),0),0)</f>
        <v>0</v>
      </c>
      <c r="AN540" s="632">
        <f ca="1">IF(AND($D540="Serviço",AN$12&lt;&gt;0,$H540&gt;0,OR(AUTOEVENTO&lt;&gt;"manual",$M540&lt;&gt;1)),ROUND(OFFSET($P540,0,AN$13),15-13*ORÇAMENTO!$AF$7)/$H540*OFFSET(ORÇAMENTO!$X$15,ROW(AN540)-ROW(AN$15),0),0)</f>
        <v>0</v>
      </c>
      <c r="AO540" s="632">
        <f ca="1">IF(AND($D540="Serviço",AO$12&lt;&gt;0,$H540&gt;0,OR(AUTOEVENTO&lt;&gt;"manual",$M540&lt;&gt;1)),ROUND(OFFSET($P540,0,AO$13),15-13*ORÇAMENTO!$AF$7)/$H540*OFFSET(ORÇAMENTO!$X$15,ROW(AO540)-ROW(AO$15),0),0)</f>
        <v>0</v>
      </c>
      <c r="AP540" s="632">
        <f ca="1">IF(AND($D540="Serviço",AP$12&lt;&gt;0,$H540&gt;0,OR(AUTOEVENTO&lt;&gt;"manual",$M540&lt;&gt;1)),ROUND(OFFSET($P540,0,AP$13),15-13*ORÇAMENTO!$AF$7)/$H540*OFFSET(ORÇAMENTO!$X$15,ROW(AP540)-ROW(AP$15),0),0)</f>
        <v>0</v>
      </c>
      <c r="AQ540" s="632">
        <f ca="1">IF(AND($D540="Serviço",AQ$12&lt;&gt;0,$H540&gt;0,OR(AUTOEVENTO&lt;&gt;"manual",$M540&lt;&gt;1)),ROUND(OFFSET($P540,0,AQ$13),15-13*ORÇAMENTO!$AF$7)/$H540*OFFSET(ORÇAMENTO!$X$15,ROW(AQ540)-ROW(AQ$15),0),0)</f>
        <v>0</v>
      </c>
      <c r="AR540" s="632">
        <f ca="1">IF(AND($D540="Serviço",AR$12&lt;&gt;0,$H540&gt;0,OR(AUTOEVENTO&lt;&gt;"manual",$M540&lt;&gt;1)),ROUND(OFFSET($P540,0,AR$13),15-13*ORÇAMENTO!$AF$7)/$H540*OFFSET(ORÇAMENTO!$X$15,ROW(AR540)-ROW(AR$15),0),0)</f>
        <v>0</v>
      </c>
      <c r="AS540" s="633">
        <f ca="1">IF(AND($D540="Serviço",AS$12&lt;&gt;0,$H540&gt;0,OR(AUTOEVENTO&lt;&gt;"manual",$M540&lt;&gt;1)),ROUND(OFFSET($P540,0,AS$13),15-13*ORÇAMENTO!$AF$7)/$H540*OFFSET(ORÇAMENTO!$X$15,ROW(AS540)-ROW(AS$15),0),0)</f>
        <v>0</v>
      </c>
      <c r="AT540" s="632">
        <f ca="1">IF(AND($D540="Serviço",AT$12&lt;&gt;0,$H540&gt;0,OR(AUTOEVENTO&lt;&gt;"manual",$M540&lt;&gt;1)),ROUND(OFFSET($P540,0,AT$13),15-13*ORÇAMENTO!$AF$7)/$H540*OFFSET(ORÇAMENTO!$X$15,ROW(AT540)-ROW(AT$15),0),0)</f>
        <v>0</v>
      </c>
      <c r="AU540" s="632">
        <f ca="1">IF(AND($D540="Serviço",AU$12&lt;&gt;0,$H540&gt;0,OR(AUTOEVENTO&lt;&gt;"manual",$M540&lt;&gt;1)),ROUND(OFFSET($P540,0,AU$13),15-13*ORÇAMENTO!$AF$7)/$H540*OFFSET(ORÇAMENTO!$X$15,ROW(AU540)-ROW(AU$15),0),0)</f>
        <v>0</v>
      </c>
      <c r="AV540" s="632">
        <f ca="1">IF(AND($D540="Serviço",AV$12&lt;&gt;0,$H540&gt;0,OR(AUTOEVENTO&lt;&gt;"manual",$M540&lt;&gt;1)),ROUND(OFFSET($P540,0,AV$13),15-13*ORÇAMENTO!$AF$7)/$H540*OFFSET(ORÇAMENTO!$X$15,ROW(AV540)-ROW(AV$15),0),0)</f>
        <v>0</v>
      </c>
      <c r="AW540" s="632">
        <f ca="1">IF(AND($D540="Serviço",AW$12&lt;&gt;0,$H540&gt;0,OR(AUTOEVENTO&lt;&gt;"manual",$M540&lt;&gt;1)),ROUND(OFFSET($P540,0,AW$13),15-13*ORÇAMENTO!$AF$7)/$H540*OFFSET(ORÇAMENTO!$X$15,ROW(AW540)-ROW(AW$15),0),0)</f>
        <v>0</v>
      </c>
      <c r="AX540" s="632">
        <f ca="1">IF(AND($D540="Serviço",AX$12&lt;&gt;0,$H540&gt;0,OR(AUTOEVENTO&lt;&gt;"manual",$M540&lt;&gt;1)),ROUND(OFFSET($P540,0,AX$13),15-13*ORÇAMENTO!$AF$7)/$H540*OFFSET(ORÇAMENTO!$X$15,ROW(AX540)-ROW(AX$15),0),0)</f>
        <v>0</v>
      </c>
      <c r="AY540" s="632">
        <f ca="1">IF(AND($D540="Serviço",AY$12&lt;&gt;0,$H540&gt;0,OR(AUTOEVENTO&lt;&gt;"manual",$M540&lt;&gt;1)),ROUND(OFFSET($P540,0,AY$13),15-13*ORÇAMENTO!$AF$7)/$H540*OFFSET(ORÇAMENTO!$X$15,ROW(AY540)-ROW(AY$15),0),0)</f>
        <v>0</v>
      </c>
      <c r="AZ540" s="632">
        <f ca="1">IF(AND($D540="Serviço",AZ$12&lt;&gt;0,$H540&gt;0,OR(AUTOEVENTO&lt;&gt;"manual",$M540&lt;&gt;1)),ROUND(OFFSET($P540,0,AZ$13),15-13*ORÇAMENTO!$AF$7)/$H540*OFFSET(ORÇAMENTO!$X$15,ROW(AZ540)-ROW(AZ$15),0),0)</f>
        <v>0</v>
      </c>
      <c r="BA540" s="633">
        <f ca="1">IF(AND($D540="Serviço",BA$12&lt;&gt;0,$H540&gt;0,OR(AUTOEVENTO&lt;&gt;"manual",$M540&lt;&gt;1)),ROUND(OFFSET($P540,0,BA$13),15-13*ORÇAMENTO!$AF$7)/$H540*OFFSET(ORÇAMENTO!$X$15,ROW(BA540)-ROW(BA$15),0),0)</f>
        <v>0</v>
      </c>
      <c r="BC540" s="215">
        <f ca="1">IF($D540&lt;&gt;"Serviço",0,IF(AND(AUTOEVENTO="Manual",$M540=1),0,IF(OFFSET(CRONOPLE!$F$14,$M540,BC$13)="",10^12,OFFSET(CRONOPLE!$F$14,$M540,BC$13))))</f>
        <v>1000000000000</v>
      </c>
      <c r="BD540" s="215">
        <f ca="1">IF($D540&lt;&gt;"Serviço",0,IF(AND(AUTOEVENTO="Manual",$M540=1),0,IF(OFFSET(CRONOPLE!$F$14,$M540,BD$13)="",10^12,OFFSET(CRONOPLE!$F$14,$M540,BD$13))))</f>
        <v>1000000000000</v>
      </c>
      <c r="BE540" s="215">
        <f ca="1">IF($D540&lt;&gt;"Serviço",0,IF(AND(AUTOEVENTO="Manual",$M540=1),0,IF(OFFSET(CRONOPLE!$F$14,$M540,BE$13)="",10^12,OFFSET(CRONOPLE!$F$14,$M540,BE$13))))</f>
        <v>1000000000000</v>
      </c>
      <c r="BF540" s="215">
        <f ca="1">IF($D540&lt;&gt;"Serviço",0,IF(AND(AUTOEVENTO="Manual",$M540=1),0,IF(OFFSET(CRONOPLE!$F$14,$M540,BF$13)="",10^12,OFFSET(CRONOPLE!$F$14,$M540,BF$13))))</f>
        <v>1000000000000</v>
      </c>
      <c r="BG540" s="215">
        <f ca="1">IF($D540&lt;&gt;"Serviço",0,IF(AND(AUTOEVENTO="Manual",$M540=1),0,IF(OFFSET(CRONOPLE!$F$14,$M540,BG$13)="",10^12,OFFSET(CRONOPLE!$F$14,$M540,BG$13))))</f>
        <v>1000000000000</v>
      </c>
      <c r="BH540" s="215">
        <f ca="1">IF($D540&lt;&gt;"Serviço",0,IF(AND(AUTOEVENTO="Manual",$M540=1),0,IF(OFFSET(CRONOPLE!$F$14,$M540,BH$13)="",10^12,OFFSET(CRONOPLE!$F$14,$M540,BH$13))))</f>
        <v>1000000000000</v>
      </c>
      <c r="BI540" s="215">
        <f ca="1">IF($D540&lt;&gt;"Serviço",0,IF(AND(AUTOEVENTO="Manual",$M540=1),0,IF(OFFSET(CRONOPLE!$F$14,$M540,BI$13)="",10^12,OFFSET(CRONOPLE!$F$14,$M540,BI$13))))</f>
        <v>1000000000000</v>
      </c>
      <c r="BJ540" s="215">
        <f ca="1">IF($D540&lt;&gt;"Serviço",0,IF(AND(AUTOEVENTO="Manual",$M540=1),0,IF(OFFSET(CRONOPLE!$F$14,$M540,BJ$13)="",10^12,OFFSET(CRONOPLE!$F$14,$M540,BJ$13))))</f>
        <v>1000000000000</v>
      </c>
      <c r="BK540" s="215">
        <f ca="1">IF($D540&lt;&gt;"Serviço",0,IF(AND(AUTOEVENTO="Manual",$M540=1),0,IF(OFFSET(CRONOPLE!$F$14,$M540,BK$13)="",10^12,OFFSET(CRONOPLE!$F$14,$M540,BK$13))))</f>
        <v>1000000000000</v>
      </c>
      <c r="BL540" s="215">
        <f ca="1">IF($D540&lt;&gt;"Serviço",0,IF(AND(AUTOEVENTO="Manual",$M540=1),0,IF(OFFSET(CRONOPLE!$F$14,$M540,BL$13)="",10^12,OFFSET(CRONOPLE!$F$14,$M540,BL$13))))</f>
        <v>1000000000000</v>
      </c>
      <c r="BM540" s="215">
        <f ca="1">IF($D540&lt;&gt;"Serviço",0,IF(AND(AUTOEVENTO="Manual",$M540=1),0,IF(OFFSET(CRONOPLE!$F$14,$M540,BM$13)="",10^12,OFFSET(CRONOPLE!$F$14,$M540,BM$13))))</f>
        <v>1000000000000</v>
      </c>
      <c r="BN540" s="215">
        <f ca="1">IF($D540&lt;&gt;"Serviço",0,IF(AND(AUTOEVENTO="Manual",$M540=1),0,IF(OFFSET(CRONOPLE!$F$14,$M540,BN$13)="",10^12,OFFSET(CRONOPLE!$F$14,$M540,BN$13))))</f>
        <v>1000000000000</v>
      </c>
      <c r="BO540" s="215">
        <f ca="1">IF($D540&lt;&gt;"Serviço",0,IF(AND(AUTOEVENTO="Manual",$M540=1),0,IF(OFFSET(CRONOPLE!$F$14,$M540,BO$13)="",10^12,OFFSET(CRONOPLE!$F$14,$M540,BO$13))))</f>
        <v>1000000000000</v>
      </c>
      <c r="BP540" s="215">
        <f ca="1">IF($D540&lt;&gt;"Serviço",0,IF(AND(AUTOEVENTO="Manual",$M540=1),0,IF(OFFSET(CRONOPLE!$F$14,$M540,BP$13)="",10^12,OFFSET(CRONOPLE!$F$14,$M540,BP$13))))</f>
        <v>1000000000000</v>
      </c>
      <c r="BQ540" s="215">
        <f ca="1">IF($D540&lt;&gt;"Serviço",0,IF(AND(AUTOEVENTO="Manual",$M540=1),0,IF(OFFSET(CRONOPLE!$F$14,$M540,BQ$13)="",10^12,OFFSET(CRONOPLE!$F$14,$M540,BQ$13))))</f>
        <v>1000000000000</v>
      </c>
      <c r="BR540" s="215">
        <f ca="1">IF($D540&lt;&gt;"Serviço",0,IF(AND(AUTOEVENTO="Manual",$M540=1),0,IF(OFFSET(CRONOPLE!$F$14,$M540,BR$13)="",10^12,OFFSET(CRONOPLE!$F$14,$M540,BR$13))))</f>
        <v>1000000000000</v>
      </c>
      <c r="BS540" s="215">
        <f ca="1">IF($D540&lt;&gt;"Serviço",0,IF(AND(AUTOEVENTO="Manual",$M540=1),0,IF(OFFSET(CRONOPLE!$F$14,$M540,BS$13)="",10^12,OFFSET(CRONOPLE!$F$14,$M540,BS$13))))</f>
        <v>1000000000000</v>
      </c>
      <c r="BT540" s="215">
        <f ca="1">IF($D540&lt;&gt;"Serviço",0,IF(AND(AUTOEVENTO="Manual",$M540=1),0,IF(OFFSET(CRONOPLE!$F$14,$M540,BT$13)="",10^12,OFFSET(CRONOPLE!$F$14,$M540,BT$13))))</f>
        <v>1000000000000</v>
      </c>
      <c r="BV540" s="216">
        <f ca="1">IF($D540&lt;&gt;"Serviço",0,IF(OR(AND(AUTOEVENTO="Manual",$M540=1),$M540&gt;(ROW(PLE.lastrow)-ROW(PLE.firstrow))),0,IF(OFFSET(PLE!$G$14,$M540,BV$13)="",10^12,OFFSET(PLE!$G$14,$M540,BV$13))))</f>
        <v>1000000000000</v>
      </c>
      <c r="BW540" s="216">
        <f ca="1">IF($D540&lt;&gt;"Serviço",0,IF(OR(AND(AUTOEVENTO="Manual",$M540=1),$M540&gt;(ROW(PLE.lastrow)-ROW(PLE.firstrow))),0,IF(OFFSET(PLE!$G$14,$M540,BW$13)="",10^12,OFFSET(PLE!$G$14,$M540,BW$13))))</f>
        <v>1000000000000</v>
      </c>
      <c r="BX540" s="216">
        <f ca="1">IF($D540&lt;&gt;"Serviço",0,IF(OR(AND(AUTOEVENTO="Manual",$M540=1),$M540&gt;(ROW(PLE.lastrow)-ROW(PLE.firstrow))),0,IF(OFFSET(PLE!$G$14,$M540,BX$13)="",10^12,OFFSET(PLE!$G$14,$M540,BX$13))))</f>
        <v>1000000000000</v>
      </c>
      <c r="BY540" s="216">
        <f ca="1">IF($D540&lt;&gt;"Serviço",0,IF(OR(AND(AUTOEVENTO="Manual",$M540=1),$M540&gt;(ROW(PLE.lastrow)-ROW(PLE.firstrow))),0,IF(OFFSET(PLE!$G$14,$M540,BY$13)="",10^12,OFFSET(PLE!$G$14,$M540,BY$13))))</f>
        <v>1000000000000</v>
      </c>
      <c r="BZ540" s="216">
        <f ca="1">IF($D540&lt;&gt;"Serviço",0,IF(OR(AND(AUTOEVENTO="Manual",$M540=1),$M540&gt;(ROW(PLE.lastrow)-ROW(PLE.firstrow))),0,IF(OFFSET(PLE!$G$14,$M540,BZ$13)="",10^12,OFFSET(PLE!$G$14,$M540,BZ$13))))</f>
        <v>1000000000000</v>
      </c>
      <c r="CA540" s="216">
        <f ca="1">IF($D540&lt;&gt;"Serviço",0,IF(OR(AND(AUTOEVENTO="Manual",$M540=1),$M540&gt;(ROW(PLE.lastrow)-ROW(PLE.firstrow))),0,IF(OFFSET(PLE!$G$14,$M540,CA$13)="",10^12,OFFSET(PLE!$G$14,$M540,CA$13))))</f>
        <v>1000000000000</v>
      </c>
      <c r="CB540" s="216">
        <f ca="1">IF($D540&lt;&gt;"Serviço",0,IF(OR(AND(AUTOEVENTO="Manual",$M540=1),$M540&gt;(ROW(PLE.lastrow)-ROW(PLE.firstrow))),0,IF(OFFSET(PLE!$G$14,$M540,CB$13)="",10^12,OFFSET(PLE!$G$14,$M540,CB$13))))</f>
        <v>1000000000000</v>
      </c>
      <c r="CC540" s="216">
        <f ca="1">IF($D540&lt;&gt;"Serviço",0,IF(OR(AND(AUTOEVENTO="Manual",$M540=1),$M540&gt;(ROW(PLE.lastrow)-ROW(PLE.firstrow))),0,IF(OFFSET(PLE!$G$14,$M540,CC$13)="",10^12,OFFSET(PLE!$G$14,$M540,CC$13))))</f>
        <v>1000000000000</v>
      </c>
      <c r="CD540" s="216">
        <f ca="1">IF($D540&lt;&gt;"Serviço",0,IF(OR(AND(AUTOEVENTO="Manual",$M540=1),$M540&gt;(ROW(PLE.lastrow)-ROW(PLE.firstrow))),0,IF(OFFSET(PLE!$G$14,$M540,CD$13)="",10^12,OFFSET(PLE!$G$14,$M540,CD$13))))</f>
        <v>1000000000000</v>
      </c>
      <c r="CE540" s="216">
        <f ca="1">IF($D540&lt;&gt;"Serviço",0,IF(OR(AND(AUTOEVENTO="Manual",$M540=1),$M540&gt;(ROW(PLE.lastrow)-ROW(PLE.firstrow))),0,IF(OFFSET(PLE!$G$14,$M540,CE$13)="",10^12,OFFSET(PLE!$G$14,$M540,CE$13))))</f>
        <v>1000000000000</v>
      </c>
      <c r="CF540" s="216">
        <f ca="1">IF($D540&lt;&gt;"Serviço",0,IF(OR(AND(AUTOEVENTO="Manual",$M540=1),$M540&gt;(ROW(PLE.lastrow)-ROW(PLE.firstrow))),0,IF(OFFSET(PLE!$G$14,$M540,CF$13)="",10^12,OFFSET(PLE!$G$14,$M540,CF$13))))</f>
        <v>1000000000000</v>
      </c>
      <c r="CG540" s="216">
        <f ca="1">IF($D540&lt;&gt;"Serviço",0,IF(OR(AND(AUTOEVENTO="Manual",$M540=1),$M540&gt;(ROW(PLE.lastrow)-ROW(PLE.firstrow))),0,IF(OFFSET(PLE!$G$14,$M540,CG$13)="",10^12,OFFSET(PLE!$G$14,$M540,CG$13))))</f>
        <v>1000000000000</v>
      </c>
      <c r="CH540" s="216">
        <f ca="1">IF($D540&lt;&gt;"Serviço",0,IF(OR(AND(AUTOEVENTO="Manual",$M540=1),$M540&gt;(ROW(PLE.lastrow)-ROW(PLE.firstrow))),0,IF(OFFSET(PLE!$G$14,$M540,CH$13)="",10^12,OFFSET(PLE!$G$14,$M540,CH$13))))</f>
        <v>1000000000000</v>
      </c>
      <c r="CI540" s="216">
        <f ca="1">IF($D540&lt;&gt;"Serviço",0,IF(OR(AND(AUTOEVENTO="Manual",$M540=1),$M540&gt;(ROW(PLE.lastrow)-ROW(PLE.firstrow))),0,IF(OFFSET(PLE!$G$14,$M540,CI$13)="",10^12,OFFSET(PLE!$G$14,$M540,CI$13))))</f>
        <v>1000000000000</v>
      </c>
      <c r="CJ540" s="216">
        <f ca="1">IF($D540&lt;&gt;"Serviço",0,IF(OR(AND(AUTOEVENTO="Manual",$M540=1),$M540&gt;(ROW(PLE.lastrow)-ROW(PLE.firstrow))),0,IF(OFFSET(PLE!$G$14,$M540,CJ$13)="",10^12,OFFSET(PLE!$G$14,$M540,CJ$13))))</f>
        <v>1000000000000</v>
      </c>
      <c r="CK540" s="216">
        <f ca="1">IF($D540&lt;&gt;"Serviço",0,IF(OR(AND(AUTOEVENTO="Manual",$M540=1),$M540&gt;(ROW(PLE.lastrow)-ROW(PLE.firstrow))),0,IF(OFFSET(PLE!$G$14,$M540,CK$13)="",10^12,OFFSET(PLE!$G$14,$M540,CK$13))))</f>
        <v>1000000000000</v>
      </c>
      <c r="CL540" s="216">
        <f ca="1">IF($D540&lt;&gt;"Serviço",0,IF(OR(AND(AUTOEVENTO="Manual",$M540=1),$M540&gt;(ROW(PLE.lastrow)-ROW(PLE.firstrow))),0,IF(OFFSET(PLE!$G$14,$M540,CL$13)="",10^12,OFFSET(PLE!$G$14,$M540,CL$13))))</f>
        <v>1000000000000</v>
      </c>
      <c r="CM540" s="216">
        <f ca="1">IF($D540&lt;&gt;"Serviço",0,IF(OR(AND(AUTOEVENTO="Manual",$M540=1),$M540&gt;(ROW(PLE.lastrow)-ROW(PLE.firstrow))),0,IF(OFFSET(PLE!$G$14,$M540,CM$13)="",10^12,OFFSET(PLE!$G$14,$M540,CM$13))))</f>
        <v>1000000000000</v>
      </c>
    </row>
    <row r="541" spans="1:91" ht="13.2" x14ac:dyDescent="0.25">
      <c r="A541" s="9">
        <f t="shared" ca="1" si="17"/>
        <v>0</v>
      </c>
      <c r="B541" s="9" t="str">
        <f ca="1">OFFSET(ORÇAMENTO!C$15,ROW(B541)-ROW(B$15),0)</f>
        <v>S</v>
      </c>
      <c r="C541" s="9" t="str">
        <f ca="1">OFFSET(ORÇAMENTO!L$15,ROW(C541)-ROW(C$15),0)</f>
        <v/>
      </c>
      <c r="D541" s="145" t="str">
        <f ca="1">OFFSET(ORÇAMENTO!N$15,ROW(D541)-ROW(D$15),0)</f>
        <v>Serviço</v>
      </c>
      <c r="E541" s="205" t="str">
        <f ca="1">OFFSET(ORÇAMENTO!O$15,ROW(E541)-ROW(E$15),0)</f>
        <v>-</v>
      </c>
      <c r="F541" s="206" t="str">
        <f ca="1">OFFSET(ORÇAMENTO!R$15,ROW(F541)-ROW(F$15),0)</f>
        <v>(abra o arquivo 'Referência 05-2024.xls)</v>
      </c>
      <c r="G541" s="207" t="str">
        <f ca="1">IF($D541&lt;&gt;"Serviço","",OFFSET(ORÇAMENTO!S$15,ROW(G541)-ROW(G$15),0))</f>
        <v>-</v>
      </c>
      <c r="H541" s="151">
        <f ca="1">IF($D541&lt;&gt;"Serviço",0,IF(ACOMPANHAMENTO="BM",ROUND(OFFSET(ORÇAMENTO!AJ$15,ROW(H541)-ROW(H$15),0),15-13*ORÇAMENTO!$AF$7),SUMPRODUCT(($Q$12:$AI$12&lt;&gt;"")*ROUND($Q541:$AI541,15-13*ORÇAMENTO!$AF$7))))</f>
        <v>9</v>
      </c>
      <c r="I541" s="650"/>
      <c r="K541" s="208"/>
      <c r="L541" s="209" t="s">
        <v>257</v>
      </c>
      <c r="M541" s="210">
        <f ca="1">IF($D541&lt;&gt;"Serviço","",IF(AUTOEVENTO="manual",$A541,IF(ISERROR(MATCH($A541,$A$15:OFFSET($A541,-1,0),0)),MAX($M$15:OFFSET(M541,-1,0))+1,INDEX($M$15:OFFSET(M541,-1,0),MATCH($A541,$A$15:OFFSET($A541,-1,0),0)))))</f>
        <v>0</v>
      </c>
      <c r="N541" s="211" t="str">
        <f ca="1">IF($D541&lt;&gt;"Serviço","",IF(AUTOEVENTO="Manual",IF($A541=0,"&lt;-- defina o número do agrupador",OFFSET(EVENTOS!$D$14,$A541,0)),OFFSET($F$15,$A541,0)))</f>
        <v>&lt;-- defina o número do agrupador</v>
      </c>
      <c r="O541" s="212"/>
      <c r="Q541" s="212"/>
      <c r="R541" s="213"/>
      <c r="S541" s="213"/>
      <c r="T541" s="213"/>
      <c r="U541" s="213"/>
      <c r="V541" s="213"/>
      <c r="W541" s="213"/>
      <c r="X541" s="213"/>
      <c r="Y541" s="213"/>
      <c r="Z541" s="214"/>
      <c r="AA541" s="213"/>
      <c r="AB541" s="213"/>
      <c r="AC541" s="213"/>
      <c r="AD541" s="213"/>
      <c r="AE541" s="213"/>
      <c r="AF541" s="213"/>
      <c r="AG541" s="213"/>
      <c r="AH541" s="214"/>
      <c r="AJ541" s="631">
        <f ca="1">IF(AND($D541="Serviço",AJ$12&lt;&gt;0,$H541&gt;0,OR(AUTOEVENTO&lt;&gt;"manual",$M541&lt;&gt;1)),ROUND(OFFSET($P541,0,AJ$13),15-13*ORÇAMENTO!$AF$7)/$H541*OFFSET(ORÇAMENTO!$X$15,ROW(AJ541)-ROW(AJ$15),0),0)</f>
        <v>0</v>
      </c>
      <c r="AK541" s="632">
        <f ca="1">IF(AND($D541="Serviço",AK$12&lt;&gt;0,$H541&gt;0,OR(AUTOEVENTO&lt;&gt;"manual",$M541&lt;&gt;1)),ROUND(OFFSET($P541,0,AK$13),15-13*ORÇAMENTO!$AF$7)/$H541*OFFSET(ORÇAMENTO!$X$15,ROW(AK541)-ROW(AK$15),0),0)</f>
        <v>0</v>
      </c>
      <c r="AL541" s="632">
        <f ca="1">IF(AND($D541="Serviço",AL$12&lt;&gt;0,$H541&gt;0,OR(AUTOEVENTO&lt;&gt;"manual",$M541&lt;&gt;1)),ROUND(OFFSET($P541,0,AL$13),15-13*ORÇAMENTO!$AF$7)/$H541*OFFSET(ORÇAMENTO!$X$15,ROW(AL541)-ROW(AL$15),0),0)</f>
        <v>0</v>
      </c>
      <c r="AM541" s="632">
        <f ca="1">IF(AND($D541="Serviço",AM$12&lt;&gt;0,$H541&gt;0,OR(AUTOEVENTO&lt;&gt;"manual",$M541&lt;&gt;1)),ROUND(OFFSET($P541,0,AM$13),15-13*ORÇAMENTO!$AF$7)/$H541*OFFSET(ORÇAMENTO!$X$15,ROW(AM541)-ROW(AM$15),0),0)</f>
        <v>0</v>
      </c>
      <c r="AN541" s="632">
        <f ca="1">IF(AND($D541="Serviço",AN$12&lt;&gt;0,$H541&gt;0,OR(AUTOEVENTO&lt;&gt;"manual",$M541&lt;&gt;1)),ROUND(OFFSET($P541,0,AN$13),15-13*ORÇAMENTO!$AF$7)/$H541*OFFSET(ORÇAMENTO!$X$15,ROW(AN541)-ROW(AN$15),0),0)</f>
        <v>0</v>
      </c>
      <c r="AO541" s="632">
        <f ca="1">IF(AND($D541="Serviço",AO$12&lt;&gt;0,$H541&gt;0,OR(AUTOEVENTO&lt;&gt;"manual",$M541&lt;&gt;1)),ROUND(OFFSET($P541,0,AO$13),15-13*ORÇAMENTO!$AF$7)/$H541*OFFSET(ORÇAMENTO!$X$15,ROW(AO541)-ROW(AO$15),0),0)</f>
        <v>0</v>
      </c>
      <c r="AP541" s="632">
        <f ca="1">IF(AND($D541="Serviço",AP$12&lt;&gt;0,$H541&gt;0,OR(AUTOEVENTO&lt;&gt;"manual",$M541&lt;&gt;1)),ROUND(OFFSET($P541,0,AP$13),15-13*ORÇAMENTO!$AF$7)/$H541*OFFSET(ORÇAMENTO!$X$15,ROW(AP541)-ROW(AP$15),0),0)</f>
        <v>0</v>
      </c>
      <c r="AQ541" s="632">
        <f ca="1">IF(AND($D541="Serviço",AQ$12&lt;&gt;0,$H541&gt;0,OR(AUTOEVENTO&lt;&gt;"manual",$M541&lt;&gt;1)),ROUND(OFFSET($P541,0,AQ$13),15-13*ORÇAMENTO!$AF$7)/$H541*OFFSET(ORÇAMENTO!$X$15,ROW(AQ541)-ROW(AQ$15),0),0)</f>
        <v>0</v>
      </c>
      <c r="AR541" s="632">
        <f ca="1">IF(AND($D541="Serviço",AR$12&lt;&gt;0,$H541&gt;0,OR(AUTOEVENTO&lt;&gt;"manual",$M541&lt;&gt;1)),ROUND(OFFSET($P541,0,AR$13),15-13*ORÇAMENTO!$AF$7)/$H541*OFFSET(ORÇAMENTO!$X$15,ROW(AR541)-ROW(AR$15),0),0)</f>
        <v>0</v>
      </c>
      <c r="AS541" s="633">
        <f ca="1">IF(AND($D541="Serviço",AS$12&lt;&gt;0,$H541&gt;0,OR(AUTOEVENTO&lt;&gt;"manual",$M541&lt;&gt;1)),ROUND(OFFSET($P541,0,AS$13),15-13*ORÇAMENTO!$AF$7)/$H541*OFFSET(ORÇAMENTO!$X$15,ROW(AS541)-ROW(AS$15),0),0)</f>
        <v>0</v>
      </c>
      <c r="AT541" s="632">
        <f ca="1">IF(AND($D541="Serviço",AT$12&lt;&gt;0,$H541&gt;0,OR(AUTOEVENTO&lt;&gt;"manual",$M541&lt;&gt;1)),ROUND(OFFSET($P541,0,AT$13),15-13*ORÇAMENTO!$AF$7)/$H541*OFFSET(ORÇAMENTO!$X$15,ROW(AT541)-ROW(AT$15),0),0)</f>
        <v>0</v>
      </c>
      <c r="AU541" s="632">
        <f ca="1">IF(AND($D541="Serviço",AU$12&lt;&gt;0,$H541&gt;0,OR(AUTOEVENTO&lt;&gt;"manual",$M541&lt;&gt;1)),ROUND(OFFSET($P541,0,AU$13),15-13*ORÇAMENTO!$AF$7)/$H541*OFFSET(ORÇAMENTO!$X$15,ROW(AU541)-ROW(AU$15),0),0)</f>
        <v>0</v>
      </c>
      <c r="AV541" s="632">
        <f ca="1">IF(AND($D541="Serviço",AV$12&lt;&gt;0,$H541&gt;0,OR(AUTOEVENTO&lt;&gt;"manual",$M541&lt;&gt;1)),ROUND(OFFSET($P541,0,AV$13),15-13*ORÇAMENTO!$AF$7)/$H541*OFFSET(ORÇAMENTO!$X$15,ROW(AV541)-ROW(AV$15),0),0)</f>
        <v>0</v>
      </c>
      <c r="AW541" s="632">
        <f ca="1">IF(AND($D541="Serviço",AW$12&lt;&gt;0,$H541&gt;0,OR(AUTOEVENTO&lt;&gt;"manual",$M541&lt;&gt;1)),ROUND(OFFSET($P541,0,AW$13),15-13*ORÇAMENTO!$AF$7)/$H541*OFFSET(ORÇAMENTO!$X$15,ROW(AW541)-ROW(AW$15),0),0)</f>
        <v>0</v>
      </c>
      <c r="AX541" s="632">
        <f ca="1">IF(AND($D541="Serviço",AX$12&lt;&gt;0,$H541&gt;0,OR(AUTOEVENTO&lt;&gt;"manual",$M541&lt;&gt;1)),ROUND(OFFSET($P541,0,AX$13),15-13*ORÇAMENTO!$AF$7)/$H541*OFFSET(ORÇAMENTO!$X$15,ROW(AX541)-ROW(AX$15),0),0)</f>
        <v>0</v>
      </c>
      <c r="AY541" s="632">
        <f ca="1">IF(AND($D541="Serviço",AY$12&lt;&gt;0,$H541&gt;0,OR(AUTOEVENTO&lt;&gt;"manual",$M541&lt;&gt;1)),ROUND(OFFSET($P541,0,AY$13),15-13*ORÇAMENTO!$AF$7)/$H541*OFFSET(ORÇAMENTO!$X$15,ROW(AY541)-ROW(AY$15),0),0)</f>
        <v>0</v>
      </c>
      <c r="AZ541" s="632">
        <f ca="1">IF(AND($D541="Serviço",AZ$12&lt;&gt;0,$H541&gt;0,OR(AUTOEVENTO&lt;&gt;"manual",$M541&lt;&gt;1)),ROUND(OFFSET($P541,0,AZ$13),15-13*ORÇAMENTO!$AF$7)/$H541*OFFSET(ORÇAMENTO!$X$15,ROW(AZ541)-ROW(AZ$15),0),0)</f>
        <v>0</v>
      </c>
      <c r="BA541" s="633">
        <f ca="1">IF(AND($D541="Serviço",BA$12&lt;&gt;0,$H541&gt;0,OR(AUTOEVENTO&lt;&gt;"manual",$M541&lt;&gt;1)),ROUND(OFFSET($P541,0,BA$13),15-13*ORÇAMENTO!$AF$7)/$H541*OFFSET(ORÇAMENTO!$X$15,ROW(BA541)-ROW(BA$15),0),0)</f>
        <v>0</v>
      </c>
      <c r="BC541" s="215">
        <f ca="1">IF($D541&lt;&gt;"Serviço",0,IF(AND(AUTOEVENTO="Manual",$M541=1),0,IF(OFFSET(CRONOPLE!$F$14,$M541,BC$13)="",10^12,OFFSET(CRONOPLE!$F$14,$M541,BC$13))))</f>
        <v>1000000000000</v>
      </c>
      <c r="BD541" s="215">
        <f ca="1">IF($D541&lt;&gt;"Serviço",0,IF(AND(AUTOEVENTO="Manual",$M541=1),0,IF(OFFSET(CRONOPLE!$F$14,$M541,BD$13)="",10^12,OFFSET(CRONOPLE!$F$14,$M541,BD$13))))</f>
        <v>1000000000000</v>
      </c>
      <c r="BE541" s="215">
        <f ca="1">IF($D541&lt;&gt;"Serviço",0,IF(AND(AUTOEVENTO="Manual",$M541=1),0,IF(OFFSET(CRONOPLE!$F$14,$M541,BE$13)="",10^12,OFFSET(CRONOPLE!$F$14,$M541,BE$13))))</f>
        <v>1000000000000</v>
      </c>
      <c r="BF541" s="215">
        <f ca="1">IF($D541&lt;&gt;"Serviço",0,IF(AND(AUTOEVENTO="Manual",$M541=1),0,IF(OFFSET(CRONOPLE!$F$14,$M541,BF$13)="",10^12,OFFSET(CRONOPLE!$F$14,$M541,BF$13))))</f>
        <v>1000000000000</v>
      </c>
      <c r="BG541" s="215">
        <f ca="1">IF($D541&lt;&gt;"Serviço",0,IF(AND(AUTOEVENTO="Manual",$M541=1),0,IF(OFFSET(CRONOPLE!$F$14,$M541,BG$13)="",10^12,OFFSET(CRONOPLE!$F$14,$M541,BG$13))))</f>
        <v>1000000000000</v>
      </c>
      <c r="BH541" s="215">
        <f ca="1">IF($D541&lt;&gt;"Serviço",0,IF(AND(AUTOEVENTO="Manual",$M541=1),0,IF(OFFSET(CRONOPLE!$F$14,$M541,BH$13)="",10^12,OFFSET(CRONOPLE!$F$14,$M541,BH$13))))</f>
        <v>1000000000000</v>
      </c>
      <c r="BI541" s="215">
        <f ca="1">IF($D541&lt;&gt;"Serviço",0,IF(AND(AUTOEVENTO="Manual",$M541=1),0,IF(OFFSET(CRONOPLE!$F$14,$M541,BI$13)="",10^12,OFFSET(CRONOPLE!$F$14,$M541,BI$13))))</f>
        <v>1000000000000</v>
      </c>
      <c r="BJ541" s="215">
        <f ca="1">IF($D541&lt;&gt;"Serviço",0,IF(AND(AUTOEVENTO="Manual",$M541=1),0,IF(OFFSET(CRONOPLE!$F$14,$M541,BJ$13)="",10^12,OFFSET(CRONOPLE!$F$14,$M541,BJ$13))))</f>
        <v>1000000000000</v>
      </c>
      <c r="BK541" s="215">
        <f ca="1">IF($D541&lt;&gt;"Serviço",0,IF(AND(AUTOEVENTO="Manual",$M541=1),0,IF(OFFSET(CRONOPLE!$F$14,$M541,BK$13)="",10^12,OFFSET(CRONOPLE!$F$14,$M541,BK$13))))</f>
        <v>1000000000000</v>
      </c>
      <c r="BL541" s="215">
        <f ca="1">IF($D541&lt;&gt;"Serviço",0,IF(AND(AUTOEVENTO="Manual",$M541=1),0,IF(OFFSET(CRONOPLE!$F$14,$M541,BL$13)="",10^12,OFFSET(CRONOPLE!$F$14,$M541,BL$13))))</f>
        <v>1000000000000</v>
      </c>
      <c r="BM541" s="215">
        <f ca="1">IF($D541&lt;&gt;"Serviço",0,IF(AND(AUTOEVENTO="Manual",$M541=1),0,IF(OFFSET(CRONOPLE!$F$14,$M541,BM$13)="",10^12,OFFSET(CRONOPLE!$F$14,$M541,BM$13))))</f>
        <v>1000000000000</v>
      </c>
      <c r="BN541" s="215">
        <f ca="1">IF($D541&lt;&gt;"Serviço",0,IF(AND(AUTOEVENTO="Manual",$M541=1),0,IF(OFFSET(CRONOPLE!$F$14,$M541,BN$13)="",10^12,OFFSET(CRONOPLE!$F$14,$M541,BN$13))))</f>
        <v>1000000000000</v>
      </c>
      <c r="BO541" s="215">
        <f ca="1">IF($D541&lt;&gt;"Serviço",0,IF(AND(AUTOEVENTO="Manual",$M541=1),0,IF(OFFSET(CRONOPLE!$F$14,$M541,BO$13)="",10^12,OFFSET(CRONOPLE!$F$14,$M541,BO$13))))</f>
        <v>1000000000000</v>
      </c>
      <c r="BP541" s="215">
        <f ca="1">IF($D541&lt;&gt;"Serviço",0,IF(AND(AUTOEVENTO="Manual",$M541=1),0,IF(OFFSET(CRONOPLE!$F$14,$M541,BP$13)="",10^12,OFFSET(CRONOPLE!$F$14,$M541,BP$13))))</f>
        <v>1000000000000</v>
      </c>
      <c r="BQ541" s="215">
        <f ca="1">IF($D541&lt;&gt;"Serviço",0,IF(AND(AUTOEVENTO="Manual",$M541=1),0,IF(OFFSET(CRONOPLE!$F$14,$M541,BQ$13)="",10^12,OFFSET(CRONOPLE!$F$14,$M541,BQ$13))))</f>
        <v>1000000000000</v>
      </c>
      <c r="BR541" s="215">
        <f ca="1">IF($D541&lt;&gt;"Serviço",0,IF(AND(AUTOEVENTO="Manual",$M541=1),0,IF(OFFSET(CRONOPLE!$F$14,$M541,BR$13)="",10^12,OFFSET(CRONOPLE!$F$14,$M541,BR$13))))</f>
        <v>1000000000000</v>
      </c>
      <c r="BS541" s="215">
        <f ca="1">IF($D541&lt;&gt;"Serviço",0,IF(AND(AUTOEVENTO="Manual",$M541=1),0,IF(OFFSET(CRONOPLE!$F$14,$M541,BS$13)="",10^12,OFFSET(CRONOPLE!$F$14,$M541,BS$13))))</f>
        <v>1000000000000</v>
      </c>
      <c r="BT541" s="215">
        <f ca="1">IF($D541&lt;&gt;"Serviço",0,IF(AND(AUTOEVENTO="Manual",$M541=1),0,IF(OFFSET(CRONOPLE!$F$14,$M541,BT$13)="",10^12,OFFSET(CRONOPLE!$F$14,$M541,BT$13))))</f>
        <v>1000000000000</v>
      </c>
      <c r="BV541" s="216">
        <f ca="1">IF($D541&lt;&gt;"Serviço",0,IF(OR(AND(AUTOEVENTO="Manual",$M541=1),$M541&gt;(ROW(PLE.lastrow)-ROW(PLE.firstrow))),0,IF(OFFSET(PLE!$G$14,$M541,BV$13)="",10^12,OFFSET(PLE!$G$14,$M541,BV$13))))</f>
        <v>1000000000000</v>
      </c>
      <c r="BW541" s="216">
        <f ca="1">IF($D541&lt;&gt;"Serviço",0,IF(OR(AND(AUTOEVENTO="Manual",$M541=1),$M541&gt;(ROW(PLE.lastrow)-ROW(PLE.firstrow))),0,IF(OFFSET(PLE!$G$14,$M541,BW$13)="",10^12,OFFSET(PLE!$G$14,$M541,BW$13))))</f>
        <v>1000000000000</v>
      </c>
      <c r="BX541" s="216">
        <f ca="1">IF($D541&lt;&gt;"Serviço",0,IF(OR(AND(AUTOEVENTO="Manual",$M541=1),$M541&gt;(ROW(PLE.lastrow)-ROW(PLE.firstrow))),0,IF(OFFSET(PLE!$G$14,$M541,BX$13)="",10^12,OFFSET(PLE!$G$14,$M541,BX$13))))</f>
        <v>1000000000000</v>
      </c>
      <c r="BY541" s="216">
        <f ca="1">IF($D541&lt;&gt;"Serviço",0,IF(OR(AND(AUTOEVENTO="Manual",$M541=1),$M541&gt;(ROW(PLE.lastrow)-ROW(PLE.firstrow))),0,IF(OFFSET(PLE!$G$14,$M541,BY$13)="",10^12,OFFSET(PLE!$G$14,$M541,BY$13))))</f>
        <v>1000000000000</v>
      </c>
      <c r="BZ541" s="216">
        <f ca="1">IF($D541&lt;&gt;"Serviço",0,IF(OR(AND(AUTOEVENTO="Manual",$M541=1),$M541&gt;(ROW(PLE.lastrow)-ROW(PLE.firstrow))),0,IF(OFFSET(PLE!$G$14,$M541,BZ$13)="",10^12,OFFSET(PLE!$G$14,$M541,BZ$13))))</f>
        <v>1000000000000</v>
      </c>
      <c r="CA541" s="216">
        <f ca="1">IF($D541&lt;&gt;"Serviço",0,IF(OR(AND(AUTOEVENTO="Manual",$M541=1),$M541&gt;(ROW(PLE.lastrow)-ROW(PLE.firstrow))),0,IF(OFFSET(PLE!$G$14,$M541,CA$13)="",10^12,OFFSET(PLE!$G$14,$M541,CA$13))))</f>
        <v>1000000000000</v>
      </c>
      <c r="CB541" s="216">
        <f ca="1">IF($D541&lt;&gt;"Serviço",0,IF(OR(AND(AUTOEVENTO="Manual",$M541=1),$M541&gt;(ROW(PLE.lastrow)-ROW(PLE.firstrow))),0,IF(OFFSET(PLE!$G$14,$M541,CB$13)="",10^12,OFFSET(PLE!$G$14,$M541,CB$13))))</f>
        <v>1000000000000</v>
      </c>
      <c r="CC541" s="216">
        <f ca="1">IF($D541&lt;&gt;"Serviço",0,IF(OR(AND(AUTOEVENTO="Manual",$M541=1),$M541&gt;(ROW(PLE.lastrow)-ROW(PLE.firstrow))),0,IF(OFFSET(PLE!$G$14,$M541,CC$13)="",10^12,OFFSET(PLE!$G$14,$M541,CC$13))))</f>
        <v>1000000000000</v>
      </c>
      <c r="CD541" s="216">
        <f ca="1">IF($D541&lt;&gt;"Serviço",0,IF(OR(AND(AUTOEVENTO="Manual",$M541=1),$M541&gt;(ROW(PLE.lastrow)-ROW(PLE.firstrow))),0,IF(OFFSET(PLE!$G$14,$M541,CD$13)="",10^12,OFFSET(PLE!$G$14,$M541,CD$13))))</f>
        <v>1000000000000</v>
      </c>
      <c r="CE541" s="216">
        <f ca="1">IF($D541&lt;&gt;"Serviço",0,IF(OR(AND(AUTOEVENTO="Manual",$M541=1),$M541&gt;(ROW(PLE.lastrow)-ROW(PLE.firstrow))),0,IF(OFFSET(PLE!$G$14,$M541,CE$13)="",10^12,OFFSET(PLE!$G$14,$M541,CE$13))))</f>
        <v>1000000000000</v>
      </c>
      <c r="CF541" s="216">
        <f ca="1">IF($D541&lt;&gt;"Serviço",0,IF(OR(AND(AUTOEVENTO="Manual",$M541=1),$M541&gt;(ROW(PLE.lastrow)-ROW(PLE.firstrow))),0,IF(OFFSET(PLE!$G$14,$M541,CF$13)="",10^12,OFFSET(PLE!$G$14,$M541,CF$13))))</f>
        <v>1000000000000</v>
      </c>
      <c r="CG541" s="216">
        <f ca="1">IF($D541&lt;&gt;"Serviço",0,IF(OR(AND(AUTOEVENTO="Manual",$M541=1),$M541&gt;(ROW(PLE.lastrow)-ROW(PLE.firstrow))),0,IF(OFFSET(PLE!$G$14,$M541,CG$13)="",10^12,OFFSET(PLE!$G$14,$M541,CG$13))))</f>
        <v>1000000000000</v>
      </c>
      <c r="CH541" s="216">
        <f ca="1">IF($D541&lt;&gt;"Serviço",0,IF(OR(AND(AUTOEVENTO="Manual",$M541=1),$M541&gt;(ROW(PLE.lastrow)-ROW(PLE.firstrow))),0,IF(OFFSET(PLE!$G$14,$M541,CH$13)="",10^12,OFFSET(PLE!$G$14,$M541,CH$13))))</f>
        <v>1000000000000</v>
      </c>
      <c r="CI541" s="216">
        <f ca="1">IF($D541&lt;&gt;"Serviço",0,IF(OR(AND(AUTOEVENTO="Manual",$M541=1),$M541&gt;(ROW(PLE.lastrow)-ROW(PLE.firstrow))),0,IF(OFFSET(PLE!$G$14,$M541,CI$13)="",10^12,OFFSET(PLE!$G$14,$M541,CI$13))))</f>
        <v>1000000000000</v>
      </c>
      <c r="CJ541" s="216">
        <f ca="1">IF($D541&lt;&gt;"Serviço",0,IF(OR(AND(AUTOEVENTO="Manual",$M541=1),$M541&gt;(ROW(PLE.lastrow)-ROW(PLE.firstrow))),0,IF(OFFSET(PLE!$G$14,$M541,CJ$13)="",10^12,OFFSET(PLE!$G$14,$M541,CJ$13))))</f>
        <v>1000000000000</v>
      </c>
      <c r="CK541" s="216">
        <f ca="1">IF($D541&lt;&gt;"Serviço",0,IF(OR(AND(AUTOEVENTO="Manual",$M541=1),$M541&gt;(ROW(PLE.lastrow)-ROW(PLE.firstrow))),0,IF(OFFSET(PLE!$G$14,$M541,CK$13)="",10^12,OFFSET(PLE!$G$14,$M541,CK$13))))</f>
        <v>1000000000000</v>
      </c>
      <c r="CL541" s="216">
        <f ca="1">IF($D541&lt;&gt;"Serviço",0,IF(OR(AND(AUTOEVENTO="Manual",$M541=1),$M541&gt;(ROW(PLE.lastrow)-ROW(PLE.firstrow))),0,IF(OFFSET(PLE!$G$14,$M541,CL$13)="",10^12,OFFSET(PLE!$G$14,$M541,CL$13))))</f>
        <v>1000000000000</v>
      </c>
      <c r="CM541" s="216">
        <f ca="1">IF($D541&lt;&gt;"Serviço",0,IF(OR(AND(AUTOEVENTO="Manual",$M541=1),$M541&gt;(ROW(PLE.lastrow)-ROW(PLE.firstrow))),0,IF(OFFSET(PLE!$G$14,$M541,CM$13)="",10^12,OFFSET(PLE!$G$14,$M541,CM$13))))</f>
        <v>1000000000000</v>
      </c>
    </row>
    <row r="542" spans="1:91" ht="13.2" x14ac:dyDescent="0.25">
      <c r="A542" s="9">
        <f t="shared" ca="1" si="17"/>
        <v>0</v>
      </c>
      <c r="B542" s="9" t="str">
        <f ca="1">OFFSET(ORÇAMENTO!C$15,ROW(B542)-ROW(B$15),0)</f>
        <v>S</v>
      </c>
      <c r="C542" s="9" t="str">
        <f ca="1">OFFSET(ORÇAMENTO!L$15,ROW(C542)-ROW(C$15),0)</f>
        <v/>
      </c>
      <c r="D542" s="145" t="str">
        <f ca="1">OFFSET(ORÇAMENTO!N$15,ROW(D542)-ROW(D$15),0)</f>
        <v>Serviço</v>
      </c>
      <c r="E542" s="205" t="str">
        <f ca="1">OFFSET(ORÇAMENTO!O$15,ROW(E542)-ROW(E$15),0)</f>
        <v>-</v>
      </c>
      <c r="F542" s="206" t="str">
        <f ca="1">OFFSET(ORÇAMENTO!R$15,ROW(F542)-ROW(F$15),0)</f>
        <v>(abra o arquivo 'Referência 05-2024.xls)</v>
      </c>
      <c r="G542" s="207" t="str">
        <f ca="1">IF($D542&lt;&gt;"Serviço","",OFFSET(ORÇAMENTO!S$15,ROW(G542)-ROW(G$15),0))</f>
        <v>-</v>
      </c>
      <c r="H542" s="151">
        <f ca="1">IF($D542&lt;&gt;"Serviço",0,IF(ACOMPANHAMENTO="BM",ROUND(OFFSET(ORÇAMENTO!AJ$15,ROW(H542)-ROW(H$15),0),15-13*ORÇAMENTO!$AF$7),SUMPRODUCT(($Q$12:$AI$12&lt;&gt;"")*ROUND($Q542:$AI542,15-13*ORÇAMENTO!$AF$7))))</f>
        <v>7</v>
      </c>
      <c r="I542" s="650"/>
      <c r="K542" s="208"/>
      <c r="L542" s="209" t="s">
        <v>257</v>
      </c>
      <c r="M542" s="210">
        <f ca="1">IF($D542&lt;&gt;"Serviço","",IF(AUTOEVENTO="manual",$A542,IF(ISERROR(MATCH($A542,$A$15:OFFSET($A542,-1,0),0)),MAX($M$15:OFFSET(M542,-1,0))+1,INDEX($M$15:OFFSET(M542,-1,0),MATCH($A542,$A$15:OFFSET($A542,-1,0),0)))))</f>
        <v>0</v>
      </c>
      <c r="N542" s="211" t="str">
        <f ca="1">IF($D542&lt;&gt;"Serviço","",IF(AUTOEVENTO="Manual",IF($A542=0,"&lt;-- defina o número do agrupador",OFFSET(EVENTOS!$D$14,$A542,0)),OFFSET($F$15,$A542,0)))</f>
        <v>&lt;-- defina o número do agrupador</v>
      </c>
      <c r="O542" s="212"/>
      <c r="Q542" s="212"/>
      <c r="R542" s="213"/>
      <c r="S542" s="213"/>
      <c r="T542" s="213"/>
      <c r="U542" s="213"/>
      <c r="V542" s="213"/>
      <c r="W542" s="213"/>
      <c r="X542" s="213"/>
      <c r="Y542" s="213"/>
      <c r="Z542" s="214"/>
      <c r="AA542" s="213"/>
      <c r="AB542" s="213"/>
      <c r="AC542" s="213"/>
      <c r="AD542" s="213"/>
      <c r="AE542" s="213"/>
      <c r="AF542" s="213"/>
      <c r="AG542" s="213"/>
      <c r="AH542" s="214"/>
      <c r="AJ542" s="631">
        <f ca="1">IF(AND($D542="Serviço",AJ$12&lt;&gt;0,$H542&gt;0,OR(AUTOEVENTO&lt;&gt;"manual",$M542&lt;&gt;1)),ROUND(OFFSET($P542,0,AJ$13),15-13*ORÇAMENTO!$AF$7)/$H542*OFFSET(ORÇAMENTO!$X$15,ROW(AJ542)-ROW(AJ$15),0),0)</f>
        <v>0</v>
      </c>
      <c r="AK542" s="632">
        <f ca="1">IF(AND($D542="Serviço",AK$12&lt;&gt;0,$H542&gt;0,OR(AUTOEVENTO&lt;&gt;"manual",$M542&lt;&gt;1)),ROUND(OFFSET($P542,0,AK$13),15-13*ORÇAMENTO!$AF$7)/$H542*OFFSET(ORÇAMENTO!$X$15,ROW(AK542)-ROW(AK$15),0),0)</f>
        <v>0</v>
      </c>
      <c r="AL542" s="632">
        <f ca="1">IF(AND($D542="Serviço",AL$12&lt;&gt;0,$H542&gt;0,OR(AUTOEVENTO&lt;&gt;"manual",$M542&lt;&gt;1)),ROUND(OFFSET($P542,0,AL$13),15-13*ORÇAMENTO!$AF$7)/$H542*OFFSET(ORÇAMENTO!$X$15,ROW(AL542)-ROW(AL$15),0),0)</f>
        <v>0</v>
      </c>
      <c r="AM542" s="632">
        <f ca="1">IF(AND($D542="Serviço",AM$12&lt;&gt;0,$H542&gt;0,OR(AUTOEVENTO&lt;&gt;"manual",$M542&lt;&gt;1)),ROUND(OFFSET($P542,0,AM$13),15-13*ORÇAMENTO!$AF$7)/$H542*OFFSET(ORÇAMENTO!$X$15,ROW(AM542)-ROW(AM$15),0),0)</f>
        <v>0</v>
      </c>
      <c r="AN542" s="632">
        <f ca="1">IF(AND($D542="Serviço",AN$12&lt;&gt;0,$H542&gt;0,OR(AUTOEVENTO&lt;&gt;"manual",$M542&lt;&gt;1)),ROUND(OFFSET($P542,0,AN$13),15-13*ORÇAMENTO!$AF$7)/$H542*OFFSET(ORÇAMENTO!$X$15,ROW(AN542)-ROW(AN$15),0),0)</f>
        <v>0</v>
      </c>
      <c r="AO542" s="632">
        <f ca="1">IF(AND($D542="Serviço",AO$12&lt;&gt;0,$H542&gt;0,OR(AUTOEVENTO&lt;&gt;"manual",$M542&lt;&gt;1)),ROUND(OFFSET($P542,0,AO$13),15-13*ORÇAMENTO!$AF$7)/$H542*OFFSET(ORÇAMENTO!$X$15,ROW(AO542)-ROW(AO$15),0),0)</f>
        <v>0</v>
      </c>
      <c r="AP542" s="632">
        <f ca="1">IF(AND($D542="Serviço",AP$12&lt;&gt;0,$H542&gt;0,OR(AUTOEVENTO&lt;&gt;"manual",$M542&lt;&gt;1)),ROUND(OFFSET($P542,0,AP$13),15-13*ORÇAMENTO!$AF$7)/$H542*OFFSET(ORÇAMENTO!$X$15,ROW(AP542)-ROW(AP$15),0),0)</f>
        <v>0</v>
      </c>
      <c r="AQ542" s="632">
        <f ca="1">IF(AND($D542="Serviço",AQ$12&lt;&gt;0,$H542&gt;0,OR(AUTOEVENTO&lt;&gt;"manual",$M542&lt;&gt;1)),ROUND(OFFSET($P542,0,AQ$13),15-13*ORÇAMENTO!$AF$7)/$H542*OFFSET(ORÇAMENTO!$X$15,ROW(AQ542)-ROW(AQ$15),0),0)</f>
        <v>0</v>
      </c>
      <c r="AR542" s="632">
        <f ca="1">IF(AND($D542="Serviço",AR$12&lt;&gt;0,$H542&gt;0,OR(AUTOEVENTO&lt;&gt;"manual",$M542&lt;&gt;1)),ROUND(OFFSET($P542,0,AR$13),15-13*ORÇAMENTO!$AF$7)/$H542*OFFSET(ORÇAMENTO!$X$15,ROW(AR542)-ROW(AR$15),0),0)</f>
        <v>0</v>
      </c>
      <c r="AS542" s="633">
        <f ca="1">IF(AND($D542="Serviço",AS$12&lt;&gt;0,$H542&gt;0,OR(AUTOEVENTO&lt;&gt;"manual",$M542&lt;&gt;1)),ROUND(OFFSET($P542,0,AS$13),15-13*ORÇAMENTO!$AF$7)/$H542*OFFSET(ORÇAMENTO!$X$15,ROW(AS542)-ROW(AS$15),0),0)</f>
        <v>0</v>
      </c>
      <c r="AT542" s="632">
        <f ca="1">IF(AND($D542="Serviço",AT$12&lt;&gt;0,$H542&gt;0,OR(AUTOEVENTO&lt;&gt;"manual",$M542&lt;&gt;1)),ROUND(OFFSET($P542,0,AT$13),15-13*ORÇAMENTO!$AF$7)/$H542*OFFSET(ORÇAMENTO!$X$15,ROW(AT542)-ROW(AT$15),0),0)</f>
        <v>0</v>
      </c>
      <c r="AU542" s="632">
        <f ca="1">IF(AND($D542="Serviço",AU$12&lt;&gt;0,$H542&gt;0,OR(AUTOEVENTO&lt;&gt;"manual",$M542&lt;&gt;1)),ROUND(OFFSET($P542,0,AU$13),15-13*ORÇAMENTO!$AF$7)/$H542*OFFSET(ORÇAMENTO!$X$15,ROW(AU542)-ROW(AU$15),0),0)</f>
        <v>0</v>
      </c>
      <c r="AV542" s="632">
        <f ca="1">IF(AND($D542="Serviço",AV$12&lt;&gt;0,$H542&gt;0,OR(AUTOEVENTO&lt;&gt;"manual",$M542&lt;&gt;1)),ROUND(OFFSET($P542,0,AV$13),15-13*ORÇAMENTO!$AF$7)/$H542*OFFSET(ORÇAMENTO!$X$15,ROW(AV542)-ROW(AV$15),0),0)</f>
        <v>0</v>
      </c>
      <c r="AW542" s="632">
        <f ca="1">IF(AND($D542="Serviço",AW$12&lt;&gt;0,$H542&gt;0,OR(AUTOEVENTO&lt;&gt;"manual",$M542&lt;&gt;1)),ROUND(OFFSET($P542,0,AW$13),15-13*ORÇAMENTO!$AF$7)/$H542*OFFSET(ORÇAMENTO!$X$15,ROW(AW542)-ROW(AW$15),0),0)</f>
        <v>0</v>
      </c>
      <c r="AX542" s="632">
        <f ca="1">IF(AND($D542="Serviço",AX$12&lt;&gt;0,$H542&gt;0,OR(AUTOEVENTO&lt;&gt;"manual",$M542&lt;&gt;1)),ROUND(OFFSET($P542,0,AX$13),15-13*ORÇAMENTO!$AF$7)/$H542*OFFSET(ORÇAMENTO!$X$15,ROW(AX542)-ROW(AX$15),0),0)</f>
        <v>0</v>
      </c>
      <c r="AY542" s="632">
        <f ca="1">IF(AND($D542="Serviço",AY$12&lt;&gt;0,$H542&gt;0,OR(AUTOEVENTO&lt;&gt;"manual",$M542&lt;&gt;1)),ROUND(OFFSET($P542,0,AY$13),15-13*ORÇAMENTO!$AF$7)/$H542*OFFSET(ORÇAMENTO!$X$15,ROW(AY542)-ROW(AY$15),0),0)</f>
        <v>0</v>
      </c>
      <c r="AZ542" s="632">
        <f ca="1">IF(AND($D542="Serviço",AZ$12&lt;&gt;0,$H542&gt;0,OR(AUTOEVENTO&lt;&gt;"manual",$M542&lt;&gt;1)),ROUND(OFFSET($P542,0,AZ$13),15-13*ORÇAMENTO!$AF$7)/$H542*OFFSET(ORÇAMENTO!$X$15,ROW(AZ542)-ROW(AZ$15),0),0)</f>
        <v>0</v>
      </c>
      <c r="BA542" s="633">
        <f ca="1">IF(AND($D542="Serviço",BA$12&lt;&gt;0,$H542&gt;0,OR(AUTOEVENTO&lt;&gt;"manual",$M542&lt;&gt;1)),ROUND(OFFSET($P542,0,BA$13),15-13*ORÇAMENTO!$AF$7)/$H542*OFFSET(ORÇAMENTO!$X$15,ROW(BA542)-ROW(BA$15),0),0)</f>
        <v>0</v>
      </c>
      <c r="BC542" s="215">
        <f ca="1">IF($D542&lt;&gt;"Serviço",0,IF(AND(AUTOEVENTO="Manual",$M542=1),0,IF(OFFSET(CRONOPLE!$F$14,$M542,BC$13)="",10^12,OFFSET(CRONOPLE!$F$14,$M542,BC$13))))</f>
        <v>1000000000000</v>
      </c>
      <c r="BD542" s="215">
        <f ca="1">IF($D542&lt;&gt;"Serviço",0,IF(AND(AUTOEVENTO="Manual",$M542=1),0,IF(OFFSET(CRONOPLE!$F$14,$M542,BD$13)="",10^12,OFFSET(CRONOPLE!$F$14,$M542,BD$13))))</f>
        <v>1000000000000</v>
      </c>
      <c r="BE542" s="215">
        <f ca="1">IF($D542&lt;&gt;"Serviço",0,IF(AND(AUTOEVENTO="Manual",$M542=1),0,IF(OFFSET(CRONOPLE!$F$14,$M542,BE$13)="",10^12,OFFSET(CRONOPLE!$F$14,$M542,BE$13))))</f>
        <v>1000000000000</v>
      </c>
      <c r="BF542" s="215">
        <f ca="1">IF($D542&lt;&gt;"Serviço",0,IF(AND(AUTOEVENTO="Manual",$M542=1),0,IF(OFFSET(CRONOPLE!$F$14,$M542,BF$13)="",10^12,OFFSET(CRONOPLE!$F$14,$M542,BF$13))))</f>
        <v>1000000000000</v>
      </c>
      <c r="BG542" s="215">
        <f ca="1">IF($D542&lt;&gt;"Serviço",0,IF(AND(AUTOEVENTO="Manual",$M542=1),0,IF(OFFSET(CRONOPLE!$F$14,$M542,BG$13)="",10^12,OFFSET(CRONOPLE!$F$14,$M542,BG$13))))</f>
        <v>1000000000000</v>
      </c>
      <c r="BH542" s="215">
        <f ca="1">IF($D542&lt;&gt;"Serviço",0,IF(AND(AUTOEVENTO="Manual",$M542=1),0,IF(OFFSET(CRONOPLE!$F$14,$M542,BH$13)="",10^12,OFFSET(CRONOPLE!$F$14,$M542,BH$13))))</f>
        <v>1000000000000</v>
      </c>
      <c r="BI542" s="215">
        <f ca="1">IF($D542&lt;&gt;"Serviço",0,IF(AND(AUTOEVENTO="Manual",$M542=1),0,IF(OFFSET(CRONOPLE!$F$14,$M542,BI$13)="",10^12,OFFSET(CRONOPLE!$F$14,$M542,BI$13))))</f>
        <v>1000000000000</v>
      </c>
      <c r="BJ542" s="215">
        <f ca="1">IF($D542&lt;&gt;"Serviço",0,IF(AND(AUTOEVENTO="Manual",$M542=1),0,IF(OFFSET(CRONOPLE!$F$14,$M542,BJ$13)="",10^12,OFFSET(CRONOPLE!$F$14,$M542,BJ$13))))</f>
        <v>1000000000000</v>
      </c>
      <c r="BK542" s="215">
        <f ca="1">IF($D542&lt;&gt;"Serviço",0,IF(AND(AUTOEVENTO="Manual",$M542=1),0,IF(OFFSET(CRONOPLE!$F$14,$M542,BK$13)="",10^12,OFFSET(CRONOPLE!$F$14,$M542,BK$13))))</f>
        <v>1000000000000</v>
      </c>
      <c r="BL542" s="215">
        <f ca="1">IF($D542&lt;&gt;"Serviço",0,IF(AND(AUTOEVENTO="Manual",$M542=1),0,IF(OFFSET(CRONOPLE!$F$14,$M542,BL$13)="",10^12,OFFSET(CRONOPLE!$F$14,$M542,BL$13))))</f>
        <v>1000000000000</v>
      </c>
      <c r="BM542" s="215">
        <f ca="1">IF($D542&lt;&gt;"Serviço",0,IF(AND(AUTOEVENTO="Manual",$M542=1),0,IF(OFFSET(CRONOPLE!$F$14,$M542,BM$13)="",10^12,OFFSET(CRONOPLE!$F$14,$M542,BM$13))))</f>
        <v>1000000000000</v>
      </c>
      <c r="BN542" s="215">
        <f ca="1">IF($D542&lt;&gt;"Serviço",0,IF(AND(AUTOEVENTO="Manual",$M542=1),0,IF(OFFSET(CRONOPLE!$F$14,$M542,BN$13)="",10^12,OFFSET(CRONOPLE!$F$14,$M542,BN$13))))</f>
        <v>1000000000000</v>
      </c>
      <c r="BO542" s="215">
        <f ca="1">IF($D542&lt;&gt;"Serviço",0,IF(AND(AUTOEVENTO="Manual",$M542=1),0,IF(OFFSET(CRONOPLE!$F$14,$M542,BO$13)="",10^12,OFFSET(CRONOPLE!$F$14,$M542,BO$13))))</f>
        <v>1000000000000</v>
      </c>
      <c r="BP542" s="215">
        <f ca="1">IF($D542&lt;&gt;"Serviço",0,IF(AND(AUTOEVENTO="Manual",$M542=1),0,IF(OFFSET(CRONOPLE!$F$14,$M542,BP$13)="",10^12,OFFSET(CRONOPLE!$F$14,$M542,BP$13))))</f>
        <v>1000000000000</v>
      </c>
      <c r="BQ542" s="215">
        <f ca="1">IF($D542&lt;&gt;"Serviço",0,IF(AND(AUTOEVENTO="Manual",$M542=1),0,IF(OFFSET(CRONOPLE!$F$14,$M542,BQ$13)="",10^12,OFFSET(CRONOPLE!$F$14,$M542,BQ$13))))</f>
        <v>1000000000000</v>
      </c>
      <c r="BR542" s="215">
        <f ca="1">IF($D542&lt;&gt;"Serviço",0,IF(AND(AUTOEVENTO="Manual",$M542=1),0,IF(OFFSET(CRONOPLE!$F$14,$M542,BR$13)="",10^12,OFFSET(CRONOPLE!$F$14,$M542,BR$13))))</f>
        <v>1000000000000</v>
      </c>
      <c r="BS542" s="215">
        <f ca="1">IF($D542&lt;&gt;"Serviço",0,IF(AND(AUTOEVENTO="Manual",$M542=1),0,IF(OFFSET(CRONOPLE!$F$14,$M542,BS$13)="",10^12,OFFSET(CRONOPLE!$F$14,$M542,BS$13))))</f>
        <v>1000000000000</v>
      </c>
      <c r="BT542" s="215">
        <f ca="1">IF($D542&lt;&gt;"Serviço",0,IF(AND(AUTOEVENTO="Manual",$M542=1),0,IF(OFFSET(CRONOPLE!$F$14,$M542,BT$13)="",10^12,OFFSET(CRONOPLE!$F$14,$M542,BT$13))))</f>
        <v>1000000000000</v>
      </c>
      <c r="BV542" s="216">
        <f ca="1">IF($D542&lt;&gt;"Serviço",0,IF(OR(AND(AUTOEVENTO="Manual",$M542=1),$M542&gt;(ROW(PLE.lastrow)-ROW(PLE.firstrow))),0,IF(OFFSET(PLE!$G$14,$M542,BV$13)="",10^12,OFFSET(PLE!$G$14,$M542,BV$13))))</f>
        <v>1000000000000</v>
      </c>
      <c r="BW542" s="216">
        <f ca="1">IF($D542&lt;&gt;"Serviço",0,IF(OR(AND(AUTOEVENTO="Manual",$M542=1),$M542&gt;(ROW(PLE.lastrow)-ROW(PLE.firstrow))),0,IF(OFFSET(PLE!$G$14,$M542,BW$13)="",10^12,OFFSET(PLE!$G$14,$M542,BW$13))))</f>
        <v>1000000000000</v>
      </c>
      <c r="BX542" s="216">
        <f ca="1">IF($D542&lt;&gt;"Serviço",0,IF(OR(AND(AUTOEVENTO="Manual",$M542=1),$M542&gt;(ROW(PLE.lastrow)-ROW(PLE.firstrow))),0,IF(OFFSET(PLE!$G$14,$M542,BX$13)="",10^12,OFFSET(PLE!$G$14,$M542,BX$13))))</f>
        <v>1000000000000</v>
      </c>
      <c r="BY542" s="216">
        <f ca="1">IF($D542&lt;&gt;"Serviço",0,IF(OR(AND(AUTOEVENTO="Manual",$M542=1),$M542&gt;(ROW(PLE.lastrow)-ROW(PLE.firstrow))),0,IF(OFFSET(PLE!$G$14,$M542,BY$13)="",10^12,OFFSET(PLE!$G$14,$M542,BY$13))))</f>
        <v>1000000000000</v>
      </c>
      <c r="BZ542" s="216">
        <f ca="1">IF($D542&lt;&gt;"Serviço",0,IF(OR(AND(AUTOEVENTO="Manual",$M542=1),$M542&gt;(ROW(PLE.lastrow)-ROW(PLE.firstrow))),0,IF(OFFSET(PLE!$G$14,$M542,BZ$13)="",10^12,OFFSET(PLE!$G$14,$M542,BZ$13))))</f>
        <v>1000000000000</v>
      </c>
      <c r="CA542" s="216">
        <f ca="1">IF($D542&lt;&gt;"Serviço",0,IF(OR(AND(AUTOEVENTO="Manual",$M542=1),$M542&gt;(ROW(PLE.lastrow)-ROW(PLE.firstrow))),0,IF(OFFSET(PLE!$G$14,$M542,CA$13)="",10^12,OFFSET(PLE!$G$14,$M542,CA$13))))</f>
        <v>1000000000000</v>
      </c>
      <c r="CB542" s="216">
        <f ca="1">IF($D542&lt;&gt;"Serviço",0,IF(OR(AND(AUTOEVENTO="Manual",$M542=1),$M542&gt;(ROW(PLE.lastrow)-ROW(PLE.firstrow))),0,IF(OFFSET(PLE!$G$14,$M542,CB$13)="",10^12,OFFSET(PLE!$G$14,$M542,CB$13))))</f>
        <v>1000000000000</v>
      </c>
      <c r="CC542" s="216">
        <f ca="1">IF($D542&lt;&gt;"Serviço",0,IF(OR(AND(AUTOEVENTO="Manual",$M542=1),$M542&gt;(ROW(PLE.lastrow)-ROW(PLE.firstrow))),0,IF(OFFSET(PLE!$G$14,$M542,CC$13)="",10^12,OFFSET(PLE!$G$14,$M542,CC$13))))</f>
        <v>1000000000000</v>
      </c>
      <c r="CD542" s="216">
        <f ca="1">IF($D542&lt;&gt;"Serviço",0,IF(OR(AND(AUTOEVENTO="Manual",$M542=1),$M542&gt;(ROW(PLE.lastrow)-ROW(PLE.firstrow))),0,IF(OFFSET(PLE!$G$14,$M542,CD$13)="",10^12,OFFSET(PLE!$G$14,$M542,CD$13))))</f>
        <v>1000000000000</v>
      </c>
      <c r="CE542" s="216">
        <f ca="1">IF($D542&lt;&gt;"Serviço",0,IF(OR(AND(AUTOEVENTO="Manual",$M542=1),$M542&gt;(ROW(PLE.lastrow)-ROW(PLE.firstrow))),0,IF(OFFSET(PLE!$G$14,$M542,CE$13)="",10^12,OFFSET(PLE!$G$14,$M542,CE$13))))</f>
        <v>1000000000000</v>
      </c>
      <c r="CF542" s="216">
        <f ca="1">IF($D542&lt;&gt;"Serviço",0,IF(OR(AND(AUTOEVENTO="Manual",$M542=1),$M542&gt;(ROW(PLE.lastrow)-ROW(PLE.firstrow))),0,IF(OFFSET(PLE!$G$14,$M542,CF$13)="",10^12,OFFSET(PLE!$G$14,$M542,CF$13))))</f>
        <v>1000000000000</v>
      </c>
      <c r="CG542" s="216">
        <f ca="1">IF($D542&lt;&gt;"Serviço",0,IF(OR(AND(AUTOEVENTO="Manual",$M542=1),$M542&gt;(ROW(PLE.lastrow)-ROW(PLE.firstrow))),0,IF(OFFSET(PLE!$G$14,$M542,CG$13)="",10^12,OFFSET(PLE!$G$14,$M542,CG$13))))</f>
        <v>1000000000000</v>
      </c>
      <c r="CH542" s="216">
        <f ca="1">IF($D542&lt;&gt;"Serviço",0,IF(OR(AND(AUTOEVENTO="Manual",$M542=1),$M542&gt;(ROW(PLE.lastrow)-ROW(PLE.firstrow))),0,IF(OFFSET(PLE!$G$14,$M542,CH$13)="",10^12,OFFSET(PLE!$G$14,$M542,CH$13))))</f>
        <v>1000000000000</v>
      </c>
      <c r="CI542" s="216">
        <f ca="1">IF($D542&lt;&gt;"Serviço",0,IF(OR(AND(AUTOEVENTO="Manual",$M542=1),$M542&gt;(ROW(PLE.lastrow)-ROW(PLE.firstrow))),0,IF(OFFSET(PLE!$G$14,$M542,CI$13)="",10^12,OFFSET(PLE!$G$14,$M542,CI$13))))</f>
        <v>1000000000000</v>
      </c>
      <c r="CJ542" s="216">
        <f ca="1">IF($D542&lt;&gt;"Serviço",0,IF(OR(AND(AUTOEVENTO="Manual",$M542=1),$M542&gt;(ROW(PLE.lastrow)-ROW(PLE.firstrow))),0,IF(OFFSET(PLE!$G$14,$M542,CJ$13)="",10^12,OFFSET(PLE!$G$14,$M542,CJ$13))))</f>
        <v>1000000000000</v>
      </c>
      <c r="CK542" s="216">
        <f ca="1">IF($D542&lt;&gt;"Serviço",0,IF(OR(AND(AUTOEVENTO="Manual",$M542=1),$M542&gt;(ROW(PLE.lastrow)-ROW(PLE.firstrow))),0,IF(OFFSET(PLE!$G$14,$M542,CK$13)="",10^12,OFFSET(PLE!$G$14,$M542,CK$13))))</f>
        <v>1000000000000</v>
      </c>
      <c r="CL542" s="216">
        <f ca="1">IF($D542&lt;&gt;"Serviço",0,IF(OR(AND(AUTOEVENTO="Manual",$M542=1),$M542&gt;(ROW(PLE.lastrow)-ROW(PLE.firstrow))),0,IF(OFFSET(PLE!$G$14,$M542,CL$13)="",10^12,OFFSET(PLE!$G$14,$M542,CL$13))))</f>
        <v>1000000000000</v>
      </c>
      <c r="CM542" s="216">
        <f ca="1">IF($D542&lt;&gt;"Serviço",0,IF(OR(AND(AUTOEVENTO="Manual",$M542=1),$M542&gt;(ROW(PLE.lastrow)-ROW(PLE.firstrow))),0,IF(OFFSET(PLE!$G$14,$M542,CM$13)="",10^12,OFFSET(PLE!$G$14,$M542,CM$13))))</f>
        <v>1000000000000</v>
      </c>
    </row>
    <row r="543" spans="1:91" ht="13.2" x14ac:dyDescent="0.25">
      <c r="A543" s="9">
        <f t="shared" ca="1" si="17"/>
        <v>0</v>
      </c>
      <c r="B543" s="9" t="str">
        <f ca="1">OFFSET(ORÇAMENTO!C$15,ROW(B543)-ROW(B$15),0)</f>
        <v>S</v>
      </c>
      <c r="C543" s="9" t="str">
        <f ca="1">OFFSET(ORÇAMENTO!L$15,ROW(C543)-ROW(C$15),0)</f>
        <v/>
      </c>
      <c r="D543" s="145" t="str">
        <f ca="1">OFFSET(ORÇAMENTO!N$15,ROW(D543)-ROW(D$15),0)</f>
        <v>Serviço</v>
      </c>
      <c r="E543" s="205" t="str">
        <f ca="1">OFFSET(ORÇAMENTO!O$15,ROW(E543)-ROW(E$15),0)</f>
        <v>-</v>
      </c>
      <c r="F543" s="206" t="str">
        <f ca="1">OFFSET(ORÇAMENTO!R$15,ROW(F543)-ROW(F$15),0)</f>
        <v>(abra o arquivo 'Referência 05-2024.xls)</v>
      </c>
      <c r="G543" s="207" t="str">
        <f ca="1">IF($D543&lt;&gt;"Serviço","",OFFSET(ORÇAMENTO!S$15,ROW(G543)-ROW(G$15),0))</f>
        <v>-</v>
      </c>
      <c r="H543" s="151">
        <f ca="1">IF($D543&lt;&gt;"Serviço",0,IF(ACOMPANHAMENTO="BM",ROUND(OFFSET(ORÇAMENTO!AJ$15,ROW(H543)-ROW(H$15),0),15-13*ORÇAMENTO!$AF$7),SUMPRODUCT(($Q$12:$AI$12&lt;&gt;"")*ROUND($Q543:$AI543,15-13*ORÇAMENTO!$AF$7))))</f>
        <v>4</v>
      </c>
      <c r="I543" s="650"/>
      <c r="K543" s="208"/>
      <c r="L543" s="209" t="s">
        <v>257</v>
      </c>
      <c r="M543" s="210">
        <f ca="1">IF($D543&lt;&gt;"Serviço","",IF(AUTOEVENTO="manual",$A543,IF(ISERROR(MATCH($A543,$A$15:OFFSET($A543,-1,0),0)),MAX($M$15:OFFSET(M543,-1,0))+1,INDEX($M$15:OFFSET(M543,-1,0),MATCH($A543,$A$15:OFFSET($A543,-1,0),0)))))</f>
        <v>0</v>
      </c>
      <c r="N543" s="211" t="str">
        <f ca="1">IF($D543&lt;&gt;"Serviço","",IF(AUTOEVENTO="Manual",IF($A543=0,"&lt;-- defina o número do agrupador",OFFSET(EVENTOS!$D$14,$A543,0)),OFFSET($F$15,$A543,0)))</f>
        <v>&lt;-- defina o número do agrupador</v>
      </c>
      <c r="O543" s="212"/>
      <c r="Q543" s="212"/>
      <c r="R543" s="213"/>
      <c r="S543" s="213"/>
      <c r="T543" s="213"/>
      <c r="U543" s="213"/>
      <c r="V543" s="213"/>
      <c r="W543" s="213"/>
      <c r="X543" s="213"/>
      <c r="Y543" s="213"/>
      <c r="Z543" s="214"/>
      <c r="AA543" s="213"/>
      <c r="AB543" s="213"/>
      <c r="AC543" s="213"/>
      <c r="AD543" s="213"/>
      <c r="AE543" s="213"/>
      <c r="AF543" s="213"/>
      <c r="AG543" s="213"/>
      <c r="AH543" s="214"/>
      <c r="AJ543" s="631">
        <f ca="1">IF(AND($D543="Serviço",AJ$12&lt;&gt;0,$H543&gt;0,OR(AUTOEVENTO&lt;&gt;"manual",$M543&lt;&gt;1)),ROUND(OFFSET($P543,0,AJ$13),15-13*ORÇAMENTO!$AF$7)/$H543*OFFSET(ORÇAMENTO!$X$15,ROW(AJ543)-ROW(AJ$15),0),0)</f>
        <v>0</v>
      </c>
      <c r="AK543" s="632">
        <f ca="1">IF(AND($D543="Serviço",AK$12&lt;&gt;0,$H543&gt;0,OR(AUTOEVENTO&lt;&gt;"manual",$M543&lt;&gt;1)),ROUND(OFFSET($P543,0,AK$13),15-13*ORÇAMENTO!$AF$7)/$H543*OFFSET(ORÇAMENTO!$X$15,ROW(AK543)-ROW(AK$15),0),0)</f>
        <v>0</v>
      </c>
      <c r="AL543" s="632">
        <f ca="1">IF(AND($D543="Serviço",AL$12&lt;&gt;0,$H543&gt;0,OR(AUTOEVENTO&lt;&gt;"manual",$M543&lt;&gt;1)),ROUND(OFFSET($P543,0,AL$13),15-13*ORÇAMENTO!$AF$7)/$H543*OFFSET(ORÇAMENTO!$X$15,ROW(AL543)-ROW(AL$15),0),0)</f>
        <v>0</v>
      </c>
      <c r="AM543" s="632">
        <f ca="1">IF(AND($D543="Serviço",AM$12&lt;&gt;0,$H543&gt;0,OR(AUTOEVENTO&lt;&gt;"manual",$M543&lt;&gt;1)),ROUND(OFFSET($P543,0,AM$13),15-13*ORÇAMENTO!$AF$7)/$H543*OFFSET(ORÇAMENTO!$X$15,ROW(AM543)-ROW(AM$15),0),0)</f>
        <v>0</v>
      </c>
      <c r="AN543" s="632">
        <f ca="1">IF(AND($D543="Serviço",AN$12&lt;&gt;0,$H543&gt;0,OR(AUTOEVENTO&lt;&gt;"manual",$M543&lt;&gt;1)),ROUND(OFFSET($P543,0,AN$13),15-13*ORÇAMENTO!$AF$7)/$H543*OFFSET(ORÇAMENTO!$X$15,ROW(AN543)-ROW(AN$15),0),0)</f>
        <v>0</v>
      </c>
      <c r="AO543" s="632">
        <f ca="1">IF(AND($D543="Serviço",AO$12&lt;&gt;0,$H543&gt;0,OR(AUTOEVENTO&lt;&gt;"manual",$M543&lt;&gt;1)),ROUND(OFFSET($P543,0,AO$13),15-13*ORÇAMENTO!$AF$7)/$H543*OFFSET(ORÇAMENTO!$X$15,ROW(AO543)-ROW(AO$15),0),0)</f>
        <v>0</v>
      </c>
      <c r="AP543" s="632">
        <f ca="1">IF(AND($D543="Serviço",AP$12&lt;&gt;0,$H543&gt;0,OR(AUTOEVENTO&lt;&gt;"manual",$M543&lt;&gt;1)),ROUND(OFFSET($P543,0,AP$13),15-13*ORÇAMENTO!$AF$7)/$H543*OFFSET(ORÇAMENTO!$X$15,ROW(AP543)-ROW(AP$15),0),0)</f>
        <v>0</v>
      </c>
      <c r="AQ543" s="632">
        <f ca="1">IF(AND($D543="Serviço",AQ$12&lt;&gt;0,$H543&gt;0,OR(AUTOEVENTO&lt;&gt;"manual",$M543&lt;&gt;1)),ROUND(OFFSET($P543,0,AQ$13),15-13*ORÇAMENTO!$AF$7)/$H543*OFFSET(ORÇAMENTO!$X$15,ROW(AQ543)-ROW(AQ$15),0),0)</f>
        <v>0</v>
      </c>
      <c r="AR543" s="632">
        <f ca="1">IF(AND($D543="Serviço",AR$12&lt;&gt;0,$H543&gt;0,OR(AUTOEVENTO&lt;&gt;"manual",$M543&lt;&gt;1)),ROUND(OFFSET($P543,0,AR$13),15-13*ORÇAMENTO!$AF$7)/$H543*OFFSET(ORÇAMENTO!$X$15,ROW(AR543)-ROW(AR$15),0),0)</f>
        <v>0</v>
      </c>
      <c r="AS543" s="633">
        <f ca="1">IF(AND($D543="Serviço",AS$12&lt;&gt;0,$H543&gt;0,OR(AUTOEVENTO&lt;&gt;"manual",$M543&lt;&gt;1)),ROUND(OFFSET($P543,0,AS$13),15-13*ORÇAMENTO!$AF$7)/$H543*OFFSET(ORÇAMENTO!$X$15,ROW(AS543)-ROW(AS$15),0),0)</f>
        <v>0</v>
      </c>
      <c r="AT543" s="632">
        <f ca="1">IF(AND($D543="Serviço",AT$12&lt;&gt;0,$H543&gt;0,OR(AUTOEVENTO&lt;&gt;"manual",$M543&lt;&gt;1)),ROUND(OFFSET($P543,0,AT$13),15-13*ORÇAMENTO!$AF$7)/$H543*OFFSET(ORÇAMENTO!$X$15,ROW(AT543)-ROW(AT$15),0),0)</f>
        <v>0</v>
      </c>
      <c r="AU543" s="632">
        <f ca="1">IF(AND($D543="Serviço",AU$12&lt;&gt;0,$H543&gt;0,OR(AUTOEVENTO&lt;&gt;"manual",$M543&lt;&gt;1)),ROUND(OFFSET($P543,0,AU$13),15-13*ORÇAMENTO!$AF$7)/$H543*OFFSET(ORÇAMENTO!$X$15,ROW(AU543)-ROW(AU$15),0),0)</f>
        <v>0</v>
      </c>
      <c r="AV543" s="632">
        <f ca="1">IF(AND($D543="Serviço",AV$12&lt;&gt;0,$H543&gt;0,OR(AUTOEVENTO&lt;&gt;"manual",$M543&lt;&gt;1)),ROUND(OFFSET($P543,0,AV$13),15-13*ORÇAMENTO!$AF$7)/$H543*OFFSET(ORÇAMENTO!$X$15,ROW(AV543)-ROW(AV$15),0),0)</f>
        <v>0</v>
      </c>
      <c r="AW543" s="632">
        <f ca="1">IF(AND($D543="Serviço",AW$12&lt;&gt;0,$H543&gt;0,OR(AUTOEVENTO&lt;&gt;"manual",$M543&lt;&gt;1)),ROUND(OFFSET($P543,0,AW$13),15-13*ORÇAMENTO!$AF$7)/$H543*OFFSET(ORÇAMENTO!$X$15,ROW(AW543)-ROW(AW$15),0),0)</f>
        <v>0</v>
      </c>
      <c r="AX543" s="632">
        <f ca="1">IF(AND($D543="Serviço",AX$12&lt;&gt;0,$H543&gt;0,OR(AUTOEVENTO&lt;&gt;"manual",$M543&lt;&gt;1)),ROUND(OFFSET($P543,0,AX$13),15-13*ORÇAMENTO!$AF$7)/$H543*OFFSET(ORÇAMENTO!$X$15,ROW(AX543)-ROW(AX$15),0),0)</f>
        <v>0</v>
      </c>
      <c r="AY543" s="632">
        <f ca="1">IF(AND($D543="Serviço",AY$12&lt;&gt;0,$H543&gt;0,OR(AUTOEVENTO&lt;&gt;"manual",$M543&lt;&gt;1)),ROUND(OFFSET($P543,0,AY$13),15-13*ORÇAMENTO!$AF$7)/$H543*OFFSET(ORÇAMENTO!$X$15,ROW(AY543)-ROW(AY$15),0),0)</f>
        <v>0</v>
      </c>
      <c r="AZ543" s="632">
        <f ca="1">IF(AND($D543="Serviço",AZ$12&lt;&gt;0,$H543&gt;0,OR(AUTOEVENTO&lt;&gt;"manual",$M543&lt;&gt;1)),ROUND(OFFSET($P543,0,AZ$13),15-13*ORÇAMENTO!$AF$7)/$H543*OFFSET(ORÇAMENTO!$X$15,ROW(AZ543)-ROW(AZ$15),0),0)</f>
        <v>0</v>
      </c>
      <c r="BA543" s="633">
        <f ca="1">IF(AND($D543="Serviço",BA$12&lt;&gt;0,$H543&gt;0,OR(AUTOEVENTO&lt;&gt;"manual",$M543&lt;&gt;1)),ROUND(OFFSET($P543,0,BA$13),15-13*ORÇAMENTO!$AF$7)/$H543*OFFSET(ORÇAMENTO!$X$15,ROW(BA543)-ROW(BA$15),0),0)</f>
        <v>0</v>
      </c>
      <c r="BC543" s="215">
        <f ca="1">IF($D543&lt;&gt;"Serviço",0,IF(AND(AUTOEVENTO="Manual",$M543=1),0,IF(OFFSET(CRONOPLE!$F$14,$M543,BC$13)="",10^12,OFFSET(CRONOPLE!$F$14,$M543,BC$13))))</f>
        <v>1000000000000</v>
      </c>
      <c r="BD543" s="215">
        <f ca="1">IF($D543&lt;&gt;"Serviço",0,IF(AND(AUTOEVENTO="Manual",$M543=1),0,IF(OFFSET(CRONOPLE!$F$14,$M543,BD$13)="",10^12,OFFSET(CRONOPLE!$F$14,$M543,BD$13))))</f>
        <v>1000000000000</v>
      </c>
      <c r="BE543" s="215">
        <f ca="1">IF($D543&lt;&gt;"Serviço",0,IF(AND(AUTOEVENTO="Manual",$M543=1),0,IF(OFFSET(CRONOPLE!$F$14,$M543,BE$13)="",10^12,OFFSET(CRONOPLE!$F$14,$M543,BE$13))))</f>
        <v>1000000000000</v>
      </c>
      <c r="BF543" s="215">
        <f ca="1">IF($D543&lt;&gt;"Serviço",0,IF(AND(AUTOEVENTO="Manual",$M543=1),0,IF(OFFSET(CRONOPLE!$F$14,$M543,BF$13)="",10^12,OFFSET(CRONOPLE!$F$14,$M543,BF$13))))</f>
        <v>1000000000000</v>
      </c>
      <c r="BG543" s="215">
        <f ca="1">IF($D543&lt;&gt;"Serviço",0,IF(AND(AUTOEVENTO="Manual",$M543=1),0,IF(OFFSET(CRONOPLE!$F$14,$M543,BG$13)="",10^12,OFFSET(CRONOPLE!$F$14,$M543,BG$13))))</f>
        <v>1000000000000</v>
      </c>
      <c r="BH543" s="215">
        <f ca="1">IF($D543&lt;&gt;"Serviço",0,IF(AND(AUTOEVENTO="Manual",$M543=1),0,IF(OFFSET(CRONOPLE!$F$14,$M543,BH$13)="",10^12,OFFSET(CRONOPLE!$F$14,$M543,BH$13))))</f>
        <v>1000000000000</v>
      </c>
      <c r="BI543" s="215">
        <f ca="1">IF($D543&lt;&gt;"Serviço",0,IF(AND(AUTOEVENTO="Manual",$M543=1),0,IF(OFFSET(CRONOPLE!$F$14,$M543,BI$13)="",10^12,OFFSET(CRONOPLE!$F$14,$M543,BI$13))))</f>
        <v>1000000000000</v>
      </c>
      <c r="BJ543" s="215">
        <f ca="1">IF($D543&lt;&gt;"Serviço",0,IF(AND(AUTOEVENTO="Manual",$M543=1),0,IF(OFFSET(CRONOPLE!$F$14,$M543,BJ$13)="",10^12,OFFSET(CRONOPLE!$F$14,$M543,BJ$13))))</f>
        <v>1000000000000</v>
      </c>
      <c r="BK543" s="215">
        <f ca="1">IF($D543&lt;&gt;"Serviço",0,IF(AND(AUTOEVENTO="Manual",$M543=1),0,IF(OFFSET(CRONOPLE!$F$14,$M543,BK$13)="",10^12,OFFSET(CRONOPLE!$F$14,$M543,BK$13))))</f>
        <v>1000000000000</v>
      </c>
      <c r="BL543" s="215">
        <f ca="1">IF($D543&lt;&gt;"Serviço",0,IF(AND(AUTOEVENTO="Manual",$M543=1),0,IF(OFFSET(CRONOPLE!$F$14,$M543,BL$13)="",10^12,OFFSET(CRONOPLE!$F$14,$M543,BL$13))))</f>
        <v>1000000000000</v>
      </c>
      <c r="BM543" s="215">
        <f ca="1">IF($D543&lt;&gt;"Serviço",0,IF(AND(AUTOEVENTO="Manual",$M543=1),0,IF(OFFSET(CRONOPLE!$F$14,$M543,BM$13)="",10^12,OFFSET(CRONOPLE!$F$14,$M543,BM$13))))</f>
        <v>1000000000000</v>
      </c>
      <c r="BN543" s="215">
        <f ca="1">IF($D543&lt;&gt;"Serviço",0,IF(AND(AUTOEVENTO="Manual",$M543=1),0,IF(OFFSET(CRONOPLE!$F$14,$M543,BN$13)="",10^12,OFFSET(CRONOPLE!$F$14,$M543,BN$13))))</f>
        <v>1000000000000</v>
      </c>
      <c r="BO543" s="215">
        <f ca="1">IF($D543&lt;&gt;"Serviço",0,IF(AND(AUTOEVENTO="Manual",$M543=1),0,IF(OFFSET(CRONOPLE!$F$14,$M543,BO$13)="",10^12,OFFSET(CRONOPLE!$F$14,$M543,BO$13))))</f>
        <v>1000000000000</v>
      </c>
      <c r="BP543" s="215">
        <f ca="1">IF($D543&lt;&gt;"Serviço",0,IF(AND(AUTOEVENTO="Manual",$M543=1),0,IF(OFFSET(CRONOPLE!$F$14,$M543,BP$13)="",10^12,OFFSET(CRONOPLE!$F$14,$M543,BP$13))))</f>
        <v>1000000000000</v>
      </c>
      <c r="BQ543" s="215">
        <f ca="1">IF($D543&lt;&gt;"Serviço",0,IF(AND(AUTOEVENTO="Manual",$M543=1),0,IF(OFFSET(CRONOPLE!$F$14,$M543,BQ$13)="",10^12,OFFSET(CRONOPLE!$F$14,$M543,BQ$13))))</f>
        <v>1000000000000</v>
      </c>
      <c r="BR543" s="215">
        <f ca="1">IF($D543&lt;&gt;"Serviço",0,IF(AND(AUTOEVENTO="Manual",$M543=1),0,IF(OFFSET(CRONOPLE!$F$14,$M543,BR$13)="",10^12,OFFSET(CRONOPLE!$F$14,$M543,BR$13))))</f>
        <v>1000000000000</v>
      </c>
      <c r="BS543" s="215">
        <f ca="1">IF($D543&lt;&gt;"Serviço",0,IF(AND(AUTOEVENTO="Manual",$M543=1),0,IF(OFFSET(CRONOPLE!$F$14,$M543,BS$13)="",10^12,OFFSET(CRONOPLE!$F$14,$M543,BS$13))))</f>
        <v>1000000000000</v>
      </c>
      <c r="BT543" s="215">
        <f ca="1">IF($D543&lt;&gt;"Serviço",0,IF(AND(AUTOEVENTO="Manual",$M543=1),0,IF(OFFSET(CRONOPLE!$F$14,$M543,BT$13)="",10^12,OFFSET(CRONOPLE!$F$14,$M543,BT$13))))</f>
        <v>1000000000000</v>
      </c>
      <c r="BV543" s="216">
        <f ca="1">IF($D543&lt;&gt;"Serviço",0,IF(OR(AND(AUTOEVENTO="Manual",$M543=1),$M543&gt;(ROW(PLE.lastrow)-ROW(PLE.firstrow))),0,IF(OFFSET(PLE!$G$14,$M543,BV$13)="",10^12,OFFSET(PLE!$G$14,$M543,BV$13))))</f>
        <v>1000000000000</v>
      </c>
      <c r="BW543" s="216">
        <f ca="1">IF($D543&lt;&gt;"Serviço",0,IF(OR(AND(AUTOEVENTO="Manual",$M543=1),$M543&gt;(ROW(PLE.lastrow)-ROW(PLE.firstrow))),0,IF(OFFSET(PLE!$G$14,$M543,BW$13)="",10^12,OFFSET(PLE!$G$14,$M543,BW$13))))</f>
        <v>1000000000000</v>
      </c>
      <c r="BX543" s="216">
        <f ca="1">IF($D543&lt;&gt;"Serviço",0,IF(OR(AND(AUTOEVENTO="Manual",$M543=1),$M543&gt;(ROW(PLE.lastrow)-ROW(PLE.firstrow))),0,IF(OFFSET(PLE!$G$14,$M543,BX$13)="",10^12,OFFSET(PLE!$G$14,$M543,BX$13))))</f>
        <v>1000000000000</v>
      </c>
      <c r="BY543" s="216">
        <f ca="1">IF($D543&lt;&gt;"Serviço",0,IF(OR(AND(AUTOEVENTO="Manual",$M543=1),$M543&gt;(ROW(PLE.lastrow)-ROW(PLE.firstrow))),0,IF(OFFSET(PLE!$G$14,$M543,BY$13)="",10^12,OFFSET(PLE!$G$14,$M543,BY$13))))</f>
        <v>1000000000000</v>
      </c>
      <c r="BZ543" s="216">
        <f ca="1">IF($D543&lt;&gt;"Serviço",0,IF(OR(AND(AUTOEVENTO="Manual",$M543=1),$M543&gt;(ROW(PLE.lastrow)-ROW(PLE.firstrow))),0,IF(OFFSET(PLE!$G$14,$M543,BZ$13)="",10^12,OFFSET(PLE!$G$14,$M543,BZ$13))))</f>
        <v>1000000000000</v>
      </c>
      <c r="CA543" s="216">
        <f ca="1">IF($D543&lt;&gt;"Serviço",0,IF(OR(AND(AUTOEVENTO="Manual",$M543=1),$M543&gt;(ROW(PLE.lastrow)-ROW(PLE.firstrow))),0,IF(OFFSET(PLE!$G$14,$M543,CA$13)="",10^12,OFFSET(PLE!$G$14,$M543,CA$13))))</f>
        <v>1000000000000</v>
      </c>
      <c r="CB543" s="216">
        <f ca="1">IF($D543&lt;&gt;"Serviço",0,IF(OR(AND(AUTOEVENTO="Manual",$M543=1),$M543&gt;(ROW(PLE.lastrow)-ROW(PLE.firstrow))),0,IF(OFFSET(PLE!$G$14,$M543,CB$13)="",10^12,OFFSET(PLE!$G$14,$M543,CB$13))))</f>
        <v>1000000000000</v>
      </c>
      <c r="CC543" s="216">
        <f ca="1">IF($D543&lt;&gt;"Serviço",0,IF(OR(AND(AUTOEVENTO="Manual",$M543=1),$M543&gt;(ROW(PLE.lastrow)-ROW(PLE.firstrow))),0,IF(OFFSET(PLE!$G$14,$M543,CC$13)="",10^12,OFFSET(PLE!$G$14,$M543,CC$13))))</f>
        <v>1000000000000</v>
      </c>
      <c r="CD543" s="216">
        <f ca="1">IF($D543&lt;&gt;"Serviço",0,IF(OR(AND(AUTOEVENTO="Manual",$M543=1),$M543&gt;(ROW(PLE.lastrow)-ROW(PLE.firstrow))),0,IF(OFFSET(PLE!$G$14,$M543,CD$13)="",10^12,OFFSET(PLE!$G$14,$M543,CD$13))))</f>
        <v>1000000000000</v>
      </c>
      <c r="CE543" s="216">
        <f ca="1">IF($D543&lt;&gt;"Serviço",0,IF(OR(AND(AUTOEVENTO="Manual",$M543=1),$M543&gt;(ROW(PLE.lastrow)-ROW(PLE.firstrow))),0,IF(OFFSET(PLE!$G$14,$M543,CE$13)="",10^12,OFFSET(PLE!$G$14,$M543,CE$13))))</f>
        <v>1000000000000</v>
      </c>
      <c r="CF543" s="216">
        <f ca="1">IF($D543&lt;&gt;"Serviço",0,IF(OR(AND(AUTOEVENTO="Manual",$M543=1),$M543&gt;(ROW(PLE.lastrow)-ROW(PLE.firstrow))),0,IF(OFFSET(PLE!$G$14,$M543,CF$13)="",10^12,OFFSET(PLE!$G$14,$M543,CF$13))))</f>
        <v>1000000000000</v>
      </c>
      <c r="CG543" s="216">
        <f ca="1">IF($D543&lt;&gt;"Serviço",0,IF(OR(AND(AUTOEVENTO="Manual",$M543=1),$M543&gt;(ROW(PLE.lastrow)-ROW(PLE.firstrow))),0,IF(OFFSET(PLE!$G$14,$M543,CG$13)="",10^12,OFFSET(PLE!$G$14,$M543,CG$13))))</f>
        <v>1000000000000</v>
      </c>
      <c r="CH543" s="216">
        <f ca="1">IF($D543&lt;&gt;"Serviço",0,IF(OR(AND(AUTOEVENTO="Manual",$M543=1),$M543&gt;(ROW(PLE.lastrow)-ROW(PLE.firstrow))),0,IF(OFFSET(PLE!$G$14,$M543,CH$13)="",10^12,OFFSET(PLE!$G$14,$M543,CH$13))))</f>
        <v>1000000000000</v>
      </c>
      <c r="CI543" s="216">
        <f ca="1">IF($D543&lt;&gt;"Serviço",0,IF(OR(AND(AUTOEVENTO="Manual",$M543=1),$M543&gt;(ROW(PLE.lastrow)-ROW(PLE.firstrow))),0,IF(OFFSET(PLE!$G$14,$M543,CI$13)="",10^12,OFFSET(PLE!$G$14,$M543,CI$13))))</f>
        <v>1000000000000</v>
      </c>
      <c r="CJ543" s="216">
        <f ca="1">IF($D543&lt;&gt;"Serviço",0,IF(OR(AND(AUTOEVENTO="Manual",$M543=1),$M543&gt;(ROW(PLE.lastrow)-ROW(PLE.firstrow))),0,IF(OFFSET(PLE!$G$14,$M543,CJ$13)="",10^12,OFFSET(PLE!$G$14,$M543,CJ$13))))</f>
        <v>1000000000000</v>
      </c>
      <c r="CK543" s="216">
        <f ca="1">IF($D543&lt;&gt;"Serviço",0,IF(OR(AND(AUTOEVENTO="Manual",$M543=1),$M543&gt;(ROW(PLE.lastrow)-ROW(PLE.firstrow))),0,IF(OFFSET(PLE!$G$14,$M543,CK$13)="",10^12,OFFSET(PLE!$G$14,$M543,CK$13))))</f>
        <v>1000000000000</v>
      </c>
      <c r="CL543" s="216">
        <f ca="1">IF($D543&lt;&gt;"Serviço",0,IF(OR(AND(AUTOEVENTO="Manual",$M543=1),$M543&gt;(ROW(PLE.lastrow)-ROW(PLE.firstrow))),0,IF(OFFSET(PLE!$G$14,$M543,CL$13)="",10^12,OFFSET(PLE!$G$14,$M543,CL$13))))</f>
        <v>1000000000000</v>
      </c>
      <c r="CM543" s="216">
        <f ca="1">IF($D543&lt;&gt;"Serviço",0,IF(OR(AND(AUTOEVENTO="Manual",$M543=1),$M543&gt;(ROW(PLE.lastrow)-ROW(PLE.firstrow))),0,IF(OFFSET(PLE!$G$14,$M543,CM$13)="",10^12,OFFSET(PLE!$G$14,$M543,CM$13))))</f>
        <v>1000000000000</v>
      </c>
    </row>
    <row r="544" spans="1:91" ht="13.2" x14ac:dyDescent="0.25">
      <c r="A544" s="9">
        <f t="shared" ca="1" si="17"/>
        <v>0</v>
      </c>
      <c r="B544" s="9" t="str">
        <f ca="1">OFFSET(ORÇAMENTO!C$15,ROW(B544)-ROW(B$15),0)</f>
        <v>S</v>
      </c>
      <c r="C544" s="9" t="str">
        <f ca="1">OFFSET(ORÇAMENTO!L$15,ROW(C544)-ROW(C$15),0)</f>
        <v/>
      </c>
      <c r="D544" s="145" t="str">
        <f ca="1">OFFSET(ORÇAMENTO!N$15,ROW(D544)-ROW(D$15),0)</f>
        <v>Serviço</v>
      </c>
      <c r="E544" s="205" t="str">
        <f ca="1">OFFSET(ORÇAMENTO!O$15,ROW(E544)-ROW(E$15),0)</f>
        <v>-</v>
      </c>
      <c r="F544" s="206" t="str">
        <f ca="1">OFFSET(ORÇAMENTO!R$15,ROW(F544)-ROW(F$15),0)</f>
        <v>(abra o arquivo 'Referência 05-2024.xls)</v>
      </c>
      <c r="G544" s="207" t="str">
        <f ca="1">IF($D544&lt;&gt;"Serviço","",OFFSET(ORÇAMENTO!S$15,ROW(G544)-ROW(G$15),0))</f>
        <v>-</v>
      </c>
      <c r="H544" s="151">
        <f ca="1">IF($D544&lt;&gt;"Serviço",0,IF(ACOMPANHAMENTO="BM",ROUND(OFFSET(ORÇAMENTO!AJ$15,ROW(H544)-ROW(H$15),0),15-13*ORÇAMENTO!$AF$7),SUMPRODUCT(($Q$12:$AI$12&lt;&gt;"")*ROUND($Q544:$AI544,15-13*ORÇAMENTO!$AF$7))))</f>
        <v>2</v>
      </c>
      <c r="I544" s="650"/>
      <c r="K544" s="208"/>
      <c r="L544" s="209" t="s">
        <v>257</v>
      </c>
      <c r="M544" s="210">
        <f ca="1">IF($D544&lt;&gt;"Serviço","",IF(AUTOEVENTO="manual",$A544,IF(ISERROR(MATCH($A544,$A$15:OFFSET($A544,-1,0),0)),MAX($M$15:OFFSET(M544,-1,0))+1,INDEX($M$15:OFFSET(M544,-1,0),MATCH($A544,$A$15:OFFSET($A544,-1,0),0)))))</f>
        <v>0</v>
      </c>
      <c r="N544" s="211" t="str">
        <f ca="1">IF($D544&lt;&gt;"Serviço","",IF(AUTOEVENTO="Manual",IF($A544=0,"&lt;-- defina o número do agrupador",OFFSET(EVENTOS!$D$14,$A544,0)),OFFSET($F$15,$A544,0)))</f>
        <v>&lt;-- defina o número do agrupador</v>
      </c>
      <c r="O544" s="212"/>
      <c r="Q544" s="212"/>
      <c r="R544" s="213"/>
      <c r="S544" s="213"/>
      <c r="T544" s="213"/>
      <c r="U544" s="213"/>
      <c r="V544" s="213"/>
      <c r="W544" s="213"/>
      <c r="X544" s="213"/>
      <c r="Y544" s="213"/>
      <c r="Z544" s="214"/>
      <c r="AA544" s="213"/>
      <c r="AB544" s="213"/>
      <c r="AC544" s="213"/>
      <c r="AD544" s="213"/>
      <c r="AE544" s="213"/>
      <c r="AF544" s="213"/>
      <c r="AG544" s="213"/>
      <c r="AH544" s="214"/>
      <c r="AJ544" s="631">
        <f ca="1">IF(AND($D544="Serviço",AJ$12&lt;&gt;0,$H544&gt;0,OR(AUTOEVENTO&lt;&gt;"manual",$M544&lt;&gt;1)),ROUND(OFFSET($P544,0,AJ$13),15-13*ORÇAMENTO!$AF$7)/$H544*OFFSET(ORÇAMENTO!$X$15,ROW(AJ544)-ROW(AJ$15),0),0)</f>
        <v>0</v>
      </c>
      <c r="AK544" s="632">
        <f ca="1">IF(AND($D544="Serviço",AK$12&lt;&gt;0,$H544&gt;0,OR(AUTOEVENTO&lt;&gt;"manual",$M544&lt;&gt;1)),ROUND(OFFSET($P544,0,AK$13),15-13*ORÇAMENTO!$AF$7)/$H544*OFFSET(ORÇAMENTO!$X$15,ROW(AK544)-ROW(AK$15),0),0)</f>
        <v>0</v>
      </c>
      <c r="AL544" s="632">
        <f ca="1">IF(AND($D544="Serviço",AL$12&lt;&gt;0,$H544&gt;0,OR(AUTOEVENTO&lt;&gt;"manual",$M544&lt;&gt;1)),ROUND(OFFSET($P544,0,AL$13),15-13*ORÇAMENTO!$AF$7)/$H544*OFFSET(ORÇAMENTO!$X$15,ROW(AL544)-ROW(AL$15),0),0)</f>
        <v>0</v>
      </c>
      <c r="AM544" s="632">
        <f ca="1">IF(AND($D544="Serviço",AM$12&lt;&gt;0,$H544&gt;0,OR(AUTOEVENTO&lt;&gt;"manual",$M544&lt;&gt;1)),ROUND(OFFSET($P544,0,AM$13),15-13*ORÇAMENTO!$AF$7)/$H544*OFFSET(ORÇAMENTO!$X$15,ROW(AM544)-ROW(AM$15),0),0)</f>
        <v>0</v>
      </c>
      <c r="AN544" s="632">
        <f ca="1">IF(AND($D544="Serviço",AN$12&lt;&gt;0,$H544&gt;0,OR(AUTOEVENTO&lt;&gt;"manual",$M544&lt;&gt;1)),ROUND(OFFSET($P544,0,AN$13),15-13*ORÇAMENTO!$AF$7)/$H544*OFFSET(ORÇAMENTO!$X$15,ROW(AN544)-ROW(AN$15),0),0)</f>
        <v>0</v>
      </c>
      <c r="AO544" s="632">
        <f ca="1">IF(AND($D544="Serviço",AO$12&lt;&gt;0,$H544&gt;0,OR(AUTOEVENTO&lt;&gt;"manual",$M544&lt;&gt;1)),ROUND(OFFSET($P544,0,AO$13),15-13*ORÇAMENTO!$AF$7)/$H544*OFFSET(ORÇAMENTO!$X$15,ROW(AO544)-ROW(AO$15),0),0)</f>
        <v>0</v>
      </c>
      <c r="AP544" s="632">
        <f ca="1">IF(AND($D544="Serviço",AP$12&lt;&gt;0,$H544&gt;0,OR(AUTOEVENTO&lt;&gt;"manual",$M544&lt;&gt;1)),ROUND(OFFSET($P544,0,AP$13),15-13*ORÇAMENTO!$AF$7)/$H544*OFFSET(ORÇAMENTO!$X$15,ROW(AP544)-ROW(AP$15),0),0)</f>
        <v>0</v>
      </c>
      <c r="AQ544" s="632">
        <f ca="1">IF(AND($D544="Serviço",AQ$12&lt;&gt;0,$H544&gt;0,OR(AUTOEVENTO&lt;&gt;"manual",$M544&lt;&gt;1)),ROUND(OFFSET($P544,0,AQ$13),15-13*ORÇAMENTO!$AF$7)/$H544*OFFSET(ORÇAMENTO!$X$15,ROW(AQ544)-ROW(AQ$15),0),0)</f>
        <v>0</v>
      </c>
      <c r="AR544" s="632">
        <f ca="1">IF(AND($D544="Serviço",AR$12&lt;&gt;0,$H544&gt;0,OR(AUTOEVENTO&lt;&gt;"manual",$M544&lt;&gt;1)),ROUND(OFFSET($P544,0,AR$13),15-13*ORÇAMENTO!$AF$7)/$H544*OFFSET(ORÇAMENTO!$X$15,ROW(AR544)-ROW(AR$15),0),0)</f>
        <v>0</v>
      </c>
      <c r="AS544" s="633">
        <f ca="1">IF(AND($D544="Serviço",AS$12&lt;&gt;0,$H544&gt;0,OR(AUTOEVENTO&lt;&gt;"manual",$M544&lt;&gt;1)),ROUND(OFFSET($P544,0,AS$13),15-13*ORÇAMENTO!$AF$7)/$H544*OFFSET(ORÇAMENTO!$X$15,ROW(AS544)-ROW(AS$15),0),0)</f>
        <v>0</v>
      </c>
      <c r="AT544" s="632">
        <f ca="1">IF(AND($D544="Serviço",AT$12&lt;&gt;0,$H544&gt;0,OR(AUTOEVENTO&lt;&gt;"manual",$M544&lt;&gt;1)),ROUND(OFFSET($P544,0,AT$13),15-13*ORÇAMENTO!$AF$7)/$H544*OFFSET(ORÇAMENTO!$X$15,ROW(AT544)-ROW(AT$15),0),0)</f>
        <v>0</v>
      </c>
      <c r="AU544" s="632">
        <f ca="1">IF(AND($D544="Serviço",AU$12&lt;&gt;0,$H544&gt;0,OR(AUTOEVENTO&lt;&gt;"manual",$M544&lt;&gt;1)),ROUND(OFFSET($P544,0,AU$13),15-13*ORÇAMENTO!$AF$7)/$H544*OFFSET(ORÇAMENTO!$X$15,ROW(AU544)-ROW(AU$15),0),0)</f>
        <v>0</v>
      </c>
      <c r="AV544" s="632">
        <f ca="1">IF(AND($D544="Serviço",AV$12&lt;&gt;0,$H544&gt;0,OR(AUTOEVENTO&lt;&gt;"manual",$M544&lt;&gt;1)),ROUND(OFFSET($P544,0,AV$13),15-13*ORÇAMENTO!$AF$7)/$H544*OFFSET(ORÇAMENTO!$X$15,ROW(AV544)-ROW(AV$15),0),0)</f>
        <v>0</v>
      </c>
      <c r="AW544" s="632">
        <f ca="1">IF(AND($D544="Serviço",AW$12&lt;&gt;0,$H544&gt;0,OR(AUTOEVENTO&lt;&gt;"manual",$M544&lt;&gt;1)),ROUND(OFFSET($P544,0,AW$13),15-13*ORÇAMENTO!$AF$7)/$H544*OFFSET(ORÇAMENTO!$X$15,ROW(AW544)-ROW(AW$15),0),0)</f>
        <v>0</v>
      </c>
      <c r="AX544" s="632">
        <f ca="1">IF(AND($D544="Serviço",AX$12&lt;&gt;0,$H544&gt;0,OR(AUTOEVENTO&lt;&gt;"manual",$M544&lt;&gt;1)),ROUND(OFFSET($P544,0,AX$13),15-13*ORÇAMENTO!$AF$7)/$H544*OFFSET(ORÇAMENTO!$X$15,ROW(AX544)-ROW(AX$15),0),0)</f>
        <v>0</v>
      </c>
      <c r="AY544" s="632">
        <f ca="1">IF(AND($D544="Serviço",AY$12&lt;&gt;0,$H544&gt;0,OR(AUTOEVENTO&lt;&gt;"manual",$M544&lt;&gt;1)),ROUND(OFFSET($P544,0,AY$13),15-13*ORÇAMENTO!$AF$7)/$H544*OFFSET(ORÇAMENTO!$X$15,ROW(AY544)-ROW(AY$15),0),0)</f>
        <v>0</v>
      </c>
      <c r="AZ544" s="632">
        <f ca="1">IF(AND($D544="Serviço",AZ$12&lt;&gt;0,$H544&gt;0,OR(AUTOEVENTO&lt;&gt;"manual",$M544&lt;&gt;1)),ROUND(OFFSET($P544,0,AZ$13),15-13*ORÇAMENTO!$AF$7)/$H544*OFFSET(ORÇAMENTO!$X$15,ROW(AZ544)-ROW(AZ$15),0),0)</f>
        <v>0</v>
      </c>
      <c r="BA544" s="633">
        <f ca="1">IF(AND($D544="Serviço",BA$12&lt;&gt;0,$H544&gt;0,OR(AUTOEVENTO&lt;&gt;"manual",$M544&lt;&gt;1)),ROUND(OFFSET($P544,0,BA$13),15-13*ORÇAMENTO!$AF$7)/$H544*OFFSET(ORÇAMENTO!$X$15,ROW(BA544)-ROW(BA$15),0),0)</f>
        <v>0</v>
      </c>
      <c r="BC544" s="215">
        <f ca="1">IF($D544&lt;&gt;"Serviço",0,IF(AND(AUTOEVENTO="Manual",$M544=1),0,IF(OFFSET(CRONOPLE!$F$14,$M544,BC$13)="",10^12,OFFSET(CRONOPLE!$F$14,$M544,BC$13))))</f>
        <v>1000000000000</v>
      </c>
      <c r="BD544" s="215">
        <f ca="1">IF($D544&lt;&gt;"Serviço",0,IF(AND(AUTOEVENTO="Manual",$M544=1),0,IF(OFFSET(CRONOPLE!$F$14,$M544,BD$13)="",10^12,OFFSET(CRONOPLE!$F$14,$M544,BD$13))))</f>
        <v>1000000000000</v>
      </c>
      <c r="BE544" s="215">
        <f ca="1">IF($D544&lt;&gt;"Serviço",0,IF(AND(AUTOEVENTO="Manual",$M544=1),0,IF(OFFSET(CRONOPLE!$F$14,$M544,BE$13)="",10^12,OFFSET(CRONOPLE!$F$14,$M544,BE$13))))</f>
        <v>1000000000000</v>
      </c>
      <c r="BF544" s="215">
        <f ca="1">IF($D544&lt;&gt;"Serviço",0,IF(AND(AUTOEVENTO="Manual",$M544=1),0,IF(OFFSET(CRONOPLE!$F$14,$M544,BF$13)="",10^12,OFFSET(CRONOPLE!$F$14,$M544,BF$13))))</f>
        <v>1000000000000</v>
      </c>
      <c r="BG544" s="215">
        <f ca="1">IF($D544&lt;&gt;"Serviço",0,IF(AND(AUTOEVENTO="Manual",$M544=1),0,IF(OFFSET(CRONOPLE!$F$14,$M544,BG$13)="",10^12,OFFSET(CRONOPLE!$F$14,$M544,BG$13))))</f>
        <v>1000000000000</v>
      </c>
      <c r="BH544" s="215">
        <f ca="1">IF($D544&lt;&gt;"Serviço",0,IF(AND(AUTOEVENTO="Manual",$M544=1),0,IF(OFFSET(CRONOPLE!$F$14,$M544,BH$13)="",10^12,OFFSET(CRONOPLE!$F$14,$M544,BH$13))))</f>
        <v>1000000000000</v>
      </c>
      <c r="BI544" s="215">
        <f ca="1">IF($D544&lt;&gt;"Serviço",0,IF(AND(AUTOEVENTO="Manual",$M544=1),0,IF(OFFSET(CRONOPLE!$F$14,$M544,BI$13)="",10^12,OFFSET(CRONOPLE!$F$14,$M544,BI$13))))</f>
        <v>1000000000000</v>
      </c>
      <c r="BJ544" s="215">
        <f ca="1">IF($D544&lt;&gt;"Serviço",0,IF(AND(AUTOEVENTO="Manual",$M544=1),0,IF(OFFSET(CRONOPLE!$F$14,$M544,BJ$13)="",10^12,OFFSET(CRONOPLE!$F$14,$M544,BJ$13))))</f>
        <v>1000000000000</v>
      </c>
      <c r="BK544" s="215">
        <f ca="1">IF($D544&lt;&gt;"Serviço",0,IF(AND(AUTOEVENTO="Manual",$M544=1),0,IF(OFFSET(CRONOPLE!$F$14,$M544,BK$13)="",10^12,OFFSET(CRONOPLE!$F$14,$M544,BK$13))))</f>
        <v>1000000000000</v>
      </c>
      <c r="BL544" s="215">
        <f ca="1">IF($D544&lt;&gt;"Serviço",0,IF(AND(AUTOEVENTO="Manual",$M544=1),0,IF(OFFSET(CRONOPLE!$F$14,$M544,BL$13)="",10^12,OFFSET(CRONOPLE!$F$14,$M544,BL$13))))</f>
        <v>1000000000000</v>
      </c>
      <c r="BM544" s="215">
        <f ca="1">IF($D544&lt;&gt;"Serviço",0,IF(AND(AUTOEVENTO="Manual",$M544=1),0,IF(OFFSET(CRONOPLE!$F$14,$M544,BM$13)="",10^12,OFFSET(CRONOPLE!$F$14,$M544,BM$13))))</f>
        <v>1000000000000</v>
      </c>
      <c r="BN544" s="215">
        <f ca="1">IF($D544&lt;&gt;"Serviço",0,IF(AND(AUTOEVENTO="Manual",$M544=1),0,IF(OFFSET(CRONOPLE!$F$14,$M544,BN$13)="",10^12,OFFSET(CRONOPLE!$F$14,$M544,BN$13))))</f>
        <v>1000000000000</v>
      </c>
      <c r="BO544" s="215">
        <f ca="1">IF($D544&lt;&gt;"Serviço",0,IF(AND(AUTOEVENTO="Manual",$M544=1),0,IF(OFFSET(CRONOPLE!$F$14,$M544,BO$13)="",10^12,OFFSET(CRONOPLE!$F$14,$M544,BO$13))))</f>
        <v>1000000000000</v>
      </c>
      <c r="BP544" s="215">
        <f ca="1">IF($D544&lt;&gt;"Serviço",0,IF(AND(AUTOEVENTO="Manual",$M544=1),0,IF(OFFSET(CRONOPLE!$F$14,$M544,BP$13)="",10^12,OFFSET(CRONOPLE!$F$14,$M544,BP$13))))</f>
        <v>1000000000000</v>
      </c>
      <c r="BQ544" s="215">
        <f ca="1">IF($D544&lt;&gt;"Serviço",0,IF(AND(AUTOEVENTO="Manual",$M544=1),0,IF(OFFSET(CRONOPLE!$F$14,$M544,BQ$13)="",10^12,OFFSET(CRONOPLE!$F$14,$M544,BQ$13))))</f>
        <v>1000000000000</v>
      </c>
      <c r="BR544" s="215">
        <f ca="1">IF($D544&lt;&gt;"Serviço",0,IF(AND(AUTOEVENTO="Manual",$M544=1),0,IF(OFFSET(CRONOPLE!$F$14,$M544,BR$13)="",10^12,OFFSET(CRONOPLE!$F$14,$M544,BR$13))))</f>
        <v>1000000000000</v>
      </c>
      <c r="BS544" s="215">
        <f ca="1">IF($D544&lt;&gt;"Serviço",0,IF(AND(AUTOEVENTO="Manual",$M544=1),0,IF(OFFSET(CRONOPLE!$F$14,$M544,BS$13)="",10^12,OFFSET(CRONOPLE!$F$14,$M544,BS$13))))</f>
        <v>1000000000000</v>
      </c>
      <c r="BT544" s="215">
        <f ca="1">IF($D544&lt;&gt;"Serviço",0,IF(AND(AUTOEVENTO="Manual",$M544=1),0,IF(OFFSET(CRONOPLE!$F$14,$M544,BT$13)="",10^12,OFFSET(CRONOPLE!$F$14,$M544,BT$13))))</f>
        <v>1000000000000</v>
      </c>
      <c r="BV544" s="216">
        <f ca="1">IF($D544&lt;&gt;"Serviço",0,IF(OR(AND(AUTOEVENTO="Manual",$M544=1),$M544&gt;(ROW(PLE.lastrow)-ROW(PLE.firstrow))),0,IF(OFFSET(PLE!$G$14,$M544,BV$13)="",10^12,OFFSET(PLE!$G$14,$M544,BV$13))))</f>
        <v>1000000000000</v>
      </c>
      <c r="BW544" s="216">
        <f ca="1">IF($D544&lt;&gt;"Serviço",0,IF(OR(AND(AUTOEVENTO="Manual",$M544=1),$M544&gt;(ROW(PLE.lastrow)-ROW(PLE.firstrow))),0,IF(OFFSET(PLE!$G$14,$M544,BW$13)="",10^12,OFFSET(PLE!$G$14,$M544,BW$13))))</f>
        <v>1000000000000</v>
      </c>
      <c r="BX544" s="216">
        <f ca="1">IF($D544&lt;&gt;"Serviço",0,IF(OR(AND(AUTOEVENTO="Manual",$M544=1),$M544&gt;(ROW(PLE.lastrow)-ROW(PLE.firstrow))),0,IF(OFFSET(PLE!$G$14,$M544,BX$13)="",10^12,OFFSET(PLE!$G$14,$M544,BX$13))))</f>
        <v>1000000000000</v>
      </c>
      <c r="BY544" s="216">
        <f ca="1">IF($D544&lt;&gt;"Serviço",0,IF(OR(AND(AUTOEVENTO="Manual",$M544=1),$M544&gt;(ROW(PLE.lastrow)-ROW(PLE.firstrow))),0,IF(OFFSET(PLE!$G$14,$M544,BY$13)="",10^12,OFFSET(PLE!$G$14,$M544,BY$13))))</f>
        <v>1000000000000</v>
      </c>
      <c r="BZ544" s="216">
        <f ca="1">IF($D544&lt;&gt;"Serviço",0,IF(OR(AND(AUTOEVENTO="Manual",$M544=1),$M544&gt;(ROW(PLE.lastrow)-ROW(PLE.firstrow))),0,IF(OFFSET(PLE!$G$14,$M544,BZ$13)="",10^12,OFFSET(PLE!$G$14,$M544,BZ$13))))</f>
        <v>1000000000000</v>
      </c>
      <c r="CA544" s="216">
        <f ca="1">IF($D544&lt;&gt;"Serviço",0,IF(OR(AND(AUTOEVENTO="Manual",$M544=1),$M544&gt;(ROW(PLE.lastrow)-ROW(PLE.firstrow))),0,IF(OFFSET(PLE!$G$14,$M544,CA$13)="",10^12,OFFSET(PLE!$G$14,$M544,CA$13))))</f>
        <v>1000000000000</v>
      </c>
      <c r="CB544" s="216">
        <f ca="1">IF($D544&lt;&gt;"Serviço",0,IF(OR(AND(AUTOEVENTO="Manual",$M544=1),$M544&gt;(ROW(PLE.lastrow)-ROW(PLE.firstrow))),0,IF(OFFSET(PLE!$G$14,$M544,CB$13)="",10^12,OFFSET(PLE!$G$14,$M544,CB$13))))</f>
        <v>1000000000000</v>
      </c>
      <c r="CC544" s="216">
        <f ca="1">IF($D544&lt;&gt;"Serviço",0,IF(OR(AND(AUTOEVENTO="Manual",$M544=1),$M544&gt;(ROW(PLE.lastrow)-ROW(PLE.firstrow))),0,IF(OFFSET(PLE!$G$14,$M544,CC$13)="",10^12,OFFSET(PLE!$G$14,$M544,CC$13))))</f>
        <v>1000000000000</v>
      </c>
      <c r="CD544" s="216">
        <f ca="1">IF($D544&lt;&gt;"Serviço",0,IF(OR(AND(AUTOEVENTO="Manual",$M544=1),$M544&gt;(ROW(PLE.lastrow)-ROW(PLE.firstrow))),0,IF(OFFSET(PLE!$G$14,$M544,CD$13)="",10^12,OFFSET(PLE!$G$14,$M544,CD$13))))</f>
        <v>1000000000000</v>
      </c>
      <c r="CE544" s="216">
        <f ca="1">IF($D544&lt;&gt;"Serviço",0,IF(OR(AND(AUTOEVENTO="Manual",$M544=1),$M544&gt;(ROW(PLE.lastrow)-ROW(PLE.firstrow))),0,IF(OFFSET(PLE!$G$14,$M544,CE$13)="",10^12,OFFSET(PLE!$G$14,$M544,CE$13))))</f>
        <v>1000000000000</v>
      </c>
      <c r="CF544" s="216">
        <f ca="1">IF($D544&lt;&gt;"Serviço",0,IF(OR(AND(AUTOEVENTO="Manual",$M544=1),$M544&gt;(ROW(PLE.lastrow)-ROW(PLE.firstrow))),0,IF(OFFSET(PLE!$G$14,$M544,CF$13)="",10^12,OFFSET(PLE!$G$14,$M544,CF$13))))</f>
        <v>1000000000000</v>
      </c>
      <c r="CG544" s="216">
        <f ca="1">IF($D544&lt;&gt;"Serviço",0,IF(OR(AND(AUTOEVENTO="Manual",$M544=1),$M544&gt;(ROW(PLE.lastrow)-ROW(PLE.firstrow))),0,IF(OFFSET(PLE!$G$14,$M544,CG$13)="",10^12,OFFSET(PLE!$G$14,$M544,CG$13))))</f>
        <v>1000000000000</v>
      </c>
      <c r="CH544" s="216">
        <f ca="1">IF($D544&lt;&gt;"Serviço",0,IF(OR(AND(AUTOEVENTO="Manual",$M544=1),$M544&gt;(ROW(PLE.lastrow)-ROW(PLE.firstrow))),0,IF(OFFSET(PLE!$G$14,$M544,CH$13)="",10^12,OFFSET(PLE!$G$14,$M544,CH$13))))</f>
        <v>1000000000000</v>
      </c>
      <c r="CI544" s="216">
        <f ca="1">IF($D544&lt;&gt;"Serviço",0,IF(OR(AND(AUTOEVENTO="Manual",$M544=1),$M544&gt;(ROW(PLE.lastrow)-ROW(PLE.firstrow))),0,IF(OFFSET(PLE!$G$14,$M544,CI$13)="",10^12,OFFSET(PLE!$G$14,$M544,CI$13))))</f>
        <v>1000000000000</v>
      </c>
      <c r="CJ544" s="216">
        <f ca="1">IF($D544&lt;&gt;"Serviço",0,IF(OR(AND(AUTOEVENTO="Manual",$M544=1),$M544&gt;(ROW(PLE.lastrow)-ROW(PLE.firstrow))),0,IF(OFFSET(PLE!$G$14,$M544,CJ$13)="",10^12,OFFSET(PLE!$G$14,$M544,CJ$13))))</f>
        <v>1000000000000</v>
      </c>
      <c r="CK544" s="216">
        <f ca="1">IF($D544&lt;&gt;"Serviço",0,IF(OR(AND(AUTOEVENTO="Manual",$M544=1),$M544&gt;(ROW(PLE.lastrow)-ROW(PLE.firstrow))),0,IF(OFFSET(PLE!$G$14,$M544,CK$13)="",10^12,OFFSET(PLE!$G$14,$M544,CK$13))))</f>
        <v>1000000000000</v>
      </c>
      <c r="CL544" s="216">
        <f ca="1">IF($D544&lt;&gt;"Serviço",0,IF(OR(AND(AUTOEVENTO="Manual",$M544=1),$M544&gt;(ROW(PLE.lastrow)-ROW(PLE.firstrow))),0,IF(OFFSET(PLE!$G$14,$M544,CL$13)="",10^12,OFFSET(PLE!$G$14,$M544,CL$13))))</f>
        <v>1000000000000</v>
      </c>
      <c r="CM544" s="216">
        <f ca="1">IF($D544&lt;&gt;"Serviço",0,IF(OR(AND(AUTOEVENTO="Manual",$M544=1),$M544&gt;(ROW(PLE.lastrow)-ROW(PLE.firstrow))),0,IF(OFFSET(PLE!$G$14,$M544,CM$13)="",10^12,OFFSET(PLE!$G$14,$M544,CM$13))))</f>
        <v>1000000000000</v>
      </c>
    </row>
    <row r="545" spans="1:91" ht="13.2" x14ac:dyDescent="0.25">
      <c r="A545" s="9">
        <f t="shared" ca="1" si="17"/>
        <v>0</v>
      </c>
      <c r="B545" s="9" t="str">
        <f ca="1">OFFSET(ORÇAMENTO!C$15,ROW(B545)-ROW(B$15),0)</f>
        <v>S</v>
      </c>
      <c r="C545" s="9" t="str">
        <f ca="1">OFFSET(ORÇAMENTO!L$15,ROW(C545)-ROW(C$15),0)</f>
        <v/>
      </c>
      <c r="D545" s="145" t="str">
        <f ca="1">OFFSET(ORÇAMENTO!N$15,ROW(D545)-ROW(D$15),0)</f>
        <v>Serviço</v>
      </c>
      <c r="E545" s="205" t="str">
        <f ca="1">OFFSET(ORÇAMENTO!O$15,ROW(E545)-ROW(E$15),0)</f>
        <v>-</v>
      </c>
      <c r="F545" s="206" t="str">
        <f ca="1">OFFSET(ORÇAMENTO!R$15,ROW(F545)-ROW(F$15),0)</f>
        <v>(abra o arquivo 'Referência 05-2024.xls)</v>
      </c>
      <c r="G545" s="207" t="str">
        <f ca="1">IF($D545&lt;&gt;"Serviço","",OFFSET(ORÇAMENTO!S$15,ROW(G545)-ROW(G$15),0))</f>
        <v>-</v>
      </c>
      <c r="H545" s="151">
        <f ca="1">IF($D545&lt;&gt;"Serviço",0,IF(ACOMPANHAMENTO="BM",ROUND(OFFSET(ORÇAMENTO!AJ$15,ROW(H545)-ROW(H$15),0),15-13*ORÇAMENTO!$AF$7),SUMPRODUCT(($Q$12:$AI$12&lt;&gt;"")*ROUND($Q545:$AI545,15-13*ORÇAMENTO!$AF$7))))</f>
        <v>2</v>
      </c>
      <c r="I545" s="650"/>
      <c r="K545" s="208"/>
      <c r="L545" s="209" t="s">
        <v>257</v>
      </c>
      <c r="M545" s="210">
        <f ca="1">IF($D545&lt;&gt;"Serviço","",IF(AUTOEVENTO="manual",$A545,IF(ISERROR(MATCH($A545,$A$15:OFFSET($A545,-1,0),0)),MAX($M$15:OFFSET(M545,-1,0))+1,INDEX($M$15:OFFSET(M545,-1,0),MATCH($A545,$A$15:OFFSET($A545,-1,0),0)))))</f>
        <v>0</v>
      </c>
      <c r="N545" s="211" t="str">
        <f ca="1">IF($D545&lt;&gt;"Serviço","",IF(AUTOEVENTO="Manual",IF($A545=0,"&lt;-- defina o número do agrupador",OFFSET(EVENTOS!$D$14,$A545,0)),OFFSET($F$15,$A545,0)))</f>
        <v>&lt;-- defina o número do agrupador</v>
      </c>
      <c r="O545" s="212"/>
      <c r="Q545" s="212"/>
      <c r="R545" s="213"/>
      <c r="S545" s="213"/>
      <c r="T545" s="213"/>
      <c r="U545" s="213"/>
      <c r="V545" s="213"/>
      <c r="W545" s="213"/>
      <c r="X545" s="213"/>
      <c r="Y545" s="213"/>
      <c r="Z545" s="214"/>
      <c r="AA545" s="213"/>
      <c r="AB545" s="213"/>
      <c r="AC545" s="213"/>
      <c r="AD545" s="213"/>
      <c r="AE545" s="213"/>
      <c r="AF545" s="213"/>
      <c r="AG545" s="213"/>
      <c r="AH545" s="214"/>
      <c r="AJ545" s="631">
        <f ca="1">IF(AND($D545="Serviço",AJ$12&lt;&gt;0,$H545&gt;0,OR(AUTOEVENTO&lt;&gt;"manual",$M545&lt;&gt;1)),ROUND(OFFSET($P545,0,AJ$13),15-13*ORÇAMENTO!$AF$7)/$H545*OFFSET(ORÇAMENTO!$X$15,ROW(AJ545)-ROW(AJ$15),0),0)</f>
        <v>0</v>
      </c>
      <c r="AK545" s="632">
        <f ca="1">IF(AND($D545="Serviço",AK$12&lt;&gt;0,$H545&gt;0,OR(AUTOEVENTO&lt;&gt;"manual",$M545&lt;&gt;1)),ROUND(OFFSET($P545,0,AK$13),15-13*ORÇAMENTO!$AF$7)/$H545*OFFSET(ORÇAMENTO!$X$15,ROW(AK545)-ROW(AK$15),0),0)</f>
        <v>0</v>
      </c>
      <c r="AL545" s="632">
        <f ca="1">IF(AND($D545="Serviço",AL$12&lt;&gt;0,$H545&gt;0,OR(AUTOEVENTO&lt;&gt;"manual",$M545&lt;&gt;1)),ROUND(OFFSET($P545,0,AL$13),15-13*ORÇAMENTO!$AF$7)/$H545*OFFSET(ORÇAMENTO!$X$15,ROW(AL545)-ROW(AL$15),0),0)</f>
        <v>0</v>
      </c>
      <c r="AM545" s="632">
        <f ca="1">IF(AND($D545="Serviço",AM$12&lt;&gt;0,$H545&gt;0,OR(AUTOEVENTO&lt;&gt;"manual",$M545&lt;&gt;1)),ROUND(OFFSET($P545,0,AM$13),15-13*ORÇAMENTO!$AF$7)/$H545*OFFSET(ORÇAMENTO!$X$15,ROW(AM545)-ROW(AM$15),0),0)</f>
        <v>0</v>
      </c>
      <c r="AN545" s="632">
        <f ca="1">IF(AND($D545="Serviço",AN$12&lt;&gt;0,$H545&gt;0,OR(AUTOEVENTO&lt;&gt;"manual",$M545&lt;&gt;1)),ROUND(OFFSET($P545,0,AN$13),15-13*ORÇAMENTO!$AF$7)/$H545*OFFSET(ORÇAMENTO!$X$15,ROW(AN545)-ROW(AN$15),0),0)</f>
        <v>0</v>
      </c>
      <c r="AO545" s="632">
        <f ca="1">IF(AND($D545="Serviço",AO$12&lt;&gt;0,$H545&gt;0,OR(AUTOEVENTO&lt;&gt;"manual",$M545&lt;&gt;1)),ROUND(OFFSET($P545,0,AO$13),15-13*ORÇAMENTO!$AF$7)/$H545*OFFSET(ORÇAMENTO!$X$15,ROW(AO545)-ROW(AO$15),0),0)</f>
        <v>0</v>
      </c>
      <c r="AP545" s="632">
        <f ca="1">IF(AND($D545="Serviço",AP$12&lt;&gt;0,$H545&gt;0,OR(AUTOEVENTO&lt;&gt;"manual",$M545&lt;&gt;1)),ROUND(OFFSET($P545,0,AP$13),15-13*ORÇAMENTO!$AF$7)/$H545*OFFSET(ORÇAMENTO!$X$15,ROW(AP545)-ROW(AP$15),0),0)</f>
        <v>0</v>
      </c>
      <c r="AQ545" s="632">
        <f ca="1">IF(AND($D545="Serviço",AQ$12&lt;&gt;0,$H545&gt;0,OR(AUTOEVENTO&lt;&gt;"manual",$M545&lt;&gt;1)),ROUND(OFFSET($P545,0,AQ$13),15-13*ORÇAMENTO!$AF$7)/$H545*OFFSET(ORÇAMENTO!$X$15,ROW(AQ545)-ROW(AQ$15),0),0)</f>
        <v>0</v>
      </c>
      <c r="AR545" s="632">
        <f ca="1">IF(AND($D545="Serviço",AR$12&lt;&gt;0,$H545&gt;0,OR(AUTOEVENTO&lt;&gt;"manual",$M545&lt;&gt;1)),ROUND(OFFSET($P545,0,AR$13),15-13*ORÇAMENTO!$AF$7)/$H545*OFFSET(ORÇAMENTO!$X$15,ROW(AR545)-ROW(AR$15),0),0)</f>
        <v>0</v>
      </c>
      <c r="AS545" s="633">
        <f ca="1">IF(AND($D545="Serviço",AS$12&lt;&gt;0,$H545&gt;0,OR(AUTOEVENTO&lt;&gt;"manual",$M545&lt;&gt;1)),ROUND(OFFSET($P545,0,AS$13),15-13*ORÇAMENTO!$AF$7)/$H545*OFFSET(ORÇAMENTO!$X$15,ROW(AS545)-ROW(AS$15),0),0)</f>
        <v>0</v>
      </c>
      <c r="AT545" s="632">
        <f ca="1">IF(AND($D545="Serviço",AT$12&lt;&gt;0,$H545&gt;0,OR(AUTOEVENTO&lt;&gt;"manual",$M545&lt;&gt;1)),ROUND(OFFSET($P545,0,AT$13),15-13*ORÇAMENTO!$AF$7)/$H545*OFFSET(ORÇAMENTO!$X$15,ROW(AT545)-ROW(AT$15),0),0)</f>
        <v>0</v>
      </c>
      <c r="AU545" s="632">
        <f ca="1">IF(AND($D545="Serviço",AU$12&lt;&gt;0,$H545&gt;0,OR(AUTOEVENTO&lt;&gt;"manual",$M545&lt;&gt;1)),ROUND(OFFSET($P545,0,AU$13),15-13*ORÇAMENTO!$AF$7)/$H545*OFFSET(ORÇAMENTO!$X$15,ROW(AU545)-ROW(AU$15),0),0)</f>
        <v>0</v>
      </c>
      <c r="AV545" s="632">
        <f ca="1">IF(AND($D545="Serviço",AV$12&lt;&gt;0,$H545&gt;0,OR(AUTOEVENTO&lt;&gt;"manual",$M545&lt;&gt;1)),ROUND(OFFSET($P545,0,AV$13),15-13*ORÇAMENTO!$AF$7)/$H545*OFFSET(ORÇAMENTO!$X$15,ROW(AV545)-ROW(AV$15),0),0)</f>
        <v>0</v>
      </c>
      <c r="AW545" s="632">
        <f ca="1">IF(AND($D545="Serviço",AW$12&lt;&gt;0,$H545&gt;0,OR(AUTOEVENTO&lt;&gt;"manual",$M545&lt;&gt;1)),ROUND(OFFSET($P545,0,AW$13),15-13*ORÇAMENTO!$AF$7)/$H545*OFFSET(ORÇAMENTO!$X$15,ROW(AW545)-ROW(AW$15),0),0)</f>
        <v>0</v>
      </c>
      <c r="AX545" s="632">
        <f ca="1">IF(AND($D545="Serviço",AX$12&lt;&gt;0,$H545&gt;0,OR(AUTOEVENTO&lt;&gt;"manual",$M545&lt;&gt;1)),ROUND(OFFSET($P545,0,AX$13),15-13*ORÇAMENTO!$AF$7)/$H545*OFFSET(ORÇAMENTO!$X$15,ROW(AX545)-ROW(AX$15),0),0)</f>
        <v>0</v>
      </c>
      <c r="AY545" s="632">
        <f ca="1">IF(AND($D545="Serviço",AY$12&lt;&gt;0,$H545&gt;0,OR(AUTOEVENTO&lt;&gt;"manual",$M545&lt;&gt;1)),ROUND(OFFSET($P545,0,AY$13),15-13*ORÇAMENTO!$AF$7)/$H545*OFFSET(ORÇAMENTO!$X$15,ROW(AY545)-ROW(AY$15),0),0)</f>
        <v>0</v>
      </c>
      <c r="AZ545" s="632">
        <f ca="1">IF(AND($D545="Serviço",AZ$12&lt;&gt;0,$H545&gt;0,OR(AUTOEVENTO&lt;&gt;"manual",$M545&lt;&gt;1)),ROUND(OFFSET($P545,0,AZ$13),15-13*ORÇAMENTO!$AF$7)/$H545*OFFSET(ORÇAMENTO!$X$15,ROW(AZ545)-ROW(AZ$15),0),0)</f>
        <v>0</v>
      </c>
      <c r="BA545" s="633">
        <f ca="1">IF(AND($D545="Serviço",BA$12&lt;&gt;0,$H545&gt;0,OR(AUTOEVENTO&lt;&gt;"manual",$M545&lt;&gt;1)),ROUND(OFFSET($P545,0,BA$13),15-13*ORÇAMENTO!$AF$7)/$H545*OFFSET(ORÇAMENTO!$X$15,ROW(BA545)-ROW(BA$15),0),0)</f>
        <v>0</v>
      </c>
      <c r="BC545" s="215">
        <f ca="1">IF($D545&lt;&gt;"Serviço",0,IF(AND(AUTOEVENTO="Manual",$M545=1),0,IF(OFFSET(CRONOPLE!$F$14,$M545,BC$13)="",10^12,OFFSET(CRONOPLE!$F$14,$M545,BC$13))))</f>
        <v>1000000000000</v>
      </c>
      <c r="BD545" s="215">
        <f ca="1">IF($D545&lt;&gt;"Serviço",0,IF(AND(AUTOEVENTO="Manual",$M545=1),0,IF(OFFSET(CRONOPLE!$F$14,$M545,BD$13)="",10^12,OFFSET(CRONOPLE!$F$14,$M545,BD$13))))</f>
        <v>1000000000000</v>
      </c>
      <c r="BE545" s="215">
        <f ca="1">IF($D545&lt;&gt;"Serviço",0,IF(AND(AUTOEVENTO="Manual",$M545=1),0,IF(OFFSET(CRONOPLE!$F$14,$M545,BE$13)="",10^12,OFFSET(CRONOPLE!$F$14,$M545,BE$13))))</f>
        <v>1000000000000</v>
      </c>
      <c r="BF545" s="215">
        <f ca="1">IF($D545&lt;&gt;"Serviço",0,IF(AND(AUTOEVENTO="Manual",$M545=1),0,IF(OFFSET(CRONOPLE!$F$14,$M545,BF$13)="",10^12,OFFSET(CRONOPLE!$F$14,$M545,BF$13))))</f>
        <v>1000000000000</v>
      </c>
      <c r="BG545" s="215">
        <f ca="1">IF($D545&lt;&gt;"Serviço",0,IF(AND(AUTOEVENTO="Manual",$M545=1),0,IF(OFFSET(CRONOPLE!$F$14,$M545,BG$13)="",10^12,OFFSET(CRONOPLE!$F$14,$M545,BG$13))))</f>
        <v>1000000000000</v>
      </c>
      <c r="BH545" s="215">
        <f ca="1">IF($D545&lt;&gt;"Serviço",0,IF(AND(AUTOEVENTO="Manual",$M545=1),0,IF(OFFSET(CRONOPLE!$F$14,$M545,BH$13)="",10^12,OFFSET(CRONOPLE!$F$14,$M545,BH$13))))</f>
        <v>1000000000000</v>
      </c>
      <c r="BI545" s="215">
        <f ca="1">IF($D545&lt;&gt;"Serviço",0,IF(AND(AUTOEVENTO="Manual",$M545=1),0,IF(OFFSET(CRONOPLE!$F$14,$M545,BI$13)="",10^12,OFFSET(CRONOPLE!$F$14,$M545,BI$13))))</f>
        <v>1000000000000</v>
      </c>
      <c r="BJ545" s="215">
        <f ca="1">IF($D545&lt;&gt;"Serviço",0,IF(AND(AUTOEVENTO="Manual",$M545=1),0,IF(OFFSET(CRONOPLE!$F$14,$M545,BJ$13)="",10^12,OFFSET(CRONOPLE!$F$14,$M545,BJ$13))))</f>
        <v>1000000000000</v>
      </c>
      <c r="BK545" s="215">
        <f ca="1">IF($D545&lt;&gt;"Serviço",0,IF(AND(AUTOEVENTO="Manual",$M545=1),0,IF(OFFSET(CRONOPLE!$F$14,$M545,BK$13)="",10^12,OFFSET(CRONOPLE!$F$14,$M545,BK$13))))</f>
        <v>1000000000000</v>
      </c>
      <c r="BL545" s="215">
        <f ca="1">IF($D545&lt;&gt;"Serviço",0,IF(AND(AUTOEVENTO="Manual",$M545=1),0,IF(OFFSET(CRONOPLE!$F$14,$M545,BL$13)="",10^12,OFFSET(CRONOPLE!$F$14,$M545,BL$13))))</f>
        <v>1000000000000</v>
      </c>
      <c r="BM545" s="215">
        <f ca="1">IF($D545&lt;&gt;"Serviço",0,IF(AND(AUTOEVENTO="Manual",$M545=1),0,IF(OFFSET(CRONOPLE!$F$14,$M545,BM$13)="",10^12,OFFSET(CRONOPLE!$F$14,$M545,BM$13))))</f>
        <v>1000000000000</v>
      </c>
      <c r="BN545" s="215">
        <f ca="1">IF($D545&lt;&gt;"Serviço",0,IF(AND(AUTOEVENTO="Manual",$M545=1),0,IF(OFFSET(CRONOPLE!$F$14,$M545,BN$13)="",10^12,OFFSET(CRONOPLE!$F$14,$M545,BN$13))))</f>
        <v>1000000000000</v>
      </c>
      <c r="BO545" s="215">
        <f ca="1">IF($D545&lt;&gt;"Serviço",0,IF(AND(AUTOEVENTO="Manual",$M545=1),0,IF(OFFSET(CRONOPLE!$F$14,$M545,BO$13)="",10^12,OFFSET(CRONOPLE!$F$14,$M545,BO$13))))</f>
        <v>1000000000000</v>
      </c>
      <c r="BP545" s="215">
        <f ca="1">IF($D545&lt;&gt;"Serviço",0,IF(AND(AUTOEVENTO="Manual",$M545=1),0,IF(OFFSET(CRONOPLE!$F$14,$M545,BP$13)="",10^12,OFFSET(CRONOPLE!$F$14,$M545,BP$13))))</f>
        <v>1000000000000</v>
      </c>
      <c r="BQ545" s="215">
        <f ca="1">IF($D545&lt;&gt;"Serviço",0,IF(AND(AUTOEVENTO="Manual",$M545=1),0,IF(OFFSET(CRONOPLE!$F$14,$M545,BQ$13)="",10^12,OFFSET(CRONOPLE!$F$14,$M545,BQ$13))))</f>
        <v>1000000000000</v>
      </c>
      <c r="BR545" s="215">
        <f ca="1">IF($D545&lt;&gt;"Serviço",0,IF(AND(AUTOEVENTO="Manual",$M545=1),0,IF(OFFSET(CRONOPLE!$F$14,$M545,BR$13)="",10^12,OFFSET(CRONOPLE!$F$14,$M545,BR$13))))</f>
        <v>1000000000000</v>
      </c>
      <c r="BS545" s="215">
        <f ca="1">IF($D545&lt;&gt;"Serviço",0,IF(AND(AUTOEVENTO="Manual",$M545=1),0,IF(OFFSET(CRONOPLE!$F$14,$M545,BS$13)="",10^12,OFFSET(CRONOPLE!$F$14,$M545,BS$13))))</f>
        <v>1000000000000</v>
      </c>
      <c r="BT545" s="215">
        <f ca="1">IF($D545&lt;&gt;"Serviço",0,IF(AND(AUTOEVENTO="Manual",$M545=1),0,IF(OFFSET(CRONOPLE!$F$14,$M545,BT$13)="",10^12,OFFSET(CRONOPLE!$F$14,$M545,BT$13))))</f>
        <v>1000000000000</v>
      </c>
      <c r="BV545" s="216">
        <f ca="1">IF($D545&lt;&gt;"Serviço",0,IF(OR(AND(AUTOEVENTO="Manual",$M545=1),$M545&gt;(ROW(PLE.lastrow)-ROW(PLE.firstrow))),0,IF(OFFSET(PLE!$G$14,$M545,BV$13)="",10^12,OFFSET(PLE!$G$14,$M545,BV$13))))</f>
        <v>1000000000000</v>
      </c>
      <c r="BW545" s="216">
        <f ca="1">IF($D545&lt;&gt;"Serviço",0,IF(OR(AND(AUTOEVENTO="Manual",$M545=1),$M545&gt;(ROW(PLE.lastrow)-ROW(PLE.firstrow))),0,IF(OFFSET(PLE!$G$14,$M545,BW$13)="",10^12,OFFSET(PLE!$G$14,$M545,BW$13))))</f>
        <v>1000000000000</v>
      </c>
      <c r="BX545" s="216">
        <f ca="1">IF($D545&lt;&gt;"Serviço",0,IF(OR(AND(AUTOEVENTO="Manual",$M545=1),$M545&gt;(ROW(PLE.lastrow)-ROW(PLE.firstrow))),0,IF(OFFSET(PLE!$G$14,$M545,BX$13)="",10^12,OFFSET(PLE!$G$14,$M545,BX$13))))</f>
        <v>1000000000000</v>
      </c>
      <c r="BY545" s="216">
        <f ca="1">IF($D545&lt;&gt;"Serviço",0,IF(OR(AND(AUTOEVENTO="Manual",$M545=1),$M545&gt;(ROW(PLE.lastrow)-ROW(PLE.firstrow))),0,IF(OFFSET(PLE!$G$14,$M545,BY$13)="",10^12,OFFSET(PLE!$G$14,$M545,BY$13))))</f>
        <v>1000000000000</v>
      </c>
      <c r="BZ545" s="216">
        <f ca="1">IF($D545&lt;&gt;"Serviço",0,IF(OR(AND(AUTOEVENTO="Manual",$M545=1),$M545&gt;(ROW(PLE.lastrow)-ROW(PLE.firstrow))),0,IF(OFFSET(PLE!$G$14,$M545,BZ$13)="",10^12,OFFSET(PLE!$G$14,$M545,BZ$13))))</f>
        <v>1000000000000</v>
      </c>
      <c r="CA545" s="216">
        <f ca="1">IF($D545&lt;&gt;"Serviço",0,IF(OR(AND(AUTOEVENTO="Manual",$M545=1),$M545&gt;(ROW(PLE.lastrow)-ROW(PLE.firstrow))),0,IF(OFFSET(PLE!$G$14,$M545,CA$13)="",10^12,OFFSET(PLE!$G$14,$M545,CA$13))))</f>
        <v>1000000000000</v>
      </c>
      <c r="CB545" s="216">
        <f ca="1">IF($D545&lt;&gt;"Serviço",0,IF(OR(AND(AUTOEVENTO="Manual",$M545=1),$M545&gt;(ROW(PLE.lastrow)-ROW(PLE.firstrow))),0,IF(OFFSET(PLE!$G$14,$M545,CB$13)="",10^12,OFFSET(PLE!$G$14,$M545,CB$13))))</f>
        <v>1000000000000</v>
      </c>
      <c r="CC545" s="216">
        <f ca="1">IF($D545&lt;&gt;"Serviço",0,IF(OR(AND(AUTOEVENTO="Manual",$M545=1),$M545&gt;(ROW(PLE.lastrow)-ROW(PLE.firstrow))),0,IF(OFFSET(PLE!$G$14,$M545,CC$13)="",10^12,OFFSET(PLE!$G$14,$M545,CC$13))))</f>
        <v>1000000000000</v>
      </c>
      <c r="CD545" s="216">
        <f ca="1">IF($D545&lt;&gt;"Serviço",0,IF(OR(AND(AUTOEVENTO="Manual",$M545=1),$M545&gt;(ROW(PLE.lastrow)-ROW(PLE.firstrow))),0,IF(OFFSET(PLE!$G$14,$M545,CD$13)="",10^12,OFFSET(PLE!$G$14,$M545,CD$13))))</f>
        <v>1000000000000</v>
      </c>
      <c r="CE545" s="216">
        <f ca="1">IF($D545&lt;&gt;"Serviço",0,IF(OR(AND(AUTOEVENTO="Manual",$M545=1),$M545&gt;(ROW(PLE.lastrow)-ROW(PLE.firstrow))),0,IF(OFFSET(PLE!$G$14,$M545,CE$13)="",10^12,OFFSET(PLE!$G$14,$M545,CE$13))))</f>
        <v>1000000000000</v>
      </c>
      <c r="CF545" s="216">
        <f ca="1">IF($D545&lt;&gt;"Serviço",0,IF(OR(AND(AUTOEVENTO="Manual",$M545=1),$M545&gt;(ROW(PLE.lastrow)-ROW(PLE.firstrow))),0,IF(OFFSET(PLE!$G$14,$M545,CF$13)="",10^12,OFFSET(PLE!$G$14,$M545,CF$13))))</f>
        <v>1000000000000</v>
      </c>
      <c r="CG545" s="216">
        <f ca="1">IF($D545&lt;&gt;"Serviço",0,IF(OR(AND(AUTOEVENTO="Manual",$M545=1),$M545&gt;(ROW(PLE.lastrow)-ROW(PLE.firstrow))),0,IF(OFFSET(PLE!$G$14,$M545,CG$13)="",10^12,OFFSET(PLE!$G$14,$M545,CG$13))))</f>
        <v>1000000000000</v>
      </c>
      <c r="CH545" s="216">
        <f ca="1">IF($D545&lt;&gt;"Serviço",0,IF(OR(AND(AUTOEVENTO="Manual",$M545=1),$M545&gt;(ROW(PLE.lastrow)-ROW(PLE.firstrow))),0,IF(OFFSET(PLE!$G$14,$M545,CH$13)="",10^12,OFFSET(PLE!$G$14,$M545,CH$13))))</f>
        <v>1000000000000</v>
      </c>
      <c r="CI545" s="216">
        <f ca="1">IF($D545&lt;&gt;"Serviço",0,IF(OR(AND(AUTOEVENTO="Manual",$M545=1),$M545&gt;(ROW(PLE.lastrow)-ROW(PLE.firstrow))),0,IF(OFFSET(PLE!$G$14,$M545,CI$13)="",10^12,OFFSET(PLE!$G$14,$M545,CI$13))))</f>
        <v>1000000000000</v>
      </c>
      <c r="CJ545" s="216">
        <f ca="1">IF($D545&lt;&gt;"Serviço",0,IF(OR(AND(AUTOEVENTO="Manual",$M545=1),$M545&gt;(ROW(PLE.lastrow)-ROW(PLE.firstrow))),0,IF(OFFSET(PLE!$G$14,$M545,CJ$13)="",10^12,OFFSET(PLE!$G$14,$M545,CJ$13))))</f>
        <v>1000000000000</v>
      </c>
      <c r="CK545" s="216">
        <f ca="1">IF($D545&lt;&gt;"Serviço",0,IF(OR(AND(AUTOEVENTO="Manual",$M545=1),$M545&gt;(ROW(PLE.lastrow)-ROW(PLE.firstrow))),0,IF(OFFSET(PLE!$G$14,$M545,CK$13)="",10^12,OFFSET(PLE!$G$14,$M545,CK$13))))</f>
        <v>1000000000000</v>
      </c>
      <c r="CL545" s="216">
        <f ca="1">IF($D545&lt;&gt;"Serviço",0,IF(OR(AND(AUTOEVENTO="Manual",$M545=1),$M545&gt;(ROW(PLE.lastrow)-ROW(PLE.firstrow))),0,IF(OFFSET(PLE!$G$14,$M545,CL$13)="",10^12,OFFSET(PLE!$G$14,$M545,CL$13))))</f>
        <v>1000000000000</v>
      </c>
      <c r="CM545" s="216">
        <f ca="1">IF($D545&lt;&gt;"Serviço",0,IF(OR(AND(AUTOEVENTO="Manual",$M545=1),$M545&gt;(ROW(PLE.lastrow)-ROW(PLE.firstrow))),0,IF(OFFSET(PLE!$G$14,$M545,CM$13)="",10^12,OFFSET(PLE!$G$14,$M545,CM$13))))</f>
        <v>1000000000000</v>
      </c>
    </row>
    <row r="546" spans="1:91" ht="13.2" x14ac:dyDescent="0.25">
      <c r="A546" s="9">
        <f t="shared" ca="1" si="17"/>
        <v>0</v>
      </c>
      <c r="B546" s="9" t="str">
        <f ca="1">OFFSET(ORÇAMENTO!C$15,ROW(B546)-ROW(B$15),0)</f>
        <v>S</v>
      </c>
      <c r="C546" s="9" t="str">
        <f ca="1">OFFSET(ORÇAMENTO!L$15,ROW(C546)-ROW(C$15),0)</f>
        <v/>
      </c>
      <c r="D546" s="145" t="str">
        <f ca="1">OFFSET(ORÇAMENTO!N$15,ROW(D546)-ROW(D$15),0)</f>
        <v>Serviço</v>
      </c>
      <c r="E546" s="205" t="str">
        <f ca="1">OFFSET(ORÇAMENTO!O$15,ROW(E546)-ROW(E$15),0)</f>
        <v>-</v>
      </c>
      <c r="F546" s="206" t="str">
        <f ca="1">OFFSET(ORÇAMENTO!R$15,ROW(F546)-ROW(F$15),0)</f>
        <v>(abra o arquivo 'Referência 05-2024.xls)</v>
      </c>
      <c r="G546" s="207" t="str">
        <f ca="1">IF($D546&lt;&gt;"Serviço","",OFFSET(ORÇAMENTO!S$15,ROW(G546)-ROW(G$15),0))</f>
        <v>-</v>
      </c>
      <c r="H546" s="151">
        <f ca="1">IF($D546&lt;&gt;"Serviço",0,IF(ACOMPANHAMENTO="BM",ROUND(OFFSET(ORÇAMENTO!AJ$15,ROW(H546)-ROW(H$15),0),15-13*ORÇAMENTO!$AF$7),SUMPRODUCT(($Q$12:$AI$12&lt;&gt;"")*ROUND($Q546:$AI546,15-13*ORÇAMENTO!$AF$7))))</f>
        <v>2</v>
      </c>
      <c r="I546" s="650"/>
      <c r="K546" s="208"/>
      <c r="L546" s="209" t="s">
        <v>257</v>
      </c>
      <c r="M546" s="210">
        <f ca="1">IF($D546&lt;&gt;"Serviço","",IF(AUTOEVENTO="manual",$A546,IF(ISERROR(MATCH($A546,$A$15:OFFSET($A546,-1,0),0)),MAX($M$15:OFFSET(M546,-1,0))+1,INDEX($M$15:OFFSET(M546,-1,0),MATCH($A546,$A$15:OFFSET($A546,-1,0),0)))))</f>
        <v>0</v>
      </c>
      <c r="N546" s="211" t="str">
        <f ca="1">IF($D546&lt;&gt;"Serviço","",IF(AUTOEVENTO="Manual",IF($A546=0,"&lt;-- defina o número do agrupador",OFFSET(EVENTOS!$D$14,$A546,0)),OFFSET($F$15,$A546,0)))</f>
        <v>&lt;-- defina o número do agrupador</v>
      </c>
      <c r="O546" s="212"/>
      <c r="Q546" s="212"/>
      <c r="R546" s="213"/>
      <c r="S546" s="213"/>
      <c r="T546" s="213"/>
      <c r="U546" s="213"/>
      <c r="V546" s="213"/>
      <c r="W546" s="213"/>
      <c r="X546" s="213"/>
      <c r="Y546" s="213"/>
      <c r="Z546" s="214"/>
      <c r="AA546" s="213"/>
      <c r="AB546" s="213"/>
      <c r="AC546" s="213"/>
      <c r="AD546" s="213"/>
      <c r="AE546" s="213"/>
      <c r="AF546" s="213"/>
      <c r="AG546" s="213"/>
      <c r="AH546" s="214"/>
      <c r="AJ546" s="631">
        <f ca="1">IF(AND($D546="Serviço",AJ$12&lt;&gt;0,$H546&gt;0,OR(AUTOEVENTO&lt;&gt;"manual",$M546&lt;&gt;1)),ROUND(OFFSET($P546,0,AJ$13),15-13*ORÇAMENTO!$AF$7)/$H546*OFFSET(ORÇAMENTO!$X$15,ROW(AJ546)-ROW(AJ$15),0),0)</f>
        <v>0</v>
      </c>
      <c r="AK546" s="632">
        <f ca="1">IF(AND($D546="Serviço",AK$12&lt;&gt;0,$H546&gt;0,OR(AUTOEVENTO&lt;&gt;"manual",$M546&lt;&gt;1)),ROUND(OFFSET($P546,0,AK$13),15-13*ORÇAMENTO!$AF$7)/$H546*OFFSET(ORÇAMENTO!$X$15,ROW(AK546)-ROW(AK$15),0),0)</f>
        <v>0</v>
      </c>
      <c r="AL546" s="632">
        <f ca="1">IF(AND($D546="Serviço",AL$12&lt;&gt;0,$H546&gt;0,OR(AUTOEVENTO&lt;&gt;"manual",$M546&lt;&gt;1)),ROUND(OFFSET($P546,0,AL$13),15-13*ORÇAMENTO!$AF$7)/$H546*OFFSET(ORÇAMENTO!$X$15,ROW(AL546)-ROW(AL$15),0),0)</f>
        <v>0</v>
      </c>
      <c r="AM546" s="632">
        <f ca="1">IF(AND($D546="Serviço",AM$12&lt;&gt;0,$H546&gt;0,OR(AUTOEVENTO&lt;&gt;"manual",$M546&lt;&gt;1)),ROUND(OFFSET($P546,0,AM$13),15-13*ORÇAMENTO!$AF$7)/$H546*OFFSET(ORÇAMENTO!$X$15,ROW(AM546)-ROW(AM$15),0),0)</f>
        <v>0</v>
      </c>
      <c r="AN546" s="632">
        <f ca="1">IF(AND($D546="Serviço",AN$12&lt;&gt;0,$H546&gt;0,OR(AUTOEVENTO&lt;&gt;"manual",$M546&lt;&gt;1)),ROUND(OFFSET($P546,0,AN$13),15-13*ORÇAMENTO!$AF$7)/$H546*OFFSET(ORÇAMENTO!$X$15,ROW(AN546)-ROW(AN$15),0),0)</f>
        <v>0</v>
      </c>
      <c r="AO546" s="632">
        <f ca="1">IF(AND($D546="Serviço",AO$12&lt;&gt;0,$H546&gt;0,OR(AUTOEVENTO&lt;&gt;"manual",$M546&lt;&gt;1)),ROUND(OFFSET($P546,0,AO$13),15-13*ORÇAMENTO!$AF$7)/$H546*OFFSET(ORÇAMENTO!$X$15,ROW(AO546)-ROW(AO$15),0),0)</f>
        <v>0</v>
      </c>
      <c r="AP546" s="632">
        <f ca="1">IF(AND($D546="Serviço",AP$12&lt;&gt;0,$H546&gt;0,OR(AUTOEVENTO&lt;&gt;"manual",$M546&lt;&gt;1)),ROUND(OFFSET($P546,0,AP$13),15-13*ORÇAMENTO!$AF$7)/$H546*OFFSET(ORÇAMENTO!$X$15,ROW(AP546)-ROW(AP$15),0),0)</f>
        <v>0</v>
      </c>
      <c r="AQ546" s="632">
        <f ca="1">IF(AND($D546="Serviço",AQ$12&lt;&gt;0,$H546&gt;0,OR(AUTOEVENTO&lt;&gt;"manual",$M546&lt;&gt;1)),ROUND(OFFSET($P546,0,AQ$13),15-13*ORÇAMENTO!$AF$7)/$H546*OFFSET(ORÇAMENTO!$X$15,ROW(AQ546)-ROW(AQ$15),0),0)</f>
        <v>0</v>
      </c>
      <c r="AR546" s="632">
        <f ca="1">IF(AND($D546="Serviço",AR$12&lt;&gt;0,$H546&gt;0,OR(AUTOEVENTO&lt;&gt;"manual",$M546&lt;&gt;1)),ROUND(OFFSET($P546,0,AR$13),15-13*ORÇAMENTO!$AF$7)/$H546*OFFSET(ORÇAMENTO!$X$15,ROW(AR546)-ROW(AR$15),0),0)</f>
        <v>0</v>
      </c>
      <c r="AS546" s="633">
        <f ca="1">IF(AND($D546="Serviço",AS$12&lt;&gt;0,$H546&gt;0,OR(AUTOEVENTO&lt;&gt;"manual",$M546&lt;&gt;1)),ROUND(OFFSET($P546,0,AS$13),15-13*ORÇAMENTO!$AF$7)/$H546*OFFSET(ORÇAMENTO!$X$15,ROW(AS546)-ROW(AS$15),0),0)</f>
        <v>0</v>
      </c>
      <c r="AT546" s="632">
        <f ca="1">IF(AND($D546="Serviço",AT$12&lt;&gt;0,$H546&gt;0,OR(AUTOEVENTO&lt;&gt;"manual",$M546&lt;&gt;1)),ROUND(OFFSET($P546,0,AT$13),15-13*ORÇAMENTO!$AF$7)/$H546*OFFSET(ORÇAMENTO!$X$15,ROW(AT546)-ROW(AT$15),0),0)</f>
        <v>0</v>
      </c>
      <c r="AU546" s="632">
        <f ca="1">IF(AND($D546="Serviço",AU$12&lt;&gt;0,$H546&gt;0,OR(AUTOEVENTO&lt;&gt;"manual",$M546&lt;&gt;1)),ROUND(OFFSET($P546,0,AU$13),15-13*ORÇAMENTO!$AF$7)/$H546*OFFSET(ORÇAMENTO!$X$15,ROW(AU546)-ROW(AU$15),0),0)</f>
        <v>0</v>
      </c>
      <c r="AV546" s="632">
        <f ca="1">IF(AND($D546="Serviço",AV$12&lt;&gt;0,$H546&gt;0,OR(AUTOEVENTO&lt;&gt;"manual",$M546&lt;&gt;1)),ROUND(OFFSET($P546,0,AV$13),15-13*ORÇAMENTO!$AF$7)/$H546*OFFSET(ORÇAMENTO!$X$15,ROW(AV546)-ROW(AV$15),0),0)</f>
        <v>0</v>
      </c>
      <c r="AW546" s="632">
        <f ca="1">IF(AND($D546="Serviço",AW$12&lt;&gt;0,$H546&gt;0,OR(AUTOEVENTO&lt;&gt;"manual",$M546&lt;&gt;1)),ROUND(OFFSET($P546,0,AW$13),15-13*ORÇAMENTO!$AF$7)/$H546*OFFSET(ORÇAMENTO!$X$15,ROW(AW546)-ROW(AW$15),0),0)</f>
        <v>0</v>
      </c>
      <c r="AX546" s="632">
        <f ca="1">IF(AND($D546="Serviço",AX$12&lt;&gt;0,$H546&gt;0,OR(AUTOEVENTO&lt;&gt;"manual",$M546&lt;&gt;1)),ROUND(OFFSET($P546,0,AX$13),15-13*ORÇAMENTO!$AF$7)/$H546*OFFSET(ORÇAMENTO!$X$15,ROW(AX546)-ROW(AX$15),0),0)</f>
        <v>0</v>
      </c>
      <c r="AY546" s="632">
        <f ca="1">IF(AND($D546="Serviço",AY$12&lt;&gt;0,$H546&gt;0,OR(AUTOEVENTO&lt;&gt;"manual",$M546&lt;&gt;1)),ROUND(OFFSET($P546,0,AY$13),15-13*ORÇAMENTO!$AF$7)/$H546*OFFSET(ORÇAMENTO!$X$15,ROW(AY546)-ROW(AY$15),0),0)</f>
        <v>0</v>
      </c>
      <c r="AZ546" s="632">
        <f ca="1">IF(AND($D546="Serviço",AZ$12&lt;&gt;0,$H546&gt;0,OR(AUTOEVENTO&lt;&gt;"manual",$M546&lt;&gt;1)),ROUND(OFFSET($P546,0,AZ$13),15-13*ORÇAMENTO!$AF$7)/$H546*OFFSET(ORÇAMENTO!$X$15,ROW(AZ546)-ROW(AZ$15),0),0)</f>
        <v>0</v>
      </c>
      <c r="BA546" s="633">
        <f ca="1">IF(AND($D546="Serviço",BA$12&lt;&gt;0,$H546&gt;0,OR(AUTOEVENTO&lt;&gt;"manual",$M546&lt;&gt;1)),ROUND(OFFSET($P546,0,BA$13),15-13*ORÇAMENTO!$AF$7)/$H546*OFFSET(ORÇAMENTO!$X$15,ROW(BA546)-ROW(BA$15),0),0)</f>
        <v>0</v>
      </c>
      <c r="BC546" s="215">
        <f ca="1">IF($D546&lt;&gt;"Serviço",0,IF(AND(AUTOEVENTO="Manual",$M546=1),0,IF(OFFSET(CRONOPLE!$F$14,$M546,BC$13)="",10^12,OFFSET(CRONOPLE!$F$14,$M546,BC$13))))</f>
        <v>1000000000000</v>
      </c>
      <c r="BD546" s="215">
        <f ca="1">IF($D546&lt;&gt;"Serviço",0,IF(AND(AUTOEVENTO="Manual",$M546=1),0,IF(OFFSET(CRONOPLE!$F$14,$M546,BD$13)="",10^12,OFFSET(CRONOPLE!$F$14,$M546,BD$13))))</f>
        <v>1000000000000</v>
      </c>
      <c r="BE546" s="215">
        <f ca="1">IF($D546&lt;&gt;"Serviço",0,IF(AND(AUTOEVENTO="Manual",$M546=1),0,IF(OFFSET(CRONOPLE!$F$14,$M546,BE$13)="",10^12,OFFSET(CRONOPLE!$F$14,$M546,BE$13))))</f>
        <v>1000000000000</v>
      </c>
      <c r="BF546" s="215">
        <f ca="1">IF($D546&lt;&gt;"Serviço",0,IF(AND(AUTOEVENTO="Manual",$M546=1),0,IF(OFFSET(CRONOPLE!$F$14,$M546,BF$13)="",10^12,OFFSET(CRONOPLE!$F$14,$M546,BF$13))))</f>
        <v>1000000000000</v>
      </c>
      <c r="BG546" s="215">
        <f ca="1">IF($D546&lt;&gt;"Serviço",0,IF(AND(AUTOEVENTO="Manual",$M546=1),0,IF(OFFSET(CRONOPLE!$F$14,$M546,BG$13)="",10^12,OFFSET(CRONOPLE!$F$14,$M546,BG$13))))</f>
        <v>1000000000000</v>
      </c>
      <c r="BH546" s="215">
        <f ca="1">IF($D546&lt;&gt;"Serviço",0,IF(AND(AUTOEVENTO="Manual",$M546=1),0,IF(OFFSET(CRONOPLE!$F$14,$M546,BH$13)="",10^12,OFFSET(CRONOPLE!$F$14,$M546,BH$13))))</f>
        <v>1000000000000</v>
      </c>
      <c r="BI546" s="215">
        <f ca="1">IF($D546&lt;&gt;"Serviço",0,IF(AND(AUTOEVENTO="Manual",$M546=1),0,IF(OFFSET(CRONOPLE!$F$14,$M546,BI$13)="",10^12,OFFSET(CRONOPLE!$F$14,$M546,BI$13))))</f>
        <v>1000000000000</v>
      </c>
      <c r="BJ546" s="215">
        <f ca="1">IF($D546&lt;&gt;"Serviço",0,IF(AND(AUTOEVENTO="Manual",$M546=1),0,IF(OFFSET(CRONOPLE!$F$14,$M546,BJ$13)="",10^12,OFFSET(CRONOPLE!$F$14,$M546,BJ$13))))</f>
        <v>1000000000000</v>
      </c>
      <c r="BK546" s="215">
        <f ca="1">IF($D546&lt;&gt;"Serviço",0,IF(AND(AUTOEVENTO="Manual",$M546=1),0,IF(OFFSET(CRONOPLE!$F$14,$M546,BK$13)="",10^12,OFFSET(CRONOPLE!$F$14,$M546,BK$13))))</f>
        <v>1000000000000</v>
      </c>
      <c r="BL546" s="215">
        <f ca="1">IF($D546&lt;&gt;"Serviço",0,IF(AND(AUTOEVENTO="Manual",$M546=1),0,IF(OFFSET(CRONOPLE!$F$14,$M546,BL$13)="",10^12,OFFSET(CRONOPLE!$F$14,$M546,BL$13))))</f>
        <v>1000000000000</v>
      </c>
      <c r="BM546" s="215">
        <f ca="1">IF($D546&lt;&gt;"Serviço",0,IF(AND(AUTOEVENTO="Manual",$M546=1),0,IF(OFFSET(CRONOPLE!$F$14,$M546,BM$13)="",10^12,OFFSET(CRONOPLE!$F$14,$M546,BM$13))))</f>
        <v>1000000000000</v>
      </c>
      <c r="BN546" s="215">
        <f ca="1">IF($D546&lt;&gt;"Serviço",0,IF(AND(AUTOEVENTO="Manual",$M546=1),0,IF(OFFSET(CRONOPLE!$F$14,$M546,BN$13)="",10^12,OFFSET(CRONOPLE!$F$14,$M546,BN$13))))</f>
        <v>1000000000000</v>
      </c>
      <c r="BO546" s="215">
        <f ca="1">IF($D546&lt;&gt;"Serviço",0,IF(AND(AUTOEVENTO="Manual",$M546=1),0,IF(OFFSET(CRONOPLE!$F$14,$M546,BO$13)="",10^12,OFFSET(CRONOPLE!$F$14,$M546,BO$13))))</f>
        <v>1000000000000</v>
      </c>
      <c r="BP546" s="215">
        <f ca="1">IF($D546&lt;&gt;"Serviço",0,IF(AND(AUTOEVENTO="Manual",$M546=1),0,IF(OFFSET(CRONOPLE!$F$14,$M546,BP$13)="",10^12,OFFSET(CRONOPLE!$F$14,$M546,BP$13))))</f>
        <v>1000000000000</v>
      </c>
      <c r="BQ546" s="215">
        <f ca="1">IF($D546&lt;&gt;"Serviço",0,IF(AND(AUTOEVENTO="Manual",$M546=1),0,IF(OFFSET(CRONOPLE!$F$14,$M546,BQ$13)="",10^12,OFFSET(CRONOPLE!$F$14,$M546,BQ$13))))</f>
        <v>1000000000000</v>
      </c>
      <c r="BR546" s="215">
        <f ca="1">IF($D546&lt;&gt;"Serviço",0,IF(AND(AUTOEVENTO="Manual",$M546=1),0,IF(OFFSET(CRONOPLE!$F$14,$M546,BR$13)="",10^12,OFFSET(CRONOPLE!$F$14,$M546,BR$13))))</f>
        <v>1000000000000</v>
      </c>
      <c r="BS546" s="215">
        <f ca="1">IF($D546&lt;&gt;"Serviço",0,IF(AND(AUTOEVENTO="Manual",$M546=1),0,IF(OFFSET(CRONOPLE!$F$14,$M546,BS$13)="",10^12,OFFSET(CRONOPLE!$F$14,$M546,BS$13))))</f>
        <v>1000000000000</v>
      </c>
      <c r="BT546" s="215">
        <f ca="1">IF($D546&lt;&gt;"Serviço",0,IF(AND(AUTOEVENTO="Manual",$M546=1),0,IF(OFFSET(CRONOPLE!$F$14,$M546,BT$13)="",10^12,OFFSET(CRONOPLE!$F$14,$M546,BT$13))))</f>
        <v>1000000000000</v>
      </c>
      <c r="BV546" s="216">
        <f ca="1">IF($D546&lt;&gt;"Serviço",0,IF(OR(AND(AUTOEVENTO="Manual",$M546=1),$M546&gt;(ROW(PLE.lastrow)-ROW(PLE.firstrow))),0,IF(OFFSET(PLE!$G$14,$M546,BV$13)="",10^12,OFFSET(PLE!$G$14,$M546,BV$13))))</f>
        <v>1000000000000</v>
      </c>
      <c r="BW546" s="216">
        <f ca="1">IF($D546&lt;&gt;"Serviço",0,IF(OR(AND(AUTOEVENTO="Manual",$M546=1),$M546&gt;(ROW(PLE.lastrow)-ROW(PLE.firstrow))),0,IF(OFFSET(PLE!$G$14,$M546,BW$13)="",10^12,OFFSET(PLE!$G$14,$M546,BW$13))))</f>
        <v>1000000000000</v>
      </c>
      <c r="BX546" s="216">
        <f ca="1">IF($D546&lt;&gt;"Serviço",0,IF(OR(AND(AUTOEVENTO="Manual",$M546=1),$M546&gt;(ROW(PLE.lastrow)-ROW(PLE.firstrow))),0,IF(OFFSET(PLE!$G$14,$M546,BX$13)="",10^12,OFFSET(PLE!$G$14,$M546,BX$13))))</f>
        <v>1000000000000</v>
      </c>
      <c r="BY546" s="216">
        <f ca="1">IF($D546&lt;&gt;"Serviço",0,IF(OR(AND(AUTOEVENTO="Manual",$M546=1),$M546&gt;(ROW(PLE.lastrow)-ROW(PLE.firstrow))),0,IF(OFFSET(PLE!$G$14,$M546,BY$13)="",10^12,OFFSET(PLE!$G$14,$M546,BY$13))))</f>
        <v>1000000000000</v>
      </c>
      <c r="BZ546" s="216">
        <f ca="1">IF($D546&lt;&gt;"Serviço",0,IF(OR(AND(AUTOEVENTO="Manual",$M546=1),$M546&gt;(ROW(PLE.lastrow)-ROW(PLE.firstrow))),0,IF(OFFSET(PLE!$G$14,$M546,BZ$13)="",10^12,OFFSET(PLE!$G$14,$M546,BZ$13))))</f>
        <v>1000000000000</v>
      </c>
      <c r="CA546" s="216">
        <f ca="1">IF($D546&lt;&gt;"Serviço",0,IF(OR(AND(AUTOEVENTO="Manual",$M546=1),$M546&gt;(ROW(PLE.lastrow)-ROW(PLE.firstrow))),0,IF(OFFSET(PLE!$G$14,$M546,CA$13)="",10^12,OFFSET(PLE!$G$14,$M546,CA$13))))</f>
        <v>1000000000000</v>
      </c>
      <c r="CB546" s="216">
        <f ca="1">IF($D546&lt;&gt;"Serviço",0,IF(OR(AND(AUTOEVENTO="Manual",$M546=1),$M546&gt;(ROW(PLE.lastrow)-ROW(PLE.firstrow))),0,IF(OFFSET(PLE!$G$14,$M546,CB$13)="",10^12,OFFSET(PLE!$G$14,$M546,CB$13))))</f>
        <v>1000000000000</v>
      </c>
      <c r="CC546" s="216">
        <f ca="1">IF($D546&lt;&gt;"Serviço",0,IF(OR(AND(AUTOEVENTO="Manual",$M546=1),$M546&gt;(ROW(PLE.lastrow)-ROW(PLE.firstrow))),0,IF(OFFSET(PLE!$G$14,$M546,CC$13)="",10^12,OFFSET(PLE!$G$14,$M546,CC$13))))</f>
        <v>1000000000000</v>
      </c>
      <c r="CD546" s="216">
        <f ca="1">IF($D546&lt;&gt;"Serviço",0,IF(OR(AND(AUTOEVENTO="Manual",$M546=1),$M546&gt;(ROW(PLE.lastrow)-ROW(PLE.firstrow))),0,IF(OFFSET(PLE!$G$14,$M546,CD$13)="",10^12,OFFSET(PLE!$G$14,$M546,CD$13))))</f>
        <v>1000000000000</v>
      </c>
      <c r="CE546" s="216">
        <f ca="1">IF($D546&lt;&gt;"Serviço",0,IF(OR(AND(AUTOEVENTO="Manual",$M546=1),$M546&gt;(ROW(PLE.lastrow)-ROW(PLE.firstrow))),0,IF(OFFSET(PLE!$G$14,$M546,CE$13)="",10^12,OFFSET(PLE!$G$14,$M546,CE$13))))</f>
        <v>1000000000000</v>
      </c>
      <c r="CF546" s="216">
        <f ca="1">IF($D546&lt;&gt;"Serviço",0,IF(OR(AND(AUTOEVENTO="Manual",$M546=1),$M546&gt;(ROW(PLE.lastrow)-ROW(PLE.firstrow))),0,IF(OFFSET(PLE!$G$14,$M546,CF$13)="",10^12,OFFSET(PLE!$G$14,$M546,CF$13))))</f>
        <v>1000000000000</v>
      </c>
      <c r="CG546" s="216">
        <f ca="1">IF($D546&lt;&gt;"Serviço",0,IF(OR(AND(AUTOEVENTO="Manual",$M546=1),$M546&gt;(ROW(PLE.lastrow)-ROW(PLE.firstrow))),0,IF(OFFSET(PLE!$G$14,$M546,CG$13)="",10^12,OFFSET(PLE!$G$14,$M546,CG$13))))</f>
        <v>1000000000000</v>
      </c>
      <c r="CH546" s="216">
        <f ca="1">IF($D546&lt;&gt;"Serviço",0,IF(OR(AND(AUTOEVENTO="Manual",$M546=1),$M546&gt;(ROW(PLE.lastrow)-ROW(PLE.firstrow))),0,IF(OFFSET(PLE!$G$14,$M546,CH$13)="",10^12,OFFSET(PLE!$G$14,$M546,CH$13))))</f>
        <v>1000000000000</v>
      </c>
      <c r="CI546" s="216">
        <f ca="1">IF($D546&lt;&gt;"Serviço",0,IF(OR(AND(AUTOEVENTO="Manual",$M546=1),$M546&gt;(ROW(PLE.lastrow)-ROW(PLE.firstrow))),0,IF(OFFSET(PLE!$G$14,$M546,CI$13)="",10^12,OFFSET(PLE!$G$14,$M546,CI$13))))</f>
        <v>1000000000000</v>
      </c>
      <c r="CJ546" s="216">
        <f ca="1">IF($D546&lt;&gt;"Serviço",0,IF(OR(AND(AUTOEVENTO="Manual",$M546=1),$M546&gt;(ROW(PLE.lastrow)-ROW(PLE.firstrow))),0,IF(OFFSET(PLE!$G$14,$M546,CJ$13)="",10^12,OFFSET(PLE!$G$14,$M546,CJ$13))))</f>
        <v>1000000000000</v>
      </c>
      <c r="CK546" s="216">
        <f ca="1">IF($D546&lt;&gt;"Serviço",0,IF(OR(AND(AUTOEVENTO="Manual",$M546=1),$M546&gt;(ROW(PLE.lastrow)-ROW(PLE.firstrow))),0,IF(OFFSET(PLE!$G$14,$M546,CK$13)="",10^12,OFFSET(PLE!$G$14,$M546,CK$13))))</f>
        <v>1000000000000</v>
      </c>
      <c r="CL546" s="216">
        <f ca="1">IF($D546&lt;&gt;"Serviço",0,IF(OR(AND(AUTOEVENTO="Manual",$M546=1),$M546&gt;(ROW(PLE.lastrow)-ROW(PLE.firstrow))),0,IF(OFFSET(PLE!$G$14,$M546,CL$13)="",10^12,OFFSET(PLE!$G$14,$M546,CL$13))))</f>
        <v>1000000000000</v>
      </c>
      <c r="CM546" s="216">
        <f ca="1">IF($D546&lt;&gt;"Serviço",0,IF(OR(AND(AUTOEVENTO="Manual",$M546=1),$M546&gt;(ROW(PLE.lastrow)-ROW(PLE.firstrow))),0,IF(OFFSET(PLE!$G$14,$M546,CM$13)="",10^12,OFFSET(PLE!$G$14,$M546,CM$13))))</f>
        <v>1000000000000</v>
      </c>
    </row>
    <row r="547" spans="1:91" ht="13.2" x14ac:dyDescent="0.25">
      <c r="A547" s="9">
        <f t="shared" ca="1" si="17"/>
        <v>0</v>
      </c>
      <c r="B547" s="9" t="str">
        <f ca="1">OFFSET(ORÇAMENTO!C$15,ROW(B547)-ROW(B$15),0)</f>
        <v>S</v>
      </c>
      <c r="C547" s="9" t="str">
        <f ca="1">OFFSET(ORÇAMENTO!L$15,ROW(C547)-ROW(C$15),0)</f>
        <v/>
      </c>
      <c r="D547" s="145" t="str">
        <f ca="1">OFFSET(ORÇAMENTO!N$15,ROW(D547)-ROW(D$15),0)</f>
        <v>Serviço</v>
      </c>
      <c r="E547" s="205" t="str">
        <f ca="1">OFFSET(ORÇAMENTO!O$15,ROW(E547)-ROW(E$15),0)</f>
        <v>-</v>
      </c>
      <c r="F547" s="206" t="str">
        <f ca="1">OFFSET(ORÇAMENTO!R$15,ROW(F547)-ROW(F$15),0)</f>
        <v>(abra o arquivo 'Referência 05-2024.xls)</v>
      </c>
      <c r="G547" s="207" t="str">
        <f ca="1">IF($D547&lt;&gt;"Serviço","",OFFSET(ORÇAMENTO!S$15,ROW(G547)-ROW(G$15),0))</f>
        <v>-</v>
      </c>
      <c r="H547" s="151">
        <f ca="1">IF($D547&lt;&gt;"Serviço",0,IF(ACOMPANHAMENTO="BM",ROUND(OFFSET(ORÇAMENTO!AJ$15,ROW(H547)-ROW(H$15),0),15-13*ORÇAMENTO!$AF$7),SUMPRODUCT(($Q$12:$AI$12&lt;&gt;"")*ROUND($Q547:$AI547,15-13*ORÇAMENTO!$AF$7))))</f>
        <v>2</v>
      </c>
      <c r="I547" s="650"/>
      <c r="K547" s="208"/>
      <c r="L547" s="209" t="s">
        <v>257</v>
      </c>
      <c r="M547" s="210">
        <f ca="1">IF($D547&lt;&gt;"Serviço","",IF(AUTOEVENTO="manual",$A547,IF(ISERROR(MATCH($A547,$A$15:OFFSET($A547,-1,0),0)),MAX($M$15:OFFSET(M547,-1,0))+1,INDEX($M$15:OFFSET(M547,-1,0),MATCH($A547,$A$15:OFFSET($A547,-1,0),0)))))</f>
        <v>0</v>
      </c>
      <c r="N547" s="211" t="str">
        <f ca="1">IF($D547&lt;&gt;"Serviço","",IF(AUTOEVENTO="Manual",IF($A547=0,"&lt;-- defina o número do agrupador",OFFSET(EVENTOS!$D$14,$A547,0)),OFFSET($F$15,$A547,0)))</f>
        <v>&lt;-- defina o número do agrupador</v>
      </c>
      <c r="O547" s="212"/>
      <c r="Q547" s="212"/>
      <c r="R547" s="213"/>
      <c r="S547" s="213"/>
      <c r="T547" s="213"/>
      <c r="U547" s="213"/>
      <c r="V547" s="213"/>
      <c r="W547" s="213"/>
      <c r="X547" s="213"/>
      <c r="Y547" s="213"/>
      <c r="Z547" s="214"/>
      <c r="AA547" s="213"/>
      <c r="AB547" s="213"/>
      <c r="AC547" s="213"/>
      <c r="AD547" s="213"/>
      <c r="AE547" s="213"/>
      <c r="AF547" s="213"/>
      <c r="AG547" s="213"/>
      <c r="AH547" s="214"/>
      <c r="AJ547" s="631">
        <f ca="1">IF(AND($D547="Serviço",AJ$12&lt;&gt;0,$H547&gt;0,OR(AUTOEVENTO&lt;&gt;"manual",$M547&lt;&gt;1)),ROUND(OFFSET($P547,0,AJ$13),15-13*ORÇAMENTO!$AF$7)/$H547*OFFSET(ORÇAMENTO!$X$15,ROW(AJ547)-ROW(AJ$15),0),0)</f>
        <v>0</v>
      </c>
      <c r="AK547" s="632">
        <f ca="1">IF(AND($D547="Serviço",AK$12&lt;&gt;0,$H547&gt;0,OR(AUTOEVENTO&lt;&gt;"manual",$M547&lt;&gt;1)),ROUND(OFFSET($P547,0,AK$13),15-13*ORÇAMENTO!$AF$7)/$H547*OFFSET(ORÇAMENTO!$X$15,ROW(AK547)-ROW(AK$15),0),0)</f>
        <v>0</v>
      </c>
      <c r="AL547" s="632">
        <f ca="1">IF(AND($D547="Serviço",AL$12&lt;&gt;0,$H547&gt;0,OR(AUTOEVENTO&lt;&gt;"manual",$M547&lt;&gt;1)),ROUND(OFFSET($P547,0,AL$13),15-13*ORÇAMENTO!$AF$7)/$H547*OFFSET(ORÇAMENTO!$X$15,ROW(AL547)-ROW(AL$15),0),0)</f>
        <v>0</v>
      </c>
      <c r="AM547" s="632">
        <f ca="1">IF(AND($D547="Serviço",AM$12&lt;&gt;0,$H547&gt;0,OR(AUTOEVENTO&lt;&gt;"manual",$M547&lt;&gt;1)),ROUND(OFFSET($P547,0,AM$13),15-13*ORÇAMENTO!$AF$7)/$H547*OFFSET(ORÇAMENTO!$X$15,ROW(AM547)-ROW(AM$15),0),0)</f>
        <v>0</v>
      </c>
      <c r="AN547" s="632">
        <f ca="1">IF(AND($D547="Serviço",AN$12&lt;&gt;0,$H547&gt;0,OR(AUTOEVENTO&lt;&gt;"manual",$M547&lt;&gt;1)),ROUND(OFFSET($P547,0,AN$13),15-13*ORÇAMENTO!$AF$7)/$H547*OFFSET(ORÇAMENTO!$X$15,ROW(AN547)-ROW(AN$15),0),0)</f>
        <v>0</v>
      </c>
      <c r="AO547" s="632">
        <f ca="1">IF(AND($D547="Serviço",AO$12&lt;&gt;0,$H547&gt;0,OR(AUTOEVENTO&lt;&gt;"manual",$M547&lt;&gt;1)),ROUND(OFFSET($P547,0,AO$13),15-13*ORÇAMENTO!$AF$7)/$H547*OFFSET(ORÇAMENTO!$X$15,ROW(AO547)-ROW(AO$15),0),0)</f>
        <v>0</v>
      </c>
      <c r="AP547" s="632">
        <f ca="1">IF(AND($D547="Serviço",AP$12&lt;&gt;0,$H547&gt;0,OR(AUTOEVENTO&lt;&gt;"manual",$M547&lt;&gt;1)),ROUND(OFFSET($P547,0,AP$13),15-13*ORÇAMENTO!$AF$7)/$H547*OFFSET(ORÇAMENTO!$X$15,ROW(AP547)-ROW(AP$15),0),0)</f>
        <v>0</v>
      </c>
      <c r="AQ547" s="632">
        <f ca="1">IF(AND($D547="Serviço",AQ$12&lt;&gt;0,$H547&gt;0,OR(AUTOEVENTO&lt;&gt;"manual",$M547&lt;&gt;1)),ROUND(OFFSET($P547,0,AQ$13),15-13*ORÇAMENTO!$AF$7)/$H547*OFFSET(ORÇAMENTO!$X$15,ROW(AQ547)-ROW(AQ$15),0),0)</f>
        <v>0</v>
      </c>
      <c r="AR547" s="632">
        <f ca="1">IF(AND($D547="Serviço",AR$12&lt;&gt;0,$H547&gt;0,OR(AUTOEVENTO&lt;&gt;"manual",$M547&lt;&gt;1)),ROUND(OFFSET($P547,0,AR$13),15-13*ORÇAMENTO!$AF$7)/$H547*OFFSET(ORÇAMENTO!$X$15,ROW(AR547)-ROW(AR$15),0),0)</f>
        <v>0</v>
      </c>
      <c r="AS547" s="633">
        <f ca="1">IF(AND($D547="Serviço",AS$12&lt;&gt;0,$H547&gt;0,OR(AUTOEVENTO&lt;&gt;"manual",$M547&lt;&gt;1)),ROUND(OFFSET($P547,0,AS$13),15-13*ORÇAMENTO!$AF$7)/$H547*OFFSET(ORÇAMENTO!$X$15,ROW(AS547)-ROW(AS$15),0),0)</f>
        <v>0</v>
      </c>
      <c r="AT547" s="632">
        <f ca="1">IF(AND($D547="Serviço",AT$12&lt;&gt;0,$H547&gt;0,OR(AUTOEVENTO&lt;&gt;"manual",$M547&lt;&gt;1)),ROUND(OFFSET($P547,0,AT$13),15-13*ORÇAMENTO!$AF$7)/$H547*OFFSET(ORÇAMENTO!$X$15,ROW(AT547)-ROW(AT$15),0),0)</f>
        <v>0</v>
      </c>
      <c r="AU547" s="632">
        <f ca="1">IF(AND($D547="Serviço",AU$12&lt;&gt;0,$H547&gt;0,OR(AUTOEVENTO&lt;&gt;"manual",$M547&lt;&gt;1)),ROUND(OFFSET($P547,0,AU$13),15-13*ORÇAMENTO!$AF$7)/$H547*OFFSET(ORÇAMENTO!$X$15,ROW(AU547)-ROW(AU$15),0),0)</f>
        <v>0</v>
      </c>
      <c r="AV547" s="632">
        <f ca="1">IF(AND($D547="Serviço",AV$12&lt;&gt;0,$H547&gt;0,OR(AUTOEVENTO&lt;&gt;"manual",$M547&lt;&gt;1)),ROUND(OFFSET($P547,0,AV$13),15-13*ORÇAMENTO!$AF$7)/$H547*OFFSET(ORÇAMENTO!$X$15,ROW(AV547)-ROW(AV$15),0),0)</f>
        <v>0</v>
      </c>
      <c r="AW547" s="632">
        <f ca="1">IF(AND($D547="Serviço",AW$12&lt;&gt;0,$H547&gt;0,OR(AUTOEVENTO&lt;&gt;"manual",$M547&lt;&gt;1)),ROUND(OFFSET($P547,0,AW$13),15-13*ORÇAMENTO!$AF$7)/$H547*OFFSET(ORÇAMENTO!$X$15,ROW(AW547)-ROW(AW$15),0),0)</f>
        <v>0</v>
      </c>
      <c r="AX547" s="632">
        <f ca="1">IF(AND($D547="Serviço",AX$12&lt;&gt;0,$H547&gt;0,OR(AUTOEVENTO&lt;&gt;"manual",$M547&lt;&gt;1)),ROUND(OFFSET($P547,0,AX$13),15-13*ORÇAMENTO!$AF$7)/$H547*OFFSET(ORÇAMENTO!$X$15,ROW(AX547)-ROW(AX$15),0),0)</f>
        <v>0</v>
      </c>
      <c r="AY547" s="632">
        <f ca="1">IF(AND($D547="Serviço",AY$12&lt;&gt;0,$H547&gt;0,OR(AUTOEVENTO&lt;&gt;"manual",$M547&lt;&gt;1)),ROUND(OFFSET($P547,0,AY$13),15-13*ORÇAMENTO!$AF$7)/$H547*OFFSET(ORÇAMENTO!$X$15,ROW(AY547)-ROW(AY$15),0),0)</f>
        <v>0</v>
      </c>
      <c r="AZ547" s="632">
        <f ca="1">IF(AND($D547="Serviço",AZ$12&lt;&gt;0,$H547&gt;0,OR(AUTOEVENTO&lt;&gt;"manual",$M547&lt;&gt;1)),ROUND(OFFSET($P547,0,AZ$13),15-13*ORÇAMENTO!$AF$7)/$H547*OFFSET(ORÇAMENTO!$X$15,ROW(AZ547)-ROW(AZ$15),0),0)</f>
        <v>0</v>
      </c>
      <c r="BA547" s="633">
        <f ca="1">IF(AND($D547="Serviço",BA$12&lt;&gt;0,$H547&gt;0,OR(AUTOEVENTO&lt;&gt;"manual",$M547&lt;&gt;1)),ROUND(OFFSET($P547,0,BA$13),15-13*ORÇAMENTO!$AF$7)/$H547*OFFSET(ORÇAMENTO!$X$15,ROW(BA547)-ROW(BA$15),0),0)</f>
        <v>0</v>
      </c>
      <c r="BC547" s="215">
        <f ca="1">IF($D547&lt;&gt;"Serviço",0,IF(AND(AUTOEVENTO="Manual",$M547=1),0,IF(OFFSET(CRONOPLE!$F$14,$M547,BC$13)="",10^12,OFFSET(CRONOPLE!$F$14,$M547,BC$13))))</f>
        <v>1000000000000</v>
      </c>
      <c r="BD547" s="215">
        <f ca="1">IF($D547&lt;&gt;"Serviço",0,IF(AND(AUTOEVENTO="Manual",$M547=1),0,IF(OFFSET(CRONOPLE!$F$14,$M547,BD$13)="",10^12,OFFSET(CRONOPLE!$F$14,$M547,BD$13))))</f>
        <v>1000000000000</v>
      </c>
      <c r="BE547" s="215">
        <f ca="1">IF($D547&lt;&gt;"Serviço",0,IF(AND(AUTOEVENTO="Manual",$M547=1),0,IF(OFFSET(CRONOPLE!$F$14,$M547,BE$13)="",10^12,OFFSET(CRONOPLE!$F$14,$M547,BE$13))))</f>
        <v>1000000000000</v>
      </c>
      <c r="BF547" s="215">
        <f ca="1">IF($D547&lt;&gt;"Serviço",0,IF(AND(AUTOEVENTO="Manual",$M547=1),0,IF(OFFSET(CRONOPLE!$F$14,$M547,BF$13)="",10^12,OFFSET(CRONOPLE!$F$14,$M547,BF$13))))</f>
        <v>1000000000000</v>
      </c>
      <c r="BG547" s="215">
        <f ca="1">IF($D547&lt;&gt;"Serviço",0,IF(AND(AUTOEVENTO="Manual",$M547=1),0,IF(OFFSET(CRONOPLE!$F$14,$M547,BG$13)="",10^12,OFFSET(CRONOPLE!$F$14,$M547,BG$13))))</f>
        <v>1000000000000</v>
      </c>
      <c r="BH547" s="215">
        <f ca="1">IF($D547&lt;&gt;"Serviço",0,IF(AND(AUTOEVENTO="Manual",$M547=1),0,IF(OFFSET(CRONOPLE!$F$14,$M547,BH$13)="",10^12,OFFSET(CRONOPLE!$F$14,$M547,BH$13))))</f>
        <v>1000000000000</v>
      </c>
      <c r="BI547" s="215">
        <f ca="1">IF($D547&lt;&gt;"Serviço",0,IF(AND(AUTOEVENTO="Manual",$M547=1),0,IF(OFFSET(CRONOPLE!$F$14,$M547,BI$13)="",10^12,OFFSET(CRONOPLE!$F$14,$M547,BI$13))))</f>
        <v>1000000000000</v>
      </c>
      <c r="BJ547" s="215">
        <f ca="1">IF($D547&lt;&gt;"Serviço",0,IF(AND(AUTOEVENTO="Manual",$M547=1),0,IF(OFFSET(CRONOPLE!$F$14,$M547,BJ$13)="",10^12,OFFSET(CRONOPLE!$F$14,$M547,BJ$13))))</f>
        <v>1000000000000</v>
      </c>
      <c r="BK547" s="215">
        <f ca="1">IF($D547&lt;&gt;"Serviço",0,IF(AND(AUTOEVENTO="Manual",$M547=1),0,IF(OFFSET(CRONOPLE!$F$14,$M547,BK$13)="",10^12,OFFSET(CRONOPLE!$F$14,$M547,BK$13))))</f>
        <v>1000000000000</v>
      </c>
      <c r="BL547" s="215">
        <f ca="1">IF($D547&lt;&gt;"Serviço",0,IF(AND(AUTOEVENTO="Manual",$M547=1),0,IF(OFFSET(CRONOPLE!$F$14,$M547,BL$13)="",10^12,OFFSET(CRONOPLE!$F$14,$M547,BL$13))))</f>
        <v>1000000000000</v>
      </c>
      <c r="BM547" s="215">
        <f ca="1">IF($D547&lt;&gt;"Serviço",0,IF(AND(AUTOEVENTO="Manual",$M547=1),0,IF(OFFSET(CRONOPLE!$F$14,$M547,BM$13)="",10^12,OFFSET(CRONOPLE!$F$14,$M547,BM$13))))</f>
        <v>1000000000000</v>
      </c>
      <c r="BN547" s="215">
        <f ca="1">IF($D547&lt;&gt;"Serviço",0,IF(AND(AUTOEVENTO="Manual",$M547=1),0,IF(OFFSET(CRONOPLE!$F$14,$M547,BN$13)="",10^12,OFFSET(CRONOPLE!$F$14,$M547,BN$13))))</f>
        <v>1000000000000</v>
      </c>
      <c r="BO547" s="215">
        <f ca="1">IF($D547&lt;&gt;"Serviço",0,IF(AND(AUTOEVENTO="Manual",$M547=1),0,IF(OFFSET(CRONOPLE!$F$14,$M547,BO$13)="",10^12,OFFSET(CRONOPLE!$F$14,$M547,BO$13))))</f>
        <v>1000000000000</v>
      </c>
      <c r="BP547" s="215">
        <f ca="1">IF($D547&lt;&gt;"Serviço",0,IF(AND(AUTOEVENTO="Manual",$M547=1),0,IF(OFFSET(CRONOPLE!$F$14,$M547,BP$13)="",10^12,OFFSET(CRONOPLE!$F$14,$M547,BP$13))))</f>
        <v>1000000000000</v>
      </c>
      <c r="BQ547" s="215">
        <f ca="1">IF($D547&lt;&gt;"Serviço",0,IF(AND(AUTOEVENTO="Manual",$M547=1),0,IF(OFFSET(CRONOPLE!$F$14,$M547,BQ$13)="",10^12,OFFSET(CRONOPLE!$F$14,$M547,BQ$13))))</f>
        <v>1000000000000</v>
      </c>
      <c r="BR547" s="215">
        <f ca="1">IF($D547&lt;&gt;"Serviço",0,IF(AND(AUTOEVENTO="Manual",$M547=1),0,IF(OFFSET(CRONOPLE!$F$14,$M547,BR$13)="",10^12,OFFSET(CRONOPLE!$F$14,$M547,BR$13))))</f>
        <v>1000000000000</v>
      </c>
      <c r="BS547" s="215">
        <f ca="1">IF($D547&lt;&gt;"Serviço",0,IF(AND(AUTOEVENTO="Manual",$M547=1),0,IF(OFFSET(CRONOPLE!$F$14,$M547,BS$13)="",10^12,OFFSET(CRONOPLE!$F$14,$M547,BS$13))))</f>
        <v>1000000000000</v>
      </c>
      <c r="BT547" s="215">
        <f ca="1">IF($D547&lt;&gt;"Serviço",0,IF(AND(AUTOEVENTO="Manual",$M547=1),0,IF(OFFSET(CRONOPLE!$F$14,$M547,BT$13)="",10^12,OFFSET(CRONOPLE!$F$14,$M547,BT$13))))</f>
        <v>1000000000000</v>
      </c>
      <c r="BV547" s="216">
        <f ca="1">IF($D547&lt;&gt;"Serviço",0,IF(OR(AND(AUTOEVENTO="Manual",$M547=1),$M547&gt;(ROW(PLE.lastrow)-ROW(PLE.firstrow))),0,IF(OFFSET(PLE!$G$14,$M547,BV$13)="",10^12,OFFSET(PLE!$G$14,$M547,BV$13))))</f>
        <v>1000000000000</v>
      </c>
      <c r="BW547" s="216">
        <f ca="1">IF($D547&lt;&gt;"Serviço",0,IF(OR(AND(AUTOEVENTO="Manual",$M547=1),$M547&gt;(ROW(PLE.lastrow)-ROW(PLE.firstrow))),0,IF(OFFSET(PLE!$G$14,$M547,BW$13)="",10^12,OFFSET(PLE!$G$14,$M547,BW$13))))</f>
        <v>1000000000000</v>
      </c>
      <c r="BX547" s="216">
        <f ca="1">IF($D547&lt;&gt;"Serviço",0,IF(OR(AND(AUTOEVENTO="Manual",$M547=1),$M547&gt;(ROW(PLE.lastrow)-ROW(PLE.firstrow))),0,IF(OFFSET(PLE!$G$14,$M547,BX$13)="",10^12,OFFSET(PLE!$G$14,$M547,BX$13))))</f>
        <v>1000000000000</v>
      </c>
      <c r="BY547" s="216">
        <f ca="1">IF($D547&lt;&gt;"Serviço",0,IF(OR(AND(AUTOEVENTO="Manual",$M547=1),$M547&gt;(ROW(PLE.lastrow)-ROW(PLE.firstrow))),0,IF(OFFSET(PLE!$G$14,$M547,BY$13)="",10^12,OFFSET(PLE!$G$14,$M547,BY$13))))</f>
        <v>1000000000000</v>
      </c>
      <c r="BZ547" s="216">
        <f ca="1">IF($D547&lt;&gt;"Serviço",0,IF(OR(AND(AUTOEVENTO="Manual",$M547=1),$M547&gt;(ROW(PLE.lastrow)-ROW(PLE.firstrow))),0,IF(OFFSET(PLE!$G$14,$M547,BZ$13)="",10^12,OFFSET(PLE!$G$14,$M547,BZ$13))))</f>
        <v>1000000000000</v>
      </c>
      <c r="CA547" s="216">
        <f ca="1">IF($D547&lt;&gt;"Serviço",0,IF(OR(AND(AUTOEVENTO="Manual",$M547=1),$M547&gt;(ROW(PLE.lastrow)-ROW(PLE.firstrow))),0,IF(OFFSET(PLE!$G$14,$M547,CA$13)="",10^12,OFFSET(PLE!$G$14,$M547,CA$13))))</f>
        <v>1000000000000</v>
      </c>
      <c r="CB547" s="216">
        <f ca="1">IF($D547&lt;&gt;"Serviço",0,IF(OR(AND(AUTOEVENTO="Manual",$M547=1),$M547&gt;(ROW(PLE.lastrow)-ROW(PLE.firstrow))),0,IF(OFFSET(PLE!$G$14,$M547,CB$13)="",10^12,OFFSET(PLE!$G$14,$M547,CB$13))))</f>
        <v>1000000000000</v>
      </c>
      <c r="CC547" s="216">
        <f ca="1">IF($D547&lt;&gt;"Serviço",0,IF(OR(AND(AUTOEVENTO="Manual",$M547=1),$M547&gt;(ROW(PLE.lastrow)-ROW(PLE.firstrow))),0,IF(OFFSET(PLE!$G$14,$M547,CC$13)="",10^12,OFFSET(PLE!$G$14,$M547,CC$13))))</f>
        <v>1000000000000</v>
      </c>
      <c r="CD547" s="216">
        <f ca="1">IF($D547&lt;&gt;"Serviço",0,IF(OR(AND(AUTOEVENTO="Manual",$M547=1),$M547&gt;(ROW(PLE.lastrow)-ROW(PLE.firstrow))),0,IF(OFFSET(PLE!$G$14,$M547,CD$13)="",10^12,OFFSET(PLE!$G$14,$M547,CD$13))))</f>
        <v>1000000000000</v>
      </c>
      <c r="CE547" s="216">
        <f ca="1">IF($D547&lt;&gt;"Serviço",0,IF(OR(AND(AUTOEVENTO="Manual",$M547=1),$M547&gt;(ROW(PLE.lastrow)-ROW(PLE.firstrow))),0,IF(OFFSET(PLE!$G$14,$M547,CE$13)="",10^12,OFFSET(PLE!$G$14,$M547,CE$13))))</f>
        <v>1000000000000</v>
      </c>
      <c r="CF547" s="216">
        <f ca="1">IF($D547&lt;&gt;"Serviço",0,IF(OR(AND(AUTOEVENTO="Manual",$M547=1),$M547&gt;(ROW(PLE.lastrow)-ROW(PLE.firstrow))),0,IF(OFFSET(PLE!$G$14,$M547,CF$13)="",10^12,OFFSET(PLE!$G$14,$M547,CF$13))))</f>
        <v>1000000000000</v>
      </c>
      <c r="CG547" s="216">
        <f ca="1">IF($D547&lt;&gt;"Serviço",0,IF(OR(AND(AUTOEVENTO="Manual",$M547=1),$M547&gt;(ROW(PLE.lastrow)-ROW(PLE.firstrow))),0,IF(OFFSET(PLE!$G$14,$M547,CG$13)="",10^12,OFFSET(PLE!$G$14,$M547,CG$13))))</f>
        <v>1000000000000</v>
      </c>
      <c r="CH547" s="216">
        <f ca="1">IF($D547&lt;&gt;"Serviço",0,IF(OR(AND(AUTOEVENTO="Manual",$M547=1),$M547&gt;(ROW(PLE.lastrow)-ROW(PLE.firstrow))),0,IF(OFFSET(PLE!$G$14,$M547,CH$13)="",10^12,OFFSET(PLE!$G$14,$M547,CH$13))))</f>
        <v>1000000000000</v>
      </c>
      <c r="CI547" s="216">
        <f ca="1">IF($D547&lt;&gt;"Serviço",0,IF(OR(AND(AUTOEVENTO="Manual",$M547=1),$M547&gt;(ROW(PLE.lastrow)-ROW(PLE.firstrow))),0,IF(OFFSET(PLE!$G$14,$M547,CI$13)="",10^12,OFFSET(PLE!$G$14,$M547,CI$13))))</f>
        <v>1000000000000</v>
      </c>
      <c r="CJ547" s="216">
        <f ca="1">IF($D547&lt;&gt;"Serviço",0,IF(OR(AND(AUTOEVENTO="Manual",$M547=1),$M547&gt;(ROW(PLE.lastrow)-ROW(PLE.firstrow))),0,IF(OFFSET(PLE!$G$14,$M547,CJ$13)="",10^12,OFFSET(PLE!$G$14,$M547,CJ$13))))</f>
        <v>1000000000000</v>
      </c>
      <c r="CK547" s="216">
        <f ca="1">IF($D547&lt;&gt;"Serviço",0,IF(OR(AND(AUTOEVENTO="Manual",$M547=1),$M547&gt;(ROW(PLE.lastrow)-ROW(PLE.firstrow))),0,IF(OFFSET(PLE!$G$14,$M547,CK$13)="",10^12,OFFSET(PLE!$G$14,$M547,CK$13))))</f>
        <v>1000000000000</v>
      </c>
      <c r="CL547" s="216">
        <f ca="1">IF($D547&lt;&gt;"Serviço",0,IF(OR(AND(AUTOEVENTO="Manual",$M547=1),$M547&gt;(ROW(PLE.lastrow)-ROW(PLE.firstrow))),0,IF(OFFSET(PLE!$G$14,$M547,CL$13)="",10^12,OFFSET(PLE!$G$14,$M547,CL$13))))</f>
        <v>1000000000000</v>
      </c>
      <c r="CM547" s="216">
        <f ca="1">IF($D547&lt;&gt;"Serviço",0,IF(OR(AND(AUTOEVENTO="Manual",$M547=1),$M547&gt;(ROW(PLE.lastrow)-ROW(PLE.firstrow))),0,IF(OFFSET(PLE!$G$14,$M547,CM$13)="",10^12,OFFSET(PLE!$G$14,$M547,CM$13))))</f>
        <v>1000000000000</v>
      </c>
    </row>
    <row r="548" spans="1:91" ht="13.2" x14ac:dyDescent="0.25">
      <c r="A548" s="9">
        <f t="shared" ca="1" si="17"/>
        <v>0</v>
      </c>
      <c r="B548" s="9" t="str">
        <f ca="1">OFFSET(ORÇAMENTO!C$15,ROW(B548)-ROW(B$15),0)</f>
        <v>S</v>
      </c>
      <c r="C548" s="9" t="str">
        <f ca="1">OFFSET(ORÇAMENTO!L$15,ROW(C548)-ROW(C$15),0)</f>
        <v/>
      </c>
      <c r="D548" s="145" t="str">
        <f ca="1">OFFSET(ORÇAMENTO!N$15,ROW(D548)-ROW(D$15),0)</f>
        <v>Serviço</v>
      </c>
      <c r="E548" s="205" t="str">
        <f ca="1">OFFSET(ORÇAMENTO!O$15,ROW(E548)-ROW(E$15),0)</f>
        <v>-</v>
      </c>
      <c r="F548" s="206" t="str">
        <f ca="1">OFFSET(ORÇAMENTO!R$15,ROW(F548)-ROW(F$15),0)</f>
        <v>(abra o arquivo 'Referência 05-2024.xls)</v>
      </c>
      <c r="G548" s="207" t="str">
        <f ca="1">IF($D548&lt;&gt;"Serviço","",OFFSET(ORÇAMENTO!S$15,ROW(G548)-ROW(G$15),0))</f>
        <v>-</v>
      </c>
      <c r="H548" s="151">
        <f ca="1">IF($D548&lt;&gt;"Serviço",0,IF(ACOMPANHAMENTO="BM",ROUND(OFFSET(ORÇAMENTO!AJ$15,ROW(H548)-ROW(H$15),0),15-13*ORÇAMENTO!$AF$7),SUMPRODUCT(($Q$12:$AI$12&lt;&gt;"")*ROUND($Q548:$AI548,15-13*ORÇAMENTO!$AF$7))))</f>
        <v>3</v>
      </c>
      <c r="I548" s="650"/>
      <c r="K548" s="208"/>
      <c r="L548" s="209" t="s">
        <v>257</v>
      </c>
      <c r="M548" s="210">
        <f ca="1">IF($D548&lt;&gt;"Serviço","",IF(AUTOEVENTO="manual",$A548,IF(ISERROR(MATCH($A548,$A$15:OFFSET($A548,-1,0),0)),MAX($M$15:OFFSET(M548,-1,0))+1,INDEX($M$15:OFFSET(M548,-1,0),MATCH($A548,$A$15:OFFSET($A548,-1,0),0)))))</f>
        <v>0</v>
      </c>
      <c r="N548" s="211" t="str">
        <f ca="1">IF($D548&lt;&gt;"Serviço","",IF(AUTOEVENTO="Manual",IF($A548=0,"&lt;-- defina o número do agrupador",OFFSET(EVENTOS!$D$14,$A548,0)),OFFSET($F$15,$A548,0)))</f>
        <v>&lt;-- defina o número do agrupador</v>
      </c>
      <c r="O548" s="212"/>
      <c r="Q548" s="212"/>
      <c r="R548" s="213"/>
      <c r="S548" s="213"/>
      <c r="T548" s="213"/>
      <c r="U548" s="213"/>
      <c r="V548" s="213"/>
      <c r="W548" s="213"/>
      <c r="X548" s="213"/>
      <c r="Y548" s="213"/>
      <c r="Z548" s="214"/>
      <c r="AA548" s="213"/>
      <c r="AB548" s="213"/>
      <c r="AC548" s="213"/>
      <c r="AD548" s="213"/>
      <c r="AE548" s="213"/>
      <c r="AF548" s="213"/>
      <c r="AG548" s="213"/>
      <c r="AH548" s="214"/>
      <c r="AJ548" s="631">
        <f ca="1">IF(AND($D548="Serviço",AJ$12&lt;&gt;0,$H548&gt;0,OR(AUTOEVENTO&lt;&gt;"manual",$M548&lt;&gt;1)),ROUND(OFFSET($P548,0,AJ$13),15-13*ORÇAMENTO!$AF$7)/$H548*OFFSET(ORÇAMENTO!$X$15,ROW(AJ548)-ROW(AJ$15),0),0)</f>
        <v>0</v>
      </c>
      <c r="AK548" s="632">
        <f ca="1">IF(AND($D548="Serviço",AK$12&lt;&gt;0,$H548&gt;0,OR(AUTOEVENTO&lt;&gt;"manual",$M548&lt;&gt;1)),ROUND(OFFSET($P548,0,AK$13),15-13*ORÇAMENTO!$AF$7)/$H548*OFFSET(ORÇAMENTO!$X$15,ROW(AK548)-ROW(AK$15),0),0)</f>
        <v>0</v>
      </c>
      <c r="AL548" s="632">
        <f ca="1">IF(AND($D548="Serviço",AL$12&lt;&gt;0,$H548&gt;0,OR(AUTOEVENTO&lt;&gt;"manual",$M548&lt;&gt;1)),ROUND(OFFSET($P548,0,AL$13),15-13*ORÇAMENTO!$AF$7)/$H548*OFFSET(ORÇAMENTO!$X$15,ROW(AL548)-ROW(AL$15),0),0)</f>
        <v>0</v>
      </c>
      <c r="AM548" s="632">
        <f ca="1">IF(AND($D548="Serviço",AM$12&lt;&gt;0,$H548&gt;0,OR(AUTOEVENTO&lt;&gt;"manual",$M548&lt;&gt;1)),ROUND(OFFSET($P548,0,AM$13),15-13*ORÇAMENTO!$AF$7)/$H548*OFFSET(ORÇAMENTO!$X$15,ROW(AM548)-ROW(AM$15),0),0)</f>
        <v>0</v>
      </c>
      <c r="AN548" s="632">
        <f ca="1">IF(AND($D548="Serviço",AN$12&lt;&gt;0,$H548&gt;0,OR(AUTOEVENTO&lt;&gt;"manual",$M548&lt;&gt;1)),ROUND(OFFSET($P548,0,AN$13),15-13*ORÇAMENTO!$AF$7)/$H548*OFFSET(ORÇAMENTO!$X$15,ROW(AN548)-ROW(AN$15),0),0)</f>
        <v>0</v>
      </c>
      <c r="AO548" s="632">
        <f ca="1">IF(AND($D548="Serviço",AO$12&lt;&gt;0,$H548&gt;0,OR(AUTOEVENTO&lt;&gt;"manual",$M548&lt;&gt;1)),ROUND(OFFSET($P548,0,AO$13),15-13*ORÇAMENTO!$AF$7)/$H548*OFFSET(ORÇAMENTO!$X$15,ROW(AO548)-ROW(AO$15),0),0)</f>
        <v>0</v>
      </c>
      <c r="AP548" s="632">
        <f ca="1">IF(AND($D548="Serviço",AP$12&lt;&gt;0,$H548&gt;0,OR(AUTOEVENTO&lt;&gt;"manual",$M548&lt;&gt;1)),ROUND(OFFSET($P548,0,AP$13),15-13*ORÇAMENTO!$AF$7)/$H548*OFFSET(ORÇAMENTO!$X$15,ROW(AP548)-ROW(AP$15),0),0)</f>
        <v>0</v>
      </c>
      <c r="AQ548" s="632">
        <f ca="1">IF(AND($D548="Serviço",AQ$12&lt;&gt;0,$H548&gt;0,OR(AUTOEVENTO&lt;&gt;"manual",$M548&lt;&gt;1)),ROUND(OFFSET($P548,0,AQ$13),15-13*ORÇAMENTO!$AF$7)/$H548*OFFSET(ORÇAMENTO!$X$15,ROW(AQ548)-ROW(AQ$15),0),0)</f>
        <v>0</v>
      </c>
      <c r="AR548" s="632">
        <f ca="1">IF(AND($D548="Serviço",AR$12&lt;&gt;0,$H548&gt;0,OR(AUTOEVENTO&lt;&gt;"manual",$M548&lt;&gt;1)),ROUND(OFFSET($P548,0,AR$13),15-13*ORÇAMENTO!$AF$7)/$H548*OFFSET(ORÇAMENTO!$X$15,ROW(AR548)-ROW(AR$15),0),0)</f>
        <v>0</v>
      </c>
      <c r="AS548" s="633">
        <f ca="1">IF(AND($D548="Serviço",AS$12&lt;&gt;0,$H548&gt;0,OR(AUTOEVENTO&lt;&gt;"manual",$M548&lt;&gt;1)),ROUND(OFFSET($P548,0,AS$13),15-13*ORÇAMENTO!$AF$7)/$H548*OFFSET(ORÇAMENTO!$X$15,ROW(AS548)-ROW(AS$15),0),0)</f>
        <v>0</v>
      </c>
      <c r="AT548" s="632">
        <f ca="1">IF(AND($D548="Serviço",AT$12&lt;&gt;0,$H548&gt;0,OR(AUTOEVENTO&lt;&gt;"manual",$M548&lt;&gt;1)),ROUND(OFFSET($P548,0,AT$13),15-13*ORÇAMENTO!$AF$7)/$H548*OFFSET(ORÇAMENTO!$X$15,ROW(AT548)-ROW(AT$15),0),0)</f>
        <v>0</v>
      </c>
      <c r="AU548" s="632">
        <f ca="1">IF(AND($D548="Serviço",AU$12&lt;&gt;0,$H548&gt;0,OR(AUTOEVENTO&lt;&gt;"manual",$M548&lt;&gt;1)),ROUND(OFFSET($P548,0,AU$13),15-13*ORÇAMENTO!$AF$7)/$H548*OFFSET(ORÇAMENTO!$X$15,ROW(AU548)-ROW(AU$15),0),0)</f>
        <v>0</v>
      </c>
      <c r="AV548" s="632">
        <f ca="1">IF(AND($D548="Serviço",AV$12&lt;&gt;0,$H548&gt;0,OR(AUTOEVENTO&lt;&gt;"manual",$M548&lt;&gt;1)),ROUND(OFFSET($P548,0,AV$13),15-13*ORÇAMENTO!$AF$7)/$H548*OFFSET(ORÇAMENTO!$X$15,ROW(AV548)-ROW(AV$15),0),0)</f>
        <v>0</v>
      </c>
      <c r="AW548" s="632">
        <f ca="1">IF(AND($D548="Serviço",AW$12&lt;&gt;0,$H548&gt;0,OR(AUTOEVENTO&lt;&gt;"manual",$M548&lt;&gt;1)),ROUND(OFFSET($P548,0,AW$13),15-13*ORÇAMENTO!$AF$7)/$H548*OFFSET(ORÇAMENTO!$X$15,ROW(AW548)-ROW(AW$15),0),0)</f>
        <v>0</v>
      </c>
      <c r="AX548" s="632">
        <f ca="1">IF(AND($D548="Serviço",AX$12&lt;&gt;0,$H548&gt;0,OR(AUTOEVENTO&lt;&gt;"manual",$M548&lt;&gt;1)),ROUND(OFFSET($P548,0,AX$13),15-13*ORÇAMENTO!$AF$7)/$H548*OFFSET(ORÇAMENTO!$X$15,ROW(AX548)-ROW(AX$15),0),0)</f>
        <v>0</v>
      </c>
      <c r="AY548" s="632">
        <f ca="1">IF(AND($D548="Serviço",AY$12&lt;&gt;0,$H548&gt;0,OR(AUTOEVENTO&lt;&gt;"manual",$M548&lt;&gt;1)),ROUND(OFFSET($P548,0,AY$13),15-13*ORÇAMENTO!$AF$7)/$H548*OFFSET(ORÇAMENTO!$X$15,ROW(AY548)-ROW(AY$15),0),0)</f>
        <v>0</v>
      </c>
      <c r="AZ548" s="632">
        <f ca="1">IF(AND($D548="Serviço",AZ$12&lt;&gt;0,$H548&gt;0,OR(AUTOEVENTO&lt;&gt;"manual",$M548&lt;&gt;1)),ROUND(OFFSET($P548,0,AZ$13),15-13*ORÇAMENTO!$AF$7)/$H548*OFFSET(ORÇAMENTO!$X$15,ROW(AZ548)-ROW(AZ$15),0),0)</f>
        <v>0</v>
      </c>
      <c r="BA548" s="633">
        <f ca="1">IF(AND($D548="Serviço",BA$12&lt;&gt;0,$H548&gt;0,OR(AUTOEVENTO&lt;&gt;"manual",$M548&lt;&gt;1)),ROUND(OFFSET($P548,0,BA$13),15-13*ORÇAMENTO!$AF$7)/$H548*OFFSET(ORÇAMENTO!$X$15,ROW(BA548)-ROW(BA$15),0),0)</f>
        <v>0</v>
      </c>
      <c r="BC548" s="215">
        <f ca="1">IF($D548&lt;&gt;"Serviço",0,IF(AND(AUTOEVENTO="Manual",$M548=1),0,IF(OFFSET(CRONOPLE!$F$14,$M548,BC$13)="",10^12,OFFSET(CRONOPLE!$F$14,$M548,BC$13))))</f>
        <v>1000000000000</v>
      </c>
      <c r="BD548" s="215">
        <f ca="1">IF($D548&lt;&gt;"Serviço",0,IF(AND(AUTOEVENTO="Manual",$M548=1),0,IF(OFFSET(CRONOPLE!$F$14,$M548,BD$13)="",10^12,OFFSET(CRONOPLE!$F$14,$M548,BD$13))))</f>
        <v>1000000000000</v>
      </c>
      <c r="BE548" s="215">
        <f ca="1">IF($D548&lt;&gt;"Serviço",0,IF(AND(AUTOEVENTO="Manual",$M548=1),0,IF(OFFSET(CRONOPLE!$F$14,$M548,BE$13)="",10^12,OFFSET(CRONOPLE!$F$14,$M548,BE$13))))</f>
        <v>1000000000000</v>
      </c>
      <c r="BF548" s="215">
        <f ca="1">IF($D548&lt;&gt;"Serviço",0,IF(AND(AUTOEVENTO="Manual",$M548=1),0,IF(OFFSET(CRONOPLE!$F$14,$M548,BF$13)="",10^12,OFFSET(CRONOPLE!$F$14,$M548,BF$13))))</f>
        <v>1000000000000</v>
      </c>
      <c r="BG548" s="215">
        <f ca="1">IF($D548&lt;&gt;"Serviço",0,IF(AND(AUTOEVENTO="Manual",$M548=1),0,IF(OFFSET(CRONOPLE!$F$14,$M548,BG$13)="",10^12,OFFSET(CRONOPLE!$F$14,$M548,BG$13))))</f>
        <v>1000000000000</v>
      </c>
      <c r="BH548" s="215">
        <f ca="1">IF($D548&lt;&gt;"Serviço",0,IF(AND(AUTOEVENTO="Manual",$M548=1),0,IF(OFFSET(CRONOPLE!$F$14,$M548,BH$13)="",10^12,OFFSET(CRONOPLE!$F$14,$M548,BH$13))))</f>
        <v>1000000000000</v>
      </c>
      <c r="BI548" s="215">
        <f ca="1">IF($D548&lt;&gt;"Serviço",0,IF(AND(AUTOEVENTO="Manual",$M548=1),0,IF(OFFSET(CRONOPLE!$F$14,$M548,BI$13)="",10^12,OFFSET(CRONOPLE!$F$14,$M548,BI$13))))</f>
        <v>1000000000000</v>
      </c>
      <c r="BJ548" s="215">
        <f ca="1">IF($D548&lt;&gt;"Serviço",0,IF(AND(AUTOEVENTO="Manual",$M548=1),0,IF(OFFSET(CRONOPLE!$F$14,$M548,BJ$13)="",10^12,OFFSET(CRONOPLE!$F$14,$M548,BJ$13))))</f>
        <v>1000000000000</v>
      </c>
      <c r="BK548" s="215">
        <f ca="1">IF($D548&lt;&gt;"Serviço",0,IF(AND(AUTOEVENTO="Manual",$M548=1),0,IF(OFFSET(CRONOPLE!$F$14,$M548,BK$13)="",10^12,OFFSET(CRONOPLE!$F$14,$M548,BK$13))))</f>
        <v>1000000000000</v>
      </c>
      <c r="BL548" s="215">
        <f ca="1">IF($D548&lt;&gt;"Serviço",0,IF(AND(AUTOEVENTO="Manual",$M548=1),0,IF(OFFSET(CRONOPLE!$F$14,$M548,BL$13)="",10^12,OFFSET(CRONOPLE!$F$14,$M548,BL$13))))</f>
        <v>1000000000000</v>
      </c>
      <c r="BM548" s="215">
        <f ca="1">IF($D548&lt;&gt;"Serviço",0,IF(AND(AUTOEVENTO="Manual",$M548=1),0,IF(OFFSET(CRONOPLE!$F$14,$M548,BM$13)="",10^12,OFFSET(CRONOPLE!$F$14,$M548,BM$13))))</f>
        <v>1000000000000</v>
      </c>
      <c r="BN548" s="215">
        <f ca="1">IF($D548&lt;&gt;"Serviço",0,IF(AND(AUTOEVENTO="Manual",$M548=1),0,IF(OFFSET(CRONOPLE!$F$14,$M548,BN$13)="",10^12,OFFSET(CRONOPLE!$F$14,$M548,BN$13))))</f>
        <v>1000000000000</v>
      </c>
      <c r="BO548" s="215">
        <f ca="1">IF($D548&lt;&gt;"Serviço",0,IF(AND(AUTOEVENTO="Manual",$M548=1),0,IF(OFFSET(CRONOPLE!$F$14,$M548,BO$13)="",10^12,OFFSET(CRONOPLE!$F$14,$M548,BO$13))))</f>
        <v>1000000000000</v>
      </c>
      <c r="BP548" s="215">
        <f ca="1">IF($D548&lt;&gt;"Serviço",0,IF(AND(AUTOEVENTO="Manual",$M548=1),0,IF(OFFSET(CRONOPLE!$F$14,$M548,BP$13)="",10^12,OFFSET(CRONOPLE!$F$14,$M548,BP$13))))</f>
        <v>1000000000000</v>
      </c>
      <c r="BQ548" s="215">
        <f ca="1">IF($D548&lt;&gt;"Serviço",0,IF(AND(AUTOEVENTO="Manual",$M548=1),0,IF(OFFSET(CRONOPLE!$F$14,$M548,BQ$13)="",10^12,OFFSET(CRONOPLE!$F$14,$M548,BQ$13))))</f>
        <v>1000000000000</v>
      </c>
      <c r="BR548" s="215">
        <f ca="1">IF($D548&lt;&gt;"Serviço",0,IF(AND(AUTOEVENTO="Manual",$M548=1),0,IF(OFFSET(CRONOPLE!$F$14,$M548,BR$13)="",10^12,OFFSET(CRONOPLE!$F$14,$M548,BR$13))))</f>
        <v>1000000000000</v>
      </c>
      <c r="BS548" s="215">
        <f ca="1">IF($D548&lt;&gt;"Serviço",0,IF(AND(AUTOEVENTO="Manual",$M548=1),0,IF(OFFSET(CRONOPLE!$F$14,$M548,BS$13)="",10^12,OFFSET(CRONOPLE!$F$14,$M548,BS$13))))</f>
        <v>1000000000000</v>
      </c>
      <c r="BT548" s="215">
        <f ca="1">IF($D548&lt;&gt;"Serviço",0,IF(AND(AUTOEVENTO="Manual",$M548=1),0,IF(OFFSET(CRONOPLE!$F$14,$M548,BT$13)="",10^12,OFFSET(CRONOPLE!$F$14,$M548,BT$13))))</f>
        <v>1000000000000</v>
      </c>
      <c r="BV548" s="216">
        <f ca="1">IF($D548&lt;&gt;"Serviço",0,IF(OR(AND(AUTOEVENTO="Manual",$M548=1),$M548&gt;(ROW(PLE.lastrow)-ROW(PLE.firstrow))),0,IF(OFFSET(PLE!$G$14,$M548,BV$13)="",10^12,OFFSET(PLE!$G$14,$M548,BV$13))))</f>
        <v>1000000000000</v>
      </c>
      <c r="BW548" s="216">
        <f ca="1">IF($D548&lt;&gt;"Serviço",0,IF(OR(AND(AUTOEVENTO="Manual",$M548=1),$M548&gt;(ROW(PLE.lastrow)-ROW(PLE.firstrow))),0,IF(OFFSET(PLE!$G$14,$M548,BW$13)="",10^12,OFFSET(PLE!$G$14,$M548,BW$13))))</f>
        <v>1000000000000</v>
      </c>
      <c r="BX548" s="216">
        <f ca="1">IF($D548&lt;&gt;"Serviço",0,IF(OR(AND(AUTOEVENTO="Manual",$M548=1),$M548&gt;(ROW(PLE.lastrow)-ROW(PLE.firstrow))),0,IF(OFFSET(PLE!$G$14,$M548,BX$13)="",10^12,OFFSET(PLE!$G$14,$M548,BX$13))))</f>
        <v>1000000000000</v>
      </c>
      <c r="BY548" s="216">
        <f ca="1">IF($D548&lt;&gt;"Serviço",0,IF(OR(AND(AUTOEVENTO="Manual",$M548=1),$M548&gt;(ROW(PLE.lastrow)-ROW(PLE.firstrow))),0,IF(OFFSET(PLE!$G$14,$M548,BY$13)="",10^12,OFFSET(PLE!$G$14,$M548,BY$13))))</f>
        <v>1000000000000</v>
      </c>
      <c r="BZ548" s="216">
        <f ca="1">IF($D548&lt;&gt;"Serviço",0,IF(OR(AND(AUTOEVENTO="Manual",$M548=1),$M548&gt;(ROW(PLE.lastrow)-ROW(PLE.firstrow))),0,IF(OFFSET(PLE!$G$14,$M548,BZ$13)="",10^12,OFFSET(PLE!$G$14,$M548,BZ$13))))</f>
        <v>1000000000000</v>
      </c>
      <c r="CA548" s="216">
        <f ca="1">IF($D548&lt;&gt;"Serviço",0,IF(OR(AND(AUTOEVENTO="Manual",$M548=1),$M548&gt;(ROW(PLE.lastrow)-ROW(PLE.firstrow))),0,IF(OFFSET(PLE!$G$14,$M548,CA$13)="",10^12,OFFSET(PLE!$G$14,$M548,CA$13))))</f>
        <v>1000000000000</v>
      </c>
      <c r="CB548" s="216">
        <f ca="1">IF($D548&lt;&gt;"Serviço",0,IF(OR(AND(AUTOEVENTO="Manual",$M548=1),$M548&gt;(ROW(PLE.lastrow)-ROW(PLE.firstrow))),0,IF(OFFSET(PLE!$G$14,$M548,CB$13)="",10^12,OFFSET(PLE!$G$14,$M548,CB$13))))</f>
        <v>1000000000000</v>
      </c>
      <c r="CC548" s="216">
        <f ca="1">IF($D548&lt;&gt;"Serviço",0,IF(OR(AND(AUTOEVENTO="Manual",$M548=1),$M548&gt;(ROW(PLE.lastrow)-ROW(PLE.firstrow))),0,IF(OFFSET(PLE!$G$14,$M548,CC$13)="",10^12,OFFSET(PLE!$G$14,$M548,CC$13))))</f>
        <v>1000000000000</v>
      </c>
      <c r="CD548" s="216">
        <f ca="1">IF($D548&lt;&gt;"Serviço",0,IF(OR(AND(AUTOEVENTO="Manual",$M548=1),$M548&gt;(ROW(PLE.lastrow)-ROW(PLE.firstrow))),0,IF(OFFSET(PLE!$G$14,$M548,CD$13)="",10^12,OFFSET(PLE!$G$14,$M548,CD$13))))</f>
        <v>1000000000000</v>
      </c>
      <c r="CE548" s="216">
        <f ca="1">IF($D548&lt;&gt;"Serviço",0,IF(OR(AND(AUTOEVENTO="Manual",$M548=1),$M548&gt;(ROW(PLE.lastrow)-ROW(PLE.firstrow))),0,IF(OFFSET(PLE!$G$14,$M548,CE$13)="",10^12,OFFSET(PLE!$G$14,$M548,CE$13))))</f>
        <v>1000000000000</v>
      </c>
      <c r="CF548" s="216">
        <f ca="1">IF($D548&lt;&gt;"Serviço",0,IF(OR(AND(AUTOEVENTO="Manual",$M548=1),$M548&gt;(ROW(PLE.lastrow)-ROW(PLE.firstrow))),0,IF(OFFSET(PLE!$G$14,$M548,CF$13)="",10^12,OFFSET(PLE!$G$14,$M548,CF$13))))</f>
        <v>1000000000000</v>
      </c>
      <c r="CG548" s="216">
        <f ca="1">IF($D548&lt;&gt;"Serviço",0,IF(OR(AND(AUTOEVENTO="Manual",$M548=1),$M548&gt;(ROW(PLE.lastrow)-ROW(PLE.firstrow))),0,IF(OFFSET(PLE!$G$14,$M548,CG$13)="",10^12,OFFSET(PLE!$G$14,$M548,CG$13))))</f>
        <v>1000000000000</v>
      </c>
      <c r="CH548" s="216">
        <f ca="1">IF($D548&lt;&gt;"Serviço",0,IF(OR(AND(AUTOEVENTO="Manual",$M548=1),$M548&gt;(ROW(PLE.lastrow)-ROW(PLE.firstrow))),0,IF(OFFSET(PLE!$G$14,$M548,CH$13)="",10^12,OFFSET(PLE!$G$14,$M548,CH$13))))</f>
        <v>1000000000000</v>
      </c>
      <c r="CI548" s="216">
        <f ca="1">IF($D548&lt;&gt;"Serviço",0,IF(OR(AND(AUTOEVENTO="Manual",$M548=1),$M548&gt;(ROW(PLE.lastrow)-ROW(PLE.firstrow))),0,IF(OFFSET(PLE!$G$14,$M548,CI$13)="",10^12,OFFSET(PLE!$G$14,$M548,CI$13))))</f>
        <v>1000000000000</v>
      </c>
      <c r="CJ548" s="216">
        <f ca="1">IF($D548&lt;&gt;"Serviço",0,IF(OR(AND(AUTOEVENTO="Manual",$M548=1),$M548&gt;(ROW(PLE.lastrow)-ROW(PLE.firstrow))),0,IF(OFFSET(PLE!$G$14,$M548,CJ$13)="",10^12,OFFSET(PLE!$G$14,$M548,CJ$13))))</f>
        <v>1000000000000</v>
      </c>
      <c r="CK548" s="216">
        <f ca="1">IF($D548&lt;&gt;"Serviço",0,IF(OR(AND(AUTOEVENTO="Manual",$M548=1),$M548&gt;(ROW(PLE.lastrow)-ROW(PLE.firstrow))),0,IF(OFFSET(PLE!$G$14,$M548,CK$13)="",10^12,OFFSET(PLE!$G$14,$M548,CK$13))))</f>
        <v>1000000000000</v>
      </c>
      <c r="CL548" s="216">
        <f ca="1">IF($D548&lt;&gt;"Serviço",0,IF(OR(AND(AUTOEVENTO="Manual",$M548=1),$M548&gt;(ROW(PLE.lastrow)-ROW(PLE.firstrow))),0,IF(OFFSET(PLE!$G$14,$M548,CL$13)="",10^12,OFFSET(PLE!$G$14,$M548,CL$13))))</f>
        <v>1000000000000</v>
      </c>
      <c r="CM548" s="216">
        <f ca="1">IF($D548&lt;&gt;"Serviço",0,IF(OR(AND(AUTOEVENTO="Manual",$M548=1),$M548&gt;(ROW(PLE.lastrow)-ROW(PLE.firstrow))),0,IF(OFFSET(PLE!$G$14,$M548,CM$13)="",10^12,OFFSET(PLE!$G$14,$M548,CM$13))))</f>
        <v>1000000000000</v>
      </c>
    </row>
    <row r="549" spans="1:91" ht="13.2" x14ac:dyDescent="0.25">
      <c r="A549" s="9">
        <f t="shared" ca="1" si="17"/>
        <v>0</v>
      </c>
      <c r="B549" s="9" t="str">
        <f ca="1">OFFSET(ORÇAMENTO!C$15,ROW(B549)-ROW(B$15),0)</f>
        <v>S</v>
      </c>
      <c r="C549" s="9" t="str">
        <f ca="1">OFFSET(ORÇAMENTO!L$15,ROW(C549)-ROW(C$15),0)</f>
        <v/>
      </c>
      <c r="D549" s="145" t="str">
        <f ca="1">OFFSET(ORÇAMENTO!N$15,ROW(D549)-ROW(D$15),0)</f>
        <v>Serviço</v>
      </c>
      <c r="E549" s="205" t="str">
        <f ca="1">OFFSET(ORÇAMENTO!O$15,ROW(E549)-ROW(E$15),0)</f>
        <v>-</v>
      </c>
      <c r="F549" s="206" t="str">
        <f ca="1">OFFSET(ORÇAMENTO!R$15,ROW(F549)-ROW(F$15),0)</f>
        <v>(abra o arquivo 'Referência 05-2024.xls)</v>
      </c>
      <c r="G549" s="207" t="str">
        <f ca="1">IF($D549&lt;&gt;"Serviço","",OFFSET(ORÇAMENTO!S$15,ROW(G549)-ROW(G$15),0))</f>
        <v>-</v>
      </c>
      <c r="H549" s="151">
        <f ca="1">IF($D549&lt;&gt;"Serviço",0,IF(ACOMPANHAMENTO="BM",ROUND(OFFSET(ORÇAMENTO!AJ$15,ROW(H549)-ROW(H$15),0),15-13*ORÇAMENTO!$AF$7),SUMPRODUCT(($Q$12:$AI$12&lt;&gt;"")*ROUND($Q549:$AI549,15-13*ORÇAMENTO!$AF$7))))</f>
        <v>3</v>
      </c>
      <c r="I549" s="650"/>
      <c r="K549" s="208"/>
      <c r="L549" s="209" t="s">
        <v>257</v>
      </c>
      <c r="M549" s="210">
        <f ca="1">IF($D549&lt;&gt;"Serviço","",IF(AUTOEVENTO="manual",$A549,IF(ISERROR(MATCH($A549,$A$15:OFFSET($A549,-1,0),0)),MAX($M$15:OFFSET(M549,-1,0))+1,INDEX($M$15:OFFSET(M549,-1,0),MATCH($A549,$A$15:OFFSET($A549,-1,0),0)))))</f>
        <v>0</v>
      </c>
      <c r="N549" s="211" t="str">
        <f ca="1">IF($D549&lt;&gt;"Serviço","",IF(AUTOEVENTO="Manual",IF($A549=0,"&lt;-- defina o número do agrupador",OFFSET(EVENTOS!$D$14,$A549,0)),OFFSET($F$15,$A549,0)))</f>
        <v>&lt;-- defina o número do agrupador</v>
      </c>
      <c r="O549" s="212"/>
      <c r="Q549" s="212"/>
      <c r="R549" s="213"/>
      <c r="S549" s="213"/>
      <c r="T549" s="213"/>
      <c r="U549" s="213"/>
      <c r="V549" s="213"/>
      <c r="W549" s="213"/>
      <c r="X549" s="213"/>
      <c r="Y549" s="213"/>
      <c r="Z549" s="214"/>
      <c r="AA549" s="213"/>
      <c r="AB549" s="213"/>
      <c r="AC549" s="213"/>
      <c r="AD549" s="213"/>
      <c r="AE549" s="213"/>
      <c r="AF549" s="213"/>
      <c r="AG549" s="213"/>
      <c r="AH549" s="214"/>
      <c r="AJ549" s="631">
        <f ca="1">IF(AND($D549="Serviço",AJ$12&lt;&gt;0,$H549&gt;0,OR(AUTOEVENTO&lt;&gt;"manual",$M549&lt;&gt;1)),ROUND(OFFSET($P549,0,AJ$13),15-13*ORÇAMENTO!$AF$7)/$H549*OFFSET(ORÇAMENTO!$X$15,ROW(AJ549)-ROW(AJ$15),0),0)</f>
        <v>0</v>
      </c>
      <c r="AK549" s="632">
        <f ca="1">IF(AND($D549="Serviço",AK$12&lt;&gt;0,$H549&gt;0,OR(AUTOEVENTO&lt;&gt;"manual",$M549&lt;&gt;1)),ROUND(OFFSET($P549,0,AK$13),15-13*ORÇAMENTO!$AF$7)/$H549*OFFSET(ORÇAMENTO!$X$15,ROW(AK549)-ROW(AK$15),0),0)</f>
        <v>0</v>
      </c>
      <c r="AL549" s="632">
        <f ca="1">IF(AND($D549="Serviço",AL$12&lt;&gt;0,$H549&gt;0,OR(AUTOEVENTO&lt;&gt;"manual",$M549&lt;&gt;1)),ROUND(OFFSET($P549,0,AL$13),15-13*ORÇAMENTO!$AF$7)/$H549*OFFSET(ORÇAMENTO!$X$15,ROW(AL549)-ROW(AL$15),0),0)</f>
        <v>0</v>
      </c>
      <c r="AM549" s="632">
        <f ca="1">IF(AND($D549="Serviço",AM$12&lt;&gt;0,$H549&gt;0,OR(AUTOEVENTO&lt;&gt;"manual",$M549&lt;&gt;1)),ROUND(OFFSET($P549,0,AM$13),15-13*ORÇAMENTO!$AF$7)/$H549*OFFSET(ORÇAMENTO!$X$15,ROW(AM549)-ROW(AM$15),0),0)</f>
        <v>0</v>
      </c>
      <c r="AN549" s="632">
        <f ca="1">IF(AND($D549="Serviço",AN$12&lt;&gt;0,$H549&gt;0,OR(AUTOEVENTO&lt;&gt;"manual",$M549&lt;&gt;1)),ROUND(OFFSET($P549,0,AN$13),15-13*ORÇAMENTO!$AF$7)/$H549*OFFSET(ORÇAMENTO!$X$15,ROW(AN549)-ROW(AN$15),0),0)</f>
        <v>0</v>
      </c>
      <c r="AO549" s="632">
        <f ca="1">IF(AND($D549="Serviço",AO$12&lt;&gt;0,$H549&gt;0,OR(AUTOEVENTO&lt;&gt;"manual",$M549&lt;&gt;1)),ROUND(OFFSET($P549,0,AO$13),15-13*ORÇAMENTO!$AF$7)/$H549*OFFSET(ORÇAMENTO!$X$15,ROW(AO549)-ROW(AO$15),0),0)</f>
        <v>0</v>
      </c>
      <c r="AP549" s="632">
        <f ca="1">IF(AND($D549="Serviço",AP$12&lt;&gt;0,$H549&gt;0,OR(AUTOEVENTO&lt;&gt;"manual",$M549&lt;&gt;1)),ROUND(OFFSET($P549,0,AP$13),15-13*ORÇAMENTO!$AF$7)/$H549*OFFSET(ORÇAMENTO!$X$15,ROW(AP549)-ROW(AP$15),0),0)</f>
        <v>0</v>
      </c>
      <c r="AQ549" s="632">
        <f ca="1">IF(AND($D549="Serviço",AQ$12&lt;&gt;0,$H549&gt;0,OR(AUTOEVENTO&lt;&gt;"manual",$M549&lt;&gt;1)),ROUND(OFFSET($P549,0,AQ$13),15-13*ORÇAMENTO!$AF$7)/$H549*OFFSET(ORÇAMENTO!$X$15,ROW(AQ549)-ROW(AQ$15),0),0)</f>
        <v>0</v>
      </c>
      <c r="AR549" s="632">
        <f ca="1">IF(AND($D549="Serviço",AR$12&lt;&gt;0,$H549&gt;0,OR(AUTOEVENTO&lt;&gt;"manual",$M549&lt;&gt;1)),ROUND(OFFSET($P549,0,AR$13),15-13*ORÇAMENTO!$AF$7)/$H549*OFFSET(ORÇAMENTO!$X$15,ROW(AR549)-ROW(AR$15),0),0)</f>
        <v>0</v>
      </c>
      <c r="AS549" s="633">
        <f ca="1">IF(AND($D549="Serviço",AS$12&lt;&gt;0,$H549&gt;0,OR(AUTOEVENTO&lt;&gt;"manual",$M549&lt;&gt;1)),ROUND(OFFSET($P549,0,AS$13),15-13*ORÇAMENTO!$AF$7)/$H549*OFFSET(ORÇAMENTO!$X$15,ROW(AS549)-ROW(AS$15),0),0)</f>
        <v>0</v>
      </c>
      <c r="AT549" s="632">
        <f ca="1">IF(AND($D549="Serviço",AT$12&lt;&gt;0,$H549&gt;0,OR(AUTOEVENTO&lt;&gt;"manual",$M549&lt;&gt;1)),ROUND(OFFSET($P549,0,AT$13),15-13*ORÇAMENTO!$AF$7)/$H549*OFFSET(ORÇAMENTO!$X$15,ROW(AT549)-ROW(AT$15),0),0)</f>
        <v>0</v>
      </c>
      <c r="AU549" s="632">
        <f ca="1">IF(AND($D549="Serviço",AU$12&lt;&gt;0,$H549&gt;0,OR(AUTOEVENTO&lt;&gt;"manual",$M549&lt;&gt;1)),ROUND(OFFSET($P549,0,AU$13),15-13*ORÇAMENTO!$AF$7)/$H549*OFFSET(ORÇAMENTO!$X$15,ROW(AU549)-ROW(AU$15),0),0)</f>
        <v>0</v>
      </c>
      <c r="AV549" s="632">
        <f ca="1">IF(AND($D549="Serviço",AV$12&lt;&gt;0,$H549&gt;0,OR(AUTOEVENTO&lt;&gt;"manual",$M549&lt;&gt;1)),ROUND(OFFSET($P549,0,AV$13),15-13*ORÇAMENTO!$AF$7)/$H549*OFFSET(ORÇAMENTO!$X$15,ROW(AV549)-ROW(AV$15),0),0)</f>
        <v>0</v>
      </c>
      <c r="AW549" s="632">
        <f ca="1">IF(AND($D549="Serviço",AW$12&lt;&gt;0,$H549&gt;0,OR(AUTOEVENTO&lt;&gt;"manual",$M549&lt;&gt;1)),ROUND(OFFSET($P549,0,AW$13),15-13*ORÇAMENTO!$AF$7)/$H549*OFFSET(ORÇAMENTO!$X$15,ROW(AW549)-ROW(AW$15),0),0)</f>
        <v>0</v>
      </c>
      <c r="AX549" s="632">
        <f ca="1">IF(AND($D549="Serviço",AX$12&lt;&gt;0,$H549&gt;0,OR(AUTOEVENTO&lt;&gt;"manual",$M549&lt;&gt;1)),ROUND(OFFSET($P549,0,AX$13),15-13*ORÇAMENTO!$AF$7)/$H549*OFFSET(ORÇAMENTO!$X$15,ROW(AX549)-ROW(AX$15),0),0)</f>
        <v>0</v>
      </c>
      <c r="AY549" s="632">
        <f ca="1">IF(AND($D549="Serviço",AY$12&lt;&gt;0,$H549&gt;0,OR(AUTOEVENTO&lt;&gt;"manual",$M549&lt;&gt;1)),ROUND(OFFSET($P549,0,AY$13),15-13*ORÇAMENTO!$AF$7)/$H549*OFFSET(ORÇAMENTO!$X$15,ROW(AY549)-ROW(AY$15),0),0)</f>
        <v>0</v>
      </c>
      <c r="AZ549" s="632">
        <f ca="1">IF(AND($D549="Serviço",AZ$12&lt;&gt;0,$H549&gt;0,OR(AUTOEVENTO&lt;&gt;"manual",$M549&lt;&gt;1)),ROUND(OFFSET($P549,0,AZ$13),15-13*ORÇAMENTO!$AF$7)/$H549*OFFSET(ORÇAMENTO!$X$15,ROW(AZ549)-ROW(AZ$15),0),0)</f>
        <v>0</v>
      </c>
      <c r="BA549" s="633">
        <f ca="1">IF(AND($D549="Serviço",BA$12&lt;&gt;0,$H549&gt;0,OR(AUTOEVENTO&lt;&gt;"manual",$M549&lt;&gt;1)),ROUND(OFFSET($P549,0,BA$13),15-13*ORÇAMENTO!$AF$7)/$H549*OFFSET(ORÇAMENTO!$X$15,ROW(BA549)-ROW(BA$15),0),0)</f>
        <v>0</v>
      </c>
      <c r="BC549" s="215">
        <f ca="1">IF($D549&lt;&gt;"Serviço",0,IF(AND(AUTOEVENTO="Manual",$M549=1),0,IF(OFFSET(CRONOPLE!$F$14,$M549,BC$13)="",10^12,OFFSET(CRONOPLE!$F$14,$M549,BC$13))))</f>
        <v>1000000000000</v>
      </c>
      <c r="BD549" s="215">
        <f ca="1">IF($D549&lt;&gt;"Serviço",0,IF(AND(AUTOEVENTO="Manual",$M549=1),0,IF(OFFSET(CRONOPLE!$F$14,$M549,BD$13)="",10^12,OFFSET(CRONOPLE!$F$14,$M549,BD$13))))</f>
        <v>1000000000000</v>
      </c>
      <c r="BE549" s="215">
        <f ca="1">IF($D549&lt;&gt;"Serviço",0,IF(AND(AUTOEVENTO="Manual",$M549=1),0,IF(OFFSET(CRONOPLE!$F$14,$M549,BE$13)="",10^12,OFFSET(CRONOPLE!$F$14,$M549,BE$13))))</f>
        <v>1000000000000</v>
      </c>
      <c r="BF549" s="215">
        <f ca="1">IF($D549&lt;&gt;"Serviço",0,IF(AND(AUTOEVENTO="Manual",$M549=1),0,IF(OFFSET(CRONOPLE!$F$14,$M549,BF$13)="",10^12,OFFSET(CRONOPLE!$F$14,$M549,BF$13))))</f>
        <v>1000000000000</v>
      </c>
      <c r="BG549" s="215">
        <f ca="1">IF($D549&lt;&gt;"Serviço",0,IF(AND(AUTOEVENTO="Manual",$M549=1),0,IF(OFFSET(CRONOPLE!$F$14,$M549,BG$13)="",10^12,OFFSET(CRONOPLE!$F$14,$M549,BG$13))))</f>
        <v>1000000000000</v>
      </c>
      <c r="BH549" s="215">
        <f ca="1">IF($D549&lt;&gt;"Serviço",0,IF(AND(AUTOEVENTO="Manual",$M549=1),0,IF(OFFSET(CRONOPLE!$F$14,$M549,BH$13)="",10^12,OFFSET(CRONOPLE!$F$14,$M549,BH$13))))</f>
        <v>1000000000000</v>
      </c>
      <c r="BI549" s="215">
        <f ca="1">IF($D549&lt;&gt;"Serviço",0,IF(AND(AUTOEVENTO="Manual",$M549=1),0,IF(OFFSET(CRONOPLE!$F$14,$M549,BI$13)="",10^12,OFFSET(CRONOPLE!$F$14,$M549,BI$13))))</f>
        <v>1000000000000</v>
      </c>
      <c r="BJ549" s="215">
        <f ca="1">IF($D549&lt;&gt;"Serviço",0,IF(AND(AUTOEVENTO="Manual",$M549=1),0,IF(OFFSET(CRONOPLE!$F$14,$M549,BJ$13)="",10^12,OFFSET(CRONOPLE!$F$14,$M549,BJ$13))))</f>
        <v>1000000000000</v>
      </c>
      <c r="BK549" s="215">
        <f ca="1">IF($D549&lt;&gt;"Serviço",0,IF(AND(AUTOEVENTO="Manual",$M549=1),0,IF(OFFSET(CRONOPLE!$F$14,$M549,BK$13)="",10^12,OFFSET(CRONOPLE!$F$14,$M549,BK$13))))</f>
        <v>1000000000000</v>
      </c>
      <c r="BL549" s="215">
        <f ca="1">IF($D549&lt;&gt;"Serviço",0,IF(AND(AUTOEVENTO="Manual",$M549=1),0,IF(OFFSET(CRONOPLE!$F$14,$M549,BL$13)="",10^12,OFFSET(CRONOPLE!$F$14,$M549,BL$13))))</f>
        <v>1000000000000</v>
      </c>
      <c r="BM549" s="215">
        <f ca="1">IF($D549&lt;&gt;"Serviço",0,IF(AND(AUTOEVENTO="Manual",$M549=1),0,IF(OFFSET(CRONOPLE!$F$14,$M549,BM$13)="",10^12,OFFSET(CRONOPLE!$F$14,$M549,BM$13))))</f>
        <v>1000000000000</v>
      </c>
      <c r="BN549" s="215">
        <f ca="1">IF($D549&lt;&gt;"Serviço",0,IF(AND(AUTOEVENTO="Manual",$M549=1),0,IF(OFFSET(CRONOPLE!$F$14,$M549,BN$13)="",10^12,OFFSET(CRONOPLE!$F$14,$M549,BN$13))))</f>
        <v>1000000000000</v>
      </c>
      <c r="BO549" s="215">
        <f ca="1">IF($D549&lt;&gt;"Serviço",0,IF(AND(AUTOEVENTO="Manual",$M549=1),0,IF(OFFSET(CRONOPLE!$F$14,$M549,BO$13)="",10^12,OFFSET(CRONOPLE!$F$14,$M549,BO$13))))</f>
        <v>1000000000000</v>
      </c>
      <c r="BP549" s="215">
        <f ca="1">IF($D549&lt;&gt;"Serviço",0,IF(AND(AUTOEVENTO="Manual",$M549=1),0,IF(OFFSET(CRONOPLE!$F$14,$M549,BP$13)="",10^12,OFFSET(CRONOPLE!$F$14,$M549,BP$13))))</f>
        <v>1000000000000</v>
      </c>
      <c r="BQ549" s="215">
        <f ca="1">IF($D549&lt;&gt;"Serviço",0,IF(AND(AUTOEVENTO="Manual",$M549=1),0,IF(OFFSET(CRONOPLE!$F$14,$M549,BQ$13)="",10^12,OFFSET(CRONOPLE!$F$14,$M549,BQ$13))))</f>
        <v>1000000000000</v>
      </c>
      <c r="BR549" s="215">
        <f ca="1">IF($D549&lt;&gt;"Serviço",0,IF(AND(AUTOEVENTO="Manual",$M549=1),0,IF(OFFSET(CRONOPLE!$F$14,$M549,BR$13)="",10^12,OFFSET(CRONOPLE!$F$14,$M549,BR$13))))</f>
        <v>1000000000000</v>
      </c>
      <c r="BS549" s="215">
        <f ca="1">IF($D549&lt;&gt;"Serviço",0,IF(AND(AUTOEVENTO="Manual",$M549=1),0,IF(OFFSET(CRONOPLE!$F$14,$M549,BS$13)="",10^12,OFFSET(CRONOPLE!$F$14,$M549,BS$13))))</f>
        <v>1000000000000</v>
      </c>
      <c r="BT549" s="215">
        <f ca="1">IF($D549&lt;&gt;"Serviço",0,IF(AND(AUTOEVENTO="Manual",$M549=1),0,IF(OFFSET(CRONOPLE!$F$14,$M549,BT$13)="",10^12,OFFSET(CRONOPLE!$F$14,$M549,BT$13))))</f>
        <v>1000000000000</v>
      </c>
      <c r="BV549" s="216">
        <f ca="1">IF($D549&lt;&gt;"Serviço",0,IF(OR(AND(AUTOEVENTO="Manual",$M549=1),$M549&gt;(ROW(PLE.lastrow)-ROW(PLE.firstrow))),0,IF(OFFSET(PLE!$G$14,$M549,BV$13)="",10^12,OFFSET(PLE!$G$14,$M549,BV$13))))</f>
        <v>1000000000000</v>
      </c>
      <c r="BW549" s="216">
        <f ca="1">IF($D549&lt;&gt;"Serviço",0,IF(OR(AND(AUTOEVENTO="Manual",$M549=1),$M549&gt;(ROW(PLE.lastrow)-ROW(PLE.firstrow))),0,IF(OFFSET(PLE!$G$14,$M549,BW$13)="",10^12,OFFSET(PLE!$G$14,$M549,BW$13))))</f>
        <v>1000000000000</v>
      </c>
      <c r="BX549" s="216">
        <f ca="1">IF($D549&lt;&gt;"Serviço",0,IF(OR(AND(AUTOEVENTO="Manual",$M549=1),$M549&gt;(ROW(PLE.lastrow)-ROW(PLE.firstrow))),0,IF(OFFSET(PLE!$G$14,$M549,BX$13)="",10^12,OFFSET(PLE!$G$14,$M549,BX$13))))</f>
        <v>1000000000000</v>
      </c>
      <c r="BY549" s="216">
        <f ca="1">IF($D549&lt;&gt;"Serviço",0,IF(OR(AND(AUTOEVENTO="Manual",$M549=1),$M549&gt;(ROW(PLE.lastrow)-ROW(PLE.firstrow))),0,IF(OFFSET(PLE!$G$14,$M549,BY$13)="",10^12,OFFSET(PLE!$G$14,$M549,BY$13))))</f>
        <v>1000000000000</v>
      </c>
      <c r="BZ549" s="216">
        <f ca="1">IF($D549&lt;&gt;"Serviço",0,IF(OR(AND(AUTOEVENTO="Manual",$M549=1),$M549&gt;(ROW(PLE.lastrow)-ROW(PLE.firstrow))),0,IF(OFFSET(PLE!$G$14,$M549,BZ$13)="",10^12,OFFSET(PLE!$G$14,$M549,BZ$13))))</f>
        <v>1000000000000</v>
      </c>
      <c r="CA549" s="216">
        <f ca="1">IF($D549&lt;&gt;"Serviço",0,IF(OR(AND(AUTOEVENTO="Manual",$M549=1),$M549&gt;(ROW(PLE.lastrow)-ROW(PLE.firstrow))),0,IF(OFFSET(PLE!$G$14,$M549,CA$13)="",10^12,OFFSET(PLE!$G$14,$M549,CA$13))))</f>
        <v>1000000000000</v>
      </c>
      <c r="CB549" s="216">
        <f ca="1">IF($D549&lt;&gt;"Serviço",0,IF(OR(AND(AUTOEVENTO="Manual",$M549=1),$M549&gt;(ROW(PLE.lastrow)-ROW(PLE.firstrow))),0,IF(OFFSET(PLE!$G$14,$M549,CB$13)="",10^12,OFFSET(PLE!$G$14,$M549,CB$13))))</f>
        <v>1000000000000</v>
      </c>
      <c r="CC549" s="216">
        <f ca="1">IF($D549&lt;&gt;"Serviço",0,IF(OR(AND(AUTOEVENTO="Manual",$M549=1),$M549&gt;(ROW(PLE.lastrow)-ROW(PLE.firstrow))),0,IF(OFFSET(PLE!$G$14,$M549,CC$13)="",10^12,OFFSET(PLE!$G$14,$M549,CC$13))))</f>
        <v>1000000000000</v>
      </c>
      <c r="CD549" s="216">
        <f ca="1">IF($D549&lt;&gt;"Serviço",0,IF(OR(AND(AUTOEVENTO="Manual",$M549=1),$M549&gt;(ROW(PLE.lastrow)-ROW(PLE.firstrow))),0,IF(OFFSET(PLE!$G$14,$M549,CD$13)="",10^12,OFFSET(PLE!$G$14,$M549,CD$13))))</f>
        <v>1000000000000</v>
      </c>
      <c r="CE549" s="216">
        <f ca="1">IF($D549&lt;&gt;"Serviço",0,IF(OR(AND(AUTOEVENTO="Manual",$M549=1),$M549&gt;(ROW(PLE.lastrow)-ROW(PLE.firstrow))),0,IF(OFFSET(PLE!$G$14,$M549,CE$13)="",10^12,OFFSET(PLE!$G$14,$M549,CE$13))))</f>
        <v>1000000000000</v>
      </c>
      <c r="CF549" s="216">
        <f ca="1">IF($D549&lt;&gt;"Serviço",0,IF(OR(AND(AUTOEVENTO="Manual",$M549=1),$M549&gt;(ROW(PLE.lastrow)-ROW(PLE.firstrow))),0,IF(OFFSET(PLE!$G$14,$M549,CF$13)="",10^12,OFFSET(PLE!$G$14,$M549,CF$13))))</f>
        <v>1000000000000</v>
      </c>
      <c r="CG549" s="216">
        <f ca="1">IF($D549&lt;&gt;"Serviço",0,IF(OR(AND(AUTOEVENTO="Manual",$M549=1),$M549&gt;(ROW(PLE.lastrow)-ROW(PLE.firstrow))),0,IF(OFFSET(PLE!$G$14,$M549,CG$13)="",10^12,OFFSET(PLE!$G$14,$M549,CG$13))))</f>
        <v>1000000000000</v>
      </c>
      <c r="CH549" s="216">
        <f ca="1">IF($D549&lt;&gt;"Serviço",0,IF(OR(AND(AUTOEVENTO="Manual",$M549=1),$M549&gt;(ROW(PLE.lastrow)-ROW(PLE.firstrow))),0,IF(OFFSET(PLE!$G$14,$M549,CH$13)="",10^12,OFFSET(PLE!$G$14,$M549,CH$13))))</f>
        <v>1000000000000</v>
      </c>
      <c r="CI549" s="216">
        <f ca="1">IF($D549&lt;&gt;"Serviço",0,IF(OR(AND(AUTOEVENTO="Manual",$M549=1),$M549&gt;(ROW(PLE.lastrow)-ROW(PLE.firstrow))),0,IF(OFFSET(PLE!$G$14,$M549,CI$13)="",10^12,OFFSET(PLE!$G$14,$M549,CI$13))))</f>
        <v>1000000000000</v>
      </c>
      <c r="CJ549" s="216">
        <f ca="1">IF($D549&lt;&gt;"Serviço",0,IF(OR(AND(AUTOEVENTO="Manual",$M549=1),$M549&gt;(ROW(PLE.lastrow)-ROW(PLE.firstrow))),0,IF(OFFSET(PLE!$G$14,$M549,CJ$13)="",10^12,OFFSET(PLE!$G$14,$M549,CJ$13))))</f>
        <v>1000000000000</v>
      </c>
      <c r="CK549" s="216">
        <f ca="1">IF($D549&lt;&gt;"Serviço",0,IF(OR(AND(AUTOEVENTO="Manual",$M549=1),$M549&gt;(ROW(PLE.lastrow)-ROW(PLE.firstrow))),0,IF(OFFSET(PLE!$G$14,$M549,CK$13)="",10^12,OFFSET(PLE!$G$14,$M549,CK$13))))</f>
        <v>1000000000000</v>
      </c>
      <c r="CL549" s="216">
        <f ca="1">IF($D549&lt;&gt;"Serviço",0,IF(OR(AND(AUTOEVENTO="Manual",$M549=1),$M549&gt;(ROW(PLE.lastrow)-ROW(PLE.firstrow))),0,IF(OFFSET(PLE!$G$14,$M549,CL$13)="",10^12,OFFSET(PLE!$G$14,$M549,CL$13))))</f>
        <v>1000000000000</v>
      </c>
      <c r="CM549" s="216">
        <f ca="1">IF($D549&lt;&gt;"Serviço",0,IF(OR(AND(AUTOEVENTO="Manual",$M549=1),$M549&gt;(ROW(PLE.lastrow)-ROW(PLE.firstrow))),0,IF(OFFSET(PLE!$G$14,$M549,CM$13)="",10^12,OFFSET(PLE!$G$14,$M549,CM$13))))</f>
        <v>1000000000000</v>
      </c>
    </row>
    <row r="550" spans="1:91" ht="13.2" x14ac:dyDescent="0.25">
      <c r="A550" s="9">
        <f t="shared" ca="1" si="17"/>
        <v>0</v>
      </c>
      <c r="B550" s="9" t="str">
        <f ca="1">OFFSET(ORÇAMENTO!C$15,ROW(B550)-ROW(B$15),0)</f>
        <v>S</v>
      </c>
      <c r="C550" s="9" t="str">
        <f ca="1">OFFSET(ORÇAMENTO!L$15,ROW(C550)-ROW(C$15),0)</f>
        <v/>
      </c>
      <c r="D550" s="145" t="str">
        <f ca="1">OFFSET(ORÇAMENTO!N$15,ROW(D550)-ROW(D$15),0)</f>
        <v>Serviço</v>
      </c>
      <c r="E550" s="205" t="str">
        <f ca="1">OFFSET(ORÇAMENTO!O$15,ROW(E550)-ROW(E$15),0)</f>
        <v>-</v>
      </c>
      <c r="F550" s="206" t="str">
        <f ca="1">OFFSET(ORÇAMENTO!R$15,ROW(F550)-ROW(F$15),0)</f>
        <v>(abra o arquivo 'Referência 05-2024.xls)</v>
      </c>
      <c r="G550" s="207" t="str">
        <f ca="1">IF($D550&lt;&gt;"Serviço","",OFFSET(ORÇAMENTO!S$15,ROW(G550)-ROW(G$15),0))</f>
        <v>-</v>
      </c>
      <c r="H550" s="151">
        <f ca="1">IF($D550&lt;&gt;"Serviço",0,IF(ACOMPANHAMENTO="BM",ROUND(OFFSET(ORÇAMENTO!AJ$15,ROW(H550)-ROW(H$15),0),15-13*ORÇAMENTO!$AF$7),SUMPRODUCT(($Q$12:$AI$12&lt;&gt;"")*ROUND($Q550:$AI550,15-13*ORÇAMENTO!$AF$7))))</f>
        <v>1</v>
      </c>
      <c r="I550" s="650"/>
      <c r="K550" s="208"/>
      <c r="L550" s="209" t="s">
        <v>257</v>
      </c>
      <c r="M550" s="210">
        <f ca="1">IF($D550&lt;&gt;"Serviço","",IF(AUTOEVENTO="manual",$A550,IF(ISERROR(MATCH($A550,$A$15:OFFSET($A550,-1,0),0)),MAX($M$15:OFFSET(M550,-1,0))+1,INDEX($M$15:OFFSET(M550,-1,0),MATCH($A550,$A$15:OFFSET($A550,-1,0),0)))))</f>
        <v>0</v>
      </c>
      <c r="N550" s="211" t="str">
        <f ca="1">IF($D550&lt;&gt;"Serviço","",IF(AUTOEVENTO="Manual",IF($A550=0,"&lt;-- defina o número do agrupador",OFFSET(EVENTOS!$D$14,$A550,0)),OFFSET($F$15,$A550,0)))</f>
        <v>&lt;-- defina o número do agrupador</v>
      </c>
      <c r="O550" s="212"/>
      <c r="Q550" s="212"/>
      <c r="R550" s="213"/>
      <c r="S550" s="213"/>
      <c r="T550" s="213"/>
      <c r="U550" s="213"/>
      <c r="V550" s="213"/>
      <c r="W550" s="213"/>
      <c r="X550" s="213"/>
      <c r="Y550" s="213"/>
      <c r="Z550" s="214"/>
      <c r="AA550" s="213"/>
      <c r="AB550" s="213"/>
      <c r="AC550" s="213"/>
      <c r="AD550" s="213"/>
      <c r="AE550" s="213"/>
      <c r="AF550" s="213"/>
      <c r="AG550" s="213"/>
      <c r="AH550" s="214"/>
      <c r="AJ550" s="631">
        <f ca="1">IF(AND($D550="Serviço",AJ$12&lt;&gt;0,$H550&gt;0,OR(AUTOEVENTO&lt;&gt;"manual",$M550&lt;&gt;1)),ROUND(OFFSET($P550,0,AJ$13),15-13*ORÇAMENTO!$AF$7)/$H550*OFFSET(ORÇAMENTO!$X$15,ROW(AJ550)-ROW(AJ$15),0),0)</f>
        <v>0</v>
      </c>
      <c r="AK550" s="632">
        <f ca="1">IF(AND($D550="Serviço",AK$12&lt;&gt;0,$H550&gt;0,OR(AUTOEVENTO&lt;&gt;"manual",$M550&lt;&gt;1)),ROUND(OFFSET($P550,0,AK$13),15-13*ORÇAMENTO!$AF$7)/$H550*OFFSET(ORÇAMENTO!$X$15,ROW(AK550)-ROW(AK$15),0),0)</f>
        <v>0</v>
      </c>
      <c r="AL550" s="632">
        <f ca="1">IF(AND($D550="Serviço",AL$12&lt;&gt;0,$H550&gt;0,OR(AUTOEVENTO&lt;&gt;"manual",$M550&lt;&gt;1)),ROUND(OFFSET($P550,0,AL$13),15-13*ORÇAMENTO!$AF$7)/$H550*OFFSET(ORÇAMENTO!$X$15,ROW(AL550)-ROW(AL$15),0),0)</f>
        <v>0</v>
      </c>
      <c r="AM550" s="632">
        <f ca="1">IF(AND($D550="Serviço",AM$12&lt;&gt;0,$H550&gt;0,OR(AUTOEVENTO&lt;&gt;"manual",$M550&lt;&gt;1)),ROUND(OFFSET($P550,0,AM$13),15-13*ORÇAMENTO!$AF$7)/$H550*OFFSET(ORÇAMENTO!$X$15,ROW(AM550)-ROW(AM$15),0),0)</f>
        <v>0</v>
      </c>
      <c r="AN550" s="632">
        <f ca="1">IF(AND($D550="Serviço",AN$12&lt;&gt;0,$H550&gt;0,OR(AUTOEVENTO&lt;&gt;"manual",$M550&lt;&gt;1)),ROUND(OFFSET($P550,0,AN$13),15-13*ORÇAMENTO!$AF$7)/$H550*OFFSET(ORÇAMENTO!$X$15,ROW(AN550)-ROW(AN$15),0),0)</f>
        <v>0</v>
      </c>
      <c r="AO550" s="632">
        <f ca="1">IF(AND($D550="Serviço",AO$12&lt;&gt;0,$H550&gt;0,OR(AUTOEVENTO&lt;&gt;"manual",$M550&lt;&gt;1)),ROUND(OFFSET($P550,0,AO$13),15-13*ORÇAMENTO!$AF$7)/$H550*OFFSET(ORÇAMENTO!$X$15,ROW(AO550)-ROW(AO$15),0),0)</f>
        <v>0</v>
      </c>
      <c r="AP550" s="632">
        <f ca="1">IF(AND($D550="Serviço",AP$12&lt;&gt;0,$H550&gt;0,OR(AUTOEVENTO&lt;&gt;"manual",$M550&lt;&gt;1)),ROUND(OFFSET($P550,0,AP$13),15-13*ORÇAMENTO!$AF$7)/$H550*OFFSET(ORÇAMENTO!$X$15,ROW(AP550)-ROW(AP$15),0),0)</f>
        <v>0</v>
      </c>
      <c r="AQ550" s="632">
        <f ca="1">IF(AND($D550="Serviço",AQ$12&lt;&gt;0,$H550&gt;0,OR(AUTOEVENTO&lt;&gt;"manual",$M550&lt;&gt;1)),ROUND(OFFSET($P550,0,AQ$13),15-13*ORÇAMENTO!$AF$7)/$H550*OFFSET(ORÇAMENTO!$X$15,ROW(AQ550)-ROW(AQ$15),0),0)</f>
        <v>0</v>
      </c>
      <c r="AR550" s="632">
        <f ca="1">IF(AND($D550="Serviço",AR$12&lt;&gt;0,$H550&gt;0,OR(AUTOEVENTO&lt;&gt;"manual",$M550&lt;&gt;1)),ROUND(OFFSET($P550,0,AR$13),15-13*ORÇAMENTO!$AF$7)/$H550*OFFSET(ORÇAMENTO!$X$15,ROW(AR550)-ROW(AR$15),0),0)</f>
        <v>0</v>
      </c>
      <c r="AS550" s="633">
        <f ca="1">IF(AND($D550="Serviço",AS$12&lt;&gt;0,$H550&gt;0,OR(AUTOEVENTO&lt;&gt;"manual",$M550&lt;&gt;1)),ROUND(OFFSET($P550,0,AS$13),15-13*ORÇAMENTO!$AF$7)/$H550*OFFSET(ORÇAMENTO!$X$15,ROW(AS550)-ROW(AS$15),0),0)</f>
        <v>0</v>
      </c>
      <c r="AT550" s="632">
        <f ca="1">IF(AND($D550="Serviço",AT$12&lt;&gt;0,$H550&gt;0,OR(AUTOEVENTO&lt;&gt;"manual",$M550&lt;&gt;1)),ROUND(OFFSET($P550,0,AT$13),15-13*ORÇAMENTO!$AF$7)/$H550*OFFSET(ORÇAMENTO!$X$15,ROW(AT550)-ROW(AT$15),0),0)</f>
        <v>0</v>
      </c>
      <c r="AU550" s="632">
        <f ca="1">IF(AND($D550="Serviço",AU$12&lt;&gt;0,$H550&gt;0,OR(AUTOEVENTO&lt;&gt;"manual",$M550&lt;&gt;1)),ROUND(OFFSET($P550,0,AU$13),15-13*ORÇAMENTO!$AF$7)/$H550*OFFSET(ORÇAMENTO!$X$15,ROW(AU550)-ROW(AU$15),0),0)</f>
        <v>0</v>
      </c>
      <c r="AV550" s="632">
        <f ca="1">IF(AND($D550="Serviço",AV$12&lt;&gt;0,$H550&gt;0,OR(AUTOEVENTO&lt;&gt;"manual",$M550&lt;&gt;1)),ROUND(OFFSET($P550,0,AV$13),15-13*ORÇAMENTO!$AF$7)/$H550*OFFSET(ORÇAMENTO!$X$15,ROW(AV550)-ROW(AV$15),0),0)</f>
        <v>0</v>
      </c>
      <c r="AW550" s="632">
        <f ca="1">IF(AND($D550="Serviço",AW$12&lt;&gt;0,$H550&gt;0,OR(AUTOEVENTO&lt;&gt;"manual",$M550&lt;&gt;1)),ROUND(OFFSET($P550,0,AW$13),15-13*ORÇAMENTO!$AF$7)/$H550*OFFSET(ORÇAMENTO!$X$15,ROW(AW550)-ROW(AW$15),0),0)</f>
        <v>0</v>
      </c>
      <c r="AX550" s="632">
        <f ca="1">IF(AND($D550="Serviço",AX$12&lt;&gt;0,$H550&gt;0,OR(AUTOEVENTO&lt;&gt;"manual",$M550&lt;&gt;1)),ROUND(OFFSET($P550,0,AX$13),15-13*ORÇAMENTO!$AF$7)/$H550*OFFSET(ORÇAMENTO!$X$15,ROW(AX550)-ROW(AX$15),0),0)</f>
        <v>0</v>
      </c>
      <c r="AY550" s="632">
        <f ca="1">IF(AND($D550="Serviço",AY$12&lt;&gt;0,$H550&gt;0,OR(AUTOEVENTO&lt;&gt;"manual",$M550&lt;&gt;1)),ROUND(OFFSET($P550,0,AY$13),15-13*ORÇAMENTO!$AF$7)/$H550*OFFSET(ORÇAMENTO!$X$15,ROW(AY550)-ROW(AY$15),0),0)</f>
        <v>0</v>
      </c>
      <c r="AZ550" s="632">
        <f ca="1">IF(AND($D550="Serviço",AZ$12&lt;&gt;0,$H550&gt;0,OR(AUTOEVENTO&lt;&gt;"manual",$M550&lt;&gt;1)),ROUND(OFFSET($P550,0,AZ$13),15-13*ORÇAMENTO!$AF$7)/$H550*OFFSET(ORÇAMENTO!$X$15,ROW(AZ550)-ROW(AZ$15),0),0)</f>
        <v>0</v>
      </c>
      <c r="BA550" s="633">
        <f ca="1">IF(AND($D550="Serviço",BA$12&lt;&gt;0,$H550&gt;0,OR(AUTOEVENTO&lt;&gt;"manual",$M550&lt;&gt;1)),ROUND(OFFSET($P550,0,BA$13),15-13*ORÇAMENTO!$AF$7)/$H550*OFFSET(ORÇAMENTO!$X$15,ROW(BA550)-ROW(BA$15),0),0)</f>
        <v>0</v>
      </c>
      <c r="BC550" s="215">
        <f ca="1">IF($D550&lt;&gt;"Serviço",0,IF(AND(AUTOEVENTO="Manual",$M550=1),0,IF(OFFSET(CRONOPLE!$F$14,$M550,BC$13)="",10^12,OFFSET(CRONOPLE!$F$14,$M550,BC$13))))</f>
        <v>1000000000000</v>
      </c>
      <c r="BD550" s="215">
        <f ca="1">IF($D550&lt;&gt;"Serviço",0,IF(AND(AUTOEVENTO="Manual",$M550=1),0,IF(OFFSET(CRONOPLE!$F$14,$M550,BD$13)="",10^12,OFFSET(CRONOPLE!$F$14,$M550,BD$13))))</f>
        <v>1000000000000</v>
      </c>
      <c r="BE550" s="215">
        <f ca="1">IF($D550&lt;&gt;"Serviço",0,IF(AND(AUTOEVENTO="Manual",$M550=1),0,IF(OFFSET(CRONOPLE!$F$14,$M550,BE$13)="",10^12,OFFSET(CRONOPLE!$F$14,$M550,BE$13))))</f>
        <v>1000000000000</v>
      </c>
      <c r="BF550" s="215">
        <f ca="1">IF($D550&lt;&gt;"Serviço",0,IF(AND(AUTOEVENTO="Manual",$M550=1),0,IF(OFFSET(CRONOPLE!$F$14,$M550,BF$13)="",10^12,OFFSET(CRONOPLE!$F$14,$M550,BF$13))))</f>
        <v>1000000000000</v>
      </c>
      <c r="BG550" s="215">
        <f ca="1">IF($D550&lt;&gt;"Serviço",0,IF(AND(AUTOEVENTO="Manual",$M550=1),0,IF(OFFSET(CRONOPLE!$F$14,$M550,BG$13)="",10^12,OFFSET(CRONOPLE!$F$14,$M550,BG$13))))</f>
        <v>1000000000000</v>
      </c>
      <c r="BH550" s="215">
        <f ca="1">IF($D550&lt;&gt;"Serviço",0,IF(AND(AUTOEVENTO="Manual",$M550=1),0,IF(OFFSET(CRONOPLE!$F$14,$M550,BH$13)="",10^12,OFFSET(CRONOPLE!$F$14,$M550,BH$13))))</f>
        <v>1000000000000</v>
      </c>
      <c r="BI550" s="215">
        <f ca="1">IF($D550&lt;&gt;"Serviço",0,IF(AND(AUTOEVENTO="Manual",$M550=1),0,IF(OFFSET(CRONOPLE!$F$14,$M550,BI$13)="",10^12,OFFSET(CRONOPLE!$F$14,$M550,BI$13))))</f>
        <v>1000000000000</v>
      </c>
      <c r="BJ550" s="215">
        <f ca="1">IF($D550&lt;&gt;"Serviço",0,IF(AND(AUTOEVENTO="Manual",$M550=1),0,IF(OFFSET(CRONOPLE!$F$14,$M550,BJ$13)="",10^12,OFFSET(CRONOPLE!$F$14,$M550,BJ$13))))</f>
        <v>1000000000000</v>
      </c>
      <c r="BK550" s="215">
        <f ca="1">IF($D550&lt;&gt;"Serviço",0,IF(AND(AUTOEVENTO="Manual",$M550=1),0,IF(OFFSET(CRONOPLE!$F$14,$M550,BK$13)="",10^12,OFFSET(CRONOPLE!$F$14,$M550,BK$13))))</f>
        <v>1000000000000</v>
      </c>
      <c r="BL550" s="215">
        <f ca="1">IF($D550&lt;&gt;"Serviço",0,IF(AND(AUTOEVENTO="Manual",$M550=1),0,IF(OFFSET(CRONOPLE!$F$14,$M550,BL$13)="",10^12,OFFSET(CRONOPLE!$F$14,$M550,BL$13))))</f>
        <v>1000000000000</v>
      </c>
      <c r="BM550" s="215">
        <f ca="1">IF($D550&lt;&gt;"Serviço",0,IF(AND(AUTOEVENTO="Manual",$M550=1),0,IF(OFFSET(CRONOPLE!$F$14,$M550,BM$13)="",10^12,OFFSET(CRONOPLE!$F$14,$M550,BM$13))))</f>
        <v>1000000000000</v>
      </c>
      <c r="BN550" s="215">
        <f ca="1">IF($D550&lt;&gt;"Serviço",0,IF(AND(AUTOEVENTO="Manual",$M550=1),0,IF(OFFSET(CRONOPLE!$F$14,$M550,BN$13)="",10^12,OFFSET(CRONOPLE!$F$14,$M550,BN$13))))</f>
        <v>1000000000000</v>
      </c>
      <c r="BO550" s="215">
        <f ca="1">IF($D550&lt;&gt;"Serviço",0,IF(AND(AUTOEVENTO="Manual",$M550=1),0,IF(OFFSET(CRONOPLE!$F$14,$M550,BO$13)="",10^12,OFFSET(CRONOPLE!$F$14,$M550,BO$13))))</f>
        <v>1000000000000</v>
      </c>
      <c r="BP550" s="215">
        <f ca="1">IF($D550&lt;&gt;"Serviço",0,IF(AND(AUTOEVENTO="Manual",$M550=1),0,IF(OFFSET(CRONOPLE!$F$14,$M550,BP$13)="",10^12,OFFSET(CRONOPLE!$F$14,$M550,BP$13))))</f>
        <v>1000000000000</v>
      </c>
      <c r="BQ550" s="215">
        <f ca="1">IF($D550&lt;&gt;"Serviço",0,IF(AND(AUTOEVENTO="Manual",$M550=1),0,IF(OFFSET(CRONOPLE!$F$14,$M550,BQ$13)="",10^12,OFFSET(CRONOPLE!$F$14,$M550,BQ$13))))</f>
        <v>1000000000000</v>
      </c>
      <c r="BR550" s="215">
        <f ca="1">IF($D550&lt;&gt;"Serviço",0,IF(AND(AUTOEVENTO="Manual",$M550=1),0,IF(OFFSET(CRONOPLE!$F$14,$M550,BR$13)="",10^12,OFFSET(CRONOPLE!$F$14,$M550,BR$13))))</f>
        <v>1000000000000</v>
      </c>
      <c r="BS550" s="215">
        <f ca="1">IF($D550&lt;&gt;"Serviço",0,IF(AND(AUTOEVENTO="Manual",$M550=1),0,IF(OFFSET(CRONOPLE!$F$14,$M550,BS$13)="",10^12,OFFSET(CRONOPLE!$F$14,$M550,BS$13))))</f>
        <v>1000000000000</v>
      </c>
      <c r="BT550" s="215">
        <f ca="1">IF($D550&lt;&gt;"Serviço",0,IF(AND(AUTOEVENTO="Manual",$M550=1),0,IF(OFFSET(CRONOPLE!$F$14,$M550,BT$13)="",10^12,OFFSET(CRONOPLE!$F$14,$M550,BT$13))))</f>
        <v>1000000000000</v>
      </c>
      <c r="BV550" s="216">
        <f ca="1">IF($D550&lt;&gt;"Serviço",0,IF(OR(AND(AUTOEVENTO="Manual",$M550=1),$M550&gt;(ROW(PLE.lastrow)-ROW(PLE.firstrow))),0,IF(OFFSET(PLE!$G$14,$M550,BV$13)="",10^12,OFFSET(PLE!$G$14,$M550,BV$13))))</f>
        <v>1000000000000</v>
      </c>
      <c r="BW550" s="216">
        <f ca="1">IF($D550&lt;&gt;"Serviço",0,IF(OR(AND(AUTOEVENTO="Manual",$M550=1),$M550&gt;(ROW(PLE.lastrow)-ROW(PLE.firstrow))),0,IF(OFFSET(PLE!$G$14,$M550,BW$13)="",10^12,OFFSET(PLE!$G$14,$M550,BW$13))))</f>
        <v>1000000000000</v>
      </c>
      <c r="BX550" s="216">
        <f ca="1">IF($D550&lt;&gt;"Serviço",0,IF(OR(AND(AUTOEVENTO="Manual",$M550=1),$M550&gt;(ROW(PLE.lastrow)-ROW(PLE.firstrow))),0,IF(OFFSET(PLE!$G$14,$M550,BX$13)="",10^12,OFFSET(PLE!$G$14,$M550,BX$13))))</f>
        <v>1000000000000</v>
      </c>
      <c r="BY550" s="216">
        <f ca="1">IF($D550&lt;&gt;"Serviço",0,IF(OR(AND(AUTOEVENTO="Manual",$M550=1),$M550&gt;(ROW(PLE.lastrow)-ROW(PLE.firstrow))),0,IF(OFFSET(PLE!$G$14,$M550,BY$13)="",10^12,OFFSET(PLE!$G$14,$M550,BY$13))))</f>
        <v>1000000000000</v>
      </c>
      <c r="BZ550" s="216">
        <f ca="1">IF($D550&lt;&gt;"Serviço",0,IF(OR(AND(AUTOEVENTO="Manual",$M550=1),$M550&gt;(ROW(PLE.lastrow)-ROW(PLE.firstrow))),0,IF(OFFSET(PLE!$G$14,$M550,BZ$13)="",10^12,OFFSET(PLE!$G$14,$M550,BZ$13))))</f>
        <v>1000000000000</v>
      </c>
      <c r="CA550" s="216">
        <f ca="1">IF($D550&lt;&gt;"Serviço",0,IF(OR(AND(AUTOEVENTO="Manual",$M550=1),$M550&gt;(ROW(PLE.lastrow)-ROW(PLE.firstrow))),0,IF(OFFSET(PLE!$G$14,$M550,CA$13)="",10^12,OFFSET(PLE!$G$14,$M550,CA$13))))</f>
        <v>1000000000000</v>
      </c>
      <c r="CB550" s="216">
        <f ca="1">IF($D550&lt;&gt;"Serviço",0,IF(OR(AND(AUTOEVENTO="Manual",$M550=1),$M550&gt;(ROW(PLE.lastrow)-ROW(PLE.firstrow))),0,IF(OFFSET(PLE!$G$14,$M550,CB$13)="",10^12,OFFSET(PLE!$G$14,$M550,CB$13))))</f>
        <v>1000000000000</v>
      </c>
      <c r="CC550" s="216">
        <f ca="1">IF($D550&lt;&gt;"Serviço",0,IF(OR(AND(AUTOEVENTO="Manual",$M550=1),$M550&gt;(ROW(PLE.lastrow)-ROW(PLE.firstrow))),0,IF(OFFSET(PLE!$G$14,$M550,CC$13)="",10^12,OFFSET(PLE!$G$14,$M550,CC$13))))</f>
        <v>1000000000000</v>
      </c>
      <c r="CD550" s="216">
        <f ca="1">IF($D550&lt;&gt;"Serviço",0,IF(OR(AND(AUTOEVENTO="Manual",$M550=1),$M550&gt;(ROW(PLE.lastrow)-ROW(PLE.firstrow))),0,IF(OFFSET(PLE!$G$14,$M550,CD$13)="",10^12,OFFSET(PLE!$G$14,$M550,CD$13))))</f>
        <v>1000000000000</v>
      </c>
      <c r="CE550" s="216">
        <f ca="1">IF($D550&lt;&gt;"Serviço",0,IF(OR(AND(AUTOEVENTO="Manual",$M550=1),$M550&gt;(ROW(PLE.lastrow)-ROW(PLE.firstrow))),0,IF(OFFSET(PLE!$G$14,$M550,CE$13)="",10^12,OFFSET(PLE!$G$14,$M550,CE$13))))</f>
        <v>1000000000000</v>
      </c>
      <c r="CF550" s="216">
        <f ca="1">IF($D550&lt;&gt;"Serviço",0,IF(OR(AND(AUTOEVENTO="Manual",$M550=1),$M550&gt;(ROW(PLE.lastrow)-ROW(PLE.firstrow))),0,IF(OFFSET(PLE!$G$14,$M550,CF$13)="",10^12,OFFSET(PLE!$G$14,$M550,CF$13))))</f>
        <v>1000000000000</v>
      </c>
      <c r="CG550" s="216">
        <f ca="1">IF($D550&lt;&gt;"Serviço",0,IF(OR(AND(AUTOEVENTO="Manual",$M550=1),$M550&gt;(ROW(PLE.lastrow)-ROW(PLE.firstrow))),0,IF(OFFSET(PLE!$G$14,$M550,CG$13)="",10^12,OFFSET(PLE!$G$14,$M550,CG$13))))</f>
        <v>1000000000000</v>
      </c>
      <c r="CH550" s="216">
        <f ca="1">IF($D550&lt;&gt;"Serviço",0,IF(OR(AND(AUTOEVENTO="Manual",$M550=1),$M550&gt;(ROW(PLE.lastrow)-ROW(PLE.firstrow))),0,IF(OFFSET(PLE!$G$14,$M550,CH$13)="",10^12,OFFSET(PLE!$G$14,$M550,CH$13))))</f>
        <v>1000000000000</v>
      </c>
      <c r="CI550" s="216">
        <f ca="1">IF($D550&lt;&gt;"Serviço",0,IF(OR(AND(AUTOEVENTO="Manual",$M550=1),$M550&gt;(ROW(PLE.lastrow)-ROW(PLE.firstrow))),0,IF(OFFSET(PLE!$G$14,$M550,CI$13)="",10^12,OFFSET(PLE!$G$14,$M550,CI$13))))</f>
        <v>1000000000000</v>
      </c>
      <c r="CJ550" s="216">
        <f ca="1">IF($D550&lt;&gt;"Serviço",0,IF(OR(AND(AUTOEVENTO="Manual",$M550=1),$M550&gt;(ROW(PLE.lastrow)-ROW(PLE.firstrow))),0,IF(OFFSET(PLE!$G$14,$M550,CJ$13)="",10^12,OFFSET(PLE!$G$14,$M550,CJ$13))))</f>
        <v>1000000000000</v>
      </c>
      <c r="CK550" s="216">
        <f ca="1">IF($D550&lt;&gt;"Serviço",0,IF(OR(AND(AUTOEVENTO="Manual",$M550=1),$M550&gt;(ROW(PLE.lastrow)-ROW(PLE.firstrow))),0,IF(OFFSET(PLE!$G$14,$M550,CK$13)="",10^12,OFFSET(PLE!$G$14,$M550,CK$13))))</f>
        <v>1000000000000</v>
      </c>
      <c r="CL550" s="216">
        <f ca="1">IF($D550&lt;&gt;"Serviço",0,IF(OR(AND(AUTOEVENTO="Manual",$M550=1),$M550&gt;(ROW(PLE.lastrow)-ROW(PLE.firstrow))),0,IF(OFFSET(PLE!$G$14,$M550,CL$13)="",10^12,OFFSET(PLE!$G$14,$M550,CL$13))))</f>
        <v>1000000000000</v>
      </c>
      <c r="CM550" s="216">
        <f ca="1">IF($D550&lt;&gt;"Serviço",0,IF(OR(AND(AUTOEVENTO="Manual",$M550=1),$M550&gt;(ROW(PLE.lastrow)-ROW(PLE.firstrow))),0,IF(OFFSET(PLE!$G$14,$M550,CM$13)="",10^12,OFFSET(PLE!$G$14,$M550,CM$13))))</f>
        <v>1000000000000</v>
      </c>
    </row>
    <row r="551" spans="1:91" ht="13.2" x14ac:dyDescent="0.25">
      <c r="A551" s="9">
        <f t="shared" ca="1" si="17"/>
        <v>0</v>
      </c>
      <c r="B551" s="9" t="str">
        <f ca="1">OFFSET(ORÇAMENTO!C$15,ROW(B551)-ROW(B$15),0)</f>
        <v>S</v>
      </c>
      <c r="C551" s="9" t="str">
        <f ca="1">OFFSET(ORÇAMENTO!L$15,ROW(C551)-ROW(C$15),0)</f>
        <v/>
      </c>
      <c r="D551" s="145" t="str">
        <f ca="1">OFFSET(ORÇAMENTO!N$15,ROW(D551)-ROW(D$15),0)</f>
        <v>Serviço</v>
      </c>
      <c r="E551" s="205" t="str">
        <f ca="1">OFFSET(ORÇAMENTO!O$15,ROW(E551)-ROW(E$15),0)</f>
        <v>-</v>
      </c>
      <c r="F551" s="206" t="str">
        <f ca="1">OFFSET(ORÇAMENTO!R$15,ROW(F551)-ROW(F$15),0)</f>
        <v>(abra o arquivo 'Referência 05-2024.xls)</v>
      </c>
      <c r="G551" s="207" t="str">
        <f ca="1">IF($D551&lt;&gt;"Serviço","",OFFSET(ORÇAMENTO!S$15,ROW(G551)-ROW(G$15),0))</f>
        <v>-</v>
      </c>
      <c r="H551" s="151">
        <f ca="1">IF($D551&lt;&gt;"Serviço",0,IF(ACOMPANHAMENTO="BM",ROUND(OFFSET(ORÇAMENTO!AJ$15,ROW(H551)-ROW(H$15),0),15-13*ORÇAMENTO!$AF$7),SUMPRODUCT(($Q$12:$AI$12&lt;&gt;"")*ROUND($Q551:$AI551,15-13*ORÇAMENTO!$AF$7))))</f>
        <v>26</v>
      </c>
      <c r="I551" s="650"/>
      <c r="K551" s="208"/>
      <c r="L551" s="209" t="s">
        <v>257</v>
      </c>
      <c r="M551" s="210">
        <f ca="1">IF($D551&lt;&gt;"Serviço","",IF(AUTOEVENTO="manual",$A551,IF(ISERROR(MATCH($A551,$A$15:OFFSET($A551,-1,0),0)),MAX($M$15:OFFSET(M551,-1,0))+1,INDEX($M$15:OFFSET(M551,-1,0),MATCH($A551,$A$15:OFFSET($A551,-1,0),0)))))</f>
        <v>0</v>
      </c>
      <c r="N551" s="211" t="str">
        <f ca="1">IF($D551&lt;&gt;"Serviço","",IF(AUTOEVENTO="Manual",IF($A551=0,"&lt;-- defina o número do agrupador",OFFSET(EVENTOS!$D$14,$A551,0)),OFFSET($F$15,$A551,0)))</f>
        <v>&lt;-- defina o número do agrupador</v>
      </c>
      <c r="O551" s="212"/>
      <c r="Q551" s="212"/>
      <c r="R551" s="213"/>
      <c r="S551" s="213"/>
      <c r="T551" s="213"/>
      <c r="U551" s="213"/>
      <c r="V551" s="213"/>
      <c r="W551" s="213"/>
      <c r="X551" s="213"/>
      <c r="Y551" s="213"/>
      <c r="Z551" s="214"/>
      <c r="AA551" s="213"/>
      <c r="AB551" s="213"/>
      <c r="AC551" s="213"/>
      <c r="AD551" s="213"/>
      <c r="AE551" s="213"/>
      <c r="AF551" s="213"/>
      <c r="AG551" s="213"/>
      <c r="AH551" s="214"/>
      <c r="AJ551" s="631">
        <f ca="1">IF(AND($D551="Serviço",AJ$12&lt;&gt;0,$H551&gt;0,OR(AUTOEVENTO&lt;&gt;"manual",$M551&lt;&gt;1)),ROUND(OFFSET($P551,0,AJ$13),15-13*ORÇAMENTO!$AF$7)/$H551*OFFSET(ORÇAMENTO!$X$15,ROW(AJ551)-ROW(AJ$15),0),0)</f>
        <v>0</v>
      </c>
      <c r="AK551" s="632">
        <f ca="1">IF(AND($D551="Serviço",AK$12&lt;&gt;0,$H551&gt;0,OR(AUTOEVENTO&lt;&gt;"manual",$M551&lt;&gt;1)),ROUND(OFFSET($P551,0,AK$13),15-13*ORÇAMENTO!$AF$7)/$H551*OFFSET(ORÇAMENTO!$X$15,ROW(AK551)-ROW(AK$15),0),0)</f>
        <v>0</v>
      </c>
      <c r="AL551" s="632">
        <f ca="1">IF(AND($D551="Serviço",AL$12&lt;&gt;0,$H551&gt;0,OR(AUTOEVENTO&lt;&gt;"manual",$M551&lt;&gt;1)),ROUND(OFFSET($P551,0,AL$13),15-13*ORÇAMENTO!$AF$7)/$H551*OFFSET(ORÇAMENTO!$X$15,ROW(AL551)-ROW(AL$15),0),0)</f>
        <v>0</v>
      </c>
      <c r="AM551" s="632">
        <f ca="1">IF(AND($D551="Serviço",AM$12&lt;&gt;0,$H551&gt;0,OR(AUTOEVENTO&lt;&gt;"manual",$M551&lt;&gt;1)),ROUND(OFFSET($P551,0,AM$13),15-13*ORÇAMENTO!$AF$7)/$H551*OFFSET(ORÇAMENTO!$X$15,ROW(AM551)-ROW(AM$15),0),0)</f>
        <v>0</v>
      </c>
      <c r="AN551" s="632">
        <f ca="1">IF(AND($D551="Serviço",AN$12&lt;&gt;0,$H551&gt;0,OR(AUTOEVENTO&lt;&gt;"manual",$M551&lt;&gt;1)),ROUND(OFFSET($P551,0,AN$13),15-13*ORÇAMENTO!$AF$7)/$H551*OFFSET(ORÇAMENTO!$X$15,ROW(AN551)-ROW(AN$15),0),0)</f>
        <v>0</v>
      </c>
      <c r="AO551" s="632">
        <f ca="1">IF(AND($D551="Serviço",AO$12&lt;&gt;0,$H551&gt;0,OR(AUTOEVENTO&lt;&gt;"manual",$M551&lt;&gt;1)),ROUND(OFFSET($P551,0,AO$13),15-13*ORÇAMENTO!$AF$7)/$H551*OFFSET(ORÇAMENTO!$X$15,ROW(AO551)-ROW(AO$15),0),0)</f>
        <v>0</v>
      </c>
      <c r="AP551" s="632">
        <f ca="1">IF(AND($D551="Serviço",AP$12&lt;&gt;0,$H551&gt;0,OR(AUTOEVENTO&lt;&gt;"manual",$M551&lt;&gt;1)),ROUND(OFFSET($P551,0,AP$13),15-13*ORÇAMENTO!$AF$7)/$H551*OFFSET(ORÇAMENTO!$X$15,ROW(AP551)-ROW(AP$15),0),0)</f>
        <v>0</v>
      </c>
      <c r="AQ551" s="632">
        <f ca="1">IF(AND($D551="Serviço",AQ$12&lt;&gt;0,$H551&gt;0,OR(AUTOEVENTO&lt;&gt;"manual",$M551&lt;&gt;1)),ROUND(OFFSET($P551,0,AQ$13),15-13*ORÇAMENTO!$AF$7)/$H551*OFFSET(ORÇAMENTO!$X$15,ROW(AQ551)-ROW(AQ$15),0),0)</f>
        <v>0</v>
      </c>
      <c r="AR551" s="632">
        <f ca="1">IF(AND($D551="Serviço",AR$12&lt;&gt;0,$H551&gt;0,OR(AUTOEVENTO&lt;&gt;"manual",$M551&lt;&gt;1)),ROUND(OFFSET($P551,0,AR$13),15-13*ORÇAMENTO!$AF$7)/$H551*OFFSET(ORÇAMENTO!$X$15,ROW(AR551)-ROW(AR$15),0),0)</f>
        <v>0</v>
      </c>
      <c r="AS551" s="633">
        <f ca="1">IF(AND($D551="Serviço",AS$12&lt;&gt;0,$H551&gt;0,OR(AUTOEVENTO&lt;&gt;"manual",$M551&lt;&gt;1)),ROUND(OFFSET($P551,0,AS$13),15-13*ORÇAMENTO!$AF$7)/$H551*OFFSET(ORÇAMENTO!$X$15,ROW(AS551)-ROW(AS$15),0),0)</f>
        <v>0</v>
      </c>
      <c r="AT551" s="632">
        <f ca="1">IF(AND($D551="Serviço",AT$12&lt;&gt;0,$H551&gt;0,OR(AUTOEVENTO&lt;&gt;"manual",$M551&lt;&gt;1)),ROUND(OFFSET($P551,0,AT$13),15-13*ORÇAMENTO!$AF$7)/$H551*OFFSET(ORÇAMENTO!$X$15,ROW(AT551)-ROW(AT$15),0),0)</f>
        <v>0</v>
      </c>
      <c r="AU551" s="632">
        <f ca="1">IF(AND($D551="Serviço",AU$12&lt;&gt;0,$H551&gt;0,OR(AUTOEVENTO&lt;&gt;"manual",$M551&lt;&gt;1)),ROUND(OFFSET($P551,0,AU$13),15-13*ORÇAMENTO!$AF$7)/$H551*OFFSET(ORÇAMENTO!$X$15,ROW(AU551)-ROW(AU$15),0),0)</f>
        <v>0</v>
      </c>
      <c r="AV551" s="632">
        <f ca="1">IF(AND($D551="Serviço",AV$12&lt;&gt;0,$H551&gt;0,OR(AUTOEVENTO&lt;&gt;"manual",$M551&lt;&gt;1)),ROUND(OFFSET($P551,0,AV$13),15-13*ORÇAMENTO!$AF$7)/$H551*OFFSET(ORÇAMENTO!$X$15,ROW(AV551)-ROW(AV$15),0),0)</f>
        <v>0</v>
      </c>
      <c r="AW551" s="632">
        <f ca="1">IF(AND($D551="Serviço",AW$12&lt;&gt;0,$H551&gt;0,OR(AUTOEVENTO&lt;&gt;"manual",$M551&lt;&gt;1)),ROUND(OFFSET($P551,0,AW$13),15-13*ORÇAMENTO!$AF$7)/$H551*OFFSET(ORÇAMENTO!$X$15,ROW(AW551)-ROW(AW$15),0),0)</f>
        <v>0</v>
      </c>
      <c r="AX551" s="632">
        <f ca="1">IF(AND($D551="Serviço",AX$12&lt;&gt;0,$H551&gt;0,OR(AUTOEVENTO&lt;&gt;"manual",$M551&lt;&gt;1)),ROUND(OFFSET($P551,0,AX$13),15-13*ORÇAMENTO!$AF$7)/$H551*OFFSET(ORÇAMENTO!$X$15,ROW(AX551)-ROW(AX$15),0),0)</f>
        <v>0</v>
      </c>
      <c r="AY551" s="632">
        <f ca="1">IF(AND($D551="Serviço",AY$12&lt;&gt;0,$H551&gt;0,OR(AUTOEVENTO&lt;&gt;"manual",$M551&lt;&gt;1)),ROUND(OFFSET($P551,0,AY$13),15-13*ORÇAMENTO!$AF$7)/$H551*OFFSET(ORÇAMENTO!$X$15,ROW(AY551)-ROW(AY$15),0),0)</f>
        <v>0</v>
      </c>
      <c r="AZ551" s="632">
        <f ca="1">IF(AND($D551="Serviço",AZ$12&lt;&gt;0,$H551&gt;0,OR(AUTOEVENTO&lt;&gt;"manual",$M551&lt;&gt;1)),ROUND(OFFSET($P551,0,AZ$13),15-13*ORÇAMENTO!$AF$7)/$H551*OFFSET(ORÇAMENTO!$X$15,ROW(AZ551)-ROW(AZ$15),0),0)</f>
        <v>0</v>
      </c>
      <c r="BA551" s="633">
        <f ca="1">IF(AND($D551="Serviço",BA$12&lt;&gt;0,$H551&gt;0,OR(AUTOEVENTO&lt;&gt;"manual",$M551&lt;&gt;1)),ROUND(OFFSET($P551,0,BA$13),15-13*ORÇAMENTO!$AF$7)/$H551*OFFSET(ORÇAMENTO!$X$15,ROW(BA551)-ROW(BA$15),0),0)</f>
        <v>0</v>
      </c>
      <c r="BC551" s="215">
        <f ca="1">IF($D551&lt;&gt;"Serviço",0,IF(AND(AUTOEVENTO="Manual",$M551=1),0,IF(OFFSET(CRONOPLE!$F$14,$M551,BC$13)="",10^12,OFFSET(CRONOPLE!$F$14,$M551,BC$13))))</f>
        <v>1000000000000</v>
      </c>
      <c r="BD551" s="215">
        <f ca="1">IF($D551&lt;&gt;"Serviço",0,IF(AND(AUTOEVENTO="Manual",$M551=1),0,IF(OFFSET(CRONOPLE!$F$14,$M551,BD$13)="",10^12,OFFSET(CRONOPLE!$F$14,$M551,BD$13))))</f>
        <v>1000000000000</v>
      </c>
      <c r="BE551" s="215">
        <f ca="1">IF($D551&lt;&gt;"Serviço",0,IF(AND(AUTOEVENTO="Manual",$M551=1),0,IF(OFFSET(CRONOPLE!$F$14,$M551,BE$13)="",10^12,OFFSET(CRONOPLE!$F$14,$M551,BE$13))))</f>
        <v>1000000000000</v>
      </c>
      <c r="BF551" s="215">
        <f ca="1">IF($D551&lt;&gt;"Serviço",0,IF(AND(AUTOEVENTO="Manual",$M551=1),0,IF(OFFSET(CRONOPLE!$F$14,$M551,BF$13)="",10^12,OFFSET(CRONOPLE!$F$14,$M551,BF$13))))</f>
        <v>1000000000000</v>
      </c>
      <c r="BG551" s="215">
        <f ca="1">IF($D551&lt;&gt;"Serviço",0,IF(AND(AUTOEVENTO="Manual",$M551=1),0,IF(OFFSET(CRONOPLE!$F$14,$M551,BG$13)="",10^12,OFFSET(CRONOPLE!$F$14,$M551,BG$13))))</f>
        <v>1000000000000</v>
      </c>
      <c r="BH551" s="215">
        <f ca="1">IF($D551&lt;&gt;"Serviço",0,IF(AND(AUTOEVENTO="Manual",$M551=1),0,IF(OFFSET(CRONOPLE!$F$14,$M551,BH$13)="",10^12,OFFSET(CRONOPLE!$F$14,$M551,BH$13))))</f>
        <v>1000000000000</v>
      </c>
      <c r="BI551" s="215">
        <f ca="1">IF($D551&lt;&gt;"Serviço",0,IF(AND(AUTOEVENTO="Manual",$M551=1),0,IF(OFFSET(CRONOPLE!$F$14,$M551,BI$13)="",10^12,OFFSET(CRONOPLE!$F$14,$M551,BI$13))))</f>
        <v>1000000000000</v>
      </c>
      <c r="BJ551" s="215">
        <f ca="1">IF($D551&lt;&gt;"Serviço",0,IF(AND(AUTOEVENTO="Manual",$M551=1),0,IF(OFFSET(CRONOPLE!$F$14,$M551,BJ$13)="",10^12,OFFSET(CRONOPLE!$F$14,$M551,BJ$13))))</f>
        <v>1000000000000</v>
      </c>
      <c r="BK551" s="215">
        <f ca="1">IF($D551&lt;&gt;"Serviço",0,IF(AND(AUTOEVENTO="Manual",$M551=1),0,IF(OFFSET(CRONOPLE!$F$14,$M551,BK$13)="",10^12,OFFSET(CRONOPLE!$F$14,$M551,BK$13))))</f>
        <v>1000000000000</v>
      </c>
      <c r="BL551" s="215">
        <f ca="1">IF($D551&lt;&gt;"Serviço",0,IF(AND(AUTOEVENTO="Manual",$M551=1),0,IF(OFFSET(CRONOPLE!$F$14,$M551,BL$13)="",10^12,OFFSET(CRONOPLE!$F$14,$M551,BL$13))))</f>
        <v>1000000000000</v>
      </c>
      <c r="BM551" s="215">
        <f ca="1">IF($D551&lt;&gt;"Serviço",0,IF(AND(AUTOEVENTO="Manual",$M551=1),0,IF(OFFSET(CRONOPLE!$F$14,$M551,BM$13)="",10^12,OFFSET(CRONOPLE!$F$14,$M551,BM$13))))</f>
        <v>1000000000000</v>
      </c>
      <c r="BN551" s="215">
        <f ca="1">IF($D551&lt;&gt;"Serviço",0,IF(AND(AUTOEVENTO="Manual",$M551=1),0,IF(OFFSET(CRONOPLE!$F$14,$M551,BN$13)="",10^12,OFFSET(CRONOPLE!$F$14,$M551,BN$13))))</f>
        <v>1000000000000</v>
      </c>
      <c r="BO551" s="215">
        <f ca="1">IF($D551&lt;&gt;"Serviço",0,IF(AND(AUTOEVENTO="Manual",$M551=1),0,IF(OFFSET(CRONOPLE!$F$14,$M551,BO$13)="",10^12,OFFSET(CRONOPLE!$F$14,$M551,BO$13))))</f>
        <v>1000000000000</v>
      </c>
      <c r="BP551" s="215">
        <f ca="1">IF($D551&lt;&gt;"Serviço",0,IF(AND(AUTOEVENTO="Manual",$M551=1),0,IF(OFFSET(CRONOPLE!$F$14,$M551,BP$13)="",10^12,OFFSET(CRONOPLE!$F$14,$M551,BP$13))))</f>
        <v>1000000000000</v>
      </c>
      <c r="BQ551" s="215">
        <f ca="1">IF($D551&lt;&gt;"Serviço",0,IF(AND(AUTOEVENTO="Manual",$M551=1),0,IF(OFFSET(CRONOPLE!$F$14,$M551,BQ$13)="",10^12,OFFSET(CRONOPLE!$F$14,$M551,BQ$13))))</f>
        <v>1000000000000</v>
      </c>
      <c r="BR551" s="215">
        <f ca="1">IF($D551&lt;&gt;"Serviço",0,IF(AND(AUTOEVENTO="Manual",$M551=1),0,IF(OFFSET(CRONOPLE!$F$14,$M551,BR$13)="",10^12,OFFSET(CRONOPLE!$F$14,$M551,BR$13))))</f>
        <v>1000000000000</v>
      </c>
      <c r="BS551" s="215">
        <f ca="1">IF($D551&lt;&gt;"Serviço",0,IF(AND(AUTOEVENTO="Manual",$M551=1),0,IF(OFFSET(CRONOPLE!$F$14,$M551,BS$13)="",10^12,OFFSET(CRONOPLE!$F$14,$M551,BS$13))))</f>
        <v>1000000000000</v>
      </c>
      <c r="BT551" s="215">
        <f ca="1">IF($D551&lt;&gt;"Serviço",0,IF(AND(AUTOEVENTO="Manual",$M551=1),0,IF(OFFSET(CRONOPLE!$F$14,$M551,BT$13)="",10^12,OFFSET(CRONOPLE!$F$14,$M551,BT$13))))</f>
        <v>1000000000000</v>
      </c>
      <c r="BV551" s="216">
        <f ca="1">IF($D551&lt;&gt;"Serviço",0,IF(OR(AND(AUTOEVENTO="Manual",$M551=1),$M551&gt;(ROW(PLE.lastrow)-ROW(PLE.firstrow))),0,IF(OFFSET(PLE!$G$14,$M551,BV$13)="",10^12,OFFSET(PLE!$G$14,$M551,BV$13))))</f>
        <v>1000000000000</v>
      </c>
      <c r="BW551" s="216">
        <f ca="1">IF($D551&lt;&gt;"Serviço",0,IF(OR(AND(AUTOEVENTO="Manual",$M551=1),$M551&gt;(ROW(PLE.lastrow)-ROW(PLE.firstrow))),0,IF(OFFSET(PLE!$G$14,$M551,BW$13)="",10^12,OFFSET(PLE!$G$14,$M551,BW$13))))</f>
        <v>1000000000000</v>
      </c>
      <c r="BX551" s="216">
        <f ca="1">IF($D551&lt;&gt;"Serviço",0,IF(OR(AND(AUTOEVENTO="Manual",$M551=1),$M551&gt;(ROW(PLE.lastrow)-ROW(PLE.firstrow))),0,IF(OFFSET(PLE!$G$14,$M551,BX$13)="",10^12,OFFSET(PLE!$G$14,$M551,BX$13))))</f>
        <v>1000000000000</v>
      </c>
      <c r="BY551" s="216">
        <f ca="1">IF($D551&lt;&gt;"Serviço",0,IF(OR(AND(AUTOEVENTO="Manual",$M551=1),$M551&gt;(ROW(PLE.lastrow)-ROW(PLE.firstrow))),0,IF(OFFSET(PLE!$G$14,$M551,BY$13)="",10^12,OFFSET(PLE!$G$14,$M551,BY$13))))</f>
        <v>1000000000000</v>
      </c>
      <c r="BZ551" s="216">
        <f ca="1">IF($D551&lt;&gt;"Serviço",0,IF(OR(AND(AUTOEVENTO="Manual",$M551=1),$M551&gt;(ROW(PLE.lastrow)-ROW(PLE.firstrow))),0,IF(OFFSET(PLE!$G$14,$M551,BZ$13)="",10^12,OFFSET(PLE!$G$14,$M551,BZ$13))))</f>
        <v>1000000000000</v>
      </c>
      <c r="CA551" s="216">
        <f ca="1">IF($D551&lt;&gt;"Serviço",0,IF(OR(AND(AUTOEVENTO="Manual",$M551=1),$M551&gt;(ROW(PLE.lastrow)-ROW(PLE.firstrow))),0,IF(OFFSET(PLE!$G$14,$M551,CA$13)="",10^12,OFFSET(PLE!$G$14,$M551,CA$13))))</f>
        <v>1000000000000</v>
      </c>
      <c r="CB551" s="216">
        <f ca="1">IF($D551&lt;&gt;"Serviço",0,IF(OR(AND(AUTOEVENTO="Manual",$M551=1),$M551&gt;(ROW(PLE.lastrow)-ROW(PLE.firstrow))),0,IF(OFFSET(PLE!$G$14,$M551,CB$13)="",10^12,OFFSET(PLE!$G$14,$M551,CB$13))))</f>
        <v>1000000000000</v>
      </c>
      <c r="CC551" s="216">
        <f ca="1">IF($D551&lt;&gt;"Serviço",0,IF(OR(AND(AUTOEVENTO="Manual",$M551=1),$M551&gt;(ROW(PLE.lastrow)-ROW(PLE.firstrow))),0,IF(OFFSET(PLE!$G$14,$M551,CC$13)="",10^12,OFFSET(PLE!$G$14,$M551,CC$13))))</f>
        <v>1000000000000</v>
      </c>
      <c r="CD551" s="216">
        <f ca="1">IF($D551&lt;&gt;"Serviço",0,IF(OR(AND(AUTOEVENTO="Manual",$M551=1),$M551&gt;(ROW(PLE.lastrow)-ROW(PLE.firstrow))),0,IF(OFFSET(PLE!$G$14,$M551,CD$13)="",10^12,OFFSET(PLE!$G$14,$M551,CD$13))))</f>
        <v>1000000000000</v>
      </c>
      <c r="CE551" s="216">
        <f ca="1">IF($D551&lt;&gt;"Serviço",0,IF(OR(AND(AUTOEVENTO="Manual",$M551=1),$M551&gt;(ROW(PLE.lastrow)-ROW(PLE.firstrow))),0,IF(OFFSET(PLE!$G$14,$M551,CE$13)="",10^12,OFFSET(PLE!$G$14,$M551,CE$13))))</f>
        <v>1000000000000</v>
      </c>
      <c r="CF551" s="216">
        <f ca="1">IF($D551&lt;&gt;"Serviço",0,IF(OR(AND(AUTOEVENTO="Manual",$M551=1),$M551&gt;(ROW(PLE.lastrow)-ROW(PLE.firstrow))),0,IF(OFFSET(PLE!$G$14,$M551,CF$13)="",10^12,OFFSET(PLE!$G$14,$M551,CF$13))))</f>
        <v>1000000000000</v>
      </c>
      <c r="CG551" s="216">
        <f ca="1">IF($D551&lt;&gt;"Serviço",0,IF(OR(AND(AUTOEVENTO="Manual",$M551=1),$M551&gt;(ROW(PLE.lastrow)-ROW(PLE.firstrow))),0,IF(OFFSET(PLE!$G$14,$M551,CG$13)="",10^12,OFFSET(PLE!$G$14,$M551,CG$13))))</f>
        <v>1000000000000</v>
      </c>
      <c r="CH551" s="216">
        <f ca="1">IF($D551&lt;&gt;"Serviço",0,IF(OR(AND(AUTOEVENTO="Manual",$M551=1),$M551&gt;(ROW(PLE.lastrow)-ROW(PLE.firstrow))),0,IF(OFFSET(PLE!$G$14,$M551,CH$13)="",10^12,OFFSET(PLE!$G$14,$M551,CH$13))))</f>
        <v>1000000000000</v>
      </c>
      <c r="CI551" s="216">
        <f ca="1">IF($D551&lt;&gt;"Serviço",0,IF(OR(AND(AUTOEVENTO="Manual",$M551=1),$M551&gt;(ROW(PLE.lastrow)-ROW(PLE.firstrow))),0,IF(OFFSET(PLE!$G$14,$M551,CI$13)="",10^12,OFFSET(PLE!$G$14,$M551,CI$13))))</f>
        <v>1000000000000</v>
      </c>
      <c r="CJ551" s="216">
        <f ca="1">IF($D551&lt;&gt;"Serviço",0,IF(OR(AND(AUTOEVENTO="Manual",$M551=1),$M551&gt;(ROW(PLE.lastrow)-ROW(PLE.firstrow))),0,IF(OFFSET(PLE!$G$14,$M551,CJ$13)="",10^12,OFFSET(PLE!$G$14,$M551,CJ$13))))</f>
        <v>1000000000000</v>
      </c>
      <c r="CK551" s="216">
        <f ca="1">IF($D551&lt;&gt;"Serviço",0,IF(OR(AND(AUTOEVENTO="Manual",$M551=1),$M551&gt;(ROW(PLE.lastrow)-ROW(PLE.firstrow))),0,IF(OFFSET(PLE!$G$14,$M551,CK$13)="",10^12,OFFSET(PLE!$G$14,$M551,CK$13))))</f>
        <v>1000000000000</v>
      </c>
      <c r="CL551" s="216">
        <f ca="1">IF($D551&lt;&gt;"Serviço",0,IF(OR(AND(AUTOEVENTO="Manual",$M551=1),$M551&gt;(ROW(PLE.lastrow)-ROW(PLE.firstrow))),0,IF(OFFSET(PLE!$G$14,$M551,CL$13)="",10^12,OFFSET(PLE!$G$14,$M551,CL$13))))</f>
        <v>1000000000000</v>
      </c>
      <c r="CM551" s="216">
        <f ca="1">IF($D551&lt;&gt;"Serviço",0,IF(OR(AND(AUTOEVENTO="Manual",$M551=1),$M551&gt;(ROW(PLE.lastrow)-ROW(PLE.firstrow))),0,IF(OFFSET(PLE!$G$14,$M551,CM$13)="",10^12,OFFSET(PLE!$G$14,$M551,CM$13))))</f>
        <v>1000000000000</v>
      </c>
    </row>
    <row r="552" spans="1:91" ht="13.2" x14ac:dyDescent="0.25">
      <c r="A552" s="9">
        <f t="shared" ca="1" si="17"/>
        <v>0</v>
      </c>
      <c r="B552" s="9" t="str">
        <f ca="1">OFFSET(ORÇAMENTO!C$15,ROW(B552)-ROW(B$15),0)</f>
        <v>S</v>
      </c>
      <c r="C552" s="9" t="str">
        <f ca="1">OFFSET(ORÇAMENTO!L$15,ROW(C552)-ROW(C$15),0)</f>
        <v/>
      </c>
      <c r="D552" s="145" t="str">
        <f ca="1">OFFSET(ORÇAMENTO!N$15,ROW(D552)-ROW(D$15),0)</f>
        <v>Serviço</v>
      </c>
      <c r="E552" s="205" t="str">
        <f ca="1">OFFSET(ORÇAMENTO!O$15,ROW(E552)-ROW(E$15),0)</f>
        <v>-</v>
      </c>
      <c r="F552" s="206" t="str">
        <f ca="1">OFFSET(ORÇAMENTO!R$15,ROW(F552)-ROW(F$15),0)</f>
        <v>(abra o arquivo 'Referência 05-2024.xls)</v>
      </c>
      <c r="G552" s="207" t="str">
        <f ca="1">IF($D552&lt;&gt;"Serviço","",OFFSET(ORÇAMENTO!S$15,ROW(G552)-ROW(G$15),0))</f>
        <v>-</v>
      </c>
      <c r="H552" s="151">
        <f ca="1">IF($D552&lt;&gt;"Serviço",0,IF(ACOMPANHAMENTO="BM",ROUND(OFFSET(ORÇAMENTO!AJ$15,ROW(H552)-ROW(H$15),0),15-13*ORÇAMENTO!$AF$7),SUMPRODUCT(($Q$12:$AI$12&lt;&gt;"")*ROUND($Q552:$AI552,15-13*ORÇAMENTO!$AF$7))))</f>
        <v>40</v>
      </c>
      <c r="I552" s="650"/>
      <c r="K552" s="208"/>
      <c r="L552" s="209" t="s">
        <v>257</v>
      </c>
      <c r="M552" s="210">
        <f ca="1">IF($D552&lt;&gt;"Serviço","",IF(AUTOEVENTO="manual",$A552,IF(ISERROR(MATCH($A552,$A$15:OFFSET($A552,-1,0),0)),MAX($M$15:OFFSET(M552,-1,0))+1,INDEX($M$15:OFFSET(M552,-1,0),MATCH($A552,$A$15:OFFSET($A552,-1,0),0)))))</f>
        <v>0</v>
      </c>
      <c r="N552" s="211" t="str">
        <f ca="1">IF($D552&lt;&gt;"Serviço","",IF(AUTOEVENTO="Manual",IF($A552=0,"&lt;-- defina o número do agrupador",OFFSET(EVENTOS!$D$14,$A552,0)),OFFSET($F$15,$A552,0)))</f>
        <v>&lt;-- defina o número do agrupador</v>
      </c>
      <c r="O552" s="212"/>
      <c r="Q552" s="212"/>
      <c r="R552" s="213"/>
      <c r="S552" s="213"/>
      <c r="T552" s="213"/>
      <c r="U552" s="213"/>
      <c r="V552" s="213"/>
      <c r="W552" s="213"/>
      <c r="X552" s="213"/>
      <c r="Y552" s="213"/>
      <c r="Z552" s="214"/>
      <c r="AA552" s="213"/>
      <c r="AB552" s="213"/>
      <c r="AC552" s="213"/>
      <c r="AD552" s="213"/>
      <c r="AE552" s="213"/>
      <c r="AF552" s="213"/>
      <c r="AG552" s="213"/>
      <c r="AH552" s="214"/>
      <c r="AJ552" s="631">
        <f ca="1">IF(AND($D552="Serviço",AJ$12&lt;&gt;0,$H552&gt;0,OR(AUTOEVENTO&lt;&gt;"manual",$M552&lt;&gt;1)),ROUND(OFFSET($P552,0,AJ$13),15-13*ORÇAMENTO!$AF$7)/$H552*OFFSET(ORÇAMENTO!$X$15,ROW(AJ552)-ROW(AJ$15),0),0)</f>
        <v>0</v>
      </c>
      <c r="AK552" s="632">
        <f ca="1">IF(AND($D552="Serviço",AK$12&lt;&gt;0,$H552&gt;0,OR(AUTOEVENTO&lt;&gt;"manual",$M552&lt;&gt;1)),ROUND(OFFSET($P552,0,AK$13),15-13*ORÇAMENTO!$AF$7)/$H552*OFFSET(ORÇAMENTO!$X$15,ROW(AK552)-ROW(AK$15),0),0)</f>
        <v>0</v>
      </c>
      <c r="AL552" s="632">
        <f ca="1">IF(AND($D552="Serviço",AL$12&lt;&gt;0,$H552&gt;0,OR(AUTOEVENTO&lt;&gt;"manual",$M552&lt;&gt;1)),ROUND(OFFSET($P552,0,AL$13),15-13*ORÇAMENTO!$AF$7)/$H552*OFFSET(ORÇAMENTO!$X$15,ROW(AL552)-ROW(AL$15),0),0)</f>
        <v>0</v>
      </c>
      <c r="AM552" s="632">
        <f ca="1">IF(AND($D552="Serviço",AM$12&lt;&gt;0,$H552&gt;0,OR(AUTOEVENTO&lt;&gt;"manual",$M552&lt;&gt;1)),ROUND(OFFSET($P552,0,AM$13),15-13*ORÇAMENTO!$AF$7)/$H552*OFFSET(ORÇAMENTO!$X$15,ROW(AM552)-ROW(AM$15),0),0)</f>
        <v>0</v>
      </c>
      <c r="AN552" s="632">
        <f ca="1">IF(AND($D552="Serviço",AN$12&lt;&gt;0,$H552&gt;0,OR(AUTOEVENTO&lt;&gt;"manual",$M552&lt;&gt;1)),ROUND(OFFSET($P552,0,AN$13),15-13*ORÇAMENTO!$AF$7)/$H552*OFFSET(ORÇAMENTO!$X$15,ROW(AN552)-ROW(AN$15),0),0)</f>
        <v>0</v>
      </c>
      <c r="AO552" s="632">
        <f ca="1">IF(AND($D552="Serviço",AO$12&lt;&gt;0,$H552&gt;0,OR(AUTOEVENTO&lt;&gt;"manual",$M552&lt;&gt;1)),ROUND(OFFSET($P552,0,AO$13),15-13*ORÇAMENTO!$AF$7)/$H552*OFFSET(ORÇAMENTO!$X$15,ROW(AO552)-ROW(AO$15),0),0)</f>
        <v>0</v>
      </c>
      <c r="AP552" s="632">
        <f ca="1">IF(AND($D552="Serviço",AP$12&lt;&gt;0,$H552&gt;0,OR(AUTOEVENTO&lt;&gt;"manual",$M552&lt;&gt;1)),ROUND(OFFSET($P552,0,AP$13),15-13*ORÇAMENTO!$AF$7)/$H552*OFFSET(ORÇAMENTO!$X$15,ROW(AP552)-ROW(AP$15),0),0)</f>
        <v>0</v>
      </c>
      <c r="AQ552" s="632">
        <f ca="1">IF(AND($D552="Serviço",AQ$12&lt;&gt;0,$H552&gt;0,OR(AUTOEVENTO&lt;&gt;"manual",$M552&lt;&gt;1)),ROUND(OFFSET($P552,0,AQ$13),15-13*ORÇAMENTO!$AF$7)/$H552*OFFSET(ORÇAMENTO!$X$15,ROW(AQ552)-ROW(AQ$15),0),0)</f>
        <v>0</v>
      </c>
      <c r="AR552" s="632">
        <f ca="1">IF(AND($D552="Serviço",AR$12&lt;&gt;0,$H552&gt;0,OR(AUTOEVENTO&lt;&gt;"manual",$M552&lt;&gt;1)),ROUND(OFFSET($P552,0,AR$13),15-13*ORÇAMENTO!$AF$7)/$H552*OFFSET(ORÇAMENTO!$X$15,ROW(AR552)-ROW(AR$15),0),0)</f>
        <v>0</v>
      </c>
      <c r="AS552" s="633">
        <f ca="1">IF(AND($D552="Serviço",AS$12&lt;&gt;0,$H552&gt;0,OR(AUTOEVENTO&lt;&gt;"manual",$M552&lt;&gt;1)),ROUND(OFFSET($P552,0,AS$13),15-13*ORÇAMENTO!$AF$7)/$H552*OFFSET(ORÇAMENTO!$X$15,ROW(AS552)-ROW(AS$15),0),0)</f>
        <v>0</v>
      </c>
      <c r="AT552" s="632">
        <f ca="1">IF(AND($D552="Serviço",AT$12&lt;&gt;0,$H552&gt;0,OR(AUTOEVENTO&lt;&gt;"manual",$M552&lt;&gt;1)),ROUND(OFFSET($P552,0,AT$13),15-13*ORÇAMENTO!$AF$7)/$H552*OFFSET(ORÇAMENTO!$X$15,ROW(AT552)-ROW(AT$15),0),0)</f>
        <v>0</v>
      </c>
      <c r="AU552" s="632">
        <f ca="1">IF(AND($D552="Serviço",AU$12&lt;&gt;0,$H552&gt;0,OR(AUTOEVENTO&lt;&gt;"manual",$M552&lt;&gt;1)),ROUND(OFFSET($P552,0,AU$13),15-13*ORÇAMENTO!$AF$7)/$H552*OFFSET(ORÇAMENTO!$X$15,ROW(AU552)-ROW(AU$15),0),0)</f>
        <v>0</v>
      </c>
      <c r="AV552" s="632">
        <f ca="1">IF(AND($D552="Serviço",AV$12&lt;&gt;0,$H552&gt;0,OR(AUTOEVENTO&lt;&gt;"manual",$M552&lt;&gt;1)),ROUND(OFFSET($P552,0,AV$13),15-13*ORÇAMENTO!$AF$7)/$H552*OFFSET(ORÇAMENTO!$X$15,ROW(AV552)-ROW(AV$15),0),0)</f>
        <v>0</v>
      </c>
      <c r="AW552" s="632">
        <f ca="1">IF(AND($D552="Serviço",AW$12&lt;&gt;0,$H552&gt;0,OR(AUTOEVENTO&lt;&gt;"manual",$M552&lt;&gt;1)),ROUND(OFFSET($P552,0,AW$13),15-13*ORÇAMENTO!$AF$7)/$H552*OFFSET(ORÇAMENTO!$X$15,ROW(AW552)-ROW(AW$15),0),0)</f>
        <v>0</v>
      </c>
      <c r="AX552" s="632">
        <f ca="1">IF(AND($D552="Serviço",AX$12&lt;&gt;0,$H552&gt;0,OR(AUTOEVENTO&lt;&gt;"manual",$M552&lt;&gt;1)),ROUND(OFFSET($P552,0,AX$13),15-13*ORÇAMENTO!$AF$7)/$H552*OFFSET(ORÇAMENTO!$X$15,ROW(AX552)-ROW(AX$15),0),0)</f>
        <v>0</v>
      </c>
      <c r="AY552" s="632">
        <f ca="1">IF(AND($D552="Serviço",AY$12&lt;&gt;0,$H552&gt;0,OR(AUTOEVENTO&lt;&gt;"manual",$M552&lt;&gt;1)),ROUND(OFFSET($P552,0,AY$13),15-13*ORÇAMENTO!$AF$7)/$H552*OFFSET(ORÇAMENTO!$X$15,ROW(AY552)-ROW(AY$15),0),0)</f>
        <v>0</v>
      </c>
      <c r="AZ552" s="632">
        <f ca="1">IF(AND($D552="Serviço",AZ$12&lt;&gt;0,$H552&gt;0,OR(AUTOEVENTO&lt;&gt;"manual",$M552&lt;&gt;1)),ROUND(OFFSET($P552,0,AZ$13),15-13*ORÇAMENTO!$AF$7)/$H552*OFFSET(ORÇAMENTO!$X$15,ROW(AZ552)-ROW(AZ$15),0),0)</f>
        <v>0</v>
      </c>
      <c r="BA552" s="633">
        <f ca="1">IF(AND($D552="Serviço",BA$12&lt;&gt;0,$H552&gt;0,OR(AUTOEVENTO&lt;&gt;"manual",$M552&lt;&gt;1)),ROUND(OFFSET($P552,0,BA$13),15-13*ORÇAMENTO!$AF$7)/$H552*OFFSET(ORÇAMENTO!$X$15,ROW(BA552)-ROW(BA$15),0),0)</f>
        <v>0</v>
      </c>
      <c r="BC552" s="215">
        <f ca="1">IF($D552&lt;&gt;"Serviço",0,IF(AND(AUTOEVENTO="Manual",$M552=1),0,IF(OFFSET(CRONOPLE!$F$14,$M552,BC$13)="",10^12,OFFSET(CRONOPLE!$F$14,$M552,BC$13))))</f>
        <v>1000000000000</v>
      </c>
      <c r="BD552" s="215">
        <f ca="1">IF($D552&lt;&gt;"Serviço",0,IF(AND(AUTOEVENTO="Manual",$M552=1),0,IF(OFFSET(CRONOPLE!$F$14,$M552,BD$13)="",10^12,OFFSET(CRONOPLE!$F$14,$M552,BD$13))))</f>
        <v>1000000000000</v>
      </c>
      <c r="BE552" s="215">
        <f ca="1">IF($D552&lt;&gt;"Serviço",0,IF(AND(AUTOEVENTO="Manual",$M552=1),0,IF(OFFSET(CRONOPLE!$F$14,$M552,BE$13)="",10^12,OFFSET(CRONOPLE!$F$14,$M552,BE$13))))</f>
        <v>1000000000000</v>
      </c>
      <c r="BF552" s="215">
        <f ca="1">IF($D552&lt;&gt;"Serviço",0,IF(AND(AUTOEVENTO="Manual",$M552=1),0,IF(OFFSET(CRONOPLE!$F$14,$M552,BF$13)="",10^12,OFFSET(CRONOPLE!$F$14,$M552,BF$13))))</f>
        <v>1000000000000</v>
      </c>
      <c r="BG552" s="215">
        <f ca="1">IF($D552&lt;&gt;"Serviço",0,IF(AND(AUTOEVENTO="Manual",$M552=1),0,IF(OFFSET(CRONOPLE!$F$14,$M552,BG$13)="",10^12,OFFSET(CRONOPLE!$F$14,$M552,BG$13))))</f>
        <v>1000000000000</v>
      </c>
      <c r="BH552" s="215">
        <f ca="1">IF($D552&lt;&gt;"Serviço",0,IF(AND(AUTOEVENTO="Manual",$M552=1),0,IF(OFFSET(CRONOPLE!$F$14,$M552,BH$13)="",10^12,OFFSET(CRONOPLE!$F$14,$M552,BH$13))))</f>
        <v>1000000000000</v>
      </c>
      <c r="BI552" s="215">
        <f ca="1">IF($D552&lt;&gt;"Serviço",0,IF(AND(AUTOEVENTO="Manual",$M552=1),0,IF(OFFSET(CRONOPLE!$F$14,$M552,BI$13)="",10^12,OFFSET(CRONOPLE!$F$14,$M552,BI$13))))</f>
        <v>1000000000000</v>
      </c>
      <c r="BJ552" s="215">
        <f ca="1">IF($D552&lt;&gt;"Serviço",0,IF(AND(AUTOEVENTO="Manual",$M552=1),0,IF(OFFSET(CRONOPLE!$F$14,$M552,BJ$13)="",10^12,OFFSET(CRONOPLE!$F$14,$M552,BJ$13))))</f>
        <v>1000000000000</v>
      </c>
      <c r="BK552" s="215">
        <f ca="1">IF($D552&lt;&gt;"Serviço",0,IF(AND(AUTOEVENTO="Manual",$M552=1),0,IF(OFFSET(CRONOPLE!$F$14,$M552,BK$13)="",10^12,OFFSET(CRONOPLE!$F$14,$M552,BK$13))))</f>
        <v>1000000000000</v>
      </c>
      <c r="BL552" s="215">
        <f ca="1">IF($D552&lt;&gt;"Serviço",0,IF(AND(AUTOEVENTO="Manual",$M552=1),0,IF(OFFSET(CRONOPLE!$F$14,$M552,BL$13)="",10^12,OFFSET(CRONOPLE!$F$14,$M552,BL$13))))</f>
        <v>1000000000000</v>
      </c>
      <c r="BM552" s="215">
        <f ca="1">IF($D552&lt;&gt;"Serviço",0,IF(AND(AUTOEVENTO="Manual",$M552=1),0,IF(OFFSET(CRONOPLE!$F$14,$M552,BM$13)="",10^12,OFFSET(CRONOPLE!$F$14,$M552,BM$13))))</f>
        <v>1000000000000</v>
      </c>
      <c r="BN552" s="215">
        <f ca="1">IF($D552&lt;&gt;"Serviço",0,IF(AND(AUTOEVENTO="Manual",$M552=1),0,IF(OFFSET(CRONOPLE!$F$14,$M552,BN$13)="",10^12,OFFSET(CRONOPLE!$F$14,$M552,BN$13))))</f>
        <v>1000000000000</v>
      </c>
      <c r="BO552" s="215">
        <f ca="1">IF($D552&lt;&gt;"Serviço",0,IF(AND(AUTOEVENTO="Manual",$M552=1),0,IF(OFFSET(CRONOPLE!$F$14,$M552,BO$13)="",10^12,OFFSET(CRONOPLE!$F$14,$M552,BO$13))))</f>
        <v>1000000000000</v>
      </c>
      <c r="BP552" s="215">
        <f ca="1">IF($D552&lt;&gt;"Serviço",0,IF(AND(AUTOEVENTO="Manual",$M552=1),0,IF(OFFSET(CRONOPLE!$F$14,$M552,BP$13)="",10^12,OFFSET(CRONOPLE!$F$14,$M552,BP$13))))</f>
        <v>1000000000000</v>
      </c>
      <c r="BQ552" s="215">
        <f ca="1">IF($D552&lt;&gt;"Serviço",0,IF(AND(AUTOEVENTO="Manual",$M552=1),0,IF(OFFSET(CRONOPLE!$F$14,$M552,BQ$13)="",10^12,OFFSET(CRONOPLE!$F$14,$M552,BQ$13))))</f>
        <v>1000000000000</v>
      </c>
      <c r="BR552" s="215">
        <f ca="1">IF($D552&lt;&gt;"Serviço",0,IF(AND(AUTOEVENTO="Manual",$M552=1),0,IF(OFFSET(CRONOPLE!$F$14,$M552,BR$13)="",10^12,OFFSET(CRONOPLE!$F$14,$M552,BR$13))))</f>
        <v>1000000000000</v>
      </c>
      <c r="BS552" s="215">
        <f ca="1">IF($D552&lt;&gt;"Serviço",0,IF(AND(AUTOEVENTO="Manual",$M552=1),0,IF(OFFSET(CRONOPLE!$F$14,$M552,BS$13)="",10^12,OFFSET(CRONOPLE!$F$14,$M552,BS$13))))</f>
        <v>1000000000000</v>
      </c>
      <c r="BT552" s="215">
        <f ca="1">IF($D552&lt;&gt;"Serviço",0,IF(AND(AUTOEVENTO="Manual",$M552=1),0,IF(OFFSET(CRONOPLE!$F$14,$M552,BT$13)="",10^12,OFFSET(CRONOPLE!$F$14,$M552,BT$13))))</f>
        <v>1000000000000</v>
      </c>
      <c r="BV552" s="216">
        <f ca="1">IF($D552&lt;&gt;"Serviço",0,IF(OR(AND(AUTOEVENTO="Manual",$M552=1),$M552&gt;(ROW(PLE.lastrow)-ROW(PLE.firstrow))),0,IF(OFFSET(PLE!$G$14,$M552,BV$13)="",10^12,OFFSET(PLE!$G$14,$M552,BV$13))))</f>
        <v>1000000000000</v>
      </c>
      <c r="BW552" s="216">
        <f ca="1">IF($D552&lt;&gt;"Serviço",0,IF(OR(AND(AUTOEVENTO="Manual",$M552=1),$M552&gt;(ROW(PLE.lastrow)-ROW(PLE.firstrow))),0,IF(OFFSET(PLE!$G$14,$M552,BW$13)="",10^12,OFFSET(PLE!$G$14,$M552,BW$13))))</f>
        <v>1000000000000</v>
      </c>
      <c r="BX552" s="216">
        <f ca="1">IF($D552&lt;&gt;"Serviço",0,IF(OR(AND(AUTOEVENTO="Manual",$M552=1),$M552&gt;(ROW(PLE.lastrow)-ROW(PLE.firstrow))),0,IF(OFFSET(PLE!$G$14,$M552,BX$13)="",10^12,OFFSET(PLE!$G$14,$M552,BX$13))))</f>
        <v>1000000000000</v>
      </c>
      <c r="BY552" s="216">
        <f ca="1">IF($D552&lt;&gt;"Serviço",0,IF(OR(AND(AUTOEVENTO="Manual",$M552=1),$M552&gt;(ROW(PLE.lastrow)-ROW(PLE.firstrow))),0,IF(OFFSET(PLE!$G$14,$M552,BY$13)="",10^12,OFFSET(PLE!$G$14,$M552,BY$13))))</f>
        <v>1000000000000</v>
      </c>
      <c r="BZ552" s="216">
        <f ca="1">IF($D552&lt;&gt;"Serviço",0,IF(OR(AND(AUTOEVENTO="Manual",$M552=1),$M552&gt;(ROW(PLE.lastrow)-ROW(PLE.firstrow))),0,IF(OFFSET(PLE!$G$14,$M552,BZ$13)="",10^12,OFFSET(PLE!$G$14,$M552,BZ$13))))</f>
        <v>1000000000000</v>
      </c>
      <c r="CA552" s="216">
        <f ca="1">IF($D552&lt;&gt;"Serviço",0,IF(OR(AND(AUTOEVENTO="Manual",$M552=1),$M552&gt;(ROW(PLE.lastrow)-ROW(PLE.firstrow))),0,IF(OFFSET(PLE!$G$14,$M552,CA$13)="",10^12,OFFSET(PLE!$G$14,$M552,CA$13))))</f>
        <v>1000000000000</v>
      </c>
      <c r="CB552" s="216">
        <f ca="1">IF($D552&lt;&gt;"Serviço",0,IF(OR(AND(AUTOEVENTO="Manual",$M552=1),$M552&gt;(ROW(PLE.lastrow)-ROW(PLE.firstrow))),0,IF(OFFSET(PLE!$G$14,$M552,CB$13)="",10^12,OFFSET(PLE!$G$14,$M552,CB$13))))</f>
        <v>1000000000000</v>
      </c>
      <c r="CC552" s="216">
        <f ca="1">IF($D552&lt;&gt;"Serviço",0,IF(OR(AND(AUTOEVENTO="Manual",$M552=1),$M552&gt;(ROW(PLE.lastrow)-ROW(PLE.firstrow))),0,IF(OFFSET(PLE!$G$14,$M552,CC$13)="",10^12,OFFSET(PLE!$G$14,$M552,CC$13))))</f>
        <v>1000000000000</v>
      </c>
      <c r="CD552" s="216">
        <f ca="1">IF($D552&lt;&gt;"Serviço",0,IF(OR(AND(AUTOEVENTO="Manual",$M552=1),$M552&gt;(ROW(PLE.lastrow)-ROW(PLE.firstrow))),0,IF(OFFSET(PLE!$G$14,$M552,CD$13)="",10^12,OFFSET(PLE!$G$14,$M552,CD$13))))</f>
        <v>1000000000000</v>
      </c>
      <c r="CE552" s="216">
        <f ca="1">IF($D552&lt;&gt;"Serviço",0,IF(OR(AND(AUTOEVENTO="Manual",$M552=1),$M552&gt;(ROW(PLE.lastrow)-ROW(PLE.firstrow))),0,IF(OFFSET(PLE!$G$14,$M552,CE$13)="",10^12,OFFSET(PLE!$G$14,$M552,CE$13))))</f>
        <v>1000000000000</v>
      </c>
      <c r="CF552" s="216">
        <f ca="1">IF($D552&lt;&gt;"Serviço",0,IF(OR(AND(AUTOEVENTO="Manual",$M552=1),$M552&gt;(ROW(PLE.lastrow)-ROW(PLE.firstrow))),0,IF(OFFSET(PLE!$G$14,$M552,CF$13)="",10^12,OFFSET(PLE!$G$14,$M552,CF$13))))</f>
        <v>1000000000000</v>
      </c>
      <c r="CG552" s="216">
        <f ca="1">IF($D552&lt;&gt;"Serviço",0,IF(OR(AND(AUTOEVENTO="Manual",$M552=1),$M552&gt;(ROW(PLE.lastrow)-ROW(PLE.firstrow))),0,IF(OFFSET(PLE!$G$14,$M552,CG$13)="",10^12,OFFSET(PLE!$G$14,$M552,CG$13))))</f>
        <v>1000000000000</v>
      </c>
      <c r="CH552" s="216">
        <f ca="1">IF($D552&lt;&gt;"Serviço",0,IF(OR(AND(AUTOEVENTO="Manual",$M552=1),$M552&gt;(ROW(PLE.lastrow)-ROW(PLE.firstrow))),0,IF(OFFSET(PLE!$G$14,$M552,CH$13)="",10^12,OFFSET(PLE!$G$14,$M552,CH$13))))</f>
        <v>1000000000000</v>
      </c>
      <c r="CI552" s="216">
        <f ca="1">IF($D552&lt;&gt;"Serviço",0,IF(OR(AND(AUTOEVENTO="Manual",$M552=1),$M552&gt;(ROW(PLE.lastrow)-ROW(PLE.firstrow))),0,IF(OFFSET(PLE!$G$14,$M552,CI$13)="",10^12,OFFSET(PLE!$G$14,$M552,CI$13))))</f>
        <v>1000000000000</v>
      </c>
      <c r="CJ552" s="216">
        <f ca="1">IF($D552&lt;&gt;"Serviço",0,IF(OR(AND(AUTOEVENTO="Manual",$M552=1),$M552&gt;(ROW(PLE.lastrow)-ROW(PLE.firstrow))),0,IF(OFFSET(PLE!$G$14,$M552,CJ$13)="",10^12,OFFSET(PLE!$G$14,$M552,CJ$13))))</f>
        <v>1000000000000</v>
      </c>
      <c r="CK552" s="216">
        <f ca="1">IF($D552&lt;&gt;"Serviço",0,IF(OR(AND(AUTOEVENTO="Manual",$M552=1),$M552&gt;(ROW(PLE.lastrow)-ROW(PLE.firstrow))),0,IF(OFFSET(PLE!$G$14,$M552,CK$13)="",10^12,OFFSET(PLE!$G$14,$M552,CK$13))))</f>
        <v>1000000000000</v>
      </c>
      <c r="CL552" s="216">
        <f ca="1">IF($D552&lt;&gt;"Serviço",0,IF(OR(AND(AUTOEVENTO="Manual",$M552=1),$M552&gt;(ROW(PLE.lastrow)-ROW(PLE.firstrow))),0,IF(OFFSET(PLE!$G$14,$M552,CL$13)="",10^12,OFFSET(PLE!$G$14,$M552,CL$13))))</f>
        <v>1000000000000</v>
      </c>
      <c r="CM552" s="216">
        <f ca="1">IF($D552&lt;&gt;"Serviço",0,IF(OR(AND(AUTOEVENTO="Manual",$M552=1),$M552&gt;(ROW(PLE.lastrow)-ROW(PLE.firstrow))),0,IF(OFFSET(PLE!$G$14,$M552,CM$13)="",10^12,OFFSET(PLE!$G$14,$M552,CM$13))))</f>
        <v>1000000000000</v>
      </c>
    </row>
    <row r="553" spans="1:91" ht="13.2" x14ac:dyDescent="0.25">
      <c r="A553" s="9">
        <f t="shared" ca="1" si="17"/>
        <v>0</v>
      </c>
      <c r="B553" s="9" t="str">
        <f ca="1">OFFSET(ORÇAMENTO!C$15,ROW(B553)-ROW(B$15),0)</f>
        <v>S</v>
      </c>
      <c r="C553" s="9" t="str">
        <f ca="1">OFFSET(ORÇAMENTO!L$15,ROW(C553)-ROW(C$15),0)</f>
        <v/>
      </c>
      <c r="D553" s="145" t="str">
        <f ca="1">OFFSET(ORÇAMENTO!N$15,ROW(D553)-ROW(D$15),0)</f>
        <v>Serviço</v>
      </c>
      <c r="E553" s="205" t="str">
        <f ca="1">OFFSET(ORÇAMENTO!O$15,ROW(E553)-ROW(E$15),0)</f>
        <v>-</v>
      </c>
      <c r="F553" s="206" t="str">
        <f ca="1">OFFSET(ORÇAMENTO!R$15,ROW(F553)-ROW(F$15),0)</f>
        <v>(abra o arquivo 'Referência 05-2024.xls)</v>
      </c>
      <c r="G553" s="207" t="str">
        <f ca="1">IF($D553&lt;&gt;"Serviço","",OFFSET(ORÇAMENTO!S$15,ROW(G553)-ROW(G$15),0))</f>
        <v>-</v>
      </c>
      <c r="H553" s="151">
        <f ca="1">IF($D553&lt;&gt;"Serviço",0,IF(ACOMPANHAMENTO="BM",ROUND(OFFSET(ORÇAMENTO!AJ$15,ROW(H553)-ROW(H$15),0),15-13*ORÇAMENTO!$AF$7),SUMPRODUCT(($Q$12:$AI$12&lt;&gt;"")*ROUND($Q553:$AI553,15-13*ORÇAMENTO!$AF$7))))</f>
        <v>8</v>
      </c>
      <c r="I553" s="650"/>
      <c r="K553" s="208"/>
      <c r="L553" s="209" t="s">
        <v>257</v>
      </c>
      <c r="M553" s="210">
        <f ca="1">IF($D553&lt;&gt;"Serviço","",IF(AUTOEVENTO="manual",$A553,IF(ISERROR(MATCH($A553,$A$15:OFFSET($A553,-1,0),0)),MAX($M$15:OFFSET(M553,-1,0))+1,INDEX($M$15:OFFSET(M553,-1,0),MATCH($A553,$A$15:OFFSET($A553,-1,0),0)))))</f>
        <v>0</v>
      </c>
      <c r="N553" s="211" t="str">
        <f ca="1">IF($D553&lt;&gt;"Serviço","",IF(AUTOEVENTO="Manual",IF($A553=0,"&lt;-- defina o número do agrupador",OFFSET(EVENTOS!$D$14,$A553,0)),OFFSET($F$15,$A553,0)))</f>
        <v>&lt;-- defina o número do agrupador</v>
      </c>
      <c r="O553" s="212"/>
      <c r="Q553" s="212"/>
      <c r="R553" s="213"/>
      <c r="S553" s="213"/>
      <c r="T553" s="213"/>
      <c r="U553" s="213"/>
      <c r="V553" s="213"/>
      <c r="W553" s="213"/>
      <c r="X553" s="213"/>
      <c r="Y553" s="213"/>
      <c r="Z553" s="214"/>
      <c r="AA553" s="213"/>
      <c r="AB553" s="213"/>
      <c r="AC553" s="213"/>
      <c r="AD553" s="213"/>
      <c r="AE553" s="213"/>
      <c r="AF553" s="213"/>
      <c r="AG553" s="213"/>
      <c r="AH553" s="214"/>
      <c r="AJ553" s="631">
        <f ca="1">IF(AND($D553="Serviço",AJ$12&lt;&gt;0,$H553&gt;0,OR(AUTOEVENTO&lt;&gt;"manual",$M553&lt;&gt;1)),ROUND(OFFSET($P553,0,AJ$13),15-13*ORÇAMENTO!$AF$7)/$H553*OFFSET(ORÇAMENTO!$X$15,ROW(AJ553)-ROW(AJ$15),0),0)</f>
        <v>0</v>
      </c>
      <c r="AK553" s="632">
        <f ca="1">IF(AND($D553="Serviço",AK$12&lt;&gt;0,$H553&gt;0,OR(AUTOEVENTO&lt;&gt;"manual",$M553&lt;&gt;1)),ROUND(OFFSET($P553,0,AK$13),15-13*ORÇAMENTO!$AF$7)/$H553*OFFSET(ORÇAMENTO!$X$15,ROW(AK553)-ROW(AK$15),0),0)</f>
        <v>0</v>
      </c>
      <c r="AL553" s="632">
        <f ca="1">IF(AND($D553="Serviço",AL$12&lt;&gt;0,$H553&gt;0,OR(AUTOEVENTO&lt;&gt;"manual",$M553&lt;&gt;1)),ROUND(OFFSET($P553,0,AL$13),15-13*ORÇAMENTO!$AF$7)/$H553*OFFSET(ORÇAMENTO!$X$15,ROW(AL553)-ROW(AL$15),0),0)</f>
        <v>0</v>
      </c>
      <c r="AM553" s="632">
        <f ca="1">IF(AND($D553="Serviço",AM$12&lt;&gt;0,$H553&gt;0,OR(AUTOEVENTO&lt;&gt;"manual",$M553&lt;&gt;1)),ROUND(OFFSET($P553,0,AM$13),15-13*ORÇAMENTO!$AF$7)/$H553*OFFSET(ORÇAMENTO!$X$15,ROW(AM553)-ROW(AM$15),0),0)</f>
        <v>0</v>
      </c>
      <c r="AN553" s="632">
        <f ca="1">IF(AND($D553="Serviço",AN$12&lt;&gt;0,$H553&gt;0,OR(AUTOEVENTO&lt;&gt;"manual",$M553&lt;&gt;1)),ROUND(OFFSET($P553,0,AN$13),15-13*ORÇAMENTO!$AF$7)/$H553*OFFSET(ORÇAMENTO!$X$15,ROW(AN553)-ROW(AN$15),0),0)</f>
        <v>0</v>
      </c>
      <c r="AO553" s="632">
        <f ca="1">IF(AND($D553="Serviço",AO$12&lt;&gt;0,$H553&gt;0,OR(AUTOEVENTO&lt;&gt;"manual",$M553&lt;&gt;1)),ROUND(OFFSET($P553,0,AO$13),15-13*ORÇAMENTO!$AF$7)/$H553*OFFSET(ORÇAMENTO!$X$15,ROW(AO553)-ROW(AO$15),0),0)</f>
        <v>0</v>
      </c>
      <c r="AP553" s="632">
        <f ca="1">IF(AND($D553="Serviço",AP$12&lt;&gt;0,$H553&gt;0,OR(AUTOEVENTO&lt;&gt;"manual",$M553&lt;&gt;1)),ROUND(OFFSET($P553,0,AP$13),15-13*ORÇAMENTO!$AF$7)/$H553*OFFSET(ORÇAMENTO!$X$15,ROW(AP553)-ROW(AP$15),0),0)</f>
        <v>0</v>
      </c>
      <c r="AQ553" s="632">
        <f ca="1">IF(AND($D553="Serviço",AQ$12&lt;&gt;0,$H553&gt;0,OR(AUTOEVENTO&lt;&gt;"manual",$M553&lt;&gt;1)),ROUND(OFFSET($P553,0,AQ$13),15-13*ORÇAMENTO!$AF$7)/$H553*OFFSET(ORÇAMENTO!$X$15,ROW(AQ553)-ROW(AQ$15),0),0)</f>
        <v>0</v>
      </c>
      <c r="AR553" s="632">
        <f ca="1">IF(AND($D553="Serviço",AR$12&lt;&gt;0,$H553&gt;0,OR(AUTOEVENTO&lt;&gt;"manual",$M553&lt;&gt;1)),ROUND(OFFSET($P553,0,AR$13),15-13*ORÇAMENTO!$AF$7)/$H553*OFFSET(ORÇAMENTO!$X$15,ROW(AR553)-ROW(AR$15),0),0)</f>
        <v>0</v>
      </c>
      <c r="AS553" s="633">
        <f ca="1">IF(AND($D553="Serviço",AS$12&lt;&gt;0,$H553&gt;0,OR(AUTOEVENTO&lt;&gt;"manual",$M553&lt;&gt;1)),ROUND(OFFSET($P553,0,AS$13),15-13*ORÇAMENTO!$AF$7)/$H553*OFFSET(ORÇAMENTO!$X$15,ROW(AS553)-ROW(AS$15),0),0)</f>
        <v>0</v>
      </c>
      <c r="AT553" s="632">
        <f ca="1">IF(AND($D553="Serviço",AT$12&lt;&gt;0,$H553&gt;0,OR(AUTOEVENTO&lt;&gt;"manual",$M553&lt;&gt;1)),ROUND(OFFSET($P553,0,AT$13),15-13*ORÇAMENTO!$AF$7)/$H553*OFFSET(ORÇAMENTO!$X$15,ROW(AT553)-ROW(AT$15),0),0)</f>
        <v>0</v>
      </c>
      <c r="AU553" s="632">
        <f ca="1">IF(AND($D553="Serviço",AU$12&lt;&gt;0,$H553&gt;0,OR(AUTOEVENTO&lt;&gt;"manual",$M553&lt;&gt;1)),ROUND(OFFSET($P553,0,AU$13),15-13*ORÇAMENTO!$AF$7)/$H553*OFFSET(ORÇAMENTO!$X$15,ROW(AU553)-ROW(AU$15),0),0)</f>
        <v>0</v>
      </c>
      <c r="AV553" s="632">
        <f ca="1">IF(AND($D553="Serviço",AV$12&lt;&gt;0,$H553&gt;0,OR(AUTOEVENTO&lt;&gt;"manual",$M553&lt;&gt;1)),ROUND(OFFSET($P553,0,AV$13),15-13*ORÇAMENTO!$AF$7)/$H553*OFFSET(ORÇAMENTO!$X$15,ROW(AV553)-ROW(AV$15),0),0)</f>
        <v>0</v>
      </c>
      <c r="AW553" s="632">
        <f ca="1">IF(AND($D553="Serviço",AW$12&lt;&gt;0,$H553&gt;0,OR(AUTOEVENTO&lt;&gt;"manual",$M553&lt;&gt;1)),ROUND(OFFSET($P553,0,AW$13),15-13*ORÇAMENTO!$AF$7)/$H553*OFFSET(ORÇAMENTO!$X$15,ROW(AW553)-ROW(AW$15),0),0)</f>
        <v>0</v>
      </c>
      <c r="AX553" s="632">
        <f ca="1">IF(AND($D553="Serviço",AX$12&lt;&gt;0,$H553&gt;0,OR(AUTOEVENTO&lt;&gt;"manual",$M553&lt;&gt;1)),ROUND(OFFSET($P553,0,AX$13),15-13*ORÇAMENTO!$AF$7)/$H553*OFFSET(ORÇAMENTO!$X$15,ROW(AX553)-ROW(AX$15),0),0)</f>
        <v>0</v>
      </c>
      <c r="AY553" s="632">
        <f ca="1">IF(AND($D553="Serviço",AY$12&lt;&gt;0,$H553&gt;0,OR(AUTOEVENTO&lt;&gt;"manual",$M553&lt;&gt;1)),ROUND(OFFSET($P553,0,AY$13),15-13*ORÇAMENTO!$AF$7)/$H553*OFFSET(ORÇAMENTO!$X$15,ROW(AY553)-ROW(AY$15),0),0)</f>
        <v>0</v>
      </c>
      <c r="AZ553" s="632">
        <f ca="1">IF(AND($D553="Serviço",AZ$12&lt;&gt;0,$H553&gt;0,OR(AUTOEVENTO&lt;&gt;"manual",$M553&lt;&gt;1)),ROUND(OFFSET($P553,0,AZ$13),15-13*ORÇAMENTO!$AF$7)/$H553*OFFSET(ORÇAMENTO!$X$15,ROW(AZ553)-ROW(AZ$15),0),0)</f>
        <v>0</v>
      </c>
      <c r="BA553" s="633">
        <f ca="1">IF(AND($D553="Serviço",BA$12&lt;&gt;0,$H553&gt;0,OR(AUTOEVENTO&lt;&gt;"manual",$M553&lt;&gt;1)),ROUND(OFFSET($P553,0,BA$13),15-13*ORÇAMENTO!$AF$7)/$H553*OFFSET(ORÇAMENTO!$X$15,ROW(BA553)-ROW(BA$15),0),0)</f>
        <v>0</v>
      </c>
      <c r="BC553" s="215">
        <f ca="1">IF($D553&lt;&gt;"Serviço",0,IF(AND(AUTOEVENTO="Manual",$M553=1),0,IF(OFFSET(CRONOPLE!$F$14,$M553,BC$13)="",10^12,OFFSET(CRONOPLE!$F$14,$M553,BC$13))))</f>
        <v>1000000000000</v>
      </c>
      <c r="BD553" s="215">
        <f ca="1">IF($D553&lt;&gt;"Serviço",0,IF(AND(AUTOEVENTO="Manual",$M553=1),0,IF(OFFSET(CRONOPLE!$F$14,$M553,BD$13)="",10^12,OFFSET(CRONOPLE!$F$14,$M553,BD$13))))</f>
        <v>1000000000000</v>
      </c>
      <c r="BE553" s="215">
        <f ca="1">IF($D553&lt;&gt;"Serviço",0,IF(AND(AUTOEVENTO="Manual",$M553=1),0,IF(OFFSET(CRONOPLE!$F$14,$M553,BE$13)="",10^12,OFFSET(CRONOPLE!$F$14,$M553,BE$13))))</f>
        <v>1000000000000</v>
      </c>
      <c r="BF553" s="215">
        <f ca="1">IF($D553&lt;&gt;"Serviço",0,IF(AND(AUTOEVENTO="Manual",$M553=1),0,IF(OFFSET(CRONOPLE!$F$14,$M553,BF$13)="",10^12,OFFSET(CRONOPLE!$F$14,$M553,BF$13))))</f>
        <v>1000000000000</v>
      </c>
      <c r="BG553" s="215">
        <f ca="1">IF($D553&lt;&gt;"Serviço",0,IF(AND(AUTOEVENTO="Manual",$M553=1),0,IF(OFFSET(CRONOPLE!$F$14,$M553,BG$13)="",10^12,OFFSET(CRONOPLE!$F$14,$M553,BG$13))))</f>
        <v>1000000000000</v>
      </c>
      <c r="BH553" s="215">
        <f ca="1">IF($D553&lt;&gt;"Serviço",0,IF(AND(AUTOEVENTO="Manual",$M553=1),0,IF(OFFSET(CRONOPLE!$F$14,$M553,BH$13)="",10^12,OFFSET(CRONOPLE!$F$14,$M553,BH$13))))</f>
        <v>1000000000000</v>
      </c>
      <c r="BI553" s="215">
        <f ca="1">IF($D553&lt;&gt;"Serviço",0,IF(AND(AUTOEVENTO="Manual",$M553=1),0,IF(OFFSET(CRONOPLE!$F$14,$M553,BI$13)="",10^12,OFFSET(CRONOPLE!$F$14,$M553,BI$13))))</f>
        <v>1000000000000</v>
      </c>
      <c r="BJ553" s="215">
        <f ca="1">IF($D553&lt;&gt;"Serviço",0,IF(AND(AUTOEVENTO="Manual",$M553=1),0,IF(OFFSET(CRONOPLE!$F$14,$M553,BJ$13)="",10^12,OFFSET(CRONOPLE!$F$14,$M553,BJ$13))))</f>
        <v>1000000000000</v>
      </c>
      <c r="BK553" s="215">
        <f ca="1">IF($D553&lt;&gt;"Serviço",0,IF(AND(AUTOEVENTO="Manual",$M553=1),0,IF(OFFSET(CRONOPLE!$F$14,$M553,BK$13)="",10^12,OFFSET(CRONOPLE!$F$14,$M553,BK$13))))</f>
        <v>1000000000000</v>
      </c>
      <c r="BL553" s="215">
        <f ca="1">IF($D553&lt;&gt;"Serviço",0,IF(AND(AUTOEVENTO="Manual",$M553=1),0,IF(OFFSET(CRONOPLE!$F$14,$M553,BL$13)="",10^12,OFFSET(CRONOPLE!$F$14,$M553,BL$13))))</f>
        <v>1000000000000</v>
      </c>
      <c r="BM553" s="215">
        <f ca="1">IF($D553&lt;&gt;"Serviço",0,IF(AND(AUTOEVENTO="Manual",$M553=1),0,IF(OFFSET(CRONOPLE!$F$14,$M553,BM$13)="",10^12,OFFSET(CRONOPLE!$F$14,$M553,BM$13))))</f>
        <v>1000000000000</v>
      </c>
      <c r="BN553" s="215">
        <f ca="1">IF($D553&lt;&gt;"Serviço",0,IF(AND(AUTOEVENTO="Manual",$M553=1),0,IF(OFFSET(CRONOPLE!$F$14,$M553,BN$13)="",10^12,OFFSET(CRONOPLE!$F$14,$M553,BN$13))))</f>
        <v>1000000000000</v>
      </c>
      <c r="BO553" s="215">
        <f ca="1">IF($D553&lt;&gt;"Serviço",0,IF(AND(AUTOEVENTO="Manual",$M553=1),0,IF(OFFSET(CRONOPLE!$F$14,$M553,BO$13)="",10^12,OFFSET(CRONOPLE!$F$14,$M553,BO$13))))</f>
        <v>1000000000000</v>
      </c>
      <c r="BP553" s="215">
        <f ca="1">IF($D553&lt;&gt;"Serviço",0,IF(AND(AUTOEVENTO="Manual",$M553=1),0,IF(OFFSET(CRONOPLE!$F$14,$M553,BP$13)="",10^12,OFFSET(CRONOPLE!$F$14,$M553,BP$13))))</f>
        <v>1000000000000</v>
      </c>
      <c r="BQ553" s="215">
        <f ca="1">IF($D553&lt;&gt;"Serviço",0,IF(AND(AUTOEVENTO="Manual",$M553=1),0,IF(OFFSET(CRONOPLE!$F$14,$M553,BQ$13)="",10^12,OFFSET(CRONOPLE!$F$14,$M553,BQ$13))))</f>
        <v>1000000000000</v>
      </c>
      <c r="BR553" s="215">
        <f ca="1">IF($D553&lt;&gt;"Serviço",0,IF(AND(AUTOEVENTO="Manual",$M553=1),0,IF(OFFSET(CRONOPLE!$F$14,$M553,BR$13)="",10^12,OFFSET(CRONOPLE!$F$14,$M553,BR$13))))</f>
        <v>1000000000000</v>
      </c>
      <c r="BS553" s="215">
        <f ca="1">IF($D553&lt;&gt;"Serviço",0,IF(AND(AUTOEVENTO="Manual",$M553=1),0,IF(OFFSET(CRONOPLE!$F$14,$M553,BS$13)="",10^12,OFFSET(CRONOPLE!$F$14,$M553,BS$13))))</f>
        <v>1000000000000</v>
      </c>
      <c r="BT553" s="215">
        <f ca="1">IF($D553&lt;&gt;"Serviço",0,IF(AND(AUTOEVENTO="Manual",$M553=1),0,IF(OFFSET(CRONOPLE!$F$14,$M553,BT$13)="",10^12,OFFSET(CRONOPLE!$F$14,$M553,BT$13))))</f>
        <v>1000000000000</v>
      </c>
      <c r="BV553" s="216">
        <f ca="1">IF($D553&lt;&gt;"Serviço",0,IF(OR(AND(AUTOEVENTO="Manual",$M553=1),$M553&gt;(ROW(PLE.lastrow)-ROW(PLE.firstrow))),0,IF(OFFSET(PLE!$G$14,$M553,BV$13)="",10^12,OFFSET(PLE!$G$14,$M553,BV$13))))</f>
        <v>1000000000000</v>
      </c>
      <c r="BW553" s="216">
        <f ca="1">IF($D553&lt;&gt;"Serviço",0,IF(OR(AND(AUTOEVENTO="Manual",$M553=1),$M553&gt;(ROW(PLE.lastrow)-ROW(PLE.firstrow))),0,IF(OFFSET(PLE!$G$14,$M553,BW$13)="",10^12,OFFSET(PLE!$G$14,$M553,BW$13))))</f>
        <v>1000000000000</v>
      </c>
      <c r="BX553" s="216">
        <f ca="1">IF($D553&lt;&gt;"Serviço",0,IF(OR(AND(AUTOEVENTO="Manual",$M553=1),$M553&gt;(ROW(PLE.lastrow)-ROW(PLE.firstrow))),0,IF(OFFSET(PLE!$G$14,$M553,BX$13)="",10^12,OFFSET(PLE!$G$14,$M553,BX$13))))</f>
        <v>1000000000000</v>
      </c>
      <c r="BY553" s="216">
        <f ca="1">IF($D553&lt;&gt;"Serviço",0,IF(OR(AND(AUTOEVENTO="Manual",$M553=1),$M553&gt;(ROW(PLE.lastrow)-ROW(PLE.firstrow))),0,IF(OFFSET(PLE!$G$14,$M553,BY$13)="",10^12,OFFSET(PLE!$G$14,$M553,BY$13))))</f>
        <v>1000000000000</v>
      </c>
      <c r="BZ553" s="216">
        <f ca="1">IF($D553&lt;&gt;"Serviço",0,IF(OR(AND(AUTOEVENTO="Manual",$M553=1),$M553&gt;(ROW(PLE.lastrow)-ROW(PLE.firstrow))),0,IF(OFFSET(PLE!$G$14,$M553,BZ$13)="",10^12,OFFSET(PLE!$G$14,$M553,BZ$13))))</f>
        <v>1000000000000</v>
      </c>
      <c r="CA553" s="216">
        <f ca="1">IF($D553&lt;&gt;"Serviço",0,IF(OR(AND(AUTOEVENTO="Manual",$M553=1),$M553&gt;(ROW(PLE.lastrow)-ROW(PLE.firstrow))),0,IF(OFFSET(PLE!$G$14,$M553,CA$13)="",10^12,OFFSET(PLE!$G$14,$M553,CA$13))))</f>
        <v>1000000000000</v>
      </c>
      <c r="CB553" s="216">
        <f ca="1">IF($D553&lt;&gt;"Serviço",0,IF(OR(AND(AUTOEVENTO="Manual",$M553=1),$M553&gt;(ROW(PLE.lastrow)-ROW(PLE.firstrow))),0,IF(OFFSET(PLE!$G$14,$M553,CB$13)="",10^12,OFFSET(PLE!$G$14,$M553,CB$13))))</f>
        <v>1000000000000</v>
      </c>
      <c r="CC553" s="216">
        <f ca="1">IF($D553&lt;&gt;"Serviço",0,IF(OR(AND(AUTOEVENTO="Manual",$M553=1),$M553&gt;(ROW(PLE.lastrow)-ROW(PLE.firstrow))),0,IF(OFFSET(PLE!$G$14,$M553,CC$13)="",10^12,OFFSET(PLE!$G$14,$M553,CC$13))))</f>
        <v>1000000000000</v>
      </c>
      <c r="CD553" s="216">
        <f ca="1">IF($D553&lt;&gt;"Serviço",0,IF(OR(AND(AUTOEVENTO="Manual",$M553=1),$M553&gt;(ROW(PLE.lastrow)-ROW(PLE.firstrow))),0,IF(OFFSET(PLE!$G$14,$M553,CD$13)="",10^12,OFFSET(PLE!$G$14,$M553,CD$13))))</f>
        <v>1000000000000</v>
      </c>
      <c r="CE553" s="216">
        <f ca="1">IF($D553&lt;&gt;"Serviço",0,IF(OR(AND(AUTOEVENTO="Manual",$M553=1),$M553&gt;(ROW(PLE.lastrow)-ROW(PLE.firstrow))),0,IF(OFFSET(PLE!$G$14,$M553,CE$13)="",10^12,OFFSET(PLE!$G$14,$M553,CE$13))))</f>
        <v>1000000000000</v>
      </c>
      <c r="CF553" s="216">
        <f ca="1">IF($D553&lt;&gt;"Serviço",0,IF(OR(AND(AUTOEVENTO="Manual",$M553=1),$M553&gt;(ROW(PLE.lastrow)-ROW(PLE.firstrow))),0,IF(OFFSET(PLE!$G$14,$M553,CF$13)="",10^12,OFFSET(PLE!$G$14,$M553,CF$13))))</f>
        <v>1000000000000</v>
      </c>
      <c r="CG553" s="216">
        <f ca="1">IF($D553&lt;&gt;"Serviço",0,IF(OR(AND(AUTOEVENTO="Manual",$M553=1),$M553&gt;(ROW(PLE.lastrow)-ROW(PLE.firstrow))),0,IF(OFFSET(PLE!$G$14,$M553,CG$13)="",10^12,OFFSET(PLE!$G$14,$M553,CG$13))))</f>
        <v>1000000000000</v>
      </c>
      <c r="CH553" s="216">
        <f ca="1">IF($D553&lt;&gt;"Serviço",0,IF(OR(AND(AUTOEVENTO="Manual",$M553=1),$M553&gt;(ROW(PLE.lastrow)-ROW(PLE.firstrow))),0,IF(OFFSET(PLE!$G$14,$M553,CH$13)="",10^12,OFFSET(PLE!$G$14,$M553,CH$13))))</f>
        <v>1000000000000</v>
      </c>
      <c r="CI553" s="216">
        <f ca="1">IF($D553&lt;&gt;"Serviço",0,IF(OR(AND(AUTOEVENTO="Manual",$M553=1),$M553&gt;(ROW(PLE.lastrow)-ROW(PLE.firstrow))),0,IF(OFFSET(PLE!$G$14,$M553,CI$13)="",10^12,OFFSET(PLE!$G$14,$M553,CI$13))))</f>
        <v>1000000000000</v>
      </c>
      <c r="CJ553" s="216">
        <f ca="1">IF($D553&lt;&gt;"Serviço",0,IF(OR(AND(AUTOEVENTO="Manual",$M553=1),$M553&gt;(ROW(PLE.lastrow)-ROW(PLE.firstrow))),0,IF(OFFSET(PLE!$G$14,$M553,CJ$13)="",10^12,OFFSET(PLE!$G$14,$M553,CJ$13))))</f>
        <v>1000000000000</v>
      </c>
      <c r="CK553" s="216">
        <f ca="1">IF($D553&lt;&gt;"Serviço",0,IF(OR(AND(AUTOEVENTO="Manual",$M553=1),$M553&gt;(ROW(PLE.lastrow)-ROW(PLE.firstrow))),0,IF(OFFSET(PLE!$G$14,$M553,CK$13)="",10^12,OFFSET(PLE!$G$14,$M553,CK$13))))</f>
        <v>1000000000000</v>
      </c>
      <c r="CL553" s="216">
        <f ca="1">IF($D553&lt;&gt;"Serviço",0,IF(OR(AND(AUTOEVENTO="Manual",$M553=1),$M553&gt;(ROW(PLE.lastrow)-ROW(PLE.firstrow))),0,IF(OFFSET(PLE!$G$14,$M553,CL$13)="",10^12,OFFSET(PLE!$G$14,$M553,CL$13))))</f>
        <v>1000000000000</v>
      </c>
      <c r="CM553" s="216">
        <f ca="1">IF($D553&lt;&gt;"Serviço",0,IF(OR(AND(AUTOEVENTO="Manual",$M553=1),$M553&gt;(ROW(PLE.lastrow)-ROW(PLE.firstrow))),0,IF(OFFSET(PLE!$G$14,$M553,CM$13)="",10^12,OFFSET(PLE!$G$14,$M553,CM$13))))</f>
        <v>1000000000000</v>
      </c>
    </row>
    <row r="554" spans="1:91" ht="13.2" x14ac:dyDescent="0.25">
      <c r="A554" s="9">
        <f t="shared" ca="1" si="17"/>
        <v>0</v>
      </c>
      <c r="B554" s="9">
        <f ca="1">OFFSET(ORÇAMENTO!C$15,ROW(B554)-ROW(B$15),0)</f>
        <v>3</v>
      </c>
      <c r="C554" s="9" t="str">
        <f ca="1">OFFSET(ORÇAMENTO!L$15,ROW(C554)-ROW(C$15),0)</f>
        <v>F</v>
      </c>
      <c r="D554" s="145" t="str">
        <f ca="1">OFFSET(ORÇAMENTO!N$15,ROW(D554)-ROW(D$15),0)</f>
        <v>Nível 3</v>
      </c>
      <c r="E554" s="205" t="str">
        <f ca="1">OFFSET(ORÇAMENTO!O$15,ROW(E554)-ROW(E$15),0)</f>
        <v>1.18.3.</v>
      </c>
      <c r="F554" s="206" t="str">
        <f ca="1">OFFSET(ORÇAMENTO!R$15,ROW(F554)-ROW(F$15),0)</f>
        <v>ELETRODUTOS E ACESSÓRIOS</v>
      </c>
      <c r="G554" s="207" t="str">
        <f ca="1">IF($D554&lt;&gt;"Serviço","",OFFSET(ORÇAMENTO!S$15,ROW(G554)-ROW(G$15),0))</f>
        <v/>
      </c>
      <c r="H554" s="151">
        <f ca="1">IF($D554&lt;&gt;"Serviço",0,IF(ACOMPANHAMENTO="BM",ROUND(OFFSET(ORÇAMENTO!AJ$15,ROW(H554)-ROW(H$15),0),15-13*ORÇAMENTO!$AF$7),SUMPRODUCT(($Q$12:$AI$12&lt;&gt;"")*ROUND($Q554:$AI554,15-13*ORÇAMENTO!$AF$7))))</f>
        <v>0</v>
      </c>
      <c r="I554" s="650"/>
      <c r="K554" s="208"/>
      <c r="L554" s="209" t="s">
        <v>257</v>
      </c>
      <c r="M554" s="210" t="str">
        <f ca="1">IF($D554&lt;&gt;"Serviço","",IF(AUTOEVENTO="manual",$A554,IF(ISERROR(MATCH($A554,$A$15:OFFSET($A554,-1,0),0)),MAX($M$15:OFFSET(M554,-1,0))+1,INDEX($M$15:OFFSET(M554,-1,0),MATCH($A554,$A$15:OFFSET($A554,-1,0),0)))))</f>
        <v/>
      </c>
      <c r="N554" s="211" t="str">
        <f ca="1">IF($D554&lt;&gt;"Serviço","",IF(AUTOEVENTO="Manual",IF($A554=0,"&lt;-- defina o número do agrupador",OFFSET(EVENTOS!$D$14,$A554,0)),OFFSET($F$15,$A554,0)))</f>
        <v/>
      </c>
      <c r="O554" s="212"/>
      <c r="Q554" s="212"/>
      <c r="R554" s="213"/>
      <c r="S554" s="213"/>
      <c r="T554" s="213"/>
      <c r="U554" s="213"/>
      <c r="V554" s="213"/>
      <c r="W554" s="213"/>
      <c r="X554" s="213"/>
      <c r="Y554" s="213"/>
      <c r="Z554" s="214"/>
      <c r="AA554" s="213"/>
      <c r="AB554" s="213"/>
      <c r="AC554" s="213"/>
      <c r="AD554" s="213"/>
      <c r="AE554" s="213"/>
      <c r="AF554" s="213"/>
      <c r="AG554" s="213"/>
      <c r="AH554" s="214"/>
      <c r="AJ554" s="631">
        <f ca="1">IF(AND($D554="Serviço",AJ$12&lt;&gt;0,$H554&gt;0,OR(AUTOEVENTO&lt;&gt;"manual",$M554&lt;&gt;1)),ROUND(OFFSET($P554,0,AJ$13),15-13*ORÇAMENTO!$AF$7)/$H554*OFFSET(ORÇAMENTO!$X$15,ROW(AJ554)-ROW(AJ$15),0),0)</f>
        <v>0</v>
      </c>
      <c r="AK554" s="632">
        <f ca="1">IF(AND($D554="Serviço",AK$12&lt;&gt;0,$H554&gt;0,OR(AUTOEVENTO&lt;&gt;"manual",$M554&lt;&gt;1)),ROUND(OFFSET($P554,0,AK$13),15-13*ORÇAMENTO!$AF$7)/$H554*OFFSET(ORÇAMENTO!$X$15,ROW(AK554)-ROW(AK$15),0),0)</f>
        <v>0</v>
      </c>
      <c r="AL554" s="632">
        <f ca="1">IF(AND($D554="Serviço",AL$12&lt;&gt;0,$H554&gt;0,OR(AUTOEVENTO&lt;&gt;"manual",$M554&lt;&gt;1)),ROUND(OFFSET($P554,0,AL$13),15-13*ORÇAMENTO!$AF$7)/$H554*OFFSET(ORÇAMENTO!$X$15,ROW(AL554)-ROW(AL$15),0),0)</f>
        <v>0</v>
      </c>
      <c r="AM554" s="632">
        <f ca="1">IF(AND($D554="Serviço",AM$12&lt;&gt;0,$H554&gt;0,OR(AUTOEVENTO&lt;&gt;"manual",$M554&lt;&gt;1)),ROUND(OFFSET($P554,0,AM$13),15-13*ORÇAMENTO!$AF$7)/$H554*OFFSET(ORÇAMENTO!$X$15,ROW(AM554)-ROW(AM$15),0),0)</f>
        <v>0</v>
      </c>
      <c r="AN554" s="632">
        <f ca="1">IF(AND($D554="Serviço",AN$12&lt;&gt;0,$H554&gt;0,OR(AUTOEVENTO&lt;&gt;"manual",$M554&lt;&gt;1)),ROUND(OFFSET($P554,0,AN$13),15-13*ORÇAMENTO!$AF$7)/$H554*OFFSET(ORÇAMENTO!$X$15,ROW(AN554)-ROW(AN$15),0),0)</f>
        <v>0</v>
      </c>
      <c r="AO554" s="632">
        <f ca="1">IF(AND($D554="Serviço",AO$12&lt;&gt;0,$H554&gt;0,OR(AUTOEVENTO&lt;&gt;"manual",$M554&lt;&gt;1)),ROUND(OFFSET($P554,0,AO$13),15-13*ORÇAMENTO!$AF$7)/$H554*OFFSET(ORÇAMENTO!$X$15,ROW(AO554)-ROW(AO$15),0),0)</f>
        <v>0</v>
      </c>
      <c r="AP554" s="632">
        <f ca="1">IF(AND($D554="Serviço",AP$12&lt;&gt;0,$H554&gt;0,OR(AUTOEVENTO&lt;&gt;"manual",$M554&lt;&gt;1)),ROUND(OFFSET($P554,0,AP$13),15-13*ORÇAMENTO!$AF$7)/$H554*OFFSET(ORÇAMENTO!$X$15,ROW(AP554)-ROW(AP$15),0),0)</f>
        <v>0</v>
      </c>
      <c r="AQ554" s="632">
        <f ca="1">IF(AND($D554="Serviço",AQ$12&lt;&gt;0,$H554&gt;0,OR(AUTOEVENTO&lt;&gt;"manual",$M554&lt;&gt;1)),ROUND(OFFSET($P554,0,AQ$13),15-13*ORÇAMENTO!$AF$7)/$H554*OFFSET(ORÇAMENTO!$X$15,ROW(AQ554)-ROW(AQ$15),0),0)</f>
        <v>0</v>
      </c>
      <c r="AR554" s="632">
        <f ca="1">IF(AND($D554="Serviço",AR$12&lt;&gt;0,$H554&gt;0,OR(AUTOEVENTO&lt;&gt;"manual",$M554&lt;&gt;1)),ROUND(OFFSET($P554,0,AR$13),15-13*ORÇAMENTO!$AF$7)/$H554*OFFSET(ORÇAMENTO!$X$15,ROW(AR554)-ROW(AR$15),0),0)</f>
        <v>0</v>
      </c>
      <c r="AS554" s="633">
        <f ca="1">IF(AND($D554="Serviço",AS$12&lt;&gt;0,$H554&gt;0,OR(AUTOEVENTO&lt;&gt;"manual",$M554&lt;&gt;1)),ROUND(OFFSET($P554,0,AS$13),15-13*ORÇAMENTO!$AF$7)/$H554*OFFSET(ORÇAMENTO!$X$15,ROW(AS554)-ROW(AS$15),0),0)</f>
        <v>0</v>
      </c>
      <c r="AT554" s="632">
        <f ca="1">IF(AND($D554="Serviço",AT$12&lt;&gt;0,$H554&gt;0,OR(AUTOEVENTO&lt;&gt;"manual",$M554&lt;&gt;1)),ROUND(OFFSET($P554,0,AT$13),15-13*ORÇAMENTO!$AF$7)/$H554*OFFSET(ORÇAMENTO!$X$15,ROW(AT554)-ROW(AT$15),0),0)</f>
        <v>0</v>
      </c>
      <c r="AU554" s="632">
        <f ca="1">IF(AND($D554="Serviço",AU$12&lt;&gt;0,$H554&gt;0,OR(AUTOEVENTO&lt;&gt;"manual",$M554&lt;&gt;1)),ROUND(OFFSET($P554,0,AU$13),15-13*ORÇAMENTO!$AF$7)/$H554*OFFSET(ORÇAMENTO!$X$15,ROW(AU554)-ROW(AU$15),0),0)</f>
        <v>0</v>
      </c>
      <c r="AV554" s="632">
        <f ca="1">IF(AND($D554="Serviço",AV$12&lt;&gt;0,$H554&gt;0,OR(AUTOEVENTO&lt;&gt;"manual",$M554&lt;&gt;1)),ROUND(OFFSET($P554,0,AV$13),15-13*ORÇAMENTO!$AF$7)/$H554*OFFSET(ORÇAMENTO!$X$15,ROW(AV554)-ROW(AV$15),0),0)</f>
        <v>0</v>
      </c>
      <c r="AW554" s="632">
        <f ca="1">IF(AND($D554="Serviço",AW$12&lt;&gt;0,$H554&gt;0,OR(AUTOEVENTO&lt;&gt;"manual",$M554&lt;&gt;1)),ROUND(OFFSET($P554,0,AW$13),15-13*ORÇAMENTO!$AF$7)/$H554*OFFSET(ORÇAMENTO!$X$15,ROW(AW554)-ROW(AW$15),0),0)</f>
        <v>0</v>
      </c>
      <c r="AX554" s="632">
        <f ca="1">IF(AND($D554="Serviço",AX$12&lt;&gt;0,$H554&gt;0,OR(AUTOEVENTO&lt;&gt;"manual",$M554&lt;&gt;1)),ROUND(OFFSET($P554,0,AX$13),15-13*ORÇAMENTO!$AF$7)/$H554*OFFSET(ORÇAMENTO!$X$15,ROW(AX554)-ROW(AX$15),0),0)</f>
        <v>0</v>
      </c>
      <c r="AY554" s="632">
        <f ca="1">IF(AND($D554="Serviço",AY$12&lt;&gt;0,$H554&gt;0,OR(AUTOEVENTO&lt;&gt;"manual",$M554&lt;&gt;1)),ROUND(OFFSET($P554,0,AY$13),15-13*ORÇAMENTO!$AF$7)/$H554*OFFSET(ORÇAMENTO!$X$15,ROW(AY554)-ROW(AY$15),0),0)</f>
        <v>0</v>
      </c>
      <c r="AZ554" s="632">
        <f ca="1">IF(AND($D554="Serviço",AZ$12&lt;&gt;0,$H554&gt;0,OR(AUTOEVENTO&lt;&gt;"manual",$M554&lt;&gt;1)),ROUND(OFFSET($P554,0,AZ$13),15-13*ORÇAMENTO!$AF$7)/$H554*OFFSET(ORÇAMENTO!$X$15,ROW(AZ554)-ROW(AZ$15),0),0)</f>
        <v>0</v>
      </c>
      <c r="BA554" s="633">
        <f ca="1">IF(AND($D554="Serviço",BA$12&lt;&gt;0,$H554&gt;0,OR(AUTOEVENTO&lt;&gt;"manual",$M554&lt;&gt;1)),ROUND(OFFSET($P554,0,BA$13),15-13*ORÇAMENTO!$AF$7)/$H554*OFFSET(ORÇAMENTO!$X$15,ROW(BA554)-ROW(BA$15),0),0)</f>
        <v>0</v>
      </c>
      <c r="BC554" s="215">
        <f ca="1">IF($D554&lt;&gt;"Serviço",0,IF(AND(AUTOEVENTO="Manual",$M554=1),0,IF(OFFSET(CRONOPLE!$F$14,$M554,BC$13)="",10^12,OFFSET(CRONOPLE!$F$14,$M554,BC$13))))</f>
        <v>0</v>
      </c>
      <c r="BD554" s="215">
        <f ca="1">IF($D554&lt;&gt;"Serviço",0,IF(AND(AUTOEVENTO="Manual",$M554=1),0,IF(OFFSET(CRONOPLE!$F$14,$M554,BD$13)="",10^12,OFFSET(CRONOPLE!$F$14,$M554,BD$13))))</f>
        <v>0</v>
      </c>
      <c r="BE554" s="215">
        <f ca="1">IF($D554&lt;&gt;"Serviço",0,IF(AND(AUTOEVENTO="Manual",$M554=1),0,IF(OFFSET(CRONOPLE!$F$14,$M554,BE$13)="",10^12,OFFSET(CRONOPLE!$F$14,$M554,BE$13))))</f>
        <v>0</v>
      </c>
      <c r="BF554" s="215">
        <f ca="1">IF($D554&lt;&gt;"Serviço",0,IF(AND(AUTOEVENTO="Manual",$M554=1),0,IF(OFFSET(CRONOPLE!$F$14,$M554,BF$13)="",10^12,OFFSET(CRONOPLE!$F$14,$M554,BF$13))))</f>
        <v>0</v>
      </c>
      <c r="BG554" s="215">
        <f ca="1">IF($D554&lt;&gt;"Serviço",0,IF(AND(AUTOEVENTO="Manual",$M554=1),0,IF(OFFSET(CRONOPLE!$F$14,$M554,BG$13)="",10^12,OFFSET(CRONOPLE!$F$14,$M554,BG$13))))</f>
        <v>0</v>
      </c>
      <c r="BH554" s="215">
        <f ca="1">IF($D554&lt;&gt;"Serviço",0,IF(AND(AUTOEVENTO="Manual",$M554=1),0,IF(OFFSET(CRONOPLE!$F$14,$M554,BH$13)="",10^12,OFFSET(CRONOPLE!$F$14,$M554,BH$13))))</f>
        <v>0</v>
      </c>
      <c r="BI554" s="215">
        <f ca="1">IF($D554&lt;&gt;"Serviço",0,IF(AND(AUTOEVENTO="Manual",$M554=1),0,IF(OFFSET(CRONOPLE!$F$14,$M554,BI$13)="",10^12,OFFSET(CRONOPLE!$F$14,$M554,BI$13))))</f>
        <v>0</v>
      </c>
      <c r="BJ554" s="215">
        <f ca="1">IF($D554&lt;&gt;"Serviço",0,IF(AND(AUTOEVENTO="Manual",$M554=1),0,IF(OFFSET(CRONOPLE!$F$14,$M554,BJ$13)="",10^12,OFFSET(CRONOPLE!$F$14,$M554,BJ$13))))</f>
        <v>0</v>
      </c>
      <c r="BK554" s="215">
        <f ca="1">IF($D554&lt;&gt;"Serviço",0,IF(AND(AUTOEVENTO="Manual",$M554=1),0,IF(OFFSET(CRONOPLE!$F$14,$M554,BK$13)="",10^12,OFFSET(CRONOPLE!$F$14,$M554,BK$13))))</f>
        <v>0</v>
      </c>
      <c r="BL554" s="215">
        <f ca="1">IF($D554&lt;&gt;"Serviço",0,IF(AND(AUTOEVENTO="Manual",$M554=1),0,IF(OFFSET(CRONOPLE!$F$14,$M554,BL$13)="",10^12,OFFSET(CRONOPLE!$F$14,$M554,BL$13))))</f>
        <v>0</v>
      </c>
      <c r="BM554" s="215">
        <f ca="1">IF($D554&lt;&gt;"Serviço",0,IF(AND(AUTOEVENTO="Manual",$M554=1),0,IF(OFFSET(CRONOPLE!$F$14,$M554,BM$13)="",10^12,OFFSET(CRONOPLE!$F$14,$M554,BM$13))))</f>
        <v>0</v>
      </c>
      <c r="BN554" s="215">
        <f ca="1">IF($D554&lt;&gt;"Serviço",0,IF(AND(AUTOEVENTO="Manual",$M554=1),0,IF(OFFSET(CRONOPLE!$F$14,$M554,BN$13)="",10^12,OFFSET(CRONOPLE!$F$14,$M554,BN$13))))</f>
        <v>0</v>
      </c>
      <c r="BO554" s="215">
        <f ca="1">IF($D554&lt;&gt;"Serviço",0,IF(AND(AUTOEVENTO="Manual",$M554=1),0,IF(OFFSET(CRONOPLE!$F$14,$M554,BO$13)="",10^12,OFFSET(CRONOPLE!$F$14,$M554,BO$13))))</f>
        <v>0</v>
      </c>
      <c r="BP554" s="215">
        <f ca="1">IF($D554&lt;&gt;"Serviço",0,IF(AND(AUTOEVENTO="Manual",$M554=1),0,IF(OFFSET(CRONOPLE!$F$14,$M554,BP$13)="",10^12,OFFSET(CRONOPLE!$F$14,$M554,BP$13))))</f>
        <v>0</v>
      </c>
      <c r="BQ554" s="215">
        <f ca="1">IF($D554&lt;&gt;"Serviço",0,IF(AND(AUTOEVENTO="Manual",$M554=1),0,IF(OFFSET(CRONOPLE!$F$14,$M554,BQ$13)="",10^12,OFFSET(CRONOPLE!$F$14,$M554,BQ$13))))</f>
        <v>0</v>
      </c>
      <c r="BR554" s="215">
        <f ca="1">IF($D554&lt;&gt;"Serviço",0,IF(AND(AUTOEVENTO="Manual",$M554=1),0,IF(OFFSET(CRONOPLE!$F$14,$M554,BR$13)="",10^12,OFFSET(CRONOPLE!$F$14,$M554,BR$13))))</f>
        <v>0</v>
      </c>
      <c r="BS554" s="215">
        <f ca="1">IF($D554&lt;&gt;"Serviço",0,IF(AND(AUTOEVENTO="Manual",$M554=1),0,IF(OFFSET(CRONOPLE!$F$14,$M554,BS$13)="",10^12,OFFSET(CRONOPLE!$F$14,$M554,BS$13))))</f>
        <v>0</v>
      </c>
      <c r="BT554" s="215">
        <f ca="1">IF($D554&lt;&gt;"Serviço",0,IF(AND(AUTOEVENTO="Manual",$M554=1),0,IF(OFFSET(CRONOPLE!$F$14,$M554,BT$13)="",10^12,OFFSET(CRONOPLE!$F$14,$M554,BT$13))))</f>
        <v>0</v>
      </c>
      <c r="BV554" s="216">
        <f ca="1">IF($D554&lt;&gt;"Serviço",0,IF(OR(AND(AUTOEVENTO="Manual",$M554=1),$M554&gt;(ROW(PLE.lastrow)-ROW(PLE.firstrow))),0,IF(OFFSET(PLE!$G$14,$M554,BV$13)="",10^12,OFFSET(PLE!$G$14,$M554,BV$13))))</f>
        <v>0</v>
      </c>
      <c r="BW554" s="216">
        <f ca="1">IF($D554&lt;&gt;"Serviço",0,IF(OR(AND(AUTOEVENTO="Manual",$M554=1),$M554&gt;(ROW(PLE.lastrow)-ROW(PLE.firstrow))),0,IF(OFFSET(PLE!$G$14,$M554,BW$13)="",10^12,OFFSET(PLE!$G$14,$M554,BW$13))))</f>
        <v>0</v>
      </c>
      <c r="BX554" s="216">
        <f ca="1">IF($D554&lt;&gt;"Serviço",0,IF(OR(AND(AUTOEVENTO="Manual",$M554=1),$M554&gt;(ROW(PLE.lastrow)-ROW(PLE.firstrow))),0,IF(OFFSET(PLE!$G$14,$M554,BX$13)="",10^12,OFFSET(PLE!$G$14,$M554,BX$13))))</f>
        <v>0</v>
      </c>
      <c r="BY554" s="216">
        <f ca="1">IF($D554&lt;&gt;"Serviço",0,IF(OR(AND(AUTOEVENTO="Manual",$M554=1),$M554&gt;(ROW(PLE.lastrow)-ROW(PLE.firstrow))),0,IF(OFFSET(PLE!$G$14,$M554,BY$13)="",10^12,OFFSET(PLE!$G$14,$M554,BY$13))))</f>
        <v>0</v>
      </c>
      <c r="BZ554" s="216">
        <f ca="1">IF($D554&lt;&gt;"Serviço",0,IF(OR(AND(AUTOEVENTO="Manual",$M554=1),$M554&gt;(ROW(PLE.lastrow)-ROW(PLE.firstrow))),0,IF(OFFSET(PLE!$G$14,$M554,BZ$13)="",10^12,OFFSET(PLE!$G$14,$M554,BZ$13))))</f>
        <v>0</v>
      </c>
      <c r="CA554" s="216">
        <f ca="1">IF($D554&lt;&gt;"Serviço",0,IF(OR(AND(AUTOEVENTO="Manual",$M554=1),$M554&gt;(ROW(PLE.lastrow)-ROW(PLE.firstrow))),0,IF(OFFSET(PLE!$G$14,$M554,CA$13)="",10^12,OFFSET(PLE!$G$14,$M554,CA$13))))</f>
        <v>0</v>
      </c>
      <c r="CB554" s="216">
        <f ca="1">IF($D554&lt;&gt;"Serviço",0,IF(OR(AND(AUTOEVENTO="Manual",$M554=1),$M554&gt;(ROW(PLE.lastrow)-ROW(PLE.firstrow))),0,IF(OFFSET(PLE!$G$14,$M554,CB$13)="",10^12,OFFSET(PLE!$G$14,$M554,CB$13))))</f>
        <v>0</v>
      </c>
      <c r="CC554" s="216">
        <f ca="1">IF($D554&lt;&gt;"Serviço",0,IF(OR(AND(AUTOEVENTO="Manual",$M554=1),$M554&gt;(ROW(PLE.lastrow)-ROW(PLE.firstrow))),0,IF(OFFSET(PLE!$G$14,$M554,CC$13)="",10^12,OFFSET(PLE!$G$14,$M554,CC$13))))</f>
        <v>0</v>
      </c>
      <c r="CD554" s="216">
        <f ca="1">IF($D554&lt;&gt;"Serviço",0,IF(OR(AND(AUTOEVENTO="Manual",$M554=1),$M554&gt;(ROW(PLE.lastrow)-ROW(PLE.firstrow))),0,IF(OFFSET(PLE!$G$14,$M554,CD$13)="",10^12,OFFSET(PLE!$G$14,$M554,CD$13))))</f>
        <v>0</v>
      </c>
      <c r="CE554" s="216">
        <f ca="1">IF($D554&lt;&gt;"Serviço",0,IF(OR(AND(AUTOEVENTO="Manual",$M554=1),$M554&gt;(ROW(PLE.lastrow)-ROW(PLE.firstrow))),0,IF(OFFSET(PLE!$G$14,$M554,CE$13)="",10^12,OFFSET(PLE!$G$14,$M554,CE$13))))</f>
        <v>0</v>
      </c>
      <c r="CF554" s="216">
        <f ca="1">IF($D554&lt;&gt;"Serviço",0,IF(OR(AND(AUTOEVENTO="Manual",$M554=1),$M554&gt;(ROW(PLE.lastrow)-ROW(PLE.firstrow))),0,IF(OFFSET(PLE!$G$14,$M554,CF$13)="",10^12,OFFSET(PLE!$G$14,$M554,CF$13))))</f>
        <v>0</v>
      </c>
      <c r="CG554" s="216">
        <f ca="1">IF($D554&lt;&gt;"Serviço",0,IF(OR(AND(AUTOEVENTO="Manual",$M554=1),$M554&gt;(ROW(PLE.lastrow)-ROW(PLE.firstrow))),0,IF(OFFSET(PLE!$G$14,$M554,CG$13)="",10^12,OFFSET(PLE!$G$14,$M554,CG$13))))</f>
        <v>0</v>
      </c>
      <c r="CH554" s="216">
        <f ca="1">IF($D554&lt;&gt;"Serviço",0,IF(OR(AND(AUTOEVENTO="Manual",$M554=1),$M554&gt;(ROW(PLE.lastrow)-ROW(PLE.firstrow))),0,IF(OFFSET(PLE!$G$14,$M554,CH$13)="",10^12,OFFSET(PLE!$G$14,$M554,CH$13))))</f>
        <v>0</v>
      </c>
      <c r="CI554" s="216">
        <f ca="1">IF($D554&lt;&gt;"Serviço",0,IF(OR(AND(AUTOEVENTO="Manual",$M554=1),$M554&gt;(ROW(PLE.lastrow)-ROW(PLE.firstrow))),0,IF(OFFSET(PLE!$G$14,$M554,CI$13)="",10^12,OFFSET(PLE!$G$14,$M554,CI$13))))</f>
        <v>0</v>
      </c>
      <c r="CJ554" s="216">
        <f ca="1">IF($D554&lt;&gt;"Serviço",0,IF(OR(AND(AUTOEVENTO="Manual",$M554=1),$M554&gt;(ROW(PLE.lastrow)-ROW(PLE.firstrow))),0,IF(OFFSET(PLE!$G$14,$M554,CJ$13)="",10^12,OFFSET(PLE!$G$14,$M554,CJ$13))))</f>
        <v>0</v>
      </c>
      <c r="CK554" s="216">
        <f ca="1">IF($D554&lt;&gt;"Serviço",0,IF(OR(AND(AUTOEVENTO="Manual",$M554=1),$M554&gt;(ROW(PLE.lastrow)-ROW(PLE.firstrow))),0,IF(OFFSET(PLE!$G$14,$M554,CK$13)="",10^12,OFFSET(PLE!$G$14,$M554,CK$13))))</f>
        <v>0</v>
      </c>
      <c r="CL554" s="216">
        <f ca="1">IF($D554&lt;&gt;"Serviço",0,IF(OR(AND(AUTOEVENTO="Manual",$M554=1),$M554&gt;(ROW(PLE.lastrow)-ROW(PLE.firstrow))),0,IF(OFFSET(PLE!$G$14,$M554,CL$13)="",10^12,OFFSET(PLE!$G$14,$M554,CL$13))))</f>
        <v>0</v>
      </c>
      <c r="CM554" s="216">
        <f ca="1">IF($D554&lt;&gt;"Serviço",0,IF(OR(AND(AUTOEVENTO="Manual",$M554=1),$M554&gt;(ROW(PLE.lastrow)-ROW(PLE.firstrow))),0,IF(OFFSET(PLE!$G$14,$M554,CM$13)="",10^12,OFFSET(PLE!$G$14,$M554,CM$13))))</f>
        <v>0</v>
      </c>
    </row>
    <row r="555" spans="1:91" ht="13.2" x14ac:dyDescent="0.25">
      <c r="A555" s="9">
        <f t="shared" ca="1" si="17"/>
        <v>0</v>
      </c>
      <c r="B555" s="9" t="str">
        <f ca="1">OFFSET(ORÇAMENTO!C$15,ROW(B555)-ROW(B$15),0)</f>
        <v>S</v>
      </c>
      <c r="C555" s="9" t="str">
        <f ca="1">OFFSET(ORÇAMENTO!L$15,ROW(C555)-ROW(C$15),0)</f>
        <v/>
      </c>
      <c r="D555" s="145" t="str">
        <f ca="1">OFFSET(ORÇAMENTO!N$15,ROW(D555)-ROW(D$15),0)</f>
        <v>Serviço</v>
      </c>
      <c r="E555" s="205" t="str">
        <f ca="1">OFFSET(ORÇAMENTO!O$15,ROW(E555)-ROW(E$15),0)</f>
        <v>-</v>
      </c>
      <c r="F555" s="206" t="str">
        <f ca="1">OFFSET(ORÇAMENTO!R$15,ROW(F555)-ROW(F$15),0)</f>
        <v>(abra o arquivo 'Referência 05-2024.xls)</v>
      </c>
      <c r="G555" s="207" t="str">
        <f ca="1">IF($D555&lt;&gt;"Serviço","",OFFSET(ORÇAMENTO!S$15,ROW(G555)-ROW(G$15),0))</f>
        <v>-</v>
      </c>
      <c r="H555" s="151">
        <f ca="1">IF($D555&lt;&gt;"Serviço",0,IF(ACOMPANHAMENTO="BM",ROUND(OFFSET(ORÇAMENTO!AJ$15,ROW(H555)-ROW(H$15),0),15-13*ORÇAMENTO!$AF$7),SUMPRODUCT(($Q$12:$AI$12&lt;&gt;"")*ROUND($Q555:$AI555,15-13*ORÇAMENTO!$AF$7))))</f>
        <v>184.3</v>
      </c>
      <c r="I555" s="650"/>
      <c r="K555" s="208"/>
      <c r="L555" s="209" t="s">
        <v>257</v>
      </c>
      <c r="M555" s="210">
        <f ca="1">IF($D555&lt;&gt;"Serviço","",IF(AUTOEVENTO="manual",$A555,IF(ISERROR(MATCH($A555,$A$15:OFFSET($A555,-1,0),0)),MAX($M$15:OFFSET(M555,-1,0))+1,INDEX($M$15:OFFSET(M555,-1,0),MATCH($A555,$A$15:OFFSET($A555,-1,0),0)))))</f>
        <v>0</v>
      </c>
      <c r="N555" s="211" t="str">
        <f ca="1">IF($D555&lt;&gt;"Serviço","",IF(AUTOEVENTO="Manual",IF($A555=0,"&lt;-- defina o número do agrupador",OFFSET(EVENTOS!$D$14,$A555,0)),OFFSET($F$15,$A555,0)))</f>
        <v>&lt;-- defina o número do agrupador</v>
      </c>
      <c r="O555" s="212"/>
      <c r="Q555" s="212"/>
      <c r="R555" s="213"/>
      <c r="S555" s="213"/>
      <c r="T555" s="213"/>
      <c r="U555" s="213"/>
      <c r="V555" s="213"/>
      <c r="W555" s="213"/>
      <c r="X555" s="213"/>
      <c r="Y555" s="213"/>
      <c r="Z555" s="214"/>
      <c r="AA555" s="213"/>
      <c r="AB555" s="213"/>
      <c r="AC555" s="213"/>
      <c r="AD555" s="213"/>
      <c r="AE555" s="213"/>
      <c r="AF555" s="213"/>
      <c r="AG555" s="213"/>
      <c r="AH555" s="214"/>
      <c r="AJ555" s="631">
        <f ca="1">IF(AND($D555="Serviço",AJ$12&lt;&gt;0,$H555&gt;0,OR(AUTOEVENTO&lt;&gt;"manual",$M555&lt;&gt;1)),ROUND(OFFSET($P555,0,AJ$13),15-13*ORÇAMENTO!$AF$7)/$H555*OFFSET(ORÇAMENTO!$X$15,ROW(AJ555)-ROW(AJ$15),0),0)</f>
        <v>0</v>
      </c>
      <c r="AK555" s="632">
        <f ca="1">IF(AND($D555="Serviço",AK$12&lt;&gt;0,$H555&gt;0,OR(AUTOEVENTO&lt;&gt;"manual",$M555&lt;&gt;1)),ROUND(OFFSET($P555,0,AK$13),15-13*ORÇAMENTO!$AF$7)/$H555*OFFSET(ORÇAMENTO!$X$15,ROW(AK555)-ROW(AK$15),0),0)</f>
        <v>0</v>
      </c>
      <c r="AL555" s="632">
        <f ca="1">IF(AND($D555="Serviço",AL$12&lt;&gt;0,$H555&gt;0,OR(AUTOEVENTO&lt;&gt;"manual",$M555&lt;&gt;1)),ROUND(OFFSET($P555,0,AL$13),15-13*ORÇAMENTO!$AF$7)/$H555*OFFSET(ORÇAMENTO!$X$15,ROW(AL555)-ROW(AL$15),0),0)</f>
        <v>0</v>
      </c>
      <c r="AM555" s="632">
        <f ca="1">IF(AND($D555="Serviço",AM$12&lt;&gt;0,$H555&gt;0,OR(AUTOEVENTO&lt;&gt;"manual",$M555&lt;&gt;1)),ROUND(OFFSET($P555,0,AM$13),15-13*ORÇAMENTO!$AF$7)/$H555*OFFSET(ORÇAMENTO!$X$15,ROW(AM555)-ROW(AM$15),0),0)</f>
        <v>0</v>
      </c>
      <c r="AN555" s="632">
        <f ca="1">IF(AND($D555="Serviço",AN$12&lt;&gt;0,$H555&gt;0,OR(AUTOEVENTO&lt;&gt;"manual",$M555&lt;&gt;1)),ROUND(OFFSET($P555,0,AN$13),15-13*ORÇAMENTO!$AF$7)/$H555*OFFSET(ORÇAMENTO!$X$15,ROW(AN555)-ROW(AN$15),0),0)</f>
        <v>0</v>
      </c>
      <c r="AO555" s="632">
        <f ca="1">IF(AND($D555="Serviço",AO$12&lt;&gt;0,$H555&gt;0,OR(AUTOEVENTO&lt;&gt;"manual",$M555&lt;&gt;1)),ROUND(OFFSET($P555,0,AO$13),15-13*ORÇAMENTO!$AF$7)/$H555*OFFSET(ORÇAMENTO!$X$15,ROW(AO555)-ROW(AO$15),0),0)</f>
        <v>0</v>
      </c>
      <c r="AP555" s="632">
        <f ca="1">IF(AND($D555="Serviço",AP$12&lt;&gt;0,$H555&gt;0,OR(AUTOEVENTO&lt;&gt;"manual",$M555&lt;&gt;1)),ROUND(OFFSET($P555,0,AP$13),15-13*ORÇAMENTO!$AF$7)/$H555*OFFSET(ORÇAMENTO!$X$15,ROW(AP555)-ROW(AP$15),0),0)</f>
        <v>0</v>
      </c>
      <c r="AQ555" s="632">
        <f ca="1">IF(AND($D555="Serviço",AQ$12&lt;&gt;0,$H555&gt;0,OR(AUTOEVENTO&lt;&gt;"manual",$M555&lt;&gt;1)),ROUND(OFFSET($P555,0,AQ$13),15-13*ORÇAMENTO!$AF$7)/$H555*OFFSET(ORÇAMENTO!$X$15,ROW(AQ555)-ROW(AQ$15),0),0)</f>
        <v>0</v>
      </c>
      <c r="AR555" s="632">
        <f ca="1">IF(AND($D555="Serviço",AR$12&lt;&gt;0,$H555&gt;0,OR(AUTOEVENTO&lt;&gt;"manual",$M555&lt;&gt;1)),ROUND(OFFSET($P555,0,AR$13),15-13*ORÇAMENTO!$AF$7)/$H555*OFFSET(ORÇAMENTO!$X$15,ROW(AR555)-ROW(AR$15),0),0)</f>
        <v>0</v>
      </c>
      <c r="AS555" s="633">
        <f ca="1">IF(AND($D555="Serviço",AS$12&lt;&gt;0,$H555&gt;0,OR(AUTOEVENTO&lt;&gt;"manual",$M555&lt;&gt;1)),ROUND(OFFSET($P555,0,AS$13),15-13*ORÇAMENTO!$AF$7)/$H555*OFFSET(ORÇAMENTO!$X$15,ROW(AS555)-ROW(AS$15),0),0)</f>
        <v>0</v>
      </c>
      <c r="AT555" s="632">
        <f ca="1">IF(AND($D555="Serviço",AT$12&lt;&gt;0,$H555&gt;0,OR(AUTOEVENTO&lt;&gt;"manual",$M555&lt;&gt;1)),ROUND(OFFSET($P555,0,AT$13),15-13*ORÇAMENTO!$AF$7)/$H555*OFFSET(ORÇAMENTO!$X$15,ROW(AT555)-ROW(AT$15),0),0)</f>
        <v>0</v>
      </c>
      <c r="AU555" s="632">
        <f ca="1">IF(AND($D555="Serviço",AU$12&lt;&gt;0,$H555&gt;0,OR(AUTOEVENTO&lt;&gt;"manual",$M555&lt;&gt;1)),ROUND(OFFSET($P555,0,AU$13),15-13*ORÇAMENTO!$AF$7)/$H555*OFFSET(ORÇAMENTO!$X$15,ROW(AU555)-ROW(AU$15),0),0)</f>
        <v>0</v>
      </c>
      <c r="AV555" s="632">
        <f ca="1">IF(AND($D555="Serviço",AV$12&lt;&gt;0,$H555&gt;0,OR(AUTOEVENTO&lt;&gt;"manual",$M555&lt;&gt;1)),ROUND(OFFSET($P555,0,AV$13),15-13*ORÇAMENTO!$AF$7)/$H555*OFFSET(ORÇAMENTO!$X$15,ROW(AV555)-ROW(AV$15),0),0)</f>
        <v>0</v>
      </c>
      <c r="AW555" s="632">
        <f ca="1">IF(AND($D555="Serviço",AW$12&lt;&gt;0,$H555&gt;0,OR(AUTOEVENTO&lt;&gt;"manual",$M555&lt;&gt;1)),ROUND(OFFSET($P555,0,AW$13),15-13*ORÇAMENTO!$AF$7)/$H555*OFFSET(ORÇAMENTO!$X$15,ROW(AW555)-ROW(AW$15),0),0)</f>
        <v>0</v>
      </c>
      <c r="AX555" s="632">
        <f ca="1">IF(AND($D555="Serviço",AX$12&lt;&gt;0,$H555&gt;0,OR(AUTOEVENTO&lt;&gt;"manual",$M555&lt;&gt;1)),ROUND(OFFSET($P555,0,AX$13),15-13*ORÇAMENTO!$AF$7)/$H555*OFFSET(ORÇAMENTO!$X$15,ROW(AX555)-ROW(AX$15),0),0)</f>
        <v>0</v>
      </c>
      <c r="AY555" s="632">
        <f ca="1">IF(AND($D555="Serviço",AY$12&lt;&gt;0,$H555&gt;0,OR(AUTOEVENTO&lt;&gt;"manual",$M555&lt;&gt;1)),ROUND(OFFSET($P555,0,AY$13),15-13*ORÇAMENTO!$AF$7)/$H555*OFFSET(ORÇAMENTO!$X$15,ROW(AY555)-ROW(AY$15),0),0)</f>
        <v>0</v>
      </c>
      <c r="AZ555" s="632">
        <f ca="1">IF(AND($D555="Serviço",AZ$12&lt;&gt;0,$H555&gt;0,OR(AUTOEVENTO&lt;&gt;"manual",$M555&lt;&gt;1)),ROUND(OFFSET($P555,0,AZ$13),15-13*ORÇAMENTO!$AF$7)/$H555*OFFSET(ORÇAMENTO!$X$15,ROW(AZ555)-ROW(AZ$15),0),0)</f>
        <v>0</v>
      </c>
      <c r="BA555" s="633">
        <f ca="1">IF(AND($D555="Serviço",BA$12&lt;&gt;0,$H555&gt;0,OR(AUTOEVENTO&lt;&gt;"manual",$M555&lt;&gt;1)),ROUND(OFFSET($P555,0,BA$13),15-13*ORÇAMENTO!$AF$7)/$H555*OFFSET(ORÇAMENTO!$X$15,ROW(BA555)-ROW(BA$15),0),0)</f>
        <v>0</v>
      </c>
      <c r="BC555" s="215">
        <f ca="1">IF($D555&lt;&gt;"Serviço",0,IF(AND(AUTOEVENTO="Manual",$M555=1),0,IF(OFFSET(CRONOPLE!$F$14,$M555,BC$13)="",10^12,OFFSET(CRONOPLE!$F$14,$M555,BC$13))))</f>
        <v>1000000000000</v>
      </c>
      <c r="BD555" s="215">
        <f ca="1">IF($D555&lt;&gt;"Serviço",0,IF(AND(AUTOEVENTO="Manual",$M555=1),0,IF(OFFSET(CRONOPLE!$F$14,$M555,BD$13)="",10^12,OFFSET(CRONOPLE!$F$14,$M555,BD$13))))</f>
        <v>1000000000000</v>
      </c>
      <c r="BE555" s="215">
        <f ca="1">IF($D555&lt;&gt;"Serviço",0,IF(AND(AUTOEVENTO="Manual",$M555=1),0,IF(OFFSET(CRONOPLE!$F$14,$M555,BE$13)="",10^12,OFFSET(CRONOPLE!$F$14,$M555,BE$13))))</f>
        <v>1000000000000</v>
      </c>
      <c r="BF555" s="215">
        <f ca="1">IF($D555&lt;&gt;"Serviço",0,IF(AND(AUTOEVENTO="Manual",$M555=1),0,IF(OFFSET(CRONOPLE!$F$14,$M555,BF$13)="",10^12,OFFSET(CRONOPLE!$F$14,$M555,BF$13))))</f>
        <v>1000000000000</v>
      </c>
      <c r="BG555" s="215">
        <f ca="1">IF($D555&lt;&gt;"Serviço",0,IF(AND(AUTOEVENTO="Manual",$M555=1),0,IF(OFFSET(CRONOPLE!$F$14,$M555,BG$13)="",10^12,OFFSET(CRONOPLE!$F$14,$M555,BG$13))))</f>
        <v>1000000000000</v>
      </c>
      <c r="BH555" s="215">
        <f ca="1">IF($D555&lt;&gt;"Serviço",0,IF(AND(AUTOEVENTO="Manual",$M555=1),0,IF(OFFSET(CRONOPLE!$F$14,$M555,BH$13)="",10^12,OFFSET(CRONOPLE!$F$14,$M555,BH$13))))</f>
        <v>1000000000000</v>
      </c>
      <c r="BI555" s="215">
        <f ca="1">IF($D555&lt;&gt;"Serviço",0,IF(AND(AUTOEVENTO="Manual",$M555=1),0,IF(OFFSET(CRONOPLE!$F$14,$M555,BI$13)="",10^12,OFFSET(CRONOPLE!$F$14,$M555,BI$13))))</f>
        <v>1000000000000</v>
      </c>
      <c r="BJ555" s="215">
        <f ca="1">IF($D555&lt;&gt;"Serviço",0,IF(AND(AUTOEVENTO="Manual",$M555=1),0,IF(OFFSET(CRONOPLE!$F$14,$M555,BJ$13)="",10^12,OFFSET(CRONOPLE!$F$14,$M555,BJ$13))))</f>
        <v>1000000000000</v>
      </c>
      <c r="BK555" s="215">
        <f ca="1">IF($D555&lt;&gt;"Serviço",0,IF(AND(AUTOEVENTO="Manual",$M555=1),0,IF(OFFSET(CRONOPLE!$F$14,$M555,BK$13)="",10^12,OFFSET(CRONOPLE!$F$14,$M555,BK$13))))</f>
        <v>1000000000000</v>
      </c>
      <c r="BL555" s="215">
        <f ca="1">IF($D555&lt;&gt;"Serviço",0,IF(AND(AUTOEVENTO="Manual",$M555=1),0,IF(OFFSET(CRONOPLE!$F$14,$M555,BL$13)="",10^12,OFFSET(CRONOPLE!$F$14,$M555,BL$13))))</f>
        <v>1000000000000</v>
      </c>
      <c r="BM555" s="215">
        <f ca="1">IF($D555&lt;&gt;"Serviço",0,IF(AND(AUTOEVENTO="Manual",$M555=1),0,IF(OFFSET(CRONOPLE!$F$14,$M555,BM$13)="",10^12,OFFSET(CRONOPLE!$F$14,$M555,BM$13))))</f>
        <v>1000000000000</v>
      </c>
      <c r="BN555" s="215">
        <f ca="1">IF($D555&lt;&gt;"Serviço",0,IF(AND(AUTOEVENTO="Manual",$M555=1),0,IF(OFFSET(CRONOPLE!$F$14,$M555,BN$13)="",10^12,OFFSET(CRONOPLE!$F$14,$M555,BN$13))))</f>
        <v>1000000000000</v>
      </c>
      <c r="BO555" s="215">
        <f ca="1">IF($D555&lt;&gt;"Serviço",0,IF(AND(AUTOEVENTO="Manual",$M555=1),0,IF(OFFSET(CRONOPLE!$F$14,$M555,BO$13)="",10^12,OFFSET(CRONOPLE!$F$14,$M555,BO$13))))</f>
        <v>1000000000000</v>
      </c>
      <c r="BP555" s="215">
        <f ca="1">IF($D555&lt;&gt;"Serviço",0,IF(AND(AUTOEVENTO="Manual",$M555=1),0,IF(OFFSET(CRONOPLE!$F$14,$M555,BP$13)="",10^12,OFFSET(CRONOPLE!$F$14,$M555,BP$13))))</f>
        <v>1000000000000</v>
      </c>
      <c r="BQ555" s="215">
        <f ca="1">IF($D555&lt;&gt;"Serviço",0,IF(AND(AUTOEVENTO="Manual",$M555=1),0,IF(OFFSET(CRONOPLE!$F$14,$M555,BQ$13)="",10^12,OFFSET(CRONOPLE!$F$14,$M555,BQ$13))))</f>
        <v>1000000000000</v>
      </c>
      <c r="BR555" s="215">
        <f ca="1">IF($D555&lt;&gt;"Serviço",0,IF(AND(AUTOEVENTO="Manual",$M555=1),0,IF(OFFSET(CRONOPLE!$F$14,$M555,BR$13)="",10^12,OFFSET(CRONOPLE!$F$14,$M555,BR$13))))</f>
        <v>1000000000000</v>
      </c>
      <c r="BS555" s="215">
        <f ca="1">IF($D555&lt;&gt;"Serviço",0,IF(AND(AUTOEVENTO="Manual",$M555=1),0,IF(OFFSET(CRONOPLE!$F$14,$M555,BS$13)="",10^12,OFFSET(CRONOPLE!$F$14,$M555,BS$13))))</f>
        <v>1000000000000</v>
      </c>
      <c r="BT555" s="215">
        <f ca="1">IF($D555&lt;&gt;"Serviço",0,IF(AND(AUTOEVENTO="Manual",$M555=1),0,IF(OFFSET(CRONOPLE!$F$14,$M555,BT$13)="",10^12,OFFSET(CRONOPLE!$F$14,$M555,BT$13))))</f>
        <v>1000000000000</v>
      </c>
      <c r="BV555" s="216">
        <f ca="1">IF($D555&lt;&gt;"Serviço",0,IF(OR(AND(AUTOEVENTO="Manual",$M555=1),$M555&gt;(ROW(PLE.lastrow)-ROW(PLE.firstrow))),0,IF(OFFSET(PLE!$G$14,$M555,BV$13)="",10^12,OFFSET(PLE!$G$14,$M555,BV$13))))</f>
        <v>1000000000000</v>
      </c>
      <c r="BW555" s="216">
        <f ca="1">IF($D555&lt;&gt;"Serviço",0,IF(OR(AND(AUTOEVENTO="Manual",$M555=1),$M555&gt;(ROW(PLE.lastrow)-ROW(PLE.firstrow))),0,IF(OFFSET(PLE!$G$14,$M555,BW$13)="",10^12,OFFSET(PLE!$G$14,$M555,BW$13))))</f>
        <v>1000000000000</v>
      </c>
      <c r="BX555" s="216">
        <f ca="1">IF($D555&lt;&gt;"Serviço",0,IF(OR(AND(AUTOEVENTO="Manual",$M555=1),$M555&gt;(ROW(PLE.lastrow)-ROW(PLE.firstrow))),0,IF(OFFSET(PLE!$G$14,$M555,BX$13)="",10^12,OFFSET(PLE!$G$14,$M555,BX$13))))</f>
        <v>1000000000000</v>
      </c>
      <c r="BY555" s="216">
        <f ca="1">IF($D555&lt;&gt;"Serviço",0,IF(OR(AND(AUTOEVENTO="Manual",$M555=1),$M555&gt;(ROW(PLE.lastrow)-ROW(PLE.firstrow))),0,IF(OFFSET(PLE!$G$14,$M555,BY$13)="",10^12,OFFSET(PLE!$G$14,$M555,BY$13))))</f>
        <v>1000000000000</v>
      </c>
      <c r="BZ555" s="216">
        <f ca="1">IF($D555&lt;&gt;"Serviço",0,IF(OR(AND(AUTOEVENTO="Manual",$M555=1),$M555&gt;(ROW(PLE.lastrow)-ROW(PLE.firstrow))),0,IF(OFFSET(PLE!$G$14,$M555,BZ$13)="",10^12,OFFSET(PLE!$G$14,$M555,BZ$13))))</f>
        <v>1000000000000</v>
      </c>
      <c r="CA555" s="216">
        <f ca="1">IF($D555&lt;&gt;"Serviço",0,IF(OR(AND(AUTOEVENTO="Manual",$M555=1),$M555&gt;(ROW(PLE.lastrow)-ROW(PLE.firstrow))),0,IF(OFFSET(PLE!$G$14,$M555,CA$13)="",10^12,OFFSET(PLE!$G$14,$M555,CA$13))))</f>
        <v>1000000000000</v>
      </c>
      <c r="CB555" s="216">
        <f ca="1">IF($D555&lt;&gt;"Serviço",0,IF(OR(AND(AUTOEVENTO="Manual",$M555=1),$M555&gt;(ROW(PLE.lastrow)-ROW(PLE.firstrow))),0,IF(OFFSET(PLE!$G$14,$M555,CB$13)="",10^12,OFFSET(PLE!$G$14,$M555,CB$13))))</f>
        <v>1000000000000</v>
      </c>
      <c r="CC555" s="216">
        <f ca="1">IF($D555&lt;&gt;"Serviço",0,IF(OR(AND(AUTOEVENTO="Manual",$M555=1),$M555&gt;(ROW(PLE.lastrow)-ROW(PLE.firstrow))),0,IF(OFFSET(PLE!$G$14,$M555,CC$13)="",10^12,OFFSET(PLE!$G$14,$M555,CC$13))))</f>
        <v>1000000000000</v>
      </c>
      <c r="CD555" s="216">
        <f ca="1">IF($D555&lt;&gt;"Serviço",0,IF(OR(AND(AUTOEVENTO="Manual",$M555=1),$M555&gt;(ROW(PLE.lastrow)-ROW(PLE.firstrow))),0,IF(OFFSET(PLE!$G$14,$M555,CD$13)="",10^12,OFFSET(PLE!$G$14,$M555,CD$13))))</f>
        <v>1000000000000</v>
      </c>
      <c r="CE555" s="216">
        <f ca="1">IF($D555&lt;&gt;"Serviço",0,IF(OR(AND(AUTOEVENTO="Manual",$M555=1),$M555&gt;(ROW(PLE.lastrow)-ROW(PLE.firstrow))),0,IF(OFFSET(PLE!$G$14,$M555,CE$13)="",10^12,OFFSET(PLE!$G$14,$M555,CE$13))))</f>
        <v>1000000000000</v>
      </c>
      <c r="CF555" s="216">
        <f ca="1">IF($D555&lt;&gt;"Serviço",0,IF(OR(AND(AUTOEVENTO="Manual",$M555=1),$M555&gt;(ROW(PLE.lastrow)-ROW(PLE.firstrow))),0,IF(OFFSET(PLE!$G$14,$M555,CF$13)="",10^12,OFFSET(PLE!$G$14,$M555,CF$13))))</f>
        <v>1000000000000</v>
      </c>
      <c r="CG555" s="216">
        <f ca="1">IF($D555&lt;&gt;"Serviço",0,IF(OR(AND(AUTOEVENTO="Manual",$M555=1),$M555&gt;(ROW(PLE.lastrow)-ROW(PLE.firstrow))),0,IF(OFFSET(PLE!$G$14,$M555,CG$13)="",10^12,OFFSET(PLE!$G$14,$M555,CG$13))))</f>
        <v>1000000000000</v>
      </c>
      <c r="CH555" s="216">
        <f ca="1">IF($D555&lt;&gt;"Serviço",0,IF(OR(AND(AUTOEVENTO="Manual",$M555=1),$M555&gt;(ROW(PLE.lastrow)-ROW(PLE.firstrow))),0,IF(OFFSET(PLE!$G$14,$M555,CH$13)="",10^12,OFFSET(PLE!$G$14,$M555,CH$13))))</f>
        <v>1000000000000</v>
      </c>
      <c r="CI555" s="216">
        <f ca="1">IF($D555&lt;&gt;"Serviço",0,IF(OR(AND(AUTOEVENTO="Manual",$M555=1),$M555&gt;(ROW(PLE.lastrow)-ROW(PLE.firstrow))),0,IF(OFFSET(PLE!$G$14,$M555,CI$13)="",10^12,OFFSET(PLE!$G$14,$M555,CI$13))))</f>
        <v>1000000000000</v>
      </c>
      <c r="CJ555" s="216">
        <f ca="1">IF($D555&lt;&gt;"Serviço",0,IF(OR(AND(AUTOEVENTO="Manual",$M555=1),$M555&gt;(ROW(PLE.lastrow)-ROW(PLE.firstrow))),0,IF(OFFSET(PLE!$G$14,$M555,CJ$13)="",10^12,OFFSET(PLE!$G$14,$M555,CJ$13))))</f>
        <v>1000000000000</v>
      </c>
      <c r="CK555" s="216">
        <f ca="1">IF($D555&lt;&gt;"Serviço",0,IF(OR(AND(AUTOEVENTO="Manual",$M555=1),$M555&gt;(ROW(PLE.lastrow)-ROW(PLE.firstrow))),0,IF(OFFSET(PLE!$G$14,$M555,CK$13)="",10^12,OFFSET(PLE!$G$14,$M555,CK$13))))</f>
        <v>1000000000000</v>
      </c>
      <c r="CL555" s="216">
        <f ca="1">IF($D555&lt;&gt;"Serviço",0,IF(OR(AND(AUTOEVENTO="Manual",$M555=1),$M555&gt;(ROW(PLE.lastrow)-ROW(PLE.firstrow))),0,IF(OFFSET(PLE!$G$14,$M555,CL$13)="",10^12,OFFSET(PLE!$G$14,$M555,CL$13))))</f>
        <v>1000000000000</v>
      </c>
      <c r="CM555" s="216">
        <f ca="1">IF($D555&lt;&gt;"Serviço",0,IF(OR(AND(AUTOEVENTO="Manual",$M555=1),$M555&gt;(ROW(PLE.lastrow)-ROW(PLE.firstrow))),0,IF(OFFSET(PLE!$G$14,$M555,CM$13)="",10^12,OFFSET(PLE!$G$14,$M555,CM$13))))</f>
        <v>1000000000000</v>
      </c>
    </row>
    <row r="556" spans="1:91" ht="13.2" x14ac:dyDescent="0.25">
      <c r="A556" s="9">
        <f t="shared" ca="1" si="17"/>
        <v>0</v>
      </c>
      <c r="B556" s="9" t="str">
        <f ca="1">OFFSET(ORÇAMENTO!C$15,ROW(B556)-ROW(B$15),0)</f>
        <v>S</v>
      </c>
      <c r="C556" s="9" t="str">
        <f ca="1">OFFSET(ORÇAMENTO!L$15,ROW(C556)-ROW(C$15),0)</f>
        <v/>
      </c>
      <c r="D556" s="145" t="str">
        <f ca="1">OFFSET(ORÇAMENTO!N$15,ROW(D556)-ROW(D$15),0)</f>
        <v>Serviço</v>
      </c>
      <c r="E556" s="205" t="str">
        <f ca="1">OFFSET(ORÇAMENTO!O$15,ROW(E556)-ROW(E$15),0)</f>
        <v>-</v>
      </c>
      <c r="F556" s="206" t="str">
        <f ca="1">OFFSET(ORÇAMENTO!R$15,ROW(F556)-ROW(F$15),0)</f>
        <v>(abra o arquivo 'Referência 05-2024.xls)</v>
      </c>
      <c r="G556" s="207" t="str">
        <f ca="1">IF($D556&lt;&gt;"Serviço","",OFFSET(ORÇAMENTO!S$15,ROW(G556)-ROW(G$15),0))</f>
        <v>-</v>
      </c>
      <c r="H556" s="151">
        <f ca="1">IF($D556&lt;&gt;"Serviço",0,IF(ACOMPANHAMENTO="BM",ROUND(OFFSET(ORÇAMENTO!AJ$15,ROW(H556)-ROW(H$15),0),15-13*ORÇAMENTO!$AF$7),SUMPRODUCT(($Q$12:$AI$12&lt;&gt;"")*ROUND($Q556:$AI556,15-13*ORÇAMENTO!$AF$7))))</f>
        <v>1235.07</v>
      </c>
      <c r="I556" s="650"/>
      <c r="K556" s="208"/>
      <c r="L556" s="209" t="s">
        <v>257</v>
      </c>
      <c r="M556" s="210">
        <f ca="1">IF($D556&lt;&gt;"Serviço","",IF(AUTOEVENTO="manual",$A556,IF(ISERROR(MATCH($A556,$A$15:OFFSET($A556,-1,0),0)),MAX($M$15:OFFSET(M556,-1,0))+1,INDEX($M$15:OFFSET(M556,-1,0),MATCH($A556,$A$15:OFFSET($A556,-1,0),0)))))</f>
        <v>0</v>
      </c>
      <c r="N556" s="211" t="str">
        <f ca="1">IF($D556&lt;&gt;"Serviço","",IF(AUTOEVENTO="Manual",IF($A556=0,"&lt;-- defina o número do agrupador",OFFSET(EVENTOS!$D$14,$A556,0)),OFFSET($F$15,$A556,0)))</f>
        <v>&lt;-- defina o número do agrupador</v>
      </c>
      <c r="O556" s="212"/>
      <c r="Q556" s="212"/>
      <c r="R556" s="213"/>
      <c r="S556" s="213"/>
      <c r="T556" s="213"/>
      <c r="U556" s="213"/>
      <c r="V556" s="213"/>
      <c r="W556" s="213"/>
      <c r="X556" s="213"/>
      <c r="Y556" s="213"/>
      <c r="Z556" s="214"/>
      <c r="AA556" s="213"/>
      <c r="AB556" s="213"/>
      <c r="AC556" s="213"/>
      <c r="AD556" s="213"/>
      <c r="AE556" s="213"/>
      <c r="AF556" s="213"/>
      <c r="AG556" s="213"/>
      <c r="AH556" s="214"/>
      <c r="AJ556" s="631">
        <f ca="1">IF(AND($D556="Serviço",AJ$12&lt;&gt;0,$H556&gt;0,OR(AUTOEVENTO&lt;&gt;"manual",$M556&lt;&gt;1)),ROUND(OFFSET($P556,0,AJ$13),15-13*ORÇAMENTO!$AF$7)/$H556*OFFSET(ORÇAMENTO!$X$15,ROW(AJ556)-ROW(AJ$15),0),0)</f>
        <v>0</v>
      </c>
      <c r="AK556" s="632">
        <f ca="1">IF(AND($D556="Serviço",AK$12&lt;&gt;0,$H556&gt;0,OR(AUTOEVENTO&lt;&gt;"manual",$M556&lt;&gt;1)),ROUND(OFFSET($P556,0,AK$13),15-13*ORÇAMENTO!$AF$7)/$H556*OFFSET(ORÇAMENTO!$X$15,ROW(AK556)-ROW(AK$15),0),0)</f>
        <v>0</v>
      </c>
      <c r="AL556" s="632">
        <f ca="1">IF(AND($D556="Serviço",AL$12&lt;&gt;0,$H556&gt;0,OR(AUTOEVENTO&lt;&gt;"manual",$M556&lt;&gt;1)),ROUND(OFFSET($P556,0,AL$13),15-13*ORÇAMENTO!$AF$7)/$H556*OFFSET(ORÇAMENTO!$X$15,ROW(AL556)-ROW(AL$15),0),0)</f>
        <v>0</v>
      </c>
      <c r="AM556" s="632">
        <f ca="1">IF(AND($D556="Serviço",AM$12&lt;&gt;0,$H556&gt;0,OR(AUTOEVENTO&lt;&gt;"manual",$M556&lt;&gt;1)),ROUND(OFFSET($P556,0,AM$13),15-13*ORÇAMENTO!$AF$7)/$H556*OFFSET(ORÇAMENTO!$X$15,ROW(AM556)-ROW(AM$15),0),0)</f>
        <v>0</v>
      </c>
      <c r="AN556" s="632">
        <f ca="1">IF(AND($D556="Serviço",AN$12&lt;&gt;0,$H556&gt;0,OR(AUTOEVENTO&lt;&gt;"manual",$M556&lt;&gt;1)),ROUND(OFFSET($P556,0,AN$13),15-13*ORÇAMENTO!$AF$7)/$H556*OFFSET(ORÇAMENTO!$X$15,ROW(AN556)-ROW(AN$15),0),0)</f>
        <v>0</v>
      </c>
      <c r="AO556" s="632">
        <f ca="1">IF(AND($D556="Serviço",AO$12&lt;&gt;0,$H556&gt;0,OR(AUTOEVENTO&lt;&gt;"manual",$M556&lt;&gt;1)),ROUND(OFFSET($P556,0,AO$13),15-13*ORÇAMENTO!$AF$7)/$H556*OFFSET(ORÇAMENTO!$X$15,ROW(AO556)-ROW(AO$15),0),0)</f>
        <v>0</v>
      </c>
      <c r="AP556" s="632">
        <f ca="1">IF(AND($D556="Serviço",AP$12&lt;&gt;0,$H556&gt;0,OR(AUTOEVENTO&lt;&gt;"manual",$M556&lt;&gt;1)),ROUND(OFFSET($P556,0,AP$13),15-13*ORÇAMENTO!$AF$7)/$H556*OFFSET(ORÇAMENTO!$X$15,ROW(AP556)-ROW(AP$15),0),0)</f>
        <v>0</v>
      </c>
      <c r="AQ556" s="632">
        <f ca="1">IF(AND($D556="Serviço",AQ$12&lt;&gt;0,$H556&gt;0,OR(AUTOEVENTO&lt;&gt;"manual",$M556&lt;&gt;1)),ROUND(OFFSET($P556,0,AQ$13),15-13*ORÇAMENTO!$AF$7)/$H556*OFFSET(ORÇAMENTO!$X$15,ROW(AQ556)-ROW(AQ$15),0),0)</f>
        <v>0</v>
      </c>
      <c r="AR556" s="632">
        <f ca="1">IF(AND($D556="Serviço",AR$12&lt;&gt;0,$H556&gt;0,OR(AUTOEVENTO&lt;&gt;"manual",$M556&lt;&gt;1)),ROUND(OFFSET($P556,0,AR$13),15-13*ORÇAMENTO!$AF$7)/$H556*OFFSET(ORÇAMENTO!$X$15,ROW(AR556)-ROW(AR$15),0),0)</f>
        <v>0</v>
      </c>
      <c r="AS556" s="633">
        <f ca="1">IF(AND($D556="Serviço",AS$12&lt;&gt;0,$H556&gt;0,OR(AUTOEVENTO&lt;&gt;"manual",$M556&lt;&gt;1)),ROUND(OFFSET($P556,0,AS$13),15-13*ORÇAMENTO!$AF$7)/$H556*OFFSET(ORÇAMENTO!$X$15,ROW(AS556)-ROW(AS$15),0),0)</f>
        <v>0</v>
      </c>
      <c r="AT556" s="632">
        <f ca="1">IF(AND($D556="Serviço",AT$12&lt;&gt;0,$H556&gt;0,OR(AUTOEVENTO&lt;&gt;"manual",$M556&lt;&gt;1)),ROUND(OFFSET($P556,0,AT$13),15-13*ORÇAMENTO!$AF$7)/$H556*OFFSET(ORÇAMENTO!$X$15,ROW(AT556)-ROW(AT$15),0),0)</f>
        <v>0</v>
      </c>
      <c r="AU556" s="632">
        <f ca="1">IF(AND($D556="Serviço",AU$12&lt;&gt;0,$H556&gt;0,OR(AUTOEVENTO&lt;&gt;"manual",$M556&lt;&gt;1)),ROUND(OFFSET($P556,0,AU$13),15-13*ORÇAMENTO!$AF$7)/$H556*OFFSET(ORÇAMENTO!$X$15,ROW(AU556)-ROW(AU$15),0),0)</f>
        <v>0</v>
      </c>
      <c r="AV556" s="632">
        <f ca="1">IF(AND($D556="Serviço",AV$12&lt;&gt;0,$H556&gt;0,OR(AUTOEVENTO&lt;&gt;"manual",$M556&lt;&gt;1)),ROUND(OFFSET($P556,0,AV$13),15-13*ORÇAMENTO!$AF$7)/$H556*OFFSET(ORÇAMENTO!$X$15,ROW(AV556)-ROW(AV$15),0),0)</f>
        <v>0</v>
      </c>
      <c r="AW556" s="632">
        <f ca="1">IF(AND($D556="Serviço",AW$12&lt;&gt;0,$H556&gt;0,OR(AUTOEVENTO&lt;&gt;"manual",$M556&lt;&gt;1)),ROUND(OFFSET($P556,0,AW$13),15-13*ORÇAMENTO!$AF$7)/$H556*OFFSET(ORÇAMENTO!$X$15,ROW(AW556)-ROW(AW$15),0),0)</f>
        <v>0</v>
      </c>
      <c r="AX556" s="632">
        <f ca="1">IF(AND($D556="Serviço",AX$12&lt;&gt;0,$H556&gt;0,OR(AUTOEVENTO&lt;&gt;"manual",$M556&lt;&gt;1)),ROUND(OFFSET($P556,0,AX$13),15-13*ORÇAMENTO!$AF$7)/$H556*OFFSET(ORÇAMENTO!$X$15,ROW(AX556)-ROW(AX$15),0),0)</f>
        <v>0</v>
      </c>
      <c r="AY556" s="632">
        <f ca="1">IF(AND($D556="Serviço",AY$12&lt;&gt;0,$H556&gt;0,OR(AUTOEVENTO&lt;&gt;"manual",$M556&lt;&gt;1)),ROUND(OFFSET($P556,0,AY$13),15-13*ORÇAMENTO!$AF$7)/$H556*OFFSET(ORÇAMENTO!$X$15,ROW(AY556)-ROW(AY$15),0),0)</f>
        <v>0</v>
      </c>
      <c r="AZ556" s="632">
        <f ca="1">IF(AND($D556="Serviço",AZ$12&lt;&gt;0,$H556&gt;0,OR(AUTOEVENTO&lt;&gt;"manual",$M556&lt;&gt;1)),ROUND(OFFSET($P556,0,AZ$13),15-13*ORÇAMENTO!$AF$7)/$H556*OFFSET(ORÇAMENTO!$X$15,ROW(AZ556)-ROW(AZ$15),0),0)</f>
        <v>0</v>
      </c>
      <c r="BA556" s="633">
        <f ca="1">IF(AND($D556="Serviço",BA$12&lt;&gt;0,$H556&gt;0,OR(AUTOEVENTO&lt;&gt;"manual",$M556&lt;&gt;1)),ROUND(OFFSET($P556,0,BA$13),15-13*ORÇAMENTO!$AF$7)/$H556*OFFSET(ORÇAMENTO!$X$15,ROW(BA556)-ROW(BA$15),0),0)</f>
        <v>0</v>
      </c>
      <c r="BC556" s="215">
        <f ca="1">IF($D556&lt;&gt;"Serviço",0,IF(AND(AUTOEVENTO="Manual",$M556=1),0,IF(OFFSET(CRONOPLE!$F$14,$M556,BC$13)="",10^12,OFFSET(CRONOPLE!$F$14,$M556,BC$13))))</f>
        <v>1000000000000</v>
      </c>
      <c r="BD556" s="215">
        <f ca="1">IF($D556&lt;&gt;"Serviço",0,IF(AND(AUTOEVENTO="Manual",$M556=1),0,IF(OFFSET(CRONOPLE!$F$14,$M556,BD$13)="",10^12,OFFSET(CRONOPLE!$F$14,$M556,BD$13))))</f>
        <v>1000000000000</v>
      </c>
      <c r="BE556" s="215">
        <f ca="1">IF($D556&lt;&gt;"Serviço",0,IF(AND(AUTOEVENTO="Manual",$M556=1),0,IF(OFFSET(CRONOPLE!$F$14,$M556,BE$13)="",10^12,OFFSET(CRONOPLE!$F$14,$M556,BE$13))))</f>
        <v>1000000000000</v>
      </c>
      <c r="BF556" s="215">
        <f ca="1">IF($D556&lt;&gt;"Serviço",0,IF(AND(AUTOEVENTO="Manual",$M556=1),0,IF(OFFSET(CRONOPLE!$F$14,$M556,BF$13)="",10^12,OFFSET(CRONOPLE!$F$14,$M556,BF$13))))</f>
        <v>1000000000000</v>
      </c>
      <c r="BG556" s="215">
        <f ca="1">IF($D556&lt;&gt;"Serviço",0,IF(AND(AUTOEVENTO="Manual",$M556=1),0,IF(OFFSET(CRONOPLE!$F$14,$M556,BG$13)="",10^12,OFFSET(CRONOPLE!$F$14,$M556,BG$13))))</f>
        <v>1000000000000</v>
      </c>
      <c r="BH556" s="215">
        <f ca="1">IF($D556&lt;&gt;"Serviço",0,IF(AND(AUTOEVENTO="Manual",$M556=1),0,IF(OFFSET(CRONOPLE!$F$14,$M556,BH$13)="",10^12,OFFSET(CRONOPLE!$F$14,$M556,BH$13))))</f>
        <v>1000000000000</v>
      </c>
      <c r="BI556" s="215">
        <f ca="1">IF($D556&lt;&gt;"Serviço",0,IF(AND(AUTOEVENTO="Manual",$M556=1),0,IF(OFFSET(CRONOPLE!$F$14,$M556,BI$13)="",10^12,OFFSET(CRONOPLE!$F$14,$M556,BI$13))))</f>
        <v>1000000000000</v>
      </c>
      <c r="BJ556" s="215">
        <f ca="1">IF($D556&lt;&gt;"Serviço",0,IF(AND(AUTOEVENTO="Manual",$M556=1),0,IF(OFFSET(CRONOPLE!$F$14,$M556,BJ$13)="",10^12,OFFSET(CRONOPLE!$F$14,$M556,BJ$13))))</f>
        <v>1000000000000</v>
      </c>
      <c r="BK556" s="215">
        <f ca="1">IF($D556&lt;&gt;"Serviço",0,IF(AND(AUTOEVENTO="Manual",$M556=1),0,IF(OFFSET(CRONOPLE!$F$14,$M556,BK$13)="",10^12,OFFSET(CRONOPLE!$F$14,$M556,BK$13))))</f>
        <v>1000000000000</v>
      </c>
      <c r="BL556" s="215">
        <f ca="1">IF($D556&lt;&gt;"Serviço",0,IF(AND(AUTOEVENTO="Manual",$M556=1),0,IF(OFFSET(CRONOPLE!$F$14,$M556,BL$13)="",10^12,OFFSET(CRONOPLE!$F$14,$M556,BL$13))))</f>
        <v>1000000000000</v>
      </c>
      <c r="BM556" s="215">
        <f ca="1">IF($D556&lt;&gt;"Serviço",0,IF(AND(AUTOEVENTO="Manual",$M556=1),0,IF(OFFSET(CRONOPLE!$F$14,$M556,BM$13)="",10^12,OFFSET(CRONOPLE!$F$14,$M556,BM$13))))</f>
        <v>1000000000000</v>
      </c>
      <c r="BN556" s="215">
        <f ca="1">IF($D556&lt;&gt;"Serviço",0,IF(AND(AUTOEVENTO="Manual",$M556=1),0,IF(OFFSET(CRONOPLE!$F$14,$M556,BN$13)="",10^12,OFFSET(CRONOPLE!$F$14,$M556,BN$13))))</f>
        <v>1000000000000</v>
      </c>
      <c r="BO556" s="215">
        <f ca="1">IF($D556&lt;&gt;"Serviço",0,IF(AND(AUTOEVENTO="Manual",$M556=1),0,IF(OFFSET(CRONOPLE!$F$14,$M556,BO$13)="",10^12,OFFSET(CRONOPLE!$F$14,$M556,BO$13))))</f>
        <v>1000000000000</v>
      </c>
      <c r="BP556" s="215">
        <f ca="1">IF($D556&lt;&gt;"Serviço",0,IF(AND(AUTOEVENTO="Manual",$M556=1),0,IF(OFFSET(CRONOPLE!$F$14,$M556,BP$13)="",10^12,OFFSET(CRONOPLE!$F$14,$M556,BP$13))))</f>
        <v>1000000000000</v>
      </c>
      <c r="BQ556" s="215">
        <f ca="1">IF($D556&lt;&gt;"Serviço",0,IF(AND(AUTOEVENTO="Manual",$M556=1),0,IF(OFFSET(CRONOPLE!$F$14,$M556,BQ$13)="",10^12,OFFSET(CRONOPLE!$F$14,$M556,BQ$13))))</f>
        <v>1000000000000</v>
      </c>
      <c r="BR556" s="215">
        <f ca="1">IF($D556&lt;&gt;"Serviço",0,IF(AND(AUTOEVENTO="Manual",$M556=1),0,IF(OFFSET(CRONOPLE!$F$14,$M556,BR$13)="",10^12,OFFSET(CRONOPLE!$F$14,$M556,BR$13))))</f>
        <v>1000000000000</v>
      </c>
      <c r="BS556" s="215">
        <f ca="1">IF($D556&lt;&gt;"Serviço",0,IF(AND(AUTOEVENTO="Manual",$M556=1),0,IF(OFFSET(CRONOPLE!$F$14,$M556,BS$13)="",10^12,OFFSET(CRONOPLE!$F$14,$M556,BS$13))))</f>
        <v>1000000000000</v>
      </c>
      <c r="BT556" s="215">
        <f ca="1">IF($D556&lt;&gt;"Serviço",0,IF(AND(AUTOEVENTO="Manual",$M556=1),0,IF(OFFSET(CRONOPLE!$F$14,$M556,BT$13)="",10^12,OFFSET(CRONOPLE!$F$14,$M556,BT$13))))</f>
        <v>1000000000000</v>
      </c>
      <c r="BV556" s="216">
        <f ca="1">IF($D556&lt;&gt;"Serviço",0,IF(OR(AND(AUTOEVENTO="Manual",$M556=1),$M556&gt;(ROW(PLE.lastrow)-ROW(PLE.firstrow))),0,IF(OFFSET(PLE!$G$14,$M556,BV$13)="",10^12,OFFSET(PLE!$G$14,$M556,BV$13))))</f>
        <v>1000000000000</v>
      </c>
      <c r="BW556" s="216">
        <f ca="1">IF($D556&lt;&gt;"Serviço",0,IF(OR(AND(AUTOEVENTO="Manual",$M556=1),$M556&gt;(ROW(PLE.lastrow)-ROW(PLE.firstrow))),0,IF(OFFSET(PLE!$G$14,$M556,BW$13)="",10^12,OFFSET(PLE!$G$14,$M556,BW$13))))</f>
        <v>1000000000000</v>
      </c>
      <c r="BX556" s="216">
        <f ca="1">IF($D556&lt;&gt;"Serviço",0,IF(OR(AND(AUTOEVENTO="Manual",$M556=1),$M556&gt;(ROW(PLE.lastrow)-ROW(PLE.firstrow))),0,IF(OFFSET(PLE!$G$14,$M556,BX$13)="",10^12,OFFSET(PLE!$G$14,$M556,BX$13))))</f>
        <v>1000000000000</v>
      </c>
      <c r="BY556" s="216">
        <f ca="1">IF($D556&lt;&gt;"Serviço",0,IF(OR(AND(AUTOEVENTO="Manual",$M556=1),$M556&gt;(ROW(PLE.lastrow)-ROW(PLE.firstrow))),0,IF(OFFSET(PLE!$G$14,$M556,BY$13)="",10^12,OFFSET(PLE!$G$14,$M556,BY$13))))</f>
        <v>1000000000000</v>
      </c>
      <c r="BZ556" s="216">
        <f ca="1">IF($D556&lt;&gt;"Serviço",0,IF(OR(AND(AUTOEVENTO="Manual",$M556=1),$M556&gt;(ROW(PLE.lastrow)-ROW(PLE.firstrow))),0,IF(OFFSET(PLE!$G$14,$M556,BZ$13)="",10^12,OFFSET(PLE!$G$14,$M556,BZ$13))))</f>
        <v>1000000000000</v>
      </c>
      <c r="CA556" s="216">
        <f ca="1">IF($D556&lt;&gt;"Serviço",0,IF(OR(AND(AUTOEVENTO="Manual",$M556=1),$M556&gt;(ROW(PLE.lastrow)-ROW(PLE.firstrow))),0,IF(OFFSET(PLE!$G$14,$M556,CA$13)="",10^12,OFFSET(PLE!$G$14,$M556,CA$13))))</f>
        <v>1000000000000</v>
      </c>
      <c r="CB556" s="216">
        <f ca="1">IF($D556&lt;&gt;"Serviço",0,IF(OR(AND(AUTOEVENTO="Manual",$M556=1),$M556&gt;(ROW(PLE.lastrow)-ROW(PLE.firstrow))),0,IF(OFFSET(PLE!$G$14,$M556,CB$13)="",10^12,OFFSET(PLE!$G$14,$M556,CB$13))))</f>
        <v>1000000000000</v>
      </c>
      <c r="CC556" s="216">
        <f ca="1">IF($D556&lt;&gt;"Serviço",0,IF(OR(AND(AUTOEVENTO="Manual",$M556=1),$M556&gt;(ROW(PLE.lastrow)-ROW(PLE.firstrow))),0,IF(OFFSET(PLE!$G$14,$M556,CC$13)="",10^12,OFFSET(PLE!$G$14,$M556,CC$13))))</f>
        <v>1000000000000</v>
      </c>
      <c r="CD556" s="216">
        <f ca="1">IF($D556&lt;&gt;"Serviço",0,IF(OR(AND(AUTOEVENTO="Manual",$M556=1),$M556&gt;(ROW(PLE.lastrow)-ROW(PLE.firstrow))),0,IF(OFFSET(PLE!$G$14,$M556,CD$13)="",10^12,OFFSET(PLE!$G$14,$M556,CD$13))))</f>
        <v>1000000000000</v>
      </c>
      <c r="CE556" s="216">
        <f ca="1">IF($D556&lt;&gt;"Serviço",0,IF(OR(AND(AUTOEVENTO="Manual",$M556=1),$M556&gt;(ROW(PLE.lastrow)-ROW(PLE.firstrow))),0,IF(OFFSET(PLE!$G$14,$M556,CE$13)="",10^12,OFFSET(PLE!$G$14,$M556,CE$13))))</f>
        <v>1000000000000</v>
      </c>
      <c r="CF556" s="216">
        <f ca="1">IF($D556&lt;&gt;"Serviço",0,IF(OR(AND(AUTOEVENTO="Manual",$M556=1),$M556&gt;(ROW(PLE.lastrow)-ROW(PLE.firstrow))),0,IF(OFFSET(PLE!$G$14,$M556,CF$13)="",10^12,OFFSET(PLE!$G$14,$M556,CF$13))))</f>
        <v>1000000000000</v>
      </c>
      <c r="CG556" s="216">
        <f ca="1">IF($D556&lt;&gt;"Serviço",0,IF(OR(AND(AUTOEVENTO="Manual",$M556=1),$M556&gt;(ROW(PLE.lastrow)-ROW(PLE.firstrow))),0,IF(OFFSET(PLE!$G$14,$M556,CG$13)="",10^12,OFFSET(PLE!$G$14,$M556,CG$13))))</f>
        <v>1000000000000</v>
      </c>
      <c r="CH556" s="216">
        <f ca="1">IF($D556&lt;&gt;"Serviço",0,IF(OR(AND(AUTOEVENTO="Manual",$M556=1),$M556&gt;(ROW(PLE.lastrow)-ROW(PLE.firstrow))),0,IF(OFFSET(PLE!$G$14,$M556,CH$13)="",10^12,OFFSET(PLE!$G$14,$M556,CH$13))))</f>
        <v>1000000000000</v>
      </c>
      <c r="CI556" s="216">
        <f ca="1">IF($D556&lt;&gt;"Serviço",0,IF(OR(AND(AUTOEVENTO="Manual",$M556=1),$M556&gt;(ROW(PLE.lastrow)-ROW(PLE.firstrow))),0,IF(OFFSET(PLE!$G$14,$M556,CI$13)="",10^12,OFFSET(PLE!$G$14,$M556,CI$13))))</f>
        <v>1000000000000</v>
      </c>
      <c r="CJ556" s="216">
        <f ca="1">IF($D556&lt;&gt;"Serviço",0,IF(OR(AND(AUTOEVENTO="Manual",$M556=1),$M556&gt;(ROW(PLE.lastrow)-ROW(PLE.firstrow))),0,IF(OFFSET(PLE!$G$14,$M556,CJ$13)="",10^12,OFFSET(PLE!$G$14,$M556,CJ$13))))</f>
        <v>1000000000000</v>
      </c>
      <c r="CK556" s="216">
        <f ca="1">IF($D556&lt;&gt;"Serviço",0,IF(OR(AND(AUTOEVENTO="Manual",$M556=1),$M556&gt;(ROW(PLE.lastrow)-ROW(PLE.firstrow))),0,IF(OFFSET(PLE!$G$14,$M556,CK$13)="",10^12,OFFSET(PLE!$G$14,$M556,CK$13))))</f>
        <v>1000000000000</v>
      </c>
      <c r="CL556" s="216">
        <f ca="1">IF($D556&lt;&gt;"Serviço",0,IF(OR(AND(AUTOEVENTO="Manual",$M556=1),$M556&gt;(ROW(PLE.lastrow)-ROW(PLE.firstrow))),0,IF(OFFSET(PLE!$G$14,$M556,CL$13)="",10^12,OFFSET(PLE!$G$14,$M556,CL$13))))</f>
        <v>1000000000000</v>
      </c>
      <c r="CM556" s="216">
        <f ca="1">IF($D556&lt;&gt;"Serviço",0,IF(OR(AND(AUTOEVENTO="Manual",$M556=1),$M556&gt;(ROW(PLE.lastrow)-ROW(PLE.firstrow))),0,IF(OFFSET(PLE!$G$14,$M556,CM$13)="",10^12,OFFSET(PLE!$G$14,$M556,CM$13))))</f>
        <v>1000000000000</v>
      </c>
    </row>
    <row r="557" spans="1:91" ht="13.2" x14ac:dyDescent="0.25">
      <c r="A557" s="9">
        <f t="shared" ca="1" si="17"/>
        <v>0</v>
      </c>
      <c r="B557" s="9" t="str">
        <f ca="1">OFFSET(ORÇAMENTO!C$15,ROW(B557)-ROW(B$15),0)</f>
        <v>S</v>
      </c>
      <c r="C557" s="9" t="str">
        <f ca="1">OFFSET(ORÇAMENTO!L$15,ROW(C557)-ROW(C$15),0)</f>
        <v/>
      </c>
      <c r="D557" s="145" t="str">
        <f ca="1">OFFSET(ORÇAMENTO!N$15,ROW(D557)-ROW(D$15),0)</f>
        <v>Serviço</v>
      </c>
      <c r="E557" s="205" t="str">
        <f ca="1">OFFSET(ORÇAMENTO!O$15,ROW(E557)-ROW(E$15),0)</f>
        <v>-</v>
      </c>
      <c r="F557" s="206" t="str">
        <f ca="1">OFFSET(ORÇAMENTO!R$15,ROW(F557)-ROW(F$15),0)</f>
        <v>(abra o arquivo 'Referência 05-2024.xls)</v>
      </c>
      <c r="G557" s="207" t="str">
        <f ca="1">IF($D557&lt;&gt;"Serviço","",OFFSET(ORÇAMENTO!S$15,ROW(G557)-ROW(G$15),0))</f>
        <v>-</v>
      </c>
      <c r="H557" s="151">
        <f ca="1">IF($D557&lt;&gt;"Serviço",0,IF(ACOMPANHAMENTO="BM",ROUND(OFFSET(ORÇAMENTO!AJ$15,ROW(H557)-ROW(H$15),0),15-13*ORÇAMENTO!$AF$7),SUMPRODUCT(($Q$12:$AI$12&lt;&gt;"")*ROUND($Q557:$AI557,15-13*ORÇAMENTO!$AF$7))))</f>
        <v>1.5</v>
      </c>
      <c r="I557" s="650"/>
      <c r="K557" s="208"/>
      <c r="L557" s="209" t="s">
        <v>257</v>
      </c>
      <c r="M557" s="210">
        <f ca="1">IF($D557&lt;&gt;"Serviço","",IF(AUTOEVENTO="manual",$A557,IF(ISERROR(MATCH($A557,$A$15:OFFSET($A557,-1,0),0)),MAX($M$15:OFFSET(M557,-1,0))+1,INDEX($M$15:OFFSET(M557,-1,0),MATCH($A557,$A$15:OFFSET($A557,-1,0),0)))))</f>
        <v>0</v>
      </c>
      <c r="N557" s="211" t="str">
        <f ca="1">IF($D557&lt;&gt;"Serviço","",IF(AUTOEVENTO="Manual",IF($A557=0,"&lt;-- defina o número do agrupador",OFFSET(EVENTOS!$D$14,$A557,0)),OFFSET($F$15,$A557,0)))</f>
        <v>&lt;-- defina o número do agrupador</v>
      </c>
      <c r="O557" s="212"/>
      <c r="Q557" s="212"/>
      <c r="R557" s="213"/>
      <c r="S557" s="213"/>
      <c r="T557" s="213"/>
      <c r="U557" s="213"/>
      <c r="V557" s="213"/>
      <c r="W557" s="213"/>
      <c r="X557" s="213"/>
      <c r="Y557" s="213"/>
      <c r="Z557" s="214"/>
      <c r="AA557" s="213"/>
      <c r="AB557" s="213"/>
      <c r="AC557" s="213"/>
      <c r="AD557" s="213"/>
      <c r="AE557" s="213"/>
      <c r="AF557" s="213"/>
      <c r="AG557" s="213"/>
      <c r="AH557" s="214"/>
      <c r="AJ557" s="631">
        <f ca="1">IF(AND($D557="Serviço",AJ$12&lt;&gt;0,$H557&gt;0,OR(AUTOEVENTO&lt;&gt;"manual",$M557&lt;&gt;1)),ROUND(OFFSET($P557,0,AJ$13),15-13*ORÇAMENTO!$AF$7)/$H557*OFFSET(ORÇAMENTO!$X$15,ROW(AJ557)-ROW(AJ$15),0),0)</f>
        <v>0</v>
      </c>
      <c r="AK557" s="632">
        <f ca="1">IF(AND($D557="Serviço",AK$12&lt;&gt;0,$H557&gt;0,OR(AUTOEVENTO&lt;&gt;"manual",$M557&lt;&gt;1)),ROUND(OFFSET($P557,0,AK$13),15-13*ORÇAMENTO!$AF$7)/$H557*OFFSET(ORÇAMENTO!$X$15,ROW(AK557)-ROW(AK$15),0),0)</f>
        <v>0</v>
      </c>
      <c r="AL557" s="632">
        <f ca="1">IF(AND($D557="Serviço",AL$12&lt;&gt;0,$H557&gt;0,OR(AUTOEVENTO&lt;&gt;"manual",$M557&lt;&gt;1)),ROUND(OFFSET($P557,0,AL$13),15-13*ORÇAMENTO!$AF$7)/$H557*OFFSET(ORÇAMENTO!$X$15,ROW(AL557)-ROW(AL$15),0),0)</f>
        <v>0</v>
      </c>
      <c r="AM557" s="632">
        <f ca="1">IF(AND($D557="Serviço",AM$12&lt;&gt;0,$H557&gt;0,OR(AUTOEVENTO&lt;&gt;"manual",$M557&lt;&gt;1)),ROUND(OFFSET($P557,0,AM$13),15-13*ORÇAMENTO!$AF$7)/$H557*OFFSET(ORÇAMENTO!$X$15,ROW(AM557)-ROW(AM$15),0),0)</f>
        <v>0</v>
      </c>
      <c r="AN557" s="632">
        <f ca="1">IF(AND($D557="Serviço",AN$12&lt;&gt;0,$H557&gt;0,OR(AUTOEVENTO&lt;&gt;"manual",$M557&lt;&gt;1)),ROUND(OFFSET($P557,0,AN$13),15-13*ORÇAMENTO!$AF$7)/$H557*OFFSET(ORÇAMENTO!$X$15,ROW(AN557)-ROW(AN$15),0),0)</f>
        <v>0</v>
      </c>
      <c r="AO557" s="632">
        <f ca="1">IF(AND($D557="Serviço",AO$12&lt;&gt;0,$H557&gt;0,OR(AUTOEVENTO&lt;&gt;"manual",$M557&lt;&gt;1)),ROUND(OFFSET($P557,0,AO$13),15-13*ORÇAMENTO!$AF$7)/$H557*OFFSET(ORÇAMENTO!$X$15,ROW(AO557)-ROW(AO$15),0),0)</f>
        <v>0</v>
      </c>
      <c r="AP557" s="632">
        <f ca="1">IF(AND($D557="Serviço",AP$12&lt;&gt;0,$H557&gt;0,OR(AUTOEVENTO&lt;&gt;"manual",$M557&lt;&gt;1)),ROUND(OFFSET($P557,0,AP$13),15-13*ORÇAMENTO!$AF$7)/$H557*OFFSET(ORÇAMENTO!$X$15,ROW(AP557)-ROW(AP$15),0),0)</f>
        <v>0</v>
      </c>
      <c r="AQ557" s="632">
        <f ca="1">IF(AND($D557="Serviço",AQ$12&lt;&gt;0,$H557&gt;0,OR(AUTOEVENTO&lt;&gt;"manual",$M557&lt;&gt;1)),ROUND(OFFSET($P557,0,AQ$13),15-13*ORÇAMENTO!$AF$7)/$H557*OFFSET(ORÇAMENTO!$X$15,ROW(AQ557)-ROW(AQ$15),0),0)</f>
        <v>0</v>
      </c>
      <c r="AR557" s="632">
        <f ca="1">IF(AND($D557="Serviço",AR$12&lt;&gt;0,$H557&gt;0,OR(AUTOEVENTO&lt;&gt;"manual",$M557&lt;&gt;1)),ROUND(OFFSET($P557,0,AR$13),15-13*ORÇAMENTO!$AF$7)/$H557*OFFSET(ORÇAMENTO!$X$15,ROW(AR557)-ROW(AR$15),0),0)</f>
        <v>0</v>
      </c>
      <c r="AS557" s="633">
        <f ca="1">IF(AND($D557="Serviço",AS$12&lt;&gt;0,$H557&gt;0,OR(AUTOEVENTO&lt;&gt;"manual",$M557&lt;&gt;1)),ROUND(OFFSET($P557,0,AS$13),15-13*ORÇAMENTO!$AF$7)/$H557*OFFSET(ORÇAMENTO!$X$15,ROW(AS557)-ROW(AS$15),0),0)</f>
        <v>0</v>
      </c>
      <c r="AT557" s="632">
        <f ca="1">IF(AND($D557="Serviço",AT$12&lt;&gt;0,$H557&gt;0,OR(AUTOEVENTO&lt;&gt;"manual",$M557&lt;&gt;1)),ROUND(OFFSET($P557,0,AT$13),15-13*ORÇAMENTO!$AF$7)/$H557*OFFSET(ORÇAMENTO!$X$15,ROW(AT557)-ROW(AT$15),0),0)</f>
        <v>0</v>
      </c>
      <c r="AU557" s="632">
        <f ca="1">IF(AND($D557="Serviço",AU$12&lt;&gt;0,$H557&gt;0,OR(AUTOEVENTO&lt;&gt;"manual",$M557&lt;&gt;1)),ROUND(OFFSET($P557,0,AU$13),15-13*ORÇAMENTO!$AF$7)/$H557*OFFSET(ORÇAMENTO!$X$15,ROW(AU557)-ROW(AU$15),0),0)</f>
        <v>0</v>
      </c>
      <c r="AV557" s="632">
        <f ca="1">IF(AND($D557="Serviço",AV$12&lt;&gt;0,$H557&gt;0,OR(AUTOEVENTO&lt;&gt;"manual",$M557&lt;&gt;1)),ROUND(OFFSET($P557,0,AV$13),15-13*ORÇAMENTO!$AF$7)/$H557*OFFSET(ORÇAMENTO!$X$15,ROW(AV557)-ROW(AV$15),0),0)</f>
        <v>0</v>
      </c>
      <c r="AW557" s="632">
        <f ca="1">IF(AND($D557="Serviço",AW$12&lt;&gt;0,$H557&gt;0,OR(AUTOEVENTO&lt;&gt;"manual",$M557&lt;&gt;1)),ROUND(OFFSET($P557,0,AW$13),15-13*ORÇAMENTO!$AF$7)/$H557*OFFSET(ORÇAMENTO!$X$15,ROW(AW557)-ROW(AW$15),0),0)</f>
        <v>0</v>
      </c>
      <c r="AX557" s="632">
        <f ca="1">IF(AND($D557="Serviço",AX$12&lt;&gt;0,$H557&gt;0,OR(AUTOEVENTO&lt;&gt;"manual",$M557&lt;&gt;1)),ROUND(OFFSET($P557,0,AX$13),15-13*ORÇAMENTO!$AF$7)/$H557*OFFSET(ORÇAMENTO!$X$15,ROW(AX557)-ROW(AX$15),0),0)</f>
        <v>0</v>
      </c>
      <c r="AY557" s="632">
        <f ca="1">IF(AND($D557="Serviço",AY$12&lt;&gt;0,$H557&gt;0,OR(AUTOEVENTO&lt;&gt;"manual",$M557&lt;&gt;1)),ROUND(OFFSET($P557,0,AY$13),15-13*ORÇAMENTO!$AF$7)/$H557*OFFSET(ORÇAMENTO!$X$15,ROW(AY557)-ROW(AY$15),0),0)</f>
        <v>0</v>
      </c>
      <c r="AZ557" s="632">
        <f ca="1">IF(AND($D557="Serviço",AZ$12&lt;&gt;0,$H557&gt;0,OR(AUTOEVENTO&lt;&gt;"manual",$M557&lt;&gt;1)),ROUND(OFFSET($P557,0,AZ$13),15-13*ORÇAMENTO!$AF$7)/$H557*OFFSET(ORÇAMENTO!$X$15,ROW(AZ557)-ROW(AZ$15),0),0)</f>
        <v>0</v>
      </c>
      <c r="BA557" s="633">
        <f ca="1">IF(AND($D557="Serviço",BA$12&lt;&gt;0,$H557&gt;0,OR(AUTOEVENTO&lt;&gt;"manual",$M557&lt;&gt;1)),ROUND(OFFSET($P557,0,BA$13),15-13*ORÇAMENTO!$AF$7)/$H557*OFFSET(ORÇAMENTO!$X$15,ROW(BA557)-ROW(BA$15),0),0)</f>
        <v>0</v>
      </c>
      <c r="BC557" s="215">
        <f ca="1">IF($D557&lt;&gt;"Serviço",0,IF(AND(AUTOEVENTO="Manual",$M557=1),0,IF(OFFSET(CRONOPLE!$F$14,$M557,BC$13)="",10^12,OFFSET(CRONOPLE!$F$14,$M557,BC$13))))</f>
        <v>1000000000000</v>
      </c>
      <c r="BD557" s="215">
        <f ca="1">IF($D557&lt;&gt;"Serviço",0,IF(AND(AUTOEVENTO="Manual",$M557=1),0,IF(OFFSET(CRONOPLE!$F$14,$M557,BD$13)="",10^12,OFFSET(CRONOPLE!$F$14,$M557,BD$13))))</f>
        <v>1000000000000</v>
      </c>
      <c r="BE557" s="215">
        <f ca="1">IF($D557&lt;&gt;"Serviço",0,IF(AND(AUTOEVENTO="Manual",$M557=1),0,IF(OFFSET(CRONOPLE!$F$14,$M557,BE$13)="",10^12,OFFSET(CRONOPLE!$F$14,$M557,BE$13))))</f>
        <v>1000000000000</v>
      </c>
      <c r="BF557" s="215">
        <f ca="1">IF($D557&lt;&gt;"Serviço",0,IF(AND(AUTOEVENTO="Manual",$M557=1),0,IF(OFFSET(CRONOPLE!$F$14,$M557,BF$13)="",10^12,OFFSET(CRONOPLE!$F$14,$M557,BF$13))))</f>
        <v>1000000000000</v>
      </c>
      <c r="BG557" s="215">
        <f ca="1">IF($D557&lt;&gt;"Serviço",0,IF(AND(AUTOEVENTO="Manual",$M557=1),0,IF(OFFSET(CRONOPLE!$F$14,$M557,BG$13)="",10^12,OFFSET(CRONOPLE!$F$14,$M557,BG$13))))</f>
        <v>1000000000000</v>
      </c>
      <c r="BH557" s="215">
        <f ca="1">IF($D557&lt;&gt;"Serviço",0,IF(AND(AUTOEVENTO="Manual",$M557=1),0,IF(OFFSET(CRONOPLE!$F$14,$M557,BH$13)="",10^12,OFFSET(CRONOPLE!$F$14,$M557,BH$13))))</f>
        <v>1000000000000</v>
      </c>
      <c r="BI557" s="215">
        <f ca="1">IF($D557&lt;&gt;"Serviço",0,IF(AND(AUTOEVENTO="Manual",$M557=1),0,IF(OFFSET(CRONOPLE!$F$14,$M557,BI$13)="",10^12,OFFSET(CRONOPLE!$F$14,$M557,BI$13))))</f>
        <v>1000000000000</v>
      </c>
      <c r="BJ557" s="215">
        <f ca="1">IF($D557&lt;&gt;"Serviço",0,IF(AND(AUTOEVENTO="Manual",$M557=1),0,IF(OFFSET(CRONOPLE!$F$14,$M557,BJ$13)="",10^12,OFFSET(CRONOPLE!$F$14,$M557,BJ$13))))</f>
        <v>1000000000000</v>
      </c>
      <c r="BK557" s="215">
        <f ca="1">IF($D557&lt;&gt;"Serviço",0,IF(AND(AUTOEVENTO="Manual",$M557=1),0,IF(OFFSET(CRONOPLE!$F$14,$M557,BK$13)="",10^12,OFFSET(CRONOPLE!$F$14,$M557,BK$13))))</f>
        <v>1000000000000</v>
      </c>
      <c r="BL557" s="215">
        <f ca="1">IF($D557&lt;&gt;"Serviço",0,IF(AND(AUTOEVENTO="Manual",$M557=1),0,IF(OFFSET(CRONOPLE!$F$14,$M557,BL$13)="",10^12,OFFSET(CRONOPLE!$F$14,$M557,BL$13))))</f>
        <v>1000000000000</v>
      </c>
      <c r="BM557" s="215">
        <f ca="1">IF($D557&lt;&gt;"Serviço",0,IF(AND(AUTOEVENTO="Manual",$M557=1),0,IF(OFFSET(CRONOPLE!$F$14,$M557,BM$13)="",10^12,OFFSET(CRONOPLE!$F$14,$M557,BM$13))))</f>
        <v>1000000000000</v>
      </c>
      <c r="BN557" s="215">
        <f ca="1">IF($D557&lt;&gt;"Serviço",0,IF(AND(AUTOEVENTO="Manual",$M557=1),0,IF(OFFSET(CRONOPLE!$F$14,$M557,BN$13)="",10^12,OFFSET(CRONOPLE!$F$14,$M557,BN$13))))</f>
        <v>1000000000000</v>
      </c>
      <c r="BO557" s="215">
        <f ca="1">IF($D557&lt;&gt;"Serviço",0,IF(AND(AUTOEVENTO="Manual",$M557=1),0,IF(OFFSET(CRONOPLE!$F$14,$M557,BO$13)="",10^12,OFFSET(CRONOPLE!$F$14,$M557,BO$13))))</f>
        <v>1000000000000</v>
      </c>
      <c r="BP557" s="215">
        <f ca="1">IF($D557&lt;&gt;"Serviço",0,IF(AND(AUTOEVENTO="Manual",$M557=1),0,IF(OFFSET(CRONOPLE!$F$14,$M557,BP$13)="",10^12,OFFSET(CRONOPLE!$F$14,$M557,BP$13))))</f>
        <v>1000000000000</v>
      </c>
      <c r="BQ557" s="215">
        <f ca="1">IF($D557&lt;&gt;"Serviço",0,IF(AND(AUTOEVENTO="Manual",$M557=1),0,IF(OFFSET(CRONOPLE!$F$14,$M557,BQ$13)="",10^12,OFFSET(CRONOPLE!$F$14,$M557,BQ$13))))</f>
        <v>1000000000000</v>
      </c>
      <c r="BR557" s="215">
        <f ca="1">IF($D557&lt;&gt;"Serviço",0,IF(AND(AUTOEVENTO="Manual",$M557=1),0,IF(OFFSET(CRONOPLE!$F$14,$M557,BR$13)="",10^12,OFFSET(CRONOPLE!$F$14,$M557,BR$13))))</f>
        <v>1000000000000</v>
      </c>
      <c r="BS557" s="215">
        <f ca="1">IF($D557&lt;&gt;"Serviço",0,IF(AND(AUTOEVENTO="Manual",$M557=1),0,IF(OFFSET(CRONOPLE!$F$14,$M557,BS$13)="",10^12,OFFSET(CRONOPLE!$F$14,$M557,BS$13))))</f>
        <v>1000000000000</v>
      </c>
      <c r="BT557" s="215">
        <f ca="1">IF($D557&lt;&gt;"Serviço",0,IF(AND(AUTOEVENTO="Manual",$M557=1),0,IF(OFFSET(CRONOPLE!$F$14,$M557,BT$13)="",10^12,OFFSET(CRONOPLE!$F$14,$M557,BT$13))))</f>
        <v>1000000000000</v>
      </c>
      <c r="BV557" s="216">
        <f ca="1">IF($D557&lt;&gt;"Serviço",0,IF(OR(AND(AUTOEVENTO="Manual",$M557=1),$M557&gt;(ROW(PLE.lastrow)-ROW(PLE.firstrow))),0,IF(OFFSET(PLE!$G$14,$M557,BV$13)="",10^12,OFFSET(PLE!$G$14,$M557,BV$13))))</f>
        <v>1000000000000</v>
      </c>
      <c r="BW557" s="216">
        <f ca="1">IF($D557&lt;&gt;"Serviço",0,IF(OR(AND(AUTOEVENTO="Manual",$M557=1),$M557&gt;(ROW(PLE.lastrow)-ROW(PLE.firstrow))),0,IF(OFFSET(PLE!$G$14,$M557,BW$13)="",10^12,OFFSET(PLE!$G$14,$M557,BW$13))))</f>
        <v>1000000000000</v>
      </c>
      <c r="BX557" s="216">
        <f ca="1">IF($D557&lt;&gt;"Serviço",0,IF(OR(AND(AUTOEVENTO="Manual",$M557=1),$M557&gt;(ROW(PLE.lastrow)-ROW(PLE.firstrow))),0,IF(OFFSET(PLE!$G$14,$M557,BX$13)="",10^12,OFFSET(PLE!$G$14,$M557,BX$13))))</f>
        <v>1000000000000</v>
      </c>
      <c r="BY557" s="216">
        <f ca="1">IF($D557&lt;&gt;"Serviço",0,IF(OR(AND(AUTOEVENTO="Manual",$M557=1),$M557&gt;(ROW(PLE.lastrow)-ROW(PLE.firstrow))),0,IF(OFFSET(PLE!$G$14,$M557,BY$13)="",10^12,OFFSET(PLE!$G$14,$M557,BY$13))))</f>
        <v>1000000000000</v>
      </c>
      <c r="BZ557" s="216">
        <f ca="1">IF($D557&lt;&gt;"Serviço",0,IF(OR(AND(AUTOEVENTO="Manual",$M557=1),$M557&gt;(ROW(PLE.lastrow)-ROW(PLE.firstrow))),0,IF(OFFSET(PLE!$G$14,$M557,BZ$13)="",10^12,OFFSET(PLE!$G$14,$M557,BZ$13))))</f>
        <v>1000000000000</v>
      </c>
      <c r="CA557" s="216">
        <f ca="1">IF($D557&lt;&gt;"Serviço",0,IF(OR(AND(AUTOEVENTO="Manual",$M557=1),$M557&gt;(ROW(PLE.lastrow)-ROW(PLE.firstrow))),0,IF(OFFSET(PLE!$G$14,$M557,CA$13)="",10^12,OFFSET(PLE!$G$14,$M557,CA$13))))</f>
        <v>1000000000000</v>
      </c>
      <c r="CB557" s="216">
        <f ca="1">IF($D557&lt;&gt;"Serviço",0,IF(OR(AND(AUTOEVENTO="Manual",$M557=1),$M557&gt;(ROW(PLE.lastrow)-ROW(PLE.firstrow))),0,IF(OFFSET(PLE!$G$14,$M557,CB$13)="",10^12,OFFSET(PLE!$G$14,$M557,CB$13))))</f>
        <v>1000000000000</v>
      </c>
      <c r="CC557" s="216">
        <f ca="1">IF($D557&lt;&gt;"Serviço",0,IF(OR(AND(AUTOEVENTO="Manual",$M557=1),$M557&gt;(ROW(PLE.lastrow)-ROW(PLE.firstrow))),0,IF(OFFSET(PLE!$G$14,$M557,CC$13)="",10^12,OFFSET(PLE!$G$14,$M557,CC$13))))</f>
        <v>1000000000000</v>
      </c>
      <c r="CD557" s="216">
        <f ca="1">IF($D557&lt;&gt;"Serviço",0,IF(OR(AND(AUTOEVENTO="Manual",$M557=1),$M557&gt;(ROW(PLE.lastrow)-ROW(PLE.firstrow))),0,IF(OFFSET(PLE!$G$14,$M557,CD$13)="",10^12,OFFSET(PLE!$G$14,$M557,CD$13))))</f>
        <v>1000000000000</v>
      </c>
      <c r="CE557" s="216">
        <f ca="1">IF($D557&lt;&gt;"Serviço",0,IF(OR(AND(AUTOEVENTO="Manual",$M557=1),$M557&gt;(ROW(PLE.lastrow)-ROW(PLE.firstrow))),0,IF(OFFSET(PLE!$G$14,$M557,CE$13)="",10^12,OFFSET(PLE!$G$14,$M557,CE$13))))</f>
        <v>1000000000000</v>
      </c>
      <c r="CF557" s="216">
        <f ca="1">IF($D557&lt;&gt;"Serviço",0,IF(OR(AND(AUTOEVENTO="Manual",$M557=1),$M557&gt;(ROW(PLE.lastrow)-ROW(PLE.firstrow))),0,IF(OFFSET(PLE!$G$14,$M557,CF$13)="",10^12,OFFSET(PLE!$G$14,$M557,CF$13))))</f>
        <v>1000000000000</v>
      </c>
      <c r="CG557" s="216">
        <f ca="1">IF($D557&lt;&gt;"Serviço",0,IF(OR(AND(AUTOEVENTO="Manual",$M557=1),$M557&gt;(ROW(PLE.lastrow)-ROW(PLE.firstrow))),0,IF(OFFSET(PLE!$G$14,$M557,CG$13)="",10^12,OFFSET(PLE!$G$14,$M557,CG$13))))</f>
        <v>1000000000000</v>
      </c>
      <c r="CH557" s="216">
        <f ca="1">IF($D557&lt;&gt;"Serviço",0,IF(OR(AND(AUTOEVENTO="Manual",$M557=1),$M557&gt;(ROW(PLE.lastrow)-ROW(PLE.firstrow))),0,IF(OFFSET(PLE!$G$14,$M557,CH$13)="",10^12,OFFSET(PLE!$G$14,$M557,CH$13))))</f>
        <v>1000000000000</v>
      </c>
      <c r="CI557" s="216">
        <f ca="1">IF($D557&lt;&gt;"Serviço",0,IF(OR(AND(AUTOEVENTO="Manual",$M557=1),$M557&gt;(ROW(PLE.lastrow)-ROW(PLE.firstrow))),0,IF(OFFSET(PLE!$G$14,$M557,CI$13)="",10^12,OFFSET(PLE!$G$14,$M557,CI$13))))</f>
        <v>1000000000000</v>
      </c>
      <c r="CJ557" s="216">
        <f ca="1">IF($D557&lt;&gt;"Serviço",0,IF(OR(AND(AUTOEVENTO="Manual",$M557=1),$M557&gt;(ROW(PLE.lastrow)-ROW(PLE.firstrow))),0,IF(OFFSET(PLE!$G$14,$M557,CJ$13)="",10^12,OFFSET(PLE!$G$14,$M557,CJ$13))))</f>
        <v>1000000000000</v>
      </c>
      <c r="CK557" s="216">
        <f ca="1">IF($D557&lt;&gt;"Serviço",0,IF(OR(AND(AUTOEVENTO="Manual",$M557=1),$M557&gt;(ROW(PLE.lastrow)-ROW(PLE.firstrow))),0,IF(OFFSET(PLE!$G$14,$M557,CK$13)="",10^12,OFFSET(PLE!$G$14,$M557,CK$13))))</f>
        <v>1000000000000</v>
      </c>
      <c r="CL557" s="216">
        <f ca="1">IF($D557&lt;&gt;"Serviço",0,IF(OR(AND(AUTOEVENTO="Manual",$M557=1),$M557&gt;(ROW(PLE.lastrow)-ROW(PLE.firstrow))),0,IF(OFFSET(PLE!$G$14,$M557,CL$13)="",10^12,OFFSET(PLE!$G$14,$M557,CL$13))))</f>
        <v>1000000000000</v>
      </c>
      <c r="CM557" s="216">
        <f ca="1">IF($D557&lt;&gt;"Serviço",0,IF(OR(AND(AUTOEVENTO="Manual",$M557=1),$M557&gt;(ROW(PLE.lastrow)-ROW(PLE.firstrow))),0,IF(OFFSET(PLE!$G$14,$M557,CM$13)="",10^12,OFFSET(PLE!$G$14,$M557,CM$13))))</f>
        <v>1000000000000</v>
      </c>
    </row>
    <row r="558" spans="1:91" ht="13.2" x14ac:dyDescent="0.25">
      <c r="A558" s="9">
        <f t="shared" ca="1" si="17"/>
        <v>0</v>
      </c>
      <c r="B558" s="9" t="str">
        <f ca="1">OFFSET(ORÇAMENTO!C$15,ROW(B558)-ROW(B$15),0)</f>
        <v>S</v>
      </c>
      <c r="C558" s="9" t="str">
        <f ca="1">OFFSET(ORÇAMENTO!L$15,ROW(C558)-ROW(C$15),0)</f>
        <v/>
      </c>
      <c r="D558" s="145" t="str">
        <f ca="1">OFFSET(ORÇAMENTO!N$15,ROW(D558)-ROW(D$15),0)</f>
        <v>Serviço</v>
      </c>
      <c r="E558" s="205" t="str">
        <f ca="1">OFFSET(ORÇAMENTO!O$15,ROW(E558)-ROW(E$15),0)</f>
        <v>-</v>
      </c>
      <c r="F558" s="206" t="str">
        <f ca="1">OFFSET(ORÇAMENTO!R$15,ROW(F558)-ROW(F$15),0)</f>
        <v>(abra o arquivo 'Referência 05-2024.xls)</v>
      </c>
      <c r="G558" s="207" t="str">
        <f ca="1">IF($D558&lt;&gt;"Serviço","",OFFSET(ORÇAMENTO!S$15,ROW(G558)-ROW(G$15),0))</f>
        <v>-</v>
      </c>
      <c r="H558" s="151">
        <f ca="1">IF($D558&lt;&gt;"Serviço",0,IF(ACOMPANHAMENTO="BM",ROUND(OFFSET(ORÇAMENTO!AJ$15,ROW(H558)-ROW(H$15),0),15-13*ORÇAMENTO!$AF$7),SUMPRODUCT(($Q$12:$AI$12&lt;&gt;"")*ROUND($Q558:$AI558,15-13*ORÇAMENTO!$AF$7))))</f>
        <v>3</v>
      </c>
      <c r="I558" s="650"/>
      <c r="K558" s="208"/>
      <c r="L558" s="209" t="s">
        <v>257</v>
      </c>
      <c r="M558" s="210">
        <f ca="1">IF($D558&lt;&gt;"Serviço","",IF(AUTOEVENTO="manual",$A558,IF(ISERROR(MATCH($A558,$A$15:OFFSET($A558,-1,0),0)),MAX($M$15:OFFSET(M558,-1,0))+1,INDEX($M$15:OFFSET(M558,-1,0),MATCH($A558,$A$15:OFFSET($A558,-1,0),0)))))</f>
        <v>0</v>
      </c>
      <c r="N558" s="211" t="str">
        <f ca="1">IF($D558&lt;&gt;"Serviço","",IF(AUTOEVENTO="Manual",IF($A558=0,"&lt;-- defina o número do agrupador",OFFSET(EVENTOS!$D$14,$A558,0)),OFFSET($F$15,$A558,0)))</f>
        <v>&lt;-- defina o número do agrupador</v>
      </c>
      <c r="O558" s="212"/>
      <c r="Q558" s="212"/>
      <c r="R558" s="213"/>
      <c r="S558" s="213"/>
      <c r="T558" s="213"/>
      <c r="U558" s="213"/>
      <c r="V558" s="213"/>
      <c r="W558" s="213"/>
      <c r="X558" s="213"/>
      <c r="Y558" s="213"/>
      <c r="Z558" s="214"/>
      <c r="AA558" s="213"/>
      <c r="AB558" s="213"/>
      <c r="AC558" s="213"/>
      <c r="AD558" s="213"/>
      <c r="AE558" s="213"/>
      <c r="AF558" s="213"/>
      <c r="AG558" s="213"/>
      <c r="AH558" s="214"/>
      <c r="AJ558" s="631">
        <f ca="1">IF(AND($D558="Serviço",AJ$12&lt;&gt;0,$H558&gt;0,OR(AUTOEVENTO&lt;&gt;"manual",$M558&lt;&gt;1)),ROUND(OFFSET($P558,0,AJ$13),15-13*ORÇAMENTO!$AF$7)/$H558*OFFSET(ORÇAMENTO!$X$15,ROW(AJ558)-ROW(AJ$15),0),0)</f>
        <v>0</v>
      </c>
      <c r="AK558" s="632">
        <f ca="1">IF(AND($D558="Serviço",AK$12&lt;&gt;0,$H558&gt;0,OR(AUTOEVENTO&lt;&gt;"manual",$M558&lt;&gt;1)),ROUND(OFFSET($P558,0,AK$13),15-13*ORÇAMENTO!$AF$7)/$H558*OFFSET(ORÇAMENTO!$X$15,ROW(AK558)-ROW(AK$15),0),0)</f>
        <v>0</v>
      </c>
      <c r="AL558" s="632">
        <f ca="1">IF(AND($D558="Serviço",AL$12&lt;&gt;0,$H558&gt;0,OR(AUTOEVENTO&lt;&gt;"manual",$M558&lt;&gt;1)),ROUND(OFFSET($P558,0,AL$13),15-13*ORÇAMENTO!$AF$7)/$H558*OFFSET(ORÇAMENTO!$X$15,ROW(AL558)-ROW(AL$15),0),0)</f>
        <v>0</v>
      </c>
      <c r="AM558" s="632">
        <f ca="1">IF(AND($D558="Serviço",AM$12&lt;&gt;0,$H558&gt;0,OR(AUTOEVENTO&lt;&gt;"manual",$M558&lt;&gt;1)),ROUND(OFFSET($P558,0,AM$13),15-13*ORÇAMENTO!$AF$7)/$H558*OFFSET(ORÇAMENTO!$X$15,ROW(AM558)-ROW(AM$15),0),0)</f>
        <v>0</v>
      </c>
      <c r="AN558" s="632">
        <f ca="1">IF(AND($D558="Serviço",AN$12&lt;&gt;0,$H558&gt;0,OR(AUTOEVENTO&lt;&gt;"manual",$M558&lt;&gt;1)),ROUND(OFFSET($P558,0,AN$13),15-13*ORÇAMENTO!$AF$7)/$H558*OFFSET(ORÇAMENTO!$X$15,ROW(AN558)-ROW(AN$15),0),0)</f>
        <v>0</v>
      </c>
      <c r="AO558" s="632">
        <f ca="1">IF(AND($D558="Serviço",AO$12&lt;&gt;0,$H558&gt;0,OR(AUTOEVENTO&lt;&gt;"manual",$M558&lt;&gt;1)),ROUND(OFFSET($P558,0,AO$13),15-13*ORÇAMENTO!$AF$7)/$H558*OFFSET(ORÇAMENTO!$X$15,ROW(AO558)-ROW(AO$15),0),0)</f>
        <v>0</v>
      </c>
      <c r="AP558" s="632">
        <f ca="1">IF(AND($D558="Serviço",AP$12&lt;&gt;0,$H558&gt;0,OR(AUTOEVENTO&lt;&gt;"manual",$M558&lt;&gt;1)),ROUND(OFFSET($P558,0,AP$13),15-13*ORÇAMENTO!$AF$7)/$H558*OFFSET(ORÇAMENTO!$X$15,ROW(AP558)-ROW(AP$15),0),0)</f>
        <v>0</v>
      </c>
      <c r="AQ558" s="632">
        <f ca="1">IF(AND($D558="Serviço",AQ$12&lt;&gt;0,$H558&gt;0,OR(AUTOEVENTO&lt;&gt;"manual",$M558&lt;&gt;1)),ROUND(OFFSET($P558,0,AQ$13),15-13*ORÇAMENTO!$AF$7)/$H558*OFFSET(ORÇAMENTO!$X$15,ROW(AQ558)-ROW(AQ$15),0),0)</f>
        <v>0</v>
      </c>
      <c r="AR558" s="632">
        <f ca="1">IF(AND($D558="Serviço",AR$12&lt;&gt;0,$H558&gt;0,OR(AUTOEVENTO&lt;&gt;"manual",$M558&lt;&gt;1)),ROUND(OFFSET($P558,0,AR$13),15-13*ORÇAMENTO!$AF$7)/$H558*OFFSET(ORÇAMENTO!$X$15,ROW(AR558)-ROW(AR$15),0),0)</f>
        <v>0</v>
      </c>
      <c r="AS558" s="633">
        <f ca="1">IF(AND($D558="Serviço",AS$12&lt;&gt;0,$H558&gt;0,OR(AUTOEVENTO&lt;&gt;"manual",$M558&lt;&gt;1)),ROUND(OFFSET($P558,0,AS$13),15-13*ORÇAMENTO!$AF$7)/$H558*OFFSET(ORÇAMENTO!$X$15,ROW(AS558)-ROW(AS$15),0),0)</f>
        <v>0</v>
      </c>
      <c r="AT558" s="632">
        <f ca="1">IF(AND($D558="Serviço",AT$12&lt;&gt;0,$H558&gt;0,OR(AUTOEVENTO&lt;&gt;"manual",$M558&lt;&gt;1)),ROUND(OFFSET($P558,0,AT$13),15-13*ORÇAMENTO!$AF$7)/$H558*OFFSET(ORÇAMENTO!$X$15,ROW(AT558)-ROW(AT$15),0),0)</f>
        <v>0</v>
      </c>
      <c r="AU558" s="632">
        <f ca="1">IF(AND($D558="Serviço",AU$12&lt;&gt;0,$H558&gt;0,OR(AUTOEVENTO&lt;&gt;"manual",$M558&lt;&gt;1)),ROUND(OFFSET($P558,0,AU$13),15-13*ORÇAMENTO!$AF$7)/$H558*OFFSET(ORÇAMENTO!$X$15,ROW(AU558)-ROW(AU$15),0),0)</f>
        <v>0</v>
      </c>
      <c r="AV558" s="632">
        <f ca="1">IF(AND($D558="Serviço",AV$12&lt;&gt;0,$H558&gt;0,OR(AUTOEVENTO&lt;&gt;"manual",$M558&lt;&gt;1)),ROUND(OFFSET($P558,0,AV$13),15-13*ORÇAMENTO!$AF$7)/$H558*OFFSET(ORÇAMENTO!$X$15,ROW(AV558)-ROW(AV$15),0),0)</f>
        <v>0</v>
      </c>
      <c r="AW558" s="632">
        <f ca="1">IF(AND($D558="Serviço",AW$12&lt;&gt;0,$H558&gt;0,OR(AUTOEVENTO&lt;&gt;"manual",$M558&lt;&gt;1)),ROUND(OFFSET($P558,0,AW$13),15-13*ORÇAMENTO!$AF$7)/$H558*OFFSET(ORÇAMENTO!$X$15,ROW(AW558)-ROW(AW$15),0),0)</f>
        <v>0</v>
      </c>
      <c r="AX558" s="632">
        <f ca="1">IF(AND($D558="Serviço",AX$12&lt;&gt;0,$H558&gt;0,OR(AUTOEVENTO&lt;&gt;"manual",$M558&lt;&gt;1)),ROUND(OFFSET($P558,0,AX$13),15-13*ORÇAMENTO!$AF$7)/$H558*OFFSET(ORÇAMENTO!$X$15,ROW(AX558)-ROW(AX$15),0),0)</f>
        <v>0</v>
      </c>
      <c r="AY558" s="632">
        <f ca="1">IF(AND($D558="Serviço",AY$12&lt;&gt;0,$H558&gt;0,OR(AUTOEVENTO&lt;&gt;"manual",$M558&lt;&gt;1)),ROUND(OFFSET($P558,0,AY$13),15-13*ORÇAMENTO!$AF$7)/$H558*OFFSET(ORÇAMENTO!$X$15,ROW(AY558)-ROW(AY$15),0),0)</f>
        <v>0</v>
      </c>
      <c r="AZ558" s="632">
        <f ca="1">IF(AND($D558="Serviço",AZ$12&lt;&gt;0,$H558&gt;0,OR(AUTOEVENTO&lt;&gt;"manual",$M558&lt;&gt;1)),ROUND(OFFSET($P558,0,AZ$13),15-13*ORÇAMENTO!$AF$7)/$H558*OFFSET(ORÇAMENTO!$X$15,ROW(AZ558)-ROW(AZ$15),0),0)</f>
        <v>0</v>
      </c>
      <c r="BA558" s="633">
        <f ca="1">IF(AND($D558="Serviço",BA$12&lt;&gt;0,$H558&gt;0,OR(AUTOEVENTO&lt;&gt;"manual",$M558&lt;&gt;1)),ROUND(OFFSET($P558,0,BA$13),15-13*ORÇAMENTO!$AF$7)/$H558*OFFSET(ORÇAMENTO!$X$15,ROW(BA558)-ROW(BA$15),0),0)</f>
        <v>0</v>
      </c>
      <c r="BC558" s="215">
        <f ca="1">IF($D558&lt;&gt;"Serviço",0,IF(AND(AUTOEVENTO="Manual",$M558=1),0,IF(OFFSET(CRONOPLE!$F$14,$M558,BC$13)="",10^12,OFFSET(CRONOPLE!$F$14,$M558,BC$13))))</f>
        <v>1000000000000</v>
      </c>
      <c r="BD558" s="215">
        <f ca="1">IF($D558&lt;&gt;"Serviço",0,IF(AND(AUTOEVENTO="Manual",$M558=1),0,IF(OFFSET(CRONOPLE!$F$14,$M558,BD$13)="",10^12,OFFSET(CRONOPLE!$F$14,$M558,BD$13))))</f>
        <v>1000000000000</v>
      </c>
      <c r="BE558" s="215">
        <f ca="1">IF($D558&lt;&gt;"Serviço",0,IF(AND(AUTOEVENTO="Manual",$M558=1),0,IF(OFFSET(CRONOPLE!$F$14,$M558,BE$13)="",10^12,OFFSET(CRONOPLE!$F$14,$M558,BE$13))))</f>
        <v>1000000000000</v>
      </c>
      <c r="BF558" s="215">
        <f ca="1">IF($D558&lt;&gt;"Serviço",0,IF(AND(AUTOEVENTO="Manual",$M558=1),0,IF(OFFSET(CRONOPLE!$F$14,$M558,BF$13)="",10^12,OFFSET(CRONOPLE!$F$14,$M558,BF$13))))</f>
        <v>1000000000000</v>
      </c>
      <c r="BG558" s="215">
        <f ca="1">IF($D558&lt;&gt;"Serviço",0,IF(AND(AUTOEVENTO="Manual",$M558=1),0,IF(OFFSET(CRONOPLE!$F$14,$M558,BG$13)="",10^12,OFFSET(CRONOPLE!$F$14,$M558,BG$13))))</f>
        <v>1000000000000</v>
      </c>
      <c r="BH558" s="215">
        <f ca="1">IF($D558&lt;&gt;"Serviço",0,IF(AND(AUTOEVENTO="Manual",$M558=1),0,IF(OFFSET(CRONOPLE!$F$14,$M558,BH$13)="",10^12,OFFSET(CRONOPLE!$F$14,$M558,BH$13))))</f>
        <v>1000000000000</v>
      </c>
      <c r="BI558" s="215">
        <f ca="1">IF($D558&lt;&gt;"Serviço",0,IF(AND(AUTOEVENTO="Manual",$M558=1),0,IF(OFFSET(CRONOPLE!$F$14,$M558,BI$13)="",10^12,OFFSET(CRONOPLE!$F$14,$M558,BI$13))))</f>
        <v>1000000000000</v>
      </c>
      <c r="BJ558" s="215">
        <f ca="1">IF($D558&lt;&gt;"Serviço",0,IF(AND(AUTOEVENTO="Manual",$M558=1),0,IF(OFFSET(CRONOPLE!$F$14,$M558,BJ$13)="",10^12,OFFSET(CRONOPLE!$F$14,$M558,BJ$13))))</f>
        <v>1000000000000</v>
      </c>
      <c r="BK558" s="215">
        <f ca="1">IF($D558&lt;&gt;"Serviço",0,IF(AND(AUTOEVENTO="Manual",$M558=1),0,IF(OFFSET(CRONOPLE!$F$14,$M558,BK$13)="",10^12,OFFSET(CRONOPLE!$F$14,$M558,BK$13))))</f>
        <v>1000000000000</v>
      </c>
      <c r="BL558" s="215">
        <f ca="1">IF($D558&lt;&gt;"Serviço",0,IF(AND(AUTOEVENTO="Manual",$M558=1),0,IF(OFFSET(CRONOPLE!$F$14,$M558,BL$13)="",10^12,OFFSET(CRONOPLE!$F$14,$M558,BL$13))))</f>
        <v>1000000000000</v>
      </c>
      <c r="BM558" s="215">
        <f ca="1">IF($D558&lt;&gt;"Serviço",0,IF(AND(AUTOEVENTO="Manual",$M558=1),0,IF(OFFSET(CRONOPLE!$F$14,$M558,BM$13)="",10^12,OFFSET(CRONOPLE!$F$14,$M558,BM$13))))</f>
        <v>1000000000000</v>
      </c>
      <c r="BN558" s="215">
        <f ca="1">IF($D558&lt;&gt;"Serviço",0,IF(AND(AUTOEVENTO="Manual",$M558=1),0,IF(OFFSET(CRONOPLE!$F$14,$M558,BN$13)="",10^12,OFFSET(CRONOPLE!$F$14,$M558,BN$13))))</f>
        <v>1000000000000</v>
      </c>
      <c r="BO558" s="215">
        <f ca="1">IF($D558&lt;&gt;"Serviço",0,IF(AND(AUTOEVENTO="Manual",$M558=1),0,IF(OFFSET(CRONOPLE!$F$14,$M558,BO$13)="",10^12,OFFSET(CRONOPLE!$F$14,$M558,BO$13))))</f>
        <v>1000000000000</v>
      </c>
      <c r="BP558" s="215">
        <f ca="1">IF($D558&lt;&gt;"Serviço",0,IF(AND(AUTOEVENTO="Manual",$M558=1),0,IF(OFFSET(CRONOPLE!$F$14,$M558,BP$13)="",10^12,OFFSET(CRONOPLE!$F$14,$M558,BP$13))))</f>
        <v>1000000000000</v>
      </c>
      <c r="BQ558" s="215">
        <f ca="1">IF($D558&lt;&gt;"Serviço",0,IF(AND(AUTOEVENTO="Manual",$M558=1),0,IF(OFFSET(CRONOPLE!$F$14,$M558,BQ$13)="",10^12,OFFSET(CRONOPLE!$F$14,$M558,BQ$13))))</f>
        <v>1000000000000</v>
      </c>
      <c r="BR558" s="215">
        <f ca="1">IF($D558&lt;&gt;"Serviço",0,IF(AND(AUTOEVENTO="Manual",$M558=1),0,IF(OFFSET(CRONOPLE!$F$14,$M558,BR$13)="",10^12,OFFSET(CRONOPLE!$F$14,$M558,BR$13))))</f>
        <v>1000000000000</v>
      </c>
      <c r="BS558" s="215">
        <f ca="1">IF($D558&lt;&gt;"Serviço",0,IF(AND(AUTOEVENTO="Manual",$M558=1),0,IF(OFFSET(CRONOPLE!$F$14,$M558,BS$13)="",10^12,OFFSET(CRONOPLE!$F$14,$M558,BS$13))))</f>
        <v>1000000000000</v>
      </c>
      <c r="BT558" s="215">
        <f ca="1">IF($D558&lt;&gt;"Serviço",0,IF(AND(AUTOEVENTO="Manual",$M558=1),0,IF(OFFSET(CRONOPLE!$F$14,$M558,BT$13)="",10^12,OFFSET(CRONOPLE!$F$14,$M558,BT$13))))</f>
        <v>1000000000000</v>
      </c>
      <c r="BV558" s="216">
        <f ca="1">IF($D558&lt;&gt;"Serviço",0,IF(OR(AND(AUTOEVENTO="Manual",$M558=1),$M558&gt;(ROW(PLE.lastrow)-ROW(PLE.firstrow))),0,IF(OFFSET(PLE!$G$14,$M558,BV$13)="",10^12,OFFSET(PLE!$G$14,$M558,BV$13))))</f>
        <v>1000000000000</v>
      </c>
      <c r="BW558" s="216">
        <f ca="1">IF($D558&lt;&gt;"Serviço",0,IF(OR(AND(AUTOEVENTO="Manual",$M558=1),$M558&gt;(ROW(PLE.lastrow)-ROW(PLE.firstrow))),0,IF(OFFSET(PLE!$G$14,$M558,BW$13)="",10^12,OFFSET(PLE!$G$14,$M558,BW$13))))</f>
        <v>1000000000000</v>
      </c>
      <c r="BX558" s="216">
        <f ca="1">IF($D558&lt;&gt;"Serviço",0,IF(OR(AND(AUTOEVENTO="Manual",$M558=1),$M558&gt;(ROW(PLE.lastrow)-ROW(PLE.firstrow))),0,IF(OFFSET(PLE!$G$14,$M558,BX$13)="",10^12,OFFSET(PLE!$G$14,$M558,BX$13))))</f>
        <v>1000000000000</v>
      </c>
      <c r="BY558" s="216">
        <f ca="1">IF($D558&lt;&gt;"Serviço",0,IF(OR(AND(AUTOEVENTO="Manual",$M558=1),$M558&gt;(ROW(PLE.lastrow)-ROW(PLE.firstrow))),0,IF(OFFSET(PLE!$G$14,$M558,BY$13)="",10^12,OFFSET(PLE!$G$14,$M558,BY$13))))</f>
        <v>1000000000000</v>
      </c>
      <c r="BZ558" s="216">
        <f ca="1">IF($D558&lt;&gt;"Serviço",0,IF(OR(AND(AUTOEVENTO="Manual",$M558=1),$M558&gt;(ROW(PLE.lastrow)-ROW(PLE.firstrow))),0,IF(OFFSET(PLE!$G$14,$M558,BZ$13)="",10^12,OFFSET(PLE!$G$14,$M558,BZ$13))))</f>
        <v>1000000000000</v>
      </c>
      <c r="CA558" s="216">
        <f ca="1">IF($D558&lt;&gt;"Serviço",0,IF(OR(AND(AUTOEVENTO="Manual",$M558=1),$M558&gt;(ROW(PLE.lastrow)-ROW(PLE.firstrow))),0,IF(OFFSET(PLE!$G$14,$M558,CA$13)="",10^12,OFFSET(PLE!$G$14,$M558,CA$13))))</f>
        <v>1000000000000</v>
      </c>
      <c r="CB558" s="216">
        <f ca="1">IF($D558&lt;&gt;"Serviço",0,IF(OR(AND(AUTOEVENTO="Manual",$M558=1),$M558&gt;(ROW(PLE.lastrow)-ROW(PLE.firstrow))),0,IF(OFFSET(PLE!$G$14,$M558,CB$13)="",10^12,OFFSET(PLE!$G$14,$M558,CB$13))))</f>
        <v>1000000000000</v>
      </c>
      <c r="CC558" s="216">
        <f ca="1">IF($D558&lt;&gt;"Serviço",0,IF(OR(AND(AUTOEVENTO="Manual",$M558=1),$M558&gt;(ROW(PLE.lastrow)-ROW(PLE.firstrow))),0,IF(OFFSET(PLE!$G$14,$M558,CC$13)="",10^12,OFFSET(PLE!$G$14,$M558,CC$13))))</f>
        <v>1000000000000</v>
      </c>
      <c r="CD558" s="216">
        <f ca="1">IF($D558&lt;&gt;"Serviço",0,IF(OR(AND(AUTOEVENTO="Manual",$M558=1),$M558&gt;(ROW(PLE.lastrow)-ROW(PLE.firstrow))),0,IF(OFFSET(PLE!$G$14,$M558,CD$13)="",10^12,OFFSET(PLE!$G$14,$M558,CD$13))))</f>
        <v>1000000000000</v>
      </c>
      <c r="CE558" s="216">
        <f ca="1">IF($D558&lt;&gt;"Serviço",0,IF(OR(AND(AUTOEVENTO="Manual",$M558=1),$M558&gt;(ROW(PLE.lastrow)-ROW(PLE.firstrow))),0,IF(OFFSET(PLE!$G$14,$M558,CE$13)="",10^12,OFFSET(PLE!$G$14,$M558,CE$13))))</f>
        <v>1000000000000</v>
      </c>
      <c r="CF558" s="216">
        <f ca="1">IF($D558&lt;&gt;"Serviço",0,IF(OR(AND(AUTOEVENTO="Manual",$M558=1),$M558&gt;(ROW(PLE.lastrow)-ROW(PLE.firstrow))),0,IF(OFFSET(PLE!$G$14,$M558,CF$13)="",10^12,OFFSET(PLE!$G$14,$M558,CF$13))))</f>
        <v>1000000000000</v>
      </c>
      <c r="CG558" s="216">
        <f ca="1">IF($D558&lt;&gt;"Serviço",0,IF(OR(AND(AUTOEVENTO="Manual",$M558=1),$M558&gt;(ROW(PLE.lastrow)-ROW(PLE.firstrow))),0,IF(OFFSET(PLE!$G$14,$M558,CG$13)="",10^12,OFFSET(PLE!$G$14,$M558,CG$13))))</f>
        <v>1000000000000</v>
      </c>
      <c r="CH558" s="216">
        <f ca="1">IF($D558&lt;&gt;"Serviço",0,IF(OR(AND(AUTOEVENTO="Manual",$M558=1),$M558&gt;(ROW(PLE.lastrow)-ROW(PLE.firstrow))),0,IF(OFFSET(PLE!$G$14,$M558,CH$13)="",10^12,OFFSET(PLE!$G$14,$M558,CH$13))))</f>
        <v>1000000000000</v>
      </c>
      <c r="CI558" s="216">
        <f ca="1">IF($D558&lt;&gt;"Serviço",0,IF(OR(AND(AUTOEVENTO="Manual",$M558=1),$M558&gt;(ROW(PLE.lastrow)-ROW(PLE.firstrow))),0,IF(OFFSET(PLE!$G$14,$M558,CI$13)="",10^12,OFFSET(PLE!$G$14,$M558,CI$13))))</f>
        <v>1000000000000</v>
      </c>
      <c r="CJ558" s="216">
        <f ca="1">IF($D558&lt;&gt;"Serviço",0,IF(OR(AND(AUTOEVENTO="Manual",$M558=1),$M558&gt;(ROW(PLE.lastrow)-ROW(PLE.firstrow))),0,IF(OFFSET(PLE!$G$14,$M558,CJ$13)="",10^12,OFFSET(PLE!$G$14,$M558,CJ$13))))</f>
        <v>1000000000000</v>
      </c>
      <c r="CK558" s="216">
        <f ca="1">IF($D558&lt;&gt;"Serviço",0,IF(OR(AND(AUTOEVENTO="Manual",$M558=1),$M558&gt;(ROW(PLE.lastrow)-ROW(PLE.firstrow))),0,IF(OFFSET(PLE!$G$14,$M558,CK$13)="",10^12,OFFSET(PLE!$G$14,$M558,CK$13))))</f>
        <v>1000000000000</v>
      </c>
      <c r="CL558" s="216">
        <f ca="1">IF($D558&lt;&gt;"Serviço",0,IF(OR(AND(AUTOEVENTO="Manual",$M558=1),$M558&gt;(ROW(PLE.lastrow)-ROW(PLE.firstrow))),0,IF(OFFSET(PLE!$G$14,$M558,CL$13)="",10^12,OFFSET(PLE!$G$14,$M558,CL$13))))</f>
        <v>1000000000000</v>
      </c>
      <c r="CM558" s="216">
        <f ca="1">IF($D558&lt;&gt;"Serviço",0,IF(OR(AND(AUTOEVENTO="Manual",$M558=1),$M558&gt;(ROW(PLE.lastrow)-ROW(PLE.firstrow))),0,IF(OFFSET(PLE!$G$14,$M558,CM$13)="",10^12,OFFSET(PLE!$G$14,$M558,CM$13))))</f>
        <v>1000000000000</v>
      </c>
    </row>
    <row r="559" spans="1:91" ht="13.2" x14ac:dyDescent="0.25">
      <c r="A559" s="9">
        <f t="shared" ca="1" si="17"/>
        <v>0</v>
      </c>
      <c r="B559" s="9" t="str">
        <f ca="1">OFFSET(ORÇAMENTO!C$15,ROW(B559)-ROW(B$15),0)</f>
        <v>S</v>
      </c>
      <c r="C559" s="9" t="str">
        <f ca="1">OFFSET(ORÇAMENTO!L$15,ROW(C559)-ROW(C$15),0)</f>
        <v/>
      </c>
      <c r="D559" s="145" t="str">
        <f ca="1">OFFSET(ORÇAMENTO!N$15,ROW(D559)-ROW(D$15),0)</f>
        <v>Serviço</v>
      </c>
      <c r="E559" s="205" t="str">
        <f ca="1">OFFSET(ORÇAMENTO!O$15,ROW(E559)-ROW(E$15),0)</f>
        <v>-</v>
      </c>
      <c r="F559" s="206" t="str">
        <f ca="1">OFFSET(ORÇAMENTO!R$15,ROW(F559)-ROW(F$15),0)</f>
        <v>(abra o arquivo 'Referência 05-2024.xls)</v>
      </c>
      <c r="G559" s="207" t="str">
        <f ca="1">IF($D559&lt;&gt;"Serviço","",OFFSET(ORÇAMENTO!S$15,ROW(G559)-ROW(G$15),0))</f>
        <v>-</v>
      </c>
      <c r="H559" s="151">
        <f ca="1">IF($D559&lt;&gt;"Serviço",0,IF(ACOMPANHAMENTO="BM",ROUND(OFFSET(ORÇAMENTO!AJ$15,ROW(H559)-ROW(H$15),0),15-13*ORÇAMENTO!$AF$7),SUMPRODUCT(($Q$12:$AI$12&lt;&gt;"")*ROUND($Q559:$AI559,15-13*ORÇAMENTO!$AF$7))))</f>
        <v>59.78</v>
      </c>
      <c r="I559" s="650"/>
      <c r="K559" s="208"/>
      <c r="L559" s="209" t="s">
        <v>257</v>
      </c>
      <c r="M559" s="210">
        <f ca="1">IF($D559&lt;&gt;"Serviço","",IF(AUTOEVENTO="manual",$A559,IF(ISERROR(MATCH($A559,$A$15:OFFSET($A559,-1,0),0)),MAX($M$15:OFFSET(M559,-1,0))+1,INDEX($M$15:OFFSET(M559,-1,0),MATCH($A559,$A$15:OFFSET($A559,-1,0),0)))))</f>
        <v>0</v>
      </c>
      <c r="N559" s="211" t="str">
        <f ca="1">IF($D559&lt;&gt;"Serviço","",IF(AUTOEVENTO="Manual",IF($A559=0,"&lt;-- defina o número do agrupador",OFFSET(EVENTOS!$D$14,$A559,0)),OFFSET($F$15,$A559,0)))</f>
        <v>&lt;-- defina o número do agrupador</v>
      </c>
      <c r="O559" s="212"/>
      <c r="Q559" s="212"/>
      <c r="R559" s="213"/>
      <c r="S559" s="213"/>
      <c r="T559" s="213"/>
      <c r="U559" s="213"/>
      <c r="V559" s="213"/>
      <c r="W559" s="213"/>
      <c r="X559" s="213"/>
      <c r="Y559" s="213"/>
      <c r="Z559" s="214"/>
      <c r="AA559" s="213"/>
      <c r="AB559" s="213"/>
      <c r="AC559" s="213"/>
      <c r="AD559" s="213"/>
      <c r="AE559" s="213"/>
      <c r="AF559" s="213"/>
      <c r="AG559" s="213"/>
      <c r="AH559" s="214"/>
      <c r="AJ559" s="631">
        <f ca="1">IF(AND($D559="Serviço",AJ$12&lt;&gt;0,$H559&gt;0,OR(AUTOEVENTO&lt;&gt;"manual",$M559&lt;&gt;1)),ROUND(OFFSET($P559,0,AJ$13),15-13*ORÇAMENTO!$AF$7)/$H559*OFFSET(ORÇAMENTO!$X$15,ROW(AJ559)-ROW(AJ$15),0),0)</f>
        <v>0</v>
      </c>
      <c r="AK559" s="632">
        <f ca="1">IF(AND($D559="Serviço",AK$12&lt;&gt;0,$H559&gt;0,OR(AUTOEVENTO&lt;&gt;"manual",$M559&lt;&gt;1)),ROUND(OFFSET($P559,0,AK$13),15-13*ORÇAMENTO!$AF$7)/$H559*OFFSET(ORÇAMENTO!$X$15,ROW(AK559)-ROW(AK$15),0),0)</f>
        <v>0</v>
      </c>
      <c r="AL559" s="632">
        <f ca="1">IF(AND($D559="Serviço",AL$12&lt;&gt;0,$H559&gt;0,OR(AUTOEVENTO&lt;&gt;"manual",$M559&lt;&gt;1)),ROUND(OFFSET($P559,0,AL$13),15-13*ORÇAMENTO!$AF$7)/$H559*OFFSET(ORÇAMENTO!$X$15,ROW(AL559)-ROW(AL$15),0),0)</f>
        <v>0</v>
      </c>
      <c r="AM559" s="632">
        <f ca="1">IF(AND($D559="Serviço",AM$12&lt;&gt;0,$H559&gt;0,OR(AUTOEVENTO&lt;&gt;"manual",$M559&lt;&gt;1)),ROUND(OFFSET($P559,0,AM$13),15-13*ORÇAMENTO!$AF$7)/$H559*OFFSET(ORÇAMENTO!$X$15,ROW(AM559)-ROW(AM$15),0),0)</f>
        <v>0</v>
      </c>
      <c r="AN559" s="632">
        <f ca="1">IF(AND($D559="Serviço",AN$12&lt;&gt;0,$H559&gt;0,OR(AUTOEVENTO&lt;&gt;"manual",$M559&lt;&gt;1)),ROUND(OFFSET($P559,0,AN$13),15-13*ORÇAMENTO!$AF$7)/$H559*OFFSET(ORÇAMENTO!$X$15,ROW(AN559)-ROW(AN$15),0),0)</f>
        <v>0</v>
      </c>
      <c r="AO559" s="632">
        <f ca="1">IF(AND($D559="Serviço",AO$12&lt;&gt;0,$H559&gt;0,OR(AUTOEVENTO&lt;&gt;"manual",$M559&lt;&gt;1)),ROUND(OFFSET($P559,0,AO$13),15-13*ORÇAMENTO!$AF$7)/$H559*OFFSET(ORÇAMENTO!$X$15,ROW(AO559)-ROW(AO$15),0),0)</f>
        <v>0</v>
      </c>
      <c r="AP559" s="632">
        <f ca="1">IF(AND($D559="Serviço",AP$12&lt;&gt;0,$H559&gt;0,OR(AUTOEVENTO&lt;&gt;"manual",$M559&lt;&gt;1)),ROUND(OFFSET($P559,0,AP$13),15-13*ORÇAMENTO!$AF$7)/$H559*OFFSET(ORÇAMENTO!$X$15,ROW(AP559)-ROW(AP$15),0),0)</f>
        <v>0</v>
      </c>
      <c r="AQ559" s="632">
        <f ca="1">IF(AND($D559="Serviço",AQ$12&lt;&gt;0,$H559&gt;0,OR(AUTOEVENTO&lt;&gt;"manual",$M559&lt;&gt;1)),ROUND(OFFSET($P559,0,AQ$13),15-13*ORÇAMENTO!$AF$7)/$H559*OFFSET(ORÇAMENTO!$X$15,ROW(AQ559)-ROW(AQ$15),0),0)</f>
        <v>0</v>
      </c>
      <c r="AR559" s="632">
        <f ca="1">IF(AND($D559="Serviço",AR$12&lt;&gt;0,$H559&gt;0,OR(AUTOEVENTO&lt;&gt;"manual",$M559&lt;&gt;1)),ROUND(OFFSET($P559,0,AR$13),15-13*ORÇAMENTO!$AF$7)/$H559*OFFSET(ORÇAMENTO!$X$15,ROW(AR559)-ROW(AR$15),0),0)</f>
        <v>0</v>
      </c>
      <c r="AS559" s="633">
        <f ca="1">IF(AND($D559="Serviço",AS$12&lt;&gt;0,$H559&gt;0,OR(AUTOEVENTO&lt;&gt;"manual",$M559&lt;&gt;1)),ROUND(OFFSET($P559,0,AS$13),15-13*ORÇAMENTO!$AF$7)/$H559*OFFSET(ORÇAMENTO!$X$15,ROW(AS559)-ROW(AS$15),0),0)</f>
        <v>0</v>
      </c>
      <c r="AT559" s="632">
        <f ca="1">IF(AND($D559="Serviço",AT$12&lt;&gt;0,$H559&gt;0,OR(AUTOEVENTO&lt;&gt;"manual",$M559&lt;&gt;1)),ROUND(OFFSET($P559,0,AT$13),15-13*ORÇAMENTO!$AF$7)/$H559*OFFSET(ORÇAMENTO!$X$15,ROW(AT559)-ROW(AT$15),0),0)</f>
        <v>0</v>
      </c>
      <c r="AU559" s="632">
        <f ca="1">IF(AND($D559="Serviço",AU$12&lt;&gt;0,$H559&gt;0,OR(AUTOEVENTO&lt;&gt;"manual",$M559&lt;&gt;1)),ROUND(OFFSET($P559,0,AU$13),15-13*ORÇAMENTO!$AF$7)/$H559*OFFSET(ORÇAMENTO!$X$15,ROW(AU559)-ROW(AU$15),0),0)</f>
        <v>0</v>
      </c>
      <c r="AV559" s="632">
        <f ca="1">IF(AND($D559="Serviço",AV$12&lt;&gt;0,$H559&gt;0,OR(AUTOEVENTO&lt;&gt;"manual",$M559&lt;&gt;1)),ROUND(OFFSET($P559,0,AV$13),15-13*ORÇAMENTO!$AF$7)/$H559*OFFSET(ORÇAMENTO!$X$15,ROW(AV559)-ROW(AV$15),0),0)</f>
        <v>0</v>
      </c>
      <c r="AW559" s="632">
        <f ca="1">IF(AND($D559="Serviço",AW$12&lt;&gt;0,$H559&gt;0,OR(AUTOEVENTO&lt;&gt;"manual",$M559&lt;&gt;1)),ROUND(OFFSET($P559,0,AW$13),15-13*ORÇAMENTO!$AF$7)/$H559*OFFSET(ORÇAMENTO!$X$15,ROW(AW559)-ROW(AW$15),0),0)</f>
        <v>0</v>
      </c>
      <c r="AX559" s="632">
        <f ca="1">IF(AND($D559="Serviço",AX$12&lt;&gt;0,$H559&gt;0,OR(AUTOEVENTO&lt;&gt;"manual",$M559&lt;&gt;1)),ROUND(OFFSET($P559,0,AX$13),15-13*ORÇAMENTO!$AF$7)/$H559*OFFSET(ORÇAMENTO!$X$15,ROW(AX559)-ROW(AX$15),0),0)</f>
        <v>0</v>
      </c>
      <c r="AY559" s="632">
        <f ca="1">IF(AND($D559="Serviço",AY$12&lt;&gt;0,$H559&gt;0,OR(AUTOEVENTO&lt;&gt;"manual",$M559&lt;&gt;1)),ROUND(OFFSET($P559,0,AY$13),15-13*ORÇAMENTO!$AF$7)/$H559*OFFSET(ORÇAMENTO!$X$15,ROW(AY559)-ROW(AY$15),0),0)</f>
        <v>0</v>
      </c>
      <c r="AZ559" s="632">
        <f ca="1">IF(AND($D559="Serviço",AZ$12&lt;&gt;0,$H559&gt;0,OR(AUTOEVENTO&lt;&gt;"manual",$M559&lt;&gt;1)),ROUND(OFFSET($P559,0,AZ$13),15-13*ORÇAMENTO!$AF$7)/$H559*OFFSET(ORÇAMENTO!$X$15,ROW(AZ559)-ROW(AZ$15),0),0)</f>
        <v>0</v>
      </c>
      <c r="BA559" s="633">
        <f ca="1">IF(AND($D559="Serviço",BA$12&lt;&gt;0,$H559&gt;0,OR(AUTOEVENTO&lt;&gt;"manual",$M559&lt;&gt;1)),ROUND(OFFSET($P559,0,BA$13),15-13*ORÇAMENTO!$AF$7)/$H559*OFFSET(ORÇAMENTO!$X$15,ROW(BA559)-ROW(BA$15),0),0)</f>
        <v>0</v>
      </c>
      <c r="BC559" s="215">
        <f ca="1">IF($D559&lt;&gt;"Serviço",0,IF(AND(AUTOEVENTO="Manual",$M559=1),0,IF(OFFSET(CRONOPLE!$F$14,$M559,BC$13)="",10^12,OFFSET(CRONOPLE!$F$14,$M559,BC$13))))</f>
        <v>1000000000000</v>
      </c>
      <c r="BD559" s="215">
        <f ca="1">IF($D559&lt;&gt;"Serviço",0,IF(AND(AUTOEVENTO="Manual",$M559=1),0,IF(OFFSET(CRONOPLE!$F$14,$M559,BD$13)="",10^12,OFFSET(CRONOPLE!$F$14,$M559,BD$13))))</f>
        <v>1000000000000</v>
      </c>
      <c r="BE559" s="215">
        <f ca="1">IF($D559&lt;&gt;"Serviço",0,IF(AND(AUTOEVENTO="Manual",$M559=1),0,IF(OFFSET(CRONOPLE!$F$14,$M559,BE$13)="",10^12,OFFSET(CRONOPLE!$F$14,$M559,BE$13))))</f>
        <v>1000000000000</v>
      </c>
      <c r="BF559" s="215">
        <f ca="1">IF($D559&lt;&gt;"Serviço",0,IF(AND(AUTOEVENTO="Manual",$M559=1),0,IF(OFFSET(CRONOPLE!$F$14,$M559,BF$13)="",10^12,OFFSET(CRONOPLE!$F$14,$M559,BF$13))))</f>
        <v>1000000000000</v>
      </c>
      <c r="BG559" s="215">
        <f ca="1">IF($D559&lt;&gt;"Serviço",0,IF(AND(AUTOEVENTO="Manual",$M559=1),0,IF(OFFSET(CRONOPLE!$F$14,$M559,BG$13)="",10^12,OFFSET(CRONOPLE!$F$14,$M559,BG$13))))</f>
        <v>1000000000000</v>
      </c>
      <c r="BH559" s="215">
        <f ca="1">IF($D559&lt;&gt;"Serviço",0,IF(AND(AUTOEVENTO="Manual",$M559=1),0,IF(OFFSET(CRONOPLE!$F$14,$M559,BH$13)="",10^12,OFFSET(CRONOPLE!$F$14,$M559,BH$13))))</f>
        <v>1000000000000</v>
      </c>
      <c r="BI559" s="215">
        <f ca="1">IF($D559&lt;&gt;"Serviço",0,IF(AND(AUTOEVENTO="Manual",$M559=1),0,IF(OFFSET(CRONOPLE!$F$14,$M559,BI$13)="",10^12,OFFSET(CRONOPLE!$F$14,$M559,BI$13))))</f>
        <v>1000000000000</v>
      </c>
      <c r="BJ559" s="215">
        <f ca="1">IF($D559&lt;&gt;"Serviço",0,IF(AND(AUTOEVENTO="Manual",$M559=1),0,IF(OFFSET(CRONOPLE!$F$14,$M559,BJ$13)="",10^12,OFFSET(CRONOPLE!$F$14,$M559,BJ$13))))</f>
        <v>1000000000000</v>
      </c>
      <c r="BK559" s="215">
        <f ca="1">IF($D559&lt;&gt;"Serviço",0,IF(AND(AUTOEVENTO="Manual",$M559=1),0,IF(OFFSET(CRONOPLE!$F$14,$M559,BK$13)="",10^12,OFFSET(CRONOPLE!$F$14,$M559,BK$13))))</f>
        <v>1000000000000</v>
      </c>
      <c r="BL559" s="215">
        <f ca="1">IF($D559&lt;&gt;"Serviço",0,IF(AND(AUTOEVENTO="Manual",$M559=1),0,IF(OFFSET(CRONOPLE!$F$14,$M559,BL$13)="",10^12,OFFSET(CRONOPLE!$F$14,$M559,BL$13))))</f>
        <v>1000000000000</v>
      </c>
      <c r="BM559" s="215">
        <f ca="1">IF($D559&lt;&gt;"Serviço",0,IF(AND(AUTOEVENTO="Manual",$M559=1),0,IF(OFFSET(CRONOPLE!$F$14,$M559,BM$13)="",10^12,OFFSET(CRONOPLE!$F$14,$M559,BM$13))))</f>
        <v>1000000000000</v>
      </c>
      <c r="BN559" s="215">
        <f ca="1">IF($D559&lt;&gt;"Serviço",0,IF(AND(AUTOEVENTO="Manual",$M559=1),0,IF(OFFSET(CRONOPLE!$F$14,$M559,BN$13)="",10^12,OFFSET(CRONOPLE!$F$14,$M559,BN$13))))</f>
        <v>1000000000000</v>
      </c>
      <c r="BO559" s="215">
        <f ca="1">IF($D559&lt;&gt;"Serviço",0,IF(AND(AUTOEVENTO="Manual",$M559=1),0,IF(OFFSET(CRONOPLE!$F$14,$M559,BO$13)="",10^12,OFFSET(CRONOPLE!$F$14,$M559,BO$13))))</f>
        <v>1000000000000</v>
      </c>
      <c r="BP559" s="215">
        <f ca="1">IF($D559&lt;&gt;"Serviço",0,IF(AND(AUTOEVENTO="Manual",$M559=1),0,IF(OFFSET(CRONOPLE!$F$14,$M559,BP$13)="",10^12,OFFSET(CRONOPLE!$F$14,$M559,BP$13))))</f>
        <v>1000000000000</v>
      </c>
      <c r="BQ559" s="215">
        <f ca="1">IF($D559&lt;&gt;"Serviço",0,IF(AND(AUTOEVENTO="Manual",$M559=1),0,IF(OFFSET(CRONOPLE!$F$14,$M559,BQ$13)="",10^12,OFFSET(CRONOPLE!$F$14,$M559,BQ$13))))</f>
        <v>1000000000000</v>
      </c>
      <c r="BR559" s="215">
        <f ca="1">IF($D559&lt;&gt;"Serviço",0,IF(AND(AUTOEVENTO="Manual",$M559=1),0,IF(OFFSET(CRONOPLE!$F$14,$M559,BR$13)="",10^12,OFFSET(CRONOPLE!$F$14,$M559,BR$13))))</f>
        <v>1000000000000</v>
      </c>
      <c r="BS559" s="215">
        <f ca="1">IF($D559&lt;&gt;"Serviço",0,IF(AND(AUTOEVENTO="Manual",$M559=1),0,IF(OFFSET(CRONOPLE!$F$14,$M559,BS$13)="",10^12,OFFSET(CRONOPLE!$F$14,$M559,BS$13))))</f>
        <v>1000000000000</v>
      </c>
      <c r="BT559" s="215">
        <f ca="1">IF($D559&lt;&gt;"Serviço",0,IF(AND(AUTOEVENTO="Manual",$M559=1),0,IF(OFFSET(CRONOPLE!$F$14,$M559,BT$13)="",10^12,OFFSET(CRONOPLE!$F$14,$M559,BT$13))))</f>
        <v>1000000000000</v>
      </c>
      <c r="BV559" s="216">
        <f ca="1">IF($D559&lt;&gt;"Serviço",0,IF(OR(AND(AUTOEVENTO="Manual",$M559=1),$M559&gt;(ROW(PLE.lastrow)-ROW(PLE.firstrow))),0,IF(OFFSET(PLE!$G$14,$M559,BV$13)="",10^12,OFFSET(PLE!$G$14,$M559,BV$13))))</f>
        <v>1000000000000</v>
      </c>
      <c r="BW559" s="216">
        <f ca="1">IF($D559&lt;&gt;"Serviço",0,IF(OR(AND(AUTOEVENTO="Manual",$M559=1),$M559&gt;(ROW(PLE.lastrow)-ROW(PLE.firstrow))),0,IF(OFFSET(PLE!$G$14,$M559,BW$13)="",10^12,OFFSET(PLE!$G$14,$M559,BW$13))))</f>
        <v>1000000000000</v>
      </c>
      <c r="BX559" s="216">
        <f ca="1">IF($D559&lt;&gt;"Serviço",0,IF(OR(AND(AUTOEVENTO="Manual",$M559=1),$M559&gt;(ROW(PLE.lastrow)-ROW(PLE.firstrow))),0,IF(OFFSET(PLE!$G$14,$M559,BX$13)="",10^12,OFFSET(PLE!$G$14,$M559,BX$13))))</f>
        <v>1000000000000</v>
      </c>
      <c r="BY559" s="216">
        <f ca="1">IF($D559&lt;&gt;"Serviço",0,IF(OR(AND(AUTOEVENTO="Manual",$M559=1),$M559&gt;(ROW(PLE.lastrow)-ROW(PLE.firstrow))),0,IF(OFFSET(PLE!$G$14,$M559,BY$13)="",10^12,OFFSET(PLE!$G$14,$M559,BY$13))))</f>
        <v>1000000000000</v>
      </c>
      <c r="BZ559" s="216">
        <f ca="1">IF($D559&lt;&gt;"Serviço",0,IF(OR(AND(AUTOEVENTO="Manual",$M559=1),$M559&gt;(ROW(PLE.lastrow)-ROW(PLE.firstrow))),0,IF(OFFSET(PLE!$G$14,$M559,BZ$13)="",10^12,OFFSET(PLE!$G$14,$M559,BZ$13))))</f>
        <v>1000000000000</v>
      </c>
      <c r="CA559" s="216">
        <f ca="1">IF($D559&lt;&gt;"Serviço",0,IF(OR(AND(AUTOEVENTO="Manual",$M559=1),$M559&gt;(ROW(PLE.lastrow)-ROW(PLE.firstrow))),0,IF(OFFSET(PLE!$G$14,$M559,CA$13)="",10^12,OFFSET(PLE!$G$14,$M559,CA$13))))</f>
        <v>1000000000000</v>
      </c>
      <c r="CB559" s="216">
        <f ca="1">IF($D559&lt;&gt;"Serviço",0,IF(OR(AND(AUTOEVENTO="Manual",$M559=1),$M559&gt;(ROW(PLE.lastrow)-ROW(PLE.firstrow))),0,IF(OFFSET(PLE!$G$14,$M559,CB$13)="",10^12,OFFSET(PLE!$G$14,$M559,CB$13))))</f>
        <v>1000000000000</v>
      </c>
      <c r="CC559" s="216">
        <f ca="1">IF($D559&lt;&gt;"Serviço",0,IF(OR(AND(AUTOEVENTO="Manual",$M559=1),$M559&gt;(ROW(PLE.lastrow)-ROW(PLE.firstrow))),0,IF(OFFSET(PLE!$G$14,$M559,CC$13)="",10^12,OFFSET(PLE!$G$14,$M559,CC$13))))</f>
        <v>1000000000000</v>
      </c>
      <c r="CD559" s="216">
        <f ca="1">IF($D559&lt;&gt;"Serviço",0,IF(OR(AND(AUTOEVENTO="Manual",$M559=1),$M559&gt;(ROW(PLE.lastrow)-ROW(PLE.firstrow))),0,IF(OFFSET(PLE!$G$14,$M559,CD$13)="",10^12,OFFSET(PLE!$G$14,$M559,CD$13))))</f>
        <v>1000000000000</v>
      </c>
      <c r="CE559" s="216">
        <f ca="1">IF($D559&lt;&gt;"Serviço",0,IF(OR(AND(AUTOEVENTO="Manual",$M559=1),$M559&gt;(ROW(PLE.lastrow)-ROW(PLE.firstrow))),0,IF(OFFSET(PLE!$G$14,$M559,CE$13)="",10^12,OFFSET(PLE!$G$14,$M559,CE$13))))</f>
        <v>1000000000000</v>
      </c>
      <c r="CF559" s="216">
        <f ca="1">IF($D559&lt;&gt;"Serviço",0,IF(OR(AND(AUTOEVENTO="Manual",$M559=1),$M559&gt;(ROW(PLE.lastrow)-ROW(PLE.firstrow))),0,IF(OFFSET(PLE!$G$14,$M559,CF$13)="",10^12,OFFSET(PLE!$G$14,$M559,CF$13))))</f>
        <v>1000000000000</v>
      </c>
      <c r="CG559" s="216">
        <f ca="1">IF($D559&lt;&gt;"Serviço",0,IF(OR(AND(AUTOEVENTO="Manual",$M559=1),$M559&gt;(ROW(PLE.lastrow)-ROW(PLE.firstrow))),0,IF(OFFSET(PLE!$G$14,$M559,CG$13)="",10^12,OFFSET(PLE!$G$14,$M559,CG$13))))</f>
        <v>1000000000000</v>
      </c>
      <c r="CH559" s="216">
        <f ca="1">IF($D559&lt;&gt;"Serviço",0,IF(OR(AND(AUTOEVENTO="Manual",$M559=1),$M559&gt;(ROW(PLE.lastrow)-ROW(PLE.firstrow))),0,IF(OFFSET(PLE!$G$14,$M559,CH$13)="",10^12,OFFSET(PLE!$G$14,$M559,CH$13))))</f>
        <v>1000000000000</v>
      </c>
      <c r="CI559" s="216">
        <f ca="1">IF($D559&lt;&gt;"Serviço",0,IF(OR(AND(AUTOEVENTO="Manual",$M559=1),$M559&gt;(ROW(PLE.lastrow)-ROW(PLE.firstrow))),0,IF(OFFSET(PLE!$G$14,$M559,CI$13)="",10^12,OFFSET(PLE!$G$14,$M559,CI$13))))</f>
        <v>1000000000000</v>
      </c>
      <c r="CJ559" s="216">
        <f ca="1">IF($D559&lt;&gt;"Serviço",0,IF(OR(AND(AUTOEVENTO="Manual",$M559=1),$M559&gt;(ROW(PLE.lastrow)-ROW(PLE.firstrow))),0,IF(OFFSET(PLE!$G$14,$M559,CJ$13)="",10^12,OFFSET(PLE!$G$14,$M559,CJ$13))))</f>
        <v>1000000000000</v>
      </c>
      <c r="CK559" s="216">
        <f ca="1">IF($D559&lt;&gt;"Serviço",0,IF(OR(AND(AUTOEVENTO="Manual",$M559=1),$M559&gt;(ROW(PLE.lastrow)-ROW(PLE.firstrow))),0,IF(OFFSET(PLE!$G$14,$M559,CK$13)="",10^12,OFFSET(PLE!$G$14,$M559,CK$13))))</f>
        <v>1000000000000</v>
      </c>
      <c r="CL559" s="216">
        <f ca="1">IF($D559&lt;&gt;"Serviço",0,IF(OR(AND(AUTOEVENTO="Manual",$M559=1),$M559&gt;(ROW(PLE.lastrow)-ROW(PLE.firstrow))),0,IF(OFFSET(PLE!$G$14,$M559,CL$13)="",10^12,OFFSET(PLE!$G$14,$M559,CL$13))))</f>
        <v>1000000000000</v>
      </c>
      <c r="CM559" s="216">
        <f ca="1">IF($D559&lt;&gt;"Serviço",0,IF(OR(AND(AUTOEVENTO="Manual",$M559=1),$M559&gt;(ROW(PLE.lastrow)-ROW(PLE.firstrow))),0,IF(OFFSET(PLE!$G$14,$M559,CM$13)="",10^12,OFFSET(PLE!$G$14,$M559,CM$13))))</f>
        <v>1000000000000</v>
      </c>
    </row>
    <row r="560" spans="1:91" ht="13.2" x14ac:dyDescent="0.25">
      <c r="A560" s="9">
        <f t="shared" ca="1" si="17"/>
        <v>0</v>
      </c>
      <c r="B560" s="9" t="str">
        <f ca="1">OFFSET(ORÇAMENTO!C$15,ROW(B560)-ROW(B$15),0)</f>
        <v>S</v>
      </c>
      <c r="C560" s="9" t="str">
        <f ca="1">OFFSET(ORÇAMENTO!L$15,ROW(C560)-ROW(C$15),0)</f>
        <v/>
      </c>
      <c r="D560" s="145" t="str">
        <f ca="1">OFFSET(ORÇAMENTO!N$15,ROW(D560)-ROW(D$15),0)</f>
        <v>Serviço</v>
      </c>
      <c r="E560" s="205" t="str">
        <f ca="1">OFFSET(ORÇAMENTO!O$15,ROW(E560)-ROW(E$15),0)</f>
        <v>-</v>
      </c>
      <c r="F560" s="206" t="str">
        <f ca="1">OFFSET(ORÇAMENTO!R$15,ROW(F560)-ROW(F$15),0)</f>
        <v>(abra o arquivo 'Referência 05-2024.xls)</v>
      </c>
      <c r="G560" s="207" t="str">
        <f ca="1">IF($D560&lt;&gt;"Serviço","",OFFSET(ORÇAMENTO!S$15,ROW(G560)-ROW(G$15),0))</f>
        <v>-</v>
      </c>
      <c r="H560" s="151">
        <f ca="1">IF($D560&lt;&gt;"Serviço",0,IF(ACOMPANHAMENTO="BM",ROUND(OFFSET(ORÇAMENTO!AJ$15,ROW(H560)-ROW(H$15),0),15-13*ORÇAMENTO!$AF$7),SUMPRODUCT(($Q$12:$AI$12&lt;&gt;"")*ROUND($Q560:$AI560,15-13*ORÇAMENTO!$AF$7))))</f>
        <v>51.85</v>
      </c>
      <c r="I560" s="650"/>
      <c r="K560" s="208"/>
      <c r="L560" s="209" t="s">
        <v>257</v>
      </c>
      <c r="M560" s="210">
        <f ca="1">IF($D560&lt;&gt;"Serviço","",IF(AUTOEVENTO="manual",$A560,IF(ISERROR(MATCH($A560,$A$15:OFFSET($A560,-1,0),0)),MAX($M$15:OFFSET(M560,-1,0))+1,INDEX($M$15:OFFSET(M560,-1,0),MATCH($A560,$A$15:OFFSET($A560,-1,0),0)))))</f>
        <v>0</v>
      </c>
      <c r="N560" s="211" t="str">
        <f ca="1">IF($D560&lt;&gt;"Serviço","",IF(AUTOEVENTO="Manual",IF($A560=0,"&lt;-- defina o número do agrupador",OFFSET(EVENTOS!$D$14,$A560,0)),OFFSET($F$15,$A560,0)))</f>
        <v>&lt;-- defina o número do agrupador</v>
      </c>
      <c r="O560" s="212"/>
      <c r="Q560" s="212"/>
      <c r="R560" s="213"/>
      <c r="S560" s="213"/>
      <c r="T560" s="213"/>
      <c r="U560" s="213"/>
      <c r="V560" s="213"/>
      <c r="W560" s="213"/>
      <c r="X560" s="213"/>
      <c r="Y560" s="213"/>
      <c r="Z560" s="214"/>
      <c r="AA560" s="213"/>
      <c r="AB560" s="213"/>
      <c r="AC560" s="213"/>
      <c r="AD560" s="213"/>
      <c r="AE560" s="213"/>
      <c r="AF560" s="213"/>
      <c r="AG560" s="213"/>
      <c r="AH560" s="214"/>
      <c r="AJ560" s="631">
        <f ca="1">IF(AND($D560="Serviço",AJ$12&lt;&gt;0,$H560&gt;0,OR(AUTOEVENTO&lt;&gt;"manual",$M560&lt;&gt;1)),ROUND(OFFSET($P560,0,AJ$13),15-13*ORÇAMENTO!$AF$7)/$H560*OFFSET(ORÇAMENTO!$X$15,ROW(AJ560)-ROW(AJ$15),0),0)</f>
        <v>0</v>
      </c>
      <c r="AK560" s="632">
        <f ca="1">IF(AND($D560="Serviço",AK$12&lt;&gt;0,$H560&gt;0,OR(AUTOEVENTO&lt;&gt;"manual",$M560&lt;&gt;1)),ROUND(OFFSET($P560,0,AK$13),15-13*ORÇAMENTO!$AF$7)/$H560*OFFSET(ORÇAMENTO!$X$15,ROW(AK560)-ROW(AK$15),0),0)</f>
        <v>0</v>
      </c>
      <c r="AL560" s="632">
        <f ca="1">IF(AND($D560="Serviço",AL$12&lt;&gt;0,$H560&gt;0,OR(AUTOEVENTO&lt;&gt;"manual",$M560&lt;&gt;1)),ROUND(OFFSET($P560,0,AL$13),15-13*ORÇAMENTO!$AF$7)/$H560*OFFSET(ORÇAMENTO!$X$15,ROW(AL560)-ROW(AL$15),0),0)</f>
        <v>0</v>
      </c>
      <c r="AM560" s="632">
        <f ca="1">IF(AND($D560="Serviço",AM$12&lt;&gt;0,$H560&gt;0,OR(AUTOEVENTO&lt;&gt;"manual",$M560&lt;&gt;1)),ROUND(OFFSET($P560,0,AM$13),15-13*ORÇAMENTO!$AF$7)/$H560*OFFSET(ORÇAMENTO!$X$15,ROW(AM560)-ROW(AM$15),0),0)</f>
        <v>0</v>
      </c>
      <c r="AN560" s="632">
        <f ca="1">IF(AND($D560="Serviço",AN$12&lt;&gt;0,$H560&gt;0,OR(AUTOEVENTO&lt;&gt;"manual",$M560&lt;&gt;1)),ROUND(OFFSET($P560,0,AN$13),15-13*ORÇAMENTO!$AF$7)/$H560*OFFSET(ORÇAMENTO!$X$15,ROW(AN560)-ROW(AN$15),0),0)</f>
        <v>0</v>
      </c>
      <c r="AO560" s="632">
        <f ca="1">IF(AND($D560="Serviço",AO$12&lt;&gt;0,$H560&gt;0,OR(AUTOEVENTO&lt;&gt;"manual",$M560&lt;&gt;1)),ROUND(OFFSET($P560,0,AO$13),15-13*ORÇAMENTO!$AF$7)/$H560*OFFSET(ORÇAMENTO!$X$15,ROW(AO560)-ROW(AO$15),0),0)</f>
        <v>0</v>
      </c>
      <c r="AP560" s="632">
        <f ca="1">IF(AND($D560="Serviço",AP$12&lt;&gt;0,$H560&gt;0,OR(AUTOEVENTO&lt;&gt;"manual",$M560&lt;&gt;1)),ROUND(OFFSET($P560,0,AP$13),15-13*ORÇAMENTO!$AF$7)/$H560*OFFSET(ORÇAMENTO!$X$15,ROW(AP560)-ROW(AP$15),0),0)</f>
        <v>0</v>
      </c>
      <c r="AQ560" s="632">
        <f ca="1">IF(AND($D560="Serviço",AQ$12&lt;&gt;0,$H560&gt;0,OR(AUTOEVENTO&lt;&gt;"manual",$M560&lt;&gt;1)),ROUND(OFFSET($P560,0,AQ$13),15-13*ORÇAMENTO!$AF$7)/$H560*OFFSET(ORÇAMENTO!$X$15,ROW(AQ560)-ROW(AQ$15),0),0)</f>
        <v>0</v>
      </c>
      <c r="AR560" s="632">
        <f ca="1">IF(AND($D560="Serviço",AR$12&lt;&gt;0,$H560&gt;0,OR(AUTOEVENTO&lt;&gt;"manual",$M560&lt;&gt;1)),ROUND(OFFSET($P560,0,AR$13),15-13*ORÇAMENTO!$AF$7)/$H560*OFFSET(ORÇAMENTO!$X$15,ROW(AR560)-ROW(AR$15),0),0)</f>
        <v>0</v>
      </c>
      <c r="AS560" s="633">
        <f ca="1">IF(AND($D560="Serviço",AS$12&lt;&gt;0,$H560&gt;0,OR(AUTOEVENTO&lt;&gt;"manual",$M560&lt;&gt;1)),ROUND(OFFSET($P560,0,AS$13),15-13*ORÇAMENTO!$AF$7)/$H560*OFFSET(ORÇAMENTO!$X$15,ROW(AS560)-ROW(AS$15),0),0)</f>
        <v>0</v>
      </c>
      <c r="AT560" s="632">
        <f ca="1">IF(AND($D560="Serviço",AT$12&lt;&gt;0,$H560&gt;0,OR(AUTOEVENTO&lt;&gt;"manual",$M560&lt;&gt;1)),ROUND(OFFSET($P560,0,AT$13),15-13*ORÇAMENTO!$AF$7)/$H560*OFFSET(ORÇAMENTO!$X$15,ROW(AT560)-ROW(AT$15),0),0)</f>
        <v>0</v>
      </c>
      <c r="AU560" s="632">
        <f ca="1">IF(AND($D560="Serviço",AU$12&lt;&gt;0,$H560&gt;0,OR(AUTOEVENTO&lt;&gt;"manual",$M560&lt;&gt;1)),ROUND(OFFSET($P560,0,AU$13),15-13*ORÇAMENTO!$AF$7)/$H560*OFFSET(ORÇAMENTO!$X$15,ROW(AU560)-ROW(AU$15),0),0)</f>
        <v>0</v>
      </c>
      <c r="AV560" s="632">
        <f ca="1">IF(AND($D560="Serviço",AV$12&lt;&gt;0,$H560&gt;0,OR(AUTOEVENTO&lt;&gt;"manual",$M560&lt;&gt;1)),ROUND(OFFSET($P560,0,AV$13),15-13*ORÇAMENTO!$AF$7)/$H560*OFFSET(ORÇAMENTO!$X$15,ROW(AV560)-ROW(AV$15),0),0)</f>
        <v>0</v>
      </c>
      <c r="AW560" s="632">
        <f ca="1">IF(AND($D560="Serviço",AW$12&lt;&gt;0,$H560&gt;0,OR(AUTOEVENTO&lt;&gt;"manual",$M560&lt;&gt;1)),ROUND(OFFSET($P560,0,AW$13),15-13*ORÇAMENTO!$AF$7)/$H560*OFFSET(ORÇAMENTO!$X$15,ROW(AW560)-ROW(AW$15),0),0)</f>
        <v>0</v>
      </c>
      <c r="AX560" s="632">
        <f ca="1">IF(AND($D560="Serviço",AX$12&lt;&gt;0,$H560&gt;0,OR(AUTOEVENTO&lt;&gt;"manual",$M560&lt;&gt;1)),ROUND(OFFSET($P560,0,AX$13),15-13*ORÇAMENTO!$AF$7)/$H560*OFFSET(ORÇAMENTO!$X$15,ROW(AX560)-ROW(AX$15),0),0)</f>
        <v>0</v>
      </c>
      <c r="AY560" s="632">
        <f ca="1">IF(AND($D560="Serviço",AY$12&lt;&gt;0,$H560&gt;0,OR(AUTOEVENTO&lt;&gt;"manual",$M560&lt;&gt;1)),ROUND(OFFSET($P560,0,AY$13),15-13*ORÇAMENTO!$AF$7)/$H560*OFFSET(ORÇAMENTO!$X$15,ROW(AY560)-ROW(AY$15),0),0)</f>
        <v>0</v>
      </c>
      <c r="AZ560" s="632">
        <f ca="1">IF(AND($D560="Serviço",AZ$12&lt;&gt;0,$H560&gt;0,OR(AUTOEVENTO&lt;&gt;"manual",$M560&lt;&gt;1)),ROUND(OFFSET($P560,0,AZ$13),15-13*ORÇAMENTO!$AF$7)/$H560*OFFSET(ORÇAMENTO!$X$15,ROW(AZ560)-ROW(AZ$15),0),0)</f>
        <v>0</v>
      </c>
      <c r="BA560" s="633">
        <f ca="1">IF(AND($D560="Serviço",BA$12&lt;&gt;0,$H560&gt;0,OR(AUTOEVENTO&lt;&gt;"manual",$M560&lt;&gt;1)),ROUND(OFFSET($P560,0,BA$13),15-13*ORÇAMENTO!$AF$7)/$H560*OFFSET(ORÇAMENTO!$X$15,ROW(BA560)-ROW(BA$15),0),0)</f>
        <v>0</v>
      </c>
      <c r="BC560" s="215">
        <f ca="1">IF($D560&lt;&gt;"Serviço",0,IF(AND(AUTOEVENTO="Manual",$M560=1),0,IF(OFFSET(CRONOPLE!$F$14,$M560,BC$13)="",10^12,OFFSET(CRONOPLE!$F$14,$M560,BC$13))))</f>
        <v>1000000000000</v>
      </c>
      <c r="BD560" s="215">
        <f ca="1">IF($D560&lt;&gt;"Serviço",0,IF(AND(AUTOEVENTO="Manual",$M560=1),0,IF(OFFSET(CRONOPLE!$F$14,$M560,BD$13)="",10^12,OFFSET(CRONOPLE!$F$14,$M560,BD$13))))</f>
        <v>1000000000000</v>
      </c>
      <c r="BE560" s="215">
        <f ca="1">IF($D560&lt;&gt;"Serviço",0,IF(AND(AUTOEVENTO="Manual",$M560=1),0,IF(OFFSET(CRONOPLE!$F$14,$M560,BE$13)="",10^12,OFFSET(CRONOPLE!$F$14,$M560,BE$13))))</f>
        <v>1000000000000</v>
      </c>
      <c r="BF560" s="215">
        <f ca="1">IF($D560&lt;&gt;"Serviço",0,IF(AND(AUTOEVENTO="Manual",$M560=1),0,IF(OFFSET(CRONOPLE!$F$14,$M560,BF$13)="",10^12,OFFSET(CRONOPLE!$F$14,$M560,BF$13))))</f>
        <v>1000000000000</v>
      </c>
      <c r="BG560" s="215">
        <f ca="1">IF($D560&lt;&gt;"Serviço",0,IF(AND(AUTOEVENTO="Manual",$M560=1),0,IF(OFFSET(CRONOPLE!$F$14,$M560,BG$13)="",10^12,OFFSET(CRONOPLE!$F$14,$M560,BG$13))))</f>
        <v>1000000000000</v>
      </c>
      <c r="BH560" s="215">
        <f ca="1">IF($D560&lt;&gt;"Serviço",0,IF(AND(AUTOEVENTO="Manual",$M560=1),0,IF(OFFSET(CRONOPLE!$F$14,$M560,BH$13)="",10^12,OFFSET(CRONOPLE!$F$14,$M560,BH$13))))</f>
        <v>1000000000000</v>
      </c>
      <c r="BI560" s="215">
        <f ca="1">IF($D560&lt;&gt;"Serviço",0,IF(AND(AUTOEVENTO="Manual",$M560=1),0,IF(OFFSET(CRONOPLE!$F$14,$M560,BI$13)="",10^12,OFFSET(CRONOPLE!$F$14,$M560,BI$13))))</f>
        <v>1000000000000</v>
      </c>
      <c r="BJ560" s="215">
        <f ca="1">IF($D560&lt;&gt;"Serviço",0,IF(AND(AUTOEVENTO="Manual",$M560=1),0,IF(OFFSET(CRONOPLE!$F$14,$M560,BJ$13)="",10^12,OFFSET(CRONOPLE!$F$14,$M560,BJ$13))))</f>
        <v>1000000000000</v>
      </c>
      <c r="BK560" s="215">
        <f ca="1">IF($D560&lt;&gt;"Serviço",0,IF(AND(AUTOEVENTO="Manual",$M560=1),0,IF(OFFSET(CRONOPLE!$F$14,$M560,BK$13)="",10^12,OFFSET(CRONOPLE!$F$14,$M560,BK$13))))</f>
        <v>1000000000000</v>
      </c>
      <c r="BL560" s="215">
        <f ca="1">IF($D560&lt;&gt;"Serviço",0,IF(AND(AUTOEVENTO="Manual",$M560=1),0,IF(OFFSET(CRONOPLE!$F$14,$M560,BL$13)="",10^12,OFFSET(CRONOPLE!$F$14,$M560,BL$13))))</f>
        <v>1000000000000</v>
      </c>
      <c r="BM560" s="215">
        <f ca="1">IF($D560&lt;&gt;"Serviço",0,IF(AND(AUTOEVENTO="Manual",$M560=1),0,IF(OFFSET(CRONOPLE!$F$14,$M560,BM$13)="",10^12,OFFSET(CRONOPLE!$F$14,$M560,BM$13))))</f>
        <v>1000000000000</v>
      </c>
      <c r="BN560" s="215">
        <f ca="1">IF($D560&lt;&gt;"Serviço",0,IF(AND(AUTOEVENTO="Manual",$M560=1),0,IF(OFFSET(CRONOPLE!$F$14,$M560,BN$13)="",10^12,OFFSET(CRONOPLE!$F$14,$M560,BN$13))))</f>
        <v>1000000000000</v>
      </c>
      <c r="BO560" s="215">
        <f ca="1">IF($D560&lt;&gt;"Serviço",0,IF(AND(AUTOEVENTO="Manual",$M560=1),0,IF(OFFSET(CRONOPLE!$F$14,$M560,BO$13)="",10^12,OFFSET(CRONOPLE!$F$14,$M560,BO$13))))</f>
        <v>1000000000000</v>
      </c>
      <c r="BP560" s="215">
        <f ca="1">IF($D560&lt;&gt;"Serviço",0,IF(AND(AUTOEVENTO="Manual",$M560=1),0,IF(OFFSET(CRONOPLE!$F$14,$M560,BP$13)="",10^12,OFFSET(CRONOPLE!$F$14,$M560,BP$13))))</f>
        <v>1000000000000</v>
      </c>
      <c r="BQ560" s="215">
        <f ca="1">IF($D560&lt;&gt;"Serviço",0,IF(AND(AUTOEVENTO="Manual",$M560=1),0,IF(OFFSET(CRONOPLE!$F$14,$M560,BQ$13)="",10^12,OFFSET(CRONOPLE!$F$14,$M560,BQ$13))))</f>
        <v>1000000000000</v>
      </c>
      <c r="BR560" s="215">
        <f ca="1">IF($D560&lt;&gt;"Serviço",0,IF(AND(AUTOEVENTO="Manual",$M560=1),0,IF(OFFSET(CRONOPLE!$F$14,$M560,BR$13)="",10^12,OFFSET(CRONOPLE!$F$14,$M560,BR$13))))</f>
        <v>1000000000000</v>
      </c>
      <c r="BS560" s="215">
        <f ca="1">IF($D560&lt;&gt;"Serviço",0,IF(AND(AUTOEVENTO="Manual",$M560=1),0,IF(OFFSET(CRONOPLE!$F$14,$M560,BS$13)="",10^12,OFFSET(CRONOPLE!$F$14,$M560,BS$13))))</f>
        <v>1000000000000</v>
      </c>
      <c r="BT560" s="215">
        <f ca="1">IF($D560&lt;&gt;"Serviço",0,IF(AND(AUTOEVENTO="Manual",$M560=1),0,IF(OFFSET(CRONOPLE!$F$14,$M560,BT$13)="",10^12,OFFSET(CRONOPLE!$F$14,$M560,BT$13))))</f>
        <v>1000000000000</v>
      </c>
      <c r="BV560" s="216">
        <f ca="1">IF($D560&lt;&gt;"Serviço",0,IF(OR(AND(AUTOEVENTO="Manual",$M560=1),$M560&gt;(ROW(PLE.lastrow)-ROW(PLE.firstrow))),0,IF(OFFSET(PLE!$G$14,$M560,BV$13)="",10^12,OFFSET(PLE!$G$14,$M560,BV$13))))</f>
        <v>1000000000000</v>
      </c>
      <c r="BW560" s="216">
        <f ca="1">IF($D560&lt;&gt;"Serviço",0,IF(OR(AND(AUTOEVENTO="Manual",$M560=1),$M560&gt;(ROW(PLE.lastrow)-ROW(PLE.firstrow))),0,IF(OFFSET(PLE!$G$14,$M560,BW$13)="",10^12,OFFSET(PLE!$G$14,$M560,BW$13))))</f>
        <v>1000000000000</v>
      </c>
      <c r="BX560" s="216">
        <f ca="1">IF($D560&lt;&gt;"Serviço",0,IF(OR(AND(AUTOEVENTO="Manual",$M560=1),$M560&gt;(ROW(PLE.lastrow)-ROW(PLE.firstrow))),0,IF(OFFSET(PLE!$G$14,$M560,BX$13)="",10^12,OFFSET(PLE!$G$14,$M560,BX$13))))</f>
        <v>1000000000000</v>
      </c>
      <c r="BY560" s="216">
        <f ca="1">IF($D560&lt;&gt;"Serviço",0,IF(OR(AND(AUTOEVENTO="Manual",$M560=1),$M560&gt;(ROW(PLE.lastrow)-ROW(PLE.firstrow))),0,IF(OFFSET(PLE!$G$14,$M560,BY$13)="",10^12,OFFSET(PLE!$G$14,$M560,BY$13))))</f>
        <v>1000000000000</v>
      </c>
      <c r="BZ560" s="216">
        <f ca="1">IF($D560&lt;&gt;"Serviço",0,IF(OR(AND(AUTOEVENTO="Manual",$M560=1),$M560&gt;(ROW(PLE.lastrow)-ROW(PLE.firstrow))),0,IF(OFFSET(PLE!$G$14,$M560,BZ$13)="",10^12,OFFSET(PLE!$G$14,$M560,BZ$13))))</f>
        <v>1000000000000</v>
      </c>
      <c r="CA560" s="216">
        <f ca="1">IF($D560&lt;&gt;"Serviço",0,IF(OR(AND(AUTOEVENTO="Manual",$M560=1),$M560&gt;(ROW(PLE.lastrow)-ROW(PLE.firstrow))),0,IF(OFFSET(PLE!$G$14,$M560,CA$13)="",10^12,OFFSET(PLE!$G$14,$M560,CA$13))))</f>
        <v>1000000000000</v>
      </c>
      <c r="CB560" s="216">
        <f ca="1">IF($D560&lt;&gt;"Serviço",0,IF(OR(AND(AUTOEVENTO="Manual",$M560=1),$M560&gt;(ROW(PLE.lastrow)-ROW(PLE.firstrow))),0,IF(OFFSET(PLE!$G$14,$M560,CB$13)="",10^12,OFFSET(PLE!$G$14,$M560,CB$13))))</f>
        <v>1000000000000</v>
      </c>
      <c r="CC560" s="216">
        <f ca="1">IF($D560&lt;&gt;"Serviço",0,IF(OR(AND(AUTOEVENTO="Manual",$M560=1),$M560&gt;(ROW(PLE.lastrow)-ROW(PLE.firstrow))),0,IF(OFFSET(PLE!$G$14,$M560,CC$13)="",10^12,OFFSET(PLE!$G$14,$M560,CC$13))))</f>
        <v>1000000000000</v>
      </c>
      <c r="CD560" s="216">
        <f ca="1">IF($D560&lt;&gt;"Serviço",0,IF(OR(AND(AUTOEVENTO="Manual",$M560=1),$M560&gt;(ROW(PLE.lastrow)-ROW(PLE.firstrow))),0,IF(OFFSET(PLE!$G$14,$M560,CD$13)="",10^12,OFFSET(PLE!$G$14,$M560,CD$13))))</f>
        <v>1000000000000</v>
      </c>
      <c r="CE560" s="216">
        <f ca="1">IF($D560&lt;&gt;"Serviço",0,IF(OR(AND(AUTOEVENTO="Manual",$M560=1),$M560&gt;(ROW(PLE.lastrow)-ROW(PLE.firstrow))),0,IF(OFFSET(PLE!$G$14,$M560,CE$13)="",10^12,OFFSET(PLE!$G$14,$M560,CE$13))))</f>
        <v>1000000000000</v>
      </c>
      <c r="CF560" s="216">
        <f ca="1">IF($D560&lt;&gt;"Serviço",0,IF(OR(AND(AUTOEVENTO="Manual",$M560=1),$M560&gt;(ROW(PLE.lastrow)-ROW(PLE.firstrow))),0,IF(OFFSET(PLE!$G$14,$M560,CF$13)="",10^12,OFFSET(PLE!$G$14,$M560,CF$13))))</f>
        <v>1000000000000</v>
      </c>
      <c r="CG560" s="216">
        <f ca="1">IF($D560&lt;&gt;"Serviço",0,IF(OR(AND(AUTOEVENTO="Manual",$M560=1),$M560&gt;(ROW(PLE.lastrow)-ROW(PLE.firstrow))),0,IF(OFFSET(PLE!$G$14,$M560,CG$13)="",10^12,OFFSET(PLE!$G$14,$M560,CG$13))))</f>
        <v>1000000000000</v>
      </c>
      <c r="CH560" s="216">
        <f ca="1">IF($D560&lt;&gt;"Serviço",0,IF(OR(AND(AUTOEVENTO="Manual",$M560=1),$M560&gt;(ROW(PLE.lastrow)-ROW(PLE.firstrow))),0,IF(OFFSET(PLE!$G$14,$M560,CH$13)="",10^12,OFFSET(PLE!$G$14,$M560,CH$13))))</f>
        <v>1000000000000</v>
      </c>
      <c r="CI560" s="216">
        <f ca="1">IF($D560&lt;&gt;"Serviço",0,IF(OR(AND(AUTOEVENTO="Manual",$M560=1),$M560&gt;(ROW(PLE.lastrow)-ROW(PLE.firstrow))),0,IF(OFFSET(PLE!$G$14,$M560,CI$13)="",10^12,OFFSET(PLE!$G$14,$M560,CI$13))))</f>
        <v>1000000000000</v>
      </c>
      <c r="CJ560" s="216">
        <f ca="1">IF($D560&lt;&gt;"Serviço",0,IF(OR(AND(AUTOEVENTO="Manual",$M560=1),$M560&gt;(ROW(PLE.lastrow)-ROW(PLE.firstrow))),0,IF(OFFSET(PLE!$G$14,$M560,CJ$13)="",10^12,OFFSET(PLE!$G$14,$M560,CJ$13))))</f>
        <v>1000000000000</v>
      </c>
      <c r="CK560" s="216">
        <f ca="1">IF($D560&lt;&gt;"Serviço",0,IF(OR(AND(AUTOEVENTO="Manual",$M560=1),$M560&gt;(ROW(PLE.lastrow)-ROW(PLE.firstrow))),0,IF(OFFSET(PLE!$G$14,$M560,CK$13)="",10^12,OFFSET(PLE!$G$14,$M560,CK$13))))</f>
        <v>1000000000000</v>
      </c>
      <c r="CL560" s="216">
        <f ca="1">IF($D560&lt;&gt;"Serviço",0,IF(OR(AND(AUTOEVENTO="Manual",$M560=1),$M560&gt;(ROW(PLE.lastrow)-ROW(PLE.firstrow))),0,IF(OFFSET(PLE!$G$14,$M560,CL$13)="",10^12,OFFSET(PLE!$G$14,$M560,CL$13))))</f>
        <v>1000000000000</v>
      </c>
      <c r="CM560" s="216">
        <f ca="1">IF($D560&lt;&gt;"Serviço",0,IF(OR(AND(AUTOEVENTO="Manual",$M560=1),$M560&gt;(ROW(PLE.lastrow)-ROW(PLE.firstrow))),0,IF(OFFSET(PLE!$G$14,$M560,CM$13)="",10^12,OFFSET(PLE!$G$14,$M560,CM$13))))</f>
        <v>1000000000000</v>
      </c>
    </row>
    <row r="561" spans="1:91" ht="13.2" x14ac:dyDescent="0.25">
      <c r="A561" s="9">
        <f t="shared" ca="1" si="17"/>
        <v>0</v>
      </c>
      <c r="B561" s="9" t="str">
        <f ca="1">OFFSET(ORÇAMENTO!C$15,ROW(B561)-ROW(B$15),0)</f>
        <v>S</v>
      </c>
      <c r="C561" s="9" t="str">
        <f ca="1">OFFSET(ORÇAMENTO!L$15,ROW(C561)-ROW(C$15),0)</f>
        <v/>
      </c>
      <c r="D561" s="145" t="str">
        <f ca="1">OFFSET(ORÇAMENTO!N$15,ROW(D561)-ROW(D$15),0)</f>
        <v>Serviço</v>
      </c>
      <c r="E561" s="205" t="str">
        <f ca="1">OFFSET(ORÇAMENTO!O$15,ROW(E561)-ROW(E$15),0)</f>
        <v>-</v>
      </c>
      <c r="F561" s="206" t="str">
        <f ca="1">OFFSET(ORÇAMENTO!R$15,ROW(F561)-ROW(F$15),0)</f>
        <v>(abra o arquivo 'Referência 05-2024.xls)</v>
      </c>
      <c r="G561" s="207" t="str">
        <f ca="1">IF($D561&lt;&gt;"Serviço","",OFFSET(ORÇAMENTO!S$15,ROW(G561)-ROW(G$15),0))</f>
        <v>-</v>
      </c>
      <c r="H561" s="151">
        <f ca="1">IF($D561&lt;&gt;"Serviço",0,IF(ACOMPANHAMENTO="BM",ROUND(OFFSET(ORÇAMENTO!AJ$15,ROW(H561)-ROW(H$15),0),15-13*ORÇAMENTO!$AF$7),SUMPRODUCT(($Q$12:$AI$12&lt;&gt;"")*ROUND($Q561:$AI561,15-13*ORÇAMENTO!$AF$7))))</f>
        <v>132.65</v>
      </c>
      <c r="I561" s="650"/>
      <c r="K561" s="208"/>
      <c r="L561" s="209" t="s">
        <v>257</v>
      </c>
      <c r="M561" s="210">
        <f ca="1">IF($D561&lt;&gt;"Serviço","",IF(AUTOEVENTO="manual",$A561,IF(ISERROR(MATCH($A561,$A$15:OFFSET($A561,-1,0),0)),MAX($M$15:OFFSET(M561,-1,0))+1,INDEX($M$15:OFFSET(M561,-1,0),MATCH($A561,$A$15:OFFSET($A561,-1,0),0)))))</f>
        <v>0</v>
      </c>
      <c r="N561" s="211" t="str">
        <f ca="1">IF($D561&lt;&gt;"Serviço","",IF(AUTOEVENTO="Manual",IF($A561=0,"&lt;-- defina o número do agrupador",OFFSET(EVENTOS!$D$14,$A561,0)),OFFSET($F$15,$A561,0)))</f>
        <v>&lt;-- defina o número do agrupador</v>
      </c>
      <c r="O561" s="212"/>
      <c r="Q561" s="212"/>
      <c r="R561" s="213"/>
      <c r="S561" s="213"/>
      <c r="T561" s="213"/>
      <c r="U561" s="213"/>
      <c r="V561" s="213"/>
      <c r="W561" s="213"/>
      <c r="X561" s="213"/>
      <c r="Y561" s="213"/>
      <c r="Z561" s="214"/>
      <c r="AA561" s="213"/>
      <c r="AB561" s="213"/>
      <c r="AC561" s="213"/>
      <c r="AD561" s="213"/>
      <c r="AE561" s="213"/>
      <c r="AF561" s="213"/>
      <c r="AG561" s="213"/>
      <c r="AH561" s="214"/>
      <c r="AJ561" s="631">
        <f ca="1">IF(AND($D561="Serviço",AJ$12&lt;&gt;0,$H561&gt;0,OR(AUTOEVENTO&lt;&gt;"manual",$M561&lt;&gt;1)),ROUND(OFFSET($P561,0,AJ$13),15-13*ORÇAMENTO!$AF$7)/$H561*OFFSET(ORÇAMENTO!$X$15,ROW(AJ561)-ROW(AJ$15),0),0)</f>
        <v>0</v>
      </c>
      <c r="AK561" s="632">
        <f ca="1">IF(AND($D561="Serviço",AK$12&lt;&gt;0,$H561&gt;0,OR(AUTOEVENTO&lt;&gt;"manual",$M561&lt;&gt;1)),ROUND(OFFSET($P561,0,AK$13),15-13*ORÇAMENTO!$AF$7)/$H561*OFFSET(ORÇAMENTO!$X$15,ROW(AK561)-ROW(AK$15),0),0)</f>
        <v>0</v>
      </c>
      <c r="AL561" s="632">
        <f ca="1">IF(AND($D561="Serviço",AL$12&lt;&gt;0,$H561&gt;0,OR(AUTOEVENTO&lt;&gt;"manual",$M561&lt;&gt;1)),ROUND(OFFSET($P561,0,AL$13),15-13*ORÇAMENTO!$AF$7)/$H561*OFFSET(ORÇAMENTO!$X$15,ROW(AL561)-ROW(AL$15),0),0)</f>
        <v>0</v>
      </c>
      <c r="AM561" s="632">
        <f ca="1">IF(AND($D561="Serviço",AM$12&lt;&gt;0,$H561&gt;0,OR(AUTOEVENTO&lt;&gt;"manual",$M561&lt;&gt;1)),ROUND(OFFSET($P561,0,AM$13),15-13*ORÇAMENTO!$AF$7)/$H561*OFFSET(ORÇAMENTO!$X$15,ROW(AM561)-ROW(AM$15),0),0)</f>
        <v>0</v>
      </c>
      <c r="AN561" s="632">
        <f ca="1">IF(AND($D561="Serviço",AN$12&lt;&gt;0,$H561&gt;0,OR(AUTOEVENTO&lt;&gt;"manual",$M561&lt;&gt;1)),ROUND(OFFSET($P561,0,AN$13),15-13*ORÇAMENTO!$AF$7)/$H561*OFFSET(ORÇAMENTO!$X$15,ROW(AN561)-ROW(AN$15),0),0)</f>
        <v>0</v>
      </c>
      <c r="AO561" s="632">
        <f ca="1">IF(AND($D561="Serviço",AO$12&lt;&gt;0,$H561&gt;0,OR(AUTOEVENTO&lt;&gt;"manual",$M561&lt;&gt;1)),ROUND(OFFSET($P561,0,AO$13),15-13*ORÇAMENTO!$AF$7)/$H561*OFFSET(ORÇAMENTO!$X$15,ROW(AO561)-ROW(AO$15),0),0)</f>
        <v>0</v>
      </c>
      <c r="AP561" s="632">
        <f ca="1">IF(AND($D561="Serviço",AP$12&lt;&gt;0,$H561&gt;0,OR(AUTOEVENTO&lt;&gt;"manual",$M561&lt;&gt;1)),ROUND(OFFSET($P561,0,AP$13),15-13*ORÇAMENTO!$AF$7)/$H561*OFFSET(ORÇAMENTO!$X$15,ROW(AP561)-ROW(AP$15),0),0)</f>
        <v>0</v>
      </c>
      <c r="AQ561" s="632">
        <f ca="1">IF(AND($D561="Serviço",AQ$12&lt;&gt;0,$H561&gt;0,OR(AUTOEVENTO&lt;&gt;"manual",$M561&lt;&gt;1)),ROUND(OFFSET($P561,0,AQ$13),15-13*ORÇAMENTO!$AF$7)/$H561*OFFSET(ORÇAMENTO!$X$15,ROW(AQ561)-ROW(AQ$15),0),0)</f>
        <v>0</v>
      </c>
      <c r="AR561" s="632">
        <f ca="1">IF(AND($D561="Serviço",AR$12&lt;&gt;0,$H561&gt;0,OR(AUTOEVENTO&lt;&gt;"manual",$M561&lt;&gt;1)),ROUND(OFFSET($P561,0,AR$13),15-13*ORÇAMENTO!$AF$7)/$H561*OFFSET(ORÇAMENTO!$X$15,ROW(AR561)-ROW(AR$15),0),0)</f>
        <v>0</v>
      </c>
      <c r="AS561" s="633">
        <f ca="1">IF(AND($D561="Serviço",AS$12&lt;&gt;0,$H561&gt;0,OR(AUTOEVENTO&lt;&gt;"manual",$M561&lt;&gt;1)),ROUND(OFFSET($P561,0,AS$13),15-13*ORÇAMENTO!$AF$7)/$H561*OFFSET(ORÇAMENTO!$X$15,ROW(AS561)-ROW(AS$15),0),0)</f>
        <v>0</v>
      </c>
      <c r="AT561" s="632">
        <f ca="1">IF(AND($D561="Serviço",AT$12&lt;&gt;0,$H561&gt;0,OR(AUTOEVENTO&lt;&gt;"manual",$M561&lt;&gt;1)),ROUND(OFFSET($P561,0,AT$13),15-13*ORÇAMENTO!$AF$7)/$H561*OFFSET(ORÇAMENTO!$X$15,ROW(AT561)-ROW(AT$15),0),0)</f>
        <v>0</v>
      </c>
      <c r="AU561" s="632">
        <f ca="1">IF(AND($D561="Serviço",AU$12&lt;&gt;0,$H561&gt;0,OR(AUTOEVENTO&lt;&gt;"manual",$M561&lt;&gt;1)),ROUND(OFFSET($P561,0,AU$13),15-13*ORÇAMENTO!$AF$7)/$H561*OFFSET(ORÇAMENTO!$X$15,ROW(AU561)-ROW(AU$15),0),0)</f>
        <v>0</v>
      </c>
      <c r="AV561" s="632">
        <f ca="1">IF(AND($D561="Serviço",AV$12&lt;&gt;0,$H561&gt;0,OR(AUTOEVENTO&lt;&gt;"manual",$M561&lt;&gt;1)),ROUND(OFFSET($P561,0,AV$13),15-13*ORÇAMENTO!$AF$7)/$H561*OFFSET(ORÇAMENTO!$X$15,ROW(AV561)-ROW(AV$15),0),0)</f>
        <v>0</v>
      </c>
      <c r="AW561" s="632">
        <f ca="1">IF(AND($D561="Serviço",AW$12&lt;&gt;0,$H561&gt;0,OR(AUTOEVENTO&lt;&gt;"manual",$M561&lt;&gt;1)),ROUND(OFFSET($P561,0,AW$13),15-13*ORÇAMENTO!$AF$7)/$H561*OFFSET(ORÇAMENTO!$X$15,ROW(AW561)-ROW(AW$15),0),0)</f>
        <v>0</v>
      </c>
      <c r="AX561" s="632">
        <f ca="1">IF(AND($D561="Serviço",AX$12&lt;&gt;0,$H561&gt;0,OR(AUTOEVENTO&lt;&gt;"manual",$M561&lt;&gt;1)),ROUND(OFFSET($P561,0,AX$13),15-13*ORÇAMENTO!$AF$7)/$H561*OFFSET(ORÇAMENTO!$X$15,ROW(AX561)-ROW(AX$15),0),0)</f>
        <v>0</v>
      </c>
      <c r="AY561" s="632">
        <f ca="1">IF(AND($D561="Serviço",AY$12&lt;&gt;0,$H561&gt;0,OR(AUTOEVENTO&lt;&gt;"manual",$M561&lt;&gt;1)),ROUND(OFFSET($P561,0,AY$13),15-13*ORÇAMENTO!$AF$7)/$H561*OFFSET(ORÇAMENTO!$X$15,ROW(AY561)-ROW(AY$15),0),0)</f>
        <v>0</v>
      </c>
      <c r="AZ561" s="632">
        <f ca="1">IF(AND($D561="Serviço",AZ$12&lt;&gt;0,$H561&gt;0,OR(AUTOEVENTO&lt;&gt;"manual",$M561&lt;&gt;1)),ROUND(OFFSET($P561,0,AZ$13),15-13*ORÇAMENTO!$AF$7)/$H561*OFFSET(ORÇAMENTO!$X$15,ROW(AZ561)-ROW(AZ$15),0),0)</f>
        <v>0</v>
      </c>
      <c r="BA561" s="633">
        <f ca="1">IF(AND($D561="Serviço",BA$12&lt;&gt;0,$H561&gt;0,OR(AUTOEVENTO&lt;&gt;"manual",$M561&lt;&gt;1)),ROUND(OFFSET($P561,0,BA$13),15-13*ORÇAMENTO!$AF$7)/$H561*OFFSET(ORÇAMENTO!$X$15,ROW(BA561)-ROW(BA$15),0),0)</f>
        <v>0</v>
      </c>
      <c r="BC561" s="215">
        <f ca="1">IF($D561&lt;&gt;"Serviço",0,IF(AND(AUTOEVENTO="Manual",$M561=1),0,IF(OFFSET(CRONOPLE!$F$14,$M561,BC$13)="",10^12,OFFSET(CRONOPLE!$F$14,$M561,BC$13))))</f>
        <v>1000000000000</v>
      </c>
      <c r="BD561" s="215">
        <f ca="1">IF($D561&lt;&gt;"Serviço",0,IF(AND(AUTOEVENTO="Manual",$M561=1),0,IF(OFFSET(CRONOPLE!$F$14,$M561,BD$13)="",10^12,OFFSET(CRONOPLE!$F$14,$M561,BD$13))))</f>
        <v>1000000000000</v>
      </c>
      <c r="BE561" s="215">
        <f ca="1">IF($D561&lt;&gt;"Serviço",0,IF(AND(AUTOEVENTO="Manual",$M561=1),0,IF(OFFSET(CRONOPLE!$F$14,$M561,BE$13)="",10^12,OFFSET(CRONOPLE!$F$14,$M561,BE$13))))</f>
        <v>1000000000000</v>
      </c>
      <c r="BF561" s="215">
        <f ca="1">IF($D561&lt;&gt;"Serviço",0,IF(AND(AUTOEVENTO="Manual",$M561=1),0,IF(OFFSET(CRONOPLE!$F$14,$M561,BF$13)="",10^12,OFFSET(CRONOPLE!$F$14,$M561,BF$13))))</f>
        <v>1000000000000</v>
      </c>
      <c r="BG561" s="215">
        <f ca="1">IF($D561&lt;&gt;"Serviço",0,IF(AND(AUTOEVENTO="Manual",$M561=1),0,IF(OFFSET(CRONOPLE!$F$14,$M561,BG$13)="",10^12,OFFSET(CRONOPLE!$F$14,$M561,BG$13))))</f>
        <v>1000000000000</v>
      </c>
      <c r="BH561" s="215">
        <f ca="1">IF($D561&lt;&gt;"Serviço",0,IF(AND(AUTOEVENTO="Manual",$M561=1),0,IF(OFFSET(CRONOPLE!$F$14,$M561,BH$13)="",10^12,OFFSET(CRONOPLE!$F$14,$M561,BH$13))))</f>
        <v>1000000000000</v>
      </c>
      <c r="BI561" s="215">
        <f ca="1">IF($D561&lt;&gt;"Serviço",0,IF(AND(AUTOEVENTO="Manual",$M561=1),0,IF(OFFSET(CRONOPLE!$F$14,$M561,BI$13)="",10^12,OFFSET(CRONOPLE!$F$14,$M561,BI$13))))</f>
        <v>1000000000000</v>
      </c>
      <c r="BJ561" s="215">
        <f ca="1">IF($D561&lt;&gt;"Serviço",0,IF(AND(AUTOEVENTO="Manual",$M561=1),0,IF(OFFSET(CRONOPLE!$F$14,$M561,BJ$13)="",10^12,OFFSET(CRONOPLE!$F$14,$M561,BJ$13))))</f>
        <v>1000000000000</v>
      </c>
      <c r="BK561" s="215">
        <f ca="1">IF($D561&lt;&gt;"Serviço",0,IF(AND(AUTOEVENTO="Manual",$M561=1),0,IF(OFFSET(CRONOPLE!$F$14,$M561,BK$13)="",10^12,OFFSET(CRONOPLE!$F$14,$M561,BK$13))))</f>
        <v>1000000000000</v>
      </c>
      <c r="BL561" s="215">
        <f ca="1">IF($D561&lt;&gt;"Serviço",0,IF(AND(AUTOEVENTO="Manual",$M561=1),0,IF(OFFSET(CRONOPLE!$F$14,$M561,BL$13)="",10^12,OFFSET(CRONOPLE!$F$14,$M561,BL$13))))</f>
        <v>1000000000000</v>
      </c>
      <c r="BM561" s="215">
        <f ca="1">IF($D561&lt;&gt;"Serviço",0,IF(AND(AUTOEVENTO="Manual",$M561=1),0,IF(OFFSET(CRONOPLE!$F$14,$M561,BM$13)="",10^12,OFFSET(CRONOPLE!$F$14,$M561,BM$13))))</f>
        <v>1000000000000</v>
      </c>
      <c r="BN561" s="215">
        <f ca="1">IF($D561&lt;&gt;"Serviço",0,IF(AND(AUTOEVENTO="Manual",$M561=1),0,IF(OFFSET(CRONOPLE!$F$14,$M561,BN$13)="",10^12,OFFSET(CRONOPLE!$F$14,$M561,BN$13))))</f>
        <v>1000000000000</v>
      </c>
      <c r="BO561" s="215">
        <f ca="1">IF($D561&lt;&gt;"Serviço",0,IF(AND(AUTOEVENTO="Manual",$M561=1),0,IF(OFFSET(CRONOPLE!$F$14,$M561,BO$13)="",10^12,OFFSET(CRONOPLE!$F$14,$M561,BO$13))))</f>
        <v>1000000000000</v>
      </c>
      <c r="BP561" s="215">
        <f ca="1">IF($D561&lt;&gt;"Serviço",0,IF(AND(AUTOEVENTO="Manual",$M561=1),0,IF(OFFSET(CRONOPLE!$F$14,$M561,BP$13)="",10^12,OFFSET(CRONOPLE!$F$14,$M561,BP$13))))</f>
        <v>1000000000000</v>
      </c>
      <c r="BQ561" s="215">
        <f ca="1">IF($D561&lt;&gt;"Serviço",0,IF(AND(AUTOEVENTO="Manual",$M561=1),0,IF(OFFSET(CRONOPLE!$F$14,$M561,BQ$13)="",10^12,OFFSET(CRONOPLE!$F$14,$M561,BQ$13))))</f>
        <v>1000000000000</v>
      </c>
      <c r="BR561" s="215">
        <f ca="1">IF($D561&lt;&gt;"Serviço",0,IF(AND(AUTOEVENTO="Manual",$M561=1),0,IF(OFFSET(CRONOPLE!$F$14,$M561,BR$13)="",10^12,OFFSET(CRONOPLE!$F$14,$M561,BR$13))))</f>
        <v>1000000000000</v>
      </c>
      <c r="BS561" s="215">
        <f ca="1">IF($D561&lt;&gt;"Serviço",0,IF(AND(AUTOEVENTO="Manual",$M561=1),0,IF(OFFSET(CRONOPLE!$F$14,$M561,BS$13)="",10^12,OFFSET(CRONOPLE!$F$14,$M561,BS$13))))</f>
        <v>1000000000000</v>
      </c>
      <c r="BT561" s="215">
        <f ca="1">IF($D561&lt;&gt;"Serviço",0,IF(AND(AUTOEVENTO="Manual",$M561=1),0,IF(OFFSET(CRONOPLE!$F$14,$M561,BT$13)="",10^12,OFFSET(CRONOPLE!$F$14,$M561,BT$13))))</f>
        <v>1000000000000</v>
      </c>
      <c r="BV561" s="216">
        <f ca="1">IF($D561&lt;&gt;"Serviço",0,IF(OR(AND(AUTOEVENTO="Manual",$M561=1),$M561&gt;(ROW(PLE.lastrow)-ROW(PLE.firstrow))),0,IF(OFFSET(PLE!$G$14,$M561,BV$13)="",10^12,OFFSET(PLE!$G$14,$M561,BV$13))))</f>
        <v>1000000000000</v>
      </c>
      <c r="BW561" s="216">
        <f ca="1">IF($D561&lt;&gt;"Serviço",0,IF(OR(AND(AUTOEVENTO="Manual",$M561=1),$M561&gt;(ROW(PLE.lastrow)-ROW(PLE.firstrow))),0,IF(OFFSET(PLE!$G$14,$M561,BW$13)="",10^12,OFFSET(PLE!$G$14,$M561,BW$13))))</f>
        <v>1000000000000</v>
      </c>
      <c r="BX561" s="216">
        <f ca="1">IF($D561&lt;&gt;"Serviço",0,IF(OR(AND(AUTOEVENTO="Manual",$M561=1),$M561&gt;(ROW(PLE.lastrow)-ROW(PLE.firstrow))),0,IF(OFFSET(PLE!$G$14,$M561,BX$13)="",10^12,OFFSET(PLE!$G$14,$M561,BX$13))))</f>
        <v>1000000000000</v>
      </c>
      <c r="BY561" s="216">
        <f ca="1">IF($D561&lt;&gt;"Serviço",0,IF(OR(AND(AUTOEVENTO="Manual",$M561=1),$M561&gt;(ROW(PLE.lastrow)-ROW(PLE.firstrow))),0,IF(OFFSET(PLE!$G$14,$M561,BY$13)="",10^12,OFFSET(PLE!$G$14,$M561,BY$13))))</f>
        <v>1000000000000</v>
      </c>
      <c r="BZ561" s="216">
        <f ca="1">IF($D561&lt;&gt;"Serviço",0,IF(OR(AND(AUTOEVENTO="Manual",$M561=1),$M561&gt;(ROW(PLE.lastrow)-ROW(PLE.firstrow))),0,IF(OFFSET(PLE!$G$14,$M561,BZ$13)="",10^12,OFFSET(PLE!$G$14,$M561,BZ$13))))</f>
        <v>1000000000000</v>
      </c>
      <c r="CA561" s="216">
        <f ca="1">IF($D561&lt;&gt;"Serviço",0,IF(OR(AND(AUTOEVENTO="Manual",$M561=1),$M561&gt;(ROW(PLE.lastrow)-ROW(PLE.firstrow))),0,IF(OFFSET(PLE!$G$14,$M561,CA$13)="",10^12,OFFSET(PLE!$G$14,$M561,CA$13))))</f>
        <v>1000000000000</v>
      </c>
      <c r="CB561" s="216">
        <f ca="1">IF($D561&lt;&gt;"Serviço",0,IF(OR(AND(AUTOEVENTO="Manual",$M561=1),$M561&gt;(ROW(PLE.lastrow)-ROW(PLE.firstrow))),0,IF(OFFSET(PLE!$G$14,$M561,CB$13)="",10^12,OFFSET(PLE!$G$14,$M561,CB$13))))</f>
        <v>1000000000000</v>
      </c>
      <c r="CC561" s="216">
        <f ca="1">IF($D561&lt;&gt;"Serviço",0,IF(OR(AND(AUTOEVENTO="Manual",$M561=1),$M561&gt;(ROW(PLE.lastrow)-ROW(PLE.firstrow))),0,IF(OFFSET(PLE!$G$14,$M561,CC$13)="",10^12,OFFSET(PLE!$G$14,$M561,CC$13))))</f>
        <v>1000000000000</v>
      </c>
      <c r="CD561" s="216">
        <f ca="1">IF($D561&lt;&gt;"Serviço",0,IF(OR(AND(AUTOEVENTO="Manual",$M561=1),$M561&gt;(ROW(PLE.lastrow)-ROW(PLE.firstrow))),0,IF(OFFSET(PLE!$G$14,$M561,CD$13)="",10^12,OFFSET(PLE!$G$14,$M561,CD$13))))</f>
        <v>1000000000000</v>
      </c>
      <c r="CE561" s="216">
        <f ca="1">IF($D561&lt;&gt;"Serviço",0,IF(OR(AND(AUTOEVENTO="Manual",$M561=1),$M561&gt;(ROW(PLE.lastrow)-ROW(PLE.firstrow))),0,IF(OFFSET(PLE!$G$14,$M561,CE$13)="",10^12,OFFSET(PLE!$G$14,$M561,CE$13))))</f>
        <v>1000000000000</v>
      </c>
      <c r="CF561" s="216">
        <f ca="1">IF($D561&lt;&gt;"Serviço",0,IF(OR(AND(AUTOEVENTO="Manual",$M561=1),$M561&gt;(ROW(PLE.lastrow)-ROW(PLE.firstrow))),0,IF(OFFSET(PLE!$G$14,$M561,CF$13)="",10^12,OFFSET(PLE!$G$14,$M561,CF$13))))</f>
        <v>1000000000000</v>
      </c>
      <c r="CG561" s="216">
        <f ca="1">IF($D561&lt;&gt;"Serviço",0,IF(OR(AND(AUTOEVENTO="Manual",$M561=1),$M561&gt;(ROW(PLE.lastrow)-ROW(PLE.firstrow))),0,IF(OFFSET(PLE!$G$14,$M561,CG$13)="",10^12,OFFSET(PLE!$G$14,$M561,CG$13))))</f>
        <v>1000000000000</v>
      </c>
      <c r="CH561" s="216">
        <f ca="1">IF($D561&lt;&gt;"Serviço",0,IF(OR(AND(AUTOEVENTO="Manual",$M561=1),$M561&gt;(ROW(PLE.lastrow)-ROW(PLE.firstrow))),0,IF(OFFSET(PLE!$G$14,$M561,CH$13)="",10^12,OFFSET(PLE!$G$14,$M561,CH$13))))</f>
        <v>1000000000000</v>
      </c>
      <c r="CI561" s="216">
        <f ca="1">IF($D561&lt;&gt;"Serviço",0,IF(OR(AND(AUTOEVENTO="Manual",$M561=1),$M561&gt;(ROW(PLE.lastrow)-ROW(PLE.firstrow))),0,IF(OFFSET(PLE!$G$14,$M561,CI$13)="",10^12,OFFSET(PLE!$G$14,$M561,CI$13))))</f>
        <v>1000000000000</v>
      </c>
      <c r="CJ561" s="216">
        <f ca="1">IF($D561&lt;&gt;"Serviço",0,IF(OR(AND(AUTOEVENTO="Manual",$M561=1),$M561&gt;(ROW(PLE.lastrow)-ROW(PLE.firstrow))),0,IF(OFFSET(PLE!$G$14,$M561,CJ$13)="",10^12,OFFSET(PLE!$G$14,$M561,CJ$13))))</f>
        <v>1000000000000</v>
      </c>
      <c r="CK561" s="216">
        <f ca="1">IF($D561&lt;&gt;"Serviço",0,IF(OR(AND(AUTOEVENTO="Manual",$M561=1),$M561&gt;(ROW(PLE.lastrow)-ROW(PLE.firstrow))),0,IF(OFFSET(PLE!$G$14,$M561,CK$13)="",10^12,OFFSET(PLE!$G$14,$M561,CK$13))))</f>
        <v>1000000000000</v>
      </c>
      <c r="CL561" s="216">
        <f ca="1">IF($D561&lt;&gt;"Serviço",0,IF(OR(AND(AUTOEVENTO="Manual",$M561=1),$M561&gt;(ROW(PLE.lastrow)-ROW(PLE.firstrow))),0,IF(OFFSET(PLE!$G$14,$M561,CL$13)="",10^12,OFFSET(PLE!$G$14,$M561,CL$13))))</f>
        <v>1000000000000</v>
      </c>
      <c r="CM561" s="216">
        <f ca="1">IF($D561&lt;&gt;"Serviço",0,IF(OR(AND(AUTOEVENTO="Manual",$M561=1),$M561&gt;(ROW(PLE.lastrow)-ROW(PLE.firstrow))),0,IF(OFFSET(PLE!$G$14,$M561,CM$13)="",10^12,OFFSET(PLE!$G$14,$M561,CM$13))))</f>
        <v>1000000000000</v>
      </c>
    </row>
    <row r="562" spans="1:91" ht="13.2" x14ac:dyDescent="0.25">
      <c r="A562" s="9">
        <f t="shared" ca="1" si="17"/>
        <v>0</v>
      </c>
      <c r="B562" s="9" t="str">
        <f ca="1">OFFSET(ORÇAMENTO!C$15,ROW(B562)-ROW(B$15),0)</f>
        <v>S</v>
      </c>
      <c r="C562" s="9" t="str">
        <f ca="1">OFFSET(ORÇAMENTO!L$15,ROW(C562)-ROW(C$15),0)</f>
        <v/>
      </c>
      <c r="D562" s="145" t="str">
        <f ca="1">OFFSET(ORÇAMENTO!N$15,ROW(D562)-ROW(D$15),0)</f>
        <v>Serviço</v>
      </c>
      <c r="E562" s="205" t="str">
        <f ca="1">OFFSET(ORÇAMENTO!O$15,ROW(E562)-ROW(E$15),0)</f>
        <v>-</v>
      </c>
      <c r="F562" s="206" t="str">
        <f ca="1">OFFSET(ORÇAMENTO!R$15,ROW(F562)-ROW(F$15),0)</f>
        <v>(abra o arquivo 'Referência 05-2024.xls)</v>
      </c>
      <c r="G562" s="207" t="str">
        <f ca="1">IF($D562&lt;&gt;"Serviço","",OFFSET(ORÇAMENTO!S$15,ROW(G562)-ROW(G$15),0))</f>
        <v>-</v>
      </c>
      <c r="H562" s="151">
        <f ca="1">IF($D562&lt;&gt;"Serviço",0,IF(ACOMPANHAMENTO="BM",ROUND(OFFSET(ORÇAMENTO!AJ$15,ROW(H562)-ROW(H$15),0),15-13*ORÇAMENTO!$AF$7),SUMPRODUCT(($Q$12:$AI$12&lt;&gt;"")*ROUND($Q562:$AI562,15-13*ORÇAMENTO!$AF$7))))</f>
        <v>42.65</v>
      </c>
      <c r="I562" s="650"/>
      <c r="K562" s="208"/>
      <c r="L562" s="209" t="s">
        <v>257</v>
      </c>
      <c r="M562" s="210">
        <f ca="1">IF($D562&lt;&gt;"Serviço","",IF(AUTOEVENTO="manual",$A562,IF(ISERROR(MATCH($A562,$A$15:OFFSET($A562,-1,0),0)),MAX($M$15:OFFSET(M562,-1,0))+1,INDEX($M$15:OFFSET(M562,-1,0),MATCH($A562,$A$15:OFFSET($A562,-1,0),0)))))</f>
        <v>0</v>
      </c>
      <c r="N562" s="211" t="str">
        <f ca="1">IF($D562&lt;&gt;"Serviço","",IF(AUTOEVENTO="Manual",IF($A562=0,"&lt;-- defina o número do agrupador",OFFSET(EVENTOS!$D$14,$A562,0)),OFFSET($F$15,$A562,0)))</f>
        <v>&lt;-- defina o número do agrupador</v>
      </c>
      <c r="O562" s="212"/>
      <c r="Q562" s="212"/>
      <c r="R562" s="213"/>
      <c r="S562" s="213"/>
      <c r="T562" s="213"/>
      <c r="U562" s="213"/>
      <c r="V562" s="213"/>
      <c r="W562" s="213"/>
      <c r="X562" s="213"/>
      <c r="Y562" s="213"/>
      <c r="Z562" s="214"/>
      <c r="AA562" s="213"/>
      <c r="AB562" s="213"/>
      <c r="AC562" s="213"/>
      <c r="AD562" s="213"/>
      <c r="AE562" s="213"/>
      <c r="AF562" s="213"/>
      <c r="AG562" s="213"/>
      <c r="AH562" s="214"/>
      <c r="AJ562" s="631">
        <f ca="1">IF(AND($D562="Serviço",AJ$12&lt;&gt;0,$H562&gt;0,OR(AUTOEVENTO&lt;&gt;"manual",$M562&lt;&gt;1)),ROUND(OFFSET($P562,0,AJ$13),15-13*ORÇAMENTO!$AF$7)/$H562*OFFSET(ORÇAMENTO!$X$15,ROW(AJ562)-ROW(AJ$15),0),0)</f>
        <v>0</v>
      </c>
      <c r="AK562" s="632">
        <f ca="1">IF(AND($D562="Serviço",AK$12&lt;&gt;0,$H562&gt;0,OR(AUTOEVENTO&lt;&gt;"manual",$M562&lt;&gt;1)),ROUND(OFFSET($P562,0,AK$13),15-13*ORÇAMENTO!$AF$7)/$H562*OFFSET(ORÇAMENTO!$X$15,ROW(AK562)-ROW(AK$15),0),0)</f>
        <v>0</v>
      </c>
      <c r="AL562" s="632">
        <f ca="1">IF(AND($D562="Serviço",AL$12&lt;&gt;0,$H562&gt;0,OR(AUTOEVENTO&lt;&gt;"manual",$M562&lt;&gt;1)),ROUND(OFFSET($P562,0,AL$13),15-13*ORÇAMENTO!$AF$7)/$H562*OFFSET(ORÇAMENTO!$X$15,ROW(AL562)-ROW(AL$15),0),0)</f>
        <v>0</v>
      </c>
      <c r="AM562" s="632">
        <f ca="1">IF(AND($D562="Serviço",AM$12&lt;&gt;0,$H562&gt;0,OR(AUTOEVENTO&lt;&gt;"manual",$M562&lt;&gt;1)),ROUND(OFFSET($P562,0,AM$13),15-13*ORÇAMENTO!$AF$7)/$H562*OFFSET(ORÇAMENTO!$X$15,ROW(AM562)-ROW(AM$15),0),0)</f>
        <v>0</v>
      </c>
      <c r="AN562" s="632">
        <f ca="1">IF(AND($D562="Serviço",AN$12&lt;&gt;0,$H562&gt;0,OR(AUTOEVENTO&lt;&gt;"manual",$M562&lt;&gt;1)),ROUND(OFFSET($P562,0,AN$13),15-13*ORÇAMENTO!$AF$7)/$H562*OFFSET(ORÇAMENTO!$X$15,ROW(AN562)-ROW(AN$15),0),0)</f>
        <v>0</v>
      </c>
      <c r="AO562" s="632">
        <f ca="1">IF(AND($D562="Serviço",AO$12&lt;&gt;0,$H562&gt;0,OR(AUTOEVENTO&lt;&gt;"manual",$M562&lt;&gt;1)),ROUND(OFFSET($P562,0,AO$13),15-13*ORÇAMENTO!$AF$7)/$H562*OFFSET(ORÇAMENTO!$X$15,ROW(AO562)-ROW(AO$15),0),0)</f>
        <v>0</v>
      </c>
      <c r="AP562" s="632">
        <f ca="1">IF(AND($D562="Serviço",AP$12&lt;&gt;0,$H562&gt;0,OR(AUTOEVENTO&lt;&gt;"manual",$M562&lt;&gt;1)),ROUND(OFFSET($P562,0,AP$13),15-13*ORÇAMENTO!$AF$7)/$H562*OFFSET(ORÇAMENTO!$X$15,ROW(AP562)-ROW(AP$15),0),0)</f>
        <v>0</v>
      </c>
      <c r="AQ562" s="632">
        <f ca="1">IF(AND($D562="Serviço",AQ$12&lt;&gt;0,$H562&gt;0,OR(AUTOEVENTO&lt;&gt;"manual",$M562&lt;&gt;1)),ROUND(OFFSET($P562,0,AQ$13),15-13*ORÇAMENTO!$AF$7)/$H562*OFFSET(ORÇAMENTO!$X$15,ROW(AQ562)-ROW(AQ$15),0),0)</f>
        <v>0</v>
      </c>
      <c r="AR562" s="632">
        <f ca="1">IF(AND($D562="Serviço",AR$12&lt;&gt;0,$H562&gt;0,OR(AUTOEVENTO&lt;&gt;"manual",$M562&lt;&gt;1)),ROUND(OFFSET($P562,0,AR$13),15-13*ORÇAMENTO!$AF$7)/$H562*OFFSET(ORÇAMENTO!$X$15,ROW(AR562)-ROW(AR$15),0),0)</f>
        <v>0</v>
      </c>
      <c r="AS562" s="633">
        <f ca="1">IF(AND($D562="Serviço",AS$12&lt;&gt;0,$H562&gt;0,OR(AUTOEVENTO&lt;&gt;"manual",$M562&lt;&gt;1)),ROUND(OFFSET($P562,0,AS$13),15-13*ORÇAMENTO!$AF$7)/$H562*OFFSET(ORÇAMENTO!$X$15,ROW(AS562)-ROW(AS$15),0),0)</f>
        <v>0</v>
      </c>
      <c r="AT562" s="632">
        <f ca="1">IF(AND($D562="Serviço",AT$12&lt;&gt;0,$H562&gt;0,OR(AUTOEVENTO&lt;&gt;"manual",$M562&lt;&gt;1)),ROUND(OFFSET($P562,0,AT$13),15-13*ORÇAMENTO!$AF$7)/$H562*OFFSET(ORÇAMENTO!$X$15,ROW(AT562)-ROW(AT$15),0),0)</f>
        <v>0</v>
      </c>
      <c r="AU562" s="632">
        <f ca="1">IF(AND($D562="Serviço",AU$12&lt;&gt;0,$H562&gt;0,OR(AUTOEVENTO&lt;&gt;"manual",$M562&lt;&gt;1)),ROUND(OFFSET($P562,0,AU$13),15-13*ORÇAMENTO!$AF$7)/$H562*OFFSET(ORÇAMENTO!$X$15,ROW(AU562)-ROW(AU$15),0),0)</f>
        <v>0</v>
      </c>
      <c r="AV562" s="632">
        <f ca="1">IF(AND($D562="Serviço",AV$12&lt;&gt;0,$H562&gt;0,OR(AUTOEVENTO&lt;&gt;"manual",$M562&lt;&gt;1)),ROUND(OFFSET($P562,0,AV$13),15-13*ORÇAMENTO!$AF$7)/$H562*OFFSET(ORÇAMENTO!$X$15,ROW(AV562)-ROW(AV$15),0),0)</f>
        <v>0</v>
      </c>
      <c r="AW562" s="632">
        <f ca="1">IF(AND($D562="Serviço",AW$12&lt;&gt;0,$H562&gt;0,OR(AUTOEVENTO&lt;&gt;"manual",$M562&lt;&gt;1)),ROUND(OFFSET($P562,0,AW$13),15-13*ORÇAMENTO!$AF$7)/$H562*OFFSET(ORÇAMENTO!$X$15,ROW(AW562)-ROW(AW$15),0),0)</f>
        <v>0</v>
      </c>
      <c r="AX562" s="632">
        <f ca="1">IF(AND($D562="Serviço",AX$12&lt;&gt;0,$H562&gt;0,OR(AUTOEVENTO&lt;&gt;"manual",$M562&lt;&gt;1)),ROUND(OFFSET($P562,0,AX$13),15-13*ORÇAMENTO!$AF$7)/$H562*OFFSET(ORÇAMENTO!$X$15,ROW(AX562)-ROW(AX$15),0),0)</f>
        <v>0</v>
      </c>
      <c r="AY562" s="632">
        <f ca="1">IF(AND($D562="Serviço",AY$12&lt;&gt;0,$H562&gt;0,OR(AUTOEVENTO&lt;&gt;"manual",$M562&lt;&gt;1)),ROUND(OFFSET($P562,0,AY$13),15-13*ORÇAMENTO!$AF$7)/$H562*OFFSET(ORÇAMENTO!$X$15,ROW(AY562)-ROW(AY$15),0),0)</f>
        <v>0</v>
      </c>
      <c r="AZ562" s="632">
        <f ca="1">IF(AND($D562="Serviço",AZ$12&lt;&gt;0,$H562&gt;0,OR(AUTOEVENTO&lt;&gt;"manual",$M562&lt;&gt;1)),ROUND(OFFSET($P562,0,AZ$13),15-13*ORÇAMENTO!$AF$7)/$H562*OFFSET(ORÇAMENTO!$X$15,ROW(AZ562)-ROW(AZ$15),0),0)</f>
        <v>0</v>
      </c>
      <c r="BA562" s="633">
        <f ca="1">IF(AND($D562="Serviço",BA$12&lt;&gt;0,$H562&gt;0,OR(AUTOEVENTO&lt;&gt;"manual",$M562&lt;&gt;1)),ROUND(OFFSET($P562,0,BA$13),15-13*ORÇAMENTO!$AF$7)/$H562*OFFSET(ORÇAMENTO!$X$15,ROW(BA562)-ROW(BA$15),0),0)</f>
        <v>0</v>
      </c>
      <c r="BC562" s="215">
        <f ca="1">IF($D562&lt;&gt;"Serviço",0,IF(AND(AUTOEVENTO="Manual",$M562=1),0,IF(OFFSET(CRONOPLE!$F$14,$M562,BC$13)="",10^12,OFFSET(CRONOPLE!$F$14,$M562,BC$13))))</f>
        <v>1000000000000</v>
      </c>
      <c r="BD562" s="215">
        <f ca="1">IF($D562&lt;&gt;"Serviço",0,IF(AND(AUTOEVENTO="Manual",$M562=1),0,IF(OFFSET(CRONOPLE!$F$14,$M562,BD$13)="",10^12,OFFSET(CRONOPLE!$F$14,$M562,BD$13))))</f>
        <v>1000000000000</v>
      </c>
      <c r="BE562" s="215">
        <f ca="1">IF($D562&lt;&gt;"Serviço",0,IF(AND(AUTOEVENTO="Manual",$M562=1),0,IF(OFFSET(CRONOPLE!$F$14,$M562,BE$13)="",10^12,OFFSET(CRONOPLE!$F$14,$M562,BE$13))))</f>
        <v>1000000000000</v>
      </c>
      <c r="BF562" s="215">
        <f ca="1">IF($D562&lt;&gt;"Serviço",0,IF(AND(AUTOEVENTO="Manual",$M562=1),0,IF(OFFSET(CRONOPLE!$F$14,$M562,BF$13)="",10^12,OFFSET(CRONOPLE!$F$14,$M562,BF$13))))</f>
        <v>1000000000000</v>
      </c>
      <c r="BG562" s="215">
        <f ca="1">IF($D562&lt;&gt;"Serviço",0,IF(AND(AUTOEVENTO="Manual",$M562=1),0,IF(OFFSET(CRONOPLE!$F$14,$M562,BG$13)="",10^12,OFFSET(CRONOPLE!$F$14,$M562,BG$13))))</f>
        <v>1000000000000</v>
      </c>
      <c r="BH562" s="215">
        <f ca="1">IF($D562&lt;&gt;"Serviço",0,IF(AND(AUTOEVENTO="Manual",$M562=1),0,IF(OFFSET(CRONOPLE!$F$14,$M562,BH$13)="",10^12,OFFSET(CRONOPLE!$F$14,$M562,BH$13))))</f>
        <v>1000000000000</v>
      </c>
      <c r="BI562" s="215">
        <f ca="1">IF($D562&lt;&gt;"Serviço",0,IF(AND(AUTOEVENTO="Manual",$M562=1),0,IF(OFFSET(CRONOPLE!$F$14,$M562,BI$13)="",10^12,OFFSET(CRONOPLE!$F$14,$M562,BI$13))))</f>
        <v>1000000000000</v>
      </c>
      <c r="BJ562" s="215">
        <f ca="1">IF($D562&lt;&gt;"Serviço",0,IF(AND(AUTOEVENTO="Manual",$M562=1),0,IF(OFFSET(CRONOPLE!$F$14,$M562,BJ$13)="",10^12,OFFSET(CRONOPLE!$F$14,$M562,BJ$13))))</f>
        <v>1000000000000</v>
      </c>
      <c r="BK562" s="215">
        <f ca="1">IF($D562&lt;&gt;"Serviço",0,IF(AND(AUTOEVENTO="Manual",$M562=1),0,IF(OFFSET(CRONOPLE!$F$14,$M562,BK$13)="",10^12,OFFSET(CRONOPLE!$F$14,$M562,BK$13))))</f>
        <v>1000000000000</v>
      </c>
      <c r="BL562" s="215">
        <f ca="1">IF($D562&lt;&gt;"Serviço",0,IF(AND(AUTOEVENTO="Manual",$M562=1),0,IF(OFFSET(CRONOPLE!$F$14,$M562,BL$13)="",10^12,OFFSET(CRONOPLE!$F$14,$M562,BL$13))))</f>
        <v>1000000000000</v>
      </c>
      <c r="BM562" s="215">
        <f ca="1">IF($D562&lt;&gt;"Serviço",0,IF(AND(AUTOEVENTO="Manual",$M562=1),0,IF(OFFSET(CRONOPLE!$F$14,$M562,BM$13)="",10^12,OFFSET(CRONOPLE!$F$14,$M562,BM$13))))</f>
        <v>1000000000000</v>
      </c>
      <c r="BN562" s="215">
        <f ca="1">IF($D562&lt;&gt;"Serviço",0,IF(AND(AUTOEVENTO="Manual",$M562=1),0,IF(OFFSET(CRONOPLE!$F$14,$M562,BN$13)="",10^12,OFFSET(CRONOPLE!$F$14,$M562,BN$13))))</f>
        <v>1000000000000</v>
      </c>
      <c r="BO562" s="215">
        <f ca="1">IF($D562&lt;&gt;"Serviço",0,IF(AND(AUTOEVENTO="Manual",$M562=1),0,IF(OFFSET(CRONOPLE!$F$14,$M562,BO$13)="",10^12,OFFSET(CRONOPLE!$F$14,$M562,BO$13))))</f>
        <v>1000000000000</v>
      </c>
      <c r="BP562" s="215">
        <f ca="1">IF($D562&lt;&gt;"Serviço",0,IF(AND(AUTOEVENTO="Manual",$M562=1),0,IF(OFFSET(CRONOPLE!$F$14,$M562,BP$13)="",10^12,OFFSET(CRONOPLE!$F$14,$M562,BP$13))))</f>
        <v>1000000000000</v>
      </c>
      <c r="BQ562" s="215">
        <f ca="1">IF($D562&lt;&gt;"Serviço",0,IF(AND(AUTOEVENTO="Manual",$M562=1),0,IF(OFFSET(CRONOPLE!$F$14,$M562,BQ$13)="",10^12,OFFSET(CRONOPLE!$F$14,$M562,BQ$13))))</f>
        <v>1000000000000</v>
      </c>
      <c r="BR562" s="215">
        <f ca="1">IF($D562&lt;&gt;"Serviço",0,IF(AND(AUTOEVENTO="Manual",$M562=1),0,IF(OFFSET(CRONOPLE!$F$14,$M562,BR$13)="",10^12,OFFSET(CRONOPLE!$F$14,$M562,BR$13))))</f>
        <v>1000000000000</v>
      </c>
      <c r="BS562" s="215">
        <f ca="1">IF($D562&lt;&gt;"Serviço",0,IF(AND(AUTOEVENTO="Manual",$M562=1),0,IF(OFFSET(CRONOPLE!$F$14,$M562,BS$13)="",10^12,OFFSET(CRONOPLE!$F$14,$M562,BS$13))))</f>
        <v>1000000000000</v>
      </c>
      <c r="BT562" s="215">
        <f ca="1">IF($D562&lt;&gt;"Serviço",0,IF(AND(AUTOEVENTO="Manual",$M562=1),0,IF(OFFSET(CRONOPLE!$F$14,$M562,BT$13)="",10^12,OFFSET(CRONOPLE!$F$14,$M562,BT$13))))</f>
        <v>1000000000000</v>
      </c>
      <c r="BV562" s="216">
        <f ca="1">IF($D562&lt;&gt;"Serviço",0,IF(OR(AND(AUTOEVENTO="Manual",$M562=1),$M562&gt;(ROW(PLE.lastrow)-ROW(PLE.firstrow))),0,IF(OFFSET(PLE!$G$14,$M562,BV$13)="",10^12,OFFSET(PLE!$G$14,$M562,BV$13))))</f>
        <v>1000000000000</v>
      </c>
      <c r="BW562" s="216">
        <f ca="1">IF($D562&lt;&gt;"Serviço",0,IF(OR(AND(AUTOEVENTO="Manual",$M562=1),$M562&gt;(ROW(PLE.lastrow)-ROW(PLE.firstrow))),0,IF(OFFSET(PLE!$G$14,$M562,BW$13)="",10^12,OFFSET(PLE!$G$14,$M562,BW$13))))</f>
        <v>1000000000000</v>
      </c>
      <c r="BX562" s="216">
        <f ca="1">IF($D562&lt;&gt;"Serviço",0,IF(OR(AND(AUTOEVENTO="Manual",$M562=1),$M562&gt;(ROW(PLE.lastrow)-ROW(PLE.firstrow))),0,IF(OFFSET(PLE!$G$14,$M562,BX$13)="",10^12,OFFSET(PLE!$G$14,$M562,BX$13))))</f>
        <v>1000000000000</v>
      </c>
      <c r="BY562" s="216">
        <f ca="1">IF($D562&lt;&gt;"Serviço",0,IF(OR(AND(AUTOEVENTO="Manual",$M562=1),$M562&gt;(ROW(PLE.lastrow)-ROW(PLE.firstrow))),0,IF(OFFSET(PLE!$G$14,$M562,BY$13)="",10^12,OFFSET(PLE!$G$14,$M562,BY$13))))</f>
        <v>1000000000000</v>
      </c>
      <c r="BZ562" s="216">
        <f ca="1">IF($D562&lt;&gt;"Serviço",0,IF(OR(AND(AUTOEVENTO="Manual",$M562=1),$M562&gt;(ROW(PLE.lastrow)-ROW(PLE.firstrow))),0,IF(OFFSET(PLE!$G$14,$M562,BZ$13)="",10^12,OFFSET(PLE!$G$14,$M562,BZ$13))))</f>
        <v>1000000000000</v>
      </c>
      <c r="CA562" s="216">
        <f ca="1">IF($D562&lt;&gt;"Serviço",0,IF(OR(AND(AUTOEVENTO="Manual",$M562=1),$M562&gt;(ROW(PLE.lastrow)-ROW(PLE.firstrow))),0,IF(OFFSET(PLE!$G$14,$M562,CA$13)="",10^12,OFFSET(PLE!$G$14,$M562,CA$13))))</f>
        <v>1000000000000</v>
      </c>
      <c r="CB562" s="216">
        <f ca="1">IF($D562&lt;&gt;"Serviço",0,IF(OR(AND(AUTOEVENTO="Manual",$M562=1),$M562&gt;(ROW(PLE.lastrow)-ROW(PLE.firstrow))),0,IF(OFFSET(PLE!$G$14,$M562,CB$13)="",10^12,OFFSET(PLE!$G$14,$M562,CB$13))))</f>
        <v>1000000000000</v>
      </c>
      <c r="CC562" s="216">
        <f ca="1">IF($D562&lt;&gt;"Serviço",0,IF(OR(AND(AUTOEVENTO="Manual",$M562=1),$M562&gt;(ROW(PLE.lastrow)-ROW(PLE.firstrow))),0,IF(OFFSET(PLE!$G$14,$M562,CC$13)="",10^12,OFFSET(PLE!$G$14,$M562,CC$13))))</f>
        <v>1000000000000</v>
      </c>
      <c r="CD562" s="216">
        <f ca="1">IF($D562&lt;&gt;"Serviço",0,IF(OR(AND(AUTOEVENTO="Manual",$M562=1),$M562&gt;(ROW(PLE.lastrow)-ROW(PLE.firstrow))),0,IF(OFFSET(PLE!$G$14,$M562,CD$13)="",10^12,OFFSET(PLE!$G$14,$M562,CD$13))))</f>
        <v>1000000000000</v>
      </c>
      <c r="CE562" s="216">
        <f ca="1">IF($D562&lt;&gt;"Serviço",0,IF(OR(AND(AUTOEVENTO="Manual",$M562=1),$M562&gt;(ROW(PLE.lastrow)-ROW(PLE.firstrow))),0,IF(OFFSET(PLE!$G$14,$M562,CE$13)="",10^12,OFFSET(PLE!$G$14,$M562,CE$13))))</f>
        <v>1000000000000</v>
      </c>
      <c r="CF562" s="216">
        <f ca="1">IF($D562&lt;&gt;"Serviço",0,IF(OR(AND(AUTOEVENTO="Manual",$M562=1),$M562&gt;(ROW(PLE.lastrow)-ROW(PLE.firstrow))),0,IF(OFFSET(PLE!$G$14,$M562,CF$13)="",10^12,OFFSET(PLE!$G$14,$M562,CF$13))))</f>
        <v>1000000000000</v>
      </c>
      <c r="CG562" s="216">
        <f ca="1">IF($D562&lt;&gt;"Serviço",0,IF(OR(AND(AUTOEVENTO="Manual",$M562=1),$M562&gt;(ROW(PLE.lastrow)-ROW(PLE.firstrow))),0,IF(OFFSET(PLE!$G$14,$M562,CG$13)="",10^12,OFFSET(PLE!$G$14,$M562,CG$13))))</f>
        <v>1000000000000</v>
      </c>
      <c r="CH562" s="216">
        <f ca="1">IF($D562&lt;&gt;"Serviço",0,IF(OR(AND(AUTOEVENTO="Manual",$M562=1),$M562&gt;(ROW(PLE.lastrow)-ROW(PLE.firstrow))),0,IF(OFFSET(PLE!$G$14,$M562,CH$13)="",10^12,OFFSET(PLE!$G$14,$M562,CH$13))))</f>
        <v>1000000000000</v>
      </c>
      <c r="CI562" s="216">
        <f ca="1">IF($D562&lt;&gt;"Serviço",0,IF(OR(AND(AUTOEVENTO="Manual",$M562=1),$M562&gt;(ROW(PLE.lastrow)-ROW(PLE.firstrow))),0,IF(OFFSET(PLE!$G$14,$M562,CI$13)="",10^12,OFFSET(PLE!$G$14,$M562,CI$13))))</f>
        <v>1000000000000</v>
      </c>
      <c r="CJ562" s="216">
        <f ca="1">IF($D562&lt;&gt;"Serviço",0,IF(OR(AND(AUTOEVENTO="Manual",$M562=1),$M562&gt;(ROW(PLE.lastrow)-ROW(PLE.firstrow))),0,IF(OFFSET(PLE!$G$14,$M562,CJ$13)="",10^12,OFFSET(PLE!$G$14,$M562,CJ$13))))</f>
        <v>1000000000000</v>
      </c>
      <c r="CK562" s="216">
        <f ca="1">IF($D562&lt;&gt;"Serviço",0,IF(OR(AND(AUTOEVENTO="Manual",$M562=1),$M562&gt;(ROW(PLE.lastrow)-ROW(PLE.firstrow))),0,IF(OFFSET(PLE!$G$14,$M562,CK$13)="",10^12,OFFSET(PLE!$G$14,$M562,CK$13))))</f>
        <v>1000000000000</v>
      </c>
      <c r="CL562" s="216">
        <f ca="1">IF($D562&lt;&gt;"Serviço",0,IF(OR(AND(AUTOEVENTO="Manual",$M562=1),$M562&gt;(ROW(PLE.lastrow)-ROW(PLE.firstrow))),0,IF(OFFSET(PLE!$G$14,$M562,CL$13)="",10^12,OFFSET(PLE!$G$14,$M562,CL$13))))</f>
        <v>1000000000000</v>
      </c>
      <c r="CM562" s="216">
        <f ca="1">IF($D562&lt;&gt;"Serviço",0,IF(OR(AND(AUTOEVENTO="Manual",$M562=1),$M562&gt;(ROW(PLE.lastrow)-ROW(PLE.firstrow))),0,IF(OFFSET(PLE!$G$14,$M562,CM$13)="",10^12,OFFSET(PLE!$G$14,$M562,CM$13))))</f>
        <v>1000000000000</v>
      </c>
    </row>
    <row r="563" spans="1:91" ht="13.2" x14ac:dyDescent="0.25">
      <c r="A563" s="9">
        <f t="shared" ca="1" si="17"/>
        <v>0</v>
      </c>
      <c r="B563" s="9" t="str">
        <f ca="1">OFFSET(ORÇAMENTO!C$15,ROW(B563)-ROW(B$15),0)</f>
        <v>S</v>
      </c>
      <c r="C563" s="9" t="str">
        <f ca="1">OFFSET(ORÇAMENTO!L$15,ROW(C563)-ROW(C$15),0)</f>
        <v/>
      </c>
      <c r="D563" s="145" t="str">
        <f ca="1">OFFSET(ORÇAMENTO!N$15,ROW(D563)-ROW(D$15),0)</f>
        <v>Serviço</v>
      </c>
      <c r="E563" s="205" t="str">
        <f ca="1">OFFSET(ORÇAMENTO!O$15,ROW(E563)-ROW(E$15),0)</f>
        <v>-</v>
      </c>
      <c r="F563" s="206" t="str">
        <f ca="1">OFFSET(ORÇAMENTO!R$15,ROW(F563)-ROW(F$15),0)</f>
        <v>(abra o arquivo 'Referência 05-2024.xls)</v>
      </c>
      <c r="G563" s="207" t="str">
        <f ca="1">IF($D563&lt;&gt;"Serviço","",OFFSET(ORÇAMENTO!S$15,ROW(G563)-ROW(G$15),0))</f>
        <v>-</v>
      </c>
      <c r="H563" s="151">
        <f ca="1">IF($D563&lt;&gt;"Serviço",0,IF(ACOMPANHAMENTO="BM",ROUND(OFFSET(ORÇAMENTO!AJ$15,ROW(H563)-ROW(H$15),0),15-13*ORÇAMENTO!$AF$7),SUMPRODUCT(($Q$12:$AI$12&lt;&gt;"")*ROUND($Q563:$AI563,15-13*ORÇAMENTO!$AF$7))))</f>
        <v>650.08000000000004</v>
      </c>
      <c r="I563" s="650"/>
      <c r="K563" s="208"/>
      <c r="L563" s="209" t="s">
        <v>257</v>
      </c>
      <c r="M563" s="210">
        <f ca="1">IF($D563&lt;&gt;"Serviço","",IF(AUTOEVENTO="manual",$A563,IF(ISERROR(MATCH($A563,$A$15:OFFSET($A563,-1,0),0)),MAX($M$15:OFFSET(M563,-1,0))+1,INDEX($M$15:OFFSET(M563,-1,0),MATCH($A563,$A$15:OFFSET($A563,-1,0),0)))))</f>
        <v>0</v>
      </c>
      <c r="N563" s="211" t="str">
        <f ca="1">IF($D563&lt;&gt;"Serviço","",IF(AUTOEVENTO="Manual",IF($A563=0,"&lt;-- defina o número do agrupador",OFFSET(EVENTOS!$D$14,$A563,0)),OFFSET($F$15,$A563,0)))</f>
        <v>&lt;-- defina o número do agrupador</v>
      </c>
      <c r="O563" s="212"/>
      <c r="Q563" s="212"/>
      <c r="R563" s="213"/>
      <c r="S563" s="213"/>
      <c r="T563" s="213"/>
      <c r="U563" s="213"/>
      <c r="V563" s="213"/>
      <c r="W563" s="213"/>
      <c r="X563" s="213"/>
      <c r="Y563" s="213"/>
      <c r="Z563" s="214"/>
      <c r="AA563" s="213"/>
      <c r="AB563" s="213"/>
      <c r="AC563" s="213"/>
      <c r="AD563" s="213"/>
      <c r="AE563" s="213"/>
      <c r="AF563" s="213"/>
      <c r="AG563" s="213"/>
      <c r="AH563" s="214"/>
      <c r="AJ563" s="631">
        <f ca="1">IF(AND($D563="Serviço",AJ$12&lt;&gt;0,$H563&gt;0,OR(AUTOEVENTO&lt;&gt;"manual",$M563&lt;&gt;1)),ROUND(OFFSET($P563,0,AJ$13),15-13*ORÇAMENTO!$AF$7)/$H563*OFFSET(ORÇAMENTO!$X$15,ROW(AJ563)-ROW(AJ$15),0),0)</f>
        <v>0</v>
      </c>
      <c r="AK563" s="632">
        <f ca="1">IF(AND($D563="Serviço",AK$12&lt;&gt;0,$H563&gt;0,OR(AUTOEVENTO&lt;&gt;"manual",$M563&lt;&gt;1)),ROUND(OFFSET($P563,0,AK$13),15-13*ORÇAMENTO!$AF$7)/$H563*OFFSET(ORÇAMENTO!$X$15,ROW(AK563)-ROW(AK$15),0),0)</f>
        <v>0</v>
      </c>
      <c r="AL563" s="632">
        <f ca="1">IF(AND($D563="Serviço",AL$12&lt;&gt;0,$H563&gt;0,OR(AUTOEVENTO&lt;&gt;"manual",$M563&lt;&gt;1)),ROUND(OFFSET($P563,0,AL$13),15-13*ORÇAMENTO!$AF$7)/$H563*OFFSET(ORÇAMENTO!$X$15,ROW(AL563)-ROW(AL$15),0),0)</f>
        <v>0</v>
      </c>
      <c r="AM563" s="632">
        <f ca="1">IF(AND($D563="Serviço",AM$12&lt;&gt;0,$H563&gt;0,OR(AUTOEVENTO&lt;&gt;"manual",$M563&lt;&gt;1)),ROUND(OFFSET($P563,0,AM$13),15-13*ORÇAMENTO!$AF$7)/$H563*OFFSET(ORÇAMENTO!$X$15,ROW(AM563)-ROW(AM$15),0),0)</f>
        <v>0</v>
      </c>
      <c r="AN563" s="632">
        <f ca="1">IF(AND($D563="Serviço",AN$12&lt;&gt;0,$H563&gt;0,OR(AUTOEVENTO&lt;&gt;"manual",$M563&lt;&gt;1)),ROUND(OFFSET($P563,0,AN$13),15-13*ORÇAMENTO!$AF$7)/$H563*OFFSET(ORÇAMENTO!$X$15,ROW(AN563)-ROW(AN$15),0),0)</f>
        <v>0</v>
      </c>
      <c r="AO563" s="632">
        <f ca="1">IF(AND($D563="Serviço",AO$12&lt;&gt;0,$H563&gt;0,OR(AUTOEVENTO&lt;&gt;"manual",$M563&lt;&gt;1)),ROUND(OFFSET($P563,0,AO$13),15-13*ORÇAMENTO!$AF$7)/$H563*OFFSET(ORÇAMENTO!$X$15,ROW(AO563)-ROW(AO$15),0),0)</f>
        <v>0</v>
      </c>
      <c r="AP563" s="632">
        <f ca="1">IF(AND($D563="Serviço",AP$12&lt;&gt;0,$H563&gt;0,OR(AUTOEVENTO&lt;&gt;"manual",$M563&lt;&gt;1)),ROUND(OFFSET($P563,0,AP$13),15-13*ORÇAMENTO!$AF$7)/$H563*OFFSET(ORÇAMENTO!$X$15,ROW(AP563)-ROW(AP$15),0),0)</f>
        <v>0</v>
      </c>
      <c r="AQ563" s="632">
        <f ca="1">IF(AND($D563="Serviço",AQ$12&lt;&gt;0,$H563&gt;0,OR(AUTOEVENTO&lt;&gt;"manual",$M563&lt;&gt;1)),ROUND(OFFSET($P563,0,AQ$13),15-13*ORÇAMENTO!$AF$7)/$H563*OFFSET(ORÇAMENTO!$X$15,ROW(AQ563)-ROW(AQ$15),0),0)</f>
        <v>0</v>
      </c>
      <c r="AR563" s="632">
        <f ca="1">IF(AND($D563="Serviço",AR$12&lt;&gt;0,$H563&gt;0,OR(AUTOEVENTO&lt;&gt;"manual",$M563&lt;&gt;1)),ROUND(OFFSET($P563,0,AR$13),15-13*ORÇAMENTO!$AF$7)/$H563*OFFSET(ORÇAMENTO!$X$15,ROW(AR563)-ROW(AR$15),0),0)</f>
        <v>0</v>
      </c>
      <c r="AS563" s="633">
        <f ca="1">IF(AND($D563="Serviço",AS$12&lt;&gt;0,$H563&gt;0,OR(AUTOEVENTO&lt;&gt;"manual",$M563&lt;&gt;1)),ROUND(OFFSET($P563,0,AS$13),15-13*ORÇAMENTO!$AF$7)/$H563*OFFSET(ORÇAMENTO!$X$15,ROW(AS563)-ROW(AS$15),0),0)</f>
        <v>0</v>
      </c>
      <c r="AT563" s="632">
        <f ca="1">IF(AND($D563="Serviço",AT$12&lt;&gt;0,$H563&gt;0,OR(AUTOEVENTO&lt;&gt;"manual",$M563&lt;&gt;1)),ROUND(OFFSET($P563,0,AT$13),15-13*ORÇAMENTO!$AF$7)/$H563*OFFSET(ORÇAMENTO!$X$15,ROW(AT563)-ROW(AT$15),0),0)</f>
        <v>0</v>
      </c>
      <c r="AU563" s="632">
        <f ca="1">IF(AND($D563="Serviço",AU$12&lt;&gt;0,$H563&gt;0,OR(AUTOEVENTO&lt;&gt;"manual",$M563&lt;&gt;1)),ROUND(OFFSET($P563,0,AU$13),15-13*ORÇAMENTO!$AF$7)/$H563*OFFSET(ORÇAMENTO!$X$15,ROW(AU563)-ROW(AU$15),0),0)</f>
        <v>0</v>
      </c>
      <c r="AV563" s="632">
        <f ca="1">IF(AND($D563="Serviço",AV$12&lt;&gt;0,$H563&gt;0,OR(AUTOEVENTO&lt;&gt;"manual",$M563&lt;&gt;1)),ROUND(OFFSET($P563,0,AV$13),15-13*ORÇAMENTO!$AF$7)/$H563*OFFSET(ORÇAMENTO!$X$15,ROW(AV563)-ROW(AV$15),0),0)</f>
        <v>0</v>
      </c>
      <c r="AW563" s="632">
        <f ca="1">IF(AND($D563="Serviço",AW$12&lt;&gt;0,$H563&gt;0,OR(AUTOEVENTO&lt;&gt;"manual",$M563&lt;&gt;1)),ROUND(OFFSET($P563,0,AW$13),15-13*ORÇAMENTO!$AF$7)/$H563*OFFSET(ORÇAMENTO!$X$15,ROW(AW563)-ROW(AW$15),0),0)</f>
        <v>0</v>
      </c>
      <c r="AX563" s="632">
        <f ca="1">IF(AND($D563="Serviço",AX$12&lt;&gt;0,$H563&gt;0,OR(AUTOEVENTO&lt;&gt;"manual",$M563&lt;&gt;1)),ROUND(OFFSET($P563,0,AX$13),15-13*ORÇAMENTO!$AF$7)/$H563*OFFSET(ORÇAMENTO!$X$15,ROW(AX563)-ROW(AX$15),0),0)</f>
        <v>0</v>
      </c>
      <c r="AY563" s="632">
        <f ca="1">IF(AND($D563="Serviço",AY$12&lt;&gt;0,$H563&gt;0,OR(AUTOEVENTO&lt;&gt;"manual",$M563&lt;&gt;1)),ROUND(OFFSET($P563,0,AY$13),15-13*ORÇAMENTO!$AF$7)/$H563*OFFSET(ORÇAMENTO!$X$15,ROW(AY563)-ROW(AY$15),0),0)</f>
        <v>0</v>
      </c>
      <c r="AZ563" s="632">
        <f ca="1">IF(AND($D563="Serviço",AZ$12&lt;&gt;0,$H563&gt;0,OR(AUTOEVENTO&lt;&gt;"manual",$M563&lt;&gt;1)),ROUND(OFFSET($P563,0,AZ$13),15-13*ORÇAMENTO!$AF$7)/$H563*OFFSET(ORÇAMENTO!$X$15,ROW(AZ563)-ROW(AZ$15),0),0)</f>
        <v>0</v>
      </c>
      <c r="BA563" s="633">
        <f ca="1">IF(AND($D563="Serviço",BA$12&lt;&gt;0,$H563&gt;0,OR(AUTOEVENTO&lt;&gt;"manual",$M563&lt;&gt;1)),ROUND(OFFSET($P563,0,BA$13),15-13*ORÇAMENTO!$AF$7)/$H563*OFFSET(ORÇAMENTO!$X$15,ROW(BA563)-ROW(BA$15),0),0)</f>
        <v>0</v>
      </c>
      <c r="BC563" s="215">
        <f ca="1">IF($D563&lt;&gt;"Serviço",0,IF(AND(AUTOEVENTO="Manual",$M563=1),0,IF(OFFSET(CRONOPLE!$F$14,$M563,BC$13)="",10^12,OFFSET(CRONOPLE!$F$14,$M563,BC$13))))</f>
        <v>1000000000000</v>
      </c>
      <c r="BD563" s="215">
        <f ca="1">IF($D563&lt;&gt;"Serviço",0,IF(AND(AUTOEVENTO="Manual",$M563=1),0,IF(OFFSET(CRONOPLE!$F$14,$M563,BD$13)="",10^12,OFFSET(CRONOPLE!$F$14,$M563,BD$13))))</f>
        <v>1000000000000</v>
      </c>
      <c r="BE563" s="215">
        <f ca="1">IF($D563&lt;&gt;"Serviço",0,IF(AND(AUTOEVENTO="Manual",$M563=1),0,IF(OFFSET(CRONOPLE!$F$14,$M563,BE$13)="",10^12,OFFSET(CRONOPLE!$F$14,$M563,BE$13))))</f>
        <v>1000000000000</v>
      </c>
      <c r="BF563" s="215">
        <f ca="1">IF($D563&lt;&gt;"Serviço",0,IF(AND(AUTOEVENTO="Manual",$M563=1),0,IF(OFFSET(CRONOPLE!$F$14,$M563,BF$13)="",10^12,OFFSET(CRONOPLE!$F$14,$M563,BF$13))))</f>
        <v>1000000000000</v>
      </c>
      <c r="BG563" s="215">
        <f ca="1">IF($D563&lt;&gt;"Serviço",0,IF(AND(AUTOEVENTO="Manual",$M563=1),0,IF(OFFSET(CRONOPLE!$F$14,$M563,BG$13)="",10^12,OFFSET(CRONOPLE!$F$14,$M563,BG$13))))</f>
        <v>1000000000000</v>
      </c>
      <c r="BH563" s="215">
        <f ca="1">IF($D563&lt;&gt;"Serviço",0,IF(AND(AUTOEVENTO="Manual",$M563=1),0,IF(OFFSET(CRONOPLE!$F$14,$M563,BH$13)="",10^12,OFFSET(CRONOPLE!$F$14,$M563,BH$13))))</f>
        <v>1000000000000</v>
      </c>
      <c r="BI563" s="215">
        <f ca="1">IF($D563&lt;&gt;"Serviço",0,IF(AND(AUTOEVENTO="Manual",$M563=1),0,IF(OFFSET(CRONOPLE!$F$14,$M563,BI$13)="",10^12,OFFSET(CRONOPLE!$F$14,$M563,BI$13))))</f>
        <v>1000000000000</v>
      </c>
      <c r="BJ563" s="215">
        <f ca="1">IF($D563&lt;&gt;"Serviço",0,IF(AND(AUTOEVENTO="Manual",$M563=1),0,IF(OFFSET(CRONOPLE!$F$14,$M563,BJ$13)="",10^12,OFFSET(CRONOPLE!$F$14,$M563,BJ$13))))</f>
        <v>1000000000000</v>
      </c>
      <c r="BK563" s="215">
        <f ca="1">IF($D563&lt;&gt;"Serviço",0,IF(AND(AUTOEVENTO="Manual",$M563=1),0,IF(OFFSET(CRONOPLE!$F$14,$M563,BK$13)="",10^12,OFFSET(CRONOPLE!$F$14,$M563,BK$13))))</f>
        <v>1000000000000</v>
      </c>
      <c r="BL563" s="215">
        <f ca="1">IF($D563&lt;&gt;"Serviço",0,IF(AND(AUTOEVENTO="Manual",$M563=1),0,IF(OFFSET(CRONOPLE!$F$14,$M563,BL$13)="",10^12,OFFSET(CRONOPLE!$F$14,$M563,BL$13))))</f>
        <v>1000000000000</v>
      </c>
      <c r="BM563" s="215">
        <f ca="1">IF($D563&lt;&gt;"Serviço",0,IF(AND(AUTOEVENTO="Manual",$M563=1),0,IF(OFFSET(CRONOPLE!$F$14,$M563,BM$13)="",10^12,OFFSET(CRONOPLE!$F$14,$M563,BM$13))))</f>
        <v>1000000000000</v>
      </c>
      <c r="BN563" s="215">
        <f ca="1">IF($D563&lt;&gt;"Serviço",0,IF(AND(AUTOEVENTO="Manual",$M563=1),0,IF(OFFSET(CRONOPLE!$F$14,$M563,BN$13)="",10^12,OFFSET(CRONOPLE!$F$14,$M563,BN$13))))</f>
        <v>1000000000000</v>
      </c>
      <c r="BO563" s="215">
        <f ca="1">IF($D563&lt;&gt;"Serviço",0,IF(AND(AUTOEVENTO="Manual",$M563=1),0,IF(OFFSET(CRONOPLE!$F$14,$M563,BO$13)="",10^12,OFFSET(CRONOPLE!$F$14,$M563,BO$13))))</f>
        <v>1000000000000</v>
      </c>
      <c r="BP563" s="215">
        <f ca="1">IF($D563&lt;&gt;"Serviço",0,IF(AND(AUTOEVENTO="Manual",$M563=1),0,IF(OFFSET(CRONOPLE!$F$14,$M563,BP$13)="",10^12,OFFSET(CRONOPLE!$F$14,$M563,BP$13))))</f>
        <v>1000000000000</v>
      </c>
      <c r="BQ563" s="215">
        <f ca="1">IF($D563&lt;&gt;"Serviço",0,IF(AND(AUTOEVENTO="Manual",$M563=1),0,IF(OFFSET(CRONOPLE!$F$14,$M563,BQ$13)="",10^12,OFFSET(CRONOPLE!$F$14,$M563,BQ$13))))</f>
        <v>1000000000000</v>
      </c>
      <c r="BR563" s="215">
        <f ca="1">IF($D563&lt;&gt;"Serviço",0,IF(AND(AUTOEVENTO="Manual",$M563=1),0,IF(OFFSET(CRONOPLE!$F$14,$M563,BR$13)="",10^12,OFFSET(CRONOPLE!$F$14,$M563,BR$13))))</f>
        <v>1000000000000</v>
      </c>
      <c r="BS563" s="215">
        <f ca="1">IF($D563&lt;&gt;"Serviço",0,IF(AND(AUTOEVENTO="Manual",$M563=1),0,IF(OFFSET(CRONOPLE!$F$14,$M563,BS$13)="",10^12,OFFSET(CRONOPLE!$F$14,$M563,BS$13))))</f>
        <v>1000000000000</v>
      </c>
      <c r="BT563" s="215">
        <f ca="1">IF($D563&lt;&gt;"Serviço",0,IF(AND(AUTOEVENTO="Manual",$M563=1),0,IF(OFFSET(CRONOPLE!$F$14,$M563,BT$13)="",10^12,OFFSET(CRONOPLE!$F$14,$M563,BT$13))))</f>
        <v>1000000000000</v>
      </c>
      <c r="BV563" s="216">
        <f ca="1">IF($D563&lt;&gt;"Serviço",0,IF(OR(AND(AUTOEVENTO="Manual",$M563=1),$M563&gt;(ROW(PLE.lastrow)-ROW(PLE.firstrow))),0,IF(OFFSET(PLE!$G$14,$M563,BV$13)="",10^12,OFFSET(PLE!$G$14,$M563,BV$13))))</f>
        <v>1000000000000</v>
      </c>
      <c r="BW563" s="216">
        <f ca="1">IF($D563&lt;&gt;"Serviço",0,IF(OR(AND(AUTOEVENTO="Manual",$M563=1),$M563&gt;(ROW(PLE.lastrow)-ROW(PLE.firstrow))),0,IF(OFFSET(PLE!$G$14,$M563,BW$13)="",10^12,OFFSET(PLE!$G$14,$M563,BW$13))))</f>
        <v>1000000000000</v>
      </c>
      <c r="BX563" s="216">
        <f ca="1">IF($D563&lt;&gt;"Serviço",0,IF(OR(AND(AUTOEVENTO="Manual",$M563=1),$M563&gt;(ROW(PLE.lastrow)-ROW(PLE.firstrow))),0,IF(OFFSET(PLE!$G$14,$M563,BX$13)="",10^12,OFFSET(PLE!$G$14,$M563,BX$13))))</f>
        <v>1000000000000</v>
      </c>
      <c r="BY563" s="216">
        <f ca="1">IF($D563&lt;&gt;"Serviço",0,IF(OR(AND(AUTOEVENTO="Manual",$M563=1),$M563&gt;(ROW(PLE.lastrow)-ROW(PLE.firstrow))),0,IF(OFFSET(PLE!$G$14,$M563,BY$13)="",10^12,OFFSET(PLE!$G$14,$M563,BY$13))))</f>
        <v>1000000000000</v>
      </c>
      <c r="BZ563" s="216">
        <f ca="1">IF($D563&lt;&gt;"Serviço",0,IF(OR(AND(AUTOEVENTO="Manual",$M563=1),$M563&gt;(ROW(PLE.lastrow)-ROW(PLE.firstrow))),0,IF(OFFSET(PLE!$G$14,$M563,BZ$13)="",10^12,OFFSET(PLE!$G$14,$M563,BZ$13))))</f>
        <v>1000000000000</v>
      </c>
      <c r="CA563" s="216">
        <f ca="1">IF($D563&lt;&gt;"Serviço",0,IF(OR(AND(AUTOEVENTO="Manual",$M563=1),$M563&gt;(ROW(PLE.lastrow)-ROW(PLE.firstrow))),0,IF(OFFSET(PLE!$G$14,$M563,CA$13)="",10^12,OFFSET(PLE!$G$14,$M563,CA$13))))</f>
        <v>1000000000000</v>
      </c>
      <c r="CB563" s="216">
        <f ca="1">IF($D563&lt;&gt;"Serviço",0,IF(OR(AND(AUTOEVENTO="Manual",$M563=1),$M563&gt;(ROW(PLE.lastrow)-ROW(PLE.firstrow))),0,IF(OFFSET(PLE!$G$14,$M563,CB$13)="",10^12,OFFSET(PLE!$G$14,$M563,CB$13))))</f>
        <v>1000000000000</v>
      </c>
      <c r="CC563" s="216">
        <f ca="1">IF($D563&lt;&gt;"Serviço",0,IF(OR(AND(AUTOEVENTO="Manual",$M563=1),$M563&gt;(ROW(PLE.lastrow)-ROW(PLE.firstrow))),0,IF(OFFSET(PLE!$G$14,$M563,CC$13)="",10^12,OFFSET(PLE!$G$14,$M563,CC$13))))</f>
        <v>1000000000000</v>
      </c>
      <c r="CD563" s="216">
        <f ca="1">IF($D563&lt;&gt;"Serviço",0,IF(OR(AND(AUTOEVENTO="Manual",$M563=1),$M563&gt;(ROW(PLE.lastrow)-ROW(PLE.firstrow))),0,IF(OFFSET(PLE!$G$14,$M563,CD$13)="",10^12,OFFSET(PLE!$G$14,$M563,CD$13))))</f>
        <v>1000000000000</v>
      </c>
      <c r="CE563" s="216">
        <f ca="1">IF($D563&lt;&gt;"Serviço",0,IF(OR(AND(AUTOEVENTO="Manual",$M563=1),$M563&gt;(ROW(PLE.lastrow)-ROW(PLE.firstrow))),0,IF(OFFSET(PLE!$G$14,$M563,CE$13)="",10^12,OFFSET(PLE!$G$14,$M563,CE$13))))</f>
        <v>1000000000000</v>
      </c>
      <c r="CF563" s="216">
        <f ca="1">IF($D563&lt;&gt;"Serviço",0,IF(OR(AND(AUTOEVENTO="Manual",$M563=1),$M563&gt;(ROW(PLE.lastrow)-ROW(PLE.firstrow))),0,IF(OFFSET(PLE!$G$14,$M563,CF$13)="",10^12,OFFSET(PLE!$G$14,$M563,CF$13))))</f>
        <v>1000000000000</v>
      </c>
      <c r="CG563" s="216">
        <f ca="1">IF($D563&lt;&gt;"Serviço",0,IF(OR(AND(AUTOEVENTO="Manual",$M563=1),$M563&gt;(ROW(PLE.lastrow)-ROW(PLE.firstrow))),0,IF(OFFSET(PLE!$G$14,$M563,CG$13)="",10^12,OFFSET(PLE!$G$14,$M563,CG$13))))</f>
        <v>1000000000000</v>
      </c>
      <c r="CH563" s="216">
        <f ca="1">IF($D563&lt;&gt;"Serviço",0,IF(OR(AND(AUTOEVENTO="Manual",$M563=1),$M563&gt;(ROW(PLE.lastrow)-ROW(PLE.firstrow))),0,IF(OFFSET(PLE!$G$14,$M563,CH$13)="",10^12,OFFSET(PLE!$G$14,$M563,CH$13))))</f>
        <v>1000000000000</v>
      </c>
      <c r="CI563" s="216">
        <f ca="1">IF($D563&lt;&gt;"Serviço",0,IF(OR(AND(AUTOEVENTO="Manual",$M563=1),$M563&gt;(ROW(PLE.lastrow)-ROW(PLE.firstrow))),0,IF(OFFSET(PLE!$G$14,$M563,CI$13)="",10^12,OFFSET(PLE!$G$14,$M563,CI$13))))</f>
        <v>1000000000000</v>
      </c>
      <c r="CJ563" s="216">
        <f ca="1">IF($D563&lt;&gt;"Serviço",0,IF(OR(AND(AUTOEVENTO="Manual",$M563=1),$M563&gt;(ROW(PLE.lastrow)-ROW(PLE.firstrow))),0,IF(OFFSET(PLE!$G$14,$M563,CJ$13)="",10^12,OFFSET(PLE!$G$14,$M563,CJ$13))))</f>
        <v>1000000000000</v>
      </c>
      <c r="CK563" s="216">
        <f ca="1">IF($D563&lt;&gt;"Serviço",0,IF(OR(AND(AUTOEVENTO="Manual",$M563=1),$M563&gt;(ROW(PLE.lastrow)-ROW(PLE.firstrow))),0,IF(OFFSET(PLE!$G$14,$M563,CK$13)="",10^12,OFFSET(PLE!$G$14,$M563,CK$13))))</f>
        <v>1000000000000</v>
      </c>
      <c r="CL563" s="216">
        <f ca="1">IF($D563&lt;&gt;"Serviço",0,IF(OR(AND(AUTOEVENTO="Manual",$M563=1),$M563&gt;(ROW(PLE.lastrow)-ROW(PLE.firstrow))),0,IF(OFFSET(PLE!$G$14,$M563,CL$13)="",10^12,OFFSET(PLE!$G$14,$M563,CL$13))))</f>
        <v>1000000000000</v>
      </c>
      <c r="CM563" s="216">
        <f ca="1">IF($D563&lt;&gt;"Serviço",0,IF(OR(AND(AUTOEVENTO="Manual",$M563=1),$M563&gt;(ROW(PLE.lastrow)-ROW(PLE.firstrow))),0,IF(OFFSET(PLE!$G$14,$M563,CM$13)="",10^12,OFFSET(PLE!$G$14,$M563,CM$13))))</f>
        <v>1000000000000</v>
      </c>
    </row>
    <row r="564" spans="1:91" ht="13.2" x14ac:dyDescent="0.25">
      <c r="A564" s="9">
        <f t="shared" ca="1" si="17"/>
        <v>0</v>
      </c>
      <c r="B564" s="9" t="str">
        <f ca="1">OFFSET(ORÇAMENTO!C$15,ROW(B564)-ROW(B$15),0)</f>
        <v>S</v>
      </c>
      <c r="C564" s="9" t="str">
        <f ca="1">OFFSET(ORÇAMENTO!L$15,ROW(C564)-ROW(C$15),0)</f>
        <v/>
      </c>
      <c r="D564" s="145" t="str">
        <f ca="1">OFFSET(ORÇAMENTO!N$15,ROW(D564)-ROW(D$15),0)</f>
        <v>Serviço</v>
      </c>
      <c r="E564" s="205" t="str">
        <f ca="1">OFFSET(ORÇAMENTO!O$15,ROW(E564)-ROW(E$15),0)</f>
        <v>-</v>
      </c>
      <c r="F564" s="206" t="str">
        <f ca="1">OFFSET(ORÇAMENTO!R$15,ROW(F564)-ROW(F$15),0)</f>
        <v>(abra o arquivo 'Referência 05-2024.xls)</v>
      </c>
      <c r="G564" s="207" t="str">
        <f ca="1">IF($D564&lt;&gt;"Serviço","",OFFSET(ORÇAMENTO!S$15,ROW(G564)-ROW(G$15),0))</f>
        <v>-</v>
      </c>
      <c r="H564" s="151">
        <f ca="1">IF($D564&lt;&gt;"Serviço",0,IF(ACOMPANHAMENTO="BM",ROUND(OFFSET(ORÇAMENTO!AJ$15,ROW(H564)-ROW(H$15),0),15-13*ORÇAMENTO!$AF$7),SUMPRODUCT(($Q$12:$AI$12&lt;&gt;"")*ROUND($Q564:$AI564,15-13*ORÇAMENTO!$AF$7))))</f>
        <v>110.6</v>
      </c>
      <c r="I564" s="650"/>
      <c r="K564" s="208"/>
      <c r="L564" s="209" t="s">
        <v>257</v>
      </c>
      <c r="M564" s="210">
        <f ca="1">IF($D564&lt;&gt;"Serviço","",IF(AUTOEVENTO="manual",$A564,IF(ISERROR(MATCH($A564,$A$15:OFFSET($A564,-1,0),0)),MAX($M$15:OFFSET(M564,-1,0))+1,INDEX($M$15:OFFSET(M564,-1,0),MATCH($A564,$A$15:OFFSET($A564,-1,0),0)))))</f>
        <v>0</v>
      </c>
      <c r="N564" s="211" t="str">
        <f ca="1">IF($D564&lt;&gt;"Serviço","",IF(AUTOEVENTO="Manual",IF($A564=0,"&lt;-- defina o número do agrupador",OFFSET(EVENTOS!$D$14,$A564,0)),OFFSET($F$15,$A564,0)))</f>
        <v>&lt;-- defina o número do agrupador</v>
      </c>
      <c r="O564" s="212"/>
      <c r="Q564" s="212"/>
      <c r="R564" s="213"/>
      <c r="S564" s="213"/>
      <c r="T564" s="213"/>
      <c r="U564" s="213"/>
      <c r="V564" s="213"/>
      <c r="W564" s="213"/>
      <c r="X564" s="213"/>
      <c r="Y564" s="213"/>
      <c r="Z564" s="214"/>
      <c r="AA564" s="213"/>
      <c r="AB564" s="213"/>
      <c r="AC564" s="213"/>
      <c r="AD564" s="213"/>
      <c r="AE564" s="213"/>
      <c r="AF564" s="213"/>
      <c r="AG564" s="213"/>
      <c r="AH564" s="214"/>
      <c r="AJ564" s="631">
        <f ca="1">IF(AND($D564="Serviço",AJ$12&lt;&gt;0,$H564&gt;0,OR(AUTOEVENTO&lt;&gt;"manual",$M564&lt;&gt;1)),ROUND(OFFSET($P564,0,AJ$13),15-13*ORÇAMENTO!$AF$7)/$H564*OFFSET(ORÇAMENTO!$X$15,ROW(AJ564)-ROW(AJ$15),0),0)</f>
        <v>0</v>
      </c>
      <c r="AK564" s="632">
        <f ca="1">IF(AND($D564="Serviço",AK$12&lt;&gt;0,$H564&gt;0,OR(AUTOEVENTO&lt;&gt;"manual",$M564&lt;&gt;1)),ROUND(OFFSET($P564,0,AK$13),15-13*ORÇAMENTO!$AF$7)/$H564*OFFSET(ORÇAMENTO!$X$15,ROW(AK564)-ROW(AK$15),0),0)</f>
        <v>0</v>
      </c>
      <c r="AL564" s="632">
        <f ca="1">IF(AND($D564="Serviço",AL$12&lt;&gt;0,$H564&gt;0,OR(AUTOEVENTO&lt;&gt;"manual",$M564&lt;&gt;1)),ROUND(OFFSET($P564,0,AL$13),15-13*ORÇAMENTO!$AF$7)/$H564*OFFSET(ORÇAMENTO!$X$15,ROW(AL564)-ROW(AL$15),0),0)</f>
        <v>0</v>
      </c>
      <c r="AM564" s="632">
        <f ca="1">IF(AND($D564="Serviço",AM$12&lt;&gt;0,$H564&gt;0,OR(AUTOEVENTO&lt;&gt;"manual",$M564&lt;&gt;1)),ROUND(OFFSET($P564,0,AM$13),15-13*ORÇAMENTO!$AF$7)/$H564*OFFSET(ORÇAMENTO!$X$15,ROW(AM564)-ROW(AM$15),0),0)</f>
        <v>0</v>
      </c>
      <c r="AN564" s="632">
        <f ca="1">IF(AND($D564="Serviço",AN$12&lt;&gt;0,$H564&gt;0,OR(AUTOEVENTO&lt;&gt;"manual",$M564&lt;&gt;1)),ROUND(OFFSET($P564,0,AN$13),15-13*ORÇAMENTO!$AF$7)/$H564*OFFSET(ORÇAMENTO!$X$15,ROW(AN564)-ROW(AN$15),0),0)</f>
        <v>0</v>
      </c>
      <c r="AO564" s="632">
        <f ca="1">IF(AND($D564="Serviço",AO$12&lt;&gt;0,$H564&gt;0,OR(AUTOEVENTO&lt;&gt;"manual",$M564&lt;&gt;1)),ROUND(OFFSET($P564,0,AO$13),15-13*ORÇAMENTO!$AF$7)/$H564*OFFSET(ORÇAMENTO!$X$15,ROW(AO564)-ROW(AO$15),0),0)</f>
        <v>0</v>
      </c>
      <c r="AP564" s="632">
        <f ca="1">IF(AND($D564="Serviço",AP$12&lt;&gt;0,$H564&gt;0,OR(AUTOEVENTO&lt;&gt;"manual",$M564&lt;&gt;1)),ROUND(OFFSET($P564,0,AP$13),15-13*ORÇAMENTO!$AF$7)/$H564*OFFSET(ORÇAMENTO!$X$15,ROW(AP564)-ROW(AP$15),0),0)</f>
        <v>0</v>
      </c>
      <c r="AQ564" s="632">
        <f ca="1">IF(AND($D564="Serviço",AQ$12&lt;&gt;0,$H564&gt;0,OR(AUTOEVENTO&lt;&gt;"manual",$M564&lt;&gt;1)),ROUND(OFFSET($P564,0,AQ$13),15-13*ORÇAMENTO!$AF$7)/$H564*OFFSET(ORÇAMENTO!$X$15,ROW(AQ564)-ROW(AQ$15),0),0)</f>
        <v>0</v>
      </c>
      <c r="AR564" s="632">
        <f ca="1">IF(AND($D564="Serviço",AR$12&lt;&gt;0,$H564&gt;0,OR(AUTOEVENTO&lt;&gt;"manual",$M564&lt;&gt;1)),ROUND(OFFSET($P564,0,AR$13),15-13*ORÇAMENTO!$AF$7)/$H564*OFFSET(ORÇAMENTO!$X$15,ROW(AR564)-ROW(AR$15),0),0)</f>
        <v>0</v>
      </c>
      <c r="AS564" s="633">
        <f ca="1">IF(AND($D564="Serviço",AS$12&lt;&gt;0,$H564&gt;0,OR(AUTOEVENTO&lt;&gt;"manual",$M564&lt;&gt;1)),ROUND(OFFSET($P564,0,AS$13),15-13*ORÇAMENTO!$AF$7)/$H564*OFFSET(ORÇAMENTO!$X$15,ROW(AS564)-ROW(AS$15),0),0)</f>
        <v>0</v>
      </c>
      <c r="AT564" s="632">
        <f ca="1">IF(AND($D564="Serviço",AT$12&lt;&gt;0,$H564&gt;0,OR(AUTOEVENTO&lt;&gt;"manual",$M564&lt;&gt;1)),ROUND(OFFSET($P564,0,AT$13),15-13*ORÇAMENTO!$AF$7)/$H564*OFFSET(ORÇAMENTO!$X$15,ROW(AT564)-ROW(AT$15),0),0)</f>
        <v>0</v>
      </c>
      <c r="AU564" s="632">
        <f ca="1">IF(AND($D564="Serviço",AU$12&lt;&gt;0,$H564&gt;0,OR(AUTOEVENTO&lt;&gt;"manual",$M564&lt;&gt;1)),ROUND(OFFSET($P564,0,AU$13),15-13*ORÇAMENTO!$AF$7)/$H564*OFFSET(ORÇAMENTO!$X$15,ROW(AU564)-ROW(AU$15),0),0)</f>
        <v>0</v>
      </c>
      <c r="AV564" s="632">
        <f ca="1">IF(AND($D564="Serviço",AV$12&lt;&gt;0,$H564&gt;0,OR(AUTOEVENTO&lt;&gt;"manual",$M564&lt;&gt;1)),ROUND(OFFSET($P564,0,AV$13),15-13*ORÇAMENTO!$AF$7)/$H564*OFFSET(ORÇAMENTO!$X$15,ROW(AV564)-ROW(AV$15),0),0)</f>
        <v>0</v>
      </c>
      <c r="AW564" s="632">
        <f ca="1">IF(AND($D564="Serviço",AW$12&lt;&gt;0,$H564&gt;0,OR(AUTOEVENTO&lt;&gt;"manual",$M564&lt;&gt;1)),ROUND(OFFSET($P564,0,AW$13),15-13*ORÇAMENTO!$AF$7)/$H564*OFFSET(ORÇAMENTO!$X$15,ROW(AW564)-ROW(AW$15),0),0)</f>
        <v>0</v>
      </c>
      <c r="AX564" s="632">
        <f ca="1">IF(AND($D564="Serviço",AX$12&lt;&gt;0,$H564&gt;0,OR(AUTOEVENTO&lt;&gt;"manual",$M564&lt;&gt;1)),ROUND(OFFSET($P564,0,AX$13),15-13*ORÇAMENTO!$AF$7)/$H564*OFFSET(ORÇAMENTO!$X$15,ROW(AX564)-ROW(AX$15),0),0)</f>
        <v>0</v>
      </c>
      <c r="AY564" s="632">
        <f ca="1">IF(AND($D564="Serviço",AY$12&lt;&gt;0,$H564&gt;0,OR(AUTOEVENTO&lt;&gt;"manual",$M564&lt;&gt;1)),ROUND(OFFSET($P564,0,AY$13),15-13*ORÇAMENTO!$AF$7)/$H564*OFFSET(ORÇAMENTO!$X$15,ROW(AY564)-ROW(AY$15),0),0)</f>
        <v>0</v>
      </c>
      <c r="AZ564" s="632">
        <f ca="1">IF(AND($D564="Serviço",AZ$12&lt;&gt;0,$H564&gt;0,OR(AUTOEVENTO&lt;&gt;"manual",$M564&lt;&gt;1)),ROUND(OFFSET($P564,0,AZ$13),15-13*ORÇAMENTO!$AF$7)/$H564*OFFSET(ORÇAMENTO!$X$15,ROW(AZ564)-ROW(AZ$15),0),0)</f>
        <v>0</v>
      </c>
      <c r="BA564" s="633">
        <f ca="1">IF(AND($D564="Serviço",BA$12&lt;&gt;0,$H564&gt;0,OR(AUTOEVENTO&lt;&gt;"manual",$M564&lt;&gt;1)),ROUND(OFFSET($P564,0,BA$13),15-13*ORÇAMENTO!$AF$7)/$H564*OFFSET(ORÇAMENTO!$X$15,ROW(BA564)-ROW(BA$15),0),0)</f>
        <v>0</v>
      </c>
      <c r="BC564" s="215">
        <f ca="1">IF($D564&lt;&gt;"Serviço",0,IF(AND(AUTOEVENTO="Manual",$M564=1),0,IF(OFFSET(CRONOPLE!$F$14,$M564,BC$13)="",10^12,OFFSET(CRONOPLE!$F$14,$M564,BC$13))))</f>
        <v>1000000000000</v>
      </c>
      <c r="BD564" s="215">
        <f ca="1">IF($D564&lt;&gt;"Serviço",0,IF(AND(AUTOEVENTO="Manual",$M564=1),0,IF(OFFSET(CRONOPLE!$F$14,$M564,BD$13)="",10^12,OFFSET(CRONOPLE!$F$14,$M564,BD$13))))</f>
        <v>1000000000000</v>
      </c>
      <c r="BE564" s="215">
        <f ca="1">IF($D564&lt;&gt;"Serviço",0,IF(AND(AUTOEVENTO="Manual",$M564=1),0,IF(OFFSET(CRONOPLE!$F$14,$M564,BE$13)="",10^12,OFFSET(CRONOPLE!$F$14,$M564,BE$13))))</f>
        <v>1000000000000</v>
      </c>
      <c r="BF564" s="215">
        <f ca="1">IF($D564&lt;&gt;"Serviço",0,IF(AND(AUTOEVENTO="Manual",$M564=1),0,IF(OFFSET(CRONOPLE!$F$14,$M564,BF$13)="",10^12,OFFSET(CRONOPLE!$F$14,$M564,BF$13))))</f>
        <v>1000000000000</v>
      </c>
      <c r="BG564" s="215">
        <f ca="1">IF($D564&lt;&gt;"Serviço",0,IF(AND(AUTOEVENTO="Manual",$M564=1),0,IF(OFFSET(CRONOPLE!$F$14,$M564,BG$13)="",10^12,OFFSET(CRONOPLE!$F$14,$M564,BG$13))))</f>
        <v>1000000000000</v>
      </c>
      <c r="BH564" s="215">
        <f ca="1">IF($D564&lt;&gt;"Serviço",0,IF(AND(AUTOEVENTO="Manual",$M564=1),0,IF(OFFSET(CRONOPLE!$F$14,$M564,BH$13)="",10^12,OFFSET(CRONOPLE!$F$14,$M564,BH$13))))</f>
        <v>1000000000000</v>
      </c>
      <c r="BI564" s="215">
        <f ca="1">IF($D564&lt;&gt;"Serviço",0,IF(AND(AUTOEVENTO="Manual",$M564=1),0,IF(OFFSET(CRONOPLE!$F$14,$M564,BI$13)="",10^12,OFFSET(CRONOPLE!$F$14,$M564,BI$13))))</f>
        <v>1000000000000</v>
      </c>
      <c r="BJ564" s="215">
        <f ca="1">IF($D564&lt;&gt;"Serviço",0,IF(AND(AUTOEVENTO="Manual",$M564=1),0,IF(OFFSET(CRONOPLE!$F$14,$M564,BJ$13)="",10^12,OFFSET(CRONOPLE!$F$14,$M564,BJ$13))))</f>
        <v>1000000000000</v>
      </c>
      <c r="BK564" s="215">
        <f ca="1">IF($D564&lt;&gt;"Serviço",0,IF(AND(AUTOEVENTO="Manual",$M564=1),0,IF(OFFSET(CRONOPLE!$F$14,$M564,BK$13)="",10^12,OFFSET(CRONOPLE!$F$14,$M564,BK$13))))</f>
        <v>1000000000000</v>
      </c>
      <c r="BL564" s="215">
        <f ca="1">IF($D564&lt;&gt;"Serviço",0,IF(AND(AUTOEVENTO="Manual",$M564=1),0,IF(OFFSET(CRONOPLE!$F$14,$M564,BL$13)="",10^12,OFFSET(CRONOPLE!$F$14,$M564,BL$13))))</f>
        <v>1000000000000</v>
      </c>
      <c r="BM564" s="215">
        <f ca="1">IF($D564&lt;&gt;"Serviço",0,IF(AND(AUTOEVENTO="Manual",$M564=1),0,IF(OFFSET(CRONOPLE!$F$14,$M564,BM$13)="",10^12,OFFSET(CRONOPLE!$F$14,$M564,BM$13))))</f>
        <v>1000000000000</v>
      </c>
      <c r="BN564" s="215">
        <f ca="1">IF($D564&lt;&gt;"Serviço",0,IF(AND(AUTOEVENTO="Manual",$M564=1),0,IF(OFFSET(CRONOPLE!$F$14,$M564,BN$13)="",10^12,OFFSET(CRONOPLE!$F$14,$M564,BN$13))))</f>
        <v>1000000000000</v>
      </c>
      <c r="BO564" s="215">
        <f ca="1">IF($D564&lt;&gt;"Serviço",0,IF(AND(AUTOEVENTO="Manual",$M564=1),0,IF(OFFSET(CRONOPLE!$F$14,$M564,BO$13)="",10^12,OFFSET(CRONOPLE!$F$14,$M564,BO$13))))</f>
        <v>1000000000000</v>
      </c>
      <c r="BP564" s="215">
        <f ca="1">IF($D564&lt;&gt;"Serviço",0,IF(AND(AUTOEVENTO="Manual",$M564=1),0,IF(OFFSET(CRONOPLE!$F$14,$M564,BP$13)="",10^12,OFFSET(CRONOPLE!$F$14,$M564,BP$13))))</f>
        <v>1000000000000</v>
      </c>
      <c r="BQ564" s="215">
        <f ca="1">IF($D564&lt;&gt;"Serviço",0,IF(AND(AUTOEVENTO="Manual",$M564=1),0,IF(OFFSET(CRONOPLE!$F$14,$M564,BQ$13)="",10^12,OFFSET(CRONOPLE!$F$14,$M564,BQ$13))))</f>
        <v>1000000000000</v>
      </c>
      <c r="BR564" s="215">
        <f ca="1">IF($D564&lt;&gt;"Serviço",0,IF(AND(AUTOEVENTO="Manual",$M564=1),0,IF(OFFSET(CRONOPLE!$F$14,$M564,BR$13)="",10^12,OFFSET(CRONOPLE!$F$14,$M564,BR$13))))</f>
        <v>1000000000000</v>
      </c>
      <c r="BS564" s="215">
        <f ca="1">IF($D564&lt;&gt;"Serviço",0,IF(AND(AUTOEVENTO="Manual",$M564=1),0,IF(OFFSET(CRONOPLE!$F$14,$M564,BS$13)="",10^12,OFFSET(CRONOPLE!$F$14,$M564,BS$13))))</f>
        <v>1000000000000</v>
      </c>
      <c r="BT564" s="215">
        <f ca="1">IF($D564&lt;&gt;"Serviço",0,IF(AND(AUTOEVENTO="Manual",$M564=1),0,IF(OFFSET(CRONOPLE!$F$14,$M564,BT$13)="",10^12,OFFSET(CRONOPLE!$F$14,$M564,BT$13))))</f>
        <v>1000000000000</v>
      </c>
      <c r="BV564" s="216">
        <f ca="1">IF($D564&lt;&gt;"Serviço",0,IF(OR(AND(AUTOEVENTO="Manual",$M564=1),$M564&gt;(ROW(PLE.lastrow)-ROW(PLE.firstrow))),0,IF(OFFSET(PLE!$G$14,$M564,BV$13)="",10^12,OFFSET(PLE!$G$14,$M564,BV$13))))</f>
        <v>1000000000000</v>
      </c>
      <c r="BW564" s="216">
        <f ca="1">IF($D564&lt;&gt;"Serviço",0,IF(OR(AND(AUTOEVENTO="Manual",$M564=1),$M564&gt;(ROW(PLE.lastrow)-ROW(PLE.firstrow))),0,IF(OFFSET(PLE!$G$14,$M564,BW$13)="",10^12,OFFSET(PLE!$G$14,$M564,BW$13))))</f>
        <v>1000000000000</v>
      </c>
      <c r="BX564" s="216">
        <f ca="1">IF($D564&lt;&gt;"Serviço",0,IF(OR(AND(AUTOEVENTO="Manual",$M564=1),$M564&gt;(ROW(PLE.lastrow)-ROW(PLE.firstrow))),0,IF(OFFSET(PLE!$G$14,$M564,BX$13)="",10^12,OFFSET(PLE!$G$14,$M564,BX$13))))</f>
        <v>1000000000000</v>
      </c>
      <c r="BY564" s="216">
        <f ca="1">IF($D564&lt;&gt;"Serviço",0,IF(OR(AND(AUTOEVENTO="Manual",$M564=1),$M564&gt;(ROW(PLE.lastrow)-ROW(PLE.firstrow))),0,IF(OFFSET(PLE!$G$14,$M564,BY$13)="",10^12,OFFSET(PLE!$G$14,$M564,BY$13))))</f>
        <v>1000000000000</v>
      </c>
      <c r="BZ564" s="216">
        <f ca="1">IF($D564&lt;&gt;"Serviço",0,IF(OR(AND(AUTOEVENTO="Manual",$M564=1),$M564&gt;(ROW(PLE.lastrow)-ROW(PLE.firstrow))),0,IF(OFFSET(PLE!$G$14,$M564,BZ$13)="",10^12,OFFSET(PLE!$G$14,$M564,BZ$13))))</f>
        <v>1000000000000</v>
      </c>
      <c r="CA564" s="216">
        <f ca="1">IF($D564&lt;&gt;"Serviço",0,IF(OR(AND(AUTOEVENTO="Manual",$M564=1),$M564&gt;(ROW(PLE.lastrow)-ROW(PLE.firstrow))),0,IF(OFFSET(PLE!$G$14,$M564,CA$13)="",10^12,OFFSET(PLE!$G$14,$M564,CA$13))))</f>
        <v>1000000000000</v>
      </c>
      <c r="CB564" s="216">
        <f ca="1">IF($D564&lt;&gt;"Serviço",0,IF(OR(AND(AUTOEVENTO="Manual",$M564=1),$M564&gt;(ROW(PLE.lastrow)-ROW(PLE.firstrow))),0,IF(OFFSET(PLE!$G$14,$M564,CB$13)="",10^12,OFFSET(PLE!$G$14,$M564,CB$13))))</f>
        <v>1000000000000</v>
      </c>
      <c r="CC564" s="216">
        <f ca="1">IF($D564&lt;&gt;"Serviço",0,IF(OR(AND(AUTOEVENTO="Manual",$M564=1),$M564&gt;(ROW(PLE.lastrow)-ROW(PLE.firstrow))),0,IF(OFFSET(PLE!$G$14,$M564,CC$13)="",10^12,OFFSET(PLE!$G$14,$M564,CC$13))))</f>
        <v>1000000000000</v>
      </c>
      <c r="CD564" s="216">
        <f ca="1">IF($D564&lt;&gt;"Serviço",0,IF(OR(AND(AUTOEVENTO="Manual",$M564=1),$M564&gt;(ROW(PLE.lastrow)-ROW(PLE.firstrow))),0,IF(OFFSET(PLE!$G$14,$M564,CD$13)="",10^12,OFFSET(PLE!$G$14,$M564,CD$13))))</f>
        <v>1000000000000</v>
      </c>
      <c r="CE564" s="216">
        <f ca="1">IF($D564&lt;&gt;"Serviço",0,IF(OR(AND(AUTOEVENTO="Manual",$M564=1),$M564&gt;(ROW(PLE.lastrow)-ROW(PLE.firstrow))),0,IF(OFFSET(PLE!$G$14,$M564,CE$13)="",10^12,OFFSET(PLE!$G$14,$M564,CE$13))))</f>
        <v>1000000000000</v>
      </c>
      <c r="CF564" s="216">
        <f ca="1">IF($D564&lt;&gt;"Serviço",0,IF(OR(AND(AUTOEVENTO="Manual",$M564=1),$M564&gt;(ROW(PLE.lastrow)-ROW(PLE.firstrow))),0,IF(OFFSET(PLE!$G$14,$M564,CF$13)="",10^12,OFFSET(PLE!$G$14,$M564,CF$13))))</f>
        <v>1000000000000</v>
      </c>
      <c r="CG564" s="216">
        <f ca="1">IF($D564&lt;&gt;"Serviço",0,IF(OR(AND(AUTOEVENTO="Manual",$M564=1),$M564&gt;(ROW(PLE.lastrow)-ROW(PLE.firstrow))),0,IF(OFFSET(PLE!$G$14,$M564,CG$13)="",10^12,OFFSET(PLE!$G$14,$M564,CG$13))))</f>
        <v>1000000000000</v>
      </c>
      <c r="CH564" s="216">
        <f ca="1">IF($D564&lt;&gt;"Serviço",0,IF(OR(AND(AUTOEVENTO="Manual",$M564=1),$M564&gt;(ROW(PLE.lastrow)-ROW(PLE.firstrow))),0,IF(OFFSET(PLE!$G$14,$M564,CH$13)="",10^12,OFFSET(PLE!$G$14,$M564,CH$13))))</f>
        <v>1000000000000</v>
      </c>
      <c r="CI564" s="216">
        <f ca="1">IF($D564&lt;&gt;"Serviço",0,IF(OR(AND(AUTOEVENTO="Manual",$M564=1),$M564&gt;(ROW(PLE.lastrow)-ROW(PLE.firstrow))),0,IF(OFFSET(PLE!$G$14,$M564,CI$13)="",10^12,OFFSET(PLE!$G$14,$M564,CI$13))))</f>
        <v>1000000000000</v>
      </c>
      <c r="CJ564" s="216">
        <f ca="1">IF($D564&lt;&gt;"Serviço",0,IF(OR(AND(AUTOEVENTO="Manual",$M564=1),$M564&gt;(ROW(PLE.lastrow)-ROW(PLE.firstrow))),0,IF(OFFSET(PLE!$G$14,$M564,CJ$13)="",10^12,OFFSET(PLE!$G$14,$M564,CJ$13))))</f>
        <v>1000000000000</v>
      </c>
      <c r="CK564" s="216">
        <f ca="1">IF($D564&lt;&gt;"Serviço",0,IF(OR(AND(AUTOEVENTO="Manual",$M564=1),$M564&gt;(ROW(PLE.lastrow)-ROW(PLE.firstrow))),0,IF(OFFSET(PLE!$G$14,$M564,CK$13)="",10^12,OFFSET(PLE!$G$14,$M564,CK$13))))</f>
        <v>1000000000000</v>
      </c>
      <c r="CL564" s="216">
        <f ca="1">IF($D564&lt;&gt;"Serviço",0,IF(OR(AND(AUTOEVENTO="Manual",$M564=1),$M564&gt;(ROW(PLE.lastrow)-ROW(PLE.firstrow))),0,IF(OFFSET(PLE!$G$14,$M564,CL$13)="",10^12,OFFSET(PLE!$G$14,$M564,CL$13))))</f>
        <v>1000000000000</v>
      </c>
      <c r="CM564" s="216">
        <f ca="1">IF($D564&lt;&gt;"Serviço",0,IF(OR(AND(AUTOEVENTO="Manual",$M564=1),$M564&gt;(ROW(PLE.lastrow)-ROW(PLE.firstrow))),0,IF(OFFSET(PLE!$G$14,$M564,CM$13)="",10^12,OFFSET(PLE!$G$14,$M564,CM$13))))</f>
        <v>1000000000000</v>
      </c>
    </row>
    <row r="565" spans="1:91" ht="13.2" x14ac:dyDescent="0.25">
      <c r="A565" s="9">
        <f t="shared" ca="1" si="17"/>
        <v>0</v>
      </c>
      <c r="B565" s="9" t="str">
        <f ca="1">OFFSET(ORÇAMENTO!C$15,ROW(B565)-ROW(B$15),0)</f>
        <v>S</v>
      </c>
      <c r="C565" s="9" t="str">
        <f ca="1">OFFSET(ORÇAMENTO!L$15,ROW(C565)-ROW(C$15),0)</f>
        <v/>
      </c>
      <c r="D565" s="145" t="str">
        <f ca="1">OFFSET(ORÇAMENTO!N$15,ROW(D565)-ROW(D$15),0)</f>
        <v>Serviço</v>
      </c>
      <c r="E565" s="205" t="str">
        <f ca="1">OFFSET(ORÇAMENTO!O$15,ROW(E565)-ROW(E$15),0)</f>
        <v>-</v>
      </c>
      <c r="F565" s="206" t="str">
        <f ca="1">OFFSET(ORÇAMENTO!R$15,ROW(F565)-ROW(F$15),0)</f>
        <v>(abra o arquivo 'Referência 05-2024.xls)</v>
      </c>
      <c r="G565" s="207" t="str">
        <f ca="1">IF($D565&lt;&gt;"Serviço","",OFFSET(ORÇAMENTO!S$15,ROW(G565)-ROW(G$15),0))</f>
        <v>-</v>
      </c>
      <c r="H565" s="151">
        <f ca="1">IF($D565&lt;&gt;"Serviço",0,IF(ACOMPANHAMENTO="BM",ROUND(OFFSET(ORÇAMENTO!AJ$15,ROW(H565)-ROW(H$15),0),15-13*ORÇAMENTO!$AF$7),SUMPRODUCT(($Q$12:$AI$12&lt;&gt;"")*ROUND($Q565:$AI565,15-13*ORÇAMENTO!$AF$7))))</f>
        <v>7</v>
      </c>
      <c r="I565" s="650"/>
      <c r="K565" s="208"/>
      <c r="L565" s="209" t="s">
        <v>257</v>
      </c>
      <c r="M565" s="210">
        <f ca="1">IF($D565&lt;&gt;"Serviço","",IF(AUTOEVENTO="manual",$A565,IF(ISERROR(MATCH($A565,$A$15:OFFSET($A565,-1,0),0)),MAX($M$15:OFFSET(M565,-1,0))+1,INDEX($M$15:OFFSET(M565,-1,0),MATCH($A565,$A$15:OFFSET($A565,-1,0),0)))))</f>
        <v>0</v>
      </c>
      <c r="N565" s="211" t="str">
        <f ca="1">IF($D565&lt;&gt;"Serviço","",IF(AUTOEVENTO="Manual",IF($A565=0,"&lt;-- defina o número do agrupador",OFFSET(EVENTOS!$D$14,$A565,0)),OFFSET($F$15,$A565,0)))</f>
        <v>&lt;-- defina o número do agrupador</v>
      </c>
      <c r="O565" s="212"/>
      <c r="Q565" s="212"/>
      <c r="R565" s="213"/>
      <c r="S565" s="213"/>
      <c r="T565" s="213"/>
      <c r="U565" s="213"/>
      <c r="V565" s="213"/>
      <c r="W565" s="213"/>
      <c r="X565" s="213"/>
      <c r="Y565" s="213"/>
      <c r="Z565" s="214"/>
      <c r="AA565" s="213"/>
      <c r="AB565" s="213"/>
      <c r="AC565" s="213"/>
      <c r="AD565" s="213"/>
      <c r="AE565" s="213"/>
      <c r="AF565" s="213"/>
      <c r="AG565" s="213"/>
      <c r="AH565" s="214"/>
      <c r="AJ565" s="631">
        <f ca="1">IF(AND($D565="Serviço",AJ$12&lt;&gt;0,$H565&gt;0,OR(AUTOEVENTO&lt;&gt;"manual",$M565&lt;&gt;1)),ROUND(OFFSET($P565,0,AJ$13),15-13*ORÇAMENTO!$AF$7)/$H565*OFFSET(ORÇAMENTO!$X$15,ROW(AJ565)-ROW(AJ$15),0),0)</f>
        <v>0</v>
      </c>
      <c r="AK565" s="632">
        <f ca="1">IF(AND($D565="Serviço",AK$12&lt;&gt;0,$H565&gt;0,OR(AUTOEVENTO&lt;&gt;"manual",$M565&lt;&gt;1)),ROUND(OFFSET($P565,0,AK$13),15-13*ORÇAMENTO!$AF$7)/$H565*OFFSET(ORÇAMENTO!$X$15,ROW(AK565)-ROW(AK$15),0),0)</f>
        <v>0</v>
      </c>
      <c r="AL565" s="632">
        <f ca="1">IF(AND($D565="Serviço",AL$12&lt;&gt;0,$H565&gt;0,OR(AUTOEVENTO&lt;&gt;"manual",$M565&lt;&gt;1)),ROUND(OFFSET($P565,0,AL$13),15-13*ORÇAMENTO!$AF$7)/$H565*OFFSET(ORÇAMENTO!$X$15,ROW(AL565)-ROW(AL$15),0),0)</f>
        <v>0</v>
      </c>
      <c r="AM565" s="632">
        <f ca="1">IF(AND($D565="Serviço",AM$12&lt;&gt;0,$H565&gt;0,OR(AUTOEVENTO&lt;&gt;"manual",$M565&lt;&gt;1)),ROUND(OFFSET($P565,0,AM$13),15-13*ORÇAMENTO!$AF$7)/$H565*OFFSET(ORÇAMENTO!$X$15,ROW(AM565)-ROW(AM$15),0),0)</f>
        <v>0</v>
      </c>
      <c r="AN565" s="632">
        <f ca="1">IF(AND($D565="Serviço",AN$12&lt;&gt;0,$H565&gt;0,OR(AUTOEVENTO&lt;&gt;"manual",$M565&lt;&gt;1)),ROUND(OFFSET($P565,0,AN$13),15-13*ORÇAMENTO!$AF$7)/$H565*OFFSET(ORÇAMENTO!$X$15,ROW(AN565)-ROW(AN$15),0),0)</f>
        <v>0</v>
      </c>
      <c r="AO565" s="632">
        <f ca="1">IF(AND($D565="Serviço",AO$12&lt;&gt;0,$H565&gt;0,OR(AUTOEVENTO&lt;&gt;"manual",$M565&lt;&gt;1)),ROUND(OFFSET($P565,0,AO$13),15-13*ORÇAMENTO!$AF$7)/$H565*OFFSET(ORÇAMENTO!$X$15,ROW(AO565)-ROW(AO$15),0),0)</f>
        <v>0</v>
      </c>
      <c r="AP565" s="632">
        <f ca="1">IF(AND($D565="Serviço",AP$12&lt;&gt;0,$H565&gt;0,OR(AUTOEVENTO&lt;&gt;"manual",$M565&lt;&gt;1)),ROUND(OFFSET($P565,0,AP$13),15-13*ORÇAMENTO!$AF$7)/$H565*OFFSET(ORÇAMENTO!$X$15,ROW(AP565)-ROW(AP$15),0),0)</f>
        <v>0</v>
      </c>
      <c r="AQ565" s="632">
        <f ca="1">IF(AND($D565="Serviço",AQ$12&lt;&gt;0,$H565&gt;0,OR(AUTOEVENTO&lt;&gt;"manual",$M565&lt;&gt;1)),ROUND(OFFSET($P565,0,AQ$13),15-13*ORÇAMENTO!$AF$7)/$H565*OFFSET(ORÇAMENTO!$X$15,ROW(AQ565)-ROW(AQ$15),0),0)</f>
        <v>0</v>
      </c>
      <c r="AR565" s="632">
        <f ca="1">IF(AND($D565="Serviço",AR$12&lt;&gt;0,$H565&gt;0,OR(AUTOEVENTO&lt;&gt;"manual",$M565&lt;&gt;1)),ROUND(OFFSET($P565,0,AR$13),15-13*ORÇAMENTO!$AF$7)/$H565*OFFSET(ORÇAMENTO!$X$15,ROW(AR565)-ROW(AR$15),0),0)</f>
        <v>0</v>
      </c>
      <c r="AS565" s="633">
        <f ca="1">IF(AND($D565="Serviço",AS$12&lt;&gt;0,$H565&gt;0,OR(AUTOEVENTO&lt;&gt;"manual",$M565&lt;&gt;1)),ROUND(OFFSET($P565,0,AS$13),15-13*ORÇAMENTO!$AF$7)/$H565*OFFSET(ORÇAMENTO!$X$15,ROW(AS565)-ROW(AS$15),0),0)</f>
        <v>0</v>
      </c>
      <c r="AT565" s="632">
        <f ca="1">IF(AND($D565="Serviço",AT$12&lt;&gt;0,$H565&gt;0,OR(AUTOEVENTO&lt;&gt;"manual",$M565&lt;&gt;1)),ROUND(OFFSET($P565,0,AT$13),15-13*ORÇAMENTO!$AF$7)/$H565*OFFSET(ORÇAMENTO!$X$15,ROW(AT565)-ROW(AT$15),0),0)</f>
        <v>0</v>
      </c>
      <c r="AU565" s="632">
        <f ca="1">IF(AND($D565="Serviço",AU$12&lt;&gt;0,$H565&gt;0,OR(AUTOEVENTO&lt;&gt;"manual",$M565&lt;&gt;1)),ROUND(OFFSET($P565,0,AU$13),15-13*ORÇAMENTO!$AF$7)/$H565*OFFSET(ORÇAMENTO!$X$15,ROW(AU565)-ROW(AU$15),0),0)</f>
        <v>0</v>
      </c>
      <c r="AV565" s="632">
        <f ca="1">IF(AND($D565="Serviço",AV$12&lt;&gt;0,$H565&gt;0,OR(AUTOEVENTO&lt;&gt;"manual",$M565&lt;&gt;1)),ROUND(OFFSET($P565,0,AV$13),15-13*ORÇAMENTO!$AF$7)/$H565*OFFSET(ORÇAMENTO!$X$15,ROW(AV565)-ROW(AV$15),0),0)</f>
        <v>0</v>
      </c>
      <c r="AW565" s="632">
        <f ca="1">IF(AND($D565="Serviço",AW$12&lt;&gt;0,$H565&gt;0,OR(AUTOEVENTO&lt;&gt;"manual",$M565&lt;&gt;1)),ROUND(OFFSET($P565,0,AW$13),15-13*ORÇAMENTO!$AF$7)/$H565*OFFSET(ORÇAMENTO!$X$15,ROW(AW565)-ROW(AW$15),0),0)</f>
        <v>0</v>
      </c>
      <c r="AX565" s="632">
        <f ca="1">IF(AND($D565="Serviço",AX$12&lt;&gt;0,$H565&gt;0,OR(AUTOEVENTO&lt;&gt;"manual",$M565&lt;&gt;1)),ROUND(OFFSET($P565,0,AX$13),15-13*ORÇAMENTO!$AF$7)/$H565*OFFSET(ORÇAMENTO!$X$15,ROW(AX565)-ROW(AX$15),0),0)</f>
        <v>0</v>
      </c>
      <c r="AY565" s="632">
        <f ca="1">IF(AND($D565="Serviço",AY$12&lt;&gt;0,$H565&gt;0,OR(AUTOEVENTO&lt;&gt;"manual",$M565&lt;&gt;1)),ROUND(OFFSET($P565,0,AY$13),15-13*ORÇAMENTO!$AF$7)/$H565*OFFSET(ORÇAMENTO!$X$15,ROW(AY565)-ROW(AY$15),0),0)</f>
        <v>0</v>
      </c>
      <c r="AZ565" s="632">
        <f ca="1">IF(AND($D565="Serviço",AZ$12&lt;&gt;0,$H565&gt;0,OR(AUTOEVENTO&lt;&gt;"manual",$M565&lt;&gt;1)),ROUND(OFFSET($P565,0,AZ$13),15-13*ORÇAMENTO!$AF$7)/$H565*OFFSET(ORÇAMENTO!$X$15,ROW(AZ565)-ROW(AZ$15),0),0)</f>
        <v>0</v>
      </c>
      <c r="BA565" s="633">
        <f ca="1">IF(AND($D565="Serviço",BA$12&lt;&gt;0,$H565&gt;0,OR(AUTOEVENTO&lt;&gt;"manual",$M565&lt;&gt;1)),ROUND(OFFSET($P565,0,BA$13),15-13*ORÇAMENTO!$AF$7)/$H565*OFFSET(ORÇAMENTO!$X$15,ROW(BA565)-ROW(BA$15),0),0)</f>
        <v>0</v>
      </c>
      <c r="BC565" s="215">
        <f ca="1">IF($D565&lt;&gt;"Serviço",0,IF(AND(AUTOEVENTO="Manual",$M565=1),0,IF(OFFSET(CRONOPLE!$F$14,$M565,BC$13)="",10^12,OFFSET(CRONOPLE!$F$14,$M565,BC$13))))</f>
        <v>1000000000000</v>
      </c>
      <c r="BD565" s="215">
        <f ca="1">IF($D565&lt;&gt;"Serviço",0,IF(AND(AUTOEVENTO="Manual",$M565=1),0,IF(OFFSET(CRONOPLE!$F$14,$M565,BD$13)="",10^12,OFFSET(CRONOPLE!$F$14,$M565,BD$13))))</f>
        <v>1000000000000</v>
      </c>
      <c r="BE565" s="215">
        <f ca="1">IF($D565&lt;&gt;"Serviço",0,IF(AND(AUTOEVENTO="Manual",$M565=1),0,IF(OFFSET(CRONOPLE!$F$14,$M565,BE$13)="",10^12,OFFSET(CRONOPLE!$F$14,$M565,BE$13))))</f>
        <v>1000000000000</v>
      </c>
      <c r="BF565" s="215">
        <f ca="1">IF($D565&lt;&gt;"Serviço",0,IF(AND(AUTOEVENTO="Manual",$M565=1),0,IF(OFFSET(CRONOPLE!$F$14,$M565,BF$13)="",10^12,OFFSET(CRONOPLE!$F$14,$M565,BF$13))))</f>
        <v>1000000000000</v>
      </c>
      <c r="BG565" s="215">
        <f ca="1">IF($D565&lt;&gt;"Serviço",0,IF(AND(AUTOEVENTO="Manual",$M565=1),0,IF(OFFSET(CRONOPLE!$F$14,$M565,BG$13)="",10^12,OFFSET(CRONOPLE!$F$14,$M565,BG$13))))</f>
        <v>1000000000000</v>
      </c>
      <c r="BH565" s="215">
        <f ca="1">IF($D565&lt;&gt;"Serviço",0,IF(AND(AUTOEVENTO="Manual",$M565=1),0,IF(OFFSET(CRONOPLE!$F$14,$M565,BH$13)="",10^12,OFFSET(CRONOPLE!$F$14,$M565,BH$13))))</f>
        <v>1000000000000</v>
      </c>
      <c r="BI565" s="215">
        <f ca="1">IF($D565&lt;&gt;"Serviço",0,IF(AND(AUTOEVENTO="Manual",$M565=1),0,IF(OFFSET(CRONOPLE!$F$14,$M565,BI$13)="",10^12,OFFSET(CRONOPLE!$F$14,$M565,BI$13))))</f>
        <v>1000000000000</v>
      </c>
      <c r="BJ565" s="215">
        <f ca="1">IF($D565&lt;&gt;"Serviço",0,IF(AND(AUTOEVENTO="Manual",$M565=1),0,IF(OFFSET(CRONOPLE!$F$14,$M565,BJ$13)="",10^12,OFFSET(CRONOPLE!$F$14,$M565,BJ$13))))</f>
        <v>1000000000000</v>
      </c>
      <c r="BK565" s="215">
        <f ca="1">IF($D565&lt;&gt;"Serviço",0,IF(AND(AUTOEVENTO="Manual",$M565=1),0,IF(OFFSET(CRONOPLE!$F$14,$M565,BK$13)="",10^12,OFFSET(CRONOPLE!$F$14,$M565,BK$13))))</f>
        <v>1000000000000</v>
      </c>
      <c r="BL565" s="215">
        <f ca="1">IF($D565&lt;&gt;"Serviço",0,IF(AND(AUTOEVENTO="Manual",$M565=1),0,IF(OFFSET(CRONOPLE!$F$14,$M565,BL$13)="",10^12,OFFSET(CRONOPLE!$F$14,$M565,BL$13))))</f>
        <v>1000000000000</v>
      </c>
      <c r="BM565" s="215">
        <f ca="1">IF($D565&lt;&gt;"Serviço",0,IF(AND(AUTOEVENTO="Manual",$M565=1),0,IF(OFFSET(CRONOPLE!$F$14,$M565,BM$13)="",10^12,OFFSET(CRONOPLE!$F$14,$M565,BM$13))))</f>
        <v>1000000000000</v>
      </c>
      <c r="BN565" s="215">
        <f ca="1">IF($D565&lt;&gt;"Serviço",0,IF(AND(AUTOEVENTO="Manual",$M565=1),0,IF(OFFSET(CRONOPLE!$F$14,$M565,BN$13)="",10^12,OFFSET(CRONOPLE!$F$14,$M565,BN$13))))</f>
        <v>1000000000000</v>
      </c>
      <c r="BO565" s="215">
        <f ca="1">IF($D565&lt;&gt;"Serviço",0,IF(AND(AUTOEVENTO="Manual",$M565=1),0,IF(OFFSET(CRONOPLE!$F$14,$M565,BO$13)="",10^12,OFFSET(CRONOPLE!$F$14,$M565,BO$13))))</f>
        <v>1000000000000</v>
      </c>
      <c r="BP565" s="215">
        <f ca="1">IF($D565&lt;&gt;"Serviço",0,IF(AND(AUTOEVENTO="Manual",$M565=1),0,IF(OFFSET(CRONOPLE!$F$14,$M565,BP$13)="",10^12,OFFSET(CRONOPLE!$F$14,$M565,BP$13))))</f>
        <v>1000000000000</v>
      </c>
      <c r="BQ565" s="215">
        <f ca="1">IF($D565&lt;&gt;"Serviço",0,IF(AND(AUTOEVENTO="Manual",$M565=1),0,IF(OFFSET(CRONOPLE!$F$14,$M565,BQ$13)="",10^12,OFFSET(CRONOPLE!$F$14,$M565,BQ$13))))</f>
        <v>1000000000000</v>
      </c>
      <c r="BR565" s="215">
        <f ca="1">IF($D565&lt;&gt;"Serviço",0,IF(AND(AUTOEVENTO="Manual",$M565=1),0,IF(OFFSET(CRONOPLE!$F$14,$M565,BR$13)="",10^12,OFFSET(CRONOPLE!$F$14,$M565,BR$13))))</f>
        <v>1000000000000</v>
      </c>
      <c r="BS565" s="215">
        <f ca="1">IF($D565&lt;&gt;"Serviço",0,IF(AND(AUTOEVENTO="Manual",$M565=1),0,IF(OFFSET(CRONOPLE!$F$14,$M565,BS$13)="",10^12,OFFSET(CRONOPLE!$F$14,$M565,BS$13))))</f>
        <v>1000000000000</v>
      </c>
      <c r="BT565" s="215">
        <f ca="1">IF($D565&lt;&gt;"Serviço",0,IF(AND(AUTOEVENTO="Manual",$M565=1),0,IF(OFFSET(CRONOPLE!$F$14,$M565,BT$13)="",10^12,OFFSET(CRONOPLE!$F$14,$M565,BT$13))))</f>
        <v>1000000000000</v>
      </c>
      <c r="BV565" s="216">
        <f ca="1">IF($D565&lt;&gt;"Serviço",0,IF(OR(AND(AUTOEVENTO="Manual",$M565=1),$M565&gt;(ROW(PLE.lastrow)-ROW(PLE.firstrow))),0,IF(OFFSET(PLE!$G$14,$M565,BV$13)="",10^12,OFFSET(PLE!$G$14,$M565,BV$13))))</f>
        <v>1000000000000</v>
      </c>
      <c r="BW565" s="216">
        <f ca="1">IF($D565&lt;&gt;"Serviço",0,IF(OR(AND(AUTOEVENTO="Manual",$M565=1),$M565&gt;(ROW(PLE.lastrow)-ROW(PLE.firstrow))),0,IF(OFFSET(PLE!$G$14,$M565,BW$13)="",10^12,OFFSET(PLE!$G$14,$M565,BW$13))))</f>
        <v>1000000000000</v>
      </c>
      <c r="BX565" s="216">
        <f ca="1">IF($D565&lt;&gt;"Serviço",0,IF(OR(AND(AUTOEVENTO="Manual",$M565=1),$M565&gt;(ROW(PLE.lastrow)-ROW(PLE.firstrow))),0,IF(OFFSET(PLE!$G$14,$M565,BX$13)="",10^12,OFFSET(PLE!$G$14,$M565,BX$13))))</f>
        <v>1000000000000</v>
      </c>
      <c r="BY565" s="216">
        <f ca="1">IF($D565&lt;&gt;"Serviço",0,IF(OR(AND(AUTOEVENTO="Manual",$M565=1),$M565&gt;(ROW(PLE.lastrow)-ROW(PLE.firstrow))),0,IF(OFFSET(PLE!$G$14,$M565,BY$13)="",10^12,OFFSET(PLE!$G$14,$M565,BY$13))))</f>
        <v>1000000000000</v>
      </c>
      <c r="BZ565" s="216">
        <f ca="1">IF($D565&lt;&gt;"Serviço",0,IF(OR(AND(AUTOEVENTO="Manual",$M565=1),$M565&gt;(ROW(PLE.lastrow)-ROW(PLE.firstrow))),0,IF(OFFSET(PLE!$G$14,$M565,BZ$13)="",10^12,OFFSET(PLE!$G$14,$M565,BZ$13))))</f>
        <v>1000000000000</v>
      </c>
      <c r="CA565" s="216">
        <f ca="1">IF($D565&lt;&gt;"Serviço",0,IF(OR(AND(AUTOEVENTO="Manual",$M565=1),$M565&gt;(ROW(PLE.lastrow)-ROW(PLE.firstrow))),0,IF(OFFSET(PLE!$G$14,$M565,CA$13)="",10^12,OFFSET(PLE!$G$14,$M565,CA$13))))</f>
        <v>1000000000000</v>
      </c>
      <c r="CB565" s="216">
        <f ca="1">IF($D565&lt;&gt;"Serviço",0,IF(OR(AND(AUTOEVENTO="Manual",$M565=1),$M565&gt;(ROW(PLE.lastrow)-ROW(PLE.firstrow))),0,IF(OFFSET(PLE!$G$14,$M565,CB$13)="",10^12,OFFSET(PLE!$G$14,$M565,CB$13))))</f>
        <v>1000000000000</v>
      </c>
      <c r="CC565" s="216">
        <f ca="1">IF($D565&lt;&gt;"Serviço",0,IF(OR(AND(AUTOEVENTO="Manual",$M565=1),$M565&gt;(ROW(PLE.lastrow)-ROW(PLE.firstrow))),0,IF(OFFSET(PLE!$G$14,$M565,CC$13)="",10^12,OFFSET(PLE!$G$14,$M565,CC$13))))</f>
        <v>1000000000000</v>
      </c>
      <c r="CD565" s="216">
        <f ca="1">IF($D565&lt;&gt;"Serviço",0,IF(OR(AND(AUTOEVENTO="Manual",$M565=1),$M565&gt;(ROW(PLE.lastrow)-ROW(PLE.firstrow))),0,IF(OFFSET(PLE!$G$14,$M565,CD$13)="",10^12,OFFSET(PLE!$G$14,$M565,CD$13))))</f>
        <v>1000000000000</v>
      </c>
      <c r="CE565" s="216">
        <f ca="1">IF($D565&lt;&gt;"Serviço",0,IF(OR(AND(AUTOEVENTO="Manual",$M565=1),$M565&gt;(ROW(PLE.lastrow)-ROW(PLE.firstrow))),0,IF(OFFSET(PLE!$G$14,$M565,CE$13)="",10^12,OFFSET(PLE!$G$14,$M565,CE$13))))</f>
        <v>1000000000000</v>
      </c>
      <c r="CF565" s="216">
        <f ca="1">IF($D565&lt;&gt;"Serviço",0,IF(OR(AND(AUTOEVENTO="Manual",$M565=1),$M565&gt;(ROW(PLE.lastrow)-ROW(PLE.firstrow))),0,IF(OFFSET(PLE!$G$14,$M565,CF$13)="",10^12,OFFSET(PLE!$G$14,$M565,CF$13))))</f>
        <v>1000000000000</v>
      </c>
      <c r="CG565" s="216">
        <f ca="1">IF($D565&lt;&gt;"Serviço",0,IF(OR(AND(AUTOEVENTO="Manual",$M565=1),$M565&gt;(ROW(PLE.lastrow)-ROW(PLE.firstrow))),0,IF(OFFSET(PLE!$G$14,$M565,CG$13)="",10^12,OFFSET(PLE!$G$14,$M565,CG$13))))</f>
        <v>1000000000000</v>
      </c>
      <c r="CH565" s="216">
        <f ca="1">IF($D565&lt;&gt;"Serviço",0,IF(OR(AND(AUTOEVENTO="Manual",$M565=1),$M565&gt;(ROW(PLE.lastrow)-ROW(PLE.firstrow))),0,IF(OFFSET(PLE!$G$14,$M565,CH$13)="",10^12,OFFSET(PLE!$G$14,$M565,CH$13))))</f>
        <v>1000000000000</v>
      </c>
      <c r="CI565" s="216">
        <f ca="1">IF($D565&lt;&gt;"Serviço",0,IF(OR(AND(AUTOEVENTO="Manual",$M565=1),$M565&gt;(ROW(PLE.lastrow)-ROW(PLE.firstrow))),0,IF(OFFSET(PLE!$G$14,$M565,CI$13)="",10^12,OFFSET(PLE!$G$14,$M565,CI$13))))</f>
        <v>1000000000000</v>
      </c>
      <c r="CJ565" s="216">
        <f ca="1">IF($D565&lt;&gt;"Serviço",0,IF(OR(AND(AUTOEVENTO="Manual",$M565=1),$M565&gt;(ROW(PLE.lastrow)-ROW(PLE.firstrow))),0,IF(OFFSET(PLE!$G$14,$M565,CJ$13)="",10^12,OFFSET(PLE!$G$14,$M565,CJ$13))))</f>
        <v>1000000000000</v>
      </c>
      <c r="CK565" s="216">
        <f ca="1">IF($D565&lt;&gt;"Serviço",0,IF(OR(AND(AUTOEVENTO="Manual",$M565=1),$M565&gt;(ROW(PLE.lastrow)-ROW(PLE.firstrow))),0,IF(OFFSET(PLE!$G$14,$M565,CK$13)="",10^12,OFFSET(PLE!$G$14,$M565,CK$13))))</f>
        <v>1000000000000</v>
      </c>
      <c r="CL565" s="216">
        <f ca="1">IF($D565&lt;&gt;"Serviço",0,IF(OR(AND(AUTOEVENTO="Manual",$M565=1),$M565&gt;(ROW(PLE.lastrow)-ROW(PLE.firstrow))),0,IF(OFFSET(PLE!$G$14,$M565,CL$13)="",10^12,OFFSET(PLE!$G$14,$M565,CL$13))))</f>
        <v>1000000000000</v>
      </c>
      <c r="CM565" s="216">
        <f ca="1">IF($D565&lt;&gt;"Serviço",0,IF(OR(AND(AUTOEVENTO="Manual",$M565=1),$M565&gt;(ROW(PLE.lastrow)-ROW(PLE.firstrow))),0,IF(OFFSET(PLE!$G$14,$M565,CM$13)="",10^12,OFFSET(PLE!$G$14,$M565,CM$13))))</f>
        <v>1000000000000</v>
      </c>
    </row>
    <row r="566" spans="1:91" ht="13.2" x14ac:dyDescent="0.25">
      <c r="A566" s="9">
        <f t="shared" ca="1" si="17"/>
        <v>0</v>
      </c>
      <c r="B566" s="9" t="str">
        <f ca="1">OFFSET(ORÇAMENTO!C$15,ROW(B566)-ROW(B$15),0)</f>
        <v>S</v>
      </c>
      <c r="C566" s="9" t="str">
        <f ca="1">OFFSET(ORÇAMENTO!L$15,ROW(C566)-ROW(C$15),0)</f>
        <v/>
      </c>
      <c r="D566" s="145" t="str">
        <f ca="1">OFFSET(ORÇAMENTO!N$15,ROW(D566)-ROW(D$15),0)</f>
        <v>Serviço</v>
      </c>
      <c r="E566" s="205" t="str">
        <f ca="1">OFFSET(ORÇAMENTO!O$15,ROW(E566)-ROW(E$15),0)</f>
        <v>-</v>
      </c>
      <c r="F566" s="206" t="str">
        <f ca="1">OFFSET(ORÇAMENTO!R$15,ROW(F566)-ROW(F$15),0)</f>
        <v>(abra o arquivo 'Referência 05-2024.xls)</v>
      </c>
      <c r="G566" s="207" t="str">
        <f ca="1">IF($D566&lt;&gt;"Serviço","",OFFSET(ORÇAMENTO!S$15,ROW(G566)-ROW(G$15),0))</f>
        <v>-</v>
      </c>
      <c r="H566" s="151">
        <f ca="1">IF($D566&lt;&gt;"Serviço",0,IF(ACOMPANHAMENTO="BM",ROUND(OFFSET(ORÇAMENTO!AJ$15,ROW(H566)-ROW(H$15),0),15-13*ORÇAMENTO!$AF$7),SUMPRODUCT(($Q$12:$AI$12&lt;&gt;"")*ROUND($Q566:$AI566,15-13*ORÇAMENTO!$AF$7))))</f>
        <v>10</v>
      </c>
      <c r="I566" s="650"/>
      <c r="K566" s="208"/>
      <c r="L566" s="209" t="s">
        <v>257</v>
      </c>
      <c r="M566" s="210">
        <f ca="1">IF($D566&lt;&gt;"Serviço","",IF(AUTOEVENTO="manual",$A566,IF(ISERROR(MATCH($A566,$A$15:OFFSET($A566,-1,0),0)),MAX($M$15:OFFSET(M566,-1,0))+1,INDEX($M$15:OFFSET(M566,-1,0),MATCH($A566,$A$15:OFFSET($A566,-1,0),0)))))</f>
        <v>0</v>
      </c>
      <c r="N566" s="211" t="str">
        <f ca="1">IF($D566&lt;&gt;"Serviço","",IF(AUTOEVENTO="Manual",IF($A566=0,"&lt;-- defina o número do agrupador",OFFSET(EVENTOS!$D$14,$A566,0)),OFFSET($F$15,$A566,0)))</f>
        <v>&lt;-- defina o número do agrupador</v>
      </c>
      <c r="O566" s="212"/>
      <c r="Q566" s="212"/>
      <c r="R566" s="213"/>
      <c r="S566" s="213"/>
      <c r="T566" s="213"/>
      <c r="U566" s="213"/>
      <c r="V566" s="213"/>
      <c r="W566" s="213"/>
      <c r="X566" s="213"/>
      <c r="Y566" s="213"/>
      <c r="Z566" s="214"/>
      <c r="AA566" s="213"/>
      <c r="AB566" s="213"/>
      <c r="AC566" s="213"/>
      <c r="AD566" s="213"/>
      <c r="AE566" s="213"/>
      <c r="AF566" s="213"/>
      <c r="AG566" s="213"/>
      <c r="AH566" s="214"/>
      <c r="AJ566" s="631">
        <f ca="1">IF(AND($D566="Serviço",AJ$12&lt;&gt;0,$H566&gt;0,OR(AUTOEVENTO&lt;&gt;"manual",$M566&lt;&gt;1)),ROUND(OFFSET($P566,0,AJ$13),15-13*ORÇAMENTO!$AF$7)/$H566*OFFSET(ORÇAMENTO!$X$15,ROW(AJ566)-ROW(AJ$15),0),0)</f>
        <v>0</v>
      </c>
      <c r="AK566" s="632">
        <f ca="1">IF(AND($D566="Serviço",AK$12&lt;&gt;0,$H566&gt;0,OR(AUTOEVENTO&lt;&gt;"manual",$M566&lt;&gt;1)),ROUND(OFFSET($P566,0,AK$13),15-13*ORÇAMENTO!$AF$7)/$H566*OFFSET(ORÇAMENTO!$X$15,ROW(AK566)-ROW(AK$15),0),0)</f>
        <v>0</v>
      </c>
      <c r="AL566" s="632">
        <f ca="1">IF(AND($D566="Serviço",AL$12&lt;&gt;0,$H566&gt;0,OR(AUTOEVENTO&lt;&gt;"manual",$M566&lt;&gt;1)),ROUND(OFFSET($P566,0,AL$13),15-13*ORÇAMENTO!$AF$7)/$H566*OFFSET(ORÇAMENTO!$X$15,ROW(AL566)-ROW(AL$15),0),0)</f>
        <v>0</v>
      </c>
      <c r="AM566" s="632">
        <f ca="1">IF(AND($D566="Serviço",AM$12&lt;&gt;0,$H566&gt;0,OR(AUTOEVENTO&lt;&gt;"manual",$M566&lt;&gt;1)),ROUND(OFFSET($P566,0,AM$13),15-13*ORÇAMENTO!$AF$7)/$H566*OFFSET(ORÇAMENTO!$X$15,ROW(AM566)-ROW(AM$15),0),0)</f>
        <v>0</v>
      </c>
      <c r="AN566" s="632">
        <f ca="1">IF(AND($D566="Serviço",AN$12&lt;&gt;0,$H566&gt;0,OR(AUTOEVENTO&lt;&gt;"manual",$M566&lt;&gt;1)),ROUND(OFFSET($P566,0,AN$13),15-13*ORÇAMENTO!$AF$7)/$H566*OFFSET(ORÇAMENTO!$X$15,ROW(AN566)-ROW(AN$15),0),0)</f>
        <v>0</v>
      </c>
      <c r="AO566" s="632">
        <f ca="1">IF(AND($D566="Serviço",AO$12&lt;&gt;0,$H566&gt;0,OR(AUTOEVENTO&lt;&gt;"manual",$M566&lt;&gt;1)),ROUND(OFFSET($P566,0,AO$13),15-13*ORÇAMENTO!$AF$7)/$H566*OFFSET(ORÇAMENTO!$X$15,ROW(AO566)-ROW(AO$15),0),0)</f>
        <v>0</v>
      </c>
      <c r="AP566" s="632">
        <f ca="1">IF(AND($D566="Serviço",AP$12&lt;&gt;0,$H566&gt;0,OR(AUTOEVENTO&lt;&gt;"manual",$M566&lt;&gt;1)),ROUND(OFFSET($P566,0,AP$13),15-13*ORÇAMENTO!$AF$7)/$H566*OFFSET(ORÇAMENTO!$X$15,ROW(AP566)-ROW(AP$15),0),0)</f>
        <v>0</v>
      </c>
      <c r="AQ566" s="632">
        <f ca="1">IF(AND($D566="Serviço",AQ$12&lt;&gt;0,$H566&gt;0,OR(AUTOEVENTO&lt;&gt;"manual",$M566&lt;&gt;1)),ROUND(OFFSET($P566,0,AQ$13),15-13*ORÇAMENTO!$AF$7)/$H566*OFFSET(ORÇAMENTO!$X$15,ROW(AQ566)-ROW(AQ$15),0),0)</f>
        <v>0</v>
      </c>
      <c r="AR566" s="632">
        <f ca="1">IF(AND($D566="Serviço",AR$12&lt;&gt;0,$H566&gt;0,OR(AUTOEVENTO&lt;&gt;"manual",$M566&lt;&gt;1)),ROUND(OFFSET($P566,0,AR$13),15-13*ORÇAMENTO!$AF$7)/$H566*OFFSET(ORÇAMENTO!$X$15,ROW(AR566)-ROW(AR$15),0),0)</f>
        <v>0</v>
      </c>
      <c r="AS566" s="633">
        <f ca="1">IF(AND($D566="Serviço",AS$12&lt;&gt;0,$H566&gt;0,OR(AUTOEVENTO&lt;&gt;"manual",$M566&lt;&gt;1)),ROUND(OFFSET($P566,0,AS$13),15-13*ORÇAMENTO!$AF$7)/$H566*OFFSET(ORÇAMENTO!$X$15,ROW(AS566)-ROW(AS$15),0),0)</f>
        <v>0</v>
      </c>
      <c r="AT566" s="632">
        <f ca="1">IF(AND($D566="Serviço",AT$12&lt;&gt;0,$H566&gt;0,OR(AUTOEVENTO&lt;&gt;"manual",$M566&lt;&gt;1)),ROUND(OFFSET($P566,0,AT$13),15-13*ORÇAMENTO!$AF$7)/$H566*OFFSET(ORÇAMENTO!$X$15,ROW(AT566)-ROW(AT$15),0),0)</f>
        <v>0</v>
      </c>
      <c r="AU566" s="632">
        <f ca="1">IF(AND($D566="Serviço",AU$12&lt;&gt;0,$H566&gt;0,OR(AUTOEVENTO&lt;&gt;"manual",$M566&lt;&gt;1)),ROUND(OFFSET($P566,0,AU$13),15-13*ORÇAMENTO!$AF$7)/$H566*OFFSET(ORÇAMENTO!$X$15,ROW(AU566)-ROW(AU$15),0),0)</f>
        <v>0</v>
      </c>
      <c r="AV566" s="632">
        <f ca="1">IF(AND($D566="Serviço",AV$12&lt;&gt;0,$H566&gt;0,OR(AUTOEVENTO&lt;&gt;"manual",$M566&lt;&gt;1)),ROUND(OFFSET($P566,0,AV$13),15-13*ORÇAMENTO!$AF$7)/$H566*OFFSET(ORÇAMENTO!$X$15,ROW(AV566)-ROW(AV$15),0),0)</f>
        <v>0</v>
      </c>
      <c r="AW566" s="632">
        <f ca="1">IF(AND($D566="Serviço",AW$12&lt;&gt;0,$H566&gt;0,OR(AUTOEVENTO&lt;&gt;"manual",$M566&lt;&gt;1)),ROUND(OFFSET($P566,0,AW$13),15-13*ORÇAMENTO!$AF$7)/$H566*OFFSET(ORÇAMENTO!$X$15,ROW(AW566)-ROW(AW$15),0),0)</f>
        <v>0</v>
      </c>
      <c r="AX566" s="632">
        <f ca="1">IF(AND($D566="Serviço",AX$12&lt;&gt;0,$H566&gt;0,OR(AUTOEVENTO&lt;&gt;"manual",$M566&lt;&gt;1)),ROUND(OFFSET($P566,0,AX$13),15-13*ORÇAMENTO!$AF$7)/$H566*OFFSET(ORÇAMENTO!$X$15,ROW(AX566)-ROW(AX$15),0),0)</f>
        <v>0</v>
      </c>
      <c r="AY566" s="632">
        <f ca="1">IF(AND($D566="Serviço",AY$12&lt;&gt;0,$H566&gt;0,OR(AUTOEVENTO&lt;&gt;"manual",$M566&lt;&gt;1)),ROUND(OFFSET($P566,0,AY$13),15-13*ORÇAMENTO!$AF$7)/$H566*OFFSET(ORÇAMENTO!$X$15,ROW(AY566)-ROW(AY$15),0),0)</f>
        <v>0</v>
      </c>
      <c r="AZ566" s="632">
        <f ca="1">IF(AND($D566="Serviço",AZ$12&lt;&gt;0,$H566&gt;0,OR(AUTOEVENTO&lt;&gt;"manual",$M566&lt;&gt;1)),ROUND(OFFSET($P566,0,AZ$13),15-13*ORÇAMENTO!$AF$7)/$H566*OFFSET(ORÇAMENTO!$X$15,ROW(AZ566)-ROW(AZ$15),0),0)</f>
        <v>0</v>
      </c>
      <c r="BA566" s="633">
        <f ca="1">IF(AND($D566="Serviço",BA$12&lt;&gt;0,$H566&gt;0,OR(AUTOEVENTO&lt;&gt;"manual",$M566&lt;&gt;1)),ROUND(OFFSET($P566,0,BA$13),15-13*ORÇAMENTO!$AF$7)/$H566*OFFSET(ORÇAMENTO!$X$15,ROW(BA566)-ROW(BA$15),0),0)</f>
        <v>0</v>
      </c>
      <c r="BC566" s="215">
        <f ca="1">IF($D566&lt;&gt;"Serviço",0,IF(AND(AUTOEVENTO="Manual",$M566=1),0,IF(OFFSET(CRONOPLE!$F$14,$M566,BC$13)="",10^12,OFFSET(CRONOPLE!$F$14,$M566,BC$13))))</f>
        <v>1000000000000</v>
      </c>
      <c r="BD566" s="215">
        <f ca="1">IF($D566&lt;&gt;"Serviço",0,IF(AND(AUTOEVENTO="Manual",$M566=1),0,IF(OFFSET(CRONOPLE!$F$14,$M566,BD$13)="",10^12,OFFSET(CRONOPLE!$F$14,$M566,BD$13))))</f>
        <v>1000000000000</v>
      </c>
      <c r="BE566" s="215">
        <f ca="1">IF($D566&lt;&gt;"Serviço",0,IF(AND(AUTOEVENTO="Manual",$M566=1),0,IF(OFFSET(CRONOPLE!$F$14,$M566,BE$13)="",10^12,OFFSET(CRONOPLE!$F$14,$M566,BE$13))))</f>
        <v>1000000000000</v>
      </c>
      <c r="BF566" s="215">
        <f ca="1">IF($D566&lt;&gt;"Serviço",0,IF(AND(AUTOEVENTO="Manual",$M566=1),0,IF(OFFSET(CRONOPLE!$F$14,$M566,BF$13)="",10^12,OFFSET(CRONOPLE!$F$14,$M566,BF$13))))</f>
        <v>1000000000000</v>
      </c>
      <c r="BG566" s="215">
        <f ca="1">IF($D566&lt;&gt;"Serviço",0,IF(AND(AUTOEVENTO="Manual",$M566=1),0,IF(OFFSET(CRONOPLE!$F$14,$M566,BG$13)="",10^12,OFFSET(CRONOPLE!$F$14,$M566,BG$13))))</f>
        <v>1000000000000</v>
      </c>
      <c r="BH566" s="215">
        <f ca="1">IF($D566&lt;&gt;"Serviço",0,IF(AND(AUTOEVENTO="Manual",$M566=1),0,IF(OFFSET(CRONOPLE!$F$14,$M566,BH$13)="",10^12,OFFSET(CRONOPLE!$F$14,$M566,BH$13))))</f>
        <v>1000000000000</v>
      </c>
      <c r="BI566" s="215">
        <f ca="1">IF($D566&lt;&gt;"Serviço",0,IF(AND(AUTOEVENTO="Manual",$M566=1),0,IF(OFFSET(CRONOPLE!$F$14,$M566,BI$13)="",10^12,OFFSET(CRONOPLE!$F$14,$M566,BI$13))))</f>
        <v>1000000000000</v>
      </c>
      <c r="BJ566" s="215">
        <f ca="1">IF($D566&lt;&gt;"Serviço",0,IF(AND(AUTOEVENTO="Manual",$M566=1),0,IF(OFFSET(CRONOPLE!$F$14,$M566,BJ$13)="",10^12,OFFSET(CRONOPLE!$F$14,$M566,BJ$13))))</f>
        <v>1000000000000</v>
      </c>
      <c r="BK566" s="215">
        <f ca="1">IF($D566&lt;&gt;"Serviço",0,IF(AND(AUTOEVENTO="Manual",$M566=1),0,IF(OFFSET(CRONOPLE!$F$14,$M566,BK$13)="",10^12,OFFSET(CRONOPLE!$F$14,$M566,BK$13))))</f>
        <v>1000000000000</v>
      </c>
      <c r="BL566" s="215">
        <f ca="1">IF($D566&lt;&gt;"Serviço",0,IF(AND(AUTOEVENTO="Manual",$M566=1),0,IF(OFFSET(CRONOPLE!$F$14,$M566,BL$13)="",10^12,OFFSET(CRONOPLE!$F$14,$M566,BL$13))))</f>
        <v>1000000000000</v>
      </c>
      <c r="BM566" s="215">
        <f ca="1">IF($D566&lt;&gt;"Serviço",0,IF(AND(AUTOEVENTO="Manual",$M566=1),0,IF(OFFSET(CRONOPLE!$F$14,$M566,BM$13)="",10^12,OFFSET(CRONOPLE!$F$14,$M566,BM$13))))</f>
        <v>1000000000000</v>
      </c>
      <c r="BN566" s="215">
        <f ca="1">IF($D566&lt;&gt;"Serviço",0,IF(AND(AUTOEVENTO="Manual",$M566=1),0,IF(OFFSET(CRONOPLE!$F$14,$M566,BN$13)="",10^12,OFFSET(CRONOPLE!$F$14,$M566,BN$13))))</f>
        <v>1000000000000</v>
      </c>
      <c r="BO566" s="215">
        <f ca="1">IF($D566&lt;&gt;"Serviço",0,IF(AND(AUTOEVENTO="Manual",$M566=1),0,IF(OFFSET(CRONOPLE!$F$14,$M566,BO$13)="",10^12,OFFSET(CRONOPLE!$F$14,$M566,BO$13))))</f>
        <v>1000000000000</v>
      </c>
      <c r="BP566" s="215">
        <f ca="1">IF($D566&lt;&gt;"Serviço",0,IF(AND(AUTOEVENTO="Manual",$M566=1),0,IF(OFFSET(CRONOPLE!$F$14,$M566,BP$13)="",10^12,OFFSET(CRONOPLE!$F$14,$M566,BP$13))))</f>
        <v>1000000000000</v>
      </c>
      <c r="BQ566" s="215">
        <f ca="1">IF($D566&lt;&gt;"Serviço",0,IF(AND(AUTOEVENTO="Manual",$M566=1),0,IF(OFFSET(CRONOPLE!$F$14,$M566,BQ$13)="",10^12,OFFSET(CRONOPLE!$F$14,$M566,BQ$13))))</f>
        <v>1000000000000</v>
      </c>
      <c r="BR566" s="215">
        <f ca="1">IF($D566&lt;&gt;"Serviço",0,IF(AND(AUTOEVENTO="Manual",$M566=1),0,IF(OFFSET(CRONOPLE!$F$14,$M566,BR$13)="",10^12,OFFSET(CRONOPLE!$F$14,$M566,BR$13))))</f>
        <v>1000000000000</v>
      </c>
      <c r="BS566" s="215">
        <f ca="1">IF($D566&lt;&gt;"Serviço",0,IF(AND(AUTOEVENTO="Manual",$M566=1),0,IF(OFFSET(CRONOPLE!$F$14,$M566,BS$13)="",10^12,OFFSET(CRONOPLE!$F$14,$M566,BS$13))))</f>
        <v>1000000000000</v>
      </c>
      <c r="BT566" s="215">
        <f ca="1">IF($D566&lt;&gt;"Serviço",0,IF(AND(AUTOEVENTO="Manual",$M566=1),0,IF(OFFSET(CRONOPLE!$F$14,$M566,BT$13)="",10^12,OFFSET(CRONOPLE!$F$14,$M566,BT$13))))</f>
        <v>1000000000000</v>
      </c>
      <c r="BV566" s="216">
        <f ca="1">IF($D566&lt;&gt;"Serviço",0,IF(OR(AND(AUTOEVENTO="Manual",$M566=1),$M566&gt;(ROW(PLE.lastrow)-ROW(PLE.firstrow))),0,IF(OFFSET(PLE!$G$14,$M566,BV$13)="",10^12,OFFSET(PLE!$G$14,$M566,BV$13))))</f>
        <v>1000000000000</v>
      </c>
      <c r="BW566" s="216">
        <f ca="1">IF($D566&lt;&gt;"Serviço",0,IF(OR(AND(AUTOEVENTO="Manual",$M566=1),$M566&gt;(ROW(PLE.lastrow)-ROW(PLE.firstrow))),0,IF(OFFSET(PLE!$G$14,$M566,BW$13)="",10^12,OFFSET(PLE!$G$14,$M566,BW$13))))</f>
        <v>1000000000000</v>
      </c>
      <c r="BX566" s="216">
        <f ca="1">IF($D566&lt;&gt;"Serviço",0,IF(OR(AND(AUTOEVENTO="Manual",$M566=1),$M566&gt;(ROW(PLE.lastrow)-ROW(PLE.firstrow))),0,IF(OFFSET(PLE!$G$14,$M566,BX$13)="",10^12,OFFSET(PLE!$G$14,$M566,BX$13))))</f>
        <v>1000000000000</v>
      </c>
      <c r="BY566" s="216">
        <f ca="1">IF($D566&lt;&gt;"Serviço",0,IF(OR(AND(AUTOEVENTO="Manual",$M566=1),$M566&gt;(ROW(PLE.lastrow)-ROW(PLE.firstrow))),0,IF(OFFSET(PLE!$G$14,$M566,BY$13)="",10^12,OFFSET(PLE!$G$14,$M566,BY$13))))</f>
        <v>1000000000000</v>
      </c>
      <c r="BZ566" s="216">
        <f ca="1">IF($D566&lt;&gt;"Serviço",0,IF(OR(AND(AUTOEVENTO="Manual",$M566=1),$M566&gt;(ROW(PLE.lastrow)-ROW(PLE.firstrow))),0,IF(OFFSET(PLE!$G$14,$M566,BZ$13)="",10^12,OFFSET(PLE!$G$14,$M566,BZ$13))))</f>
        <v>1000000000000</v>
      </c>
      <c r="CA566" s="216">
        <f ca="1">IF($D566&lt;&gt;"Serviço",0,IF(OR(AND(AUTOEVENTO="Manual",$M566=1),$M566&gt;(ROW(PLE.lastrow)-ROW(PLE.firstrow))),0,IF(OFFSET(PLE!$G$14,$M566,CA$13)="",10^12,OFFSET(PLE!$G$14,$M566,CA$13))))</f>
        <v>1000000000000</v>
      </c>
      <c r="CB566" s="216">
        <f ca="1">IF($D566&lt;&gt;"Serviço",0,IF(OR(AND(AUTOEVENTO="Manual",$M566=1),$M566&gt;(ROW(PLE.lastrow)-ROW(PLE.firstrow))),0,IF(OFFSET(PLE!$G$14,$M566,CB$13)="",10^12,OFFSET(PLE!$G$14,$M566,CB$13))))</f>
        <v>1000000000000</v>
      </c>
      <c r="CC566" s="216">
        <f ca="1">IF($D566&lt;&gt;"Serviço",0,IF(OR(AND(AUTOEVENTO="Manual",$M566=1),$M566&gt;(ROW(PLE.lastrow)-ROW(PLE.firstrow))),0,IF(OFFSET(PLE!$G$14,$M566,CC$13)="",10^12,OFFSET(PLE!$G$14,$M566,CC$13))))</f>
        <v>1000000000000</v>
      </c>
      <c r="CD566" s="216">
        <f ca="1">IF($D566&lt;&gt;"Serviço",0,IF(OR(AND(AUTOEVENTO="Manual",$M566=1),$M566&gt;(ROW(PLE.lastrow)-ROW(PLE.firstrow))),0,IF(OFFSET(PLE!$G$14,$M566,CD$13)="",10^12,OFFSET(PLE!$G$14,$M566,CD$13))))</f>
        <v>1000000000000</v>
      </c>
      <c r="CE566" s="216">
        <f ca="1">IF($D566&lt;&gt;"Serviço",0,IF(OR(AND(AUTOEVENTO="Manual",$M566=1),$M566&gt;(ROW(PLE.lastrow)-ROW(PLE.firstrow))),0,IF(OFFSET(PLE!$G$14,$M566,CE$13)="",10^12,OFFSET(PLE!$G$14,$M566,CE$13))))</f>
        <v>1000000000000</v>
      </c>
      <c r="CF566" s="216">
        <f ca="1">IF($D566&lt;&gt;"Serviço",0,IF(OR(AND(AUTOEVENTO="Manual",$M566=1),$M566&gt;(ROW(PLE.lastrow)-ROW(PLE.firstrow))),0,IF(OFFSET(PLE!$G$14,$M566,CF$13)="",10^12,OFFSET(PLE!$G$14,$M566,CF$13))))</f>
        <v>1000000000000</v>
      </c>
      <c r="CG566" s="216">
        <f ca="1">IF($D566&lt;&gt;"Serviço",0,IF(OR(AND(AUTOEVENTO="Manual",$M566=1),$M566&gt;(ROW(PLE.lastrow)-ROW(PLE.firstrow))),0,IF(OFFSET(PLE!$G$14,$M566,CG$13)="",10^12,OFFSET(PLE!$G$14,$M566,CG$13))))</f>
        <v>1000000000000</v>
      </c>
      <c r="CH566" s="216">
        <f ca="1">IF($D566&lt;&gt;"Serviço",0,IF(OR(AND(AUTOEVENTO="Manual",$M566=1),$M566&gt;(ROW(PLE.lastrow)-ROW(PLE.firstrow))),0,IF(OFFSET(PLE!$G$14,$M566,CH$13)="",10^12,OFFSET(PLE!$G$14,$M566,CH$13))))</f>
        <v>1000000000000</v>
      </c>
      <c r="CI566" s="216">
        <f ca="1">IF($D566&lt;&gt;"Serviço",0,IF(OR(AND(AUTOEVENTO="Manual",$M566=1),$M566&gt;(ROW(PLE.lastrow)-ROW(PLE.firstrow))),0,IF(OFFSET(PLE!$G$14,$M566,CI$13)="",10^12,OFFSET(PLE!$G$14,$M566,CI$13))))</f>
        <v>1000000000000</v>
      </c>
      <c r="CJ566" s="216">
        <f ca="1">IF($D566&lt;&gt;"Serviço",0,IF(OR(AND(AUTOEVENTO="Manual",$M566=1),$M566&gt;(ROW(PLE.lastrow)-ROW(PLE.firstrow))),0,IF(OFFSET(PLE!$G$14,$M566,CJ$13)="",10^12,OFFSET(PLE!$G$14,$M566,CJ$13))))</f>
        <v>1000000000000</v>
      </c>
      <c r="CK566" s="216">
        <f ca="1">IF($D566&lt;&gt;"Serviço",0,IF(OR(AND(AUTOEVENTO="Manual",$M566=1),$M566&gt;(ROW(PLE.lastrow)-ROW(PLE.firstrow))),0,IF(OFFSET(PLE!$G$14,$M566,CK$13)="",10^12,OFFSET(PLE!$G$14,$M566,CK$13))))</f>
        <v>1000000000000</v>
      </c>
      <c r="CL566" s="216">
        <f ca="1">IF($D566&lt;&gt;"Serviço",0,IF(OR(AND(AUTOEVENTO="Manual",$M566=1),$M566&gt;(ROW(PLE.lastrow)-ROW(PLE.firstrow))),0,IF(OFFSET(PLE!$G$14,$M566,CL$13)="",10^12,OFFSET(PLE!$G$14,$M566,CL$13))))</f>
        <v>1000000000000</v>
      </c>
      <c r="CM566" s="216">
        <f ca="1">IF($D566&lt;&gt;"Serviço",0,IF(OR(AND(AUTOEVENTO="Manual",$M566=1),$M566&gt;(ROW(PLE.lastrow)-ROW(PLE.firstrow))),0,IF(OFFSET(PLE!$G$14,$M566,CM$13)="",10^12,OFFSET(PLE!$G$14,$M566,CM$13))))</f>
        <v>1000000000000</v>
      </c>
    </row>
    <row r="567" spans="1:91" ht="13.2" x14ac:dyDescent="0.25">
      <c r="A567" s="9">
        <f t="shared" ca="1" si="17"/>
        <v>0</v>
      </c>
      <c r="B567" s="9" t="str">
        <f ca="1">OFFSET(ORÇAMENTO!C$15,ROW(B567)-ROW(B$15),0)</f>
        <v>S</v>
      </c>
      <c r="C567" s="9" t="str">
        <f ca="1">OFFSET(ORÇAMENTO!L$15,ROW(C567)-ROW(C$15),0)</f>
        <v/>
      </c>
      <c r="D567" s="145" t="str">
        <f ca="1">OFFSET(ORÇAMENTO!N$15,ROW(D567)-ROW(D$15),0)</f>
        <v>Serviço</v>
      </c>
      <c r="E567" s="205" t="str">
        <f ca="1">OFFSET(ORÇAMENTO!O$15,ROW(E567)-ROW(E$15),0)</f>
        <v>-</v>
      </c>
      <c r="F567" s="206" t="str">
        <f ca="1">OFFSET(ORÇAMENTO!R$15,ROW(F567)-ROW(F$15),0)</f>
        <v>(abra o arquivo 'Referência 05-2024.xls)</v>
      </c>
      <c r="G567" s="207" t="str">
        <f ca="1">IF($D567&lt;&gt;"Serviço","",OFFSET(ORÇAMENTO!S$15,ROW(G567)-ROW(G$15),0))</f>
        <v>-</v>
      </c>
      <c r="H567" s="151">
        <f ca="1">IF($D567&lt;&gt;"Serviço",0,IF(ACOMPANHAMENTO="BM",ROUND(OFFSET(ORÇAMENTO!AJ$15,ROW(H567)-ROW(H$15),0),15-13*ORÇAMENTO!$AF$7),SUMPRODUCT(($Q$12:$AI$12&lt;&gt;"")*ROUND($Q567:$AI567,15-13*ORÇAMENTO!$AF$7))))</f>
        <v>1</v>
      </c>
      <c r="I567" s="650"/>
      <c r="K567" s="208"/>
      <c r="L567" s="209" t="s">
        <v>257</v>
      </c>
      <c r="M567" s="210">
        <f ca="1">IF($D567&lt;&gt;"Serviço","",IF(AUTOEVENTO="manual",$A567,IF(ISERROR(MATCH($A567,$A$15:OFFSET($A567,-1,0),0)),MAX($M$15:OFFSET(M567,-1,0))+1,INDEX($M$15:OFFSET(M567,-1,0),MATCH($A567,$A$15:OFFSET($A567,-1,0),0)))))</f>
        <v>0</v>
      </c>
      <c r="N567" s="211" t="str">
        <f ca="1">IF($D567&lt;&gt;"Serviço","",IF(AUTOEVENTO="Manual",IF($A567=0,"&lt;-- defina o número do agrupador",OFFSET(EVENTOS!$D$14,$A567,0)),OFFSET($F$15,$A567,0)))</f>
        <v>&lt;-- defina o número do agrupador</v>
      </c>
      <c r="O567" s="212"/>
      <c r="Q567" s="212"/>
      <c r="R567" s="213"/>
      <c r="S567" s="213"/>
      <c r="T567" s="213"/>
      <c r="U567" s="213"/>
      <c r="V567" s="213"/>
      <c r="W567" s="213"/>
      <c r="X567" s="213"/>
      <c r="Y567" s="213"/>
      <c r="Z567" s="214"/>
      <c r="AA567" s="213"/>
      <c r="AB567" s="213"/>
      <c r="AC567" s="213"/>
      <c r="AD567" s="213"/>
      <c r="AE567" s="213"/>
      <c r="AF567" s="213"/>
      <c r="AG567" s="213"/>
      <c r="AH567" s="214"/>
      <c r="AJ567" s="631">
        <f ca="1">IF(AND($D567="Serviço",AJ$12&lt;&gt;0,$H567&gt;0,OR(AUTOEVENTO&lt;&gt;"manual",$M567&lt;&gt;1)),ROUND(OFFSET($P567,0,AJ$13),15-13*ORÇAMENTO!$AF$7)/$H567*OFFSET(ORÇAMENTO!$X$15,ROW(AJ567)-ROW(AJ$15),0),0)</f>
        <v>0</v>
      </c>
      <c r="AK567" s="632">
        <f ca="1">IF(AND($D567="Serviço",AK$12&lt;&gt;0,$H567&gt;0,OR(AUTOEVENTO&lt;&gt;"manual",$M567&lt;&gt;1)),ROUND(OFFSET($P567,0,AK$13),15-13*ORÇAMENTO!$AF$7)/$H567*OFFSET(ORÇAMENTO!$X$15,ROW(AK567)-ROW(AK$15),0),0)</f>
        <v>0</v>
      </c>
      <c r="AL567" s="632">
        <f ca="1">IF(AND($D567="Serviço",AL$12&lt;&gt;0,$H567&gt;0,OR(AUTOEVENTO&lt;&gt;"manual",$M567&lt;&gt;1)),ROUND(OFFSET($P567,0,AL$13),15-13*ORÇAMENTO!$AF$7)/$H567*OFFSET(ORÇAMENTO!$X$15,ROW(AL567)-ROW(AL$15),0),0)</f>
        <v>0</v>
      </c>
      <c r="AM567" s="632">
        <f ca="1">IF(AND($D567="Serviço",AM$12&lt;&gt;0,$H567&gt;0,OR(AUTOEVENTO&lt;&gt;"manual",$M567&lt;&gt;1)),ROUND(OFFSET($P567,0,AM$13),15-13*ORÇAMENTO!$AF$7)/$H567*OFFSET(ORÇAMENTO!$X$15,ROW(AM567)-ROW(AM$15),0),0)</f>
        <v>0</v>
      </c>
      <c r="AN567" s="632">
        <f ca="1">IF(AND($D567="Serviço",AN$12&lt;&gt;0,$H567&gt;0,OR(AUTOEVENTO&lt;&gt;"manual",$M567&lt;&gt;1)),ROUND(OFFSET($P567,0,AN$13),15-13*ORÇAMENTO!$AF$7)/$H567*OFFSET(ORÇAMENTO!$X$15,ROW(AN567)-ROW(AN$15),0),0)</f>
        <v>0</v>
      </c>
      <c r="AO567" s="632">
        <f ca="1">IF(AND($D567="Serviço",AO$12&lt;&gt;0,$H567&gt;0,OR(AUTOEVENTO&lt;&gt;"manual",$M567&lt;&gt;1)),ROUND(OFFSET($P567,0,AO$13),15-13*ORÇAMENTO!$AF$7)/$H567*OFFSET(ORÇAMENTO!$X$15,ROW(AO567)-ROW(AO$15),0),0)</f>
        <v>0</v>
      </c>
      <c r="AP567" s="632">
        <f ca="1">IF(AND($D567="Serviço",AP$12&lt;&gt;0,$H567&gt;0,OR(AUTOEVENTO&lt;&gt;"manual",$M567&lt;&gt;1)),ROUND(OFFSET($P567,0,AP$13),15-13*ORÇAMENTO!$AF$7)/$H567*OFFSET(ORÇAMENTO!$X$15,ROW(AP567)-ROW(AP$15),0),0)</f>
        <v>0</v>
      </c>
      <c r="AQ567" s="632">
        <f ca="1">IF(AND($D567="Serviço",AQ$12&lt;&gt;0,$H567&gt;0,OR(AUTOEVENTO&lt;&gt;"manual",$M567&lt;&gt;1)),ROUND(OFFSET($P567,0,AQ$13),15-13*ORÇAMENTO!$AF$7)/$H567*OFFSET(ORÇAMENTO!$X$15,ROW(AQ567)-ROW(AQ$15),0),0)</f>
        <v>0</v>
      </c>
      <c r="AR567" s="632">
        <f ca="1">IF(AND($D567="Serviço",AR$12&lt;&gt;0,$H567&gt;0,OR(AUTOEVENTO&lt;&gt;"manual",$M567&lt;&gt;1)),ROUND(OFFSET($P567,0,AR$13),15-13*ORÇAMENTO!$AF$7)/$H567*OFFSET(ORÇAMENTO!$X$15,ROW(AR567)-ROW(AR$15),0),0)</f>
        <v>0</v>
      </c>
      <c r="AS567" s="633">
        <f ca="1">IF(AND($D567="Serviço",AS$12&lt;&gt;0,$H567&gt;0,OR(AUTOEVENTO&lt;&gt;"manual",$M567&lt;&gt;1)),ROUND(OFFSET($P567,0,AS$13),15-13*ORÇAMENTO!$AF$7)/$H567*OFFSET(ORÇAMENTO!$X$15,ROW(AS567)-ROW(AS$15),0),0)</f>
        <v>0</v>
      </c>
      <c r="AT567" s="632">
        <f ca="1">IF(AND($D567="Serviço",AT$12&lt;&gt;0,$H567&gt;0,OR(AUTOEVENTO&lt;&gt;"manual",$M567&lt;&gt;1)),ROUND(OFFSET($P567,0,AT$13),15-13*ORÇAMENTO!$AF$7)/$H567*OFFSET(ORÇAMENTO!$X$15,ROW(AT567)-ROW(AT$15),0),0)</f>
        <v>0</v>
      </c>
      <c r="AU567" s="632">
        <f ca="1">IF(AND($D567="Serviço",AU$12&lt;&gt;0,$H567&gt;0,OR(AUTOEVENTO&lt;&gt;"manual",$M567&lt;&gt;1)),ROUND(OFFSET($P567,0,AU$13),15-13*ORÇAMENTO!$AF$7)/$H567*OFFSET(ORÇAMENTO!$X$15,ROW(AU567)-ROW(AU$15),0),0)</f>
        <v>0</v>
      </c>
      <c r="AV567" s="632">
        <f ca="1">IF(AND($D567="Serviço",AV$12&lt;&gt;0,$H567&gt;0,OR(AUTOEVENTO&lt;&gt;"manual",$M567&lt;&gt;1)),ROUND(OFFSET($P567,0,AV$13),15-13*ORÇAMENTO!$AF$7)/$H567*OFFSET(ORÇAMENTO!$X$15,ROW(AV567)-ROW(AV$15),0),0)</f>
        <v>0</v>
      </c>
      <c r="AW567" s="632">
        <f ca="1">IF(AND($D567="Serviço",AW$12&lt;&gt;0,$H567&gt;0,OR(AUTOEVENTO&lt;&gt;"manual",$M567&lt;&gt;1)),ROUND(OFFSET($P567,0,AW$13),15-13*ORÇAMENTO!$AF$7)/$H567*OFFSET(ORÇAMENTO!$X$15,ROW(AW567)-ROW(AW$15),0),0)</f>
        <v>0</v>
      </c>
      <c r="AX567" s="632">
        <f ca="1">IF(AND($D567="Serviço",AX$12&lt;&gt;0,$H567&gt;0,OR(AUTOEVENTO&lt;&gt;"manual",$M567&lt;&gt;1)),ROUND(OFFSET($P567,0,AX$13),15-13*ORÇAMENTO!$AF$7)/$H567*OFFSET(ORÇAMENTO!$X$15,ROW(AX567)-ROW(AX$15),0),0)</f>
        <v>0</v>
      </c>
      <c r="AY567" s="632">
        <f ca="1">IF(AND($D567="Serviço",AY$12&lt;&gt;0,$H567&gt;0,OR(AUTOEVENTO&lt;&gt;"manual",$M567&lt;&gt;1)),ROUND(OFFSET($P567,0,AY$13),15-13*ORÇAMENTO!$AF$7)/$H567*OFFSET(ORÇAMENTO!$X$15,ROW(AY567)-ROW(AY$15),0),0)</f>
        <v>0</v>
      </c>
      <c r="AZ567" s="632">
        <f ca="1">IF(AND($D567="Serviço",AZ$12&lt;&gt;0,$H567&gt;0,OR(AUTOEVENTO&lt;&gt;"manual",$M567&lt;&gt;1)),ROUND(OFFSET($P567,0,AZ$13),15-13*ORÇAMENTO!$AF$7)/$H567*OFFSET(ORÇAMENTO!$X$15,ROW(AZ567)-ROW(AZ$15),0),0)</f>
        <v>0</v>
      </c>
      <c r="BA567" s="633">
        <f ca="1">IF(AND($D567="Serviço",BA$12&lt;&gt;0,$H567&gt;0,OR(AUTOEVENTO&lt;&gt;"manual",$M567&lt;&gt;1)),ROUND(OFFSET($P567,0,BA$13),15-13*ORÇAMENTO!$AF$7)/$H567*OFFSET(ORÇAMENTO!$X$15,ROW(BA567)-ROW(BA$15),0),0)</f>
        <v>0</v>
      </c>
      <c r="BC567" s="215">
        <f ca="1">IF($D567&lt;&gt;"Serviço",0,IF(AND(AUTOEVENTO="Manual",$M567=1),0,IF(OFFSET(CRONOPLE!$F$14,$M567,BC$13)="",10^12,OFFSET(CRONOPLE!$F$14,$M567,BC$13))))</f>
        <v>1000000000000</v>
      </c>
      <c r="BD567" s="215">
        <f ca="1">IF($D567&lt;&gt;"Serviço",0,IF(AND(AUTOEVENTO="Manual",$M567=1),0,IF(OFFSET(CRONOPLE!$F$14,$M567,BD$13)="",10^12,OFFSET(CRONOPLE!$F$14,$M567,BD$13))))</f>
        <v>1000000000000</v>
      </c>
      <c r="BE567" s="215">
        <f ca="1">IF($D567&lt;&gt;"Serviço",0,IF(AND(AUTOEVENTO="Manual",$M567=1),0,IF(OFFSET(CRONOPLE!$F$14,$M567,BE$13)="",10^12,OFFSET(CRONOPLE!$F$14,$M567,BE$13))))</f>
        <v>1000000000000</v>
      </c>
      <c r="BF567" s="215">
        <f ca="1">IF($D567&lt;&gt;"Serviço",0,IF(AND(AUTOEVENTO="Manual",$M567=1),0,IF(OFFSET(CRONOPLE!$F$14,$M567,BF$13)="",10^12,OFFSET(CRONOPLE!$F$14,$M567,BF$13))))</f>
        <v>1000000000000</v>
      </c>
      <c r="BG567" s="215">
        <f ca="1">IF($D567&lt;&gt;"Serviço",0,IF(AND(AUTOEVENTO="Manual",$M567=1),0,IF(OFFSET(CRONOPLE!$F$14,$M567,BG$13)="",10^12,OFFSET(CRONOPLE!$F$14,$M567,BG$13))))</f>
        <v>1000000000000</v>
      </c>
      <c r="BH567" s="215">
        <f ca="1">IF($D567&lt;&gt;"Serviço",0,IF(AND(AUTOEVENTO="Manual",$M567=1),0,IF(OFFSET(CRONOPLE!$F$14,$M567,BH$13)="",10^12,OFFSET(CRONOPLE!$F$14,$M567,BH$13))))</f>
        <v>1000000000000</v>
      </c>
      <c r="BI567" s="215">
        <f ca="1">IF($D567&lt;&gt;"Serviço",0,IF(AND(AUTOEVENTO="Manual",$M567=1),0,IF(OFFSET(CRONOPLE!$F$14,$M567,BI$13)="",10^12,OFFSET(CRONOPLE!$F$14,$M567,BI$13))))</f>
        <v>1000000000000</v>
      </c>
      <c r="BJ567" s="215">
        <f ca="1">IF($D567&lt;&gt;"Serviço",0,IF(AND(AUTOEVENTO="Manual",$M567=1),0,IF(OFFSET(CRONOPLE!$F$14,$M567,BJ$13)="",10^12,OFFSET(CRONOPLE!$F$14,$M567,BJ$13))))</f>
        <v>1000000000000</v>
      </c>
      <c r="BK567" s="215">
        <f ca="1">IF($D567&lt;&gt;"Serviço",0,IF(AND(AUTOEVENTO="Manual",$M567=1),0,IF(OFFSET(CRONOPLE!$F$14,$M567,BK$13)="",10^12,OFFSET(CRONOPLE!$F$14,$M567,BK$13))))</f>
        <v>1000000000000</v>
      </c>
      <c r="BL567" s="215">
        <f ca="1">IF($D567&lt;&gt;"Serviço",0,IF(AND(AUTOEVENTO="Manual",$M567=1),0,IF(OFFSET(CRONOPLE!$F$14,$M567,BL$13)="",10^12,OFFSET(CRONOPLE!$F$14,$M567,BL$13))))</f>
        <v>1000000000000</v>
      </c>
      <c r="BM567" s="215">
        <f ca="1">IF($D567&lt;&gt;"Serviço",0,IF(AND(AUTOEVENTO="Manual",$M567=1),0,IF(OFFSET(CRONOPLE!$F$14,$M567,BM$13)="",10^12,OFFSET(CRONOPLE!$F$14,$M567,BM$13))))</f>
        <v>1000000000000</v>
      </c>
      <c r="BN567" s="215">
        <f ca="1">IF($D567&lt;&gt;"Serviço",0,IF(AND(AUTOEVENTO="Manual",$M567=1),0,IF(OFFSET(CRONOPLE!$F$14,$M567,BN$13)="",10^12,OFFSET(CRONOPLE!$F$14,$M567,BN$13))))</f>
        <v>1000000000000</v>
      </c>
      <c r="BO567" s="215">
        <f ca="1">IF($D567&lt;&gt;"Serviço",0,IF(AND(AUTOEVENTO="Manual",$M567=1),0,IF(OFFSET(CRONOPLE!$F$14,$M567,BO$13)="",10^12,OFFSET(CRONOPLE!$F$14,$M567,BO$13))))</f>
        <v>1000000000000</v>
      </c>
      <c r="BP567" s="215">
        <f ca="1">IF($D567&lt;&gt;"Serviço",0,IF(AND(AUTOEVENTO="Manual",$M567=1),0,IF(OFFSET(CRONOPLE!$F$14,$M567,BP$13)="",10^12,OFFSET(CRONOPLE!$F$14,$M567,BP$13))))</f>
        <v>1000000000000</v>
      </c>
      <c r="BQ567" s="215">
        <f ca="1">IF($D567&lt;&gt;"Serviço",0,IF(AND(AUTOEVENTO="Manual",$M567=1),0,IF(OFFSET(CRONOPLE!$F$14,$M567,BQ$13)="",10^12,OFFSET(CRONOPLE!$F$14,$M567,BQ$13))))</f>
        <v>1000000000000</v>
      </c>
      <c r="BR567" s="215">
        <f ca="1">IF($D567&lt;&gt;"Serviço",0,IF(AND(AUTOEVENTO="Manual",$M567=1),0,IF(OFFSET(CRONOPLE!$F$14,$M567,BR$13)="",10^12,OFFSET(CRONOPLE!$F$14,$M567,BR$13))))</f>
        <v>1000000000000</v>
      </c>
      <c r="BS567" s="215">
        <f ca="1">IF($D567&lt;&gt;"Serviço",0,IF(AND(AUTOEVENTO="Manual",$M567=1),0,IF(OFFSET(CRONOPLE!$F$14,$M567,BS$13)="",10^12,OFFSET(CRONOPLE!$F$14,$M567,BS$13))))</f>
        <v>1000000000000</v>
      </c>
      <c r="BT567" s="215">
        <f ca="1">IF($D567&lt;&gt;"Serviço",0,IF(AND(AUTOEVENTO="Manual",$M567=1),0,IF(OFFSET(CRONOPLE!$F$14,$M567,BT$13)="",10^12,OFFSET(CRONOPLE!$F$14,$M567,BT$13))))</f>
        <v>1000000000000</v>
      </c>
      <c r="BV567" s="216">
        <f ca="1">IF($D567&lt;&gt;"Serviço",0,IF(OR(AND(AUTOEVENTO="Manual",$M567=1),$M567&gt;(ROW(PLE.lastrow)-ROW(PLE.firstrow))),0,IF(OFFSET(PLE!$G$14,$M567,BV$13)="",10^12,OFFSET(PLE!$G$14,$M567,BV$13))))</f>
        <v>1000000000000</v>
      </c>
      <c r="BW567" s="216">
        <f ca="1">IF($D567&lt;&gt;"Serviço",0,IF(OR(AND(AUTOEVENTO="Manual",$M567=1),$M567&gt;(ROW(PLE.lastrow)-ROW(PLE.firstrow))),0,IF(OFFSET(PLE!$G$14,$M567,BW$13)="",10^12,OFFSET(PLE!$G$14,$M567,BW$13))))</f>
        <v>1000000000000</v>
      </c>
      <c r="BX567" s="216">
        <f ca="1">IF($D567&lt;&gt;"Serviço",0,IF(OR(AND(AUTOEVENTO="Manual",$M567=1),$M567&gt;(ROW(PLE.lastrow)-ROW(PLE.firstrow))),0,IF(OFFSET(PLE!$G$14,$M567,BX$13)="",10^12,OFFSET(PLE!$G$14,$M567,BX$13))))</f>
        <v>1000000000000</v>
      </c>
      <c r="BY567" s="216">
        <f ca="1">IF($D567&lt;&gt;"Serviço",0,IF(OR(AND(AUTOEVENTO="Manual",$M567=1),$M567&gt;(ROW(PLE.lastrow)-ROW(PLE.firstrow))),0,IF(OFFSET(PLE!$G$14,$M567,BY$13)="",10^12,OFFSET(PLE!$G$14,$M567,BY$13))))</f>
        <v>1000000000000</v>
      </c>
      <c r="BZ567" s="216">
        <f ca="1">IF($D567&lt;&gt;"Serviço",0,IF(OR(AND(AUTOEVENTO="Manual",$M567=1),$M567&gt;(ROW(PLE.lastrow)-ROW(PLE.firstrow))),0,IF(OFFSET(PLE!$G$14,$M567,BZ$13)="",10^12,OFFSET(PLE!$G$14,$M567,BZ$13))))</f>
        <v>1000000000000</v>
      </c>
      <c r="CA567" s="216">
        <f ca="1">IF($D567&lt;&gt;"Serviço",0,IF(OR(AND(AUTOEVENTO="Manual",$M567=1),$M567&gt;(ROW(PLE.lastrow)-ROW(PLE.firstrow))),0,IF(OFFSET(PLE!$G$14,$M567,CA$13)="",10^12,OFFSET(PLE!$G$14,$M567,CA$13))))</f>
        <v>1000000000000</v>
      </c>
      <c r="CB567" s="216">
        <f ca="1">IF($D567&lt;&gt;"Serviço",0,IF(OR(AND(AUTOEVENTO="Manual",$M567=1),$M567&gt;(ROW(PLE.lastrow)-ROW(PLE.firstrow))),0,IF(OFFSET(PLE!$G$14,$M567,CB$13)="",10^12,OFFSET(PLE!$G$14,$M567,CB$13))))</f>
        <v>1000000000000</v>
      </c>
      <c r="CC567" s="216">
        <f ca="1">IF($D567&lt;&gt;"Serviço",0,IF(OR(AND(AUTOEVENTO="Manual",$M567=1),$M567&gt;(ROW(PLE.lastrow)-ROW(PLE.firstrow))),0,IF(OFFSET(PLE!$G$14,$M567,CC$13)="",10^12,OFFSET(PLE!$G$14,$M567,CC$13))))</f>
        <v>1000000000000</v>
      </c>
      <c r="CD567" s="216">
        <f ca="1">IF($D567&lt;&gt;"Serviço",0,IF(OR(AND(AUTOEVENTO="Manual",$M567=1),$M567&gt;(ROW(PLE.lastrow)-ROW(PLE.firstrow))),0,IF(OFFSET(PLE!$G$14,$M567,CD$13)="",10^12,OFFSET(PLE!$G$14,$M567,CD$13))))</f>
        <v>1000000000000</v>
      </c>
      <c r="CE567" s="216">
        <f ca="1">IF($D567&lt;&gt;"Serviço",0,IF(OR(AND(AUTOEVENTO="Manual",$M567=1),$M567&gt;(ROW(PLE.lastrow)-ROW(PLE.firstrow))),0,IF(OFFSET(PLE!$G$14,$M567,CE$13)="",10^12,OFFSET(PLE!$G$14,$M567,CE$13))))</f>
        <v>1000000000000</v>
      </c>
      <c r="CF567" s="216">
        <f ca="1">IF($D567&lt;&gt;"Serviço",0,IF(OR(AND(AUTOEVENTO="Manual",$M567=1),$M567&gt;(ROW(PLE.lastrow)-ROW(PLE.firstrow))),0,IF(OFFSET(PLE!$G$14,$M567,CF$13)="",10^12,OFFSET(PLE!$G$14,$M567,CF$13))))</f>
        <v>1000000000000</v>
      </c>
      <c r="CG567" s="216">
        <f ca="1">IF($D567&lt;&gt;"Serviço",0,IF(OR(AND(AUTOEVENTO="Manual",$M567=1),$M567&gt;(ROW(PLE.lastrow)-ROW(PLE.firstrow))),0,IF(OFFSET(PLE!$G$14,$M567,CG$13)="",10^12,OFFSET(PLE!$G$14,$M567,CG$13))))</f>
        <v>1000000000000</v>
      </c>
      <c r="CH567" s="216">
        <f ca="1">IF($D567&lt;&gt;"Serviço",0,IF(OR(AND(AUTOEVENTO="Manual",$M567=1),$M567&gt;(ROW(PLE.lastrow)-ROW(PLE.firstrow))),0,IF(OFFSET(PLE!$G$14,$M567,CH$13)="",10^12,OFFSET(PLE!$G$14,$M567,CH$13))))</f>
        <v>1000000000000</v>
      </c>
      <c r="CI567" s="216">
        <f ca="1">IF($D567&lt;&gt;"Serviço",0,IF(OR(AND(AUTOEVENTO="Manual",$M567=1),$M567&gt;(ROW(PLE.lastrow)-ROW(PLE.firstrow))),0,IF(OFFSET(PLE!$G$14,$M567,CI$13)="",10^12,OFFSET(PLE!$G$14,$M567,CI$13))))</f>
        <v>1000000000000</v>
      </c>
      <c r="CJ567" s="216">
        <f ca="1">IF($D567&lt;&gt;"Serviço",0,IF(OR(AND(AUTOEVENTO="Manual",$M567=1),$M567&gt;(ROW(PLE.lastrow)-ROW(PLE.firstrow))),0,IF(OFFSET(PLE!$G$14,$M567,CJ$13)="",10^12,OFFSET(PLE!$G$14,$M567,CJ$13))))</f>
        <v>1000000000000</v>
      </c>
      <c r="CK567" s="216">
        <f ca="1">IF($D567&lt;&gt;"Serviço",0,IF(OR(AND(AUTOEVENTO="Manual",$M567=1),$M567&gt;(ROW(PLE.lastrow)-ROW(PLE.firstrow))),0,IF(OFFSET(PLE!$G$14,$M567,CK$13)="",10^12,OFFSET(PLE!$G$14,$M567,CK$13))))</f>
        <v>1000000000000</v>
      </c>
      <c r="CL567" s="216">
        <f ca="1">IF($D567&lt;&gt;"Serviço",0,IF(OR(AND(AUTOEVENTO="Manual",$M567=1),$M567&gt;(ROW(PLE.lastrow)-ROW(PLE.firstrow))),0,IF(OFFSET(PLE!$G$14,$M567,CL$13)="",10^12,OFFSET(PLE!$G$14,$M567,CL$13))))</f>
        <v>1000000000000</v>
      </c>
      <c r="CM567" s="216">
        <f ca="1">IF($D567&lt;&gt;"Serviço",0,IF(OR(AND(AUTOEVENTO="Manual",$M567=1),$M567&gt;(ROW(PLE.lastrow)-ROW(PLE.firstrow))),0,IF(OFFSET(PLE!$G$14,$M567,CM$13)="",10^12,OFFSET(PLE!$G$14,$M567,CM$13))))</f>
        <v>1000000000000</v>
      </c>
    </row>
    <row r="568" spans="1:91" ht="13.2" x14ac:dyDescent="0.25">
      <c r="A568" s="9">
        <f t="shared" ca="1" si="17"/>
        <v>0</v>
      </c>
      <c r="B568" s="9" t="str">
        <f ca="1">OFFSET(ORÇAMENTO!C$15,ROW(B568)-ROW(B$15),0)</f>
        <v>S</v>
      </c>
      <c r="C568" s="9" t="str">
        <f ca="1">OFFSET(ORÇAMENTO!L$15,ROW(C568)-ROW(C$15),0)</f>
        <v/>
      </c>
      <c r="D568" s="145" t="str">
        <f ca="1">OFFSET(ORÇAMENTO!N$15,ROW(D568)-ROW(D$15),0)</f>
        <v>Serviço</v>
      </c>
      <c r="E568" s="205" t="str">
        <f ca="1">OFFSET(ORÇAMENTO!O$15,ROW(E568)-ROW(E$15),0)</f>
        <v>-</v>
      </c>
      <c r="F568" s="206" t="str">
        <f ca="1">OFFSET(ORÇAMENTO!R$15,ROW(F568)-ROW(F$15),0)</f>
        <v>(abra o arquivo 'Referência 05-2024.xls)</v>
      </c>
      <c r="G568" s="207" t="str">
        <f ca="1">IF($D568&lt;&gt;"Serviço","",OFFSET(ORÇAMENTO!S$15,ROW(G568)-ROW(G$15),0))</f>
        <v>-</v>
      </c>
      <c r="H568" s="151">
        <f ca="1">IF($D568&lt;&gt;"Serviço",0,IF(ACOMPANHAMENTO="BM",ROUND(OFFSET(ORÇAMENTO!AJ$15,ROW(H568)-ROW(H$15),0),15-13*ORÇAMENTO!$AF$7),SUMPRODUCT(($Q$12:$AI$12&lt;&gt;"")*ROUND($Q568:$AI568,15-13*ORÇAMENTO!$AF$7))))</f>
        <v>1</v>
      </c>
      <c r="I568" s="650"/>
      <c r="K568" s="208"/>
      <c r="L568" s="209" t="s">
        <v>257</v>
      </c>
      <c r="M568" s="210">
        <f ca="1">IF($D568&lt;&gt;"Serviço","",IF(AUTOEVENTO="manual",$A568,IF(ISERROR(MATCH($A568,$A$15:OFFSET($A568,-1,0),0)),MAX($M$15:OFFSET(M568,-1,0))+1,INDEX($M$15:OFFSET(M568,-1,0),MATCH($A568,$A$15:OFFSET($A568,-1,0),0)))))</f>
        <v>0</v>
      </c>
      <c r="N568" s="211" t="str">
        <f ca="1">IF($D568&lt;&gt;"Serviço","",IF(AUTOEVENTO="Manual",IF($A568=0,"&lt;-- defina o número do agrupador",OFFSET(EVENTOS!$D$14,$A568,0)),OFFSET($F$15,$A568,0)))</f>
        <v>&lt;-- defina o número do agrupador</v>
      </c>
      <c r="O568" s="212"/>
      <c r="Q568" s="212"/>
      <c r="R568" s="213"/>
      <c r="S568" s="213"/>
      <c r="T568" s="213"/>
      <c r="U568" s="213"/>
      <c r="V568" s="213"/>
      <c r="W568" s="213"/>
      <c r="X568" s="213"/>
      <c r="Y568" s="213"/>
      <c r="Z568" s="214"/>
      <c r="AA568" s="213"/>
      <c r="AB568" s="213"/>
      <c r="AC568" s="213"/>
      <c r="AD568" s="213"/>
      <c r="AE568" s="213"/>
      <c r="AF568" s="213"/>
      <c r="AG568" s="213"/>
      <c r="AH568" s="214"/>
      <c r="AJ568" s="631">
        <f ca="1">IF(AND($D568="Serviço",AJ$12&lt;&gt;0,$H568&gt;0,OR(AUTOEVENTO&lt;&gt;"manual",$M568&lt;&gt;1)),ROUND(OFFSET($P568,0,AJ$13),15-13*ORÇAMENTO!$AF$7)/$H568*OFFSET(ORÇAMENTO!$X$15,ROW(AJ568)-ROW(AJ$15),0),0)</f>
        <v>0</v>
      </c>
      <c r="AK568" s="632">
        <f ca="1">IF(AND($D568="Serviço",AK$12&lt;&gt;0,$H568&gt;0,OR(AUTOEVENTO&lt;&gt;"manual",$M568&lt;&gt;1)),ROUND(OFFSET($P568,0,AK$13),15-13*ORÇAMENTO!$AF$7)/$H568*OFFSET(ORÇAMENTO!$X$15,ROW(AK568)-ROW(AK$15),0),0)</f>
        <v>0</v>
      </c>
      <c r="AL568" s="632">
        <f ca="1">IF(AND($D568="Serviço",AL$12&lt;&gt;0,$H568&gt;0,OR(AUTOEVENTO&lt;&gt;"manual",$M568&lt;&gt;1)),ROUND(OFFSET($P568,0,AL$13),15-13*ORÇAMENTO!$AF$7)/$H568*OFFSET(ORÇAMENTO!$X$15,ROW(AL568)-ROW(AL$15),0),0)</f>
        <v>0</v>
      </c>
      <c r="AM568" s="632">
        <f ca="1">IF(AND($D568="Serviço",AM$12&lt;&gt;0,$H568&gt;0,OR(AUTOEVENTO&lt;&gt;"manual",$M568&lt;&gt;1)),ROUND(OFFSET($P568,0,AM$13),15-13*ORÇAMENTO!$AF$7)/$H568*OFFSET(ORÇAMENTO!$X$15,ROW(AM568)-ROW(AM$15),0),0)</f>
        <v>0</v>
      </c>
      <c r="AN568" s="632">
        <f ca="1">IF(AND($D568="Serviço",AN$12&lt;&gt;0,$H568&gt;0,OR(AUTOEVENTO&lt;&gt;"manual",$M568&lt;&gt;1)),ROUND(OFFSET($P568,0,AN$13),15-13*ORÇAMENTO!$AF$7)/$H568*OFFSET(ORÇAMENTO!$X$15,ROW(AN568)-ROW(AN$15),0),0)</f>
        <v>0</v>
      </c>
      <c r="AO568" s="632">
        <f ca="1">IF(AND($D568="Serviço",AO$12&lt;&gt;0,$H568&gt;0,OR(AUTOEVENTO&lt;&gt;"manual",$M568&lt;&gt;1)),ROUND(OFFSET($P568,0,AO$13),15-13*ORÇAMENTO!$AF$7)/$H568*OFFSET(ORÇAMENTO!$X$15,ROW(AO568)-ROW(AO$15),0),0)</f>
        <v>0</v>
      </c>
      <c r="AP568" s="632">
        <f ca="1">IF(AND($D568="Serviço",AP$12&lt;&gt;0,$H568&gt;0,OR(AUTOEVENTO&lt;&gt;"manual",$M568&lt;&gt;1)),ROUND(OFFSET($P568,0,AP$13),15-13*ORÇAMENTO!$AF$7)/$H568*OFFSET(ORÇAMENTO!$X$15,ROW(AP568)-ROW(AP$15),0),0)</f>
        <v>0</v>
      </c>
      <c r="AQ568" s="632">
        <f ca="1">IF(AND($D568="Serviço",AQ$12&lt;&gt;0,$H568&gt;0,OR(AUTOEVENTO&lt;&gt;"manual",$M568&lt;&gt;1)),ROUND(OFFSET($P568,0,AQ$13),15-13*ORÇAMENTO!$AF$7)/$H568*OFFSET(ORÇAMENTO!$X$15,ROW(AQ568)-ROW(AQ$15),0),0)</f>
        <v>0</v>
      </c>
      <c r="AR568" s="632">
        <f ca="1">IF(AND($D568="Serviço",AR$12&lt;&gt;0,$H568&gt;0,OR(AUTOEVENTO&lt;&gt;"manual",$M568&lt;&gt;1)),ROUND(OFFSET($P568,0,AR$13),15-13*ORÇAMENTO!$AF$7)/$H568*OFFSET(ORÇAMENTO!$X$15,ROW(AR568)-ROW(AR$15),0),0)</f>
        <v>0</v>
      </c>
      <c r="AS568" s="633">
        <f ca="1">IF(AND($D568="Serviço",AS$12&lt;&gt;0,$H568&gt;0,OR(AUTOEVENTO&lt;&gt;"manual",$M568&lt;&gt;1)),ROUND(OFFSET($P568,0,AS$13),15-13*ORÇAMENTO!$AF$7)/$H568*OFFSET(ORÇAMENTO!$X$15,ROW(AS568)-ROW(AS$15),0),0)</f>
        <v>0</v>
      </c>
      <c r="AT568" s="632">
        <f ca="1">IF(AND($D568="Serviço",AT$12&lt;&gt;0,$H568&gt;0,OR(AUTOEVENTO&lt;&gt;"manual",$M568&lt;&gt;1)),ROUND(OFFSET($P568,0,AT$13),15-13*ORÇAMENTO!$AF$7)/$H568*OFFSET(ORÇAMENTO!$X$15,ROW(AT568)-ROW(AT$15),0),0)</f>
        <v>0</v>
      </c>
      <c r="AU568" s="632">
        <f ca="1">IF(AND($D568="Serviço",AU$12&lt;&gt;0,$H568&gt;0,OR(AUTOEVENTO&lt;&gt;"manual",$M568&lt;&gt;1)),ROUND(OFFSET($P568,0,AU$13),15-13*ORÇAMENTO!$AF$7)/$H568*OFFSET(ORÇAMENTO!$X$15,ROW(AU568)-ROW(AU$15),0),0)</f>
        <v>0</v>
      </c>
      <c r="AV568" s="632">
        <f ca="1">IF(AND($D568="Serviço",AV$12&lt;&gt;0,$H568&gt;0,OR(AUTOEVENTO&lt;&gt;"manual",$M568&lt;&gt;1)),ROUND(OFFSET($P568,0,AV$13),15-13*ORÇAMENTO!$AF$7)/$H568*OFFSET(ORÇAMENTO!$X$15,ROW(AV568)-ROW(AV$15),0),0)</f>
        <v>0</v>
      </c>
      <c r="AW568" s="632">
        <f ca="1">IF(AND($D568="Serviço",AW$12&lt;&gt;0,$H568&gt;0,OR(AUTOEVENTO&lt;&gt;"manual",$M568&lt;&gt;1)),ROUND(OFFSET($P568,0,AW$13),15-13*ORÇAMENTO!$AF$7)/$H568*OFFSET(ORÇAMENTO!$X$15,ROW(AW568)-ROW(AW$15),0),0)</f>
        <v>0</v>
      </c>
      <c r="AX568" s="632">
        <f ca="1">IF(AND($D568="Serviço",AX$12&lt;&gt;0,$H568&gt;0,OR(AUTOEVENTO&lt;&gt;"manual",$M568&lt;&gt;1)),ROUND(OFFSET($P568,0,AX$13),15-13*ORÇAMENTO!$AF$7)/$H568*OFFSET(ORÇAMENTO!$X$15,ROW(AX568)-ROW(AX$15),0),0)</f>
        <v>0</v>
      </c>
      <c r="AY568" s="632">
        <f ca="1">IF(AND($D568="Serviço",AY$12&lt;&gt;0,$H568&gt;0,OR(AUTOEVENTO&lt;&gt;"manual",$M568&lt;&gt;1)),ROUND(OFFSET($P568,0,AY$13),15-13*ORÇAMENTO!$AF$7)/$H568*OFFSET(ORÇAMENTO!$X$15,ROW(AY568)-ROW(AY$15),0),0)</f>
        <v>0</v>
      </c>
      <c r="AZ568" s="632">
        <f ca="1">IF(AND($D568="Serviço",AZ$12&lt;&gt;0,$H568&gt;0,OR(AUTOEVENTO&lt;&gt;"manual",$M568&lt;&gt;1)),ROUND(OFFSET($P568,0,AZ$13),15-13*ORÇAMENTO!$AF$7)/$H568*OFFSET(ORÇAMENTO!$X$15,ROW(AZ568)-ROW(AZ$15),0),0)</f>
        <v>0</v>
      </c>
      <c r="BA568" s="633">
        <f ca="1">IF(AND($D568="Serviço",BA$12&lt;&gt;0,$H568&gt;0,OR(AUTOEVENTO&lt;&gt;"manual",$M568&lt;&gt;1)),ROUND(OFFSET($P568,0,BA$13),15-13*ORÇAMENTO!$AF$7)/$H568*OFFSET(ORÇAMENTO!$X$15,ROW(BA568)-ROW(BA$15),0),0)</f>
        <v>0</v>
      </c>
      <c r="BC568" s="215">
        <f ca="1">IF($D568&lt;&gt;"Serviço",0,IF(AND(AUTOEVENTO="Manual",$M568=1),0,IF(OFFSET(CRONOPLE!$F$14,$M568,BC$13)="",10^12,OFFSET(CRONOPLE!$F$14,$M568,BC$13))))</f>
        <v>1000000000000</v>
      </c>
      <c r="BD568" s="215">
        <f ca="1">IF($D568&lt;&gt;"Serviço",0,IF(AND(AUTOEVENTO="Manual",$M568=1),0,IF(OFFSET(CRONOPLE!$F$14,$M568,BD$13)="",10^12,OFFSET(CRONOPLE!$F$14,$M568,BD$13))))</f>
        <v>1000000000000</v>
      </c>
      <c r="BE568" s="215">
        <f ca="1">IF($D568&lt;&gt;"Serviço",0,IF(AND(AUTOEVENTO="Manual",$M568=1),0,IF(OFFSET(CRONOPLE!$F$14,$M568,BE$13)="",10^12,OFFSET(CRONOPLE!$F$14,$M568,BE$13))))</f>
        <v>1000000000000</v>
      </c>
      <c r="BF568" s="215">
        <f ca="1">IF($D568&lt;&gt;"Serviço",0,IF(AND(AUTOEVENTO="Manual",$M568=1),0,IF(OFFSET(CRONOPLE!$F$14,$M568,BF$13)="",10^12,OFFSET(CRONOPLE!$F$14,$M568,BF$13))))</f>
        <v>1000000000000</v>
      </c>
      <c r="BG568" s="215">
        <f ca="1">IF($D568&lt;&gt;"Serviço",0,IF(AND(AUTOEVENTO="Manual",$M568=1),0,IF(OFFSET(CRONOPLE!$F$14,$M568,BG$13)="",10^12,OFFSET(CRONOPLE!$F$14,$M568,BG$13))))</f>
        <v>1000000000000</v>
      </c>
      <c r="BH568" s="215">
        <f ca="1">IF($D568&lt;&gt;"Serviço",0,IF(AND(AUTOEVENTO="Manual",$M568=1),0,IF(OFFSET(CRONOPLE!$F$14,$M568,BH$13)="",10^12,OFFSET(CRONOPLE!$F$14,$M568,BH$13))))</f>
        <v>1000000000000</v>
      </c>
      <c r="BI568" s="215">
        <f ca="1">IF($D568&lt;&gt;"Serviço",0,IF(AND(AUTOEVENTO="Manual",$M568=1),0,IF(OFFSET(CRONOPLE!$F$14,$M568,BI$13)="",10^12,OFFSET(CRONOPLE!$F$14,$M568,BI$13))))</f>
        <v>1000000000000</v>
      </c>
      <c r="BJ568" s="215">
        <f ca="1">IF($D568&lt;&gt;"Serviço",0,IF(AND(AUTOEVENTO="Manual",$M568=1),0,IF(OFFSET(CRONOPLE!$F$14,$M568,BJ$13)="",10^12,OFFSET(CRONOPLE!$F$14,$M568,BJ$13))))</f>
        <v>1000000000000</v>
      </c>
      <c r="BK568" s="215">
        <f ca="1">IF($D568&lt;&gt;"Serviço",0,IF(AND(AUTOEVENTO="Manual",$M568=1),0,IF(OFFSET(CRONOPLE!$F$14,$M568,BK$13)="",10^12,OFFSET(CRONOPLE!$F$14,$M568,BK$13))))</f>
        <v>1000000000000</v>
      </c>
      <c r="BL568" s="215">
        <f ca="1">IF($D568&lt;&gt;"Serviço",0,IF(AND(AUTOEVENTO="Manual",$M568=1),0,IF(OFFSET(CRONOPLE!$F$14,$M568,BL$13)="",10^12,OFFSET(CRONOPLE!$F$14,$M568,BL$13))))</f>
        <v>1000000000000</v>
      </c>
      <c r="BM568" s="215">
        <f ca="1">IF($D568&lt;&gt;"Serviço",0,IF(AND(AUTOEVENTO="Manual",$M568=1),0,IF(OFFSET(CRONOPLE!$F$14,$M568,BM$13)="",10^12,OFFSET(CRONOPLE!$F$14,$M568,BM$13))))</f>
        <v>1000000000000</v>
      </c>
      <c r="BN568" s="215">
        <f ca="1">IF($D568&lt;&gt;"Serviço",0,IF(AND(AUTOEVENTO="Manual",$M568=1),0,IF(OFFSET(CRONOPLE!$F$14,$M568,BN$13)="",10^12,OFFSET(CRONOPLE!$F$14,$M568,BN$13))))</f>
        <v>1000000000000</v>
      </c>
      <c r="BO568" s="215">
        <f ca="1">IF($D568&lt;&gt;"Serviço",0,IF(AND(AUTOEVENTO="Manual",$M568=1),0,IF(OFFSET(CRONOPLE!$F$14,$M568,BO$13)="",10^12,OFFSET(CRONOPLE!$F$14,$M568,BO$13))))</f>
        <v>1000000000000</v>
      </c>
      <c r="BP568" s="215">
        <f ca="1">IF($D568&lt;&gt;"Serviço",0,IF(AND(AUTOEVENTO="Manual",$M568=1),0,IF(OFFSET(CRONOPLE!$F$14,$M568,BP$13)="",10^12,OFFSET(CRONOPLE!$F$14,$M568,BP$13))))</f>
        <v>1000000000000</v>
      </c>
      <c r="BQ568" s="215">
        <f ca="1">IF($D568&lt;&gt;"Serviço",0,IF(AND(AUTOEVENTO="Manual",$M568=1),0,IF(OFFSET(CRONOPLE!$F$14,$M568,BQ$13)="",10^12,OFFSET(CRONOPLE!$F$14,$M568,BQ$13))))</f>
        <v>1000000000000</v>
      </c>
      <c r="BR568" s="215">
        <f ca="1">IF($D568&lt;&gt;"Serviço",0,IF(AND(AUTOEVENTO="Manual",$M568=1),0,IF(OFFSET(CRONOPLE!$F$14,$M568,BR$13)="",10^12,OFFSET(CRONOPLE!$F$14,$M568,BR$13))))</f>
        <v>1000000000000</v>
      </c>
      <c r="BS568" s="215">
        <f ca="1">IF($D568&lt;&gt;"Serviço",0,IF(AND(AUTOEVENTO="Manual",$M568=1),0,IF(OFFSET(CRONOPLE!$F$14,$M568,BS$13)="",10^12,OFFSET(CRONOPLE!$F$14,$M568,BS$13))))</f>
        <v>1000000000000</v>
      </c>
      <c r="BT568" s="215">
        <f ca="1">IF($D568&lt;&gt;"Serviço",0,IF(AND(AUTOEVENTO="Manual",$M568=1),0,IF(OFFSET(CRONOPLE!$F$14,$M568,BT$13)="",10^12,OFFSET(CRONOPLE!$F$14,$M568,BT$13))))</f>
        <v>1000000000000</v>
      </c>
      <c r="BV568" s="216">
        <f ca="1">IF($D568&lt;&gt;"Serviço",0,IF(OR(AND(AUTOEVENTO="Manual",$M568=1),$M568&gt;(ROW(PLE.lastrow)-ROW(PLE.firstrow))),0,IF(OFFSET(PLE!$G$14,$M568,BV$13)="",10^12,OFFSET(PLE!$G$14,$M568,BV$13))))</f>
        <v>1000000000000</v>
      </c>
      <c r="BW568" s="216">
        <f ca="1">IF($D568&lt;&gt;"Serviço",0,IF(OR(AND(AUTOEVENTO="Manual",$M568=1),$M568&gt;(ROW(PLE.lastrow)-ROW(PLE.firstrow))),0,IF(OFFSET(PLE!$G$14,$M568,BW$13)="",10^12,OFFSET(PLE!$G$14,$M568,BW$13))))</f>
        <v>1000000000000</v>
      </c>
      <c r="BX568" s="216">
        <f ca="1">IF($D568&lt;&gt;"Serviço",0,IF(OR(AND(AUTOEVENTO="Manual",$M568=1),$M568&gt;(ROW(PLE.lastrow)-ROW(PLE.firstrow))),0,IF(OFFSET(PLE!$G$14,$M568,BX$13)="",10^12,OFFSET(PLE!$G$14,$M568,BX$13))))</f>
        <v>1000000000000</v>
      </c>
      <c r="BY568" s="216">
        <f ca="1">IF($D568&lt;&gt;"Serviço",0,IF(OR(AND(AUTOEVENTO="Manual",$M568=1),$M568&gt;(ROW(PLE.lastrow)-ROW(PLE.firstrow))),0,IF(OFFSET(PLE!$G$14,$M568,BY$13)="",10^12,OFFSET(PLE!$G$14,$M568,BY$13))))</f>
        <v>1000000000000</v>
      </c>
      <c r="BZ568" s="216">
        <f ca="1">IF($D568&lt;&gt;"Serviço",0,IF(OR(AND(AUTOEVENTO="Manual",$M568=1),$M568&gt;(ROW(PLE.lastrow)-ROW(PLE.firstrow))),0,IF(OFFSET(PLE!$G$14,$M568,BZ$13)="",10^12,OFFSET(PLE!$G$14,$M568,BZ$13))))</f>
        <v>1000000000000</v>
      </c>
      <c r="CA568" s="216">
        <f ca="1">IF($D568&lt;&gt;"Serviço",0,IF(OR(AND(AUTOEVENTO="Manual",$M568=1),$M568&gt;(ROW(PLE.lastrow)-ROW(PLE.firstrow))),0,IF(OFFSET(PLE!$G$14,$M568,CA$13)="",10^12,OFFSET(PLE!$G$14,$M568,CA$13))))</f>
        <v>1000000000000</v>
      </c>
      <c r="CB568" s="216">
        <f ca="1">IF($D568&lt;&gt;"Serviço",0,IF(OR(AND(AUTOEVENTO="Manual",$M568=1),$M568&gt;(ROW(PLE.lastrow)-ROW(PLE.firstrow))),0,IF(OFFSET(PLE!$G$14,$M568,CB$13)="",10^12,OFFSET(PLE!$G$14,$M568,CB$13))))</f>
        <v>1000000000000</v>
      </c>
      <c r="CC568" s="216">
        <f ca="1">IF($D568&lt;&gt;"Serviço",0,IF(OR(AND(AUTOEVENTO="Manual",$M568=1),$M568&gt;(ROW(PLE.lastrow)-ROW(PLE.firstrow))),0,IF(OFFSET(PLE!$G$14,$M568,CC$13)="",10^12,OFFSET(PLE!$G$14,$M568,CC$13))))</f>
        <v>1000000000000</v>
      </c>
      <c r="CD568" s="216">
        <f ca="1">IF($D568&lt;&gt;"Serviço",0,IF(OR(AND(AUTOEVENTO="Manual",$M568=1),$M568&gt;(ROW(PLE.lastrow)-ROW(PLE.firstrow))),0,IF(OFFSET(PLE!$G$14,$M568,CD$13)="",10^12,OFFSET(PLE!$G$14,$M568,CD$13))))</f>
        <v>1000000000000</v>
      </c>
      <c r="CE568" s="216">
        <f ca="1">IF($D568&lt;&gt;"Serviço",0,IF(OR(AND(AUTOEVENTO="Manual",$M568=1),$M568&gt;(ROW(PLE.lastrow)-ROW(PLE.firstrow))),0,IF(OFFSET(PLE!$G$14,$M568,CE$13)="",10^12,OFFSET(PLE!$G$14,$M568,CE$13))))</f>
        <v>1000000000000</v>
      </c>
      <c r="CF568" s="216">
        <f ca="1">IF($D568&lt;&gt;"Serviço",0,IF(OR(AND(AUTOEVENTO="Manual",$M568=1),$M568&gt;(ROW(PLE.lastrow)-ROW(PLE.firstrow))),0,IF(OFFSET(PLE!$G$14,$M568,CF$13)="",10^12,OFFSET(PLE!$G$14,$M568,CF$13))))</f>
        <v>1000000000000</v>
      </c>
      <c r="CG568" s="216">
        <f ca="1">IF($D568&lt;&gt;"Serviço",0,IF(OR(AND(AUTOEVENTO="Manual",$M568=1),$M568&gt;(ROW(PLE.lastrow)-ROW(PLE.firstrow))),0,IF(OFFSET(PLE!$G$14,$M568,CG$13)="",10^12,OFFSET(PLE!$G$14,$M568,CG$13))))</f>
        <v>1000000000000</v>
      </c>
      <c r="CH568" s="216">
        <f ca="1">IF($D568&lt;&gt;"Serviço",0,IF(OR(AND(AUTOEVENTO="Manual",$M568=1),$M568&gt;(ROW(PLE.lastrow)-ROW(PLE.firstrow))),0,IF(OFFSET(PLE!$G$14,$M568,CH$13)="",10^12,OFFSET(PLE!$G$14,$M568,CH$13))))</f>
        <v>1000000000000</v>
      </c>
      <c r="CI568" s="216">
        <f ca="1">IF($D568&lt;&gt;"Serviço",0,IF(OR(AND(AUTOEVENTO="Manual",$M568=1),$M568&gt;(ROW(PLE.lastrow)-ROW(PLE.firstrow))),0,IF(OFFSET(PLE!$G$14,$M568,CI$13)="",10^12,OFFSET(PLE!$G$14,$M568,CI$13))))</f>
        <v>1000000000000</v>
      </c>
      <c r="CJ568" s="216">
        <f ca="1">IF($D568&lt;&gt;"Serviço",0,IF(OR(AND(AUTOEVENTO="Manual",$M568=1),$M568&gt;(ROW(PLE.lastrow)-ROW(PLE.firstrow))),0,IF(OFFSET(PLE!$G$14,$M568,CJ$13)="",10^12,OFFSET(PLE!$G$14,$M568,CJ$13))))</f>
        <v>1000000000000</v>
      </c>
      <c r="CK568" s="216">
        <f ca="1">IF($D568&lt;&gt;"Serviço",0,IF(OR(AND(AUTOEVENTO="Manual",$M568=1),$M568&gt;(ROW(PLE.lastrow)-ROW(PLE.firstrow))),0,IF(OFFSET(PLE!$G$14,$M568,CK$13)="",10^12,OFFSET(PLE!$G$14,$M568,CK$13))))</f>
        <v>1000000000000</v>
      </c>
      <c r="CL568" s="216">
        <f ca="1">IF($D568&lt;&gt;"Serviço",0,IF(OR(AND(AUTOEVENTO="Manual",$M568=1),$M568&gt;(ROW(PLE.lastrow)-ROW(PLE.firstrow))),0,IF(OFFSET(PLE!$G$14,$M568,CL$13)="",10^12,OFFSET(PLE!$G$14,$M568,CL$13))))</f>
        <v>1000000000000</v>
      </c>
      <c r="CM568" s="216">
        <f ca="1">IF($D568&lt;&gt;"Serviço",0,IF(OR(AND(AUTOEVENTO="Manual",$M568=1),$M568&gt;(ROW(PLE.lastrow)-ROW(PLE.firstrow))),0,IF(OFFSET(PLE!$G$14,$M568,CM$13)="",10^12,OFFSET(PLE!$G$14,$M568,CM$13))))</f>
        <v>1000000000000</v>
      </c>
    </row>
    <row r="569" spans="1:91" ht="13.2" x14ac:dyDescent="0.25">
      <c r="A569" s="9">
        <f t="shared" ca="1" si="17"/>
        <v>0</v>
      </c>
      <c r="B569" s="9" t="str">
        <f ca="1">OFFSET(ORÇAMENTO!C$15,ROW(B569)-ROW(B$15),0)</f>
        <v>S</v>
      </c>
      <c r="C569" s="9" t="str">
        <f ca="1">OFFSET(ORÇAMENTO!L$15,ROW(C569)-ROW(C$15),0)</f>
        <v/>
      </c>
      <c r="D569" s="145" t="str">
        <f ca="1">OFFSET(ORÇAMENTO!N$15,ROW(D569)-ROW(D$15),0)</f>
        <v>Serviço</v>
      </c>
      <c r="E569" s="205" t="str">
        <f ca="1">OFFSET(ORÇAMENTO!O$15,ROW(E569)-ROW(E$15),0)</f>
        <v>-</v>
      </c>
      <c r="F569" s="206" t="str">
        <f ca="1">OFFSET(ORÇAMENTO!R$15,ROW(F569)-ROW(F$15),0)</f>
        <v>(abra o arquivo 'Referência 05-2024.xls)</v>
      </c>
      <c r="G569" s="207" t="str">
        <f ca="1">IF($D569&lt;&gt;"Serviço","",OFFSET(ORÇAMENTO!S$15,ROW(G569)-ROW(G$15),0))</f>
        <v>-</v>
      </c>
      <c r="H569" s="151">
        <f ca="1">IF($D569&lt;&gt;"Serviço",0,IF(ACOMPANHAMENTO="BM",ROUND(OFFSET(ORÇAMENTO!AJ$15,ROW(H569)-ROW(H$15),0),15-13*ORÇAMENTO!$AF$7),SUMPRODUCT(($Q$12:$AI$12&lt;&gt;"")*ROUND($Q569:$AI569,15-13*ORÇAMENTO!$AF$7))))</f>
        <v>14</v>
      </c>
      <c r="I569" s="650"/>
      <c r="K569" s="208"/>
      <c r="L569" s="209" t="s">
        <v>257</v>
      </c>
      <c r="M569" s="210">
        <f ca="1">IF($D569&lt;&gt;"Serviço","",IF(AUTOEVENTO="manual",$A569,IF(ISERROR(MATCH($A569,$A$15:OFFSET($A569,-1,0),0)),MAX($M$15:OFFSET(M569,-1,0))+1,INDEX($M$15:OFFSET(M569,-1,0),MATCH($A569,$A$15:OFFSET($A569,-1,0),0)))))</f>
        <v>0</v>
      </c>
      <c r="N569" s="211" t="str">
        <f ca="1">IF($D569&lt;&gt;"Serviço","",IF(AUTOEVENTO="Manual",IF($A569=0,"&lt;-- defina o número do agrupador",OFFSET(EVENTOS!$D$14,$A569,0)),OFFSET($F$15,$A569,0)))</f>
        <v>&lt;-- defina o número do agrupador</v>
      </c>
      <c r="O569" s="212"/>
      <c r="Q569" s="212"/>
      <c r="R569" s="213"/>
      <c r="S569" s="213"/>
      <c r="T569" s="213"/>
      <c r="U569" s="213"/>
      <c r="V569" s="213"/>
      <c r="W569" s="213"/>
      <c r="X569" s="213"/>
      <c r="Y569" s="213"/>
      <c r="Z569" s="214"/>
      <c r="AA569" s="213"/>
      <c r="AB569" s="213"/>
      <c r="AC569" s="213"/>
      <c r="AD569" s="213"/>
      <c r="AE569" s="213"/>
      <c r="AF569" s="213"/>
      <c r="AG569" s="213"/>
      <c r="AH569" s="214"/>
      <c r="AJ569" s="631">
        <f ca="1">IF(AND($D569="Serviço",AJ$12&lt;&gt;0,$H569&gt;0,OR(AUTOEVENTO&lt;&gt;"manual",$M569&lt;&gt;1)),ROUND(OFFSET($P569,0,AJ$13),15-13*ORÇAMENTO!$AF$7)/$H569*OFFSET(ORÇAMENTO!$X$15,ROW(AJ569)-ROW(AJ$15),0),0)</f>
        <v>0</v>
      </c>
      <c r="AK569" s="632">
        <f ca="1">IF(AND($D569="Serviço",AK$12&lt;&gt;0,$H569&gt;0,OR(AUTOEVENTO&lt;&gt;"manual",$M569&lt;&gt;1)),ROUND(OFFSET($P569,0,AK$13),15-13*ORÇAMENTO!$AF$7)/$H569*OFFSET(ORÇAMENTO!$X$15,ROW(AK569)-ROW(AK$15),0),0)</f>
        <v>0</v>
      </c>
      <c r="AL569" s="632">
        <f ca="1">IF(AND($D569="Serviço",AL$12&lt;&gt;0,$H569&gt;0,OR(AUTOEVENTO&lt;&gt;"manual",$M569&lt;&gt;1)),ROUND(OFFSET($P569,0,AL$13),15-13*ORÇAMENTO!$AF$7)/$H569*OFFSET(ORÇAMENTO!$X$15,ROW(AL569)-ROW(AL$15),0),0)</f>
        <v>0</v>
      </c>
      <c r="AM569" s="632">
        <f ca="1">IF(AND($D569="Serviço",AM$12&lt;&gt;0,$H569&gt;0,OR(AUTOEVENTO&lt;&gt;"manual",$M569&lt;&gt;1)),ROUND(OFFSET($P569,0,AM$13),15-13*ORÇAMENTO!$AF$7)/$H569*OFFSET(ORÇAMENTO!$X$15,ROW(AM569)-ROW(AM$15),0),0)</f>
        <v>0</v>
      </c>
      <c r="AN569" s="632">
        <f ca="1">IF(AND($D569="Serviço",AN$12&lt;&gt;0,$H569&gt;0,OR(AUTOEVENTO&lt;&gt;"manual",$M569&lt;&gt;1)),ROUND(OFFSET($P569,0,AN$13),15-13*ORÇAMENTO!$AF$7)/$H569*OFFSET(ORÇAMENTO!$X$15,ROW(AN569)-ROW(AN$15),0),0)</f>
        <v>0</v>
      </c>
      <c r="AO569" s="632">
        <f ca="1">IF(AND($D569="Serviço",AO$12&lt;&gt;0,$H569&gt;0,OR(AUTOEVENTO&lt;&gt;"manual",$M569&lt;&gt;1)),ROUND(OFFSET($P569,0,AO$13),15-13*ORÇAMENTO!$AF$7)/$H569*OFFSET(ORÇAMENTO!$X$15,ROW(AO569)-ROW(AO$15),0),0)</f>
        <v>0</v>
      </c>
      <c r="AP569" s="632">
        <f ca="1">IF(AND($D569="Serviço",AP$12&lt;&gt;0,$H569&gt;0,OR(AUTOEVENTO&lt;&gt;"manual",$M569&lt;&gt;1)),ROUND(OFFSET($P569,0,AP$13),15-13*ORÇAMENTO!$AF$7)/$H569*OFFSET(ORÇAMENTO!$X$15,ROW(AP569)-ROW(AP$15),0),0)</f>
        <v>0</v>
      </c>
      <c r="AQ569" s="632">
        <f ca="1">IF(AND($D569="Serviço",AQ$12&lt;&gt;0,$H569&gt;0,OR(AUTOEVENTO&lt;&gt;"manual",$M569&lt;&gt;1)),ROUND(OFFSET($P569,0,AQ$13),15-13*ORÇAMENTO!$AF$7)/$H569*OFFSET(ORÇAMENTO!$X$15,ROW(AQ569)-ROW(AQ$15),0),0)</f>
        <v>0</v>
      </c>
      <c r="AR569" s="632">
        <f ca="1">IF(AND($D569="Serviço",AR$12&lt;&gt;0,$H569&gt;0,OR(AUTOEVENTO&lt;&gt;"manual",$M569&lt;&gt;1)),ROUND(OFFSET($P569,0,AR$13),15-13*ORÇAMENTO!$AF$7)/$H569*OFFSET(ORÇAMENTO!$X$15,ROW(AR569)-ROW(AR$15),0),0)</f>
        <v>0</v>
      </c>
      <c r="AS569" s="633">
        <f ca="1">IF(AND($D569="Serviço",AS$12&lt;&gt;0,$H569&gt;0,OR(AUTOEVENTO&lt;&gt;"manual",$M569&lt;&gt;1)),ROUND(OFFSET($P569,0,AS$13),15-13*ORÇAMENTO!$AF$7)/$H569*OFFSET(ORÇAMENTO!$X$15,ROW(AS569)-ROW(AS$15),0),0)</f>
        <v>0</v>
      </c>
      <c r="AT569" s="632">
        <f ca="1">IF(AND($D569="Serviço",AT$12&lt;&gt;0,$H569&gt;0,OR(AUTOEVENTO&lt;&gt;"manual",$M569&lt;&gt;1)),ROUND(OFFSET($P569,0,AT$13),15-13*ORÇAMENTO!$AF$7)/$H569*OFFSET(ORÇAMENTO!$X$15,ROW(AT569)-ROW(AT$15),0),0)</f>
        <v>0</v>
      </c>
      <c r="AU569" s="632">
        <f ca="1">IF(AND($D569="Serviço",AU$12&lt;&gt;0,$H569&gt;0,OR(AUTOEVENTO&lt;&gt;"manual",$M569&lt;&gt;1)),ROUND(OFFSET($P569,0,AU$13),15-13*ORÇAMENTO!$AF$7)/$H569*OFFSET(ORÇAMENTO!$X$15,ROW(AU569)-ROW(AU$15),0),0)</f>
        <v>0</v>
      </c>
      <c r="AV569" s="632">
        <f ca="1">IF(AND($D569="Serviço",AV$12&lt;&gt;0,$H569&gt;0,OR(AUTOEVENTO&lt;&gt;"manual",$M569&lt;&gt;1)),ROUND(OFFSET($P569,0,AV$13),15-13*ORÇAMENTO!$AF$7)/$H569*OFFSET(ORÇAMENTO!$X$15,ROW(AV569)-ROW(AV$15),0),0)</f>
        <v>0</v>
      </c>
      <c r="AW569" s="632">
        <f ca="1">IF(AND($D569="Serviço",AW$12&lt;&gt;0,$H569&gt;0,OR(AUTOEVENTO&lt;&gt;"manual",$M569&lt;&gt;1)),ROUND(OFFSET($P569,0,AW$13),15-13*ORÇAMENTO!$AF$7)/$H569*OFFSET(ORÇAMENTO!$X$15,ROW(AW569)-ROW(AW$15),0),0)</f>
        <v>0</v>
      </c>
      <c r="AX569" s="632">
        <f ca="1">IF(AND($D569="Serviço",AX$12&lt;&gt;0,$H569&gt;0,OR(AUTOEVENTO&lt;&gt;"manual",$M569&lt;&gt;1)),ROUND(OFFSET($P569,0,AX$13),15-13*ORÇAMENTO!$AF$7)/$H569*OFFSET(ORÇAMENTO!$X$15,ROW(AX569)-ROW(AX$15),0),0)</f>
        <v>0</v>
      </c>
      <c r="AY569" s="632">
        <f ca="1">IF(AND($D569="Serviço",AY$12&lt;&gt;0,$H569&gt;0,OR(AUTOEVENTO&lt;&gt;"manual",$M569&lt;&gt;1)),ROUND(OFFSET($P569,0,AY$13),15-13*ORÇAMENTO!$AF$7)/$H569*OFFSET(ORÇAMENTO!$X$15,ROW(AY569)-ROW(AY$15),0),0)</f>
        <v>0</v>
      </c>
      <c r="AZ569" s="632">
        <f ca="1">IF(AND($D569="Serviço",AZ$12&lt;&gt;0,$H569&gt;0,OR(AUTOEVENTO&lt;&gt;"manual",$M569&lt;&gt;1)),ROUND(OFFSET($P569,0,AZ$13),15-13*ORÇAMENTO!$AF$7)/$H569*OFFSET(ORÇAMENTO!$X$15,ROW(AZ569)-ROW(AZ$15),0),0)</f>
        <v>0</v>
      </c>
      <c r="BA569" s="633">
        <f ca="1">IF(AND($D569="Serviço",BA$12&lt;&gt;0,$H569&gt;0,OR(AUTOEVENTO&lt;&gt;"manual",$M569&lt;&gt;1)),ROUND(OFFSET($P569,0,BA$13),15-13*ORÇAMENTO!$AF$7)/$H569*OFFSET(ORÇAMENTO!$X$15,ROW(BA569)-ROW(BA$15),0),0)</f>
        <v>0</v>
      </c>
      <c r="BC569" s="215">
        <f ca="1">IF($D569&lt;&gt;"Serviço",0,IF(AND(AUTOEVENTO="Manual",$M569=1),0,IF(OFFSET(CRONOPLE!$F$14,$M569,BC$13)="",10^12,OFFSET(CRONOPLE!$F$14,$M569,BC$13))))</f>
        <v>1000000000000</v>
      </c>
      <c r="BD569" s="215">
        <f ca="1">IF($D569&lt;&gt;"Serviço",0,IF(AND(AUTOEVENTO="Manual",$M569=1),0,IF(OFFSET(CRONOPLE!$F$14,$M569,BD$13)="",10^12,OFFSET(CRONOPLE!$F$14,$M569,BD$13))))</f>
        <v>1000000000000</v>
      </c>
      <c r="BE569" s="215">
        <f ca="1">IF($D569&lt;&gt;"Serviço",0,IF(AND(AUTOEVENTO="Manual",$M569=1),0,IF(OFFSET(CRONOPLE!$F$14,$M569,BE$13)="",10^12,OFFSET(CRONOPLE!$F$14,$M569,BE$13))))</f>
        <v>1000000000000</v>
      </c>
      <c r="BF569" s="215">
        <f ca="1">IF($D569&lt;&gt;"Serviço",0,IF(AND(AUTOEVENTO="Manual",$M569=1),0,IF(OFFSET(CRONOPLE!$F$14,$M569,BF$13)="",10^12,OFFSET(CRONOPLE!$F$14,$M569,BF$13))))</f>
        <v>1000000000000</v>
      </c>
      <c r="BG569" s="215">
        <f ca="1">IF($D569&lt;&gt;"Serviço",0,IF(AND(AUTOEVENTO="Manual",$M569=1),0,IF(OFFSET(CRONOPLE!$F$14,$M569,BG$13)="",10^12,OFFSET(CRONOPLE!$F$14,$M569,BG$13))))</f>
        <v>1000000000000</v>
      </c>
      <c r="BH569" s="215">
        <f ca="1">IF($D569&lt;&gt;"Serviço",0,IF(AND(AUTOEVENTO="Manual",$M569=1),0,IF(OFFSET(CRONOPLE!$F$14,$M569,BH$13)="",10^12,OFFSET(CRONOPLE!$F$14,$M569,BH$13))))</f>
        <v>1000000000000</v>
      </c>
      <c r="BI569" s="215">
        <f ca="1">IF($D569&lt;&gt;"Serviço",0,IF(AND(AUTOEVENTO="Manual",$M569=1),0,IF(OFFSET(CRONOPLE!$F$14,$M569,BI$13)="",10^12,OFFSET(CRONOPLE!$F$14,$M569,BI$13))))</f>
        <v>1000000000000</v>
      </c>
      <c r="BJ569" s="215">
        <f ca="1">IF($D569&lt;&gt;"Serviço",0,IF(AND(AUTOEVENTO="Manual",$M569=1),0,IF(OFFSET(CRONOPLE!$F$14,$M569,BJ$13)="",10^12,OFFSET(CRONOPLE!$F$14,$M569,BJ$13))))</f>
        <v>1000000000000</v>
      </c>
      <c r="BK569" s="215">
        <f ca="1">IF($D569&lt;&gt;"Serviço",0,IF(AND(AUTOEVENTO="Manual",$M569=1),0,IF(OFFSET(CRONOPLE!$F$14,$M569,BK$13)="",10^12,OFFSET(CRONOPLE!$F$14,$M569,BK$13))))</f>
        <v>1000000000000</v>
      </c>
      <c r="BL569" s="215">
        <f ca="1">IF($D569&lt;&gt;"Serviço",0,IF(AND(AUTOEVENTO="Manual",$M569=1),0,IF(OFFSET(CRONOPLE!$F$14,$M569,BL$13)="",10^12,OFFSET(CRONOPLE!$F$14,$M569,BL$13))))</f>
        <v>1000000000000</v>
      </c>
      <c r="BM569" s="215">
        <f ca="1">IF($D569&lt;&gt;"Serviço",0,IF(AND(AUTOEVENTO="Manual",$M569=1),0,IF(OFFSET(CRONOPLE!$F$14,$M569,BM$13)="",10^12,OFFSET(CRONOPLE!$F$14,$M569,BM$13))))</f>
        <v>1000000000000</v>
      </c>
      <c r="BN569" s="215">
        <f ca="1">IF($D569&lt;&gt;"Serviço",0,IF(AND(AUTOEVENTO="Manual",$M569=1),0,IF(OFFSET(CRONOPLE!$F$14,$M569,BN$13)="",10^12,OFFSET(CRONOPLE!$F$14,$M569,BN$13))))</f>
        <v>1000000000000</v>
      </c>
      <c r="BO569" s="215">
        <f ca="1">IF($D569&lt;&gt;"Serviço",0,IF(AND(AUTOEVENTO="Manual",$M569=1),0,IF(OFFSET(CRONOPLE!$F$14,$M569,BO$13)="",10^12,OFFSET(CRONOPLE!$F$14,$M569,BO$13))))</f>
        <v>1000000000000</v>
      </c>
      <c r="BP569" s="215">
        <f ca="1">IF($D569&lt;&gt;"Serviço",0,IF(AND(AUTOEVENTO="Manual",$M569=1),0,IF(OFFSET(CRONOPLE!$F$14,$M569,BP$13)="",10^12,OFFSET(CRONOPLE!$F$14,$M569,BP$13))))</f>
        <v>1000000000000</v>
      </c>
      <c r="BQ569" s="215">
        <f ca="1">IF($D569&lt;&gt;"Serviço",0,IF(AND(AUTOEVENTO="Manual",$M569=1),0,IF(OFFSET(CRONOPLE!$F$14,$M569,BQ$13)="",10^12,OFFSET(CRONOPLE!$F$14,$M569,BQ$13))))</f>
        <v>1000000000000</v>
      </c>
      <c r="BR569" s="215">
        <f ca="1">IF($D569&lt;&gt;"Serviço",0,IF(AND(AUTOEVENTO="Manual",$M569=1),0,IF(OFFSET(CRONOPLE!$F$14,$M569,BR$13)="",10^12,OFFSET(CRONOPLE!$F$14,$M569,BR$13))))</f>
        <v>1000000000000</v>
      </c>
      <c r="BS569" s="215">
        <f ca="1">IF($D569&lt;&gt;"Serviço",0,IF(AND(AUTOEVENTO="Manual",$M569=1),0,IF(OFFSET(CRONOPLE!$F$14,$M569,BS$13)="",10^12,OFFSET(CRONOPLE!$F$14,$M569,BS$13))))</f>
        <v>1000000000000</v>
      </c>
      <c r="BT569" s="215">
        <f ca="1">IF($D569&lt;&gt;"Serviço",0,IF(AND(AUTOEVENTO="Manual",$M569=1),0,IF(OFFSET(CRONOPLE!$F$14,$M569,BT$13)="",10^12,OFFSET(CRONOPLE!$F$14,$M569,BT$13))))</f>
        <v>1000000000000</v>
      </c>
      <c r="BV569" s="216">
        <f ca="1">IF($D569&lt;&gt;"Serviço",0,IF(OR(AND(AUTOEVENTO="Manual",$M569=1),$M569&gt;(ROW(PLE.lastrow)-ROW(PLE.firstrow))),0,IF(OFFSET(PLE!$G$14,$M569,BV$13)="",10^12,OFFSET(PLE!$G$14,$M569,BV$13))))</f>
        <v>1000000000000</v>
      </c>
      <c r="BW569" s="216">
        <f ca="1">IF($D569&lt;&gt;"Serviço",0,IF(OR(AND(AUTOEVENTO="Manual",$M569=1),$M569&gt;(ROW(PLE.lastrow)-ROW(PLE.firstrow))),0,IF(OFFSET(PLE!$G$14,$M569,BW$13)="",10^12,OFFSET(PLE!$G$14,$M569,BW$13))))</f>
        <v>1000000000000</v>
      </c>
      <c r="BX569" s="216">
        <f ca="1">IF($D569&lt;&gt;"Serviço",0,IF(OR(AND(AUTOEVENTO="Manual",$M569=1),$M569&gt;(ROW(PLE.lastrow)-ROW(PLE.firstrow))),0,IF(OFFSET(PLE!$G$14,$M569,BX$13)="",10^12,OFFSET(PLE!$G$14,$M569,BX$13))))</f>
        <v>1000000000000</v>
      </c>
      <c r="BY569" s="216">
        <f ca="1">IF($D569&lt;&gt;"Serviço",0,IF(OR(AND(AUTOEVENTO="Manual",$M569=1),$M569&gt;(ROW(PLE.lastrow)-ROW(PLE.firstrow))),0,IF(OFFSET(PLE!$G$14,$M569,BY$13)="",10^12,OFFSET(PLE!$G$14,$M569,BY$13))))</f>
        <v>1000000000000</v>
      </c>
      <c r="BZ569" s="216">
        <f ca="1">IF($D569&lt;&gt;"Serviço",0,IF(OR(AND(AUTOEVENTO="Manual",$M569=1),$M569&gt;(ROW(PLE.lastrow)-ROW(PLE.firstrow))),0,IF(OFFSET(PLE!$G$14,$M569,BZ$13)="",10^12,OFFSET(PLE!$G$14,$M569,BZ$13))))</f>
        <v>1000000000000</v>
      </c>
      <c r="CA569" s="216">
        <f ca="1">IF($D569&lt;&gt;"Serviço",0,IF(OR(AND(AUTOEVENTO="Manual",$M569=1),$M569&gt;(ROW(PLE.lastrow)-ROW(PLE.firstrow))),0,IF(OFFSET(PLE!$G$14,$M569,CA$13)="",10^12,OFFSET(PLE!$G$14,$M569,CA$13))))</f>
        <v>1000000000000</v>
      </c>
      <c r="CB569" s="216">
        <f ca="1">IF($D569&lt;&gt;"Serviço",0,IF(OR(AND(AUTOEVENTO="Manual",$M569=1),$M569&gt;(ROW(PLE.lastrow)-ROW(PLE.firstrow))),0,IF(OFFSET(PLE!$G$14,$M569,CB$13)="",10^12,OFFSET(PLE!$G$14,$M569,CB$13))))</f>
        <v>1000000000000</v>
      </c>
      <c r="CC569" s="216">
        <f ca="1">IF($D569&lt;&gt;"Serviço",0,IF(OR(AND(AUTOEVENTO="Manual",$M569=1),$M569&gt;(ROW(PLE.lastrow)-ROW(PLE.firstrow))),0,IF(OFFSET(PLE!$G$14,$M569,CC$13)="",10^12,OFFSET(PLE!$G$14,$M569,CC$13))))</f>
        <v>1000000000000</v>
      </c>
      <c r="CD569" s="216">
        <f ca="1">IF($D569&lt;&gt;"Serviço",0,IF(OR(AND(AUTOEVENTO="Manual",$M569=1),$M569&gt;(ROW(PLE.lastrow)-ROW(PLE.firstrow))),0,IF(OFFSET(PLE!$G$14,$M569,CD$13)="",10^12,OFFSET(PLE!$G$14,$M569,CD$13))))</f>
        <v>1000000000000</v>
      </c>
      <c r="CE569" s="216">
        <f ca="1">IF($D569&lt;&gt;"Serviço",0,IF(OR(AND(AUTOEVENTO="Manual",$M569=1),$M569&gt;(ROW(PLE.lastrow)-ROW(PLE.firstrow))),0,IF(OFFSET(PLE!$G$14,$M569,CE$13)="",10^12,OFFSET(PLE!$G$14,$M569,CE$13))))</f>
        <v>1000000000000</v>
      </c>
      <c r="CF569" s="216">
        <f ca="1">IF($D569&lt;&gt;"Serviço",0,IF(OR(AND(AUTOEVENTO="Manual",$M569=1),$M569&gt;(ROW(PLE.lastrow)-ROW(PLE.firstrow))),0,IF(OFFSET(PLE!$G$14,$M569,CF$13)="",10^12,OFFSET(PLE!$G$14,$M569,CF$13))))</f>
        <v>1000000000000</v>
      </c>
      <c r="CG569" s="216">
        <f ca="1">IF($D569&lt;&gt;"Serviço",0,IF(OR(AND(AUTOEVENTO="Manual",$M569=1),$M569&gt;(ROW(PLE.lastrow)-ROW(PLE.firstrow))),0,IF(OFFSET(PLE!$G$14,$M569,CG$13)="",10^12,OFFSET(PLE!$G$14,$M569,CG$13))))</f>
        <v>1000000000000</v>
      </c>
      <c r="CH569" s="216">
        <f ca="1">IF($D569&lt;&gt;"Serviço",0,IF(OR(AND(AUTOEVENTO="Manual",$M569=1),$M569&gt;(ROW(PLE.lastrow)-ROW(PLE.firstrow))),0,IF(OFFSET(PLE!$G$14,$M569,CH$13)="",10^12,OFFSET(PLE!$G$14,$M569,CH$13))))</f>
        <v>1000000000000</v>
      </c>
      <c r="CI569" s="216">
        <f ca="1">IF($D569&lt;&gt;"Serviço",0,IF(OR(AND(AUTOEVENTO="Manual",$M569=1),$M569&gt;(ROW(PLE.lastrow)-ROW(PLE.firstrow))),0,IF(OFFSET(PLE!$G$14,$M569,CI$13)="",10^12,OFFSET(PLE!$G$14,$M569,CI$13))))</f>
        <v>1000000000000</v>
      </c>
      <c r="CJ569" s="216">
        <f ca="1">IF($D569&lt;&gt;"Serviço",0,IF(OR(AND(AUTOEVENTO="Manual",$M569=1),$M569&gt;(ROW(PLE.lastrow)-ROW(PLE.firstrow))),0,IF(OFFSET(PLE!$G$14,$M569,CJ$13)="",10^12,OFFSET(PLE!$G$14,$M569,CJ$13))))</f>
        <v>1000000000000</v>
      </c>
      <c r="CK569" s="216">
        <f ca="1">IF($D569&lt;&gt;"Serviço",0,IF(OR(AND(AUTOEVENTO="Manual",$M569=1),$M569&gt;(ROW(PLE.lastrow)-ROW(PLE.firstrow))),0,IF(OFFSET(PLE!$G$14,$M569,CK$13)="",10^12,OFFSET(PLE!$G$14,$M569,CK$13))))</f>
        <v>1000000000000</v>
      </c>
      <c r="CL569" s="216">
        <f ca="1">IF($D569&lt;&gt;"Serviço",0,IF(OR(AND(AUTOEVENTO="Manual",$M569=1),$M569&gt;(ROW(PLE.lastrow)-ROW(PLE.firstrow))),0,IF(OFFSET(PLE!$G$14,$M569,CL$13)="",10^12,OFFSET(PLE!$G$14,$M569,CL$13))))</f>
        <v>1000000000000</v>
      </c>
      <c r="CM569" s="216">
        <f ca="1">IF($D569&lt;&gt;"Serviço",0,IF(OR(AND(AUTOEVENTO="Manual",$M569=1),$M569&gt;(ROW(PLE.lastrow)-ROW(PLE.firstrow))),0,IF(OFFSET(PLE!$G$14,$M569,CM$13)="",10^12,OFFSET(PLE!$G$14,$M569,CM$13))))</f>
        <v>1000000000000</v>
      </c>
    </row>
    <row r="570" spans="1:91" ht="13.2" x14ac:dyDescent="0.25">
      <c r="A570" s="9">
        <f t="shared" ca="1" si="17"/>
        <v>0</v>
      </c>
      <c r="B570" s="9" t="str">
        <f ca="1">OFFSET(ORÇAMENTO!C$15,ROW(B570)-ROW(B$15),0)</f>
        <v>S</v>
      </c>
      <c r="C570" s="9" t="str">
        <f ca="1">OFFSET(ORÇAMENTO!L$15,ROW(C570)-ROW(C$15),0)</f>
        <v/>
      </c>
      <c r="D570" s="145" t="str">
        <f ca="1">OFFSET(ORÇAMENTO!N$15,ROW(D570)-ROW(D$15),0)</f>
        <v>Serviço</v>
      </c>
      <c r="E570" s="205" t="str">
        <f ca="1">OFFSET(ORÇAMENTO!O$15,ROW(E570)-ROW(E$15),0)</f>
        <v>-</v>
      </c>
      <c r="F570" s="206" t="str">
        <f ca="1">OFFSET(ORÇAMENTO!R$15,ROW(F570)-ROW(F$15),0)</f>
        <v>(abra o arquivo 'Referência 05-2024.xls)</v>
      </c>
      <c r="G570" s="207" t="str">
        <f ca="1">IF($D570&lt;&gt;"Serviço","",OFFSET(ORÇAMENTO!S$15,ROW(G570)-ROW(G$15),0))</f>
        <v>-</v>
      </c>
      <c r="H570" s="151">
        <f ca="1">IF($D570&lt;&gt;"Serviço",0,IF(ACOMPANHAMENTO="BM",ROUND(OFFSET(ORÇAMENTO!AJ$15,ROW(H570)-ROW(H$15),0),15-13*ORÇAMENTO!$AF$7),SUMPRODUCT(($Q$12:$AI$12&lt;&gt;"")*ROUND($Q570:$AI570,15-13*ORÇAMENTO!$AF$7))))</f>
        <v>45</v>
      </c>
      <c r="I570" s="650"/>
      <c r="K570" s="208"/>
      <c r="L570" s="209" t="s">
        <v>257</v>
      </c>
      <c r="M570" s="210">
        <f ca="1">IF($D570&lt;&gt;"Serviço","",IF(AUTOEVENTO="manual",$A570,IF(ISERROR(MATCH($A570,$A$15:OFFSET($A570,-1,0),0)),MAX($M$15:OFFSET(M570,-1,0))+1,INDEX($M$15:OFFSET(M570,-1,0),MATCH($A570,$A$15:OFFSET($A570,-1,0),0)))))</f>
        <v>0</v>
      </c>
      <c r="N570" s="211" t="str">
        <f ca="1">IF($D570&lt;&gt;"Serviço","",IF(AUTOEVENTO="Manual",IF($A570=0,"&lt;-- defina o número do agrupador",OFFSET(EVENTOS!$D$14,$A570,0)),OFFSET($F$15,$A570,0)))</f>
        <v>&lt;-- defina o número do agrupador</v>
      </c>
      <c r="O570" s="212"/>
      <c r="Q570" s="212"/>
      <c r="R570" s="213"/>
      <c r="S570" s="213"/>
      <c r="T570" s="213"/>
      <c r="U570" s="213"/>
      <c r="V570" s="213"/>
      <c r="W570" s="213"/>
      <c r="X570" s="213"/>
      <c r="Y570" s="213"/>
      <c r="Z570" s="214"/>
      <c r="AA570" s="213"/>
      <c r="AB570" s="213"/>
      <c r="AC570" s="213"/>
      <c r="AD570" s="213"/>
      <c r="AE570" s="213"/>
      <c r="AF570" s="213"/>
      <c r="AG570" s="213"/>
      <c r="AH570" s="214"/>
      <c r="AJ570" s="631">
        <f ca="1">IF(AND($D570="Serviço",AJ$12&lt;&gt;0,$H570&gt;0,OR(AUTOEVENTO&lt;&gt;"manual",$M570&lt;&gt;1)),ROUND(OFFSET($P570,0,AJ$13),15-13*ORÇAMENTO!$AF$7)/$H570*OFFSET(ORÇAMENTO!$X$15,ROW(AJ570)-ROW(AJ$15),0),0)</f>
        <v>0</v>
      </c>
      <c r="AK570" s="632">
        <f ca="1">IF(AND($D570="Serviço",AK$12&lt;&gt;0,$H570&gt;0,OR(AUTOEVENTO&lt;&gt;"manual",$M570&lt;&gt;1)),ROUND(OFFSET($P570,0,AK$13),15-13*ORÇAMENTO!$AF$7)/$H570*OFFSET(ORÇAMENTO!$X$15,ROW(AK570)-ROW(AK$15),0),0)</f>
        <v>0</v>
      </c>
      <c r="AL570" s="632">
        <f ca="1">IF(AND($D570="Serviço",AL$12&lt;&gt;0,$H570&gt;0,OR(AUTOEVENTO&lt;&gt;"manual",$M570&lt;&gt;1)),ROUND(OFFSET($P570,0,AL$13),15-13*ORÇAMENTO!$AF$7)/$H570*OFFSET(ORÇAMENTO!$X$15,ROW(AL570)-ROW(AL$15),0),0)</f>
        <v>0</v>
      </c>
      <c r="AM570" s="632">
        <f ca="1">IF(AND($D570="Serviço",AM$12&lt;&gt;0,$H570&gt;0,OR(AUTOEVENTO&lt;&gt;"manual",$M570&lt;&gt;1)),ROUND(OFFSET($P570,0,AM$13),15-13*ORÇAMENTO!$AF$7)/$H570*OFFSET(ORÇAMENTO!$X$15,ROW(AM570)-ROW(AM$15),0),0)</f>
        <v>0</v>
      </c>
      <c r="AN570" s="632">
        <f ca="1">IF(AND($D570="Serviço",AN$12&lt;&gt;0,$H570&gt;0,OR(AUTOEVENTO&lt;&gt;"manual",$M570&lt;&gt;1)),ROUND(OFFSET($P570,0,AN$13),15-13*ORÇAMENTO!$AF$7)/$H570*OFFSET(ORÇAMENTO!$X$15,ROW(AN570)-ROW(AN$15),0),0)</f>
        <v>0</v>
      </c>
      <c r="AO570" s="632">
        <f ca="1">IF(AND($D570="Serviço",AO$12&lt;&gt;0,$H570&gt;0,OR(AUTOEVENTO&lt;&gt;"manual",$M570&lt;&gt;1)),ROUND(OFFSET($P570,0,AO$13),15-13*ORÇAMENTO!$AF$7)/$H570*OFFSET(ORÇAMENTO!$X$15,ROW(AO570)-ROW(AO$15),0),0)</f>
        <v>0</v>
      </c>
      <c r="AP570" s="632">
        <f ca="1">IF(AND($D570="Serviço",AP$12&lt;&gt;0,$H570&gt;0,OR(AUTOEVENTO&lt;&gt;"manual",$M570&lt;&gt;1)),ROUND(OFFSET($P570,0,AP$13),15-13*ORÇAMENTO!$AF$7)/$H570*OFFSET(ORÇAMENTO!$X$15,ROW(AP570)-ROW(AP$15),0),0)</f>
        <v>0</v>
      </c>
      <c r="AQ570" s="632">
        <f ca="1">IF(AND($D570="Serviço",AQ$12&lt;&gt;0,$H570&gt;0,OR(AUTOEVENTO&lt;&gt;"manual",$M570&lt;&gt;1)),ROUND(OFFSET($P570,0,AQ$13),15-13*ORÇAMENTO!$AF$7)/$H570*OFFSET(ORÇAMENTO!$X$15,ROW(AQ570)-ROW(AQ$15),0),0)</f>
        <v>0</v>
      </c>
      <c r="AR570" s="632">
        <f ca="1">IF(AND($D570="Serviço",AR$12&lt;&gt;0,$H570&gt;0,OR(AUTOEVENTO&lt;&gt;"manual",$M570&lt;&gt;1)),ROUND(OFFSET($P570,0,AR$13),15-13*ORÇAMENTO!$AF$7)/$H570*OFFSET(ORÇAMENTO!$X$15,ROW(AR570)-ROW(AR$15),0),0)</f>
        <v>0</v>
      </c>
      <c r="AS570" s="633">
        <f ca="1">IF(AND($D570="Serviço",AS$12&lt;&gt;0,$H570&gt;0,OR(AUTOEVENTO&lt;&gt;"manual",$M570&lt;&gt;1)),ROUND(OFFSET($P570,0,AS$13),15-13*ORÇAMENTO!$AF$7)/$H570*OFFSET(ORÇAMENTO!$X$15,ROW(AS570)-ROW(AS$15),0),0)</f>
        <v>0</v>
      </c>
      <c r="AT570" s="632">
        <f ca="1">IF(AND($D570="Serviço",AT$12&lt;&gt;0,$H570&gt;0,OR(AUTOEVENTO&lt;&gt;"manual",$M570&lt;&gt;1)),ROUND(OFFSET($P570,0,AT$13),15-13*ORÇAMENTO!$AF$7)/$H570*OFFSET(ORÇAMENTO!$X$15,ROW(AT570)-ROW(AT$15),0),0)</f>
        <v>0</v>
      </c>
      <c r="AU570" s="632">
        <f ca="1">IF(AND($D570="Serviço",AU$12&lt;&gt;0,$H570&gt;0,OR(AUTOEVENTO&lt;&gt;"manual",$M570&lt;&gt;1)),ROUND(OFFSET($P570,0,AU$13),15-13*ORÇAMENTO!$AF$7)/$H570*OFFSET(ORÇAMENTO!$X$15,ROW(AU570)-ROW(AU$15),0),0)</f>
        <v>0</v>
      </c>
      <c r="AV570" s="632">
        <f ca="1">IF(AND($D570="Serviço",AV$12&lt;&gt;0,$H570&gt;0,OR(AUTOEVENTO&lt;&gt;"manual",$M570&lt;&gt;1)),ROUND(OFFSET($P570,0,AV$13),15-13*ORÇAMENTO!$AF$7)/$H570*OFFSET(ORÇAMENTO!$X$15,ROW(AV570)-ROW(AV$15),0),0)</f>
        <v>0</v>
      </c>
      <c r="AW570" s="632">
        <f ca="1">IF(AND($D570="Serviço",AW$12&lt;&gt;0,$H570&gt;0,OR(AUTOEVENTO&lt;&gt;"manual",$M570&lt;&gt;1)),ROUND(OFFSET($P570,0,AW$13),15-13*ORÇAMENTO!$AF$7)/$H570*OFFSET(ORÇAMENTO!$X$15,ROW(AW570)-ROW(AW$15),0),0)</f>
        <v>0</v>
      </c>
      <c r="AX570" s="632">
        <f ca="1">IF(AND($D570="Serviço",AX$12&lt;&gt;0,$H570&gt;0,OR(AUTOEVENTO&lt;&gt;"manual",$M570&lt;&gt;1)),ROUND(OFFSET($P570,0,AX$13),15-13*ORÇAMENTO!$AF$7)/$H570*OFFSET(ORÇAMENTO!$X$15,ROW(AX570)-ROW(AX$15),0),0)</f>
        <v>0</v>
      </c>
      <c r="AY570" s="632">
        <f ca="1">IF(AND($D570="Serviço",AY$12&lt;&gt;0,$H570&gt;0,OR(AUTOEVENTO&lt;&gt;"manual",$M570&lt;&gt;1)),ROUND(OFFSET($P570,0,AY$13),15-13*ORÇAMENTO!$AF$7)/$H570*OFFSET(ORÇAMENTO!$X$15,ROW(AY570)-ROW(AY$15),0),0)</f>
        <v>0</v>
      </c>
      <c r="AZ570" s="632">
        <f ca="1">IF(AND($D570="Serviço",AZ$12&lt;&gt;0,$H570&gt;0,OR(AUTOEVENTO&lt;&gt;"manual",$M570&lt;&gt;1)),ROUND(OFFSET($P570,0,AZ$13),15-13*ORÇAMENTO!$AF$7)/$H570*OFFSET(ORÇAMENTO!$X$15,ROW(AZ570)-ROW(AZ$15),0),0)</f>
        <v>0</v>
      </c>
      <c r="BA570" s="633">
        <f ca="1">IF(AND($D570="Serviço",BA$12&lt;&gt;0,$H570&gt;0,OR(AUTOEVENTO&lt;&gt;"manual",$M570&lt;&gt;1)),ROUND(OFFSET($P570,0,BA$13),15-13*ORÇAMENTO!$AF$7)/$H570*OFFSET(ORÇAMENTO!$X$15,ROW(BA570)-ROW(BA$15),0),0)</f>
        <v>0</v>
      </c>
      <c r="BC570" s="215">
        <f ca="1">IF($D570&lt;&gt;"Serviço",0,IF(AND(AUTOEVENTO="Manual",$M570=1),0,IF(OFFSET(CRONOPLE!$F$14,$M570,BC$13)="",10^12,OFFSET(CRONOPLE!$F$14,$M570,BC$13))))</f>
        <v>1000000000000</v>
      </c>
      <c r="BD570" s="215">
        <f ca="1">IF($D570&lt;&gt;"Serviço",0,IF(AND(AUTOEVENTO="Manual",$M570=1),0,IF(OFFSET(CRONOPLE!$F$14,$M570,BD$13)="",10^12,OFFSET(CRONOPLE!$F$14,$M570,BD$13))))</f>
        <v>1000000000000</v>
      </c>
      <c r="BE570" s="215">
        <f ca="1">IF($D570&lt;&gt;"Serviço",0,IF(AND(AUTOEVENTO="Manual",$M570=1),0,IF(OFFSET(CRONOPLE!$F$14,$M570,BE$13)="",10^12,OFFSET(CRONOPLE!$F$14,$M570,BE$13))))</f>
        <v>1000000000000</v>
      </c>
      <c r="BF570" s="215">
        <f ca="1">IF($D570&lt;&gt;"Serviço",0,IF(AND(AUTOEVENTO="Manual",$M570=1),0,IF(OFFSET(CRONOPLE!$F$14,$M570,BF$13)="",10^12,OFFSET(CRONOPLE!$F$14,$M570,BF$13))))</f>
        <v>1000000000000</v>
      </c>
      <c r="BG570" s="215">
        <f ca="1">IF($D570&lt;&gt;"Serviço",0,IF(AND(AUTOEVENTO="Manual",$M570=1),0,IF(OFFSET(CRONOPLE!$F$14,$M570,BG$13)="",10^12,OFFSET(CRONOPLE!$F$14,$M570,BG$13))))</f>
        <v>1000000000000</v>
      </c>
      <c r="BH570" s="215">
        <f ca="1">IF($D570&lt;&gt;"Serviço",0,IF(AND(AUTOEVENTO="Manual",$M570=1),0,IF(OFFSET(CRONOPLE!$F$14,$M570,BH$13)="",10^12,OFFSET(CRONOPLE!$F$14,$M570,BH$13))))</f>
        <v>1000000000000</v>
      </c>
      <c r="BI570" s="215">
        <f ca="1">IF($D570&lt;&gt;"Serviço",0,IF(AND(AUTOEVENTO="Manual",$M570=1),0,IF(OFFSET(CRONOPLE!$F$14,$M570,BI$13)="",10^12,OFFSET(CRONOPLE!$F$14,$M570,BI$13))))</f>
        <v>1000000000000</v>
      </c>
      <c r="BJ570" s="215">
        <f ca="1">IF($D570&lt;&gt;"Serviço",0,IF(AND(AUTOEVENTO="Manual",$M570=1),0,IF(OFFSET(CRONOPLE!$F$14,$M570,BJ$13)="",10^12,OFFSET(CRONOPLE!$F$14,$M570,BJ$13))))</f>
        <v>1000000000000</v>
      </c>
      <c r="BK570" s="215">
        <f ca="1">IF($D570&lt;&gt;"Serviço",0,IF(AND(AUTOEVENTO="Manual",$M570=1),0,IF(OFFSET(CRONOPLE!$F$14,$M570,BK$13)="",10^12,OFFSET(CRONOPLE!$F$14,$M570,BK$13))))</f>
        <v>1000000000000</v>
      </c>
      <c r="BL570" s="215">
        <f ca="1">IF($D570&lt;&gt;"Serviço",0,IF(AND(AUTOEVENTO="Manual",$M570=1),0,IF(OFFSET(CRONOPLE!$F$14,$M570,BL$13)="",10^12,OFFSET(CRONOPLE!$F$14,$M570,BL$13))))</f>
        <v>1000000000000</v>
      </c>
      <c r="BM570" s="215">
        <f ca="1">IF($D570&lt;&gt;"Serviço",0,IF(AND(AUTOEVENTO="Manual",$M570=1),0,IF(OFFSET(CRONOPLE!$F$14,$M570,BM$13)="",10^12,OFFSET(CRONOPLE!$F$14,$M570,BM$13))))</f>
        <v>1000000000000</v>
      </c>
      <c r="BN570" s="215">
        <f ca="1">IF($D570&lt;&gt;"Serviço",0,IF(AND(AUTOEVENTO="Manual",$M570=1),0,IF(OFFSET(CRONOPLE!$F$14,$M570,BN$13)="",10^12,OFFSET(CRONOPLE!$F$14,$M570,BN$13))))</f>
        <v>1000000000000</v>
      </c>
      <c r="BO570" s="215">
        <f ca="1">IF($D570&lt;&gt;"Serviço",0,IF(AND(AUTOEVENTO="Manual",$M570=1),0,IF(OFFSET(CRONOPLE!$F$14,$M570,BO$13)="",10^12,OFFSET(CRONOPLE!$F$14,$M570,BO$13))))</f>
        <v>1000000000000</v>
      </c>
      <c r="BP570" s="215">
        <f ca="1">IF($D570&lt;&gt;"Serviço",0,IF(AND(AUTOEVENTO="Manual",$M570=1),0,IF(OFFSET(CRONOPLE!$F$14,$M570,BP$13)="",10^12,OFFSET(CRONOPLE!$F$14,$M570,BP$13))))</f>
        <v>1000000000000</v>
      </c>
      <c r="BQ570" s="215">
        <f ca="1">IF($D570&lt;&gt;"Serviço",0,IF(AND(AUTOEVENTO="Manual",$M570=1),0,IF(OFFSET(CRONOPLE!$F$14,$M570,BQ$13)="",10^12,OFFSET(CRONOPLE!$F$14,$M570,BQ$13))))</f>
        <v>1000000000000</v>
      </c>
      <c r="BR570" s="215">
        <f ca="1">IF($D570&lt;&gt;"Serviço",0,IF(AND(AUTOEVENTO="Manual",$M570=1),0,IF(OFFSET(CRONOPLE!$F$14,$M570,BR$13)="",10^12,OFFSET(CRONOPLE!$F$14,$M570,BR$13))))</f>
        <v>1000000000000</v>
      </c>
      <c r="BS570" s="215">
        <f ca="1">IF($D570&lt;&gt;"Serviço",0,IF(AND(AUTOEVENTO="Manual",$M570=1),0,IF(OFFSET(CRONOPLE!$F$14,$M570,BS$13)="",10^12,OFFSET(CRONOPLE!$F$14,$M570,BS$13))))</f>
        <v>1000000000000</v>
      </c>
      <c r="BT570" s="215">
        <f ca="1">IF($D570&lt;&gt;"Serviço",0,IF(AND(AUTOEVENTO="Manual",$M570=1),0,IF(OFFSET(CRONOPLE!$F$14,$M570,BT$13)="",10^12,OFFSET(CRONOPLE!$F$14,$M570,BT$13))))</f>
        <v>1000000000000</v>
      </c>
      <c r="BV570" s="216">
        <f ca="1">IF($D570&lt;&gt;"Serviço",0,IF(OR(AND(AUTOEVENTO="Manual",$M570=1),$M570&gt;(ROW(PLE.lastrow)-ROW(PLE.firstrow))),0,IF(OFFSET(PLE!$G$14,$M570,BV$13)="",10^12,OFFSET(PLE!$G$14,$M570,BV$13))))</f>
        <v>1000000000000</v>
      </c>
      <c r="BW570" s="216">
        <f ca="1">IF($D570&lt;&gt;"Serviço",0,IF(OR(AND(AUTOEVENTO="Manual",$M570=1),$M570&gt;(ROW(PLE.lastrow)-ROW(PLE.firstrow))),0,IF(OFFSET(PLE!$G$14,$M570,BW$13)="",10^12,OFFSET(PLE!$G$14,$M570,BW$13))))</f>
        <v>1000000000000</v>
      </c>
      <c r="BX570" s="216">
        <f ca="1">IF($D570&lt;&gt;"Serviço",0,IF(OR(AND(AUTOEVENTO="Manual",$M570=1),$M570&gt;(ROW(PLE.lastrow)-ROW(PLE.firstrow))),0,IF(OFFSET(PLE!$G$14,$M570,BX$13)="",10^12,OFFSET(PLE!$G$14,$M570,BX$13))))</f>
        <v>1000000000000</v>
      </c>
      <c r="BY570" s="216">
        <f ca="1">IF($D570&lt;&gt;"Serviço",0,IF(OR(AND(AUTOEVENTO="Manual",$M570=1),$M570&gt;(ROW(PLE.lastrow)-ROW(PLE.firstrow))),0,IF(OFFSET(PLE!$G$14,$M570,BY$13)="",10^12,OFFSET(PLE!$G$14,$M570,BY$13))))</f>
        <v>1000000000000</v>
      </c>
      <c r="BZ570" s="216">
        <f ca="1">IF($D570&lt;&gt;"Serviço",0,IF(OR(AND(AUTOEVENTO="Manual",$M570=1),$M570&gt;(ROW(PLE.lastrow)-ROW(PLE.firstrow))),0,IF(OFFSET(PLE!$G$14,$M570,BZ$13)="",10^12,OFFSET(PLE!$G$14,$M570,BZ$13))))</f>
        <v>1000000000000</v>
      </c>
      <c r="CA570" s="216">
        <f ca="1">IF($D570&lt;&gt;"Serviço",0,IF(OR(AND(AUTOEVENTO="Manual",$M570=1),$M570&gt;(ROW(PLE.lastrow)-ROW(PLE.firstrow))),0,IF(OFFSET(PLE!$G$14,$M570,CA$13)="",10^12,OFFSET(PLE!$G$14,$M570,CA$13))))</f>
        <v>1000000000000</v>
      </c>
      <c r="CB570" s="216">
        <f ca="1">IF($D570&lt;&gt;"Serviço",0,IF(OR(AND(AUTOEVENTO="Manual",$M570=1),$M570&gt;(ROW(PLE.lastrow)-ROW(PLE.firstrow))),0,IF(OFFSET(PLE!$G$14,$M570,CB$13)="",10^12,OFFSET(PLE!$G$14,$M570,CB$13))))</f>
        <v>1000000000000</v>
      </c>
      <c r="CC570" s="216">
        <f ca="1">IF($D570&lt;&gt;"Serviço",0,IF(OR(AND(AUTOEVENTO="Manual",$M570=1),$M570&gt;(ROW(PLE.lastrow)-ROW(PLE.firstrow))),0,IF(OFFSET(PLE!$G$14,$M570,CC$13)="",10^12,OFFSET(PLE!$G$14,$M570,CC$13))))</f>
        <v>1000000000000</v>
      </c>
      <c r="CD570" s="216">
        <f ca="1">IF($D570&lt;&gt;"Serviço",0,IF(OR(AND(AUTOEVENTO="Manual",$M570=1),$M570&gt;(ROW(PLE.lastrow)-ROW(PLE.firstrow))),0,IF(OFFSET(PLE!$G$14,$M570,CD$13)="",10^12,OFFSET(PLE!$G$14,$M570,CD$13))))</f>
        <v>1000000000000</v>
      </c>
      <c r="CE570" s="216">
        <f ca="1">IF($D570&lt;&gt;"Serviço",0,IF(OR(AND(AUTOEVENTO="Manual",$M570=1),$M570&gt;(ROW(PLE.lastrow)-ROW(PLE.firstrow))),0,IF(OFFSET(PLE!$G$14,$M570,CE$13)="",10^12,OFFSET(PLE!$G$14,$M570,CE$13))))</f>
        <v>1000000000000</v>
      </c>
      <c r="CF570" s="216">
        <f ca="1">IF($D570&lt;&gt;"Serviço",0,IF(OR(AND(AUTOEVENTO="Manual",$M570=1),$M570&gt;(ROW(PLE.lastrow)-ROW(PLE.firstrow))),0,IF(OFFSET(PLE!$G$14,$M570,CF$13)="",10^12,OFFSET(PLE!$G$14,$M570,CF$13))))</f>
        <v>1000000000000</v>
      </c>
      <c r="CG570" s="216">
        <f ca="1">IF($D570&lt;&gt;"Serviço",0,IF(OR(AND(AUTOEVENTO="Manual",$M570=1),$M570&gt;(ROW(PLE.lastrow)-ROW(PLE.firstrow))),0,IF(OFFSET(PLE!$G$14,$M570,CG$13)="",10^12,OFFSET(PLE!$G$14,$M570,CG$13))))</f>
        <v>1000000000000</v>
      </c>
      <c r="CH570" s="216">
        <f ca="1">IF($D570&lt;&gt;"Serviço",0,IF(OR(AND(AUTOEVENTO="Manual",$M570=1),$M570&gt;(ROW(PLE.lastrow)-ROW(PLE.firstrow))),0,IF(OFFSET(PLE!$G$14,$M570,CH$13)="",10^12,OFFSET(PLE!$G$14,$M570,CH$13))))</f>
        <v>1000000000000</v>
      </c>
      <c r="CI570" s="216">
        <f ca="1">IF($D570&lt;&gt;"Serviço",0,IF(OR(AND(AUTOEVENTO="Manual",$M570=1),$M570&gt;(ROW(PLE.lastrow)-ROW(PLE.firstrow))),0,IF(OFFSET(PLE!$G$14,$M570,CI$13)="",10^12,OFFSET(PLE!$G$14,$M570,CI$13))))</f>
        <v>1000000000000</v>
      </c>
      <c r="CJ570" s="216">
        <f ca="1">IF($D570&lt;&gt;"Serviço",0,IF(OR(AND(AUTOEVENTO="Manual",$M570=1),$M570&gt;(ROW(PLE.lastrow)-ROW(PLE.firstrow))),0,IF(OFFSET(PLE!$G$14,$M570,CJ$13)="",10^12,OFFSET(PLE!$G$14,$M570,CJ$13))))</f>
        <v>1000000000000</v>
      </c>
      <c r="CK570" s="216">
        <f ca="1">IF($D570&lt;&gt;"Serviço",0,IF(OR(AND(AUTOEVENTO="Manual",$M570=1),$M570&gt;(ROW(PLE.lastrow)-ROW(PLE.firstrow))),0,IF(OFFSET(PLE!$G$14,$M570,CK$13)="",10^12,OFFSET(PLE!$G$14,$M570,CK$13))))</f>
        <v>1000000000000</v>
      </c>
      <c r="CL570" s="216">
        <f ca="1">IF($D570&lt;&gt;"Serviço",0,IF(OR(AND(AUTOEVENTO="Manual",$M570=1),$M570&gt;(ROW(PLE.lastrow)-ROW(PLE.firstrow))),0,IF(OFFSET(PLE!$G$14,$M570,CL$13)="",10^12,OFFSET(PLE!$G$14,$M570,CL$13))))</f>
        <v>1000000000000</v>
      </c>
      <c r="CM570" s="216">
        <f ca="1">IF($D570&lt;&gt;"Serviço",0,IF(OR(AND(AUTOEVENTO="Manual",$M570=1),$M570&gt;(ROW(PLE.lastrow)-ROW(PLE.firstrow))),0,IF(OFFSET(PLE!$G$14,$M570,CM$13)="",10^12,OFFSET(PLE!$G$14,$M570,CM$13))))</f>
        <v>1000000000000</v>
      </c>
    </row>
    <row r="571" spans="1:91" ht="13.2" x14ac:dyDescent="0.25">
      <c r="A571" s="9">
        <f t="shared" ca="1" si="17"/>
        <v>0</v>
      </c>
      <c r="B571" s="9" t="str">
        <f ca="1">OFFSET(ORÇAMENTO!C$15,ROW(B571)-ROW(B$15),0)</f>
        <v>S</v>
      </c>
      <c r="C571" s="9" t="str">
        <f ca="1">OFFSET(ORÇAMENTO!L$15,ROW(C571)-ROW(C$15),0)</f>
        <v/>
      </c>
      <c r="D571" s="145" t="str">
        <f ca="1">OFFSET(ORÇAMENTO!N$15,ROW(D571)-ROW(D$15),0)</f>
        <v>Serviço</v>
      </c>
      <c r="E571" s="205" t="str">
        <f ca="1">OFFSET(ORÇAMENTO!O$15,ROW(E571)-ROW(E$15),0)</f>
        <v>-</v>
      </c>
      <c r="F571" s="206" t="str">
        <f ca="1">OFFSET(ORÇAMENTO!R$15,ROW(F571)-ROW(F$15),0)</f>
        <v>(abra o arquivo 'Referência 05-2024.xls)</v>
      </c>
      <c r="G571" s="207" t="str">
        <f ca="1">IF($D571&lt;&gt;"Serviço","",OFFSET(ORÇAMENTO!S$15,ROW(G571)-ROW(G$15),0))</f>
        <v>-</v>
      </c>
      <c r="H571" s="151">
        <f ca="1">IF($D571&lt;&gt;"Serviço",0,IF(ACOMPANHAMENTO="BM",ROUND(OFFSET(ORÇAMENTO!AJ$15,ROW(H571)-ROW(H$15),0),15-13*ORÇAMENTO!$AF$7),SUMPRODUCT(($Q$12:$AI$12&lt;&gt;"")*ROUND($Q571:$AI571,15-13*ORÇAMENTO!$AF$7))))</f>
        <v>96</v>
      </c>
      <c r="I571" s="650"/>
      <c r="K571" s="208"/>
      <c r="L571" s="209" t="s">
        <v>257</v>
      </c>
      <c r="M571" s="210">
        <f ca="1">IF($D571&lt;&gt;"Serviço","",IF(AUTOEVENTO="manual",$A571,IF(ISERROR(MATCH($A571,$A$15:OFFSET($A571,-1,0),0)),MAX($M$15:OFFSET(M571,-1,0))+1,INDEX($M$15:OFFSET(M571,-1,0),MATCH($A571,$A$15:OFFSET($A571,-1,0),0)))))</f>
        <v>0</v>
      </c>
      <c r="N571" s="211" t="str">
        <f ca="1">IF($D571&lt;&gt;"Serviço","",IF(AUTOEVENTO="Manual",IF($A571=0,"&lt;-- defina o número do agrupador",OFFSET(EVENTOS!$D$14,$A571,0)),OFFSET($F$15,$A571,0)))</f>
        <v>&lt;-- defina o número do agrupador</v>
      </c>
      <c r="O571" s="212"/>
      <c r="Q571" s="212"/>
      <c r="R571" s="213"/>
      <c r="S571" s="213"/>
      <c r="T571" s="213"/>
      <c r="U571" s="213"/>
      <c r="V571" s="213"/>
      <c r="W571" s="213"/>
      <c r="X571" s="213"/>
      <c r="Y571" s="213"/>
      <c r="Z571" s="214"/>
      <c r="AA571" s="213"/>
      <c r="AB571" s="213"/>
      <c r="AC571" s="213"/>
      <c r="AD571" s="213"/>
      <c r="AE571" s="213"/>
      <c r="AF571" s="213"/>
      <c r="AG571" s="213"/>
      <c r="AH571" s="214"/>
      <c r="AJ571" s="631">
        <f ca="1">IF(AND($D571="Serviço",AJ$12&lt;&gt;0,$H571&gt;0,OR(AUTOEVENTO&lt;&gt;"manual",$M571&lt;&gt;1)),ROUND(OFFSET($P571,0,AJ$13),15-13*ORÇAMENTO!$AF$7)/$H571*OFFSET(ORÇAMENTO!$X$15,ROW(AJ571)-ROW(AJ$15),0),0)</f>
        <v>0</v>
      </c>
      <c r="AK571" s="632">
        <f ca="1">IF(AND($D571="Serviço",AK$12&lt;&gt;0,$H571&gt;0,OR(AUTOEVENTO&lt;&gt;"manual",$M571&lt;&gt;1)),ROUND(OFFSET($P571,0,AK$13),15-13*ORÇAMENTO!$AF$7)/$H571*OFFSET(ORÇAMENTO!$X$15,ROW(AK571)-ROW(AK$15),0),0)</f>
        <v>0</v>
      </c>
      <c r="AL571" s="632">
        <f ca="1">IF(AND($D571="Serviço",AL$12&lt;&gt;0,$H571&gt;0,OR(AUTOEVENTO&lt;&gt;"manual",$M571&lt;&gt;1)),ROUND(OFFSET($P571,0,AL$13),15-13*ORÇAMENTO!$AF$7)/$H571*OFFSET(ORÇAMENTO!$X$15,ROW(AL571)-ROW(AL$15),0),0)</f>
        <v>0</v>
      </c>
      <c r="AM571" s="632">
        <f ca="1">IF(AND($D571="Serviço",AM$12&lt;&gt;0,$H571&gt;0,OR(AUTOEVENTO&lt;&gt;"manual",$M571&lt;&gt;1)),ROUND(OFFSET($P571,0,AM$13),15-13*ORÇAMENTO!$AF$7)/$H571*OFFSET(ORÇAMENTO!$X$15,ROW(AM571)-ROW(AM$15),0),0)</f>
        <v>0</v>
      </c>
      <c r="AN571" s="632">
        <f ca="1">IF(AND($D571="Serviço",AN$12&lt;&gt;0,$H571&gt;0,OR(AUTOEVENTO&lt;&gt;"manual",$M571&lt;&gt;1)),ROUND(OFFSET($P571,0,AN$13),15-13*ORÇAMENTO!$AF$7)/$H571*OFFSET(ORÇAMENTO!$X$15,ROW(AN571)-ROW(AN$15),0),0)</f>
        <v>0</v>
      </c>
      <c r="AO571" s="632">
        <f ca="1">IF(AND($D571="Serviço",AO$12&lt;&gt;0,$H571&gt;0,OR(AUTOEVENTO&lt;&gt;"manual",$M571&lt;&gt;1)),ROUND(OFFSET($P571,0,AO$13),15-13*ORÇAMENTO!$AF$7)/$H571*OFFSET(ORÇAMENTO!$X$15,ROW(AO571)-ROW(AO$15),0),0)</f>
        <v>0</v>
      </c>
      <c r="AP571" s="632">
        <f ca="1">IF(AND($D571="Serviço",AP$12&lt;&gt;0,$H571&gt;0,OR(AUTOEVENTO&lt;&gt;"manual",$M571&lt;&gt;1)),ROUND(OFFSET($P571,0,AP$13),15-13*ORÇAMENTO!$AF$7)/$H571*OFFSET(ORÇAMENTO!$X$15,ROW(AP571)-ROW(AP$15),0),0)</f>
        <v>0</v>
      </c>
      <c r="AQ571" s="632">
        <f ca="1">IF(AND($D571="Serviço",AQ$12&lt;&gt;0,$H571&gt;0,OR(AUTOEVENTO&lt;&gt;"manual",$M571&lt;&gt;1)),ROUND(OFFSET($P571,0,AQ$13),15-13*ORÇAMENTO!$AF$7)/$H571*OFFSET(ORÇAMENTO!$X$15,ROW(AQ571)-ROW(AQ$15),0),0)</f>
        <v>0</v>
      </c>
      <c r="AR571" s="632">
        <f ca="1">IF(AND($D571="Serviço",AR$12&lt;&gt;0,$H571&gt;0,OR(AUTOEVENTO&lt;&gt;"manual",$M571&lt;&gt;1)),ROUND(OFFSET($P571,0,AR$13),15-13*ORÇAMENTO!$AF$7)/$H571*OFFSET(ORÇAMENTO!$X$15,ROW(AR571)-ROW(AR$15),0),0)</f>
        <v>0</v>
      </c>
      <c r="AS571" s="633">
        <f ca="1">IF(AND($D571="Serviço",AS$12&lt;&gt;0,$H571&gt;0,OR(AUTOEVENTO&lt;&gt;"manual",$M571&lt;&gt;1)),ROUND(OFFSET($P571,0,AS$13),15-13*ORÇAMENTO!$AF$7)/$H571*OFFSET(ORÇAMENTO!$X$15,ROW(AS571)-ROW(AS$15),0),0)</f>
        <v>0</v>
      </c>
      <c r="AT571" s="632">
        <f ca="1">IF(AND($D571="Serviço",AT$12&lt;&gt;0,$H571&gt;0,OR(AUTOEVENTO&lt;&gt;"manual",$M571&lt;&gt;1)),ROUND(OFFSET($P571,0,AT$13),15-13*ORÇAMENTO!$AF$7)/$H571*OFFSET(ORÇAMENTO!$X$15,ROW(AT571)-ROW(AT$15),0),0)</f>
        <v>0</v>
      </c>
      <c r="AU571" s="632">
        <f ca="1">IF(AND($D571="Serviço",AU$12&lt;&gt;0,$H571&gt;0,OR(AUTOEVENTO&lt;&gt;"manual",$M571&lt;&gt;1)),ROUND(OFFSET($P571,0,AU$13),15-13*ORÇAMENTO!$AF$7)/$H571*OFFSET(ORÇAMENTO!$X$15,ROW(AU571)-ROW(AU$15),0),0)</f>
        <v>0</v>
      </c>
      <c r="AV571" s="632">
        <f ca="1">IF(AND($D571="Serviço",AV$12&lt;&gt;0,$H571&gt;0,OR(AUTOEVENTO&lt;&gt;"manual",$M571&lt;&gt;1)),ROUND(OFFSET($P571,0,AV$13),15-13*ORÇAMENTO!$AF$7)/$H571*OFFSET(ORÇAMENTO!$X$15,ROW(AV571)-ROW(AV$15),0),0)</f>
        <v>0</v>
      </c>
      <c r="AW571" s="632">
        <f ca="1">IF(AND($D571="Serviço",AW$12&lt;&gt;0,$H571&gt;0,OR(AUTOEVENTO&lt;&gt;"manual",$M571&lt;&gt;1)),ROUND(OFFSET($P571,0,AW$13),15-13*ORÇAMENTO!$AF$7)/$H571*OFFSET(ORÇAMENTO!$X$15,ROW(AW571)-ROW(AW$15),0),0)</f>
        <v>0</v>
      </c>
      <c r="AX571" s="632">
        <f ca="1">IF(AND($D571="Serviço",AX$12&lt;&gt;0,$H571&gt;0,OR(AUTOEVENTO&lt;&gt;"manual",$M571&lt;&gt;1)),ROUND(OFFSET($P571,0,AX$13),15-13*ORÇAMENTO!$AF$7)/$H571*OFFSET(ORÇAMENTO!$X$15,ROW(AX571)-ROW(AX$15),0),0)</f>
        <v>0</v>
      </c>
      <c r="AY571" s="632">
        <f ca="1">IF(AND($D571="Serviço",AY$12&lt;&gt;0,$H571&gt;0,OR(AUTOEVENTO&lt;&gt;"manual",$M571&lt;&gt;1)),ROUND(OFFSET($P571,0,AY$13),15-13*ORÇAMENTO!$AF$7)/$H571*OFFSET(ORÇAMENTO!$X$15,ROW(AY571)-ROW(AY$15),0),0)</f>
        <v>0</v>
      </c>
      <c r="AZ571" s="632">
        <f ca="1">IF(AND($D571="Serviço",AZ$12&lt;&gt;0,$H571&gt;0,OR(AUTOEVENTO&lt;&gt;"manual",$M571&lt;&gt;1)),ROUND(OFFSET($P571,0,AZ$13),15-13*ORÇAMENTO!$AF$7)/$H571*OFFSET(ORÇAMENTO!$X$15,ROW(AZ571)-ROW(AZ$15),0),0)</f>
        <v>0</v>
      </c>
      <c r="BA571" s="633">
        <f ca="1">IF(AND($D571="Serviço",BA$12&lt;&gt;0,$H571&gt;0,OR(AUTOEVENTO&lt;&gt;"manual",$M571&lt;&gt;1)),ROUND(OFFSET($P571,0,BA$13),15-13*ORÇAMENTO!$AF$7)/$H571*OFFSET(ORÇAMENTO!$X$15,ROW(BA571)-ROW(BA$15),0),0)</f>
        <v>0</v>
      </c>
      <c r="BC571" s="215">
        <f ca="1">IF($D571&lt;&gt;"Serviço",0,IF(AND(AUTOEVENTO="Manual",$M571=1),0,IF(OFFSET(CRONOPLE!$F$14,$M571,BC$13)="",10^12,OFFSET(CRONOPLE!$F$14,$M571,BC$13))))</f>
        <v>1000000000000</v>
      </c>
      <c r="BD571" s="215">
        <f ca="1">IF($D571&lt;&gt;"Serviço",0,IF(AND(AUTOEVENTO="Manual",$M571=1),0,IF(OFFSET(CRONOPLE!$F$14,$M571,BD$13)="",10^12,OFFSET(CRONOPLE!$F$14,$M571,BD$13))))</f>
        <v>1000000000000</v>
      </c>
      <c r="BE571" s="215">
        <f ca="1">IF($D571&lt;&gt;"Serviço",0,IF(AND(AUTOEVENTO="Manual",$M571=1),0,IF(OFFSET(CRONOPLE!$F$14,$M571,BE$13)="",10^12,OFFSET(CRONOPLE!$F$14,$M571,BE$13))))</f>
        <v>1000000000000</v>
      </c>
      <c r="BF571" s="215">
        <f ca="1">IF($D571&lt;&gt;"Serviço",0,IF(AND(AUTOEVENTO="Manual",$M571=1),0,IF(OFFSET(CRONOPLE!$F$14,$M571,BF$13)="",10^12,OFFSET(CRONOPLE!$F$14,$M571,BF$13))))</f>
        <v>1000000000000</v>
      </c>
      <c r="BG571" s="215">
        <f ca="1">IF($D571&lt;&gt;"Serviço",0,IF(AND(AUTOEVENTO="Manual",$M571=1),0,IF(OFFSET(CRONOPLE!$F$14,$M571,BG$13)="",10^12,OFFSET(CRONOPLE!$F$14,$M571,BG$13))))</f>
        <v>1000000000000</v>
      </c>
      <c r="BH571" s="215">
        <f ca="1">IF($D571&lt;&gt;"Serviço",0,IF(AND(AUTOEVENTO="Manual",$M571=1),0,IF(OFFSET(CRONOPLE!$F$14,$M571,BH$13)="",10^12,OFFSET(CRONOPLE!$F$14,$M571,BH$13))))</f>
        <v>1000000000000</v>
      </c>
      <c r="BI571" s="215">
        <f ca="1">IF($D571&lt;&gt;"Serviço",0,IF(AND(AUTOEVENTO="Manual",$M571=1),0,IF(OFFSET(CRONOPLE!$F$14,$M571,BI$13)="",10^12,OFFSET(CRONOPLE!$F$14,$M571,BI$13))))</f>
        <v>1000000000000</v>
      </c>
      <c r="BJ571" s="215">
        <f ca="1">IF($D571&lt;&gt;"Serviço",0,IF(AND(AUTOEVENTO="Manual",$M571=1),0,IF(OFFSET(CRONOPLE!$F$14,$M571,BJ$13)="",10^12,OFFSET(CRONOPLE!$F$14,$M571,BJ$13))))</f>
        <v>1000000000000</v>
      </c>
      <c r="BK571" s="215">
        <f ca="1">IF($D571&lt;&gt;"Serviço",0,IF(AND(AUTOEVENTO="Manual",$M571=1),0,IF(OFFSET(CRONOPLE!$F$14,$M571,BK$13)="",10^12,OFFSET(CRONOPLE!$F$14,$M571,BK$13))))</f>
        <v>1000000000000</v>
      </c>
      <c r="BL571" s="215">
        <f ca="1">IF($D571&lt;&gt;"Serviço",0,IF(AND(AUTOEVENTO="Manual",$M571=1),0,IF(OFFSET(CRONOPLE!$F$14,$M571,BL$13)="",10^12,OFFSET(CRONOPLE!$F$14,$M571,BL$13))))</f>
        <v>1000000000000</v>
      </c>
      <c r="BM571" s="215">
        <f ca="1">IF($D571&lt;&gt;"Serviço",0,IF(AND(AUTOEVENTO="Manual",$M571=1),0,IF(OFFSET(CRONOPLE!$F$14,$M571,BM$13)="",10^12,OFFSET(CRONOPLE!$F$14,$M571,BM$13))))</f>
        <v>1000000000000</v>
      </c>
      <c r="BN571" s="215">
        <f ca="1">IF($D571&lt;&gt;"Serviço",0,IF(AND(AUTOEVENTO="Manual",$M571=1),0,IF(OFFSET(CRONOPLE!$F$14,$M571,BN$13)="",10^12,OFFSET(CRONOPLE!$F$14,$M571,BN$13))))</f>
        <v>1000000000000</v>
      </c>
      <c r="BO571" s="215">
        <f ca="1">IF($D571&lt;&gt;"Serviço",0,IF(AND(AUTOEVENTO="Manual",$M571=1),0,IF(OFFSET(CRONOPLE!$F$14,$M571,BO$13)="",10^12,OFFSET(CRONOPLE!$F$14,$M571,BO$13))))</f>
        <v>1000000000000</v>
      </c>
      <c r="BP571" s="215">
        <f ca="1">IF($D571&lt;&gt;"Serviço",0,IF(AND(AUTOEVENTO="Manual",$M571=1),0,IF(OFFSET(CRONOPLE!$F$14,$M571,BP$13)="",10^12,OFFSET(CRONOPLE!$F$14,$M571,BP$13))))</f>
        <v>1000000000000</v>
      </c>
      <c r="BQ571" s="215">
        <f ca="1">IF($D571&lt;&gt;"Serviço",0,IF(AND(AUTOEVENTO="Manual",$M571=1),0,IF(OFFSET(CRONOPLE!$F$14,$M571,BQ$13)="",10^12,OFFSET(CRONOPLE!$F$14,$M571,BQ$13))))</f>
        <v>1000000000000</v>
      </c>
      <c r="BR571" s="215">
        <f ca="1">IF($D571&lt;&gt;"Serviço",0,IF(AND(AUTOEVENTO="Manual",$M571=1),0,IF(OFFSET(CRONOPLE!$F$14,$M571,BR$13)="",10^12,OFFSET(CRONOPLE!$F$14,$M571,BR$13))))</f>
        <v>1000000000000</v>
      </c>
      <c r="BS571" s="215">
        <f ca="1">IF($D571&lt;&gt;"Serviço",0,IF(AND(AUTOEVENTO="Manual",$M571=1),0,IF(OFFSET(CRONOPLE!$F$14,$M571,BS$13)="",10^12,OFFSET(CRONOPLE!$F$14,$M571,BS$13))))</f>
        <v>1000000000000</v>
      </c>
      <c r="BT571" s="215">
        <f ca="1">IF($D571&lt;&gt;"Serviço",0,IF(AND(AUTOEVENTO="Manual",$M571=1),0,IF(OFFSET(CRONOPLE!$F$14,$M571,BT$13)="",10^12,OFFSET(CRONOPLE!$F$14,$M571,BT$13))))</f>
        <v>1000000000000</v>
      </c>
      <c r="BV571" s="216">
        <f ca="1">IF($D571&lt;&gt;"Serviço",0,IF(OR(AND(AUTOEVENTO="Manual",$M571=1),$M571&gt;(ROW(PLE.lastrow)-ROW(PLE.firstrow))),0,IF(OFFSET(PLE!$G$14,$M571,BV$13)="",10^12,OFFSET(PLE!$G$14,$M571,BV$13))))</f>
        <v>1000000000000</v>
      </c>
      <c r="BW571" s="216">
        <f ca="1">IF($D571&lt;&gt;"Serviço",0,IF(OR(AND(AUTOEVENTO="Manual",$M571=1),$M571&gt;(ROW(PLE.lastrow)-ROW(PLE.firstrow))),0,IF(OFFSET(PLE!$G$14,$M571,BW$13)="",10^12,OFFSET(PLE!$G$14,$M571,BW$13))))</f>
        <v>1000000000000</v>
      </c>
      <c r="BX571" s="216">
        <f ca="1">IF($D571&lt;&gt;"Serviço",0,IF(OR(AND(AUTOEVENTO="Manual",$M571=1),$M571&gt;(ROW(PLE.lastrow)-ROW(PLE.firstrow))),0,IF(OFFSET(PLE!$G$14,$M571,BX$13)="",10^12,OFFSET(PLE!$G$14,$M571,BX$13))))</f>
        <v>1000000000000</v>
      </c>
      <c r="BY571" s="216">
        <f ca="1">IF($D571&lt;&gt;"Serviço",0,IF(OR(AND(AUTOEVENTO="Manual",$M571=1),$M571&gt;(ROW(PLE.lastrow)-ROW(PLE.firstrow))),0,IF(OFFSET(PLE!$G$14,$M571,BY$13)="",10^12,OFFSET(PLE!$G$14,$M571,BY$13))))</f>
        <v>1000000000000</v>
      </c>
      <c r="BZ571" s="216">
        <f ca="1">IF($D571&lt;&gt;"Serviço",0,IF(OR(AND(AUTOEVENTO="Manual",$M571=1),$M571&gt;(ROW(PLE.lastrow)-ROW(PLE.firstrow))),0,IF(OFFSET(PLE!$G$14,$M571,BZ$13)="",10^12,OFFSET(PLE!$G$14,$M571,BZ$13))))</f>
        <v>1000000000000</v>
      </c>
      <c r="CA571" s="216">
        <f ca="1">IF($D571&lt;&gt;"Serviço",0,IF(OR(AND(AUTOEVENTO="Manual",$M571=1),$M571&gt;(ROW(PLE.lastrow)-ROW(PLE.firstrow))),0,IF(OFFSET(PLE!$G$14,$M571,CA$13)="",10^12,OFFSET(PLE!$G$14,$M571,CA$13))))</f>
        <v>1000000000000</v>
      </c>
      <c r="CB571" s="216">
        <f ca="1">IF($D571&lt;&gt;"Serviço",0,IF(OR(AND(AUTOEVENTO="Manual",$M571=1),$M571&gt;(ROW(PLE.lastrow)-ROW(PLE.firstrow))),0,IF(OFFSET(PLE!$G$14,$M571,CB$13)="",10^12,OFFSET(PLE!$G$14,$M571,CB$13))))</f>
        <v>1000000000000</v>
      </c>
      <c r="CC571" s="216">
        <f ca="1">IF($D571&lt;&gt;"Serviço",0,IF(OR(AND(AUTOEVENTO="Manual",$M571=1),$M571&gt;(ROW(PLE.lastrow)-ROW(PLE.firstrow))),0,IF(OFFSET(PLE!$G$14,$M571,CC$13)="",10^12,OFFSET(PLE!$G$14,$M571,CC$13))))</f>
        <v>1000000000000</v>
      </c>
      <c r="CD571" s="216">
        <f ca="1">IF($D571&lt;&gt;"Serviço",0,IF(OR(AND(AUTOEVENTO="Manual",$M571=1),$M571&gt;(ROW(PLE.lastrow)-ROW(PLE.firstrow))),0,IF(OFFSET(PLE!$G$14,$M571,CD$13)="",10^12,OFFSET(PLE!$G$14,$M571,CD$13))))</f>
        <v>1000000000000</v>
      </c>
      <c r="CE571" s="216">
        <f ca="1">IF($D571&lt;&gt;"Serviço",0,IF(OR(AND(AUTOEVENTO="Manual",$M571=1),$M571&gt;(ROW(PLE.lastrow)-ROW(PLE.firstrow))),0,IF(OFFSET(PLE!$G$14,$M571,CE$13)="",10^12,OFFSET(PLE!$G$14,$M571,CE$13))))</f>
        <v>1000000000000</v>
      </c>
      <c r="CF571" s="216">
        <f ca="1">IF($D571&lt;&gt;"Serviço",0,IF(OR(AND(AUTOEVENTO="Manual",$M571=1),$M571&gt;(ROW(PLE.lastrow)-ROW(PLE.firstrow))),0,IF(OFFSET(PLE!$G$14,$M571,CF$13)="",10^12,OFFSET(PLE!$G$14,$M571,CF$13))))</f>
        <v>1000000000000</v>
      </c>
      <c r="CG571" s="216">
        <f ca="1">IF($D571&lt;&gt;"Serviço",0,IF(OR(AND(AUTOEVENTO="Manual",$M571=1),$M571&gt;(ROW(PLE.lastrow)-ROW(PLE.firstrow))),0,IF(OFFSET(PLE!$G$14,$M571,CG$13)="",10^12,OFFSET(PLE!$G$14,$M571,CG$13))))</f>
        <v>1000000000000</v>
      </c>
      <c r="CH571" s="216">
        <f ca="1">IF($D571&lt;&gt;"Serviço",0,IF(OR(AND(AUTOEVENTO="Manual",$M571=1),$M571&gt;(ROW(PLE.lastrow)-ROW(PLE.firstrow))),0,IF(OFFSET(PLE!$G$14,$M571,CH$13)="",10^12,OFFSET(PLE!$G$14,$M571,CH$13))))</f>
        <v>1000000000000</v>
      </c>
      <c r="CI571" s="216">
        <f ca="1">IF($D571&lt;&gt;"Serviço",0,IF(OR(AND(AUTOEVENTO="Manual",$M571=1),$M571&gt;(ROW(PLE.lastrow)-ROW(PLE.firstrow))),0,IF(OFFSET(PLE!$G$14,$M571,CI$13)="",10^12,OFFSET(PLE!$G$14,$M571,CI$13))))</f>
        <v>1000000000000</v>
      </c>
      <c r="CJ571" s="216">
        <f ca="1">IF($D571&lt;&gt;"Serviço",0,IF(OR(AND(AUTOEVENTO="Manual",$M571=1),$M571&gt;(ROW(PLE.lastrow)-ROW(PLE.firstrow))),0,IF(OFFSET(PLE!$G$14,$M571,CJ$13)="",10^12,OFFSET(PLE!$G$14,$M571,CJ$13))))</f>
        <v>1000000000000</v>
      </c>
      <c r="CK571" s="216">
        <f ca="1">IF($D571&lt;&gt;"Serviço",0,IF(OR(AND(AUTOEVENTO="Manual",$M571=1),$M571&gt;(ROW(PLE.lastrow)-ROW(PLE.firstrow))),0,IF(OFFSET(PLE!$G$14,$M571,CK$13)="",10^12,OFFSET(PLE!$G$14,$M571,CK$13))))</f>
        <v>1000000000000</v>
      </c>
      <c r="CL571" s="216">
        <f ca="1">IF($D571&lt;&gt;"Serviço",0,IF(OR(AND(AUTOEVENTO="Manual",$M571=1),$M571&gt;(ROW(PLE.lastrow)-ROW(PLE.firstrow))),0,IF(OFFSET(PLE!$G$14,$M571,CL$13)="",10^12,OFFSET(PLE!$G$14,$M571,CL$13))))</f>
        <v>1000000000000</v>
      </c>
      <c r="CM571" s="216">
        <f ca="1">IF($D571&lt;&gt;"Serviço",0,IF(OR(AND(AUTOEVENTO="Manual",$M571=1),$M571&gt;(ROW(PLE.lastrow)-ROW(PLE.firstrow))),0,IF(OFFSET(PLE!$G$14,$M571,CM$13)="",10^12,OFFSET(PLE!$G$14,$M571,CM$13))))</f>
        <v>1000000000000</v>
      </c>
    </row>
    <row r="572" spans="1:91" ht="13.2" x14ac:dyDescent="0.25">
      <c r="A572" s="9">
        <f t="shared" ca="1" si="17"/>
        <v>0</v>
      </c>
      <c r="B572" s="9" t="str">
        <f ca="1">OFFSET(ORÇAMENTO!C$15,ROW(B572)-ROW(B$15),0)</f>
        <v>S</v>
      </c>
      <c r="C572" s="9" t="str">
        <f ca="1">OFFSET(ORÇAMENTO!L$15,ROW(C572)-ROW(C$15),0)</f>
        <v/>
      </c>
      <c r="D572" s="145" t="str">
        <f ca="1">OFFSET(ORÇAMENTO!N$15,ROW(D572)-ROW(D$15),0)</f>
        <v>Serviço</v>
      </c>
      <c r="E572" s="205" t="str">
        <f ca="1">OFFSET(ORÇAMENTO!O$15,ROW(E572)-ROW(E$15),0)</f>
        <v>-</v>
      </c>
      <c r="F572" s="206" t="str">
        <f ca="1">OFFSET(ORÇAMENTO!R$15,ROW(F572)-ROW(F$15),0)</f>
        <v>(abra o arquivo 'Referência 05-2024.xls)</v>
      </c>
      <c r="G572" s="207" t="str">
        <f ca="1">IF($D572&lt;&gt;"Serviço","",OFFSET(ORÇAMENTO!S$15,ROW(G572)-ROW(G$15),0))</f>
        <v>-</v>
      </c>
      <c r="H572" s="151">
        <f ca="1">IF($D572&lt;&gt;"Serviço",0,IF(ACOMPANHAMENTO="BM",ROUND(OFFSET(ORÇAMENTO!AJ$15,ROW(H572)-ROW(H$15),0),15-13*ORÇAMENTO!$AF$7),SUMPRODUCT(($Q$12:$AI$12&lt;&gt;"")*ROUND($Q572:$AI572,15-13*ORÇAMENTO!$AF$7))))</f>
        <v>15</v>
      </c>
      <c r="I572" s="650"/>
      <c r="K572" s="208"/>
      <c r="L572" s="209" t="s">
        <v>257</v>
      </c>
      <c r="M572" s="210">
        <f ca="1">IF($D572&lt;&gt;"Serviço","",IF(AUTOEVENTO="manual",$A572,IF(ISERROR(MATCH($A572,$A$15:OFFSET($A572,-1,0),0)),MAX($M$15:OFFSET(M572,-1,0))+1,INDEX($M$15:OFFSET(M572,-1,0),MATCH($A572,$A$15:OFFSET($A572,-1,0),0)))))</f>
        <v>0</v>
      </c>
      <c r="N572" s="211" t="str">
        <f ca="1">IF($D572&lt;&gt;"Serviço","",IF(AUTOEVENTO="Manual",IF($A572=0,"&lt;-- defina o número do agrupador",OFFSET(EVENTOS!$D$14,$A572,0)),OFFSET($F$15,$A572,0)))</f>
        <v>&lt;-- defina o número do agrupador</v>
      </c>
      <c r="O572" s="212"/>
      <c r="Q572" s="212"/>
      <c r="R572" s="213"/>
      <c r="S572" s="213"/>
      <c r="T572" s="213"/>
      <c r="U572" s="213"/>
      <c r="V572" s="213"/>
      <c r="W572" s="213"/>
      <c r="X572" s="213"/>
      <c r="Y572" s="213"/>
      <c r="Z572" s="214"/>
      <c r="AA572" s="213"/>
      <c r="AB572" s="213"/>
      <c r="AC572" s="213"/>
      <c r="AD572" s="213"/>
      <c r="AE572" s="213"/>
      <c r="AF572" s="213"/>
      <c r="AG572" s="213"/>
      <c r="AH572" s="214"/>
      <c r="AJ572" s="631">
        <f ca="1">IF(AND($D572="Serviço",AJ$12&lt;&gt;0,$H572&gt;0,OR(AUTOEVENTO&lt;&gt;"manual",$M572&lt;&gt;1)),ROUND(OFFSET($P572,0,AJ$13),15-13*ORÇAMENTO!$AF$7)/$H572*OFFSET(ORÇAMENTO!$X$15,ROW(AJ572)-ROW(AJ$15),0),0)</f>
        <v>0</v>
      </c>
      <c r="AK572" s="632">
        <f ca="1">IF(AND($D572="Serviço",AK$12&lt;&gt;0,$H572&gt;0,OR(AUTOEVENTO&lt;&gt;"manual",$M572&lt;&gt;1)),ROUND(OFFSET($P572,0,AK$13),15-13*ORÇAMENTO!$AF$7)/$H572*OFFSET(ORÇAMENTO!$X$15,ROW(AK572)-ROW(AK$15),0),0)</f>
        <v>0</v>
      </c>
      <c r="AL572" s="632">
        <f ca="1">IF(AND($D572="Serviço",AL$12&lt;&gt;0,$H572&gt;0,OR(AUTOEVENTO&lt;&gt;"manual",$M572&lt;&gt;1)),ROUND(OFFSET($P572,0,AL$13),15-13*ORÇAMENTO!$AF$7)/$H572*OFFSET(ORÇAMENTO!$X$15,ROW(AL572)-ROW(AL$15),0),0)</f>
        <v>0</v>
      </c>
      <c r="AM572" s="632">
        <f ca="1">IF(AND($D572="Serviço",AM$12&lt;&gt;0,$H572&gt;0,OR(AUTOEVENTO&lt;&gt;"manual",$M572&lt;&gt;1)),ROUND(OFFSET($P572,0,AM$13),15-13*ORÇAMENTO!$AF$7)/$H572*OFFSET(ORÇAMENTO!$X$15,ROW(AM572)-ROW(AM$15),0),0)</f>
        <v>0</v>
      </c>
      <c r="AN572" s="632">
        <f ca="1">IF(AND($D572="Serviço",AN$12&lt;&gt;0,$H572&gt;0,OR(AUTOEVENTO&lt;&gt;"manual",$M572&lt;&gt;1)),ROUND(OFFSET($P572,0,AN$13),15-13*ORÇAMENTO!$AF$7)/$H572*OFFSET(ORÇAMENTO!$X$15,ROW(AN572)-ROW(AN$15),0),0)</f>
        <v>0</v>
      </c>
      <c r="AO572" s="632">
        <f ca="1">IF(AND($D572="Serviço",AO$12&lt;&gt;0,$H572&gt;0,OR(AUTOEVENTO&lt;&gt;"manual",$M572&lt;&gt;1)),ROUND(OFFSET($P572,0,AO$13),15-13*ORÇAMENTO!$AF$7)/$H572*OFFSET(ORÇAMENTO!$X$15,ROW(AO572)-ROW(AO$15),0),0)</f>
        <v>0</v>
      </c>
      <c r="AP572" s="632">
        <f ca="1">IF(AND($D572="Serviço",AP$12&lt;&gt;0,$H572&gt;0,OR(AUTOEVENTO&lt;&gt;"manual",$M572&lt;&gt;1)),ROUND(OFFSET($P572,0,AP$13),15-13*ORÇAMENTO!$AF$7)/$H572*OFFSET(ORÇAMENTO!$X$15,ROW(AP572)-ROW(AP$15),0),0)</f>
        <v>0</v>
      </c>
      <c r="AQ572" s="632">
        <f ca="1">IF(AND($D572="Serviço",AQ$12&lt;&gt;0,$H572&gt;0,OR(AUTOEVENTO&lt;&gt;"manual",$M572&lt;&gt;1)),ROUND(OFFSET($P572,0,AQ$13),15-13*ORÇAMENTO!$AF$7)/$H572*OFFSET(ORÇAMENTO!$X$15,ROW(AQ572)-ROW(AQ$15),0),0)</f>
        <v>0</v>
      </c>
      <c r="AR572" s="632">
        <f ca="1">IF(AND($D572="Serviço",AR$12&lt;&gt;0,$H572&gt;0,OR(AUTOEVENTO&lt;&gt;"manual",$M572&lt;&gt;1)),ROUND(OFFSET($P572,0,AR$13),15-13*ORÇAMENTO!$AF$7)/$H572*OFFSET(ORÇAMENTO!$X$15,ROW(AR572)-ROW(AR$15),0),0)</f>
        <v>0</v>
      </c>
      <c r="AS572" s="633">
        <f ca="1">IF(AND($D572="Serviço",AS$12&lt;&gt;0,$H572&gt;0,OR(AUTOEVENTO&lt;&gt;"manual",$M572&lt;&gt;1)),ROUND(OFFSET($P572,0,AS$13),15-13*ORÇAMENTO!$AF$7)/$H572*OFFSET(ORÇAMENTO!$X$15,ROW(AS572)-ROW(AS$15),0),0)</f>
        <v>0</v>
      </c>
      <c r="AT572" s="632">
        <f ca="1">IF(AND($D572="Serviço",AT$12&lt;&gt;0,$H572&gt;0,OR(AUTOEVENTO&lt;&gt;"manual",$M572&lt;&gt;1)),ROUND(OFFSET($P572,0,AT$13),15-13*ORÇAMENTO!$AF$7)/$H572*OFFSET(ORÇAMENTO!$X$15,ROW(AT572)-ROW(AT$15),0),0)</f>
        <v>0</v>
      </c>
      <c r="AU572" s="632">
        <f ca="1">IF(AND($D572="Serviço",AU$12&lt;&gt;0,$H572&gt;0,OR(AUTOEVENTO&lt;&gt;"manual",$M572&lt;&gt;1)),ROUND(OFFSET($P572,0,AU$13),15-13*ORÇAMENTO!$AF$7)/$H572*OFFSET(ORÇAMENTO!$X$15,ROW(AU572)-ROW(AU$15),0),0)</f>
        <v>0</v>
      </c>
      <c r="AV572" s="632">
        <f ca="1">IF(AND($D572="Serviço",AV$12&lt;&gt;0,$H572&gt;0,OR(AUTOEVENTO&lt;&gt;"manual",$M572&lt;&gt;1)),ROUND(OFFSET($P572,0,AV$13),15-13*ORÇAMENTO!$AF$7)/$H572*OFFSET(ORÇAMENTO!$X$15,ROW(AV572)-ROW(AV$15),0),0)</f>
        <v>0</v>
      </c>
      <c r="AW572" s="632">
        <f ca="1">IF(AND($D572="Serviço",AW$12&lt;&gt;0,$H572&gt;0,OR(AUTOEVENTO&lt;&gt;"manual",$M572&lt;&gt;1)),ROUND(OFFSET($P572,0,AW$13),15-13*ORÇAMENTO!$AF$7)/$H572*OFFSET(ORÇAMENTO!$X$15,ROW(AW572)-ROW(AW$15),0),0)</f>
        <v>0</v>
      </c>
      <c r="AX572" s="632">
        <f ca="1">IF(AND($D572="Serviço",AX$12&lt;&gt;0,$H572&gt;0,OR(AUTOEVENTO&lt;&gt;"manual",$M572&lt;&gt;1)),ROUND(OFFSET($P572,0,AX$13),15-13*ORÇAMENTO!$AF$7)/$H572*OFFSET(ORÇAMENTO!$X$15,ROW(AX572)-ROW(AX$15),0),0)</f>
        <v>0</v>
      </c>
      <c r="AY572" s="632">
        <f ca="1">IF(AND($D572="Serviço",AY$12&lt;&gt;0,$H572&gt;0,OR(AUTOEVENTO&lt;&gt;"manual",$M572&lt;&gt;1)),ROUND(OFFSET($P572,0,AY$13),15-13*ORÇAMENTO!$AF$7)/$H572*OFFSET(ORÇAMENTO!$X$15,ROW(AY572)-ROW(AY$15),0),0)</f>
        <v>0</v>
      </c>
      <c r="AZ572" s="632">
        <f ca="1">IF(AND($D572="Serviço",AZ$12&lt;&gt;0,$H572&gt;0,OR(AUTOEVENTO&lt;&gt;"manual",$M572&lt;&gt;1)),ROUND(OFFSET($P572,0,AZ$13),15-13*ORÇAMENTO!$AF$7)/$H572*OFFSET(ORÇAMENTO!$X$15,ROW(AZ572)-ROW(AZ$15),0),0)</f>
        <v>0</v>
      </c>
      <c r="BA572" s="633">
        <f ca="1">IF(AND($D572="Serviço",BA$12&lt;&gt;0,$H572&gt;0,OR(AUTOEVENTO&lt;&gt;"manual",$M572&lt;&gt;1)),ROUND(OFFSET($P572,0,BA$13),15-13*ORÇAMENTO!$AF$7)/$H572*OFFSET(ORÇAMENTO!$X$15,ROW(BA572)-ROW(BA$15),0),0)</f>
        <v>0</v>
      </c>
      <c r="BC572" s="215">
        <f ca="1">IF($D572&lt;&gt;"Serviço",0,IF(AND(AUTOEVENTO="Manual",$M572=1),0,IF(OFFSET(CRONOPLE!$F$14,$M572,BC$13)="",10^12,OFFSET(CRONOPLE!$F$14,$M572,BC$13))))</f>
        <v>1000000000000</v>
      </c>
      <c r="BD572" s="215">
        <f ca="1">IF($D572&lt;&gt;"Serviço",0,IF(AND(AUTOEVENTO="Manual",$M572=1),0,IF(OFFSET(CRONOPLE!$F$14,$M572,BD$13)="",10^12,OFFSET(CRONOPLE!$F$14,$M572,BD$13))))</f>
        <v>1000000000000</v>
      </c>
      <c r="BE572" s="215">
        <f ca="1">IF($D572&lt;&gt;"Serviço",0,IF(AND(AUTOEVENTO="Manual",$M572=1),0,IF(OFFSET(CRONOPLE!$F$14,$M572,BE$13)="",10^12,OFFSET(CRONOPLE!$F$14,$M572,BE$13))))</f>
        <v>1000000000000</v>
      </c>
      <c r="BF572" s="215">
        <f ca="1">IF($D572&lt;&gt;"Serviço",0,IF(AND(AUTOEVENTO="Manual",$M572=1),0,IF(OFFSET(CRONOPLE!$F$14,$M572,BF$13)="",10^12,OFFSET(CRONOPLE!$F$14,$M572,BF$13))))</f>
        <v>1000000000000</v>
      </c>
      <c r="BG572" s="215">
        <f ca="1">IF($D572&lt;&gt;"Serviço",0,IF(AND(AUTOEVENTO="Manual",$M572=1),0,IF(OFFSET(CRONOPLE!$F$14,$M572,BG$13)="",10^12,OFFSET(CRONOPLE!$F$14,$M572,BG$13))))</f>
        <v>1000000000000</v>
      </c>
      <c r="BH572" s="215">
        <f ca="1">IF($D572&lt;&gt;"Serviço",0,IF(AND(AUTOEVENTO="Manual",$M572=1),0,IF(OFFSET(CRONOPLE!$F$14,$M572,BH$13)="",10^12,OFFSET(CRONOPLE!$F$14,$M572,BH$13))))</f>
        <v>1000000000000</v>
      </c>
      <c r="BI572" s="215">
        <f ca="1">IF($D572&lt;&gt;"Serviço",0,IF(AND(AUTOEVENTO="Manual",$M572=1),0,IF(OFFSET(CRONOPLE!$F$14,$M572,BI$13)="",10^12,OFFSET(CRONOPLE!$F$14,$M572,BI$13))))</f>
        <v>1000000000000</v>
      </c>
      <c r="BJ572" s="215">
        <f ca="1">IF($D572&lt;&gt;"Serviço",0,IF(AND(AUTOEVENTO="Manual",$M572=1),0,IF(OFFSET(CRONOPLE!$F$14,$M572,BJ$13)="",10^12,OFFSET(CRONOPLE!$F$14,$M572,BJ$13))))</f>
        <v>1000000000000</v>
      </c>
      <c r="BK572" s="215">
        <f ca="1">IF($D572&lt;&gt;"Serviço",0,IF(AND(AUTOEVENTO="Manual",$M572=1),0,IF(OFFSET(CRONOPLE!$F$14,$M572,BK$13)="",10^12,OFFSET(CRONOPLE!$F$14,$M572,BK$13))))</f>
        <v>1000000000000</v>
      </c>
      <c r="BL572" s="215">
        <f ca="1">IF($D572&lt;&gt;"Serviço",0,IF(AND(AUTOEVENTO="Manual",$M572=1),0,IF(OFFSET(CRONOPLE!$F$14,$M572,BL$13)="",10^12,OFFSET(CRONOPLE!$F$14,$M572,BL$13))))</f>
        <v>1000000000000</v>
      </c>
      <c r="BM572" s="215">
        <f ca="1">IF($D572&lt;&gt;"Serviço",0,IF(AND(AUTOEVENTO="Manual",$M572=1),0,IF(OFFSET(CRONOPLE!$F$14,$M572,BM$13)="",10^12,OFFSET(CRONOPLE!$F$14,$M572,BM$13))))</f>
        <v>1000000000000</v>
      </c>
      <c r="BN572" s="215">
        <f ca="1">IF($D572&lt;&gt;"Serviço",0,IF(AND(AUTOEVENTO="Manual",$M572=1),0,IF(OFFSET(CRONOPLE!$F$14,$M572,BN$13)="",10^12,OFFSET(CRONOPLE!$F$14,$M572,BN$13))))</f>
        <v>1000000000000</v>
      </c>
      <c r="BO572" s="215">
        <f ca="1">IF($D572&lt;&gt;"Serviço",0,IF(AND(AUTOEVENTO="Manual",$M572=1),0,IF(OFFSET(CRONOPLE!$F$14,$M572,BO$13)="",10^12,OFFSET(CRONOPLE!$F$14,$M572,BO$13))))</f>
        <v>1000000000000</v>
      </c>
      <c r="BP572" s="215">
        <f ca="1">IF($D572&lt;&gt;"Serviço",0,IF(AND(AUTOEVENTO="Manual",$M572=1),0,IF(OFFSET(CRONOPLE!$F$14,$M572,BP$13)="",10^12,OFFSET(CRONOPLE!$F$14,$M572,BP$13))))</f>
        <v>1000000000000</v>
      </c>
      <c r="BQ572" s="215">
        <f ca="1">IF($D572&lt;&gt;"Serviço",0,IF(AND(AUTOEVENTO="Manual",$M572=1),0,IF(OFFSET(CRONOPLE!$F$14,$M572,BQ$13)="",10^12,OFFSET(CRONOPLE!$F$14,$M572,BQ$13))))</f>
        <v>1000000000000</v>
      </c>
      <c r="BR572" s="215">
        <f ca="1">IF($D572&lt;&gt;"Serviço",0,IF(AND(AUTOEVENTO="Manual",$M572=1),0,IF(OFFSET(CRONOPLE!$F$14,$M572,BR$13)="",10^12,OFFSET(CRONOPLE!$F$14,$M572,BR$13))))</f>
        <v>1000000000000</v>
      </c>
      <c r="BS572" s="215">
        <f ca="1">IF($D572&lt;&gt;"Serviço",0,IF(AND(AUTOEVENTO="Manual",$M572=1),0,IF(OFFSET(CRONOPLE!$F$14,$M572,BS$13)="",10^12,OFFSET(CRONOPLE!$F$14,$M572,BS$13))))</f>
        <v>1000000000000</v>
      </c>
      <c r="BT572" s="215">
        <f ca="1">IF($D572&lt;&gt;"Serviço",0,IF(AND(AUTOEVENTO="Manual",$M572=1),0,IF(OFFSET(CRONOPLE!$F$14,$M572,BT$13)="",10^12,OFFSET(CRONOPLE!$F$14,$M572,BT$13))))</f>
        <v>1000000000000</v>
      </c>
      <c r="BV572" s="216">
        <f ca="1">IF($D572&lt;&gt;"Serviço",0,IF(OR(AND(AUTOEVENTO="Manual",$M572=1),$M572&gt;(ROW(PLE.lastrow)-ROW(PLE.firstrow))),0,IF(OFFSET(PLE!$G$14,$M572,BV$13)="",10^12,OFFSET(PLE!$G$14,$M572,BV$13))))</f>
        <v>1000000000000</v>
      </c>
      <c r="BW572" s="216">
        <f ca="1">IF($D572&lt;&gt;"Serviço",0,IF(OR(AND(AUTOEVENTO="Manual",$M572=1),$M572&gt;(ROW(PLE.lastrow)-ROW(PLE.firstrow))),0,IF(OFFSET(PLE!$G$14,$M572,BW$13)="",10^12,OFFSET(PLE!$G$14,$M572,BW$13))))</f>
        <v>1000000000000</v>
      </c>
      <c r="BX572" s="216">
        <f ca="1">IF($D572&lt;&gt;"Serviço",0,IF(OR(AND(AUTOEVENTO="Manual",$M572=1),$M572&gt;(ROW(PLE.lastrow)-ROW(PLE.firstrow))),0,IF(OFFSET(PLE!$G$14,$M572,BX$13)="",10^12,OFFSET(PLE!$G$14,$M572,BX$13))))</f>
        <v>1000000000000</v>
      </c>
      <c r="BY572" s="216">
        <f ca="1">IF($D572&lt;&gt;"Serviço",0,IF(OR(AND(AUTOEVENTO="Manual",$M572=1),$M572&gt;(ROW(PLE.lastrow)-ROW(PLE.firstrow))),0,IF(OFFSET(PLE!$G$14,$M572,BY$13)="",10^12,OFFSET(PLE!$G$14,$M572,BY$13))))</f>
        <v>1000000000000</v>
      </c>
      <c r="BZ572" s="216">
        <f ca="1">IF($D572&lt;&gt;"Serviço",0,IF(OR(AND(AUTOEVENTO="Manual",$M572=1),$M572&gt;(ROW(PLE.lastrow)-ROW(PLE.firstrow))),0,IF(OFFSET(PLE!$G$14,$M572,BZ$13)="",10^12,OFFSET(PLE!$G$14,$M572,BZ$13))))</f>
        <v>1000000000000</v>
      </c>
      <c r="CA572" s="216">
        <f ca="1">IF($D572&lt;&gt;"Serviço",0,IF(OR(AND(AUTOEVENTO="Manual",$M572=1),$M572&gt;(ROW(PLE.lastrow)-ROW(PLE.firstrow))),0,IF(OFFSET(PLE!$G$14,$M572,CA$13)="",10^12,OFFSET(PLE!$G$14,$M572,CA$13))))</f>
        <v>1000000000000</v>
      </c>
      <c r="CB572" s="216">
        <f ca="1">IF($D572&lt;&gt;"Serviço",0,IF(OR(AND(AUTOEVENTO="Manual",$M572=1),$M572&gt;(ROW(PLE.lastrow)-ROW(PLE.firstrow))),0,IF(OFFSET(PLE!$G$14,$M572,CB$13)="",10^12,OFFSET(PLE!$G$14,$M572,CB$13))))</f>
        <v>1000000000000</v>
      </c>
      <c r="CC572" s="216">
        <f ca="1">IF($D572&lt;&gt;"Serviço",0,IF(OR(AND(AUTOEVENTO="Manual",$M572=1),$M572&gt;(ROW(PLE.lastrow)-ROW(PLE.firstrow))),0,IF(OFFSET(PLE!$G$14,$M572,CC$13)="",10^12,OFFSET(PLE!$G$14,$M572,CC$13))))</f>
        <v>1000000000000</v>
      </c>
      <c r="CD572" s="216">
        <f ca="1">IF($D572&lt;&gt;"Serviço",0,IF(OR(AND(AUTOEVENTO="Manual",$M572=1),$M572&gt;(ROW(PLE.lastrow)-ROW(PLE.firstrow))),0,IF(OFFSET(PLE!$G$14,$M572,CD$13)="",10^12,OFFSET(PLE!$G$14,$M572,CD$13))))</f>
        <v>1000000000000</v>
      </c>
      <c r="CE572" s="216">
        <f ca="1">IF($D572&lt;&gt;"Serviço",0,IF(OR(AND(AUTOEVENTO="Manual",$M572=1),$M572&gt;(ROW(PLE.lastrow)-ROW(PLE.firstrow))),0,IF(OFFSET(PLE!$G$14,$M572,CE$13)="",10^12,OFFSET(PLE!$G$14,$M572,CE$13))))</f>
        <v>1000000000000</v>
      </c>
      <c r="CF572" s="216">
        <f ca="1">IF($D572&lt;&gt;"Serviço",0,IF(OR(AND(AUTOEVENTO="Manual",$M572=1),$M572&gt;(ROW(PLE.lastrow)-ROW(PLE.firstrow))),0,IF(OFFSET(PLE!$G$14,$M572,CF$13)="",10^12,OFFSET(PLE!$G$14,$M572,CF$13))))</f>
        <v>1000000000000</v>
      </c>
      <c r="CG572" s="216">
        <f ca="1">IF($D572&lt;&gt;"Serviço",0,IF(OR(AND(AUTOEVENTO="Manual",$M572=1),$M572&gt;(ROW(PLE.lastrow)-ROW(PLE.firstrow))),0,IF(OFFSET(PLE!$G$14,$M572,CG$13)="",10^12,OFFSET(PLE!$G$14,$M572,CG$13))))</f>
        <v>1000000000000</v>
      </c>
      <c r="CH572" s="216">
        <f ca="1">IF($D572&lt;&gt;"Serviço",0,IF(OR(AND(AUTOEVENTO="Manual",$M572=1),$M572&gt;(ROW(PLE.lastrow)-ROW(PLE.firstrow))),0,IF(OFFSET(PLE!$G$14,$M572,CH$13)="",10^12,OFFSET(PLE!$G$14,$M572,CH$13))))</f>
        <v>1000000000000</v>
      </c>
      <c r="CI572" s="216">
        <f ca="1">IF($D572&lt;&gt;"Serviço",0,IF(OR(AND(AUTOEVENTO="Manual",$M572=1),$M572&gt;(ROW(PLE.lastrow)-ROW(PLE.firstrow))),0,IF(OFFSET(PLE!$G$14,$M572,CI$13)="",10^12,OFFSET(PLE!$G$14,$M572,CI$13))))</f>
        <v>1000000000000</v>
      </c>
      <c r="CJ572" s="216">
        <f ca="1">IF($D572&lt;&gt;"Serviço",0,IF(OR(AND(AUTOEVENTO="Manual",$M572=1),$M572&gt;(ROW(PLE.lastrow)-ROW(PLE.firstrow))),0,IF(OFFSET(PLE!$G$14,$M572,CJ$13)="",10^12,OFFSET(PLE!$G$14,$M572,CJ$13))))</f>
        <v>1000000000000</v>
      </c>
      <c r="CK572" s="216">
        <f ca="1">IF($D572&lt;&gt;"Serviço",0,IF(OR(AND(AUTOEVENTO="Manual",$M572=1),$M572&gt;(ROW(PLE.lastrow)-ROW(PLE.firstrow))),0,IF(OFFSET(PLE!$G$14,$M572,CK$13)="",10^12,OFFSET(PLE!$G$14,$M572,CK$13))))</f>
        <v>1000000000000</v>
      </c>
      <c r="CL572" s="216">
        <f ca="1">IF($D572&lt;&gt;"Serviço",0,IF(OR(AND(AUTOEVENTO="Manual",$M572=1),$M572&gt;(ROW(PLE.lastrow)-ROW(PLE.firstrow))),0,IF(OFFSET(PLE!$G$14,$M572,CL$13)="",10^12,OFFSET(PLE!$G$14,$M572,CL$13))))</f>
        <v>1000000000000</v>
      </c>
      <c r="CM572" s="216">
        <f ca="1">IF($D572&lt;&gt;"Serviço",0,IF(OR(AND(AUTOEVENTO="Manual",$M572=1),$M572&gt;(ROW(PLE.lastrow)-ROW(PLE.firstrow))),0,IF(OFFSET(PLE!$G$14,$M572,CM$13)="",10^12,OFFSET(PLE!$G$14,$M572,CM$13))))</f>
        <v>1000000000000</v>
      </c>
    </row>
    <row r="573" spans="1:91" ht="13.2" x14ac:dyDescent="0.25">
      <c r="A573" s="9">
        <f t="shared" ca="1" si="17"/>
        <v>0</v>
      </c>
      <c r="B573" s="9" t="str">
        <f ca="1">OFFSET(ORÇAMENTO!C$15,ROW(B573)-ROW(B$15),0)</f>
        <v>S</v>
      </c>
      <c r="C573" s="9" t="str">
        <f ca="1">OFFSET(ORÇAMENTO!L$15,ROW(C573)-ROW(C$15),0)</f>
        <v/>
      </c>
      <c r="D573" s="145" t="str">
        <f ca="1">OFFSET(ORÇAMENTO!N$15,ROW(D573)-ROW(D$15),0)</f>
        <v>Serviço</v>
      </c>
      <c r="E573" s="205" t="str">
        <f ca="1">OFFSET(ORÇAMENTO!O$15,ROW(E573)-ROW(E$15),0)</f>
        <v>-</v>
      </c>
      <c r="F573" s="206" t="str">
        <f ca="1">OFFSET(ORÇAMENTO!R$15,ROW(F573)-ROW(F$15),0)</f>
        <v>(abra o arquivo 'Referência 05-2024.xls)</v>
      </c>
      <c r="G573" s="207" t="str">
        <f ca="1">IF($D573&lt;&gt;"Serviço","",OFFSET(ORÇAMENTO!S$15,ROW(G573)-ROW(G$15),0))</f>
        <v>-</v>
      </c>
      <c r="H573" s="151">
        <f ca="1">IF($D573&lt;&gt;"Serviço",0,IF(ACOMPANHAMENTO="BM",ROUND(OFFSET(ORÇAMENTO!AJ$15,ROW(H573)-ROW(H$15),0),15-13*ORÇAMENTO!$AF$7),SUMPRODUCT(($Q$12:$AI$12&lt;&gt;"")*ROUND($Q573:$AI573,15-13*ORÇAMENTO!$AF$7))))</f>
        <v>16</v>
      </c>
      <c r="I573" s="650"/>
      <c r="K573" s="208"/>
      <c r="L573" s="209" t="s">
        <v>257</v>
      </c>
      <c r="M573" s="210">
        <f ca="1">IF($D573&lt;&gt;"Serviço","",IF(AUTOEVENTO="manual",$A573,IF(ISERROR(MATCH($A573,$A$15:OFFSET($A573,-1,0),0)),MAX($M$15:OFFSET(M573,-1,0))+1,INDEX($M$15:OFFSET(M573,-1,0),MATCH($A573,$A$15:OFFSET($A573,-1,0),0)))))</f>
        <v>0</v>
      </c>
      <c r="N573" s="211" t="str">
        <f ca="1">IF($D573&lt;&gt;"Serviço","",IF(AUTOEVENTO="Manual",IF($A573=0,"&lt;-- defina o número do agrupador",OFFSET(EVENTOS!$D$14,$A573,0)),OFFSET($F$15,$A573,0)))</f>
        <v>&lt;-- defina o número do agrupador</v>
      </c>
      <c r="O573" s="212"/>
      <c r="Q573" s="212"/>
      <c r="R573" s="213"/>
      <c r="S573" s="213"/>
      <c r="T573" s="213"/>
      <c r="U573" s="213"/>
      <c r="V573" s="213"/>
      <c r="W573" s="213"/>
      <c r="X573" s="213"/>
      <c r="Y573" s="213"/>
      <c r="Z573" s="214"/>
      <c r="AA573" s="213"/>
      <c r="AB573" s="213"/>
      <c r="AC573" s="213"/>
      <c r="AD573" s="213"/>
      <c r="AE573" s="213"/>
      <c r="AF573" s="213"/>
      <c r="AG573" s="213"/>
      <c r="AH573" s="214"/>
      <c r="AJ573" s="631">
        <f ca="1">IF(AND($D573="Serviço",AJ$12&lt;&gt;0,$H573&gt;0,OR(AUTOEVENTO&lt;&gt;"manual",$M573&lt;&gt;1)),ROUND(OFFSET($P573,0,AJ$13),15-13*ORÇAMENTO!$AF$7)/$H573*OFFSET(ORÇAMENTO!$X$15,ROW(AJ573)-ROW(AJ$15),0),0)</f>
        <v>0</v>
      </c>
      <c r="AK573" s="632">
        <f ca="1">IF(AND($D573="Serviço",AK$12&lt;&gt;0,$H573&gt;0,OR(AUTOEVENTO&lt;&gt;"manual",$M573&lt;&gt;1)),ROUND(OFFSET($P573,0,AK$13),15-13*ORÇAMENTO!$AF$7)/$H573*OFFSET(ORÇAMENTO!$X$15,ROW(AK573)-ROW(AK$15),0),0)</f>
        <v>0</v>
      </c>
      <c r="AL573" s="632">
        <f ca="1">IF(AND($D573="Serviço",AL$12&lt;&gt;0,$H573&gt;0,OR(AUTOEVENTO&lt;&gt;"manual",$M573&lt;&gt;1)),ROUND(OFFSET($P573,0,AL$13),15-13*ORÇAMENTO!$AF$7)/$H573*OFFSET(ORÇAMENTO!$X$15,ROW(AL573)-ROW(AL$15),0),0)</f>
        <v>0</v>
      </c>
      <c r="AM573" s="632">
        <f ca="1">IF(AND($D573="Serviço",AM$12&lt;&gt;0,$H573&gt;0,OR(AUTOEVENTO&lt;&gt;"manual",$M573&lt;&gt;1)),ROUND(OFFSET($P573,0,AM$13),15-13*ORÇAMENTO!$AF$7)/$H573*OFFSET(ORÇAMENTO!$X$15,ROW(AM573)-ROW(AM$15),0),0)</f>
        <v>0</v>
      </c>
      <c r="AN573" s="632">
        <f ca="1">IF(AND($D573="Serviço",AN$12&lt;&gt;0,$H573&gt;0,OR(AUTOEVENTO&lt;&gt;"manual",$M573&lt;&gt;1)),ROUND(OFFSET($P573,0,AN$13),15-13*ORÇAMENTO!$AF$7)/$H573*OFFSET(ORÇAMENTO!$X$15,ROW(AN573)-ROW(AN$15),0),0)</f>
        <v>0</v>
      </c>
      <c r="AO573" s="632">
        <f ca="1">IF(AND($D573="Serviço",AO$12&lt;&gt;0,$H573&gt;0,OR(AUTOEVENTO&lt;&gt;"manual",$M573&lt;&gt;1)),ROUND(OFFSET($P573,0,AO$13),15-13*ORÇAMENTO!$AF$7)/$H573*OFFSET(ORÇAMENTO!$X$15,ROW(AO573)-ROW(AO$15),0),0)</f>
        <v>0</v>
      </c>
      <c r="AP573" s="632">
        <f ca="1">IF(AND($D573="Serviço",AP$12&lt;&gt;0,$H573&gt;0,OR(AUTOEVENTO&lt;&gt;"manual",$M573&lt;&gt;1)),ROUND(OFFSET($P573,0,AP$13),15-13*ORÇAMENTO!$AF$7)/$H573*OFFSET(ORÇAMENTO!$X$15,ROW(AP573)-ROW(AP$15),0),0)</f>
        <v>0</v>
      </c>
      <c r="AQ573" s="632">
        <f ca="1">IF(AND($D573="Serviço",AQ$12&lt;&gt;0,$H573&gt;0,OR(AUTOEVENTO&lt;&gt;"manual",$M573&lt;&gt;1)),ROUND(OFFSET($P573,0,AQ$13),15-13*ORÇAMENTO!$AF$7)/$H573*OFFSET(ORÇAMENTO!$X$15,ROW(AQ573)-ROW(AQ$15),0),0)</f>
        <v>0</v>
      </c>
      <c r="AR573" s="632">
        <f ca="1">IF(AND($D573="Serviço",AR$12&lt;&gt;0,$H573&gt;0,OR(AUTOEVENTO&lt;&gt;"manual",$M573&lt;&gt;1)),ROUND(OFFSET($P573,0,AR$13),15-13*ORÇAMENTO!$AF$7)/$H573*OFFSET(ORÇAMENTO!$X$15,ROW(AR573)-ROW(AR$15),0),0)</f>
        <v>0</v>
      </c>
      <c r="AS573" s="633">
        <f ca="1">IF(AND($D573="Serviço",AS$12&lt;&gt;0,$H573&gt;0,OR(AUTOEVENTO&lt;&gt;"manual",$M573&lt;&gt;1)),ROUND(OFFSET($P573,0,AS$13),15-13*ORÇAMENTO!$AF$7)/$H573*OFFSET(ORÇAMENTO!$X$15,ROW(AS573)-ROW(AS$15),0),0)</f>
        <v>0</v>
      </c>
      <c r="AT573" s="632">
        <f ca="1">IF(AND($D573="Serviço",AT$12&lt;&gt;0,$H573&gt;0,OR(AUTOEVENTO&lt;&gt;"manual",$M573&lt;&gt;1)),ROUND(OFFSET($P573,0,AT$13),15-13*ORÇAMENTO!$AF$7)/$H573*OFFSET(ORÇAMENTO!$X$15,ROW(AT573)-ROW(AT$15),0),0)</f>
        <v>0</v>
      </c>
      <c r="AU573" s="632">
        <f ca="1">IF(AND($D573="Serviço",AU$12&lt;&gt;0,$H573&gt;0,OR(AUTOEVENTO&lt;&gt;"manual",$M573&lt;&gt;1)),ROUND(OFFSET($P573,0,AU$13),15-13*ORÇAMENTO!$AF$7)/$H573*OFFSET(ORÇAMENTO!$X$15,ROW(AU573)-ROW(AU$15),0),0)</f>
        <v>0</v>
      </c>
      <c r="AV573" s="632">
        <f ca="1">IF(AND($D573="Serviço",AV$12&lt;&gt;0,$H573&gt;0,OR(AUTOEVENTO&lt;&gt;"manual",$M573&lt;&gt;1)),ROUND(OFFSET($P573,0,AV$13),15-13*ORÇAMENTO!$AF$7)/$H573*OFFSET(ORÇAMENTO!$X$15,ROW(AV573)-ROW(AV$15),0),0)</f>
        <v>0</v>
      </c>
      <c r="AW573" s="632">
        <f ca="1">IF(AND($D573="Serviço",AW$12&lt;&gt;0,$H573&gt;0,OR(AUTOEVENTO&lt;&gt;"manual",$M573&lt;&gt;1)),ROUND(OFFSET($P573,0,AW$13),15-13*ORÇAMENTO!$AF$7)/$H573*OFFSET(ORÇAMENTO!$X$15,ROW(AW573)-ROW(AW$15),0),0)</f>
        <v>0</v>
      </c>
      <c r="AX573" s="632">
        <f ca="1">IF(AND($D573="Serviço",AX$12&lt;&gt;0,$H573&gt;0,OR(AUTOEVENTO&lt;&gt;"manual",$M573&lt;&gt;1)),ROUND(OFFSET($P573,0,AX$13),15-13*ORÇAMENTO!$AF$7)/$H573*OFFSET(ORÇAMENTO!$X$15,ROW(AX573)-ROW(AX$15),0),0)</f>
        <v>0</v>
      </c>
      <c r="AY573" s="632">
        <f ca="1">IF(AND($D573="Serviço",AY$12&lt;&gt;0,$H573&gt;0,OR(AUTOEVENTO&lt;&gt;"manual",$M573&lt;&gt;1)),ROUND(OFFSET($P573,0,AY$13),15-13*ORÇAMENTO!$AF$7)/$H573*OFFSET(ORÇAMENTO!$X$15,ROW(AY573)-ROW(AY$15),0),0)</f>
        <v>0</v>
      </c>
      <c r="AZ573" s="632">
        <f ca="1">IF(AND($D573="Serviço",AZ$12&lt;&gt;0,$H573&gt;0,OR(AUTOEVENTO&lt;&gt;"manual",$M573&lt;&gt;1)),ROUND(OFFSET($P573,0,AZ$13),15-13*ORÇAMENTO!$AF$7)/$H573*OFFSET(ORÇAMENTO!$X$15,ROW(AZ573)-ROW(AZ$15),0),0)</f>
        <v>0</v>
      </c>
      <c r="BA573" s="633">
        <f ca="1">IF(AND($D573="Serviço",BA$12&lt;&gt;0,$H573&gt;0,OR(AUTOEVENTO&lt;&gt;"manual",$M573&lt;&gt;1)),ROUND(OFFSET($P573,0,BA$13),15-13*ORÇAMENTO!$AF$7)/$H573*OFFSET(ORÇAMENTO!$X$15,ROW(BA573)-ROW(BA$15),0),0)</f>
        <v>0</v>
      </c>
      <c r="BC573" s="215">
        <f ca="1">IF($D573&lt;&gt;"Serviço",0,IF(AND(AUTOEVENTO="Manual",$M573=1),0,IF(OFFSET(CRONOPLE!$F$14,$M573,BC$13)="",10^12,OFFSET(CRONOPLE!$F$14,$M573,BC$13))))</f>
        <v>1000000000000</v>
      </c>
      <c r="BD573" s="215">
        <f ca="1">IF($D573&lt;&gt;"Serviço",0,IF(AND(AUTOEVENTO="Manual",$M573=1),0,IF(OFFSET(CRONOPLE!$F$14,$M573,BD$13)="",10^12,OFFSET(CRONOPLE!$F$14,$M573,BD$13))))</f>
        <v>1000000000000</v>
      </c>
      <c r="BE573" s="215">
        <f ca="1">IF($D573&lt;&gt;"Serviço",0,IF(AND(AUTOEVENTO="Manual",$M573=1),0,IF(OFFSET(CRONOPLE!$F$14,$M573,BE$13)="",10^12,OFFSET(CRONOPLE!$F$14,$M573,BE$13))))</f>
        <v>1000000000000</v>
      </c>
      <c r="BF573" s="215">
        <f ca="1">IF($D573&lt;&gt;"Serviço",0,IF(AND(AUTOEVENTO="Manual",$M573=1),0,IF(OFFSET(CRONOPLE!$F$14,$M573,BF$13)="",10^12,OFFSET(CRONOPLE!$F$14,$M573,BF$13))))</f>
        <v>1000000000000</v>
      </c>
      <c r="BG573" s="215">
        <f ca="1">IF($D573&lt;&gt;"Serviço",0,IF(AND(AUTOEVENTO="Manual",$M573=1),0,IF(OFFSET(CRONOPLE!$F$14,$M573,BG$13)="",10^12,OFFSET(CRONOPLE!$F$14,$M573,BG$13))))</f>
        <v>1000000000000</v>
      </c>
      <c r="BH573" s="215">
        <f ca="1">IF($D573&lt;&gt;"Serviço",0,IF(AND(AUTOEVENTO="Manual",$M573=1),0,IF(OFFSET(CRONOPLE!$F$14,$M573,BH$13)="",10^12,OFFSET(CRONOPLE!$F$14,$M573,BH$13))))</f>
        <v>1000000000000</v>
      </c>
      <c r="BI573" s="215">
        <f ca="1">IF($D573&lt;&gt;"Serviço",0,IF(AND(AUTOEVENTO="Manual",$M573=1),0,IF(OFFSET(CRONOPLE!$F$14,$M573,BI$13)="",10^12,OFFSET(CRONOPLE!$F$14,$M573,BI$13))))</f>
        <v>1000000000000</v>
      </c>
      <c r="BJ573" s="215">
        <f ca="1">IF($D573&lt;&gt;"Serviço",0,IF(AND(AUTOEVENTO="Manual",$M573=1),0,IF(OFFSET(CRONOPLE!$F$14,$M573,BJ$13)="",10^12,OFFSET(CRONOPLE!$F$14,$M573,BJ$13))))</f>
        <v>1000000000000</v>
      </c>
      <c r="BK573" s="215">
        <f ca="1">IF($D573&lt;&gt;"Serviço",0,IF(AND(AUTOEVENTO="Manual",$M573=1),0,IF(OFFSET(CRONOPLE!$F$14,$M573,BK$13)="",10^12,OFFSET(CRONOPLE!$F$14,$M573,BK$13))))</f>
        <v>1000000000000</v>
      </c>
      <c r="BL573" s="215">
        <f ca="1">IF($D573&lt;&gt;"Serviço",0,IF(AND(AUTOEVENTO="Manual",$M573=1),0,IF(OFFSET(CRONOPLE!$F$14,$M573,BL$13)="",10^12,OFFSET(CRONOPLE!$F$14,$M573,BL$13))))</f>
        <v>1000000000000</v>
      </c>
      <c r="BM573" s="215">
        <f ca="1">IF($D573&lt;&gt;"Serviço",0,IF(AND(AUTOEVENTO="Manual",$M573=1),0,IF(OFFSET(CRONOPLE!$F$14,$M573,BM$13)="",10^12,OFFSET(CRONOPLE!$F$14,$M573,BM$13))))</f>
        <v>1000000000000</v>
      </c>
      <c r="BN573" s="215">
        <f ca="1">IF($D573&lt;&gt;"Serviço",0,IF(AND(AUTOEVENTO="Manual",$M573=1),0,IF(OFFSET(CRONOPLE!$F$14,$M573,BN$13)="",10^12,OFFSET(CRONOPLE!$F$14,$M573,BN$13))))</f>
        <v>1000000000000</v>
      </c>
      <c r="BO573" s="215">
        <f ca="1">IF($D573&lt;&gt;"Serviço",0,IF(AND(AUTOEVENTO="Manual",$M573=1),0,IF(OFFSET(CRONOPLE!$F$14,$M573,BO$13)="",10^12,OFFSET(CRONOPLE!$F$14,$M573,BO$13))))</f>
        <v>1000000000000</v>
      </c>
      <c r="BP573" s="215">
        <f ca="1">IF($D573&lt;&gt;"Serviço",0,IF(AND(AUTOEVENTO="Manual",$M573=1),0,IF(OFFSET(CRONOPLE!$F$14,$M573,BP$13)="",10^12,OFFSET(CRONOPLE!$F$14,$M573,BP$13))))</f>
        <v>1000000000000</v>
      </c>
      <c r="BQ573" s="215">
        <f ca="1">IF($D573&lt;&gt;"Serviço",0,IF(AND(AUTOEVENTO="Manual",$M573=1),0,IF(OFFSET(CRONOPLE!$F$14,$M573,BQ$13)="",10^12,OFFSET(CRONOPLE!$F$14,$M573,BQ$13))))</f>
        <v>1000000000000</v>
      </c>
      <c r="BR573" s="215">
        <f ca="1">IF($D573&lt;&gt;"Serviço",0,IF(AND(AUTOEVENTO="Manual",$M573=1),0,IF(OFFSET(CRONOPLE!$F$14,$M573,BR$13)="",10^12,OFFSET(CRONOPLE!$F$14,$M573,BR$13))))</f>
        <v>1000000000000</v>
      </c>
      <c r="BS573" s="215">
        <f ca="1">IF($D573&lt;&gt;"Serviço",0,IF(AND(AUTOEVENTO="Manual",$M573=1),0,IF(OFFSET(CRONOPLE!$F$14,$M573,BS$13)="",10^12,OFFSET(CRONOPLE!$F$14,$M573,BS$13))))</f>
        <v>1000000000000</v>
      </c>
      <c r="BT573" s="215">
        <f ca="1">IF($D573&lt;&gt;"Serviço",0,IF(AND(AUTOEVENTO="Manual",$M573=1),0,IF(OFFSET(CRONOPLE!$F$14,$M573,BT$13)="",10^12,OFFSET(CRONOPLE!$F$14,$M573,BT$13))))</f>
        <v>1000000000000</v>
      </c>
      <c r="BV573" s="216">
        <f ca="1">IF($D573&lt;&gt;"Serviço",0,IF(OR(AND(AUTOEVENTO="Manual",$M573=1),$M573&gt;(ROW(PLE.lastrow)-ROW(PLE.firstrow))),0,IF(OFFSET(PLE!$G$14,$M573,BV$13)="",10^12,OFFSET(PLE!$G$14,$M573,BV$13))))</f>
        <v>1000000000000</v>
      </c>
      <c r="BW573" s="216">
        <f ca="1">IF($D573&lt;&gt;"Serviço",0,IF(OR(AND(AUTOEVENTO="Manual",$M573=1),$M573&gt;(ROW(PLE.lastrow)-ROW(PLE.firstrow))),0,IF(OFFSET(PLE!$G$14,$M573,BW$13)="",10^12,OFFSET(PLE!$G$14,$M573,BW$13))))</f>
        <v>1000000000000</v>
      </c>
      <c r="BX573" s="216">
        <f ca="1">IF($D573&lt;&gt;"Serviço",0,IF(OR(AND(AUTOEVENTO="Manual",$M573=1),$M573&gt;(ROW(PLE.lastrow)-ROW(PLE.firstrow))),0,IF(OFFSET(PLE!$G$14,$M573,BX$13)="",10^12,OFFSET(PLE!$G$14,$M573,BX$13))))</f>
        <v>1000000000000</v>
      </c>
      <c r="BY573" s="216">
        <f ca="1">IF($D573&lt;&gt;"Serviço",0,IF(OR(AND(AUTOEVENTO="Manual",$M573=1),$M573&gt;(ROW(PLE.lastrow)-ROW(PLE.firstrow))),0,IF(OFFSET(PLE!$G$14,$M573,BY$13)="",10^12,OFFSET(PLE!$G$14,$M573,BY$13))))</f>
        <v>1000000000000</v>
      </c>
      <c r="BZ573" s="216">
        <f ca="1">IF($D573&lt;&gt;"Serviço",0,IF(OR(AND(AUTOEVENTO="Manual",$M573=1),$M573&gt;(ROW(PLE.lastrow)-ROW(PLE.firstrow))),0,IF(OFFSET(PLE!$G$14,$M573,BZ$13)="",10^12,OFFSET(PLE!$G$14,$M573,BZ$13))))</f>
        <v>1000000000000</v>
      </c>
      <c r="CA573" s="216">
        <f ca="1">IF($D573&lt;&gt;"Serviço",0,IF(OR(AND(AUTOEVENTO="Manual",$M573=1),$M573&gt;(ROW(PLE.lastrow)-ROW(PLE.firstrow))),0,IF(OFFSET(PLE!$G$14,$M573,CA$13)="",10^12,OFFSET(PLE!$G$14,$M573,CA$13))))</f>
        <v>1000000000000</v>
      </c>
      <c r="CB573" s="216">
        <f ca="1">IF($D573&lt;&gt;"Serviço",0,IF(OR(AND(AUTOEVENTO="Manual",$M573=1),$M573&gt;(ROW(PLE.lastrow)-ROW(PLE.firstrow))),0,IF(OFFSET(PLE!$G$14,$M573,CB$13)="",10^12,OFFSET(PLE!$G$14,$M573,CB$13))))</f>
        <v>1000000000000</v>
      </c>
      <c r="CC573" s="216">
        <f ca="1">IF($D573&lt;&gt;"Serviço",0,IF(OR(AND(AUTOEVENTO="Manual",$M573=1),$M573&gt;(ROW(PLE.lastrow)-ROW(PLE.firstrow))),0,IF(OFFSET(PLE!$G$14,$M573,CC$13)="",10^12,OFFSET(PLE!$G$14,$M573,CC$13))))</f>
        <v>1000000000000</v>
      </c>
      <c r="CD573" s="216">
        <f ca="1">IF($D573&lt;&gt;"Serviço",0,IF(OR(AND(AUTOEVENTO="Manual",$M573=1),$M573&gt;(ROW(PLE.lastrow)-ROW(PLE.firstrow))),0,IF(OFFSET(PLE!$G$14,$M573,CD$13)="",10^12,OFFSET(PLE!$G$14,$M573,CD$13))))</f>
        <v>1000000000000</v>
      </c>
      <c r="CE573" s="216">
        <f ca="1">IF($D573&lt;&gt;"Serviço",0,IF(OR(AND(AUTOEVENTO="Manual",$M573=1),$M573&gt;(ROW(PLE.lastrow)-ROW(PLE.firstrow))),0,IF(OFFSET(PLE!$G$14,$M573,CE$13)="",10^12,OFFSET(PLE!$G$14,$M573,CE$13))))</f>
        <v>1000000000000</v>
      </c>
      <c r="CF573" s="216">
        <f ca="1">IF($D573&lt;&gt;"Serviço",0,IF(OR(AND(AUTOEVENTO="Manual",$M573=1),$M573&gt;(ROW(PLE.lastrow)-ROW(PLE.firstrow))),0,IF(OFFSET(PLE!$G$14,$M573,CF$13)="",10^12,OFFSET(PLE!$G$14,$M573,CF$13))))</f>
        <v>1000000000000</v>
      </c>
      <c r="CG573" s="216">
        <f ca="1">IF($D573&lt;&gt;"Serviço",0,IF(OR(AND(AUTOEVENTO="Manual",$M573=1),$M573&gt;(ROW(PLE.lastrow)-ROW(PLE.firstrow))),0,IF(OFFSET(PLE!$G$14,$M573,CG$13)="",10^12,OFFSET(PLE!$G$14,$M573,CG$13))))</f>
        <v>1000000000000</v>
      </c>
      <c r="CH573" s="216">
        <f ca="1">IF($D573&lt;&gt;"Serviço",0,IF(OR(AND(AUTOEVENTO="Manual",$M573=1),$M573&gt;(ROW(PLE.lastrow)-ROW(PLE.firstrow))),0,IF(OFFSET(PLE!$G$14,$M573,CH$13)="",10^12,OFFSET(PLE!$G$14,$M573,CH$13))))</f>
        <v>1000000000000</v>
      </c>
      <c r="CI573" s="216">
        <f ca="1">IF($D573&lt;&gt;"Serviço",0,IF(OR(AND(AUTOEVENTO="Manual",$M573=1),$M573&gt;(ROW(PLE.lastrow)-ROW(PLE.firstrow))),0,IF(OFFSET(PLE!$G$14,$M573,CI$13)="",10^12,OFFSET(PLE!$G$14,$M573,CI$13))))</f>
        <v>1000000000000</v>
      </c>
      <c r="CJ573" s="216">
        <f ca="1">IF($D573&lt;&gt;"Serviço",0,IF(OR(AND(AUTOEVENTO="Manual",$M573=1),$M573&gt;(ROW(PLE.lastrow)-ROW(PLE.firstrow))),0,IF(OFFSET(PLE!$G$14,$M573,CJ$13)="",10^12,OFFSET(PLE!$G$14,$M573,CJ$13))))</f>
        <v>1000000000000</v>
      </c>
      <c r="CK573" s="216">
        <f ca="1">IF($D573&lt;&gt;"Serviço",0,IF(OR(AND(AUTOEVENTO="Manual",$M573=1),$M573&gt;(ROW(PLE.lastrow)-ROW(PLE.firstrow))),0,IF(OFFSET(PLE!$G$14,$M573,CK$13)="",10^12,OFFSET(PLE!$G$14,$M573,CK$13))))</f>
        <v>1000000000000</v>
      </c>
      <c r="CL573" s="216">
        <f ca="1">IF($D573&lt;&gt;"Serviço",0,IF(OR(AND(AUTOEVENTO="Manual",$M573=1),$M573&gt;(ROW(PLE.lastrow)-ROW(PLE.firstrow))),0,IF(OFFSET(PLE!$G$14,$M573,CL$13)="",10^12,OFFSET(PLE!$G$14,$M573,CL$13))))</f>
        <v>1000000000000</v>
      </c>
      <c r="CM573" s="216">
        <f ca="1">IF($D573&lt;&gt;"Serviço",0,IF(OR(AND(AUTOEVENTO="Manual",$M573=1),$M573&gt;(ROW(PLE.lastrow)-ROW(PLE.firstrow))),0,IF(OFFSET(PLE!$G$14,$M573,CM$13)="",10^12,OFFSET(PLE!$G$14,$M573,CM$13))))</f>
        <v>1000000000000</v>
      </c>
    </row>
    <row r="574" spans="1:91" ht="13.2" x14ac:dyDescent="0.25">
      <c r="A574" s="9">
        <f t="shared" ca="1" si="17"/>
        <v>0</v>
      </c>
      <c r="B574" s="9" t="str">
        <f ca="1">OFFSET(ORÇAMENTO!C$15,ROW(B574)-ROW(B$15),0)</f>
        <v>S</v>
      </c>
      <c r="C574" s="9" t="str">
        <f ca="1">OFFSET(ORÇAMENTO!L$15,ROW(C574)-ROW(C$15),0)</f>
        <v/>
      </c>
      <c r="D574" s="145" t="str">
        <f ca="1">OFFSET(ORÇAMENTO!N$15,ROW(D574)-ROW(D$15),0)</f>
        <v>Serviço</v>
      </c>
      <c r="E574" s="205" t="str">
        <f ca="1">OFFSET(ORÇAMENTO!O$15,ROW(E574)-ROW(E$15),0)</f>
        <v>-</v>
      </c>
      <c r="F574" s="206" t="str">
        <f ca="1">OFFSET(ORÇAMENTO!R$15,ROW(F574)-ROW(F$15),0)</f>
        <v>(abra o arquivo 'Referência 05-2024.xls)</v>
      </c>
      <c r="G574" s="207" t="str">
        <f ca="1">IF($D574&lt;&gt;"Serviço","",OFFSET(ORÇAMENTO!S$15,ROW(G574)-ROW(G$15),0))</f>
        <v>-</v>
      </c>
      <c r="H574" s="151">
        <f ca="1">IF($D574&lt;&gt;"Serviço",0,IF(ACOMPANHAMENTO="BM",ROUND(OFFSET(ORÇAMENTO!AJ$15,ROW(H574)-ROW(H$15),0),15-13*ORÇAMENTO!$AF$7),SUMPRODUCT(($Q$12:$AI$12&lt;&gt;"")*ROUND($Q574:$AI574,15-13*ORÇAMENTO!$AF$7))))</f>
        <v>35</v>
      </c>
      <c r="I574" s="650"/>
      <c r="K574" s="208"/>
      <c r="L574" s="209" t="s">
        <v>257</v>
      </c>
      <c r="M574" s="210">
        <f ca="1">IF($D574&lt;&gt;"Serviço","",IF(AUTOEVENTO="manual",$A574,IF(ISERROR(MATCH($A574,$A$15:OFFSET($A574,-1,0),0)),MAX($M$15:OFFSET(M574,-1,0))+1,INDEX($M$15:OFFSET(M574,-1,0),MATCH($A574,$A$15:OFFSET($A574,-1,0),0)))))</f>
        <v>0</v>
      </c>
      <c r="N574" s="211" t="str">
        <f ca="1">IF($D574&lt;&gt;"Serviço","",IF(AUTOEVENTO="Manual",IF($A574=0,"&lt;-- defina o número do agrupador",OFFSET(EVENTOS!$D$14,$A574,0)),OFFSET($F$15,$A574,0)))</f>
        <v>&lt;-- defina o número do agrupador</v>
      </c>
      <c r="O574" s="212"/>
      <c r="Q574" s="212"/>
      <c r="R574" s="213"/>
      <c r="S574" s="213"/>
      <c r="T574" s="213"/>
      <c r="U574" s="213"/>
      <c r="V574" s="213"/>
      <c r="W574" s="213"/>
      <c r="X574" s="213"/>
      <c r="Y574" s="213"/>
      <c r="Z574" s="214"/>
      <c r="AA574" s="213"/>
      <c r="AB574" s="213"/>
      <c r="AC574" s="213"/>
      <c r="AD574" s="213"/>
      <c r="AE574" s="213"/>
      <c r="AF574" s="213"/>
      <c r="AG574" s="213"/>
      <c r="AH574" s="214"/>
      <c r="AJ574" s="631">
        <f ca="1">IF(AND($D574="Serviço",AJ$12&lt;&gt;0,$H574&gt;0,OR(AUTOEVENTO&lt;&gt;"manual",$M574&lt;&gt;1)),ROUND(OFFSET($P574,0,AJ$13),15-13*ORÇAMENTO!$AF$7)/$H574*OFFSET(ORÇAMENTO!$X$15,ROW(AJ574)-ROW(AJ$15),0),0)</f>
        <v>0</v>
      </c>
      <c r="AK574" s="632">
        <f ca="1">IF(AND($D574="Serviço",AK$12&lt;&gt;0,$H574&gt;0,OR(AUTOEVENTO&lt;&gt;"manual",$M574&lt;&gt;1)),ROUND(OFFSET($P574,0,AK$13),15-13*ORÇAMENTO!$AF$7)/$H574*OFFSET(ORÇAMENTO!$X$15,ROW(AK574)-ROW(AK$15),0),0)</f>
        <v>0</v>
      </c>
      <c r="AL574" s="632">
        <f ca="1">IF(AND($D574="Serviço",AL$12&lt;&gt;0,$H574&gt;0,OR(AUTOEVENTO&lt;&gt;"manual",$M574&lt;&gt;1)),ROUND(OFFSET($P574,0,AL$13),15-13*ORÇAMENTO!$AF$7)/$H574*OFFSET(ORÇAMENTO!$X$15,ROW(AL574)-ROW(AL$15),0),0)</f>
        <v>0</v>
      </c>
      <c r="AM574" s="632">
        <f ca="1">IF(AND($D574="Serviço",AM$12&lt;&gt;0,$H574&gt;0,OR(AUTOEVENTO&lt;&gt;"manual",$M574&lt;&gt;1)),ROUND(OFFSET($P574,0,AM$13),15-13*ORÇAMENTO!$AF$7)/$H574*OFFSET(ORÇAMENTO!$X$15,ROW(AM574)-ROW(AM$15),0),0)</f>
        <v>0</v>
      </c>
      <c r="AN574" s="632">
        <f ca="1">IF(AND($D574="Serviço",AN$12&lt;&gt;0,$H574&gt;0,OR(AUTOEVENTO&lt;&gt;"manual",$M574&lt;&gt;1)),ROUND(OFFSET($P574,0,AN$13),15-13*ORÇAMENTO!$AF$7)/$H574*OFFSET(ORÇAMENTO!$X$15,ROW(AN574)-ROW(AN$15),0),0)</f>
        <v>0</v>
      </c>
      <c r="AO574" s="632">
        <f ca="1">IF(AND($D574="Serviço",AO$12&lt;&gt;0,$H574&gt;0,OR(AUTOEVENTO&lt;&gt;"manual",$M574&lt;&gt;1)),ROUND(OFFSET($P574,0,AO$13),15-13*ORÇAMENTO!$AF$7)/$H574*OFFSET(ORÇAMENTO!$X$15,ROW(AO574)-ROW(AO$15),0),0)</f>
        <v>0</v>
      </c>
      <c r="AP574" s="632">
        <f ca="1">IF(AND($D574="Serviço",AP$12&lt;&gt;0,$H574&gt;0,OR(AUTOEVENTO&lt;&gt;"manual",$M574&lt;&gt;1)),ROUND(OFFSET($P574,0,AP$13),15-13*ORÇAMENTO!$AF$7)/$H574*OFFSET(ORÇAMENTO!$X$15,ROW(AP574)-ROW(AP$15),0),0)</f>
        <v>0</v>
      </c>
      <c r="AQ574" s="632">
        <f ca="1">IF(AND($D574="Serviço",AQ$12&lt;&gt;0,$H574&gt;0,OR(AUTOEVENTO&lt;&gt;"manual",$M574&lt;&gt;1)),ROUND(OFFSET($P574,0,AQ$13),15-13*ORÇAMENTO!$AF$7)/$H574*OFFSET(ORÇAMENTO!$X$15,ROW(AQ574)-ROW(AQ$15),0),0)</f>
        <v>0</v>
      </c>
      <c r="AR574" s="632">
        <f ca="1">IF(AND($D574="Serviço",AR$12&lt;&gt;0,$H574&gt;0,OR(AUTOEVENTO&lt;&gt;"manual",$M574&lt;&gt;1)),ROUND(OFFSET($P574,0,AR$13),15-13*ORÇAMENTO!$AF$7)/$H574*OFFSET(ORÇAMENTO!$X$15,ROW(AR574)-ROW(AR$15),0),0)</f>
        <v>0</v>
      </c>
      <c r="AS574" s="633">
        <f ca="1">IF(AND($D574="Serviço",AS$12&lt;&gt;0,$H574&gt;0,OR(AUTOEVENTO&lt;&gt;"manual",$M574&lt;&gt;1)),ROUND(OFFSET($P574,0,AS$13),15-13*ORÇAMENTO!$AF$7)/$H574*OFFSET(ORÇAMENTO!$X$15,ROW(AS574)-ROW(AS$15),0),0)</f>
        <v>0</v>
      </c>
      <c r="AT574" s="632">
        <f ca="1">IF(AND($D574="Serviço",AT$12&lt;&gt;0,$H574&gt;0,OR(AUTOEVENTO&lt;&gt;"manual",$M574&lt;&gt;1)),ROUND(OFFSET($P574,0,AT$13),15-13*ORÇAMENTO!$AF$7)/$H574*OFFSET(ORÇAMENTO!$X$15,ROW(AT574)-ROW(AT$15),0),0)</f>
        <v>0</v>
      </c>
      <c r="AU574" s="632">
        <f ca="1">IF(AND($D574="Serviço",AU$12&lt;&gt;0,$H574&gt;0,OR(AUTOEVENTO&lt;&gt;"manual",$M574&lt;&gt;1)),ROUND(OFFSET($P574,0,AU$13),15-13*ORÇAMENTO!$AF$7)/$H574*OFFSET(ORÇAMENTO!$X$15,ROW(AU574)-ROW(AU$15),0),0)</f>
        <v>0</v>
      </c>
      <c r="AV574" s="632">
        <f ca="1">IF(AND($D574="Serviço",AV$12&lt;&gt;0,$H574&gt;0,OR(AUTOEVENTO&lt;&gt;"manual",$M574&lt;&gt;1)),ROUND(OFFSET($P574,0,AV$13),15-13*ORÇAMENTO!$AF$7)/$H574*OFFSET(ORÇAMENTO!$X$15,ROW(AV574)-ROW(AV$15),0),0)</f>
        <v>0</v>
      </c>
      <c r="AW574" s="632">
        <f ca="1">IF(AND($D574="Serviço",AW$12&lt;&gt;0,$H574&gt;0,OR(AUTOEVENTO&lt;&gt;"manual",$M574&lt;&gt;1)),ROUND(OFFSET($P574,0,AW$13),15-13*ORÇAMENTO!$AF$7)/$H574*OFFSET(ORÇAMENTO!$X$15,ROW(AW574)-ROW(AW$15),0),0)</f>
        <v>0</v>
      </c>
      <c r="AX574" s="632">
        <f ca="1">IF(AND($D574="Serviço",AX$12&lt;&gt;0,$H574&gt;0,OR(AUTOEVENTO&lt;&gt;"manual",$M574&lt;&gt;1)),ROUND(OFFSET($P574,0,AX$13),15-13*ORÇAMENTO!$AF$7)/$H574*OFFSET(ORÇAMENTO!$X$15,ROW(AX574)-ROW(AX$15),0),0)</f>
        <v>0</v>
      </c>
      <c r="AY574" s="632">
        <f ca="1">IF(AND($D574="Serviço",AY$12&lt;&gt;0,$H574&gt;0,OR(AUTOEVENTO&lt;&gt;"manual",$M574&lt;&gt;1)),ROUND(OFFSET($P574,0,AY$13),15-13*ORÇAMENTO!$AF$7)/$H574*OFFSET(ORÇAMENTO!$X$15,ROW(AY574)-ROW(AY$15),0),0)</f>
        <v>0</v>
      </c>
      <c r="AZ574" s="632">
        <f ca="1">IF(AND($D574="Serviço",AZ$12&lt;&gt;0,$H574&gt;0,OR(AUTOEVENTO&lt;&gt;"manual",$M574&lt;&gt;1)),ROUND(OFFSET($P574,0,AZ$13),15-13*ORÇAMENTO!$AF$7)/$H574*OFFSET(ORÇAMENTO!$X$15,ROW(AZ574)-ROW(AZ$15),0),0)</f>
        <v>0</v>
      </c>
      <c r="BA574" s="633">
        <f ca="1">IF(AND($D574="Serviço",BA$12&lt;&gt;0,$H574&gt;0,OR(AUTOEVENTO&lt;&gt;"manual",$M574&lt;&gt;1)),ROUND(OFFSET($P574,0,BA$13),15-13*ORÇAMENTO!$AF$7)/$H574*OFFSET(ORÇAMENTO!$X$15,ROW(BA574)-ROW(BA$15),0),0)</f>
        <v>0</v>
      </c>
      <c r="BC574" s="215">
        <f ca="1">IF($D574&lt;&gt;"Serviço",0,IF(AND(AUTOEVENTO="Manual",$M574=1),0,IF(OFFSET(CRONOPLE!$F$14,$M574,BC$13)="",10^12,OFFSET(CRONOPLE!$F$14,$M574,BC$13))))</f>
        <v>1000000000000</v>
      </c>
      <c r="BD574" s="215">
        <f ca="1">IF($D574&lt;&gt;"Serviço",0,IF(AND(AUTOEVENTO="Manual",$M574=1),0,IF(OFFSET(CRONOPLE!$F$14,$M574,BD$13)="",10^12,OFFSET(CRONOPLE!$F$14,$M574,BD$13))))</f>
        <v>1000000000000</v>
      </c>
      <c r="BE574" s="215">
        <f ca="1">IF($D574&lt;&gt;"Serviço",0,IF(AND(AUTOEVENTO="Manual",$M574=1),0,IF(OFFSET(CRONOPLE!$F$14,$M574,BE$13)="",10^12,OFFSET(CRONOPLE!$F$14,$M574,BE$13))))</f>
        <v>1000000000000</v>
      </c>
      <c r="BF574" s="215">
        <f ca="1">IF($D574&lt;&gt;"Serviço",0,IF(AND(AUTOEVENTO="Manual",$M574=1),0,IF(OFFSET(CRONOPLE!$F$14,$M574,BF$13)="",10^12,OFFSET(CRONOPLE!$F$14,$M574,BF$13))))</f>
        <v>1000000000000</v>
      </c>
      <c r="BG574" s="215">
        <f ca="1">IF($D574&lt;&gt;"Serviço",0,IF(AND(AUTOEVENTO="Manual",$M574=1),0,IF(OFFSET(CRONOPLE!$F$14,$M574,BG$13)="",10^12,OFFSET(CRONOPLE!$F$14,$M574,BG$13))))</f>
        <v>1000000000000</v>
      </c>
      <c r="BH574" s="215">
        <f ca="1">IF($D574&lt;&gt;"Serviço",0,IF(AND(AUTOEVENTO="Manual",$M574=1),0,IF(OFFSET(CRONOPLE!$F$14,$M574,BH$13)="",10^12,OFFSET(CRONOPLE!$F$14,$M574,BH$13))))</f>
        <v>1000000000000</v>
      </c>
      <c r="BI574" s="215">
        <f ca="1">IF($D574&lt;&gt;"Serviço",0,IF(AND(AUTOEVENTO="Manual",$M574=1),0,IF(OFFSET(CRONOPLE!$F$14,$M574,BI$13)="",10^12,OFFSET(CRONOPLE!$F$14,$M574,BI$13))))</f>
        <v>1000000000000</v>
      </c>
      <c r="BJ574" s="215">
        <f ca="1">IF($D574&lt;&gt;"Serviço",0,IF(AND(AUTOEVENTO="Manual",$M574=1),0,IF(OFFSET(CRONOPLE!$F$14,$M574,BJ$13)="",10^12,OFFSET(CRONOPLE!$F$14,$M574,BJ$13))))</f>
        <v>1000000000000</v>
      </c>
      <c r="BK574" s="215">
        <f ca="1">IF($D574&lt;&gt;"Serviço",0,IF(AND(AUTOEVENTO="Manual",$M574=1),0,IF(OFFSET(CRONOPLE!$F$14,$M574,BK$13)="",10^12,OFFSET(CRONOPLE!$F$14,$M574,BK$13))))</f>
        <v>1000000000000</v>
      </c>
      <c r="BL574" s="215">
        <f ca="1">IF($D574&lt;&gt;"Serviço",0,IF(AND(AUTOEVENTO="Manual",$M574=1),0,IF(OFFSET(CRONOPLE!$F$14,$M574,BL$13)="",10^12,OFFSET(CRONOPLE!$F$14,$M574,BL$13))))</f>
        <v>1000000000000</v>
      </c>
      <c r="BM574" s="215">
        <f ca="1">IF($D574&lt;&gt;"Serviço",0,IF(AND(AUTOEVENTO="Manual",$M574=1),0,IF(OFFSET(CRONOPLE!$F$14,$M574,BM$13)="",10^12,OFFSET(CRONOPLE!$F$14,$M574,BM$13))))</f>
        <v>1000000000000</v>
      </c>
      <c r="BN574" s="215">
        <f ca="1">IF($D574&lt;&gt;"Serviço",0,IF(AND(AUTOEVENTO="Manual",$M574=1),0,IF(OFFSET(CRONOPLE!$F$14,$M574,BN$13)="",10^12,OFFSET(CRONOPLE!$F$14,$M574,BN$13))))</f>
        <v>1000000000000</v>
      </c>
      <c r="BO574" s="215">
        <f ca="1">IF($D574&lt;&gt;"Serviço",0,IF(AND(AUTOEVENTO="Manual",$M574=1),0,IF(OFFSET(CRONOPLE!$F$14,$M574,BO$13)="",10^12,OFFSET(CRONOPLE!$F$14,$M574,BO$13))))</f>
        <v>1000000000000</v>
      </c>
      <c r="BP574" s="215">
        <f ca="1">IF($D574&lt;&gt;"Serviço",0,IF(AND(AUTOEVENTO="Manual",$M574=1),0,IF(OFFSET(CRONOPLE!$F$14,$M574,BP$13)="",10^12,OFFSET(CRONOPLE!$F$14,$M574,BP$13))))</f>
        <v>1000000000000</v>
      </c>
      <c r="BQ574" s="215">
        <f ca="1">IF($D574&lt;&gt;"Serviço",0,IF(AND(AUTOEVENTO="Manual",$M574=1),0,IF(OFFSET(CRONOPLE!$F$14,$M574,BQ$13)="",10^12,OFFSET(CRONOPLE!$F$14,$M574,BQ$13))))</f>
        <v>1000000000000</v>
      </c>
      <c r="BR574" s="215">
        <f ca="1">IF($D574&lt;&gt;"Serviço",0,IF(AND(AUTOEVENTO="Manual",$M574=1),0,IF(OFFSET(CRONOPLE!$F$14,$M574,BR$13)="",10^12,OFFSET(CRONOPLE!$F$14,$M574,BR$13))))</f>
        <v>1000000000000</v>
      </c>
      <c r="BS574" s="215">
        <f ca="1">IF($D574&lt;&gt;"Serviço",0,IF(AND(AUTOEVENTO="Manual",$M574=1),0,IF(OFFSET(CRONOPLE!$F$14,$M574,BS$13)="",10^12,OFFSET(CRONOPLE!$F$14,$M574,BS$13))))</f>
        <v>1000000000000</v>
      </c>
      <c r="BT574" s="215">
        <f ca="1">IF($D574&lt;&gt;"Serviço",0,IF(AND(AUTOEVENTO="Manual",$M574=1),0,IF(OFFSET(CRONOPLE!$F$14,$M574,BT$13)="",10^12,OFFSET(CRONOPLE!$F$14,$M574,BT$13))))</f>
        <v>1000000000000</v>
      </c>
      <c r="BV574" s="216">
        <f ca="1">IF($D574&lt;&gt;"Serviço",0,IF(OR(AND(AUTOEVENTO="Manual",$M574=1),$M574&gt;(ROW(PLE.lastrow)-ROW(PLE.firstrow))),0,IF(OFFSET(PLE!$G$14,$M574,BV$13)="",10^12,OFFSET(PLE!$G$14,$M574,BV$13))))</f>
        <v>1000000000000</v>
      </c>
      <c r="BW574" s="216">
        <f ca="1">IF($D574&lt;&gt;"Serviço",0,IF(OR(AND(AUTOEVENTO="Manual",$M574=1),$M574&gt;(ROW(PLE.lastrow)-ROW(PLE.firstrow))),0,IF(OFFSET(PLE!$G$14,$M574,BW$13)="",10^12,OFFSET(PLE!$G$14,$M574,BW$13))))</f>
        <v>1000000000000</v>
      </c>
      <c r="BX574" s="216">
        <f ca="1">IF($D574&lt;&gt;"Serviço",0,IF(OR(AND(AUTOEVENTO="Manual",$M574=1),$M574&gt;(ROW(PLE.lastrow)-ROW(PLE.firstrow))),0,IF(OFFSET(PLE!$G$14,$M574,BX$13)="",10^12,OFFSET(PLE!$G$14,$M574,BX$13))))</f>
        <v>1000000000000</v>
      </c>
      <c r="BY574" s="216">
        <f ca="1">IF($D574&lt;&gt;"Serviço",0,IF(OR(AND(AUTOEVENTO="Manual",$M574=1),$M574&gt;(ROW(PLE.lastrow)-ROW(PLE.firstrow))),0,IF(OFFSET(PLE!$G$14,$M574,BY$13)="",10^12,OFFSET(PLE!$G$14,$M574,BY$13))))</f>
        <v>1000000000000</v>
      </c>
      <c r="BZ574" s="216">
        <f ca="1">IF($D574&lt;&gt;"Serviço",0,IF(OR(AND(AUTOEVENTO="Manual",$M574=1),$M574&gt;(ROW(PLE.lastrow)-ROW(PLE.firstrow))),0,IF(OFFSET(PLE!$G$14,$M574,BZ$13)="",10^12,OFFSET(PLE!$G$14,$M574,BZ$13))))</f>
        <v>1000000000000</v>
      </c>
      <c r="CA574" s="216">
        <f ca="1">IF($D574&lt;&gt;"Serviço",0,IF(OR(AND(AUTOEVENTO="Manual",$M574=1),$M574&gt;(ROW(PLE.lastrow)-ROW(PLE.firstrow))),0,IF(OFFSET(PLE!$G$14,$M574,CA$13)="",10^12,OFFSET(PLE!$G$14,$M574,CA$13))))</f>
        <v>1000000000000</v>
      </c>
      <c r="CB574" s="216">
        <f ca="1">IF($D574&lt;&gt;"Serviço",0,IF(OR(AND(AUTOEVENTO="Manual",$M574=1),$M574&gt;(ROW(PLE.lastrow)-ROW(PLE.firstrow))),0,IF(OFFSET(PLE!$G$14,$M574,CB$13)="",10^12,OFFSET(PLE!$G$14,$M574,CB$13))))</f>
        <v>1000000000000</v>
      </c>
      <c r="CC574" s="216">
        <f ca="1">IF($D574&lt;&gt;"Serviço",0,IF(OR(AND(AUTOEVENTO="Manual",$M574=1),$M574&gt;(ROW(PLE.lastrow)-ROW(PLE.firstrow))),0,IF(OFFSET(PLE!$G$14,$M574,CC$13)="",10^12,OFFSET(PLE!$G$14,$M574,CC$13))))</f>
        <v>1000000000000</v>
      </c>
      <c r="CD574" s="216">
        <f ca="1">IF($D574&lt;&gt;"Serviço",0,IF(OR(AND(AUTOEVENTO="Manual",$M574=1),$M574&gt;(ROW(PLE.lastrow)-ROW(PLE.firstrow))),0,IF(OFFSET(PLE!$G$14,$M574,CD$13)="",10^12,OFFSET(PLE!$G$14,$M574,CD$13))))</f>
        <v>1000000000000</v>
      </c>
      <c r="CE574" s="216">
        <f ca="1">IF($D574&lt;&gt;"Serviço",0,IF(OR(AND(AUTOEVENTO="Manual",$M574=1),$M574&gt;(ROW(PLE.lastrow)-ROW(PLE.firstrow))),0,IF(OFFSET(PLE!$G$14,$M574,CE$13)="",10^12,OFFSET(PLE!$G$14,$M574,CE$13))))</f>
        <v>1000000000000</v>
      </c>
      <c r="CF574" s="216">
        <f ca="1">IF($D574&lt;&gt;"Serviço",0,IF(OR(AND(AUTOEVENTO="Manual",$M574=1),$M574&gt;(ROW(PLE.lastrow)-ROW(PLE.firstrow))),0,IF(OFFSET(PLE!$G$14,$M574,CF$13)="",10^12,OFFSET(PLE!$G$14,$M574,CF$13))))</f>
        <v>1000000000000</v>
      </c>
      <c r="CG574" s="216">
        <f ca="1">IF($D574&lt;&gt;"Serviço",0,IF(OR(AND(AUTOEVENTO="Manual",$M574=1),$M574&gt;(ROW(PLE.lastrow)-ROW(PLE.firstrow))),0,IF(OFFSET(PLE!$G$14,$M574,CG$13)="",10^12,OFFSET(PLE!$G$14,$M574,CG$13))))</f>
        <v>1000000000000</v>
      </c>
      <c r="CH574" s="216">
        <f ca="1">IF($D574&lt;&gt;"Serviço",0,IF(OR(AND(AUTOEVENTO="Manual",$M574=1),$M574&gt;(ROW(PLE.lastrow)-ROW(PLE.firstrow))),0,IF(OFFSET(PLE!$G$14,$M574,CH$13)="",10^12,OFFSET(PLE!$G$14,$M574,CH$13))))</f>
        <v>1000000000000</v>
      </c>
      <c r="CI574" s="216">
        <f ca="1">IF($D574&lt;&gt;"Serviço",0,IF(OR(AND(AUTOEVENTO="Manual",$M574=1),$M574&gt;(ROW(PLE.lastrow)-ROW(PLE.firstrow))),0,IF(OFFSET(PLE!$G$14,$M574,CI$13)="",10^12,OFFSET(PLE!$G$14,$M574,CI$13))))</f>
        <v>1000000000000</v>
      </c>
      <c r="CJ574" s="216">
        <f ca="1">IF($D574&lt;&gt;"Serviço",0,IF(OR(AND(AUTOEVENTO="Manual",$M574=1),$M574&gt;(ROW(PLE.lastrow)-ROW(PLE.firstrow))),0,IF(OFFSET(PLE!$G$14,$M574,CJ$13)="",10^12,OFFSET(PLE!$G$14,$M574,CJ$13))))</f>
        <v>1000000000000</v>
      </c>
      <c r="CK574" s="216">
        <f ca="1">IF($D574&lt;&gt;"Serviço",0,IF(OR(AND(AUTOEVENTO="Manual",$M574=1),$M574&gt;(ROW(PLE.lastrow)-ROW(PLE.firstrow))),0,IF(OFFSET(PLE!$G$14,$M574,CK$13)="",10^12,OFFSET(PLE!$G$14,$M574,CK$13))))</f>
        <v>1000000000000</v>
      </c>
      <c r="CL574" s="216">
        <f ca="1">IF($D574&lt;&gt;"Serviço",0,IF(OR(AND(AUTOEVENTO="Manual",$M574=1),$M574&gt;(ROW(PLE.lastrow)-ROW(PLE.firstrow))),0,IF(OFFSET(PLE!$G$14,$M574,CL$13)="",10^12,OFFSET(PLE!$G$14,$M574,CL$13))))</f>
        <v>1000000000000</v>
      </c>
      <c r="CM574" s="216">
        <f ca="1">IF($D574&lt;&gt;"Serviço",0,IF(OR(AND(AUTOEVENTO="Manual",$M574=1),$M574&gt;(ROW(PLE.lastrow)-ROW(PLE.firstrow))),0,IF(OFFSET(PLE!$G$14,$M574,CM$13)="",10^12,OFFSET(PLE!$G$14,$M574,CM$13))))</f>
        <v>1000000000000</v>
      </c>
    </row>
    <row r="575" spans="1:91" ht="13.2" x14ac:dyDescent="0.25">
      <c r="A575" s="9">
        <f t="shared" ca="1" si="17"/>
        <v>0</v>
      </c>
      <c r="B575" s="9" t="str">
        <f ca="1">OFFSET(ORÇAMENTO!C$15,ROW(B575)-ROW(B$15),0)</f>
        <v>S</v>
      </c>
      <c r="C575" s="9" t="str">
        <f ca="1">OFFSET(ORÇAMENTO!L$15,ROW(C575)-ROW(C$15),0)</f>
        <v/>
      </c>
      <c r="D575" s="145" t="str">
        <f ca="1">OFFSET(ORÇAMENTO!N$15,ROW(D575)-ROW(D$15),0)</f>
        <v>Serviço</v>
      </c>
      <c r="E575" s="205" t="str">
        <f ca="1">OFFSET(ORÇAMENTO!O$15,ROW(E575)-ROW(E$15),0)</f>
        <v>-</v>
      </c>
      <c r="F575" s="206" t="str">
        <f ca="1">OFFSET(ORÇAMENTO!R$15,ROW(F575)-ROW(F$15),0)</f>
        <v>(abra o arquivo 'Referência 05-2024.xls)</v>
      </c>
      <c r="G575" s="207" t="str">
        <f ca="1">IF($D575&lt;&gt;"Serviço","",OFFSET(ORÇAMENTO!S$15,ROW(G575)-ROW(G$15),0))</f>
        <v>-</v>
      </c>
      <c r="H575" s="151">
        <f ca="1">IF($D575&lt;&gt;"Serviço",0,IF(ACOMPANHAMENTO="BM",ROUND(OFFSET(ORÇAMENTO!AJ$15,ROW(H575)-ROW(H$15),0),15-13*ORÇAMENTO!$AF$7),SUMPRODUCT(($Q$12:$AI$12&lt;&gt;"")*ROUND($Q575:$AI575,15-13*ORÇAMENTO!$AF$7))))</f>
        <v>2</v>
      </c>
      <c r="I575" s="650"/>
      <c r="K575" s="208"/>
      <c r="L575" s="209" t="s">
        <v>257</v>
      </c>
      <c r="M575" s="210">
        <f ca="1">IF($D575&lt;&gt;"Serviço","",IF(AUTOEVENTO="manual",$A575,IF(ISERROR(MATCH($A575,$A$15:OFFSET($A575,-1,0),0)),MAX($M$15:OFFSET(M575,-1,0))+1,INDEX($M$15:OFFSET(M575,-1,0),MATCH($A575,$A$15:OFFSET($A575,-1,0),0)))))</f>
        <v>0</v>
      </c>
      <c r="N575" s="211" t="str">
        <f ca="1">IF($D575&lt;&gt;"Serviço","",IF(AUTOEVENTO="Manual",IF($A575=0,"&lt;-- defina o número do agrupador",OFFSET(EVENTOS!$D$14,$A575,0)),OFFSET($F$15,$A575,0)))</f>
        <v>&lt;-- defina o número do agrupador</v>
      </c>
      <c r="O575" s="212"/>
      <c r="Q575" s="212"/>
      <c r="R575" s="213"/>
      <c r="S575" s="213"/>
      <c r="T575" s="213"/>
      <c r="U575" s="213"/>
      <c r="V575" s="213"/>
      <c r="W575" s="213"/>
      <c r="X575" s="213"/>
      <c r="Y575" s="213"/>
      <c r="Z575" s="214"/>
      <c r="AA575" s="213"/>
      <c r="AB575" s="213"/>
      <c r="AC575" s="213"/>
      <c r="AD575" s="213"/>
      <c r="AE575" s="213"/>
      <c r="AF575" s="213"/>
      <c r="AG575" s="213"/>
      <c r="AH575" s="214"/>
      <c r="AJ575" s="631">
        <f ca="1">IF(AND($D575="Serviço",AJ$12&lt;&gt;0,$H575&gt;0,OR(AUTOEVENTO&lt;&gt;"manual",$M575&lt;&gt;1)),ROUND(OFFSET($P575,0,AJ$13),15-13*ORÇAMENTO!$AF$7)/$H575*OFFSET(ORÇAMENTO!$X$15,ROW(AJ575)-ROW(AJ$15),0),0)</f>
        <v>0</v>
      </c>
      <c r="AK575" s="632">
        <f ca="1">IF(AND($D575="Serviço",AK$12&lt;&gt;0,$H575&gt;0,OR(AUTOEVENTO&lt;&gt;"manual",$M575&lt;&gt;1)),ROUND(OFFSET($P575,0,AK$13),15-13*ORÇAMENTO!$AF$7)/$H575*OFFSET(ORÇAMENTO!$X$15,ROW(AK575)-ROW(AK$15),0),0)</f>
        <v>0</v>
      </c>
      <c r="AL575" s="632">
        <f ca="1">IF(AND($D575="Serviço",AL$12&lt;&gt;0,$H575&gt;0,OR(AUTOEVENTO&lt;&gt;"manual",$M575&lt;&gt;1)),ROUND(OFFSET($P575,0,AL$13),15-13*ORÇAMENTO!$AF$7)/$H575*OFFSET(ORÇAMENTO!$X$15,ROW(AL575)-ROW(AL$15),0),0)</f>
        <v>0</v>
      </c>
      <c r="AM575" s="632">
        <f ca="1">IF(AND($D575="Serviço",AM$12&lt;&gt;0,$H575&gt;0,OR(AUTOEVENTO&lt;&gt;"manual",$M575&lt;&gt;1)),ROUND(OFFSET($P575,0,AM$13),15-13*ORÇAMENTO!$AF$7)/$H575*OFFSET(ORÇAMENTO!$X$15,ROW(AM575)-ROW(AM$15),0),0)</f>
        <v>0</v>
      </c>
      <c r="AN575" s="632">
        <f ca="1">IF(AND($D575="Serviço",AN$12&lt;&gt;0,$H575&gt;0,OR(AUTOEVENTO&lt;&gt;"manual",$M575&lt;&gt;1)),ROUND(OFFSET($P575,0,AN$13),15-13*ORÇAMENTO!$AF$7)/$H575*OFFSET(ORÇAMENTO!$X$15,ROW(AN575)-ROW(AN$15),0),0)</f>
        <v>0</v>
      </c>
      <c r="AO575" s="632">
        <f ca="1">IF(AND($D575="Serviço",AO$12&lt;&gt;0,$H575&gt;0,OR(AUTOEVENTO&lt;&gt;"manual",$M575&lt;&gt;1)),ROUND(OFFSET($P575,0,AO$13),15-13*ORÇAMENTO!$AF$7)/$H575*OFFSET(ORÇAMENTO!$X$15,ROW(AO575)-ROW(AO$15),0),0)</f>
        <v>0</v>
      </c>
      <c r="AP575" s="632">
        <f ca="1">IF(AND($D575="Serviço",AP$12&lt;&gt;0,$H575&gt;0,OR(AUTOEVENTO&lt;&gt;"manual",$M575&lt;&gt;1)),ROUND(OFFSET($P575,0,AP$13),15-13*ORÇAMENTO!$AF$7)/$H575*OFFSET(ORÇAMENTO!$X$15,ROW(AP575)-ROW(AP$15),0),0)</f>
        <v>0</v>
      </c>
      <c r="AQ575" s="632">
        <f ca="1">IF(AND($D575="Serviço",AQ$12&lt;&gt;0,$H575&gt;0,OR(AUTOEVENTO&lt;&gt;"manual",$M575&lt;&gt;1)),ROUND(OFFSET($P575,0,AQ$13),15-13*ORÇAMENTO!$AF$7)/$H575*OFFSET(ORÇAMENTO!$X$15,ROW(AQ575)-ROW(AQ$15),0),0)</f>
        <v>0</v>
      </c>
      <c r="AR575" s="632">
        <f ca="1">IF(AND($D575="Serviço",AR$12&lt;&gt;0,$H575&gt;0,OR(AUTOEVENTO&lt;&gt;"manual",$M575&lt;&gt;1)),ROUND(OFFSET($P575,0,AR$13),15-13*ORÇAMENTO!$AF$7)/$H575*OFFSET(ORÇAMENTO!$X$15,ROW(AR575)-ROW(AR$15),0),0)</f>
        <v>0</v>
      </c>
      <c r="AS575" s="633">
        <f ca="1">IF(AND($D575="Serviço",AS$12&lt;&gt;0,$H575&gt;0,OR(AUTOEVENTO&lt;&gt;"manual",$M575&lt;&gt;1)),ROUND(OFFSET($P575,0,AS$13),15-13*ORÇAMENTO!$AF$7)/$H575*OFFSET(ORÇAMENTO!$X$15,ROW(AS575)-ROW(AS$15),0),0)</f>
        <v>0</v>
      </c>
      <c r="AT575" s="632">
        <f ca="1">IF(AND($D575="Serviço",AT$12&lt;&gt;0,$H575&gt;0,OR(AUTOEVENTO&lt;&gt;"manual",$M575&lt;&gt;1)),ROUND(OFFSET($P575,0,AT$13),15-13*ORÇAMENTO!$AF$7)/$H575*OFFSET(ORÇAMENTO!$X$15,ROW(AT575)-ROW(AT$15),0),0)</f>
        <v>0</v>
      </c>
      <c r="AU575" s="632">
        <f ca="1">IF(AND($D575="Serviço",AU$12&lt;&gt;0,$H575&gt;0,OR(AUTOEVENTO&lt;&gt;"manual",$M575&lt;&gt;1)),ROUND(OFFSET($P575,0,AU$13),15-13*ORÇAMENTO!$AF$7)/$H575*OFFSET(ORÇAMENTO!$X$15,ROW(AU575)-ROW(AU$15),0),0)</f>
        <v>0</v>
      </c>
      <c r="AV575" s="632">
        <f ca="1">IF(AND($D575="Serviço",AV$12&lt;&gt;0,$H575&gt;0,OR(AUTOEVENTO&lt;&gt;"manual",$M575&lt;&gt;1)),ROUND(OFFSET($P575,0,AV$13),15-13*ORÇAMENTO!$AF$7)/$H575*OFFSET(ORÇAMENTO!$X$15,ROW(AV575)-ROW(AV$15),0),0)</f>
        <v>0</v>
      </c>
      <c r="AW575" s="632">
        <f ca="1">IF(AND($D575="Serviço",AW$12&lt;&gt;0,$H575&gt;0,OR(AUTOEVENTO&lt;&gt;"manual",$M575&lt;&gt;1)),ROUND(OFFSET($P575,0,AW$13),15-13*ORÇAMENTO!$AF$7)/$H575*OFFSET(ORÇAMENTO!$X$15,ROW(AW575)-ROW(AW$15),0),0)</f>
        <v>0</v>
      </c>
      <c r="AX575" s="632">
        <f ca="1">IF(AND($D575="Serviço",AX$12&lt;&gt;0,$H575&gt;0,OR(AUTOEVENTO&lt;&gt;"manual",$M575&lt;&gt;1)),ROUND(OFFSET($P575,0,AX$13),15-13*ORÇAMENTO!$AF$7)/$H575*OFFSET(ORÇAMENTO!$X$15,ROW(AX575)-ROW(AX$15),0),0)</f>
        <v>0</v>
      </c>
      <c r="AY575" s="632">
        <f ca="1">IF(AND($D575="Serviço",AY$12&lt;&gt;0,$H575&gt;0,OR(AUTOEVENTO&lt;&gt;"manual",$M575&lt;&gt;1)),ROUND(OFFSET($P575,0,AY$13),15-13*ORÇAMENTO!$AF$7)/$H575*OFFSET(ORÇAMENTO!$X$15,ROW(AY575)-ROW(AY$15),0),0)</f>
        <v>0</v>
      </c>
      <c r="AZ575" s="632">
        <f ca="1">IF(AND($D575="Serviço",AZ$12&lt;&gt;0,$H575&gt;0,OR(AUTOEVENTO&lt;&gt;"manual",$M575&lt;&gt;1)),ROUND(OFFSET($P575,0,AZ$13),15-13*ORÇAMENTO!$AF$7)/$H575*OFFSET(ORÇAMENTO!$X$15,ROW(AZ575)-ROW(AZ$15),0),0)</f>
        <v>0</v>
      </c>
      <c r="BA575" s="633">
        <f ca="1">IF(AND($D575="Serviço",BA$12&lt;&gt;0,$H575&gt;0,OR(AUTOEVENTO&lt;&gt;"manual",$M575&lt;&gt;1)),ROUND(OFFSET($P575,0,BA$13),15-13*ORÇAMENTO!$AF$7)/$H575*OFFSET(ORÇAMENTO!$X$15,ROW(BA575)-ROW(BA$15),0),0)</f>
        <v>0</v>
      </c>
      <c r="BC575" s="215">
        <f ca="1">IF($D575&lt;&gt;"Serviço",0,IF(AND(AUTOEVENTO="Manual",$M575=1),0,IF(OFFSET(CRONOPLE!$F$14,$M575,BC$13)="",10^12,OFFSET(CRONOPLE!$F$14,$M575,BC$13))))</f>
        <v>1000000000000</v>
      </c>
      <c r="BD575" s="215">
        <f ca="1">IF($D575&lt;&gt;"Serviço",0,IF(AND(AUTOEVENTO="Manual",$M575=1),0,IF(OFFSET(CRONOPLE!$F$14,$M575,BD$13)="",10^12,OFFSET(CRONOPLE!$F$14,$M575,BD$13))))</f>
        <v>1000000000000</v>
      </c>
      <c r="BE575" s="215">
        <f ca="1">IF($D575&lt;&gt;"Serviço",0,IF(AND(AUTOEVENTO="Manual",$M575=1),0,IF(OFFSET(CRONOPLE!$F$14,$M575,BE$13)="",10^12,OFFSET(CRONOPLE!$F$14,$M575,BE$13))))</f>
        <v>1000000000000</v>
      </c>
      <c r="BF575" s="215">
        <f ca="1">IF($D575&lt;&gt;"Serviço",0,IF(AND(AUTOEVENTO="Manual",$M575=1),0,IF(OFFSET(CRONOPLE!$F$14,$M575,BF$13)="",10^12,OFFSET(CRONOPLE!$F$14,$M575,BF$13))))</f>
        <v>1000000000000</v>
      </c>
      <c r="BG575" s="215">
        <f ca="1">IF($D575&lt;&gt;"Serviço",0,IF(AND(AUTOEVENTO="Manual",$M575=1),0,IF(OFFSET(CRONOPLE!$F$14,$M575,BG$13)="",10^12,OFFSET(CRONOPLE!$F$14,$M575,BG$13))))</f>
        <v>1000000000000</v>
      </c>
      <c r="BH575" s="215">
        <f ca="1">IF($D575&lt;&gt;"Serviço",0,IF(AND(AUTOEVENTO="Manual",$M575=1),0,IF(OFFSET(CRONOPLE!$F$14,$M575,BH$13)="",10^12,OFFSET(CRONOPLE!$F$14,$M575,BH$13))))</f>
        <v>1000000000000</v>
      </c>
      <c r="BI575" s="215">
        <f ca="1">IF($D575&lt;&gt;"Serviço",0,IF(AND(AUTOEVENTO="Manual",$M575=1),0,IF(OFFSET(CRONOPLE!$F$14,$M575,BI$13)="",10^12,OFFSET(CRONOPLE!$F$14,$M575,BI$13))))</f>
        <v>1000000000000</v>
      </c>
      <c r="BJ575" s="215">
        <f ca="1">IF($D575&lt;&gt;"Serviço",0,IF(AND(AUTOEVENTO="Manual",$M575=1),0,IF(OFFSET(CRONOPLE!$F$14,$M575,BJ$13)="",10^12,OFFSET(CRONOPLE!$F$14,$M575,BJ$13))))</f>
        <v>1000000000000</v>
      </c>
      <c r="BK575" s="215">
        <f ca="1">IF($D575&lt;&gt;"Serviço",0,IF(AND(AUTOEVENTO="Manual",$M575=1),0,IF(OFFSET(CRONOPLE!$F$14,$M575,BK$13)="",10^12,OFFSET(CRONOPLE!$F$14,$M575,BK$13))))</f>
        <v>1000000000000</v>
      </c>
      <c r="BL575" s="215">
        <f ca="1">IF($D575&lt;&gt;"Serviço",0,IF(AND(AUTOEVENTO="Manual",$M575=1),0,IF(OFFSET(CRONOPLE!$F$14,$M575,BL$13)="",10^12,OFFSET(CRONOPLE!$F$14,$M575,BL$13))))</f>
        <v>1000000000000</v>
      </c>
      <c r="BM575" s="215">
        <f ca="1">IF($D575&lt;&gt;"Serviço",0,IF(AND(AUTOEVENTO="Manual",$M575=1),0,IF(OFFSET(CRONOPLE!$F$14,$M575,BM$13)="",10^12,OFFSET(CRONOPLE!$F$14,$M575,BM$13))))</f>
        <v>1000000000000</v>
      </c>
      <c r="BN575" s="215">
        <f ca="1">IF($D575&lt;&gt;"Serviço",0,IF(AND(AUTOEVENTO="Manual",$M575=1),0,IF(OFFSET(CRONOPLE!$F$14,$M575,BN$13)="",10^12,OFFSET(CRONOPLE!$F$14,$M575,BN$13))))</f>
        <v>1000000000000</v>
      </c>
      <c r="BO575" s="215">
        <f ca="1">IF($D575&lt;&gt;"Serviço",0,IF(AND(AUTOEVENTO="Manual",$M575=1),0,IF(OFFSET(CRONOPLE!$F$14,$M575,BO$13)="",10^12,OFFSET(CRONOPLE!$F$14,$M575,BO$13))))</f>
        <v>1000000000000</v>
      </c>
      <c r="BP575" s="215">
        <f ca="1">IF($D575&lt;&gt;"Serviço",0,IF(AND(AUTOEVENTO="Manual",$M575=1),0,IF(OFFSET(CRONOPLE!$F$14,$M575,BP$13)="",10^12,OFFSET(CRONOPLE!$F$14,$M575,BP$13))))</f>
        <v>1000000000000</v>
      </c>
      <c r="BQ575" s="215">
        <f ca="1">IF($D575&lt;&gt;"Serviço",0,IF(AND(AUTOEVENTO="Manual",$M575=1),0,IF(OFFSET(CRONOPLE!$F$14,$M575,BQ$13)="",10^12,OFFSET(CRONOPLE!$F$14,$M575,BQ$13))))</f>
        <v>1000000000000</v>
      </c>
      <c r="BR575" s="215">
        <f ca="1">IF($D575&lt;&gt;"Serviço",0,IF(AND(AUTOEVENTO="Manual",$M575=1),0,IF(OFFSET(CRONOPLE!$F$14,$M575,BR$13)="",10^12,OFFSET(CRONOPLE!$F$14,$M575,BR$13))))</f>
        <v>1000000000000</v>
      </c>
      <c r="BS575" s="215">
        <f ca="1">IF($D575&lt;&gt;"Serviço",0,IF(AND(AUTOEVENTO="Manual",$M575=1),0,IF(OFFSET(CRONOPLE!$F$14,$M575,BS$13)="",10^12,OFFSET(CRONOPLE!$F$14,$M575,BS$13))))</f>
        <v>1000000000000</v>
      </c>
      <c r="BT575" s="215">
        <f ca="1">IF($D575&lt;&gt;"Serviço",0,IF(AND(AUTOEVENTO="Manual",$M575=1),0,IF(OFFSET(CRONOPLE!$F$14,$M575,BT$13)="",10^12,OFFSET(CRONOPLE!$F$14,$M575,BT$13))))</f>
        <v>1000000000000</v>
      </c>
      <c r="BV575" s="216">
        <f ca="1">IF($D575&lt;&gt;"Serviço",0,IF(OR(AND(AUTOEVENTO="Manual",$M575=1),$M575&gt;(ROW(PLE.lastrow)-ROW(PLE.firstrow))),0,IF(OFFSET(PLE!$G$14,$M575,BV$13)="",10^12,OFFSET(PLE!$G$14,$M575,BV$13))))</f>
        <v>1000000000000</v>
      </c>
      <c r="BW575" s="216">
        <f ca="1">IF($D575&lt;&gt;"Serviço",0,IF(OR(AND(AUTOEVENTO="Manual",$M575=1),$M575&gt;(ROW(PLE.lastrow)-ROW(PLE.firstrow))),0,IF(OFFSET(PLE!$G$14,$M575,BW$13)="",10^12,OFFSET(PLE!$G$14,$M575,BW$13))))</f>
        <v>1000000000000</v>
      </c>
      <c r="BX575" s="216">
        <f ca="1">IF($D575&lt;&gt;"Serviço",0,IF(OR(AND(AUTOEVENTO="Manual",$M575=1),$M575&gt;(ROW(PLE.lastrow)-ROW(PLE.firstrow))),0,IF(OFFSET(PLE!$G$14,$M575,BX$13)="",10^12,OFFSET(PLE!$G$14,$M575,BX$13))))</f>
        <v>1000000000000</v>
      </c>
      <c r="BY575" s="216">
        <f ca="1">IF($D575&lt;&gt;"Serviço",0,IF(OR(AND(AUTOEVENTO="Manual",$M575=1),$M575&gt;(ROW(PLE.lastrow)-ROW(PLE.firstrow))),0,IF(OFFSET(PLE!$G$14,$M575,BY$13)="",10^12,OFFSET(PLE!$G$14,$M575,BY$13))))</f>
        <v>1000000000000</v>
      </c>
      <c r="BZ575" s="216">
        <f ca="1">IF($D575&lt;&gt;"Serviço",0,IF(OR(AND(AUTOEVENTO="Manual",$M575=1),$M575&gt;(ROW(PLE.lastrow)-ROW(PLE.firstrow))),0,IF(OFFSET(PLE!$G$14,$M575,BZ$13)="",10^12,OFFSET(PLE!$G$14,$M575,BZ$13))))</f>
        <v>1000000000000</v>
      </c>
      <c r="CA575" s="216">
        <f ca="1">IF($D575&lt;&gt;"Serviço",0,IF(OR(AND(AUTOEVENTO="Manual",$M575=1),$M575&gt;(ROW(PLE.lastrow)-ROW(PLE.firstrow))),0,IF(OFFSET(PLE!$G$14,$M575,CA$13)="",10^12,OFFSET(PLE!$G$14,$M575,CA$13))))</f>
        <v>1000000000000</v>
      </c>
      <c r="CB575" s="216">
        <f ca="1">IF($D575&lt;&gt;"Serviço",0,IF(OR(AND(AUTOEVENTO="Manual",$M575=1),$M575&gt;(ROW(PLE.lastrow)-ROW(PLE.firstrow))),0,IF(OFFSET(PLE!$G$14,$M575,CB$13)="",10^12,OFFSET(PLE!$G$14,$M575,CB$13))))</f>
        <v>1000000000000</v>
      </c>
      <c r="CC575" s="216">
        <f ca="1">IF($D575&lt;&gt;"Serviço",0,IF(OR(AND(AUTOEVENTO="Manual",$M575=1),$M575&gt;(ROW(PLE.lastrow)-ROW(PLE.firstrow))),0,IF(OFFSET(PLE!$G$14,$M575,CC$13)="",10^12,OFFSET(PLE!$G$14,$M575,CC$13))))</f>
        <v>1000000000000</v>
      </c>
      <c r="CD575" s="216">
        <f ca="1">IF($D575&lt;&gt;"Serviço",0,IF(OR(AND(AUTOEVENTO="Manual",$M575=1),$M575&gt;(ROW(PLE.lastrow)-ROW(PLE.firstrow))),0,IF(OFFSET(PLE!$G$14,$M575,CD$13)="",10^12,OFFSET(PLE!$G$14,$M575,CD$13))))</f>
        <v>1000000000000</v>
      </c>
      <c r="CE575" s="216">
        <f ca="1">IF($D575&lt;&gt;"Serviço",0,IF(OR(AND(AUTOEVENTO="Manual",$M575=1),$M575&gt;(ROW(PLE.lastrow)-ROW(PLE.firstrow))),0,IF(OFFSET(PLE!$G$14,$M575,CE$13)="",10^12,OFFSET(PLE!$G$14,$M575,CE$13))))</f>
        <v>1000000000000</v>
      </c>
      <c r="CF575" s="216">
        <f ca="1">IF($D575&lt;&gt;"Serviço",0,IF(OR(AND(AUTOEVENTO="Manual",$M575=1),$M575&gt;(ROW(PLE.lastrow)-ROW(PLE.firstrow))),0,IF(OFFSET(PLE!$G$14,$M575,CF$13)="",10^12,OFFSET(PLE!$G$14,$M575,CF$13))))</f>
        <v>1000000000000</v>
      </c>
      <c r="CG575" s="216">
        <f ca="1">IF($D575&lt;&gt;"Serviço",0,IF(OR(AND(AUTOEVENTO="Manual",$M575=1),$M575&gt;(ROW(PLE.lastrow)-ROW(PLE.firstrow))),0,IF(OFFSET(PLE!$G$14,$M575,CG$13)="",10^12,OFFSET(PLE!$G$14,$M575,CG$13))))</f>
        <v>1000000000000</v>
      </c>
      <c r="CH575" s="216">
        <f ca="1">IF($D575&lt;&gt;"Serviço",0,IF(OR(AND(AUTOEVENTO="Manual",$M575=1),$M575&gt;(ROW(PLE.lastrow)-ROW(PLE.firstrow))),0,IF(OFFSET(PLE!$G$14,$M575,CH$13)="",10^12,OFFSET(PLE!$G$14,$M575,CH$13))))</f>
        <v>1000000000000</v>
      </c>
      <c r="CI575" s="216">
        <f ca="1">IF($D575&lt;&gt;"Serviço",0,IF(OR(AND(AUTOEVENTO="Manual",$M575=1),$M575&gt;(ROW(PLE.lastrow)-ROW(PLE.firstrow))),0,IF(OFFSET(PLE!$G$14,$M575,CI$13)="",10^12,OFFSET(PLE!$G$14,$M575,CI$13))))</f>
        <v>1000000000000</v>
      </c>
      <c r="CJ575" s="216">
        <f ca="1">IF($D575&lt;&gt;"Serviço",0,IF(OR(AND(AUTOEVENTO="Manual",$M575=1),$M575&gt;(ROW(PLE.lastrow)-ROW(PLE.firstrow))),0,IF(OFFSET(PLE!$G$14,$M575,CJ$13)="",10^12,OFFSET(PLE!$G$14,$M575,CJ$13))))</f>
        <v>1000000000000</v>
      </c>
      <c r="CK575" s="216">
        <f ca="1">IF($D575&lt;&gt;"Serviço",0,IF(OR(AND(AUTOEVENTO="Manual",$M575=1),$M575&gt;(ROW(PLE.lastrow)-ROW(PLE.firstrow))),0,IF(OFFSET(PLE!$G$14,$M575,CK$13)="",10^12,OFFSET(PLE!$G$14,$M575,CK$13))))</f>
        <v>1000000000000</v>
      </c>
      <c r="CL575" s="216">
        <f ca="1">IF($D575&lt;&gt;"Serviço",0,IF(OR(AND(AUTOEVENTO="Manual",$M575=1),$M575&gt;(ROW(PLE.lastrow)-ROW(PLE.firstrow))),0,IF(OFFSET(PLE!$G$14,$M575,CL$13)="",10^12,OFFSET(PLE!$G$14,$M575,CL$13))))</f>
        <v>1000000000000</v>
      </c>
      <c r="CM575" s="216">
        <f ca="1">IF($D575&lt;&gt;"Serviço",0,IF(OR(AND(AUTOEVENTO="Manual",$M575=1),$M575&gt;(ROW(PLE.lastrow)-ROW(PLE.firstrow))),0,IF(OFFSET(PLE!$G$14,$M575,CM$13)="",10^12,OFFSET(PLE!$G$14,$M575,CM$13))))</f>
        <v>1000000000000</v>
      </c>
    </row>
    <row r="576" spans="1:91" ht="13.2" x14ac:dyDescent="0.25">
      <c r="A576" s="9">
        <f t="shared" ca="1" si="17"/>
        <v>0</v>
      </c>
      <c r="B576" s="9" t="str">
        <f ca="1">OFFSET(ORÇAMENTO!C$15,ROW(B576)-ROW(B$15),0)</f>
        <v>S</v>
      </c>
      <c r="C576" s="9" t="str">
        <f ca="1">OFFSET(ORÇAMENTO!L$15,ROW(C576)-ROW(C$15),0)</f>
        <v/>
      </c>
      <c r="D576" s="145" t="str">
        <f ca="1">OFFSET(ORÇAMENTO!N$15,ROW(D576)-ROW(D$15),0)</f>
        <v>Serviço</v>
      </c>
      <c r="E576" s="205" t="str">
        <f ca="1">OFFSET(ORÇAMENTO!O$15,ROW(E576)-ROW(E$15),0)</f>
        <v>-</v>
      </c>
      <c r="F576" s="206" t="str">
        <f ca="1">OFFSET(ORÇAMENTO!R$15,ROW(F576)-ROW(F$15),0)</f>
        <v>(abra o arquivo 'Referência 05-2024.xls)</v>
      </c>
      <c r="G576" s="207" t="str">
        <f ca="1">IF($D576&lt;&gt;"Serviço","",OFFSET(ORÇAMENTO!S$15,ROW(G576)-ROW(G$15),0))</f>
        <v>-</v>
      </c>
      <c r="H576" s="151">
        <f ca="1">IF($D576&lt;&gt;"Serviço",0,IF(ACOMPANHAMENTO="BM",ROUND(OFFSET(ORÇAMENTO!AJ$15,ROW(H576)-ROW(H$15),0),15-13*ORÇAMENTO!$AF$7),SUMPRODUCT(($Q$12:$AI$12&lt;&gt;"")*ROUND($Q576:$AI576,15-13*ORÇAMENTO!$AF$7))))</f>
        <v>11</v>
      </c>
      <c r="I576" s="650"/>
      <c r="K576" s="208"/>
      <c r="L576" s="209" t="s">
        <v>257</v>
      </c>
      <c r="M576" s="210">
        <f ca="1">IF($D576&lt;&gt;"Serviço","",IF(AUTOEVENTO="manual",$A576,IF(ISERROR(MATCH($A576,$A$15:OFFSET($A576,-1,0),0)),MAX($M$15:OFFSET(M576,-1,0))+1,INDEX($M$15:OFFSET(M576,-1,0),MATCH($A576,$A$15:OFFSET($A576,-1,0),0)))))</f>
        <v>0</v>
      </c>
      <c r="N576" s="211" t="str">
        <f ca="1">IF($D576&lt;&gt;"Serviço","",IF(AUTOEVENTO="Manual",IF($A576=0,"&lt;-- defina o número do agrupador",OFFSET(EVENTOS!$D$14,$A576,0)),OFFSET($F$15,$A576,0)))</f>
        <v>&lt;-- defina o número do agrupador</v>
      </c>
      <c r="O576" s="212"/>
      <c r="Q576" s="212"/>
      <c r="R576" s="213"/>
      <c r="S576" s="213"/>
      <c r="T576" s="213"/>
      <c r="U576" s="213"/>
      <c r="V576" s="213"/>
      <c r="W576" s="213"/>
      <c r="X576" s="213"/>
      <c r="Y576" s="213"/>
      <c r="Z576" s="214"/>
      <c r="AA576" s="213"/>
      <c r="AB576" s="213"/>
      <c r="AC576" s="213"/>
      <c r="AD576" s="213"/>
      <c r="AE576" s="213"/>
      <c r="AF576" s="213"/>
      <c r="AG576" s="213"/>
      <c r="AH576" s="214"/>
      <c r="AJ576" s="631">
        <f ca="1">IF(AND($D576="Serviço",AJ$12&lt;&gt;0,$H576&gt;0,OR(AUTOEVENTO&lt;&gt;"manual",$M576&lt;&gt;1)),ROUND(OFFSET($P576,0,AJ$13),15-13*ORÇAMENTO!$AF$7)/$H576*OFFSET(ORÇAMENTO!$X$15,ROW(AJ576)-ROW(AJ$15),0),0)</f>
        <v>0</v>
      </c>
      <c r="AK576" s="632">
        <f ca="1">IF(AND($D576="Serviço",AK$12&lt;&gt;0,$H576&gt;0,OR(AUTOEVENTO&lt;&gt;"manual",$M576&lt;&gt;1)),ROUND(OFFSET($P576,0,AK$13),15-13*ORÇAMENTO!$AF$7)/$H576*OFFSET(ORÇAMENTO!$X$15,ROW(AK576)-ROW(AK$15),0),0)</f>
        <v>0</v>
      </c>
      <c r="AL576" s="632">
        <f ca="1">IF(AND($D576="Serviço",AL$12&lt;&gt;0,$H576&gt;0,OR(AUTOEVENTO&lt;&gt;"manual",$M576&lt;&gt;1)),ROUND(OFFSET($P576,0,AL$13),15-13*ORÇAMENTO!$AF$7)/$H576*OFFSET(ORÇAMENTO!$X$15,ROW(AL576)-ROW(AL$15),0),0)</f>
        <v>0</v>
      </c>
      <c r="AM576" s="632">
        <f ca="1">IF(AND($D576="Serviço",AM$12&lt;&gt;0,$H576&gt;0,OR(AUTOEVENTO&lt;&gt;"manual",$M576&lt;&gt;1)),ROUND(OFFSET($P576,0,AM$13),15-13*ORÇAMENTO!$AF$7)/$H576*OFFSET(ORÇAMENTO!$X$15,ROW(AM576)-ROW(AM$15),0),0)</f>
        <v>0</v>
      </c>
      <c r="AN576" s="632">
        <f ca="1">IF(AND($D576="Serviço",AN$12&lt;&gt;0,$H576&gt;0,OR(AUTOEVENTO&lt;&gt;"manual",$M576&lt;&gt;1)),ROUND(OFFSET($P576,0,AN$13),15-13*ORÇAMENTO!$AF$7)/$H576*OFFSET(ORÇAMENTO!$X$15,ROW(AN576)-ROW(AN$15),0),0)</f>
        <v>0</v>
      </c>
      <c r="AO576" s="632">
        <f ca="1">IF(AND($D576="Serviço",AO$12&lt;&gt;0,$H576&gt;0,OR(AUTOEVENTO&lt;&gt;"manual",$M576&lt;&gt;1)),ROUND(OFFSET($P576,0,AO$13),15-13*ORÇAMENTO!$AF$7)/$H576*OFFSET(ORÇAMENTO!$X$15,ROW(AO576)-ROW(AO$15),0),0)</f>
        <v>0</v>
      </c>
      <c r="AP576" s="632">
        <f ca="1">IF(AND($D576="Serviço",AP$12&lt;&gt;0,$H576&gt;0,OR(AUTOEVENTO&lt;&gt;"manual",$M576&lt;&gt;1)),ROUND(OFFSET($P576,0,AP$13),15-13*ORÇAMENTO!$AF$7)/$H576*OFFSET(ORÇAMENTO!$X$15,ROW(AP576)-ROW(AP$15),0),0)</f>
        <v>0</v>
      </c>
      <c r="AQ576" s="632">
        <f ca="1">IF(AND($D576="Serviço",AQ$12&lt;&gt;0,$H576&gt;0,OR(AUTOEVENTO&lt;&gt;"manual",$M576&lt;&gt;1)),ROUND(OFFSET($P576,0,AQ$13),15-13*ORÇAMENTO!$AF$7)/$H576*OFFSET(ORÇAMENTO!$X$15,ROW(AQ576)-ROW(AQ$15),0),0)</f>
        <v>0</v>
      </c>
      <c r="AR576" s="632">
        <f ca="1">IF(AND($D576="Serviço",AR$12&lt;&gt;0,$H576&gt;0,OR(AUTOEVENTO&lt;&gt;"manual",$M576&lt;&gt;1)),ROUND(OFFSET($P576,0,AR$13),15-13*ORÇAMENTO!$AF$7)/$H576*OFFSET(ORÇAMENTO!$X$15,ROW(AR576)-ROW(AR$15),0),0)</f>
        <v>0</v>
      </c>
      <c r="AS576" s="633">
        <f ca="1">IF(AND($D576="Serviço",AS$12&lt;&gt;0,$H576&gt;0,OR(AUTOEVENTO&lt;&gt;"manual",$M576&lt;&gt;1)),ROUND(OFFSET($P576,0,AS$13),15-13*ORÇAMENTO!$AF$7)/$H576*OFFSET(ORÇAMENTO!$X$15,ROW(AS576)-ROW(AS$15),0),0)</f>
        <v>0</v>
      </c>
      <c r="AT576" s="632">
        <f ca="1">IF(AND($D576="Serviço",AT$12&lt;&gt;0,$H576&gt;0,OR(AUTOEVENTO&lt;&gt;"manual",$M576&lt;&gt;1)),ROUND(OFFSET($P576,0,AT$13),15-13*ORÇAMENTO!$AF$7)/$H576*OFFSET(ORÇAMENTO!$X$15,ROW(AT576)-ROW(AT$15),0),0)</f>
        <v>0</v>
      </c>
      <c r="AU576" s="632">
        <f ca="1">IF(AND($D576="Serviço",AU$12&lt;&gt;0,$H576&gt;0,OR(AUTOEVENTO&lt;&gt;"manual",$M576&lt;&gt;1)),ROUND(OFFSET($P576,0,AU$13),15-13*ORÇAMENTO!$AF$7)/$H576*OFFSET(ORÇAMENTO!$X$15,ROW(AU576)-ROW(AU$15),0),0)</f>
        <v>0</v>
      </c>
      <c r="AV576" s="632">
        <f ca="1">IF(AND($D576="Serviço",AV$12&lt;&gt;0,$H576&gt;0,OR(AUTOEVENTO&lt;&gt;"manual",$M576&lt;&gt;1)),ROUND(OFFSET($P576,0,AV$13),15-13*ORÇAMENTO!$AF$7)/$H576*OFFSET(ORÇAMENTO!$X$15,ROW(AV576)-ROW(AV$15),0),0)</f>
        <v>0</v>
      </c>
      <c r="AW576" s="632">
        <f ca="1">IF(AND($D576="Serviço",AW$12&lt;&gt;0,$H576&gt;0,OR(AUTOEVENTO&lt;&gt;"manual",$M576&lt;&gt;1)),ROUND(OFFSET($P576,0,AW$13),15-13*ORÇAMENTO!$AF$7)/$H576*OFFSET(ORÇAMENTO!$X$15,ROW(AW576)-ROW(AW$15),0),0)</f>
        <v>0</v>
      </c>
      <c r="AX576" s="632">
        <f ca="1">IF(AND($D576="Serviço",AX$12&lt;&gt;0,$H576&gt;0,OR(AUTOEVENTO&lt;&gt;"manual",$M576&lt;&gt;1)),ROUND(OFFSET($P576,0,AX$13),15-13*ORÇAMENTO!$AF$7)/$H576*OFFSET(ORÇAMENTO!$X$15,ROW(AX576)-ROW(AX$15),0),0)</f>
        <v>0</v>
      </c>
      <c r="AY576" s="632">
        <f ca="1">IF(AND($D576="Serviço",AY$12&lt;&gt;0,$H576&gt;0,OR(AUTOEVENTO&lt;&gt;"manual",$M576&lt;&gt;1)),ROUND(OFFSET($P576,0,AY$13),15-13*ORÇAMENTO!$AF$7)/$H576*OFFSET(ORÇAMENTO!$X$15,ROW(AY576)-ROW(AY$15),0),0)</f>
        <v>0</v>
      </c>
      <c r="AZ576" s="632">
        <f ca="1">IF(AND($D576="Serviço",AZ$12&lt;&gt;0,$H576&gt;0,OR(AUTOEVENTO&lt;&gt;"manual",$M576&lt;&gt;1)),ROUND(OFFSET($P576,0,AZ$13),15-13*ORÇAMENTO!$AF$7)/$H576*OFFSET(ORÇAMENTO!$X$15,ROW(AZ576)-ROW(AZ$15),0),0)</f>
        <v>0</v>
      </c>
      <c r="BA576" s="633">
        <f ca="1">IF(AND($D576="Serviço",BA$12&lt;&gt;0,$H576&gt;0,OR(AUTOEVENTO&lt;&gt;"manual",$M576&lt;&gt;1)),ROUND(OFFSET($P576,0,BA$13),15-13*ORÇAMENTO!$AF$7)/$H576*OFFSET(ORÇAMENTO!$X$15,ROW(BA576)-ROW(BA$15),0),0)</f>
        <v>0</v>
      </c>
      <c r="BC576" s="215">
        <f ca="1">IF($D576&lt;&gt;"Serviço",0,IF(AND(AUTOEVENTO="Manual",$M576=1),0,IF(OFFSET(CRONOPLE!$F$14,$M576,BC$13)="",10^12,OFFSET(CRONOPLE!$F$14,$M576,BC$13))))</f>
        <v>1000000000000</v>
      </c>
      <c r="BD576" s="215">
        <f ca="1">IF($D576&lt;&gt;"Serviço",0,IF(AND(AUTOEVENTO="Manual",$M576=1),0,IF(OFFSET(CRONOPLE!$F$14,$M576,BD$13)="",10^12,OFFSET(CRONOPLE!$F$14,$M576,BD$13))))</f>
        <v>1000000000000</v>
      </c>
      <c r="BE576" s="215">
        <f ca="1">IF($D576&lt;&gt;"Serviço",0,IF(AND(AUTOEVENTO="Manual",$M576=1),0,IF(OFFSET(CRONOPLE!$F$14,$M576,BE$13)="",10^12,OFFSET(CRONOPLE!$F$14,$M576,BE$13))))</f>
        <v>1000000000000</v>
      </c>
      <c r="BF576" s="215">
        <f ca="1">IF($D576&lt;&gt;"Serviço",0,IF(AND(AUTOEVENTO="Manual",$M576=1),0,IF(OFFSET(CRONOPLE!$F$14,$M576,BF$13)="",10^12,OFFSET(CRONOPLE!$F$14,$M576,BF$13))))</f>
        <v>1000000000000</v>
      </c>
      <c r="BG576" s="215">
        <f ca="1">IF($D576&lt;&gt;"Serviço",0,IF(AND(AUTOEVENTO="Manual",$M576=1),0,IF(OFFSET(CRONOPLE!$F$14,$M576,BG$13)="",10^12,OFFSET(CRONOPLE!$F$14,$M576,BG$13))))</f>
        <v>1000000000000</v>
      </c>
      <c r="BH576" s="215">
        <f ca="1">IF($D576&lt;&gt;"Serviço",0,IF(AND(AUTOEVENTO="Manual",$M576=1),0,IF(OFFSET(CRONOPLE!$F$14,$M576,BH$13)="",10^12,OFFSET(CRONOPLE!$F$14,$M576,BH$13))))</f>
        <v>1000000000000</v>
      </c>
      <c r="BI576" s="215">
        <f ca="1">IF($D576&lt;&gt;"Serviço",0,IF(AND(AUTOEVENTO="Manual",$M576=1),0,IF(OFFSET(CRONOPLE!$F$14,$M576,BI$13)="",10^12,OFFSET(CRONOPLE!$F$14,$M576,BI$13))))</f>
        <v>1000000000000</v>
      </c>
      <c r="BJ576" s="215">
        <f ca="1">IF($D576&lt;&gt;"Serviço",0,IF(AND(AUTOEVENTO="Manual",$M576=1),0,IF(OFFSET(CRONOPLE!$F$14,$M576,BJ$13)="",10^12,OFFSET(CRONOPLE!$F$14,$M576,BJ$13))))</f>
        <v>1000000000000</v>
      </c>
      <c r="BK576" s="215">
        <f ca="1">IF($D576&lt;&gt;"Serviço",0,IF(AND(AUTOEVENTO="Manual",$M576=1),0,IF(OFFSET(CRONOPLE!$F$14,$M576,BK$13)="",10^12,OFFSET(CRONOPLE!$F$14,$M576,BK$13))))</f>
        <v>1000000000000</v>
      </c>
      <c r="BL576" s="215">
        <f ca="1">IF($D576&lt;&gt;"Serviço",0,IF(AND(AUTOEVENTO="Manual",$M576=1),0,IF(OFFSET(CRONOPLE!$F$14,$M576,BL$13)="",10^12,OFFSET(CRONOPLE!$F$14,$M576,BL$13))))</f>
        <v>1000000000000</v>
      </c>
      <c r="BM576" s="215">
        <f ca="1">IF($D576&lt;&gt;"Serviço",0,IF(AND(AUTOEVENTO="Manual",$M576=1),0,IF(OFFSET(CRONOPLE!$F$14,$M576,BM$13)="",10^12,OFFSET(CRONOPLE!$F$14,$M576,BM$13))))</f>
        <v>1000000000000</v>
      </c>
      <c r="BN576" s="215">
        <f ca="1">IF($D576&lt;&gt;"Serviço",0,IF(AND(AUTOEVENTO="Manual",$M576=1),0,IF(OFFSET(CRONOPLE!$F$14,$M576,BN$13)="",10^12,OFFSET(CRONOPLE!$F$14,$M576,BN$13))))</f>
        <v>1000000000000</v>
      </c>
      <c r="BO576" s="215">
        <f ca="1">IF($D576&lt;&gt;"Serviço",0,IF(AND(AUTOEVENTO="Manual",$M576=1),0,IF(OFFSET(CRONOPLE!$F$14,$M576,BO$13)="",10^12,OFFSET(CRONOPLE!$F$14,$M576,BO$13))))</f>
        <v>1000000000000</v>
      </c>
      <c r="BP576" s="215">
        <f ca="1">IF($D576&lt;&gt;"Serviço",0,IF(AND(AUTOEVENTO="Manual",$M576=1),0,IF(OFFSET(CRONOPLE!$F$14,$M576,BP$13)="",10^12,OFFSET(CRONOPLE!$F$14,$M576,BP$13))))</f>
        <v>1000000000000</v>
      </c>
      <c r="BQ576" s="215">
        <f ca="1">IF($D576&lt;&gt;"Serviço",0,IF(AND(AUTOEVENTO="Manual",$M576=1),0,IF(OFFSET(CRONOPLE!$F$14,$M576,BQ$13)="",10^12,OFFSET(CRONOPLE!$F$14,$M576,BQ$13))))</f>
        <v>1000000000000</v>
      </c>
      <c r="BR576" s="215">
        <f ca="1">IF($D576&lt;&gt;"Serviço",0,IF(AND(AUTOEVENTO="Manual",$M576=1),0,IF(OFFSET(CRONOPLE!$F$14,$M576,BR$13)="",10^12,OFFSET(CRONOPLE!$F$14,$M576,BR$13))))</f>
        <v>1000000000000</v>
      </c>
      <c r="BS576" s="215">
        <f ca="1">IF($D576&lt;&gt;"Serviço",0,IF(AND(AUTOEVENTO="Manual",$M576=1),0,IF(OFFSET(CRONOPLE!$F$14,$M576,BS$13)="",10^12,OFFSET(CRONOPLE!$F$14,$M576,BS$13))))</f>
        <v>1000000000000</v>
      </c>
      <c r="BT576" s="215">
        <f ca="1">IF($D576&lt;&gt;"Serviço",0,IF(AND(AUTOEVENTO="Manual",$M576=1),0,IF(OFFSET(CRONOPLE!$F$14,$M576,BT$13)="",10^12,OFFSET(CRONOPLE!$F$14,$M576,BT$13))))</f>
        <v>1000000000000</v>
      </c>
      <c r="BV576" s="216">
        <f ca="1">IF($D576&lt;&gt;"Serviço",0,IF(OR(AND(AUTOEVENTO="Manual",$M576=1),$M576&gt;(ROW(PLE.lastrow)-ROW(PLE.firstrow))),0,IF(OFFSET(PLE!$G$14,$M576,BV$13)="",10^12,OFFSET(PLE!$G$14,$M576,BV$13))))</f>
        <v>1000000000000</v>
      </c>
      <c r="BW576" s="216">
        <f ca="1">IF($D576&lt;&gt;"Serviço",0,IF(OR(AND(AUTOEVENTO="Manual",$M576=1),$M576&gt;(ROW(PLE.lastrow)-ROW(PLE.firstrow))),0,IF(OFFSET(PLE!$G$14,$M576,BW$13)="",10^12,OFFSET(PLE!$G$14,$M576,BW$13))))</f>
        <v>1000000000000</v>
      </c>
      <c r="BX576" s="216">
        <f ca="1">IF($D576&lt;&gt;"Serviço",0,IF(OR(AND(AUTOEVENTO="Manual",$M576=1),$M576&gt;(ROW(PLE.lastrow)-ROW(PLE.firstrow))),0,IF(OFFSET(PLE!$G$14,$M576,BX$13)="",10^12,OFFSET(PLE!$G$14,$M576,BX$13))))</f>
        <v>1000000000000</v>
      </c>
      <c r="BY576" s="216">
        <f ca="1">IF($D576&lt;&gt;"Serviço",0,IF(OR(AND(AUTOEVENTO="Manual",$M576=1),$M576&gt;(ROW(PLE.lastrow)-ROW(PLE.firstrow))),0,IF(OFFSET(PLE!$G$14,$M576,BY$13)="",10^12,OFFSET(PLE!$G$14,$M576,BY$13))))</f>
        <v>1000000000000</v>
      </c>
      <c r="BZ576" s="216">
        <f ca="1">IF($D576&lt;&gt;"Serviço",0,IF(OR(AND(AUTOEVENTO="Manual",$M576=1),$M576&gt;(ROW(PLE.lastrow)-ROW(PLE.firstrow))),0,IF(OFFSET(PLE!$G$14,$M576,BZ$13)="",10^12,OFFSET(PLE!$G$14,$M576,BZ$13))))</f>
        <v>1000000000000</v>
      </c>
      <c r="CA576" s="216">
        <f ca="1">IF($D576&lt;&gt;"Serviço",0,IF(OR(AND(AUTOEVENTO="Manual",$M576=1),$M576&gt;(ROW(PLE.lastrow)-ROW(PLE.firstrow))),0,IF(OFFSET(PLE!$G$14,$M576,CA$13)="",10^12,OFFSET(PLE!$G$14,$M576,CA$13))))</f>
        <v>1000000000000</v>
      </c>
      <c r="CB576" s="216">
        <f ca="1">IF($D576&lt;&gt;"Serviço",0,IF(OR(AND(AUTOEVENTO="Manual",$M576=1),$M576&gt;(ROW(PLE.lastrow)-ROW(PLE.firstrow))),0,IF(OFFSET(PLE!$G$14,$M576,CB$13)="",10^12,OFFSET(PLE!$G$14,$M576,CB$13))))</f>
        <v>1000000000000</v>
      </c>
      <c r="CC576" s="216">
        <f ca="1">IF($D576&lt;&gt;"Serviço",0,IF(OR(AND(AUTOEVENTO="Manual",$M576=1),$M576&gt;(ROW(PLE.lastrow)-ROW(PLE.firstrow))),0,IF(OFFSET(PLE!$G$14,$M576,CC$13)="",10^12,OFFSET(PLE!$G$14,$M576,CC$13))))</f>
        <v>1000000000000</v>
      </c>
      <c r="CD576" s="216">
        <f ca="1">IF($D576&lt;&gt;"Serviço",0,IF(OR(AND(AUTOEVENTO="Manual",$M576=1),$M576&gt;(ROW(PLE.lastrow)-ROW(PLE.firstrow))),0,IF(OFFSET(PLE!$G$14,$M576,CD$13)="",10^12,OFFSET(PLE!$G$14,$M576,CD$13))))</f>
        <v>1000000000000</v>
      </c>
      <c r="CE576" s="216">
        <f ca="1">IF($D576&lt;&gt;"Serviço",0,IF(OR(AND(AUTOEVENTO="Manual",$M576=1),$M576&gt;(ROW(PLE.lastrow)-ROW(PLE.firstrow))),0,IF(OFFSET(PLE!$G$14,$M576,CE$13)="",10^12,OFFSET(PLE!$G$14,$M576,CE$13))))</f>
        <v>1000000000000</v>
      </c>
      <c r="CF576" s="216">
        <f ca="1">IF($D576&lt;&gt;"Serviço",0,IF(OR(AND(AUTOEVENTO="Manual",$M576=1),$M576&gt;(ROW(PLE.lastrow)-ROW(PLE.firstrow))),0,IF(OFFSET(PLE!$G$14,$M576,CF$13)="",10^12,OFFSET(PLE!$G$14,$M576,CF$13))))</f>
        <v>1000000000000</v>
      </c>
      <c r="CG576" s="216">
        <f ca="1">IF($D576&lt;&gt;"Serviço",0,IF(OR(AND(AUTOEVENTO="Manual",$M576=1),$M576&gt;(ROW(PLE.lastrow)-ROW(PLE.firstrow))),0,IF(OFFSET(PLE!$G$14,$M576,CG$13)="",10^12,OFFSET(PLE!$G$14,$M576,CG$13))))</f>
        <v>1000000000000</v>
      </c>
      <c r="CH576" s="216">
        <f ca="1">IF($D576&lt;&gt;"Serviço",0,IF(OR(AND(AUTOEVENTO="Manual",$M576=1),$M576&gt;(ROW(PLE.lastrow)-ROW(PLE.firstrow))),0,IF(OFFSET(PLE!$G$14,$M576,CH$13)="",10^12,OFFSET(PLE!$G$14,$M576,CH$13))))</f>
        <v>1000000000000</v>
      </c>
      <c r="CI576" s="216">
        <f ca="1">IF($D576&lt;&gt;"Serviço",0,IF(OR(AND(AUTOEVENTO="Manual",$M576=1),$M576&gt;(ROW(PLE.lastrow)-ROW(PLE.firstrow))),0,IF(OFFSET(PLE!$G$14,$M576,CI$13)="",10^12,OFFSET(PLE!$G$14,$M576,CI$13))))</f>
        <v>1000000000000</v>
      </c>
      <c r="CJ576" s="216">
        <f ca="1">IF($D576&lt;&gt;"Serviço",0,IF(OR(AND(AUTOEVENTO="Manual",$M576=1),$M576&gt;(ROW(PLE.lastrow)-ROW(PLE.firstrow))),0,IF(OFFSET(PLE!$G$14,$M576,CJ$13)="",10^12,OFFSET(PLE!$G$14,$M576,CJ$13))))</f>
        <v>1000000000000</v>
      </c>
      <c r="CK576" s="216">
        <f ca="1">IF($D576&lt;&gt;"Serviço",0,IF(OR(AND(AUTOEVENTO="Manual",$M576=1),$M576&gt;(ROW(PLE.lastrow)-ROW(PLE.firstrow))),0,IF(OFFSET(PLE!$G$14,$M576,CK$13)="",10^12,OFFSET(PLE!$G$14,$M576,CK$13))))</f>
        <v>1000000000000</v>
      </c>
      <c r="CL576" s="216">
        <f ca="1">IF($D576&lt;&gt;"Serviço",0,IF(OR(AND(AUTOEVENTO="Manual",$M576=1),$M576&gt;(ROW(PLE.lastrow)-ROW(PLE.firstrow))),0,IF(OFFSET(PLE!$G$14,$M576,CL$13)="",10^12,OFFSET(PLE!$G$14,$M576,CL$13))))</f>
        <v>1000000000000</v>
      </c>
      <c r="CM576" s="216">
        <f ca="1">IF($D576&lt;&gt;"Serviço",0,IF(OR(AND(AUTOEVENTO="Manual",$M576=1),$M576&gt;(ROW(PLE.lastrow)-ROW(PLE.firstrow))),0,IF(OFFSET(PLE!$G$14,$M576,CM$13)="",10^12,OFFSET(PLE!$G$14,$M576,CM$13))))</f>
        <v>1000000000000</v>
      </c>
    </row>
    <row r="577" spans="1:91" ht="13.2" x14ac:dyDescent="0.25">
      <c r="A577" s="9">
        <f t="shared" ca="1" si="17"/>
        <v>0</v>
      </c>
      <c r="B577" s="9" t="str">
        <f ca="1">OFFSET(ORÇAMENTO!C$15,ROW(B577)-ROW(B$15),0)</f>
        <v>S</v>
      </c>
      <c r="C577" s="9" t="str">
        <f ca="1">OFFSET(ORÇAMENTO!L$15,ROW(C577)-ROW(C$15),0)</f>
        <v/>
      </c>
      <c r="D577" s="145" t="str">
        <f ca="1">OFFSET(ORÇAMENTO!N$15,ROW(D577)-ROW(D$15),0)</f>
        <v>Serviço</v>
      </c>
      <c r="E577" s="205" t="str">
        <f ca="1">OFFSET(ORÇAMENTO!O$15,ROW(E577)-ROW(E$15),0)</f>
        <v>-</v>
      </c>
      <c r="F577" s="206" t="str">
        <f ca="1">OFFSET(ORÇAMENTO!R$15,ROW(F577)-ROW(F$15),0)</f>
        <v>(abra o arquivo 'Referência 05-2024.xls)</v>
      </c>
      <c r="G577" s="207" t="str">
        <f ca="1">IF($D577&lt;&gt;"Serviço","",OFFSET(ORÇAMENTO!S$15,ROW(G577)-ROW(G$15),0))</f>
        <v>-</v>
      </c>
      <c r="H577" s="151">
        <f ca="1">IF($D577&lt;&gt;"Serviço",0,IF(ACOMPANHAMENTO="BM",ROUND(OFFSET(ORÇAMENTO!AJ$15,ROW(H577)-ROW(H$15),0),15-13*ORÇAMENTO!$AF$7),SUMPRODUCT(($Q$12:$AI$12&lt;&gt;"")*ROUND($Q577:$AI577,15-13*ORÇAMENTO!$AF$7))))</f>
        <v>24</v>
      </c>
      <c r="I577" s="650"/>
      <c r="K577" s="208"/>
      <c r="L577" s="209" t="s">
        <v>257</v>
      </c>
      <c r="M577" s="210">
        <f ca="1">IF($D577&lt;&gt;"Serviço","",IF(AUTOEVENTO="manual",$A577,IF(ISERROR(MATCH($A577,$A$15:OFFSET($A577,-1,0),0)),MAX($M$15:OFFSET(M577,-1,0))+1,INDEX($M$15:OFFSET(M577,-1,0),MATCH($A577,$A$15:OFFSET($A577,-1,0),0)))))</f>
        <v>0</v>
      </c>
      <c r="N577" s="211" t="str">
        <f ca="1">IF($D577&lt;&gt;"Serviço","",IF(AUTOEVENTO="Manual",IF($A577=0,"&lt;-- defina o número do agrupador",OFFSET(EVENTOS!$D$14,$A577,0)),OFFSET($F$15,$A577,0)))</f>
        <v>&lt;-- defina o número do agrupador</v>
      </c>
      <c r="O577" s="212"/>
      <c r="Q577" s="212"/>
      <c r="R577" s="213"/>
      <c r="S577" s="213"/>
      <c r="T577" s="213"/>
      <c r="U577" s="213"/>
      <c r="V577" s="213"/>
      <c r="W577" s="213"/>
      <c r="X577" s="213"/>
      <c r="Y577" s="213"/>
      <c r="Z577" s="214"/>
      <c r="AA577" s="213"/>
      <c r="AB577" s="213"/>
      <c r="AC577" s="213"/>
      <c r="AD577" s="213"/>
      <c r="AE577" s="213"/>
      <c r="AF577" s="213"/>
      <c r="AG577" s="213"/>
      <c r="AH577" s="214"/>
      <c r="AJ577" s="631">
        <f ca="1">IF(AND($D577="Serviço",AJ$12&lt;&gt;0,$H577&gt;0,OR(AUTOEVENTO&lt;&gt;"manual",$M577&lt;&gt;1)),ROUND(OFFSET($P577,0,AJ$13),15-13*ORÇAMENTO!$AF$7)/$H577*OFFSET(ORÇAMENTO!$X$15,ROW(AJ577)-ROW(AJ$15),0),0)</f>
        <v>0</v>
      </c>
      <c r="AK577" s="632">
        <f ca="1">IF(AND($D577="Serviço",AK$12&lt;&gt;0,$H577&gt;0,OR(AUTOEVENTO&lt;&gt;"manual",$M577&lt;&gt;1)),ROUND(OFFSET($P577,0,AK$13),15-13*ORÇAMENTO!$AF$7)/$H577*OFFSET(ORÇAMENTO!$X$15,ROW(AK577)-ROW(AK$15),0),0)</f>
        <v>0</v>
      </c>
      <c r="AL577" s="632">
        <f ca="1">IF(AND($D577="Serviço",AL$12&lt;&gt;0,$H577&gt;0,OR(AUTOEVENTO&lt;&gt;"manual",$M577&lt;&gt;1)),ROUND(OFFSET($P577,0,AL$13),15-13*ORÇAMENTO!$AF$7)/$H577*OFFSET(ORÇAMENTO!$X$15,ROW(AL577)-ROW(AL$15),0),0)</f>
        <v>0</v>
      </c>
      <c r="AM577" s="632">
        <f ca="1">IF(AND($D577="Serviço",AM$12&lt;&gt;0,$H577&gt;0,OR(AUTOEVENTO&lt;&gt;"manual",$M577&lt;&gt;1)),ROUND(OFFSET($P577,0,AM$13),15-13*ORÇAMENTO!$AF$7)/$H577*OFFSET(ORÇAMENTO!$X$15,ROW(AM577)-ROW(AM$15),0),0)</f>
        <v>0</v>
      </c>
      <c r="AN577" s="632">
        <f ca="1">IF(AND($D577="Serviço",AN$12&lt;&gt;0,$H577&gt;0,OR(AUTOEVENTO&lt;&gt;"manual",$M577&lt;&gt;1)),ROUND(OFFSET($P577,0,AN$13),15-13*ORÇAMENTO!$AF$7)/$H577*OFFSET(ORÇAMENTO!$X$15,ROW(AN577)-ROW(AN$15),0),0)</f>
        <v>0</v>
      </c>
      <c r="AO577" s="632">
        <f ca="1">IF(AND($D577="Serviço",AO$12&lt;&gt;0,$H577&gt;0,OR(AUTOEVENTO&lt;&gt;"manual",$M577&lt;&gt;1)),ROUND(OFFSET($P577,0,AO$13),15-13*ORÇAMENTO!$AF$7)/$H577*OFFSET(ORÇAMENTO!$X$15,ROW(AO577)-ROW(AO$15),0),0)</f>
        <v>0</v>
      </c>
      <c r="AP577" s="632">
        <f ca="1">IF(AND($D577="Serviço",AP$12&lt;&gt;0,$H577&gt;0,OR(AUTOEVENTO&lt;&gt;"manual",$M577&lt;&gt;1)),ROUND(OFFSET($P577,0,AP$13),15-13*ORÇAMENTO!$AF$7)/$H577*OFFSET(ORÇAMENTO!$X$15,ROW(AP577)-ROW(AP$15),0),0)</f>
        <v>0</v>
      </c>
      <c r="AQ577" s="632">
        <f ca="1">IF(AND($D577="Serviço",AQ$12&lt;&gt;0,$H577&gt;0,OR(AUTOEVENTO&lt;&gt;"manual",$M577&lt;&gt;1)),ROUND(OFFSET($P577,0,AQ$13),15-13*ORÇAMENTO!$AF$7)/$H577*OFFSET(ORÇAMENTO!$X$15,ROW(AQ577)-ROW(AQ$15),0),0)</f>
        <v>0</v>
      </c>
      <c r="AR577" s="632">
        <f ca="1">IF(AND($D577="Serviço",AR$12&lt;&gt;0,$H577&gt;0,OR(AUTOEVENTO&lt;&gt;"manual",$M577&lt;&gt;1)),ROUND(OFFSET($P577,0,AR$13),15-13*ORÇAMENTO!$AF$7)/$H577*OFFSET(ORÇAMENTO!$X$15,ROW(AR577)-ROW(AR$15),0),0)</f>
        <v>0</v>
      </c>
      <c r="AS577" s="633">
        <f ca="1">IF(AND($D577="Serviço",AS$12&lt;&gt;0,$H577&gt;0,OR(AUTOEVENTO&lt;&gt;"manual",$M577&lt;&gt;1)),ROUND(OFFSET($P577,0,AS$13),15-13*ORÇAMENTO!$AF$7)/$H577*OFFSET(ORÇAMENTO!$X$15,ROW(AS577)-ROW(AS$15),0),0)</f>
        <v>0</v>
      </c>
      <c r="AT577" s="632">
        <f ca="1">IF(AND($D577="Serviço",AT$12&lt;&gt;0,$H577&gt;0,OR(AUTOEVENTO&lt;&gt;"manual",$M577&lt;&gt;1)),ROUND(OFFSET($P577,0,AT$13),15-13*ORÇAMENTO!$AF$7)/$H577*OFFSET(ORÇAMENTO!$X$15,ROW(AT577)-ROW(AT$15),0),0)</f>
        <v>0</v>
      </c>
      <c r="AU577" s="632">
        <f ca="1">IF(AND($D577="Serviço",AU$12&lt;&gt;0,$H577&gt;0,OR(AUTOEVENTO&lt;&gt;"manual",$M577&lt;&gt;1)),ROUND(OFFSET($P577,0,AU$13),15-13*ORÇAMENTO!$AF$7)/$H577*OFFSET(ORÇAMENTO!$X$15,ROW(AU577)-ROW(AU$15),0),0)</f>
        <v>0</v>
      </c>
      <c r="AV577" s="632">
        <f ca="1">IF(AND($D577="Serviço",AV$12&lt;&gt;0,$H577&gt;0,OR(AUTOEVENTO&lt;&gt;"manual",$M577&lt;&gt;1)),ROUND(OFFSET($P577,0,AV$13),15-13*ORÇAMENTO!$AF$7)/$H577*OFFSET(ORÇAMENTO!$X$15,ROW(AV577)-ROW(AV$15),0),0)</f>
        <v>0</v>
      </c>
      <c r="AW577" s="632">
        <f ca="1">IF(AND($D577="Serviço",AW$12&lt;&gt;0,$H577&gt;0,OR(AUTOEVENTO&lt;&gt;"manual",$M577&lt;&gt;1)),ROUND(OFFSET($P577,0,AW$13),15-13*ORÇAMENTO!$AF$7)/$H577*OFFSET(ORÇAMENTO!$X$15,ROW(AW577)-ROW(AW$15),0),0)</f>
        <v>0</v>
      </c>
      <c r="AX577" s="632">
        <f ca="1">IF(AND($D577="Serviço",AX$12&lt;&gt;0,$H577&gt;0,OR(AUTOEVENTO&lt;&gt;"manual",$M577&lt;&gt;1)),ROUND(OFFSET($P577,0,AX$13),15-13*ORÇAMENTO!$AF$7)/$H577*OFFSET(ORÇAMENTO!$X$15,ROW(AX577)-ROW(AX$15),0),0)</f>
        <v>0</v>
      </c>
      <c r="AY577" s="632">
        <f ca="1">IF(AND($D577="Serviço",AY$12&lt;&gt;0,$H577&gt;0,OR(AUTOEVENTO&lt;&gt;"manual",$M577&lt;&gt;1)),ROUND(OFFSET($P577,0,AY$13),15-13*ORÇAMENTO!$AF$7)/$H577*OFFSET(ORÇAMENTO!$X$15,ROW(AY577)-ROW(AY$15),0),0)</f>
        <v>0</v>
      </c>
      <c r="AZ577" s="632">
        <f ca="1">IF(AND($D577="Serviço",AZ$12&lt;&gt;0,$H577&gt;0,OR(AUTOEVENTO&lt;&gt;"manual",$M577&lt;&gt;1)),ROUND(OFFSET($P577,0,AZ$13),15-13*ORÇAMENTO!$AF$7)/$H577*OFFSET(ORÇAMENTO!$X$15,ROW(AZ577)-ROW(AZ$15),0),0)</f>
        <v>0</v>
      </c>
      <c r="BA577" s="633">
        <f ca="1">IF(AND($D577="Serviço",BA$12&lt;&gt;0,$H577&gt;0,OR(AUTOEVENTO&lt;&gt;"manual",$M577&lt;&gt;1)),ROUND(OFFSET($P577,0,BA$13),15-13*ORÇAMENTO!$AF$7)/$H577*OFFSET(ORÇAMENTO!$X$15,ROW(BA577)-ROW(BA$15),0),0)</f>
        <v>0</v>
      </c>
      <c r="BC577" s="215">
        <f ca="1">IF($D577&lt;&gt;"Serviço",0,IF(AND(AUTOEVENTO="Manual",$M577=1),0,IF(OFFSET(CRONOPLE!$F$14,$M577,BC$13)="",10^12,OFFSET(CRONOPLE!$F$14,$M577,BC$13))))</f>
        <v>1000000000000</v>
      </c>
      <c r="BD577" s="215">
        <f ca="1">IF($D577&lt;&gt;"Serviço",0,IF(AND(AUTOEVENTO="Manual",$M577=1),0,IF(OFFSET(CRONOPLE!$F$14,$M577,BD$13)="",10^12,OFFSET(CRONOPLE!$F$14,$M577,BD$13))))</f>
        <v>1000000000000</v>
      </c>
      <c r="BE577" s="215">
        <f ca="1">IF($D577&lt;&gt;"Serviço",0,IF(AND(AUTOEVENTO="Manual",$M577=1),0,IF(OFFSET(CRONOPLE!$F$14,$M577,BE$13)="",10^12,OFFSET(CRONOPLE!$F$14,$M577,BE$13))))</f>
        <v>1000000000000</v>
      </c>
      <c r="BF577" s="215">
        <f ca="1">IF($D577&lt;&gt;"Serviço",0,IF(AND(AUTOEVENTO="Manual",$M577=1),0,IF(OFFSET(CRONOPLE!$F$14,$M577,BF$13)="",10^12,OFFSET(CRONOPLE!$F$14,$M577,BF$13))))</f>
        <v>1000000000000</v>
      </c>
      <c r="BG577" s="215">
        <f ca="1">IF($D577&lt;&gt;"Serviço",0,IF(AND(AUTOEVENTO="Manual",$M577=1),0,IF(OFFSET(CRONOPLE!$F$14,$M577,BG$13)="",10^12,OFFSET(CRONOPLE!$F$14,$M577,BG$13))))</f>
        <v>1000000000000</v>
      </c>
      <c r="BH577" s="215">
        <f ca="1">IF($D577&lt;&gt;"Serviço",0,IF(AND(AUTOEVENTO="Manual",$M577=1),0,IF(OFFSET(CRONOPLE!$F$14,$M577,BH$13)="",10^12,OFFSET(CRONOPLE!$F$14,$M577,BH$13))))</f>
        <v>1000000000000</v>
      </c>
      <c r="BI577" s="215">
        <f ca="1">IF($D577&lt;&gt;"Serviço",0,IF(AND(AUTOEVENTO="Manual",$M577=1),0,IF(OFFSET(CRONOPLE!$F$14,$M577,BI$13)="",10^12,OFFSET(CRONOPLE!$F$14,$M577,BI$13))))</f>
        <v>1000000000000</v>
      </c>
      <c r="BJ577" s="215">
        <f ca="1">IF($D577&lt;&gt;"Serviço",0,IF(AND(AUTOEVENTO="Manual",$M577=1),0,IF(OFFSET(CRONOPLE!$F$14,$M577,BJ$13)="",10^12,OFFSET(CRONOPLE!$F$14,$M577,BJ$13))))</f>
        <v>1000000000000</v>
      </c>
      <c r="BK577" s="215">
        <f ca="1">IF($D577&lt;&gt;"Serviço",0,IF(AND(AUTOEVENTO="Manual",$M577=1),0,IF(OFFSET(CRONOPLE!$F$14,$M577,BK$13)="",10^12,OFFSET(CRONOPLE!$F$14,$M577,BK$13))))</f>
        <v>1000000000000</v>
      </c>
      <c r="BL577" s="215">
        <f ca="1">IF($D577&lt;&gt;"Serviço",0,IF(AND(AUTOEVENTO="Manual",$M577=1),0,IF(OFFSET(CRONOPLE!$F$14,$M577,BL$13)="",10^12,OFFSET(CRONOPLE!$F$14,$M577,BL$13))))</f>
        <v>1000000000000</v>
      </c>
      <c r="BM577" s="215">
        <f ca="1">IF($D577&lt;&gt;"Serviço",0,IF(AND(AUTOEVENTO="Manual",$M577=1),0,IF(OFFSET(CRONOPLE!$F$14,$M577,BM$13)="",10^12,OFFSET(CRONOPLE!$F$14,$M577,BM$13))))</f>
        <v>1000000000000</v>
      </c>
      <c r="BN577" s="215">
        <f ca="1">IF($D577&lt;&gt;"Serviço",0,IF(AND(AUTOEVENTO="Manual",$M577=1),0,IF(OFFSET(CRONOPLE!$F$14,$M577,BN$13)="",10^12,OFFSET(CRONOPLE!$F$14,$M577,BN$13))))</f>
        <v>1000000000000</v>
      </c>
      <c r="BO577" s="215">
        <f ca="1">IF($D577&lt;&gt;"Serviço",0,IF(AND(AUTOEVENTO="Manual",$M577=1),0,IF(OFFSET(CRONOPLE!$F$14,$M577,BO$13)="",10^12,OFFSET(CRONOPLE!$F$14,$M577,BO$13))))</f>
        <v>1000000000000</v>
      </c>
      <c r="BP577" s="215">
        <f ca="1">IF($D577&lt;&gt;"Serviço",0,IF(AND(AUTOEVENTO="Manual",$M577=1),0,IF(OFFSET(CRONOPLE!$F$14,$M577,BP$13)="",10^12,OFFSET(CRONOPLE!$F$14,$M577,BP$13))))</f>
        <v>1000000000000</v>
      </c>
      <c r="BQ577" s="215">
        <f ca="1">IF($D577&lt;&gt;"Serviço",0,IF(AND(AUTOEVENTO="Manual",$M577=1),0,IF(OFFSET(CRONOPLE!$F$14,$M577,BQ$13)="",10^12,OFFSET(CRONOPLE!$F$14,$M577,BQ$13))))</f>
        <v>1000000000000</v>
      </c>
      <c r="BR577" s="215">
        <f ca="1">IF($D577&lt;&gt;"Serviço",0,IF(AND(AUTOEVENTO="Manual",$M577=1),0,IF(OFFSET(CRONOPLE!$F$14,$M577,BR$13)="",10^12,OFFSET(CRONOPLE!$F$14,$M577,BR$13))))</f>
        <v>1000000000000</v>
      </c>
      <c r="BS577" s="215">
        <f ca="1">IF($D577&lt;&gt;"Serviço",0,IF(AND(AUTOEVENTO="Manual",$M577=1),0,IF(OFFSET(CRONOPLE!$F$14,$M577,BS$13)="",10^12,OFFSET(CRONOPLE!$F$14,$M577,BS$13))))</f>
        <v>1000000000000</v>
      </c>
      <c r="BT577" s="215">
        <f ca="1">IF($D577&lt;&gt;"Serviço",0,IF(AND(AUTOEVENTO="Manual",$M577=1),0,IF(OFFSET(CRONOPLE!$F$14,$M577,BT$13)="",10^12,OFFSET(CRONOPLE!$F$14,$M577,BT$13))))</f>
        <v>1000000000000</v>
      </c>
      <c r="BV577" s="216">
        <f ca="1">IF($D577&lt;&gt;"Serviço",0,IF(OR(AND(AUTOEVENTO="Manual",$M577=1),$M577&gt;(ROW(PLE.lastrow)-ROW(PLE.firstrow))),0,IF(OFFSET(PLE!$G$14,$M577,BV$13)="",10^12,OFFSET(PLE!$G$14,$M577,BV$13))))</f>
        <v>1000000000000</v>
      </c>
      <c r="BW577" s="216">
        <f ca="1">IF($D577&lt;&gt;"Serviço",0,IF(OR(AND(AUTOEVENTO="Manual",$M577=1),$M577&gt;(ROW(PLE.lastrow)-ROW(PLE.firstrow))),0,IF(OFFSET(PLE!$G$14,$M577,BW$13)="",10^12,OFFSET(PLE!$G$14,$M577,BW$13))))</f>
        <v>1000000000000</v>
      </c>
      <c r="BX577" s="216">
        <f ca="1">IF($D577&lt;&gt;"Serviço",0,IF(OR(AND(AUTOEVENTO="Manual",$M577=1),$M577&gt;(ROW(PLE.lastrow)-ROW(PLE.firstrow))),0,IF(OFFSET(PLE!$G$14,$M577,BX$13)="",10^12,OFFSET(PLE!$G$14,$M577,BX$13))))</f>
        <v>1000000000000</v>
      </c>
      <c r="BY577" s="216">
        <f ca="1">IF($D577&lt;&gt;"Serviço",0,IF(OR(AND(AUTOEVENTO="Manual",$M577=1),$M577&gt;(ROW(PLE.lastrow)-ROW(PLE.firstrow))),0,IF(OFFSET(PLE!$G$14,$M577,BY$13)="",10^12,OFFSET(PLE!$G$14,$M577,BY$13))))</f>
        <v>1000000000000</v>
      </c>
      <c r="BZ577" s="216">
        <f ca="1">IF($D577&lt;&gt;"Serviço",0,IF(OR(AND(AUTOEVENTO="Manual",$M577=1),$M577&gt;(ROW(PLE.lastrow)-ROW(PLE.firstrow))),0,IF(OFFSET(PLE!$G$14,$M577,BZ$13)="",10^12,OFFSET(PLE!$G$14,$M577,BZ$13))))</f>
        <v>1000000000000</v>
      </c>
      <c r="CA577" s="216">
        <f ca="1">IF($D577&lt;&gt;"Serviço",0,IF(OR(AND(AUTOEVENTO="Manual",$M577=1),$M577&gt;(ROW(PLE.lastrow)-ROW(PLE.firstrow))),0,IF(OFFSET(PLE!$G$14,$M577,CA$13)="",10^12,OFFSET(PLE!$G$14,$M577,CA$13))))</f>
        <v>1000000000000</v>
      </c>
      <c r="CB577" s="216">
        <f ca="1">IF($D577&lt;&gt;"Serviço",0,IF(OR(AND(AUTOEVENTO="Manual",$M577=1),$M577&gt;(ROW(PLE.lastrow)-ROW(PLE.firstrow))),0,IF(OFFSET(PLE!$G$14,$M577,CB$13)="",10^12,OFFSET(PLE!$G$14,$M577,CB$13))))</f>
        <v>1000000000000</v>
      </c>
      <c r="CC577" s="216">
        <f ca="1">IF($D577&lt;&gt;"Serviço",0,IF(OR(AND(AUTOEVENTO="Manual",$M577=1),$M577&gt;(ROW(PLE.lastrow)-ROW(PLE.firstrow))),0,IF(OFFSET(PLE!$G$14,$M577,CC$13)="",10^12,OFFSET(PLE!$G$14,$M577,CC$13))))</f>
        <v>1000000000000</v>
      </c>
      <c r="CD577" s="216">
        <f ca="1">IF($D577&lt;&gt;"Serviço",0,IF(OR(AND(AUTOEVENTO="Manual",$M577=1),$M577&gt;(ROW(PLE.lastrow)-ROW(PLE.firstrow))),0,IF(OFFSET(PLE!$G$14,$M577,CD$13)="",10^12,OFFSET(PLE!$G$14,$M577,CD$13))))</f>
        <v>1000000000000</v>
      </c>
      <c r="CE577" s="216">
        <f ca="1">IF($D577&lt;&gt;"Serviço",0,IF(OR(AND(AUTOEVENTO="Manual",$M577=1),$M577&gt;(ROW(PLE.lastrow)-ROW(PLE.firstrow))),0,IF(OFFSET(PLE!$G$14,$M577,CE$13)="",10^12,OFFSET(PLE!$G$14,$M577,CE$13))))</f>
        <v>1000000000000</v>
      </c>
      <c r="CF577" s="216">
        <f ca="1">IF($D577&lt;&gt;"Serviço",0,IF(OR(AND(AUTOEVENTO="Manual",$M577=1),$M577&gt;(ROW(PLE.lastrow)-ROW(PLE.firstrow))),0,IF(OFFSET(PLE!$G$14,$M577,CF$13)="",10^12,OFFSET(PLE!$G$14,$M577,CF$13))))</f>
        <v>1000000000000</v>
      </c>
      <c r="CG577" s="216">
        <f ca="1">IF($D577&lt;&gt;"Serviço",0,IF(OR(AND(AUTOEVENTO="Manual",$M577=1),$M577&gt;(ROW(PLE.lastrow)-ROW(PLE.firstrow))),0,IF(OFFSET(PLE!$G$14,$M577,CG$13)="",10^12,OFFSET(PLE!$G$14,$M577,CG$13))))</f>
        <v>1000000000000</v>
      </c>
      <c r="CH577" s="216">
        <f ca="1">IF($D577&lt;&gt;"Serviço",0,IF(OR(AND(AUTOEVENTO="Manual",$M577=1),$M577&gt;(ROW(PLE.lastrow)-ROW(PLE.firstrow))),0,IF(OFFSET(PLE!$G$14,$M577,CH$13)="",10^12,OFFSET(PLE!$G$14,$M577,CH$13))))</f>
        <v>1000000000000</v>
      </c>
      <c r="CI577" s="216">
        <f ca="1">IF($D577&lt;&gt;"Serviço",0,IF(OR(AND(AUTOEVENTO="Manual",$M577=1),$M577&gt;(ROW(PLE.lastrow)-ROW(PLE.firstrow))),0,IF(OFFSET(PLE!$G$14,$M577,CI$13)="",10^12,OFFSET(PLE!$G$14,$M577,CI$13))))</f>
        <v>1000000000000</v>
      </c>
      <c r="CJ577" s="216">
        <f ca="1">IF($D577&lt;&gt;"Serviço",0,IF(OR(AND(AUTOEVENTO="Manual",$M577=1),$M577&gt;(ROW(PLE.lastrow)-ROW(PLE.firstrow))),0,IF(OFFSET(PLE!$G$14,$M577,CJ$13)="",10^12,OFFSET(PLE!$G$14,$M577,CJ$13))))</f>
        <v>1000000000000</v>
      </c>
      <c r="CK577" s="216">
        <f ca="1">IF($D577&lt;&gt;"Serviço",0,IF(OR(AND(AUTOEVENTO="Manual",$M577=1),$M577&gt;(ROW(PLE.lastrow)-ROW(PLE.firstrow))),0,IF(OFFSET(PLE!$G$14,$M577,CK$13)="",10^12,OFFSET(PLE!$G$14,$M577,CK$13))))</f>
        <v>1000000000000</v>
      </c>
      <c r="CL577" s="216">
        <f ca="1">IF($D577&lt;&gt;"Serviço",0,IF(OR(AND(AUTOEVENTO="Manual",$M577=1),$M577&gt;(ROW(PLE.lastrow)-ROW(PLE.firstrow))),0,IF(OFFSET(PLE!$G$14,$M577,CL$13)="",10^12,OFFSET(PLE!$G$14,$M577,CL$13))))</f>
        <v>1000000000000</v>
      </c>
      <c r="CM577" s="216">
        <f ca="1">IF($D577&lt;&gt;"Serviço",0,IF(OR(AND(AUTOEVENTO="Manual",$M577=1),$M577&gt;(ROW(PLE.lastrow)-ROW(PLE.firstrow))),0,IF(OFFSET(PLE!$G$14,$M577,CM$13)="",10^12,OFFSET(PLE!$G$14,$M577,CM$13))))</f>
        <v>1000000000000</v>
      </c>
    </row>
    <row r="578" spans="1:91" ht="13.2" x14ac:dyDescent="0.25">
      <c r="A578" s="9">
        <f t="shared" ca="1" si="17"/>
        <v>0</v>
      </c>
      <c r="B578" s="9" t="str">
        <f ca="1">OFFSET(ORÇAMENTO!C$15,ROW(B578)-ROW(B$15),0)</f>
        <v>S</v>
      </c>
      <c r="C578" s="9" t="str">
        <f ca="1">OFFSET(ORÇAMENTO!L$15,ROW(C578)-ROW(C$15),0)</f>
        <v/>
      </c>
      <c r="D578" s="145" t="str">
        <f ca="1">OFFSET(ORÇAMENTO!N$15,ROW(D578)-ROW(D$15),0)</f>
        <v>Serviço</v>
      </c>
      <c r="E578" s="205" t="str">
        <f ca="1">OFFSET(ORÇAMENTO!O$15,ROW(E578)-ROW(E$15),0)</f>
        <v>-</v>
      </c>
      <c r="F578" s="206" t="str">
        <f ca="1">OFFSET(ORÇAMENTO!R$15,ROW(F578)-ROW(F$15),0)</f>
        <v>(abra o arquivo 'Referência 05-2024.xls)</v>
      </c>
      <c r="G578" s="207" t="str">
        <f ca="1">IF($D578&lt;&gt;"Serviço","",OFFSET(ORÇAMENTO!S$15,ROW(G578)-ROW(G$15),0))</f>
        <v>-</v>
      </c>
      <c r="H578" s="151">
        <f ca="1">IF($D578&lt;&gt;"Serviço",0,IF(ACOMPANHAMENTO="BM",ROUND(OFFSET(ORÇAMENTO!AJ$15,ROW(H578)-ROW(H$15),0),15-13*ORÇAMENTO!$AF$7),SUMPRODUCT(($Q$12:$AI$12&lt;&gt;"")*ROUND($Q578:$AI578,15-13*ORÇAMENTO!$AF$7))))</f>
        <v>22</v>
      </c>
      <c r="I578" s="650"/>
      <c r="K578" s="208"/>
      <c r="L578" s="209" t="s">
        <v>257</v>
      </c>
      <c r="M578" s="210">
        <f ca="1">IF($D578&lt;&gt;"Serviço","",IF(AUTOEVENTO="manual",$A578,IF(ISERROR(MATCH($A578,$A$15:OFFSET($A578,-1,0),0)),MAX($M$15:OFFSET(M578,-1,0))+1,INDEX($M$15:OFFSET(M578,-1,0),MATCH($A578,$A$15:OFFSET($A578,-1,0),0)))))</f>
        <v>0</v>
      </c>
      <c r="N578" s="211" t="str">
        <f ca="1">IF($D578&lt;&gt;"Serviço","",IF(AUTOEVENTO="Manual",IF($A578=0,"&lt;-- defina o número do agrupador",OFFSET(EVENTOS!$D$14,$A578,0)),OFFSET($F$15,$A578,0)))</f>
        <v>&lt;-- defina o número do agrupador</v>
      </c>
      <c r="O578" s="212"/>
      <c r="Q578" s="212"/>
      <c r="R578" s="213"/>
      <c r="S578" s="213"/>
      <c r="T578" s="213"/>
      <c r="U578" s="213"/>
      <c r="V578" s="213"/>
      <c r="W578" s="213"/>
      <c r="X578" s="213"/>
      <c r="Y578" s="213"/>
      <c r="Z578" s="214"/>
      <c r="AA578" s="213"/>
      <c r="AB578" s="213"/>
      <c r="AC578" s="213"/>
      <c r="AD578" s="213"/>
      <c r="AE578" s="213"/>
      <c r="AF578" s="213"/>
      <c r="AG578" s="213"/>
      <c r="AH578" s="214"/>
      <c r="AJ578" s="631">
        <f ca="1">IF(AND($D578="Serviço",AJ$12&lt;&gt;0,$H578&gt;0,OR(AUTOEVENTO&lt;&gt;"manual",$M578&lt;&gt;1)),ROUND(OFFSET($P578,0,AJ$13),15-13*ORÇAMENTO!$AF$7)/$H578*OFFSET(ORÇAMENTO!$X$15,ROW(AJ578)-ROW(AJ$15),0),0)</f>
        <v>0</v>
      </c>
      <c r="AK578" s="632">
        <f ca="1">IF(AND($D578="Serviço",AK$12&lt;&gt;0,$H578&gt;0,OR(AUTOEVENTO&lt;&gt;"manual",$M578&lt;&gt;1)),ROUND(OFFSET($P578,0,AK$13),15-13*ORÇAMENTO!$AF$7)/$H578*OFFSET(ORÇAMENTO!$X$15,ROW(AK578)-ROW(AK$15),0),0)</f>
        <v>0</v>
      </c>
      <c r="AL578" s="632">
        <f ca="1">IF(AND($D578="Serviço",AL$12&lt;&gt;0,$H578&gt;0,OR(AUTOEVENTO&lt;&gt;"manual",$M578&lt;&gt;1)),ROUND(OFFSET($P578,0,AL$13),15-13*ORÇAMENTO!$AF$7)/$H578*OFFSET(ORÇAMENTO!$X$15,ROW(AL578)-ROW(AL$15),0),0)</f>
        <v>0</v>
      </c>
      <c r="AM578" s="632">
        <f ca="1">IF(AND($D578="Serviço",AM$12&lt;&gt;0,$H578&gt;0,OR(AUTOEVENTO&lt;&gt;"manual",$M578&lt;&gt;1)),ROUND(OFFSET($P578,0,AM$13),15-13*ORÇAMENTO!$AF$7)/$H578*OFFSET(ORÇAMENTO!$X$15,ROW(AM578)-ROW(AM$15),0),0)</f>
        <v>0</v>
      </c>
      <c r="AN578" s="632">
        <f ca="1">IF(AND($D578="Serviço",AN$12&lt;&gt;0,$H578&gt;0,OR(AUTOEVENTO&lt;&gt;"manual",$M578&lt;&gt;1)),ROUND(OFFSET($P578,0,AN$13),15-13*ORÇAMENTO!$AF$7)/$H578*OFFSET(ORÇAMENTO!$X$15,ROW(AN578)-ROW(AN$15),0),0)</f>
        <v>0</v>
      </c>
      <c r="AO578" s="632">
        <f ca="1">IF(AND($D578="Serviço",AO$12&lt;&gt;0,$H578&gt;0,OR(AUTOEVENTO&lt;&gt;"manual",$M578&lt;&gt;1)),ROUND(OFFSET($P578,0,AO$13),15-13*ORÇAMENTO!$AF$7)/$H578*OFFSET(ORÇAMENTO!$X$15,ROW(AO578)-ROW(AO$15),0),0)</f>
        <v>0</v>
      </c>
      <c r="AP578" s="632">
        <f ca="1">IF(AND($D578="Serviço",AP$12&lt;&gt;0,$H578&gt;0,OR(AUTOEVENTO&lt;&gt;"manual",$M578&lt;&gt;1)),ROUND(OFFSET($P578,0,AP$13),15-13*ORÇAMENTO!$AF$7)/$H578*OFFSET(ORÇAMENTO!$X$15,ROW(AP578)-ROW(AP$15),0),0)</f>
        <v>0</v>
      </c>
      <c r="AQ578" s="632">
        <f ca="1">IF(AND($D578="Serviço",AQ$12&lt;&gt;0,$H578&gt;0,OR(AUTOEVENTO&lt;&gt;"manual",$M578&lt;&gt;1)),ROUND(OFFSET($P578,0,AQ$13),15-13*ORÇAMENTO!$AF$7)/$H578*OFFSET(ORÇAMENTO!$X$15,ROW(AQ578)-ROW(AQ$15),0),0)</f>
        <v>0</v>
      </c>
      <c r="AR578" s="632">
        <f ca="1">IF(AND($D578="Serviço",AR$12&lt;&gt;0,$H578&gt;0,OR(AUTOEVENTO&lt;&gt;"manual",$M578&lt;&gt;1)),ROUND(OFFSET($P578,0,AR$13),15-13*ORÇAMENTO!$AF$7)/$H578*OFFSET(ORÇAMENTO!$X$15,ROW(AR578)-ROW(AR$15),0),0)</f>
        <v>0</v>
      </c>
      <c r="AS578" s="633">
        <f ca="1">IF(AND($D578="Serviço",AS$12&lt;&gt;0,$H578&gt;0,OR(AUTOEVENTO&lt;&gt;"manual",$M578&lt;&gt;1)),ROUND(OFFSET($P578,0,AS$13),15-13*ORÇAMENTO!$AF$7)/$H578*OFFSET(ORÇAMENTO!$X$15,ROW(AS578)-ROW(AS$15),0),0)</f>
        <v>0</v>
      </c>
      <c r="AT578" s="632">
        <f ca="1">IF(AND($D578="Serviço",AT$12&lt;&gt;0,$H578&gt;0,OR(AUTOEVENTO&lt;&gt;"manual",$M578&lt;&gt;1)),ROUND(OFFSET($P578,0,AT$13),15-13*ORÇAMENTO!$AF$7)/$H578*OFFSET(ORÇAMENTO!$X$15,ROW(AT578)-ROW(AT$15),0),0)</f>
        <v>0</v>
      </c>
      <c r="AU578" s="632">
        <f ca="1">IF(AND($D578="Serviço",AU$12&lt;&gt;0,$H578&gt;0,OR(AUTOEVENTO&lt;&gt;"manual",$M578&lt;&gt;1)),ROUND(OFFSET($P578,0,AU$13),15-13*ORÇAMENTO!$AF$7)/$H578*OFFSET(ORÇAMENTO!$X$15,ROW(AU578)-ROW(AU$15),0),0)</f>
        <v>0</v>
      </c>
      <c r="AV578" s="632">
        <f ca="1">IF(AND($D578="Serviço",AV$12&lt;&gt;0,$H578&gt;0,OR(AUTOEVENTO&lt;&gt;"manual",$M578&lt;&gt;1)),ROUND(OFFSET($P578,0,AV$13),15-13*ORÇAMENTO!$AF$7)/$H578*OFFSET(ORÇAMENTO!$X$15,ROW(AV578)-ROW(AV$15),0),0)</f>
        <v>0</v>
      </c>
      <c r="AW578" s="632">
        <f ca="1">IF(AND($D578="Serviço",AW$12&lt;&gt;0,$H578&gt;0,OR(AUTOEVENTO&lt;&gt;"manual",$M578&lt;&gt;1)),ROUND(OFFSET($P578,0,AW$13),15-13*ORÇAMENTO!$AF$7)/$H578*OFFSET(ORÇAMENTO!$X$15,ROW(AW578)-ROW(AW$15),0),0)</f>
        <v>0</v>
      </c>
      <c r="AX578" s="632">
        <f ca="1">IF(AND($D578="Serviço",AX$12&lt;&gt;0,$H578&gt;0,OR(AUTOEVENTO&lt;&gt;"manual",$M578&lt;&gt;1)),ROUND(OFFSET($P578,0,AX$13),15-13*ORÇAMENTO!$AF$7)/$H578*OFFSET(ORÇAMENTO!$X$15,ROW(AX578)-ROW(AX$15),0),0)</f>
        <v>0</v>
      </c>
      <c r="AY578" s="632">
        <f ca="1">IF(AND($D578="Serviço",AY$12&lt;&gt;0,$H578&gt;0,OR(AUTOEVENTO&lt;&gt;"manual",$M578&lt;&gt;1)),ROUND(OFFSET($P578,0,AY$13),15-13*ORÇAMENTO!$AF$7)/$H578*OFFSET(ORÇAMENTO!$X$15,ROW(AY578)-ROW(AY$15),0),0)</f>
        <v>0</v>
      </c>
      <c r="AZ578" s="632">
        <f ca="1">IF(AND($D578="Serviço",AZ$12&lt;&gt;0,$H578&gt;0,OR(AUTOEVENTO&lt;&gt;"manual",$M578&lt;&gt;1)),ROUND(OFFSET($P578,0,AZ$13),15-13*ORÇAMENTO!$AF$7)/$H578*OFFSET(ORÇAMENTO!$X$15,ROW(AZ578)-ROW(AZ$15),0),0)</f>
        <v>0</v>
      </c>
      <c r="BA578" s="633">
        <f ca="1">IF(AND($D578="Serviço",BA$12&lt;&gt;0,$H578&gt;0,OR(AUTOEVENTO&lt;&gt;"manual",$M578&lt;&gt;1)),ROUND(OFFSET($P578,0,BA$13),15-13*ORÇAMENTO!$AF$7)/$H578*OFFSET(ORÇAMENTO!$X$15,ROW(BA578)-ROW(BA$15),0),0)</f>
        <v>0</v>
      </c>
      <c r="BC578" s="215">
        <f ca="1">IF($D578&lt;&gt;"Serviço",0,IF(AND(AUTOEVENTO="Manual",$M578=1),0,IF(OFFSET(CRONOPLE!$F$14,$M578,BC$13)="",10^12,OFFSET(CRONOPLE!$F$14,$M578,BC$13))))</f>
        <v>1000000000000</v>
      </c>
      <c r="BD578" s="215">
        <f ca="1">IF($D578&lt;&gt;"Serviço",0,IF(AND(AUTOEVENTO="Manual",$M578=1),0,IF(OFFSET(CRONOPLE!$F$14,$M578,BD$13)="",10^12,OFFSET(CRONOPLE!$F$14,$M578,BD$13))))</f>
        <v>1000000000000</v>
      </c>
      <c r="BE578" s="215">
        <f ca="1">IF($D578&lt;&gt;"Serviço",0,IF(AND(AUTOEVENTO="Manual",$M578=1),0,IF(OFFSET(CRONOPLE!$F$14,$M578,BE$13)="",10^12,OFFSET(CRONOPLE!$F$14,$M578,BE$13))))</f>
        <v>1000000000000</v>
      </c>
      <c r="BF578" s="215">
        <f ca="1">IF($D578&lt;&gt;"Serviço",0,IF(AND(AUTOEVENTO="Manual",$M578=1),0,IF(OFFSET(CRONOPLE!$F$14,$M578,BF$13)="",10^12,OFFSET(CRONOPLE!$F$14,$M578,BF$13))))</f>
        <v>1000000000000</v>
      </c>
      <c r="BG578" s="215">
        <f ca="1">IF($D578&lt;&gt;"Serviço",0,IF(AND(AUTOEVENTO="Manual",$M578=1),0,IF(OFFSET(CRONOPLE!$F$14,$M578,BG$13)="",10^12,OFFSET(CRONOPLE!$F$14,$M578,BG$13))))</f>
        <v>1000000000000</v>
      </c>
      <c r="BH578" s="215">
        <f ca="1">IF($D578&lt;&gt;"Serviço",0,IF(AND(AUTOEVENTO="Manual",$M578=1),0,IF(OFFSET(CRONOPLE!$F$14,$M578,BH$13)="",10^12,OFFSET(CRONOPLE!$F$14,$M578,BH$13))))</f>
        <v>1000000000000</v>
      </c>
      <c r="BI578" s="215">
        <f ca="1">IF($D578&lt;&gt;"Serviço",0,IF(AND(AUTOEVENTO="Manual",$M578=1),0,IF(OFFSET(CRONOPLE!$F$14,$M578,BI$13)="",10^12,OFFSET(CRONOPLE!$F$14,$M578,BI$13))))</f>
        <v>1000000000000</v>
      </c>
      <c r="BJ578" s="215">
        <f ca="1">IF($D578&lt;&gt;"Serviço",0,IF(AND(AUTOEVENTO="Manual",$M578=1),0,IF(OFFSET(CRONOPLE!$F$14,$M578,BJ$13)="",10^12,OFFSET(CRONOPLE!$F$14,$M578,BJ$13))))</f>
        <v>1000000000000</v>
      </c>
      <c r="BK578" s="215">
        <f ca="1">IF($D578&lt;&gt;"Serviço",0,IF(AND(AUTOEVENTO="Manual",$M578=1),0,IF(OFFSET(CRONOPLE!$F$14,$M578,BK$13)="",10^12,OFFSET(CRONOPLE!$F$14,$M578,BK$13))))</f>
        <v>1000000000000</v>
      </c>
      <c r="BL578" s="215">
        <f ca="1">IF($D578&lt;&gt;"Serviço",0,IF(AND(AUTOEVENTO="Manual",$M578=1),0,IF(OFFSET(CRONOPLE!$F$14,$M578,BL$13)="",10^12,OFFSET(CRONOPLE!$F$14,$M578,BL$13))))</f>
        <v>1000000000000</v>
      </c>
      <c r="BM578" s="215">
        <f ca="1">IF($D578&lt;&gt;"Serviço",0,IF(AND(AUTOEVENTO="Manual",$M578=1),0,IF(OFFSET(CRONOPLE!$F$14,$M578,BM$13)="",10^12,OFFSET(CRONOPLE!$F$14,$M578,BM$13))))</f>
        <v>1000000000000</v>
      </c>
      <c r="BN578" s="215">
        <f ca="1">IF($D578&lt;&gt;"Serviço",0,IF(AND(AUTOEVENTO="Manual",$M578=1),0,IF(OFFSET(CRONOPLE!$F$14,$M578,BN$13)="",10^12,OFFSET(CRONOPLE!$F$14,$M578,BN$13))))</f>
        <v>1000000000000</v>
      </c>
      <c r="BO578" s="215">
        <f ca="1">IF($D578&lt;&gt;"Serviço",0,IF(AND(AUTOEVENTO="Manual",$M578=1),0,IF(OFFSET(CRONOPLE!$F$14,$M578,BO$13)="",10^12,OFFSET(CRONOPLE!$F$14,$M578,BO$13))))</f>
        <v>1000000000000</v>
      </c>
      <c r="BP578" s="215">
        <f ca="1">IF($D578&lt;&gt;"Serviço",0,IF(AND(AUTOEVENTO="Manual",$M578=1),0,IF(OFFSET(CRONOPLE!$F$14,$M578,BP$13)="",10^12,OFFSET(CRONOPLE!$F$14,$M578,BP$13))))</f>
        <v>1000000000000</v>
      </c>
      <c r="BQ578" s="215">
        <f ca="1">IF($D578&lt;&gt;"Serviço",0,IF(AND(AUTOEVENTO="Manual",$M578=1),0,IF(OFFSET(CRONOPLE!$F$14,$M578,BQ$13)="",10^12,OFFSET(CRONOPLE!$F$14,$M578,BQ$13))))</f>
        <v>1000000000000</v>
      </c>
      <c r="BR578" s="215">
        <f ca="1">IF($D578&lt;&gt;"Serviço",0,IF(AND(AUTOEVENTO="Manual",$M578=1),0,IF(OFFSET(CRONOPLE!$F$14,$M578,BR$13)="",10^12,OFFSET(CRONOPLE!$F$14,$M578,BR$13))))</f>
        <v>1000000000000</v>
      </c>
      <c r="BS578" s="215">
        <f ca="1">IF($D578&lt;&gt;"Serviço",0,IF(AND(AUTOEVENTO="Manual",$M578=1),0,IF(OFFSET(CRONOPLE!$F$14,$M578,BS$13)="",10^12,OFFSET(CRONOPLE!$F$14,$M578,BS$13))))</f>
        <v>1000000000000</v>
      </c>
      <c r="BT578" s="215">
        <f ca="1">IF($D578&lt;&gt;"Serviço",0,IF(AND(AUTOEVENTO="Manual",$M578=1),0,IF(OFFSET(CRONOPLE!$F$14,$M578,BT$13)="",10^12,OFFSET(CRONOPLE!$F$14,$M578,BT$13))))</f>
        <v>1000000000000</v>
      </c>
      <c r="BV578" s="216">
        <f ca="1">IF($D578&lt;&gt;"Serviço",0,IF(OR(AND(AUTOEVENTO="Manual",$M578=1),$M578&gt;(ROW(PLE.lastrow)-ROW(PLE.firstrow))),0,IF(OFFSET(PLE!$G$14,$M578,BV$13)="",10^12,OFFSET(PLE!$G$14,$M578,BV$13))))</f>
        <v>1000000000000</v>
      </c>
      <c r="BW578" s="216">
        <f ca="1">IF($D578&lt;&gt;"Serviço",0,IF(OR(AND(AUTOEVENTO="Manual",$M578=1),$M578&gt;(ROW(PLE.lastrow)-ROW(PLE.firstrow))),0,IF(OFFSET(PLE!$G$14,$M578,BW$13)="",10^12,OFFSET(PLE!$G$14,$M578,BW$13))))</f>
        <v>1000000000000</v>
      </c>
      <c r="BX578" s="216">
        <f ca="1">IF($D578&lt;&gt;"Serviço",0,IF(OR(AND(AUTOEVENTO="Manual",$M578=1),$M578&gt;(ROW(PLE.lastrow)-ROW(PLE.firstrow))),0,IF(OFFSET(PLE!$G$14,$M578,BX$13)="",10^12,OFFSET(PLE!$G$14,$M578,BX$13))))</f>
        <v>1000000000000</v>
      </c>
      <c r="BY578" s="216">
        <f ca="1">IF($D578&lt;&gt;"Serviço",0,IF(OR(AND(AUTOEVENTO="Manual",$M578=1),$M578&gt;(ROW(PLE.lastrow)-ROW(PLE.firstrow))),0,IF(OFFSET(PLE!$G$14,$M578,BY$13)="",10^12,OFFSET(PLE!$G$14,$M578,BY$13))))</f>
        <v>1000000000000</v>
      </c>
      <c r="BZ578" s="216">
        <f ca="1">IF($D578&lt;&gt;"Serviço",0,IF(OR(AND(AUTOEVENTO="Manual",$M578=1),$M578&gt;(ROW(PLE.lastrow)-ROW(PLE.firstrow))),0,IF(OFFSET(PLE!$G$14,$M578,BZ$13)="",10^12,OFFSET(PLE!$G$14,$M578,BZ$13))))</f>
        <v>1000000000000</v>
      </c>
      <c r="CA578" s="216">
        <f ca="1">IF($D578&lt;&gt;"Serviço",0,IF(OR(AND(AUTOEVENTO="Manual",$M578=1),$M578&gt;(ROW(PLE.lastrow)-ROW(PLE.firstrow))),0,IF(OFFSET(PLE!$G$14,$M578,CA$13)="",10^12,OFFSET(PLE!$G$14,$M578,CA$13))))</f>
        <v>1000000000000</v>
      </c>
      <c r="CB578" s="216">
        <f ca="1">IF($D578&lt;&gt;"Serviço",0,IF(OR(AND(AUTOEVENTO="Manual",$M578=1),$M578&gt;(ROW(PLE.lastrow)-ROW(PLE.firstrow))),0,IF(OFFSET(PLE!$G$14,$M578,CB$13)="",10^12,OFFSET(PLE!$G$14,$M578,CB$13))))</f>
        <v>1000000000000</v>
      </c>
      <c r="CC578" s="216">
        <f ca="1">IF($D578&lt;&gt;"Serviço",0,IF(OR(AND(AUTOEVENTO="Manual",$M578=1),$M578&gt;(ROW(PLE.lastrow)-ROW(PLE.firstrow))),0,IF(OFFSET(PLE!$G$14,$M578,CC$13)="",10^12,OFFSET(PLE!$G$14,$M578,CC$13))))</f>
        <v>1000000000000</v>
      </c>
      <c r="CD578" s="216">
        <f ca="1">IF($D578&lt;&gt;"Serviço",0,IF(OR(AND(AUTOEVENTO="Manual",$M578=1),$M578&gt;(ROW(PLE.lastrow)-ROW(PLE.firstrow))),0,IF(OFFSET(PLE!$G$14,$M578,CD$13)="",10^12,OFFSET(PLE!$G$14,$M578,CD$13))))</f>
        <v>1000000000000</v>
      </c>
      <c r="CE578" s="216">
        <f ca="1">IF($D578&lt;&gt;"Serviço",0,IF(OR(AND(AUTOEVENTO="Manual",$M578=1),$M578&gt;(ROW(PLE.lastrow)-ROW(PLE.firstrow))),0,IF(OFFSET(PLE!$G$14,$M578,CE$13)="",10^12,OFFSET(PLE!$G$14,$M578,CE$13))))</f>
        <v>1000000000000</v>
      </c>
      <c r="CF578" s="216">
        <f ca="1">IF($D578&lt;&gt;"Serviço",0,IF(OR(AND(AUTOEVENTO="Manual",$M578=1),$M578&gt;(ROW(PLE.lastrow)-ROW(PLE.firstrow))),0,IF(OFFSET(PLE!$G$14,$M578,CF$13)="",10^12,OFFSET(PLE!$G$14,$M578,CF$13))))</f>
        <v>1000000000000</v>
      </c>
      <c r="CG578" s="216">
        <f ca="1">IF($D578&lt;&gt;"Serviço",0,IF(OR(AND(AUTOEVENTO="Manual",$M578=1),$M578&gt;(ROW(PLE.lastrow)-ROW(PLE.firstrow))),0,IF(OFFSET(PLE!$G$14,$M578,CG$13)="",10^12,OFFSET(PLE!$G$14,$M578,CG$13))))</f>
        <v>1000000000000</v>
      </c>
      <c r="CH578" s="216">
        <f ca="1">IF($D578&lt;&gt;"Serviço",0,IF(OR(AND(AUTOEVENTO="Manual",$M578=1),$M578&gt;(ROW(PLE.lastrow)-ROW(PLE.firstrow))),0,IF(OFFSET(PLE!$G$14,$M578,CH$13)="",10^12,OFFSET(PLE!$G$14,$M578,CH$13))))</f>
        <v>1000000000000</v>
      </c>
      <c r="CI578" s="216">
        <f ca="1">IF($D578&lt;&gt;"Serviço",0,IF(OR(AND(AUTOEVENTO="Manual",$M578=1),$M578&gt;(ROW(PLE.lastrow)-ROW(PLE.firstrow))),0,IF(OFFSET(PLE!$G$14,$M578,CI$13)="",10^12,OFFSET(PLE!$G$14,$M578,CI$13))))</f>
        <v>1000000000000</v>
      </c>
      <c r="CJ578" s="216">
        <f ca="1">IF($D578&lt;&gt;"Serviço",0,IF(OR(AND(AUTOEVENTO="Manual",$M578=1),$M578&gt;(ROW(PLE.lastrow)-ROW(PLE.firstrow))),0,IF(OFFSET(PLE!$G$14,$M578,CJ$13)="",10^12,OFFSET(PLE!$G$14,$M578,CJ$13))))</f>
        <v>1000000000000</v>
      </c>
      <c r="CK578" s="216">
        <f ca="1">IF($D578&lt;&gt;"Serviço",0,IF(OR(AND(AUTOEVENTO="Manual",$M578=1),$M578&gt;(ROW(PLE.lastrow)-ROW(PLE.firstrow))),0,IF(OFFSET(PLE!$G$14,$M578,CK$13)="",10^12,OFFSET(PLE!$G$14,$M578,CK$13))))</f>
        <v>1000000000000</v>
      </c>
      <c r="CL578" s="216">
        <f ca="1">IF($D578&lt;&gt;"Serviço",0,IF(OR(AND(AUTOEVENTO="Manual",$M578=1),$M578&gt;(ROW(PLE.lastrow)-ROW(PLE.firstrow))),0,IF(OFFSET(PLE!$G$14,$M578,CL$13)="",10^12,OFFSET(PLE!$G$14,$M578,CL$13))))</f>
        <v>1000000000000</v>
      </c>
      <c r="CM578" s="216">
        <f ca="1">IF($D578&lt;&gt;"Serviço",0,IF(OR(AND(AUTOEVENTO="Manual",$M578=1),$M578&gt;(ROW(PLE.lastrow)-ROW(PLE.firstrow))),0,IF(OFFSET(PLE!$G$14,$M578,CM$13)="",10^12,OFFSET(PLE!$G$14,$M578,CM$13))))</f>
        <v>1000000000000</v>
      </c>
    </row>
    <row r="579" spans="1:91" ht="13.2" x14ac:dyDescent="0.25">
      <c r="A579" s="9">
        <f t="shared" ca="1" si="17"/>
        <v>0</v>
      </c>
      <c r="B579" s="9" t="str">
        <f ca="1">OFFSET(ORÇAMENTO!C$15,ROW(B579)-ROW(B$15),0)</f>
        <v>S</v>
      </c>
      <c r="C579" s="9" t="str">
        <f ca="1">OFFSET(ORÇAMENTO!L$15,ROW(C579)-ROW(C$15),0)</f>
        <v/>
      </c>
      <c r="D579" s="145" t="str">
        <f ca="1">OFFSET(ORÇAMENTO!N$15,ROW(D579)-ROW(D$15),0)</f>
        <v>Serviço</v>
      </c>
      <c r="E579" s="205" t="str">
        <f ca="1">OFFSET(ORÇAMENTO!O$15,ROW(E579)-ROW(E$15),0)</f>
        <v>-</v>
      </c>
      <c r="F579" s="206" t="str">
        <f ca="1">OFFSET(ORÇAMENTO!R$15,ROW(F579)-ROW(F$15),0)</f>
        <v>(abra o arquivo 'Referência 05-2024.xls)</v>
      </c>
      <c r="G579" s="207" t="str">
        <f ca="1">IF($D579&lt;&gt;"Serviço","",OFFSET(ORÇAMENTO!S$15,ROW(G579)-ROW(G$15),0))</f>
        <v>-</v>
      </c>
      <c r="H579" s="151">
        <f ca="1">IF($D579&lt;&gt;"Serviço",0,IF(ACOMPANHAMENTO="BM",ROUND(OFFSET(ORÇAMENTO!AJ$15,ROW(H579)-ROW(H$15),0),15-13*ORÇAMENTO!$AF$7),SUMPRODUCT(($Q$12:$AI$12&lt;&gt;"")*ROUND($Q579:$AI579,15-13*ORÇAMENTO!$AF$7))))</f>
        <v>13</v>
      </c>
      <c r="I579" s="650"/>
      <c r="K579" s="208"/>
      <c r="L579" s="209" t="s">
        <v>257</v>
      </c>
      <c r="M579" s="210">
        <f ca="1">IF($D579&lt;&gt;"Serviço","",IF(AUTOEVENTO="manual",$A579,IF(ISERROR(MATCH($A579,$A$15:OFFSET($A579,-1,0),0)),MAX($M$15:OFFSET(M579,-1,0))+1,INDEX($M$15:OFFSET(M579,-1,0),MATCH($A579,$A$15:OFFSET($A579,-1,0),0)))))</f>
        <v>0</v>
      </c>
      <c r="N579" s="211" t="str">
        <f ca="1">IF($D579&lt;&gt;"Serviço","",IF(AUTOEVENTO="Manual",IF($A579=0,"&lt;-- defina o número do agrupador",OFFSET(EVENTOS!$D$14,$A579,0)),OFFSET($F$15,$A579,0)))</f>
        <v>&lt;-- defina o número do agrupador</v>
      </c>
      <c r="O579" s="212"/>
      <c r="Q579" s="212"/>
      <c r="R579" s="213"/>
      <c r="S579" s="213"/>
      <c r="T579" s="213"/>
      <c r="U579" s="213"/>
      <c r="V579" s="213"/>
      <c r="W579" s="213"/>
      <c r="X579" s="213"/>
      <c r="Y579" s="213"/>
      <c r="Z579" s="214"/>
      <c r="AA579" s="213"/>
      <c r="AB579" s="213"/>
      <c r="AC579" s="213"/>
      <c r="AD579" s="213"/>
      <c r="AE579" s="213"/>
      <c r="AF579" s="213"/>
      <c r="AG579" s="213"/>
      <c r="AH579" s="214"/>
      <c r="AJ579" s="631">
        <f ca="1">IF(AND($D579="Serviço",AJ$12&lt;&gt;0,$H579&gt;0,OR(AUTOEVENTO&lt;&gt;"manual",$M579&lt;&gt;1)),ROUND(OFFSET($P579,0,AJ$13),15-13*ORÇAMENTO!$AF$7)/$H579*OFFSET(ORÇAMENTO!$X$15,ROW(AJ579)-ROW(AJ$15),0),0)</f>
        <v>0</v>
      </c>
      <c r="AK579" s="632">
        <f ca="1">IF(AND($D579="Serviço",AK$12&lt;&gt;0,$H579&gt;0,OR(AUTOEVENTO&lt;&gt;"manual",$M579&lt;&gt;1)),ROUND(OFFSET($P579,0,AK$13),15-13*ORÇAMENTO!$AF$7)/$H579*OFFSET(ORÇAMENTO!$X$15,ROW(AK579)-ROW(AK$15),0),0)</f>
        <v>0</v>
      </c>
      <c r="AL579" s="632">
        <f ca="1">IF(AND($D579="Serviço",AL$12&lt;&gt;0,$H579&gt;0,OR(AUTOEVENTO&lt;&gt;"manual",$M579&lt;&gt;1)),ROUND(OFFSET($P579,0,AL$13),15-13*ORÇAMENTO!$AF$7)/$H579*OFFSET(ORÇAMENTO!$X$15,ROW(AL579)-ROW(AL$15),0),0)</f>
        <v>0</v>
      </c>
      <c r="AM579" s="632">
        <f ca="1">IF(AND($D579="Serviço",AM$12&lt;&gt;0,$H579&gt;0,OR(AUTOEVENTO&lt;&gt;"manual",$M579&lt;&gt;1)),ROUND(OFFSET($P579,0,AM$13),15-13*ORÇAMENTO!$AF$7)/$H579*OFFSET(ORÇAMENTO!$X$15,ROW(AM579)-ROW(AM$15),0),0)</f>
        <v>0</v>
      </c>
      <c r="AN579" s="632">
        <f ca="1">IF(AND($D579="Serviço",AN$12&lt;&gt;0,$H579&gt;0,OR(AUTOEVENTO&lt;&gt;"manual",$M579&lt;&gt;1)),ROUND(OFFSET($P579,0,AN$13),15-13*ORÇAMENTO!$AF$7)/$H579*OFFSET(ORÇAMENTO!$X$15,ROW(AN579)-ROW(AN$15),0),0)</f>
        <v>0</v>
      </c>
      <c r="AO579" s="632">
        <f ca="1">IF(AND($D579="Serviço",AO$12&lt;&gt;0,$H579&gt;0,OR(AUTOEVENTO&lt;&gt;"manual",$M579&lt;&gt;1)),ROUND(OFFSET($P579,0,AO$13),15-13*ORÇAMENTO!$AF$7)/$H579*OFFSET(ORÇAMENTO!$X$15,ROW(AO579)-ROW(AO$15),0),0)</f>
        <v>0</v>
      </c>
      <c r="AP579" s="632">
        <f ca="1">IF(AND($D579="Serviço",AP$12&lt;&gt;0,$H579&gt;0,OR(AUTOEVENTO&lt;&gt;"manual",$M579&lt;&gt;1)),ROUND(OFFSET($P579,0,AP$13),15-13*ORÇAMENTO!$AF$7)/$H579*OFFSET(ORÇAMENTO!$X$15,ROW(AP579)-ROW(AP$15),0),0)</f>
        <v>0</v>
      </c>
      <c r="AQ579" s="632">
        <f ca="1">IF(AND($D579="Serviço",AQ$12&lt;&gt;0,$H579&gt;0,OR(AUTOEVENTO&lt;&gt;"manual",$M579&lt;&gt;1)),ROUND(OFFSET($P579,0,AQ$13),15-13*ORÇAMENTO!$AF$7)/$H579*OFFSET(ORÇAMENTO!$X$15,ROW(AQ579)-ROW(AQ$15),0),0)</f>
        <v>0</v>
      </c>
      <c r="AR579" s="632">
        <f ca="1">IF(AND($D579="Serviço",AR$12&lt;&gt;0,$H579&gt;0,OR(AUTOEVENTO&lt;&gt;"manual",$M579&lt;&gt;1)),ROUND(OFFSET($P579,0,AR$13),15-13*ORÇAMENTO!$AF$7)/$H579*OFFSET(ORÇAMENTO!$X$15,ROW(AR579)-ROW(AR$15),0),0)</f>
        <v>0</v>
      </c>
      <c r="AS579" s="633">
        <f ca="1">IF(AND($D579="Serviço",AS$12&lt;&gt;0,$H579&gt;0,OR(AUTOEVENTO&lt;&gt;"manual",$M579&lt;&gt;1)),ROUND(OFFSET($P579,0,AS$13),15-13*ORÇAMENTO!$AF$7)/$H579*OFFSET(ORÇAMENTO!$X$15,ROW(AS579)-ROW(AS$15),0),0)</f>
        <v>0</v>
      </c>
      <c r="AT579" s="632">
        <f ca="1">IF(AND($D579="Serviço",AT$12&lt;&gt;0,$H579&gt;0,OR(AUTOEVENTO&lt;&gt;"manual",$M579&lt;&gt;1)),ROUND(OFFSET($P579,0,AT$13),15-13*ORÇAMENTO!$AF$7)/$H579*OFFSET(ORÇAMENTO!$X$15,ROW(AT579)-ROW(AT$15),0),0)</f>
        <v>0</v>
      </c>
      <c r="AU579" s="632">
        <f ca="1">IF(AND($D579="Serviço",AU$12&lt;&gt;0,$H579&gt;0,OR(AUTOEVENTO&lt;&gt;"manual",$M579&lt;&gt;1)),ROUND(OFFSET($P579,0,AU$13),15-13*ORÇAMENTO!$AF$7)/$H579*OFFSET(ORÇAMENTO!$X$15,ROW(AU579)-ROW(AU$15),0),0)</f>
        <v>0</v>
      </c>
      <c r="AV579" s="632">
        <f ca="1">IF(AND($D579="Serviço",AV$12&lt;&gt;0,$H579&gt;0,OR(AUTOEVENTO&lt;&gt;"manual",$M579&lt;&gt;1)),ROUND(OFFSET($P579,0,AV$13),15-13*ORÇAMENTO!$AF$7)/$H579*OFFSET(ORÇAMENTO!$X$15,ROW(AV579)-ROW(AV$15),0),0)</f>
        <v>0</v>
      </c>
      <c r="AW579" s="632">
        <f ca="1">IF(AND($D579="Serviço",AW$12&lt;&gt;0,$H579&gt;0,OR(AUTOEVENTO&lt;&gt;"manual",$M579&lt;&gt;1)),ROUND(OFFSET($P579,0,AW$13),15-13*ORÇAMENTO!$AF$7)/$H579*OFFSET(ORÇAMENTO!$X$15,ROW(AW579)-ROW(AW$15),0),0)</f>
        <v>0</v>
      </c>
      <c r="AX579" s="632">
        <f ca="1">IF(AND($D579="Serviço",AX$12&lt;&gt;0,$H579&gt;0,OR(AUTOEVENTO&lt;&gt;"manual",$M579&lt;&gt;1)),ROUND(OFFSET($P579,0,AX$13),15-13*ORÇAMENTO!$AF$7)/$H579*OFFSET(ORÇAMENTO!$X$15,ROW(AX579)-ROW(AX$15),0),0)</f>
        <v>0</v>
      </c>
      <c r="AY579" s="632">
        <f ca="1">IF(AND($D579="Serviço",AY$12&lt;&gt;0,$H579&gt;0,OR(AUTOEVENTO&lt;&gt;"manual",$M579&lt;&gt;1)),ROUND(OFFSET($P579,0,AY$13),15-13*ORÇAMENTO!$AF$7)/$H579*OFFSET(ORÇAMENTO!$X$15,ROW(AY579)-ROW(AY$15),0),0)</f>
        <v>0</v>
      </c>
      <c r="AZ579" s="632">
        <f ca="1">IF(AND($D579="Serviço",AZ$12&lt;&gt;0,$H579&gt;0,OR(AUTOEVENTO&lt;&gt;"manual",$M579&lt;&gt;1)),ROUND(OFFSET($P579,0,AZ$13),15-13*ORÇAMENTO!$AF$7)/$H579*OFFSET(ORÇAMENTO!$X$15,ROW(AZ579)-ROW(AZ$15),0),0)</f>
        <v>0</v>
      </c>
      <c r="BA579" s="633">
        <f ca="1">IF(AND($D579="Serviço",BA$12&lt;&gt;0,$H579&gt;0,OR(AUTOEVENTO&lt;&gt;"manual",$M579&lt;&gt;1)),ROUND(OFFSET($P579,0,BA$13),15-13*ORÇAMENTO!$AF$7)/$H579*OFFSET(ORÇAMENTO!$X$15,ROW(BA579)-ROW(BA$15),0),0)</f>
        <v>0</v>
      </c>
      <c r="BC579" s="215">
        <f ca="1">IF($D579&lt;&gt;"Serviço",0,IF(AND(AUTOEVENTO="Manual",$M579=1),0,IF(OFFSET(CRONOPLE!$F$14,$M579,BC$13)="",10^12,OFFSET(CRONOPLE!$F$14,$M579,BC$13))))</f>
        <v>1000000000000</v>
      </c>
      <c r="BD579" s="215">
        <f ca="1">IF($D579&lt;&gt;"Serviço",0,IF(AND(AUTOEVENTO="Manual",$M579=1),0,IF(OFFSET(CRONOPLE!$F$14,$M579,BD$13)="",10^12,OFFSET(CRONOPLE!$F$14,$M579,BD$13))))</f>
        <v>1000000000000</v>
      </c>
      <c r="BE579" s="215">
        <f ca="1">IF($D579&lt;&gt;"Serviço",0,IF(AND(AUTOEVENTO="Manual",$M579=1),0,IF(OFFSET(CRONOPLE!$F$14,$M579,BE$13)="",10^12,OFFSET(CRONOPLE!$F$14,$M579,BE$13))))</f>
        <v>1000000000000</v>
      </c>
      <c r="BF579" s="215">
        <f ca="1">IF($D579&lt;&gt;"Serviço",0,IF(AND(AUTOEVENTO="Manual",$M579=1),0,IF(OFFSET(CRONOPLE!$F$14,$M579,BF$13)="",10^12,OFFSET(CRONOPLE!$F$14,$M579,BF$13))))</f>
        <v>1000000000000</v>
      </c>
      <c r="BG579" s="215">
        <f ca="1">IF($D579&lt;&gt;"Serviço",0,IF(AND(AUTOEVENTO="Manual",$M579=1),0,IF(OFFSET(CRONOPLE!$F$14,$M579,BG$13)="",10^12,OFFSET(CRONOPLE!$F$14,$M579,BG$13))))</f>
        <v>1000000000000</v>
      </c>
      <c r="BH579" s="215">
        <f ca="1">IF($D579&lt;&gt;"Serviço",0,IF(AND(AUTOEVENTO="Manual",$M579=1),0,IF(OFFSET(CRONOPLE!$F$14,$M579,BH$13)="",10^12,OFFSET(CRONOPLE!$F$14,$M579,BH$13))))</f>
        <v>1000000000000</v>
      </c>
      <c r="BI579" s="215">
        <f ca="1">IF($D579&lt;&gt;"Serviço",0,IF(AND(AUTOEVENTO="Manual",$M579=1),0,IF(OFFSET(CRONOPLE!$F$14,$M579,BI$13)="",10^12,OFFSET(CRONOPLE!$F$14,$M579,BI$13))))</f>
        <v>1000000000000</v>
      </c>
      <c r="BJ579" s="215">
        <f ca="1">IF($D579&lt;&gt;"Serviço",0,IF(AND(AUTOEVENTO="Manual",$M579=1),0,IF(OFFSET(CRONOPLE!$F$14,$M579,BJ$13)="",10^12,OFFSET(CRONOPLE!$F$14,$M579,BJ$13))))</f>
        <v>1000000000000</v>
      </c>
      <c r="BK579" s="215">
        <f ca="1">IF($D579&lt;&gt;"Serviço",0,IF(AND(AUTOEVENTO="Manual",$M579=1),0,IF(OFFSET(CRONOPLE!$F$14,$M579,BK$13)="",10^12,OFFSET(CRONOPLE!$F$14,$M579,BK$13))))</f>
        <v>1000000000000</v>
      </c>
      <c r="BL579" s="215">
        <f ca="1">IF($D579&lt;&gt;"Serviço",0,IF(AND(AUTOEVENTO="Manual",$M579=1),0,IF(OFFSET(CRONOPLE!$F$14,$M579,BL$13)="",10^12,OFFSET(CRONOPLE!$F$14,$M579,BL$13))))</f>
        <v>1000000000000</v>
      </c>
      <c r="BM579" s="215">
        <f ca="1">IF($D579&lt;&gt;"Serviço",0,IF(AND(AUTOEVENTO="Manual",$M579=1),0,IF(OFFSET(CRONOPLE!$F$14,$M579,BM$13)="",10^12,OFFSET(CRONOPLE!$F$14,$M579,BM$13))))</f>
        <v>1000000000000</v>
      </c>
      <c r="BN579" s="215">
        <f ca="1">IF($D579&lt;&gt;"Serviço",0,IF(AND(AUTOEVENTO="Manual",$M579=1),0,IF(OFFSET(CRONOPLE!$F$14,$M579,BN$13)="",10^12,OFFSET(CRONOPLE!$F$14,$M579,BN$13))))</f>
        <v>1000000000000</v>
      </c>
      <c r="BO579" s="215">
        <f ca="1">IF($D579&lt;&gt;"Serviço",0,IF(AND(AUTOEVENTO="Manual",$M579=1),0,IF(OFFSET(CRONOPLE!$F$14,$M579,BO$13)="",10^12,OFFSET(CRONOPLE!$F$14,$M579,BO$13))))</f>
        <v>1000000000000</v>
      </c>
      <c r="BP579" s="215">
        <f ca="1">IF($D579&lt;&gt;"Serviço",0,IF(AND(AUTOEVENTO="Manual",$M579=1),0,IF(OFFSET(CRONOPLE!$F$14,$M579,BP$13)="",10^12,OFFSET(CRONOPLE!$F$14,$M579,BP$13))))</f>
        <v>1000000000000</v>
      </c>
      <c r="BQ579" s="215">
        <f ca="1">IF($D579&lt;&gt;"Serviço",0,IF(AND(AUTOEVENTO="Manual",$M579=1),0,IF(OFFSET(CRONOPLE!$F$14,$M579,BQ$13)="",10^12,OFFSET(CRONOPLE!$F$14,$M579,BQ$13))))</f>
        <v>1000000000000</v>
      </c>
      <c r="BR579" s="215">
        <f ca="1">IF($D579&lt;&gt;"Serviço",0,IF(AND(AUTOEVENTO="Manual",$M579=1),0,IF(OFFSET(CRONOPLE!$F$14,$M579,BR$13)="",10^12,OFFSET(CRONOPLE!$F$14,$M579,BR$13))))</f>
        <v>1000000000000</v>
      </c>
      <c r="BS579" s="215">
        <f ca="1">IF($D579&lt;&gt;"Serviço",0,IF(AND(AUTOEVENTO="Manual",$M579=1),0,IF(OFFSET(CRONOPLE!$F$14,$M579,BS$13)="",10^12,OFFSET(CRONOPLE!$F$14,$M579,BS$13))))</f>
        <v>1000000000000</v>
      </c>
      <c r="BT579" s="215">
        <f ca="1">IF($D579&lt;&gt;"Serviço",0,IF(AND(AUTOEVENTO="Manual",$M579=1),0,IF(OFFSET(CRONOPLE!$F$14,$M579,BT$13)="",10^12,OFFSET(CRONOPLE!$F$14,$M579,BT$13))))</f>
        <v>1000000000000</v>
      </c>
      <c r="BV579" s="216">
        <f ca="1">IF($D579&lt;&gt;"Serviço",0,IF(OR(AND(AUTOEVENTO="Manual",$M579=1),$M579&gt;(ROW(PLE.lastrow)-ROW(PLE.firstrow))),0,IF(OFFSET(PLE!$G$14,$M579,BV$13)="",10^12,OFFSET(PLE!$G$14,$M579,BV$13))))</f>
        <v>1000000000000</v>
      </c>
      <c r="BW579" s="216">
        <f ca="1">IF($D579&lt;&gt;"Serviço",0,IF(OR(AND(AUTOEVENTO="Manual",$M579=1),$M579&gt;(ROW(PLE.lastrow)-ROW(PLE.firstrow))),0,IF(OFFSET(PLE!$G$14,$M579,BW$13)="",10^12,OFFSET(PLE!$G$14,$M579,BW$13))))</f>
        <v>1000000000000</v>
      </c>
      <c r="BX579" s="216">
        <f ca="1">IF($D579&lt;&gt;"Serviço",0,IF(OR(AND(AUTOEVENTO="Manual",$M579=1),$M579&gt;(ROW(PLE.lastrow)-ROW(PLE.firstrow))),0,IF(OFFSET(PLE!$G$14,$M579,BX$13)="",10^12,OFFSET(PLE!$G$14,$M579,BX$13))))</f>
        <v>1000000000000</v>
      </c>
      <c r="BY579" s="216">
        <f ca="1">IF($D579&lt;&gt;"Serviço",0,IF(OR(AND(AUTOEVENTO="Manual",$M579=1),$M579&gt;(ROW(PLE.lastrow)-ROW(PLE.firstrow))),0,IF(OFFSET(PLE!$G$14,$M579,BY$13)="",10^12,OFFSET(PLE!$G$14,$M579,BY$13))))</f>
        <v>1000000000000</v>
      </c>
      <c r="BZ579" s="216">
        <f ca="1">IF($D579&lt;&gt;"Serviço",0,IF(OR(AND(AUTOEVENTO="Manual",$M579=1),$M579&gt;(ROW(PLE.lastrow)-ROW(PLE.firstrow))),0,IF(OFFSET(PLE!$G$14,$M579,BZ$13)="",10^12,OFFSET(PLE!$G$14,$M579,BZ$13))))</f>
        <v>1000000000000</v>
      </c>
      <c r="CA579" s="216">
        <f ca="1">IF($D579&lt;&gt;"Serviço",0,IF(OR(AND(AUTOEVENTO="Manual",$M579=1),$M579&gt;(ROW(PLE.lastrow)-ROW(PLE.firstrow))),0,IF(OFFSET(PLE!$G$14,$M579,CA$13)="",10^12,OFFSET(PLE!$G$14,$M579,CA$13))))</f>
        <v>1000000000000</v>
      </c>
      <c r="CB579" s="216">
        <f ca="1">IF($D579&lt;&gt;"Serviço",0,IF(OR(AND(AUTOEVENTO="Manual",$M579=1),$M579&gt;(ROW(PLE.lastrow)-ROW(PLE.firstrow))),0,IF(OFFSET(PLE!$G$14,$M579,CB$13)="",10^12,OFFSET(PLE!$G$14,$M579,CB$13))))</f>
        <v>1000000000000</v>
      </c>
      <c r="CC579" s="216">
        <f ca="1">IF($D579&lt;&gt;"Serviço",0,IF(OR(AND(AUTOEVENTO="Manual",$M579=1),$M579&gt;(ROW(PLE.lastrow)-ROW(PLE.firstrow))),0,IF(OFFSET(PLE!$G$14,$M579,CC$13)="",10^12,OFFSET(PLE!$G$14,$M579,CC$13))))</f>
        <v>1000000000000</v>
      </c>
      <c r="CD579" s="216">
        <f ca="1">IF($D579&lt;&gt;"Serviço",0,IF(OR(AND(AUTOEVENTO="Manual",$M579=1),$M579&gt;(ROW(PLE.lastrow)-ROW(PLE.firstrow))),0,IF(OFFSET(PLE!$G$14,$M579,CD$13)="",10^12,OFFSET(PLE!$G$14,$M579,CD$13))))</f>
        <v>1000000000000</v>
      </c>
      <c r="CE579" s="216">
        <f ca="1">IF($D579&lt;&gt;"Serviço",0,IF(OR(AND(AUTOEVENTO="Manual",$M579=1),$M579&gt;(ROW(PLE.lastrow)-ROW(PLE.firstrow))),0,IF(OFFSET(PLE!$G$14,$M579,CE$13)="",10^12,OFFSET(PLE!$G$14,$M579,CE$13))))</f>
        <v>1000000000000</v>
      </c>
      <c r="CF579" s="216">
        <f ca="1">IF($D579&lt;&gt;"Serviço",0,IF(OR(AND(AUTOEVENTO="Manual",$M579=1),$M579&gt;(ROW(PLE.lastrow)-ROW(PLE.firstrow))),0,IF(OFFSET(PLE!$G$14,$M579,CF$13)="",10^12,OFFSET(PLE!$G$14,$M579,CF$13))))</f>
        <v>1000000000000</v>
      </c>
      <c r="CG579" s="216">
        <f ca="1">IF($D579&lt;&gt;"Serviço",0,IF(OR(AND(AUTOEVENTO="Manual",$M579=1),$M579&gt;(ROW(PLE.lastrow)-ROW(PLE.firstrow))),0,IF(OFFSET(PLE!$G$14,$M579,CG$13)="",10^12,OFFSET(PLE!$G$14,$M579,CG$13))))</f>
        <v>1000000000000</v>
      </c>
      <c r="CH579" s="216">
        <f ca="1">IF($D579&lt;&gt;"Serviço",0,IF(OR(AND(AUTOEVENTO="Manual",$M579=1),$M579&gt;(ROW(PLE.lastrow)-ROW(PLE.firstrow))),0,IF(OFFSET(PLE!$G$14,$M579,CH$13)="",10^12,OFFSET(PLE!$G$14,$M579,CH$13))))</f>
        <v>1000000000000</v>
      </c>
      <c r="CI579" s="216">
        <f ca="1">IF($D579&lt;&gt;"Serviço",0,IF(OR(AND(AUTOEVENTO="Manual",$M579=1),$M579&gt;(ROW(PLE.lastrow)-ROW(PLE.firstrow))),0,IF(OFFSET(PLE!$G$14,$M579,CI$13)="",10^12,OFFSET(PLE!$G$14,$M579,CI$13))))</f>
        <v>1000000000000</v>
      </c>
      <c r="CJ579" s="216">
        <f ca="1">IF($D579&lt;&gt;"Serviço",0,IF(OR(AND(AUTOEVENTO="Manual",$M579=1),$M579&gt;(ROW(PLE.lastrow)-ROW(PLE.firstrow))),0,IF(OFFSET(PLE!$G$14,$M579,CJ$13)="",10^12,OFFSET(PLE!$G$14,$M579,CJ$13))))</f>
        <v>1000000000000</v>
      </c>
      <c r="CK579" s="216">
        <f ca="1">IF($D579&lt;&gt;"Serviço",0,IF(OR(AND(AUTOEVENTO="Manual",$M579=1),$M579&gt;(ROW(PLE.lastrow)-ROW(PLE.firstrow))),0,IF(OFFSET(PLE!$G$14,$M579,CK$13)="",10^12,OFFSET(PLE!$G$14,$M579,CK$13))))</f>
        <v>1000000000000</v>
      </c>
      <c r="CL579" s="216">
        <f ca="1">IF($D579&lt;&gt;"Serviço",0,IF(OR(AND(AUTOEVENTO="Manual",$M579=1),$M579&gt;(ROW(PLE.lastrow)-ROW(PLE.firstrow))),0,IF(OFFSET(PLE!$G$14,$M579,CL$13)="",10^12,OFFSET(PLE!$G$14,$M579,CL$13))))</f>
        <v>1000000000000</v>
      </c>
      <c r="CM579" s="216">
        <f ca="1">IF($D579&lt;&gt;"Serviço",0,IF(OR(AND(AUTOEVENTO="Manual",$M579=1),$M579&gt;(ROW(PLE.lastrow)-ROW(PLE.firstrow))),0,IF(OFFSET(PLE!$G$14,$M579,CM$13)="",10^12,OFFSET(PLE!$G$14,$M579,CM$13))))</f>
        <v>1000000000000</v>
      </c>
    </row>
    <row r="580" spans="1:91" ht="13.2" x14ac:dyDescent="0.25">
      <c r="A580" s="9">
        <f t="shared" ca="1" si="17"/>
        <v>0</v>
      </c>
      <c r="B580" s="9">
        <f ca="1">OFFSET(ORÇAMENTO!C$15,ROW(B580)-ROW(B$15),0)</f>
        <v>3</v>
      </c>
      <c r="C580" s="9" t="str">
        <f ca="1">OFFSET(ORÇAMENTO!L$15,ROW(C580)-ROW(C$15),0)</f>
        <v>F</v>
      </c>
      <c r="D580" s="145" t="str">
        <f ca="1">OFFSET(ORÇAMENTO!N$15,ROW(D580)-ROW(D$15),0)</f>
        <v>Nível 3</v>
      </c>
      <c r="E580" s="205" t="str">
        <f ca="1">OFFSET(ORÇAMENTO!O$15,ROW(E580)-ROW(E$15),0)</f>
        <v>1.18.4.</v>
      </c>
      <c r="F580" s="206" t="str">
        <f ca="1">OFFSET(ORÇAMENTO!R$15,ROW(F580)-ROW(F$15),0)</f>
        <v>CABOS E FIOS (CONDUTORES)</v>
      </c>
      <c r="G580" s="207" t="str">
        <f ca="1">IF($D580&lt;&gt;"Serviço","",OFFSET(ORÇAMENTO!S$15,ROW(G580)-ROW(G$15),0))</f>
        <v/>
      </c>
      <c r="H580" s="151">
        <f ca="1">IF($D580&lt;&gt;"Serviço",0,IF(ACOMPANHAMENTO="BM",ROUND(OFFSET(ORÇAMENTO!AJ$15,ROW(H580)-ROW(H$15),0),15-13*ORÇAMENTO!$AF$7),SUMPRODUCT(($Q$12:$AI$12&lt;&gt;"")*ROUND($Q580:$AI580,15-13*ORÇAMENTO!$AF$7))))</f>
        <v>0</v>
      </c>
      <c r="I580" s="650"/>
      <c r="K580" s="208"/>
      <c r="L580" s="209" t="s">
        <v>257</v>
      </c>
      <c r="M580" s="210" t="str">
        <f ca="1">IF($D580&lt;&gt;"Serviço","",IF(AUTOEVENTO="manual",$A580,IF(ISERROR(MATCH($A580,$A$15:OFFSET($A580,-1,0),0)),MAX($M$15:OFFSET(M580,-1,0))+1,INDEX($M$15:OFFSET(M580,-1,0),MATCH($A580,$A$15:OFFSET($A580,-1,0),0)))))</f>
        <v/>
      </c>
      <c r="N580" s="211" t="str">
        <f ca="1">IF($D580&lt;&gt;"Serviço","",IF(AUTOEVENTO="Manual",IF($A580=0,"&lt;-- defina o número do agrupador",OFFSET(EVENTOS!$D$14,$A580,0)),OFFSET($F$15,$A580,0)))</f>
        <v/>
      </c>
      <c r="O580" s="212"/>
      <c r="Q580" s="212"/>
      <c r="R580" s="213"/>
      <c r="S580" s="213"/>
      <c r="T580" s="213"/>
      <c r="U580" s="213"/>
      <c r="V580" s="213"/>
      <c r="W580" s="213"/>
      <c r="X580" s="213"/>
      <c r="Y580" s="213"/>
      <c r="Z580" s="214"/>
      <c r="AA580" s="213"/>
      <c r="AB580" s="213"/>
      <c r="AC580" s="213"/>
      <c r="AD580" s="213"/>
      <c r="AE580" s="213"/>
      <c r="AF580" s="213"/>
      <c r="AG580" s="213"/>
      <c r="AH580" s="214"/>
      <c r="AJ580" s="631">
        <f ca="1">IF(AND($D580="Serviço",AJ$12&lt;&gt;0,$H580&gt;0,OR(AUTOEVENTO&lt;&gt;"manual",$M580&lt;&gt;1)),ROUND(OFFSET($P580,0,AJ$13),15-13*ORÇAMENTO!$AF$7)/$H580*OFFSET(ORÇAMENTO!$X$15,ROW(AJ580)-ROW(AJ$15),0),0)</f>
        <v>0</v>
      </c>
      <c r="AK580" s="632">
        <f ca="1">IF(AND($D580="Serviço",AK$12&lt;&gt;0,$H580&gt;0,OR(AUTOEVENTO&lt;&gt;"manual",$M580&lt;&gt;1)),ROUND(OFFSET($P580,0,AK$13),15-13*ORÇAMENTO!$AF$7)/$H580*OFFSET(ORÇAMENTO!$X$15,ROW(AK580)-ROW(AK$15),0),0)</f>
        <v>0</v>
      </c>
      <c r="AL580" s="632">
        <f ca="1">IF(AND($D580="Serviço",AL$12&lt;&gt;0,$H580&gt;0,OR(AUTOEVENTO&lt;&gt;"manual",$M580&lt;&gt;1)),ROUND(OFFSET($P580,0,AL$13),15-13*ORÇAMENTO!$AF$7)/$H580*OFFSET(ORÇAMENTO!$X$15,ROW(AL580)-ROW(AL$15),0),0)</f>
        <v>0</v>
      </c>
      <c r="AM580" s="632">
        <f ca="1">IF(AND($D580="Serviço",AM$12&lt;&gt;0,$H580&gt;0,OR(AUTOEVENTO&lt;&gt;"manual",$M580&lt;&gt;1)),ROUND(OFFSET($P580,0,AM$13),15-13*ORÇAMENTO!$AF$7)/$H580*OFFSET(ORÇAMENTO!$X$15,ROW(AM580)-ROW(AM$15),0),0)</f>
        <v>0</v>
      </c>
      <c r="AN580" s="632">
        <f ca="1">IF(AND($D580="Serviço",AN$12&lt;&gt;0,$H580&gt;0,OR(AUTOEVENTO&lt;&gt;"manual",$M580&lt;&gt;1)),ROUND(OFFSET($P580,0,AN$13),15-13*ORÇAMENTO!$AF$7)/$H580*OFFSET(ORÇAMENTO!$X$15,ROW(AN580)-ROW(AN$15),0),0)</f>
        <v>0</v>
      </c>
      <c r="AO580" s="632">
        <f ca="1">IF(AND($D580="Serviço",AO$12&lt;&gt;0,$H580&gt;0,OR(AUTOEVENTO&lt;&gt;"manual",$M580&lt;&gt;1)),ROUND(OFFSET($P580,0,AO$13),15-13*ORÇAMENTO!$AF$7)/$H580*OFFSET(ORÇAMENTO!$X$15,ROW(AO580)-ROW(AO$15),0),0)</f>
        <v>0</v>
      </c>
      <c r="AP580" s="632">
        <f ca="1">IF(AND($D580="Serviço",AP$12&lt;&gt;0,$H580&gt;0,OR(AUTOEVENTO&lt;&gt;"manual",$M580&lt;&gt;1)),ROUND(OFFSET($P580,0,AP$13),15-13*ORÇAMENTO!$AF$7)/$H580*OFFSET(ORÇAMENTO!$X$15,ROW(AP580)-ROW(AP$15),0),0)</f>
        <v>0</v>
      </c>
      <c r="AQ580" s="632">
        <f ca="1">IF(AND($D580="Serviço",AQ$12&lt;&gt;0,$H580&gt;0,OR(AUTOEVENTO&lt;&gt;"manual",$M580&lt;&gt;1)),ROUND(OFFSET($P580,0,AQ$13),15-13*ORÇAMENTO!$AF$7)/$H580*OFFSET(ORÇAMENTO!$X$15,ROW(AQ580)-ROW(AQ$15),0),0)</f>
        <v>0</v>
      </c>
      <c r="AR580" s="632">
        <f ca="1">IF(AND($D580="Serviço",AR$12&lt;&gt;0,$H580&gt;0,OR(AUTOEVENTO&lt;&gt;"manual",$M580&lt;&gt;1)),ROUND(OFFSET($P580,0,AR$13),15-13*ORÇAMENTO!$AF$7)/$H580*OFFSET(ORÇAMENTO!$X$15,ROW(AR580)-ROW(AR$15),0),0)</f>
        <v>0</v>
      </c>
      <c r="AS580" s="633">
        <f ca="1">IF(AND($D580="Serviço",AS$12&lt;&gt;0,$H580&gt;0,OR(AUTOEVENTO&lt;&gt;"manual",$M580&lt;&gt;1)),ROUND(OFFSET($P580,0,AS$13),15-13*ORÇAMENTO!$AF$7)/$H580*OFFSET(ORÇAMENTO!$X$15,ROW(AS580)-ROW(AS$15),0),0)</f>
        <v>0</v>
      </c>
      <c r="AT580" s="632">
        <f ca="1">IF(AND($D580="Serviço",AT$12&lt;&gt;0,$H580&gt;0,OR(AUTOEVENTO&lt;&gt;"manual",$M580&lt;&gt;1)),ROUND(OFFSET($P580,0,AT$13),15-13*ORÇAMENTO!$AF$7)/$H580*OFFSET(ORÇAMENTO!$X$15,ROW(AT580)-ROW(AT$15),0),0)</f>
        <v>0</v>
      </c>
      <c r="AU580" s="632">
        <f ca="1">IF(AND($D580="Serviço",AU$12&lt;&gt;0,$H580&gt;0,OR(AUTOEVENTO&lt;&gt;"manual",$M580&lt;&gt;1)),ROUND(OFFSET($P580,0,AU$13),15-13*ORÇAMENTO!$AF$7)/$H580*OFFSET(ORÇAMENTO!$X$15,ROW(AU580)-ROW(AU$15),0),0)</f>
        <v>0</v>
      </c>
      <c r="AV580" s="632">
        <f ca="1">IF(AND($D580="Serviço",AV$12&lt;&gt;0,$H580&gt;0,OR(AUTOEVENTO&lt;&gt;"manual",$M580&lt;&gt;1)),ROUND(OFFSET($P580,0,AV$13),15-13*ORÇAMENTO!$AF$7)/$H580*OFFSET(ORÇAMENTO!$X$15,ROW(AV580)-ROW(AV$15),0),0)</f>
        <v>0</v>
      </c>
      <c r="AW580" s="632">
        <f ca="1">IF(AND($D580="Serviço",AW$12&lt;&gt;0,$H580&gt;0,OR(AUTOEVENTO&lt;&gt;"manual",$M580&lt;&gt;1)),ROUND(OFFSET($P580,0,AW$13),15-13*ORÇAMENTO!$AF$7)/$H580*OFFSET(ORÇAMENTO!$X$15,ROW(AW580)-ROW(AW$15),0),0)</f>
        <v>0</v>
      </c>
      <c r="AX580" s="632">
        <f ca="1">IF(AND($D580="Serviço",AX$12&lt;&gt;0,$H580&gt;0,OR(AUTOEVENTO&lt;&gt;"manual",$M580&lt;&gt;1)),ROUND(OFFSET($P580,0,AX$13),15-13*ORÇAMENTO!$AF$7)/$H580*OFFSET(ORÇAMENTO!$X$15,ROW(AX580)-ROW(AX$15),0),0)</f>
        <v>0</v>
      </c>
      <c r="AY580" s="632">
        <f ca="1">IF(AND($D580="Serviço",AY$12&lt;&gt;0,$H580&gt;0,OR(AUTOEVENTO&lt;&gt;"manual",$M580&lt;&gt;1)),ROUND(OFFSET($P580,0,AY$13),15-13*ORÇAMENTO!$AF$7)/$H580*OFFSET(ORÇAMENTO!$X$15,ROW(AY580)-ROW(AY$15),0),0)</f>
        <v>0</v>
      </c>
      <c r="AZ580" s="632">
        <f ca="1">IF(AND($D580="Serviço",AZ$12&lt;&gt;0,$H580&gt;0,OR(AUTOEVENTO&lt;&gt;"manual",$M580&lt;&gt;1)),ROUND(OFFSET($P580,0,AZ$13),15-13*ORÇAMENTO!$AF$7)/$H580*OFFSET(ORÇAMENTO!$X$15,ROW(AZ580)-ROW(AZ$15),0),0)</f>
        <v>0</v>
      </c>
      <c r="BA580" s="633">
        <f ca="1">IF(AND($D580="Serviço",BA$12&lt;&gt;0,$H580&gt;0,OR(AUTOEVENTO&lt;&gt;"manual",$M580&lt;&gt;1)),ROUND(OFFSET($P580,0,BA$13),15-13*ORÇAMENTO!$AF$7)/$H580*OFFSET(ORÇAMENTO!$X$15,ROW(BA580)-ROW(BA$15),0),0)</f>
        <v>0</v>
      </c>
      <c r="BC580" s="215">
        <f ca="1">IF($D580&lt;&gt;"Serviço",0,IF(AND(AUTOEVENTO="Manual",$M580=1),0,IF(OFFSET(CRONOPLE!$F$14,$M580,BC$13)="",10^12,OFFSET(CRONOPLE!$F$14,$M580,BC$13))))</f>
        <v>0</v>
      </c>
      <c r="BD580" s="215">
        <f ca="1">IF($D580&lt;&gt;"Serviço",0,IF(AND(AUTOEVENTO="Manual",$M580=1),0,IF(OFFSET(CRONOPLE!$F$14,$M580,BD$13)="",10^12,OFFSET(CRONOPLE!$F$14,$M580,BD$13))))</f>
        <v>0</v>
      </c>
      <c r="BE580" s="215">
        <f ca="1">IF($D580&lt;&gt;"Serviço",0,IF(AND(AUTOEVENTO="Manual",$M580=1),0,IF(OFFSET(CRONOPLE!$F$14,$M580,BE$13)="",10^12,OFFSET(CRONOPLE!$F$14,$M580,BE$13))))</f>
        <v>0</v>
      </c>
      <c r="BF580" s="215">
        <f ca="1">IF($D580&lt;&gt;"Serviço",0,IF(AND(AUTOEVENTO="Manual",$M580=1),0,IF(OFFSET(CRONOPLE!$F$14,$M580,BF$13)="",10^12,OFFSET(CRONOPLE!$F$14,$M580,BF$13))))</f>
        <v>0</v>
      </c>
      <c r="BG580" s="215">
        <f ca="1">IF($D580&lt;&gt;"Serviço",0,IF(AND(AUTOEVENTO="Manual",$M580=1),0,IF(OFFSET(CRONOPLE!$F$14,$M580,BG$13)="",10^12,OFFSET(CRONOPLE!$F$14,$M580,BG$13))))</f>
        <v>0</v>
      </c>
      <c r="BH580" s="215">
        <f ca="1">IF($D580&lt;&gt;"Serviço",0,IF(AND(AUTOEVENTO="Manual",$M580=1),0,IF(OFFSET(CRONOPLE!$F$14,$M580,BH$13)="",10^12,OFFSET(CRONOPLE!$F$14,$M580,BH$13))))</f>
        <v>0</v>
      </c>
      <c r="BI580" s="215">
        <f ca="1">IF($D580&lt;&gt;"Serviço",0,IF(AND(AUTOEVENTO="Manual",$M580=1),0,IF(OFFSET(CRONOPLE!$F$14,$M580,BI$13)="",10^12,OFFSET(CRONOPLE!$F$14,$M580,BI$13))))</f>
        <v>0</v>
      </c>
      <c r="BJ580" s="215">
        <f ca="1">IF($D580&lt;&gt;"Serviço",0,IF(AND(AUTOEVENTO="Manual",$M580=1),0,IF(OFFSET(CRONOPLE!$F$14,$M580,BJ$13)="",10^12,OFFSET(CRONOPLE!$F$14,$M580,BJ$13))))</f>
        <v>0</v>
      </c>
      <c r="BK580" s="215">
        <f ca="1">IF($D580&lt;&gt;"Serviço",0,IF(AND(AUTOEVENTO="Manual",$M580=1),0,IF(OFFSET(CRONOPLE!$F$14,$M580,BK$13)="",10^12,OFFSET(CRONOPLE!$F$14,$M580,BK$13))))</f>
        <v>0</v>
      </c>
      <c r="BL580" s="215">
        <f ca="1">IF($D580&lt;&gt;"Serviço",0,IF(AND(AUTOEVENTO="Manual",$M580=1),0,IF(OFFSET(CRONOPLE!$F$14,$M580,BL$13)="",10^12,OFFSET(CRONOPLE!$F$14,$M580,BL$13))))</f>
        <v>0</v>
      </c>
      <c r="BM580" s="215">
        <f ca="1">IF($D580&lt;&gt;"Serviço",0,IF(AND(AUTOEVENTO="Manual",$M580=1),0,IF(OFFSET(CRONOPLE!$F$14,$M580,BM$13)="",10^12,OFFSET(CRONOPLE!$F$14,$M580,BM$13))))</f>
        <v>0</v>
      </c>
      <c r="BN580" s="215">
        <f ca="1">IF($D580&lt;&gt;"Serviço",0,IF(AND(AUTOEVENTO="Manual",$M580=1),0,IF(OFFSET(CRONOPLE!$F$14,$M580,BN$13)="",10^12,OFFSET(CRONOPLE!$F$14,$M580,BN$13))))</f>
        <v>0</v>
      </c>
      <c r="BO580" s="215">
        <f ca="1">IF($D580&lt;&gt;"Serviço",0,IF(AND(AUTOEVENTO="Manual",$M580=1),0,IF(OFFSET(CRONOPLE!$F$14,$M580,BO$13)="",10^12,OFFSET(CRONOPLE!$F$14,$M580,BO$13))))</f>
        <v>0</v>
      </c>
      <c r="BP580" s="215">
        <f ca="1">IF($D580&lt;&gt;"Serviço",0,IF(AND(AUTOEVENTO="Manual",$M580=1),0,IF(OFFSET(CRONOPLE!$F$14,$M580,BP$13)="",10^12,OFFSET(CRONOPLE!$F$14,$M580,BP$13))))</f>
        <v>0</v>
      </c>
      <c r="BQ580" s="215">
        <f ca="1">IF($D580&lt;&gt;"Serviço",0,IF(AND(AUTOEVENTO="Manual",$M580=1),0,IF(OFFSET(CRONOPLE!$F$14,$M580,BQ$13)="",10^12,OFFSET(CRONOPLE!$F$14,$M580,BQ$13))))</f>
        <v>0</v>
      </c>
      <c r="BR580" s="215">
        <f ca="1">IF($D580&lt;&gt;"Serviço",0,IF(AND(AUTOEVENTO="Manual",$M580=1),0,IF(OFFSET(CRONOPLE!$F$14,$M580,BR$13)="",10^12,OFFSET(CRONOPLE!$F$14,$M580,BR$13))))</f>
        <v>0</v>
      </c>
      <c r="BS580" s="215">
        <f ca="1">IF($D580&lt;&gt;"Serviço",0,IF(AND(AUTOEVENTO="Manual",$M580=1),0,IF(OFFSET(CRONOPLE!$F$14,$M580,BS$13)="",10^12,OFFSET(CRONOPLE!$F$14,$M580,BS$13))))</f>
        <v>0</v>
      </c>
      <c r="BT580" s="215">
        <f ca="1">IF($D580&lt;&gt;"Serviço",0,IF(AND(AUTOEVENTO="Manual",$M580=1),0,IF(OFFSET(CRONOPLE!$F$14,$M580,BT$13)="",10^12,OFFSET(CRONOPLE!$F$14,$M580,BT$13))))</f>
        <v>0</v>
      </c>
      <c r="BV580" s="216">
        <f ca="1">IF($D580&lt;&gt;"Serviço",0,IF(OR(AND(AUTOEVENTO="Manual",$M580=1),$M580&gt;(ROW(PLE.lastrow)-ROW(PLE.firstrow))),0,IF(OFFSET(PLE!$G$14,$M580,BV$13)="",10^12,OFFSET(PLE!$G$14,$M580,BV$13))))</f>
        <v>0</v>
      </c>
      <c r="BW580" s="216">
        <f ca="1">IF($D580&lt;&gt;"Serviço",0,IF(OR(AND(AUTOEVENTO="Manual",$M580=1),$M580&gt;(ROW(PLE.lastrow)-ROW(PLE.firstrow))),0,IF(OFFSET(PLE!$G$14,$M580,BW$13)="",10^12,OFFSET(PLE!$G$14,$M580,BW$13))))</f>
        <v>0</v>
      </c>
      <c r="BX580" s="216">
        <f ca="1">IF($D580&lt;&gt;"Serviço",0,IF(OR(AND(AUTOEVENTO="Manual",$M580=1),$M580&gt;(ROW(PLE.lastrow)-ROW(PLE.firstrow))),0,IF(OFFSET(PLE!$G$14,$M580,BX$13)="",10^12,OFFSET(PLE!$G$14,$M580,BX$13))))</f>
        <v>0</v>
      </c>
      <c r="BY580" s="216">
        <f ca="1">IF($D580&lt;&gt;"Serviço",0,IF(OR(AND(AUTOEVENTO="Manual",$M580=1),$M580&gt;(ROW(PLE.lastrow)-ROW(PLE.firstrow))),0,IF(OFFSET(PLE!$G$14,$M580,BY$13)="",10^12,OFFSET(PLE!$G$14,$M580,BY$13))))</f>
        <v>0</v>
      </c>
      <c r="BZ580" s="216">
        <f ca="1">IF($D580&lt;&gt;"Serviço",0,IF(OR(AND(AUTOEVENTO="Manual",$M580=1),$M580&gt;(ROW(PLE.lastrow)-ROW(PLE.firstrow))),0,IF(OFFSET(PLE!$G$14,$M580,BZ$13)="",10^12,OFFSET(PLE!$G$14,$M580,BZ$13))))</f>
        <v>0</v>
      </c>
      <c r="CA580" s="216">
        <f ca="1">IF($D580&lt;&gt;"Serviço",0,IF(OR(AND(AUTOEVENTO="Manual",$M580=1),$M580&gt;(ROW(PLE.lastrow)-ROW(PLE.firstrow))),0,IF(OFFSET(PLE!$G$14,$M580,CA$13)="",10^12,OFFSET(PLE!$G$14,$M580,CA$13))))</f>
        <v>0</v>
      </c>
      <c r="CB580" s="216">
        <f ca="1">IF($D580&lt;&gt;"Serviço",0,IF(OR(AND(AUTOEVENTO="Manual",$M580=1),$M580&gt;(ROW(PLE.lastrow)-ROW(PLE.firstrow))),0,IF(OFFSET(PLE!$G$14,$M580,CB$13)="",10^12,OFFSET(PLE!$G$14,$M580,CB$13))))</f>
        <v>0</v>
      </c>
      <c r="CC580" s="216">
        <f ca="1">IF($D580&lt;&gt;"Serviço",0,IF(OR(AND(AUTOEVENTO="Manual",$M580=1),$M580&gt;(ROW(PLE.lastrow)-ROW(PLE.firstrow))),0,IF(OFFSET(PLE!$G$14,$M580,CC$13)="",10^12,OFFSET(PLE!$G$14,$M580,CC$13))))</f>
        <v>0</v>
      </c>
      <c r="CD580" s="216">
        <f ca="1">IF($D580&lt;&gt;"Serviço",0,IF(OR(AND(AUTOEVENTO="Manual",$M580=1),$M580&gt;(ROW(PLE.lastrow)-ROW(PLE.firstrow))),0,IF(OFFSET(PLE!$G$14,$M580,CD$13)="",10^12,OFFSET(PLE!$G$14,$M580,CD$13))))</f>
        <v>0</v>
      </c>
      <c r="CE580" s="216">
        <f ca="1">IF($D580&lt;&gt;"Serviço",0,IF(OR(AND(AUTOEVENTO="Manual",$M580=1),$M580&gt;(ROW(PLE.lastrow)-ROW(PLE.firstrow))),0,IF(OFFSET(PLE!$G$14,$M580,CE$13)="",10^12,OFFSET(PLE!$G$14,$M580,CE$13))))</f>
        <v>0</v>
      </c>
      <c r="CF580" s="216">
        <f ca="1">IF($D580&lt;&gt;"Serviço",0,IF(OR(AND(AUTOEVENTO="Manual",$M580=1),$M580&gt;(ROW(PLE.lastrow)-ROW(PLE.firstrow))),0,IF(OFFSET(PLE!$G$14,$M580,CF$13)="",10^12,OFFSET(PLE!$G$14,$M580,CF$13))))</f>
        <v>0</v>
      </c>
      <c r="CG580" s="216">
        <f ca="1">IF($D580&lt;&gt;"Serviço",0,IF(OR(AND(AUTOEVENTO="Manual",$M580=1),$M580&gt;(ROW(PLE.lastrow)-ROW(PLE.firstrow))),0,IF(OFFSET(PLE!$G$14,$M580,CG$13)="",10^12,OFFSET(PLE!$G$14,$M580,CG$13))))</f>
        <v>0</v>
      </c>
      <c r="CH580" s="216">
        <f ca="1">IF($D580&lt;&gt;"Serviço",0,IF(OR(AND(AUTOEVENTO="Manual",$M580=1),$M580&gt;(ROW(PLE.lastrow)-ROW(PLE.firstrow))),0,IF(OFFSET(PLE!$G$14,$M580,CH$13)="",10^12,OFFSET(PLE!$G$14,$M580,CH$13))))</f>
        <v>0</v>
      </c>
      <c r="CI580" s="216">
        <f ca="1">IF($D580&lt;&gt;"Serviço",0,IF(OR(AND(AUTOEVENTO="Manual",$M580=1),$M580&gt;(ROW(PLE.lastrow)-ROW(PLE.firstrow))),0,IF(OFFSET(PLE!$G$14,$M580,CI$13)="",10^12,OFFSET(PLE!$G$14,$M580,CI$13))))</f>
        <v>0</v>
      </c>
      <c r="CJ580" s="216">
        <f ca="1">IF($D580&lt;&gt;"Serviço",0,IF(OR(AND(AUTOEVENTO="Manual",$M580=1),$M580&gt;(ROW(PLE.lastrow)-ROW(PLE.firstrow))),0,IF(OFFSET(PLE!$G$14,$M580,CJ$13)="",10^12,OFFSET(PLE!$G$14,$M580,CJ$13))))</f>
        <v>0</v>
      </c>
      <c r="CK580" s="216">
        <f ca="1">IF($D580&lt;&gt;"Serviço",0,IF(OR(AND(AUTOEVENTO="Manual",$M580=1),$M580&gt;(ROW(PLE.lastrow)-ROW(PLE.firstrow))),0,IF(OFFSET(PLE!$G$14,$M580,CK$13)="",10^12,OFFSET(PLE!$G$14,$M580,CK$13))))</f>
        <v>0</v>
      </c>
      <c r="CL580" s="216">
        <f ca="1">IF($D580&lt;&gt;"Serviço",0,IF(OR(AND(AUTOEVENTO="Manual",$M580=1),$M580&gt;(ROW(PLE.lastrow)-ROW(PLE.firstrow))),0,IF(OFFSET(PLE!$G$14,$M580,CL$13)="",10^12,OFFSET(PLE!$G$14,$M580,CL$13))))</f>
        <v>0</v>
      </c>
      <c r="CM580" s="216">
        <f ca="1">IF($D580&lt;&gt;"Serviço",0,IF(OR(AND(AUTOEVENTO="Manual",$M580=1),$M580&gt;(ROW(PLE.lastrow)-ROW(PLE.firstrow))),0,IF(OFFSET(PLE!$G$14,$M580,CM$13)="",10^12,OFFSET(PLE!$G$14,$M580,CM$13))))</f>
        <v>0</v>
      </c>
    </row>
    <row r="581" spans="1:91" ht="13.2" x14ac:dyDescent="0.25">
      <c r="A581" s="9">
        <f t="shared" ca="1" si="17"/>
        <v>0</v>
      </c>
      <c r="B581" s="9" t="str">
        <f ca="1">OFFSET(ORÇAMENTO!C$15,ROW(B581)-ROW(B$15),0)</f>
        <v>S</v>
      </c>
      <c r="C581" s="9" t="str">
        <f ca="1">OFFSET(ORÇAMENTO!L$15,ROW(C581)-ROW(C$15),0)</f>
        <v/>
      </c>
      <c r="D581" s="145" t="str">
        <f ca="1">OFFSET(ORÇAMENTO!N$15,ROW(D581)-ROW(D$15),0)</f>
        <v>Serviço</v>
      </c>
      <c r="E581" s="205" t="str">
        <f ca="1">OFFSET(ORÇAMENTO!O$15,ROW(E581)-ROW(E$15),0)</f>
        <v>-</v>
      </c>
      <c r="F581" s="206" t="str">
        <f ca="1">OFFSET(ORÇAMENTO!R$15,ROW(F581)-ROW(F$15),0)</f>
        <v>(abra o arquivo 'Referência 05-2024.xls)</v>
      </c>
      <c r="G581" s="207" t="str">
        <f ca="1">IF($D581&lt;&gt;"Serviço","",OFFSET(ORÇAMENTO!S$15,ROW(G581)-ROW(G$15),0))</f>
        <v>-</v>
      </c>
      <c r="H581" s="151">
        <f ca="1">IF($D581&lt;&gt;"Serviço",0,IF(ACOMPANHAMENTO="BM",ROUND(OFFSET(ORÇAMENTO!AJ$15,ROW(H581)-ROW(H$15),0),15-13*ORÇAMENTO!$AF$7),SUMPRODUCT(($Q$12:$AI$12&lt;&gt;"")*ROUND($Q581:$AI581,15-13*ORÇAMENTO!$AF$7))))</f>
        <v>8209.3799999999992</v>
      </c>
      <c r="I581" s="650"/>
      <c r="K581" s="208"/>
      <c r="L581" s="209" t="s">
        <v>257</v>
      </c>
      <c r="M581" s="210">
        <f ca="1">IF($D581&lt;&gt;"Serviço","",IF(AUTOEVENTO="manual",$A581,IF(ISERROR(MATCH($A581,$A$15:OFFSET($A581,-1,0),0)),MAX($M$15:OFFSET(M581,-1,0))+1,INDEX($M$15:OFFSET(M581,-1,0),MATCH($A581,$A$15:OFFSET($A581,-1,0),0)))))</f>
        <v>0</v>
      </c>
      <c r="N581" s="211" t="str">
        <f ca="1">IF($D581&lt;&gt;"Serviço","",IF(AUTOEVENTO="Manual",IF($A581=0,"&lt;-- defina o número do agrupador",OFFSET(EVENTOS!$D$14,$A581,0)),OFFSET($F$15,$A581,0)))</f>
        <v>&lt;-- defina o número do agrupador</v>
      </c>
      <c r="O581" s="212"/>
      <c r="Q581" s="212"/>
      <c r="R581" s="213"/>
      <c r="S581" s="213"/>
      <c r="T581" s="213"/>
      <c r="U581" s="213"/>
      <c r="V581" s="213"/>
      <c r="W581" s="213"/>
      <c r="X581" s="213"/>
      <c r="Y581" s="213"/>
      <c r="Z581" s="214"/>
      <c r="AA581" s="213"/>
      <c r="AB581" s="213"/>
      <c r="AC581" s="213"/>
      <c r="AD581" s="213"/>
      <c r="AE581" s="213"/>
      <c r="AF581" s="213"/>
      <c r="AG581" s="213"/>
      <c r="AH581" s="214"/>
      <c r="AJ581" s="631">
        <f ca="1">IF(AND($D581="Serviço",AJ$12&lt;&gt;0,$H581&gt;0,OR(AUTOEVENTO&lt;&gt;"manual",$M581&lt;&gt;1)),ROUND(OFFSET($P581,0,AJ$13),15-13*ORÇAMENTO!$AF$7)/$H581*OFFSET(ORÇAMENTO!$X$15,ROW(AJ581)-ROW(AJ$15),0),0)</f>
        <v>0</v>
      </c>
      <c r="AK581" s="632">
        <f ca="1">IF(AND($D581="Serviço",AK$12&lt;&gt;0,$H581&gt;0,OR(AUTOEVENTO&lt;&gt;"manual",$M581&lt;&gt;1)),ROUND(OFFSET($P581,0,AK$13),15-13*ORÇAMENTO!$AF$7)/$H581*OFFSET(ORÇAMENTO!$X$15,ROW(AK581)-ROW(AK$15),0),0)</f>
        <v>0</v>
      </c>
      <c r="AL581" s="632">
        <f ca="1">IF(AND($D581="Serviço",AL$12&lt;&gt;0,$H581&gt;0,OR(AUTOEVENTO&lt;&gt;"manual",$M581&lt;&gt;1)),ROUND(OFFSET($P581,0,AL$13),15-13*ORÇAMENTO!$AF$7)/$H581*OFFSET(ORÇAMENTO!$X$15,ROW(AL581)-ROW(AL$15),0),0)</f>
        <v>0</v>
      </c>
      <c r="AM581" s="632">
        <f ca="1">IF(AND($D581="Serviço",AM$12&lt;&gt;0,$H581&gt;0,OR(AUTOEVENTO&lt;&gt;"manual",$M581&lt;&gt;1)),ROUND(OFFSET($P581,0,AM$13),15-13*ORÇAMENTO!$AF$7)/$H581*OFFSET(ORÇAMENTO!$X$15,ROW(AM581)-ROW(AM$15),0),0)</f>
        <v>0</v>
      </c>
      <c r="AN581" s="632">
        <f ca="1">IF(AND($D581="Serviço",AN$12&lt;&gt;0,$H581&gt;0,OR(AUTOEVENTO&lt;&gt;"manual",$M581&lt;&gt;1)),ROUND(OFFSET($P581,0,AN$13),15-13*ORÇAMENTO!$AF$7)/$H581*OFFSET(ORÇAMENTO!$X$15,ROW(AN581)-ROW(AN$15),0),0)</f>
        <v>0</v>
      </c>
      <c r="AO581" s="632">
        <f ca="1">IF(AND($D581="Serviço",AO$12&lt;&gt;0,$H581&gt;0,OR(AUTOEVENTO&lt;&gt;"manual",$M581&lt;&gt;1)),ROUND(OFFSET($P581,0,AO$13),15-13*ORÇAMENTO!$AF$7)/$H581*OFFSET(ORÇAMENTO!$X$15,ROW(AO581)-ROW(AO$15),0),0)</f>
        <v>0</v>
      </c>
      <c r="AP581" s="632">
        <f ca="1">IF(AND($D581="Serviço",AP$12&lt;&gt;0,$H581&gt;0,OR(AUTOEVENTO&lt;&gt;"manual",$M581&lt;&gt;1)),ROUND(OFFSET($P581,0,AP$13),15-13*ORÇAMENTO!$AF$7)/$H581*OFFSET(ORÇAMENTO!$X$15,ROW(AP581)-ROW(AP$15),0),0)</f>
        <v>0</v>
      </c>
      <c r="AQ581" s="632">
        <f ca="1">IF(AND($D581="Serviço",AQ$12&lt;&gt;0,$H581&gt;0,OR(AUTOEVENTO&lt;&gt;"manual",$M581&lt;&gt;1)),ROUND(OFFSET($P581,0,AQ$13),15-13*ORÇAMENTO!$AF$7)/$H581*OFFSET(ORÇAMENTO!$X$15,ROW(AQ581)-ROW(AQ$15),0),0)</f>
        <v>0</v>
      </c>
      <c r="AR581" s="632">
        <f ca="1">IF(AND($D581="Serviço",AR$12&lt;&gt;0,$H581&gt;0,OR(AUTOEVENTO&lt;&gt;"manual",$M581&lt;&gt;1)),ROUND(OFFSET($P581,0,AR$13),15-13*ORÇAMENTO!$AF$7)/$H581*OFFSET(ORÇAMENTO!$X$15,ROW(AR581)-ROW(AR$15),0),0)</f>
        <v>0</v>
      </c>
      <c r="AS581" s="633">
        <f ca="1">IF(AND($D581="Serviço",AS$12&lt;&gt;0,$H581&gt;0,OR(AUTOEVENTO&lt;&gt;"manual",$M581&lt;&gt;1)),ROUND(OFFSET($P581,0,AS$13),15-13*ORÇAMENTO!$AF$7)/$H581*OFFSET(ORÇAMENTO!$X$15,ROW(AS581)-ROW(AS$15),0),0)</f>
        <v>0</v>
      </c>
      <c r="AT581" s="632">
        <f ca="1">IF(AND($D581="Serviço",AT$12&lt;&gt;0,$H581&gt;0,OR(AUTOEVENTO&lt;&gt;"manual",$M581&lt;&gt;1)),ROUND(OFFSET($P581,0,AT$13),15-13*ORÇAMENTO!$AF$7)/$H581*OFFSET(ORÇAMENTO!$X$15,ROW(AT581)-ROW(AT$15),0),0)</f>
        <v>0</v>
      </c>
      <c r="AU581" s="632">
        <f ca="1">IF(AND($D581="Serviço",AU$12&lt;&gt;0,$H581&gt;0,OR(AUTOEVENTO&lt;&gt;"manual",$M581&lt;&gt;1)),ROUND(OFFSET($P581,0,AU$13),15-13*ORÇAMENTO!$AF$7)/$H581*OFFSET(ORÇAMENTO!$X$15,ROW(AU581)-ROW(AU$15),0),0)</f>
        <v>0</v>
      </c>
      <c r="AV581" s="632">
        <f ca="1">IF(AND($D581="Serviço",AV$12&lt;&gt;0,$H581&gt;0,OR(AUTOEVENTO&lt;&gt;"manual",$M581&lt;&gt;1)),ROUND(OFFSET($P581,0,AV$13),15-13*ORÇAMENTO!$AF$7)/$H581*OFFSET(ORÇAMENTO!$X$15,ROW(AV581)-ROW(AV$15),0),0)</f>
        <v>0</v>
      </c>
      <c r="AW581" s="632">
        <f ca="1">IF(AND($D581="Serviço",AW$12&lt;&gt;0,$H581&gt;0,OR(AUTOEVENTO&lt;&gt;"manual",$M581&lt;&gt;1)),ROUND(OFFSET($P581,0,AW$13),15-13*ORÇAMENTO!$AF$7)/$H581*OFFSET(ORÇAMENTO!$X$15,ROW(AW581)-ROW(AW$15),0),0)</f>
        <v>0</v>
      </c>
      <c r="AX581" s="632">
        <f ca="1">IF(AND($D581="Serviço",AX$12&lt;&gt;0,$H581&gt;0,OR(AUTOEVENTO&lt;&gt;"manual",$M581&lt;&gt;1)),ROUND(OFFSET($P581,0,AX$13),15-13*ORÇAMENTO!$AF$7)/$H581*OFFSET(ORÇAMENTO!$X$15,ROW(AX581)-ROW(AX$15),0),0)</f>
        <v>0</v>
      </c>
      <c r="AY581" s="632">
        <f ca="1">IF(AND($D581="Serviço",AY$12&lt;&gt;0,$H581&gt;0,OR(AUTOEVENTO&lt;&gt;"manual",$M581&lt;&gt;1)),ROUND(OFFSET($P581,0,AY$13),15-13*ORÇAMENTO!$AF$7)/$H581*OFFSET(ORÇAMENTO!$X$15,ROW(AY581)-ROW(AY$15),0),0)</f>
        <v>0</v>
      </c>
      <c r="AZ581" s="632">
        <f ca="1">IF(AND($D581="Serviço",AZ$12&lt;&gt;0,$H581&gt;0,OR(AUTOEVENTO&lt;&gt;"manual",$M581&lt;&gt;1)),ROUND(OFFSET($P581,0,AZ$13),15-13*ORÇAMENTO!$AF$7)/$H581*OFFSET(ORÇAMENTO!$X$15,ROW(AZ581)-ROW(AZ$15),0),0)</f>
        <v>0</v>
      </c>
      <c r="BA581" s="633">
        <f ca="1">IF(AND($D581="Serviço",BA$12&lt;&gt;0,$H581&gt;0,OR(AUTOEVENTO&lt;&gt;"manual",$M581&lt;&gt;1)),ROUND(OFFSET($P581,0,BA$13),15-13*ORÇAMENTO!$AF$7)/$H581*OFFSET(ORÇAMENTO!$X$15,ROW(BA581)-ROW(BA$15),0),0)</f>
        <v>0</v>
      </c>
      <c r="BC581" s="215">
        <f ca="1">IF($D581&lt;&gt;"Serviço",0,IF(AND(AUTOEVENTO="Manual",$M581=1),0,IF(OFFSET(CRONOPLE!$F$14,$M581,BC$13)="",10^12,OFFSET(CRONOPLE!$F$14,$M581,BC$13))))</f>
        <v>1000000000000</v>
      </c>
      <c r="BD581" s="215">
        <f ca="1">IF($D581&lt;&gt;"Serviço",0,IF(AND(AUTOEVENTO="Manual",$M581=1),0,IF(OFFSET(CRONOPLE!$F$14,$M581,BD$13)="",10^12,OFFSET(CRONOPLE!$F$14,$M581,BD$13))))</f>
        <v>1000000000000</v>
      </c>
      <c r="BE581" s="215">
        <f ca="1">IF($D581&lt;&gt;"Serviço",0,IF(AND(AUTOEVENTO="Manual",$M581=1),0,IF(OFFSET(CRONOPLE!$F$14,$M581,BE$13)="",10^12,OFFSET(CRONOPLE!$F$14,$M581,BE$13))))</f>
        <v>1000000000000</v>
      </c>
      <c r="BF581" s="215">
        <f ca="1">IF($D581&lt;&gt;"Serviço",0,IF(AND(AUTOEVENTO="Manual",$M581=1),0,IF(OFFSET(CRONOPLE!$F$14,$M581,BF$13)="",10^12,OFFSET(CRONOPLE!$F$14,$M581,BF$13))))</f>
        <v>1000000000000</v>
      </c>
      <c r="BG581" s="215">
        <f ca="1">IF($D581&lt;&gt;"Serviço",0,IF(AND(AUTOEVENTO="Manual",$M581=1),0,IF(OFFSET(CRONOPLE!$F$14,$M581,BG$13)="",10^12,OFFSET(CRONOPLE!$F$14,$M581,BG$13))))</f>
        <v>1000000000000</v>
      </c>
      <c r="BH581" s="215">
        <f ca="1">IF($D581&lt;&gt;"Serviço",0,IF(AND(AUTOEVENTO="Manual",$M581=1),0,IF(OFFSET(CRONOPLE!$F$14,$M581,BH$13)="",10^12,OFFSET(CRONOPLE!$F$14,$M581,BH$13))))</f>
        <v>1000000000000</v>
      </c>
      <c r="BI581" s="215">
        <f ca="1">IF($D581&lt;&gt;"Serviço",0,IF(AND(AUTOEVENTO="Manual",$M581=1),0,IF(OFFSET(CRONOPLE!$F$14,$M581,BI$13)="",10^12,OFFSET(CRONOPLE!$F$14,$M581,BI$13))))</f>
        <v>1000000000000</v>
      </c>
      <c r="BJ581" s="215">
        <f ca="1">IF($D581&lt;&gt;"Serviço",0,IF(AND(AUTOEVENTO="Manual",$M581=1),0,IF(OFFSET(CRONOPLE!$F$14,$M581,BJ$13)="",10^12,OFFSET(CRONOPLE!$F$14,$M581,BJ$13))))</f>
        <v>1000000000000</v>
      </c>
      <c r="BK581" s="215">
        <f ca="1">IF($D581&lt;&gt;"Serviço",0,IF(AND(AUTOEVENTO="Manual",$M581=1),0,IF(OFFSET(CRONOPLE!$F$14,$M581,BK$13)="",10^12,OFFSET(CRONOPLE!$F$14,$M581,BK$13))))</f>
        <v>1000000000000</v>
      </c>
      <c r="BL581" s="215">
        <f ca="1">IF($D581&lt;&gt;"Serviço",0,IF(AND(AUTOEVENTO="Manual",$M581=1),0,IF(OFFSET(CRONOPLE!$F$14,$M581,BL$13)="",10^12,OFFSET(CRONOPLE!$F$14,$M581,BL$13))))</f>
        <v>1000000000000</v>
      </c>
      <c r="BM581" s="215">
        <f ca="1">IF($D581&lt;&gt;"Serviço",0,IF(AND(AUTOEVENTO="Manual",$M581=1),0,IF(OFFSET(CRONOPLE!$F$14,$M581,BM$13)="",10^12,OFFSET(CRONOPLE!$F$14,$M581,BM$13))))</f>
        <v>1000000000000</v>
      </c>
      <c r="BN581" s="215">
        <f ca="1">IF($D581&lt;&gt;"Serviço",0,IF(AND(AUTOEVENTO="Manual",$M581=1),0,IF(OFFSET(CRONOPLE!$F$14,$M581,BN$13)="",10^12,OFFSET(CRONOPLE!$F$14,$M581,BN$13))))</f>
        <v>1000000000000</v>
      </c>
      <c r="BO581" s="215">
        <f ca="1">IF($D581&lt;&gt;"Serviço",0,IF(AND(AUTOEVENTO="Manual",$M581=1),0,IF(OFFSET(CRONOPLE!$F$14,$M581,BO$13)="",10^12,OFFSET(CRONOPLE!$F$14,$M581,BO$13))))</f>
        <v>1000000000000</v>
      </c>
      <c r="BP581" s="215">
        <f ca="1">IF($D581&lt;&gt;"Serviço",0,IF(AND(AUTOEVENTO="Manual",$M581=1),0,IF(OFFSET(CRONOPLE!$F$14,$M581,BP$13)="",10^12,OFFSET(CRONOPLE!$F$14,$M581,BP$13))))</f>
        <v>1000000000000</v>
      </c>
      <c r="BQ581" s="215">
        <f ca="1">IF($D581&lt;&gt;"Serviço",0,IF(AND(AUTOEVENTO="Manual",$M581=1),0,IF(OFFSET(CRONOPLE!$F$14,$M581,BQ$13)="",10^12,OFFSET(CRONOPLE!$F$14,$M581,BQ$13))))</f>
        <v>1000000000000</v>
      </c>
      <c r="BR581" s="215">
        <f ca="1">IF($D581&lt;&gt;"Serviço",0,IF(AND(AUTOEVENTO="Manual",$M581=1),0,IF(OFFSET(CRONOPLE!$F$14,$M581,BR$13)="",10^12,OFFSET(CRONOPLE!$F$14,$M581,BR$13))))</f>
        <v>1000000000000</v>
      </c>
      <c r="BS581" s="215">
        <f ca="1">IF($D581&lt;&gt;"Serviço",0,IF(AND(AUTOEVENTO="Manual",$M581=1),0,IF(OFFSET(CRONOPLE!$F$14,$M581,BS$13)="",10^12,OFFSET(CRONOPLE!$F$14,$M581,BS$13))))</f>
        <v>1000000000000</v>
      </c>
      <c r="BT581" s="215">
        <f ca="1">IF($D581&lt;&gt;"Serviço",0,IF(AND(AUTOEVENTO="Manual",$M581=1),0,IF(OFFSET(CRONOPLE!$F$14,$M581,BT$13)="",10^12,OFFSET(CRONOPLE!$F$14,$M581,BT$13))))</f>
        <v>1000000000000</v>
      </c>
      <c r="BV581" s="216">
        <f ca="1">IF($D581&lt;&gt;"Serviço",0,IF(OR(AND(AUTOEVENTO="Manual",$M581=1),$M581&gt;(ROW(PLE.lastrow)-ROW(PLE.firstrow))),0,IF(OFFSET(PLE!$G$14,$M581,BV$13)="",10^12,OFFSET(PLE!$G$14,$M581,BV$13))))</f>
        <v>1000000000000</v>
      </c>
      <c r="BW581" s="216">
        <f ca="1">IF($D581&lt;&gt;"Serviço",0,IF(OR(AND(AUTOEVENTO="Manual",$M581=1),$M581&gt;(ROW(PLE.lastrow)-ROW(PLE.firstrow))),0,IF(OFFSET(PLE!$G$14,$M581,BW$13)="",10^12,OFFSET(PLE!$G$14,$M581,BW$13))))</f>
        <v>1000000000000</v>
      </c>
      <c r="BX581" s="216">
        <f ca="1">IF($D581&lt;&gt;"Serviço",0,IF(OR(AND(AUTOEVENTO="Manual",$M581=1),$M581&gt;(ROW(PLE.lastrow)-ROW(PLE.firstrow))),0,IF(OFFSET(PLE!$G$14,$M581,BX$13)="",10^12,OFFSET(PLE!$G$14,$M581,BX$13))))</f>
        <v>1000000000000</v>
      </c>
      <c r="BY581" s="216">
        <f ca="1">IF($D581&lt;&gt;"Serviço",0,IF(OR(AND(AUTOEVENTO="Manual",$M581=1),$M581&gt;(ROW(PLE.lastrow)-ROW(PLE.firstrow))),0,IF(OFFSET(PLE!$G$14,$M581,BY$13)="",10^12,OFFSET(PLE!$G$14,$M581,BY$13))))</f>
        <v>1000000000000</v>
      </c>
      <c r="BZ581" s="216">
        <f ca="1">IF($D581&lt;&gt;"Serviço",0,IF(OR(AND(AUTOEVENTO="Manual",$M581=1),$M581&gt;(ROW(PLE.lastrow)-ROW(PLE.firstrow))),0,IF(OFFSET(PLE!$G$14,$M581,BZ$13)="",10^12,OFFSET(PLE!$G$14,$M581,BZ$13))))</f>
        <v>1000000000000</v>
      </c>
      <c r="CA581" s="216">
        <f ca="1">IF($D581&lt;&gt;"Serviço",0,IF(OR(AND(AUTOEVENTO="Manual",$M581=1),$M581&gt;(ROW(PLE.lastrow)-ROW(PLE.firstrow))),0,IF(OFFSET(PLE!$G$14,$M581,CA$13)="",10^12,OFFSET(PLE!$G$14,$M581,CA$13))))</f>
        <v>1000000000000</v>
      </c>
      <c r="CB581" s="216">
        <f ca="1">IF($D581&lt;&gt;"Serviço",0,IF(OR(AND(AUTOEVENTO="Manual",$M581=1),$M581&gt;(ROW(PLE.lastrow)-ROW(PLE.firstrow))),0,IF(OFFSET(PLE!$G$14,$M581,CB$13)="",10^12,OFFSET(PLE!$G$14,$M581,CB$13))))</f>
        <v>1000000000000</v>
      </c>
      <c r="CC581" s="216">
        <f ca="1">IF($D581&lt;&gt;"Serviço",0,IF(OR(AND(AUTOEVENTO="Manual",$M581=1),$M581&gt;(ROW(PLE.lastrow)-ROW(PLE.firstrow))),0,IF(OFFSET(PLE!$G$14,$M581,CC$13)="",10^12,OFFSET(PLE!$G$14,$M581,CC$13))))</f>
        <v>1000000000000</v>
      </c>
      <c r="CD581" s="216">
        <f ca="1">IF($D581&lt;&gt;"Serviço",0,IF(OR(AND(AUTOEVENTO="Manual",$M581=1),$M581&gt;(ROW(PLE.lastrow)-ROW(PLE.firstrow))),0,IF(OFFSET(PLE!$G$14,$M581,CD$13)="",10^12,OFFSET(PLE!$G$14,$M581,CD$13))))</f>
        <v>1000000000000</v>
      </c>
      <c r="CE581" s="216">
        <f ca="1">IF($D581&lt;&gt;"Serviço",0,IF(OR(AND(AUTOEVENTO="Manual",$M581=1),$M581&gt;(ROW(PLE.lastrow)-ROW(PLE.firstrow))),0,IF(OFFSET(PLE!$G$14,$M581,CE$13)="",10^12,OFFSET(PLE!$G$14,$M581,CE$13))))</f>
        <v>1000000000000</v>
      </c>
      <c r="CF581" s="216">
        <f ca="1">IF($D581&lt;&gt;"Serviço",0,IF(OR(AND(AUTOEVENTO="Manual",$M581=1),$M581&gt;(ROW(PLE.lastrow)-ROW(PLE.firstrow))),0,IF(OFFSET(PLE!$G$14,$M581,CF$13)="",10^12,OFFSET(PLE!$G$14,$M581,CF$13))))</f>
        <v>1000000000000</v>
      </c>
      <c r="CG581" s="216">
        <f ca="1">IF($D581&lt;&gt;"Serviço",0,IF(OR(AND(AUTOEVENTO="Manual",$M581=1),$M581&gt;(ROW(PLE.lastrow)-ROW(PLE.firstrow))),0,IF(OFFSET(PLE!$G$14,$M581,CG$13)="",10^12,OFFSET(PLE!$G$14,$M581,CG$13))))</f>
        <v>1000000000000</v>
      </c>
      <c r="CH581" s="216">
        <f ca="1">IF($D581&lt;&gt;"Serviço",0,IF(OR(AND(AUTOEVENTO="Manual",$M581=1),$M581&gt;(ROW(PLE.lastrow)-ROW(PLE.firstrow))),0,IF(OFFSET(PLE!$G$14,$M581,CH$13)="",10^12,OFFSET(PLE!$G$14,$M581,CH$13))))</f>
        <v>1000000000000</v>
      </c>
      <c r="CI581" s="216">
        <f ca="1">IF($D581&lt;&gt;"Serviço",0,IF(OR(AND(AUTOEVENTO="Manual",$M581=1),$M581&gt;(ROW(PLE.lastrow)-ROW(PLE.firstrow))),0,IF(OFFSET(PLE!$G$14,$M581,CI$13)="",10^12,OFFSET(PLE!$G$14,$M581,CI$13))))</f>
        <v>1000000000000</v>
      </c>
      <c r="CJ581" s="216">
        <f ca="1">IF($D581&lt;&gt;"Serviço",0,IF(OR(AND(AUTOEVENTO="Manual",$M581=1),$M581&gt;(ROW(PLE.lastrow)-ROW(PLE.firstrow))),0,IF(OFFSET(PLE!$G$14,$M581,CJ$13)="",10^12,OFFSET(PLE!$G$14,$M581,CJ$13))))</f>
        <v>1000000000000</v>
      </c>
      <c r="CK581" s="216">
        <f ca="1">IF($D581&lt;&gt;"Serviço",0,IF(OR(AND(AUTOEVENTO="Manual",$M581=1),$M581&gt;(ROW(PLE.lastrow)-ROW(PLE.firstrow))),0,IF(OFFSET(PLE!$G$14,$M581,CK$13)="",10^12,OFFSET(PLE!$G$14,$M581,CK$13))))</f>
        <v>1000000000000</v>
      </c>
      <c r="CL581" s="216">
        <f ca="1">IF($D581&lt;&gt;"Serviço",0,IF(OR(AND(AUTOEVENTO="Manual",$M581=1),$M581&gt;(ROW(PLE.lastrow)-ROW(PLE.firstrow))),0,IF(OFFSET(PLE!$G$14,$M581,CL$13)="",10^12,OFFSET(PLE!$G$14,$M581,CL$13))))</f>
        <v>1000000000000</v>
      </c>
      <c r="CM581" s="216">
        <f ca="1">IF($D581&lt;&gt;"Serviço",0,IF(OR(AND(AUTOEVENTO="Manual",$M581=1),$M581&gt;(ROW(PLE.lastrow)-ROW(PLE.firstrow))),0,IF(OFFSET(PLE!$G$14,$M581,CM$13)="",10^12,OFFSET(PLE!$G$14,$M581,CM$13))))</f>
        <v>1000000000000</v>
      </c>
    </row>
    <row r="582" spans="1:91" ht="13.2" x14ac:dyDescent="0.25">
      <c r="A582" s="9">
        <f t="shared" ca="1" si="17"/>
        <v>0</v>
      </c>
      <c r="B582" s="9" t="str">
        <f ca="1">OFFSET(ORÇAMENTO!C$15,ROW(B582)-ROW(B$15),0)</f>
        <v>S</v>
      </c>
      <c r="C582" s="9" t="str">
        <f ca="1">OFFSET(ORÇAMENTO!L$15,ROW(C582)-ROW(C$15),0)</f>
        <v/>
      </c>
      <c r="D582" s="145" t="str">
        <f ca="1">OFFSET(ORÇAMENTO!N$15,ROW(D582)-ROW(D$15),0)</f>
        <v>Serviço</v>
      </c>
      <c r="E582" s="205" t="str">
        <f ca="1">OFFSET(ORÇAMENTO!O$15,ROW(E582)-ROW(E$15),0)</f>
        <v>-</v>
      </c>
      <c r="F582" s="206" t="str">
        <f ca="1">OFFSET(ORÇAMENTO!R$15,ROW(F582)-ROW(F$15),0)</f>
        <v>(abra o arquivo 'Referência 05-2024.xls)</v>
      </c>
      <c r="G582" s="207" t="str">
        <f ca="1">IF($D582&lt;&gt;"Serviço","",OFFSET(ORÇAMENTO!S$15,ROW(G582)-ROW(G$15),0))</f>
        <v>-</v>
      </c>
      <c r="H582" s="151">
        <f ca="1">IF($D582&lt;&gt;"Serviço",0,IF(ACOMPANHAMENTO="BM",ROUND(OFFSET(ORÇAMENTO!AJ$15,ROW(H582)-ROW(H$15),0),15-13*ORÇAMENTO!$AF$7),SUMPRODUCT(($Q$12:$AI$12&lt;&gt;"")*ROUND($Q582:$AI582,15-13*ORÇAMENTO!$AF$7))))</f>
        <v>3917.07</v>
      </c>
      <c r="I582" s="650"/>
      <c r="K582" s="208"/>
      <c r="L582" s="209" t="s">
        <v>257</v>
      </c>
      <c r="M582" s="210">
        <f ca="1">IF($D582&lt;&gt;"Serviço","",IF(AUTOEVENTO="manual",$A582,IF(ISERROR(MATCH($A582,$A$15:OFFSET($A582,-1,0),0)),MAX($M$15:OFFSET(M582,-1,0))+1,INDEX($M$15:OFFSET(M582,-1,0),MATCH($A582,$A$15:OFFSET($A582,-1,0),0)))))</f>
        <v>0</v>
      </c>
      <c r="N582" s="211" t="str">
        <f ca="1">IF($D582&lt;&gt;"Serviço","",IF(AUTOEVENTO="Manual",IF($A582=0,"&lt;-- defina o número do agrupador",OFFSET(EVENTOS!$D$14,$A582,0)),OFFSET($F$15,$A582,0)))</f>
        <v>&lt;-- defina o número do agrupador</v>
      </c>
      <c r="O582" s="212"/>
      <c r="Q582" s="212"/>
      <c r="R582" s="213"/>
      <c r="S582" s="213"/>
      <c r="T582" s="213"/>
      <c r="U582" s="213"/>
      <c r="V582" s="213"/>
      <c r="W582" s="213"/>
      <c r="X582" s="213"/>
      <c r="Y582" s="213"/>
      <c r="Z582" s="214"/>
      <c r="AA582" s="213"/>
      <c r="AB582" s="213"/>
      <c r="AC582" s="213"/>
      <c r="AD582" s="213"/>
      <c r="AE582" s="213"/>
      <c r="AF582" s="213"/>
      <c r="AG582" s="213"/>
      <c r="AH582" s="214"/>
      <c r="AJ582" s="631">
        <f ca="1">IF(AND($D582="Serviço",AJ$12&lt;&gt;0,$H582&gt;0,OR(AUTOEVENTO&lt;&gt;"manual",$M582&lt;&gt;1)),ROUND(OFFSET($P582,0,AJ$13),15-13*ORÇAMENTO!$AF$7)/$H582*OFFSET(ORÇAMENTO!$X$15,ROW(AJ582)-ROW(AJ$15),0),0)</f>
        <v>0</v>
      </c>
      <c r="AK582" s="632">
        <f ca="1">IF(AND($D582="Serviço",AK$12&lt;&gt;0,$H582&gt;0,OR(AUTOEVENTO&lt;&gt;"manual",$M582&lt;&gt;1)),ROUND(OFFSET($P582,0,AK$13),15-13*ORÇAMENTO!$AF$7)/$H582*OFFSET(ORÇAMENTO!$X$15,ROW(AK582)-ROW(AK$15),0),0)</f>
        <v>0</v>
      </c>
      <c r="AL582" s="632">
        <f ca="1">IF(AND($D582="Serviço",AL$12&lt;&gt;0,$H582&gt;0,OR(AUTOEVENTO&lt;&gt;"manual",$M582&lt;&gt;1)),ROUND(OFFSET($P582,0,AL$13),15-13*ORÇAMENTO!$AF$7)/$H582*OFFSET(ORÇAMENTO!$X$15,ROW(AL582)-ROW(AL$15),0),0)</f>
        <v>0</v>
      </c>
      <c r="AM582" s="632">
        <f ca="1">IF(AND($D582="Serviço",AM$12&lt;&gt;0,$H582&gt;0,OR(AUTOEVENTO&lt;&gt;"manual",$M582&lt;&gt;1)),ROUND(OFFSET($P582,0,AM$13),15-13*ORÇAMENTO!$AF$7)/$H582*OFFSET(ORÇAMENTO!$X$15,ROW(AM582)-ROW(AM$15),0),0)</f>
        <v>0</v>
      </c>
      <c r="AN582" s="632">
        <f ca="1">IF(AND($D582="Serviço",AN$12&lt;&gt;0,$H582&gt;0,OR(AUTOEVENTO&lt;&gt;"manual",$M582&lt;&gt;1)),ROUND(OFFSET($P582,0,AN$13),15-13*ORÇAMENTO!$AF$7)/$H582*OFFSET(ORÇAMENTO!$X$15,ROW(AN582)-ROW(AN$15),0),0)</f>
        <v>0</v>
      </c>
      <c r="AO582" s="632">
        <f ca="1">IF(AND($D582="Serviço",AO$12&lt;&gt;0,$H582&gt;0,OR(AUTOEVENTO&lt;&gt;"manual",$M582&lt;&gt;1)),ROUND(OFFSET($P582,0,AO$13),15-13*ORÇAMENTO!$AF$7)/$H582*OFFSET(ORÇAMENTO!$X$15,ROW(AO582)-ROW(AO$15),0),0)</f>
        <v>0</v>
      </c>
      <c r="AP582" s="632">
        <f ca="1">IF(AND($D582="Serviço",AP$12&lt;&gt;0,$H582&gt;0,OR(AUTOEVENTO&lt;&gt;"manual",$M582&lt;&gt;1)),ROUND(OFFSET($P582,0,AP$13),15-13*ORÇAMENTO!$AF$7)/$H582*OFFSET(ORÇAMENTO!$X$15,ROW(AP582)-ROW(AP$15),0),0)</f>
        <v>0</v>
      </c>
      <c r="AQ582" s="632">
        <f ca="1">IF(AND($D582="Serviço",AQ$12&lt;&gt;0,$H582&gt;0,OR(AUTOEVENTO&lt;&gt;"manual",$M582&lt;&gt;1)),ROUND(OFFSET($P582,0,AQ$13),15-13*ORÇAMENTO!$AF$7)/$H582*OFFSET(ORÇAMENTO!$X$15,ROW(AQ582)-ROW(AQ$15),0),0)</f>
        <v>0</v>
      </c>
      <c r="AR582" s="632">
        <f ca="1">IF(AND($D582="Serviço",AR$12&lt;&gt;0,$H582&gt;0,OR(AUTOEVENTO&lt;&gt;"manual",$M582&lt;&gt;1)),ROUND(OFFSET($P582,0,AR$13),15-13*ORÇAMENTO!$AF$7)/$H582*OFFSET(ORÇAMENTO!$X$15,ROW(AR582)-ROW(AR$15),0),0)</f>
        <v>0</v>
      </c>
      <c r="AS582" s="633">
        <f ca="1">IF(AND($D582="Serviço",AS$12&lt;&gt;0,$H582&gt;0,OR(AUTOEVENTO&lt;&gt;"manual",$M582&lt;&gt;1)),ROUND(OFFSET($P582,0,AS$13),15-13*ORÇAMENTO!$AF$7)/$H582*OFFSET(ORÇAMENTO!$X$15,ROW(AS582)-ROW(AS$15),0),0)</f>
        <v>0</v>
      </c>
      <c r="AT582" s="632">
        <f ca="1">IF(AND($D582="Serviço",AT$12&lt;&gt;0,$H582&gt;0,OR(AUTOEVENTO&lt;&gt;"manual",$M582&lt;&gt;1)),ROUND(OFFSET($P582,0,AT$13),15-13*ORÇAMENTO!$AF$7)/$H582*OFFSET(ORÇAMENTO!$X$15,ROW(AT582)-ROW(AT$15),0),0)</f>
        <v>0</v>
      </c>
      <c r="AU582" s="632">
        <f ca="1">IF(AND($D582="Serviço",AU$12&lt;&gt;0,$H582&gt;0,OR(AUTOEVENTO&lt;&gt;"manual",$M582&lt;&gt;1)),ROUND(OFFSET($P582,0,AU$13),15-13*ORÇAMENTO!$AF$7)/$H582*OFFSET(ORÇAMENTO!$X$15,ROW(AU582)-ROW(AU$15),0),0)</f>
        <v>0</v>
      </c>
      <c r="AV582" s="632">
        <f ca="1">IF(AND($D582="Serviço",AV$12&lt;&gt;0,$H582&gt;0,OR(AUTOEVENTO&lt;&gt;"manual",$M582&lt;&gt;1)),ROUND(OFFSET($P582,0,AV$13),15-13*ORÇAMENTO!$AF$7)/$H582*OFFSET(ORÇAMENTO!$X$15,ROW(AV582)-ROW(AV$15),0),0)</f>
        <v>0</v>
      </c>
      <c r="AW582" s="632">
        <f ca="1">IF(AND($D582="Serviço",AW$12&lt;&gt;0,$H582&gt;0,OR(AUTOEVENTO&lt;&gt;"manual",$M582&lt;&gt;1)),ROUND(OFFSET($P582,0,AW$13),15-13*ORÇAMENTO!$AF$7)/$H582*OFFSET(ORÇAMENTO!$X$15,ROW(AW582)-ROW(AW$15),0),0)</f>
        <v>0</v>
      </c>
      <c r="AX582" s="632">
        <f ca="1">IF(AND($D582="Serviço",AX$12&lt;&gt;0,$H582&gt;0,OR(AUTOEVENTO&lt;&gt;"manual",$M582&lt;&gt;1)),ROUND(OFFSET($P582,0,AX$13),15-13*ORÇAMENTO!$AF$7)/$H582*OFFSET(ORÇAMENTO!$X$15,ROW(AX582)-ROW(AX$15),0),0)</f>
        <v>0</v>
      </c>
      <c r="AY582" s="632">
        <f ca="1">IF(AND($D582="Serviço",AY$12&lt;&gt;0,$H582&gt;0,OR(AUTOEVENTO&lt;&gt;"manual",$M582&lt;&gt;1)),ROUND(OFFSET($P582,0,AY$13),15-13*ORÇAMENTO!$AF$7)/$H582*OFFSET(ORÇAMENTO!$X$15,ROW(AY582)-ROW(AY$15),0),0)</f>
        <v>0</v>
      </c>
      <c r="AZ582" s="632">
        <f ca="1">IF(AND($D582="Serviço",AZ$12&lt;&gt;0,$H582&gt;0,OR(AUTOEVENTO&lt;&gt;"manual",$M582&lt;&gt;1)),ROUND(OFFSET($P582,0,AZ$13),15-13*ORÇAMENTO!$AF$7)/$H582*OFFSET(ORÇAMENTO!$X$15,ROW(AZ582)-ROW(AZ$15),0),0)</f>
        <v>0</v>
      </c>
      <c r="BA582" s="633">
        <f ca="1">IF(AND($D582="Serviço",BA$12&lt;&gt;0,$H582&gt;0,OR(AUTOEVENTO&lt;&gt;"manual",$M582&lt;&gt;1)),ROUND(OFFSET($P582,0,BA$13),15-13*ORÇAMENTO!$AF$7)/$H582*OFFSET(ORÇAMENTO!$X$15,ROW(BA582)-ROW(BA$15),0),0)</f>
        <v>0</v>
      </c>
      <c r="BC582" s="215">
        <f ca="1">IF($D582&lt;&gt;"Serviço",0,IF(AND(AUTOEVENTO="Manual",$M582=1),0,IF(OFFSET(CRONOPLE!$F$14,$M582,BC$13)="",10^12,OFFSET(CRONOPLE!$F$14,$M582,BC$13))))</f>
        <v>1000000000000</v>
      </c>
      <c r="BD582" s="215">
        <f ca="1">IF($D582&lt;&gt;"Serviço",0,IF(AND(AUTOEVENTO="Manual",$M582=1),0,IF(OFFSET(CRONOPLE!$F$14,$M582,BD$13)="",10^12,OFFSET(CRONOPLE!$F$14,$M582,BD$13))))</f>
        <v>1000000000000</v>
      </c>
      <c r="BE582" s="215">
        <f ca="1">IF($D582&lt;&gt;"Serviço",0,IF(AND(AUTOEVENTO="Manual",$M582=1),0,IF(OFFSET(CRONOPLE!$F$14,$M582,BE$13)="",10^12,OFFSET(CRONOPLE!$F$14,$M582,BE$13))))</f>
        <v>1000000000000</v>
      </c>
      <c r="BF582" s="215">
        <f ca="1">IF($D582&lt;&gt;"Serviço",0,IF(AND(AUTOEVENTO="Manual",$M582=1),0,IF(OFFSET(CRONOPLE!$F$14,$M582,BF$13)="",10^12,OFFSET(CRONOPLE!$F$14,$M582,BF$13))))</f>
        <v>1000000000000</v>
      </c>
      <c r="BG582" s="215">
        <f ca="1">IF($D582&lt;&gt;"Serviço",0,IF(AND(AUTOEVENTO="Manual",$M582=1),0,IF(OFFSET(CRONOPLE!$F$14,$M582,BG$13)="",10^12,OFFSET(CRONOPLE!$F$14,$M582,BG$13))))</f>
        <v>1000000000000</v>
      </c>
      <c r="BH582" s="215">
        <f ca="1">IF($D582&lt;&gt;"Serviço",0,IF(AND(AUTOEVENTO="Manual",$M582=1),0,IF(OFFSET(CRONOPLE!$F$14,$M582,BH$13)="",10^12,OFFSET(CRONOPLE!$F$14,$M582,BH$13))))</f>
        <v>1000000000000</v>
      </c>
      <c r="BI582" s="215">
        <f ca="1">IF($D582&lt;&gt;"Serviço",0,IF(AND(AUTOEVENTO="Manual",$M582=1),0,IF(OFFSET(CRONOPLE!$F$14,$M582,BI$13)="",10^12,OFFSET(CRONOPLE!$F$14,$M582,BI$13))))</f>
        <v>1000000000000</v>
      </c>
      <c r="BJ582" s="215">
        <f ca="1">IF($D582&lt;&gt;"Serviço",0,IF(AND(AUTOEVENTO="Manual",$M582=1),0,IF(OFFSET(CRONOPLE!$F$14,$M582,BJ$13)="",10^12,OFFSET(CRONOPLE!$F$14,$M582,BJ$13))))</f>
        <v>1000000000000</v>
      </c>
      <c r="BK582" s="215">
        <f ca="1">IF($D582&lt;&gt;"Serviço",0,IF(AND(AUTOEVENTO="Manual",$M582=1),0,IF(OFFSET(CRONOPLE!$F$14,$M582,BK$13)="",10^12,OFFSET(CRONOPLE!$F$14,$M582,BK$13))))</f>
        <v>1000000000000</v>
      </c>
      <c r="BL582" s="215">
        <f ca="1">IF($D582&lt;&gt;"Serviço",0,IF(AND(AUTOEVENTO="Manual",$M582=1),0,IF(OFFSET(CRONOPLE!$F$14,$M582,BL$13)="",10^12,OFFSET(CRONOPLE!$F$14,$M582,BL$13))))</f>
        <v>1000000000000</v>
      </c>
      <c r="BM582" s="215">
        <f ca="1">IF($D582&lt;&gt;"Serviço",0,IF(AND(AUTOEVENTO="Manual",$M582=1),0,IF(OFFSET(CRONOPLE!$F$14,$M582,BM$13)="",10^12,OFFSET(CRONOPLE!$F$14,$M582,BM$13))))</f>
        <v>1000000000000</v>
      </c>
      <c r="BN582" s="215">
        <f ca="1">IF($D582&lt;&gt;"Serviço",0,IF(AND(AUTOEVENTO="Manual",$M582=1),0,IF(OFFSET(CRONOPLE!$F$14,$M582,BN$13)="",10^12,OFFSET(CRONOPLE!$F$14,$M582,BN$13))))</f>
        <v>1000000000000</v>
      </c>
      <c r="BO582" s="215">
        <f ca="1">IF($D582&lt;&gt;"Serviço",0,IF(AND(AUTOEVENTO="Manual",$M582=1),0,IF(OFFSET(CRONOPLE!$F$14,$M582,BO$13)="",10^12,OFFSET(CRONOPLE!$F$14,$M582,BO$13))))</f>
        <v>1000000000000</v>
      </c>
      <c r="BP582" s="215">
        <f ca="1">IF($D582&lt;&gt;"Serviço",0,IF(AND(AUTOEVENTO="Manual",$M582=1),0,IF(OFFSET(CRONOPLE!$F$14,$M582,BP$13)="",10^12,OFFSET(CRONOPLE!$F$14,$M582,BP$13))))</f>
        <v>1000000000000</v>
      </c>
      <c r="BQ582" s="215">
        <f ca="1">IF($D582&lt;&gt;"Serviço",0,IF(AND(AUTOEVENTO="Manual",$M582=1),0,IF(OFFSET(CRONOPLE!$F$14,$M582,BQ$13)="",10^12,OFFSET(CRONOPLE!$F$14,$M582,BQ$13))))</f>
        <v>1000000000000</v>
      </c>
      <c r="BR582" s="215">
        <f ca="1">IF($D582&lt;&gt;"Serviço",0,IF(AND(AUTOEVENTO="Manual",$M582=1),0,IF(OFFSET(CRONOPLE!$F$14,$M582,BR$13)="",10^12,OFFSET(CRONOPLE!$F$14,$M582,BR$13))))</f>
        <v>1000000000000</v>
      </c>
      <c r="BS582" s="215">
        <f ca="1">IF($D582&lt;&gt;"Serviço",0,IF(AND(AUTOEVENTO="Manual",$M582=1),0,IF(OFFSET(CRONOPLE!$F$14,$M582,BS$13)="",10^12,OFFSET(CRONOPLE!$F$14,$M582,BS$13))))</f>
        <v>1000000000000</v>
      </c>
      <c r="BT582" s="215">
        <f ca="1">IF($D582&lt;&gt;"Serviço",0,IF(AND(AUTOEVENTO="Manual",$M582=1),0,IF(OFFSET(CRONOPLE!$F$14,$M582,BT$13)="",10^12,OFFSET(CRONOPLE!$F$14,$M582,BT$13))))</f>
        <v>1000000000000</v>
      </c>
      <c r="BV582" s="216">
        <f ca="1">IF($D582&lt;&gt;"Serviço",0,IF(OR(AND(AUTOEVENTO="Manual",$M582=1),$M582&gt;(ROW(PLE.lastrow)-ROW(PLE.firstrow))),0,IF(OFFSET(PLE!$G$14,$M582,BV$13)="",10^12,OFFSET(PLE!$G$14,$M582,BV$13))))</f>
        <v>1000000000000</v>
      </c>
      <c r="BW582" s="216">
        <f ca="1">IF($D582&lt;&gt;"Serviço",0,IF(OR(AND(AUTOEVENTO="Manual",$M582=1),$M582&gt;(ROW(PLE.lastrow)-ROW(PLE.firstrow))),0,IF(OFFSET(PLE!$G$14,$M582,BW$13)="",10^12,OFFSET(PLE!$G$14,$M582,BW$13))))</f>
        <v>1000000000000</v>
      </c>
      <c r="BX582" s="216">
        <f ca="1">IF($D582&lt;&gt;"Serviço",0,IF(OR(AND(AUTOEVENTO="Manual",$M582=1),$M582&gt;(ROW(PLE.lastrow)-ROW(PLE.firstrow))),0,IF(OFFSET(PLE!$G$14,$M582,BX$13)="",10^12,OFFSET(PLE!$G$14,$M582,BX$13))))</f>
        <v>1000000000000</v>
      </c>
      <c r="BY582" s="216">
        <f ca="1">IF($D582&lt;&gt;"Serviço",0,IF(OR(AND(AUTOEVENTO="Manual",$M582=1),$M582&gt;(ROW(PLE.lastrow)-ROW(PLE.firstrow))),0,IF(OFFSET(PLE!$G$14,$M582,BY$13)="",10^12,OFFSET(PLE!$G$14,$M582,BY$13))))</f>
        <v>1000000000000</v>
      </c>
      <c r="BZ582" s="216">
        <f ca="1">IF($D582&lt;&gt;"Serviço",0,IF(OR(AND(AUTOEVENTO="Manual",$M582=1),$M582&gt;(ROW(PLE.lastrow)-ROW(PLE.firstrow))),0,IF(OFFSET(PLE!$G$14,$M582,BZ$13)="",10^12,OFFSET(PLE!$G$14,$M582,BZ$13))))</f>
        <v>1000000000000</v>
      </c>
      <c r="CA582" s="216">
        <f ca="1">IF($D582&lt;&gt;"Serviço",0,IF(OR(AND(AUTOEVENTO="Manual",$M582=1),$M582&gt;(ROW(PLE.lastrow)-ROW(PLE.firstrow))),0,IF(OFFSET(PLE!$G$14,$M582,CA$13)="",10^12,OFFSET(PLE!$G$14,$M582,CA$13))))</f>
        <v>1000000000000</v>
      </c>
      <c r="CB582" s="216">
        <f ca="1">IF($D582&lt;&gt;"Serviço",0,IF(OR(AND(AUTOEVENTO="Manual",$M582=1),$M582&gt;(ROW(PLE.lastrow)-ROW(PLE.firstrow))),0,IF(OFFSET(PLE!$G$14,$M582,CB$13)="",10^12,OFFSET(PLE!$G$14,$M582,CB$13))))</f>
        <v>1000000000000</v>
      </c>
      <c r="CC582" s="216">
        <f ca="1">IF($D582&lt;&gt;"Serviço",0,IF(OR(AND(AUTOEVENTO="Manual",$M582=1),$M582&gt;(ROW(PLE.lastrow)-ROW(PLE.firstrow))),0,IF(OFFSET(PLE!$G$14,$M582,CC$13)="",10^12,OFFSET(PLE!$G$14,$M582,CC$13))))</f>
        <v>1000000000000</v>
      </c>
      <c r="CD582" s="216">
        <f ca="1">IF($D582&lt;&gt;"Serviço",0,IF(OR(AND(AUTOEVENTO="Manual",$M582=1),$M582&gt;(ROW(PLE.lastrow)-ROW(PLE.firstrow))),0,IF(OFFSET(PLE!$G$14,$M582,CD$13)="",10^12,OFFSET(PLE!$G$14,$M582,CD$13))))</f>
        <v>1000000000000</v>
      </c>
      <c r="CE582" s="216">
        <f ca="1">IF($D582&lt;&gt;"Serviço",0,IF(OR(AND(AUTOEVENTO="Manual",$M582=1),$M582&gt;(ROW(PLE.lastrow)-ROW(PLE.firstrow))),0,IF(OFFSET(PLE!$G$14,$M582,CE$13)="",10^12,OFFSET(PLE!$G$14,$M582,CE$13))))</f>
        <v>1000000000000</v>
      </c>
      <c r="CF582" s="216">
        <f ca="1">IF($D582&lt;&gt;"Serviço",0,IF(OR(AND(AUTOEVENTO="Manual",$M582=1),$M582&gt;(ROW(PLE.lastrow)-ROW(PLE.firstrow))),0,IF(OFFSET(PLE!$G$14,$M582,CF$13)="",10^12,OFFSET(PLE!$G$14,$M582,CF$13))))</f>
        <v>1000000000000</v>
      </c>
      <c r="CG582" s="216">
        <f ca="1">IF($D582&lt;&gt;"Serviço",0,IF(OR(AND(AUTOEVENTO="Manual",$M582=1),$M582&gt;(ROW(PLE.lastrow)-ROW(PLE.firstrow))),0,IF(OFFSET(PLE!$G$14,$M582,CG$13)="",10^12,OFFSET(PLE!$G$14,$M582,CG$13))))</f>
        <v>1000000000000</v>
      </c>
      <c r="CH582" s="216">
        <f ca="1">IF($D582&lt;&gt;"Serviço",0,IF(OR(AND(AUTOEVENTO="Manual",$M582=1),$M582&gt;(ROW(PLE.lastrow)-ROW(PLE.firstrow))),0,IF(OFFSET(PLE!$G$14,$M582,CH$13)="",10^12,OFFSET(PLE!$G$14,$M582,CH$13))))</f>
        <v>1000000000000</v>
      </c>
      <c r="CI582" s="216">
        <f ca="1">IF($D582&lt;&gt;"Serviço",0,IF(OR(AND(AUTOEVENTO="Manual",$M582=1),$M582&gt;(ROW(PLE.lastrow)-ROW(PLE.firstrow))),0,IF(OFFSET(PLE!$G$14,$M582,CI$13)="",10^12,OFFSET(PLE!$G$14,$M582,CI$13))))</f>
        <v>1000000000000</v>
      </c>
      <c r="CJ582" s="216">
        <f ca="1">IF($D582&lt;&gt;"Serviço",0,IF(OR(AND(AUTOEVENTO="Manual",$M582=1),$M582&gt;(ROW(PLE.lastrow)-ROW(PLE.firstrow))),0,IF(OFFSET(PLE!$G$14,$M582,CJ$13)="",10^12,OFFSET(PLE!$G$14,$M582,CJ$13))))</f>
        <v>1000000000000</v>
      </c>
      <c r="CK582" s="216">
        <f ca="1">IF($D582&lt;&gt;"Serviço",0,IF(OR(AND(AUTOEVENTO="Manual",$M582=1),$M582&gt;(ROW(PLE.lastrow)-ROW(PLE.firstrow))),0,IF(OFFSET(PLE!$G$14,$M582,CK$13)="",10^12,OFFSET(PLE!$G$14,$M582,CK$13))))</f>
        <v>1000000000000</v>
      </c>
      <c r="CL582" s="216">
        <f ca="1">IF($D582&lt;&gt;"Serviço",0,IF(OR(AND(AUTOEVENTO="Manual",$M582=1),$M582&gt;(ROW(PLE.lastrow)-ROW(PLE.firstrow))),0,IF(OFFSET(PLE!$G$14,$M582,CL$13)="",10^12,OFFSET(PLE!$G$14,$M582,CL$13))))</f>
        <v>1000000000000</v>
      </c>
      <c r="CM582" s="216">
        <f ca="1">IF($D582&lt;&gt;"Serviço",0,IF(OR(AND(AUTOEVENTO="Manual",$M582=1),$M582&gt;(ROW(PLE.lastrow)-ROW(PLE.firstrow))),0,IF(OFFSET(PLE!$G$14,$M582,CM$13)="",10^12,OFFSET(PLE!$G$14,$M582,CM$13))))</f>
        <v>1000000000000</v>
      </c>
    </row>
    <row r="583" spans="1:91" ht="13.2" x14ac:dyDescent="0.25">
      <c r="A583" s="9">
        <f t="shared" ca="1" si="17"/>
        <v>0</v>
      </c>
      <c r="B583" s="9" t="str">
        <f ca="1">OFFSET(ORÇAMENTO!C$15,ROW(B583)-ROW(B$15),0)</f>
        <v>S</v>
      </c>
      <c r="C583" s="9" t="str">
        <f ca="1">OFFSET(ORÇAMENTO!L$15,ROW(C583)-ROW(C$15),0)</f>
        <v/>
      </c>
      <c r="D583" s="145" t="str">
        <f ca="1">OFFSET(ORÇAMENTO!N$15,ROW(D583)-ROW(D$15),0)</f>
        <v>Serviço</v>
      </c>
      <c r="E583" s="205" t="str">
        <f ca="1">OFFSET(ORÇAMENTO!O$15,ROW(E583)-ROW(E$15),0)</f>
        <v>-</v>
      </c>
      <c r="F583" s="206" t="str">
        <f ca="1">OFFSET(ORÇAMENTO!R$15,ROW(F583)-ROW(F$15),0)</f>
        <v>(abra o arquivo 'Referência 05-2024.xls)</v>
      </c>
      <c r="G583" s="207" t="str">
        <f ca="1">IF($D583&lt;&gt;"Serviço","",OFFSET(ORÇAMENTO!S$15,ROW(G583)-ROW(G$15),0))</f>
        <v>-</v>
      </c>
      <c r="H583" s="151">
        <f ca="1">IF($D583&lt;&gt;"Serviço",0,IF(ACOMPANHAMENTO="BM",ROUND(OFFSET(ORÇAMENTO!AJ$15,ROW(H583)-ROW(H$15),0),15-13*ORÇAMENTO!$AF$7),SUMPRODUCT(($Q$12:$AI$12&lt;&gt;"")*ROUND($Q583:$AI583,15-13*ORÇAMENTO!$AF$7))))</f>
        <v>1335.8</v>
      </c>
      <c r="I583" s="650"/>
      <c r="K583" s="208"/>
      <c r="L583" s="209" t="s">
        <v>257</v>
      </c>
      <c r="M583" s="210">
        <f ca="1">IF($D583&lt;&gt;"Serviço","",IF(AUTOEVENTO="manual",$A583,IF(ISERROR(MATCH($A583,$A$15:OFFSET($A583,-1,0),0)),MAX($M$15:OFFSET(M583,-1,0))+1,INDEX($M$15:OFFSET(M583,-1,0),MATCH($A583,$A$15:OFFSET($A583,-1,0),0)))))</f>
        <v>0</v>
      </c>
      <c r="N583" s="211" t="str">
        <f ca="1">IF($D583&lt;&gt;"Serviço","",IF(AUTOEVENTO="Manual",IF($A583=0,"&lt;-- defina o número do agrupador",OFFSET(EVENTOS!$D$14,$A583,0)),OFFSET($F$15,$A583,0)))</f>
        <v>&lt;-- defina o número do agrupador</v>
      </c>
      <c r="O583" s="212"/>
      <c r="Q583" s="212"/>
      <c r="R583" s="213"/>
      <c r="S583" s="213"/>
      <c r="T583" s="213"/>
      <c r="U583" s="213"/>
      <c r="V583" s="213"/>
      <c r="W583" s="213"/>
      <c r="X583" s="213"/>
      <c r="Y583" s="213"/>
      <c r="Z583" s="214"/>
      <c r="AA583" s="213"/>
      <c r="AB583" s="213"/>
      <c r="AC583" s="213"/>
      <c r="AD583" s="213"/>
      <c r="AE583" s="213"/>
      <c r="AF583" s="213"/>
      <c r="AG583" s="213"/>
      <c r="AH583" s="214"/>
      <c r="AJ583" s="631">
        <f ca="1">IF(AND($D583="Serviço",AJ$12&lt;&gt;0,$H583&gt;0,OR(AUTOEVENTO&lt;&gt;"manual",$M583&lt;&gt;1)),ROUND(OFFSET($P583,0,AJ$13),15-13*ORÇAMENTO!$AF$7)/$H583*OFFSET(ORÇAMENTO!$X$15,ROW(AJ583)-ROW(AJ$15),0),0)</f>
        <v>0</v>
      </c>
      <c r="AK583" s="632">
        <f ca="1">IF(AND($D583="Serviço",AK$12&lt;&gt;0,$H583&gt;0,OR(AUTOEVENTO&lt;&gt;"manual",$M583&lt;&gt;1)),ROUND(OFFSET($P583,0,AK$13),15-13*ORÇAMENTO!$AF$7)/$H583*OFFSET(ORÇAMENTO!$X$15,ROW(AK583)-ROW(AK$15),0),0)</f>
        <v>0</v>
      </c>
      <c r="AL583" s="632">
        <f ca="1">IF(AND($D583="Serviço",AL$12&lt;&gt;0,$H583&gt;0,OR(AUTOEVENTO&lt;&gt;"manual",$M583&lt;&gt;1)),ROUND(OFFSET($P583,0,AL$13),15-13*ORÇAMENTO!$AF$7)/$H583*OFFSET(ORÇAMENTO!$X$15,ROW(AL583)-ROW(AL$15),0),0)</f>
        <v>0</v>
      </c>
      <c r="AM583" s="632">
        <f ca="1">IF(AND($D583="Serviço",AM$12&lt;&gt;0,$H583&gt;0,OR(AUTOEVENTO&lt;&gt;"manual",$M583&lt;&gt;1)),ROUND(OFFSET($P583,0,AM$13),15-13*ORÇAMENTO!$AF$7)/$H583*OFFSET(ORÇAMENTO!$X$15,ROW(AM583)-ROW(AM$15),0),0)</f>
        <v>0</v>
      </c>
      <c r="AN583" s="632">
        <f ca="1">IF(AND($D583="Serviço",AN$12&lt;&gt;0,$H583&gt;0,OR(AUTOEVENTO&lt;&gt;"manual",$M583&lt;&gt;1)),ROUND(OFFSET($P583,0,AN$13),15-13*ORÇAMENTO!$AF$7)/$H583*OFFSET(ORÇAMENTO!$X$15,ROW(AN583)-ROW(AN$15),0),0)</f>
        <v>0</v>
      </c>
      <c r="AO583" s="632">
        <f ca="1">IF(AND($D583="Serviço",AO$12&lt;&gt;0,$H583&gt;0,OR(AUTOEVENTO&lt;&gt;"manual",$M583&lt;&gt;1)),ROUND(OFFSET($P583,0,AO$13),15-13*ORÇAMENTO!$AF$7)/$H583*OFFSET(ORÇAMENTO!$X$15,ROW(AO583)-ROW(AO$15),0),0)</f>
        <v>0</v>
      </c>
      <c r="AP583" s="632">
        <f ca="1">IF(AND($D583="Serviço",AP$12&lt;&gt;0,$H583&gt;0,OR(AUTOEVENTO&lt;&gt;"manual",$M583&lt;&gt;1)),ROUND(OFFSET($P583,0,AP$13),15-13*ORÇAMENTO!$AF$7)/$H583*OFFSET(ORÇAMENTO!$X$15,ROW(AP583)-ROW(AP$15),0),0)</f>
        <v>0</v>
      </c>
      <c r="AQ583" s="632">
        <f ca="1">IF(AND($D583="Serviço",AQ$12&lt;&gt;0,$H583&gt;0,OR(AUTOEVENTO&lt;&gt;"manual",$M583&lt;&gt;1)),ROUND(OFFSET($P583,0,AQ$13),15-13*ORÇAMENTO!$AF$7)/$H583*OFFSET(ORÇAMENTO!$X$15,ROW(AQ583)-ROW(AQ$15),0),0)</f>
        <v>0</v>
      </c>
      <c r="AR583" s="632">
        <f ca="1">IF(AND($D583="Serviço",AR$12&lt;&gt;0,$H583&gt;0,OR(AUTOEVENTO&lt;&gt;"manual",$M583&lt;&gt;1)),ROUND(OFFSET($P583,0,AR$13),15-13*ORÇAMENTO!$AF$7)/$H583*OFFSET(ORÇAMENTO!$X$15,ROW(AR583)-ROW(AR$15),0),0)</f>
        <v>0</v>
      </c>
      <c r="AS583" s="633">
        <f ca="1">IF(AND($D583="Serviço",AS$12&lt;&gt;0,$H583&gt;0,OR(AUTOEVENTO&lt;&gt;"manual",$M583&lt;&gt;1)),ROUND(OFFSET($P583,0,AS$13),15-13*ORÇAMENTO!$AF$7)/$H583*OFFSET(ORÇAMENTO!$X$15,ROW(AS583)-ROW(AS$15),0),0)</f>
        <v>0</v>
      </c>
      <c r="AT583" s="632">
        <f ca="1">IF(AND($D583="Serviço",AT$12&lt;&gt;0,$H583&gt;0,OR(AUTOEVENTO&lt;&gt;"manual",$M583&lt;&gt;1)),ROUND(OFFSET($P583,0,AT$13),15-13*ORÇAMENTO!$AF$7)/$H583*OFFSET(ORÇAMENTO!$X$15,ROW(AT583)-ROW(AT$15),0),0)</f>
        <v>0</v>
      </c>
      <c r="AU583" s="632">
        <f ca="1">IF(AND($D583="Serviço",AU$12&lt;&gt;0,$H583&gt;0,OR(AUTOEVENTO&lt;&gt;"manual",$M583&lt;&gt;1)),ROUND(OFFSET($P583,0,AU$13),15-13*ORÇAMENTO!$AF$7)/$H583*OFFSET(ORÇAMENTO!$X$15,ROW(AU583)-ROW(AU$15),0),0)</f>
        <v>0</v>
      </c>
      <c r="AV583" s="632">
        <f ca="1">IF(AND($D583="Serviço",AV$12&lt;&gt;0,$H583&gt;0,OR(AUTOEVENTO&lt;&gt;"manual",$M583&lt;&gt;1)),ROUND(OFFSET($P583,0,AV$13),15-13*ORÇAMENTO!$AF$7)/$H583*OFFSET(ORÇAMENTO!$X$15,ROW(AV583)-ROW(AV$15),0),0)</f>
        <v>0</v>
      </c>
      <c r="AW583" s="632">
        <f ca="1">IF(AND($D583="Serviço",AW$12&lt;&gt;0,$H583&gt;0,OR(AUTOEVENTO&lt;&gt;"manual",$M583&lt;&gt;1)),ROUND(OFFSET($P583,0,AW$13),15-13*ORÇAMENTO!$AF$7)/$H583*OFFSET(ORÇAMENTO!$X$15,ROW(AW583)-ROW(AW$15),0),0)</f>
        <v>0</v>
      </c>
      <c r="AX583" s="632">
        <f ca="1">IF(AND($D583="Serviço",AX$12&lt;&gt;0,$H583&gt;0,OR(AUTOEVENTO&lt;&gt;"manual",$M583&lt;&gt;1)),ROUND(OFFSET($P583,0,AX$13),15-13*ORÇAMENTO!$AF$7)/$H583*OFFSET(ORÇAMENTO!$X$15,ROW(AX583)-ROW(AX$15),0),0)</f>
        <v>0</v>
      </c>
      <c r="AY583" s="632">
        <f ca="1">IF(AND($D583="Serviço",AY$12&lt;&gt;0,$H583&gt;0,OR(AUTOEVENTO&lt;&gt;"manual",$M583&lt;&gt;1)),ROUND(OFFSET($P583,0,AY$13),15-13*ORÇAMENTO!$AF$7)/$H583*OFFSET(ORÇAMENTO!$X$15,ROW(AY583)-ROW(AY$15),0),0)</f>
        <v>0</v>
      </c>
      <c r="AZ583" s="632">
        <f ca="1">IF(AND($D583="Serviço",AZ$12&lt;&gt;0,$H583&gt;0,OR(AUTOEVENTO&lt;&gt;"manual",$M583&lt;&gt;1)),ROUND(OFFSET($P583,0,AZ$13),15-13*ORÇAMENTO!$AF$7)/$H583*OFFSET(ORÇAMENTO!$X$15,ROW(AZ583)-ROW(AZ$15),0),0)</f>
        <v>0</v>
      </c>
      <c r="BA583" s="633">
        <f ca="1">IF(AND($D583="Serviço",BA$12&lt;&gt;0,$H583&gt;0,OR(AUTOEVENTO&lt;&gt;"manual",$M583&lt;&gt;1)),ROUND(OFFSET($P583,0,BA$13),15-13*ORÇAMENTO!$AF$7)/$H583*OFFSET(ORÇAMENTO!$X$15,ROW(BA583)-ROW(BA$15),0),0)</f>
        <v>0</v>
      </c>
      <c r="BC583" s="215">
        <f ca="1">IF($D583&lt;&gt;"Serviço",0,IF(AND(AUTOEVENTO="Manual",$M583=1),0,IF(OFFSET(CRONOPLE!$F$14,$M583,BC$13)="",10^12,OFFSET(CRONOPLE!$F$14,$M583,BC$13))))</f>
        <v>1000000000000</v>
      </c>
      <c r="BD583" s="215">
        <f ca="1">IF($D583&lt;&gt;"Serviço",0,IF(AND(AUTOEVENTO="Manual",$M583=1),0,IF(OFFSET(CRONOPLE!$F$14,$M583,BD$13)="",10^12,OFFSET(CRONOPLE!$F$14,$M583,BD$13))))</f>
        <v>1000000000000</v>
      </c>
      <c r="BE583" s="215">
        <f ca="1">IF($D583&lt;&gt;"Serviço",0,IF(AND(AUTOEVENTO="Manual",$M583=1),0,IF(OFFSET(CRONOPLE!$F$14,$M583,BE$13)="",10^12,OFFSET(CRONOPLE!$F$14,$M583,BE$13))))</f>
        <v>1000000000000</v>
      </c>
      <c r="BF583" s="215">
        <f ca="1">IF($D583&lt;&gt;"Serviço",0,IF(AND(AUTOEVENTO="Manual",$M583=1),0,IF(OFFSET(CRONOPLE!$F$14,$M583,BF$13)="",10^12,OFFSET(CRONOPLE!$F$14,$M583,BF$13))))</f>
        <v>1000000000000</v>
      </c>
      <c r="BG583" s="215">
        <f ca="1">IF($D583&lt;&gt;"Serviço",0,IF(AND(AUTOEVENTO="Manual",$M583=1),0,IF(OFFSET(CRONOPLE!$F$14,$M583,BG$13)="",10^12,OFFSET(CRONOPLE!$F$14,$M583,BG$13))))</f>
        <v>1000000000000</v>
      </c>
      <c r="BH583" s="215">
        <f ca="1">IF($D583&lt;&gt;"Serviço",0,IF(AND(AUTOEVENTO="Manual",$M583=1),0,IF(OFFSET(CRONOPLE!$F$14,$M583,BH$13)="",10^12,OFFSET(CRONOPLE!$F$14,$M583,BH$13))))</f>
        <v>1000000000000</v>
      </c>
      <c r="BI583" s="215">
        <f ca="1">IF($D583&lt;&gt;"Serviço",0,IF(AND(AUTOEVENTO="Manual",$M583=1),0,IF(OFFSET(CRONOPLE!$F$14,$M583,BI$13)="",10^12,OFFSET(CRONOPLE!$F$14,$M583,BI$13))))</f>
        <v>1000000000000</v>
      </c>
      <c r="BJ583" s="215">
        <f ca="1">IF($D583&lt;&gt;"Serviço",0,IF(AND(AUTOEVENTO="Manual",$M583=1),0,IF(OFFSET(CRONOPLE!$F$14,$M583,BJ$13)="",10^12,OFFSET(CRONOPLE!$F$14,$M583,BJ$13))))</f>
        <v>1000000000000</v>
      </c>
      <c r="BK583" s="215">
        <f ca="1">IF($D583&lt;&gt;"Serviço",0,IF(AND(AUTOEVENTO="Manual",$M583=1),0,IF(OFFSET(CRONOPLE!$F$14,$M583,BK$13)="",10^12,OFFSET(CRONOPLE!$F$14,$M583,BK$13))))</f>
        <v>1000000000000</v>
      </c>
      <c r="BL583" s="215">
        <f ca="1">IF($D583&lt;&gt;"Serviço",0,IF(AND(AUTOEVENTO="Manual",$M583=1),0,IF(OFFSET(CRONOPLE!$F$14,$M583,BL$13)="",10^12,OFFSET(CRONOPLE!$F$14,$M583,BL$13))))</f>
        <v>1000000000000</v>
      </c>
      <c r="BM583" s="215">
        <f ca="1">IF($D583&lt;&gt;"Serviço",0,IF(AND(AUTOEVENTO="Manual",$M583=1),0,IF(OFFSET(CRONOPLE!$F$14,$M583,BM$13)="",10^12,OFFSET(CRONOPLE!$F$14,$M583,BM$13))))</f>
        <v>1000000000000</v>
      </c>
      <c r="BN583" s="215">
        <f ca="1">IF($D583&lt;&gt;"Serviço",0,IF(AND(AUTOEVENTO="Manual",$M583=1),0,IF(OFFSET(CRONOPLE!$F$14,$M583,BN$13)="",10^12,OFFSET(CRONOPLE!$F$14,$M583,BN$13))))</f>
        <v>1000000000000</v>
      </c>
      <c r="BO583" s="215">
        <f ca="1">IF($D583&lt;&gt;"Serviço",0,IF(AND(AUTOEVENTO="Manual",$M583=1),0,IF(OFFSET(CRONOPLE!$F$14,$M583,BO$13)="",10^12,OFFSET(CRONOPLE!$F$14,$M583,BO$13))))</f>
        <v>1000000000000</v>
      </c>
      <c r="BP583" s="215">
        <f ca="1">IF($D583&lt;&gt;"Serviço",0,IF(AND(AUTOEVENTO="Manual",$M583=1),0,IF(OFFSET(CRONOPLE!$F$14,$M583,BP$13)="",10^12,OFFSET(CRONOPLE!$F$14,$M583,BP$13))))</f>
        <v>1000000000000</v>
      </c>
      <c r="BQ583" s="215">
        <f ca="1">IF($D583&lt;&gt;"Serviço",0,IF(AND(AUTOEVENTO="Manual",$M583=1),0,IF(OFFSET(CRONOPLE!$F$14,$M583,BQ$13)="",10^12,OFFSET(CRONOPLE!$F$14,$M583,BQ$13))))</f>
        <v>1000000000000</v>
      </c>
      <c r="BR583" s="215">
        <f ca="1">IF($D583&lt;&gt;"Serviço",0,IF(AND(AUTOEVENTO="Manual",$M583=1),0,IF(OFFSET(CRONOPLE!$F$14,$M583,BR$13)="",10^12,OFFSET(CRONOPLE!$F$14,$M583,BR$13))))</f>
        <v>1000000000000</v>
      </c>
      <c r="BS583" s="215">
        <f ca="1">IF($D583&lt;&gt;"Serviço",0,IF(AND(AUTOEVENTO="Manual",$M583=1),0,IF(OFFSET(CRONOPLE!$F$14,$M583,BS$13)="",10^12,OFFSET(CRONOPLE!$F$14,$M583,BS$13))))</f>
        <v>1000000000000</v>
      </c>
      <c r="BT583" s="215">
        <f ca="1">IF($D583&lt;&gt;"Serviço",0,IF(AND(AUTOEVENTO="Manual",$M583=1),0,IF(OFFSET(CRONOPLE!$F$14,$M583,BT$13)="",10^12,OFFSET(CRONOPLE!$F$14,$M583,BT$13))))</f>
        <v>1000000000000</v>
      </c>
      <c r="BV583" s="216">
        <f ca="1">IF($D583&lt;&gt;"Serviço",0,IF(OR(AND(AUTOEVENTO="Manual",$M583=1),$M583&gt;(ROW(PLE.lastrow)-ROW(PLE.firstrow))),0,IF(OFFSET(PLE!$G$14,$M583,BV$13)="",10^12,OFFSET(PLE!$G$14,$M583,BV$13))))</f>
        <v>1000000000000</v>
      </c>
      <c r="BW583" s="216">
        <f ca="1">IF($D583&lt;&gt;"Serviço",0,IF(OR(AND(AUTOEVENTO="Manual",$M583=1),$M583&gt;(ROW(PLE.lastrow)-ROW(PLE.firstrow))),0,IF(OFFSET(PLE!$G$14,$M583,BW$13)="",10^12,OFFSET(PLE!$G$14,$M583,BW$13))))</f>
        <v>1000000000000</v>
      </c>
      <c r="BX583" s="216">
        <f ca="1">IF($D583&lt;&gt;"Serviço",0,IF(OR(AND(AUTOEVENTO="Manual",$M583=1),$M583&gt;(ROW(PLE.lastrow)-ROW(PLE.firstrow))),0,IF(OFFSET(PLE!$G$14,$M583,BX$13)="",10^12,OFFSET(PLE!$G$14,$M583,BX$13))))</f>
        <v>1000000000000</v>
      </c>
      <c r="BY583" s="216">
        <f ca="1">IF($D583&lt;&gt;"Serviço",0,IF(OR(AND(AUTOEVENTO="Manual",$M583=1),$M583&gt;(ROW(PLE.lastrow)-ROW(PLE.firstrow))),0,IF(OFFSET(PLE!$G$14,$M583,BY$13)="",10^12,OFFSET(PLE!$G$14,$M583,BY$13))))</f>
        <v>1000000000000</v>
      </c>
      <c r="BZ583" s="216">
        <f ca="1">IF($D583&lt;&gt;"Serviço",0,IF(OR(AND(AUTOEVENTO="Manual",$M583=1),$M583&gt;(ROW(PLE.lastrow)-ROW(PLE.firstrow))),0,IF(OFFSET(PLE!$G$14,$M583,BZ$13)="",10^12,OFFSET(PLE!$G$14,$M583,BZ$13))))</f>
        <v>1000000000000</v>
      </c>
      <c r="CA583" s="216">
        <f ca="1">IF($D583&lt;&gt;"Serviço",0,IF(OR(AND(AUTOEVENTO="Manual",$M583=1),$M583&gt;(ROW(PLE.lastrow)-ROW(PLE.firstrow))),0,IF(OFFSET(PLE!$G$14,$M583,CA$13)="",10^12,OFFSET(PLE!$G$14,$M583,CA$13))))</f>
        <v>1000000000000</v>
      </c>
      <c r="CB583" s="216">
        <f ca="1">IF($D583&lt;&gt;"Serviço",0,IF(OR(AND(AUTOEVENTO="Manual",$M583=1),$M583&gt;(ROW(PLE.lastrow)-ROW(PLE.firstrow))),0,IF(OFFSET(PLE!$G$14,$M583,CB$13)="",10^12,OFFSET(PLE!$G$14,$M583,CB$13))))</f>
        <v>1000000000000</v>
      </c>
      <c r="CC583" s="216">
        <f ca="1">IF($D583&lt;&gt;"Serviço",0,IF(OR(AND(AUTOEVENTO="Manual",$M583=1),$M583&gt;(ROW(PLE.lastrow)-ROW(PLE.firstrow))),0,IF(OFFSET(PLE!$G$14,$M583,CC$13)="",10^12,OFFSET(PLE!$G$14,$M583,CC$13))))</f>
        <v>1000000000000</v>
      </c>
      <c r="CD583" s="216">
        <f ca="1">IF($D583&lt;&gt;"Serviço",0,IF(OR(AND(AUTOEVENTO="Manual",$M583=1),$M583&gt;(ROW(PLE.lastrow)-ROW(PLE.firstrow))),0,IF(OFFSET(PLE!$G$14,$M583,CD$13)="",10^12,OFFSET(PLE!$G$14,$M583,CD$13))))</f>
        <v>1000000000000</v>
      </c>
      <c r="CE583" s="216">
        <f ca="1">IF($D583&lt;&gt;"Serviço",0,IF(OR(AND(AUTOEVENTO="Manual",$M583=1),$M583&gt;(ROW(PLE.lastrow)-ROW(PLE.firstrow))),0,IF(OFFSET(PLE!$G$14,$M583,CE$13)="",10^12,OFFSET(PLE!$G$14,$M583,CE$13))))</f>
        <v>1000000000000</v>
      </c>
      <c r="CF583" s="216">
        <f ca="1">IF($D583&lt;&gt;"Serviço",0,IF(OR(AND(AUTOEVENTO="Manual",$M583=1),$M583&gt;(ROW(PLE.lastrow)-ROW(PLE.firstrow))),0,IF(OFFSET(PLE!$G$14,$M583,CF$13)="",10^12,OFFSET(PLE!$G$14,$M583,CF$13))))</f>
        <v>1000000000000</v>
      </c>
      <c r="CG583" s="216">
        <f ca="1">IF($D583&lt;&gt;"Serviço",0,IF(OR(AND(AUTOEVENTO="Manual",$M583=1),$M583&gt;(ROW(PLE.lastrow)-ROW(PLE.firstrow))),0,IF(OFFSET(PLE!$G$14,$M583,CG$13)="",10^12,OFFSET(PLE!$G$14,$M583,CG$13))))</f>
        <v>1000000000000</v>
      </c>
      <c r="CH583" s="216">
        <f ca="1">IF($D583&lt;&gt;"Serviço",0,IF(OR(AND(AUTOEVENTO="Manual",$M583=1),$M583&gt;(ROW(PLE.lastrow)-ROW(PLE.firstrow))),0,IF(OFFSET(PLE!$G$14,$M583,CH$13)="",10^12,OFFSET(PLE!$G$14,$M583,CH$13))))</f>
        <v>1000000000000</v>
      </c>
      <c r="CI583" s="216">
        <f ca="1">IF($D583&lt;&gt;"Serviço",0,IF(OR(AND(AUTOEVENTO="Manual",$M583=1),$M583&gt;(ROW(PLE.lastrow)-ROW(PLE.firstrow))),0,IF(OFFSET(PLE!$G$14,$M583,CI$13)="",10^12,OFFSET(PLE!$G$14,$M583,CI$13))))</f>
        <v>1000000000000</v>
      </c>
      <c r="CJ583" s="216">
        <f ca="1">IF($D583&lt;&gt;"Serviço",0,IF(OR(AND(AUTOEVENTO="Manual",$M583=1),$M583&gt;(ROW(PLE.lastrow)-ROW(PLE.firstrow))),0,IF(OFFSET(PLE!$G$14,$M583,CJ$13)="",10^12,OFFSET(PLE!$G$14,$M583,CJ$13))))</f>
        <v>1000000000000</v>
      </c>
      <c r="CK583" s="216">
        <f ca="1">IF($D583&lt;&gt;"Serviço",0,IF(OR(AND(AUTOEVENTO="Manual",$M583=1),$M583&gt;(ROW(PLE.lastrow)-ROW(PLE.firstrow))),0,IF(OFFSET(PLE!$G$14,$M583,CK$13)="",10^12,OFFSET(PLE!$G$14,$M583,CK$13))))</f>
        <v>1000000000000</v>
      </c>
      <c r="CL583" s="216">
        <f ca="1">IF($D583&lt;&gt;"Serviço",0,IF(OR(AND(AUTOEVENTO="Manual",$M583=1),$M583&gt;(ROW(PLE.lastrow)-ROW(PLE.firstrow))),0,IF(OFFSET(PLE!$G$14,$M583,CL$13)="",10^12,OFFSET(PLE!$G$14,$M583,CL$13))))</f>
        <v>1000000000000</v>
      </c>
      <c r="CM583" s="216">
        <f ca="1">IF($D583&lt;&gt;"Serviço",0,IF(OR(AND(AUTOEVENTO="Manual",$M583=1),$M583&gt;(ROW(PLE.lastrow)-ROW(PLE.firstrow))),0,IF(OFFSET(PLE!$G$14,$M583,CM$13)="",10^12,OFFSET(PLE!$G$14,$M583,CM$13))))</f>
        <v>1000000000000</v>
      </c>
    </row>
    <row r="584" spans="1:91" ht="13.2" x14ac:dyDescent="0.25">
      <c r="A584" s="9">
        <f t="shared" ca="1" si="17"/>
        <v>0</v>
      </c>
      <c r="B584" s="9" t="str">
        <f ca="1">OFFSET(ORÇAMENTO!C$15,ROW(B584)-ROW(B$15),0)</f>
        <v>S</v>
      </c>
      <c r="C584" s="9" t="str">
        <f ca="1">OFFSET(ORÇAMENTO!L$15,ROW(C584)-ROW(C$15),0)</f>
        <v/>
      </c>
      <c r="D584" s="145" t="str">
        <f ca="1">OFFSET(ORÇAMENTO!N$15,ROW(D584)-ROW(D$15),0)</f>
        <v>Serviço</v>
      </c>
      <c r="E584" s="205" t="str">
        <f ca="1">OFFSET(ORÇAMENTO!O$15,ROW(E584)-ROW(E$15),0)</f>
        <v>-</v>
      </c>
      <c r="F584" s="206" t="str">
        <f ca="1">OFFSET(ORÇAMENTO!R$15,ROW(F584)-ROW(F$15),0)</f>
        <v>(abra o arquivo 'Referência 05-2024.xls)</v>
      </c>
      <c r="G584" s="207" t="str">
        <f ca="1">IF($D584&lt;&gt;"Serviço","",OFFSET(ORÇAMENTO!S$15,ROW(G584)-ROW(G$15),0))</f>
        <v>-</v>
      </c>
      <c r="H584" s="151">
        <f ca="1">IF($D584&lt;&gt;"Serviço",0,IF(ACOMPANHAMENTO="BM",ROUND(OFFSET(ORÇAMENTO!AJ$15,ROW(H584)-ROW(H$15),0),15-13*ORÇAMENTO!$AF$7),SUMPRODUCT(($Q$12:$AI$12&lt;&gt;"")*ROUND($Q584:$AI584,15-13*ORÇAMENTO!$AF$7))))</f>
        <v>113.1</v>
      </c>
      <c r="I584" s="650"/>
      <c r="K584" s="208"/>
      <c r="L584" s="209" t="s">
        <v>257</v>
      </c>
      <c r="M584" s="210">
        <f ca="1">IF($D584&lt;&gt;"Serviço","",IF(AUTOEVENTO="manual",$A584,IF(ISERROR(MATCH($A584,$A$15:OFFSET($A584,-1,0),0)),MAX($M$15:OFFSET(M584,-1,0))+1,INDEX($M$15:OFFSET(M584,-1,0),MATCH($A584,$A$15:OFFSET($A584,-1,0),0)))))</f>
        <v>0</v>
      </c>
      <c r="N584" s="211" t="str">
        <f ca="1">IF($D584&lt;&gt;"Serviço","",IF(AUTOEVENTO="Manual",IF($A584=0,"&lt;-- defina o número do agrupador",OFFSET(EVENTOS!$D$14,$A584,0)),OFFSET($F$15,$A584,0)))</f>
        <v>&lt;-- defina o número do agrupador</v>
      </c>
      <c r="O584" s="212"/>
      <c r="Q584" s="212"/>
      <c r="R584" s="213"/>
      <c r="S584" s="213"/>
      <c r="T584" s="213"/>
      <c r="U584" s="213"/>
      <c r="V584" s="213"/>
      <c r="W584" s="213"/>
      <c r="X584" s="213"/>
      <c r="Y584" s="213"/>
      <c r="Z584" s="214"/>
      <c r="AA584" s="213"/>
      <c r="AB584" s="213"/>
      <c r="AC584" s="213"/>
      <c r="AD584" s="213"/>
      <c r="AE584" s="213"/>
      <c r="AF584" s="213"/>
      <c r="AG584" s="213"/>
      <c r="AH584" s="214"/>
      <c r="AJ584" s="631">
        <f ca="1">IF(AND($D584="Serviço",AJ$12&lt;&gt;0,$H584&gt;0,OR(AUTOEVENTO&lt;&gt;"manual",$M584&lt;&gt;1)),ROUND(OFFSET($P584,0,AJ$13),15-13*ORÇAMENTO!$AF$7)/$H584*OFFSET(ORÇAMENTO!$X$15,ROW(AJ584)-ROW(AJ$15),0),0)</f>
        <v>0</v>
      </c>
      <c r="AK584" s="632">
        <f ca="1">IF(AND($D584="Serviço",AK$12&lt;&gt;0,$H584&gt;0,OR(AUTOEVENTO&lt;&gt;"manual",$M584&lt;&gt;1)),ROUND(OFFSET($P584,0,AK$13),15-13*ORÇAMENTO!$AF$7)/$H584*OFFSET(ORÇAMENTO!$X$15,ROW(AK584)-ROW(AK$15),0),0)</f>
        <v>0</v>
      </c>
      <c r="AL584" s="632">
        <f ca="1">IF(AND($D584="Serviço",AL$12&lt;&gt;0,$H584&gt;0,OR(AUTOEVENTO&lt;&gt;"manual",$M584&lt;&gt;1)),ROUND(OFFSET($P584,0,AL$13),15-13*ORÇAMENTO!$AF$7)/$H584*OFFSET(ORÇAMENTO!$X$15,ROW(AL584)-ROW(AL$15),0),0)</f>
        <v>0</v>
      </c>
      <c r="AM584" s="632">
        <f ca="1">IF(AND($D584="Serviço",AM$12&lt;&gt;0,$H584&gt;0,OR(AUTOEVENTO&lt;&gt;"manual",$M584&lt;&gt;1)),ROUND(OFFSET($P584,0,AM$13),15-13*ORÇAMENTO!$AF$7)/$H584*OFFSET(ORÇAMENTO!$X$15,ROW(AM584)-ROW(AM$15),0),0)</f>
        <v>0</v>
      </c>
      <c r="AN584" s="632">
        <f ca="1">IF(AND($D584="Serviço",AN$12&lt;&gt;0,$H584&gt;0,OR(AUTOEVENTO&lt;&gt;"manual",$M584&lt;&gt;1)),ROUND(OFFSET($P584,0,AN$13),15-13*ORÇAMENTO!$AF$7)/$H584*OFFSET(ORÇAMENTO!$X$15,ROW(AN584)-ROW(AN$15),0),0)</f>
        <v>0</v>
      </c>
      <c r="AO584" s="632">
        <f ca="1">IF(AND($D584="Serviço",AO$12&lt;&gt;0,$H584&gt;0,OR(AUTOEVENTO&lt;&gt;"manual",$M584&lt;&gt;1)),ROUND(OFFSET($P584,0,AO$13),15-13*ORÇAMENTO!$AF$7)/$H584*OFFSET(ORÇAMENTO!$X$15,ROW(AO584)-ROW(AO$15),0),0)</f>
        <v>0</v>
      </c>
      <c r="AP584" s="632">
        <f ca="1">IF(AND($D584="Serviço",AP$12&lt;&gt;0,$H584&gt;0,OR(AUTOEVENTO&lt;&gt;"manual",$M584&lt;&gt;1)),ROUND(OFFSET($P584,0,AP$13),15-13*ORÇAMENTO!$AF$7)/$H584*OFFSET(ORÇAMENTO!$X$15,ROW(AP584)-ROW(AP$15),0),0)</f>
        <v>0</v>
      </c>
      <c r="AQ584" s="632">
        <f ca="1">IF(AND($D584="Serviço",AQ$12&lt;&gt;0,$H584&gt;0,OR(AUTOEVENTO&lt;&gt;"manual",$M584&lt;&gt;1)),ROUND(OFFSET($P584,0,AQ$13),15-13*ORÇAMENTO!$AF$7)/$H584*OFFSET(ORÇAMENTO!$X$15,ROW(AQ584)-ROW(AQ$15),0),0)</f>
        <v>0</v>
      </c>
      <c r="AR584" s="632">
        <f ca="1">IF(AND($D584="Serviço",AR$12&lt;&gt;0,$H584&gt;0,OR(AUTOEVENTO&lt;&gt;"manual",$M584&lt;&gt;1)),ROUND(OFFSET($P584,0,AR$13),15-13*ORÇAMENTO!$AF$7)/$H584*OFFSET(ORÇAMENTO!$X$15,ROW(AR584)-ROW(AR$15),0),0)</f>
        <v>0</v>
      </c>
      <c r="AS584" s="633">
        <f ca="1">IF(AND($D584="Serviço",AS$12&lt;&gt;0,$H584&gt;0,OR(AUTOEVENTO&lt;&gt;"manual",$M584&lt;&gt;1)),ROUND(OFFSET($P584,0,AS$13),15-13*ORÇAMENTO!$AF$7)/$H584*OFFSET(ORÇAMENTO!$X$15,ROW(AS584)-ROW(AS$15),0),0)</f>
        <v>0</v>
      </c>
      <c r="AT584" s="632">
        <f ca="1">IF(AND($D584="Serviço",AT$12&lt;&gt;0,$H584&gt;0,OR(AUTOEVENTO&lt;&gt;"manual",$M584&lt;&gt;1)),ROUND(OFFSET($P584,0,AT$13),15-13*ORÇAMENTO!$AF$7)/$H584*OFFSET(ORÇAMENTO!$X$15,ROW(AT584)-ROW(AT$15),0),0)</f>
        <v>0</v>
      </c>
      <c r="AU584" s="632">
        <f ca="1">IF(AND($D584="Serviço",AU$12&lt;&gt;0,$H584&gt;0,OR(AUTOEVENTO&lt;&gt;"manual",$M584&lt;&gt;1)),ROUND(OFFSET($P584,0,AU$13),15-13*ORÇAMENTO!$AF$7)/$H584*OFFSET(ORÇAMENTO!$X$15,ROW(AU584)-ROW(AU$15),0),0)</f>
        <v>0</v>
      </c>
      <c r="AV584" s="632">
        <f ca="1">IF(AND($D584="Serviço",AV$12&lt;&gt;0,$H584&gt;0,OR(AUTOEVENTO&lt;&gt;"manual",$M584&lt;&gt;1)),ROUND(OFFSET($P584,0,AV$13),15-13*ORÇAMENTO!$AF$7)/$H584*OFFSET(ORÇAMENTO!$X$15,ROW(AV584)-ROW(AV$15),0),0)</f>
        <v>0</v>
      </c>
      <c r="AW584" s="632">
        <f ca="1">IF(AND($D584="Serviço",AW$12&lt;&gt;0,$H584&gt;0,OR(AUTOEVENTO&lt;&gt;"manual",$M584&lt;&gt;1)),ROUND(OFFSET($P584,0,AW$13),15-13*ORÇAMENTO!$AF$7)/$H584*OFFSET(ORÇAMENTO!$X$15,ROW(AW584)-ROW(AW$15),0),0)</f>
        <v>0</v>
      </c>
      <c r="AX584" s="632">
        <f ca="1">IF(AND($D584="Serviço",AX$12&lt;&gt;0,$H584&gt;0,OR(AUTOEVENTO&lt;&gt;"manual",$M584&lt;&gt;1)),ROUND(OFFSET($P584,0,AX$13),15-13*ORÇAMENTO!$AF$7)/$H584*OFFSET(ORÇAMENTO!$X$15,ROW(AX584)-ROW(AX$15),0),0)</f>
        <v>0</v>
      </c>
      <c r="AY584" s="632">
        <f ca="1">IF(AND($D584="Serviço",AY$12&lt;&gt;0,$H584&gt;0,OR(AUTOEVENTO&lt;&gt;"manual",$M584&lt;&gt;1)),ROUND(OFFSET($P584,0,AY$13),15-13*ORÇAMENTO!$AF$7)/$H584*OFFSET(ORÇAMENTO!$X$15,ROW(AY584)-ROW(AY$15),0),0)</f>
        <v>0</v>
      </c>
      <c r="AZ584" s="632">
        <f ca="1">IF(AND($D584="Serviço",AZ$12&lt;&gt;0,$H584&gt;0,OR(AUTOEVENTO&lt;&gt;"manual",$M584&lt;&gt;1)),ROUND(OFFSET($P584,0,AZ$13),15-13*ORÇAMENTO!$AF$7)/$H584*OFFSET(ORÇAMENTO!$X$15,ROW(AZ584)-ROW(AZ$15),0),0)</f>
        <v>0</v>
      </c>
      <c r="BA584" s="633">
        <f ca="1">IF(AND($D584="Serviço",BA$12&lt;&gt;0,$H584&gt;0,OR(AUTOEVENTO&lt;&gt;"manual",$M584&lt;&gt;1)),ROUND(OFFSET($P584,0,BA$13),15-13*ORÇAMENTO!$AF$7)/$H584*OFFSET(ORÇAMENTO!$X$15,ROW(BA584)-ROW(BA$15),0),0)</f>
        <v>0</v>
      </c>
      <c r="BC584" s="215">
        <f ca="1">IF($D584&lt;&gt;"Serviço",0,IF(AND(AUTOEVENTO="Manual",$M584=1),0,IF(OFFSET(CRONOPLE!$F$14,$M584,BC$13)="",10^12,OFFSET(CRONOPLE!$F$14,$M584,BC$13))))</f>
        <v>1000000000000</v>
      </c>
      <c r="BD584" s="215">
        <f ca="1">IF($D584&lt;&gt;"Serviço",0,IF(AND(AUTOEVENTO="Manual",$M584=1),0,IF(OFFSET(CRONOPLE!$F$14,$M584,BD$13)="",10^12,OFFSET(CRONOPLE!$F$14,$M584,BD$13))))</f>
        <v>1000000000000</v>
      </c>
      <c r="BE584" s="215">
        <f ca="1">IF($D584&lt;&gt;"Serviço",0,IF(AND(AUTOEVENTO="Manual",$M584=1),0,IF(OFFSET(CRONOPLE!$F$14,$M584,BE$13)="",10^12,OFFSET(CRONOPLE!$F$14,$M584,BE$13))))</f>
        <v>1000000000000</v>
      </c>
      <c r="BF584" s="215">
        <f ca="1">IF($D584&lt;&gt;"Serviço",0,IF(AND(AUTOEVENTO="Manual",$M584=1),0,IF(OFFSET(CRONOPLE!$F$14,$M584,BF$13)="",10^12,OFFSET(CRONOPLE!$F$14,$M584,BF$13))))</f>
        <v>1000000000000</v>
      </c>
      <c r="BG584" s="215">
        <f ca="1">IF($D584&lt;&gt;"Serviço",0,IF(AND(AUTOEVENTO="Manual",$M584=1),0,IF(OFFSET(CRONOPLE!$F$14,$M584,BG$13)="",10^12,OFFSET(CRONOPLE!$F$14,$M584,BG$13))))</f>
        <v>1000000000000</v>
      </c>
      <c r="BH584" s="215">
        <f ca="1">IF($D584&lt;&gt;"Serviço",0,IF(AND(AUTOEVENTO="Manual",$M584=1),0,IF(OFFSET(CRONOPLE!$F$14,$M584,BH$13)="",10^12,OFFSET(CRONOPLE!$F$14,$M584,BH$13))))</f>
        <v>1000000000000</v>
      </c>
      <c r="BI584" s="215">
        <f ca="1">IF($D584&lt;&gt;"Serviço",0,IF(AND(AUTOEVENTO="Manual",$M584=1),0,IF(OFFSET(CRONOPLE!$F$14,$M584,BI$13)="",10^12,OFFSET(CRONOPLE!$F$14,$M584,BI$13))))</f>
        <v>1000000000000</v>
      </c>
      <c r="BJ584" s="215">
        <f ca="1">IF($D584&lt;&gt;"Serviço",0,IF(AND(AUTOEVENTO="Manual",$M584=1),0,IF(OFFSET(CRONOPLE!$F$14,$M584,BJ$13)="",10^12,OFFSET(CRONOPLE!$F$14,$M584,BJ$13))))</f>
        <v>1000000000000</v>
      </c>
      <c r="BK584" s="215">
        <f ca="1">IF($D584&lt;&gt;"Serviço",0,IF(AND(AUTOEVENTO="Manual",$M584=1),0,IF(OFFSET(CRONOPLE!$F$14,$M584,BK$13)="",10^12,OFFSET(CRONOPLE!$F$14,$M584,BK$13))))</f>
        <v>1000000000000</v>
      </c>
      <c r="BL584" s="215">
        <f ca="1">IF($D584&lt;&gt;"Serviço",0,IF(AND(AUTOEVENTO="Manual",$M584=1),0,IF(OFFSET(CRONOPLE!$F$14,$M584,BL$13)="",10^12,OFFSET(CRONOPLE!$F$14,$M584,BL$13))))</f>
        <v>1000000000000</v>
      </c>
      <c r="BM584" s="215">
        <f ca="1">IF($D584&lt;&gt;"Serviço",0,IF(AND(AUTOEVENTO="Manual",$M584=1),0,IF(OFFSET(CRONOPLE!$F$14,$M584,BM$13)="",10^12,OFFSET(CRONOPLE!$F$14,$M584,BM$13))))</f>
        <v>1000000000000</v>
      </c>
      <c r="BN584" s="215">
        <f ca="1">IF($D584&lt;&gt;"Serviço",0,IF(AND(AUTOEVENTO="Manual",$M584=1),0,IF(OFFSET(CRONOPLE!$F$14,$M584,BN$13)="",10^12,OFFSET(CRONOPLE!$F$14,$M584,BN$13))))</f>
        <v>1000000000000</v>
      </c>
      <c r="BO584" s="215">
        <f ca="1">IF($D584&lt;&gt;"Serviço",0,IF(AND(AUTOEVENTO="Manual",$M584=1),0,IF(OFFSET(CRONOPLE!$F$14,$M584,BO$13)="",10^12,OFFSET(CRONOPLE!$F$14,$M584,BO$13))))</f>
        <v>1000000000000</v>
      </c>
      <c r="BP584" s="215">
        <f ca="1">IF($D584&lt;&gt;"Serviço",0,IF(AND(AUTOEVENTO="Manual",$M584=1),0,IF(OFFSET(CRONOPLE!$F$14,$M584,BP$13)="",10^12,OFFSET(CRONOPLE!$F$14,$M584,BP$13))))</f>
        <v>1000000000000</v>
      </c>
      <c r="BQ584" s="215">
        <f ca="1">IF($D584&lt;&gt;"Serviço",0,IF(AND(AUTOEVENTO="Manual",$M584=1),0,IF(OFFSET(CRONOPLE!$F$14,$M584,BQ$13)="",10^12,OFFSET(CRONOPLE!$F$14,$M584,BQ$13))))</f>
        <v>1000000000000</v>
      </c>
      <c r="BR584" s="215">
        <f ca="1">IF($D584&lt;&gt;"Serviço",0,IF(AND(AUTOEVENTO="Manual",$M584=1),0,IF(OFFSET(CRONOPLE!$F$14,$M584,BR$13)="",10^12,OFFSET(CRONOPLE!$F$14,$M584,BR$13))))</f>
        <v>1000000000000</v>
      </c>
      <c r="BS584" s="215">
        <f ca="1">IF($D584&lt;&gt;"Serviço",0,IF(AND(AUTOEVENTO="Manual",$M584=1),0,IF(OFFSET(CRONOPLE!$F$14,$M584,BS$13)="",10^12,OFFSET(CRONOPLE!$F$14,$M584,BS$13))))</f>
        <v>1000000000000</v>
      </c>
      <c r="BT584" s="215">
        <f ca="1">IF($D584&lt;&gt;"Serviço",0,IF(AND(AUTOEVENTO="Manual",$M584=1),0,IF(OFFSET(CRONOPLE!$F$14,$M584,BT$13)="",10^12,OFFSET(CRONOPLE!$F$14,$M584,BT$13))))</f>
        <v>1000000000000</v>
      </c>
      <c r="BV584" s="216">
        <f ca="1">IF($D584&lt;&gt;"Serviço",0,IF(OR(AND(AUTOEVENTO="Manual",$M584=1),$M584&gt;(ROW(PLE.lastrow)-ROW(PLE.firstrow))),0,IF(OFFSET(PLE!$G$14,$M584,BV$13)="",10^12,OFFSET(PLE!$G$14,$M584,BV$13))))</f>
        <v>1000000000000</v>
      </c>
      <c r="BW584" s="216">
        <f ca="1">IF($D584&lt;&gt;"Serviço",0,IF(OR(AND(AUTOEVENTO="Manual",$M584=1),$M584&gt;(ROW(PLE.lastrow)-ROW(PLE.firstrow))),0,IF(OFFSET(PLE!$G$14,$M584,BW$13)="",10^12,OFFSET(PLE!$G$14,$M584,BW$13))))</f>
        <v>1000000000000</v>
      </c>
      <c r="BX584" s="216">
        <f ca="1">IF($D584&lt;&gt;"Serviço",0,IF(OR(AND(AUTOEVENTO="Manual",$M584=1),$M584&gt;(ROW(PLE.lastrow)-ROW(PLE.firstrow))),0,IF(OFFSET(PLE!$G$14,$M584,BX$13)="",10^12,OFFSET(PLE!$G$14,$M584,BX$13))))</f>
        <v>1000000000000</v>
      </c>
      <c r="BY584" s="216">
        <f ca="1">IF($D584&lt;&gt;"Serviço",0,IF(OR(AND(AUTOEVENTO="Manual",$M584=1),$M584&gt;(ROW(PLE.lastrow)-ROW(PLE.firstrow))),0,IF(OFFSET(PLE!$G$14,$M584,BY$13)="",10^12,OFFSET(PLE!$G$14,$M584,BY$13))))</f>
        <v>1000000000000</v>
      </c>
      <c r="BZ584" s="216">
        <f ca="1">IF($D584&lt;&gt;"Serviço",0,IF(OR(AND(AUTOEVENTO="Manual",$M584=1),$M584&gt;(ROW(PLE.lastrow)-ROW(PLE.firstrow))),0,IF(OFFSET(PLE!$G$14,$M584,BZ$13)="",10^12,OFFSET(PLE!$G$14,$M584,BZ$13))))</f>
        <v>1000000000000</v>
      </c>
      <c r="CA584" s="216">
        <f ca="1">IF($D584&lt;&gt;"Serviço",0,IF(OR(AND(AUTOEVENTO="Manual",$M584=1),$M584&gt;(ROW(PLE.lastrow)-ROW(PLE.firstrow))),0,IF(OFFSET(PLE!$G$14,$M584,CA$13)="",10^12,OFFSET(PLE!$G$14,$M584,CA$13))))</f>
        <v>1000000000000</v>
      </c>
      <c r="CB584" s="216">
        <f ca="1">IF($D584&lt;&gt;"Serviço",0,IF(OR(AND(AUTOEVENTO="Manual",$M584=1),$M584&gt;(ROW(PLE.lastrow)-ROW(PLE.firstrow))),0,IF(OFFSET(PLE!$G$14,$M584,CB$13)="",10^12,OFFSET(PLE!$G$14,$M584,CB$13))))</f>
        <v>1000000000000</v>
      </c>
      <c r="CC584" s="216">
        <f ca="1">IF($D584&lt;&gt;"Serviço",0,IF(OR(AND(AUTOEVENTO="Manual",$M584=1),$M584&gt;(ROW(PLE.lastrow)-ROW(PLE.firstrow))),0,IF(OFFSET(PLE!$G$14,$M584,CC$13)="",10^12,OFFSET(PLE!$G$14,$M584,CC$13))))</f>
        <v>1000000000000</v>
      </c>
      <c r="CD584" s="216">
        <f ca="1">IF($D584&lt;&gt;"Serviço",0,IF(OR(AND(AUTOEVENTO="Manual",$M584=1),$M584&gt;(ROW(PLE.lastrow)-ROW(PLE.firstrow))),0,IF(OFFSET(PLE!$G$14,$M584,CD$13)="",10^12,OFFSET(PLE!$G$14,$M584,CD$13))))</f>
        <v>1000000000000</v>
      </c>
      <c r="CE584" s="216">
        <f ca="1">IF($D584&lt;&gt;"Serviço",0,IF(OR(AND(AUTOEVENTO="Manual",$M584=1),$M584&gt;(ROW(PLE.lastrow)-ROW(PLE.firstrow))),0,IF(OFFSET(PLE!$G$14,$M584,CE$13)="",10^12,OFFSET(PLE!$G$14,$M584,CE$13))))</f>
        <v>1000000000000</v>
      </c>
      <c r="CF584" s="216">
        <f ca="1">IF($D584&lt;&gt;"Serviço",0,IF(OR(AND(AUTOEVENTO="Manual",$M584=1),$M584&gt;(ROW(PLE.lastrow)-ROW(PLE.firstrow))),0,IF(OFFSET(PLE!$G$14,$M584,CF$13)="",10^12,OFFSET(PLE!$G$14,$M584,CF$13))))</f>
        <v>1000000000000</v>
      </c>
      <c r="CG584" s="216">
        <f ca="1">IF($D584&lt;&gt;"Serviço",0,IF(OR(AND(AUTOEVENTO="Manual",$M584=1),$M584&gt;(ROW(PLE.lastrow)-ROW(PLE.firstrow))),0,IF(OFFSET(PLE!$G$14,$M584,CG$13)="",10^12,OFFSET(PLE!$G$14,$M584,CG$13))))</f>
        <v>1000000000000</v>
      </c>
      <c r="CH584" s="216">
        <f ca="1">IF($D584&lt;&gt;"Serviço",0,IF(OR(AND(AUTOEVENTO="Manual",$M584=1),$M584&gt;(ROW(PLE.lastrow)-ROW(PLE.firstrow))),0,IF(OFFSET(PLE!$G$14,$M584,CH$13)="",10^12,OFFSET(PLE!$G$14,$M584,CH$13))))</f>
        <v>1000000000000</v>
      </c>
      <c r="CI584" s="216">
        <f ca="1">IF($D584&lt;&gt;"Serviço",0,IF(OR(AND(AUTOEVENTO="Manual",$M584=1),$M584&gt;(ROW(PLE.lastrow)-ROW(PLE.firstrow))),0,IF(OFFSET(PLE!$G$14,$M584,CI$13)="",10^12,OFFSET(PLE!$G$14,$M584,CI$13))))</f>
        <v>1000000000000</v>
      </c>
      <c r="CJ584" s="216">
        <f ca="1">IF($D584&lt;&gt;"Serviço",0,IF(OR(AND(AUTOEVENTO="Manual",$M584=1),$M584&gt;(ROW(PLE.lastrow)-ROW(PLE.firstrow))),0,IF(OFFSET(PLE!$G$14,$M584,CJ$13)="",10^12,OFFSET(PLE!$G$14,$M584,CJ$13))))</f>
        <v>1000000000000</v>
      </c>
      <c r="CK584" s="216">
        <f ca="1">IF($D584&lt;&gt;"Serviço",0,IF(OR(AND(AUTOEVENTO="Manual",$M584=1),$M584&gt;(ROW(PLE.lastrow)-ROW(PLE.firstrow))),0,IF(OFFSET(PLE!$G$14,$M584,CK$13)="",10^12,OFFSET(PLE!$G$14,$M584,CK$13))))</f>
        <v>1000000000000</v>
      </c>
      <c r="CL584" s="216">
        <f ca="1">IF($D584&lt;&gt;"Serviço",0,IF(OR(AND(AUTOEVENTO="Manual",$M584=1),$M584&gt;(ROW(PLE.lastrow)-ROW(PLE.firstrow))),0,IF(OFFSET(PLE!$G$14,$M584,CL$13)="",10^12,OFFSET(PLE!$G$14,$M584,CL$13))))</f>
        <v>1000000000000</v>
      </c>
      <c r="CM584" s="216">
        <f ca="1">IF($D584&lt;&gt;"Serviço",0,IF(OR(AND(AUTOEVENTO="Manual",$M584=1),$M584&gt;(ROW(PLE.lastrow)-ROW(PLE.firstrow))),0,IF(OFFSET(PLE!$G$14,$M584,CM$13)="",10^12,OFFSET(PLE!$G$14,$M584,CM$13))))</f>
        <v>1000000000000</v>
      </c>
    </row>
    <row r="585" spans="1:91" ht="13.2" x14ac:dyDescent="0.25">
      <c r="A585" s="9">
        <f t="shared" ca="1" si="17"/>
        <v>0</v>
      </c>
      <c r="B585" s="9" t="str">
        <f ca="1">OFFSET(ORÇAMENTO!C$15,ROW(B585)-ROW(B$15),0)</f>
        <v>S</v>
      </c>
      <c r="C585" s="9" t="str">
        <f ca="1">OFFSET(ORÇAMENTO!L$15,ROW(C585)-ROW(C$15),0)</f>
        <v/>
      </c>
      <c r="D585" s="145" t="str">
        <f ca="1">OFFSET(ORÇAMENTO!N$15,ROW(D585)-ROW(D$15),0)</f>
        <v>Serviço</v>
      </c>
      <c r="E585" s="205" t="str">
        <f ca="1">OFFSET(ORÇAMENTO!O$15,ROW(E585)-ROW(E$15),0)</f>
        <v>-</v>
      </c>
      <c r="F585" s="206" t="str">
        <f ca="1">OFFSET(ORÇAMENTO!R$15,ROW(F585)-ROW(F$15),0)</f>
        <v>(abra o arquivo 'Referência 05-2024.xls)</v>
      </c>
      <c r="G585" s="207" t="str">
        <f ca="1">IF($D585&lt;&gt;"Serviço","",OFFSET(ORÇAMENTO!S$15,ROW(G585)-ROW(G$15),0))</f>
        <v>-</v>
      </c>
      <c r="H585" s="151">
        <f ca="1">IF($D585&lt;&gt;"Serviço",0,IF(ACOMPANHAMENTO="BM",ROUND(OFFSET(ORÇAMENTO!AJ$15,ROW(H585)-ROW(H$15),0),15-13*ORÇAMENTO!$AF$7),SUMPRODUCT(($Q$12:$AI$12&lt;&gt;"")*ROUND($Q585:$AI585,15-13*ORÇAMENTO!$AF$7))))</f>
        <v>700</v>
      </c>
      <c r="I585" s="650"/>
      <c r="K585" s="208"/>
      <c r="L585" s="209" t="s">
        <v>257</v>
      </c>
      <c r="M585" s="210">
        <f ca="1">IF($D585&lt;&gt;"Serviço","",IF(AUTOEVENTO="manual",$A585,IF(ISERROR(MATCH($A585,$A$15:OFFSET($A585,-1,0),0)),MAX($M$15:OFFSET(M585,-1,0))+1,INDEX($M$15:OFFSET(M585,-1,0),MATCH($A585,$A$15:OFFSET($A585,-1,0),0)))))</f>
        <v>0</v>
      </c>
      <c r="N585" s="211" t="str">
        <f ca="1">IF($D585&lt;&gt;"Serviço","",IF(AUTOEVENTO="Manual",IF($A585=0,"&lt;-- defina o número do agrupador",OFFSET(EVENTOS!$D$14,$A585,0)),OFFSET($F$15,$A585,0)))</f>
        <v>&lt;-- defina o número do agrupador</v>
      </c>
      <c r="O585" s="212"/>
      <c r="Q585" s="212"/>
      <c r="R585" s="213"/>
      <c r="S585" s="213"/>
      <c r="T585" s="213"/>
      <c r="U585" s="213"/>
      <c r="V585" s="213"/>
      <c r="W585" s="213"/>
      <c r="X585" s="213"/>
      <c r="Y585" s="213"/>
      <c r="Z585" s="214"/>
      <c r="AA585" s="213"/>
      <c r="AB585" s="213"/>
      <c r="AC585" s="213"/>
      <c r="AD585" s="213"/>
      <c r="AE585" s="213"/>
      <c r="AF585" s="213"/>
      <c r="AG585" s="213"/>
      <c r="AH585" s="214"/>
      <c r="AJ585" s="631">
        <f ca="1">IF(AND($D585="Serviço",AJ$12&lt;&gt;0,$H585&gt;0,OR(AUTOEVENTO&lt;&gt;"manual",$M585&lt;&gt;1)),ROUND(OFFSET($P585,0,AJ$13),15-13*ORÇAMENTO!$AF$7)/$H585*OFFSET(ORÇAMENTO!$X$15,ROW(AJ585)-ROW(AJ$15),0),0)</f>
        <v>0</v>
      </c>
      <c r="AK585" s="632">
        <f ca="1">IF(AND($D585="Serviço",AK$12&lt;&gt;0,$H585&gt;0,OR(AUTOEVENTO&lt;&gt;"manual",$M585&lt;&gt;1)),ROUND(OFFSET($P585,0,AK$13),15-13*ORÇAMENTO!$AF$7)/$H585*OFFSET(ORÇAMENTO!$X$15,ROW(AK585)-ROW(AK$15),0),0)</f>
        <v>0</v>
      </c>
      <c r="AL585" s="632">
        <f ca="1">IF(AND($D585="Serviço",AL$12&lt;&gt;0,$H585&gt;0,OR(AUTOEVENTO&lt;&gt;"manual",$M585&lt;&gt;1)),ROUND(OFFSET($P585,0,AL$13),15-13*ORÇAMENTO!$AF$7)/$H585*OFFSET(ORÇAMENTO!$X$15,ROW(AL585)-ROW(AL$15),0),0)</f>
        <v>0</v>
      </c>
      <c r="AM585" s="632">
        <f ca="1">IF(AND($D585="Serviço",AM$12&lt;&gt;0,$H585&gt;0,OR(AUTOEVENTO&lt;&gt;"manual",$M585&lt;&gt;1)),ROUND(OFFSET($P585,0,AM$13),15-13*ORÇAMENTO!$AF$7)/$H585*OFFSET(ORÇAMENTO!$X$15,ROW(AM585)-ROW(AM$15),0),0)</f>
        <v>0</v>
      </c>
      <c r="AN585" s="632">
        <f ca="1">IF(AND($D585="Serviço",AN$12&lt;&gt;0,$H585&gt;0,OR(AUTOEVENTO&lt;&gt;"manual",$M585&lt;&gt;1)),ROUND(OFFSET($P585,0,AN$13),15-13*ORÇAMENTO!$AF$7)/$H585*OFFSET(ORÇAMENTO!$X$15,ROW(AN585)-ROW(AN$15),0),0)</f>
        <v>0</v>
      </c>
      <c r="AO585" s="632">
        <f ca="1">IF(AND($D585="Serviço",AO$12&lt;&gt;0,$H585&gt;0,OR(AUTOEVENTO&lt;&gt;"manual",$M585&lt;&gt;1)),ROUND(OFFSET($P585,0,AO$13),15-13*ORÇAMENTO!$AF$7)/$H585*OFFSET(ORÇAMENTO!$X$15,ROW(AO585)-ROW(AO$15),0),0)</f>
        <v>0</v>
      </c>
      <c r="AP585" s="632">
        <f ca="1">IF(AND($D585="Serviço",AP$12&lt;&gt;0,$H585&gt;0,OR(AUTOEVENTO&lt;&gt;"manual",$M585&lt;&gt;1)),ROUND(OFFSET($P585,0,AP$13),15-13*ORÇAMENTO!$AF$7)/$H585*OFFSET(ORÇAMENTO!$X$15,ROW(AP585)-ROW(AP$15),0),0)</f>
        <v>0</v>
      </c>
      <c r="AQ585" s="632">
        <f ca="1">IF(AND($D585="Serviço",AQ$12&lt;&gt;0,$H585&gt;0,OR(AUTOEVENTO&lt;&gt;"manual",$M585&lt;&gt;1)),ROUND(OFFSET($P585,0,AQ$13),15-13*ORÇAMENTO!$AF$7)/$H585*OFFSET(ORÇAMENTO!$X$15,ROW(AQ585)-ROW(AQ$15),0),0)</f>
        <v>0</v>
      </c>
      <c r="AR585" s="632">
        <f ca="1">IF(AND($D585="Serviço",AR$12&lt;&gt;0,$H585&gt;0,OR(AUTOEVENTO&lt;&gt;"manual",$M585&lt;&gt;1)),ROUND(OFFSET($P585,0,AR$13),15-13*ORÇAMENTO!$AF$7)/$H585*OFFSET(ORÇAMENTO!$X$15,ROW(AR585)-ROW(AR$15),0),0)</f>
        <v>0</v>
      </c>
      <c r="AS585" s="633">
        <f ca="1">IF(AND($D585="Serviço",AS$12&lt;&gt;0,$H585&gt;0,OR(AUTOEVENTO&lt;&gt;"manual",$M585&lt;&gt;1)),ROUND(OFFSET($P585,0,AS$13),15-13*ORÇAMENTO!$AF$7)/$H585*OFFSET(ORÇAMENTO!$X$15,ROW(AS585)-ROW(AS$15),0),0)</f>
        <v>0</v>
      </c>
      <c r="AT585" s="632">
        <f ca="1">IF(AND($D585="Serviço",AT$12&lt;&gt;0,$H585&gt;0,OR(AUTOEVENTO&lt;&gt;"manual",$M585&lt;&gt;1)),ROUND(OFFSET($P585,0,AT$13),15-13*ORÇAMENTO!$AF$7)/$H585*OFFSET(ORÇAMENTO!$X$15,ROW(AT585)-ROW(AT$15),0),0)</f>
        <v>0</v>
      </c>
      <c r="AU585" s="632">
        <f ca="1">IF(AND($D585="Serviço",AU$12&lt;&gt;0,$H585&gt;0,OR(AUTOEVENTO&lt;&gt;"manual",$M585&lt;&gt;1)),ROUND(OFFSET($P585,0,AU$13),15-13*ORÇAMENTO!$AF$7)/$H585*OFFSET(ORÇAMENTO!$X$15,ROW(AU585)-ROW(AU$15),0),0)</f>
        <v>0</v>
      </c>
      <c r="AV585" s="632">
        <f ca="1">IF(AND($D585="Serviço",AV$12&lt;&gt;0,$H585&gt;0,OR(AUTOEVENTO&lt;&gt;"manual",$M585&lt;&gt;1)),ROUND(OFFSET($P585,0,AV$13),15-13*ORÇAMENTO!$AF$7)/$H585*OFFSET(ORÇAMENTO!$X$15,ROW(AV585)-ROW(AV$15),0),0)</f>
        <v>0</v>
      </c>
      <c r="AW585" s="632">
        <f ca="1">IF(AND($D585="Serviço",AW$12&lt;&gt;0,$H585&gt;0,OR(AUTOEVENTO&lt;&gt;"manual",$M585&lt;&gt;1)),ROUND(OFFSET($P585,0,AW$13),15-13*ORÇAMENTO!$AF$7)/$H585*OFFSET(ORÇAMENTO!$X$15,ROW(AW585)-ROW(AW$15),0),0)</f>
        <v>0</v>
      </c>
      <c r="AX585" s="632">
        <f ca="1">IF(AND($D585="Serviço",AX$12&lt;&gt;0,$H585&gt;0,OR(AUTOEVENTO&lt;&gt;"manual",$M585&lt;&gt;1)),ROUND(OFFSET($P585,0,AX$13),15-13*ORÇAMENTO!$AF$7)/$H585*OFFSET(ORÇAMENTO!$X$15,ROW(AX585)-ROW(AX$15),0),0)</f>
        <v>0</v>
      </c>
      <c r="AY585" s="632">
        <f ca="1">IF(AND($D585="Serviço",AY$12&lt;&gt;0,$H585&gt;0,OR(AUTOEVENTO&lt;&gt;"manual",$M585&lt;&gt;1)),ROUND(OFFSET($P585,0,AY$13),15-13*ORÇAMENTO!$AF$7)/$H585*OFFSET(ORÇAMENTO!$X$15,ROW(AY585)-ROW(AY$15),0),0)</f>
        <v>0</v>
      </c>
      <c r="AZ585" s="632">
        <f ca="1">IF(AND($D585="Serviço",AZ$12&lt;&gt;0,$H585&gt;0,OR(AUTOEVENTO&lt;&gt;"manual",$M585&lt;&gt;1)),ROUND(OFFSET($P585,0,AZ$13),15-13*ORÇAMENTO!$AF$7)/$H585*OFFSET(ORÇAMENTO!$X$15,ROW(AZ585)-ROW(AZ$15),0),0)</f>
        <v>0</v>
      </c>
      <c r="BA585" s="633">
        <f ca="1">IF(AND($D585="Serviço",BA$12&lt;&gt;0,$H585&gt;0,OR(AUTOEVENTO&lt;&gt;"manual",$M585&lt;&gt;1)),ROUND(OFFSET($P585,0,BA$13),15-13*ORÇAMENTO!$AF$7)/$H585*OFFSET(ORÇAMENTO!$X$15,ROW(BA585)-ROW(BA$15),0),0)</f>
        <v>0</v>
      </c>
      <c r="BC585" s="215">
        <f ca="1">IF($D585&lt;&gt;"Serviço",0,IF(AND(AUTOEVENTO="Manual",$M585=1),0,IF(OFFSET(CRONOPLE!$F$14,$M585,BC$13)="",10^12,OFFSET(CRONOPLE!$F$14,$M585,BC$13))))</f>
        <v>1000000000000</v>
      </c>
      <c r="BD585" s="215">
        <f ca="1">IF($D585&lt;&gt;"Serviço",0,IF(AND(AUTOEVENTO="Manual",$M585=1),0,IF(OFFSET(CRONOPLE!$F$14,$M585,BD$13)="",10^12,OFFSET(CRONOPLE!$F$14,$M585,BD$13))))</f>
        <v>1000000000000</v>
      </c>
      <c r="BE585" s="215">
        <f ca="1">IF($D585&lt;&gt;"Serviço",0,IF(AND(AUTOEVENTO="Manual",$M585=1),0,IF(OFFSET(CRONOPLE!$F$14,$M585,BE$13)="",10^12,OFFSET(CRONOPLE!$F$14,$M585,BE$13))))</f>
        <v>1000000000000</v>
      </c>
      <c r="BF585" s="215">
        <f ca="1">IF($D585&lt;&gt;"Serviço",0,IF(AND(AUTOEVENTO="Manual",$M585=1),0,IF(OFFSET(CRONOPLE!$F$14,$M585,BF$13)="",10^12,OFFSET(CRONOPLE!$F$14,$M585,BF$13))))</f>
        <v>1000000000000</v>
      </c>
      <c r="BG585" s="215">
        <f ca="1">IF($D585&lt;&gt;"Serviço",0,IF(AND(AUTOEVENTO="Manual",$M585=1),0,IF(OFFSET(CRONOPLE!$F$14,$M585,BG$13)="",10^12,OFFSET(CRONOPLE!$F$14,$M585,BG$13))))</f>
        <v>1000000000000</v>
      </c>
      <c r="BH585" s="215">
        <f ca="1">IF($D585&lt;&gt;"Serviço",0,IF(AND(AUTOEVENTO="Manual",$M585=1),0,IF(OFFSET(CRONOPLE!$F$14,$M585,BH$13)="",10^12,OFFSET(CRONOPLE!$F$14,$M585,BH$13))))</f>
        <v>1000000000000</v>
      </c>
      <c r="BI585" s="215">
        <f ca="1">IF($D585&lt;&gt;"Serviço",0,IF(AND(AUTOEVENTO="Manual",$M585=1),0,IF(OFFSET(CRONOPLE!$F$14,$M585,BI$13)="",10^12,OFFSET(CRONOPLE!$F$14,$M585,BI$13))))</f>
        <v>1000000000000</v>
      </c>
      <c r="BJ585" s="215">
        <f ca="1">IF($D585&lt;&gt;"Serviço",0,IF(AND(AUTOEVENTO="Manual",$M585=1),0,IF(OFFSET(CRONOPLE!$F$14,$M585,BJ$13)="",10^12,OFFSET(CRONOPLE!$F$14,$M585,BJ$13))))</f>
        <v>1000000000000</v>
      </c>
      <c r="BK585" s="215">
        <f ca="1">IF($D585&lt;&gt;"Serviço",0,IF(AND(AUTOEVENTO="Manual",$M585=1),0,IF(OFFSET(CRONOPLE!$F$14,$M585,BK$13)="",10^12,OFFSET(CRONOPLE!$F$14,$M585,BK$13))))</f>
        <v>1000000000000</v>
      </c>
      <c r="BL585" s="215">
        <f ca="1">IF($D585&lt;&gt;"Serviço",0,IF(AND(AUTOEVENTO="Manual",$M585=1),0,IF(OFFSET(CRONOPLE!$F$14,$M585,BL$13)="",10^12,OFFSET(CRONOPLE!$F$14,$M585,BL$13))))</f>
        <v>1000000000000</v>
      </c>
      <c r="BM585" s="215">
        <f ca="1">IF($D585&lt;&gt;"Serviço",0,IF(AND(AUTOEVENTO="Manual",$M585=1),0,IF(OFFSET(CRONOPLE!$F$14,$M585,BM$13)="",10^12,OFFSET(CRONOPLE!$F$14,$M585,BM$13))))</f>
        <v>1000000000000</v>
      </c>
      <c r="BN585" s="215">
        <f ca="1">IF($D585&lt;&gt;"Serviço",0,IF(AND(AUTOEVENTO="Manual",$M585=1),0,IF(OFFSET(CRONOPLE!$F$14,$M585,BN$13)="",10^12,OFFSET(CRONOPLE!$F$14,$M585,BN$13))))</f>
        <v>1000000000000</v>
      </c>
      <c r="BO585" s="215">
        <f ca="1">IF($D585&lt;&gt;"Serviço",0,IF(AND(AUTOEVENTO="Manual",$M585=1),0,IF(OFFSET(CRONOPLE!$F$14,$M585,BO$13)="",10^12,OFFSET(CRONOPLE!$F$14,$M585,BO$13))))</f>
        <v>1000000000000</v>
      </c>
      <c r="BP585" s="215">
        <f ca="1">IF($D585&lt;&gt;"Serviço",0,IF(AND(AUTOEVENTO="Manual",$M585=1),0,IF(OFFSET(CRONOPLE!$F$14,$M585,BP$13)="",10^12,OFFSET(CRONOPLE!$F$14,$M585,BP$13))))</f>
        <v>1000000000000</v>
      </c>
      <c r="BQ585" s="215">
        <f ca="1">IF($D585&lt;&gt;"Serviço",0,IF(AND(AUTOEVENTO="Manual",$M585=1),0,IF(OFFSET(CRONOPLE!$F$14,$M585,BQ$13)="",10^12,OFFSET(CRONOPLE!$F$14,$M585,BQ$13))))</f>
        <v>1000000000000</v>
      </c>
      <c r="BR585" s="215">
        <f ca="1">IF($D585&lt;&gt;"Serviço",0,IF(AND(AUTOEVENTO="Manual",$M585=1),0,IF(OFFSET(CRONOPLE!$F$14,$M585,BR$13)="",10^12,OFFSET(CRONOPLE!$F$14,$M585,BR$13))))</f>
        <v>1000000000000</v>
      </c>
      <c r="BS585" s="215">
        <f ca="1">IF($D585&lt;&gt;"Serviço",0,IF(AND(AUTOEVENTO="Manual",$M585=1),0,IF(OFFSET(CRONOPLE!$F$14,$M585,BS$13)="",10^12,OFFSET(CRONOPLE!$F$14,$M585,BS$13))))</f>
        <v>1000000000000</v>
      </c>
      <c r="BT585" s="215">
        <f ca="1">IF($D585&lt;&gt;"Serviço",0,IF(AND(AUTOEVENTO="Manual",$M585=1),0,IF(OFFSET(CRONOPLE!$F$14,$M585,BT$13)="",10^12,OFFSET(CRONOPLE!$F$14,$M585,BT$13))))</f>
        <v>1000000000000</v>
      </c>
      <c r="BV585" s="216">
        <f ca="1">IF($D585&lt;&gt;"Serviço",0,IF(OR(AND(AUTOEVENTO="Manual",$M585=1),$M585&gt;(ROW(PLE.lastrow)-ROW(PLE.firstrow))),0,IF(OFFSET(PLE!$G$14,$M585,BV$13)="",10^12,OFFSET(PLE!$G$14,$M585,BV$13))))</f>
        <v>1000000000000</v>
      </c>
      <c r="BW585" s="216">
        <f ca="1">IF($D585&lt;&gt;"Serviço",0,IF(OR(AND(AUTOEVENTO="Manual",$M585=1),$M585&gt;(ROW(PLE.lastrow)-ROW(PLE.firstrow))),0,IF(OFFSET(PLE!$G$14,$M585,BW$13)="",10^12,OFFSET(PLE!$G$14,$M585,BW$13))))</f>
        <v>1000000000000</v>
      </c>
      <c r="BX585" s="216">
        <f ca="1">IF($D585&lt;&gt;"Serviço",0,IF(OR(AND(AUTOEVENTO="Manual",$M585=1),$M585&gt;(ROW(PLE.lastrow)-ROW(PLE.firstrow))),0,IF(OFFSET(PLE!$G$14,$M585,BX$13)="",10^12,OFFSET(PLE!$G$14,$M585,BX$13))))</f>
        <v>1000000000000</v>
      </c>
      <c r="BY585" s="216">
        <f ca="1">IF($D585&lt;&gt;"Serviço",0,IF(OR(AND(AUTOEVENTO="Manual",$M585=1),$M585&gt;(ROW(PLE.lastrow)-ROW(PLE.firstrow))),0,IF(OFFSET(PLE!$G$14,$M585,BY$13)="",10^12,OFFSET(PLE!$G$14,$M585,BY$13))))</f>
        <v>1000000000000</v>
      </c>
      <c r="BZ585" s="216">
        <f ca="1">IF($D585&lt;&gt;"Serviço",0,IF(OR(AND(AUTOEVENTO="Manual",$M585=1),$M585&gt;(ROW(PLE.lastrow)-ROW(PLE.firstrow))),0,IF(OFFSET(PLE!$G$14,$M585,BZ$13)="",10^12,OFFSET(PLE!$G$14,$M585,BZ$13))))</f>
        <v>1000000000000</v>
      </c>
      <c r="CA585" s="216">
        <f ca="1">IF($D585&lt;&gt;"Serviço",0,IF(OR(AND(AUTOEVENTO="Manual",$M585=1),$M585&gt;(ROW(PLE.lastrow)-ROW(PLE.firstrow))),0,IF(OFFSET(PLE!$G$14,$M585,CA$13)="",10^12,OFFSET(PLE!$G$14,$M585,CA$13))))</f>
        <v>1000000000000</v>
      </c>
      <c r="CB585" s="216">
        <f ca="1">IF($D585&lt;&gt;"Serviço",0,IF(OR(AND(AUTOEVENTO="Manual",$M585=1),$M585&gt;(ROW(PLE.lastrow)-ROW(PLE.firstrow))),0,IF(OFFSET(PLE!$G$14,$M585,CB$13)="",10^12,OFFSET(PLE!$G$14,$M585,CB$13))))</f>
        <v>1000000000000</v>
      </c>
      <c r="CC585" s="216">
        <f ca="1">IF($D585&lt;&gt;"Serviço",0,IF(OR(AND(AUTOEVENTO="Manual",$M585=1),$M585&gt;(ROW(PLE.lastrow)-ROW(PLE.firstrow))),0,IF(OFFSET(PLE!$G$14,$M585,CC$13)="",10^12,OFFSET(PLE!$G$14,$M585,CC$13))))</f>
        <v>1000000000000</v>
      </c>
      <c r="CD585" s="216">
        <f ca="1">IF($D585&lt;&gt;"Serviço",0,IF(OR(AND(AUTOEVENTO="Manual",$M585=1),$M585&gt;(ROW(PLE.lastrow)-ROW(PLE.firstrow))),0,IF(OFFSET(PLE!$G$14,$M585,CD$13)="",10^12,OFFSET(PLE!$G$14,$M585,CD$13))))</f>
        <v>1000000000000</v>
      </c>
      <c r="CE585" s="216">
        <f ca="1">IF($D585&lt;&gt;"Serviço",0,IF(OR(AND(AUTOEVENTO="Manual",$M585=1),$M585&gt;(ROW(PLE.lastrow)-ROW(PLE.firstrow))),0,IF(OFFSET(PLE!$G$14,$M585,CE$13)="",10^12,OFFSET(PLE!$G$14,$M585,CE$13))))</f>
        <v>1000000000000</v>
      </c>
      <c r="CF585" s="216">
        <f ca="1">IF($D585&lt;&gt;"Serviço",0,IF(OR(AND(AUTOEVENTO="Manual",$M585=1),$M585&gt;(ROW(PLE.lastrow)-ROW(PLE.firstrow))),0,IF(OFFSET(PLE!$G$14,$M585,CF$13)="",10^12,OFFSET(PLE!$G$14,$M585,CF$13))))</f>
        <v>1000000000000</v>
      </c>
      <c r="CG585" s="216">
        <f ca="1">IF($D585&lt;&gt;"Serviço",0,IF(OR(AND(AUTOEVENTO="Manual",$M585=1),$M585&gt;(ROW(PLE.lastrow)-ROW(PLE.firstrow))),0,IF(OFFSET(PLE!$G$14,$M585,CG$13)="",10^12,OFFSET(PLE!$G$14,$M585,CG$13))))</f>
        <v>1000000000000</v>
      </c>
      <c r="CH585" s="216">
        <f ca="1">IF($D585&lt;&gt;"Serviço",0,IF(OR(AND(AUTOEVENTO="Manual",$M585=1),$M585&gt;(ROW(PLE.lastrow)-ROW(PLE.firstrow))),0,IF(OFFSET(PLE!$G$14,$M585,CH$13)="",10^12,OFFSET(PLE!$G$14,$M585,CH$13))))</f>
        <v>1000000000000</v>
      </c>
      <c r="CI585" s="216">
        <f ca="1">IF($D585&lt;&gt;"Serviço",0,IF(OR(AND(AUTOEVENTO="Manual",$M585=1),$M585&gt;(ROW(PLE.lastrow)-ROW(PLE.firstrow))),0,IF(OFFSET(PLE!$G$14,$M585,CI$13)="",10^12,OFFSET(PLE!$G$14,$M585,CI$13))))</f>
        <v>1000000000000</v>
      </c>
      <c r="CJ585" s="216">
        <f ca="1">IF($D585&lt;&gt;"Serviço",0,IF(OR(AND(AUTOEVENTO="Manual",$M585=1),$M585&gt;(ROW(PLE.lastrow)-ROW(PLE.firstrow))),0,IF(OFFSET(PLE!$G$14,$M585,CJ$13)="",10^12,OFFSET(PLE!$G$14,$M585,CJ$13))))</f>
        <v>1000000000000</v>
      </c>
      <c r="CK585" s="216">
        <f ca="1">IF($D585&lt;&gt;"Serviço",0,IF(OR(AND(AUTOEVENTO="Manual",$M585=1),$M585&gt;(ROW(PLE.lastrow)-ROW(PLE.firstrow))),0,IF(OFFSET(PLE!$G$14,$M585,CK$13)="",10^12,OFFSET(PLE!$G$14,$M585,CK$13))))</f>
        <v>1000000000000</v>
      </c>
      <c r="CL585" s="216">
        <f ca="1">IF($D585&lt;&gt;"Serviço",0,IF(OR(AND(AUTOEVENTO="Manual",$M585=1),$M585&gt;(ROW(PLE.lastrow)-ROW(PLE.firstrow))),0,IF(OFFSET(PLE!$G$14,$M585,CL$13)="",10^12,OFFSET(PLE!$G$14,$M585,CL$13))))</f>
        <v>1000000000000</v>
      </c>
      <c r="CM585" s="216">
        <f ca="1">IF($D585&lt;&gt;"Serviço",0,IF(OR(AND(AUTOEVENTO="Manual",$M585=1),$M585&gt;(ROW(PLE.lastrow)-ROW(PLE.firstrow))),0,IF(OFFSET(PLE!$G$14,$M585,CM$13)="",10^12,OFFSET(PLE!$G$14,$M585,CM$13))))</f>
        <v>1000000000000</v>
      </c>
    </row>
    <row r="586" spans="1:91" ht="13.2" x14ac:dyDescent="0.25">
      <c r="A586" s="9">
        <f t="shared" ca="1" si="17"/>
        <v>0</v>
      </c>
      <c r="B586" s="9" t="str">
        <f ca="1">OFFSET(ORÇAMENTO!C$15,ROW(B586)-ROW(B$15),0)</f>
        <v>S</v>
      </c>
      <c r="C586" s="9" t="str">
        <f ca="1">OFFSET(ORÇAMENTO!L$15,ROW(C586)-ROW(C$15),0)</f>
        <v/>
      </c>
      <c r="D586" s="145" t="str">
        <f ca="1">OFFSET(ORÇAMENTO!N$15,ROW(D586)-ROW(D$15),0)</f>
        <v>Serviço</v>
      </c>
      <c r="E586" s="205" t="str">
        <f ca="1">OFFSET(ORÇAMENTO!O$15,ROW(E586)-ROW(E$15),0)</f>
        <v>-</v>
      </c>
      <c r="F586" s="206" t="str">
        <f ca="1">OFFSET(ORÇAMENTO!R$15,ROW(F586)-ROW(F$15),0)</f>
        <v>(abra o arquivo 'Referência 05-2024.xls)</v>
      </c>
      <c r="G586" s="207" t="str">
        <f ca="1">IF($D586&lt;&gt;"Serviço","",OFFSET(ORÇAMENTO!S$15,ROW(G586)-ROW(G$15),0))</f>
        <v>-</v>
      </c>
      <c r="H586" s="151">
        <f ca="1">IF($D586&lt;&gt;"Serviço",0,IF(ACOMPANHAMENTO="BM",ROUND(OFFSET(ORÇAMENTO!AJ$15,ROW(H586)-ROW(H$15),0),15-13*ORÇAMENTO!$AF$7),SUMPRODUCT(($Q$12:$AI$12&lt;&gt;"")*ROUND($Q586:$AI586,15-13*ORÇAMENTO!$AF$7))))</f>
        <v>578</v>
      </c>
      <c r="I586" s="650"/>
      <c r="K586" s="208"/>
      <c r="L586" s="209" t="s">
        <v>257</v>
      </c>
      <c r="M586" s="210">
        <f ca="1">IF($D586&lt;&gt;"Serviço","",IF(AUTOEVENTO="manual",$A586,IF(ISERROR(MATCH($A586,$A$15:OFFSET($A586,-1,0),0)),MAX($M$15:OFFSET(M586,-1,0))+1,INDEX($M$15:OFFSET(M586,-1,0),MATCH($A586,$A$15:OFFSET($A586,-1,0),0)))))</f>
        <v>0</v>
      </c>
      <c r="N586" s="211" t="str">
        <f ca="1">IF($D586&lt;&gt;"Serviço","",IF(AUTOEVENTO="Manual",IF($A586=0,"&lt;-- defina o número do agrupador",OFFSET(EVENTOS!$D$14,$A586,0)),OFFSET($F$15,$A586,0)))</f>
        <v>&lt;-- defina o número do agrupador</v>
      </c>
      <c r="O586" s="212"/>
      <c r="Q586" s="212"/>
      <c r="R586" s="213"/>
      <c r="S586" s="213"/>
      <c r="T586" s="213"/>
      <c r="U586" s="213"/>
      <c r="V586" s="213"/>
      <c r="W586" s="213"/>
      <c r="X586" s="213"/>
      <c r="Y586" s="213"/>
      <c r="Z586" s="214"/>
      <c r="AA586" s="213"/>
      <c r="AB586" s="213"/>
      <c r="AC586" s="213"/>
      <c r="AD586" s="213"/>
      <c r="AE586" s="213"/>
      <c r="AF586" s="213"/>
      <c r="AG586" s="213"/>
      <c r="AH586" s="214"/>
      <c r="AJ586" s="631">
        <f ca="1">IF(AND($D586="Serviço",AJ$12&lt;&gt;0,$H586&gt;0,OR(AUTOEVENTO&lt;&gt;"manual",$M586&lt;&gt;1)),ROUND(OFFSET($P586,0,AJ$13),15-13*ORÇAMENTO!$AF$7)/$H586*OFFSET(ORÇAMENTO!$X$15,ROW(AJ586)-ROW(AJ$15),0),0)</f>
        <v>0</v>
      </c>
      <c r="AK586" s="632">
        <f ca="1">IF(AND($D586="Serviço",AK$12&lt;&gt;0,$H586&gt;0,OR(AUTOEVENTO&lt;&gt;"manual",$M586&lt;&gt;1)),ROUND(OFFSET($P586,0,AK$13),15-13*ORÇAMENTO!$AF$7)/$H586*OFFSET(ORÇAMENTO!$X$15,ROW(AK586)-ROW(AK$15),0),0)</f>
        <v>0</v>
      </c>
      <c r="AL586" s="632">
        <f ca="1">IF(AND($D586="Serviço",AL$12&lt;&gt;0,$H586&gt;0,OR(AUTOEVENTO&lt;&gt;"manual",$M586&lt;&gt;1)),ROUND(OFFSET($P586,0,AL$13),15-13*ORÇAMENTO!$AF$7)/$H586*OFFSET(ORÇAMENTO!$X$15,ROW(AL586)-ROW(AL$15),0),0)</f>
        <v>0</v>
      </c>
      <c r="AM586" s="632">
        <f ca="1">IF(AND($D586="Serviço",AM$12&lt;&gt;0,$H586&gt;0,OR(AUTOEVENTO&lt;&gt;"manual",$M586&lt;&gt;1)),ROUND(OFFSET($P586,0,AM$13),15-13*ORÇAMENTO!$AF$7)/$H586*OFFSET(ORÇAMENTO!$X$15,ROW(AM586)-ROW(AM$15),0),0)</f>
        <v>0</v>
      </c>
      <c r="AN586" s="632">
        <f ca="1">IF(AND($D586="Serviço",AN$12&lt;&gt;0,$H586&gt;0,OR(AUTOEVENTO&lt;&gt;"manual",$M586&lt;&gt;1)),ROUND(OFFSET($P586,0,AN$13),15-13*ORÇAMENTO!$AF$7)/$H586*OFFSET(ORÇAMENTO!$X$15,ROW(AN586)-ROW(AN$15),0),0)</f>
        <v>0</v>
      </c>
      <c r="AO586" s="632">
        <f ca="1">IF(AND($D586="Serviço",AO$12&lt;&gt;0,$H586&gt;0,OR(AUTOEVENTO&lt;&gt;"manual",$M586&lt;&gt;1)),ROUND(OFFSET($P586,0,AO$13),15-13*ORÇAMENTO!$AF$7)/$H586*OFFSET(ORÇAMENTO!$X$15,ROW(AO586)-ROW(AO$15),0),0)</f>
        <v>0</v>
      </c>
      <c r="AP586" s="632">
        <f ca="1">IF(AND($D586="Serviço",AP$12&lt;&gt;0,$H586&gt;0,OR(AUTOEVENTO&lt;&gt;"manual",$M586&lt;&gt;1)),ROUND(OFFSET($P586,0,AP$13),15-13*ORÇAMENTO!$AF$7)/$H586*OFFSET(ORÇAMENTO!$X$15,ROW(AP586)-ROW(AP$15),0),0)</f>
        <v>0</v>
      </c>
      <c r="AQ586" s="632">
        <f ca="1">IF(AND($D586="Serviço",AQ$12&lt;&gt;0,$H586&gt;0,OR(AUTOEVENTO&lt;&gt;"manual",$M586&lt;&gt;1)),ROUND(OFFSET($P586,0,AQ$13),15-13*ORÇAMENTO!$AF$7)/$H586*OFFSET(ORÇAMENTO!$X$15,ROW(AQ586)-ROW(AQ$15),0),0)</f>
        <v>0</v>
      </c>
      <c r="AR586" s="632">
        <f ca="1">IF(AND($D586="Serviço",AR$12&lt;&gt;0,$H586&gt;0,OR(AUTOEVENTO&lt;&gt;"manual",$M586&lt;&gt;1)),ROUND(OFFSET($P586,0,AR$13),15-13*ORÇAMENTO!$AF$7)/$H586*OFFSET(ORÇAMENTO!$X$15,ROW(AR586)-ROW(AR$15),0),0)</f>
        <v>0</v>
      </c>
      <c r="AS586" s="633">
        <f ca="1">IF(AND($D586="Serviço",AS$12&lt;&gt;0,$H586&gt;0,OR(AUTOEVENTO&lt;&gt;"manual",$M586&lt;&gt;1)),ROUND(OFFSET($P586,0,AS$13),15-13*ORÇAMENTO!$AF$7)/$H586*OFFSET(ORÇAMENTO!$X$15,ROW(AS586)-ROW(AS$15),0),0)</f>
        <v>0</v>
      </c>
      <c r="AT586" s="632">
        <f ca="1">IF(AND($D586="Serviço",AT$12&lt;&gt;0,$H586&gt;0,OR(AUTOEVENTO&lt;&gt;"manual",$M586&lt;&gt;1)),ROUND(OFFSET($P586,0,AT$13),15-13*ORÇAMENTO!$AF$7)/$H586*OFFSET(ORÇAMENTO!$X$15,ROW(AT586)-ROW(AT$15),0),0)</f>
        <v>0</v>
      </c>
      <c r="AU586" s="632">
        <f ca="1">IF(AND($D586="Serviço",AU$12&lt;&gt;0,$H586&gt;0,OR(AUTOEVENTO&lt;&gt;"manual",$M586&lt;&gt;1)),ROUND(OFFSET($P586,0,AU$13),15-13*ORÇAMENTO!$AF$7)/$H586*OFFSET(ORÇAMENTO!$X$15,ROW(AU586)-ROW(AU$15),0),0)</f>
        <v>0</v>
      </c>
      <c r="AV586" s="632">
        <f ca="1">IF(AND($D586="Serviço",AV$12&lt;&gt;0,$H586&gt;0,OR(AUTOEVENTO&lt;&gt;"manual",$M586&lt;&gt;1)),ROUND(OFFSET($P586,0,AV$13),15-13*ORÇAMENTO!$AF$7)/$H586*OFFSET(ORÇAMENTO!$X$15,ROW(AV586)-ROW(AV$15),0),0)</f>
        <v>0</v>
      </c>
      <c r="AW586" s="632">
        <f ca="1">IF(AND($D586="Serviço",AW$12&lt;&gt;0,$H586&gt;0,OR(AUTOEVENTO&lt;&gt;"manual",$M586&lt;&gt;1)),ROUND(OFFSET($P586,0,AW$13),15-13*ORÇAMENTO!$AF$7)/$H586*OFFSET(ORÇAMENTO!$X$15,ROW(AW586)-ROW(AW$15),0),0)</f>
        <v>0</v>
      </c>
      <c r="AX586" s="632">
        <f ca="1">IF(AND($D586="Serviço",AX$12&lt;&gt;0,$H586&gt;0,OR(AUTOEVENTO&lt;&gt;"manual",$M586&lt;&gt;1)),ROUND(OFFSET($P586,0,AX$13),15-13*ORÇAMENTO!$AF$7)/$H586*OFFSET(ORÇAMENTO!$X$15,ROW(AX586)-ROW(AX$15),0),0)</f>
        <v>0</v>
      </c>
      <c r="AY586" s="632">
        <f ca="1">IF(AND($D586="Serviço",AY$12&lt;&gt;0,$H586&gt;0,OR(AUTOEVENTO&lt;&gt;"manual",$M586&lt;&gt;1)),ROUND(OFFSET($P586,0,AY$13),15-13*ORÇAMENTO!$AF$7)/$H586*OFFSET(ORÇAMENTO!$X$15,ROW(AY586)-ROW(AY$15),0),0)</f>
        <v>0</v>
      </c>
      <c r="AZ586" s="632">
        <f ca="1">IF(AND($D586="Serviço",AZ$12&lt;&gt;0,$H586&gt;0,OR(AUTOEVENTO&lt;&gt;"manual",$M586&lt;&gt;1)),ROUND(OFFSET($P586,0,AZ$13),15-13*ORÇAMENTO!$AF$7)/$H586*OFFSET(ORÇAMENTO!$X$15,ROW(AZ586)-ROW(AZ$15),0),0)</f>
        <v>0</v>
      </c>
      <c r="BA586" s="633">
        <f ca="1">IF(AND($D586="Serviço",BA$12&lt;&gt;0,$H586&gt;0,OR(AUTOEVENTO&lt;&gt;"manual",$M586&lt;&gt;1)),ROUND(OFFSET($P586,0,BA$13),15-13*ORÇAMENTO!$AF$7)/$H586*OFFSET(ORÇAMENTO!$X$15,ROW(BA586)-ROW(BA$15),0),0)</f>
        <v>0</v>
      </c>
      <c r="BC586" s="215">
        <f ca="1">IF($D586&lt;&gt;"Serviço",0,IF(AND(AUTOEVENTO="Manual",$M586=1),0,IF(OFFSET(CRONOPLE!$F$14,$M586,BC$13)="",10^12,OFFSET(CRONOPLE!$F$14,$M586,BC$13))))</f>
        <v>1000000000000</v>
      </c>
      <c r="BD586" s="215">
        <f ca="1">IF($D586&lt;&gt;"Serviço",0,IF(AND(AUTOEVENTO="Manual",$M586=1),0,IF(OFFSET(CRONOPLE!$F$14,$M586,BD$13)="",10^12,OFFSET(CRONOPLE!$F$14,$M586,BD$13))))</f>
        <v>1000000000000</v>
      </c>
      <c r="BE586" s="215">
        <f ca="1">IF($D586&lt;&gt;"Serviço",0,IF(AND(AUTOEVENTO="Manual",$M586=1),0,IF(OFFSET(CRONOPLE!$F$14,$M586,BE$13)="",10^12,OFFSET(CRONOPLE!$F$14,$M586,BE$13))))</f>
        <v>1000000000000</v>
      </c>
      <c r="BF586" s="215">
        <f ca="1">IF($D586&lt;&gt;"Serviço",0,IF(AND(AUTOEVENTO="Manual",$M586=1),0,IF(OFFSET(CRONOPLE!$F$14,$M586,BF$13)="",10^12,OFFSET(CRONOPLE!$F$14,$M586,BF$13))))</f>
        <v>1000000000000</v>
      </c>
      <c r="BG586" s="215">
        <f ca="1">IF($D586&lt;&gt;"Serviço",0,IF(AND(AUTOEVENTO="Manual",$M586=1),0,IF(OFFSET(CRONOPLE!$F$14,$M586,BG$13)="",10^12,OFFSET(CRONOPLE!$F$14,$M586,BG$13))))</f>
        <v>1000000000000</v>
      </c>
      <c r="BH586" s="215">
        <f ca="1">IF($D586&lt;&gt;"Serviço",0,IF(AND(AUTOEVENTO="Manual",$M586=1),0,IF(OFFSET(CRONOPLE!$F$14,$M586,BH$13)="",10^12,OFFSET(CRONOPLE!$F$14,$M586,BH$13))))</f>
        <v>1000000000000</v>
      </c>
      <c r="BI586" s="215">
        <f ca="1">IF($D586&lt;&gt;"Serviço",0,IF(AND(AUTOEVENTO="Manual",$M586=1),0,IF(OFFSET(CRONOPLE!$F$14,$M586,BI$13)="",10^12,OFFSET(CRONOPLE!$F$14,$M586,BI$13))))</f>
        <v>1000000000000</v>
      </c>
      <c r="BJ586" s="215">
        <f ca="1">IF($D586&lt;&gt;"Serviço",0,IF(AND(AUTOEVENTO="Manual",$M586=1),0,IF(OFFSET(CRONOPLE!$F$14,$M586,BJ$13)="",10^12,OFFSET(CRONOPLE!$F$14,$M586,BJ$13))))</f>
        <v>1000000000000</v>
      </c>
      <c r="BK586" s="215">
        <f ca="1">IF($D586&lt;&gt;"Serviço",0,IF(AND(AUTOEVENTO="Manual",$M586=1),0,IF(OFFSET(CRONOPLE!$F$14,$M586,BK$13)="",10^12,OFFSET(CRONOPLE!$F$14,$M586,BK$13))))</f>
        <v>1000000000000</v>
      </c>
      <c r="BL586" s="215">
        <f ca="1">IF($D586&lt;&gt;"Serviço",0,IF(AND(AUTOEVENTO="Manual",$M586=1),0,IF(OFFSET(CRONOPLE!$F$14,$M586,BL$13)="",10^12,OFFSET(CRONOPLE!$F$14,$M586,BL$13))))</f>
        <v>1000000000000</v>
      </c>
      <c r="BM586" s="215">
        <f ca="1">IF($D586&lt;&gt;"Serviço",0,IF(AND(AUTOEVENTO="Manual",$M586=1),0,IF(OFFSET(CRONOPLE!$F$14,$M586,BM$13)="",10^12,OFFSET(CRONOPLE!$F$14,$M586,BM$13))))</f>
        <v>1000000000000</v>
      </c>
      <c r="BN586" s="215">
        <f ca="1">IF($D586&lt;&gt;"Serviço",0,IF(AND(AUTOEVENTO="Manual",$M586=1),0,IF(OFFSET(CRONOPLE!$F$14,$M586,BN$13)="",10^12,OFFSET(CRONOPLE!$F$14,$M586,BN$13))))</f>
        <v>1000000000000</v>
      </c>
      <c r="BO586" s="215">
        <f ca="1">IF($D586&lt;&gt;"Serviço",0,IF(AND(AUTOEVENTO="Manual",$M586=1),0,IF(OFFSET(CRONOPLE!$F$14,$M586,BO$13)="",10^12,OFFSET(CRONOPLE!$F$14,$M586,BO$13))))</f>
        <v>1000000000000</v>
      </c>
      <c r="BP586" s="215">
        <f ca="1">IF($D586&lt;&gt;"Serviço",0,IF(AND(AUTOEVENTO="Manual",$M586=1),0,IF(OFFSET(CRONOPLE!$F$14,$M586,BP$13)="",10^12,OFFSET(CRONOPLE!$F$14,$M586,BP$13))))</f>
        <v>1000000000000</v>
      </c>
      <c r="BQ586" s="215">
        <f ca="1">IF($D586&lt;&gt;"Serviço",0,IF(AND(AUTOEVENTO="Manual",$M586=1),0,IF(OFFSET(CRONOPLE!$F$14,$M586,BQ$13)="",10^12,OFFSET(CRONOPLE!$F$14,$M586,BQ$13))))</f>
        <v>1000000000000</v>
      </c>
      <c r="BR586" s="215">
        <f ca="1">IF($D586&lt;&gt;"Serviço",0,IF(AND(AUTOEVENTO="Manual",$M586=1),0,IF(OFFSET(CRONOPLE!$F$14,$M586,BR$13)="",10^12,OFFSET(CRONOPLE!$F$14,$M586,BR$13))))</f>
        <v>1000000000000</v>
      </c>
      <c r="BS586" s="215">
        <f ca="1">IF($D586&lt;&gt;"Serviço",0,IF(AND(AUTOEVENTO="Manual",$M586=1),0,IF(OFFSET(CRONOPLE!$F$14,$M586,BS$13)="",10^12,OFFSET(CRONOPLE!$F$14,$M586,BS$13))))</f>
        <v>1000000000000</v>
      </c>
      <c r="BT586" s="215">
        <f ca="1">IF($D586&lt;&gt;"Serviço",0,IF(AND(AUTOEVENTO="Manual",$M586=1),0,IF(OFFSET(CRONOPLE!$F$14,$M586,BT$13)="",10^12,OFFSET(CRONOPLE!$F$14,$M586,BT$13))))</f>
        <v>1000000000000</v>
      </c>
      <c r="BV586" s="216">
        <f ca="1">IF($D586&lt;&gt;"Serviço",0,IF(OR(AND(AUTOEVENTO="Manual",$M586=1),$M586&gt;(ROW(PLE.lastrow)-ROW(PLE.firstrow))),0,IF(OFFSET(PLE!$G$14,$M586,BV$13)="",10^12,OFFSET(PLE!$G$14,$M586,BV$13))))</f>
        <v>1000000000000</v>
      </c>
      <c r="BW586" s="216">
        <f ca="1">IF($D586&lt;&gt;"Serviço",0,IF(OR(AND(AUTOEVENTO="Manual",$M586=1),$M586&gt;(ROW(PLE.lastrow)-ROW(PLE.firstrow))),0,IF(OFFSET(PLE!$G$14,$M586,BW$13)="",10^12,OFFSET(PLE!$G$14,$M586,BW$13))))</f>
        <v>1000000000000</v>
      </c>
      <c r="BX586" s="216">
        <f ca="1">IF($D586&lt;&gt;"Serviço",0,IF(OR(AND(AUTOEVENTO="Manual",$M586=1),$M586&gt;(ROW(PLE.lastrow)-ROW(PLE.firstrow))),0,IF(OFFSET(PLE!$G$14,$M586,BX$13)="",10^12,OFFSET(PLE!$G$14,$M586,BX$13))))</f>
        <v>1000000000000</v>
      </c>
      <c r="BY586" s="216">
        <f ca="1">IF($D586&lt;&gt;"Serviço",0,IF(OR(AND(AUTOEVENTO="Manual",$M586=1),$M586&gt;(ROW(PLE.lastrow)-ROW(PLE.firstrow))),0,IF(OFFSET(PLE!$G$14,$M586,BY$13)="",10^12,OFFSET(PLE!$G$14,$M586,BY$13))))</f>
        <v>1000000000000</v>
      </c>
      <c r="BZ586" s="216">
        <f ca="1">IF($D586&lt;&gt;"Serviço",0,IF(OR(AND(AUTOEVENTO="Manual",$M586=1),$M586&gt;(ROW(PLE.lastrow)-ROW(PLE.firstrow))),0,IF(OFFSET(PLE!$G$14,$M586,BZ$13)="",10^12,OFFSET(PLE!$G$14,$M586,BZ$13))))</f>
        <v>1000000000000</v>
      </c>
      <c r="CA586" s="216">
        <f ca="1">IF($D586&lt;&gt;"Serviço",0,IF(OR(AND(AUTOEVENTO="Manual",$M586=1),$M586&gt;(ROW(PLE.lastrow)-ROW(PLE.firstrow))),0,IF(OFFSET(PLE!$G$14,$M586,CA$13)="",10^12,OFFSET(PLE!$G$14,$M586,CA$13))))</f>
        <v>1000000000000</v>
      </c>
      <c r="CB586" s="216">
        <f ca="1">IF($D586&lt;&gt;"Serviço",0,IF(OR(AND(AUTOEVENTO="Manual",$M586=1),$M586&gt;(ROW(PLE.lastrow)-ROW(PLE.firstrow))),0,IF(OFFSET(PLE!$G$14,$M586,CB$13)="",10^12,OFFSET(PLE!$G$14,$M586,CB$13))))</f>
        <v>1000000000000</v>
      </c>
      <c r="CC586" s="216">
        <f ca="1">IF($D586&lt;&gt;"Serviço",0,IF(OR(AND(AUTOEVENTO="Manual",$M586=1),$M586&gt;(ROW(PLE.lastrow)-ROW(PLE.firstrow))),0,IF(OFFSET(PLE!$G$14,$M586,CC$13)="",10^12,OFFSET(PLE!$G$14,$M586,CC$13))))</f>
        <v>1000000000000</v>
      </c>
      <c r="CD586" s="216">
        <f ca="1">IF($D586&lt;&gt;"Serviço",0,IF(OR(AND(AUTOEVENTO="Manual",$M586=1),$M586&gt;(ROW(PLE.lastrow)-ROW(PLE.firstrow))),0,IF(OFFSET(PLE!$G$14,$M586,CD$13)="",10^12,OFFSET(PLE!$G$14,$M586,CD$13))))</f>
        <v>1000000000000</v>
      </c>
      <c r="CE586" s="216">
        <f ca="1">IF($D586&lt;&gt;"Serviço",0,IF(OR(AND(AUTOEVENTO="Manual",$M586=1),$M586&gt;(ROW(PLE.lastrow)-ROW(PLE.firstrow))),0,IF(OFFSET(PLE!$G$14,$M586,CE$13)="",10^12,OFFSET(PLE!$G$14,$M586,CE$13))))</f>
        <v>1000000000000</v>
      </c>
      <c r="CF586" s="216">
        <f ca="1">IF($D586&lt;&gt;"Serviço",0,IF(OR(AND(AUTOEVENTO="Manual",$M586=1),$M586&gt;(ROW(PLE.lastrow)-ROW(PLE.firstrow))),0,IF(OFFSET(PLE!$G$14,$M586,CF$13)="",10^12,OFFSET(PLE!$G$14,$M586,CF$13))))</f>
        <v>1000000000000</v>
      </c>
      <c r="CG586" s="216">
        <f ca="1">IF($D586&lt;&gt;"Serviço",0,IF(OR(AND(AUTOEVENTO="Manual",$M586=1),$M586&gt;(ROW(PLE.lastrow)-ROW(PLE.firstrow))),0,IF(OFFSET(PLE!$G$14,$M586,CG$13)="",10^12,OFFSET(PLE!$G$14,$M586,CG$13))))</f>
        <v>1000000000000</v>
      </c>
      <c r="CH586" s="216">
        <f ca="1">IF($D586&lt;&gt;"Serviço",0,IF(OR(AND(AUTOEVENTO="Manual",$M586=1),$M586&gt;(ROW(PLE.lastrow)-ROW(PLE.firstrow))),0,IF(OFFSET(PLE!$G$14,$M586,CH$13)="",10^12,OFFSET(PLE!$G$14,$M586,CH$13))))</f>
        <v>1000000000000</v>
      </c>
      <c r="CI586" s="216">
        <f ca="1">IF($D586&lt;&gt;"Serviço",0,IF(OR(AND(AUTOEVENTO="Manual",$M586=1),$M586&gt;(ROW(PLE.lastrow)-ROW(PLE.firstrow))),0,IF(OFFSET(PLE!$G$14,$M586,CI$13)="",10^12,OFFSET(PLE!$G$14,$M586,CI$13))))</f>
        <v>1000000000000</v>
      </c>
      <c r="CJ586" s="216">
        <f ca="1">IF($D586&lt;&gt;"Serviço",0,IF(OR(AND(AUTOEVENTO="Manual",$M586=1),$M586&gt;(ROW(PLE.lastrow)-ROW(PLE.firstrow))),0,IF(OFFSET(PLE!$G$14,$M586,CJ$13)="",10^12,OFFSET(PLE!$G$14,$M586,CJ$13))))</f>
        <v>1000000000000</v>
      </c>
      <c r="CK586" s="216">
        <f ca="1">IF($D586&lt;&gt;"Serviço",0,IF(OR(AND(AUTOEVENTO="Manual",$M586=1),$M586&gt;(ROW(PLE.lastrow)-ROW(PLE.firstrow))),0,IF(OFFSET(PLE!$G$14,$M586,CK$13)="",10^12,OFFSET(PLE!$G$14,$M586,CK$13))))</f>
        <v>1000000000000</v>
      </c>
      <c r="CL586" s="216">
        <f ca="1">IF($D586&lt;&gt;"Serviço",0,IF(OR(AND(AUTOEVENTO="Manual",$M586=1),$M586&gt;(ROW(PLE.lastrow)-ROW(PLE.firstrow))),0,IF(OFFSET(PLE!$G$14,$M586,CL$13)="",10^12,OFFSET(PLE!$G$14,$M586,CL$13))))</f>
        <v>1000000000000</v>
      </c>
      <c r="CM586" s="216">
        <f ca="1">IF($D586&lt;&gt;"Serviço",0,IF(OR(AND(AUTOEVENTO="Manual",$M586=1),$M586&gt;(ROW(PLE.lastrow)-ROW(PLE.firstrow))),0,IF(OFFSET(PLE!$G$14,$M586,CM$13)="",10^12,OFFSET(PLE!$G$14,$M586,CM$13))))</f>
        <v>1000000000000</v>
      </c>
    </row>
    <row r="587" spans="1:91" ht="13.2" x14ac:dyDescent="0.25">
      <c r="A587" s="9">
        <f t="shared" ca="1" si="17"/>
        <v>0</v>
      </c>
      <c r="B587" s="9" t="str">
        <f ca="1">OFFSET(ORÇAMENTO!C$15,ROW(B587)-ROW(B$15),0)</f>
        <v>S</v>
      </c>
      <c r="C587" s="9" t="str">
        <f ca="1">OFFSET(ORÇAMENTO!L$15,ROW(C587)-ROW(C$15),0)</f>
        <v/>
      </c>
      <c r="D587" s="145" t="str">
        <f ca="1">OFFSET(ORÇAMENTO!N$15,ROW(D587)-ROW(D$15),0)</f>
        <v>Serviço</v>
      </c>
      <c r="E587" s="205" t="str">
        <f ca="1">OFFSET(ORÇAMENTO!O$15,ROW(E587)-ROW(E$15),0)</f>
        <v>-</v>
      </c>
      <c r="F587" s="206" t="str">
        <f ca="1">OFFSET(ORÇAMENTO!R$15,ROW(F587)-ROW(F$15),0)</f>
        <v>(abra o arquivo 'Referência 05-2024.xls)</v>
      </c>
      <c r="G587" s="207" t="str">
        <f ca="1">IF($D587&lt;&gt;"Serviço","",OFFSET(ORÇAMENTO!S$15,ROW(G587)-ROW(G$15),0))</f>
        <v>-</v>
      </c>
      <c r="H587" s="151">
        <f ca="1">IF($D587&lt;&gt;"Serviço",0,IF(ACOMPANHAMENTO="BM",ROUND(OFFSET(ORÇAMENTO!AJ$15,ROW(H587)-ROW(H$15),0),15-13*ORÇAMENTO!$AF$7),SUMPRODUCT(($Q$12:$AI$12&lt;&gt;"")*ROUND($Q587:$AI587,15-13*ORÇAMENTO!$AF$7))))</f>
        <v>238.5</v>
      </c>
      <c r="I587" s="650"/>
      <c r="K587" s="208"/>
      <c r="L587" s="209" t="s">
        <v>257</v>
      </c>
      <c r="M587" s="210">
        <f ca="1">IF($D587&lt;&gt;"Serviço","",IF(AUTOEVENTO="manual",$A587,IF(ISERROR(MATCH($A587,$A$15:OFFSET($A587,-1,0),0)),MAX($M$15:OFFSET(M587,-1,0))+1,INDEX($M$15:OFFSET(M587,-1,0),MATCH($A587,$A$15:OFFSET($A587,-1,0),0)))))</f>
        <v>0</v>
      </c>
      <c r="N587" s="211" t="str">
        <f ca="1">IF($D587&lt;&gt;"Serviço","",IF(AUTOEVENTO="Manual",IF($A587=0,"&lt;-- defina o número do agrupador",OFFSET(EVENTOS!$D$14,$A587,0)),OFFSET($F$15,$A587,0)))</f>
        <v>&lt;-- defina o número do agrupador</v>
      </c>
      <c r="O587" s="212"/>
      <c r="Q587" s="212"/>
      <c r="R587" s="213"/>
      <c r="S587" s="213"/>
      <c r="T587" s="213"/>
      <c r="U587" s="213"/>
      <c r="V587" s="213"/>
      <c r="W587" s="213"/>
      <c r="X587" s="213"/>
      <c r="Y587" s="213"/>
      <c r="Z587" s="214"/>
      <c r="AA587" s="213"/>
      <c r="AB587" s="213"/>
      <c r="AC587" s="213"/>
      <c r="AD587" s="213"/>
      <c r="AE587" s="213"/>
      <c r="AF587" s="213"/>
      <c r="AG587" s="213"/>
      <c r="AH587" s="214"/>
      <c r="AJ587" s="631">
        <f ca="1">IF(AND($D587="Serviço",AJ$12&lt;&gt;0,$H587&gt;0,OR(AUTOEVENTO&lt;&gt;"manual",$M587&lt;&gt;1)),ROUND(OFFSET($P587,0,AJ$13),15-13*ORÇAMENTO!$AF$7)/$H587*OFFSET(ORÇAMENTO!$X$15,ROW(AJ587)-ROW(AJ$15),0),0)</f>
        <v>0</v>
      </c>
      <c r="AK587" s="632">
        <f ca="1">IF(AND($D587="Serviço",AK$12&lt;&gt;0,$H587&gt;0,OR(AUTOEVENTO&lt;&gt;"manual",$M587&lt;&gt;1)),ROUND(OFFSET($P587,0,AK$13),15-13*ORÇAMENTO!$AF$7)/$H587*OFFSET(ORÇAMENTO!$X$15,ROW(AK587)-ROW(AK$15),0),0)</f>
        <v>0</v>
      </c>
      <c r="AL587" s="632">
        <f ca="1">IF(AND($D587="Serviço",AL$12&lt;&gt;0,$H587&gt;0,OR(AUTOEVENTO&lt;&gt;"manual",$M587&lt;&gt;1)),ROUND(OFFSET($P587,0,AL$13),15-13*ORÇAMENTO!$AF$7)/$H587*OFFSET(ORÇAMENTO!$X$15,ROW(AL587)-ROW(AL$15),0),0)</f>
        <v>0</v>
      </c>
      <c r="AM587" s="632">
        <f ca="1">IF(AND($D587="Serviço",AM$12&lt;&gt;0,$H587&gt;0,OR(AUTOEVENTO&lt;&gt;"manual",$M587&lt;&gt;1)),ROUND(OFFSET($P587,0,AM$13),15-13*ORÇAMENTO!$AF$7)/$H587*OFFSET(ORÇAMENTO!$X$15,ROW(AM587)-ROW(AM$15),0),0)</f>
        <v>0</v>
      </c>
      <c r="AN587" s="632">
        <f ca="1">IF(AND($D587="Serviço",AN$12&lt;&gt;0,$H587&gt;0,OR(AUTOEVENTO&lt;&gt;"manual",$M587&lt;&gt;1)),ROUND(OFFSET($P587,0,AN$13),15-13*ORÇAMENTO!$AF$7)/$H587*OFFSET(ORÇAMENTO!$X$15,ROW(AN587)-ROW(AN$15),0),0)</f>
        <v>0</v>
      </c>
      <c r="AO587" s="632">
        <f ca="1">IF(AND($D587="Serviço",AO$12&lt;&gt;0,$H587&gt;0,OR(AUTOEVENTO&lt;&gt;"manual",$M587&lt;&gt;1)),ROUND(OFFSET($P587,0,AO$13),15-13*ORÇAMENTO!$AF$7)/$H587*OFFSET(ORÇAMENTO!$X$15,ROW(AO587)-ROW(AO$15),0),0)</f>
        <v>0</v>
      </c>
      <c r="AP587" s="632">
        <f ca="1">IF(AND($D587="Serviço",AP$12&lt;&gt;0,$H587&gt;0,OR(AUTOEVENTO&lt;&gt;"manual",$M587&lt;&gt;1)),ROUND(OFFSET($P587,0,AP$13),15-13*ORÇAMENTO!$AF$7)/$H587*OFFSET(ORÇAMENTO!$X$15,ROW(AP587)-ROW(AP$15),0),0)</f>
        <v>0</v>
      </c>
      <c r="AQ587" s="632">
        <f ca="1">IF(AND($D587="Serviço",AQ$12&lt;&gt;0,$H587&gt;0,OR(AUTOEVENTO&lt;&gt;"manual",$M587&lt;&gt;1)),ROUND(OFFSET($P587,0,AQ$13),15-13*ORÇAMENTO!$AF$7)/$H587*OFFSET(ORÇAMENTO!$X$15,ROW(AQ587)-ROW(AQ$15),0),0)</f>
        <v>0</v>
      </c>
      <c r="AR587" s="632">
        <f ca="1">IF(AND($D587="Serviço",AR$12&lt;&gt;0,$H587&gt;0,OR(AUTOEVENTO&lt;&gt;"manual",$M587&lt;&gt;1)),ROUND(OFFSET($P587,0,AR$13),15-13*ORÇAMENTO!$AF$7)/$H587*OFFSET(ORÇAMENTO!$X$15,ROW(AR587)-ROW(AR$15),0),0)</f>
        <v>0</v>
      </c>
      <c r="AS587" s="633">
        <f ca="1">IF(AND($D587="Serviço",AS$12&lt;&gt;0,$H587&gt;0,OR(AUTOEVENTO&lt;&gt;"manual",$M587&lt;&gt;1)),ROUND(OFFSET($P587,0,AS$13),15-13*ORÇAMENTO!$AF$7)/$H587*OFFSET(ORÇAMENTO!$X$15,ROW(AS587)-ROW(AS$15),0),0)</f>
        <v>0</v>
      </c>
      <c r="AT587" s="632">
        <f ca="1">IF(AND($D587="Serviço",AT$12&lt;&gt;0,$H587&gt;0,OR(AUTOEVENTO&lt;&gt;"manual",$M587&lt;&gt;1)),ROUND(OFFSET($P587,0,AT$13),15-13*ORÇAMENTO!$AF$7)/$H587*OFFSET(ORÇAMENTO!$X$15,ROW(AT587)-ROW(AT$15),0),0)</f>
        <v>0</v>
      </c>
      <c r="AU587" s="632">
        <f ca="1">IF(AND($D587="Serviço",AU$12&lt;&gt;0,$H587&gt;0,OR(AUTOEVENTO&lt;&gt;"manual",$M587&lt;&gt;1)),ROUND(OFFSET($P587,0,AU$13),15-13*ORÇAMENTO!$AF$7)/$H587*OFFSET(ORÇAMENTO!$X$15,ROW(AU587)-ROW(AU$15),0),0)</f>
        <v>0</v>
      </c>
      <c r="AV587" s="632">
        <f ca="1">IF(AND($D587="Serviço",AV$12&lt;&gt;0,$H587&gt;0,OR(AUTOEVENTO&lt;&gt;"manual",$M587&lt;&gt;1)),ROUND(OFFSET($P587,0,AV$13),15-13*ORÇAMENTO!$AF$7)/$H587*OFFSET(ORÇAMENTO!$X$15,ROW(AV587)-ROW(AV$15),0),0)</f>
        <v>0</v>
      </c>
      <c r="AW587" s="632">
        <f ca="1">IF(AND($D587="Serviço",AW$12&lt;&gt;0,$H587&gt;0,OR(AUTOEVENTO&lt;&gt;"manual",$M587&lt;&gt;1)),ROUND(OFFSET($P587,0,AW$13),15-13*ORÇAMENTO!$AF$7)/$H587*OFFSET(ORÇAMENTO!$X$15,ROW(AW587)-ROW(AW$15),0),0)</f>
        <v>0</v>
      </c>
      <c r="AX587" s="632">
        <f ca="1">IF(AND($D587="Serviço",AX$12&lt;&gt;0,$H587&gt;0,OR(AUTOEVENTO&lt;&gt;"manual",$M587&lt;&gt;1)),ROUND(OFFSET($P587,0,AX$13),15-13*ORÇAMENTO!$AF$7)/$H587*OFFSET(ORÇAMENTO!$X$15,ROW(AX587)-ROW(AX$15),0),0)</f>
        <v>0</v>
      </c>
      <c r="AY587" s="632">
        <f ca="1">IF(AND($D587="Serviço",AY$12&lt;&gt;0,$H587&gt;0,OR(AUTOEVENTO&lt;&gt;"manual",$M587&lt;&gt;1)),ROUND(OFFSET($P587,0,AY$13),15-13*ORÇAMENTO!$AF$7)/$H587*OFFSET(ORÇAMENTO!$X$15,ROW(AY587)-ROW(AY$15),0),0)</f>
        <v>0</v>
      </c>
      <c r="AZ587" s="632">
        <f ca="1">IF(AND($D587="Serviço",AZ$12&lt;&gt;0,$H587&gt;0,OR(AUTOEVENTO&lt;&gt;"manual",$M587&lt;&gt;1)),ROUND(OFFSET($P587,0,AZ$13),15-13*ORÇAMENTO!$AF$7)/$H587*OFFSET(ORÇAMENTO!$X$15,ROW(AZ587)-ROW(AZ$15),0),0)</f>
        <v>0</v>
      </c>
      <c r="BA587" s="633">
        <f ca="1">IF(AND($D587="Serviço",BA$12&lt;&gt;0,$H587&gt;0,OR(AUTOEVENTO&lt;&gt;"manual",$M587&lt;&gt;1)),ROUND(OFFSET($P587,0,BA$13),15-13*ORÇAMENTO!$AF$7)/$H587*OFFSET(ORÇAMENTO!$X$15,ROW(BA587)-ROW(BA$15),0),0)</f>
        <v>0</v>
      </c>
      <c r="BC587" s="215">
        <f ca="1">IF($D587&lt;&gt;"Serviço",0,IF(AND(AUTOEVENTO="Manual",$M587=1),0,IF(OFFSET(CRONOPLE!$F$14,$M587,BC$13)="",10^12,OFFSET(CRONOPLE!$F$14,$M587,BC$13))))</f>
        <v>1000000000000</v>
      </c>
      <c r="BD587" s="215">
        <f ca="1">IF($D587&lt;&gt;"Serviço",0,IF(AND(AUTOEVENTO="Manual",$M587=1),0,IF(OFFSET(CRONOPLE!$F$14,$M587,BD$13)="",10^12,OFFSET(CRONOPLE!$F$14,$M587,BD$13))))</f>
        <v>1000000000000</v>
      </c>
      <c r="BE587" s="215">
        <f ca="1">IF($D587&lt;&gt;"Serviço",0,IF(AND(AUTOEVENTO="Manual",$M587=1),0,IF(OFFSET(CRONOPLE!$F$14,$M587,BE$13)="",10^12,OFFSET(CRONOPLE!$F$14,$M587,BE$13))))</f>
        <v>1000000000000</v>
      </c>
      <c r="BF587" s="215">
        <f ca="1">IF($D587&lt;&gt;"Serviço",0,IF(AND(AUTOEVENTO="Manual",$M587=1),0,IF(OFFSET(CRONOPLE!$F$14,$M587,BF$13)="",10^12,OFFSET(CRONOPLE!$F$14,$M587,BF$13))))</f>
        <v>1000000000000</v>
      </c>
      <c r="BG587" s="215">
        <f ca="1">IF($D587&lt;&gt;"Serviço",0,IF(AND(AUTOEVENTO="Manual",$M587=1),0,IF(OFFSET(CRONOPLE!$F$14,$M587,BG$13)="",10^12,OFFSET(CRONOPLE!$F$14,$M587,BG$13))))</f>
        <v>1000000000000</v>
      </c>
      <c r="BH587" s="215">
        <f ca="1">IF($D587&lt;&gt;"Serviço",0,IF(AND(AUTOEVENTO="Manual",$M587=1),0,IF(OFFSET(CRONOPLE!$F$14,$M587,BH$13)="",10^12,OFFSET(CRONOPLE!$F$14,$M587,BH$13))))</f>
        <v>1000000000000</v>
      </c>
      <c r="BI587" s="215">
        <f ca="1">IF($D587&lt;&gt;"Serviço",0,IF(AND(AUTOEVENTO="Manual",$M587=1),0,IF(OFFSET(CRONOPLE!$F$14,$M587,BI$13)="",10^12,OFFSET(CRONOPLE!$F$14,$M587,BI$13))))</f>
        <v>1000000000000</v>
      </c>
      <c r="BJ587" s="215">
        <f ca="1">IF($D587&lt;&gt;"Serviço",0,IF(AND(AUTOEVENTO="Manual",$M587=1),0,IF(OFFSET(CRONOPLE!$F$14,$M587,BJ$13)="",10^12,OFFSET(CRONOPLE!$F$14,$M587,BJ$13))))</f>
        <v>1000000000000</v>
      </c>
      <c r="BK587" s="215">
        <f ca="1">IF($D587&lt;&gt;"Serviço",0,IF(AND(AUTOEVENTO="Manual",$M587=1),0,IF(OFFSET(CRONOPLE!$F$14,$M587,BK$13)="",10^12,OFFSET(CRONOPLE!$F$14,$M587,BK$13))))</f>
        <v>1000000000000</v>
      </c>
      <c r="BL587" s="215">
        <f ca="1">IF($D587&lt;&gt;"Serviço",0,IF(AND(AUTOEVENTO="Manual",$M587=1),0,IF(OFFSET(CRONOPLE!$F$14,$M587,BL$13)="",10^12,OFFSET(CRONOPLE!$F$14,$M587,BL$13))))</f>
        <v>1000000000000</v>
      </c>
      <c r="BM587" s="215">
        <f ca="1">IF($D587&lt;&gt;"Serviço",0,IF(AND(AUTOEVENTO="Manual",$M587=1),0,IF(OFFSET(CRONOPLE!$F$14,$M587,BM$13)="",10^12,OFFSET(CRONOPLE!$F$14,$M587,BM$13))))</f>
        <v>1000000000000</v>
      </c>
      <c r="BN587" s="215">
        <f ca="1">IF($D587&lt;&gt;"Serviço",0,IF(AND(AUTOEVENTO="Manual",$M587=1),0,IF(OFFSET(CRONOPLE!$F$14,$M587,BN$13)="",10^12,OFFSET(CRONOPLE!$F$14,$M587,BN$13))))</f>
        <v>1000000000000</v>
      </c>
      <c r="BO587" s="215">
        <f ca="1">IF($D587&lt;&gt;"Serviço",0,IF(AND(AUTOEVENTO="Manual",$M587=1),0,IF(OFFSET(CRONOPLE!$F$14,$M587,BO$13)="",10^12,OFFSET(CRONOPLE!$F$14,$M587,BO$13))))</f>
        <v>1000000000000</v>
      </c>
      <c r="BP587" s="215">
        <f ca="1">IF($D587&lt;&gt;"Serviço",0,IF(AND(AUTOEVENTO="Manual",$M587=1),0,IF(OFFSET(CRONOPLE!$F$14,$M587,BP$13)="",10^12,OFFSET(CRONOPLE!$F$14,$M587,BP$13))))</f>
        <v>1000000000000</v>
      </c>
      <c r="BQ587" s="215">
        <f ca="1">IF($D587&lt;&gt;"Serviço",0,IF(AND(AUTOEVENTO="Manual",$M587=1),0,IF(OFFSET(CRONOPLE!$F$14,$M587,BQ$13)="",10^12,OFFSET(CRONOPLE!$F$14,$M587,BQ$13))))</f>
        <v>1000000000000</v>
      </c>
      <c r="BR587" s="215">
        <f ca="1">IF($D587&lt;&gt;"Serviço",0,IF(AND(AUTOEVENTO="Manual",$M587=1),0,IF(OFFSET(CRONOPLE!$F$14,$M587,BR$13)="",10^12,OFFSET(CRONOPLE!$F$14,$M587,BR$13))))</f>
        <v>1000000000000</v>
      </c>
      <c r="BS587" s="215">
        <f ca="1">IF($D587&lt;&gt;"Serviço",0,IF(AND(AUTOEVENTO="Manual",$M587=1),0,IF(OFFSET(CRONOPLE!$F$14,$M587,BS$13)="",10^12,OFFSET(CRONOPLE!$F$14,$M587,BS$13))))</f>
        <v>1000000000000</v>
      </c>
      <c r="BT587" s="215">
        <f ca="1">IF($D587&lt;&gt;"Serviço",0,IF(AND(AUTOEVENTO="Manual",$M587=1),0,IF(OFFSET(CRONOPLE!$F$14,$M587,BT$13)="",10^12,OFFSET(CRONOPLE!$F$14,$M587,BT$13))))</f>
        <v>1000000000000</v>
      </c>
      <c r="BV587" s="216">
        <f ca="1">IF($D587&lt;&gt;"Serviço",0,IF(OR(AND(AUTOEVENTO="Manual",$M587=1),$M587&gt;(ROW(PLE.lastrow)-ROW(PLE.firstrow))),0,IF(OFFSET(PLE!$G$14,$M587,BV$13)="",10^12,OFFSET(PLE!$G$14,$M587,BV$13))))</f>
        <v>1000000000000</v>
      </c>
      <c r="BW587" s="216">
        <f ca="1">IF($D587&lt;&gt;"Serviço",0,IF(OR(AND(AUTOEVENTO="Manual",$M587=1),$M587&gt;(ROW(PLE.lastrow)-ROW(PLE.firstrow))),0,IF(OFFSET(PLE!$G$14,$M587,BW$13)="",10^12,OFFSET(PLE!$G$14,$M587,BW$13))))</f>
        <v>1000000000000</v>
      </c>
      <c r="BX587" s="216">
        <f ca="1">IF($D587&lt;&gt;"Serviço",0,IF(OR(AND(AUTOEVENTO="Manual",$M587=1),$M587&gt;(ROW(PLE.lastrow)-ROW(PLE.firstrow))),0,IF(OFFSET(PLE!$G$14,$M587,BX$13)="",10^12,OFFSET(PLE!$G$14,$M587,BX$13))))</f>
        <v>1000000000000</v>
      </c>
      <c r="BY587" s="216">
        <f ca="1">IF($D587&lt;&gt;"Serviço",0,IF(OR(AND(AUTOEVENTO="Manual",$M587=1),$M587&gt;(ROW(PLE.lastrow)-ROW(PLE.firstrow))),0,IF(OFFSET(PLE!$G$14,$M587,BY$13)="",10^12,OFFSET(PLE!$G$14,$M587,BY$13))))</f>
        <v>1000000000000</v>
      </c>
      <c r="BZ587" s="216">
        <f ca="1">IF($D587&lt;&gt;"Serviço",0,IF(OR(AND(AUTOEVENTO="Manual",$M587=1),$M587&gt;(ROW(PLE.lastrow)-ROW(PLE.firstrow))),0,IF(OFFSET(PLE!$G$14,$M587,BZ$13)="",10^12,OFFSET(PLE!$G$14,$M587,BZ$13))))</f>
        <v>1000000000000</v>
      </c>
      <c r="CA587" s="216">
        <f ca="1">IF($D587&lt;&gt;"Serviço",0,IF(OR(AND(AUTOEVENTO="Manual",$M587=1),$M587&gt;(ROW(PLE.lastrow)-ROW(PLE.firstrow))),0,IF(OFFSET(PLE!$G$14,$M587,CA$13)="",10^12,OFFSET(PLE!$G$14,$M587,CA$13))))</f>
        <v>1000000000000</v>
      </c>
      <c r="CB587" s="216">
        <f ca="1">IF($D587&lt;&gt;"Serviço",0,IF(OR(AND(AUTOEVENTO="Manual",$M587=1),$M587&gt;(ROW(PLE.lastrow)-ROW(PLE.firstrow))),0,IF(OFFSET(PLE!$G$14,$M587,CB$13)="",10^12,OFFSET(PLE!$G$14,$M587,CB$13))))</f>
        <v>1000000000000</v>
      </c>
      <c r="CC587" s="216">
        <f ca="1">IF($D587&lt;&gt;"Serviço",0,IF(OR(AND(AUTOEVENTO="Manual",$M587=1),$M587&gt;(ROW(PLE.lastrow)-ROW(PLE.firstrow))),0,IF(OFFSET(PLE!$G$14,$M587,CC$13)="",10^12,OFFSET(PLE!$G$14,$M587,CC$13))))</f>
        <v>1000000000000</v>
      </c>
      <c r="CD587" s="216">
        <f ca="1">IF($D587&lt;&gt;"Serviço",0,IF(OR(AND(AUTOEVENTO="Manual",$M587=1),$M587&gt;(ROW(PLE.lastrow)-ROW(PLE.firstrow))),0,IF(OFFSET(PLE!$G$14,$M587,CD$13)="",10^12,OFFSET(PLE!$G$14,$M587,CD$13))))</f>
        <v>1000000000000</v>
      </c>
      <c r="CE587" s="216">
        <f ca="1">IF($D587&lt;&gt;"Serviço",0,IF(OR(AND(AUTOEVENTO="Manual",$M587=1),$M587&gt;(ROW(PLE.lastrow)-ROW(PLE.firstrow))),0,IF(OFFSET(PLE!$G$14,$M587,CE$13)="",10^12,OFFSET(PLE!$G$14,$M587,CE$13))))</f>
        <v>1000000000000</v>
      </c>
      <c r="CF587" s="216">
        <f ca="1">IF($D587&lt;&gt;"Serviço",0,IF(OR(AND(AUTOEVENTO="Manual",$M587=1),$M587&gt;(ROW(PLE.lastrow)-ROW(PLE.firstrow))),0,IF(OFFSET(PLE!$G$14,$M587,CF$13)="",10^12,OFFSET(PLE!$G$14,$M587,CF$13))))</f>
        <v>1000000000000</v>
      </c>
      <c r="CG587" s="216">
        <f ca="1">IF($D587&lt;&gt;"Serviço",0,IF(OR(AND(AUTOEVENTO="Manual",$M587=1),$M587&gt;(ROW(PLE.lastrow)-ROW(PLE.firstrow))),0,IF(OFFSET(PLE!$G$14,$M587,CG$13)="",10^12,OFFSET(PLE!$G$14,$M587,CG$13))))</f>
        <v>1000000000000</v>
      </c>
      <c r="CH587" s="216">
        <f ca="1">IF($D587&lt;&gt;"Serviço",0,IF(OR(AND(AUTOEVENTO="Manual",$M587=1),$M587&gt;(ROW(PLE.lastrow)-ROW(PLE.firstrow))),0,IF(OFFSET(PLE!$G$14,$M587,CH$13)="",10^12,OFFSET(PLE!$G$14,$M587,CH$13))))</f>
        <v>1000000000000</v>
      </c>
      <c r="CI587" s="216">
        <f ca="1">IF($D587&lt;&gt;"Serviço",0,IF(OR(AND(AUTOEVENTO="Manual",$M587=1),$M587&gt;(ROW(PLE.lastrow)-ROW(PLE.firstrow))),0,IF(OFFSET(PLE!$G$14,$M587,CI$13)="",10^12,OFFSET(PLE!$G$14,$M587,CI$13))))</f>
        <v>1000000000000</v>
      </c>
      <c r="CJ587" s="216">
        <f ca="1">IF($D587&lt;&gt;"Serviço",0,IF(OR(AND(AUTOEVENTO="Manual",$M587=1),$M587&gt;(ROW(PLE.lastrow)-ROW(PLE.firstrow))),0,IF(OFFSET(PLE!$G$14,$M587,CJ$13)="",10^12,OFFSET(PLE!$G$14,$M587,CJ$13))))</f>
        <v>1000000000000</v>
      </c>
      <c r="CK587" s="216">
        <f ca="1">IF($D587&lt;&gt;"Serviço",0,IF(OR(AND(AUTOEVENTO="Manual",$M587=1),$M587&gt;(ROW(PLE.lastrow)-ROW(PLE.firstrow))),0,IF(OFFSET(PLE!$G$14,$M587,CK$13)="",10^12,OFFSET(PLE!$G$14,$M587,CK$13))))</f>
        <v>1000000000000</v>
      </c>
      <c r="CL587" s="216">
        <f ca="1">IF($D587&lt;&gt;"Serviço",0,IF(OR(AND(AUTOEVENTO="Manual",$M587=1),$M587&gt;(ROW(PLE.lastrow)-ROW(PLE.firstrow))),0,IF(OFFSET(PLE!$G$14,$M587,CL$13)="",10^12,OFFSET(PLE!$G$14,$M587,CL$13))))</f>
        <v>1000000000000</v>
      </c>
      <c r="CM587" s="216">
        <f ca="1">IF($D587&lt;&gt;"Serviço",0,IF(OR(AND(AUTOEVENTO="Manual",$M587=1),$M587&gt;(ROW(PLE.lastrow)-ROW(PLE.firstrow))),0,IF(OFFSET(PLE!$G$14,$M587,CM$13)="",10^12,OFFSET(PLE!$G$14,$M587,CM$13))))</f>
        <v>1000000000000</v>
      </c>
    </row>
    <row r="588" spans="1:91" ht="13.2" x14ac:dyDescent="0.25">
      <c r="A588" s="9">
        <f t="shared" ca="1" si="17"/>
        <v>0</v>
      </c>
      <c r="B588" s="9" t="str">
        <f ca="1">OFFSET(ORÇAMENTO!C$15,ROW(B588)-ROW(B$15),0)</f>
        <v>S</v>
      </c>
      <c r="C588" s="9" t="str">
        <f ca="1">OFFSET(ORÇAMENTO!L$15,ROW(C588)-ROW(C$15),0)</f>
        <v/>
      </c>
      <c r="D588" s="145" t="str">
        <f ca="1">OFFSET(ORÇAMENTO!N$15,ROW(D588)-ROW(D$15),0)</f>
        <v>Serviço</v>
      </c>
      <c r="E588" s="205" t="str">
        <f ca="1">OFFSET(ORÇAMENTO!O$15,ROW(E588)-ROW(E$15),0)</f>
        <v>-</v>
      </c>
      <c r="F588" s="206" t="str">
        <f ca="1">OFFSET(ORÇAMENTO!R$15,ROW(F588)-ROW(F$15),0)</f>
        <v>(abra o arquivo 'Referência 05-2024.xls)</v>
      </c>
      <c r="G588" s="207" t="str">
        <f ca="1">IF($D588&lt;&gt;"Serviço","",OFFSET(ORÇAMENTO!S$15,ROW(G588)-ROW(G$15),0))</f>
        <v>-</v>
      </c>
      <c r="H588" s="151">
        <f ca="1">IF($D588&lt;&gt;"Serviço",0,IF(ACOMPANHAMENTO="BM",ROUND(OFFSET(ORÇAMENTO!AJ$15,ROW(H588)-ROW(H$15),0),15-13*ORÇAMENTO!$AF$7),SUMPRODUCT(($Q$12:$AI$12&lt;&gt;"")*ROUND($Q588:$AI588,15-13*ORÇAMENTO!$AF$7))))</f>
        <v>97.5</v>
      </c>
      <c r="I588" s="650"/>
      <c r="K588" s="208"/>
      <c r="L588" s="209" t="s">
        <v>257</v>
      </c>
      <c r="M588" s="210">
        <f ca="1">IF($D588&lt;&gt;"Serviço","",IF(AUTOEVENTO="manual",$A588,IF(ISERROR(MATCH($A588,$A$15:OFFSET($A588,-1,0),0)),MAX($M$15:OFFSET(M588,-1,0))+1,INDEX($M$15:OFFSET(M588,-1,0),MATCH($A588,$A$15:OFFSET($A588,-1,0),0)))))</f>
        <v>0</v>
      </c>
      <c r="N588" s="211" t="str">
        <f ca="1">IF($D588&lt;&gt;"Serviço","",IF(AUTOEVENTO="Manual",IF($A588=0,"&lt;-- defina o número do agrupador",OFFSET(EVENTOS!$D$14,$A588,0)),OFFSET($F$15,$A588,0)))</f>
        <v>&lt;-- defina o número do agrupador</v>
      </c>
      <c r="O588" s="212"/>
      <c r="Q588" s="212"/>
      <c r="R588" s="213"/>
      <c r="S588" s="213"/>
      <c r="T588" s="213"/>
      <c r="U588" s="213"/>
      <c r="V588" s="213"/>
      <c r="W588" s="213"/>
      <c r="X588" s="213"/>
      <c r="Y588" s="213"/>
      <c r="Z588" s="214"/>
      <c r="AA588" s="213"/>
      <c r="AB588" s="213"/>
      <c r="AC588" s="213"/>
      <c r="AD588" s="213"/>
      <c r="AE588" s="213"/>
      <c r="AF588" s="213"/>
      <c r="AG588" s="213"/>
      <c r="AH588" s="214"/>
      <c r="AJ588" s="631">
        <f ca="1">IF(AND($D588="Serviço",AJ$12&lt;&gt;0,$H588&gt;0,OR(AUTOEVENTO&lt;&gt;"manual",$M588&lt;&gt;1)),ROUND(OFFSET($P588,0,AJ$13),15-13*ORÇAMENTO!$AF$7)/$H588*OFFSET(ORÇAMENTO!$X$15,ROW(AJ588)-ROW(AJ$15),0),0)</f>
        <v>0</v>
      </c>
      <c r="AK588" s="632">
        <f ca="1">IF(AND($D588="Serviço",AK$12&lt;&gt;0,$H588&gt;0,OR(AUTOEVENTO&lt;&gt;"manual",$M588&lt;&gt;1)),ROUND(OFFSET($P588,0,AK$13),15-13*ORÇAMENTO!$AF$7)/$H588*OFFSET(ORÇAMENTO!$X$15,ROW(AK588)-ROW(AK$15),0),0)</f>
        <v>0</v>
      </c>
      <c r="AL588" s="632">
        <f ca="1">IF(AND($D588="Serviço",AL$12&lt;&gt;0,$H588&gt;0,OR(AUTOEVENTO&lt;&gt;"manual",$M588&lt;&gt;1)),ROUND(OFFSET($P588,0,AL$13),15-13*ORÇAMENTO!$AF$7)/$H588*OFFSET(ORÇAMENTO!$X$15,ROW(AL588)-ROW(AL$15),0),0)</f>
        <v>0</v>
      </c>
      <c r="AM588" s="632">
        <f ca="1">IF(AND($D588="Serviço",AM$12&lt;&gt;0,$H588&gt;0,OR(AUTOEVENTO&lt;&gt;"manual",$M588&lt;&gt;1)),ROUND(OFFSET($P588,0,AM$13),15-13*ORÇAMENTO!$AF$7)/$H588*OFFSET(ORÇAMENTO!$X$15,ROW(AM588)-ROW(AM$15),0),0)</f>
        <v>0</v>
      </c>
      <c r="AN588" s="632">
        <f ca="1">IF(AND($D588="Serviço",AN$12&lt;&gt;0,$H588&gt;0,OR(AUTOEVENTO&lt;&gt;"manual",$M588&lt;&gt;1)),ROUND(OFFSET($P588,0,AN$13),15-13*ORÇAMENTO!$AF$7)/$H588*OFFSET(ORÇAMENTO!$X$15,ROW(AN588)-ROW(AN$15),0),0)</f>
        <v>0</v>
      </c>
      <c r="AO588" s="632">
        <f ca="1">IF(AND($D588="Serviço",AO$12&lt;&gt;0,$H588&gt;0,OR(AUTOEVENTO&lt;&gt;"manual",$M588&lt;&gt;1)),ROUND(OFFSET($P588,0,AO$13),15-13*ORÇAMENTO!$AF$7)/$H588*OFFSET(ORÇAMENTO!$X$15,ROW(AO588)-ROW(AO$15),0),0)</f>
        <v>0</v>
      </c>
      <c r="AP588" s="632">
        <f ca="1">IF(AND($D588="Serviço",AP$12&lt;&gt;0,$H588&gt;0,OR(AUTOEVENTO&lt;&gt;"manual",$M588&lt;&gt;1)),ROUND(OFFSET($P588,0,AP$13),15-13*ORÇAMENTO!$AF$7)/$H588*OFFSET(ORÇAMENTO!$X$15,ROW(AP588)-ROW(AP$15),0),0)</f>
        <v>0</v>
      </c>
      <c r="AQ588" s="632">
        <f ca="1">IF(AND($D588="Serviço",AQ$12&lt;&gt;0,$H588&gt;0,OR(AUTOEVENTO&lt;&gt;"manual",$M588&lt;&gt;1)),ROUND(OFFSET($P588,0,AQ$13),15-13*ORÇAMENTO!$AF$7)/$H588*OFFSET(ORÇAMENTO!$X$15,ROW(AQ588)-ROW(AQ$15),0),0)</f>
        <v>0</v>
      </c>
      <c r="AR588" s="632">
        <f ca="1">IF(AND($D588="Serviço",AR$12&lt;&gt;0,$H588&gt;0,OR(AUTOEVENTO&lt;&gt;"manual",$M588&lt;&gt;1)),ROUND(OFFSET($P588,0,AR$13),15-13*ORÇAMENTO!$AF$7)/$H588*OFFSET(ORÇAMENTO!$X$15,ROW(AR588)-ROW(AR$15),0),0)</f>
        <v>0</v>
      </c>
      <c r="AS588" s="633">
        <f ca="1">IF(AND($D588="Serviço",AS$12&lt;&gt;0,$H588&gt;0,OR(AUTOEVENTO&lt;&gt;"manual",$M588&lt;&gt;1)),ROUND(OFFSET($P588,0,AS$13),15-13*ORÇAMENTO!$AF$7)/$H588*OFFSET(ORÇAMENTO!$X$15,ROW(AS588)-ROW(AS$15),0),0)</f>
        <v>0</v>
      </c>
      <c r="AT588" s="632">
        <f ca="1">IF(AND($D588="Serviço",AT$12&lt;&gt;0,$H588&gt;0,OR(AUTOEVENTO&lt;&gt;"manual",$M588&lt;&gt;1)),ROUND(OFFSET($P588,0,AT$13),15-13*ORÇAMENTO!$AF$7)/$H588*OFFSET(ORÇAMENTO!$X$15,ROW(AT588)-ROW(AT$15),0),0)</f>
        <v>0</v>
      </c>
      <c r="AU588" s="632">
        <f ca="1">IF(AND($D588="Serviço",AU$12&lt;&gt;0,$H588&gt;0,OR(AUTOEVENTO&lt;&gt;"manual",$M588&lt;&gt;1)),ROUND(OFFSET($P588,0,AU$13),15-13*ORÇAMENTO!$AF$7)/$H588*OFFSET(ORÇAMENTO!$X$15,ROW(AU588)-ROW(AU$15),0),0)</f>
        <v>0</v>
      </c>
      <c r="AV588" s="632">
        <f ca="1">IF(AND($D588="Serviço",AV$12&lt;&gt;0,$H588&gt;0,OR(AUTOEVENTO&lt;&gt;"manual",$M588&lt;&gt;1)),ROUND(OFFSET($P588,0,AV$13),15-13*ORÇAMENTO!$AF$7)/$H588*OFFSET(ORÇAMENTO!$X$15,ROW(AV588)-ROW(AV$15),0),0)</f>
        <v>0</v>
      </c>
      <c r="AW588" s="632">
        <f ca="1">IF(AND($D588="Serviço",AW$12&lt;&gt;0,$H588&gt;0,OR(AUTOEVENTO&lt;&gt;"manual",$M588&lt;&gt;1)),ROUND(OFFSET($P588,0,AW$13),15-13*ORÇAMENTO!$AF$7)/$H588*OFFSET(ORÇAMENTO!$X$15,ROW(AW588)-ROW(AW$15),0),0)</f>
        <v>0</v>
      </c>
      <c r="AX588" s="632">
        <f ca="1">IF(AND($D588="Serviço",AX$12&lt;&gt;0,$H588&gt;0,OR(AUTOEVENTO&lt;&gt;"manual",$M588&lt;&gt;1)),ROUND(OFFSET($P588,0,AX$13),15-13*ORÇAMENTO!$AF$7)/$H588*OFFSET(ORÇAMENTO!$X$15,ROW(AX588)-ROW(AX$15),0),0)</f>
        <v>0</v>
      </c>
      <c r="AY588" s="632">
        <f ca="1">IF(AND($D588="Serviço",AY$12&lt;&gt;0,$H588&gt;0,OR(AUTOEVENTO&lt;&gt;"manual",$M588&lt;&gt;1)),ROUND(OFFSET($P588,0,AY$13),15-13*ORÇAMENTO!$AF$7)/$H588*OFFSET(ORÇAMENTO!$X$15,ROW(AY588)-ROW(AY$15),0),0)</f>
        <v>0</v>
      </c>
      <c r="AZ588" s="632">
        <f ca="1">IF(AND($D588="Serviço",AZ$12&lt;&gt;0,$H588&gt;0,OR(AUTOEVENTO&lt;&gt;"manual",$M588&lt;&gt;1)),ROUND(OFFSET($P588,0,AZ$13),15-13*ORÇAMENTO!$AF$7)/$H588*OFFSET(ORÇAMENTO!$X$15,ROW(AZ588)-ROW(AZ$15),0),0)</f>
        <v>0</v>
      </c>
      <c r="BA588" s="633">
        <f ca="1">IF(AND($D588="Serviço",BA$12&lt;&gt;0,$H588&gt;0,OR(AUTOEVENTO&lt;&gt;"manual",$M588&lt;&gt;1)),ROUND(OFFSET($P588,0,BA$13),15-13*ORÇAMENTO!$AF$7)/$H588*OFFSET(ORÇAMENTO!$X$15,ROW(BA588)-ROW(BA$15),0),0)</f>
        <v>0</v>
      </c>
      <c r="BC588" s="215">
        <f ca="1">IF($D588&lt;&gt;"Serviço",0,IF(AND(AUTOEVENTO="Manual",$M588=1),0,IF(OFFSET(CRONOPLE!$F$14,$M588,BC$13)="",10^12,OFFSET(CRONOPLE!$F$14,$M588,BC$13))))</f>
        <v>1000000000000</v>
      </c>
      <c r="BD588" s="215">
        <f ca="1">IF($D588&lt;&gt;"Serviço",0,IF(AND(AUTOEVENTO="Manual",$M588=1),0,IF(OFFSET(CRONOPLE!$F$14,$M588,BD$13)="",10^12,OFFSET(CRONOPLE!$F$14,$M588,BD$13))))</f>
        <v>1000000000000</v>
      </c>
      <c r="BE588" s="215">
        <f ca="1">IF($D588&lt;&gt;"Serviço",0,IF(AND(AUTOEVENTO="Manual",$M588=1),0,IF(OFFSET(CRONOPLE!$F$14,$M588,BE$13)="",10^12,OFFSET(CRONOPLE!$F$14,$M588,BE$13))))</f>
        <v>1000000000000</v>
      </c>
      <c r="BF588" s="215">
        <f ca="1">IF($D588&lt;&gt;"Serviço",0,IF(AND(AUTOEVENTO="Manual",$M588=1),0,IF(OFFSET(CRONOPLE!$F$14,$M588,BF$13)="",10^12,OFFSET(CRONOPLE!$F$14,$M588,BF$13))))</f>
        <v>1000000000000</v>
      </c>
      <c r="BG588" s="215">
        <f ca="1">IF($D588&lt;&gt;"Serviço",0,IF(AND(AUTOEVENTO="Manual",$M588=1),0,IF(OFFSET(CRONOPLE!$F$14,$M588,BG$13)="",10^12,OFFSET(CRONOPLE!$F$14,$M588,BG$13))))</f>
        <v>1000000000000</v>
      </c>
      <c r="BH588" s="215">
        <f ca="1">IF($D588&lt;&gt;"Serviço",0,IF(AND(AUTOEVENTO="Manual",$M588=1),0,IF(OFFSET(CRONOPLE!$F$14,$M588,BH$13)="",10^12,OFFSET(CRONOPLE!$F$14,$M588,BH$13))))</f>
        <v>1000000000000</v>
      </c>
      <c r="BI588" s="215">
        <f ca="1">IF($D588&lt;&gt;"Serviço",0,IF(AND(AUTOEVENTO="Manual",$M588=1),0,IF(OFFSET(CRONOPLE!$F$14,$M588,BI$13)="",10^12,OFFSET(CRONOPLE!$F$14,$M588,BI$13))))</f>
        <v>1000000000000</v>
      </c>
      <c r="BJ588" s="215">
        <f ca="1">IF($D588&lt;&gt;"Serviço",0,IF(AND(AUTOEVENTO="Manual",$M588=1),0,IF(OFFSET(CRONOPLE!$F$14,$M588,BJ$13)="",10^12,OFFSET(CRONOPLE!$F$14,$M588,BJ$13))))</f>
        <v>1000000000000</v>
      </c>
      <c r="BK588" s="215">
        <f ca="1">IF($D588&lt;&gt;"Serviço",0,IF(AND(AUTOEVENTO="Manual",$M588=1),0,IF(OFFSET(CRONOPLE!$F$14,$M588,BK$13)="",10^12,OFFSET(CRONOPLE!$F$14,$M588,BK$13))))</f>
        <v>1000000000000</v>
      </c>
      <c r="BL588" s="215">
        <f ca="1">IF($D588&lt;&gt;"Serviço",0,IF(AND(AUTOEVENTO="Manual",$M588=1),0,IF(OFFSET(CRONOPLE!$F$14,$M588,BL$13)="",10^12,OFFSET(CRONOPLE!$F$14,$M588,BL$13))))</f>
        <v>1000000000000</v>
      </c>
      <c r="BM588" s="215">
        <f ca="1">IF($D588&lt;&gt;"Serviço",0,IF(AND(AUTOEVENTO="Manual",$M588=1),0,IF(OFFSET(CRONOPLE!$F$14,$M588,BM$13)="",10^12,OFFSET(CRONOPLE!$F$14,$M588,BM$13))))</f>
        <v>1000000000000</v>
      </c>
      <c r="BN588" s="215">
        <f ca="1">IF($D588&lt;&gt;"Serviço",0,IF(AND(AUTOEVENTO="Manual",$M588=1),0,IF(OFFSET(CRONOPLE!$F$14,$M588,BN$13)="",10^12,OFFSET(CRONOPLE!$F$14,$M588,BN$13))))</f>
        <v>1000000000000</v>
      </c>
      <c r="BO588" s="215">
        <f ca="1">IF($D588&lt;&gt;"Serviço",0,IF(AND(AUTOEVENTO="Manual",$M588=1),0,IF(OFFSET(CRONOPLE!$F$14,$M588,BO$13)="",10^12,OFFSET(CRONOPLE!$F$14,$M588,BO$13))))</f>
        <v>1000000000000</v>
      </c>
      <c r="BP588" s="215">
        <f ca="1">IF($D588&lt;&gt;"Serviço",0,IF(AND(AUTOEVENTO="Manual",$M588=1),0,IF(OFFSET(CRONOPLE!$F$14,$M588,BP$13)="",10^12,OFFSET(CRONOPLE!$F$14,$M588,BP$13))))</f>
        <v>1000000000000</v>
      </c>
      <c r="BQ588" s="215">
        <f ca="1">IF($D588&lt;&gt;"Serviço",0,IF(AND(AUTOEVENTO="Manual",$M588=1),0,IF(OFFSET(CRONOPLE!$F$14,$M588,BQ$13)="",10^12,OFFSET(CRONOPLE!$F$14,$M588,BQ$13))))</f>
        <v>1000000000000</v>
      </c>
      <c r="BR588" s="215">
        <f ca="1">IF($D588&lt;&gt;"Serviço",0,IF(AND(AUTOEVENTO="Manual",$M588=1),0,IF(OFFSET(CRONOPLE!$F$14,$M588,BR$13)="",10^12,OFFSET(CRONOPLE!$F$14,$M588,BR$13))))</f>
        <v>1000000000000</v>
      </c>
      <c r="BS588" s="215">
        <f ca="1">IF($D588&lt;&gt;"Serviço",0,IF(AND(AUTOEVENTO="Manual",$M588=1),0,IF(OFFSET(CRONOPLE!$F$14,$M588,BS$13)="",10^12,OFFSET(CRONOPLE!$F$14,$M588,BS$13))))</f>
        <v>1000000000000</v>
      </c>
      <c r="BT588" s="215">
        <f ca="1">IF($D588&lt;&gt;"Serviço",0,IF(AND(AUTOEVENTO="Manual",$M588=1),0,IF(OFFSET(CRONOPLE!$F$14,$M588,BT$13)="",10^12,OFFSET(CRONOPLE!$F$14,$M588,BT$13))))</f>
        <v>1000000000000</v>
      </c>
      <c r="BV588" s="216">
        <f ca="1">IF($D588&lt;&gt;"Serviço",0,IF(OR(AND(AUTOEVENTO="Manual",$M588=1),$M588&gt;(ROW(PLE.lastrow)-ROW(PLE.firstrow))),0,IF(OFFSET(PLE!$G$14,$M588,BV$13)="",10^12,OFFSET(PLE!$G$14,$M588,BV$13))))</f>
        <v>1000000000000</v>
      </c>
      <c r="BW588" s="216">
        <f ca="1">IF($D588&lt;&gt;"Serviço",0,IF(OR(AND(AUTOEVENTO="Manual",$M588=1),$M588&gt;(ROW(PLE.lastrow)-ROW(PLE.firstrow))),0,IF(OFFSET(PLE!$G$14,$M588,BW$13)="",10^12,OFFSET(PLE!$G$14,$M588,BW$13))))</f>
        <v>1000000000000</v>
      </c>
      <c r="BX588" s="216">
        <f ca="1">IF($D588&lt;&gt;"Serviço",0,IF(OR(AND(AUTOEVENTO="Manual",$M588=1),$M588&gt;(ROW(PLE.lastrow)-ROW(PLE.firstrow))),0,IF(OFFSET(PLE!$G$14,$M588,BX$13)="",10^12,OFFSET(PLE!$G$14,$M588,BX$13))))</f>
        <v>1000000000000</v>
      </c>
      <c r="BY588" s="216">
        <f ca="1">IF($D588&lt;&gt;"Serviço",0,IF(OR(AND(AUTOEVENTO="Manual",$M588=1),$M588&gt;(ROW(PLE.lastrow)-ROW(PLE.firstrow))),0,IF(OFFSET(PLE!$G$14,$M588,BY$13)="",10^12,OFFSET(PLE!$G$14,$M588,BY$13))))</f>
        <v>1000000000000</v>
      </c>
      <c r="BZ588" s="216">
        <f ca="1">IF($D588&lt;&gt;"Serviço",0,IF(OR(AND(AUTOEVENTO="Manual",$M588=1),$M588&gt;(ROW(PLE.lastrow)-ROW(PLE.firstrow))),0,IF(OFFSET(PLE!$G$14,$M588,BZ$13)="",10^12,OFFSET(PLE!$G$14,$M588,BZ$13))))</f>
        <v>1000000000000</v>
      </c>
      <c r="CA588" s="216">
        <f ca="1">IF($D588&lt;&gt;"Serviço",0,IF(OR(AND(AUTOEVENTO="Manual",$M588=1),$M588&gt;(ROW(PLE.lastrow)-ROW(PLE.firstrow))),0,IF(OFFSET(PLE!$G$14,$M588,CA$13)="",10^12,OFFSET(PLE!$G$14,$M588,CA$13))))</f>
        <v>1000000000000</v>
      </c>
      <c r="CB588" s="216">
        <f ca="1">IF($D588&lt;&gt;"Serviço",0,IF(OR(AND(AUTOEVENTO="Manual",$M588=1),$M588&gt;(ROW(PLE.lastrow)-ROW(PLE.firstrow))),0,IF(OFFSET(PLE!$G$14,$M588,CB$13)="",10^12,OFFSET(PLE!$G$14,$M588,CB$13))))</f>
        <v>1000000000000</v>
      </c>
      <c r="CC588" s="216">
        <f ca="1">IF($D588&lt;&gt;"Serviço",0,IF(OR(AND(AUTOEVENTO="Manual",$M588=1),$M588&gt;(ROW(PLE.lastrow)-ROW(PLE.firstrow))),0,IF(OFFSET(PLE!$G$14,$M588,CC$13)="",10^12,OFFSET(PLE!$G$14,$M588,CC$13))))</f>
        <v>1000000000000</v>
      </c>
      <c r="CD588" s="216">
        <f ca="1">IF($D588&lt;&gt;"Serviço",0,IF(OR(AND(AUTOEVENTO="Manual",$M588=1),$M588&gt;(ROW(PLE.lastrow)-ROW(PLE.firstrow))),0,IF(OFFSET(PLE!$G$14,$M588,CD$13)="",10^12,OFFSET(PLE!$G$14,$M588,CD$13))))</f>
        <v>1000000000000</v>
      </c>
      <c r="CE588" s="216">
        <f ca="1">IF($D588&lt;&gt;"Serviço",0,IF(OR(AND(AUTOEVENTO="Manual",$M588=1),$M588&gt;(ROW(PLE.lastrow)-ROW(PLE.firstrow))),0,IF(OFFSET(PLE!$G$14,$M588,CE$13)="",10^12,OFFSET(PLE!$G$14,$M588,CE$13))))</f>
        <v>1000000000000</v>
      </c>
      <c r="CF588" s="216">
        <f ca="1">IF($D588&lt;&gt;"Serviço",0,IF(OR(AND(AUTOEVENTO="Manual",$M588=1),$M588&gt;(ROW(PLE.lastrow)-ROW(PLE.firstrow))),0,IF(OFFSET(PLE!$G$14,$M588,CF$13)="",10^12,OFFSET(PLE!$G$14,$M588,CF$13))))</f>
        <v>1000000000000</v>
      </c>
      <c r="CG588" s="216">
        <f ca="1">IF($D588&lt;&gt;"Serviço",0,IF(OR(AND(AUTOEVENTO="Manual",$M588=1),$M588&gt;(ROW(PLE.lastrow)-ROW(PLE.firstrow))),0,IF(OFFSET(PLE!$G$14,$M588,CG$13)="",10^12,OFFSET(PLE!$G$14,$M588,CG$13))))</f>
        <v>1000000000000</v>
      </c>
      <c r="CH588" s="216">
        <f ca="1">IF($D588&lt;&gt;"Serviço",0,IF(OR(AND(AUTOEVENTO="Manual",$M588=1),$M588&gt;(ROW(PLE.lastrow)-ROW(PLE.firstrow))),0,IF(OFFSET(PLE!$G$14,$M588,CH$13)="",10^12,OFFSET(PLE!$G$14,$M588,CH$13))))</f>
        <v>1000000000000</v>
      </c>
      <c r="CI588" s="216">
        <f ca="1">IF($D588&lt;&gt;"Serviço",0,IF(OR(AND(AUTOEVENTO="Manual",$M588=1),$M588&gt;(ROW(PLE.lastrow)-ROW(PLE.firstrow))),0,IF(OFFSET(PLE!$G$14,$M588,CI$13)="",10^12,OFFSET(PLE!$G$14,$M588,CI$13))))</f>
        <v>1000000000000</v>
      </c>
      <c r="CJ588" s="216">
        <f ca="1">IF($D588&lt;&gt;"Serviço",0,IF(OR(AND(AUTOEVENTO="Manual",$M588=1),$M588&gt;(ROW(PLE.lastrow)-ROW(PLE.firstrow))),0,IF(OFFSET(PLE!$G$14,$M588,CJ$13)="",10^12,OFFSET(PLE!$G$14,$M588,CJ$13))))</f>
        <v>1000000000000</v>
      </c>
      <c r="CK588" s="216">
        <f ca="1">IF($D588&lt;&gt;"Serviço",0,IF(OR(AND(AUTOEVENTO="Manual",$M588=1),$M588&gt;(ROW(PLE.lastrow)-ROW(PLE.firstrow))),0,IF(OFFSET(PLE!$G$14,$M588,CK$13)="",10^12,OFFSET(PLE!$G$14,$M588,CK$13))))</f>
        <v>1000000000000</v>
      </c>
      <c r="CL588" s="216">
        <f ca="1">IF($D588&lt;&gt;"Serviço",0,IF(OR(AND(AUTOEVENTO="Manual",$M588=1),$M588&gt;(ROW(PLE.lastrow)-ROW(PLE.firstrow))),0,IF(OFFSET(PLE!$G$14,$M588,CL$13)="",10^12,OFFSET(PLE!$G$14,$M588,CL$13))))</f>
        <v>1000000000000</v>
      </c>
      <c r="CM588" s="216">
        <f ca="1">IF($D588&lt;&gt;"Serviço",0,IF(OR(AND(AUTOEVENTO="Manual",$M588=1),$M588&gt;(ROW(PLE.lastrow)-ROW(PLE.firstrow))),0,IF(OFFSET(PLE!$G$14,$M588,CM$13)="",10^12,OFFSET(PLE!$G$14,$M588,CM$13))))</f>
        <v>1000000000000</v>
      </c>
    </row>
    <row r="589" spans="1:91" ht="13.2" x14ac:dyDescent="0.25">
      <c r="A589" s="9">
        <f t="shared" ca="1" si="17"/>
        <v>0</v>
      </c>
      <c r="B589" s="9" t="str">
        <f ca="1">OFFSET(ORÇAMENTO!C$15,ROW(B589)-ROW(B$15),0)</f>
        <v>S</v>
      </c>
      <c r="C589" s="9" t="str">
        <f ca="1">OFFSET(ORÇAMENTO!L$15,ROW(C589)-ROW(C$15),0)</f>
        <v/>
      </c>
      <c r="D589" s="145" t="str">
        <f ca="1">OFFSET(ORÇAMENTO!N$15,ROW(D589)-ROW(D$15),0)</f>
        <v>Serviço</v>
      </c>
      <c r="E589" s="205" t="str">
        <f ca="1">OFFSET(ORÇAMENTO!O$15,ROW(E589)-ROW(E$15),0)</f>
        <v>-</v>
      </c>
      <c r="F589" s="206" t="str">
        <f ca="1">OFFSET(ORÇAMENTO!R$15,ROW(F589)-ROW(F$15),0)</f>
        <v>(abra o arquivo 'Referência 05-2024.xls)</v>
      </c>
      <c r="G589" s="207" t="str">
        <f ca="1">IF($D589&lt;&gt;"Serviço","",OFFSET(ORÇAMENTO!S$15,ROW(G589)-ROW(G$15),0))</f>
        <v>-</v>
      </c>
      <c r="H589" s="151">
        <f ca="1">IF($D589&lt;&gt;"Serviço",0,IF(ACOMPANHAMENTO="BM",ROUND(OFFSET(ORÇAMENTO!AJ$15,ROW(H589)-ROW(H$15),0),15-13*ORÇAMENTO!$AF$7),SUMPRODUCT(($Q$12:$AI$12&lt;&gt;"")*ROUND($Q589:$AI589,15-13*ORÇAMENTO!$AF$7))))</f>
        <v>50.3</v>
      </c>
      <c r="I589" s="650"/>
      <c r="K589" s="208"/>
      <c r="L589" s="209" t="s">
        <v>257</v>
      </c>
      <c r="M589" s="210">
        <f ca="1">IF($D589&lt;&gt;"Serviço","",IF(AUTOEVENTO="manual",$A589,IF(ISERROR(MATCH($A589,$A$15:OFFSET($A589,-1,0),0)),MAX($M$15:OFFSET(M589,-1,0))+1,INDEX($M$15:OFFSET(M589,-1,0),MATCH($A589,$A$15:OFFSET($A589,-1,0),0)))))</f>
        <v>0</v>
      </c>
      <c r="N589" s="211" t="str">
        <f ca="1">IF($D589&lt;&gt;"Serviço","",IF(AUTOEVENTO="Manual",IF($A589=0,"&lt;-- defina o número do agrupador",OFFSET(EVENTOS!$D$14,$A589,0)),OFFSET($F$15,$A589,0)))</f>
        <v>&lt;-- defina o número do agrupador</v>
      </c>
      <c r="O589" s="212"/>
      <c r="Q589" s="212"/>
      <c r="R589" s="213"/>
      <c r="S589" s="213"/>
      <c r="T589" s="213"/>
      <c r="U589" s="213"/>
      <c r="V589" s="213"/>
      <c r="W589" s="213"/>
      <c r="X589" s="213"/>
      <c r="Y589" s="213"/>
      <c r="Z589" s="214"/>
      <c r="AA589" s="213"/>
      <c r="AB589" s="213"/>
      <c r="AC589" s="213"/>
      <c r="AD589" s="213"/>
      <c r="AE589" s="213"/>
      <c r="AF589" s="213"/>
      <c r="AG589" s="213"/>
      <c r="AH589" s="214"/>
      <c r="AJ589" s="631">
        <f ca="1">IF(AND($D589="Serviço",AJ$12&lt;&gt;0,$H589&gt;0,OR(AUTOEVENTO&lt;&gt;"manual",$M589&lt;&gt;1)),ROUND(OFFSET($P589,0,AJ$13),15-13*ORÇAMENTO!$AF$7)/$H589*OFFSET(ORÇAMENTO!$X$15,ROW(AJ589)-ROW(AJ$15),0),0)</f>
        <v>0</v>
      </c>
      <c r="AK589" s="632">
        <f ca="1">IF(AND($D589="Serviço",AK$12&lt;&gt;0,$H589&gt;0,OR(AUTOEVENTO&lt;&gt;"manual",$M589&lt;&gt;1)),ROUND(OFFSET($P589,0,AK$13),15-13*ORÇAMENTO!$AF$7)/$H589*OFFSET(ORÇAMENTO!$X$15,ROW(AK589)-ROW(AK$15),0),0)</f>
        <v>0</v>
      </c>
      <c r="AL589" s="632">
        <f ca="1">IF(AND($D589="Serviço",AL$12&lt;&gt;0,$H589&gt;0,OR(AUTOEVENTO&lt;&gt;"manual",$M589&lt;&gt;1)),ROUND(OFFSET($P589,0,AL$13),15-13*ORÇAMENTO!$AF$7)/$H589*OFFSET(ORÇAMENTO!$X$15,ROW(AL589)-ROW(AL$15),0),0)</f>
        <v>0</v>
      </c>
      <c r="AM589" s="632">
        <f ca="1">IF(AND($D589="Serviço",AM$12&lt;&gt;0,$H589&gt;0,OR(AUTOEVENTO&lt;&gt;"manual",$M589&lt;&gt;1)),ROUND(OFFSET($P589,0,AM$13),15-13*ORÇAMENTO!$AF$7)/$H589*OFFSET(ORÇAMENTO!$X$15,ROW(AM589)-ROW(AM$15),0),0)</f>
        <v>0</v>
      </c>
      <c r="AN589" s="632">
        <f ca="1">IF(AND($D589="Serviço",AN$12&lt;&gt;0,$H589&gt;0,OR(AUTOEVENTO&lt;&gt;"manual",$M589&lt;&gt;1)),ROUND(OFFSET($P589,0,AN$13),15-13*ORÇAMENTO!$AF$7)/$H589*OFFSET(ORÇAMENTO!$X$15,ROW(AN589)-ROW(AN$15),0),0)</f>
        <v>0</v>
      </c>
      <c r="AO589" s="632">
        <f ca="1">IF(AND($D589="Serviço",AO$12&lt;&gt;0,$H589&gt;0,OR(AUTOEVENTO&lt;&gt;"manual",$M589&lt;&gt;1)),ROUND(OFFSET($P589,0,AO$13),15-13*ORÇAMENTO!$AF$7)/$H589*OFFSET(ORÇAMENTO!$X$15,ROW(AO589)-ROW(AO$15),0),0)</f>
        <v>0</v>
      </c>
      <c r="AP589" s="632">
        <f ca="1">IF(AND($D589="Serviço",AP$12&lt;&gt;0,$H589&gt;0,OR(AUTOEVENTO&lt;&gt;"manual",$M589&lt;&gt;1)),ROUND(OFFSET($P589,0,AP$13),15-13*ORÇAMENTO!$AF$7)/$H589*OFFSET(ORÇAMENTO!$X$15,ROW(AP589)-ROW(AP$15),0),0)</f>
        <v>0</v>
      </c>
      <c r="AQ589" s="632">
        <f ca="1">IF(AND($D589="Serviço",AQ$12&lt;&gt;0,$H589&gt;0,OR(AUTOEVENTO&lt;&gt;"manual",$M589&lt;&gt;1)),ROUND(OFFSET($P589,0,AQ$13),15-13*ORÇAMENTO!$AF$7)/$H589*OFFSET(ORÇAMENTO!$X$15,ROW(AQ589)-ROW(AQ$15),0),0)</f>
        <v>0</v>
      </c>
      <c r="AR589" s="632">
        <f ca="1">IF(AND($D589="Serviço",AR$12&lt;&gt;0,$H589&gt;0,OR(AUTOEVENTO&lt;&gt;"manual",$M589&lt;&gt;1)),ROUND(OFFSET($P589,0,AR$13),15-13*ORÇAMENTO!$AF$7)/$H589*OFFSET(ORÇAMENTO!$X$15,ROW(AR589)-ROW(AR$15),0),0)</f>
        <v>0</v>
      </c>
      <c r="AS589" s="633">
        <f ca="1">IF(AND($D589="Serviço",AS$12&lt;&gt;0,$H589&gt;0,OR(AUTOEVENTO&lt;&gt;"manual",$M589&lt;&gt;1)),ROUND(OFFSET($P589,0,AS$13),15-13*ORÇAMENTO!$AF$7)/$H589*OFFSET(ORÇAMENTO!$X$15,ROW(AS589)-ROW(AS$15),0),0)</f>
        <v>0</v>
      </c>
      <c r="AT589" s="632">
        <f ca="1">IF(AND($D589="Serviço",AT$12&lt;&gt;0,$H589&gt;0,OR(AUTOEVENTO&lt;&gt;"manual",$M589&lt;&gt;1)),ROUND(OFFSET($P589,0,AT$13),15-13*ORÇAMENTO!$AF$7)/$H589*OFFSET(ORÇAMENTO!$X$15,ROW(AT589)-ROW(AT$15),0),0)</f>
        <v>0</v>
      </c>
      <c r="AU589" s="632">
        <f ca="1">IF(AND($D589="Serviço",AU$12&lt;&gt;0,$H589&gt;0,OR(AUTOEVENTO&lt;&gt;"manual",$M589&lt;&gt;1)),ROUND(OFFSET($P589,0,AU$13),15-13*ORÇAMENTO!$AF$7)/$H589*OFFSET(ORÇAMENTO!$X$15,ROW(AU589)-ROW(AU$15),0),0)</f>
        <v>0</v>
      </c>
      <c r="AV589" s="632">
        <f ca="1">IF(AND($D589="Serviço",AV$12&lt;&gt;0,$H589&gt;0,OR(AUTOEVENTO&lt;&gt;"manual",$M589&lt;&gt;1)),ROUND(OFFSET($P589,0,AV$13),15-13*ORÇAMENTO!$AF$7)/$H589*OFFSET(ORÇAMENTO!$X$15,ROW(AV589)-ROW(AV$15),0),0)</f>
        <v>0</v>
      </c>
      <c r="AW589" s="632">
        <f ca="1">IF(AND($D589="Serviço",AW$12&lt;&gt;0,$H589&gt;0,OR(AUTOEVENTO&lt;&gt;"manual",$M589&lt;&gt;1)),ROUND(OFFSET($P589,0,AW$13),15-13*ORÇAMENTO!$AF$7)/$H589*OFFSET(ORÇAMENTO!$X$15,ROW(AW589)-ROW(AW$15),0),0)</f>
        <v>0</v>
      </c>
      <c r="AX589" s="632">
        <f ca="1">IF(AND($D589="Serviço",AX$12&lt;&gt;0,$H589&gt;0,OR(AUTOEVENTO&lt;&gt;"manual",$M589&lt;&gt;1)),ROUND(OFFSET($P589,0,AX$13),15-13*ORÇAMENTO!$AF$7)/$H589*OFFSET(ORÇAMENTO!$X$15,ROW(AX589)-ROW(AX$15),0),0)</f>
        <v>0</v>
      </c>
      <c r="AY589" s="632">
        <f ca="1">IF(AND($D589="Serviço",AY$12&lt;&gt;0,$H589&gt;0,OR(AUTOEVENTO&lt;&gt;"manual",$M589&lt;&gt;1)),ROUND(OFFSET($P589,0,AY$13),15-13*ORÇAMENTO!$AF$7)/$H589*OFFSET(ORÇAMENTO!$X$15,ROW(AY589)-ROW(AY$15),0),0)</f>
        <v>0</v>
      </c>
      <c r="AZ589" s="632">
        <f ca="1">IF(AND($D589="Serviço",AZ$12&lt;&gt;0,$H589&gt;0,OR(AUTOEVENTO&lt;&gt;"manual",$M589&lt;&gt;1)),ROUND(OFFSET($P589,0,AZ$13),15-13*ORÇAMENTO!$AF$7)/$H589*OFFSET(ORÇAMENTO!$X$15,ROW(AZ589)-ROW(AZ$15),0),0)</f>
        <v>0</v>
      </c>
      <c r="BA589" s="633">
        <f ca="1">IF(AND($D589="Serviço",BA$12&lt;&gt;0,$H589&gt;0,OR(AUTOEVENTO&lt;&gt;"manual",$M589&lt;&gt;1)),ROUND(OFFSET($P589,0,BA$13),15-13*ORÇAMENTO!$AF$7)/$H589*OFFSET(ORÇAMENTO!$X$15,ROW(BA589)-ROW(BA$15),0),0)</f>
        <v>0</v>
      </c>
      <c r="BC589" s="215">
        <f ca="1">IF($D589&lt;&gt;"Serviço",0,IF(AND(AUTOEVENTO="Manual",$M589=1),0,IF(OFFSET(CRONOPLE!$F$14,$M589,BC$13)="",10^12,OFFSET(CRONOPLE!$F$14,$M589,BC$13))))</f>
        <v>1000000000000</v>
      </c>
      <c r="BD589" s="215">
        <f ca="1">IF($D589&lt;&gt;"Serviço",0,IF(AND(AUTOEVENTO="Manual",$M589=1),0,IF(OFFSET(CRONOPLE!$F$14,$M589,BD$13)="",10^12,OFFSET(CRONOPLE!$F$14,$M589,BD$13))))</f>
        <v>1000000000000</v>
      </c>
      <c r="BE589" s="215">
        <f ca="1">IF($D589&lt;&gt;"Serviço",0,IF(AND(AUTOEVENTO="Manual",$M589=1),0,IF(OFFSET(CRONOPLE!$F$14,$M589,BE$13)="",10^12,OFFSET(CRONOPLE!$F$14,$M589,BE$13))))</f>
        <v>1000000000000</v>
      </c>
      <c r="BF589" s="215">
        <f ca="1">IF($D589&lt;&gt;"Serviço",0,IF(AND(AUTOEVENTO="Manual",$M589=1),0,IF(OFFSET(CRONOPLE!$F$14,$M589,BF$13)="",10^12,OFFSET(CRONOPLE!$F$14,$M589,BF$13))))</f>
        <v>1000000000000</v>
      </c>
      <c r="BG589" s="215">
        <f ca="1">IF($D589&lt;&gt;"Serviço",0,IF(AND(AUTOEVENTO="Manual",$M589=1),0,IF(OFFSET(CRONOPLE!$F$14,$M589,BG$13)="",10^12,OFFSET(CRONOPLE!$F$14,$M589,BG$13))))</f>
        <v>1000000000000</v>
      </c>
      <c r="BH589" s="215">
        <f ca="1">IF($D589&lt;&gt;"Serviço",0,IF(AND(AUTOEVENTO="Manual",$M589=1),0,IF(OFFSET(CRONOPLE!$F$14,$M589,BH$13)="",10^12,OFFSET(CRONOPLE!$F$14,$M589,BH$13))))</f>
        <v>1000000000000</v>
      </c>
      <c r="BI589" s="215">
        <f ca="1">IF($D589&lt;&gt;"Serviço",0,IF(AND(AUTOEVENTO="Manual",$M589=1),0,IF(OFFSET(CRONOPLE!$F$14,$M589,BI$13)="",10^12,OFFSET(CRONOPLE!$F$14,$M589,BI$13))))</f>
        <v>1000000000000</v>
      </c>
      <c r="BJ589" s="215">
        <f ca="1">IF($D589&lt;&gt;"Serviço",0,IF(AND(AUTOEVENTO="Manual",$M589=1),0,IF(OFFSET(CRONOPLE!$F$14,$M589,BJ$13)="",10^12,OFFSET(CRONOPLE!$F$14,$M589,BJ$13))))</f>
        <v>1000000000000</v>
      </c>
      <c r="BK589" s="215">
        <f ca="1">IF($D589&lt;&gt;"Serviço",0,IF(AND(AUTOEVENTO="Manual",$M589=1),0,IF(OFFSET(CRONOPLE!$F$14,$M589,BK$13)="",10^12,OFFSET(CRONOPLE!$F$14,$M589,BK$13))))</f>
        <v>1000000000000</v>
      </c>
      <c r="BL589" s="215">
        <f ca="1">IF($D589&lt;&gt;"Serviço",0,IF(AND(AUTOEVENTO="Manual",$M589=1),0,IF(OFFSET(CRONOPLE!$F$14,$M589,BL$13)="",10^12,OFFSET(CRONOPLE!$F$14,$M589,BL$13))))</f>
        <v>1000000000000</v>
      </c>
      <c r="BM589" s="215">
        <f ca="1">IF($D589&lt;&gt;"Serviço",0,IF(AND(AUTOEVENTO="Manual",$M589=1),0,IF(OFFSET(CRONOPLE!$F$14,$M589,BM$13)="",10^12,OFFSET(CRONOPLE!$F$14,$M589,BM$13))))</f>
        <v>1000000000000</v>
      </c>
      <c r="BN589" s="215">
        <f ca="1">IF($D589&lt;&gt;"Serviço",0,IF(AND(AUTOEVENTO="Manual",$M589=1),0,IF(OFFSET(CRONOPLE!$F$14,$M589,BN$13)="",10^12,OFFSET(CRONOPLE!$F$14,$M589,BN$13))))</f>
        <v>1000000000000</v>
      </c>
      <c r="BO589" s="215">
        <f ca="1">IF($D589&lt;&gt;"Serviço",0,IF(AND(AUTOEVENTO="Manual",$M589=1),0,IF(OFFSET(CRONOPLE!$F$14,$M589,BO$13)="",10^12,OFFSET(CRONOPLE!$F$14,$M589,BO$13))))</f>
        <v>1000000000000</v>
      </c>
      <c r="BP589" s="215">
        <f ca="1">IF($D589&lt;&gt;"Serviço",0,IF(AND(AUTOEVENTO="Manual",$M589=1),0,IF(OFFSET(CRONOPLE!$F$14,$M589,BP$13)="",10^12,OFFSET(CRONOPLE!$F$14,$M589,BP$13))))</f>
        <v>1000000000000</v>
      </c>
      <c r="BQ589" s="215">
        <f ca="1">IF($D589&lt;&gt;"Serviço",0,IF(AND(AUTOEVENTO="Manual",$M589=1),0,IF(OFFSET(CRONOPLE!$F$14,$M589,BQ$13)="",10^12,OFFSET(CRONOPLE!$F$14,$M589,BQ$13))))</f>
        <v>1000000000000</v>
      </c>
      <c r="BR589" s="215">
        <f ca="1">IF($D589&lt;&gt;"Serviço",0,IF(AND(AUTOEVENTO="Manual",$M589=1),0,IF(OFFSET(CRONOPLE!$F$14,$M589,BR$13)="",10^12,OFFSET(CRONOPLE!$F$14,$M589,BR$13))))</f>
        <v>1000000000000</v>
      </c>
      <c r="BS589" s="215">
        <f ca="1">IF($D589&lt;&gt;"Serviço",0,IF(AND(AUTOEVENTO="Manual",$M589=1),0,IF(OFFSET(CRONOPLE!$F$14,$M589,BS$13)="",10^12,OFFSET(CRONOPLE!$F$14,$M589,BS$13))))</f>
        <v>1000000000000</v>
      </c>
      <c r="BT589" s="215">
        <f ca="1">IF($D589&lt;&gt;"Serviço",0,IF(AND(AUTOEVENTO="Manual",$M589=1),0,IF(OFFSET(CRONOPLE!$F$14,$M589,BT$13)="",10^12,OFFSET(CRONOPLE!$F$14,$M589,BT$13))))</f>
        <v>1000000000000</v>
      </c>
      <c r="BV589" s="216">
        <f ca="1">IF($D589&lt;&gt;"Serviço",0,IF(OR(AND(AUTOEVENTO="Manual",$M589=1),$M589&gt;(ROW(PLE.lastrow)-ROW(PLE.firstrow))),0,IF(OFFSET(PLE!$G$14,$M589,BV$13)="",10^12,OFFSET(PLE!$G$14,$M589,BV$13))))</f>
        <v>1000000000000</v>
      </c>
      <c r="BW589" s="216">
        <f ca="1">IF($D589&lt;&gt;"Serviço",0,IF(OR(AND(AUTOEVENTO="Manual",$M589=1),$M589&gt;(ROW(PLE.lastrow)-ROW(PLE.firstrow))),0,IF(OFFSET(PLE!$G$14,$M589,BW$13)="",10^12,OFFSET(PLE!$G$14,$M589,BW$13))))</f>
        <v>1000000000000</v>
      </c>
      <c r="BX589" s="216">
        <f ca="1">IF($D589&lt;&gt;"Serviço",0,IF(OR(AND(AUTOEVENTO="Manual",$M589=1),$M589&gt;(ROW(PLE.lastrow)-ROW(PLE.firstrow))),0,IF(OFFSET(PLE!$G$14,$M589,BX$13)="",10^12,OFFSET(PLE!$G$14,$M589,BX$13))))</f>
        <v>1000000000000</v>
      </c>
      <c r="BY589" s="216">
        <f ca="1">IF($D589&lt;&gt;"Serviço",0,IF(OR(AND(AUTOEVENTO="Manual",$M589=1),$M589&gt;(ROW(PLE.lastrow)-ROW(PLE.firstrow))),0,IF(OFFSET(PLE!$G$14,$M589,BY$13)="",10^12,OFFSET(PLE!$G$14,$M589,BY$13))))</f>
        <v>1000000000000</v>
      </c>
      <c r="BZ589" s="216">
        <f ca="1">IF($D589&lt;&gt;"Serviço",0,IF(OR(AND(AUTOEVENTO="Manual",$M589=1),$M589&gt;(ROW(PLE.lastrow)-ROW(PLE.firstrow))),0,IF(OFFSET(PLE!$G$14,$M589,BZ$13)="",10^12,OFFSET(PLE!$G$14,$M589,BZ$13))))</f>
        <v>1000000000000</v>
      </c>
      <c r="CA589" s="216">
        <f ca="1">IF($D589&lt;&gt;"Serviço",0,IF(OR(AND(AUTOEVENTO="Manual",$M589=1),$M589&gt;(ROW(PLE.lastrow)-ROW(PLE.firstrow))),0,IF(OFFSET(PLE!$G$14,$M589,CA$13)="",10^12,OFFSET(PLE!$G$14,$M589,CA$13))))</f>
        <v>1000000000000</v>
      </c>
      <c r="CB589" s="216">
        <f ca="1">IF($D589&lt;&gt;"Serviço",0,IF(OR(AND(AUTOEVENTO="Manual",$M589=1),$M589&gt;(ROW(PLE.lastrow)-ROW(PLE.firstrow))),0,IF(OFFSET(PLE!$G$14,$M589,CB$13)="",10^12,OFFSET(PLE!$G$14,$M589,CB$13))))</f>
        <v>1000000000000</v>
      </c>
      <c r="CC589" s="216">
        <f ca="1">IF($D589&lt;&gt;"Serviço",0,IF(OR(AND(AUTOEVENTO="Manual",$M589=1),$M589&gt;(ROW(PLE.lastrow)-ROW(PLE.firstrow))),0,IF(OFFSET(PLE!$G$14,$M589,CC$13)="",10^12,OFFSET(PLE!$G$14,$M589,CC$13))))</f>
        <v>1000000000000</v>
      </c>
      <c r="CD589" s="216">
        <f ca="1">IF($D589&lt;&gt;"Serviço",0,IF(OR(AND(AUTOEVENTO="Manual",$M589=1),$M589&gt;(ROW(PLE.lastrow)-ROW(PLE.firstrow))),0,IF(OFFSET(PLE!$G$14,$M589,CD$13)="",10^12,OFFSET(PLE!$G$14,$M589,CD$13))))</f>
        <v>1000000000000</v>
      </c>
      <c r="CE589" s="216">
        <f ca="1">IF($D589&lt;&gt;"Serviço",0,IF(OR(AND(AUTOEVENTO="Manual",$M589=1),$M589&gt;(ROW(PLE.lastrow)-ROW(PLE.firstrow))),0,IF(OFFSET(PLE!$G$14,$M589,CE$13)="",10^12,OFFSET(PLE!$G$14,$M589,CE$13))))</f>
        <v>1000000000000</v>
      </c>
      <c r="CF589" s="216">
        <f ca="1">IF($D589&lt;&gt;"Serviço",0,IF(OR(AND(AUTOEVENTO="Manual",$M589=1),$M589&gt;(ROW(PLE.lastrow)-ROW(PLE.firstrow))),0,IF(OFFSET(PLE!$G$14,$M589,CF$13)="",10^12,OFFSET(PLE!$G$14,$M589,CF$13))))</f>
        <v>1000000000000</v>
      </c>
      <c r="CG589" s="216">
        <f ca="1">IF($D589&lt;&gt;"Serviço",0,IF(OR(AND(AUTOEVENTO="Manual",$M589=1),$M589&gt;(ROW(PLE.lastrow)-ROW(PLE.firstrow))),0,IF(OFFSET(PLE!$G$14,$M589,CG$13)="",10^12,OFFSET(PLE!$G$14,$M589,CG$13))))</f>
        <v>1000000000000</v>
      </c>
      <c r="CH589" s="216">
        <f ca="1">IF($D589&lt;&gt;"Serviço",0,IF(OR(AND(AUTOEVENTO="Manual",$M589=1),$M589&gt;(ROW(PLE.lastrow)-ROW(PLE.firstrow))),0,IF(OFFSET(PLE!$G$14,$M589,CH$13)="",10^12,OFFSET(PLE!$G$14,$M589,CH$13))))</f>
        <v>1000000000000</v>
      </c>
      <c r="CI589" s="216">
        <f ca="1">IF($D589&lt;&gt;"Serviço",0,IF(OR(AND(AUTOEVENTO="Manual",$M589=1),$M589&gt;(ROW(PLE.lastrow)-ROW(PLE.firstrow))),0,IF(OFFSET(PLE!$G$14,$M589,CI$13)="",10^12,OFFSET(PLE!$G$14,$M589,CI$13))))</f>
        <v>1000000000000</v>
      </c>
      <c r="CJ589" s="216">
        <f ca="1">IF($D589&lt;&gt;"Serviço",0,IF(OR(AND(AUTOEVENTO="Manual",$M589=1),$M589&gt;(ROW(PLE.lastrow)-ROW(PLE.firstrow))),0,IF(OFFSET(PLE!$G$14,$M589,CJ$13)="",10^12,OFFSET(PLE!$G$14,$M589,CJ$13))))</f>
        <v>1000000000000</v>
      </c>
      <c r="CK589" s="216">
        <f ca="1">IF($D589&lt;&gt;"Serviço",0,IF(OR(AND(AUTOEVENTO="Manual",$M589=1),$M589&gt;(ROW(PLE.lastrow)-ROW(PLE.firstrow))),0,IF(OFFSET(PLE!$G$14,$M589,CK$13)="",10^12,OFFSET(PLE!$G$14,$M589,CK$13))))</f>
        <v>1000000000000</v>
      </c>
      <c r="CL589" s="216">
        <f ca="1">IF($D589&lt;&gt;"Serviço",0,IF(OR(AND(AUTOEVENTO="Manual",$M589=1),$M589&gt;(ROW(PLE.lastrow)-ROW(PLE.firstrow))),0,IF(OFFSET(PLE!$G$14,$M589,CL$13)="",10^12,OFFSET(PLE!$G$14,$M589,CL$13))))</f>
        <v>1000000000000</v>
      </c>
      <c r="CM589" s="216">
        <f ca="1">IF($D589&lt;&gt;"Serviço",0,IF(OR(AND(AUTOEVENTO="Manual",$M589=1),$M589&gt;(ROW(PLE.lastrow)-ROW(PLE.firstrow))),0,IF(OFFSET(PLE!$G$14,$M589,CM$13)="",10^12,OFFSET(PLE!$G$14,$M589,CM$13))))</f>
        <v>1000000000000</v>
      </c>
    </row>
    <row r="590" spans="1:91" ht="13.2" x14ac:dyDescent="0.25">
      <c r="A590" s="9">
        <f t="shared" ref="A590:A617" ca="1" si="18">IF(AUTOEVENTO="Manual",IF(K590&lt;&gt;"",MIN(VALUE(LEFT(K590,FIND(".",K590)-1)),COUNTA(EVENTOS.Lista)),0),IF(OR($B590&gt;AUTOEVENTO,$B590="S",$B590=0),SUBSTITUTE(OFFSET($A590,-1,0),IF($D590="Serviço",".",""),""),ROW(A590)-ROW($A$15)&amp;"."))</f>
        <v>0</v>
      </c>
      <c r="B590" s="9" t="str">
        <f ca="1">OFFSET(ORÇAMENTO!C$15,ROW(B590)-ROW(B$15),0)</f>
        <v>S</v>
      </c>
      <c r="C590" s="9" t="str">
        <f ca="1">OFFSET(ORÇAMENTO!L$15,ROW(C590)-ROW(C$15),0)</f>
        <v/>
      </c>
      <c r="D590" s="145" t="str">
        <f ca="1">OFFSET(ORÇAMENTO!N$15,ROW(D590)-ROW(D$15),0)</f>
        <v>Serviço</v>
      </c>
      <c r="E590" s="205" t="str">
        <f ca="1">OFFSET(ORÇAMENTO!O$15,ROW(E590)-ROW(E$15),0)</f>
        <v>-</v>
      </c>
      <c r="F590" s="206" t="str">
        <f ca="1">OFFSET(ORÇAMENTO!R$15,ROW(F590)-ROW(F$15),0)</f>
        <v>(abra o arquivo 'Referência 05-2024.xls)</v>
      </c>
      <c r="G590" s="207" t="str">
        <f ca="1">IF($D590&lt;&gt;"Serviço","",OFFSET(ORÇAMENTO!S$15,ROW(G590)-ROW(G$15),0))</f>
        <v>-</v>
      </c>
      <c r="H590" s="151">
        <f ca="1">IF($D590&lt;&gt;"Serviço",0,IF(ACOMPANHAMENTO="BM",ROUND(OFFSET(ORÇAMENTO!AJ$15,ROW(H590)-ROW(H$15),0),15-13*ORÇAMENTO!$AF$7),SUMPRODUCT(($Q$12:$AI$12&lt;&gt;"")*ROUND($Q590:$AI590,15-13*ORÇAMENTO!$AF$7))))</f>
        <v>256.60000000000002</v>
      </c>
      <c r="I590" s="650"/>
      <c r="K590" s="208"/>
      <c r="L590" s="209" t="s">
        <v>257</v>
      </c>
      <c r="M590" s="210">
        <f ca="1">IF($D590&lt;&gt;"Serviço","",IF(AUTOEVENTO="manual",$A590,IF(ISERROR(MATCH($A590,$A$15:OFFSET($A590,-1,0),0)),MAX($M$15:OFFSET(M590,-1,0))+1,INDEX($M$15:OFFSET(M590,-1,0),MATCH($A590,$A$15:OFFSET($A590,-1,0),0)))))</f>
        <v>0</v>
      </c>
      <c r="N590" s="211" t="str">
        <f ca="1">IF($D590&lt;&gt;"Serviço","",IF(AUTOEVENTO="Manual",IF($A590=0,"&lt;-- defina o número do agrupador",OFFSET(EVENTOS!$D$14,$A590,0)),OFFSET($F$15,$A590,0)))</f>
        <v>&lt;-- defina o número do agrupador</v>
      </c>
      <c r="O590" s="212"/>
      <c r="Q590" s="212"/>
      <c r="R590" s="213"/>
      <c r="S590" s="213"/>
      <c r="T590" s="213"/>
      <c r="U590" s="213"/>
      <c r="V590" s="213"/>
      <c r="W590" s="213"/>
      <c r="X590" s="213"/>
      <c r="Y590" s="213"/>
      <c r="Z590" s="214"/>
      <c r="AA590" s="213"/>
      <c r="AB590" s="213"/>
      <c r="AC590" s="213"/>
      <c r="AD590" s="213"/>
      <c r="AE590" s="213"/>
      <c r="AF590" s="213"/>
      <c r="AG590" s="213"/>
      <c r="AH590" s="214"/>
      <c r="AJ590" s="631">
        <f ca="1">IF(AND($D590="Serviço",AJ$12&lt;&gt;0,$H590&gt;0,OR(AUTOEVENTO&lt;&gt;"manual",$M590&lt;&gt;1)),ROUND(OFFSET($P590,0,AJ$13),15-13*ORÇAMENTO!$AF$7)/$H590*OFFSET(ORÇAMENTO!$X$15,ROW(AJ590)-ROW(AJ$15),0),0)</f>
        <v>0</v>
      </c>
      <c r="AK590" s="632">
        <f ca="1">IF(AND($D590="Serviço",AK$12&lt;&gt;0,$H590&gt;0,OR(AUTOEVENTO&lt;&gt;"manual",$M590&lt;&gt;1)),ROUND(OFFSET($P590,0,AK$13),15-13*ORÇAMENTO!$AF$7)/$H590*OFFSET(ORÇAMENTO!$X$15,ROW(AK590)-ROW(AK$15),0),0)</f>
        <v>0</v>
      </c>
      <c r="AL590" s="632">
        <f ca="1">IF(AND($D590="Serviço",AL$12&lt;&gt;0,$H590&gt;0,OR(AUTOEVENTO&lt;&gt;"manual",$M590&lt;&gt;1)),ROUND(OFFSET($P590,0,AL$13),15-13*ORÇAMENTO!$AF$7)/$H590*OFFSET(ORÇAMENTO!$X$15,ROW(AL590)-ROW(AL$15),0),0)</f>
        <v>0</v>
      </c>
      <c r="AM590" s="632">
        <f ca="1">IF(AND($D590="Serviço",AM$12&lt;&gt;0,$H590&gt;0,OR(AUTOEVENTO&lt;&gt;"manual",$M590&lt;&gt;1)),ROUND(OFFSET($P590,0,AM$13),15-13*ORÇAMENTO!$AF$7)/$H590*OFFSET(ORÇAMENTO!$X$15,ROW(AM590)-ROW(AM$15),0),0)</f>
        <v>0</v>
      </c>
      <c r="AN590" s="632">
        <f ca="1">IF(AND($D590="Serviço",AN$12&lt;&gt;0,$H590&gt;0,OR(AUTOEVENTO&lt;&gt;"manual",$M590&lt;&gt;1)),ROUND(OFFSET($P590,0,AN$13),15-13*ORÇAMENTO!$AF$7)/$H590*OFFSET(ORÇAMENTO!$X$15,ROW(AN590)-ROW(AN$15),0),0)</f>
        <v>0</v>
      </c>
      <c r="AO590" s="632">
        <f ca="1">IF(AND($D590="Serviço",AO$12&lt;&gt;0,$H590&gt;0,OR(AUTOEVENTO&lt;&gt;"manual",$M590&lt;&gt;1)),ROUND(OFFSET($P590,0,AO$13),15-13*ORÇAMENTO!$AF$7)/$H590*OFFSET(ORÇAMENTO!$X$15,ROW(AO590)-ROW(AO$15),0),0)</f>
        <v>0</v>
      </c>
      <c r="AP590" s="632">
        <f ca="1">IF(AND($D590="Serviço",AP$12&lt;&gt;0,$H590&gt;0,OR(AUTOEVENTO&lt;&gt;"manual",$M590&lt;&gt;1)),ROUND(OFFSET($P590,0,AP$13),15-13*ORÇAMENTO!$AF$7)/$H590*OFFSET(ORÇAMENTO!$X$15,ROW(AP590)-ROW(AP$15),0),0)</f>
        <v>0</v>
      </c>
      <c r="AQ590" s="632">
        <f ca="1">IF(AND($D590="Serviço",AQ$12&lt;&gt;0,$H590&gt;0,OR(AUTOEVENTO&lt;&gt;"manual",$M590&lt;&gt;1)),ROUND(OFFSET($P590,0,AQ$13),15-13*ORÇAMENTO!$AF$7)/$H590*OFFSET(ORÇAMENTO!$X$15,ROW(AQ590)-ROW(AQ$15),0),0)</f>
        <v>0</v>
      </c>
      <c r="AR590" s="632">
        <f ca="1">IF(AND($D590="Serviço",AR$12&lt;&gt;0,$H590&gt;0,OR(AUTOEVENTO&lt;&gt;"manual",$M590&lt;&gt;1)),ROUND(OFFSET($P590,0,AR$13),15-13*ORÇAMENTO!$AF$7)/$H590*OFFSET(ORÇAMENTO!$X$15,ROW(AR590)-ROW(AR$15),0),0)</f>
        <v>0</v>
      </c>
      <c r="AS590" s="633">
        <f ca="1">IF(AND($D590="Serviço",AS$12&lt;&gt;0,$H590&gt;0,OR(AUTOEVENTO&lt;&gt;"manual",$M590&lt;&gt;1)),ROUND(OFFSET($P590,0,AS$13),15-13*ORÇAMENTO!$AF$7)/$H590*OFFSET(ORÇAMENTO!$X$15,ROW(AS590)-ROW(AS$15),0),0)</f>
        <v>0</v>
      </c>
      <c r="AT590" s="632">
        <f ca="1">IF(AND($D590="Serviço",AT$12&lt;&gt;0,$H590&gt;0,OR(AUTOEVENTO&lt;&gt;"manual",$M590&lt;&gt;1)),ROUND(OFFSET($P590,0,AT$13),15-13*ORÇAMENTO!$AF$7)/$H590*OFFSET(ORÇAMENTO!$X$15,ROW(AT590)-ROW(AT$15),0),0)</f>
        <v>0</v>
      </c>
      <c r="AU590" s="632">
        <f ca="1">IF(AND($D590="Serviço",AU$12&lt;&gt;0,$H590&gt;0,OR(AUTOEVENTO&lt;&gt;"manual",$M590&lt;&gt;1)),ROUND(OFFSET($P590,0,AU$13),15-13*ORÇAMENTO!$AF$7)/$H590*OFFSET(ORÇAMENTO!$X$15,ROW(AU590)-ROW(AU$15),0),0)</f>
        <v>0</v>
      </c>
      <c r="AV590" s="632">
        <f ca="1">IF(AND($D590="Serviço",AV$12&lt;&gt;0,$H590&gt;0,OR(AUTOEVENTO&lt;&gt;"manual",$M590&lt;&gt;1)),ROUND(OFFSET($P590,0,AV$13),15-13*ORÇAMENTO!$AF$7)/$H590*OFFSET(ORÇAMENTO!$X$15,ROW(AV590)-ROW(AV$15),0),0)</f>
        <v>0</v>
      </c>
      <c r="AW590" s="632">
        <f ca="1">IF(AND($D590="Serviço",AW$12&lt;&gt;0,$H590&gt;0,OR(AUTOEVENTO&lt;&gt;"manual",$M590&lt;&gt;1)),ROUND(OFFSET($P590,0,AW$13),15-13*ORÇAMENTO!$AF$7)/$H590*OFFSET(ORÇAMENTO!$X$15,ROW(AW590)-ROW(AW$15),0),0)</f>
        <v>0</v>
      </c>
      <c r="AX590" s="632">
        <f ca="1">IF(AND($D590="Serviço",AX$12&lt;&gt;0,$H590&gt;0,OR(AUTOEVENTO&lt;&gt;"manual",$M590&lt;&gt;1)),ROUND(OFFSET($P590,0,AX$13),15-13*ORÇAMENTO!$AF$7)/$H590*OFFSET(ORÇAMENTO!$X$15,ROW(AX590)-ROW(AX$15),0),0)</f>
        <v>0</v>
      </c>
      <c r="AY590" s="632">
        <f ca="1">IF(AND($D590="Serviço",AY$12&lt;&gt;0,$H590&gt;0,OR(AUTOEVENTO&lt;&gt;"manual",$M590&lt;&gt;1)),ROUND(OFFSET($P590,0,AY$13),15-13*ORÇAMENTO!$AF$7)/$H590*OFFSET(ORÇAMENTO!$X$15,ROW(AY590)-ROW(AY$15),0),0)</f>
        <v>0</v>
      </c>
      <c r="AZ590" s="632">
        <f ca="1">IF(AND($D590="Serviço",AZ$12&lt;&gt;0,$H590&gt;0,OR(AUTOEVENTO&lt;&gt;"manual",$M590&lt;&gt;1)),ROUND(OFFSET($P590,0,AZ$13),15-13*ORÇAMENTO!$AF$7)/$H590*OFFSET(ORÇAMENTO!$X$15,ROW(AZ590)-ROW(AZ$15),0),0)</f>
        <v>0</v>
      </c>
      <c r="BA590" s="633">
        <f ca="1">IF(AND($D590="Serviço",BA$12&lt;&gt;0,$H590&gt;0,OR(AUTOEVENTO&lt;&gt;"manual",$M590&lt;&gt;1)),ROUND(OFFSET($P590,0,BA$13),15-13*ORÇAMENTO!$AF$7)/$H590*OFFSET(ORÇAMENTO!$X$15,ROW(BA590)-ROW(BA$15),0),0)</f>
        <v>0</v>
      </c>
      <c r="BC590" s="215">
        <f ca="1">IF($D590&lt;&gt;"Serviço",0,IF(AND(AUTOEVENTO="Manual",$M590=1),0,IF(OFFSET(CRONOPLE!$F$14,$M590,BC$13)="",10^12,OFFSET(CRONOPLE!$F$14,$M590,BC$13))))</f>
        <v>1000000000000</v>
      </c>
      <c r="BD590" s="215">
        <f ca="1">IF($D590&lt;&gt;"Serviço",0,IF(AND(AUTOEVENTO="Manual",$M590=1),0,IF(OFFSET(CRONOPLE!$F$14,$M590,BD$13)="",10^12,OFFSET(CRONOPLE!$F$14,$M590,BD$13))))</f>
        <v>1000000000000</v>
      </c>
      <c r="BE590" s="215">
        <f ca="1">IF($D590&lt;&gt;"Serviço",0,IF(AND(AUTOEVENTO="Manual",$M590=1),0,IF(OFFSET(CRONOPLE!$F$14,$M590,BE$13)="",10^12,OFFSET(CRONOPLE!$F$14,$M590,BE$13))))</f>
        <v>1000000000000</v>
      </c>
      <c r="BF590" s="215">
        <f ca="1">IF($D590&lt;&gt;"Serviço",0,IF(AND(AUTOEVENTO="Manual",$M590=1),0,IF(OFFSET(CRONOPLE!$F$14,$M590,BF$13)="",10^12,OFFSET(CRONOPLE!$F$14,$M590,BF$13))))</f>
        <v>1000000000000</v>
      </c>
      <c r="BG590" s="215">
        <f ca="1">IF($D590&lt;&gt;"Serviço",0,IF(AND(AUTOEVENTO="Manual",$M590=1),0,IF(OFFSET(CRONOPLE!$F$14,$M590,BG$13)="",10^12,OFFSET(CRONOPLE!$F$14,$M590,BG$13))))</f>
        <v>1000000000000</v>
      </c>
      <c r="BH590" s="215">
        <f ca="1">IF($D590&lt;&gt;"Serviço",0,IF(AND(AUTOEVENTO="Manual",$M590=1),0,IF(OFFSET(CRONOPLE!$F$14,$M590,BH$13)="",10^12,OFFSET(CRONOPLE!$F$14,$M590,BH$13))))</f>
        <v>1000000000000</v>
      </c>
      <c r="BI590" s="215">
        <f ca="1">IF($D590&lt;&gt;"Serviço",0,IF(AND(AUTOEVENTO="Manual",$M590=1),0,IF(OFFSET(CRONOPLE!$F$14,$M590,BI$13)="",10^12,OFFSET(CRONOPLE!$F$14,$M590,BI$13))))</f>
        <v>1000000000000</v>
      </c>
      <c r="BJ590" s="215">
        <f ca="1">IF($D590&lt;&gt;"Serviço",0,IF(AND(AUTOEVENTO="Manual",$M590=1),0,IF(OFFSET(CRONOPLE!$F$14,$M590,BJ$13)="",10^12,OFFSET(CRONOPLE!$F$14,$M590,BJ$13))))</f>
        <v>1000000000000</v>
      </c>
      <c r="BK590" s="215">
        <f ca="1">IF($D590&lt;&gt;"Serviço",0,IF(AND(AUTOEVENTO="Manual",$M590=1),0,IF(OFFSET(CRONOPLE!$F$14,$M590,BK$13)="",10^12,OFFSET(CRONOPLE!$F$14,$M590,BK$13))))</f>
        <v>1000000000000</v>
      </c>
      <c r="BL590" s="215">
        <f ca="1">IF($D590&lt;&gt;"Serviço",0,IF(AND(AUTOEVENTO="Manual",$M590=1),0,IF(OFFSET(CRONOPLE!$F$14,$M590,BL$13)="",10^12,OFFSET(CRONOPLE!$F$14,$M590,BL$13))))</f>
        <v>1000000000000</v>
      </c>
      <c r="BM590" s="215">
        <f ca="1">IF($D590&lt;&gt;"Serviço",0,IF(AND(AUTOEVENTO="Manual",$M590=1),0,IF(OFFSET(CRONOPLE!$F$14,$M590,BM$13)="",10^12,OFFSET(CRONOPLE!$F$14,$M590,BM$13))))</f>
        <v>1000000000000</v>
      </c>
      <c r="BN590" s="215">
        <f ca="1">IF($D590&lt;&gt;"Serviço",0,IF(AND(AUTOEVENTO="Manual",$M590=1),0,IF(OFFSET(CRONOPLE!$F$14,$M590,BN$13)="",10^12,OFFSET(CRONOPLE!$F$14,$M590,BN$13))))</f>
        <v>1000000000000</v>
      </c>
      <c r="BO590" s="215">
        <f ca="1">IF($D590&lt;&gt;"Serviço",0,IF(AND(AUTOEVENTO="Manual",$M590=1),0,IF(OFFSET(CRONOPLE!$F$14,$M590,BO$13)="",10^12,OFFSET(CRONOPLE!$F$14,$M590,BO$13))))</f>
        <v>1000000000000</v>
      </c>
      <c r="BP590" s="215">
        <f ca="1">IF($D590&lt;&gt;"Serviço",0,IF(AND(AUTOEVENTO="Manual",$M590=1),0,IF(OFFSET(CRONOPLE!$F$14,$M590,BP$13)="",10^12,OFFSET(CRONOPLE!$F$14,$M590,BP$13))))</f>
        <v>1000000000000</v>
      </c>
      <c r="BQ590" s="215">
        <f ca="1">IF($D590&lt;&gt;"Serviço",0,IF(AND(AUTOEVENTO="Manual",$M590=1),0,IF(OFFSET(CRONOPLE!$F$14,$M590,BQ$13)="",10^12,OFFSET(CRONOPLE!$F$14,$M590,BQ$13))))</f>
        <v>1000000000000</v>
      </c>
      <c r="BR590" s="215">
        <f ca="1">IF($D590&lt;&gt;"Serviço",0,IF(AND(AUTOEVENTO="Manual",$M590=1),0,IF(OFFSET(CRONOPLE!$F$14,$M590,BR$13)="",10^12,OFFSET(CRONOPLE!$F$14,$M590,BR$13))))</f>
        <v>1000000000000</v>
      </c>
      <c r="BS590" s="215">
        <f ca="1">IF($D590&lt;&gt;"Serviço",0,IF(AND(AUTOEVENTO="Manual",$M590=1),0,IF(OFFSET(CRONOPLE!$F$14,$M590,BS$13)="",10^12,OFFSET(CRONOPLE!$F$14,$M590,BS$13))))</f>
        <v>1000000000000</v>
      </c>
      <c r="BT590" s="215">
        <f ca="1">IF($D590&lt;&gt;"Serviço",0,IF(AND(AUTOEVENTO="Manual",$M590=1),0,IF(OFFSET(CRONOPLE!$F$14,$M590,BT$13)="",10^12,OFFSET(CRONOPLE!$F$14,$M590,BT$13))))</f>
        <v>1000000000000</v>
      </c>
      <c r="BV590" s="216">
        <f ca="1">IF($D590&lt;&gt;"Serviço",0,IF(OR(AND(AUTOEVENTO="Manual",$M590=1),$M590&gt;(ROW(PLE.lastrow)-ROW(PLE.firstrow))),0,IF(OFFSET(PLE!$G$14,$M590,BV$13)="",10^12,OFFSET(PLE!$G$14,$M590,BV$13))))</f>
        <v>1000000000000</v>
      </c>
      <c r="BW590" s="216">
        <f ca="1">IF($D590&lt;&gt;"Serviço",0,IF(OR(AND(AUTOEVENTO="Manual",$M590=1),$M590&gt;(ROW(PLE.lastrow)-ROW(PLE.firstrow))),0,IF(OFFSET(PLE!$G$14,$M590,BW$13)="",10^12,OFFSET(PLE!$G$14,$M590,BW$13))))</f>
        <v>1000000000000</v>
      </c>
      <c r="BX590" s="216">
        <f ca="1">IF($D590&lt;&gt;"Serviço",0,IF(OR(AND(AUTOEVENTO="Manual",$M590=1),$M590&gt;(ROW(PLE.lastrow)-ROW(PLE.firstrow))),0,IF(OFFSET(PLE!$G$14,$M590,BX$13)="",10^12,OFFSET(PLE!$G$14,$M590,BX$13))))</f>
        <v>1000000000000</v>
      </c>
      <c r="BY590" s="216">
        <f ca="1">IF($D590&lt;&gt;"Serviço",0,IF(OR(AND(AUTOEVENTO="Manual",$M590=1),$M590&gt;(ROW(PLE.lastrow)-ROW(PLE.firstrow))),0,IF(OFFSET(PLE!$G$14,$M590,BY$13)="",10^12,OFFSET(PLE!$G$14,$M590,BY$13))))</f>
        <v>1000000000000</v>
      </c>
      <c r="BZ590" s="216">
        <f ca="1">IF($D590&lt;&gt;"Serviço",0,IF(OR(AND(AUTOEVENTO="Manual",$M590=1),$M590&gt;(ROW(PLE.lastrow)-ROW(PLE.firstrow))),0,IF(OFFSET(PLE!$G$14,$M590,BZ$13)="",10^12,OFFSET(PLE!$G$14,$M590,BZ$13))))</f>
        <v>1000000000000</v>
      </c>
      <c r="CA590" s="216">
        <f ca="1">IF($D590&lt;&gt;"Serviço",0,IF(OR(AND(AUTOEVENTO="Manual",$M590=1),$M590&gt;(ROW(PLE.lastrow)-ROW(PLE.firstrow))),0,IF(OFFSET(PLE!$G$14,$M590,CA$13)="",10^12,OFFSET(PLE!$G$14,$M590,CA$13))))</f>
        <v>1000000000000</v>
      </c>
      <c r="CB590" s="216">
        <f ca="1">IF($D590&lt;&gt;"Serviço",0,IF(OR(AND(AUTOEVENTO="Manual",$M590=1),$M590&gt;(ROW(PLE.lastrow)-ROW(PLE.firstrow))),0,IF(OFFSET(PLE!$G$14,$M590,CB$13)="",10^12,OFFSET(PLE!$G$14,$M590,CB$13))))</f>
        <v>1000000000000</v>
      </c>
      <c r="CC590" s="216">
        <f ca="1">IF($D590&lt;&gt;"Serviço",0,IF(OR(AND(AUTOEVENTO="Manual",$M590=1),$M590&gt;(ROW(PLE.lastrow)-ROW(PLE.firstrow))),0,IF(OFFSET(PLE!$G$14,$M590,CC$13)="",10^12,OFFSET(PLE!$G$14,$M590,CC$13))))</f>
        <v>1000000000000</v>
      </c>
      <c r="CD590" s="216">
        <f ca="1">IF($D590&lt;&gt;"Serviço",0,IF(OR(AND(AUTOEVENTO="Manual",$M590=1),$M590&gt;(ROW(PLE.lastrow)-ROW(PLE.firstrow))),0,IF(OFFSET(PLE!$G$14,$M590,CD$13)="",10^12,OFFSET(PLE!$G$14,$M590,CD$13))))</f>
        <v>1000000000000</v>
      </c>
      <c r="CE590" s="216">
        <f ca="1">IF($D590&lt;&gt;"Serviço",0,IF(OR(AND(AUTOEVENTO="Manual",$M590=1),$M590&gt;(ROW(PLE.lastrow)-ROW(PLE.firstrow))),0,IF(OFFSET(PLE!$G$14,$M590,CE$13)="",10^12,OFFSET(PLE!$G$14,$M590,CE$13))))</f>
        <v>1000000000000</v>
      </c>
      <c r="CF590" s="216">
        <f ca="1">IF($D590&lt;&gt;"Serviço",0,IF(OR(AND(AUTOEVENTO="Manual",$M590=1),$M590&gt;(ROW(PLE.lastrow)-ROW(PLE.firstrow))),0,IF(OFFSET(PLE!$G$14,$M590,CF$13)="",10^12,OFFSET(PLE!$G$14,$M590,CF$13))))</f>
        <v>1000000000000</v>
      </c>
      <c r="CG590" s="216">
        <f ca="1">IF($D590&lt;&gt;"Serviço",0,IF(OR(AND(AUTOEVENTO="Manual",$M590=1),$M590&gt;(ROW(PLE.lastrow)-ROW(PLE.firstrow))),0,IF(OFFSET(PLE!$G$14,$M590,CG$13)="",10^12,OFFSET(PLE!$G$14,$M590,CG$13))))</f>
        <v>1000000000000</v>
      </c>
      <c r="CH590" s="216">
        <f ca="1">IF($D590&lt;&gt;"Serviço",0,IF(OR(AND(AUTOEVENTO="Manual",$M590=1),$M590&gt;(ROW(PLE.lastrow)-ROW(PLE.firstrow))),0,IF(OFFSET(PLE!$G$14,$M590,CH$13)="",10^12,OFFSET(PLE!$G$14,$M590,CH$13))))</f>
        <v>1000000000000</v>
      </c>
      <c r="CI590" s="216">
        <f ca="1">IF($D590&lt;&gt;"Serviço",0,IF(OR(AND(AUTOEVENTO="Manual",$M590=1),$M590&gt;(ROW(PLE.lastrow)-ROW(PLE.firstrow))),0,IF(OFFSET(PLE!$G$14,$M590,CI$13)="",10^12,OFFSET(PLE!$G$14,$M590,CI$13))))</f>
        <v>1000000000000</v>
      </c>
      <c r="CJ590" s="216">
        <f ca="1">IF($D590&lt;&gt;"Serviço",0,IF(OR(AND(AUTOEVENTO="Manual",$M590=1),$M590&gt;(ROW(PLE.lastrow)-ROW(PLE.firstrow))),0,IF(OFFSET(PLE!$G$14,$M590,CJ$13)="",10^12,OFFSET(PLE!$G$14,$M590,CJ$13))))</f>
        <v>1000000000000</v>
      </c>
      <c r="CK590" s="216">
        <f ca="1">IF($D590&lt;&gt;"Serviço",0,IF(OR(AND(AUTOEVENTO="Manual",$M590=1),$M590&gt;(ROW(PLE.lastrow)-ROW(PLE.firstrow))),0,IF(OFFSET(PLE!$G$14,$M590,CK$13)="",10^12,OFFSET(PLE!$G$14,$M590,CK$13))))</f>
        <v>1000000000000</v>
      </c>
      <c r="CL590" s="216">
        <f ca="1">IF($D590&lt;&gt;"Serviço",0,IF(OR(AND(AUTOEVENTO="Manual",$M590=1),$M590&gt;(ROW(PLE.lastrow)-ROW(PLE.firstrow))),0,IF(OFFSET(PLE!$G$14,$M590,CL$13)="",10^12,OFFSET(PLE!$G$14,$M590,CL$13))))</f>
        <v>1000000000000</v>
      </c>
      <c r="CM590" s="216">
        <f ca="1">IF($D590&lt;&gt;"Serviço",0,IF(OR(AND(AUTOEVENTO="Manual",$M590=1),$M590&gt;(ROW(PLE.lastrow)-ROW(PLE.firstrow))),0,IF(OFFSET(PLE!$G$14,$M590,CM$13)="",10^12,OFFSET(PLE!$G$14,$M590,CM$13))))</f>
        <v>1000000000000</v>
      </c>
    </row>
    <row r="591" spans="1:91" ht="13.2" x14ac:dyDescent="0.25">
      <c r="A591" s="9">
        <f t="shared" ca="1" si="18"/>
        <v>0</v>
      </c>
      <c r="B591" s="9" t="str">
        <f ca="1">OFFSET(ORÇAMENTO!C$15,ROW(B591)-ROW(B$15),0)</f>
        <v>S</v>
      </c>
      <c r="C591" s="9" t="str">
        <f ca="1">OFFSET(ORÇAMENTO!L$15,ROW(C591)-ROW(C$15),0)</f>
        <v/>
      </c>
      <c r="D591" s="145" t="str">
        <f ca="1">OFFSET(ORÇAMENTO!N$15,ROW(D591)-ROW(D$15),0)</f>
        <v>Serviço</v>
      </c>
      <c r="E591" s="205" t="str">
        <f ca="1">OFFSET(ORÇAMENTO!O$15,ROW(E591)-ROW(E$15),0)</f>
        <v>-</v>
      </c>
      <c r="F591" s="206" t="str">
        <f ca="1">OFFSET(ORÇAMENTO!R$15,ROW(F591)-ROW(F$15),0)</f>
        <v>(abra o arquivo 'Referência 05-2024.xls)</v>
      </c>
      <c r="G591" s="207" t="str">
        <f ca="1">IF($D591&lt;&gt;"Serviço","",OFFSET(ORÇAMENTO!S$15,ROW(G591)-ROW(G$15),0))</f>
        <v>-</v>
      </c>
      <c r="H591" s="151">
        <f ca="1">IF($D591&lt;&gt;"Serviço",0,IF(ACOMPANHAMENTO="BM",ROUND(OFFSET(ORÇAMENTO!AJ$15,ROW(H591)-ROW(H$15),0),15-13*ORÇAMENTO!$AF$7),SUMPRODUCT(($Q$12:$AI$12&lt;&gt;"")*ROUND($Q591:$AI591,15-13*ORÇAMENTO!$AF$7))))</f>
        <v>221.6</v>
      </c>
      <c r="I591" s="650"/>
      <c r="K591" s="208"/>
      <c r="L591" s="209" t="s">
        <v>257</v>
      </c>
      <c r="M591" s="210">
        <f ca="1">IF($D591&lt;&gt;"Serviço","",IF(AUTOEVENTO="manual",$A591,IF(ISERROR(MATCH($A591,$A$15:OFFSET($A591,-1,0),0)),MAX($M$15:OFFSET(M591,-1,0))+1,INDEX($M$15:OFFSET(M591,-1,0),MATCH($A591,$A$15:OFFSET($A591,-1,0),0)))))</f>
        <v>0</v>
      </c>
      <c r="N591" s="211" t="str">
        <f ca="1">IF($D591&lt;&gt;"Serviço","",IF(AUTOEVENTO="Manual",IF($A591=0,"&lt;-- defina o número do agrupador",OFFSET(EVENTOS!$D$14,$A591,0)),OFFSET($F$15,$A591,0)))</f>
        <v>&lt;-- defina o número do agrupador</v>
      </c>
      <c r="O591" s="212"/>
      <c r="Q591" s="212"/>
      <c r="R591" s="213"/>
      <c r="S591" s="213"/>
      <c r="T591" s="213"/>
      <c r="U591" s="213"/>
      <c r="V591" s="213"/>
      <c r="W591" s="213"/>
      <c r="X591" s="213"/>
      <c r="Y591" s="213"/>
      <c r="Z591" s="214"/>
      <c r="AA591" s="213"/>
      <c r="AB591" s="213"/>
      <c r="AC591" s="213"/>
      <c r="AD591" s="213"/>
      <c r="AE591" s="213"/>
      <c r="AF591" s="213"/>
      <c r="AG591" s="213"/>
      <c r="AH591" s="214"/>
      <c r="AJ591" s="631">
        <f ca="1">IF(AND($D591="Serviço",AJ$12&lt;&gt;0,$H591&gt;0,OR(AUTOEVENTO&lt;&gt;"manual",$M591&lt;&gt;1)),ROUND(OFFSET($P591,0,AJ$13),15-13*ORÇAMENTO!$AF$7)/$H591*OFFSET(ORÇAMENTO!$X$15,ROW(AJ591)-ROW(AJ$15),0),0)</f>
        <v>0</v>
      </c>
      <c r="AK591" s="632">
        <f ca="1">IF(AND($D591="Serviço",AK$12&lt;&gt;0,$H591&gt;0,OR(AUTOEVENTO&lt;&gt;"manual",$M591&lt;&gt;1)),ROUND(OFFSET($P591,0,AK$13),15-13*ORÇAMENTO!$AF$7)/$H591*OFFSET(ORÇAMENTO!$X$15,ROW(AK591)-ROW(AK$15),0),0)</f>
        <v>0</v>
      </c>
      <c r="AL591" s="632">
        <f ca="1">IF(AND($D591="Serviço",AL$12&lt;&gt;0,$H591&gt;0,OR(AUTOEVENTO&lt;&gt;"manual",$M591&lt;&gt;1)),ROUND(OFFSET($P591,0,AL$13),15-13*ORÇAMENTO!$AF$7)/$H591*OFFSET(ORÇAMENTO!$X$15,ROW(AL591)-ROW(AL$15),0),0)</f>
        <v>0</v>
      </c>
      <c r="AM591" s="632">
        <f ca="1">IF(AND($D591="Serviço",AM$12&lt;&gt;0,$H591&gt;0,OR(AUTOEVENTO&lt;&gt;"manual",$M591&lt;&gt;1)),ROUND(OFFSET($P591,0,AM$13),15-13*ORÇAMENTO!$AF$7)/$H591*OFFSET(ORÇAMENTO!$X$15,ROW(AM591)-ROW(AM$15),0),0)</f>
        <v>0</v>
      </c>
      <c r="AN591" s="632">
        <f ca="1">IF(AND($D591="Serviço",AN$12&lt;&gt;0,$H591&gt;0,OR(AUTOEVENTO&lt;&gt;"manual",$M591&lt;&gt;1)),ROUND(OFFSET($P591,0,AN$13),15-13*ORÇAMENTO!$AF$7)/$H591*OFFSET(ORÇAMENTO!$X$15,ROW(AN591)-ROW(AN$15),0),0)</f>
        <v>0</v>
      </c>
      <c r="AO591" s="632">
        <f ca="1">IF(AND($D591="Serviço",AO$12&lt;&gt;0,$H591&gt;0,OR(AUTOEVENTO&lt;&gt;"manual",$M591&lt;&gt;1)),ROUND(OFFSET($P591,0,AO$13),15-13*ORÇAMENTO!$AF$7)/$H591*OFFSET(ORÇAMENTO!$X$15,ROW(AO591)-ROW(AO$15),0),0)</f>
        <v>0</v>
      </c>
      <c r="AP591" s="632">
        <f ca="1">IF(AND($D591="Serviço",AP$12&lt;&gt;0,$H591&gt;0,OR(AUTOEVENTO&lt;&gt;"manual",$M591&lt;&gt;1)),ROUND(OFFSET($P591,0,AP$13),15-13*ORÇAMENTO!$AF$7)/$H591*OFFSET(ORÇAMENTO!$X$15,ROW(AP591)-ROW(AP$15),0),0)</f>
        <v>0</v>
      </c>
      <c r="AQ591" s="632">
        <f ca="1">IF(AND($D591="Serviço",AQ$12&lt;&gt;0,$H591&gt;0,OR(AUTOEVENTO&lt;&gt;"manual",$M591&lt;&gt;1)),ROUND(OFFSET($P591,0,AQ$13),15-13*ORÇAMENTO!$AF$7)/$H591*OFFSET(ORÇAMENTO!$X$15,ROW(AQ591)-ROW(AQ$15),0),0)</f>
        <v>0</v>
      </c>
      <c r="AR591" s="632">
        <f ca="1">IF(AND($D591="Serviço",AR$12&lt;&gt;0,$H591&gt;0,OR(AUTOEVENTO&lt;&gt;"manual",$M591&lt;&gt;1)),ROUND(OFFSET($P591,0,AR$13),15-13*ORÇAMENTO!$AF$7)/$H591*OFFSET(ORÇAMENTO!$X$15,ROW(AR591)-ROW(AR$15),0),0)</f>
        <v>0</v>
      </c>
      <c r="AS591" s="633">
        <f ca="1">IF(AND($D591="Serviço",AS$12&lt;&gt;0,$H591&gt;0,OR(AUTOEVENTO&lt;&gt;"manual",$M591&lt;&gt;1)),ROUND(OFFSET($P591,0,AS$13),15-13*ORÇAMENTO!$AF$7)/$H591*OFFSET(ORÇAMENTO!$X$15,ROW(AS591)-ROW(AS$15),0),0)</f>
        <v>0</v>
      </c>
      <c r="AT591" s="632">
        <f ca="1">IF(AND($D591="Serviço",AT$12&lt;&gt;0,$H591&gt;0,OR(AUTOEVENTO&lt;&gt;"manual",$M591&lt;&gt;1)),ROUND(OFFSET($P591,0,AT$13),15-13*ORÇAMENTO!$AF$7)/$H591*OFFSET(ORÇAMENTO!$X$15,ROW(AT591)-ROW(AT$15),0),0)</f>
        <v>0</v>
      </c>
      <c r="AU591" s="632">
        <f ca="1">IF(AND($D591="Serviço",AU$12&lt;&gt;0,$H591&gt;0,OR(AUTOEVENTO&lt;&gt;"manual",$M591&lt;&gt;1)),ROUND(OFFSET($P591,0,AU$13),15-13*ORÇAMENTO!$AF$7)/$H591*OFFSET(ORÇAMENTO!$X$15,ROW(AU591)-ROW(AU$15),0),0)</f>
        <v>0</v>
      </c>
      <c r="AV591" s="632">
        <f ca="1">IF(AND($D591="Serviço",AV$12&lt;&gt;0,$H591&gt;0,OR(AUTOEVENTO&lt;&gt;"manual",$M591&lt;&gt;1)),ROUND(OFFSET($P591,0,AV$13),15-13*ORÇAMENTO!$AF$7)/$H591*OFFSET(ORÇAMENTO!$X$15,ROW(AV591)-ROW(AV$15),0),0)</f>
        <v>0</v>
      </c>
      <c r="AW591" s="632">
        <f ca="1">IF(AND($D591="Serviço",AW$12&lt;&gt;0,$H591&gt;0,OR(AUTOEVENTO&lt;&gt;"manual",$M591&lt;&gt;1)),ROUND(OFFSET($P591,0,AW$13),15-13*ORÇAMENTO!$AF$7)/$H591*OFFSET(ORÇAMENTO!$X$15,ROW(AW591)-ROW(AW$15),0),0)</f>
        <v>0</v>
      </c>
      <c r="AX591" s="632">
        <f ca="1">IF(AND($D591="Serviço",AX$12&lt;&gt;0,$H591&gt;0,OR(AUTOEVENTO&lt;&gt;"manual",$M591&lt;&gt;1)),ROUND(OFFSET($P591,0,AX$13),15-13*ORÇAMENTO!$AF$7)/$H591*OFFSET(ORÇAMENTO!$X$15,ROW(AX591)-ROW(AX$15),0),0)</f>
        <v>0</v>
      </c>
      <c r="AY591" s="632">
        <f ca="1">IF(AND($D591="Serviço",AY$12&lt;&gt;0,$H591&gt;0,OR(AUTOEVENTO&lt;&gt;"manual",$M591&lt;&gt;1)),ROUND(OFFSET($P591,0,AY$13),15-13*ORÇAMENTO!$AF$7)/$H591*OFFSET(ORÇAMENTO!$X$15,ROW(AY591)-ROW(AY$15),0),0)</f>
        <v>0</v>
      </c>
      <c r="AZ591" s="632">
        <f ca="1">IF(AND($D591="Serviço",AZ$12&lt;&gt;0,$H591&gt;0,OR(AUTOEVENTO&lt;&gt;"manual",$M591&lt;&gt;1)),ROUND(OFFSET($P591,0,AZ$13),15-13*ORÇAMENTO!$AF$7)/$H591*OFFSET(ORÇAMENTO!$X$15,ROW(AZ591)-ROW(AZ$15),0),0)</f>
        <v>0</v>
      </c>
      <c r="BA591" s="633">
        <f ca="1">IF(AND($D591="Serviço",BA$12&lt;&gt;0,$H591&gt;0,OR(AUTOEVENTO&lt;&gt;"manual",$M591&lt;&gt;1)),ROUND(OFFSET($P591,0,BA$13),15-13*ORÇAMENTO!$AF$7)/$H591*OFFSET(ORÇAMENTO!$X$15,ROW(BA591)-ROW(BA$15),0),0)</f>
        <v>0</v>
      </c>
      <c r="BC591" s="215">
        <f ca="1">IF($D591&lt;&gt;"Serviço",0,IF(AND(AUTOEVENTO="Manual",$M591=1),0,IF(OFFSET(CRONOPLE!$F$14,$M591,BC$13)="",10^12,OFFSET(CRONOPLE!$F$14,$M591,BC$13))))</f>
        <v>1000000000000</v>
      </c>
      <c r="BD591" s="215">
        <f ca="1">IF($D591&lt;&gt;"Serviço",0,IF(AND(AUTOEVENTO="Manual",$M591=1),0,IF(OFFSET(CRONOPLE!$F$14,$M591,BD$13)="",10^12,OFFSET(CRONOPLE!$F$14,$M591,BD$13))))</f>
        <v>1000000000000</v>
      </c>
      <c r="BE591" s="215">
        <f ca="1">IF($D591&lt;&gt;"Serviço",0,IF(AND(AUTOEVENTO="Manual",$M591=1),0,IF(OFFSET(CRONOPLE!$F$14,$M591,BE$13)="",10^12,OFFSET(CRONOPLE!$F$14,$M591,BE$13))))</f>
        <v>1000000000000</v>
      </c>
      <c r="BF591" s="215">
        <f ca="1">IF($D591&lt;&gt;"Serviço",0,IF(AND(AUTOEVENTO="Manual",$M591=1),0,IF(OFFSET(CRONOPLE!$F$14,$M591,BF$13)="",10^12,OFFSET(CRONOPLE!$F$14,$M591,BF$13))))</f>
        <v>1000000000000</v>
      </c>
      <c r="BG591" s="215">
        <f ca="1">IF($D591&lt;&gt;"Serviço",0,IF(AND(AUTOEVENTO="Manual",$M591=1),0,IF(OFFSET(CRONOPLE!$F$14,$M591,BG$13)="",10^12,OFFSET(CRONOPLE!$F$14,$M591,BG$13))))</f>
        <v>1000000000000</v>
      </c>
      <c r="BH591" s="215">
        <f ca="1">IF($D591&lt;&gt;"Serviço",0,IF(AND(AUTOEVENTO="Manual",$M591=1),0,IF(OFFSET(CRONOPLE!$F$14,$M591,BH$13)="",10^12,OFFSET(CRONOPLE!$F$14,$M591,BH$13))))</f>
        <v>1000000000000</v>
      </c>
      <c r="BI591" s="215">
        <f ca="1">IF($D591&lt;&gt;"Serviço",0,IF(AND(AUTOEVENTO="Manual",$M591=1),0,IF(OFFSET(CRONOPLE!$F$14,$M591,BI$13)="",10^12,OFFSET(CRONOPLE!$F$14,$M591,BI$13))))</f>
        <v>1000000000000</v>
      </c>
      <c r="BJ591" s="215">
        <f ca="1">IF($D591&lt;&gt;"Serviço",0,IF(AND(AUTOEVENTO="Manual",$M591=1),0,IF(OFFSET(CRONOPLE!$F$14,$M591,BJ$13)="",10^12,OFFSET(CRONOPLE!$F$14,$M591,BJ$13))))</f>
        <v>1000000000000</v>
      </c>
      <c r="BK591" s="215">
        <f ca="1">IF($D591&lt;&gt;"Serviço",0,IF(AND(AUTOEVENTO="Manual",$M591=1),0,IF(OFFSET(CRONOPLE!$F$14,$M591,BK$13)="",10^12,OFFSET(CRONOPLE!$F$14,$M591,BK$13))))</f>
        <v>1000000000000</v>
      </c>
      <c r="BL591" s="215">
        <f ca="1">IF($D591&lt;&gt;"Serviço",0,IF(AND(AUTOEVENTO="Manual",$M591=1),0,IF(OFFSET(CRONOPLE!$F$14,$M591,BL$13)="",10^12,OFFSET(CRONOPLE!$F$14,$M591,BL$13))))</f>
        <v>1000000000000</v>
      </c>
      <c r="BM591" s="215">
        <f ca="1">IF($D591&lt;&gt;"Serviço",0,IF(AND(AUTOEVENTO="Manual",$M591=1),0,IF(OFFSET(CRONOPLE!$F$14,$M591,BM$13)="",10^12,OFFSET(CRONOPLE!$F$14,$M591,BM$13))))</f>
        <v>1000000000000</v>
      </c>
      <c r="BN591" s="215">
        <f ca="1">IF($D591&lt;&gt;"Serviço",0,IF(AND(AUTOEVENTO="Manual",$M591=1),0,IF(OFFSET(CRONOPLE!$F$14,$M591,BN$13)="",10^12,OFFSET(CRONOPLE!$F$14,$M591,BN$13))))</f>
        <v>1000000000000</v>
      </c>
      <c r="BO591" s="215">
        <f ca="1">IF($D591&lt;&gt;"Serviço",0,IF(AND(AUTOEVENTO="Manual",$M591=1),0,IF(OFFSET(CRONOPLE!$F$14,$M591,BO$13)="",10^12,OFFSET(CRONOPLE!$F$14,$M591,BO$13))))</f>
        <v>1000000000000</v>
      </c>
      <c r="BP591" s="215">
        <f ca="1">IF($D591&lt;&gt;"Serviço",0,IF(AND(AUTOEVENTO="Manual",$M591=1),0,IF(OFFSET(CRONOPLE!$F$14,$M591,BP$13)="",10^12,OFFSET(CRONOPLE!$F$14,$M591,BP$13))))</f>
        <v>1000000000000</v>
      </c>
      <c r="BQ591" s="215">
        <f ca="1">IF($D591&lt;&gt;"Serviço",0,IF(AND(AUTOEVENTO="Manual",$M591=1),0,IF(OFFSET(CRONOPLE!$F$14,$M591,BQ$13)="",10^12,OFFSET(CRONOPLE!$F$14,$M591,BQ$13))))</f>
        <v>1000000000000</v>
      </c>
      <c r="BR591" s="215">
        <f ca="1">IF($D591&lt;&gt;"Serviço",0,IF(AND(AUTOEVENTO="Manual",$M591=1),0,IF(OFFSET(CRONOPLE!$F$14,$M591,BR$13)="",10^12,OFFSET(CRONOPLE!$F$14,$M591,BR$13))))</f>
        <v>1000000000000</v>
      </c>
      <c r="BS591" s="215">
        <f ca="1">IF($D591&lt;&gt;"Serviço",0,IF(AND(AUTOEVENTO="Manual",$M591=1),0,IF(OFFSET(CRONOPLE!$F$14,$M591,BS$13)="",10^12,OFFSET(CRONOPLE!$F$14,$M591,BS$13))))</f>
        <v>1000000000000</v>
      </c>
      <c r="BT591" s="215">
        <f ca="1">IF($D591&lt;&gt;"Serviço",0,IF(AND(AUTOEVENTO="Manual",$M591=1),0,IF(OFFSET(CRONOPLE!$F$14,$M591,BT$13)="",10^12,OFFSET(CRONOPLE!$F$14,$M591,BT$13))))</f>
        <v>1000000000000</v>
      </c>
      <c r="BV591" s="216">
        <f ca="1">IF($D591&lt;&gt;"Serviço",0,IF(OR(AND(AUTOEVENTO="Manual",$M591=1),$M591&gt;(ROW(PLE.lastrow)-ROW(PLE.firstrow))),0,IF(OFFSET(PLE!$G$14,$M591,BV$13)="",10^12,OFFSET(PLE!$G$14,$M591,BV$13))))</f>
        <v>1000000000000</v>
      </c>
      <c r="BW591" s="216">
        <f ca="1">IF($D591&lt;&gt;"Serviço",0,IF(OR(AND(AUTOEVENTO="Manual",$M591=1),$M591&gt;(ROW(PLE.lastrow)-ROW(PLE.firstrow))),0,IF(OFFSET(PLE!$G$14,$M591,BW$13)="",10^12,OFFSET(PLE!$G$14,$M591,BW$13))))</f>
        <v>1000000000000</v>
      </c>
      <c r="BX591" s="216">
        <f ca="1">IF($D591&lt;&gt;"Serviço",0,IF(OR(AND(AUTOEVENTO="Manual",$M591=1),$M591&gt;(ROW(PLE.lastrow)-ROW(PLE.firstrow))),0,IF(OFFSET(PLE!$G$14,$M591,BX$13)="",10^12,OFFSET(PLE!$G$14,$M591,BX$13))))</f>
        <v>1000000000000</v>
      </c>
      <c r="BY591" s="216">
        <f ca="1">IF($D591&lt;&gt;"Serviço",0,IF(OR(AND(AUTOEVENTO="Manual",$M591=1),$M591&gt;(ROW(PLE.lastrow)-ROW(PLE.firstrow))),0,IF(OFFSET(PLE!$G$14,$M591,BY$13)="",10^12,OFFSET(PLE!$G$14,$M591,BY$13))))</f>
        <v>1000000000000</v>
      </c>
      <c r="BZ591" s="216">
        <f ca="1">IF($D591&lt;&gt;"Serviço",0,IF(OR(AND(AUTOEVENTO="Manual",$M591=1),$M591&gt;(ROW(PLE.lastrow)-ROW(PLE.firstrow))),0,IF(OFFSET(PLE!$G$14,$M591,BZ$13)="",10^12,OFFSET(PLE!$G$14,$M591,BZ$13))))</f>
        <v>1000000000000</v>
      </c>
      <c r="CA591" s="216">
        <f ca="1">IF($D591&lt;&gt;"Serviço",0,IF(OR(AND(AUTOEVENTO="Manual",$M591=1),$M591&gt;(ROW(PLE.lastrow)-ROW(PLE.firstrow))),0,IF(OFFSET(PLE!$G$14,$M591,CA$13)="",10^12,OFFSET(PLE!$G$14,$M591,CA$13))))</f>
        <v>1000000000000</v>
      </c>
      <c r="CB591" s="216">
        <f ca="1">IF($D591&lt;&gt;"Serviço",0,IF(OR(AND(AUTOEVENTO="Manual",$M591=1),$M591&gt;(ROW(PLE.lastrow)-ROW(PLE.firstrow))),0,IF(OFFSET(PLE!$G$14,$M591,CB$13)="",10^12,OFFSET(PLE!$G$14,$M591,CB$13))))</f>
        <v>1000000000000</v>
      </c>
      <c r="CC591" s="216">
        <f ca="1">IF($D591&lt;&gt;"Serviço",0,IF(OR(AND(AUTOEVENTO="Manual",$M591=1),$M591&gt;(ROW(PLE.lastrow)-ROW(PLE.firstrow))),0,IF(OFFSET(PLE!$G$14,$M591,CC$13)="",10^12,OFFSET(PLE!$G$14,$M591,CC$13))))</f>
        <v>1000000000000</v>
      </c>
      <c r="CD591" s="216">
        <f ca="1">IF($D591&lt;&gt;"Serviço",0,IF(OR(AND(AUTOEVENTO="Manual",$M591=1),$M591&gt;(ROW(PLE.lastrow)-ROW(PLE.firstrow))),0,IF(OFFSET(PLE!$G$14,$M591,CD$13)="",10^12,OFFSET(PLE!$G$14,$M591,CD$13))))</f>
        <v>1000000000000</v>
      </c>
      <c r="CE591" s="216">
        <f ca="1">IF($D591&lt;&gt;"Serviço",0,IF(OR(AND(AUTOEVENTO="Manual",$M591=1),$M591&gt;(ROW(PLE.lastrow)-ROW(PLE.firstrow))),0,IF(OFFSET(PLE!$G$14,$M591,CE$13)="",10^12,OFFSET(PLE!$G$14,$M591,CE$13))))</f>
        <v>1000000000000</v>
      </c>
      <c r="CF591" s="216">
        <f ca="1">IF($D591&lt;&gt;"Serviço",0,IF(OR(AND(AUTOEVENTO="Manual",$M591=1),$M591&gt;(ROW(PLE.lastrow)-ROW(PLE.firstrow))),0,IF(OFFSET(PLE!$G$14,$M591,CF$13)="",10^12,OFFSET(PLE!$G$14,$M591,CF$13))))</f>
        <v>1000000000000</v>
      </c>
      <c r="CG591" s="216">
        <f ca="1">IF($D591&lt;&gt;"Serviço",0,IF(OR(AND(AUTOEVENTO="Manual",$M591=1),$M591&gt;(ROW(PLE.lastrow)-ROW(PLE.firstrow))),0,IF(OFFSET(PLE!$G$14,$M591,CG$13)="",10^12,OFFSET(PLE!$G$14,$M591,CG$13))))</f>
        <v>1000000000000</v>
      </c>
      <c r="CH591" s="216">
        <f ca="1">IF($D591&lt;&gt;"Serviço",0,IF(OR(AND(AUTOEVENTO="Manual",$M591=1),$M591&gt;(ROW(PLE.lastrow)-ROW(PLE.firstrow))),0,IF(OFFSET(PLE!$G$14,$M591,CH$13)="",10^12,OFFSET(PLE!$G$14,$M591,CH$13))))</f>
        <v>1000000000000</v>
      </c>
      <c r="CI591" s="216">
        <f ca="1">IF($D591&lt;&gt;"Serviço",0,IF(OR(AND(AUTOEVENTO="Manual",$M591=1),$M591&gt;(ROW(PLE.lastrow)-ROW(PLE.firstrow))),0,IF(OFFSET(PLE!$G$14,$M591,CI$13)="",10^12,OFFSET(PLE!$G$14,$M591,CI$13))))</f>
        <v>1000000000000</v>
      </c>
      <c r="CJ591" s="216">
        <f ca="1">IF($D591&lt;&gt;"Serviço",0,IF(OR(AND(AUTOEVENTO="Manual",$M591=1),$M591&gt;(ROW(PLE.lastrow)-ROW(PLE.firstrow))),0,IF(OFFSET(PLE!$G$14,$M591,CJ$13)="",10^12,OFFSET(PLE!$G$14,$M591,CJ$13))))</f>
        <v>1000000000000</v>
      </c>
      <c r="CK591" s="216">
        <f ca="1">IF($D591&lt;&gt;"Serviço",0,IF(OR(AND(AUTOEVENTO="Manual",$M591=1),$M591&gt;(ROW(PLE.lastrow)-ROW(PLE.firstrow))),0,IF(OFFSET(PLE!$G$14,$M591,CK$13)="",10^12,OFFSET(PLE!$G$14,$M591,CK$13))))</f>
        <v>1000000000000</v>
      </c>
      <c r="CL591" s="216">
        <f ca="1">IF($D591&lt;&gt;"Serviço",0,IF(OR(AND(AUTOEVENTO="Manual",$M591=1),$M591&gt;(ROW(PLE.lastrow)-ROW(PLE.firstrow))),0,IF(OFFSET(PLE!$G$14,$M591,CL$13)="",10^12,OFFSET(PLE!$G$14,$M591,CL$13))))</f>
        <v>1000000000000</v>
      </c>
      <c r="CM591" s="216">
        <f ca="1">IF($D591&lt;&gt;"Serviço",0,IF(OR(AND(AUTOEVENTO="Manual",$M591=1),$M591&gt;(ROW(PLE.lastrow)-ROW(PLE.firstrow))),0,IF(OFFSET(PLE!$G$14,$M591,CM$13)="",10^12,OFFSET(PLE!$G$14,$M591,CM$13))))</f>
        <v>1000000000000</v>
      </c>
    </row>
    <row r="592" spans="1:91" ht="13.2" x14ac:dyDescent="0.25">
      <c r="A592" s="9">
        <f t="shared" ca="1" si="18"/>
        <v>0</v>
      </c>
      <c r="B592" s="9">
        <f ca="1">OFFSET(ORÇAMENTO!C$15,ROW(B592)-ROW(B$15),0)</f>
        <v>3</v>
      </c>
      <c r="C592" s="9" t="str">
        <f ca="1">OFFSET(ORÇAMENTO!L$15,ROW(C592)-ROW(C$15),0)</f>
        <v>F</v>
      </c>
      <c r="D592" s="145" t="str">
        <f ca="1">OFFSET(ORÇAMENTO!N$15,ROW(D592)-ROW(D$15),0)</f>
        <v>Nível 3</v>
      </c>
      <c r="E592" s="205" t="str">
        <f ca="1">OFFSET(ORÇAMENTO!O$15,ROW(E592)-ROW(E$15),0)</f>
        <v>1.18.5.</v>
      </c>
      <c r="F592" s="206" t="str">
        <f ca="1">OFFSET(ORÇAMENTO!R$15,ROW(F592)-ROW(F$15),0)</f>
        <v>ELETROCALHAS</v>
      </c>
      <c r="G592" s="207" t="str">
        <f ca="1">IF($D592&lt;&gt;"Serviço","",OFFSET(ORÇAMENTO!S$15,ROW(G592)-ROW(G$15),0))</f>
        <v/>
      </c>
      <c r="H592" s="151">
        <f ca="1">IF($D592&lt;&gt;"Serviço",0,IF(ACOMPANHAMENTO="BM",ROUND(OFFSET(ORÇAMENTO!AJ$15,ROW(H592)-ROW(H$15),0),15-13*ORÇAMENTO!$AF$7),SUMPRODUCT(($Q$12:$AI$12&lt;&gt;"")*ROUND($Q592:$AI592,15-13*ORÇAMENTO!$AF$7))))</f>
        <v>0</v>
      </c>
      <c r="I592" s="650"/>
      <c r="K592" s="208"/>
      <c r="L592" s="209" t="s">
        <v>257</v>
      </c>
      <c r="M592" s="210" t="str">
        <f ca="1">IF($D592&lt;&gt;"Serviço","",IF(AUTOEVENTO="manual",$A592,IF(ISERROR(MATCH($A592,$A$15:OFFSET($A592,-1,0),0)),MAX($M$15:OFFSET(M592,-1,0))+1,INDEX($M$15:OFFSET(M592,-1,0),MATCH($A592,$A$15:OFFSET($A592,-1,0),0)))))</f>
        <v/>
      </c>
      <c r="N592" s="211" t="str">
        <f ca="1">IF($D592&lt;&gt;"Serviço","",IF(AUTOEVENTO="Manual",IF($A592=0,"&lt;-- defina o número do agrupador",OFFSET(EVENTOS!$D$14,$A592,0)),OFFSET($F$15,$A592,0)))</f>
        <v/>
      </c>
      <c r="O592" s="212"/>
      <c r="Q592" s="212"/>
      <c r="R592" s="213"/>
      <c r="S592" s="213"/>
      <c r="T592" s="213"/>
      <c r="U592" s="213"/>
      <c r="V592" s="213"/>
      <c r="W592" s="213"/>
      <c r="X592" s="213"/>
      <c r="Y592" s="213"/>
      <c r="Z592" s="214"/>
      <c r="AA592" s="213"/>
      <c r="AB592" s="213"/>
      <c r="AC592" s="213"/>
      <c r="AD592" s="213"/>
      <c r="AE592" s="213"/>
      <c r="AF592" s="213"/>
      <c r="AG592" s="213"/>
      <c r="AH592" s="214"/>
      <c r="AJ592" s="631">
        <f ca="1">IF(AND($D592="Serviço",AJ$12&lt;&gt;0,$H592&gt;0,OR(AUTOEVENTO&lt;&gt;"manual",$M592&lt;&gt;1)),ROUND(OFFSET($P592,0,AJ$13),15-13*ORÇAMENTO!$AF$7)/$H592*OFFSET(ORÇAMENTO!$X$15,ROW(AJ592)-ROW(AJ$15),0),0)</f>
        <v>0</v>
      </c>
      <c r="AK592" s="632">
        <f ca="1">IF(AND($D592="Serviço",AK$12&lt;&gt;0,$H592&gt;0,OR(AUTOEVENTO&lt;&gt;"manual",$M592&lt;&gt;1)),ROUND(OFFSET($P592,0,AK$13),15-13*ORÇAMENTO!$AF$7)/$H592*OFFSET(ORÇAMENTO!$X$15,ROW(AK592)-ROW(AK$15),0),0)</f>
        <v>0</v>
      </c>
      <c r="AL592" s="632">
        <f ca="1">IF(AND($D592="Serviço",AL$12&lt;&gt;0,$H592&gt;0,OR(AUTOEVENTO&lt;&gt;"manual",$M592&lt;&gt;1)),ROUND(OFFSET($P592,0,AL$13),15-13*ORÇAMENTO!$AF$7)/$H592*OFFSET(ORÇAMENTO!$X$15,ROW(AL592)-ROW(AL$15),0),0)</f>
        <v>0</v>
      </c>
      <c r="AM592" s="632">
        <f ca="1">IF(AND($D592="Serviço",AM$12&lt;&gt;0,$H592&gt;0,OR(AUTOEVENTO&lt;&gt;"manual",$M592&lt;&gt;1)),ROUND(OFFSET($P592,0,AM$13),15-13*ORÇAMENTO!$AF$7)/$H592*OFFSET(ORÇAMENTO!$X$15,ROW(AM592)-ROW(AM$15),0),0)</f>
        <v>0</v>
      </c>
      <c r="AN592" s="632">
        <f ca="1">IF(AND($D592="Serviço",AN$12&lt;&gt;0,$H592&gt;0,OR(AUTOEVENTO&lt;&gt;"manual",$M592&lt;&gt;1)),ROUND(OFFSET($P592,0,AN$13),15-13*ORÇAMENTO!$AF$7)/$H592*OFFSET(ORÇAMENTO!$X$15,ROW(AN592)-ROW(AN$15),0),0)</f>
        <v>0</v>
      </c>
      <c r="AO592" s="632">
        <f ca="1">IF(AND($D592="Serviço",AO$12&lt;&gt;0,$H592&gt;0,OR(AUTOEVENTO&lt;&gt;"manual",$M592&lt;&gt;1)),ROUND(OFFSET($P592,0,AO$13),15-13*ORÇAMENTO!$AF$7)/$H592*OFFSET(ORÇAMENTO!$X$15,ROW(AO592)-ROW(AO$15),0),0)</f>
        <v>0</v>
      </c>
      <c r="AP592" s="632">
        <f ca="1">IF(AND($D592="Serviço",AP$12&lt;&gt;0,$H592&gt;0,OR(AUTOEVENTO&lt;&gt;"manual",$M592&lt;&gt;1)),ROUND(OFFSET($P592,0,AP$13),15-13*ORÇAMENTO!$AF$7)/$H592*OFFSET(ORÇAMENTO!$X$15,ROW(AP592)-ROW(AP$15),0),0)</f>
        <v>0</v>
      </c>
      <c r="AQ592" s="632">
        <f ca="1">IF(AND($D592="Serviço",AQ$12&lt;&gt;0,$H592&gt;0,OR(AUTOEVENTO&lt;&gt;"manual",$M592&lt;&gt;1)),ROUND(OFFSET($P592,0,AQ$13),15-13*ORÇAMENTO!$AF$7)/$H592*OFFSET(ORÇAMENTO!$X$15,ROW(AQ592)-ROW(AQ$15),0),0)</f>
        <v>0</v>
      </c>
      <c r="AR592" s="632">
        <f ca="1">IF(AND($D592="Serviço",AR$12&lt;&gt;0,$H592&gt;0,OR(AUTOEVENTO&lt;&gt;"manual",$M592&lt;&gt;1)),ROUND(OFFSET($P592,0,AR$13),15-13*ORÇAMENTO!$AF$7)/$H592*OFFSET(ORÇAMENTO!$X$15,ROW(AR592)-ROW(AR$15),0),0)</f>
        <v>0</v>
      </c>
      <c r="AS592" s="633">
        <f ca="1">IF(AND($D592="Serviço",AS$12&lt;&gt;0,$H592&gt;0,OR(AUTOEVENTO&lt;&gt;"manual",$M592&lt;&gt;1)),ROUND(OFFSET($P592,0,AS$13),15-13*ORÇAMENTO!$AF$7)/$H592*OFFSET(ORÇAMENTO!$X$15,ROW(AS592)-ROW(AS$15),0),0)</f>
        <v>0</v>
      </c>
      <c r="AT592" s="632">
        <f ca="1">IF(AND($D592="Serviço",AT$12&lt;&gt;0,$H592&gt;0,OR(AUTOEVENTO&lt;&gt;"manual",$M592&lt;&gt;1)),ROUND(OFFSET($P592,0,AT$13),15-13*ORÇAMENTO!$AF$7)/$H592*OFFSET(ORÇAMENTO!$X$15,ROW(AT592)-ROW(AT$15),0),0)</f>
        <v>0</v>
      </c>
      <c r="AU592" s="632">
        <f ca="1">IF(AND($D592="Serviço",AU$12&lt;&gt;0,$H592&gt;0,OR(AUTOEVENTO&lt;&gt;"manual",$M592&lt;&gt;1)),ROUND(OFFSET($P592,0,AU$13),15-13*ORÇAMENTO!$AF$7)/$H592*OFFSET(ORÇAMENTO!$X$15,ROW(AU592)-ROW(AU$15),0),0)</f>
        <v>0</v>
      </c>
      <c r="AV592" s="632">
        <f ca="1">IF(AND($D592="Serviço",AV$12&lt;&gt;0,$H592&gt;0,OR(AUTOEVENTO&lt;&gt;"manual",$M592&lt;&gt;1)),ROUND(OFFSET($P592,0,AV$13),15-13*ORÇAMENTO!$AF$7)/$H592*OFFSET(ORÇAMENTO!$X$15,ROW(AV592)-ROW(AV$15),0),0)</f>
        <v>0</v>
      </c>
      <c r="AW592" s="632">
        <f ca="1">IF(AND($D592="Serviço",AW$12&lt;&gt;0,$H592&gt;0,OR(AUTOEVENTO&lt;&gt;"manual",$M592&lt;&gt;1)),ROUND(OFFSET($P592,0,AW$13),15-13*ORÇAMENTO!$AF$7)/$H592*OFFSET(ORÇAMENTO!$X$15,ROW(AW592)-ROW(AW$15),0),0)</f>
        <v>0</v>
      </c>
      <c r="AX592" s="632">
        <f ca="1">IF(AND($D592="Serviço",AX$12&lt;&gt;0,$H592&gt;0,OR(AUTOEVENTO&lt;&gt;"manual",$M592&lt;&gt;1)),ROUND(OFFSET($P592,0,AX$13),15-13*ORÇAMENTO!$AF$7)/$H592*OFFSET(ORÇAMENTO!$X$15,ROW(AX592)-ROW(AX$15),0),0)</f>
        <v>0</v>
      </c>
      <c r="AY592" s="632">
        <f ca="1">IF(AND($D592="Serviço",AY$12&lt;&gt;0,$H592&gt;0,OR(AUTOEVENTO&lt;&gt;"manual",$M592&lt;&gt;1)),ROUND(OFFSET($P592,0,AY$13),15-13*ORÇAMENTO!$AF$7)/$H592*OFFSET(ORÇAMENTO!$X$15,ROW(AY592)-ROW(AY$15),0),0)</f>
        <v>0</v>
      </c>
      <c r="AZ592" s="632">
        <f ca="1">IF(AND($D592="Serviço",AZ$12&lt;&gt;0,$H592&gt;0,OR(AUTOEVENTO&lt;&gt;"manual",$M592&lt;&gt;1)),ROUND(OFFSET($P592,0,AZ$13),15-13*ORÇAMENTO!$AF$7)/$H592*OFFSET(ORÇAMENTO!$X$15,ROW(AZ592)-ROW(AZ$15),0),0)</f>
        <v>0</v>
      </c>
      <c r="BA592" s="633">
        <f ca="1">IF(AND($D592="Serviço",BA$12&lt;&gt;0,$H592&gt;0,OR(AUTOEVENTO&lt;&gt;"manual",$M592&lt;&gt;1)),ROUND(OFFSET($P592,0,BA$13),15-13*ORÇAMENTO!$AF$7)/$H592*OFFSET(ORÇAMENTO!$X$15,ROW(BA592)-ROW(BA$15),0),0)</f>
        <v>0</v>
      </c>
      <c r="BC592" s="215">
        <f ca="1">IF($D592&lt;&gt;"Serviço",0,IF(AND(AUTOEVENTO="Manual",$M592=1),0,IF(OFFSET(CRONOPLE!$F$14,$M592,BC$13)="",10^12,OFFSET(CRONOPLE!$F$14,$M592,BC$13))))</f>
        <v>0</v>
      </c>
      <c r="BD592" s="215">
        <f ca="1">IF($D592&lt;&gt;"Serviço",0,IF(AND(AUTOEVENTO="Manual",$M592=1),0,IF(OFFSET(CRONOPLE!$F$14,$M592,BD$13)="",10^12,OFFSET(CRONOPLE!$F$14,$M592,BD$13))))</f>
        <v>0</v>
      </c>
      <c r="BE592" s="215">
        <f ca="1">IF($D592&lt;&gt;"Serviço",0,IF(AND(AUTOEVENTO="Manual",$M592=1),0,IF(OFFSET(CRONOPLE!$F$14,$M592,BE$13)="",10^12,OFFSET(CRONOPLE!$F$14,$M592,BE$13))))</f>
        <v>0</v>
      </c>
      <c r="BF592" s="215">
        <f ca="1">IF($D592&lt;&gt;"Serviço",0,IF(AND(AUTOEVENTO="Manual",$M592=1),0,IF(OFFSET(CRONOPLE!$F$14,$M592,BF$13)="",10^12,OFFSET(CRONOPLE!$F$14,$M592,BF$13))))</f>
        <v>0</v>
      </c>
      <c r="BG592" s="215">
        <f ca="1">IF($D592&lt;&gt;"Serviço",0,IF(AND(AUTOEVENTO="Manual",$M592=1),0,IF(OFFSET(CRONOPLE!$F$14,$M592,BG$13)="",10^12,OFFSET(CRONOPLE!$F$14,$M592,BG$13))))</f>
        <v>0</v>
      </c>
      <c r="BH592" s="215">
        <f ca="1">IF($D592&lt;&gt;"Serviço",0,IF(AND(AUTOEVENTO="Manual",$M592=1),0,IF(OFFSET(CRONOPLE!$F$14,$M592,BH$13)="",10^12,OFFSET(CRONOPLE!$F$14,$M592,BH$13))))</f>
        <v>0</v>
      </c>
      <c r="BI592" s="215">
        <f ca="1">IF($D592&lt;&gt;"Serviço",0,IF(AND(AUTOEVENTO="Manual",$M592=1),0,IF(OFFSET(CRONOPLE!$F$14,$M592,BI$13)="",10^12,OFFSET(CRONOPLE!$F$14,$M592,BI$13))))</f>
        <v>0</v>
      </c>
      <c r="BJ592" s="215">
        <f ca="1">IF($D592&lt;&gt;"Serviço",0,IF(AND(AUTOEVENTO="Manual",$M592=1),0,IF(OFFSET(CRONOPLE!$F$14,$M592,BJ$13)="",10^12,OFFSET(CRONOPLE!$F$14,$M592,BJ$13))))</f>
        <v>0</v>
      </c>
      <c r="BK592" s="215">
        <f ca="1">IF($D592&lt;&gt;"Serviço",0,IF(AND(AUTOEVENTO="Manual",$M592=1),0,IF(OFFSET(CRONOPLE!$F$14,$M592,BK$13)="",10^12,OFFSET(CRONOPLE!$F$14,$M592,BK$13))))</f>
        <v>0</v>
      </c>
      <c r="BL592" s="215">
        <f ca="1">IF($D592&lt;&gt;"Serviço",0,IF(AND(AUTOEVENTO="Manual",$M592=1),0,IF(OFFSET(CRONOPLE!$F$14,$M592,BL$13)="",10^12,OFFSET(CRONOPLE!$F$14,$M592,BL$13))))</f>
        <v>0</v>
      </c>
      <c r="BM592" s="215">
        <f ca="1">IF($D592&lt;&gt;"Serviço",0,IF(AND(AUTOEVENTO="Manual",$M592=1),0,IF(OFFSET(CRONOPLE!$F$14,$M592,BM$13)="",10^12,OFFSET(CRONOPLE!$F$14,$M592,BM$13))))</f>
        <v>0</v>
      </c>
      <c r="BN592" s="215">
        <f ca="1">IF($D592&lt;&gt;"Serviço",0,IF(AND(AUTOEVENTO="Manual",$M592=1),0,IF(OFFSET(CRONOPLE!$F$14,$M592,BN$13)="",10^12,OFFSET(CRONOPLE!$F$14,$M592,BN$13))))</f>
        <v>0</v>
      </c>
      <c r="BO592" s="215">
        <f ca="1">IF($D592&lt;&gt;"Serviço",0,IF(AND(AUTOEVENTO="Manual",$M592=1),0,IF(OFFSET(CRONOPLE!$F$14,$M592,BO$13)="",10^12,OFFSET(CRONOPLE!$F$14,$M592,BO$13))))</f>
        <v>0</v>
      </c>
      <c r="BP592" s="215">
        <f ca="1">IF($D592&lt;&gt;"Serviço",0,IF(AND(AUTOEVENTO="Manual",$M592=1),0,IF(OFFSET(CRONOPLE!$F$14,$M592,BP$13)="",10^12,OFFSET(CRONOPLE!$F$14,$M592,BP$13))))</f>
        <v>0</v>
      </c>
      <c r="BQ592" s="215">
        <f ca="1">IF($D592&lt;&gt;"Serviço",0,IF(AND(AUTOEVENTO="Manual",$M592=1),0,IF(OFFSET(CRONOPLE!$F$14,$M592,BQ$13)="",10^12,OFFSET(CRONOPLE!$F$14,$M592,BQ$13))))</f>
        <v>0</v>
      </c>
      <c r="BR592" s="215">
        <f ca="1">IF($D592&lt;&gt;"Serviço",0,IF(AND(AUTOEVENTO="Manual",$M592=1),0,IF(OFFSET(CRONOPLE!$F$14,$M592,BR$13)="",10^12,OFFSET(CRONOPLE!$F$14,$M592,BR$13))))</f>
        <v>0</v>
      </c>
      <c r="BS592" s="215">
        <f ca="1">IF($D592&lt;&gt;"Serviço",0,IF(AND(AUTOEVENTO="Manual",$M592=1),0,IF(OFFSET(CRONOPLE!$F$14,$M592,BS$13)="",10^12,OFFSET(CRONOPLE!$F$14,$M592,BS$13))))</f>
        <v>0</v>
      </c>
      <c r="BT592" s="215">
        <f ca="1">IF($D592&lt;&gt;"Serviço",0,IF(AND(AUTOEVENTO="Manual",$M592=1),0,IF(OFFSET(CRONOPLE!$F$14,$M592,BT$13)="",10^12,OFFSET(CRONOPLE!$F$14,$M592,BT$13))))</f>
        <v>0</v>
      </c>
      <c r="BV592" s="216">
        <f ca="1">IF($D592&lt;&gt;"Serviço",0,IF(OR(AND(AUTOEVENTO="Manual",$M592=1),$M592&gt;(ROW(PLE.lastrow)-ROW(PLE.firstrow))),0,IF(OFFSET(PLE!$G$14,$M592,BV$13)="",10^12,OFFSET(PLE!$G$14,$M592,BV$13))))</f>
        <v>0</v>
      </c>
      <c r="BW592" s="216">
        <f ca="1">IF($D592&lt;&gt;"Serviço",0,IF(OR(AND(AUTOEVENTO="Manual",$M592=1),$M592&gt;(ROW(PLE.lastrow)-ROW(PLE.firstrow))),0,IF(OFFSET(PLE!$G$14,$M592,BW$13)="",10^12,OFFSET(PLE!$G$14,$M592,BW$13))))</f>
        <v>0</v>
      </c>
      <c r="BX592" s="216">
        <f ca="1">IF($D592&lt;&gt;"Serviço",0,IF(OR(AND(AUTOEVENTO="Manual",$M592=1),$M592&gt;(ROW(PLE.lastrow)-ROW(PLE.firstrow))),0,IF(OFFSET(PLE!$G$14,$M592,BX$13)="",10^12,OFFSET(PLE!$G$14,$M592,BX$13))))</f>
        <v>0</v>
      </c>
      <c r="BY592" s="216">
        <f ca="1">IF($D592&lt;&gt;"Serviço",0,IF(OR(AND(AUTOEVENTO="Manual",$M592=1),$M592&gt;(ROW(PLE.lastrow)-ROW(PLE.firstrow))),0,IF(OFFSET(PLE!$G$14,$M592,BY$13)="",10^12,OFFSET(PLE!$G$14,$M592,BY$13))))</f>
        <v>0</v>
      </c>
      <c r="BZ592" s="216">
        <f ca="1">IF($D592&lt;&gt;"Serviço",0,IF(OR(AND(AUTOEVENTO="Manual",$M592=1),$M592&gt;(ROW(PLE.lastrow)-ROW(PLE.firstrow))),0,IF(OFFSET(PLE!$G$14,$M592,BZ$13)="",10^12,OFFSET(PLE!$G$14,$M592,BZ$13))))</f>
        <v>0</v>
      </c>
      <c r="CA592" s="216">
        <f ca="1">IF($D592&lt;&gt;"Serviço",0,IF(OR(AND(AUTOEVENTO="Manual",$M592=1),$M592&gt;(ROW(PLE.lastrow)-ROW(PLE.firstrow))),0,IF(OFFSET(PLE!$G$14,$M592,CA$13)="",10^12,OFFSET(PLE!$G$14,$M592,CA$13))))</f>
        <v>0</v>
      </c>
      <c r="CB592" s="216">
        <f ca="1">IF($D592&lt;&gt;"Serviço",0,IF(OR(AND(AUTOEVENTO="Manual",$M592=1),$M592&gt;(ROW(PLE.lastrow)-ROW(PLE.firstrow))),0,IF(OFFSET(PLE!$G$14,$M592,CB$13)="",10^12,OFFSET(PLE!$G$14,$M592,CB$13))))</f>
        <v>0</v>
      </c>
      <c r="CC592" s="216">
        <f ca="1">IF($D592&lt;&gt;"Serviço",0,IF(OR(AND(AUTOEVENTO="Manual",$M592=1),$M592&gt;(ROW(PLE.lastrow)-ROW(PLE.firstrow))),0,IF(OFFSET(PLE!$G$14,$M592,CC$13)="",10^12,OFFSET(PLE!$G$14,$M592,CC$13))))</f>
        <v>0</v>
      </c>
      <c r="CD592" s="216">
        <f ca="1">IF($D592&lt;&gt;"Serviço",0,IF(OR(AND(AUTOEVENTO="Manual",$M592=1),$M592&gt;(ROW(PLE.lastrow)-ROW(PLE.firstrow))),0,IF(OFFSET(PLE!$G$14,$M592,CD$13)="",10^12,OFFSET(PLE!$G$14,$M592,CD$13))))</f>
        <v>0</v>
      </c>
      <c r="CE592" s="216">
        <f ca="1">IF($D592&lt;&gt;"Serviço",0,IF(OR(AND(AUTOEVENTO="Manual",$M592=1),$M592&gt;(ROW(PLE.lastrow)-ROW(PLE.firstrow))),0,IF(OFFSET(PLE!$G$14,$M592,CE$13)="",10^12,OFFSET(PLE!$G$14,$M592,CE$13))))</f>
        <v>0</v>
      </c>
      <c r="CF592" s="216">
        <f ca="1">IF($D592&lt;&gt;"Serviço",0,IF(OR(AND(AUTOEVENTO="Manual",$M592=1),$M592&gt;(ROW(PLE.lastrow)-ROW(PLE.firstrow))),0,IF(OFFSET(PLE!$G$14,$M592,CF$13)="",10^12,OFFSET(PLE!$G$14,$M592,CF$13))))</f>
        <v>0</v>
      </c>
      <c r="CG592" s="216">
        <f ca="1">IF($D592&lt;&gt;"Serviço",0,IF(OR(AND(AUTOEVENTO="Manual",$M592=1),$M592&gt;(ROW(PLE.lastrow)-ROW(PLE.firstrow))),0,IF(OFFSET(PLE!$G$14,$M592,CG$13)="",10^12,OFFSET(PLE!$G$14,$M592,CG$13))))</f>
        <v>0</v>
      </c>
      <c r="CH592" s="216">
        <f ca="1">IF($D592&lt;&gt;"Serviço",0,IF(OR(AND(AUTOEVENTO="Manual",$M592=1),$M592&gt;(ROW(PLE.lastrow)-ROW(PLE.firstrow))),0,IF(OFFSET(PLE!$G$14,$M592,CH$13)="",10^12,OFFSET(PLE!$G$14,$M592,CH$13))))</f>
        <v>0</v>
      </c>
      <c r="CI592" s="216">
        <f ca="1">IF($D592&lt;&gt;"Serviço",0,IF(OR(AND(AUTOEVENTO="Manual",$M592=1),$M592&gt;(ROW(PLE.lastrow)-ROW(PLE.firstrow))),0,IF(OFFSET(PLE!$G$14,$M592,CI$13)="",10^12,OFFSET(PLE!$G$14,$M592,CI$13))))</f>
        <v>0</v>
      </c>
      <c r="CJ592" s="216">
        <f ca="1">IF($D592&lt;&gt;"Serviço",0,IF(OR(AND(AUTOEVENTO="Manual",$M592=1),$M592&gt;(ROW(PLE.lastrow)-ROW(PLE.firstrow))),0,IF(OFFSET(PLE!$G$14,$M592,CJ$13)="",10^12,OFFSET(PLE!$G$14,$M592,CJ$13))))</f>
        <v>0</v>
      </c>
      <c r="CK592" s="216">
        <f ca="1">IF($D592&lt;&gt;"Serviço",0,IF(OR(AND(AUTOEVENTO="Manual",$M592=1),$M592&gt;(ROW(PLE.lastrow)-ROW(PLE.firstrow))),0,IF(OFFSET(PLE!$G$14,$M592,CK$13)="",10^12,OFFSET(PLE!$G$14,$M592,CK$13))))</f>
        <v>0</v>
      </c>
      <c r="CL592" s="216">
        <f ca="1">IF($D592&lt;&gt;"Serviço",0,IF(OR(AND(AUTOEVENTO="Manual",$M592=1),$M592&gt;(ROW(PLE.lastrow)-ROW(PLE.firstrow))),0,IF(OFFSET(PLE!$G$14,$M592,CL$13)="",10^12,OFFSET(PLE!$G$14,$M592,CL$13))))</f>
        <v>0</v>
      </c>
      <c r="CM592" s="216">
        <f ca="1">IF($D592&lt;&gt;"Serviço",0,IF(OR(AND(AUTOEVENTO="Manual",$M592=1),$M592&gt;(ROW(PLE.lastrow)-ROW(PLE.firstrow))),0,IF(OFFSET(PLE!$G$14,$M592,CM$13)="",10^12,OFFSET(PLE!$G$14,$M592,CM$13))))</f>
        <v>0</v>
      </c>
    </row>
    <row r="593" spans="1:91" ht="13.2" x14ac:dyDescent="0.25">
      <c r="A593" s="9">
        <f t="shared" ca="1" si="18"/>
        <v>0</v>
      </c>
      <c r="B593" s="9" t="str">
        <f ca="1">OFFSET(ORÇAMENTO!C$15,ROW(B593)-ROW(B$15),0)</f>
        <v>S</v>
      </c>
      <c r="C593" s="9" t="str">
        <f ca="1">OFFSET(ORÇAMENTO!L$15,ROW(C593)-ROW(C$15),0)</f>
        <v/>
      </c>
      <c r="D593" s="145" t="str">
        <f ca="1">OFFSET(ORÇAMENTO!N$15,ROW(D593)-ROW(D$15),0)</f>
        <v>Serviço</v>
      </c>
      <c r="E593" s="205" t="str">
        <f ca="1">OFFSET(ORÇAMENTO!O$15,ROW(E593)-ROW(E$15),0)</f>
        <v>-</v>
      </c>
      <c r="F593" s="206" t="str">
        <f ca="1">OFFSET(ORÇAMENTO!R$15,ROW(F593)-ROW(F$15),0)</f>
        <v>(abra o arquivo 'Referência 05-2024.xls)</v>
      </c>
      <c r="G593" s="207" t="str">
        <f ca="1">IF($D593&lt;&gt;"Serviço","",OFFSET(ORÇAMENTO!S$15,ROW(G593)-ROW(G$15),0))</f>
        <v>-</v>
      </c>
      <c r="H593" s="151">
        <f ca="1">IF($D593&lt;&gt;"Serviço",0,IF(ACOMPANHAMENTO="BM",ROUND(OFFSET(ORÇAMENTO!AJ$15,ROW(H593)-ROW(H$15),0),15-13*ORÇAMENTO!$AF$7),SUMPRODUCT(($Q$12:$AI$12&lt;&gt;"")*ROUND($Q593:$AI593,15-13*ORÇAMENTO!$AF$7))))</f>
        <v>17.7</v>
      </c>
      <c r="I593" s="650"/>
      <c r="K593" s="208"/>
      <c r="L593" s="209" t="s">
        <v>257</v>
      </c>
      <c r="M593" s="210">
        <f ca="1">IF($D593&lt;&gt;"Serviço","",IF(AUTOEVENTO="manual",$A593,IF(ISERROR(MATCH($A593,$A$15:OFFSET($A593,-1,0),0)),MAX($M$15:OFFSET(M593,-1,0))+1,INDEX($M$15:OFFSET(M593,-1,0),MATCH($A593,$A$15:OFFSET($A593,-1,0),0)))))</f>
        <v>0</v>
      </c>
      <c r="N593" s="211" t="str">
        <f ca="1">IF($D593&lt;&gt;"Serviço","",IF(AUTOEVENTO="Manual",IF($A593=0,"&lt;-- defina o número do agrupador",OFFSET(EVENTOS!$D$14,$A593,0)),OFFSET($F$15,$A593,0)))</f>
        <v>&lt;-- defina o número do agrupador</v>
      </c>
      <c r="O593" s="212"/>
      <c r="Q593" s="212"/>
      <c r="R593" s="213"/>
      <c r="S593" s="213"/>
      <c r="T593" s="213"/>
      <c r="U593" s="213"/>
      <c r="V593" s="213"/>
      <c r="W593" s="213"/>
      <c r="X593" s="213"/>
      <c r="Y593" s="213"/>
      <c r="Z593" s="214"/>
      <c r="AA593" s="213"/>
      <c r="AB593" s="213"/>
      <c r="AC593" s="213"/>
      <c r="AD593" s="213"/>
      <c r="AE593" s="213"/>
      <c r="AF593" s="213"/>
      <c r="AG593" s="213"/>
      <c r="AH593" s="214"/>
      <c r="AJ593" s="631">
        <f ca="1">IF(AND($D593="Serviço",AJ$12&lt;&gt;0,$H593&gt;0,OR(AUTOEVENTO&lt;&gt;"manual",$M593&lt;&gt;1)),ROUND(OFFSET($P593,0,AJ$13),15-13*ORÇAMENTO!$AF$7)/$H593*OFFSET(ORÇAMENTO!$X$15,ROW(AJ593)-ROW(AJ$15),0),0)</f>
        <v>0</v>
      </c>
      <c r="AK593" s="632">
        <f ca="1">IF(AND($D593="Serviço",AK$12&lt;&gt;0,$H593&gt;0,OR(AUTOEVENTO&lt;&gt;"manual",$M593&lt;&gt;1)),ROUND(OFFSET($P593,0,AK$13),15-13*ORÇAMENTO!$AF$7)/$H593*OFFSET(ORÇAMENTO!$X$15,ROW(AK593)-ROW(AK$15),0),0)</f>
        <v>0</v>
      </c>
      <c r="AL593" s="632">
        <f ca="1">IF(AND($D593="Serviço",AL$12&lt;&gt;0,$H593&gt;0,OR(AUTOEVENTO&lt;&gt;"manual",$M593&lt;&gt;1)),ROUND(OFFSET($P593,0,AL$13),15-13*ORÇAMENTO!$AF$7)/$H593*OFFSET(ORÇAMENTO!$X$15,ROW(AL593)-ROW(AL$15),0),0)</f>
        <v>0</v>
      </c>
      <c r="AM593" s="632">
        <f ca="1">IF(AND($D593="Serviço",AM$12&lt;&gt;0,$H593&gt;0,OR(AUTOEVENTO&lt;&gt;"manual",$M593&lt;&gt;1)),ROUND(OFFSET($P593,0,AM$13),15-13*ORÇAMENTO!$AF$7)/$H593*OFFSET(ORÇAMENTO!$X$15,ROW(AM593)-ROW(AM$15),0),0)</f>
        <v>0</v>
      </c>
      <c r="AN593" s="632">
        <f ca="1">IF(AND($D593="Serviço",AN$12&lt;&gt;0,$H593&gt;0,OR(AUTOEVENTO&lt;&gt;"manual",$M593&lt;&gt;1)),ROUND(OFFSET($P593,0,AN$13),15-13*ORÇAMENTO!$AF$7)/$H593*OFFSET(ORÇAMENTO!$X$15,ROW(AN593)-ROW(AN$15),0),0)</f>
        <v>0</v>
      </c>
      <c r="AO593" s="632">
        <f ca="1">IF(AND($D593="Serviço",AO$12&lt;&gt;0,$H593&gt;0,OR(AUTOEVENTO&lt;&gt;"manual",$M593&lt;&gt;1)),ROUND(OFFSET($P593,0,AO$13),15-13*ORÇAMENTO!$AF$7)/$H593*OFFSET(ORÇAMENTO!$X$15,ROW(AO593)-ROW(AO$15),0),0)</f>
        <v>0</v>
      </c>
      <c r="AP593" s="632">
        <f ca="1">IF(AND($D593="Serviço",AP$12&lt;&gt;0,$H593&gt;0,OR(AUTOEVENTO&lt;&gt;"manual",$M593&lt;&gt;1)),ROUND(OFFSET($P593,0,AP$13),15-13*ORÇAMENTO!$AF$7)/$H593*OFFSET(ORÇAMENTO!$X$15,ROW(AP593)-ROW(AP$15),0),0)</f>
        <v>0</v>
      </c>
      <c r="AQ593" s="632">
        <f ca="1">IF(AND($D593="Serviço",AQ$12&lt;&gt;0,$H593&gt;0,OR(AUTOEVENTO&lt;&gt;"manual",$M593&lt;&gt;1)),ROUND(OFFSET($P593,0,AQ$13),15-13*ORÇAMENTO!$AF$7)/$H593*OFFSET(ORÇAMENTO!$X$15,ROW(AQ593)-ROW(AQ$15),0),0)</f>
        <v>0</v>
      </c>
      <c r="AR593" s="632">
        <f ca="1">IF(AND($D593="Serviço",AR$12&lt;&gt;0,$H593&gt;0,OR(AUTOEVENTO&lt;&gt;"manual",$M593&lt;&gt;1)),ROUND(OFFSET($P593,0,AR$13),15-13*ORÇAMENTO!$AF$7)/$H593*OFFSET(ORÇAMENTO!$X$15,ROW(AR593)-ROW(AR$15),0),0)</f>
        <v>0</v>
      </c>
      <c r="AS593" s="633">
        <f ca="1">IF(AND($D593="Serviço",AS$12&lt;&gt;0,$H593&gt;0,OR(AUTOEVENTO&lt;&gt;"manual",$M593&lt;&gt;1)),ROUND(OFFSET($P593,0,AS$13),15-13*ORÇAMENTO!$AF$7)/$H593*OFFSET(ORÇAMENTO!$X$15,ROW(AS593)-ROW(AS$15),0),0)</f>
        <v>0</v>
      </c>
      <c r="AT593" s="632">
        <f ca="1">IF(AND($D593="Serviço",AT$12&lt;&gt;0,$H593&gt;0,OR(AUTOEVENTO&lt;&gt;"manual",$M593&lt;&gt;1)),ROUND(OFFSET($P593,0,AT$13),15-13*ORÇAMENTO!$AF$7)/$H593*OFFSET(ORÇAMENTO!$X$15,ROW(AT593)-ROW(AT$15),0),0)</f>
        <v>0</v>
      </c>
      <c r="AU593" s="632">
        <f ca="1">IF(AND($D593="Serviço",AU$12&lt;&gt;0,$H593&gt;0,OR(AUTOEVENTO&lt;&gt;"manual",$M593&lt;&gt;1)),ROUND(OFFSET($P593,0,AU$13),15-13*ORÇAMENTO!$AF$7)/$H593*OFFSET(ORÇAMENTO!$X$15,ROW(AU593)-ROW(AU$15),0),0)</f>
        <v>0</v>
      </c>
      <c r="AV593" s="632">
        <f ca="1">IF(AND($D593="Serviço",AV$12&lt;&gt;0,$H593&gt;0,OR(AUTOEVENTO&lt;&gt;"manual",$M593&lt;&gt;1)),ROUND(OFFSET($P593,0,AV$13),15-13*ORÇAMENTO!$AF$7)/$H593*OFFSET(ORÇAMENTO!$X$15,ROW(AV593)-ROW(AV$15),0),0)</f>
        <v>0</v>
      </c>
      <c r="AW593" s="632">
        <f ca="1">IF(AND($D593="Serviço",AW$12&lt;&gt;0,$H593&gt;0,OR(AUTOEVENTO&lt;&gt;"manual",$M593&lt;&gt;1)),ROUND(OFFSET($P593,0,AW$13),15-13*ORÇAMENTO!$AF$7)/$H593*OFFSET(ORÇAMENTO!$X$15,ROW(AW593)-ROW(AW$15),0),0)</f>
        <v>0</v>
      </c>
      <c r="AX593" s="632">
        <f ca="1">IF(AND($D593="Serviço",AX$12&lt;&gt;0,$H593&gt;0,OR(AUTOEVENTO&lt;&gt;"manual",$M593&lt;&gt;1)),ROUND(OFFSET($P593,0,AX$13),15-13*ORÇAMENTO!$AF$7)/$H593*OFFSET(ORÇAMENTO!$X$15,ROW(AX593)-ROW(AX$15),0),0)</f>
        <v>0</v>
      </c>
      <c r="AY593" s="632">
        <f ca="1">IF(AND($D593="Serviço",AY$12&lt;&gt;0,$H593&gt;0,OR(AUTOEVENTO&lt;&gt;"manual",$M593&lt;&gt;1)),ROUND(OFFSET($P593,0,AY$13),15-13*ORÇAMENTO!$AF$7)/$H593*OFFSET(ORÇAMENTO!$X$15,ROW(AY593)-ROW(AY$15),0),0)</f>
        <v>0</v>
      </c>
      <c r="AZ593" s="632">
        <f ca="1">IF(AND($D593="Serviço",AZ$12&lt;&gt;0,$H593&gt;0,OR(AUTOEVENTO&lt;&gt;"manual",$M593&lt;&gt;1)),ROUND(OFFSET($P593,0,AZ$13),15-13*ORÇAMENTO!$AF$7)/$H593*OFFSET(ORÇAMENTO!$X$15,ROW(AZ593)-ROW(AZ$15),0),0)</f>
        <v>0</v>
      </c>
      <c r="BA593" s="633">
        <f ca="1">IF(AND($D593="Serviço",BA$12&lt;&gt;0,$H593&gt;0,OR(AUTOEVENTO&lt;&gt;"manual",$M593&lt;&gt;1)),ROUND(OFFSET($P593,0,BA$13),15-13*ORÇAMENTO!$AF$7)/$H593*OFFSET(ORÇAMENTO!$X$15,ROW(BA593)-ROW(BA$15),0),0)</f>
        <v>0</v>
      </c>
      <c r="BC593" s="215">
        <f ca="1">IF($D593&lt;&gt;"Serviço",0,IF(AND(AUTOEVENTO="Manual",$M593=1),0,IF(OFFSET(CRONOPLE!$F$14,$M593,BC$13)="",10^12,OFFSET(CRONOPLE!$F$14,$M593,BC$13))))</f>
        <v>1000000000000</v>
      </c>
      <c r="BD593" s="215">
        <f ca="1">IF($D593&lt;&gt;"Serviço",0,IF(AND(AUTOEVENTO="Manual",$M593=1),0,IF(OFFSET(CRONOPLE!$F$14,$M593,BD$13)="",10^12,OFFSET(CRONOPLE!$F$14,$M593,BD$13))))</f>
        <v>1000000000000</v>
      </c>
      <c r="BE593" s="215">
        <f ca="1">IF($D593&lt;&gt;"Serviço",0,IF(AND(AUTOEVENTO="Manual",$M593=1),0,IF(OFFSET(CRONOPLE!$F$14,$M593,BE$13)="",10^12,OFFSET(CRONOPLE!$F$14,$M593,BE$13))))</f>
        <v>1000000000000</v>
      </c>
      <c r="BF593" s="215">
        <f ca="1">IF($D593&lt;&gt;"Serviço",0,IF(AND(AUTOEVENTO="Manual",$M593=1),0,IF(OFFSET(CRONOPLE!$F$14,$M593,BF$13)="",10^12,OFFSET(CRONOPLE!$F$14,$M593,BF$13))))</f>
        <v>1000000000000</v>
      </c>
      <c r="BG593" s="215">
        <f ca="1">IF($D593&lt;&gt;"Serviço",0,IF(AND(AUTOEVENTO="Manual",$M593=1),0,IF(OFFSET(CRONOPLE!$F$14,$M593,BG$13)="",10^12,OFFSET(CRONOPLE!$F$14,$M593,BG$13))))</f>
        <v>1000000000000</v>
      </c>
      <c r="BH593" s="215">
        <f ca="1">IF($D593&lt;&gt;"Serviço",0,IF(AND(AUTOEVENTO="Manual",$M593=1),0,IF(OFFSET(CRONOPLE!$F$14,$M593,BH$13)="",10^12,OFFSET(CRONOPLE!$F$14,$M593,BH$13))))</f>
        <v>1000000000000</v>
      </c>
      <c r="BI593" s="215">
        <f ca="1">IF($D593&lt;&gt;"Serviço",0,IF(AND(AUTOEVENTO="Manual",$M593=1),0,IF(OFFSET(CRONOPLE!$F$14,$M593,BI$13)="",10^12,OFFSET(CRONOPLE!$F$14,$M593,BI$13))))</f>
        <v>1000000000000</v>
      </c>
      <c r="BJ593" s="215">
        <f ca="1">IF($D593&lt;&gt;"Serviço",0,IF(AND(AUTOEVENTO="Manual",$M593=1),0,IF(OFFSET(CRONOPLE!$F$14,$M593,BJ$13)="",10^12,OFFSET(CRONOPLE!$F$14,$M593,BJ$13))))</f>
        <v>1000000000000</v>
      </c>
      <c r="BK593" s="215">
        <f ca="1">IF($D593&lt;&gt;"Serviço",0,IF(AND(AUTOEVENTO="Manual",$M593=1),0,IF(OFFSET(CRONOPLE!$F$14,$M593,BK$13)="",10^12,OFFSET(CRONOPLE!$F$14,$M593,BK$13))))</f>
        <v>1000000000000</v>
      </c>
      <c r="BL593" s="215">
        <f ca="1">IF($D593&lt;&gt;"Serviço",0,IF(AND(AUTOEVENTO="Manual",$M593=1),0,IF(OFFSET(CRONOPLE!$F$14,$M593,BL$13)="",10^12,OFFSET(CRONOPLE!$F$14,$M593,BL$13))))</f>
        <v>1000000000000</v>
      </c>
      <c r="BM593" s="215">
        <f ca="1">IF($D593&lt;&gt;"Serviço",0,IF(AND(AUTOEVENTO="Manual",$M593=1),0,IF(OFFSET(CRONOPLE!$F$14,$M593,BM$13)="",10^12,OFFSET(CRONOPLE!$F$14,$M593,BM$13))))</f>
        <v>1000000000000</v>
      </c>
      <c r="BN593" s="215">
        <f ca="1">IF($D593&lt;&gt;"Serviço",0,IF(AND(AUTOEVENTO="Manual",$M593=1),0,IF(OFFSET(CRONOPLE!$F$14,$M593,BN$13)="",10^12,OFFSET(CRONOPLE!$F$14,$M593,BN$13))))</f>
        <v>1000000000000</v>
      </c>
      <c r="BO593" s="215">
        <f ca="1">IF($D593&lt;&gt;"Serviço",0,IF(AND(AUTOEVENTO="Manual",$M593=1),0,IF(OFFSET(CRONOPLE!$F$14,$M593,BO$13)="",10^12,OFFSET(CRONOPLE!$F$14,$M593,BO$13))))</f>
        <v>1000000000000</v>
      </c>
      <c r="BP593" s="215">
        <f ca="1">IF($D593&lt;&gt;"Serviço",0,IF(AND(AUTOEVENTO="Manual",$M593=1),0,IF(OFFSET(CRONOPLE!$F$14,$M593,BP$13)="",10^12,OFFSET(CRONOPLE!$F$14,$M593,BP$13))))</f>
        <v>1000000000000</v>
      </c>
      <c r="BQ593" s="215">
        <f ca="1">IF($D593&lt;&gt;"Serviço",0,IF(AND(AUTOEVENTO="Manual",$M593=1),0,IF(OFFSET(CRONOPLE!$F$14,$M593,BQ$13)="",10^12,OFFSET(CRONOPLE!$F$14,$M593,BQ$13))))</f>
        <v>1000000000000</v>
      </c>
      <c r="BR593" s="215">
        <f ca="1">IF($D593&lt;&gt;"Serviço",0,IF(AND(AUTOEVENTO="Manual",$M593=1),0,IF(OFFSET(CRONOPLE!$F$14,$M593,BR$13)="",10^12,OFFSET(CRONOPLE!$F$14,$M593,BR$13))))</f>
        <v>1000000000000</v>
      </c>
      <c r="BS593" s="215">
        <f ca="1">IF($D593&lt;&gt;"Serviço",0,IF(AND(AUTOEVENTO="Manual",$M593=1),0,IF(OFFSET(CRONOPLE!$F$14,$M593,BS$13)="",10^12,OFFSET(CRONOPLE!$F$14,$M593,BS$13))))</f>
        <v>1000000000000</v>
      </c>
      <c r="BT593" s="215">
        <f ca="1">IF($D593&lt;&gt;"Serviço",0,IF(AND(AUTOEVENTO="Manual",$M593=1),0,IF(OFFSET(CRONOPLE!$F$14,$M593,BT$13)="",10^12,OFFSET(CRONOPLE!$F$14,$M593,BT$13))))</f>
        <v>1000000000000</v>
      </c>
      <c r="BV593" s="216">
        <f ca="1">IF($D593&lt;&gt;"Serviço",0,IF(OR(AND(AUTOEVENTO="Manual",$M593=1),$M593&gt;(ROW(PLE.lastrow)-ROW(PLE.firstrow))),0,IF(OFFSET(PLE!$G$14,$M593,BV$13)="",10^12,OFFSET(PLE!$G$14,$M593,BV$13))))</f>
        <v>1000000000000</v>
      </c>
      <c r="BW593" s="216">
        <f ca="1">IF($D593&lt;&gt;"Serviço",0,IF(OR(AND(AUTOEVENTO="Manual",$M593=1),$M593&gt;(ROW(PLE.lastrow)-ROW(PLE.firstrow))),0,IF(OFFSET(PLE!$G$14,$M593,BW$13)="",10^12,OFFSET(PLE!$G$14,$M593,BW$13))))</f>
        <v>1000000000000</v>
      </c>
      <c r="BX593" s="216">
        <f ca="1">IF($D593&lt;&gt;"Serviço",0,IF(OR(AND(AUTOEVENTO="Manual",$M593=1),$M593&gt;(ROW(PLE.lastrow)-ROW(PLE.firstrow))),0,IF(OFFSET(PLE!$G$14,$M593,BX$13)="",10^12,OFFSET(PLE!$G$14,$M593,BX$13))))</f>
        <v>1000000000000</v>
      </c>
      <c r="BY593" s="216">
        <f ca="1">IF($D593&lt;&gt;"Serviço",0,IF(OR(AND(AUTOEVENTO="Manual",$M593=1),$M593&gt;(ROW(PLE.lastrow)-ROW(PLE.firstrow))),0,IF(OFFSET(PLE!$G$14,$M593,BY$13)="",10^12,OFFSET(PLE!$G$14,$M593,BY$13))))</f>
        <v>1000000000000</v>
      </c>
      <c r="BZ593" s="216">
        <f ca="1">IF($D593&lt;&gt;"Serviço",0,IF(OR(AND(AUTOEVENTO="Manual",$M593=1),$M593&gt;(ROW(PLE.lastrow)-ROW(PLE.firstrow))),0,IF(OFFSET(PLE!$G$14,$M593,BZ$13)="",10^12,OFFSET(PLE!$G$14,$M593,BZ$13))))</f>
        <v>1000000000000</v>
      </c>
      <c r="CA593" s="216">
        <f ca="1">IF($D593&lt;&gt;"Serviço",0,IF(OR(AND(AUTOEVENTO="Manual",$M593=1),$M593&gt;(ROW(PLE.lastrow)-ROW(PLE.firstrow))),0,IF(OFFSET(PLE!$G$14,$M593,CA$13)="",10^12,OFFSET(PLE!$G$14,$M593,CA$13))))</f>
        <v>1000000000000</v>
      </c>
      <c r="CB593" s="216">
        <f ca="1">IF($D593&lt;&gt;"Serviço",0,IF(OR(AND(AUTOEVENTO="Manual",$M593=1),$M593&gt;(ROW(PLE.lastrow)-ROW(PLE.firstrow))),0,IF(OFFSET(PLE!$G$14,$M593,CB$13)="",10^12,OFFSET(PLE!$G$14,$M593,CB$13))))</f>
        <v>1000000000000</v>
      </c>
      <c r="CC593" s="216">
        <f ca="1">IF($D593&lt;&gt;"Serviço",0,IF(OR(AND(AUTOEVENTO="Manual",$M593=1),$M593&gt;(ROW(PLE.lastrow)-ROW(PLE.firstrow))),0,IF(OFFSET(PLE!$G$14,$M593,CC$13)="",10^12,OFFSET(PLE!$G$14,$M593,CC$13))))</f>
        <v>1000000000000</v>
      </c>
      <c r="CD593" s="216">
        <f ca="1">IF($D593&lt;&gt;"Serviço",0,IF(OR(AND(AUTOEVENTO="Manual",$M593=1),$M593&gt;(ROW(PLE.lastrow)-ROW(PLE.firstrow))),0,IF(OFFSET(PLE!$G$14,$M593,CD$13)="",10^12,OFFSET(PLE!$G$14,$M593,CD$13))))</f>
        <v>1000000000000</v>
      </c>
      <c r="CE593" s="216">
        <f ca="1">IF($D593&lt;&gt;"Serviço",0,IF(OR(AND(AUTOEVENTO="Manual",$M593=1),$M593&gt;(ROW(PLE.lastrow)-ROW(PLE.firstrow))),0,IF(OFFSET(PLE!$G$14,$M593,CE$13)="",10^12,OFFSET(PLE!$G$14,$M593,CE$13))))</f>
        <v>1000000000000</v>
      </c>
      <c r="CF593" s="216">
        <f ca="1">IF($D593&lt;&gt;"Serviço",0,IF(OR(AND(AUTOEVENTO="Manual",$M593=1),$M593&gt;(ROW(PLE.lastrow)-ROW(PLE.firstrow))),0,IF(OFFSET(PLE!$G$14,$M593,CF$13)="",10^12,OFFSET(PLE!$G$14,$M593,CF$13))))</f>
        <v>1000000000000</v>
      </c>
      <c r="CG593" s="216">
        <f ca="1">IF($D593&lt;&gt;"Serviço",0,IF(OR(AND(AUTOEVENTO="Manual",$M593=1),$M593&gt;(ROW(PLE.lastrow)-ROW(PLE.firstrow))),0,IF(OFFSET(PLE!$G$14,$M593,CG$13)="",10^12,OFFSET(PLE!$G$14,$M593,CG$13))))</f>
        <v>1000000000000</v>
      </c>
      <c r="CH593" s="216">
        <f ca="1">IF($D593&lt;&gt;"Serviço",0,IF(OR(AND(AUTOEVENTO="Manual",$M593=1),$M593&gt;(ROW(PLE.lastrow)-ROW(PLE.firstrow))),0,IF(OFFSET(PLE!$G$14,$M593,CH$13)="",10^12,OFFSET(PLE!$G$14,$M593,CH$13))))</f>
        <v>1000000000000</v>
      </c>
      <c r="CI593" s="216">
        <f ca="1">IF($D593&lt;&gt;"Serviço",0,IF(OR(AND(AUTOEVENTO="Manual",$M593=1),$M593&gt;(ROW(PLE.lastrow)-ROW(PLE.firstrow))),0,IF(OFFSET(PLE!$G$14,$M593,CI$13)="",10^12,OFFSET(PLE!$G$14,$M593,CI$13))))</f>
        <v>1000000000000</v>
      </c>
      <c r="CJ593" s="216">
        <f ca="1">IF($D593&lt;&gt;"Serviço",0,IF(OR(AND(AUTOEVENTO="Manual",$M593=1),$M593&gt;(ROW(PLE.lastrow)-ROW(PLE.firstrow))),0,IF(OFFSET(PLE!$G$14,$M593,CJ$13)="",10^12,OFFSET(PLE!$G$14,$M593,CJ$13))))</f>
        <v>1000000000000</v>
      </c>
      <c r="CK593" s="216">
        <f ca="1">IF($D593&lt;&gt;"Serviço",0,IF(OR(AND(AUTOEVENTO="Manual",$M593=1),$M593&gt;(ROW(PLE.lastrow)-ROW(PLE.firstrow))),0,IF(OFFSET(PLE!$G$14,$M593,CK$13)="",10^12,OFFSET(PLE!$G$14,$M593,CK$13))))</f>
        <v>1000000000000</v>
      </c>
      <c r="CL593" s="216">
        <f ca="1">IF($D593&lt;&gt;"Serviço",0,IF(OR(AND(AUTOEVENTO="Manual",$M593=1),$M593&gt;(ROW(PLE.lastrow)-ROW(PLE.firstrow))),0,IF(OFFSET(PLE!$G$14,$M593,CL$13)="",10^12,OFFSET(PLE!$G$14,$M593,CL$13))))</f>
        <v>1000000000000</v>
      </c>
      <c r="CM593" s="216">
        <f ca="1">IF($D593&lt;&gt;"Serviço",0,IF(OR(AND(AUTOEVENTO="Manual",$M593=1),$M593&gt;(ROW(PLE.lastrow)-ROW(PLE.firstrow))),0,IF(OFFSET(PLE!$G$14,$M593,CM$13)="",10^12,OFFSET(PLE!$G$14,$M593,CM$13))))</f>
        <v>1000000000000</v>
      </c>
    </row>
    <row r="594" spans="1:91" ht="13.2" x14ac:dyDescent="0.25">
      <c r="A594" s="9">
        <f t="shared" ca="1" si="18"/>
        <v>0</v>
      </c>
      <c r="B594" s="9" t="str">
        <f ca="1">OFFSET(ORÇAMENTO!C$15,ROW(B594)-ROW(B$15),0)</f>
        <v>S</v>
      </c>
      <c r="C594" s="9" t="str">
        <f ca="1">OFFSET(ORÇAMENTO!L$15,ROW(C594)-ROW(C$15),0)</f>
        <v/>
      </c>
      <c r="D594" s="145" t="str">
        <f ca="1">OFFSET(ORÇAMENTO!N$15,ROW(D594)-ROW(D$15),0)</f>
        <v>Serviço</v>
      </c>
      <c r="E594" s="205" t="str">
        <f ca="1">OFFSET(ORÇAMENTO!O$15,ROW(E594)-ROW(E$15),0)</f>
        <v>-</v>
      </c>
      <c r="F594" s="206" t="str">
        <f ca="1">OFFSET(ORÇAMENTO!R$15,ROW(F594)-ROW(F$15),0)</f>
        <v>(abra o arquivo 'Referência 05-2024.xls)</v>
      </c>
      <c r="G594" s="207" t="str">
        <f ca="1">IF($D594&lt;&gt;"Serviço","",OFFSET(ORÇAMENTO!S$15,ROW(G594)-ROW(G$15),0))</f>
        <v>-</v>
      </c>
      <c r="H594" s="151">
        <f ca="1">IF($D594&lt;&gt;"Serviço",0,IF(ACOMPANHAMENTO="BM",ROUND(OFFSET(ORÇAMENTO!AJ$15,ROW(H594)-ROW(H$15),0),15-13*ORÇAMENTO!$AF$7),SUMPRODUCT(($Q$12:$AI$12&lt;&gt;"")*ROUND($Q594:$AI594,15-13*ORÇAMENTO!$AF$7))))</f>
        <v>8.5</v>
      </c>
      <c r="I594" s="650"/>
      <c r="K594" s="208"/>
      <c r="L594" s="209" t="s">
        <v>257</v>
      </c>
      <c r="M594" s="210">
        <f ca="1">IF($D594&lt;&gt;"Serviço","",IF(AUTOEVENTO="manual",$A594,IF(ISERROR(MATCH($A594,$A$15:OFFSET($A594,-1,0),0)),MAX($M$15:OFFSET(M594,-1,0))+1,INDEX($M$15:OFFSET(M594,-1,0),MATCH($A594,$A$15:OFFSET($A594,-1,0),0)))))</f>
        <v>0</v>
      </c>
      <c r="N594" s="211" t="str">
        <f ca="1">IF($D594&lt;&gt;"Serviço","",IF(AUTOEVENTO="Manual",IF($A594=0,"&lt;-- defina o número do agrupador",OFFSET(EVENTOS!$D$14,$A594,0)),OFFSET($F$15,$A594,0)))</f>
        <v>&lt;-- defina o número do agrupador</v>
      </c>
      <c r="O594" s="212"/>
      <c r="Q594" s="212"/>
      <c r="R594" s="213"/>
      <c r="S594" s="213"/>
      <c r="T594" s="213"/>
      <c r="U594" s="213"/>
      <c r="V594" s="213"/>
      <c r="W594" s="213"/>
      <c r="X594" s="213"/>
      <c r="Y594" s="213"/>
      <c r="Z594" s="214"/>
      <c r="AA594" s="213"/>
      <c r="AB594" s="213"/>
      <c r="AC594" s="213"/>
      <c r="AD594" s="213"/>
      <c r="AE594" s="213"/>
      <c r="AF594" s="213"/>
      <c r="AG594" s="213"/>
      <c r="AH594" s="214"/>
      <c r="AJ594" s="631">
        <f ca="1">IF(AND($D594="Serviço",AJ$12&lt;&gt;0,$H594&gt;0,OR(AUTOEVENTO&lt;&gt;"manual",$M594&lt;&gt;1)),ROUND(OFFSET($P594,0,AJ$13),15-13*ORÇAMENTO!$AF$7)/$H594*OFFSET(ORÇAMENTO!$X$15,ROW(AJ594)-ROW(AJ$15),0),0)</f>
        <v>0</v>
      </c>
      <c r="AK594" s="632">
        <f ca="1">IF(AND($D594="Serviço",AK$12&lt;&gt;0,$H594&gt;0,OR(AUTOEVENTO&lt;&gt;"manual",$M594&lt;&gt;1)),ROUND(OFFSET($P594,0,AK$13),15-13*ORÇAMENTO!$AF$7)/$H594*OFFSET(ORÇAMENTO!$X$15,ROW(AK594)-ROW(AK$15),0),0)</f>
        <v>0</v>
      </c>
      <c r="AL594" s="632">
        <f ca="1">IF(AND($D594="Serviço",AL$12&lt;&gt;0,$H594&gt;0,OR(AUTOEVENTO&lt;&gt;"manual",$M594&lt;&gt;1)),ROUND(OFFSET($P594,0,AL$13),15-13*ORÇAMENTO!$AF$7)/$H594*OFFSET(ORÇAMENTO!$X$15,ROW(AL594)-ROW(AL$15),0),0)</f>
        <v>0</v>
      </c>
      <c r="AM594" s="632">
        <f ca="1">IF(AND($D594="Serviço",AM$12&lt;&gt;0,$H594&gt;0,OR(AUTOEVENTO&lt;&gt;"manual",$M594&lt;&gt;1)),ROUND(OFFSET($P594,0,AM$13),15-13*ORÇAMENTO!$AF$7)/$H594*OFFSET(ORÇAMENTO!$X$15,ROW(AM594)-ROW(AM$15),0),0)</f>
        <v>0</v>
      </c>
      <c r="AN594" s="632">
        <f ca="1">IF(AND($D594="Serviço",AN$12&lt;&gt;0,$H594&gt;0,OR(AUTOEVENTO&lt;&gt;"manual",$M594&lt;&gt;1)),ROUND(OFFSET($P594,0,AN$13),15-13*ORÇAMENTO!$AF$7)/$H594*OFFSET(ORÇAMENTO!$X$15,ROW(AN594)-ROW(AN$15),0),0)</f>
        <v>0</v>
      </c>
      <c r="AO594" s="632">
        <f ca="1">IF(AND($D594="Serviço",AO$12&lt;&gt;0,$H594&gt;0,OR(AUTOEVENTO&lt;&gt;"manual",$M594&lt;&gt;1)),ROUND(OFFSET($P594,0,AO$13),15-13*ORÇAMENTO!$AF$7)/$H594*OFFSET(ORÇAMENTO!$X$15,ROW(AO594)-ROW(AO$15),0),0)</f>
        <v>0</v>
      </c>
      <c r="AP594" s="632">
        <f ca="1">IF(AND($D594="Serviço",AP$12&lt;&gt;0,$H594&gt;0,OR(AUTOEVENTO&lt;&gt;"manual",$M594&lt;&gt;1)),ROUND(OFFSET($P594,0,AP$13),15-13*ORÇAMENTO!$AF$7)/$H594*OFFSET(ORÇAMENTO!$X$15,ROW(AP594)-ROW(AP$15),0),0)</f>
        <v>0</v>
      </c>
      <c r="AQ594" s="632">
        <f ca="1">IF(AND($D594="Serviço",AQ$12&lt;&gt;0,$H594&gt;0,OR(AUTOEVENTO&lt;&gt;"manual",$M594&lt;&gt;1)),ROUND(OFFSET($P594,0,AQ$13),15-13*ORÇAMENTO!$AF$7)/$H594*OFFSET(ORÇAMENTO!$X$15,ROW(AQ594)-ROW(AQ$15),0),0)</f>
        <v>0</v>
      </c>
      <c r="AR594" s="632">
        <f ca="1">IF(AND($D594="Serviço",AR$12&lt;&gt;0,$H594&gt;0,OR(AUTOEVENTO&lt;&gt;"manual",$M594&lt;&gt;1)),ROUND(OFFSET($P594,0,AR$13),15-13*ORÇAMENTO!$AF$7)/$H594*OFFSET(ORÇAMENTO!$X$15,ROW(AR594)-ROW(AR$15),0),0)</f>
        <v>0</v>
      </c>
      <c r="AS594" s="633">
        <f ca="1">IF(AND($D594="Serviço",AS$12&lt;&gt;0,$H594&gt;0,OR(AUTOEVENTO&lt;&gt;"manual",$M594&lt;&gt;1)),ROUND(OFFSET($P594,0,AS$13),15-13*ORÇAMENTO!$AF$7)/$H594*OFFSET(ORÇAMENTO!$X$15,ROW(AS594)-ROW(AS$15),0),0)</f>
        <v>0</v>
      </c>
      <c r="AT594" s="632">
        <f ca="1">IF(AND($D594="Serviço",AT$12&lt;&gt;0,$H594&gt;0,OR(AUTOEVENTO&lt;&gt;"manual",$M594&lt;&gt;1)),ROUND(OFFSET($P594,0,AT$13),15-13*ORÇAMENTO!$AF$7)/$H594*OFFSET(ORÇAMENTO!$X$15,ROW(AT594)-ROW(AT$15),0),0)</f>
        <v>0</v>
      </c>
      <c r="AU594" s="632">
        <f ca="1">IF(AND($D594="Serviço",AU$12&lt;&gt;0,$H594&gt;0,OR(AUTOEVENTO&lt;&gt;"manual",$M594&lt;&gt;1)),ROUND(OFFSET($P594,0,AU$13),15-13*ORÇAMENTO!$AF$7)/$H594*OFFSET(ORÇAMENTO!$X$15,ROW(AU594)-ROW(AU$15),0),0)</f>
        <v>0</v>
      </c>
      <c r="AV594" s="632">
        <f ca="1">IF(AND($D594="Serviço",AV$12&lt;&gt;0,$H594&gt;0,OR(AUTOEVENTO&lt;&gt;"manual",$M594&lt;&gt;1)),ROUND(OFFSET($P594,0,AV$13),15-13*ORÇAMENTO!$AF$7)/$H594*OFFSET(ORÇAMENTO!$X$15,ROW(AV594)-ROW(AV$15),0),0)</f>
        <v>0</v>
      </c>
      <c r="AW594" s="632">
        <f ca="1">IF(AND($D594="Serviço",AW$12&lt;&gt;0,$H594&gt;0,OR(AUTOEVENTO&lt;&gt;"manual",$M594&lt;&gt;1)),ROUND(OFFSET($P594,0,AW$13),15-13*ORÇAMENTO!$AF$7)/$H594*OFFSET(ORÇAMENTO!$X$15,ROW(AW594)-ROW(AW$15),0),0)</f>
        <v>0</v>
      </c>
      <c r="AX594" s="632">
        <f ca="1">IF(AND($D594="Serviço",AX$12&lt;&gt;0,$H594&gt;0,OR(AUTOEVENTO&lt;&gt;"manual",$M594&lt;&gt;1)),ROUND(OFFSET($P594,0,AX$13),15-13*ORÇAMENTO!$AF$7)/$H594*OFFSET(ORÇAMENTO!$X$15,ROW(AX594)-ROW(AX$15),0),0)</f>
        <v>0</v>
      </c>
      <c r="AY594" s="632">
        <f ca="1">IF(AND($D594="Serviço",AY$12&lt;&gt;0,$H594&gt;0,OR(AUTOEVENTO&lt;&gt;"manual",$M594&lt;&gt;1)),ROUND(OFFSET($P594,0,AY$13),15-13*ORÇAMENTO!$AF$7)/$H594*OFFSET(ORÇAMENTO!$X$15,ROW(AY594)-ROW(AY$15),0),0)</f>
        <v>0</v>
      </c>
      <c r="AZ594" s="632">
        <f ca="1">IF(AND($D594="Serviço",AZ$12&lt;&gt;0,$H594&gt;0,OR(AUTOEVENTO&lt;&gt;"manual",$M594&lt;&gt;1)),ROUND(OFFSET($P594,0,AZ$13),15-13*ORÇAMENTO!$AF$7)/$H594*OFFSET(ORÇAMENTO!$X$15,ROW(AZ594)-ROW(AZ$15),0),0)</f>
        <v>0</v>
      </c>
      <c r="BA594" s="633">
        <f ca="1">IF(AND($D594="Serviço",BA$12&lt;&gt;0,$H594&gt;0,OR(AUTOEVENTO&lt;&gt;"manual",$M594&lt;&gt;1)),ROUND(OFFSET($P594,0,BA$13),15-13*ORÇAMENTO!$AF$7)/$H594*OFFSET(ORÇAMENTO!$X$15,ROW(BA594)-ROW(BA$15),0),0)</f>
        <v>0</v>
      </c>
      <c r="BC594" s="215">
        <f ca="1">IF($D594&lt;&gt;"Serviço",0,IF(AND(AUTOEVENTO="Manual",$M594=1),0,IF(OFFSET(CRONOPLE!$F$14,$M594,BC$13)="",10^12,OFFSET(CRONOPLE!$F$14,$M594,BC$13))))</f>
        <v>1000000000000</v>
      </c>
      <c r="BD594" s="215">
        <f ca="1">IF($D594&lt;&gt;"Serviço",0,IF(AND(AUTOEVENTO="Manual",$M594=1),0,IF(OFFSET(CRONOPLE!$F$14,$M594,BD$13)="",10^12,OFFSET(CRONOPLE!$F$14,$M594,BD$13))))</f>
        <v>1000000000000</v>
      </c>
      <c r="BE594" s="215">
        <f ca="1">IF($D594&lt;&gt;"Serviço",0,IF(AND(AUTOEVENTO="Manual",$M594=1),0,IF(OFFSET(CRONOPLE!$F$14,$M594,BE$13)="",10^12,OFFSET(CRONOPLE!$F$14,$M594,BE$13))))</f>
        <v>1000000000000</v>
      </c>
      <c r="BF594" s="215">
        <f ca="1">IF($D594&lt;&gt;"Serviço",0,IF(AND(AUTOEVENTO="Manual",$M594=1),0,IF(OFFSET(CRONOPLE!$F$14,$M594,BF$13)="",10^12,OFFSET(CRONOPLE!$F$14,$M594,BF$13))))</f>
        <v>1000000000000</v>
      </c>
      <c r="BG594" s="215">
        <f ca="1">IF($D594&lt;&gt;"Serviço",0,IF(AND(AUTOEVENTO="Manual",$M594=1),0,IF(OFFSET(CRONOPLE!$F$14,$M594,BG$13)="",10^12,OFFSET(CRONOPLE!$F$14,$M594,BG$13))))</f>
        <v>1000000000000</v>
      </c>
      <c r="BH594" s="215">
        <f ca="1">IF($D594&lt;&gt;"Serviço",0,IF(AND(AUTOEVENTO="Manual",$M594=1),0,IF(OFFSET(CRONOPLE!$F$14,$M594,BH$13)="",10^12,OFFSET(CRONOPLE!$F$14,$M594,BH$13))))</f>
        <v>1000000000000</v>
      </c>
      <c r="BI594" s="215">
        <f ca="1">IF($D594&lt;&gt;"Serviço",0,IF(AND(AUTOEVENTO="Manual",$M594=1),0,IF(OFFSET(CRONOPLE!$F$14,$M594,BI$13)="",10^12,OFFSET(CRONOPLE!$F$14,$M594,BI$13))))</f>
        <v>1000000000000</v>
      </c>
      <c r="BJ594" s="215">
        <f ca="1">IF($D594&lt;&gt;"Serviço",0,IF(AND(AUTOEVENTO="Manual",$M594=1),0,IF(OFFSET(CRONOPLE!$F$14,$M594,BJ$13)="",10^12,OFFSET(CRONOPLE!$F$14,$M594,BJ$13))))</f>
        <v>1000000000000</v>
      </c>
      <c r="BK594" s="215">
        <f ca="1">IF($D594&lt;&gt;"Serviço",0,IF(AND(AUTOEVENTO="Manual",$M594=1),0,IF(OFFSET(CRONOPLE!$F$14,$M594,BK$13)="",10^12,OFFSET(CRONOPLE!$F$14,$M594,BK$13))))</f>
        <v>1000000000000</v>
      </c>
      <c r="BL594" s="215">
        <f ca="1">IF($D594&lt;&gt;"Serviço",0,IF(AND(AUTOEVENTO="Manual",$M594=1),0,IF(OFFSET(CRONOPLE!$F$14,$M594,BL$13)="",10^12,OFFSET(CRONOPLE!$F$14,$M594,BL$13))))</f>
        <v>1000000000000</v>
      </c>
      <c r="BM594" s="215">
        <f ca="1">IF($D594&lt;&gt;"Serviço",0,IF(AND(AUTOEVENTO="Manual",$M594=1),0,IF(OFFSET(CRONOPLE!$F$14,$M594,BM$13)="",10^12,OFFSET(CRONOPLE!$F$14,$M594,BM$13))))</f>
        <v>1000000000000</v>
      </c>
      <c r="BN594" s="215">
        <f ca="1">IF($D594&lt;&gt;"Serviço",0,IF(AND(AUTOEVENTO="Manual",$M594=1),0,IF(OFFSET(CRONOPLE!$F$14,$M594,BN$13)="",10^12,OFFSET(CRONOPLE!$F$14,$M594,BN$13))))</f>
        <v>1000000000000</v>
      </c>
      <c r="BO594" s="215">
        <f ca="1">IF($D594&lt;&gt;"Serviço",0,IF(AND(AUTOEVENTO="Manual",$M594=1),0,IF(OFFSET(CRONOPLE!$F$14,$M594,BO$13)="",10^12,OFFSET(CRONOPLE!$F$14,$M594,BO$13))))</f>
        <v>1000000000000</v>
      </c>
      <c r="BP594" s="215">
        <f ca="1">IF($D594&lt;&gt;"Serviço",0,IF(AND(AUTOEVENTO="Manual",$M594=1),0,IF(OFFSET(CRONOPLE!$F$14,$M594,BP$13)="",10^12,OFFSET(CRONOPLE!$F$14,$M594,BP$13))))</f>
        <v>1000000000000</v>
      </c>
      <c r="BQ594" s="215">
        <f ca="1">IF($D594&lt;&gt;"Serviço",0,IF(AND(AUTOEVENTO="Manual",$M594=1),0,IF(OFFSET(CRONOPLE!$F$14,$M594,BQ$13)="",10^12,OFFSET(CRONOPLE!$F$14,$M594,BQ$13))))</f>
        <v>1000000000000</v>
      </c>
      <c r="BR594" s="215">
        <f ca="1">IF($D594&lt;&gt;"Serviço",0,IF(AND(AUTOEVENTO="Manual",$M594=1),0,IF(OFFSET(CRONOPLE!$F$14,$M594,BR$13)="",10^12,OFFSET(CRONOPLE!$F$14,$M594,BR$13))))</f>
        <v>1000000000000</v>
      </c>
      <c r="BS594" s="215">
        <f ca="1">IF($D594&lt;&gt;"Serviço",0,IF(AND(AUTOEVENTO="Manual",$M594=1),0,IF(OFFSET(CRONOPLE!$F$14,$M594,BS$13)="",10^12,OFFSET(CRONOPLE!$F$14,$M594,BS$13))))</f>
        <v>1000000000000</v>
      </c>
      <c r="BT594" s="215">
        <f ca="1">IF($D594&lt;&gt;"Serviço",0,IF(AND(AUTOEVENTO="Manual",$M594=1),0,IF(OFFSET(CRONOPLE!$F$14,$M594,BT$13)="",10^12,OFFSET(CRONOPLE!$F$14,$M594,BT$13))))</f>
        <v>1000000000000</v>
      </c>
      <c r="BV594" s="216">
        <f ca="1">IF($D594&lt;&gt;"Serviço",0,IF(OR(AND(AUTOEVENTO="Manual",$M594=1),$M594&gt;(ROW(PLE.lastrow)-ROW(PLE.firstrow))),0,IF(OFFSET(PLE!$G$14,$M594,BV$13)="",10^12,OFFSET(PLE!$G$14,$M594,BV$13))))</f>
        <v>1000000000000</v>
      </c>
      <c r="BW594" s="216">
        <f ca="1">IF($D594&lt;&gt;"Serviço",0,IF(OR(AND(AUTOEVENTO="Manual",$M594=1),$M594&gt;(ROW(PLE.lastrow)-ROW(PLE.firstrow))),0,IF(OFFSET(PLE!$G$14,$M594,BW$13)="",10^12,OFFSET(PLE!$G$14,$M594,BW$13))))</f>
        <v>1000000000000</v>
      </c>
      <c r="BX594" s="216">
        <f ca="1">IF($D594&lt;&gt;"Serviço",0,IF(OR(AND(AUTOEVENTO="Manual",$M594=1),$M594&gt;(ROW(PLE.lastrow)-ROW(PLE.firstrow))),0,IF(OFFSET(PLE!$G$14,$M594,BX$13)="",10^12,OFFSET(PLE!$G$14,$M594,BX$13))))</f>
        <v>1000000000000</v>
      </c>
      <c r="BY594" s="216">
        <f ca="1">IF($D594&lt;&gt;"Serviço",0,IF(OR(AND(AUTOEVENTO="Manual",$M594=1),$M594&gt;(ROW(PLE.lastrow)-ROW(PLE.firstrow))),0,IF(OFFSET(PLE!$G$14,$M594,BY$13)="",10^12,OFFSET(PLE!$G$14,$M594,BY$13))))</f>
        <v>1000000000000</v>
      </c>
      <c r="BZ594" s="216">
        <f ca="1">IF($D594&lt;&gt;"Serviço",0,IF(OR(AND(AUTOEVENTO="Manual",$M594=1),$M594&gt;(ROW(PLE.lastrow)-ROW(PLE.firstrow))),0,IF(OFFSET(PLE!$G$14,$M594,BZ$13)="",10^12,OFFSET(PLE!$G$14,$M594,BZ$13))))</f>
        <v>1000000000000</v>
      </c>
      <c r="CA594" s="216">
        <f ca="1">IF($D594&lt;&gt;"Serviço",0,IF(OR(AND(AUTOEVENTO="Manual",$M594=1),$M594&gt;(ROW(PLE.lastrow)-ROW(PLE.firstrow))),0,IF(OFFSET(PLE!$G$14,$M594,CA$13)="",10^12,OFFSET(PLE!$G$14,$M594,CA$13))))</f>
        <v>1000000000000</v>
      </c>
      <c r="CB594" s="216">
        <f ca="1">IF($D594&lt;&gt;"Serviço",0,IF(OR(AND(AUTOEVENTO="Manual",$M594=1),$M594&gt;(ROW(PLE.lastrow)-ROW(PLE.firstrow))),0,IF(OFFSET(PLE!$G$14,$M594,CB$13)="",10^12,OFFSET(PLE!$G$14,$M594,CB$13))))</f>
        <v>1000000000000</v>
      </c>
      <c r="CC594" s="216">
        <f ca="1">IF($D594&lt;&gt;"Serviço",0,IF(OR(AND(AUTOEVENTO="Manual",$M594=1),$M594&gt;(ROW(PLE.lastrow)-ROW(PLE.firstrow))),0,IF(OFFSET(PLE!$G$14,$M594,CC$13)="",10^12,OFFSET(PLE!$G$14,$M594,CC$13))))</f>
        <v>1000000000000</v>
      </c>
      <c r="CD594" s="216">
        <f ca="1">IF($D594&lt;&gt;"Serviço",0,IF(OR(AND(AUTOEVENTO="Manual",$M594=1),$M594&gt;(ROW(PLE.lastrow)-ROW(PLE.firstrow))),0,IF(OFFSET(PLE!$G$14,$M594,CD$13)="",10^12,OFFSET(PLE!$G$14,$M594,CD$13))))</f>
        <v>1000000000000</v>
      </c>
      <c r="CE594" s="216">
        <f ca="1">IF($D594&lt;&gt;"Serviço",0,IF(OR(AND(AUTOEVENTO="Manual",$M594=1),$M594&gt;(ROW(PLE.lastrow)-ROW(PLE.firstrow))),0,IF(OFFSET(PLE!$G$14,$M594,CE$13)="",10^12,OFFSET(PLE!$G$14,$M594,CE$13))))</f>
        <v>1000000000000</v>
      </c>
      <c r="CF594" s="216">
        <f ca="1">IF($D594&lt;&gt;"Serviço",0,IF(OR(AND(AUTOEVENTO="Manual",$M594=1),$M594&gt;(ROW(PLE.lastrow)-ROW(PLE.firstrow))),0,IF(OFFSET(PLE!$G$14,$M594,CF$13)="",10^12,OFFSET(PLE!$G$14,$M594,CF$13))))</f>
        <v>1000000000000</v>
      </c>
      <c r="CG594" s="216">
        <f ca="1">IF($D594&lt;&gt;"Serviço",0,IF(OR(AND(AUTOEVENTO="Manual",$M594=1),$M594&gt;(ROW(PLE.lastrow)-ROW(PLE.firstrow))),0,IF(OFFSET(PLE!$G$14,$M594,CG$13)="",10^12,OFFSET(PLE!$G$14,$M594,CG$13))))</f>
        <v>1000000000000</v>
      </c>
      <c r="CH594" s="216">
        <f ca="1">IF($D594&lt;&gt;"Serviço",0,IF(OR(AND(AUTOEVENTO="Manual",$M594=1),$M594&gt;(ROW(PLE.lastrow)-ROW(PLE.firstrow))),0,IF(OFFSET(PLE!$G$14,$M594,CH$13)="",10^12,OFFSET(PLE!$G$14,$M594,CH$13))))</f>
        <v>1000000000000</v>
      </c>
      <c r="CI594" s="216">
        <f ca="1">IF($D594&lt;&gt;"Serviço",0,IF(OR(AND(AUTOEVENTO="Manual",$M594=1),$M594&gt;(ROW(PLE.lastrow)-ROW(PLE.firstrow))),0,IF(OFFSET(PLE!$G$14,$M594,CI$13)="",10^12,OFFSET(PLE!$G$14,$M594,CI$13))))</f>
        <v>1000000000000</v>
      </c>
      <c r="CJ594" s="216">
        <f ca="1">IF($D594&lt;&gt;"Serviço",0,IF(OR(AND(AUTOEVENTO="Manual",$M594=1),$M594&gt;(ROW(PLE.lastrow)-ROW(PLE.firstrow))),0,IF(OFFSET(PLE!$G$14,$M594,CJ$13)="",10^12,OFFSET(PLE!$G$14,$M594,CJ$13))))</f>
        <v>1000000000000</v>
      </c>
      <c r="CK594" s="216">
        <f ca="1">IF($D594&lt;&gt;"Serviço",0,IF(OR(AND(AUTOEVENTO="Manual",$M594=1),$M594&gt;(ROW(PLE.lastrow)-ROW(PLE.firstrow))),0,IF(OFFSET(PLE!$G$14,$M594,CK$13)="",10^12,OFFSET(PLE!$G$14,$M594,CK$13))))</f>
        <v>1000000000000</v>
      </c>
      <c r="CL594" s="216">
        <f ca="1">IF($D594&lt;&gt;"Serviço",0,IF(OR(AND(AUTOEVENTO="Manual",$M594=1),$M594&gt;(ROW(PLE.lastrow)-ROW(PLE.firstrow))),0,IF(OFFSET(PLE!$G$14,$M594,CL$13)="",10^12,OFFSET(PLE!$G$14,$M594,CL$13))))</f>
        <v>1000000000000</v>
      </c>
      <c r="CM594" s="216">
        <f ca="1">IF($D594&lt;&gt;"Serviço",0,IF(OR(AND(AUTOEVENTO="Manual",$M594=1),$M594&gt;(ROW(PLE.lastrow)-ROW(PLE.firstrow))),0,IF(OFFSET(PLE!$G$14,$M594,CM$13)="",10^12,OFFSET(PLE!$G$14,$M594,CM$13))))</f>
        <v>1000000000000</v>
      </c>
    </row>
    <row r="595" spans="1:91" ht="13.2" x14ac:dyDescent="0.25">
      <c r="A595" s="9">
        <f t="shared" ca="1" si="18"/>
        <v>0</v>
      </c>
      <c r="B595" s="9" t="str">
        <f ca="1">OFFSET(ORÇAMENTO!C$15,ROW(B595)-ROW(B$15),0)</f>
        <v>S</v>
      </c>
      <c r="C595" s="9" t="str">
        <f ca="1">OFFSET(ORÇAMENTO!L$15,ROW(C595)-ROW(C$15),0)</f>
        <v/>
      </c>
      <c r="D595" s="145" t="str">
        <f ca="1">OFFSET(ORÇAMENTO!N$15,ROW(D595)-ROW(D$15),0)</f>
        <v>Serviço</v>
      </c>
      <c r="E595" s="205" t="str">
        <f ca="1">OFFSET(ORÇAMENTO!O$15,ROW(E595)-ROW(E$15),0)</f>
        <v>-</v>
      </c>
      <c r="F595" s="206" t="str">
        <f ca="1">OFFSET(ORÇAMENTO!R$15,ROW(F595)-ROW(F$15),0)</f>
        <v>(abra o arquivo 'Referência 05-2024.xls)</v>
      </c>
      <c r="G595" s="207" t="str">
        <f ca="1">IF($D595&lt;&gt;"Serviço","",OFFSET(ORÇAMENTO!S$15,ROW(G595)-ROW(G$15),0))</f>
        <v>-</v>
      </c>
      <c r="H595" s="151">
        <f ca="1">IF($D595&lt;&gt;"Serviço",0,IF(ACOMPANHAMENTO="BM",ROUND(OFFSET(ORÇAMENTO!AJ$15,ROW(H595)-ROW(H$15),0),15-13*ORÇAMENTO!$AF$7),SUMPRODUCT(($Q$12:$AI$12&lt;&gt;"")*ROUND($Q595:$AI595,15-13*ORÇAMENTO!$AF$7))))</f>
        <v>100.7</v>
      </c>
      <c r="I595" s="650"/>
      <c r="K595" s="208"/>
      <c r="L595" s="209" t="s">
        <v>257</v>
      </c>
      <c r="M595" s="210">
        <f ca="1">IF($D595&lt;&gt;"Serviço","",IF(AUTOEVENTO="manual",$A595,IF(ISERROR(MATCH($A595,$A$15:OFFSET($A595,-1,0),0)),MAX($M$15:OFFSET(M595,-1,0))+1,INDEX($M$15:OFFSET(M595,-1,0),MATCH($A595,$A$15:OFFSET($A595,-1,0),0)))))</f>
        <v>0</v>
      </c>
      <c r="N595" s="211" t="str">
        <f ca="1">IF($D595&lt;&gt;"Serviço","",IF(AUTOEVENTO="Manual",IF($A595=0,"&lt;-- defina o número do agrupador",OFFSET(EVENTOS!$D$14,$A595,0)),OFFSET($F$15,$A595,0)))</f>
        <v>&lt;-- defina o número do agrupador</v>
      </c>
      <c r="O595" s="212"/>
      <c r="Q595" s="212"/>
      <c r="R595" s="213"/>
      <c r="S595" s="213"/>
      <c r="T595" s="213"/>
      <c r="U595" s="213"/>
      <c r="V595" s="213"/>
      <c r="W595" s="213"/>
      <c r="X595" s="213"/>
      <c r="Y595" s="213"/>
      <c r="Z595" s="214"/>
      <c r="AA595" s="213"/>
      <c r="AB595" s="213"/>
      <c r="AC595" s="213"/>
      <c r="AD595" s="213"/>
      <c r="AE595" s="213"/>
      <c r="AF595" s="213"/>
      <c r="AG595" s="213"/>
      <c r="AH595" s="214"/>
      <c r="AJ595" s="631">
        <f ca="1">IF(AND($D595="Serviço",AJ$12&lt;&gt;0,$H595&gt;0,OR(AUTOEVENTO&lt;&gt;"manual",$M595&lt;&gt;1)),ROUND(OFFSET($P595,0,AJ$13),15-13*ORÇAMENTO!$AF$7)/$H595*OFFSET(ORÇAMENTO!$X$15,ROW(AJ595)-ROW(AJ$15),0),0)</f>
        <v>0</v>
      </c>
      <c r="AK595" s="632">
        <f ca="1">IF(AND($D595="Serviço",AK$12&lt;&gt;0,$H595&gt;0,OR(AUTOEVENTO&lt;&gt;"manual",$M595&lt;&gt;1)),ROUND(OFFSET($P595,0,AK$13),15-13*ORÇAMENTO!$AF$7)/$H595*OFFSET(ORÇAMENTO!$X$15,ROW(AK595)-ROW(AK$15),0),0)</f>
        <v>0</v>
      </c>
      <c r="AL595" s="632">
        <f ca="1">IF(AND($D595="Serviço",AL$12&lt;&gt;0,$H595&gt;0,OR(AUTOEVENTO&lt;&gt;"manual",$M595&lt;&gt;1)),ROUND(OFFSET($P595,0,AL$13),15-13*ORÇAMENTO!$AF$7)/$H595*OFFSET(ORÇAMENTO!$X$15,ROW(AL595)-ROW(AL$15),0),0)</f>
        <v>0</v>
      </c>
      <c r="AM595" s="632">
        <f ca="1">IF(AND($D595="Serviço",AM$12&lt;&gt;0,$H595&gt;0,OR(AUTOEVENTO&lt;&gt;"manual",$M595&lt;&gt;1)),ROUND(OFFSET($P595,0,AM$13),15-13*ORÇAMENTO!$AF$7)/$H595*OFFSET(ORÇAMENTO!$X$15,ROW(AM595)-ROW(AM$15),0),0)</f>
        <v>0</v>
      </c>
      <c r="AN595" s="632">
        <f ca="1">IF(AND($D595="Serviço",AN$12&lt;&gt;0,$H595&gt;0,OR(AUTOEVENTO&lt;&gt;"manual",$M595&lt;&gt;1)),ROUND(OFFSET($P595,0,AN$13),15-13*ORÇAMENTO!$AF$7)/$H595*OFFSET(ORÇAMENTO!$X$15,ROW(AN595)-ROW(AN$15),0),0)</f>
        <v>0</v>
      </c>
      <c r="AO595" s="632">
        <f ca="1">IF(AND($D595="Serviço",AO$12&lt;&gt;0,$H595&gt;0,OR(AUTOEVENTO&lt;&gt;"manual",$M595&lt;&gt;1)),ROUND(OFFSET($P595,0,AO$13),15-13*ORÇAMENTO!$AF$7)/$H595*OFFSET(ORÇAMENTO!$X$15,ROW(AO595)-ROW(AO$15),0),0)</f>
        <v>0</v>
      </c>
      <c r="AP595" s="632">
        <f ca="1">IF(AND($D595="Serviço",AP$12&lt;&gt;0,$H595&gt;0,OR(AUTOEVENTO&lt;&gt;"manual",$M595&lt;&gt;1)),ROUND(OFFSET($P595,0,AP$13),15-13*ORÇAMENTO!$AF$7)/$H595*OFFSET(ORÇAMENTO!$X$15,ROW(AP595)-ROW(AP$15),0),0)</f>
        <v>0</v>
      </c>
      <c r="AQ595" s="632">
        <f ca="1">IF(AND($D595="Serviço",AQ$12&lt;&gt;0,$H595&gt;0,OR(AUTOEVENTO&lt;&gt;"manual",$M595&lt;&gt;1)),ROUND(OFFSET($P595,0,AQ$13),15-13*ORÇAMENTO!$AF$7)/$H595*OFFSET(ORÇAMENTO!$X$15,ROW(AQ595)-ROW(AQ$15),0),0)</f>
        <v>0</v>
      </c>
      <c r="AR595" s="632">
        <f ca="1">IF(AND($D595="Serviço",AR$12&lt;&gt;0,$H595&gt;0,OR(AUTOEVENTO&lt;&gt;"manual",$M595&lt;&gt;1)),ROUND(OFFSET($P595,0,AR$13),15-13*ORÇAMENTO!$AF$7)/$H595*OFFSET(ORÇAMENTO!$X$15,ROW(AR595)-ROW(AR$15),0),0)</f>
        <v>0</v>
      </c>
      <c r="AS595" s="633">
        <f ca="1">IF(AND($D595="Serviço",AS$12&lt;&gt;0,$H595&gt;0,OR(AUTOEVENTO&lt;&gt;"manual",$M595&lt;&gt;1)),ROUND(OFFSET($P595,0,AS$13),15-13*ORÇAMENTO!$AF$7)/$H595*OFFSET(ORÇAMENTO!$X$15,ROW(AS595)-ROW(AS$15),0),0)</f>
        <v>0</v>
      </c>
      <c r="AT595" s="632">
        <f ca="1">IF(AND($D595="Serviço",AT$12&lt;&gt;0,$H595&gt;0,OR(AUTOEVENTO&lt;&gt;"manual",$M595&lt;&gt;1)),ROUND(OFFSET($P595,0,AT$13),15-13*ORÇAMENTO!$AF$7)/$H595*OFFSET(ORÇAMENTO!$X$15,ROW(AT595)-ROW(AT$15),0),0)</f>
        <v>0</v>
      </c>
      <c r="AU595" s="632">
        <f ca="1">IF(AND($D595="Serviço",AU$12&lt;&gt;0,$H595&gt;0,OR(AUTOEVENTO&lt;&gt;"manual",$M595&lt;&gt;1)),ROUND(OFFSET($P595,0,AU$13),15-13*ORÇAMENTO!$AF$7)/$H595*OFFSET(ORÇAMENTO!$X$15,ROW(AU595)-ROW(AU$15),0),0)</f>
        <v>0</v>
      </c>
      <c r="AV595" s="632">
        <f ca="1">IF(AND($D595="Serviço",AV$12&lt;&gt;0,$H595&gt;0,OR(AUTOEVENTO&lt;&gt;"manual",$M595&lt;&gt;1)),ROUND(OFFSET($P595,0,AV$13),15-13*ORÇAMENTO!$AF$7)/$H595*OFFSET(ORÇAMENTO!$X$15,ROW(AV595)-ROW(AV$15),0),0)</f>
        <v>0</v>
      </c>
      <c r="AW595" s="632">
        <f ca="1">IF(AND($D595="Serviço",AW$12&lt;&gt;0,$H595&gt;0,OR(AUTOEVENTO&lt;&gt;"manual",$M595&lt;&gt;1)),ROUND(OFFSET($P595,0,AW$13),15-13*ORÇAMENTO!$AF$7)/$H595*OFFSET(ORÇAMENTO!$X$15,ROW(AW595)-ROW(AW$15),0),0)</f>
        <v>0</v>
      </c>
      <c r="AX595" s="632">
        <f ca="1">IF(AND($D595="Serviço",AX$12&lt;&gt;0,$H595&gt;0,OR(AUTOEVENTO&lt;&gt;"manual",$M595&lt;&gt;1)),ROUND(OFFSET($P595,0,AX$13),15-13*ORÇAMENTO!$AF$7)/$H595*OFFSET(ORÇAMENTO!$X$15,ROW(AX595)-ROW(AX$15),0),0)</f>
        <v>0</v>
      </c>
      <c r="AY595" s="632">
        <f ca="1">IF(AND($D595="Serviço",AY$12&lt;&gt;0,$H595&gt;0,OR(AUTOEVENTO&lt;&gt;"manual",$M595&lt;&gt;1)),ROUND(OFFSET($P595,0,AY$13),15-13*ORÇAMENTO!$AF$7)/$H595*OFFSET(ORÇAMENTO!$X$15,ROW(AY595)-ROW(AY$15),0),0)</f>
        <v>0</v>
      </c>
      <c r="AZ595" s="632">
        <f ca="1">IF(AND($D595="Serviço",AZ$12&lt;&gt;0,$H595&gt;0,OR(AUTOEVENTO&lt;&gt;"manual",$M595&lt;&gt;1)),ROUND(OFFSET($P595,0,AZ$13),15-13*ORÇAMENTO!$AF$7)/$H595*OFFSET(ORÇAMENTO!$X$15,ROW(AZ595)-ROW(AZ$15),0),0)</f>
        <v>0</v>
      </c>
      <c r="BA595" s="633">
        <f ca="1">IF(AND($D595="Serviço",BA$12&lt;&gt;0,$H595&gt;0,OR(AUTOEVENTO&lt;&gt;"manual",$M595&lt;&gt;1)),ROUND(OFFSET($P595,0,BA$13),15-13*ORÇAMENTO!$AF$7)/$H595*OFFSET(ORÇAMENTO!$X$15,ROW(BA595)-ROW(BA$15),0),0)</f>
        <v>0</v>
      </c>
      <c r="BC595" s="215">
        <f ca="1">IF($D595&lt;&gt;"Serviço",0,IF(AND(AUTOEVENTO="Manual",$M595=1),0,IF(OFFSET(CRONOPLE!$F$14,$M595,BC$13)="",10^12,OFFSET(CRONOPLE!$F$14,$M595,BC$13))))</f>
        <v>1000000000000</v>
      </c>
      <c r="BD595" s="215">
        <f ca="1">IF($D595&lt;&gt;"Serviço",0,IF(AND(AUTOEVENTO="Manual",$M595=1),0,IF(OFFSET(CRONOPLE!$F$14,$M595,BD$13)="",10^12,OFFSET(CRONOPLE!$F$14,$M595,BD$13))))</f>
        <v>1000000000000</v>
      </c>
      <c r="BE595" s="215">
        <f ca="1">IF($D595&lt;&gt;"Serviço",0,IF(AND(AUTOEVENTO="Manual",$M595=1),0,IF(OFFSET(CRONOPLE!$F$14,$M595,BE$13)="",10^12,OFFSET(CRONOPLE!$F$14,$M595,BE$13))))</f>
        <v>1000000000000</v>
      </c>
      <c r="BF595" s="215">
        <f ca="1">IF($D595&lt;&gt;"Serviço",0,IF(AND(AUTOEVENTO="Manual",$M595=1),0,IF(OFFSET(CRONOPLE!$F$14,$M595,BF$13)="",10^12,OFFSET(CRONOPLE!$F$14,$M595,BF$13))))</f>
        <v>1000000000000</v>
      </c>
      <c r="BG595" s="215">
        <f ca="1">IF($D595&lt;&gt;"Serviço",0,IF(AND(AUTOEVENTO="Manual",$M595=1),0,IF(OFFSET(CRONOPLE!$F$14,$M595,BG$13)="",10^12,OFFSET(CRONOPLE!$F$14,$M595,BG$13))))</f>
        <v>1000000000000</v>
      </c>
      <c r="BH595" s="215">
        <f ca="1">IF($D595&lt;&gt;"Serviço",0,IF(AND(AUTOEVENTO="Manual",$M595=1),0,IF(OFFSET(CRONOPLE!$F$14,$M595,BH$13)="",10^12,OFFSET(CRONOPLE!$F$14,$M595,BH$13))))</f>
        <v>1000000000000</v>
      </c>
      <c r="BI595" s="215">
        <f ca="1">IF($D595&lt;&gt;"Serviço",0,IF(AND(AUTOEVENTO="Manual",$M595=1),0,IF(OFFSET(CRONOPLE!$F$14,$M595,BI$13)="",10^12,OFFSET(CRONOPLE!$F$14,$M595,BI$13))))</f>
        <v>1000000000000</v>
      </c>
      <c r="BJ595" s="215">
        <f ca="1">IF($D595&lt;&gt;"Serviço",0,IF(AND(AUTOEVENTO="Manual",$M595=1),0,IF(OFFSET(CRONOPLE!$F$14,$M595,BJ$13)="",10^12,OFFSET(CRONOPLE!$F$14,$M595,BJ$13))))</f>
        <v>1000000000000</v>
      </c>
      <c r="BK595" s="215">
        <f ca="1">IF($D595&lt;&gt;"Serviço",0,IF(AND(AUTOEVENTO="Manual",$M595=1),0,IF(OFFSET(CRONOPLE!$F$14,$M595,BK$13)="",10^12,OFFSET(CRONOPLE!$F$14,$M595,BK$13))))</f>
        <v>1000000000000</v>
      </c>
      <c r="BL595" s="215">
        <f ca="1">IF($D595&lt;&gt;"Serviço",0,IF(AND(AUTOEVENTO="Manual",$M595=1),0,IF(OFFSET(CRONOPLE!$F$14,$M595,BL$13)="",10^12,OFFSET(CRONOPLE!$F$14,$M595,BL$13))))</f>
        <v>1000000000000</v>
      </c>
      <c r="BM595" s="215">
        <f ca="1">IF($D595&lt;&gt;"Serviço",0,IF(AND(AUTOEVENTO="Manual",$M595=1),0,IF(OFFSET(CRONOPLE!$F$14,$M595,BM$13)="",10^12,OFFSET(CRONOPLE!$F$14,$M595,BM$13))))</f>
        <v>1000000000000</v>
      </c>
      <c r="BN595" s="215">
        <f ca="1">IF($D595&lt;&gt;"Serviço",0,IF(AND(AUTOEVENTO="Manual",$M595=1),0,IF(OFFSET(CRONOPLE!$F$14,$M595,BN$13)="",10^12,OFFSET(CRONOPLE!$F$14,$M595,BN$13))))</f>
        <v>1000000000000</v>
      </c>
      <c r="BO595" s="215">
        <f ca="1">IF($D595&lt;&gt;"Serviço",0,IF(AND(AUTOEVENTO="Manual",$M595=1),0,IF(OFFSET(CRONOPLE!$F$14,$M595,BO$13)="",10^12,OFFSET(CRONOPLE!$F$14,$M595,BO$13))))</f>
        <v>1000000000000</v>
      </c>
      <c r="BP595" s="215">
        <f ca="1">IF($D595&lt;&gt;"Serviço",0,IF(AND(AUTOEVENTO="Manual",$M595=1),0,IF(OFFSET(CRONOPLE!$F$14,$M595,BP$13)="",10^12,OFFSET(CRONOPLE!$F$14,$M595,BP$13))))</f>
        <v>1000000000000</v>
      </c>
      <c r="BQ595" s="215">
        <f ca="1">IF($D595&lt;&gt;"Serviço",0,IF(AND(AUTOEVENTO="Manual",$M595=1),0,IF(OFFSET(CRONOPLE!$F$14,$M595,BQ$13)="",10^12,OFFSET(CRONOPLE!$F$14,$M595,BQ$13))))</f>
        <v>1000000000000</v>
      </c>
      <c r="BR595" s="215">
        <f ca="1">IF($D595&lt;&gt;"Serviço",0,IF(AND(AUTOEVENTO="Manual",$M595=1),0,IF(OFFSET(CRONOPLE!$F$14,$M595,BR$13)="",10^12,OFFSET(CRONOPLE!$F$14,$M595,BR$13))))</f>
        <v>1000000000000</v>
      </c>
      <c r="BS595" s="215">
        <f ca="1">IF($D595&lt;&gt;"Serviço",0,IF(AND(AUTOEVENTO="Manual",$M595=1),0,IF(OFFSET(CRONOPLE!$F$14,$M595,BS$13)="",10^12,OFFSET(CRONOPLE!$F$14,$M595,BS$13))))</f>
        <v>1000000000000</v>
      </c>
      <c r="BT595" s="215">
        <f ca="1">IF($D595&lt;&gt;"Serviço",0,IF(AND(AUTOEVENTO="Manual",$M595=1),0,IF(OFFSET(CRONOPLE!$F$14,$M595,BT$13)="",10^12,OFFSET(CRONOPLE!$F$14,$M595,BT$13))))</f>
        <v>1000000000000</v>
      </c>
      <c r="BV595" s="216">
        <f ca="1">IF($D595&lt;&gt;"Serviço",0,IF(OR(AND(AUTOEVENTO="Manual",$M595=1),$M595&gt;(ROW(PLE.lastrow)-ROW(PLE.firstrow))),0,IF(OFFSET(PLE!$G$14,$M595,BV$13)="",10^12,OFFSET(PLE!$G$14,$M595,BV$13))))</f>
        <v>1000000000000</v>
      </c>
      <c r="BW595" s="216">
        <f ca="1">IF($D595&lt;&gt;"Serviço",0,IF(OR(AND(AUTOEVENTO="Manual",$M595=1),$M595&gt;(ROW(PLE.lastrow)-ROW(PLE.firstrow))),0,IF(OFFSET(PLE!$G$14,$M595,BW$13)="",10^12,OFFSET(PLE!$G$14,$M595,BW$13))))</f>
        <v>1000000000000</v>
      </c>
      <c r="BX595" s="216">
        <f ca="1">IF($D595&lt;&gt;"Serviço",0,IF(OR(AND(AUTOEVENTO="Manual",$M595=1),$M595&gt;(ROW(PLE.lastrow)-ROW(PLE.firstrow))),0,IF(OFFSET(PLE!$G$14,$M595,BX$13)="",10^12,OFFSET(PLE!$G$14,$M595,BX$13))))</f>
        <v>1000000000000</v>
      </c>
      <c r="BY595" s="216">
        <f ca="1">IF($D595&lt;&gt;"Serviço",0,IF(OR(AND(AUTOEVENTO="Manual",$M595=1),$M595&gt;(ROW(PLE.lastrow)-ROW(PLE.firstrow))),0,IF(OFFSET(PLE!$G$14,$M595,BY$13)="",10^12,OFFSET(PLE!$G$14,$M595,BY$13))))</f>
        <v>1000000000000</v>
      </c>
      <c r="BZ595" s="216">
        <f ca="1">IF($D595&lt;&gt;"Serviço",0,IF(OR(AND(AUTOEVENTO="Manual",$M595=1),$M595&gt;(ROW(PLE.lastrow)-ROW(PLE.firstrow))),0,IF(OFFSET(PLE!$G$14,$M595,BZ$13)="",10^12,OFFSET(PLE!$G$14,$M595,BZ$13))))</f>
        <v>1000000000000</v>
      </c>
      <c r="CA595" s="216">
        <f ca="1">IF($D595&lt;&gt;"Serviço",0,IF(OR(AND(AUTOEVENTO="Manual",$M595=1),$M595&gt;(ROW(PLE.lastrow)-ROW(PLE.firstrow))),0,IF(OFFSET(PLE!$G$14,$M595,CA$13)="",10^12,OFFSET(PLE!$G$14,$M595,CA$13))))</f>
        <v>1000000000000</v>
      </c>
      <c r="CB595" s="216">
        <f ca="1">IF($D595&lt;&gt;"Serviço",0,IF(OR(AND(AUTOEVENTO="Manual",$M595=1),$M595&gt;(ROW(PLE.lastrow)-ROW(PLE.firstrow))),0,IF(OFFSET(PLE!$G$14,$M595,CB$13)="",10^12,OFFSET(PLE!$G$14,$M595,CB$13))))</f>
        <v>1000000000000</v>
      </c>
      <c r="CC595" s="216">
        <f ca="1">IF($D595&lt;&gt;"Serviço",0,IF(OR(AND(AUTOEVENTO="Manual",$M595=1),$M595&gt;(ROW(PLE.lastrow)-ROW(PLE.firstrow))),0,IF(OFFSET(PLE!$G$14,$M595,CC$13)="",10^12,OFFSET(PLE!$G$14,$M595,CC$13))))</f>
        <v>1000000000000</v>
      </c>
      <c r="CD595" s="216">
        <f ca="1">IF($D595&lt;&gt;"Serviço",0,IF(OR(AND(AUTOEVENTO="Manual",$M595=1),$M595&gt;(ROW(PLE.lastrow)-ROW(PLE.firstrow))),0,IF(OFFSET(PLE!$G$14,$M595,CD$13)="",10^12,OFFSET(PLE!$G$14,$M595,CD$13))))</f>
        <v>1000000000000</v>
      </c>
      <c r="CE595" s="216">
        <f ca="1">IF($D595&lt;&gt;"Serviço",0,IF(OR(AND(AUTOEVENTO="Manual",$M595=1),$M595&gt;(ROW(PLE.lastrow)-ROW(PLE.firstrow))),0,IF(OFFSET(PLE!$G$14,$M595,CE$13)="",10^12,OFFSET(PLE!$G$14,$M595,CE$13))))</f>
        <v>1000000000000</v>
      </c>
      <c r="CF595" s="216">
        <f ca="1">IF($D595&lt;&gt;"Serviço",0,IF(OR(AND(AUTOEVENTO="Manual",$M595=1),$M595&gt;(ROW(PLE.lastrow)-ROW(PLE.firstrow))),0,IF(OFFSET(PLE!$G$14,$M595,CF$13)="",10^12,OFFSET(PLE!$G$14,$M595,CF$13))))</f>
        <v>1000000000000</v>
      </c>
      <c r="CG595" s="216">
        <f ca="1">IF($D595&lt;&gt;"Serviço",0,IF(OR(AND(AUTOEVENTO="Manual",$M595=1),$M595&gt;(ROW(PLE.lastrow)-ROW(PLE.firstrow))),0,IF(OFFSET(PLE!$G$14,$M595,CG$13)="",10^12,OFFSET(PLE!$G$14,$M595,CG$13))))</f>
        <v>1000000000000</v>
      </c>
      <c r="CH595" s="216">
        <f ca="1">IF($D595&lt;&gt;"Serviço",0,IF(OR(AND(AUTOEVENTO="Manual",$M595=1),$M595&gt;(ROW(PLE.lastrow)-ROW(PLE.firstrow))),0,IF(OFFSET(PLE!$G$14,$M595,CH$13)="",10^12,OFFSET(PLE!$G$14,$M595,CH$13))))</f>
        <v>1000000000000</v>
      </c>
      <c r="CI595" s="216">
        <f ca="1">IF($D595&lt;&gt;"Serviço",0,IF(OR(AND(AUTOEVENTO="Manual",$M595=1),$M595&gt;(ROW(PLE.lastrow)-ROW(PLE.firstrow))),0,IF(OFFSET(PLE!$G$14,$M595,CI$13)="",10^12,OFFSET(PLE!$G$14,$M595,CI$13))))</f>
        <v>1000000000000</v>
      </c>
      <c r="CJ595" s="216">
        <f ca="1">IF($D595&lt;&gt;"Serviço",0,IF(OR(AND(AUTOEVENTO="Manual",$M595=1),$M595&gt;(ROW(PLE.lastrow)-ROW(PLE.firstrow))),0,IF(OFFSET(PLE!$G$14,$M595,CJ$13)="",10^12,OFFSET(PLE!$G$14,$M595,CJ$13))))</f>
        <v>1000000000000</v>
      </c>
      <c r="CK595" s="216">
        <f ca="1">IF($D595&lt;&gt;"Serviço",0,IF(OR(AND(AUTOEVENTO="Manual",$M595=1),$M595&gt;(ROW(PLE.lastrow)-ROW(PLE.firstrow))),0,IF(OFFSET(PLE!$G$14,$M595,CK$13)="",10^12,OFFSET(PLE!$G$14,$M595,CK$13))))</f>
        <v>1000000000000</v>
      </c>
      <c r="CL595" s="216">
        <f ca="1">IF($D595&lt;&gt;"Serviço",0,IF(OR(AND(AUTOEVENTO="Manual",$M595=1),$M595&gt;(ROW(PLE.lastrow)-ROW(PLE.firstrow))),0,IF(OFFSET(PLE!$G$14,$M595,CL$13)="",10^12,OFFSET(PLE!$G$14,$M595,CL$13))))</f>
        <v>1000000000000</v>
      </c>
      <c r="CM595" s="216">
        <f ca="1">IF($D595&lt;&gt;"Serviço",0,IF(OR(AND(AUTOEVENTO="Manual",$M595=1),$M595&gt;(ROW(PLE.lastrow)-ROW(PLE.firstrow))),0,IF(OFFSET(PLE!$G$14,$M595,CM$13)="",10^12,OFFSET(PLE!$G$14,$M595,CM$13))))</f>
        <v>1000000000000</v>
      </c>
    </row>
    <row r="596" spans="1:91" ht="13.2" x14ac:dyDescent="0.25">
      <c r="A596" s="9">
        <f t="shared" ca="1" si="18"/>
        <v>0</v>
      </c>
      <c r="B596" s="9" t="str">
        <f ca="1">OFFSET(ORÇAMENTO!C$15,ROW(B596)-ROW(B$15),0)</f>
        <v>S</v>
      </c>
      <c r="C596" s="9" t="str">
        <f ca="1">OFFSET(ORÇAMENTO!L$15,ROW(C596)-ROW(C$15),0)</f>
        <v/>
      </c>
      <c r="D596" s="145" t="str">
        <f ca="1">OFFSET(ORÇAMENTO!N$15,ROW(D596)-ROW(D$15),0)</f>
        <v>Serviço</v>
      </c>
      <c r="E596" s="205" t="str">
        <f ca="1">OFFSET(ORÇAMENTO!O$15,ROW(E596)-ROW(E$15),0)</f>
        <v>-</v>
      </c>
      <c r="F596" s="206" t="str">
        <f ca="1">OFFSET(ORÇAMENTO!R$15,ROW(F596)-ROW(F$15),0)</f>
        <v>(abra o arquivo 'Referência 05-2024.xls)</v>
      </c>
      <c r="G596" s="207" t="str">
        <f ca="1">IF($D596&lt;&gt;"Serviço","",OFFSET(ORÇAMENTO!S$15,ROW(G596)-ROW(G$15),0))</f>
        <v>-</v>
      </c>
      <c r="H596" s="151">
        <f ca="1">IF($D596&lt;&gt;"Serviço",0,IF(ACOMPANHAMENTO="BM",ROUND(OFFSET(ORÇAMENTO!AJ$15,ROW(H596)-ROW(H$15),0),15-13*ORÇAMENTO!$AF$7),SUMPRODUCT(($Q$12:$AI$12&lt;&gt;"")*ROUND($Q596:$AI596,15-13*ORÇAMENTO!$AF$7))))</f>
        <v>0.4</v>
      </c>
      <c r="I596" s="650"/>
      <c r="K596" s="208"/>
      <c r="L596" s="209" t="s">
        <v>257</v>
      </c>
      <c r="M596" s="210">
        <f ca="1">IF($D596&lt;&gt;"Serviço","",IF(AUTOEVENTO="manual",$A596,IF(ISERROR(MATCH($A596,$A$15:OFFSET($A596,-1,0),0)),MAX($M$15:OFFSET(M596,-1,0))+1,INDEX($M$15:OFFSET(M596,-1,0),MATCH($A596,$A$15:OFFSET($A596,-1,0),0)))))</f>
        <v>0</v>
      </c>
      <c r="N596" s="211" t="str">
        <f ca="1">IF($D596&lt;&gt;"Serviço","",IF(AUTOEVENTO="Manual",IF($A596=0,"&lt;-- defina o número do agrupador",OFFSET(EVENTOS!$D$14,$A596,0)),OFFSET($F$15,$A596,0)))</f>
        <v>&lt;-- defina o número do agrupador</v>
      </c>
      <c r="O596" s="212"/>
      <c r="Q596" s="212"/>
      <c r="R596" s="213"/>
      <c r="S596" s="213"/>
      <c r="T596" s="213"/>
      <c r="U596" s="213"/>
      <c r="V596" s="213"/>
      <c r="W596" s="213"/>
      <c r="X596" s="213"/>
      <c r="Y596" s="213"/>
      <c r="Z596" s="214"/>
      <c r="AA596" s="213"/>
      <c r="AB596" s="213"/>
      <c r="AC596" s="213"/>
      <c r="AD596" s="213"/>
      <c r="AE596" s="213"/>
      <c r="AF596" s="213"/>
      <c r="AG596" s="213"/>
      <c r="AH596" s="214"/>
      <c r="AJ596" s="631">
        <f ca="1">IF(AND($D596="Serviço",AJ$12&lt;&gt;0,$H596&gt;0,OR(AUTOEVENTO&lt;&gt;"manual",$M596&lt;&gt;1)),ROUND(OFFSET($P596,0,AJ$13),15-13*ORÇAMENTO!$AF$7)/$H596*OFFSET(ORÇAMENTO!$X$15,ROW(AJ596)-ROW(AJ$15),0),0)</f>
        <v>0</v>
      </c>
      <c r="AK596" s="632">
        <f ca="1">IF(AND($D596="Serviço",AK$12&lt;&gt;0,$H596&gt;0,OR(AUTOEVENTO&lt;&gt;"manual",$M596&lt;&gt;1)),ROUND(OFFSET($P596,0,AK$13),15-13*ORÇAMENTO!$AF$7)/$H596*OFFSET(ORÇAMENTO!$X$15,ROW(AK596)-ROW(AK$15),0),0)</f>
        <v>0</v>
      </c>
      <c r="AL596" s="632">
        <f ca="1">IF(AND($D596="Serviço",AL$12&lt;&gt;0,$H596&gt;0,OR(AUTOEVENTO&lt;&gt;"manual",$M596&lt;&gt;1)),ROUND(OFFSET($P596,0,AL$13),15-13*ORÇAMENTO!$AF$7)/$H596*OFFSET(ORÇAMENTO!$X$15,ROW(AL596)-ROW(AL$15),0),0)</f>
        <v>0</v>
      </c>
      <c r="AM596" s="632">
        <f ca="1">IF(AND($D596="Serviço",AM$12&lt;&gt;0,$H596&gt;0,OR(AUTOEVENTO&lt;&gt;"manual",$M596&lt;&gt;1)),ROUND(OFFSET($P596,0,AM$13),15-13*ORÇAMENTO!$AF$7)/$H596*OFFSET(ORÇAMENTO!$X$15,ROW(AM596)-ROW(AM$15),0),0)</f>
        <v>0</v>
      </c>
      <c r="AN596" s="632">
        <f ca="1">IF(AND($D596="Serviço",AN$12&lt;&gt;0,$H596&gt;0,OR(AUTOEVENTO&lt;&gt;"manual",$M596&lt;&gt;1)),ROUND(OFFSET($P596,0,AN$13),15-13*ORÇAMENTO!$AF$7)/$H596*OFFSET(ORÇAMENTO!$X$15,ROW(AN596)-ROW(AN$15),0),0)</f>
        <v>0</v>
      </c>
      <c r="AO596" s="632">
        <f ca="1">IF(AND($D596="Serviço",AO$12&lt;&gt;0,$H596&gt;0,OR(AUTOEVENTO&lt;&gt;"manual",$M596&lt;&gt;1)),ROUND(OFFSET($P596,0,AO$13),15-13*ORÇAMENTO!$AF$7)/$H596*OFFSET(ORÇAMENTO!$X$15,ROW(AO596)-ROW(AO$15),0),0)</f>
        <v>0</v>
      </c>
      <c r="AP596" s="632">
        <f ca="1">IF(AND($D596="Serviço",AP$12&lt;&gt;0,$H596&gt;0,OR(AUTOEVENTO&lt;&gt;"manual",$M596&lt;&gt;1)),ROUND(OFFSET($P596,0,AP$13),15-13*ORÇAMENTO!$AF$7)/$H596*OFFSET(ORÇAMENTO!$X$15,ROW(AP596)-ROW(AP$15),0),0)</f>
        <v>0</v>
      </c>
      <c r="AQ596" s="632">
        <f ca="1">IF(AND($D596="Serviço",AQ$12&lt;&gt;0,$H596&gt;0,OR(AUTOEVENTO&lt;&gt;"manual",$M596&lt;&gt;1)),ROUND(OFFSET($P596,0,AQ$13),15-13*ORÇAMENTO!$AF$7)/$H596*OFFSET(ORÇAMENTO!$X$15,ROW(AQ596)-ROW(AQ$15),0),0)</f>
        <v>0</v>
      </c>
      <c r="AR596" s="632">
        <f ca="1">IF(AND($D596="Serviço",AR$12&lt;&gt;0,$H596&gt;0,OR(AUTOEVENTO&lt;&gt;"manual",$M596&lt;&gt;1)),ROUND(OFFSET($P596,0,AR$13),15-13*ORÇAMENTO!$AF$7)/$H596*OFFSET(ORÇAMENTO!$X$15,ROW(AR596)-ROW(AR$15),0),0)</f>
        <v>0</v>
      </c>
      <c r="AS596" s="633">
        <f ca="1">IF(AND($D596="Serviço",AS$12&lt;&gt;0,$H596&gt;0,OR(AUTOEVENTO&lt;&gt;"manual",$M596&lt;&gt;1)),ROUND(OFFSET($P596,0,AS$13),15-13*ORÇAMENTO!$AF$7)/$H596*OFFSET(ORÇAMENTO!$X$15,ROW(AS596)-ROW(AS$15),0),0)</f>
        <v>0</v>
      </c>
      <c r="AT596" s="632">
        <f ca="1">IF(AND($D596="Serviço",AT$12&lt;&gt;0,$H596&gt;0,OR(AUTOEVENTO&lt;&gt;"manual",$M596&lt;&gt;1)),ROUND(OFFSET($P596,0,AT$13),15-13*ORÇAMENTO!$AF$7)/$H596*OFFSET(ORÇAMENTO!$X$15,ROW(AT596)-ROW(AT$15),0),0)</f>
        <v>0</v>
      </c>
      <c r="AU596" s="632">
        <f ca="1">IF(AND($D596="Serviço",AU$12&lt;&gt;0,$H596&gt;0,OR(AUTOEVENTO&lt;&gt;"manual",$M596&lt;&gt;1)),ROUND(OFFSET($P596,0,AU$13),15-13*ORÇAMENTO!$AF$7)/$H596*OFFSET(ORÇAMENTO!$X$15,ROW(AU596)-ROW(AU$15),0),0)</f>
        <v>0</v>
      </c>
      <c r="AV596" s="632">
        <f ca="1">IF(AND($D596="Serviço",AV$12&lt;&gt;0,$H596&gt;0,OR(AUTOEVENTO&lt;&gt;"manual",$M596&lt;&gt;1)),ROUND(OFFSET($P596,0,AV$13),15-13*ORÇAMENTO!$AF$7)/$H596*OFFSET(ORÇAMENTO!$X$15,ROW(AV596)-ROW(AV$15),0),0)</f>
        <v>0</v>
      </c>
      <c r="AW596" s="632">
        <f ca="1">IF(AND($D596="Serviço",AW$12&lt;&gt;0,$H596&gt;0,OR(AUTOEVENTO&lt;&gt;"manual",$M596&lt;&gt;1)),ROUND(OFFSET($P596,0,AW$13),15-13*ORÇAMENTO!$AF$7)/$H596*OFFSET(ORÇAMENTO!$X$15,ROW(AW596)-ROW(AW$15),0),0)</f>
        <v>0</v>
      </c>
      <c r="AX596" s="632">
        <f ca="1">IF(AND($D596="Serviço",AX$12&lt;&gt;0,$H596&gt;0,OR(AUTOEVENTO&lt;&gt;"manual",$M596&lt;&gt;1)),ROUND(OFFSET($P596,0,AX$13),15-13*ORÇAMENTO!$AF$7)/$H596*OFFSET(ORÇAMENTO!$X$15,ROW(AX596)-ROW(AX$15),0),0)</f>
        <v>0</v>
      </c>
      <c r="AY596" s="632">
        <f ca="1">IF(AND($D596="Serviço",AY$12&lt;&gt;0,$H596&gt;0,OR(AUTOEVENTO&lt;&gt;"manual",$M596&lt;&gt;1)),ROUND(OFFSET($P596,0,AY$13),15-13*ORÇAMENTO!$AF$7)/$H596*OFFSET(ORÇAMENTO!$X$15,ROW(AY596)-ROW(AY$15),0),0)</f>
        <v>0</v>
      </c>
      <c r="AZ596" s="632">
        <f ca="1">IF(AND($D596="Serviço",AZ$12&lt;&gt;0,$H596&gt;0,OR(AUTOEVENTO&lt;&gt;"manual",$M596&lt;&gt;1)),ROUND(OFFSET($P596,0,AZ$13),15-13*ORÇAMENTO!$AF$7)/$H596*OFFSET(ORÇAMENTO!$X$15,ROW(AZ596)-ROW(AZ$15),0),0)</f>
        <v>0</v>
      </c>
      <c r="BA596" s="633">
        <f ca="1">IF(AND($D596="Serviço",BA$12&lt;&gt;0,$H596&gt;0,OR(AUTOEVENTO&lt;&gt;"manual",$M596&lt;&gt;1)),ROUND(OFFSET($P596,0,BA$13),15-13*ORÇAMENTO!$AF$7)/$H596*OFFSET(ORÇAMENTO!$X$15,ROW(BA596)-ROW(BA$15),0),0)</f>
        <v>0</v>
      </c>
      <c r="BC596" s="215">
        <f ca="1">IF($D596&lt;&gt;"Serviço",0,IF(AND(AUTOEVENTO="Manual",$M596=1),0,IF(OFFSET(CRONOPLE!$F$14,$M596,BC$13)="",10^12,OFFSET(CRONOPLE!$F$14,$M596,BC$13))))</f>
        <v>1000000000000</v>
      </c>
      <c r="BD596" s="215">
        <f ca="1">IF($D596&lt;&gt;"Serviço",0,IF(AND(AUTOEVENTO="Manual",$M596=1),0,IF(OFFSET(CRONOPLE!$F$14,$M596,BD$13)="",10^12,OFFSET(CRONOPLE!$F$14,$M596,BD$13))))</f>
        <v>1000000000000</v>
      </c>
      <c r="BE596" s="215">
        <f ca="1">IF($D596&lt;&gt;"Serviço",0,IF(AND(AUTOEVENTO="Manual",$M596=1),0,IF(OFFSET(CRONOPLE!$F$14,$M596,BE$13)="",10^12,OFFSET(CRONOPLE!$F$14,$M596,BE$13))))</f>
        <v>1000000000000</v>
      </c>
      <c r="BF596" s="215">
        <f ca="1">IF($D596&lt;&gt;"Serviço",0,IF(AND(AUTOEVENTO="Manual",$M596=1),0,IF(OFFSET(CRONOPLE!$F$14,$M596,BF$13)="",10^12,OFFSET(CRONOPLE!$F$14,$M596,BF$13))))</f>
        <v>1000000000000</v>
      </c>
      <c r="BG596" s="215">
        <f ca="1">IF($D596&lt;&gt;"Serviço",0,IF(AND(AUTOEVENTO="Manual",$M596=1),0,IF(OFFSET(CRONOPLE!$F$14,$M596,BG$13)="",10^12,OFFSET(CRONOPLE!$F$14,$M596,BG$13))))</f>
        <v>1000000000000</v>
      </c>
      <c r="BH596" s="215">
        <f ca="1">IF($D596&lt;&gt;"Serviço",0,IF(AND(AUTOEVENTO="Manual",$M596=1),0,IF(OFFSET(CRONOPLE!$F$14,$M596,BH$13)="",10^12,OFFSET(CRONOPLE!$F$14,$M596,BH$13))))</f>
        <v>1000000000000</v>
      </c>
      <c r="BI596" s="215">
        <f ca="1">IF($D596&lt;&gt;"Serviço",0,IF(AND(AUTOEVENTO="Manual",$M596=1),0,IF(OFFSET(CRONOPLE!$F$14,$M596,BI$13)="",10^12,OFFSET(CRONOPLE!$F$14,$M596,BI$13))))</f>
        <v>1000000000000</v>
      </c>
      <c r="BJ596" s="215">
        <f ca="1">IF($D596&lt;&gt;"Serviço",0,IF(AND(AUTOEVENTO="Manual",$M596=1),0,IF(OFFSET(CRONOPLE!$F$14,$M596,BJ$13)="",10^12,OFFSET(CRONOPLE!$F$14,$M596,BJ$13))))</f>
        <v>1000000000000</v>
      </c>
      <c r="BK596" s="215">
        <f ca="1">IF($D596&lt;&gt;"Serviço",0,IF(AND(AUTOEVENTO="Manual",$M596=1),0,IF(OFFSET(CRONOPLE!$F$14,$M596,BK$13)="",10^12,OFFSET(CRONOPLE!$F$14,$M596,BK$13))))</f>
        <v>1000000000000</v>
      </c>
      <c r="BL596" s="215">
        <f ca="1">IF($D596&lt;&gt;"Serviço",0,IF(AND(AUTOEVENTO="Manual",$M596=1),0,IF(OFFSET(CRONOPLE!$F$14,$M596,BL$13)="",10^12,OFFSET(CRONOPLE!$F$14,$M596,BL$13))))</f>
        <v>1000000000000</v>
      </c>
      <c r="BM596" s="215">
        <f ca="1">IF($D596&lt;&gt;"Serviço",0,IF(AND(AUTOEVENTO="Manual",$M596=1),0,IF(OFFSET(CRONOPLE!$F$14,$M596,BM$13)="",10^12,OFFSET(CRONOPLE!$F$14,$M596,BM$13))))</f>
        <v>1000000000000</v>
      </c>
      <c r="BN596" s="215">
        <f ca="1">IF($D596&lt;&gt;"Serviço",0,IF(AND(AUTOEVENTO="Manual",$M596=1),0,IF(OFFSET(CRONOPLE!$F$14,$M596,BN$13)="",10^12,OFFSET(CRONOPLE!$F$14,$M596,BN$13))))</f>
        <v>1000000000000</v>
      </c>
      <c r="BO596" s="215">
        <f ca="1">IF($D596&lt;&gt;"Serviço",0,IF(AND(AUTOEVENTO="Manual",$M596=1),0,IF(OFFSET(CRONOPLE!$F$14,$M596,BO$13)="",10^12,OFFSET(CRONOPLE!$F$14,$M596,BO$13))))</f>
        <v>1000000000000</v>
      </c>
      <c r="BP596" s="215">
        <f ca="1">IF($D596&lt;&gt;"Serviço",0,IF(AND(AUTOEVENTO="Manual",$M596=1),0,IF(OFFSET(CRONOPLE!$F$14,$M596,BP$13)="",10^12,OFFSET(CRONOPLE!$F$14,$M596,BP$13))))</f>
        <v>1000000000000</v>
      </c>
      <c r="BQ596" s="215">
        <f ca="1">IF($D596&lt;&gt;"Serviço",0,IF(AND(AUTOEVENTO="Manual",$M596=1),0,IF(OFFSET(CRONOPLE!$F$14,$M596,BQ$13)="",10^12,OFFSET(CRONOPLE!$F$14,$M596,BQ$13))))</f>
        <v>1000000000000</v>
      </c>
      <c r="BR596" s="215">
        <f ca="1">IF($D596&lt;&gt;"Serviço",0,IF(AND(AUTOEVENTO="Manual",$M596=1),0,IF(OFFSET(CRONOPLE!$F$14,$M596,BR$13)="",10^12,OFFSET(CRONOPLE!$F$14,$M596,BR$13))))</f>
        <v>1000000000000</v>
      </c>
      <c r="BS596" s="215">
        <f ca="1">IF($D596&lt;&gt;"Serviço",0,IF(AND(AUTOEVENTO="Manual",$M596=1),0,IF(OFFSET(CRONOPLE!$F$14,$M596,BS$13)="",10^12,OFFSET(CRONOPLE!$F$14,$M596,BS$13))))</f>
        <v>1000000000000</v>
      </c>
      <c r="BT596" s="215">
        <f ca="1">IF($D596&lt;&gt;"Serviço",0,IF(AND(AUTOEVENTO="Manual",$M596=1),0,IF(OFFSET(CRONOPLE!$F$14,$M596,BT$13)="",10^12,OFFSET(CRONOPLE!$F$14,$M596,BT$13))))</f>
        <v>1000000000000</v>
      </c>
      <c r="BV596" s="216">
        <f ca="1">IF($D596&lt;&gt;"Serviço",0,IF(OR(AND(AUTOEVENTO="Manual",$M596=1),$M596&gt;(ROW(PLE.lastrow)-ROW(PLE.firstrow))),0,IF(OFFSET(PLE!$G$14,$M596,BV$13)="",10^12,OFFSET(PLE!$G$14,$M596,BV$13))))</f>
        <v>1000000000000</v>
      </c>
      <c r="BW596" s="216">
        <f ca="1">IF($D596&lt;&gt;"Serviço",0,IF(OR(AND(AUTOEVENTO="Manual",$M596=1),$M596&gt;(ROW(PLE.lastrow)-ROW(PLE.firstrow))),0,IF(OFFSET(PLE!$G$14,$M596,BW$13)="",10^12,OFFSET(PLE!$G$14,$M596,BW$13))))</f>
        <v>1000000000000</v>
      </c>
      <c r="BX596" s="216">
        <f ca="1">IF($D596&lt;&gt;"Serviço",0,IF(OR(AND(AUTOEVENTO="Manual",$M596=1),$M596&gt;(ROW(PLE.lastrow)-ROW(PLE.firstrow))),0,IF(OFFSET(PLE!$G$14,$M596,BX$13)="",10^12,OFFSET(PLE!$G$14,$M596,BX$13))))</f>
        <v>1000000000000</v>
      </c>
      <c r="BY596" s="216">
        <f ca="1">IF($D596&lt;&gt;"Serviço",0,IF(OR(AND(AUTOEVENTO="Manual",$M596=1),$M596&gt;(ROW(PLE.lastrow)-ROW(PLE.firstrow))),0,IF(OFFSET(PLE!$G$14,$M596,BY$13)="",10^12,OFFSET(PLE!$G$14,$M596,BY$13))))</f>
        <v>1000000000000</v>
      </c>
      <c r="BZ596" s="216">
        <f ca="1">IF($D596&lt;&gt;"Serviço",0,IF(OR(AND(AUTOEVENTO="Manual",$M596=1),$M596&gt;(ROW(PLE.lastrow)-ROW(PLE.firstrow))),0,IF(OFFSET(PLE!$G$14,$M596,BZ$13)="",10^12,OFFSET(PLE!$G$14,$M596,BZ$13))))</f>
        <v>1000000000000</v>
      </c>
      <c r="CA596" s="216">
        <f ca="1">IF($D596&lt;&gt;"Serviço",0,IF(OR(AND(AUTOEVENTO="Manual",$M596=1),$M596&gt;(ROW(PLE.lastrow)-ROW(PLE.firstrow))),0,IF(OFFSET(PLE!$G$14,$M596,CA$13)="",10^12,OFFSET(PLE!$G$14,$M596,CA$13))))</f>
        <v>1000000000000</v>
      </c>
      <c r="CB596" s="216">
        <f ca="1">IF($D596&lt;&gt;"Serviço",0,IF(OR(AND(AUTOEVENTO="Manual",$M596=1),$M596&gt;(ROW(PLE.lastrow)-ROW(PLE.firstrow))),0,IF(OFFSET(PLE!$G$14,$M596,CB$13)="",10^12,OFFSET(PLE!$G$14,$M596,CB$13))))</f>
        <v>1000000000000</v>
      </c>
      <c r="CC596" s="216">
        <f ca="1">IF($D596&lt;&gt;"Serviço",0,IF(OR(AND(AUTOEVENTO="Manual",$M596=1),$M596&gt;(ROW(PLE.lastrow)-ROW(PLE.firstrow))),0,IF(OFFSET(PLE!$G$14,$M596,CC$13)="",10^12,OFFSET(PLE!$G$14,$M596,CC$13))))</f>
        <v>1000000000000</v>
      </c>
      <c r="CD596" s="216">
        <f ca="1">IF($D596&lt;&gt;"Serviço",0,IF(OR(AND(AUTOEVENTO="Manual",$M596=1),$M596&gt;(ROW(PLE.lastrow)-ROW(PLE.firstrow))),0,IF(OFFSET(PLE!$G$14,$M596,CD$13)="",10^12,OFFSET(PLE!$G$14,$M596,CD$13))))</f>
        <v>1000000000000</v>
      </c>
      <c r="CE596" s="216">
        <f ca="1">IF($D596&lt;&gt;"Serviço",0,IF(OR(AND(AUTOEVENTO="Manual",$M596=1),$M596&gt;(ROW(PLE.lastrow)-ROW(PLE.firstrow))),0,IF(OFFSET(PLE!$G$14,$M596,CE$13)="",10^12,OFFSET(PLE!$G$14,$M596,CE$13))))</f>
        <v>1000000000000</v>
      </c>
      <c r="CF596" s="216">
        <f ca="1">IF($D596&lt;&gt;"Serviço",0,IF(OR(AND(AUTOEVENTO="Manual",$M596=1),$M596&gt;(ROW(PLE.lastrow)-ROW(PLE.firstrow))),0,IF(OFFSET(PLE!$G$14,$M596,CF$13)="",10^12,OFFSET(PLE!$G$14,$M596,CF$13))))</f>
        <v>1000000000000</v>
      </c>
      <c r="CG596" s="216">
        <f ca="1">IF($D596&lt;&gt;"Serviço",0,IF(OR(AND(AUTOEVENTO="Manual",$M596=1),$M596&gt;(ROW(PLE.lastrow)-ROW(PLE.firstrow))),0,IF(OFFSET(PLE!$G$14,$M596,CG$13)="",10^12,OFFSET(PLE!$G$14,$M596,CG$13))))</f>
        <v>1000000000000</v>
      </c>
      <c r="CH596" s="216">
        <f ca="1">IF($D596&lt;&gt;"Serviço",0,IF(OR(AND(AUTOEVENTO="Manual",$M596=1),$M596&gt;(ROW(PLE.lastrow)-ROW(PLE.firstrow))),0,IF(OFFSET(PLE!$G$14,$M596,CH$13)="",10^12,OFFSET(PLE!$G$14,$M596,CH$13))))</f>
        <v>1000000000000</v>
      </c>
      <c r="CI596" s="216">
        <f ca="1">IF($D596&lt;&gt;"Serviço",0,IF(OR(AND(AUTOEVENTO="Manual",$M596=1),$M596&gt;(ROW(PLE.lastrow)-ROW(PLE.firstrow))),0,IF(OFFSET(PLE!$G$14,$M596,CI$13)="",10^12,OFFSET(PLE!$G$14,$M596,CI$13))))</f>
        <v>1000000000000</v>
      </c>
      <c r="CJ596" s="216">
        <f ca="1">IF($D596&lt;&gt;"Serviço",0,IF(OR(AND(AUTOEVENTO="Manual",$M596=1),$M596&gt;(ROW(PLE.lastrow)-ROW(PLE.firstrow))),0,IF(OFFSET(PLE!$G$14,$M596,CJ$13)="",10^12,OFFSET(PLE!$G$14,$M596,CJ$13))))</f>
        <v>1000000000000</v>
      </c>
      <c r="CK596" s="216">
        <f ca="1">IF($D596&lt;&gt;"Serviço",0,IF(OR(AND(AUTOEVENTO="Manual",$M596=1),$M596&gt;(ROW(PLE.lastrow)-ROW(PLE.firstrow))),0,IF(OFFSET(PLE!$G$14,$M596,CK$13)="",10^12,OFFSET(PLE!$G$14,$M596,CK$13))))</f>
        <v>1000000000000</v>
      </c>
      <c r="CL596" s="216">
        <f ca="1">IF($D596&lt;&gt;"Serviço",0,IF(OR(AND(AUTOEVENTO="Manual",$M596=1),$M596&gt;(ROW(PLE.lastrow)-ROW(PLE.firstrow))),0,IF(OFFSET(PLE!$G$14,$M596,CL$13)="",10^12,OFFSET(PLE!$G$14,$M596,CL$13))))</f>
        <v>1000000000000</v>
      </c>
      <c r="CM596" s="216">
        <f ca="1">IF($D596&lt;&gt;"Serviço",0,IF(OR(AND(AUTOEVENTO="Manual",$M596=1),$M596&gt;(ROW(PLE.lastrow)-ROW(PLE.firstrow))),0,IF(OFFSET(PLE!$G$14,$M596,CM$13)="",10^12,OFFSET(PLE!$G$14,$M596,CM$13))))</f>
        <v>1000000000000</v>
      </c>
    </row>
    <row r="597" spans="1:91" ht="13.2" x14ac:dyDescent="0.25">
      <c r="A597" s="9">
        <f t="shared" ca="1" si="18"/>
        <v>0</v>
      </c>
      <c r="B597" s="9" t="str">
        <f ca="1">OFFSET(ORÇAMENTO!C$15,ROW(B597)-ROW(B$15),0)</f>
        <v>S</v>
      </c>
      <c r="C597" s="9" t="str">
        <f ca="1">OFFSET(ORÇAMENTO!L$15,ROW(C597)-ROW(C$15),0)</f>
        <v/>
      </c>
      <c r="D597" s="145" t="str">
        <f ca="1">OFFSET(ORÇAMENTO!N$15,ROW(D597)-ROW(D$15),0)</f>
        <v>Serviço</v>
      </c>
      <c r="E597" s="205" t="str">
        <f ca="1">OFFSET(ORÇAMENTO!O$15,ROW(E597)-ROW(E$15),0)</f>
        <v>-</v>
      </c>
      <c r="F597" s="206" t="str">
        <f ca="1">OFFSET(ORÇAMENTO!R$15,ROW(F597)-ROW(F$15),0)</f>
        <v>(abra o arquivo 'Referência 05-2024.xls)</v>
      </c>
      <c r="G597" s="207" t="str">
        <f ca="1">IF($D597&lt;&gt;"Serviço","",OFFSET(ORÇAMENTO!S$15,ROW(G597)-ROW(G$15),0))</f>
        <v>-</v>
      </c>
      <c r="H597" s="151">
        <f ca="1">IF($D597&lt;&gt;"Serviço",0,IF(ACOMPANHAMENTO="BM",ROUND(OFFSET(ORÇAMENTO!AJ$15,ROW(H597)-ROW(H$15),0),15-13*ORÇAMENTO!$AF$7),SUMPRODUCT(($Q$12:$AI$12&lt;&gt;"")*ROUND($Q597:$AI597,15-13*ORÇAMENTO!$AF$7))))</f>
        <v>2.9</v>
      </c>
      <c r="I597" s="650"/>
      <c r="K597" s="208"/>
      <c r="L597" s="209" t="s">
        <v>257</v>
      </c>
      <c r="M597" s="210">
        <f ca="1">IF($D597&lt;&gt;"Serviço","",IF(AUTOEVENTO="manual",$A597,IF(ISERROR(MATCH($A597,$A$15:OFFSET($A597,-1,0),0)),MAX($M$15:OFFSET(M597,-1,0))+1,INDEX($M$15:OFFSET(M597,-1,0),MATCH($A597,$A$15:OFFSET($A597,-1,0),0)))))</f>
        <v>0</v>
      </c>
      <c r="N597" s="211" t="str">
        <f ca="1">IF($D597&lt;&gt;"Serviço","",IF(AUTOEVENTO="Manual",IF($A597=0,"&lt;-- defina o número do agrupador",OFFSET(EVENTOS!$D$14,$A597,0)),OFFSET($F$15,$A597,0)))</f>
        <v>&lt;-- defina o número do agrupador</v>
      </c>
      <c r="O597" s="212"/>
      <c r="Q597" s="212"/>
      <c r="R597" s="213"/>
      <c r="S597" s="213"/>
      <c r="T597" s="213"/>
      <c r="U597" s="213"/>
      <c r="V597" s="213"/>
      <c r="W597" s="213"/>
      <c r="X597" s="213"/>
      <c r="Y597" s="213"/>
      <c r="Z597" s="214"/>
      <c r="AA597" s="213"/>
      <c r="AB597" s="213"/>
      <c r="AC597" s="213"/>
      <c r="AD597" s="213"/>
      <c r="AE597" s="213"/>
      <c r="AF597" s="213"/>
      <c r="AG597" s="213"/>
      <c r="AH597" s="214"/>
      <c r="AJ597" s="631">
        <f ca="1">IF(AND($D597="Serviço",AJ$12&lt;&gt;0,$H597&gt;0,OR(AUTOEVENTO&lt;&gt;"manual",$M597&lt;&gt;1)),ROUND(OFFSET($P597,0,AJ$13),15-13*ORÇAMENTO!$AF$7)/$H597*OFFSET(ORÇAMENTO!$X$15,ROW(AJ597)-ROW(AJ$15),0),0)</f>
        <v>0</v>
      </c>
      <c r="AK597" s="632">
        <f ca="1">IF(AND($D597="Serviço",AK$12&lt;&gt;0,$H597&gt;0,OR(AUTOEVENTO&lt;&gt;"manual",$M597&lt;&gt;1)),ROUND(OFFSET($P597,0,AK$13),15-13*ORÇAMENTO!$AF$7)/$H597*OFFSET(ORÇAMENTO!$X$15,ROW(AK597)-ROW(AK$15),0),0)</f>
        <v>0</v>
      </c>
      <c r="AL597" s="632">
        <f ca="1">IF(AND($D597="Serviço",AL$12&lt;&gt;0,$H597&gt;0,OR(AUTOEVENTO&lt;&gt;"manual",$M597&lt;&gt;1)),ROUND(OFFSET($P597,0,AL$13),15-13*ORÇAMENTO!$AF$7)/$H597*OFFSET(ORÇAMENTO!$X$15,ROW(AL597)-ROW(AL$15),0),0)</f>
        <v>0</v>
      </c>
      <c r="AM597" s="632">
        <f ca="1">IF(AND($D597="Serviço",AM$12&lt;&gt;0,$H597&gt;0,OR(AUTOEVENTO&lt;&gt;"manual",$M597&lt;&gt;1)),ROUND(OFFSET($P597,0,AM$13),15-13*ORÇAMENTO!$AF$7)/$H597*OFFSET(ORÇAMENTO!$X$15,ROW(AM597)-ROW(AM$15),0),0)</f>
        <v>0</v>
      </c>
      <c r="AN597" s="632">
        <f ca="1">IF(AND($D597="Serviço",AN$12&lt;&gt;0,$H597&gt;0,OR(AUTOEVENTO&lt;&gt;"manual",$M597&lt;&gt;1)),ROUND(OFFSET($P597,0,AN$13),15-13*ORÇAMENTO!$AF$7)/$H597*OFFSET(ORÇAMENTO!$X$15,ROW(AN597)-ROW(AN$15),0),0)</f>
        <v>0</v>
      </c>
      <c r="AO597" s="632">
        <f ca="1">IF(AND($D597="Serviço",AO$12&lt;&gt;0,$H597&gt;0,OR(AUTOEVENTO&lt;&gt;"manual",$M597&lt;&gt;1)),ROUND(OFFSET($P597,0,AO$13),15-13*ORÇAMENTO!$AF$7)/$H597*OFFSET(ORÇAMENTO!$X$15,ROW(AO597)-ROW(AO$15),0),0)</f>
        <v>0</v>
      </c>
      <c r="AP597" s="632">
        <f ca="1">IF(AND($D597="Serviço",AP$12&lt;&gt;0,$H597&gt;0,OR(AUTOEVENTO&lt;&gt;"manual",$M597&lt;&gt;1)),ROUND(OFFSET($P597,0,AP$13),15-13*ORÇAMENTO!$AF$7)/$H597*OFFSET(ORÇAMENTO!$X$15,ROW(AP597)-ROW(AP$15),0),0)</f>
        <v>0</v>
      </c>
      <c r="AQ597" s="632">
        <f ca="1">IF(AND($D597="Serviço",AQ$12&lt;&gt;0,$H597&gt;0,OR(AUTOEVENTO&lt;&gt;"manual",$M597&lt;&gt;1)),ROUND(OFFSET($P597,0,AQ$13),15-13*ORÇAMENTO!$AF$7)/$H597*OFFSET(ORÇAMENTO!$X$15,ROW(AQ597)-ROW(AQ$15),0),0)</f>
        <v>0</v>
      </c>
      <c r="AR597" s="632">
        <f ca="1">IF(AND($D597="Serviço",AR$12&lt;&gt;0,$H597&gt;0,OR(AUTOEVENTO&lt;&gt;"manual",$M597&lt;&gt;1)),ROUND(OFFSET($P597,0,AR$13),15-13*ORÇAMENTO!$AF$7)/$H597*OFFSET(ORÇAMENTO!$X$15,ROW(AR597)-ROW(AR$15),0),0)</f>
        <v>0</v>
      </c>
      <c r="AS597" s="633">
        <f ca="1">IF(AND($D597="Serviço",AS$12&lt;&gt;0,$H597&gt;0,OR(AUTOEVENTO&lt;&gt;"manual",$M597&lt;&gt;1)),ROUND(OFFSET($P597,0,AS$13),15-13*ORÇAMENTO!$AF$7)/$H597*OFFSET(ORÇAMENTO!$X$15,ROW(AS597)-ROW(AS$15),0),0)</f>
        <v>0</v>
      </c>
      <c r="AT597" s="632">
        <f ca="1">IF(AND($D597="Serviço",AT$12&lt;&gt;0,$H597&gt;0,OR(AUTOEVENTO&lt;&gt;"manual",$M597&lt;&gt;1)),ROUND(OFFSET($P597,0,AT$13),15-13*ORÇAMENTO!$AF$7)/$H597*OFFSET(ORÇAMENTO!$X$15,ROW(AT597)-ROW(AT$15),0),0)</f>
        <v>0</v>
      </c>
      <c r="AU597" s="632">
        <f ca="1">IF(AND($D597="Serviço",AU$12&lt;&gt;0,$H597&gt;0,OR(AUTOEVENTO&lt;&gt;"manual",$M597&lt;&gt;1)),ROUND(OFFSET($P597,0,AU$13),15-13*ORÇAMENTO!$AF$7)/$H597*OFFSET(ORÇAMENTO!$X$15,ROW(AU597)-ROW(AU$15),0),0)</f>
        <v>0</v>
      </c>
      <c r="AV597" s="632">
        <f ca="1">IF(AND($D597="Serviço",AV$12&lt;&gt;0,$H597&gt;0,OR(AUTOEVENTO&lt;&gt;"manual",$M597&lt;&gt;1)),ROUND(OFFSET($P597,0,AV$13),15-13*ORÇAMENTO!$AF$7)/$H597*OFFSET(ORÇAMENTO!$X$15,ROW(AV597)-ROW(AV$15),0),0)</f>
        <v>0</v>
      </c>
      <c r="AW597" s="632">
        <f ca="1">IF(AND($D597="Serviço",AW$12&lt;&gt;0,$H597&gt;0,OR(AUTOEVENTO&lt;&gt;"manual",$M597&lt;&gt;1)),ROUND(OFFSET($P597,0,AW$13),15-13*ORÇAMENTO!$AF$7)/$H597*OFFSET(ORÇAMENTO!$X$15,ROW(AW597)-ROW(AW$15),0),0)</f>
        <v>0</v>
      </c>
      <c r="AX597" s="632">
        <f ca="1">IF(AND($D597="Serviço",AX$12&lt;&gt;0,$H597&gt;0,OR(AUTOEVENTO&lt;&gt;"manual",$M597&lt;&gt;1)),ROUND(OFFSET($P597,0,AX$13),15-13*ORÇAMENTO!$AF$7)/$H597*OFFSET(ORÇAMENTO!$X$15,ROW(AX597)-ROW(AX$15),0),0)</f>
        <v>0</v>
      </c>
      <c r="AY597" s="632">
        <f ca="1">IF(AND($D597="Serviço",AY$12&lt;&gt;0,$H597&gt;0,OR(AUTOEVENTO&lt;&gt;"manual",$M597&lt;&gt;1)),ROUND(OFFSET($P597,0,AY$13),15-13*ORÇAMENTO!$AF$7)/$H597*OFFSET(ORÇAMENTO!$X$15,ROW(AY597)-ROW(AY$15),0),0)</f>
        <v>0</v>
      </c>
      <c r="AZ597" s="632">
        <f ca="1">IF(AND($D597="Serviço",AZ$12&lt;&gt;0,$H597&gt;0,OR(AUTOEVENTO&lt;&gt;"manual",$M597&lt;&gt;1)),ROUND(OFFSET($P597,0,AZ$13),15-13*ORÇAMENTO!$AF$7)/$H597*OFFSET(ORÇAMENTO!$X$15,ROW(AZ597)-ROW(AZ$15),0),0)</f>
        <v>0</v>
      </c>
      <c r="BA597" s="633">
        <f ca="1">IF(AND($D597="Serviço",BA$12&lt;&gt;0,$H597&gt;0,OR(AUTOEVENTO&lt;&gt;"manual",$M597&lt;&gt;1)),ROUND(OFFSET($P597,0,BA$13),15-13*ORÇAMENTO!$AF$7)/$H597*OFFSET(ORÇAMENTO!$X$15,ROW(BA597)-ROW(BA$15),0),0)</f>
        <v>0</v>
      </c>
      <c r="BC597" s="215">
        <f ca="1">IF($D597&lt;&gt;"Serviço",0,IF(AND(AUTOEVENTO="Manual",$M597=1),0,IF(OFFSET(CRONOPLE!$F$14,$M597,BC$13)="",10^12,OFFSET(CRONOPLE!$F$14,$M597,BC$13))))</f>
        <v>1000000000000</v>
      </c>
      <c r="BD597" s="215">
        <f ca="1">IF($D597&lt;&gt;"Serviço",0,IF(AND(AUTOEVENTO="Manual",$M597=1),0,IF(OFFSET(CRONOPLE!$F$14,$M597,BD$13)="",10^12,OFFSET(CRONOPLE!$F$14,$M597,BD$13))))</f>
        <v>1000000000000</v>
      </c>
      <c r="BE597" s="215">
        <f ca="1">IF($D597&lt;&gt;"Serviço",0,IF(AND(AUTOEVENTO="Manual",$M597=1),0,IF(OFFSET(CRONOPLE!$F$14,$M597,BE$13)="",10^12,OFFSET(CRONOPLE!$F$14,$M597,BE$13))))</f>
        <v>1000000000000</v>
      </c>
      <c r="BF597" s="215">
        <f ca="1">IF($D597&lt;&gt;"Serviço",0,IF(AND(AUTOEVENTO="Manual",$M597=1),0,IF(OFFSET(CRONOPLE!$F$14,$M597,BF$13)="",10^12,OFFSET(CRONOPLE!$F$14,$M597,BF$13))))</f>
        <v>1000000000000</v>
      </c>
      <c r="BG597" s="215">
        <f ca="1">IF($D597&lt;&gt;"Serviço",0,IF(AND(AUTOEVENTO="Manual",$M597=1),0,IF(OFFSET(CRONOPLE!$F$14,$M597,BG$13)="",10^12,OFFSET(CRONOPLE!$F$14,$M597,BG$13))))</f>
        <v>1000000000000</v>
      </c>
      <c r="BH597" s="215">
        <f ca="1">IF($D597&lt;&gt;"Serviço",0,IF(AND(AUTOEVENTO="Manual",$M597=1),0,IF(OFFSET(CRONOPLE!$F$14,$M597,BH$13)="",10^12,OFFSET(CRONOPLE!$F$14,$M597,BH$13))))</f>
        <v>1000000000000</v>
      </c>
      <c r="BI597" s="215">
        <f ca="1">IF($D597&lt;&gt;"Serviço",0,IF(AND(AUTOEVENTO="Manual",$M597=1),0,IF(OFFSET(CRONOPLE!$F$14,$M597,BI$13)="",10^12,OFFSET(CRONOPLE!$F$14,$M597,BI$13))))</f>
        <v>1000000000000</v>
      </c>
      <c r="BJ597" s="215">
        <f ca="1">IF($D597&lt;&gt;"Serviço",0,IF(AND(AUTOEVENTO="Manual",$M597=1),0,IF(OFFSET(CRONOPLE!$F$14,$M597,BJ$13)="",10^12,OFFSET(CRONOPLE!$F$14,$M597,BJ$13))))</f>
        <v>1000000000000</v>
      </c>
      <c r="BK597" s="215">
        <f ca="1">IF($D597&lt;&gt;"Serviço",0,IF(AND(AUTOEVENTO="Manual",$M597=1),0,IF(OFFSET(CRONOPLE!$F$14,$M597,BK$13)="",10^12,OFFSET(CRONOPLE!$F$14,$M597,BK$13))))</f>
        <v>1000000000000</v>
      </c>
      <c r="BL597" s="215">
        <f ca="1">IF($D597&lt;&gt;"Serviço",0,IF(AND(AUTOEVENTO="Manual",$M597=1),0,IF(OFFSET(CRONOPLE!$F$14,$M597,BL$13)="",10^12,OFFSET(CRONOPLE!$F$14,$M597,BL$13))))</f>
        <v>1000000000000</v>
      </c>
      <c r="BM597" s="215">
        <f ca="1">IF($D597&lt;&gt;"Serviço",0,IF(AND(AUTOEVENTO="Manual",$M597=1),0,IF(OFFSET(CRONOPLE!$F$14,$M597,BM$13)="",10^12,OFFSET(CRONOPLE!$F$14,$M597,BM$13))))</f>
        <v>1000000000000</v>
      </c>
      <c r="BN597" s="215">
        <f ca="1">IF($D597&lt;&gt;"Serviço",0,IF(AND(AUTOEVENTO="Manual",$M597=1),0,IF(OFFSET(CRONOPLE!$F$14,$M597,BN$13)="",10^12,OFFSET(CRONOPLE!$F$14,$M597,BN$13))))</f>
        <v>1000000000000</v>
      </c>
      <c r="BO597" s="215">
        <f ca="1">IF($D597&lt;&gt;"Serviço",0,IF(AND(AUTOEVENTO="Manual",$M597=1),0,IF(OFFSET(CRONOPLE!$F$14,$M597,BO$13)="",10^12,OFFSET(CRONOPLE!$F$14,$M597,BO$13))))</f>
        <v>1000000000000</v>
      </c>
      <c r="BP597" s="215">
        <f ca="1">IF($D597&lt;&gt;"Serviço",0,IF(AND(AUTOEVENTO="Manual",$M597=1),0,IF(OFFSET(CRONOPLE!$F$14,$M597,BP$13)="",10^12,OFFSET(CRONOPLE!$F$14,$M597,BP$13))))</f>
        <v>1000000000000</v>
      </c>
      <c r="BQ597" s="215">
        <f ca="1">IF($D597&lt;&gt;"Serviço",0,IF(AND(AUTOEVENTO="Manual",$M597=1),0,IF(OFFSET(CRONOPLE!$F$14,$M597,BQ$13)="",10^12,OFFSET(CRONOPLE!$F$14,$M597,BQ$13))))</f>
        <v>1000000000000</v>
      </c>
      <c r="BR597" s="215">
        <f ca="1">IF($D597&lt;&gt;"Serviço",0,IF(AND(AUTOEVENTO="Manual",$M597=1),0,IF(OFFSET(CRONOPLE!$F$14,$M597,BR$13)="",10^12,OFFSET(CRONOPLE!$F$14,$M597,BR$13))))</f>
        <v>1000000000000</v>
      </c>
      <c r="BS597" s="215">
        <f ca="1">IF($D597&lt;&gt;"Serviço",0,IF(AND(AUTOEVENTO="Manual",$M597=1),0,IF(OFFSET(CRONOPLE!$F$14,$M597,BS$13)="",10^12,OFFSET(CRONOPLE!$F$14,$M597,BS$13))))</f>
        <v>1000000000000</v>
      </c>
      <c r="BT597" s="215">
        <f ca="1">IF($D597&lt;&gt;"Serviço",0,IF(AND(AUTOEVENTO="Manual",$M597=1),0,IF(OFFSET(CRONOPLE!$F$14,$M597,BT$13)="",10^12,OFFSET(CRONOPLE!$F$14,$M597,BT$13))))</f>
        <v>1000000000000</v>
      </c>
      <c r="BV597" s="216">
        <f ca="1">IF($D597&lt;&gt;"Serviço",0,IF(OR(AND(AUTOEVENTO="Manual",$M597=1),$M597&gt;(ROW(PLE.lastrow)-ROW(PLE.firstrow))),0,IF(OFFSET(PLE!$G$14,$M597,BV$13)="",10^12,OFFSET(PLE!$G$14,$M597,BV$13))))</f>
        <v>1000000000000</v>
      </c>
      <c r="BW597" s="216">
        <f ca="1">IF($D597&lt;&gt;"Serviço",0,IF(OR(AND(AUTOEVENTO="Manual",$M597=1),$M597&gt;(ROW(PLE.lastrow)-ROW(PLE.firstrow))),0,IF(OFFSET(PLE!$G$14,$M597,BW$13)="",10^12,OFFSET(PLE!$G$14,$M597,BW$13))))</f>
        <v>1000000000000</v>
      </c>
      <c r="BX597" s="216">
        <f ca="1">IF($D597&lt;&gt;"Serviço",0,IF(OR(AND(AUTOEVENTO="Manual",$M597=1),$M597&gt;(ROW(PLE.lastrow)-ROW(PLE.firstrow))),0,IF(OFFSET(PLE!$G$14,$M597,BX$13)="",10^12,OFFSET(PLE!$G$14,$M597,BX$13))))</f>
        <v>1000000000000</v>
      </c>
      <c r="BY597" s="216">
        <f ca="1">IF($D597&lt;&gt;"Serviço",0,IF(OR(AND(AUTOEVENTO="Manual",$M597=1),$M597&gt;(ROW(PLE.lastrow)-ROW(PLE.firstrow))),0,IF(OFFSET(PLE!$G$14,$M597,BY$13)="",10^12,OFFSET(PLE!$G$14,$M597,BY$13))))</f>
        <v>1000000000000</v>
      </c>
      <c r="BZ597" s="216">
        <f ca="1">IF($D597&lt;&gt;"Serviço",0,IF(OR(AND(AUTOEVENTO="Manual",$M597=1),$M597&gt;(ROW(PLE.lastrow)-ROW(PLE.firstrow))),0,IF(OFFSET(PLE!$G$14,$M597,BZ$13)="",10^12,OFFSET(PLE!$G$14,$M597,BZ$13))))</f>
        <v>1000000000000</v>
      </c>
      <c r="CA597" s="216">
        <f ca="1">IF($D597&lt;&gt;"Serviço",0,IF(OR(AND(AUTOEVENTO="Manual",$M597=1),$M597&gt;(ROW(PLE.lastrow)-ROW(PLE.firstrow))),0,IF(OFFSET(PLE!$G$14,$M597,CA$13)="",10^12,OFFSET(PLE!$G$14,$M597,CA$13))))</f>
        <v>1000000000000</v>
      </c>
      <c r="CB597" s="216">
        <f ca="1">IF($D597&lt;&gt;"Serviço",0,IF(OR(AND(AUTOEVENTO="Manual",$M597=1),$M597&gt;(ROW(PLE.lastrow)-ROW(PLE.firstrow))),0,IF(OFFSET(PLE!$G$14,$M597,CB$13)="",10^12,OFFSET(PLE!$G$14,$M597,CB$13))))</f>
        <v>1000000000000</v>
      </c>
      <c r="CC597" s="216">
        <f ca="1">IF($D597&lt;&gt;"Serviço",0,IF(OR(AND(AUTOEVENTO="Manual",$M597=1),$M597&gt;(ROW(PLE.lastrow)-ROW(PLE.firstrow))),0,IF(OFFSET(PLE!$G$14,$M597,CC$13)="",10^12,OFFSET(PLE!$G$14,$M597,CC$13))))</f>
        <v>1000000000000</v>
      </c>
      <c r="CD597" s="216">
        <f ca="1">IF($D597&lt;&gt;"Serviço",0,IF(OR(AND(AUTOEVENTO="Manual",$M597=1),$M597&gt;(ROW(PLE.lastrow)-ROW(PLE.firstrow))),0,IF(OFFSET(PLE!$G$14,$M597,CD$13)="",10^12,OFFSET(PLE!$G$14,$M597,CD$13))))</f>
        <v>1000000000000</v>
      </c>
      <c r="CE597" s="216">
        <f ca="1">IF($D597&lt;&gt;"Serviço",0,IF(OR(AND(AUTOEVENTO="Manual",$M597=1),$M597&gt;(ROW(PLE.lastrow)-ROW(PLE.firstrow))),0,IF(OFFSET(PLE!$G$14,$M597,CE$13)="",10^12,OFFSET(PLE!$G$14,$M597,CE$13))))</f>
        <v>1000000000000</v>
      </c>
      <c r="CF597" s="216">
        <f ca="1">IF($D597&lt;&gt;"Serviço",0,IF(OR(AND(AUTOEVENTO="Manual",$M597=1),$M597&gt;(ROW(PLE.lastrow)-ROW(PLE.firstrow))),0,IF(OFFSET(PLE!$G$14,$M597,CF$13)="",10^12,OFFSET(PLE!$G$14,$M597,CF$13))))</f>
        <v>1000000000000</v>
      </c>
      <c r="CG597" s="216">
        <f ca="1">IF($D597&lt;&gt;"Serviço",0,IF(OR(AND(AUTOEVENTO="Manual",$M597=1),$M597&gt;(ROW(PLE.lastrow)-ROW(PLE.firstrow))),0,IF(OFFSET(PLE!$G$14,$M597,CG$13)="",10^12,OFFSET(PLE!$G$14,$M597,CG$13))))</f>
        <v>1000000000000</v>
      </c>
      <c r="CH597" s="216">
        <f ca="1">IF($D597&lt;&gt;"Serviço",0,IF(OR(AND(AUTOEVENTO="Manual",$M597=1),$M597&gt;(ROW(PLE.lastrow)-ROW(PLE.firstrow))),0,IF(OFFSET(PLE!$G$14,$M597,CH$13)="",10^12,OFFSET(PLE!$G$14,$M597,CH$13))))</f>
        <v>1000000000000</v>
      </c>
      <c r="CI597" s="216">
        <f ca="1">IF($D597&lt;&gt;"Serviço",0,IF(OR(AND(AUTOEVENTO="Manual",$M597=1),$M597&gt;(ROW(PLE.lastrow)-ROW(PLE.firstrow))),0,IF(OFFSET(PLE!$G$14,$M597,CI$13)="",10^12,OFFSET(PLE!$G$14,$M597,CI$13))))</f>
        <v>1000000000000</v>
      </c>
      <c r="CJ597" s="216">
        <f ca="1">IF($D597&lt;&gt;"Serviço",0,IF(OR(AND(AUTOEVENTO="Manual",$M597=1),$M597&gt;(ROW(PLE.lastrow)-ROW(PLE.firstrow))),0,IF(OFFSET(PLE!$G$14,$M597,CJ$13)="",10^12,OFFSET(PLE!$G$14,$M597,CJ$13))))</f>
        <v>1000000000000</v>
      </c>
      <c r="CK597" s="216">
        <f ca="1">IF($D597&lt;&gt;"Serviço",0,IF(OR(AND(AUTOEVENTO="Manual",$M597=1),$M597&gt;(ROW(PLE.lastrow)-ROW(PLE.firstrow))),0,IF(OFFSET(PLE!$G$14,$M597,CK$13)="",10^12,OFFSET(PLE!$G$14,$M597,CK$13))))</f>
        <v>1000000000000</v>
      </c>
      <c r="CL597" s="216">
        <f ca="1">IF($D597&lt;&gt;"Serviço",0,IF(OR(AND(AUTOEVENTO="Manual",$M597=1),$M597&gt;(ROW(PLE.lastrow)-ROW(PLE.firstrow))),0,IF(OFFSET(PLE!$G$14,$M597,CL$13)="",10^12,OFFSET(PLE!$G$14,$M597,CL$13))))</f>
        <v>1000000000000</v>
      </c>
      <c r="CM597" s="216">
        <f ca="1">IF($D597&lt;&gt;"Serviço",0,IF(OR(AND(AUTOEVENTO="Manual",$M597=1),$M597&gt;(ROW(PLE.lastrow)-ROW(PLE.firstrow))),0,IF(OFFSET(PLE!$G$14,$M597,CM$13)="",10^12,OFFSET(PLE!$G$14,$M597,CM$13))))</f>
        <v>1000000000000</v>
      </c>
    </row>
    <row r="598" spans="1:91" ht="13.2" x14ac:dyDescent="0.25">
      <c r="A598" s="9">
        <f t="shared" ca="1" si="18"/>
        <v>0</v>
      </c>
      <c r="B598" s="9" t="str">
        <f ca="1">OFFSET(ORÇAMENTO!C$15,ROW(B598)-ROW(B$15),0)</f>
        <v>S</v>
      </c>
      <c r="C598" s="9" t="str">
        <f ca="1">OFFSET(ORÇAMENTO!L$15,ROW(C598)-ROW(C$15),0)</f>
        <v/>
      </c>
      <c r="D598" s="145" t="str">
        <f ca="1">OFFSET(ORÇAMENTO!N$15,ROW(D598)-ROW(D$15),0)</f>
        <v>Serviço</v>
      </c>
      <c r="E598" s="205" t="str">
        <f ca="1">OFFSET(ORÇAMENTO!O$15,ROW(E598)-ROW(E$15),0)</f>
        <v>-</v>
      </c>
      <c r="F598" s="206" t="str">
        <f ca="1">OFFSET(ORÇAMENTO!R$15,ROW(F598)-ROW(F$15),0)</f>
        <v>(abra o arquivo 'Referência 05-2024.xls)</v>
      </c>
      <c r="G598" s="207" t="str">
        <f ca="1">IF($D598&lt;&gt;"Serviço","",OFFSET(ORÇAMENTO!S$15,ROW(G598)-ROW(G$15),0))</f>
        <v>-</v>
      </c>
      <c r="H598" s="151">
        <f ca="1">IF($D598&lt;&gt;"Serviço",0,IF(ACOMPANHAMENTO="BM",ROUND(OFFSET(ORÇAMENTO!AJ$15,ROW(H598)-ROW(H$15),0),15-13*ORÇAMENTO!$AF$7),SUMPRODUCT(($Q$12:$AI$12&lt;&gt;"")*ROUND($Q598:$AI598,15-13*ORÇAMENTO!$AF$7))))</f>
        <v>19.7</v>
      </c>
      <c r="I598" s="650"/>
      <c r="K598" s="208"/>
      <c r="L598" s="209" t="s">
        <v>257</v>
      </c>
      <c r="M598" s="210">
        <f ca="1">IF($D598&lt;&gt;"Serviço","",IF(AUTOEVENTO="manual",$A598,IF(ISERROR(MATCH($A598,$A$15:OFFSET($A598,-1,0),0)),MAX($M$15:OFFSET(M598,-1,0))+1,INDEX($M$15:OFFSET(M598,-1,0),MATCH($A598,$A$15:OFFSET($A598,-1,0),0)))))</f>
        <v>0</v>
      </c>
      <c r="N598" s="211" t="str">
        <f ca="1">IF($D598&lt;&gt;"Serviço","",IF(AUTOEVENTO="Manual",IF($A598=0,"&lt;-- defina o número do agrupador",OFFSET(EVENTOS!$D$14,$A598,0)),OFFSET($F$15,$A598,0)))</f>
        <v>&lt;-- defina o número do agrupador</v>
      </c>
      <c r="O598" s="212"/>
      <c r="Q598" s="212"/>
      <c r="R598" s="213"/>
      <c r="S598" s="213"/>
      <c r="T598" s="213"/>
      <c r="U598" s="213"/>
      <c r="V598" s="213"/>
      <c r="W598" s="213"/>
      <c r="X598" s="213"/>
      <c r="Y598" s="213"/>
      <c r="Z598" s="214"/>
      <c r="AA598" s="213"/>
      <c r="AB598" s="213"/>
      <c r="AC598" s="213"/>
      <c r="AD598" s="213"/>
      <c r="AE598" s="213"/>
      <c r="AF598" s="213"/>
      <c r="AG598" s="213"/>
      <c r="AH598" s="214"/>
      <c r="AJ598" s="631">
        <f ca="1">IF(AND($D598="Serviço",AJ$12&lt;&gt;0,$H598&gt;0,OR(AUTOEVENTO&lt;&gt;"manual",$M598&lt;&gt;1)),ROUND(OFFSET($P598,0,AJ$13),15-13*ORÇAMENTO!$AF$7)/$H598*OFFSET(ORÇAMENTO!$X$15,ROW(AJ598)-ROW(AJ$15),0),0)</f>
        <v>0</v>
      </c>
      <c r="AK598" s="632">
        <f ca="1">IF(AND($D598="Serviço",AK$12&lt;&gt;0,$H598&gt;0,OR(AUTOEVENTO&lt;&gt;"manual",$M598&lt;&gt;1)),ROUND(OFFSET($P598,0,AK$13),15-13*ORÇAMENTO!$AF$7)/$H598*OFFSET(ORÇAMENTO!$X$15,ROW(AK598)-ROW(AK$15),0),0)</f>
        <v>0</v>
      </c>
      <c r="AL598" s="632">
        <f ca="1">IF(AND($D598="Serviço",AL$12&lt;&gt;0,$H598&gt;0,OR(AUTOEVENTO&lt;&gt;"manual",$M598&lt;&gt;1)),ROUND(OFFSET($P598,0,AL$13),15-13*ORÇAMENTO!$AF$7)/$H598*OFFSET(ORÇAMENTO!$X$15,ROW(AL598)-ROW(AL$15),0),0)</f>
        <v>0</v>
      </c>
      <c r="AM598" s="632">
        <f ca="1">IF(AND($D598="Serviço",AM$12&lt;&gt;0,$H598&gt;0,OR(AUTOEVENTO&lt;&gt;"manual",$M598&lt;&gt;1)),ROUND(OFFSET($P598,0,AM$13),15-13*ORÇAMENTO!$AF$7)/$H598*OFFSET(ORÇAMENTO!$X$15,ROW(AM598)-ROW(AM$15),0),0)</f>
        <v>0</v>
      </c>
      <c r="AN598" s="632">
        <f ca="1">IF(AND($D598="Serviço",AN$12&lt;&gt;0,$H598&gt;0,OR(AUTOEVENTO&lt;&gt;"manual",$M598&lt;&gt;1)),ROUND(OFFSET($P598,0,AN$13),15-13*ORÇAMENTO!$AF$7)/$H598*OFFSET(ORÇAMENTO!$X$15,ROW(AN598)-ROW(AN$15),0),0)</f>
        <v>0</v>
      </c>
      <c r="AO598" s="632">
        <f ca="1">IF(AND($D598="Serviço",AO$12&lt;&gt;0,$H598&gt;0,OR(AUTOEVENTO&lt;&gt;"manual",$M598&lt;&gt;1)),ROUND(OFFSET($P598,0,AO$13),15-13*ORÇAMENTO!$AF$7)/$H598*OFFSET(ORÇAMENTO!$X$15,ROW(AO598)-ROW(AO$15),0),0)</f>
        <v>0</v>
      </c>
      <c r="AP598" s="632">
        <f ca="1">IF(AND($D598="Serviço",AP$12&lt;&gt;0,$H598&gt;0,OR(AUTOEVENTO&lt;&gt;"manual",$M598&lt;&gt;1)),ROUND(OFFSET($P598,0,AP$13),15-13*ORÇAMENTO!$AF$7)/$H598*OFFSET(ORÇAMENTO!$X$15,ROW(AP598)-ROW(AP$15),0),0)</f>
        <v>0</v>
      </c>
      <c r="AQ598" s="632">
        <f ca="1">IF(AND($D598="Serviço",AQ$12&lt;&gt;0,$H598&gt;0,OR(AUTOEVENTO&lt;&gt;"manual",$M598&lt;&gt;1)),ROUND(OFFSET($P598,0,AQ$13),15-13*ORÇAMENTO!$AF$7)/$H598*OFFSET(ORÇAMENTO!$X$15,ROW(AQ598)-ROW(AQ$15),0),0)</f>
        <v>0</v>
      </c>
      <c r="AR598" s="632">
        <f ca="1">IF(AND($D598="Serviço",AR$12&lt;&gt;0,$H598&gt;0,OR(AUTOEVENTO&lt;&gt;"manual",$M598&lt;&gt;1)),ROUND(OFFSET($P598,0,AR$13),15-13*ORÇAMENTO!$AF$7)/$H598*OFFSET(ORÇAMENTO!$X$15,ROW(AR598)-ROW(AR$15),0),0)</f>
        <v>0</v>
      </c>
      <c r="AS598" s="633">
        <f ca="1">IF(AND($D598="Serviço",AS$12&lt;&gt;0,$H598&gt;0,OR(AUTOEVENTO&lt;&gt;"manual",$M598&lt;&gt;1)),ROUND(OFFSET($P598,0,AS$13),15-13*ORÇAMENTO!$AF$7)/$H598*OFFSET(ORÇAMENTO!$X$15,ROW(AS598)-ROW(AS$15),0),0)</f>
        <v>0</v>
      </c>
      <c r="AT598" s="632">
        <f ca="1">IF(AND($D598="Serviço",AT$12&lt;&gt;0,$H598&gt;0,OR(AUTOEVENTO&lt;&gt;"manual",$M598&lt;&gt;1)),ROUND(OFFSET($P598,0,AT$13),15-13*ORÇAMENTO!$AF$7)/$H598*OFFSET(ORÇAMENTO!$X$15,ROW(AT598)-ROW(AT$15),0),0)</f>
        <v>0</v>
      </c>
      <c r="AU598" s="632">
        <f ca="1">IF(AND($D598="Serviço",AU$12&lt;&gt;0,$H598&gt;0,OR(AUTOEVENTO&lt;&gt;"manual",$M598&lt;&gt;1)),ROUND(OFFSET($P598,0,AU$13),15-13*ORÇAMENTO!$AF$7)/$H598*OFFSET(ORÇAMENTO!$X$15,ROW(AU598)-ROW(AU$15),0),0)</f>
        <v>0</v>
      </c>
      <c r="AV598" s="632">
        <f ca="1">IF(AND($D598="Serviço",AV$12&lt;&gt;0,$H598&gt;0,OR(AUTOEVENTO&lt;&gt;"manual",$M598&lt;&gt;1)),ROUND(OFFSET($P598,0,AV$13),15-13*ORÇAMENTO!$AF$7)/$H598*OFFSET(ORÇAMENTO!$X$15,ROW(AV598)-ROW(AV$15),0),0)</f>
        <v>0</v>
      </c>
      <c r="AW598" s="632">
        <f ca="1">IF(AND($D598="Serviço",AW$12&lt;&gt;0,$H598&gt;0,OR(AUTOEVENTO&lt;&gt;"manual",$M598&lt;&gt;1)),ROUND(OFFSET($P598,0,AW$13),15-13*ORÇAMENTO!$AF$7)/$H598*OFFSET(ORÇAMENTO!$X$15,ROW(AW598)-ROW(AW$15),0),0)</f>
        <v>0</v>
      </c>
      <c r="AX598" s="632">
        <f ca="1">IF(AND($D598="Serviço",AX$12&lt;&gt;0,$H598&gt;0,OR(AUTOEVENTO&lt;&gt;"manual",$M598&lt;&gt;1)),ROUND(OFFSET($P598,0,AX$13),15-13*ORÇAMENTO!$AF$7)/$H598*OFFSET(ORÇAMENTO!$X$15,ROW(AX598)-ROW(AX$15),0),0)</f>
        <v>0</v>
      </c>
      <c r="AY598" s="632">
        <f ca="1">IF(AND($D598="Serviço",AY$12&lt;&gt;0,$H598&gt;0,OR(AUTOEVENTO&lt;&gt;"manual",$M598&lt;&gt;1)),ROUND(OFFSET($P598,0,AY$13),15-13*ORÇAMENTO!$AF$7)/$H598*OFFSET(ORÇAMENTO!$X$15,ROW(AY598)-ROW(AY$15),0),0)</f>
        <v>0</v>
      </c>
      <c r="AZ598" s="632">
        <f ca="1">IF(AND($D598="Serviço",AZ$12&lt;&gt;0,$H598&gt;0,OR(AUTOEVENTO&lt;&gt;"manual",$M598&lt;&gt;1)),ROUND(OFFSET($P598,0,AZ$13),15-13*ORÇAMENTO!$AF$7)/$H598*OFFSET(ORÇAMENTO!$X$15,ROW(AZ598)-ROW(AZ$15),0),0)</f>
        <v>0</v>
      </c>
      <c r="BA598" s="633">
        <f ca="1">IF(AND($D598="Serviço",BA$12&lt;&gt;0,$H598&gt;0,OR(AUTOEVENTO&lt;&gt;"manual",$M598&lt;&gt;1)),ROUND(OFFSET($P598,0,BA$13),15-13*ORÇAMENTO!$AF$7)/$H598*OFFSET(ORÇAMENTO!$X$15,ROW(BA598)-ROW(BA$15),0),0)</f>
        <v>0</v>
      </c>
      <c r="BC598" s="215">
        <f ca="1">IF($D598&lt;&gt;"Serviço",0,IF(AND(AUTOEVENTO="Manual",$M598=1),0,IF(OFFSET(CRONOPLE!$F$14,$M598,BC$13)="",10^12,OFFSET(CRONOPLE!$F$14,$M598,BC$13))))</f>
        <v>1000000000000</v>
      </c>
      <c r="BD598" s="215">
        <f ca="1">IF($D598&lt;&gt;"Serviço",0,IF(AND(AUTOEVENTO="Manual",$M598=1),0,IF(OFFSET(CRONOPLE!$F$14,$M598,BD$13)="",10^12,OFFSET(CRONOPLE!$F$14,$M598,BD$13))))</f>
        <v>1000000000000</v>
      </c>
      <c r="BE598" s="215">
        <f ca="1">IF($D598&lt;&gt;"Serviço",0,IF(AND(AUTOEVENTO="Manual",$M598=1),0,IF(OFFSET(CRONOPLE!$F$14,$M598,BE$13)="",10^12,OFFSET(CRONOPLE!$F$14,$M598,BE$13))))</f>
        <v>1000000000000</v>
      </c>
      <c r="BF598" s="215">
        <f ca="1">IF($D598&lt;&gt;"Serviço",0,IF(AND(AUTOEVENTO="Manual",$M598=1),0,IF(OFFSET(CRONOPLE!$F$14,$M598,BF$13)="",10^12,OFFSET(CRONOPLE!$F$14,$M598,BF$13))))</f>
        <v>1000000000000</v>
      </c>
      <c r="BG598" s="215">
        <f ca="1">IF($D598&lt;&gt;"Serviço",0,IF(AND(AUTOEVENTO="Manual",$M598=1),0,IF(OFFSET(CRONOPLE!$F$14,$M598,BG$13)="",10^12,OFFSET(CRONOPLE!$F$14,$M598,BG$13))))</f>
        <v>1000000000000</v>
      </c>
      <c r="BH598" s="215">
        <f ca="1">IF($D598&lt;&gt;"Serviço",0,IF(AND(AUTOEVENTO="Manual",$M598=1),0,IF(OFFSET(CRONOPLE!$F$14,$M598,BH$13)="",10^12,OFFSET(CRONOPLE!$F$14,$M598,BH$13))))</f>
        <v>1000000000000</v>
      </c>
      <c r="BI598" s="215">
        <f ca="1">IF($D598&lt;&gt;"Serviço",0,IF(AND(AUTOEVENTO="Manual",$M598=1),0,IF(OFFSET(CRONOPLE!$F$14,$M598,BI$13)="",10^12,OFFSET(CRONOPLE!$F$14,$M598,BI$13))))</f>
        <v>1000000000000</v>
      </c>
      <c r="BJ598" s="215">
        <f ca="1">IF($D598&lt;&gt;"Serviço",0,IF(AND(AUTOEVENTO="Manual",$M598=1),0,IF(OFFSET(CRONOPLE!$F$14,$M598,BJ$13)="",10^12,OFFSET(CRONOPLE!$F$14,$M598,BJ$13))))</f>
        <v>1000000000000</v>
      </c>
      <c r="BK598" s="215">
        <f ca="1">IF($D598&lt;&gt;"Serviço",0,IF(AND(AUTOEVENTO="Manual",$M598=1),0,IF(OFFSET(CRONOPLE!$F$14,$M598,BK$13)="",10^12,OFFSET(CRONOPLE!$F$14,$M598,BK$13))))</f>
        <v>1000000000000</v>
      </c>
      <c r="BL598" s="215">
        <f ca="1">IF($D598&lt;&gt;"Serviço",0,IF(AND(AUTOEVENTO="Manual",$M598=1),0,IF(OFFSET(CRONOPLE!$F$14,$M598,BL$13)="",10^12,OFFSET(CRONOPLE!$F$14,$M598,BL$13))))</f>
        <v>1000000000000</v>
      </c>
      <c r="BM598" s="215">
        <f ca="1">IF($D598&lt;&gt;"Serviço",0,IF(AND(AUTOEVENTO="Manual",$M598=1),0,IF(OFFSET(CRONOPLE!$F$14,$M598,BM$13)="",10^12,OFFSET(CRONOPLE!$F$14,$M598,BM$13))))</f>
        <v>1000000000000</v>
      </c>
      <c r="BN598" s="215">
        <f ca="1">IF($D598&lt;&gt;"Serviço",0,IF(AND(AUTOEVENTO="Manual",$M598=1),0,IF(OFFSET(CRONOPLE!$F$14,$M598,BN$13)="",10^12,OFFSET(CRONOPLE!$F$14,$M598,BN$13))))</f>
        <v>1000000000000</v>
      </c>
      <c r="BO598" s="215">
        <f ca="1">IF($D598&lt;&gt;"Serviço",0,IF(AND(AUTOEVENTO="Manual",$M598=1),0,IF(OFFSET(CRONOPLE!$F$14,$M598,BO$13)="",10^12,OFFSET(CRONOPLE!$F$14,$M598,BO$13))))</f>
        <v>1000000000000</v>
      </c>
      <c r="BP598" s="215">
        <f ca="1">IF($D598&lt;&gt;"Serviço",0,IF(AND(AUTOEVENTO="Manual",$M598=1),0,IF(OFFSET(CRONOPLE!$F$14,$M598,BP$13)="",10^12,OFFSET(CRONOPLE!$F$14,$M598,BP$13))))</f>
        <v>1000000000000</v>
      </c>
      <c r="BQ598" s="215">
        <f ca="1">IF($D598&lt;&gt;"Serviço",0,IF(AND(AUTOEVENTO="Manual",$M598=1),0,IF(OFFSET(CRONOPLE!$F$14,$M598,BQ$13)="",10^12,OFFSET(CRONOPLE!$F$14,$M598,BQ$13))))</f>
        <v>1000000000000</v>
      </c>
      <c r="BR598" s="215">
        <f ca="1">IF($D598&lt;&gt;"Serviço",0,IF(AND(AUTOEVENTO="Manual",$M598=1),0,IF(OFFSET(CRONOPLE!$F$14,$M598,BR$13)="",10^12,OFFSET(CRONOPLE!$F$14,$M598,BR$13))))</f>
        <v>1000000000000</v>
      </c>
      <c r="BS598" s="215">
        <f ca="1">IF($D598&lt;&gt;"Serviço",0,IF(AND(AUTOEVENTO="Manual",$M598=1),0,IF(OFFSET(CRONOPLE!$F$14,$M598,BS$13)="",10^12,OFFSET(CRONOPLE!$F$14,$M598,BS$13))))</f>
        <v>1000000000000</v>
      </c>
      <c r="BT598" s="215">
        <f ca="1">IF($D598&lt;&gt;"Serviço",0,IF(AND(AUTOEVENTO="Manual",$M598=1),0,IF(OFFSET(CRONOPLE!$F$14,$M598,BT$13)="",10^12,OFFSET(CRONOPLE!$F$14,$M598,BT$13))))</f>
        <v>1000000000000</v>
      </c>
      <c r="BV598" s="216">
        <f ca="1">IF($D598&lt;&gt;"Serviço",0,IF(OR(AND(AUTOEVENTO="Manual",$M598=1),$M598&gt;(ROW(PLE.lastrow)-ROW(PLE.firstrow))),0,IF(OFFSET(PLE!$G$14,$M598,BV$13)="",10^12,OFFSET(PLE!$G$14,$M598,BV$13))))</f>
        <v>1000000000000</v>
      </c>
      <c r="BW598" s="216">
        <f ca="1">IF($D598&lt;&gt;"Serviço",0,IF(OR(AND(AUTOEVENTO="Manual",$M598=1),$M598&gt;(ROW(PLE.lastrow)-ROW(PLE.firstrow))),0,IF(OFFSET(PLE!$G$14,$M598,BW$13)="",10^12,OFFSET(PLE!$G$14,$M598,BW$13))))</f>
        <v>1000000000000</v>
      </c>
      <c r="BX598" s="216">
        <f ca="1">IF($D598&lt;&gt;"Serviço",0,IF(OR(AND(AUTOEVENTO="Manual",$M598=1),$M598&gt;(ROW(PLE.lastrow)-ROW(PLE.firstrow))),0,IF(OFFSET(PLE!$G$14,$M598,BX$13)="",10^12,OFFSET(PLE!$G$14,$M598,BX$13))))</f>
        <v>1000000000000</v>
      </c>
      <c r="BY598" s="216">
        <f ca="1">IF($D598&lt;&gt;"Serviço",0,IF(OR(AND(AUTOEVENTO="Manual",$M598=1),$M598&gt;(ROW(PLE.lastrow)-ROW(PLE.firstrow))),0,IF(OFFSET(PLE!$G$14,$M598,BY$13)="",10^12,OFFSET(PLE!$G$14,$M598,BY$13))))</f>
        <v>1000000000000</v>
      </c>
      <c r="BZ598" s="216">
        <f ca="1">IF($D598&lt;&gt;"Serviço",0,IF(OR(AND(AUTOEVENTO="Manual",$M598=1),$M598&gt;(ROW(PLE.lastrow)-ROW(PLE.firstrow))),0,IF(OFFSET(PLE!$G$14,$M598,BZ$13)="",10^12,OFFSET(PLE!$G$14,$M598,BZ$13))))</f>
        <v>1000000000000</v>
      </c>
      <c r="CA598" s="216">
        <f ca="1">IF($D598&lt;&gt;"Serviço",0,IF(OR(AND(AUTOEVENTO="Manual",$M598=1),$M598&gt;(ROW(PLE.lastrow)-ROW(PLE.firstrow))),0,IF(OFFSET(PLE!$G$14,$M598,CA$13)="",10^12,OFFSET(PLE!$G$14,$M598,CA$13))))</f>
        <v>1000000000000</v>
      </c>
      <c r="CB598" s="216">
        <f ca="1">IF($D598&lt;&gt;"Serviço",0,IF(OR(AND(AUTOEVENTO="Manual",$M598=1),$M598&gt;(ROW(PLE.lastrow)-ROW(PLE.firstrow))),0,IF(OFFSET(PLE!$G$14,$M598,CB$13)="",10^12,OFFSET(PLE!$G$14,$M598,CB$13))))</f>
        <v>1000000000000</v>
      </c>
      <c r="CC598" s="216">
        <f ca="1">IF($D598&lt;&gt;"Serviço",0,IF(OR(AND(AUTOEVENTO="Manual",$M598=1),$M598&gt;(ROW(PLE.lastrow)-ROW(PLE.firstrow))),0,IF(OFFSET(PLE!$G$14,$M598,CC$13)="",10^12,OFFSET(PLE!$G$14,$M598,CC$13))))</f>
        <v>1000000000000</v>
      </c>
      <c r="CD598" s="216">
        <f ca="1">IF($D598&lt;&gt;"Serviço",0,IF(OR(AND(AUTOEVENTO="Manual",$M598=1),$M598&gt;(ROW(PLE.lastrow)-ROW(PLE.firstrow))),0,IF(OFFSET(PLE!$G$14,$M598,CD$13)="",10^12,OFFSET(PLE!$G$14,$M598,CD$13))))</f>
        <v>1000000000000</v>
      </c>
      <c r="CE598" s="216">
        <f ca="1">IF($D598&lt;&gt;"Serviço",0,IF(OR(AND(AUTOEVENTO="Manual",$M598=1),$M598&gt;(ROW(PLE.lastrow)-ROW(PLE.firstrow))),0,IF(OFFSET(PLE!$G$14,$M598,CE$13)="",10^12,OFFSET(PLE!$G$14,$M598,CE$13))))</f>
        <v>1000000000000</v>
      </c>
      <c r="CF598" s="216">
        <f ca="1">IF($D598&lt;&gt;"Serviço",0,IF(OR(AND(AUTOEVENTO="Manual",$M598=1),$M598&gt;(ROW(PLE.lastrow)-ROW(PLE.firstrow))),0,IF(OFFSET(PLE!$G$14,$M598,CF$13)="",10^12,OFFSET(PLE!$G$14,$M598,CF$13))))</f>
        <v>1000000000000</v>
      </c>
      <c r="CG598" s="216">
        <f ca="1">IF($D598&lt;&gt;"Serviço",0,IF(OR(AND(AUTOEVENTO="Manual",$M598=1),$M598&gt;(ROW(PLE.lastrow)-ROW(PLE.firstrow))),0,IF(OFFSET(PLE!$G$14,$M598,CG$13)="",10^12,OFFSET(PLE!$G$14,$M598,CG$13))))</f>
        <v>1000000000000</v>
      </c>
      <c r="CH598" s="216">
        <f ca="1">IF($D598&lt;&gt;"Serviço",0,IF(OR(AND(AUTOEVENTO="Manual",$M598=1),$M598&gt;(ROW(PLE.lastrow)-ROW(PLE.firstrow))),0,IF(OFFSET(PLE!$G$14,$M598,CH$13)="",10^12,OFFSET(PLE!$G$14,$M598,CH$13))))</f>
        <v>1000000000000</v>
      </c>
      <c r="CI598" s="216">
        <f ca="1">IF($D598&lt;&gt;"Serviço",0,IF(OR(AND(AUTOEVENTO="Manual",$M598=1),$M598&gt;(ROW(PLE.lastrow)-ROW(PLE.firstrow))),0,IF(OFFSET(PLE!$G$14,$M598,CI$13)="",10^12,OFFSET(PLE!$G$14,$M598,CI$13))))</f>
        <v>1000000000000</v>
      </c>
      <c r="CJ598" s="216">
        <f ca="1">IF($D598&lt;&gt;"Serviço",0,IF(OR(AND(AUTOEVENTO="Manual",$M598=1),$M598&gt;(ROW(PLE.lastrow)-ROW(PLE.firstrow))),0,IF(OFFSET(PLE!$G$14,$M598,CJ$13)="",10^12,OFFSET(PLE!$G$14,$M598,CJ$13))))</f>
        <v>1000000000000</v>
      </c>
      <c r="CK598" s="216">
        <f ca="1">IF($D598&lt;&gt;"Serviço",0,IF(OR(AND(AUTOEVENTO="Manual",$M598=1),$M598&gt;(ROW(PLE.lastrow)-ROW(PLE.firstrow))),0,IF(OFFSET(PLE!$G$14,$M598,CK$13)="",10^12,OFFSET(PLE!$G$14,$M598,CK$13))))</f>
        <v>1000000000000</v>
      </c>
      <c r="CL598" s="216">
        <f ca="1">IF($D598&lt;&gt;"Serviço",0,IF(OR(AND(AUTOEVENTO="Manual",$M598=1),$M598&gt;(ROW(PLE.lastrow)-ROW(PLE.firstrow))),0,IF(OFFSET(PLE!$G$14,$M598,CL$13)="",10^12,OFFSET(PLE!$G$14,$M598,CL$13))))</f>
        <v>1000000000000</v>
      </c>
      <c r="CM598" s="216">
        <f ca="1">IF($D598&lt;&gt;"Serviço",0,IF(OR(AND(AUTOEVENTO="Manual",$M598=1),$M598&gt;(ROW(PLE.lastrow)-ROW(PLE.firstrow))),0,IF(OFFSET(PLE!$G$14,$M598,CM$13)="",10^12,OFFSET(PLE!$G$14,$M598,CM$13))))</f>
        <v>1000000000000</v>
      </c>
    </row>
    <row r="599" spans="1:91" ht="13.2" x14ac:dyDescent="0.25">
      <c r="A599" s="9">
        <f t="shared" ca="1" si="18"/>
        <v>0</v>
      </c>
      <c r="B599" s="9" t="str">
        <f ca="1">OFFSET(ORÇAMENTO!C$15,ROW(B599)-ROW(B$15),0)</f>
        <v>S</v>
      </c>
      <c r="C599" s="9" t="str">
        <f ca="1">OFFSET(ORÇAMENTO!L$15,ROW(C599)-ROW(C$15),0)</f>
        <v/>
      </c>
      <c r="D599" s="145" t="str">
        <f ca="1">OFFSET(ORÇAMENTO!N$15,ROW(D599)-ROW(D$15),0)</f>
        <v>Serviço</v>
      </c>
      <c r="E599" s="205" t="str">
        <f ca="1">OFFSET(ORÇAMENTO!O$15,ROW(E599)-ROW(E$15),0)</f>
        <v>-</v>
      </c>
      <c r="F599" s="206" t="str">
        <f ca="1">OFFSET(ORÇAMENTO!R$15,ROW(F599)-ROW(F$15),0)</f>
        <v>(abra o arquivo 'Referência 05-2024.xls)</v>
      </c>
      <c r="G599" s="207" t="str">
        <f ca="1">IF($D599&lt;&gt;"Serviço","",OFFSET(ORÇAMENTO!S$15,ROW(G599)-ROW(G$15),0))</f>
        <v>-</v>
      </c>
      <c r="H599" s="151">
        <f ca="1">IF($D599&lt;&gt;"Serviço",0,IF(ACOMPANHAMENTO="BM",ROUND(OFFSET(ORÇAMENTO!AJ$15,ROW(H599)-ROW(H$15),0),15-13*ORÇAMENTO!$AF$7),SUMPRODUCT(($Q$12:$AI$12&lt;&gt;"")*ROUND($Q599:$AI599,15-13*ORÇAMENTO!$AF$7))))</f>
        <v>127.52</v>
      </c>
      <c r="I599" s="650"/>
      <c r="K599" s="208"/>
      <c r="L599" s="209" t="s">
        <v>257</v>
      </c>
      <c r="M599" s="210">
        <f ca="1">IF($D599&lt;&gt;"Serviço","",IF(AUTOEVENTO="manual",$A599,IF(ISERROR(MATCH($A599,$A$15:OFFSET($A599,-1,0),0)),MAX($M$15:OFFSET(M599,-1,0))+1,INDEX($M$15:OFFSET(M599,-1,0),MATCH($A599,$A$15:OFFSET($A599,-1,0),0)))))</f>
        <v>0</v>
      </c>
      <c r="N599" s="211" t="str">
        <f ca="1">IF($D599&lt;&gt;"Serviço","",IF(AUTOEVENTO="Manual",IF($A599=0,"&lt;-- defina o número do agrupador",OFFSET(EVENTOS!$D$14,$A599,0)),OFFSET($F$15,$A599,0)))</f>
        <v>&lt;-- defina o número do agrupador</v>
      </c>
      <c r="O599" s="212"/>
      <c r="Q599" s="212"/>
      <c r="R599" s="213"/>
      <c r="S599" s="213"/>
      <c r="T599" s="213"/>
      <c r="U599" s="213"/>
      <c r="V599" s="213"/>
      <c r="W599" s="213"/>
      <c r="X599" s="213"/>
      <c r="Y599" s="213"/>
      <c r="Z599" s="214"/>
      <c r="AA599" s="213"/>
      <c r="AB599" s="213"/>
      <c r="AC599" s="213"/>
      <c r="AD599" s="213"/>
      <c r="AE599" s="213"/>
      <c r="AF599" s="213"/>
      <c r="AG599" s="213"/>
      <c r="AH599" s="214"/>
      <c r="AJ599" s="631">
        <f ca="1">IF(AND($D599="Serviço",AJ$12&lt;&gt;0,$H599&gt;0,OR(AUTOEVENTO&lt;&gt;"manual",$M599&lt;&gt;1)),ROUND(OFFSET($P599,0,AJ$13),15-13*ORÇAMENTO!$AF$7)/$H599*OFFSET(ORÇAMENTO!$X$15,ROW(AJ599)-ROW(AJ$15),0),0)</f>
        <v>0</v>
      </c>
      <c r="AK599" s="632">
        <f ca="1">IF(AND($D599="Serviço",AK$12&lt;&gt;0,$H599&gt;0,OR(AUTOEVENTO&lt;&gt;"manual",$M599&lt;&gt;1)),ROUND(OFFSET($P599,0,AK$13),15-13*ORÇAMENTO!$AF$7)/$H599*OFFSET(ORÇAMENTO!$X$15,ROW(AK599)-ROW(AK$15),0),0)</f>
        <v>0</v>
      </c>
      <c r="AL599" s="632">
        <f ca="1">IF(AND($D599="Serviço",AL$12&lt;&gt;0,$H599&gt;0,OR(AUTOEVENTO&lt;&gt;"manual",$M599&lt;&gt;1)),ROUND(OFFSET($P599,0,AL$13),15-13*ORÇAMENTO!$AF$7)/$H599*OFFSET(ORÇAMENTO!$X$15,ROW(AL599)-ROW(AL$15),0),0)</f>
        <v>0</v>
      </c>
      <c r="AM599" s="632">
        <f ca="1">IF(AND($D599="Serviço",AM$12&lt;&gt;0,$H599&gt;0,OR(AUTOEVENTO&lt;&gt;"manual",$M599&lt;&gt;1)),ROUND(OFFSET($P599,0,AM$13),15-13*ORÇAMENTO!$AF$7)/$H599*OFFSET(ORÇAMENTO!$X$15,ROW(AM599)-ROW(AM$15),0),0)</f>
        <v>0</v>
      </c>
      <c r="AN599" s="632">
        <f ca="1">IF(AND($D599="Serviço",AN$12&lt;&gt;0,$H599&gt;0,OR(AUTOEVENTO&lt;&gt;"manual",$M599&lt;&gt;1)),ROUND(OFFSET($P599,0,AN$13),15-13*ORÇAMENTO!$AF$7)/$H599*OFFSET(ORÇAMENTO!$X$15,ROW(AN599)-ROW(AN$15),0),0)</f>
        <v>0</v>
      </c>
      <c r="AO599" s="632">
        <f ca="1">IF(AND($D599="Serviço",AO$12&lt;&gt;0,$H599&gt;0,OR(AUTOEVENTO&lt;&gt;"manual",$M599&lt;&gt;1)),ROUND(OFFSET($P599,0,AO$13),15-13*ORÇAMENTO!$AF$7)/$H599*OFFSET(ORÇAMENTO!$X$15,ROW(AO599)-ROW(AO$15),0),0)</f>
        <v>0</v>
      </c>
      <c r="AP599" s="632">
        <f ca="1">IF(AND($D599="Serviço",AP$12&lt;&gt;0,$H599&gt;0,OR(AUTOEVENTO&lt;&gt;"manual",$M599&lt;&gt;1)),ROUND(OFFSET($P599,0,AP$13),15-13*ORÇAMENTO!$AF$7)/$H599*OFFSET(ORÇAMENTO!$X$15,ROW(AP599)-ROW(AP$15),0),0)</f>
        <v>0</v>
      </c>
      <c r="AQ599" s="632">
        <f ca="1">IF(AND($D599="Serviço",AQ$12&lt;&gt;0,$H599&gt;0,OR(AUTOEVENTO&lt;&gt;"manual",$M599&lt;&gt;1)),ROUND(OFFSET($P599,0,AQ$13),15-13*ORÇAMENTO!$AF$7)/$H599*OFFSET(ORÇAMENTO!$X$15,ROW(AQ599)-ROW(AQ$15),0),0)</f>
        <v>0</v>
      </c>
      <c r="AR599" s="632">
        <f ca="1">IF(AND($D599="Serviço",AR$12&lt;&gt;0,$H599&gt;0,OR(AUTOEVENTO&lt;&gt;"manual",$M599&lt;&gt;1)),ROUND(OFFSET($P599,0,AR$13),15-13*ORÇAMENTO!$AF$7)/$H599*OFFSET(ORÇAMENTO!$X$15,ROW(AR599)-ROW(AR$15),0),0)</f>
        <v>0</v>
      </c>
      <c r="AS599" s="633">
        <f ca="1">IF(AND($D599="Serviço",AS$12&lt;&gt;0,$H599&gt;0,OR(AUTOEVENTO&lt;&gt;"manual",$M599&lt;&gt;1)),ROUND(OFFSET($P599,0,AS$13),15-13*ORÇAMENTO!$AF$7)/$H599*OFFSET(ORÇAMENTO!$X$15,ROW(AS599)-ROW(AS$15),0),0)</f>
        <v>0</v>
      </c>
      <c r="AT599" s="632">
        <f ca="1">IF(AND($D599="Serviço",AT$12&lt;&gt;0,$H599&gt;0,OR(AUTOEVENTO&lt;&gt;"manual",$M599&lt;&gt;1)),ROUND(OFFSET($P599,0,AT$13),15-13*ORÇAMENTO!$AF$7)/$H599*OFFSET(ORÇAMENTO!$X$15,ROW(AT599)-ROW(AT$15),0),0)</f>
        <v>0</v>
      </c>
      <c r="AU599" s="632">
        <f ca="1">IF(AND($D599="Serviço",AU$12&lt;&gt;0,$H599&gt;0,OR(AUTOEVENTO&lt;&gt;"manual",$M599&lt;&gt;1)),ROUND(OFFSET($P599,0,AU$13),15-13*ORÇAMENTO!$AF$7)/$H599*OFFSET(ORÇAMENTO!$X$15,ROW(AU599)-ROW(AU$15),0),0)</f>
        <v>0</v>
      </c>
      <c r="AV599" s="632">
        <f ca="1">IF(AND($D599="Serviço",AV$12&lt;&gt;0,$H599&gt;0,OR(AUTOEVENTO&lt;&gt;"manual",$M599&lt;&gt;1)),ROUND(OFFSET($P599,0,AV$13),15-13*ORÇAMENTO!$AF$7)/$H599*OFFSET(ORÇAMENTO!$X$15,ROW(AV599)-ROW(AV$15),0),0)</f>
        <v>0</v>
      </c>
      <c r="AW599" s="632">
        <f ca="1">IF(AND($D599="Serviço",AW$12&lt;&gt;0,$H599&gt;0,OR(AUTOEVENTO&lt;&gt;"manual",$M599&lt;&gt;1)),ROUND(OFFSET($P599,0,AW$13),15-13*ORÇAMENTO!$AF$7)/$H599*OFFSET(ORÇAMENTO!$X$15,ROW(AW599)-ROW(AW$15),0),0)</f>
        <v>0</v>
      </c>
      <c r="AX599" s="632">
        <f ca="1">IF(AND($D599="Serviço",AX$12&lt;&gt;0,$H599&gt;0,OR(AUTOEVENTO&lt;&gt;"manual",$M599&lt;&gt;1)),ROUND(OFFSET($P599,0,AX$13),15-13*ORÇAMENTO!$AF$7)/$H599*OFFSET(ORÇAMENTO!$X$15,ROW(AX599)-ROW(AX$15),0),0)</f>
        <v>0</v>
      </c>
      <c r="AY599" s="632">
        <f ca="1">IF(AND($D599="Serviço",AY$12&lt;&gt;0,$H599&gt;0,OR(AUTOEVENTO&lt;&gt;"manual",$M599&lt;&gt;1)),ROUND(OFFSET($P599,0,AY$13),15-13*ORÇAMENTO!$AF$7)/$H599*OFFSET(ORÇAMENTO!$X$15,ROW(AY599)-ROW(AY$15),0),0)</f>
        <v>0</v>
      </c>
      <c r="AZ599" s="632">
        <f ca="1">IF(AND($D599="Serviço",AZ$12&lt;&gt;0,$H599&gt;0,OR(AUTOEVENTO&lt;&gt;"manual",$M599&lt;&gt;1)),ROUND(OFFSET($P599,0,AZ$13),15-13*ORÇAMENTO!$AF$7)/$H599*OFFSET(ORÇAMENTO!$X$15,ROW(AZ599)-ROW(AZ$15),0),0)</f>
        <v>0</v>
      </c>
      <c r="BA599" s="633">
        <f ca="1">IF(AND($D599="Serviço",BA$12&lt;&gt;0,$H599&gt;0,OR(AUTOEVENTO&lt;&gt;"manual",$M599&lt;&gt;1)),ROUND(OFFSET($P599,0,BA$13),15-13*ORÇAMENTO!$AF$7)/$H599*OFFSET(ORÇAMENTO!$X$15,ROW(BA599)-ROW(BA$15),0),0)</f>
        <v>0</v>
      </c>
      <c r="BC599" s="215">
        <f ca="1">IF($D599&lt;&gt;"Serviço",0,IF(AND(AUTOEVENTO="Manual",$M599=1),0,IF(OFFSET(CRONOPLE!$F$14,$M599,BC$13)="",10^12,OFFSET(CRONOPLE!$F$14,$M599,BC$13))))</f>
        <v>1000000000000</v>
      </c>
      <c r="BD599" s="215">
        <f ca="1">IF($D599&lt;&gt;"Serviço",0,IF(AND(AUTOEVENTO="Manual",$M599=1),0,IF(OFFSET(CRONOPLE!$F$14,$M599,BD$13)="",10^12,OFFSET(CRONOPLE!$F$14,$M599,BD$13))))</f>
        <v>1000000000000</v>
      </c>
      <c r="BE599" s="215">
        <f ca="1">IF($D599&lt;&gt;"Serviço",0,IF(AND(AUTOEVENTO="Manual",$M599=1),0,IF(OFFSET(CRONOPLE!$F$14,$M599,BE$13)="",10^12,OFFSET(CRONOPLE!$F$14,$M599,BE$13))))</f>
        <v>1000000000000</v>
      </c>
      <c r="BF599" s="215">
        <f ca="1">IF($D599&lt;&gt;"Serviço",0,IF(AND(AUTOEVENTO="Manual",$M599=1),0,IF(OFFSET(CRONOPLE!$F$14,$M599,BF$13)="",10^12,OFFSET(CRONOPLE!$F$14,$M599,BF$13))))</f>
        <v>1000000000000</v>
      </c>
      <c r="BG599" s="215">
        <f ca="1">IF($D599&lt;&gt;"Serviço",0,IF(AND(AUTOEVENTO="Manual",$M599=1),0,IF(OFFSET(CRONOPLE!$F$14,$M599,BG$13)="",10^12,OFFSET(CRONOPLE!$F$14,$M599,BG$13))))</f>
        <v>1000000000000</v>
      </c>
      <c r="BH599" s="215">
        <f ca="1">IF($D599&lt;&gt;"Serviço",0,IF(AND(AUTOEVENTO="Manual",$M599=1),0,IF(OFFSET(CRONOPLE!$F$14,$M599,BH$13)="",10^12,OFFSET(CRONOPLE!$F$14,$M599,BH$13))))</f>
        <v>1000000000000</v>
      </c>
      <c r="BI599" s="215">
        <f ca="1">IF($D599&lt;&gt;"Serviço",0,IF(AND(AUTOEVENTO="Manual",$M599=1),0,IF(OFFSET(CRONOPLE!$F$14,$M599,BI$13)="",10^12,OFFSET(CRONOPLE!$F$14,$M599,BI$13))))</f>
        <v>1000000000000</v>
      </c>
      <c r="BJ599" s="215">
        <f ca="1">IF($D599&lt;&gt;"Serviço",0,IF(AND(AUTOEVENTO="Manual",$M599=1),0,IF(OFFSET(CRONOPLE!$F$14,$M599,BJ$13)="",10^12,OFFSET(CRONOPLE!$F$14,$M599,BJ$13))))</f>
        <v>1000000000000</v>
      </c>
      <c r="BK599" s="215">
        <f ca="1">IF($D599&lt;&gt;"Serviço",0,IF(AND(AUTOEVENTO="Manual",$M599=1),0,IF(OFFSET(CRONOPLE!$F$14,$M599,BK$13)="",10^12,OFFSET(CRONOPLE!$F$14,$M599,BK$13))))</f>
        <v>1000000000000</v>
      </c>
      <c r="BL599" s="215">
        <f ca="1">IF($D599&lt;&gt;"Serviço",0,IF(AND(AUTOEVENTO="Manual",$M599=1),0,IF(OFFSET(CRONOPLE!$F$14,$M599,BL$13)="",10^12,OFFSET(CRONOPLE!$F$14,$M599,BL$13))))</f>
        <v>1000000000000</v>
      </c>
      <c r="BM599" s="215">
        <f ca="1">IF($D599&lt;&gt;"Serviço",0,IF(AND(AUTOEVENTO="Manual",$M599=1),0,IF(OFFSET(CRONOPLE!$F$14,$M599,BM$13)="",10^12,OFFSET(CRONOPLE!$F$14,$M599,BM$13))))</f>
        <v>1000000000000</v>
      </c>
      <c r="BN599" s="215">
        <f ca="1">IF($D599&lt;&gt;"Serviço",0,IF(AND(AUTOEVENTO="Manual",$M599=1),0,IF(OFFSET(CRONOPLE!$F$14,$M599,BN$13)="",10^12,OFFSET(CRONOPLE!$F$14,$M599,BN$13))))</f>
        <v>1000000000000</v>
      </c>
      <c r="BO599" s="215">
        <f ca="1">IF($D599&lt;&gt;"Serviço",0,IF(AND(AUTOEVENTO="Manual",$M599=1),0,IF(OFFSET(CRONOPLE!$F$14,$M599,BO$13)="",10^12,OFFSET(CRONOPLE!$F$14,$M599,BO$13))))</f>
        <v>1000000000000</v>
      </c>
      <c r="BP599" s="215">
        <f ca="1">IF($D599&lt;&gt;"Serviço",0,IF(AND(AUTOEVENTO="Manual",$M599=1),0,IF(OFFSET(CRONOPLE!$F$14,$M599,BP$13)="",10^12,OFFSET(CRONOPLE!$F$14,$M599,BP$13))))</f>
        <v>1000000000000</v>
      </c>
      <c r="BQ599" s="215">
        <f ca="1">IF($D599&lt;&gt;"Serviço",0,IF(AND(AUTOEVENTO="Manual",$M599=1),0,IF(OFFSET(CRONOPLE!$F$14,$M599,BQ$13)="",10^12,OFFSET(CRONOPLE!$F$14,$M599,BQ$13))))</f>
        <v>1000000000000</v>
      </c>
      <c r="BR599" s="215">
        <f ca="1">IF($D599&lt;&gt;"Serviço",0,IF(AND(AUTOEVENTO="Manual",$M599=1),0,IF(OFFSET(CRONOPLE!$F$14,$M599,BR$13)="",10^12,OFFSET(CRONOPLE!$F$14,$M599,BR$13))))</f>
        <v>1000000000000</v>
      </c>
      <c r="BS599" s="215">
        <f ca="1">IF($D599&lt;&gt;"Serviço",0,IF(AND(AUTOEVENTO="Manual",$M599=1),0,IF(OFFSET(CRONOPLE!$F$14,$M599,BS$13)="",10^12,OFFSET(CRONOPLE!$F$14,$M599,BS$13))))</f>
        <v>1000000000000</v>
      </c>
      <c r="BT599" s="215">
        <f ca="1">IF($D599&lt;&gt;"Serviço",0,IF(AND(AUTOEVENTO="Manual",$M599=1),0,IF(OFFSET(CRONOPLE!$F$14,$M599,BT$13)="",10^12,OFFSET(CRONOPLE!$F$14,$M599,BT$13))))</f>
        <v>1000000000000</v>
      </c>
      <c r="BV599" s="216">
        <f ca="1">IF($D599&lt;&gt;"Serviço",0,IF(OR(AND(AUTOEVENTO="Manual",$M599=1),$M599&gt;(ROW(PLE.lastrow)-ROW(PLE.firstrow))),0,IF(OFFSET(PLE!$G$14,$M599,BV$13)="",10^12,OFFSET(PLE!$G$14,$M599,BV$13))))</f>
        <v>1000000000000</v>
      </c>
      <c r="BW599" s="216">
        <f ca="1">IF($D599&lt;&gt;"Serviço",0,IF(OR(AND(AUTOEVENTO="Manual",$M599=1),$M599&gt;(ROW(PLE.lastrow)-ROW(PLE.firstrow))),0,IF(OFFSET(PLE!$G$14,$M599,BW$13)="",10^12,OFFSET(PLE!$G$14,$M599,BW$13))))</f>
        <v>1000000000000</v>
      </c>
      <c r="BX599" s="216">
        <f ca="1">IF($D599&lt;&gt;"Serviço",0,IF(OR(AND(AUTOEVENTO="Manual",$M599=1),$M599&gt;(ROW(PLE.lastrow)-ROW(PLE.firstrow))),0,IF(OFFSET(PLE!$G$14,$M599,BX$13)="",10^12,OFFSET(PLE!$G$14,$M599,BX$13))))</f>
        <v>1000000000000</v>
      </c>
      <c r="BY599" s="216">
        <f ca="1">IF($D599&lt;&gt;"Serviço",0,IF(OR(AND(AUTOEVENTO="Manual",$M599=1),$M599&gt;(ROW(PLE.lastrow)-ROW(PLE.firstrow))),0,IF(OFFSET(PLE!$G$14,$M599,BY$13)="",10^12,OFFSET(PLE!$G$14,$M599,BY$13))))</f>
        <v>1000000000000</v>
      </c>
      <c r="BZ599" s="216">
        <f ca="1">IF($D599&lt;&gt;"Serviço",0,IF(OR(AND(AUTOEVENTO="Manual",$M599=1),$M599&gt;(ROW(PLE.lastrow)-ROW(PLE.firstrow))),0,IF(OFFSET(PLE!$G$14,$M599,BZ$13)="",10^12,OFFSET(PLE!$G$14,$M599,BZ$13))))</f>
        <v>1000000000000</v>
      </c>
      <c r="CA599" s="216">
        <f ca="1">IF($D599&lt;&gt;"Serviço",0,IF(OR(AND(AUTOEVENTO="Manual",$M599=1),$M599&gt;(ROW(PLE.lastrow)-ROW(PLE.firstrow))),0,IF(OFFSET(PLE!$G$14,$M599,CA$13)="",10^12,OFFSET(PLE!$G$14,$M599,CA$13))))</f>
        <v>1000000000000</v>
      </c>
      <c r="CB599" s="216">
        <f ca="1">IF($D599&lt;&gt;"Serviço",0,IF(OR(AND(AUTOEVENTO="Manual",$M599=1),$M599&gt;(ROW(PLE.lastrow)-ROW(PLE.firstrow))),0,IF(OFFSET(PLE!$G$14,$M599,CB$13)="",10^12,OFFSET(PLE!$G$14,$M599,CB$13))))</f>
        <v>1000000000000</v>
      </c>
      <c r="CC599" s="216">
        <f ca="1">IF($D599&lt;&gt;"Serviço",0,IF(OR(AND(AUTOEVENTO="Manual",$M599=1),$M599&gt;(ROW(PLE.lastrow)-ROW(PLE.firstrow))),0,IF(OFFSET(PLE!$G$14,$M599,CC$13)="",10^12,OFFSET(PLE!$G$14,$M599,CC$13))))</f>
        <v>1000000000000</v>
      </c>
      <c r="CD599" s="216">
        <f ca="1">IF($D599&lt;&gt;"Serviço",0,IF(OR(AND(AUTOEVENTO="Manual",$M599=1),$M599&gt;(ROW(PLE.lastrow)-ROW(PLE.firstrow))),0,IF(OFFSET(PLE!$G$14,$M599,CD$13)="",10^12,OFFSET(PLE!$G$14,$M599,CD$13))))</f>
        <v>1000000000000</v>
      </c>
      <c r="CE599" s="216">
        <f ca="1">IF($D599&lt;&gt;"Serviço",0,IF(OR(AND(AUTOEVENTO="Manual",$M599=1),$M599&gt;(ROW(PLE.lastrow)-ROW(PLE.firstrow))),0,IF(OFFSET(PLE!$G$14,$M599,CE$13)="",10^12,OFFSET(PLE!$G$14,$M599,CE$13))))</f>
        <v>1000000000000</v>
      </c>
      <c r="CF599" s="216">
        <f ca="1">IF($D599&lt;&gt;"Serviço",0,IF(OR(AND(AUTOEVENTO="Manual",$M599=1),$M599&gt;(ROW(PLE.lastrow)-ROW(PLE.firstrow))),0,IF(OFFSET(PLE!$G$14,$M599,CF$13)="",10^12,OFFSET(PLE!$G$14,$M599,CF$13))))</f>
        <v>1000000000000</v>
      </c>
      <c r="CG599" s="216">
        <f ca="1">IF($D599&lt;&gt;"Serviço",0,IF(OR(AND(AUTOEVENTO="Manual",$M599=1),$M599&gt;(ROW(PLE.lastrow)-ROW(PLE.firstrow))),0,IF(OFFSET(PLE!$G$14,$M599,CG$13)="",10^12,OFFSET(PLE!$G$14,$M599,CG$13))))</f>
        <v>1000000000000</v>
      </c>
      <c r="CH599" s="216">
        <f ca="1">IF($D599&lt;&gt;"Serviço",0,IF(OR(AND(AUTOEVENTO="Manual",$M599=1),$M599&gt;(ROW(PLE.lastrow)-ROW(PLE.firstrow))),0,IF(OFFSET(PLE!$G$14,$M599,CH$13)="",10^12,OFFSET(PLE!$G$14,$M599,CH$13))))</f>
        <v>1000000000000</v>
      </c>
      <c r="CI599" s="216">
        <f ca="1">IF($D599&lt;&gt;"Serviço",0,IF(OR(AND(AUTOEVENTO="Manual",$M599=1),$M599&gt;(ROW(PLE.lastrow)-ROW(PLE.firstrow))),0,IF(OFFSET(PLE!$G$14,$M599,CI$13)="",10^12,OFFSET(PLE!$G$14,$M599,CI$13))))</f>
        <v>1000000000000</v>
      </c>
      <c r="CJ599" s="216">
        <f ca="1">IF($D599&lt;&gt;"Serviço",0,IF(OR(AND(AUTOEVENTO="Manual",$M599=1),$M599&gt;(ROW(PLE.lastrow)-ROW(PLE.firstrow))),0,IF(OFFSET(PLE!$G$14,$M599,CJ$13)="",10^12,OFFSET(PLE!$G$14,$M599,CJ$13))))</f>
        <v>1000000000000</v>
      </c>
      <c r="CK599" s="216">
        <f ca="1">IF($D599&lt;&gt;"Serviço",0,IF(OR(AND(AUTOEVENTO="Manual",$M599=1),$M599&gt;(ROW(PLE.lastrow)-ROW(PLE.firstrow))),0,IF(OFFSET(PLE!$G$14,$M599,CK$13)="",10^12,OFFSET(PLE!$G$14,$M599,CK$13))))</f>
        <v>1000000000000</v>
      </c>
      <c r="CL599" s="216">
        <f ca="1">IF($D599&lt;&gt;"Serviço",0,IF(OR(AND(AUTOEVENTO="Manual",$M599=1),$M599&gt;(ROW(PLE.lastrow)-ROW(PLE.firstrow))),0,IF(OFFSET(PLE!$G$14,$M599,CL$13)="",10^12,OFFSET(PLE!$G$14,$M599,CL$13))))</f>
        <v>1000000000000</v>
      </c>
      <c r="CM599" s="216">
        <f ca="1">IF($D599&lt;&gt;"Serviço",0,IF(OR(AND(AUTOEVENTO="Manual",$M599=1),$M599&gt;(ROW(PLE.lastrow)-ROW(PLE.firstrow))),0,IF(OFFSET(PLE!$G$14,$M599,CM$13)="",10^12,OFFSET(PLE!$G$14,$M599,CM$13))))</f>
        <v>1000000000000</v>
      </c>
    </row>
    <row r="600" spans="1:91" ht="13.2" x14ac:dyDescent="0.25">
      <c r="A600" s="9">
        <f t="shared" ca="1" si="18"/>
        <v>0</v>
      </c>
      <c r="B600" s="9">
        <f ca="1">OFFSET(ORÇAMENTO!C$15,ROW(B600)-ROW(B$15),0)</f>
        <v>3</v>
      </c>
      <c r="C600" s="9" t="str">
        <f ca="1">OFFSET(ORÇAMENTO!L$15,ROW(C600)-ROW(C$15),0)</f>
        <v>F</v>
      </c>
      <c r="D600" s="145" t="str">
        <f ca="1">OFFSET(ORÇAMENTO!N$15,ROW(D600)-ROW(D$15),0)</f>
        <v>Nível 3</v>
      </c>
      <c r="E600" s="205" t="str">
        <f ca="1">OFFSET(ORÇAMENTO!O$15,ROW(E600)-ROW(E$15),0)</f>
        <v>1.18.6.</v>
      </c>
      <c r="F600" s="206" t="str">
        <f ca="1">OFFSET(ORÇAMENTO!R$15,ROW(F600)-ROW(F$15),0)</f>
        <v>ILUMINAÇÃO E TOMADAS</v>
      </c>
      <c r="G600" s="207" t="str">
        <f ca="1">IF($D600&lt;&gt;"Serviço","",OFFSET(ORÇAMENTO!S$15,ROW(G600)-ROW(G$15),0))</f>
        <v/>
      </c>
      <c r="H600" s="151">
        <f ca="1">IF($D600&lt;&gt;"Serviço",0,IF(ACOMPANHAMENTO="BM",ROUND(OFFSET(ORÇAMENTO!AJ$15,ROW(H600)-ROW(H$15),0),15-13*ORÇAMENTO!$AF$7),SUMPRODUCT(($Q$12:$AI$12&lt;&gt;"")*ROUND($Q600:$AI600,15-13*ORÇAMENTO!$AF$7))))</f>
        <v>0</v>
      </c>
      <c r="I600" s="650"/>
      <c r="K600" s="208"/>
      <c r="L600" s="209" t="s">
        <v>257</v>
      </c>
      <c r="M600" s="210" t="str">
        <f ca="1">IF($D600&lt;&gt;"Serviço","",IF(AUTOEVENTO="manual",$A600,IF(ISERROR(MATCH($A600,$A$15:OFFSET($A600,-1,0),0)),MAX($M$15:OFFSET(M600,-1,0))+1,INDEX($M$15:OFFSET(M600,-1,0),MATCH($A600,$A$15:OFFSET($A600,-1,0),0)))))</f>
        <v/>
      </c>
      <c r="N600" s="211" t="str">
        <f ca="1">IF($D600&lt;&gt;"Serviço","",IF(AUTOEVENTO="Manual",IF($A600=0,"&lt;-- defina o número do agrupador",OFFSET(EVENTOS!$D$14,$A600,0)),OFFSET($F$15,$A600,0)))</f>
        <v/>
      </c>
      <c r="O600" s="212"/>
      <c r="Q600" s="212"/>
      <c r="R600" s="213"/>
      <c r="S600" s="213"/>
      <c r="T600" s="213"/>
      <c r="U600" s="213"/>
      <c r="V600" s="213"/>
      <c r="W600" s="213"/>
      <c r="X600" s="213"/>
      <c r="Y600" s="213"/>
      <c r="Z600" s="214"/>
      <c r="AA600" s="213"/>
      <c r="AB600" s="213"/>
      <c r="AC600" s="213"/>
      <c r="AD600" s="213"/>
      <c r="AE600" s="213"/>
      <c r="AF600" s="213"/>
      <c r="AG600" s="213"/>
      <c r="AH600" s="214"/>
      <c r="AJ600" s="631">
        <f ca="1">IF(AND($D600="Serviço",AJ$12&lt;&gt;0,$H600&gt;0,OR(AUTOEVENTO&lt;&gt;"manual",$M600&lt;&gt;1)),ROUND(OFFSET($P600,0,AJ$13),15-13*ORÇAMENTO!$AF$7)/$H600*OFFSET(ORÇAMENTO!$X$15,ROW(AJ600)-ROW(AJ$15),0),0)</f>
        <v>0</v>
      </c>
      <c r="AK600" s="632">
        <f ca="1">IF(AND($D600="Serviço",AK$12&lt;&gt;0,$H600&gt;0,OR(AUTOEVENTO&lt;&gt;"manual",$M600&lt;&gt;1)),ROUND(OFFSET($P600,0,AK$13),15-13*ORÇAMENTO!$AF$7)/$H600*OFFSET(ORÇAMENTO!$X$15,ROW(AK600)-ROW(AK$15),0),0)</f>
        <v>0</v>
      </c>
      <c r="AL600" s="632">
        <f ca="1">IF(AND($D600="Serviço",AL$12&lt;&gt;0,$H600&gt;0,OR(AUTOEVENTO&lt;&gt;"manual",$M600&lt;&gt;1)),ROUND(OFFSET($P600,0,AL$13),15-13*ORÇAMENTO!$AF$7)/$H600*OFFSET(ORÇAMENTO!$X$15,ROW(AL600)-ROW(AL$15),0),0)</f>
        <v>0</v>
      </c>
      <c r="AM600" s="632">
        <f ca="1">IF(AND($D600="Serviço",AM$12&lt;&gt;0,$H600&gt;0,OR(AUTOEVENTO&lt;&gt;"manual",$M600&lt;&gt;1)),ROUND(OFFSET($P600,0,AM$13),15-13*ORÇAMENTO!$AF$7)/$H600*OFFSET(ORÇAMENTO!$X$15,ROW(AM600)-ROW(AM$15),0),0)</f>
        <v>0</v>
      </c>
      <c r="AN600" s="632">
        <f ca="1">IF(AND($D600="Serviço",AN$12&lt;&gt;0,$H600&gt;0,OR(AUTOEVENTO&lt;&gt;"manual",$M600&lt;&gt;1)),ROUND(OFFSET($P600,0,AN$13),15-13*ORÇAMENTO!$AF$7)/$H600*OFFSET(ORÇAMENTO!$X$15,ROW(AN600)-ROW(AN$15),0),0)</f>
        <v>0</v>
      </c>
      <c r="AO600" s="632">
        <f ca="1">IF(AND($D600="Serviço",AO$12&lt;&gt;0,$H600&gt;0,OR(AUTOEVENTO&lt;&gt;"manual",$M600&lt;&gt;1)),ROUND(OFFSET($P600,0,AO$13),15-13*ORÇAMENTO!$AF$7)/$H600*OFFSET(ORÇAMENTO!$X$15,ROW(AO600)-ROW(AO$15),0),0)</f>
        <v>0</v>
      </c>
      <c r="AP600" s="632">
        <f ca="1">IF(AND($D600="Serviço",AP$12&lt;&gt;0,$H600&gt;0,OR(AUTOEVENTO&lt;&gt;"manual",$M600&lt;&gt;1)),ROUND(OFFSET($P600,0,AP$13),15-13*ORÇAMENTO!$AF$7)/$H600*OFFSET(ORÇAMENTO!$X$15,ROW(AP600)-ROW(AP$15),0),0)</f>
        <v>0</v>
      </c>
      <c r="AQ600" s="632">
        <f ca="1">IF(AND($D600="Serviço",AQ$12&lt;&gt;0,$H600&gt;0,OR(AUTOEVENTO&lt;&gt;"manual",$M600&lt;&gt;1)),ROUND(OFFSET($P600,0,AQ$13),15-13*ORÇAMENTO!$AF$7)/$H600*OFFSET(ORÇAMENTO!$X$15,ROW(AQ600)-ROW(AQ$15),0),0)</f>
        <v>0</v>
      </c>
      <c r="AR600" s="632">
        <f ca="1">IF(AND($D600="Serviço",AR$12&lt;&gt;0,$H600&gt;0,OR(AUTOEVENTO&lt;&gt;"manual",$M600&lt;&gt;1)),ROUND(OFFSET($P600,0,AR$13),15-13*ORÇAMENTO!$AF$7)/$H600*OFFSET(ORÇAMENTO!$X$15,ROW(AR600)-ROW(AR$15),0),0)</f>
        <v>0</v>
      </c>
      <c r="AS600" s="633">
        <f ca="1">IF(AND($D600="Serviço",AS$12&lt;&gt;0,$H600&gt;0,OR(AUTOEVENTO&lt;&gt;"manual",$M600&lt;&gt;1)),ROUND(OFFSET($P600,0,AS$13),15-13*ORÇAMENTO!$AF$7)/$H600*OFFSET(ORÇAMENTO!$X$15,ROW(AS600)-ROW(AS$15),0),0)</f>
        <v>0</v>
      </c>
      <c r="AT600" s="632">
        <f ca="1">IF(AND($D600="Serviço",AT$12&lt;&gt;0,$H600&gt;0,OR(AUTOEVENTO&lt;&gt;"manual",$M600&lt;&gt;1)),ROUND(OFFSET($P600,0,AT$13),15-13*ORÇAMENTO!$AF$7)/$H600*OFFSET(ORÇAMENTO!$X$15,ROW(AT600)-ROW(AT$15),0),0)</f>
        <v>0</v>
      </c>
      <c r="AU600" s="632">
        <f ca="1">IF(AND($D600="Serviço",AU$12&lt;&gt;0,$H600&gt;0,OR(AUTOEVENTO&lt;&gt;"manual",$M600&lt;&gt;1)),ROUND(OFFSET($P600,0,AU$13),15-13*ORÇAMENTO!$AF$7)/$H600*OFFSET(ORÇAMENTO!$X$15,ROW(AU600)-ROW(AU$15),0),0)</f>
        <v>0</v>
      </c>
      <c r="AV600" s="632">
        <f ca="1">IF(AND($D600="Serviço",AV$12&lt;&gt;0,$H600&gt;0,OR(AUTOEVENTO&lt;&gt;"manual",$M600&lt;&gt;1)),ROUND(OFFSET($P600,0,AV$13),15-13*ORÇAMENTO!$AF$7)/$H600*OFFSET(ORÇAMENTO!$X$15,ROW(AV600)-ROW(AV$15),0),0)</f>
        <v>0</v>
      </c>
      <c r="AW600" s="632">
        <f ca="1">IF(AND($D600="Serviço",AW$12&lt;&gt;0,$H600&gt;0,OR(AUTOEVENTO&lt;&gt;"manual",$M600&lt;&gt;1)),ROUND(OFFSET($P600,0,AW$13),15-13*ORÇAMENTO!$AF$7)/$H600*OFFSET(ORÇAMENTO!$X$15,ROW(AW600)-ROW(AW$15),0),0)</f>
        <v>0</v>
      </c>
      <c r="AX600" s="632">
        <f ca="1">IF(AND($D600="Serviço",AX$12&lt;&gt;0,$H600&gt;0,OR(AUTOEVENTO&lt;&gt;"manual",$M600&lt;&gt;1)),ROUND(OFFSET($P600,0,AX$13),15-13*ORÇAMENTO!$AF$7)/$H600*OFFSET(ORÇAMENTO!$X$15,ROW(AX600)-ROW(AX$15),0),0)</f>
        <v>0</v>
      </c>
      <c r="AY600" s="632">
        <f ca="1">IF(AND($D600="Serviço",AY$12&lt;&gt;0,$H600&gt;0,OR(AUTOEVENTO&lt;&gt;"manual",$M600&lt;&gt;1)),ROUND(OFFSET($P600,0,AY$13),15-13*ORÇAMENTO!$AF$7)/$H600*OFFSET(ORÇAMENTO!$X$15,ROW(AY600)-ROW(AY$15),0),0)</f>
        <v>0</v>
      </c>
      <c r="AZ600" s="632">
        <f ca="1">IF(AND($D600="Serviço",AZ$12&lt;&gt;0,$H600&gt;0,OR(AUTOEVENTO&lt;&gt;"manual",$M600&lt;&gt;1)),ROUND(OFFSET($P600,0,AZ$13),15-13*ORÇAMENTO!$AF$7)/$H600*OFFSET(ORÇAMENTO!$X$15,ROW(AZ600)-ROW(AZ$15),0),0)</f>
        <v>0</v>
      </c>
      <c r="BA600" s="633">
        <f ca="1">IF(AND($D600="Serviço",BA$12&lt;&gt;0,$H600&gt;0,OR(AUTOEVENTO&lt;&gt;"manual",$M600&lt;&gt;1)),ROUND(OFFSET($P600,0,BA$13),15-13*ORÇAMENTO!$AF$7)/$H600*OFFSET(ORÇAMENTO!$X$15,ROW(BA600)-ROW(BA$15),0),0)</f>
        <v>0</v>
      </c>
      <c r="BC600" s="215">
        <f ca="1">IF($D600&lt;&gt;"Serviço",0,IF(AND(AUTOEVENTO="Manual",$M600=1),0,IF(OFFSET(CRONOPLE!$F$14,$M600,BC$13)="",10^12,OFFSET(CRONOPLE!$F$14,$M600,BC$13))))</f>
        <v>0</v>
      </c>
      <c r="BD600" s="215">
        <f ca="1">IF($D600&lt;&gt;"Serviço",0,IF(AND(AUTOEVENTO="Manual",$M600=1),0,IF(OFFSET(CRONOPLE!$F$14,$M600,BD$13)="",10^12,OFFSET(CRONOPLE!$F$14,$M600,BD$13))))</f>
        <v>0</v>
      </c>
      <c r="BE600" s="215">
        <f ca="1">IF($D600&lt;&gt;"Serviço",0,IF(AND(AUTOEVENTO="Manual",$M600=1),0,IF(OFFSET(CRONOPLE!$F$14,$M600,BE$13)="",10^12,OFFSET(CRONOPLE!$F$14,$M600,BE$13))))</f>
        <v>0</v>
      </c>
      <c r="BF600" s="215">
        <f ca="1">IF($D600&lt;&gt;"Serviço",0,IF(AND(AUTOEVENTO="Manual",$M600=1),0,IF(OFFSET(CRONOPLE!$F$14,$M600,BF$13)="",10^12,OFFSET(CRONOPLE!$F$14,$M600,BF$13))))</f>
        <v>0</v>
      </c>
      <c r="BG600" s="215">
        <f ca="1">IF($D600&lt;&gt;"Serviço",0,IF(AND(AUTOEVENTO="Manual",$M600=1),0,IF(OFFSET(CRONOPLE!$F$14,$M600,BG$13)="",10^12,OFFSET(CRONOPLE!$F$14,$M600,BG$13))))</f>
        <v>0</v>
      </c>
      <c r="BH600" s="215">
        <f ca="1">IF($D600&lt;&gt;"Serviço",0,IF(AND(AUTOEVENTO="Manual",$M600=1),0,IF(OFFSET(CRONOPLE!$F$14,$M600,BH$13)="",10^12,OFFSET(CRONOPLE!$F$14,$M600,BH$13))))</f>
        <v>0</v>
      </c>
      <c r="BI600" s="215">
        <f ca="1">IF($D600&lt;&gt;"Serviço",0,IF(AND(AUTOEVENTO="Manual",$M600=1),0,IF(OFFSET(CRONOPLE!$F$14,$M600,BI$13)="",10^12,OFFSET(CRONOPLE!$F$14,$M600,BI$13))))</f>
        <v>0</v>
      </c>
      <c r="BJ600" s="215">
        <f ca="1">IF($D600&lt;&gt;"Serviço",0,IF(AND(AUTOEVENTO="Manual",$M600=1),0,IF(OFFSET(CRONOPLE!$F$14,$M600,BJ$13)="",10^12,OFFSET(CRONOPLE!$F$14,$M600,BJ$13))))</f>
        <v>0</v>
      </c>
      <c r="BK600" s="215">
        <f ca="1">IF($D600&lt;&gt;"Serviço",0,IF(AND(AUTOEVENTO="Manual",$M600=1),0,IF(OFFSET(CRONOPLE!$F$14,$M600,BK$13)="",10^12,OFFSET(CRONOPLE!$F$14,$M600,BK$13))))</f>
        <v>0</v>
      </c>
      <c r="BL600" s="215">
        <f ca="1">IF($D600&lt;&gt;"Serviço",0,IF(AND(AUTOEVENTO="Manual",$M600=1),0,IF(OFFSET(CRONOPLE!$F$14,$M600,BL$13)="",10^12,OFFSET(CRONOPLE!$F$14,$M600,BL$13))))</f>
        <v>0</v>
      </c>
      <c r="BM600" s="215">
        <f ca="1">IF($D600&lt;&gt;"Serviço",0,IF(AND(AUTOEVENTO="Manual",$M600=1),0,IF(OFFSET(CRONOPLE!$F$14,$M600,BM$13)="",10^12,OFFSET(CRONOPLE!$F$14,$M600,BM$13))))</f>
        <v>0</v>
      </c>
      <c r="BN600" s="215">
        <f ca="1">IF($D600&lt;&gt;"Serviço",0,IF(AND(AUTOEVENTO="Manual",$M600=1),0,IF(OFFSET(CRONOPLE!$F$14,$M600,BN$13)="",10^12,OFFSET(CRONOPLE!$F$14,$M600,BN$13))))</f>
        <v>0</v>
      </c>
      <c r="BO600" s="215">
        <f ca="1">IF($D600&lt;&gt;"Serviço",0,IF(AND(AUTOEVENTO="Manual",$M600=1),0,IF(OFFSET(CRONOPLE!$F$14,$M600,BO$13)="",10^12,OFFSET(CRONOPLE!$F$14,$M600,BO$13))))</f>
        <v>0</v>
      </c>
      <c r="BP600" s="215">
        <f ca="1">IF($D600&lt;&gt;"Serviço",0,IF(AND(AUTOEVENTO="Manual",$M600=1),0,IF(OFFSET(CRONOPLE!$F$14,$M600,BP$13)="",10^12,OFFSET(CRONOPLE!$F$14,$M600,BP$13))))</f>
        <v>0</v>
      </c>
      <c r="BQ600" s="215">
        <f ca="1">IF($D600&lt;&gt;"Serviço",0,IF(AND(AUTOEVENTO="Manual",$M600=1),0,IF(OFFSET(CRONOPLE!$F$14,$M600,BQ$13)="",10^12,OFFSET(CRONOPLE!$F$14,$M600,BQ$13))))</f>
        <v>0</v>
      </c>
      <c r="BR600" s="215">
        <f ca="1">IF($D600&lt;&gt;"Serviço",0,IF(AND(AUTOEVENTO="Manual",$M600=1),0,IF(OFFSET(CRONOPLE!$F$14,$M600,BR$13)="",10^12,OFFSET(CRONOPLE!$F$14,$M600,BR$13))))</f>
        <v>0</v>
      </c>
      <c r="BS600" s="215">
        <f ca="1">IF($D600&lt;&gt;"Serviço",0,IF(AND(AUTOEVENTO="Manual",$M600=1),0,IF(OFFSET(CRONOPLE!$F$14,$M600,BS$13)="",10^12,OFFSET(CRONOPLE!$F$14,$M600,BS$13))))</f>
        <v>0</v>
      </c>
      <c r="BT600" s="215">
        <f ca="1">IF($D600&lt;&gt;"Serviço",0,IF(AND(AUTOEVENTO="Manual",$M600=1),0,IF(OFFSET(CRONOPLE!$F$14,$M600,BT$13)="",10^12,OFFSET(CRONOPLE!$F$14,$M600,BT$13))))</f>
        <v>0</v>
      </c>
      <c r="BV600" s="216">
        <f ca="1">IF($D600&lt;&gt;"Serviço",0,IF(OR(AND(AUTOEVENTO="Manual",$M600=1),$M600&gt;(ROW(PLE.lastrow)-ROW(PLE.firstrow))),0,IF(OFFSET(PLE!$G$14,$M600,BV$13)="",10^12,OFFSET(PLE!$G$14,$M600,BV$13))))</f>
        <v>0</v>
      </c>
      <c r="BW600" s="216">
        <f ca="1">IF($D600&lt;&gt;"Serviço",0,IF(OR(AND(AUTOEVENTO="Manual",$M600=1),$M600&gt;(ROW(PLE.lastrow)-ROW(PLE.firstrow))),0,IF(OFFSET(PLE!$G$14,$M600,BW$13)="",10^12,OFFSET(PLE!$G$14,$M600,BW$13))))</f>
        <v>0</v>
      </c>
      <c r="BX600" s="216">
        <f ca="1">IF($D600&lt;&gt;"Serviço",0,IF(OR(AND(AUTOEVENTO="Manual",$M600=1),$M600&gt;(ROW(PLE.lastrow)-ROW(PLE.firstrow))),0,IF(OFFSET(PLE!$G$14,$M600,BX$13)="",10^12,OFFSET(PLE!$G$14,$M600,BX$13))))</f>
        <v>0</v>
      </c>
      <c r="BY600" s="216">
        <f ca="1">IF($D600&lt;&gt;"Serviço",0,IF(OR(AND(AUTOEVENTO="Manual",$M600=1),$M600&gt;(ROW(PLE.lastrow)-ROW(PLE.firstrow))),0,IF(OFFSET(PLE!$G$14,$M600,BY$13)="",10^12,OFFSET(PLE!$G$14,$M600,BY$13))))</f>
        <v>0</v>
      </c>
      <c r="BZ600" s="216">
        <f ca="1">IF($D600&lt;&gt;"Serviço",0,IF(OR(AND(AUTOEVENTO="Manual",$M600=1),$M600&gt;(ROW(PLE.lastrow)-ROW(PLE.firstrow))),0,IF(OFFSET(PLE!$G$14,$M600,BZ$13)="",10^12,OFFSET(PLE!$G$14,$M600,BZ$13))))</f>
        <v>0</v>
      </c>
      <c r="CA600" s="216">
        <f ca="1">IF($D600&lt;&gt;"Serviço",0,IF(OR(AND(AUTOEVENTO="Manual",$M600=1),$M600&gt;(ROW(PLE.lastrow)-ROW(PLE.firstrow))),0,IF(OFFSET(PLE!$G$14,$M600,CA$13)="",10^12,OFFSET(PLE!$G$14,$M600,CA$13))))</f>
        <v>0</v>
      </c>
      <c r="CB600" s="216">
        <f ca="1">IF($D600&lt;&gt;"Serviço",0,IF(OR(AND(AUTOEVENTO="Manual",$M600=1),$M600&gt;(ROW(PLE.lastrow)-ROW(PLE.firstrow))),0,IF(OFFSET(PLE!$G$14,$M600,CB$13)="",10^12,OFFSET(PLE!$G$14,$M600,CB$13))))</f>
        <v>0</v>
      </c>
      <c r="CC600" s="216">
        <f ca="1">IF($D600&lt;&gt;"Serviço",0,IF(OR(AND(AUTOEVENTO="Manual",$M600=1),$M600&gt;(ROW(PLE.lastrow)-ROW(PLE.firstrow))),0,IF(OFFSET(PLE!$G$14,$M600,CC$13)="",10^12,OFFSET(PLE!$G$14,$M600,CC$13))))</f>
        <v>0</v>
      </c>
      <c r="CD600" s="216">
        <f ca="1">IF($D600&lt;&gt;"Serviço",0,IF(OR(AND(AUTOEVENTO="Manual",$M600=1),$M600&gt;(ROW(PLE.lastrow)-ROW(PLE.firstrow))),0,IF(OFFSET(PLE!$G$14,$M600,CD$13)="",10^12,OFFSET(PLE!$G$14,$M600,CD$13))))</f>
        <v>0</v>
      </c>
      <c r="CE600" s="216">
        <f ca="1">IF($D600&lt;&gt;"Serviço",0,IF(OR(AND(AUTOEVENTO="Manual",$M600=1),$M600&gt;(ROW(PLE.lastrow)-ROW(PLE.firstrow))),0,IF(OFFSET(PLE!$G$14,$M600,CE$13)="",10^12,OFFSET(PLE!$G$14,$M600,CE$13))))</f>
        <v>0</v>
      </c>
      <c r="CF600" s="216">
        <f ca="1">IF($D600&lt;&gt;"Serviço",0,IF(OR(AND(AUTOEVENTO="Manual",$M600=1),$M600&gt;(ROW(PLE.lastrow)-ROW(PLE.firstrow))),0,IF(OFFSET(PLE!$G$14,$M600,CF$13)="",10^12,OFFSET(PLE!$G$14,$M600,CF$13))))</f>
        <v>0</v>
      </c>
      <c r="CG600" s="216">
        <f ca="1">IF($D600&lt;&gt;"Serviço",0,IF(OR(AND(AUTOEVENTO="Manual",$M600=1),$M600&gt;(ROW(PLE.lastrow)-ROW(PLE.firstrow))),0,IF(OFFSET(PLE!$G$14,$M600,CG$13)="",10^12,OFFSET(PLE!$G$14,$M600,CG$13))))</f>
        <v>0</v>
      </c>
      <c r="CH600" s="216">
        <f ca="1">IF($D600&lt;&gt;"Serviço",0,IF(OR(AND(AUTOEVENTO="Manual",$M600=1),$M600&gt;(ROW(PLE.lastrow)-ROW(PLE.firstrow))),0,IF(OFFSET(PLE!$G$14,$M600,CH$13)="",10^12,OFFSET(PLE!$G$14,$M600,CH$13))))</f>
        <v>0</v>
      </c>
      <c r="CI600" s="216">
        <f ca="1">IF($D600&lt;&gt;"Serviço",0,IF(OR(AND(AUTOEVENTO="Manual",$M600=1),$M600&gt;(ROW(PLE.lastrow)-ROW(PLE.firstrow))),0,IF(OFFSET(PLE!$G$14,$M600,CI$13)="",10^12,OFFSET(PLE!$G$14,$M600,CI$13))))</f>
        <v>0</v>
      </c>
      <c r="CJ600" s="216">
        <f ca="1">IF($D600&lt;&gt;"Serviço",0,IF(OR(AND(AUTOEVENTO="Manual",$M600=1),$M600&gt;(ROW(PLE.lastrow)-ROW(PLE.firstrow))),0,IF(OFFSET(PLE!$G$14,$M600,CJ$13)="",10^12,OFFSET(PLE!$G$14,$M600,CJ$13))))</f>
        <v>0</v>
      </c>
      <c r="CK600" s="216">
        <f ca="1">IF($D600&lt;&gt;"Serviço",0,IF(OR(AND(AUTOEVENTO="Manual",$M600=1),$M600&gt;(ROW(PLE.lastrow)-ROW(PLE.firstrow))),0,IF(OFFSET(PLE!$G$14,$M600,CK$13)="",10^12,OFFSET(PLE!$G$14,$M600,CK$13))))</f>
        <v>0</v>
      </c>
      <c r="CL600" s="216">
        <f ca="1">IF($D600&lt;&gt;"Serviço",0,IF(OR(AND(AUTOEVENTO="Manual",$M600=1),$M600&gt;(ROW(PLE.lastrow)-ROW(PLE.firstrow))),0,IF(OFFSET(PLE!$G$14,$M600,CL$13)="",10^12,OFFSET(PLE!$G$14,$M600,CL$13))))</f>
        <v>0</v>
      </c>
      <c r="CM600" s="216">
        <f ca="1">IF($D600&lt;&gt;"Serviço",0,IF(OR(AND(AUTOEVENTO="Manual",$M600=1),$M600&gt;(ROW(PLE.lastrow)-ROW(PLE.firstrow))),0,IF(OFFSET(PLE!$G$14,$M600,CM$13)="",10^12,OFFSET(PLE!$G$14,$M600,CM$13))))</f>
        <v>0</v>
      </c>
    </row>
    <row r="601" spans="1:91" ht="13.2" x14ac:dyDescent="0.25">
      <c r="A601" s="9">
        <f t="shared" ca="1" si="18"/>
        <v>0</v>
      </c>
      <c r="B601" s="9" t="str">
        <f ca="1">OFFSET(ORÇAMENTO!C$15,ROW(B601)-ROW(B$15),0)</f>
        <v>S</v>
      </c>
      <c r="C601" s="9" t="str">
        <f ca="1">OFFSET(ORÇAMENTO!L$15,ROW(C601)-ROW(C$15),0)</f>
        <v/>
      </c>
      <c r="D601" s="145" t="str">
        <f ca="1">OFFSET(ORÇAMENTO!N$15,ROW(D601)-ROW(D$15),0)</f>
        <v>Serviço</v>
      </c>
      <c r="E601" s="205" t="str">
        <f ca="1">OFFSET(ORÇAMENTO!O$15,ROW(E601)-ROW(E$15),0)</f>
        <v>-</v>
      </c>
      <c r="F601" s="206" t="str">
        <f ca="1">OFFSET(ORÇAMENTO!R$15,ROW(F601)-ROW(F$15),0)</f>
        <v>(abra o arquivo 'Referência 05-2024.xls)</v>
      </c>
      <c r="G601" s="207" t="str">
        <f ca="1">IF($D601&lt;&gt;"Serviço","",OFFSET(ORÇAMENTO!S$15,ROW(G601)-ROW(G$15),0))</f>
        <v>-</v>
      </c>
      <c r="H601" s="151">
        <f ca="1">IF($D601&lt;&gt;"Serviço",0,IF(ACOMPANHAMENTO="BM",ROUND(OFFSET(ORÇAMENTO!AJ$15,ROW(H601)-ROW(H$15),0),15-13*ORÇAMENTO!$AF$7),SUMPRODUCT(($Q$12:$AI$12&lt;&gt;"")*ROUND($Q601:$AI601,15-13*ORÇAMENTO!$AF$7))))</f>
        <v>160</v>
      </c>
      <c r="I601" s="650"/>
      <c r="K601" s="208"/>
      <c r="L601" s="209" t="s">
        <v>257</v>
      </c>
      <c r="M601" s="210">
        <f ca="1">IF($D601&lt;&gt;"Serviço","",IF(AUTOEVENTO="manual",$A601,IF(ISERROR(MATCH($A601,$A$15:OFFSET($A601,-1,0),0)),MAX($M$15:OFFSET(M601,-1,0))+1,INDEX($M$15:OFFSET(M601,-1,0),MATCH($A601,$A$15:OFFSET($A601,-1,0),0)))))</f>
        <v>0</v>
      </c>
      <c r="N601" s="211" t="str">
        <f ca="1">IF($D601&lt;&gt;"Serviço","",IF(AUTOEVENTO="Manual",IF($A601=0,"&lt;-- defina o número do agrupador",OFFSET(EVENTOS!$D$14,$A601,0)),OFFSET($F$15,$A601,0)))</f>
        <v>&lt;-- defina o número do agrupador</v>
      </c>
      <c r="O601" s="212"/>
      <c r="Q601" s="212"/>
      <c r="R601" s="213"/>
      <c r="S601" s="213"/>
      <c r="T601" s="213"/>
      <c r="U601" s="213"/>
      <c r="V601" s="213"/>
      <c r="W601" s="213"/>
      <c r="X601" s="213"/>
      <c r="Y601" s="213"/>
      <c r="Z601" s="214"/>
      <c r="AA601" s="213"/>
      <c r="AB601" s="213"/>
      <c r="AC601" s="213"/>
      <c r="AD601" s="213"/>
      <c r="AE601" s="213"/>
      <c r="AF601" s="213"/>
      <c r="AG601" s="213"/>
      <c r="AH601" s="214"/>
      <c r="AJ601" s="631">
        <f ca="1">IF(AND($D601="Serviço",AJ$12&lt;&gt;0,$H601&gt;0,OR(AUTOEVENTO&lt;&gt;"manual",$M601&lt;&gt;1)),ROUND(OFFSET($P601,0,AJ$13),15-13*ORÇAMENTO!$AF$7)/$H601*OFFSET(ORÇAMENTO!$X$15,ROW(AJ601)-ROW(AJ$15),0),0)</f>
        <v>0</v>
      </c>
      <c r="AK601" s="632">
        <f ca="1">IF(AND($D601="Serviço",AK$12&lt;&gt;0,$H601&gt;0,OR(AUTOEVENTO&lt;&gt;"manual",$M601&lt;&gt;1)),ROUND(OFFSET($P601,0,AK$13),15-13*ORÇAMENTO!$AF$7)/$H601*OFFSET(ORÇAMENTO!$X$15,ROW(AK601)-ROW(AK$15),0),0)</f>
        <v>0</v>
      </c>
      <c r="AL601" s="632">
        <f ca="1">IF(AND($D601="Serviço",AL$12&lt;&gt;0,$H601&gt;0,OR(AUTOEVENTO&lt;&gt;"manual",$M601&lt;&gt;1)),ROUND(OFFSET($P601,0,AL$13),15-13*ORÇAMENTO!$AF$7)/$H601*OFFSET(ORÇAMENTO!$X$15,ROW(AL601)-ROW(AL$15),0),0)</f>
        <v>0</v>
      </c>
      <c r="AM601" s="632">
        <f ca="1">IF(AND($D601="Serviço",AM$12&lt;&gt;0,$H601&gt;0,OR(AUTOEVENTO&lt;&gt;"manual",$M601&lt;&gt;1)),ROUND(OFFSET($P601,0,AM$13),15-13*ORÇAMENTO!$AF$7)/$H601*OFFSET(ORÇAMENTO!$X$15,ROW(AM601)-ROW(AM$15),0),0)</f>
        <v>0</v>
      </c>
      <c r="AN601" s="632">
        <f ca="1">IF(AND($D601="Serviço",AN$12&lt;&gt;0,$H601&gt;0,OR(AUTOEVENTO&lt;&gt;"manual",$M601&lt;&gt;1)),ROUND(OFFSET($P601,0,AN$13),15-13*ORÇAMENTO!$AF$7)/$H601*OFFSET(ORÇAMENTO!$X$15,ROW(AN601)-ROW(AN$15),0),0)</f>
        <v>0</v>
      </c>
      <c r="AO601" s="632">
        <f ca="1">IF(AND($D601="Serviço",AO$12&lt;&gt;0,$H601&gt;0,OR(AUTOEVENTO&lt;&gt;"manual",$M601&lt;&gt;1)),ROUND(OFFSET($P601,0,AO$13),15-13*ORÇAMENTO!$AF$7)/$H601*OFFSET(ORÇAMENTO!$X$15,ROW(AO601)-ROW(AO$15),0),0)</f>
        <v>0</v>
      </c>
      <c r="AP601" s="632">
        <f ca="1">IF(AND($D601="Serviço",AP$12&lt;&gt;0,$H601&gt;0,OR(AUTOEVENTO&lt;&gt;"manual",$M601&lt;&gt;1)),ROUND(OFFSET($P601,0,AP$13),15-13*ORÇAMENTO!$AF$7)/$H601*OFFSET(ORÇAMENTO!$X$15,ROW(AP601)-ROW(AP$15),0),0)</f>
        <v>0</v>
      </c>
      <c r="AQ601" s="632">
        <f ca="1">IF(AND($D601="Serviço",AQ$12&lt;&gt;0,$H601&gt;0,OR(AUTOEVENTO&lt;&gt;"manual",$M601&lt;&gt;1)),ROUND(OFFSET($P601,0,AQ$13),15-13*ORÇAMENTO!$AF$7)/$H601*OFFSET(ORÇAMENTO!$X$15,ROW(AQ601)-ROW(AQ$15),0),0)</f>
        <v>0</v>
      </c>
      <c r="AR601" s="632">
        <f ca="1">IF(AND($D601="Serviço",AR$12&lt;&gt;0,$H601&gt;0,OR(AUTOEVENTO&lt;&gt;"manual",$M601&lt;&gt;1)),ROUND(OFFSET($P601,0,AR$13),15-13*ORÇAMENTO!$AF$7)/$H601*OFFSET(ORÇAMENTO!$X$15,ROW(AR601)-ROW(AR$15),0),0)</f>
        <v>0</v>
      </c>
      <c r="AS601" s="633">
        <f ca="1">IF(AND($D601="Serviço",AS$12&lt;&gt;0,$H601&gt;0,OR(AUTOEVENTO&lt;&gt;"manual",$M601&lt;&gt;1)),ROUND(OFFSET($P601,0,AS$13),15-13*ORÇAMENTO!$AF$7)/$H601*OFFSET(ORÇAMENTO!$X$15,ROW(AS601)-ROW(AS$15),0),0)</f>
        <v>0</v>
      </c>
      <c r="AT601" s="632">
        <f ca="1">IF(AND($D601="Serviço",AT$12&lt;&gt;0,$H601&gt;0,OR(AUTOEVENTO&lt;&gt;"manual",$M601&lt;&gt;1)),ROUND(OFFSET($P601,0,AT$13),15-13*ORÇAMENTO!$AF$7)/$H601*OFFSET(ORÇAMENTO!$X$15,ROW(AT601)-ROW(AT$15),0),0)</f>
        <v>0</v>
      </c>
      <c r="AU601" s="632">
        <f ca="1">IF(AND($D601="Serviço",AU$12&lt;&gt;0,$H601&gt;0,OR(AUTOEVENTO&lt;&gt;"manual",$M601&lt;&gt;1)),ROUND(OFFSET($P601,0,AU$13),15-13*ORÇAMENTO!$AF$7)/$H601*OFFSET(ORÇAMENTO!$X$15,ROW(AU601)-ROW(AU$15),0),0)</f>
        <v>0</v>
      </c>
      <c r="AV601" s="632">
        <f ca="1">IF(AND($D601="Serviço",AV$12&lt;&gt;0,$H601&gt;0,OR(AUTOEVENTO&lt;&gt;"manual",$M601&lt;&gt;1)),ROUND(OFFSET($P601,0,AV$13),15-13*ORÇAMENTO!$AF$7)/$H601*OFFSET(ORÇAMENTO!$X$15,ROW(AV601)-ROW(AV$15),0),0)</f>
        <v>0</v>
      </c>
      <c r="AW601" s="632">
        <f ca="1">IF(AND($D601="Serviço",AW$12&lt;&gt;0,$H601&gt;0,OR(AUTOEVENTO&lt;&gt;"manual",$M601&lt;&gt;1)),ROUND(OFFSET($P601,0,AW$13),15-13*ORÇAMENTO!$AF$7)/$H601*OFFSET(ORÇAMENTO!$X$15,ROW(AW601)-ROW(AW$15),0),0)</f>
        <v>0</v>
      </c>
      <c r="AX601" s="632">
        <f ca="1">IF(AND($D601="Serviço",AX$12&lt;&gt;0,$H601&gt;0,OR(AUTOEVENTO&lt;&gt;"manual",$M601&lt;&gt;1)),ROUND(OFFSET($P601,0,AX$13),15-13*ORÇAMENTO!$AF$7)/$H601*OFFSET(ORÇAMENTO!$X$15,ROW(AX601)-ROW(AX$15),0),0)</f>
        <v>0</v>
      </c>
      <c r="AY601" s="632">
        <f ca="1">IF(AND($D601="Serviço",AY$12&lt;&gt;0,$H601&gt;0,OR(AUTOEVENTO&lt;&gt;"manual",$M601&lt;&gt;1)),ROUND(OFFSET($P601,0,AY$13),15-13*ORÇAMENTO!$AF$7)/$H601*OFFSET(ORÇAMENTO!$X$15,ROW(AY601)-ROW(AY$15),0),0)</f>
        <v>0</v>
      </c>
      <c r="AZ601" s="632">
        <f ca="1">IF(AND($D601="Serviço",AZ$12&lt;&gt;0,$H601&gt;0,OR(AUTOEVENTO&lt;&gt;"manual",$M601&lt;&gt;1)),ROUND(OFFSET($P601,0,AZ$13),15-13*ORÇAMENTO!$AF$7)/$H601*OFFSET(ORÇAMENTO!$X$15,ROW(AZ601)-ROW(AZ$15),0),0)</f>
        <v>0</v>
      </c>
      <c r="BA601" s="633">
        <f ca="1">IF(AND($D601="Serviço",BA$12&lt;&gt;0,$H601&gt;0,OR(AUTOEVENTO&lt;&gt;"manual",$M601&lt;&gt;1)),ROUND(OFFSET($P601,0,BA$13),15-13*ORÇAMENTO!$AF$7)/$H601*OFFSET(ORÇAMENTO!$X$15,ROW(BA601)-ROW(BA$15),0),0)</f>
        <v>0</v>
      </c>
      <c r="BC601" s="215">
        <f ca="1">IF($D601&lt;&gt;"Serviço",0,IF(AND(AUTOEVENTO="Manual",$M601=1),0,IF(OFFSET(CRONOPLE!$F$14,$M601,BC$13)="",10^12,OFFSET(CRONOPLE!$F$14,$M601,BC$13))))</f>
        <v>1000000000000</v>
      </c>
      <c r="BD601" s="215">
        <f ca="1">IF($D601&lt;&gt;"Serviço",0,IF(AND(AUTOEVENTO="Manual",$M601=1),0,IF(OFFSET(CRONOPLE!$F$14,$M601,BD$13)="",10^12,OFFSET(CRONOPLE!$F$14,$M601,BD$13))))</f>
        <v>1000000000000</v>
      </c>
      <c r="BE601" s="215">
        <f ca="1">IF($D601&lt;&gt;"Serviço",0,IF(AND(AUTOEVENTO="Manual",$M601=1),0,IF(OFFSET(CRONOPLE!$F$14,$M601,BE$13)="",10^12,OFFSET(CRONOPLE!$F$14,$M601,BE$13))))</f>
        <v>1000000000000</v>
      </c>
      <c r="BF601" s="215">
        <f ca="1">IF($D601&lt;&gt;"Serviço",0,IF(AND(AUTOEVENTO="Manual",$M601=1),0,IF(OFFSET(CRONOPLE!$F$14,$M601,BF$13)="",10^12,OFFSET(CRONOPLE!$F$14,$M601,BF$13))))</f>
        <v>1000000000000</v>
      </c>
      <c r="BG601" s="215">
        <f ca="1">IF($D601&lt;&gt;"Serviço",0,IF(AND(AUTOEVENTO="Manual",$M601=1),0,IF(OFFSET(CRONOPLE!$F$14,$M601,BG$13)="",10^12,OFFSET(CRONOPLE!$F$14,$M601,BG$13))))</f>
        <v>1000000000000</v>
      </c>
      <c r="BH601" s="215">
        <f ca="1">IF($D601&lt;&gt;"Serviço",0,IF(AND(AUTOEVENTO="Manual",$M601=1),0,IF(OFFSET(CRONOPLE!$F$14,$M601,BH$13)="",10^12,OFFSET(CRONOPLE!$F$14,$M601,BH$13))))</f>
        <v>1000000000000</v>
      </c>
      <c r="BI601" s="215">
        <f ca="1">IF($D601&lt;&gt;"Serviço",0,IF(AND(AUTOEVENTO="Manual",$M601=1),0,IF(OFFSET(CRONOPLE!$F$14,$M601,BI$13)="",10^12,OFFSET(CRONOPLE!$F$14,$M601,BI$13))))</f>
        <v>1000000000000</v>
      </c>
      <c r="BJ601" s="215">
        <f ca="1">IF($D601&lt;&gt;"Serviço",0,IF(AND(AUTOEVENTO="Manual",$M601=1),0,IF(OFFSET(CRONOPLE!$F$14,$M601,BJ$13)="",10^12,OFFSET(CRONOPLE!$F$14,$M601,BJ$13))))</f>
        <v>1000000000000</v>
      </c>
      <c r="BK601" s="215">
        <f ca="1">IF($D601&lt;&gt;"Serviço",0,IF(AND(AUTOEVENTO="Manual",$M601=1),0,IF(OFFSET(CRONOPLE!$F$14,$M601,BK$13)="",10^12,OFFSET(CRONOPLE!$F$14,$M601,BK$13))))</f>
        <v>1000000000000</v>
      </c>
      <c r="BL601" s="215">
        <f ca="1">IF($D601&lt;&gt;"Serviço",0,IF(AND(AUTOEVENTO="Manual",$M601=1),0,IF(OFFSET(CRONOPLE!$F$14,$M601,BL$13)="",10^12,OFFSET(CRONOPLE!$F$14,$M601,BL$13))))</f>
        <v>1000000000000</v>
      </c>
      <c r="BM601" s="215">
        <f ca="1">IF($D601&lt;&gt;"Serviço",0,IF(AND(AUTOEVENTO="Manual",$M601=1),0,IF(OFFSET(CRONOPLE!$F$14,$M601,BM$13)="",10^12,OFFSET(CRONOPLE!$F$14,$M601,BM$13))))</f>
        <v>1000000000000</v>
      </c>
      <c r="BN601" s="215">
        <f ca="1">IF($D601&lt;&gt;"Serviço",0,IF(AND(AUTOEVENTO="Manual",$M601=1),0,IF(OFFSET(CRONOPLE!$F$14,$M601,BN$13)="",10^12,OFFSET(CRONOPLE!$F$14,$M601,BN$13))))</f>
        <v>1000000000000</v>
      </c>
      <c r="BO601" s="215">
        <f ca="1">IF($D601&lt;&gt;"Serviço",0,IF(AND(AUTOEVENTO="Manual",$M601=1),0,IF(OFFSET(CRONOPLE!$F$14,$M601,BO$13)="",10^12,OFFSET(CRONOPLE!$F$14,$M601,BO$13))))</f>
        <v>1000000000000</v>
      </c>
      <c r="BP601" s="215">
        <f ca="1">IF($D601&lt;&gt;"Serviço",0,IF(AND(AUTOEVENTO="Manual",$M601=1),0,IF(OFFSET(CRONOPLE!$F$14,$M601,BP$13)="",10^12,OFFSET(CRONOPLE!$F$14,$M601,BP$13))))</f>
        <v>1000000000000</v>
      </c>
      <c r="BQ601" s="215">
        <f ca="1">IF($D601&lt;&gt;"Serviço",0,IF(AND(AUTOEVENTO="Manual",$M601=1),0,IF(OFFSET(CRONOPLE!$F$14,$M601,BQ$13)="",10^12,OFFSET(CRONOPLE!$F$14,$M601,BQ$13))))</f>
        <v>1000000000000</v>
      </c>
      <c r="BR601" s="215">
        <f ca="1">IF($D601&lt;&gt;"Serviço",0,IF(AND(AUTOEVENTO="Manual",$M601=1),0,IF(OFFSET(CRONOPLE!$F$14,$M601,BR$13)="",10^12,OFFSET(CRONOPLE!$F$14,$M601,BR$13))))</f>
        <v>1000000000000</v>
      </c>
      <c r="BS601" s="215">
        <f ca="1">IF($D601&lt;&gt;"Serviço",0,IF(AND(AUTOEVENTO="Manual",$M601=1),0,IF(OFFSET(CRONOPLE!$F$14,$M601,BS$13)="",10^12,OFFSET(CRONOPLE!$F$14,$M601,BS$13))))</f>
        <v>1000000000000</v>
      </c>
      <c r="BT601" s="215">
        <f ca="1">IF($D601&lt;&gt;"Serviço",0,IF(AND(AUTOEVENTO="Manual",$M601=1),0,IF(OFFSET(CRONOPLE!$F$14,$M601,BT$13)="",10^12,OFFSET(CRONOPLE!$F$14,$M601,BT$13))))</f>
        <v>1000000000000</v>
      </c>
      <c r="BV601" s="216">
        <f ca="1">IF($D601&lt;&gt;"Serviço",0,IF(OR(AND(AUTOEVENTO="Manual",$M601=1),$M601&gt;(ROW(PLE.lastrow)-ROW(PLE.firstrow))),0,IF(OFFSET(PLE!$G$14,$M601,BV$13)="",10^12,OFFSET(PLE!$G$14,$M601,BV$13))))</f>
        <v>1000000000000</v>
      </c>
      <c r="BW601" s="216">
        <f ca="1">IF($D601&lt;&gt;"Serviço",0,IF(OR(AND(AUTOEVENTO="Manual",$M601=1),$M601&gt;(ROW(PLE.lastrow)-ROW(PLE.firstrow))),0,IF(OFFSET(PLE!$G$14,$M601,BW$13)="",10^12,OFFSET(PLE!$G$14,$M601,BW$13))))</f>
        <v>1000000000000</v>
      </c>
      <c r="BX601" s="216">
        <f ca="1">IF($D601&lt;&gt;"Serviço",0,IF(OR(AND(AUTOEVENTO="Manual",$M601=1),$M601&gt;(ROW(PLE.lastrow)-ROW(PLE.firstrow))),0,IF(OFFSET(PLE!$G$14,$M601,BX$13)="",10^12,OFFSET(PLE!$G$14,$M601,BX$13))))</f>
        <v>1000000000000</v>
      </c>
      <c r="BY601" s="216">
        <f ca="1">IF($D601&lt;&gt;"Serviço",0,IF(OR(AND(AUTOEVENTO="Manual",$M601=1),$M601&gt;(ROW(PLE.lastrow)-ROW(PLE.firstrow))),0,IF(OFFSET(PLE!$G$14,$M601,BY$13)="",10^12,OFFSET(PLE!$G$14,$M601,BY$13))))</f>
        <v>1000000000000</v>
      </c>
      <c r="BZ601" s="216">
        <f ca="1">IF($D601&lt;&gt;"Serviço",0,IF(OR(AND(AUTOEVENTO="Manual",$M601=1),$M601&gt;(ROW(PLE.lastrow)-ROW(PLE.firstrow))),0,IF(OFFSET(PLE!$G$14,$M601,BZ$13)="",10^12,OFFSET(PLE!$G$14,$M601,BZ$13))))</f>
        <v>1000000000000</v>
      </c>
      <c r="CA601" s="216">
        <f ca="1">IF($D601&lt;&gt;"Serviço",0,IF(OR(AND(AUTOEVENTO="Manual",$M601=1),$M601&gt;(ROW(PLE.lastrow)-ROW(PLE.firstrow))),0,IF(OFFSET(PLE!$G$14,$M601,CA$13)="",10^12,OFFSET(PLE!$G$14,$M601,CA$13))))</f>
        <v>1000000000000</v>
      </c>
      <c r="CB601" s="216">
        <f ca="1">IF($D601&lt;&gt;"Serviço",0,IF(OR(AND(AUTOEVENTO="Manual",$M601=1),$M601&gt;(ROW(PLE.lastrow)-ROW(PLE.firstrow))),0,IF(OFFSET(PLE!$G$14,$M601,CB$13)="",10^12,OFFSET(PLE!$G$14,$M601,CB$13))))</f>
        <v>1000000000000</v>
      </c>
      <c r="CC601" s="216">
        <f ca="1">IF($D601&lt;&gt;"Serviço",0,IF(OR(AND(AUTOEVENTO="Manual",$M601=1),$M601&gt;(ROW(PLE.lastrow)-ROW(PLE.firstrow))),0,IF(OFFSET(PLE!$G$14,$M601,CC$13)="",10^12,OFFSET(PLE!$G$14,$M601,CC$13))))</f>
        <v>1000000000000</v>
      </c>
      <c r="CD601" s="216">
        <f ca="1">IF($D601&lt;&gt;"Serviço",0,IF(OR(AND(AUTOEVENTO="Manual",$M601=1),$M601&gt;(ROW(PLE.lastrow)-ROW(PLE.firstrow))),0,IF(OFFSET(PLE!$G$14,$M601,CD$13)="",10^12,OFFSET(PLE!$G$14,$M601,CD$13))))</f>
        <v>1000000000000</v>
      </c>
      <c r="CE601" s="216">
        <f ca="1">IF($D601&lt;&gt;"Serviço",0,IF(OR(AND(AUTOEVENTO="Manual",$M601=1),$M601&gt;(ROW(PLE.lastrow)-ROW(PLE.firstrow))),0,IF(OFFSET(PLE!$G$14,$M601,CE$13)="",10^12,OFFSET(PLE!$G$14,$M601,CE$13))))</f>
        <v>1000000000000</v>
      </c>
      <c r="CF601" s="216">
        <f ca="1">IF($D601&lt;&gt;"Serviço",0,IF(OR(AND(AUTOEVENTO="Manual",$M601=1),$M601&gt;(ROW(PLE.lastrow)-ROW(PLE.firstrow))),0,IF(OFFSET(PLE!$G$14,$M601,CF$13)="",10^12,OFFSET(PLE!$G$14,$M601,CF$13))))</f>
        <v>1000000000000</v>
      </c>
      <c r="CG601" s="216">
        <f ca="1">IF($D601&lt;&gt;"Serviço",0,IF(OR(AND(AUTOEVENTO="Manual",$M601=1),$M601&gt;(ROW(PLE.lastrow)-ROW(PLE.firstrow))),0,IF(OFFSET(PLE!$G$14,$M601,CG$13)="",10^12,OFFSET(PLE!$G$14,$M601,CG$13))))</f>
        <v>1000000000000</v>
      </c>
      <c r="CH601" s="216">
        <f ca="1">IF($D601&lt;&gt;"Serviço",0,IF(OR(AND(AUTOEVENTO="Manual",$M601=1),$M601&gt;(ROW(PLE.lastrow)-ROW(PLE.firstrow))),0,IF(OFFSET(PLE!$G$14,$M601,CH$13)="",10^12,OFFSET(PLE!$G$14,$M601,CH$13))))</f>
        <v>1000000000000</v>
      </c>
      <c r="CI601" s="216">
        <f ca="1">IF($D601&lt;&gt;"Serviço",0,IF(OR(AND(AUTOEVENTO="Manual",$M601=1),$M601&gt;(ROW(PLE.lastrow)-ROW(PLE.firstrow))),0,IF(OFFSET(PLE!$G$14,$M601,CI$13)="",10^12,OFFSET(PLE!$G$14,$M601,CI$13))))</f>
        <v>1000000000000</v>
      </c>
      <c r="CJ601" s="216">
        <f ca="1">IF($D601&lt;&gt;"Serviço",0,IF(OR(AND(AUTOEVENTO="Manual",$M601=1),$M601&gt;(ROW(PLE.lastrow)-ROW(PLE.firstrow))),0,IF(OFFSET(PLE!$G$14,$M601,CJ$13)="",10^12,OFFSET(PLE!$G$14,$M601,CJ$13))))</f>
        <v>1000000000000</v>
      </c>
      <c r="CK601" s="216">
        <f ca="1">IF($D601&lt;&gt;"Serviço",0,IF(OR(AND(AUTOEVENTO="Manual",$M601=1),$M601&gt;(ROW(PLE.lastrow)-ROW(PLE.firstrow))),0,IF(OFFSET(PLE!$G$14,$M601,CK$13)="",10^12,OFFSET(PLE!$G$14,$M601,CK$13))))</f>
        <v>1000000000000</v>
      </c>
      <c r="CL601" s="216">
        <f ca="1">IF($D601&lt;&gt;"Serviço",0,IF(OR(AND(AUTOEVENTO="Manual",$M601=1),$M601&gt;(ROW(PLE.lastrow)-ROW(PLE.firstrow))),0,IF(OFFSET(PLE!$G$14,$M601,CL$13)="",10^12,OFFSET(PLE!$G$14,$M601,CL$13))))</f>
        <v>1000000000000</v>
      </c>
      <c r="CM601" s="216">
        <f ca="1">IF($D601&lt;&gt;"Serviço",0,IF(OR(AND(AUTOEVENTO="Manual",$M601=1),$M601&gt;(ROW(PLE.lastrow)-ROW(PLE.firstrow))),0,IF(OFFSET(PLE!$G$14,$M601,CM$13)="",10^12,OFFSET(PLE!$G$14,$M601,CM$13))))</f>
        <v>1000000000000</v>
      </c>
    </row>
    <row r="602" spans="1:91" ht="13.2" x14ac:dyDescent="0.25">
      <c r="A602" s="9">
        <f t="shared" ca="1" si="18"/>
        <v>0</v>
      </c>
      <c r="B602" s="9" t="str">
        <f ca="1">OFFSET(ORÇAMENTO!C$15,ROW(B602)-ROW(B$15),0)</f>
        <v>S</v>
      </c>
      <c r="C602" s="9" t="str">
        <f ca="1">OFFSET(ORÇAMENTO!L$15,ROW(C602)-ROW(C$15),0)</f>
        <v/>
      </c>
      <c r="D602" s="145" t="str">
        <f ca="1">OFFSET(ORÇAMENTO!N$15,ROW(D602)-ROW(D$15),0)</f>
        <v>Serviço</v>
      </c>
      <c r="E602" s="205" t="str">
        <f ca="1">OFFSET(ORÇAMENTO!O$15,ROW(E602)-ROW(E$15),0)</f>
        <v>-</v>
      </c>
      <c r="F602" s="206" t="str">
        <f ca="1">OFFSET(ORÇAMENTO!R$15,ROW(F602)-ROW(F$15),0)</f>
        <v>(abra o arquivo 'Referência 05-2024.xls)</v>
      </c>
      <c r="G602" s="207" t="str">
        <f ca="1">IF($D602&lt;&gt;"Serviço","",OFFSET(ORÇAMENTO!S$15,ROW(G602)-ROW(G$15),0))</f>
        <v>-</v>
      </c>
      <c r="H602" s="151">
        <f ca="1">IF($D602&lt;&gt;"Serviço",0,IF(ACOMPANHAMENTO="BM",ROUND(OFFSET(ORÇAMENTO!AJ$15,ROW(H602)-ROW(H$15),0),15-13*ORÇAMENTO!$AF$7),SUMPRODUCT(($Q$12:$AI$12&lt;&gt;"")*ROUND($Q602:$AI602,15-13*ORÇAMENTO!$AF$7))))</f>
        <v>28</v>
      </c>
      <c r="I602" s="650"/>
      <c r="K602" s="208"/>
      <c r="L602" s="209" t="s">
        <v>257</v>
      </c>
      <c r="M602" s="210">
        <f ca="1">IF($D602&lt;&gt;"Serviço","",IF(AUTOEVENTO="manual",$A602,IF(ISERROR(MATCH($A602,$A$15:OFFSET($A602,-1,0),0)),MAX($M$15:OFFSET(M602,-1,0))+1,INDEX($M$15:OFFSET(M602,-1,0),MATCH($A602,$A$15:OFFSET($A602,-1,0),0)))))</f>
        <v>0</v>
      </c>
      <c r="N602" s="211" t="str">
        <f ca="1">IF($D602&lt;&gt;"Serviço","",IF(AUTOEVENTO="Manual",IF($A602=0,"&lt;-- defina o número do agrupador",OFFSET(EVENTOS!$D$14,$A602,0)),OFFSET($F$15,$A602,0)))</f>
        <v>&lt;-- defina o número do agrupador</v>
      </c>
      <c r="O602" s="212"/>
      <c r="Q602" s="212"/>
      <c r="R602" s="213"/>
      <c r="S602" s="213"/>
      <c r="T602" s="213"/>
      <c r="U602" s="213"/>
      <c r="V602" s="213"/>
      <c r="W602" s="213"/>
      <c r="X602" s="213"/>
      <c r="Y602" s="213"/>
      <c r="Z602" s="214"/>
      <c r="AA602" s="213"/>
      <c r="AB602" s="213"/>
      <c r="AC602" s="213"/>
      <c r="AD602" s="213"/>
      <c r="AE602" s="213"/>
      <c r="AF602" s="213"/>
      <c r="AG602" s="213"/>
      <c r="AH602" s="214"/>
      <c r="AJ602" s="631">
        <f ca="1">IF(AND($D602="Serviço",AJ$12&lt;&gt;0,$H602&gt;0,OR(AUTOEVENTO&lt;&gt;"manual",$M602&lt;&gt;1)),ROUND(OFFSET($P602,0,AJ$13),15-13*ORÇAMENTO!$AF$7)/$H602*OFFSET(ORÇAMENTO!$X$15,ROW(AJ602)-ROW(AJ$15),0),0)</f>
        <v>0</v>
      </c>
      <c r="AK602" s="632">
        <f ca="1">IF(AND($D602="Serviço",AK$12&lt;&gt;0,$H602&gt;0,OR(AUTOEVENTO&lt;&gt;"manual",$M602&lt;&gt;1)),ROUND(OFFSET($P602,0,AK$13),15-13*ORÇAMENTO!$AF$7)/$H602*OFFSET(ORÇAMENTO!$X$15,ROW(AK602)-ROW(AK$15),0),0)</f>
        <v>0</v>
      </c>
      <c r="AL602" s="632">
        <f ca="1">IF(AND($D602="Serviço",AL$12&lt;&gt;0,$H602&gt;0,OR(AUTOEVENTO&lt;&gt;"manual",$M602&lt;&gt;1)),ROUND(OFFSET($P602,0,AL$13),15-13*ORÇAMENTO!$AF$7)/$H602*OFFSET(ORÇAMENTO!$X$15,ROW(AL602)-ROW(AL$15),0),0)</f>
        <v>0</v>
      </c>
      <c r="AM602" s="632">
        <f ca="1">IF(AND($D602="Serviço",AM$12&lt;&gt;0,$H602&gt;0,OR(AUTOEVENTO&lt;&gt;"manual",$M602&lt;&gt;1)),ROUND(OFFSET($P602,0,AM$13),15-13*ORÇAMENTO!$AF$7)/$H602*OFFSET(ORÇAMENTO!$X$15,ROW(AM602)-ROW(AM$15),0),0)</f>
        <v>0</v>
      </c>
      <c r="AN602" s="632">
        <f ca="1">IF(AND($D602="Serviço",AN$12&lt;&gt;0,$H602&gt;0,OR(AUTOEVENTO&lt;&gt;"manual",$M602&lt;&gt;1)),ROUND(OFFSET($P602,0,AN$13),15-13*ORÇAMENTO!$AF$7)/$H602*OFFSET(ORÇAMENTO!$X$15,ROW(AN602)-ROW(AN$15),0),0)</f>
        <v>0</v>
      </c>
      <c r="AO602" s="632">
        <f ca="1">IF(AND($D602="Serviço",AO$12&lt;&gt;0,$H602&gt;0,OR(AUTOEVENTO&lt;&gt;"manual",$M602&lt;&gt;1)),ROUND(OFFSET($P602,0,AO$13),15-13*ORÇAMENTO!$AF$7)/$H602*OFFSET(ORÇAMENTO!$X$15,ROW(AO602)-ROW(AO$15),0),0)</f>
        <v>0</v>
      </c>
      <c r="AP602" s="632">
        <f ca="1">IF(AND($D602="Serviço",AP$12&lt;&gt;0,$H602&gt;0,OR(AUTOEVENTO&lt;&gt;"manual",$M602&lt;&gt;1)),ROUND(OFFSET($P602,0,AP$13),15-13*ORÇAMENTO!$AF$7)/$H602*OFFSET(ORÇAMENTO!$X$15,ROW(AP602)-ROW(AP$15),0),0)</f>
        <v>0</v>
      </c>
      <c r="AQ602" s="632">
        <f ca="1">IF(AND($D602="Serviço",AQ$12&lt;&gt;0,$H602&gt;0,OR(AUTOEVENTO&lt;&gt;"manual",$M602&lt;&gt;1)),ROUND(OFFSET($P602,0,AQ$13),15-13*ORÇAMENTO!$AF$7)/$H602*OFFSET(ORÇAMENTO!$X$15,ROW(AQ602)-ROW(AQ$15),0),0)</f>
        <v>0</v>
      </c>
      <c r="AR602" s="632">
        <f ca="1">IF(AND($D602="Serviço",AR$12&lt;&gt;0,$H602&gt;0,OR(AUTOEVENTO&lt;&gt;"manual",$M602&lt;&gt;1)),ROUND(OFFSET($P602,0,AR$13),15-13*ORÇAMENTO!$AF$7)/$H602*OFFSET(ORÇAMENTO!$X$15,ROW(AR602)-ROW(AR$15),0),0)</f>
        <v>0</v>
      </c>
      <c r="AS602" s="633">
        <f ca="1">IF(AND($D602="Serviço",AS$12&lt;&gt;0,$H602&gt;0,OR(AUTOEVENTO&lt;&gt;"manual",$M602&lt;&gt;1)),ROUND(OFFSET($P602,0,AS$13),15-13*ORÇAMENTO!$AF$7)/$H602*OFFSET(ORÇAMENTO!$X$15,ROW(AS602)-ROW(AS$15),0),0)</f>
        <v>0</v>
      </c>
      <c r="AT602" s="632">
        <f ca="1">IF(AND($D602="Serviço",AT$12&lt;&gt;0,$H602&gt;0,OR(AUTOEVENTO&lt;&gt;"manual",$M602&lt;&gt;1)),ROUND(OFFSET($P602,0,AT$13),15-13*ORÇAMENTO!$AF$7)/$H602*OFFSET(ORÇAMENTO!$X$15,ROW(AT602)-ROW(AT$15),0),0)</f>
        <v>0</v>
      </c>
      <c r="AU602" s="632">
        <f ca="1">IF(AND($D602="Serviço",AU$12&lt;&gt;0,$H602&gt;0,OR(AUTOEVENTO&lt;&gt;"manual",$M602&lt;&gt;1)),ROUND(OFFSET($P602,0,AU$13),15-13*ORÇAMENTO!$AF$7)/$H602*OFFSET(ORÇAMENTO!$X$15,ROW(AU602)-ROW(AU$15),0),0)</f>
        <v>0</v>
      </c>
      <c r="AV602" s="632">
        <f ca="1">IF(AND($D602="Serviço",AV$12&lt;&gt;0,$H602&gt;0,OR(AUTOEVENTO&lt;&gt;"manual",$M602&lt;&gt;1)),ROUND(OFFSET($P602,0,AV$13),15-13*ORÇAMENTO!$AF$7)/$H602*OFFSET(ORÇAMENTO!$X$15,ROW(AV602)-ROW(AV$15),0),0)</f>
        <v>0</v>
      </c>
      <c r="AW602" s="632">
        <f ca="1">IF(AND($D602="Serviço",AW$12&lt;&gt;0,$H602&gt;0,OR(AUTOEVENTO&lt;&gt;"manual",$M602&lt;&gt;1)),ROUND(OFFSET($P602,0,AW$13),15-13*ORÇAMENTO!$AF$7)/$H602*OFFSET(ORÇAMENTO!$X$15,ROW(AW602)-ROW(AW$15),0),0)</f>
        <v>0</v>
      </c>
      <c r="AX602" s="632">
        <f ca="1">IF(AND($D602="Serviço",AX$12&lt;&gt;0,$H602&gt;0,OR(AUTOEVENTO&lt;&gt;"manual",$M602&lt;&gt;1)),ROUND(OFFSET($P602,0,AX$13),15-13*ORÇAMENTO!$AF$7)/$H602*OFFSET(ORÇAMENTO!$X$15,ROW(AX602)-ROW(AX$15),0),0)</f>
        <v>0</v>
      </c>
      <c r="AY602" s="632">
        <f ca="1">IF(AND($D602="Serviço",AY$12&lt;&gt;0,$H602&gt;0,OR(AUTOEVENTO&lt;&gt;"manual",$M602&lt;&gt;1)),ROUND(OFFSET($P602,0,AY$13),15-13*ORÇAMENTO!$AF$7)/$H602*OFFSET(ORÇAMENTO!$X$15,ROW(AY602)-ROW(AY$15),0),0)</f>
        <v>0</v>
      </c>
      <c r="AZ602" s="632">
        <f ca="1">IF(AND($D602="Serviço",AZ$12&lt;&gt;0,$H602&gt;0,OR(AUTOEVENTO&lt;&gt;"manual",$M602&lt;&gt;1)),ROUND(OFFSET($P602,0,AZ$13),15-13*ORÇAMENTO!$AF$7)/$H602*OFFSET(ORÇAMENTO!$X$15,ROW(AZ602)-ROW(AZ$15),0),0)</f>
        <v>0</v>
      </c>
      <c r="BA602" s="633">
        <f ca="1">IF(AND($D602="Serviço",BA$12&lt;&gt;0,$H602&gt;0,OR(AUTOEVENTO&lt;&gt;"manual",$M602&lt;&gt;1)),ROUND(OFFSET($P602,0,BA$13),15-13*ORÇAMENTO!$AF$7)/$H602*OFFSET(ORÇAMENTO!$X$15,ROW(BA602)-ROW(BA$15),0),0)</f>
        <v>0</v>
      </c>
      <c r="BC602" s="215">
        <f ca="1">IF($D602&lt;&gt;"Serviço",0,IF(AND(AUTOEVENTO="Manual",$M602=1),0,IF(OFFSET(CRONOPLE!$F$14,$M602,BC$13)="",10^12,OFFSET(CRONOPLE!$F$14,$M602,BC$13))))</f>
        <v>1000000000000</v>
      </c>
      <c r="BD602" s="215">
        <f ca="1">IF($D602&lt;&gt;"Serviço",0,IF(AND(AUTOEVENTO="Manual",$M602=1),0,IF(OFFSET(CRONOPLE!$F$14,$M602,BD$13)="",10^12,OFFSET(CRONOPLE!$F$14,$M602,BD$13))))</f>
        <v>1000000000000</v>
      </c>
      <c r="BE602" s="215">
        <f ca="1">IF($D602&lt;&gt;"Serviço",0,IF(AND(AUTOEVENTO="Manual",$M602=1),0,IF(OFFSET(CRONOPLE!$F$14,$M602,BE$13)="",10^12,OFFSET(CRONOPLE!$F$14,$M602,BE$13))))</f>
        <v>1000000000000</v>
      </c>
      <c r="BF602" s="215">
        <f ca="1">IF($D602&lt;&gt;"Serviço",0,IF(AND(AUTOEVENTO="Manual",$M602=1),0,IF(OFFSET(CRONOPLE!$F$14,$M602,BF$13)="",10^12,OFFSET(CRONOPLE!$F$14,$M602,BF$13))))</f>
        <v>1000000000000</v>
      </c>
      <c r="BG602" s="215">
        <f ca="1">IF($D602&lt;&gt;"Serviço",0,IF(AND(AUTOEVENTO="Manual",$M602=1),0,IF(OFFSET(CRONOPLE!$F$14,$M602,BG$13)="",10^12,OFFSET(CRONOPLE!$F$14,$M602,BG$13))))</f>
        <v>1000000000000</v>
      </c>
      <c r="BH602" s="215">
        <f ca="1">IF($D602&lt;&gt;"Serviço",0,IF(AND(AUTOEVENTO="Manual",$M602=1),0,IF(OFFSET(CRONOPLE!$F$14,$M602,BH$13)="",10^12,OFFSET(CRONOPLE!$F$14,$M602,BH$13))))</f>
        <v>1000000000000</v>
      </c>
      <c r="BI602" s="215">
        <f ca="1">IF($D602&lt;&gt;"Serviço",0,IF(AND(AUTOEVENTO="Manual",$M602=1),0,IF(OFFSET(CRONOPLE!$F$14,$M602,BI$13)="",10^12,OFFSET(CRONOPLE!$F$14,$M602,BI$13))))</f>
        <v>1000000000000</v>
      </c>
      <c r="BJ602" s="215">
        <f ca="1">IF($D602&lt;&gt;"Serviço",0,IF(AND(AUTOEVENTO="Manual",$M602=1),0,IF(OFFSET(CRONOPLE!$F$14,$M602,BJ$13)="",10^12,OFFSET(CRONOPLE!$F$14,$M602,BJ$13))))</f>
        <v>1000000000000</v>
      </c>
      <c r="BK602" s="215">
        <f ca="1">IF($D602&lt;&gt;"Serviço",0,IF(AND(AUTOEVENTO="Manual",$M602=1),0,IF(OFFSET(CRONOPLE!$F$14,$M602,BK$13)="",10^12,OFFSET(CRONOPLE!$F$14,$M602,BK$13))))</f>
        <v>1000000000000</v>
      </c>
      <c r="BL602" s="215">
        <f ca="1">IF($D602&lt;&gt;"Serviço",0,IF(AND(AUTOEVENTO="Manual",$M602=1),0,IF(OFFSET(CRONOPLE!$F$14,$M602,BL$13)="",10^12,OFFSET(CRONOPLE!$F$14,$M602,BL$13))))</f>
        <v>1000000000000</v>
      </c>
      <c r="BM602" s="215">
        <f ca="1">IF($D602&lt;&gt;"Serviço",0,IF(AND(AUTOEVENTO="Manual",$M602=1),0,IF(OFFSET(CRONOPLE!$F$14,$M602,BM$13)="",10^12,OFFSET(CRONOPLE!$F$14,$M602,BM$13))))</f>
        <v>1000000000000</v>
      </c>
      <c r="BN602" s="215">
        <f ca="1">IF($D602&lt;&gt;"Serviço",0,IF(AND(AUTOEVENTO="Manual",$M602=1),0,IF(OFFSET(CRONOPLE!$F$14,$M602,BN$13)="",10^12,OFFSET(CRONOPLE!$F$14,$M602,BN$13))))</f>
        <v>1000000000000</v>
      </c>
      <c r="BO602" s="215">
        <f ca="1">IF($D602&lt;&gt;"Serviço",0,IF(AND(AUTOEVENTO="Manual",$M602=1),0,IF(OFFSET(CRONOPLE!$F$14,$M602,BO$13)="",10^12,OFFSET(CRONOPLE!$F$14,$M602,BO$13))))</f>
        <v>1000000000000</v>
      </c>
      <c r="BP602" s="215">
        <f ca="1">IF($D602&lt;&gt;"Serviço",0,IF(AND(AUTOEVENTO="Manual",$M602=1),0,IF(OFFSET(CRONOPLE!$F$14,$M602,BP$13)="",10^12,OFFSET(CRONOPLE!$F$14,$M602,BP$13))))</f>
        <v>1000000000000</v>
      </c>
      <c r="BQ602" s="215">
        <f ca="1">IF($D602&lt;&gt;"Serviço",0,IF(AND(AUTOEVENTO="Manual",$M602=1),0,IF(OFFSET(CRONOPLE!$F$14,$M602,BQ$13)="",10^12,OFFSET(CRONOPLE!$F$14,$M602,BQ$13))))</f>
        <v>1000000000000</v>
      </c>
      <c r="BR602" s="215">
        <f ca="1">IF($D602&lt;&gt;"Serviço",0,IF(AND(AUTOEVENTO="Manual",$M602=1),0,IF(OFFSET(CRONOPLE!$F$14,$M602,BR$13)="",10^12,OFFSET(CRONOPLE!$F$14,$M602,BR$13))))</f>
        <v>1000000000000</v>
      </c>
      <c r="BS602" s="215">
        <f ca="1">IF($D602&lt;&gt;"Serviço",0,IF(AND(AUTOEVENTO="Manual",$M602=1),0,IF(OFFSET(CRONOPLE!$F$14,$M602,BS$13)="",10^12,OFFSET(CRONOPLE!$F$14,$M602,BS$13))))</f>
        <v>1000000000000</v>
      </c>
      <c r="BT602" s="215">
        <f ca="1">IF($D602&lt;&gt;"Serviço",0,IF(AND(AUTOEVENTO="Manual",$M602=1),0,IF(OFFSET(CRONOPLE!$F$14,$M602,BT$13)="",10^12,OFFSET(CRONOPLE!$F$14,$M602,BT$13))))</f>
        <v>1000000000000</v>
      </c>
      <c r="BV602" s="216">
        <f ca="1">IF($D602&lt;&gt;"Serviço",0,IF(OR(AND(AUTOEVENTO="Manual",$M602=1),$M602&gt;(ROW(PLE.lastrow)-ROW(PLE.firstrow))),0,IF(OFFSET(PLE!$G$14,$M602,BV$13)="",10^12,OFFSET(PLE!$G$14,$M602,BV$13))))</f>
        <v>1000000000000</v>
      </c>
      <c r="BW602" s="216">
        <f ca="1">IF($D602&lt;&gt;"Serviço",0,IF(OR(AND(AUTOEVENTO="Manual",$M602=1),$M602&gt;(ROW(PLE.lastrow)-ROW(PLE.firstrow))),0,IF(OFFSET(PLE!$G$14,$M602,BW$13)="",10^12,OFFSET(PLE!$G$14,$M602,BW$13))))</f>
        <v>1000000000000</v>
      </c>
      <c r="BX602" s="216">
        <f ca="1">IF($D602&lt;&gt;"Serviço",0,IF(OR(AND(AUTOEVENTO="Manual",$M602=1),$M602&gt;(ROW(PLE.lastrow)-ROW(PLE.firstrow))),0,IF(OFFSET(PLE!$G$14,$M602,BX$13)="",10^12,OFFSET(PLE!$G$14,$M602,BX$13))))</f>
        <v>1000000000000</v>
      </c>
      <c r="BY602" s="216">
        <f ca="1">IF($D602&lt;&gt;"Serviço",0,IF(OR(AND(AUTOEVENTO="Manual",$M602=1),$M602&gt;(ROW(PLE.lastrow)-ROW(PLE.firstrow))),0,IF(OFFSET(PLE!$G$14,$M602,BY$13)="",10^12,OFFSET(PLE!$G$14,$M602,BY$13))))</f>
        <v>1000000000000</v>
      </c>
      <c r="BZ602" s="216">
        <f ca="1">IF($D602&lt;&gt;"Serviço",0,IF(OR(AND(AUTOEVENTO="Manual",$M602=1),$M602&gt;(ROW(PLE.lastrow)-ROW(PLE.firstrow))),0,IF(OFFSET(PLE!$G$14,$M602,BZ$13)="",10^12,OFFSET(PLE!$G$14,$M602,BZ$13))))</f>
        <v>1000000000000</v>
      </c>
      <c r="CA602" s="216">
        <f ca="1">IF($D602&lt;&gt;"Serviço",0,IF(OR(AND(AUTOEVENTO="Manual",$M602=1),$M602&gt;(ROW(PLE.lastrow)-ROW(PLE.firstrow))),0,IF(OFFSET(PLE!$G$14,$M602,CA$13)="",10^12,OFFSET(PLE!$G$14,$M602,CA$13))))</f>
        <v>1000000000000</v>
      </c>
      <c r="CB602" s="216">
        <f ca="1">IF($D602&lt;&gt;"Serviço",0,IF(OR(AND(AUTOEVENTO="Manual",$M602=1),$M602&gt;(ROW(PLE.lastrow)-ROW(PLE.firstrow))),0,IF(OFFSET(PLE!$G$14,$M602,CB$13)="",10^12,OFFSET(PLE!$G$14,$M602,CB$13))))</f>
        <v>1000000000000</v>
      </c>
      <c r="CC602" s="216">
        <f ca="1">IF($D602&lt;&gt;"Serviço",0,IF(OR(AND(AUTOEVENTO="Manual",$M602=1),$M602&gt;(ROW(PLE.lastrow)-ROW(PLE.firstrow))),0,IF(OFFSET(PLE!$G$14,$M602,CC$13)="",10^12,OFFSET(PLE!$G$14,$M602,CC$13))))</f>
        <v>1000000000000</v>
      </c>
      <c r="CD602" s="216">
        <f ca="1">IF($D602&lt;&gt;"Serviço",0,IF(OR(AND(AUTOEVENTO="Manual",$M602=1),$M602&gt;(ROW(PLE.lastrow)-ROW(PLE.firstrow))),0,IF(OFFSET(PLE!$G$14,$M602,CD$13)="",10^12,OFFSET(PLE!$G$14,$M602,CD$13))))</f>
        <v>1000000000000</v>
      </c>
      <c r="CE602" s="216">
        <f ca="1">IF($D602&lt;&gt;"Serviço",0,IF(OR(AND(AUTOEVENTO="Manual",$M602=1),$M602&gt;(ROW(PLE.lastrow)-ROW(PLE.firstrow))),0,IF(OFFSET(PLE!$G$14,$M602,CE$13)="",10^12,OFFSET(PLE!$G$14,$M602,CE$13))))</f>
        <v>1000000000000</v>
      </c>
      <c r="CF602" s="216">
        <f ca="1">IF($D602&lt;&gt;"Serviço",0,IF(OR(AND(AUTOEVENTO="Manual",$M602=1),$M602&gt;(ROW(PLE.lastrow)-ROW(PLE.firstrow))),0,IF(OFFSET(PLE!$G$14,$M602,CF$13)="",10^12,OFFSET(PLE!$G$14,$M602,CF$13))))</f>
        <v>1000000000000</v>
      </c>
      <c r="CG602" s="216">
        <f ca="1">IF($D602&lt;&gt;"Serviço",0,IF(OR(AND(AUTOEVENTO="Manual",$M602=1),$M602&gt;(ROW(PLE.lastrow)-ROW(PLE.firstrow))),0,IF(OFFSET(PLE!$G$14,$M602,CG$13)="",10^12,OFFSET(PLE!$G$14,$M602,CG$13))))</f>
        <v>1000000000000</v>
      </c>
      <c r="CH602" s="216">
        <f ca="1">IF($D602&lt;&gt;"Serviço",0,IF(OR(AND(AUTOEVENTO="Manual",$M602=1),$M602&gt;(ROW(PLE.lastrow)-ROW(PLE.firstrow))),0,IF(OFFSET(PLE!$G$14,$M602,CH$13)="",10^12,OFFSET(PLE!$G$14,$M602,CH$13))))</f>
        <v>1000000000000</v>
      </c>
      <c r="CI602" s="216">
        <f ca="1">IF($D602&lt;&gt;"Serviço",0,IF(OR(AND(AUTOEVENTO="Manual",$M602=1),$M602&gt;(ROW(PLE.lastrow)-ROW(PLE.firstrow))),0,IF(OFFSET(PLE!$G$14,$M602,CI$13)="",10^12,OFFSET(PLE!$G$14,$M602,CI$13))))</f>
        <v>1000000000000</v>
      </c>
      <c r="CJ602" s="216">
        <f ca="1">IF($D602&lt;&gt;"Serviço",0,IF(OR(AND(AUTOEVENTO="Manual",$M602=1),$M602&gt;(ROW(PLE.lastrow)-ROW(PLE.firstrow))),0,IF(OFFSET(PLE!$G$14,$M602,CJ$13)="",10^12,OFFSET(PLE!$G$14,$M602,CJ$13))))</f>
        <v>1000000000000</v>
      </c>
      <c r="CK602" s="216">
        <f ca="1">IF($D602&lt;&gt;"Serviço",0,IF(OR(AND(AUTOEVENTO="Manual",$M602=1),$M602&gt;(ROW(PLE.lastrow)-ROW(PLE.firstrow))),0,IF(OFFSET(PLE!$G$14,$M602,CK$13)="",10^12,OFFSET(PLE!$G$14,$M602,CK$13))))</f>
        <v>1000000000000</v>
      </c>
      <c r="CL602" s="216">
        <f ca="1">IF($D602&lt;&gt;"Serviço",0,IF(OR(AND(AUTOEVENTO="Manual",$M602=1),$M602&gt;(ROW(PLE.lastrow)-ROW(PLE.firstrow))),0,IF(OFFSET(PLE!$G$14,$M602,CL$13)="",10^12,OFFSET(PLE!$G$14,$M602,CL$13))))</f>
        <v>1000000000000</v>
      </c>
      <c r="CM602" s="216">
        <f ca="1">IF($D602&lt;&gt;"Serviço",0,IF(OR(AND(AUTOEVENTO="Manual",$M602=1),$M602&gt;(ROW(PLE.lastrow)-ROW(PLE.firstrow))),0,IF(OFFSET(PLE!$G$14,$M602,CM$13)="",10^12,OFFSET(PLE!$G$14,$M602,CM$13))))</f>
        <v>1000000000000</v>
      </c>
    </row>
    <row r="603" spans="1:91" ht="13.2" x14ac:dyDescent="0.25">
      <c r="A603" s="9">
        <f t="shared" ca="1" si="18"/>
        <v>0</v>
      </c>
      <c r="B603" s="9" t="str">
        <f ca="1">OFFSET(ORÇAMENTO!C$15,ROW(B603)-ROW(B$15),0)</f>
        <v>S</v>
      </c>
      <c r="C603" s="9" t="str">
        <f ca="1">OFFSET(ORÇAMENTO!L$15,ROW(C603)-ROW(C$15),0)</f>
        <v/>
      </c>
      <c r="D603" s="145" t="str">
        <f ca="1">OFFSET(ORÇAMENTO!N$15,ROW(D603)-ROW(D$15),0)</f>
        <v>Serviço</v>
      </c>
      <c r="E603" s="205" t="str">
        <f ca="1">OFFSET(ORÇAMENTO!O$15,ROW(E603)-ROW(E$15),0)</f>
        <v>-</v>
      </c>
      <c r="F603" s="206" t="str">
        <f ca="1">OFFSET(ORÇAMENTO!R$15,ROW(F603)-ROW(F$15),0)</f>
        <v>(abra o arquivo 'Referência 05-2024.xls)</v>
      </c>
      <c r="G603" s="207" t="str">
        <f ca="1">IF($D603&lt;&gt;"Serviço","",OFFSET(ORÇAMENTO!S$15,ROW(G603)-ROW(G$15),0))</f>
        <v>-</v>
      </c>
      <c r="H603" s="151">
        <f ca="1">IF($D603&lt;&gt;"Serviço",0,IF(ACOMPANHAMENTO="BM",ROUND(OFFSET(ORÇAMENTO!AJ$15,ROW(H603)-ROW(H$15),0),15-13*ORÇAMENTO!$AF$7),SUMPRODUCT(($Q$12:$AI$12&lt;&gt;"")*ROUND($Q603:$AI603,15-13*ORÇAMENTO!$AF$7))))</f>
        <v>5</v>
      </c>
      <c r="I603" s="650"/>
      <c r="K603" s="208"/>
      <c r="L603" s="209" t="s">
        <v>257</v>
      </c>
      <c r="M603" s="210">
        <f ca="1">IF($D603&lt;&gt;"Serviço","",IF(AUTOEVENTO="manual",$A603,IF(ISERROR(MATCH($A603,$A$15:OFFSET($A603,-1,0),0)),MAX($M$15:OFFSET(M603,-1,0))+1,INDEX($M$15:OFFSET(M603,-1,0),MATCH($A603,$A$15:OFFSET($A603,-1,0),0)))))</f>
        <v>0</v>
      </c>
      <c r="N603" s="211" t="str">
        <f ca="1">IF($D603&lt;&gt;"Serviço","",IF(AUTOEVENTO="Manual",IF($A603=0,"&lt;-- defina o número do agrupador",OFFSET(EVENTOS!$D$14,$A603,0)),OFFSET($F$15,$A603,0)))</f>
        <v>&lt;-- defina o número do agrupador</v>
      </c>
      <c r="O603" s="212"/>
      <c r="Q603" s="212"/>
      <c r="R603" s="213"/>
      <c r="S603" s="213"/>
      <c r="T603" s="213"/>
      <c r="U603" s="213"/>
      <c r="V603" s="213"/>
      <c r="W603" s="213"/>
      <c r="X603" s="213"/>
      <c r="Y603" s="213"/>
      <c r="Z603" s="214"/>
      <c r="AA603" s="213"/>
      <c r="AB603" s="213"/>
      <c r="AC603" s="213"/>
      <c r="AD603" s="213"/>
      <c r="AE603" s="213"/>
      <c r="AF603" s="213"/>
      <c r="AG603" s="213"/>
      <c r="AH603" s="214"/>
      <c r="AJ603" s="631">
        <f ca="1">IF(AND($D603="Serviço",AJ$12&lt;&gt;0,$H603&gt;0,OR(AUTOEVENTO&lt;&gt;"manual",$M603&lt;&gt;1)),ROUND(OFFSET($P603,0,AJ$13),15-13*ORÇAMENTO!$AF$7)/$H603*OFFSET(ORÇAMENTO!$X$15,ROW(AJ603)-ROW(AJ$15),0),0)</f>
        <v>0</v>
      </c>
      <c r="AK603" s="632">
        <f ca="1">IF(AND($D603="Serviço",AK$12&lt;&gt;0,$H603&gt;0,OR(AUTOEVENTO&lt;&gt;"manual",$M603&lt;&gt;1)),ROUND(OFFSET($P603,0,AK$13),15-13*ORÇAMENTO!$AF$7)/$H603*OFFSET(ORÇAMENTO!$X$15,ROW(AK603)-ROW(AK$15),0),0)</f>
        <v>0</v>
      </c>
      <c r="AL603" s="632">
        <f ca="1">IF(AND($D603="Serviço",AL$12&lt;&gt;0,$H603&gt;0,OR(AUTOEVENTO&lt;&gt;"manual",$M603&lt;&gt;1)),ROUND(OFFSET($P603,0,AL$13),15-13*ORÇAMENTO!$AF$7)/$H603*OFFSET(ORÇAMENTO!$X$15,ROW(AL603)-ROW(AL$15),0),0)</f>
        <v>0</v>
      </c>
      <c r="AM603" s="632">
        <f ca="1">IF(AND($D603="Serviço",AM$12&lt;&gt;0,$H603&gt;0,OR(AUTOEVENTO&lt;&gt;"manual",$M603&lt;&gt;1)),ROUND(OFFSET($P603,0,AM$13),15-13*ORÇAMENTO!$AF$7)/$H603*OFFSET(ORÇAMENTO!$X$15,ROW(AM603)-ROW(AM$15),0),0)</f>
        <v>0</v>
      </c>
      <c r="AN603" s="632">
        <f ca="1">IF(AND($D603="Serviço",AN$12&lt;&gt;0,$H603&gt;0,OR(AUTOEVENTO&lt;&gt;"manual",$M603&lt;&gt;1)),ROUND(OFFSET($P603,0,AN$13),15-13*ORÇAMENTO!$AF$7)/$H603*OFFSET(ORÇAMENTO!$X$15,ROW(AN603)-ROW(AN$15),0),0)</f>
        <v>0</v>
      </c>
      <c r="AO603" s="632">
        <f ca="1">IF(AND($D603="Serviço",AO$12&lt;&gt;0,$H603&gt;0,OR(AUTOEVENTO&lt;&gt;"manual",$M603&lt;&gt;1)),ROUND(OFFSET($P603,0,AO$13),15-13*ORÇAMENTO!$AF$7)/$H603*OFFSET(ORÇAMENTO!$X$15,ROW(AO603)-ROW(AO$15),0),0)</f>
        <v>0</v>
      </c>
      <c r="AP603" s="632">
        <f ca="1">IF(AND($D603="Serviço",AP$12&lt;&gt;0,$H603&gt;0,OR(AUTOEVENTO&lt;&gt;"manual",$M603&lt;&gt;1)),ROUND(OFFSET($P603,0,AP$13),15-13*ORÇAMENTO!$AF$7)/$H603*OFFSET(ORÇAMENTO!$X$15,ROW(AP603)-ROW(AP$15),0),0)</f>
        <v>0</v>
      </c>
      <c r="AQ603" s="632">
        <f ca="1">IF(AND($D603="Serviço",AQ$12&lt;&gt;0,$H603&gt;0,OR(AUTOEVENTO&lt;&gt;"manual",$M603&lt;&gt;1)),ROUND(OFFSET($P603,0,AQ$13),15-13*ORÇAMENTO!$AF$7)/$H603*OFFSET(ORÇAMENTO!$X$15,ROW(AQ603)-ROW(AQ$15),0),0)</f>
        <v>0</v>
      </c>
      <c r="AR603" s="632">
        <f ca="1">IF(AND($D603="Serviço",AR$12&lt;&gt;0,$H603&gt;0,OR(AUTOEVENTO&lt;&gt;"manual",$M603&lt;&gt;1)),ROUND(OFFSET($P603,0,AR$13),15-13*ORÇAMENTO!$AF$7)/$H603*OFFSET(ORÇAMENTO!$X$15,ROW(AR603)-ROW(AR$15),0),0)</f>
        <v>0</v>
      </c>
      <c r="AS603" s="633">
        <f ca="1">IF(AND($D603="Serviço",AS$12&lt;&gt;0,$H603&gt;0,OR(AUTOEVENTO&lt;&gt;"manual",$M603&lt;&gt;1)),ROUND(OFFSET($P603,0,AS$13),15-13*ORÇAMENTO!$AF$7)/$H603*OFFSET(ORÇAMENTO!$X$15,ROW(AS603)-ROW(AS$15),0),0)</f>
        <v>0</v>
      </c>
      <c r="AT603" s="632">
        <f ca="1">IF(AND($D603="Serviço",AT$12&lt;&gt;0,$H603&gt;0,OR(AUTOEVENTO&lt;&gt;"manual",$M603&lt;&gt;1)),ROUND(OFFSET($P603,0,AT$13),15-13*ORÇAMENTO!$AF$7)/$H603*OFFSET(ORÇAMENTO!$X$15,ROW(AT603)-ROW(AT$15),0),0)</f>
        <v>0</v>
      </c>
      <c r="AU603" s="632">
        <f ca="1">IF(AND($D603="Serviço",AU$12&lt;&gt;0,$H603&gt;0,OR(AUTOEVENTO&lt;&gt;"manual",$M603&lt;&gt;1)),ROUND(OFFSET($P603,0,AU$13),15-13*ORÇAMENTO!$AF$7)/$H603*OFFSET(ORÇAMENTO!$X$15,ROW(AU603)-ROW(AU$15),0),0)</f>
        <v>0</v>
      </c>
      <c r="AV603" s="632">
        <f ca="1">IF(AND($D603="Serviço",AV$12&lt;&gt;0,$H603&gt;0,OR(AUTOEVENTO&lt;&gt;"manual",$M603&lt;&gt;1)),ROUND(OFFSET($P603,0,AV$13),15-13*ORÇAMENTO!$AF$7)/$H603*OFFSET(ORÇAMENTO!$X$15,ROW(AV603)-ROW(AV$15),0),0)</f>
        <v>0</v>
      </c>
      <c r="AW603" s="632">
        <f ca="1">IF(AND($D603="Serviço",AW$12&lt;&gt;0,$H603&gt;0,OR(AUTOEVENTO&lt;&gt;"manual",$M603&lt;&gt;1)),ROUND(OFFSET($P603,0,AW$13),15-13*ORÇAMENTO!$AF$7)/$H603*OFFSET(ORÇAMENTO!$X$15,ROW(AW603)-ROW(AW$15),0),0)</f>
        <v>0</v>
      </c>
      <c r="AX603" s="632">
        <f ca="1">IF(AND($D603="Serviço",AX$12&lt;&gt;0,$H603&gt;0,OR(AUTOEVENTO&lt;&gt;"manual",$M603&lt;&gt;1)),ROUND(OFFSET($P603,0,AX$13),15-13*ORÇAMENTO!$AF$7)/$H603*OFFSET(ORÇAMENTO!$X$15,ROW(AX603)-ROW(AX$15),0),0)</f>
        <v>0</v>
      </c>
      <c r="AY603" s="632">
        <f ca="1">IF(AND($D603="Serviço",AY$12&lt;&gt;0,$H603&gt;0,OR(AUTOEVENTO&lt;&gt;"manual",$M603&lt;&gt;1)),ROUND(OFFSET($P603,0,AY$13),15-13*ORÇAMENTO!$AF$7)/$H603*OFFSET(ORÇAMENTO!$X$15,ROW(AY603)-ROW(AY$15),0),0)</f>
        <v>0</v>
      </c>
      <c r="AZ603" s="632">
        <f ca="1">IF(AND($D603="Serviço",AZ$12&lt;&gt;0,$H603&gt;0,OR(AUTOEVENTO&lt;&gt;"manual",$M603&lt;&gt;1)),ROUND(OFFSET($P603,0,AZ$13),15-13*ORÇAMENTO!$AF$7)/$H603*OFFSET(ORÇAMENTO!$X$15,ROW(AZ603)-ROW(AZ$15),0),0)</f>
        <v>0</v>
      </c>
      <c r="BA603" s="633">
        <f ca="1">IF(AND($D603="Serviço",BA$12&lt;&gt;0,$H603&gt;0,OR(AUTOEVENTO&lt;&gt;"manual",$M603&lt;&gt;1)),ROUND(OFFSET($P603,0,BA$13),15-13*ORÇAMENTO!$AF$7)/$H603*OFFSET(ORÇAMENTO!$X$15,ROW(BA603)-ROW(BA$15),0),0)</f>
        <v>0</v>
      </c>
      <c r="BC603" s="215">
        <f ca="1">IF($D603&lt;&gt;"Serviço",0,IF(AND(AUTOEVENTO="Manual",$M603=1),0,IF(OFFSET(CRONOPLE!$F$14,$M603,BC$13)="",10^12,OFFSET(CRONOPLE!$F$14,$M603,BC$13))))</f>
        <v>1000000000000</v>
      </c>
      <c r="BD603" s="215">
        <f ca="1">IF($D603&lt;&gt;"Serviço",0,IF(AND(AUTOEVENTO="Manual",$M603=1),0,IF(OFFSET(CRONOPLE!$F$14,$M603,BD$13)="",10^12,OFFSET(CRONOPLE!$F$14,$M603,BD$13))))</f>
        <v>1000000000000</v>
      </c>
      <c r="BE603" s="215">
        <f ca="1">IF($D603&lt;&gt;"Serviço",0,IF(AND(AUTOEVENTO="Manual",$M603=1),0,IF(OFFSET(CRONOPLE!$F$14,$M603,BE$13)="",10^12,OFFSET(CRONOPLE!$F$14,$M603,BE$13))))</f>
        <v>1000000000000</v>
      </c>
      <c r="BF603" s="215">
        <f ca="1">IF($D603&lt;&gt;"Serviço",0,IF(AND(AUTOEVENTO="Manual",$M603=1),0,IF(OFFSET(CRONOPLE!$F$14,$M603,BF$13)="",10^12,OFFSET(CRONOPLE!$F$14,$M603,BF$13))))</f>
        <v>1000000000000</v>
      </c>
      <c r="BG603" s="215">
        <f ca="1">IF($D603&lt;&gt;"Serviço",0,IF(AND(AUTOEVENTO="Manual",$M603=1),0,IF(OFFSET(CRONOPLE!$F$14,$M603,BG$13)="",10^12,OFFSET(CRONOPLE!$F$14,$M603,BG$13))))</f>
        <v>1000000000000</v>
      </c>
      <c r="BH603" s="215">
        <f ca="1">IF($D603&lt;&gt;"Serviço",0,IF(AND(AUTOEVENTO="Manual",$M603=1),0,IF(OFFSET(CRONOPLE!$F$14,$M603,BH$13)="",10^12,OFFSET(CRONOPLE!$F$14,$M603,BH$13))))</f>
        <v>1000000000000</v>
      </c>
      <c r="BI603" s="215">
        <f ca="1">IF($D603&lt;&gt;"Serviço",0,IF(AND(AUTOEVENTO="Manual",$M603=1),0,IF(OFFSET(CRONOPLE!$F$14,$M603,BI$13)="",10^12,OFFSET(CRONOPLE!$F$14,$M603,BI$13))))</f>
        <v>1000000000000</v>
      </c>
      <c r="BJ603" s="215">
        <f ca="1">IF($D603&lt;&gt;"Serviço",0,IF(AND(AUTOEVENTO="Manual",$M603=1),0,IF(OFFSET(CRONOPLE!$F$14,$M603,BJ$13)="",10^12,OFFSET(CRONOPLE!$F$14,$M603,BJ$13))))</f>
        <v>1000000000000</v>
      </c>
      <c r="BK603" s="215">
        <f ca="1">IF($D603&lt;&gt;"Serviço",0,IF(AND(AUTOEVENTO="Manual",$M603=1),0,IF(OFFSET(CRONOPLE!$F$14,$M603,BK$13)="",10^12,OFFSET(CRONOPLE!$F$14,$M603,BK$13))))</f>
        <v>1000000000000</v>
      </c>
      <c r="BL603" s="215">
        <f ca="1">IF($D603&lt;&gt;"Serviço",0,IF(AND(AUTOEVENTO="Manual",$M603=1),0,IF(OFFSET(CRONOPLE!$F$14,$M603,BL$13)="",10^12,OFFSET(CRONOPLE!$F$14,$M603,BL$13))))</f>
        <v>1000000000000</v>
      </c>
      <c r="BM603" s="215">
        <f ca="1">IF($D603&lt;&gt;"Serviço",0,IF(AND(AUTOEVENTO="Manual",$M603=1),0,IF(OFFSET(CRONOPLE!$F$14,$M603,BM$13)="",10^12,OFFSET(CRONOPLE!$F$14,$M603,BM$13))))</f>
        <v>1000000000000</v>
      </c>
      <c r="BN603" s="215">
        <f ca="1">IF($D603&lt;&gt;"Serviço",0,IF(AND(AUTOEVENTO="Manual",$M603=1),0,IF(OFFSET(CRONOPLE!$F$14,$M603,BN$13)="",10^12,OFFSET(CRONOPLE!$F$14,$M603,BN$13))))</f>
        <v>1000000000000</v>
      </c>
      <c r="BO603" s="215">
        <f ca="1">IF($D603&lt;&gt;"Serviço",0,IF(AND(AUTOEVENTO="Manual",$M603=1),0,IF(OFFSET(CRONOPLE!$F$14,$M603,BO$13)="",10^12,OFFSET(CRONOPLE!$F$14,$M603,BO$13))))</f>
        <v>1000000000000</v>
      </c>
      <c r="BP603" s="215">
        <f ca="1">IF($D603&lt;&gt;"Serviço",0,IF(AND(AUTOEVENTO="Manual",$M603=1),0,IF(OFFSET(CRONOPLE!$F$14,$M603,BP$13)="",10^12,OFFSET(CRONOPLE!$F$14,$M603,BP$13))))</f>
        <v>1000000000000</v>
      </c>
      <c r="BQ603" s="215">
        <f ca="1">IF($D603&lt;&gt;"Serviço",0,IF(AND(AUTOEVENTO="Manual",$M603=1),0,IF(OFFSET(CRONOPLE!$F$14,$M603,BQ$13)="",10^12,OFFSET(CRONOPLE!$F$14,$M603,BQ$13))))</f>
        <v>1000000000000</v>
      </c>
      <c r="BR603" s="215">
        <f ca="1">IF($D603&lt;&gt;"Serviço",0,IF(AND(AUTOEVENTO="Manual",$M603=1),0,IF(OFFSET(CRONOPLE!$F$14,$M603,BR$13)="",10^12,OFFSET(CRONOPLE!$F$14,$M603,BR$13))))</f>
        <v>1000000000000</v>
      </c>
      <c r="BS603" s="215">
        <f ca="1">IF($D603&lt;&gt;"Serviço",0,IF(AND(AUTOEVENTO="Manual",$M603=1),0,IF(OFFSET(CRONOPLE!$F$14,$M603,BS$13)="",10^12,OFFSET(CRONOPLE!$F$14,$M603,BS$13))))</f>
        <v>1000000000000</v>
      </c>
      <c r="BT603" s="215">
        <f ca="1">IF($D603&lt;&gt;"Serviço",0,IF(AND(AUTOEVENTO="Manual",$M603=1),0,IF(OFFSET(CRONOPLE!$F$14,$M603,BT$13)="",10^12,OFFSET(CRONOPLE!$F$14,$M603,BT$13))))</f>
        <v>1000000000000</v>
      </c>
      <c r="BV603" s="216">
        <f ca="1">IF($D603&lt;&gt;"Serviço",0,IF(OR(AND(AUTOEVENTO="Manual",$M603=1),$M603&gt;(ROW(PLE.lastrow)-ROW(PLE.firstrow))),0,IF(OFFSET(PLE!$G$14,$M603,BV$13)="",10^12,OFFSET(PLE!$G$14,$M603,BV$13))))</f>
        <v>1000000000000</v>
      </c>
      <c r="BW603" s="216">
        <f ca="1">IF($D603&lt;&gt;"Serviço",0,IF(OR(AND(AUTOEVENTO="Manual",$M603=1),$M603&gt;(ROW(PLE.lastrow)-ROW(PLE.firstrow))),0,IF(OFFSET(PLE!$G$14,$M603,BW$13)="",10^12,OFFSET(PLE!$G$14,$M603,BW$13))))</f>
        <v>1000000000000</v>
      </c>
      <c r="BX603" s="216">
        <f ca="1">IF($D603&lt;&gt;"Serviço",0,IF(OR(AND(AUTOEVENTO="Manual",$M603=1),$M603&gt;(ROW(PLE.lastrow)-ROW(PLE.firstrow))),0,IF(OFFSET(PLE!$G$14,$M603,BX$13)="",10^12,OFFSET(PLE!$G$14,$M603,BX$13))))</f>
        <v>1000000000000</v>
      </c>
      <c r="BY603" s="216">
        <f ca="1">IF($D603&lt;&gt;"Serviço",0,IF(OR(AND(AUTOEVENTO="Manual",$M603=1),$M603&gt;(ROW(PLE.lastrow)-ROW(PLE.firstrow))),0,IF(OFFSET(PLE!$G$14,$M603,BY$13)="",10^12,OFFSET(PLE!$G$14,$M603,BY$13))))</f>
        <v>1000000000000</v>
      </c>
      <c r="BZ603" s="216">
        <f ca="1">IF($D603&lt;&gt;"Serviço",0,IF(OR(AND(AUTOEVENTO="Manual",$M603=1),$M603&gt;(ROW(PLE.lastrow)-ROW(PLE.firstrow))),0,IF(OFFSET(PLE!$G$14,$M603,BZ$13)="",10^12,OFFSET(PLE!$G$14,$M603,BZ$13))))</f>
        <v>1000000000000</v>
      </c>
      <c r="CA603" s="216">
        <f ca="1">IF($D603&lt;&gt;"Serviço",0,IF(OR(AND(AUTOEVENTO="Manual",$M603=1),$M603&gt;(ROW(PLE.lastrow)-ROW(PLE.firstrow))),0,IF(OFFSET(PLE!$G$14,$M603,CA$13)="",10^12,OFFSET(PLE!$G$14,$M603,CA$13))))</f>
        <v>1000000000000</v>
      </c>
      <c r="CB603" s="216">
        <f ca="1">IF($D603&lt;&gt;"Serviço",0,IF(OR(AND(AUTOEVENTO="Manual",$M603=1),$M603&gt;(ROW(PLE.lastrow)-ROW(PLE.firstrow))),0,IF(OFFSET(PLE!$G$14,$M603,CB$13)="",10^12,OFFSET(PLE!$G$14,$M603,CB$13))))</f>
        <v>1000000000000</v>
      </c>
      <c r="CC603" s="216">
        <f ca="1">IF($D603&lt;&gt;"Serviço",0,IF(OR(AND(AUTOEVENTO="Manual",$M603=1),$M603&gt;(ROW(PLE.lastrow)-ROW(PLE.firstrow))),0,IF(OFFSET(PLE!$G$14,$M603,CC$13)="",10^12,OFFSET(PLE!$G$14,$M603,CC$13))))</f>
        <v>1000000000000</v>
      </c>
      <c r="CD603" s="216">
        <f ca="1">IF($D603&lt;&gt;"Serviço",0,IF(OR(AND(AUTOEVENTO="Manual",$M603=1),$M603&gt;(ROW(PLE.lastrow)-ROW(PLE.firstrow))),0,IF(OFFSET(PLE!$G$14,$M603,CD$13)="",10^12,OFFSET(PLE!$G$14,$M603,CD$13))))</f>
        <v>1000000000000</v>
      </c>
      <c r="CE603" s="216">
        <f ca="1">IF($D603&lt;&gt;"Serviço",0,IF(OR(AND(AUTOEVENTO="Manual",$M603=1),$M603&gt;(ROW(PLE.lastrow)-ROW(PLE.firstrow))),0,IF(OFFSET(PLE!$G$14,$M603,CE$13)="",10^12,OFFSET(PLE!$G$14,$M603,CE$13))))</f>
        <v>1000000000000</v>
      </c>
      <c r="CF603" s="216">
        <f ca="1">IF($D603&lt;&gt;"Serviço",0,IF(OR(AND(AUTOEVENTO="Manual",$M603=1),$M603&gt;(ROW(PLE.lastrow)-ROW(PLE.firstrow))),0,IF(OFFSET(PLE!$G$14,$M603,CF$13)="",10^12,OFFSET(PLE!$G$14,$M603,CF$13))))</f>
        <v>1000000000000</v>
      </c>
      <c r="CG603" s="216">
        <f ca="1">IF($D603&lt;&gt;"Serviço",0,IF(OR(AND(AUTOEVENTO="Manual",$M603=1),$M603&gt;(ROW(PLE.lastrow)-ROW(PLE.firstrow))),0,IF(OFFSET(PLE!$G$14,$M603,CG$13)="",10^12,OFFSET(PLE!$G$14,$M603,CG$13))))</f>
        <v>1000000000000</v>
      </c>
      <c r="CH603" s="216">
        <f ca="1">IF($D603&lt;&gt;"Serviço",0,IF(OR(AND(AUTOEVENTO="Manual",$M603=1),$M603&gt;(ROW(PLE.lastrow)-ROW(PLE.firstrow))),0,IF(OFFSET(PLE!$G$14,$M603,CH$13)="",10^12,OFFSET(PLE!$G$14,$M603,CH$13))))</f>
        <v>1000000000000</v>
      </c>
      <c r="CI603" s="216">
        <f ca="1">IF($D603&lt;&gt;"Serviço",0,IF(OR(AND(AUTOEVENTO="Manual",$M603=1),$M603&gt;(ROW(PLE.lastrow)-ROW(PLE.firstrow))),0,IF(OFFSET(PLE!$G$14,$M603,CI$13)="",10^12,OFFSET(PLE!$G$14,$M603,CI$13))))</f>
        <v>1000000000000</v>
      </c>
      <c r="CJ603" s="216">
        <f ca="1">IF($D603&lt;&gt;"Serviço",0,IF(OR(AND(AUTOEVENTO="Manual",$M603=1),$M603&gt;(ROW(PLE.lastrow)-ROW(PLE.firstrow))),0,IF(OFFSET(PLE!$G$14,$M603,CJ$13)="",10^12,OFFSET(PLE!$G$14,$M603,CJ$13))))</f>
        <v>1000000000000</v>
      </c>
      <c r="CK603" s="216">
        <f ca="1">IF($D603&lt;&gt;"Serviço",0,IF(OR(AND(AUTOEVENTO="Manual",$M603=1),$M603&gt;(ROW(PLE.lastrow)-ROW(PLE.firstrow))),0,IF(OFFSET(PLE!$G$14,$M603,CK$13)="",10^12,OFFSET(PLE!$G$14,$M603,CK$13))))</f>
        <v>1000000000000</v>
      </c>
      <c r="CL603" s="216">
        <f ca="1">IF($D603&lt;&gt;"Serviço",0,IF(OR(AND(AUTOEVENTO="Manual",$M603=1),$M603&gt;(ROW(PLE.lastrow)-ROW(PLE.firstrow))),0,IF(OFFSET(PLE!$G$14,$M603,CL$13)="",10^12,OFFSET(PLE!$G$14,$M603,CL$13))))</f>
        <v>1000000000000</v>
      </c>
      <c r="CM603" s="216">
        <f ca="1">IF($D603&lt;&gt;"Serviço",0,IF(OR(AND(AUTOEVENTO="Manual",$M603=1),$M603&gt;(ROW(PLE.lastrow)-ROW(PLE.firstrow))),0,IF(OFFSET(PLE!$G$14,$M603,CM$13)="",10^12,OFFSET(PLE!$G$14,$M603,CM$13))))</f>
        <v>1000000000000</v>
      </c>
    </row>
    <row r="604" spans="1:91" ht="13.2" x14ac:dyDescent="0.25">
      <c r="A604" s="9">
        <f t="shared" ca="1" si="18"/>
        <v>0</v>
      </c>
      <c r="B604" s="9" t="str">
        <f ca="1">OFFSET(ORÇAMENTO!C$15,ROW(B604)-ROW(B$15),0)</f>
        <v>S</v>
      </c>
      <c r="C604" s="9" t="str">
        <f ca="1">OFFSET(ORÇAMENTO!L$15,ROW(C604)-ROW(C$15),0)</f>
        <v/>
      </c>
      <c r="D604" s="145" t="str">
        <f ca="1">OFFSET(ORÇAMENTO!N$15,ROW(D604)-ROW(D$15),0)</f>
        <v>Serviço</v>
      </c>
      <c r="E604" s="205" t="str">
        <f ca="1">OFFSET(ORÇAMENTO!O$15,ROW(E604)-ROW(E$15),0)</f>
        <v>-</v>
      </c>
      <c r="F604" s="206" t="str">
        <f ca="1">OFFSET(ORÇAMENTO!R$15,ROW(F604)-ROW(F$15),0)</f>
        <v>(abra o arquivo 'Referência 05-2024.xls)</v>
      </c>
      <c r="G604" s="207" t="str">
        <f ca="1">IF($D604&lt;&gt;"Serviço","",OFFSET(ORÇAMENTO!S$15,ROW(G604)-ROW(G$15),0))</f>
        <v>-</v>
      </c>
      <c r="H604" s="151">
        <f ca="1">IF($D604&lt;&gt;"Serviço",0,IF(ACOMPANHAMENTO="BM",ROUND(OFFSET(ORÇAMENTO!AJ$15,ROW(H604)-ROW(H$15),0),15-13*ORÇAMENTO!$AF$7),SUMPRODUCT(($Q$12:$AI$12&lt;&gt;"")*ROUND($Q604:$AI604,15-13*ORÇAMENTO!$AF$7))))</f>
        <v>4</v>
      </c>
      <c r="I604" s="650"/>
      <c r="K604" s="208"/>
      <c r="L604" s="209" t="s">
        <v>257</v>
      </c>
      <c r="M604" s="210">
        <f ca="1">IF($D604&lt;&gt;"Serviço","",IF(AUTOEVENTO="manual",$A604,IF(ISERROR(MATCH($A604,$A$15:OFFSET($A604,-1,0),0)),MAX($M$15:OFFSET(M604,-1,0))+1,INDEX($M$15:OFFSET(M604,-1,0),MATCH($A604,$A$15:OFFSET($A604,-1,0),0)))))</f>
        <v>0</v>
      </c>
      <c r="N604" s="211" t="str">
        <f ca="1">IF($D604&lt;&gt;"Serviço","",IF(AUTOEVENTO="Manual",IF($A604=0,"&lt;-- defina o número do agrupador",OFFSET(EVENTOS!$D$14,$A604,0)),OFFSET($F$15,$A604,0)))</f>
        <v>&lt;-- defina o número do agrupador</v>
      </c>
      <c r="O604" s="212"/>
      <c r="Q604" s="212"/>
      <c r="R604" s="213"/>
      <c r="S604" s="213"/>
      <c r="T604" s="213"/>
      <c r="U604" s="213"/>
      <c r="V604" s="213"/>
      <c r="W604" s="213"/>
      <c r="X604" s="213"/>
      <c r="Y604" s="213"/>
      <c r="Z604" s="214"/>
      <c r="AA604" s="213"/>
      <c r="AB604" s="213"/>
      <c r="AC604" s="213"/>
      <c r="AD604" s="213"/>
      <c r="AE604" s="213"/>
      <c r="AF604" s="213"/>
      <c r="AG604" s="213"/>
      <c r="AH604" s="214"/>
      <c r="AJ604" s="631">
        <f ca="1">IF(AND($D604="Serviço",AJ$12&lt;&gt;0,$H604&gt;0,OR(AUTOEVENTO&lt;&gt;"manual",$M604&lt;&gt;1)),ROUND(OFFSET($P604,0,AJ$13),15-13*ORÇAMENTO!$AF$7)/$H604*OFFSET(ORÇAMENTO!$X$15,ROW(AJ604)-ROW(AJ$15),0),0)</f>
        <v>0</v>
      </c>
      <c r="AK604" s="632">
        <f ca="1">IF(AND($D604="Serviço",AK$12&lt;&gt;0,$H604&gt;0,OR(AUTOEVENTO&lt;&gt;"manual",$M604&lt;&gt;1)),ROUND(OFFSET($P604,0,AK$13),15-13*ORÇAMENTO!$AF$7)/$H604*OFFSET(ORÇAMENTO!$X$15,ROW(AK604)-ROW(AK$15),0),0)</f>
        <v>0</v>
      </c>
      <c r="AL604" s="632">
        <f ca="1">IF(AND($D604="Serviço",AL$12&lt;&gt;0,$H604&gt;0,OR(AUTOEVENTO&lt;&gt;"manual",$M604&lt;&gt;1)),ROUND(OFFSET($P604,0,AL$13),15-13*ORÇAMENTO!$AF$7)/$H604*OFFSET(ORÇAMENTO!$X$15,ROW(AL604)-ROW(AL$15),0),0)</f>
        <v>0</v>
      </c>
      <c r="AM604" s="632">
        <f ca="1">IF(AND($D604="Serviço",AM$12&lt;&gt;0,$H604&gt;0,OR(AUTOEVENTO&lt;&gt;"manual",$M604&lt;&gt;1)),ROUND(OFFSET($P604,0,AM$13),15-13*ORÇAMENTO!$AF$7)/$H604*OFFSET(ORÇAMENTO!$X$15,ROW(AM604)-ROW(AM$15),0),0)</f>
        <v>0</v>
      </c>
      <c r="AN604" s="632">
        <f ca="1">IF(AND($D604="Serviço",AN$12&lt;&gt;0,$H604&gt;0,OR(AUTOEVENTO&lt;&gt;"manual",$M604&lt;&gt;1)),ROUND(OFFSET($P604,0,AN$13),15-13*ORÇAMENTO!$AF$7)/$H604*OFFSET(ORÇAMENTO!$X$15,ROW(AN604)-ROW(AN$15),0),0)</f>
        <v>0</v>
      </c>
      <c r="AO604" s="632">
        <f ca="1">IF(AND($D604="Serviço",AO$12&lt;&gt;0,$H604&gt;0,OR(AUTOEVENTO&lt;&gt;"manual",$M604&lt;&gt;1)),ROUND(OFFSET($P604,0,AO$13),15-13*ORÇAMENTO!$AF$7)/$H604*OFFSET(ORÇAMENTO!$X$15,ROW(AO604)-ROW(AO$15),0),0)</f>
        <v>0</v>
      </c>
      <c r="AP604" s="632">
        <f ca="1">IF(AND($D604="Serviço",AP$12&lt;&gt;0,$H604&gt;0,OR(AUTOEVENTO&lt;&gt;"manual",$M604&lt;&gt;1)),ROUND(OFFSET($P604,0,AP$13),15-13*ORÇAMENTO!$AF$7)/$H604*OFFSET(ORÇAMENTO!$X$15,ROW(AP604)-ROW(AP$15),0),0)</f>
        <v>0</v>
      </c>
      <c r="AQ604" s="632">
        <f ca="1">IF(AND($D604="Serviço",AQ$12&lt;&gt;0,$H604&gt;0,OR(AUTOEVENTO&lt;&gt;"manual",$M604&lt;&gt;1)),ROUND(OFFSET($P604,0,AQ$13),15-13*ORÇAMENTO!$AF$7)/$H604*OFFSET(ORÇAMENTO!$X$15,ROW(AQ604)-ROW(AQ$15),0),0)</f>
        <v>0</v>
      </c>
      <c r="AR604" s="632">
        <f ca="1">IF(AND($D604="Serviço",AR$12&lt;&gt;0,$H604&gt;0,OR(AUTOEVENTO&lt;&gt;"manual",$M604&lt;&gt;1)),ROUND(OFFSET($P604,0,AR$13),15-13*ORÇAMENTO!$AF$7)/$H604*OFFSET(ORÇAMENTO!$X$15,ROW(AR604)-ROW(AR$15),0),0)</f>
        <v>0</v>
      </c>
      <c r="AS604" s="633">
        <f ca="1">IF(AND($D604="Serviço",AS$12&lt;&gt;0,$H604&gt;0,OR(AUTOEVENTO&lt;&gt;"manual",$M604&lt;&gt;1)),ROUND(OFFSET($P604,0,AS$13),15-13*ORÇAMENTO!$AF$7)/$H604*OFFSET(ORÇAMENTO!$X$15,ROW(AS604)-ROW(AS$15),0),0)</f>
        <v>0</v>
      </c>
      <c r="AT604" s="632">
        <f ca="1">IF(AND($D604="Serviço",AT$12&lt;&gt;0,$H604&gt;0,OR(AUTOEVENTO&lt;&gt;"manual",$M604&lt;&gt;1)),ROUND(OFFSET($P604,0,AT$13),15-13*ORÇAMENTO!$AF$7)/$H604*OFFSET(ORÇAMENTO!$X$15,ROW(AT604)-ROW(AT$15),0),0)</f>
        <v>0</v>
      </c>
      <c r="AU604" s="632">
        <f ca="1">IF(AND($D604="Serviço",AU$12&lt;&gt;0,$H604&gt;0,OR(AUTOEVENTO&lt;&gt;"manual",$M604&lt;&gt;1)),ROUND(OFFSET($P604,0,AU$13),15-13*ORÇAMENTO!$AF$7)/$H604*OFFSET(ORÇAMENTO!$X$15,ROW(AU604)-ROW(AU$15),0),0)</f>
        <v>0</v>
      </c>
      <c r="AV604" s="632">
        <f ca="1">IF(AND($D604="Serviço",AV$12&lt;&gt;0,$H604&gt;0,OR(AUTOEVENTO&lt;&gt;"manual",$M604&lt;&gt;1)),ROUND(OFFSET($P604,0,AV$13),15-13*ORÇAMENTO!$AF$7)/$H604*OFFSET(ORÇAMENTO!$X$15,ROW(AV604)-ROW(AV$15),0),0)</f>
        <v>0</v>
      </c>
      <c r="AW604" s="632">
        <f ca="1">IF(AND($D604="Serviço",AW$12&lt;&gt;0,$H604&gt;0,OR(AUTOEVENTO&lt;&gt;"manual",$M604&lt;&gt;1)),ROUND(OFFSET($P604,0,AW$13),15-13*ORÇAMENTO!$AF$7)/$H604*OFFSET(ORÇAMENTO!$X$15,ROW(AW604)-ROW(AW$15),0),0)</f>
        <v>0</v>
      </c>
      <c r="AX604" s="632">
        <f ca="1">IF(AND($D604="Serviço",AX$12&lt;&gt;0,$H604&gt;0,OR(AUTOEVENTO&lt;&gt;"manual",$M604&lt;&gt;1)),ROUND(OFFSET($P604,0,AX$13),15-13*ORÇAMENTO!$AF$7)/$H604*OFFSET(ORÇAMENTO!$X$15,ROW(AX604)-ROW(AX$15),0),0)</f>
        <v>0</v>
      </c>
      <c r="AY604" s="632">
        <f ca="1">IF(AND($D604="Serviço",AY$12&lt;&gt;0,$H604&gt;0,OR(AUTOEVENTO&lt;&gt;"manual",$M604&lt;&gt;1)),ROUND(OFFSET($P604,0,AY$13),15-13*ORÇAMENTO!$AF$7)/$H604*OFFSET(ORÇAMENTO!$X$15,ROW(AY604)-ROW(AY$15),0),0)</f>
        <v>0</v>
      </c>
      <c r="AZ604" s="632">
        <f ca="1">IF(AND($D604="Serviço",AZ$12&lt;&gt;0,$H604&gt;0,OR(AUTOEVENTO&lt;&gt;"manual",$M604&lt;&gt;1)),ROUND(OFFSET($P604,0,AZ$13),15-13*ORÇAMENTO!$AF$7)/$H604*OFFSET(ORÇAMENTO!$X$15,ROW(AZ604)-ROW(AZ$15),0),0)</f>
        <v>0</v>
      </c>
      <c r="BA604" s="633">
        <f ca="1">IF(AND($D604="Serviço",BA$12&lt;&gt;0,$H604&gt;0,OR(AUTOEVENTO&lt;&gt;"manual",$M604&lt;&gt;1)),ROUND(OFFSET($P604,0,BA$13),15-13*ORÇAMENTO!$AF$7)/$H604*OFFSET(ORÇAMENTO!$X$15,ROW(BA604)-ROW(BA$15),0),0)</f>
        <v>0</v>
      </c>
      <c r="BC604" s="215">
        <f ca="1">IF($D604&lt;&gt;"Serviço",0,IF(AND(AUTOEVENTO="Manual",$M604=1),0,IF(OFFSET(CRONOPLE!$F$14,$M604,BC$13)="",10^12,OFFSET(CRONOPLE!$F$14,$M604,BC$13))))</f>
        <v>1000000000000</v>
      </c>
      <c r="BD604" s="215">
        <f ca="1">IF($D604&lt;&gt;"Serviço",0,IF(AND(AUTOEVENTO="Manual",$M604=1),0,IF(OFFSET(CRONOPLE!$F$14,$M604,BD$13)="",10^12,OFFSET(CRONOPLE!$F$14,$M604,BD$13))))</f>
        <v>1000000000000</v>
      </c>
      <c r="BE604" s="215">
        <f ca="1">IF($D604&lt;&gt;"Serviço",0,IF(AND(AUTOEVENTO="Manual",$M604=1),0,IF(OFFSET(CRONOPLE!$F$14,$M604,BE$13)="",10^12,OFFSET(CRONOPLE!$F$14,$M604,BE$13))))</f>
        <v>1000000000000</v>
      </c>
      <c r="BF604" s="215">
        <f ca="1">IF($D604&lt;&gt;"Serviço",0,IF(AND(AUTOEVENTO="Manual",$M604=1),0,IF(OFFSET(CRONOPLE!$F$14,$M604,BF$13)="",10^12,OFFSET(CRONOPLE!$F$14,$M604,BF$13))))</f>
        <v>1000000000000</v>
      </c>
      <c r="BG604" s="215">
        <f ca="1">IF($D604&lt;&gt;"Serviço",0,IF(AND(AUTOEVENTO="Manual",$M604=1),0,IF(OFFSET(CRONOPLE!$F$14,$M604,BG$13)="",10^12,OFFSET(CRONOPLE!$F$14,$M604,BG$13))))</f>
        <v>1000000000000</v>
      </c>
      <c r="BH604" s="215">
        <f ca="1">IF($D604&lt;&gt;"Serviço",0,IF(AND(AUTOEVENTO="Manual",$M604=1),0,IF(OFFSET(CRONOPLE!$F$14,$M604,BH$13)="",10^12,OFFSET(CRONOPLE!$F$14,$M604,BH$13))))</f>
        <v>1000000000000</v>
      </c>
      <c r="BI604" s="215">
        <f ca="1">IF($D604&lt;&gt;"Serviço",0,IF(AND(AUTOEVENTO="Manual",$M604=1),0,IF(OFFSET(CRONOPLE!$F$14,$M604,BI$13)="",10^12,OFFSET(CRONOPLE!$F$14,$M604,BI$13))))</f>
        <v>1000000000000</v>
      </c>
      <c r="BJ604" s="215">
        <f ca="1">IF($D604&lt;&gt;"Serviço",0,IF(AND(AUTOEVENTO="Manual",$M604=1),0,IF(OFFSET(CRONOPLE!$F$14,$M604,BJ$13)="",10^12,OFFSET(CRONOPLE!$F$14,$M604,BJ$13))))</f>
        <v>1000000000000</v>
      </c>
      <c r="BK604" s="215">
        <f ca="1">IF($D604&lt;&gt;"Serviço",0,IF(AND(AUTOEVENTO="Manual",$M604=1),0,IF(OFFSET(CRONOPLE!$F$14,$M604,BK$13)="",10^12,OFFSET(CRONOPLE!$F$14,$M604,BK$13))))</f>
        <v>1000000000000</v>
      </c>
      <c r="BL604" s="215">
        <f ca="1">IF($D604&lt;&gt;"Serviço",0,IF(AND(AUTOEVENTO="Manual",$M604=1),0,IF(OFFSET(CRONOPLE!$F$14,$M604,BL$13)="",10^12,OFFSET(CRONOPLE!$F$14,$M604,BL$13))))</f>
        <v>1000000000000</v>
      </c>
      <c r="BM604" s="215">
        <f ca="1">IF($D604&lt;&gt;"Serviço",0,IF(AND(AUTOEVENTO="Manual",$M604=1),0,IF(OFFSET(CRONOPLE!$F$14,$M604,BM$13)="",10^12,OFFSET(CRONOPLE!$F$14,$M604,BM$13))))</f>
        <v>1000000000000</v>
      </c>
      <c r="BN604" s="215">
        <f ca="1">IF($D604&lt;&gt;"Serviço",0,IF(AND(AUTOEVENTO="Manual",$M604=1),0,IF(OFFSET(CRONOPLE!$F$14,$M604,BN$13)="",10^12,OFFSET(CRONOPLE!$F$14,$M604,BN$13))))</f>
        <v>1000000000000</v>
      </c>
      <c r="BO604" s="215">
        <f ca="1">IF($D604&lt;&gt;"Serviço",0,IF(AND(AUTOEVENTO="Manual",$M604=1),0,IF(OFFSET(CRONOPLE!$F$14,$M604,BO$13)="",10^12,OFFSET(CRONOPLE!$F$14,$M604,BO$13))))</f>
        <v>1000000000000</v>
      </c>
      <c r="BP604" s="215">
        <f ca="1">IF($D604&lt;&gt;"Serviço",0,IF(AND(AUTOEVENTO="Manual",$M604=1),0,IF(OFFSET(CRONOPLE!$F$14,$M604,BP$13)="",10^12,OFFSET(CRONOPLE!$F$14,$M604,BP$13))))</f>
        <v>1000000000000</v>
      </c>
      <c r="BQ604" s="215">
        <f ca="1">IF($D604&lt;&gt;"Serviço",0,IF(AND(AUTOEVENTO="Manual",$M604=1),0,IF(OFFSET(CRONOPLE!$F$14,$M604,BQ$13)="",10^12,OFFSET(CRONOPLE!$F$14,$M604,BQ$13))))</f>
        <v>1000000000000</v>
      </c>
      <c r="BR604" s="215">
        <f ca="1">IF($D604&lt;&gt;"Serviço",0,IF(AND(AUTOEVENTO="Manual",$M604=1),0,IF(OFFSET(CRONOPLE!$F$14,$M604,BR$13)="",10^12,OFFSET(CRONOPLE!$F$14,$M604,BR$13))))</f>
        <v>1000000000000</v>
      </c>
      <c r="BS604" s="215">
        <f ca="1">IF($D604&lt;&gt;"Serviço",0,IF(AND(AUTOEVENTO="Manual",$M604=1),0,IF(OFFSET(CRONOPLE!$F$14,$M604,BS$13)="",10^12,OFFSET(CRONOPLE!$F$14,$M604,BS$13))))</f>
        <v>1000000000000</v>
      </c>
      <c r="BT604" s="215">
        <f ca="1">IF($D604&lt;&gt;"Serviço",0,IF(AND(AUTOEVENTO="Manual",$M604=1),0,IF(OFFSET(CRONOPLE!$F$14,$M604,BT$13)="",10^12,OFFSET(CRONOPLE!$F$14,$M604,BT$13))))</f>
        <v>1000000000000</v>
      </c>
      <c r="BV604" s="216">
        <f ca="1">IF($D604&lt;&gt;"Serviço",0,IF(OR(AND(AUTOEVENTO="Manual",$M604=1),$M604&gt;(ROW(PLE.lastrow)-ROW(PLE.firstrow))),0,IF(OFFSET(PLE!$G$14,$M604,BV$13)="",10^12,OFFSET(PLE!$G$14,$M604,BV$13))))</f>
        <v>1000000000000</v>
      </c>
      <c r="BW604" s="216">
        <f ca="1">IF($D604&lt;&gt;"Serviço",0,IF(OR(AND(AUTOEVENTO="Manual",$M604=1),$M604&gt;(ROW(PLE.lastrow)-ROW(PLE.firstrow))),0,IF(OFFSET(PLE!$G$14,$M604,BW$13)="",10^12,OFFSET(PLE!$G$14,$M604,BW$13))))</f>
        <v>1000000000000</v>
      </c>
      <c r="BX604" s="216">
        <f ca="1">IF($D604&lt;&gt;"Serviço",0,IF(OR(AND(AUTOEVENTO="Manual",$M604=1),$M604&gt;(ROW(PLE.lastrow)-ROW(PLE.firstrow))),0,IF(OFFSET(PLE!$G$14,$M604,BX$13)="",10^12,OFFSET(PLE!$G$14,$M604,BX$13))))</f>
        <v>1000000000000</v>
      </c>
      <c r="BY604" s="216">
        <f ca="1">IF($D604&lt;&gt;"Serviço",0,IF(OR(AND(AUTOEVENTO="Manual",$M604=1),$M604&gt;(ROW(PLE.lastrow)-ROW(PLE.firstrow))),0,IF(OFFSET(PLE!$G$14,$M604,BY$13)="",10^12,OFFSET(PLE!$G$14,$M604,BY$13))))</f>
        <v>1000000000000</v>
      </c>
      <c r="BZ604" s="216">
        <f ca="1">IF($D604&lt;&gt;"Serviço",0,IF(OR(AND(AUTOEVENTO="Manual",$M604=1),$M604&gt;(ROW(PLE.lastrow)-ROW(PLE.firstrow))),0,IF(OFFSET(PLE!$G$14,$M604,BZ$13)="",10^12,OFFSET(PLE!$G$14,$M604,BZ$13))))</f>
        <v>1000000000000</v>
      </c>
      <c r="CA604" s="216">
        <f ca="1">IF($D604&lt;&gt;"Serviço",0,IF(OR(AND(AUTOEVENTO="Manual",$M604=1),$M604&gt;(ROW(PLE.lastrow)-ROW(PLE.firstrow))),0,IF(OFFSET(PLE!$G$14,$M604,CA$13)="",10^12,OFFSET(PLE!$G$14,$M604,CA$13))))</f>
        <v>1000000000000</v>
      </c>
      <c r="CB604" s="216">
        <f ca="1">IF($D604&lt;&gt;"Serviço",0,IF(OR(AND(AUTOEVENTO="Manual",$M604=1),$M604&gt;(ROW(PLE.lastrow)-ROW(PLE.firstrow))),0,IF(OFFSET(PLE!$G$14,$M604,CB$13)="",10^12,OFFSET(PLE!$G$14,$M604,CB$13))))</f>
        <v>1000000000000</v>
      </c>
      <c r="CC604" s="216">
        <f ca="1">IF($D604&lt;&gt;"Serviço",0,IF(OR(AND(AUTOEVENTO="Manual",$M604=1),$M604&gt;(ROW(PLE.lastrow)-ROW(PLE.firstrow))),0,IF(OFFSET(PLE!$G$14,$M604,CC$13)="",10^12,OFFSET(PLE!$G$14,$M604,CC$13))))</f>
        <v>1000000000000</v>
      </c>
      <c r="CD604" s="216">
        <f ca="1">IF($D604&lt;&gt;"Serviço",0,IF(OR(AND(AUTOEVENTO="Manual",$M604=1),$M604&gt;(ROW(PLE.lastrow)-ROW(PLE.firstrow))),0,IF(OFFSET(PLE!$G$14,$M604,CD$13)="",10^12,OFFSET(PLE!$G$14,$M604,CD$13))))</f>
        <v>1000000000000</v>
      </c>
      <c r="CE604" s="216">
        <f ca="1">IF($D604&lt;&gt;"Serviço",0,IF(OR(AND(AUTOEVENTO="Manual",$M604=1),$M604&gt;(ROW(PLE.lastrow)-ROW(PLE.firstrow))),0,IF(OFFSET(PLE!$G$14,$M604,CE$13)="",10^12,OFFSET(PLE!$G$14,$M604,CE$13))))</f>
        <v>1000000000000</v>
      </c>
      <c r="CF604" s="216">
        <f ca="1">IF($D604&lt;&gt;"Serviço",0,IF(OR(AND(AUTOEVENTO="Manual",$M604=1),$M604&gt;(ROW(PLE.lastrow)-ROW(PLE.firstrow))),0,IF(OFFSET(PLE!$G$14,$M604,CF$13)="",10^12,OFFSET(PLE!$G$14,$M604,CF$13))))</f>
        <v>1000000000000</v>
      </c>
      <c r="CG604" s="216">
        <f ca="1">IF($D604&lt;&gt;"Serviço",0,IF(OR(AND(AUTOEVENTO="Manual",$M604=1),$M604&gt;(ROW(PLE.lastrow)-ROW(PLE.firstrow))),0,IF(OFFSET(PLE!$G$14,$M604,CG$13)="",10^12,OFFSET(PLE!$G$14,$M604,CG$13))))</f>
        <v>1000000000000</v>
      </c>
      <c r="CH604" s="216">
        <f ca="1">IF($D604&lt;&gt;"Serviço",0,IF(OR(AND(AUTOEVENTO="Manual",$M604=1),$M604&gt;(ROW(PLE.lastrow)-ROW(PLE.firstrow))),0,IF(OFFSET(PLE!$G$14,$M604,CH$13)="",10^12,OFFSET(PLE!$G$14,$M604,CH$13))))</f>
        <v>1000000000000</v>
      </c>
      <c r="CI604" s="216">
        <f ca="1">IF($D604&lt;&gt;"Serviço",0,IF(OR(AND(AUTOEVENTO="Manual",$M604=1),$M604&gt;(ROW(PLE.lastrow)-ROW(PLE.firstrow))),0,IF(OFFSET(PLE!$G$14,$M604,CI$13)="",10^12,OFFSET(PLE!$G$14,$M604,CI$13))))</f>
        <v>1000000000000</v>
      </c>
      <c r="CJ604" s="216">
        <f ca="1">IF($D604&lt;&gt;"Serviço",0,IF(OR(AND(AUTOEVENTO="Manual",$M604=1),$M604&gt;(ROW(PLE.lastrow)-ROW(PLE.firstrow))),0,IF(OFFSET(PLE!$G$14,$M604,CJ$13)="",10^12,OFFSET(PLE!$G$14,$M604,CJ$13))))</f>
        <v>1000000000000</v>
      </c>
      <c r="CK604" s="216">
        <f ca="1">IF($D604&lt;&gt;"Serviço",0,IF(OR(AND(AUTOEVENTO="Manual",$M604=1),$M604&gt;(ROW(PLE.lastrow)-ROW(PLE.firstrow))),0,IF(OFFSET(PLE!$G$14,$M604,CK$13)="",10^12,OFFSET(PLE!$G$14,$M604,CK$13))))</f>
        <v>1000000000000</v>
      </c>
      <c r="CL604" s="216">
        <f ca="1">IF($D604&lt;&gt;"Serviço",0,IF(OR(AND(AUTOEVENTO="Manual",$M604=1),$M604&gt;(ROW(PLE.lastrow)-ROW(PLE.firstrow))),0,IF(OFFSET(PLE!$G$14,$M604,CL$13)="",10^12,OFFSET(PLE!$G$14,$M604,CL$13))))</f>
        <v>1000000000000</v>
      </c>
      <c r="CM604" s="216">
        <f ca="1">IF($D604&lt;&gt;"Serviço",0,IF(OR(AND(AUTOEVENTO="Manual",$M604=1),$M604&gt;(ROW(PLE.lastrow)-ROW(PLE.firstrow))),0,IF(OFFSET(PLE!$G$14,$M604,CM$13)="",10^12,OFFSET(PLE!$G$14,$M604,CM$13))))</f>
        <v>1000000000000</v>
      </c>
    </row>
    <row r="605" spans="1:91" ht="13.2" x14ac:dyDescent="0.25">
      <c r="A605" s="9">
        <f t="shared" ca="1" si="18"/>
        <v>0</v>
      </c>
      <c r="B605" s="9" t="str">
        <f ca="1">OFFSET(ORÇAMENTO!C$15,ROW(B605)-ROW(B$15),0)</f>
        <v>S</v>
      </c>
      <c r="C605" s="9" t="str">
        <f ca="1">OFFSET(ORÇAMENTO!L$15,ROW(C605)-ROW(C$15),0)</f>
        <v/>
      </c>
      <c r="D605" s="145" t="str">
        <f ca="1">OFFSET(ORÇAMENTO!N$15,ROW(D605)-ROW(D$15),0)</f>
        <v>Serviço</v>
      </c>
      <c r="E605" s="205" t="str">
        <f ca="1">OFFSET(ORÇAMENTO!O$15,ROW(E605)-ROW(E$15),0)</f>
        <v>-</v>
      </c>
      <c r="F605" s="206" t="str">
        <f ca="1">OFFSET(ORÇAMENTO!R$15,ROW(F605)-ROW(F$15),0)</f>
        <v>(abra o arquivo 'Referência 05-2024.xls)</v>
      </c>
      <c r="G605" s="207" t="str">
        <f ca="1">IF($D605&lt;&gt;"Serviço","",OFFSET(ORÇAMENTO!S$15,ROW(G605)-ROW(G$15),0))</f>
        <v>-</v>
      </c>
      <c r="H605" s="151">
        <f ca="1">IF($D605&lt;&gt;"Serviço",0,IF(ACOMPANHAMENTO="BM",ROUND(OFFSET(ORÇAMENTO!AJ$15,ROW(H605)-ROW(H$15),0),15-13*ORÇAMENTO!$AF$7),SUMPRODUCT(($Q$12:$AI$12&lt;&gt;"")*ROUND($Q605:$AI605,15-13*ORÇAMENTO!$AF$7))))</f>
        <v>8</v>
      </c>
      <c r="I605" s="650"/>
      <c r="K605" s="208"/>
      <c r="L605" s="209" t="s">
        <v>257</v>
      </c>
      <c r="M605" s="210">
        <f ca="1">IF($D605&lt;&gt;"Serviço","",IF(AUTOEVENTO="manual",$A605,IF(ISERROR(MATCH($A605,$A$15:OFFSET($A605,-1,0),0)),MAX($M$15:OFFSET(M605,-1,0))+1,INDEX($M$15:OFFSET(M605,-1,0),MATCH($A605,$A$15:OFFSET($A605,-1,0),0)))))</f>
        <v>0</v>
      </c>
      <c r="N605" s="211" t="str">
        <f ca="1">IF($D605&lt;&gt;"Serviço","",IF(AUTOEVENTO="Manual",IF($A605=0,"&lt;-- defina o número do agrupador",OFFSET(EVENTOS!$D$14,$A605,0)),OFFSET($F$15,$A605,0)))</f>
        <v>&lt;-- defina o número do agrupador</v>
      </c>
      <c r="O605" s="212"/>
      <c r="Q605" s="212"/>
      <c r="R605" s="213"/>
      <c r="S605" s="213"/>
      <c r="T605" s="213"/>
      <c r="U605" s="213"/>
      <c r="V605" s="213"/>
      <c r="W605" s="213"/>
      <c r="X605" s="213"/>
      <c r="Y605" s="213"/>
      <c r="Z605" s="214"/>
      <c r="AA605" s="213"/>
      <c r="AB605" s="213"/>
      <c r="AC605" s="213"/>
      <c r="AD605" s="213"/>
      <c r="AE605" s="213"/>
      <c r="AF605" s="213"/>
      <c r="AG605" s="213"/>
      <c r="AH605" s="214"/>
      <c r="AJ605" s="631">
        <f ca="1">IF(AND($D605="Serviço",AJ$12&lt;&gt;0,$H605&gt;0,OR(AUTOEVENTO&lt;&gt;"manual",$M605&lt;&gt;1)),ROUND(OFFSET($P605,0,AJ$13),15-13*ORÇAMENTO!$AF$7)/$H605*OFFSET(ORÇAMENTO!$X$15,ROW(AJ605)-ROW(AJ$15),0),0)</f>
        <v>0</v>
      </c>
      <c r="AK605" s="632">
        <f ca="1">IF(AND($D605="Serviço",AK$12&lt;&gt;0,$H605&gt;0,OR(AUTOEVENTO&lt;&gt;"manual",$M605&lt;&gt;1)),ROUND(OFFSET($P605,0,AK$13),15-13*ORÇAMENTO!$AF$7)/$H605*OFFSET(ORÇAMENTO!$X$15,ROW(AK605)-ROW(AK$15),0),0)</f>
        <v>0</v>
      </c>
      <c r="AL605" s="632">
        <f ca="1">IF(AND($D605="Serviço",AL$12&lt;&gt;0,$H605&gt;0,OR(AUTOEVENTO&lt;&gt;"manual",$M605&lt;&gt;1)),ROUND(OFFSET($P605,0,AL$13),15-13*ORÇAMENTO!$AF$7)/$H605*OFFSET(ORÇAMENTO!$X$15,ROW(AL605)-ROW(AL$15),0),0)</f>
        <v>0</v>
      </c>
      <c r="AM605" s="632">
        <f ca="1">IF(AND($D605="Serviço",AM$12&lt;&gt;0,$H605&gt;0,OR(AUTOEVENTO&lt;&gt;"manual",$M605&lt;&gt;1)),ROUND(OFFSET($P605,0,AM$13),15-13*ORÇAMENTO!$AF$7)/$H605*OFFSET(ORÇAMENTO!$X$15,ROW(AM605)-ROW(AM$15),0),0)</f>
        <v>0</v>
      </c>
      <c r="AN605" s="632">
        <f ca="1">IF(AND($D605="Serviço",AN$12&lt;&gt;0,$H605&gt;0,OR(AUTOEVENTO&lt;&gt;"manual",$M605&lt;&gt;1)),ROUND(OFFSET($P605,0,AN$13),15-13*ORÇAMENTO!$AF$7)/$H605*OFFSET(ORÇAMENTO!$X$15,ROW(AN605)-ROW(AN$15),0),0)</f>
        <v>0</v>
      </c>
      <c r="AO605" s="632">
        <f ca="1">IF(AND($D605="Serviço",AO$12&lt;&gt;0,$H605&gt;0,OR(AUTOEVENTO&lt;&gt;"manual",$M605&lt;&gt;1)),ROUND(OFFSET($P605,0,AO$13),15-13*ORÇAMENTO!$AF$7)/$H605*OFFSET(ORÇAMENTO!$X$15,ROW(AO605)-ROW(AO$15),0),0)</f>
        <v>0</v>
      </c>
      <c r="AP605" s="632">
        <f ca="1">IF(AND($D605="Serviço",AP$12&lt;&gt;0,$H605&gt;0,OR(AUTOEVENTO&lt;&gt;"manual",$M605&lt;&gt;1)),ROUND(OFFSET($P605,0,AP$13),15-13*ORÇAMENTO!$AF$7)/$H605*OFFSET(ORÇAMENTO!$X$15,ROW(AP605)-ROW(AP$15),0),0)</f>
        <v>0</v>
      </c>
      <c r="AQ605" s="632">
        <f ca="1">IF(AND($D605="Serviço",AQ$12&lt;&gt;0,$H605&gt;0,OR(AUTOEVENTO&lt;&gt;"manual",$M605&lt;&gt;1)),ROUND(OFFSET($P605,0,AQ$13),15-13*ORÇAMENTO!$AF$7)/$H605*OFFSET(ORÇAMENTO!$X$15,ROW(AQ605)-ROW(AQ$15),0),0)</f>
        <v>0</v>
      </c>
      <c r="AR605" s="632">
        <f ca="1">IF(AND($D605="Serviço",AR$12&lt;&gt;0,$H605&gt;0,OR(AUTOEVENTO&lt;&gt;"manual",$M605&lt;&gt;1)),ROUND(OFFSET($P605,0,AR$13),15-13*ORÇAMENTO!$AF$7)/$H605*OFFSET(ORÇAMENTO!$X$15,ROW(AR605)-ROW(AR$15),0),0)</f>
        <v>0</v>
      </c>
      <c r="AS605" s="633">
        <f ca="1">IF(AND($D605="Serviço",AS$12&lt;&gt;0,$H605&gt;0,OR(AUTOEVENTO&lt;&gt;"manual",$M605&lt;&gt;1)),ROUND(OFFSET($P605,0,AS$13),15-13*ORÇAMENTO!$AF$7)/$H605*OFFSET(ORÇAMENTO!$X$15,ROW(AS605)-ROW(AS$15),0),0)</f>
        <v>0</v>
      </c>
      <c r="AT605" s="632">
        <f ca="1">IF(AND($D605="Serviço",AT$12&lt;&gt;0,$H605&gt;0,OR(AUTOEVENTO&lt;&gt;"manual",$M605&lt;&gt;1)),ROUND(OFFSET($P605,0,AT$13),15-13*ORÇAMENTO!$AF$7)/$H605*OFFSET(ORÇAMENTO!$X$15,ROW(AT605)-ROW(AT$15),0),0)</f>
        <v>0</v>
      </c>
      <c r="AU605" s="632">
        <f ca="1">IF(AND($D605="Serviço",AU$12&lt;&gt;0,$H605&gt;0,OR(AUTOEVENTO&lt;&gt;"manual",$M605&lt;&gt;1)),ROUND(OFFSET($P605,0,AU$13),15-13*ORÇAMENTO!$AF$7)/$H605*OFFSET(ORÇAMENTO!$X$15,ROW(AU605)-ROW(AU$15),0),0)</f>
        <v>0</v>
      </c>
      <c r="AV605" s="632">
        <f ca="1">IF(AND($D605="Serviço",AV$12&lt;&gt;0,$H605&gt;0,OR(AUTOEVENTO&lt;&gt;"manual",$M605&lt;&gt;1)),ROUND(OFFSET($P605,0,AV$13),15-13*ORÇAMENTO!$AF$7)/$H605*OFFSET(ORÇAMENTO!$X$15,ROW(AV605)-ROW(AV$15),0),0)</f>
        <v>0</v>
      </c>
      <c r="AW605" s="632">
        <f ca="1">IF(AND($D605="Serviço",AW$12&lt;&gt;0,$H605&gt;0,OR(AUTOEVENTO&lt;&gt;"manual",$M605&lt;&gt;1)),ROUND(OFFSET($P605,0,AW$13),15-13*ORÇAMENTO!$AF$7)/$H605*OFFSET(ORÇAMENTO!$X$15,ROW(AW605)-ROW(AW$15),0),0)</f>
        <v>0</v>
      </c>
      <c r="AX605" s="632">
        <f ca="1">IF(AND($D605="Serviço",AX$12&lt;&gt;0,$H605&gt;0,OR(AUTOEVENTO&lt;&gt;"manual",$M605&lt;&gt;1)),ROUND(OFFSET($P605,0,AX$13),15-13*ORÇAMENTO!$AF$7)/$H605*OFFSET(ORÇAMENTO!$X$15,ROW(AX605)-ROW(AX$15),0),0)</f>
        <v>0</v>
      </c>
      <c r="AY605" s="632">
        <f ca="1">IF(AND($D605="Serviço",AY$12&lt;&gt;0,$H605&gt;0,OR(AUTOEVENTO&lt;&gt;"manual",$M605&lt;&gt;1)),ROUND(OFFSET($P605,0,AY$13),15-13*ORÇAMENTO!$AF$7)/$H605*OFFSET(ORÇAMENTO!$X$15,ROW(AY605)-ROW(AY$15),0),0)</f>
        <v>0</v>
      </c>
      <c r="AZ605" s="632">
        <f ca="1">IF(AND($D605="Serviço",AZ$12&lt;&gt;0,$H605&gt;0,OR(AUTOEVENTO&lt;&gt;"manual",$M605&lt;&gt;1)),ROUND(OFFSET($P605,0,AZ$13),15-13*ORÇAMENTO!$AF$7)/$H605*OFFSET(ORÇAMENTO!$X$15,ROW(AZ605)-ROW(AZ$15),0),0)</f>
        <v>0</v>
      </c>
      <c r="BA605" s="633">
        <f ca="1">IF(AND($D605="Serviço",BA$12&lt;&gt;0,$H605&gt;0,OR(AUTOEVENTO&lt;&gt;"manual",$M605&lt;&gt;1)),ROUND(OFFSET($P605,0,BA$13),15-13*ORÇAMENTO!$AF$7)/$H605*OFFSET(ORÇAMENTO!$X$15,ROW(BA605)-ROW(BA$15),0),0)</f>
        <v>0</v>
      </c>
      <c r="BC605" s="215">
        <f ca="1">IF($D605&lt;&gt;"Serviço",0,IF(AND(AUTOEVENTO="Manual",$M605=1),0,IF(OFFSET(CRONOPLE!$F$14,$M605,BC$13)="",10^12,OFFSET(CRONOPLE!$F$14,$M605,BC$13))))</f>
        <v>1000000000000</v>
      </c>
      <c r="BD605" s="215">
        <f ca="1">IF($D605&lt;&gt;"Serviço",0,IF(AND(AUTOEVENTO="Manual",$M605=1),0,IF(OFFSET(CRONOPLE!$F$14,$M605,BD$13)="",10^12,OFFSET(CRONOPLE!$F$14,$M605,BD$13))))</f>
        <v>1000000000000</v>
      </c>
      <c r="BE605" s="215">
        <f ca="1">IF($D605&lt;&gt;"Serviço",0,IF(AND(AUTOEVENTO="Manual",$M605=1),0,IF(OFFSET(CRONOPLE!$F$14,$M605,BE$13)="",10^12,OFFSET(CRONOPLE!$F$14,$M605,BE$13))))</f>
        <v>1000000000000</v>
      </c>
      <c r="BF605" s="215">
        <f ca="1">IF($D605&lt;&gt;"Serviço",0,IF(AND(AUTOEVENTO="Manual",$M605=1),0,IF(OFFSET(CRONOPLE!$F$14,$M605,BF$13)="",10^12,OFFSET(CRONOPLE!$F$14,$M605,BF$13))))</f>
        <v>1000000000000</v>
      </c>
      <c r="BG605" s="215">
        <f ca="1">IF($D605&lt;&gt;"Serviço",0,IF(AND(AUTOEVENTO="Manual",$M605=1),0,IF(OFFSET(CRONOPLE!$F$14,$M605,BG$13)="",10^12,OFFSET(CRONOPLE!$F$14,$M605,BG$13))))</f>
        <v>1000000000000</v>
      </c>
      <c r="BH605" s="215">
        <f ca="1">IF($D605&lt;&gt;"Serviço",0,IF(AND(AUTOEVENTO="Manual",$M605=1),0,IF(OFFSET(CRONOPLE!$F$14,$M605,BH$13)="",10^12,OFFSET(CRONOPLE!$F$14,$M605,BH$13))))</f>
        <v>1000000000000</v>
      </c>
      <c r="BI605" s="215">
        <f ca="1">IF($D605&lt;&gt;"Serviço",0,IF(AND(AUTOEVENTO="Manual",$M605=1),0,IF(OFFSET(CRONOPLE!$F$14,$M605,BI$13)="",10^12,OFFSET(CRONOPLE!$F$14,$M605,BI$13))))</f>
        <v>1000000000000</v>
      </c>
      <c r="BJ605" s="215">
        <f ca="1">IF($D605&lt;&gt;"Serviço",0,IF(AND(AUTOEVENTO="Manual",$M605=1),0,IF(OFFSET(CRONOPLE!$F$14,$M605,BJ$13)="",10^12,OFFSET(CRONOPLE!$F$14,$M605,BJ$13))))</f>
        <v>1000000000000</v>
      </c>
      <c r="BK605" s="215">
        <f ca="1">IF($D605&lt;&gt;"Serviço",0,IF(AND(AUTOEVENTO="Manual",$M605=1),0,IF(OFFSET(CRONOPLE!$F$14,$M605,BK$13)="",10^12,OFFSET(CRONOPLE!$F$14,$M605,BK$13))))</f>
        <v>1000000000000</v>
      </c>
      <c r="BL605" s="215">
        <f ca="1">IF($D605&lt;&gt;"Serviço",0,IF(AND(AUTOEVENTO="Manual",$M605=1),0,IF(OFFSET(CRONOPLE!$F$14,$M605,BL$13)="",10^12,OFFSET(CRONOPLE!$F$14,$M605,BL$13))))</f>
        <v>1000000000000</v>
      </c>
      <c r="BM605" s="215">
        <f ca="1">IF($D605&lt;&gt;"Serviço",0,IF(AND(AUTOEVENTO="Manual",$M605=1),0,IF(OFFSET(CRONOPLE!$F$14,$M605,BM$13)="",10^12,OFFSET(CRONOPLE!$F$14,$M605,BM$13))))</f>
        <v>1000000000000</v>
      </c>
      <c r="BN605" s="215">
        <f ca="1">IF($D605&lt;&gt;"Serviço",0,IF(AND(AUTOEVENTO="Manual",$M605=1),0,IF(OFFSET(CRONOPLE!$F$14,$M605,BN$13)="",10^12,OFFSET(CRONOPLE!$F$14,$M605,BN$13))))</f>
        <v>1000000000000</v>
      </c>
      <c r="BO605" s="215">
        <f ca="1">IF($D605&lt;&gt;"Serviço",0,IF(AND(AUTOEVENTO="Manual",$M605=1),0,IF(OFFSET(CRONOPLE!$F$14,$M605,BO$13)="",10^12,OFFSET(CRONOPLE!$F$14,$M605,BO$13))))</f>
        <v>1000000000000</v>
      </c>
      <c r="BP605" s="215">
        <f ca="1">IF($D605&lt;&gt;"Serviço",0,IF(AND(AUTOEVENTO="Manual",$M605=1),0,IF(OFFSET(CRONOPLE!$F$14,$M605,BP$13)="",10^12,OFFSET(CRONOPLE!$F$14,$M605,BP$13))))</f>
        <v>1000000000000</v>
      </c>
      <c r="BQ605" s="215">
        <f ca="1">IF($D605&lt;&gt;"Serviço",0,IF(AND(AUTOEVENTO="Manual",$M605=1),0,IF(OFFSET(CRONOPLE!$F$14,$M605,BQ$13)="",10^12,OFFSET(CRONOPLE!$F$14,$M605,BQ$13))))</f>
        <v>1000000000000</v>
      </c>
      <c r="BR605" s="215">
        <f ca="1">IF($D605&lt;&gt;"Serviço",0,IF(AND(AUTOEVENTO="Manual",$M605=1),0,IF(OFFSET(CRONOPLE!$F$14,$M605,BR$13)="",10^12,OFFSET(CRONOPLE!$F$14,$M605,BR$13))))</f>
        <v>1000000000000</v>
      </c>
      <c r="BS605" s="215">
        <f ca="1">IF($D605&lt;&gt;"Serviço",0,IF(AND(AUTOEVENTO="Manual",$M605=1),0,IF(OFFSET(CRONOPLE!$F$14,$M605,BS$13)="",10^12,OFFSET(CRONOPLE!$F$14,$M605,BS$13))))</f>
        <v>1000000000000</v>
      </c>
      <c r="BT605" s="215">
        <f ca="1">IF($D605&lt;&gt;"Serviço",0,IF(AND(AUTOEVENTO="Manual",$M605=1),0,IF(OFFSET(CRONOPLE!$F$14,$M605,BT$13)="",10^12,OFFSET(CRONOPLE!$F$14,$M605,BT$13))))</f>
        <v>1000000000000</v>
      </c>
      <c r="BV605" s="216">
        <f ca="1">IF($D605&lt;&gt;"Serviço",0,IF(OR(AND(AUTOEVENTO="Manual",$M605=1),$M605&gt;(ROW(PLE.lastrow)-ROW(PLE.firstrow))),0,IF(OFFSET(PLE!$G$14,$M605,BV$13)="",10^12,OFFSET(PLE!$G$14,$M605,BV$13))))</f>
        <v>1000000000000</v>
      </c>
      <c r="BW605" s="216">
        <f ca="1">IF($D605&lt;&gt;"Serviço",0,IF(OR(AND(AUTOEVENTO="Manual",$M605=1),$M605&gt;(ROW(PLE.lastrow)-ROW(PLE.firstrow))),0,IF(OFFSET(PLE!$G$14,$M605,BW$13)="",10^12,OFFSET(PLE!$G$14,$M605,BW$13))))</f>
        <v>1000000000000</v>
      </c>
      <c r="BX605" s="216">
        <f ca="1">IF($D605&lt;&gt;"Serviço",0,IF(OR(AND(AUTOEVENTO="Manual",$M605=1),$M605&gt;(ROW(PLE.lastrow)-ROW(PLE.firstrow))),0,IF(OFFSET(PLE!$G$14,$M605,BX$13)="",10^12,OFFSET(PLE!$G$14,$M605,BX$13))))</f>
        <v>1000000000000</v>
      </c>
      <c r="BY605" s="216">
        <f ca="1">IF($D605&lt;&gt;"Serviço",0,IF(OR(AND(AUTOEVENTO="Manual",$M605=1),$M605&gt;(ROW(PLE.lastrow)-ROW(PLE.firstrow))),0,IF(OFFSET(PLE!$G$14,$M605,BY$13)="",10^12,OFFSET(PLE!$G$14,$M605,BY$13))))</f>
        <v>1000000000000</v>
      </c>
      <c r="BZ605" s="216">
        <f ca="1">IF($D605&lt;&gt;"Serviço",0,IF(OR(AND(AUTOEVENTO="Manual",$M605=1),$M605&gt;(ROW(PLE.lastrow)-ROW(PLE.firstrow))),0,IF(OFFSET(PLE!$G$14,$M605,BZ$13)="",10^12,OFFSET(PLE!$G$14,$M605,BZ$13))))</f>
        <v>1000000000000</v>
      </c>
      <c r="CA605" s="216">
        <f ca="1">IF($D605&lt;&gt;"Serviço",0,IF(OR(AND(AUTOEVENTO="Manual",$M605=1),$M605&gt;(ROW(PLE.lastrow)-ROW(PLE.firstrow))),0,IF(OFFSET(PLE!$G$14,$M605,CA$13)="",10^12,OFFSET(PLE!$G$14,$M605,CA$13))))</f>
        <v>1000000000000</v>
      </c>
      <c r="CB605" s="216">
        <f ca="1">IF($D605&lt;&gt;"Serviço",0,IF(OR(AND(AUTOEVENTO="Manual",$M605=1),$M605&gt;(ROW(PLE.lastrow)-ROW(PLE.firstrow))),0,IF(OFFSET(PLE!$G$14,$M605,CB$13)="",10^12,OFFSET(PLE!$G$14,$M605,CB$13))))</f>
        <v>1000000000000</v>
      </c>
      <c r="CC605" s="216">
        <f ca="1">IF($D605&lt;&gt;"Serviço",0,IF(OR(AND(AUTOEVENTO="Manual",$M605=1),$M605&gt;(ROW(PLE.lastrow)-ROW(PLE.firstrow))),0,IF(OFFSET(PLE!$G$14,$M605,CC$13)="",10^12,OFFSET(PLE!$G$14,$M605,CC$13))))</f>
        <v>1000000000000</v>
      </c>
      <c r="CD605" s="216">
        <f ca="1">IF($D605&lt;&gt;"Serviço",0,IF(OR(AND(AUTOEVENTO="Manual",$M605=1),$M605&gt;(ROW(PLE.lastrow)-ROW(PLE.firstrow))),0,IF(OFFSET(PLE!$G$14,$M605,CD$13)="",10^12,OFFSET(PLE!$G$14,$M605,CD$13))))</f>
        <v>1000000000000</v>
      </c>
      <c r="CE605" s="216">
        <f ca="1">IF($D605&lt;&gt;"Serviço",0,IF(OR(AND(AUTOEVENTO="Manual",$M605=1),$M605&gt;(ROW(PLE.lastrow)-ROW(PLE.firstrow))),0,IF(OFFSET(PLE!$G$14,$M605,CE$13)="",10^12,OFFSET(PLE!$G$14,$M605,CE$13))))</f>
        <v>1000000000000</v>
      </c>
      <c r="CF605" s="216">
        <f ca="1">IF($D605&lt;&gt;"Serviço",0,IF(OR(AND(AUTOEVENTO="Manual",$M605=1),$M605&gt;(ROW(PLE.lastrow)-ROW(PLE.firstrow))),0,IF(OFFSET(PLE!$G$14,$M605,CF$13)="",10^12,OFFSET(PLE!$G$14,$M605,CF$13))))</f>
        <v>1000000000000</v>
      </c>
      <c r="CG605" s="216">
        <f ca="1">IF($D605&lt;&gt;"Serviço",0,IF(OR(AND(AUTOEVENTO="Manual",$M605=1),$M605&gt;(ROW(PLE.lastrow)-ROW(PLE.firstrow))),0,IF(OFFSET(PLE!$G$14,$M605,CG$13)="",10^12,OFFSET(PLE!$G$14,$M605,CG$13))))</f>
        <v>1000000000000</v>
      </c>
      <c r="CH605" s="216">
        <f ca="1">IF($D605&lt;&gt;"Serviço",0,IF(OR(AND(AUTOEVENTO="Manual",$M605=1),$M605&gt;(ROW(PLE.lastrow)-ROW(PLE.firstrow))),0,IF(OFFSET(PLE!$G$14,$M605,CH$13)="",10^12,OFFSET(PLE!$G$14,$M605,CH$13))))</f>
        <v>1000000000000</v>
      </c>
      <c r="CI605" s="216">
        <f ca="1">IF($D605&lt;&gt;"Serviço",0,IF(OR(AND(AUTOEVENTO="Manual",$M605=1),$M605&gt;(ROW(PLE.lastrow)-ROW(PLE.firstrow))),0,IF(OFFSET(PLE!$G$14,$M605,CI$13)="",10^12,OFFSET(PLE!$G$14,$M605,CI$13))))</f>
        <v>1000000000000</v>
      </c>
      <c r="CJ605" s="216">
        <f ca="1">IF($D605&lt;&gt;"Serviço",0,IF(OR(AND(AUTOEVENTO="Manual",$M605=1),$M605&gt;(ROW(PLE.lastrow)-ROW(PLE.firstrow))),0,IF(OFFSET(PLE!$G$14,$M605,CJ$13)="",10^12,OFFSET(PLE!$G$14,$M605,CJ$13))))</f>
        <v>1000000000000</v>
      </c>
      <c r="CK605" s="216">
        <f ca="1">IF($D605&lt;&gt;"Serviço",0,IF(OR(AND(AUTOEVENTO="Manual",$M605=1),$M605&gt;(ROW(PLE.lastrow)-ROW(PLE.firstrow))),0,IF(OFFSET(PLE!$G$14,$M605,CK$13)="",10^12,OFFSET(PLE!$G$14,$M605,CK$13))))</f>
        <v>1000000000000</v>
      </c>
      <c r="CL605" s="216">
        <f ca="1">IF($D605&lt;&gt;"Serviço",0,IF(OR(AND(AUTOEVENTO="Manual",$M605=1),$M605&gt;(ROW(PLE.lastrow)-ROW(PLE.firstrow))),0,IF(OFFSET(PLE!$G$14,$M605,CL$13)="",10^12,OFFSET(PLE!$G$14,$M605,CL$13))))</f>
        <v>1000000000000</v>
      </c>
      <c r="CM605" s="216">
        <f ca="1">IF($D605&lt;&gt;"Serviço",0,IF(OR(AND(AUTOEVENTO="Manual",$M605=1),$M605&gt;(ROW(PLE.lastrow)-ROW(PLE.firstrow))),0,IF(OFFSET(PLE!$G$14,$M605,CM$13)="",10^12,OFFSET(PLE!$G$14,$M605,CM$13))))</f>
        <v>1000000000000</v>
      </c>
    </row>
    <row r="606" spans="1:91" ht="13.2" x14ac:dyDescent="0.25">
      <c r="A606" s="9">
        <f t="shared" ca="1" si="18"/>
        <v>0</v>
      </c>
      <c r="B606" s="9" t="str">
        <f ca="1">OFFSET(ORÇAMENTO!C$15,ROW(B606)-ROW(B$15),0)</f>
        <v>S</v>
      </c>
      <c r="C606" s="9" t="str">
        <f ca="1">OFFSET(ORÇAMENTO!L$15,ROW(C606)-ROW(C$15),0)</f>
        <v/>
      </c>
      <c r="D606" s="145" t="str">
        <f ca="1">OFFSET(ORÇAMENTO!N$15,ROW(D606)-ROW(D$15),0)</f>
        <v>Serviço</v>
      </c>
      <c r="E606" s="205" t="str">
        <f ca="1">OFFSET(ORÇAMENTO!O$15,ROW(E606)-ROW(E$15),0)</f>
        <v>-</v>
      </c>
      <c r="F606" s="206" t="str">
        <f ca="1">OFFSET(ORÇAMENTO!R$15,ROW(F606)-ROW(F$15),0)</f>
        <v>(abra o arquivo 'Referência 05-2024.xls)</v>
      </c>
      <c r="G606" s="207" t="str">
        <f ca="1">IF($D606&lt;&gt;"Serviço","",OFFSET(ORÇAMENTO!S$15,ROW(G606)-ROW(G$15),0))</f>
        <v>-</v>
      </c>
      <c r="H606" s="151">
        <f ca="1">IF($D606&lt;&gt;"Serviço",0,IF(ACOMPANHAMENTO="BM",ROUND(OFFSET(ORÇAMENTO!AJ$15,ROW(H606)-ROW(H$15),0),15-13*ORÇAMENTO!$AF$7),SUMPRODUCT(($Q$12:$AI$12&lt;&gt;"")*ROUND($Q606:$AI606,15-13*ORÇAMENTO!$AF$7))))</f>
        <v>23</v>
      </c>
      <c r="I606" s="650"/>
      <c r="K606" s="208"/>
      <c r="L606" s="209" t="s">
        <v>257</v>
      </c>
      <c r="M606" s="210">
        <f ca="1">IF($D606&lt;&gt;"Serviço","",IF(AUTOEVENTO="manual",$A606,IF(ISERROR(MATCH($A606,$A$15:OFFSET($A606,-1,0),0)),MAX($M$15:OFFSET(M606,-1,0))+1,INDEX($M$15:OFFSET(M606,-1,0),MATCH($A606,$A$15:OFFSET($A606,-1,0),0)))))</f>
        <v>0</v>
      </c>
      <c r="N606" s="211" t="str">
        <f ca="1">IF($D606&lt;&gt;"Serviço","",IF(AUTOEVENTO="Manual",IF($A606=0,"&lt;-- defina o número do agrupador",OFFSET(EVENTOS!$D$14,$A606,0)),OFFSET($F$15,$A606,0)))</f>
        <v>&lt;-- defina o número do agrupador</v>
      </c>
      <c r="O606" s="212"/>
      <c r="Q606" s="212"/>
      <c r="R606" s="213"/>
      <c r="S606" s="213"/>
      <c r="T606" s="213"/>
      <c r="U606" s="213"/>
      <c r="V606" s="213"/>
      <c r="W606" s="213"/>
      <c r="X606" s="213"/>
      <c r="Y606" s="213"/>
      <c r="Z606" s="214"/>
      <c r="AA606" s="213"/>
      <c r="AB606" s="213"/>
      <c r="AC606" s="213"/>
      <c r="AD606" s="213"/>
      <c r="AE606" s="213"/>
      <c r="AF606" s="213"/>
      <c r="AG606" s="213"/>
      <c r="AH606" s="214"/>
      <c r="AJ606" s="631">
        <f ca="1">IF(AND($D606="Serviço",AJ$12&lt;&gt;0,$H606&gt;0,OR(AUTOEVENTO&lt;&gt;"manual",$M606&lt;&gt;1)),ROUND(OFFSET($P606,0,AJ$13),15-13*ORÇAMENTO!$AF$7)/$H606*OFFSET(ORÇAMENTO!$X$15,ROW(AJ606)-ROW(AJ$15),0),0)</f>
        <v>0</v>
      </c>
      <c r="AK606" s="632">
        <f ca="1">IF(AND($D606="Serviço",AK$12&lt;&gt;0,$H606&gt;0,OR(AUTOEVENTO&lt;&gt;"manual",$M606&lt;&gt;1)),ROUND(OFFSET($P606,0,AK$13),15-13*ORÇAMENTO!$AF$7)/$H606*OFFSET(ORÇAMENTO!$X$15,ROW(AK606)-ROW(AK$15),0),0)</f>
        <v>0</v>
      </c>
      <c r="AL606" s="632">
        <f ca="1">IF(AND($D606="Serviço",AL$12&lt;&gt;0,$H606&gt;0,OR(AUTOEVENTO&lt;&gt;"manual",$M606&lt;&gt;1)),ROUND(OFFSET($P606,0,AL$13),15-13*ORÇAMENTO!$AF$7)/$H606*OFFSET(ORÇAMENTO!$X$15,ROW(AL606)-ROW(AL$15),0),0)</f>
        <v>0</v>
      </c>
      <c r="AM606" s="632">
        <f ca="1">IF(AND($D606="Serviço",AM$12&lt;&gt;0,$H606&gt;0,OR(AUTOEVENTO&lt;&gt;"manual",$M606&lt;&gt;1)),ROUND(OFFSET($P606,0,AM$13),15-13*ORÇAMENTO!$AF$7)/$H606*OFFSET(ORÇAMENTO!$X$15,ROW(AM606)-ROW(AM$15),0),0)</f>
        <v>0</v>
      </c>
      <c r="AN606" s="632">
        <f ca="1">IF(AND($D606="Serviço",AN$12&lt;&gt;0,$H606&gt;0,OR(AUTOEVENTO&lt;&gt;"manual",$M606&lt;&gt;1)),ROUND(OFFSET($P606,0,AN$13),15-13*ORÇAMENTO!$AF$7)/$H606*OFFSET(ORÇAMENTO!$X$15,ROW(AN606)-ROW(AN$15),0),0)</f>
        <v>0</v>
      </c>
      <c r="AO606" s="632">
        <f ca="1">IF(AND($D606="Serviço",AO$12&lt;&gt;0,$H606&gt;0,OR(AUTOEVENTO&lt;&gt;"manual",$M606&lt;&gt;1)),ROUND(OFFSET($P606,0,AO$13),15-13*ORÇAMENTO!$AF$7)/$H606*OFFSET(ORÇAMENTO!$X$15,ROW(AO606)-ROW(AO$15),0),0)</f>
        <v>0</v>
      </c>
      <c r="AP606" s="632">
        <f ca="1">IF(AND($D606="Serviço",AP$12&lt;&gt;0,$H606&gt;0,OR(AUTOEVENTO&lt;&gt;"manual",$M606&lt;&gt;1)),ROUND(OFFSET($P606,0,AP$13),15-13*ORÇAMENTO!$AF$7)/$H606*OFFSET(ORÇAMENTO!$X$15,ROW(AP606)-ROW(AP$15),0),0)</f>
        <v>0</v>
      </c>
      <c r="AQ606" s="632">
        <f ca="1">IF(AND($D606="Serviço",AQ$12&lt;&gt;0,$H606&gt;0,OR(AUTOEVENTO&lt;&gt;"manual",$M606&lt;&gt;1)),ROUND(OFFSET($P606,0,AQ$13),15-13*ORÇAMENTO!$AF$7)/$H606*OFFSET(ORÇAMENTO!$X$15,ROW(AQ606)-ROW(AQ$15),0),0)</f>
        <v>0</v>
      </c>
      <c r="AR606" s="632">
        <f ca="1">IF(AND($D606="Serviço",AR$12&lt;&gt;0,$H606&gt;0,OR(AUTOEVENTO&lt;&gt;"manual",$M606&lt;&gt;1)),ROUND(OFFSET($P606,0,AR$13),15-13*ORÇAMENTO!$AF$7)/$H606*OFFSET(ORÇAMENTO!$X$15,ROW(AR606)-ROW(AR$15),0),0)</f>
        <v>0</v>
      </c>
      <c r="AS606" s="633">
        <f ca="1">IF(AND($D606="Serviço",AS$12&lt;&gt;0,$H606&gt;0,OR(AUTOEVENTO&lt;&gt;"manual",$M606&lt;&gt;1)),ROUND(OFFSET($P606,0,AS$13),15-13*ORÇAMENTO!$AF$7)/$H606*OFFSET(ORÇAMENTO!$X$15,ROW(AS606)-ROW(AS$15),0),0)</f>
        <v>0</v>
      </c>
      <c r="AT606" s="632">
        <f ca="1">IF(AND($D606="Serviço",AT$12&lt;&gt;0,$H606&gt;0,OR(AUTOEVENTO&lt;&gt;"manual",$M606&lt;&gt;1)),ROUND(OFFSET($P606,0,AT$13),15-13*ORÇAMENTO!$AF$7)/$H606*OFFSET(ORÇAMENTO!$X$15,ROW(AT606)-ROW(AT$15),0),0)</f>
        <v>0</v>
      </c>
      <c r="AU606" s="632">
        <f ca="1">IF(AND($D606="Serviço",AU$12&lt;&gt;0,$H606&gt;0,OR(AUTOEVENTO&lt;&gt;"manual",$M606&lt;&gt;1)),ROUND(OFFSET($P606,0,AU$13),15-13*ORÇAMENTO!$AF$7)/$H606*OFFSET(ORÇAMENTO!$X$15,ROW(AU606)-ROW(AU$15),0),0)</f>
        <v>0</v>
      </c>
      <c r="AV606" s="632">
        <f ca="1">IF(AND($D606="Serviço",AV$12&lt;&gt;0,$H606&gt;0,OR(AUTOEVENTO&lt;&gt;"manual",$M606&lt;&gt;1)),ROUND(OFFSET($P606,0,AV$13),15-13*ORÇAMENTO!$AF$7)/$H606*OFFSET(ORÇAMENTO!$X$15,ROW(AV606)-ROW(AV$15),0),0)</f>
        <v>0</v>
      </c>
      <c r="AW606" s="632">
        <f ca="1">IF(AND($D606="Serviço",AW$12&lt;&gt;0,$H606&gt;0,OR(AUTOEVENTO&lt;&gt;"manual",$M606&lt;&gt;1)),ROUND(OFFSET($P606,0,AW$13),15-13*ORÇAMENTO!$AF$7)/$H606*OFFSET(ORÇAMENTO!$X$15,ROW(AW606)-ROW(AW$15),0),0)</f>
        <v>0</v>
      </c>
      <c r="AX606" s="632">
        <f ca="1">IF(AND($D606="Serviço",AX$12&lt;&gt;0,$H606&gt;0,OR(AUTOEVENTO&lt;&gt;"manual",$M606&lt;&gt;1)),ROUND(OFFSET($P606,0,AX$13),15-13*ORÇAMENTO!$AF$7)/$H606*OFFSET(ORÇAMENTO!$X$15,ROW(AX606)-ROW(AX$15),0),0)</f>
        <v>0</v>
      </c>
      <c r="AY606" s="632">
        <f ca="1">IF(AND($D606="Serviço",AY$12&lt;&gt;0,$H606&gt;0,OR(AUTOEVENTO&lt;&gt;"manual",$M606&lt;&gt;1)),ROUND(OFFSET($P606,0,AY$13),15-13*ORÇAMENTO!$AF$7)/$H606*OFFSET(ORÇAMENTO!$X$15,ROW(AY606)-ROW(AY$15),0),0)</f>
        <v>0</v>
      </c>
      <c r="AZ606" s="632">
        <f ca="1">IF(AND($D606="Serviço",AZ$12&lt;&gt;0,$H606&gt;0,OR(AUTOEVENTO&lt;&gt;"manual",$M606&lt;&gt;1)),ROUND(OFFSET($P606,0,AZ$13),15-13*ORÇAMENTO!$AF$7)/$H606*OFFSET(ORÇAMENTO!$X$15,ROW(AZ606)-ROW(AZ$15),0),0)</f>
        <v>0</v>
      </c>
      <c r="BA606" s="633">
        <f ca="1">IF(AND($D606="Serviço",BA$12&lt;&gt;0,$H606&gt;0,OR(AUTOEVENTO&lt;&gt;"manual",$M606&lt;&gt;1)),ROUND(OFFSET($P606,0,BA$13),15-13*ORÇAMENTO!$AF$7)/$H606*OFFSET(ORÇAMENTO!$X$15,ROW(BA606)-ROW(BA$15),0),0)</f>
        <v>0</v>
      </c>
      <c r="BC606" s="215">
        <f ca="1">IF($D606&lt;&gt;"Serviço",0,IF(AND(AUTOEVENTO="Manual",$M606=1),0,IF(OFFSET(CRONOPLE!$F$14,$M606,BC$13)="",10^12,OFFSET(CRONOPLE!$F$14,$M606,BC$13))))</f>
        <v>1000000000000</v>
      </c>
      <c r="BD606" s="215">
        <f ca="1">IF($D606&lt;&gt;"Serviço",0,IF(AND(AUTOEVENTO="Manual",$M606=1),0,IF(OFFSET(CRONOPLE!$F$14,$M606,BD$13)="",10^12,OFFSET(CRONOPLE!$F$14,$M606,BD$13))))</f>
        <v>1000000000000</v>
      </c>
      <c r="BE606" s="215">
        <f ca="1">IF($D606&lt;&gt;"Serviço",0,IF(AND(AUTOEVENTO="Manual",$M606=1),0,IF(OFFSET(CRONOPLE!$F$14,$M606,BE$13)="",10^12,OFFSET(CRONOPLE!$F$14,$M606,BE$13))))</f>
        <v>1000000000000</v>
      </c>
      <c r="BF606" s="215">
        <f ca="1">IF($D606&lt;&gt;"Serviço",0,IF(AND(AUTOEVENTO="Manual",$M606=1),0,IF(OFFSET(CRONOPLE!$F$14,$M606,BF$13)="",10^12,OFFSET(CRONOPLE!$F$14,$M606,BF$13))))</f>
        <v>1000000000000</v>
      </c>
      <c r="BG606" s="215">
        <f ca="1">IF($D606&lt;&gt;"Serviço",0,IF(AND(AUTOEVENTO="Manual",$M606=1),0,IF(OFFSET(CRONOPLE!$F$14,$M606,BG$13)="",10^12,OFFSET(CRONOPLE!$F$14,$M606,BG$13))))</f>
        <v>1000000000000</v>
      </c>
      <c r="BH606" s="215">
        <f ca="1">IF($D606&lt;&gt;"Serviço",0,IF(AND(AUTOEVENTO="Manual",$M606=1),0,IF(OFFSET(CRONOPLE!$F$14,$M606,BH$13)="",10^12,OFFSET(CRONOPLE!$F$14,$M606,BH$13))))</f>
        <v>1000000000000</v>
      </c>
      <c r="BI606" s="215">
        <f ca="1">IF($D606&lt;&gt;"Serviço",0,IF(AND(AUTOEVENTO="Manual",$M606=1),0,IF(OFFSET(CRONOPLE!$F$14,$M606,BI$13)="",10^12,OFFSET(CRONOPLE!$F$14,$M606,BI$13))))</f>
        <v>1000000000000</v>
      </c>
      <c r="BJ606" s="215">
        <f ca="1">IF($D606&lt;&gt;"Serviço",0,IF(AND(AUTOEVENTO="Manual",$M606=1),0,IF(OFFSET(CRONOPLE!$F$14,$M606,BJ$13)="",10^12,OFFSET(CRONOPLE!$F$14,$M606,BJ$13))))</f>
        <v>1000000000000</v>
      </c>
      <c r="BK606" s="215">
        <f ca="1">IF($D606&lt;&gt;"Serviço",0,IF(AND(AUTOEVENTO="Manual",$M606=1),0,IF(OFFSET(CRONOPLE!$F$14,$M606,BK$13)="",10^12,OFFSET(CRONOPLE!$F$14,$M606,BK$13))))</f>
        <v>1000000000000</v>
      </c>
      <c r="BL606" s="215">
        <f ca="1">IF($D606&lt;&gt;"Serviço",0,IF(AND(AUTOEVENTO="Manual",$M606=1),0,IF(OFFSET(CRONOPLE!$F$14,$M606,BL$13)="",10^12,OFFSET(CRONOPLE!$F$14,$M606,BL$13))))</f>
        <v>1000000000000</v>
      </c>
      <c r="BM606" s="215">
        <f ca="1">IF($D606&lt;&gt;"Serviço",0,IF(AND(AUTOEVENTO="Manual",$M606=1),0,IF(OFFSET(CRONOPLE!$F$14,$M606,BM$13)="",10^12,OFFSET(CRONOPLE!$F$14,$M606,BM$13))))</f>
        <v>1000000000000</v>
      </c>
      <c r="BN606" s="215">
        <f ca="1">IF($D606&lt;&gt;"Serviço",0,IF(AND(AUTOEVENTO="Manual",$M606=1),0,IF(OFFSET(CRONOPLE!$F$14,$M606,BN$13)="",10^12,OFFSET(CRONOPLE!$F$14,$M606,BN$13))))</f>
        <v>1000000000000</v>
      </c>
      <c r="BO606" s="215">
        <f ca="1">IF($D606&lt;&gt;"Serviço",0,IF(AND(AUTOEVENTO="Manual",$M606=1),0,IF(OFFSET(CRONOPLE!$F$14,$M606,BO$13)="",10^12,OFFSET(CRONOPLE!$F$14,$M606,BO$13))))</f>
        <v>1000000000000</v>
      </c>
      <c r="BP606" s="215">
        <f ca="1">IF($D606&lt;&gt;"Serviço",0,IF(AND(AUTOEVENTO="Manual",$M606=1),0,IF(OFFSET(CRONOPLE!$F$14,$M606,BP$13)="",10^12,OFFSET(CRONOPLE!$F$14,$M606,BP$13))))</f>
        <v>1000000000000</v>
      </c>
      <c r="BQ606" s="215">
        <f ca="1">IF($D606&lt;&gt;"Serviço",0,IF(AND(AUTOEVENTO="Manual",$M606=1),0,IF(OFFSET(CRONOPLE!$F$14,$M606,BQ$13)="",10^12,OFFSET(CRONOPLE!$F$14,$M606,BQ$13))))</f>
        <v>1000000000000</v>
      </c>
      <c r="BR606" s="215">
        <f ca="1">IF($D606&lt;&gt;"Serviço",0,IF(AND(AUTOEVENTO="Manual",$M606=1),0,IF(OFFSET(CRONOPLE!$F$14,$M606,BR$13)="",10^12,OFFSET(CRONOPLE!$F$14,$M606,BR$13))))</f>
        <v>1000000000000</v>
      </c>
      <c r="BS606" s="215">
        <f ca="1">IF($D606&lt;&gt;"Serviço",0,IF(AND(AUTOEVENTO="Manual",$M606=1),0,IF(OFFSET(CRONOPLE!$F$14,$M606,BS$13)="",10^12,OFFSET(CRONOPLE!$F$14,$M606,BS$13))))</f>
        <v>1000000000000</v>
      </c>
      <c r="BT606" s="215">
        <f ca="1">IF($D606&lt;&gt;"Serviço",0,IF(AND(AUTOEVENTO="Manual",$M606=1),0,IF(OFFSET(CRONOPLE!$F$14,$M606,BT$13)="",10^12,OFFSET(CRONOPLE!$F$14,$M606,BT$13))))</f>
        <v>1000000000000</v>
      </c>
      <c r="BV606" s="216">
        <f ca="1">IF($D606&lt;&gt;"Serviço",0,IF(OR(AND(AUTOEVENTO="Manual",$M606=1),$M606&gt;(ROW(PLE.lastrow)-ROW(PLE.firstrow))),0,IF(OFFSET(PLE!$G$14,$M606,BV$13)="",10^12,OFFSET(PLE!$G$14,$M606,BV$13))))</f>
        <v>1000000000000</v>
      </c>
      <c r="BW606" s="216">
        <f ca="1">IF($D606&lt;&gt;"Serviço",0,IF(OR(AND(AUTOEVENTO="Manual",$M606=1),$M606&gt;(ROW(PLE.lastrow)-ROW(PLE.firstrow))),0,IF(OFFSET(PLE!$G$14,$M606,BW$13)="",10^12,OFFSET(PLE!$G$14,$M606,BW$13))))</f>
        <v>1000000000000</v>
      </c>
      <c r="BX606" s="216">
        <f ca="1">IF($D606&lt;&gt;"Serviço",0,IF(OR(AND(AUTOEVENTO="Manual",$M606=1),$M606&gt;(ROW(PLE.lastrow)-ROW(PLE.firstrow))),0,IF(OFFSET(PLE!$G$14,$M606,BX$13)="",10^12,OFFSET(PLE!$G$14,$M606,BX$13))))</f>
        <v>1000000000000</v>
      </c>
      <c r="BY606" s="216">
        <f ca="1">IF($D606&lt;&gt;"Serviço",0,IF(OR(AND(AUTOEVENTO="Manual",$M606=1),$M606&gt;(ROW(PLE.lastrow)-ROW(PLE.firstrow))),0,IF(OFFSET(PLE!$G$14,$M606,BY$13)="",10^12,OFFSET(PLE!$G$14,$M606,BY$13))))</f>
        <v>1000000000000</v>
      </c>
      <c r="BZ606" s="216">
        <f ca="1">IF($D606&lt;&gt;"Serviço",0,IF(OR(AND(AUTOEVENTO="Manual",$M606=1),$M606&gt;(ROW(PLE.lastrow)-ROW(PLE.firstrow))),0,IF(OFFSET(PLE!$G$14,$M606,BZ$13)="",10^12,OFFSET(PLE!$G$14,$M606,BZ$13))))</f>
        <v>1000000000000</v>
      </c>
      <c r="CA606" s="216">
        <f ca="1">IF($D606&lt;&gt;"Serviço",0,IF(OR(AND(AUTOEVENTO="Manual",$M606=1),$M606&gt;(ROW(PLE.lastrow)-ROW(PLE.firstrow))),0,IF(OFFSET(PLE!$G$14,$M606,CA$13)="",10^12,OFFSET(PLE!$G$14,$M606,CA$13))))</f>
        <v>1000000000000</v>
      </c>
      <c r="CB606" s="216">
        <f ca="1">IF($D606&lt;&gt;"Serviço",0,IF(OR(AND(AUTOEVENTO="Manual",$M606=1),$M606&gt;(ROW(PLE.lastrow)-ROW(PLE.firstrow))),0,IF(OFFSET(PLE!$G$14,$M606,CB$13)="",10^12,OFFSET(PLE!$G$14,$M606,CB$13))))</f>
        <v>1000000000000</v>
      </c>
      <c r="CC606" s="216">
        <f ca="1">IF($D606&lt;&gt;"Serviço",0,IF(OR(AND(AUTOEVENTO="Manual",$M606=1),$M606&gt;(ROW(PLE.lastrow)-ROW(PLE.firstrow))),0,IF(OFFSET(PLE!$G$14,$M606,CC$13)="",10^12,OFFSET(PLE!$G$14,$M606,CC$13))))</f>
        <v>1000000000000</v>
      </c>
      <c r="CD606" s="216">
        <f ca="1">IF($D606&lt;&gt;"Serviço",0,IF(OR(AND(AUTOEVENTO="Manual",$M606=1),$M606&gt;(ROW(PLE.lastrow)-ROW(PLE.firstrow))),0,IF(OFFSET(PLE!$G$14,$M606,CD$13)="",10^12,OFFSET(PLE!$G$14,$M606,CD$13))))</f>
        <v>1000000000000</v>
      </c>
      <c r="CE606" s="216">
        <f ca="1">IF($D606&lt;&gt;"Serviço",0,IF(OR(AND(AUTOEVENTO="Manual",$M606=1),$M606&gt;(ROW(PLE.lastrow)-ROW(PLE.firstrow))),0,IF(OFFSET(PLE!$G$14,$M606,CE$13)="",10^12,OFFSET(PLE!$G$14,$M606,CE$13))))</f>
        <v>1000000000000</v>
      </c>
      <c r="CF606" s="216">
        <f ca="1">IF($D606&lt;&gt;"Serviço",0,IF(OR(AND(AUTOEVENTO="Manual",$M606=1),$M606&gt;(ROW(PLE.lastrow)-ROW(PLE.firstrow))),0,IF(OFFSET(PLE!$G$14,$M606,CF$13)="",10^12,OFFSET(PLE!$G$14,$M606,CF$13))))</f>
        <v>1000000000000</v>
      </c>
      <c r="CG606" s="216">
        <f ca="1">IF($D606&lt;&gt;"Serviço",0,IF(OR(AND(AUTOEVENTO="Manual",$M606=1),$M606&gt;(ROW(PLE.lastrow)-ROW(PLE.firstrow))),0,IF(OFFSET(PLE!$G$14,$M606,CG$13)="",10^12,OFFSET(PLE!$G$14,$M606,CG$13))))</f>
        <v>1000000000000</v>
      </c>
      <c r="CH606" s="216">
        <f ca="1">IF($D606&lt;&gt;"Serviço",0,IF(OR(AND(AUTOEVENTO="Manual",$M606=1),$M606&gt;(ROW(PLE.lastrow)-ROW(PLE.firstrow))),0,IF(OFFSET(PLE!$G$14,$M606,CH$13)="",10^12,OFFSET(PLE!$G$14,$M606,CH$13))))</f>
        <v>1000000000000</v>
      </c>
      <c r="CI606" s="216">
        <f ca="1">IF($D606&lt;&gt;"Serviço",0,IF(OR(AND(AUTOEVENTO="Manual",$M606=1),$M606&gt;(ROW(PLE.lastrow)-ROW(PLE.firstrow))),0,IF(OFFSET(PLE!$G$14,$M606,CI$13)="",10^12,OFFSET(PLE!$G$14,$M606,CI$13))))</f>
        <v>1000000000000</v>
      </c>
      <c r="CJ606" s="216">
        <f ca="1">IF($D606&lt;&gt;"Serviço",0,IF(OR(AND(AUTOEVENTO="Manual",$M606=1),$M606&gt;(ROW(PLE.lastrow)-ROW(PLE.firstrow))),0,IF(OFFSET(PLE!$G$14,$M606,CJ$13)="",10^12,OFFSET(PLE!$G$14,$M606,CJ$13))))</f>
        <v>1000000000000</v>
      </c>
      <c r="CK606" s="216">
        <f ca="1">IF($D606&lt;&gt;"Serviço",0,IF(OR(AND(AUTOEVENTO="Manual",$M606=1),$M606&gt;(ROW(PLE.lastrow)-ROW(PLE.firstrow))),0,IF(OFFSET(PLE!$G$14,$M606,CK$13)="",10^12,OFFSET(PLE!$G$14,$M606,CK$13))))</f>
        <v>1000000000000</v>
      </c>
      <c r="CL606" s="216">
        <f ca="1">IF($D606&lt;&gt;"Serviço",0,IF(OR(AND(AUTOEVENTO="Manual",$M606=1),$M606&gt;(ROW(PLE.lastrow)-ROW(PLE.firstrow))),0,IF(OFFSET(PLE!$G$14,$M606,CL$13)="",10^12,OFFSET(PLE!$G$14,$M606,CL$13))))</f>
        <v>1000000000000</v>
      </c>
      <c r="CM606" s="216">
        <f ca="1">IF($D606&lt;&gt;"Serviço",0,IF(OR(AND(AUTOEVENTO="Manual",$M606=1),$M606&gt;(ROW(PLE.lastrow)-ROW(PLE.firstrow))),0,IF(OFFSET(PLE!$G$14,$M606,CM$13)="",10^12,OFFSET(PLE!$G$14,$M606,CM$13))))</f>
        <v>1000000000000</v>
      </c>
    </row>
    <row r="607" spans="1:91" ht="13.2" x14ac:dyDescent="0.25">
      <c r="A607" s="9">
        <f t="shared" ca="1" si="18"/>
        <v>0</v>
      </c>
      <c r="B607" s="9" t="str">
        <f ca="1">OFFSET(ORÇAMENTO!C$15,ROW(B607)-ROW(B$15),0)</f>
        <v>S</v>
      </c>
      <c r="C607" s="9" t="str">
        <f ca="1">OFFSET(ORÇAMENTO!L$15,ROW(C607)-ROW(C$15),0)</f>
        <v/>
      </c>
      <c r="D607" s="145" t="str">
        <f ca="1">OFFSET(ORÇAMENTO!N$15,ROW(D607)-ROW(D$15),0)</f>
        <v>Serviço</v>
      </c>
      <c r="E607" s="205" t="str">
        <f ca="1">OFFSET(ORÇAMENTO!O$15,ROW(E607)-ROW(E$15),0)</f>
        <v>-</v>
      </c>
      <c r="F607" s="206" t="str">
        <f ca="1">OFFSET(ORÇAMENTO!R$15,ROW(F607)-ROW(F$15),0)</f>
        <v>(abra o arquivo 'Referência 05-2024.xls)</v>
      </c>
      <c r="G607" s="207" t="str">
        <f ca="1">IF($D607&lt;&gt;"Serviço","",OFFSET(ORÇAMENTO!S$15,ROW(G607)-ROW(G$15),0))</f>
        <v>-</v>
      </c>
      <c r="H607" s="151">
        <f ca="1">IF($D607&lt;&gt;"Serviço",0,IF(ACOMPANHAMENTO="BM",ROUND(OFFSET(ORÇAMENTO!AJ$15,ROW(H607)-ROW(H$15),0),15-13*ORÇAMENTO!$AF$7),SUMPRODUCT(($Q$12:$AI$12&lt;&gt;"")*ROUND($Q607:$AI607,15-13*ORÇAMENTO!$AF$7))))</f>
        <v>9</v>
      </c>
      <c r="I607" s="650"/>
      <c r="K607" s="208"/>
      <c r="L607" s="209" t="s">
        <v>257</v>
      </c>
      <c r="M607" s="210">
        <f ca="1">IF($D607&lt;&gt;"Serviço","",IF(AUTOEVENTO="manual",$A607,IF(ISERROR(MATCH($A607,$A$15:OFFSET($A607,-1,0),0)),MAX($M$15:OFFSET(M607,-1,0))+1,INDEX($M$15:OFFSET(M607,-1,0),MATCH($A607,$A$15:OFFSET($A607,-1,0),0)))))</f>
        <v>0</v>
      </c>
      <c r="N607" s="211" t="str">
        <f ca="1">IF($D607&lt;&gt;"Serviço","",IF(AUTOEVENTO="Manual",IF($A607=0,"&lt;-- defina o número do agrupador",OFFSET(EVENTOS!$D$14,$A607,0)),OFFSET($F$15,$A607,0)))</f>
        <v>&lt;-- defina o número do agrupador</v>
      </c>
      <c r="O607" s="212"/>
      <c r="Q607" s="212"/>
      <c r="R607" s="213"/>
      <c r="S607" s="213"/>
      <c r="T607" s="213"/>
      <c r="U607" s="213"/>
      <c r="V607" s="213"/>
      <c r="W607" s="213"/>
      <c r="X607" s="213"/>
      <c r="Y607" s="213"/>
      <c r="Z607" s="214"/>
      <c r="AA607" s="213"/>
      <c r="AB607" s="213"/>
      <c r="AC607" s="213"/>
      <c r="AD607" s="213"/>
      <c r="AE607" s="213"/>
      <c r="AF607" s="213"/>
      <c r="AG607" s="213"/>
      <c r="AH607" s="214"/>
      <c r="AJ607" s="631">
        <f ca="1">IF(AND($D607="Serviço",AJ$12&lt;&gt;0,$H607&gt;0,OR(AUTOEVENTO&lt;&gt;"manual",$M607&lt;&gt;1)),ROUND(OFFSET($P607,0,AJ$13),15-13*ORÇAMENTO!$AF$7)/$H607*OFFSET(ORÇAMENTO!$X$15,ROW(AJ607)-ROW(AJ$15),0),0)</f>
        <v>0</v>
      </c>
      <c r="AK607" s="632">
        <f ca="1">IF(AND($D607="Serviço",AK$12&lt;&gt;0,$H607&gt;0,OR(AUTOEVENTO&lt;&gt;"manual",$M607&lt;&gt;1)),ROUND(OFFSET($P607,0,AK$13),15-13*ORÇAMENTO!$AF$7)/$H607*OFFSET(ORÇAMENTO!$X$15,ROW(AK607)-ROW(AK$15),0),0)</f>
        <v>0</v>
      </c>
      <c r="AL607" s="632">
        <f ca="1">IF(AND($D607="Serviço",AL$12&lt;&gt;0,$H607&gt;0,OR(AUTOEVENTO&lt;&gt;"manual",$M607&lt;&gt;1)),ROUND(OFFSET($P607,0,AL$13),15-13*ORÇAMENTO!$AF$7)/$H607*OFFSET(ORÇAMENTO!$X$15,ROW(AL607)-ROW(AL$15),0),0)</f>
        <v>0</v>
      </c>
      <c r="AM607" s="632">
        <f ca="1">IF(AND($D607="Serviço",AM$12&lt;&gt;0,$H607&gt;0,OR(AUTOEVENTO&lt;&gt;"manual",$M607&lt;&gt;1)),ROUND(OFFSET($P607,0,AM$13),15-13*ORÇAMENTO!$AF$7)/$H607*OFFSET(ORÇAMENTO!$X$15,ROW(AM607)-ROW(AM$15),0),0)</f>
        <v>0</v>
      </c>
      <c r="AN607" s="632">
        <f ca="1">IF(AND($D607="Serviço",AN$12&lt;&gt;0,$H607&gt;0,OR(AUTOEVENTO&lt;&gt;"manual",$M607&lt;&gt;1)),ROUND(OFFSET($P607,0,AN$13),15-13*ORÇAMENTO!$AF$7)/$H607*OFFSET(ORÇAMENTO!$X$15,ROW(AN607)-ROW(AN$15),0),0)</f>
        <v>0</v>
      </c>
      <c r="AO607" s="632">
        <f ca="1">IF(AND($D607="Serviço",AO$12&lt;&gt;0,$H607&gt;0,OR(AUTOEVENTO&lt;&gt;"manual",$M607&lt;&gt;1)),ROUND(OFFSET($P607,0,AO$13),15-13*ORÇAMENTO!$AF$7)/$H607*OFFSET(ORÇAMENTO!$X$15,ROW(AO607)-ROW(AO$15),0),0)</f>
        <v>0</v>
      </c>
      <c r="AP607" s="632">
        <f ca="1">IF(AND($D607="Serviço",AP$12&lt;&gt;0,$H607&gt;0,OR(AUTOEVENTO&lt;&gt;"manual",$M607&lt;&gt;1)),ROUND(OFFSET($P607,0,AP$13),15-13*ORÇAMENTO!$AF$7)/$H607*OFFSET(ORÇAMENTO!$X$15,ROW(AP607)-ROW(AP$15),0),0)</f>
        <v>0</v>
      </c>
      <c r="AQ607" s="632">
        <f ca="1">IF(AND($D607="Serviço",AQ$12&lt;&gt;0,$H607&gt;0,OR(AUTOEVENTO&lt;&gt;"manual",$M607&lt;&gt;1)),ROUND(OFFSET($P607,0,AQ$13),15-13*ORÇAMENTO!$AF$7)/$H607*OFFSET(ORÇAMENTO!$X$15,ROW(AQ607)-ROW(AQ$15),0),0)</f>
        <v>0</v>
      </c>
      <c r="AR607" s="632">
        <f ca="1">IF(AND($D607="Serviço",AR$12&lt;&gt;0,$H607&gt;0,OR(AUTOEVENTO&lt;&gt;"manual",$M607&lt;&gt;1)),ROUND(OFFSET($P607,0,AR$13),15-13*ORÇAMENTO!$AF$7)/$H607*OFFSET(ORÇAMENTO!$X$15,ROW(AR607)-ROW(AR$15),0),0)</f>
        <v>0</v>
      </c>
      <c r="AS607" s="633">
        <f ca="1">IF(AND($D607="Serviço",AS$12&lt;&gt;0,$H607&gt;0,OR(AUTOEVENTO&lt;&gt;"manual",$M607&lt;&gt;1)),ROUND(OFFSET($P607,0,AS$13),15-13*ORÇAMENTO!$AF$7)/$H607*OFFSET(ORÇAMENTO!$X$15,ROW(AS607)-ROW(AS$15),0),0)</f>
        <v>0</v>
      </c>
      <c r="AT607" s="632">
        <f ca="1">IF(AND($D607="Serviço",AT$12&lt;&gt;0,$H607&gt;0,OR(AUTOEVENTO&lt;&gt;"manual",$M607&lt;&gt;1)),ROUND(OFFSET($P607,0,AT$13),15-13*ORÇAMENTO!$AF$7)/$H607*OFFSET(ORÇAMENTO!$X$15,ROW(AT607)-ROW(AT$15),0),0)</f>
        <v>0</v>
      </c>
      <c r="AU607" s="632">
        <f ca="1">IF(AND($D607="Serviço",AU$12&lt;&gt;0,$H607&gt;0,OR(AUTOEVENTO&lt;&gt;"manual",$M607&lt;&gt;1)),ROUND(OFFSET($P607,0,AU$13),15-13*ORÇAMENTO!$AF$7)/$H607*OFFSET(ORÇAMENTO!$X$15,ROW(AU607)-ROW(AU$15),0),0)</f>
        <v>0</v>
      </c>
      <c r="AV607" s="632">
        <f ca="1">IF(AND($D607="Serviço",AV$12&lt;&gt;0,$H607&gt;0,OR(AUTOEVENTO&lt;&gt;"manual",$M607&lt;&gt;1)),ROUND(OFFSET($P607,0,AV$13),15-13*ORÇAMENTO!$AF$7)/$H607*OFFSET(ORÇAMENTO!$X$15,ROW(AV607)-ROW(AV$15),0),0)</f>
        <v>0</v>
      </c>
      <c r="AW607" s="632">
        <f ca="1">IF(AND($D607="Serviço",AW$12&lt;&gt;0,$H607&gt;0,OR(AUTOEVENTO&lt;&gt;"manual",$M607&lt;&gt;1)),ROUND(OFFSET($P607,0,AW$13),15-13*ORÇAMENTO!$AF$7)/$H607*OFFSET(ORÇAMENTO!$X$15,ROW(AW607)-ROW(AW$15),0),0)</f>
        <v>0</v>
      </c>
      <c r="AX607" s="632">
        <f ca="1">IF(AND($D607="Serviço",AX$12&lt;&gt;0,$H607&gt;0,OR(AUTOEVENTO&lt;&gt;"manual",$M607&lt;&gt;1)),ROUND(OFFSET($P607,0,AX$13),15-13*ORÇAMENTO!$AF$7)/$H607*OFFSET(ORÇAMENTO!$X$15,ROW(AX607)-ROW(AX$15),0),0)</f>
        <v>0</v>
      </c>
      <c r="AY607" s="632">
        <f ca="1">IF(AND($D607="Serviço",AY$12&lt;&gt;0,$H607&gt;0,OR(AUTOEVENTO&lt;&gt;"manual",$M607&lt;&gt;1)),ROUND(OFFSET($P607,0,AY$13),15-13*ORÇAMENTO!$AF$7)/$H607*OFFSET(ORÇAMENTO!$X$15,ROW(AY607)-ROW(AY$15),0),0)</f>
        <v>0</v>
      </c>
      <c r="AZ607" s="632">
        <f ca="1">IF(AND($D607="Serviço",AZ$12&lt;&gt;0,$H607&gt;0,OR(AUTOEVENTO&lt;&gt;"manual",$M607&lt;&gt;1)),ROUND(OFFSET($P607,0,AZ$13),15-13*ORÇAMENTO!$AF$7)/$H607*OFFSET(ORÇAMENTO!$X$15,ROW(AZ607)-ROW(AZ$15),0),0)</f>
        <v>0</v>
      </c>
      <c r="BA607" s="633">
        <f ca="1">IF(AND($D607="Serviço",BA$12&lt;&gt;0,$H607&gt;0,OR(AUTOEVENTO&lt;&gt;"manual",$M607&lt;&gt;1)),ROUND(OFFSET($P607,0,BA$13),15-13*ORÇAMENTO!$AF$7)/$H607*OFFSET(ORÇAMENTO!$X$15,ROW(BA607)-ROW(BA$15),0),0)</f>
        <v>0</v>
      </c>
      <c r="BC607" s="215">
        <f ca="1">IF($D607&lt;&gt;"Serviço",0,IF(AND(AUTOEVENTO="Manual",$M607=1),0,IF(OFFSET(CRONOPLE!$F$14,$M607,BC$13)="",10^12,OFFSET(CRONOPLE!$F$14,$M607,BC$13))))</f>
        <v>1000000000000</v>
      </c>
      <c r="BD607" s="215">
        <f ca="1">IF($D607&lt;&gt;"Serviço",0,IF(AND(AUTOEVENTO="Manual",$M607=1),0,IF(OFFSET(CRONOPLE!$F$14,$M607,BD$13)="",10^12,OFFSET(CRONOPLE!$F$14,$M607,BD$13))))</f>
        <v>1000000000000</v>
      </c>
      <c r="BE607" s="215">
        <f ca="1">IF($D607&lt;&gt;"Serviço",0,IF(AND(AUTOEVENTO="Manual",$M607=1),0,IF(OFFSET(CRONOPLE!$F$14,$M607,BE$13)="",10^12,OFFSET(CRONOPLE!$F$14,$M607,BE$13))))</f>
        <v>1000000000000</v>
      </c>
      <c r="BF607" s="215">
        <f ca="1">IF($D607&lt;&gt;"Serviço",0,IF(AND(AUTOEVENTO="Manual",$M607=1),0,IF(OFFSET(CRONOPLE!$F$14,$M607,BF$13)="",10^12,OFFSET(CRONOPLE!$F$14,$M607,BF$13))))</f>
        <v>1000000000000</v>
      </c>
      <c r="BG607" s="215">
        <f ca="1">IF($D607&lt;&gt;"Serviço",0,IF(AND(AUTOEVENTO="Manual",$M607=1),0,IF(OFFSET(CRONOPLE!$F$14,$M607,BG$13)="",10^12,OFFSET(CRONOPLE!$F$14,$M607,BG$13))))</f>
        <v>1000000000000</v>
      </c>
      <c r="BH607" s="215">
        <f ca="1">IF($D607&lt;&gt;"Serviço",0,IF(AND(AUTOEVENTO="Manual",$M607=1),0,IF(OFFSET(CRONOPLE!$F$14,$M607,BH$13)="",10^12,OFFSET(CRONOPLE!$F$14,$M607,BH$13))))</f>
        <v>1000000000000</v>
      </c>
      <c r="BI607" s="215">
        <f ca="1">IF($D607&lt;&gt;"Serviço",0,IF(AND(AUTOEVENTO="Manual",$M607=1),0,IF(OFFSET(CRONOPLE!$F$14,$M607,BI$13)="",10^12,OFFSET(CRONOPLE!$F$14,$M607,BI$13))))</f>
        <v>1000000000000</v>
      </c>
      <c r="BJ607" s="215">
        <f ca="1">IF($D607&lt;&gt;"Serviço",0,IF(AND(AUTOEVENTO="Manual",$M607=1),0,IF(OFFSET(CRONOPLE!$F$14,$M607,BJ$13)="",10^12,OFFSET(CRONOPLE!$F$14,$M607,BJ$13))))</f>
        <v>1000000000000</v>
      </c>
      <c r="BK607" s="215">
        <f ca="1">IF($D607&lt;&gt;"Serviço",0,IF(AND(AUTOEVENTO="Manual",$M607=1),0,IF(OFFSET(CRONOPLE!$F$14,$M607,BK$13)="",10^12,OFFSET(CRONOPLE!$F$14,$M607,BK$13))))</f>
        <v>1000000000000</v>
      </c>
      <c r="BL607" s="215">
        <f ca="1">IF($D607&lt;&gt;"Serviço",0,IF(AND(AUTOEVENTO="Manual",$M607=1),0,IF(OFFSET(CRONOPLE!$F$14,$M607,BL$13)="",10^12,OFFSET(CRONOPLE!$F$14,$M607,BL$13))))</f>
        <v>1000000000000</v>
      </c>
      <c r="BM607" s="215">
        <f ca="1">IF($D607&lt;&gt;"Serviço",0,IF(AND(AUTOEVENTO="Manual",$M607=1),0,IF(OFFSET(CRONOPLE!$F$14,$M607,BM$13)="",10^12,OFFSET(CRONOPLE!$F$14,$M607,BM$13))))</f>
        <v>1000000000000</v>
      </c>
      <c r="BN607" s="215">
        <f ca="1">IF($D607&lt;&gt;"Serviço",0,IF(AND(AUTOEVENTO="Manual",$M607=1),0,IF(OFFSET(CRONOPLE!$F$14,$M607,BN$13)="",10^12,OFFSET(CRONOPLE!$F$14,$M607,BN$13))))</f>
        <v>1000000000000</v>
      </c>
      <c r="BO607" s="215">
        <f ca="1">IF($D607&lt;&gt;"Serviço",0,IF(AND(AUTOEVENTO="Manual",$M607=1),0,IF(OFFSET(CRONOPLE!$F$14,$M607,BO$13)="",10^12,OFFSET(CRONOPLE!$F$14,$M607,BO$13))))</f>
        <v>1000000000000</v>
      </c>
      <c r="BP607" s="215">
        <f ca="1">IF($D607&lt;&gt;"Serviço",0,IF(AND(AUTOEVENTO="Manual",$M607=1),0,IF(OFFSET(CRONOPLE!$F$14,$M607,BP$13)="",10^12,OFFSET(CRONOPLE!$F$14,$M607,BP$13))))</f>
        <v>1000000000000</v>
      </c>
      <c r="BQ607" s="215">
        <f ca="1">IF($D607&lt;&gt;"Serviço",0,IF(AND(AUTOEVENTO="Manual",$M607=1),0,IF(OFFSET(CRONOPLE!$F$14,$M607,BQ$13)="",10^12,OFFSET(CRONOPLE!$F$14,$M607,BQ$13))))</f>
        <v>1000000000000</v>
      </c>
      <c r="BR607" s="215">
        <f ca="1">IF($D607&lt;&gt;"Serviço",0,IF(AND(AUTOEVENTO="Manual",$M607=1),0,IF(OFFSET(CRONOPLE!$F$14,$M607,BR$13)="",10^12,OFFSET(CRONOPLE!$F$14,$M607,BR$13))))</f>
        <v>1000000000000</v>
      </c>
      <c r="BS607" s="215">
        <f ca="1">IF($D607&lt;&gt;"Serviço",0,IF(AND(AUTOEVENTO="Manual",$M607=1),0,IF(OFFSET(CRONOPLE!$F$14,$M607,BS$13)="",10^12,OFFSET(CRONOPLE!$F$14,$M607,BS$13))))</f>
        <v>1000000000000</v>
      </c>
      <c r="BT607" s="215">
        <f ca="1">IF($D607&lt;&gt;"Serviço",0,IF(AND(AUTOEVENTO="Manual",$M607=1),0,IF(OFFSET(CRONOPLE!$F$14,$M607,BT$13)="",10^12,OFFSET(CRONOPLE!$F$14,$M607,BT$13))))</f>
        <v>1000000000000</v>
      </c>
      <c r="BV607" s="216">
        <f ca="1">IF($D607&lt;&gt;"Serviço",0,IF(OR(AND(AUTOEVENTO="Manual",$M607=1),$M607&gt;(ROW(PLE.lastrow)-ROW(PLE.firstrow))),0,IF(OFFSET(PLE!$G$14,$M607,BV$13)="",10^12,OFFSET(PLE!$G$14,$M607,BV$13))))</f>
        <v>1000000000000</v>
      </c>
      <c r="BW607" s="216">
        <f ca="1">IF($D607&lt;&gt;"Serviço",0,IF(OR(AND(AUTOEVENTO="Manual",$M607=1),$M607&gt;(ROW(PLE.lastrow)-ROW(PLE.firstrow))),0,IF(OFFSET(PLE!$G$14,$M607,BW$13)="",10^12,OFFSET(PLE!$G$14,$M607,BW$13))))</f>
        <v>1000000000000</v>
      </c>
      <c r="BX607" s="216">
        <f ca="1">IF($D607&lt;&gt;"Serviço",0,IF(OR(AND(AUTOEVENTO="Manual",$M607=1),$M607&gt;(ROW(PLE.lastrow)-ROW(PLE.firstrow))),0,IF(OFFSET(PLE!$G$14,$M607,BX$13)="",10^12,OFFSET(PLE!$G$14,$M607,BX$13))))</f>
        <v>1000000000000</v>
      </c>
      <c r="BY607" s="216">
        <f ca="1">IF($D607&lt;&gt;"Serviço",0,IF(OR(AND(AUTOEVENTO="Manual",$M607=1),$M607&gt;(ROW(PLE.lastrow)-ROW(PLE.firstrow))),0,IF(OFFSET(PLE!$G$14,$M607,BY$13)="",10^12,OFFSET(PLE!$G$14,$M607,BY$13))))</f>
        <v>1000000000000</v>
      </c>
      <c r="BZ607" s="216">
        <f ca="1">IF($D607&lt;&gt;"Serviço",0,IF(OR(AND(AUTOEVENTO="Manual",$M607=1),$M607&gt;(ROW(PLE.lastrow)-ROW(PLE.firstrow))),0,IF(OFFSET(PLE!$G$14,$M607,BZ$13)="",10^12,OFFSET(PLE!$G$14,$M607,BZ$13))))</f>
        <v>1000000000000</v>
      </c>
      <c r="CA607" s="216">
        <f ca="1">IF($D607&lt;&gt;"Serviço",0,IF(OR(AND(AUTOEVENTO="Manual",$M607=1),$M607&gt;(ROW(PLE.lastrow)-ROW(PLE.firstrow))),0,IF(OFFSET(PLE!$G$14,$M607,CA$13)="",10^12,OFFSET(PLE!$G$14,$M607,CA$13))))</f>
        <v>1000000000000</v>
      </c>
      <c r="CB607" s="216">
        <f ca="1">IF($D607&lt;&gt;"Serviço",0,IF(OR(AND(AUTOEVENTO="Manual",$M607=1),$M607&gt;(ROW(PLE.lastrow)-ROW(PLE.firstrow))),0,IF(OFFSET(PLE!$G$14,$M607,CB$13)="",10^12,OFFSET(PLE!$G$14,$M607,CB$13))))</f>
        <v>1000000000000</v>
      </c>
      <c r="CC607" s="216">
        <f ca="1">IF($D607&lt;&gt;"Serviço",0,IF(OR(AND(AUTOEVENTO="Manual",$M607=1),$M607&gt;(ROW(PLE.lastrow)-ROW(PLE.firstrow))),0,IF(OFFSET(PLE!$G$14,$M607,CC$13)="",10^12,OFFSET(PLE!$G$14,$M607,CC$13))))</f>
        <v>1000000000000</v>
      </c>
      <c r="CD607" s="216">
        <f ca="1">IF($D607&lt;&gt;"Serviço",0,IF(OR(AND(AUTOEVENTO="Manual",$M607=1),$M607&gt;(ROW(PLE.lastrow)-ROW(PLE.firstrow))),0,IF(OFFSET(PLE!$G$14,$M607,CD$13)="",10^12,OFFSET(PLE!$G$14,$M607,CD$13))))</f>
        <v>1000000000000</v>
      </c>
      <c r="CE607" s="216">
        <f ca="1">IF($D607&lt;&gt;"Serviço",0,IF(OR(AND(AUTOEVENTO="Manual",$M607=1),$M607&gt;(ROW(PLE.lastrow)-ROW(PLE.firstrow))),0,IF(OFFSET(PLE!$G$14,$M607,CE$13)="",10^12,OFFSET(PLE!$G$14,$M607,CE$13))))</f>
        <v>1000000000000</v>
      </c>
      <c r="CF607" s="216">
        <f ca="1">IF($D607&lt;&gt;"Serviço",0,IF(OR(AND(AUTOEVENTO="Manual",$M607=1),$M607&gt;(ROW(PLE.lastrow)-ROW(PLE.firstrow))),0,IF(OFFSET(PLE!$G$14,$M607,CF$13)="",10^12,OFFSET(PLE!$G$14,$M607,CF$13))))</f>
        <v>1000000000000</v>
      </c>
      <c r="CG607" s="216">
        <f ca="1">IF($D607&lt;&gt;"Serviço",0,IF(OR(AND(AUTOEVENTO="Manual",$M607=1),$M607&gt;(ROW(PLE.lastrow)-ROW(PLE.firstrow))),0,IF(OFFSET(PLE!$G$14,$M607,CG$13)="",10^12,OFFSET(PLE!$G$14,$M607,CG$13))))</f>
        <v>1000000000000</v>
      </c>
      <c r="CH607" s="216">
        <f ca="1">IF($D607&lt;&gt;"Serviço",0,IF(OR(AND(AUTOEVENTO="Manual",$M607=1),$M607&gt;(ROW(PLE.lastrow)-ROW(PLE.firstrow))),0,IF(OFFSET(PLE!$G$14,$M607,CH$13)="",10^12,OFFSET(PLE!$G$14,$M607,CH$13))))</f>
        <v>1000000000000</v>
      </c>
      <c r="CI607" s="216">
        <f ca="1">IF($D607&lt;&gt;"Serviço",0,IF(OR(AND(AUTOEVENTO="Manual",$M607=1),$M607&gt;(ROW(PLE.lastrow)-ROW(PLE.firstrow))),0,IF(OFFSET(PLE!$G$14,$M607,CI$13)="",10^12,OFFSET(PLE!$G$14,$M607,CI$13))))</f>
        <v>1000000000000</v>
      </c>
      <c r="CJ607" s="216">
        <f ca="1">IF($D607&lt;&gt;"Serviço",0,IF(OR(AND(AUTOEVENTO="Manual",$M607=1),$M607&gt;(ROW(PLE.lastrow)-ROW(PLE.firstrow))),0,IF(OFFSET(PLE!$G$14,$M607,CJ$13)="",10^12,OFFSET(PLE!$G$14,$M607,CJ$13))))</f>
        <v>1000000000000</v>
      </c>
      <c r="CK607" s="216">
        <f ca="1">IF($D607&lt;&gt;"Serviço",0,IF(OR(AND(AUTOEVENTO="Manual",$M607=1),$M607&gt;(ROW(PLE.lastrow)-ROW(PLE.firstrow))),0,IF(OFFSET(PLE!$G$14,$M607,CK$13)="",10^12,OFFSET(PLE!$G$14,$M607,CK$13))))</f>
        <v>1000000000000</v>
      </c>
      <c r="CL607" s="216">
        <f ca="1">IF($D607&lt;&gt;"Serviço",0,IF(OR(AND(AUTOEVENTO="Manual",$M607=1),$M607&gt;(ROW(PLE.lastrow)-ROW(PLE.firstrow))),0,IF(OFFSET(PLE!$G$14,$M607,CL$13)="",10^12,OFFSET(PLE!$G$14,$M607,CL$13))))</f>
        <v>1000000000000</v>
      </c>
      <c r="CM607" s="216">
        <f ca="1">IF($D607&lt;&gt;"Serviço",0,IF(OR(AND(AUTOEVENTO="Manual",$M607=1),$M607&gt;(ROW(PLE.lastrow)-ROW(PLE.firstrow))),0,IF(OFFSET(PLE!$G$14,$M607,CM$13)="",10^12,OFFSET(PLE!$G$14,$M607,CM$13))))</f>
        <v>1000000000000</v>
      </c>
    </row>
    <row r="608" spans="1:91" ht="13.2" x14ac:dyDescent="0.25">
      <c r="A608" s="9">
        <f t="shared" ca="1" si="18"/>
        <v>0</v>
      </c>
      <c r="B608" s="9" t="str">
        <f ca="1">OFFSET(ORÇAMENTO!C$15,ROW(B608)-ROW(B$15),0)</f>
        <v>S</v>
      </c>
      <c r="C608" s="9" t="str">
        <f ca="1">OFFSET(ORÇAMENTO!L$15,ROW(C608)-ROW(C$15),0)</f>
        <v/>
      </c>
      <c r="D608" s="145" t="str">
        <f ca="1">OFFSET(ORÇAMENTO!N$15,ROW(D608)-ROW(D$15),0)</f>
        <v>Serviço</v>
      </c>
      <c r="E608" s="205" t="str">
        <f ca="1">OFFSET(ORÇAMENTO!O$15,ROW(E608)-ROW(E$15),0)</f>
        <v>-</v>
      </c>
      <c r="F608" s="206" t="str">
        <f ca="1">OFFSET(ORÇAMENTO!R$15,ROW(F608)-ROW(F$15),0)</f>
        <v>(abra o arquivo 'Referência 05-2024.xls)</v>
      </c>
      <c r="G608" s="207" t="str">
        <f ca="1">IF($D608&lt;&gt;"Serviço","",OFFSET(ORÇAMENTO!S$15,ROW(G608)-ROW(G$15),0))</f>
        <v>-</v>
      </c>
      <c r="H608" s="151">
        <f ca="1">IF($D608&lt;&gt;"Serviço",0,IF(ACOMPANHAMENTO="BM",ROUND(OFFSET(ORÇAMENTO!AJ$15,ROW(H608)-ROW(H$15),0),15-13*ORÇAMENTO!$AF$7),SUMPRODUCT(($Q$12:$AI$12&lt;&gt;"")*ROUND($Q608:$AI608,15-13*ORÇAMENTO!$AF$7))))</f>
        <v>2</v>
      </c>
      <c r="I608" s="650"/>
      <c r="K608" s="208"/>
      <c r="L608" s="209" t="s">
        <v>257</v>
      </c>
      <c r="M608" s="210">
        <f ca="1">IF($D608&lt;&gt;"Serviço","",IF(AUTOEVENTO="manual",$A608,IF(ISERROR(MATCH($A608,$A$15:OFFSET($A608,-1,0),0)),MAX($M$15:OFFSET(M608,-1,0))+1,INDEX($M$15:OFFSET(M608,-1,0),MATCH($A608,$A$15:OFFSET($A608,-1,0),0)))))</f>
        <v>0</v>
      </c>
      <c r="N608" s="211" t="str">
        <f ca="1">IF($D608&lt;&gt;"Serviço","",IF(AUTOEVENTO="Manual",IF($A608=0,"&lt;-- defina o número do agrupador",OFFSET(EVENTOS!$D$14,$A608,0)),OFFSET($F$15,$A608,0)))</f>
        <v>&lt;-- defina o número do agrupador</v>
      </c>
      <c r="O608" s="212"/>
      <c r="Q608" s="212"/>
      <c r="R608" s="213"/>
      <c r="S608" s="213"/>
      <c r="T608" s="213"/>
      <c r="U608" s="213"/>
      <c r="V608" s="213"/>
      <c r="W608" s="213"/>
      <c r="X608" s="213"/>
      <c r="Y608" s="213"/>
      <c r="Z608" s="214"/>
      <c r="AA608" s="213"/>
      <c r="AB608" s="213"/>
      <c r="AC608" s="213"/>
      <c r="AD608" s="213"/>
      <c r="AE608" s="213"/>
      <c r="AF608" s="213"/>
      <c r="AG608" s="213"/>
      <c r="AH608" s="214"/>
      <c r="AJ608" s="631">
        <f ca="1">IF(AND($D608="Serviço",AJ$12&lt;&gt;0,$H608&gt;0,OR(AUTOEVENTO&lt;&gt;"manual",$M608&lt;&gt;1)),ROUND(OFFSET($P608,0,AJ$13),15-13*ORÇAMENTO!$AF$7)/$H608*OFFSET(ORÇAMENTO!$X$15,ROW(AJ608)-ROW(AJ$15),0),0)</f>
        <v>0</v>
      </c>
      <c r="AK608" s="632">
        <f ca="1">IF(AND($D608="Serviço",AK$12&lt;&gt;0,$H608&gt;0,OR(AUTOEVENTO&lt;&gt;"manual",$M608&lt;&gt;1)),ROUND(OFFSET($P608,0,AK$13),15-13*ORÇAMENTO!$AF$7)/$H608*OFFSET(ORÇAMENTO!$X$15,ROW(AK608)-ROW(AK$15),0),0)</f>
        <v>0</v>
      </c>
      <c r="AL608" s="632">
        <f ca="1">IF(AND($D608="Serviço",AL$12&lt;&gt;0,$H608&gt;0,OR(AUTOEVENTO&lt;&gt;"manual",$M608&lt;&gt;1)),ROUND(OFFSET($P608,0,AL$13),15-13*ORÇAMENTO!$AF$7)/$H608*OFFSET(ORÇAMENTO!$X$15,ROW(AL608)-ROW(AL$15),0),0)</f>
        <v>0</v>
      </c>
      <c r="AM608" s="632">
        <f ca="1">IF(AND($D608="Serviço",AM$12&lt;&gt;0,$H608&gt;0,OR(AUTOEVENTO&lt;&gt;"manual",$M608&lt;&gt;1)),ROUND(OFFSET($P608,0,AM$13),15-13*ORÇAMENTO!$AF$7)/$H608*OFFSET(ORÇAMENTO!$X$15,ROW(AM608)-ROW(AM$15),0),0)</f>
        <v>0</v>
      </c>
      <c r="AN608" s="632">
        <f ca="1">IF(AND($D608="Serviço",AN$12&lt;&gt;0,$H608&gt;0,OR(AUTOEVENTO&lt;&gt;"manual",$M608&lt;&gt;1)),ROUND(OFFSET($P608,0,AN$13),15-13*ORÇAMENTO!$AF$7)/$H608*OFFSET(ORÇAMENTO!$X$15,ROW(AN608)-ROW(AN$15),0),0)</f>
        <v>0</v>
      </c>
      <c r="AO608" s="632">
        <f ca="1">IF(AND($D608="Serviço",AO$12&lt;&gt;0,$H608&gt;0,OR(AUTOEVENTO&lt;&gt;"manual",$M608&lt;&gt;1)),ROUND(OFFSET($P608,0,AO$13),15-13*ORÇAMENTO!$AF$7)/$H608*OFFSET(ORÇAMENTO!$X$15,ROW(AO608)-ROW(AO$15),0),0)</f>
        <v>0</v>
      </c>
      <c r="AP608" s="632">
        <f ca="1">IF(AND($D608="Serviço",AP$12&lt;&gt;0,$H608&gt;0,OR(AUTOEVENTO&lt;&gt;"manual",$M608&lt;&gt;1)),ROUND(OFFSET($P608,0,AP$13),15-13*ORÇAMENTO!$AF$7)/$H608*OFFSET(ORÇAMENTO!$X$15,ROW(AP608)-ROW(AP$15),0),0)</f>
        <v>0</v>
      </c>
      <c r="AQ608" s="632">
        <f ca="1">IF(AND($D608="Serviço",AQ$12&lt;&gt;0,$H608&gt;0,OR(AUTOEVENTO&lt;&gt;"manual",$M608&lt;&gt;1)),ROUND(OFFSET($P608,0,AQ$13),15-13*ORÇAMENTO!$AF$7)/$H608*OFFSET(ORÇAMENTO!$X$15,ROW(AQ608)-ROW(AQ$15),0),0)</f>
        <v>0</v>
      </c>
      <c r="AR608" s="632">
        <f ca="1">IF(AND($D608="Serviço",AR$12&lt;&gt;0,$H608&gt;0,OR(AUTOEVENTO&lt;&gt;"manual",$M608&lt;&gt;1)),ROUND(OFFSET($P608,0,AR$13),15-13*ORÇAMENTO!$AF$7)/$H608*OFFSET(ORÇAMENTO!$X$15,ROW(AR608)-ROW(AR$15),0),0)</f>
        <v>0</v>
      </c>
      <c r="AS608" s="633">
        <f ca="1">IF(AND($D608="Serviço",AS$12&lt;&gt;0,$H608&gt;0,OR(AUTOEVENTO&lt;&gt;"manual",$M608&lt;&gt;1)),ROUND(OFFSET($P608,0,AS$13),15-13*ORÇAMENTO!$AF$7)/$H608*OFFSET(ORÇAMENTO!$X$15,ROW(AS608)-ROW(AS$15),0),0)</f>
        <v>0</v>
      </c>
      <c r="AT608" s="632">
        <f ca="1">IF(AND($D608="Serviço",AT$12&lt;&gt;0,$H608&gt;0,OR(AUTOEVENTO&lt;&gt;"manual",$M608&lt;&gt;1)),ROUND(OFFSET($P608,0,AT$13),15-13*ORÇAMENTO!$AF$7)/$H608*OFFSET(ORÇAMENTO!$X$15,ROW(AT608)-ROW(AT$15),0),0)</f>
        <v>0</v>
      </c>
      <c r="AU608" s="632">
        <f ca="1">IF(AND($D608="Serviço",AU$12&lt;&gt;0,$H608&gt;0,OR(AUTOEVENTO&lt;&gt;"manual",$M608&lt;&gt;1)),ROUND(OFFSET($P608,0,AU$13),15-13*ORÇAMENTO!$AF$7)/$H608*OFFSET(ORÇAMENTO!$X$15,ROW(AU608)-ROW(AU$15),0),0)</f>
        <v>0</v>
      </c>
      <c r="AV608" s="632">
        <f ca="1">IF(AND($D608="Serviço",AV$12&lt;&gt;0,$H608&gt;0,OR(AUTOEVENTO&lt;&gt;"manual",$M608&lt;&gt;1)),ROUND(OFFSET($P608,0,AV$13),15-13*ORÇAMENTO!$AF$7)/$H608*OFFSET(ORÇAMENTO!$X$15,ROW(AV608)-ROW(AV$15),0),0)</f>
        <v>0</v>
      </c>
      <c r="AW608" s="632">
        <f ca="1">IF(AND($D608="Serviço",AW$12&lt;&gt;0,$H608&gt;0,OR(AUTOEVENTO&lt;&gt;"manual",$M608&lt;&gt;1)),ROUND(OFFSET($P608,0,AW$13),15-13*ORÇAMENTO!$AF$7)/$H608*OFFSET(ORÇAMENTO!$X$15,ROW(AW608)-ROW(AW$15),0),0)</f>
        <v>0</v>
      </c>
      <c r="AX608" s="632">
        <f ca="1">IF(AND($D608="Serviço",AX$12&lt;&gt;0,$H608&gt;0,OR(AUTOEVENTO&lt;&gt;"manual",$M608&lt;&gt;1)),ROUND(OFFSET($P608,0,AX$13),15-13*ORÇAMENTO!$AF$7)/$H608*OFFSET(ORÇAMENTO!$X$15,ROW(AX608)-ROW(AX$15),0),0)</f>
        <v>0</v>
      </c>
      <c r="AY608" s="632">
        <f ca="1">IF(AND($D608="Serviço",AY$12&lt;&gt;0,$H608&gt;0,OR(AUTOEVENTO&lt;&gt;"manual",$M608&lt;&gt;1)),ROUND(OFFSET($P608,0,AY$13),15-13*ORÇAMENTO!$AF$7)/$H608*OFFSET(ORÇAMENTO!$X$15,ROW(AY608)-ROW(AY$15),0),0)</f>
        <v>0</v>
      </c>
      <c r="AZ608" s="632">
        <f ca="1">IF(AND($D608="Serviço",AZ$12&lt;&gt;0,$H608&gt;0,OR(AUTOEVENTO&lt;&gt;"manual",$M608&lt;&gt;1)),ROUND(OFFSET($P608,0,AZ$13),15-13*ORÇAMENTO!$AF$7)/$H608*OFFSET(ORÇAMENTO!$X$15,ROW(AZ608)-ROW(AZ$15),0),0)</f>
        <v>0</v>
      </c>
      <c r="BA608" s="633">
        <f ca="1">IF(AND($D608="Serviço",BA$12&lt;&gt;0,$H608&gt;0,OR(AUTOEVENTO&lt;&gt;"manual",$M608&lt;&gt;1)),ROUND(OFFSET($P608,0,BA$13),15-13*ORÇAMENTO!$AF$7)/$H608*OFFSET(ORÇAMENTO!$X$15,ROW(BA608)-ROW(BA$15),0),0)</f>
        <v>0</v>
      </c>
      <c r="BC608" s="215">
        <f ca="1">IF($D608&lt;&gt;"Serviço",0,IF(AND(AUTOEVENTO="Manual",$M608=1),0,IF(OFFSET(CRONOPLE!$F$14,$M608,BC$13)="",10^12,OFFSET(CRONOPLE!$F$14,$M608,BC$13))))</f>
        <v>1000000000000</v>
      </c>
      <c r="BD608" s="215">
        <f ca="1">IF($D608&lt;&gt;"Serviço",0,IF(AND(AUTOEVENTO="Manual",$M608=1),0,IF(OFFSET(CRONOPLE!$F$14,$M608,BD$13)="",10^12,OFFSET(CRONOPLE!$F$14,$M608,BD$13))))</f>
        <v>1000000000000</v>
      </c>
      <c r="BE608" s="215">
        <f ca="1">IF($D608&lt;&gt;"Serviço",0,IF(AND(AUTOEVENTO="Manual",$M608=1),0,IF(OFFSET(CRONOPLE!$F$14,$M608,BE$13)="",10^12,OFFSET(CRONOPLE!$F$14,$M608,BE$13))))</f>
        <v>1000000000000</v>
      </c>
      <c r="BF608" s="215">
        <f ca="1">IF($D608&lt;&gt;"Serviço",0,IF(AND(AUTOEVENTO="Manual",$M608=1),0,IF(OFFSET(CRONOPLE!$F$14,$M608,BF$13)="",10^12,OFFSET(CRONOPLE!$F$14,$M608,BF$13))))</f>
        <v>1000000000000</v>
      </c>
      <c r="BG608" s="215">
        <f ca="1">IF($D608&lt;&gt;"Serviço",0,IF(AND(AUTOEVENTO="Manual",$M608=1),0,IF(OFFSET(CRONOPLE!$F$14,$M608,BG$13)="",10^12,OFFSET(CRONOPLE!$F$14,$M608,BG$13))))</f>
        <v>1000000000000</v>
      </c>
      <c r="BH608" s="215">
        <f ca="1">IF($D608&lt;&gt;"Serviço",0,IF(AND(AUTOEVENTO="Manual",$M608=1),0,IF(OFFSET(CRONOPLE!$F$14,$M608,BH$13)="",10^12,OFFSET(CRONOPLE!$F$14,$M608,BH$13))))</f>
        <v>1000000000000</v>
      </c>
      <c r="BI608" s="215">
        <f ca="1">IF($D608&lt;&gt;"Serviço",0,IF(AND(AUTOEVENTO="Manual",$M608=1),0,IF(OFFSET(CRONOPLE!$F$14,$M608,BI$13)="",10^12,OFFSET(CRONOPLE!$F$14,$M608,BI$13))))</f>
        <v>1000000000000</v>
      </c>
      <c r="BJ608" s="215">
        <f ca="1">IF($D608&lt;&gt;"Serviço",0,IF(AND(AUTOEVENTO="Manual",$M608=1),0,IF(OFFSET(CRONOPLE!$F$14,$M608,BJ$13)="",10^12,OFFSET(CRONOPLE!$F$14,$M608,BJ$13))))</f>
        <v>1000000000000</v>
      </c>
      <c r="BK608" s="215">
        <f ca="1">IF($D608&lt;&gt;"Serviço",0,IF(AND(AUTOEVENTO="Manual",$M608=1),0,IF(OFFSET(CRONOPLE!$F$14,$M608,BK$13)="",10^12,OFFSET(CRONOPLE!$F$14,$M608,BK$13))))</f>
        <v>1000000000000</v>
      </c>
      <c r="BL608" s="215">
        <f ca="1">IF($D608&lt;&gt;"Serviço",0,IF(AND(AUTOEVENTO="Manual",$M608=1),0,IF(OFFSET(CRONOPLE!$F$14,$M608,BL$13)="",10^12,OFFSET(CRONOPLE!$F$14,$M608,BL$13))))</f>
        <v>1000000000000</v>
      </c>
      <c r="BM608" s="215">
        <f ca="1">IF($D608&lt;&gt;"Serviço",0,IF(AND(AUTOEVENTO="Manual",$M608=1),0,IF(OFFSET(CRONOPLE!$F$14,$M608,BM$13)="",10^12,OFFSET(CRONOPLE!$F$14,$M608,BM$13))))</f>
        <v>1000000000000</v>
      </c>
      <c r="BN608" s="215">
        <f ca="1">IF($D608&lt;&gt;"Serviço",0,IF(AND(AUTOEVENTO="Manual",$M608=1),0,IF(OFFSET(CRONOPLE!$F$14,$M608,BN$13)="",10^12,OFFSET(CRONOPLE!$F$14,$M608,BN$13))))</f>
        <v>1000000000000</v>
      </c>
      <c r="BO608" s="215">
        <f ca="1">IF($D608&lt;&gt;"Serviço",0,IF(AND(AUTOEVENTO="Manual",$M608=1),0,IF(OFFSET(CRONOPLE!$F$14,$M608,BO$13)="",10^12,OFFSET(CRONOPLE!$F$14,$M608,BO$13))))</f>
        <v>1000000000000</v>
      </c>
      <c r="BP608" s="215">
        <f ca="1">IF($D608&lt;&gt;"Serviço",0,IF(AND(AUTOEVENTO="Manual",$M608=1),0,IF(OFFSET(CRONOPLE!$F$14,$M608,BP$13)="",10^12,OFFSET(CRONOPLE!$F$14,$M608,BP$13))))</f>
        <v>1000000000000</v>
      </c>
      <c r="BQ608" s="215">
        <f ca="1">IF($D608&lt;&gt;"Serviço",0,IF(AND(AUTOEVENTO="Manual",$M608=1),0,IF(OFFSET(CRONOPLE!$F$14,$M608,BQ$13)="",10^12,OFFSET(CRONOPLE!$F$14,$M608,BQ$13))))</f>
        <v>1000000000000</v>
      </c>
      <c r="BR608" s="215">
        <f ca="1">IF($D608&lt;&gt;"Serviço",0,IF(AND(AUTOEVENTO="Manual",$M608=1),0,IF(OFFSET(CRONOPLE!$F$14,$M608,BR$13)="",10^12,OFFSET(CRONOPLE!$F$14,$M608,BR$13))))</f>
        <v>1000000000000</v>
      </c>
      <c r="BS608" s="215">
        <f ca="1">IF($D608&lt;&gt;"Serviço",0,IF(AND(AUTOEVENTO="Manual",$M608=1),0,IF(OFFSET(CRONOPLE!$F$14,$M608,BS$13)="",10^12,OFFSET(CRONOPLE!$F$14,$M608,BS$13))))</f>
        <v>1000000000000</v>
      </c>
      <c r="BT608" s="215">
        <f ca="1">IF($D608&lt;&gt;"Serviço",0,IF(AND(AUTOEVENTO="Manual",$M608=1),0,IF(OFFSET(CRONOPLE!$F$14,$M608,BT$13)="",10^12,OFFSET(CRONOPLE!$F$14,$M608,BT$13))))</f>
        <v>1000000000000</v>
      </c>
      <c r="BV608" s="216">
        <f ca="1">IF($D608&lt;&gt;"Serviço",0,IF(OR(AND(AUTOEVENTO="Manual",$M608=1),$M608&gt;(ROW(PLE.lastrow)-ROW(PLE.firstrow))),0,IF(OFFSET(PLE!$G$14,$M608,BV$13)="",10^12,OFFSET(PLE!$G$14,$M608,BV$13))))</f>
        <v>1000000000000</v>
      </c>
      <c r="BW608" s="216">
        <f ca="1">IF($D608&lt;&gt;"Serviço",0,IF(OR(AND(AUTOEVENTO="Manual",$M608=1),$M608&gt;(ROW(PLE.lastrow)-ROW(PLE.firstrow))),0,IF(OFFSET(PLE!$G$14,$M608,BW$13)="",10^12,OFFSET(PLE!$G$14,$M608,BW$13))))</f>
        <v>1000000000000</v>
      </c>
      <c r="BX608" s="216">
        <f ca="1">IF($D608&lt;&gt;"Serviço",0,IF(OR(AND(AUTOEVENTO="Manual",$M608=1),$M608&gt;(ROW(PLE.lastrow)-ROW(PLE.firstrow))),0,IF(OFFSET(PLE!$G$14,$M608,BX$13)="",10^12,OFFSET(PLE!$G$14,$M608,BX$13))))</f>
        <v>1000000000000</v>
      </c>
      <c r="BY608" s="216">
        <f ca="1">IF($D608&lt;&gt;"Serviço",0,IF(OR(AND(AUTOEVENTO="Manual",$M608=1),$M608&gt;(ROW(PLE.lastrow)-ROW(PLE.firstrow))),0,IF(OFFSET(PLE!$G$14,$M608,BY$13)="",10^12,OFFSET(PLE!$G$14,$M608,BY$13))))</f>
        <v>1000000000000</v>
      </c>
      <c r="BZ608" s="216">
        <f ca="1">IF($D608&lt;&gt;"Serviço",0,IF(OR(AND(AUTOEVENTO="Manual",$M608=1),$M608&gt;(ROW(PLE.lastrow)-ROW(PLE.firstrow))),0,IF(OFFSET(PLE!$G$14,$M608,BZ$13)="",10^12,OFFSET(PLE!$G$14,$M608,BZ$13))))</f>
        <v>1000000000000</v>
      </c>
      <c r="CA608" s="216">
        <f ca="1">IF($D608&lt;&gt;"Serviço",0,IF(OR(AND(AUTOEVENTO="Manual",$M608=1),$M608&gt;(ROW(PLE.lastrow)-ROW(PLE.firstrow))),0,IF(OFFSET(PLE!$G$14,$M608,CA$13)="",10^12,OFFSET(PLE!$G$14,$M608,CA$13))))</f>
        <v>1000000000000</v>
      </c>
      <c r="CB608" s="216">
        <f ca="1">IF($D608&lt;&gt;"Serviço",0,IF(OR(AND(AUTOEVENTO="Manual",$M608=1),$M608&gt;(ROW(PLE.lastrow)-ROW(PLE.firstrow))),0,IF(OFFSET(PLE!$G$14,$M608,CB$13)="",10^12,OFFSET(PLE!$G$14,$M608,CB$13))))</f>
        <v>1000000000000</v>
      </c>
      <c r="CC608" s="216">
        <f ca="1">IF($D608&lt;&gt;"Serviço",0,IF(OR(AND(AUTOEVENTO="Manual",$M608=1),$M608&gt;(ROW(PLE.lastrow)-ROW(PLE.firstrow))),0,IF(OFFSET(PLE!$G$14,$M608,CC$13)="",10^12,OFFSET(PLE!$G$14,$M608,CC$13))))</f>
        <v>1000000000000</v>
      </c>
      <c r="CD608" s="216">
        <f ca="1">IF($D608&lt;&gt;"Serviço",0,IF(OR(AND(AUTOEVENTO="Manual",$M608=1),$M608&gt;(ROW(PLE.lastrow)-ROW(PLE.firstrow))),0,IF(OFFSET(PLE!$G$14,$M608,CD$13)="",10^12,OFFSET(PLE!$G$14,$M608,CD$13))))</f>
        <v>1000000000000</v>
      </c>
      <c r="CE608" s="216">
        <f ca="1">IF($D608&lt;&gt;"Serviço",0,IF(OR(AND(AUTOEVENTO="Manual",$M608=1),$M608&gt;(ROW(PLE.lastrow)-ROW(PLE.firstrow))),0,IF(OFFSET(PLE!$G$14,$M608,CE$13)="",10^12,OFFSET(PLE!$G$14,$M608,CE$13))))</f>
        <v>1000000000000</v>
      </c>
      <c r="CF608" s="216">
        <f ca="1">IF($D608&lt;&gt;"Serviço",0,IF(OR(AND(AUTOEVENTO="Manual",$M608=1),$M608&gt;(ROW(PLE.lastrow)-ROW(PLE.firstrow))),0,IF(OFFSET(PLE!$G$14,$M608,CF$13)="",10^12,OFFSET(PLE!$G$14,$M608,CF$13))))</f>
        <v>1000000000000</v>
      </c>
      <c r="CG608" s="216">
        <f ca="1">IF($D608&lt;&gt;"Serviço",0,IF(OR(AND(AUTOEVENTO="Manual",$M608=1),$M608&gt;(ROW(PLE.lastrow)-ROW(PLE.firstrow))),0,IF(OFFSET(PLE!$G$14,$M608,CG$13)="",10^12,OFFSET(PLE!$G$14,$M608,CG$13))))</f>
        <v>1000000000000</v>
      </c>
      <c r="CH608" s="216">
        <f ca="1">IF($D608&lt;&gt;"Serviço",0,IF(OR(AND(AUTOEVENTO="Manual",$M608=1),$M608&gt;(ROW(PLE.lastrow)-ROW(PLE.firstrow))),0,IF(OFFSET(PLE!$G$14,$M608,CH$13)="",10^12,OFFSET(PLE!$G$14,$M608,CH$13))))</f>
        <v>1000000000000</v>
      </c>
      <c r="CI608" s="216">
        <f ca="1">IF($D608&lt;&gt;"Serviço",0,IF(OR(AND(AUTOEVENTO="Manual",$M608=1),$M608&gt;(ROW(PLE.lastrow)-ROW(PLE.firstrow))),0,IF(OFFSET(PLE!$G$14,$M608,CI$13)="",10^12,OFFSET(PLE!$G$14,$M608,CI$13))))</f>
        <v>1000000000000</v>
      </c>
      <c r="CJ608" s="216">
        <f ca="1">IF($D608&lt;&gt;"Serviço",0,IF(OR(AND(AUTOEVENTO="Manual",$M608=1),$M608&gt;(ROW(PLE.lastrow)-ROW(PLE.firstrow))),0,IF(OFFSET(PLE!$G$14,$M608,CJ$13)="",10^12,OFFSET(PLE!$G$14,$M608,CJ$13))))</f>
        <v>1000000000000</v>
      </c>
      <c r="CK608" s="216">
        <f ca="1">IF($D608&lt;&gt;"Serviço",0,IF(OR(AND(AUTOEVENTO="Manual",$M608=1),$M608&gt;(ROW(PLE.lastrow)-ROW(PLE.firstrow))),0,IF(OFFSET(PLE!$G$14,$M608,CK$13)="",10^12,OFFSET(PLE!$G$14,$M608,CK$13))))</f>
        <v>1000000000000</v>
      </c>
      <c r="CL608" s="216">
        <f ca="1">IF($D608&lt;&gt;"Serviço",0,IF(OR(AND(AUTOEVENTO="Manual",$M608=1),$M608&gt;(ROW(PLE.lastrow)-ROW(PLE.firstrow))),0,IF(OFFSET(PLE!$G$14,$M608,CL$13)="",10^12,OFFSET(PLE!$G$14,$M608,CL$13))))</f>
        <v>1000000000000</v>
      </c>
      <c r="CM608" s="216">
        <f ca="1">IF($D608&lt;&gt;"Serviço",0,IF(OR(AND(AUTOEVENTO="Manual",$M608=1),$M608&gt;(ROW(PLE.lastrow)-ROW(PLE.firstrow))),0,IF(OFFSET(PLE!$G$14,$M608,CM$13)="",10^12,OFFSET(PLE!$G$14,$M608,CM$13))))</f>
        <v>1000000000000</v>
      </c>
    </row>
    <row r="609" spans="1:91" ht="13.2" x14ac:dyDescent="0.25">
      <c r="A609" s="9">
        <f t="shared" ca="1" si="18"/>
        <v>0</v>
      </c>
      <c r="B609" s="9" t="str">
        <f ca="1">OFFSET(ORÇAMENTO!C$15,ROW(B609)-ROW(B$15),0)</f>
        <v>S</v>
      </c>
      <c r="C609" s="9" t="str">
        <f ca="1">OFFSET(ORÇAMENTO!L$15,ROW(C609)-ROW(C$15),0)</f>
        <v/>
      </c>
      <c r="D609" s="145" t="str">
        <f ca="1">OFFSET(ORÇAMENTO!N$15,ROW(D609)-ROW(D$15),0)</f>
        <v>Serviço</v>
      </c>
      <c r="E609" s="205" t="str">
        <f ca="1">OFFSET(ORÇAMENTO!O$15,ROW(E609)-ROW(E$15),0)</f>
        <v>-</v>
      </c>
      <c r="F609" s="206" t="str">
        <f ca="1">OFFSET(ORÇAMENTO!R$15,ROW(F609)-ROW(F$15),0)</f>
        <v>(abra o arquivo 'Referência 05-2024.xls)</v>
      </c>
      <c r="G609" s="207" t="str">
        <f ca="1">IF($D609&lt;&gt;"Serviço","",OFFSET(ORÇAMENTO!S$15,ROW(G609)-ROW(G$15),0))</f>
        <v>-</v>
      </c>
      <c r="H609" s="151">
        <f ca="1">IF($D609&lt;&gt;"Serviço",0,IF(ACOMPANHAMENTO="BM",ROUND(OFFSET(ORÇAMENTO!AJ$15,ROW(H609)-ROW(H$15),0),15-13*ORÇAMENTO!$AF$7),SUMPRODUCT(($Q$12:$AI$12&lt;&gt;"")*ROUND($Q609:$AI609,15-13*ORÇAMENTO!$AF$7))))</f>
        <v>2</v>
      </c>
      <c r="I609" s="650"/>
      <c r="K609" s="208"/>
      <c r="L609" s="209" t="s">
        <v>257</v>
      </c>
      <c r="M609" s="210">
        <f ca="1">IF($D609&lt;&gt;"Serviço","",IF(AUTOEVENTO="manual",$A609,IF(ISERROR(MATCH($A609,$A$15:OFFSET($A609,-1,0),0)),MAX($M$15:OFFSET(M609,-1,0))+1,INDEX($M$15:OFFSET(M609,-1,0),MATCH($A609,$A$15:OFFSET($A609,-1,0),0)))))</f>
        <v>0</v>
      </c>
      <c r="N609" s="211" t="str">
        <f ca="1">IF($D609&lt;&gt;"Serviço","",IF(AUTOEVENTO="Manual",IF($A609=0,"&lt;-- defina o número do agrupador",OFFSET(EVENTOS!$D$14,$A609,0)),OFFSET($F$15,$A609,0)))</f>
        <v>&lt;-- defina o número do agrupador</v>
      </c>
      <c r="O609" s="212"/>
      <c r="Q609" s="212"/>
      <c r="R609" s="213"/>
      <c r="S609" s="213"/>
      <c r="T609" s="213"/>
      <c r="U609" s="213"/>
      <c r="V609" s="213"/>
      <c r="W609" s="213"/>
      <c r="X609" s="213"/>
      <c r="Y609" s="213"/>
      <c r="Z609" s="214"/>
      <c r="AA609" s="213"/>
      <c r="AB609" s="213"/>
      <c r="AC609" s="213"/>
      <c r="AD609" s="213"/>
      <c r="AE609" s="213"/>
      <c r="AF609" s="213"/>
      <c r="AG609" s="213"/>
      <c r="AH609" s="214"/>
      <c r="AJ609" s="631">
        <f ca="1">IF(AND($D609="Serviço",AJ$12&lt;&gt;0,$H609&gt;0,OR(AUTOEVENTO&lt;&gt;"manual",$M609&lt;&gt;1)),ROUND(OFFSET($P609,0,AJ$13),15-13*ORÇAMENTO!$AF$7)/$H609*OFFSET(ORÇAMENTO!$X$15,ROW(AJ609)-ROW(AJ$15),0),0)</f>
        <v>0</v>
      </c>
      <c r="AK609" s="632">
        <f ca="1">IF(AND($D609="Serviço",AK$12&lt;&gt;0,$H609&gt;0,OR(AUTOEVENTO&lt;&gt;"manual",$M609&lt;&gt;1)),ROUND(OFFSET($P609,0,AK$13),15-13*ORÇAMENTO!$AF$7)/$H609*OFFSET(ORÇAMENTO!$X$15,ROW(AK609)-ROW(AK$15),0),0)</f>
        <v>0</v>
      </c>
      <c r="AL609" s="632">
        <f ca="1">IF(AND($D609="Serviço",AL$12&lt;&gt;0,$H609&gt;0,OR(AUTOEVENTO&lt;&gt;"manual",$M609&lt;&gt;1)),ROUND(OFFSET($P609,0,AL$13),15-13*ORÇAMENTO!$AF$7)/$H609*OFFSET(ORÇAMENTO!$X$15,ROW(AL609)-ROW(AL$15),0),0)</f>
        <v>0</v>
      </c>
      <c r="AM609" s="632">
        <f ca="1">IF(AND($D609="Serviço",AM$12&lt;&gt;0,$H609&gt;0,OR(AUTOEVENTO&lt;&gt;"manual",$M609&lt;&gt;1)),ROUND(OFFSET($P609,0,AM$13),15-13*ORÇAMENTO!$AF$7)/$H609*OFFSET(ORÇAMENTO!$X$15,ROW(AM609)-ROW(AM$15),0),0)</f>
        <v>0</v>
      </c>
      <c r="AN609" s="632">
        <f ca="1">IF(AND($D609="Serviço",AN$12&lt;&gt;0,$H609&gt;0,OR(AUTOEVENTO&lt;&gt;"manual",$M609&lt;&gt;1)),ROUND(OFFSET($P609,0,AN$13),15-13*ORÇAMENTO!$AF$7)/$H609*OFFSET(ORÇAMENTO!$X$15,ROW(AN609)-ROW(AN$15),0),0)</f>
        <v>0</v>
      </c>
      <c r="AO609" s="632">
        <f ca="1">IF(AND($D609="Serviço",AO$12&lt;&gt;0,$H609&gt;0,OR(AUTOEVENTO&lt;&gt;"manual",$M609&lt;&gt;1)),ROUND(OFFSET($P609,0,AO$13),15-13*ORÇAMENTO!$AF$7)/$H609*OFFSET(ORÇAMENTO!$X$15,ROW(AO609)-ROW(AO$15),0),0)</f>
        <v>0</v>
      </c>
      <c r="AP609" s="632">
        <f ca="1">IF(AND($D609="Serviço",AP$12&lt;&gt;0,$H609&gt;0,OR(AUTOEVENTO&lt;&gt;"manual",$M609&lt;&gt;1)),ROUND(OFFSET($P609,0,AP$13),15-13*ORÇAMENTO!$AF$7)/$H609*OFFSET(ORÇAMENTO!$X$15,ROW(AP609)-ROW(AP$15),0),0)</f>
        <v>0</v>
      </c>
      <c r="AQ609" s="632">
        <f ca="1">IF(AND($D609="Serviço",AQ$12&lt;&gt;0,$H609&gt;0,OR(AUTOEVENTO&lt;&gt;"manual",$M609&lt;&gt;1)),ROUND(OFFSET($P609,0,AQ$13),15-13*ORÇAMENTO!$AF$7)/$H609*OFFSET(ORÇAMENTO!$X$15,ROW(AQ609)-ROW(AQ$15),0),0)</f>
        <v>0</v>
      </c>
      <c r="AR609" s="632">
        <f ca="1">IF(AND($D609="Serviço",AR$12&lt;&gt;0,$H609&gt;0,OR(AUTOEVENTO&lt;&gt;"manual",$M609&lt;&gt;1)),ROUND(OFFSET($P609,0,AR$13),15-13*ORÇAMENTO!$AF$7)/$H609*OFFSET(ORÇAMENTO!$X$15,ROW(AR609)-ROW(AR$15),0),0)</f>
        <v>0</v>
      </c>
      <c r="AS609" s="633">
        <f ca="1">IF(AND($D609="Serviço",AS$12&lt;&gt;0,$H609&gt;0,OR(AUTOEVENTO&lt;&gt;"manual",$M609&lt;&gt;1)),ROUND(OFFSET($P609,0,AS$13),15-13*ORÇAMENTO!$AF$7)/$H609*OFFSET(ORÇAMENTO!$X$15,ROW(AS609)-ROW(AS$15),0),0)</f>
        <v>0</v>
      </c>
      <c r="AT609" s="632">
        <f ca="1">IF(AND($D609="Serviço",AT$12&lt;&gt;0,$H609&gt;0,OR(AUTOEVENTO&lt;&gt;"manual",$M609&lt;&gt;1)),ROUND(OFFSET($P609,0,AT$13),15-13*ORÇAMENTO!$AF$7)/$H609*OFFSET(ORÇAMENTO!$X$15,ROW(AT609)-ROW(AT$15),0),0)</f>
        <v>0</v>
      </c>
      <c r="AU609" s="632">
        <f ca="1">IF(AND($D609="Serviço",AU$12&lt;&gt;0,$H609&gt;0,OR(AUTOEVENTO&lt;&gt;"manual",$M609&lt;&gt;1)),ROUND(OFFSET($P609,0,AU$13),15-13*ORÇAMENTO!$AF$7)/$H609*OFFSET(ORÇAMENTO!$X$15,ROW(AU609)-ROW(AU$15),0),0)</f>
        <v>0</v>
      </c>
      <c r="AV609" s="632">
        <f ca="1">IF(AND($D609="Serviço",AV$12&lt;&gt;0,$H609&gt;0,OR(AUTOEVENTO&lt;&gt;"manual",$M609&lt;&gt;1)),ROUND(OFFSET($P609,0,AV$13),15-13*ORÇAMENTO!$AF$7)/$H609*OFFSET(ORÇAMENTO!$X$15,ROW(AV609)-ROW(AV$15),0),0)</f>
        <v>0</v>
      </c>
      <c r="AW609" s="632">
        <f ca="1">IF(AND($D609="Serviço",AW$12&lt;&gt;0,$H609&gt;0,OR(AUTOEVENTO&lt;&gt;"manual",$M609&lt;&gt;1)),ROUND(OFFSET($P609,0,AW$13),15-13*ORÇAMENTO!$AF$7)/$H609*OFFSET(ORÇAMENTO!$X$15,ROW(AW609)-ROW(AW$15),0),0)</f>
        <v>0</v>
      </c>
      <c r="AX609" s="632">
        <f ca="1">IF(AND($D609="Serviço",AX$12&lt;&gt;0,$H609&gt;0,OR(AUTOEVENTO&lt;&gt;"manual",$M609&lt;&gt;1)),ROUND(OFFSET($P609,0,AX$13),15-13*ORÇAMENTO!$AF$7)/$H609*OFFSET(ORÇAMENTO!$X$15,ROW(AX609)-ROW(AX$15),0),0)</f>
        <v>0</v>
      </c>
      <c r="AY609" s="632">
        <f ca="1">IF(AND($D609="Serviço",AY$12&lt;&gt;0,$H609&gt;0,OR(AUTOEVENTO&lt;&gt;"manual",$M609&lt;&gt;1)),ROUND(OFFSET($P609,0,AY$13),15-13*ORÇAMENTO!$AF$7)/$H609*OFFSET(ORÇAMENTO!$X$15,ROW(AY609)-ROW(AY$15),0),0)</f>
        <v>0</v>
      </c>
      <c r="AZ609" s="632">
        <f ca="1">IF(AND($D609="Serviço",AZ$12&lt;&gt;0,$H609&gt;0,OR(AUTOEVENTO&lt;&gt;"manual",$M609&lt;&gt;1)),ROUND(OFFSET($P609,0,AZ$13),15-13*ORÇAMENTO!$AF$7)/$H609*OFFSET(ORÇAMENTO!$X$15,ROW(AZ609)-ROW(AZ$15),0),0)</f>
        <v>0</v>
      </c>
      <c r="BA609" s="633">
        <f ca="1">IF(AND($D609="Serviço",BA$12&lt;&gt;0,$H609&gt;0,OR(AUTOEVENTO&lt;&gt;"manual",$M609&lt;&gt;1)),ROUND(OFFSET($P609,0,BA$13),15-13*ORÇAMENTO!$AF$7)/$H609*OFFSET(ORÇAMENTO!$X$15,ROW(BA609)-ROW(BA$15),0),0)</f>
        <v>0</v>
      </c>
      <c r="BC609" s="215">
        <f ca="1">IF($D609&lt;&gt;"Serviço",0,IF(AND(AUTOEVENTO="Manual",$M609=1),0,IF(OFFSET(CRONOPLE!$F$14,$M609,BC$13)="",10^12,OFFSET(CRONOPLE!$F$14,$M609,BC$13))))</f>
        <v>1000000000000</v>
      </c>
      <c r="BD609" s="215">
        <f ca="1">IF($D609&lt;&gt;"Serviço",0,IF(AND(AUTOEVENTO="Manual",$M609=1),0,IF(OFFSET(CRONOPLE!$F$14,$M609,BD$13)="",10^12,OFFSET(CRONOPLE!$F$14,$M609,BD$13))))</f>
        <v>1000000000000</v>
      </c>
      <c r="BE609" s="215">
        <f ca="1">IF($D609&lt;&gt;"Serviço",0,IF(AND(AUTOEVENTO="Manual",$M609=1),0,IF(OFFSET(CRONOPLE!$F$14,$M609,BE$13)="",10^12,OFFSET(CRONOPLE!$F$14,$M609,BE$13))))</f>
        <v>1000000000000</v>
      </c>
      <c r="BF609" s="215">
        <f ca="1">IF($D609&lt;&gt;"Serviço",0,IF(AND(AUTOEVENTO="Manual",$M609=1),0,IF(OFFSET(CRONOPLE!$F$14,$M609,BF$13)="",10^12,OFFSET(CRONOPLE!$F$14,$M609,BF$13))))</f>
        <v>1000000000000</v>
      </c>
      <c r="BG609" s="215">
        <f ca="1">IF($D609&lt;&gt;"Serviço",0,IF(AND(AUTOEVENTO="Manual",$M609=1),0,IF(OFFSET(CRONOPLE!$F$14,$M609,BG$13)="",10^12,OFFSET(CRONOPLE!$F$14,$M609,BG$13))))</f>
        <v>1000000000000</v>
      </c>
      <c r="BH609" s="215">
        <f ca="1">IF($D609&lt;&gt;"Serviço",0,IF(AND(AUTOEVENTO="Manual",$M609=1),0,IF(OFFSET(CRONOPLE!$F$14,$M609,BH$13)="",10^12,OFFSET(CRONOPLE!$F$14,$M609,BH$13))))</f>
        <v>1000000000000</v>
      </c>
      <c r="BI609" s="215">
        <f ca="1">IF($D609&lt;&gt;"Serviço",0,IF(AND(AUTOEVENTO="Manual",$M609=1),0,IF(OFFSET(CRONOPLE!$F$14,$M609,BI$13)="",10^12,OFFSET(CRONOPLE!$F$14,$M609,BI$13))))</f>
        <v>1000000000000</v>
      </c>
      <c r="BJ609" s="215">
        <f ca="1">IF($D609&lt;&gt;"Serviço",0,IF(AND(AUTOEVENTO="Manual",$M609=1),0,IF(OFFSET(CRONOPLE!$F$14,$M609,BJ$13)="",10^12,OFFSET(CRONOPLE!$F$14,$M609,BJ$13))))</f>
        <v>1000000000000</v>
      </c>
      <c r="BK609" s="215">
        <f ca="1">IF($D609&lt;&gt;"Serviço",0,IF(AND(AUTOEVENTO="Manual",$M609=1),0,IF(OFFSET(CRONOPLE!$F$14,$M609,BK$13)="",10^12,OFFSET(CRONOPLE!$F$14,$M609,BK$13))))</f>
        <v>1000000000000</v>
      </c>
      <c r="BL609" s="215">
        <f ca="1">IF($D609&lt;&gt;"Serviço",0,IF(AND(AUTOEVENTO="Manual",$M609=1),0,IF(OFFSET(CRONOPLE!$F$14,$M609,BL$13)="",10^12,OFFSET(CRONOPLE!$F$14,$M609,BL$13))))</f>
        <v>1000000000000</v>
      </c>
      <c r="BM609" s="215">
        <f ca="1">IF($D609&lt;&gt;"Serviço",0,IF(AND(AUTOEVENTO="Manual",$M609=1),0,IF(OFFSET(CRONOPLE!$F$14,$M609,BM$13)="",10^12,OFFSET(CRONOPLE!$F$14,$M609,BM$13))))</f>
        <v>1000000000000</v>
      </c>
      <c r="BN609" s="215">
        <f ca="1">IF($D609&lt;&gt;"Serviço",0,IF(AND(AUTOEVENTO="Manual",$M609=1),0,IF(OFFSET(CRONOPLE!$F$14,$M609,BN$13)="",10^12,OFFSET(CRONOPLE!$F$14,$M609,BN$13))))</f>
        <v>1000000000000</v>
      </c>
      <c r="BO609" s="215">
        <f ca="1">IF($D609&lt;&gt;"Serviço",0,IF(AND(AUTOEVENTO="Manual",$M609=1),0,IF(OFFSET(CRONOPLE!$F$14,$M609,BO$13)="",10^12,OFFSET(CRONOPLE!$F$14,$M609,BO$13))))</f>
        <v>1000000000000</v>
      </c>
      <c r="BP609" s="215">
        <f ca="1">IF($D609&lt;&gt;"Serviço",0,IF(AND(AUTOEVENTO="Manual",$M609=1),0,IF(OFFSET(CRONOPLE!$F$14,$M609,BP$13)="",10^12,OFFSET(CRONOPLE!$F$14,$M609,BP$13))))</f>
        <v>1000000000000</v>
      </c>
      <c r="BQ609" s="215">
        <f ca="1">IF($D609&lt;&gt;"Serviço",0,IF(AND(AUTOEVENTO="Manual",$M609=1),0,IF(OFFSET(CRONOPLE!$F$14,$M609,BQ$13)="",10^12,OFFSET(CRONOPLE!$F$14,$M609,BQ$13))))</f>
        <v>1000000000000</v>
      </c>
      <c r="BR609" s="215">
        <f ca="1">IF($D609&lt;&gt;"Serviço",0,IF(AND(AUTOEVENTO="Manual",$M609=1),0,IF(OFFSET(CRONOPLE!$F$14,$M609,BR$13)="",10^12,OFFSET(CRONOPLE!$F$14,$M609,BR$13))))</f>
        <v>1000000000000</v>
      </c>
      <c r="BS609" s="215">
        <f ca="1">IF($D609&lt;&gt;"Serviço",0,IF(AND(AUTOEVENTO="Manual",$M609=1),0,IF(OFFSET(CRONOPLE!$F$14,$M609,BS$13)="",10^12,OFFSET(CRONOPLE!$F$14,$M609,BS$13))))</f>
        <v>1000000000000</v>
      </c>
      <c r="BT609" s="215">
        <f ca="1">IF($D609&lt;&gt;"Serviço",0,IF(AND(AUTOEVENTO="Manual",$M609=1),0,IF(OFFSET(CRONOPLE!$F$14,$M609,BT$13)="",10^12,OFFSET(CRONOPLE!$F$14,$M609,BT$13))))</f>
        <v>1000000000000</v>
      </c>
      <c r="BV609" s="216">
        <f ca="1">IF($D609&lt;&gt;"Serviço",0,IF(OR(AND(AUTOEVENTO="Manual",$M609=1),$M609&gt;(ROW(PLE.lastrow)-ROW(PLE.firstrow))),0,IF(OFFSET(PLE!$G$14,$M609,BV$13)="",10^12,OFFSET(PLE!$G$14,$M609,BV$13))))</f>
        <v>1000000000000</v>
      </c>
      <c r="BW609" s="216">
        <f ca="1">IF($D609&lt;&gt;"Serviço",0,IF(OR(AND(AUTOEVENTO="Manual",$M609=1),$M609&gt;(ROW(PLE.lastrow)-ROW(PLE.firstrow))),0,IF(OFFSET(PLE!$G$14,$M609,BW$13)="",10^12,OFFSET(PLE!$G$14,$M609,BW$13))))</f>
        <v>1000000000000</v>
      </c>
      <c r="BX609" s="216">
        <f ca="1">IF($D609&lt;&gt;"Serviço",0,IF(OR(AND(AUTOEVENTO="Manual",$M609=1),$M609&gt;(ROW(PLE.lastrow)-ROW(PLE.firstrow))),0,IF(OFFSET(PLE!$G$14,$M609,BX$13)="",10^12,OFFSET(PLE!$G$14,$M609,BX$13))))</f>
        <v>1000000000000</v>
      </c>
      <c r="BY609" s="216">
        <f ca="1">IF($D609&lt;&gt;"Serviço",0,IF(OR(AND(AUTOEVENTO="Manual",$M609=1),$M609&gt;(ROW(PLE.lastrow)-ROW(PLE.firstrow))),0,IF(OFFSET(PLE!$G$14,$M609,BY$13)="",10^12,OFFSET(PLE!$G$14,$M609,BY$13))))</f>
        <v>1000000000000</v>
      </c>
      <c r="BZ609" s="216">
        <f ca="1">IF($D609&lt;&gt;"Serviço",0,IF(OR(AND(AUTOEVENTO="Manual",$M609=1),$M609&gt;(ROW(PLE.lastrow)-ROW(PLE.firstrow))),0,IF(OFFSET(PLE!$G$14,$M609,BZ$13)="",10^12,OFFSET(PLE!$G$14,$M609,BZ$13))))</f>
        <v>1000000000000</v>
      </c>
      <c r="CA609" s="216">
        <f ca="1">IF($D609&lt;&gt;"Serviço",0,IF(OR(AND(AUTOEVENTO="Manual",$M609=1),$M609&gt;(ROW(PLE.lastrow)-ROW(PLE.firstrow))),0,IF(OFFSET(PLE!$G$14,$M609,CA$13)="",10^12,OFFSET(PLE!$G$14,$M609,CA$13))))</f>
        <v>1000000000000</v>
      </c>
      <c r="CB609" s="216">
        <f ca="1">IF($D609&lt;&gt;"Serviço",0,IF(OR(AND(AUTOEVENTO="Manual",$M609=1),$M609&gt;(ROW(PLE.lastrow)-ROW(PLE.firstrow))),0,IF(OFFSET(PLE!$G$14,$M609,CB$13)="",10^12,OFFSET(PLE!$G$14,$M609,CB$13))))</f>
        <v>1000000000000</v>
      </c>
      <c r="CC609" s="216">
        <f ca="1">IF($D609&lt;&gt;"Serviço",0,IF(OR(AND(AUTOEVENTO="Manual",$M609=1),$M609&gt;(ROW(PLE.lastrow)-ROW(PLE.firstrow))),0,IF(OFFSET(PLE!$G$14,$M609,CC$13)="",10^12,OFFSET(PLE!$G$14,$M609,CC$13))))</f>
        <v>1000000000000</v>
      </c>
      <c r="CD609" s="216">
        <f ca="1">IF($D609&lt;&gt;"Serviço",0,IF(OR(AND(AUTOEVENTO="Manual",$M609=1),$M609&gt;(ROW(PLE.lastrow)-ROW(PLE.firstrow))),0,IF(OFFSET(PLE!$G$14,$M609,CD$13)="",10^12,OFFSET(PLE!$G$14,$M609,CD$13))))</f>
        <v>1000000000000</v>
      </c>
      <c r="CE609" s="216">
        <f ca="1">IF($D609&lt;&gt;"Serviço",0,IF(OR(AND(AUTOEVENTO="Manual",$M609=1),$M609&gt;(ROW(PLE.lastrow)-ROW(PLE.firstrow))),0,IF(OFFSET(PLE!$G$14,$M609,CE$13)="",10^12,OFFSET(PLE!$G$14,$M609,CE$13))))</f>
        <v>1000000000000</v>
      </c>
      <c r="CF609" s="216">
        <f ca="1">IF($D609&lt;&gt;"Serviço",0,IF(OR(AND(AUTOEVENTO="Manual",$M609=1),$M609&gt;(ROW(PLE.lastrow)-ROW(PLE.firstrow))),0,IF(OFFSET(PLE!$G$14,$M609,CF$13)="",10^12,OFFSET(PLE!$G$14,$M609,CF$13))))</f>
        <v>1000000000000</v>
      </c>
      <c r="CG609" s="216">
        <f ca="1">IF($D609&lt;&gt;"Serviço",0,IF(OR(AND(AUTOEVENTO="Manual",$M609=1),$M609&gt;(ROW(PLE.lastrow)-ROW(PLE.firstrow))),0,IF(OFFSET(PLE!$G$14,$M609,CG$13)="",10^12,OFFSET(PLE!$G$14,$M609,CG$13))))</f>
        <v>1000000000000</v>
      </c>
      <c r="CH609" s="216">
        <f ca="1">IF($D609&lt;&gt;"Serviço",0,IF(OR(AND(AUTOEVENTO="Manual",$M609=1),$M609&gt;(ROW(PLE.lastrow)-ROW(PLE.firstrow))),0,IF(OFFSET(PLE!$G$14,$M609,CH$13)="",10^12,OFFSET(PLE!$G$14,$M609,CH$13))))</f>
        <v>1000000000000</v>
      </c>
      <c r="CI609" s="216">
        <f ca="1">IF($D609&lt;&gt;"Serviço",0,IF(OR(AND(AUTOEVENTO="Manual",$M609=1),$M609&gt;(ROW(PLE.lastrow)-ROW(PLE.firstrow))),0,IF(OFFSET(PLE!$G$14,$M609,CI$13)="",10^12,OFFSET(PLE!$G$14,$M609,CI$13))))</f>
        <v>1000000000000</v>
      </c>
      <c r="CJ609" s="216">
        <f ca="1">IF($D609&lt;&gt;"Serviço",0,IF(OR(AND(AUTOEVENTO="Manual",$M609=1),$M609&gt;(ROW(PLE.lastrow)-ROW(PLE.firstrow))),0,IF(OFFSET(PLE!$G$14,$M609,CJ$13)="",10^12,OFFSET(PLE!$G$14,$M609,CJ$13))))</f>
        <v>1000000000000</v>
      </c>
      <c r="CK609" s="216">
        <f ca="1">IF($D609&lt;&gt;"Serviço",0,IF(OR(AND(AUTOEVENTO="Manual",$M609=1),$M609&gt;(ROW(PLE.lastrow)-ROW(PLE.firstrow))),0,IF(OFFSET(PLE!$G$14,$M609,CK$13)="",10^12,OFFSET(PLE!$G$14,$M609,CK$13))))</f>
        <v>1000000000000</v>
      </c>
      <c r="CL609" s="216">
        <f ca="1">IF($D609&lt;&gt;"Serviço",0,IF(OR(AND(AUTOEVENTO="Manual",$M609=1),$M609&gt;(ROW(PLE.lastrow)-ROW(PLE.firstrow))),0,IF(OFFSET(PLE!$G$14,$M609,CL$13)="",10^12,OFFSET(PLE!$G$14,$M609,CL$13))))</f>
        <v>1000000000000</v>
      </c>
      <c r="CM609" s="216">
        <f ca="1">IF($D609&lt;&gt;"Serviço",0,IF(OR(AND(AUTOEVENTO="Manual",$M609=1),$M609&gt;(ROW(PLE.lastrow)-ROW(PLE.firstrow))),0,IF(OFFSET(PLE!$G$14,$M609,CM$13)="",10^12,OFFSET(PLE!$G$14,$M609,CM$13))))</f>
        <v>1000000000000</v>
      </c>
    </row>
    <row r="610" spans="1:91" ht="13.2" x14ac:dyDescent="0.25">
      <c r="A610" s="9">
        <f t="shared" ca="1" si="18"/>
        <v>0</v>
      </c>
      <c r="B610" s="9" t="str">
        <f ca="1">OFFSET(ORÇAMENTO!C$15,ROW(B610)-ROW(B$15),0)</f>
        <v>S</v>
      </c>
      <c r="C610" s="9" t="str">
        <f ca="1">OFFSET(ORÇAMENTO!L$15,ROW(C610)-ROW(C$15),0)</f>
        <v/>
      </c>
      <c r="D610" s="145" t="str">
        <f ca="1">OFFSET(ORÇAMENTO!N$15,ROW(D610)-ROW(D$15),0)</f>
        <v>Serviço</v>
      </c>
      <c r="E610" s="205" t="str">
        <f ca="1">OFFSET(ORÇAMENTO!O$15,ROW(E610)-ROW(E$15),0)</f>
        <v>-</v>
      </c>
      <c r="F610" s="206" t="str">
        <f ca="1">OFFSET(ORÇAMENTO!R$15,ROW(F610)-ROW(F$15),0)</f>
        <v>(abra o arquivo 'Referência 05-2024.xls)</v>
      </c>
      <c r="G610" s="207" t="str">
        <f ca="1">IF($D610&lt;&gt;"Serviço","",OFFSET(ORÇAMENTO!S$15,ROW(G610)-ROW(G$15),0))</f>
        <v>-</v>
      </c>
      <c r="H610" s="151">
        <f ca="1">IF($D610&lt;&gt;"Serviço",0,IF(ACOMPANHAMENTO="BM",ROUND(OFFSET(ORÇAMENTO!AJ$15,ROW(H610)-ROW(H$15),0),15-13*ORÇAMENTO!$AF$7),SUMPRODUCT(($Q$12:$AI$12&lt;&gt;"")*ROUND($Q610:$AI610,15-13*ORÇAMENTO!$AF$7))))</f>
        <v>16</v>
      </c>
      <c r="I610" s="650"/>
      <c r="K610" s="208"/>
      <c r="L610" s="209" t="s">
        <v>257</v>
      </c>
      <c r="M610" s="210">
        <f ca="1">IF($D610&lt;&gt;"Serviço","",IF(AUTOEVENTO="manual",$A610,IF(ISERROR(MATCH($A610,$A$15:OFFSET($A610,-1,0),0)),MAX($M$15:OFFSET(M610,-1,0))+1,INDEX($M$15:OFFSET(M610,-1,0),MATCH($A610,$A$15:OFFSET($A610,-1,0),0)))))</f>
        <v>0</v>
      </c>
      <c r="N610" s="211" t="str">
        <f ca="1">IF($D610&lt;&gt;"Serviço","",IF(AUTOEVENTO="Manual",IF($A610=0,"&lt;-- defina o número do agrupador",OFFSET(EVENTOS!$D$14,$A610,0)),OFFSET($F$15,$A610,0)))</f>
        <v>&lt;-- defina o número do agrupador</v>
      </c>
      <c r="O610" s="212"/>
      <c r="Q610" s="212"/>
      <c r="R610" s="213"/>
      <c r="S610" s="213"/>
      <c r="T610" s="213"/>
      <c r="U610" s="213"/>
      <c r="V610" s="213"/>
      <c r="W610" s="213"/>
      <c r="X610" s="213"/>
      <c r="Y610" s="213"/>
      <c r="Z610" s="214"/>
      <c r="AA610" s="213"/>
      <c r="AB610" s="213"/>
      <c r="AC610" s="213"/>
      <c r="AD610" s="213"/>
      <c r="AE610" s="213"/>
      <c r="AF610" s="213"/>
      <c r="AG610" s="213"/>
      <c r="AH610" s="214"/>
      <c r="AJ610" s="631">
        <f ca="1">IF(AND($D610="Serviço",AJ$12&lt;&gt;0,$H610&gt;0,OR(AUTOEVENTO&lt;&gt;"manual",$M610&lt;&gt;1)),ROUND(OFFSET($P610,0,AJ$13),15-13*ORÇAMENTO!$AF$7)/$H610*OFFSET(ORÇAMENTO!$X$15,ROW(AJ610)-ROW(AJ$15),0),0)</f>
        <v>0</v>
      </c>
      <c r="AK610" s="632">
        <f ca="1">IF(AND($D610="Serviço",AK$12&lt;&gt;0,$H610&gt;0,OR(AUTOEVENTO&lt;&gt;"manual",$M610&lt;&gt;1)),ROUND(OFFSET($P610,0,AK$13),15-13*ORÇAMENTO!$AF$7)/$H610*OFFSET(ORÇAMENTO!$X$15,ROW(AK610)-ROW(AK$15),0),0)</f>
        <v>0</v>
      </c>
      <c r="AL610" s="632">
        <f ca="1">IF(AND($D610="Serviço",AL$12&lt;&gt;0,$H610&gt;0,OR(AUTOEVENTO&lt;&gt;"manual",$M610&lt;&gt;1)),ROUND(OFFSET($P610,0,AL$13),15-13*ORÇAMENTO!$AF$7)/$H610*OFFSET(ORÇAMENTO!$X$15,ROW(AL610)-ROW(AL$15),0),0)</f>
        <v>0</v>
      </c>
      <c r="AM610" s="632">
        <f ca="1">IF(AND($D610="Serviço",AM$12&lt;&gt;0,$H610&gt;0,OR(AUTOEVENTO&lt;&gt;"manual",$M610&lt;&gt;1)),ROUND(OFFSET($P610,0,AM$13),15-13*ORÇAMENTO!$AF$7)/$H610*OFFSET(ORÇAMENTO!$X$15,ROW(AM610)-ROW(AM$15),0),0)</f>
        <v>0</v>
      </c>
      <c r="AN610" s="632">
        <f ca="1">IF(AND($D610="Serviço",AN$12&lt;&gt;0,$H610&gt;0,OR(AUTOEVENTO&lt;&gt;"manual",$M610&lt;&gt;1)),ROUND(OFFSET($P610,0,AN$13),15-13*ORÇAMENTO!$AF$7)/$H610*OFFSET(ORÇAMENTO!$X$15,ROW(AN610)-ROW(AN$15),0),0)</f>
        <v>0</v>
      </c>
      <c r="AO610" s="632">
        <f ca="1">IF(AND($D610="Serviço",AO$12&lt;&gt;0,$H610&gt;0,OR(AUTOEVENTO&lt;&gt;"manual",$M610&lt;&gt;1)),ROUND(OFFSET($P610,0,AO$13),15-13*ORÇAMENTO!$AF$7)/$H610*OFFSET(ORÇAMENTO!$X$15,ROW(AO610)-ROW(AO$15),0),0)</f>
        <v>0</v>
      </c>
      <c r="AP610" s="632">
        <f ca="1">IF(AND($D610="Serviço",AP$12&lt;&gt;0,$H610&gt;0,OR(AUTOEVENTO&lt;&gt;"manual",$M610&lt;&gt;1)),ROUND(OFFSET($P610,0,AP$13),15-13*ORÇAMENTO!$AF$7)/$H610*OFFSET(ORÇAMENTO!$X$15,ROW(AP610)-ROW(AP$15),0),0)</f>
        <v>0</v>
      </c>
      <c r="AQ610" s="632">
        <f ca="1">IF(AND($D610="Serviço",AQ$12&lt;&gt;0,$H610&gt;0,OR(AUTOEVENTO&lt;&gt;"manual",$M610&lt;&gt;1)),ROUND(OFFSET($P610,0,AQ$13),15-13*ORÇAMENTO!$AF$7)/$H610*OFFSET(ORÇAMENTO!$X$15,ROW(AQ610)-ROW(AQ$15),0),0)</f>
        <v>0</v>
      </c>
      <c r="AR610" s="632">
        <f ca="1">IF(AND($D610="Serviço",AR$12&lt;&gt;0,$H610&gt;0,OR(AUTOEVENTO&lt;&gt;"manual",$M610&lt;&gt;1)),ROUND(OFFSET($P610,0,AR$13),15-13*ORÇAMENTO!$AF$7)/$H610*OFFSET(ORÇAMENTO!$X$15,ROW(AR610)-ROW(AR$15),0),0)</f>
        <v>0</v>
      </c>
      <c r="AS610" s="633">
        <f ca="1">IF(AND($D610="Serviço",AS$12&lt;&gt;0,$H610&gt;0,OR(AUTOEVENTO&lt;&gt;"manual",$M610&lt;&gt;1)),ROUND(OFFSET($P610,0,AS$13),15-13*ORÇAMENTO!$AF$7)/$H610*OFFSET(ORÇAMENTO!$X$15,ROW(AS610)-ROW(AS$15),0),0)</f>
        <v>0</v>
      </c>
      <c r="AT610" s="632">
        <f ca="1">IF(AND($D610="Serviço",AT$12&lt;&gt;0,$H610&gt;0,OR(AUTOEVENTO&lt;&gt;"manual",$M610&lt;&gt;1)),ROUND(OFFSET($P610,0,AT$13),15-13*ORÇAMENTO!$AF$7)/$H610*OFFSET(ORÇAMENTO!$X$15,ROW(AT610)-ROW(AT$15),0),0)</f>
        <v>0</v>
      </c>
      <c r="AU610" s="632">
        <f ca="1">IF(AND($D610="Serviço",AU$12&lt;&gt;0,$H610&gt;0,OR(AUTOEVENTO&lt;&gt;"manual",$M610&lt;&gt;1)),ROUND(OFFSET($P610,0,AU$13),15-13*ORÇAMENTO!$AF$7)/$H610*OFFSET(ORÇAMENTO!$X$15,ROW(AU610)-ROW(AU$15),0),0)</f>
        <v>0</v>
      </c>
      <c r="AV610" s="632">
        <f ca="1">IF(AND($D610="Serviço",AV$12&lt;&gt;0,$H610&gt;0,OR(AUTOEVENTO&lt;&gt;"manual",$M610&lt;&gt;1)),ROUND(OFFSET($P610,0,AV$13),15-13*ORÇAMENTO!$AF$7)/$H610*OFFSET(ORÇAMENTO!$X$15,ROW(AV610)-ROW(AV$15),0),0)</f>
        <v>0</v>
      </c>
      <c r="AW610" s="632">
        <f ca="1">IF(AND($D610="Serviço",AW$12&lt;&gt;0,$H610&gt;0,OR(AUTOEVENTO&lt;&gt;"manual",$M610&lt;&gt;1)),ROUND(OFFSET($P610,0,AW$13),15-13*ORÇAMENTO!$AF$7)/$H610*OFFSET(ORÇAMENTO!$X$15,ROW(AW610)-ROW(AW$15),0),0)</f>
        <v>0</v>
      </c>
      <c r="AX610" s="632">
        <f ca="1">IF(AND($D610="Serviço",AX$12&lt;&gt;0,$H610&gt;0,OR(AUTOEVENTO&lt;&gt;"manual",$M610&lt;&gt;1)),ROUND(OFFSET($P610,0,AX$13),15-13*ORÇAMENTO!$AF$7)/$H610*OFFSET(ORÇAMENTO!$X$15,ROW(AX610)-ROW(AX$15),0),0)</f>
        <v>0</v>
      </c>
      <c r="AY610" s="632">
        <f ca="1">IF(AND($D610="Serviço",AY$12&lt;&gt;0,$H610&gt;0,OR(AUTOEVENTO&lt;&gt;"manual",$M610&lt;&gt;1)),ROUND(OFFSET($P610,0,AY$13),15-13*ORÇAMENTO!$AF$7)/$H610*OFFSET(ORÇAMENTO!$X$15,ROW(AY610)-ROW(AY$15),0),0)</f>
        <v>0</v>
      </c>
      <c r="AZ610" s="632">
        <f ca="1">IF(AND($D610="Serviço",AZ$12&lt;&gt;0,$H610&gt;0,OR(AUTOEVENTO&lt;&gt;"manual",$M610&lt;&gt;1)),ROUND(OFFSET($P610,0,AZ$13),15-13*ORÇAMENTO!$AF$7)/$H610*OFFSET(ORÇAMENTO!$X$15,ROW(AZ610)-ROW(AZ$15),0),0)</f>
        <v>0</v>
      </c>
      <c r="BA610" s="633">
        <f ca="1">IF(AND($D610="Serviço",BA$12&lt;&gt;0,$H610&gt;0,OR(AUTOEVENTO&lt;&gt;"manual",$M610&lt;&gt;1)),ROUND(OFFSET($P610,0,BA$13),15-13*ORÇAMENTO!$AF$7)/$H610*OFFSET(ORÇAMENTO!$X$15,ROW(BA610)-ROW(BA$15),0),0)</f>
        <v>0</v>
      </c>
      <c r="BC610" s="215">
        <f ca="1">IF($D610&lt;&gt;"Serviço",0,IF(AND(AUTOEVENTO="Manual",$M610=1),0,IF(OFFSET(CRONOPLE!$F$14,$M610,BC$13)="",10^12,OFFSET(CRONOPLE!$F$14,$M610,BC$13))))</f>
        <v>1000000000000</v>
      </c>
      <c r="BD610" s="215">
        <f ca="1">IF($D610&lt;&gt;"Serviço",0,IF(AND(AUTOEVENTO="Manual",$M610=1),0,IF(OFFSET(CRONOPLE!$F$14,$M610,BD$13)="",10^12,OFFSET(CRONOPLE!$F$14,$M610,BD$13))))</f>
        <v>1000000000000</v>
      </c>
      <c r="BE610" s="215">
        <f ca="1">IF($D610&lt;&gt;"Serviço",0,IF(AND(AUTOEVENTO="Manual",$M610=1),0,IF(OFFSET(CRONOPLE!$F$14,$M610,BE$13)="",10^12,OFFSET(CRONOPLE!$F$14,$M610,BE$13))))</f>
        <v>1000000000000</v>
      </c>
      <c r="BF610" s="215">
        <f ca="1">IF($D610&lt;&gt;"Serviço",0,IF(AND(AUTOEVENTO="Manual",$M610=1),0,IF(OFFSET(CRONOPLE!$F$14,$M610,BF$13)="",10^12,OFFSET(CRONOPLE!$F$14,$M610,BF$13))))</f>
        <v>1000000000000</v>
      </c>
      <c r="BG610" s="215">
        <f ca="1">IF($D610&lt;&gt;"Serviço",0,IF(AND(AUTOEVENTO="Manual",$M610=1),0,IF(OFFSET(CRONOPLE!$F$14,$M610,BG$13)="",10^12,OFFSET(CRONOPLE!$F$14,$M610,BG$13))))</f>
        <v>1000000000000</v>
      </c>
      <c r="BH610" s="215">
        <f ca="1">IF($D610&lt;&gt;"Serviço",0,IF(AND(AUTOEVENTO="Manual",$M610=1),0,IF(OFFSET(CRONOPLE!$F$14,$M610,BH$13)="",10^12,OFFSET(CRONOPLE!$F$14,$M610,BH$13))))</f>
        <v>1000000000000</v>
      </c>
      <c r="BI610" s="215">
        <f ca="1">IF($D610&lt;&gt;"Serviço",0,IF(AND(AUTOEVENTO="Manual",$M610=1),0,IF(OFFSET(CRONOPLE!$F$14,$M610,BI$13)="",10^12,OFFSET(CRONOPLE!$F$14,$M610,BI$13))))</f>
        <v>1000000000000</v>
      </c>
      <c r="BJ610" s="215">
        <f ca="1">IF($D610&lt;&gt;"Serviço",0,IF(AND(AUTOEVENTO="Manual",$M610=1),0,IF(OFFSET(CRONOPLE!$F$14,$M610,BJ$13)="",10^12,OFFSET(CRONOPLE!$F$14,$M610,BJ$13))))</f>
        <v>1000000000000</v>
      </c>
      <c r="BK610" s="215">
        <f ca="1">IF($D610&lt;&gt;"Serviço",0,IF(AND(AUTOEVENTO="Manual",$M610=1),0,IF(OFFSET(CRONOPLE!$F$14,$M610,BK$13)="",10^12,OFFSET(CRONOPLE!$F$14,$M610,BK$13))))</f>
        <v>1000000000000</v>
      </c>
      <c r="BL610" s="215">
        <f ca="1">IF($D610&lt;&gt;"Serviço",0,IF(AND(AUTOEVENTO="Manual",$M610=1),0,IF(OFFSET(CRONOPLE!$F$14,$M610,BL$13)="",10^12,OFFSET(CRONOPLE!$F$14,$M610,BL$13))))</f>
        <v>1000000000000</v>
      </c>
      <c r="BM610" s="215">
        <f ca="1">IF($D610&lt;&gt;"Serviço",0,IF(AND(AUTOEVENTO="Manual",$M610=1),0,IF(OFFSET(CRONOPLE!$F$14,$M610,BM$13)="",10^12,OFFSET(CRONOPLE!$F$14,$M610,BM$13))))</f>
        <v>1000000000000</v>
      </c>
      <c r="BN610" s="215">
        <f ca="1">IF($D610&lt;&gt;"Serviço",0,IF(AND(AUTOEVENTO="Manual",$M610=1),0,IF(OFFSET(CRONOPLE!$F$14,$M610,BN$13)="",10^12,OFFSET(CRONOPLE!$F$14,$M610,BN$13))))</f>
        <v>1000000000000</v>
      </c>
      <c r="BO610" s="215">
        <f ca="1">IF($D610&lt;&gt;"Serviço",0,IF(AND(AUTOEVENTO="Manual",$M610=1),0,IF(OFFSET(CRONOPLE!$F$14,$M610,BO$13)="",10^12,OFFSET(CRONOPLE!$F$14,$M610,BO$13))))</f>
        <v>1000000000000</v>
      </c>
      <c r="BP610" s="215">
        <f ca="1">IF($D610&lt;&gt;"Serviço",0,IF(AND(AUTOEVENTO="Manual",$M610=1),0,IF(OFFSET(CRONOPLE!$F$14,$M610,BP$13)="",10^12,OFFSET(CRONOPLE!$F$14,$M610,BP$13))))</f>
        <v>1000000000000</v>
      </c>
      <c r="BQ610" s="215">
        <f ca="1">IF($D610&lt;&gt;"Serviço",0,IF(AND(AUTOEVENTO="Manual",$M610=1),0,IF(OFFSET(CRONOPLE!$F$14,$M610,BQ$13)="",10^12,OFFSET(CRONOPLE!$F$14,$M610,BQ$13))))</f>
        <v>1000000000000</v>
      </c>
      <c r="BR610" s="215">
        <f ca="1">IF($D610&lt;&gt;"Serviço",0,IF(AND(AUTOEVENTO="Manual",$M610=1),0,IF(OFFSET(CRONOPLE!$F$14,$M610,BR$13)="",10^12,OFFSET(CRONOPLE!$F$14,$M610,BR$13))))</f>
        <v>1000000000000</v>
      </c>
      <c r="BS610" s="215">
        <f ca="1">IF($D610&lt;&gt;"Serviço",0,IF(AND(AUTOEVENTO="Manual",$M610=1),0,IF(OFFSET(CRONOPLE!$F$14,$M610,BS$13)="",10^12,OFFSET(CRONOPLE!$F$14,$M610,BS$13))))</f>
        <v>1000000000000</v>
      </c>
      <c r="BT610" s="215">
        <f ca="1">IF($D610&lt;&gt;"Serviço",0,IF(AND(AUTOEVENTO="Manual",$M610=1),0,IF(OFFSET(CRONOPLE!$F$14,$M610,BT$13)="",10^12,OFFSET(CRONOPLE!$F$14,$M610,BT$13))))</f>
        <v>1000000000000</v>
      </c>
      <c r="BV610" s="216">
        <f ca="1">IF($D610&lt;&gt;"Serviço",0,IF(OR(AND(AUTOEVENTO="Manual",$M610=1),$M610&gt;(ROW(PLE.lastrow)-ROW(PLE.firstrow))),0,IF(OFFSET(PLE!$G$14,$M610,BV$13)="",10^12,OFFSET(PLE!$G$14,$M610,BV$13))))</f>
        <v>1000000000000</v>
      </c>
      <c r="BW610" s="216">
        <f ca="1">IF($D610&lt;&gt;"Serviço",0,IF(OR(AND(AUTOEVENTO="Manual",$M610=1),$M610&gt;(ROW(PLE.lastrow)-ROW(PLE.firstrow))),0,IF(OFFSET(PLE!$G$14,$M610,BW$13)="",10^12,OFFSET(PLE!$G$14,$M610,BW$13))))</f>
        <v>1000000000000</v>
      </c>
      <c r="BX610" s="216">
        <f ca="1">IF($D610&lt;&gt;"Serviço",0,IF(OR(AND(AUTOEVENTO="Manual",$M610=1),$M610&gt;(ROW(PLE.lastrow)-ROW(PLE.firstrow))),0,IF(OFFSET(PLE!$G$14,$M610,BX$13)="",10^12,OFFSET(PLE!$G$14,$M610,BX$13))))</f>
        <v>1000000000000</v>
      </c>
      <c r="BY610" s="216">
        <f ca="1">IF($D610&lt;&gt;"Serviço",0,IF(OR(AND(AUTOEVENTO="Manual",$M610=1),$M610&gt;(ROW(PLE.lastrow)-ROW(PLE.firstrow))),0,IF(OFFSET(PLE!$G$14,$M610,BY$13)="",10^12,OFFSET(PLE!$G$14,$M610,BY$13))))</f>
        <v>1000000000000</v>
      </c>
      <c r="BZ610" s="216">
        <f ca="1">IF($D610&lt;&gt;"Serviço",0,IF(OR(AND(AUTOEVENTO="Manual",$M610=1),$M610&gt;(ROW(PLE.lastrow)-ROW(PLE.firstrow))),0,IF(OFFSET(PLE!$G$14,$M610,BZ$13)="",10^12,OFFSET(PLE!$G$14,$M610,BZ$13))))</f>
        <v>1000000000000</v>
      </c>
      <c r="CA610" s="216">
        <f ca="1">IF($D610&lt;&gt;"Serviço",0,IF(OR(AND(AUTOEVENTO="Manual",$M610=1),$M610&gt;(ROW(PLE.lastrow)-ROW(PLE.firstrow))),0,IF(OFFSET(PLE!$G$14,$M610,CA$13)="",10^12,OFFSET(PLE!$G$14,$M610,CA$13))))</f>
        <v>1000000000000</v>
      </c>
      <c r="CB610" s="216">
        <f ca="1">IF($D610&lt;&gt;"Serviço",0,IF(OR(AND(AUTOEVENTO="Manual",$M610=1),$M610&gt;(ROW(PLE.lastrow)-ROW(PLE.firstrow))),0,IF(OFFSET(PLE!$G$14,$M610,CB$13)="",10^12,OFFSET(PLE!$G$14,$M610,CB$13))))</f>
        <v>1000000000000</v>
      </c>
      <c r="CC610" s="216">
        <f ca="1">IF($D610&lt;&gt;"Serviço",0,IF(OR(AND(AUTOEVENTO="Manual",$M610=1),$M610&gt;(ROW(PLE.lastrow)-ROW(PLE.firstrow))),0,IF(OFFSET(PLE!$G$14,$M610,CC$13)="",10^12,OFFSET(PLE!$G$14,$M610,CC$13))))</f>
        <v>1000000000000</v>
      </c>
      <c r="CD610" s="216">
        <f ca="1">IF($D610&lt;&gt;"Serviço",0,IF(OR(AND(AUTOEVENTO="Manual",$M610=1),$M610&gt;(ROW(PLE.lastrow)-ROW(PLE.firstrow))),0,IF(OFFSET(PLE!$G$14,$M610,CD$13)="",10^12,OFFSET(PLE!$G$14,$M610,CD$13))))</f>
        <v>1000000000000</v>
      </c>
      <c r="CE610" s="216">
        <f ca="1">IF($D610&lt;&gt;"Serviço",0,IF(OR(AND(AUTOEVENTO="Manual",$M610=1),$M610&gt;(ROW(PLE.lastrow)-ROW(PLE.firstrow))),0,IF(OFFSET(PLE!$G$14,$M610,CE$13)="",10^12,OFFSET(PLE!$G$14,$M610,CE$13))))</f>
        <v>1000000000000</v>
      </c>
      <c r="CF610" s="216">
        <f ca="1">IF($D610&lt;&gt;"Serviço",0,IF(OR(AND(AUTOEVENTO="Manual",$M610=1),$M610&gt;(ROW(PLE.lastrow)-ROW(PLE.firstrow))),0,IF(OFFSET(PLE!$G$14,$M610,CF$13)="",10^12,OFFSET(PLE!$G$14,$M610,CF$13))))</f>
        <v>1000000000000</v>
      </c>
      <c r="CG610" s="216">
        <f ca="1">IF($D610&lt;&gt;"Serviço",0,IF(OR(AND(AUTOEVENTO="Manual",$M610=1),$M610&gt;(ROW(PLE.lastrow)-ROW(PLE.firstrow))),0,IF(OFFSET(PLE!$G$14,$M610,CG$13)="",10^12,OFFSET(PLE!$G$14,$M610,CG$13))))</f>
        <v>1000000000000</v>
      </c>
      <c r="CH610" s="216">
        <f ca="1">IF($D610&lt;&gt;"Serviço",0,IF(OR(AND(AUTOEVENTO="Manual",$M610=1),$M610&gt;(ROW(PLE.lastrow)-ROW(PLE.firstrow))),0,IF(OFFSET(PLE!$G$14,$M610,CH$13)="",10^12,OFFSET(PLE!$G$14,$M610,CH$13))))</f>
        <v>1000000000000</v>
      </c>
      <c r="CI610" s="216">
        <f ca="1">IF($D610&lt;&gt;"Serviço",0,IF(OR(AND(AUTOEVENTO="Manual",$M610=1),$M610&gt;(ROW(PLE.lastrow)-ROW(PLE.firstrow))),0,IF(OFFSET(PLE!$G$14,$M610,CI$13)="",10^12,OFFSET(PLE!$G$14,$M610,CI$13))))</f>
        <v>1000000000000</v>
      </c>
      <c r="CJ610" s="216">
        <f ca="1">IF($D610&lt;&gt;"Serviço",0,IF(OR(AND(AUTOEVENTO="Manual",$M610=1),$M610&gt;(ROW(PLE.lastrow)-ROW(PLE.firstrow))),0,IF(OFFSET(PLE!$G$14,$M610,CJ$13)="",10^12,OFFSET(PLE!$G$14,$M610,CJ$13))))</f>
        <v>1000000000000</v>
      </c>
      <c r="CK610" s="216">
        <f ca="1">IF($D610&lt;&gt;"Serviço",0,IF(OR(AND(AUTOEVENTO="Manual",$M610=1),$M610&gt;(ROW(PLE.lastrow)-ROW(PLE.firstrow))),0,IF(OFFSET(PLE!$G$14,$M610,CK$13)="",10^12,OFFSET(PLE!$G$14,$M610,CK$13))))</f>
        <v>1000000000000</v>
      </c>
      <c r="CL610" s="216">
        <f ca="1">IF($D610&lt;&gt;"Serviço",0,IF(OR(AND(AUTOEVENTO="Manual",$M610=1),$M610&gt;(ROW(PLE.lastrow)-ROW(PLE.firstrow))),0,IF(OFFSET(PLE!$G$14,$M610,CL$13)="",10^12,OFFSET(PLE!$G$14,$M610,CL$13))))</f>
        <v>1000000000000</v>
      </c>
      <c r="CM610" s="216">
        <f ca="1">IF($D610&lt;&gt;"Serviço",0,IF(OR(AND(AUTOEVENTO="Manual",$M610=1),$M610&gt;(ROW(PLE.lastrow)-ROW(PLE.firstrow))),0,IF(OFFSET(PLE!$G$14,$M610,CM$13)="",10^12,OFFSET(PLE!$G$14,$M610,CM$13))))</f>
        <v>1000000000000</v>
      </c>
    </row>
    <row r="611" spans="1:91" ht="13.2" x14ac:dyDescent="0.25">
      <c r="A611" s="9">
        <f t="shared" ca="1" si="18"/>
        <v>0</v>
      </c>
      <c r="B611" s="9" t="str">
        <f ca="1">OFFSET(ORÇAMENTO!C$15,ROW(B611)-ROW(B$15),0)</f>
        <v>S</v>
      </c>
      <c r="C611" s="9" t="str">
        <f ca="1">OFFSET(ORÇAMENTO!L$15,ROW(C611)-ROW(C$15),0)</f>
        <v/>
      </c>
      <c r="D611" s="145" t="str">
        <f ca="1">OFFSET(ORÇAMENTO!N$15,ROW(D611)-ROW(D$15),0)</f>
        <v>Serviço</v>
      </c>
      <c r="E611" s="205" t="str">
        <f ca="1">OFFSET(ORÇAMENTO!O$15,ROW(E611)-ROW(E$15),0)</f>
        <v>-</v>
      </c>
      <c r="F611" s="206" t="str">
        <f ca="1">OFFSET(ORÇAMENTO!R$15,ROW(F611)-ROW(F$15),0)</f>
        <v>(abra o arquivo 'Referência 05-2024.xls)</v>
      </c>
      <c r="G611" s="207" t="str">
        <f ca="1">IF($D611&lt;&gt;"Serviço","",OFFSET(ORÇAMENTO!S$15,ROW(G611)-ROW(G$15),0))</f>
        <v>-</v>
      </c>
      <c r="H611" s="151">
        <f ca="1">IF($D611&lt;&gt;"Serviço",0,IF(ACOMPANHAMENTO="BM",ROUND(OFFSET(ORÇAMENTO!AJ$15,ROW(H611)-ROW(H$15),0),15-13*ORÇAMENTO!$AF$7),SUMPRODUCT(($Q$12:$AI$12&lt;&gt;"")*ROUND($Q611:$AI611,15-13*ORÇAMENTO!$AF$7))))</f>
        <v>29</v>
      </c>
      <c r="I611" s="650"/>
      <c r="K611" s="208"/>
      <c r="L611" s="209" t="s">
        <v>257</v>
      </c>
      <c r="M611" s="210">
        <f ca="1">IF($D611&lt;&gt;"Serviço","",IF(AUTOEVENTO="manual",$A611,IF(ISERROR(MATCH($A611,$A$15:OFFSET($A611,-1,0),0)),MAX($M$15:OFFSET(M611,-1,0))+1,INDEX($M$15:OFFSET(M611,-1,0),MATCH($A611,$A$15:OFFSET($A611,-1,0),0)))))</f>
        <v>0</v>
      </c>
      <c r="N611" s="211" t="str">
        <f ca="1">IF($D611&lt;&gt;"Serviço","",IF(AUTOEVENTO="Manual",IF($A611=0,"&lt;-- defina o número do agrupador",OFFSET(EVENTOS!$D$14,$A611,0)),OFFSET($F$15,$A611,0)))</f>
        <v>&lt;-- defina o número do agrupador</v>
      </c>
      <c r="O611" s="212"/>
      <c r="Q611" s="212"/>
      <c r="R611" s="213"/>
      <c r="S611" s="213"/>
      <c r="T611" s="213"/>
      <c r="U611" s="213"/>
      <c r="V611" s="213"/>
      <c r="W611" s="213"/>
      <c r="X611" s="213"/>
      <c r="Y611" s="213"/>
      <c r="Z611" s="214"/>
      <c r="AA611" s="213"/>
      <c r="AB611" s="213"/>
      <c r="AC611" s="213"/>
      <c r="AD611" s="213"/>
      <c r="AE611" s="213"/>
      <c r="AF611" s="213"/>
      <c r="AG611" s="213"/>
      <c r="AH611" s="214"/>
      <c r="AJ611" s="631">
        <f ca="1">IF(AND($D611="Serviço",AJ$12&lt;&gt;0,$H611&gt;0,OR(AUTOEVENTO&lt;&gt;"manual",$M611&lt;&gt;1)),ROUND(OFFSET($P611,0,AJ$13),15-13*ORÇAMENTO!$AF$7)/$H611*OFFSET(ORÇAMENTO!$X$15,ROW(AJ611)-ROW(AJ$15),0),0)</f>
        <v>0</v>
      </c>
      <c r="AK611" s="632">
        <f ca="1">IF(AND($D611="Serviço",AK$12&lt;&gt;0,$H611&gt;0,OR(AUTOEVENTO&lt;&gt;"manual",$M611&lt;&gt;1)),ROUND(OFFSET($P611,0,AK$13),15-13*ORÇAMENTO!$AF$7)/$H611*OFFSET(ORÇAMENTO!$X$15,ROW(AK611)-ROW(AK$15),0),0)</f>
        <v>0</v>
      </c>
      <c r="AL611" s="632">
        <f ca="1">IF(AND($D611="Serviço",AL$12&lt;&gt;0,$H611&gt;0,OR(AUTOEVENTO&lt;&gt;"manual",$M611&lt;&gt;1)),ROUND(OFFSET($P611,0,AL$13),15-13*ORÇAMENTO!$AF$7)/$H611*OFFSET(ORÇAMENTO!$X$15,ROW(AL611)-ROW(AL$15),0),0)</f>
        <v>0</v>
      </c>
      <c r="AM611" s="632">
        <f ca="1">IF(AND($D611="Serviço",AM$12&lt;&gt;0,$H611&gt;0,OR(AUTOEVENTO&lt;&gt;"manual",$M611&lt;&gt;1)),ROUND(OFFSET($P611,0,AM$13),15-13*ORÇAMENTO!$AF$7)/$H611*OFFSET(ORÇAMENTO!$X$15,ROW(AM611)-ROW(AM$15),0),0)</f>
        <v>0</v>
      </c>
      <c r="AN611" s="632">
        <f ca="1">IF(AND($D611="Serviço",AN$12&lt;&gt;0,$H611&gt;0,OR(AUTOEVENTO&lt;&gt;"manual",$M611&lt;&gt;1)),ROUND(OFFSET($P611,0,AN$13),15-13*ORÇAMENTO!$AF$7)/$H611*OFFSET(ORÇAMENTO!$X$15,ROW(AN611)-ROW(AN$15),0),0)</f>
        <v>0</v>
      </c>
      <c r="AO611" s="632">
        <f ca="1">IF(AND($D611="Serviço",AO$12&lt;&gt;0,$H611&gt;0,OR(AUTOEVENTO&lt;&gt;"manual",$M611&lt;&gt;1)),ROUND(OFFSET($P611,0,AO$13),15-13*ORÇAMENTO!$AF$7)/$H611*OFFSET(ORÇAMENTO!$X$15,ROW(AO611)-ROW(AO$15),0),0)</f>
        <v>0</v>
      </c>
      <c r="AP611" s="632">
        <f ca="1">IF(AND($D611="Serviço",AP$12&lt;&gt;0,$H611&gt;0,OR(AUTOEVENTO&lt;&gt;"manual",$M611&lt;&gt;1)),ROUND(OFFSET($P611,0,AP$13),15-13*ORÇAMENTO!$AF$7)/$H611*OFFSET(ORÇAMENTO!$X$15,ROW(AP611)-ROW(AP$15),0),0)</f>
        <v>0</v>
      </c>
      <c r="AQ611" s="632">
        <f ca="1">IF(AND($D611="Serviço",AQ$12&lt;&gt;0,$H611&gt;0,OR(AUTOEVENTO&lt;&gt;"manual",$M611&lt;&gt;1)),ROUND(OFFSET($P611,0,AQ$13),15-13*ORÇAMENTO!$AF$7)/$H611*OFFSET(ORÇAMENTO!$X$15,ROW(AQ611)-ROW(AQ$15),0),0)</f>
        <v>0</v>
      </c>
      <c r="AR611" s="632">
        <f ca="1">IF(AND($D611="Serviço",AR$12&lt;&gt;0,$H611&gt;0,OR(AUTOEVENTO&lt;&gt;"manual",$M611&lt;&gt;1)),ROUND(OFFSET($P611,0,AR$13),15-13*ORÇAMENTO!$AF$7)/$H611*OFFSET(ORÇAMENTO!$X$15,ROW(AR611)-ROW(AR$15),0),0)</f>
        <v>0</v>
      </c>
      <c r="AS611" s="633">
        <f ca="1">IF(AND($D611="Serviço",AS$12&lt;&gt;0,$H611&gt;0,OR(AUTOEVENTO&lt;&gt;"manual",$M611&lt;&gt;1)),ROUND(OFFSET($P611,0,AS$13),15-13*ORÇAMENTO!$AF$7)/$H611*OFFSET(ORÇAMENTO!$X$15,ROW(AS611)-ROW(AS$15),0),0)</f>
        <v>0</v>
      </c>
      <c r="AT611" s="632">
        <f ca="1">IF(AND($D611="Serviço",AT$12&lt;&gt;0,$H611&gt;0,OR(AUTOEVENTO&lt;&gt;"manual",$M611&lt;&gt;1)),ROUND(OFFSET($P611,0,AT$13),15-13*ORÇAMENTO!$AF$7)/$H611*OFFSET(ORÇAMENTO!$X$15,ROW(AT611)-ROW(AT$15),0),0)</f>
        <v>0</v>
      </c>
      <c r="AU611" s="632">
        <f ca="1">IF(AND($D611="Serviço",AU$12&lt;&gt;0,$H611&gt;0,OR(AUTOEVENTO&lt;&gt;"manual",$M611&lt;&gt;1)),ROUND(OFFSET($P611,0,AU$13),15-13*ORÇAMENTO!$AF$7)/$H611*OFFSET(ORÇAMENTO!$X$15,ROW(AU611)-ROW(AU$15),0),0)</f>
        <v>0</v>
      </c>
      <c r="AV611" s="632">
        <f ca="1">IF(AND($D611="Serviço",AV$12&lt;&gt;0,$H611&gt;0,OR(AUTOEVENTO&lt;&gt;"manual",$M611&lt;&gt;1)),ROUND(OFFSET($P611,0,AV$13),15-13*ORÇAMENTO!$AF$7)/$H611*OFFSET(ORÇAMENTO!$X$15,ROW(AV611)-ROW(AV$15),0),0)</f>
        <v>0</v>
      </c>
      <c r="AW611" s="632">
        <f ca="1">IF(AND($D611="Serviço",AW$12&lt;&gt;0,$H611&gt;0,OR(AUTOEVENTO&lt;&gt;"manual",$M611&lt;&gt;1)),ROUND(OFFSET($P611,0,AW$13),15-13*ORÇAMENTO!$AF$7)/$H611*OFFSET(ORÇAMENTO!$X$15,ROW(AW611)-ROW(AW$15),0),0)</f>
        <v>0</v>
      </c>
      <c r="AX611" s="632">
        <f ca="1">IF(AND($D611="Serviço",AX$12&lt;&gt;0,$H611&gt;0,OR(AUTOEVENTO&lt;&gt;"manual",$M611&lt;&gt;1)),ROUND(OFFSET($P611,0,AX$13),15-13*ORÇAMENTO!$AF$7)/$H611*OFFSET(ORÇAMENTO!$X$15,ROW(AX611)-ROW(AX$15),0),0)</f>
        <v>0</v>
      </c>
      <c r="AY611" s="632">
        <f ca="1">IF(AND($D611="Serviço",AY$12&lt;&gt;0,$H611&gt;0,OR(AUTOEVENTO&lt;&gt;"manual",$M611&lt;&gt;1)),ROUND(OFFSET($P611,0,AY$13),15-13*ORÇAMENTO!$AF$7)/$H611*OFFSET(ORÇAMENTO!$X$15,ROW(AY611)-ROW(AY$15),0),0)</f>
        <v>0</v>
      </c>
      <c r="AZ611" s="632">
        <f ca="1">IF(AND($D611="Serviço",AZ$12&lt;&gt;0,$H611&gt;0,OR(AUTOEVENTO&lt;&gt;"manual",$M611&lt;&gt;1)),ROUND(OFFSET($P611,0,AZ$13),15-13*ORÇAMENTO!$AF$7)/$H611*OFFSET(ORÇAMENTO!$X$15,ROW(AZ611)-ROW(AZ$15),0),0)</f>
        <v>0</v>
      </c>
      <c r="BA611" s="633">
        <f ca="1">IF(AND($D611="Serviço",BA$12&lt;&gt;0,$H611&gt;0,OR(AUTOEVENTO&lt;&gt;"manual",$M611&lt;&gt;1)),ROUND(OFFSET($P611,0,BA$13),15-13*ORÇAMENTO!$AF$7)/$H611*OFFSET(ORÇAMENTO!$X$15,ROW(BA611)-ROW(BA$15),0),0)</f>
        <v>0</v>
      </c>
      <c r="BC611" s="215">
        <f ca="1">IF($D611&lt;&gt;"Serviço",0,IF(AND(AUTOEVENTO="Manual",$M611=1),0,IF(OFFSET(CRONOPLE!$F$14,$M611,BC$13)="",10^12,OFFSET(CRONOPLE!$F$14,$M611,BC$13))))</f>
        <v>1000000000000</v>
      </c>
      <c r="BD611" s="215">
        <f ca="1">IF($D611&lt;&gt;"Serviço",0,IF(AND(AUTOEVENTO="Manual",$M611=1),0,IF(OFFSET(CRONOPLE!$F$14,$M611,BD$13)="",10^12,OFFSET(CRONOPLE!$F$14,$M611,BD$13))))</f>
        <v>1000000000000</v>
      </c>
      <c r="BE611" s="215">
        <f ca="1">IF($D611&lt;&gt;"Serviço",0,IF(AND(AUTOEVENTO="Manual",$M611=1),0,IF(OFFSET(CRONOPLE!$F$14,$M611,BE$13)="",10^12,OFFSET(CRONOPLE!$F$14,$M611,BE$13))))</f>
        <v>1000000000000</v>
      </c>
      <c r="BF611" s="215">
        <f ca="1">IF($D611&lt;&gt;"Serviço",0,IF(AND(AUTOEVENTO="Manual",$M611=1),0,IF(OFFSET(CRONOPLE!$F$14,$M611,BF$13)="",10^12,OFFSET(CRONOPLE!$F$14,$M611,BF$13))))</f>
        <v>1000000000000</v>
      </c>
      <c r="BG611" s="215">
        <f ca="1">IF($D611&lt;&gt;"Serviço",0,IF(AND(AUTOEVENTO="Manual",$M611=1),0,IF(OFFSET(CRONOPLE!$F$14,$M611,BG$13)="",10^12,OFFSET(CRONOPLE!$F$14,$M611,BG$13))))</f>
        <v>1000000000000</v>
      </c>
      <c r="BH611" s="215">
        <f ca="1">IF($D611&lt;&gt;"Serviço",0,IF(AND(AUTOEVENTO="Manual",$M611=1),0,IF(OFFSET(CRONOPLE!$F$14,$M611,BH$13)="",10^12,OFFSET(CRONOPLE!$F$14,$M611,BH$13))))</f>
        <v>1000000000000</v>
      </c>
      <c r="BI611" s="215">
        <f ca="1">IF($D611&lt;&gt;"Serviço",0,IF(AND(AUTOEVENTO="Manual",$M611=1),0,IF(OFFSET(CRONOPLE!$F$14,$M611,BI$13)="",10^12,OFFSET(CRONOPLE!$F$14,$M611,BI$13))))</f>
        <v>1000000000000</v>
      </c>
      <c r="BJ611" s="215">
        <f ca="1">IF($D611&lt;&gt;"Serviço",0,IF(AND(AUTOEVENTO="Manual",$M611=1),0,IF(OFFSET(CRONOPLE!$F$14,$M611,BJ$13)="",10^12,OFFSET(CRONOPLE!$F$14,$M611,BJ$13))))</f>
        <v>1000000000000</v>
      </c>
      <c r="BK611" s="215">
        <f ca="1">IF($D611&lt;&gt;"Serviço",0,IF(AND(AUTOEVENTO="Manual",$M611=1),0,IF(OFFSET(CRONOPLE!$F$14,$M611,BK$13)="",10^12,OFFSET(CRONOPLE!$F$14,$M611,BK$13))))</f>
        <v>1000000000000</v>
      </c>
      <c r="BL611" s="215">
        <f ca="1">IF($D611&lt;&gt;"Serviço",0,IF(AND(AUTOEVENTO="Manual",$M611=1),0,IF(OFFSET(CRONOPLE!$F$14,$M611,BL$13)="",10^12,OFFSET(CRONOPLE!$F$14,$M611,BL$13))))</f>
        <v>1000000000000</v>
      </c>
      <c r="BM611" s="215">
        <f ca="1">IF($D611&lt;&gt;"Serviço",0,IF(AND(AUTOEVENTO="Manual",$M611=1),0,IF(OFFSET(CRONOPLE!$F$14,$M611,BM$13)="",10^12,OFFSET(CRONOPLE!$F$14,$M611,BM$13))))</f>
        <v>1000000000000</v>
      </c>
      <c r="BN611" s="215">
        <f ca="1">IF($D611&lt;&gt;"Serviço",0,IF(AND(AUTOEVENTO="Manual",$M611=1),0,IF(OFFSET(CRONOPLE!$F$14,$M611,BN$13)="",10^12,OFFSET(CRONOPLE!$F$14,$M611,BN$13))))</f>
        <v>1000000000000</v>
      </c>
      <c r="BO611" s="215">
        <f ca="1">IF($D611&lt;&gt;"Serviço",0,IF(AND(AUTOEVENTO="Manual",$M611=1),0,IF(OFFSET(CRONOPLE!$F$14,$M611,BO$13)="",10^12,OFFSET(CRONOPLE!$F$14,$M611,BO$13))))</f>
        <v>1000000000000</v>
      </c>
      <c r="BP611" s="215">
        <f ca="1">IF($D611&lt;&gt;"Serviço",0,IF(AND(AUTOEVENTO="Manual",$M611=1),0,IF(OFFSET(CRONOPLE!$F$14,$M611,BP$13)="",10^12,OFFSET(CRONOPLE!$F$14,$M611,BP$13))))</f>
        <v>1000000000000</v>
      </c>
      <c r="BQ611" s="215">
        <f ca="1">IF($D611&lt;&gt;"Serviço",0,IF(AND(AUTOEVENTO="Manual",$M611=1),0,IF(OFFSET(CRONOPLE!$F$14,$M611,BQ$13)="",10^12,OFFSET(CRONOPLE!$F$14,$M611,BQ$13))))</f>
        <v>1000000000000</v>
      </c>
      <c r="BR611" s="215">
        <f ca="1">IF($D611&lt;&gt;"Serviço",0,IF(AND(AUTOEVENTO="Manual",$M611=1),0,IF(OFFSET(CRONOPLE!$F$14,$M611,BR$13)="",10^12,OFFSET(CRONOPLE!$F$14,$M611,BR$13))))</f>
        <v>1000000000000</v>
      </c>
      <c r="BS611" s="215">
        <f ca="1">IF($D611&lt;&gt;"Serviço",0,IF(AND(AUTOEVENTO="Manual",$M611=1),0,IF(OFFSET(CRONOPLE!$F$14,$M611,BS$13)="",10^12,OFFSET(CRONOPLE!$F$14,$M611,BS$13))))</f>
        <v>1000000000000</v>
      </c>
      <c r="BT611" s="215">
        <f ca="1">IF($D611&lt;&gt;"Serviço",0,IF(AND(AUTOEVENTO="Manual",$M611=1),0,IF(OFFSET(CRONOPLE!$F$14,$M611,BT$13)="",10^12,OFFSET(CRONOPLE!$F$14,$M611,BT$13))))</f>
        <v>1000000000000</v>
      </c>
      <c r="BV611" s="216">
        <f ca="1">IF($D611&lt;&gt;"Serviço",0,IF(OR(AND(AUTOEVENTO="Manual",$M611=1),$M611&gt;(ROW(PLE.lastrow)-ROW(PLE.firstrow))),0,IF(OFFSET(PLE!$G$14,$M611,BV$13)="",10^12,OFFSET(PLE!$G$14,$M611,BV$13))))</f>
        <v>1000000000000</v>
      </c>
      <c r="BW611" s="216">
        <f ca="1">IF($D611&lt;&gt;"Serviço",0,IF(OR(AND(AUTOEVENTO="Manual",$M611=1),$M611&gt;(ROW(PLE.lastrow)-ROW(PLE.firstrow))),0,IF(OFFSET(PLE!$G$14,$M611,BW$13)="",10^12,OFFSET(PLE!$G$14,$M611,BW$13))))</f>
        <v>1000000000000</v>
      </c>
      <c r="BX611" s="216">
        <f ca="1">IF($D611&lt;&gt;"Serviço",0,IF(OR(AND(AUTOEVENTO="Manual",$M611=1),$M611&gt;(ROW(PLE.lastrow)-ROW(PLE.firstrow))),0,IF(OFFSET(PLE!$G$14,$M611,BX$13)="",10^12,OFFSET(PLE!$G$14,$M611,BX$13))))</f>
        <v>1000000000000</v>
      </c>
      <c r="BY611" s="216">
        <f ca="1">IF($D611&lt;&gt;"Serviço",0,IF(OR(AND(AUTOEVENTO="Manual",$M611=1),$M611&gt;(ROW(PLE.lastrow)-ROW(PLE.firstrow))),0,IF(OFFSET(PLE!$G$14,$M611,BY$13)="",10^12,OFFSET(PLE!$G$14,$M611,BY$13))))</f>
        <v>1000000000000</v>
      </c>
      <c r="BZ611" s="216">
        <f ca="1">IF($D611&lt;&gt;"Serviço",0,IF(OR(AND(AUTOEVENTO="Manual",$M611=1),$M611&gt;(ROW(PLE.lastrow)-ROW(PLE.firstrow))),0,IF(OFFSET(PLE!$G$14,$M611,BZ$13)="",10^12,OFFSET(PLE!$G$14,$M611,BZ$13))))</f>
        <v>1000000000000</v>
      </c>
      <c r="CA611" s="216">
        <f ca="1">IF($D611&lt;&gt;"Serviço",0,IF(OR(AND(AUTOEVENTO="Manual",$M611=1),$M611&gt;(ROW(PLE.lastrow)-ROW(PLE.firstrow))),0,IF(OFFSET(PLE!$G$14,$M611,CA$13)="",10^12,OFFSET(PLE!$G$14,$M611,CA$13))))</f>
        <v>1000000000000</v>
      </c>
      <c r="CB611" s="216">
        <f ca="1">IF($D611&lt;&gt;"Serviço",0,IF(OR(AND(AUTOEVENTO="Manual",$M611=1),$M611&gt;(ROW(PLE.lastrow)-ROW(PLE.firstrow))),0,IF(OFFSET(PLE!$G$14,$M611,CB$13)="",10^12,OFFSET(PLE!$G$14,$M611,CB$13))))</f>
        <v>1000000000000</v>
      </c>
      <c r="CC611" s="216">
        <f ca="1">IF($D611&lt;&gt;"Serviço",0,IF(OR(AND(AUTOEVENTO="Manual",$M611=1),$M611&gt;(ROW(PLE.lastrow)-ROW(PLE.firstrow))),0,IF(OFFSET(PLE!$G$14,$M611,CC$13)="",10^12,OFFSET(PLE!$G$14,$M611,CC$13))))</f>
        <v>1000000000000</v>
      </c>
      <c r="CD611" s="216">
        <f ca="1">IF($D611&lt;&gt;"Serviço",0,IF(OR(AND(AUTOEVENTO="Manual",$M611=1),$M611&gt;(ROW(PLE.lastrow)-ROW(PLE.firstrow))),0,IF(OFFSET(PLE!$G$14,$M611,CD$13)="",10^12,OFFSET(PLE!$G$14,$M611,CD$13))))</f>
        <v>1000000000000</v>
      </c>
      <c r="CE611" s="216">
        <f ca="1">IF($D611&lt;&gt;"Serviço",0,IF(OR(AND(AUTOEVENTO="Manual",$M611=1),$M611&gt;(ROW(PLE.lastrow)-ROW(PLE.firstrow))),0,IF(OFFSET(PLE!$G$14,$M611,CE$13)="",10^12,OFFSET(PLE!$G$14,$M611,CE$13))))</f>
        <v>1000000000000</v>
      </c>
      <c r="CF611" s="216">
        <f ca="1">IF($D611&lt;&gt;"Serviço",0,IF(OR(AND(AUTOEVENTO="Manual",$M611=1),$M611&gt;(ROW(PLE.lastrow)-ROW(PLE.firstrow))),0,IF(OFFSET(PLE!$G$14,$M611,CF$13)="",10^12,OFFSET(PLE!$G$14,$M611,CF$13))))</f>
        <v>1000000000000</v>
      </c>
      <c r="CG611" s="216">
        <f ca="1">IF($D611&lt;&gt;"Serviço",0,IF(OR(AND(AUTOEVENTO="Manual",$M611=1),$M611&gt;(ROW(PLE.lastrow)-ROW(PLE.firstrow))),0,IF(OFFSET(PLE!$G$14,$M611,CG$13)="",10^12,OFFSET(PLE!$G$14,$M611,CG$13))))</f>
        <v>1000000000000</v>
      </c>
      <c r="CH611" s="216">
        <f ca="1">IF($D611&lt;&gt;"Serviço",0,IF(OR(AND(AUTOEVENTO="Manual",$M611=1),$M611&gt;(ROW(PLE.lastrow)-ROW(PLE.firstrow))),0,IF(OFFSET(PLE!$G$14,$M611,CH$13)="",10^12,OFFSET(PLE!$G$14,$M611,CH$13))))</f>
        <v>1000000000000</v>
      </c>
      <c r="CI611" s="216">
        <f ca="1">IF($D611&lt;&gt;"Serviço",0,IF(OR(AND(AUTOEVENTO="Manual",$M611=1),$M611&gt;(ROW(PLE.lastrow)-ROW(PLE.firstrow))),0,IF(OFFSET(PLE!$G$14,$M611,CI$13)="",10^12,OFFSET(PLE!$G$14,$M611,CI$13))))</f>
        <v>1000000000000</v>
      </c>
      <c r="CJ611" s="216">
        <f ca="1">IF($D611&lt;&gt;"Serviço",0,IF(OR(AND(AUTOEVENTO="Manual",$M611=1),$M611&gt;(ROW(PLE.lastrow)-ROW(PLE.firstrow))),0,IF(OFFSET(PLE!$G$14,$M611,CJ$13)="",10^12,OFFSET(PLE!$G$14,$M611,CJ$13))))</f>
        <v>1000000000000</v>
      </c>
      <c r="CK611" s="216">
        <f ca="1">IF($D611&lt;&gt;"Serviço",0,IF(OR(AND(AUTOEVENTO="Manual",$M611=1),$M611&gt;(ROW(PLE.lastrow)-ROW(PLE.firstrow))),0,IF(OFFSET(PLE!$G$14,$M611,CK$13)="",10^12,OFFSET(PLE!$G$14,$M611,CK$13))))</f>
        <v>1000000000000</v>
      </c>
      <c r="CL611" s="216">
        <f ca="1">IF($D611&lt;&gt;"Serviço",0,IF(OR(AND(AUTOEVENTO="Manual",$M611=1),$M611&gt;(ROW(PLE.lastrow)-ROW(PLE.firstrow))),0,IF(OFFSET(PLE!$G$14,$M611,CL$13)="",10^12,OFFSET(PLE!$G$14,$M611,CL$13))))</f>
        <v>1000000000000</v>
      </c>
      <c r="CM611" s="216">
        <f ca="1">IF($D611&lt;&gt;"Serviço",0,IF(OR(AND(AUTOEVENTO="Manual",$M611=1),$M611&gt;(ROW(PLE.lastrow)-ROW(PLE.firstrow))),0,IF(OFFSET(PLE!$G$14,$M611,CM$13)="",10^12,OFFSET(PLE!$G$14,$M611,CM$13))))</f>
        <v>1000000000000</v>
      </c>
    </row>
    <row r="612" spans="1:91" ht="13.2" x14ac:dyDescent="0.25">
      <c r="A612" s="9">
        <f t="shared" ca="1" si="18"/>
        <v>0</v>
      </c>
      <c r="B612" s="9" t="str">
        <f ca="1">OFFSET(ORÇAMENTO!C$15,ROW(B612)-ROW(B$15),0)</f>
        <v>S</v>
      </c>
      <c r="C612" s="9" t="str">
        <f ca="1">OFFSET(ORÇAMENTO!L$15,ROW(C612)-ROW(C$15),0)</f>
        <v/>
      </c>
      <c r="D612" s="145" t="str">
        <f ca="1">OFFSET(ORÇAMENTO!N$15,ROW(D612)-ROW(D$15),0)</f>
        <v>Serviço</v>
      </c>
      <c r="E612" s="205" t="str">
        <f ca="1">OFFSET(ORÇAMENTO!O$15,ROW(E612)-ROW(E$15),0)</f>
        <v>-</v>
      </c>
      <c r="F612" s="206" t="str">
        <f ca="1">OFFSET(ORÇAMENTO!R$15,ROW(F612)-ROW(F$15),0)</f>
        <v>(abra o arquivo 'Referência 05-2024.xls)</v>
      </c>
      <c r="G612" s="207" t="str">
        <f ca="1">IF($D612&lt;&gt;"Serviço","",OFFSET(ORÇAMENTO!S$15,ROW(G612)-ROW(G$15),0))</f>
        <v>-</v>
      </c>
      <c r="H612" s="151">
        <f ca="1">IF($D612&lt;&gt;"Serviço",0,IF(ACOMPANHAMENTO="BM",ROUND(OFFSET(ORÇAMENTO!AJ$15,ROW(H612)-ROW(H$15),0),15-13*ORÇAMENTO!$AF$7),SUMPRODUCT(($Q$12:$AI$12&lt;&gt;"")*ROUND($Q612:$AI612,15-13*ORÇAMENTO!$AF$7))))</f>
        <v>20</v>
      </c>
      <c r="I612" s="650"/>
      <c r="K612" s="208"/>
      <c r="L612" s="209" t="s">
        <v>257</v>
      </c>
      <c r="M612" s="210">
        <f ca="1">IF($D612&lt;&gt;"Serviço","",IF(AUTOEVENTO="manual",$A612,IF(ISERROR(MATCH($A612,$A$15:OFFSET($A612,-1,0),0)),MAX($M$15:OFFSET(M612,-1,0))+1,INDEX($M$15:OFFSET(M612,-1,0),MATCH($A612,$A$15:OFFSET($A612,-1,0),0)))))</f>
        <v>0</v>
      </c>
      <c r="N612" s="211" t="str">
        <f ca="1">IF($D612&lt;&gt;"Serviço","",IF(AUTOEVENTO="Manual",IF($A612=0,"&lt;-- defina o número do agrupador",OFFSET(EVENTOS!$D$14,$A612,0)),OFFSET($F$15,$A612,0)))</f>
        <v>&lt;-- defina o número do agrupador</v>
      </c>
      <c r="O612" s="212"/>
      <c r="Q612" s="212"/>
      <c r="R612" s="213"/>
      <c r="S612" s="213"/>
      <c r="T612" s="213"/>
      <c r="U612" s="213"/>
      <c r="V612" s="213"/>
      <c r="W612" s="213"/>
      <c r="X612" s="213"/>
      <c r="Y612" s="213"/>
      <c r="Z612" s="214"/>
      <c r="AA612" s="213"/>
      <c r="AB612" s="213"/>
      <c r="AC612" s="213"/>
      <c r="AD612" s="213"/>
      <c r="AE612" s="213"/>
      <c r="AF612" s="213"/>
      <c r="AG612" s="213"/>
      <c r="AH612" s="214"/>
      <c r="AJ612" s="631">
        <f ca="1">IF(AND($D612="Serviço",AJ$12&lt;&gt;0,$H612&gt;0,OR(AUTOEVENTO&lt;&gt;"manual",$M612&lt;&gt;1)),ROUND(OFFSET($P612,0,AJ$13),15-13*ORÇAMENTO!$AF$7)/$H612*OFFSET(ORÇAMENTO!$X$15,ROW(AJ612)-ROW(AJ$15),0),0)</f>
        <v>0</v>
      </c>
      <c r="AK612" s="632">
        <f ca="1">IF(AND($D612="Serviço",AK$12&lt;&gt;0,$H612&gt;0,OR(AUTOEVENTO&lt;&gt;"manual",$M612&lt;&gt;1)),ROUND(OFFSET($P612,0,AK$13),15-13*ORÇAMENTO!$AF$7)/$H612*OFFSET(ORÇAMENTO!$X$15,ROW(AK612)-ROW(AK$15),0),0)</f>
        <v>0</v>
      </c>
      <c r="AL612" s="632">
        <f ca="1">IF(AND($D612="Serviço",AL$12&lt;&gt;0,$H612&gt;0,OR(AUTOEVENTO&lt;&gt;"manual",$M612&lt;&gt;1)),ROUND(OFFSET($P612,0,AL$13),15-13*ORÇAMENTO!$AF$7)/$H612*OFFSET(ORÇAMENTO!$X$15,ROW(AL612)-ROW(AL$15),0),0)</f>
        <v>0</v>
      </c>
      <c r="AM612" s="632">
        <f ca="1">IF(AND($D612="Serviço",AM$12&lt;&gt;0,$H612&gt;0,OR(AUTOEVENTO&lt;&gt;"manual",$M612&lt;&gt;1)),ROUND(OFFSET($P612,0,AM$13),15-13*ORÇAMENTO!$AF$7)/$H612*OFFSET(ORÇAMENTO!$X$15,ROW(AM612)-ROW(AM$15),0),0)</f>
        <v>0</v>
      </c>
      <c r="AN612" s="632">
        <f ca="1">IF(AND($D612="Serviço",AN$12&lt;&gt;0,$H612&gt;0,OR(AUTOEVENTO&lt;&gt;"manual",$M612&lt;&gt;1)),ROUND(OFFSET($P612,0,AN$13),15-13*ORÇAMENTO!$AF$7)/$H612*OFFSET(ORÇAMENTO!$X$15,ROW(AN612)-ROW(AN$15),0),0)</f>
        <v>0</v>
      </c>
      <c r="AO612" s="632">
        <f ca="1">IF(AND($D612="Serviço",AO$12&lt;&gt;0,$H612&gt;0,OR(AUTOEVENTO&lt;&gt;"manual",$M612&lt;&gt;1)),ROUND(OFFSET($P612,0,AO$13),15-13*ORÇAMENTO!$AF$7)/$H612*OFFSET(ORÇAMENTO!$X$15,ROW(AO612)-ROW(AO$15),0),0)</f>
        <v>0</v>
      </c>
      <c r="AP612" s="632">
        <f ca="1">IF(AND($D612="Serviço",AP$12&lt;&gt;0,$H612&gt;0,OR(AUTOEVENTO&lt;&gt;"manual",$M612&lt;&gt;1)),ROUND(OFFSET($P612,0,AP$13),15-13*ORÇAMENTO!$AF$7)/$H612*OFFSET(ORÇAMENTO!$X$15,ROW(AP612)-ROW(AP$15),0),0)</f>
        <v>0</v>
      </c>
      <c r="AQ612" s="632">
        <f ca="1">IF(AND($D612="Serviço",AQ$12&lt;&gt;0,$H612&gt;0,OR(AUTOEVENTO&lt;&gt;"manual",$M612&lt;&gt;1)),ROUND(OFFSET($P612,0,AQ$13),15-13*ORÇAMENTO!$AF$7)/$H612*OFFSET(ORÇAMENTO!$X$15,ROW(AQ612)-ROW(AQ$15),0),0)</f>
        <v>0</v>
      </c>
      <c r="AR612" s="632">
        <f ca="1">IF(AND($D612="Serviço",AR$12&lt;&gt;0,$H612&gt;0,OR(AUTOEVENTO&lt;&gt;"manual",$M612&lt;&gt;1)),ROUND(OFFSET($P612,0,AR$13),15-13*ORÇAMENTO!$AF$7)/$H612*OFFSET(ORÇAMENTO!$X$15,ROW(AR612)-ROW(AR$15),0),0)</f>
        <v>0</v>
      </c>
      <c r="AS612" s="633">
        <f ca="1">IF(AND($D612="Serviço",AS$12&lt;&gt;0,$H612&gt;0,OR(AUTOEVENTO&lt;&gt;"manual",$M612&lt;&gt;1)),ROUND(OFFSET($P612,0,AS$13),15-13*ORÇAMENTO!$AF$7)/$H612*OFFSET(ORÇAMENTO!$X$15,ROW(AS612)-ROW(AS$15),0),0)</f>
        <v>0</v>
      </c>
      <c r="AT612" s="632">
        <f ca="1">IF(AND($D612="Serviço",AT$12&lt;&gt;0,$H612&gt;0,OR(AUTOEVENTO&lt;&gt;"manual",$M612&lt;&gt;1)),ROUND(OFFSET($P612,0,AT$13),15-13*ORÇAMENTO!$AF$7)/$H612*OFFSET(ORÇAMENTO!$X$15,ROW(AT612)-ROW(AT$15),0),0)</f>
        <v>0</v>
      </c>
      <c r="AU612" s="632">
        <f ca="1">IF(AND($D612="Serviço",AU$12&lt;&gt;0,$H612&gt;0,OR(AUTOEVENTO&lt;&gt;"manual",$M612&lt;&gt;1)),ROUND(OFFSET($P612,0,AU$13),15-13*ORÇAMENTO!$AF$7)/$H612*OFFSET(ORÇAMENTO!$X$15,ROW(AU612)-ROW(AU$15),0),0)</f>
        <v>0</v>
      </c>
      <c r="AV612" s="632">
        <f ca="1">IF(AND($D612="Serviço",AV$12&lt;&gt;0,$H612&gt;0,OR(AUTOEVENTO&lt;&gt;"manual",$M612&lt;&gt;1)),ROUND(OFFSET($P612,0,AV$13),15-13*ORÇAMENTO!$AF$7)/$H612*OFFSET(ORÇAMENTO!$X$15,ROW(AV612)-ROW(AV$15),0),0)</f>
        <v>0</v>
      </c>
      <c r="AW612" s="632">
        <f ca="1">IF(AND($D612="Serviço",AW$12&lt;&gt;0,$H612&gt;0,OR(AUTOEVENTO&lt;&gt;"manual",$M612&lt;&gt;1)),ROUND(OFFSET($P612,0,AW$13),15-13*ORÇAMENTO!$AF$7)/$H612*OFFSET(ORÇAMENTO!$X$15,ROW(AW612)-ROW(AW$15),0),0)</f>
        <v>0</v>
      </c>
      <c r="AX612" s="632">
        <f ca="1">IF(AND($D612="Serviço",AX$12&lt;&gt;0,$H612&gt;0,OR(AUTOEVENTO&lt;&gt;"manual",$M612&lt;&gt;1)),ROUND(OFFSET($P612,0,AX$13),15-13*ORÇAMENTO!$AF$7)/$H612*OFFSET(ORÇAMENTO!$X$15,ROW(AX612)-ROW(AX$15),0),0)</f>
        <v>0</v>
      </c>
      <c r="AY612" s="632">
        <f ca="1">IF(AND($D612="Serviço",AY$12&lt;&gt;0,$H612&gt;0,OR(AUTOEVENTO&lt;&gt;"manual",$M612&lt;&gt;1)),ROUND(OFFSET($P612,0,AY$13),15-13*ORÇAMENTO!$AF$7)/$H612*OFFSET(ORÇAMENTO!$X$15,ROW(AY612)-ROW(AY$15),0),0)</f>
        <v>0</v>
      </c>
      <c r="AZ612" s="632">
        <f ca="1">IF(AND($D612="Serviço",AZ$12&lt;&gt;0,$H612&gt;0,OR(AUTOEVENTO&lt;&gt;"manual",$M612&lt;&gt;1)),ROUND(OFFSET($P612,0,AZ$13),15-13*ORÇAMENTO!$AF$7)/$H612*OFFSET(ORÇAMENTO!$X$15,ROW(AZ612)-ROW(AZ$15),0),0)</f>
        <v>0</v>
      </c>
      <c r="BA612" s="633">
        <f ca="1">IF(AND($D612="Serviço",BA$12&lt;&gt;0,$H612&gt;0,OR(AUTOEVENTO&lt;&gt;"manual",$M612&lt;&gt;1)),ROUND(OFFSET($P612,0,BA$13),15-13*ORÇAMENTO!$AF$7)/$H612*OFFSET(ORÇAMENTO!$X$15,ROW(BA612)-ROW(BA$15),0),0)</f>
        <v>0</v>
      </c>
      <c r="BC612" s="215">
        <f ca="1">IF($D612&lt;&gt;"Serviço",0,IF(AND(AUTOEVENTO="Manual",$M612=1),0,IF(OFFSET(CRONOPLE!$F$14,$M612,BC$13)="",10^12,OFFSET(CRONOPLE!$F$14,$M612,BC$13))))</f>
        <v>1000000000000</v>
      </c>
      <c r="BD612" s="215">
        <f ca="1">IF($D612&lt;&gt;"Serviço",0,IF(AND(AUTOEVENTO="Manual",$M612=1),0,IF(OFFSET(CRONOPLE!$F$14,$M612,BD$13)="",10^12,OFFSET(CRONOPLE!$F$14,$M612,BD$13))))</f>
        <v>1000000000000</v>
      </c>
      <c r="BE612" s="215">
        <f ca="1">IF($D612&lt;&gt;"Serviço",0,IF(AND(AUTOEVENTO="Manual",$M612=1),0,IF(OFFSET(CRONOPLE!$F$14,$M612,BE$13)="",10^12,OFFSET(CRONOPLE!$F$14,$M612,BE$13))))</f>
        <v>1000000000000</v>
      </c>
      <c r="BF612" s="215">
        <f ca="1">IF($D612&lt;&gt;"Serviço",0,IF(AND(AUTOEVENTO="Manual",$M612=1),0,IF(OFFSET(CRONOPLE!$F$14,$M612,BF$13)="",10^12,OFFSET(CRONOPLE!$F$14,$M612,BF$13))))</f>
        <v>1000000000000</v>
      </c>
      <c r="BG612" s="215">
        <f ca="1">IF($D612&lt;&gt;"Serviço",0,IF(AND(AUTOEVENTO="Manual",$M612=1),0,IF(OFFSET(CRONOPLE!$F$14,$M612,BG$13)="",10^12,OFFSET(CRONOPLE!$F$14,$M612,BG$13))))</f>
        <v>1000000000000</v>
      </c>
      <c r="BH612" s="215">
        <f ca="1">IF($D612&lt;&gt;"Serviço",0,IF(AND(AUTOEVENTO="Manual",$M612=1),0,IF(OFFSET(CRONOPLE!$F$14,$M612,BH$13)="",10^12,OFFSET(CRONOPLE!$F$14,$M612,BH$13))))</f>
        <v>1000000000000</v>
      </c>
      <c r="BI612" s="215">
        <f ca="1">IF($D612&lt;&gt;"Serviço",0,IF(AND(AUTOEVENTO="Manual",$M612=1),0,IF(OFFSET(CRONOPLE!$F$14,$M612,BI$13)="",10^12,OFFSET(CRONOPLE!$F$14,$M612,BI$13))))</f>
        <v>1000000000000</v>
      </c>
      <c r="BJ612" s="215">
        <f ca="1">IF($D612&lt;&gt;"Serviço",0,IF(AND(AUTOEVENTO="Manual",$M612=1),0,IF(OFFSET(CRONOPLE!$F$14,$M612,BJ$13)="",10^12,OFFSET(CRONOPLE!$F$14,$M612,BJ$13))))</f>
        <v>1000000000000</v>
      </c>
      <c r="BK612" s="215">
        <f ca="1">IF($D612&lt;&gt;"Serviço",0,IF(AND(AUTOEVENTO="Manual",$M612=1),0,IF(OFFSET(CRONOPLE!$F$14,$M612,BK$13)="",10^12,OFFSET(CRONOPLE!$F$14,$M612,BK$13))))</f>
        <v>1000000000000</v>
      </c>
      <c r="BL612" s="215">
        <f ca="1">IF($D612&lt;&gt;"Serviço",0,IF(AND(AUTOEVENTO="Manual",$M612=1),0,IF(OFFSET(CRONOPLE!$F$14,$M612,BL$13)="",10^12,OFFSET(CRONOPLE!$F$14,$M612,BL$13))))</f>
        <v>1000000000000</v>
      </c>
      <c r="BM612" s="215">
        <f ca="1">IF($D612&lt;&gt;"Serviço",0,IF(AND(AUTOEVENTO="Manual",$M612=1),0,IF(OFFSET(CRONOPLE!$F$14,$M612,BM$13)="",10^12,OFFSET(CRONOPLE!$F$14,$M612,BM$13))))</f>
        <v>1000000000000</v>
      </c>
      <c r="BN612" s="215">
        <f ca="1">IF($D612&lt;&gt;"Serviço",0,IF(AND(AUTOEVENTO="Manual",$M612=1),0,IF(OFFSET(CRONOPLE!$F$14,$M612,BN$13)="",10^12,OFFSET(CRONOPLE!$F$14,$M612,BN$13))))</f>
        <v>1000000000000</v>
      </c>
      <c r="BO612" s="215">
        <f ca="1">IF($D612&lt;&gt;"Serviço",0,IF(AND(AUTOEVENTO="Manual",$M612=1),0,IF(OFFSET(CRONOPLE!$F$14,$M612,BO$13)="",10^12,OFFSET(CRONOPLE!$F$14,$M612,BO$13))))</f>
        <v>1000000000000</v>
      </c>
      <c r="BP612" s="215">
        <f ca="1">IF($D612&lt;&gt;"Serviço",0,IF(AND(AUTOEVENTO="Manual",$M612=1),0,IF(OFFSET(CRONOPLE!$F$14,$M612,BP$13)="",10^12,OFFSET(CRONOPLE!$F$14,$M612,BP$13))))</f>
        <v>1000000000000</v>
      </c>
      <c r="BQ612" s="215">
        <f ca="1">IF($D612&lt;&gt;"Serviço",0,IF(AND(AUTOEVENTO="Manual",$M612=1),0,IF(OFFSET(CRONOPLE!$F$14,$M612,BQ$13)="",10^12,OFFSET(CRONOPLE!$F$14,$M612,BQ$13))))</f>
        <v>1000000000000</v>
      </c>
      <c r="BR612" s="215">
        <f ca="1">IF($D612&lt;&gt;"Serviço",0,IF(AND(AUTOEVENTO="Manual",$M612=1),0,IF(OFFSET(CRONOPLE!$F$14,$M612,BR$13)="",10^12,OFFSET(CRONOPLE!$F$14,$M612,BR$13))))</f>
        <v>1000000000000</v>
      </c>
      <c r="BS612" s="215">
        <f ca="1">IF($D612&lt;&gt;"Serviço",0,IF(AND(AUTOEVENTO="Manual",$M612=1),0,IF(OFFSET(CRONOPLE!$F$14,$M612,BS$13)="",10^12,OFFSET(CRONOPLE!$F$14,$M612,BS$13))))</f>
        <v>1000000000000</v>
      </c>
      <c r="BT612" s="215">
        <f ca="1">IF($D612&lt;&gt;"Serviço",0,IF(AND(AUTOEVENTO="Manual",$M612=1),0,IF(OFFSET(CRONOPLE!$F$14,$M612,BT$13)="",10^12,OFFSET(CRONOPLE!$F$14,$M612,BT$13))))</f>
        <v>1000000000000</v>
      </c>
      <c r="BV612" s="216">
        <f ca="1">IF($D612&lt;&gt;"Serviço",0,IF(OR(AND(AUTOEVENTO="Manual",$M612=1),$M612&gt;(ROW(PLE.lastrow)-ROW(PLE.firstrow))),0,IF(OFFSET(PLE!$G$14,$M612,BV$13)="",10^12,OFFSET(PLE!$G$14,$M612,BV$13))))</f>
        <v>1000000000000</v>
      </c>
      <c r="BW612" s="216">
        <f ca="1">IF($D612&lt;&gt;"Serviço",0,IF(OR(AND(AUTOEVENTO="Manual",$M612=1),$M612&gt;(ROW(PLE.lastrow)-ROW(PLE.firstrow))),0,IF(OFFSET(PLE!$G$14,$M612,BW$13)="",10^12,OFFSET(PLE!$G$14,$M612,BW$13))))</f>
        <v>1000000000000</v>
      </c>
      <c r="BX612" s="216">
        <f ca="1">IF($D612&lt;&gt;"Serviço",0,IF(OR(AND(AUTOEVENTO="Manual",$M612=1),$M612&gt;(ROW(PLE.lastrow)-ROW(PLE.firstrow))),0,IF(OFFSET(PLE!$G$14,$M612,BX$13)="",10^12,OFFSET(PLE!$G$14,$M612,BX$13))))</f>
        <v>1000000000000</v>
      </c>
      <c r="BY612" s="216">
        <f ca="1">IF($D612&lt;&gt;"Serviço",0,IF(OR(AND(AUTOEVENTO="Manual",$M612=1),$M612&gt;(ROW(PLE.lastrow)-ROW(PLE.firstrow))),0,IF(OFFSET(PLE!$G$14,$M612,BY$13)="",10^12,OFFSET(PLE!$G$14,$M612,BY$13))))</f>
        <v>1000000000000</v>
      </c>
      <c r="BZ612" s="216">
        <f ca="1">IF($D612&lt;&gt;"Serviço",0,IF(OR(AND(AUTOEVENTO="Manual",$M612=1),$M612&gt;(ROW(PLE.lastrow)-ROW(PLE.firstrow))),0,IF(OFFSET(PLE!$G$14,$M612,BZ$13)="",10^12,OFFSET(PLE!$G$14,$M612,BZ$13))))</f>
        <v>1000000000000</v>
      </c>
      <c r="CA612" s="216">
        <f ca="1">IF($D612&lt;&gt;"Serviço",0,IF(OR(AND(AUTOEVENTO="Manual",$M612=1),$M612&gt;(ROW(PLE.lastrow)-ROW(PLE.firstrow))),0,IF(OFFSET(PLE!$G$14,$M612,CA$13)="",10^12,OFFSET(PLE!$G$14,$M612,CA$13))))</f>
        <v>1000000000000</v>
      </c>
      <c r="CB612" s="216">
        <f ca="1">IF($D612&lt;&gt;"Serviço",0,IF(OR(AND(AUTOEVENTO="Manual",$M612=1),$M612&gt;(ROW(PLE.lastrow)-ROW(PLE.firstrow))),0,IF(OFFSET(PLE!$G$14,$M612,CB$13)="",10^12,OFFSET(PLE!$G$14,$M612,CB$13))))</f>
        <v>1000000000000</v>
      </c>
      <c r="CC612" s="216">
        <f ca="1">IF($D612&lt;&gt;"Serviço",0,IF(OR(AND(AUTOEVENTO="Manual",$M612=1),$M612&gt;(ROW(PLE.lastrow)-ROW(PLE.firstrow))),0,IF(OFFSET(PLE!$G$14,$M612,CC$13)="",10^12,OFFSET(PLE!$G$14,$M612,CC$13))))</f>
        <v>1000000000000</v>
      </c>
      <c r="CD612" s="216">
        <f ca="1">IF($D612&lt;&gt;"Serviço",0,IF(OR(AND(AUTOEVENTO="Manual",$M612=1),$M612&gt;(ROW(PLE.lastrow)-ROW(PLE.firstrow))),0,IF(OFFSET(PLE!$G$14,$M612,CD$13)="",10^12,OFFSET(PLE!$G$14,$M612,CD$13))))</f>
        <v>1000000000000</v>
      </c>
      <c r="CE612" s="216">
        <f ca="1">IF($D612&lt;&gt;"Serviço",0,IF(OR(AND(AUTOEVENTO="Manual",$M612=1),$M612&gt;(ROW(PLE.lastrow)-ROW(PLE.firstrow))),0,IF(OFFSET(PLE!$G$14,$M612,CE$13)="",10^12,OFFSET(PLE!$G$14,$M612,CE$13))))</f>
        <v>1000000000000</v>
      </c>
      <c r="CF612" s="216">
        <f ca="1">IF($D612&lt;&gt;"Serviço",0,IF(OR(AND(AUTOEVENTO="Manual",$M612=1),$M612&gt;(ROW(PLE.lastrow)-ROW(PLE.firstrow))),0,IF(OFFSET(PLE!$G$14,$M612,CF$13)="",10^12,OFFSET(PLE!$G$14,$M612,CF$13))))</f>
        <v>1000000000000</v>
      </c>
      <c r="CG612" s="216">
        <f ca="1">IF($D612&lt;&gt;"Serviço",0,IF(OR(AND(AUTOEVENTO="Manual",$M612=1),$M612&gt;(ROW(PLE.lastrow)-ROW(PLE.firstrow))),0,IF(OFFSET(PLE!$G$14,$M612,CG$13)="",10^12,OFFSET(PLE!$G$14,$M612,CG$13))))</f>
        <v>1000000000000</v>
      </c>
      <c r="CH612" s="216">
        <f ca="1">IF($D612&lt;&gt;"Serviço",0,IF(OR(AND(AUTOEVENTO="Manual",$M612=1),$M612&gt;(ROW(PLE.lastrow)-ROW(PLE.firstrow))),0,IF(OFFSET(PLE!$G$14,$M612,CH$13)="",10^12,OFFSET(PLE!$G$14,$M612,CH$13))))</f>
        <v>1000000000000</v>
      </c>
      <c r="CI612" s="216">
        <f ca="1">IF($D612&lt;&gt;"Serviço",0,IF(OR(AND(AUTOEVENTO="Manual",$M612=1),$M612&gt;(ROW(PLE.lastrow)-ROW(PLE.firstrow))),0,IF(OFFSET(PLE!$G$14,$M612,CI$13)="",10^12,OFFSET(PLE!$G$14,$M612,CI$13))))</f>
        <v>1000000000000</v>
      </c>
      <c r="CJ612" s="216">
        <f ca="1">IF($D612&lt;&gt;"Serviço",0,IF(OR(AND(AUTOEVENTO="Manual",$M612=1),$M612&gt;(ROW(PLE.lastrow)-ROW(PLE.firstrow))),0,IF(OFFSET(PLE!$G$14,$M612,CJ$13)="",10^12,OFFSET(PLE!$G$14,$M612,CJ$13))))</f>
        <v>1000000000000</v>
      </c>
      <c r="CK612" s="216">
        <f ca="1">IF($D612&lt;&gt;"Serviço",0,IF(OR(AND(AUTOEVENTO="Manual",$M612=1),$M612&gt;(ROW(PLE.lastrow)-ROW(PLE.firstrow))),0,IF(OFFSET(PLE!$G$14,$M612,CK$13)="",10^12,OFFSET(PLE!$G$14,$M612,CK$13))))</f>
        <v>1000000000000</v>
      </c>
      <c r="CL612" s="216">
        <f ca="1">IF($D612&lt;&gt;"Serviço",0,IF(OR(AND(AUTOEVENTO="Manual",$M612=1),$M612&gt;(ROW(PLE.lastrow)-ROW(PLE.firstrow))),0,IF(OFFSET(PLE!$G$14,$M612,CL$13)="",10^12,OFFSET(PLE!$G$14,$M612,CL$13))))</f>
        <v>1000000000000</v>
      </c>
      <c r="CM612" s="216">
        <f ca="1">IF($D612&lt;&gt;"Serviço",0,IF(OR(AND(AUTOEVENTO="Manual",$M612=1),$M612&gt;(ROW(PLE.lastrow)-ROW(PLE.firstrow))),0,IF(OFFSET(PLE!$G$14,$M612,CM$13)="",10^12,OFFSET(PLE!$G$14,$M612,CM$13))))</f>
        <v>1000000000000</v>
      </c>
    </row>
    <row r="613" spans="1:91" ht="13.2" x14ac:dyDescent="0.25">
      <c r="A613" s="9">
        <f t="shared" ca="1" si="18"/>
        <v>0</v>
      </c>
      <c r="B613" s="9" t="str">
        <f ca="1">OFFSET(ORÇAMENTO!C$15,ROW(B613)-ROW(B$15),0)</f>
        <v>S</v>
      </c>
      <c r="C613" s="9" t="str">
        <f ca="1">OFFSET(ORÇAMENTO!L$15,ROW(C613)-ROW(C$15),0)</f>
        <v/>
      </c>
      <c r="D613" s="145" t="str">
        <f ca="1">OFFSET(ORÇAMENTO!N$15,ROW(D613)-ROW(D$15),0)</f>
        <v>Serviço</v>
      </c>
      <c r="E613" s="205" t="str">
        <f ca="1">OFFSET(ORÇAMENTO!O$15,ROW(E613)-ROW(E$15),0)</f>
        <v>-</v>
      </c>
      <c r="F613" s="206" t="str">
        <f ca="1">OFFSET(ORÇAMENTO!R$15,ROW(F613)-ROW(F$15),0)</f>
        <v>(abra o arquivo 'Referência 05-2024.xls)</v>
      </c>
      <c r="G613" s="207" t="str">
        <f ca="1">IF($D613&lt;&gt;"Serviço","",OFFSET(ORÇAMENTO!S$15,ROW(G613)-ROW(G$15),0))</f>
        <v>-</v>
      </c>
      <c r="H613" s="151">
        <f ca="1">IF($D613&lt;&gt;"Serviço",0,IF(ACOMPANHAMENTO="BM",ROUND(OFFSET(ORÇAMENTO!AJ$15,ROW(H613)-ROW(H$15),0),15-13*ORÇAMENTO!$AF$7),SUMPRODUCT(($Q$12:$AI$12&lt;&gt;"")*ROUND($Q613:$AI613,15-13*ORÇAMENTO!$AF$7))))</f>
        <v>95</v>
      </c>
      <c r="I613" s="650"/>
      <c r="K613" s="208"/>
      <c r="L613" s="209" t="s">
        <v>257</v>
      </c>
      <c r="M613" s="210">
        <f ca="1">IF($D613&lt;&gt;"Serviço","",IF(AUTOEVENTO="manual",$A613,IF(ISERROR(MATCH($A613,$A$15:OFFSET($A613,-1,0),0)),MAX($M$15:OFFSET(M613,-1,0))+1,INDEX($M$15:OFFSET(M613,-1,0),MATCH($A613,$A$15:OFFSET($A613,-1,0),0)))))</f>
        <v>0</v>
      </c>
      <c r="N613" s="211" t="str">
        <f ca="1">IF($D613&lt;&gt;"Serviço","",IF(AUTOEVENTO="Manual",IF($A613=0,"&lt;-- defina o número do agrupador",OFFSET(EVENTOS!$D$14,$A613,0)),OFFSET($F$15,$A613,0)))</f>
        <v>&lt;-- defina o número do agrupador</v>
      </c>
      <c r="O613" s="212"/>
      <c r="Q613" s="212"/>
      <c r="R613" s="213"/>
      <c r="S613" s="213"/>
      <c r="T613" s="213"/>
      <c r="U613" s="213"/>
      <c r="V613" s="213"/>
      <c r="W613" s="213"/>
      <c r="X613" s="213"/>
      <c r="Y613" s="213"/>
      <c r="Z613" s="214"/>
      <c r="AA613" s="213"/>
      <c r="AB613" s="213"/>
      <c r="AC613" s="213"/>
      <c r="AD613" s="213"/>
      <c r="AE613" s="213"/>
      <c r="AF613" s="213"/>
      <c r="AG613" s="213"/>
      <c r="AH613" s="214"/>
      <c r="AJ613" s="631">
        <f ca="1">IF(AND($D613="Serviço",AJ$12&lt;&gt;0,$H613&gt;0,OR(AUTOEVENTO&lt;&gt;"manual",$M613&lt;&gt;1)),ROUND(OFFSET($P613,0,AJ$13),15-13*ORÇAMENTO!$AF$7)/$H613*OFFSET(ORÇAMENTO!$X$15,ROW(AJ613)-ROW(AJ$15),0),0)</f>
        <v>0</v>
      </c>
      <c r="AK613" s="632">
        <f ca="1">IF(AND($D613="Serviço",AK$12&lt;&gt;0,$H613&gt;0,OR(AUTOEVENTO&lt;&gt;"manual",$M613&lt;&gt;1)),ROUND(OFFSET($P613,0,AK$13),15-13*ORÇAMENTO!$AF$7)/$H613*OFFSET(ORÇAMENTO!$X$15,ROW(AK613)-ROW(AK$15),0),0)</f>
        <v>0</v>
      </c>
      <c r="AL613" s="632">
        <f ca="1">IF(AND($D613="Serviço",AL$12&lt;&gt;0,$H613&gt;0,OR(AUTOEVENTO&lt;&gt;"manual",$M613&lt;&gt;1)),ROUND(OFFSET($P613,0,AL$13),15-13*ORÇAMENTO!$AF$7)/$H613*OFFSET(ORÇAMENTO!$X$15,ROW(AL613)-ROW(AL$15),0),0)</f>
        <v>0</v>
      </c>
      <c r="AM613" s="632">
        <f ca="1">IF(AND($D613="Serviço",AM$12&lt;&gt;0,$H613&gt;0,OR(AUTOEVENTO&lt;&gt;"manual",$M613&lt;&gt;1)),ROUND(OFFSET($P613,0,AM$13),15-13*ORÇAMENTO!$AF$7)/$H613*OFFSET(ORÇAMENTO!$X$15,ROW(AM613)-ROW(AM$15),0),0)</f>
        <v>0</v>
      </c>
      <c r="AN613" s="632">
        <f ca="1">IF(AND($D613="Serviço",AN$12&lt;&gt;0,$H613&gt;0,OR(AUTOEVENTO&lt;&gt;"manual",$M613&lt;&gt;1)),ROUND(OFFSET($P613,0,AN$13),15-13*ORÇAMENTO!$AF$7)/$H613*OFFSET(ORÇAMENTO!$X$15,ROW(AN613)-ROW(AN$15),0),0)</f>
        <v>0</v>
      </c>
      <c r="AO613" s="632">
        <f ca="1">IF(AND($D613="Serviço",AO$12&lt;&gt;0,$H613&gt;0,OR(AUTOEVENTO&lt;&gt;"manual",$M613&lt;&gt;1)),ROUND(OFFSET($P613,0,AO$13),15-13*ORÇAMENTO!$AF$7)/$H613*OFFSET(ORÇAMENTO!$X$15,ROW(AO613)-ROW(AO$15),0),0)</f>
        <v>0</v>
      </c>
      <c r="AP613" s="632">
        <f ca="1">IF(AND($D613="Serviço",AP$12&lt;&gt;0,$H613&gt;0,OR(AUTOEVENTO&lt;&gt;"manual",$M613&lt;&gt;1)),ROUND(OFFSET($P613,0,AP$13),15-13*ORÇAMENTO!$AF$7)/$H613*OFFSET(ORÇAMENTO!$X$15,ROW(AP613)-ROW(AP$15),0),0)</f>
        <v>0</v>
      </c>
      <c r="AQ613" s="632">
        <f ca="1">IF(AND($D613="Serviço",AQ$12&lt;&gt;0,$H613&gt;0,OR(AUTOEVENTO&lt;&gt;"manual",$M613&lt;&gt;1)),ROUND(OFFSET($P613,0,AQ$13),15-13*ORÇAMENTO!$AF$7)/$H613*OFFSET(ORÇAMENTO!$X$15,ROW(AQ613)-ROW(AQ$15),0),0)</f>
        <v>0</v>
      </c>
      <c r="AR613" s="632">
        <f ca="1">IF(AND($D613="Serviço",AR$12&lt;&gt;0,$H613&gt;0,OR(AUTOEVENTO&lt;&gt;"manual",$M613&lt;&gt;1)),ROUND(OFFSET($P613,0,AR$13),15-13*ORÇAMENTO!$AF$7)/$H613*OFFSET(ORÇAMENTO!$X$15,ROW(AR613)-ROW(AR$15),0),0)</f>
        <v>0</v>
      </c>
      <c r="AS613" s="633">
        <f ca="1">IF(AND($D613="Serviço",AS$12&lt;&gt;0,$H613&gt;0,OR(AUTOEVENTO&lt;&gt;"manual",$M613&lt;&gt;1)),ROUND(OFFSET($P613,0,AS$13),15-13*ORÇAMENTO!$AF$7)/$H613*OFFSET(ORÇAMENTO!$X$15,ROW(AS613)-ROW(AS$15),0),0)</f>
        <v>0</v>
      </c>
      <c r="AT613" s="632">
        <f ca="1">IF(AND($D613="Serviço",AT$12&lt;&gt;0,$H613&gt;0,OR(AUTOEVENTO&lt;&gt;"manual",$M613&lt;&gt;1)),ROUND(OFFSET($P613,0,AT$13),15-13*ORÇAMENTO!$AF$7)/$H613*OFFSET(ORÇAMENTO!$X$15,ROW(AT613)-ROW(AT$15),0),0)</f>
        <v>0</v>
      </c>
      <c r="AU613" s="632">
        <f ca="1">IF(AND($D613="Serviço",AU$12&lt;&gt;0,$H613&gt;0,OR(AUTOEVENTO&lt;&gt;"manual",$M613&lt;&gt;1)),ROUND(OFFSET($P613,0,AU$13),15-13*ORÇAMENTO!$AF$7)/$H613*OFFSET(ORÇAMENTO!$X$15,ROW(AU613)-ROW(AU$15),0),0)</f>
        <v>0</v>
      </c>
      <c r="AV613" s="632">
        <f ca="1">IF(AND($D613="Serviço",AV$12&lt;&gt;0,$H613&gt;0,OR(AUTOEVENTO&lt;&gt;"manual",$M613&lt;&gt;1)),ROUND(OFFSET($P613,0,AV$13),15-13*ORÇAMENTO!$AF$7)/$H613*OFFSET(ORÇAMENTO!$X$15,ROW(AV613)-ROW(AV$15),0),0)</f>
        <v>0</v>
      </c>
      <c r="AW613" s="632">
        <f ca="1">IF(AND($D613="Serviço",AW$12&lt;&gt;0,$H613&gt;0,OR(AUTOEVENTO&lt;&gt;"manual",$M613&lt;&gt;1)),ROUND(OFFSET($P613,0,AW$13),15-13*ORÇAMENTO!$AF$7)/$H613*OFFSET(ORÇAMENTO!$X$15,ROW(AW613)-ROW(AW$15),0),0)</f>
        <v>0</v>
      </c>
      <c r="AX613" s="632">
        <f ca="1">IF(AND($D613="Serviço",AX$12&lt;&gt;0,$H613&gt;0,OR(AUTOEVENTO&lt;&gt;"manual",$M613&lt;&gt;1)),ROUND(OFFSET($P613,0,AX$13),15-13*ORÇAMENTO!$AF$7)/$H613*OFFSET(ORÇAMENTO!$X$15,ROW(AX613)-ROW(AX$15),0),0)</f>
        <v>0</v>
      </c>
      <c r="AY613" s="632">
        <f ca="1">IF(AND($D613="Serviço",AY$12&lt;&gt;0,$H613&gt;0,OR(AUTOEVENTO&lt;&gt;"manual",$M613&lt;&gt;1)),ROUND(OFFSET($P613,0,AY$13),15-13*ORÇAMENTO!$AF$7)/$H613*OFFSET(ORÇAMENTO!$X$15,ROW(AY613)-ROW(AY$15),0),0)</f>
        <v>0</v>
      </c>
      <c r="AZ613" s="632">
        <f ca="1">IF(AND($D613="Serviço",AZ$12&lt;&gt;0,$H613&gt;0,OR(AUTOEVENTO&lt;&gt;"manual",$M613&lt;&gt;1)),ROUND(OFFSET($P613,0,AZ$13),15-13*ORÇAMENTO!$AF$7)/$H613*OFFSET(ORÇAMENTO!$X$15,ROW(AZ613)-ROW(AZ$15),0),0)</f>
        <v>0</v>
      </c>
      <c r="BA613" s="633">
        <f ca="1">IF(AND($D613="Serviço",BA$12&lt;&gt;0,$H613&gt;0,OR(AUTOEVENTO&lt;&gt;"manual",$M613&lt;&gt;1)),ROUND(OFFSET($P613,0,BA$13),15-13*ORÇAMENTO!$AF$7)/$H613*OFFSET(ORÇAMENTO!$X$15,ROW(BA613)-ROW(BA$15),0),0)</f>
        <v>0</v>
      </c>
      <c r="BC613" s="215">
        <f ca="1">IF($D613&lt;&gt;"Serviço",0,IF(AND(AUTOEVENTO="Manual",$M613=1),0,IF(OFFSET(CRONOPLE!$F$14,$M613,BC$13)="",10^12,OFFSET(CRONOPLE!$F$14,$M613,BC$13))))</f>
        <v>1000000000000</v>
      </c>
      <c r="BD613" s="215">
        <f ca="1">IF($D613&lt;&gt;"Serviço",0,IF(AND(AUTOEVENTO="Manual",$M613=1),0,IF(OFFSET(CRONOPLE!$F$14,$M613,BD$13)="",10^12,OFFSET(CRONOPLE!$F$14,$M613,BD$13))))</f>
        <v>1000000000000</v>
      </c>
      <c r="BE613" s="215">
        <f ca="1">IF($D613&lt;&gt;"Serviço",0,IF(AND(AUTOEVENTO="Manual",$M613=1),0,IF(OFFSET(CRONOPLE!$F$14,$M613,BE$13)="",10^12,OFFSET(CRONOPLE!$F$14,$M613,BE$13))))</f>
        <v>1000000000000</v>
      </c>
      <c r="BF613" s="215">
        <f ca="1">IF($D613&lt;&gt;"Serviço",0,IF(AND(AUTOEVENTO="Manual",$M613=1),0,IF(OFFSET(CRONOPLE!$F$14,$M613,BF$13)="",10^12,OFFSET(CRONOPLE!$F$14,$M613,BF$13))))</f>
        <v>1000000000000</v>
      </c>
      <c r="BG613" s="215">
        <f ca="1">IF($D613&lt;&gt;"Serviço",0,IF(AND(AUTOEVENTO="Manual",$M613=1),0,IF(OFFSET(CRONOPLE!$F$14,$M613,BG$13)="",10^12,OFFSET(CRONOPLE!$F$14,$M613,BG$13))))</f>
        <v>1000000000000</v>
      </c>
      <c r="BH613" s="215">
        <f ca="1">IF($D613&lt;&gt;"Serviço",0,IF(AND(AUTOEVENTO="Manual",$M613=1),0,IF(OFFSET(CRONOPLE!$F$14,$M613,BH$13)="",10^12,OFFSET(CRONOPLE!$F$14,$M613,BH$13))))</f>
        <v>1000000000000</v>
      </c>
      <c r="BI613" s="215">
        <f ca="1">IF($D613&lt;&gt;"Serviço",0,IF(AND(AUTOEVENTO="Manual",$M613=1),0,IF(OFFSET(CRONOPLE!$F$14,$M613,BI$13)="",10^12,OFFSET(CRONOPLE!$F$14,$M613,BI$13))))</f>
        <v>1000000000000</v>
      </c>
      <c r="BJ613" s="215">
        <f ca="1">IF($D613&lt;&gt;"Serviço",0,IF(AND(AUTOEVENTO="Manual",$M613=1),0,IF(OFFSET(CRONOPLE!$F$14,$M613,BJ$13)="",10^12,OFFSET(CRONOPLE!$F$14,$M613,BJ$13))))</f>
        <v>1000000000000</v>
      </c>
      <c r="BK613" s="215">
        <f ca="1">IF($D613&lt;&gt;"Serviço",0,IF(AND(AUTOEVENTO="Manual",$M613=1),0,IF(OFFSET(CRONOPLE!$F$14,$M613,BK$13)="",10^12,OFFSET(CRONOPLE!$F$14,$M613,BK$13))))</f>
        <v>1000000000000</v>
      </c>
      <c r="BL613" s="215">
        <f ca="1">IF($D613&lt;&gt;"Serviço",0,IF(AND(AUTOEVENTO="Manual",$M613=1),0,IF(OFFSET(CRONOPLE!$F$14,$M613,BL$13)="",10^12,OFFSET(CRONOPLE!$F$14,$M613,BL$13))))</f>
        <v>1000000000000</v>
      </c>
      <c r="BM613" s="215">
        <f ca="1">IF($D613&lt;&gt;"Serviço",0,IF(AND(AUTOEVENTO="Manual",$M613=1),0,IF(OFFSET(CRONOPLE!$F$14,$M613,BM$13)="",10^12,OFFSET(CRONOPLE!$F$14,$M613,BM$13))))</f>
        <v>1000000000000</v>
      </c>
      <c r="BN613" s="215">
        <f ca="1">IF($D613&lt;&gt;"Serviço",0,IF(AND(AUTOEVENTO="Manual",$M613=1),0,IF(OFFSET(CRONOPLE!$F$14,$M613,BN$13)="",10^12,OFFSET(CRONOPLE!$F$14,$M613,BN$13))))</f>
        <v>1000000000000</v>
      </c>
      <c r="BO613" s="215">
        <f ca="1">IF($D613&lt;&gt;"Serviço",0,IF(AND(AUTOEVENTO="Manual",$M613=1),0,IF(OFFSET(CRONOPLE!$F$14,$M613,BO$13)="",10^12,OFFSET(CRONOPLE!$F$14,$M613,BO$13))))</f>
        <v>1000000000000</v>
      </c>
      <c r="BP613" s="215">
        <f ca="1">IF($D613&lt;&gt;"Serviço",0,IF(AND(AUTOEVENTO="Manual",$M613=1),0,IF(OFFSET(CRONOPLE!$F$14,$M613,BP$13)="",10^12,OFFSET(CRONOPLE!$F$14,$M613,BP$13))))</f>
        <v>1000000000000</v>
      </c>
      <c r="BQ613" s="215">
        <f ca="1">IF($D613&lt;&gt;"Serviço",0,IF(AND(AUTOEVENTO="Manual",$M613=1),0,IF(OFFSET(CRONOPLE!$F$14,$M613,BQ$13)="",10^12,OFFSET(CRONOPLE!$F$14,$M613,BQ$13))))</f>
        <v>1000000000000</v>
      </c>
      <c r="BR613" s="215">
        <f ca="1">IF($D613&lt;&gt;"Serviço",0,IF(AND(AUTOEVENTO="Manual",$M613=1),0,IF(OFFSET(CRONOPLE!$F$14,$M613,BR$13)="",10^12,OFFSET(CRONOPLE!$F$14,$M613,BR$13))))</f>
        <v>1000000000000</v>
      </c>
      <c r="BS613" s="215">
        <f ca="1">IF($D613&lt;&gt;"Serviço",0,IF(AND(AUTOEVENTO="Manual",$M613=1),0,IF(OFFSET(CRONOPLE!$F$14,$M613,BS$13)="",10^12,OFFSET(CRONOPLE!$F$14,$M613,BS$13))))</f>
        <v>1000000000000</v>
      </c>
      <c r="BT613" s="215">
        <f ca="1">IF($D613&lt;&gt;"Serviço",0,IF(AND(AUTOEVENTO="Manual",$M613=1),0,IF(OFFSET(CRONOPLE!$F$14,$M613,BT$13)="",10^12,OFFSET(CRONOPLE!$F$14,$M613,BT$13))))</f>
        <v>1000000000000</v>
      </c>
      <c r="BV613" s="216">
        <f ca="1">IF($D613&lt;&gt;"Serviço",0,IF(OR(AND(AUTOEVENTO="Manual",$M613=1),$M613&gt;(ROW(PLE.lastrow)-ROW(PLE.firstrow))),0,IF(OFFSET(PLE!$G$14,$M613,BV$13)="",10^12,OFFSET(PLE!$G$14,$M613,BV$13))))</f>
        <v>1000000000000</v>
      </c>
      <c r="BW613" s="216">
        <f ca="1">IF($D613&lt;&gt;"Serviço",0,IF(OR(AND(AUTOEVENTO="Manual",$M613=1),$M613&gt;(ROW(PLE.lastrow)-ROW(PLE.firstrow))),0,IF(OFFSET(PLE!$G$14,$M613,BW$13)="",10^12,OFFSET(PLE!$G$14,$M613,BW$13))))</f>
        <v>1000000000000</v>
      </c>
      <c r="BX613" s="216">
        <f ca="1">IF($D613&lt;&gt;"Serviço",0,IF(OR(AND(AUTOEVENTO="Manual",$M613=1),$M613&gt;(ROW(PLE.lastrow)-ROW(PLE.firstrow))),0,IF(OFFSET(PLE!$G$14,$M613,BX$13)="",10^12,OFFSET(PLE!$G$14,$M613,BX$13))))</f>
        <v>1000000000000</v>
      </c>
      <c r="BY613" s="216">
        <f ca="1">IF($D613&lt;&gt;"Serviço",0,IF(OR(AND(AUTOEVENTO="Manual",$M613=1),$M613&gt;(ROW(PLE.lastrow)-ROW(PLE.firstrow))),0,IF(OFFSET(PLE!$G$14,$M613,BY$13)="",10^12,OFFSET(PLE!$G$14,$M613,BY$13))))</f>
        <v>1000000000000</v>
      </c>
      <c r="BZ613" s="216">
        <f ca="1">IF($D613&lt;&gt;"Serviço",0,IF(OR(AND(AUTOEVENTO="Manual",$M613=1),$M613&gt;(ROW(PLE.lastrow)-ROW(PLE.firstrow))),0,IF(OFFSET(PLE!$G$14,$M613,BZ$13)="",10^12,OFFSET(PLE!$G$14,$M613,BZ$13))))</f>
        <v>1000000000000</v>
      </c>
      <c r="CA613" s="216">
        <f ca="1">IF($D613&lt;&gt;"Serviço",0,IF(OR(AND(AUTOEVENTO="Manual",$M613=1),$M613&gt;(ROW(PLE.lastrow)-ROW(PLE.firstrow))),0,IF(OFFSET(PLE!$G$14,$M613,CA$13)="",10^12,OFFSET(PLE!$G$14,$M613,CA$13))))</f>
        <v>1000000000000</v>
      </c>
      <c r="CB613" s="216">
        <f ca="1">IF($D613&lt;&gt;"Serviço",0,IF(OR(AND(AUTOEVENTO="Manual",$M613=1),$M613&gt;(ROW(PLE.lastrow)-ROW(PLE.firstrow))),0,IF(OFFSET(PLE!$G$14,$M613,CB$13)="",10^12,OFFSET(PLE!$G$14,$M613,CB$13))))</f>
        <v>1000000000000</v>
      </c>
      <c r="CC613" s="216">
        <f ca="1">IF($D613&lt;&gt;"Serviço",0,IF(OR(AND(AUTOEVENTO="Manual",$M613=1),$M613&gt;(ROW(PLE.lastrow)-ROW(PLE.firstrow))),0,IF(OFFSET(PLE!$G$14,$M613,CC$13)="",10^12,OFFSET(PLE!$G$14,$M613,CC$13))))</f>
        <v>1000000000000</v>
      </c>
      <c r="CD613" s="216">
        <f ca="1">IF($D613&lt;&gt;"Serviço",0,IF(OR(AND(AUTOEVENTO="Manual",$M613=1),$M613&gt;(ROW(PLE.lastrow)-ROW(PLE.firstrow))),0,IF(OFFSET(PLE!$G$14,$M613,CD$13)="",10^12,OFFSET(PLE!$G$14,$M613,CD$13))))</f>
        <v>1000000000000</v>
      </c>
      <c r="CE613" s="216">
        <f ca="1">IF($D613&lt;&gt;"Serviço",0,IF(OR(AND(AUTOEVENTO="Manual",$M613=1),$M613&gt;(ROW(PLE.lastrow)-ROW(PLE.firstrow))),0,IF(OFFSET(PLE!$G$14,$M613,CE$13)="",10^12,OFFSET(PLE!$G$14,$M613,CE$13))))</f>
        <v>1000000000000</v>
      </c>
      <c r="CF613" s="216">
        <f ca="1">IF($D613&lt;&gt;"Serviço",0,IF(OR(AND(AUTOEVENTO="Manual",$M613=1),$M613&gt;(ROW(PLE.lastrow)-ROW(PLE.firstrow))),0,IF(OFFSET(PLE!$G$14,$M613,CF$13)="",10^12,OFFSET(PLE!$G$14,$M613,CF$13))))</f>
        <v>1000000000000</v>
      </c>
      <c r="CG613" s="216">
        <f ca="1">IF($D613&lt;&gt;"Serviço",0,IF(OR(AND(AUTOEVENTO="Manual",$M613=1),$M613&gt;(ROW(PLE.lastrow)-ROW(PLE.firstrow))),0,IF(OFFSET(PLE!$G$14,$M613,CG$13)="",10^12,OFFSET(PLE!$G$14,$M613,CG$13))))</f>
        <v>1000000000000</v>
      </c>
      <c r="CH613" s="216">
        <f ca="1">IF($D613&lt;&gt;"Serviço",0,IF(OR(AND(AUTOEVENTO="Manual",$M613=1),$M613&gt;(ROW(PLE.lastrow)-ROW(PLE.firstrow))),0,IF(OFFSET(PLE!$G$14,$M613,CH$13)="",10^12,OFFSET(PLE!$G$14,$M613,CH$13))))</f>
        <v>1000000000000</v>
      </c>
      <c r="CI613" s="216">
        <f ca="1">IF($D613&lt;&gt;"Serviço",0,IF(OR(AND(AUTOEVENTO="Manual",$M613=1),$M613&gt;(ROW(PLE.lastrow)-ROW(PLE.firstrow))),0,IF(OFFSET(PLE!$G$14,$M613,CI$13)="",10^12,OFFSET(PLE!$G$14,$M613,CI$13))))</f>
        <v>1000000000000</v>
      </c>
      <c r="CJ613" s="216">
        <f ca="1">IF($D613&lt;&gt;"Serviço",0,IF(OR(AND(AUTOEVENTO="Manual",$M613=1),$M613&gt;(ROW(PLE.lastrow)-ROW(PLE.firstrow))),0,IF(OFFSET(PLE!$G$14,$M613,CJ$13)="",10^12,OFFSET(PLE!$G$14,$M613,CJ$13))))</f>
        <v>1000000000000</v>
      </c>
      <c r="CK613" s="216">
        <f ca="1">IF($D613&lt;&gt;"Serviço",0,IF(OR(AND(AUTOEVENTO="Manual",$M613=1),$M613&gt;(ROW(PLE.lastrow)-ROW(PLE.firstrow))),0,IF(OFFSET(PLE!$G$14,$M613,CK$13)="",10^12,OFFSET(PLE!$G$14,$M613,CK$13))))</f>
        <v>1000000000000</v>
      </c>
      <c r="CL613" s="216">
        <f ca="1">IF($D613&lt;&gt;"Serviço",0,IF(OR(AND(AUTOEVENTO="Manual",$M613=1),$M613&gt;(ROW(PLE.lastrow)-ROW(PLE.firstrow))),0,IF(OFFSET(PLE!$G$14,$M613,CL$13)="",10^12,OFFSET(PLE!$G$14,$M613,CL$13))))</f>
        <v>1000000000000</v>
      </c>
      <c r="CM613" s="216">
        <f ca="1">IF($D613&lt;&gt;"Serviço",0,IF(OR(AND(AUTOEVENTO="Manual",$M613=1),$M613&gt;(ROW(PLE.lastrow)-ROW(PLE.firstrow))),0,IF(OFFSET(PLE!$G$14,$M613,CM$13)="",10^12,OFFSET(PLE!$G$14,$M613,CM$13))))</f>
        <v>1000000000000</v>
      </c>
    </row>
    <row r="614" spans="1:91" ht="13.2" x14ac:dyDescent="0.25">
      <c r="A614" s="9">
        <f t="shared" ca="1" si="18"/>
        <v>0</v>
      </c>
      <c r="B614" s="9" t="str">
        <f ca="1">OFFSET(ORÇAMENTO!C$15,ROW(B614)-ROW(B$15),0)</f>
        <v>S</v>
      </c>
      <c r="C614" s="9" t="str">
        <f ca="1">OFFSET(ORÇAMENTO!L$15,ROW(C614)-ROW(C$15),0)</f>
        <v/>
      </c>
      <c r="D614" s="145" t="str">
        <f ca="1">OFFSET(ORÇAMENTO!N$15,ROW(D614)-ROW(D$15),0)</f>
        <v>Serviço</v>
      </c>
      <c r="E614" s="205" t="str">
        <f ca="1">OFFSET(ORÇAMENTO!O$15,ROW(E614)-ROW(E$15),0)</f>
        <v>-</v>
      </c>
      <c r="F614" s="206" t="str">
        <f ca="1">OFFSET(ORÇAMENTO!R$15,ROW(F614)-ROW(F$15),0)</f>
        <v>(abra o arquivo 'Referência 05-2024.xls)</v>
      </c>
      <c r="G614" s="207" t="str">
        <f ca="1">IF($D614&lt;&gt;"Serviço","",OFFSET(ORÇAMENTO!S$15,ROW(G614)-ROW(G$15),0))</f>
        <v>-</v>
      </c>
      <c r="H614" s="151">
        <f ca="1">IF($D614&lt;&gt;"Serviço",0,IF(ACOMPANHAMENTO="BM",ROUND(OFFSET(ORÇAMENTO!AJ$15,ROW(H614)-ROW(H$15),0),15-13*ORÇAMENTO!$AF$7),SUMPRODUCT(($Q$12:$AI$12&lt;&gt;"")*ROUND($Q614:$AI614,15-13*ORÇAMENTO!$AF$7))))</f>
        <v>86</v>
      </c>
      <c r="I614" s="650"/>
      <c r="K614" s="208"/>
      <c r="L614" s="209" t="s">
        <v>257</v>
      </c>
      <c r="M614" s="210">
        <f ca="1">IF($D614&lt;&gt;"Serviço","",IF(AUTOEVENTO="manual",$A614,IF(ISERROR(MATCH($A614,$A$15:OFFSET($A614,-1,0),0)),MAX($M$15:OFFSET(M614,-1,0))+1,INDEX($M$15:OFFSET(M614,-1,0),MATCH($A614,$A$15:OFFSET($A614,-1,0),0)))))</f>
        <v>0</v>
      </c>
      <c r="N614" s="211" t="str">
        <f ca="1">IF($D614&lt;&gt;"Serviço","",IF(AUTOEVENTO="Manual",IF($A614=0,"&lt;-- defina o número do agrupador",OFFSET(EVENTOS!$D$14,$A614,0)),OFFSET($F$15,$A614,0)))</f>
        <v>&lt;-- defina o número do agrupador</v>
      </c>
      <c r="O614" s="212"/>
      <c r="Q614" s="212"/>
      <c r="R614" s="213"/>
      <c r="S614" s="213"/>
      <c r="T614" s="213"/>
      <c r="U614" s="213"/>
      <c r="V614" s="213"/>
      <c r="W614" s="213"/>
      <c r="X614" s="213"/>
      <c r="Y614" s="213"/>
      <c r="Z614" s="214"/>
      <c r="AA614" s="213"/>
      <c r="AB614" s="213"/>
      <c r="AC614" s="213"/>
      <c r="AD614" s="213"/>
      <c r="AE614" s="213"/>
      <c r="AF614" s="213"/>
      <c r="AG614" s="213"/>
      <c r="AH614" s="214"/>
      <c r="AJ614" s="631">
        <f ca="1">IF(AND($D614="Serviço",AJ$12&lt;&gt;0,$H614&gt;0,OR(AUTOEVENTO&lt;&gt;"manual",$M614&lt;&gt;1)),ROUND(OFFSET($P614,0,AJ$13),15-13*ORÇAMENTO!$AF$7)/$H614*OFFSET(ORÇAMENTO!$X$15,ROW(AJ614)-ROW(AJ$15),0),0)</f>
        <v>0</v>
      </c>
      <c r="AK614" s="632">
        <f ca="1">IF(AND($D614="Serviço",AK$12&lt;&gt;0,$H614&gt;0,OR(AUTOEVENTO&lt;&gt;"manual",$M614&lt;&gt;1)),ROUND(OFFSET($P614,0,AK$13),15-13*ORÇAMENTO!$AF$7)/$H614*OFFSET(ORÇAMENTO!$X$15,ROW(AK614)-ROW(AK$15),0),0)</f>
        <v>0</v>
      </c>
      <c r="AL614" s="632">
        <f ca="1">IF(AND($D614="Serviço",AL$12&lt;&gt;0,$H614&gt;0,OR(AUTOEVENTO&lt;&gt;"manual",$M614&lt;&gt;1)),ROUND(OFFSET($P614,0,AL$13),15-13*ORÇAMENTO!$AF$7)/$H614*OFFSET(ORÇAMENTO!$X$15,ROW(AL614)-ROW(AL$15),0),0)</f>
        <v>0</v>
      </c>
      <c r="AM614" s="632">
        <f ca="1">IF(AND($D614="Serviço",AM$12&lt;&gt;0,$H614&gt;0,OR(AUTOEVENTO&lt;&gt;"manual",$M614&lt;&gt;1)),ROUND(OFFSET($P614,0,AM$13),15-13*ORÇAMENTO!$AF$7)/$H614*OFFSET(ORÇAMENTO!$X$15,ROW(AM614)-ROW(AM$15),0),0)</f>
        <v>0</v>
      </c>
      <c r="AN614" s="632">
        <f ca="1">IF(AND($D614="Serviço",AN$12&lt;&gt;0,$H614&gt;0,OR(AUTOEVENTO&lt;&gt;"manual",$M614&lt;&gt;1)),ROUND(OFFSET($P614,0,AN$13),15-13*ORÇAMENTO!$AF$7)/$H614*OFFSET(ORÇAMENTO!$X$15,ROW(AN614)-ROW(AN$15),0),0)</f>
        <v>0</v>
      </c>
      <c r="AO614" s="632">
        <f ca="1">IF(AND($D614="Serviço",AO$12&lt;&gt;0,$H614&gt;0,OR(AUTOEVENTO&lt;&gt;"manual",$M614&lt;&gt;1)),ROUND(OFFSET($P614,0,AO$13),15-13*ORÇAMENTO!$AF$7)/$H614*OFFSET(ORÇAMENTO!$X$15,ROW(AO614)-ROW(AO$15),0),0)</f>
        <v>0</v>
      </c>
      <c r="AP614" s="632">
        <f ca="1">IF(AND($D614="Serviço",AP$12&lt;&gt;0,$H614&gt;0,OR(AUTOEVENTO&lt;&gt;"manual",$M614&lt;&gt;1)),ROUND(OFFSET($P614,0,AP$13),15-13*ORÇAMENTO!$AF$7)/$H614*OFFSET(ORÇAMENTO!$X$15,ROW(AP614)-ROW(AP$15),0),0)</f>
        <v>0</v>
      </c>
      <c r="AQ614" s="632">
        <f ca="1">IF(AND($D614="Serviço",AQ$12&lt;&gt;0,$H614&gt;0,OR(AUTOEVENTO&lt;&gt;"manual",$M614&lt;&gt;1)),ROUND(OFFSET($P614,0,AQ$13),15-13*ORÇAMENTO!$AF$7)/$H614*OFFSET(ORÇAMENTO!$X$15,ROW(AQ614)-ROW(AQ$15),0),0)</f>
        <v>0</v>
      </c>
      <c r="AR614" s="632">
        <f ca="1">IF(AND($D614="Serviço",AR$12&lt;&gt;0,$H614&gt;0,OR(AUTOEVENTO&lt;&gt;"manual",$M614&lt;&gt;1)),ROUND(OFFSET($P614,0,AR$13),15-13*ORÇAMENTO!$AF$7)/$H614*OFFSET(ORÇAMENTO!$X$15,ROW(AR614)-ROW(AR$15),0),0)</f>
        <v>0</v>
      </c>
      <c r="AS614" s="633">
        <f ca="1">IF(AND($D614="Serviço",AS$12&lt;&gt;0,$H614&gt;0,OR(AUTOEVENTO&lt;&gt;"manual",$M614&lt;&gt;1)),ROUND(OFFSET($P614,0,AS$13),15-13*ORÇAMENTO!$AF$7)/$H614*OFFSET(ORÇAMENTO!$X$15,ROW(AS614)-ROW(AS$15),0),0)</f>
        <v>0</v>
      </c>
      <c r="AT614" s="632">
        <f ca="1">IF(AND($D614="Serviço",AT$12&lt;&gt;0,$H614&gt;0,OR(AUTOEVENTO&lt;&gt;"manual",$M614&lt;&gt;1)),ROUND(OFFSET($P614,0,AT$13),15-13*ORÇAMENTO!$AF$7)/$H614*OFFSET(ORÇAMENTO!$X$15,ROW(AT614)-ROW(AT$15),0),0)</f>
        <v>0</v>
      </c>
      <c r="AU614" s="632">
        <f ca="1">IF(AND($D614="Serviço",AU$12&lt;&gt;0,$H614&gt;0,OR(AUTOEVENTO&lt;&gt;"manual",$M614&lt;&gt;1)),ROUND(OFFSET($P614,0,AU$13),15-13*ORÇAMENTO!$AF$7)/$H614*OFFSET(ORÇAMENTO!$X$15,ROW(AU614)-ROW(AU$15),0),0)</f>
        <v>0</v>
      </c>
      <c r="AV614" s="632">
        <f ca="1">IF(AND($D614="Serviço",AV$12&lt;&gt;0,$H614&gt;0,OR(AUTOEVENTO&lt;&gt;"manual",$M614&lt;&gt;1)),ROUND(OFFSET($P614,0,AV$13),15-13*ORÇAMENTO!$AF$7)/$H614*OFFSET(ORÇAMENTO!$X$15,ROW(AV614)-ROW(AV$15),0),0)</f>
        <v>0</v>
      </c>
      <c r="AW614" s="632">
        <f ca="1">IF(AND($D614="Serviço",AW$12&lt;&gt;0,$H614&gt;0,OR(AUTOEVENTO&lt;&gt;"manual",$M614&lt;&gt;1)),ROUND(OFFSET($P614,0,AW$13),15-13*ORÇAMENTO!$AF$7)/$H614*OFFSET(ORÇAMENTO!$X$15,ROW(AW614)-ROW(AW$15),0),0)</f>
        <v>0</v>
      </c>
      <c r="AX614" s="632">
        <f ca="1">IF(AND($D614="Serviço",AX$12&lt;&gt;0,$H614&gt;0,OR(AUTOEVENTO&lt;&gt;"manual",$M614&lt;&gt;1)),ROUND(OFFSET($P614,0,AX$13),15-13*ORÇAMENTO!$AF$7)/$H614*OFFSET(ORÇAMENTO!$X$15,ROW(AX614)-ROW(AX$15),0),0)</f>
        <v>0</v>
      </c>
      <c r="AY614" s="632">
        <f ca="1">IF(AND($D614="Serviço",AY$12&lt;&gt;0,$H614&gt;0,OR(AUTOEVENTO&lt;&gt;"manual",$M614&lt;&gt;1)),ROUND(OFFSET($P614,0,AY$13),15-13*ORÇAMENTO!$AF$7)/$H614*OFFSET(ORÇAMENTO!$X$15,ROW(AY614)-ROW(AY$15),0),0)</f>
        <v>0</v>
      </c>
      <c r="AZ614" s="632">
        <f ca="1">IF(AND($D614="Serviço",AZ$12&lt;&gt;0,$H614&gt;0,OR(AUTOEVENTO&lt;&gt;"manual",$M614&lt;&gt;1)),ROUND(OFFSET($P614,0,AZ$13),15-13*ORÇAMENTO!$AF$7)/$H614*OFFSET(ORÇAMENTO!$X$15,ROW(AZ614)-ROW(AZ$15),0),0)</f>
        <v>0</v>
      </c>
      <c r="BA614" s="633">
        <f ca="1">IF(AND($D614="Serviço",BA$12&lt;&gt;0,$H614&gt;0,OR(AUTOEVENTO&lt;&gt;"manual",$M614&lt;&gt;1)),ROUND(OFFSET($P614,0,BA$13),15-13*ORÇAMENTO!$AF$7)/$H614*OFFSET(ORÇAMENTO!$X$15,ROW(BA614)-ROW(BA$15),0),0)</f>
        <v>0</v>
      </c>
      <c r="BC614" s="215">
        <f ca="1">IF($D614&lt;&gt;"Serviço",0,IF(AND(AUTOEVENTO="Manual",$M614=1),0,IF(OFFSET(CRONOPLE!$F$14,$M614,BC$13)="",10^12,OFFSET(CRONOPLE!$F$14,$M614,BC$13))))</f>
        <v>1000000000000</v>
      </c>
      <c r="BD614" s="215">
        <f ca="1">IF($D614&lt;&gt;"Serviço",0,IF(AND(AUTOEVENTO="Manual",$M614=1),0,IF(OFFSET(CRONOPLE!$F$14,$M614,BD$13)="",10^12,OFFSET(CRONOPLE!$F$14,$M614,BD$13))))</f>
        <v>1000000000000</v>
      </c>
      <c r="BE614" s="215">
        <f ca="1">IF($D614&lt;&gt;"Serviço",0,IF(AND(AUTOEVENTO="Manual",$M614=1),0,IF(OFFSET(CRONOPLE!$F$14,$M614,BE$13)="",10^12,OFFSET(CRONOPLE!$F$14,$M614,BE$13))))</f>
        <v>1000000000000</v>
      </c>
      <c r="BF614" s="215">
        <f ca="1">IF($D614&lt;&gt;"Serviço",0,IF(AND(AUTOEVENTO="Manual",$M614=1),0,IF(OFFSET(CRONOPLE!$F$14,$M614,BF$13)="",10^12,OFFSET(CRONOPLE!$F$14,$M614,BF$13))))</f>
        <v>1000000000000</v>
      </c>
      <c r="BG614" s="215">
        <f ca="1">IF($D614&lt;&gt;"Serviço",0,IF(AND(AUTOEVENTO="Manual",$M614=1),0,IF(OFFSET(CRONOPLE!$F$14,$M614,BG$13)="",10^12,OFFSET(CRONOPLE!$F$14,$M614,BG$13))))</f>
        <v>1000000000000</v>
      </c>
      <c r="BH614" s="215">
        <f ca="1">IF($D614&lt;&gt;"Serviço",0,IF(AND(AUTOEVENTO="Manual",$M614=1),0,IF(OFFSET(CRONOPLE!$F$14,$M614,BH$13)="",10^12,OFFSET(CRONOPLE!$F$14,$M614,BH$13))))</f>
        <v>1000000000000</v>
      </c>
      <c r="BI614" s="215">
        <f ca="1">IF($D614&lt;&gt;"Serviço",0,IF(AND(AUTOEVENTO="Manual",$M614=1),0,IF(OFFSET(CRONOPLE!$F$14,$M614,BI$13)="",10^12,OFFSET(CRONOPLE!$F$14,$M614,BI$13))))</f>
        <v>1000000000000</v>
      </c>
      <c r="BJ614" s="215">
        <f ca="1">IF($D614&lt;&gt;"Serviço",0,IF(AND(AUTOEVENTO="Manual",$M614=1),0,IF(OFFSET(CRONOPLE!$F$14,$M614,BJ$13)="",10^12,OFFSET(CRONOPLE!$F$14,$M614,BJ$13))))</f>
        <v>1000000000000</v>
      </c>
      <c r="BK614" s="215">
        <f ca="1">IF($D614&lt;&gt;"Serviço",0,IF(AND(AUTOEVENTO="Manual",$M614=1),0,IF(OFFSET(CRONOPLE!$F$14,$M614,BK$13)="",10^12,OFFSET(CRONOPLE!$F$14,$M614,BK$13))))</f>
        <v>1000000000000</v>
      </c>
      <c r="BL614" s="215">
        <f ca="1">IF($D614&lt;&gt;"Serviço",0,IF(AND(AUTOEVENTO="Manual",$M614=1),0,IF(OFFSET(CRONOPLE!$F$14,$M614,BL$13)="",10^12,OFFSET(CRONOPLE!$F$14,$M614,BL$13))))</f>
        <v>1000000000000</v>
      </c>
      <c r="BM614" s="215">
        <f ca="1">IF($D614&lt;&gt;"Serviço",0,IF(AND(AUTOEVENTO="Manual",$M614=1),0,IF(OFFSET(CRONOPLE!$F$14,$M614,BM$13)="",10^12,OFFSET(CRONOPLE!$F$14,$M614,BM$13))))</f>
        <v>1000000000000</v>
      </c>
      <c r="BN614" s="215">
        <f ca="1">IF($D614&lt;&gt;"Serviço",0,IF(AND(AUTOEVENTO="Manual",$M614=1),0,IF(OFFSET(CRONOPLE!$F$14,$M614,BN$13)="",10^12,OFFSET(CRONOPLE!$F$14,$M614,BN$13))))</f>
        <v>1000000000000</v>
      </c>
      <c r="BO614" s="215">
        <f ca="1">IF($D614&lt;&gt;"Serviço",0,IF(AND(AUTOEVENTO="Manual",$M614=1),0,IF(OFFSET(CRONOPLE!$F$14,$M614,BO$13)="",10^12,OFFSET(CRONOPLE!$F$14,$M614,BO$13))))</f>
        <v>1000000000000</v>
      </c>
      <c r="BP614" s="215">
        <f ca="1">IF($D614&lt;&gt;"Serviço",0,IF(AND(AUTOEVENTO="Manual",$M614=1),0,IF(OFFSET(CRONOPLE!$F$14,$M614,BP$13)="",10^12,OFFSET(CRONOPLE!$F$14,$M614,BP$13))))</f>
        <v>1000000000000</v>
      </c>
      <c r="BQ614" s="215">
        <f ca="1">IF($D614&lt;&gt;"Serviço",0,IF(AND(AUTOEVENTO="Manual",$M614=1),0,IF(OFFSET(CRONOPLE!$F$14,$M614,BQ$13)="",10^12,OFFSET(CRONOPLE!$F$14,$M614,BQ$13))))</f>
        <v>1000000000000</v>
      </c>
      <c r="BR614" s="215">
        <f ca="1">IF($D614&lt;&gt;"Serviço",0,IF(AND(AUTOEVENTO="Manual",$M614=1),0,IF(OFFSET(CRONOPLE!$F$14,$M614,BR$13)="",10^12,OFFSET(CRONOPLE!$F$14,$M614,BR$13))))</f>
        <v>1000000000000</v>
      </c>
      <c r="BS614" s="215">
        <f ca="1">IF($D614&lt;&gt;"Serviço",0,IF(AND(AUTOEVENTO="Manual",$M614=1),0,IF(OFFSET(CRONOPLE!$F$14,$M614,BS$13)="",10^12,OFFSET(CRONOPLE!$F$14,$M614,BS$13))))</f>
        <v>1000000000000</v>
      </c>
      <c r="BT614" s="215">
        <f ca="1">IF($D614&lt;&gt;"Serviço",0,IF(AND(AUTOEVENTO="Manual",$M614=1),0,IF(OFFSET(CRONOPLE!$F$14,$M614,BT$13)="",10^12,OFFSET(CRONOPLE!$F$14,$M614,BT$13))))</f>
        <v>1000000000000</v>
      </c>
      <c r="BV614" s="216">
        <f ca="1">IF($D614&lt;&gt;"Serviço",0,IF(OR(AND(AUTOEVENTO="Manual",$M614=1),$M614&gt;(ROW(PLE.lastrow)-ROW(PLE.firstrow))),0,IF(OFFSET(PLE!$G$14,$M614,BV$13)="",10^12,OFFSET(PLE!$G$14,$M614,BV$13))))</f>
        <v>1000000000000</v>
      </c>
      <c r="BW614" s="216">
        <f ca="1">IF($D614&lt;&gt;"Serviço",0,IF(OR(AND(AUTOEVENTO="Manual",$M614=1),$M614&gt;(ROW(PLE.lastrow)-ROW(PLE.firstrow))),0,IF(OFFSET(PLE!$G$14,$M614,BW$13)="",10^12,OFFSET(PLE!$G$14,$M614,BW$13))))</f>
        <v>1000000000000</v>
      </c>
      <c r="BX614" s="216">
        <f ca="1">IF($D614&lt;&gt;"Serviço",0,IF(OR(AND(AUTOEVENTO="Manual",$M614=1),$M614&gt;(ROW(PLE.lastrow)-ROW(PLE.firstrow))),0,IF(OFFSET(PLE!$G$14,$M614,BX$13)="",10^12,OFFSET(PLE!$G$14,$M614,BX$13))))</f>
        <v>1000000000000</v>
      </c>
      <c r="BY614" s="216">
        <f ca="1">IF($D614&lt;&gt;"Serviço",0,IF(OR(AND(AUTOEVENTO="Manual",$M614=1),$M614&gt;(ROW(PLE.lastrow)-ROW(PLE.firstrow))),0,IF(OFFSET(PLE!$G$14,$M614,BY$13)="",10^12,OFFSET(PLE!$G$14,$M614,BY$13))))</f>
        <v>1000000000000</v>
      </c>
      <c r="BZ614" s="216">
        <f ca="1">IF($D614&lt;&gt;"Serviço",0,IF(OR(AND(AUTOEVENTO="Manual",$M614=1),$M614&gt;(ROW(PLE.lastrow)-ROW(PLE.firstrow))),0,IF(OFFSET(PLE!$G$14,$M614,BZ$13)="",10^12,OFFSET(PLE!$G$14,$M614,BZ$13))))</f>
        <v>1000000000000</v>
      </c>
      <c r="CA614" s="216">
        <f ca="1">IF($D614&lt;&gt;"Serviço",0,IF(OR(AND(AUTOEVENTO="Manual",$M614=1),$M614&gt;(ROW(PLE.lastrow)-ROW(PLE.firstrow))),0,IF(OFFSET(PLE!$G$14,$M614,CA$13)="",10^12,OFFSET(PLE!$G$14,$M614,CA$13))))</f>
        <v>1000000000000</v>
      </c>
      <c r="CB614" s="216">
        <f ca="1">IF($D614&lt;&gt;"Serviço",0,IF(OR(AND(AUTOEVENTO="Manual",$M614=1),$M614&gt;(ROW(PLE.lastrow)-ROW(PLE.firstrow))),0,IF(OFFSET(PLE!$G$14,$M614,CB$13)="",10^12,OFFSET(PLE!$G$14,$M614,CB$13))))</f>
        <v>1000000000000</v>
      </c>
      <c r="CC614" s="216">
        <f ca="1">IF($D614&lt;&gt;"Serviço",0,IF(OR(AND(AUTOEVENTO="Manual",$M614=1),$M614&gt;(ROW(PLE.lastrow)-ROW(PLE.firstrow))),0,IF(OFFSET(PLE!$G$14,$M614,CC$13)="",10^12,OFFSET(PLE!$G$14,$M614,CC$13))))</f>
        <v>1000000000000</v>
      </c>
      <c r="CD614" s="216">
        <f ca="1">IF($D614&lt;&gt;"Serviço",0,IF(OR(AND(AUTOEVENTO="Manual",$M614=1),$M614&gt;(ROW(PLE.lastrow)-ROW(PLE.firstrow))),0,IF(OFFSET(PLE!$G$14,$M614,CD$13)="",10^12,OFFSET(PLE!$G$14,$M614,CD$13))))</f>
        <v>1000000000000</v>
      </c>
      <c r="CE614" s="216">
        <f ca="1">IF($D614&lt;&gt;"Serviço",0,IF(OR(AND(AUTOEVENTO="Manual",$M614=1),$M614&gt;(ROW(PLE.lastrow)-ROW(PLE.firstrow))),0,IF(OFFSET(PLE!$G$14,$M614,CE$13)="",10^12,OFFSET(PLE!$G$14,$M614,CE$13))))</f>
        <v>1000000000000</v>
      </c>
      <c r="CF614" s="216">
        <f ca="1">IF($D614&lt;&gt;"Serviço",0,IF(OR(AND(AUTOEVENTO="Manual",$M614=1),$M614&gt;(ROW(PLE.lastrow)-ROW(PLE.firstrow))),0,IF(OFFSET(PLE!$G$14,$M614,CF$13)="",10^12,OFFSET(PLE!$G$14,$M614,CF$13))))</f>
        <v>1000000000000</v>
      </c>
      <c r="CG614" s="216">
        <f ca="1">IF($D614&lt;&gt;"Serviço",0,IF(OR(AND(AUTOEVENTO="Manual",$M614=1),$M614&gt;(ROW(PLE.lastrow)-ROW(PLE.firstrow))),0,IF(OFFSET(PLE!$G$14,$M614,CG$13)="",10^12,OFFSET(PLE!$G$14,$M614,CG$13))))</f>
        <v>1000000000000</v>
      </c>
      <c r="CH614" s="216">
        <f ca="1">IF($D614&lt;&gt;"Serviço",0,IF(OR(AND(AUTOEVENTO="Manual",$M614=1),$M614&gt;(ROW(PLE.lastrow)-ROW(PLE.firstrow))),0,IF(OFFSET(PLE!$G$14,$M614,CH$13)="",10^12,OFFSET(PLE!$G$14,$M614,CH$13))))</f>
        <v>1000000000000</v>
      </c>
      <c r="CI614" s="216">
        <f ca="1">IF($D614&lt;&gt;"Serviço",0,IF(OR(AND(AUTOEVENTO="Manual",$M614=1),$M614&gt;(ROW(PLE.lastrow)-ROW(PLE.firstrow))),0,IF(OFFSET(PLE!$G$14,$M614,CI$13)="",10^12,OFFSET(PLE!$G$14,$M614,CI$13))))</f>
        <v>1000000000000</v>
      </c>
      <c r="CJ614" s="216">
        <f ca="1">IF($D614&lt;&gt;"Serviço",0,IF(OR(AND(AUTOEVENTO="Manual",$M614=1),$M614&gt;(ROW(PLE.lastrow)-ROW(PLE.firstrow))),0,IF(OFFSET(PLE!$G$14,$M614,CJ$13)="",10^12,OFFSET(PLE!$G$14,$M614,CJ$13))))</f>
        <v>1000000000000</v>
      </c>
      <c r="CK614" s="216">
        <f ca="1">IF($D614&lt;&gt;"Serviço",0,IF(OR(AND(AUTOEVENTO="Manual",$M614=1),$M614&gt;(ROW(PLE.lastrow)-ROW(PLE.firstrow))),0,IF(OFFSET(PLE!$G$14,$M614,CK$13)="",10^12,OFFSET(PLE!$G$14,$M614,CK$13))))</f>
        <v>1000000000000</v>
      </c>
      <c r="CL614" s="216">
        <f ca="1">IF($D614&lt;&gt;"Serviço",0,IF(OR(AND(AUTOEVENTO="Manual",$M614=1),$M614&gt;(ROW(PLE.lastrow)-ROW(PLE.firstrow))),0,IF(OFFSET(PLE!$G$14,$M614,CL$13)="",10^12,OFFSET(PLE!$G$14,$M614,CL$13))))</f>
        <v>1000000000000</v>
      </c>
      <c r="CM614" s="216">
        <f ca="1">IF($D614&lt;&gt;"Serviço",0,IF(OR(AND(AUTOEVENTO="Manual",$M614=1),$M614&gt;(ROW(PLE.lastrow)-ROW(PLE.firstrow))),0,IF(OFFSET(PLE!$G$14,$M614,CM$13)="",10^12,OFFSET(PLE!$G$14,$M614,CM$13))))</f>
        <v>1000000000000</v>
      </c>
    </row>
    <row r="615" spans="1:91" ht="13.2" x14ac:dyDescent="0.25">
      <c r="A615" s="9">
        <f t="shared" ca="1" si="18"/>
        <v>0</v>
      </c>
      <c r="B615" s="9" t="str">
        <f ca="1">OFFSET(ORÇAMENTO!C$15,ROW(B615)-ROW(B$15),0)</f>
        <v>S</v>
      </c>
      <c r="C615" s="9" t="str">
        <f ca="1">OFFSET(ORÇAMENTO!L$15,ROW(C615)-ROW(C$15),0)</f>
        <v/>
      </c>
      <c r="D615" s="145" t="str">
        <f ca="1">OFFSET(ORÇAMENTO!N$15,ROW(D615)-ROW(D$15),0)</f>
        <v>Serviço</v>
      </c>
      <c r="E615" s="205" t="str">
        <f ca="1">OFFSET(ORÇAMENTO!O$15,ROW(E615)-ROW(E$15),0)</f>
        <v>-</v>
      </c>
      <c r="F615" s="206" t="str">
        <f ca="1">OFFSET(ORÇAMENTO!R$15,ROW(F615)-ROW(F$15),0)</f>
        <v>(abra o arquivo 'Referência 05-2024.xls)</v>
      </c>
      <c r="G615" s="207" t="str">
        <f ca="1">IF($D615&lt;&gt;"Serviço","",OFFSET(ORÇAMENTO!S$15,ROW(G615)-ROW(G$15),0))</f>
        <v>-</v>
      </c>
      <c r="H615" s="151">
        <f ca="1">IF($D615&lt;&gt;"Serviço",0,IF(ACOMPANHAMENTO="BM",ROUND(OFFSET(ORÇAMENTO!AJ$15,ROW(H615)-ROW(H$15),0),15-13*ORÇAMENTO!$AF$7),SUMPRODUCT(($Q$12:$AI$12&lt;&gt;"")*ROUND($Q615:$AI615,15-13*ORÇAMENTO!$AF$7))))</f>
        <v>18</v>
      </c>
      <c r="I615" s="650"/>
      <c r="K615" s="208"/>
      <c r="L615" s="209" t="s">
        <v>257</v>
      </c>
      <c r="M615" s="210">
        <f ca="1">IF($D615&lt;&gt;"Serviço","",IF(AUTOEVENTO="manual",$A615,IF(ISERROR(MATCH($A615,$A$15:OFFSET($A615,-1,0),0)),MAX($M$15:OFFSET(M615,-1,0))+1,INDEX($M$15:OFFSET(M615,-1,0),MATCH($A615,$A$15:OFFSET($A615,-1,0),0)))))</f>
        <v>0</v>
      </c>
      <c r="N615" s="211" t="str">
        <f ca="1">IF($D615&lt;&gt;"Serviço","",IF(AUTOEVENTO="Manual",IF($A615=0,"&lt;-- defina o número do agrupador",OFFSET(EVENTOS!$D$14,$A615,0)),OFFSET($F$15,$A615,0)))</f>
        <v>&lt;-- defina o número do agrupador</v>
      </c>
      <c r="O615" s="212"/>
      <c r="Q615" s="212"/>
      <c r="R615" s="213"/>
      <c r="S615" s="213"/>
      <c r="T615" s="213"/>
      <c r="U615" s="213"/>
      <c r="V615" s="213"/>
      <c r="W615" s="213"/>
      <c r="X615" s="213"/>
      <c r="Y615" s="213"/>
      <c r="Z615" s="214"/>
      <c r="AA615" s="213"/>
      <c r="AB615" s="213"/>
      <c r="AC615" s="213"/>
      <c r="AD615" s="213"/>
      <c r="AE615" s="213"/>
      <c r="AF615" s="213"/>
      <c r="AG615" s="213"/>
      <c r="AH615" s="214"/>
      <c r="AJ615" s="631">
        <f ca="1">IF(AND($D615="Serviço",AJ$12&lt;&gt;0,$H615&gt;0,OR(AUTOEVENTO&lt;&gt;"manual",$M615&lt;&gt;1)),ROUND(OFFSET($P615,0,AJ$13),15-13*ORÇAMENTO!$AF$7)/$H615*OFFSET(ORÇAMENTO!$X$15,ROW(AJ615)-ROW(AJ$15),0),0)</f>
        <v>0</v>
      </c>
      <c r="AK615" s="632">
        <f ca="1">IF(AND($D615="Serviço",AK$12&lt;&gt;0,$H615&gt;0,OR(AUTOEVENTO&lt;&gt;"manual",$M615&lt;&gt;1)),ROUND(OFFSET($P615,0,AK$13),15-13*ORÇAMENTO!$AF$7)/$H615*OFFSET(ORÇAMENTO!$X$15,ROW(AK615)-ROW(AK$15),0),0)</f>
        <v>0</v>
      </c>
      <c r="AL615" s="632">
        <f ca="1">IF(AND($D615="Serviço",AL$12&lt;&gt;0,$H615&gt;0,OR(AUTOEVENTO&lt;&gt;"manual",$M615&lt;&gt;1)),ROUND(OFFSET($P615,0,AL$13),15-13*ORÇAMENTO!$AF$7)/$H615*OFFSET(ORÇAMENTO!$X$15,ROW(AL615)-ROW(AL$15),0),0)</f>
        <v>0</v>
      </c>
      <c r="AM615" s="632">
        <f ca="1">IF(AND($D615="Serviço",AM$12&lt;&gt;0,$H615&gt;0,OR(AUTOEVENTO&lt;&gt;"manual",$M615&lt;&gt;1)),ROUND(OFFSET($P615,0,AM$13),15-13*ORÇAMENTO!$AF$7)/$H615*OFFSET(ORÇAMENTO!$X$15,ROW(AM615)-ROW(AM$15),0),0)</f>
        <v>0</v>
      </c>
      <c r="AN615" s="632">
        <f ca="1">IF(AND($D615="Serviço",AN$12&lt;&gt;0,$H615&gt;0,OR(AUTOEVENTO&lt;&gt;"manual",$M615&lt;&gt;1)),ROUND(OFFSET($P615,0,AN$13),15-13*ORÇAMENTO!$AF$7)/$H615*OFFSET(ORÇAMENTO!$X$15,ROW(AN615)-ROW(AN$15),0),0)</f>
        <v>0</v>
      </c>
      <c r="AO615" s="632">
        <f ca="1">IF(AND($D615="Serviço",AO$12&lt;&gt;0,$H615&gt;0,OR(AUTOEVENTO&lt;&gt;"manual",$M615&lt;&gt;1)),ROUND(OFFSET($P615,0,AO$13),15-13*ORÇAMENTO!$AF$7)/$H615*OFFSET(ORÇAMENTO!$X$15,ROW(AO615)-ROW(AO$15),0),0)</f>
        <v>0</v>
      </c>
      <c r="AP615" s="632">
        <f ca="1">IF(AND($D615="Serviço",AP$12&lt;&gt;0,$H615&gt;0,OR(AUTOEVENTO&lt;&gt;"manual",$M615&lt;&gt;1)),ROUND(OFFSET($P615,0,AP$13),15-13*ORÇAMENTO!$AF$7)/$H615*OFFSET(ORÇAMENTO!$X$15,ROW(AP615)-ROW(AP$15),0),0)</f>
        <v>0</v>
      </c>
      <c r="AQ615" s="632">
        <f ca="1">IF(AND($D615="Serviço",AQ$12&lt;&gt;0,$H615&gt;0,OR(AUTOEVENTO&lt;&gt;"manual",$M615&lt;&gt;1)),ROUND(OFFSET($P615,0,AQ$13),15-13*ORÇAMENTO!$AF$7)/$H615*OFFSET(ORÇAMENTO!$X$15,ROW(AQ615)-ROW(AQ$15),0),0)</f>
        <v>0</v>
      </c>
      <c r="AR615" s="632">
        <f ca="1">IF(AND($D615="Serviço",AR$12&lt;&gt;0,$H615&gt;0,OR(AUTOEVENTO&lt;&gt;"manual",$M615&lt;&gt;1)),ROUND(OFFSET($P615,0,AR$13),15-13*ORÇAMENTO!$AF$7)/$H615*OFFSET(ORÇAMENTO!$X$15,ROW(AR615)-ROW(AR$15),0),0)</f>
        <v>0</v>
      </c>
      <c r="AS615" s="633">
        <f ca="1">IF(AND($D615="Serviço",AS$12&lt;&gt;0,$H615&gt;0,OR(AUTOEVENTO&lt;&gt;"manual",$M615&lt;&gt;1)),ROUND(OFFSET($P615,0,AS$13),15-13*ORÇAMENTO!$AF$7)/$H615*OFFSET(ORÇAMENTO!$X$15,ROW(AS615)-ROW(AS$15),0),0)</f>
        <v>0</v>
      </c>
      <c r="AT615" s="632">
        <f ca="1">IF(AND($D615="Serviço",AT$12&lt;&gt;0,$H615&gt;0,OR(AUTOEVENTO&lt;&gt;"manual",$M615&lt;&gt;1)),ROUND(OFFSET($P615,0,AT$13),15-13*ORÇAMENTO!$AF$7)/$H615*OFFSET(ORÇAMENTO!$X$15,ROW(AT615)-ROW(AT$15),0),0)</f>
        <v>0</v>
      </c>
      <c r="AU615" s="632">
        <f ca="1">IF(AND($D615="Serviço",AU$12&lt;&gt;0,$H615&gt;0,OR(AUTOEVENTO&lt;&gt;"manual",$M615&lt;&gt;1)),ROUND(OFFSET($P615,0,AU$13),15-13*ORÇAMENTO!$AF$7)/$H615*OFFSET(ORÇAMENTO!$X$15,ROW(AU615)-ROW(AU$15),0),0)</f>
        <v>0</v>
      </c>
      <c r="AV615" s="632">
        <f ca="1">IF(AND($D615="Serviço",AV$12&lt;&gt;0,$H615&gt;0,OR(AUTOEVENTO&lt;&gt;"manual",$M615&lt;&gt;1)),ROUND(OFFSET($P615,0,AV$13),15-13*ORÇAMENTO!$AF$7)/$H615*OFFSET(ORÇAMENTO!$X$15,ROW(AV615)-ROW(AV$15),0),0)</f>
        <v>0</v>
      </c>
      <c r="AW615" s="632">
        <f ca="1">IF(AND($D615="Serviço",AW$12&lt;&gt;0,$H615&gt;0,OR(AUTOEVENTO&lt;&gt;"manual",$M615&lt;&gt;1)),ROUND(OFFSET($P615,0,AW$13),15-13*ORÇAMENTO!$AF$7)/$H615*OFFSET(ORÇAMENTO!$X$15,ROW(AW615)-ROW(AW$15),0),0)</f>
        <v>0</v>
      </c>
      <c r="AX615" s="632">
        <f ca="1">IF(AND($D615="Serviço",AX$12&lt;&gt;0,$H615&gt;0,OR(AUTOEVENTO&lt;&gt;"manual",$M615&lt;&gt;1)),ROUND(OFFSET($P615,0,AX$13),15-13*ORÇAMENTO!$AF$7)/$H615*OFFSET(ORÇAMENTO!$X$15,ROW(AX615)-ROW(AX$15),0),0)</f>
        <v>0</v>
      </c>
      <c r="AY615" s="632">
        <f ca="1">IF(AND($D615="Serviço",AY$12&lt;&gt;0,$H615&gt;0,OR(AUTOEVENTO&lt;&gt;"manual",$M615&lt;&gt;1)),ROUND(OFFSET($P615,0,AY$13),15-13*ORÇAMENTO!$AF$7)/$H615*OFFSET(ORÇAMENTO!$X$15,ROW(AY615)-ROW(AY$15),0),0)</f>
        <v>0</v>
      </c>
      <c r="AZ615" s="632">
        <f ca="1">IF(AND($D615="Serviço",AZ$12&lt;&gt;0,$H615&gt;0,OR(AUTOEVENTO&lt;&gt;"manual",$M615&lt;&gt;1)),ROUND(OFFSET($P615,0,AZ$13),15-13*ORÇAMENTO!$AF$7)/$H615*OFFSET(ORÇAMENTO!$X$15,ROW(AZ615)-ROW(AZ$15),0),0)</f>
        <v>0</v>
      </c>
      <c r="BA615" s="633">
        <f ca="1">IF(AND($D615="Serviço",BA$12&lt;&gt;0,$H615&gt;0,OR(AUTOEVENTO&lt;&gt;"manual",$M615&lt;&gt;1)),ROUND(OFFSET($P615,0,BA$13),15-13*ORÇAMENTO!$AF$7)/$H615*OFFSET(ORÇAMENTO!$X$15,ROW(BA615)-ROW(BA$15),0),0)</f>
        <v>0</v>
      </c>
      <c r="BC615" s="215">
        <f ca="1">IF($D615&lt;&gt;"Serviço",0,IF(AND(AUTOEVENTO="Manual",$M615=1),0,IF(OFFSET(CRONOPLE!$F$14,$M615,BC$13)="",10^12,OFFSET(CRONOPLE!$F$14,$M615,BC$13))))</f>
        <v>1000000000000</v>
      </c>
      <c r="BD615" s="215">
        <f ca="1">IF($D615&lt;&gt;"Serviço",0,IF(AND(AUTOEVENTO="Manual",$M615=1),0,IF(OFFSET(CRONOPLE!$F$14,$M615,BD$13)="",10^12,OFFSET(CRONOPLE!$F$14,$M615,BD$13))))</f>
        <v>1000000000000</v>
      </c>
      <c r="BE615" s="215">
        <f ca="1">IF($D615&lt;&gt;"Serviço",0,IF(AND(AUTOEVENTO="Manual",$M615=1),0,IF(OFFSET(CRONOPLE!$F$14,$M615,BE$13)="",10^12,OFFSET(CRONOPLE!$F$14,$M615,BE$13))))</f>
        <v>1000000000000</v>
      </c>
      <c r="BF615" s="215">
        <f ca="1">IF($D615&lt;&gt;"Serviço",0,IF(AND(AUTOEVENTO="Manual",$M615=1),0,IF(OFFSET(CRONOPLE!$F$14,$M615,BF$13)="",10^12,OFFSET(CRONOPLE!$F$14,$M615,BF$13))))</f>
        <v>1000000000000</v>
      </c>
      <c r="BG615" s="215">
        <f ca="1">IF($D615&lt;&gt;"Serviço",0,IF(AND(AUTOEVENTO="Manual",$M615=1),0,IF(OFFSET(CRONOPLE!$F$14,$M615,BG$13)="",10^12,OFFSET(CRONOPLE!$F$14,$M615,BG$13))))</f>
        <v>1000000000000</v>
      </c>
      <c r="BH615" s="215">
        <f ca="1">IF($D615&lt;&gt;"Serviço",0,IF(AND(AUTOEVENTO="Manual",$M615=1),0,IF(OFFSET(CRONOPLE!$F$14,$M615,BH$13)="",10^12,OFFSET(CRONOPLE!$F$14,$M615,BH$13))))</f>
        <v>1000000000000</v>
      </c>
      <c r="BI615" s="215">
        <f ca="1">IF($D615&lt;&gt;"Serviço",0,IF(AND(AUTOEVENTO="Manual",$M615=1),0,IF(OFFSET(CRONOPLE!$F$14,$M615,BI$13)="",10^12,OFFSET(CRONOPLE!$F$14,$M615,BI$13))))</f>
        <v>1000000000000</v>
      </c>
      <c r="BJ615" s="215">
        <f ca="1">IF($D615&lt;&gt;"Serviço",0,IF(AND(AUTOEVENTO="Manual",$M615=1),0,IF(OFFSET(CRONOPLE!$F$14,$M615,BJ$13)="",10^12,OFFSET(CRONOPLE!$F$14,$M615,BJ$13))))</f>
        <v>1000000000000</v>
      </c>
      <c r="BK615" s="215">
        <f ca="1">IF($D615&lt;&gt;"Serviço",0,IF(AND(AUTOEVENTO="Manual",$M615=1),0,IF(OFFSET(CRONOPLE!$F$14,$M615,BK$13)="",10^12,OFFSET(CRONOPLE!$F$14,$M615,BK$13))))</f>
        <v>1000000000000</v>
      </c>
      <c r="BL615" s="215">
        <f ca="1">IF($D615&lt;&gt;"Serviço",0,IF(AND(AUTOEVENTO="Manual",$M615=1),0,IF(OFFSET(CRONOPLE!$F$14,$M615,BL$13)="",10^12,OFFSET(CRONOPLE!$F$14,$M615,BL$13))))</f>
        <v>1000000000000</v>
      </c>
      <c r="BM615" s="215">
        <f ca="1">IF($D615&lt;&gt;"Serviço",0,IF(AND(AUTOEVENTO="Manual",$M615=1),0,IF(OFFSET(CRONOPLE!$F$14,$M615,BM$13)="",10^12,OFFSET(CRONOPLE!$F$14,$M615,BM$13))))</f>
        <v>1000000000000</v>
      </c>
      <c r="BN615" s="215">
        <f ca="1">IF($D615&lt;&gt;"Serviço",0,IF(AND(AUTOEVENTO="Manual",$M615=1),0,IF(OFFSET(CRONOPLE!$F$14,$M615,BN$13)="",10^12,OFFSET(CRONOPLE!$F$14,$M615,BN$13))))</f>
        <v>1000000000000</v>
      </c>
      <c r="BO615" s="215">
        <f ca="1">IF($D615&lt;&gt;"Serviço",0,IF(AND(AUTOEVENTO="Manual",$M615=1),0,IF(OFFSET(CRONOPLE!$F$14,$M615,BO$13)="",10^12,OFFSET(CRONOPLE!$F$14,$M615,BO$13))))</f>
        <v>1000000000000</v>
      </c>
      <c r="BP615" s="215">
        <f ca="1">IF($D615&lt;&gt;"Serviço",0,IF(AND(AUTOEVENTO="Manual",$M615=1),0,IF(OFFSET(CRONOPLE!$F$14,$M615,BP$13)="",10^12,OFFSET(CRONOPLE!$F$14,$M615,BP$13))))</f>
        <v>1000000000000</v>
      </c>
      <c r="BQ615" s="215">
        <f ca="1">IF($D615&lt;&gt;"Serviço",0,IF(AND(AUTOEVENTO="Manual",$M615=1),0,IF(OFFSET(CRONOPLE!$F$14,$M615,BQ$13)="",10^12,OFFSET(CRONOPLE!$F$14,$M615,BQ$13))))</f>
        <v>1000000000000</v>
      </c>
      <c r="BR615" s="215">
        <f ca="1">IF($D615&lt;&gt;"Serviço",0,IF(AND(AUTOEVENTO="Manual",$M615=1),0,IF(OFFSET(CRONOPLE!$F$14,$M615,BR$13)="",10^12,OFFSET(CRONOPLE!$F$14,$M615,BR$13))))</f>
        <v>1000000000000</v>
      </c>
      <c r="BS615" s="215">
        <f ca="1">IF($D615&lt;&gt;"Serviço",0,IF(AND(AUTOEVENTO="Manual",$M615=1),0,IF(OFFSET(CRONOPLE!$F$14,$M615,BS$13)="",10^12,OFFSET(CRONOPLE!$F$14,$M615,BS$13))))</f>
        <v>1000000000000</v>
      </c>
      <c r="BT615" s="215">
        <f ca="1">IF($D615&lt;&gt;"Serviço",0,IF(AND(AUTOEVENTO="Manual",$M615=1),0,IF(OFFSET(CRONOPLE!$F$14,$M615,BT$13)="",10^12,OFFSET(CRONOPLE!$F$14,$M615,BT$13))))</f>
        <v>1000000000000</v>
      </c>
      <c r="BV615" s="216">
        <f ca="1">IF($D615&lt;&gt;"Serviço",0,IF(OR(AND(AUTOEVENTO="Manual",$M615=1),$M615&gt;(ROW(PLE.lastrow)-ROW(PLE.firstrow))),0,IF(OFFSET(PLE!$G$14,$M615,BV$13)="",10^12,OFFSET(PLE!$G$14,$M615,BV$13))))</f>
        <v>1000000000000</v>
      </c>
      <c r="BW615" s="216">
        <f ca="1">IF($D615&lt;&gt;"Serviço",0,IF(OR(AND(AUTOEVENTO="Manual",$M615=1),$M615&gt;(ROW(PLE.lastrow)-ROW(PLE.firstrow))),0,IF(OFFSET(PLE!$G$14,$M615,BW$13)="",10^12,OFFSET(PLE!$G$14,$M615,BW$13))))</f>
        <v>1000000000000</v>
      </c>
      <c r="BX615" s="216">
        <f ca="1">IF($D615&lt;&gt;"Serviço",0,IF(OR(AND(AUTOEVENTO="Manual",$M615=1),$M615&gt;(ROW(PLE.lastrow)-ROW(PLE.firstrow))),0,IF(OFFSET(PLE!$G$14,$M615,BX$13)="",10^12,OFFSET(PLE!$G$14,$M615,BX$13))))</f>
        <v>1000000000000</v>
      </c>
      <c r="BY615" s="216">
        <f ca="1">IF($D615&lt;&gt;"Serviço",0,IF(OR(AND(AUTOEVENTO="Manual",$M615=1),$M615&gt;(ROW(PLE.lastrow)-ROW(PLE.firstrow))),0,IF(OFFSET(PLE!$G$14,$M615,BY$13)="",10^12,OFFSET(PLE!$G$14,$M615,BY$13))))</f>
        <v>1000000000000</v>
      </c>
      <c r="BZ615" s="216">
        <f ca="1">IF($D615&lt;&gt;"Serviço",0,IF(OR(AND(AUTOEVENTO="Manual",$M615=1),$M615&gt;(ROW(PLE.lastrow)-ROW(PLE.firstrow))),0,IF(OFFSET(PLE!$G$14,$M615,BZ$13)="",10^12,OFFSET(PLE!$G$14,$M615,BZ$13))))</f>
        <v>1000000000000</v>
      </c>
      <c r="CA615" s="216">
        <f ca="1">IF($D615&lt;&gt;"Serviço",0,IF(OR(AND(AUTOEVENTO="Manual",$M615=1),$M615&gt;(ROW(PLE.lastrow)-ROW(PLE.firstrow))),0,IF(OFFSET(PLE!$G$14,$M615,CA$13)="",10^12,OFFSET(PLE!$G$14,$M615,CA$13))))</f>
        <v>1000000000000</v>
      </c>
      <c r="CB615" s="216">
        <f ca="1">IF($D615&lt;&gt;"Serviço",0,IF(OR(AND(AUTOEVENTO="Manual",$M615=1),$M615&gt;(ROW(PLE.lastrow)-ROW(PLE.firstrow))),0,IF(OFFSET(PLE!$G$14,$M615,CB$13)="",10^12,OFFSET(PLE!$G$14,$M615,CB$13))))</f>
        <v>1000000000000</v>
      </c>
      <c r="CC615" s="216">
        <f ca="1">IF($D615&lt;&gt;"Serviço",0,IF(OR(AND(AUTOEVENTO="Manual",$M615=1),$M615&gt;(ROW(PLE.lastrow)-ROW(PLE.firstrow))),0,IF(OFFSET(PLE!$G$14,$M615,CC$13)="",10^12,OFFSET(PLE!$G$14,$M615,CC$13))))</f>
        <v>1000000000000</v>
      </c>
      <c r="CD615" s="216">
        <f ca="1">IF($D615&lt;&gt;"Serviço",0,IF(OR(AND(AUTOEVENTO="Manual",$M615=1),$M615&gt;(ROW(PLE.lastrow)-ROW(PLE.firstrow))),0,IF(OFFSET(PLE!$G$14,$M615,CD$13)="",10^12,OFFSET(PLE!$G$14,$M615,CD$13))))</f>
        <v>1000000000000</v>
      </c>
      <c r="CE615" s="216">
        <f ca="1">IF($D615&lt;&gt;"Serviço",0,IF(OR(AND(AUTOEVENTO="Manual",$M615=1),$M615&gt;(ROW(PLE.lastrow)-ROW(PLE.firstrow))),0,IF(OFFSET(PLE!$G$14,$M615,CE$13)="",10^12,OFFSET(PLE!$G$14,$M615,CE$13))))</f>
        <v>1000000000000</v>
      </c>
      <c r="CF615" s="216">
        <f ca="1">IF($D615&lt;&gt;"Serviço",0,IF(OR(AND(AUTOEVENTO="Manual",$M615=1),$M615&gt;(ROW(PLE.lastrow)-ROW(PLE.firstrow))),0,IF(OFFSET(PLE!$G$14,$M615,CF$13)="",10^12,OFFSET(PLE!$G$14,$M615,CF$13))))</f>
        <v>1000000000000</v>
      </c>
      <c r="CG615" s="216">
        <f ca="1">IF($D615&lt;&gt;"Serviço",0,IF(OR(AND(AUTOEVENTO="Manual",$M615=1),$M615&gt;(ROW(PLE.lastrow)-ROW(PLE.firstrow))),0,IF(OFFSET(PLE!$G$14,$M615,CG$13)="",10^12,OFFSET(PLE!$G$14,$M615,CG$13))))</f>
        <v>1000000000000</v>
      </c>
      <c r="CH615" s="216">
        <f ca="1">IF($D615&lt;&gt;"Serviço",0,IF(OR(AND(AUTOEVENTO="Manual",$M615=1),$M615&gt;(ROW(PLE.lastrow)-ROW(PLE.firstrow))),0,IF(OFFSET(PLE!$G$14,$M615,CH$13)="",10^12,OFFSET(PLE!$G$14,$M615,CH$13))))</f>
        <v>1000000000000</v>
      </c>
      <c r="CI615" s="216">
        <f ca="1">IF($D615&lt;&gt;"Serviço",0,IF(OR(AND(AUTOEVENTO="Manual",$M615=1),$M615&gt;(ROW(PLE.lastrow)-ROW(PLE.firstrow))),0,IF(OFFSET(PLE!$G$14,$M615,CI$13)="",10^12,OFFSET(PLE!$G$14,$M615,CI$13))))</f>
        <v>1000000000000</v>
      </c>
      <c r="CJ615" s="216">
        <f ca="1">IF($D615&lt;&gt;"Serviço",0,IF(OR(AND(AUTOEVENTO="Manual",$M615=1),$M615&gt;(ROW(PLE.lastrow)-ROW(PLE.firstrow))),0,IF(OFFSET(PLE!$G$14,$M615,CJ$13)="",10^12,OFFSET(PLE!$G$14,$M615,CJ$13))))</f>
        <v>1000000000000</v>
      </c>
      <c r="CK615" s="216">
        <f ca="1">IF($D615&lt;&gt;"Serviço",0,IF(OR(AND(AUTOEVENTO="Manual",$M615=1),$M615&gt;(ROW(PLE.lastrow)-ROW(PLE.firstrow))),0,IF(OFFSET(PLE!$G$14,$M615,CK$13)="",10^12,OFFSET(PLE!$G$14,$M615,CK$13))))</f>
        <v>1000000000000</v>
      </c>
      <c r="CL615" s="216">
        <f ca="1">IF($D615&lt;&gt;"Serviço",0,IF(OR(AND(AUTOEVENTO="Manual",$M615=1),$M615&gt;(ROW(PLE.lastrow)-ROW(PLE.firstrow))),0,IF(OFFSET(PLE!$G$14,$M615,CL$13)="",10^12,OFFSET(PLE!$G$14,$M615,CL$13))))</f>
        <v>1000000000000</v>
      </c>
      <c r="CM615" s="216">
        <f ca="1">IF($D615&lt;&gt;"Serviço",0,IF(OR(AND(AUTOEVENTO="Manual",$M615=1),$M615&gt;(ROW(PLE.lastrow)-ROW(PLE.firstrow))),0,IF(OFFSET(PLE!$G$14,$M615,CM$13)="",10^12,OFFSET(PLE!$G$14,$M615,CM$13))))</f>
        <v>1000000000000</v>
      </c>
    </row>
    <row r="616" spans="1:91" ht="13.2" x14ac:dyDescent="0.25">
      <c r="A616" s="9">
        <f t="shared" ca="1" si="18"/>
        <v>0</v>
      </c>
      <c r="B616" s="9" t="str">
        <f ca="1">OFFSET(ORÇAMENTO!C$15,ROW(B616)-ROW(B$15),0)</f>
        <v>S</v>
      </c>
      <c r="C616" s="9" t="str">
        <f ca="1">OFFSET(ORÇAMENTO!L$15,ROW(C616)-ROW(C$15),0)</f>
        <v/>
      </c>
      <c r="D616" s="145" t="str">
        <f ca="1">OFFSET(ORÇAMENTO!N$15,ROW(D616)-ROW(D$15),0)</f>
        <v>Serviço</v>
      </c>
      <c r="E616" s="205" t="str">
        <f ca="1">OFFSET(ORÇAMENTO!O$15,ROW(E616)-ROW(E$15),0)</f>
        <v>-</v>
      </c>
      <c r="F616" s="206" t="str">
        <f ca="1">OFFSET(ORÇAMENTO!R$15,ROW(F616)-ROW(F$15),0)</f>
        <v>(abra o arquivo 'Referência 05-2024.xls)</v>
      </c>
      <c r="G616" s="207" t="str">
        <f ca="1">IF($D616&lt;&gt;"Serviço","",OFFSET(ORÇAMENTO!S$15,ROW(G616)-ROW(G$15),0))</f>
        <v>-</v>
      </c>
      <c r="H616" s="151">
        <f ca="1">IF($D616&lt;&gt;"Serviço",0,IF(ACOMPANHAMENTO="BM",ROUND(OFFSET(ORÇAMENTO!AJ$15,ROW(H616)-ROW(H$15),0),15-13*ORÇAMENTO!$AF$7),SUMPRODUCT(($Q$12:$AI$12&lt;&gt;"")*ROUND($Q616:$AI616,15-13*ORÇAMENTO!$AF$7))))</f>
        <v>46</v>
      </c>
      <c r="I616" s="650"/>
      <c r="K616" s="208"/>
      <c r="L616" s="209" t="s">
        <v>257</v>
      </c>
      <c r="M616" s="210">
        <f ca="1">IF($D616&lt;&gt;"Serviço","",IF(AUTOEVENTO="manual",$A616,IF(ISERROR(MATCH($A616,$A$15:OFFSET($A616,-1,0),0)),MAX($M$15:OFFSET(M616,-1,0))+1,INDEX($M$15:OFFSET(M616,-1,0),MATCH($A616,$A$15:OFFSET($A616,-1,0),0)))))</f>
        <v>0</v>
      </c>
      <c r="N616" s="211" t="str">
        <f ca="1">IF($D616&lt;&gt;"Serviço","",IF(AUTOEVENTO="Manual",IF($A616=0,"&lt;-- defina o número do agrupador",OFFSET(EVENTOS!$D$14,$A616,0)),OFFSET($F$15,$A616,0)))</f>
        <v>&lt;-- defina o número do agrupador</v>
      </c>
      <c r="O616" s="212"/>
      <c r="Q616" s="212"/>
      <c r="R616" s="213"/>
      <c r="S616" s="213"/>
      <c r="T616" s="213"/>
      <c r="U616" s="213"/>
      <c r="V616" s="213"/>
      <c r="W616" s="213"/>
      <c r="X616" s="213"/>
      <c r="Y616" s="213"/>
      <c r="Z616" s="214"/>
      <c r="AA616" s="213"/>
      <c r="AB616" s="213"/>
      <c r="AC616" s="213"/>
      <c r="AD616" s="213"/>
      <c r="AE616" s="213"/>
      <c r="AF616" s="213"/>
      <c r="AG616" s="213"/>
      <c r="AH616" s="214"/>
      <c r="AJ616" s="631">
        <f ca="1">IF(AND($D616="Serviço",AJ$12&lt;&gt;0,$H616&gt;0,OR(AUTOEVENTO&lt;&gt;"manual",$M616&lt;&gt;1)),ROUND(OFFSET($P616,0,AJ$13),15-13*ORÇAMENTO!$AF$7)/$H616*OFFSET(ORÇAMENTO!$X$15,ROW(AJ616)-ROW(AJ$15),0),0)</f>
        <v>0</v>
      </c>
      <c r="AK616" s="632">
        <f ca="1">IF(AND($D616="Serviço",AK$12&lt;&gt;0,$H616&gt;0,OR(AUTOEVENTO&lt;&gt;"manual",$M616&lt;&gt;1)),ROUND(OFFSET($P616,0,AK$13),15-13*ORÇAMENTO!$AF$7)/$H616*OFFSET(ORÇAMENTO!$X$15,ROW(AK616)-ROW(AK$15),0),0)</f>
        <v>0</v>
      </c>
      <c r="AL616" s="632">
        <f ca="1">IF(AND($D616="Serviço",AL$12&lt;&gt;0,$H616&gt;0,OR(AUTOEVENTO&lt;&gt;"manual",$M616&lt;&gt;1)),ROUND(OFFSET($P616,0,AL$13),15-13*ORÇAMENTO!$AF$7)/$H616*OFFSET(ORÇAMENTO!$X$15,ROW(AL616)-ROW(AL$15),0),0)</f>
        <v>0</v>
      </c>
      <c r="AM616" s="632">
        <f ca="1">IF(AND($D616="Serviço",AM$12&lt;&gt;0,$H616&gt;0,OR(AUTOEVENTO&lt;&gt;"manual",$M616&lt;&gt;1)),ROUND(OFFSET($P616,0,AM$13),15-13*ORÇAMENTO!$AF$7)/$H616*OFFSET(ORÇAMENTO!$X$15,ROW(AM616)-ROW(AM$15),0),0)</f>
        <v>0</v>
      </c>
      <c r="AN616" s="632">
        <f ca="1">IF(AND($D616="Serviço",AN$12&lt;&gt;0,$H616&gt;0,OR(AUTOEVENTO&lt;&gt;"manual",$M616&lt;&gt;1)),ROUND(OFFSET($P616,0,AN$13),15-13*ORÇAMENTO!$AF$7)/$H616*OFFSET(ORÇAMENTO!$X$15,ROW(AN616)-ROW(AN$15),0),0)</f>
        <v>0</v>
      </c>
      <c r="AO616" s="632">
        <f ca="1">IF(AND($D616="Serviço",AO$12&lt;&gt;0,$H616&gt;0,OR(AUTOEVENTO&lt;&gt;"manual",$M616&lt;&gt;1)),ROUND(OFFSET($P616,0,AO$13),15-13*ORÇAMENTO!$AF$7)/$H616*OFFSET(ORÇAMENTO!$X$15,ROW(AO616)-ROW(AO$15),0),0)</f>
        <v>0</v>
      </c>
      <c r="AP616" s="632">
        <f ca="1">IF(AND($D616="Serviço",AP$12&lt;&gt;0,$H616&gt;0,OR(AUTOEVENTO&lt;&gt;"manual",$M616&lt;&gt;1)),ROUND(OFFSET($P616,0,AP$13),15-13*ORÇAMENTO!$AF$7)/$H616*OFFSET(ORÇAMENTO!$X$15,ROW(AP616)-ROW(AP$15),0),0)</f>
        <v>0</v>
      </c>
      <c r="AQ616" s="632">
        <f ca="1">IF(AND($D616="Serviço",AQ$12&lt;&gt;0,$H616&gt;0,OR(AUTOEVENTO&lt;&gt;"manual",$M616&lt;&gt;1)),ROUND(OFFSET($P616,0,AQ$13),15-13*ORÇAMENTO!$AF$7)/$H616*OFFSET(ORÇAMENTO!$X$15,ROW(AQ616)-ROW(AQ$15),0),0)</f>
        <v>0</v>
      </c>
      <c r="AR616" s="632">
        <f ca="1">IF(AND($D616="Serviço",AR$12&lt;&gt;0,$H616&gt;0,OR(AUTOEVENTO&lt;&gt;"manual",$M616&lt;&gt;1)),ROUND(OFFSET($P616,0,AR$13),15-13*ORÇAMENTO!$AF$7)/$H616*OFFSET(ORÇAMENTO!$X$15,ROW(AR616)-ROW(AR$15),0),0)</f>
        <v>0</v>
      </c>
      <c r="AS616" s="633">
        <f ca="1">IF(AND($D616="Serviço",AS$12&lt;&gt;0,$H616&gt;0,OR(AUTOEVENTO&lt;&gt;"manual",$M616&lt;&gt;1)),ROUND(OFFSET($P616,0,AS$13),15-13*ORÇAMENTO!$AF$7)/$H616*OFFSET(ORÇAMENTO!$X$15,ROW(AS616)-ROW(AS$15),0),0)</f>
        <v>0</v>
      </c>
      <c r="AT616" s="632">
        <f ca="1">IF(AND($D616="Serviço",AT$12&lt;&gt;0,$H616&gt;0,OR(AUTOEVENTO&lt;&gt;"manual",$M616&lt;&gt;1)),ROUND(OFFSET($P616,0,AT$13),15-13*ORÇAMENTO!$AF$7)/$H616*OFFSET(ORÇAMENTO!$X$15,ROW(AT616)-ROW(AT$15),0),0)</f>
        <v>0</v>
      </c>
      <c r="AU616" s="632">
        <f ca="1">IF(AND($D616="Serviço",AU$12&lt;&gt;0,$H616&gt;0,OR(AUTOEVENTO&lt;&gt;"manual",$M616&lt;&gt;1)),ROUND(OFFSET($P616,0,AU$13),15-13*ORÇAMENTO!$AF$7)/$H616*OFFSET(ORÇAMENTO!$X$15,ROW(AU616)-ROW(AU$15),0),0)</f>
        <v>0</v>
      </c>
      <c r="AV616" s="632">
        <f ca="1">IF(AND($D616="Serviço",AV$12&lt;&gt;0,$H616&gt;0,OR(AUTOEVENTO&lt;&gt;"manual",$M616&lt;&gt;1)),ROUND(OFFSET($P616,0,AV$13),15-13*ORÇAMENTO!$AF$7)/$H616*OFFSET(ORÇAMENTO!$X$15,ROW(AV616)-ROW(AV$15),0),0)</f>
        <v>0</v>
      </c>
      <c r="AW616" s="632">
        <f ca="1">IF(AND($D616="Serviço",AW$12&lt;&gt;0,$H616&gt;0,OR(AUTOEVENTO&lt;&gt;"manual",$M616&lt;&gt;1)),ROUND(OFFSET($P616,0,AW$13),15-13*ORÇAMENTO!$AF$7)/$H616*OFFSET(ORÇAMENTO!$X$15,ROW(AW616)-ROW(AW$15),0),0)</f>
        <v>0</v>
      </c>
      <c r="AX616" s="632">
        <f ca="1">IF(AND($D616="Serviço",AX$12&lt;&gt;0,$H616&gt;0,OR(AUTOEVENTO&lt;&gt;"manual",$M616&lt;&gt;1)),ROUND(OFFSET($P616,0,AX$13),15-13*ORÇAMENTO!$AF$7)/$H616*OFFSET(ORÇAMENTO!$X$15,ROW(AX616)-ROW(AX$15),0),0)</f>
        <v>0</v>
      </c>
      <c r="AY616" s="632">
        <f ca="1">IF(AND($D616="Serviço",AY$12&lt;&gt;0,$H616&gt;0,OR(AUTOEVENTO&lt;&gt;"manual",$M616&lt;&gt;1)),ROUND(OFFSET($P616,0,AY$13),15-13*ORÇAMENTO!$AF$7)/$H616*OFFSET(ORÇAMENTO!$X$15,ROW(AY616)-ROW(AY$15),0),0)</f>
        <v>0</v>
      </c>
      <c r="AZ616" s="632">
        <f ca="1">IF(AND($D616="Serviço",AZ$12&lt;&gt;0,$H616&gt;0,OR(AUTOEVENTO&lt;&gt;"manual",$M616&lt;&gt;1)),ROUND(OFFSET($P616,0,AZ$13),15-13*ORÇAMENTO!$AF$7)/$H616*OFFSET(ORÇAMENTO!$X$15,ROW(AZ616)-ROW(AZ$15),0),0)</f>
        <v>0</v>
      </c>
      <c r="BA616" s="633">
        <f ca="1">IF(AND($D616="Serviço",BA$12&lt;&gt;0,$H616&gt;0,OR(AUTOEVENTO&lt;&gt;"manual",$M616&lt;&gt;1)),ROUND(OFFSET($P616,0,BA$13),15-13*ORÇAMENTO!$AF$7)/$H616*OFFSET(ORÇAMENTO!$X$15,ROW(BA616)-ROW(BA$15),0),0)</f>
        <v>0</v>
      </c>
      <c r="BC616" s="215">
        <f ca="1">IF($D616&lt;&gt;"Serviço",0,IF(AND(AUTOEVENTO="Manual",$M616=1),0,IF(OFFSET(CRONOPLE!$F$14,$M616,BC$13)="",10^12,OFFSET(CRONOPLE!$F$14,$M616,BC$13))))</f>
        <v>1000000000000</v>
      </c>
      <c r="BD616" s="215">
        <f ca="1">IF($D616&lt;&gt;"Serviço",0,IF(AND(AUTOEVENTO="Manual",$M616=1),0,IF(OFFSET(CRONOPLE!$F$14,$M616,BD$13)="",10^12,OFFSET(CRONOPLE!$F$14,$M616,BD$13))))</f>
        <v>1000000000000</v>
      </c>
      <c r="BE616" s="215">
        <f ca="1">IF($D616&lt;&gt;"Serviço",0,IF(AND(AUTOEVENTO="Manual",$M616=1),0,IF(OFFSET(CRONOPLE!$F$14,$M616,BE$13)="",10^12,OFFSET(CRONOPLE!$F$14,$M616,BE$13))))</f>
        <v>1000000000000</v>
      </c>
      <c r="BF616" s="215">
        <f ca="1">IF($D616&lt;&gt;"Serviço",0,IF(AND(AUTOEVENTO="Manual",$M616=1),0,IF(OFFSET(CRONOPLE!$F$14,$M616,BF$13)="",10^12,OFFSET(CRONOPLE!$F$14,$M616,BF$13))))</f>
        <v>1000000000000</v>
      </c>
      <c r="BG616" s="215">
        <f ca="1">IF($D616&lt;&gt;"Serviço",0,IF(AND(AUTOEVENTO="Manual",$M616=1),0,IF(OFFSET(CRONOPLE!$F$14,$M616,BG$13)="",10^12,OFFSET(CRONOPLE!$F$14,$M616,BG$13))))</f>
        <v>1000000000000</v>
      </c>
      <c r="BH616" s="215">
        <f ca="1">IF($D616&lt;&gt;"Serviço",0,IF(AND(AUTOEVENTO="Manual",$M616=1),0,IF(OFFSET(CRONOPLE!$F$14,$M616,BH$13)="",10^12,OFFSET(CRONOPLE!$F$14,$M616,BH$13))))</f>
        <v>1000000000000</v>
      </c>
      <c r="BI616" s="215">
        <f ca="1">IF($D616&lt;&gt;"Serviço",0,IF(AND(AUTOEVENTO="Manual",$M616=1),0,IF(OFFSET(CRONOPLE!$F$14,$M616,BI$13)="",10^12,OFFSET(CRONOPLE!$F$14,$M616,BI$13))))</f>
        <v>1000000000000</v>
      </c>
      <c r="BJ616" s="215">
        <f ca="1">IF($D616&lt;&gt;"Serviço",0,IF(AND(AUTOEVENTO="Manual",$M616=1),0,IF(OFFSET(CRONOPLE!$F$14,$M616,BJ$13)="",10^12,OFFSET(CRONOPLE!$F$14,$M616,BJ$13))))</f>
        <v>1000000000000</v>
      </c>
      <c r="BK616" s="215">
        <f ca="1">IF($D616&lt;&gt;"Serviço",0,IF(AND(AUTOEVENTO="Manual",$M616=1),0,IF(OFFSET(CRONOPLE!$F$14,$M616,BK$13)="",10^12,OFFSET(CRONOPLE!$F$14,$M616,BK$13))))</f>
        <v>1000000000000</v>
      </c>
      <c r="BL616" s="215">
        <f ca="1">IF($D616&lt;&gt;"Serviço",0,IF(AND(AUTOEVENTO="Manual",$M616=1),0,IF(OFFSET(CRONOPLE!$F$14,$M616,BL$13)="",10^12,OFFSET(CRONOPLE!$F$14,$M616,BL$13))))</f>
        <v>1000000000000</v>
      </c>
      <c r="BM616" s="215">
        <f ca="1">IF($D616&lt;&gt;"Serviço",0,IF(AND(AUTOEVENTO="Manual",$M616=1),0,IF(OFFSET(CRONOPLE!$F$14,$M616,BM$13)="",10^12,OFFSET(CRONOPLE!$F$14,$M616,BM$13))))</f>
        <v>1000000000000</v>
      </c>
      <c r="BN616" s="215">
        <f ca="1">IF($D616&lt;&gt;"Serviço",0,IF(AND(AUTOEVENTO="Manual",$M616=1),0,IF(OFFSET(CRONOPLE!$F$14,$M616,BN$13)="",10^12,OFFSET(CRONOPLE!$F$14,$M616,BN$13))))</f>
        <v>1000000000000</v>
      </c>
      <c r="BO616" s="215">
        <f ca="1">IF($D616&lt;&gt;"Serviço",0,IF(AND(AUTOEVENTO="Manual",$M616=1),0,IF(OFFSET(CRONOPLE!$F$14,$M616,BO$13)="",10^12,OFFSET(CRONOPLE!$F$14,$M616,BO$13))))</f>
        <v>1000000000000</v>
      </c>
      <c r="BP616" s="215">
        <f ca="1">IF($D616&lt;&gt;"Serviço",0,IF(AND(AUTOEVENTO="Manual",$M616=1),0,IF(OFFSET(CRONOPLE!$F$14,$M616,BP$13)="",10^12,OFFSET(CRONOPLE!$F$14,$M616,BP$13))))</f>
        <v>1000000000000</v>
      </c>
      <c r="BQ616" s="215">
        <f ca="1">IF($D616&lt;&gt;"Serviço",0,IF(AND(AUTOEVENTO="Manual",$M616=1),0,IF(OFFSET(CRONOPLE!$F$14,$M616,BQ$13)="",10^12,OFFSET(CRONOPLE!$F$14,$M616,BQ$13))))</f>
        <v>1000000000000</v>
      </c>
      <c r="BR616" s="215">
        <f ca="1">IF($D616&lt;&gt;"Serviço",0,IF(AND(AUTOEVENTO="Manual",$M616=1),0,IF(OFFSET(CRONOPLE!$F$14,$M616,BR$13)="",10^12,OFFSET(CRONOPLE!$F$14,$M616,BR$13))))</f>
        <v>1000000000000</v>
      </c>
      <c r="BS616" s="215">
        <f ca="1">IF($D616&lt;&gt;"Serviço",0,IF(AND(AUTOEVENTO="Manual",$M616=1),0,IF(OFFSET(CRONOPLE!$F$14,$M616,BS$13)="",10^12,OFFSET(CRONOPLE!$F$14,$M616,BS$13))))</f>
        <v>1000000000000</v>
      </c>
      <c r="BT616" s="215">
        <f ca="1">IF($D616&lt;&gt;"Serviço",0,IF(AND(AUTOEVENTO="Manual",$M616=1),0,IF(OFFSET(CRONOPLE!$F$14,$M616,BT$13)="",10^12,OFFSET(CRONOPLE!$F$14,$M616,BT$13))))</f>
        <v>1000000000000</v>
      </c>
      <c r="BV616" s="216">
        <f ca="1">IF($D616&lt;&gt;"Serviço",0,IF(OR(AND(AUTOEVENTO="Manual",$M616=1),$M616&gt;(ROW(PLE.lastrow)-ROW(PLE.firstrow))),0,IF(OFFSET(PLE!$G$14,$M616,BV$13)="",10^12,OFFSET(PLE!$G$14,$M616,BV$13))))</f>
        <v>1000000000000</v>
      </c>
      <c r="BW616" s="216">
        <f ca="1">IF($D616&lt;&gt;"Serviço",0,IF(OR(AND(AUTOEVENTO="Manual",$M616=1),$M616&gt;(ROW(PLE.lastrow)-ROW(PLE.firstrow))),0,IF(OFFSET(PLE!$G$14,$M616,BW$13)="",10^12,OFFSET(PLE!$G$14,$M616,BW$13))))</f>
        <v>1000000000000</v>
      </c>
      <c r="BX616" s="216">
        <f ca="1">IF($D616&lt;&gt;"Serviço",0,IF(OR(AND(AUTOEVENTO="Manual",$M616=1),$M616&gt;(ROW(PLE.lastrow)-ROW(PLE.firstrow))),0,IF(OFFSET(PLE!$G$14,$M616,BX$13)="",10^12,OFFSET(PLE!$G$14,$M616,BX$13))))</f>
        <v>1000000000000</v>
      </c>
      <c r="BY616" s="216">
        <f ca="1">IF($D616&lt;&gt;"Serviço",0,IF(OR(AND(AUTOEVENTO="Manual",$M616=1),$M616&gt;(ROW(PLE.lastrow)-ROW(PLE.firstrow))),0,IF(OFFSET(PLE!$G$14,$M616,BY$13)="",10^12,OFFSET(PLE!$G$14,$M616,BY$13))))</f>
        <v>1000000000000</v>
      </c>
      <c r="BZ616" s="216">
        <f ca="1">IF($D616&lt;&gt;"Serviço",0,IF(OR(AND(AUTOEVENTO="Manual",$M616=1),$M616&gt;(ROW(PLE.lastrow)-ROW(PLE.firstrow))),0,IF(OFFSET(PLE!$G$14,$M616,BZ$13)="",10^12,OFFSET(PLE!$G$14,$M616,BZ$13))))</f>
        <v>1000000000000</v>
      </c>
      <c r="CA616" s="216">
        <f ca="1">IF($D616&lt;&gt;"Serviço",0,IF(OR(AND(AUTOEVENTO="Manual",$M616=1),$M616&gt;(ROW(PLE.lastrow)-ROW(PLE.firstrow))),0,IF(OFFSET(PLE!$G$14,$M616,CA$13)="",10^12,OFFSET(PLE!$G$14,$M616,CA$13))))</f>
        <v>1000000000000</v>
      </c>
      <c r="CB616" s="216">
        <f ca="1">IF($D616&lt;&gt;"Serviço",0,IF(OR(AND(AUTOEVENTO="Manual",$M616=1),$M616&gt;(ROW(PLE.lastrow)-ROW(PLE.firstrow))),0,IF(OFFSET(PLE!$G$14,$M616,CB$13)="",10^12,OFFSET(PLE!$G$14,$M616,CB$13))))</f>
        <v>1000000000000</v>
      </c>
      <c r="CC616" s="216">
        <f ca="1">IF($D616&lt;&gt;"Serviço",0,IF(OR(AND(AUTOEVENTO="Manual",$M616=1),$M616&gt;(ROW(PLE.lastrow)-ROW(PLE.firstrow))),0,IF(OFFSET(PLE!$G$14,$M616,CC$13)="",10^12,OFFSET(PLE!$G$14,$M616,CC$13))))</f>
        <v>1000000000000</v>
      </c>
      <c r="CD616" s="216">
        <f ca="1">IF($D616&lt;&gt;"Serviço",0,IF(OR(AND(AUTOEVENTO="Manual",$M616=1),$M616&gt;(ROW(PLE.lastrow)-ROW(PLE.firstrow))),0,IF(OFFSET(PLE!$G$14,$M616,CD$13)="",10^12,OFFSET(PLE!$G$14,$M616,CD$13))))</f>
        <v>1000000000000</v>
      </c>
      <c r="CE616" s="216">
        <f ca="1">IF($D616&lt;&gt;"Serviço",0,IF(OR(AND(AUTOEVENTO="Manual",$M616=1),$M616&gt;(ROW(PLE.lastrow)-ROW(PLE.firstrow))),0,IF(OFFSET(PLE!$G$14,$M616,CE$13)="",10^12,OFFSET(PLE!$G$14,$M616,CE$13))))</f>
        <v>1000000000000</v>
      </c>
      <c r="CF616" s="216">
        <f ca="1">IF($D616&lt;&gt;"Serviço",0,IF(OR(AND(AUTOEVENTO="Manual",$M616=1),$M616&gt;(ROW(PLE.lastrow)-ROW(PLE.firstrow))),0,IF(OFFSET(PLE!$G$14,$M616,CF$13)="",10^12,OFFSET(PLE!$G$14,$M616,CF$13))))</f>
        <v>1000000000000</v>
      </c>
      <c r="CG616" s="216">
        <f ca="1">IF($D616&lt;&gt;"Serviço",0,IF(OR(AND(AUTOEVENTO="Manual",$M616=1),$M616&gt;(ROW(PLE.lastrow)-ROW(PLE.firstrow))),0,IF(OFFSET(PLE!$G$14,$M616,CG$13)="",10^12,OFFSET(PLE!$G$14,$M616,CG$13))))</f>
        <v>1000000000000</v>
      </c>
      <c r="CH616" s="216">
        <f ca="1">IF($D616&lt;&gt;"Serviço",0,IF(OR(AND(AUTOEVENTO="Manual",$M616=1),$M616&gt;(ROW(PLE.lastrow)-ROW(PLE.firstrow))),0,IF(OFFSET(PLE!$G$14,$M616,CH$13)="",10^12,OFFSET(PLE!$G$14,$M616,CH$13))))</f>
        <v>1000000000000</v>
      </c>
      <c r="CI616" s="216">
        <f ca="1">IF($D616&lt;&gt;"Serviço",0,IF(OR(AND(AUTOEVENTO="Manual",$M616=1),$M616&gt;(ROW(PLE.lastrow)-ROW(PLE.firstrow))),0,IF(OFFSET(PLE!$G$14,$M616,CI$13)="",10^12,OFFSET(PLE!$G$14,$M616,CI$13))))</f>
        <v>1000000000000</v>
      </c>
      <c r="CJ616" s="216">
        <f ca="1">IF($D616&lt;&gt;"Serviço",0,IF(OR(AND(AUTOEVENTO="Manual",$M616=1),$M616&gt;(ROW(PLE.lastrow)-ROW(PLE.firstrow))),0,IF(OFFSET(PLE!$G$14,$M616,CJ$13)="",10^12,OFFSET(PLE!$G$14,$M616,CJ$13))))</f>
        <v>1000000000000</v>
      </c>
      <c r="CK616" s="216">
        <f ca="1">IF($D616&lt;&gt;"Serviço",0,IF(OR(AND(AUTOEVENTO="Manual",$M616=1),$M616&gt;(ROW(PLE.lastrow)-ROW(PLE.firstrow))),0,IF(OFFSET(PLE!$G$14,$M616,CK$13)="",10^12,OFFSET(PLE!$G$14,$M616,CK$13))))</f>
        <v>1000000000000</v>
      </c>
      <c r="CL616" s="216">
        <f ca="1">IF($D616&lt;&gt;"Serviço",0,IF(OR(AND(AUTOEVENTO="Manual",$M616=1),$M616&gt;(ROW(PLE.lastrow)-ROW(PLE.firstrow))),0,IF(OFFSET(PLE!$G$14,$M616,CL$13)="",10^12,OFFSET(PLE!$G$14,$M616,CL$13))))</f>
        <v>1000000000000</v>
      </c>
      <c r="CM616" s="216">
        <f ca="1">IF($D616&lt;&gt;"Serviço",0,IF(OR(AND(AUTOEVENTO="Manual",$M616=1),$M616&gt;(ROW(PLE.lastrow)-ROW(PLE.firstrow))),0,IF(OFFSET(PLE!$G$14,$M616,CM$13)="",10^12,OFFSET(PLE!$G$14,$M616,CM$13))))</f>
        <v>1000000000000</v>
      </c>
    </row>
    <row r="617" spans="1:91" ht="13.2" x14ac:dyDescent="0.25">
      <c r="A617" s="9">
        <f t="shared" ca="1" si="18"/>
        <v>0</v>
      </c>
      <c r="B617" s="9" t="str">
        <f ca="1">OFFSET(ORÇAMENTO!C$15,ROW(B617)-ROW(B$15),0)</f>
        <v>S</v>
      </c>
      <c r="C617" s="9" t="str">
        <f ca="1">OFFSET(ORÇAMENTO!L$15,ROW(C617)-ROW(C$15),0)</f>
        <v/>
      </c>
      <c r="D617" s="145" t="str">
        <f ca="1">OFFSET(ORÇAMENTO!N$15,ROW(D617)-ROW(D$15),0)</f>
        <v>Serviço</v>
      </c>
      <c r="E617" s="205" t="str">
        <f ca="1">OFFSET(ORÇAMENTO!O$15,ROW(E617)-ROW(E$15),0)</f>
        <v>-</v>
      </c>
      <c r="F617" s="206" t="str">
        <f ca="1">OFFSET(ORÇAMENTO!R$15,ROW(F617)-ROW(F$15),0)</f>
        <v>(abra o arquivo 'Referência 05-2024.xls)</v>
      </c>
      <c r="G617" s="207" t="str">
        <f ca="1">IF($D617&lt;&gt;"Serviço","",OFFSET(ORÇAMENTO!S$15,ROW(G617)-ROW(G$15),0))</f>
        <v>-</v>
      </c>
      <c r="H617" s="151">
        <f ca="1">IF($D617&lt;&gt;"Serviço",0,IF(ACOMPANHAMENTO="BM",ROUND(OFFSET(ORÇAMENTO!AJ$15,ROW(H617)-ROW(H$15),0),15-13*ORÇAMENTO!$AF$7),SUMPRODUCT(($Q$12:$AI$12&lt;&gt;"")*ROUND($Q617:$AI617,15-13*ORÇAMENTO!$AF$7))))</f>
        <v>18</v>
      </c>
      <c r="I617" s="650"/>
      <c r="K617" s="208"/>
      <c r="L617" s="209" t="s">
        <v>257</v>
      </c>
      <c r="M617" s="210">
        <f ca="1">IF($D617&lt;&gt;"Serviço","",IF(AUTOEVENTO="manual",$A617,IF(ISERROR(MATCH($A617,$A$15:OFFSET($A617,-1,0),0)),MAX($M$15:OFFSET(M617,-1,0))+1,INDEX($M$15:OFFSET(M617,-1,0),MATCH($A617,$A$15:OFFSET($A617,-1,0),0)))))</f>
        <v>0</v>
      </c>
      <c r="N617" s="211" t="str">
        <f ca="1">IF($D617&lt;&gt;"Serviço","",IF(AUTOEVENTO="Manual",IF($A617=0,"&lt;-- defina o número do agrupador",OFFSET(EVENTOS!$D$14,$A617,0)),OFFSET($F$15,$A617,0)))</f>
        <v>&lt;-- defina o número do agrupador</v>
      </c>
      <c r="O617" s="212"/>
      <c r="Q617" s="212"/>
      <c r="R617" s="213"/>
      <c r="S617" s="213"/>
      <c r="T617" s="213"/>
      <c r="U617" s="213"/>
      <c r="V617" s="213"/>
      <c r="W617" s="213"/>
      <c r="X617" s="213"/>
      <c r="Y617" s="213"/>
      <c r="Z617" s="214"/>
      <c r="AA617" s="213"/>
      <c r="AB617" s="213"/>
      <c r="AC617" s="213"/>
      <c r="AD617" s="213"/>
      <c r="AE617" s="213"/>
      <c r="AF617" s="213"/>
      <c r="AG617" s="213"/>
      <c r="AH617" s="214"/>
      <c r="AJ617" s="631">
        <f ca="1">IF(AND($D617="Serviço",AJ$12&lt;&gt;0,$H617&gt;0,OR(AUTOEVENTO&lt;&gt;"manual",$M617&lt;&gt;1)),ROUND(OFFSET($P617,0,AJ$13),15-13*ORÇAMENTO!$AF$7)/$H617*OFFSET(ORÇAMENTO!$X$15,ROW(AJ617)-ROW(AJ$15),0),0)</f>
        <v>0</v>
      </c>
      <c r="AK617" s="632">
        <f ca="1">IF(AND($D617="Serviço",AK$12&lt;&gt;0,$H617&gt;0,OR(AUTOEVENTO&lt;&gt;"manual",$M617&lt;&gt;1)),ROUND(OFFSET($P617,0,AK$13),15-13*ORÇAMENTO!$AF$7)/$H617*OFFSET(ORÇAMENTO!$X$15,ROW(AK617)-ROW(AK$15),0),0)</f>
        <v>0</v>
      </c>
      <c r="AL617" s="632">
        <f ca="1">IF(AND($D617="Serviço",AL$12&lt;&gt;0,$H617&gt;0,OR(AUTOEVENTO&lt;&gt;"manual",$M617&lt;&gt;1)),ROUND(OFFSET($P617,0,AL$13),15-13*ORÇAMENTO!$AF$7)/$H617*OFFSET(ORÇAMENTO!$X$15,ROW(AL617)-ROW(AL$15),0),0)</f>
        <v>0</v>
      </c>
      <c r="AM617" s="632">
        <f ca="1">IF(AND($D617="Serviço",AM$12&lt;&gt;0,$H617&gt;0,OR(AUTOEVENTO&lt;&gt;"manual",$M617&lt;&gt;1)),ROUND(OFFSET($P617,0,AM$13),15-13*ORÇAMENTO!$AF$7)/$H617*OFFSET(ORÇAMENTO!$X$15,ROW(AM617)-ROW(AM$15),0),0)</f>
        <v>0</v>
      </c>
      <c r="AN617" s="632">
        <f ca="1">IF(AND($D617="Serviço",AN$12&lt;&gt;0,$H617&gt;0,OR(AUTOEVENTO&lt;&gt;"manual",$M617&lt;&gt;1)),ROUND(OFFSET($P617,0,AN$13),15-13*ORÇAMENTO!$AF$7)/$H617*OFFSET(ORÇAMENTO!$X$15,ROW(AN617)-ROW(AN$15),0),0)</f>
        <v>0</v>
      </c>
      <c r="AO617" s="632">
        <f ca="1">IF(AND($D617="Serviço",AO$12&lt;&gt;0,$H617&gt;0,OR(AUTOEVENTO&lt;&gt;"manual",$M617&lt;&gt;1)),ROUND(OFFSET($P617,0,AO$13),15-13*ORÇAMENTO!$AF$7)/$H617*OFFSET(ORÇAMENTO!$X$15,ROW(AO617)-ROW(AO$15),0),0)</f>
        <v>0</v>
      </c>
      <c r="AP617" s="632">
        <f ca="1">IF(AND($D617="Serviço",AP$12&lt;&gt;0,$H617&gt;0,OR(AUTOEVENTO&lt;&gt;"manual",$M617&lt;&gt;1)),ROUND(OFFSET($P617,0,AP$13),15-13*ORÇAMENTO!$AF$7)/$H617*OFFSET(ORÇAMENTO!$X$15,ROW(AP617)-ROW(AP$15),0),0)</f>
        <v>0</v>
      </c>
      <c r="AQ617" s="632">
        <f ca="1">IF(AND($D617="Serviço",AQ$12&lt;&gt;0,$H617&gt;0,OR(AUTOEVENTO&lt;&gt;"manual",$M617&lt;&gt;1)),ROUND(OFFSET($P617,0,AQ$13),15-13*ORÇAMENTO!$AF$7)/$H617*OFFSET(ORÇAMENTO!$X$15,ROW(AQ617)-ROW(AQ$15),0),0)</f>
        <v>0</v>
      </c>
      <c r="AR617" s="632">
        <f ca="1">IF(AND($D617="Serviço",AR$12&lt;&gt;0,$H617&gt;0,OR(AUTOEVENTO&lt;&gt;"manual",$M617&lt;&gt;1)),ROUND(OFFSET($P617,0,AR$13),15-13*ORÇAMENTO!$AF$7)/$H617*OFFSET(ORÇAMENTO!$X$15,ROW(AR617)-ROW(AR$15),0),0)</f>
        <v>0</v>
      </c>
      <c r="AS617" s="633">
        <f ca="1">IF(AND($D617="Serviço",AS$12&lt;&gt;0,$H617&gt;0,OR(AUTOEVENTO&lt;&gt;"manual",$M617&lt;&gt;1)),ROUND(OFFSET($P617,0,AS$13),15-13*ORÇAMENTO!$AF$7)/$H617*OFFSET(ORÇAMENTO!$X$15,ROW(AS617)-ROW(AS$15),0),0)</f>
        <v>0</v>
      </c>
      <c r="AT617" s="632">
        <f ca="1">IF(AND($D617="Serviço",AT$12&lt;&gt;0,$H617&gt;0,OR(AUTOEVENTO&lt;&gt;"manual",$M617&lt;&gt;1)),ROUND(OFFSET($P617,0,AT$13),15-13*ORÇAMENTO!$AF$7)/$H617*OFFSET(ORÇAMENTO!$X$15,ROW(AT617)-ROW(AT$15),0),0)</f>
        <v>0</v>
      </c>
      <c r="AU617" s="632">
        <f ca="1">IF(AND($D617="Serviço",AU$12&lt;&gt;0,$H617&gt;0,OR(AUTOEVENTO&lt;&gt;"manual",$M617&lt;&gt;1)),ROUND(OFFSET($P617,0,AU$13),15-13*ORÇAMENTO!$AF$7)/$H617*OFFSET(ORÇAMENTO!$X$15,ROW(AU617)-ROW(AU$15),0),0)</f>
        <v>0</v>
      </c>
      <c r="AV617" s="632">
        <f ca="1">IF(AND($D617="Serviço",AV$12&lt;&gt;0,$H617&gt;0,OR(AUTOEVENTO&lt;&gt;"manual",$M617&lt;&gt;1)),ROUND(OFFSET($P617,0,AV$13),15-13*ORÇAMENTO!$AF$7)/$H617*OFFSET(ORÇAMENTO!$X$15,ROW(AV617)-ROW(AV$15),0),0)</f>
        <v>0</v>
      </c>
      <c r="AW617" s="632">
        <f ca="1">IF(AND($D617="Serviço",AW$12&lt;&gt;0,$H617&gt;0,OR(AUTOEVENTO&lt;&gt;"manual",$M617&lt;&gt;1)),ROUND(OFFSET($P617,0,AW$13),15-13*ORÇAMENTO!$AF$7)/$H617*OFFSET(ORÇAMENTO!$X$15,ROW(AW617)-ROW(AW$15),0),0)</f>
        <v>0</v>
      </c>
      <c r="AX617" s="632">
        <f ca="1">IF(AND($D617="Serviço",AX$12&lt;&gt;0,$H617&gt;0,OR(AUTOEVENTO&lt;&gt;"manual",$M617&lt;&gt;1)),ROUND(OFFSET($P617,0,AX$13),15-13*ORÇAMENTO!$AF$7)/$H617*OFFSET(ORÇAMENTO!$X$15,ROW(AX617)-ROW(AX$15),0),0)</f>
        <v>0</v>
      </c>
      <c r="AY617" s="632">
        <f ca="1">IF(AND($D617="Serviço",AY$12&lt;&gt;0,$H617&gt;0,OR(AUTOEVENTO&lt;&gt;"manual",$M617&lt;&gt;1)),ROUND(OFFSET($P617,0,AY$13),15-13*ORÇAMENTO!$AF$7)/$H617*OFFSET(ORÇAMENTO!$X$15,ROW(AY617)-ROW(AY$15),0),0)</f>
        <v>0</v>
      </c>
      <c r="AZ617" s="632">
        <f ca="1">IF(AND($D617="Serviço",AZ$12&lt;&gt;0,$H617&gt;0,OR(AUTOEVENTO&lt;&gt;"manual",$M617&lt;&gt;1)),ROUND(OFFSET($P617,0,AZ$13),15-13*ORÇAMENTO!$AF$7)/$H617*OFFSET(ORÇAMENTO!$X$15,ROW(AZ617)-ROW(AZ$15),0),0)</f>
        <v>0</v>
      </c>
      <c r="BA617" s="633">
        <f ca="1">IF(AND($D617="Serviço",BA$12&lt;&gt;0,$H617&gt;0,OR(AUTOEVENTO&lt;&gt;"manual",$M617&lt;&gt;1)),ROUND(OFFSET($P617,0,BA$13),15-13*ORÇAMENTO!$AF$7)/$H617*OFFSET(ORÇAMENTO!$X$15,ROW(BA617)-ROW(BA$15),0),0)</f>
        <v>0</v>
      </c>
      <c r="BC617" s="215">
        <f ca="1">IF($D617&lt;&gt;"Serviço",0,IF(AND(AUTOEVENTO="Manual",$M617=1),0,IF(OFFSET(CRONOPLE!$F$14,$M617,BC$13)="",10^12,OFFSET(CRONOPLE!$F$14,$M617,BC$13))))</f>
        <v>1000000000000</v>
      </c>
      <c r="BD617" s="215">
        <f ca="1">IF($D617&lt;&gt;"Serviço",0,IF(AND(AUTOEVENTO="Manual",$M617=1),0,IF(OFFSET(CRONOPLE!$F$14,$M617,BD$13)="",10^12,OFFSET(CRONOPLE!$F$14,$M617,BD$13))))</f>
        <v>1000000000000</v>
      </c>
      <c r="BE617" s="215">
        <f ca="1">IF($D617&lt;&gt;"Serviço",0,IF(AND(AUTOEVENTO="Manual",$M617=1),0,IF(OFFSET(CRONOPLE!$F$14,$M617,BE$13)="",10^12,OFFSET(CRONOPLE!$F$14,$M617,BE$13))))</f>
        <v>1000000000000</v>
      </c>
      <c r="BF617" s="215">
        <f ca="1">IF($D617&lt;&gt;"Serviço",0,IF(AND(AUTOEVENTO="Manual",$M617=1),0,IF(OFFSET(CRONOPLE!$F$14,$M617,BF$13)="",10^12,OFFSET(CRONOPLE!$F$14,$M617,BF$13))))</f>
        <v>1000000000000</v>
      </c>
      <c r="BG617" s="215">
        <f ca="1">IF($D617&lt;&gt;"Serviço",0,IF(AND(AUTOEVENTO="Manual",$M617=1),0,IF(OFFSET(CRONOPLE!$F$14,$M617,BG$13)="",10^12,OFFSET(CRONOPLE!$F$14,$M617,BG$13))))</f>
        <v>1000000000000</v>
      </c>
      <c r="BH617" s="215">
        <f ca="1">IF($D617&lt;&gt;"Serviço",0,IF(AND(AUTOEVENTO="Manual",$M617=1),0,IF(OFFSET(CRONOPLE!$F$14,$M617,BH$13)="",10^12,OFFSET(CRONOPLE!$F$14,$M617,BH$13))))</f>
        <v>1000000000000</v>
      </c>
      <c r="BI617" s="215">
        <f ca="1">IF($D617&lt;&gt;"Serviço",0,IF(AND(AUTOEVENTO="Manual",$M617=1),0,IF(OFFSET(CRONOPLE!$F$14,$M617,BI$13)="",10^12,OFFSET(CRONOPLE!$F$14,$M617,BI$13))))</f>
        <v>1000000000000</v>
      </c>
      <c r="BJ617" s="215">
        <f ca="1">IF($D617&lt;&gt;"Serviço",0,IF(AND(AUTOEVENTO="Manual",$M617=1),0,IF(OFFSET(CRONOPLE!$F$14,$M617,BJ$13)="",10^12,OFFSET(CRONOPLE!$F$14,$M617,BJ$13))))</f>
        <v>1000000000000</v>
      </c>
      <c r="BK617" s="215">
        <f ca="1">IF($D617&lt;&gt;"Serviço",0,IF(AND(AUTOEVENTO="Manual",$M617=1),0,IF(OFFSET(CRONOPLE!$F$14,$M617,BK$13)="",10^12,OFFSET(CRONOPLE!$F$14,$M617,BK$13))))</f>
        <v>1000000000000</v>
      </c>
      <c r="BL617" s="215">
        <f ca="1">IF($D617&lt;&gt;"Serviço",0,IF(AND(AUTOEVENTO="Manual",$M617=1),0,IF(OFFSET(CRONOPLE!$F$14,$M617,BL$13)="",10^12,OFFSET(CRONOPLE!$F$14,$M617,BL$13))))</f>
        <v>1000000000000</v>
      </c>
      <c r="BM617" s="215">
        <f ca="1">IF($D617&lt;&gt;"Serviço",0,IF(AND(AUTOEVENTO="Manual",$M617=1),0,IF(OFFSET(CRONOPLE!$F$14,$M617,BM$13)="",10^12,OFFSET(CRONOPLE!$F$14,$M617,BM$13))))</f>
        <v>1000000000000</v>
      </c>
      <c r="BN617" s="215">
        <f ca="1">IF($D617&lt;&gt;"Serviço",0,IF(AND(AUTOEVENTO="Manual",$M617=1),0,IF(OFFSET(CRONOPLE!$F$14,$M617,BN$13)="",10^12,OFFSET(CRONOPLE!$F$14,$M617,BN$13))))</f>
        <v>1000000000000</v>
      </c>
      <c r="BO617" s="215">
        <f ca="1">IF($D617&lt;&gt;"Serviço",0,IF(AND(AUTOEVENTO="Manual",$M617=1),0,IF(OFFSET(CRONOPLE!$F$14,$M617,BO$13)="",10^12,OFFSET(CRONOPLE!$F$14,$M617,BO$13))))</f>
        <v>1000000000000</v>
      </c>
      <c r="BP617" s="215">
        <f ca="1">IF($D617&lt;&gt;"Serviço",0,IF(AND(AUTOEVENTO="Manual",$M617=1),0,IF(OFFSET(CRONOPLE!$F$14,$M617,BP$13)="",10^12,OFFSET(CRONOPLE!$F$14,$M617,BP$13))))</f>
        <v>1000000000000</v>
      </c>
      <c r="BQ617" s="215">
        <f ca="1">IF($D617&lt;&gt;"Serviço",0,IF(AND(AUTOEVENTO="Manual",$M617=1),0,IF(OFFSET(CRONOPLE!$F$14,$M617,BQ$13)="",10^12,OFFSET(CRONOPLE!$F$14,$M617,BQ$13))))</f>
        <v>1000000000000</v>
      </c>
      <c r="BR617" s="215">
        <f ca="1">IF($D617&lt;&gt;"Serviço",0,IF(AND(AUTOEVENTO="Manual",$M617=1),0,IF(OFFSET(CRONOPLE!$F$14,$M617,BR$13)="",10^12,OFFSET(CRONOPLE!$F$14,$M617,BR$13))))</f>
        <v>1000000000000</v>
      </c>
      <c r="BS617" s="215">
        <f ca="1">IF($D617&lt;&gt;"Serviço",0,IF(AND(AUTOEVENTO="Manual",$M617=1),0,IF(OFFSET(CRONOPLE!$F$14,$M617,BS$13)="",10^12,OFFSET(CRONOPLE!$F$14,$M617,BS$13))))</f>
        <v>1000000000000</v>
      </c>
      <c r="BT617" s="215">
        <f ca="1">IF($D617&lt;&gt;"Serviço",0,IF(AND(AUTOEVENTO="Manual",$M617=1),0,IF(OFFSET(CRONOPLE!$F$14,$M617,BT$13)="",10^12,OFFSET(CRONOPLE!$F$14,$M617,BT$13))))</f>
        <v>1000000000000</v>
      </c>
      <c r="BV617" s="216">
        <f ca="1">IF($D617&lt;&gt;"Serviço",0,IF(OR(AND(AUTOEVENTO="Manual",$M617=1),$M617&gt;(ROW(PLE.lastrow)-ROW(PLE.firstrow))),0,IF(OFFSET(PLE!$G$14,$M617,BV$13)="",10^12,OFFSET(PLE!$G$14,$M617,BV$13))))</f>
        <v>1000000000000</v>
      </c>
      <c r="BW617" s="216">
        <f ca="1">IF($D617&lt;&gt;"Serviço",0,IF(OR(AND(AUTOEVENTO="Manual",$M617=1),$M617&gt;(ROW(PLE.lastrow)-ROW(PLE.firstrow))),0,IF(OFFSET(PLE!$G$14,$M617,BW$13)="",10^12,OFFSET(PLE!$G$14,$M617,BW$13))))</f>
        <v>1000000000000</v>
      </c>
      <c r="BX617" s="216">
        <f ca="1">IF($D617&lt;&gt;"Serviço",0,IF(OR(AND(AUTOEVENTO="Manual",$M617=1),$M617&gt;(ROW(PLE.lastrow)-ROW(PLE.firstrow))),0,IF(OFFSET(PLE!$G$14,$M617,BX$13)="",10^12,OFFSET(PLE!$G$14,$M617,BX$13))))</f>
        <v>1000000000000</v>
      </c>
      <c r="BY617" s="216">
        <f ca="1">IF($D617&lt;&gt;"Serviço",0,IF(OR(AND(AUTOEVENTO="Manual",$M617=1),$M617&gt;(ROW(PLE.lastrow)-ROW(PLE.firstrow))),0,IF(OFFSET(PLE!$G$14,$M617,BY$13)="",10^12,OFFSET(PLE!$G$14,$M617,BY$13))))</f>
        <v>1000000000000</v>
      </c>
      <c r="BZ617" s="216">
        <f ca="1">IF($D617&lt;&gt;"Serviço",0,IF(OR(AND(AUTOEVENTO="Manual",$M617=1),$M617&gt;(ROW(PLE.lastrow)-ROW(PLE.firstrow))),0,IF(OFFSET(PLE!$G$14,$M617,BZ$13)="",10^12,OFFSET(PLE!$G$14,$M617,BZ$13))))</f>
        <v>1000000000000</v>
      </c>
      <c r="CA617" s="216">
        <f ca="1">IF($D617&lt;&gt;"Serviço",0,IF(OR(AND(AUTOEVENTO="Manual",$M617=1),$M617&gt;(ROW(PLE.lastrow)-ROW(PLE.firstrow))),0,IF(OFFSET(PLE!$G$14,$M617,CA$13)="",10^12,OFFSET(PLE!$G$14,$M617,CA$13))))</f>
        <v>1000000000000</v>
      </c>
      <c r="CB617" s="216">
        <f ca="1">IF($D617&lt;&gt;"Serviço",0,IF(OR(AND(AUTOEVENTO="Manual",$M617=1),$M617&gt;(ROW(PLE.lastrow)-ROW(PLE.firstrow))),0,IF(OFFSET(PLE!$G$14,$M617,CB$13)="",10^12,OFFSET(PLE!$G$14,$M617,CB$13))))</f>
        <v>1000000000000</v>
      </c>
      <c r="CC617" s="216">
        <f ca="1">IF($D617&lt;&gt;"Serviço",0,IF(OR(AND(AUTOEVENTO="Manual",$M617=1),$M617&gt;(ROW(PLE.lastrow)-ROW(PLE.firstrow))),0,IF(OFFSET(PLE!$G$14,$M617,CC$13)="",10^12,OFFSET(PLE!$G$14,$M617,CC$13))))</f>
        <v>1000000000000</v>
      </c>
      <c r="CD617" s="216">
        <f ca="1">IF($D617&lt;&gt;"Serviço",0,IF(OR(AND(AUTOEVENTO="Manual",$M617=1),$M617&gt;(ROW(PLE.lastrow)-ROW(PLE.firstrow))),0,IF(OFFSET(PLE!$G$14,$M617,CD$13)="",10^12,OFFSET(PLE!$G$14,$M617,CD$13))))</f>
        <v>1000000000000</v>
      </c>
      <c r="CE617" s="216">
        <f ca="1">IF($D617&lt;&gt;"Serviço",0,IF(OR(AND(AUTOEVENTO="Manual",$M617=1),$M617&gt;(ROW(PLE.lastrow)-ROW(PLE.firstrow))),0,IF(OFFSET(PLE!$G$14,$M617,CE$13)="",10^12,OFFSET(PLE!$G$14,$M617,CE$13))))</f>
        <v>1000000000000</v>
      </c>
      <c r="CF617" s="216">
        <f ca="1">IF($D617&lt;&gt;"Serviço",0,IF(OR(AND(AUTOEVENTO="Manual",$M617=1),$M617&gt;(ROW(PLE.lastrow)-ROW(PLE.firstrow))),0,IF(OFFSET(PLE!$G$14,$M617,CF$13)="",10^12,OFFSET(PLE!$G$14,$M617,CF$13))))</f>
        <v>1000000000000</v>
      </c>
      <c r="CG617" s="216">
        <f ca="1">IF($D617&lt;&gt;"Serviço",0,IF(OR(AND(AUTOEVENTO="Manual",$M617=1),$M617&gt;(ROW(PLE.lastrow)-ROW(PLE.firstrow))),0,IF(OFFSET(PLE!$G$14,$M617,CG$13)="",10^12,OFFSET(PLE!$G$14,$M617,CG$13))))</f>
        <v>1000000000000</v>
      </c>
      <c r="CH617" s="216">
        <f ca="1">IF($D617&lt;&gt;"Serviço",0,IF(OR(AND(AUTOEVENTO="Manual",$M617=1),$M617&gt;(ROW(PLE.lastrow)-ROW(PLE.firstrow))),0,IF(OFFSET(PLE!$G$14,$M617,CH$13)="",10^12,OFFSET(PLE!$G$14,$M617,CH$13))))</f>
        <v>1000000000000</v>
      </c>
      <c r="CI617" s="216">
        <f ca="1">IF($D617&lt;&gt;"Serviço",0,IF(OR(AND(AUTOEVENTO="Manual",$M617=1),$M617&gt;(ROW(PLE.lastrow)-ROW(PLE.firstrow))),0,IF(OFFSET(PLE!$G$14,$M617,CI$13)="",10^12,OFFSET(PLE!$G$14,$M617,CI$13))))</f>
        <v>1000000000000</v>
      </c>
      <c r="CJ617" s="216">
        <f ca="1">IF($D617&lt;&gt;"Serviço",0,IF(OR(AND(AUTOEVENTO="Manual",$M617=1),$M617&gt;(ROW(PLE.lastrow)-ROW(PLE.firstrow))),0,IF(OFFSET(PLE!$G$14,$M617,CJ$13)="",10^12,OFFSET(PLE!$G$14,$M617,CJ$13))))</f>
        <v>1000000000000</v>
      </c>
      <c r="CK617" s="216">
        <f ca="1">IF($D617&lt;&gt;"Serviço",0,IF(OR(AND(AUTOEVENTO="Manual",$M617=1),$M617&gt;(ROW(PLE.lastrow)-ROW(PLE.firstrow))),0,IF(OFFSET(PLE!$G$14,$M617,CK$13)="",10^12,OFFSET(PLE!$G$14,$M617,CK$13))))</f>
        <v>1000000000000</v>
      </c>
      <c r="CL617" s="216">
        <f ca="1">IF($D617&lt;&gt;"Serviço",0,IF(OR(AND(AUTOEVENTO="Manual",$M617=1),$M617&gt;(ROW(PLE.lastrow)-ROW(PLE.firstrow))),0,IF(OFFSET(PLE!$G$14,$M617,CL$13)="",10^12,OFFSET(PLE!$G$14,$M617,CL$13))))</f>
        <v>1000000000000</v>
      </c>
      <c r="CM617" s="216">
        <f ca="1">IF($D617&lt;&gt;"Serviço",0,IF(OR(AND(AUTOEVENTO="Manual",$M617=1),$M617&gt;(ROW(PLE.lastrow)-ROW(PLE.firstrow))),0,IF(OFFSET(PLE!$G$14,$M617,CM$13)="",10^12,OFFSET(PLE!$G$14,$M617,CM$13))))</f>
        <v>1000000000000</v>
      </c>
    </row>
    <row r="618" spans="1:91" ht="13.2" x14ac:dyDescent="0.25">
      <c r="A618" s="9">
        <f t="shared" ref="A618:A649" ca="1" si="19">IF(AUTOEVENTO="Manual",IF(K618&lt;&gt;"",MIN(VALUE(LEFT(K618,FIND(".",K618)-1)),COUNTA(EVENTOS.Lista)),0),IF(OR($B618&gt;AUTOEVENTO,$B618="S",$B618=0),SUBSTITUTE(OFFSET($A618,-1,0),IF($D618="Serviço",".",""),""),ROW(A618)-ROW($A$15)&amp;"."))</f>
        <v>0</v>
      </c>
      <c r="B618" s="9">
        <f ca="1">OFFSET(ORÇAMENTO!C$15,ROW(B618)-ROW(B$15),0)</f>
        <v>2</v>
      </c>
      <c r="C618" s="9" t="str">
        <f ca="1">OFFSET(ORÇAMENTO!L$15,ROW(C618)-ROW(C$15),0)</f>
        <v>F</v>
      </c>
      <c r="D618" s="145" t="str">
        <f ca="1">OFFSET(ORÇAMENTO!N$15,ROW(D618)-ROW(D$15),0)</f>
        <v>Nível 2</v>
      </c>
      <c r="E618" s="205" t="str">
        <f ca="1">OFFSET(ORÇAMENTO!O$15,ROW(E618)-ROW(E$15),0)</f>
        <v>1.19.</v>
      </c>
      <c r="F618" s="206" t="str">
        <f ca="1">OFFSET(ORÇAMENTO!R$15,ROW(F618)-ROW(F$15),0)</f>
        <v>INSTALAÇÕES DE CLIMATIZAÇÃO</v>
      </c>
      <c r="G618" s="207" t="str">
        <f ca="1">IF($D618&lt;&gt;"Serviço","",OFFSET(ORÇAMENTO!S$15,ROW(G618)-ROW(G$15),0))</f>
        <v/>
      </c>
      <c r="H618" s="151">
        <f ca="1">IF($D618&lt;&gt;"Serviço",0,IF(ACOMPANHAMENTO="BM",ROUND(OFFSET(ORÇAMENTO!AJ$15,ROW(H618)-ROW(H$15),0),15-13*ORÇAMENTO!$AF$7),SUMPRODUCT(($Q$12:$AI$12&lt;&gt;"")*ROUND($Q618:$AI618,15-13*ORÇAMENTO!$AF$7))))</f>
        <v>0</v>
      </c>
      <c r="I618" s="650"/>
      <c r="K618" s="208"/>
      <c r="L618" s="209" t="s">
        <v>257</v>
      </c>
      <c r="M618" s="210" t="str">
        <f ca="1">IF($D618&lt;&gt;"Serviço","",IF(AUTOEVENTO="manual",$A618,IF(ISERROR(MATCH($A618,$A$15:OFFSET($A618,-1,0),0)),MAX($M$15:OFFSET(M618,-1,0))+1,INDEX($M$15:OFFSET(M618,-1,0),MATCH($A618,$A$15:OFFSET($A618,-1,0),0)))))</f>
        <v/>
      </c>
      <c r="N618" s="211" t="str">
        <f ca="1">IF($D618&lt;&gt;"Serviço","",IF(AUTOEVENTO="Manual",IF($A618=0,"&lt;-- defina o número do agrupador",OFFSET(EVENTOS!$D$14,$A618,0)),OFFSET($F$15,$A618,0)))</f>
        <v/>
      </c>
      <c r="O618" s="212"/>
      <c r="Q618" s="212"/>
      <c r="R618" s="213"/>
      <c r="S618" s="213"/>
      <c r="T618" s="213"/>
      <c r="U618" s="213"/>
      <c r="V618" s="213"/>
      <c r="W618" s="213"/>
      <c r="X618" s="213"/>
      <c r="Y618" s="213"/>
      <c r="Z618" s="214"/>
      <c r="AA618" s="213"/>
      <c r="AB618" s="213"/>
      <c r="AC618" s="213"/>
      <c r="AD618" s="213"/>
      <c r="AE618" s="213"/>
      <c r="AF618" s="213"/>
      <c r="AG618" s="213"/>
      <c r="AH618" s="214"/>
      <c r="AJ618" s="631">
        <f ca="1">IF(AND($D618="Serviço",AJ$12&lt;&gt;0,$H618&gt;0,OR(AUTOEVENTO&lt;&gt;"manual",$M618&lt;&gt;1)),ROUND(OFFSET($P618,0,AJ$13),15-13*ORÇAMENTO!$AF$7)/$H618*OFFSET(ORÇAMENTO!$X$15,ROW(AJ618)-ROW(AJ$15),0),0)</f>
        <v>0</v>
      </c>
      <c r="AK618" s="632">
        <f ca="1">IF(AND($D618="Serviço",AK$12&lt;&gt;0,$H618&gt;0,OR(AUTOEVENTO&lt;&gt;"manual",$M618&lt;&gt;1)),ROUND(OFFSET($P618,0,AK$13),15-13*ORÇAMENTO!$AF$7)/$H618*OFFSET(ORÇAMENTO!$X$15,ROW(AK618)-ROW(AK$15),0),0)</f>
        <v>0</v>
      </c>
      <c r="AL618" s="632">
        <f ca="1">IF(AND($D618="Serviço",AL$12&lt;&gt;0,$H618&gt;0,OR(AUTOEVENTO&lt;&gt;"manual",$M618&lt;&gt;1)),ROUND(OFFSET($P618,0,AL$13),15-13*ORÇAMENTO!$AF$7)/$H618*OFFSET(ORÇAMENTO!$X$15,ROW(AL618)-ROW(AL$15),0),0)</f>
        <v>0</v>
      </c>
      <c r="AM618" s="632">
        <f ca="1">IF(AND($D618="Serviço",AM$12&lt;&gt;0,$H618&gt;0,OR(AUTOEVENTO&lt;&gt;"manual",$M618&lt;&gt;1)),ROUND(OFFSET($P618,0,AM$13),15-13*ORÇAMENTO!$AF$7)/$H618*OFFSET(ORÇAMENTO!$X$15,ROW(AM618)-ROW(AM$15),0),0)</f>
        <v>0</v>
      </c>
      <c r="AN618" s="632">
        <f ca="1">IF(AND($D618="Serviço",AN$12&lt;&gt;0,$H618&gt;0,OR(AUTOEVENTO&lt;&gt;"manual",$M618&lt;&gt;1)),ROUND(OFFSET($P618,0,AN$13),15-13*ORÇAMENTO!$AF$7)/$H618*OFFSET(ORÇAMENTO!$X$15,ROW(AN618)-ROW(AN$15),0),0)</f>
        <v>0</v>
      </c>
      <c r="AO618" s="632">
        <f ca="1">IF(AND($D618="Serviço",AO$12&lt;&gt;0,$H618&gt;0,OR(AUTOEVENTO&lt;&gt;"manual",$M618&lt;&gt;1)),ROUND(OFFSET($P618,0,AO$13),15-13*ORÇAMENTO!$AF$7)/$H618*OFFSET(ORÇAMENTO!$X$15,ROW(AO618)-ROW(AO$15),0),0)</f>
        <v>0</v>
      </c>
      <c r="AP618" s="632">
        <f ca="1">IF(AND($D618="Serviço",AP$12&lt;&gt;0,$H618&gt;0,OR(AUTOEVENTO&lt;&gt;"manual",$M618&lt;&gt;1)),ROUND(OFFSET($P618,0,AP$13),15-13*ORÇAMENTO!$AF$7)/$H618*OFFSET(ORÇAMENTO!$X$15,ROW(AP618)-ROW(AP$15),0),0)</f>
        <v>0</v>
      </c>
      <c r="AQ618" s="632">
        <f ca="1">IF(AND($D618="Serviço",AQ$12&lt;&gt;0,$H618&gt;0,OR(AUTOEVENTO&lt;&gt;"manual",$M618&lt;&gt;1)),ROUND(OFFSET($P618,0,AQ$13),15-13*ORÇAMENTO!$AF$7)/$H618*OFFSET(ORÇAMENTO!$X$15,ROW(AQ618)-ROW(AQ$15),0),0)</f>
        <v>0</v>
      </c>
      <c r="AR618" s="632">
        <f ca="1">IF(AND($D618="Serviço",AR$12&lt;&gt;0,$H618&gt;0,OR(AUTOEVENTO&lt;&gt;"manual",$M618&lt;&gt;1)),ROUND(OFFSET($P618,0,AR$13),15-13*ORÇAMENTO!$AF$7)/$H618*OFFSET(ORÇAMENTO!$X$15,ROW(AR618)-ROW(AR$15),0),0)</f>
        <v>0</v>
      </c>
      <c r="AS618" s="633">
        <f ca="1">IF(AND($D618="Serviço",AS$12&lt;&gt;0,$H618&gt;0,OR(AUTOEVENTO&lt;&gt;"manual",$M618&lt;&gt;1)),ROUND(OFFSET($P618,0,AS$13),15-13*ORÇAMENTO!$AF$7)/$H618*OFFSET(ORÇAMENTO!$X$15,ROW(AS618)-ROW(AS$15),0),0)</f>
        <v>0</v>
      </c>
      <c r="AT618" s="632">
        <f ca="1">IF(AND($D618="Serviço",AT$12&lt;&gt;0,$H618&gt;0,OR(AUTOEVENTO&lt;&gt;"manual",$M618&lt;&gt;1)),ROUND(OFFSET($P618,0,AT$13),15-13*ORÇAMENTO!$AF$7)/$H618*OFFSET(ORÇAMENTO!$X$15,ROW(AT618)-ROW(AT$15),0),0)</f>
        <v>0</v>
      </c>
      <c r="AU618" s="632">
        <f ca="1">IF(AND($D618="Serviço",AU$12&lt;&gt;0,$H618&gt;0,OR(AUTOEVENTO&lt;&gt;"manual",$M618&lt;&gt;1)),ROUND(OFFSET($P618,0,AU$13),15-13*ORÇAMENTO!$AF$7)/$H618*OFFSET(ORÇAMENTO!$X$15,ROW(AU618)-ROW(AU$15),0),0)</f>
        <v>0</v>
      </c>
      <c r="AV618" s="632">
        <f ca="1">IF(AND($D618="Serviço",AV$12&lt;&gt;0,$H618&gt;0,OR(AUTOEVENTO&lt;&gt;"manual",$M618&lt;&gt;1)),ROUND(OFFSET($P618,0,AV$13),15-13*ORÇAMENTO!$AF$7)/$H618*OFFSET(ORÇAMENTO!$X$15,ROW(AV618)-ROW(AV$15),0),0)</f>
        <v>0</v>
      </c>
      <c r="AW618" s="632">
        <f ca="1">IF(AND($D618="Serviço",AW$12&lt;&gt;0,$H618&gt;0,OR(AUTOEVENTO&lt;&gt;"manual",$M618&lt;&gt;1)),ROUND(OFFSET($P618,0,AW$13),15-13*ORÇAMENTO!$AF$7)/$H618*OFFSET(ORÇAMENTO!$X$15,ROW(AW618)-ROW(AW$15),0),0)</f>
        <v>0</v>
      </c>
      <c r="AX618" s="632">
        <f ca="1">IF(AND($D618="Serviço",AX$12&lt;&gt;0,$H618&gt;0,OR(AUTOEVENTO&lt;&gt;"manual",$M618&lt;&gt;1)),ROUND(OFFSET($P618,0,AX$13),15-13*ORÇAMENTO!$AF$7)/$H618*OFFSET(ORÇAMENTO!$X$15,ROW(AX618)-ROW(AX$15),0),0)</f>
        <v>0</v>
      </c>
      <c r="AY618" s="632">
        <f ca="1">IF(AND($D618="Serviço",AY$12&lt;&gt;0,$H618&gt;0,OR(AUTOEVENTO&lt;&gt;"manual",$M618&lt;&gt;1)),ROUND(OFFSET($P618,0,AY$13),15-13*ORÇAMENTO!$AF$7)/$H618*OFFSET(ORÇAMENTO!$X$15,ROW(AY618)-ROW(AY$15),0),0)</f>
        <v>0</v>
      </c>
      <c r="AZ618" s="632">
        <f ca="1">IF(AND($D618="Serviço",AZ$12&lt;&gt;0,$H618&gt;0,OR(AUTOEVENTO&lt;&gt;"manual",$M618&lt;&gt;1)),ROUND(OFFSET($P618,0,AZ$13),15-13*ORÇAMENTO!$AF$7)/$H618*OFFSET(ORÇAMENTO!$X$15,ROW(AZ618)-ROW(AZ$15),0),0)</f>
        <v>0</v>
      </c>
      <c r="BA618" s="633">
        <f ca="1">IF(AND($D618="Serviço",BA$12&lt;&gt;0,$H618&gt;0,OR(AUTOEVENTO&lt;&gt;"manual",$M618&lt;&gt;1)),ROUND(OFFSET($P618,0,BA$13),15-13*ORÇAMENTO!$AF$7)/$H618*OFFSET(ORÇAMENTO!$X$15,ROW(BA618)-ROW(BA$15),0),0)</f>
        <v>0</v>
      </c>
      <c r="BC618" s="215">
        <f ca="1">IF($D618&lt;&gt;"Serviço",0,IF(AND(AUTOEVENTO="Manual",$M618=1),0,IF(OFFSET(CRONOPLE!$F$14,$M618,BC$13)="",10^12,OFFSET(CRONOPLE!$F$14,$M618,BC$13))))</f>
        <v>0</v>
      </c>
      <c r="BD618" s="215">
        <f ca="1">IF($D618&lt;&gt;"Serviço",0,IF(AND(AUTOEVENTO="Manual",$M618=1),0,IF(OFFSET(CRONOPLE!$F$14,$M618,BD$13)="",10^12,OFFSET(CRONOPLE!$F$14,$M618,BD$13))))</f>
        <v>0</v>
      </c>
      <c r="BE618" s="215">
        <f ca="1">IF($D618&lt;&gt;"Serviço",0,IF(AND(AUTOEVENTO="Manual",$M618=1),0,IF(OFFSET(CRONOPLE!$F$14,$M618,BE$13)="",10^12,OFFSET(CRONOPLE!$F$14,$M618,BE$13))))</f>
        <v>0</v>
      </c>
      <c r="BF618" s="215">
        <f ca="1">IF($D618&lt;&gt;"Serviço",0,IF(AND(AUTOEVENTO="Manual",$M618=1),0,IF(OFFSET(CRONOPLE!$F$14,$M618,BF$13)="",10^12,OFFSET(CRONOPLE!$F$14,$M618,BF$13))))</f>
        <v>0</v>
      </c>
      <c r="BG618" s="215">
        <f ca="1">IF($D618&lt;&gt;"Serviço",0,IF(AND(AUTOEVENTO="Manual",$M618=1),0,IF(OFFSET(CRONOPLE!$F$14,$M618,BG$13)="",10^12,OFFSET(CRONOPLE!$F$14,$M618,BG$13))))</f>
        <v>0</v>
      </c>
      <c r="BH618" s="215">
        <f ca="1">IF($D618&lt;&gt;"Serviço",0,IF(AND(AUTOEVENTO="Manual",$M618=1),0,IF(OFFSET(CRONOPLE!$F$14,$M618,BH$13)="",10^12,OFFSET(CRONOPLE!$F$14,$M618,BH$13))))</f>
        <v>0</v>
      </c>
      <c r="BI618" s="215">
        <f ca="1">IF($D618&lt;&gt;"Serviço",0,IF(AND(AUTOEVENTO="Manual",$M618=1),0,IF(OFFSET(CRONOPLE!$F$14,$M618,BI$13)="",10^12,OFFSET(CRONOPLE!$F$14,$M618,BI$13))))</f>
        <v>0</v>
      </c>
      <c r="BJ618" s="215">
        <f ca="1">IF($D618&lt;&gt;"Serviço",0,IF(AND(AUTOEVENTO="Manual",$M618=1),0,IF(OFFSET(CRONOPLE!$F$14,$M618,BJ$13)="",10^12,OFFSET(CRONOPLE!$F$14,$M618,BJ$13))))</f>
        <v>0</v>
      </c>
      <c r="BK618" s="215">
        <f ca="1">IF($D618&lt;&gt;"Serviço",0,IF(AND(AUTOEVENTO="Manual",$M618=1),0,IF(OFFSET(CRONOPLE!$F$14,$M618,BK$13)="",10^12,OFFSET(CRONOPLE!$F$14,$M618,BK$13))))</f>
        <v>0</v>
      </c>
      <c r="BL618" s="215">
        <f ca="1">IF($D618&lt;&gt;"Serviço",0,IF(AND(AUTOEVENTO="Manual",$M618=1),0,IF(OFFSET(CRONOPLE!$F$14,$M618,BL$13)="",10^12,OFFSET(CRONOPLE!$F$14,$M618,BL$13))))</f>
        <v>0</v>
      </c>
      <c r="BM618" s="215">
        <f ca="1">IF($D618&lt;&gt;"Serviço",0,IF(AND(AUTOEVENTO="Manual",$M618=1),0,IF(OFFSET(CRONOPLE!$F$14,$M618,BM$13)="",10^12,OFFSET(CRONOPLE!$F$14,$M618,BM$13))))</f>
        <v>0</v>
      </c>
      <c r="BN618" s="215">
        <f ca="1">IF($D618&lt;&gt;"Serviço",0,IF(AND(AUTOEVENTO="Manual",$M618=1),0,IF(OFFSET(CRONOPLE!$F$14,$M618,BN$13)="",10^12,OFFSET(CRONOPLE!$F$14,$M618,BN$13))))</f>
        <v>0</v>
      </c>
      <c r="BO618" s="215">
        <f ca="1">IF($D618&lt;&gt;"Serviço",0,IF(AND(AUTOEVENTO="Manual",$M618=1),0,IF(OFFSET(CRONOPLE!$F$14,$M618,BO$13)="",10^12,OFFSET(CRONOPLE!$F$14,$M618,BO$13))))</f>
        <v>0</v>
      </c>
      <c r="BP618" s="215">
        <f ca="1">IF($D618&lt;&gt;"Serviço",0,IF(AND(AUTOEVENTO="Manual",$M618=1),0,IF(OFFSET(CRONOPLE!$F$14,$M618,BP$13)="",10^12,OFFSET(CRONOPLE!$F$14,$M618,BP$13))))</f>
        <v>0</v>
      </c>
      <c r="BQ618" s="215">
        <f ca="1">IF($D618&lt;&gt;"Serviço",0,IF(AND(AUTOEVENTO="Manual",$M618=1),0,IF(OFFSET(CRONOPLE!$F$14,$M618,BQ$13)="",10^12,OFFSET(CRONOPLE!$F$14,$M618,BQ$13))))</f>
        <v>0</v>
      </c>
      <c r="BR618" s="215">
        <f ca="1">IF($D618&lt;&gt;"Serviço",0,IF(AND(AUTOEVENTO="Manual",$M618=1),0,IF(OFFSET(CRONOPLE!$F$14,$M618,BR$13)="",10^12,OFFSET(CRONOPLE!$F$14,$M618,BR$13))))</f>
        <v>0</v>
      </c>
      <c r="BS618" s="215">
        <f ca="1">IF($D618&lt;&gt;"Serviço",0,IF(AND(AUTOEVENTO="Manual",$M618=1),0,IF(OFFSET(CRONOPLE!$F$14,$M618,BS$13)="",10^12,OFFSET(CRONOPLE!$F$14,$M618,BS$13))))</f>
        <v>0</v>
      </c>
      <c r="BT618" s="215">
        <f ca="1">IF($D618&lt;&gt;"Serviço",0,IF(AND(AUTOEVENTO="Manual",$M618=1),0,IF(OFFSET(CRONOPLE!$F$14,$M618,BT$13)="",10^12,OFFSET(CRONOPLE!$F$14,$M618,BT$13))))</f>
        <v>0</v>
      </c>
      <c r="BV618" s="216">
        <f ca="1">IF($D618&lt;&gt;"Serviço",0,IF(OR(AND(AUTOEVENTO="Manual",$M618=1),$M618&gt;(ROW(PLE.lastrow)-ROW(PLE.firstrow))),0,IF(OFFSET(PLE!$G$14,$M618,BV$13)="",10^12,OFFSET(PLE!$G$14,$M618,BV$13))))</f>
        <v>0</v>
      </c>
      <c r="BW618" s="216">
        <f ca="1">IF($D618&lt;&gt;"Serviço",0,IF(OR(AND(AUTOEVENTO="Manual",$M618=1),$M618&gt;(ROW(PLE.lastrow)-ROW(PLE.firstrow))),0,IF(OFFSET(PLE!$G$14,$M618,BW$13)="",10^12,OFFSET(PLE!$G$14,$M618,BW$13))))</f>
        <v>0</v>
      </c>
      <c r="BX618" s="216">
        <f ca="1">IF($D618&lt;&gt;"Serviço",0,IF(OR(AND(AUTOEVENTO="Manual",$M618=1),$M618&gt;(ROW(PLE.lastrow)-ROW(PLE.firstrow))),0,IF(OFFSET(PLE!$G$14,$M618,BX$13)="",10^12,OFFSET(PLE!$G$14,$M618,BX$13))))</f>
        <v>0</v>
      </c>
      <c r="BY618" s="216">
        <f ca="1">IF($D618&lt;&gt;"Serviço",0,IF(OR(AND(AUTOEVENTO="Manual",$M618=1),$M618&gt;(ROW(PLE.lastrow)-ROW(PLE.firstrow))),0,IF(OFFSET(PLE!$G$14,$M618,BY$13)="",10^12,OFFSET(PLE!$G$14,$M618,BY$13))))</f>
        <v>0</v>
      </c>
      <c r="BZ618" s="216">
        <f ca="1">IF($D618&lt;&gt;"Serviço",0,IF(OR(AND(AUTOEVENTO="Manual",$M618=1),$M618&gt;(ROW(PLE.lastrow)-ROW(PLE.firstrow))),0,IF(OFFSET(PLE!$G$14,$M618,BZ$13)="",10^12,OFFSET(PLE!$G$14,$M618,BZ$13))))</f>
        <v>0</v>
      </c>
      <c r="CA618" s="216">
        <f ca="1">IF($D618&lt;&gt;"Serviço",0,IF(OR(AND(AUTOEVENTO="Manual",$M618=1),$M618&gt;(ROW(PLE.lastrow)-ROW(PLE.firstrow))),0,IF(OFFSET(PLE!$G$14,$M618,CA$13)="",10^12,OFFSET(PLE!$G$14,$M618,CA$13))))</f>
        <v>0</v>
      </c>
      <c r="CB618" s="216">
        <f ca="1">IF($D618&lt;&gt;"Serviço",0,IF(OR(AND(AUTOEVENTO="Manual",$M618=1),$M618&gt;(ROW(PLE.lastrow)-ROW(PLE.firstrow))),0,IF(OFFSET(PLE!$G$14,$M618,CB$13)="",10^12,OFFSET(PLE!$G$14,$M618,CB$13))))</f>
        <v>0</v>
      </c>
      <c r="CC618" s="216">
        <f ca="1">IF($D618&lt;&gt;"Serviço",0,IF(OR(AND(AUTOEVENTO="Manual",$M618=1),$M618&gt;(ROW(PLE.lastrow)-ROW(PLE.firstrow))),0,IF(OFFSET(PLE!$G$14,$M618,CC$13)="",10^12,OFFSET(PLE!$G$14,$M618,CC$13))))</f>
        <v>0</v>
      </c>
      <c r="CD618" s="216">
        <f ca="1">IF($D618&lt;&gt;"Serviço",0,IF(OR(AND(AUTOEVENTO="Manual",$M618=1),$M618&gt;(ROW(PLE.lastrow)-ROW(PLE.firstrow))),0,IF(OFFSET(PLE!$G$14,$M618,CD$13)="",10^12,OFFSET(PLE!$G$14,$M618,CD$13))))</f>
        <v>0</v>
      </c>
      <c r="CE618" s="216">
        <f ca="1">IF($D618&lt;&gt;"Serviço",0,IF(OR(AND(AUTOEVENTO="Manual",$M618=1),$M618&gt;(ROW(PLE.lastrow)-ROW(PLE.firstrow))),0,IF(OFFSET(PLE!$G$14,$M618,CE$13)="",10^12,OFFSET(PLE!$G$14,$M618,CE$13))))</f>
        <v>0</v>
      </c>
      <c r="CF618" s="216">
        <f ca="1">IF($D618&lt;&gt;"Serviço",0,IF(OR(AND(AUTOEVENTO="Manual",$M618=1),$M618&gt;(ROW(PLE.lastrow)-ROW(PLE.firstrow))),0,IF(OFFSET(PLE!$G$14,$M618,CF$13)="",10^12,OFFSET(PLE!$G$14,$M618,CF$13))))</f>
        <v>0</v>
      </c>
      <c r="CG618" s="216">
        <f ca="1">IF($D618&lt;&gt;"Serviço",0,IF(OR(AND(AUTOEVENTO="Manual",$M618=1),$M618&gt;(ROW(PLE.lastrow)-ROW(PLE.firstrow))),0,IF(OFFSET(PLE!$G$14,$M618,CG$13)="",10^12,OFFSET(PLE!$G$14,$M618,CG$13))))</f>
        <v>0</v>
      </c>
      <c r="CH618" s="216">
        <f ca="1">IF($D618&lt;&gt;"Serviço",0,IF(OR(AND(AUTOEVENTO="Manual",$M618=1),$M618&gt;(ROW(PLE.lastrow)-ROW(PLE.firstrow))),0,IF(OFFSET(PLE!$G$14,$M618,CH$13)="",10^12,OFFSET(PLE!$G$14,$M618,CH$13))))</f>
        <v>0</v>
      </c>
      <c r="CI618" s="216">
        <f ca="1">IF($D618&lt;&gt;"Serviço",0,IF(OR(AND(AUTOEVENTO="Manual",$M618=1),$M618&gt;(ROW(PLE.lastrow)-ROW(PLE.firstrow))),0,IF(OFFSET(PLE!$G$14,$M618,CI$13)="",10^12,OFFSET(PLE!$G$14,$M618,CI$13))))</f>
        <v>0</v>
      </c>
      <c r="CJ618" s="216">
        <f ca="1">IF($D618&lt;&gt;"Serviço",0,IF(OR(AND(AUTOEVENTO="Manual",$M618=1),$M618&gt;(ROW(PLE.lastrow)-ROW(PLE.firstrow))),0,IF(OFFSET(PLE!$G$14,$M618,CJ$13)="",10^12,OFFSET(PLE!$G$14,$M618,CJ$13))))</f>
        <v>0</v>
      </c>
      <c r="CK618" s="216">
        <f ca="1">IF($D618&lt;&gt;"Serviço",0,IF(OR(AND(AUTOEVENTO="Manual",$M618=1),$M618&gt;(ROW(PLE.lastrow)-ROW(PLE.firstrow))),0,IF(OFFSET(PLE!$G$14,$M618,CK$13)="",10^12,OFFSET(PLE!$G$14,$M618,CK$13))))</f>
        <v>0</v>
      </c>
      <c r="CL618" s="216">
        <f ca="1">IF($D618&lt;&gt;"Serviço",0,IF(OR(AND(AUTOEVENTO="Manual",$M618=1),$M618&gt;(ROW(PLE.lastrow)-ROW(PLE.firstrow))),0,IF(OFFSET(PLE!$G$14,$M618,CL$13)="",10^12,OFFSET(PLE!$G$14,$M618,CL$13))))</f>
        <v>0</v>
      </c>
      <c r="CM618" s="216">
        <f ca="1">IF($D618&lt;&gt;"Serviço",0,IF(OR(AND(AUTOEVENTO="Manual",$M618=1),$M618&gt;(ROW(PLE.lastrow)-ROW(PLE.firstrow))),0,IF(OFFSET(PLE!$G$14,$M618,CM$13)="",10^12,OFFSET(PLE!$G$14,$M618,CM$13))))</f>
        <v>0</v>
      </c>
    </row>
    <row r="619" spans="1:91" ht="13.2" x14ac:dyDescent="0.25">
      <c r="A619" s="9">
        <f t="shared" ca="1" si="19"/>
        <v>0</v>
      </c>
      <c r="B619" s="9" t="str">
        <f ca="1">OFFSET(ORÇAMENTO!C$15,ROW(B619)-ROW(B$15),0)</f>
        <v>S</v>
      </c>
      <c r="C619" s="9" t="str">
        <f ca="1">OFFSET(ORÇAMENTO!L$15,ROW(C619)-ROW(C$15),0)</f>
        <v/>
      </c>
      <c r="D619" s="145" t="str">
        <f ca="1">OFFSET(ORÇAMENTO!N$15,ROW(D619)-ROW(D$15),0)</f>
        <v>Serviço</v>
      </c>
      <c r="E619" s="205" t="str">
        <f ca="1">OFFSET(ORÇAMENTO!O$15,ROW(E619)-ROW(E$15),0)</f>
        <v>-</v>
      </c>
      <c r="F619" s="206" t="str">
        <f ca="1">OFFSET(ORÇAMENTO!R$15,ROW(F619)-ROW(F$15),0)</f>
        <v>(abra o arquivo 'Referência 05-2024.xls)</v>
      </c>
      <c r="G619" s="207" t="str">
        <f ca="1">IF($D619&lt;&gt;"Serviço","",OFFSET(ORÇAMENTO!S$15,ROW(G619)-ROW(G$15),0))</f>
        <v>-</v>
      </c>
      <c r="H619" s="151">
        <f ca="1">IF($D619&lt;&gt;"Serviço",0,IF(ACOMPANHAMENTO="BM",ROUND(OFFSET(ORÇAMENTO!AJ$15,ROW(H619)-ROW(H$15),0),15-13*ORÇAMENTO!$AF$7),SUMPRODUCT(($Q$12:$AI$12&lt;&gt;"")*ROUND($Q619:$AI619,15-13*ORÇAMENTO!$AF$7))))</f>
        <v>156</v>
      </c>
      <c r="I619" s="650"/>
      <c r="K619" s="208"/>
      <c r="L619" s="209" t="s">
        <v>257</v>
      </c>
      <c r="M619" s="210">
        <f ca="1">IF($D619&lt;&gt;"Serviço","",IF(AUTOEVENTO="manual",$A619,IF(ISERROR(MATCH($A619,$A$15:OFFSET($A619,-1,0),0)),MAX($M$15:OFFSET(M619,-1,0))+1,INDEX($M$15:OFFSET(M619,-1,0),MATCH($A619,$A$15:OFFSET($A619,-1,0),0)))))</f>
        <v>0</v>
      </c>
      <c r="N619" s="211" t="str">
        <f ca="1">IF($D619&lt;&gt;"Serviço","",IF(AUTOEVENTO="Manual",IF($A619=0,"&lt;-- defina o número do agrupador",OFFSET(EVENTOS!$D$14,$A619,0)),OFFSET($F$15,$A619,0)))</f>
        <v>&lt;-- defina o número do agrupador</v>
      </c>
      <c r="O619" s="212"/>
      <c r="Q619" s="212"/>
      <c r="R619" s="213"/>
      <c r="S619" s="213"/>
      <c r="T619" s="213"/>
      <c r="U619" s="213"/>
      <c r="V619" s="213"/>
      <c r="W619" s="213"/>
      <c r="X619" s="213"/>
      <c r="Y619" s="213"/>
      <c r="Z619" s="214"/>
      <c r="AA619" s="213"/>
      <c r="AB619" s="213"/>
      <c r="AC619" s="213"/>
      <c r="AD619" s="213"/>
      <c r="AE619" s="213"/>
      <c r="AF619" s="213"/>
      <c r="AG619" s="213"/>
      <c r="AH619" s="214"/>
      <c r="AJ619" s="631">
        <f ca="1">IF(AND($D619="Serviço",AJ$12&lt;&gt;0,$H619&gt;0,OR(AUTOEVENTO&lt;&gt;"manual",$M619&lt;&gt;1)),ROUND(OFFSET($P619,0,AJ$13),15-13*ORÇAMENTO!$AF$7)/$H619*OFFSET(ORÇAMENTO!$X$15,ROW(AJ619)-ROW(AJ$15),0),0)</f>
        <v>0</v>
      </c>
      <c r="AK619" s="632">
        <f ca="1">IF(AND($D619="Serviço",AK$12&lt;&gt;0,$H619&gt;0,OR(AUTOEVENTO&lt;&gt;"manual",$M619&lt;&gt;1)),ROUND(OFFSET($P619,0,AK$13),15-13*ORÇAMENTO!$AF$7)/$H619*OFFSET(ORÇAMENTO!$X$15,ROW(AK619)-ROW(AK$15),0),0)</f>
        <v>0</v>
      </c>
      <c r="AL619" s="632">
        <f ca="1">IF(AND($D619="Serviço",AL$12&lt;&gt;0,$H619&gt;0,OR(AUTOEVENTO&lt;&gt;"manual",$M619&lt;&gt;1)),ROUND(OFFSET($P619,0,AL$13),15-13*ORÇAMENTO!$AF$7)/$H619*OFFSET(ORÇAMENTO!$X$15,ROW(AL619)-ROW(AL$15),0),0)</f>
        <v>0</v>
      </c>
      <c r="AM619" s="632">
        <f ca="1">IF(AND($D619="Serviço",AM$12&lt;&gt;0,$H619&gt;0,OR(AUTOEVENTO&lt;&gt;"manual",$M619&lt;&gt;1)),ROUND(OFFSET($P619,0,AM$13),15-13*ORÇAMENTO!$AF$7)/$H619*OFFSET(ORÇAMENTO!$X$15,ROW(AM619)-ROW(AM$15),0),0)</f>
        <v>0</v>
      </c>
      <c r="AN619" s="632">
        <f ca="1">IF(AND($D619="Serviço",AN$12&lt;&gt;0,$H619&gt;0,OR(AUTOEVENTO&lt;&gt;"manual",$M619&lt;&gt;1)),ROUND(OFFSET($P619,0,AN$13),15-13*ORÇAMENTO!$AF$7)/$H619*OFFSET(ORÇAMENTO!$X$15,ROW(AN619)-ROW(AN$15),0),0)</f>
        <v>0</v>
      </c>
      <c r="AO619" s="632">
        <f ca="1">IF(AND($D619="Serviço",AO$12&lt;&gt;0,$H619&gt;0,OR(AUTOEVENTO&lt;&gt;"manual",$M619&lt;&gt;1)),ROUND(OFFSET($P619,0,AO$13),15-13*ORÇAMENTO!$AF$7)/$H619*OFFSET(ORÇAMENTO!$X$15,ROW(AO619)-ROW(AO$15),0),0)</f>
        <v>0</v>
      </c>
      <c r="AP619" s="632">
        <f ca="1">IF(AND($D619="Serviço",AP$12&lt;&gt;0,$H619&gt;0,OR(AUTOEVENTO&lt;&gt;"manual",$M619&lt;&gt;1)),ROUND(OFFSET($P619,0,AP$13),15-13*ORÇAMENTO!$AF$7)/$H619*OFFSET(ORÇAMENTO!$X$15,ROW(AP619)-ROW(AP$15),0),0)</f>
        <v>0</v>
      </c>
      <c r="AQ619" s="632">
        <f ca="1">IF(AND($D619="Serviço",AQ$12&lt;&gt;0,$H619&gt;0,OR(AUTOEVENTO&lt;&gt;"manual",$M619&lt;&gt;1)),ROUND(OFFSET($P619,0,AQ$13),15-13*ORÇAMENTO!$AF$7)/$H619*OFFSET(ORÇAMENTO!$X$15,ROW(AQ619)-ROW(AQ$15),0),0)</f>
        <v>0</v>
      </c>
      <c r="AR619" s="632">
        <f ca="1">IF(AND($D619="Serviço",AR$12&lt;&gt;0,$H619&gt;0,OR(AUTOEVENTO&lt;&gt;"manual",$M619&lt;&gt;1)),ROUND(OFFSET($P619,0,AR$13),15-13*ORÇAMENTO!$AF$7)/$H619*OFFSET(ORÇAMENTO!$X$15,ROW(AR619)-ROW(AR$15),0),0)</f>
        <v>0</v>
      </c>
      <c r="AS619" s="633">
        <f ca="1">IF(AND($D619="Serviço",AS$12&lt;&gt;0,$H619&gt;0,OR(AUTOEVENTO&lt;&gt;"manual",$M619&lt;&gt;1)),ROUND(OFFSET($P619,0,AS$13),15-13*ORÇAMENTO!$AF$7)/$H619*OFFSET(ORÇAMENTO!$X$15,ROW(AS619)-ROW(AS$15),0),0)</f>
        <v>0</v>
      </c>
      <c r="AT619" s="632">
        <f ca="1">IF(AND($D619="Serviço",AT$12&lt;&gt;0,$H619&gt;0,OR(AUTOEVENTO&lt;&gt;"manual",$M619&lt;&gt;1)),ROUND(OFFSET($P619,0,AT$13),15-13*ORÇAMENTO!$AF$7)/$H619*OFFSET(ORÇAMENTO!$X$15,ROW(AT619)-ROW(AT$15),0),0)</f>
        <v>0</v>
      </c>
      <c r="AU619" s="632">
        <f ca="1">IF(AND($D619="Serviço",AU$12&lt;&gt;0,$H619&gt;0,OR(AUTOEVENTO&lt;&gt;"manual",$M619&lt;&gt;1)),ROUND(OFFSET($P619,0,AU$13),15-13*ORÇAMENTO!$AF$7)/$H619*OFFSET(ORÇAMENTO!$X$15,ROW(AU619)-ROW(AU$15),0),0)</f>
        <v>0</v>
      </c>
      <c r="AV619" s="632">
        <f ca="1">IF(AND($D619="Serviço",AV$12&lt;&gt;0,$H619&gt;0,OR(AUTOEVENTO&lt;&gt;"manual",$M619&lt;&gt;1)),ROUND(OFFSET($P619,0,AV$13),15-13*ORÇAMENTO!$AF$7)/$H619*OFFSET(ORÇAMENTO!$X$15,ROW(AV619)-ROW(AV$15),0),0)</f>
        <v>0</v>
      </c>
      <c r="AW619" s="632">
        <f ca="1">IF(AND($D619="Serviço",AW$12&lt;&gt;0,$H619&gt;0,OR(AUTOEVENTO&lt;&gt;"manual",$M619&lt;&gt;1)),ROUND(OFFSET($P619,0,AW$13),15-13*ORÇAMENTO!$AF$7)/$H619*OFFSET(ORÇAMENTO!$X$15,ROW(AW619)-ROW(AW$15),0),0)</f>
        <v>0</v>
      </c>
      <c r="AX619" s="632">
        <f ca="1">IF(AND($D619="Serviço",AX$12&lt;&gt;0,$H619&gt;0,OR(AUTOEVENTO&lt;&gt;"manual",$M619&lt;&gt;1)),ROUND(OFFSET($P619,0,AX$13),15-13*ORÇAMENTO!$AF$7)/$H619*OFFSET(ORÇAMENTO!$X$15,ROW(AX619)-ROW(AX$15),0),0)</f>
        <v>0</v>
      </c>
      <c r="AY619" s="632">
        <f ca="1">IF(AND($D619="Serviço",AY$12&lt;&gt;0,$H619&gt;0,OR(AUTOEVENTO&lt;&gt;"manual",$M619&lt;&gt;1)),ROUND(OFFSET($P619,0,AY$13),15-13*ORÇAMENTO!$AF$7)/$H619*OFFSET(ORÇAMENTO!$X$15,ROW(AY619)-ROW(AY$15),0),0)</f>
        <v>0</v>
      </c>
      <c r="AZ619" s="632">
        <f ca="1">IF(AND($D619="Serviço",AZ$12&lt;&gt;0,$H619&gt;0,OR(AUTOEVENTO&lt;&gt;"manual",$M619&lt;&gt;1)),ROUND(OFFSET($P619,0,AZ$13),15-13*ORÇAMENTO!$AF$7)/$H619*OFFSET(ORÇAMENTO!$X$15,ROW(AZ619)-ROW(AZ$15),0),0)</f>
        <v>0</v>
      </c>
      <c r="BA619" s="633">
        <f ca="1">IF(AND($D619="Serviço",BA$12&lt;&gt;0,$H619&gt;0,OR(AUTOEVENTO&lt;&gt;"manual",$M619&lt;&gt;1)),ROUND(OFFSET($P619,0,BA$13),15-13*ORÇAMENTO!$AF$7)/$H619*OFFSET(ORÇAMENTO!$X$15,ROW(BA619)-ROW(BA$15),0),0)</f>
        <v>0</v>
      </c>
      <c r="BC619" s="215">
        <f ca="1">IF($D619&lt;&gt;"Serviço",0,IF(AND(AUTOEVENTO="Manual",$M619=1),0,IF(OFFSET(CRONOPLE!$F$14,$M619,BC$13)="",10^12,OFFSET(CRONOPLE!$F$14,$M619,BC$13))))</f>
        <v>1000000000000</v>
      </c>
      <c r="BD619" s="215">
        <f ca="1">IF($D619&lt;&gt;"Serviço",0,IF(AND(AUTOEVENTO="Manual",$M619=1),0,IF(OFFSET(CRONOPLE!$F$14,$M619,BD$13)="",10^12,OFFSET(CRONOPLE!$F$14,$M619,BD$13))))</f>
        <v>1000000000000</v>
      </c>
      <c r="BE619" s="215">
        <f ca="1">IF($D619&lt;&gt;"Serviço",0,IF(AND(AUTOEVENTO="Manual",$M619=1),0,IF(OFFSET(CRONOPLE!$F$14,$M619,BE$13)="",10^12,OFFSET(CRONOPLE!$F$14,$M619,BE$13))))</f>
        <v>1000000000000</v>
      </c>
      <c r="BF619" s="215">
        <f ca="1">IF($D619&lt;&gt;"Serviço",0,IF(AND(AUTOEVENTO="Manual",$M619=1),0,IF(OFFSET(CRONOPLE!$F$14,$M619,BF$13)="",10^12,OFFSET(CRONOPLE!$F$14,$M619,BF$13))))</f>
        <v>1000000000000</v>
      </c>
      <c r="BG619" s="215">
        <f ca="1">IF($D619&lt;&gt;"Serviço",0,IF(AND(AUTOEVENTO="Manual",$M619=1),0,IF(OFFSET(CRONOPLE!$F$14,$M619,BG$13)="",10^12,OFFSET(CRONOPLE!$F$14,$M619,BG$13))))</f>
        <v>1000000000000</v>
      </c>
      <c r="BH619" s="215">
        <f ca="1">IF($D619&lt;&gt;"Serviço",0,IF(AND(AUTOEVENTO="Manual",$M619=1),0,IF(OFFSET(CRONOPLE!$F$14,$M619,BH$13)="",10^12,OFFSET(CRONOPLE!$F$14,$M619,BH$13))))</f>
        <v>1000000000000</v>
      </c>
      <c r="BI619" s="215">
        <f ca="1">IF($D619&lt;&gt;"Serviço",0,IF(AND(AUTOEVENTO="Manual",$M619=1),0,IF(OFFSET(CRONOPLE!$F$14,$M619,BI$13)="",10^12,OFFSET(CRONOPLE!$F$14,$M619,BI$13))))</f>
        <v>1000000000000</v>
      </c>
      <c r="BJ619" s="215">
        <f ca="1">IF($D619&lt;&gt;"Serviço",0,IF(AND(AUTOEVENTO="Manual",$M619=1),0,IF(OFFSET(CRONOPLE!$F$14,$M619,BJ$13)="",10^12,OFFSET(CRONOPLE!$F$14,$M619,BJ$13))))</f>
        <v>1000000000000</v>
      </c>
      <c r="BK619" s="215">
        <f ca="1">IF($D619&lt;&gt;"Serviço",0,IF(AND(AUTOEVENTO="Manual",$M619=1),0,IF(OFFSET(CRONOPLE!$F$14,$M619,BK$13)="",10^12,OFFSET(CRONOPLE!$F$14,$M619,BK$13))))</f>
        <v>1000000000000</v>
      </c>
      <c r="BL619" s="215">
        <f ca="1">IF($D619&lt;&gt;"Serviço",0,IF(AND(AUTOEVENTO="Manual",$M619=1),0,IF(OFFSET(CRONOPLE!$F$14,$M619,BL$13)="",10^12,OFFSET(CRONOPLE!$F$14,$M619,BL$13))))</f>
        <v>1000000000000</v>
      </c>
      <c r="BM619" s="215">
        <f ca="1">IF($D619&lt;&gt;"Serviço",0,IF(AND(AUTOEVENTO="Manual",$M619=1),0,IF(OFFSET(CRONOPLE!$F$14,$M619,BM$13)="",10^12,OFFSET(CRONOPLE!$F$14,$M619,BM$13))))</f>
        <v>1000000000000</v>
      </c>
      <c r="BN619" s="215">
        <f ca="1">IF($D619&lt;&gt;"Serviço",0,IF(AND(AUTOEVENTO="Manual",$M619=1),0,IF(OFFSET(CRONOPLE!$F$14,$M619,BN$13)="",10^12,OFFSET(CRONOPLE!$F$14,$M619,BN$13))))</f>
        <v>1000000000000</v>
      </c>
      <c r="BO619" s="215">
        <f ca="1">IF($D619&lt;&gt;"Serviço",0,IF(AND(AUTOEVENTO="Manual",$M619=1),0,IF(OFFSET(CRONOPLE!$F$14,$M619,BO$13)="",10^12,OFFSET(CRONOPLE!$F$14,$M619,BO$13))))</f>
        <v>1000000000000</v>
      </c>
      <c r="BP619" s="215">
        <f ca="1">IF($D619&lt;&gt;"Serviço",0,IF(AND(AUTOEVENTO="Manual",$M619=1),0,IF(OFFSET(CRONOPLE!$F$14,$M619,BP$13)="",10^12,OFFSET(CRONOPLE!$F$14,$M619,BP$13))))</f>
        <v>1000000000000</v>
      </c>
      <c r="BQ619" s="215">
        <f ca="1">IF($D619&lt;&gt;"Serviço",0,IF(AND(AUTOEVENTO="Manual",$M619=1),0,IF(OFFSET(CRONOPLE!$F$14,$M619,BQ$13)="",10^12,OFFSET(CRONOPLE!$F$14,$M619,BQ$13))))</f>
        <v>1000000000000</v>
      </c>
      <c r="BR619" s="215">
        <f ca="1">IF($D619&lt;&gt;"Serviço",0,IF(AND(AUTOEVENTO="Manual",$M619=1),0,IF(OFFSET(CRONOPLE!$F$14,$M619,BR$13)="",10^12,OFFSET(CRONOPLE!$F$14,$M619,BR$13))))</f>
        <v>1000000000000</v>
      </c>
      <c r="BS619" s="215">
        <f ca="1">IF($D619&lt;&gt;"Serviço",0,IF(AND(AUTOEVENTO="Manual",$M619=1),0,IF(OFFSET(CRONOPLE!$F$14,$M619,BS$13)="",10^12,OFFSET(CRONOPLE!$F$14,$M619,BS$13))))</f>
        <v>1000000000000</v>
      </c>
      <c r="BT619" s="215">
        <f ca="1">IF($D619&lt;&gt;"Serviço",0,IF(AND(AUTOEVENTO="Manual",$M619=1),0,IF(OFFSET(CRONOPLE!$F$14,$M619,BT$13)="",10^12,OFFSET(CRONOPLE!$F$14,$M619,BT$13))))</f>
        <v>1000000000000</v>
      </c>
      <c r="BV619" s="216">
        <f ca="1">IF($D619&lt;&gt;"Serviço",0,IF(OR(AND(AUTOEVENTO="Manual",$M619=1),$M619&gt;(ROW(PLE.lastrow)-ROW(PLE.firstrow))),0,IF(OFFSET(PLE!$G$14,$M619,BV$13)="",10^12,OFFSET(PLE!$G$14,$M619,BV$13))))</f>
        <v>1000000000000</v>
      </c>
      <c r="BW619" s="216">
        <f ca="1">IF($D619&lt;&gt;"Serviço",0,IF(OR(AND(AUTOEVENTO="Manual",$M619=1),$M619&gt;(ROW(PLE.lastrow)-ROW(PLE.firstrow))),0,IF(OFFSET(PLE!$G$14,$M619,BW$13)="",10^12,OFFSET(PLE!$G$14,$M619,BW$13))))</f>
        <v>1000000000000</v>
      </c>
      <c r="BX619" s="216">
        <f ca="1">IF($D619&lt;&gt;"Serviço",0,IF(OR(AND(AUTOEVENTO="Manual",$M619=1),$M619&gt;(ROW(PLE.lastrow)-ROW(PLE.firstrow))),0,IF(OFFSET(PLE!$G$14,$M619,BX$13)="",10^12,OFFSET(PLE!$G$14,$M619,BX$13))))</f>
        <v>1000000000000</v>
      </c>
      <c r="BY619" s="216">
        <f ca="1">IF($D619&lt;&gt;"Serviço",0,IF(OR(AND(AUTOEVENTO="Manual",$M619=1),$M619&gt;(ROW(PLE.lastrow)-ROW(PLE.firstrow))),0,IF(OFFSET(PLE!$G$14,$M619,BY$13)="",10^12,OFFSET(PLE!$G$14,$M619,BY$13))))</f>
        <v>1000000000000</v>
      </c>
      <c r="BZ619" s="216">
        <f ca="1">IF($D619&lt;&gt;"Serviço",0,IF(OR(AND(AUTOEVENTO="Manual",$M619=1),$M619&gt;(ROW(PLE.lastrow)-ROW(PLE.firstrow))),0,IF(OFFSET(PLE!$G$14,$M619,BZ$13)="",10^12,OFFSET(PLE!$G$14,$M619,BZ$13))))</f>
        <v>1000000000000</v>
      </c>
      <c r="CA619" s="216">
        <f ca="1">IF($D619&lt;&gt;"Serviço",0,IF(OR(AND(AUTOEVENTO="Manual",$M619=1),$M619&gt;(ROW(PLE.lastrow)-ROW(PLE.firstrow))),0,IF(OFFSET(PLE!$G$14,$M619,CA$13)="",10^12,OFFSET(PLE!$G$14,$M619,CA$13))))</f>
        <v>1000000000000</v>
      </c>
      <c r="CB619" s="216">
        <f ca="1">IF($D619&lt;&gt;"Serviço",0,IF(OR(AND(AUTOEVENTO="Manual",$M619=1),$M619&gt;(ROW(PLE.lastrow)-ROW(PLE.firstrow))),0,IF(OFFSET(PLE!$G$14,$M619,CB$13)="",10^12,OFFSET(PLE!$G$14,$M619,CB$13))))</f>
        <v>1000000000000</v>
      </c>
      <c r="CC619" s="216">
        <f ca="1">IF($D619&lt;&gt;"Serviço",0,IF(OR(AND(AUTOEVENTO="Manual",$M619=1),$M619&gt;(ROW(PLE.lastrow)-ROW(PLE.firstrow))),0,IF(OFFSET(PLE!$G$14,$M619,CC$13)="",10^12,OFFSET(PLE!$G$14,$M619,CC$13))))</f>
        <v>1000000000000</v>
      </c>
      <c r="CD619" s="216">
        <f ca="1">IF($D619&lt;&gt;"Serviço",0,IF(OR(AND(AUTOEVENTO="Manual",$M619=1),$M619&gt;(ROW(PLE.lastrow)-ROW(PLE.firstrow))),0,IF(OFFSET(PLE!$G$14,$M619,CD$13)="",10^12,OFFSET(PLE!$G$14,$M619,CD$13))))</f>
        <v>1000000000000</v>
      </c>
      <c r="CE619" s="216">
        <f ca="1">IF($D619&lt;&gt;"Serviço",0,IF(OR(AND(AUTOEVENTO="Manual",$M619=1),$M619&gt;(ROW(PLE.lastrow)-ROW(PLE.firstrow))),0,IF(OFFSET(PLE!$G$14,$M619,CE$13)="",10^12,OFFSET(PLE!$G$14,$M619,CE$13))))</f>
        <v>1000000000000</v>
      </c>
      <c r="CF619" s="216">
        <f ca="1">IF($D619&lt;&gt;"Serviço",0,IF(OR(AND(AUTOEVENTO="Manual",$M619=1),$M619&gt;(ROW(PLE.lastrow)-ROW(PLE.firstrow))),0,IF(OFFSET(PLE!$G$14,$M619,CF$13)="",10^12,OFFSET(PLE!$G$14,$M619,CF$13))))</f>
        <v>1000000000000</v>
      </c>
      <c r="CG619" s="216">
        <f ca="1">IF($D619&lt;&gt;"Serviço",0,IF(OR(AND(AUTOEVENTO="Manual",$M619=1),$M619&gt;(ROW(PLE.lastrow)-ROW(PLE.firstrow))),0,IF(OFFSET(PLE!$G$14,$M619,CG$13)="",10^12,OFFSET(PLE!$G$14,$M619,CG$13))))</f>
        <v>1000000000000</v>
      </c>
      <c r="CH619" s="216">
        <f ca="1">IF($D619&lt;&gt;"Serviço",0,IF(OR(AND(AUTOEVENTO="Manual",$M619=1),$M619&gt;(ROW(PLE.lastrow)-ROW(PLE.firstrow))),0,IF(OFFSET(PLE!$G$14,$M619,CH$13)="",10^12,OFFSET(PLE!$G$14,$M619,CH$13))))</f>
        <v>1000000000000</v>
      </c>
      <c r="CI619" s="216">
        <f ca="1">IF($D619&lt;&gt;"Serviço",0,IF(OR(AND(AUTOEVENTO="Manual",$M619=1),$M619&gt;(ROW(PLE.lastrow)-ROW(PLE.firstrow))),0,IF(OFFSET(PLE!$G$14,$M619,CI$13)="",10^12,OFFSET(PLE!$G$14,$M619,CI$13))))</f>
        <v>1000000000000</v>
      </c>
      <c r="CJ619" s="216">
        <f ca="1">IF($D619&lt;&gt;"Serviço",0,IF(OR(AND(AUTOEVENTO="Manual",$M619=1),$M619&gt;(ROW(PLE.lastrow)-ROW(PLE.firstrow))),0,IF(OFFSET(PLE!$G$14,$M619,CJ$13)="",10^12,OFFSET(PLE!$G$14,$M619,CJ$13))))</f>
        <v>1000000000000</v>
      </c>
      <c r="CK619" s="216">
        <f ca="1">IF($D619&lt;&gt;"Serviço",0,IF(OR(AND(AUTOEVENTO="Manual",$M619=1),$M619&gt;(ROW(PLE.lastrow)-ROW(PLE.firstrow))),0,IF(OFFSET(PLE!$G$14,$M619,CK$13)="",10^12,OFFSET(PLE!$G$14,$M619,CK$13))))</f>
        <v>1000000000000</v>
      </c>
      <c r="CL619" s="216">
        <f ca="1">IF($D619&lt;&gt;"Serviço",0,IF(OR(AND(AUTOEVENTO="Manual",$M619=1),$M619&gt;(ROW(PLE.lastrow)-ROW(PLE.firstrow))),0,IF(OFFSET(PLE!$G$14,$M619,CL$13)="",10^12,OFFSET(PLE!$G$14,$M619,CL$13))))</f>
        <v>1000000000000</v>
      </c>
      <c r="CM619" s="216">
        <f ca="1">IF($D619&lt;&gt;"Serviço",0,IF(OR(AND(AUTOEVENTO="Manual",$M619=1),$M619&gt;(ROW(PLE.lastrow)-ROW(PLE.firstrow))),0,IF(OFFSET(PLE!$G$14,$M619,CM$13)="",10^12,OFFSET(PLE!$G$14,$M619,CM$13))))</f>
        <v>1000000000000</v>
      </c>
    </row>
    <row r="620" spans="1:91" ht="13.2" x14ac:dyDescent="0.25">
      <c r="A620" s="9">
        <f t="shared" ca="1" si="19"/>
        <v>0</v>
      </c>
      <c r="B620" s="9" t="str">
        <f ca="1">OFFSET(ORÇAMENTO!C$15,ROW(B620)-ROW(B$15),0)</f>
        <v>S</v>
      </c>
      <c r="C620" s="9" t="str">
        <f ca="1">OFFSET(ORÇAMENTO!L$15,ROW(C620)-ROW(C$15),0)</f>
        <v/>
      </c>
      <c r="D620" s="145" t="str">
        <f ca="1">OFFSET(ORÇAMENTO!N$15,ROW(D620)-ROW(D$15),0)</f>
        <v>Serviço</v>
      </c>
      <c r="E620" s="205" t="str">
        <f ca="1">OFFSET(ORÇAMENTO!O$15,ROW(E620)-ROW(E$15),0)</f>
        <v>-</v>
      </c>
      <c r="F620" s="206" t="str">
        <f ca="1">OFFSET(ORÇAMENTO!R$15,ROW(F620)-ROW(F$15),0)</f>
        <v>(abra o arquivo 'Referência 05-2024.xls)</v>
      </c>
      <c r="G620" s="207" t="str">
        <f ca="1">IF($D620&lt;&gt;"Serviço","",OFFSET(ORÇAMENTO!S$15,ROW(G620)-ROW(G$15),0))</f>
        <v>-</v>
      </c>
      <c r="H620" s="151">
        <f ca="1">IF($D620&lt;&gt;"Serviço",0,IF(ACOMPANHAMENTO="BM",ROUND(OFFSET(ORÇAMENTO!AJ$15,ROW(H620)-ROW(H$15),0),15-13*ORÇAMENTO!$AF$7),SUMPRODUCT(($Q$12:$AI$12&lt;&gt;"")*ROUND($Q620:$AI620,15-13*ORÇAMENTO!$AF$7))))</f>
        <v>18</v>
      </c>
      <c r="I620" s="650"/>
      <c r="K620" s="208"/>
      <c r="L620" s="209" t="s">
        <v>257</v>
      </c>
      <c r="M620" s="210">
        <f ca="1">IF($D620&lt;&gt;"Serviço","",IF(AUTOEVENTO="manual",$A620,IF(ISERROR(MATCH($A620,$A$15:OFFSET($A620,-1,0),0)),MAX($M$15:OFFSET(M620,-1,0))+1,INDEX($M$15:OFFSET(M620,-1,0),MATCH($A620,$A$15:OFFSET($A620,-1,0),0)))))</f>
        <v>0</v>
      </c>
      <c r="N620" s="211" t="str">
        <f ca="1">IF($D620&lt;&gt;"Serviço","",IF(AUTOEVENTO="Manual",IF($A620=0,"&lt;-- defina o número do agrupador",OFFSET(EVENTOS!$D$14,$A620,0)),OFFSET($F$15,$A620,0)))</f>
        <v>&lt;-- defina o número do agrupador</v>
      </c>
      <c r="O620" s="212"/>
      <c r="Q620" s="212"/>
      <c r="R620" s="213"/>
      <c r="S620" s="213"/>
      <c r="T620" s="213"/>
      <c r="U620" s="213"/>
      <c r="V620" s="213"/>
      <c r="W620" s="213"/>
      <c r="X620" s="213"/>
      <c r="Y620" s="213"/>
      <c r="Z620" s="214"/>
      <c r="AA620" s="213"/>
      <c r="AB620" s="213"/>
      <c r="AC620" s="213"/>
      <c r="AD620" s="213"/>
      <c r="AE620" s="213"/>
      <c r="AF620" s="213"/>
      <c r="AG620" s="213"/>
      <c r="AH620" s="214"/>
      <c r="AJ620" s="631">
        <f ca="1">IF(AND($D620="Serviço",AJ$12&lt;&gt;0,$H620&gt;0,OR(AUTOEVENTO&lt;&gt;"manual",$M620&lt;&gt;1)),ROUND(OFFSET($P620,0,AJ$13),15-13*ORÇAMENTO!$AF$7)/$H620*OFFSET(ORÇAMENTO!$X$15,ROW(AJ620)-ROW(AJ$15),0),0)</f>
        <v>0</v>
      </c>
      <c r="AK620" s="632">
        <f ca="1">IF(AND($D620="Serviço",AK$12&lt;&gt;0,$H620&gt;0,OR(AUTOEVENTO&lt;&gt;"manual",$M620&lt;&gt;1)),ROUND(OFFSET($P620,0,AK$13),15-13*ORÇAMENTO!$AF$7)/$H620*OFFSET(ORÇAMENTO!$X$15,ROW(AK620)-ROW(AK$15),0),0)</f>
        <v>0</v>
      </c>
      <c r="AL620" s="632">
        <f ca="1">IF(AND($D620="Serviço",AL$12&lt;&gt;0,$H620&gt;0,OR(AUTOEVENTO&lt;&gt;"manual",$M620&lt;&gt;1)),ROUND(OFFSET($P620,0,AL$13),15-13*ORÇAMENTO!$AF$7)/$H620*OFFSET(ORÇAMENTO!$X$15,ROW(AL620)-ROW(AL$15),0),0)</f>
        <v>0</v>
      </c>
      <c r="AM620" s="632">
        <f ca="1">IF(AND($D620="Serviço",AM$12&lt;&gt;0,$H620&gt;0,OR(AUTOEVENTO&lt;&gt;"manual",$M620&lt;&gt;1)),ROUND(OFFSET($P620,0,AM$13),15-13*ORÇAMENTO!$AF$7)/$H620*OFFSET(ORÇAMENTO!$X$15,ROW(AM620)-ROW(AM$15),0),0)</f>
        <v>0</v>
      </c>
      <c r="AN620" s="632">
        <f ca="1">IF(AND($D620="Serviço",AN$12&lt;&gt;0,$H620&gt;0,OR(AUTOEVENTO&lt;&gt;"manual",$M620&lt;&gt;1)),ROUND(OFFSET($P620,0,AN$13),15-13*ORÇAMENTO!$AF$7)/$H620*OFFSET(ORÇAMENTO!$X$15,ROW(AN620)-ROW(AN$15),0),0)</f>
        <v>0</v>
      </c>
      <c r="AO620" s="632">
        <f ca="1">IF(AND($D620="Serviço",AO$12&lt;&gt;0,$H620&gt;0,OR(AUTOEVENTO&lt;&gt;"manual",$M620&lt;&gt;1)),ROUND(OFFSET($P620,0,AO$13),15-13*ORÇAMENTO!$AF$7)/$H620*OFFSET(ORÇAMENTO!$X$15,ROW(AO620)-ROW(AO$15),0),0)</f>
        <v>0</v>
      </c>
      <c r="AP620" s="632">
        <f ca="1">IF(AND($D620="Serviço",AP$12&lt;&gt;0,$H620&gt;0,OR(AUTOEVENTO&lt;&gt;"manual",$M620&lt;&gt;1)),ROUND(OFFSET($P620,0,AP$13),15-13*ORÇAMENTO!$AF$7)/$H620*OFFSET(ORÇAMENTO!$X$15,ROW(AP620)-ROW(AP$15),0),0)</f>
        <v>0</v>
      </c>
      <c r="AQ620" s="632">
        <f ca="1">IF(AND($D620="Serviço",AQ$12&lt;&gt;0,$H620&gt;0,OR(AUTOEVENTO&lt;&gt;"manual",$M620&lt;&gt;1)),ROUND(OFFSET($P620,0,AQ$13),15-13*ORÇAMENTO!$AF$7)/$H620*OFFSET(ORÇAMENTO!$X$15,ROW(AQ620)-ROW(AQ$15),0),0)</f>
        <v>0</v>
      </c>
      <c r="AR620" s="632">
        <f ca="1">IF(AND($D620="Serviço",AR$12&lt;&gt;0,$H620&gt;0,OR(AUTOEVENTO&lt;&gt;"manual",$M620&lt;&gt;1)),ROUND(OFFSET($P620,0,AR$13),15-13*ORÇAMENTO!$AF$7)/$H620*OFFSET(ORÇAMENTO!$X$15,ROW(AR620)-ROW(AR$15),0),0)</f>
        <v>0</v>
      </c>
      <c r="AS620" s="633">
        <f ca="1">IF(AND($D620="Serviço",AS$12&lt;&gt;0,$H620&gt;0,OR(AUTOEVENTO&lt;&gt;"manual",$M620&lt;&gt;1)),ROUND(OFFSET($P620,0,AS$13),15-13*ORÇAMENTO!$AF$7)/$H620*OFFSET(ORÇAMENTO!$X$15,ROW(AS620)-ROW(AS$15),0),0)</f>
        <v>0</v>
      </c>
      <c r="AT620" s="632">
        <f ca="1">IF(AND($D620="Serviço",AT$12&lt;&gt;0,$H620&gt;0,OR(AUTOEVENTO&lt;&gt;"manual",$M620&lt;&gt;1)),ROUND(OFFSET($P620,0,AT$13),15-13*ORÇAMENTO!$AF$7)/$H620*OFFSET(ORÇAMENTO!$X$15,ROW(AT620)-ROW(AT$15),0),0)</f>
        <v>0</v>
      </c>
      <c r="AU620" s="632">
        <f ca="1">IF(AND($D620="Serviço",AU$12&lt;&gt;0,$H620&gt;0,OR(AUTOEVENTO&lt;&gt;"manual",$M620&lt;&gt;1)),ROUND(OFFSET($P620,0,AU$13),15-13*ORÇAMENTO!$AF$7)/$H620*OFFSET(ORÇAMENTO!$X$15,ROW(AU620)-ROW(AU$15),0),0)</f>
        <v>0</v>
      </c>
      <c r="AV620" s="632">
        <f ca="1">IF(AND($D620="Serviço",AV$12&lt;&gt;0,$H620&gt;0,OR(AUTOEVENTO&lt;&gt;"manual",$M620&lt;&gt;1)),ROUND(OFFSET($P620,0,AV$13),15-13*ORÇAMENTO!$AF$7)/$H620*OFFSET(ORÇAMENTO!$X$15,ROW(AV620)-ROW(AV$15),0),0)</f>
        <v>0</v>
      </c>
      <c r="AW620" s="632">
        <f ca="1">IF(AND($D620="Serviço",AW$12&lt;&gt;0,$H620&gt;0,OR(AUTOEVENTO&lt;&gt;"manual",$M620&lt;&gt;1)),ROUND(OFFSET($P620,0,AW$13),15-13*ORÇAMENTO!$AF$7)/$H620*OFFSET(ORÇAMENTO!$X$15,ROW(AW620)-ROW(AW$15),0),0)</f>
        <v>0</v>
      </c>
      <c r="AX620" s="632">
        <f ca="1">IF(AND($D620="Serviço",AX$12&lt;&gt;0,$H620&gt;0,OR(AUTOEVENTO&lt;&gt;"manual",$M620&lt;&gt;1)),ROUND(OFFSET($P620,0,AX$13),15-13*ORÇAMENTO!$AF$7)/$H620*OFFSET(ORÇAMENTO!$X$15,ROW(AX620)-ROW(AX$15),0),0)</f>
        <v>0</v>
      </c>
      <c r="AY620" s="632">
        <f ca="1">IF(AND($D620="Serviço",AY$12&lt;&gt;0,$H620&gt;0,OR(AUTOEVENTO&lt;&gt;"manual",$M620&lt;&gt;1)),ROUND(OFFSET($P620,0,AY$13),15-13*ORÇAMENTO!$AF$7)/$H620*OFFSET(ORÇAMENTO!$X$15,ROW(AY620)-ROW(AY$15),0),0)</f>
        <v>0</v>
      </c>
      <c r="AZ620" s="632">
        <f ca="1">IF(AND($D620="Serviço",AZ$12&lt;&gt;0,$H620&gt;0,OR(AUTOEVENTO&lt;&gt;"manual",$M620&lt;&gt;1)),ROUND(OFFSET($P620,0,AZ$13),15-13*ORÇAMENTO!$AF$7)/$H620*OFFSET(ORÇAMENTO!$X$15,ROW(AZ620)-ROW(AZ$15),0),0)</f>
        <v>0</v>
      </c>
      <c r="BA620" s="633">
        <f ca="1">IF(AND($D620="Serviço",BA$12&lt;&gt;0,$H620&gt;0,OR(AUTOEVENTO&lt;&gt;"manual",$M620&lt;&gt;1)),ROUND(OFFSET($P620,0,BA$13),15-13*ORÇAMENTO!$AF$7)/$H620*OFFSET(ORÇAMENTO!$X$15,ROW(BA620)-ROW(BA$15),0),0)</f>
        <v>0</v>
      </c>
      <c r="BC620" s="215">
        <f ca="1">IF($D620&lt;&gt;"Serviço",0,IF(AND(AUTOEVENTO="Manual",$M620=1),0,IF(OFFSET(CRONOPLE!$F$14,$M620,BC$13)="",10^12,OFFSET(CRONOPLE!$F$14,$M620,BC$13))))</f>
        <v>1000000000000</v>
      </c>
      <c r="BD620" s="215">
        <f ca="1">IF($D620&lt;&gt;"Serviço",0,IF(AND(AUTOEVENTO="Manual",$M620=1),0,IF(OFFSET(CRONOPLE!$F$14,$M620,BD$13)="",10^12,OFFSET(CRONOPLE!$F$14,$M620,BD$13))))</f>
        <v>1000000000000</v>
      </c>
      <c r="BE620" s="215">
        <f ca="1">IF($D620&lt;&gt;"Serviço",0,IF(AND(AUTOEVENTO="Manual",$M620=1),0,IF(OFFSET(CRONOPLE!$F$14,$M620,BE$13)="",10^12,OFFSET(CRONOPLE!$F$14,$M620,BE$13))))</f>
        <v>1000000000000</v>
      </c>
      <c r="BF620" s="215">
        <f ca="1">IF($D620&lt;&gt;"Serviço",0,IF(AND(AUTOEVENTO="Manual",$M620=1),0,IF(OFFSET(CRONOPLE!$F$14,$M620,BF$13)="",10^12,OFFSET(CRONOPLE!$F$14,$M620,BF$13))))</f>
        <v>1000000000000</v>
      </c>
      <c r="BG620" s="215">
        <f ca="1">IF($D620&lt;&gt;"Serviço",0,IF(AND(AUTOEVENTO="Manual",$M620=1),0,IF(OFFSET(CRONOPLE!$F$14,$M620,BG$13)="",10^12,OFFSET(CRONOPLE!$F$14,$M620,BG$13))))</f>
        <v>1000000000000</v>
      </c>
      <c r="BH620" s="215">
        <f ca="1">IF($D620&lt;&gt;"Serviço",0,IF(AND(AUTOEVENTO="Manual",$M620=1),0,IF(OFFSET(CRONOPLE!$F$14,$M620,BH$13)="",10^12,OFFSET(CRONOPLE!$F$14,$M620,BH$13))))</f>
        <v>1000000000000</v>
      </c>
      <c r="BI620" s="215">
        <f ca="1">IF($D620&lt;&gt;"Serviço",0,IF(AND(AUTOEVENTO="Manual",$M620=1),0,IF(OFFSET(CRONOPLE!$F$14,$M620,BI$13)="",10^12,OFFSET(CRONOPLE!$F$14,$M620,BI$13))))</f>
        <v>1000000000000</v>
      </c>
      <c r="BJ620" s="215">
        <f ca="1">IF($D620&lt;&gt;"Serviço",0,IF(AND(AUTOEVENTO="Manual",$M620=1),0,IF(OFFSET(CRONOPLE!$F$14,$M620,BJ$13)="",10^12,OFFSET(CRONOPLE!$F$14,$M620,BJ$13))))</f>
        <v>1000000000000</v>
      </c>
      <c r="BK620" s="215">
        <f ca="1">IF($D620&lt;&gt;"Serviço",0,IF(AND(AUTOEVENTO="Manual",$M620=1),0,IF(OFFSET(CRONOPLE!$F$14,$M620,BK$13)="",10^12,OFFSET(CRONOPLE!$F$14,$M620,BK$13))))</f>
        <v>1000000000000</v>
      </c>
      <c r="BL620" s="215">
        <f ca="1">IF($D620&lt;&gt;"Serviço",0,IF(AND(AUTOEVENTO="Manual",$M620=1),0,IF(OFFSET(CRONOPLE!$F$14,$M620,BL$13)="",10^12,OFFSET(CRONOPLE!$F$14,$M620,BL$13))))</f>
        <v>1000000000000</v>
      </c>
      <c r="BM620" s="215">
        <f ca="1">IF($D620&lt;&gt;"Serviço",0,IF(AND(AUTOEVENTO="Manual",$M620=1),0,IF(OFFSET(CRONOPLE!$F$14,$M620,BM$13)="",10^12,OFFSET(CRONOPLE!$F$14,$M620,BM$13))))</f>
        <v>1000000000000</v>
      </c>
      <c r="BN620" s="215">
        <f ca="1">IF($D620&lt;&gt;"Serviço",0,IF(AND(AUTOEVENTO="Manual",$M620=1),0,IF(OFFSET(CRONOPLE!$F$14,$M620,BN$13)="",10^12,OFFSET(CRONOPLE!$F$14,$M620,BN$13))))</f>
        <v>1000000000000</v>
      </c>
      <c r="BO620" s="215">
        <f ca="1">IF($D620&lt;&gt;"Serviço",0,IF(AND(AUTOEVENTO="Manual",$M620=1),0,IF(OFFSET(CRONOPLE!$F$14,$M620,BO$13)="",10^12,OFFSET(CRONOPLE!$F$14,$M620,BO$13))))</f>
        <v>1000000000000</v>
      </c>
      <c r="BP620" s="215">
        <f ca="1">IF($D620&lt;&gt;"Serviço",0,IF(AND(AUTOEVENTO="Manual",$M620=1),0,IF(OFFSET(CRONOPLE!$F$14,$M620,BP$13)="",10^12,OFFSET(CRONOPLE!$F$14,$M620,BP$13))))</f>
        <v>1000000000000</v>
      </c>
      <c r="BQ620" s="215">
        <f ca="1">IF($D620&lt;&gt;"Serviço",0,IF(AND(AUTOEVENTO="Manual",$M620=1),0,IF(OFFSET(CRONOPLE!$F$14,$M620,BQ$13)="",10^12,OFFSET(CRONOPLE!$F$14,$M620,BQ$13))))</f>
        <v>1000000000000</v>
      </c>
      <c r="BR620" s="215">
        <f ca="1">IF($D620&lt;&gt;"Serviço",0,IF(AND(AUTOEVENTO="Manual",$M620=1),0,IF(OFFSET(CRONOPLE!$F$14,$M620,BR$13)="",10^12,OFFSET(CRONOPLE!$F$14,$M620,BR$13))))</f>
        <v>1000000000000</v>
      </c>
      <c r="BS620" s="215">
        <f ca="1">IF($D620&lt;&gt;"Serviço",0,IF(AND(AUTOEVENTO="Manual",$M620=1),0,IF(OFFSET(CRONOPLE!$F$14,$M620,BS$13)="",10^12,OFFSET(CRONOPLE!$F$14,$M620,BS$13))))</f>
        <v>1000000000000</v>
      </c>
      <c r="BT620" s="215">
        <f ca="1">IF($D620&lt;&gt;"Serviço",0,IF(AND(AUTOEVENTO="Manual",$M620=1),0,IF(OFFSET(CRONOPLE!$F$14,$M620,BT$13)="",10^12,OFFSET(CRONOPLE!$F$14,$M620,BT$13))))</f>
        <v>1000000000000</v>
      </c>
      <c r="BV620" s="216">
        <f ca="1">IF($D620&lt;&gt;"Serviço",0,IF(OR(AND(AUTOEVENTO="Manual",$M620=1),$M620&gt;(ROW(PLE.lastrow)-ROW(PLE.firstrow))),0,IF(OFFSET(PLE!$G$14,$M620,BV$13)="",10^12,OFFSET(PLE!$G$14,$M620,BV$13))))</f>
        <v>1000000000000</v>
      </c>
      <c r="BW620" s="216">
        <f ca="1">IF($D620&lt;&gt;"Serviço",0,IF(OR(AND(AUTOEVENTO="Manual",$M620=1),$M620&gt;(ROW(PLE.lastrow)-ROW(PLE.firstrow))),0,IF(OFFSET(PLE!$G$14,$M620,BW$13)="",10^12,OFFSET(PLE!$G$14,$M620,BW$13))))</f>
        <v>1000000000000</v>
      </c>
      <c r="BX620" s="216">
        <f ca="1">IF($D620&lt;&gt;"Serviço",0,IF(OR(AND(AUTOEVENTO="Manual",$M620=1),$M620&gt;(ROW(PLE.lastrow)-ROW(PLE.firstrow))),0,IF(OFFSET(PLE!$G$14,$M620,BX$13)="",10^12,OFFSET(PLE!$G$14,$M620,BX$13))))</f>
        <v>1000000000000</v>
      </c>
      <c r="BY620" s="216">
        <f ca="1">IF($D620&lt;&gt;"Serviço",0,IF(OR(AND(AUTOEVENTO="Manual",$M620=1),$M620&gt;(ROW(PLE.lastrow)-ROW(PLE.firstrow))),0,IF(OFFSET(PLE!$G$14,$M620,BY$13)="",10^12,OFFSET(PLE!$G$14,$M620,BY$13))))</f>
        <v>1000000000000</v>
      </c>
      <c r="BZ620" s="216">
        <f ca="1">IF($D620&lt;&gt;"Serviço",0,IF(OR(AND(AUTOEVENTO="Manual",$M620=1),$M620&gt;(ROW(PLE.lastrow)-ROW(PLE.firstrow))),0,IF(OFFSET(PLE!$G$14,$M620,BZ$13)="",10^12,OFFSET(PLE!$G$14,$M620,BZ$13))))</f>
        <v>1000000000000</v>
      </c>
      <c r="CA620" s="216">
        <f ca="1">IF($D620&lt;&gt;"Serviço",0,IF(OR(AND(AUTOEVENTO="Manual",$M620=1),$M620&gt;(ROW(PLE.lastrow)-ROW(PLE.firstrow))),0,IF(OFFSET(PLE!$G$14,$M620,CA$13)="",10^12,OFFSET(PLE!$G$14,$M620,CA$13))))</f>
        <v>1000000000000</v>
      </c>
      <c r="CB620" s="216">
        <f ca="1">IF($D620&lt;&gt;"Serviço",0,IF(OR(AND(AUTOEVENTO="Manual",$M620=1),$M620&gt;(ROW(PLE.lastrow)-ROW(PLE.firstrow))),0,IF(OFFSET(PLE!$G$14,$M620,CB$13)="",10^12,OFFSET(PLE!$G$14,$M620,CB$13))))</f>
        <v>1000000000000</v>
      </c>
      <c r="CC620" s="216">
        <f ca="1">IF($D620&lt;&gt;"Serviço",0,IF(OR(AND(AUTOEVENTO="Manual",$M620=1),$M620&gt;(ROW(PLE.lastrow)-ROW(PLE.firstrow))),0,IF(OFFSET(PLE!$G$14,$M620,CC$13)="",10^12,OFFSET(PLE!$G$14,$M620,CC$13))))</f>
        <v>1000000000000</v>
      </c>
      <c r="CD620" s="216">
        <f ca="1">IF($D620&lt;&gt;"Serviço",0,IF(OR(AND(AUTOEVENTO="Manual",$M620=1),$M620&gt;(ROW(PLE.lastrow)-ROW(PLE.firstrow))),0,IF(OFFSET(PLE!$G$14,$M620,CD$13)="",10^12,OFFSET(PLE!$G$14,$M620,CD$13))))</f>
        <v>1000000000000</v>
      </c>
      <c r="CE620" s="216">
        <f ca="1">IF($D620&lt;&gt;"Serviço",0,IF(OR(AND(AUTOEVENTO="Manual",$M620=1),$M620&gt;(ROW(PLE.lastrow)-ROW(PLE.firstrow))),0,IF(OFFSET(PLE!$G$14,$M620,CE$13)="",10^12,OFFSET(PLE!$G$14,$M620,CE$13))))</f>
        <v>1000000000000</v>
      </c>
      <c r="CF620" s="216">
        <f ca="1">IF($D620&lt;&gt;"Serviço",0,IF(OR(AND(AUTOEVENTO="Manual",$M620=1),$M620&gt;(ROW(PLE.lastrow)-ROW(PLE.firstrow))),0,IF(OFFSET(PLE!$G$14,$M620,CF$13)="",10^12,OFFSET(PLE!$G$14,$M620,CF$13))))</f>
        <v>1000000000000</v>
      </c>
      <c r="CG620" s="216">
        <f ca="1">IF($D620&lt;&gt;"Serviço",0,IF(OR(AND(AUTOEVENTO="Manual",$M620=1),$M620&gt;(ROW(PLE.lastrow)-ROW(PLE.firstrow))),0,IF(OFFSET(PLE!$G$14,$M620,CG$13)="",10^12,OFFSET(PLE!$G$14,$M620,CG$13))))</f>
        <v>1000000000000</v>
      </c>
      <c r="CH620" s="216">
        <f ca="1">IF($D620&lt;&gt;"Serviço",0,IF(OR(AND(AUTOEVENTO="Manual",$M620=1),$M620&gt;(ROW(PLE.lastrow)-ROW(PLE.firstrow))),0,IF(OFFSET(PLE!$G$14,$M620,CH$13)="",10^12,OFFSET(PLE!$G$14,$M620,CH$13))))</f>
        <v>1000000000000</v>
      </c>
      <c r="CI620" s="216">
        <f ca="1">IF($D620&lt;&gt;"Serviço",0,IF(OR(AND(AUTOEVENTO="Manual",$M620=1),$M620&gt;(ROW(PLE.lastrow)-ROW(PLE.firstrow))),0,IF(OFFSET(PLE!$G$14,$M620,CI$13)="",10^12,OFFSET(PLE!$G$14,$M620,CI$13))))</f>
        <v>1000000000000</v>
      </c>
      <c r="CJ620" s="216">
        <f ca="1">IF($D620&lt;&gt;"Serviço",0,IF(OR(AND(AUTOEVENTO="Manual",$M620=1),$M620&gt;(ROW(PLE.lastrow)-ROW(PLE.firstrow))),0,IF(OFFSET(PLE!$G$14,$M620,CJ$13)="",10^12,OFFSET(PLE!$G$14,$M620,CJ$13))))</f>
        <v>1000000000000</v>
      </c>
      <c r="CK620" s="216">
        <f ca="1">IF($D620&lt;&gt;"Serviço",0,IF(OR(AND(AUTOEVENTO="Manual",$M620=1),$M620&gt;(ROW(PLE.lastrow)-ROW(PLE.firstrow))),0,IF(OFFSET(PLE!$G$14,$M620,CK$13)="",10^12,OFFSET(PLE!$G$14,$M620,CK$13))))</f>
        <v>1000000000000</v>
      </c>
      <c r="CL620" s="216">
        <f ca="1">IF($D620&lt;&gt;"Serviço",0,IF(OR(AND(AUTOEVENTO="Manual",$M620=1),$M620&gt;(ROW(PLE.lastrow)-ROW(PLE.firstrow))),0,IF(OFFSET(PLE!$G$14,$M620,CL$13)="",10^12,OFFSET(PLE!$G$14,$M620,CL$13))))</f>
        <v>1000000000000</v>
      </c>
      <c r="CM620" s="216">
        <f ca="1">IF($D620&lt;&gt;"Serviço",0,IF(OR(AND(AUTOEVENTO="Manual",$M620=1),$M620&gt;(ROW(PLE.lastrow)-ROW(PLE.firstrow))),0,IF(OFFSET(PLE!$G$14,$M620,CM$13)="",10^12,OFFSET(PLE!$G$14,$M620,CM$13))))</f>
        <v>1000000000000</v>
      </c>
    </row>
    <row r="621" spans="1:91" ht="13.2" x14ac:dyDescent="0.25">
      <c r="A621" s="9">
        <f t="shared" ca="1" si="19"/>
        <v>0</v>
      </c>
      <c r="B621" s="9" t="str">
        <f ca="1">OFFSET(ORÇAMENTO!C$15,ROW(B621)-ROW(B$15),0)</f>
        <v>S</v>
      </c>
      <c r="C621" s="9" t="str">
        <f ca="1">OFFSET(ORÇAMENTO!L$15,ROW(C621)-ROW(C$15),0)</f>
        <v/>
      </c>
      <c r="D621" s="145" t="str">
        <f ca="1">OFFSET(ORÇAMENTO!N$15,ROW(D621)-ROW(D$15),0)</f>
        <v>Serviço</v>
      </c>
      <c r="E621" s="205" t="str">
        <f ca="1">OFFSET(ORÇAMENTO!O$15,ROW(E621)-ROW(E$15),0)</f>
        <v>-</v>
      </c>
      <c r="F621" s="206" t="str">
        <f ca="1">OFFSET(ORÇAMENTO!R$15,ROW(F621)-ROW(F$15),0)</f>
        <v>(abra o arquivo 'Referência 05-2024.xls)</v>
      </c>
      <c r="G621" s="207" t="str">
        <f ca="1">IF($D621&lt;&gt;"Serviço","",OFFSET(ORÇAMENTO!S$15,ROW(G621)-ROW(G$15),0))</f>
        <v>-</v>
      </c>
      <c r="H621" s="151">
        <f ca="1">IF($D621&lt;&gt;"Serviço",0,IF(ACOMPANHAMENTO="BM",ROUND(OFFSET(ORÇAMENTO!AJ$15,ROW(H621)-ROW(H$15),0),15-13*ORÇAMENTO!$AF$7),SUMPRODUCT(($Q$12:$AI$12&lt;&gt;"")*ROUND($Q621:$AI621,15-13*ORÇAMENTO!$AF$7))))</f>
        <v>140</v>
      </c>
      <c r="I621" s="650"/>
      <c r="K621" s="208"/>
      <c r="L621" s="209" t="s">
        <v>257</v>
      </c>
      <c r="M621" s="210">
        <f ca="1">IF($D621&lt;&gt;"Serviço","",IF(AUTOEVENTO="manual",$A621,IF(ISERROR(MATCH($A621,$A$15:OFFSET($A621,-1,0),0)),MAX($M$15:OFFSET(M621,-1,0))+1,INDEX($M$15:OFFSET(M621,-1,0),MATCH($A621,$A$15:OFFSET($A621,-1,0),0)))))</f>
        <v>0</v>
      </c>
      <c r="N621" s="211" t="str">
        <f ca="1">IF($D621&lt;&gt;"Serviço","",IF(AUTOEVENTO="Manual",IF($A621=0,"&lt;-- defina o número do agrupador",OFFSET(EVENTOS!$D$14,$A621,0)),OFFSET($F$15,$A621,0)))</f>
        <v>&lt;-- defina o número do agrupador</v>
      </c>
      <c r="O621" s="212"/>
      <c r="Q621" s="212"/>
      <c r="R621" s="213"/>
      <c r="S621" s="213"/>
      <c r="T621" s="213"/>
      <c r="U621" s="213"/>
      <c r="V621" s="213"/>
      <c r="W621" s="213"/>
      <c r="X621" s="213"/>
      <c r="Y621" s="213"/>
      <c r="Z621" s="214"/>
      <c r="AA621" s="213"/>
      <c r="AB621" s="213"/>
      <c r="AC621" s="213"/>
      <c r="AD621" s="213"/>
      <c r="AE621" s="213"/>
      <c r="AF621" s="213"/>
      <c r="AG621" s="213"/>
      <c r="AH621" s="214"/>
      <c r="AJ621" s="631">
        <f ca="1">IF(AND($D621="Serviço",AJ$12&lt;&gt;0,$H621&gt;0,OR(AUTOEVENTO&lt;&gt;"manual",$M621&lt;&gt;1)),ROUND(OFFSET($P621,0,AJ$13),15-13*ORÇAMENTO!$AF$7)/$H621*OFFSET(ORÇAMENTO!$X$15,ROW(AJ621)-ROW(AJ$15),0),0)</f>
        <v>0</v>
      </c>
      <c r="AK621" s="632">
        <f ca="1">IF(AND($D621="Serviço",AK$12&lt;&gt;0,$H621&gt;0,OR(AUTOEVENTO&lt;&gt;"manual",$M621&lt;&gt;1)),ROUND(OFFSET($P621,0,AK$13),15-13*ORÇAMENTO!$AF$7)/$H621*OFFSET(ORÇAMENTO!$X$15,ROW(AK621)-ROW(AK$15),0),0)</f>
        <v>0</v>
      </c>
      <c r="AL621" s="632">
        <f ca="1">IF(AND($D621="Serviço",AL$12&lt;&gt;0,$H621&gt;0,OR(AUTOEVENTO&lt;&gt;"manual",$M621&lt;&gt;1)),ROUND(OFFSET($P621,0,AL$13),15-13*ORÇAMENTO!$AF$7)/$H621*OFFSET(ORÇAMENTO!$X$15,ROW(AL621)-ROW(AL$15),0),0)</f>
        <v>0</v>
      </c>
      <c r="AM621" s="632">
        <f ca="1">IF(AND($D621="Serviço",AM$12&lt;&gt;0,$H621&gt;0,OR(AUTOEVENTO&lt;&gt;"manual",$M621&lt;&gt;1)),ROUND(OFFSET($P621,0,AM$13),15-13*ORÇAMENTO!$AF$7)/$H621*OFFSET(ORÇAMENTO!$X$15,ROW(AM621)-ROW(AM$15),0),0)</f>
        <v>0</v>
      </c>
      <c r="AN621" s="632">
        <f ca="1">IF(AND($D621="Serviço",AN$12&lt;&gt;0,$H621&gt;0,OR(AUTOEVENTO&lt;&gt;"manual",$M621&lt;&gt;1)),ROUND(OFFSET($P621,0,AN$13),15-13*ORÇAMENTO!$AF$7)/$H621*OFFSET(ORÇAMENTO!$X$15,ROW(AN621)-ROW(AN$15),0),0)</f>
        <v>0</v>
      </c>
      <c r="AO621" s="632">
        <f ca="1">IF(AND($D621="Serviço",AO$12&lt;&gt;0,$H621&gt;0,OR(AUTOEVENTO&lt;&gt;"manual",$M621&lt;&gt;1)),ROUND(OFFSET($P621,0,AO$13),15-13*ORÇAMENTO!$AF$7)/$H621*OFFSET(ORÇAMENTO!$X$15,ROW(AO621)-ROW(AO$15),0),0)</f>
        <v>0</v>
      </c>
      <c r="AP621" s="632">
        <f ca="1">IF(AND($D621="Serviço",AP$12&lt;&gt;0,$H621&gt;0,OR(AUTOEVENTO&lt;&gt;"manual",$M621&lt;&gt;1)),ROUND(OFFSET($P621,0,AP$13),15-13*ORÇAMENTO!$AF$7)/$H621*OFFSET(ORÇAMENTO!$X$15,ROW(AP621)-ROW(AP$15),0),0)</f>
        <v>0</v>
      </c>
      <c r="AQ621" s="632">
        <f ca="1">IF(AND($D621="Serviço",AQ$12&lt;&gt;0,$H621&gt;0,OR(AUTOEVENTO&lt;&gt;"manual",$M621&lt;&gt;1)),ROUND(OFFSET($P621,0,AQ$13),15-13*ORÇAMENTO!$AF$7)/$H621*OFFSET(ORÇAMENTO!$X$15,ROW(AQ621)-ROW(AQ$15),0),0)</f>
        <v>0</v>
      </c>
      <c r="AR621" s="632">
        <f ca="1">IF(AND($D621="Serviço",AR$12&lt;&gt;0,$H621&gt;0,OR(AUTOEVENTO&lt;&gt;"manual",$M621&lt;&gt;1)),ROUND(OFFSET($P621,0,AR$13),15-13*ORÇAMENTO!$AF$7)/$H621*OFFSET(ORÇAMENTO!$X$15,ROW(AR621)-ROW(AR$15),0),0)</f>
        <v>0</v>
      </c>
      <c r="AS621" s="633">
        <f ca="1">IF(AND($D621="Serviço",AS$12&lt;&gt;0,$H621&gt;0,OR(AUTOEVENTO&lt;&gt;"manual",$M621&lt;&gt;1)),ROUND(OFFSET($P621,0,AS$13),15-13*ORÇAMENTO!$AF$7)/$H621*OFFSET(ORÇAMENTO!$X$15,ROW(AS621)-ROW(AS$15),0),0)</f>
        <v>0</v>
      </c>
      <c r="AT621" s="632">
        <f ca="1">IF(AND($D621="Serviço",AT$12&lt;&gt;0,$H621&gt;0,OR(AUTOEVENTO&lt;&gt;"manual",$M621&lt;&gt;1)),ROUND(OFFSET($P621,0,AT$13),15-13*ORÇAMENTO!$AF$7)/$H621*OFFSET(ORÇAMENTO!$X$15,ROW(AT621)-ROW(AT$15),0),0)</f>
        <v>0</v>
      </c>
      <c r="AU621" s="632">
        <f ca="1">IF(AND($D621="Serviço",AU$12&lt;&gt;0,$H621&gt;0,OR(AUTOEVENTO&lt;&gt;"manual",$M621&lt;&gt;1)),ROUND(OFFSET($P621,0,AU$13),15-13*ORÇAMENTO!$AF$7)/$H621*OFFSET(ORÇAMENTO!$X$15,ROW(AU621)-ROW(AU$15),0),0)</f>
        <v>0</v>
      </c>
      <c r="AV621" s="632">
        <f ca="1">IF(AND($D621="Serviço",AV$12&lt;&gt;0,$H621&gt;0,OR(AUTOEVENTO&lt;&gt;"manual",$M621&lt;&gt;1)),ROUND(OFFSET($P621,0,AV$13),15-13*ORÇAMENTO!$AF$7)/$H621*OFFSET(ORÇAMENTO!$X$15,ROW(AV621)-ROW(AV$15),0),0)</f>
        <v>0</v>
      </c>
      <c r="AW621" s="632">
        <f ca="1">IF(AND($D621="Serviço",AW$12&lt;&gt;0,$H621&gt;0,OR(AUTOEVENTO&lt;&gt;"manual",$M621&lt;&gt;1)),ROUND(OFFSET($P621,0,AW$13),15-13*ORÇAMENTO!$AF$7)/$H621*OFFSET(ORÇAMENTO!$X$15,ROW(AW621)-ROW(AW$15),0),0)</f>
        <v>0</v>
      </c>
      <c r="AX621" s="632">
        <f ca="1">IF(AND($D621="Serviço",AX$12&lt;&gt;0,$H621&gt;0,OR(AUTOEVENTO&lt;&gt;"manual",$M621&lt;&gt;1)),ROUND(OFFSET($P621,0,AX$13),15-13*ORÇAMENTO!$AF$7)/$H621*OFFSET(ORÇAMENTO!$X$15,ROW(AX621)-ROW(AX$15),0),0)</f>
        <v>0</v>
      </c>
      <c r="AY621" s="632">
        <f ca="1">IF(AND($D621="Serviço",AY$12&lt;&gt;0,$H621&gt;0,OR(AUTOEVENTO&lt;&gt;"manual",$M621&lt;&gt;1)),ROUND(OFFSET($P621,0,AY$13),15-13*ORÇAMENTO!$AF$7)/$H621*OFFSET(ORÇAMENTO!$X$15,ROW(AY621)-ROW(AY$15),0),0)</f>
        <v>0</v>
      </c>
      <c r="AZ621" s="632">
        <f ca="1">IF(AND($D621="Serviço",AZ$12&lt;&gt;0,$H621&gt;0,OR(AUTOEVENTO&lt;&gt;"manual",$M621&lt;&gt;1)),ROUND(OFFSET($P621,0,AZ$13),15-13*ORÇAMENTO!$AF$7)/$H621*OFFSET(ORÇAMENTO!$X$15,ROW(AZ621)-ROW(AZ$15),0),0)</f>
        <v>0</v>
      </c>
      <c r="BA621" s="633">
        <f ca="1">IF(AND($D621="Serviço",BA$12&lt;&gt;0,$H621&gt;0,OR(AUTOEVENTO&lt;&gt;"manual",$M621&lt;&gt;1)),ROUND(OFFSET($P621,0,BA$13),15-13*ORÇAMENTO!$AF$7)/$H621*OFFSET(ORÇAMENTO!$X$15,ROW(BA621)-ROW(BA$15),0),0)</f>
        <v>0</v>
      </c>
      <c r="BC621" s="215">
        <f ca="1">IF($D621&lt;&gt;"Serviço",0,IF(AND(AUTOEVENTO="Manual",$M621=1),0,IF(OFFSET(CRONOPLE!$F$14,$M621,BC$13)="",10^12,OFFSET(CRONOPLE!$F$14,$M621,BC$13))))</f>
        <v>1000000000000</v>
      </c>
      <c r="BD621" s="215">
        <f ca="1">IF($D621&lt;&gt;"Serviço",0,IF(AND(AUTOEVENTO="Manual",$M621=1),0,IF(OFFSET(CRONOPLE!$F$14,$M621,BD$13)="",10^12,OFFSET(CRONOPLE!$F$14,$M621,BD$13))))</f>
        <v>1000000000000</v>
      </c>
      <c r="BE621" s="215">
        <f ca="1">IF($D621&lt;&gt;"Serviço",0,IF(AND(AUTOEVENTO="Manual",$M621=1),0,IF(OFFSET(CRONOPLE!$F$14,$M621,BE$13)="",10^12,OFFSET(CRONOPLE!$F$14,$M621,BE$13))))</f>
        <v>1000000000000</v>
      </c>
      <c r="BF621" s="215">
        <f ca="1">IF($D621&lt;&gt;"Serviço",0,IF(AND(AUTOEVENTO="Manual",$M621=1),0,IF(OFFSET(CRONOPLE!$F$14,$M621,BF$13)="",10^12,OFFSET(CRONOPLE!$F$14,$M621,BF$13))))</f>
        <v>1000000000000</v>
      </c>
      <c r="BG621" s="215">
        <f ca="1">IF($D621&lt;&gt;"Serviço",0,IF(AND(AUTOEVENTO="Manual",$M621=1),0,IF(OFFSET(CRONOPLE!$F$14,$M621,BG$13)="",10^12,OFFSET(CRONOPLE!$F$14,$M621,BG$13))))</f>
        <v>1000000000000</v>
      </c>
      <c r="BH621" s="215">
        <f ca="1">IF($D621&lt;&gt;"Serviço",0,IF(AND(AUTOEVENTO="Manual",$M621=1),0,IF(OFFSET(CRONOPLE!$F$14,$M621,BH$13)="",10^12,OFFSET(CRONOPLE!$F$14,$M621,BH$13))))</f>
        <v>1000000000000</v>
      </c>
      <c r="BI621" s="215">
        <f ca="1">IF($D621&lt;&gt;"Serviço",0,IF(AND(AUTOEVENTO="Manual",$M621=1),0,IF(OFFSET(CRONOPLE!$F$14,$M621,BI$13)="",10^12,OFFSET(CRONOPLE!$F$14,$M621,BI$13))))</f>
        <v>1000000000000</v>
      </c>
      <c r="BJ621" s="215">
        <f ca="1">IF($D621&lt;&gt;"Serviço",0,IF(AND(AUTOEVENTO="Manual",$M621=1),0,IF(OFFSET(CRONOPLE!$F$14,$M621,BJ$13)="",10^12,OFFSET(CRONOPLE!$F$14,$M621,BJ$13))))</f>
        <v>1000000000000</v>
      </c>
      <c r="BK621" s="215">
        <f ca="1">IF($D621&lt;&gt;"Serviço",0,IF(AND(AUTOEVENTO="Manual",$M621=1),0,IF(OFFSET(CRONOPLE!$F$14,$M621,BK$13)="",10^12,OFFSET(CRONOPLE!$F$14,$M621,BK$13))))</f>
        <v>1000000000000</v>
      </c>
      <c r="BL621" s="215">
        <f ca="1">IF($D621&lt;&gt;"Serviço",0,IF(AND(AUTOEVENTO="Manual",$M621=1),0,IF(OFFSET(CRONOPLE!$F$14,$M621,BL$13)="",10^12,OFFSET(CRONOPLE!$F$14,$M621,BL$13))))</f>
        <v>1000000000000</v>
      </c>
      <c r="BM621" s="215">
        <f ca="1">IF($D621&lt;&gt;"Serviço",0,IF(AND(AUTOEVENTO="Manual",$M621=1),0,IF(OFFSET(CRONOPLE!$F$14,$M621,BM$13)="",10^12,OFFSET(CRONOPLE!$F$14,$M621,BM$13))))</f>
        <v>1000000000000</v>
      </c>
      <c r="BN621" s="215">
        <f ca="1">IF($D621&lt;&gt;"Serviço",0,IF(AND(AUTOEVENTO="Manual",$M621=1),0,IF(OFFSET(CRONOPLE!$F$14,$M621,BN$13)="",10^12,OFFSET(CRONOPLE!$F$14,$M621,BN$13))))</f>
        <v>1000000000000</v>
      </c>
      <c r="BO621" s="215">
        <f ca="1">IF($D621&lt;&gt;"Serviço",0,IF(AND(AUTOEVENTO="Manual",$M621=1),0,IF(OFFSET(CRONOPLE!$F$14,$M621,BO$13)="",10^12,OFFSET(CRONOPLE!$F$14,$M621,BO$13))))</f>
        <v>1000000000000</v>
      </c>
      <c r="BP621" s="215">
        <f ca="1">IF($D621&lt;&gt;"Serviço",0,IF(AND(AUTOEVENTO="Manual",$M621=1),0,IF(OFFSET(CRONOPLE!$F$14,$M621,BP$13)="",10^12,OFFSET(CRONOPLE!$F$14,$M621,BP$13))))</f>
        <v>1000000000000</v>
      </c>
      <c r="BQ621" s="215">
        <f ca="1">IF($D621&lt;&gt;"Serviço",0,IF(AND(AUTOEVENTO="Manual",$M621=1),0,IF(OFFSET(CRONOPLE!$F$14,$M621,BQ$13)="",10^12,OFFSET(CRONOPLE!$F$14,$M621,BQ$13))))</f>
        <v>1000000000000</v>
      </c>
      <c r="BR621" s="215">
        <f ca="1">IF($D621&lt;&gt;"Serviço",0,IF(AND(AUTOEVENTO="Manual",$M621=1),0,IF(OFFSET(CRONOPLE!$F$14,$M621,BR$13)="",10^12,OFFSET(CRONOPLE!$F$14,$M621,BR$13))))</f>
        <v>1000000000000</v>
      </c>
      <c r="BS621" s="215">
        <f ca="1">IF($D621&lt;&gt;"Serviço",0,IF(AND(AUTOEVENTO="Manual",$M621=1),0,IF(OFFSET(CRONOPLE!$F$14,$M621,BS$13)="",10^12,OFFSET(CRONOPLE!$F$14,$M621,BS$13))))</f>
        <v>1000000000000</v>
      </c>
      <c r="BT621" s="215">
        <f ca="1">IF($D621&lt;&gt;"Serviço",0,IF(AND(AUTOEVENTO="Manual",$M621=1),0,IF(OFFSET(CRONOPLE!$F$14,$M621,BT$13)="",10^12,OFFSET(CRONOPLE!$F$14,$M621,BT$13))))</f>
        <v>1000000000000</v>
      </c>
      <c r="BV621" s="216">
        <f ca="1">IF($D621&lt;&gt;"Serviço",0,IF(OR(AND(AUTOEVENTO="Manual",$M621=1),$M621&gt;(ROW(PLE.lastrow)-ROW(PLE.firstrow))),0,IF(OFFSET(PLE!$G$14,$M621,BV$13)="",10^12,OFFSET(PLE!$G$14,$M621,BV$13))))</f>
        <v>1000000000000</v>
      </c>
      <c r="BW621" s="216">
        <f ca="1">IF($D621&lt;&gt;"Serviço",0,IF(OR(AND(AUTOEVENTO="Manual",$M621=1),$M621&gt;(ROW(PLE.lastrow)-ROW(PLE.firstrow))),0,IF(OFFSET(PLE!$G$14,$M621,BW$13)="",10^12,OFFSET(PLE!$G$14,$M621,BW$13))))</f>
        <v>1000000000000</v>
      </c>
      <c r="BX621" s="216">
        <f ca="1">IF($D621&lt;&gt;"Serviço",0,IF(OR(AND(AUTOEVENTO="Manual",$M621=1),$M621&gt;(ROW(PLE.lastrow)-ROW(PLE.firstrow))),0,IF(OFFSET(PLE!$G$14,$M621,BX$13)="",10^12,OFFSET(PLE!$G$14,$M621,BX$13))))</f>
        <v>1000000000000</v>
      </c>
      <c r="BY621" s="216">
        <f ca="1">IF($D621&lt;&gt;"Serviço",0,IF(OR(AND(AUTOEVENTO="Manual",$M621=1),$M621&gt;(ROW(PLE.lastrow)-ROW(PLE.firstrow))),0,IF(OFFSET(PLE!$G$14,$M621,BY$13)="",10^12,OFFSET(PLE!$G$14,$M621,BY$13))))</f>
        <v>1000000000000</v>
      </c>
      <c r="BZ621" s="216">
        <f ca="1">IF($D621&lt;&gt;"Serviço",0,IF(OR(AND(AUTOEVENTO="Manual",$M621=1),$M621&gt;(ROW(PLE.lastrow)-ROW(PLE.firstrow))),0,IF(OFFSET(PLE!$G$14,$M621,BZ$13)="",10^12,OFFSET(PLE!$G$14,$M621,BZ$13))))</f>
        <v>1000000000000</v>
      </c>
      <c r="CA621" s="216">
        <f ca="1">IF($D621&lt;&gt;"Serviço",0,IF(OR(AND(AUTOEVENTO="Manual",$M621=1),$M621&gt;(ROW(PLE.lastrow)-ROW(PLE.firstrow))),0,IF(OFFSET(PLE!$G$14,$M621,CA$13)="",10^12,OFFSET(PLE!$G$14,$M621,CA$13))))</f>
        <v>1000000000000</v>
      </c>
      <c r="CB621" s="216">
        <f ca="1">IF($D621&lt;&gt;"Serviço",0,IF(OR(AND(AUTOEVENTO="Manual",$M621=1),$M621&gt;(ROW(PLE.lastrow)-ROW(PLE.firstrow))),0,IF(OFFSET(PLE!$G$14,$M621,CB$13)="",10^12,OFFSET(PLE!$G$14,$M621,CB$13))))</f>
        <v>1000000000000</v>
      </c>
      <c r="CC621" s="216">
        <f ca="1">IF($D621&lt;&gt;"Serviço",0,IF(OR(AND(AUTOEVENTO="Manual",$M621=1),$M621&gt;(ROW(PLE.lastrow)-ROW(PLE.firstrow))),0,IF(OFFSET(PLE!$G$14,$M621,CC$13)="",10^12,OFFSET(PLE!$G$14,$M621,CC$13))))</f>
        <v>1000000000000</v>
      </c>
      <c r="CD621" s="216">
        <f ca="1">IF($D621&lt;&gt;"Serviço",0,IF(OR(AND(AUTOEVENTO="Manual",$M621=1),$M621&gt;(ROW(PLE.lastrow)-ROW(PLE.firstrow))),0,IF(OFFSET(PLE!$G$14,$M621,CD$13)="",10^12,OFFSET(PLE!$G$14,$M621,CD$13))))</f>
        <v>1000000000000</v>
      </c>
      <c r="CE621" s="216">
        <f ca="1">IF($D621&lt;&gt;"Serviço",0,IF(OR(AND(AUTOEVENTO="Manual",$M621=1),$M621&gt;(ROW(PLE.lastrow)-ROW(PLE.firstrow))),0,IF(OFFSET(PLE!$G$14,$M621,CE$13)="",10^12,OFFSET(PLE!$G$14,$M621,CE$13))))</f>
        <v>1000000000000</v>
      </c>
      <c r="CF621" s="216">
        <f ca="1">IF($D621&lt;&gt;"Serviço",0,IF(OR(AND(AUTOEVENTO="Manual",$M621=1),$M621&gt;(ROW(PLE.lastrow)-ROW(PLE.firstrow))),0,IF(OFFSET(PLE!$G$14,$M621,CF$13)="",10^12,OFFSET(PLE!$G$14,$M621,CF$13))))</f>
        <v>1000000000000</v>
      </c>
      <c r="CG621" s="216">
        <f ca="1">IF($D621&lt;&gt;"Serviço",0,IF(OR(AND(AUTOEVENTO="Manual",$M621=1),$M621&gt;(ROW(PLE.lastrow)-ROW(PLE.firstrow))),0,IF(OFFSET(PLE!$G$14,$M621,CG$13)="",10^12,OFFSET(PLE!$G$14,$M621,CG$13))))</f>
        <v>1000000000000</v>
      </c>
      <c r="CH621" s="216">
        <f ca="1">IF($D621&lt;&gt;"Serviço",0,IF(OR(AND(AUTOEVENTO="Manual",$M621=1),$M621&gt;(ROW(PLE.lastrow)-ROW(PLE.firstrow))),0,IF(OFFSET(PLE!$G$14,$M621,CH$13)="",10^12,OFFSET(PLE!$G$14,$M621,CH$13))))</f>
        <v>1000000000000</v>
      </c>
      <c r="CI621" s="216">
        <f ca="1">IF($D621&lt;&gt;"Serviço",0,IF(OR(AND(AUTOEVENTO="Manual",$M621=1),$M621&gt;(ROW(PLE.lastrow)-ROW(PLE.firstrow))),0,IF(OFFSET(PLE!$G$14,$M621,CI$13)="",10^12,OFFSET(PLE!$G$14,$M621,CI$13))))</f>
        <v>1000000000000</v>
      </c>
      <c r="CJ621" s="216">
        <f ca="1">IF($D621&lt;&gt;"Serviço",0,IF(OR(AND(AUTOEVENTO="Manual",$M621=1),$M621&gt;(ROW(PLE.lastrow)-ROW(PLE.firstrow))),0,IF(OFFSET(PLE!$G$14,$M621,CJ$13)="",10^12,OFFSET(PLE!$G$14,$M621,CJ$13))))</f>
        <v>1000000000000</v>
      </c>
      <c r="CK621" s="216">
        <f ca="1">IF($D621&lt;&gt;"Serviço",0,IF(OR(AND(AUTOEVENTO="Manual",$M621=1),$M621&gt;(ROW(PLE.lastrow)-ROW(PLE.firstrow))),0,IF(OFFSET(PLE!$G$14,$M621,CK$13)="",10^12,OFFSET(PLE!$G$14,$M621,CK$13))))</f>
        <v>1000000000000</v>
      </c>
      <c r="CL621" s="216">
        <f ca="1">IF($D621&lt;&gt;"Serviço",0,IF(OR(AND(AUTOEVENTO="Manual",$M621=1),$M621&gt;(ROW(PLE.lastrow)-ROW(PLE.firstrow))),0,IF(OFFSET(PLE!$G$14,$M621,CL$13)="",10^12,OFFSET(PLE!$G$14,$M621,CL$13))))</f>
        <v>1000000000000</v>
      </c>
      <c r="CM621" s="216">
        <f ca="1">IF($D621&lt;&gt;"Serviço",0,IF(OR(AND(AUTOEVENTO="Manual",$M621=1),$M621&gt;(ROW(PLE.lastrow)-ROW(PLE.firstrow))),0,IF(OFFSET(PLE!$G$14,$M621,CM$13)="",10^12,OFFSET(PLE!$G$14,$M621,CM$13))))</f>
        <v>1000000000000</v>
      </c>
    </row>
    <row r="622" spans="1:91" ht="13.2" x14ac:dyDescent="0.25">
      <c r="A622" s="9">
        <f t="shared" ca="1" si="19"/>
        <v>0</v>
      </c>
      <c r="B622" s="9" t="str">
        <f ca="1">OFFSET(ORÇAMENTO!C$15,ROW(B622)-ROW(B$15),0)</f>
        <v>S</v>
      </c>
      <c r="C622" s="9" t="str">
        <f ca="1">OFFSET(ORÇAMENTO!L$15,ROW(C622)-ROW(C$15),0)</f>
        <v/>
      </c>
      <c r="D622" s="145" t="str">
        <f ca="1">OFFSET(ORÇAMENTO!N$15,ROW(D622)-ROW(D$15),0)</f>
        <v>Serviço</v>
      </c>
      <c r="E622" s="205" t="str">
        <f ca="1">OFFSET(ORÇAMENTO!O$15,ROW(E622)-ROW(E$15),0)</f>
        <v>-</v>
      </c>
      <c r="F622" s="206" t="str">
        <f ca="1">OFFSET(ORÇAMENTO!R$15,ROW(F622)-ROW(F$15),0)</f>
        <v>(abra o arquivo 'Referência 05-2024.xls)</v>
      </c>
      <c r="G622" s="207" t="str">
        <f ca="1">IF($D622&lt;&gt;"Serviço","",OFFSET(ORÇAMENTO!S$15,ROW(G622)-ROW(G$15),0))</f>
        <v>-</v>
      </c>
      <c r="H622" s="151">
        <f ca="1">IF($D622&lt;&gt;"Serviço",0,IF(ACOMPANHAMENTO="BM",ROUND(OFFSET(ORÇAMENTO!AJ$15,ROW(H622)-ROW(H$15),0),15-13*ORÇAMENTO!$AF$7),SUMPRODUCT(($Q$12:$AI$12&lt;&gt;"")*ROUND($Q622:$AI622,15-13*ORÇAMENTO!$AF$7))))</f>
        <v>16</v>
      </c>
      <c r="I622" s="650"/>
      <c r="K622" s="208"/>
      <c r="L622" s="209" t="s">
        <v>257</v>
      </c>
      <c r="M622" s="210">
        <f ca="1">IF($D622&lt;&gt;"Serviço","",IF(AUTOEVENTO="manual",$A622,IF(ISERROR(MATCH($A622,$A$15:OFFSET($A622,-1,0),0)),MAX($M$15:OFFSET(M622,-1,0))+1,INDEX($M$15:OFFSET(M622,-1,0),MATCH($A622,$A$15:OFFSET($A622,-1,0),0)))))</f>
        <v>0</v>
      </c>
      <c r="N622" s="211" t="str">
        <f ca="1">IF($D622&lt;&gt;"Serviço","",IF(AUTOEVENTO="Manual",IF($A622=0,"&lt;-- defina o número do agrupador",OFFSET(EVENTOS!$D$14,$A622,0)),OFFSET($F$15,$A622,0)))</f>
        <v>&lt;-- defina o número do agrupador</v>
      </c>
      <c r="O622" s="212"/>
      <c r="Q622" s="212"/>
      <c r="R622" s="213"/>
      <c r="S622" s="213"/>
      <c r="T622" s="213"/>
      <c r="U622" s="213"/>
      <c r="V622" s="213"/>
      <c r="W622" s="213"/>
      <c r="X622" s="213"/>
      <c r="Y622" s="213"/>
      <c r="Z622" s="214"/>
      <c r="AA622" s="213"/>
      <c r="AB622" s="213"/>
      <c r="AC622" s="213"/>
      <c r="AD622" s="213"/>
      <c r="AE622" s="213"/>
      <c r="AF622" s="213"/>
      <c r="AG622" s="213"/>
      <c r="AH622" s="214"/>
      <c r="AJ622" s="631">
        <f ca="1">IF(AND($D622="Serviço",AJ$12&lt;&gt;0,$H622&gt;0,OR(AUTOEVENTO&lt;&gt;"manual",$M622&lt;&gt;1)),ROUND(OFFSET($P622,0,AJ$13),15-13*ORÇAMENTO!$AF$7)/$H622*OFFSET(ORÇAMENTO!$X$15,ROW(AJ622)-ROW(AJ$15),0),0)</f>
        <v>0</v>
      </c>
      <c r="AK622" s="632">
        <f ca="1">IF(AND($D622="Serviço",AK$12&lt;&gt;0,$H622&gt;0,OR(AUTOEVENTO&lt;&gt;"manual",$M622&lt;&gt;1)),ROUND(OFFSET($P622,0,AK$13),15-13*ORÇAMENTO!$AF$7)/$H622*OFFSET(ORÇAMENTO!$X$15,ROW(AK622)-ROW(AK$15),0),0)</f>
        <v>0</v>
      </c>
      <c r="AL622" s="632">
        <f ca="1">IF(AND($D622="Serviço",AL$12&lt;&gt;0,$H622&gt;0,OR(AUTOEVENTO&lt;&gt;"manual",$M622&lt;&gt;1)),ROUND(OFFSET($P622,0,AL$13),15-13*ORÇAMENTO!$AF$7)/$H622*OFFSET(ORÇAMENTO!$X$15,ROW(AL622)-ROW(AL$15),0),0)</f>
        <v>0</v>
      </c>
      <c r="AM622" s="632">
        <f ca="1">IF(AND($D622="Serviço",AM$12&lt;&gt;0,$H622&gt;0,OR(AUTOEVENTO&lt;&gt;"manual",$M622&lt;&gt;1)),ROUND(OFFSET($P622,0,AM$13),15-13*ORÇAMENTO!$AF$7)/$H622*OFFSET(ORÇAMENTO!$X$15,ROW(AM622)-ROW(AM$15),0),0)</f>
        <v>0</v>
      </c>
      <c r="AN622" s="632">
        <f ca="1">IF(AND($D622="Serviço",AN$12&lt;&gt;0,$H622&gt;0,OR(AUTOEVENTO&lt;&gt;"manual",$M622&lt;&gt;1)),ROUND(OFFSET($P622,0,AN$13),15-13*ORÇAMENTO!$AF$7)/$H622*OFFSET(ORÇAMENTO!$X$15,ROW(AN622)-ROW(AN$15),0),0)</f>
        <v>0</v>
      </c>
      <c r="AO622" s="632">
        <f ca="1">IF(AND($D622="Serviço",AO$12&lt;&gt;0,$H622&gt;0,OR(AUTOEVENTO&lt;&gt;"manual",$M622&lt;&gt;1)),ROUND(OFFSET($P622,0,AO$13),15-13*ORÇAMENTO!$AF$7)/$H622*OFFSET(ORÇAMENTO!$X$15,ROW(AO622)-ROW(AO$15),0),0)</f>
        <v>0</v>
      </c>
      <c r="AP622" s="632">
        <f ca="1">IF(AND($D622="Serviço",AP$12&lt;&gt;0,$H622&gt;0,OR(AUTOEVENTO&lt;&gt;"manual",$M622&lt;&gt;1)),ROUND(OFFSET($P622,0,AP$13),15-13*ORÇAMENTO!$AF$7)/$H622*OFFSET(ORÇAMENTO!$X$15,ROW(AP622)-ROW(AP$15),0),0)</f>
        <v>0</v>
      </c>
      <c r="AQ622" s="632">
        <f ca="1">IF(AND($D622="Serviço",AQ$12&lt;&gt;0,$H622&gt;0,OR(AUTOEVENTO&lt;&gt;"manual",$M622&lt;&gt;1)),ROUND(OFFSET($P622,0,AQ$13),15-13*ORÇAMENTO!$AF$7)/$H622*OFFSET(ORÇAMENTO!$X$15,ROW(AQ622)-ROW(AQ$15),0),0)</f>
        <v>0</v>
      </c>
      <c r="AR622" s="632">
        <f ca="1">IF(AND($D622="Serviço",AR$12&lt;&gt;0,$H622&gt;0,OR(AUTOEVENTO&lt;&gt;"manual",$M622&lt;&gt;1)),ROUND(OFFSET($P622,0,AR$13),15-13*ORÇAMENTO!$AF$7)/$H622*OFFSET(ORÇAMENTO!$X$15,ROW(AR622)-ROW(AR$15),0),0)</f>
        <v>0</v>
      </c>
      <c r="AS622" s="633">
        <f ca="1">IF(AND($D622="Serviço",AS$12&lt;&gt;0,$H622&gt;0,OR(AUTOEVENTO&lt;&gt;"manual",$M622&lt;&gt;1)),ROUND(OFFSET($P622,0,AS$13),15-13*ORÇAMENTO!$AF$7)/$H622*OFFSET(ORÇAMENTO!$X$15,ROW(AS622)-ROW(AS$15),0),0)</f>
        <v>0</v>
      </c>
      <c r="AT622" s="632">
        <f ca="1">IF(AND($D622="Serviço",AT$12&lt;&gt;0,$H622&gt;0,OR(AUTOEVENTO&lt;&gt;"manual",$M622&lt;&gt;1)),ROUND(OFFSET($P622,0,AT$13),15-13*ORÇAMENTO!$AF$7)/$H622*OFFSET(ORÇAMENTO!$X$15,ROW(AT622)-ROW(AT$15),0),0)</f>
        <v>0</v>
      </c>
      <c r="AU622" s="632">
        <f ca="1">IF(AND($D622="Serviço",AU$12&lt;&gt;0,$H622&gt;0,OR(AUTOEVENTO&lt;&gt;"manual",$M622&lt;&gt;1)),ROUND(OFFSET($P622,0,AU$13),15-13*ORÇAMENTO!$AF$7)/$H622*OFFSET(ORÇAMENTO!$X$15,ROW(AU622)-ROW(AU$15),0),0)</f>
        <v>0</v>
      </c>
      <c r="AV622" s="632">
        <f ca="1">IF(AND($D622="Serviço",AV$12&lt;&gt;0,$H622&gt;0,OR(AUTOEVENTO&lt;&gt;"manual",$M622&lt;&gt;1)),ROUND(OFFSET($P622,0,AV$13),15-13*ORÇAMENTO!$AF$7)/$H622*OFFSET(ORÇAMENTO!$X$15,ROW(AV622)-ROW(AV$15),0),0)</f>
        <v>0</v>
      </c>
      <c r="AW622" s="632">
        <f ca="1">IF(AND($D622="Serviço",AW$12&lt;&gt;0,$H622&gt;0,OR(AUTOEVENTO&lt;&gt;"manual",$M622&lt;&gt;1)),ROUND(OFFSET($P622,0,AW$13),15-13*ORÇAMENTO!$AF$7)/$H622*OFFSET(ORÇAMENTO!$X$15,ROW(AW622)-ROW(AW$15),0),0)</f>
        <v>0</v>
      </c>
      <c r="AX622" s="632">
        <f ca="1">IF(AND($D622="Serviço",AX$12&lt;&gt;0,$H622&gt;0,OR(AUTOEVENTO&lt;&gt;"manual",$M622&lt;&gt;1)),ROUND(OFFSET($P622,0,AX$13),15-13*ORÇAMENTO!$AF$7)/$H622*OFFSET(ORÇAMENTO!$X$15,ROW(AX622)-ROW(AX$15),0),0)</f>
        <v>0</v>
      </c>
      <c r="AY622" s="632">
        <f ca="1">IF(AND($D622="Serviço",AY$12&lt;&gt;0,$H622&gt;0,OR(AUTOEVENTO&lt;&gt;"manual",$M622&lt;&gt;1)),ROUND(OFFSET($P622,0,AY$13),15-13*ORÇAMENTO!$AF$7)/$H622*OFFSET(ORÇAMENTO!$X$15,ROW(AY622)-ROW(AY$15),0),0)</f>
        <v>0</v>
      </c>
      <c r="AZ622" s="632">
        <f ca="1">IF(AND($D622="Serviço",AZ$12&lt;&gt;0,$H622&gt;0,OR(AUTOEVENTO&lt;&gt;"manual",$M622&lt;&gt;1)),ROUND(OFFSET($P622,0,AZ$13),15-13*ORÇAMENTO!$AF$7)/$H622*OFFSET(ORÇAMENTO!$X$15,ROW(AZ622)-ROW(AZ$15),0),0)</f>
        <v>0</v>
      </c>
      <c r="BA622" s="633">
        <f ca="1">IF(AND($D622="Serviço",BA$12&lt;&gt;0,$H622&gt;0,OR(AUTOEVENTO&lt;&gt;"manual",$M622&lt;&gt;1)),ROUND(OFFSET($P622,0,BA$13),15-13*ORÇAMENTO!$AF$7)/$H622*OFFSET(ORÇAMENTO!$X$15,ROW(BA622)-ROW(BA$15),0),0)</f>
        <v>0</v>
      </c>
      <c r="BC622" s="215">
        <f ca="1">IF($D622&lt;&gt;"Serviço",0,IF(AND(AUTOEVENTO="Manual",$M622=1),0,IF(OFFSET(CRONOPLE!$F$14,$M622,BC$13)="",10^12,OFFSET(CRONOPLE!$F$14,$M622,BC$13))))</f>
        <v>1000000000000</v>
      </c>
      <c r="BD622" s="215">
        <f ca="1">IF($D622&lt;&gt;"Serviço",0,IF(AND(AUTOEVENTO="Manual",$M622=1),0,IF(OFFSET(CRONOPLE!$F$14,$M622,BD$13)="",10^12,OFFSET(CRONOPLE!$F$14,$M622,BD$13))))</f>
        <v>1000000000000</v>
      </c>
      <c r="BE622" s="215">
        <f ca="1">IF($D622&lt;&gt;"Serviço",0,IF(AND(AUTOEVENTO="Manual",$M622=1),0,IF(OFFSET(CRONOPLE!$F$14,$M622,BE$13)="",10^12,OFFSET(CRONOPLE!$F$14,$M622,BE$13))))</f>
        <v>1000000000000</v>
      </c>
      <c r="BF622" s="215">
        <f ca="1">IF($D622&lt;&gt;"Serviço",0,IF(AND(AUTOEVENTO="Manual",$M622=1),0,IF(OFFSET(CRONOPLE!$F$14,$M622,BF$13)="",10^12,OFFSET(CRONOPLE!$F$14,$M622,BF$13))))</f>
        <v>1000000000000</v>
      </c>
      <c r="BG622" s="215">
        <f ca="1">IF($D622&lt;&gt;"Serviço",0,IF(AND(AUTOEVENTO="Manual",$M622=1),0,IF(OFFSET(CRONOPLE!$F$14,$M622,BG$13)="",10^12,OFFSET(CRONOPLE!$F$14,$M622,BG$13))))</f>
        <v>1000000000000</v>
      </c>
      <c r="BH622" s="215">
        <f ca="1">IF($D622&lt;&gt;"Serviço",0,IF(AND(AUTOEVENTO="Manual",$M622=1),0,IF(OFFSET(CRONOPLE!$F$14,$M622,BH$13)="",10^12,OFFSET(CRONOPLE!$F$14,$M622,BH$13))))</f>
        <v>1000000000000</v>
      </c>
      <c r="BI622" s="215">
        <f ca="1">IF($D622&lt;&gt;"Serviço",0,IF(AND(AUTOEVENTO="Manual",$M622=1),0,IF(OFFSET(CRONOPLE!$F$14,$M622,BI$13)="",10^12,OFFSET(CRONOPLE!$F$14,$M622,BI$13))))</f>
        <v>1000000000000</v>
      </c>
      <c r="BJ622" s="215">
        <f ca="1">IF($D622&lt;&gt;"Serviço",0,IF(AND(AUTOEVENTO="Manual",$M622=1),0,IF(OFFSET(CRONOPLE!$F$14,$M622,BJ$13)="",10^12,OFFSET(CRONOPLE!$F$14,$M622,BJ$13))))</f>
        <v>1000000000000</v>
      </c>
      <c r="BK622" s="215">
        <f ca="1">IF($D622&lt;&gt;"Serviço",0,IF(AND(AUTOEVENTO="Manual",$M622=1),0,IF(OFFSET(CRONOPLE!$F$14,$M622,BK$13)="",10^12,OFFSET(CRONOPLE!$F$14,$M622,BK$13))))</f>
        <v>1000000000000</v>
      </c>
      <c r="BL622" s="215">
        <f ca="1">IF($D622&lt;&gt;"Serviço",0,IF(AND(AUTOEVENTO="Manual",$M622=1),0,IF(OFFSET(CRONOPLE!$F$14,$M622,BL$13)="",10^12,OFFSET(CRONOPLE!$F$14,$M622,BL$13))))</f>
        <v>1000000000000</v>
      </c>
      <c r="BM622" s="215">
        <f ca="1">IF($D622&lt;&gt;"Serviço",0,IF(AND(AUTOEVENTO="Manual",$M622=1),0,IF(OFFSET(CRONOPLE!$F$14,$M622,BM$13)="",10^12,OFFSET(CRONOPLE!$F$14,$M622,BM$13))))</f>
        <v>1000000000000</v>
      </c>
      <c r="BN622" s="215">
        <f ca="1">IF($D622&lt;&gt;"Serviço",0,IF(AND(AUTOEVENTO="Manual",$M622=1),0,IF(OFFSET(CRONOPLE!$F$14,$M622,BN$13)="",10^12,OFFSET(CRONOPLE!$F$14,$M622,BN$13))))</f>
        <v>1000000000000</v>
      </c>
      <c r="BO622" s="215">
        <f ca="1">IF($D622&lt;&gt;"Serviço",0,IF(AND(AUTOEVENTO="Manual",$M622=1),0,IF(OFFSET(CRONOPLE!$F$14,$M622,BO$13)="",10^12,OFFSET(CRONOPLE!$F$14,$M622,BO$13))))</f>
        <v>1000000000000</v>
      </c>
      <c r="BP622" s="215">
        <f ca="1">IF($D622&lt;&gt;"Serviço",0,IF(AND(AUTOEVENTO="Manual",$M622=1),0,IF(OFFSET(CRONOPLE!$F$14,$M622,BP$13)="",10^12,OFFSET(CRONOPLE!$F$14,$M622,BP$13))))</f>
        <v>1000000000000</v>
      </c>
      <c r="BQ622" s="215">
        <f ca="1">IF($D622&lt;&gt;"Serviço",0,IF(AND(AUTOEVENTO="Manual",$M622=1),0,IF(OFFSET(CRONOPLE!$F$14,$M622,BQ$13)="",10^12,OFFSET(CRONOPLE!$F$14,$M622,BQ$13))))</f>
        <v>1000000000000</v>
      </c>
      <c r="BR622" s="215">
        <f ca="1">IF($D622&lt;&gt;"Serviço",0,IF(AND(AUTOEVENTO="Manual",$M622=1),0,IF(OFFSET(CRONOPLE!$F$14,$M622,BR$13)="",10^12,OFFSET(CRONOPLE!$F$14,$M622,BR$13))))</f>
        <v>1000000000000</v>
      </c>
      <c r="BS622" s="215">
        <f ca="1">IF($D622&lt;&gt;"Serviço",0,IF(AND(AUTOEVENTO="Manual",$M622=1),0,IF(OFFSET(CRONOPLE!$F$14,$M622,BS$13)="",10^12,OFFSET(CRONOPLE!$F$14,$M622,BS$13))))</f>
        <v>1000000000000</v>
      </c>
      <c r="BT622" s="215">
        <f ca="1">IF($D622&lt;&gt;"Serviço",0,IF(AND(AUTOEVENTO="Manual",$M622=1),0,IF(OFFSET(CRONOPLE!$F$14,$M622,BT$13)="",10^12,OFFSET(CRONOPLE!$F$14,$M622,BT$13))))</f>
        <v>1000000000000</v>
      </c>
      <c r="BV622" s="216">
        <f ca="1">IF($D622&lt;&gt;"Serviço",0,IF(OR(AND(AUTOEVENTO="Manual",$M622=1),$M622&gt;(ROW(PLE.lastrow)-ROW(PLE.firstrow))),0,IF(OFFSET(PLE!$G$14,$M622,BV$13)="",10^12,OFFSET(PLE!$G$14,$M622,BV$13))))</f>
        <v>1000000000000</v>
      </c>
      <c r="BW622" s="216">
        <f ca="1">IF($D622&lt;&gt;"Serviço",0,IF(OR(AND(AUTOEVENTO="Manual",$M622=1),$M622&gt;(ROW(PLE.lastrow)-ROW(PLE.firstrow))),0,IF(OFFSET(PLE!$G$14,$M622,BW$13)="",10^12,OFFSET(PLE!$G$14,$M622,BW$13))))</f>
        <v>1000000000000</v>
      </c>
      <c r="BX622" s="216">
        <f ca="1">IF($D622&lt;&gt;"Serviço",0,IF(OR(AND(AUTOEVENTO="Manual",$M622=1),$M622&gt;(ROW(PLE.lastrow)-ROW(PLE.firstrow))),0,IF(OFFSET(PLE!$G$14,$M622,BX$13)="",10^12,OFFSET(PLE!$G$14,$M622,BX$13))))</f>
        <v>1000000000000</v>
      </c>
      <c r="BY622" s="216">
        <f ca="1">IF($D622&lt;&gt;"Serviço",0,IF(OR(AND(AUTOEVENTO="Manual",$M622=1),$M622&gt;(ROW(PLE.lastrow)-ROW(PLE.firstrow))),0,IF(OFFSET(PLE!$G$14,$M622,BY$13)="",10^12,OFFSET(PLE!$G$14,$M622,BY$13))))</f>
        <v>1000000000000</v>
      </c>
      <c r="BZ622" s="216">
        <f ca="1">IF($D622&lt;&gt;"Serviço",0,IF(OR(AND(AUTOEVENTO="Manual",$M622=1),$M622&gt;(ROW(PLE.lastrow)-ROW(PLE.firstrow))),0,IF(OFFSET(PLE!$G$14,$M622,BZ$13)="",10^12,OFFSET(PLE!$G$14,$M622,BZ$13))))</f>
        <v>1000000000000</v>
      </c>
      <c r="CA622" s="216">
        <f ca="1">IF($D622&lt;&gt;"Serviço",0,IF(OR(AND(AUTOEVENTO="Manual",$M622=1),$M622&gt;(ROW(PLE.lastrow)-ROW(PLE.firstrow))),0,IF(OFFSET(PLE!$G$14,$M622,CA$13)="",10^12,OFFSET(PLE!$G$14,$M622,CA$13))))</f>
        <v>1000000000000</v>
      </c>
      <c r="CB622" s="216">
        <f ca="1">IF($D622&lt;&gt;"Serviço",0,IF(OR(AND(AUTOEVENTO="Manual",$M622=1),$M622&gt;(ROW(PLE.lastrow)-ROW(PLE.firstrow))),0,IF(OFFSET(PLE!$G$14,$M622,CB$13)="",10^12,OFFSET(PLE!$G$14,$M622,CB$13))))</f>
        <v>1000000000000</v>
      </c>
      <c r="CC622" s="216">
        <f ca="1">IF($D622&lt;&gt;"Serviço",0,IF(OR(AND(AUTOEVENTO="Manual",$M622=1),$M622&gt;(ROW(PLE.lastrow)-ROW(PLE.firstrow))),0,IF(OFFSET(PLE!$G$14,$M622,CC$13)="",10^12,OFFSET(PLE!$G$14,$M622,CC$13))))</f>
        <v>1000000000000</v>
      </c>
      <c r="CD622" s="216">
        <f ca="1">IF($D622&lt;&gt;"Serviço",0,IF(OR(AND(AUTOEVENTO="Manual",$M622=1),$M622&gt;(ROW(PLE.lastrow)-ROW(PLE.firstrow))),0,IF(OFFSET(PLE!$G$14,$M622,CD$13)="",10^12,OFFSET(PLE!$G$14,$M622,CD$13))))</f>
        <v>1000000000000</v>
      </c>
      <c r="CE622" s="216">
        <f ca="1">IF($D622&lt;&gt;"Serviço",0,IF(OR(AND(AUTOEVENTO="Manual",$M622=1),$M622&gt;(ROW(PLE.lastrow)-ROW(PLE.firstrow))),0,IF(OFFSET(PLE!$G$14,$M622,CE$13)="",10^12,OFFSET(PLE!$G$14,$M622,CE$13))))</f>
        <v>1000000000000</v>
      </c>
      <c r="CF622" s="216">
        <f ca="1">IF($D622&lt;&gt;"Serviço",0,IF(OR(AND(AUTOEVENTO="Manual",$M622=1),$M622&gt;(ROW(PLE.lastrow)-ROW(PLE.firstrow))),0,IF(OFFSET(PLE!$G$14,$M622,CF$13)="",10^12,OFFSET(PLE!$G$14,$M622,CF$13))))</f>
        <v>1000000000000</v>
      </c>
      <c r="CG622" s="216">
        <f ca="1">IF($D622&lt;&gt;"Serviço",0,IF(OR(AND(AUTOEVENTO="Manual",$M622=1),$M622&gt;(ROW(PLE.lastrow)-ROW(PLE.firstrow))),0,IF(OFFSET(PLE!$G$14,$M622,CG$13)="",10^12,OFFSET(PLE!$G$14,$M622,CG$13))))</f>
        <v>1000000000000</v>
      </c>
      <c r="CH622" s="216">
        <f ca="1">IF($D622&lt;&gt;"Serviço",0,IF(OR(AND(AUTOEVENTO="Manual",$M622=1),$M622&gt;(ROW(PLE.lastrow)-ROW(PLE.firstrow))),0,IF(OFFSET(PLE!$G$14,$M622,CH$13)="",10^12,OFFSET(PLE!$G$14,$M622,CH$13))))</f>
        <v>1000000000000</v>
      </c>
      <c r="CI622" s="216">
        <f ca="1">IF($D622&lt;&gt;"Serviço",0,IF(OR(AND(AUTOEVENTO="Manual",$M622=1),$M622&gt;(ROW(PLE.lastrow)-ROW(PLE.firstrow))),0,IF(OFFSET(PLE!$G$14,$M622,CI$13)="",10^12,OFFSET(PLE!$G$14,$M622,CI$13))))</f>
        <v>1000000000000</v>
      </c>
      <c r="CJ622" s="216">
        <f ca="1">IF($D622&lt;&gt;"Serviço",0,IF(OR(AND(AUTOEVENTO="Manual",$M622=1),$M622&gt;(ROW(PLE.lastrow)-ROW(PLE.firstrow))),0,IF(OFFSET(PLE!$G$14,$M622,CJ$13)="",10^12,OFFSET(PLE!$G$14,$M622,CJ$13))))</f>
        <v>1000000000000</v>
      </c>
      <c r="CK622" s="216">
        <f ca="1">IF($D622&lt;&gt;"Serviço",0,IF(OR(AND(AUTOEVENTO="Manual",$M622=1),$M622&gt;(ROW(PLE.lastrow)-ROW(PLE.firstrow))),0,IF(OFFSET(PLE!$G$14,$M622,CK$13)="",10^12,OFFSET(PLE!$G$14,$M622,CK$13))))</f>
        <v>1000000000000</v>
      </c>
      <c r="CL622" s="216">
        <f ca="1">IF($D622&lt;&gt;"Serviço",0,IF(OR(AND(AUTOEVENTO="Manual",$M622=1),$M622&gt;(ROW(PLE.lastrow)-ROW(PLE.firstrow))),0,IF(OFFSET(PLE!$G$14,$M622,CL$13)="",10^12,OFFSET(PLE!$G$14,$M622,CL$13))))</f>
        <v>1000000000000</v>
      </c>
      <c r="CM622" s="216">
        <f ca="1">IF($D622&lt;&gt;"Serviço",0,IF(OR(AND(AUTOEVENTO="Manual",$M622=1),$M622&gt;(ROW(PLE.lastrow)-ROW(PLE.firstrow))),0,IF(OFFSET(PLE!$G$14,$M622,CM$13)="",10^12,OFFSET(PLE!$G$14,$M622,CM$13))))</f>
        <v>1000000000000</v>
      </c>
    </row>
    <row r="623" spans="1:91" ht="13.2" x14ac:dyDescent="0.25">
      <c r="A623" s="9">
        <f t="shared" ca="1" si="19"/>
        <v>0</v>
      </c>
      <c r="B623" s="9" t="str">
        <f ca="1">OFFSET(ORÇAMENTO!C$15,ROW(B623)-ROW(B$15),0)</f>
        <v>S</v>
      </c>
      <c r="C623" s="9" t="str">
        <f ca="1">OFFSET(ORÇAMENTO!L$15,ROW(C623)-ROW(C$15),0)</f>
        <v/>
      </c>
      <c r="D623" s="145" t="str">
        <f ca="1">OFFSET(ORÇAMENTO!N$15,ROW(D623)-ROW(D$15),0)</f>
        <v>Serviço</v>
      </c>
      <c r="E623" s="205" t="str">
        <f ca="1">OFFSET(ORÇAMENTO!O$15,ROW(E623)-ROW(E$15),0)</f>
        <v>-</v>
      </c>
      <c r="F623" s="206" t="str">
        <f ca="1">OFFSET(ORÇAMENTO!R$15,ROW(F623)-ROW(F$15),0)</f>
        <v>(abra o arquivo 'Referência 05-2024.xls)</v>
      </c>
      <c r="G623" s="207" t="str">
        <f ca="1">IF($D623&lt;&gt;"Serviço","",OFFSET(ORÇAMENTO!S$15,ROW(G623)-ROW(G$15),0))</f>
        <v>-</v>
      </c>
      <c r="H623" s="151">
        <f ca="1">IF($D623&lt;&gt;"Serviço",0,IF(ACOMPANHAMENTO="BM",ROUND(OFFSET(ORÇAMENTO!AJ$15,ROW(H623)-ROW(H$15),0),15-13*ORÇAMENTO!$AF$7),SUMPRODUCT(($Q$12:$AI$12&lt;&gt;"")*ROUND($Q623:$AI623,15-13*ORÇAMENTO!$AF$7))))</f>
        <v>18</v>
      </c>
      <c r="I623" s="650"/>
      <c r="K623" s="208"/>
      <c r="L623" s="209" t="s">
        <v>257</v>
      </c>
      <c r="M623" s="210">
        <f ca="1">IF($D623&lt;&gt;"Serviço","",IF(AUTOEVENTO="manual",$A623,IF(ISERROR(MATCH($A623,$A$15:OFFSET($A623,-1,0),0)),MAX($M$15:OFFSET(M623,-1,0))+1,INDEX($M$15:OFFSET(M623,-1,0),MATCH($A623,$A$15:OFFSET($A623,-1,0),0)))))</f>
        <v>0</v>
      </c>
      <c r="N623" s="211" t="str">
        <f ca="1">IF($D623&lt;&gt;"Serviço","",IF(AUTOEVENTO="Manual",IF($A623=0,"&lt;-- defina o número do agrupador",OFFSET(EVENTOS!$D$14,$A623,0)),OFFSET($F$15,$A623,0)))</f>
        <v>&lt;-- defina o número do agrupador</v>
      </c>
      <c r="O623" s="212"/>
      <c r="Q623" s="212"/>
      <c r="R623" s="213"/>
      <c r="S623" s="213"/>
      <c r="T623" s="213"/>
      <c r="U623" s="213"/>
      <c r="V623" s="213"/>
      <c r="W623" s="213"/>
      <c r="X623" s="213"/>
      <c r="Y623" s="213"/>
      <c r="Z623" s="214"/>
      <c r="AA623" s="213"/>
      <c r="AB623" s="213"/>
      <c r="AC623" s="213"/>
      <c r="AD623" s="213"/>
      <c r="AE623" s="213"/>
      <c r="AF623" s="213"/>
      <c r="AG623" s="213"/>
      <c r="AH623" s="214"/>
      <c r="AJ623" s="631">
        <f ca="1">IF(AND($D623="Serviço",AJ$12&lt;&gt;0,$H623&gt;0,OR(AUTOEVENTO&lt;&gt;"manual",$M623&lt;&gt;1)),ROUND(OFFSET($P623,0,AJ$13),15-13*ORÇAMENTO!$AF$7)/$H623*OFFSET(ORÇAMENTO!$X$15,ROW(AJ623)-ROW(AJ$15),0),0)</f>
        <v>0</v>
      </c>
      <c r="AK623" s="632">
        <f ca="1">IF(AND($D623="Serviço",AK$12&lt;&gt;0,$H623&gt;0,OR(AUTOEVENTO&lt;&gt;"manual",$M623&lt;&gt;1)),ROUND(OFFSET($P623,0,AK$13),15-13*ORÇAMENTO!$AF$7)/$H623*OFFSET(ORÇAMENTO!$X$15,ROW(AK623)-ROW(AK$15),0),0)</f>
        <v>0</v>
      </c>
      <c r="AL623" s="632">
        <f ca="1">IF(AND($D623="Serviço",AL$12&lt;&gt;0,$H623&gt;0,OR(AUTOEVENTO&lt;&gt;"manual",$M623&lt;&gt;1)),ROUND(OFFSET($P623,0,AL$13),15-13*ORÇAMENTO!$AF$7)/$H623*OFFSET(ORÇAMENTO!$X$15,ROW(AL623)-ROW(AL$15),0),0)</f>
        <v>0</v>
      </c>
      <c r="AM623" s="632">
        <f ca="1">IF(AND($D623="Serviço",AM$12&lt;&gt;0,$H623&gt;0,OR(AUTOEVENTO&lt;&gt;"manual",$M623&lt;&gt;1)),ROUND(OFFSET($P623,0,AM$13),15-13*ORÇAMENTO!$AF$7)/$H623*OFFSET(ORÇAMENTO!$X$15,ROW(AM623)-ROW(AM$15),0),0)</f>
        <v>0</v>
      </c>
      <c r="AN623" s="632">
        <f ca="1">IF(AND($D623="Serviço",AN$12&lt;&gt;0,$H623&gt;0,OR(AUTOEVENTO&lt;&gt;"manual",$M623&lt;&gt;1)),ROUND(OFFSET($P623,0,AN$13),15-13*ORÇAMENTO!$AF$7)/$H623*OFFSET(ORÇAMENTO!$X$15,ROW(AN623)-ROW(AN$15),0),0)</f>
        <v>0</v>
      </c>
      <c r="AO623" s="632">
        <f ca="1">IF(AND($D623="Serviço",AO$12&lt;&gt;0,$H623&gt;0,OR(AUTOEVENTO&lt;&gt;"manual",$M623&lt;&gt;1)),ROUND(OFFSET($P623,0,AO$13),15-13*ORÇAMENTO!$AF$7)/$H623*OFFSET(ORÇAMENTO!$X$15,ROW(AO623)-ROW(AO$15),0),0)</f>
        <v>0</v>
      </c>
      <c r="AP623" s="632">
        <f ca="1">IF(AND($D623="Serviço",AP$12&lt;&gt;0,$H623&gt;0,OR(AUTOEVENTO&lt;&gt;"manual",$M623&lt;&gt;1)),ROUND(OFFSET($P623,0,AP$13),15-13*ORÇAMENTO!$AF$7)/$H623*OFFSET(ORÇAMENTO!$X$15,ROW(AP623)-ROW(AP$15),0),0)</f>
        <v>0</v>
      </c>
      <c r="AQ623" s="632">
        <f ca="1">IF(AND($D623="Serviço",AQ$12&lt;&gt;0,$H623&gt;0,OR(AUTOEVENTO&lt;&gt;"manual",$M623&lt;&gt;1)),ROUND(OFFSET($P623,0,AQ$13),15-13*ORÇAMENTO!$AF$7)/$H623*OFFSET(ORÇAMENTO!$X$15,ROW(AQ623)-ROW(AQ$15),0),0)</f>
        <v>0</v>
      </c>
      <c r="AR623" s="632">
        <f ca="1">IF(AND($D623="Serviço",AR$12&lt;&gt;0,$H623&gt;0,OR(AUTOEVENTO&lt;&gt;"manual",$M623&lt;&gt;1)),ROUND(OFFSET($P623,0,AR$13),15-13*ORÇAMENTO!$AF$7)/$H623*OFFSET(ORÇAMENTO!$X$15,ROW(AR623)-ROW(AR$15),0),0)</f>
        <v>0</v>
      </c>
      <c r="AS623" s="633">
        <f ca="1">IF(AND($D623="Serviço",AS$12&lt;&gt;0,$H623&gt;0,OR(AUTOEVENTO&lt;&gt;"manual",$M623&lt;&gt;1)),ROUND(OFFSET($P623,0,AS$13),15-13*ORÇAMENTO!$AF$7)/$H623*OFFSET(ORÇAMENTO!$X$15,ROW(AS623)-ROW(AS$15),0),0)</f>
        <v>0</v>
      </c>
      <c r="AT623" s="632">
        <f ca="1">IF(AND($D623="Serviço",AT$12&lt;&gt;0,$H623&gt;0,OR(AUTOEVENTO&lt;&gt;"manual",$M623&lt;&gt;1)),ROUND(OFFSET($P623,0,AT$13),15-13*ORÇAMENTO!$AF$7)/$H623*OFFSET(ORÇAMENTO!$X$15,ROW(AT623)-ROW(AT$15),0),0)</f>
        <v>0</v>
      </c>
      <c r="AU623" s="632">
        <f ca="1">IF(AND($D623="Serviço",AU$12&lt;&gt;0,$H623&gt;0,OR(AUTOEVENTO&lt;&gt;"manual",$M623&lt;&gt;1)),ROUND(OFFSET($P623,0,AU$13),15-13*ORÇAMENTO!$AF$7)/$H623*OFFSET(ORÇAMENTO!$X$15,ROW(AU623)-ROW(AU$15),0),0)</f>
        <v>0</v>
      </c>
      <c r="AV623" s="632">
        <f ca="1">IF(AND($D623="Serviço",AV$12&lt;&gt;0,$H623&gt;0,OR(AUTOEVENTO&lt;&gt;"manual",$M623&lt;&gt;1)),ROUND(OFFSET($P623,0,AV$13),15-13*ORÇAMENTO!$AF$7)/$H623*OFFSET(ORÇAMENTO!$X$15,ROW(AV623)-ROW(AV$15),0),0)</f>
        <v>0</v>
      </c>
      <c r="AW623" s="632">
        <f ca="1">IF(AND($D623="Serviço",AW$12&lt;&gt;0,$H623&gt;0,OR(AUTOEVENTO&lt;&gt;"manual",$M623&lt;&gt;1)),ROUND(OFFSET($P623,0,AW$13),15-13*ORÇAMENTO!$AF$7)/$H623*OFFSET(ORÇAMENTO!$X$15,ROW(AW623)-ROW(AW$15),0),0)</f>
        <v>0</v>
      </c>
      <c r="AX623" s="632">
        <f ca="1">IF(AND($D623="Serviço",AX$12&lt;&gt;0,$H623&gt;0,OR(AUTOEVENTO&lt;&gt;"manual",$M623&lt;&gt;1)),ROUND(OFFSET($P623,0,AX$13),15-13*ORÇAMENTO!$AF$7)/$H623*OFFSET(ORÇAMENTO!$X$15,ROW(AX623)-ROW(AX$15),0),0)</f>
        <v>0</v>
      </c>
      <c r="AY623" s="632">
        <f ca="1">IF(AND($D623="Serviço",AY$12&lt;&gt;0,$H623&gt;0,OR(AUTOEVENTO&lt;&gt;"manual",$M623&lt;&gt;1)),ROUND(OFFSET($P623,0,AY$13),15-13*ORÇAMENTO!$AF$7)/$H623*OFFSET(ORÇAMENTO!$X$15,ROW(AY623)-ROW(AY$15),0),0)</f>
        <v>0</v>
      </c>
      <c r="AZ623" s="632">
        <f ca="1">IF(AND($D623="Serviço",AZ$12&lt;&gt;0,$H623&gt;0,OR(AUTOEVENTO&lt;&gt;"manual",$M623&lt;&gt;1)),ROUND(OFFSET($P623,0,AZ$13),15-13*ORÇAMENTO!$AF$7)/$H623*OFFSET(ORÇAMENTO!$X$15,ROW(AZ623)-ROW(AZ$15),0),0)</f>
        <v>0</v>
      </c>
      <c r="BA623" s="633">
        <f ca="1">IF(AND($D623="Serviço",BA$12&lt;&gt;0,$H623&gt;0,OR(AUTOEVENTO&lt;&gt;"manual",$M623&lt;&gt;1)),ROUND(OFFSET($P623,0,BA$13),15-13*ORÇAMENTO!$AF$7)/$H623*OFFSET(ORÇAMENTO!$X$15,ROW(BA623)-ROW(BA$15),0),0)</f>
        <v>0</v>
      </c>
      <c r="BC623" s="215">
        <f ca="1">IF($D623&lt;&gt;"Serviço",0,IF(AND(AUTOEVENTO="Manual",$M623=1),0,IF(OFFSET(CRONOPLE!$F$14,$M623,BC$13)="",10^12,OFFSET(CRONOPLE!$F$14,$M623,BC$13))))</f>
        <v>1000000000000</v>
      </c>
      <c r="BD623" s="215">
        <f ca="1">IF($D623&lt;&gt;"Serviço",0,IF(AND(AUTOEVENTO="Manual",$M623=1),0,IF(OFFSET(CRONOPLE!$F$14,$M623,BD$13)="",10^12,OFFSET(CRONOPLE!$F$14,$M623,BD$13))))</f>
        <v>1000000000000</v>
      </c>
      <c r="BE623" s="215">
        <f ca="1">IF($D623&lt;&gt;"Serviço",0,IF(AND(AUTOEVENTO="Manual",$M623=1),0,IF(OFFSET(CRONOPLE!$F$14,$M623,BE$13)="",10^12,OFFSET(CRONOPLE!$F$14,$M623,BE$13))))</f>
        <v>1000000000000</v>
      </c>
      <c r="BF623" s="215">
        <f ca="1">IF($D623&lt;&gt;"Serviço",0,IF(AND(AUTOEVENTO="Manual",$M623=1),0,IF(OFFSET(CRONOPLE!$F$14,$M623,BF$13)="",10^12,OFFSET(CRONOPLE!$F$14,$M623,BF$13))))</f>
        <v>1000000000000</v>
      </c>
      <c r="BG623" s="215">
        <f ca="1">IF($D623&lt;&gt;"Serviço",0,IF(AND(AUTOEVENTO="Manual",$M623=1),0,IF(OFFSET(CRONOPLE!$F$14,$M623,BG$13)="",10^12,OFFSET(CRONOPLE!$F$14,$M623,BG$13))))</f>
        <v>1000000000000</v>
      </c>
      <c r="BH623" s="215">
        <f ca="1">IF($D623&lt;&gt;"Serviço",0,IF(AND(AUTOEVENTO="Manual",$M623=1),0,IF(OFFSET(CRONOPLE!$F$14,$M623,BH$13)="",10^12,OFFSET(CRONOPLE!$F$14,$M623,BH$13))))</f>
        <v>1000000000000</v>
      </c>
      <c r="BI623" s="215">
        <f ca="1">IF($D623&lt;&gt;"Serviço",0,IF(AND(AUTOEVENTO="Manual",$M623=1),0,IF(OFFSET(CRONOPLE!$F$14,$M623,BI$13)="",10^12,OFFSET(CRONOPLE!$F$14,$M623,BI$13))))</f>
        <v>1000000000000</v>
      </c>
      <c r="BJ623" s="215">
        <f ca="1">IF($D623&lt;&gt;"Serviço",0,IF(AND(AUTOEVENTO="Manual",$M623=1),0,IF(OFFSET(CRONOPLE!$F$14,$M623,BJ$13)="",10^12,OFFSET(CRONOPLE!$F$14,$M623,BJ$13))))</f>
        <v>1000000000000</v>
      </c>
      <c r="BK623" s="215">
        <f ca="1">IF($D623&lt;&gt;"Serviço",0,IF(AND(AUTOEVENTO="Manual",$M623=1),0,IF(OFFSET(CRONOPLE!$F$14,$M623,BK$13)="",10^12,OFFSET(CRONOPLE!$F$14,$M623,BK$13))))</f>
        <v>1000000000000</v>
      </c>
      <c r="BL623" s="215">
        <f ca="1">IF($D623&lt;&gt;"Serviço",0,IF(AND(AUTOEVENTO="Manual",$M623=1),0,IF(OFFSET(CRONOPLE!$F$14,$M623,BL$13)="",10^12,OFFSET(CRONOPLE!$F$14,$M623,BL$13))))</f>
        <v>1000000000000</v>
      </c>
      <c r="BM623" s="215">
        <f ca="1">IF($D623&lt;&gt;"Serviço",0,IF(AND(AUTOEVENTO="Manual",$M623=1),0,IF(OFFSET(CRONOPLE!$F$14,$M623,BM$13)="",10^12,OFFSET(CRONOPLE!$F$14,$M623,BM$13))))</f>
        <v>1000000000000</v>
      </c>
      <c r="BN623" s="215">
        <f ca="1">IF($D623&lt;&gt;"Serviço",0,IF(AND(AUTOEVENTO="Manual",$M623=1),0,IF(OFFSET(CRONOPLE!$F$14,$M623,BN$13)="",10^12,OFFSET(CRONOPLE!$F$14,$M623,BN$13))))</f>
        <v>1000000000000</v>
      </c>
      <c r="BO623" s="215">
        <f ca="1">IF($D623&lt;&gt;"Serviço",0,IF(AND(AUTOEVENTO="Manual",$M623=1),0,IF(OFFSET(CRONOPLE!$F$14,$M623,BO$13)="",10^12,OFFSET(CRONOPLE!$F$14,$M623,BO$13))))</f>
        <v>1000000000000</v>
      </c>
      <c r="BP623" s="215">
        <f ca="1">IF($D623&lt;&gt;"Serviço",0,IF(AND(AUTOEVENTO="Manual",$M623=1),0,IF(OFFSET(CRONOPLE!$F$14,$M623,BP$13)="",10^12,OFFSET(CRONOPLE!$F$14,$M623,BP$13))))</f>
        <v>1000000000000</v>
      </c>
      <c r="BQ623" s="215">
        <f ca="1">IF($D623&lt;&gt;"Serviço",0,IF(AND(AUTOEVENTO="Manual",$M623=1),0,IF(OFFSET(CRONOPLE!$F$14,$M623,BQ$13)="",10^12,OFFSET(CRONOPLE!$F$14,$M623,BQ$13))))</f>
        <v>1000000000000</v>
      </c>
      <c r="BR623" s="215">
        <f ca="1">IF($D623&lt;&gt;"Serviço",0,IF(AND(AUTOEVENTO="Manual",$M623=1),0,IF(OFFSET(CRONOPLE!$F$14,$M623,BR$13)="",10^12,OFFSET(CRONOPLE!$F$14,$M623,BR$13))))</f>
        <v>1000000000000</v>
      </c>
      <c r="BS623" s="215">
        <f ca="1">IF($D623&lt;&gt;"Serviço",0,IF(AND(AUTOEVENTO="Manual",$M623=1),0,IF(OFFSET(CRONOPLE!$F$14,$M623,BS$13)="",10^12,OFFSET(CRONOPLE!$F$14,$M623,BS$13))))</f>
        <v>1000000000000</v>
      </c>
      <c r="BT623" s="215">
        <f ca="1">IF($D623&lt;&gt;"Serviço",0,IF(AND(AUTOEVENTO="Manual",$M623=1),0,IF(OFFSET(CRONOPLE!$F$14,$M623,BT$13)="",10^12,OFFSET(CRONOPLE!$F$14,$M623,BT$13))))</f>
        <v>1000000000000</v>
      </c>
      <c r="BV623" s="216">
        <f ca="1">IF($D623&lt;&gt;"Serviço",0,IF(OR(AND(AUTOEVENTO="Manual",$M623=1),$M623&gt;(ROW(PLE.lastrow)-ROW(PLE.firstrow))),0,IF(OFFSET(PLE!$G$14,$M623,BV$13)="",10^12,OFFSET(PLE!$G$14,$M623,BV$13))))</f>
        <v>1000000000000</v>
      </c>
      <c r="BW623" s="216">
        <f ca="1">IF($D623&lt;&gt;"Serviço",0,IF(OR(AND(AUTOEVENTO="Manual",$M623=1),$M623&gt;(ROW(PLE.lastrow)-ROW(PLE.firstrow))),0,IF(OFFSET(PLE!$G$14,$M623,BW$13)="",10^12,OFFSET(PLE!$G$14,$M623,BW$13))))</f>
        <v>1000000000000</v>
      </c>
      <c r="BX623" s="216">
        <f ca="1">IF($D623&lt;&gt;"Serviço",0,IF(OR(AND(AUTOEVENTO="Manual",$M623=1),$M623&gt;(ROW(PLE.lastrow)-ROW(PLE.firstrow))),0,IF(OFFSET(PLE!$G$14,$M623,BX$13)="",10^12,OFFSET(PLE!$G$14,$M623,BX$13))))</f>
        <v>1000000000000</v>
      </c>
      <c r="BY623" s="216">
        <f ca="1">IF($D623&lt;&gt;"Serviço",0,IF(OR(AND(AUTOEVENTO="Manual",$M623=1),$M623&gt;(ROW(PLE.lastrow)-ROW(PLE.firstrow))),0,IF(OFFSET(PLE!$G$14,$M623,BY$13)="",10^12,OFFSET(PLE!$G$14,$M623,BY$13))))</f>
        <v>1000000000000</v>
      </c>
      <c r="BZ623" s="216">
        <f ca="1">IF($D623&lt;&gt;"Serviço",0,IF(OR(AND(AUTOEVENTO="Manual",$M623=1),$M623&gt;(ROW(PLE.lastrow)-ROW(PLE.firstrow))),0,IF(OFFSET(PLE!$G$14,$M623,BZ$13)="",10^12,OFFSET(PLE!$G$14,$M623,BZ$13))))</f>
        <v>1000000000000</v>
      </c>
      <c r="CA623" s="216">
        <f ca="1">IF($D623&lt;&gt;"Serviço",0,IF(OR(AND(AUTOEVENTO="Manual",$M623=1),$M623&gt;(ROW(PLE.lastrow)-ROW(PLE.firstrow))),0,IF(OFFSET(PLE!$G$14,$M623,CA$13)="",10^12,OFFSET(PLE!$G$14,$M623,CA$13))))</f>
        <v>1000000000000</v>
      </c>
      <c r="CB623" s="216">
        <f ca="1">IF($D623&lt;&gt;"Serviço",0,IF(OR(AND(AUTOEVENTO="Manual",$M623=1),$M623&gt;(ROW(PLE.lastrow)-ROW(PLE.firstrow))),0,IF(OFFSET(PLE!$G$14,$M623,CB$13)="",10^12,OFFSET(PLE!$G$14,$M623,CB$13))))</f>
        <v>1000000000000</v>
      </c>
      <c r="CC623" s="216">
        <f ca="1">IF($D623&lt;&gt;"Serviço",0,IF(OR(AND(AUTOEVENTO="Manual",$M623=1),$M623&gt;(ROW(PLE.lastrow)-ROW(PLE.firstrow))),0,IF(OFFSET(PLE!$G$14,$M623,CC$13)="",10^12,OFFSET(PLE!$G$14,$M623,CC$13))))</f>
        <v>1000000000000</v>
      </c>
      <c r="CD623" s="216">
        <f ca="1">IF($D623&lt;&gt;"Serviço",0,IF(OR(AND(AUTOEVENTO="Manual",$M623=1),$M623&gt;(ROW(PLE.lastrow)-ROW(PLE.firstrow))),0,IF(OFFSET(PLE!$G$14,$M623,CD$13)="",10^12,OFFSET(PLE!$G$14,$M623,CD$13))))</f>
        <v>1000000000000</v>
      </c>
      <c r="CE623" s="216">
        <f ca="1">IF($D623&lt;&gt;"Serviço",0,IF(OR(AND(AUTOEVENTO="Manual",$M623=1),$M623&gt;(ROW(PLE.lastrow)-ROW(PLE.firstrow))),0,IF(OFFSET(PLE!$G$14,$M623,CE$13)="",10^12,OFFSET(PLE!$G$14,$M623,CE$13))))</f>
        <v>1000000000000</v>
      </c>
      <c r="CF623" s="216">
        <f ca="1">IF($D623&lt;&gt;"Serviço",0,IF(OR(AND(AUTOEVENTO="Manual",$M623=1),$M623&gt;(ROW(PLE.lastrow)-ROW(PLE.firstrow))),0,IF(OFFSET(PLE!$G$14,$M623,CF$13)="",10^12,OFFSET(PLE!$G$14,$M623,CF$13))))</f>
        <v>1000000000000</v>
      </c>
      <c r="CG623" s="216">
        <f ca="1">IF($D623&lt;&gt;"Serviço",0,IF(OR(AND(AUTOEVENTO="Manual",$M623=1),$M623&gt;(ROW(PLE.lastrow)-ROW(PLE.firstrow))),0,IF(OFFSET(PLE!$G$14,$M623,CG$13)="",10^12,OFFSET(PLE!$G$14,$M623,CG$13))))</f>
        <v>1000000000000</v>
      </c>
      <c r="CH623" s="216">
        <f ca="1">IF($D623&lt;&gt;"Serviço",0,IF(OR(AND(AUTOEVENTO="Manual",$M623=1),$M623&gt;(ROW(PLE.lastrow)-ROW(PLE.firstrow))),0,IF(OFFSET(PLE!$G$14,$M623,CH$13)="",10^12,OFFSET(PLE!$G$14,$M623,CH$13))))</f>
        <v>1000000000000</v>
      </c>
      <c r="CI623" s="216">
        <f ca="1">IF($D623&lt;&gt;"Serviço",0,IF(OR(AND(AUTOEVENTO="Manual",$M623=1),$M623&gt;(ROW(PLE.lastrow)-ROW(PLE.firstrow))),0,IF(OFFSET(PLE!$G$14,$M623,CI$13)="",10^12,OFFSET(PLE!$G$14,$M623,CI$13))))</f>
        <v>1000000000000</v>
      </c>
      <c r="CJ623" s="216">
        <f ca="1">IF($D623&lt;&gt;"Serviço",0,IF(OR(AND(AUTOEVENTO="Manual",$M623=1),$M623&gt;(ROW(PLE.lastrow)-ROW(PLE.firstrow))),0,IF(OFFSET(PLE!$G$14,$M623,CJ$13)="",10^12,OFFSET(PLE!$G$14,$M623,CJ$13))))</f>
        <v>1000000000000</v>
      </c>
      <c r="CK623" s="216">
        <f ca="1">IF($D623&lt;&gt;"Serviço",0,IF(OR(AND(AUTOEVENTO="Manual",$M623=1),$M623&gt;(ROW(PLE.lastrow)-ROW(PLE.firstrow))),0,IF(OFFSET(PLE!$G$14,$M623,CK$13)="",10^12,OFFSET(PLE!$G$14,$M623,CK$13))))</f>
        <v>1000000000000</v>
      </c>
      <c r="CL623" s="216">
        <f ca="1">IF($D623&lt;&gt;"Serviço",0,IF(OR(AND(AUTOEVENTO="Manual",$M623=1),$M623&gt;(ROW(PLE.lastrow)-ROW(PLE.firstrow))),0,IF(OFFSET(PLE!$G$14,$M623,CL$13)="",10^12,OFFSET(PLE!$G$14,$M623,CL$13))))</f>
        <v>1000000000000</v>
      </c>
      <c r="CM623" s="216">
        <f ca="1">IF($D623&lt;&gt;"Serviço",0,IF(OR(AND(AUTOEVENTO="Manual",$M623=1),$M623&gt;(ROW(PLE.lastrow)-ROW(PLE.firstrow))),0,IF(OFFSET(PLE!$G$14,$M623,CM$13)="",10^12,OFFSET(PLE!$G$14,$M623,CM$13))))</f>
        <v>1000000000000</v>
      </c>
    </row>
    <row r="624" spans="1:91" ht="13.2" x14ac:dyDescent="0.25">
      <c r="A624" s="9">
        <f t="shared" ca="1" si="19"/>
        <v>0</v>
      </c>
      <c r="B624" s="9" t="str">
        <f ca="1">OFFSET(ORÇAMENTO!C$15,ROW(B624)-ROW(B$15),0)</f>
        <v>S</v>
      </c>
      <c r="C624" s="9" t="str">
        <f ca="1">OFFSET(ORÇAMENTO!L$15,ROW(C624)-ROW(C$15),0)</f>
        <v/>
      </c>
      <c r="D624" s="145" t="str">
        <f ca="1">OFFSET(ORÇAMENTO!N$15,ROW(D624)-ROW(D$15),0)</f>
        <v>Serviço</v>
      </c>
      <c r="E624" s="205" t="str">
        <f ca="1">OFFSET(ORÇAMENTO!O$15,ROW(E624)-ROW(E$15),0)</f>
        <v>-</v>
      </c>
      <c r="F624" s="206" t="str">
        <f ca="1">OFFSET(ORÇAMENTO!R$15,ROW(F624)-ROW(F$15),0)</f>
        <v>(abra o arquivo 'Referência 05-2024.xls)</v>
      </c>
      <c r="G624" s="207" t="str">
        <f ca="1">IF($D624&lt;&gt;"Serviço","",OFFSET(ORÇAMENTO!S$15,ROW(G624)-ROW(G$15),0))</f>
        <v>-</v>
      </c>
      <c r="H624" s="151">
        <f ca="1">IF($D624&lt;&gt;"Serviço",0,IF(ACOMPANHAMENTO="BM",ROUND(OFFSET(ORÇAMENTO!AJ$15,ROW(H624)-ROW(H$15),0),15-13*ORÇAMENTO!$AF$7),SUMPRODUCT(($Q$12:$AI$12&lt;&gt;"")*ROUND($Q624:$AI624,15-13*ORÇAMENTO!$AF$7))))</f>
        <v>257.44</v>
      </c>
      <c r="I624" s="650"/>
      <c r="K624" s="208"/>
      <c r="L624" s="209" t="s">
        <v>257</v>
      </c>
      <c r="M624" s="210">
        <f ca="1">IF($D624&lt;&gt;"Serviço","",IF(AUTOEVENTO="manual",$A624,IF(ISERROR(MATCH($A624,$A$15:OFFSET($A624,-1,0),0)),MAX($M$15:OFFSET(M624,-1,0))+1,INDEX($M$15:OFFSET(M624,-1,0),MATCH($A624,$A$15:OFFSET($A624,-1,0),0)))))</f>
        <v>0</v>
      </c>
      <c r="N624" s="211" t="str">
        <f ca="1">IF($D624&lt;&gt;"Serviço","",IF(AUTOEVENTO="Manual",IF($A624=0,"&lt;-- defina o número do agrupador",OFFSET(EVENTOS!$D$14,$A624,0)),OFFSET($F$15,$A624,0)))</f>
        <v>&lt;-- defina o número do agrupador</v>
      </c>
      <c r="O624" s="212"/>
      <c r="Q624" s="212"/>
      <c r="R624" s="213"/>
      <c r="S624" s="213"/>
      <c r="T624" s="213"/>
      <c r="U624" s="213"/>
      <c r="V624" s="213"/>
      <c r="W624" s="213"/>
      <c r="X624" s="213"/>
      <c r="Y624" s="213"/>
      <c r="Z624" s="214"/>
      <c r="AA624" s="213"/>
      <c r="AB624" s="213"/>
      <c r="AC624" s="213"/>
      <c r="AD624" s="213"/>
      <c r="AE624" s="213"/>
      <c r="AF624" s="213"/>
      <c r="AG624" s="213"/>
      <c r="AH624" s="214"/>
      <c r="AJ624" s="631">
        <f ca="1">IF(AND($D624="Serviço",AJ$12&lt;&gt;0,$H624&gt;0,OR(AUTOEVENTO&lt;&gt;"manual",$M624&lt;&gt;1)),ROUND(OFFSET($P624,0,AJ$13),15-13*ORÇAMENTO!$AF$7)/$H624*OFFSET(ORÇAMENTO!$X$15,ROW(AJ624)-ROW(AJ$15),0),0)</f>
        <v>0</v>
      </c>
      <c r="AK624" s="632">
        <f ca="1">IF(AND($D624="Serviço",AK$12&lt;&gt;0,$H624&gt;0,OR(AUTOEVENTO&lt;&gt;"manual",$M624&lt;&gt;1)),ROUND(OFFSET($P624,0,AK$13),15-13*ORÇAMENTO!$AF$7)/$H624*OFFSET(ORÇAMENTO!$X$15,ROW(AK624)-ROW(AK$15),0),0)</f>
        <v>0</v>
      </c>
      <c r="AL624" s="632">
        <f ca="1">IF(AND($D624="Serviço",AL$12&lt;&gt;0,$H624&gt;0,OR(AUTOEVENTO&lt;&gt;"manual",$M624&lt;&gt;1)),ROUND(OFFSET($P624,0,AL$13),15-13*ORÇAMENTO!$AF$7)/$H624*OFFSET(ORÇAMENTO!$X$15,ROW(AL624)-ROW(AL$15),0),0)</f>
        <v>0</v>
      </c>
      <c r="AM624" s="632">
        <f ca="1">IF(AND($D624="Serviço",AM$12&lt;&gt;0,$H624&gt;0,OR(AUTOEVENTO&lt;&gt;"manual",$M624&lt;&gt;1)),ROUND(OFFSET($P624,0,AM$13),15-13*ORÇAMENTO!$AF$7)/$H624*OFFSET(ORÇAMENTO!$X$15,ROW(AM624)-ROW(AM$15),0),0)</f>
        <v>0</v>
      </c>
      <c r="AN624" s="632">
        <f ca="1">IF(AND($D624="Serviço",AN$12&lt;&gt;0,$H624&gt;0,OR(AUTOEVENTO&lt;&gt;"manual",$M624&lt;&gt;1)),ROUND(OFFSET($P624,0,AN$13),15-13*ORÇAMENTO!$AF$7)/$H624*OFFSET(ORÇAMENTO!$X$15,ROW(AN624)-ROW(AN$15),0),0)</f>
        <v>0</v>
      </c>
      <c r="AO624" s="632">
        <f ca="1">IF(AND($D624="Serviço",AO$12&lt;&gt;0,$H624&gt;0,OR(AUTOEVENTO&lt;&gt;"manual",$M624&lt;&gt;1)),ROUND(OFFSET($P624,0,AO$13),15-13*ORÇAMENTO!$AF$7)/$H624*OFFSET(ORÇAMENTO!$X$15,ROW(AO624)-ROW(AO$15),0),0)</f>
        <v>0</v>
      </c>
      <c r="AP624" s="632">
        <f ca="1">IF(AND($D624="Serviço",AP$12&lt;&gt;0,$H624&gt;0,OR(AUTOEVENTO&lt;&gt;"manual",$M624&lt;&gt;1)),ROUND(OFFSET($P624,0,AP$13),15-13*ORÇAMENTO!$AF$7)/$H624*OFFSET(ORÇAMENTO!$X$15,ROW(AP624)-ROW(AP$15),0),0)</f>
        <v>0</v>
      </c>
      <c r="AQ624" s="632">
        <f ca="1">IF(AND($D624="Serviço",AQ$12&lt;&gt;0,$H624&gt;0,OR(AUTOEVENTO&lt;&gt;"manual",$M624&lt;&gt;1)),ROUND(OFFSET($P624,0,AQ$13),15-13*ORÇAMENTO!$AF$7)/$H624*OFFSET(ORÇAMENTO!$X$15,ROW(AQ624)-ROW(AQ$15),0),0)</f>
        <v>0</v>
      </c>
      <c r="AR624" s="632">
        <f ca="1">IF(AND($D624="Serviço",AR$12&lt;&gt;0,$H624&gt;0,OR(AUTOEVENTO&lt;&gt;"manual",$M624&lt;&gt;1)),ROUND(OFFSET($P624,0,AR$13),15-13*ORÇAMENTO!$AF$7)/$H624*OFFSET(ORÇAMENTO!$X$15,ROW(AR624)-ROW(AR$15),0),0)</f>
        <v>0</v>
      </c>
      <c r="AS624" s="633">
        <f ca="1">IF(AND($D624="Serviço",AS$12&lt;&gt;0,$H624&gt;0,OR(AUTOEVENTO&lt;&gt;"manual",$M624&lt;&gt;1)),ROUND(OFFSET($P624,0,AS$13),15-13*ORÇAMENTO!$AF$7)/$H624*OFFSET(ORÇAMENTO!$X$15,ROW(AS624)-ROW(AS$15),0),0)</f>
        <v>0</v>
      </c>
      <c r="AT624" s="632">
        <f ca="1">IF(AND($D624="Serviço",AT$12&lt;&gt;0,$H624&gt;0,OR(AUTOEVENTO&lt;&gt;"manual",$M624&lt;&gt;1)),ROUND(OFFSET($P624,0,AT$13),15-13*ORÇAMENTO!$AF$7)/$H624*OFFSET(ORÇAMENTO!$X$15,ROW(AT624)-ROW(AT$15),0),0)</f>
        <v>0</v>
      </c>
      <c r="AU624" s="632">
        <f ca="1">IF(AND($D624="Serviço",AU$12&lt;&gt;0,$H624&gt;0,OR(AUTOEVENTO&lt;&gt;"manual",$M624&lt;&gt;1)),ROUND(OFFSET($P624,0,AU$13),15-13*ORÇAMENTO!$AF$7)/$H624*OFFSET(ORÇAMENTO!$X$15,ROW(AU624)-ROW(AU$15),0),0)</f>
        <v>0</v>
      </c>
      <c r="AV624" s="632">
        <f ca="1">IF(AND($D624="Serviço",AV$12&lt;&gt;0,$H624&gt;0,OR(AUTOEVENTO&lt;&gt;"manual",$M624&lt;&gt;1)),ROUND(OFFSET($P624,0,AV$13),15-13*ORÇAMENTO!$AF$7)/$H624*OFFSET(ORÇAMENTO!$X$15,ROW(AV624)-ROW(AV$15),0),0)</f>
        <v>0</v>
      </c>
      <c r="AW624" s="632">
        <f ca="1">IF(AND($D624="Serviço",AW$12&lt;&gt;0,$H624&gt;0,OR(AUTOEVENTO&lt;&gt;"manual",$M624&lt;&gt;1)),ROUND(OFFSET($P624,0,AW$13),15-13*ORÇAMENTO!$AF$7)/$H624*OFFSET(ORÇAMENTO!$X$15,ROW(AW624)-ROW(AW$15),0),0)</f>
        <v>0</v>
      </c>
      <c r="AX624" s="632">
        <f ca="1">IF(AND($D624="Serviço",AX$12&lt;&gt;0,$H624&gt;0,OR(AUTOEVENTO&lt;&gt;"manual",$M624&lt;&gt;1)),ROUND(OFFSET($P624,0,AX$13),15-13*ORÇAMENTO!$AF$7)/$H624*OFFSET(ORÇAMENTO!$X$15,ROW(AX624)-ROW(AX$15),0),0)</f>
        <v>0</v>
      </c>
      <c r="AY624" s="632">
        <f ca="1">IF(AND($D624="Serviço",AY$12&lt;&gt;0,$H624&gt;0,OR(AUTOEVENTO&lt;&gt;"manual",$M624&lt;&gt;1)),ROUND(OFFSET($P624,0,AY$13),15-13*ORÇAMENTO!$AF$7)/$H624*OFFSET(ORÇAMENTO!$X$15,ROW(AY624)-ROW(AY$15),0),0)</f>
        <v>0</v>
      </c>
      <c r="AZ624" s="632">
        <f ca="1">IF(AND($D624="Serviço",AZ$12&lt;&gt;0,$H624&gt;0,OR(AUTOEVENTO&lt;&gt;"manual",$M624&lt;&gt;1)),ROUND(OFFSET($P624,0,AZ$13),15-13*ORÇAMENTO!$AF$7)/$H624*OFFSET(ORÇAMENTO!$X$15,ROW(AZ624)-ROW(AZ$15),0),0)</f>
        <v>0</v>
      </c>
      <c r="BA624" s="633">
        <f ca="1">IF(AND($D624="Serviço",BA$12&lt;&gt;0,$H624&gt;0,OR(AUTOEVENTO&lt;&gt;"manual",$M624&lt;&gt;1)),ROUND(OFFSET($P624,0,BA$13),15-13*ORÇAMENTO!$AF$7)/$H624*OFFSET(ORÇAMENTO!$X$15,ROW(BA624)-ROW(BA$15),0),0)</f>
        <v>0</v>
      </c>
      <c r="BC624" s="215">
        <f ca="1">IF($D624&lt;&gt;"Serviço",0,IF(AND(AUTOEVENTO="Manual",$M624=1),0,IF(OFFSET(CRONOPLE!$F$14,$M624,BC$13)="",10^12,OFFSET(CRONOPLE!$F$14,$M624,BC$13))))</f>
        <v>1000000000000</v>
      </c>
      <c r="BD624" s="215">
        <f ca="1">IF($D624&lt;&gt;"Serviço",0,IF(AND(AUTOEVENTO="Manual",$M624=1),0,IF(OFFSET(CRONOPLE!$F$14,$M624,BD$13)="",10^12,OFFSET(CRONOPLE!$F$14,$M624,BD$13))))</f>
        <v>1000000000000</v>
      </c>
      <c r="BE624" s="215">
        <f ca="1">IF($D624&lt;&gt;"Serviço",0,IF(AND(AUTOEVENTO="Manual",$M624=1),0,IF(OFFSET(CRONOPLE!$F$14,$M624,BE$13)="",10^12,OFFSET(CRONOPLE!$F$14,$M624,BE$13))))</f>
        <v>1000000000000</v>
      </c>
      <c r="BF624" s="215">
        <f ca="1">IF($D624&lt;&gt;"Serviço",0,IF(AND(AUTOEVENTO="Manual",$M624=1),0,IF(OFFSET(CRONOPLE!$F$14,$M624,BF$13)="",10^12,OFFSET(CRONOPLE!$F$14,$M624,BF$13))))</f>
        <v>1000000000000</v>
      </c>
      <c r="BG624" s="215">
        <f ca="1">IF($D624&lt;&gt;"Serviço",0,IF(AND(AUTOEVENTO="Manual",$M624=1),0,IF(OFFSET(CRONOPLE!$F$14,$M624,BG$13)="",10^12,OFFSET(CRONOPLE!$F$14,$M624,BG$13))))</f>
        <v>1000000000000</v>
      </c>
      <c r="BH624" s="215">
        <f ca="1">IF($D624&lt;&gt;"Serviço",0,IF(AND(AUTOEVENTO="Manual",$M624=1),0,IF(OFFSET(CRONOPLE!$F$14,$M624,BH$13)="",10^12,OFFSET(CRONOPLE!$F$14,$M624,BH$13))))</f>
        <v>1000000000000</v>
      </c>
      <c r="BI624" s="215">
        <f ca="1">IF($D624&lt;&gt;"Serviço",0,IF(AND(AUTOEVENTO="Manual",$M624=1),0,IF(OFFSET(CRONOPLE!$F$14,$M624,BI$13)="",10^12,OFFSET(CRONOPLE!$F$14,$M624,BI$13))))</f>
        <v>1000000000000</v>
      </c>
      <c r="BJ624" s="215">
        <f ca="1">IF($D624&lt;&gt;"Serviço",0,IF(AND(AUTOEVENTO="Manual",$M624=1),0,IF(OFFSET(CRONOPLE!$F$14,$M624,BJ$13)="",10^12,OFFSET(CRONOPLE!$F$14,$M624,BJ$13))))</f>
        <v>1000000000000</v>
      </c>
      <c r="BK624" s="215">
        <f ca="1">IF($D624&lt;&gt;"Serviço",0,IF(AND(AUTOEVENTO="Manual",$M624=1),0,IF(OFFSET(CRONOPLE!$F$14,$M624,BK$13)="",10^12,OFFSET(CRONOPLE!$F$14,$M624,BK$13))))</f>
        <v>1000000000000</v>
      </c>
      <c r="BL624" s="215">
        <f ca="1">IF($D624&lt;&gt;"Serviço",0,IF(AND(AUTOEVENTO="Manual",$M624=1),0,IF(OFFSET(CRONOPLE!$F$14,$M624,BL$13)="",10^12,OFFSET(CRONOPLE!$F$14,$M624,BL$13))))</f>
        <v>1000000000000</v>
      </c>
      <c r="BM624" s="215">
        <f ca="1">IF($D624&lt;&gt;"Serviço",0,IF(AND(AUTOEVENTO="Manual",$M624=1),0,IF(OFFSET(CRONOPLE!$F$14,$M624,BM$13)="",10^12,OFFSET(CRONOPLE!$F$14,$M624,BM$13))))</f>
        <v>1000000000000</v>
      </c>
      <c r="BN624" s="215">
        <f ca="1">IF($D624&lt;&gt;"Serviço",0,IF(AND(AUTOEVENTO="Manual",$M624=1),0,IF(OFFSET(CRONOPLE!$F$14,$M624,BN$13)="",10^12,OFFSET(CRONOPLE!$F$14,$M624,BN$13))))</f>
        <v>1000000000000</v>
      </c>
      <c r="BO624" s="215">
        <f ca="1">IF($D624&lt;&gt;"Serviço",0,IF(AND(AUTOEVENTO="Manual",$M624=1),0,IF(OFFSET(CRONOPLE!$F$14,$M624,BO$13)="",10^12,OFFSET(CRONOPLE!$F$14,$M624,BO$13))))</f>
        <v>1000000000000</v>
      </c>
      <c r="BP624" s="215">
        <f ca="1">IF($D624&lt;&gt;"Serviço",0,IF(AND(AUTOEVENTO="Manual",$M624=1),0,IF(OFFSET(CRONOPLE!$F$14,$M624,BP$13)="",10^12,OFFSET(CRONOPLE!$F$14,$M624,BP$13))))</f>
        <v>1000000000000</v>
      </c>
      <c r="BQ624" s="215">
        <f ca="1">IF($D624&lt;&gt;"Serviço",0,IF(AND(AUTOEVENTO="Manual",$M624=1),0,IF(OFFSET(CRONOPLE!$F$14,$M624,BQ$13)="",10^12,OFFSET(CRONOPLE!$F$14,$M624,BQ$13))))</f>
        <v>1000000000000</v>
      </c>
      <c r="BR624" s="215">
        <f ca="1">IF($D624&lt;&gt;"Serviço",0,IF(AND(AUTOEVENTO="Manual",$M624=1),0,IF(OFFSET(CRONOPLE!$F$14,$M624,BR$13)="",10^12,OFFSET(CRONOPLE!$F$14,$M624,BR$13))))</f>
        <v>1000000000000</v>
      </c>
      <c r="BS624" s="215">
        <f ca="1">IF($D624&lt;&gt;"Serviço",0,IF(AND(AUTOEVENTO="Manual",$M624=1),0,IF(OFFSET(CRONOPLE!$F$14,$M624,BS$13)="",10^12,OFFSET(CRONOPLE!$F$14,$M624,BS$13))))</f>
        <v>1000000000000</v>
      </c>
      <c r="BT624" s="215">
        <f ca="1">IF($D624&lt;&gt;"Serviço",0,IF(AND(AUTOEVENTO="Manual",$M624=1),0,IF(OFFSET(CRONOPLE!$F$14,$M624,BT$13)="",10^12,OFFSET(CRONOPLE!$F$14,$M624,BT$13))))</f>
        <v>1000000000000</v>
      </c>
      <c r="BV624" s="216">
        <f ca="1">IF($D624&lt;&gt;"Serviço",0,IF(OR(AND(AUTOEVENTO="Manual",$M624=1),$M624&gt;(ROW(PLE.lastrow)-ROW(PLE.firstrow))),0,IF(OFFSET(PLE!$G$14,$M624,BV$13)="",10^12,OFFSET(PLE!$G$14,$M624,BV$13))))</f>
        <v>1000000000000</v>
      </c>
      <c r="BW624" s="216">
        <f ca="1">IF($D624&lt;&gt;"Serviço",0,IF(OR(AND(AUTOEVENTO="Manual",$M624=1),$M624&gt;(ROW(PLE.lastrow)-ROW(PLE.firstrow))),0,IF(OFFSET(PLE!$G$14,$M624,BW$13)="",10^12,OFFSET(PLE!$G$14,$M624,BW$13))))</f>
        <v>1000000000000</v>
      </c>
      <c r="BX624" s="216">
        <f ca="1">IF($D624&lt;&gt;"Serviço",0,IF(OR(AND(AUTOEVENTO="Manual",$M624=1),$M624&gt;(ROW(PLE.lastrow)-ROW(PLE.firstrow))),0,IF(OFFSET(PLE!$G$14,$M624,BX$13)="",10^12,OFFSET(PLE!$G$14,$M624,BX$13))))</f>
        <v>1000000000000</v>
      </c>
      <c r="BY624" s="216">
        <f ca="1">IF($D624&lt;&gt;"Serviço",0,IF(OR(AND(AUTOEVENTO="Manual",$M624=1),$M624&gt;(ROW(PLE.lastrow)-ROW(PLE.firstrow))),0,IF(OFFSET(PLE!$G$14,$M624,BY$13)="",10^12,OFFSET(PLE!$G$14,$M624,BY$13))))</f>
        <v>1000000000000</v>
      </c>
      <c r="BZ624" s="216">
        <f ca="1">IF($D624&lt;&gt;"Serviço",0,IF(OR(AND(AUTOEVENTO="Manual",$M624=1),$M624&gt;(ROW(PLE.lastrow)-ROW(PLE.firstrow))),0,IF(OFFSET(PLE!$G$14,$M624,BZ$13)="",10^12,OFFSET(PLE!$G$14,$M624,BZ$13))))</f>
        <v>1000000000000</v>
      </c>
      <c r="CA624" s="216">
        <f ca="1">IF($D624&lt;&gt;"Serviço",0,IF(OR(AND(AUTOEVENTO="Manual",$M624=1),$M624&gt;(ROW(PLE.lastrow)-ROW(PLE.firstrow))),0,IF(OFFSET(PLE!$G$14,$M624,CA$13)="",10^12,OFFSET(PLE!$G$14,$M624,CA$13))))</f>
        <v>1000000000000</v>
      </c>
      <c r="CB624" s="216">
        <f ca="1">IF($D624&lt;&gt;"Serviço",0,IF(OR(AND(AUTOEVENTO="Manual",$M624=1),$M624&gt;(ROW(PLE.lastrow)-ROW(PLE.firstrow))),0,IF(OFFSET(PLE!$G$14,$M624,CB$13)="",10^12,OFFSET(PLE!$G$14,$M624,CB$13))))</f>
        <v>1000000000000</v>
      </c>
      <c r="CC624" s="216">
        <f ca="1">IF($D624&lt;&gt;"Serviço",0,IF(OR(AND(AUTOEVENTO="Manual",$M624=1),$M624&gt;(ROW(PLE.lastrow)-ROW(PLE.firstrow))),0,IF(OFFSET(PLE!$G$14,$M624,CC$13)="",10^12,OFFSET(PLE!$G$14,$M624,CC$13))))</f>
        <v>1000000000000</v>
      </c>
      <c r="CD624" s="216">
        <f ca="1">IF($D624&lt;&gt;"Serviço",0,IF(OR(AND(AUTOEVENTO="Manual",$M624=1),$M624&gt;(ROW(PLE.lastrow)-ROW(PLE.firstrow))),0,IF(OFFSET(PLE!$G$14,$M624,CD$13)="",10^12,OFFSET(PLE!$G$14,$M624,CD$13))))</f>
        <v>1000000000000</v>
      </c>
      <c r="CE624" s="216">
        <f ca="1">IF($D624&lt;&gt;"Serviço",0,IF(OR(AND(AUTOEVENTO="Manual",$M624=1),$M624&gt;(ROW(PLE.lastrow)-ROW(PLE.firstrow))),0,IF(OFFSET(PLE!$G$14,$M624,CE$13)="",10^12,OFFSET(PLE!$G$14,$M624,CE$13))))</f>
        <v>1000000000000</v>
      </c>
      <c r="CF624" s="216">
        <f ca="1">IF($D624&lt;&gt;"Serviço",0,IF(OR(AND(AUTOEVENTO="Manual",$M624=1),$M624&gt;(ROW(PLE.lastrow)-ROW(PLE.firstrow))),0,IF(OFFSET(PLE!$G$14,$M624,CF$13)="",10^12,OFFSET(PLE!$G$14,$M624,CF$13))))</f>
        <v>1000000000000</v>
      </c>
      <c r="CG624" s="216">
        <f ca="1">IF($D624&lt;&gt;"Serviço",0,IF(OR(AND(AUTOEVENTO="Manual",$M624=1),$M624&gt;(ROW(PLE.lastrow)-ROW(PLE.firstrow))),0,IF(OFFSET(PLE!$G$14,$M624,CG$13)="",10^12,OFFSET(PLE!$G$14,$M624,CG$13))))</f>
        <v>1000000000000</v>
      </c>
      <c r="CH624" s="216">
        <f ca="1">IF($D624&lt;&gt;"Serviço",0,IF(OR(AND(AUTOEVENTO="Manual",$M624=1),$M624&gt;(ROW(PLE.lastrow)-ROW(PLE.firstrow))),0,IF(OFFSET(PLE!$G$14,$M624,CH$13)="",10^12,OFFSET(PLE!$G$14,$M624,CH$13))))</f>
        <v>1000000000000</v>
      </c>
      <c r="CI624" s="216">
        <f ca="1">IF($D624&lt;&gt;"Serviço",0,IF(OR(AND(AUTOEVENTO="Manual",$M624=1),$M624&gt;(ROW(PLE.lastrow)-ROW(PLE.firstrow))),0,IF(OFFSET(PLE!$G$14,$M624,CI$13)="",10^12,OFFSET(PLE!$G$14,$M624,CI$13))))</f>
        <v>1000000000000</v>
      </c>
      <c r="CJ624" s="216">
        <f ca="1">IF($D624&lt;&gt;"Serviço",0,IF(OR(AND(AUTOEVENTO="Manual",$M624=1),$M624&gt;(ROW(PLE.lastrow)-ROW(PLE.firstrow))),0,IF(OFFSET(PLE!$G$14,$M624,CJ$13)="",10^12,OFFSET(PLE!$G$14,$M624,CJ$13))))</f>
        <v>1000000000000</v>
      </c>
      <c r="CK624" s="216">
        <f ca="1">IF($D624&lt;&gt;"Serviço",0,IF(OR(AND(AUTOEVENTO="Manual",$M624=1),$M624&gt;(ROW(PLE.lastrow)-ROW(PLE.firstrow))),0,IF(OFFSET(PLE!$G$14,$M624,CK$13)="",10^12,OFFSET(PLE!$G$14,$M624,CK$13))))</f>
        <v>1000000000000</v>
      </c>
      <c r="CL624" s="216">
        <f ca="1">IF($D624&lt;&gt;"Serviço",0,IF(OR(AND(AUTOEVENTO="Manual",$M624=1),$M624&gt;(ROW(PLE.lastrow)-ROW(PLE.firstrow))),0,IF(OFFSET(PLE!$G$14,$M624,CL$13)="",10^12,OFFSET(PLE!$G$14,$M624,CL$13))))</f>
        <v>1000000000000</v>
      </c>
      <c r="CM624" s="216">
        <f ca="1">IF($D624&lt;&gt;"Serviço",0,IF(OR(AND(AUTOEVENTO="Manual",$M624=1),$M624&gt;(ROW(PLE.lastrow)-ROW(PLE.firstrow))),0,IF(OFFSET(PLE!$G$14,$M624,CM$13)="",10^12,OFFSET(PLE!$G$14,$M624,CM$13))))</f>
        <v>1000000000000</v>
      </c>
    </row>
    <row r="625" spans="1:91" ht="13.2" x14ac:dyDescent="0.25">
      <c r="A625" s="9">
        <f t="shared" ca="1" si="19"/>
        <v>0</v>
      </c>
      <c r="B625" s="9" t="str">
        <f ca="1">OFFSET(ORÇAMENTO!C$15,ROW(B625)-ROW(B$15),0)</f>
        <v>S</v>
      </c>
      <c r="C625" s="9" t="str">
        <f ca="1">OFFSET(ORÇAMENTO!L$15,ROW(C625)-ROW(C$15),0)</f>
        <v/>
      </c>
      <c r="D625" s="145" t="str">
        <f ca="1">OFFSET(ORÇAMENTO!N$15,ROW(D625)-ROW(D$15),0)</f>
        <v>Serviço</v>
      </c>
      <c r="E625" s="205" t="str">
        <f ca="1">OFFSET(ORÇAMENTO!O$15,ROW(E625)-ROW(E$15),0)</f>
        <v>-</v>
      </c>
      <c r="F625" s="206" t="str">
        <f ca="1">OFFSET(ORÇAMENTO!R$15,ROW(F625)-ROW(F$15),0)</f>
        <v>(abra o arquivo 'Referência 05-2024.xls)</v>
      </c>
      <c r="G625" s="207" t="str">
        <f ca="1">IF($D625&lt;&gt;"Serviço","",OFFSET(ORÇAMENTO!S$15,ROW(G625)-ROW(G$15),0))</f>
        <v>-</v>
      </c>
      <c r="H625" s="151">
        <f ca="1">IF($D625&lt;&gt;"Serviço",0,IF(ACOMPANHAMENTO="BM",ROUND(OFFSET(ORÇAMENTO!AJ$15,ROW(H625)-ROW(H$15),0),15-13*ORÇAMENTO!$AF$7),SUMPRODUCT(($Q$12:$AI$12&lt;&gt;"")*ROUND($Q625:$AI625,15-13*ORÇAMENTO!$AF$7))))</f>
        <v>55</v>
      </c>
      <c r="I625" s="650"/>
      <c r="K625" s="208"/>
      <c r="L625" s="209" t="s">
        <v>257</v>
      </c>
      <c r="M625" s="210">
        <f ca="1">IF($D625&lt;&gt;"Serviço","",IF(AUTOEVENTO="manual",$A625,IF(ISERROR(MATCH($A625,$A$15:OFFSET($A625,-1,0),0)),MAX($M$15:OFFSET(M625,-1,0))+1,INDEX($M$15:OFFSET(M625,-1,0),MATCH($A625,$A$15:OFFSET($A625,-1,0),0)))))</f>
        <v>0</v>
      </c>
      <c r="N625" s="211" t="str">
        <f ca="1">IF($D625&lt;&gt;"Serviço","",IF(AUTOEVENTO="Manual",IF($A625=0,"&lt;-- defina o número do agrupador",OFFSET(EVENTOS!$D$14,$A625,0)),OFFSET($F$15,$A625,0)))</f>
        <v>&lt;-- defina o número do agrupador</v>
      </c>
      <c r="O625" s="212"/>
      <c r="Q625" s="212"/>
      <c r="R625" s="213"/>
      <c r="S625" s="213"/>
      <c r="T625" s="213"/>
      <c r="U625" s="213"/>
      <c r="V625" s="213"/>
      <c r="W625" s="213"/>
      <c r="X625" s="213"/>
      <c r="Y625" s="213"/>
      <c r="Z625" s="214"/>
      <c r="AA625" s="213"/>
      <c r="AB625" s="213"/>
      <c r="AC625" s="213"/>
      <c r="AD625" s="213"/>
      <c r="AE625" s="213"/>
      <c r="AF625" s="213"/>
      <c r="AG625" s="213"/>
      <c r="AH625" s="214"/>
      <c r="AJ625" s="631">
        <f ca="1">IF(AND($D625="Serviço",AJ$12&lt;&gt;0,$H625&gt;0,OR(AUTOEVENTO&lt;&gt;"manual",$M625&lt;&gt;1)),ROUND(OFFSET($P625,0,AJ$13),15-13*ORÇAMENTO!$AF$7)/$H625*OFFSET(ORÇAMENTO!$X$15,ROW(AJ625)-ROW(AJ$15),0),0)</f>
        <v>0</v>
      </c>
      <c r="AK625" s="632">
        <f ca="1">IF(AND($D625="Serviço",AK$12&lt;&gt;0,$H625&gt;0,OR(AUTOEVENTO&lt;&gt;"manual",$M625&lt;&gt;1)),ROUND(OFFSET($P625,0,AK$13),15-13*ORÇAMENTO!$AF$7)/$H625*OFFSET(ORÇAMENTO!$X$15,ROW(AK625)-ROW(AK$15),0),0)</f>
        <v>0</v>
      </c>
      <c r="AL625" s="632">
        <f ca="1">IF(AND($D625="Serviço",AL$12&lt;&gt;0,$H625&gt;0,OR(AUTOEVENTO&lt;&gt;"manual",$M625&lt;&gt;1)),ROUND(OFFSET($P625,0,AL$13),15-13*ORÇAMENTO!$AF$7)/$H625*OFFSET(ORÇAMENTO!$X$15,ROW(AL625)-ROW(AL$15),0),0)</f>
        <v>0</v>
      </c>
      <c r="AM625" s="632">
        <f ca="1">IF(AND($D625="Serviço",AM$12&lt;&gt;0,$H625&gt;0,OR(AUTOEVENTO&lt;&gt;"manual",$M625&lt;&gt;1)),ROUND(OFFSET($P625,0,AM$13),15-13*ORÇAMENTO!$AF$7)/$H625*OFFSET(ORÇAMENTO!$X$15,ROW(AM625)-ROW(AM$15),0),0)</f>
        <v>0</v>
      </c>
      <c r="AN625" s="632">
        <f ca="1">IF(AND($D625="Serviço",AN$12&lt;&gt;0,$H625&gt;0,OR(AUTOEVENTO&lt;&gt;"manual",$M625&lt;&gt;1)),ROUND(OFFSET($P625,0,AN$13),15-13*ORÇAMENTO!$AF$7)/$H625*OFFSET(ORÇAMENTO!$X$15,ROW(AN625)-ROW(AN$15),0),0)</f>
        <v>0</v>
      </c>
      <c r="AO625" s="632">
        <f ca="1">IF(AND($D625="Serviço",AO$12&lt;&gt;0,$H625&gt;0,OR(AUTOEVENTO&lt;&gt;"manual",$M625&lt;&gt;1)),ROUND(OFFSET($P625,0,AO$13),15-13*ORÇAMENTO!$AF$7)/$H625*OFFSET(ORÇAMENTO!$X$15,ROW(AO625)-ROW(AO$15),0),0)</f>
        <v>0</v>
      </c>
      <c r="AP625" s="632">
        <f ca="1">IF(AND($D625="Serviço",AP$12&lt;&gt;0,$H625&gt;0,OR(AUTOEVENTO&lt;&gt;"manual",$M625&lt;&gt;1)),ROUND(OFFSET($P625,0,AP$13),15-13*ORÇAMENTO!$AF$7)/$H625*OFFSET(ORÇAMENTO!$X$15,ROW(AP625)-ROW(AP$15),0),0)</f>
        <v>0</v>
      </c>
      <c r="AQ625" s="632">
        <f ca="1">IF(AND($D625="Serviço",AQ$12&lt;&gt;0,$H625&gt;0,OR(AUTOEVENTO&lt;&gt;"manual",$M625&lt;&gt;1)),ROUND(OFFSET($P625,0,AQ$13),15-13*ORÇAMENTO!$AF$7)/$H625*OFFSET(ORÇAMENTO!$X$15,ROW(AQ625)-ROW(AQ$15),0),0)</f>
        <v>0</v>
      </c>
      <c r="AR625" s="632">
        <f ca="1">IF(AND($D625="Serviço",AR$12&lt;&gt;0,$H625&gt;0,OR(AUTOEVENTO&lt;&gt;"manual",$M625&lt;&gt;1)),ROUND(OFFSET($P625,0,AR$13),15-13*ORÇAMENTO!$AF$7)/$H625*OFFSET(ORÇAMENTO!$X$15,ROW(AR625)-ROW(AR$15),0),0)</f>
        <v>0</v>
      </c>
      <c r="AS625" s="633">
        <f ca="1">IF(AND($D625="Serviço",AS$12&lt;&gt;0,$H625&gt;0,OR(AUTOEVENTO&lt;&gt;"manual",$M625&lt;&gt;1)),ROUND(OFFSET($P625,0,AS$13),15-13*ORÇAMENTO!$AF$7)/$H625*OFFSET(ORÇAMENTO!$X$15,ROW(AS625)-ROW(AS$15),0),0)</f>
        <v>0</v>
      </c>
      <c r="AT625" s="632">
        <f ca="1">IF(AND($D625="Serviço",AT$12&lt;&gt;0,$H625&gt;0,OR(AUTOEVENTO&lt;&gt;"manual",$M625&lt;&gt;1)),ROUND(OFFSET($P625,0,AT$13),15-13*ORÇAMENTO!$AF$7)/$H625*OFFSET(ORÇAMENTO!$X$15,ROW(AT625)-ROW(AT$15),0),0)</f>
        <v>0</v>
      </c>
      <c r="AU625" s="632">
        <f ca="1">IF(AND($D625="Serviço",AU$12&lt;&gt;0,$H625&gt;0,OR(AUTOEVENTO&lt;&gt;"manual",$M625&lt;&gt;1)),ROUND(OFFSET($P625,0,AU$13),15-13*ORÇAMENTO!$AF$7)/$H625*OFFSET(ORÇAMENTO!$X$15,ROW(AU625)-ROW(AU$15),0),0)</f>
        <v>0</v>
      </c>
      <c r="AV625" s="632">
        <f ca="1">IF(AND($D625="Serviço",AV$12&lt;&gt;0,$H625&gt;0,OR(AUTOEVENTO&lt;&gt;"manual",$M625&lt;&gt;1)),ROUND(OFFSET($P625,0,AV$13),15-13*ORÇAMENTO!$AF$7)/$H625*OFFSET(ORÇAMENTO!$X$15,ROW(AV625)-ROW(AV$15),0),0)</f>
        <v>0</v>
      </c>
      <c r="AW625" s="632">
        <f ca="1">IF(AND($D625="Serviço",AW$12&lt;&gt;0,$H625&gt;0,OR(AUTOEVENTO&lt;&gt;"manual",$M625&lt;&gt;1)),ROUND(OFFSET($P625,0,AW$13),15-13*ORÇAMENTO!$AF$7)/$H625*OFFSET(ORÇAMENTO!$X$15,ROW(AW625)-ROW(AW$15),0),0)</f>
        <v>0</v>
      </c>
      <c r="AX625" s="632">
        <f ca="1">IF(AND($D625="Serviço",AX$12&lt;&gt;0,$H625&gt;0,OR(AUTOEVENTO&lt;&gt;"manual",$M625&lt;&gt;1)),ROUND(OFFSET($P625,0,AX$13),15-13*ORÇAMENTO!$AF$7)/$H625*OFFSET(ORÇAMENTO!$X$15,ROW(AX625)-ROW(AX$15),0),0)</f>
        <v>0</v>
      </c>
      <c r="AY625" s="632">
        <f ca="1">IF(AND($D625="Serviço",AY$12&lt;&gt;0,$H625&gt;0,OR(AUTOEVENTO&lt;&gt;"manual",$M625&lt;&gt;1)),ROUND(OFFSET($P625,0,AY$13),15-13*ORÇAMENTO!$AF$7)/$H625*OFFSET(ORÇAMENTO!$X$15,ROW(AY625)-ROW(AY$15),0),0)</f>
        <v>0</v>
      </c>
      <c r="AZ625" s="632">
        <f ca="1">IF(AND($D625="Serviço",AZ$12&lt;&gt;0,$H625&gt;0,OR(AUTOEVENTO&lt;&gt;"manual",$M625&lt;&gt;1)),ROUND(OFFSET($P625,0,AZ$13),15-13*ORÇAMENTO!$AF$7)/$H625*OFFSET(ORÇAMENTO!$X$15,ROW(AZ625)-ROW(AZ$15),0),0)</f>
        <v>0</v>
      </c>
      <c r="BA625" s="633">
        <f ca="1">IF(AND($D625="Serviço",BA$12&lt;&gt;0,$H625&gt;0,OR(AUTOEVENTO&lt;&gt;"manual",$M625&lt;&gt;1)),ROUND(OFFSET($P625,0,BA$13),15-13*ORÇAMENTO!$AF$7)/$H625*OFFSET(ORÇAMENTO!$X$15,ROW(BA625)-ROW(BA$15),0),0)</f>
        <v>0</v>
      </c>
      <c r="BC625" s="215">
        <f ca="1">IF($D625&lt;&gt;"Serviço",0,IF(AND(AUTOEVENTO="Manual",$M625=1),0,IF(OFFSET(CRONOPLE!$F$14,$M625,BC$13)="",10^12,OFFSET(CRONOPLE!$F$14,$M625,BC$13))))</f>
        <v>1000000000000</v>
      </c>
      <c r="BD625" s="215">
        <f ca="1">IF($D625&lt;&gt;"Serviço",0,IF(AND(AUTOEVENTO="Manual",$M625=1),0,IF(OFFSET(CRONOPLE!$F$14,$M625,BD$13)="",10^12,OFFSET(CRONOPLE!$F$14,$M625,BD$13))))</f>
        <v>1000000000000</v>
      </c>
      <c r="BE625" s="215">
        <f ca="1">IF($D625&lt;&gt;"Serviço",0,IF(AND(AUTOEVENTO="Manual",$M625=1),0,IF(OFFSET(CRONOPLE!$F$14,$M625,BE$13)="",10^12,OFFSET(CRONOPLE!$F$14,$M625,BE$13))))</f>
        <v>1000000000000</v>
      </c>
      <c r="BF625" s="215">
        <f ca="1">IF($D625&lt;&gt;"Serviço",0,IF(AND(AUTOEVENTO="Manual",$M625=1),0,IF(OFFSET(CRONOPLE!$F$14,$M625,BF$13)="",10^12,OFFSET(CRONOPLE!$F$14,$M625,BF$13))))</f>
        <v>1000000000000</v>
      </c>
      <c r="BG625" s="215">
        <f ca="1">IF($D625&lt;&gt;"Serviço",0,IF(AND(AUTOEVENTO="Manual",$M625=1),0,IF(OFFSET(CRONOPLE!$F$14,$M625,BG$13)="",10^12,OFFSET(CRONOPLE!$F$14,$M625,BG$13))))</f>
        <v>1000000000000</v>
      </c>
      <c r="BH625" s="215">
        <f ca="1">IF($D625&lt;&gt;"Serviço",0,IF(AND(AUTOEVENTO="Manual",$M625=1),0,IF(OFFSET(CRONOPLE!$F$14,$M625,BH$13)="",10^12,OFFSET(CRONOPLE!$F$14,$M625,BH$13))))</f>
        <v>1000000000000</v>
      </c>
      <c r="BI625" s="215">
        <f ca="1">IF($D625&lt;&gt;"Serviço",0,IF(AND(AUTOEVENTO="Manual",$M625=1),0,IF(OFFSET(CRONOPLE!$F$14,$M625,BI$13)="",10^12,OFFSET(CRONOPLE!$F$14,$M625,BI$13))))</f>
        <v>1000000000000</v>
      </c>
      <c r="BJ625" s="215">
        <f ca="1">IF($D625&lt;&gt;"Serviço",0,IF(AND(AUTOEVENTO="Manual",$M625=1),0,IF(OFFSET(CRONOPLE!$F$14,$M625,BJ$13)="",10^12,OFFSET(CRONOPLE!$F$14,$M625,BJ$13))))</f>
        <v>1000000000000</v>
      </c>
      <c r="BK625" s="215">
        <f ca="1">IF($D625&lt;&gt;"Serviço",0,IF(AND(AUTOEVENTO="Manual",$M625=1),0,IF(OFFSET(CRONOPLE!$F$14,$M625,BK$13)="",10^12,OFFSET(CRONOPLE!$F$14,$M625,BK$13))))</f>
        <v>1000000000000</v>
      </c>
      <c r="BL625" s="215">
        <f ca="1">IF($D625&lt;&gt;"Serviço",0,IF(AND(AUTOEVENTO="Manual",$M625=1),0,IF(OFFSET(CRONOPLE!$F$14,$M625,BL$13)="",10^12,OFFSET(CRONOPLE!$F$14,$M625,BL$13))))</f>
        <v>1000000000000</v>
      </c>
      <c r="BM625" s="215">
        <f ca="1">IF($D625&lt;&gt;"Serviço",0,IF(AND(AUTOEVENTO="Manual",$M625=1),0,IF(OFFSET(CRONOPLE!$F$14,$M625,BM$13)="",10^12,OFFSET(CRONOPLE!$F$14,$M625,BM$13))))</f>
        <v>1000000000000</v>
      </c>
      <c r="BN625" s="215">
        <f ca="1">IF($D625&lt;&gt;"Serviço",0,IF(AND(AUTOEVENTO="Manual",$M625=1),0,IF(OFFSET(CRONOPLE!$F$14,$M625,BN$13)="",10^12,OFFSET(CRONOPLE!$F$14,$M625,BN$13))))</f>
        <v>1000000000000</v>
      </c>
      <c r="BO625" s="215">
        <f ca="1">IF($D625&lt;&gt;"Serviço",0,IF(AND(AUTOEVENTO="Manual",$M625=1),0,IF(OFFSET(CRONOPLE!$F$14,$M625,BO$13)="",10^12,OFFSET(CRONOPLE!$F$14,$M625,BO$13))))</f>
        <v>1000000000000</v>
      </c>
      <c r="BP625" s="215">
        <f ca="1">IF($D625&lt;&gt;"Serviço",0,IF(AND(AUTOEVENTO="Manual",$M625=1),0,IF(OFFSET(CRONOPLE!$F$14,$M625,BP$13)="",10^12,OFFSET(CRONOPLE!$F$14,$M625,BP$13))))</f>
        <v>1000000000000</v>
      </c>
      <c r="BQ625" s="215">
        <f ca="1">IF($D625&lt;&gt;"Serviço",0,IF(AND(AUTOEVENTO="Manual",$M625=1),0,IF(OFFSET(CRONOPLE!$F$14,$M625,BQ$13)="",10^12,OFFSET(CRONOPLE!$F$14,$M625,BQ$13))))</f>
        <v>1000000000000</v>
      </c>
      <c r="BR625" s="215">
        <f ca="1">IF($D625&lt;&gt;"Serviço",0,IF(AND(AUTOEVENTO="Manual",$M625=1),0,IF(OFFSET(CRONOPLE!$F$14,$M625,BR$13)="",10^12,OFFSET(CRONOPLE!$F$14,$M625,BR$13))))</f>
        <v>1000000000000</v>
      </c>
      <c r="BS625" s="215">
        <f ca="1">IF($D625&lt;&gt;"Serviço",0,IF(AND(AUTOEVENTO="Manual",$M625=1),0,IF(OFFSET(CRONOPLE!$F$14,$M625,BS$13)="",10^12,OFFSET(CRONOPLE!$F$14,$M625,BS$13))))</f>
        <v>1000000000000</v>
      </c>
      <c r="BT625" s="215">
        <f ca="1">IF($D625&lt;&gt;"Serviço",0,IF(AND(AUTOEVENTO="Manual",$M625=1),0,IF(OFFSET(CRONOPLE!$F$14,$M625,BT$13)="",10^12,OFFSET(CRONOPLE!$F$14,$M625,BT$13))))</f>
        <v>1000000000000</v>
      </c>
      <c r="BV625" s="216">
        <f ca="1">IF($D625&lt;&gt;"Serviço",0,IF(OR(AND(AUTOEVENTO="Manual",$M625=1),$M625&gt;(ROW(PLE.lastrow)-ROW(PLE.firstrow))),0,IF(OFFSET(PLE!$G$14,$M625,BV$13)="",10^12,OFFSET(PLE!$G$14,$M625,BV$13))))</f>
        <v>1000000000000</v>
      </c>
      <c r="BW625" s="216">
        <f ca="1">IF($D625&lt;&gt;"Serviço",0,IF(OR(AND(AUTOEVENTO="Manual",$M625=1),$M625&gt;(ROW(PLE.lastrow)-ROW(PLE.firstrow))),0,IF(OFFSET(PLE!$G$14,$M625,BW$13)="",10^12,OFFSET(PLE!$G$14,$M625,BW$13))))</f>
        <v>1000000000000</v>
      </c>
      <c r="BX625" s="216">
        <f ca="1">IF($D625&lt;&gt;"Serviço",0,IF(OR(AND(AUTOEVENTO="Manual",$M625=1),$M625&gt;(ROW(PLE.lastrow)-ROW(PLE.firstrow))),0,IF(OFFSET(PLE!$G$14,$M625,BX$13)="",10^12,OFFSET(PLE!$G$14,$M625,BX$13))))</f>
        <v>1000000000000</v>
      </c>
      <c r="BY625" s="216">
        <f ca="1">IF($D625&lt;&gt;"Serviço",0,IF(OR(AND(AUTOEVENTO="Manual",$M625=1),$M625&gt;(ROW(PLE.lastrow)-ROW(PLE.firstrow))),0,IF(OFFSET(PLE!$G$14,$M625,BY$13)="",10^12,OFFSET(PLE!$G$14,$M625,BY$13))))</f>
        <v>1000000000000</v>
      </c>
      <c r="BZ625" s="216">
        <f ca="1">IF($D625&lt;&gt;"Serviço",0,IF(OR(AND(AUTOEVENTO="Manual",$M625=1),$M625&gt;(ROW(PLE.lastrow)-ROW(PLE.firstrow))),0,IF(OFFSET(PLE!$G$14,$M625,BZ$13)="",10^12,OFFSET(PLE!$G$14,$M625,BZ$13))))</f>
        <v>1000000000000</v>
      </c>
      <c r="CA625" s="216">
        <f ca="1">IF($D625&lt;&gt;"Serviço",0,IF(OR(AND(AUTOEVENTO="Manual",$M625=1),$M625&gt;(ROW(PLE.lastrow)-ROW(PLE.firstrow))),0,IF(OFFSET(PLE!$G$14,$M625,CA$13)="",10^12,OFFSET(PLE!$G$14,$M625,CA$13))))</f>
        <v>1000000000000</v>
      </c>
      <c r="CB625" s="216">
        <f ca="1">IF($D625&lt;&gt;"Serviço",0,IF(OR(AND(AUTOEVENTO="Manual",$M625=1),$M625&gt;(ROW(PLE.lastrow)-ROW(PLE.firstrow))),0,IF(OFFSET(PLE!$G$14,$M625,CB$13)="",10^12,OFFSET(PLE!$G$14,$M625,CB$13))))</f>
        <v>1000000000000</v>
      </c>
      <c r="CC625" s="216">
        <f ca="1">IF($D625&lt;&gt;"Serviço",0,IF(OR(AND(AUTOEVENTO="Manual",$M625=1),$M625&gt;(ROW(PLE.lastrow)-ROW(PLE.firstrow))),0,IF(OFFSET(PLE!$G$14,$M625,CC$13)="",10^12,OFFSET(PLE!$G$14,$M625,CC$13))))</f>
        <v>1000000000000</v>
      </c>
      <c r="CD625" s="216">
        <f ca="1">IF($D625&lt;&gt;"Serviço",0,IF(OR(AND(AUTOEVENTO="Manual",$M625=1),$M625&gt;(ROW(PLE.lastrow)-ROW(PLE.firstrow))),0,IF(OFFSET(PLE!$G$14,$M625,CD$13)="",10^12,OFFSET(PLE!$G$14,$M625,CD$13))))</f>
        <v>1000000000000</v>
      </c>
      <c r="CE625" s="216">
        <f ca="1">IF($D625&lt;&gt;"Serviço",0,IF(OR(AND(AUTOEVENTO="Manual",$M625=1),$M625&gt;(ROW(PLE.lastrow)-ROW(PLE.firstrow))),0,IF(OFFSET(PLE!$G$14,$M625,CE$13)="",10^12,OFFSET(PLE!$G$14,$M625,CE$13))))</f>
        <v>1000000000000</v>
      </c>
      <c r="CF625" s="216">
        <f ca="1">IF($D625&lt;&gt;"Serviço",0,IF(OR(AND(AUTOEVENTO="Manual",$M625=1),$M625&gt;(ROW(PLE.lastrow)-ROW(PLE.firstrow))),0,IF(OFFSET(PLE!$G$14,$M625,CF$13)="",10^12,OFFSET(PLE!$G$14,$M625,CF$13))))</f>
        <v>1000000000000</v>
      </c>
      <c r="CG625" s="216">
        <f ca="1">IF($D625&lt;&gt;"Serviço",0,IF(OR(AND(AUTOEVENTO="Manual",$M625=1),$M625&gt;(ROW(PLE.lastrow)-ROW(PLE.firstrow))),0,IF(OFFSET(PLE!$G$14,$M625,CG$13)="",10^12,OFFSET(PLE!$G$14,$M625,CG$13))))</f>
        <v>1000000000000</v>
      </c>
      <c r="CH625" s="216">
        <f ca="1">IF($D625&lt;&gt;"Serviço",0,IF(OR(AND(AUTOEVENTO="Manual",$M625=1),$M625&gt;(ROW(PLE.lastrow)-ROW(PLE.firstrow))),0,IF(OFFSET(PLE!$G$14,$M625,CH$13)="",10^12,OFFSET(PLE!$G$14,$M625,CH$13))))</f>
        <v>1000000000000</v>
      </c>
      <c r="CI625" s="216">
        <f ca="1">IF($D625&lt;&gt;"Serviço",0,IF(OR(AND(AUTOEVENTO="Manual",$M625=1),$M625&gt;(ROW(PLE.lastrow)-ROW(PLE.firstrow))),0,IF(OFFSET(PLE!$G$14,$M625,CI$13)="",10^12,OFFSET(PLE!$G$14,$M625,CI$13))))</f>
        <v>1000000000000</v>
      </c>
      <c r="CJ625" s="216">
        <f ca="1">IF($D625&lt;&gt;"Serviço",0,IF(OR(AND(AUTOEVENTO="Manual",$M625=1),$M625&gt;(ROW(PLE.lastrow)-ROW(PLE.firstrow))),0,IF(OFFSET(PLE!$G$14,$M625,CJ$13)="",10^12,OFFSET(PLE!$G$14,$M625,CJ$13))))</f>
        <v>1000000000000</v>
      </c>
      <c r="CK625" s="216">
        <f ca="1">IF($D625&lt;&gt;"Serviço",0,IF(OR(AND(AUTOEVENTO="Manual",$M625=1),$M625&gt;(ROW(PLE.lastrow)-ROW(PLE.firstrow))),0,IF(OFFSET(PLE!$G$14,$M625,CK$13)="",10^12,OFFSET(PLE!$G$14,$M625,CK$13))))</f>
        <v>1000000000000</v>
      </c>
      <c r="CL625" s="216">
        <f ca="1">IF($D625&lt;&gt;"Serviço",0,IF(OR(AND(AUTOEVENTO="Manual",$M625=1),$M625&gt;(ROW(PLE.lastrow)-ROW(PLE.firstrow))),0,IF(OFFSET(PLE!$G$14,$M625,CL$13)="",10^12,OFFSET(PLE!$G$14,$M625,CL$13))))</f>
        <v>1000000000000</v>
      </c>
      <c r="CM625" s="216">
        <f ca="1">IF($D625&lt;&gt;"Serviço",0,IF(OR(AND(AUTOEVENTO="Manual",$M625=1),$M625&gt;(ROW(PLE.lastrow)-ROW(PLE.firstrow))),0,IF(OFFSET(PLE!$G$14,$M625,CM$13)="",10^12,OFFSET(PLE!$G$14,$M625,CM$13))))</f>
        <v>1000000000000</v>
      </c>
    </row>
    <row r="626" spans="1:91" ht="13.2" x14ac:dyDescent="0.25">
      <c r="A626" s="9">
        <f t="shared" ca="1" si="19"/>
        <v>0</v>
      </c>
      <c r="B626" s="9" t="str">
        <f ca="1">OFFSET(ORÇAMENTO!C$15,ROW(B626)-ROW(B$15),0)</f>
        <v>S</v>
      </c>
      <c r="C626" s="9" t="str">
        <f ca="1">OFFSET(ORÇAMENTO!L$15,ROW(C626)-ROW(C$15),0)</f>
        <v/>
      </c>
      <c r="D626" s="145" t="str">
        <f ca="1">OFFSET(ORÇAMENTO!N$15,ROW(D626)-ROW(D$15),0)</f>
        <v>Serviço</v>
      </c>
      <c r="E626" s="205" t="str">
        <f ca="1">OFFSET(ORÇAMENTO!O$15,ROW(E626)-ROW(E$15),0)</f>
        <v>-</v>
      </c>
      <c r="F626" s="206" t="str">
        <f ca="1">OFFSET(ORÇAMENTO!R$15,ROW(F626)-ROW(F$15),0)</f>
        <v>(abra o arquivo 'Referência 05-2024.xls)</v>
      </c>
      <c r="G626" s="207" t="str">
        <f ca="1">IF($D626&lt;&gt;"Serviço","",OFFSET(ORÇAMENTO!S$15,ROW(G626)-ROW(G$15),0))</f>
        <v>-</v>
      </c>
      <c r="H626" s="151">
        <f ca="1">IF($D626&lt;&gt;"Serviço",0,IF(ACOMPANHAMENTO="BM",ROUND(OFFSET(ORÇAMENTO!AJ$15,ROW(H626)-ROW(H$15),0),15-13*ORÇAMENTO!$AF$7),SUMPRODUCT(($Q$12:$AI$12&lt;&gt;"")*ROUND($Q626:$AI626,15-13*ORÇAMENTO!$AF$7))))</f>
        <v>105</v>
      </c>
      <c r="I626" s="650"/>
      <c r="K626" s="208"/>
      <c r="L626" s="209" t="s">
        <v>257</v>
      </c>
      <c r="M626" s="210">
        <f ca="1">IF($D626&lt;&gt;"Serviço","",IF(AUTOEVENTO="manual",$A626,IF(ISERROR(MATCH($A626,$A$15:OFFSET($A626,-1,0),0)),MAX($M$15:OFFSET(M626,-1,0))+1,INDEX($M$15:OFFSET(M626,-1,0),MATCH($A626,$A$15:OFFSET($A626,-1,0),0)))))</f>
        <v>0</v>
      </c>
      <c r="N626" s="211" t="str">
        <f ca="1">IF($D626&lt;&gt;"Serviço","",IF(AUTOEVENTO="Manual",IF($A626=0,"&lt;-- defina o número do agrupador",OFFSET(EVENTOS!$D$14,$A626,0)),OFFSET($F$15,$A626,0)))</f>
        <v>&lt;-- defina o número do agrupador</v>
      </c>
      <c r="O626" s="212"/>
      <c r="Q626" s="212"/>
      <c r="R626" s="213"/>
      <c r="S626" s="213"/>
      <c r="T626" s="213"/>
      <c r="U626" s="213"/>
      <c r="V626" s="213"/>
      <c r="W626" s="213"/>
      <c r="X626" s="213"/>
      <c r="Y626" s="213"/>
      <c r="Z626" s="214"/>
      <c r="AA626" s="213"/>
      <c r="AB626" s="213"/>
      <c r="AC626" s="213"/>
      <c r="AD626" s="213"/>
      <c r="AE626" s="213"/>
      <c r="AF626" s="213"/>
      <c r="AG626" s="213"/>
      <c r="AH626" s="214"/>
      <c r="AJ626" s="631">
        <f ca="1">IF(AND($D626="Serviço",AJ$12&lt;&gt;0,$H626&gt;0,OR(AUTOEVENTO&lt;&gt;"manual",$M626&lt;&gt;1)),ROUND(OFFSET($P626,0,AJ$13),15-13*ORÇAMENTO!$AF$7)/$H626*OFFSET(ORÇAMENTO!$X$15,ROW(AJ626)-ROW(AJ$15),0),0)</f>
        <v>0</v>
      </c>
      <c r="AK626" s="632">
        <f ca="1">IF(AND($D626="Serviço",AK$12&lt;&gt;0,$H626&gt;0,OR(AUTOEVENTO&lt;&gt;"manual",$M626&lt;&gt;1)),ROUND(OFFSET($P626,0,AK$13),15-13*ORÇAMENTO!$AF$7)/$H626*OFFSET(ORÇAMENTO!$X$15,ROW(AK626)-ROW(AK$15),0),0)</f>
        <v>0</v>
      </c>
      <c r="AL626" s="632">
        <f ca="1">IF(AND($D626="Serviço",AL$12&lt;&gt;0,$H626&gt;0,OR(AUTOEVENTO&lt;&gt;"manual",$M626&lt;&gt;1)),ROUND(OFFSET($P626,0,AL$13),15-13*ORÇAMENTO!$AF$7)/$H626*OFFSET(ORÇAMENTO!$X$15,ROW(AL626)-ROW(AL$15),0),0)</f>
        <v>0</v>
      </c>
      <c r="AM626" s="632">
        <f ca="1">IF(AND($D626="Serviço",AM$12&lt;&gt;0,$H626&gt;0,OR(AUTOEVENTO&lt;&gt;"manual",$M626&lt;&gt;1)),ROUND(OFFSET($P626,0,AM$13),15-13*ORÇAMENTO!$AF$7)/$H626*OFFSET(ORÇAMENTO!$X$15,ROW(AM626)-ROW(AM$15),0),0)</f>
        <v>0</v>
      </c>
      <c r="AN626" s="632">
        <f ca="1">IF(AND($D626="Serviço",AN$12&lt;&gt;0,$H626&gt;0,OR(AUTOEVENTO&lt;&gt;"manual",$M626&lt;&gt;1)),ROUND(OFFSET($P626,0,AN$13),15-13*ORÇAMENTO!$AF$7)/$H626*OFFSET(ORÇAMENTO!$X$15,ROW(AN626)-ROW(AN$15),0),0)</f>
        <v>0</v>
      </c>
      <c r="AO626" s="632">
        <f ca="1">IF(AND($D626="Serviço",AO$12&lt;&gt;0,$H626&gt;0,OR(AUTOEVENTO&lt;&gt;"manual",$M626&lt;&gt;1)),ROUND(OFFSET($P626,0,AO$13),15-13*ORÇAMENTO!$AF$7)/$H626*OFFSET(ORÇAMENTO!$X$15,ROW(AO626)-ROW(AO$15),0),0)</f>
        <v>0</v>
      </c>
      <c r="AP626" s="632">
        <f ca="1">IF(AND($D626="Serviço",AP$12&lt;&gt;0,$H626&gt;0,OR(AUTOEVENTO&lt;&gt;"manual",$M626&lt;&gt;1)),ROUND(OFFSET($P626,0,AP$13),15-13*ORÇAMENTO!$AF$7)/$H626*OFFSET(ORÇAMENTO!$X$15,ROW(AP626)-ROW(AP$15),0),0)</f>
        <v>0</v>
      </c>
      <c r="AQ626" s="632">
        <f ca="1">IF(AND($D626="Serviço",AQ$12&lt;&gt;0,$H626&gt;0,OR(AUTOEVENTO&lt;&gt;"manual",$M626&lt;&gt;1)),ROUND(OFFSET($P626,0,AQ$13),15-13*ORÇAMENTO!$AF$7)/$H626*OFFSET(ORÇAMENTO!$X$15,ROW(AQ626)-ROW(AQ$15),0),0)</f>
        <v>0</v>
      </c>
      <c r="AR626" s="632">
        <f ca="1">IF(AND($D626="Serviço",AR$12&lt;&gt;0,$H626&gt;0,OR(AUTOEVENTO&lt;&gt;"manual",$M626&lt;&gt;1)),ROUND(OFFSET($P626,0,AR$13),15-13*ORÇAMENTO!$AF$7)/$H626*OFFSET(ORÇAMENTO!$X$15,ROW(AR626)-ROW(AR$15),0),0)</f>
        <v>0</v>
      </c>
      <c r="AS626" s="633">
        <f ca="1">IF(AND($D626="Serviço",AS$12&lt;&gt;0,$H626&gt;0,OR(AUTOEVENTO&lt;&gt;"manual",$M626&lt;&gt;1)),ROUND(OFFSET($P626,0,AS$13),15-13*ORÇAMENTO!$AF$7)/$H626*OFFSET(ORÇAMENTO!$X$15,ROW(AS626)-ROW(AS$15),0),0)</f>
        <v>0</v>
      </c>
      <c r="AT626" s="632">
        <f ca="1">IF(AND($D626="Serviço",AT$12&lt;&gt;0,$H626&gt;0,OR(AUTOEVENTO&lt;&gt;"manual",$M626&lt;&gt;1)),ROUND(OFFSET($P626,0,AT$13),15-13*ORÇAMENTO!$AF$7)/$H626*OFFSET(ORÇAMENTO!$X$15,ROW(AT626)-ROW(AT$15),0),0)</f>
        <v>0</v>
      </c>
      <c r="AU626" s="632">
        <f ca="1">IF(AND($D626="Serviço",AU$12&lt;&gt;0,$H626&gt;0,OR(AUTOEVENTO&lt;&gt;"manual",$M626&lt;&gt;1)),ROUND(OFFSET($P626,0,AU$13),15-13*ORÇAMENTO!$AF$7)/$H626*OFFSET(ORÇAMENTO!$X$15,ROW(AU626)-ROW(AU$15),0),0)</f>
        <v>0</v>
      </c>
      <c r="AV626" s="632">
        <f ca="1">IF(AND($D626="Serviço",AV$12&lt;&gt;0,$H626&gt;0,OR(AUTOEVENTO&lt;&gt;"manual",$M626&lt;&gt;1)),ROUND(OFFSET($P626,0,AV$13),15-13*ORÇAMENTO!$AF$7)/$H626*OFFSET(ORÇAMENTO!$X$15,ROW(AV626)-ROW(AV$15),0),0)</f>
        <v>0</v>
      </c>
      <c r="AW626" s="632">
        <f ca="1">IF(AND($D626="Serviço",AW$12&lt;&gt;0,$H626&gt;0,OR(AUTOEVENTO&lt;&gt;"manual",$M626&lt;&gt;1)),ROUND(OFFSET($P626,0,AW$13),15-13*ORÇAMENTO!$AF$7)/$H626*OFFSET(ORÇAMENTO!$X$15,ROW(AW626)-ROW(AW$15),0),0)</f>
        <v>0</v>
      </c>
      <c r="AX626" s="632">
        <f ca="1">IF(AND($D626="Serviço",AX$12&lt;&gt;0,$H626&gt;0,OR(AUTOEVENTO&lt;&gt;"manual",$M626&lt;&gt;1)),ROUND(OFFSET($P626,0,AX$13),15-13*ORÇAMENTO!$AF$7)/$H626*OFFSET(ORÇAMENTO!$X$15,ROW(AX626)-ROW(AX$15),0),0)</f>
        <v>0</v>
      </c>
      <c r="AY626" s="632">
        <f ca="1">IF(AND($D626="Serviço",AY$12&lt;&gt;0,$H626&gt;0,OR(AUTOEVENTO&lt;&gt;"manual",$M626&lt;&gt;1)),ROUND(OFFSET($P626,0,AY$13),15-13*ORÇAMENTO!$AF$7)/$H626*OFFSET(ORÇAMENTO!$X$15,ROW(AY626)-ROW(AY$15),0),0)</f>
        <v>0</v>
      </c>
      <c r="AZ626" s="632">
        <f ca="1">IF(AND($D626="Serviço",AZ$12&lt;&gt;0,$H626&gt;0,OR(AUTOEVENTO&lt;&gt;"manual",$M626&lt;&gt;1)),ROUND(OFFSET($P626,0,AZ$13),15-13*ORÇAMENTO!$AF$7)/$H626*OFFSET(ORÇAMENTO!$X$15,ROW(AZ626)-ROW(AZ$15),0),0)</f>
        <v>0</v>
      </c>
      <c r="BA626" s="633">
        <f ca="1">IF(AND($D626="Serviço",BA$12&lt;&gt;0,$H626&gt;0,OR(AUTOEVENTO&lt;&gt;"manual",$M626&lt;&gt;1)),ROUND(OFFSET($P626,0,BA$13),15-13*ORÇAMENTO!$AF$7)/$H626*OFFSET(ORÇAMENTO!$X$15,ROW(BA626)-ROW(BA$15),0),0)</f>
        <v>0</v>
      </c>
      <c r="BC626" s="215">
        <f ca="1">IF($D626&lt;&gt;"Serviço",0,IF(AND(AUTOEVENTO="Manual",$M626=1),0,IF(OFFSET(CRONOPLE!$F$14,$M626,BC$13)="",10^12,OFFSET(CRONOPLE!$F$14,$M626,BC$13))))</f>
        <v>1000000000000</v>
      </c>
      <c r="BD626" s="215">
        <f ca="1">IF($D626&lt;&gt;"Serviço",0,IF(AND(AUTOEVENTO="Manual",$M626=1),0,IF(OFFSET(CRONOPLE!$F$14,$M626,BD$13)="",10^12,OFFSET(CRONOPLE!$F$14,$M626,BD$13))))</f>
        <v>1000000000000</v>
      </c>
      <c r="BE626" s="215">
        <f ca="1">IF($D626&lt;&gt;"Serviço",0,IF(AND(AUTOEVENTO="Manual",$M626=1),0,IF(OFFSET(CRONOPLE!$F$14,$M626,BE$13)="",10^12,OFFSET(CRONOPLE!$F$14,$M626,BE$13))))</f>
        <v>1000000000000</v>
      </c>
      <c r="BF626" s="215">
        <f ca="1">IF($D626&lt;&gt;"Serviço",0,IF(AND(AUTOEVENTO="Manual",$M626=1),0,IF(OFFSET(CRONOPLE!$F$14,$M626,BF$13)="",10^12,OFFSET(CRONOPLE!$F$14,$M626,BF$13))))</f>
        <v>1000000000000</v>
      </c>
      <c r="BG626" s="215">
        <f ca="1">IF($D626&lt;&gt;"Serviço",0,IF(AND(AUTOEVENTO="Manual",$M626=1),0,IF(OFFSET(CRONOPLE!$F$14,$M626,BG$13)="",10^12,OFFSET(CRONOPLE!$F$14,$M626,BG$13))))</f>
        <v>1000000000000</v>
      </c>
      <c r="BH626" s="215">
        <f ca="1">IF($D626&lt;&gt;"Serviço",0,IF(AND(AUTOEVENTO="Manual",$M626=1),0,IF(OFFSET(CRONOPLE!$F$14,$M626,BH$13)="",10^12,OFFSET(CRONOPLE!$F$14,$M626,BH$13))))</f>
        <v>1000000000000</v>
      </c>
      <c r="BI626" s="215">
        <f ca="1">IF($D626&lt;&gt;"Serviço",0,IF(AND(AUTOEVENTO="Manual",$M626=1),0,IF(OFFSET(CRONOPLE!$F$14,$M626,BI$13)="",10^12,OFFSET(CRONOPLE!$F$14,$M626,BI$13))))</f>
        <v>1000000000000</v>
      </c>
      <c r="BJ626" s="215">
        <f ca="1">IF($D626&lt;&gt;"Serviço",0,IF(AND(AUTOEVENTO="Manual",$M626=1),0,IF(OFFSET(CRONOPLE!$F$14,$M626,BJ$13)="",10^12,OFFSET(CRONOPLE!$F$14,$M626,BJ$13))))</f>
        <v>1000000000000</v>
      </c>
      <c r="BK626" s="215">
        <f ca="1">IF($D626&lt;&gt;"Serviço",0,IF(AND(AUTOEVENTO="Manual",$M626=1),0,IF(OFFSET(CRONOPLE!$F$14,$M626,BK$13)="",10^12,OFFSET(CRONOPLE!$F$14,$M626,BK$13))))</f>
        <v>1000000000000</v>
      </c>
      <c r="BL626" s="215">
        <f ca="1">IF($D626&lt;&gt;"Serviço",0,IF(AND(AUTOEVENTO="Manual",$M626=1),0,IF(OFFSET(CRONOPLE!$F$14,$M626,BL$13)="",10^12,OFFSET(CRONOPLE!$F$14,$M626,BL$13))))</f>
        <v>1000000000000</v>
      </c>
      <c r="BM626" s="215">
        <f ca="1">IF($D626&lt;&gt;"Serviço",0,IF(AND(AUTOEVENTO="Manual",$M626=1),0,IF(OFFSET(CRONOPLE!$F$14,$M626,BM$13)="",10^12,OFFSET(CRONOPLE!$F$14,$M626,BM$13))))</f>
        <v>1000000000000</v>
      </c>
      <c r="BN626" s="215">
        <f ca="1">IF($D626&lt;&gt;"Serviço",0,IF(AND(AUTOEVENTO="Manual",$M626=1),0,IF(OFFSET(CRONOPLE!$F$14,$M626,BN$13)="",10^12,OFFSET(CRONOPLE!$F$14,$M626,BN$13))))</f>
        <v>1000000000000</v>
      </c>
      <c r="BO626" s="215">
        <f ca="1">IF($D626&lt;&gt;"Serviço",0,IF(AND(AUTOEVENTO="Manual",$M626=1),0,IF(OFFSET(CRONOPLE!$F$14,$M626,BO$13)="",10^12,OFFSET(CRONOPLE!$F$14,$M626,BO$13))))</f>
        <v>1000000000000</v>
      </c>
      <c r="BP626" s="215">
        <f ca="1">IF($D626&lt;&gt;"Serviço",0,IF(AND(AUTOEVENTO="Manual",$M626=1),0,IF(OFFSET(CRONOPLE!$F$14,$M626,BP$13)="",10^12,OFFSET(CRONOPLE!$F$14,$M626,BP$13))))</f>
        <v>1000000000000</v>
      </c>
      <c r="BQ626" s="215">
        <f ca="1">IF($D626&lt;&gt;"Serviço",0,IF(AND(AUTOEVENTO="Manual",$M626=1),0,IF(OFFSET(CRONOPLE!$F$14,$M626,BQ$13)="",10^12,OFFSET(CRONOPLE!$F$14,$M626,BQ$13))))</f>
        <v>1000000000000</v>
      </c>
      <c r="BR626" s="215">
        <f ca="1">IF($D626&lt;&gt;"Serviço",0,IF(AND(AUTOEVENTO="Manual",$M626=1),0,IF(OFFSET(CRONOPLE!$F$14,$M626,BR$13)="",10^12,OFFSET(CRONOPLE!$F$14,$M626,BR$13))))</f>
        <v>1000000000000</v>
      </c>
      <c r="BS626" s="215">
        <f ca="1">IF($D626&lt;&gt;"Serviço",0,IF(AND(AUTOEVENTO="Manual",$M626=1),0,IF(OFFSET(CRONOPLE!$F$14,$M626,BS$13)="",10^12,OFFSET(CRONOPLE!$F$14,$M626,BS$13))))</f>
        <v>1000000000000</v>
      </c>
      <c r="BT626" s="215">
        <f ca="1">IF($D626&lt;&gt;"Serviço",0,IF(AND(AUTOEVENTO="Manual",$M626=1),0,IF(OFFSET(CRONOPLE!$F$14,$M626,BT$13)="",10^12,OFFSET(CRONOPLE!$F$14,$M626,BT$13))))</f>
        <v>1000000000000</v>
      </c>
      <c r="BV626" s="216">
        <f ca="1">IF($D626&lt;&gt;"Serviço",0,IF(OR(AND(AUTOEVENTO="Manual",$M626=1),$M626&gt;(ROW(PLE.lastrow)-ROW(PLE.firstrow))),0,IF(OFFSET(PLE!$G$14,$M626,BV$13)="",10^12,OFFSET(PLE!$G$14,$M626,BV$13))))</f>
        <v>1000000000000</v>
      </c>
      <c r="BW626" s="216">
        <f ca="1">IF($D626&lt;&gt;"Serviço",0,IF(OR(AND(AUTOEVENTO="Manual",$M626=1),$M626&gt;(ROW(PLE.lastrow)-ROW(PLE.firstrow))),0,IF(OFFSET(PLE!$G$14,$M626,BW$13)="",10^12,OFFSET(PLE!$G$14,$M626,BW$13))))</f>
        <v>1000000000000</v>
      </c>
      <c r="BX626" s="216">
        <f ca="1">IF($D626&lt;&gt;"Serviço",0,IF(OR(AND(AUTOEVENTO="Manual",$M626=1),$M626&gt;(ROW(PLE.lastrow)-ROW(PLE.firstrow))),0,IF(OFFSET(PLE!$G$14,$M626,BX$13)="",10^12,OFFSET(PLE!$G$14,$M626,BX$13))))</f>
        <v>1000000000000</v>
      </c>
      <c r="BY626" s="216">
        <f ca="1">IF($D626&lt;&gt;"Serviço",0,IF(OR(AND(AUTOEVENTO="Manual",$M626=1),$M626&gt;(ROW(PLE.lastrow)-ROW(PLE.firstrow))),0,IF(OFFSET(PLE!$G$14,$M626,BY$13)="",10^12,OFFSET(PLE!$G$14,$M626,BY$13))))</f>
        <v>1000000000000</v>
      </c>
      <c r="BZ626" s="216">
        <f ca="1">IF($D626&lt;&gt;"Serviço",0,IF(OR(AND(AUTOEVENTO="Manual",$M626=1),$M626&gt;(ROW(PLE.lastrow)-ROW(PLE.firstrow))),0,IF(OFFSET(PLE!$G$14,$M626,BZ$13)="",10^12,OFFSET(PLE!$G$14,$M626,BZ$13))))</f>
        <v>1000000000000</v>
      </c>
      <c r="CA626" s="216">
        <f ca="1">IF($D626&lt;&gt;"Serviço",0,IF(OR(AND(AUTOEVENTO="Manual",$M626=1),$M626&gt;(ROW(PLE.lastrow)-ROW(PLE.firstrow))),0,IF(OFFSET(PLE!$G$14,$M626,CA$13)="",10^12,OFFSET(PLE!$G$14,$M626,CA$13))))</f>
        <v>1000000000000</v>
      </c>
      <c r="CB626" s="216">
        <f ca="1">IF($D626&lt;&gt;"Serviço",0,IF(OR(AND(AUTOEVENTO="Manual",$M626=1),$M626&gt;(ROW(PLE.lastrow)-ROW(PLE.firstrow))),0,IF(OFFSET(PLE!$G$14,$M626,CB$13)="",10^12,OFFSET(PLE!$G$14,$M626,CB$13))))</f>
        <v>1000000000000</v>
      </c>
      <c r="CC626" s="216">
        <f ca="1">IF($D626&lt;&gt;"Serviço",0,IF(OR(AND(AUTOEVENTO="Manual",$M626=1),$M626&gt;(ROW(PLE.lastrow)-ROW(PLE.firstrow))),0,IF(OFFSET(PLE!$G$14,$M626,CC$13)="",10^12,OFFSET(PLE!$G$14,$M626,CC$13))))</f>
        <v>1000000000000</v>
      </c>
      <c r="CD626" s="216">
        <f ca="1">IF($D626&lt;&gt;"Serviço",0,IF(OR(AND(AUTOEVENTO="Manual",$M626=1),$M626&gt;(ROW(PLE.lastrow)-ROW(PLE.firstrow))),0,IF(OFFSET(PLE!$G$14,$M626,CD$13)="",10^12,OFFSET(PLE!$G$14,$M626,CD$13))))</f>
        <v>1000000000000</v>
      </c>
      <c r="CE626" s="216">
        <f ca="1">IF($D626&lt;&gt;"Serviço",0,IF(OR(AND(AUTOEVENTO="Manual",$M626=1),$M626&gt;(ROW(PLE.lastrow)-ROW(PLE.firstrow))),0,IF(OFFSET(PLE!$G$14,$M626,CE$13)="",10^12,OFFSET(PLE!$G$14,$M626,CE$13))))</f>
        <v>1000000000000</v>
      </c>
      <c r="CF626" s="216">
        <f ca="1">IF($D626&lt;&gt;"Serviço",0,IF(OR(AND(AUTOEVENTO="Manual",$M626=1),$M626&gt;(ROW(PLE.lastrow)-ROW(PLE.firstrow))),0,IF(OFFSET(PLE!$G$14,$M626,CF$13)="",10^12,OFFSET(PLE!$G$14,$M626,CF$13))))</f>
        <v>1000000000000</v>
      </c>
      <c r="CG626" s="216">
        <f ca="1">IF($D626&lt;&gt;"Serviço",0,IF(OR(AND(AUTOEVENTO="Manual",$M626=1),$M626&gt;(ROW(PLE.lastrow)-ROW(PLE.firstrow))),0,IF(OFFSET(PLE!$G$14,$M626,CG$13)="",10^12,OFFSET(PLE!$G$14,$M626,CG$13))))</f>
        <v>1000000000000</v>
      </c>
      <c r="CH626" s="216">
        <f ca="1">IF($D626&lt;&gt;"Serviço",0,IF(OR(AND(AUTOEVENTO="Manual",$M626=1),$M626&gt;(ROW(PLE.lastrow)-ROW(PLE.firstrow))),0,IF(OFFSET(PLE!$G$14,$M626,CH$13)="",10^12,OFFSET(PLE!$G$14,$M626,CH$13))))</f>
        <v>1000000000000</v>
      </c>
      <c r="CI626" s="216">
        <f ca="1">IF($D626&lt;&gt;"Serviço",0,IF(OR(AND(AUTOEVENTO="Manual",$M626=1),$M626&gt;(ROW(PLE.lastrow)-ROW(PLE.firstrow))),0,IF(OFFSET(PLE!$G$14,$M626,CI$13)="",10^12,OFFSET(PLE!$G$14,$M626,CI$13))))</f>
        <v>1000000000000</v>
      </c>
      <c r="CJ626" s="216">
        <f ca="1">IF($D626&lt;&gt;"Serviço",0,IF(OR(AND(AUTOEVENTO="Manual",$M626=1),$M626&gt;(ROW(PLE.lastrow)-ROW(PLE.firstrow))),0,IF(OFFSET(PLE!$G$14,$M626,CJ$13)="",10^12,OFFSET(PLE!$G$14,$M626,CJ$13))))</f>
        <v>1000000000000</v>
      </c>
      <c r="CK626" s="216">
        <f ca="1">IF($D626&lt;&gt;"Serviço",0,IF(OR(AND(AUTOEVENTO="Manual",$M626=1),$M626&gt;(ROW(PLE.lastrow)-ROW(PLE.firstrow))),0,IF(OFFSET(PLE!$G$14,$M626,CK$13)="",10^12,OFFSET(PLE!$G$14,$M626,CK$13))))</f>
        <v>1000000000000</v>
      </c>
      <c r="CL626" s="216">
        <f ca="1">IF($D626&lt;&gt;"Serviço",0,IF(OR(AND(AUTOEVENTO="Manual",$M626=1),$M626&gt;(ROW(PLE.lastrow)-ROW(PLE.firstrow))),0,IF(OFFSET(PLE!$G$14,$M626,CL$13)="",10^12,OFFSET(PLE!$G$14,$M626,CL$13))))</f>
        <v>1000000000000</v>
      </c>
      <c r="CM626" s="216">
        <f ca="1">IF($D626&lt;&gt;"Serviço",0,IF(OR(AND(AUTOEVENTO="Manual",$M626=1),$M626&gt;(ROW(PLE.lastrow)-ROW(PLE.firstrow))),0,IF(OFFSET(PLE!$G$14,$M626,CM$13)="",10^12,OFFSET(PLE!$G$14,$M626,CM$13))))</f>
        <v>1000000000000</v>
      </c>
    </row>
    <row r="627" spans="1:91" ht="13.2" x14ac:dyDescent="0.25">
      <c r="A627" s="9">
        <f t="shared" ca="1" si="19"/>
        <v>0</v>
      </c>
      <c r="B627" s="9" t="str">
        <f ca="1">OFFSET(ORÇAMENTO!C$15,ROW(B627)-ROW(B$15),0)</f>
        <v>S</v>
      </c>
      <c r="C627" s="9" t="str">
        <f ca="1">OFFSET(ORÇAMENTO!L$15,ROW(C627)-ROW(C$15),0)</f>
        <v/>
      </c>
      <c r="D627" s="145" t="str">
        <f ca="1">OFFSET(ORÇAMENTO!N$15,ROW(D627)-ROW(D$15),0)</f>
        <v>Serviço</v>
      </c>
      <c r="E627" s="205" t="str">
        <f ca="1">OFFSET(ORÇAMENTO!O$15,ROW(E627)-ROW(E$15),0)</f>
        <v>-</v>
      </c>
      <c r="F627" s="206" t="str">
        <f ca="1">OFFSET(ORÇAMENTO!R$15,ROW(F627)-ROW(F$15),0)</f>
        <v>(abra o arquivo 'Referência 05-2024.xls)</v>
      </c>
      <c r="G627" s="207" t="str">
        <f ca="1">IF($D627&lt;&gt;"Serviço","",OFFSET(ORÇAMENTO!S$15,ROW(G627)-ROW(G$15),0))</f>
        <v>-</v>
      </c>
      <c r="H627" s="151">
        <f ca="1">IF($D627&lt;&gt;"Serviço",0,IF(ACOMPANHAMENTO="BM",ROUND(OFFSET(ORÇAMENTO!AJ$15,ROW(H627)-ROW(H$15),0),15-13*ORÇAMENTO!$AF$7),SUMPRODUCT(($Q$12:$AI$12&lt;&gt;"")*ROUND($Q627:$AI627,15-13*ORÇAMENTO!$AF$7))))</f>
        <v>21</v>
      </c>
      <c r="I627" s="650"/>
      <c r="K627" s="208"/>
      <c r="L627" s="209" t="s">
        <v>257</v>
      </c>
      <c r="M627" s="210">
        <f ca="1">IF($D627&lt;&gt;"Serviço","",IF(AUTOEVENTO="manual",$A627,IF(ISERROR(MATCH($A627,$A$15:OFFSET($A627,-1,0),0)),MAX($M$15:OFFSET(M627,-1,0))+1,INDEX($M$15:OFFSET(M627,-1,0),MATCH($A627,$A$15:OFFSET($A627,-1,0),0)))))</f>
        <v>0</v>
      </c>
      <c r="N627" s="211" t="str">
        <f ca="1">IF($D627&lt;&gt;"Serviço","",IF(AUTOEVENTO="Manual",IF($A627=0,"&lt;-- defina o número do agrupador",OFFSET(EVENTOS!$D$14,$A627,0)),OFFSET($F$15,$A627,0)))</f>
        <v>&lt;-- defina o número do agrupador</v>
      </c>
      <c r="O627" s="212"/>
      <c r="Q627" s="212"/>
      <c r="R627" s="213"/>
      <c r="S627" s="213"/>
      <c r="T627" s="213"/>
      <c r="U627" s="213"/>
      <c r="V627" s="213"/>
      <c r="W627" s="213"/>
      <c r="X627" s="213"/>
      <c r="Y627" s="213"/>
      <c r="Z627" s="214"/>
      <c r="AA627" s="213"/>
      <c r="AB627" s="213"/>
      <c r="AC627" s="213"/>
      <c r="AD627" s="213"/>
      <c r="AE627" s="213"/>
      <c r="AF627" s="213"/>
      <c r="AG627" s="213"/>
      <c r="AH627" s="214"/>
      <c r="AJ627" s="631">
        <f ca="1">IF(AND($D627="Serviço",AJ$12&lt;&gt;0,$H627&gt;0,OR(AUTOEVENTO&lt;&gt;"manual",$M627&lt;&gt;1)),ROUND(OFFSET($P627,0,AJ$13),15-13*ORÇAMENTO!$AF$7)/$H627*OFFSET(ORÇAMENTO!$X$15,ROW(AJ627)-ROW(AJ$15),0),0)</f>
        <v>0</v>
      </c>
      <c r="AK627" s="632">
        <f ca="1">IF(AND($D627="Serviço",AK$12&lt;&gt;0,$H627&gt;0,OR(AUTOEVENTO&lt;&gt;"manual",$M627&lt;&gt;1)),ROUND(OFFSET($P627,0,AK$13),15-13*ORÇAMENTO!$AF$7)/$H627*OFFSET(ORÇAMENTO!$X$15,ROW(AK627)-ROW(AK$15),0),0)</f>
        <v>0</v>
      </c>
      <c r="AL627" s="632">
        <f ca="1">IF(AND($D627="Serviço",AL$12&lt;&gt;0,$H627&gt;0,OR(AUTOEVENTO&lt;&gt;"manual",$M627&lt;&gt;1)),ROUND(OFFSET($P627,0,AL$13),15-13*ORÇAMENTO!$AF$7)/$H627*OFFSET(ORÇAMENTO!$X$15,ROW(AL627)-ROW(AL$15),0),0)</f>
        <v>0</v>
      </c>
      <c r="AM627" s="632">
        <f ca="1">IF(AND($D627="Serviço",AM$12&lt;&gt;0,$H627&gt;0,OR(AUTOEVENTO&lt;&gt;"manual",$M627&lt;&gt;1)),ROUND(OFFSET($P627,0,AM$13),15-13*ORÇAMENTO!$AF$7)/$H627*OFFSET(ORÇAMENTO!$X$15,ROW(AM627)-ROW(AM$15),0),0)</f>
        <v>0</v>
      </c>
      <c r="AN627" s="632">
        <f ca="1">IF(AND($D627="Serviço",AN$12&lt;&gt;0,$H627&gt;0,OR(AUTOEVENTO&lt;&gt;"manual",$M627&lt;&gt;1)),ROUND(OFFSET($P627,0,AN$13),15-13*ORÇAMENTO!$AF$7)/$H627*OFFSET(ORÇAMENTO!$X$15,ROW(AN627)-ROW(AN$15),0),0)</f>
        <v>0</v>
      </c>
      <c r="AO627" s="632">
        <f ca="1">IF(AND($D627="Serviço",AO$12&lt;&gt;0,$H627&gt;0,OR(AUTOEVENTO&lt;&gt;"manual",$M627&lt;&gt;1)),ROUND(OFFSET($P627,0,AO$13),15-13*ORÇAMENTO!$AF$7)/$H627*OFFSET(ORÇAMENTO!$X$15,ROW(AO627)-ROW(AO$15),0),0)</f>
        <v>0</v>
      </c>
      <c r="AP627" s="632">
        <f ca="1">IF(AND($D627="Serviço",AP$12&lt;&gt;0,$H627&gt;0,OR(AUTOEVENTO&lt;&gt;"manual",$M627&lt;&gt;1)),ROUND(OFFSET($P627,0,AP$13),15-13*ORÇAMENTO!$AF$7)/$H627*OFFSET(ORÇAMENTO!$X$15,ROW(AP627)-ROW(AP$15),0),0)</f>
        <v>0</v>
      </c>
      <c r="AQ627" s="632">
        <f ca="1">IF(AND($D627="Serviço",AQ$12&lt;&gt;0,$H627&gt;0,OR(AUTOEVENTO&lt;&gt;"manual",$M627&lt;&gt;1)),ROUND(OFFSET($P627,0,AQ$13),15-13*ORÇAMENTO!$AF$7)/$H627*OFFSET(ORÇAMENTO!$X$15,ROW(AQ627)-ROW(AQ$15),0),0)</f>
        <v>0</v>
      </c>
      <c r="AR627" s="632">
        <f ca="1">IF(AND($D627="Serviço",AR$12&lt;&gt;0,$H627&gt;0,OR(AUTOEVENTO&lt;&gt;"manual",$M627&lt;&gt;1)),ROUND(OFFSET($P627,0,AR$13),15-13*ORÇAMENTO!$AF$7)/$H627*OFFSET(ORÇAMENTO!$X$15,ROW(AR627)-ROW(AR$15),0),0)</f>
        <v>0</v>
      </c>
      <c r="AS627" s="633">
        <f ca="1">IF(AND($D627="Serviço",AS$12&lt;&gt;0,$H627&gt;0,OR(AUTOEVENTO&lt;&gt;"manual",$M627&lt;&gt;1)),ROUND(OFFSET($P627,0,AS$13),15-13*ORÇAMENTO!$AF$7)/$H627*OFFSET(ORÇAMENTO!$X$15,ROW(AS627)-ROW(AS$15),0),0)</f>
        <v>0</v>
      </c>
      <c r="AT627" s="632">
        <f ca="1">IF(AND($D627="Serviço",AT$12&lt;&gt;0,$H627&gt;0,OR(AUTOEVENTO&lt;&gt;"manual",$M627&lt;&gt;1)),ROUND(OFFSET($P627,0,AT$13),15-13*ORÇAMENTO!$AF$7)/$H627*OFFSET(ORÇAMENTO!$X$15,ROW(AT627)-ROW(AT$15),0),0)</f>
        <v>0</v>
      </c>
      <c r="AU627" s="632">
        <f ca="1">IF(AND($D627="Serviço",AU$12&lt;&gt;0,$H627&gt;0,OR(AUTOEVENTO&lt;&gt;"manual",$M627&lt;&gt;1)),ROUND(OFFSET($P627,0,AU$13),15-13*ORÇAMENTO!$AF$7)/$H627*OFFSET(ORÇAMENTO!$X$15,ROW(AU627)-ROW(AU$15),0),0)</f>
        <v>0</v>
      </c>
      <c r="AV627" s="632">
        <f ca="1">IF(AND($D627="Serviço",AV$12&lt;&gt;0,$H627&gt;0,OR(AUTOEVENTO&lt;&gt;"manual",$M627&lt;&gt;1)),ROUND(OFFSET($P627,0,AV$13),15-13*ORÇAMENTO!$AF$7)/$H627*OFFSET(ORÇAMENTO!$X$15,ROW(AV627)-ROW(AV$15),0),0)</f>
        <v>0</v>
      </c>
      <c r="AW627" s="632">
        <f ca="1">IF(AND($D627="Serviço",AW$12&lt;&gt;0,$H627&gt;0,OR(AUTOEVENTO&lt;&gt;"manual",$M627&lt;&gt;1)),ROUND(OFFSET($P627,0,AW$13),15-13*ORÇAMENTO!$AF$7)/$H627*OFFSET(ORÇAMENTO!$X$15,ROW(AW627)-ROW(AW$15),0),0)</f>
        <v>0</v>
      </c>
      <c r="AX627" s="632">
        <f ca="1">IF(AND($D627="Serviço",AX$12&lt;&gt;0,$H627&gt;0,OR(AUTOEVENTO&lt;&gt;"manual",$M627&lt;&gt;1)),ROUND(OFFSET($P627,0,AX$13),15-13*ORÇAMENTO!$AF$7)/$H627*OFFSET(ORÇAMENTO!$X$15,ROW(AX627)-ROW(AX$15),0),0)</f>
        <v>0</v>
      </c>
      <c r="AY627" s="632">
        <f ca="1">IF(AND($D627="Serviço",AY$12&lt;&gt;0,$H627&gt;0,OR(AUTOEVENTO&lt;&gt;"manual",$M627&lt;&gt;1)),ROUND(OFFSET($P627,0,AY$13),15-13*ORÇAMENTO!$AF$7)/$H627*OFFSET(ORÇAMENTO!$X$15,ROW(AY627)-ROW(AY$15),0),0)</f>
        <v>0</v>
      </c>
      <c r="AZ627" s="632">
        <f ca="1">IF(AND($D627="Serviço",AZ$12&lt;&gt;0,$H627&gt;0,OR(AUTOEVENTO&lt;&gt;"manual",$M627&lt;&gt;1)),ROUND(OFFSET($P627,0,AZ$13),15-13*ORÇAMENTO!$AF$7)/$H627*OFFSET(ORÇAMENTO!$X$15,ROW(AZ627)-ROW(AZ$15),0),0)</f>
        <v>0</v>
      </c>
      <c r="BA627" s="633">
        <f ca="1">IF(AND($D627="Serviço",BA$12&lt;&gt;0,$H627&gt;0,OR(AUTOEVENTO&lt;&gt;"manual",$M627&lt;&gt;1)),ROUND(OFFSET($P627,0,BA$13),15-13*ORÇAMENTO!$AF$7)/$H627*OFFSET(ORÇAMENTO!$X$15,ROW(BA627)-ROW(BA$15),0),0)</f>
        <v>0</v>
      </c>
      <c r="BC627" s="215">
        <f ca="1">IF($D627&lt;&gt;"Serviço",0,IF(AND(AUTOEVENTO="Manual",$M627=1),0,IF(OFFSET(CRONOPLE!$F$14,$M627,BC$13)="",10^12,OFFSET(CRONOPLE!$F$14,$M627,BC$13))))</f>
        <v>1000000000000</v>
      </c>
      <c r="BD627" s="215">
        <f ca="1">IF($D627&lt;&gt;"Serviço",0,IF(AND(AUTOEVENTO="Manual",$M627=1),0,IF(OFFSET(CRONOPLE!$F$14,$M627,BD$13)="",10^12,OFFSET(CRONOPLE!$F$14,$M627,BD$13))))</f>
        <v>1000000000000</v>
      </c>
      <c r="BE627" s="215">
        <f ca="1">IF($D627&lt;&gt;"Serviço",0,IF(AND(AUTOEVENTO="Manual",$M627=1),0,IF(OFFSET(CRONOPLE!$F$14,$M627,BE$13)="",10^12,OFFSET(CRONOPLE!$F$14,$M627,BE$13))))</f>
        <v>1000000000000</v>
      </c>
      <c r="BF627" s="215">
        <f ca="1">IF($D627&lt;&gt;"Serviço",0,IF(AND(AUTOEVENTO="Manual",$M627=1),0,IF(OFFSET(CRONOPLE!$F$14,$M627,BF$13)="",10^12,OFFSET(CRONOPLE!$F$14,$M627,BF$13))))</f>
        <v>1000000000000</v>
      </c>
      <c r="BG627" s="215">
        <f ca="1">IF($D627&lt;&gt;"Serviço",0,IF(AND(AUTOEVENTO="Manual",$M627=1),0,IF(OFFSET(CRONOPLE!$F$14,$M627,BG$13)="",10^12,OFFSET(CRONOPLE!$F$14,$M627,BG$13))))</f>
        <v>1000000000000</v>
      </c>
      <c r="BH627" s="215">
        <f ca="1">IF($D627&lt;&gt;"Serviço",0,IF(AND(AUTOEVENTO="Manual",$M627=1),0,IF(OFFSET(CRONOPLE!$F$14,$M627,BH$13)="",10^12,OFFSET(CRONOPLE!$F$14,$M627,BH$13))))</f>
        <v>1000000000000</v>
      </c>
      <c r="BI627" s="215">
        <f ca="1">IF($D627&lt;&gt;"Serviço",0,IF(AND(AUTOEVENTO="Manual",$M627=1),0,IF(OFFSET(CRONOPLE!$F$14,$M627,BI$13)="",10^12,OFFSET(CRONOPLE!$F$14,$M627,BI$13))))</f>
        <v>1000000000000</v>
      </c>
      <c r="BJ627" s="215">
        <f ca="1">IF($D627&lt;&gt;"Serviço",0,IF(AND(AUTOEVENTO="Manual",$M627=1),0,IF(OFFSET(CRONOPLE!$F$14,$M627,BJ$13)="",10^12,OFFSET(CRONOPLE!$F$14,$M627,BJ$13))))</f>
        <v>1000000000000</v>
      </c>
      <c r="BK627" s="215">
        <f ca="1">IF($D627&lt;&gt;"Serviço",0,IF(AND(AUTOEVENTO="Manual",$M627=1),0,IF(OFFSET(CRONOPLE!$F$14,$M627,BK$13)="",10^12,OFFSET(CRONOPLE!$F$14,$M627,BK$13))))</f>
        <v>1000000000000</v>
      </c>
      <c r="BL627" s="215">
        <f ca="1">IF($D627&lt;&gt;"Serviço",0,IF(AND(AUTOEVENTO="Manual",$M627=1),0,IF(OFFSET(CRONOPLE!$F$14,$M627,BL$13)="",10^12,OFFSET(CRONOPLE!$F$14,$M627,BL$13))))</f>
        <v>1000000000000</v>
      </c>
      <c r="BM627" s="215">
        <f ca="1">IF($D627&lt;&gt;"Serviço",0,IF(AND(AUTOEVENTO="Manual",$M627=1),0,IF(OFFSET(CRONOPLE!$F$14,$M627,BM$13)="",10^12,OFFSET(CRONOPLE!$F$14,$M627,BM$13))))</f>
        <v>1000000000000</v>
      </c>
      <c r="BN627" s="215">
        <f ca="1">IF($D627&lt;&gt;"Serviço",0,IF(AND(AUTOEVENTO="Manual",$M627=1),0,IF(OFFSET(CRONOPLE!$F$14,$M627,BN$13)="",10^12,OFFSET(CRONOPLE!$F$14,$M627,BN$13))))</f>
        <v>1000000000000</v>
      </c>
      <c r="BO627" s="215">
        <f ca="1">IF($D627&lt;&gt;"Serviço",0,IF(AND(AUTOEVENTO="Manual",$M627=1),0,IF(OFFSET(CRONOPLE!$F$14,$M627,BO$13)="",10^12,OFFSET(CRONOPLE!$F$14,$M627,BO$13))))</f>
        <v>1000000000000</v>
      </c>
      <c r="BP627" s="215">
        <f ca="1">IF($D627&lt;&gt;"Serviço",0,IF(AND(AUTOEVENTO="Manual",$M627=1),0,IF(OFFSET(CRONOPLE!$F$14,$M627,BP$13)="",10^12,OFFSET(CRONOPLE!$F$14,$M627,BP$13))))</f>
        <v>1000000000000</v>
      </c>
      <c r="BQ627" s="215">
        <f ca="1">IF($D627&lt;&gt;"Serviço",0,IF(AND(AUTOEVENTO="Manual",$M627=1),0,IF(OFFSET(CRONOPLE!$F$14,$M627,BQ$13)="",10^12,OFFSET(CRONOPLE!$F$14,$M627,BQ$13))))</f>
        <v>1000000000000</v>
      </c>
      <c r="BR627" s="215">
        <f ca="1">IF($D627&lt;&gt;"Serviço",0,IF(AND(AUTOEVENTO="Manual",$M627=1),0,IF(OFFSET(CRONOPLE!$F$14,$M627,BR$13)="",10^12,OFFSET(CRONOPLE!$F$14,$M627,BR$13))))</f>
        <v>1000000000000</v>
      </c>
      <c r="BS627" s="215">
        <f ca="1">IF($D627&lt;&gt;"Serviço",0,IF(AND(AUTOEVENTO="Manual",$M627=1),0,IF(OFFSET(CRONOPLE!$F$14,$M627,BS$13)="",10^12,OFFSET(CRONOPLE!$F$14,$M627,BS$13))))</f>
        <v>1000000000000</v>
      </c>
      <c r="BT627" s="215">
        <f ca="1">IF($D627&lt;&gt;"Serviço",0,IF(AND(AUTOEVENTO="Manual",$M627=1),0,IF(OFFSET(CRONOPLE!$F$14,$M627,BT$13)="",10^12,OFFSET(CRONOPLE!$F$14,$M627,BT$13))))</f>
        <v>1000000000000</v>
      </c>
      <c r="BV627" s="216">
        <f ca="1">IF($D627&lt;&gt;"Serviço",0,IF(OR(AND(AUTOEVENTO="Manual",$M627=1),$M627&gt;(ROW(PLE.lastrow)-ROW(PLE.firstrow))),0,IF(OFFSET(PLE!$G$14,$M627,BV$13)="",10^12,OFFSET(PLE!$G$14,$M627,BV$13))))</f>
        <v>1000000000000</v>
      </c>
      <c r="BW627" s="216">
        <f ca="1">IF($D627&lt;&gt;"Serviço",0,IF(OR(AND(AUTOEVENTO="Manual",$M627=1),$M627&gt;(ROW(PLE.lastrow)-ROW(PLE.firstrow))),0,IF(OFFSET(PLE!$G$14,$M627,BW$13)="",10^12,OFFSET(PLE!$G$14,$M627,BW$13))))</f>
        <v>1000000000000</v>
      </c>
      <c r="BX627" s="216">
        <f ca="1">IF($D627&lt;&gt;"Serviço",0,IF(OR(AND(AUTOEVENTO="Manual",$M627=1),$M627&gt;(ROW(PLE.lastrow)-ROW(PLE.firstrow))),0,IF(OFFSET(PLE!$G$14,$M627,BX$13)="",10^12,OFFSET(PLE!$G$14,$M627,BX$13))))</f>
        <v>1000000000000</v>
      </c>
      <c r="BY627" s="216">
        <f ca="1">IF($D627&lt;&gt;"Serviço",0,IF(OR(AND(AUTOEVENTO="Manual",$M627=1),$M627&gt;(ROW(PLE.lastrow)-ROW(PLE.firstrow))),0,IF(OFFSET(PLE!$G$14,$M627,BY$13)="",10^12,OFFSET(PLE!$G$14,$M627,BY$13))))</f>
        <v>1000000000000</v>
      </c>
      <c r="BZ627" s="216">
        <f ca="1">IF($D627&lt;&gt;"Serviço",0,IF(OR(AND(AUTOEVENTO="Manual",$M627=1),$M627&gt;(ROW(PLE.lastrow)-ROW(PLE.firstrow))),0,IF(OFFSET(PLE!$G$14,$M627,BZ$13)="",10^12,OFFSET(PLE!$G$14,$M627,BZ$13))))</f>
        <v>1000000000000</v>
      </c>
      <c r="CA627" s="216">
        <f ca="1">IF($D627&lt;&gt;"Serviço",0,IF(OR(AND(AUTOEVENTO="Manual",$M627=1),$M627&gt;(ROW(PLE.lastrow)-ROW(PLE.firstrow))),0,IF(OFFSET(PLE!$G$14,$M627,CA$13)="",10^12,OFFSET(PLE!$G$14,$M627,CA$13))))</f>
        <v>1000000000000</v>
      </c>
      <c r="CB627" s="216">
        <f ca="1">IF($D627&lt;&gt;"Serviço",0,IF(OR(AND(AUTOEVENTO="Manual",$M627=1),$M627&gt;(ROW(PLE.lastrow)-ROW(PLE.firstrow))),0,IF(OFFSET(PLE!$G$14,$M627,CB$13)="",10^12,OFFSET(PLE!$G$14,$M627,CB$13))))</f>
        <v>1000000000000</v>
      </c>
      <c r="CC627" s="216">
        <f ca="1">IF($D627&lt;&gt;"Serviço",0,IF(OR(AND(AUTOEVENTO="Manual",$M627=1),$M627&gt;(ROW(PLE.lastrow)-ROW(PLE.firstrow))),0,IF(OFFSET(PLE!$G$14,$M627,CC$13)="",10^12,OFFSET(PLE!$G$14,$M627,CC$13))))</f>
        <v>1000000000000</v>
      </c>
      <c r="CD627" s="216">
        <f ca="1">IF($D627&lt;&gt;"Serviço",0,IF(OR(AND(AUTOEVENTO="Manual",$M627=1),$M627&gt;(ROW(PLE.lastrow)-ROW(PLE.firstrow))),0,IF(OFFSET(PLE!$G$14,$M627,CD$13)="",10^12,OFFSET(PLE!$G$14,$M627,CD$13))))</f>
        <v>1000000000000</v>
      </c>
      <c r="CE627" s="216">
        <f ca="1">IF($D627&lt;&gt;"Serviço",0,IF(OR(AND(AUTOEVENTO="Manual",$M627=1),$M627&gt;(ROW(PLE.lastrow)-ROW(PLE.firstrow))),0,IF(OFFSET(PLE!$G$14,$M627,CE$13)="",10^12,OFFSET(PLE!$G$14,$M627,CE$13))))</f>
        <v>1000000000000</v>
      </c>
      <c r="CF627" s="216">
        <f ca="1">IF($D627&lt;&gt;"Serviço",0,IF(OR(AND(AUTOEVENTO="Manual",$M627=1),$M627&gt;(ROW(PLE.lastrow)-ROW(PLE.firstrow))),0,IF(OFFSET(PLE!$G$14,$M627,CF$13)="",10^12,OFFSET(PLE!$G$14,$M627,CF$13))))</f>
        <v>1000000000000</v>
      </c>
      <c r="CG627" s="216">
        <f ca="1">IF($D627&lt;&gt;"Serviço",0,IF(OR(AND(AUTOEVENTO="Manual",$M627=1),$M627&gt;(ROW(PLE.lastrow)-ROW(PLE.firstrow))),0,IF(OFFSET(PLE!$G$14,$M627,CG$13)="",10^12,OFFSET(PLE!$G$14,$M627,CG$13))))</f>
        <v>1000000000000</v>
      </c>
      <c r="CH627" s="216">
        <f ca="1">IF($D627&lt;&gt;"Serviço",0,IF(OR(AND(AUTOEVENTO="Manual",$M627=1),$M627&gt;(ROW(PLE.lastrow)-ROW(PLE.firstrow))),0,IF(OFFSET(PLE!$G$14,$M627,CH$13)="",10^12,OFFSET(PLE!$G$14,$M627,CH$13))))</f>
        <v>1000000000000</v>
      </c>
      <c r="CI627" s="216">
        <f ca="1">IF($D627&lt;&gt;"Serviço",0,IF(OR(AND(AUTOEVENTO="Manual",$M627=1),$M627&gt;(ROW(PLE.lastrow)-ROW(PLE.firstrow))),0,IF(OFFSET(PLE!$G$14,$M627,CI$13)="",10^12,OFFSET(PLE!$G$14,$M627,CI$13))))</f>
        <v>1000000000000</v>
      </c>
      <c r="CJ627" s="216">
        <f ca="1">IF($D627&lt;&gt;"Serviço",0,IF(OR(AND(AUTOEVENTO="Manual",$M627=1),$M627&gt;(ROW(PLE.lastrow)-ROW(PLE.firstrow))),0,IF(OFFSET(PLE!$G$14,$M627,CJ$13)="",10^12,OFFSET(PLE!$G$14,$M627,CJ$13))))</f>
        <v>1000000000000</v>
      </c>
      <c r="CK627" s="216">
        <f ca="1">IF($D627&lt;&gt;"Serviço",0,IF(OR(AND(AUTOEVENTO="Manual",$M627=1),$M627&gt;(ROW(PLE.lastrow)-ROW(PLE.firstrow))),0,IF(OFFSET(PLE!$G$14,$M627,CK$13)="",10^12,OFFSET(PLE!$G$14,$M627,CK$13))))</f>
        <v>1000000000000</v>
      </c>
      <c r="CL627" s="216">
        <f ca="1">IF($D627&lt;&gt;"Serviço",0,IF(OR(AND(AUTOEVENTO="Manual",$M627=1),$M627&gt;(ROW(PLE.lastrow)-ROW(PLE.firstrow))),0,IF(OFFSET(PLE!$G$14,$M627,CL$13)="",10^12,OFFSET(PLE!$G$14,$M627,CL$13))))</f>
        <v>1000000000000</v>
      </c>
      <c r="CM627" s="216">
        <f ca="1">IF($D627&lt;&gt;"Serviço",0,IF(OR(AND(AUTOEVENTO="Manual",$M627=1),$M627&gt;(ROW(PLE.lastrow)-ROW(PLE.firstrow))),0,IF(OFFSET(PLE!$G$14,$M627,CM$13)="",10^12,OFFSET(PLE!$G$14,$M627,CM$13))))</f>
        <v>1000000000000</v>
      </c>
    </row>
    <row r="628" spans="1:91" ht="13.2" x14ac:dyDescent="0.25">
      <c r="A628" s="9">
        <f t="shared" ca="1" si="19"/>
        <v>0</v>
      </c>
      <c r="B628" s="9">
        <f ca="1">OFFSET(ORÇAMENTO!C$15,ROW(B628)-ROW(B$15),0)</f>
        <v>2</v>
      </c>
      <c r="C628" s="9" t="str">
        <f ca="1">OFFSET(ORÇAMENTO!L$15,ROW(C628)-ROW(C$15),0)</f>
        <v>F</v>
      </c>
      <c r="D628" s="145" t="str">
        <f ca="1">OFFSET(ORÇAMENTO!N$15,ROW(D628)-ROW(D$15),0)</f>
        <v>Nível 2</v>
      </c>
      <c r="E628" s="205" t="str">
        <f ca="1">OFFSET(ORÇAMENTO!O$15,ROW(E628)-ROW(E$15),0)</f>
        <v>1.20.</v>
      </c>
      <c r="F628" s="206" t="str">
        <f ca="1">OFFSET(ORÇAMENTO!R$15,ROW(F628)-ROW(F$15),0)</f>
        <v>INSTALAÇÕES DE CABEAMENTO ESTRUTURADO</v>
      </c>
      <c r="G628" s="207" t="str">
        <f ca="1">IF($D628&lt;&gt;"Serviço","",OFFSET(ORÇAMENTO!S$15,ROW(G628)-ROW(G$15),0))</f>
        <v/>
      </c>
      <c r="H628" s="151">
        <f ca="1">IF($D628&lt;&gt;"Serviço",0,IF(ACOMPANHAMENTO="BM",ROUND(OFFSET(ORÇAMENTO!AJ$15,ROW(H628)-ROW(H$15),0),15-13*ORÇAMENTO!$AF$7),SUMPRODUCT(($Q$12:$AI$12&lt;&gt;"")*ROUND($Q628:$AI628,15-13*ORÇAMENTO!$AF$7))))</f>
        <v>0</v>
      </c>
      <c r="I628" s="650"/>
      <c r="K628" s="208"/>
      <c r="L628" s="209" t="s">
        <v>257</v>
      </c>
      <c r="M628" s="210" t="str">
        <f ca="1">IF($D628&lt;&gt;"Serviço","",IF(AUTOEVENTO="manual",$A628,IF(ISERROR(MATCH($A628,$A$15:OFFSET($A628,-1,0),0)),MAX($M$15:OFFSET(M628,-1,0))+1,INDEX($M$15:OFFSET(M628,-1,0),MATCH($A628,$A$15:OFFSET($A628,-1,0),0)))))</f>
        <v/>
      </c>
      <c r="N628" s="211" t="str">
        <f ca="1">IF($D628&lt;&gt;"Serviço","",IF(AUTOEVENTO="Manual",IF($A628=0,"&lt;-- defina o número do agrupador",OFFSET(EVENTOS!$D$14,$A628,0)),OFFSET($F$15,$A628,0)))</f>
        <v/>
      </c>
      <c r="O628" s="212"/>
      <c r="Q628" s="212"/>
      <c r="R628" s="213"/>
      <c r="S628" s="213"/>
      <c r="T628" s="213"/>
      <c r="U628" s="213"/>
      <c r="V628" s="213"/>
      <c r="W628" s="213"/>
      <c r="X628" s="213"/>
      <c r="Y628" s="213"/>
      <c r="Z628" s="214"/>
      <c r="AA628" s="213"/>
      <c r="AB628" s="213"/>
      <c r="AC628" s="213"/>
      <c r="AD628" s="213"/>
      <c r="AE628" s="213"/>
      <c r="AF628" s="213"/>
      <c r="AG628" s="213"/>
      <c r="AH628" s="214"/>
      <c r="AJ628" s="631">
        <f ca="1">IF(AND($D628="Serviço",AJ$12&lt;&gt;0,$H628&gt;0,OR(AUTOEVENTO&lt;&gt;"manual",$M628&lt;&gt;1)),ROUND(OFFSET($P628,0,AJ$13),15-13*ORÇAMENTO!$AF$7)/$H628*OFFSET(ORÇAMENTO!$X$15,ROW(AJ628)-ROW(AJ$15),0),0)</f>
        <v>0</v>
      </c>
      <c r="AK628" s="632">
        <f ca="1">IF(AND($D628="Serviço",AK$12&lt;&gt;0,$H628&gt;0,OR(AUTOEVENTO&lt;&gt;"manual",$M628&lt;&gt;1)),ROUND(OFFSET($P628,0,AK$13),15-13*ORÇAMENTO!$AF$7)/$H628*OFFSET(ORÇAMENTO!$X$15,ROW(AK628)-ROW(AK$15),0),0)</f>
        <v>0</v>
      </c>
      <c r="AL628" s="632">
        <f ca="1">IF(AND($D628="Serviço",AL$12&lt;&gt;0,$H628&gt;0,OR(AUTOEVENTO&lt;&gt;"manual",$M628&lt;&gt;1)),ROUND(OFFSET($P628,0,AL$13),15-13*ORÇAMENTO!$AF$7)/$H628*OFFSET(ORÇAMENTO!$X$15,ROW(AL628)-ROW(AL$15),0),0)</f>
        <v>0</v>
      </c>
      <c r="AM628" s="632">
        <f ca="1">IF(AND($D628="Serviço",AM$12&lt;&gt;0,$H628&gt;0,OR(AUTOEVENTO&lt;&gt;"manual",$M628&lt;&gt;1)),ROUND(OFFSET($P628,0,AM$13),15-13*ORÇAMENTO!$AF$7)/$H628*OFFSET(ORÇAMENTO!$X$15,ROW(AM628)-ROW(AM$15),0),0)</f>
        <v>0</v>
      </c>
      <c r="AN628" s="632">
        <f ca="1">IF(AND($D628="Serviço",AN$12&lt;&gt;0,$H628&gt;0,OR(AUTOEVENTO&lt;&gt;"manual",$M628&lt;&gt;1)),ROUND(OFFSET($P628,0,AN$13),15-13*ORÇAMENTO!$AF$7)/$H628*OFFSET(ORÇAMENTO!$X$15,ROW(AN628)-ROW(AN$15),0),0)</f>
        <v>0</v>
      </c>
      <c r="AO628" s="632">
        <f ca="1">IF(AND($D628="Serviço",AO$12&lt;&gt;0,$H628&gt;0,OR(AUTOEVENTO&lt;&gt;"manual",$M628&lt;&gt;1)),ROUND(OFFSET($P628,0,AO$13),15-13*ORÇAMENTO!$AF$7)/$H628*OFFSET(ORÇAMENTO!$X$15,ROW(AO628)-ROW(AO$15),0),0)</f>
        <v>0</v>
      </c>
      <c r="AP628" s="632">
        <f ca="1">IF(AND($D628="Serviço",AP$12&lt;&gt;0,$H628&gt;0,OR(AUTOEVENTO&lt;&gt;"manual",$M628&lt;&gt;1)),ROUND(OFFSET($P628,0,AP$13),15-13*ORÇAMENTO!$AF$7)/$H628*OFFSET(ORÇAMENTO!$X$15,ROW(AP628)-ROW(AP$15),0),0)</f>
        <v>0</v>
      </c>
      <c r="AQ628" s="632">
        <f ca="1">IF(AND($D628="Serviço",AQ$12&lt;&gt;0,$H628&gt;0,OR(AUTOEVENTO&lt;&gt;"manual",$M628&lt;&gt;1)),ROUND(OFFSET($P628,0,AQ$13),15-13*ORÇAMENTO!$AF$7)/$H628*OFFSET(ORÇAMENTO!$X$15,ROW(AQ628)-ROW(AQ$15),0),0)</f>
        <v>0</v>
      </c>
      <c r="AR628" s="632">
        <f ca="1">IF(AND($D628="Serviço",AR$12&lt;&gt;0,$H628&gt;0,OR(AUTOEVENTO&lt;&gt;"manual",$M628&lt;&gt;1)),ROUND(OFFSET($P628,0,AR$13),15-13*ORÇAMENTO!$AF$7)/$H628*OFFSET(ORÇAMENTO!$X$15,ROW(AR628)-ROW(AR$15),0),0)</f>
        <v>0</v>
      </c>
      <c r="AS628" s="633">
        <f ca="1">IF(AND($D628="Serviço",AS$12&lt;&gt;0,$H628&gt;0,OR(AUTOEVENTO&lt;&gt;"manual",$M628&lt;&gt;1)),ROUND(OFFSET($P628,0,AS$13),15-13*ORÇAMENTO!$AF$7)/$H628*OFFSET(ORÇAMENTO!$X$15,ROW(AS628)-ROW(AS$15),0),0)</f>
        <v>0</v>
      </c>
      <c r="AT628" s="632">
        <f ca="1">IF(AND($D628="Serviço",AT$12&lt;&gt;0,$H628&gt;0,OR(AUTOEVENTO&lt;&gt;"manual",$M628&lt;&gt;1)),ROUND(OFFSET($P628,0,AT$13),15-13*ORÇAMENTO!$AF$7)/$H628*OFFSET(ORÇAMENTO!$X$15,ROW(AT628)-ROW(AT$15),0),0)</f>
        <v>0</v>
      </c>
      <c r="AU628" s="632">
        <f ca="1">IF(AND($D628="Serviço",AU$12&lt;&gt;0,$H628&gt;0,OR(AUTOEVENTO&lt;&gt;"manual",$M628&lt;&gt;1)),ROUND(OFFSET($P628,0,AU$13),15-13*ORÇAMENTO!$AF$7)/$H628*OFFSET(ORÇAMENTO!$X$15,ROW(AU628)-ROW(AU$15),0),0)</f>
        <v>0</v>
      </c>
      <c r="AV628" s="632">
        <f ca="1">IF(AND($D628="Serviço",AV$12&lt;&gt;0,$H628&gt;0,OR(AUTOEVENTO&lt;&gt;"manual",$M628&lt;&gt;1)),ROUND(OFFSET($P628,0,AV$13),15-13*ORÇAMENTO!$AF$7)/$H628*OFFSET(ORÇAMENTO!$X$15,ROW(AV628)-ROW(AV$15),0),0)</f>
        <v>0</v>
      </c>
      <c r="AW628" s="632">
        <f ca="1">IF(AND($D628="Serviço",AW$12&lt;&gt;0,$H628&gt;0,OR(AUTOEVENTO&lt;&gt;"manual",$M628&lt;&gt;1)),ROUND(OFFSET($P628,0,AW$13),15-13*ORÇAMENTO!$AF$7)/$H628*OFFSET(ORÇAMENTO!$X$15,ROW(AW628)-ROW(AW$15),0),0)</f>
        <v>0</v>
      </c>
      <c r="AX628" s="632">
        <f ca="1">IF(AND($D628="Serviço",AX$12&lt;&gt;0,$H628&gt;0,OR(AUTOEVENTO&lt;&gt;"manual",$M628&lt;&gt;1)),ROUND(OFFSET($P628,0,AX$13),15-13*ORÇAMENTO!$AF$7)/$H628*OFFSET(ORÇAMENTO!$X$15,ROW(AX628)-ROW(AX$15),0),0)</f>
        <v>0</v>
      </c>
      <c r="AY628" s="632">
        <f ca="1">IF(AND($D628="Serviço",AY$12&lt;&gt;0,$H628&gt;0,OR(AUTOEVENTO&lt;&gt;"manual",$M628&lt;&gt;1)),ROUND(OFFSET($P628,0,AY$13),15-13*ORÇAMENTO!$AF$7)/$H628*OFFSET(ORÇAMENTO!$X$15,ROW(AY628)-ROW(AY$15),0),0)</f>
        <v>0</v>
      </c>
      <c r="AZ628" s="632">
        <f ca="1">IF(AND($D628="Serviço",AZ$12&lt;&gt;0,$H628&gt;0,OR(AUTOEVENTO&lt;&gt;"manual",$M628&lt;&gt;1)),ROUND(OFFSET($P628,0,AZ$13),15-13*ORÇAMENTO!$AF$7)/$H628*OFFSET(ORÇAMENTO!$X$15,ROW(AZ628)-ROW(AZ$15),0),0)</f>
        <v>0</v>
      </c>
      <c r="BA628" s="633">
        <f ca="1">IF(AND($D628="Serviço",BA$12&lt;&gt;0,$H628&gt;0,OR(AUTOEVENTO&lt;&gt;"manual",$M628&lt;&gt;1)),ROUND(OFFSET($P628,0,BA$13),15-13*ORÇAMENTO!$AF$7)/$H628*OFFSET(ORÇAMENTO!$X$15,ROW(BA628)-ROW(BA$15),0),0)</f>
        <v>0</v>
      </c>
      <c r="BC628" s="215">
        <f ca="1">IF($D628&lt;&gt;"Serviço",0,IF(AND(AUTOEVENTO="Manual",$M628=1),0,IF(OFFSET(CRONOPLE!$F$14,$M628,BC$13)="",10^12,OFFSET(CRONOPLE!$F$14,$M628,BC$13))))</f>
        <v>0</v>
      </c>
      <c r="BD628" s="215">
        <f ca="1">IF($D628&lt;&gt;"Serviço",0,IF(AND(AUTOEVENTO="Manual",$M628=1),0,IF(OFFSET(CRONOPLE!$F$14,$M628,BD$13)="",10^12,OFFSET(CRONOPLE!$F$14,$M628,BD$13))))</f>
        <v>0</v>
      </c>
      <c r="BE628" s="215">
        <f ca="1">IF($D628&lt;&gt;"Serviço",0,IF(AND(AUTOEVENTO="Manual",$M628=1),0,IF(OFFSET(CRONOPLE!$F$14,$M628,BE$13)="",10^12,OFFSET(CRONOPLE!$F$14,$M628,BE$13))))</f>
        <v>0</v>
      </c>
      <c r="BF628" s="215">
        <f ca="1">IF($D628&lt;&gt;"Serviço",0,IF(AND(AUTOEVENTO="Manual",$M628=1),0,IF(OFFSET(CRONOPLE!$F$14,$M628,BF$13)="",10^12,OFFSET(CRONOPLE!$F$14,$M628,BF$13))))</f>
        <v>0</v>
      </c>
      <c r="BG628" s="215">
        <f ca="1">IF($D628&lt;&gt;"Serviço",0,IF(AND(AUTOEVENTO="Manual",$M628=1),0,IF(OFFSET(CRONOPLE!$F$14,$M628,BG$13)="",10^12,OFFSET(CRONOPLE!$F$14,$M628,BG$13))))</f>
        <v>0</v>
      </c>
      <c r="BH628" s="215">
        <f ca="1">IF($D628&lt;&gt;"Serviço",0,IF(AND(AUTOEVENTO="Manual",$M628=1),0,IF(OFFSET(CRONOPLE!$F$14,$M628,BH$13)="",10^12,OFFSET(CRONOPLE!$F$14,$M628,BH$13))))</f>
        <v>0</v>
      </c>
      <c r="BI628" s="215">
        <f ca="1">IF($D628&lt;&gt;"Serviço",0,IF(AND(AUTOEVENTO="Manual",$M628=1),0,IF(OFFSET(CRONOPLE!$F$14,$M628,BI$13)="",10^12,OFFSET(CRONOPLE!$F$14,$M628,BI$13))))</f>
        <v>0</v>
      </c>
      <c r="BJ628" s="215">
        <f ca="1">IF($D628&lt;&gt;"Serviço",0,IF(AND(AUTOEVENTO="Manual",$M628=1),0,IF(OFFSET(CRONOPLE!$F$14,$M628,BJ$13)="",10^12,OFFSET(CRONOPLE!$F$14,$M628,BJ$13))))</f>
        <v>0</v>
      </c>
      <c r="BK628" s="215">
        <f ca="1">IF($D628&lt;&gt;"Serviço",0,IF(AND(AUTOEVENTO="Manual",$M628=1),0,IF(OFFSET(CRONOPLE!$F$14,$M628,BK$13)="",10^12,OFFSET(CRONOPLE!$F$14,$M628,BK$13))))</f>
        <v>0</v>
      </c>
      <c r="BL628" s="215">
        <f ca="1">IF($D628&lt;&gt;"Serviço",0,IF(AND(AUTOEVENTO="Manual",$M628=1),0,IF(OFFSET(CRONOPLE!$F$14,$M628,BL$13)="",10^12,OFFSET(CRONOPLE!$F$14,$M628,BL$13))))</f>
        <v>0</v>
      </c>
      <c r="BM628" s="215">
        <f ca="1">IF($D628&lt;&gt;"Serviço",0,IF(AND(AUTOEVENTO="Manual",$M628=1),0,IF(OFFSET(CRONOPLE!$F$14,$M628,BM$13)="",10^12,OFFSET(CRONOPLE!$F$14,$M628,BM$13))))</f>
        <v>0</v>
      </c>
      <c r="BN628" s="215">
        <f ca="1">IF($D628&lt;&gt;"Serviço",0,IF(AND(AUTOEVENTO="Manual",$M628=1),0,IF(OFFSET(CRONOPLE!$F$14,$M628,BN$13)="",10^12,OFFSET(CRONOPLE!$F$14,$M628,BN$13))))</f>
        <v>0</v>
      </c>
      <c r="BO628" s="215">
        <f ca="1">IF($D628&lt;&gt;"Serviço",0,IF(AND(AUTOEVENTO="Manual",$M628=1),0,IF(OFFSET(CRONOPLE!$F$14,$M628,BO$13)="",10^12,OFFSET(CRONOPLE!$F$14,$M628,BO$13))))</f>
        <v>0</v>
      </c>
      <c r="BP628" s="215">
        <f ca="1">IF($D628&lt;&gt;"Serviço",0,IF(AND(AUTOEVENTO="Manual",$M628=1),0,IF(OFFSET(CRONOPLE!$F$14,$M628,BP$13)="",10^12,OFFSET(CRONOPLE!$F$14,$M628,BP$13))))</f>
        <v>0</v>
      </c>
      <c r="BQ628" s="215">
        <f ca="1">IF($D628&lt;&gt;"Serviço",0,IF(AND(AUTOEVENTO="Manual",$M628=1),0,IF(OFFSET(CRONOPLE!$F$14,$M628,BQ$13)="",10^12,OFFSET(CRONOPLE!$F$14,$M628,BQ$13))))</f>
        <v>0</v>
      </c>
      <c r="BR628" s="215">
        <f ca="1">IF($D628&lt;&gt;"Serviço",0,IF(AND(AUTOEVENTO="Manual",$M628=1),0,IF(OFFSET(CRONOPLE!$F$14,$M628,BR$13)="",10^12,OFFSET(CRONOPLE!$F$14,$M628,BR$13))))</f>
        <v>0</v>
      </c>
      <c r="BS628" s="215">
        <f ca="1">IF($D628&lt;&gt;"Serviço",0,IF(AND(AUTOEVENTO="Manual",$M628=1),0,IF(OFFSET(CRONOPLE!$F$14,$M628,BS$13)="",10^12,OFFSET(CRONOPLE!$F$14,$M628,BS$13))))</f>
        <v>0</v>
      </c>
      <c r="BT628" s="215">
        <f ca="1">IF($D628&lt;&gt;"Serviço",0,IF(AND(AUTOEVENTO="Manual",$M628=1),0,IF(OFFSET(CRONOPLE!$F$14,$M628,BT$13)="",10^12,OFFSET(CRONOPLE!$F$14,$M628,BT$13))))</f>
        <v>0</v>
      </c>
      <c r="BV628" s="216">
        <f ca="1">IF($D628&lt;&gt;"Serviço",0,IF(OR(AND(AUTOEVENTO="Manual",$M628=1),$M628&gt;(ROW(PLE.lastrow)-ROW(PLE.firstrow))),0,IF(OFFSET(PLE!$G$14,$M628,BV$13)="",10^12,OFFSET(PLE!$G$14,$M628,BV$13))))</f>
        <v>0</v>
      </c>
      <c r="BW628" s="216">
        <f ca="1">IF($D628&lt;&gt;"Serviço",0,IF(OR(AND(AUTOEVENTO="Manual",$M628=1),$M628&gt;(ROW(PLE.lastrow)-ROW(PLE.firstrow))),0,IF(OFFSET(PLE!$G$14,$M628,BW$13)="",10^12,OFFSET(PLE!$G$14,$M628,BW$13))))</f>
        <v>0</v>
      </c>
      <c r="BX628" s="216">
        <f ca="1">IF($D628&lt;&gt;"Serviço",0,IF(OR(AND(AUTOEVENTO="Manual",$M628=1),$M628&gt;(ROW(PLE.lastrow)-ROW(PLE.firstrow))),0,IF(OFFSET(PLE!$G$14,$M628,BX$13)="",10^12,OFFSET(PLE!$G$14,$M628,BX$13))))</f>
        <v>0</v>
      </c>
      <c r="BY628" s="216">
        <f ca="1">IF($D628&lt;&gt;"Serviço",0,IF(OR(AND(AUTOEVENTO="Manual",$M628=1),$M628&gt;(ROW(PLE.lastrow)-ROW(PLE.firstrow))),0,IF(OFFSET(PLE!$G$14,$M628,BY$13)="",10^12,OFFSET(PLE!$G$14,$M628,BY$13))))</f>
        <v>0</v>
      </c>
      <c r="BZ628" s="216">
        <f ca="1">IF($D628&lt;&gt;"Serviço",0,IF(OR(AND(AUTOEVENTO="Manual",$M628=1),$M628&gt;(ROW(PLE.lastrow)-ROW(PLE.firstrow))),0,IF(OFFSET(PLE!$G$14,$M628,BZ$13)="",10^12,OFFSET(PLE!$G$14,$M628,BZ$13))))</f>
        <v>0</v>
      </c>
      <c r="CA628" s="216">
        <f ca="1">IF($D628&lt;&gt;"Serviço",0,IF(OR(AND(AUTOEVENTO="Manual",$M628=1),$M628&gt;(ROW(PLE.lastrow)-ROW(PLE.firstrow))),0,IF(OFFSET(PLE!$G$14,$M628,CA$13)="",10^12,OFFSET(PLE!$G$14,$M628,CA$13))))</f>
        <v>0</v>
      </c>
      <c r="CB628" s="216">
        <f ca="1">IF($D628&lt;&gt;"Serviço",0,IF(OR(AND(AUTOEVENTO="Manual",$M628=1),$M628&gt;(ROW(PLE.lastrow)-ROW(PLE.firstrow))),0,IF(OFFSET(PLE!$G$14,$M628,CB$13)="",10^12,OFFSET(PLE!$G$14,$M628,CB$13))))</f>
        <v>0</v>
      </c>
      <c r="CC628" s="216">
        <f ca="1">IF($D628&lt;&gt;"Serviço",0,IF(OR(AND(AUTOEVENTO="Manual",$M628=1),$M628&gt;(ROW(PLE.lastrow)-ROW(PLE.firstrow))),0,IF(OFFSET(PLE!$G$14,$M628,CC$13)="",10^12,OFFSET(PLE!$G$14,$M628,CC$13))))</f>
        <v>0</v>
      </c>
      <c r="CD628" s="216">
        <f ca="1">IF($D628&lt;&gt;"Serviço",0,IF(OR(AND(AUTOEVENTO="Manual",$M628=1),$M628&gt;(ROW(PLE.lastrow)-ROW(PLE.firstrow))),0,IF(OFFSET(PLE!$G$14,$M628,CD$13)="",10^12,OFFSET(PLE!$G$14,$M628,CD$13))))</f>
        <v>0</v>
      </c>
      <c r="CE628" s="216">
        <f ca="1">IF($D628&lt;&gt;"Serviço",0,IF(OR(AND(AUTOEVENTO="Manual",$M628=1),$M628&gt;(ROW(PLE.lastrow)-ROW(PLE.firstrow))),0,IF(OFFSET(PLE!$G$14,$M628,CE$13)="",10^12,OFFSET(PLE!$G$14,$M628,CE$13))))</f>
        <v>0</v>
      </c>
      <c r="CF628" s="216">
        <f ca="1">IF($D628&lt;&gt;"Serviço",0,IF(OR(AND(AUTOEVENTO="Manual",$M628=1),$M628&gt;(ROW(PLE.lastrow)-ROW(PLE.firstrow))),0,IF(OFFSET(PLE!$G$14,$M628,CF$13)="",10^12,OFFSET(PLE!$G$14,$M628,CF$13))))</f>
        <v>0</v>
      </c>
      <c r="CG628" s="216">
        <f ca="1">IF($D628&lt;&gt;"Serviço",0,IF(OR(AND(AUTOEVENTO="Manual",$M628=1),$M628&gt;(ROW(PLE.lastrow)-ROW(PLE.firstrow))),0,IF(OFFSET(PLE!$G$14,$M628,CG$13)="",10^12,OFFSET(PLE!$G$14,$M628,CG$13))))</f>
        <v>0</v>
      </c>
      <c r="CH628" s="216">
        <f ca="1">IF($D628&lt;&gt;"Serviço",0,IF(OR(AND(AUTOEVENTO="Manual",$M628=1),$M628&gt;(ROW(PLE.lastrow)-ROW(PLE.firstrow))),0,IF(OFFSET(PLE!$G$14,$M628,CH$13)="",10^12,OFFSET(PLE!$G$14,$M628,CH$13))))</f>
        <v>0</v>
      </c>
      <c r="CI628" s="216">
        <f ca="1">IF($D628&lt;&gt;"Serviço",0,IF(OR(AND(AUTOEVENTO="Manual",$M628=1),$M628&gt;(ROW(PLE.lastrow)-ROW(PLE.firstrow))),0,IF(OFFSET(PLE!$G$14,$M628,CI$13)="",10^12,OFFSET(PLE!$G$14,$M628,CI$13))))</f>
        <v>0</v>
      </c>
      <c r="CJ628" s="216">
        <f ca="1">IF($D628&lt;&gt;"Serviço",0,IF(OR(AND(AUTOEVENTO="Manual",$M628=1),$M628&gt;(ROW(PLE.lastrow)-ROW(PLE.firstrow))),0,IF(OFFSET(PLE!$G$14,$M628,CJ$13)="",10^12,OFFSET(PLE!$G$14,$M628,CJ$13))))</f>
        <v>0</v>
      </c>
      <c r="CK628" s="216">
        <f ca="1">IF($D628&lt;&gt;"Serviço",0,IF(OR(AND(AUTOEVENTO="Manual",$M628=1),$M628&gt;(ROW(PLE.lastrow)-ROW(PLE.firstrow))),0,IF(OFFSET(PLE!$G$14,$M628,CK$13)="",10^12,OFFSET(PLE!$G$14,$M628,CK$13))))</f>
        <v>0</v>
      </c>
      <c r="CL628" s="216">
        <f ca="1">IF($D628&lt;&gt;"Serviço",0,IF(OR(AND(AUTOEVENTO="Manual",$M628=1),$M628&gt;(ROW(PLE.lastrow)-ROW(PLE.firstrow))),0,IF(OFFSET(PLE!$G$14,$M628,CL$13)="",10^12,OFFSET(PLE!$G$14,$M628,CL$13))))</f>
        <v>0</v>
      </c>
      <c r="CM628" s="216">
        <f ca="1">IF($D628&lt;&gt;"Serviço",0,IF(OR(AND(AUTOEVENTO="Manual",$M628=1),$M628&gt;(ROW(PLE.lastrow)-ROW(PLE.firstrow))),0,IF(OFFSET(PLE!$G$14,$M628,CM$13)="",10^12,OFFSET(PLE!$G$14,$M628,CM$13))))</f>
        <v>0</v>
      </c>
    </row>
    <row r="629" spans="1:91" ht="13.2" x14ac:dyDescent="0.25">
      <c r="A629" s="9">
        <f t="shared" ca="1" si="19"/>
        <v>0</v>
      </c>
      <c r="B629" s="9">
        <f ca="1">OFFSET(ORÇAMENTO!C$15,ROW(B629)-ROW(B$15),0)</f>
        <v>3</v>
      </c>
      <c r="C629" s="9" t="str">
        <f ca="1">OFFSET(ORÇAMENTO!L$15,ROW(C629)-ROW(C$15),0)</f>
        <v>F</v>
      </c>
      <c r="D629" s="145" t="str">
        <f ca="1">OFFSET(ORÇAMENTO!N$15,ROW(D629)-ROW(D$15),0)</f>
        <v>Nível 3</v>
      </c>
      <c r="E629" s="205" t="str">
        <f ca="1">OFFSET(ORÇAMENTO!O$15,ROW(E629)-ROW(E$15),0)</f>
        <v>1.20.1.</v>
      </c>
      <c r="F629" s="206" t="str">
        <f ca="1">OFFSET(ORÇAMENTO!R$15,ROW(F629)-ROW(F$15),0)</f>
        <v>EQUIPAMENTOS PASSIVOS</v>
      </c>
      <c r="G629" s="207" t="str">
        <f ca="1">IF($D629&lt;&gt;"Serviço","",OFFSET(ORÇAMENTO!S$15,ROW(G629)-ROW(G$15),0))</f>
        <v/>
      </c>
      <c r="H629" s="151">
        <f ca="1">IF($D629&lt;&gt;"Serviço",0,IF(ACOMPANHAMENTO="BM",ROUND(OFFSET(ORÇAMENTO!AJ$15,ROW(H629)-ROW(H$15),0),15-13*ORÇAMENTO!$AF$7),SUMPRODUCT(($Q$12:$AI$12&lt;&gt;"")*ROUND($Q629:$AI629,15-13*ORÇAMENTO!$AF$7))))</f>
        <v>0</v>
      </c>
      <c r="I629" s="650"/>
      <c r="K629" s="208"/>
      <c r="L629" s="209" t="s">
        <v>257</v>
      </c>
      <c r="M629" s="210" t="str">
        <f ca="1">IF($D629&lt;&gt;"Serviço","",IF(AUTOEVENTO="manual",$A629,IF(ISERROR(MATCH($A629,$A$15:OFFSET($A629,-1,0),0)),MAX($M$15:OFFSET(M629,-1,0))+1,INDEX($M$15:OFFSET(M629,-1,0),MATCH($A629,$A$15:OFFSET($A629,-1,0),0)))))</f>
        <v/>
      </c>
      <c r="N629" s="211" t="str">
        <f ca="1">IF($D629&lt;&gt;"Serviço","",IF(AUTOEVENTO="Manual",IF($A629=0,"&lt;-- defina o número do agrupador",OFFSET(EVENTOS!$D$14,$A629,0)),OFFSET($F$15,$A629,0)))</f>
        <v/>
      </c>
      <c r="O629" s="212"/>
      <c r="Q629" s="212"/>
      <c r="R629" s="213"/>
      <c r="S629" s="213"/>
      <c r="T629" s="213"/>
      <c r="U629" s="213"/>
      <c r="V629" s="213"/>
      <c r="W629" s="213"/>
      <c r="X629" s="213"/>
      <c r="Y629" s="213"/>
      <c r="Z629" s="214"/>
      <c r="AA629" s="213"/>
      <c r="AB629" s="213"/>
      <c r="AC629" s="213"/>
      <c r="AD629" s="213"/>
      <c r="AE629" s="213"/>
      <c r="AF629" s="213"/>
      <c r="AG629" s="213"/>
      <c r="AH629" s="214"/>
      <c r="AJ629" s="631">
        <f ca="1">IF(AND($D629="Serviço",AJ$12&lt;&gt;0,$H629&gt;0,OR(AUTOEVENTO&lt;&gt;"manual",$M629&lt;&gt;1)),ROUND(OFFSET($P629,0,AJ$13),15-13*ORÇAMENTO!$AF$7)/$H629*OFFSET(ORÇAMENTO!$X$15,ROW(AJ629)-ROW(AJ$15),0),0)</f>
        <v>0</v>
      </c>
      <c r="AK629" s="632">
        <f ca="1">IF(AND($D629="Serviço",AK$12&lt;&gt;0,$H629&gt;0,OR(AUTOEVENTO&lt;&gt;"manual",$M629&lt;&gt;1)),ROUND(OFFSET($P629,0,AK$13),15-13*ORÇAMENTO!$AF$7)/$H629*OFFSET(ORÇAMENTO!$X$15,ROW(AK629)-ROW(AK$15),0),0)</f>
        <v>0</v>
      </c>
      <c r="AL629" s="632">
        <f ca="1">IF(AND($D629="Serviço",AL$12&lt;&gt;0,$H629&gt;0,OR(AUTOEVENTO&lt;&gt;"manual",$M629&lt;&gt;1)),ROUND(OFFSET($P629,0,AL$13),15-13*ORÇAMENTO!$AF$7)/$H629*OFFSET(ORÇAMENTO!$X$15,ROW(AL629)-ROW(AL$15),0),0)</f>
        <v>0</v>
      </c>
      <c r="AM629" s="632">
        <f ca="1">IF(AND($D629="Serviço",AM$12&lt;&gt;0,$H629&gt;0,OR(AUTOEVENTO&lt;&gt;"manual",$M629&lt;&gt;1)),ROUND(OFFSET($P629,0,AM$13),15-13*ORÇAMENTO!$AF$7)/$H629*OFFSET(ORÇAMENTO!$X$15,ROW(AM629)-ROW(AM$15),0),0)</f>
        <v>0</v>
      </c>
      <c r="AN629" s="632">
        <f ca="1">IF(AND($D629="Serviço",AN$12&lt;&gt;0,$H629&gt;0,OR(AUTOEVENTO&lt;&gt;"manual",$M629&lt;&gt;1)),ROUND(OFFSET($P629,0,AN$13),15-13*ORÇAMENTO!$AF$7)/$H629*OFFSET(ORÇAMENTO!$X$15,ROW(AN629)-ROW(AN$15),0),0)</f>
        <v>0</v>
      </c>
      <c r="AO629" s="632">
        <f ca="1">IF(AND($D629="Serviço",AO$12&lt;&gt;0,$H629&gt;0,OR(AUTOEVENTO&lt;&gt;"manual",$M629&lt;&gt;1)),ROUND(OFFSET($P629,0,AO$13),15-13*ORÇAMENTO!$AF$7)/$H629*OFFSET(ORÇAMENTO!$X$15,ROW(AO629)-ROW(AO$15),0),0)</f>
        <v>0</v>
      </c>
      <c r="AP629" s="632">
        <f ca="1">IF(AND($D629="Serviço",AP$12&lt;&gt;0,$H629&gt;0,OR(AUTOEVENTO&lt;&gt;"manual",$M629&lt;&gt;1)),ROUND(OFFSET($P629,0,AP$13),15-13*ORÇAMENTO!$AF$7)/$H629*OFFSET(ORÇAMENTO!$X$15,ROW(AP629)-ROW(AP$15),0),0)</f>
        <v>0</v>
      </c>
      <c r="AQ629" s="632">
        <f ca="1">IF(AND($D629="Serviço",AQ$12&lt;&gt;0,$H629&gt;0,OR(AUTOEVENTO&lt;&gt;"manual",$M629&lt;&gt;1)),ROUND(OFFSET($P629,0,AQ$13),15-13*ORÇAMENTO!$AF$7)/$H629*OFFSET(ORÇAMENTO!$X$15,ROW(AQ629)-ROW(AQ$15),0),0)</f>
        <v>0</v>
      </c>
      <c r="AR629" s="632">
        <f ca="1">IF(AND($D629="Serviço",AR$12&lt;&gt;0,$H629&gt;0,OR(AUTOEVENTO&lt;&gt;"manual",$M629&lt;&gt;1)),ROUND(OFFSET($P629,0,AR$13),15-13*ORÇAMENTO!$AF$7)/$H629*OFFSET(ORÇAMENTO!$X$15,ROW(AR629)-ROW(AR$15),0),0)</f>
        <v>0</v>
      </c>
      <c r="AS629" s="633">
        <f ca="1">IF(AND($D629="Serviço",AS$12&lt;&gt;0,$H629&gt;0,OR(AUTOEVENTO&lt;&gt;"manual",$M629&lt;&gt;1)),ROUND(OFFSET($P629,0,AS$13),15-13*ORÇAMENTO!$AF$7)/$H629*OFFSET(ORÇAMENTO!$X$15,ROW(AS629)-ROW(AS$15),0),0)</f>
        <v>0</v>
      </c>
      <c r="AT629" s="632">
        <f ca="1">IF(AND($D629="Serviço",AT$12&lt;&gt;0,$H629&gt;0,OR(AUTOEVENTO&lt;&gt;"manual",$M629&lt;&gt;1)),ROUND(OFFSET($P629,0,AT$13),15-13*ORÇAMENTO!$AF$7)/$H629*OFFSET(ORÇAMENTO!$X$15,ROW(AT629)-ROW(AT$15),0),0)</f>
        <v>0</v>
      </c>
      <c r="AU629" s="632">
        <f ca="1">IF(AND($D629="Serviço",AU$12&lt;&gt;0,$H629&gt;0,OR(AUTOEVENTO&lt;&gt;"manual",$M629&lt;&gt;1)),ROUND(OFFSET($P629,0,AU$13),15-13*ORÇAMENTO!$AF$7)/$H629*OFFSET(ORÇAMENTO!$X$15,ROW(AU629)-ROW(AU$15),0),0)</f>
        <v>0</v>
      </c>
      <c r="AV629" s="632">
        <f ca="1">IF(AND($D629="Serviço",AV$12&lt;&gt;0,$H629&gt;0,OR(AUTOEVENTO&lt;&gt;"manual",$M629&lt;&gt;1)),ROUND(OFFSET($P629,0,AV$13),15-13*ORÇAMENTO!$AF$7)/$H629*OFFSET(ORÇAMENTO!$X$15,ROW(AV629)-ROW(AV$15),0),0)</f>
        <v>0</v>
      </c>
      <c r="AW629" s="632">
        <f ca="1">IF(AND($D629="Serviço",AW$12&lt;&gt;0,$H629&gt;0,OR(AUTOEVENTO&lt;&gt;"manual",$M629&lt;&gt;1)),ROUND(OFFSET($P629,0,AW$13),15-13*ORÇAMENTO!$AF$7)/$H629*OFFSET(ORÇAMENTO!$X$15,ROW(AW629)-ROW(AW$15),0),0)</f>
        <v>0</v>
      </c>
      <c r="AX629" s="632">
        <f ca="1">IF(AND($D629="Serviço",AX$12&lt;&gt;0,$H629&gt;0,OR(AUTOEVENTO&lt;&gt;"manual",$M629&lt;&gt;1)),ROUND(OFFSET($P629,0,AX$13),15-13*ORÇAMENTO!$AF$7)/$H629*OFFSET(ORÇAMENTO!$X$15,ROW(AX629)-ROW(AX$15),0),0)</f>
        <v>0</v>
      </c>
      <c r="AY629" s="632">
        <f ca="1">IF(AND($D629="Serviço",AY$12&lt;&gt;0,$H629&gt;0,OR(AUTOEVENTO&lt;&gt;"manual",$M629&lt;&gt;1)),ROUND(OFFSET($P629,0,AY$13),15-13*ORÇAMENTO!$AF$7)/$H629*OFFSET(ORÇAMENTO!$X$15,ROW(AY629)-ROW(AY$15),0),0)</f>
        <v>0</v>
      </c>
      <c r="AZ629" s="632">
        <f ca="1">IF(AND($D629="Serviço",AZ$12&lt;&gt;0,$H629&gt;0,OR(AUTOEVENTO&lt;&gt;"manual",$M629&lt;&gt;1)),ROUND(OFFSET($P629,0,AZ$13),15-13*ORÇAMENTO!$AF$7)/$H629*OFFSET(ORÇAMENTO!$X$15,ROW(AZ629)-ROW(AZ$15),0),0)</f>
        <v>0</v>
      </c>
      <c r="BA629" s="633">
        <f ca="1">IF(AND($D629="Serviço",BA$12&lt;&gt;0,$H629&gt;0,OR(AUTOEVENTO&lt;&gt;"manual",$M629&lt;&gt;1)),ROUND(OFFSET($P629,0,BA$13),15-13*ORÇAMENTO!$AF$7)/$H629*OFFSET(ORÇAMENTO!$X$15,ROW(BA629)-ROW(BA$15),0),0)</f>
        <v>0</v>
      </c>
      <c r="BC629" s="215">
        <f ca="1">IF($D629&lt;&gt;"Serviço",0,IF(AND(AUTOEVENTO="Manual",$M629=1),0,IF(OFFSET(CRONOPLE!$F$14,$M629,BC$13)="",10^12,OFFSET(CRONOPLE!$F$14,$M629,BC$13))))</f>
        <v>0</v>
      </c>
      <c r="BD629" s="215">
        <f ca="1">IF($D629&lt;&gt;"Serviço",0,IF(AND(AUTOEVENTO="Manual",$M629=1),0,IF(OFFSET(CRONOPLE!$F$14,$M629,BD$13)="",10^12,OFFSET(CRONOPLE!$F$14,$M629,BD$13))))</f>
        <v>0</v>
      </c>
      <c r="BE629" s="215">
        <f ca="1">IF($D629&lt;&gt;"Serviço",0,IF(AND(AUTOEVENTO="Manual",$M629=1),0,IF(OFFSET(CRONOPLE!$F$14,$M629,BE$13)="",10^12,OFFSET(CRONOPLE!$F$14,$M629,BE$13))))</f>
        <v>0</v>
      </c>
      <c r="BF629" s="215">
        <f ca="1">IF($D629&lt;&gt;"Serviço",0,IF(AND(AUTOEVENTO="Manual",$M629=1),0,IF(OFFSET(CRONOPLE!$F$14,$M629,BF$13)="",10^12,OFFSET(CRONOPLE!$F$14,$M629,BF$13))))</f>
        <v>0</v>
      </c>
      <c r="BG629" s="215">
        <f ca="1">IF($D629&lt;&gt;"Serviço",0,IF(AND(AUTOEVENTO="Manual",$M629=1),0,IF(OFFSET(CRONOPLE!$F$14,$M629,BG$13)="",10^12,OFFSET(CRONOPLE!$F$14,$M629,BG$13))))</f>
        <v>0</v>
      </c>
      <c r="BH629" s="215">
        <f ca="1">IF($D629&lt;&gt;"Serviço",0,IF(AND(AUTOEVENTO="Manual",$M629=1),0,IF(OFFSET(CRONOPLE!$F$14,$M629,BH$13)="",10^12,OFFSET(CRONOPLE!$F$14,$M629,BH$13))))</f>
        <v>0</v>
      </c>
      <c r="BI629" s="215">
        <f ca="1">IF($D629&lt;&gt;"Serviço",0,IF(AND(AUTOEVENTO="Manual",$M629=1),0,IF(OFFSET(CRONOPLE!$F$14,$M629,BI$13)="",10^12,OFFSET(CRONOPLE!$F$14,$M629,BI$13))))</f>
        <v>0</v>
      </c>
      <c r="BJ629" s="215">
        <f ca="1">IF($D629&lt;&gt;"Serviço",0,IF(AND(AUTOEVENTO="Manual",$M629=1),0,IF(OFFSET(CRONOPLE!$F$14,$M629,BJ$13)="",10^12,OFFSET(CRONOPLE!$F$14,$M629,BJ$13))))</f>
        <v>0</v>
      </c>
      <c r="BK629" s="215">
        <f ca="1">IF($D629&lt;&gt;"Serviço",0,IF(AND(AUTOEVENTO="Manual",$M629=1),0,IF(OFFSET(CRONOPLE!$F$14,$M629,BK$13)="",10^12,OFFSET(CRONOPLE!$F$14,$M629,BK$13))))</f>
        <v>0</v>
      </c>
      <c r="BL629" s="215">
        <f ca="1">IF($D629&lt;&gt;"Serviço",0,IF(AND(AUTOEVENTO="Manual",$M629=1),0,IF(OFFSET(CRONOPLE!$F$14,$M629,BL$13)="",10^12,OFFSET(CRONOPLE!$F$14,$M629,BL$13))))</f>
        <v>0</v>
      </c>
      <c r="BM629" s="215">
        <f ca="1">IF($D629&lt;&gt;"Serviço",0,IF(AND(AUTOEVENTO="Manual",$M629=1),0,IF(OFFSET(CRONOPLE!$F$14,$M629,BM$13)="",10^12,OFFSET(CRONOPLE!$F$14,$M629,BM$13))))</f>
        <v>0</v>
      </c>
      <c r="BN629" s="215">
        <f ca="1">IF($D629&lt;&gt;"Serviço",0,IF(AND(AUTOEVENTO="Manual",$M629=1),0,IF(OFFSET(CRONOPLE!$F$14,$M629,BN$13)="",10^12,OFFSET(CRONOPLE!$F$14,$M629,BN$13))))</f>
        <v>0</v>
      </c>
      <c r="BO629" s="215">
        <f ca="1">IF($D629&lt;&gt;"Serviço",0,IF(AND(AUTOEVENTO="Manual",$M629=1),0,IF(OFFSET(CRONOPLE!$F$14,$M629,BO$13)="",10^12,OFFSET(CRONOPLE!$F$14,$M629,BO$13))))</f>
        <v>0</v>
      </c>
      <c r="BP629" s="215">
        <f ca="1">IF($D629&lt;&gt;"Serviço",0,IF(AND(AUTOEVENTO="Manual",$M629=1),0,IF(OFFSET(CRONOPLE!$F$14,$M629,BP$13)="",10^12,OFFSET(CRONOPLE!$F$14,$M629,BP$13))))</f>
        <v>0</v>
      </c>
      <c r="BQ629" s="215">
        <f ca="1">IF($D629&lt;&gt;"Serviço",0,IF(AND(AUTOEVENTO="Manual",$M629=1),0,IF(OFFSET(CRONOPLE!$F$14,$M629,BQ$13)="",10^12,OFFSET(CRONOPLE!$F$14,$M629,BQ$13))))</f>
        <v>0</v>
      </c>
      <c r="BR629" s="215">
        <f ca="1">IF($D629&lt;&gt;"Serviço",0,IF(AND(AUTOEVENTO="Manual",$M629=1),0,IF(OFFSET(CRONOPLE!$F$14,$M629,BR$13)="",10^12,OFFSET(CRONOPLE!$F$14,$M629,BR$13))))</f>
        <v>0</v>
      </c>
      <c r="BS629" s="215">
        <f ca="1">IF($D629&lt;&gt;"Serviço",0,IF(AND(AUTOEVENTO="Manual",$M629=1),0,IF(OFFSET(CRONOPLE!$F$14,$M629,BS$13)="",10^12,OFFSET(CRONOPLE!$F$14,$M629,BS$13))))</f>
        <v>0</v>
      </c>
      <c r="BT629" s="215">
        <f ca="1">IF($D629&lt;&gt;"Serviço",0,IF(AND(AUTOEVENTO="Manual",$M629=1),0,IF(OFFSET(CRONOPLE!$F$14,$M629,BT$13)="",10^12,OFFSET(CRONOPLE!$F$14,$M629,BT$13))))</f>
        <v>0</v>
      </c>
      <c r="BV629" s="216">
        <f ca="1">IF($D629&lt;&gt;"Serviço",0,IF(OR(AND(AUTOEVENTO="Manual",$M629=1),$M629&gt;(ROW(PLE.lastrow)-ROW(PLE.firstrow))),0,IF(OFFSET(PLE!$G$14,$M629,BV$13)="",10^12,OFFSET(PLE!$G$14,$M629,BV$13))))</f>
        <v>0</v>
      </c>
      <c r="BW629" s="216">
        <f ca="1">IF($D629&lt;&gt;"Serviço",0,IF(OR(AND(AUTOEVENTO="Manual",$M629=1),$M629&gt;(ROW(PLE.lastrow)-ROW(PLE.firstrow))),0,IF(OFFSET(PLE!$G$14,$M629,BW$13)="",10^12,OFFSET(PLE!$G$14,$M629,BW$13))))</f>
        <v>0</v>
      </c>
      <c r="BX629" s="216">
        <f ca="1">IF($D629&lt;&gt;"Serviço",0,IF(OR(AND(AUTOEVENTO="Manual",$M629=1),$M629&gt;(ROW(PLE.lastrow)-ROW(PLE.firstrow))),0,IF(OFFSET(PLE!$G$14,$M629,BX$13)="",10^12,OFFSET(PLE!$G$14,$M629,BX$13))))</f>
        <v>0</v>
      </c>
      <c r="BY629" s="216">
        <f ca="1">IF($D629&lt;&gt;"Serviço",0,IF(OR(AND(AUTOEVENTO="Manual",$M629=1),$M629&gt;(ROW(PLE.lastrow)-ROW(PLE.firstrow))),0,IF(OFFSET(PLE!$G$14,$M629,BY$13)="",10^12,OFFSET(PLE!$G$14,$M629,BY$13))))</f>
        <v>0</v>
      </c>
      <c r="BZ629" s="216">
        <f ca="1">IF($D629&lt;&gt;"Serviço",0,IF(OR(AND(AUTOEVENTO="Manual",$M629=1),$M629&gt;(ROW(PLE.lastrow)-ROW(PLE.firstrow))),0,IF(OFFSET(PLE!$G$14,$M629,BZ$13)="",10^12,OFFSET(PLE!$G$14,$M629,BZ$13))))</f>
        <v>0</v>
      </c>
      <c r="CA629" s="216">
        <f ca="1">IF($D629&lt;&gt;"Serviço",0,IF(OR(AND(AUTOEVENTO="Manual",$M629=1),$M629&gt;(ROW(PLE.lastrow)-ROW(PLE.firstrow))),0,IF(OFFSET(PLE!$G$14,$M629,CA$13)="",10^12,OFFSET(PLE!$G$14,$M629,CA$13))))</f>
        <v>0</v>
      </c>
      <c r="CB629" s="216">
        <f ca="1">IF($D629&lt;&gt;"Serviço",0,IF(OR(AND(AUTOEVENTO="Manual",$M629=1),$M629&gt;(ROW(PLE.lastrow)-ROW(PLE.firstrow))),0,IF(OFFSET(PLE!$G$14,$M629,CB$13)="",10^12,OFFSET(PLE!$G$14,$M629,CB$13))))</f>
        <v>0</v>
      </c>
      <c r="CC629" s="216">
        <f ca="1">IF($D629&lt;&gt;"Serviço",0,IF(OR(AND(AUTOEVENTO="Manual",$M629=1),$M629&gt;(ROW(PLE.lastrow)-ROW(PLE.firstrow))),0,IF(OFFSET(PLE!$G$14,$M629,CC$13)="",10^12,OFFSET(PLE!$G$14,$M629,CC$13))))</f>
        <v>0</v>
      </c>
      <c r="CD629" s="216">
        <f ca="1">IF($D629&lt;&gt;"Serviço",0,IF(OR(AND(AUTOEVENTO="Manual",$M629=1),$M629&gt;(ROW(PLE.lastrow)-ROW(PLE.firstrow))),0,IF(OFFSET(PLE!$G$14,$M629,CD$13)="",10^12,OFFSET(PLE!$G$14,$M629,CD$13))))</f>
        <v>0</v>
      </c>
      <c r="CE629" s="216">
        <f ca="1">IF($D629&lt;&gt;"Serviço",0,IF(OR(AND(AUTOEVENTO="Manual",$M629=1),$M629&gt;(ROW(PLE.lastrow)-ROW(PLE.firstrow))),0,IF(OFFSET(PLE!$G$14,$M629,CE$13)="",10^12,OFFSET(PLE!$G$14,$M629,CE$13))))</f>
        <v>0</v>
      </c>
      <c r="CF629" s="216">
        <f ca="1">IF($D629&lt;&gt;"Serviço",0,IF(OR(AND(AUTOEVENTO="Manual",$M629=1),$M629&gt;(ROW(PLE.lastrow)-ROW(PLE.firstrow))),0,IF(OFFSET(PLE!$G$14,$M629,CF$13)="",10^12,OFFSET(PLE!$G$14,$M629,CF$13))))</f>
        <v>0</v>
      </c>
      <c r="CG629" s="216">
        <f ca="1">IF($D629&lt;&gt;"Serviço",0,IF(OR(AND(AUTOEVENTO="Manual",$M629=1),$M629&gt;(ROW(PLE.lastrow)-ROW(PLE.firstrow))),0,IF(OFFSET(PLE!$G$14,$M629,CG$13)="",10^12,OFFSET(PLE!$G$14,$M629,CG$13))))</f>
        <v>0</v>
      </c>
      <c r="CH629" s="216">
        <f ca="1">IF($D629&lt;&gt;"Serviço",0,IF(OR(AND(AUTOEVENTO="Manual",$M629=1),$M629&gt;(ROW(PLE.lastrow)-ROW(PLE.firstrow))),0,IF(OFFSET(PLE!$G$14,$M629,CH$13)="",10^12,OFFSET(PLE!$G$14,$M629,CH$13))))</f>
        <v>0</v>
      </c>
      <c r="CI629" s="216">
        <f ca="1">IF($D629&lt;&gt;"Serviço",0,IF(OR(AND(AUTOEVENTO="Manual",$M629=1),$M629&gt;(ROW(PLE.lastrow)-ROW(PLE.firstrow))),0,IF(OFFSET(PLE!$G$14,$M629,CI$13)="",10^12,OFFSET(PLE!$G$14,$M629,CI$13))))</f>
        <v>0</v>
      </c>
      <c r="CJ629" s="216">
        <f ca="1">IF($D629&lt;&gt;"Serviço",0,IF(OR(AND(AUTOEVENTO="Manual",$M629=1),$M629&gt;(ROW(PLE.lastrow)-ROW(PLE.firstrow))),0,IF(OFFSET(PLE!$G$14,$M629,CJ$13)="",10^12,OFFSET(PLE!$G$14,$M629,CJ$13))))</f>
        <v>0</v>
      </c>
      <c r="CK629" s="216">
        <f ca="1">IF($D629&lt;&gt;"Serviço",0,IF(OR(AND(AUTOEVENTO="Manual",$M629=1),$M629&gt;(ROW(PLE.lastrow)-ROW(PLE.firstrow))),0,IF(OFFSET(PLE!$G$14,$M629,CK$13)="",10^12,OFFSET(PLE!$G$14,$M629,CK$13))))</f>
        <v>0</v>
      </c>
      <c r="CL629" s="216">
        <f ca="1">IF($D629&lt;&gt;"Serviço",0,IF(OR(AND(AUTOEVENTO="Manual",$M629=1),$M629&gt;(ROW(PLE.lastrow)-ROW(PLE.firstrow))),0,IF(OFFSET(PLE!$G$14,$M629,CL$13)="",10^12,OFFSET(PLE!$G$14,$M629,CL$13))))</f>
        <v>0</v>
      </c>
      <c r="CM629" s="216">
        <f ca="1">IF($D629&lt;&gt;"Serviço",0,IF(OR(AND(AUTOEVENTO="Manual",$M629=1),$M629&gt;(ROW(PLE.lastrow)-ROW(PLE.firstrow))),0,IF(OFFSET(PLE!$G$14,$M629,CM$13)="",10^12,OFFSET(PLE!$G$14,$M629,CM$13))))</f>
        <v>0</v>
      </c>
    </row>
    <row r="630" spans="1:91" ht="13.2" x14ac:dyDescent="0.25">
      <c r="A630" s="9">
        <f t="shared" ca="1" si="19"/>
        <v>0</v>
      </c>
      <c r="B630" s="9" t="str">
        <f ca="1">OFFSET(ORÇAMENTO!C$15,ROW(B630)-ROW(B$15),0)</f>
        <v>S</v>
      </c>
      <c r="C630" s="9" t="str">
        <f ca="1">OFFSET(ORÇAMENTO!L$15,ROW(C630)-ROW(C$15),0)</f>
        <v/>
      </c>
      <c r="D630" s="145" t="str">
        <f ca="1">OFFSET(ORÇAMENTO!N$15,ROW(D630)-ROW(D$15),0)</f>
        <v>Serviço</v>
      </c>
      <c r="E630" s="205" t="str">
        <f ca="1">OFFSET(ORÇAMENTO!O$15,ROW(E630)-ROW(E$15),0)</f>
        <v>-</v>
      </c>
      <c r="F630" s="206" t="str">
        <f ca="1">OFFSET(ORÇAMENTO!R$15,ROW(F630)-ROW(F$15),0)</f>
        <v>(abra o arquivo 'Referência 05-2024.xls)</v>
      </c>
      <c r="G630" s="207" t="str">
        <f ca="1">IF($D630&lt;&gt;"Serviço","",OFFSET(ORÇAMENTO!S$15,ROW(G630)-ROW(G$15),0))</f>
        <v>-</v>
      </c>
      <c r="H630" s="151">
        <f ca="1">IF($D630&lt;&gt;"Serviço",0,IF(ACOMPANHAMENTO="BM",ROUND(OFFSET(ORÇAMENTO!AJ$15,ROW(H630)-ROW(H$15),0),15-13*ORÇAMENTO!$AF$7),SUMPRODUCT(($Q$12:$AI$12&lt;&gt;"")*ROUND($Q630:$AI630,15-13*ORÇAMENTO!$AF$7))))</f>
        <v>10</v>
      </c>
      <c r="I630" s="650"/>
      <c r="K630" s="208"/>
      <c r="L630" s="209" t="s">
        <v>257</v>
      </c>
      <c r="M630" s="210">
        <f ca="1">IF($D630&lt;&gt;"Serviço","",IF(AUTOEVENTO="manual",$A630,IF(ISERROR(MATCH($A630,$A$15:OFFSET($A630,-1,0),0)),MAX($M$15:OFFSET(M630,-1,0))+1,INDEX($M$15:OFFSET(M630,-1,0),MATCH($A630,$A$15:OFFSET($A630,-1,0),0)))))</f>
        <v>0</v>
      </c>
      <c r="N630" s="211" t="str">
        <f ca="1">IF($D630&lt;&gt;"Serviço","",IF(AUTOEVENTO="Manual",IF($A630=0,"&lt;-- defina o número do agrupador",OFFSET(EVENTOS!$D$14,$A630,0)),OFFSET($F$15,$A630,0)))</f>
        <v>&lt;-- defina o número do agrupador</v>
      </c>
      <c r="O630" s="212"/>
      <c r="Q630" s="212"/>
      <c r="R630" s="213"/>
      <c r="S630" s="213"/>
      <c r="T630" s="213"/>
      <c r="U630" s="213"/>
      <c r="V630" s="213"/>
      <c r="W630" s="213"/>
      <c r="X630" s="213"/>
      <c r="Y630" s="213"/>
      <c r="Z630" s="214"/>
      <c r="AA630" s="213"/>
      <c r="AB630" s="213"/>
      <c r="AC630" s="213"/>
      <c r="AD630" s="213"/>
      <c r="AE630" s="213"/>
      <c r="AF630" s="213"/>
      <c r="AG630" s="213"/>
      <c r="AH630" s="214"/>
      <c r="AJ630" s="631">
        <f ca="1">IF(AND($D630="Serviço",AJ$12&lt;&gt;0,$H630&gt;0,OR(AUTOEVENTO&lt;&gt;"manual",$M630&lt;&gt;1)),ROUND(OFFSET($P630,0,AJ$13),15-13*ORÇAMENTO!$AF$7)/$H630*OFFSET(ORÇAMENTO!$X$15,ROW(AJ630)-ROW(AJ$15),0),0)</f>
        <v>0</v>
      </c>
      <c r="AK630" s="632">
        <f ca="1">IF(AND($D630="Serviço",AK$12&lt;&gt;0,$H630&gt;0,OR(AUTOEVENTO&lt;&gt;"manual",$M630&lt;&gt;1)),ROUND(OFFSET($P630,0,AK$13),15-13*ORÇAMENTO!$AF$7)/$H630*OFFSET(ORÇAMENTO!$X$15,ROW(AK630)-ROW(AK$15),0),0)</f>
        <v>0</v>
      </c>
      <c r="AL630" s="632">
        <f ca="1">IF(AND($D630="Serviço",AL$12&lt;&gt;0,$H630&gt;0,OR(AUTOEVENTO&lt;&gt;"manual",$M630&lt;&gt;1)),ROUND(OFFSET($P630,0,AL$13),15-13*ORÇAMENTO!$AF$7)/$H630*OFFSET(ORÇAMENTO!$X$15,ROW(AL630)-ROW(AL$15),0),0)</f>
        <v>0</v>
      </c>
      <c r="AM630" s="632">
        <f ca="1">IF(AND($D630="Serviço",AM$12&lt;&gt;0,$H630&gt;0,OR(AUTOEVENTO&lt;&gt;"manual",$M630&lt;&gt;1)),ROUND(OFFSET($P630,0,AM$13),15-13*ORÇAMENTO!$AF$7)/$H630*OFFSET(ORÇAMENTO!$X$15,ROW(AM630)-ROW(AM$15),0),0)</f>
        <v>0</v>
      </c>
      <c r="AN630" s="632">
        <f ca="1">IF(AND($D630="Serviço",AN$12&lt;&gt;0,$H630&gt;0,OR(AUTOEVENTO&lt;&gt;"manual",$M630&lt;&gt;1)),ROUND(OFFSET($P630,0,AN$13),15-13*ORÇAMENTO!$AF$7)/$H630*OFFSET(ORÇAMENTO!$X$15,ROW(AN630)-ROW(AN$15),0),0)</f>
        <v>0</v>
      </c>
      <c r="AO630" s="632">
        <f ca="1">IF(AND($D630="Serviço",AO$12&lt;&gt;0,$H630&gt;0,OR(AUTOEVENTO&lt;&gt;"manual",$M630&lt;&gt;1)),ROUND(OFFSET($P630,0,AO$13),15-13*ORÇAMENTO!$AF$7)/$H630*OFFSET(ORÇAMENTO!$X$15,ROW(AO630)-ROW(AO$15),0),0)</f>
        <v>0</v>
      </c>
      <c r="AP630" s="632">
        <f ca="1">IF(AND($D630="Serviço",AP$12&lt;&gt;0,$H630&gt;0,OR(AUTOEVENTO&lt;&gt;"manual",$M630&lt;&gt;1)),ROUND(OFFSET($P630,0,AP$13),15-13*ORÇAMENTO!$AF$7)/$H630*OFFSET(ORÇAMENTO!$X$15,ROW(AP630)-ROW(AP$15),0),0)</f>
        <v>0</v>
      </c>
      <c r="AQ630" s="632">
        <f ca="1">IF(AND($D630="Serviço",AQ$12&lt;&gt;0,$H630&gt;0,OR(AUTOEVENTO&lt;&gt;"manual",$M630&lt;&gt;1)),ROUND(OFFSET($P630,0,AQ$13),15-13*ORÇAMENTO!$AF$7)/$H630*OFFSET(ORÇAMENTO!$X$15,ROW(AQ630)-ROW(AQ$15),0),0)</f>
        <v>0</v>
      </c>
      <c r="AR630" s="632">
        <f ca="1">IF(AND($D630="Serviço",AR$12&lt;&gt;0,$H630&gt;0,OR(AUTOEVENTO&lt;&gt;"manual",$M630&lt;&gt;1)),ROUND(OFFSET($P630,0,AR$13),15-13*ORÇAMENTO!$AF$7)/$H630*OFFSET(ORÇAMENTO!$X$15,ROW(AR630)-ROW(AR$15),0),0)</f>
        <v>0</v>
      </c>
      <c r="AS630" s="633">
        <f ca="1">IF(AND($D630="Serviço",AS$12&lt;&gt;0,$H630&gt;0,OR(AUTOEVENTO&lt;&gt;"manual",$M630&lt;&gt;1)),ROUND(OFFSET($P630,0,AS$13),15-13*ORÇAMENTO!$AF$7)/$H630*OFFSET(ORÇAMENTO!$X$15,ROW(AS630)-ROW(AS$15),0),0)</f>
        <v>0</v>
      </c>
      <c r="AT630" s="632">
        <f ca="1">IF(AND($D630="Serviço",AT$12&lt;&gt;0,$H630&gt;0,OR(AUTOEVENTO&lt;&gt;"manual",$M630&lt;&gt;1)),ROUND(OFFSET($P630,0,AT$13),15-13*ORÇAMENTO!$AF$7)/$H630*OFFSET(ORÇAMENTO!$X$15,ROW(AT630)-ROW(AT$15),0),0)</f>
        <v>0</v>
      </c>
      <c r="AU630" s="632">
        <f ca="1">IF(AND($D630="Serviço",AU$12&lt;&gt;0,$H630&gt;0,OR(AUTOEVENTO&lt;&gt;"manual",$M630&lt;&gt;1)),ROUND(OFFSET($P630,0,AU$13),15-13*ORÇAMENTO!$AF$7)/$H630*OFFSET(ORÇAMENTO!$X$15,ROW(AU630)-ROW(AU$15),0),0)</f>
        <v>0</v>
      </c>
      <c r="AV630" s="632">
        <f ca="1">IF(AND($D630="Serviço",AV$12&lt;&gt;0,$H630&gt;0,OR(AUTOEVENTO&lt;&gt;"manual",$M630&lt;&gt;1)),ROUND(OFFSET($P630,0,AV$13),15-13*ORÇAMENTO!$AF$7)/$H630*OFFSET(ORÇAMENTO!$X$15,ROW(AV630)-ROW(AV$15),0),0)</f>
        <v>0</v>
      </c>
      <c r="AW630" s="632">
        <f ca="1">IF(AND($D630="Serviço",AW$12&lt;&gt;0,$H630&gt;0,OR(AUTOEVENTO&lt;&gt;"manual",$M630&lt;&gt;1)),ROUND(OFFSET($P630,0,AW$13),15-13*ORÇAMENTO!$AF$7)/$H630*OFFSET(ORÇAMENTO!$X$15,ROW(AW630)-ROW(AW$15),0),0)</f>
        <v>0</v>
      </c>
      <c r="AX630" s="632">
        <f ca="1">IF(AND($D630="Serviço",AX$12&lt;&gt;0,$H630&gt;0,OR(AUTOEVENTO&lt;&gt;"manual",$M630&lt;&gt;1)),ROUND(OFFSET($P630,0,AX$13),15-13*ORÇAMENTO!$AF$7)/$H630*OFFSET(ORÇAMENTO!$X$15,ROW(AX630)-ROW(AX$15),0),0)</f>
        <v>0</v>
      </c>
      <c r="AY630" s="632">
        <f ca="1">IF(AND($D630="Serviço",AY$12&lt;&gt;0,$H630&gt;0,OR(AUTOEVENTO&lt;&gt;"manual",$M630&lt;&gt;1)),ROUND(OFFSET($P630,0,AY$13),15-13*ORÇAMENTO!$AF$7)/$H630*OFFSET(ORÇAMENTO!$X$15,ROW(AY630)-ROW(AY$15),0),0)</f>
        <v>0</v>
      </c>
      <c r="AZ630" s="632">
        <f ca="1">IF(AND($D630="Serviço",AZ$12&lt;&gt;0,$H630&gt;0,OR(AUTOEVENTO&lt;&gt;"manual",$M630&lt;&gt;1)),ROUND(OFFSET($P630,0,AZ$13),15-13*ORÇAMENTO!$AF$7)/$H630*OFFSET(ORÇAMENTO!$X$15,ROW(AZ630)-ROW(AZ$15),0),0)</f>
        <v>0</v>
      </c>
      <c r="BA630" s="633">
        <f ca="1">IF(AND($D630="Serviço",BA$12&lt;&gt;0,$H630&gt;0,OR(AUTOEVENTO&lt;&gt;"manual",$M630&lt;&gt;1)),ROUND(OFFSET($P630,0,BA$13),15-13*ORÇAMENTO!$AF$7)/$H630*OFFSET(ORÇAMENTO!$X$15,ROW(BA630)-ROW(BA$15),0),0)</f>
        <v>0</v>
      </c>
      <c r="BC630" s="215">
        <f ca="1">IF($D630&lt;&gt;"Serviço",0,IF(AND(AUTOEVENTO="Manual",$M630=1),0,IF(OFFSET(CRONOPLE!$F$14,$M630,BC$13)="",10^12,OFFSET(CRONOPLE!$F$14,$M630,BC$13))))</f>
        <v>1000000000000</v>
      </c>
      <c r="BD630" s="215">
        <f ca="1">IF($D630&lt;&gt;"Serviço",0,IF(AND(AUTOEVENTO="Manual",$M630=1),0,IF(OFFSET(CRONOPLE!$F$14,$M630,BD$13)="",10^12,OFFSET(CRONOPLE!$F$14,$M630,BD$13))))</f>
        <v>1000000000000</v>
      </c>
      <c r="BE630" s="215">
        <f ca="1">IF($D630&lt;&gt;"Serviço",0,IF(AND(AUTOEVENTO="Manual",$M630=1),0,IF(OFFSET(CRONOPLE!$F$14,$M630,BE$13)="",10^12,OFFSET(CRONOPLE!$F$14,$M630,BE$13))))</f>
        <v>1000000000000</v>
      </c>
      <c r="BF630" s="215">
        <f ca="1">IF($D630&lt;&gt;"Serviço",0,IF(AND(AUTOEVENTO="Manual",$M630=1),0,IF(OFFSET(CRONOPLE!$F$14,$M630,BF$13)="",10^12,OFFSET(CRONOPLE!$F$14,$M630,BF$13))))</f>
        <v>1000000000000</v>
      </c>
      <c r="BG630" s="215">
        <f ca="1">IF($D630&lt;&gt;"Serviço",0,IF(AND(AUTOEVENTO="Manual",$M630=1),0,IF(OFFSET(CRONOPLE!$F$14,$M630,BG$13)="",10^12,OFFSET(CRONOPLE!$F$14,$M630,BG$13))))</f>
        <v>1000000000000</v>
      </c>
      <c r="BH630" s="215">
        <f ca="1">IF($D630&lt;&gt;"Serviço",0,IF(AND(AUTOEVENTO="Manual",$M630=1),0,IF(OFFSET(CRONOPLE!$F$14,$M630,BH$13)="",10^12,OFFSET(CRONOPLE!$F$14,$M630,BH$13))))</f>
        <v>1000000000000</v>
      </c>
      <c r="BI630" s="215">
        <f ca="1">IF($D630&lt;&gt;"Serviço",0,IF(AND(AUTOEVENTO="Manual",$M630=1),0,IF(OFFSET(CRONOPLE!$F$14,$M630,BI$13)="",10^12,OFFSET(CRONOPLE!$F$14,$M630,BI$13))))</f>
        <v>1000000000000</v>
      </c>
      <c r="BJ630" s="215">
        <f ca="1">IF($D630&lt;&gt;"Serviço",0,IF(AND(AUTOEVENTO="Manual",$M630=1),0,IF(OFFSET(CRONOPLE!$F$14,$M630,BJ$13)="",10^12,OFFSET(CRONOPLE!$F$14,$M630,BJ$13))))</f>
        <v>1000000000000</v>
      </c>
      <c r="BK630" s="215">
        <f ca="1">IF($D630&lt;&gt;"Serviço",0,IF(AND(AUTOEVENTO="Manual",$M630=1),0,IF(OFFSET(CRONOPLE!$F$14,$M630,BK$13)="",10^12,OFFSET(CRONOPLE!$F$14,$M630,BK$13))))</f>
        <v>1000000000000</v>
      </c>
      <c r="BL630" s="215">
        <f ca="1">IF($D630&lt;&gt;"Serviço",0,IF(AND(AUTOEVENTO="Manual",$M630=1),0,IF(OFFSET(CRONOPLE!$F$14,$M630,BL$13)="",10^12,OFFSET(CRONOPLE!$F$14,$M630,BL$13))))</f>
        <v>1000000000000</v>
      </c>
      <c r="BM630" s="215">
        <f ca="1">IF($D630&lt;&gt;"Serviço",0,IF(AND(AUTOEVENTO="Manual",$M630=1),0,IF(OFFSET(CRONOPLE!$F$14,$M630,BM$13)="",10^12,OFFSET(CRONOPLE!$F$14,$M630,BM$13))))</f>
        <v>1000000000000</v>
      </c>
      <c r="BN630" s="215">
        <f ca="1">IF($D630&lt;&gt;"Serviço",0,IF(AND(AUTOEVENTO="Manual",$M630=1),0,IF(OFFSET(CRONOPLE!$F$14,$M630,BN$13)="",10^12,OFFSET(CRONOPLE!$F$14,$M630,BN$13))))</f>
        <v>1000000000000</v>
      </c>
      <c r="BO630" s="215">
        <f ca="1">IF($D630&lt;&gt;"Serviço",0,IF(AND(AUTOEVENTO="Manual",$M630=1),0,IF(OFFSET(CRONOPLE!$F$14,$M630,BO$13)="",10^12,OFFSET(CRONOPLE!$F$14,$M630,BO$13))))</f>
        <v>1000000000000</v>
      </c>
      <c r="BP630" s="215">
        <f ca="1">IF($D630&lt;&gt;"Serviço",0,IF(AND(AUTOEVENTO="Manual",$M630=1),0,IF(OFFSET(CRONOPLE!$F$14,$M630,BP$13)="",10^12,OFFSET(CRONOPLE!$F$14,$M630,BP$13))))</f>
        <v>1000000000000</v>
      </c>
      <c r="BQ630" s="215">
        <f ca="1">IF($D630&lt;&gt;"Serviço",0,IF(AND(AUTOEVENTO="Manual",$M630=1),0,IF(OFFSET(CRONOPLE!$F$14,$M630,BQ$13)="",10^12,OFFSET(CRONOPLE!$F$14,$M630,BQ$13))))</f>
        <v>1000000000000</v>
      </c>
      <c r="BR630" s="215">
        <f ca="1">IF($D630&lt;&gt;"Serviço",0,IF(AND(AUTOEVENTO="Manual",$M630=1),0,IF(OFFSET(CRONOPLE!$F$14,$M630,BR$13)="",10^12,OFFSET(CRONOPLE!$F$14,$M630,BR$13))))</f>
        <v>1000000000000</v>
      </c>
      <c r="BS630" s="215">
        <f ca="1">IF($D630&lt;&gt;"Serviço",0,IF(AND(AUTOEVENTO="Manual",$M630=1),0,IF(OFFSET(CRONOPLE!$F$14,$M630,BS$13)="",10^12,OFFSET(CRONOPLE!$F$14,$M630,BS$13))))</f>
        <v>1000000000000</v>
      </c>
      <c r="BT630" s="215">
        <f ca="1">IF($D630&lt;&gt;"Serviço",0,IF(AND(AUTOEVENTO="Manual",$M630=1),0,IF(OFFSET(CRONOPLE!$F$14,$M630,BT$13)="",10^12,OFFSET(CRONOPLE!$F$14,$M630,BT$13))))</f>
        <v>1000000000000</v>
      </c>
      <c r="BV630" s="216">
        <f ca="1">IF($D630&lt;&gt;"Serviço",0,IF(OR(AND(AUTOEVENTO="Manual",$M630=1),$M630&gt;(ROW(PLE.lastrow)-ROW(PLE.firstrow))),0,IF(OFFSET(PLE!$G$14,$M630,BV$13)="",10^12,OFFSET(PLE!$G$14,$M630,BV$13))))</f>
        <v>1000000000000</v>
      </c>
      <c r="BW630" s="216">
        <f ca="1">IF($D630&lt;&gt;"Serviço",0,IF(OR(AND(AUTOEVENTO="Manual",$M630=1),$M630&gt;(ROW(PLE.lastrow)-ROW(PLE.firstrow))),0,IF(OFFSET(PLE!$G$14,$M630,BW$13)="",10^12,OFFSET(PLE!$G$14,$M630,BW$13))))</f>
        <v>1000000000000</v>
      </c>
      <c r="BX630" s="216">
        <f ca="1">IF($D630&lt;&gt;"Serviço",0,IF(OR(AND(AUTOEVENTO="Manual",$M630=1),$M630&gt;(ROW(PLE.lastrow)-ROW(PLE.firstrow))),0,IF(OFFSET(PLE!$G$14,$M630,BX$13)="",10^12,OFFSET(PLE!$G$14,$M630,BX$13))))</f>
        <v>1000000000000</v>
      </c>
      <c r="BY630" s="216">
        <f ca="1">IF($D630&lt;&gt;"Serviço",0,IF(OR(AND(AUTOEVENTO="Manual",$M630=1),$M630&gt;(ROW(PLE.lastrow)-ROW(PLE.firstrow))),0,IF(OFFSET(PLE!$G$14,$M630,BY$13)="",10^12,OFFSET(PLE!$G$14,$M630,BY$13))))</f>
        <v>1000000000000</v>
      </c>
      <c r="BZ630" s="216">
        <f ca="1">IF($D630&lt;&gt;"Serviço",0,IF(OR(AND(AUTOEVENTO="Manual",$M630=1),$M630&gt;(ROW(PLE.lastrow)-ROW(PLE.firstrow))),0,IF(OFFSET(PLE!$G$14,$M630,BZ$13)="",10^12,OFFSET(PLE!$G$14,$M630,BZ$13))))</f>
        <v>1000000000000</v>
      </c>
      <c r="CA630" s="216">
        <f ca="1">IF($D630&lt;&gt;"Serviço",0,IF(OR(AND(AUTOEVENTO="Manual",$M630=1),$M630&gt;(ROW(PLE.lastrow)-ROW(PLE.firstrow))),0,IF(OFFSET(PLE!$G$14,$M630,CA$13)="",10^12,OFFSET(PLE!$G$14,$M630,CA$13))))</f>
        <v>1000000000000</v>
      </c>
      <c r="CB630" s="216">
        <f ca="1">IF($D630&lt;&gt;"Serviço",0,IF(OR(AND(AUTOEVENTO="Manual",$M630=1),$M630&gt;(ROW(PLE.lastrow)-ROW(PLE.firstrow))),0,IF(OFFSET(PLE!$G$14,$M630,CB$13)="",10^12,OFFSET(PLE!$G$14,$M630,CB$13))))</f>
        <v>1000000000000</v>
      </c>
      <c r="CC630" s="216">
        <f ca="1">IF($D630&lt;&gt;"Serviço",0,IF(OR(AND(AUTOEVENTO="Manual",$M630=1),$M630&gt;(ROW(PLE.lastrow)-ROW(PLE.firstrow))),0,IF(OFFSET(PLE!$G$14,$M630,CC$13)="",10^12,OFFSET(PLE!$G$14,$M630,CC$13))))</f>
        <v>1000000000000</v>
      </c>
      <c r="CD630" s="216">
        <f ca="1">IF($D630&lt;&gt;"Serviço",0,IF(OR(AND(AUTOEVENTO="Manual",$M630=1),$M630&gt;(ROW(PLE.lastrow)-ROW(PLE.firstrow))),0,IF(OFFSET(PLE!$G$14,$M630,CD$13)="",10^12,OFFSET(PLE!$G$14,$M630,CD$13))))</f>
        <v>1000000000000</v>
      </c>
      <c r="CE630" s="216">
        <f ca="1">IF($D630&lt;&gt;"Serviço",0,IF(OR(AND(AUTOEVENTO="Manual",$M630=1),$M630&gt;(ROW(PLE.lastrow)-ROW(PLE.firstrow))),0,IF(OFFSET(PLE!$G$14,$M630,CE$13)="",10^12,OFFSET(PLE!$G$14,$M630,CE$13))))</f>
        <v>1000000000000</v>
      </c>
      <c r="CF630" s="216">
        <f ca="1">IF($D630&lt;&gt;"Serviço",0,IF(OR(AND(AUTOEVENTO="Manual",$M630=1),$M630&gt;(ROW(PLE.lastrow)-ROW(PLE.firstrow))),0,IF(OFFSET(PLE!$G$14,$M630,CF$13)="",10^12,OFFSET(PLE!$G$14,$M630,CF$13))))</f>
        <v>1000000000000</v>
      </c>
      <c r="CG630" s="216">
        <f ca="1">IF($D630&lt;&gt;"Serviço",0,IF(OR(AND(AUTOEVENTO="Manual",$M630=1),$M630&gt;(ROW(PLE.lastrow)-ROW(PLE.firstrow))),0,IF(OFFSET(PLE!$G$14,$M630,CG$13)="",10^12,OFFSET(PLE!$G$14,$M630,CG$13))))</f>
        <v>1000000000000</v>
      </c>
      <c r="CH630" s="216">
        <f ca="1">IF($D630&lt;&gt;"Serviço",0,IF(OR(AND(AUTOEVENTO="Manual",$M630=1),$M630&gt;(ROW(PLE.lastrow)-ROW(PLE.firstrow))),0,IF(OFFSET(PLE!$G$14,$M630,CH$13)="",10^12,OFFSET(PLE!$G$14,$M630,CH$13))))</f>
        <v>1000000000000</v>
      </c>
      <c r="CI630" s="216">
        <f ca="1">IF($D630&lt;&gt;"Serviço",0,IF(OR(AND(AUTOEVENTO="Manual",$M630=1),$M630&gt;(ROW(PLE.lastrow)-ROW(PLE.firstrow))),0,IF(OFFSET(PLE!$G$14,$M630,CI$13)="",10^12,OFFSET(PLE!$G$14,$M630,CI$13))))</f>
        <v>1000000000000</v>
      </c>
      <c r="CJ630" s="216">
        <f ca="1">IF($D630&lt;&gt;"Serviço",0,IF(OR(AND(AUTOEVENTO="Manual",$M630=1),$M630&gt;(ROW(PLE.lastrow)-ROW(PLE.firstrow))),0,IF(OFFSET(PLE!$G$14,$M630,CJ$13)="",10^12,OFFSET(PLE!$G$14,$M630,CJ$13))))</f>
        <v>1000000000000</v>
      </c>
      <c r="CK630" s="216">
        <f ca="1">IF($D630&lt;&gt;"Serviço",0,IF(OR(AND(AUTOEVENTO="Manual",$M630=1),$M630&gt;(ROW(PLE.lastrow)-ROW(PLE.firstrow))),0,IF(OFFSET(PLE!$G$14,$M630,CK$13)="",10^12,OFFSET(PLE!$G$14,$M630,CK$13))))</f>
        <v>1000000000000</v>
      </c>
      <c r="CL630" s="216">
        <f ca="1">IF($D630&lt;&gt;"Serviço",0,IF(OR(AND(AUTOEVENTO="Manual",$M630=1),$M630&gt;(ROW(PLE.lastrow)-ROW(PLE.firstrow))),0,IF(OFFSET(PLE!$G$14,$M630,CL$13)="",10^12,OFFSET(PLE!$G$14,$M630,CL$13))))</f>
        <v>1000000000000</v>
      </c>
      <c r="CM630" s="216">
        <f ca="1">IF($D630&lt;&gt;"Serviço",0,IF(OR(AND(AUTOEVENTO="Manual",$M630=1),$M630&gt;(ROW(PLE.lastrow)-ROW(PLE.firstrow))),0,IF(OFFSET(PLE!$G$14,$M630,CM$13)="",10^12,OFFSET(PLE!$G$14,$M630,CM$13))))</f>
        <v>1000000000000</v>
      </c>
    </row>
    <row r="631" spans="1:91" ht="13.2" x14ac:dyDescent="0.25">
      <c r="A631" s="9">
        <f t="shared" ca="1" si="19"/>
        <v>0</v>
      </c>
      <c r="B631" s="9" t="str">
        <f ca="1">OFFSET(ORÇAMENTO!C$15,ROW(B631)-ROW(B$15),0)</f>
        <v>S</v>
      </c>
      <c r="C631" s="9" t="str">
        <f ca="1">OFFSET(ORÇAMENTO!L$15,ROW(C631)-ROW(C$15),0)</f>
        <v/>
      </c>
      <c r="D631" s="145" t="str">
        <f ca="1">OFFSET(ORÇAMENTO!N$15,ROW(D631)-ROW(D$15),0)</f>
        <v>Serviço</v>
      </c>
      <c r="E631" s="205" t="str">
        <f ca="1">OFFSET(ORÇAMENTO!O$15,ROW(E631)-ROW(E$15),0)</f>
        <v>-</v>
      </c>
      <c r="F631" s="206" t="str">
        <f ca="1">OFFSET(ORÇAMENTO!R$15,ROW(F631)-ROW(F$15),0)</f>
        <v>(abra o arquivo 'Referência 05-2024.xls)</v>
      </c>
      <c r="G631" s="207" t="str">
        <f ca="1">IF($D631&lt;&gt;"Serviço","",OFFSET(ORÇAMENTO!S$15,ROW(G631)-ROW(G$15),0))</f>
        <v>-</v>
      </c>
      <c r="H631" s="151">
        <f ca="1">IF($D631&lt;&gt;"Serviço",0,IF(ACOMPANHAMENTO="BM",ROUND(OFFSET(ORÇAMENTO!AJ$15,ROW(H631)-ROW(H$15),0),15-13*ORÇAMENTO!$AF$7),SUMPRODUCT(($Q$12:$AI$12&lt;&gt;"")*ROUND($Q631:$AI631,15-13*ORÇAMENTO!$AF$7))))</f>
        <v>1</v>
      </c>
      <c r="I631" s="650"/>
      <c r="K631" s="208"/>
      <c r="L631" s="209" t="s">
        <v>257</v>
      </c>
      <c r="M631" s="210">
        <f ca="1">IF($D631&lt;&gt;"Serviço","",IF(AUTOEVENTO="manual",$A631,IF(ISERROR(MATCH($A631,$A$15:OFFSET($A631,-1,0),0)),MAX($M$15:OFFSET(M631,-1,0))+1,INDEX($M$15:OFFSET(M631,-1,0),MATCH($A631,$A$15:OFFSET($A631,-1,0),0)))))</f>
        <v>0</v>
      </c>
      <c r="N631" s="211" t="str">
        <f ca="1">IF($D631&lt;&gt;"Serviço","",IF(AUTOEVENTO="Manual",IF($A631=0,"&lt;-- defina o número do agrupador",OFFSET(EVENTOS!$D$14,$A631,0)),OFFSET($F$15,$A631,0)))</f>
        <v>&lt;-- defina o número do agrupador</v>
      </c>
      <c r="O631" s="212"/>
      <c r="Q631" s="212"/>
      <c r="R631" s="213"/>
      <c r="S631" s="213"/>
      <c r="T631" s="213"/>
      <c r="U631" s="213"/>
      <c r="V631" s="213"/>
      <c r="W631" s="213"/>
      <c r="X631" s="213"/>
      <c r="Y631" s="213"/>
      <c r="Z631" s="214"/>
      <c r="AA631" s="213"/>
      <c r="AB631" s="213"/>
      <c r="AC631" s="213"/>
      <c r="AD631" s="213"/>
      <c r="AE631" s="213"/>
      <c r="AF631" s="213"/>
      <c r="AG631" s="213"/>
      <c r="AH631" s="214"/>
      <c r="AJ631" s="631">
        <f ca="1">IF(AND($D631="Serviço",AJ$12&lt;&gt;0,$H631&gt;0,OR(AUTOEVENTO&lt;&gt;"manual",$M631&lt;&gt;1)),ROUND(OFFSET($P631,0,AJ$13),15-13*ORÇAMENTO!$AF$7)/$H631*OFFSET(ORÇAMENTO!$X$15,ROW(AJ631)-ROW(AJ$15),0),0)</f>
        <v>0</v>
      </c>
      <c r="AK631" s="632">
        <f ca="1">IF(AND($D631="Serviço",AK$12&lt;&gt;0,$H631&gt;0,OR(AUTOEVENTO&lt;&gt;"manual",$M631&lt;&gt;1)),ROUND(OFFSET($P631,0,AK$13),15-13*ORÇAMENTO!$AF$7)/$H631*OFFSET(ORÇAMENTO!$X$15,ROW(AK631)-ROW(AK$15),0),0)</f>
        <v>0</v>
      </c>
      <c r="AL631" s="632">
        <f ca="1">IF(AND($D631="Serviço",AL$12&lt;&gt;0,$H631&gt;0,OR(AUTOEVENTO&lt;&gt;"manual",$M631&lt;&gt;1)),ROUND(OFFSET($P631,0,AL$13),15-13*ORÇAMENTO!$AF$7)/$H631*OFFSET(ORÇAMENTO!$X$15,ROW(AL631)-ROW(AL$15),0),0)</f>
        <v>0</v>
      </c>
      <c r="AM631" s="632">
        <f ca="1">IF(AND($D631="Serviço",AM$12&lt;&gt;0,$H631&gt;0,OR(AUTOEVENTO&lt;&gt;"manual",$M631&lt;&gt;1)),ROUND(OFFSET($P631,0,AM$13),15-13*ORÇAMENTO!$AF$7)/$H631*OFFSET(ORÇAMENTO!$X$15,ROW(AM631)-ROW(AM$15),0),0)</f>
        <v>0</v>
      </c>
      <c r="AN631" s="632">
        <f ca="1">IF(AND($D631="Serviço",AN$12&lt;&gt;0,$H631&gt;0,OR(AUTOEVENTO&lt;&gt;"manual",$M631&lt;&gt;1)),ROUND(OFFSET($P631,0,AN$13),15-13*ORÇAMENTO!$AF$7)/$H631*OFFSET(ORÇAMENTO!$X$15,ROW(AN631)-ROW(AN$15),0),0)</f>
        <v>0</v>
      </c>
      <c r="AO631" s="632">
        <f ca="1">IF(AND($D631="Serviço",AO$12&lt;&gt;0,$H631&gt;0,OR(AUTOEVENTO&lt;&gt;"manual",$M631&lt;&gt;1)),ROUND(OFFSET($P631,0,AO$13),15-13*ORÇAMENTO!$AF$7)/$H631*OFFSET(ORÇAMENTO!$X$15,ROW(AO631)-ROW(AO$15),0),0)</f>
        <v>0</v>
      </c>
      <c r="AP631" s="632">
        <f ca="1">IF(AND($D631="Serviço",AP$12&lt;&gt;0,$H631&gt;0,OR(AUTOEVENTO&lt;&gt;"manual",$M631&lt;&gt;1)),ROUND(OFFSET($P631,0,AP$13),15-13*ORÇAMENTO!$AF$7)/$H631*OFFSET(ORÇAMENTO!$X$15,ROW(AP631)-ROW(AP$15),0),0)</f>
        <v>0</v>
      </c>
      <c r="AQ631" s="632">
        <f ca="1">IF(AND($D631="Serviço",AQ$12&lt;&gt;0,$H631&gt;0,OR(AUTOEVENTO&lt;&gt;"manual",$M631&lt;&gt;1)),ROUND(OFFSET($P631,0,AQ$13),15-13*ORÇAMENTO!$AF$7)/$H631*OFFSET(ORÇAMENTO!$X$15,ROW(AQ631)-ROW(AQ$15),0),0)</f>
        <v>0</v>
      </c>
      <c r="AR631" s="632">
        <f ca="1">IF(AND($D631="Serviço",AR$12&lt;&gt;0,$H631&gt;0,OR(AUTOEVENTO&lt;&gt;"manual",$M631&lt;&gt;1)),ROUND(OFFSET($P631,0,AR$13),15-13*ORÇAMENTO!$AF$7)/$H631*OFFSET(ORÇAMENTO!$X$15,ROW(AR631)-ROW(AR$15),0),0)</f>
        <v>0</v>
      </c>
      <c r="AS631" s="633">
        <f ca="1">IF(AND($D631="Serviço",AS$12&lt;&gt;0,$H631&gt;0,OR(AUTOEVENTO&lt;&gt;"manual",$M631&lt;&gt;1)),ROUND(OFFSET($P631,0,AS$13),15-13*ORÇAMENTO!$AF$7)/$H631*OFFSET(ORÇAMENTO!$X$15,ROW(AS631)-ROW(AS$15),0),0)</f>
        <v>0</v>
      </c>
      <c r="AT631" s="632">
        <f ca="1">IF(AND($D631="Serviço",AT$12&lt;&gt;0,$H631&gt;0,OR(AUTOEVENTO&lt;&gt;"manual",$M631&lt;&gt;1)),ROUND(OFFSET($P631,0,AT$13),15-13*ORÇAMENTO!$AF$7)/$H631*OFFSET(ORÇAMENTO!$X$15,ROW(AT631)-ROW(AT$15),0),0)</f>
        <v>0</v>
      </c>
      <c r="AU631" s="632">
        <f ca="1">IF(AND($D631="Serviço",AU$12&lt;&gt;0,$H631&gt;0,OR(AUTOEVENTO&lt;&gt;"manual",$M631&lt;&gt;1)),ROUND(OFFSET($P631,0,AU$13),15-13*ORÇAMENTO!$AF$7)/$H631*OFFSET(ORÇAMENTO!$X$15,ROW(AU631)-ROW(AU$15),0),0)</f>
        <v>0</v>
      </c>
      <c r="AV631" s="632">
        <f ca="1">IF(AND($D631="Serviço",AV$12&lt;&gt;0,$H631&gt;0,OR(AUTOEVENTO&lt;&gt;"manual",$M631&lt;&gt;1)),ROUND(OFFSET($P631,0,AV$13),15-13*ORÇAMENTO!$AF$7)/$H631*OFFSET(ORÇAMENTO!$X$15,ROW(AV631)-ROW(AV$15),0),0)</f>
        <v>0</v>
      </c>
      <c r="AW631" s="632">
        <f ca="1">IF(AND($D631="Serviço",AW$12&lt;&gt;0,$H631&gt;0,OR(AUTOEVENTO&lt;&gt;"manual",$M631&lt;&gt;1)),ROUND(OFFSET($P631,0,AW$13),15-13*ORÇAMENTO!$AF$7)/$H631*OFFSET(ORÇAMENTO!$X$15,ROW(AW631)-ROW(AW$15),0),0)</f>
        <v>0</v>
      </c>
      <c r="AX631" s="632">
        <f ca="1">IF(AND($D631="Serviço",AX$12&lt;&gt;0,$H631&gt;0,OR(AUTOEVENTO&lt;&gt;"manual",$M631&lt;&gt;1)),ROUND(OFFSET($P631,0,AX$13),15-13*ORÇAMENTO!$AF$7)/$H631*OFFSET(ORÇAMENTO!$X$15,ROW(AX631)-ROW(AX$15),0),0)</f>
        <v>0</v>
      </c>
      <c r="AY631" s="632">
        <f ca="1">IF(AND($D631="Serviço",AY$12&lt;&gt;0,$H631&gt;0,OR(AUTOEVENTO&lt;&gt;"manual",$M631&lt;&gt;1)),ROUND(OFFSET($P631,0,AY$13),15-13*ORÇAMENTO!$AF$7)/$H631*OFFSET(ORÇAMENTO!$X$15,ROW(AY631)-ROW(AY$15),0),0)</f>
        <v>0</v>
      </c>
      <c r="AZ631" s="632">
        <f ca="1">IF(AND($D631="Serviço",AZ$12&lt;&gt;0,$H631&gt;0,OR(AUTOEVENTO&lt;&gt;"manual",$M631&lt;&gt;1)),ROUND(OFFSET($P631,0,AZ$13),15-13*ORÇAMENTO!$AF$7)/$H631*OFFSET(ORÇAMENTO!$X$15,ROW(AZ631)-ROW(AZ$15),0),0)</f>
        <v>0</v>
      </c>
      <c r="BA631" s="633">
        <f ca="1">IF(AND($D631="Serviço",BA$12&lt;&gt;0,$H631&gt;0,OR(AUTOEVENTO&lt;&gt;"manual",$M631&lt;&gt;1)),ROUND(OFFSET($P631,0,BA$13),15-13*ORÇAMENTO!$AF$7)/$H631*OFFSET(ORÇAMENTO!$X$15,ROW(BA631)-ROW(BA$15),0),0)</f>
        <v>0</v>
      </c>
      <c r="BC631" s="215">
        <f ca="1">IF($D631&lt;&gt;"Serviço",0,IF(AND(AUTOEVENTO="Manual",$M631=1),0,IF(OFFSET(CRONOPLE!$F$14,$M631,BC$13)="",10^12,OFFSET(CRONOPLE!$F$14,$M631,BC$13))))</f>
        <v>1000000000000</v>
      </c>
      <c r="BD631" s="215">
        <f ca="1">IF($D631&lt;&gt;"Serviço",0,IF(AND(AUTOEVENTO="Manual",$M631=1),0,IF(OFFSET(CRONOPLE!$F$14,$M631,BD$13)="",10^12,OFFSET(CRONOPLE!$F$14,$M631,BD$13))))</f>
        <v>1000000000000</v>
      </c>
      <c r="BE631" s="215">
        <f ca="1">IF($D631&lt;&gt;"Serviço",0,IF(AND(AUTOEVENTO="Manual",$M631=1),0,IF(OFFSET(CRONOPLE!$F$14,$M631,BE$13)="",10^12,OFFSET(CRONOPLE!$F$14,$M631,BE$13))))</f>
        <v>1000000000000</v>
      </c>
      <c r="BF631" s="215">
        <f ca="1">IF($D631&lt;&gt;"Serviço",0,IF(AND(AUTOEVENTO="Manual",$M631=1),0,IF(OFFSET(CRONOPLE!$F$14,$M631,BF$13)="",10^12,OFFSET(CRONOPLE!$F$14,$M631,BF$13))))</f>
        <v>1000000000000</v>
      </c>
      <c r="BG631" s="215">
        <f ca="1">IF($D631&lt;&gt;"Serviço",0,IF(AND(AUTOEVENTO="Manual",$M631=1),0,IF(OFFSET(CRONOPLE!$F$14,$M631,BG$13)="",10^12,OFFSET(CRONOPLE!$F$14,$M631,BG$13))))</f>
        <v>1000000000000</v>
      </c>
      <c r="BH631" s="215">
        <f ca="1">IF($D631&lt;&gt;"Serviço",0,IF(AND(AUTOEVENTO="Manual",$M631=1),0,IF(OFFSET(CRONOPLE!$F$14,$M631,BH$13)="",10^12,OFFSET(CRONOPLE!$F$14,$M631,BH$13))))</f>
        <v>1000000000000</v>
      </c>
      <c r="BI631" s="215">
        <f ca="1">IF($D631&lt;&gt;"Serviço",0,IF(AND(AUTOEVENTO="Manual",$M631=1),0,IF(OFFSET(CRONOPLE!$F$14,$M631,BI$13)="",10^12,OFFSET(CRONOPLE!$F$14,$M631,BI$13))))</f>
        <v>1000000000000</v>
      </c>
      <c r="BJ631" s="215">
        <f ca="1">IF($D631&lt;&gt;"Serviço",0,IF(AND(AUTOEVENTO="Manual",$M631=1),0,IF(OFFSET(CRONOPLE!$F$14,$M631,BJ$13)="",10^12,OFFSET(CRONOPLE!$F$14,$M631,BJ$13))))</f>
        <v>1000000000000</v>
      </c>
      <c r="BK631" s="215">
        <f ca="1">IF($D631&lt;&gt;"Serviço",0,IF(AND(AUTOEVENTO="Manual",$M631=1),0,IF(OFFSET(CRONOPLE!$F$14,$M631,BK$13)="",10^12,OFFSET(CRONOPLE!$F$14,$M631,BK$13))))</f>
        <v>1000000000000</v>
      </c>
      <c r="BL631" s="215">
        <f ca="1">IF($D631&lt;&gt;"Serviço",0,IF(AND(AUTOEVENTO="Manual",$M631=1),0,IF(OFFSET(CRONOPLE!$F$14,$M631,BL$13)="",10^12,OFFSET(CRONOPLE!$F$14,$M631,BL$13))))</f>
        <v>1000000000000</v>
      </c>
      <c r="BM631" s="215">
        <f ca="1">IF($D631&lt;&gt;"Serviço",0,IF(AND(AUTOEVENTO="Manual",$M631=1),0,IF(OFFSET(CRONOPLE!$F$14,$M631,BM$13)="",10^12,OFFSET(CRONOPLE!$F$14,$M631,BM$13))))</f>
        <v>1000000000000</v>
      </c>
      <c r="BN631" s="215">
        <f ca="1">IF($D631&lt;&gt;"Serviço",0,IF(AND(AUTOEVENTO="Manual",$M631=1),0,IF(OFFSET(CRONOPLE!$F$14,$M631,BN$13)="",10^12,OFFSET(CRONOPLE!$F$14,$M631,BN$13))))</f>
        <v>1000000000000</v>
      </c>
      <c r="BO631" s="215">
        <f ca="1">IF($D631&lt;&gt;"Serviço",0,IF(AND(AUTOEVENTO="Manual",$M631=1),0,IF(OFFSET(CRONOPLE!$F$14,$M631,BO$13)="",10^12,OFFSET(CRONOPLE!$F$14,$M631,BO$13))))</f>
        <v>1000000000000</v>
      </c>
      <c r="BP631" s="215">
        <f ca="1">IF($D631&lt;&gt;"Serviço",0,IF(AND(AUTOEVENTO="Manual",$M631=1),0,IF(OFFSET(CRONOPLE!$F$14,$M631,BP$13)="",10^12,OFFSET(CRONOPLE!$F$14,$M631,BP$13))))</f>
        <v>1000000000000</v>
      </c>
      <c r="BQ631" s="215">
        <f ca="1">IF($D631&lt;&gt;"Serviço",0,IF(AND(AUTOEVENTO="Manual",$M631=1),0,IF(OFFSET(CRONOPLE!$F$14,$M631,BQ$13)="",10^12,OFFSET(CRONOPLE!$F$14,$M631,BQ$13))))</f>
        <v>1000000000000</v>
      </c>
      <c r="BR631" s="215">
        <f ca="1">IF($D631&lt;&gt;"Serviço",0,IF(AND(AUTOEVENTO="Manual",$M631=1),0,IF(OFFSET(CRONOPLE!$F$14,$M631,BR$13)="",10^12,OFFSET(CRONOPLE!$F$14,$M631,BR$13))))</f>
        <v>1000000000000</v>
      </c>
      <c r="BS631" s="215">
        <f ca="1">IF($D631&lt;&gt;"Serviço",0,IF(AND(AUTOEVENTO="Manual",$M631=1),0,IF(OFFSET(CRONOPLE!$F$14,$M631,BS$13)="",10^12,OFFSET(CRONOPLE!$F$14,$M631,BS$13))))</f>
        <v>1000000000000</v>
      </c>
      <c r="BT631" s="215">
        <f ca="1">IF($D631&lt;&gt;"Serviço",0,IF(AND(AUTOEVENTO="Manual",$M631=1),0,IF(OFFSET(CRONOPLE!$F$14,$M631,BT$13)="",10^12,OFFSET(CRONOPLE!$F$14,$M631,BT$13))))</f>
        <v>1000000000000</v>
      </c>
      <c r="BV631" s="216">
        <f ca="1">IF($D631&lt;&gt;"Serviço",0,IF(OR(AND(AUTOEVENTO="Manual",$M631=1),$M631&gt;(ROW(PLE.lastrow)-ROW(PLE.firstrow))),0,IF(OFFSET(PLE!$G$14,$M631,BV$13)="",10^12,OFFSET(PLE!$G$14,$M631,BV$13))))</f>
        <v>1000000000000</v>
      </c>
      <c r="BW631" s="216">
        <f ca="1">IF($D631&lt;&gt;"Serviço",0,IF(OR(AND(AUTOEVENTO="Manual",$M631=1),$M631&gt;(ROW(PLE.lastrow)-ROW(PLE.firstrow))),0,IF(OFFSET(PLE!$G$14,$M631,BW$13)="",10^12,OFFSET(PLE!$G$14,$M631,BW$13))))</f>
        <v>1000000000000</v>
      </c>
      <c r="BX631" s="216">
        <f ca="1">IF($D631&lt;&gt;"Serviço",0,IF(OR(AND(AUTOEVENTO="Manual",$M631=1),$M631&gt;(ROW(PLE.lastrow)-ROW(PLE.firstrow))),0,IF(OFFSET(PLE!$G$14,$M631,BX$13)="",10^12,OFFSET(PLE!$G$14,$M631,BX$13))))</f>
        <v>1000000000000</v>
      </c>
      <c r="BY631" s="216">
        <f ca="1">IF($D631&lt;&gt;"Serviço",0,IF(OR(AND(AUTOEVENTO="Manual",$M631=1),$M631&gt;(ROW(PLE.lastrow)-ROW(PLE.firstrow))),0,IF(OFFSET(PLE!$G$14,$M631,BY$13)="",10^12,OFFSET(PLE!$G$14,$M631,BY$13))))</f>
        <v>1000000000000</v>
      </c>
      <c r="BZ631" s="216">
        <f ca="1">IF($D631&lt;&gt;"Serviço",0,IF(OR(AND(AUTOEVENTO="Manual",$M631=1),$M631&gt;(ROW(PLE.lastrow)-ROW(PLE.firstrow))),0,IF(OFFSET(PLE!$G$14,$M631,BZ$13)="",10^12,OFFSET(PLE!$G$14,$M631,BZ$13))))</f>
        <v>1000000000000</v>
      </c>
      <c r="CA631" s="216">
        <f ca="1">IF($D631&lt;&gt;"Serviço",0,IF(OR(AND(AUTOEVENTO="Manual",$M631=1),$M631&gt;(ROW(PLE.lastrow)-ROW(PLE.firstrow))),0,IF(OFFSET(PLE!$G$14,$M631,CA$13)="",10^12,OFFSET(PLE!$G$14,$M631,CA$13))))</f>
        <v>1000000000000</v>
      </c>
      <c r="CB631" s="216">
        <f ca="1">IF($D631&lt;&gt;"Serviço",0,IF(OR(AND(AUTOEVENTO="Manual",$M631=1),$M631&gt;(ROW(PLE.lastrow)-ROW(PLE.firstrow))),0,IF(OFFSET(PLE!$G$14,$M631,CB$13)="",10^12,OFFSET(PLE!$G$14,$M631,CB$13))))</f>
        <v>1000000000000</v>
      </c>
      <c r="CC631" s="216">
        <f ca="1">IF($D631&lt;&gt;"Serviço",0,IF(OR(AND(AUTOEVENTO="Manual",$M631=1),$M631&gt;(ROW(PLE.lastrow)-ROW(PLE.firstrow))),0,IF(OFFSET(PLE!$G$14,$M631,CC$13)="",10^12,OFFSET(PLE!$G$14,$M631,CC$13))))</f>
        <v>1000000000000</v>
      </c>
      <c r="CD631" s="216">
        <f ca="1">IF($D631&lt;&gt;"Serviço",0,IF(OR(AND(AUTOEVENTO="Manual",$M631=1),$M631&gt;(ROW(PLE.lastrow)-ROW(PLE.firstrow))),0,IF(OFFSET(PLE!$G$14,$M631,CD$13)="",10^12,OFFSET(PLE!$G$14,$M631,CD$13))))</f>
        <v>1000000000000</v>
      </c>
      <c r="CE631" s="216">
        <f ca="1">IF($D631&lt;&gt;"Serviço",0,IF(OR(AND(AUTOEVENTO="Manual",$M631=1),$M631&gt;(ROW(PLE.lastrow)-ROW(PLE.firstrow))),0,IF(OFFSET(PLE!$G$14,$M631,CE$13)="",10^12,OFFSET(PLE!$G$14,$M631,CE$13))))</f>
        <v>1000000000000</v>
      </c>
      <c r="CF631" s="216">
        <f ca="1">IF($D631&lt;&gt;"Serviço",0,IF(OR(AND(AUTOEVENTO="Manual",$M631=1),$M631&gt;(ROW(PLE.lastrow)-ROW(PLE.firstrow))),0,IF(OFFSET(PLE!$G$14,$M631,CF$13)="",10^12,OFFSET(PLE!$G$14,$M631,CF$13))))</f>
        <v>1000000000000</v>
      </c>
      <c r="CG631" s="216">
        <f ca="1">IF($D631&lt;&gt;"Serviço",0,IF(OR(AND(AUTOEVENTO="Manual",$M631=1),$M631&gt;(ROW(PLE.lastrow)-ROW(PLE.firstrow))),0,IF(OFFSET(PLE!$G$14,$M631,CG$13)="",10^12,OFFSET(PLE!$G$14,$M631,CG$13))))</f>
        <v>1000000000000</v>
      </c>
      <c r="CH631" s="216">
        <f ca="1">IF($D631&lt;&gt;"Serviço",0,IF(OR(AND(AUTOEVENTO="Manual",$M631=1),$M631&gt;(ROW(PLE.lastrow)-ROW(PLE.firstrow))),0,IF(OFFSET(PLE!$G$14,$M631,CH$13)="",10^12,OFFSET(PLE!$G$14,$M631,CH$13))))</f>
        <v>1000000000000</v>
      </c>
      <c r="CI631" s="216">
        <f ca="1">IF($D631&lt;&gt;"Serviço",0,IF(OR(AND(AUTOEVENTO="Manual",$M631=1),$M631&gt;(ROW(PLE.lastrow)-ROW(PLE.firstrow))),0,IF(OFFSET(PLE!$G$14,$M631,CI$13)="",10^12,OFFSET(PLE!$G$14,$M631,CI$13))))</f>
        <v>1000000000000</v>
      </c>
      <c r="CJ631" s="216">
        <f ca="1">IF($D631&lt;&gt;"Serviço",0,IF(OR(AND(AUTOEVENTO="Manual",$M631=1),$M631&gt;(ROW(PLE.lastrow)-ROW(PLE.firstrow))),0,IF(OFFSET(PLE!$G$14,$M631,CJ$13)="",10^12,OFFSET(PLE!$G$14,$M631,CJ$13))))</f>
        <v>1000000000000</v>
      </c>
      <c r="CK631" s="216">
        <f ca="1">IF($D631&lt;&gt;"Serviço",0,IF(OR(AND(AUTOEVENTO="Manual",$M631=1),$M631&gt;(ROW(PLE.lastrow)-ROW(PLE.firstrow))),0,IF(OFFSET(PLE!$G$14,$M631,CK$13)="",10^12,OFFSET(PLE!$G$14,$M631,CK$13))))</f>
        <v>1000000000000</v>
      </c>
      <c r="CL631" s="216">
        <f ca="1">IF($D631&lt;&gt;"Serviço",0,IF(OR(AND(AUTOEVENTO="Manual",$M631=1),$M631&gt;(ROW(PLE.lastrow)-ROW(PLE.firstrow))),0,IF(OFFSET(PLE!$G$14,$M631,CL$13)="",10^12,OFFSET(PLE!$G$14,$M631,CL$13))))</f>
        <v>1000000000000</v>
      </c>
      <c r="CM631" s="216">
        <f ca="1">IF($D631&lt;&gt;"Serviço",0,IF(OR(AND(AUTOEVENTO="Manual",$M631=1),$M631&gt;(ROW(PLE.lastrow)-ROW(PLE.firstrow))),0,IF(OFFSET(PLE!$G$14,$M631,CM$13)="",10^12,OFFSET(PLE!$G$14,$M631,CM$13))))</f>
        <v>1000000000000</v>
      </c>
    </row>
    <row r="632" spans="1:91" ht="13.2" x14ac:dyDescent="0.25">
      <c r="A632" s="9">
        <f t="shared" ca="1" si="19"/>
        <v>0</v>
      </c>
      <c r="B632" s="9" t="str">
        <f ca="1">OFFSET(ORÇAMENTO!C$15,ROW(B632)-ROW(B$15),0)</f>
        <v>S</v>
      </c>
      <c r="C632" s="9" t="str">
        <f ca="1">OFFSET(ORÇAMENTO!L$15,ROW(C632)-ROW(C$15),0)</f>
        <v/>
      </c>
      <c r="D632" s="145" t="str">
        <f ca="1">OFFSET(ORÇAMENTO!N$15,ROW(D632)-ROW(D$15),0)</f>
        <v>Serviço</v>
      </c>
      <c r="E632" s="205" t="str">
        <f ca="1">OFFSET(ORÇAMENTO!O$15,ROW(E632)-ROW(E$15),0)</f>
        <v>-</v>
      </c>
      <c r="F632" s="206" t="str">
        <f ca="1">OFFSET(ORÇAMENTO!R$15,ROW(F632)-ROW(F$15),0)</f>
        <v>(abra o arquivo 'Referência 05-2024.xls)</v>
      </c>
      <c r="G632" s="207" t="str">
        <f ca="1">IF($D632&lt;&gt;"Serviço","",OFFSET(ORÇAMENTO!S$15,ROW(G632)-ROW(G$15),0))</f>
        <v>-</v>
      </c>
      <c r="H632" s="151">
        <f ca="1">IF($D632&lt;&gt;"Serviço",0,IF(ACOMPANHAMENTO="BM",ROUND(OFFSET(ORÇAMENTO!AJ$15,ROW(H632)-ROW(H$15),0),15-13*ORÇAMENTO!$AF$7),SUMPRODUCT(($Q$12:$AI$12&lt;&gt;"")*ROUND($Q632:$AI632,15-13*ORÇAMENTO!$AF$7))))</f>
        <v>1</v>
      </c>
      <c r="I632" s="650"/>
      <c r="K632" s="208"/>
      <c r="L632" s="209" t="s">
        <v>257</v>
      </c>
      <c r="M632" s="210">
        <f ca="1">IF($D632&lt;&gt;"Serviço","",IF(AUTOEVENTO="manual",$A632,IF(ISERROR(MATCH($A632,$A$15:OFFSET($A632,-1,0),0)),MAX($M$15:OFFSET(M632,-1,0))+1,INDEX($M$15:OFFSET(M632,-1,0),MATCH($A632,$A$15:OFFSET($A632,-1,0),0)))))</f>
        <v>0</v>
      </c>
      <c r="N632" s="211" t="str">
        <f ca="1">IF($D632&lt;&gt;"Serviço","",IF(AUTOEVENTO="Manual",IF($A632=0,"&lt;-- defina o número do agrupador",OFFSET(EVENTOS!$D$14,$A632,0)),OFFSET($F$15,$A632,0)))</f>
        <v>&lt;-- defina o número do agrupador</v>
      </c>
      <c r="O632" s="212"/>
      <c r="Q632" s="212"/>
      <c r="R632" s="213"/>
      <c r="S632" s="213"/>
      <c r="T632" s="213"/>
      <c r="U632" s="213"/>
      <c r="V632" s="213"/>
      <c r="W632" s="213"/>
      <c r="X632" s="213"/>
      <c r="Y632" s="213"/>
      <c r="Z632" s="214"/>
      <c r="AA632" s="213"/>
      <c r="AB632" s="213"/>
      <c r="AC632" s="213"/>
      <c r="AD632" s="213"/>
      <c r="AE632" s="213"/>
      <c r="AF632" s="213"/>
      <c r="AG632" s="213"/>
      <c r="AH632" s="214"/>
      <c r="AJ632" s="631">
        <f ca="1">IF(AND($D632="Serviço",AJ$12&lt;&gt;0,$H632&gt;0,OR(AUTOEVENTO&lt;&gt;"manual",$M632&lt;&gt;1)),ROUND(OFFSET($P632,0,AJ$13),15-13*ORÇAMENTO!$AF$7)/$H632*OFFSET(ORÇAMENTO!$X$15,ROW(AJ632)-ROW(AJ$15),0),0)</f>
        <v>0</v>
      </c>
      <c r="AK632" s="632">
        <f ca="1">IF(AND($D632="Serviço",AK$12&lt;&gt;0,$H632&gt;0,OR(AUTOEVENTO&lt;&gt;"manual",$M632&lt;&gt;1)),ROUND(OFFSET($P632,0,AK$13),15-13*ORÇAMENTO!$AF$7)/$H632*OFFSET(ORÇAMENTO!$X$15,ROW(AK632)-ROW(AK$15),0),0)</f>
        <v>0</v>
      </c>
      <c r="AL632" s="632">
        <f ca="1">IF(AND($D632="Serviço",AL$12&lt;&gt;0,$H632&gt;0,OR(AUTOEVENTO&lt;&gt;"manual",$M632&lt;&gt;1)),ROUND(OFFSET($P632,0,AL$13),15-13*ORÇAMENTO!$AF$7)/$H632*OFFSET(ORÇAMENTO!$X$15,ROW(AL632)-ROW(AL$15),0),0)</f>
        <v>0</v>
      </c>
      <c r="AM632" s="632">
        <f ca="1">IF(AND($D632="Serviço",AM$12&lt;&gt;0,$H632&gt;0,OR(AUTOEVENTO&lt;&gt;"manual",$M632&lt;&gt;1)),ROUND(OFFSET($P632,0,AM$13),15-13*ORÇAMENTO!$AF$7)/$H632*OFFSET(ORÇAMENTO!$X$15,ROW(AM632)-ROW(AM$15),0),0)</f>
        <v>0</v>
      </c>
      <c r="AN632" s="632">
        <f ca="1">IF(AND($D632="Serviço",AN$12&lt;&gt;0,$H632&gt;0,OR(AUTOEVENTO&lt;&gt;"manual",$M632&lt;&gt;1)),ROUND(OFFSET($P632,0,AN$13),15-13*ORÇAMENTO!$AF$7)/$H632*OFFSET(ORÇAMENTO!$X$15,ROW(AN632)-ROW(AN$15),0),0)</f>
        <v>0</v>
      </c>
      <c r="AO632" s="632">
        <f ca="1">IF(AND($D632="Serviço",AO$12&lt;&gt;0,$H632&gt;0,OR(AUTOEVENTO&lt;&gt;"manual",$M632&lt;&gt;1)),ROUND(OFFSET($P632,0,AO$13),15-13*ORÇAMENTO!$AF$7)/$H632*OFFSET(ORÇAMENTO!$X$15,ROW(AO632)-ROW(AO$15),0),0)</f>
        <v>0</v>
      </c>
      <c r="AP632" s="632">
        <f ca="1">IF(AND($D632="Serviço",AP$12&lt;&gt;0,$H632&gt;0,OR(AUTOEVENTO&lt;&gt;"manual",$M632&lt;&gt;1)),ROUND(OFFSET($P632,0,AP$13),15-13*ORÇAMENTO!$AF$7)/$H632*OFFSET(ORÇAMENTO!$X$15,ROW(AP632)-ROW(AP$15),0),0)</f>
        <v>0</v>
      </c>
      <c r="AQ632" s="632">
        <f ca="1">IF(AND($D632="Serviço",AQ$12&lt;&gt;0,$H632&gt;0,OR(AUTOEVENTO&lt;&gt;"manual",$M632&lt;&gt;1)),ROUND(OFFSET($P632,0,AQ$13),15-13*ORÇAMENTO!$AF$7)/$H632*OFFSET(ORÇAMENTO!$X$15,ROW(AQ632)-ROW(AQ$15),0),0)</f>
        <v>0</v>
      </c>
      <c r="AR632" s="632">
        <f ca="1">IF(AND($D632="Serviço",AR$12&lt;&gt;0,$H632&gt;0,OR(AUTOEVENTO&lt;&gt;"manual",$M632&lt;&gt;1)),ROUND(OFFSET($P632,0,AR$13),15-13*ORÇAMENTO!$AF$7)/$H632*OFFSET(ORÇAMENTO!$X$15,ROW(AR632)-ROW(AR$15),0),0)</f>
        <v>0</v>
      </c>
      <c r="AS632" s="633">
        <f ca="1">IF(AND($D632="Serviço",AS$12&lt;&gt;0,$H632&gt;0,OR(AUTOEVENTO&lt;&gt;"manual",$M632&lt;&gt;1)),ROUND(OFFSET($P632,0,AS$13),15-13*ORÇAMENTO!$AF$7)/$H632*OFFSET(ORÇAMENTO!$X$15,ROW(AS632)-ROW(AS$15),0),0)</f>
        <v>0</v>
      </c>
      <c r="AT632" s="632">
        <f ca="1">IF(AND($D632="Serviço",AT$12&lt;&gt;0,$H632&gt;0,OR(AUTOEVENTO&lt;&gt;"manual",$M632&lt;&gt;1)),ROUND(OFFSET($P632,0,AT$13),15-13*ORÇAMENTO!$AF$7)/$H632*OFFSET(ORÇAMENTO!$X$15,ROW(AT632)-ROW(AT$15),0),0)</f>
        <v>0</v>
      </c>
      <c r="AU632" s="632">
        <f ca="1">IF(AND($D632="Serviço",AU$12&lt;&gt;0,$H632&gt;0,OR(AUTOEVENTO&lt;&gt;"manual",$M632&lt;&gt;1)),ROUND(OFFSET($P632,0,AU$13),15-13*ORÇAMENTO!$AF$7)/$H632*OFFSET(ORÇAMENTO!$X$15,ROW(AU632)-ROW(AU$15),0),0)</f>
        <v>0</v>
      </c>
      <c r="AV632" s="632">
        <f ca="1">IF(AND($D632="Serviço",AV$12&lt;&gt;0,$H632&gt;0,OR(AUTOEVENTO&lt;&gt;"manual",$M632&lt;&gt;1)),ROUND(OFFSET($P632,0,AV$13),15-13*ORÇAMENTO!$AF$7)/$H632*OFFSET(ORÇAMENTO!$X$15,ROW(AV632)-ROW(AV$15),0),0)</f>
        <v>0</v>
      </c>
      <c r="AW632" s="632">
        <f ca="1">IF(AND($D632="Serviço",AW$12&lt;&gt;0,$H632&gt;0,OR(AUTOEVENTO&lt;&gt;"manual",$M632&lt;&gt;1)),ROUND(OFFSET($P632,0,AW$13),15-13*ORÇAMENTO!$AF$7)/$H632*OFFSET(ORÇAMENTO!$X$15,ROW(AW632)-ROW(AW$15),0),0)</f>
        <v>0</v>
      </c>
      <c r="AX632" s="632">
        <f ca="1">IF(AND($D632="Serviço",AX$12&lt;&gt;0,$H632&gt;0,OR(AUTOEVENTO&lt;&gt;"manual",$M632&lt;&gt;1)),ROUND(OFFSET($P632,0,AX$13),15-13*ORÇAMENTO!$AF$7)/$H632*OFFSET(ORÇAMENTO!$X$15,ROW(AX632)-ROW(AX$15),0),0)</f>
        <v>0</v>
      </c>
      <c r="AY632" s="632">
        <f ca="1">IF(AND($D632="Serviço",AY$12&lt;&gt;0,$H632&gt;0,OR(AUTOEVENTO&lt;&gt;"manual",$M632&lt;&gt;1)),ROUND(OFFSET($P632,0,AY$13),15-13*ORÇAMENTO!$AF$7)/$H632*OFFSET(ORÇAMENTO!$X$15,ROW(AY632)-ROW(AY$15),0),0)</f>
        <v>0</v>
      </c>
      <c r="AZ632" s="632">
        <f ca="1">IF(AND($D632="Serviço",AZ$12&lt;&gt;0,$H632&gt;0,OR(AUTOEVENTO&lt;&gt;"manual",$M632&lt;&gt;1)),ROUND(OFFSET($P632,0,AZ$13),15-13*ORÇAMENTO!$AF$7)/$H632*OFFSET(ORÇAMENTO!$X$15,ROW(AZ632)-ROW(AZ$15),0),0)</f>
        <v>0</v>
      </c>
      <c r="BA632" s="633">
        <f ca="1">IF(AND($D632="Serviço",BA$12&lt;&gt;0,$H632&gt;0,OR(AUTOEVENTO&lt;&gt;"manual",$M632&lt;&gt;1)),ROUND(OFFSET($P632,0,BA$13),15-13*ORÇAMENTO!$AF$7)/$H632*OFFSET(ORÇAMENTO!$X$15,ROW(BA632)-ROW(BA$15),0),0)</f>
        <v>0</v>
      </c>
      <c r="BC632" s="215">
        <f ca="1">IF($D632&lt;&gt;"Serviço",0,IF(AND(AUTOEVENTO="Manual",$M632=1),0,IF(OFFSET(CRONOPLE!$F$14,$M632,BC$13)="",10^12,OFFSET(CRONOPLE!$F$14,$M632,BC$13))))</f>
        <v>1000000000000</v>
      </c>
      <c r="BD632" s="215">
        <f ca="1">IF($D632&lt;&gt;"Serviço",0,IF(AND(AUTOEVENTO="Manual",$M632=1),0,IF(OFFSET(CRONOPLE!$F$14,$M632,BD$13)="",10^12,OFFSET(CRONOPLE!$F$14,$M632,BD$13))))</f>
        <v>1000000000000</v>
      </c>
      <c r="BE632" s="215">
        <f ca="1">IF($D632&lt;&gt;"Serviço",0,IF(AND(AUTOEVENTO="Manual",$M632=1),0,IF(OFFSET(CRONOPLE!$F$14,$M632,BE$13)="",10^12,OFFSET(CRONOPLE!$F$14,$M632,BE$13))))</f>
        <v>1000000000000</v>
      </c>
      <c r="BF632" s="215">
        <f ca="1">IF($D632&lt;&gt;"Serviço",0,IF(AND(AUTOEVENTO="Manual",$M632=1),0,IF(OFFSET(CRONOPLE!$F$14,$M632,BF$13)="",10^12,OFFSET(CRONOPLE!$F$14,$M632,BF$13))))</f>
        <v>1000000000000</v>
      </c>
      <c r="BG632" s="215">
        <f ca="1">IF($D632&lt;&gt;"Serviço",0,IF(AND(AUTOEVENTO="Manual",$M632=1),0,IF(OFFSET(CRONOPLE!$F$14,$M632,BG$13)="",10^12,OFFSET(CRONOPLE!$F$14,$M632,BG$13))))</f>
        <v>1000000000000</v>
      </c>
      <c r="BH632" s="215">
        <f ca="1">IF($D632&lt;&gt;"Serviço",0,IF(AND(AUTOEVENTO="Manual",$M632=1),0,IF(OFFSET(CRONOPLE!$F$14,$M632,BH$13)="",10^12,OFFSET(CRONOPLE!$F$14,$M632,BH$13))))</f>
        <v>1000000000000</v>
      </c>
      <c r="BI632" s="215">
        <f ca="1">IF($D632&lt;&gt;"Serviço",0,IF(AND(AUTOEVENTO="Manual",$M632=1),0,IF(OFFSET(CRONOPLE!$F$14,$M632,BI$13)="",10^12,OFFSET(CRONOPLE!$F$14,$M632,BI$13))))</f>
        <v>1000000000000</v>
      </c>
      <c r="BJ632" s="215">
        <f ca="1">IF($D632&lt;&gt;"Serviço",0,IF(AND(AUTOEVENTO="Manual",$M632=1),0,IF(OFFSET(CRONOPLE!$F$14,$M632,BJ$13)="",10^12,OFFSET(CRONOPLE!$F$14,$M632,BJ$13))))</f>
        <v>1000000000000</v>
      </c>
      <c r="BK632" s="215">
        <f ca="1">IF($D632&lt;&gt;"Serviço",0,IF(AND(AUTOEVENTO="Manual",$M632=1),0,IF(OFFSET(CRONOPLE!$F$14,$M632,BK$13)="",10^12,OFFSET(CRONOPLE!$F$14,$M632,BK$13))))</f>
        <v>1000000000000</v>
      </c>
      <c r="BL632" s="215">
        <f ca="1">IF($D632&lt;&gt;"Serviço",0,IF(AND(AUTOEVENTO="Manual",$M632=1),0,IF(OFFSET(CRONOPLE!$F$14,$M632,BL$13)="",10^12,OFFSET(CRONOPLE!$F$14,$M632,BL$13))))</f>
        <v>1000000000000</v>
      </c>
      <c r="BM632" s="215">
        <f ca="1">IF($D632&lt;&gt;"Serviço",0,IF(AND(AUTOEVENTO="Manual",$M632=1),0,IF(OFFSET(CRONOPLE!$F$14,$M632,BM$13)="",10^12,OFFSET(CRONOPLE!$F$14,$M632,BM$13))))</f>
        <v>1000000000000</v>
      </c>
      <c r="BN632" s="215">
        <f ca="1">IF($D632&lt;&gt;"Serviço",0,IF(AND(AUTOEVENTO="Manual",$M632=1),0,IF(OFFSET(CRONOPLE!$F$14,$M632,BN$13)="",10^12,OFFSET(CRONOPLE!$F$14,$M632,BN$13))))</f>
        <v>1000000000000</v>
      </c>
      <c r="BO632" s="215">
        <f ca="1">IF($D632&lt;&gt;"Serviço",0,IF(AND(AUTOEVENTO="Manual",$M632=1),0,IF(OFFSET(CRONOPLE!$F$14,$M632,BO$13)="",10^12,OFFSET(CRONOPLE!$F$14,$M632,BO$13))))</f>
        <v>1000000000000</v>
      </c>
      <c r="BP632" s="215">
        <f ca="1">IF($D632&lt;&gt;"Serviço",0,IF(AND(AUTOEVENTO="Manual",$M632=1),0,IF(OFFSET(CRONOPLE!$F$14,$M632,BP$13)="",10^12,OFFSET(CRONOPLE!$F$14,$M632,BP$13))))</f>
        <v>1000000000000</v>
      </c>
      <c r="BQ632" s="215">
        <f ca="1">IF($D632&lt;&gt;"Serviço",0,IF(AND(AUTOEVENTO="Manual",$M632=1),0,IF(OFFSET(CRONOPLE!$F$14,$M632,BQ$13)="",10^12,OFFSET(CRONOPLE!$F$14,$M632,BQ$13))))</f>
        <v>1000000000000</v>
      </c>
      <c r="BR632" s="215">
        <f ca="1">IF($D632&lt;&gt;"Serviço",0,IF(AND(AUTOEVENTO="Manual",$M632=1),0,IF(OFFSET(CRONOPLE!$F$14,$M632,BR$13)="",10^12,OFFSET(CRONOPLE!$F$14,$M632,BR$13))))</f>
        <v>1000000000000</v>
      </c>
      <c r="BS632" s="215">
        <f ca="1">IF($D632&lt;&gt;"Serviço",0,IF(AND(AUTOEVENTO="Manual",$M632=1),0,IF(OFFSET(CRONOPLE!$F$14,$M632,BS$13)="",10^12,OFFSET(CRONOPLE!$F$14,$M632,BS$13))))</f>
        <v>1000000000000</v>
      </c>
      <c r="BT632" s="215">
        <f ca="1">IF($D632&lt;&gt;"Serviço",0,IF(AND(AUTOEVENTO="Manual",$M632=1),0,IF(OFFSET(CRONOPLE!$F$14,$M632,BT$13)="",10^12,OFFSET(CRONOPLE!$F$14,$M632,BT$13))))</f>
        <v>1000000000000</v>
      </c>
      <c r="BV632" s="216">
        <f ca="1">IF($D632&lt;&gt;"Serviço",0,IF(OR(AND(AUTOEVENTO="Manual",$M632=1),$M632&gt;(ROW(PLE.lastrow)-ROW(PLE.firstrow))),0,IF(OFFSET(PLE!$G$14,$M632,BV$13)="",10^12,OFFSET(PLE!$G$14,$M632,BV$13))))</f>
        <v>1000000000000</v>
      </c>
      <c r="BW632" s="216">
        <f ca="1">IF($D632&lt;&gt;"Serviço",0,IF(OR(AND(AUTOEVENTO="Manual",$M632=1),$M632&gt;(ROW(PLE.lastrow)-ROW(PLE.firstrow))),0,IF(OFFSET(PLE!$G$14,$M632,BW$13)="",10^12,OFFSET(PLE!$G$14,$M632,BW$13))))</f>
        <v>1000000000000</v>
      </c>
      <c r="BX632" s="216">
        <f ca="1">IF($D632&lt;&gt;"Serviço",0,IF(OR(AND(AUTOEVENTO="Manual",$M632=1),$M632&gt;(ROW(PLE.lastrow)-ROW(PLE.firstrow))),0,IF(OFFSET(PLE!$G$14,$M632,BX$13)="",10^12,OFFSET(PLE!$G$14,$M632,BX$13))))</f>
        <v>1000000000000</v>
      </c>
      <c r="BY632" s="216">
        <f ca="1">IF($D632&lt;&gt;"Serviço",0,IF(OR(AND(AUTOEVENTO="Manual",$M632=1),$M632&gt;(ROW(PLE.lastrow)-ROW(PLE.firstrow))),0,IF(OFFSET(PLE!$G$14,$M632,BY$13)="",10^12,OFFSET(PLE!$G$14,$M632,BY$13))))</f>
        <v>1000000000000</v>
      </c>
      <c r="BZ632" s="216">
        <f ca="1">IF($D632&lt;&gt;"Serviço",0,IF(OR(AND(AUTOEVENTO="Manual",$M632=1),$M632&gt;(ROW(PLE.lastrow)-ROW(PLE.firstrow))),0,IF(OFFSET(PLE!$G$14,$M632,BZ$13)="",10^12,OFFSET(PLE!$G$14,$M632,BZ$13))))</f>
        <v>1000000000000</v>
      </c>
      <c r="CA632" s="216">
        <f ca="1">IF($D632&lt;&gt;"Serviço",0,IF(OR(AND(AUTOEVENTO="Manual",$M632=1),$M632&gt;(ROW(PLE.lastrow)-ROW(PLE.firstrow))),0,IF(OFFSET(PLE!$G$14,$M632,CA$13)="",10^12,OFFSET(PLE!$G$14,$M632,CA$13))))</f>
        <v>1000000000000</v>
      </c>
      <c r="CB632" s="216">
        <f ca="1">IF($D632&lt;&gt;"Serviço",0,IF(OR(AND(AUTOEVENTO="Manual",$M632=1),$M632&gt;(ROW(PLE.lastrow)-ROW(PLE.firstrow))),0,IF(OFFSET(PLE!$G$14,$M632,CB$13)="",10^12,OFFSET(PLE!$G$14,$M632,CB$13))))</f>
        <v>1000000000000</v>
      </c>
      <c r="CC632" s="216">
        <f ca="1">IF($D632&lt;&gt;"Serviço",0,IF(OR(AND(AUTOEVENTO="Manual",$M632=1),$M632&gt;(ROW(PLE.lastrow)-ROW(PLE.firstrow))),0,IF(OFFSET(PLE!$G$14,$M632,CC$13)="",10^12,OFFSET(PLE!$G$14,$M632,CC$13))))</f>
        <v>1000000000000</v>
      </c>
      <c r="CD632" s="216">
        <f ca="1">IF($D632&lt;&gt;"Serviço",0,IF(OR(AND(AUTOEVENTO="Manual",$M632=1),$M632&gt;(ROW(PLE.lastrow)-ROW(PLE.firstrow))),0,IF(OFFSET(PLE!$G$14,$M632,CD$13)="",10^12,OFFSET(PLE!$G$14,$M632,CD$13))))</f>
        <v>1000000000000</v>
      </c>
      <c r="CE632" s="216">
        <f ca="1">IF($D632&lt;&gt;"Serviço",0,IF(OR(AND(AUTOEVENTO="Manual",$M632=1),$M632&gt;(ROW(PLE.lastrow)-ROW(PLE.firstrow))),0,IF(OFFSET(PLE!$G$14,$M632,CE$13)="",10^12,OFFSET(PLE!$G$14,$M632,CE$13))))</f>
        <v>1000000000000</v>
      </c>
      <c r="CF632" s="216">
        <f ca="1">IF($D632&lt;&gt;"Serviço",0,IF(OR(AND(AUTOEVENTO="Manual",$M632=1),$M632&gt;(ROW(PLE.lastrow)-ROW(PLE.firstrow))),0,IF(OFFSET(PLE!$G$14,$M632,CF$13)="",10^12,OFFSET(PLE!$G$14,$M632,CF$13))))</f>
        <v>1000000000000</v>
      </c>
      <c r="CG632" s="216">
        <f ca="1">IF($D632&lt;&gt;"Serviço",0,IF(OR(AND(AUTOEVENTO="Manual",$M632=1),$M632&gt;(ROW(PLE.lastrow)-ROW(PLE.firstrow))),0,IF(OFFSET(PLE!$G$14,$M632,CG$13)="",10^12,OFFSET(PLE!$G$14,$M632,CG$13))))</f>
        <v>1000000000000</v>
      </c>
      <c r="CH632" s="216">
        <f ca="1">IF($D632&lt;&gt;"Serviço",0,IF(OR(AND(AUTOEVENTO="Manual",$M632=1),$M632&gt;(ROW(PLE.lastrow)-ROW(PLE.firstrow))),0,IF(OFFSET(PLE!$G$14,$M632,CH$13)="",10^12,OFFSET(PLE!$G$14,$M632,CH$13))))</f>
        <v>1000000000000</v>
      </c>
      <c r="CI632" s="216">
        <f ca="1">IF($D632&lt;&gt;"Serviço",0,IF(OR(AND(AUTOEVENTO="Manual",$M632=1),$M632&gt;(ROW(PLE.lastrow)-ROW(PLE.firstrow))),0,IF(OFFSET(PLE!$G$14,$M632,CI$13)="",10^12,OFFSET(PLE!$G$14,$M632,CI$13))))</f>
        <v>1000000000000</v>
      </c>
      <c r="CJ632" s="216">
        <f ca="1">IF($D632&lt;&gt;"Serviço",0,IF(OR(AND(AUTOEVENTO="Manual",$M632=1),$M632&gt;(ROW(PLE.lastrow)-ROW(PLE.firstrow))),0,IF(OFFSET(PLE!$G$14,$M632,CJ$13)="",10^12,OFFSET(PLE!$G$14,$M632,CJ$13))))</f>
        <v>1000000000000</v>
      </c>
      <c r="CK632" s="216">
        <f ca="1">IF($D632&lt;&gt;"Serviço",0,IF(OR(AND(AUTOEVENTO="Manual",$M632=1),$M632&gt;(ROW(PLE.lastrow)-ROW(PLE.firstrow))),0,IF(OFFSET(PLE!$G$14,$M632,CK$13)="",10^12,OFFSET(PLE!$G$14,$M632,CK$13))))</f>
        <v>1000000000000</v>
      </c>
      <c r="CL632" s="216">
        <f ca="1">IF($D632&lt;&gt;"Serviço",0,IF(OR(AND(AUTOEVENTO="Manual",$M632=1),$M632&gt;(ROW(PLE.lastrow)-ROW(PLE.firstrow))),0,IF(OFFSET(PLE!$G$14,$M632,CL$13)="",10^12,OFFSET(PLE!$G$14,$M632,CL$13))))</f>
        <v>1000000000000</v>
      </c>
      <c r="CM632" s="216">
        <f ca="1">IF($D632&lt;&gt;"Serviço",0,IF(OR(AND(AUTOEVENTO="Manual",$M632=1),$M632&gt;(ROW(PLE.lastrow)-ROW(PLE.firstrow))),0,IF(OFFSET(PLE!$G$14,$M632,CM$13)="",10^12,OFFSET(PLE!$G$14,$M632,CM$13))))</f>
        <v>1000000000000</v>
      </c>
    </row>
    <row r="633" spans="1:91" ht="13.2" x14ac:dyDescent="0.25">
      <c r="A633" s="9">
        <f t="shared" ca="1" si="19"/>
        <v>0</v>
      </c>
      <c r="B633" s="9" t="str">
        <f ca="1">OFFSET(ORÇAMENTO!C$15,ROW(B633)-ROW(B$15),0)</f>
        <v>S</v>
      </c>
      <c r="C633" s="9" t="str">
        <f ca="1">OFFSET(ORÇAMENTO!L$15,ROW(C633)-ROW(C$15),0)</f>
        <v/>
      </c>
      <c r="D633" s="145" t="str">
        <f ca="1">OFFSET(ORÇAMENTO!N$15,ROW(D633)-ROW(D$15),0)</f>
        <v>Serviço</v>
      </c>
      <c r="E633" s="205" t="str">
        <f ca="1">OFFSET(ORÇAMENTO!O$15,ROW(E633)-ROW(E$15),0)</f>
        <v>-</v>
      </c>
      <c r="F633" s="206" t="str">
        <f ca="1">OFFSET(ORÇAMENTO!R$15,ROW(F633)-ROW(F$15),0)</f>
        <v>(abra o arquivo 'Referência 05-2024.xls)</v>
      </c>
      <c r="G633" s="207" t="str">
        <f ca="1">IF($D633&lt;&gt;"Serviço","",OFFSET(ORÇAMENTO!S$15,ROW(G633)-ROW(G$15),0))</f>
        <v>-</v>
      </c>
      <c r="H633" s="151">
        <f ca="1">IF($D633&lt;&gt;"Serviço",0,IF(ACOMPANHAMENTO="BM",ROUND(OFFSET(ORÇAMENTO!AJ$15,ROW(H633)-ROW(H$15),0),15-13*ORÇAMENTO!$AF$7),SUMPRODUCT(($Q$12:$AI$12&lt;&gt;"")*ROUND($Q633:$AI633,15-13*ORÇAMENTO!$AF$7))))</f>
        <v>4</v>
      </c>
      <c r="I633" s="650"/>
      <c r="K633" s="208"/>
      <c r="L633" s="209" t="s">
        <v>257</v>
      </c>
      <c r="M633" s="210">
        <f ca="1">IF($D633&lt;&gt;"Serviço","",IF(AUTOEVENTO="manual",$A633,IF(ISERROR(MATCH($A633,$A$15:OFFSET($A633,-1,0),0)),MAX($M$15:OFFSET(M633,-1,0))+1,INDEX($M$15:OFFSET(M633,-1,0),MATCH($A633,$A$15:OFFSET($A633,-1,0),0)))))</f>
        <v>0</v>
      </c>
      <c r="N633" s="211" t="str">
        <f ca="1">IF($D633&lt;&gt;"Serviço","",IF(AUTOEVENTO="Manual",IF($A633=0,"&lt;-- defina o número do agrupador",OFFSET(EVENTOS!$D$14,$A633,0)),OFFSET($F$15,$A633,0)))</f>
        <v>&lt;-- defina o número do agrupador</v>
      </c>
      <c r="O633" s="212"/>
      <c r="Q633" s="212"/>
      <c r="R633" s="213"/>
      <c r="S633" s="213"/>
      <c r="T633" s="213"/>
      <c r="U633" s="213"/>
      <c r="V633" s="213"/>
      <c r="W633" s="213"/>
      <c r="X633" s="213"/>
      <c r="Y633" s="213"/>
      <c r="Z633" s="214"/>
      <c r="AA633" s="213"/>
      <c r="AB633" s="213"/>
      <c r="AC633" s="213"/>
      <c r="AD633" s="213"/>
      <c r="AE633" s="213"/>
      <c r="AF633" s="213"/>
      <c r="AG633" s="213"/>
      <c r="AH633" s="214"/>
      <c r="AJ633" s="631">
        <f ca="1">IF(AND($D633="Serviço",AJ$12&lt;&gt;0,$H633&gt;0,OR(AUTOEVENTO&lt;&gt;"manual",$M633&lt;&gt;1)),ROUND(OFFSET($P633,0,AJ$13),15-13*ORÇAMENTO!$AF$7)/$H633*OFFSET(ORÇAMENTO!$X$15,ROW(AJ633)-ROW(AJ$15),0),0)</f>
        <v>0</v>
      </c>
      <c r="AK633" s="632">
        <f ca="1">IF(AND($D633="Serviço",AK$12&lt;&gt;0,$H633&gt;0,OR(AUTOEVENTO&lt;&gt;"manual",$M633&lt;&gt;1)),ROUND(OFFSET($P633,0,AK$13),15-13*ORÇAMENTO!$AF$7)/$H633*OFFSET(ORÇAMENTO!$X$15,ROW(AK633)-ROW(AK$15),0),0)</f>
        <v>0</v>
      </c>
      <c r="AL633" s="632">
        <f ca="1">IF(AND($D633="Serviço",AL$12&lt;&gt;0,$H633&gt;0,OR(AUTOEVENTO&lt;&gt;"manual",$M633&lt;&gt;1)),ROUND(OFFSET($P633,0,AL$13),15-13*ORÇAMENTO!$AF$7)/$H633*OFFSET(ORÇAMENTO!$X$15,ROW(AL633)-ROW(AL$15),0),0)</f>
        <v>0</v>
      </c>
      <c r="AM633" s="632">
        <f ca="1">IF(AND($D633="Serviço",AM$12&lt;&gt;0,$H633&gt;0,OR(AUTOEVENTO&lt;&gt;"manual",$M633&lt;&gt;1)),ROUND(OFFSET($P633,0,AM$13),15-13*ORÇAMENTO!$AF$7)/$H633*OFFSET(ORÇAMENTO!$X$15,ROW(AM633)-ROW(AM$15),0),0)</f>
        <v>0</v>
      </c>
      <c r="AN633" s="632">
        <f ca="1">IF(AND($D633="Serviço",AN$12&lt;&gt;0,$H633&gt;0,OR(AUTOEVENTO&lt;&gt;"manual",$M633&lt;&gt;1)),ROUND(OFFSET($P633,0,AN$13),15-13*ORÇAMENTO!$AF$7)/$H633*OFFSET(ORÇAMENTO!$X$15,ROW(AN633)-ROW(AN$15),0),0)</f>
        <v>0</v>
      </c>
      <c r="AO633" s="632">
        <f ca="1">IF(AND($D633="Serviço",AO$12&lt;&gt;0,$H633&gt;0,OR(AUTOEVENTO&lt;&gt;"manual",$M633&lt;&gt;1)),ROUND(OFFSET($P633,0,AO$13),15-13*ORÇAMENTO!$AF$7)/$H633*OFFSET(ORÇAMENTO!$X$15,ROW(AO633)-ROW(AO$15),0),0)</f>
        <v>0</v>
      </c>
      <c r="AP633" s="632">
        <f ca="1">IF(AND($D633="Serviço",AP$12&lt;&gt;0,$H633&gt;0,OR(AUTOEVENTO&lt;&gt;"manual",$M633&lt;&gt;1)),ROUND(OFFSET($P633,0,AP$13),15-13*ORÇAMENTO!$AF$7)/$H633*OFFSET(ORÇAMENTO!$X$15,ROW(AP633)-ROW(AP$15),0),0)</f>
        <v>0</v>
      </c>
      <c r="AQ633" s="632">
        <f ca="1">IF(AND($D633="Serviço",AQ$12&lt;&gt;0,$H633&gt;0,OR(AUTOEVENTO&lt;&gt;"manual",$M633&lt;&gt;1)),ROUND(OFFSET($P633,0,AQ$13),15-13*ORÇAMENTO!$AF$7)/$H633*OFFSET(ORÇAMENTO!$X$15,ROW(AQ633)-ROW(AQ$15),0),0)</f>
        <v>0</v>
      </c>
      <c r="AR633" s="632">
        <f ca="1">IF(AND($D633="Serviço",AR$12&lt;&gt;0,$H633&gt;0,OR(AUTOEVENTO&lt;&gt;"manual",$M633&lt;&gt;1)),ROUND(OFFSET($P633,0,AR$13),15-13*ORÇAMENTO!$AF$7)/$H633*OFFSET(ORÇAMENTO!$X$15,ROW(AR633)-ROW(AR$15),0),0)</f>
        <v>0</v>
      </c>
      <c r="AS633" s="633">
        <f ca="1">IF(AND($D633="Serviço",AS$12&lt;&gt;0,$H633&gt;0,OR(AUTOEVENTO&lt;&gt;"manual",$M633&lt;&gt;1)),ROUND(OFFSET($P633,0,AS$13),15-13*ORÇAMENTO!$AF$7)/$H633*OFFSET(ORÇAMENTO!$X$15,ROW(AS633)-ROW(AS$15),0),0)</f>
        <v>0</v>
      </c>
      <c r="AT633" s="632">
        <f ca="1">IF(AND($D633="Serviço",AT$12&lt;&gt;0,$H633&gt;0,OR(AUTOEVENTO&lt;&gt;"manual",$M633&lt;&gt;1)),ROUND(OFFSET($P633,0,AT$13),15-13*ORÇAMENTO!$AF$7)/$H633*OFFSET(ORÇAMENTO!$X$15,ROW(AT633)-ROW(AT$15),0),0)</f>
        <v>0</v>
      </c>
      <c r="AU633" s="632">
        <f ca="1">IF(AND($D633="Serviço",AU$12&lt;&gt;0,$H633&gt;0,OR(AUTOEVENTO&lt;&gt;"manual",$M633&lt;&gt;1)),ROUND(OFFSET($P633,0,AU$13),15-13*ORÇAMENTO!$AF$7)/$H633*OFFSET(ORÇAMENTO!$X$15,ROW(AU633)-ROW(AU$15),0),0)</f>
        <v>0</v>
      </c>
      <c r="AV633" s="632">
        <f ca="1">IF(AND($D633="Serviço",AV$12&lt;&gt;0,$H633&gt;0,OR(AUTOEVENTO&lt;&gt;"manual",$M633&lt;&gt;1)),ROUND(OFFSET($P633,0,AV$13),15-13*ORÇAMENTO!$AF$7)/$H633*OFFSET(ORÇAMENTO!$X$15,ROW(AV633)-ROW(AV$15),0),0)</f>
        <v>0</v>
      </c>
      <c r="AW633" s="632">
        <f ca="1">IF(AND($D633="Serviço",AW$12&lt;&gt;0,$H633&gt;0,OR(AUTOEVENTO&lt;&gt;"manual",$M633&lt;&gt;1)),ROUND(OFFSET($P633,0,AW$13),15-13*ORÇAMENTO!$AF$7)/$H633*OFFSET(ORÇAMENTO!$X$15,ROW(AW633)-ROW(AW$15),0),0)</f>
        <v>0</v>
      </c>
      <c r="AX633" s="632">
        <f ca="1">IF(AND($D633="Serviço",AX$12&lt;&gt;0,$H633&gt;0,OR(AUTOEVENTO&lt;&gt;"manual",$M633&lt;&gt;1)),ROUND(OFFSET($P633,0,AX$13),15-13*ORÇAMENTO!$AF$7)/$H633*OFFSET(ORÇAMENTO!$X$15,ROW(AX633)-ROW(AX$15),0),0)</f>
        <v>0</v>
      </c>
      <c r="AY633" s="632">
        <f ca="1">IF(AND($D633="Serviço",AY$12&lt;&gt;0,$H633&gt;0,OR(AUTOEVENTO&lt;&gt;"manual",$M633&lt;&gt;1)),ROUND(OFFSET($P633,0,AY$13),15-13*ORÇAMENTO!$AF$7)/$H633*OFFSET(ORÇAMENTO!$X$15,ROW(AY633)-ROW(AY$15),0),0)</f>
        <v>0</v>
      </c>
      <c r="AZ633" s="632">
        <f ca="1">IF(AND($D633="Serviço",AZ$12&lt;&gt;0,$H633&gt;0,OR(AUTOEVENTO&lt;&gt;"manual",$M633&lt;&gt;1)),ROUND(OFFSET($P633,0,AZ$13),15-13*ORÇAMENTO!$AF$7)/$H633*OFFSET(ORÇAMENTO!$X$15,ROW(AZ633)-ROW(AZ$15),0),0)</f>
        <v>0</v>
      </c>
      <c r="BA633" s="633">
        <f ca="1">IF(AND($D633="Serviço",BA$12&lt;&gt;0,$H633&gt;0,OR(AUTOEVENTO&lt;&gt;"manual",$M633&lt;&gt;1)),ROUND(OFFSET($P633,0,BA$13),15-13*ORÇAMENTO!$AF$7)/$H633*OFFSET(ORÇAMENTO!$X$15,ROW(BA633)-ROW(BA$15),0),0)</f>
        <v>0</v>
      </c>
      <c r="BC633" s="215">
        <f ca="1">IF($D633&lt;&gt;"Serviço",0,IF(AND(AUTOEVENTO="Manual",$M633=1),0,IF(OFFSET(CRONOPLE!$F$14,$M633,BC$13)="",10^12,OFFSET(CRONOPLE!$F$14,$M633,BC$13))))</f>
        <v>1000000000000</v>
      </c>
      <c r="BD633" s="215">
        <f ca="1">IF($D633&lt;&gt;"Serviço",0,IF(AND(AUTOEVENTO="Manual",$M633=1),0,IF(OFFSET(CRONOPLE!$F$14,$M633,BD$13)="",10^12,OFFSET(CRONOPLE!$F$14,$M633,BD$13))))</f>
        <v>1000000000000</v>
      </c>
      <c r="BE633" s="215">
        <f ca="1">IF($D633&lt;&gt;"Serviço",0,IF(AND(AUTOEVENTO="Manual",$M633=1),0,IF(OFFSET(CRONOPLE!$F$14,$M633,BE$13)="",10^12,OFFSET(CRONOPLE!$F$14,$M633,BE$13))))</f>
        <v>1000000000000</v>
      </c>
      <c r="BF633" s="215">
        <f ca="1">IF($D633&lt;&gt;"Serviço",0,IF(AND(AUTOEVENTO="Manual",$M633=1),0,IF(OFFSET(CRONOPLE!$F$14,$M633,BF$13)="",10^12,OFFSET(CRONOPLE!$F$14,$M633,BF$13))))</f>
        <v>1000000000000</v>
      </c>
      <c r="BG633" s="215">
        <f ca="1">IF($D633&lt;&gt;"Serviço",0,IF(AND(AUTOEVENTO="Manual",$M633=1),0,IF(OFFSET(CRONOPLE!$F$14,$M633,BG$13)="",10^12,OFFSET(CRONOPLE!$F$14,$M633,BG$13))))</f>
        <v>1000000000000</v>
      </c>
      <c r="BH633" s="215">
        <f ca="1">IF($D633&lt;&gt;"Serviço",0,IF(AND(AUTOEVENTO="Manual",$M633=1),0,IF(OFFSET(CRONOPLE!$F$14,$M633,BH$13)="",10^12,OFFSET(CRONOPLE!$F$14,$M633,BH$13))))</f>
        <v>1000000000000</v>
      </c>
      <c r="BI633" s="215">
        <f ca="1">IF($D633&lt;&gt;"Serviço",0,IF(AND(AUTOEVENTO="Manual",$M633=1),0,IF(OFFSET(CRONOPLE!$F$14,$M633,BI$13)="",10^12,OFFSET(CRONOPLE!$F$14,$M633,BI$13))))</f>
        <v>1000000000000</v>
      </c>
      <c r="BJ633" s="215">
        <f ca="1">IF($D633&lt;&gt;"Serviço",0,IF(AND(AUTOEVENTO="Manual",$M633=1),0,IF(OFFSET(CRONOPLE!$F$14,$M633,BJ$13)="",10^12,OFFSET(CRONOPLE!$F$14,$M633,BJ$13))))</f>
        <v>1000000000000</v>
      </c>
      <c r="BK633" s="215">
        <f ca="1">IF($D633&lt;&gt;"Serviço",0,IF(AND(AUTOEVENTO="Manual",$M633=1),0,IF(OFFSET(CRONOPLE!$F$14,$M633,BK$13)="",10^12,OFFSET(CRONOPLE!$F$14,$M633,BK$13))))</f>
        <v>1000000000000</v>
      </c>
      <c r="BL633" s="215">
        <f ca="1">IF($D633&lt;&gt;"Serviço",0,IF(AND(AUTOEVENTO="Manual",$M633=1),0,IF(OFFSET(CRONOPLE!$F$14,$M633,BL$13)="",10^12,OFFSET(CRONOPLE!$F$14,$M633,BL$13))))</f>
        <v>1000000000000</v>
      </c>
      <c r="BM633" s="215">
        <f ca="1">IF($D633&lt;&gt;"Serviço",0,IF(AND(AUTOEVENTO="Manual",$M633=1),0,IF(OFFSET(CRONOPLE!$F$14,$M633,BM$13)="",10^12,OFFSET(CRONOPLE!$F$14,$M633,BM$13))))</f>
        <v>1000000000000</v>
      </c>
      <c r="BN633" s="215">
        <f ca="1">IF($D633&lt;&gt;"Serviço",0,IF(AND(AUTOEVENTO="Manual",$M633=1),0,IF(OFFSET(CRONOPLE!$F$14,$M633,BN$13)="",10^12,OFFSET(CRONOPLE!$F$14,$M633,BN$13))))</f>
        <v>1000000000000</v>
      </c>
      <c r="BO633" s="215">
        <f ca="1">IF($D633&lt;&gt;"Serviço",0,IF(AND(AUTOEVENTO="Manual",$M633=1),0,IF(OFFSET(CRONOPLE!$F$14,$M633,BO$13)="",10^12,OFFSET(CRONOPLE!$F$14,$M633,BO$13))))</f>
        <v>1000000000000</v>
      </c>
      <c r="BP633" s="215">
        <f ca="1">IF($D633&lt;&gt;"Serviço",0,IF(AND(AUTOEVENTO="Manual",$M633=1),0,IF(OFFSET(CRONOPLE!$F$14,$M633,BP$13)="",10^12,OFFSET(CRONOPLE!$F$14,$M633,BP$13))))</f>
        <v>1000000000000</v>
      </c>
      <c r="BQ633" s="215">
        <f ca="1">IF($D633&lt;&gt;"Serviço",0,IF(AND(AUTOEVENTO="Manual",$M633=1),0,IF(OFFSET(CRONOPLE!$F$14,$M633,BQ$13)="",10^12,OFFSET(CRONOPLE!$F$14,$M633,BQ$13))))</f>
        <v>1000000000000</v>
      </c>
      <c r="BR633" s="215">
        <f ca="1">IF($D633&lt;&gt;"Serviço",0,IF(AND(AUTOEVENTO="Manual",$M633=1),0,IF(OFFSET(CRONOPLE!$F$14,$M633,BR$13)="",10^12,OFFSET(CRONOPLE!$F$14,$M633,BR$13))))</f>
        <v>1000000000000</v>
      </c>
      <c r="BS633" s="215">
        <f ca="1">IF($D633&lt;&gt;"Serviço",0,IF(AND(AUTOEVENTO="Manual",$M633=1),0,IF(OFFSET(CRONOPLE!$F$14,$M633,BS$13)="",10^12,OFFSET(CRONOPLE!$F$14,$M633,BS$13))))</f>
        <v>1000000000000</v>
      </c>
      <c r="BT633" s="215">
        <f ca="1">IF($D633&lt;&gt;"Serviço",0,IF(AND(AUTOEVENTO="Manual",$M633=1),0,IF(OFFSET(CRONOPLE!$F$14,$M633,BT$13)="",10^12,OFFSET(CRONOPLE!$F$14,$M633,BT$13))))</f>
        <v>1000000000000</v>
      </c>
      <c r="BV633" s="216">
        <f ca="1">IF($D633&lt;&gt;"Serviço",0,IF(OR(AND(AUTOEVENTO="Manual",$M633=1),$M633&gt;(ROW(PLE.lastrow)-ROW(PLE.firstrow))),0,IF(OFFSET(PLE!$G$14,$M633,BV$13)="",10^12,OFFSET(PLE!$G$14,$M633,BV$13))))</f>
        <v>1000000000000</v>
      </c>
      <c r="BW633" s="216">
        <f ca="1">IF($D633&lt;&gt;"Serviço",0,IF(OR(AND(AUTOEVENTO="Manual",$M633=1),$M633&gt;(ROW(PLE.lastrow)-ROW(PLE.firstrow))),0,IF(OFFSET(PLE!$G$14,$M633,BW$13)="",10^12,OFFSET(PLE!$G$14,$M633,BW$13))))</f>
        <v>1000000000000</v>
      </c>
      <c r="BX633" s="216">
        <f ca="1">IF($D633&lt;&gt;"Serviço",0,IF(OR(AND(AUTOEVENTO="Manual",$M633=1),$M633&gt;(ROW(PLE.lastrow)-ROW(PLE.firstrow))),0,IF(OFFSET(PLE!$G$14,$M633,BX$13)="",10^12,OFFSET(PLE!$G$14,$M633,BX$13))))</f>
        <v>1000000000000</v>
      </c>
      <c r="BY633" s="216">
        <f ca="1">IF($D633&lt;&gt;"Serviço",0,IF(OR(AND(AUTOEVENTO="Manual",$M633=1),$M633&gt;(ROW(PLE.lastrow)-ROW(PLE.firstrow))),0,IF(OFFSET(PLE!$G$14,$M633,BY$13)="",10^12,OFFSET(PLE!$G$14,$M633,BY$13))))</f>
        <v>1000000000000</v>
      </c>
      <c r="BZ633" s="216">
        <f ca="1">IF($D633&lt;&gt;"Serviço",0,IF(OR(AND(AUTOEVENTO="Manual",$M633=1),$M633&gt;(ROW(PLE.lastrow)-ROW(PLE.firstrow))),0,IF(OFFSET(PLE!$G$14,$M633,BZ$13)="",10^12,OFFSET(PLE!$G$14,$M633,BZ$13))))</f>
        <v>1000000000000</v>
      </c>
      <c r="CA633" s="216">
        <f ca="1">IF($D633&lt;&gt;"Serviço",0,IF(OR(AND(AUTOEVENTO="Manual",$M633=1),$M633&gt;(ROW(PLE.lastrow)-ROW(PLE.firstrow))),0,IF(OFFSET(PLE!$G$14,$M633,CA$13)="",10^12,OFFSET(PLE!$G$14,$M633,CA$13))))</f>
        <v>1000000000000</v>
      </c>
      <c r="CB633" s="216">
        <f ca="1">IF($D633&lt;&gt;"Serviço",0,IF(OR(AND(AUTOEVENTO="Manual",$M633=1),$M633&gt;(ROW(PLE.lastrow)-ROW(PLE.firstrow))),0,IF(OFFSET(PLE!$G$14,$M633,CB$13)="",10^12,OFFSET(PLE!$G$14,$M633,CB$13))))</f>
        <v>1000000000000</v>
      </c>
      <c r="CC633" s="216">
        <f ca="1">IF($D633&lt;&gt;"Serviço",0,IF(OR(AND(AUTOEVENTO="Manual",$M633=1),$M633&gt;(ROW(PLE.lastrow)-ROW(PLE.firstrow))),0,IF(OFFSET(PLE!$G$14,$M633,CC$13)="",10^12,OFFSET(PLE!$G$14,$M633,CC$13))))</f>
        <v>1000000000000</v>
      </c>
      <c r="CD633" s="216">
        <f ca="1">IF($D633&lt;&gt;"Serviço",0,IF(OR(AND(AUTOEVENTO="Manual",$M633=1),$M633&gt;(ROW(PLE.lastrow)-ROW(PLE.firstrow))),0,IF(OFFSET(PLE!$G$14,$M633,CD$13)="",10^12,OFFSET(PLE!$G$14,$M633,CD$13))))</f>
        <v>1000000000000</v>
      </c>
      <c r="CE633" s="216">
        <f ca="1">IF($D633&lt;&gt;"Serviço",0,IF(OR(AND(AUTOEVENTO="Manual",$M633=1),$M633&gt;(ROW(PLE.lastrow)-ROW(PLE.firstrow))),0,IF(OFFSET(PLE!$G$14,$M633,CE$13)="",10^12,OFFSET(PLE!$G$14,$M633,CE$13))))</f>
        <v>1000000000000</v>
      </c>
      <c r="CF633" s="216">
        <f ca="1">IF($D633&lt;&gt;"Serviço",0,IF(OR(AND(AUTOEVENTO="Manual",$M633=1),$M633&gt;(ROW(PLE.lastrow)-ROW(PLE.firstrow))),0,IF(OFFSET(PLE!$G$14,$M633,CF$13)="",10^12,OFFSET(PLE!$G$14,$M633,CF$13))))</f>
        <v>1000000000000</v>
      </c>
      <c r="CG633" s="216">
        <f ca="1">IF($D633&lt;&gt;"Serviço",0,IF(OR(AND(AUTOEVENTO="Manual",$M633=1),$M633&gt;(ROW(PLE.lastrow)-ROW(PLE.firstrow))),0,IF(OFFSET(PLE!$G$14,$M633,CG$13)="",10^12,OFFSET(PLE!$G$14,$M633,CG$13))))</f>
        <v>1000000000000</v>
      </c>
      <c r="CH633" s="216">
        <f ca="1">IF($D633&lt;&gt;"Serviço",0,IF(OR(AND(AUTOEVENTO="Manual",$M633=1),$M633&gt;(ROW(PLE.lastrow)-ROW(PLE.firstrow))),0,IF(OFFSET(PLE!$G$14,$M633,CH$13)="",10^12,OFFSET(PLE!$G$14,$M633,CH$13))))</f>
        <v>1000000000000</v>
      </c>
      <c r="CI633" s="216">
        <f ca="1">IF($D633&lt;&gt;"Serviço",0,IF(OR(AND(AUTOEVENTO="Manual",$M633=1),$M633&gt;(ROW(PLE.lastrow)-ROW(PLE.firstrow))),0,IF(OFFSET(PLE!$G$14,$M633,CI$13)="",10^12,OFFSET(PLE!$G$14,$M633,CI$13))))</f>
        <v>1000000000000</v>
      </c>
      <c r="CJ633" s="216">
        <f ca="1">IF($D633&lt;&gt;"Serviço",0,IF(OR(AND(AUTOEVENTO="Manual",$M633=1),$M633&gt;(ROW(PLE.lastrow)-ROW(PLE.firstrow))),0,IF(OFFSET(PLE!$G$14,$M633,CJ$13)="",10^12,OFFSET(PLE!$G$14,$M633,CJ$13))))</f>
        <v>1000000000000</v>
      </c>
      <c r="CK633" s="216">
        <f ca="1">IF($D633&lt;&gt;"Serviço",0,IF(OR(AND(AUTOEVENTO="Manual",$M633=1),$M633&gt;(ROW(PLE.lastrow)-ROW(PLE.firstrow))),0,IF(OFFSET(PLE!$G$14,$M633,CK$13)="",10^12,OFFSET(PLE!$G$14,$M633,CK$13))))</f>
        <v>1000000000000</v>
      </c>
      <c r="CL633" s="216">
        <f ca="1">IF($D633&lt;&gt;"Serviço",0,IF(OR(AND(AUTOEVENTO="Manual",$M633=1),$M633&gt;(ROW(PLE.lastrow)-ROW(PLE.firstrow))),0,IF(OFFSET(PLE!$G$14,$M633,CL$13)="",10^12,OFFSET(PLE!$G$14,$M633,CL$13))))</f>
        <v>1000000000000</v>
      </c>
      <c r="CM633" s="216">
        <f ca="1">IF($D633&lt;&gt;"Serviço",0,IF(OR(AND(AUTOEVENTO="Manual",$M633=1),$M633&gt;(ROW(PLE.lastrow)-ROW(PLE.firstrow))),0,IF(OFFSET(PLE!$G$14,$M633,CM$13)="",10^12,OFFSET(PLE!$G$14,$M633,CM$13))))</f>
        <v>1000000000000</v>
      </c>
    </row>
    <row r="634" spans="1:91" ht="13.2" x14ac:dyDescent="0.25">
      <c r="A634" s="9">
        <f t="shared" ca="1" si="19"/>
        <v>0</v>
      </c>
      <c r="B634" s="9">
        <f ca="1">OFFSET(ORÇAMENTO!C$15,ROW(B634)-ROW(B$15),0)</f>
        <v>3</v>
      </c>
      <c r="C634" s="9" t="str">
        <f ca="1">OFFSET(ORÇAMENTO!L$15,ROW(C634)-ROW(C$15),0)</f>
        <v>F</v>
      </c>
      <c r="D634" s="145" t="str">
        <f ca="1">OFFSET(ORÇAMENTO!N$15,ROW(D634)-ROW(D$15),0)</f>
        <v>Nível 3</v>
      </c>
      <c r="E634" s="205" t="str">
        <f ca="1">OFFSET(ORÇAMENTO!O$15,ROW(E634)-ROW(E$15),0)</f>
        <v>1.20.2.</v>
      </c>
      <c r="F634" s="206" t="str">
        <f ca="1">OFFSET(ORÇAMENTO!R$15,ROW(F634)-ROW(F$15),0)</f>
        <v>CABOS EM PAR TRANÇADOS</v>
      </c>
      <c r="G634" s="207" t="str">
        <f ca="1">IF($D634&lt;&gt;"Serviço","",OFFSET(ORÇAMENTO!S$15,ROW(G634)-ROW(G$15),0))</f>
        <v/>
      </c>
      <c r="H634" s="151">
        <f ca="1">IF($D634&lt;&gt;"Serviço",0,IF(ACOMPANHAMENTO="BM",ROUND(OFFSET(ORÇAMENTO!AJ$15,ROW(H634)-ROW(H$15),0),15-13*ORÇAMENTO!$AF$7),SUMPRODUCT(($Q$12:$AI$12&lt;&gt;"")*ROUND($Q634:$AI634,15-13*ORÇAMENTO!$AF$7))))</f>
        <v>0</v>
      </c>
      <c r="I634" s="650"/>
      <c r="K634" s="208"/>
      <c r="L634" s="209" t="s">
        <v>257</v>
      </c>
      <c r="M634" s="210" t="str">
        <f ca="1">IF($D634&lt;&gt;"Serviço","",IF(AUTOEVENTO="manual",$A634,IF(ISERROR(MATCH($A634,$A$15:OFFSET($A634,-1,0),0)),MAX($M$15:OFFSET(M634,-1,0))+1,INDEX($M$15:OFFSET(M634,-1,0),MATCH($A634,$A$15:OFFSET($A634,-1,0),0)))))</f>
        <v/>
      </c>
      <c r="N634" s="211" t="str">
        <f ca="1">IF($D634&lt;&gt;"Serviço","",IF(AUTOEVENTO="Manual",IF($A634=0,"&lt;-- defina o número do agrupador",OFFSET(EVENTOS!$D$14,$A634,0)),OFFSET($F$15,$A634,0)))</f>
        <v/>
      </c>
      <c r="O634" s="212"/>
      <c r="Q634" s="212"/>
      <c r="R634" s="213"/>
      <c r="S634" s="213"/>
      <c r="T634" s="213"/>
      <c r="U634" s="213"/>
      <c r="V634" s="213"/>
      <c r="W634" s="213"/>
      <c r="X634" s="213"/>
      <c r="Y634" s="213"/>
      <c r="Z634" s="214"/>
      <c r="AA634" s="213"/>
      <c r="AB634" s="213"/>
      <c r="AC634" s="213"/>
      <c r="AD634" s="213"/>
      <c r="AE634" s="213"/>
      <c r="AF634" s="213"/>
      <c r="AG634" s="213"/>
      <c r="AH634" s="214"/>
      <c r="AJ634" s="631">
        <f ca="1">IF(AND($D634="Serviço",AJ$12&lt;&gt;0,$H634&gt;0,OR(AUTOEVENTO&lt;&gt;"manual",$M634&lt;&gt;1)),ROUND(OFFSET($P634,0,AJ$13),15-13*ORÇAMENTO!$AF$7)/$H634*OFFSET(ORÇAMENTO!$X$15,ROW(AJ634)-ROW(AJ$15),0),0)</f>
        <v>0</v>
      </c>
      <c r="AK634" s="632">
        <f ca="1">IF(AND($D634="Serviço",AK$12&lt;&gt;0,$H634&gt;0,OR(AUTOEVENTO&lt;&gt;"manual",$M634&lt;&gt;1)),ROUND(OFFSET($P634,0,AK$13),15-13*ORÇAMENTO!$AF$7)/$H634*OFFSET(ORÇAMENTO!$X$15,ROW(AK634)-ROW(AK$15),0),0)</f>
        <v>0</v>
      </c>
      <c r="AL634" s="632">
        <f ca="1">IF(AND($D634="Serviço",AL$12&lt;&gt;0,$H634&gt;0,OR(AUTOEVENTO&lt;&gt;"manual",$M634&lt;&gt;1)),ROUND(OFFSET($P634,0,AL$13),15-13*ORÇAMENTO!$AF$7)/$H634*OFFSET(ORÇAMENTO!$X$15,ROW(AL634)-ROW(AL$15),0),0)</f>
        <v>0</v>
      </c>
      <c r="AM634" s="632">
        <f ca="1">IF(AND($D634="Serviço",AM$12&lt;&gt;0,$H634&gt;0,OR(AUTOEVENTO&lt;&gt;"manual",$M634&lt;&gt;1)),ROUND(OFFSET($P634,0,AM$13),15-13*ORÇAMENTO!$AF$7)/$H634*OFFSET(ORÇAMENTO!$X$15,ROW(AM634)-ROW(AM$15),0),0)</f>
        <v>0</v>
      </c>
      <c r="AN634" s="632">
        <f ca="1">IF(AND($D634="Serviço",AN$12&lt;&gt;0,$H634&gt;0,OR(AUTOEVENTO&lt;&gt;"manual",$M634&lt;&gt;1)),ROUND(OFFSET($P634,0,AN$13),15-13*ORÇAMENTO!$AF$7)/$H634*OFFSET(ORÇAMENTO!$X$15,ROW(AN634)-ROW(AN$15),0),0)</f>
        <v>0</v>
      </c>
      <c r="AO634" s="632">
        <f ca="1">IF(AND($D634="Serviço",AO$12&lt;&gt;0,$H634&gt;0,OR(AUTOEVENTO&lt;&gt;"manual",$M634&lt;&gt;1)),ROUND(OFFSET($P634,0,AO$13),15-13*ORÇAMENTO!$AF$7)/$H634*OFFSET(ORÇAMENTO!$X$15,ROW(AO634)-ROW(AO$15),0),0)</f>
        <v>0</v>
      </c>
      <c r="AP634" s="632">
        <f ca="1">IF(AND($D634="Serviço",AP$12&lt;&gt;0,$H634&gt;0,OR(AUTOEVENTO&lt;&gt;"manual",$M634&lt;&gt;1)),ROUND(OFFSET($P634,0,AP$13),15-13*ORÇAMENTO!$AF$7)/$H634*OFFSET(ORÇAMENTO!$X$15,ROW(AP634)-ROW(AP$15),0),0)</f>
        <v>0</v>
      </c>
      <c r="AQ634" s="632">
        <f ca="1">IF(AND($D634="Serviço",AQ$12&lt;&gt;0,$H634&gt;0,OR(AUTOEVENTO&lt;&gt;"manual",$M634&lt;&gt;1)),ROUND(OFFSET($P634,0,AQ$13),15-13*ORÇAMENTO!$AF$7)/$H634*OFFSET(ORÇAMENTO!$X$15,ROW(AQ634)-ROW(AQ$15),0),0)</f>
        <v>0</v>
      </c>
      <c r="AR634" s="632">
        <f ca="1">IF(AND($D634="Serviço",AR$12&lt;&gt;0,$H634&gt;0,OR(AUTOEVENTO&lt;&gt;"manual",$M634&lt;&gt;1)),ROUND(OFFSET($P634,0,AR$13),15-13*ORÇAMENTO!$AF$7)/$H634*OFFSET(ORÇAMENTO!$X$15,ROW(AR634)-ROW(AR$15),0),0)</f>
        <v>0</v>
      </c>
      <c r="AS634" s="633">
        <f ca="1">IF(AND($D634="Serviço",AS$12&lt;&gt;0,$H634&gt;0,OR(AUTOEVENTO&lt;&gt;"manual",$M634&lt;&gt;1)),ROUND(OFFSET($P634,0,AS$13),15-13*ORÇAMENTO!$AF$7)/$H634*OFFSET(ORÇAMENTO!$X$15,ROW(AS634)-ROW(AS$15),0),0)</f>
        <v>0</v>
      </c>
      <c r="AT634" s="632">
        <f ca="1">IF(AND($D634="Serviço",AT$12&lt;&gt;0,$H634&gt;0,OR(AUTOEVENTO&lt;&gt;"manual",$M634&lt;&gt;1)),ROUND(OFFSET($P634,0,AT$13),15-13*ORÇAMENTO!$AF$7)/$H634*OFFSET(ORÇAMENTO!$X$15,ROW(AT634)-ROW(AT$15),0),0)</f>
        <v>0</v>
      </c>
      <c r="AU634" s="632">
        <f ca="1">IF(AND($D634="Serviço",AU$12&lt;&gt;0,$H634&gt;0,OR(AUTOEVENTO&lt;&gt;"manual",$M634&lt;&gt;1)),ROUND(OFFSET($P634,0,AU$13),15-13*ORÇAMENTO!$AF$7)/$H634*OFFSET(ORÇAMENTO!$X$15,ROW(AU634)-ROW(AU$15),0),0)</f>
        <v>0</v>
      </c>
      <c r="AV634" s="632">
        <f ca="1">IF(AND($D634="Serviço",AV$12&lt;&gt;0,$H634&gt;0,OR(AUTOEVENTO&lt;&gt;"manual",$M634&lt;&gt;1)),ROUND(OFFSET($P634,0,AV$13),15-13*ORÇAMENTO!$AF$7)/$H634*OFFSET(ORÇAMENTO!$X$15,ROW(AV634)-ROW(AV$15),0),0)</f>
        <v>0</v>
      </c>
      <c r="AW634" s="632">
        <f ca="1">IF(AND($D634="Serviço",AW$12&lt;&gt;0,$H634&gt;0,OR(AUTOEVENTO&lt;&gt;"manual",$M634&lt;&gt;1)),ROUND(OFFSET($P634,0,AW$13),15-13*ORÇAMENTO!$AF$7)/$H634*OFFSET(ORÇAMENTO!$X$15,ROW(AW634)-ROW(AW$15),0),0)</f>
        <v>0</v>
      </c>
      <c r="AX634" s="632">
        <f ca="1">IF(AND($D634="Serviço",AX$12&lt;&gt;0,$H634&gt;0,OR(AUTOEVENTO&lt;&gt;"manual",$M634&lt;&gt;1)),ROUND(OFFSET($P634,0,AX$13),15-13*ORÇAMENTO!$AF$7)/$H634*OFFSET(ORÇAMENTO!$X$15,ROW(AX634)-ROW(AX$15),0),0)</f>
        <v>0</v>
      </c>
      <c r="AY634" s="632">
        <f ca="1">IF(AND($D634="Serviço",AY$12&lt;&gt;0,$H634&gt;0,OR(AUTOEVENTO&lt;&gt;"manual",$M634&lt;&gt;1)),ROUND(OFFSET($P634,0,AY$13),15-13*ORÇAMENTO!$AF$7)/$H634*OFFSET(ORÇAMENTO!$X$15,ROW(AY634)-ROW(AY$15),0),0)</f>
        <v>0</v>
      </c>
      <c r="AZ634" s="632">
        <f ca="1">IF(AND($D634="Serviço",AZ$12&lt;&gt;0,$H634&gt;0,OR(AUTOEVENTO&lt;&gt;"manual",$M634&lt;&gt;1)),ROUND(OFFSET($P634,0,AZ$13),15-13*ORÇAMENTO!$AF$7)/$H634*OFFSET(ORÇAMENTO!$X$15,ROW(AZ634)-ROW(AZ$15),0),0)</f>
        <v>0</v>
      </c>
      <c r="BA634" s="633">
        <f ca="1">IF(AND($D634="Serviço",BA$12&lt;&gt;0,$H634&gt;0,OR(AUTOEVENTO&lt;&gt;"manual",$M634&lt;&gt;1)),ROUND(OFFSET($P634,0,BA$13),15-13*ORÇAMENTO!$AF$7)/$H634*OFFSET(ORÇAMENTO!$X$15,ROW(BA634)-ROW(BA$15),0),0)</f>
        <v>0</v>
      </c>
      <c r="BC634" s="215">
        <f ca="1">IF($D634&lt;&gt;"Serviço",0,IF(AND(AUTOEVENTO="Manual",$M634=1),0,IF(OFFSET(CRONOPLE!$F$14,$M634,BC$13)="",10^12,OFFSET(CRONOPLE!$F$14,$M634,BC$13))))</f>
        <v>0</v>
      </c>
      <c r="BD634" s="215">
        <f ca="1">IF($D634&lt;&gt;"Serviço",0,IF(AND(AUTOEVENTO="Manual",$M634=1),0,IF(OFFSET(CRONOPLE!$F$14,$M634,BD$13)="",10^12,OFFSET(CRONOPLE!$F$14,$M634,BD$13))))</f>
        <v>0</v>
      </c>
      <c r="BE634" s="215">
        <f ca="1">IF($D634&lt;&gt;"Serviço",0,IF(AND(AUTOEVENTO="Manual",$M634=1),0,IF(OFFSET(CRONOPLE!$F$14,$M634,BE$13)="",10^12,OFFSET(CRONOPLE!$F$14,$M634,BE$13))))</f>
        <v>0</v>
      </c>
      <c r="BF634" s="215">
        <f ca="1">IF($D634&lt;&gt;"Serviço",0,IF(AND(AUTOEVENTO="Manual",$M634=1),0,IF(OFFSET(CRONOPLE!$F$14,$M634,BF$13)="",10^12,OFFSET(CRONOPLE!$F$14,$M634,BF$13))))</f>
        <v>0</v>
      </c>
      <c r="BG634" s="215">
        <f ca="1">IF($D634&lt;&gt;"Serviço",0,IF(AND(AUTOEVENTO="Manual",$M634=1),0,IF(OFFSET(CRONOPLE!$F$14,$M634,BG$13)="",10^12,OFFSET(CRONOPLE!$F$14,$M634,BG$13))))</f>
        <v>0</v>
      </c>
      <c r="BH634" s="215">
        <f ca="1">IF($D634&lt;&gt;"Serviço",0,IF(AND(AUTOEVENTO="Manual",$M634=1),0,IF(OFFSET(CRONOPLE!$F$14,$M634,BH$13)="",10^12,OFFSET(CRONOPLE!$F$14,$M634,BH$13))))</f>
        <v>0</v>
      </c>
      <c r="BI634" s="215">
        <f ca="1">IF($D634&lt;&gt;"Serviço",0,IF(AND(AUTOEVENTO="Manual",$M634=1),0,IF(OFFSET(CRONOPLE!$F$14,$M634,BI$13)="",10^12,OFFSET(CRONOPLE!$F$14,$M634,BI$13))))</f>
        <v>0</v>
      </c>
      <c r="BJ634" s="215">
        <f ca="1">IF($D634&lt;&gt;"Serviço",0,IF(AND(AUTOEVENTO="Manual",$M634=1),0,IF(OFFSET(CRONOPLE!$F$14,$M634,BJ$13)="",10^12,OFFSET(CRONOPLE!$F$14,$M634,BJ$13))))</f>
        <v>0</v>
      </c>
      <c r="BK634" s="215">
        <f ca="1">IF($D634&lt;&gt;"Serviço",0,IF(AND(AUTOEVENTO="Manual",$M634=1),0,IF(OFFSET(CRONOPLE!$F$14,$M634,BK$13)="",10^12,OFFSET(CRONOPLE!$F$14,$M634,BK$13))))</f>
        <v>0</v>
      </c>
      <c r="BL634" s="215">
        <f ca="1">IF($D634&lt;&gt;"Serviço",0,IF(AND(AUTOEVENTO="Manual",$M634=1),0,IF(OFFSET(CRONOPLE!$F$14,$M634,BL$13)="",10^12,OFFSET(CRONOPLE!$F$14,$M634,BL$13))))</f>
        <v>0</v>
      </c>
      <c r="BM634" s="215">
        <f ca="1">IF($D634&lt;&gt;"Serviço",0,IF(AND(AUTOEVENTO="Manual",$M634=1),0,IF(OFFSET(CRONOPLE!$F$14,$M634,BM$13)="",10^12,OFFSET(CRONOPLE!$F$14,$M634,BM$13))))</f>
        <v>0</v>
      </c>
      <c r="BN634" s="215">
        <f ca="1">IF($D634&lt;&gt;"Serviço",0,IF(AND(AUTOEVENTO="Manual",$M634=1),0,IF(OFFSET(CRONOPLE!$F$14,$M634,BN$13)="",10^12,OFFSET(CRONOPLE!$F$14,$M634,BN$13))))</f>
        <v>0</v>
      </c>
      <c r="BO634" s="215">
        <f ca="1">IF($D634&lt;&gt;"Serviço",0,IF(AND(AUTOEVENTO="Manual",$M634=1),0,IF(OFFSET(CRONOPLE!$F$14,$M634,BO$13)="",10^12,OFFSET(CRONOPLE!$F$14,$M634,BO$13))))</f>
        <v>0</v>
      </c>
      <c r="BP634" s="215">
        <f ca="1">IF($D634&lt;&gt;"Serviço",0,IF(AND(AUTOEVENTO="Manual",$M634=1),0,IF(OFFSET(CRONOPLE!$F$14,$M634,BP$13)="",10^12,OFFSET(CRONOPLE!$F$14,$M634,BP$13))))</f>
        <v>0</v>
      </c>
      <c r="BQ634" s="215">
        <f ca="1">IF($D634&lt;&gt;"Serviço",0,IF(AND(AUTOEVENTO="Manual",$M634=1),0,IF(OFFSET(CRONOPLE!$F$14,$M634,BQ$13)="",10^12,OFFSET(CRONOPLE!$F$14,$M634,BQ$13))))</f>
        <v>0</v>
      </c>
      <c r="BR634" s="215">
        <f ca="1">IF($D634&lt;&gt;"Serviço",0,IF(AND(AUTOEVENTO="Manual",$M634=1),0,IF(OFFSET(CRONOPLE!$F$14,$M634,BR$13)="",10^12,OFFSET(CRONOPLE!$F$14,$M634,BR$13))))</f>
        <v>0</v>
      </c>
      <c r="BS634" s="215">
        <f ca="1">IF($D634&lt;&gt;"Serviço",0,IF(AND(AUTOEVENTO="Manual",$M634=1),0,IF(OFFSET(CRONOPLE!$F$14,$M634,BS$13)="",10^12,OFFSET(CRONOPLE!$F$14,$M634,BS$13))))</f>
        <v>0</v>
      </c>
      <c r="BT634" s="215">
        <f ca="1">IF($D634&lt;&gt;"Serviço",0,IF(AND(AUTOEVENTO="Manual",$M634=1),0,IF(OFFSET(CRONOPLE!$F$14,$M634,BT$13)="",10^12,OFFSET(CRONOPLE!$F$14,$M634,BT$13))))</f>
        <v>0</v>
      </c>
      <c r="BV634" s="216">
        <f ca="1">IF($D634&lt;&gt;"Serviço",0,IF(OR(AND(AUTOEVENTO="Manual",$M634=1),$M634&gt;(ROW(PLE.lastrow)-ROW(PLE.firstrow))),0,IF(OFFSET(PLE!$G$14,$M634,BV$13)="",10^12,OFFSET(PLE!$G$14,$M634,BV$13))))</f>
        <v>0</v>
      </c>
      <c r="BW634" s="216">
        <f ca="1">IF($D634&lt;&gt;"Serviço",0,IF(OR(AND(AUTOEVENTO="Manual",$M634=1),$M634&gt;(ROW(PLE.lastrow)-ROW(PLE.firstrow))),0,IF(OFFSET(PLE!$G$14,$M634,BW$13)="",10^12,OFFSET(PLE!$G$14,$M634,BW$13))))</f>
        <v>0</v>
      </c>
      <c r="BX634" s="216">
        <f ca="1">IF($D634&lt;&gt;"Serviço",0,IF(OR(AND(AUTOEVENTO="Manual",$M634=1),$M634&gt;(ROW(PLE.lastrow)-ROW(PLE.firstrow))),0,IF(OFFSET(PLE!$G$14,$M634,BX$13)="",10^12,OFFSET(PLE!$G$14,$M634,BX$13))))</f>
        <v>0</v>
      </c>
      <c r="BY634" s="216">
        <f ca="1">IF($D634&lt;&gt;"Serviço",0,IF(OR(AND(AUTOEVENTO="Manual",$M634=1),$M634&gt;(ROW(PLE.lastrow)-ROW(PLE.firstrow))),0,IF(OFFSET(PLE!$G$14,$M634,BY$13)="",10^12,OFFSET(PLE!$G$14,$M634,BY$13))))</f>
        <v>0</v>
      </c>
      <c r="BZ634" s="216">
        <f ca="1">IF($D634&lt;&gt;"Serviço",0,IF(OR(AND(AUTOEVENTO="Manual",$M634=1),$M634&gt;(ROW(PLE.lastrow)-ROW(PLE.firstrow))),0,IF(OFFSET(PLE!$G$14,$M634,BZ$13)="",10^12,OFFSET(PLE!$G$14,$M634,BZ$13))))</f>
        <v>0</v>
      </c>
      <c r="CA634" s="216">
        <f ca="1">IF($D634&lt;&gt;"Serviço",0,IF(OR(AND(AUTOEVENTO="Manual",$M634=1),$M634&gt;(ROW(PLE.lastrow)-ROW(PLE.firstrow))),0,IF(OFFSET(PLE!$G$14,$M634,CA$13)="",10^12,OFFSET(PLE!$G$14,$M634,CA$13))))</f>
        <v>0</v>
      </c>
      <c r="CB634" s="216">
        <f ca="1">IF($D634&lt;&gt;"Serviço",0,IF(OR(AND(AUTOEVENTO="Manual",$M634=1),$M634&gt;(ROW(PLE.lastrow)-ROW(PLE.firstrow))),0,IF(OFFSET(PLE!$G$14,$M634,CB$13)="",10^12,OFFSET(PLE!$G$14,$M634,CB$13))))</f>
        <v>0</v>
      </c>
      <c r="CC634" s="216">
        <f ca="1">IF($D634&lt;&gt;"Serviço",0,IF(OR(AND(AUTOEVENTO="Manual",$M634=1),$M634&gt;(ROW(PLE.lastrow)-ROW(PLE.firstrow))),0,IF(OFFSET(PLE!$G$14,$M634,CC$13)="",10^12,OFFSET(PLE!$G$14,$M634,CC$13))))</f>
        <v>0</v>
      </c>
      <c r="CD634" s="216">
        <f ca="1">IF($D634&lt;&gt;"Serviço",0,IF(OR(AND(AUTOEVENTO="Manual",$M634=1),$M634&gt;(ROW(PLE.lastrow)-ROW(PLE.firstrow))),0,IF(OFFSET(PLE!$G$14,$M634,CD$13)="",10^12,OFFSET(PLE!$G$14,$M634,CD$13))))</f>
        <v>0</v>
      </c>
      <c r="CE634" s="216">
        <f ca="1">IF($D634&lt;&gt;"Serviço",0,IF(OR(AND(AUTOEVENTO="Manual",$M634=1),$M634&gt;(ROW(PLE.lastrow)-ROW(PLE.firstrow))),0,IF(OFFSET(PLE!$G$14,$M634,CE$13)="",10^12,OFFSET(PLE!$G$14,$M634,CE$13))))</f>
        <v>0</v>
      </c>
      <c r="CF634" s="216">
        <f ca="1">IF($D634&lt;&gt;"Serviço",0,IF(OR(AND(AUTOEVENTO="Manual",$M634=1),$M634&gt;(ROW(PLE.lastrow)-ROW(PLE.firstrow))),0,IF(OFFSET(PLE!$G$14,$M634,CF$13)="",10^12,OFFSET(PLE!$G$14,$M634,CF$13))))</f>
        <v>0</v>
      </c>
      <c r="CG634" s="216">
        <f ca="1">IF($D634&lt;&gt;"Serviço",0,IF(OR(AND(AUTOEVENTO="Manual",$M634=1),$M634&gt;(ROW(PLE.lastrow)-ROW(PLE.firstrow))),0,IF(OFFSET(PLE!$G$14,$M634,CG$13)="",10^12,OFFSET(PLE!$G$14,$M634,CG$13))))</f>
        <v>0</v>
      </c>
      <c r="CH634" s="216">
        <f ca="1">IF($D634&lt;&gt;"Serviço",0,IF(OR(AND(AUTOEVENTO="Manual",$M634=1),$M634&gt;(ROW(PLE.lastrow)-ROW(PLE.firstrow))),0,IF(OFFSET(PLE!$G$14,$M634,CH$13)="",10^12,OFFSET(PLE!$G$14,$M634,CH$13))))</f>
        <v>0</v>
      </c>
      <c r="CI634" s="216">
        <f ca="1">IF($D634&lt;&gt;"Serviço",0,IF(OR(AND(AUTOEVENTO="Manual",$M634=1),$M634&gt;(ROW(PLE.lastrow)-ROW(PLE.firstrow))),0,IF(OFFSET(PLE!$G$14,$M634,CI$13)="",10^12,OFFSET(PLE!$G$14,$M634,CI$13))))</f>
        <v>0</v>
      </c>
      <c r="CJ634" s="216">
        <f ca="1">IF($D634&lt;&gt;"Serviço",0,IF(OR(AND(AUTOEVENTO="Manual",$M634=1),$M634&gt;(ROW(PLE.lastrow)-ROW(PLE.firstrow))),0,IF(OFFSET(PLE!$G$14,$M634,CJ$13)="",10^12,OFFSET(PLE!$G$14,$M634,CJ$13))))</f>
        <v>0</v>
      </c>
      <c r="CK634" s="216">
        <f ca="1">IF($D634&lt;&gt;"Serviço",0,IF(OR(AND(AUTOEVENTO="Manual",$M634=1),$M634&gt;(ROW(PLE.lastrow)-ROW(PLE.firstrow))),0,IF(OFFSET(PLE!$G$14,$M634,CK$13)="",10^12,OFFSET(PLE!$G$14,$M634,CK$13))))</f>
        <v>0</v>
      </c>
      <c r="CL634" s="216">
        <f ca="1">IF($D634&lt;&gt;"Serviço",0,IF(OR(AND(AUTOEVENTO="Manual",$M634=1),$M634&gt;(ROW(PLE.lastrow)-ROW(PLE.firstrow))),0,IF(OFFSET(PLE!$G$14,$M634,CL$13)="",10^12,OFFSET(PLE!$G$14,$M634,CL$13))))</f>
        <v>0</v>
      </c>
      <c r="CM634" s="216">
        <f ca="1">IF($D634&lt;&gt;"Serviço",0,IF(OR(AND(AUTOEVENTO="Manual",$M634=1),$M634&gt;(ROW(PLE.lastrow)-ROW(PLE.firstrow))),0,IF(OFFSET(PLE!$G$14,$M634,CM$13)="",10^12,OFFSET(PLE!$G$14,$M634,CM$13))))</f>
        <v>0</v>
      </c>
    </row>
    <row r="635" spans="1:91" ht="13.2" x14ac:dyDescent="0.25">
      <c r="A635" s="9">
        <f t="shared" ca="1" si="19"/>
        <v>0</v>
      </c>
      <c r="B635" s="9" t="str">
        <f ca="1">OFFSET(ORÇAMENTO!C$15,ROW(B635)-ROW(B$15),0)</f>
        <v>S</v>
      </c>
      <c r="C635" s="9" t="str">
        <f ca="1">OFFSET(ORÇAMENTO!L$15,ROW(C635)-ROW(C$15),0)</f>
        <v/>
      </c>
      <c r="D635" s="145" t="str">
        <f ca="1">OFFSET(ORÇAMENTO!N$15,ROW(D635)-ROW(D$15),0)</f>
        <v>Serviço</v>
      </c>
      <c r="E635" s="205" t="str">
        <f ca="1">OFFSET(ORÇAMENTO!O$15,ROW(E635)-ROW(E$15),0)</f>
        <v>-</v>
      </c>
      <c r="F635" s="206" t="str">
        <f ca="1">OFFSET(ORÇAMENTO!R$15,ROW(F635)-ROW(F$15),0)</f>
        <v>(abra o arquivo 'Referência 05-2024.xls)</v>
      </c>
      <c r="G635" s="207" t="str">
        <f ca="1">IF($D635&lt;&gt;"Serviço","",OFFSET(ORÇAMENTO!S$15,ROW(G635)-ROW(G$15),0))</f>
        <v>-</v>
      </c>
      <c r="H635" s="151">
        <f ca="1">IF($D635&lt;&gt;"Serviço",0,IF(ACOMPANHAMENTO="BM",ROUND(OFFSET(ORÇAMENTO!AJ$15,ROW(H635)-ROW(H$15),0),15-13*ORÇAMENTO!$AF$7),SUMPRODUCT(($Q$12:$AI$12&lt;&gt;"")*ROUND($Q635:$AI635,15-13*ORÇAMENTO!$AF$7))))</f>
        <v>5034.41</v>
      </c>
      <c r="I635" s="650"/>
      <c r="K635" s="208"/>
      <c r="L635" s="209" t="s">
        <v>257</v>
      </c>
      <c r="M635" s="210">
        <f ca="1">IF($D635&lt;&gt;"Serviço","",IF(AUTOEVENTO="manual",$A635,IF(ISERROR(MATCH($A635,$A$15:OFFSET($A635,-1,0),0)),MAX($M$15:OFFSET(M635,-1,0))+1,INDEX($M$15:OFFSET(M635,-1,0),MATCH($A635,$A$15:OFFSET($A635,-1,0),0)))))</f>
        <v>0</v>
      </c>
      <c r="N635" s="211" t="str">
        <f ca="1">IF($D635&lt;&gt;"Serviço","",IF(AUTOEVENTO="Manual",IF($A635=0,"&lt;-- defina o número do agrupador",OFFSET(EVENTOS!$D$14,$A635,0)),OFFSET($F$15,$A635,0)))</f>
        <v>&lt;-- defina o número do agrupador</v>
      </c>
      <c r="O635" s="212"/>
      <c r="Q635" s="212"/>
      <c r="R635" s="213"/>
      <c r="S635" s="213"/>
      <c r="T635" s="213"/>
      <c r="U635" s="213"/>
      <c r="V635" s="213"/>
      <c r="W635" s="213"/>
      <c r="X635" s="213"/>
      <c r="Y635" s="213"/>
      <c r="Z635" s="214"/>
      <c r="AA635" s="213"/>
      <c r="AB635" s="213"/>
      <c r="AC635" s="213"/>
      <c r="AD635" s="213"/>
      <c r="AE635" s="213"/>
      <c r="AF635" s="213"/>
      <c r="AG635" s="213"/>
      <c r="AH635" s="214"/>
      <c r="AJ635" s="631">
        <f ca="1">IF(AND($D635="Serviço",AJ$12&lt;&gt;0,$H635&gt;0,OR(AUTOEVENTO&lt;&gt;"manual",$M635&lt;&gt;1)),ROUND(OFFSET($P635,0,AJ$13),15-13*ORÇAMENTO!$AF$7)/$H635*OFFSET(ORÇAMENTO!$X$15,ROW(AJ635)-ROW(AJ$15),0),0)</f>
        <v>0</v>
      </c>
      <c r="AK635" s="632">
        <f ca="1">IF(AND($D635="Serviço",AK$12&lt;&gt;0,$H635&gt;0,OR(AUTOEVENTO&lt;&gt;"manual",$M635&lt;&gt;1)),ROUND(OFFSET($P635,0,AK$13),15-13*ORÇAMENTO!$AF$7)/$H635*OFFSET(ORÇAMENTO!$X$15,ROW(AK635)-ROW(AK$15),0),0)</f>
        <v>0</v>
      </c>
      <c r="AL635" s="632">
        <f ca="1">IF(AND($D635="Serviço",AL$12&lt;&gt;0,$H635&gt;0,OR(AUTOEVENTO&lt;&gt;"manual",$M635&lt;&gt;1)),ROUND(OFFSET($P635,0,AL$13),15-13*ORÇAMENTO!$AF$7)/$H635*OFFSET(ORÇAMENTO!$X$15,ROW(AL635)-ROW(AL$15),0),0)</f>
        <v>0</v>
      </c>
      <c r="AM635" s="632">
        <f ca="1">IF(AND($D635="Serviço",AM$12&lt;&gt;0,$H635&gt;0,OR(AUTOEVENTO&lt;&gt;"manual",$M635&lt;&gt;1)),ROUND(OFFSET($P635,0,AM$13),15-13*ORÇAMENTO!$AF$7)/$H635*OFFSET(ORÇAMENTO!$X$15,ROW(AM635)-ROW(AM$15),0),0)</f>
        <v>0</v>
      </c>
      <c r="AN635" s="632">
        <f ca="1">IF(AND($D635="Serviço",AN$12&lt;&gt;0,$H635&gt;0,OR(AUTOEVENTO&lt;&gt;"manual",$M635&lt;&gt;1)),ROUND(OFFSET($P635,0,AN$13),15-13*ORÇAMENTO!$AF$7)/$H635*OFFSET(ORÇAMENTO!$X$15,ROW(AN635)-ROW(AN$15),0),0)</f>
        <v>0</v>
      </c>
      <c r="AO635" s="632">
        <f ca="1">IF(AND($D635="Serviço",AO$12&lt;&gt;0,$H635&gt;0,OR(AUTOEVENTO&lt;&gt;"manual",$M635&lt;&gt;1)),ROUND(OFFSET($P635,0,AO$13),15-13*ORÇAMENTO!$AF$7)/$H635*OFFSET(ORÇAMENTO!$X$15,ROW(AO635)-ROW(AO$15),0),0)</f>
        <v>0</v>
      </c>
      <c r="AP635" s="632">
        <f ca="1">IF(AND($D635="Serviço",AP$12&lt;&gt;0,$H635&gt;0,OR(AUTOEVENTO&lt;&gt;"manual",$M635&lt;&gt;1)),ROUND(OFFSET($P635,0,AP$13),15-13*ORÇAMENTO!$AF$7)/$H635*OFFSET(ORÇAMENTO!$X$15,ROW(AP635)-ROW(AP$15),0),0)</f>
        <v>0</v>
      </c>
      <c r="AQ635" s="632">
        <f ca="1">IF(AND($D635="Serviço",AQ$12&lt;&gt;0,$H635&gt;0,OR(AUTOEVENTO&lt;&gt;"manual",$M635&lt;&gt;1)),ROUND(OFFSET($P635,0,AQ$13),15-13*ORÇAMENTO!$AF$7)/$H635*OFFSET(ORÇAMENTO!$X$15,ROW(AQ635)-ROW(AQ$15),0),0)</f>
        <v>0</v>
      </c>
      <c r="AR635" s="632">
        <f ca="1">IF(AND($D635="Serviço",AR$12&lt;&gt;0,$H635&gt;0,OR(AUTOEVENTO&lt;&gt;"manual",$M635&lt;&gt;1)),ROUND(OFFSET($P635,0,AR$13),15-13*ORÇAMENTO!$AF$7)/$H635*OFFSET(ORÇAMENTO!$X$15,ROW(AR635)-ROW(AR$15),0),0)</f>
        <v>0</v>
      </c>
      <c r="AS635" s="633">
        <f ca="1">IF(AND($D635="Serviço",AS$12&lt;&gt;0,$H635&gt;0,OR(AUTOEVENTO&lt;&gt;"manual",$M635&lt;&gt;1)),ROUND(OFFSET($P635,0,AS$13),15-13*ORÇAMENTO!$AF$7)/$H635*OFFSET(ORÇAMENTO!$X$15,ROW(AS635)-ROW(AS$15),0),0)</f>
        <v>0</v>
      </c>
      <c r="AT635" s="632">
        <f ca="1">IF(AND($D635="Serviço",AT$12&lt;&gt;0,$H635&gt;0,OR(AUTOEVENTO&lt;&gt;"manual",$M635&lt;&gt;1)),ROUND(OFFSET($P635,0,AT$13),15-13*ORÇAMENTO!$AF$7)/$H635*OFFSET(ORÇAMENTO!$X$15,ROW(AT635)-ROW(AT$15),0),0)</f>
        <v>0</v>
      </c>
      <c r="AU635" s="632">
        <f ca="1">IF(AND($D635="Serviço",AU$12&lt;&gt;0,$H635&gt;0,OR(AUTOEVENTO&lt;&gt;"manual",$M635&lt;&gt;1)),ROUND(OFFSET($P635,0,AU$13),15-13*ORÇAMENTO!$AF$7)/$H635*OFFSET(ORÇAMENTO!$X$15,ROW(AU635)-ROW(AU$15),0),0)</f>
        <v>0</v>
      </c>
      <c r="AV635" s="632">
        <f ca="1">IF(AND($D635="Serviço",AV$12&lt;&gt;0,$H635&gt;0,OR(AUTOEVENTO&lt;&gt;"manual",$M635&lt;&gt;1)),ROUND(OFFSET($P635,0,AV$13),15-13*ORÇAMENTO!$AF$7)/$H635*OFFSET(ORÇAMENTO!$X$15,ROW(AV635)-ROW(AV$15),0),0)</f>
        <v>0</v>
      </c>
      <c r="AW635" s="632">
        <f ca="1">IF(AND($D635="Serviço",AW$12&lt;&gt;0,$H635&gt;0,OR(AUTOEVENTO&lt;&gt;"manual",$M635&lt;&gt;1)),ROUND(OFFSET($P635,0,AW$13),15-13*ORÇAMENTO!$AF$7)/$H635*OFFSET(ORÇAMENTO!$X$15,ROW(AW635)-ROW(AW$15),0),0)</f>
        <v>0</v>
      </c>
      <c r="AX635" s="632">
        <f ca="1">IF(AND($D635="Serviço",AX$12&lt;&gt;0,$H635&gt;0,OR(AUTOEVENTO&lt;&gt;"manual",$M635&lt;&gt;1)),ROUND(OFFSET($P635,0,AX$13),15-13*ORÇAMENTO!$AF$7)/$H635*OFFSET(ORÇAMENTO!$X$15,ROW(AX635)-ROW(AX$15),0),0)</f>
        <v>0</v>
      </c>
      <c r="AY635" s="632">
        <f ca="1">IF(AND($D635="Serviço",AY$12&lt;&gt;0,$H635&gt;0,OR(AUTOEVENTO&lt;&gt;"manual",$M635&lt;&gt;1)),ROUND(OFFSET($P635,0,AY$13),15-13*ORÇAMENTO!$AF$7)/$H635*OFFSET(ORÇAMENTO!$X$15,ROW(AY635)-ROW(AY$15),0),0)</f>
        <v>0</v>
      </c>
      <c r="AZ635" s="632">
        <f ca="1">IF(AND($D635="Serviço",AZ$12&lt;&gt;0,$H635&gt;0,OR(AUTOEVENTO&lt;&gt;"manual",$M635&lt;&gt;1)),ROUND(OFFSET($P635,0,AZ$13),15-13*ORÇAMENTO!$AF$7)/$H635*OFFSET(ORÇAMENTO!$X$15,ROW(AZ635)-ROW(AZ$15),0),0)</f>
        <v>0</v>
      </c>
      <c r="BA635" s="633">
        <f ca="1">IF(AND($D635="Serviço",BA$12&lt;&gt;0,$H635&gt;0,OR(AUTOEVENTO&lt;&gt;"manual",$M635&lt;&gt;1)),ROUND(OFFSET($P635,0,BA$13),15-13*ORÇAMENTO!$AF$7)/$H635*OFFSET(ORÇAMENTO!$X$15,ROW(BA635)-ROW(BA$15),0),0)</f>
        <v>0</v>
      </c>
      <c r="BC635" s="215">
        <f ca="1">IF($D635&lt;&gt;"Serviço",0,IF(AND(AUTOEVENTO="Manual",$M635=1),0,IF(OFFSET(CRONOPLE!$F$14,$M635,BC$13)="",10^12,OFFSET(CRONOPLE!$F$14,$M635,BC$13))))</f>
        <v>1000000000000</v>
      </c>
      <c r="BD635" s="215">
        <f ca="1">IF($D635&lt;&gt;"Serviço",0,IF(AND(AUTOEVENTO="Manual",$M635=1),0,IF(OFFSET(CRONOPLE!$F$14,$M635,BD$13)="",10^12,OFFSET(CRONOPLE!$F$14,$M635,BD$13))))</f>
        <v>1000000000000</v>
      </c>
      <c r="BE635" s="215">
        <f ca="1">IF($D635&lt;&gt;"Serviço",0,IF(AND(AUTOEVENTO="Manual",$M635=1),0,IF(OFFSET(CRONOPLE!$F$14,$M635,BE$13)="",10^12,OFFSET(CRONOPLE!$F$14,$M635,BE$13))))</f>
        <v>1000000000000</v>
      </c>
      <c r="BF635" s="215">
        <f ca="1">IF($D635&lt;&gt;"Serviço",0,IF(AND(AUTOEVENTO="Manual",$M635=1),0,IF(OFFSET(CRONOPLE!$F$14,$M635,BF$13)="",10^12,OFFSET(CRONOPLE!$F$14,$M635,BF$13))))</f>
        <v>1000000000000</v>
      </c>
      <c r="BG635" s="215">
        <f ca="1">IF($D635&lt;&gt;"Serviço",0,IF(AND(AUTOEVENTO="Manual",$M635=1),0,IF(OFFSET(CRONOPLE!$F$14,$M635,BG$13)="",10^12,OFFSET(CRONOPLE!$F$14,$M635,BG$13))))</f>
        <v>1000000000000</v>
      </c>
      <c r="BH635" s="215">
        <f ca="1">IF($D635&lt;&gt;"Serviço",0,IF(AND(AUTOEVENTO="Manual",$M635=1),0,IF(OFFSET(CRONOPLE!$F$14,$M635,BH$13)="",10^12,OFFSET(CRONOPLE!$F$14,$M635,BH$13))))</f>
        <v>1000000000000</v>
      </c>
      <c r="BI635" s="215">
        <f ca="1">IF($D635&lt;&gt;"Serviço",0,IF(AND(AUTOEVENTO="Manual",$M635=1),0,IF(OFFSET(CRONOPLE!$F$14,$M635,BI$13)="",10^12,OFFSET(CRONOPLE!$F$14,$M635,BI$13))))</f>
        <v>1000000000000</v>
      </c>
      <c r="BJ635" s="215">
        <f ca="1">IF($D635&lt;&gt;"Serviço",0,IF(AND(AUTOEVENTO="Manual",$M635=1),0,IF(OFFSET(CRONOPLE!$F$14,$M635,BJ$13)="",10^12,OFFSET(CRONOPLE!$F$14,$M635,BJ$13))))</f>
        <v>1000000000000</v>
      </c>
      <c r="BK635" s="215">
        <f ca="1">IF($D635&lt;&gt;"Serviço",0,IF(AND(AUTOEVENTO="Manual",$M635=1),0,IF(OFFSET(CRONOPLE!$F$14,$M635,BK$13)="",10^12,OFFSET(CRONOPLE!$F$14,$M635,BK$13))))</f>
        <v>1000000000000</v>
      </c>
      <c r="BL635" s="215">
        <f ca="1">IF($D635&lt;&gt;"Serviço",0,IF(AND(AUTOEVENTO="Manual",$M635=1),0,IF(OFFSET(CRONOPLE!$F$14,$M635,BL$13)="",10^12,OFFSET(CRONOPLE!$F$14,$M635,BL$13))))</f>
        <v>1000000000000</v>
      </c>
      <c r="BM635" s="215">
        <f ca="1">IF($D635&lt;&gt;"Serviço",0,IF(AND(AUTOEVENTO="Manual",$M635=1),0,IF(OFFSET(CRONOPLE!$F$14,$M635,BM$13)="",10^12,OFFSET(CRONOPLE!$F$14,$M635,BM$13))))</f>
        <v>1000000000000</v>
      </c>
      <c r="BN635" s="215">
        <f ca="1">IF($D635&lt;&gt;"Serviço",0,IF(AND(AUTOEVENTO="Manual",$M635=1),0,IF(OFFSET(CRONOPLE!$F$14,$M635,BN$13)="",10^12,OFFSET(CRONOPLE!$F$14,$M635,BN$13))))</f>
        <v>1000000000000</v>
      </c>
      <c r="BO635" s="215">
        <f ca="1">IF($D635&lt;&gt;"Serviço",0,IF(AND(AUTOEVENTO="Manual",$M635=1),0,IF(OFFSET(CRONOPLE!$F$14,$M635,BO$13)="",10^12,OFFSET(CRONOPLE!$F$14,$M635,BO$13))))</f>
        <v>1000000000000</v>
      </c>
      <c r="BP635" s="215">
        <f ca="1">IF($D635&lt;&gt;"Serviço",0,IF(AND(AUTOEVENTO="Manual",$M635=1),0,IF(OFFSET(CRONOPLE!$F$14,$M635,BP$13)="",10^12,OFFSET(CRONOPLE!$F$14,$M635,BP$13))))</f>
        <v>1000000000000</v>
      </c>
      <c r="BQ635" s="215">
        <f ca="1">IF($D635&lt;&gt;"Serviço",0,IF(AND(AUTOEVENTO="Manual",$M635=1),0,IF(OFFSET(CRONOPLE!$F$14,$M635,BQ$13)="",10^12,OFFSET(CRONOPLE!$F$14,$M635,BQ$13))))</f>
        <v>1000000000000</v>
      </c>
      <c r="BR635" s="215">
        <f ca="1">IF($D635&lt;&gt;"Serviço",0,IF(AND(AUTOEVENTO="Manual",$M635=1),0,IF(OFFSET(CRONOPLE!$F$14,$M635,BR$13)="",10^12,OFFSET(CRONOPLE!$F$14,$M635,BR$13))))</f>
        <v>1000000000000</v>
      </c>
      <c r="BS635" s="215">
        <f ca="1">IF($D635&lt;&gt;"Serviço",0,IF(AND(AUTOEVENTO="Manual",$M635=1),0,IF(OFFSET(CRONOPLE!$F$14,$M635,BS$13)="",10^12,OFFSET(CRONOPLE!$F$14,$M635,BS$13))))</f>
        <v>1000000000000</v>
      </c>
      <c r="BT635" s="215">
        <f ca="1">IF($D635&lt;&gt;"Serviço",0,IF(AND(AUTOEVENTO="Manual",$M635=1),0,IF(OFFSET(CRONOPLE!$F$14,$M635,BT$13)="",10^12,OFFSET(CRONOPLE!$F$14,$M635,BT$13))))</f>
        <v>1000000000000</v>
      </c>
      <c r="BV635" s="216">
        <f ca="1">IF($D635&lt;&gt;"Serviço",0,IF(OR(AND(AUTOEVENTO="Manual",$M635=1),$M635&gt;(ROW(PLE.lastrow)-ROW(PLE.firstrow))),0,IF(OFFSET(PLE!$G$14,$M635,BV$13)="",10^12,OFFSET(PLE!$G$14,$M635,BV$13))))</f>
        <v>1000000000000</v>
      </c>
      <c r="BW635" s="216">
        <f ca="1">IF($D635&lt;&gt;"Serviço",0,IF(OR(AND(AUTOEVENTO="Manual",$M635=1),$M635&gt;(ROW(PLE.lastrow)-ROW(PLE.firstrow))),0,IF(OFFSET(PLE!$G$14,$M635,BW$13)="",10^12,OFFSET(PLE!$G$14,$M635,BW$13))))</f>
        <v>1000000000000</v>
      </c>
      <c r="BX635" s="216">
        <f ca="1">IF($D635&lt;&gt;"Serviço",0,IF(OR(AND(AUTOEVENTO="Manual",$M635=1),$M635&gt;(ROW(PLE.lastrow)-ROW(PLE.firstrow))),0,IF(OFFSET(PLE!$G$14,$M635,BX$13)="",10^12,OFFSET(PLE!$G$14,$M635,BX$13))))</f>
        <v>1000000000000</v>
      </c>
      <c r="BY635" s="216">
        <f ca="1">IF($D635&lt;&gt;"Serviço",0,IF(OR(AND(AUTOEVENTO="Manual",$M635=1),$M635&gt;(ROW(PLE.lastrow)-ROW(PLE.firstrow))),0,IF(OFFSET(PLE!$G$14,$M635,BY$13)="",10^12,OFFSET(PLE!$G$14,$M635,BY$13))))</f>
        <v>1000000000000</v>
      </c>
      <c r="BZ635" s="216">
        <f ca="1">IF($D635&lt;&gt;"Serviço",0,IF(OR(AND(AUTOEVENTO="Manual",$M635=1),$M635&gt;(ROW(PLE.lastrow)-ROW(PLE.firstrow))),0,IF(OFFSET(PLE!$G$14,$M635,BZ$13)="",10^12,OFFSET(PLE!$G$14,$M635,BZ$13))))</f>
        <v>1000000000000</v>
      </c>
      <c r="CA635" s="216">
        <f ca="1">IF($D635&lt;&gt;"Serviço",0,IF(OR(AND(AUTOEVENTO="Manual",$M635=1),$M635&gt;(ROW(PLE.lastrow)-ROW(PLE.firstrow))),0,IF(OFFSET(PLE!$G$14,$M635,CA$13)="",10^12,OFFSET(PLE!$G$14,$M635,CA$13))))</f>
        <v>1000000000000</v>
      </c>
      <c r="CB635" s="216">
        <f ca="1">IF($D635&lt;&gt;"Serviço",0,IF(OR(AND(AUTOEVENTO="Manual",$M635=1),$M635&gt;(ROW(PLE.lastrow)-ROW(PLE.firstrow))),0,IF(OFFSET(PLE!$G$14,$M635,CB$13)="",10^12,OFFSET(PLE!$G$14,$M635,CB$13))))</f>
        <v>1000000000000</v>
      </c>
      <c r="CC635" s="216">
        <f ca="1">IF($D635&lt;&gt;"Serviço",0,IF(OR(AND(AUTOEVENTO="Manual",$M635=1),$M635&gt;(ROW(PLE.lastrow)-ROW(PLE.firstrow))),0,IF(OFFSET(PLE!$G$14,$M635,CC$13)="",10^12,OFFSET(PLE!$G$14,$M635,CC$13))))</f>
        <v>1000000000000</v>
      </c>
      <c r="CD635" s="216">
        <f ca="1">IF($D635&lt;&gt;"Serviço",0,IF(OR(AND(AUTOEVENTO="Manual",$M635=1),$M635&gt;(ROW(PLE.lastrow)-ROW(PLE.firstrow))),0,IF(OFFSET(PLE!$G$14,$M635,CD$13)="",10^12,OFFSET(PLE!$G$14,$M635,CD$13))))</f>
        <v>1000000000000</v>
      </c>
      <c r="CE635" s="216">
        <f ca="1">IF($D635&lt;&gt;"Serviço",0,IF(OR(AND(AUTOEVENTO="Manual",$M635=1),$M635&gt;(ROW(PLE.lastrow)-ROW(PLE.firstrow))),0,IF(OFFSET(PLE!$G$14,$M635,CE$13)="",10^12,OFFSET(PLE!$G$14,$M635,CE$13))))</f>
        <v>1000000000000</v>
      </c>
      <c r="CF635" s="216">
        <f ca="1">IF($D635&lt;&gt;"Serviço",0,IF(OR(AND(AUTOEVENTO="Manual",$M635=1),$M635&gt;(ROW(PLE.lastrow)-ROW(PLE.firstrow))),0,IF(OFFSET(PLE!$G$14,$M635,CF$13)="",10^12,OFFSET(PLE!$G$14,$M635,CF$13))))</f>
        <v>1000000000000</v>
      </c>
      <c r="CG635" s="216">
        <f ca="1">IF($D635&lt;&gt;"Serviço",0,IF(OR(AND(AUTOEVENTO="Manual",$M635=1),$M635&gt;(ROW(PLE.lastrow)-ROW(PLE.firstrow))),0,IF(OFFSET(PLE!$G$14,$M635,CG$13)="",10^12,OFFSET(PLE!$G$14,$M635,CG$13))))</f>
        <v>1000000000000</v>
      </c>
      <c r="CH635" s="216">
        <f ca="1">IF($D635&lt;&gt;"Serviço",0,IF(OR(AND(AUTOEVENTO="Manual",$M635=1),$M635&gt;(ROW(PLE.lastrow)-ROW(PLE.firstrow))),0,IF(OFFSET(PLE!$G$14,$M635,CH$13)="",10^12,OFFSET(PLE!$G$14,$M635,CH$13))))</f>
        <v>1000000000000</v>
      </c>
      <c r="CI635" s="216">
        <f ca="1">IF($D635&lt;&gt;"Serviço",0,IF(OR(AND(AUTOEVENTO="Manual",$M635=1),$M635&gt;(ROW(PLE.lastrow)-ROW(PLE.firstrow))),0,IF(OFFSET(PLE!$G$14,$M635,CI$13)="",10^12,OFFSET(PLE!$G$14,$M635,CI$13))))</f>
        <v>1000000000000</v>
      </c>
      <c r="CJ635" s="216">
        <f ca="1">IF($D635&lt;&gt;"Serviço",0,IF(OR(AND(AUTOEVENTO="Manual",$M635=1),$M635&gt;(ROW(PLE.lastrow)-ROW(PLE.firstrow))),0,IF(OFFSET(PLE!$G$14,$M635,CJ$13)="",10^12,OFFSET(PLE!$G$14,$M635,CJ$13))))</f>
        <v>1000000000000</v>
      </c>
      <c r="CK635" s="216">
        <f ca="1">IF($D635&lt;&gt;"Serviço",0,IF(OR(AND(AUTOEVENTO="Manual",$M635=1),$M635&gt;(ROW(PLE.lastrow)-ROW(PLE.firstrow))),0,IF(OFFSET(PLE!$G$14,$M635,CK$13)="",10^12,OFFSET(PLE!$G$14,$M635,CK$13))))</f>
        <v>1000000000000</v>
      </c>
      <c r="CL635" s="216">
        <f ca="1">IF($D635&lt;&gt;"Serviço",0,IF(OR(AND(AUTOEVENTO="Manual",$M635=1),$M635&gt;(ROW(PLE.lastrow)-ROW(PLE.firstrow))),0,IF(OFFSET(PLE!$G$14,$M635,CL$13)="",10^12,OFFSET(PLE!$G$14,$M635,CL$13))))</f>
        <v>1000000000000</v>
      </c>
      <c r="CM635" s="216">
        <f ca="1">IF($D635&lt;&gt;"Serviço",0,IF(OR(AND(AUTOEVENTO="Manual",$M635=1),$M635&gt;(ROW(PLE.lastrow)-ROW(PLE.firstrow))),0,IF(OFFSET(PLE!$G$14,$M635,CM$13)="",10^12,OFFSET(PLE!$G$14,$M635,CM$13))))</f>
        <v>1000000000000</v>
      </c>
    </row>
    <row r="636" spans="1:91" ht="13.2" x14ac:dyDescent="0.25">
      <c r="A636" s="9">
        <f t="shared" ca="1" si="19"/>
        <v>0</v>
      </c>
      <c r="B636" s="9">
        <f ca="1">OFFSET(ORÇAMENTO!C$15,ROW(B636)-ROW(B$15),0)</f>
        <v>3</v>
      </c>
      <c r="C636" s="9" t="str">
        <f ca="1">OFFSET(ORÇAMENTO!L$15,ROW(C636)-ROW(C$15),0)</f>
        <v>F</v>
      </c>
      <c r="D636" s="145" t="str">
        <f ca="1">OFFSET(ORÇAMENTO!N$15,ROW(D636)-ROW(D$15),0)</f>
        <v>Nível 3</v>
      </c>
      <c r="E636" s="205" t="str">
        <f ca="1">OFFSET(ORÇAMENTO!O$15,ROW(E636)-ROW(E$15),0)</f>
        <v>1.20.3.</v>
      </c>
      <c r="F636" s="206" t="str">
        <f ca="1">OFFSET(ORÇAMENTO!R$15,ROW(F636)-ROW(F$15),0)</f>
        <v>ACESSÓRIOS PARA ELETRODUTOS</v>
      </c>
      <c r="G636" s="207" t="str">
        <f ca="1">IF($D636&lt;&gt;"Serviço","",OFFSET(ORÇAMENTO!S$15,ROW(G636)-ROW(G$15),0))</f>
        <v/>
      </c>
      <c r="H636" s="151">
        <f ca="1">IF($D636&lt;&gt;"Serviço",0,IF(ACOMPANHAMENTO="BM",ROUND(OFFSET(ORÇAMENTO!AJ$15,ROW(H636)-ROW(H$15),0),15-13*ORÇAMENTO!$AF$7),SUMPRODUCT(($Q$12:$AI$12&lt;&gt;"")*ROUND($Q636:$AI636,15-13*ORÇAMENTO!$AF$7))))</f>
        <v>0</v>
      </c>
      <c r="I636" s="650"/>
      <c r="K636" s="208"/>
      <c r="L636" s="209" t="s">
        <v>257</v>
      </c>
      <c r="M636" s="210" t="str">
        <f ca="1">IF($D636&lt;&gt;"Serviço","",IF(AUTOEVENTO="manual",$A636,IF(ISERROR(MATCH($A636,$A$15:OFFSET($A636,-1,0),0)),MAX($M$15:OFFSET(M636,-1,0))+1,INDEX($M$15:OFFSET(M636,-1,0),MATCH($A636,$A$15:OFFSET($A636,-1,0),0)))))</f>
        <v/>
      </c>
      <c r="N636" s="211" t="str">
        <f ca="1">IF($D636&lt;&gt;"Serviço","",IF(AUTOEVENTO="Manual",IF($A636=0,"&lt;-- defina o número do agrupador",OFFSET(EVENTOS!$D$14,$A636,0)),OFFSET($F$15,$A636,0)))</f>
        <v/>
      </c>
      <c r="O636" s="212"/>
      <c r="Q636" s="212"/>
      <c r="R636" s="213"/>
      <c r="S636" s="213"/>
      <c r="T636" s="213"/>
      <c r="U636" s="213"/>
      <c r="V636" s="213"/>
      <c r="W636" s="213"/>
      <c r="X636" s="213"/>
      <c r="Y636" s="213"/>
      <c r="Z636" s="214"/>
      <c r="AA636" s="213"/>
      <c r="AB636" s="213"/>
      <c r="AC636" s="213"/>
      <c r="AD636" s="213"/>
      <c r="AE636" s="213"/>
      <c r="AF636" s="213"/>
      <c r="AG636" s="213"/>
      <c r="AH636" s="214"/>
      <c r="AJ636" s="631">
        <f ca="1">IF(AND($D636="Serviço",AJ$12&lt;&gt;0,$H636&gt;0,OR(AUTOEVENTO&lt;&gt;"manual",$M636&lt;&gt;1)),ROUND(OFFSET($P636,0,AJ$13),15-13*ORÇAMENTO!$AF$7)/$H636*OFFSET(ORÇAMENTO!$X$15,ROW(AJ636)-ROW(AJ$15),0),0)</f>
        <v>0</v>
      </c>
      <c r="AK636" s="632">
        <f ca="1">IF(AND($D636="Serviço",AK$12&lt;&gt;0,$H636&gt;0,OR(AUTOEVENTO&lt;&gt;"manual",$M636&lt;&gt;1)),ROUND(OFFSET($P636,0,AK$13),15-13*ORÇAMENTO!$AF$7)/$H636*OFFSET(ORÇAMENTO!$X$15,ROW(AK636)-ROW(AK$15),0),0)</f>
        <v>0</v>
      </c>
      <c r="AL636" s="632">
        <f ca="1">IF(AND($D636="Serviço",AL$12&lt;&gt;0,$H636&gt;0,OR(AUTOEVENTO&lt;&gt;"manual",$M636&lt;&gt;1)),ROUND(OFFSET($P636,0,AL$13),15-13*ORÇAMENTO!$AF$7)/$H636*OFFSET(ORÇAMENTO!$X$15,ROW(AL636)-ROW(AL$15),0),0)</f>
        <v>0</v>
      </c>
      <c r="AM636" s="632">
        <f ca="1">IF(AND($D636="Serviço",AM$12&lt;&gt;0,$H636&gt;0,OR(AUTOEVENTO&lt;&gt;"manual",$M636&lt;&gt;1)),ROUND(OFFSET($P636,0,AM$13),15-13*ORÇAMENTO!$AF$7)/$H636*OFFSET(ORÇAMENTO!$X$15,ROW(AM636)-ROW(AM$15),0),0)</f>
        <v>0</v>
      </c>
      <c r="AN636" s="632">
        <f ca="1">IF(AND($D636="Serviço",AN$12&lt;&gt;0,$H636&gt;0,OR(AUTOEVENTO&lt;&gt;"manual",$M636&lt;&gt;1)),ROUND(OFFSET($P636,0,AN$13),15-13*ORÇAMENTO!$AF$7)/$H636*OFFSET(ORÇAMENTO!$X$15,ROW(AN636)-ROW(AN$15),0),0)</f>
        <v>0</v>
      </c>
      <c r="AO636" s="632">
        <f ca="1">IF(AND($D636="Serviço",AO$12&lt;&gt;0,$H636&gt;0,OR(AUTOEVENTO&lt;&gt;"manual",$M636&lt;&gt;1)),ROUND(OFFSET($P636,0,AO$13),15-13*ORÇAMENTO!$AF$7)/$H636*OFFSET(ORÇAMENTO!$X$15,ROW(AO636)-ROW(AO$15),0),0)</f>
        <v>0</v>
      </c>
      <c r="AP636" s="632">
        <f ca="1">IF(AND($D636="Serviço",AP$12&lt;&gt;0,$H636&gt;0,OR(AUTOEVENTO&lt;&gt;"manual",$M636&lt;&gt;1)),ROUND(OFFSET($P636,0,AP$13),15-13*ORÇAMENTO!$AF$7)/$H636*OFFSET(ORÇAMENTO!$X$15,ROW(AP636)-ROW(AP$15),0),0)</f>
        <v>0</v>
      </c>
      <c r="AQ636" s="632">
        <f ca="1">IF(AND($D636="Serviço",AQ$12&lt;&gt;0,$H636&gt;0,OR(AUTOEVENTO&lt;&gt;"manual",$M636&lt;&gt;1)),ROUND(OFFSET($P636,0,AQ$13),15-13*ORÇAMENTO!$AF$7)/$H636*OFFSET(ORÇAMENTO!$X$15,ROW(AQ636)-ROW(AQ$15),0),0)</f>
        <v>0</v>
      </c>
      <c r="AR636" s="632">
        <f ca="1">IF(AND($D636="Serviço",AR$12&lt;&gt;0,$H636&gt;0,OR(AUTOEVENTO&lt;&gt;"manual",$M636&lt;&gt;1)),ROUND(OFFSET($P636,0,AR$13),15-13*ORÇAMENTO!$AF$7)/$H636*OFFSET(ORÇAMENTO!$X$15,ROW(AR636)-ROW(AR$15),0),0)</f>
        <v>0</v>
      </c>
      <c r="AS636" s="633">
        <f ca="1">IF(AND($D636="Serviço",AS$12&lt;&gt;0,$H636&gt;0,OR(AUTOEVENTO&lt;&gt;"manual",$M636&lt;&gt;1)),ROUND(OFFSET($P636,0,AS$13),15-13*ORÇAMENTO!$AF$7)/$H636*OFFSET(ORÇAMENTO!$X$15,ROW(AS636)-ROW(AS$15),0),0)</f>
        <v>0</v>
      </c>
      <c r="AT636" s="632">
        <f ca="1">IF(AND($D636="Serviço",AT$12&lt;&gt;0,$H636&gt;0,OR(AUTOEVENTO&lt;&gt;"manual",$M636&lt;&gt;1)),ROUND(OFFSET($P636,0,AT$13),15-13*ORÇAMENTO!$AF$7)/$H636*OFFSET(ORÇAMENTO!$X$15,ROW(AT636)-ROW(AT$15),0),0)</f>
        <v>0</v>
      </c>
      <c r="AU636" s="632">
        <f ca="1">IF(AND($D636="Serviço",AU$12&lt;&gt;0,$H636&gt;0,OR(AUTOEVENTO&lt;&gt;"manual",$M636&lt;&gt;1)),ROUND(OFFSET($P636,0,AU$13),15-13*ORÇAMENTO!$AF$7)/$H636*OFFSET(ORÇAMENTO!$X$15,ROW(AU636)-ROW(AU$15),0),0)</f>
        <v>0</v>
      </c>
      <c r="AV636" s="632">
        <f ca="1">IF(AND($D636="Serviço",AV$12&lt;&gt;0,$H636&gt;0,OR(AUTOEVENTO&lt;&gt;"manual",$M636&lt;&gt;1)),ROUND(OFFSET($P636,0,AV$13),15-13*ORÇAMENTO!$AF$7)/$H636*OFFSET(ORÇAMENTO!$X$15,ROW(AV636)-ROW(AV$15),0),0)</f>
        <v>0</v>
      </c>
      <c r="AW636" s="632">
        <f ca="1">IF(AND($D636="Serviço",AW$12&lt;&gt;0,$H636&gt;0,OR(AUTOEVENTO&lt;&gt;"manual",$M636&lt;&gt;1)),ROUND(OFFSET($P636,0,AW$13),15-13*ORÇAMENTO!$AF$7)/$H636*OFFSET(ORÇAMENTO!$X$15,ROW(AW636)-ROW(AW$15),0),0)</f>
        <v>0</v>
      </c>
      <c r="AX636" s="632">
        <f ca="1">IF(AND($D636="Serviço",AX$12&lt;&gt;0,$H636&gt;0,OR(AUTOEVENTO&lt;&gt;"manual",$M636&lt;&gt;1)),ROUND(OFFSET($P636,0,AX$13),15-13*ORÇAMENTO!$AF$7)/$H636*OFFSET(ORÇAMENTO!$X$15,ROW(AX636)-ROW(AX$15),0),0)</f>
        <v>0</v>
      </c>
      <c r="AY636" s="632">
        <f ca="1">IF(AND($D636="Serviço",AY$12&lt;&gt;0,$H636&gt;0,OR(AUTOEVENTO&lt;&gt;"manual",$M636&lt;&gt;1)),ROUND(OFFSET($P636,0,AY$13),15-13*ORÇAMENTO!$AF$7)/$H636*OFFSET(ORÇAMENTO!$X$15,ROW(AY636)-ROW(AY$15),0),0)</f>
        <v>0</v>
      </c>
      <c r="AZ636" s="632">
        <f ca="1">IF(AND($D636="Serviço",AZ$12&lt;&gt;0,$H636&gt;0,OR(AUTOEVENTO&lt;&gt;"manual",$M636&lt;&gt;1)),ROUND(OFFSET($P636,0,AZ$13),15-13*ORÇAMENTO!$AF$7)/$H636*OFFSET(ORÇAMENTO!$X$15,ROW(AZ636)-ROW(AZ$15),0),0)</f>
        <v>0</v>
      </c>
      <c r="BA636" s="633">
        <f ca="1">IF(AND($D636="Serviço",BA$12&lt;&gt;0,$H636&gt;0,OR(AUTOEVENTO&lt;&gt;"manual",$M636&lt;&gt;1)),ROUND(OFFSET($P636,0,BA$13),15-13*ORÇAMENTO!$AF$7)/$H636*OFFSET(ORÇAMENTO!$X$15,ROW(BA636)-ROW(BA$15),0),0)</f>
        <v>0</v>
      </c>
      <c r="BC636" s="215">
        <f ca="1">IF($D636&lt;&gt;"Serviço",0,IF(AND(AUTOEVENTO="Manual",$M636=1),0,IF(OFFSET(CRONOPLE!$F$14,$M636,BC$13)="",10^12,OFFSET(CRONOPLE!$F$14,$M636,BC$13))))</f>
        <v>0</v>
      </c>
      <c r="BD636" s="215">
        <f ca="1">IF($D636&lt;&gt;"Serviço",0,IF(AND(AUTOEVENTO="Manual",$M636=1),0,IF(OFFSET(CRONOPLE!$F$14,$M636,BD$13)="",10^12,OFFSET(CRONOPLE!$F$14,$M636,BD$13))))</f>
        <v>0</v>
      </c>
      <c r="BE636" s="215">
        <f ca="1">IF($D636&lt;&gt;"Serviço",0,IF(AND(AUTOEVENTO="Manual",$M636=1),0,IF(OFFSET(CRONOPLE!$F$14,$M636,BE$13)="",10^12,OFFSET(CRONOPLE!$F$14,$M636,BE$13))))</f>
        <v>0</v>
      </c>
      <c r="BF636" s="215">
        <f ca="1">IF($D636&lt;&gt;"Serviço",0,IF(AND(AUTOEVENTO="Manual",$M636=1),0,IF(OFFSET(CRONOPLE!$F$14,$M636,BF$13)="",10^12,OFFSET(CRONOPLE!$F$14,$M636,BF$13))))</f>
        <v>0</v>
      </c>
      <c r="BG636" s="215">
        <f ca="1">IF($D636&lt;&gt;"Serviço",0,IF(AND(AUTOEVENTO="Manual",$M636=1),0,IF(OFFSET(CRONOPLE!$F$14,$M636,BG$13)="",10^12,OFFSET(CRONOPLE!$F$14,$M636,BG$13))))</f>
        <v>0</v>
      </c>
      <c r="BH636" s="215">
        <f ca="1">IF($D636&lt;&gt;"Serviço",0,IF(AND(AUTOEVENTO="Manual",$M636=1),0,IF(OFFSET(CRONOPLE!$F$14,$M636,BH$13)="",10^12,OFFSET(CRONOPLE!$F$14,$M636,BH$13))))</f>
        <v>0</v>
      </c>
      <c r="BI636" s="215">
        <f ca="1">IF($D636&lt;&gt;"Serviço",0,IF(AND(AUTOEVENTO="Manual",$M636=1),0,IF(OFFSET(CRONOPLE!$F$14,$M636,BI$13)="",10^12,OFFSET(CRONOPLE!$F$14,$M636,BI$13))))</f>
        <v>0</v>
      </c>
      <c r="BJ636" s="215">
        <f ca="1">IF($D636&lt;&gt;"Serviço",0,IF(AND(AUTOEVENTO="Manual",$M636=1),0,IF(OFFSET(CRONOPLE!$F$14,$M636,BJ$13)="",10^12,OFFSET(CRONOPLE!$F$14,$M636,BJ$13))))</f>
        <v>0</v>
      </c>
      <c r="BK636" s="215">
        <f ca="1">IF($D636&lt;&gt;"Serviço",0,IF(AND(AUTOEVENTO="Manual",$M636=1),0,IF(OFFSET(CRONOPLE!$F$14,$M636,BK$13)="",10^12,OFFSET(CRONOPLE!$F$14,$M636,BK$13))))</f>
        <v>0</v>
      </c>
      <c r="BL636" s="215">
        <f ca="1">IF($D636&lt;&gt;"Serviço",0,IF(AND(AUTOEVENTO="Manual",$M636=1),0,IF(OFFSET(CRONOPLE!$F$14,$M636,BL$13)="",10^12,OFFSET(CRONOPLE!$F$14,$M636,BL$13))))</f>
        <v>0</v>
      </c>
      <c r="BM636" s="215">
        <f ca="1">IF($D636&lt;&gt;"Serviço",0,IF(AND(AUTOEVENTO="Manual",$M636=1),0,IF(OFFSET(CRONOPLE!$F$14,$M636,BM$13)="",10^12,OFFSET(CRONOPLE!$F$14,$M636,BM$13))))</f>
        <v>0</v>
      </c>
      <c r="BN636" s="215">
        <f ca="1">IF($D636&lt;&gt;"Serviço",0,IF(AND(AUTOEVENTO="Manual",$M636=1),0,IF(OFFSET(CRONOPLE!$F$14,$M636,BN$13)="",10^12,OFFSET(CRONOPLE!$F$14,$M636,BN$13))))</f>
        <v>0</v>
      </c>
      <c r="BO636" s="215">
        <f ca="1">IF($D636&lt;&gt;"Serviço",0,IF(AND(AUTOEVENTO="Manual",$M636=1),0,IF(OFFSET(CRONOPLE!$F$14,$M636,BO$13)="",10^12,OFFSET(CRONOPLE!$F$14,$M636,BO$13))))</f>
        <v>0</v>
      </c>
      <c r="BP636" s="215">
        <f ca="1">IF($D636&lt;&gt;"Serviço",0,IF(AND(AUTOEVENTO="Manual",$M636=1),0,IF(OFFSET(CRONOPLE!$F$14,$M636,BP$13)="",10^12,OFFSET(CRONOPLE!$F$14,$M636,BP$13))))</f>
        <v>0</v>
      </c>
      <c r="BQ636" s="215">
        <f ca="1">IF($D636&lt;&gt;"Serviço",0,IF(AND(AUTOEVENTO="Manual",$M636=1),0,IF(OFFSET(CRONOPLE!$F$14,$M636,BQ$13)="",10^12,OFFSET(CRONOPLE!$F$14,$M636,BQ$13))))</f>
        <v>0</v>
      </c>
      <c r="BR636" s="215">
        <f ca="1">IF($D636&lt;&gt;"Serviço",0,IF(AND(AUTOEVENTO="Manual",$M636=1),0,IF(OFFSET(CRONOPLE!$F$14,$M636,BR$13)="",10^12,OFFSET(CRONOPLE!$F$14,$M636,BR$13))))</f>
        <v>0</v>
      </c>
      <c r="BS636" s="215">
        <f ca="1">IF($D636&lt;&gt;"Serviço",0,IF(AND(AUTOEVENTO="Manual",$M636=1),0,IF(OFFSET(CRONOPLE!$F$14,$M636,BS$13)="",10^12,OFFSET(CRONOPLE!$F$14,$M636,BS$13))))</f>
        <v>0</v>
      </c>
      <c r="BT636" s="215">
        <f ca="1">IF($D636&lt;&gt;"Serviço",0,IF(AND(AUTOEVENTO="Manual",$M636=1),0,IF(OFFSET(CRONOPLE!$F$14,$M636,BT$13)="",10^12,OFFSET(CRONOPLE!$F$14,$M636,BT$13))))</f>
        <v>0</v>
      </c>
      <c r="BV636" s="216">
        <f ca="1">IF($D636&lt;&gt;"Serviço",0,IF(OR(AND(AUTOEVENTO="Manual",$M636=1),$M636&gt;(ROW(PLE.lastrow)-ROW(PLE.firstrow))),0,IF(OFFSET(PLE!$G$14,$M636,BV$13)="",10^12,OFFSET(PLE!$G$14,$M636,BV$13))))</f>
        <v>0</v>
      </c>
      <c r="BW636" s="216">
        <f ca="1">IF($D636&lt;&gt;"Serviço",0,IF(OR(AND(AUTOEVENTO="Manual",$M636=1),$M636&gt;(ROW(PLE.lastrow)-ROW(PLE.firstrow))),0,IF(OFFSET(PLE!$G$14,$M636,BW$13)="",10^12,OFFSET(PLE!$G$14,$M636,BW$13))))</f>
        <v>0</v>
      </c>
      <c r="BX636" s="216">
        <f ca="1">IF($D636&lt;&gt;"Serviço",0,IF(OR(AND(AUTOEVENTO="Manual",$M636=1),$M636&gt;(ROW(PLE.lastrow)-ROW(PLE.firstrow))),0,IF(OFFSET(PLE!$G$14,$M636,BX$13)="",10^12,OFFSET(PLE!$G$14,$M636,BX$13))))</f>
        <v>0</v>
      </c>
      <c r="BY636" s="216">
        <f ca="1">IF($D636&lt;&gt;"Serviço",0,IF(OR(AND(AUTOEVENTO="Manual",$M636=1),$M636&gt;(ROW(PLE.lastrow)-ROW(PLE.firstrow))),0,IF(OFFSET(PLE!$G$14,$M636,BY$13)="",10^12,OFFSET(PLE!$G$14,$M636,BY$13))))</f>
        <v>0</v>
      </c>
      <c r="BZ636" s="216">
        <f ca="1">IF($D636&lt;&gt;"Serviço",0,IF(OR(AND(AUTOEVENTO="Manual",$M636=1),$M636&gt;(ROW(PLE.lastrow)-ROW(PLE.firstrow))),0,IF(OFFSET(PLE!$G$14,$M636,BZ$13)="",10^12,OFFSET(PLE!$G$14,$M636,BZ$13))))</f>
        <v>0</v>
      </c>
      <c r="CA636" s="216">
        <f ca="1">IF($D636&lt;&gt;"Serviço",0,IF(OR(AND(AUTOEVENTO="Manual",$M636=1),$M636&gt;(ROW(PLE.lastrow)-ROW(PLE.firstrow))),0,IF(OFFSET(PLE!$G$14,$M636,CA$13)="",10^12,OFFSET(PLE!$G$14,$M636,CA$13))))</f>
        <v>0</v>
      </c>
      <c r="CB636" s="216">
        <f ca="1">IF($D636&lt;&gt;"Serviço",0,IF(OR(AND(AUTOEVENTO="Manual",$M636=1),$M636&gt;(ROW(PLE.lastrow)-ROW(PLE.firstrow))),0,IF(OFFSET(PLE!$G$14,$M636,CB$13)="",10^12,OFFSET(PLE!$G$14,$M636,CB$13))))</f>
        <v>0</v>
      </c>
      <c r="CC636" s="216">
        <f ca="1">IF($D636&lt;&gt;"Serviço",0,IF(OR(AND(AUTOEVENTO="Manual",$M636=1),$M636&gt;(ROW(PLE.lastrow)-ROW(PLE.firstrow))),0,IF(OFFSET(PLE!$G$14,$M636,CC$13)="",10^12,OFFSET(PLE!$G$14,$M636,CC$13))))</f>
        <v>0</v>
      </c>
      <c r="CD636" s="216">
        <f ca="1">IF($D636&lt;&gt;"Serviço",0,IF(OR(AND(AUTOEVENTO="Manual",$M636=1),$M636&gt;(ROW(PLE.lastrow)-ROW(PLE.firstrow))),0,IF(OFFSET(PLE!$G$14,$M636,CD$13)="",10^12,OFFSET(PLE!$G$14,$M636,CD$13))))</f>
        <v>0</v>
      </c>
      <c r="CE636" s="216">
        <f ca="1">IF($D636&lt;&gt;"Serviço",0,IF(OR(AND(AUTOEVENTO="Manual",$M636=1),$M636&gt;(ROW(PLE.lastrow)-ROW(PLE.firstrow))),0,IF(OFFSET(PLE!$G$14,$M636,CE$13)="",10^12,OFFSET(PLE!$G$14,$M636,CE$13))))</f>
        <v>0</v>
      </c>
      <c r="CF636" s="216">
        <f ca="1">IF($D636&lt;&gt;"Serviço",0,IF(OR(AND(AUTOEVENTO="Manual",$M636=1),$M636&gt;(ROW(PLE.lastrow)-ROW(PLE.firstrow))),0,IF(OFFSET(PLE!$G$14,$M636,CF$13)="",10^12,OFFSET(PLE!$G$14,$M636,CF$13))))</f>
        <v>0</v>
      </c>
      <c r="CG636" s="216">
        <f ca="1">IF($D636&lt;&gt;"Serviço",0,IF(OR(AND(AUTOEVENTO="Manual",$M636=1),$M636&gt;(ROW(PLE.lastrow)-ROW(PLE.firstrow))),0,IF(OFFSET(PLE!$G$14,$M636,CG$13)="",10^12,OFFSET(PLE!$G$14,$M636,CG$13))))</f>
        <v>0</v>
      </c>
      <c r="CH636" s="216">
        <f ca="1">IF($D636&lt;&gt;"Serviço",0,IF(OR(AND(AUTOEVENTO="Manual",$M636=1),$M636&gt;(ROW(PLE.lastrow)-ROW(PLE.firstrow))),0,IF(OFFSET(PLE!$G$14,$M636,CH$13)="",10^12,OFFSET(PLE!$G$14,$M636,CH$13))))</f>
        <v>0</v>
      </c>
      <c r="CI636" s="216">
        <f ca="1">IF($D636&lt;&gt;"Serviço",0,IF(OR(AND(AUTOEVENTO="Manual",$M636=1),$M636&gt;(ROW(PLE.lastrow)-ROW(PLE.firstrow))),0,IF(OFFSET(PLE!$G$14,$M636,CI$13)="",10^12,OFFSET(PLE!$G$14,$M636,CI$13))))</f>
        <v>0</v>
      </c>
      <c r="CJ636" s="216">
        <f ca="1">IF($D636&lt;&gt;"Serviço",0,IF(OR(AND(AUTOEVENTO="Manual",$M636=1),$M636&gt;(ROW(PLE.lastrow)-ROW(PLE.firstrow))),0,IF(OFFSET(PLE!$G$14,$M636,CJ$13)="",10^12,OFFSET(PLE!$G$14,$M636,CJ$13))))</f>
        <v>0</v>
      </c>
      <c r="CK636" s="216">
        <f ca="1">IF($D636&lt;&gt;"Serviço",0,IF(OR(AND(AUTOEVENTO="Manual",$M636=1),$M636&gt;(ROW(PLE.lastrow)-ROW(PLE.firstrow))),0,IF(OFFSET(PLE!$G$14,$M636,CK$13)="",10^12,OFFSET(PLE!$G$14,$M636,CK$13))))</f>
        <v>0</v>
      </c>
      <c r="CL636" s="216">
        <f ca="1">IF($D636&lt;&gt;"Serviço",0,IF(OR(AND(AUTOEVENTO="Manual",$M636=1),$M636&gt;(ROW(PLE.lastrow)-ROW(PLE.firstrow))),0,IF(OFFSET(PLE!$G$14,$M636,CL$13)="",10^12,OFFSET(PLE!$G$14,$M636,CL$13))))</f>
        <v>0</v>
      </c>
      <c r="CM636" s="216">
        <f ca="1">IF($D636&lt;&gt;"Serviço",0,IF(OR(AND(AUTOEVENTO="Manual",$M636=1),$M636&gt;(ROW(PLE.lastrow)-ROW(PLE.firstrow))),0,IF(OFFSET(PLE!$G$14,$M636,CM$13)="",10^12,OFFSET(PLE!$G$14,$M636,CM$13))))</f>
        <v>0</v>
      </c>
    </row>
    <row r="637" spans="1:91" ht="13.2" x14ac:dyDescent="0.25">
      <c r="A637" s="9">
        <f t="shared" ca="1" si="19"/>
        <v>0</v>
      </c>
      <c r="B637" s="9" t="str">
        <f ca="1">OFFSET(ORÇAMENTO!C$15,ROW(B637)-ROW(B$15),0)</f>
        <v>S</v>
      </c>
      <c r="C637" s="9" t="str">
        <f ca="1">OFFSET(ORÇAMENTO!L$15,ROW(C637)-ROW(C$15),0)</f>
        <v/>
      </c>
      <c r="D637" s="145" t="str">
        <f ca="1">OFFSET(ORÇAMENTO!N$15,ROW(D637)-ROW(D$15),0)</f>
        <v>Serviço</v>
      </c>
      <c r="E637" s="205" t="str">
        <f ca="1">OFFSET(ORÇAMENTO!O$15,ROW(E637)-ROW(E$15),0)</f>
        <v>-</v>
      </c>
      <c r="F637" s="206" t="str">
        <f ca="1">OFFSET(ORÇAMENTO!R$15,ROW(F637)-ROW(F$15),0)</f>
        <v>(abra o arquivo 'Referência 05-2024.xls)</v>
      </c>
      <c r="G637" s="207" t="str">
        <f ca="1">IF($D637&lt;&gt;"Serviço","",OFFSET(ORÇAMENTO!S$15,ROW(G637)-ROW(G$15),0))</f>
        <v>-</v>
      </c>
      <c r="H637" s="151">
        <f ca="1">IF($D637&lt;&gt;"Serviço",0,IF(ACOMPANHAMENTO="BM",ROUND(OFFSET(ORÇAMENTO!AJ$15,ROW(H637)-ROW(H$15),0),15-13*ORÇAMENTO!$AF$7),SUMPRODUCT(($Q$12:$AI$12&lt;&gt;"")*ROUND($Q637:$AI637,15-13*ORÇAMENTO!$AF$7))))</f>
        <v>14</v>
      </c>
      <c r="I637" s="650"/>
      <c r="K637" s="208"/>
      <c r="L637" s="209" t="s">
        <v>257</v>
      </c>
      <c r="M637" s="210">
        <f ca="1">IF($D637&lt;&gt;"Serviço","",IF(AUTOEVENTO="manual",$A637,IF(ISERROR(MATCH($A637,$A$15:OFFSET($A637,-1,0),0)),MAX($M$15:OFFSET(M637,-1,0))+1,INDEX($M$15:OFFSET(M637,-1,0),MATCH($A637,$A$15:OFFSET($A637,-1,0),0)))))</f>
        <v>0</v>
      </c>
      <c r="N637" s="211" t="str">
        <f ca="1">IF($D637&lt;&gt;"Serviço","",IF(AUTOEVENTO="Manual",IF($A637=0,"&lt;-- defina o número do agrupador",OFFSET(EVENTOS!$D$14,$A637,0)),OFFSET($F$15,$A637,0)))</f>
        <v>&lt;-- defina o número do agrupador</v>
      </c>
      <c r="O637" s="212"/>
      <c r="Q637" s="212"/>
      <c r="R637" s="213"/>
      <c r="S637" s="213"/>
      <c r="T637" s="213"/>
      <c r="U637" s="213"/>
      <c r="V637" s="213"/>
      <c r="W637" s="213"/>
      <c r="X637" s="213"/>
      <c r="Y637" s="213"/>
      <c r="Z637" s="214"/>
      <c r="AA637" s="213"/>
      <c r="AB637" s="213"/>
      <c r="AC637" s="213"/>
      <c r="AD637" s="213"/>
      <c r="AE637" s="213"/>
      <c r="AF637" s="213"/>
      <c r="AG637" s="213"/>
      <c r="AH637" s="214"/>
      <c r="AJ637" s="631">
        <f ca="1">IF(AND($D637="Serviço",AJ$12&lt;&gt;0,$H637&gt;0,OR(AUTOEVENTO&lt;&gt;"manual",$M637&lt;&gt;1)),ROUND(OFFSET($P637,0,AJ$13),15-13*ORÇAMENTO!$AF$7)/$H637*OFFSET(ORÇAMENTO!$X$15,ROW(AJ637)-ROW(AJ$15),0),0)</f>
        <v>0</v>
      </c>
      <c r="AK637" s="632">
        <f ca="1">IF(AND($D637="Serviço",AK$12&lt;&gt;0,$H637&gt;0,OR(AUTOEVENTO&lt;&gt;"manual",$M637&lt;&gt;1)),ROUND(OFFSET($P637,0,AK$13),15-13*ORÇAMENTO!$AF$7)/$H637*OFFSET(ORÇAMENTO!$X$15,ROW(AK637)-ROW(AK$15),0),0)</f>
        <v>0</v>
      </c>
      <c r="AL637" s="632">
        <f ca="1">IF(AND($D637="Serviço",AL$12&lt;&gt;0,$H637&gt;0,OR(AUTOEVENTO&lt;&gt;"manual",$M637&lt;&gt;1)),ROUND(OFFSET($P637,0,AL$13),15-13*ORÇAMENTO!$AF$7)/$H637*OFFSET(ORÇAMENTO!$X$15,ROW(AL637)-ROW(AL$15),0),0)</f>
        <v>0</v>
      </c>
      <c r="AM637" s="632">
        <f ca="1">IF(AND($D637="Serviço",AM$12&lt;&gt;0,$H637&gt;0,OR(AUTOEVENTO&lt;&gt;"manual",$M637&lt;&gt;1)),ROUND(OFFSET($P637,0,AM$13),15-13*ORÇAMENTO!$AF$7)/$H637*OFFSET(ORÇAMENTO!$X$15,ROW(AM637)-ROW(AM$15),0),0)</f>
        <v>0</v>
      </c>
      <c r="AN637" s="632">
        <f ca="1">IF(AND($D637="Serviço",AN$12&lt;&gt;0,$H637&gt;0,OR(AUTOEVENTO&lt;&gt;"manual",$M637&lt;&gt;1)),ROUND(OFFSET($P637,0,AN$13),15-13*ORÇAMENTO!$AF$7)/$H637*OFFSET(ORÇAMENTO!$X$15,ROW(AN637)-ROW(AN$15),0),0)</f>
        <v>0</v>
      </c>
      <c r="AO637" s="632">
        <f ca="1">IF(AND($D637="Serviço",AO$12&lt;&gt;0,$H637&gt;0,OR(AUTOEVENTO&lt;&gt;"manual",$M637&lt;&gt;1)),ROUND(OFFSET($P637,0,AO$13),15-13*ORÇAMENTO!$AF$7)/$H637*OFFSET(ORÇAMENTO!$X$15,ROW(AO637)-ROW(AO$15),0),0)</f>
        <v>0</v>
      </c>
      <c r="AP637" s="632">
        <f ca="1">IF(AND($D637="Serviço",AP$12&lt;&gt;0,$H637&gt;0,OR(AUTOEVENTO&lt;&gt;"manual",$M637&lt;&gt;1)),ROUND(OFFSET($P637,0,AP$13),15-13*ORÇAMENTO!$AF$7)/$H637*OFFSET(ORÇAMENTO!$X$15,ROW(AP637)-ROW(AP$15),0),0)</f>
        <v>0</v>
      </c>
      <c r="AQ637" s="632">
        <f ca="1">IF(AND($D637="Serviço",AQ$12&lt;&gt;0,$H637&gt;0,OR(AUTOEVENTO&lt;&gt;"manual",$M637&lt;&gt;1)),ROUND(OFFSET($P637,0,AQ$13),15-13*ORÇAMENTO!$AF$7)/$H637*OFFSET(ORÇAMENTO!$X$15,ROW(AQ637)-ROW(AQ$15),0),0)</f>
        <v>0</v>
      </c>
      <c r="AR637" s="632">
        <f ca="1">IF(AND($D637="Serviço",AR$12&lt;&gt;0,$H637&gt;0,OR(AUTOEVENTO&lt;&gt;"manual",$M637&lt;&gt;1)),ROUND(OFFSET($P637,0,AR$13),15-13*ORÇAMENTO!$AF$7)/$H637*OFFSET(ORÇAMENTO!$X$15,ROW(AR637)-ROW(AR$15),0),0)</f>
        <v>0</v>
      </c>
      <c r="AS637" s="633">
        <f ca="1">IF(AND($D637="Serviço",AS$12&lt;&gt;0,$H637&gt;0,OR(AUTOEVENTO&lt;&gt;"manual",$M637&lt;&gt;1)),ROUND(OFFSET($P637,0,AS$13),15-13*ORÇAMENTO!$AF$7)/$H637*OFFSET(ORÇAMENTO!$X$15,ROW(AS637)-ROW(AS$15),0),0)</f>
        <v>0</v>
      </c>
      <c r="AT637" s="632">
        <f ca="1">IF(AND($D637="Serviço",AT$12&lt;&gt;0,$H637&gt;0,OR(AUTOEVENTO&lt;&gt;"manual",$M637&lt;&gt;1)),ROUND(OFFSET($P637,0,AT$13),15-13*ORÇAMENTO!$AF$7)/$H637*OFFSET(ORÇAMENTO!$X$15,ROW(AT637)-ROW(AT$15),0),0)</f>
        <v>0</v>
      </c>
      <c r="AU637" s="632">
        <f ca="1">IF(AND($D637="Serviço",AU$12&lt;&gt;0,$H637&gt;0,OR(AUTOEVENTO&lt;&gt;"manual",$M637&lt;&gt;1)),ROUND(OFFSET($P637,0,AU$13),15-13*ORÇAMENTO!$AF$7)/$H637*OFFSET(ORÇAMENTO!$X$15,ROW(AU637)-ROW(AU$15),0),0)</f>
        <v>0</v>
      </c>
      <c r="AV637" s="632">
        <f ca="1">IF(AND($D637="Serviço",AV$12&lt;&gt;0,$H637&gt;0,OR(AUTOEVENTO&lt;&gt;"manual",$M637&lt;&gt;1)),ROUND(OFFSET($P637,0,AV$13),15-13*ORÇAMENTO!$AF$7)/$H637*OFFSET(ORÇAMENTO!$X$15,ROW(AV637)-ROW(AV$15),0),0)</f>
        <v>0</v>
      </c>
      <c r="AW637" s="632">
        <f ca="1">IF(AND($D637="Serviço",AW$12&lt;&gt;0,$H637&gt;0,OR(AUTOEVENTO&lt;&gt;"manual",$M637&lt;&gt;1)),ROUND(OFFSET($P637,0,AW$13),15-13*ORÇAMENTO!$AF$7)/$H637*OFFSET(ORÇAMENTO!$X$15,ROW(AW637)-ROW(AW$15),0),0)</f>
        <v>0</v>
      </c>
      <c r="AX637" s="632">
        <f ca="1">IF(AND($D637="Serviço",AX$12&lt;&gt;0,$H637&gt;0,OR(AUTOEVENTO&lt;&gt;"manual",$M637&lt;&gt;1)),ROUND(OFFSET($P637,0,AX$13),15-13*ORÇAMENTO!$AF$7)/$H637*OFFSET(ORÇAMENTO!$X$15,ROW(AX637)-ROW(AX$15),0),0)</f>
        <v>0</v>
      </c>
      <c r="AY637" s="632">
        <f ca="1">IF(AND($D637="Serviço",AY$12&lt;&gt;0,$H637&gt;0,OR(AUTOEVENTO&lt;&gt;"manual",$M637&lt;&gt;1)),ROUND(OFFSET($P637,0,AY$13),15-13*ORÇAMENTO!$AF$7)/$H637*OFFSET(ORÇAMENTO!$X$15,ROW(AY637)-ROW(AY$15),0),0)</f>
        <v>0</v>
      </c>
      <c r="AZ637" s="632">
        <f ca="1">IF(AND($D637="Serviço",AZ$12&lt;&gt;0,$H637&gt;0,OR(AUTOEVENTO&lt;&gt;"manual",$M637&lt;&gt;1)),ROUND(OFFSET($P637,0,AZ$13),15-13*ORÇAMENTO!$AF$7)/$H637*OFFSET(ORÇAMENTO!$X$15,ROW(AZ637)-ROW(AZ$15),0),0)</f>
        <v>0</v>
      </c>
      <c r="BA637" s="633">
        <f ca="1">IF(AND($D637="Serviço",BA$12&lt;&gt;0,$H637&gt;0,OR(AUTOEVENTO&lt;&gt;"manual",$M637&lt;&gt;1)),ROUND(OFFSET($P637,0,BA$13),15-13*ORÇAMENTO!$AF$7)/$H637*OFFSET(ORÇAMENTO!$X$15,ROW(BA637)-ROW(BA$15),0),0)</f>
        <v>0</v>
      </c>
      <c r="BC637" s="215">
        <f ca="1">IF($D637&lt;&gt;"Serviço",0,IF(AND(AUTOEVENTO="Manual",$M637=1),0,IF(OFFSET(CRONOPLE!$F$14,$M637,BC$13)="",10^12,OFFSET(CRONOPLE!$F$14,$M637,BC$13))))</f>
        <v>1000000000000</v>
      </c>
      <c r="BD637" s="215">
        <f ca="1">IF($D637&lt;&gt;"Serviço",0,IF(AND(AUTOEVENTO="Manual",$M637=1),0,IF(OFFSET(CRONOPLE!$F$14,$M637,BD$13)="",10^12,OFFSET(CRONOPLE!$F$14,$M637,BD$13))))</f>
        <v>1000000000000</v>
      </c>
      <c r="BE637" s="215">
        <f ca="1">IF($D637&lt;&gt;"Serviço",0,IF(AND(AUTOEVENTO="Manual",$M637=1),0,IF(OFFSET(CRONOPLE!$F$14,$M637,BE$13)="",10^12,OFFSET(CRONOPLE!$F$14,$M637,BE$13))))</f>
        <v>1000000000000</v>
      </c>
      <c r="BF637" s="215">
        <f ca="1">IF($D637&lt;&gt;"Serviço",0,IF(AND(AUTOEVENTO="Manual",$M637=1),0,IF(OFFSET(CRONOPLE!$F$14,$M637,BF$13)="",10^12,OFFSET(CRONOPLE!$F$14,$M637,BF$13))))</f>
        <v>1000000000000</v>
      </c>
      <c r="BG637" s="215">
        <f ca="1">IF($D637&lt;&gt;"Serviço",0,IF(AND(AUTOEVENTO="Manual",$M637=1),0,IF(OFFSET(CRONOPLE!$F$14,$M637,BG$13)="",10^12,OFFSET(CRONOPLE!$F$14,$M637,BG$13))))</f>
        <v>1000000000000</v>
      </c>
      <c r="BH637" s="215">
        <f ca="1">IF($D637&lt;&gt;"Serviço",0,IF(AND(AUTOEVENTO="Manual",$M637=1),0,IF(OFFSET(CRONOPLE!$F$14,$M637,BH$13)="",10^12,OFFSET(CRONOPLE!$F$14,$M637,BH$13))))</f>
        <v>1000000000000</v>
      </c>
      <c r="BI637" s="215">
        <f ca="1">IF($D637&lt;&gt;"Serviço",0,IF(AND(AUTOEVENTO="Manual",$M637=1),0,IF(OFFSET(CRONOPLE!$F$14,$M637,BI$13)="",10^12,OFFSET(CRONOPLE!$F$14,$M637,BI$13))))</f>
        <v>1000000000000</v>
      </c>
      <c r="BJ637" s="215">
        <f ca="1">IF($D637&lt;&gt;"Serviço",0,IF(AND(AUTOEVENTO="Manual",$M637=1),0,IF(OFFSET(CRONOPLE!$F$14,$M637,BJ$13)="",10^12,OFFSET(CRONOPLE!$F$14,$M637,BJ$13))))</f>
        <v>1000000000000</v>
      </c>
      <c r="BK637" s="215">
        <f ca="1">IF($D637&lt;&gt;"Serviço",0,IF(AND(AUTOEVENTO="Manual",$M637=1),0,IF(OFFSET(CRONOPLE!$F$14,$M637,BK$13)="",10^12,OFFSET(CRONOPLE!$F$14,$M637,BK$13))))</f>
        <v>1000000000000</v>
      </c>
      <c r="BL637" s="215">
        <f ca="1">IF($D637&lt;&gt;"Serviço",0,IF(AND(AUTOEVENTO="Manual",$M637=1),0,IF(OFFSET(CRONOPLE!$F$14,$M637,BL$13)="",10^12,OFFSET(CRONOPLE!$F$14,$M637,BL$13))))</f>
        <v>1000000000000</v>
      </c>
      <c r="BM637" s="215">
        <f ca="1">IF($D637&lt;&gt;"Serviço",0,IF(AND(AUTOEVENTO="Manual",$M637=1),0,IF(OFFSET(CRONOPLE!$F$14,$M637,BM$13)="",10^12,OFFSET(CRONOPLE!$F$14,$M637,BM$13))))</f>
        <v>1000000000000</v>
      </c>
      <c r="BN637" s="215">
        <f ca="1">IF($D637&lt;&gt;"Serviço",0,IF(AND(AUTOEVENTO="Manual",$M637=1),0,IF(OFFSET(CRONOPLE!$F$14,$M637,BN$13)="",10^12,OFFSET(CRONOPLE!$F$14,$M637,BN$13))))</f>
        <v>1000000000000</v>
      </c>
      <c r="BO637" s="215">
        <f ca="1">IF($D637&lt;&gt;"Serviço",0,IF(AND(AUTOEVENTO="Manual",$M637=1),0,IF(OFFSET(CRONOPLE!$F$14,$M637,BO$13)="",10^12,OFFSET(CRONOPLE!$F$14,$M637,BO$13))))</f>
        <v>1000000000000</v>
      </c>
      <c r="BP637" s="215">
        <f ca="1">IF($D637&lt;&gt;"Serviço",0,IF(AND(AUTOEVENTO="Manual",$M637=1),0,IF(OFFSET(CRONOPLE!$F$14,$M637,BP$13)="",10^12,OFFSET(CRONOPLE!$F$14,$M637,BP$13))))</f>
        <v>1000000000000</v>
      </c>
      <c r="BQ637" s="215">
        <f ca="1">IF($D637&lt;&gt;"Serviço",0,IF(AND(AUTOEVENTO="Manual",$M637=1),0,IF(OFFSET(CRONOPLE!$F$14,$M637,BQ$13)="",10^12,OFFSET(CRONOPLE!$F$14,$M637,BQ$13))))</f>
        <v>1000000000000</v>
      </c>
      <c r="BR637" s="215">
        <f ca="1">IF($D637&lt;&gt;"Serviço",0,IF(AND(AUTOEVENTO="Manual",$M637=1),0,IF(OFFSET(CRONOPLE!$F$14,$M637,BR$13)="",10^12,OFFSET(CRONOPLE!$F$14,$M637,BR$13))))</f>
        <v>1000000000000</v>
      </c>
      <c r="BS637" s="215">
        <f ca="1">IF($D637&lt;&gt;"Serviço",0,IF(AND(AUTOEVENTO="Manual",$M637=1),0,IF(OFFSET(CRONOPLE!$F$14,$M637,BS$13)="",10^12,OFFSET(CRONOPLE!$F$14,$M637,BS$13))))</f>
        <v>1000000000000</v>
      </c>
      <c r="BT637" s="215">
        <f ca="1">IF($D637&lt;&gt;"Serviço",0,IF(AND(AUTOEVENTO="Manual",$M637=1),0,IF(OFFSET(CRONOPLE!$F$14,$M637,BT$13)="",10^12,OFFSET(CRONOPLE!$F$14,$M637,BT$13))))</f>
        <v>1000000000000</v>
      </c>
      <c r="BV637" s="216">
        <f ca="1">IF($D637&lt;&gt;"Serviço",0,IF(OR(AND(AUTOEVENTO="Manual",$M637=1),$M637&gt;(ROW(PLE.lastrow)-ROW(PLE.firstrow))),0,IF(OFFSET(PLE!$G$14,$M637,BV$13)="",10^12,OFFSET(PLE!$G$14,$M637,BV$13))))</f>
        <v>1000000000000</v>
      </c>
      <c r="BW637" s="216">
        <f ca="1">IF($D637&lt;&gt;"Serviço",0,IF(OR(AND(AUTOEVENTO="Manual",$M637=1),$M637&gt;(ROW(PLE.lastrow)-ROW(PLE.firstrow))),0,IF(OFFSET(PLE!$G$14,$M637,BW$13)="",10^12,OFFSET(PLE!$G$14,$M637,BW$13))))</f>
        <v>1000000000000</v>
      </c>
      <c r="BX637" s="216">
        <f ca="1">IF($D637&lt;&gt;"Serviço",0,IF(OR(AND(AUTOEVENTO="Manual",$M637=1),$M637&gt;(ROW(PLE.lastrow)-ROW(PLE.firstrow))),0,IF(OFFSET(PLE!$G$14,$M637,BX$13)="",10^12,OFFSET(PLE!$G$14,$M637,BX$13))))</f>
        <v>1000000000000</v>
      </c>
      <c r="BY637" s="216">
        <f ca="1">IF($D637&lt;&gt;"Serviço",0,IF(OR(AND(AUTOEVENTO="Manual",$M637=1),$M637&gt;(ROW(PLE.lastrow)-ROW(PLE.firstrow))),0,IF(OFFSET(PLE!$G$14,$M637,BY$13)="",10^12,OFFSET(PLE!$G$14,$M637,BY$13))))</f>
        <v>1000000000000</v>
      </c>
      <c r="BZ637" s="216">
        <f ca="1">IF($D637&lt;&gt;"Serviço",0,IF(OR(AND(AUTOEVENTO="Manual",$M637=1),$M637&gt;(ROW(PLE.lastrow)-ROW(PLE.firstrow))),0,IF(OFFSET(PLE!$G$14,$M637,BZ$13)="",10^12,OFFSET(PLE!$G$14,$M637,BZ$13))))</f>
        <v>1000000000000</v>
      </c>
      <c r="CA637" s="216">
        <f ca="1">IF($D637&lt;&gt;"Serviço",0,IF(OR(AND(AUTOEVENTO="Manual",$M637=1),$M637&gt;(ROW(PLE.lastrow)-ROW(PLE.firstrow))),0,IF(OFFSET(PLE!$G$14,$M637,CA$13)="",10^12,OFFSET(PLE!$G$14,$M637,CA$13))))</f>
        <v>1000000000000</v>
      </c>
      <c r="CB637" s="216">
        <f ca="1">IF($D637&lt;&gt;"Serviço",0,IF(OR(AND(AUTOEVENTO="Manual",$M637=1),$M637&gt;(ROW(PLE.lastrow)-ROW(PLE.firstrow))),0,IF(OFFSET(PLE!$G$14,$M637,CB$13)="",10^12,OFFSET(PLE!$G$14,$M637,CB$13))))</f>
        <v>1000000000000</v>
      </c>
      <c r="CC637" s="216">
        <f ca="1">IF($D637&lt;&gt;"Serviço",0,IF(OR(AND(AUTOEVENTO="Manual",$M637=1),$M637&gt;(ROW(PLE.lastrow)-ROW(PLE.firstrow))),0,IF(OFFSET(PLE!$G$14,$M637,CC$13)="",10^12,OFFSET(PLE!$G$14,$M637,CC$13))))</f>
        <v>1000000000000</v>
      </c>
      <c r="CD637" s="216">
        <f ca="1">IF($D637&lt;&gt;"Serviço",0,IF(OR(AND(AUTOEVENTO="Manual",$M637=1),$M637&gt;(ROW(PLE.lastrow)-ROW(PLE.firstrow))),0,IF(OFFSET(PLE!$G$14,$M637,CD$13)="",10^12,OFFSET(PLE!$G$14,$M637,CD$13))))</f>
        <v>1000000000000</v>
      </c>
      <c r="CE637" s="216">
        <f ca="1">IF($D637&lt;&gt;"Serviço",0,IF(OR(AND(AUTOEVENTO="Manual",$M637=1),$M637&gt;(ROW(PLE.lastrow)-ROW(PLE.firstrow))),0,IF(OFFSET(PLE!$G$14,$M637,CE$13)="",10^12,OFFSET(PLE!$G$14,$M637,CE$13))))</f>
        <v>1000000000000</v>
      </c>
      <c r="CF637" s="216">
        <f ca="1">IF($D637&lt;&gt;"Serviço",0,IF(OR(AND(AUTOEVENTO="Manual",$M637=1),$M637&gt;(ROW(PLE.lastrow)-ROW(PLE.firstrow))),0,IF(OFFSET(PLE!$G$14,$M637,CF$13)="",10^12,OFFSET(PLE!$G$14,$M637,CF$13))))</f>
        <v>1000000000000</v>
      </c>
      <c r="CG637" s="216">
        <f ca="1">IF($D637&lt;&gt;"Serviço",0,IF(OR(AND(AUTOEVENTO="Manual",$M637=1),$M637&gt;(ROW(PLE.lastrow)-ROW(PLE.firstrow))),0,IF(OFFSET(PLE!$G$14,$M637,CG$13)="",10^12,OFFSET(PLE!$G$14,$M637,CG$13))))</f>
        <v>1000000000000</v>
      </c>
      <c r="CH637" s="216">
        <f ca="1">IF($D637&lt;&gt;"Serviço",0,IF(OR(AND(AUTOEVENTO="Manual",$M637=1),$M637&gt;(ROW(PLE.lastrow)-ROW(PLE.firstrow))),0,IF(OFFSET(PLE!$G$14,$M637,CH$13)="",10^12,OFFSET(PLE!$G$14,$M637,CH$13))))</f>
        <v>1000000000000</v>
      </c>
      <c r="CI637" s="216">
        <f ca="1">IF($D637&lt;&gt;"Serviço",0,IF(OR(AND(AUTOEVENTO="Manual",$M637=1),$M637&gt;(ROW(PLE.lastrow)-ROW(PLE.firstrow))),0,IF(OFFSET(PLE!$G$14,$M637,CI$13)="",10^12,OFFSET(PLE!$G$14,$M637,CI$13))))</f>
        <v>1000000000000</v>
      </c>
      <c r="CJ637" s="216">
        <f ca="1">IF($D637&lt;&gt;"Serviço",0,IF(OR(AND(AUTOEVENTO="Manual",$M637=1),$M637&gt;(ROW(PLE.lastrow)-ROW(PLE.firstrow))),0,IF(OFFSET(PLE!$G$14,$M637,CJ$13)="",10^12,OFFSET(PLE!$G$14,$M637,CJ$13))))</f>
        <v>1000000000000</v>
      </c>
      <c r="CK637" s="216">
        <f ca="1">IF($D637&lt;&gt;"Serviço",0,IF(OR(AND(AUTOEVENTO="Manual",$M637=1),$M637&gt;(ROW(PLE.lastrow)-ROW(PLE.firstrow))),0,IF(OFFSET(PLE!$G$14,$M637,CK$13)="",10^12,OFFSET(PLE!$G$14,$M637,CK$13))))</f>
        <v>1000000000000</v>
      </c>
      <c r="CL637" s="216">
        <f ca="1">IF($D637&lt;&gt;"Serviço",0,IF(OR(AND(AUTOEVENTO="Manual",$M637=1),$M637&gt;(ROW(PLE.lastrow)-ROW(PLE.firstrow))),0,IF(OFFSET(PLE!$G$14,$M637,CL$13)="",10^12,OFFSET(PLE!$G$14,$M637,CL$13))))</f>
        <v>1000000000000</v>
      </c>
      <c r="CM637" s="216">
        <f ca="1">IF($D637&lt;&gt;"Serviço",0,IF(OR(AND(AUTOEVENTO="Manual",$M637=1),$M637&gt;(ROW(PLE.lastrow)-ROW(PLE.firstrow))),0,IF(OFFSET(PLE!$G$14,$M637,CM$13)="",10^12,OFFSET(PLE!$G$14,$M637,CM$13))))</f>
        <v>1000000000000</v>
      </c>
    </row>
    <row r="638" spans="1:91" ht="13.2" x14ac:dyDescent="0.25">
      <c r="A638" s="9">
        <f t="shared" ca="1" si="19"/>
        <v>0</v>
      </c>
      <c r="B638" s="9" t="str">
        <f ca="1">OFFSET(ORÇAMENTO!C$15,ROW(B638)-ROW(B$15),0)</f>
        <v>S</v>
      </c>
      <c r="C638" s="9" t="str">
        <f ca="1">OFFSET(ORÇAMENTO!L$15,ROW(C638)-ROW(C$15),0)</f>
        <v/>
      </c>
      <c r="D638" s="145" t="str">
        <f ca="1">OFFSET(ORÇAMENTO!N$15,ROW(D638)-ROW(D$15),0)</f>
        <v>Serviço</v>
      </c>
      <c r="E638" s="205" t="str">
        <f ca="1">OFFSET(ORÇAMENTO!O$15,ROW(E638)-ROW(E$15),0)</f>
        <v>-</v>
      </c>
      <c r="F638" s="206" t="str">
        <f ca="1">OFFSET(ORÇAMENTO!R$15,ROW(F638)-ROW(F$15),0)</f>
        <v>(abra o arquivo 'Referência 05-2024.xls)</v>
      </c>
      <c r="G638" s="207" t="str">
        <f ca="1">IF($D638&lt;&gt;"Serviço","",OFFSET(ORÇAMENTO!S$15,ROW(G638)-ROW(G$15),0))</f>
        <v>-</v>
      </c>
      <c r="H638" s="151">
        <f ca="1">IF($D638&lt;&gt;"Serviço",0,IF(ACOMPANHAMENTO="BM",ROUND(OFFSET(ORÇAMENTO!AJ$15,ROW(H638)-ROW(H$15),0),15-13*ORÇAMENTO!$AF$7),SUMPRODUCT(($Q$12:$AI$12&lt;&gt;"")*ROUND($Q638:$AI638,15-13*ORÇAMENTO!$AF$7))))</f>
        <v>42</v>
      </c>
      <c r="I638" s="650"/>
      <c r="K638" s="208"/>
      <c r="L638" s="209" t="s">
        <v>257</v>
      </c>
      <c r="M638" s="210">
        <f ca="1">IF($D638&lt;&gt;"Serviço","",IF(AUTOEVENTO="manual",$A638,IF(ISERROR(MATCH($A638,$A$15:OFFSET($A638,-1,0),0)),MAX($M$15:OFFSET(M638,-1,0))+1,INDEX($M$15:OFFSET(M638,-1,0),MATCH($A638,$A$15:OFFSET($A638,-1,0),0)))))</f>
        <v>0</v>
      </c>
      <c r="N638" s="211" t="str">
        <f ca="1">IF($D638&lt;&gt;"Serviço","",IF(AUTOEVENTO="Manual",IF($A638=0,"&lt;-- defina o número do agrupador",OFFSET(EVENTOS!$D$14,$A638,0)),OFFSET($F$15,$A638,0)))</f>
        <v>&lt;-- defina o número do agrupador</v>
      </c>
      <c r="O638" s="212"/>
      <c r="Q638" s="212"/>
      <c r="R638" s="213"/>
      <c r="S638" s="213"/>
      <c r="T638" s="213"/>
      <c r="U638" s="213"/>
      <c r="V638" s="213"/>
      <c r="W638" s="213"/>
      <c r="X638" s="213"/>
      <c r="Y638" s="213"/>
      <c r="Z638" s="214"/>
      <c r="AA638" s="213"/>
      <c r="AB638" s="213"/>
      <c r="AC638" s="213"/>
      <c r="AD638" s="213"/>
      <c r="AE638" s="213"/>
      <c r="AF638" s="213"/>
      <c r="AG638" s="213"/>
      <c r="AH638" s="214"/>
      <c r="AJ638" s="631">
        <f ca="1">IF(AND($D638="Serviço",AJ$12&lt;&gt;0,$H638&gt;0,OR(AUTOEVENTO&lt;&gt;"manual",$M638&lt;&gt;1)),ROUND(OFFSET($P638,0,AJ$13),15-13*ORÇAMENTO!$AF$7)/$H638*OFFSET(ORÇAMENTO!$X$15,ROW(AJ638)-ROW(AJ$15),0),0)</f>
        <v>0</v>
      </c>
      <c r="AK638" s="632">
        <f ca="1">IF(AND($D638="Serviço",AK$12&lt;&gt;0,$H638&gt;0,OR(AUTOEVENTO&lt;&gt;"manual",$M638&lt;&gt;1)),ROUND(OFFSET($P638,0,AK$13),15-13*ORÇAMENTO!$AF$7)/$H638*OFFSET(ORÇAMENTO!$X$15,ROW(AK638)-ROW(AK$15),0),0)</f>
        <v>0</v>
      </c>
      <c r="AL638" s="632">
        <f ca="1">IF(AND($D638="Serviço",AL$12&lt;&gt;0,$H638&gt;0,OR(AUTOEVENTO&lt;&gt;"manual",$M638&lt;&gt;1)),ROUND(OFFSET($P638,0,AL$13),15-13*ORÇAMENTO!$AF$7)/$H638*OFFSET(ORÇAMENTO!$X$15,ROW(AL638)-ROW(AL$15),0),0)</f>
        <v>0</v>
      </c>
      <c r="AM638" s="632">
        <f ca="1">IF(AND($D638="Serviço",AM$12&lt;&gt;0,$H638&gt;0,OR(AUTOEVENTO&lt;&gt;"manual",$M638&lt;&gt;1)),ROUND(OFFSET($P638,0,AM$13),15-13*ORÇAMENTO!$AF$7)/$H638*OFFSET(ORÇAMENTO!$X$15,ROW(AM638)-ROW(AM$15),0),0)</f>
        <v>0</v>
      </c>
      <c r="AN638" s="632">
        <f ca="1">IF(AND($D638="Serviço",AN$12&lt;&gt;0,$H638&gt;0,OR(AUTOEVENTO&lt;&gt;"manual",$M638&lt;&gt;1)),ROUND(OFFSET($P638,0,AN$13),15-13*ORÇAMENTO!$AF$7)/$H638*OFFSET(ORÇAMENTO!$X$15,ROW(AN638)-ROW(AN$15),0),0)</f>
        <v>0</v>
      </c>
      <c r="AO638" s="632">
        <f ca="1">IF(AND($D638="Serviço",AO$12&lt;&gt;0,$H638&gt;0,OR(AUTOEVENTO&lt;&gt;"manual",$M638&lt;&gt;1)),ROUND(OFFSET($P638,0,AO$13),15-13*ORÇAMENTO!$AF$7)/$H638*OFFSET(ORÇAMENTO!$X$15,ROW(AO638)-ROW(AO$15),0),0)</f>
        <v>0</v>
      </c>
      <c r="AP638" s="632">
        <f ca="1">IF(AND($D638="Serviço",AP$12&lt;&gt;0,$H638&gt;0,OR(AUTOEVENTO&lt;&gt;"manual",$M638&lt;&gt;1)),ROUND(OFFSET($P638,0,AP$13),15-13*ORÇAMENTO!$AF$7)/$H638*OFFSET(ORÇAMENTO!$X$15,ROW(AP638)-ROW(AP$15),0),0)</f>
        <v>0</v>
      </c>
      <c r="AQ638" s="632">
        <f ca="1">IF(AND($D638="Serviço",AQ$12&lt;&gt;0,$H638&gt;0,OR(AUTOEVENTO&lt;&gt;"manual",$M638&lt;&gt;1)),ROUND(OFFSET($P638,0,AQ$13),15-13*ORÇAMENTO!$AF$7)/$H638*OFFSET(ORÇAMENTO!$X$15,ROW(AQ638)-ROW(AQ$15),0),0)</f>
        <v>0</v>
      </c>
      <c r="AR638" s="632">
        <f ca="1">IF(AND($D638="Serviço",AR$12&lt;&gt;0,$H638&gt;0,OR(AUTOEVENTO&lt;&gt;"manual",$M638&lt;&gt;1)),ROUND(OFFSET($P638,0,AR$13),15-13*ORÇAMENTO!$AF$7)/$H638*OFFSET(ORÇAMENTO!$X$15,ROW(AR638)-ROW(AR$15),0),0)</f>
        <v>0</v>
      </c>
      <c r="AS638" s="633">
        <f ca="1">IF(AND($D638="Serviço",AS$12&lt;&gt;0,$H638&gt;0,OR(AUTOEVENTO&lt;&gt;"manual",$M638&lt;&gt;1)),ROUND(OFFSET($P638,0,AS$13),15-13*ORÇAMENTO!$AF$7)/$H638*OFFSET(ORÇAMENTO!$X$15,ROW(AS638)-ROW(AS$15),0),0)</f>
        <v>0</v>
      </c>
      <c r="AT638" s="632">
        <f ca="1">IF(AND($D638="Serviço",AT$12&lt;&gt;0,$H638&gt;0,OR(AUTOEVENTO&lt;&gt;"manual",$M638&lt;&gt;1)),ROUND(OFFSET($P638,0,AT$13),15-13*ORÇAMENTO!$AF$7)/$H638*OFFSET(ORÇAMENTO!$X$15,ROW(AT638)-ROW(AT$15),0),0)</f>
        <v>0</v>
      </c>
      <c r="AU638" s="632">
        <f ca="1">IF(AND($D638="Serviço",AU$12&lt;&gt;0,$H638&gt;0,OR(AUTOEVENTO&lt;&gt;"manual",$M638&lt;&gt;1)),ROUND(OFFSET($P638,0,AU$13),15-13*ORÇAMENTO!$AF$7)/$H638*OFFSET(ORÇAMENTO!$X$15,ROW(AU638)-ROW(AU$15),0),0)</f>
        <v>0</v>
      </c>
      <c r="AV638" s="632">
        <f ca="1">IF(AND($D638="Serviço",AV$12&lt;&gt;0,$H638&gt;0,OR(AUTOEVENTO&lt;&gt;"manual",$M638&lt;&gt;1)),ROUND(OFFSET($P638,0,AV$13),15-13*ORÇAMENTO!$AF$7)/$H638*OFFSET(ORÇAMENTO!$X$15,ROW(AV638)-ROW(AV$15),0),0)</f>
        <v>0</v>
      </c>
      <c r="AW638" s="632">
        <f ca="1">IF(AND($D638="Serviço",AW$12&lt;&gt;0,$H638&gt;0,OR(AUTOEVENTO&lt;&gt;"manual",$M638&lt;&gt;1)),ROUND(OFFSET($P638,0,AW$13),15-13*ORÇAMENTO!$AF$7)/$H638*OFFSET(ORÇAMENTO!$X$15,ROW(AW638)-ROW(AW$15),0),0)</f>
        <v>0</v>
      </c>
      <c r="AX638" s="632">
        <f ca="1">IF(AND($D638="Serviço",AX$12&lt;&gt;0,$H638&gt;0,OR(AUTOEVENTO&lt;&gt;"manual",$M638&lt;&gt;1)),ROUND(OFFSET($P638,0,AX$13),15-13*ORÇAMENTO!$AF$7)/$H638*OFFSET(ORÇAMENTO!$X$15,ROW(AX638)-ROW(AX$15),0),0)</f>
        <v>0</v>
      </c>
      <c r="AY638" s="632">
        <f ca="1">IF(AND($D638="Serviço",AY$12&lt;&gt;0,$H638&gt;0,OR(AUTOEVENTO&lt;&gt;"manual",$M638&lt;&gt;1)),ROUND(OFFSET($P638,0,AY$13),15-13*ORÇAMENTO!$AF$7)/$H638*OFFSET(ORÇAMENTO!$X$15,ROW(AY638)-ROW(AY$15),0),0)</f>
        <v>0</v>
      </c>
      <c r="AZ638" s="632">
        <f ca="1">IF(AND($D638="Serviço",AZ$12&lt;&gt;0,$H638&gt;0,OR(AUTOEVENTO&lt;&gt;"manual",$M638&lt;&gt;1)),ROUND(OFFSET($P638,0,AZ$13),15-13*ORÇAMENTO!$AF$7)/$H638*OFFSET(ORÇAMENTO!$X$15,ROW(AZ638)-ROW(AZ$15),0),0)</f>
        <v>0</v>
      </c>
      <c r="BA638" s="633">
        <f ca="1">IF(AND($D638="Serviço",BA$12&lt;&gt;0,$H638&gt;0,OR(AUTOEVENTO&lt;&gt;"manual",$M638&lt;&gt;1)),ROUND(OFFSET($P638,0,BA$13),15-13*ORÇAMENTO!$AF$7)/$H638*OFFSET(ORÇAMENTO!$X$15,ROW(BA638)-ROW(BA$15),0),0)</f>
        <v>0</v>
      </c>
      <c r="BC638" s="215">
        <f ca="1">IF($D638&lt;&gt;"Serviço",0,IF(AND(AUTOEVENTO="Manual",$M638=1),0,IF(OFFSET(CRONOPLE!$F$14,$M638,BC$13)="",10^12,OFFSET(CRONOPLE!$F$14,$M638,BC$13))))</f>
        <v>1000000000000</v>
      </c>
      <c r="BD638" s="215">
        <f ca="1">IF($D638&lt;&gt;"Serviço",0,IF(AND(AUTOEVENTO="Manual",$M638=1),0,IF(OFFSET(CRONOPLE!$F$14,$M638,BD$13)="",10^12,OFFSET(CRONOPLE!$F$14,$M638,BD$13))))</f>
        <v>1000000000000</v>
      </c>
      <c r="BE638" s="215">
        <f ca="1">IF($D638&lt;&gt;"Serviço",0,IF(AND(AUTOEVENTO="Manual",$M638=1),0,IF(OFFSET(CRONOPLE!$F$14,$M638,BE$13)="",10^12,OFFSET(CRONOPLE!$F$14,$M638,BE$13))))</f>
        <v>1000000000000</v>
      </c>
      <c r="BF638" s="215">
        <f ca="1">IF($D638&lt;&gt;"Serviço",0,IF(AND(AUTOEVENTO="Manual",$M638=1),0,IF(OFFSET(CRONOPLE!$F$14,$M638,BF$13)="",10^12,OFFSET(CRONOPLE!$F$14,$M638,BF$13))))</f>
        <v>1000000000000</v>
      </c>
      <c r="BG638" s="215">
        <f ca="1">IF($D638&lt;&gt;"Serviço",0,IF(AND(AUTOEVENTO="Manual",$M638=1),0,IF(OFFSET(CRONOPLE!$F$14,$M638,BG$13)="",10^12,OFFSET(CRONOPLE!$F$14,$M638,BG$13))))</f>
        <v>1000000000000</v>
      </c>
      <c r="BH638" s="215">
        <f ca="1">IF($D638&lt;&gt;"Serviço",0,IF(AND(AUTOEVENTO="Manual",$M638=1),0,IF(OFFSET(CRONOPLE!$F$14,$M638,BH$13)="",10^12,OFFSET(CRONOPLE!$F$14,$M638,BH$13))))</f>
        <v>1000000000000</v>
      </c>
      <c r="BI638" s="215">
        <f ca="1">IF($D638&lt;&gt;"Serviço",0,IF(AND(AUTOEVENTO="Manual",$M638=1),0,IF(OFFSET(CRONOPLE!$F$14,$M638,BI$13)="",10^12,OFFSET(CRONOPLE!$F$14,$M638,BI$13))))</f>
        <v>1000000000000</v>
      </c>
      <c r="BJ638" s="215">
        <f ca="1">IF($D638&lt;&gt;"Serviço",0,IF(AND(AUTOEVENTO="Manual",$M638=1),0,IF(OFFSET(CRONOPLE!$F$14,$M638,BJ$13)="",10^12,OFFSET(CRONOPLE!$F$14,$M638,BJ$13))))</f>
        <v>1000000000000</v>
      </c>
      <c r="BK638" s="215">
        <f ca="1">IF($D638&lt;&gt;"Serviço",0,IF(AND(AUTOEVENTO="Manual",$M638=1),0,IF(OFFSET(CRONOPLE!$F$14,$M638,BK$13)="",10^12,OFFSET(CRONOPLE!$F$14,$M638,BK$13))))</f>
        <v>1000000000000</v>
      </c>
      <c r="BL638" s="215">
        <f ca="1">IF($D638&lt;&gt;"Serviço",0,IF(AND(AUTOEVENTO="Manual",$M638=1),0,IF(OFFSET(CRONOPLE!$F$14,$M638,BL$13)="",10^12,OFFSET(CRONOPLE!$F$14,$M638,BL$13))))</f>
        <v>1000000000000</v>
      </c>
      <c r="BM638" s="215">
        <f ca="1">IF($D638&lt;&gt;"Serviço",0,IF(AND(AUTOEVENTO="Manual",$M638=1),0,IF(OFFSET(CRONOPLE!$F$14,$M638,BM$13)="",10^12,OFFSET(CRONOPLE!$F$14,$M638,BM$13))))</f>
        <v>1000000000000</v>
      </c>
      <c r="BN638" s="215">
        <f ca="1">IF($D638&lt;&gt;"Serviço",0,IF(AND(AUTOEVENTO="Manual",$M638=1),0,IF(OFFSET(CRONOPLE!$F$14,$M638,BN$13)="",10^12,OFFSET(CRONOPLE!$F$14,$M638,BN$13))))</f>
        <v>1000000000000</v>
      </c>
      <c r="BO638" s="215">
        <f ca="1">IF($D638&lt;&gt;"Serviço",0,IF(AND(AUTOEVENTO="Manual",$M638=1),0,IF(OFFSET(CRONOPLE!$F$14,$M638,BO$13)="",10^12,OFFSET(CRONOPLE!$F$14,$M638,BO$13))))</f>
        <v>1000000000000</v>
      </c>
      <c r="BP638" s="215">
        <f ca="1">IF($D638&lt;&gt;"Serviço",0,IF(AND(AUTOEVENTO="Manual",$M638=1),0,IF(OFFSET(CRONOPLE!$F$14,$M638,BP$13)="",10^12,OFFSET(CRONOPLE!$F$14,$M638,BP$13))))</f>
        <v>1000000000000</v>
      </c>
      <c r="BQ638" s="215">
        <f ca="1">IF($D638&lt;&gt;"Serviço",0,IF(AND(AUTOEVENTO="Manual",$M638=1),0,IF(OFFSET(CRONOPLE!$F$14,$M638,BQ$13)="",10^12,OFFSET(CRONOPLE!$F$14,$M638,BQ$13))))</f>
        <v>1000000000000</v>
      </c>
      <c r="BR638" s="215">
        <f ca="1">IF($D638&lt;&gt;"Serviço",0,IF(AND(AUTOEVENTO="Manual",$M638=1),0,IF(OFFSET(CRONOPLE!$F$14,$M638,BR$13)="",10^12,OFFSET(CRONOPLE!$F$14,$M638,BR$13))))</f>
        <v>1000000000000</v>
      </c>
      <c r="BS638" s="215">
        <f ca="1">IF($D638&lt;&gt;"Serviço",0,IF(AND(AUTOEVENTO="Manual",$M638=1),0,IF(OFFSET(CRONOPLE!$F$14,$M638,BS$13)="",10^12,OFFSET(CRONOPLE!$F$14,$M638,BS$13))))</f>
        <v>1000000000000</v>
      </c>
      <c r="BT638" s="215">
        <f ca="1">IF($D638&lt;&gt;"Serviço",0,IF(AND(AUTOEVENTO="Manual",$M638=1),0,IF(OFFSET(CRONOPLE!$F$14,$M638,BT$13)="",10^12,OFFSET(CRONOPLE!$F$14,$M638,BT$13))))</f>
        <v>1000000000000</v>
      </c>
      <c r="BV638" s="216">
        <f ca="1">IF($D638&lt;&gt;"Serviço",0,IF(OR(AND(AUTOEVENTO="Manual",$M638=1),$M638&gt;(ROW(PLE.lastrow)-ROW(PLE.firstrow))),0,IF(OFFSET(PLE!$G$14,$M638,BV$13)="",10^12,OFFSET(PLE!$G$14,$M638,BV$13))))</f>
        <v>1000000000000</v>
      </c>
      <c r="BW638" s="216">
        <f ca="1">IF($D638&lt;&gt;"Serviço",0,IF(OR(AND(AUTOEVENTO="Manual",$M638=1),$M638&gt;(ROW(PLE.lastrow)-ROW(PLE.firstrow))),0,IF(OFFSET(PLE!$G$14,$M638,BW$13)="",10^12,OFFSET(PLE!$G$14,$M638,BW$13))))</f>
        <v>1000000000000</v>
      </c>
      <c r="BX638" s="216">
        <f ca="1">IF($D638&lt;&gt;"Serviço",0,IF(OR(AND(AUTOEVENTO="Manual",$M638=1),$M638&gt;(ROW(PLE.lastrow)-ROW(PLE.firstrow))),0,IF(OFFSET(PLE!$G$14,$M638,BX$13)="",10^12,OFFSET(PLE!$G$14,$M638,BX$13))))</f>
        <v>1000000000000</v>
      </c>
      <c r="BY638" s="216">
        <f ca="1">IF($D638&lt;&gt;"Serviço",0,IF(OR(AND(AUTOEVENTO="Manual",$M638=1),$M638&gt;(ROW(PLE.lastrow)-ROW(PLE.firstrow))),0,IF(OFFSET(PLE!$G$14,$M638,BY$13)="",10^12,OFFSET(PLE!$G$14,$M638,BY$13))))</f>
        <v>1000000000000</v>
      </c>
      <c r="BZ638" s="216">
        <f ca="1">IF($D638&lt;&gt;"Serviço",0,IF(OR(AND(AUTOEVENTO="Manual",$M638=1),$M638&gt;(ROW(PLE.lastrow)-ROW(PLE.firstrow))),0,IF(OFFSET(PLE!$G$14,$M638,BZ$13)="",10^12,OFFSET(PLE!$G$14,$M638,BZ$13))))</f>
        <v>1000000000000</v>
      </c>
      <c r="CA638" s="216">
        <f ca="1">IF($D638&lt;&gt;"Serviço",0,IF(OR(AND(AUTOEVENTO="Manual",$M638=1),$M638&gt;(ROW(PLE.lastrow)-ROW(PLE.firstrow))),0,IF(OFFSET(PLE!$G$14,$M638,CA$13)="",10^12,OFFSET(PLE!$G$14,$M638,CA$13))))</f>
        <v>1000000000000</v>
      </c>
      <c r="CB638" s="216">
        <f ca="1">IF($D638&lt;&gt;"Serviço",0,IF(OR(AND(AUTOEVENTO="Manual",$M638=1),$M638&gt;(ROW(PLE.lastrow)-ROW(PLE.firstrow))),0,IF(OFFSET(PLE!$G$14,$M638,CB$13)="",10^12,OFFSET(PLE!$G$14,$M638,CB$13))))</f>
        <v>1000000000000</v>
      </c>
      <c r="CC638" s="216">
        <f ca="1">IF($D638&lt;&gt;"Serviço",0,IF(OR(AND(AUTOEVENTO="Manual",$M638=1),$M638&gt;(ROW(PLE.lastrow)-ROW(PLE.firstrow))),0,IF(OFFSET(PLE!$G$14,$M638,CC$13)="",10^12,OFFSET(PLE!$G$14,$M638,CC$13))))</f>
        <v>1000000000000</v>
      </c>
      <c r="CD638" s="216">
        <f ca="1">IF($D638&lt;&gt;"Serviço",0,IF(OR(AND(AUTOEVENTO="Manual",$M638=1),$M638&gt;(ROW(PLE.lastrow)-ROW(PLE.firstrow))),0,IF(OFFSET(PLE!$G$14,$M638,CD$13)="",10^12,OFFSET(PLE!$G$14,$M638,CD$13))))</f>
        <v>1000000000000</v>
      </c>
      <c r="CE638" s="216">
        <f ca="1">IF($D638&lt;&gt;"Serviço",0,IF(OR(AND(AUTOEVENTO="Manual",$M638=1),$M638&gt;(ROW(PLE.lastrow)-ROW(PLE.firstrow))),0,IF(OFFSET(PLE!$G$14,$M638,CE$13)="",10^12,OFFSET(PLE!$G$14,$M638,CE$13))))</f>
        <v>1000000000000</v>
      </c>
      <c r="CF638" s="216">
        <f ca="1">IF($D638&lt;&gt;"Serviço",0,IF(OR(AND(AUTOEVENTO="Manual",$M638=1),$M638&gt;(ROW(PLE.lastrow)-ROW(PLE.firstrow))),0,IF(OFFSET(PLE!$G$14,$M638,CF$13)="",10^12,OFFSET(PLE!$G$14,$M638,CF$13))))</f>
        <v>1000000000000</v>
      </c>
      <c r="CG638" s="216">
        <f ca="1">IF($D638&lt;&gt;"Serviço",0,IF(OR(AND(AUTOEVENTO="Manual",$M638=1),$M638&gt;(ROW(PLE.lastrow)-ROW(PLE.firstrow))),0,IF(OFFSET(PLE!$G$14,$M638,CG$13)="",10^12,OFFSET(PLE!$G$14,$M638,CG$13))))</f>
        <v>1000000000000</v>
      </c>
      <c r="CH638" s="216">
        <f ca="1">IF($D638&lt;&gt;"Serviço",0,IF(OR(AND(AUTOEVENTO="Manual",$M638=1),$M638&gt;(ROW(PLE.lastrow)-ROW(PLE.firstrow))),0,IF(OFFSET(PLE!$G$14,$M638,CH$13)="",10^12,OFFSET(PLE!$G$14,$M638,CH$13))))</f>
        <v>1000000000000</v>
      </c>
      <c r="CI638" s="216">
        <f ca="1">IF($D638&lt;&gt;"Serviço",0,IF(OR(AND(AUTOEVENTO="Manual",$M638=1),$M638&gt;(ROW(PLE.lastrow)-ROW(PLE.firstrow))),0,IF(OFFSET(PLE!$G$14,$M638,CI$13)="",10^12,OFFSET(PLE!$G$14,$M638,CI$13))))</f>
        <v>1000000000000</v>
      </c>
      <c r="CJ638" s="216">
        <f ca="1">IF($D638&lt;&gt;"Serviço",0,IF(OR(AND(AUTOEVENTO="Manual",$M638=1),$M638&gt;(ROW(PLE.lastrow)-ROW(PLE.firstrow))),0,IF(OFFSET(PLE!$G$14,$M638,CJ$13)="",10^12,OFFSET(PLE!$G$14,$M638,CJ$13))))</f>
        <v>1000000000000</v>
      </c>
      <c r="CK638" s="216">
        <f ca="1">IF($D638&lt;&gt;"Serviço",0,IF(OR(AND(AUTOEVENTO="Manual",$M638=1),$M638&gt;(ROW(PLE.lastrow)-ROW(PLE.firstrow))),0,IF(OFFSET(PLE!$G$14,$M638,CK$13)="",10^12,OFFSET(PLE!$G$14,$M638,CK$13))))</f>
        <v>1000000000000</v>
      </c>
      <c r="CL638" s="216">
        <f ca="1">IF($D638&lt;&gt;"Serviço",0,IF(OR(AND(AUTOEVENTO="Manual",$M638=1),$M638&gt;(ROW(PLE.lastrow)-ROW(PLE.firstrow))),0,IF(OFFSET(PLE!$G$14,$M638,CL$13)="",10^12,OFFSET(PLE!$G$14,$M638,CL$13))))</f>
        <v>1000000000000</v>
      </c>
      <c r="CM638" s="216">
        <f ca="1">IF($D638&lt;&gt;"Serviço",0,IF(OR(AND(AUTOEVENTO="Manual",$M638=1),$M638&gt;(ROW(PLE.lastrow)-ROW(PLE.firstrow))),0,IF(OFFSET(PLE!$G$14,$M638,CM$13)="",10^12,OFFSET(PLE!$G$14,$M638,CM$13))))</f>
        <v>1000000000000</v>
      </c>
    </row>
    <row r="639" spans="1:91" ht="13.2" x14ac:dyDescent="0.25">
      <c r="A639" s="9">
        <f t="shared" ca="1" si="19"/>
        <v>0</v>
      </c>
      <c r="B639" s="9" t="str">
        <f ca="1">OFFSET(ORÇAMENTO!C$15,ROW(B639)-ROW(B$15),0)</f>
        <v>S</v>
      </c>
      <c r="C639" s="9" t="str">
        <f ca="1">OFFSET(ORÇAMENTO!L$15,ROW(C639)-ROW(C$15),0)</f>
        <v/>
      </c>
      <c r="D639" s="145" t="str">
        <f ca="1">OFFSET(ORÇAMENTO!N$15,ROW(D639)-ROW(D$15),0)</f>
        <v>Serviço</v>
      </c>
      <c r="E639" s="205" t="str">
        <f ca="1">OFFSET(ORÇAMENTO!O$15,ROW(E639)-ROW(E$15),0)</f>
        <v>-</v>
      </c>
      <c r="F639" s="206" t="str">
        <f ca="1">OFFSET(ORÇAMENTO!R$15,ROW(F639)-ROW(F$15),0)</f>
        <v>(abra o arquivo 'Referência 05-2024.xls)</v>
      </c>
      <c r="G639" s="207" t="str">
        <f ca="1">IF($D639&lt;&gt;"Serviço","",OFFSET(ORÇAMENTO!S$15,ROW(G639)-ROW(G$15),0))</f>
        <v>-</v>
      </c>
      <c r="H639" s="151">
        <f ca="1">IF($D639&lt;&gt;"Serviço",0,IF(ACOMPANHAMENTO="BM",ROUND(OFFSET(ORÇAMENTO!AJ$15,ROW(H639)-ROW(H$15),0),15-13*ORÇAMENTO!$AF$7),SUMPRODUCT(($Q$12:$AI$12&lt;&gt;"")*ROUND($Q639:$AI639,15-13*ORÇAMENTO!$AF$7))))</f>
        <v>9</v>
      </c>
      <c r="I639" s="650"/>
      <c r="K639" s="208"/>
      <c r="L639" s="209" t="s">
        <v>257</v>
      </c>
      <c r="M639" s="210">
        <f ca="1">IF($D639&lt;&gt;"Serviço","",IF(AUTOEVENTO="manual",$A639,IF(ISERROR(MATCH($A639,$A$15:OFFSET($A639,-1,0),0)),MAX($M$15:OFFSET(M639,-1,0))+1,INDEX($M$15:OFFSET(M639,-1,0),MATCH($A639,$A$15:OFFSET($A639,-1,0),0)))))</f>
        <v>0</v>
      </c>
      <c r="N639" s="211" t="str">
        <f ca="1">IF($D639&lt;&gt;"Serviço","",IF(AUTOEVENTO="Manual",IF($A639=0,"&lt;-- defina o número do agrupador",OFFSET(EVENTOS!$D$14,$A639,0)),OFFSET($F$15,$A639,0)))</f>
        <v>&lt;-- defina o número do agrupador</v>
      </c>
      <c r="O639" s="212"/>
      <c r="Q639" s="212"/>
      <c r="R639" s="213"/>
      <c r="S639" s="213"/>
      <c r="T639" s="213"/>
      <c r="U639" s="213"/>
      <c r="V639" s="213"/>
      <c r="W639" s="213"/>
      <c r="X639" s="213"/>
      <c r="Y639" s="213"/>
      <c r="Z639" s="214"/>
      <c r="AA639" s="213"/>
      <c r="AB639" s="213"/>
      <c r="AC639" s="213"/>
      <c r="AD639" s="213"/>
      <c r="AE639" s="213"/>
      <c r="AF639" s="213"/>
      <c r="AG639" s="213"/>
      <c r="AH639" s="214"/>
      <c r="AJ639" s="631">
        <f ca="1">IF(AND($D639="Serviço",AJ$12&lt;&gt;0,$H639&gt;0,OR(AUTOEVENTO&lt;&gt;"manual",$M639&lt;&gt;1)),ROUND(OFFSET($P639,0,AJ$13),15-13*ORÇAMENTO!$AF$7)/$H639*OFFSET(ORÇAMENTO!$X$15,ROW(AJ639)-ROW(AJ$15),0),0)</f>
        <v>0</v>
      </c>
      <c r="AK639" s="632">
        <f ca="1">IF(AND($D639="Serviço",AK$12&lt;&gt;0,$H639&gt;0,OR(AUTOEVENTO&lt;&gt;"manual",$M639&lt;&gt;1)),ROUND(OFFSET($P639,0,AK$13),15-13*ORÇAMENTO!$AF$7)/$H639*OFFSET(ORÇAMENTO!$X$15,ROW(AK639)-ROW(AK$15),0),0)</f>
        <v>0</v>
      </c>
      <c r="AL639" s="632">
        <f ca="1">IF(AND($D639="Serviço",AL$12&lt;&gt;0,$H639&gt;0,OR(AUTOEVENTO&lt;&gt;"manual",$M639&lt;&gt;1)),ROUND(OFFSET($P639,0,AL$13),15-13*ORÇAMENTO!$AF$7)/$H639*OFFSET(ORÇAMENTO!$X$15,ROW(AL639)-ROW(AL$15),0),0)</f>
        <v>0</v>
      </c>
      <c r="AM639" s="632">
        <f ca="1">IF(AND($D639="Serviço",AM$12&lt;&gt;0,$H639&gt;0,OR(AUTOEVENTO&lt;&gt;"manual",$M639&lt;&gt;1)),ROUND(OFFSET($P639,0,AM$13),15-13*ORÇAMENTO!$AF$7)/$H639*OFFSET(ORÇAMENTO!$X$15,ROW(AM639)-ROW(AM$15),0),0)</f>
        <v>0</v>
      </c>
      <c r="AN639" s="632">
        <f ca="1">IF(AND($D639="Serviço",AN$12&lt;&gt;0,$H639&gt;0,OR(AUTOEVENTO&lt;&gt;"manual",$M639&lt;&gt;1)),ROUND(OFFSET($P639,0,AN$13),15-13*ORÇAMENTO!$AF$7)/$H639*OFFSET(ORÇAMENTO!$X$15,ROW(AN639)-ROW(AN$15),0),0)</f>
        <v>0</v>
      </c>
      <c r="AO639" s="632">
        <f ca="1">IF(AND($D639="Serviço",AO$12&lt;&gt;0,$H639&gt;0,OR(AUTOEVENTO&lt;&gt;"manual",$M639&lt;&gt;1)),ROUND(OFFSET($P639,0,AO$13),15-13*ORÇAMENTO!$AF$7)/$H639*OFFSET(ORÇAMENTO!$X$15,ROW(AO639)-ROW(AO$15),0),0)</f>
        <v>0</v>
      </c>
      <c r="AP639" s="632">
        <f ca="1">IF(AND($D639="Serviço",AP$12&lt;&gt;0,$H639&gt;0,OR(AUTOEVENTO&lt;&gt;"manual",$M639&lt;&gt;1)),ROUND(OFFSET($P639,0,AP$13),15-13*ORÇAMENTO!$AF$7)/$H639*OFFSET(ORÇAMENTO!$X$15,ROW(AP639)-ROW(AP$15),0),0)</f>
        <v>0</v>
      </c>
      <c r="AQ639" s="632">
        <f ca="1">IF(AND($D639="Serviço",AQ$12&lt;&gt;0,$H639&gt;0,OR(AUTOEVENTO&lt;&gt;"manual",$M639&lt;&gt;1)),ROUND(OFFSET($P639,0,AQ$13),15-13*ORÇAMENTO!$AF$7)/$H639*OFFSET(ORÇAMENTO!$X$15,ROW(AQ639)-ROW(AQ$15),0),0)</f>
        <v>0</v>
      </c>
      <c r="AR639" s="632">
        <f ca="1">IF(AND($D639="Serviço",AR$12&lt;&gt;0,$H639&gt;0,OR(AUTOEVENTO&lt;&gt;"manual",$M639&lt;&gt;1)),ROUND(OFFSET($P639,0,AR$13),15-13*ORÇAMENTO!$AF$7)/$H639*OFFSET(ORÇAMENTO!$X$15,ROW(AR639)-ROW(AR$15),0),0)</f>
        <v>0</v>
      </c>
      <c r="AS639" s="633">
        <f ca="1">IF(AND($D639="Serviço",AS$12&lt;&gt;0,$H639&gt;0,OR(AUTOEVENTO&lt;&gt;"manual",$M639&lt;&gt;1)),ROUND(OFFSET($P639,0,AS$13),15-13*ORÇAMENTO!$AF$7)/$H639*OFFSET(ORÇAMENTO!$X$15,ROW(AS639)-ROW(AS$15),0),0)</f>
        <v>0</v>
      </c>
      <c r="AT639" s="632">
        <f ca="1">IF(AND($D639="Serviço",AT$12&lt;&gt;0,$H639&gt;0,OR(AUTOEVENTO&lt;&gt;"manual",$M639&lt;&gt;1)),ROUND(OFFSET($P639,0,AT$13),15-13*ORÇAMENTO!$AF$7)/$H639*OFFSET(ORÇAMENTO!$X$15,ROW(AT639)-ROW(AT$15),0),0)</f>
        <v>0</v>
      </c>
      <c r="AU639" s="632">
        <f ca="1">IF(AND($D639="Serviço",AU$12&lt;&gt;0,$H639&gt;0,OR(AUTOEVENTO&lt;&gt;"manual",$M639&lt;&gt;1)),ROUND(OFFSET($P639,0,AU$13),15-13*ORÇAMENTO!$AF$7)/$H639*OFFSET(ORÇAMENTO!$X$15,ROW(AU639)-ROW(AU$15),0),0)</f>
        <v>0</v>
      </c>
      <c r="AV639" s="632">
        <f ca="1">IF(AND($D639="Serviço",AV$12&lt;&gt;0,$H639&gt;0,OR(AUTOEVENTO&lt;&gt;"manual",$M639&lt;&gt;1)),ROUND(OFFSET($P639,0,AV$13),15-13*ORÇAMENTO!$AF$7)/$H639*OFFSET(ORÇAMENTO!$X$15,ROW(AV639)-ROW(AV$15),0),0)</f>
        <v>0</v>
      </c>
      <c r="AW639" s="632">
        <f ca="1">IF(AND($D639="Serviço",AW$12&lt;&gt;0,$H639&gt;0,OR(AUTOEVENTO&lt;&gt;"manual",$M639&lt;&gt;1)),ROUND(OFFSET($P639,0,AW$13),15-13*ORÇAMENTO!$AF$7)/$H639*OFFSET(ORÇAMENTO!$X$15,ROW(AW639)-ROW(AW$15),0),0)</f>
        <v>0</v>
      </c>
      <c r="AX639" s="632">
        <f ca="1">IF(AND($D639="Serviço",AX$12&lt;&gt;0,$H639&gt;0,OR(AUTOEVENTO&lt;&gt;"manual",$M639&lt;&gt;1)),ROUND(OFFSET($P639,0,AX$13),15-13*ORÇAMENTO!$AF$7)/$H639*OFFSET(ORÇAMENTO!$X$15,ROW(AX639)-ROW(AX$15),0),0)</f>
        <v>0</v>
      </c>
      <c r="AY639" s="632">
        <f ca="1">IF(AND($D639="Serviço",AY$12&lt;&gt;0,$H639&gt;0,OR(AUTOEVENTO&lt;&gt;"manual",$M639&lt;&gt;1)),ROUND(OFFSET($P639,0,AY$13),15-13*ORÇAMENTO!$AF$7)/$H639*OFFSET(ORÇAMENTO!$X$15,ROW(AY639)-ROW(AY$15),0),0)</f>
        <v>0</v>
      </c>
      <c r="AZ639" s="632">
        <f ca="1">IF(AND($D639="Serviço",AZ$12&lt;&gt;0,$H639&gt;0,OR(AUTOEVENTO&lt;&gt;"manual",$M639&lt;&gt;1)),ROUND(OFFSET($P639,0,AZ$13),15-13*ORÇAMENTO!$AF$7)/$H639*OFFSET(ORÇAMENTO!$X$15,ROW(AZ639)-ROW(AZ$15),0),0)</f>
        <v>0</v>
      </c>
      <c r="BA639" s="633">
        <f ca="1">IF(AND($D639="Serviço",BA$12&lt;&gt;0,$H639&gt;0,OR(AUTOEVENTO&lt;&gt;"manual",$M639&lt;&gt;1)),ROUND(OFFSET($P639,0,BA$13),15-13*ORÇAMENTO!$AF$7)/$H639*OFFSET(ORÇAMENTO!$X$15,ROW(BA639)-ROW(BA$15),0),0)</f>
        <v>0</v>
      </c>
      <c r="BC639" s="215">
        <f ca="1">IF($D639&lt;&gt;"Serviço",0,IF(AND(AUTOEVENTO="Manual",$M639=1),0,IF(OFFSET(CRONOPLE!$F$14,$M639,BC$13)="",10^12,OFFSET(CRONOPLE!$F$14,$M639,BC$13))))</f>
        <v>1000000000000</v>
      </c>
      <c r="BD639" s="215">
        <f ca="1">IF($D639&lt;&gt;"Serviço",0,IF(AND(AUTOEVENTO="Manual",$M639=1),0,IF(OFFSET(CRONOPLE!$F$14,$M639,BD$13)="",10^12,OFFSET(CRONOPLE!$F$14,$M639,BD$13))))</f>
        <v>1000000000000</v>
      </c>
      <c r="BE639" s="215">
        <f ca="1">IF($D639&lt;&gt;"Serviço",0,IF(AND(AUTOEVENTO="Manual",$M639=1),0,IF(OFFSET(CRONOPLE!$F$14,$M639,BE$13)="",10^12,OFFSET(CRONOPLE!$F$14,$M639,BE$13))))</f>
        <v>1000000000000</v>
      </c>
      <c r="BF639" s="215">
        <f ca="1">IF($D639&lt;&gt;"Serviço",0,IF(AND(AUTOEVENTO="Manual",$M639=1),0,IF(OFFSET(CRONOPLE!$F$14,$M639,BF$13)="",10^12,OFFSET(CRONOPLE!$F$14,$M639,BF$13))))</f>
        <v>1000000000000</v>
      </c>
      <c r="BG639" s="215">
        <f ca="1">IF($D639&lt;&gt;"Serviço",0,IF(AND(AUTOEVENTO="Manual",$M639=1),0,IF(OFFSET(CRONOPLE!$F$14,$M639,BG$13)="",10^12,OFFSET(CRONOPLE!$F$14,$M639,BG$13))))</f>
        <v>1000000000000</v>
      </c>
      <c r="BH639" s="215">
        <f ca="1">IF($D639&lt;&gt;"Serviço",0,IF(AND(AUTOEVENTO="Manual",$M639=1),0,IF(OFFSET(CRONOPLE!$F$14,$M639,BH$13)="",10^12,OFFSET(CRONOPLE!$F$14,$M639,BH$13))))</f>
        <v>1000000000000</v>
      </c>
      <c r="BI639" s="215">
        <f ca="1">IF($D639&lt;&gt;"Serviço",0,IF(AND(AUTOEVENTO="Manual",$M639=1),0,IF(OFFSET(CRONOPLE!$F$14,$M639,BI$13)="",10^12,OFFSET(CRONOPLE!$F$14,$M639,BI$13))))</f>
        <v>1000000000000</v>
      </c>
      <c r="BJ639" s="215">
        <f ca="1">IF($D639&lt;&gt;"Serviço",0,IF(AND(AUTOEVENTO="Manual",$M639=1),0,IF(OFFSET(CRONOPLE!$F$14,$M639,BJ$13)="",10^12,OFFSET(CRONOPLE!$F$14,$M639,BJ$13))))</f>
        <v>1000000000000</v>
      </c>
      <c r="BK639" s="215">
        <f ca="1">IF($D639&lt;&gt;"Serviço",0,IF(AND(AUTOEVENTO="Manual",$M639=1),0,IF(OFFSET(CRONOPLE!$F$14,$M639,BK$13)="",10^12,OFFSET(CRONOPLE!$F$14,$M639,BK$13))))</f>
        <v>1000000000000</v>
      </c>
      <c r="BL639" s="215">
        <f ca="1">IF($D639&lt;&gt;"Serviço",0,IF(AND(AUTOEVENTO="Manual",$M639=1),0,IF(OFFSET(CRONOPLE!$F$14,$M639,BL$13)="",10^12,OFFSET(CRONOPLE!$F$14,$M639,BL$13))))</f>
        <v>1000000000000</v>
      </c>
      <c r="BM639" s="215">
        <f ca="1">IF($D639&lt;&gt;"Serviço",0,IF(AND(AUTOEVENTO="Manual",$M639=1),0,IF(OFFSET(CRONOPLE!$F$14,$M639,BM$13)="",10^12,OFFSET(CRONOPLE!$F$14,$M639,BM$13))))</f>
        <v>1000000000000</v>
      </c>
      <c r="BN639" s="215">
        <f ca="1">IF($D639&lt;&gt;"Serviço",0,IF(AND(AUTOEVENTO="Manual",$M639=1),0,IF(OFFSET(CRONOPLE!$F$14,$M639,BN$13)="",10^12,OFFSET(CRONOPLE!$F$14,$M639,BN$13))))</f>
        <v>1000000000000</v>
      </c>
      <c r="BO639" s="215">
        <f ca="1">IF($D639&lt;&gt;"Serviço",0,IF(AND(AUTOEVENTO="Manual",$M639=1),0,IF(OFFSET(CRONOPLE!$F$14,$M639,BO$13)="",10^12,OFFSET(CRONOPLE!$F$14,$M639,BO$13))))</f>
        <v>1000000000000</v>
      </c>
      <c r="BP639" s="215">
        <f ca="1">IF($D639&lt;&gt;"Serviço",0,IF(AND(AUTOEVENTO="Manual",$M639=1),0,IF(OFFSET(CRONOPLE!$F$14,$M639,BP$13)="",10^12,OFFSET(CRONOPLE!$F$14,$M639,BP$13))))</f>
        <v>1000000000000</v>
      </c>
      <c r="BQ639" s="215">
        <f ca="1">IF($D639&lt;&gt;"Serviço",0,IF(AND(AUTOEVENTO="Manual",$M639=1),0,IF(OFFSET(CRONOPLE!$F$14,$M639,BQ$13)="",10^12,OFFSET(CRONOPLE!$F$14,$M639,BQ$13))))</f>
        <v>1000000000000</v>
      </c>
      <c r="BR639" s="215">
        <f ca="1">IF($D639&lt;&gt;"Serviço",0,IF(AND(AUTOEVENTO="Manual",$M639=1),0,IF(OFFSET(CRONOPLE!$F$14,$M639,BR$13)="",10^12,OFFSET(CRONOPLE!$F$14,$M639,BR$13))))</f>
        <v>1000000000000</v>
      </c>
      <c r="BS639" s="215">
        <f ca="1">IF($D639&lt;&gt;"Serviço",0,IF(AND(AUTOEVENTO="Manual",$M639=1),0,IF(OFFSET(CRONOPLE!$F$14,$M639,BS$13)="",10^12,OFFSET(CRONOPLE!$F$14,$M639,BS$13))))</f>
        <v>1000000000000</v>
      </c>
      <c r="BT639" s="215">
        <f ca="1">IF($D639&lt;&gt;"Serviço",0,IF(AND(AUTOEVENTO="Manual",$M639=1),0,IF(OFFSET(CRONOPLE!$F$14,$M639,BT$13)="",10^12,OFFSET(CRONOPLE!$F$14,$M639,BT$13))))</f>
        <v>1000000000000</v>
      </c>
      <c r="BV639" s="216">
        <f ca="1">IF($D639&lt;&gt;"Serviço",0,IF(OR(AND(AUTOEVENTO="Manual",$M639=1),$M639&gt;(ROW(PLE.lastrow)-ROW(PLE.firstrow))),0,IF(OFFSET(PLE!$G$14,$M639,BV$13)="",10^12,OFFSET(PLE!$G$14,$M639,BV$13))))</f>
        <v>1000000000000</v>
      </c>
      <c r="BW639" s="216">
        <f ca="1">IF($D639&lt;&gt;"Serviço",0,IF(OR(AND(AUTOEVENTO="Manual",$M639=1),$M639&gt;(ROW(PLE.lastrow)-ROW(PLE.firstrow))),0,IF(OFFSET(PLE!$G$14,$M639,BW$13)="",10^12,OFFSET(PLE!$G$14,$M639,BW$13))))</f>
        <v>1000000000000</v>
      </c>
      <c r="BX639" s="216">
        <f ca="1">IF($D639&lt;&gt;"Serviço",0,IF(OR(AND(AUTOEVENTO="Manual",$M639=1),$M639&gt;(ROW(PLE.lastrow)-ROW(PLE.firstrow))),0,IF(OFFSET(PLE!$G$14,$M639,BX$13)="",10^12,OFFSET(PLE!$G$14,$M639,BX$13))))</f>
        <v>1000000000000</v>
      </c>
      <c r="BY639" s="216">
        <f ca="1">IF($D639&lt;&gt;"Serviço",0,IF(OR(AND(AUTOEVENTO="Manual",$M639=1),$M639&gt;(ROW(PLE.lastrow)-ROW(PLE.firstrow))),0,IF(OFFSET(PLE!$G$14,$M639,BY$13)="",10^12,OFFSET(PLE!$G$14,$M639,BY$13))))</f>
        <v>1000000000000</v>
      </c>
      <c r="BZ639" s="216">
        <f ca="1">IF($D639&lt;&gt;"Serviço",0,IF(OR(AND(AUTOEVENTO="Manual",$M639=1),$M639&gt;(ROW(PLE.lastrow)-ROW(PLE.firstrow))),0,IF(OFFSET(PLE!$G$14,$M639,BZ$13)="",10^12,OFFSET(PLE!$G$14,$M639,BZ$13))))</f>
        <v>1000000000000</v>
      </c>
      <c r="CA639" s="216">
        <f ca="1">IF($D639&lt;&gt;"Serviço",0,IF(OR(AND(AUTOEVENTO="Manual",$M639=1),$M639&gt;(ROW(PLE.lastrow)-ROW(PLE.firstrow))),0,IF(OFFSET(PLE!$G$14,$M639,CA$13)="",10^12,OFFSET(PLE!$G$14,$M639,CA$13))))</f>
        <v>1000000000000</v>
      </c>
      <c r="CB639" s="216">
        <f ca="1">IF($D639&lt;&gt;"Serviço",0,IF(OR(AND(AUTOEVENTO="Manual",$M639=1),$M639&gt;(ROW(PLE.lastrow)-ROW(PLE.firstrow))),0,IF(OFFSET(PLE!$G$14,$M639,CB$13)="",10^12,OFFSET(PLE!$G$14,$M639,CB$13))))</f>
        <v>1000000000000</v>
      </c>
      <c r="CC639" s="216">
        <f ca="1">IF($D639&lt;&gt;"Serviço",0,IF(OR(AND(AUTOEVENTO="Manual",$M639=1),$M639&gt;(ROW(PLE.lastrow)-ROW(PLE.firstrow))),0,IF(OFFSET(PLE!$G$14,$M639,CC$13)="",10^12,OFFSET(PLE!$G$14,$M639,CC$13))))</f>
        <v>1000000000000</v>
      </c>
      <c r="CD639" s="216">
        <f ca="1">IF($D639&lt;&gt;"Serviço",0,IF(OR(AND(AUTOEVENTO="Manual",$M639=1),$M639&gt;(ROW(PLE.lastrow)-ROW(PLE.firstrow))),0,IF(OFFSET(PLE!$G$14,$M639,CD$13)="",10^12,OFFSET(PLE!$G$14,$M639,CD$13))))</f>
        <v>1000000000000</v>
      </c>
      <c r="CE639" s="216">
        <f ca="1">IF($D639&lt;&gt;"Serviço",0,IF(OR(AND(AUTOEVENTO="Manual",$M639=1),$M639&gt;(ROW(PLE.lastrow)-ROW(PLE.firstrow))),0,IF(OFFSET(PLE!$G$14,$M639,CE$13)="",10^12,OFFSET(PLE!$G$14,$M639,CE$13))))</f>
        <v>1000000000000</v>
      </c>
      <c r="CF639" s="216">
        <f ca="1">IF($D639&lt;&gt;"Serviço",0,IF(OR(AND(AUTOEVENTO="Manual",$M639=1),$M639&gt;(ROW(PLE.lastrow)-ROW(PLE.firstrow))),0,IF(OFFSET(PLE!$G$14,$M639,CF$13)="",10^12,OFFSET(PLE!$G$14,$M639,CF$13))))</f>
        <v>1000000000000</v>
      </c>
      <c r="CG639" s="216">
        <f ca="1">IF($D639&lt;&gt;"Serviço",0,IF(OR(AND(AUTOEVENTO="Manual",$M639=1),$M639&gt;(ROW(PLE.lastrow)-ROW(PLE.firstrow))),0,IF(OFFSET(PLE!$G$14,$M639,CG$13)="",10^12,OFFSET(PLE!$G$14,$M639,CG$13))))</f>
        <v>1000000000000</v>
      </c>
      <c r="CH639" s="216">
        <f ca="1">IF($D639&lt;&gt;"Serviço",0,IF(OR(AND(AUTOEVENTO="Manual",$M639=1),$M639&gt;(ROW(PLE.lastrow)-ROW(PLE.firstrow))),0,IF(OFFSET(PLE!$G$14,$M639,CH$13)="",10^12,OFFSET(PLE!$G$14,$M639,CH$13))))</f>
        <v>1000000000000</v>
      </c>
      <c r="CI639" s="216">
        <f ca="1">IF($D639&lt;&gt;"Serviço",0,IF(OR(AND(AUTOEVENTO="Manual",$M639=1),$M639&gt;(ROW(PLE.lastrow)-ROW(PLE.firstrow))),0,IF(OFFSET(PLE!$G$14,$M639,CI$13)="",10^12,OFFSET(PLE!$G$14,$M639,CI$13))))</f>
        <v>1000000000000</v>
      </c>
      <c r="CJ639" s="216">
        <f ca="1">IF($D639&lt;&gt;"Serviço",0,IF(OR(AND(AUTOEVENTO="Manual",$M639=1),$M639&gt;(ROW(PLE.lastrow)-ROW(PLE.firstrow))),0,IF(OFFSET(PLE!$G$14,$M639,CJ$13)="",10^12,OFFSET(PLE!$G$14,$M639,CJ$13))))</f>
        <v>1000000000000</v>
      </c>
      <c r="CK639" s="216">
        <f ca="1">IF($D639&lt;&gt;"Serviço",0,IF(OR(AND(AUTOEVENTO="Manual",$M639=1),$M639&gt;(ROW(PLE.lastrow)-ROW(PLE.firstrow))),0,IF(OFFSET(PLE!$G$14,$M639,CK$13)="",10^12,OFFSET(PLE!$G$14,$M639,CK$13))))</f>
        <v>1000000000000</v>
      </c>
      <c r="CL639" s="216">
        <f ca="1">IF($D639&lt;&gt;"Serviço",0,IF(OR(AND(AUTOEVENTO="Manual",$M639=1),$M639&gt;(ROW(PLE.lastrow)-ROW(PLE.firstrow))),0,IF(OFFSET(PLE!$G$14,$M639,CL$13)="",10^12,OFFSET(PLE!$G$14,$M639,CL$13))))</f>
        <v>1000000000000</v>
      </c>
      <c r="CM639" s="216">
        <f ca="1">IF($D639&lt;&gt;"Serviço",0,IF(OR(AND(AUTOEVENTO="Manual",$M639=1),$M639&gt;(ROW(PLE.lastrow)-ROW(PLE.firstrow))),0,IF(OFFSET(PLE!$G$14,$M639,CM$13)="",10^12,OFFSET(PLE!$G$14,$M639,CM$13))))</f>
        <v>1000000000000</v>
      </c>
    </row>
    <row r="640" spans="1:91" ht="13.2" x14ac:dyDescent="0.25">
      <c r="A640" s="9">
        <f t="shared" ca="1" si="19"/>
        <v>0</v>
      </c>
      <c r="B640" s="9" t="str">
        <f ca="1">OFFSET(ORÇAMENTO!C$15,ROW(B640)-ROW(B$15),0)</f>
        <v>S</v>
      </c>
      <c r="C640" s="9" t="str">
        <f ca="1">OFFSET(ORÇAMENTO!L$15,ROW(C640)-ROW(C$15),0)</f>
        <v/>
      </c>
      <c r="D640" s="145" t="str">
        <f ca="1">OFFSET(ORÇAMENTO!N$15,ROW(D640)-ROW(D$15),0)</f>
        <v>Serviço</v>
      </c>
      <c r="E640" s="205" t="str">
        <f ca="1">OFFSET(ORÇAMENTO!O$15,ROW(E640)-ROW(E$15),0)</f>
        <v>-</v>
      </c>
      <c r="F640" s="206" t="str">
        <f ca="1">OFFSET(ORÇAMENTO!R$15,ROW(F640)-ROW(F$15),0)</f>
        <v>(abra o arquivo 'Referência 05-2024.xls)</v>
      </c>
      <c r="G640" s="207" t="str">
        <f ca="1">IF($D640&lt;&gt;"Serviço","",OFFSET(ORÇAMENTO!S$15,ROW(G640)-ROW(G$15),0))</f>
        <v>-</v>
      </c>
      <c r="H640" s="151">
        <f ca="1">IF($D640&lt;&gt;"Serviço",0,IF(ACOMPANHAMENTO="BM",ROUND(OFFSET(ORÇAMENTO!AJ$15,ROW(H640)-ROW(H$15),0),15-13*ORÇAMENTO!$AF$7),SUMPRODUCT(($Q$12:$AI$12&lt;&gt;"")*ROUND($Q640:$AI640,15-13*ORÇAMENTO!$AF$7))))</f>
        <v>4</v>
      </c>
      <c r="I640" s="650"/>
      <c r="K640" s="208"/>
      <c r="L640" s="209" t="s">
        <v>257</v>
      </c>
      <c r="M640" s="210">
        <f ca="1">IF($D640&lt;&gt;"Serviço","",IF(AUTOEVENTO="manual",$A640,IF(ISERROR(MATCH($A640,$A$15:OFFSET($A640,-1,0),0)),MAX($M$15:OFFSET(M640,-1,0))+1,INDEX($M$15:OFFSET(M640,-1,0),MATCH($A640,$A$15:OFFSET($A640,-1,0),0)))))</f>
        <v>0</v>
      </c>
      <c r="N640" s="211" t="str">
        <f ca="1">IF($D640&lt;&gt;"Serviço","",IF(AUTOEVENTO="Manual",IF($A640=0,"&lt;-- defina o número do agrupador",OFFSET(EVENTOS!$D$14,$A640,0)),OFFSET($F$15,$A640,0)))</f>
        <v>&lt;-- defina o número do agrupador</v>
      </c>
      <c r="O640" s="212"/>
      <c r="Q640" s="212"/>
      <c r="R640" s="213"/>
      <c r="S640" s="213"/>
      <c r="T640" s="213"/>
      <c r="U640" s="213"/>
      <c r="V640" s="213"/>
      <c r="W640" s="213"/>
      <c r="X640" s="213"/>
      <c r="Y640" s="213"/>
      <c r="Z640" s="214"/>
      <c r="AA640" s="213"/>
      <c r="AB640" s="213"/>
      <c r="AC640" s="213"/>
      <c r="AD640" s="213"/>
      <c r="AE640" s="213"/>
      <c r="AF640" s="213"/>
      <c r="AG640" s="213"/>
      <c r="AH640" s="214"/>
      <c r="AJ640" s="631">
        <f ca="1">IF(AND($D640="Serviço",AJ$12&lt;&gt;0,$H640&gt;0,OR(AUTOEVENTO&lt;&gt;"manual",$M640&lt;&gt;1)),ROUND(OFFSET($P640,0,AJ$13),15-13*ORÇAMENTO!$AF$7)/$H640*OFFSET(ORÇAMENTO!$X$15,ROW(AJ640)-ROW(AJ$15),0),0)</f>
        <v>0</v>
      </c>
      <c r="AK640" s="632">
        <f ca="1">IF(AND($D640="Serviço",AK$12&lt;&gt;0,$H640&gt;0,OR(AUTOEVENTO&lt;&gt;"manual",$M640&lt;&gt;1)),ROUND(OFFSET($P640,0,AK$13),15-13*ORÇAMENTO!$AF$7)/$H640*OFFSET(ORÇAMENTO!$X$15,ROW(AK640)-ROW(AK$15),0),0)</f>
        <v>0</v>
      </c>
      <c r="AL640" s="632">
        <f ca="1">IF(AND($D640="Serviço",AL$12&lt;&gt;0,$H640&gt;0,OR(AUTOEVENTO&lt;&gt;"manual",$M640&lt;&gt;1)),ROUND(OFFSET($P640,0,AL$13),15-13*ORÇAMENTO!$AF$7)/$H640*OFFSET(ORÇAMENTO!$X$15,ROW(AL640)-ROW(AL$15),0),0)</f>
        <v>0</v>
      </c>
      <c r="AM640" s="632">
        <f ca="1">IF(AND($D640="Serviço",AM$12&lt;&gt;0,$H640&gt;0,OR(AUTOEVENTO&lt;&gt;"manual",$M640&lt;&gt;1)),ROUND(OFFSET($P640,0,AM$13),15-13*ORÇAMENTO!$AF$7)/$H640*OFFSET(ORÇAMENTO!$X$15,ROW(AM640)-ROW(AM$15),0),0)</f>
        <v>0</v>
      </c>
      <c r="AN640" s="632">
        <f ca="1">IF(AND($D640="Serviço",AN$12&lt;&gt;0,$H640&gt;0,OR(AUTOEVENTO&lt;&gt;"manual",$M640&lt;&gt;1)),ROUND(OFFSET($P640,0,AN$13),15-13*ORÇAMENTO!$AF$7)/$H640*OFFSET(ORÇAMENTO!$X$15,ROW(AN640)-ROW(AN$15),0),0)</f>
        <v>0</v>
      </c>
      <c r="AO640" s="632">
        <f ca="1">IF(AND($D640="Serviço",AO$12&lt;&gt;0,$H640&gt;0,OR(AUTOEVENTO&lt;&gt;"manual",$M640&lt;&gt;1)),ROUND(OFFSET($P640,0,AO$13),15-13*ORÇAMENTO!$AF$7)/$H640*OFFSET(ORÇAMENTO!$X$15,ROW(AO640)-ROW(AO$15),0),0)</f>
        <v>0</v>
      </c>
      <c r="AP640" s="632">
        <f ca="1">IF(AND($D640="Serviço",AP$12&lt;&gt;0,$H640&gt;0,OR(AUTOEVENTO&lt;&gt;"manual",$M640&lt;&gt;1)),ROUND(OFFSET($P640,0,AP$13),15-13*ORÇAMENTO!$AF$7)/$H640*OFFSET(ORÇAMENTO!$X$15,ROW(AP640)-ROW(AP$15),0),0)</f>
        <v>0</v>
      </c>
      <c r="AQ640" s="632">
        <f ca="1">IF(AND($D640="Serviço",AQ$12&lt;&gt;0,$H640&gt;0,OR(AUTOEVENTO&lt;&gt;"manual",$M640&lt;&gt;1)),ROUND(OFFSET($P640,0,AQ$13),15-13*ORÇAMENTO!$AF$7)/$H640*OFFSET(ORÇAMENTO!$X$15,ROW(AQ640)-ROW(AQ$15),0),0)</f>
        <v>0</v>
      </c>
      <c r="AR640" s="632">
        <f ca="1">IF(AND($D640="Serviço",AR$12&lt;&gt;0,$H640&gt;0,OR(AUTOEVENTO&lt;&gt;"manual",$M640&lt;&gt;1)),ROUND(OFFSET($P640,0,AR$13),15-13*ORÇAMENTO!$AF$7)/$H640*OFFSET(ORÇAMENTO!$X$15,ROW(AR640)-ROW(AR$15),0),0)</f>
        <v>0</v>
      </c>
      <c r="AS640" s="633">
        <f ca="1">IF(AND($D640="Serviço",AS$12&lt;&gt;0,$H640&gt;0,OR(AUTOEVENTO&lt;&gt;"manual",$M640&lt;&gt;1)),ROUND(OFFSET($P640,0,AS$13),15-13*ORÇAMENTO!$AF$7)/$H640*OFFSET(ORÇAMENTO!$X$15,ROW(AS640)-ROW(AS$15),0),0)</f>
        <v>0</v>
      </c>
      <c r="AT640" s="632">
        <f ca="1">IF(AND($D640="Serviço",AT$12&lt;&gt;0,$H640&gt;0,OR(AUTOEVENTO&lt;&gt;"manual",$M640&lt;&gt;1)),ROUND(OFFSET($P640,0,AT$13),15-13*ORÇAMENTO!$AF$7)/$H640*OFFSET(ORÇAMENTO!$X$15,ROW(AT640)-ROW(AT$15),0),0)</f>
        <v>0</v>
      </c>
      <c r="AU640" s="632">
        <f ca="1">IF(AND($D640="Serviço",AU$12&lt;&gt;0,$H640&gt;0,OR(AUTOEVENTO&lt;&gt;"manual",$M640&lt;&gt;1)),ROUND(OFFSET($P640,0,AU$13),15-13*ORÇAMENTO!$AF$7)/$H640*OFFSET(ORÇAMENTO!$X$15,ROW(AU640)-ROW(AU$15),0),0)</f>
        <v>0</v>
      </c>
      <c r="AV640" s="632">
        <f ca="1">IF(AND($D640="Serviço",AV$12&lt;&gt;0,$H640&gt;0,OR(AUTOEVENTO&lt;&gt;"manual",$M640&lt;&gt;1)),ROUND(OFFSET($P640,0,AV$13),15-13*ORÇAMENTO!$AF$7)/$H640*OFFSET(ORÇAMENTO!$X$15,ROW(AV640)-ROW(AV$15),0),0)</f>
        <v>0</v>
      </c>
      <c r="AW640" s="632">
        <f ca="1">IF(AND($D640="Serviço",AW$12&lt;&gt;0,$H640&gt;0,OR(AUTOEVENTO&lt;&gt;"manual",$M640&lt;&gt;1)),ROUND(OFFSET($P640,0,AW$13),15-13*ORÇAMENTO!$AF$7)/$H640*OFFSET(ORÇAMENTO!$X$15,ROW(AW640)-ROW(AW$15),0),0)</f>
        <v>0</v>
      </c>
      <c r="AX640" s="632">
        <f ca="1">IF(AND($D640="Serviço",AX$12&lt;&gt;0,$H640&gt;0,OR(AUTOEVENTO&lt;&gt;"manual",$M640&lt;&gt;1)),ROUND(OFFSET($P640,0,AX$13),15-13*ORÇAMENTO!$AF$7)/$H640*OFFSET(ORÇAMENTO!$X$15,ROW(AX640)-ROW(AX$15),0),0)</f>
        <v>0</v>
      </c>
      <c r="AY640" s="632">
        <f ca="1">IF(AND($D640="Serviço",AY$12&lt;&gt;0,$H640&gt;0,OR(AUTOEVENTO&lt;&gt;"manual",$M640&lt;&gt;1)),ROUND(OFFSET($P640,0,AY$13),15-13*ORÇAMENTO!$AF$7)/$H640*OFFSET(ORÇAMENTO!$X$15,ROW(AY640)-ROW(AY$15),0),0)</f>
        <v>0</v>
      </c>
      <c r="AZ640" s="632">
        <f ca="1">IF(AND($D640="Serviço",AZ$12&lt;&gt;0,$H640&gt;0,OR(AUTOEVENTO&lt;&gt;"manual",$M640&lt;&gt;1)),ROUND(OFFSET($P640,0,AZ$13),15-13*ORÇAMENTO!$AF$7)/$H640*OFFSET(ORÇAMENTO!$X$15,ROW(AZ640)-ROW(AZ$15),0),0)</f>
        <v>0</v>
      </c>
      <c r="BA640" s="633">
        <f ca="1">IF(AND($D640="Serviço",BA$12&lt;&gt;0,$H640&gt;0,OR(AUTOEVENTO&lt;&gt;"manual",$M640&lt;&gt;1)),ROUND(OFFSET($P640,0,BA$13),15-13*ORÇAMENTO!$AF$7)/$H640*OFFSET(ORÇAMENTO!$X$15,ROW(BA640)-ROW(BA$15),0),0)</f>
        <v>0</v>
      </c>
      <c r="BC640" s="215">
        <f ca="1">IF($D640&lt;&gt;"Serviço",0,IF(AND(AUTOEVENTO="Manual",$M640=1),0,IF(OFFSET(CRONOPLE!$F$14,$M640,BC$13)="",10^12,OFFSET(CRONOPLE!$F$14,$M640,BC$13))))</f>
        <v>1000000000000</v>
      </c>
      <c r="BD640" s="215">
        <f ca="1">IF($D640&lt;&gt;"Serviço",0,IF(AND(AUTOEVENTO="Manual",$M640=1),0,IF(OFFSET(CRONOPLE!$F$14,$M640,BD$13)="",10^12,OFFSET(CRONOPLE!$F$14,$M640,BD$13))))</f>
        <v>1000000000000</v>
      </c>
      <c r="BE640" s="215">
        <f ca="1">IF($D640&lt;&gt;"Serviço",0,IF(AND(AUTOEVENTO="Manual",$M640=1),0,IF(OFFSET(CRONOPLE!$F$14,$M640,BE$13)="",10^12,OFFSET(CRONOPLE!$F$14,$M640,BE$13))))</f>
        <v>1000000000000</v>
      </c>
      <c r="BF640" s="215">
        <f ca="1">IF($D640&lt;&gt;"Serviço",0,IF(AND(AUTOEVENTO="Manual",$M640=1),0,IF(OFFSET(CRONOPLE!$F$14,$M640,BF$13)="",10^12,OFFSET(CRONOPLE!$F$14,$M640,BF$13))))</f>
        <v>1000000000000</v>
      </c>
      <c r="BG640" s="215">
        <f ca="1">IF($D640&lt;&gt;"Serviço",0,IF(AND(AUTOEVENTO="Manual",$M640=1),0,IF(OFFSET(CRONOPLE!$F$14,$M640,BG$13)="",10^12,OFFSET(CRONOPLE!$F$14,$M640,BG$13))))</f>
        <v>1000000000000</v>
      </c>
      <c r="BH640" s="215">
        <f ca="1">IF($D640&lt;&gt;"Serviço",0,IF(AND(AUTOEVENTO="Manual",$M640=1),0,IF(OFFSET(CRONOPLE!$F$14,$M640,BH$13)="",10^12,OFFSET(CRONOPLE!$F$14,$M640,BH$13))))</f>
        <v>1000000000000</v>
      </c>
      <c r="BI640" s="215">
        <f ca="1">IF($D640&lt;&gt;"Serviço",0,IF(AND(AUTOEVENTO="Manual",$M640=1),0,IF(OFFSET(CRONOPLE!$F$14,$M640,BI$13)="",10^12,OFFSET(CRONOPLE!$F$14,$M640,BI$13))))</f>
        <v>1000000000000</v>
      </c>
      <c r="BJ640" s="215">
        <f ca="1">IF($D640&lt;&gt;"Serviço",0,IF(AND(AUTOEVENTO="Manual",$M640=1),0,IF(OFFSET(CRONOPLE!$F$14,$M640,BJ$13)="",10^12,OFFSET(CRONOPLE!$F$14,$M640,BJ$13))))</f>
        <v>1000000000000</v>
      </c>
      <c r="BK640" s="215">
        <f ca="1">IF($D640&lt;&gt;"Serviço",0,IF(AND(AUTOEVENTO="Manual",$M640=1),0,IF(OFFSET(CRONOPLE!$F$14,$M640,BK$13)="",10^12,OFFSET(CRONOPLE!$F$14,$M640,BK$13))))</f>
        <v>1000000000000</v>
      </c>
      <c r="BL640" s="215">
        <f ca="1">IF($D640&lt;&gt;"Serviço",0,IF(AND(AUTOEVENTO="Manual",$M640=1),0,IF(OFFSET(CRONOPLE!$F$14,$M640,BL$13)="",10^12,OFFSET(CRONOPLE!$F$14,$M640,BL$13))))</f>
        <v>1000000000000</v>
      </c>
      <c r="BM640" s="215">
        <f ca="1">IF($D640&lt;&gt;"Serviço",0,IF(AND(AUTOEVENTO="Manual",$M640=1),0,IF(OFFSET(CRONOPLE!$F$14,$M640,BM$13)="",10^12,OFFSET(CRONOPLE!$F$14,$M640,BM$13))))</f>
        <v>1000000000000</v>
      </c>
      <c r="BN640" s="215">
        <f ca="1">IF($D640&lt;&gt;"Serviço",0,IF(AND(AUTOEVENTO="Manual",$M640=1),0,IF(OFFSET(CRONOPLE!$F$14,$M640,BN$13)="",10^12,OFFSET(CRONOPLE!$F$14,$M640,BN$13))))</f>
        <v>1000000000000</v>
      </c>
      <c r="BO640" s="215">
        <f ca="1">IF($D640&lt;&gt;"Serviço",0,IF(AND(AUTOEVENTO="Manual",$M640=1),0,IF(OFFSET(CRONOPLE!$F$14,$M640,BO$13)="",10^12,OFFSET(CRONOPLE!$F$14,$M640,BO$13))))</f>
        <v>1000000000000</v>
      </c>
      <c r="BP640" s="215">
        <f ca="1">IF($D640&lt;&gt;"Serviço",0,IF(AND(AUTOEVENTO="Manual",$M640=1),0,IF(OFFSET(CRONOPLE!$F$14,$M640,BP$13)="",10^12,OFFSET(CRONOPLE!$F$14,$M640,BP$13))))</f>
        <v>1000000000000</v>
      </c>
      <c r="BQ640" s="215">
        <f ca="1">IF($D640&lt;&gt;"Serviço",0,IF(AND(AUTOEVENTO="Manual",$M640=1),0,IF(OFFSET(CRONOPLE!$F$14,$M640,BQ$13)="",10^12,OFFSET(CRONOPLE!$F$14,$M640,BQ$13))))</f>
        <v>1000000000000</v>
      </c>
      <c r="BR640" s="215">
        <f ca="1">IF($D640&lt;&gt;"Serviço",0,IF(AND(AUTOEVENTO="Manual",$M640=1),0,IF(OFFSET(CRONOPLE!$F$14,$M640,BR$13)="",10^12,OFFSET(CRONOPLE!$F$14,$M640,BR$13))))</f>
        <v>1000000000000</v>
      </c>
      <c r="BS640" s="215">
        <f ca="1">IF($D640&lt;&gt;"Serviço",0,IF(AND(AUTOEVENTO="Manual",$M640=1),0,IF(OFFSET(CRONOPLE!$F$14,$M640,BS$13)="",10^12,OFFSET(CRONOPLE!$F$14,$M640,BS$13))))</f>
        <v>1000000000000</v>
      </c>
      <c r="BT640" s="215">
        <f ca="1">IF($D640&lt;&gt;"Serviço",0,IF(AND(AUTOEVENTO="Manual",$M640=1),0,IF(OFFSET(CRONOPLE!$F$14,$M640,BT$13)="",10^12,OFFSET(CRONOPLE!$F$14,$M640,BT$13))))</f>
        <v>1000000000000</v>
      </c>
      <c r="BV640" s="216">
        <f ca="1">IF($D640&lt;&gt;"Serviço",0,IF(OR(AND(AUTOEVENTO="Manual",$M640=1),$M640&gt;(ROW(PLE.lastrow)-ROW(PLE.firstrow))),0,IF(OFFSET(PLE!$G$14,$M640,BV$13)="",10^12,OFFSET(PLE!$G$14,$M640,BV$13))))</f>
        <v>1000000000000</v>
      </c>
      <c r="BW640" s="216">
        <f ca="1">IF($D640&lt;&gt;"Serviço",0,IF(OR(AND(AUTOEVENTO="Manual",$M640=1),$M640&gt;(ROW(PLE.lastrow)-ROW(PLE.firstrow))),0,IF(OFFSET(PLE!$G$14,$M640,BW$13)="",10^12,OFFSET(PLE!$G$14,$M640,BW$13))))</f>
        <v>1000000000000</v>
      </c>
      <c r="BX640" s="216">
        <f ca="1">IF($D640&lt;&gt;"Serviço",0,IF(OR(AND(AUTOEVENTO="Manual",$M640=1),$M640&gt;(ROW(PLE.lastrow)-ROW(PLE.firstrow))),0,IF(OFFSET(PLE!$G$14,$M640,BX$13)="",10^12,OFFSET(PLE!$G$14,$M640,BX$13))))</f>
        <v>1000000000000</v>
      </c>
      <c r="BY640" s="216">
        <f ca="1">IF($D640&lt;&gt;"Serviço",0,IF(OR(AND(AUTOEVENTO="Manual",$M640=1),$M640&gt;(ROW(PLE.lastrow)-ROW(PLE.firstrow))),0,IF(OFFSET(PLE!$G$14,$M640,BY$13)="",10^12,OFFSET(PLE!$G$14,$M640,BY$13))))</f>
        <v>1000000000000</v>
      </c>
      <c r="BZ640" s="216">
        <f ca="1">IF($D640&lt;&gt;"Serviço",0,IF(OR(AND(AUTOEVENTO="Manual",$M640=1),$M640&gt;(ROW(PLE.lastrow)-ROW(PLE.firstrow))),0,IF(OFFSET(PLE!$G$14,$M640,BZ$13)="",10^12,OFFSET(PLE!$G$14,$M640,BZ$13))))</f>
        <v>1000000000000</v>
      </c>
      <c r="CA640" s="216">
        <f ca="1">IF($D640&lt;&gt;"Serviço",0,IF(OR(AND(AUTOEVENTO="Manual",$M640=1),$M640&gt;(ROW(PLE.lastrow)-ROW(PLE.firstrow))),0,IF(OFFSET(PLE!$G$14,$M640,CA$13)="",10^12,OFFSET(PLE!$G$14,$M640,CA$13))))</f>
        <v>1000000000000</v>
      </c>
      <c r="CB640" s="216">
        <f ca="1">IF($D640&lt;&gt;"Serviço",0,IF(OR(AND(AUTOEVENTO="Manual",$M640=1),$M640&gt;(ROW(PLE.lastrow)-ROW(PLE.firstrow))),0,IF(OFFSET(PLE!$G$14,$M640,CB$13)="",10^12,OFFSET(PLE!$G$14,$M640,CB$13))))</f>
        <v>1000000000000</v>
      </c>
      <c r="CC640" s="216">
        <f ca="1">IF($D640&lt;&gt;"Serviço",0,IF(OR(AND(AUTOEVENTO="Manual",$M640=1),$M640&gt;(ROW(PLE.lastrow)-ROW(PLE.firstrow))),0,IF(OFFSET(PLE!$G$14,$M640,CC$13)="",10^12,OFFSET(PLE!$G$14,$M640,CC$13))))</f>
        <v>1000000000000</v>
      </c>
      <c r="CD640" s="216">
        <f ca="1">IF($D640&lt;&gt;"Serviço",0,IF(OR(AND(AUTOEVENTO="Manual",$M640=1),$M640&gt;(ROW(PLE.lastrow)-ROW(PLE.firstrow))),0,IF(OFFSET(PLE!$G$14,$M640,CD$13)="",10^12,OFFSET(PLE!$G$14,$M640,CD$13))))</f>
        <v>1000000000000</v>
      </c>
      <c r="CE640" s="216">
        <f ca="1">IF($D640&lt;&gt;"Serviço",0,IF(OR(AND(AUTOEVENTO="Manual",$M640=1),$M640&gt;(ROW(PLE.lastrow)-ROW(PLE.firstrow))),0,IF(OFFSET(PLE!$G$14,$M640,CE$13)="",10^12,OFFSET(PLE!$G$14,$M640,CE$13))))</f>
        <v>1000000000000</v>
      </c>
      <c r="CF640" s="216">
        <f ca="1">IF($D640&lt;&gt;"Serviço",0,IF(OR(AND(AUTOEVENTO="Manual",$M640=1),$M640&gt;(ROW(PLE.lastrow)-ROW(PLE.firstrow))),0,IF(OFFSET(PLE!$G$14,$M640,CF$13)="",10^12,OFFSET(PLE!$G$14,$M640,CF$13))))</f>
        <v>1000000000000</v>
      </c>
      <c r="CG640" s="216">
        <f ca="1">IF($D640&lt;&gt;"Serviço",0,IF(OR(AND(AUTOEVENTO="Manual",$M640=1),$M640&gt;(ROW(PLE.lastrow)-ROW(PLE.firstrow))),0,IF(OFFSET(PLE!$G$14,$M640,CG$13)="",10^12,OFFSET(PLE!$G$14,$M640,CG$13))))</f>
        <v>1000000000000</v>
      </c>
      <c r="CH640" s="216">
        <f ca="1">IF($D640&lt;&gt;"Serviço",0,IF(OR(AND(AUTOEVENTO="Manual",$M640=1),$M640&gt;(ROW(PLE.lastrow)-ROW(PLE.firstrow))),0,IF(OFFSET(PLE!$G$14,$M640,CH$13)="",10^12,OFFSET(PLE!$G$14,$M640,CH$13))))</f>
        <v>1000000000000</v>
      </c>
      <c r="CI640" s="216">
        <f ca="1">IF($D640&lt;&gt;"Serviço",0,IF(OR(AND(AUTOEVENTO="Manual",$M640=1),$M640&gt;(ROW(PLE.lastrow)-ROW(PLE.firstrow))),0,IF(OFFSET(PLE!$G$14,$M640,CI$13)="",10^12,OFFSET(PLE!$G$14,$M640,CI$13))))</f>
        <v>1000000000000</v>
      </c>
      <c r="CJ640" s="216">
        <f ca="1">IF($D640&lt;&gt;"Serviço",0,IF(OR(AND(AUTOEVENTO="Manual",$M640=1),$M640&gt;(ROW(PLE.lastrow)-ROW(PLE.firstrow))),0,IF(OFFSET(PLE!$G$14,$M640,CJ$13)="",10^12,OFFSET(PLE!$G$14,$M640,CJ$13))))</f>
        <v>1000000000000</v>
      </c>
      <c r="CK640" s="216">
        <f ca="1">IF($D640&lt;&gt;"Serviço",0,IF(OR(AND(AUTOEVENTO="Manual",$M640=1),$M640&gt;(ROW(PLE.lastrow)-ROW(PLE.firstrow))),0,IF(OFFSET(PLE!$G$14,$M640,CK$13)="",10^12,OFFSET(PLE!$G$14,$M640,CK$13))))</f>
        <v>1000000000000</v>
      </c>
      <c r="CL640" s="216">
        <f ca="1">IF($D640&lt;&gt;"Serviço",0,IF(OR(AND(AUTOEVENTO="Manual",$M640=1),$M640&gt;(ROW(PLE.lastrow)-ROW(PLE.firstrow))),0,IF(OFFSET(PLE!$G$14,$M640,CL$13)="",10^12,OFFSET(PLE!$G$14,$M640,CL$13))))</f>
        <v>1000000000000</v>
      </c>
      <c r="CM640" s="216">
        <f ca="1">IF($D640&lt;&gt;"Serviço",0,IF(OR(AND(AUTOEVENTO="Manual",$M640=1),$M640&gt;(ROW(PLE.lastrow)-ROW(PLE.firstrow))),0,IF(OFFSET(PLE!$G$14,$M640,CM$13)="",10^12,OFFSET(PLE!$G$14,$M640,CM$13))))</f>
        <v>1000000000000</v>
      </c>
    </row>
    <row r="641" spans="1:91" ht="13.2" x14ac:dyDescent="0.25">
      <c r="A641" s="9">
        <f t="shared" ca="1" si="19"/>
        <v>0</v>
      </c>
      <c r="B641" s="9" t="str">
        <f ca="1">OFFSET(ORÇAMENTO!C$15,ROW(B641)-ROW(B$15),0)</f>
        <v>S</v>
      </c>
      <c r="C641" s="9" t="str">
        <f ca="1">OFFSET(ORÇAMENTO!L$15,ROW(C641)-ROW(C$15),0)</f>
        <v/>
      </c>
      <c r="D641" s="145" t="str">
        <f ca="1">OFFSET(ORÇAMENTO!N$15,ROW(D641)-ROW(D$15),0)</f>
        <v>Serviço</v>
      </c>
      <c r="E641" s="205" t="str">
        <f ca="1">OFFSET(ORÇAMENTO!O$15,ROW(E641)-ROW(E$15),0)</f>
        <v>-</v>
      </c>
      <c r="F641" s="206" t="str">
        <f ca="1">OFFSET(ORÇAMENTO!R$15,ROW(F641)-ROW(F$15),0)</f>
        <v>(abra o arquivo 'Referência 05-2024.xls)</v>
      </c>
      <c r="G641" s="207" t="str">
        <f ca="1">IF($D641&lt;&gt;"Serviço","",OFFSET(ORÇAMENTO!S$15,ROW(G641)-ROW(G$15),0))</f>
        <v>-</v>
      </c>
      <c r="H641" s="151">
        <f ca="1">IF($D641&lt;&gt;"Serviço",0,IF(ACOMPANHAMENTO="BM",ROUND(OFFSET(ORÇAMENTO!AJ$15,ROW(H641)-ROW(H$15),0),15-13*ORÇAMENTO!$AF$7),SUMPRODUCT(($Q$12:$AI$12&lt;&gt;"")*ROUND($Q641:$AI641,15-13*ORÇAMENTO!$AF$7))))</f>
        <v>18</v>
      </c>
      <c r="I641" s="650"/>
      <c r="K641" s="208"/>
      <c r="L641" s="209" t="s">
        <v>257</v>
      </c>
      <c r="M641" s="210">
        <f ca="1">IF($D641&lt;&gt;"Serviço","",IF(AUTOEVENTO="manual",$A641,IF(ISERROR(MATCH($A641,$A$15:OFFSET($A641,-1,0),0)),MAX($M$15:OFFSET(M641,-1,0))+1,INDEX($M$15:OFFSET(M641,-1,0),MATCH($A641,$A$15:OFFSET($A641,-1,0),0)))))</f>
        <v>0</v>
      </c>
      <c r="N641" s="211" t="str">
        <f ca="1">IF($D641&lt;&gt;"Serviço","",IF(AUTOEVENTO="Manual",IF($A641=0,"&lt;-- defina o número do agrupador",OFFSET(EVENTOS!$D$14,$A641,0)),OFFSET($F$15,$A641,0)))</f>
        <v>&lt;-- defina o número do agrupador</v>
      </c>
      <c r="O641" s="212"/>
      <c r="Q641" s="212"/>
      <c r="R641" s="213"/>
      <c r="S641" s="213"/>
      <c r="T641" s="213"/>
      <c r="U641" s="213"/>
      <c r="V641" s="213"/>
      <c r="W641" s="213"/>
      <c r="X641" s="213"/>
      <c r="Y641" s="213"/>
      <c r="Z641" s="214"/>
      <c r="AA641" s="213"/>
      <c r="AB641" s="213"/>
      <c r="AC641" s="213"/>
      <c r="AD641" s="213"/>
      <c r="AE641" s="213"/>
      <c r="AF641" s="213"/>
      <c r="AG641" s="213"/>
      <c r="AH641" s="214"/>
      <c r="AJ641" s="631">
        <f ca="1">IF(AND($D641="Serviço",AJ$12&lt;&gt;0,$H641&gt;0,OR(AUTOEVENTO&lt;&gt;"manual",$M641&lt;&gt;1)),ROUND(OFFSET($P641,0,AJ$13),15-13*ORÇAMENTO!$AF$7)/$H641*OFFSET(ORÇAMENTO!$X$15,ROW(AJ641)-ROW(AJ$15),0),0)</f>
        <v>0</v>
      </c>
      <c r="AK641" s="632">
        <f ca="1">IF(AND($D641="Serviço",AK$12&lt;&gt;0,$H641&gt;0,OR(AUTOEVENTO&lt;&gt;"manual",$M641&lt;&gt;1)),ROUND(OFFSET($P641,0,AK$13),15-13*ORÇAMENTO!$AF$7)/$H641*OFFSET(ORÇAMENTO!$X$15,ROW(AK641)-ROW(AK$15),0),0)</f>
        <v>0</v>
      </c>
      <c r="AL641" s="632">
        <f ca="1">IF(AND($D641="Serviço",AL$12&lt;&gt;0,$H641&gt;0,OR(AUTOEVENTO&lt;&gt;"manual",$M641&lt;&gt;1)),ROUND(OFFSET($P641,0,AL$13),15-13*ORÇAMENTO!$AF$7)/$H641*OFFSET(ORÇAMENTO!$X$15,ROW(AL641)-ROW(AL$15),0),0)</f>
        <v>0</v>
      </c>
      <c r="AM641" s="632">
        <f ca="1">IF(AND($D641="Serviço",AM$12&lt;&gt;0,$H641&gt;0,OR(AUTOEVENTO&lt;&gt;"manual",$M641&lt;&gt;1)),ROUND(OFFSET($P641,0,AM$13),15-13*ORÇAMENTO!$AF$7)/$H641*OFFSET(ORÇAMENTO!$X$15,ROW(AM641)-ROW(AM$15),0),0)</f>
        <v>0</v>
      </c>
      <c r="AN641" s="632">
        <f ca="1">IF(AND($D641="Serviço",AN$12&lt;&gt;0,$H641&gt;0,OR(AUTOEVENTO&lt;&gt;"manual",$M641&lt;&gt;1)),ROUND(OFFSET($P641,0,AN$13),15-13*ORÇAMENTO!$AF$7)/$H641*OFFSET(ORÇAMENTO!$X$15,ROW(AN641)-ROW(AN$15),0),0)</f>
        <v>0</v>
      </c>
      <c r="AO641" s="632">
        <f ca="1">IF(AND($D641="Serviço",AO$12&lt;&gt;0,$H641&gt;0,OR(AUTOEVENTO&lt;&gt;"manual",$M641&lt;&gt;1)),ROUND(OFFSET($P641,0,AO$13),15-13*ORÇAMENTO!$AF$7)/$H641*OFFSET(ORÇAMENTO!$X$15,ROW(AO641)-ROW(AO$15),0),0)</f>
        <v>0</v>
      </c>
      <c r="AP641" s="632">
        <f ca="1">IF(AND($D641="Serviço",AP$12&lt;&gt;0,$H641&gt;0,OR(AUTOEVENTO&lt;&gt;"manual",$M641&lt;&gt;1)),ROUND(OFFSET($P641,0,AP$13),15-13*ORÇAMENTO!$AF$7)/$H641*OFFSET(ORÇAMENTO!$X$15,ROW(AP641)-ROW(AP$15),0),0)</f>
        <v>0</v>
      </c>
      <c r="AQ641" s="632">
        <f ca="1">IF(AND($D641="Serviço",AQ$12&lt;&gt;0,$H641&gt;0,OR(AUTOEVENTO&lt;&gt;"manual",$M641&lt;&gt;1)),ROUND(OFFSET($P641,0,AQ$13),15-13*ORÇAMENTO!$AF$7)/$H641*OFFSET(ORÇAMENTO!$X$15,ROW(AQ641)-ROW(AQ$15),0),0)</f>
        <v>0</v>
      </c>
      <c r="AR641" s="632">
        <f ca="1">IF(AND($D641="Serviço",AR$12&lt;&gt;0,$H641&gt;0,OR(AUTOEVENTO&lt;&gt;"manual",$M641&lt;&gt;1)),ROUND(OFFSET($P641,0,AR$13),15-13*ORÇAMENTO!$AF$7)/$H641*OFFSET(ORÇAMENTO!$X$15,ROW(AR641)-ROW(AR$15),0),0)</f>
        <v>0</v>
      </c>
      <c r="AS641" s="633">
        <f ca="1">IF(AND($D641="Serviço",AS$12&lt;&gt;0,$H641&gt;0,OR(AUTOEVENTO&lt;&gt;"manual",$M641&lt;&gt;1)),ROUND(OFFSET($P641,0,AS$13),15-13*ORÇAMENTO!$AF$7)/$H641*OFFSET(ORÇAMENTO!$X$15,ROW(AS641)-ROW(AS$15),0),0)</f>
        <v>0</v>
      </c>
      <c r="AT641" s="632">
        <f ca="1">IF(AND($D641="Serviço",AT$12&lt;&gt;0,$H641&gt;0,OR(AUTOEVENTO&lt;&gt;"manual",$M641&lt;&gt;1)),ROUND(OFFSET($P641,0,AT$13),15-13*ORÇAMENTO!$AF$7)/$H641*OFFSET(ORÇAMENTO!$X$15,ROW(AT641)-ROW(AT$15),0),0)</f>
        <v>0</v>
      </c>
      <c r="AU641" s="632">
        <f ca="1">IF(AND($D641="Serviço",AU$12&lt;&gt;0,$H641&gt;0,OR(AUTOEVENTO&lt;&gt;"manual",$M641&lt;&gt;1)),ROUND(OFFSET($P641,0,AU$13),15-13*ORÇAMENTO!$AF$7)/$H641*OFFSET(ORÇAMENTO!$X$15,ROW(AU641)-ROW(AU$15),0),0)</f>
        <v>0</v>
      </c>
      <c r="AV641" s="632">
        <f ca="1">IF(AND($D641="Serviço",AV$12&lt;&gt;0,$H641&gt;0,OR(AUTOEVENTO&lt;&gt;"manual",$M641&lt;&gt;1)),ROUND(OFFSET($P641,0,AV$13),15-13*ORÇAMENTO!$AF$7)/$H641*OFFSET(ORÇAMENTO!$X$15,ROW(AV641)-ROW(AV$15),0),0)</f>
        <v>0</v>
      </c>
      <c r="AW641" s="632">
        <f ca="1">IF(AND($D641="Serviço",AW$12&lt;&gt;0,$H641&gt;0,OR(AUTOEVENTO&lt;&gt;"manual",$M641&lt;&gt;1)),ROUND(OFFSET($P641,0,AW$13),15-13*ORÇAMENTO!$AF$7)/$H641*OFFSET(ORÇAMENTO!$X$15,ROW(AW641)-ROW(AW$15),0),0)</f>
        <v>0</v>
      </c>
      <c r="AX641" s="632">
        <f ca="1">IF(AND($D641="Serviço",AX$12&lt;&gt;0,$H641&gt;0,OR(AUTOEVENTO&lt;&gt;"manual",$M641&lt;&gt;1)),ROUND(OFFSET($P641,0,AX$13),15-13*ORÇAMENTO!$AF$7)/$H641*OFFSET(ORÇAMENTO!$X$15,ROW(AX641)-ROW(AX$15),0),0)</f>
        <v>0</v>
      </c>
      <c r="AY641" s="632">
        <f ca="1">IF(AND($D641="Serviço",AY$12&lt;&gt;0,$H641&gt;0,OR(AUTOEVENTO&lt;&gt;"manual",$M641&lt;&gt;1)),ROUND(OFFSET($P641,0,AY$13),15-13*ORÇAMENTO!$AF$7)/$H641*OFFSET(ORÇAMENTO!$X$15,ROW(AY641)-ROW(AY$15),0),0)</f>
        <v>0</v>
      </c>
      <c r="AZ641" s="632">
        <f ca="1">IF(AND($D641="Serviço",AZ$12&lt;&gt;0,$H641&gt;0,OR(AUTOEVENTO&lt;&gt;"manual",$M641&lt;&gt;1)),ROUND(OFFSET($P641,0,AZ$13),15-13*ORÇAMENTO!$AF$7)/$H641*OFFSET(ORÇAMENTO!$X$15,ROW(AZ641)-ROW(AZ$15),0),0)</f>
        <v>0</v>
      </c>
      <c r="BA641" s="633">
        <f ca="1">IF(AND($D641="Serviço",BA$12&lt;&gt;0,$H641&gt;0,OR(AUTOEVENTO&lt;&gt;"manual",$M641&lt;&gt;1)),ROUND(OFFSET($P641,0,BA$13),15-13*ORÇAMENTO!$AF$7)/$H641*OFFSET(ORÇAMENTO!$X$15,ROW(BA641)-ROW(BA$15),0),0)</f>
        <v>0</v>
      </c>
      <c r="BC641" s="215">
        <f ca="1">IF($D641&lt;&gt;"Serviço",0,IF(AND(AUTOEVENTO="Manual",$M641=1),0,IF(OFFSET(CRONOPLE!$F$14,$M641,BC$13)="",10^12,OFFSET(CRONOPLE!$F$14,$M641,BC$13))))</f>
        <v>1000000000000</v>
      </c>
      <c r="BD641" s="215">
        <f ca="1">IF($D641&lt;&gt;"Serviço",0,IF(AND(AUTOEVENTO="Manual",$M641=1),0,IF(OFFSET(CRONOPLE!$F$14,$M641,BD$13)="",10^12,OFFSET(CRONOPLE!$F$14,$M641,BD$13))))</f>
        <v>1000000000000</v>
      </c>
      <c r="BE641" s="215">
        <f ca="1">IF($D641&lt;&gt;"Serviço",0,IF(AND(AUTOEVENTO="Manual",$M641=1),0,IF(OFFSET(CRONOPLE!$F$14,$M641,BE$13)="",10^12,OFFSET(CRONOPLE!$F$14,$M641,BE$13))))</f>
        <v>1000000000000</v>
      </c>
      <c r="BF641" s="215">
        <f ca="1">IF($D641&lt;&gt;"Serviço",0,IF(AND(AUTOEVENTO="Manual",$M641=1),0,IF(OFFSET(CRONOPLE!$F$14,$M641,BF$13)="",10^12,OFFSET(CRONOPLE!$F$14,$M641,BF$13))))</f>
        <v>1000000000000</v>
      </c>
      <c r="BG641" s="215">
        <f ca="1">IF($D641&lt;&gt;"Serviço",0,IF(AND(AUTOEVENTO="Manual",$M641=1),0,IF(OFFSET(CRONOPLE!$F$14,$M641,BG$13)="",10^12,OFFSET(CRONOPLE!$F$14,$M641,BG$13))))</f>
        <v>1000000000000</v>
      </c>
      <c r="BH641" s="215">
        <f ca="1">IF($D641&lt;&gt;"Serviço",0,IF(AND(AUTOEVENTO="Manual",$M641=1),0,IF(OFFSET(CRONOPLE!$F$14,$M641,BH$13)="",10^12,OFFSET(CRONOPLE!$F$14,$M641,BH$13))))</f>
        <v>1000000000000</v>
      </c>
      <c r="BI641" s="215">
        <f ca="1">IF($D641&lt;&gt;"Serviço",0,IF(AND(AUTOEVENTO="Manual",$M641=1),0,IF(OFFSET(CRONOPLE!$F$14,$M641,BI$13)="",10^12,OFFSET(CRONOPLE!$F$14,$M641,BI$13))))</f>
        <v>1000000000000</v>
      </c>
      <c r="BJ641" s="215">
        <f ca="1">IF($D641&lt;&gt;"Serviço",0,IF(AND(AUTOEVENTO="Manual",$M641=1),0,IF(OFFSET(CRONOPLE!$F$14,$M641,BJ$13)="",10^12,OFFSET(CRONOPLE!$F$14,$M641,BJ$13))))</f>
        <v>1000000000000</v>
      </c>
      <c r="BK641" s="215">
        <f ca="1">IF($D641&lt;&gt;"Serviço",0,IF(AND(AUTOEVENTO="Manual",$M641=1),0,IF(OFFSET(CRONOPLE!$F$14,$M641,BK$13)="",10^12,OFFSET(CRONOPLE!$F$14,$M641,BK$13))))</f>
        <v>1000000000000</v>
      </c>
      <c r="BL641" s="215">
        <f ca="1">IF($D641&lt;&gt;"Serviço",0,IF(AND(AUTOEVENTO="Manual",$M641=1),0,IF(OFFSET(CRONOPLE!$F$14,$M641,BL$13)="",10^12,OFFSET(CRONOPLE!$F$14,$M641,BL$13))))</f>
        <v>1000000000000</v>
      </c>
      <c r="BM641" s="215">
        <f ca="1">IF($D641&lt;&gt;"Serviço",0,IF(AND(AUTOEVENTO="Manual",$M641=1),0,IF(OFFSET(CRONOPLE!$F$14,$M641,BM$13)="",10^12,OFFSET(CRONOPLE!$F$14,$M641,BM$13))))</f>
        <v>1000000000000</v>
      </c>
      <c r="BN641" s="215">
        <f ca="1">IF($D641&lt;&gt;"Serviço",0,IF(AND(AUTOEVENTO="Manual",$M641=1),0,IF(OFFSET(CRONOPLE!$F$14,$M641,BN$13)="",10^12,OFFSET(CRONOPLE!$F$14,$M641,BN$13))))</f>
        <v>1000000000000</v>
      </c>
      <c r="BO641" s="215">
        <f ca="1">IF($D641&lt;&gt;"Serviço",0,IF(AND(AUTOEVENTO="Manual",$M641=1),0,IF(OFFSET(CRONOPLE!$F$14,$M641,BO$13)="",10^12,OFFSET(CRONOPLE!$F$14,$M641,BO$13))))</f>
        <v>1000000000000</v>
      </c>
      <c r="BP641" s="215">
        <f ca="1">IF($D641&lt;&gt;"Serviço",0,IF(AND(AUTOEVENTO="Manual",$M641=1),0,IF(OFFSET(CRONOPLE!$F$14,$M641,BP$13)="",10^12,OFFSET(CRONOPLE!$F$14,$M641,BP$13))))</f>
        <v>1000000000000</v>
      </c>
      <c r="BQ641" s="215">
        <f ca="1">IF($D641&lt;&gt;"Serviço",0,IF(AND(AUTOEVENTO="Manual",$M641=1),0,IF(OFFSET(CRONOPLE!$F$14,$M641,BQ$13)="",10^12,OFFSET(CRONOPLE!$F$14,$M641,BQ$13))))</f>
        <v>1000000000000</v>
      </c>
      <c r="BR641" s="215">
        <f ca="1">IF($D641&lt;&gt;"Serviço",0,IF(AND(AUTOEVENTO="Manual",$M641=1),0,IF(OFFSET(CRONOPLE!$F$14,$M641,BR$13)="",10^12,OFFSET(CRONOPLE!$F$14,$M641,BR$13))))</f>
        <v>1000000000000</v>
      </c>
      <c r="BS641" s="215">
        <f ca="1">IF($D641&lt;&gt;"Serviço",0,IF(AND(AUTOEVENTO="Manual",$M641=1),0,IF(OFFSET(CRONOPLE!$F$14,$M641,BS$13)="",10^12,OFFSET(CRONOPLE!$F$14,$M641,BS$13))))</f>
        <v>1000000000000</v>
      </c>
      <c r="BT641" s="215">
        <f ca="1">IF($D641&lt;&gt;"Serviço",0,IF(AND(AUTOEVENTO="Manual",$M641=1),0,IF(OFFSET(CRONOPLE!$F$14,$M641,BT$13)="",10^12,OFFSET(CRONOPLE!$F$14,$M641,BT$13))))</f>
        <v>1000000000000</v>
      </c>
      <c r="BV641" s="216">
        <f ca="1">IF($D641&lt;&gt;"Serviço",0,IF(OR(AND(AUTOEVENTO="Manual",$M641=1),$M641&gt;(ROW(PLE.lastrow)-ROW(PLE.firstrow))),0,IF(OFFSET(PLE!$G$14,$M641,BV$13)="",10^12,OFFSET(PLE!$G$14,$M641,BV$13))))</f>
        <v>1000000000000</v>
      </c>
      <c r="BW641" s="216">
        <f ca="1">IF($D641&lt;&gt;"Serviço",0,IF(OR(AND(AUTOEVENTO="Manual",$M641=1),$M641&gt;(ROW(PLE.lastrow)-ROW(PLE.firstrow))),0,IF(OFFSET(PLE!$G$14,$M641,BW$13)="",10^12,OFFSET(PLE!$G$14,$M641,BW$13))))</f>
        <v>1000000000000</v>
      </c>
      <c r="BX641" s="216">
        <f ca="1">IF($D641&lt;&gt;"Serviço",0,IF(OR(AND(AUTOEVENTO="Manual",$M641=1),$M641&gt;(ROW(PLE.lastrow)-ROW(PLE.firstrow))),0,IF(OFFSET(PLE!$G$14,$M641,BX$13)="",10^12,OFFSET(PLE!$G$14,$M641,BX$13))))</f>
        <v>1000000000000</v>
      </c>
      <c r="BY641" s="216">
        <f ca="1">IF($D641&lt;&gt;"Serviço",0,IF(OR(AND(AUTOEVENTO="Manual",$M641=1),$M641&gt;(ROW(PLE.lastrow)-ROW(PLE.firstrow))),0,IF(OFFSET(PLE!$G$14,$M641,BY$13)="",10^12,OFFSET(PLE!$G$14,$M641,BY$13))))</f>
        <v>1000000000000</v>
      </c>
      <c r="BZ641" s="216">
        <f ca="1">IF($D641&lt;&gt;"Serviço",0,IF(OR(AND(AUTOEVENTO="Manual",$M641=1),$M641&gt;(ROW(PLE.lastrow)-ROW(PLE.firstrow))),0,IF(OFFSET(PLE!$G$14,$M641,BZ$13)="",10^12,OFFSET(PLE!$G$14,$M641,BZ$13))))</f>
        <v>1000000000000</v>
      </c>
      <c r="CA641" s="216">
        <f ca="1">IF($D641&lt;&gt;"Serviço",0,IF(OR(AND(AUTOEVENTO="Manual",$M641=1),$M641&gt;(ROW(PLE.lastrow)-ROW(PLE.firstrow))),0,IF(OFFSET(PLE!$G$14,$M641,CA$13)="",10^12,OFFSET(PLE!$G$14,$M641,CA$13))))</f>
        <v>1000000000000</v>
      </c>
      <c r="CB641" s="216">
        <f ca="1">IF($D641&lt;&gt;"Serviço",0,IF(OR(AND(AUTOEVENTO="Manual",$M641=1),$M641&gt;(ROW(PLE.lastrow)-ROW(PLE.firstrow))),0,IF(OFFSET(PLE!$G$14,$M641,CB$13)="",10^12,OFFSET(PLE!$G$14,$M641,CB$13))))</f>
        <v>1000000000000</v>
      </c>
      <c r="CC641" s="216">
        <f ca="1">IF($D641&lt;&gt;"Serviço",0,IF(OR(AND(AUTOEVENTO="Manual",$M641=1),$M641&gt;(ROW(PLE.lastrow)-ROW(PLE.firstrow))),0,IF(OFFSET(PLE!$G$14,$M641,CC$13)="",10^12,OFFSET(PLE!$G$14,$M641,CC$13))))</f>
        <v>1000000000000</v>
      </c>
      <c r="CD641" s="216">
        <f ca="1">IF($D641&lt;&gt;"Serviço",0,IF(OR(AND(AUTOEVENTO="Manual",$M641=1),$M641&gt;(ROW(PLE.lastrow)-ROW(PLE.firstrow))),0,IF(OFFSET(PLE!$G$14,$M641,CD$13)="",10^12,OFFSET(PLE!$G$14,$M641,CD$13))))</f>
        <v>1000000000000</v>
      </c>
      <c r="CE641" s="216">
        <f ca="1">IF($D641&lt;&gt;"Serviço",0,IF(OR(AND(AUTOEVENTO="Manual",$M641=1),$M641&gt;(ROW(PLE.lastrow)-ROW(PLE.firstrow))),0,IF(OFFSET(PLE!$G$14,$M641,CE$13)="",10^12,OFFSET(PLE!$G$14,$M641,CE$13))))</f>
        <v>1000000000000</v>
      </c>
      <c r="CF641" s="216">
        <f ca="1">IF($D641&lt;&gt;"Serviço",0,IF(OR(AND(AUTOEVENTO="Manual",$M641=1),$M641&gt;(ROW(PLE.lastrow)-ROW(PLE.firstrow))),0,IF(OFFSET(PLE!$G$14,$M641,CF$13)="",10^12,OFFSET(PLE!$G$14,$M641,CF$13))))</f>
        <v>1000000000000</v>
      </c>
      <c r="CG641" s="216">
        <f ca="1">IF($D641&lt;&gt;"Serviço",0,IF(OR(AND(AUTOEVENTO="Manual",$M641=1),$M641&gt;(ROW(PLE.lastrow)-ROW(PLE.firstrow))),0,IF(OFFSET(PLE!$G$14,$M641,CG$13)="",10^12,OFFSET(PLE!$G$14,$M641,CG$13))))</f>
        <v>1000000000000</v>
      </c>
      <c r="CH641" s="216">
        <f ca="1">IF($D641&lt;&gt;"Serviço",0,IF(OR(AND(AUTOEVENTO="Manual",$M641=1),$M641&gt;(ROW(PLE.lastrow)-ROW(PLE.firstrow))),0,IF(OFFSET(PLE!$G$14,$M641,CH$13)="",10^12,OFFSET(PLE!$G$14,$M641,CH$13))))</f>
        <v>1000000000000</v>
      </c>
      <c r="CI641" s="216">
        <f ca="1">IF($D641&lt;&gt;"Serviço",0,IF(OR(AND(AUTOEVENTO="Manual",$M641=1),$M641&gt;(ROW(PLE.lastrow)-ROW(PLE.firstrow))),0,IF(OFFSET(PLE!$G$14,$M641,CI$13)="",10^12,OFFSET(PLE!$G$14,$M641,CI$13))))</f>
        <v>1000000000000</v>
      </c>
      <c r="CJ641" s="216">
        <f ca="1">IF($D641&lt;&gt;"Serviço",0,IF(OR(AND(AUTOEVENTO="Manual",$M641=1),$M641&gt;(ROW(PLE.lastrow)-ROW(PLE.firstrow))),0,IF(OFFSET(PLE!$G$14,$M641,CJ$13)="",10^12,OFFSET(PLE!$G$14,$M641,CJ$13))))</f>
        <v>1000000000000</v>
      </c>
      <c r="CK641" s="216">
        <f ca="1">IF($D641&lt;&gt;"Serviço",0,IF(OR(AND(AUTOEVENTO="Manual",$M641=1),$M641&gt;(ROW(PLE.lastrow)-ROW(PLE.firstrow))),0,IF(OFFSET(PLE!$G$14,$M641,CK$13)="",10^12,OFFSET(PLE!$G$14,$M641,CK$13))))</f>
        <v>1000000000000</v>
      </c>
      <c r="CL641" s="216">
        <f ca="1">IF($D641&lt;&gt;"Serviço",0,IF(OR(AND(AUTOEVENTO="Manual",$M641=1),$M641&gt;(ROW(PLE.lastrow)-ROW(PLE.firstrow))),0,IF(OFFSET(PLE!$G$14,$M641,CL$13)="",10^12,OFFSET(PLE!$G$14,$M641,CL$13))))</f>
        <v>1000000000000</v>
      </c>
      <c r="CM641" s="216">
        <f ca="1">IF($D641&lt;&gt;"Serviço",0,IF(OR(AND(AUTOEVENTO="Manual",$M641=1),$M641&gt;(ROW(PLE.lastrow)-ROW(PLE.firstrow))),0,IF(OFFSET(PLE!$G$14,$M641,CM$13)="",10^12,OFFSET(PLE!$G$14,$M641,CM$13))))</f>
        <v>1000000000000</v>
      </c>
    </row>
    <row r="642" spans="1:91" ht="13.2" x14ac:dyDescent="0.25">
      <c r="A642" s="9">
        <f t="shared" ca="1" si="19"/>
        <v>0</v>
      </c>
      <c r="B642" s="9" t="str">
        <f ca="1">OFFSET(ORÇAMENTO!C$15,ROW(B642)-ROW(B$15),0)</f>
        <v>S</v>
      </c>
      <c r="C642" s="9" t="str">
        <f ca="1">OFFSET(ORÇAMENTO!L$15,ROW(C642)-ROW(C$15),0)</f>
        <v/>
      </c>
      <c r="D642" s="145" t="str">
        <f ca="1">OFFSET(ORÇAMENTO!N$15,ROW(D642)-ROW(D$15),0)</f>
        <v>Serviço</v>
      </c>
      <c r="E642" s="205" t="str">
        <f ca="1">OFFSET(ORÇAMENTO!O$15,ROW(E642)-ROW(E$15),0)</f>
        <v>-</v>
      </c>
      <c r="F642" s="206" t="str">
        <f ca="1">OFFSET(ORÇAMENTO!R$15,ROW(F642)-ROW(F$15),0)</f>
        <v>(abra o arquivo 'Referência 05-2024.xls)</v>
      </c>
      <c r="G642" s="207" t="str">
        <f ca="1">IF($D642&lt;&gt;"Serviço","",OFFSET(ORÇAMENTO!S$15,ROW(G642)-ROW(G$15),0))</f>
        <v>-</v>
      </c>
      <c r="H642" s="151">
        <f ca="1">IF($D642&lt;&gt;"Serviço",0,IF(ACOMPANHAMENTO="BM",ROUND(OFFSET(ORÇAMENTO!AJ$15,ROW(H642)-ROW(H$15),0),15-13*ORÇAMENTO!$AF$7),SUMPRODUCT(($Q$12:$AI$12&lt;&gt;"")*ROUND($Q642:$AI642,15-13*ORÇAMENTO!$AF$7))))</f>
        <v>2</v>
      </c>
      <c r="I642" s="650"/>
      <c r="K642" s="208"/>
      <c r="L642" s="209" t="s">
        <v>257</v>
      </c>
      <c r="M642" s="210">
        <f ca="1">IF($D642&lt;&gt;"Serviço","",IF(AUTOEVENTO="manual",$A642,IF(ISERROR(MATCH($A642,$A$15:OFFSET($A642,-1,0),0)),MAX($M$15:OFFSET(M642,-1,0))+1,INDEX($M$15:OFFSET(M642,-1,0),MATCH($A642,$A$15:OFFSET($A642,-1,0),0)))))</f>
        <v>0</v>
      </c>
      <c r="N642" s="211" t="str">
        <f ca="1">IF($D642&lt;&gt;"Serviço","",IF(AUTOEVENTO="Manual",IF($A642=0,"&lt;-- defina o número do agrupador",OFFSET(EVENTOS!$D$14,$A642,0)),OFFSET($F$15,$A642,0)))</f>
        <v>&lt;-- defina o número do agrupador</v>
      </c>
      <c r="O642" s="212"/>
      <c r="Q642" s="212"/>
      <c r="R642" s="213"/>
      <c r="S642" s="213"/>
      <c r="T642" s="213"/>
      <c r="U642" s="213"/>
      <c r="V642" s="213"/>
      <c r="W642" s="213"/>
      <c r="X642" s="213"/>
      <c r="Y642" s="213"/>
      <c r="Z642" s="214"/>
      <c r="AA642" s="213"/>
      <c r="AB642" s="213"/>
      <c r="AC642" s="213"/>
      <c r="AD642" s="213"/>
      <c r="AE642" s="213"/>
      <c r="AF642" s="213"/>
      <c r="AG642" s="213"/>
      <c r="AH642" s="214"/>
      <c r="AJ642" s="631">
        <f ca="1">IF(AND($D642="Serviço",AJ$12&lt;&gt;0,$H642&gt;0,OR(AUTOEVENTO&lt;&gt;"manual",$M642&lt;&gt;1)),ROUND(OFFSET($P642,0,AJ$13),15-13*ORÇAMENTO!$AF$7)/$H642*OFFSET(ORÇAMENTO!$X$15,ROW(AJ642)-ROW(AJ$15),0),0)</f>
        <v>0</v>
      </c>
      <c r="AK642" s="632">
        <f ca="1">IF(AND($D642="Serviço",AK$12&lt;&gt;0,$H642&gt;0,OR(AUTOEVENTO&lt;&gt;"manual",$M642&lt;&gt;1)),ROUND(OFFSET($P642,0,AK$13),15-13*ORÇAMENTO!$AF$7)/$H642*OFFSET(ORÇAMENTO!$X$15,ROW(AK642)-ROW(AK$15),0),0)</f>
        <v>0</v>
      </c>
      <c r="AL642" s="632">
        <f ca="1">IF(AND($D642="Serviço",AL$12&lt;&gt;0,$H642&gt;0,OR(AUTOEVENTO&lt;&gt;"manual",$M642&lt;&gt;1)),ROUND(OFFSET($P642,0,AL$13),15-13*ORÇAMENTO!$AF$7)/$H642*OFFSET(ORÇAMENTO!$X$15,ROW(AL642)-ROW(AL$15),0),0)</f>
        <v>0</v>
      </c>
      <c r="AM642" s="632">
        <f ca="1">IF(AND($D642="Serviço",AM$12&lt;&gt;0,$H642&gt;0,OR(AUTOEVENTO&lt;&gt;"manual",$M642&lt;&gt;1)),ROUND(OFFSET($P642,0,AM$13),15-13*ORÇAMENTO!$AF$7)/$H642*OFFSET(ORÇAMENTO!$X$15,ROW(AM642)-ROW(AM$15),0),0)</f>
        <v>0</v>
      </c>
      <c r="AN642" s="632">
        <f ca="1">IF(AND($D642="Serviço",AN$12&lt;&gt;0,$H642&gt;0,OR(AUTOEVENTO&lt;&gt;"manual",$M642&lt;&gt;1)),ROUND(OFFSET($P642,0,AN$13),15-13*ORÇAMENTO!$AF$7)/$H642*OFFSET(ORÇAMENTO!$X$15,ROW(AN642)-ROW(AN$15),0),0)</f>
        <v>0</v>
      </c>
      <c r="AO642" s="632">
        <f ca="1">IF(AND($D642="Serviço",AO$12&lt;&gt;0,$H642&gt;0,OR(AUTOEVENTO&lt;&gt;"manual",$M642&lt;&gt;1)),ROUND(OFFSET($P642,0,AO$13),15-13*ORÇAMENTO!$AF$7)/$H642*OFFSET(ORÇAMENTO!$X$15,ROW(AO642)-ROW(AO$15),0),0)</f>
        <v>0</v>
      </c>
      <c r="AP642" s="632">
        <f ca="1">IF(AND($D642="Serviço",AP$12&lt;&gt;0,$H642&gt;0,OR(AUTOEVENTO&lt;&gt;"manual",$M642&lt;&gt;1)),ROUND(OFFSET($P642,0,AP$13),15-13*ORÇAMENTO!$AF$7)/$H642*OFFSET(ORÇAMENTO!$X$15,ROW(AP642)-ROW(AP$15),0),0)</f>
        <v>0</v>
      </c>
      <c r="AQ642" s="632">
        <f ca="1">IF(AND($D642="Serviço",AQ$12&lt;&gt;0,$H642&gt;0,OR(AUTOEVENTO&lt;&gt;"manual",$M642&lt;&gt;1)),ROUND(OFFSET($P642,0,AQ$13),15-13*ORÇAMENTO!$AF$7)/$H642*OFFSET(ORÇAMENTO!$X$15,ROW(AQ642)-ROW(AQ$15),0),0)</f>
        <v>0</v>
      </c>
      <c r="AR642" s="632">
        <f ca="1">IF(AND($D642="Serviço",AR$12&lt;&gt;0,$H642&gt;0,OR(AUTOEVENTO&lt;&gt;"manual",$M642&lt;&gt;1)),ROUND(OFFSET($P642,0,AR$13),15-13*ORÇAMENTO!$AF$7)/$H642*OFFSET(ORÇAMENTO!$X$15,ROW(AR642)-ROW(AR$15),0),0)</f>
        <v>0</v>
      </c>
      <c r="AS642" s="633">
        <f ca="1">IF(AND($D642="Serviço",AS$12&lt;&gt;0,$H642&gt;0,OR(AUTOEVENTO&lt;&gt;"manual",$M642&lt;&gt;1)),ROUND(OFFSET($P642,0,AS$13),15-13*ORÇAMENTO!$AF$7)/$H642*OFFSET(ORÇAMENTO!$X$15,ROW(AS642)-ROW(AS$15),0),0)</f>
        <v>0</v>
      </c>
      <c r="AT642" s="632">
        <f ca="1">IF(AND($D642="Serviço",AT$12&lt;&gt;0,$H642&gt;0,OR(AUTOEVENTO&lt;&gt;"manual",$M642&lt;&gt;1)),ROUND(OFFSET($P642,0,AT$13),15-13*ORÇAMENTO!$AF$7)/$H642*OFFSET(ORÇAMENTO!$X$15,ROW(AT642)-ROW(AT$15),0),0)</f>
        <v>0</v>
      </c>
      <c r="AU642" s="632">
        <f ca="1">IF(AND($D642="Serviço",AU$12&lt;&gt;0,$H642&gt;0,OR(AUTOEVENTO&lt;&gt;"manual",$M642&lt;&gt;1)),ROUND(OFFSET($P642,0,AU$13),15-13*ORÇAMENTO!$AF$7)/$H642*OFFSET(ORÇAMENTO!$X$15,ROW(AU642)-ROW(AU$15),0),0)</f>
        <v>0</v>
      </c>
      <c r="AV642" s="632">
        <f ca="1">IF(AND($D642="Serviço",AV$12&lt;&gt;0,$H642&gt;0,OR(AUTOEVENTO&lt;&gt;"manual",$M642&lt;&gt;1)),ROUND(OFFSET($P642,0,AV$13),15-13*ORÇAMENTO!$AF$7)/$H642*OFFSET(ORÇAMENTO!$X$15,ROW(AV642)-ROW(AV$15),0),0)</f>
        <v>0</v>
      </c>
      <c r="AW642" s="632">
        <f ca="1">IF(AND($D642="Serviço",AW$12&lt;&gt;0,$H642&gt;0,OR(AUTOEVENTO&lt;&gt;"manual",$M642&lt;&gt;1)),ROUND(OFFSET($P642,0,AW$13),15-13*ORÇAMENTO!$AF$7)/$H642*OFFSET(ORÇAMENTO!$X$15,ROW(AW642)-ROW(AW$15),0),0)</f>
        <v>0</v>
      </c>
      <c r="AX642" s="632">
        <f ca="1">IF(AND($D642="Serviço",AX$12&lt;&gt;0,$H642&gt;0,OR(AUTOEVENTO&lt;&gt;"manual",$M642&lt;&gt;1)),ROUND(OFFSET($P642,0,AX$13),15-13*ORÇAMENTO!$AF$7)/$H642*OFFSET(ORÇAMENTO!$X$15,ROW(AX642)-ROW(AX$15),0),0)</f>
        <v>0</v>
      </c>
      <c r="AY642" s="632">
        <f ca="1">IF(AND($D642="Serviço",AY$12&lt;&gt;0,$H642&gt;0,OR(AUTOEVENTO&lt;&gt;"manual",$M642&lt;&gt;1)),ROUND(OFFSET($P642,0,AY$13),15-13*ORÇAMENTO!$AF$7)/$H642*OFFSET(ORÇAMENTO!$X$15,ROW(AY642)-ROW(AY$15),0),0)</f>
        <v>0</v>
      </c>
      <c r="AZ642" s="632">
        <f ca="1">IF(AND($D642="Serviço",AZ$12&lt;&gt;0,$H642&gt;0,OR(AUTOEVENTO&lt;&gt;"manual",$M642&lt;&gt;1)),ROUND(OFFSET($P642,0,AZ$13),15-13*ORÇAMENTO!$AF$7)/$H642*OFFSET(ORÇAMENTO!$X$15,ROW(AZ642)-ROW(AZ$15),0),0)</f>
        <v>0</v>
      </c>
      <c r="BA642" s="633">
        <f ca="1">IF(AND($D642="Serviço",BA$12&lt;&gt;0,$H642&gt;0,OR(AUTOEVENTO&lt;&gt;"manual",$M642&lt;&gt;1)),ROUND(OFFSET($P642,0,BA$13),15-13*ORÇAMENTO!$AF$7)/$H642*OFFSET(ORÇAMENTO!$X$15,ROW(BA642)-ROW(BA$15),0),0)</f>
        <v>0</v>
      </c>
      <c r="BC642" s="215">
        <f ca="1">IF($D642&lt;&gt;"Serviço",0,IF(AND(AUTOEVENTO="Manual",$M642=1),0,IF(OFFSET(CRONOPLE!$F$14,$M642,BC$13)="",10^12,OFFSET(CRONOPLE!$F$14,$M642,BC$13))))</f>
        <v>1000000000000</v>
      </c>
      <c r="BD642" s="215">
        <f ca="1">IF($D642&lt;&gt;"Serviço",0,IF(AND(AUTOEVENTO="Manual",$M642=1),0,IF(OFFSET(CRONOPLE!$F$14,$M642,BD$13)="",10^12,OFFSET(CRONOPLE!$F$14,$M642,BD$13))))</f>
        <v>1000000000000</v>
      </c>
      <c r="BE642" s="215">
        <f ca="1">IF($D642&lt;&gt;"Serviço",0,IF(AND(AUTOEVENTO="Manual",$M642=1),0,IF(OFFSET(CRONOPLE!$F$14,$M642,BE$13)="",10^12,OFFSET(CRONOPLE!$F$14,$M642,BE$13))))</f>
        <v>1000000000000</v>
      </c>
      <c r="BF642" s="215">
        <f ca="1">IF($D642&lt;&gt;"Serviço",0,IF(AND(AUTOEVENTO="Manual",$M642=1),0,IF(OFFSET(CRONOPLE!$F$14,$M642,BF$13)="",10^12,OFFSET(CRONOPLE!$F$14,$M642,BF$13))))</f>
        <v>1000000000000</v>
      </c>
      <c r="BG642" s="215">
        <f ca="1">IF($D642&lt;&gt;"Serviço",0,IF(AND(AUTOEVENTO="Manual",$M642=1),0,IF(OFFSET(CRONOPLE!$F$14,$M642,BG$13)="",10^12,OFFSET(CRONOPLE!$F$14,$M642,BG$13))))</f>
        <v>1000000000000</v>
      </c>
      <c r="BH642" s="215">
        <f ca="1">IF($D642&lt;&gt;"Serviço",0,IF(AND(AUTOEVENTO="Manual",$M642=1),0,IF(OFFSET(CRONOPLE!$F$14,$M642,BH$13)="",10^12,OFFSET(CRONOPLE!$F$14,$M642,BH$13))))</f>
        <v>1000000000000</v>
      </c>
      <c r="BI642" s="215">
        <f ca="1">IF($D642&lt;&gt;"Serviço",0,IF(AND(AUTOEVENTO="Manual",$M642=1),0,IF(OFFSET(CRONOPLE!$F$14,$M642,BI$13)="",10^12,OFFSET(CRONOPLE!$F$14,$M642,BI$13))))</f>
        <v>1000000000000</v>
      </c>
      <c r="BJ642" s="215">
        <f ca="1">IF($D642&lt;&gt;"Serviço",0,IF(AND(AUTOEVENTO="Manual",$M642=1),0,IF(OFFSET(CRONOPLE!$F$14,$M642,BJ$13)="",10^12,OFFSET(CRONOPLE!$F$14,$M642,BJ$13))))</f>
        <v>1000000000000</v>
      </c>
      <c r="BK642" s="215">
        <f ca="1">IF($D642&lt;&gt;"Serviço",0,IF(AND(AUTOEVENTO="Manual",$M642=1),0,IF(OFFSET(CRONOPLE!$F$14,$M642,BK$13)="",10^12,OFFSET(CRONOPLE!$F$14,$M642,BK$13))))</f>
        <v>1000000000000</v>
      </c>
      <c r="BL642" s="215">
        <f ca="1">IF($D642&lt;&gt;"Serviço",0,IF(AND(AUTOEVENTO="Manual",$M642=1),0,IF(OFFSET(CRONOPLE!$F$14,$M642,BL$13)="",10^12,OFFSET(CRONOPLE!$F$14,$M642,BL$13))))</f>
        <v>1000000000000</v>
      </c>
      <c r="BM642" s="215">
        <f ca="1">IF($D642&lt;&gt;"Serviço",0,IF(AND(AUTOEVENTO="Manual",$M642=1),0,IF(OFFSET(CRONOPLE!$F$14,$M642,BM$13)="",10^12,OFFSET(CRONOPLE!$F$14,$M642,BM$13))))</f>
        <v>1000000000000</v>
      </c>
      <c r="BN642" s="215">
        <f ca="1">IF($D642&lt;&gt;"Serviço",0,IF(AND(AUTOEVENTO="Manual",$M642=1),0,IF(OFFSET(CRONOPLE!$F$14,$M642,BN$13)="",10^12,OFFSET(CRONOPLE!$F$14,$M642,BN$13))))</f>
        <v>1000000000000</v>
      </c>
      <c r="BO642" s="215">
        <f ca="1">IF($D642&lt;&gt;"Serviço",0,IF(AND(AUTOEVENTO="Manual",$M642=1),0,IF(OFFSET(CRONOPLE!$F$14,$M642,BO$13)="",10^12,OFFSET(CRONOPLE!$F$14,$M642,BO$13))))</f>
        <v>1000000000000</v>
      </c>
      <c r="BP642" s="215">
        <f ca="1">IF($D642&lt;&gt;"Serviço",0,IF(AND(AUTOEVENTO="Manual",$M642=1),0,IF(OFFSET(CRONOPLE!$F$14,$M642,BP$13)="",10^12,OFFSET(CRONOPLE!$F$14,$M642,BP$13))))</f>
        <v>1000000000000</v>
      </c>
      <c r="BQ642" s="215">
        <f ca="1">IF($D642&lt;&gt;"Serviço",0,IF(AND(AUTOEVENTO="Manual",$M642=1),0,IF(OFFSET(CRONOPLE!$F$14,$M642,BQ$13)="",10^12,OFFSET(CRONOPLE!$F$14,$M642,BQ$13))))</f>
        <v>1000000000000</v>
      </c>
      <c r="BR642" s="215">
        <f ca="1">IF($D642&lt;&gt;"Serviço",0,IF(AND(AUTOEVENTO="Manual",$M642=1),0,IF(OFFSET(CRONOPLE!$F$14,$M642,BR$13)="",10^12,OFFSET(CRONOPLE!$F$14,$M642,BR$13))))</f>
        <v>1000000000000</v>
      </c>
      <c r="BS642" s="215">
        <f ca="1">IF($D642&lt;&gt;"Serviço",0,IF(AND(AUTOEVENTO="Manual",$M642=1),0,IF(OFFSET(CRONOPLE!$F$14,$M642,BS$13)="",10^12,OFFSET(CRONOPLE!$F$14,$M642,BS$13))))</f>
        <v>1000000000000</v>
      </c>
      <c r="BT642" s="215">
        <f ca="1">IF($D642&lt;&gt;"Serviço",0,IF(AND(AUTOEVENTO="Manual",$M642=1),0,IF(OFFSET(CRONOPLE!$F$14,$M642,BT$13)="",10^12,OFFSET(CRONOPLE!$F$14,$M642,BT$13))))</f>
        <v>1000000000000</v>
      </c>
      <c r="BV642" s="216">
        <f ca="1">IF($D642&lt;&gt;"Serviço",0,IF(OR(AND(AUTOEVENTO="Manual",$M642=1),$M642&gt;(ROW(PLE.lastrow)-ROW(PLE.firstrow))),0,IF(OFFSET(PLE!$G$14,$M642,BV$13)="",10^12,OFFSET(PLE!$G$14,$M642,BV$13))))</f>
        <v>1000000000000</v>
      </c>
      <c r="BW642" s="216">
        <f ca="1">IF($D642&lt;&gt;"Serviço",0,IF(OR(AND(AUTOEVENTO="Manual",$M642=1),$M642&gt;(ROW(PLE.lastrow)-ROW(PLE.firstrow))),0,IF(OFFSET(PLE!$G$14,$M642,BW$13)="",10^12,OFFSET(PLE!$G$14,$M642,BW$13))))</f>
        <v>1000000000000</v>
      </c>
      <c r="BX642" s="216">
        <f ca="1">IF($D642&lt;&gt;"Serviço",0,IF(OR(AND(AUTOEVENTO="Manual",$M642=1),$M642&gt;(ROW(PLE.lastrow)-ROW(PLE.firstrow))),0,IF(OFFSET(PLE!$G$14,$M642,BX$13)="",10^12,OFFSET(PLE!$G$14,$M642,BX$13))))</f>
        <v>1000000000000</v>
      </c>
      <c r="BY642" s="216">
        <f ca="1">IF($D642&lt;&gt;"Serviço",0,IF(OR(AND(AUTOEVENTO="Manual",$M642=1),$M642&gt;(ROW(PLE.lastrow)-ROW(PLE.firstrow))),0,IF(OFFSET(PLE!$G$14,$M642,BY$13)="",10^12,OFFSET(PLE!$G$14,$M642,BY$13))))</f>
        <v>1000000000000</v>
      </c>
      <c r="BZ642" s="216">
        <f ca="1">IF($D642&lt;&gt;"Serviço",0,IF(OR(AND(AUTOEVENTO="Manual",$M642=1),$M642&gt;(ROW(PLE.lastrow)-ROW(PLE.firstrow))),0,IF(OFFSET(PLE!$G$14,$M642,BZ$13)="",10^12,OFFSET(PLE!$G$14,$M642,BZ$13))))</f>
        <v>1000000000000</v>
      </c>
      <c r="CA642" s="216">
        <f ca="1">IF($D642&lt;&gt;"Serviço",0,IF(OR(AND(AUTOEVENTO="Manual",$M642=1),$M642&gt;(ROW(PLE.lastrow)-ROW(PLE.firstrow))),0,IF(OFFSET(PLE!$G$14,$M642,CA$13)="",10^12,OFFSET(PLE!$G$14,$M642,CA$13))))</f>
        <v>1000000000000</v>
      </c>
      <c r="CB642" s="216">
        <f ca="1">IF($D642&lt;&gt;"Serviço",0,IF(OR(AND(AUTOEVENTO="Manual",$M642=1),$M642&gt;(ROW(PLE.lastrow)-ROW(PLE.firstrow))),0,IF(OFFSET(PLE!$G$14,$M642,CB$13)="",10^12,OFFSET(PLE!$G$14,$M642,CB$13))))</f>
        <v>1000000000000</v>
      </c>
      <c r="CC642" s="216">
        <f ca="1">IF($D642&lt;&gt;"Serviço",0,IF(OR(AND(AUTOEVENTO="Manual",$M642=1),$M642&gt;(ROW(PLE.lastrow)-ROW(PLE.firstrow))),0,IF(OFFSET(PLE!$G$14,$M642,CC$13)="",10^12,OFFSET(PLE!$G$14,$M642,CC$13))))</f>
        <v>1000000000000</v>
      </c>
      <c r="CD642" s="216">
        <f ca="1">IF($D642&lt;&gt;"Serviço",0,IF(OR(AND(AUTOEVENTO="Manual",$M642=1),$M642&gt;(ROW(PLE.lastrow)-ROW(PLE.firstrow))),0,IF(OFFSET(PLE!$G$14,$M642,CD$13)="",10^12,OFFSET(PLE!$G$14,$M642,CD$13))))</f>
        <v>1000000000000</v>
      </c>
      <c r="CE642" s="216">
        <f ca="1">IF($D642&lt;&gt;"Serviço",0,IF(OR(AND(AUTOEVENTO="Manual",$M642=1),$M642&gt;(ROW(PLE.lastrow)-ROW(PLE.firstrow))),0,IF(OFFSET(PLE!$G$14,$M642,CE$13)="",10^12,OFFSET(PLE!$G$14,$M642,CE$13))))</f>
        <v>1000000000000</v>
      </c>
      <c r="CF642" s="216">
        <f ca="1">IF($D642&lt;&gt;"Serviço",0,IF(OR(AND(AUTOEVENTO="Manual",$M642=1),$M642&gt;(ROW(PLE.lastrow)-ROW(PLE.firstrow))),0,IF(OFFSET(PLE!$G$14,$M642,CF$13)="",10^12,OFFSET(PLE!$G$14,$M642,CF$13))))</f>
        <v>1000000000000</v>
      </c>
      <c r="CG642" s="216">
        <f ca="1">IF($D642&lt;&gt;"Serviço",0,IF(OR(AND(AUTOEVENTO="Manual",$M642=1),$M642&gt;(ROW(PLE.lastrow)-ROW(PLE.firstrow))),0,IF(OFFSET(PLE!$G$14,$M642,CG$13)="",10^12,OFFSET(PLE!$G$14,$M642,CG$13))))</f>
        <v>1000000000000</v>
      </c>
      <c r="CH642" s="216">
        <f ca="1">IF($D642&lt;&gt;"Serviço",0,IF(OR(AND(AUTOEVENTO="Manual",$M642=1),$M642&gt;(ROW(PLE.lastrow)-ROW(PLE.firstrow))),0,IF(OFFSET(PLE!$G$14,$M642,CH$13)="",10^12,OFFSET(PLE!$G$14,$M642,CH$13))))</f>
        <v>1000000000000</v>
      </c>
      <c r="CI642" s="216">
        <f ca="1">IF($D642&lt;&gt;"Serviço",0,IF(OR(AND(AUTOEVENTO="Manual",$M642=1),$M642&gt;(ROW(PLE.lastrow)-ROW(PLE.firstrow))),0,IF(OFFSET(PLE!$G$14,$M642,CI$13)="",10^12,OFFSET(PLE!$G$14,$M642,CI$13))))</f>
        <v>1000000000000</v>
      </c>
      <c r="CJ642" s="216">
        <f ca="1">IF($D642&lt;&gt;"Serviço",0,IF(OR(AND(AUTOEVENTO="Manual",$M642=1),$M642&gt;(ROW(PLE.lastrow)-ROW(PLE.firstrow))),0,IF(OFFSET(PLE!$G$14,$M642,CJ$13)="",10^12,OFFSET(PLE!$G$14,$M642,CJ$13))))</f>
        <v>1000000000000</v>
      </c>
      <c r="CK642" s="216">
        <f ca="1">IF($D642&lt;&gt;"Serviço",0,IF(OR(AND(AUTOEVENTO="Manual",$M642=1),$M642&gt;(ROW(PLE.lastrow)-ROW(PLE.firstrow))),0,IF(OFFSET(PLE!$G$14,$M642,CK$13)="",10^12,OFFSET(PLE!$G$14,$M642,CK$13))))</f>
        <v>1000000000000</v>
      </c>
      <c r="CL642" s="216">
        <f ca="1">IF($D642&lt;&gt;"Serviço",0,IF(OR(AND(AUTOEVENTO="Manual",$M642=1),$M642&gt;(ROW(PLE.lastrow)-ROW(PLE.firstrow))),0,IF(OFFSET(PLE!$G$14,$M642,CL$13)="",10^12,OFFSET(PLE!$G$14,$M642,CL$13))))</f>
        <v>1000000000000</v>
      </c>
      <c r="CM642" s="216">
        <f ca="1">IF($D642&lt;&gt;"Serviço",0,IF(OR(AND(AUTOEVENTO="Manual",$M642=1),$M642&gt;(ROW(PLE.lastrow)-ROW(PLE.firstrow))),0,IF(OFFSET(PLE!$G$14,$M642,CM$13)="",10^12,OFFSET(PLE!$G$14,$M642,CM$13))))</f>
        <v>1000000000000</v>
      </c>
    </row>
    <row r="643" spans="1:91" ht="13.2" x14ac:dyDescent="0.25">
      <c r="A643" s="9">
        <f t="shared" ca="1" si="19"/>
        <v>0</v>
      </c>
      <c r="B643" s="9" t="str">
        <f ca="1">OFFSET(ORÇAMENTO!C$15,ROW(B643)-ROW(B$15),0)</f>
        <v>S</v>
      </c>
      <c r="C643" s="9" t="str">
        <f ca="1">OFFSET(ORÇAMENTO!L$15,ROW(C643)-ROW(C$15),0)</f>
        <v/>
      </c>
      <c r="D643" s="145" t="str">
        <f ca="1">OFFSET(ORÇAMENTO!N$15,ROW(D643)-ROW(D$15),0)</f>
        <v>Serviço</v>
      </c>
      <c r="E643" s="205" t="str">
        <f ca="1">OFFSET(ORÇAMENTO!O$15,ROW(E643)-ROW(E$15),0)</f>
        <v>-</v>
      </c>
      <c r="F643" s="206" t="str">
        <f ca="1">OFFSET(ORÇAMENTO!R$15,ROW(F643)-ROW(F$15),0)</f>
        <v>(abra o arquivo 'Referência 05-2024.xls)</v>
      </c>
      <c r="G643" s="207" t="str">
        <f ca="1">IF($D643&lt;&gt;"Serviço","",OFFSET(ORÇAMENTO!S$15,ROW(G643)-ROW(G$15),0))</f>
        <v>-</v>
      </c>
      <c r="H643" s="151">
        <f ca="1">IF($D643&lt;&gt;"Serviço",0,IF(ACOMPANHAMENTO="BM",ROUND(OFFSET(ORÇAMENTO!AJ$15,ROW(H643)-ROW(H$15),0),15-13*ORÇAMENTO!$AF$7),SUMPRODUCT(($Q$12:$AI$12&lt;&gt;"")*ROUND($Q643:$AI643,15-13*ORÇAMENTO!$AF$7))))</f>
        <v>38</v>
      </c>
      <c r="I643" s="650"/>
      <c r="K643" s="208"/>
      <c r="L643" s="209" t="s">
        <v>257</v>
      </c>
      <c r="M643" s="210">
        <f ca="1">IF($D643&lt;&gt;"Serviço","",IF(AUTOEVENTO="manual",$A643,IF(ISERROR(MATCH($A643,$A$15:OFFSET($A643,-1,0),0)),MAX($M$15:OFFSET(M643,-1,0))+1,INDEX($M$15:OFFSET(M643,-1,0),MATCH($A643,$A$15:OFFSET($A643,-1,0),0)))))</f>
        <v>0</v>
      </c>
      <c r="N643" s="211" t="str">
        <f ca="1">IF($D643&lt;&gt;"Serviço","",IF(AUTOEVENTO="Manual",IF($A643=0,"&lt;-- defina o número do agrupador",OFFSET(EVENTOS!$D$14,$A643,0)),OFFSET($F$15,$A643,0)))</f>
        <v>&lt;-- defina o número do agrupador</v>
      </c>
      <c r="O643" s="212"/>
      <c r="Q643" s="212"/>
      <c r="R643" s="213"/>
      <c r="S643" s="213"/>
      <c r="T643" s="213"/>
      <c r="U643" s="213"/>
      <c r="V643" s="213"/>
      <c r="W643" s="213"/>
      <c r="X643" s="213"/>
      <c r="Y643" s="213"/>
      <c r="Z643" s="214"/>
      <c r="AA643" s="213"/>
      <c r="AB643" s="213"/>
      <c r="AC643" s="213"/>
      <c r="AD643" s="213"/>
      <c r="AE643" s="213"/>
      <c r="AF643" s="213"/>
      <c r="AG643" s="213"/>
      <c r="AH643" s="214"/>
      <c r="AJ643" s="631">
        <f ca="1">IF(AND($D643="Serviço",AJ$12&lt;&gt;0,$H643&gt;0,OR(AUTOEVENTO&lt;&gt;"manual",$M643&lt;&gt;1)),ROUND(OFFSET($P643,0,AJ$13),15-13*ORÇAMENTO!$AF$7)/$H643*OFFSET(ORÇAMENTO!$X$15,ROW(AJ643)-ROW(AJ$15),0),0)</f>
        <v>0</v>
      </c>
      <c r="AK643" s="632">
        <f ca="1">IF(AND($D643="Serviço",AK$12&lt;&gt;0,$H643&gt;0,OR(AUTOEVENTO&lt;&gt;"manual",$M643&lt;&gt;1)),ROUND(OFFSET($P643,0,AK$13),15-13*ORÇAMENTO!$AF$7)/$H643*OFFSET(ORÇAMENTO!$X$15,ROW(AK643)-ROW(AK$15),0),0)</f>
        <v>0</v>
      </c>
      <c r="AL643" s="632">
        <f ca="1">IF(AND($D643="Serviço",AL$12&lt;&gt;0,$H643&gt;0,OR(AUTOEVENTO&lt;&gt;"manual",$M643&lt;&gt;1)),ROUND(OFFSET($P643,0,AL$13),15-13*ORÇAMENTO!$AF$7)/$H643*OFFSET(ORÇAMENTO!$X$15,ROW(AL643)-ROW(AL$15),0),0)</f>
        <v>0</v>
      </c>
      <c r="AM643" s="632">
        <f ca="1">IF(AND($D643="Serviço",AM$12&lt;&gt;0,$H643&gt;0,OR(AUTOEVENTO&lt;&gt;"manual",$M643&lt;&gt;1)),ROUND(OFFSET($P643,0,AM$13),15-13*ORÇAMENTO!$AF$7)/$H643*OFFSET(ORÇAMENTO!$X$15,ROW(AM643)-ROW(AM$15),0),0)</f>
        <v>0</v>
      </c>
      <c r="AN643" s="632">
        <f ca="1">IF(AND($D643="Serviço",AN$12&lt;&gt;0,$H643&gt;0,OR(AUTOEVENTO&lt;&gt;"manual",$M643&lt;&gt;1)),ROUND(OFFSET($P643,0,AN$13),15-13*ORÇAMENTO!$AF$7)/$H643*OFFSET(ORÇAMENTO!$X$15,ROW(AN643)-ROW(AN$15),0),0)</f>
        <v>0</v>
      </c>
      <c r="AO643" s="632">
        <f ca="1">IF(AND($D643="Serviço",AO$12&lt;&gt;0,$H643&gt;0,OR(AUTOEVENTO&lt;&gt;"manual",$M643&lt;&gt;1)),ROUND(OFFSET($P643,0,AO$13),15-13*ORÇAMENTO!$AF$7)/$H643*OFFSET(ORÇAMENTO!$X$15,ROW(AO643)-ROW(AO$15),0),0)</f>
        <v>0</v>
      </c>
      <c r="AP643" s="632">
        <f ca="1">IF(AND($D643="Serviço",AP$12&lt;&gt;0,$H643&gt;0,OR(AUTOEVENTO&lt;&gt;"manual",$M643&lt;&gt;1)),ROUND(OFFSET($P643,0,AP$13),15-13*ORÇAMENTO!$AF$7)/$H643*OFFSET(ORÇAMENTO!$X$15,ROW(AP643)-ROW(AP$15),0),0)</f>
        <v>0</v>
      </c>
      <c r="AQ643" s="632">
        <f ca="1">IF(AND($D643="Serviço",AQ$12&lt;&gt;0,$H643&gt;0,OR(AUTOEVENTO&lt;&gt;"manual",$M643&lt;&gt;1)),ROUND(OFFSET($P643,0,AQ$13),15-13*ORÇAMENTO!$AF$7)/$H643*OFFSET(ORÇAMENTO!$X$15,ROW(AQ643)-ROW(AQ$15),0),0)</f>
        <v>0</v>
      </c>
      <c r="AR643" s="632">
        <f ca="1">IF(AND($D643="Serviço",AR$12&lt;&gt;0,$H643&gt;0,OR(AUTOEVENTO&lt;&gt;"manual",$M643&lt;&gt;1)),ROUND(OFFSET($P643,0,AR$13),15-13*ORÇAMENTO!$AF$7)/$H643*OFFSET(ORÇAMENTO!$X$15,ROW(AR643)-ROW(AR$15),0),0)</f>
        <v>0</v>
      </c>
      <c r="AS643" s="633">
        <f ca="1">IF(AND($D643="Serviço",AS$12&lt;&gt;0,$H643&gt;0,OR(AUTOEVENTO&lt;&gt;"manual",$M643&lt;&gt;1)),ROUND(OFFSET($P643,0,AS$13),15-13*ORÇAMENTO!$AF$7)/$H643*OFFSET(ORÇAMENTO!$X$15,ROW(AS643)-ROW(AS$15),0),0)</f>
        <v>0</v>
      </c>
      <c r="AT643" s="632">
        <f ca="1">IF(AND($D643="Serviço",AT$12&lt;&gt;0,$H643&gt;0,OR(AUTOEVENTO&lt;&gt;"manual",$M643&lt;&gt;1)),ROUND(OFFSET($P643,0,AT$13),15-13*ORÇAMENTO!$AF$7)/$H643*OFFSET(ORÇAMENTO!$X$15,ROW(AT643)-ROW(AT$15),0),0)</f>
        <v>0</v>
      </c>
      <c r="AU643" s="632">
        <f ca="1">IF(AND($D643="Serviço",AU$12&lt;&gt;0,$H643&gt;0,OR(AUTOEVENTO&lt;&gt;"manual",$M643&lt;&gt;1)),ROUND(OFFSET($P643,0,AU$13),15-13*ORÇAMENTO!$AF$7)/$H643*OFFSET(ORÇAMENTO!$X$15,ROW(AU643)-ROW(AU$15),0),0)</f>
        <v>0</v>
      </c>
      <c r="AV643" s="632">
        <f ca="1">IF(AND($D643="Serviço",AV$12&lt;&gt;0,$H643&gt;0,OR(AUTOEVENTO&lt;&gt;"manual",$M643&lt;&gt;1)),ROUND(OFFSET($P643,0,AV$13),15-13*ORÇAMENTO!$AF$7)/$H643*OFFSET(ORÇAMENTO!$X$15,ROW(AV643)-ROW(AV$15),0),0)</f>
        <v>0</v>
      </c>
      <c r="AW643" s="632">
        <f ca="1">IF(AND($D643="Serviço",AW$12&lt;&gt;0,$H643&gt;0,OR(AUTOEVENTO&lt;&gt;"manual",$M643&lt;&gt;1)),ROUND(OFFSET($P643,0,AW$13),15-13*ORÇAMENTO!$AF$7)/$H643*OFFSET(ORÇAMENTO!$X$15,ROW(AW643)-ROW(AW$15),0),0)</f>
        <v>0</v>
      </c>
      <c r="AX643" s="632">
        <f ca="1">IF(AND($D643="Serviço",AX$12&lt;&gt;0,$H643&gt;0,OR(AUTOEVENTO&lt;&gt;"manual",$M643&lt;&gt;1)),ROUND(OFFSET($P643,0,AX$13),15-13*ORÇAMENTO!$AF$7)/$H643*OFFSET(ORÇAMENTO!$X$15,ROW(AX643)-ROW(AX$15),0),0)</f>
        <v>0</v>
      </c>
      <c r="AY643" s="632">
        <f ca="1">IF(AND($D643="Serviço",AY$12&lt;&gt;0,$H643&gt;0,OR(AUTOEVENTO&lt;&gt;"manual",$M643&lt;&gt;1)),ROUND(OFFSET($P643,0,AY$13),15-13*ORÇAMENTO!$AF$7)/$H643*OFFSET(ORÇAMENTO!$X$15,ROW(AY643)-ROW(AY$15),0),0)</f>
        <v>0</v>
      </c>
      <c r="AZ643" s="632">
        <f ca="1">IF(AND($D643="Serviço",AZ$12&lt;&gt;0,$H643&gt;0,OR(AUTOEVENTO&lt;&gt;"manual",$M643&lt;&gt;1)),ROUND(OFFSET($P643,0,AZ$13),15-13*ORÇAMENTO!$AF$7)/$H643*OFFSET(ORÇAMENTO!$X$15,ROW(AZ643)-ROW(AZ$15),0),0)</f>
        <v>0</v>
      </c>
      <c r="BA643" s="633">
        <f ca="1">IF(AND($D643="Serviço",BA$12&lt;&gt;0,$H643&gt;0,OR(AUTOEVENTO&lt;&gt;"manual",$M643&lt;&gt;1)),ROUND(OFFSET($P643,0,BA$13),15-13*ORÇAMENTO!$AF$7)/$H643*OFFSET(ORÇAMENTO!$X$15,ROW(BA643)-ROW(BA$15),0),0)</f>
        <v>0</v>
      </c>
      <c r="BC643" s="215">
        <f ca="1">IF($D643&lt;&gt;"Serviço",0,IF(AND(AUTOEVENTO="Manual",$M643=1),0,IF(OFFSET(CRONOPLE!$F$14,$M643,BC$13)="",10^12,OFFSET(CRONOPLE!$F$14,$M643,BC$13))))</f>
        <v>1000000000000</v>
      </c>
      <c r="BD643" s="215">
        <f ca="1">IF($D643&lt;&gt;"Serviço",0,IF(AND(AUTOEVENTO="Manual",$M643=1),0,IF(OFFSET(CRONOPLE!$F$14,$M643,BD$13)="",10^12,OFFSET(CRONOPLE!$F$14,$M643,BD$13))))</f>
        <v>1000000000000</v>
      </c>
      <c r="BE643" s="215">
        <f ca="1">IF($D643&lt;&gt;"Serviço",0,IF(AND(AUTOEVENTO="Manual",$M643=1),0,IF(OFFSET(CRONOPLE!$F$14,$M643,BE$13)="",10^12,OFFSET(CRONOPLE!$F$14,$M643,BE$13))))</f>
        <v>1000000000000</v>
      </c>
      <c r="BF643" s="215">
        <f ca="1">IF($D643&lt;&gt;"Serviço",0,IF(AND(AUTOEVENTO="Manual",$M643=1),0,IF(OFFSET(CRONOPLE!$F$14,$M643,BF$13)="",10^12,OFFSET(CRONOPLE!$F$14,$M643,BF$13))))</f>
        <v>1000000000000</v>
      </c>
      <c r="BG643" s="215">
        <f ca="1">IF($D643&lt;&gt;"Serviço",0,IF(AND(AUTOEVENTO="Manual",$M643=1),0,IF(OFFSET(CRONOPLE!$F$14,$M643,BG$13)="",10^12,OFFSET(CRONOPLE!$F$14,$M643,BG$13))))</f>
        <v>1000000000000</v>
      </c>
      <c r="BH643" s="215">
        <f ca="1">IF($D643&lt;&gt;"Serviço",0,IF(AND(AUTOEVENTO="Manual",$M643=1),0,IF(OFFSET(CRONOPLE!$F$14,$M643,BH$13)="",10^12,OFFSET(CRONOPLE!$F$14,$M643,BH$13))))</f>
        <v>1000000000000</v>
      </c>
      <c r="BI643" s="215">
        <f ca="1">IF($D643&lt;&gt;"Serviço",0,IF(AND(AUTOEVENTO="Manual",$M643=1),0,IF(OFFSET(CRONOPLE!$F$14,$M643,BI$13)="",10^12,OFFSET(CRONOPLE!$F$14,$M643,BI$13))))</f>
        <v>1000000000000</v>
      </c>
      <c r="BJ643" s="215">
        <f ca="1">IF($D643&lt;&gt;"Serviço",0,IF(AND(AUTOEVENTO="Manual",$M643=1),0,IF(OFFSET(CRONOPLE!$F$14,$M643,BJ$13)="",10^12,OFFSET(CRONOPLE!$F$14,$M643,BJ$13))))</f>
        <v>1000000000000</v>
      </c>
      <c r="BK643" s="215">
        <f ca="1">IF($D643&lt;&gt;"Serviço",0,IF(AND(AUTOEVENTO="Manual",$M643=1),0,IF(OFFSET(CRONOPLE!$F$14,$M643,BK$13)="",10^12,OFFSET(CRONOPLE!$F$14,$M643,BK$13))))</f>
        <v>1000000000000</v>
      </c>
      <c r="BL643" s="215">
        <f ca="1">IF($D643&lt;&gt;"Serviço",0,IF(AND(AUTOEVENTO="Manual",$M643=1),0,IF(OFFSET(CRONOPLE!$F$14,$M643,BL$13)="",10^12,OFFSET(CRONOPLE!$F$14,$M643,BL$13))))</f>
        <v>1000000000000</v>
      </c>
      <c r="BM643" s="215">
        <f ca="1">IF($D643&lt;&gt;"Serviço",0,IF(AND(AUTOEVENTO="Manual",$M643=1),0,IF(OFFSET(CRONOPLE!$F$14,$M643,BM$13)="",10^12,OFFSET(CRONOPLE!$F$14,$M643,BM$13))))</f>
        <v>1000000000000</v>
      </c>
      <c r="BN643" s="215">
        <f ca="1">IF($D643&lt;&gt;"Serviço",0,IF(AND(AUTOEVENTO="Manual",$M643=1),0,IF(OFFSET(CRONOPLE!$F$14,$M643,BN$13)="",10^12,OFFSET(CRONOPLE!$F$14,$M643,BN$13))))</f>
        <v>1000000000000</v>
      </c>
      <c r="BO643" s="215">
        <f ca="1">IF($D643&lt;&gt;"Serviço",0,IF(AND(AUTOEVENTO="Manual",$M643=1),0,IF(OFFSET(CRONOPLE!$F$14,$M643,BO$13)="",10^12,OFFSET(CRONOPLE!$F$14,$M643,BO$13))))</f>
        <v>1000000000000</v>
      </c>
      <c r="BP643" s="215">
        <f ca="1">IF($D643&lt;&gt;"Serviço",0,IF(AND(AUTOEVENTO="Manual",$M643=1),0,IF(OFFSET(CRONOPLE!$F$14,$M643,BP$13)="",10^12,OFFSET(CRONOPLE!$F$14,$M643,BP$13))))</f>
        <v>1000000000000</v>
      </c>
      <c r="BQ643" s="215">
        <f ca="1">IF($D643&lt;&gt;"Serviço",0,IF(AND(AUTOEVENTO="Manual",$M643=1),0,IF(OFFSET(CRONOPLE!$F$14,$M643,BQ$13)="",10^12,OFFSET(CRONOPLE!$F$14,$M643,BQ$13))))</f>
        <v>1000000000000</v>
      </c>
      <c r="BR643" s="215">
        <f ca="1">IF($D643&lt;&gt;"Serviço",0,IF(AND(AUTOEVENTO="Manual",$M643=1),0,IF(OFFSET(CRONOPLE!$F$14,$M643,BR$13)="",10^12,OFFSET(CRONOPLE!$F$14,$M643,BR$13))))</f>
        <v>1000000000000</v>
      </c>
      <c r="BS643" s="215">
        <f ca="1">IF($D643&lt;&gt;"Serviço",0,IF(AND(AUTOEVENTO="Manual",$M643=1),0,IF(OFFSET(CRONOPLE!$F$14,$M643,BS$13)="",10^12,OFFSET(CRONOPLE!$F$14,$M643,BS$13))))</f>
        <v>1000000000000</v>
      </c>
      <c r="BT643" s="215">
        <f ca="1">IF($D643&lt;&gt;"Serviço",0,IF(AND(AUTOEVENTO="Manual",$M643=1),0,IF(OFFSET(CRONOPLE!$F$14,$M643,BT$13)="",10^12,OFFSET(CRONOPLE!$F$14,$M643,BT$13))))</f>
        <v>1000000000000</v>
      </c>
      <c r="BV643" s="216">
        <f ca="1">IF($D643&lt;&gt;"Serviço",0,IF(OR(AND(AUTOEVENTO="Manual",$M643=1),$M643&gt;(ROW(PLE.lastrow)-ROW(PLE.firstrow))),0,IF(OFFSET(PLE!$G$14,$M643,BV$13)="",10^12,OFFSET(PLE!$G$14,$M643,BV$13))))</f>
        <v>1000000000000</v>
      </c>
      <c r="BW643" s="216">
        <f ca="1">IF($D643&lt;&gt;"Serviço",0,IF(OR(AND(AUTOEVENTO="Manual",$M643=1),$M643&gt;(ROW(PLE.lastrow)-ROW(PLE.firstrow))),0,IF(OFFSET(PLE!$G$14,$M643,BW$13)="",10^12,OFFSET(PLE!$G$14,$M643,BW$13))))</f>
        <v>1000000000000</v>
      </c>
      <c r="BX643" s="216">
        <f ca="1">IF($D643&lt;&gt;"Serviço",0,IF(OR(AND(AUTOEVENTO="Manual",$M643=1),$M643&gt;(ROW(PLE.lastrow)-ROW(PLE.firstrow))),0,IF(OFFSET(PLE!$G$14,$M643,BX$13)="",10^12,OFFSET(PLE!$G$14,$M643,BX$13))))</f>
        <v>1000000000000</v>
      </c>
      <c r="BY643" s="216">
        <f ca="1">IF($D643&lt;&gt;"Serviço",0,IF(OR(AND(AUTOEVENTO="Manual",$M643=1),$M643&gt;(ROW(PLE.lastrow)-ROW(PLE.firstrow))),0,IF(OFFSET(PLE!$G$14,$M643,BY$13)="",10^12,OFFSET(PLE!$G$14,$M643,BY$13))))</f>
        <v>1000000000000</v>
      </c>
      <c r="BZ643" s="216">
        <f ca="1">IF($D643&lt;&gt;"Serviço",0,IF(OR(AND(AUTOEVENTO="Manual",$M643=1),$M643&gt;(ROW(PLE.lastrow)-ROW(PLE.firstrow))),0,IF(OFFSET(PLE!$G$14,$M643,BZ$13)="",10^12,OFFSET(PLE!$G$14,$M643,BZ$13))))</f>
        <v>1000000000000</v>
      </c>
      <c r="CA643" s="216">
        <f ca="1">IF($D643&lt;&gt;"Serviço",0,IF(OR(AND(AUTOEVENTO="Manual",$M643=1),$M643&gt;(ROW(PLE.lastrow)-ROW(PLE.firstrow))),0,IF(OFFSET(PLE!$G$14,$M643,CA$13)="",10^12,OFFSET(PLE!$G$14,$M643,CA$13))))</f>
        <v>1000000000000</v>
      </c>
      <c r="CB643" s="216">
        <f ca="1">IF($D643&lt;&gt;"Serviço",0,IF(OR(AND(AUTOEVENTO="Manual",$M643=1),$M643&gt;(ROW(PLE.lastrow)-ROW(PLE.firstrow))),0,IF(OFFSET(PLE!$G$14,$M643,CB$13)="",10^12,OFFSET(PLE!$G$14,$M643,CB$13))))</f>
        <v>1000000000000</v>
      </c>
      <c r="CC643" s="216">
        <f ca="1">IF($D643&lt;&gt;"Serviço",0,IF(OR(AND(AUTOEVENTO="Manual",$M643=1),$M643&gt;(ROW(PLE.lastrow)-ROW(PLE.firstrow))),0,IF(OFFSET(PLE!$G$14,$M643,CC$13)="",10^12,OFFSET(PLE!$G$14,$M643,CC$13))))</f>
        <v>1000000000000</v>
      </c>
      <c r="CD643" s="216">
        <f ca="1">IF($D643&lt;&gt;"Serviço",0,IF(OR(AND(AUTOEVENTO="Manual",$M643=1),$M643&gt;(ROW(PLE.lastrow)-ROW(PLE.firstrow))),0,IF(OFFSET(PLE!$G$14,$M643,CD$13)="",10^12,OFFSET(PLE!$G$14,$M643,CD$13))))</f>
        <v>1000000000000</v>
      </c>
      <c r="CE643" s="216">
        <f ca="1">IF($D643&lt;&gt;"Serviço",0,IF(OR(AND(AUTOEVENTO="Manual",$M643=1),$M643&gt;(ROW(PLE.lastrow)-ROW(PLE.firstrow))),0,IF(OFFSET(PLE!$G$14,$M643,CE$13)="",10^12,OFFSET(PLE!$G$14,$M643,CE$13))))</f>
        <v>1000000000000</v>
      </c>
      <c r="CF643" s="216">
        <f ca="1">IF($D643&lt;&gt;"Serviço",0,IF(OR(AND(AUTOEVENTO="Manual",$M643=1),$M643&gt;(ROW(PLE.lastrow)-ROW(PLE.firstrow))),0,IF(OFFSET(PLE!$G$14,$M643,CF$13)="",10^12,OFFSET(PLE!$G$14,$M643,CF$13))))</f>
        <v>1000000000000</v>
      </c>
      <c r="CG643" s="216">
        <f ca="1">IF($D643&lt;&gt;"Serviço",0,IF(OR(AND(AUTOEVENTO="Manual",$M643=1),$M643&gt;(ROW(PLE.lastrow)-ROW(PLE.firstrow))),0,IF(OFFSET(PLE!$G$14,$M643,CG$13)="",10^12,OFFSET(PLE!$G$14,$M643,CG$13))))</f>
        <v>1000000000000</v>
      </c>
      <c r="CH643" s="216">
        <f ca="1">IF($D643&lt;&gt;"Serviço",0,IF(OR(AND(AUTOEVENTO="Manual",$M643=1),$M643&gt;(ROW(PLE.lastrow)-ROW(PLE.firstrow))),0,IF(OFFSET(PLE!$G$14,$M643,CH$13)="",10^12,OFFSET(PLE!$G$14,$M643,CH$13))))</f>
        <v>1000000000000</v>
      </c>
      <c r="CI643" s="216">
        <f ca="1">IF($D643&lt;&gt;"Serviço",0,IF(OR(AND(AUTOEVENTO="Manual",$M643=1),$M643&gt;(ROW(PLE.lastrow)-ROW(PLE.firstrow))),0,IF(OFFSET(PLE!$G$14,$M643,CI$13)="",10^12,OFFSET(PLE!$G$14,$M643,CI$13))))</f>
        <v>1000000000000</v>
      </c>
      <c r="CJ643" s="216">
        <f ca="1">IF($D643&lt;&gt;"Serviço",0,IF(OR(AND(AUTOEVENTO="Manual",$M643=1),$M643&gt;(ROW(PLE.lastrow)-ROW(PLE.firstrow))),0,IF(OFFSET(PLE!$G$14,$M643,CJ$13)="",10^12,OFFSET(PLE!$G$14,$M643,CJ$13))))</f>
        <v>1000000000000</v>
      </c>
      <c r="CK643" s="216">
        <f ca="1">IF($D643&lt;&gt;"Serviço",0,IF(OR(AND(AUTOEVENTO="Manual",$M643=1),$M643&gt;(ROW(PLE.lastrow)-ROW(PLE.firstrow))),0,IF(OFFSET(PLE!$G$14,$M643,CK$13)="",10^12,OFFSET(PLE!$G$14,$M643,CK$13))))</f>
        <v>1000000000000</v>
      </c>
      <c r="CL643" s="216">
        <f ca="1">IF($D643&lt;&gt;"Serviço",0,IF(OR(AND(AUTOEVENTO="Manual",$M643=1),$M643&gt;(ROW(PLE.lastrow)-ROW(PLE.firstrow))),0,IF(OFFSET(PLE!$G$14,$M643,CL$13)="",10^12,OFFSET(PLE!$G$14,$M643,CL$13))))</f>
        <v>1000000000000</v>
      </c>
      <c r="CM643" s="216">
        <f ca="1">IF($D643&lt;&gt;"Serviço",0,IF(OR(AND(AUTOEVENTO="Manual",$M643=1),$M643&gt;(ROW(PLE.lastrow)-ROW(PLE.firstrow))),0,IF(OFFSET(PLE!$G$14,$M643,CM$13)="",10^12,OFFSET(PLE!$G$14,$M643,CM$13))))</f>
        <v>1000000000000</v>
      </c>
    </row>
    <row r="644" spans="1:91" ht="13.2" x14ac:dyDescent="0.25">
      <c r="A644" s="9">
        <f t="shared" ca="1" si="19"/>
        <v>0</v>
      </c>
      <c r="B644" s="9" t="str">
        <f ca="1">OFFSET(ORÇAMENTO!C$15,ROW(B644)-ROW(B$15),0)</f>
        <v>S</v>
      </c>
      <c r="C644" s="9" t="str">
        <f ca="1">OFFSET(ORÇAMENTO!L$15,ROW(C644)-ROW(C$15),0)</f>
        <v/>
      </c>
      <c r="D644" s="145" t="str">
        <f ca="1">OFFSET(ORÇAMENTO!N$15,ROW(D644)-ROW(D$15),0)</f>
        <v>Serviço</v>
      </c>
      <c r="E644" s="205" t="str">
        <f ca="1">OFFSET(ORÇAMENTO!O$15,ROW(E644)-ROW(E$15),0)</f>
        <v>-</v>
      </c>
      <c r="F644" s="206" t="str">
        <f ca="1">OFFSET(ORÇAMENTO!R$15,ROW(F644)-ROW(F$15),0)</f>
        <v>(abra o arquivo 'Referência 05-2024.xls)</v>
      </c>
      <c r="G644" s="207" t="str">
        <f ca="1">IF($D644&lt;&gt;"Serviço","",OFFSET(ORÇAMENTO!S$15,ROW(G644)-ROW(G$15),0))</f>
        <v>-</v>
      </c>
      <c r="H644" s="151">
        <f ca="1">IF($D644&lt;&gt;"Serviço",0,IF(ACOMPANHAMENTO="BM",ROUND(OFFSET(ORÇAMENTO!AJ$15,ROW(H644)-ROW(H$15),0),15-13*ORÇAMENTO!$AF$7),SUMPRODUCT(($Q$12:$AI$12&lt;&gt;"")*ROUND($Q644:$AI644,15-13*ORÇAMENTO!$AF$7))))</f>
        <v>8</v>
      </c>
      <c r="I644" s="650"/>
      <c r="K644" s="208"/>
      <c r="L644" s="209" t="s">
        <v>257</v>
      </c>
      <c r="M644" s="210">
        <f ca="1">IF($D644&lt;&gt;"Serviço","",IF(AUTOEVENTO="manual",$A644,IF(ISERROR(MATCH($A644,$A$15:OFFSET($A644,-1,0),0)),MAX($M$15:OFFSET(M644,-1,0))+1,INDEX($M$15:OFFSET(M644,-1,0),MATCH($A644,$A$15:OFFSET($A644,-1,0),0)))))</f>
        <v>0</v>
      </c>
      <c r="N644" s="211" t="str">
        <f ca="1">IF($D644&lt;&gt;"Serviço","",IF(AUTOEVENTO="Manual",IF($A644=0,"&lt;-- defina o número do agrupador",OFFSET(EVENTOS!$D$14,$A644,0)),OFFSET($F$15,$A644,0)))</f>
        <v>&lt;-- defina o número do agrupador</v>
      </c>
      <c r="O644" s="212"/>
      <c r="Q644" s="212"/>
      <c r="R644" s="213"/>
      <c r="S644" s="213"/>
      <c r="T644" s="213"/>
      <c r="U644" s="213"/>
      <c r="V644" s="213"/>
      <c r="W644" s="213"/>
      <c r="X644" s="213"/>
      <c r="Y644" s="213"/>
      <c r="Z644" s="214"/>
      <c r="AA644" s="213"/>
      <c r="AB644" s="213"/>
      <c r="AC644" s="213"/>
      <c r="AD644" s="213"/>
      <c r="AE644" s="213"/>
      <c r="AF644" s="213"/>
      <c r="AG644" s="213"/>
      <c r="AH644" s="214"/>
      <c r="AJ644" s="631">
        <f ca="1">IF(AND($D644="Serviço",AJ$12&lt;&gt;0,$H644&gt;0,OR(AUTOEVENTO&lt;&gt;"manual",$M644&lt;&gt;1)),ROUND(OFFSET($P644,0,AJ$13),15-13*ORÇAMENTO!$AF$7)/$H644*OFFSET(ORÇAMENTO!$X$15,ROW(AJ644)-ROW(AJ$15),0),0)</f>
        <v>0</v>
      </c>
      <c r="AK644" s="632">
        <f ca="1">IF(AND($D644="Serviço",AK$12&lt;&gt;0,$H644&gt;0,OR(AUTOEVENTO&lt;&gt;"manual",$M644&lt;&gt;1)),ROUND(OFFSET($P644,0,AK$13),15-13*ORÇAMENTO!$AF$7)/$H644*OFFSET(ORÇAMENTO!$X$15,ROW(AK644)-ROW(AK$15),0),0)</f>
        <v>0</v>
      </c>
      <c r="AL644" s="632">
        <f ca="1">IF(AND($D644="Serviço",AL$12&lt;&gt;0,$H644&gt;0,OR(AUTOEVENTO&lt;&gt;"manual",$M644&lt;&gt;1)),ROUND(OFFSET($P644,0,AL$13),15-13*ORÇAMENTO!$AF$7)/$H644*OFFSET(ORÇAMENTO!$X$15,ROW(AL644)-ROW(AL$15),0),0)</f>
        <v>0</v>
      </c>
      <c r="AM644" s="632">
        <f ca="1">IF(AND($D644="Serviço",AM$12&lt;&gt;0,$H644&gt;0,OR(AUTOEVENTO&lt;&gt;"manual",$M644&lt;&gt;1)),ROUND(OFFSET($P644,0,AM$13),15-13*ORÇAMENTO!$AF$7)/$H644*OFFSET(ORÇAMENTO!$X$15,ROW(AM644)-ROW(AM$15),0),0)</f>
        <v>0</v>
      </c>
      <c r="AN644" s="632">
        <f ca="1">IF(AND($D644="Serviço",AN$12&lt;&gt;0,$H644&gt;0,OR(AUTOEVENTO&lt;&gt;"manual",$M644&lt;&gt;1)),ROUND(OFFSET($P644,0,AN$13),15-13*ORÇAMENTO!$AF$7)/$H644*OFFSET(ORÇAMENTO!$X$15,ROW(AN644)-ROW(AN$15),0),0)</f>
        <v>0</v>
      </c>
      <c r="AO644" s="632">
        <f ca="1">IF(AND($D644="Serviço",AO$12&lt;&gt;0,$H644&gt;0,OR(AUTOEVENTO&lt;&gt;"manual",$M644&lt;&gt;1)),ROUND(OFFSET($P644,0,AO$13),15-13*ORÇAMENTO!$AF$7)/$H644*OFFSET(ORÇAMENTO!$X$15,ROW(AO644)-ROW(AO$15),0),0)</f>
        <v>0</v>
      </c>
      <c r="AP644" s="632">
        <f ca="1">IF(AND($D644="Serviço",AP$12&lt;&gt;0,$H644&gt;0,OR(AUTOEVENTO&lt;&gt;"manual",$M644&lt;&gt;1)),ROUND(OFFSET($P644,0,AP$13),15-13*ORÇAMENTO!$AF$7)/$H644*OFFSET(ORÇAMENTO!$X$15,ROW(AP644)-ROW(AP$15),0),0)</f>
        <v>0</v>
      </c>
      <c r="AQ644" s="632">
        <f ca="1">IF(AND($D644="Serviço",AQ$12&lt;&gt;0,$H644&gt;0,OR(AUTOEVENTO&lt;&gt;"manual",$M644&lt;&gt;1)),ROUND(OFFSET($P644,0,AQ$13),15-13*ORÇAMENTO!$AF$7)/$H644*OFFSET(ORÇAMENTO!$X$15,ROW(AQ644)-ROW(AQ$15),0),0)</f>
        <v>0</v>
      </c>
      <c r="AR644" s="632">
        <f ca="1">IF(AND($D644="Serviço",AR$12&lt;&gt;0,$H644&gt;0,OR(AUTOEVENTO&lt;&gt;"manual",$M644&lt;&gt;1)),ROUND(OFFSET($P644,0,AR$13),15-13*ORÇAMENTO!$AF$7)/$H644*OFFSET(ORÇAMENTO!$X$15,ROW(AR644)-ROW(AR$15),0),0)</f>
        <v>0</v>
      </c>
      <c r="AS644" s="633">
        <f ca="1">IF(AND($D644="Serviço",AS$12&lt;&gt;0,$H644&gt;0,OR(AUTOEVENTO&lt;&gt;"manual",$M644&lt;&gt;1)),ROUND(OFFSET($P644,0,AS$13),15-13*ORÇAMENTO!$AF$7)/$H644*OFFSET(ORÇAMENTO!$X$15,ROW(AS644)-ROW(AS$15),0),0)</f>
        <v>0</v>
      </c>
      <c r="AT644" s="632">
        <f ca="1">IF(AND($D644="Serviço",AT$12&lt;&gt;0,$H644&gt;0,OR(AUTOEVENTO&lt;&gt;"manual",$M644&lt;&gt;1)),ROUND(OFFSET($P644,0,AT$13),15-13*ORÇAMENTO!$AF$7)/$H644*OFFSET(ORÇAMENTO!$X$15,ROW(AT644)-ROW(AT$15),0),0)</f>
        <v>0</v>
      </c>
      <c r="AU644" s="632">
        <f ca="1">IF(AND($D644="Serviço",AU$12&lt;&gt;0,$H644&gt;0,OR(AUTOEVENTO&lt;&gt;"manual",$M644&lt;&gt;1)),ROUND(OFFSET($P644,0,AU$13),15-13*ORÇAMENTO!$AF$7)/$H644*OFFSET(ORÇAMENTO!$X$15,ROW(AU644)-ROW(AU$15),0),0)</f>
        <v>0</v>
      </c>
      <c r="AV644" s="632">
        <f ca="1">IF(AND($D644="Serviço",AV$12&lt;&gt;0,$H644&gt;0,OR(AUTOEVENTO&lt;&gt;"manual",$M644&lt;&gt;1)),ROUND(OFFSET($P644,0,AV$13),15-13*ORÇAMENTO!$AF$7)/$H644*OFFSET(ORÇAMENTO!$X$15,ROW(AV644)-ROW(AV$15),0),0)</f>
        <v>0</v>
      </c>
      <c r="AW644" s="632">
        <f ca="1">IF(AND($D644="Serviço",AW$12&lt;&gt;0,$H644&gt;0,OR(AUTOEVENTO&lt;&gt;"manual",$M644&lt;&gt;1)),ROUND(OFFSET($P644,0,AW$13),15-13*ORÇAMENTO!$AF$7)/$H644*OFFSET(ORÇAMENTO!$X$15,ROW(AW644)-ROW(AW$15),0),0)</f>
        <v>0</v>
      </c>
      <c r="AX644" s="632">
        <f ca="1">IF(AND($D644="Serviço",AX$12&lt;&gt;0,$H644&gt;0,OR(AUTOEVENTO&lt;&gt;"manual",$M644&lt;&gt;1)),ROUND(OFFSET($P644,0,AX$13),15-13*ORÇAMENTO!$AF$7)/$H644*OFFSET(ORÇAMENTO!$X$15,ROW(AX644)-ROW(AX$15),0),0)</f>
        <v>0</v>
      </c>
      <c r="AY644" s="632">
        <f ca="1">IF(AND($D644="Serviço",AY$12&lt;&gt;0,$H644&gt;0,OR(AUTOEVENTO&lt;&gt;"manual",$M644&lt;&gt;1)),ROUND(OFFSET($P644,0,AY$13),15-13*ORÇAMENTO!$AF$7)/$H644*OFFSET(ORÇAMENTO!$X$15,ROW(AY644)-ROW(AY$15),0),0)</f>
        <v>0</v>
      </c>
      <c r="AZ644" s="632">
        <f ca="1">IF(AND($D644="Serviço",AZ$12&lt;&gt;0,$H644&gt;0,OR(AUTOEVENTO&lt;&gt;"manual",$M644&lt;&gt;1)),ROUND(OFFSET($P644,0,AZ$13),15-13*ORÇAMENTO!$AF$7)/$H644*OFFSET(ORÇAMENTO!$X$15,ROW(AZ644)-ROW(AZ$15),0),0)</f>
        <v>0</v>
      </c>
      <c r="BA644" s="633">
        <f ca="1">IF(AND($D644="Serviço",BA$12&lt;&gt;0,$H644&gt;0,OR(AUTOEVENTO&lt;&gt;"manual",$M644&lt;&gt;1)),ROUND(OFFSET($P644,0,BA$13),15-13*ORÇAMENTO!$AF$7)/$H644*OFFSET(ORÇAMENTO!$X$15,ROW(BA644)-ROW(BA$15),0),0)</f>
        <v>0</v>
      </c>
      <c r="BC644" s="215">
        <f ca="1">IF($D644&lt;&gt;"Serviço",0,IF(AND(AUTOEVENTO="Manual",$M644=1),0,IF(OFFSET(CRONOPLE!$F$14,$M644,BC$13)="",10^12,OFFSET(CRONOPLE!$F$14,$M644,BC$13))))</f>
        <v>1000000000000</v>
      </c>
      <c r="BD644" s="215">
        <f ca="1">IF($D644&lt;&gt;"Serviço",0,IF(AND(AUTOEVENTO="Manual",$M644=1),0,IF(OFFSET(CRONOPLE!$F$14,$M644,BD$13)="",10^12,OFFSET(CRONOPLE!$F$14,$M644,BD$13))))</f>
        <v>1000000000000</v>
      </c>
      <c r="BE644" s="215">
        <f ca="1">IF($D644&lt;&gt;"Serviço",0,IF(AND(AUTOEVENTO="Manual",$M644=1),0,IF(OFFSET(CRONOPLE!$F$14,$M644,BE$13)="",10^12,OFFSET(CRONOPLE!$F$14,$M644,BE$13))))</f>
        <v>1000000000000</v>
      </c>
      <c r="BF644" s="215">
        <f ca="1">IF($D644&lt;&gt;"Serviço",0,IF(AND(AUTOEVENTO="Manual",$M644=1),0,IF(OFFSET(CRONOPLE!$F$14,$M644,BF$13)="",10^12,OFFSET(CRONOPLE!$F$14,$M644,BF$13))))</f>
        <v>1000000000000</v>
      </c>
      <c r="BG644" s="215">
        <f ca="1">IF($D644&lt;&gt;"Serviço",0,IF(AND(AUTOEVENTO="Manual",$M644=1),0,IF(OFFSET(CRONOPLE!$F$14,$M644,BG$13)="",10^12,OFFSET(CRONOPLE!$F$14,$M644,BG$13))))</f>
        <v>1000000000000</v>
      </c>
      <c r="BH644" s="215">
        <f ca="1">IF($D644&lt;&gt;"Serviço",0,IF(AND(AUTOEVENTO="Manual",$M644=1),0,IF(OFFSET(CRONOPLE!$F$14,$M644,BH$13)="",10^12,OFFSET(CRONOPLE!$F$14,$M644,BH$13))))</f>
        <v>1000000000000</v>
      </c>
      <c r="BI644" s="215">
        <f ca="1">IF($D644&lt;&gt;"Serviço",0,IF(AND(AUTOEVENTO="Manual",$M644=1),0,IF(OFFSET(CRONOPLE!$F$14,$M644,BI$13)="",10^12,OFFSET(CRONOPLE!$F$14,$M644,BI$13))))</f>
        <v>1000000000000</v>
      </c>
      <c r="BJ644" s="215">
        <f ca="1">IF($D644&lt;&gt;"Serviço",0,IF(AND(AUTOEVENTO="Manual",$M644=1),0,IF(OFFSET(CRONOPLE!$F$14,$M644,BJ$13)="",10^12,OFFSET(CRONOPLE!$F$14,$M644,BJ$13))))</f>
        <v>1000000000000</v>
      </c>
      <c r="BK644" s="215">
        <f ca="1">IF($D644&lt;&gt;"Serviço",0,IF(AND(AUTOEVENTO="Manual",$M644=1),0,IF(OFFSET(CRONOPLE!$F$14,$M644,BK$13)="",10^12,OFFSET(CRONOPLE!$F$14,$M644,BK$13))))</f>
        <v>1000000000000</v>
      </c>
      <c r="BL644" s="215">
        <f ca="1">IF($D644&lt;&gt;"Serviço",0,IF(AND(AUTOEVENTO="Manual",$M644=1),0,IF(OFFSET(CRONOPLE!$F$14,$M644,BL$13)="",10^12,OFFSET(CRONOPLE!$F$14,$M644,BL$13))))</f>
        <v>1000000000000</v>
      </c>
      <c r="BM644" s="215">
        <f ca="1">IF($D644&lt;&gt;"Serviço",0,IF(AND(AUTOEVENTO="Manual",$M644=1),0,IF(OFFSET(CRONOPLE!$F$14,$M644,BM$13)="",10^12,OFFSET(CRONOPLE!$F$14,$M644,BM$13))))</f>
        <v>1000000000000</v>
      </c>
      <c r="BN644" s="215">
        <f ca="1">IF($D644&lt;&gt;"Serviço",0,IF(AND(AUTOEVENTO="Manual",$M644=1),0,IF(OFFSET(CRONOPLE!$F$14,$M644,BN$13)="",10^12,OFFSET(CRONOPLE!$F$14,$M644,BN$13))))</f>
        <v>1000000000000</v>
      </c>
      <c r="BO644" s="215">
        <f ca="1">IF($D644&lt;&gt;"Serviço",0,IF(AND(AUTOEVENTO="Manual",$M644=1),0,IF(OFFSET(CRONOPLE!$F$14,$M644,BO$13)="",10^12,OFFSET(CRONOPLE!$F$14,$M644,BO$13))))</f>
        <v>1000000000000</v>
      </c>
      <c r="BP644" s="215">
        <f ca="1">IF($D644&lt;&gt;"Serviço",0,IF(AND(AUTOEVENTO="Manual",$M644=1),0,IF(OFFSET(CRONOPLE!$F$14,$M644,BP$13)="",10^12,OFFSET(CRONOPLE!$F$14,$M644,BP$13))))</f>
        <v>1000000000000</v>
      </c>
      <c r="BQ644" s="215">
        <f ca="1">IF($D644&lt;&gt;"Serviço",0,IF(AND(AUTOEVENTO="Manual",$M644=1),0,IF(OFFSET(CRONOPLE!$F$14,$M644,BQ$13)="",10^12,OFFSET(CRONOPLE!$F$14,$M644,BQ$13))))</f>
        <v>1000000000000</v>
      </c>
      <c r="BR644" s="215">
        <f ca="1">IF($D644&lt;&gt;"Serviço",0,IF(AND(AUTOEVENTO="Manual",$M644=1),0,IF(OFFSET(CRONOPLE!$F$14,$M644,BR$13)="",10^12,OFFSET(CRONOPLE!$F$14,$M644,BR$13))))</f>
        <v>1000000000000</v>
      </c>
      <c r="BS644" s="215">
        <f ca="1">IF($D644&lt;&gt;"Serviço",0,IF(AND(AUTOEVENTO="Manual",$M644=1),0,IF(OFFSET(CRONOPLE!$F$14,$M644,BS$13)="",10^12,OFFSET(CRONOPLE!$F$14,$M644,BS$13))))</f>
        <v>1000000000000</v>
      </c>
      <c r="BT644" s="215">
        <f ca="1">IF($D644&lt;&gt;"Serviço",0,IF(AND(AUTOEVENTO="Manual",$M644=1),0,IF(OFFSET(CRONOPLE!$F$14,$M644,BT$13)="",10^12,OFFSET(CRONOPLE!$F$14,$M644,BT$13))))</f>
        <v>1000000000000</v>
      </c>
      <c r="BV644" s="216">
        <f ca="1">IF($D644&lt;&gt;"Serviço",0,IF(OR(AND(AUTOEVENTO="Manual",$M644=1),$M644&gt;(ROW(PLE.lastrow)-ROW(PLE.firstrow))),0,IF(OFFSET(PLE!$G$14,$M644,BV$13)="",10^12,OFFSET(PLE!$G$14,$M644,BV$13))))</f>
        <v>1000000000000</v>
      </c>
      <c r="BW644" s="216">
        <f ca="1">IF($D644&lt;&gt;"Serviço",0,IF(OR(AND(AUTOEVENTO="Manual",$M644=1),$M644&gt;(ROW(PLE.lastrow)-ROW(PLE.firstrow))),0,IF(OFFSET(PLE!$G$14,$M644,BW$13)="",10^12,OFFSET(PLE!$G$14,$M644,BW$13))))</f>
        <v>1000000000000</v>
      </c>
      <c r="BX644" s="216">
        <f ca="1">IF($D644&lt;&gt;"Serviço",0,IF(OR(AND(AUTOEVENTO="Manual",$M644=1),$M644&gt;(ROW(PLE.lastrow)-ROW(PLE.firstrow))),0,IF(OFFSET(PLE!$G$14,$M644,BX$13)="",10^12,OFFSET(PLE!$G$14,$M644,BX$13))))</f>
        <v>1000000000000</v>
      </c>
      <c r="BY644" s="216">
        <f ca="1">IF($D644&lt;&gt;"Serviço",0,IF(OR(AND(AUTOEVENTO="Manual",$M644=1),$M644&gt;(ROW(PLE.lastrow)-ROW(PLE.firstrow))),0,IF(OFFSET(PLE!$G$14,$M644,BY$13)="",10^12,OFFSET(PLE!$G$14,$M644,BY$13))))</f>
        <v>1000000000000</v>
      </c>
      <c r="BZ644" s="216">
        <f ca="1">IF($D644&lt;&gt;"Serviço",0,IF(OR(AND(AUTOEVENTO="Manual",$M644=1),$M644&gt;(ROW(PLE.lastrow)-ROW(PLE.firstrow))),0,IF(OFFSET(PLE!$G$14,$M644,BZ$13)="",10^12,OFFSET(PLE!$G$14,$M644,BZ$13))))</f>
        <v>1000000000000</v>
      </c>
      <c r="CA644" s="216">
        <f ca="1">IF($D644&lt;&gt;"Serviço",0,IF(OR(AND(AUTOEVENTO="Manual",$M644=1),$M644&gt;(ROW(PLE.lastrow)-ROW(PLE.firstrow))),0,IF(OFFSET(PLE!$G$14,$M644,CA$13)="",10^12,OFFSET(PLE!$G$14,$M644,CA$13))))</f>
        <v>1000000000000</v>
      </c>
      <c r="CB644" s="216">
        <f ca="1">IF($D644&lt;&gt;"Serviço",0,IF(OR(AND(AUTOEVENTO="Manual",$M644=1),$M644&gt;(ROW(PLE.lastrow)-ROW(PLE.firstrow))),0,IF(OFFSET(PLE!$G$14,$M644,CB$13)="",10^12,OFFSET(PLE!$G$14,$M644,CB$13))))</f>
        <v>1000000000000</v>
      </c>
      <c r="CC644" s="216">
        <f ca="1">IF($D644&lt;&gt;"Serviço",0,IF(OR(AND(AUTOEVENTO="Manual",$M644=1),$M644&gt;(ROW(PLE.lastrow)-ROW(PLE.firstrow))),0,IF(OFFSET(PLE!$G$14,$M644,CC$13)="",10^12,OFFSET(PLE!$G$14,$M644,CC$13))))</f>
        <v>1000000000000</v>
      </c>
      <c r="CD644" s="216">
        <f ca="1">IF($D644&lt;&gt;"Serviço",0,IF(OR(AND(AUTOEVENTO="Manual",$M644=1),$M644&gt;(ROW(PLE.lastrow)-ROW(PLE.firstrow))),0,IF(OFFSET(PLE!$G$14,$M644,CD$13)="",10^12,OFFSET(PLE!$G$14,$M644,CD$13))))</f>
        <v>1000000000000</v>
      </c>
      <c r="CE644" s="216">
        <f ca="1">IF($D644&lt;&gt;"Serviço",0,IF(OR(AND(AUTOEVENTO="Manual",$M644=1),$M644&gt;(ROW(PLE.lastrow)-ROW(PLE.firstrow))),0,IF(OFFSET(PLE!$G$14,$M644,CE$13)="",10^12,OFFSET(PLE!$G$14,$M644,CE$13))))</f>
        <v>1000000000000</v>
      </c>
      <c r="CF644" s="216">
        <f ca="1">IF($D644&lt;&gt;"Serviço",0,IF(OR(AND(AUTOEVENTO="Manual",$M644=1),$M644&gt;(ROW(PLE.lastrow)-ROW(PLE.firstrow))),0,IF(OFFSET(PLE!$G$14,$M644,CF$13)="",10^12,OFFSET(PLE!$G$14,$M644,CF$13))))</f>
        <v>1000000000000</v>
      </c>
      <c r="CG644" s="216">
        <f ca="1">IF($D644&lt;&gt;"Serviço",0,IF(OR(AND(AUTOEVENTO="Manual",$M644=1),$M644&gt;(ROW(PLE.lastrow)-ROW(PLE.firstrow))),0,IF(OFFSET(PLE!$G$14,$M644,CG$13)="",10^12,OFFSET(PLE!$G$14,$M644,CG$13))))</f>
        <v>1000000000000</v>
      </c>
      <c r="CH644" s="216">
        <f ca="1">IF($D644&lt;&gt;"Serviço",0,IF(OR(AND(AUTOEVENTO="Manual",$M644=1),$M644&gt;(ROW(PLE.lastrow)-ROW(PLE.firstrow))),0,IF(OFFSET(PLE!$G$14,$M644,CH$13)="",10^12,OFFSET(PLE!$G$14,$M644,CH$13))))</f>
        <v>1000000000000</v>
      </c>
      <c r="CI644" s="216">
        <f ca="1">IF($D644&lt;&gt;"Serviço",0,IF(OR(AND(AUTOEVENTO="Manual",$M644=1),$M644&gt;(ROW(PLE.lastrow)-ROW(PLE.firstrow))),0,IF(OFFSET(PLE!$G$14,$M644,CI$13)="",10^12,OFFSET(PLE!$G$14,$M644,CI$13))))</f>
        <v>1000000000000</v>
      </c>
      <c r="CJ644" s="216">
        <f ca="1">IF($D644&lt;&gt;"Serviço",0,IF(OR(AND(AUTOEVENTO="Manual",$M644=1),$M644&gt;(ROW(PLE.lastrow)-ROW(PLE.firstrow))),0,IF(OFFSET(PLE!$G$14,$M644,CJ$13)="",10^12,OFFSET(PLE!$G$14,$M644,CJ$13))))</f>
        <v>1000000000000</v>
      </c>
      <c r="CK644" s="216">
        <f ca="1">IF($D644&lt;&gt;"Serviço",0,IF(OR(AND(AUTOEVENTO="Manual",$M644=1),$M644&gt;(ROW(PLE.lastrow)-ROW(PLE.firstrow))),0,IF(OFFSET(PLE!$G$14,$M644,CK$13)="",10^12,OFFSET(PLE!$G$14,$M644,CK$13))))</f>
        <v>1000000000000</v>
      </c>
      <c r="CL644" s="216">
        <f ca="1">IF($D644&lt;&gt;"Serviço",0,IF(OR(AND(AUTOEVENTO="Manual",$M644=1),$M644&gt;(ROW(PLE.lastrow)-ROW(PLE.firstrow))),0,IF(OFFSET(PLE!$G$14,$M644,CL$13)="",10^12,OFFSET(PLE!$G$14,$M644,CL$13))))</f>
        <v>1000000000000</v>
      </c>
      <c r="CM644" s="216">
        <f ca="1">IF($D644&lt;&gt;"Serviço",0,IF(OR(AND(AUTOEVENTO="Manual",$M644=1),$M644&gt;(ROW(PLE.lastrow)-ROW(PLE.firstrow))),0,IF(OFFSET(PLE!$G$14,$M644,CM$13)="",10^12,OFFSET(PLE!$G$14,$M644,CM$13))))</f>
        <v>1000000000000</v>
      </c>
    </row>
    <row r="645" spans="1:91" ht="13.2" x14ac:dyDescent="0.25">
      <c r="A645" s="9">
        <f t="shared" ca="1" si="19"/>
        <v>0</v>
      </c>
      <c r="B645" s="9" t="str">
        <f ca="1">OFFSET(ORÇAMENTO!C$15,ROW(B645)-ROW(B$15),0)</f>
        <v>S</v>
      </c>
      <c r="C645" s="9" t="str">
        <f ca="1">OFFSET(ORÇAMENTO!L$15,ROW(C645)-ROW(C$15),0)</f>
        <v/>
      </c>
      <c r="D645" s="145" t="str">
        <f ca="1">OFFSET(ORÇAMENTO!N$15,ROW(D645)-ROW(D$15),0)</f>
        <v>Serviço</v>
      </c>
      <c r="E645" s="205" t="str">
        <f ca="1">OFFSET(ORÇAMENTO!O$15,ROW(E645)-ROW(E$15),0)</f>
        <v>-</v>
      </c>
      <c r="F645" s="206" t="str">
        <f ca="1">OFFSET(ORÇAMENTO!R$15,ROW(F645)-ROW(F$15),0)</f>
        <v>(abra o arquivo 'Referência 05-2024.xls)</v>
      </c>
      <c r="G645" s="207" t="str">
        <f ca="1">IF($D645&lt;&gt;"Serviço","",OFFSET(ORÇAMENTO!S$15,ROW(G645)-ROW(G$15),0))</f>
        <v>-</v>
      </c>
      <c r="H645" s="151">
        <f ca="1">IF($D645&lt;&gt;"Serviço",0,IF(ACOMPANHAMENTO="BM",ROUND(OFFSET(ORÇAMENTO!AJ$15,ROW(H645)-ROW(H$15),0),15-13*ORÇAMENTO!$AF$7),SUMPRODUCT(($Q$12:$AI$12&lt;&gt;"")*ROUND($Q645:$AI645,15-13*ORÇAMENTO!$AF$7))))</f>
        <v>8</v>
      </c>
      <c r="I645" s="650"/>
      <c r="K645" s="208"/>
      <c r="L645" s="209" t="s">
        <v>257</v>
      </c>
      <c r="M645" s="210">
        <f ca="1">IF($D645&lt;&gt;"Serviço","",IF(AUTOEVENTO="manual",$A645,IF(ISERROR(MATCH($A645,$A$15:OFFSET($A645,-1,0),0)),MAX($M$15:OFFSET(M645,-1,0))+1,INDEX($M$15:OFFSET(M645,-1,0),MATCH($A645,$A$15:OFFSET($A645,-1,0),0)))))</f>
        <v>0</v>
      </c>
      <c r="N645" s="211" t="str">
        <f ca="1">IF($D645&lt;&gt;"Serviço","",IF(AUTOEVENTO="Manual",IF($A645=0,"&lt;-- defina o número do agrupador",OFFSET(EVENTOS!$D$14,$A645,0)),OFFSET($F$15,$A645,0)))</f>
        <v>&lt;-- defina o número do agrupador</v>
      </c>
      <c r="O645" s="212"/>
      <c r="Q645" s="212"/>
      <c r="R645" s="213"/>
      <c r="S645" s="213"/>
      <c r="T645" s="213"/>
      <c r="U645" s="213"/>
      <c r="V645" s="213"/>
      <c r="W645" s="213"/>
      <c r="X645" s="213"/>
      <c r="Y645" s="213"/>
      <c r="Z645" s="214"/>
      <c r="AA645" s="213"/>
      <c r="AB645" s="213"/>
      <c r="AC645" s="213"/>
      <c r="AD645" s="213"/>
      <c r="AE645" s="213"/>
      <c r="AF645" s="213"/>
      <c r="AG645" s="213"/>
      <c r="AH645" s="214"/>
      <c r="AJ645" s="631">
        <f ca="1">IF(AND($D645="Serviço",AJ$12&lt;&gt;0,$H645&gt;0,OR(AUTOEVENTO&lt;&gt;"manual",$M645&lt;&gt;1)),ROUND(OFFSET($P645,0,AJ$13),15-13*ORÇAMENTO!$AF$7)/$H645*OFFSET(ORÇAMENTO!$X$15,ROW(AJ645)-ROW(AJ$15),0),0)</f>
        <v>0</v>
      </c>
      <c r="AK645" s="632">
        <f ca="1">IF(AND($D645="Serviço",AK$12&lt;&gt;0,$H645&gt;0,OR(AUTOEVENTO&lt;&gt;"manual",$M645&lt;&gt;1)),ROUND(OFFSET($P645,0,AK$13),15-13*ORÇAMENTO!$AF$7)/$H645*OFFSET(ORÇAMENTO!$X$15,ROW(AK645)-ROW(AK$15),0),0)</f>
        <v>0</v>
      </c>
      <c r="AL645" s="632">
        <f ca="1">IF(AND($D645="Serviço",AL$12&lt;&gt;0,$H645&gt;0,OR(AUTOEVENTO&lt;&gt;"manual",$M645&lt;&gt;1)),ROUND(OFFSET($P645,0,AL$13),15-13*ORÇAMENTO!$AF$7)/$H645*OFFSET(ORÇAMENTO!$X$15,ROW(AL645)-ROW(AL$15),0),0)</f>
        <v>0</v>
      </c>
      <c r="AM645" s="632">
        <f ca="1">IF(AND($D645="Serviço",AM$12&lt;&gt;0,$H645&gt;0,OR(AUTOEVENTO&lt;&gt;"manual",$M645&lt;&gt;1)),ROUND(OFFSET($P645,0,AM$13),15-13*ORÇAMENTO!$AF$7)/$H645*OFFSET(ORÇAMENTO!$X$15,ROW(AM645)-ROW(AM$15),0),0)</f>
        <v>0</v>
      </c>
      <c r="AN645" s="632">
        <f ca="1">IF(AND($D645="Serviço",AN$12&lt;&gt;0,$H645&gt;0,OR(AUTOEVENTO&lt;&gt;"manual",$M645&lt;&gt;1)),ROUND(OFFSET($P645,0,AN$13),15-13*ORÇAMENTO!$AF$7)/$H645*OFFSET(ORÇAMENTO!$X$15,ROW(AN645)-ROW(AN$15),0),0)</f>
        <v>0</v>
      </c>
      <c r="AO645" s="632">
        <f ca="1">IF(AND($D645="Serviço",AO$12&lt;&gt;0,$H645&gt;0,OR(AUTOEVENTO&lt;&gt;"manual",$M645&lt;&gt;1)),ROUND(OFFSET($P645,0,AO$13),15-13*ORÇAMENTO!$AF$7)/$H645*OFFSET(ORÇAMENTO!$X$15,ROW(AO645)-ROW(AO$15),0),0)</f>
        <v>0</v>
      </c>
      <c r="AP645" s="632">
        <f ca="1">IF(AND($D645="Serviço",AP$12&lt;&gt;0,$H645&gt;0,OR(AUTOEVENTO&lt;&gt;"manual",$M645&lt;&gt;1)),ROUND(OFFSET($P645,0,AP$13),15-13*ORÇAMENTO!$AF$7)/$H645*OFFSET(ORÇAMENTO!$X$15,ROW(AP645)-ROW(AP$15),0),0)</f>
        <v>0</v>
      </c>
      <c r="AQ645" s="632">
        <f ca="1">IF(AND($D645="Serviço",AQ$12&lt;&gt;0,$H645&gt;0,OR(AUTOEVENTO&lt;&gt;"manual",$M645&lt;&gt;1)),ROUND(OFFSET($P645,0,AQ$13),15-13*ORÇAMENTO!$AF$7)/$H645*OFFSET(ORÇAMENTO!$X$15,ROW(AQ645)-ROW(AQ$15),0),0)</f>
        <v>0</v>
      </c>
      <c r="AR645" s="632">
        <f ca="1">IF(AND($D645="Serviço",AR$12&lt;&gt;0,$H645&gt;0,OR(AUTOEVENTO&lt;&gt;"manual",$M645&lt;&gt;1)),ROUND(OFFSET($P645,0,AR$13),15-13*ORÇAMENTO!$AF$7)/$H645*OFFSET(ORÇAMENTO!$X$15,ROW(AR645)-ROW(AR$15),0),0)</f>
        <v>0</v>
      </c>
      <c r="AS645" s="633">
        <f ca="1">IF(AND($D645="Serviço",AS$12&lt;&gt;0,$H645&gt;0,OR(AUTOEVENTO&lt;&gt;"manual",$M645&lt;&gt;1)),ROUND(OFFSET($P645,0,AS$13),15-13*ORÇAMENTO!$AF$7)/$H645*OFFSET(ORÇAMENTO!$X$15,ROW(AS645)-ROW(AS$15),0),0)</f>
        <v>0</v>
      </c>
      <c r="AT645" s="632">
        <f ca="1">IF(AND($D645="Serviço",AT$12&lt;&gt;0,$H645&gt;0,OR(AUTOEVENTO&lt;&gt;"manual",$M645&lt;&gt;1)),ROUND(OFFSET($P645,0,AT$13),15-13*ORÇAMENTO!$AF$7)/$H645*OFFSET(ORÇAMENTO!$X$15,ROW(AT645)-ROW(AT$15),0),0)</f>
        <v>0</v>
      </c>
      <c r="AU645" s="632">
        <f ca="1">IF(AND($D645="Serviço",AU$12&lt;&gt;0,$H645&gt;0,OR(AUTOEVENTO&lt;&gt;"manual",$M645&lt;&gt;1)),ROUND(OFFSET($P645,0,AU$13),15-13*ORÇAMENTO!$AF$7)/$H645*OFFSET(ORÇAMENTO!$X$15,ROW(AU645)-ROW(AU$15),0),0)</f>
        <v>0</v>
      </c>
      <c r="AV645" s="632">
        <f ca="1">IF(AND($D645="Serviço",AV$12&lt;&gt;0,$H645&gt;0,OR(AUTOEVENTO&lt;&gt;"manual",$M645&lt;&gt;1)),ROUND(OFFSET($P645,0,AV$13),15-13*ORÇAMENTO!$AF$7)/$H645*OFFSET(ORÇAMENTO!$X$15,ROW(AV645)-ROW(AV$15),0),0)</f>
        <v>0</v>
      </c>
      <c r="AW645" s="632">
        <f ca="1">IF(AND($D645="Serviço",AW$12&lt;&gt;0,$H645&gt;0,OR(AUTOEVENTO&lt;&gt;"manual",$M645&lt;&gt;1)),ROUND(OFFSET($P645,0,AW$13),15-13*ORÇAMENTO!$AF$7)/$H645*OFFSET(ORÇAMENTO!$X$15,ROW(AW645)-ROW(AW$15),0),0)</f>
        <v>0</v>
      </c>
      <c r="AX645" s="632">
        <f ca="1">IF(AND($D645="Serviço",AX$12&lt;&gt;0,$H645&gt;0,OR(AUTOEVENTO&lt;&gt;"manual",$M645&lt;&gt;1)),ROUND(OFFSET($P645,0,AX$13),15-13*ORÇAMENTO!$AF$7)/$H645*OFFSET(ORÇAMENTO!$X$15,ROW(AX645)-ROW(AX$15),0),0)</f>
        <v>0</v>
      </c>
      <c r="AY645" s="632">
        <f ca="1">IF(AND($D645="Serviço",AY$12&lt;&gt;0,$H645&gt;0,OR(AUTOEVENTO&lt;&gt;"manual",$M645&lt;&gt;1)),ROUND(OFFSET($P645,0,AY$13),15-13*ORÇAMENTO!$AF$7)/$H645*OFFSET(ORÇAMENTO!$X$15,ROW(AY645)-ROW(AY$15),0),0)</f>
        <v>0</v>
      </c>
      <c r="AZ645" s="632">
        <f ca="1">IF(AND($D645="Serviço",AZ$12&lt;&gt;0,$H645&gt;0,OR(AUTOEVENTO&lt;&gt;"manual",$M645&lt;&gt;1)),ROUND(OFFSET($P645,0,AZ$13),15-13*ORÇAMENTO!$AF$7)/$H645*OFFSET(ORÇAMENTO!$X$15,ROW(AZ645)-ROW(AZ$15),0),0)</f>
        <v>0</v>
      </c>
      <c r="BA645" s="633">
        <f ca="1">IF(AND($D645="Serviço",BA$12&lt;&gt;0,$H645&gt;0,OR(AUTOEVENTO&lt;&gt;"manual",$M645&lt;&gt;1)),ROUND(OFFSET($P645,0,BA$13),15-13*ORÇAMENTO!$AF$7)/$H645*OFFSET(ORÇAMENTO!$X$15,ROW(BA645)-ROW(BA$15),0),0)</f>
        <v>0</v>
      </c>
      <c r="BC645" s="215">
        <f ca="1">IF($D645&lt;&gt;"Serviço",0,IF(AND(AUTOEVENTO="Manual",$M645=1),0,IF(OFFSET(CRONOPLE!$F$14,$M645,BC$13)="",10^12,OFFSET(CRONOPLE!$F$14,$M645,BC$13))))</f>
        <v>1000000000000</v>
      </c>
      <c r="BD645" s="215">
        <f ca="1">IF($D645&lt;&gt;"Serviço",0,IF(AND(AUTOEVENTO="Manual",$M645=1),0,IF(OFFSET(CRONOPLE!$F$14,$M645,BD$13)="",10^12,OFFSET(CRONOPLE!$F$14,$M645,BD$13))))</f>
        <v>1000000000000</v>
      </c>
      <c r="BE645" s="215">
        <f ca="1">IF($D645&lt;&gt;"Serviço",0,IF(AND(AUTOEVENTO="Manual",$M645=1),0,IF(OFFSET(CRONOPLE!$F$14,$M645,BE$13)="",10^12,OFFSET(CRONOPLE!$F$14,$M645,BE$13))))</f>
        <v>1000000000000</v>
      </c>
      <c r="BF645" s="215">
        <f ca="1">IF($D645&lt;&gt;"Serviço",0,IF(AND(AUTOEVENTO="Manual",$M645=1),0,IF(OFFSET(CRONOPLE!$F$14,$M645,BF$13)="",10^12,OFFSET(CRONOPLE!$F$14,$M645,BF$13))))</f>
        <v>1000000000000</v>
      </c>
      <c r="BG645" s="215">
        <f ca="1">IF($D645&lt;&gt;"Serviço",0,IF(AND(AUTOEVENTO="Manual",$M645=1),0,IF(OFFSET(CRONOPLE!$F$14,$M645,BG$13)="",10^12,OFFSET(CRONOPLE!$F$14,$M645,BG$13))))</f>
        <v>1000000000000</v>
      </c>
      <c r="BH645" s="215">
        <f ca="1">IF($D645&lt;&gt;"Serviço",0,IF(AND(AUTOEVENTO="Manual",$M645=1),0,IF(OFFSET(CRONOPLE!$F$14,$M645,BH$13)="",10^12,OFFSET(CRONOPLE!$F$14,$M645,BH$13))))</f>
        <v>1000000000000</v>
      </c>
      <c r="BI645" s="215">
        <f ca="1">IF($D645&lt;&gt;"Serviço",0,IF(AND(AUTOEVENTO="Manual",$M645=1),0,IF(OFFSET(CRONOPLE!$F$14,$M645,BI$13)="",10^12,OFFSET(CRONOPLE!$F$14,$M645,BI$13))))</f>
        <v>1000000000000</v>
      </c>
      <c r="BJ645" s="215">
        <f ca="1">IF($D645&lt;&gt;"Serviço",0,IF(AND(AUTOEVENTO="Manual",$M645=1),0,IF(OFFSET(CRONOPLE!$F$14,$M645,BJ$13)="",10^12,OFFSET(CRONOPLE!$F$14,$M645,BJ$13))))</f>
        <v>1000000000000</v>
      </c>
      <c r="BK645" s="215">
        <f ca="1">IF($D645&lt;&gt;"Serviço",0,IF(AND(AUTOEVENTO="Manual",$M645=1),0,IF(OFFSET(CRONOPLE!$F$14,$M645,BK$13)="",10^12,OFFSET(CRONOPLE!$F$14,$M645,BK$13))))</f>
        <v>1000000000000</v>
      </c>
      <c r="BL645" s="215">
        <f ca="1">IF($D645&lt;&gt;"Serviço",0,IF(AND(AUTOEVENTO="Manual",$M645=1),0,IF(OFFSET(CRONOPLE!$F$14,$M645,BL$13)="",10^12,OFFSET(CRONOPLE!$F$14,$M645,BL$13))))</f>
        <v>1000000000000</v>
      </c>
      <c r="BM645" s="215">
        <f ca="1">IF($D645&lt;&gt;"Serviço",0,IF(AND(AUTOEVENTO="Manual",$M645=1),0,IF(OFFSET(CRONOPLE!$F$14,$M645,BM$13)="",10^12,OFFSET(CRONOPLE!$F$14,$M645,BM$13))))</f>
        <v>1000000000000</v>
      </c>
      <c r="BN645" s="215">
        <f ca="1">IF($D645&lt;&gt;"Serviço",0,IF(AND(AUTOEVENTO="Manual",$M645=1),0,IF(OFFSET(CRONOPLE!$F$14,$M645,BN$13)="",10^12,OFFSET(CRONOPLE!$F$14,$M645,BN$13))))</f>
        <v>1000000000000</v>
      </c>
      <c r="BO645" s="215">
        <f ca="1">IF($D645&lt;&gt;"Serviço",0,IF(AND(AUTOEVENTO="Manual",$M645=1),0,IF(OFFSET(CRONOPLE!$F$14,$M645,BO$13)="",10^12,OFFSET(CRONOPLE!$F$14,$M645,BO$13))))</f>
        <v>1000000000000</v>
      </c>
      <c r="BP645" s="215">
        <f ca="1">IF($D645&lt;&gt;"Serviço",0,IF(AND(AUTOEVENTO="Manual",$M645=1),0,IF(OFFSET(CRONOPLE!$F$14,$M645,BP$13)="",10^12,OFFSET(CRONOPLE!$F$14,$M645,BP$13))))</f>
        <v>1000000000000</v>
      </c>
      <c r="BQ645" s="215">
        <f ca="1">IF($D645&lt;&gt;"Serviço",0,IF(AND(AUTOEVENTO="Manual",$M645=1),0,IF(OFFSET(CRONOPLE!$F$14,$M645,BQ$13)="",10^12,OFFSET(CRONOPLE!$F$14,$M645,BQ$13))))</f>
        <v>1000000000000</v>
      </c>
      <c r="BR645" s="215">
        <f ca="1">IF($D645&lt;&gt;"Serviço",0,IF(AND(AUTOEVENTO="Manual",$M645=1),0,IF(OFFSET(CRONOPLE!$F$14,$M645,BR$13)="",10^12,OFFSET(CRONOPLE!$F$14,$M645,BR$13))))</f>
        <v>1000000000000</v>
      </c>
      <c r="BS645" s="215">
        <f ca="1">IF($D645&lt;&gt;"Serviço",0,IF(AND(AUTOEVENTO="Manual",$M645=1),0,IF(OFFSET(CRONOPLE!$F$14,$M645,BS$13)="",10^12,OFFSET(CRONOPLE!$F$14,$M645,BS$13))))</f>
        <v>1000000000000</v>
      </c>
      <c r="BT645" s="215">
        <f ca="1">IF($D645&lt;&gt;"Serviço",0,IF(AND(AUTOEVENTO="Manual",$M645=1),0,IF(OFFSET(CRONOPLE!$F$14,$M645,BT$13)="",10^12,OFFSET(CRONOPLE!$F$14,$M645,BT$13))))</f>
        <v>1000000000000</v>
      </c>
      <c r="BV645" s="216">
        <f ca="1">IF($D645&lt;&gt;"Serviço",0,IF(OR(AND(AUTOEVENTO="Manual",$M645=1),$M645&gt;(ROW(PLE.lastrow)-ROW(PLE.firstrow))),0,IF(OFFSET(PLE!$G$14,$M645,BV$13)="",10^12,OFFSET(PLE!$G$14,$M645,BV$13))))</f>
        <v>1000000000000</v>
      </c>
      <c r="BW645" s="216">
        <f ca="1">IF($D645&lt;&gt;"Serviço",0,IF(OR(AND(AUTOEVENTO="Manual",$M645=1),$M645&gt;(ROW(PLE.lastrow)-ROW(PLE.firstrow))),0,IF(OFFSET(PLE!$G$14,$M645,BW$13)="",10^12,OFFSET(PLE!$G$14,$M645,BW$13))))</f>
        <v>1000000000000</v>
      </c>
      <c r="BX645" s="216">
        <f ca="1">IF($D645&lt;&gt;"Serviço",0,IF(OR(AND(AUTOEVENTO="Manual",$M645=1),$M645&gt;(ROW(PLE.lastrow)-ROW(PLE.firstrow))),0,IF(OFFSET(PLE!$G$14,$M645,BX$13)="",10^12,OFFSET(PLE!$G$14,$M645,BX$13))))</f>
        <v>1000000000000</v>
      </c>
      <c r="BY645" s="216">
        <f ca="1">IF($D645&lt;&gt;"Serviço",0,IF(OR(AND(AUTOEVENTO="Manual",$M645=1),$M645&gt;(ROW(PLE.lastrow)-ROW(PLE.firstrow))),0,IF(OFFSET(PLE!$G$14,$M645,BY$13)="",10^12,OFFSET(PLE!$G$14,$M645,BY$13))))</f>
        <v>1000000000000</v>
      </c>
      <c r="BZ645" s="216">
        <f ca="1">IF($D645&lt;&gt;"Serviço",0,IF(OR(AND(AUTOEVENTO="Manual",$M645=1),$M645&gt;(ROW(PLE.lastrow)-ROW(PLE.firstrow))),0,IF(OFFSET(PLE!$G$14,$M645,BZ$13)="",10^12,OFFSET(PLE!$G$14,$M645,BZ$13))))</f>
        <v>1000000000000</v>
      </c>
      <c r="CA645" s="216">
        <f ca="1">IF($D645&lt;&gt;"Serviço",0,IF(OR(AND(AUTOEVENTO="Manual",$M645=1),$M645&gt;(ROW(PLE.lastrow)-ROW(PLE.firstrow))),0,IF(OFFSET(PLE!$G$14,$M645,CA$13)="",10^12,OFFSET(PLE!$G$14,$M645,CA$13))))</f>
        <v>1000000000000</v>
      </c>
      <c r="CB645" s="216">
        <f ca="1">IF($D645&lt;&gt;"Serviço",0,IF(OR(AND(AUTOEVENTO="Manual",$M645=1),$M645&gt;(ROW(PLE.lastrow)-ROW(PLE.firstrow))),0,IF(OFFSET(PLE!$G$14,$M645,CB$13)="",10^12,OFFSET(PLE!$G$14,$M645,CB$13))))</f>
        <v>1000000000000</v>
      </c>
      <c r="CC645" s="216">
        <f ca="1">IF($D645&lt;&gt;"Serviço",0,IF(OR(AND(AUTOEVENTO="Manual",$M645=1),$M645&gt;(ROW(PLE.lastrow)-ROW(PLE.firstrow))),0,IF(OFFSET(PLE!$G$14,$M645,CC$13)="",10^12,OFFSET(PLE!$G$14,$M645,CC$13))))</f>
        <v>1000000000000</v>
      </c>
      <c r="CD645" s="216">
        <f ca="1">IF($D645&lt;&gt;"Serviço",0,IF(OR(AND(AUTOEVENTO="Manual",$M645=1),$M645&gt;(ROW(PLE.lastrow)-ROW(PLE.firstrow))),0,IF(OFFSET(PLE!$G$14,$M645,CD$13)="",10^12,OFFSET(PLE!$G$14,$M645,CD$13))))</f>
        <v>1000000000000</v>
      </c>
      <c r="CE645" s="216">
        <f ca="1">IF($D645&lt;&gt;"Serviço",0,IF(OR(AND(AUTOEVENTO="Manual",$M645=1),$M645&gt;(ROW(PLE.lastrow)-ROW(PLE.firstrow))),0,IF(OFFSET(PLE!$G$14,$M645,CE$13)="",10^12,OFFSET(PLE!$G$14,$M645,CE$13))))</f>
        <v>1000000000000</v>
      </c>
      <c r="CF645" s="216">
        <f ca="1">IF($D645&lt;&gt;"Serviço",0,IF(OR(AND(AUTOEVENTO="Manual",$M645=1),$M645&gt;(ROW(PLE.lastrow)-ROW(PLE.firstrow))),0,IF(OFFSET(PLE!$G$14,$M645,CF$13)="",10^12,OFFSET(PLE!$G$14,$M645,CF$13))))</f>
        <v>1000000000000</v>
      </c>
      <c r="CG645" s="216">
        <f ca="1">IF($D645&lt;&gt;"Serviço",0,IF(OR(AND(AUTOEVENTO="Manual",$M645=1),$M645&gt;(ROW(PLE.lastrow)-ROW(PLE.firstrow))),0,IF(OFFSET(PLE!$G$14,$M645,CG$13)="",10^12,OFFSET(PLE!$G$14,$M645,CG$13))))</f>
        <v>1000000000000</v>
      </c>
      <c r="CH645" s="216">
        <f ca="1">IF($D645&lt;&gt;"Serviço",0,IF(OR(AND(AUTOEVENTO="Manual",$M645=1),$M645&gt;(ROW(PLE.lastrow)-ROW(PLE.firstrow))),0,IF(OFFSET(PLE!$G$14,$M645,CH$13)="",10^12,OFFSET(PLE!$G$14,$M645,CH$13))))</f>
        <v>1000000000000</v>
      </c>
      <c r="CI645" s="216">
        <f ca="1">IF($D645&lt;&gt;"Serviço",0,IF(OR(AND(AUTOEVENTO="Manual",$M645=1),$M645&gt;(ROW(PLE.lastrow)-ROW(PLE.firstrow))),0,IF(OFFSET(PLE!$G$14,$M645,CI$13)="",10^12,OFFSET(PLE!$G$14,$M645,CI$13))))</f>
        <v>1000000000000</v>
      </c>
      <c r="CJ645" s="216">
        <f ca="1">IF($D645&lt;&gt;"Serviço",0,IF(OR(AND(AUTOEVENTO="Manual",$M645=1),$M645&gt;(ROW(PLE.lastrow)-ROW(PLE.firstrow))),0,IF(OFFSET(PLE!$G$14,$M645,CJ$13)="",10^12,OFFSET(PLE!$G$14,$M645,CJ$13))))</f>
        <v>1000000000000</v>
      </c>
      <c r="CK645" s="216">
        <f ca="1">IF($D645&lt;&gt;"Serviço",0,IF(OR(AND(AUTOEVENTO="Manual",$M645=1),$M645&gt;(ROW(PLE.lastrow)-ROW(PLE.firstrow))),0,IF(OFFSET(PLE!$G$14,$M645,CK$13)="",10^12,OFFSET(PLE!$G$14,$M645,CK$13))))</f>
        <v>1000000000000</v>
      </c>
      <c r="CL645" s="216">
        <f ca="1">IF($D645&lt;&gt;"Serviço",0,IF(OR(AND(AUTOEVENTO="Manual",$M645=1),$M645&gt;(ROW(PLE.lastrow)-ROW(PLE.firstrow))),0,IF(OFFSET(PLE!$G$14,$M645,CL$13)="",10^12,OFFSET(PLE!$G$14,$M645,CL$13))))</f>
        <v>1000000000000</v>
      </c>
      <c r="CM645" s="216">
        <f ca="1">IF($D645&lt;&gt;"Serviço",0,IF(OR(AND(AUTOEVENTO="Manual",$M645=1),$M645&gt;(ROW(PLE.lastrow)-ROW(PLE.firstrow))),0,IF(OFFSET(PLE!$G$14,$M645,CM$13)="",10^12,OFFSET(PLE!$G$14,$M645,CM$13))))</f>
        <v>1000000000000</v>
      </c>
    </row>
    <row r="646" spans="1:91" ht="13.2" x14ac:dyDescent="0.25">
      <c r="A646" s="9">
        <f t="shared" ca="1" si="19"/>
        <v>0</v>
      </c>
      <c r="B646" s="9" t="str">
        <f ca="1">OFFSET(ORÇAMENTO!C$15,ROW(B646)-ROW(B$15),0)</f>
        <v>S</v>
      </c>
      <c r="C646" s="9" t="str">
        <f ca="1">OFFSET(ORÇAMENTO!L$15,ROW(C646)-ROW(C$15),0)</f>
        <v/>
      </c>
      <c r="D646" s="145" t="str">
        <f ca="1">OFFSET(ORÇAMENTO!N$15,ROW(D646)-ROW(D$15),0)</f>
        <v>Serviço</v>
      </c>
      <c r="E646" s="205" t="str">
        <f ca="1">OFFSET(ORÇAMENTO!O$15,ROW(E646)-ROW(E$15),0)</f>
        <v>-</v>
      </c>
      <c r="F646" s="206" t="str">
        <f ca="1">OFFSET(ORÇAMENTO!R$15,ROW(F646)-ROW(F$15),0)</f>
        <v>(abra o arquivo 'Referência 05-2024.xls)</v>
      </c>
      <c r="G646" s="207" t="str">
        <f ca="1">IF($D646&lt;&gt;"Serviço","",OFFSET(ORÇAMENTO!S$15,ROW(G646)-ROW(G$15),0))</f>
        <v>-</v>
      </c>
      <c r="H646" s="151">
        <f ca="1">IF($D646&lt;&gt;"Serviço",0,IF(ACOMPANHAMENTO="BM",ROUND(OFFSET(ORÇAMENTO!AJ$15,ROW(H646)-ROW(H$15),0),15-13*ORÇAMENTO!$AF$7),SUMPRODUCT(($Q$12:$AI$12&lt;&gt;"")*ROUND($Q646:$AI646,15-13*ORÇAMENTO!$AF$7))))</f>
        <v>1</v>
      </c>
      <c r="I646" s="650"/>
      <c r="K646" s="208"/>
      <c r="L646" s="209" t="s">
        <v>257</v>
      </c>
      <c r="M646" s="210">
        <f ca="1">IF($D646&lt;&gt;"Serviço","",IF(AUTOEVENTO="manual",$A646,IF(ISERROR(MATCH($A646,$A$15:OFFSET($A646,-1,0),0)),MAX($M$15:OFFSET(M646,-1,0))+1,INDEX($M$15:OFFSET(M646,-1,0),MATCH($A646,$A$15:OFFSET($A646,-1,0),0)))))</f>
        <v>0</v>
      </c>
      <c r="N646" s="211" t="str">
        <f ca="1">IF($D646&lt;&gt;"Serviço","",IF(AUTOEVENTO="Manual",IF($A646=0,"&lt;-- defina o número do agrupador",OFFSET(EVENTOS!$D$14,$A646,0)),OFFSET($F$15,$A646,0)))</f>
        <v>&lt;-- defina o número do agrupador</v>
      </c>
      <c r="O646" s="212"/>
      <c r="Q646" s="212"/>
      <c r="R646" s="213"/>
      <c r="S646" s="213"/>
      <c r="T646" s="213"/>
      <c r="U646" s="213"/>
      <c r="V646" s="213"/>
      <c r="W646" s="213"/>
      <c r="X646" s="213"/>
      <c r="Y646" s="213"/>
      <c r="Z646" s="214"/>
      <c r="AA646" s="213"/>
      <c r="AB646" s="213"/>
      <c r="AC646" s="213"/>
      <c r="AD646" s="213"/>
      <c r="AE646" s="213"/>
      <c r="AF646" s="213"/>
      <c r="AG646" s="213"/>
      <c r="AH646" s="214"/>
      <c r="AJ646" s="631">
        <f ca="1">IF(AND($D646="Serviço",AJ$12&lt;&gt;0,$H646&gt;0,OR(AUTOEVENTO&lt;&gt;"manual",$M646&lt;&gt;1)),ROUND(OFFSET($P646,0,AJ$13),15-13*ORÇAMENTO!$AF$7)/$H646*OFFSET(ORÇAMENTO!$X$15,ROW(AJ646)-ROW(AJ$15),0),0)</f>
        <v>0</v>
      </c>
      <c r="AK646" s="632">
        <f ca="1">IF(AND($D646="Serviço",AK$12&lt;&gt;0,$H646&gt;0,OR(AUTOEVENTO&lt;&gt;"manual",$M646&lt;&gt;1)),ROUND(OFFSET($P646,0,AK$13),15-13*ORÇAMENTO!$AF$7)/$H646*OFFSET(ORÇAMENTO!$X$15,ROW(AK646)-ROW(AK$15),0),0)</f>
        <v>0</v>
      </c>
      <c r="AL646" s="632">
        <f ca="1">IF(AND($D646="Serviço",AL$12&lt;&gt;0,$H646&gt;0,OR(AUTOEVENTO&lt;&gt;"manual",$M646&lt;&gt;1)),ROUND(OFFSET($P646,0,AL$13),15-13*ORÇAMENTO!$AF$7)/$H646*OFFSET(ORÇAMENTO!$X$15,ROW(AL646)-ROW(AL$15),0),0)</f>
        <v>0</v>
      </c>
      <c r="AM646" s="632">
        <f ca="1">IF(AND($D646="Serviço",AM$12&lt;&gt;0,$H646&gt;0,OR(AUTOEVENTO&lt;&gt;"manual",$M646&lt;&gt;1)),ROUND(OFFSET($P646,0,AM$13),15-13*ORÇAMENTO!$AF$7)/$H646*OFFSET(ORÇAMENTO!$X$15,ROW(AM646)-ROW(AM$15),0),0)</f>
        <v>0</v>
      </c>
      <c r="AN646" s="632">
        <f ca="1">IF(AND($D646="Serviço",AN$12&lt;&gt;0,$H646&gt;0,OR(AUTOEVENTO&lt;&gt;"manual",$M646&lt;&gt;1)),ROUND(OFFSET($P646,0,AN$13),15-13*ORÇAMENTO!$AF$7)/$H646*OFFSET(ORÇAMENTO!$X$15,ROW(AN646)-ROW(AN$15),0),0)</f>
        <v>0</v>
      </c>
      <c r="AO646" s="632">
        <f ca="1">IF(AND($D646="Serviço",AO$12&lt;&gt;0,$H646&gt;0,OR(AUTOEVENTO&lt;&gt;"manual",$M646&lt;&gt;1)),ROUND(OFFSET($P646,0,AO$13),15-13*ORÇAMENTO!$AF$7)/$H646*OFFSET(ORÇAMENTO!$X$15,ROW(AO646)-ROW(AO$15),0),0)</f>
        <v>0</v>
      </c>
      <c r="AP646" s="632">
        <f ca="1">IF(AND($D646="Serviço",AP$12&lt;&gt;0,$H646&gt;0,OR(AUTOEVENTO&lt;&gt;"manual",$M646&lt;&gt;1)),ROUND(OFFSET($P646,0,AP$13),15-13*ORÇAMENTO!$AF$7)/$H646*OFFSET(ORÇAMENTO!$X$15,ROW(AP646)-ROW(AP$15),0),0)</f>
        <v>0</v>
      </c>
      <c r="AQ646" s="632">
        <f ca="1">IF(AND($D646="Serviço",AQ$12&lt;&gt;0,$H646&gt;0,OR(AUTOEVENTO&lt;&gt;"manual",$M646&lt;&gt;1)),ROUND(OFFSET($P646,0,AQ$13),15-13*ORÇAMENTO!$AF$7)/$H646*OFFSET(ORÇAMENTO!$X$15,ROW(AQ646)-ROW(AQ$15),0),0)</f>
        <v>0</v>
      </c>
      <c r="AR646" s="632">
        <f ca="1">IF(AND($D646="Serviço",AR$12&lt;&gt;0,$H646&gt;0,OR(AUTOEVENTO&lt;&gt;"manual",$M646&lt;&gt;1)),ROUND(OFFSET($P646,0,AR$13),15-13*ORÇAMENTO!$AF$7)/$H646*OFFSET(ORÇAMENTO!$X$15,ROW(AR646)-ROW(AR$15),0),0)</f>
        <v>0</v>
      </c>
      <c r="AS646" s="633">
        <f ca="1">IF(AND($D646="Serviço",AS$12&lt;&gt;0,$H646&gt;0,OR(AUTOEVENTO&lt;&gt;"manual",$M646&lt;&gt;1)),ROUND(OFFSET($P646,0,AS$13),15-13*ORÇAMENTO!$AF$7)/$H646*OFFSET(ORÇAMENTO!$X$15,ROW(AS646)-ROW(AS$15),0),0)</f>
        <v>0</v>
      </c>
      <c r="AT646" s="632">
        <f ca="1">IF(AND($D646="Serviço",AT$12&lt;&gt;0,$H646&gt;0,OR(AUTOEVENTO&lt;&gt;"manual",$M646&lt;&gt;1)),ROUND(OFFSET($P646,0,AT$13),15-13*ORÇAMENTO!$AF$7)/$H646*OFFSET(ORÇAMENTO!$X$15,ROW(AT646)-ROW(AT$15),0),0)</f>
        <v>0</v>
      </c>
      <c r="AU646" s="632">
        <f ca="1">IF(AND($D646="Serviço",AU$12&lt;&gt;0,$H646&gt;0,OR(AUTOEVENTO&lt;&gt;"manual",$M646&lt;&gt;1)),ROUND(OFFSET($P646,0,AU$13),15-13*ORÇAMENTO!$AF$7)/$H646*OFFSET(ORÇAMENTO!$X$15,ROW(AU646)-ROW(AU$15),0),0)</f>
        <v>0</v>
      </c>
      <c r="AV646" s="632">
        <f ca="1">IF(AND($D646="Serviço",AV$12&lt;&gt;0,$H646&gt;0,OR(AUTOEVENTO&lt;&gt;"manual",$M646&lt;&gt;1)),ROUND(OFFSET($P646,0,AV$13),15-13*ORÇAMENTO!$AF$7)/$H646*OFFSET(ORÇAMENTO!$X$15,ROW(AV646)-ROW(AV$15),0),0)</f>
        <v>0</v>
      </c>
      <c r="AW646" s="632">
        <f ca="1">IF(AND($D646="Serviço",AW$12&lt;&gt;0,$H646&gt;0,OR(AUTOEVENTO&lt;&gt;"manual",$M646&lt;&gt;1)),ROUND(OFFSET($P646,0,AW$13),15-13*ORÇAMENTO!$AF$7)/$H646*OFFSET(ORÇAMENTO!$X$15,ROW(AW646)-ROW(AW$15),0),0)</f>
        <v>0</v>
      </c>
      <c r="AX646" s="632">
        <f ca="1">IF(AND($D646="Serviço",AX$12&lt;&gt;0,$H646&gt;0,OR(AUTOEVENTO&lt;&gt;"manual",$M646&lt;&gt;1)),ROUND(OFFSET($P646,0,AX$13),15-13*ORÇAMENTO!$AF$7)/$H646*OFFSET(ORÇAMENTO!$X$15,ROW(AX646)-ROW(AX$15),0),0)</f>
        <v>0</v>
      </c>
      <c r="AY646" s="632">
        <f ca="1">IF(AND($D646="Serviço",AY$12&lt;&gt;0,$H646&gt;0,OR(AUTOEVENTO&lt;&gt;"manual",$M646&lt;&gt;1)),ROUND(OFFSET($P646,0,AY$13),15-13*ORÇAMENTO!$AF$7)/$H646*OFFSET(ORÇAMENTO!$X$15,ROW(AY646)-ROW(AY$15),0),0)</f>
        <v>0</v>
      </c>
      <c r="AZ646" s="632">
        <f ca="1">IF(AND($D646="Serviço",AZ$12&lt;&gt;0,$H646&gt;0,OR(AUTOEVENTO&lt;&gt;"manual",$M646&lt;&gt;1)),ROUND(OFFSET($P646,0,AZ$13),15-13*ORÇAMENTO!$AF$7)/$H646*OFFSET(ORÇAMENTO!$X$15,ROW(AZ646)-ROW(AZ$15),0),0)</f>
        <v>0</v>
      </c>
      <c r="BA646" s="633">
        <f ca="1">IF(AND($D646="Serviço",BA$12&lt;&gt;0,$H646&gt;0,OR(AUTOEVENTO&lt;&gt;"manual",$M646&lt;&gt;1)),ROUND(OFFSET($P646,0,BA$13),15-13*ORÇAMENTO!$AF$7)/$H646*OFFSET(ORÇAMENTO!$X$15,ROW(BA646)-ROW(BA$15),0),0)</f>
        <v>0</v>
      </c>
      <c r="BC646" s="215">
        <f ca="1">IF($D646&lt;&gt;"Serviço",0,IF(AND(AUTOEVENTO="Manual",$M646=1),0,IF(OFFSET(CRONOPLE!$F$14,$M646,BC$13)="",10^12,OFFSET(CRONOPLE!$F$14,$M646,BC$13))))</f>
        <v>1000000000000</v>
      </c>
      <c r="BD646" s="215">
        <f ca="1">IF($D646&lt;&gt;"Serviço",0,IF(AND(AUTOEVENTO="Manual",$M646=1),0,IF(OFFSET(CRONOPLE!$F$14,$M646,BD$13)="",10^12,OFFSET(CRONOPLE!$F$14,$M646,BD$13))))</f>
        <v>1000000000000</v>
      </c>
      <c r="BE646" s="215">
        <f ca="1">IF($D646&lt;&gt;"Serviço",0,IF(AND(AUTOEVENTO="Manual",$M646=1),0,IF(OFFSET(CRONOPLE!$F$14,$M646,BE$13)="",10^12,OFFSET(CRONOPLE!$F$14,$M646,BE$13))))</f>
        <v>1000000000000</v>
      </c>
      <c r="BF646" s="215">
        <f ca="1">IF($D646&lt;&gt;"Serviço",0,IF(AND(AUTOEVENTO="Manual",$M646=1),0,IF(OFFSET(CRONOPLE!$F$14,$M646,BF$13)="",10^12,OFFSET(CRONOPLE!$F$14,$M646,BF$13))))</f>
        <v>1000000000000</v>
      </c>
      <c r="BG646" s="215">
        <f ca="1">IF($D646&lt;&gt;"Serviço",0,IF(AND(AUTOEVENTO="Manual",$M646=1),0,IF(OFFSET(CRONOPLE!$F$14,$M646,BG$13)="",10^12,OFFSET(CRONOPLE!$F$14,$M646,BG$13))))</f>
        <v>1000000000000</v>
      </c>
      <c r="BH646" s="215">
        <f ca="1">IF($D646&lt;&gt;"Serviço",0,IF(AND(AUTOEVENTO="Manual",$M646=1),0,IF(OFFSET(CRONOPLE!$F$14,$M646,BH$13)="",10^12,OFFSET(CRONOPLE!$F$14,$M646,BH$13))))</f>
        <v>1000000000000</v>
      </c>
      <c r="BI646" s="215">
        <f ca="1">IF($D646&lt;&gt;"Serviço",0,IF(AND(AUTOEVENTO="Manual",$M646=1),0,IF(OFFSET(CRONOPLE!$F$14,$M646,BI$13)="",10^12,OFFSET(CRONOPLE!$F$14,$M646,BI$13))))</f>
        <v>1000000000000</v>
      </c>
      <c r="BJ646" s="215">
        <f ca="1">IF($D646&lt;&gt;"Serviço",0,IF(AND(AUTOEVENTO="Manual",$M646=1),0,IF(OFFSET(CRONOPLE!$F$14,$M646,BJ$13)="",10^12,OFFSET(CRONOPLE!$F$14,$M646,BJ$13))))</f>
        <v>1000000000000</v>
      </c>
      <c r="BK646" s="215">
        <f ca="1">IF($D646&lt;&gt;"Serviço",0,IF(AND(AUTOEVENTO="Manual",$M646=1),0,IF(OFFSET(CRONOPLE!$F$14,$M646,BK$13)="",10^12,OFFSET(CRONOPLE!$F$14,$M646,BK$13))))</f>
        <v>1000000000000</v>
      </c>
      <c r="BL646" s="215">
        <f ca="1">IF($D646&lt;&gt;"Serviço",0,IF(AND(AUTOEVENTO="Manual",$M646=1),0,IF(OFFSET(CRONOPLE!$F$14,$M646,BL$13)="",10^12,OFFSET(CRONOPLE!$F$14,$M646,BL$13))))</f>
        <v>1000000000000</v>
      </c>
      <c r="BM646" s="215">
        <f ca="1">IF($D646&lt;&gt;"Serviço",0,IF(AND(AUTOEVENTO="Manual",$M646=1),0,IF(OFFSET(CRONOPLE!$F$14,$M646,BM$13)="",10^12,OFFSET(CRONOPLE!$F$14,$M646,BM$13))))</f>
        <v>1000000000000</v>
      </c>
      <c r="BN646" s="215">
        <f ca="1">IF($D646&lt;&gt;"Serviço",0,IF(AND(AUTOEVENTO="Manual",$M646=1),0,IF(OFFSET(CRONOPLE!$F$14,$M646,BN$13)="",10^12,OFFSET(CRONOPLE!$F$14,$M646,BN$13))))</f>
        <v>1000000000000</v>
      </c>
      <c r="BO646" s="215">
        <f ca="1">IF($D646&lt;&gt;"Serviço",0,IF(AND(AUTOEVENTO="Manual",$M646=1),0,IF(OFFSET(CRONOPLE!$F$14,$M646,BO$13)="",10^12,OFFSET(CRONOPLE!$F$14,$M646,BO$13))))</f>
        <v>1000000000000</v>
      </c>
      <c r="BP646" s="215">
        <f ca="1">IF($D646&lt;&gt;"Serviço",0,IF(AND(AUTOEVENTO="Manual",$M646=1),0,IF(OFFSET(CRONOPLE!$F$14,$M646,BP$13)="",10^12,OFFSET(CRONOPLE!$F$14,$M646,BP$13))))</f>
        <v>1000000000000</v>
      </c>
      <c r="BQ646" s="215">
        <f ca="1">IF($D646&lt;&gt;"Serviço",0,IF(AND(AUTOEVENTO="Manual",$M646=1),0,IF(OFFSET(CRONOPLE!$F$14,$M646,BQ$13)="",10^12,OFFSET(CRONOPLE!$F$14,$M646,BQ$13))))</f>
        <v>1000000000000</v>
      </c>
      <c r="BR646" s="215">
        <f ca="1">IF($D646&lt;&gt;"Serviço",0,IF(AND(AUTOEVENTO="Manual",$M646=1),0,IF(OFFSET(CRONOPLE!$F$14,$M646,BR$13)="",10^12,OFFSET(CRONOPLE!$F$14,$M646,BR$13))))</f>
        <v>1000000000000</v>
      </c>
      <c r="BS646" s="215">
        <f ca="1">IF($D646&lt;&gt;"Serviço",0,IF(AND(AUTOEVENTO="Manual",$M646=1),0,IF(OFFSET(CRONOPLE!$F$14,$M646,BS$13)="",10^12,OFFSET(CRONOPLE!$F$14,$M646,BS$13))))</f>
        <v>1000000000000</v>
      </c>
      <c r="BT646" s="215">
        <f ca="1">IF($D646&lt;&gt;"Serviço",0,IF(AND(AUTOEVENTO="Manual",$M646=1),0,IF(OFFSET(CRONOPLE!$F$14,$M646,BT$13)="",10^12,OFFSET(CRONOPLE!$F$14,$M646,BT$13))))</f>
        <v>1000000000000</v>
      </c>
      <c r="BV646" s="216">
        <f ca="1">IF($D646&lt;&gt;"Serviço",0,IF(OR(AND(AUTOEVENTO="Manual",$M646=1),$M646&gt;(ROW(PLE.lastrow)-ROW(PLE.firstrow))),0,IF(OFFSET(PLE!$G$14,$M646,BV$13)="",10^12,OFFSET(PLE!$G$14,$M646,BV$13))))</f>
        <v>1000000000000</v>
      </c>
      <c r="BW646" s="216">
        <f ca="1">IF($D646&lt;&gt;"Serviço",0,IF(OR(AND(AUTOEVENTO="Manual",$M646=1),$M646&gt;(ROW(PLE.lastrow)-ROW(PLE.firstrow))),0,IF(OFFSET(PLE!$G$14,$M646,BW$13)="",10^12,OFFSET(PLE!$G$14,$M646,BW$13))))</f>
        <v>1000000000000</v>
      </c>
      <c r="BX646" s="216">
        <f ca="1">IF($D646&lt;&gt;"Serviço",0,IF(OR(AND(AUTOEVENTO="Manual",$M646=1),$M646&gt;(ROW(PLE.lastrow)-ROW(PLE.firstrow))),0,IF(OFFSET(PLE!$G$14,$M646,BX$13)="",10^12,OFFSET(PLE!$G$14,$M646,BX$13))))</f>
        <v>1000000000000</v>
      </c>
      <c r="BY646" s="216">
        <f ca="1">IF($D646&lt;&gt;"Serviço",0,IF(OR(AND(AUTOEVENTO="Manual",$M646=1),$M646&gt;(ROW(PLE.lastrow)-ROW(PLE.firstrow))),0,IF(OFFSET(PLE!$G$14,$M646,BY$13)="",10^12,OFFSET(PLE!$G$14,$M646,BY$13))))</f>
        <v>1000000000000</v>
      </c>
      <c r="BZ646" s="216">
        <f ca="1">IF($D646&lt;&gt;"Serviço",0,IF(OR(AND(AUTOEVENTO="Manual",$M646=1),$M646&gt;(ROW(PLE.lastrow)-ROW(PLE.firstrow))),0,IF(OFFSET(PLE!$G$14,$M646,BZ$13)="",10^12,OFFSET(PLE!$G$14,$M646,BZ$13))))</f>
        <v>1000000000000</v>
      </c>
      <c r="CA646" s="216">
        <f ca="1">IF($D646&lt;&gt;"Serviço",0,IF(OR(AND(AUTOEVENTO="Manual",$M646=1),$M646&gt;(ROW(PLE.lastrow)-ROW(PLE.firstrow))),0,IF(OFFSET(PLE!$G$14,$M646,CA$13)="",10^12,OFFSET(PLE!$G$14,$M646,CA$13))))</f>
        <v>1000000000000</v>
      </c>
      <c r="CB646" s="216">
        <f ca="1">IF($D646&lt;&gt;"Serviço",0,IF(OR(AND(AUTOEVENTO="Manual",$M646=1),$M646&gt;(ROW(PLE.lastrow)-ROW(PLE.firstrow))),0,IF(OFFSET(PLE!$G$14,$M646,CB$13)="",10^12,OFFSET(PLE!$G$14,$M646,CB$13))))</f>
        <v>1000000000000</v>
      </c>
      <c r="CC646" s="216">
        <f ca="1">IF($D646&lt;&gt;"Serviço",0,IF(OR(AND(AUTOEVENTO="Manual",$M646=1),$M646&gt;(ROW(PLE.lastrow)-ROW(PLE.firstrow))),0,IF(OFFSET(PLE!$G$14,$M646,CC$13)="",10^12,OFFSET(PLE!$G$14,$M646,CC$13))))</f>
        <v>1000000000000</v>
      </c>
      <c r="CD646" s="216">
        <f ca="1">IF($D646&lt;&gt;"Serviço",0,IF(OR(AND(AUTOEVENTO="Manual",$M646=1),$M646&gt;(ROW(PLE.lastrow)-ROW(PLE.firstrow))),0,IF(OFFSET(PLE!$G$14,$M646,CD$13)="",10^12,OFFSET(PLE!$G$14,$M646,CD$13))))</f>
        <v>1000000000000</v>
      </c>
      <c r="CE646" s="216">
        <f ca="1">IF($D646&lt;&gt;"Serviço",0,IF(OR(AND(AUTOEVENTO="Manual",$M646=1),$M646&gt;(ROW(PLE.lastrow)-ROW(PLE.firstrow))),0,IF(OFFSET(PLE!$G$14,$M646,CE$13)="",10^12,OFFSET(PLE!$G$14,$M646,CE$13))))</f>
        <v>1000000000000</v>
      </c>
      <c r="CF646" s="216">
        <f ca="1">IF($D646&lt;&gt;"Serviço",0,IF(OR(AND(AUTOEVENTO="Manual",$M646=1),$M646&gt;(ROW(PLE.lastrow)-ROW(PLE.firstrow))),0,IF(OFFSET(PLE!$G$14,$M646,CF$13)="",10^12,OFFSET(PLE!$G$14,$M646,CF$13))))</f>
        <v>1000000000000</v>
      </c>
      <c r="CG646" s="216">
        <f ca="1">IF($D646&lt;&gt;"Serviço",0,IF(OR(AND(AUTOEVENTO="Manual",$M646=1),$M646&gt;(ROW(PLE.lastrow)-ROW(PLE.firstrow))),0,IF(OFFSET(PLE!$G$14,$M646,CG$13)="",10^12,OFFSET(PLE!$G$14,$M646,CG$13))))</f>
        <v>1000000000000</v>
      </c>
      <c r="CH646" s="216">
        <f ca="1">IF($D646&lt;&gt;"Serviço",0,IF(OR(AND(AUTOEVENTO="Manual",$M646=1),$M646&gt;(ROW(PLE.lastrow)-ROW(PLE.firstrow))),0,IF(OFFSET(PLE!$G$14,$M646,CH$13)="",10^12,OFFSET(PLE!$G$14,$M646,CH$13))))</f>
        <v>1000000000000</v>
      </c>
      <c r="CI646" s="216">
        <f ca="1">IF($D646&lt;&gt;"Serviço",0,IF(OR(AND(AUTOEVENTO="Manual",$M646=1),$M646&gt;(ROW(PLE.lastrow)-ROW(PLE.firstrow))),0,IF(OFFSET(PLE!$G$14,$M646,CI$13)="",10^12,OFFSET(PLE!$G$14,$M646,CI$13))))</f>
        <v>1000000000000</v>
      </c>
      <c r="CJ646" s="216">
        <f ca="1">IF($D646&lt;&gt;"Serviço",0,IF(OR(AND(AUTOEVENTO="Manual",$M646=1),$M646&gt;(ROW(PLE.lastrow)-ROW(PLE.firstrow))),0,IF(OFFSET(PLE!$G$14,$M646,CJ$13)="",10^12,OFFSET(PLE!$G$14,$M646,CJ$13))))</f>
        <v>1000000000000</v>
      </c>
      <c r="CK646" s="216">
        <f ca="1">IF($D646&lt;&gt;"Serviço",0,IF(OR(AND(AUTOEVENTO="Manual",$M646=1),$M646&gt;(ROW(PLE.lastrow)-ROW(PLE.firstrow))),0,IF(OFFSET(PLE!$G$14,$M646,CK$13)="",10^12,OFFSET(PLE!$G$14,$M646,CK$13))))</f>
        <v>1000000000000</v>
      </c>
      <c r="CL646" s="216">
        <f ca="1">IF($D646&lt;&gt;"Serviço",0,IF(OR(AND(AUTOEVENTO="Manual",$M646=1),$M646&gt;(ROW(PLE.lastrow)-ROW(PLE.firstrow))),0,IF(OFFSET(PLE!$G$14,$M646,CL$13)="",10^12,OFFSET(PLE!$G$14,$M646,CL$13))))</f>
        <v>1000000000000</v>
      </c>
      <c r="CM646" s="216">
        <f ca="1">IF($D646&lt;&gt;"Serviço",0,IF(OR(AND(AUTOEVENTO="Manual",$M646=1),$M646&gt;(ROW(PLE.lastrow)-ROW(PLE.firstrow))),0,IF(OFFSET(PLE!$G$14,$M646,CM$13)="",10^12,OFFSET(PLE!$G$14,$M646,CM$13))))</f>
        <v>1000000000000</v>
      </c>
    </row>
    <row r="647" spans="1:91" ht="13.2" x14ac:dyDescent="0.25">
      <c r="A647" s="9">
        <f t="shared" ca="1" si="19"/>
        <v>0</v>
      </c>
      <c r="B647" s="9">
        <f ca="1">OFFSET(ORÇAMENTO!C$15,ROW(B647)-ROW(B$15),0)</f>
        <v>3</v>
      </c>
      <c r="C647" s="9" t="str">
        <f ca="1">OFFSET(ORÇAMENTO!L$15,ROW(C647)-ROW(C$15),0)</f>
        <v>F</v>
      </c>
      <c r="D647" s="145" t="str">
        <f ca="1">OFFSET(ORÇAMENTO!N$15,ROW(D647)-ROW(D$15),0)</f>
        <v>Nível 3</v>
      </c>
      <c r="E647" s="205" t="str">
        <f ca="1">OFFSET(ORÇAMENTO!O$15,ROW(E647)-ROW(E$15),0)</f>
        <v>1.20.4.</v>
      </c>
      <c r="F647" s="206" t="str">
        <f ca="1">OFFSET(ORÇAMENTO!R$15,ROW(F647)-ROW(F$15),0)</f>
        <v>ACESSÓRIOS PARA TELEFONIA</v>
      </c>
      <c r="G647" s="207" t="str">
        <f ca="1">IF($D647&lt;&gt;"Serviço","",OFFSET(ORÇAMENTO!S$15,ROW(G647)-ROW(G$15),0))</f>
        <v/>
      </c>
      <c r="H647" s="151">
        <f ca="1">IF($D647&lt;&gt;"Serviço",0,IF(ACOMPANHAMENTO="BM",ROUND(OFFSET(ORÇAMENTO!AJ$15,ROW(H647)-ROW(H$15),0),15-13*ORÇAMENTO!$AF$7),SUMPRODUCT(($Q$12:$AI$12&lt;&gt;"")*ROUND($Q647:$AI647,15-13*ORÇAMENTO!$AF$7))))</f>
        <v>0</v>
      </c>
      <c r="I647" s="650"/>
      <c r="K647" s="208"/>
      <c r="L647" s="209" t="s">
        <v>257</v>
      </c>
      <c r="M647" s="210" t="str">
        <f ca="1">IF($D647&lt;&gt;"Serviço","",IF(AUTOEVENTO="manual",$A647,IF(ISERROR(MATCH($A647,$A$15:OFFSET($A647,-1,0),0)),MAX($M$15:OFFSET(M647,-1,0))+1,INDEX($M$15:OFFSET(M647,-1,0),MATCH($A647,$A$15:OFFSET($A647,-1,0),0)))))</f>
        <v/>
      </c>
      <c r="N647" s="211" t="str">
        <f ca="1">IF($D647&lt;&gt;"Serviço","",IF(AUTOEVENTO="Manual",IF($A647=0,"&lt;-- defina o número do agrupador",OFFSET(EVENTOS!$D$14,$A647,0)),OFFSET($F$15,$A647,0)))</f>
        <v/>
      </c>
      <c r="O647" s="212"/>
      <c r="Q647" s="212"/>
      <c r="R647" s="213"/>
      <c r="S647" s="213"/>
      <c r="T647" s="213"/>
      <c r="U647" s="213"/>
      <c r="V647" s="213"/>
      <c r="W647" s="213"/>
      <c r="X647" s="213"/>
      <c r="Y647" s="213"/>
      <c r="Z647" s="214"/>
      <c r="AA647" s="213"/>
      <c r="AB647" s="213"/>
      <c r="AC647" s="213"/>
      <c r="AD647" s="213"/>
      <c r="AE647" s="213"/>
      <c r="AF647" s="213"/>
      <c r="AG647" s="213"/>
      <c r="AH647" s="214"/>
      <c r="AJ647" s="631">
        <f ca="1">IF(AND($D647="Serviço",AJ$12&lt;&gt;0,$H647&gt;0,OR(AUTOEVENTO&lt;&gt;"manual",$M647&lt;&gt;1)),ROUND(OFFSET($P647,0,AJ$13),15-13*ORÇAMENTO!$AF$7)/$H647*OFFSET(ORÇAMENTO!$X$15,ROW(AJ647)-ROW(AJ$15),0),0)</f>
        <v>0</v>
      </c>
      <c r="AK647" s="632">
        <f ca="1">IF(AND($D647="Serviço",AK$12&lt;&gt;0,$H647&gt;0,OR(AUTOEVENTO&lt;&gt;"manual",$M647&lt;&gt;1)),ROUND(OFFSET($P647,0,AK$13),15-13*ORÇAMENTO!$AF$7)/$H647*OFFSET(ORÇAMENTO!$X$15,ROW(AK647)-ROW(AK$15),0),0)</f>
        <v>0</v>
      </c>
      <c r="AL647" s="632">
        <f ca="1">IF(AND($D647="Serviço",AL$12&lt;&gt;0,$H647&gt;0,OR(AUTOEVENTO&lt;&gt;"manual",$M647&lt;&gt;1)),ROUND(OFFSET($P647,0,AL$13),15-13*ORÇAMENTO!$AF$7)/$H647*OFFSET(ORÇAMENTO!$X$15,ROW(AL647)-ROW(AL$15),0),0)</f>
        <v>0</v>
      </c>
      <c r="AM647" s="632">
        <f ca="1">IF(AND($D647="Serviço",AM$12&lt;&gt;0,$H647&gt;0,OR(AUTOEVENTO&lt;&gt;"manual",$M647&lt;&gt;1)),ROUND(OFFSET($P647,0,AM$13),15-13*ORÇAMENTO!$AF$7)/$H647*OFFSET(ORÇAMENTO!$X$15,ROW(AM647)-ROW(AM$15),0),0)</f>
        <v>0</v>
      </c>
      <c r="AN647" s="632">
        <f ca="1">IF(AND($D647="Serviço",AN$12&lt;&gt;0,$H647&gt;0,OR(AUTOEVENTO&lt;&gt;"manual",$M647&lt;&gt;1)),ROUND(OFFSET($P647,0,AN$13),15-13*ORÇAMENTO!$AF$7)/$H647*OFFSET(ORÇAMENTO!$X$15,ROW(AN647)-ROW(AN$15),0),0)</f>
        <v>0</v>
      </c>
      <c r="AO647" s="632">
        <f ca="1">IF(AND($D647="Serviço",AO$12&lt;&gt;0,$H647&gt;0,OR(AUTOEVENTO&lt;&gt;"manual",$M647&lt;&gt;1)),ROUND(OFFSET($P647,0,AO$13),15-13*ORÇAMENTO!$AF$7)/$H647*OFFSET(ORÇAMENTO!$X$15,ROW(AO647)-ROW(AO$15),0),0)</f>
        <v>0</v>
      </c>
      <c r="AP647" s="632">
        <f ca="1">IF(AND($D647="Serviço",AP$12&lt;&gt;0,$H647&gt;0,OR(AUTOEVENTO&lt;&gt;"manual",$M647&lt;&gt;1)),ROUND(OFFSET($P647,0,AP$13),15-13*ORÇAMENTO!$AF$7)/$H647*OFFSET(ORÇAMENTO!$X$15,ROW(AP647)-ROW(AP$15),0),0)</f>
        <v>0</v>
      </c>
      <c r="AQ647" s="632">
        <f ca="1">IF(AND($D647="Serviço",AQ$12&lt;&gt;0,$H647&gt;0,OR(AUTOEVENTO&lt;&gt;"manual",$M647&lt;&gt;1)),ROUND(OFFSET($P647,0,AQ$13),15-13*ORÇAMENTO!$AF$7)/$H647*OFFSET(ORÇAMENTO!$X$15,ROW(AQ647)-ROW(AQ$15),0),0)</f>
        <v>0</v>
      </c>
      <c r="AR647" s="632">
        <f ca="1">IF(AND($D647="Serviço",AR$12&lt;&gt;0,$H647&gt;0,OR(AUTOEVENTO&lt;&gt;"manual",$M647&lt;&gt;1)),ROUND(OFFSET($P647,0,AR$13),15-13*ORÇAMENTO!$AF$7)/$H647*OFFSET(ORÇAMENTO!$X$15,ROW(AR647)-ROW(AR$15),0),0)</f>
        <v>0</v>
      </c>
      <c r="AS647" s="633">
        <f ca="1">IF(AND($D647="Serviço",AS$12&lt;&gt;0,$H647&gt;0,OR(AUTOEVENTO&lt;&gt;"manual",$M647&lt;&gt;1)),ROUND(OFFSET($P647,0,AS$13),15-13*ORÇAMENTO!$AF$7)/$H647*OFFSET(ORÇAMENTO!$X$15,ROW(AS647)-ROW(AS$15),0),0)</f>
        <v>0</v>
      </c>
      <c r="AT647" s="632">
        <f ca="1">IF(AND($D647="Serviço",AT$12&lt;&gt;0,$H647&gt;0,OR(AUTOEVENTO&lt;&gt;"manual",$M647&lt;&gt;1)),ROUND(OFFSET($P647,0,AT$13),15-13*ORÇAMENTO!$AF$7)/$H647*OFFSET(ORÇAMENTO!$X$15,ROW(AT647)-ROW(AT$15),0),0)</f>
        <v>0</v>
      </c>
      <c r="AU647" s="632">
        <f ca="1">IF(AND($D647="Serviço",AU$12&lt;&gt;0,$H647&gt;0,OR(AUTOEVENTO&lt;&gt;"manual",$M647&lt;&gt;1)),ROUND(OFFSET($P647,0,AU$13),15-13*ORÇAMENTO!$AF$7)/$H647*OFFSET(ORÇAMENTO!$X$15,ROW(AU647)-ROW(AU$15),0),0)</f>
        <v>0</v>
      </c>
      <c r="AV647" s="632">
        <f ca="1">IF(AND($D647="Serviço",AV$12&lt;&gt;0,$H647&gt;0,OR(AUTOEVENTO&lt;&gt;"manual",$M647&lt;&gt;1)),ROUND(OFFSET($P647,0,AV$13),15-13*ORÇAMENTO!$AF$7)/$H647*OFFSET(ORÇAMENTO!$X$15,ROW(AV647)-ROW(AV$15),0),0)</f>
        <v>0</v>
      </c>
      <c r="AW647" s="632">
        <f ca="1">IF(AND($D647="Serviço",AW$12&lt;&gt;0,$H647&gt;0,OR(AUTOEVENTO&lt;&gt;"manual",$M647&lt;&gt;1)),ROUND(OFFSET($P647,0,AW$13),15-13*ORÇAMENTO!$AF$7)/$H647*OFFSET(ORÇAMENTO!$X$15,ROW(AW647)-ROW(AW$15),0),0)</f>
        <v>0</v>
      </c>
      <c r="AX647" s="632">
        <f ca="1">IF(AND($D647="Serviço",AX$12&lt;&gt;0,$H647&gt;0,OR(AUTOEVENTO&lt;&gt;"manual",$M647&lt;&gt;1)),ROUND(OFFSET($P647,0,AX$13),15-13*ORÇAMENTO!$AF$7)/$H647*OFFSET(ORÇAMENTO!$X$15,ROW(AX647)-ROW(AX$15),0),0)</f>
        <v>0</v>
      </c>
      <c r="AY647" s="632">
        <f ca="1">IF(AND($D647="Serviço",AY$12&lt;&gt;0,$H647&gt;0,OR(AUTOEVENTO&lt;&gt;"manual",$M647&lt;&gt;1)),ROUND(OFFSET($P647,0,AY$13),15-13*ORÇAMENTO!$AF$7)/$H647*OFFSET(ORÇAMENTO!$X$15,ROW(AY647)-ROW(AY$15),0),0)</f>
        <v>0</v>
      </c>
      <c r="AZ647" s="632">
        <f ca="1">IF(AND($D647="Serviço",AZ$12&lt;&gt;0,$H647&gt;0,OR(AUTOEVENTO&lt;&gt;"manual",$M647&lt;&gt;1)),ROUND(OFFSET($P647,0,AZ$13),15-13*ORÇAMENTO!$AF$7)/$H647*OFFSET(ORÇAMENTO!$X$15,ROW(AZ647)-ROW(AZ$15),0),0)</f>
        <v>0</v>
      </c>
      <c r="BA647" s="633">
        <f ca="1">IF(AND($D647="Serviço",BA$12&lt;&gt;0,$H647&gt;0,OR(AUTOEVENTO&lt;&gt;"manual",$M647&lt;&gt;1)),ROUND(OFFSET($P647,0,BA$13),15-13*ORÇAMENTO!$AF$7)/$H647*OFFSET(ORÇAMENTO!$X$15,ROW(BA647)-ROW(BA$15),0),0)</f>
        <v>0</v>
      </c>
      <c r="BC647" s="215">
        <f ca="1">IF($D647&lt;&gt;"Serviço",0,IF(AND(AUTOEVENTO="Manual",$M647=1),0,IF(OFFSET(CRONOPLE!$F$14,$M647,BC$13)="",10^12,OFFSET(CRONOPLE!$F$14,$M647,BC$13))))</f>
        <v>0</v>
      </c>
      <c r="BD647" s="215">
        <f ca="1">IF($D647&lt;&gt;"Serviço",0,IF(AND(AUTOEVENTO="Manual",$M647=1),0,IF(OFFSET(CRONOPLE!$F$14,$M647,BD$13)="",10^12,OFFSET(CRONOPLE!$F$14,$M647,BD$13))))</f>
        <v>0</v>
      </c>
      <c r="BE647" s="215">
        <f ca="1">IF($D647&lt;&gt;"Serviço",0,IF(AND(AUTOEVENTO="Manual",$M647=1),0,IF(OFFSET(CRONOPLE!$F$14,$M647,BE$13)="",10^12,OFFSET(CRONOPLE!$F$14,$M647,BE$13))))</f>
        <v>0</v>
      </c>
      <c r="BF647" s="215">
        <f ca="1">IF($D647&lt;&gt;"Serviço",0,IF(AND(AUTOEVENTO="Manual",$M647=1),0,IF(OFFSET(CRONOPLE!$F$14,$M647,BF$13)="",10^12,OFFSET(CRONOPLE!$F$14,$M647,BF$13))))</f>
        <v>0</v>
      </c>
      <c r="BG647" s="215">
        <f ca="1">IF($D647&lt;&gt;"Serviço",0,IF(AND(AUTOEVENTO="Manual",$M647=1),0,IF(OFFSET(CRONOPLE!$F$14,$M647,BG$13)="",10^12,OFFSET(CRONOPLE!$F$14,$M647,BG$13))))</f>
        <v>0</v>
      </c>
      <c r="BH647" s="215">
        <f ca="1">IF($D647&lt;&gt;"Serviço",0,IF(AND(AUTOEVENTO="Manual",$M647=1),0,IF(OFFSET(CRONOPLE!$F$14,$M647,BH$13)="",10^12,OFFSET(CRONOPLE!$F$14,$M647,BH$13))))</f>
        <v>0</v>
      </c>
      <c r="BI647" s="215">
        <f ca="1">IF($D647&lt;&gt;"Serviço",0,IF(AND(AUTOEVENTO="Manual",$M647=1),0,IF(OFFSET(CRONOPLE!$F$14,$M647,BI$13)="",10^12,OFFSET(CRONOPLE!$F$14,$M647,BI$13))))</f>
        <v>0</v>
      </c>
      <c r="BJ647" s="215">
        <f ca="1">IF($D647&lt;&gt;"Serviço",0,IF(AND(AUTOEVENTO="Manual",$M647=1),0,IF(OFFSET(CRONOPLE!$F$14,$M647,BJ$13)="",10^12,OFFSET(CRONOPLE!$F$14,$M647,BJ$13))))</f>
        <v>0</v>
      </c>
      <c r="BK647" s="215">
        <f ca="1">IF($D647&lt;&gt;"Serviço",0,IF(AND(AUTOEVENTO="Manual",$M647=1),0,IF(OFFSET(CRONOPLE!$F$14,$M647,BK$13)="",10^12,OFFSET(CRONOPLE!$F$14,$M647,BK$13))))</f>
        <v>0</v>
      </c>
      <c r="BL647" s="215">
        <f ca="1">IF($D647&lt;&gt;"Serviço",0,IF(AND(AUTOEVENTO="Manual",$M647=1),0,IF(OFFSET(CRONOPLE!$F$14,$M647,BL$13)="",10^12,OFFSET(CRONOPLE!$F$14,$M647,BL$13))))</f>
        <v>0</v>
      </c>
      <c r="BM647" s="215">
        <f ca="1">IF($D647&lt;&gt;"Serviço",0,IF(AND(AUTOEVENTO="Manual",$M647=1),0,IF(OFFSET(CRONOPLE!$F$14,$M647,BM$13)="",10^12,OFFSET(CRONOPLE!$F$14,$M647,BM$13))))</f>
        <v>0</v>
      </c>
      <c r="BN647" s="215">
        <f ca="1">IF($D647&lt;&gt;"Serviço",0,IF(AND(AUTOEVENTO="Manual",$M647=1),0,IF(OFFSET(CRONOPLE!$F$14,$M647,BN$13)="",10^12,OFFSET(CRONOPLE!$F$14,$M647,BN$13))))</f>
        <v>0</v>
      </c>
      <c r="BO647" s="215">
        <f ca="1">IF($D647&lt;&gt;"Serviço",0,IF(AND(AUTOEVENTO="Manual",$M647=1),0,IF(OFFSET(CRONOPLE!$F$14,$M647,BO$13)="",10^12,OFFSET(CRONOPLE!$F$14,$M647,BO$13))))</f>
        <v>0</v>
      </c>
      <c r="BP647" s="215">
        <f ca="1">IF($D647&lt;&gt;"Serviço",0,IF(AND(AUTOEVENTO="Manual",$M647=1),0,IF(OFFSET(CRONOPLE!$F$14,$M647,BP$13)="",10^12,OFFSET(CRONOPLE!$F$14,$M647,BP$13))))</f>
        <v>0</v>
      </c>
      <c r="BQ647" s="215">
        <f ca="1">IF($D647&lt;&gt;"Serviço",0,IF(AND(AUTOEVENTO="Manual",$M647=1),0,IF(OFFSET(CRONOPLE!$F$14,$M647,BQ$13)="",10^12,OFFSET(CRONOPLE!$F$14,$M647,BQ$13))))</f>
        <v>0</v>
      </c>
      <c r="BR647" s="215">
        <f ca="1">IF($D647&lt;&gt;"Serviço",0,IF(AND(AUTOEVENTO="Manual",$M647=1),0,IF(OFFSET(CRONOPLE!$F$14,$M647,BR$13)="",10^12,OFFSET(CRONOPLE!$F$14,$M647,BR$13))))</f>
        <v>0</v>
      </c>
      <c r="BS647" s="215">
        <f ca="1">IF($D647&lt;&gt;"Serviço",0,IF(AND(AUTOEVENTO="Manual",$M647=1),0,IF(OFFSET(CRONOPLE!$F$14,$M647,BS$13)="",10^12,OFFSET(CRONOPLE!$F$14,$M647,BS$13))))</f>
        <v>0</v>
      </c>
      <c r="BT647" s="215">
        <f ca="1">IF($D647&lt;&gt;"Serviço",0,IF(AND(AUTOEVENTO="Manual",$M647=1),0,IF(OFFSET(CRONOPLE!$F$14,$M647,BT$13)="",10^12,OFFSET(CRONOPLE!$F$14,$M647,BT$13))))</f>
        <v>0</v>
      </c>
      <c r="BV647" s="216">
        <f ca="1">IF($D647&lt;&gt;"Serviço",0,IF(OR(AND(AUTOEVENTO="Manual",$M647=1),$M647&gt;(ROW(PLE.lastrow)-ROW(PLE.firstrow))),0,IF(OFFSET(PLE!$G$14,$M647,BV$13)="",10^12,OFFSET(PLE!$G$14,$M647,BV$13))))</f>
        <v>0</v>
      </c>
      <c r="BW647" s="216">
        <f ca="1">IF($D647&lt;&gt;"Serviço",0,IF(OR(AND(AUTOEVENTO="Manual",$M647=1),$M647&gt;(ROW(PLE.lastrow)-ROW(PLE.firstrow))),0,IF(OFFSET(PLE!$G$14,$M647,BW$13)="",10^12,OFFSET(PLE!$G$14,$M647,BW$13))))</f>
        <v>0</v>
      </c>
      <c r="BX647" s="216">
        <f ca="1">IF($D647&lt;&gt;"Serviço",0,IF(OR(AND(AUTOEVENTO="Manual",$M647=1),$M647&gt;(ROW(PLE.lastrow)-ROW(PLE.firstrow))),0,IF(OFFSET(PLE!$G$14,$M647,BX$13)="",10^12,OFFSET(PLE!$G$14,$M647,BX$13))))</f>
        <v>0</v>
      </c>
      <c r="BY647" s="216">
        <f ca="1">IF($D647&lt;&gt;"Serviço",0,IF(OR(AND(AUTOEVENTO="Manual",$M647=1),$M647&gt;(ROW(PLE.lastrow)-ROW(PLE.firstrow))),0,IF(OFFSET(PLE!$G$14,$M647,BY$13)="",10^12,OFFSET(PLE!$G$14,$M647,BY$13))))</f>
        <v>0</v>
      </c>
      <c r="BZ647" s="216">
        <f ca="1">IF($D647&lt;&gt;"Serviço",0,IF(OR(AND(AUTOEVENTO="Manual",$M647=1),$M647&gt;(ROW(PLE.lastrow)-ROW(PLE.firstrow))),0,IF(OFFSET(PLE!$G$14,$M647,BZ$13)="",10^12,OFFSET(PLE!$G$14,$M647,BZ$13))))</f>
        <v>0</v>
      </c>
      <c r="CA647" s="216">
        <f ca="1">IF($D647&lt;&gt;"Serviço",0,IF(OR(AND(AUTOEVENTO="Manual",$M647=1),$M647&gt;(ROW(PLE.lastrow)-ROW(PLE.firstrow))),0,IF(OFFSET(PLE!$G$14,$M647,CA$13)="",10^12,OFFSET(PLE!$G$14,$M647,CA$13))))</f>
        <v>0</v>
      </c>
      <c r="CB647" s="216">
        <f ca="1">IF($D647&lt;&gt;"Serviço",0,IF(OR(AND(AUTOEVENTO="Manual",$M647=1),$M647&gt;(ROW(PLE.lastrow)-ROW(PLE.firstrow))),0,IF(OFFSET(PLE!$G$14,$M647,CB$13)="",10^12,OFFSET(PLE!$G$14,$M647,CB$13))))</f>
        <v>0</v>
      </c>
      <c r="CC647" s="216">
        <f ca="1">IF($D647&lt;&gt;"Serviço",0,IF(OR(AND(AUTOEVENTO="Manual",$M647=1),$M647&gt;(ROW(PLE.lastrow)-ROW(PLE.firstrow))),0,IF(OFFSET(PLE!$G$14,$M647,CC$13)="",10^12,OFFSET(PLE!$G$14,$M647,CC$13))))</f>
        <v>0</v>
      </c>
      <c r="CD647" s="216">
        <f ca="1">IF($D647&lt;&gt;"Serviço",0,IF(OR(AND(AUTOEVENTO="Manual",$M647=1),$M647&gt;(ROW(PLE.lastrow)-ROW(PLE.firstrow))),0,IF(OFFSET(PLE!$G$14,$M647,CD$13)="",10^12,OFFSET(PLE!$G$14,$M647,CD$13))))</f>
        <v>0</v>
      </c>
      <c r="CE647" s="216">
        <f ca="1">IF($D647&lt;&gt;"Serviço",0,IF(OR(AND(AUTOEVENTO="Manual",$M647=1),$M647&gt;(ROW(PLE.lastrow)-ROW(PLE.firstrow))),0,IF(OFFSET(PLE!$G$14,$M647,CE$13)="",10^12,OFFSET(PLE!$G$14,$M647,CE$13))))</f>
        <v>0</v>
      </c>
      <c r="CF647" s="216">
        <f ca="1">IF($D647&lt;&gt;"Serviço",0,IF(OR(AND(AUTOEVENTO="Manual",$M647=1),$M647&gt;(ROW(PLE.lastrow)-ROW(PLE.firstrow))),0,IF(OFFSET(PLE!$G$14,$M647,CF$13)="",10^12,OFFSET(PLE!$G$14,$M647,CF$13))))</f>
        <v>0</v>
      </c>
      <c r="CG647" s="216">
        <f ca="1">IF($D647&lt;&gt;"Serviço",0,IF(OR(AND(AUTOEVENTO="Manual",$M647=1),$M647&gt;(ROW(PLE.lastrow)-ROW(PLE.firstrow))),0,IF(OFFSET(PLE!$G$14,$M647,CG$13)="",10^12,OFFSET(PLE!$G$14,$M647,CG$13))))</f>
        <v>0</v>
      </c>
      <c r="CH647" s="216">
        <f ca="1">IF($D647&lt;&gt;"Serviço",0,IF(OR(AND(AUTOEVENTO="Manual",$M647=1),$M647&gt;(ROW(PLE.lastrow)-ROW(PLE.firstrow))),0,IF(OFFSET(PLE!$G$14,$M647,CH$13)="",10^12,OFFSET(PLE!$G$14,$M647,CH$13))))</f>
        <v>0</v>
      </c>
      <c r="CI647" s="216">
        <f ca="1">IF($D647&lt;&gt;"Serviço",0,IF(OR(AND(AUTOEVENTO="Manual",$M647=1),$M647&gt;(ROW(PLE.lastrow)-ROW(PLE.firstrow))),0,IF(OFFSET(PLE!$G$14,$M647,CI$13)="",10^12,OFFSET(PLE!$G$14,$M647,CI$13))))</f>
        <v>0</v>
      </c>
      <c r="CJ647" s="216">
        <f ca="1">IF($D647&lt;&gt;"Serviço",0,IF(OR(AND(AUTOEVENTO="Manual",$M647=1),$M647&gt;(ROW(PLE.lastrow)-ROW(PLE.firstrow))),0,IF(OFFSET(PLE!$G$14,$M647,CJ$13)="",10^12,OFFSET(PLE!$G$14,$M647,CJ$13))))</f>
        <v>0</v>
      </c>
      <c r="CK647" s="216">
        <f ca="1">IF($D647&lt;&gt;"Serviço",0,IF(OR(AND(AUTOEVENTO="Manual",$M647=1),$M647&gt;(ROW(PLE.lastrow)-ROW(PLE.firstrow))),0,IF(OFFSET(PLE!$G$14,$M647,CK$13)="",10^12,OFFSET(PLE!$G$14,$M647,CK$13))))</f>
        <v>0</v>
      </c>
      <c r="CL647" s="216">
        <f ca="1">IF($D647&lt;&gt;"Serviço",0,IF(OR(AND(AUTOEVENTO="Manual",$M647=1),$M647&gt;(ROW(PLE.lastrow)-ROW(PLE.firstrow))),0,IF(OFFSET(PLE!$G$14,$M647,CL$13)="",10^12,OFFSET(PLE!$G$14,$M647,CL$13))))</f>
        <v>0</v>
      </c>
      <c r="CM647" s="216">
        <f ca="1">IF($D647&lt;&gt;"Serviço",0,IF(OR(AND(AUTOEVENTO="Manual",$M647=1),$M647&gt;(ROW(PLE.lastrow)-ROW(PLE.firstrow))),0,IF(OFFSET(PLE!$G$14,$M647,CM$13)="",10^12,OFFSET(PLE!$G$14,$M647,CM$13))))</f>
        <v>0</v>
      </c>
    </row>
    <row r="648" spans="1:91" ht="13.2" x14ac:dyDescent="0.25">
      <c r="A648" s="9">
        <f t="shared" ca="1" si="19"/>
        <v>0</v>
      </c>
      <c r="B648" s="9" t="str">
        <f ca="1">OFFSET(ORÇAMENTO!C$15,ROW(B648)-ROW(B$15),0)</f>
        <v>S</v>
      </c>
      <c r="C648" s="9" t="str">
        <f ca="1">OFFSET(ORÇAMENTO!L$15,ROW(C648)-ROW(C$15),0)</f>
        <v/>
      </c>
      <c r="D648" s="145" t="str">
        <f ca="1">OFFSET(ORÇAMENTO!N$15,ROW(D648)-ROW(D$15),0)</f>
        <v>Serviço</v>
      </c>
      <c r="E648" s="205" t="str">
        <f ca="1">OFFSET(ORÇAMENTO!O$15,ROW(E648)-ROW(E$15),0)</f>
        <v>-</v>
      </c>
      <c r="F648" s="206" t="str">
        <f ca="1">OFFSET(ORÇAMENTO!R$15,ROW(F648)-ROW(F$15),0)</f>
        <v>(abra o arquivo 'Referência 05-2024.xls)</v>
      </c>
      <c r="G648" s="207" t="str">
        <f ca="1">IF($D648&lt;&gt;"Serviço","",OFFSET(ORÇAMENTO!S$15,ROW(G648)-ROW(G$15),0))</f>
        <v>-</v>
      </c>
      <c r="H648" s="151">
        <f ca="1">IF($D648&lt;&gt;"Serviço",0,IF(ACOMPANHAMENTO="BM",ROUND(OFFSET(ORÇAMENTO!AJ$15,ROW(H648)-ROW(H$15),0),15-13*ORÇAMENTO!$AF$7),SUMPRODUCT(($Q$12:$AI$12&lt;&gt;"")*ROUND($Q648:$AI648,15-13*ORÇAMENTO!$AF$7))))</f>
        <v>2</v>
      </c>
      <c r="I648" s="650"/>
      <c r="K648" s="208"/>
      <c r="L648" s="209" t="s">
        <v>257</v>
      </c>
      <c r="M648" s="210">
        <f ca="1">IF($D648&lt;&gt;"Serviço","",IF(AUTOEVENTO="manual",$A648,IF(ISERROR(MATCH($A648,$A$15:OFFSET($A648,-1,0),0)),MAX($M$15:OFFSET(M648,-1,0))+1,INDEX($M$15:OFFSET(M648,-1,0),MATCH($A648,$A$15:OFFSET($A648,-1,0),0)))))</f>
        <v>0</v>
      </c>
      <c r="N648" s="211" t="str">
        <f ca="1">IF($D648&lt;&gt;"Serviço","",IF(AUTOEVENTO="Manual",IF($A648=0,"&lt;-- defina o número do agrupador",OFFSET(EVENTOS!$D$14,$A648,0)),OFFSET($F$15,$A648,0)))</f>
        <v>&lt;-- defina o número do agrupador</v>
      </c>
      <c r="O648" s="212"/>
      <c r="Q648" s="212"/>
      <c r="R648" s="213"/>
      <c r="S648" s="213"/>
      <c r="T648" s="213"/>
      <c r="U648" s="213"/>
      <c r="V648" s="213"/>
      <c r="W648" s="213"/>
      <c r="X648" s="213"/>
      <c r="Y648" s="213"/>
      <c r="Z648" s="214"/>
      <c r="AA648" s="213"/>
      <c r="AB648" s="213"/>
      <c r="AC648" s="213"/>
      <c r="AD648" s="213"/>
      <c r="AE648" s="213"/>
      <c r="AF648" s="213"/>
      <c r="AG648" s="213"/>
      <c r="AH648" s="214"/>
      <c r="AJ648" s="631">
        <f ca="1">IF(AND($D648="Serviço",AJ$12&lt;&gt;0,$H648&gt;0,OR(AUTOEVENTO&lt;&gt;"manual",$M648&lt;&gt;1)),ROUND(OFFSET($P648,0,AJ$13),15-13*ORÇAMENTO!$AF$7)/$H648*OFFSET(ORÇAMENTO!$X$15,ROW(AJ648)-ROW(AJ$15),0),0)</f>
        <v>0</v>
      </c>
      <c r="AK648" s="632">
        <f ca="1">IF(AND($D648="Serviço",AK$12&lt;&gt;0,$H648&gt;0,OR(AUTOEVENTO&lt;&gt;"manual",$M648&lt;&gt;1)),ROUND(OFFSET($P648,0,AK$13),15-13*ORÇAMENTO!$AF$7)/$H648*OFFSET(ORÇAMENTO!$X$15,ROW(AK648)-ROW(AK$15),0),0)</f>
        <v>0</v>
      </c>
      <c r="AL648" s="632">
        <f ca="1">IF(AND($D648="Serviço",AL$12&lt;&gt;0,$H648&gt;0,OR(AUTOEVENTO&lt;&gt;"manual",$M648&lt;&gt;1)),ROUND(OFFSET($P648,0,AL$13),15-13*ORÇAMENTO!$AF$7)/$H648*OFFSET(ORÇAMENTO!$X$15,ROW(AL648)-ROW(AL$15),0),0)</f>
        <v>0</v>
      </c>
      <c r="AM648" s="632">
        <f ca="1">IF(AND($D648="Serviço",AM$12&lt;&gt;0,$H648&gt;0,OR(AUTOEVENTO&lt;&gt;"manual",$M648&lt;&gt;1)),ROUND(OFFSET($P648,0,AM$13),15-13*ORÇAMENTO!$AF$7)/$H648*OFFSET(ORÇAMENTO!$X$15,ROW(AM648)-ROW(AM$15),0),0)</f>
        <v>0</v>
      </c>
      <c r="AN648" s="632">
        <f ca="1">IF(AND($D648="Serviço",AN$12&lt;&gt;0,$H648&gt;0,OR(AUTOEVENTO&lt;&gt;"manual",$M648&lt;&gt;1)),ROUND(OFFSET($P648,0,AN$13),15-13*ORÇAMENTO!$AF$7)/$H648*OFFSET(ORÇAMENTO!$X$15,ROW(AN648)-ROW(AN$15),0),0)</f>
        <v>0</v>
      </c>
      <c r="AO648" s="632">
        <f ca="1">IF(AND($D648="Serviço",AO$12&lt;&gt;0,$H648&gt;0,OR(AUTOEVENTO&lt;&gt;"manual",$M648&lt;&gt;1)),ROUND(OFFSET($P648,0,AO$13),15-13*ORÇAMENTO!$AF$7)/$H648*OFFSET(ORÇAMENTO!$X$15,ROW(AO648)-ROW(AO$15),0),0)</f>
        <v>0</v>
      </c>
      <c r="AP648" s="632">
        <f ca="1">IF(AND($D648="Serviço",AP$12&lt;&gt;0,$H648&gt;0,OR(AUTOEVENTO&lt;&gt;"manual",$M648&lt;&gt;1)),ROUND(OFFSET($P648,0,AP$13),15-13*ORÇAMENTO!$AF$7)/$H648*OFFSET(ORÇAMENTO!$X$15,ROW(AP648)-ROW(AP$15),0),0)</f>
        <v>0</v>
      </c>
      <c r="AQ648" s="632">
        <f ca="1">IF(AND($D648="Serviço",AQ$12&lt;&gt;0,$H648&gt;0,OR(AUTOEVENTO&lt;&gt;"manual",$M648&lt;&gt;1)),ROUND(OFFSET($P648,0,AQ$13),15-13*ORÇAMENTO!$AF$7)/$H648*OFFSET(ORÇAMENTO!$X$15,ROW(AQ648)-ROW(AQ$15),0),0)</f>
        <v>0</v>
      </c>
      <c r="AR648" s="632">
        <f ca="1">IF(AND($D648="Serviço",AR$12&lt;&gt;0,$H648&gt;0,OR(AUTOEVENTO&lt;&gt;"manual",$M648&lt;&gt;1)),ROUND(OFFSET($P648,0,AR$13),15-13*ORÇAMENTO!$AF$7)/$H648*OFFSET(ORÇAMENTO!$X$15,ROW(AR648)-ROW(AR$15),0),0)</f>
        <v>0</v>
      </c>
      <c r="AS648" s="633">
        <f ca="1">IF(AND($D648="Serviço",AS$12&lt;&gt;0,$H648&gt;0,OR(AUTOEVENTO&lt;&gt;"manual",$M648&lt;&gt;1)),ROUND(OFFSET($P648,0,AS$13),15-13*ORÇAMENTO!$AF$7)/$H648*OFFSET(ORÇAMENTO!$X$15,ROW(AS648)-ROW(AS$15),0),0)</f>
        <v>0</v>
      </c>
      <c r="AT648" s="632">
        <f ca="1">IF(AND($D648="Serviço",AT$12&lt;&gt;0,$H648&gt;0,OR(AUTOEVENTO&lt;&gt;"manual",$M648&lt;&gt;1)),ROUND(OFFSET($P648,0,AT$13),15-13*ORÇAMENTO!$AF$7)/$H648*OFFSET(ORÇAMENTO!$X$15,ROW(AT648)-ROW(AT$15),0),0)</f>
        <v>0</v>
      </c>
      <c r="AU648" s="632">
        <f ca="1">IF(AND($D648="Serviço",AU$12&lt;&gt;0,$H648&gt;0,OR(AUTOEVENTO&lt;&gt;"manual",$M648&lt;&gt;1)),ROUND(OFFSET($P648,0,AU$13),15-13*ORÇAMENTO!$AF$7)/$H648*OFFSET(ORÇAMENTO!$X$15,ROW(AU648)-ROW(AU$15),0),0)</f>
        <v>0</v>
      </c>
      <c r="AV648" s="632">
        <f ca="1">IF(AND($D648="Serviço",AV$12&lt;&gt;0,$H648&gt;0,OR(AUTOEVENTO&lt;&gt;"manual",$M648&lt;&gt;1)),ROUND(OFFSET($P648,0,AV$13),15-13*ORÇAMENTO!$AF$7)/$H648*OFFSET(ORÇAMENTO!$X$15,ROW(AV648)-ROW(AV$15),0),0)</f>
        <v>0</v>
      </c>
      <c r="AW648" s="632">
        <f ca="1">IF(AND($D648="Serviço",AW$12&lt;&gt;0,$H648&gt;0,OR(AUTOEVENTO&lt;&gt;"manual",$M648&lt;&gt;1)),ROUND(OFFSET($P648,0,AW$13),15-13*ORÇAMENTO!$AF$7)/$H648*OFFSET(ORÇAMENTO!$X$15,ROW(AW648)-ROW(AW$15),0),0)</f>
        <v>0</v>
      </c>
      <c r="AX648" s="632">
        <f ca="1">IF(AND($D648="Serviço",AX$12&lt;&gt;0,$H648&gt;0,OR(AUTOEVENTO&lt;&gt;"manual",$M648&lt;&gt;1)),ROUND(OFFSET($P648,0,AX$13),15-13*ORÇAMENTO!$AF$7)/$H648*OFFSET(ORÇAMENTO!$X$15,ROW(AX648)-ROW(AX$15),0),0)</f>
        <v>0</v>
      </c>
      <c r="AY648" s="632">
        <f ca="1">IF(AND($D648="Serviço",AY$12&lt;&gt;0,$H648&gt;0,OR(AUTOEVENTO&lt;&gt;"manual",$M648&lt;&gt;1)),ROUND(OFFSET($P648,0,AY$13),15-13*ORÇAMENTO!$AF$7)/$H648*OFFSET(ORÇAMENTO!$X$15,ROW(AY648)-ROW(AY$15),0),0)</f>
        <v>0</v>
      </c>
      <c r="AZ648" s="632">
        <f ca="1">IF(AND($D648="Serviço",AZ$12&lt;&gt;0,$H648&gt;0,OR(AUTOEVENTO&lt;&gt;"manual",$M648&lt;&gt;1)),ROUND(OFFSET($P648,0,AZ$13),15-13*ORÇAMENTO!$AF$7)/$H648*OFFSET(ORÇAMENTO!$X$15,ROW(AZ648)-ROW(AZ$15),0),0)</f>
        <v>0</v>
      </c>
      <c r="BA648" s="633">
        <f ca="1">IF(AND($D648="Serviço",BA$12&lt;&gt;0,$H648&gt;0,OR(AUTOEVENTO&lt;&gt;"manual",$M648&lt;&gt;1)),ROUND(OFFSET($P648,0,BA$13),15-13*ORÇAMENTO!$AF$7)/$H648*OFFSET(ORÇAMENTO!$X$15,ROW(BA648)-ROW(BA$15),0),0)</f>
        <v>0</v>
      </c>
      <c r="BC648" s="215">
        <f ca="1">IF($D648&lt;&gt;"Serviço",0,IF(AND(AUTOEVENTO="Manual",$M648=1),0,IF(OFFSET(CRONOPLE!$F$14,$M648,BC$13)="",10^12,OFFSET(CRONOPLE!$F$14,$M648,BC$13))))</f>
        <v>1000000000000</v>
      </c>
      <c r="BD648" s="215">
        <f ca="1">IF($D648&lt;&gt;"Serviço",0,IF(AND(AUTOEVENTO="Manual",$M648=1),0,IF(OFFSET(CRONOPLE!$F$14,$M648,BD$13)="",10^12,OFFSET(CRONOPLE!$F$14,$M648,BD$13))))</f>
        <v>1000000000000</v>
      </c>
      <c r="BE648" s="215">
        <f ca="1">IF($D648&lt;&gt;"Serviço",0,IF(AND(AUTOEVENTO="Manual",$M648=1),0,IF(OFFSET(CRONOPLE!$F$14,$M648,BE$13)="",10^12,OFFSET(CRONOPLE!$F$14,$M648,BE$13))))</f>
        <v>1000000000000</v>
      </c>
      <c r="BF648" s="215">
        <f ca="1">IF($D648&lt;&gt;"Serviço",0,IF(AND(AUTOEVENTO="Manual",$M648=1),0,IF(OFFSET(CRONOPLE!$F$14,$M648,BF$13)="",10^12,OFFSET(CRONOPLE!$F$14,$M648,BF$13))))</f>
        <v>1000000000000</v>
      </c>
      <c r="BG648" s="215">
        <f ca="1">IF($D648&lt;&gt;"Serviço",0,IF(AND(AUTOEVENTO="Manual",$M648=1),0,IF(OFFSET(CRONOPLE!$F$14,$M648,BG$13)="",10^12,OFFSET(CRONOPLE!$F$14,$M648,BG$13))))</f>
        <v>1000000000000</v>
      </c>
      <c r="BH648" s="215">
        <f ca="1">IF($D648&lt;&gt;"Serviço",0,IF(AND(AUTOEVENTO="Manual",$M648=1),0,IF(OFFSET(CRONOPLE!$F$14,$M648,BH$13)="",10^12,OFFSET(CRONOPLE!$F$14,$M648,BH$13))))</f>
        <v>1000000000000</v>
      </c>
      <c r="BI648" s="215">
        <f ca="1">IF($D648&lt;&gt;"Serviço",0,IF(AND(AUTOEVENTO="Manual",$M648=1),0,IF(OFFSET(CRONOPLE!$F$14,$M648,BI$13)="",10^12,OFFSET(CRONOPLE!$F$14,$M648,BI$13))))</f>
        <v>1000000000000</v>
      </c>
      <c r="BJ648" s="215">
        <f ca="1">IF($D648&lt;&gt;"Serviço",0,IF(AND(AUTOEVENTO="Manual",$M648=1),0,IF(OFFSET(CRONOPLE!$F$14,$M648,BJ$13)="",10^12,OFFSET(CRONOPLE!$F$14,$M648,BJ$13))))</f>
        <v>1000000000000</v>
      </c>
      <c r="BK648" s="215">
        <f ca="1">IF($D648&lt;&gt;"Serviço",0,IF(AND(AUTOEVENTO="Manual",$M648=1),0,IF(OFFSET(CRONOPLE!$F$14,$M648,BK$13)="",10^12,OFFSET(CRONOPLE!$F$14,$M648,BK$13))))</f>
        <v>1000000000000</v>
      </c>
      <c r="BL648" s="215">
        <f ca="1">IF($D648&lt;&gt;"Serviço",0,IF(AND(AUTOEVENTO="Manual",$M648=1),0,IF(OFFSET(CRONOPLE!$F$14,$M648,BL$13)="",10^12,OFFSET(CRONOPLE!$F$14,$M648,BL$13))))</f>
        <v>1000000000000</v>
      </c>
      <c r="BM648" s="215">
        <f ca="1">IF($D648&lt;&gt;"Serviço",0,IF(AND(AUTOEVENTO="Manual",$M648=1),0,IF(OFFSET(CRONOPLE!$F$14,$M648,BM$13)="",10^12,OFFSET(CRONOPLE!$F$14,$M648,BM$13))))</f>
        <v>1000000000000</v>
      </c>
      <c r="BN648" s="215">
        <f ca="1">IF($D648&lt;&gt;"Serviço",0,IF(AND(AUTOEVENTO="Manual",$M648=1),0,IF(OFFSET(CRONOPLE!$F$14,$M648,BN$13)="",10^12,OFFSET(CRONOPLE!$F$14,$M648,BN$13))))</f>
        <v>1000000000000</v>
      </c>
      <c r="BO648" s="215">
        <f ca="1">IF($D648&lt;&gt;"Serviço",0,IF(AND(AUTOEVENTO="Manual",$M648=1),0,IF(OFFSET(CRONOPLE!$F$14,$M648,BO$13)="",10^12,OFFSET(CRONOPLE!$F$14,$M648,BO$13))))</f>
        <v>1000000000000</v>
      </c>
      <c r="BP648" s="215">
        <f ca="1">IF($D648&lt;&gt;"Serviço",0,IF(AND(AUTOEVENTO="Manual",$M648=1),0,IF(OFFSET(CRONOPLE!$F$14,$M648,BP$13)="",10^12,OFFSET(CRONOPLE!$F$14,$M648,BP$13))))</f>
        <v>1000000000000</v>
      </c>
      <c r="BQ648" s="215">
        <f ca="1">IF($D648&lt;&gt;"Serviço",0,IF(AND(AUTOEVENTO="Manual",$M648=1),0,IF(OFFSET(CRONOPLE!$F$14,$M648,BQ$13)="",10^12,OFFSET(CRONOPLE!$F$14,$M648,BQ$13))))</f>
        <v>1000000000000</v>
      </c>
      <c r="BR648" s="215">
        <f ca="1">IF($D648&lt;&gt;"Serviço",0,IF(AND(AUTOEVENTO="Manual",$M648=1),0,IF(OFFSET(CRONOPLE!$F$14,$M648,BR$13)="",10^12,OFFSET(CRONOPLE!$F$14,$M648,BR$13))))</f>
        <v>1000000000000</v>
      </c>
      <c r="BS648" s="215">
        <f ca="1">IF($D648&lt;&gt;"Serviço",0,IF(AND(AUTOEVENTO="Manual",$M648=1),0,IF(OFFSET(CRONOPLE!$F$14,$M648,BS$13)="",10^12,OFFSET(CRONOPLE!$F$14,$M648,BS$13))))</f>
        <v>1000000000000</v>
      </c>
      <c r="BT648" s="215">
        <f ca="1">IF($D648&lt;&gt;"Serviço",0,IF(AND(AUTOEVENTO="Manual",$M648=1),0,IF(OFFSET(CRONOPLE!$F$14,$M648,BT$13)="",10^12,OFFSET(CRONOPLE!$F$14,$M648,BT$13))))</f>
        <v>1000000000000</v>
      </c>
      <c r="BV648" s="216">
        <f ca="1">IF($D648&lt;&gt;"Serviço",0,IF(OR(AND(AUTOEVENTO="Manual",$M648=1),$M648&gt;(ROW(PLE.lastrow)-ROW(PLE.firstrow))),0,IF(OFFSET(PLE!$G$14,$M648,BV$13)="",10^12,OFFSET(PLE!$G$14,$M648,BV$13))))</f>
        <v>1000000000000</v>
      </c>
      <c r="BW648" s="216">
        <f ca="1">IF($D648&lt;&gt;"Serviço",0,IF(OR(AND(AUTOEVENTO="Manual",$M648=1),$M648&gt;(ROW(PLE.lastrow)-ROW(PLE.firstrow))),0,IF(OFFSET(PLE!$G$14,$M648,BW$13)="",10^12,OFFSET(PLE!$G$14,$M648,BW$13))))</f>
        <v>1000000000000</v>
      </c>
      <c r="BX648" s="216">
        <f ca="1">IF($D648&lt;&gt;"Serviço",0,IF(OR(AND(AUTOEVENTO="Manual",$M648=1),$M648&gt;(ROW(PLE.lastrow)-ROW(PLE.firstrow))),0,IF(OFFSET(PLE!$G$14,$M648,BX$13)="",10^12,OFFSET(PLE!$G$14,$M648,BX$13))))</f>
        <v>1000000000000</v>
      </c>
      <c r="BY648" s="216">
        <f ca="1">IF($D648&lt;&gt;"Serviço",0,IF(OR(AND(AUTOEVENTO="Manual",$M648=1),$M648&gt;(ROW(PLE.lastrow)-ROW(PLE.firstrow))),0,IF(OFFSET(PLE!$G$14,$M648,BY$13)="",10^12,OFFSET(PLE!$G$14,$M648,BY$13))))</f>
        <v>1000000000000</v>
      </c>
      <c r="BZ648" s="216">
        <f ca="1">IF($D648&lt;&gt;"Serviço",0,IF(OR(AND(AUTOEVENTO="Manual",$M648=1),$M648&gt;(ROW(PLE.lastrow)-ROW(PLE.firstrow))),0,IF(OFFSET(PLE!$G$14,$M648,BZ$13)="",10^12,OFFSET(PLE!$G$14,$M648,BZ$13))))</f>
        <v>1000000000000</v>
      </c>
      <c r="CA648" s="216">
        <f ca="1">IF($D648&lt;&gt;"Serviço",0,IF(OR(AND(AUTOEVENTO="Manual",$M648=1),$M648&gt;(ROW(PLE.lastrow)-ROW(PLE.firstrow))),0,IF(OFFSET(PLE!$G$14,$M648,CA$13)="",10^12,OFFSET(PLE!$G$14,$M648,CA$13))))</f>
        <v>1000000000000</v>
      </c>
      <c r="CB648" s="216">
        <f ca="1">IF($D648&lt;&gt;"Serviço",0,IF(OR(AND(AUTOEVENTO="Manual",$M648=1),$M648&gt;(ROW(PLE.lastrow)-ROW(PLE.firstrow))),0,IF(OFFSET(PLE!$G$14,$M648,CB$13)="",10^12,OFFSET(PLE!$G$14,$M648,CB$13))))</f>
        <v>1000000000000</v>
      </c>
      <c r="CC648" s="216">
        <f ca="1">IF($D648&lt;&gt;"Serviço",0,IF(OR(AND(AUTOEVENTO="Manual",$M648=1),$M648&gt;(ROW(PLE.lastrow)-ROW(PLE.firstrow))),0,IF(OFFSET(PLE!$G$14,$M648,CC$13)="",10^12,OFFSET(PLE!$G$14,$M648,CC$13))))</f>
        <v>1000000000000</v>
      </c>
      <c r="CD648" s="216">
        <f ca="1">IF($D648&lt;&gt;"Serviço",0,IF(OR(AND(AUTOEVENTO="Manual",$M648=1),$M648&gt;(ROW(PLE.lastrow)-ROW(PLE.firstrow))),0,IF(OFFSET(PLE!$G$14,$M648,CD$13)="",10^12,OFFSET(PLE!$G$14,$M648,CD$13))))</f>
        <v>1000000000000</v>
      </c>
      <c r="CE648" s="216">
        <f ca="1">IF($D648&lt;&gt;"Serviço",0,IF(OR(AND(AUTOEVENTO="Manual",$M648=1),$M648&gt;(ROW(PLE.lastrow)-ROW(PLE.firstrow))),0,IF(OFFSET(PLE!$G$14,$M648,CE$13)="",10^12,OFFSET(PLE!$G$14,$M648,CE$13))))</f>
        <v>1000000000000</v>
      </c>
      <c r="CF648" s="216">
        <f ca="1">IF($D648&lt;&gt;"Serviço",0,IF(OR(AND(AUTOEVENTO="Manual",$M648=1),$M648&gt;(ROW(PLE.lastrow)-ROW(PLE.firstrow))),0,IF(OFFSET(PLE!$G$14,$M648,CF$13)="",10^12,OFFSET(PLE!$G$14,$M648,CF$13))))</f>
        <v>1000000000000</v>
      </c>
      <c r="CG648" s="216">
        <f ca="1">IF($D648&lt;&gt;"Serviço",0,IF(OR(AND(AUTOEVENTO="Manual",$M648=1),$M648&gt;(ROW(PLE.lastrow)-ROW(PLE.firstrow))),0,IF(OFFSET(PLE!$G$14,$M648,CG$13)="",10^12,OFFSET(PLE!$G$14,$M648,CG$13))))</f>
        <v>1000000000000</v>
      </c>
      <c r="CH648" s="216">
        <f ca="1">IF($D648&lt;&gt;"Serviço",0,IF(OR(AND(AUTOEVENTO="Manual",$M648=1),$M648&gt;(ROW(PLE.lastrow)-ROW(PLE.firstrow))),0,IF(OFFSET(PLE!$G$14,$M648,CH$13)="",10^12,OFFSET(PLE!$G$14,$M648,CH$13))))</f>
        <v>1000000000000</v>
      </c>
      <c r="CI648" s="216">
        <f ca="1">IF($D648&lt;&gt;"Serviço",0,IF(OR(AND(AUTOEVENTO="Manual",$M648=1),$M648&gt;(ROW(PLE.lastrow)-ROW(PLE.firstrow))),0,IF(OFFSET(PLE!$G$14,$M648,CI$13)="",10^12,OFFSET(PLE!$G$14,$M648,CI$13))))</f>
        <v>1000000000000</v>
      </c>
      <c r="CJ648" s="216">
        <f ca="1">IF($D648&lt;&gt;"Serviço",0,IF(OR(AND(AUTOEVENTO="Manual",$M648=1),$M648&gt;(ROW(PLE.lastrow)-ROW(PLE.firstrow))),0,IF(OFFSET(PLE!$G$14,$M648,CJ$13)="",10^12,OFFSET(PLE!$G$14,$M648,CJ$13))))</f>
        <v>1000000000000</v>
      </c>
      <c r="CK648" s="216">
        <f ca="1">IF($D648&lt;&gt;"Serviço",0,IF(OR(AND(AUTOEVENTO="Manual",$M648=1),$M648&gt;(ROW(PLE.lastrow)-ROW(PLE.firstrow))),0,IF(OFFSET(PLE!$G$14,$M648,CK$13)="",10^12,OFFSET(PLE!$G$14,$M648,CK$13))))</f>
        <v>1000000000000</v>
      </c>
      <c r="CL648" s="216">
        <f ca="1">IF($D648&lt;&gt;"Serviço",0,IF(OR(AND(AUTOEVENTO="Manual",$M648=1),$M648&gt;(ROW(PLE.lastrow)-ROW(PLE.firstrow))),0,IF(OFFSET(PLE!$G$14,$M648,CL$13)="",10^12,OFFSET(PLE!$G$14,$M648,CL$13))))</f>
        <v>1000000000000</v>
      </c>
      <c r="CM648" s="216">
        <f ca="1">IF($D648&lt;&gt;"Serviço",0,IF(OR(AND(AUTOEVENTO="Manual",$M648=1),$M648&gt;(ROW(PLE.lastrow)-ROW(PLE.firstrow))),0,IF(OFFSET(PLE!$G$14,$M648,CM$13)="",10^12,OFFSET(PLE!$G$14,$M648,CM$13))))</f>
        <v>1000000000000</v>
      </c>
    </row>
    <row r="649" spans="1:91" ht="13.2" x14ac:dyDescent="0.25">
      <c r="A649" s="9">
        <f t="shared" ca="1" si="19"/>
        <v>0</v>
      </c>
      <c r="B649" s="9" t="str">
        <f ca="1">OFFSET(ORÇAMENTO!C$15,ROW(B649)-ROW(B$15),0)</f>
        <v>S</v>
      </c>
      <c r="C649" s="9" t="str">
        <f ca="1">OFFSET(ORÇAMENTO!L$15,ROW(C649)-ROW(C$15),0)</f>
        <v/>
      </c>
      <c r="D649" s="145" t="str">
        <f ca="1">OFFSET(ORÇAMENTO!N$15,ROW(D649)-ROW(D$15),0)</f>
        <v>Serviço</v>
      </c>
      <c r="E649" s="205" t="str">
        <f ca="1">OFFSET(ORÇAMENTO!O$15,ROW(E649)-ROW(E$15),0)</f>
        <v>-</v>
      </c>
      <c r="F649" s="206" t="str">
        <f ca="1">OFFSET(ORÇAMENTO!R$15,ROW(F649)-ROW(F$15),0)</f>
        <v>(abra o arquivo 'Referência 05-2024.xls)</v>
      </c>
      <c r="G649" s="207" t="str">
        <f ca="1">IF($D649&lt;&gt;"Serviço","",OFFSET(ORÇAMENTO!S$15,ROW(G649)-ROW(G$15),0))</f>
        <v>-</v>
      </c>
      <c r="H649" s="151">
        <f ca="1">IF($D649&lt;&gt;"Serviço",0,IF(ACOMPANHAMENTO="BM",ROUND(OFFSET(ORÇAMENTO!AJ$15,ROW(H649)-ROW(H$15),0),15-13*ORÇAMENTO!$AF$7),SUMPRODUCT(($Q$12:$AI$12&lt;&gt;"")*ROUND($Q649:$AI649,15-13*ORÇAMENTO!$AF$7))))</f>
        <v>2</v>
      </c>
      <c r="I649" s="650"/>
      <c r="K649" s="208"/>
      <c r="L649" s="209" t="s">
        <v>257</v>
      </c>
      <c r="M649" s="210">
        <f ca="1">IF($D649&lt;&gt;"Serviço","",IF(AUTOEVENTO="manual",$A649,IF(ISERROR(MATCH($A649,$A$15:OFFSET($A649,-1,0),0)),MAX($M$15:OFFSET(M649,-1,0))+1,INDEX($M$15:OFFSET(M649,-1,0),MATCH($A649,$A$15:OFFSET($A649,-1,0),0)))))</f>
        <v>0</v>
      </c>
      <c r="N649" s="211" t="str">
        <f ca="1">IF($D649&lt;&gt;"Serviço","",IF(AUTOEVENTO="Manual",IF($A649=0,"&lt;-- defina o número do agrupador",OFFSET(EVENTOS!$D$14,$A649,0)),OFFSET($F$15,$A649,0)))</f>
        <v>&lt;-- defina o número do agrupador</v>
      </c>
      <c r="O649" s="212"/>
      <c r="Q649" s="212"/>
      <c r="R649" s="213"/>
      <c r="S649" s="213"/>
      <c r="T649" s="213"/>
      <c r="U649" s="213"/>
      <c r="V649" s="213"/>
      <c r="W649" s="213"/>
      <c r="X649" s="213"/>
      <c r="Y649" s="213"/>
      <c r="Z649" s="214"/>
      <c r="AA649" s="213"/>
      <c r="AB649" s="213"/>
      <c r="AC649" s="213"/>
      <c r="AD649" s="213"/>
      <c r="AE649" s="213"/>
      <c r="AF649" s="213"/>
      <c r="AG649" s="213"/>
      <c r="AH649" s="214"/>
      <c r="AJ649" s="631">
        <f ca="1">IF(AND($D649="Serviço",AJ$12&lt;&gt;0,$H649&gt;0,OR(AUTOEVENTO&lt;&gt;"manual",$M649&lt;&gt;1)),ROUND(OFFSET($P649,0,AJ$13),15-13*ORÇAMENTO!$AF$7)/$H649*OFFSET(ORÇAMENTO!$X$15,ROW(AJ649)-ROW(AJ$15),0),0)</f>
        <v>0</v>
      </c>
      <c r="AK649" s="632">
        <f ca="1">IF(AND($D649="Serviço",AK$12&lt;&gt;0,$H649&gt;0,OR(AUTOEVENTO&lt;&gt;"manual",$M649&lt;&gt;1)),ROUND(OFFSET($P649,0,AK$13),15-13*ORÇAMENTO!$AF$7)/$H649*OFFSET(ORÇAMENTO!$X$15,ROW(AK649)-ROW(AK$15),0),0)</f>
        <v>0</v>
      </c>
      <c r="AL649" s="632">
        <f ca="1">IF(AND($D649="Serviço",AL$12&lt;&gt;0,$H649&gt;0,OR(AUTOEVENTO&lt;&gt;"manual",$M649&lt;&gt;1)),ROUND(OFFSET($P649,0,AL$13),15-13*ORÇAMENTO!$AF$7)/$H649*OFFSET(ORÇAMENTO!$X$15,ROW(AL649)-ROW(AL$15),0),0)</f>
        <v>0</v>
      </c>
      <c r="AM649" s="632">
        <f ca="1">IF(AND($D649="Serviço",AM$12&lt;&gt;0,$H649&gt;0,OR(AUTOEVENTO&lt;&gt;"manual",$M649&lt;&gt;1)),ROUND(OFFSET($P649,0,AM$13),15-13*ORÇAMENTO!$AF$7)/$H649*OFFSET(ORÇAMENTO!$X$15,ROW(AM649)-ROW(AM$15),0),0)</f>
        <v>0</v>
      </c>
      <c r="AN649" s="632">
        <f ca="1">IF(AND($D649="Serviço",AN$12&lt;&gt;0,$H649&gt;0,OR(AUTOEVENTO&lt;&gt;"manual",$M649&lt;&gt;1)),ROUND(OFFSET($P649,0,AN$13),15-13*ORÇAMENTO!$AF$7)/$H649*OFFSET(ORÇAMENTO!$X$15,ROW(AN649)-ROW(AN$15),0),0)</f>
        <v>0</v>
      </c>
      <c r="AO649" s="632">
        <f ca="1">IF(AND($D649="Serviço",AO$12&lt;&gt;0,$H649&gt;0,OR(AUTOEVENTO&lt;&gt;"manual",$M649&lt;&gt;1)),ROUND(OFFSET($P649,0,AO$13),15-13*ORÇAMENTO!$AF$7)/$H649*OFFSET(ORÇAMENTO!$X$15,ROW(AO649)-ROW(AO$15),0),0)</f>
        <v>0</v>
      </c>
      <c r="AP649" s="632">
        <f ca="1">IF(AND($D649="Serviço",AP$12&lt;&gt;0,$H649&gt;0,OR(AUTOEVENTO&lt;&gt;"manual",$M649&lt;&gt;1)),ROUND(OFFSET($P649,0,AP$13),15-13*ORÇAMENTO!$AF$7)/$H649*OFFSET(ORÇAMENTO!$X$15,ROW(AP649)-ROW(AP$15),0),0)</f>
        <v>0</v>
      </c>
      <c r="AQ649" s="632">
        <f ca="1">IF(AND($D649="Serviço",AQ$12&lt;&gt;0,$H649&gt;0,OR(AUTOEVENTO&lt;&gt;"manual",$M649&lt;&gt;1)),ROUND(OFFSET($P649,0,AQ$13),15-13*ORÇAMENTO!$AF$7)/$H649*OFFSET(ORÇAMENTO!$X$15,ROW(AQ649)-ROW(AQ$15),0),0)</f>
        <v>0</v>
      </c>
      <c r="AR649" s="632">
        <f ca="1">IF(AND($D649="Serviço",AR$12&lt;&gt;0,$H649&gt;0,OR(AUTOEVENTO&lt;&gt;"manual",$M649&lt;&gt;1)),ROUND(OFFSET($P649,0,AR$13),15-13*ORÇAMENTO!$AF$7)/$H649*OFFSET(ORÇAMENTO!$X$15,ROW(AR649)-ROW(AR$15),0),0)</f>
        <v>0</v>
      </c>
      <c r="AS649" s="633">
        <f ca="1">IF(AND($D649="Serviço",AS$12&lt;&gt;0,$H649&gt;0,OR(AUTOEVENTO&lt;&gt;"manual",$M649&lt;&gt;1)),ROUND(OFFSET($P649,0,AS$13),15-13*ORÇAMENTO!$AF$7)/$H649*OFFSET(ORÇAMENTO!$X$15,ROW(AS649)-ROW(AS$15),0),0)</f>
        <v>0</v>
      </c>
      <c r="AT649" s="632">
        <f ca="1">IF(AND($D649="Serviço",AT$12&lt;&gt;0,$H649&gt;0,OR(AUTOEVENTO&lt;&gt;"manual",$M649&lt;&gt;1)),ROUND(OFFSET($P649,0,AT$13),15-13*ORÇAMENTO!$AF$7)/$H649*OFFSET(ORÇAMENTO!$X$15,ROW(AT649)-ROW(AT$15),0),0)</f>
        <v>0</v>
      </c>
      <c r="AU649" s="632">
        <f ca="1">IF(AND($D649="Serviço",AU$12&lt;&gt;0,$H649&gt;0,OR(AUTOEVENTO&lt;&gt;"manual",$M649&lt;&gt;1)),ROUND(OFFSET($P649,0,AU$13),15-13*ORÇAMENTO!$AF$7)/$H649*OFFSET(ORÇAMENTO!$X$15,ROW(AU649)-ROW(AU$15),0),0)</f>
        <v>0</v>
      </c>
      <c r="AV649" s="632">
        <f ca="1">IF(AND($D649="Serviço",AV$12&lt;&gt;0,$H649&gt;0,OR(AUTOEVENTO&lt;&gt;"manual",$M649&lt;&gt;1)),ROUND(OFFSET($P649,0,AV$13),15-13*ORÇAMENTO!$AF$7)/$H649*OFFSET(ORÇAMENTO!$X$15,ROW(AV649)-ROW(AV$15),0),0)</f>
        <v>0</v>
      </c>
      <c r="AW649" s="632">
        <f ca="1">IF(AND($D649="Serviço",AW$12&lt;&gt;0,$H649&gt;0,OR(AUTOEVENTO&lt;&gt;"manual",$M649&lt;&gt;1)),ROUND(OFFSET($P649,0,AW$13),15-13*ORÇAMENTO!$AF$7)/$H649*OFFSET(ORÇAMENTO!$X$15,ROW(AW649)-ROW(AW$15),0),0)</f>
        <v>0</v>
      </c>
      <c r="AX649" s="632">
        <f ca="1">IF(AND($D649="Serviço",AX$12&lt;&gt;0,$H649&gt;0,OR(AUTOEVENTO&lt;&gt;"manual",$M649&lt;&gt;1)),ROUND(OFFSET($P649,0,AX$13),15-13*ORÇAMENTO!$AF$7)/$H649*OFFSET(ORÇAMENTO!$X$15,ROW(AX649)-ROW(AX$15),0),0)</f>
        <v>0</v>
      </c>
      <c r="AY649" s="632">
        <f ca="1">IF(AND($D649="Serviço",AY$12&lt;&gt;0,$H649&gt;0,OR(AUTOEVENTO&lt;&gt;"manual",$M649&lt;&gt;1)),ROUND(OFFSET($P649,0,AY$13),15-13*ORÇAMENTO!$AF$7)/$H649*OFFSET(ORÇAMENTO!$X$15,ROW(AY649)-ROW(AY$15),0),0)</f>
        <v>0</v>
      </c>
      <c r="AZ649" s="632">
        <f ca="1">IF(AND($D649="Serviço",AZ$12&lt;&gt;0,$H649&gt;0,OR(AUTOEVENTO&lt;&gt;"manual",$M649&lt;&gt;1)),ROUND(OFFSET($P649,0,AZ$13),15-13*ORÇAMENTO!$AF$7)/$H649*OFFSET(ORÇAMENTO!$X$15,ROW(AZ649)-ROW(AZ$15),0),0)</f>
        <v>0</v>
      </c>
      <c r="BA649" s="633">
        <f ca="1">IF(AND($D649="Serviço",BA$12&lt;&gt;0,$H649&gt;0,OR(AUTOEVENTO&lt;&gt;"manual",$M649&lt;&gt;1)),ROUND(OFFSET($P649,0,BA$13),15-13*ORÇAMENTO!$AF$7)/$H649*OFFSET(ORÇAMENTO!$X$15,ROW(BA649)-ROW(BA$15),0),0)</f>
        <v>0</v>
      </c>
      <c r="BC649" s="215">
        <f ca="1">IF($D649&lt;&gt;"Serviço",0,IF(AND(AUTOEVENTO="Manual",$M649=1),0,IF(OFFSET(CRONOPLE!$F$14,$M649,BC$13)="",10^12,OFFSET(CRONOPLE!$F$14,$M649,BC$13))))</f>
        <v>1000000000000</v>
      </c>
      <c r="BD649" s="215">
        <f ca="1">IF($D649&lt;&gt;"Serviço",0,IF(AND(AUTOEVENTO="Manual",$M649=1),0,IF(OFFSET(CRONOPLE!$F$14,$M649,BD$13)="",10^12,OFFSET(CRONOPLE!$F$14,$M649,BD$13))))</f>
        <v>1000000000000</v>
      </c>
      <c r="BE649" s="215">
        <f ca="1">IF($D649&lt;&gt;"Serviço",0,IF(AND(AUTOEVENTO="Manual",$M649=1),0,IF(OFFSET(CRONOPLE!$F$14,$M649,BE$13)="",10^12,OFFSET(CRONOPLE!$F$14,$M649,BE$13))))</f>
        <v>1000000000000</v>
      </c>
      <c r="BF649" s="215">
        <f ca="1">IF($D649&lt;&gt;"Serviço",0,IF(AND(AUTOEVENTO="Manual",$M649=1),0,IF(OFFSET(CRONOPLE!$F$14,$M649,BF$13)="",10^12,OFFSET(CRONOPLE!$F$14,$M649,BF$13))))</f>
        <v>1000000000000</v>
      </c>
      <c r="BG649" s="215">
        <f ca="1">IF($D649&lt;&gt;"Serviço",0,IF(AND(AUTOEVENTO="Manual",$M649=1),0,IF(OFFSET(CRONOPLE!$F$14,$M649,BG$13)="",10^12,OFFSET(CRONOPLE!$F$14,$M649,BG$13))))</f>
        <v>1000000000000</v>
      </c>
      <c r="BH649" s="215">
        <f ca="1">IF($D649&lt;&gt;"Serviço",0,IF(AND(AUTOEVENTO="Manual",$M649=1),0,IF(OFFSET(CRONOPLE!$F$14,$M649,BH$13)="",10^12,OFFSET(CRONOPLE!$F$14,$M649,BH$13))))</f>
        <v>1000000000000</v>
      </c>
      <c r="BI649" s="215">
        <f ca="1">IF($D649&lt;&gt;"Serviço",0,IF(AND(AUTOEVENTO="Manual",$M649=1),0,IF(OFFSET(CRONOPLE!$F$14,$M649,BI$13)="",10^12,OFFSET(CRONOPLE!$F$14,$M649,BI$13))))</f>
        <v>1000000000000</v>
      </c>
      <c r="BJ649" s="215">
        <f ca="1">IF($D649&lt;&gt;"Serviço",0,IF(AND(AUTOEVENTO="Manual",$M649=1),0,IF(OFFSET(CRONOPLE!$F$14,$M649,BJ$13)="",10^12,OFFSET(CRONOPLE!$F$14,$M649,BJ$13))))</f>
        <v>1000000000000</v>
      </c>
      <c r="BK649" s="215">
        <f ca="1">IF($D649&lt;&gt;"Serviço",0,IF(AND(AUTOEVENTO="Manual",$M649=1),0,IF(OFFSET(CRONOPLE!$F$14,$M649,BK$13)="",10^12,OFFSET(CRONOPLE!$F$14,$M649,BK$13))))</f>
        <v>1000000000000</v>
      </c>
      <c r="BL649" s="215">
        <f ca="1">IF($D649&lt;&gt;"Serviço",0,IF(AND(AUTOEVENTO="Manual",$M649=1),0,IF(OFFSET(CRONOPLE!$F$14,$M649,BL$13)="",10^12,OFFSET(CRONOPLE!$F$14,$M649,BL$13))))</f>
        <v>1000000000000</v>
      </c>
      <c r="BM649" s="215">
        <f ca="1">IF($D649&lt;&gt;"Serviço",0,IF(AND(AUTOEVENTO="Manual",$M649=1),0,IF(OFFSET(CRONOPLE!$F$14,$M649,BM$13)="",10^12,OFFSET(CRONOPLE!$F$14,$M649,BM$13))))</f>
        <v>1000000000000</v>
      </c>
      <c r="BN649" s="215">
        <f ca="1">IF($D649&lt;&gt;"Serviço",0,IF(AND(AUTOEVENTO="Manual",$M649=1),0,IF(OFFSET(CRONOPLE!$F$14,$M649,BN$13)="",10^12,OFFSET(CRONOPLE!$F$14,$M649,BN$13))))</f>
        <v>1000000000000</v>
      </c>
      <c r="BO649" s="215">
        <f ca="1">IF($D649&lt;&gt;"Serviço",0,IF(AND(AUTOEVENTO="Manual",$M649=1),0,IF(OFFSET(CRONOPLE!$F$14,$M649,BO$13)="",10^12,OFFSET(CRONOPLE!$F$14,$M649,BO$13))))</f>
        <v>1000000000000</v>
      </c>
      <c r="BP649" s="215">
        <f ca="1">IF($D649&lt;&gt;"Serviço",0,IF(AND(AUTOEVENTO="Manual",$M649=1),0,IF(OFFSET(CRONOPLE!$F$14,$M649,BP$13)="",10^12,OFFSET(CRONOPLE!$F$14,$M649,BP$13))))</f>
        <v>1000000000000</v>
      </c>
      <c r="BQ649" s="215">
        <f ca="1">IF($D649&lt;&gt;"Serviço",0,IF(AND(AUTOEVENTO="Manual",$M649=1),0,IF(OFFSET(CRONOPLE!$F$14,$M649,BQ$13)="",10^12,OFFSET(CRONOPLE!$F$14,$M649,BQ$13))))</f>
        <v>1000000000000</v>
      </c>
      <c r="BR649" s="215">
        <f ca="1">IF($D649&lt;&gt;"Serviço",0,IF(AND(AUTOEVENTO="Manual",$M649=1),0,IF(OFFSET(CRONOPLE!$F$14,$M649,BR$13)="",10^12,OFFSET(CRONOPLE!$F$14,$M649,BR$13))))</f>
        <v>1000000000000</v>
      </c>
      <c r="BS649" s="215">
        <f ca="1">IF($D649&lt;&gt;"Serviço",0,IF(AND(AUTOEVENTO="Manual",$M649=1),0,IF(OFFSET(CRONOPLE!$F$14,$M649,BS$13)="",10^12,OFFSET(CRONOPLE!$F$14,$M649,BS$13))))</f>
        <v>1000000000000</v>
      </c>
      <c r="BT649" s="215">
        <f ca="1">IF($D649&lt;&gt;"Serviço",0,IF(AND(AUTOEVENTO="Manual",$M649=1),0,IF(OFFSET(CRONOPLE!$F$14,$M649,BT$13)="",10^12,OFFSET(CRONOPLE!$F$14,$M649,BT$13))))</f>
        <v>1000000000000</v>
      </c>
      <c r="BV649" s="216">
        <f ca="1">IF($D649&lt;&gt;"Serviço",0,IF(OR(AND(AUTOEVENTO="Manual",$M649=1),$M649&gt;(ROW(PLE.lastrow)-ROW(PLE.firstrow))),0,IF(OFFSET(PLE!$G$14,$M649,BV$13)="",10^12,OFFSET(PLE!$G$14,$M649,BV$13))))</f>
        <v>1000000000000</v>
      </c>
      <c r="BW649" s="216">
        <f ca="1">IF($D649&lt;&gt;"Serviço",0,IF(OR(AND(AUTOEVENTO="Manual",$M649=1),$M649&gt;(ROW(PLE.lastrow)-ROW(PLE.firstrow))),0,IF(OFFSET(PLE!$G$14,$M649,BW$13)="",10^12,OFFSET(PLE!$G$14,$M649,BW$13))))</f>
        <v>1000000000000</v>
      </c>
      <c r="BX649" s="216">
        <f ca="1">IF($D649&lt;&gt;"Serviço",0,IF(OR(AND(AUTOEVENTO="Manual",$M649=1),$M649&gt;(ROW(PLE.lastrow)-ROW(PLE.firstrow))),0,IF(OFFSET(PLE!$G$14,$M649,BX$13)="",10^12,OFFSET(PLE!$G$14,$M649,BX$13))))</f>
        <v>1000000000000</v>
      </c>
      <c r="BY649" s="216">
        <f ca="1">IF($D649&lt;&gt;"Serviço",0,IF(OR(AND(AUTOEVENTO="Manual",$M649=1),$M649&gt;(ROW(PLE.lastrow)-ROW(PLE.firstrow))),0,IF(OFFSET(PLE!$G$14,$M649,BY$13)="",10^12,OFFSET(PLE!$G$14,$M649,BY$13))))</f>
        <v>1000000000000</v>
      </c>
      <c r="BZ649" s="216">
        <f ca="1">IF($D649&lt;&gt;"Serviço",0,IF(OR(AND(AUTOEVENTO="Manual",$M649=1),$M649&gt;(ROW(PLE.lastrow)-ROW(PLE.firstrow))),0,IF(OFFSET(PLE!$G$14,$M649,BZ$13)="",10^12,OFFSET(PLE!$G$14,$M649,BZ$13))))</f>
        <v>1000000000000</v>
      </c>
      <c r="CA649" s="216">
        <f ca="1">IF($D649&lt;&gt;"Serviço",0,IF(OR(AND(AUTOEVENTO="Manual",$M649=1),$M649&gt;(ROW(PLE.lastrow)-ROW(PLE.firstrow))),0,IF(OFFSET(PLE!$G$14,$M649,CA$13)="",10^12,OFFSET(PLE!$G$14,$M649,CA$13))))</f>
        <v>1000000000000</v>
      </c>
      <c r="CB649" s="216">
        <f ca="1">IF($D649&lt;&gt;"Serviço",0,IF(OR(AND(AUTOEVENTO="Manual",$M649=1),$M649&gt;(ROW(PLE.lastrow)-ROW(PLE.firstrow))),0,IF(OFFSET(PLE!$G$14,$M649,CB$13)="",10^12,OFFSET(PLE!$G$14,$M649,CB$13))))</f>
        <v>1000000000000</v>
      </c>
      <c r="CC649" s="216">
        <f ca="1">IF($D649&lt;&gt;"Serviço",0,IF(OR(AND(AUTOEVENTO="Manual",$M649=1),$M649&gt;(ROW(PLE.lastrow)-ROW(PLE.firstrow))),0,IF(OFFSET(PLE!$G$14,$M649,CC$13)="",10^12,OFFSET(PLE!$G$14,$M649,CC$13))))</f>
        <v>1000000000000</v>
      </c>
      <c r="CD649" s="216">
        <f ca="1">IF($D649&lt;&gt;"Serviço",0,IF(OR(AND(AUTOEVENTO="Manual",$M649=1),$M649&gt;(ROW(PLE.lastrow)-ROW(PLE.firstrow))),0,IF(OFFSET(PLE!$G$14,$M649,CD$13)="",10^12,OFFSET(PLE!$G$14,$M649,CD$13))))</f>
        <v>1000000000000</v>
      </c>
      <c r="CE649" s="216">
        <f ca="1">IF($D649&lt;&gt;"Serviço",0,IF(OR(AND(AUTOEVENTO="Manual",$M649=1),$M649&gt;(ROW(PLE.lastrow)-ROW(PLE.firstrow))),0,IF(OFFSET(PLE!$G$14,$M649,CE$13)="",10^12,OFFSET(PLE!$G$14,$M649,CE$13))))</f>
        <v>1000000000000</v>
      </c>
      <c r="CF649" s="216">
        <f ca="1">IF($D649&lt;&gt;"Serviço",0,IF(OR(AND(AUTOEVENTO="Manual",$M649=1),$M649&gt;(ROW(PLE.lastrow)-ROW(PLE.firstrow))),0,IF(OFFSET(PLE!$G$14,$M649,CF$13)="",10^12,OFFSET(PLE!$G$14,$M649,CF$13))))</f>
        <v>1000000000000</v>
      </c>
      <c r="CG649" s="216">
        <f ca="1">IF($D649&lt;&gt;"Serviço",0,IF(OR(AND(AUTOEVENTO="Manual",$M649=1),$M649&gt;(ROW(PLE.lastrow)-ROW(PLE.firstrow))),0,IF(OFFSET(PLE!$G$14,$M649,CG$13)="",10^12,OFFSET(PLE!$G$14,$M649,CG$13))))</f>
        <v>1000000000000</v>
      </c>
      <c r="CH649" s="216">
        <f ca="1">IF($D649&lt;&gt;"Serviço",0,IF(OR(AND(AUTOEVENTO="Manual",$M649=1),$M649&gt;(ROW(PLE.lastrow)-ROW(PLE.firstrow))),0,IF(OFFSET(PLE!$G$14,$M649,CH$13)="",10^12,OFFSET(PLE!$G$14,$M649,CH$13))))</f>
        <v>1000000000000</v>
      </c>
      <c r="CI649" s="216">
        <f ca="1">IF($D649&lt;&gt;"Serviço",0,IF(OR(AND(AUTOEVENTO="Manual",$M649=1),$M649&gt;(ROW(PLE.lastrow)-ROW(PLE.firstrow))),0,IF(OFFSET(PLE!$G$14,$M649,CI$13)="",10^12,OFFSET(PLE!$G$14,$M649,CI$13))))</f>
        <v>1000000000000</v>
      </c>
      <c r="CJ649" s="216">
        <f ca="1">IF($D649&lt;&gt;"Serviço",0,IF(OR(AND(AUTOEVENTO="Manual",$M649=1),$M649&gt;(ROW(PLE.lastrow)-ROW(PLE.firstrow))),0,IF(OFFSET(PLE!$G$14,$M649,CJ$13)="",10^12,OFFSET(PLE!$G$14,$M649,CJ$13))))</f>
        <v>1000000000000</v>
      </c>
      <c r="CK649" s="216">
        <f ca="1">IF($D649&lt;&gt;"Serviço",0,IF(OR(AND(AUTOEVENTO="Manual",$M649=1),$M649&gt;(ROW(PLE.lastrow)-ROW(PLE.firstrow))),0,IF(OFFSET(PLE!$G$14,$M649,CK$13)="",10^12,OFFSET(PLE!$G$14,$M649,CK$13))))</f>
        <v>1000000000000</v>
      </c>
      <c r="CL649" s="216">
        <f ca="1">IF($D649&lt;&gt;"Serviço",0,IF(OR(AND(AUTOEVENTO="Manual",$M649=1),$M649&gt;(ROW(PLE.lastrow)-ROW(PLE.firstrow))),0,IF(OFFSET(PLE!$G$14,$M649,CL$13)="",10^12,OFFSET(PLE!$G$14,$M649,CL$13))))</f>
        <v>1000000000000</v>
      </c>
      <c r="CM649" s="216">
        <f ca="1">IF($D649&lt;&gt;"Serviço",0,IF(OR(AND(AUTOEVENTO="Manual",$M649=1),$M649&gt;(ROW(PLE.lastrow)-ROW(PLE.firstrow))),0,IF(OFFSET(PLE!$G$14,$M649,CM$13)="",10^12,OFFSET(PLE!$G$14,$M649,CM$13))))</f>
        <v>1000000000000</v>
      </c>
    </row>
    <row r="650" spans="1:91" ht="13.2" x14ac:dyDescent="0.25">
      <c r="A650" s="9">
        <f t="shared" ref="A650:A707" ca="1" si="20">IF(AUTOEVENTO="Manual",IF(K650&lt;&gt;"",MIN(VALUE(LEFT(K650,FIND(".",K650)-1)),COUNTA(EVENTOS.Lista)),0),IF(OR($B650&gt;AUTOEVENTO,$B650="S",$B650=0),SUBSTITUTE(OFFSET($A650,-1,0),IF($D650="Serviço",".",""),""),ROW(A650)-ROW($A$15)&amp;"."))</f>
        <v>0</v>
      </c>
      <c r="B650" s="9">
        <f ca="1">OFFSET(ORÇAMENTO!C$15,ROW(B650)-ROW(B$15),0)</f>
        <v>3</v>
      </c>
      <c r="C650" s="9" t="str">
        <f ca="1">OFFSET(ORÇAMENTO!L$15,ROW(C650)-ROW(C$15),0)</f>
        <v>F</v>
      </c>
      <c r="D650" s="145" t="str">
        <f ca="1">OFFSET(ORÇAMENTO!N$15,ROW(D650)-ROW(D$15),0)</f>
        <v>Nível 3</v>
      </c>
      <c r="E650" s="205" t="str">
        <f ca="1">OFFSET(ORÇAMENTO!O$15,ROW(E650)-ROW(E$15),0)</f>
        <v>1.20.5.</v>
      </c>
      <c r="F650" s="206" t="str">
        <f ca="1">OFFSET(ORÇAMENTO!R$15,ROW(F650)-ROW(F$15),0)</f>
        <v>CAIXAS E ACESSÓRIOS</v>
      </c>
      <c r="G650" s="207" t="str">
        <f ca="1">IF($D650&lt;&gt;"Serviço","",OFFSET(ORÇAMENTO!S$15,ROW(G650)-ROW(G$15),0))</f>
        <v/>
      </c>
      <c r="H650" s="151">
        <f ca="1">IF($D650&lt;&gt;"Serviço",0,IF(ACOMPANHAMENTO="BM",ROUND(OFFSET(ORÇAMENTO!AJ$15,ROW(H650)-ROW(H$15),0),15-13*ORÇAMENTO!$AF$7),SUMPRODUCT(($Q$12:$AI$12&lt;&gt;"")*ROUND($Q650:$AI650,15-13*ORÇAMENTO!$AF$7))))</f>
        <v>0</v>
      </c>
      <c r="I650" s="650"/>
      <c r="K650" s="208"/>
      <c r="L650" s="209" t="s">
        <v>257</v>
      </c>
      <c r="M650" s="210" t="str">
        <f ca="1">IF($D650&lt;&gt;"Serviço","",IF(AUTOEVENTO="manual",$A650,IF(ISERROR(MATCH($A650,$A$15:OFFSET($A650,-1,0),0)),MAX($M$15:OFFSET(M650,-1,0))+1,INDEX($M$15:OFFSET(M650,-1,0),MATCH($A650,$A$15:OFFSET($A650,-1,0),0)))))</f>
        <v/>
      </c>
      <c r="N650" s="211" t="str">
        <f ca="1">IF($D650&lt;&gt;"Serviço","",IF(AUTOEVENTO="Manual",IF($A650=0,"&lt;-- defina o número do agrupador",OFFSET(EVENTOS!$D$14,$A650,0)),OFFSET($F$15,$A650,0)))</f>
        <v/>
      </c>
      <c r="O650" s="212"/>
      <c r="Q650" s="212"/>
      <c r="R650" s="213"/>
      <c r="S650" s="213"/>
      <c r="T650" s="213"/>
      <c r="U650" s="213"/>
      <c r="V650" s="213"/>
      <c r="W650" s="213"/>
      <c r="X650" s="213"/>
      <c r="Y650" s="213"/>
      <c r="Z650" s="214"/>
      <c r="AA650" s="213"/>
      <c r="AB650" s="213"/>
      <c r="AC650" s="213"/>
      <c r="AD650" s="213"/>
      <c r="AE650" s="213"/>
      <c r="AF650" s="213"/>
      <c r="AG650" s="213"/>
      <c r="AH650" s="214"/>
      <c r="AJ650" s="631">
        <f ca="1">IF(AND($D650="Serviço",AJ$12&lt;&gt;0,$H650&gt;0,OR(AUTOEVENTO&lt;&gt;"manual",$M650&lt;&gt;1)),ROUND(OFFSET($P650,0,AJ$13),15-13*ORÇAMENTO!$AF$7)/$H650*OFFSET(ORÇAMENTO!$X$15,ROW(AJ650)-ROW(AJ$15),0),0)</f>
        <v>0</v>
      </c>
      <c r="AK650" s="632">
        <f ca="1">IF(AND($D650="Serviço",AK$12&lt;&gt;0,$H650&gt;0,OR(AUTOEVENTO&lt;&gt;"manual",$M650&lt;&gt;1)),ROUND(OFFSET($P650,0,AK$13),15-13*ORÇAMENTO!$AF$7)/$H650*OFFSET(ORÇAMENTO!$X$15,ROW(AK650)-ROW(AK$15),0),0)</f>
        <v>0</v>
      </c>
      <c r="AL650" s="632">
        <f ca="1">IF(AND($D650="Serviço",AL$12&lt;&gt;0,$H650&gt;0,OR(AUTOEVENTO&lt;&gt;"manual",$M650&lt;&gt;1)),ROUND(OFFSET($P650,0,AL$13),15-13*ORÇAMENTO!$AF$7)/$H650*OFFSET(ORÇAMENTO!$X$15,ROW(AL650)-ROW(AL$15),0),0)</f>
        <v>0</v>
      </c>
      <c r="AM650" s="632">
        <f ca="1">IF(AND($D650="Serviço",AM$12&lt;&gt;0,$H650&gt;0,OR(AUTOEVENTO&lt;&gt;"manual",$M650&lt;&gt;1)),ROUND(OFFSET($P650,0,AM$13),15-13*ORÇAMENTO!$AF$7)/$H650*OFFSET(ORÇAMENTO!$X$15,ROW(AM650)-ROW(AM$15),0),0)</f>
        <v>0</v>
      </c>
      <c r="AN650" s="632">
        <f ca="1">IF(AND($D650="Serviço",AN$12&lt;&gt;0,$H650&gt;0,OR(AUTOEVENTO&lt;&gt;"manual",$M650&lt;&gt;1)),ROUND(OFFSET($P650,0,AN$13),15-13*ORÇAMENTO!$AF$7)/$H650*OFFSET(ORÇAMENTO!$X$15,ROW(AN650)-ROW(AN$15),0),0)</f>
        <v>0</v>
      </c>
      <c r="AO650" s="632">
        <f ca="1">IF(AND($D650="Serviço",AO$12&lt;&gt;0,$H650&gt;0,OR(AUTOEVENTO&lt;&gt;"manual",$M650&lt;&gt;1)),ROUND(OFFSET($P650,0,AO$13),15-13*ORÇAMENTO!$AF$7)/$H650*OFFSET(ORÇAMENTO!$X$15,ROW(AO650)-ROW(AO$15),0),0)</f>
        <v>0</v>
      </c>
      <c r="AP650" s="632">
        <f ca="1">IF(AND($D650="Serviço",AP$12&lt;&gt;0,$H650&gt;0,OR(AUTOEVENTO&lt;&gt;"manual",$M650&lt;&gt;1)),ROUND(OFFSET($P650,0,AP$13),15-13*ORÇAMENTO!$AF$7)/$H650*OFFSET(ORÇAMENTO!$X$15,ROW(AP650)-ROW(AP$15),0),0)</f>
        <v>0</v>
      </c>
      <c r="AQ650" s="632">
        <f ca="1">IF(AND($D650="Serviço",AQ$12&lt;&gt;0,$H650&gt;0,OR(AUTOEVENTO&lt;&gt;"manual",$M650&lt;&gt;1)),ROUND(OFFSET($P650,0,AQ$13),15-13*ORÇAMENTO!$AF$7)/$H650*OFFSET(ORÇAMENTO!$X$15,ROW(AQ650)-ROW(AQ$15),0),0)</f>
        <v>0</v>
      </c>
      <c r="AR650" s="632">
        <f ca="1">IF(AND($D650="Serviço",AR$12&lt;&gt;0,$H650&gt;0,OR(AUTOEVENTO&lt;&gt;"manual",$M650&lt;&gt;1)),ROUND(OFFSET($P650,0,AR$13),15-13*ORÇAMENTO!$AF$7)/$H650*OFFSET(ORÇAMENTO!$X$15,ROW(AR650)-ROW(AR$15),0),0)</f>
        <v>0</v>
      </c>
      <c r="AS650" s="633">
        <f ca="1">IF(AND($D650="Serviço",AS$12&lt;&gt;0,$H650&gt;0,OR(AUTOEVENTO&lt;&gt;"manual",$M650&lt;&gt;1)),ROUND(OFFSET($P650,0,AS$13),15-13*ORÇAMENTO!$AF$7)/$H650*OFFSET(ORÇAMENTO!$X$15,ROW(AS650)-ROW(AS$15),0),0)</f>
        <v>0</v>
      </c>
      <c r="AT650" s="632">
        <f ca="1">IF(AND($D650="Serviço",AT$12&lt;&gt;0,$H650&gt;0,OR(AUTOEVENTO&lt;&gt;"manual",$M650&lt;&gt;1)),ROUND(OFFSET($P650,0,AT$13),15-13*ORÇAMENTO!$AF$7)/$H650*OFFSET(ORÇAMENTO!$X$15,ROW(AT650)-ROW(AT$15),0),0)</f>
        <v>0</v>
      </c>
      <c r="AU650" s="632">
        <f ca="1">IF(AND($D650="Serviço",AU$12&lt;&gt;0,$H650&gt;0,OR(AUTOEVENTO&lt;&gt;"manual",$M650&lt;&gt;1)),ROUND(OFFSET($P650,0,AU$13),15-13*ORÇAMENTO!$AF$7)/$H650*OFFSET(ORÇAMENTO!$X$15,ROW(AU650)-ROW(AU$15),0),0)</f>
        <v>0</v>
      </c>
      <c r="AV650" s="632">
        <f ca="1">IF(AND($D650="Serviço",AV$12&lt;&gt;0,$H650&gt;0,OR(AUTOEVENTO&lt;&gt;"manual",$M650&lt;&gt;1)),ROUND(OFFSET($P650,0,AV$13),15-13*ORÇAMENTO!$AF$7)/$H650*OFFSET(ORÇAMENTO!$X$15,ROW(AV650)-ROW(AV$15),0),0)</f>
        <v>0</v>
      </c>
      <c r="AW650" s="632">
        <f ca="1">IF(AND($D650="Serviço",AW$12&lt;&gt;0,$H650&gt;0,OR(AUTOEVENTO&lt;&gt;"manual",$M650&lt;&gt;1)),ROUND(OFFSET($P650,0,AW$13),15-13*ORÇAMENTO!$AF$7)/$H650*OFFSET(ORÇAMENTO!$X$15,ROW(AW650)-ROW(AW$15),0),0)</f>
        <v>0</v>
      </c>
      <c r="AX650" s="632">
        <f ca="1">IF(AND($D650="Serviço",AX$12&lt;&gt;0,$H650&gt;0,OR(AUTOEVENTO&lt;&gt;"manual",$M650&lt;&gt;1)),ROUND(OFFSET($P650,0,AX$13),15-13*ORÇAMENTO!$AF$7)/$H650*OFFSET(ORÇAMENTO!$X$15,ROW(AX650)-ROW(AX$15),0),0)</f>
        <v>0</v>
      </c>
      <c r="AY650" s="632">
        <f ca="1">IF(AND($D650="Serviço",AY$12&lt;&gt;0,$H650&gt;0,OR(AUTOEVENTO&lt;&gt;"manual",$M650&lt;&gt;1)),ROUND(OFFSET($P650,0,AY$13),15-13*ORÇAMENTO!$AF$7)/$H650*OFFSET(ORÇAMENTO!$X$15,ROW(AY650)-ROW(AY$15),0),0)</f>
        <v>0</v>
      </c>
      <c r="AZ650" s="632">
        <f ca="1">IF(AND($D650="Serviço",AZ$12&lt;&gt;0,$H650&gt;0,OR(AUTOEVENTO&lt;&gt;"manual",$M650&lt;&gt;1)),ROUND(OFFSET($P650,0,AZ$13),15-13*ORÇAMENTO!$AF$7)/$H650*OFFSET(ORÇAMENTO!$X$15,ROW(AZ650)-ROW(AZ$15),0),0)</f>
        <v>0</v>
      </c>
      <c r="BA650" s="633">
        <f ca="1">IF(AND($D650="Serviço",BA$12&lt;&gt;0,$H650&gt;0,OR(AUTOEVENTO&lt;&gt;"manual",$M650&lt;&gt;1)),ROUND(OFFSET($P650,0,BA$13),15-13*ORÇAMENTO!$AF$7)/$H650*OFFSET(ORÇAMENTO!$X$15,ROW(BA650)-ROW(BA$15),0),0)</f>
        <v>0</v>
      </c>
      <c r="BC650" s="215">
        <f ca="1">IF($D650&lt;&gt;"Serviço",0,IF(AND(AUTOEVENTO="Manual",$M650=1),0,IF(OFFSET(CRONOPLE!$F$14,$M650,BC$13)="",10^12,OFFSET(CRONOPLE!$F$14,$M650,BC$13))))</f>
        <v>0</v>
      </c>
      <c r="BD650" s="215">
        <f ca="1">IF($D650&lt;&gt;"Serviço",0,IF(AND(AUTOEVENTO="Manual",$M650=1),0,IF(OFFSET(CRONOPLE!$F$14,$M650,BD$13)="",10^12,OFFSET(CRONOPLE!$F$14,$M650,BD$13))))</f>
        <v>0</v>
      </c>
      <c r="BE650" s="215">
        <f ca="1">IF($D650&lt;&gt;"Serviço",0,IF(AND(AUTOEVENTO="Manual",$M650=1),0,IF(OFFSET(CRONOPLE!$F$14,$M650,BE$13)="",10^12,OFFSET(CRONOPLE!$F$14,$M650,BE$13))))</f>
        <v>0</v>
      </c>
      <c r="BF650" s="215">
        <f ca="1">IF($D650&lt;&gt;"Serviço",0,IF(AND(AUTOEVENTO="Manual",$M650=1),0,IF(OFFSET(CRONOPLE!$F$14,$M650,BF$13)="",10^12,OFFSET(CRONOPLE!$F$14,$M650,BF$13))))</f>
        <v>0</v>
      </c>
      <c r="BG650" s="215">
        <f ca="1">IF($D650&lt;&gt;"Serviço",0,IF(AND(AUTOEVENTO="Manual",$M650=1),0,IF(OFFSET(CRONOPLE!$F$14,$M650,BG$13)="",10^12,OFFSET(CRONOPLE!$F$14,$M650,BG$13))))</f>
        <v>0</v>
      </c>
      <c r="BH650" s="215">
        <f ca="1">IF($D650&lt;&gt;"Serviço",0,IF(AND(AUTOEVENTO="Manual",$M650=1),0,IF(OFFSET(CRONOPLE!$F$14,$M650,BH$13)="",10^12,OFFSET(CRONOPLE!$F$14,$M650,BH$13))))</f>
        <v>0</v>
      </c>
      <c r="BI650" s="215">
        <f ca="1">IF($D650&lt;&gt;"Serviço",0,IF(AND(AUTOEVENTO="Manual",$M650=1),0,IF(OFFSET(CRONOPLE!$F$14,$M650,BI$13)="",10^12,OFFSET(CRONOPLE!$F$14,$M650,BI$13))))</f>
        <v>0</v>
      </c>
      <c r="BJ650" s="215">
        <f ca="1">IF($D650&lt;&gt;"Serviço",0,IF(AND(AUTOEVENTO="Manual",$M650=1),0,IF(OFFSET(CRONOPLE!$F$14,$M650,BJ$13)="",10^12,OFFSET(CRONOPLE!$F$14,$M650,BJ$13))))</f>
        <v>0</v>
      </c>
      <c r="BK650" s="215">
        <f ca="1">IF($D650&lt;&gt;"Serviço",0,IF(AND(AUTOEVENTO="Manual",$M650=1),0,IF(OFFSET(CRONOPLE!$F$14,$M650,BK$13)="",10^12,OFFSET(CRONOPLE!$F$14,$M650,BK$13))))</f>
        <v>0</v>
      </c>
      <c r="BL650" s="215">
        <f ca="1">IF($D650&lt;&gt;"Serviço",0,IF(AND(AUTOEVENTO="Manual",$M650=1),0,IF(OFFSET(CRONOPLE!$F$14,$M650,BL$13)="",10^12,OFFSET(CRONOPLE!$F$14,$M650,BL$13))))</f>
        <v>0</v>
      </c>
      <c r="BM650" s="215">
        <f ca="1">IF($D650&lt;&gt;"Serviço",0,IF(AND(AUTOEVENTO="Manual",$M650=1),0,IF(OFFSET(CRONOPLE!$F$14,$M650,BM$13)="",10^12,OFFSET(CRONOPLE!$F$14,$M650,BM$13))))</f>
        <v>0</v>
      </c>
      <c r="BN650" s="215">
        <f ca="1">IF($D650&lt;&gt;"Serviço",0,IF(AND(AUTOEVENTO="Manual",$M650=1),0,IF(OFFSET(CRONOPLE!$F$14,$M650,BN$13)="",10^12,OFFSET(CRONOPLE!$F$14,$M650,BN$13))))</f>
        <v>0</v>
      </c>
      <c r="BO650" s="215">
        <f ca="1">IF($D650&lt;&gt;"Serviço",0,IF(AND(AUTOEVENTO="Manual",$M650=1),0,IF(OFFSET(CRONOPLE!$F$14,$M650,BO$13)="",10^12,OFFSET(CRONOPLE!$F$14,$M650,BO$13))))</f>
        <v>0</v>
      </c>
      <c r="BP650" s="215">
        <f ca="1">IF($D650&lt;&gt;"Serviço",0,IF(AND(AUTOEVENTO="Manual",$M650=1),0,IF(OFFSET(CRONOPLE!$F$14,$M650,BP$13)="",10^12,OFFSET(CRONOPLE!$F$14,$M650,BP$13))))</f>
        <v>0</v>
      </c>
      <c r="BQ650" s="215">
        <f ca="1">IF($D650&lt;&gt;"Serviço",0,IF(AND(AUTOEVENTO="Manual",$M650=1),0,IF(OFFSET(CRONOPLE!$F$14,$M650,BQ$13)="",10^12,OFFSET(CRONOPLE!$F$14,$M650,BQ$13))))</f>
        <v>0</v>
      </c>
      <c r="BR650" s="215">
        <f ca="1">IF($D650&lt;&gt;"Serviço",0,IF(AND(AUTOEVENTO="Manual",$M650=1),0,IF(OFFSET(CRONOPLE!$F$14,$M650,BR$13)="",10^12,OFFSET(CRONOPLE!$F$14,$M650,BR$13))))</f>
        <v>0</v>
      </c>
      <c r="BS650" s="215">
        <f ca="1">IF($D650&lt;&gt;"Serviço",0,IF(AND(AUTOEVENTO="Manual",$M650=1),0,IF(OFFSET(CRONOPLE!$F$14,$M650,BS$13)="",10^12,OFFSET(CRONOPLE!$F$14,$M650,BS$13))))</f>
        <v>0</v>
      </c>
      <c r="BT650" s="215">
        <f ca="1">IF($D650&lt;&gt;"Serviço",0,IF(AND(AUTOEVENTO="Manual",$M650=1),0,IF(OFFSET(CRONOPLE!$F$14,$M650,BT$13)="",10^12,OFFSET(CRONOPLE!$F$14,$M650,BT$13))))</f>
        <v>0</v>
      </c>
      <c r="BV650" s="216">
        <f ca="1">IF($D650&lt;&gt;"Serviço",0,IF(OR(AND(AUTOEVENTO="Manual",$M650=1),$M650&gt;(ROW(PLE.lastrow)-ROW(PLE.firstrow))),0,IF(OFFSET(PLE!$G$14,$M650,BV$13)="",10^12,OFFSET(PLE!$G$14,$M650,BV$13))))</f>
        <v>0</v>
      </c>
      <c r="BW650" s="216">
        <f ca="1">IF($D650&lt;&gt;"Serviço",0,IF(OR(AND(AUTOEVENTO="Manual",$M650=1),$M650&gt;(ROW(PLE.lastrow)-ROW(PLE.firstrow))),0,IF(OFFSET(PLE!$G$14,$M650,BW$13)="",10^12,OFFSET(PLE!$G$14,$M650,BW$13))))</f>
        <v>0</v>
      </c>
      <c r="BX650" s="216">
        <f ca="1">IF($D650&lt;&gt;"Serviço",0,IF(OR(AND(AUTOEVENTO="Manual",$M650=1),$M650&gt;(ROW(PLE.lastrow)-ROW(PLE.firstrow))),0,IF(OFFSET(PLE!$G$14,$M650,BX$13)="",10^12,OFFSET(PLE!$G$14,$M650,BX$13))))</f>
        <v>0</v>
      </c>
      <c r="BY650" s="216">
        <f ca="1">IF($D650&lt;&gt;"Serviço",0,IF(OR(AND(AUTOEVENTO="Manual",$M650=1),$M650&gt;(ROW(PLE.lastrow)-ROW(PLE.firstrow))),0,IF(OFFSET(PLE!$G$14,$M650,BY$13)="",10^12,OFFSET(PLE!$G$14,$M650,BY$13))))</f>
        <v>0</v>
      </c>
      <c r="BZ650" s="216">
        <f ca="1">IF($D650&lt;&gt;"Serviço",0,IF(OR(AND(AUTOEVENTO="Manual",$M650=1),$M650&gt;(ROW(PLE.lastrow)-ROW(PLE.firstrow))),0,IF(OFFSET(PLE!$G$14,$M650,BZ$13)="",10^12,OFFSET(PLE!$G$14,$M650,BZ$13))))</f>
        <v>0</v>
      </c>
      <c r="CA650" s="216">
        <f ca="1">IF($D650&lt;&gt;"Serviço",0,IF(OR(AND(AUTOEVENTO="Manual",$M650=1),$M650&gt;(ROW(PLE.lastrow)-ROW(PLE.firstrow))),0,IF(OFFSET(PLE!$G$14,$M650,CA$13)="",10^12,OFFSET(PLE!$G$14,$M650,CA$13))))</f>
        <v>0</v>
      </c>
      <c r="CB650" s="216">
        <f ca="1">IF($D650&lt;&gt;"Serviço",0,IF(OR(AND(AUTOEVENTO="Manual",$M650=1),$M650&gt;(ROW(PLE.lastrow)-ROW(PLE.firstrow))),0,IF(OFFSET(PLE!$G$14,$M650,CB$13)="",10^12,OFFSET(PLE!$G$14,$M650,CB$13))))</f>
        <v>0</v>
      </c>
      <c r="CC650" s="216">
        <f ca="1">IF($D650&lt;&gt;"Serviço",0,IF(OR(AND(AUTOEVENTO="Manual",$M650=1),$M650&gt;(ROW(PLE.lastrow)-ROW(PLE.firstrow))),0,IF(OFFSET(PLE!$G$14,$M650,CC$13)="",10^12,OFFSET(PLE!$G$14,$M650,CC$13))))</f>
        <v>0</v>
      </c>
      <c r="CD650" s="216">
        <f ca="1">IF($D650&lt;&gt;"Serviço",0,IF(OR(AND(AUTOEVENTO="Manual",$M650=1),$M650&gt;(ROW(PLE.lastrow)-ROW(PLE.firstrow))),0,IF(OFFSET(PLE!$G$14,$M650,CD$13)="",10^12,OFFSET(PLE!$G$14,$M650,CD$13))))</f>
        <v>0</v>
      </c>
      <c r="CE650" s="216">
        <f ca="1">IF($D650&lt;&gt;"Serviço",0,IF(OR(AND(AUTOEVENTO="Manual",$M650=1),$M650&gt;(ROW(PLE.lastrow)-ROW(PLE.firstrow))),0,IF(OFFSET(PLE!$G$14,$M650,CE$13)="",10^12,OFFSET(PLE!$G$14,$M650,CE$13))))</f>
        <v>0</v>
      </c>
      <c r="CF650" s="216">
        <f ca="1">IF($D650&lt;&gt;"Serviço",0,IF(OR(AND(AUTOEVENTO="Manual",$M650=1),$M650&gt;(ROW(PLE.lastrow)-ROW(PLE.firstrow))),0,IF(OFFSET(PLE!$G$14,$M650,CF$13)="",10^12,OFFSET(PLE!$G$14,$M650,CF$13))))</f>
        <v>0</v>
      </c>
      <c r="CG650" s="216">
        <f ca="1">IF($D650&lt;&gt;"Serviço",0,IF(OR(AND(AUTOEVENTO="Manual",$M650=1),$M650&gt;(ROW(PLE.lastrow)-ROW(PLE.firstrow))),0,IF(OFFSET(PLE!$G$14,$M650,CG$13)="",10^12,OFFSET(PLE!$G$14,$M650,CG$13))))</f>
        <v>0</v>
      </c>
      <c r="CH650" s="216">
        <f ca="1">IF($D650&lt;&gt;"Serviço",0,IF(OR(AND(AUTOEVENTO="Manual",$M650=1),$M650&gt;(ROW(PLE.lastrow)-ROW(PLE.firstrow))),0,IF(OFFSET(PLE!$G$14,$M650,CH$13)="",10^12,OFFSET(PLE!$G$14,$M650,CH$13))))</f>
        <v>0</v>
      </c>
      <c r="CI650" s="216">
        <f ca="1">IF($D650&lt;&gt;"Serviço",0,IF(OR(AND(AUTOEVENTO="Manual",$M650=1),$M650&gt;(ROW(PLE.lastrow)-ROW(PLE.firstrow))),0,IF(OFFSET(PLE!$G$14,$M650,CI$13)="",10^12,OFFSET(PLE!$G$14,$M650,CI$13))))</f>
        <v>0</v>
      </c>
      <c r="CJ650" s="216">
        <f ca="1">IF($D650&lt;&gt;"Serviço",0,IF(OR(AND(AUTOEVENTO="Manual",$M650=1),$M650&gt;(ROW(PLE.lastrow)-ROW(PLE.firstrow))),0,IF(OFFSET(PLE!$G$14,$M650,CJ$13)="",10^12,OFFSET(PLE!$G$14,$M650,CJ$13))))</f>
        <v>0</v>
      </c>
      <c r="CK650" s="216">
        <f ca="1">IF($D650&lt;&gt;"Serviço",0,IF(OR(AND(AUTOEVENTO="Manual",$M650=1),$M650&gt;(ROW(PLE.lastrow)-ROW(PLE.firstrow))),0,IF(OFFSET(PLE!$G$14,$M650,CK$13)="",10^12,OFFSET(PLE!$G$14,$M650,CK$13))))</f>
        <v>0</v>
      </c>
      <c r="CL650" s="216">
        <f ca="1">IF($D650&lt;&gt;"Serviço",0,IF(OR(AND(AUTOEVENTO="Manual",$M650=1),$M650&gt;(ROW(PLE.lastrow)-ROW(PLE.firstrow))),0,IF(OFFSET(PLE!$G$14,$M650,CL$13)="",10^12,OFFSET(PLE!$G$14,$M650,CL$13))))</f>
        <v>0</v>
      </c>
      <c r="CM650" s="216">
        <f ca="1">IF($D650&lt;&gt;"Serviço",0,IF(OR(AND(AUTOEVENTO="Manual",$M650=1),$M650&gt;(ROW(PLE.lastrow)-ROW(PLE.firstrow))),0,IF(OFFSET(PLE!$G$14,$M650,CM$13)="",10^12,OFFSET(PLE!$G$14,$M650,CM$13))))</f>
        <v>0</v>
      </c>
    </row>
    <row r="651" spans="1:91" ht="13.2" x14ac:dyDescent="0.25">
      <c r="A651" s="9">
        <f t="shared" ca="1" si="20"/>
        <v>0</v>
      </c>
      <c r="B651" s="9" t="str">
        <f ca="1">OFFSET(ORÇAMENTO!C$15,ROW(B651)-ROW(B$15),0)</f>
        <v>S</v>
      </c>
      <c r="C651" s="9" t="str">
        <f ca="1">OFFSET(ORÇAMENTO!L$15,ROW(C651)-ROW(C$15),0)</f>
        <v/>
      </c>
      <c r="D651" s="145" t="str">
        <f ca="1">OFFSET(ORÇAMENTO!N$15,ROW(D651)-ROW(D$15),0)</f>
        <v>Serviço</v>
      </c>
      <c r="E651" s="205" t="str">
        <f ca="1">OFFSET(ORÇAMENTO!O$15,ROW(E651)-ROW(E$15),0)</f>
        <v>-</v>
      </c>
      <c r="F651" s="206" t="str">
        <f ca="1">OFFSET(ORÇAMENTO!R$15,ROW(F651)-ROW(F$15),0)</f>
        <v>(abra o arquivo 'Referência 05-2024.xls)</v>
      </c>
      <c r="G651" s="207" t="str">
        <f ca="1">IF($D651&lt;&gt;"Serviço","",OFFSET(ORÇAMENTO!S$15,ROW(G651)-ROW(G$15),0))</f>
        <v>-</v>
      </c>
      <c r="H651" s="151">
        <f ca="1">IF($D651&lt;&gt;"Serviço",0,IF(ACOMPANHAMENTO="BM",ROUND(OFFSET(ORÇAMENTO!AJ$15,ROW(H651)-ROW(H$15),0),15-13*ORÇAMENTO!$AF$7),SUMPRODUCT(($Q$12:$AI$12&lt;&gt;"")*ROUND($Q651:$AI651,15-13*ORÇAMENTO!$AF$7))))</f>
        <v>1</v>
      </c>
      <c r="I651" s="650"/>
      <c r="K651" s="208"/>
      <c r="L651" s="209" t="s">
        <v>257</v>
      </c>
      <c r="M651" s="210">
        <f ca="1">IF($D651&lt;&gt;"Serviço","",IF(AUTOEVENTO="manual",$A651,IF(ISERROR(MATCH($A651,$A$15:OFFSET($A651,-1,0),0)),MAX($M$15:OFFSET(M651,-1,0))+1,INDEX($M$15:OFFSET(M651,-1,0),MATCH($A651,$A$15:OFFSET($A651,-1,0),0)))))</f>
        <v>0</v>
      </c>
      <c r="N651" s="211" t="str">
        <f ca="1">IF($D651&lt;&gt;"Serviço","",IF(AUTOEVENTO="Manual",IF($A651=0,"&lt;-- defina o número do agrupador",OFFSET(EVENTOS!$D$14,$A651,0)),OFFSET($F$15,$A651,0)))</f>
        <v>&lt;-- defina o número do agrupador</v>
      </c>
      <c r="O651" s="212"/>
      <c r="Q651" s="212"/>
      <c r="R651" s="213"/>
      <c r="S651" s="213"/>
      <c r="T651" s="213"/>
      <c r="U651" s="213"/>
      <c r="V651" s="213"/>
      <c r="W651" s="213"/>
      <c r="X651" s="213"/>
      <c r="Y651" s="213"/>
      <c r="Z651" s="214"/>
      <c r="AA651" s="213"/>
      <c r="AB651" s="213"/>
      <c r="AC651" s="213"/>
      <c r="AD651" s="213"/>
      <c r="AE651" s="213"/>
      <c r="AF651" s="213"/>
      <c r="AG651" s="213"/>
      <c r="AH651" s="214"/>
      <c r="AJ651" s="631">
        <f ca="1">IF(AND($D651="Serviço",AJ$12&lt;&gt;0,$H651&gt;0,OR(AUTOEVENTO&lt;&gt;"manual",$M651&lt;&gt;1)),ROUND(OFFSET($P651,0,AJ$13),15-13*ORÇAMENTO!$AF$7)/$H651*OFFSET(ORÇAMENTO!$X$15,ROW(AJ651)-ROW(AJ$15),0),0)</f>
        <v>0</v>
      </c>
      <c r="AK651" s="632">
        <f ca="1">IF(AND($D651="Serviço",AK$12&lt;&gt;0,$H651&gt;0,OR(AUTOEVENTO&lt;&gt;"manual",$M651&lt;&gt;1)),ROUND(OFFSET($P651,0,AK$13),15-13*ORÇAMENTO!$AF$7)/$H651*OFFSET(ORÇAMENTO!$X$15,ROW(AK651)-ROW(AK$15),0),0)</f>
        <v>0</v>
      </c>
      <c r="AL651" s="632">
        <f ca="1">IF(AND($D651="Serviço",AL$12&lt;&gt;0,$H651&gt;0,OR(AUTOEVENTO&lt;&gt;"manual",$M651&lt;&gt;1)),ROUND(OFFSET($P651,0,AL$13),15-13*ORÇAMENTO!$AF$7)/$H651*OFFSET(ORÇAMENTO!$X$15,ROW(AL651)-ROW(AL$15),0),0)</f>
        <v>0</v>
      </c>
      <c r="AM651" s="632">
        <f ca="1">IF(AND($D651="Serviço",AM$12&lt;&gt;0,$H651&gt;0,OR(AUTOEVENTO&lt;&gt;"manual",$M651&lt;&gt;1)),ROUND(OFFSET($P651,0,AM$13),15-13*ORÇAMENTO!$AF$7)/$H651*OFFSET(ORÇAMENTO!$X$15,ROW(AM651)-ROW(AM$15),0),0)</f>
        <v>0</v>
      </c>
      <c r="AN651" s="632">
        <f ca="1">IF(AND($D651="Serviço",AN$12&lt;&gt;0,$H651&gt;0,OR(AUTOEVENTO&lt;&gt;"manual",$M651&lt;&gt;1)),ROUND(OFFSET($P651,0,AN$13),15-13*ORÇAMENTO!$AF$7)/$H651*OFFSET(ORÇAMENTO!$X$15,ROW(AN651)-ROW(AN$15),0),0)</f>
        <v>0</v>
      </c>
      <c r="AO651" s="632">
        <f ca="1">IF(AND($D651="Serviço",AO$12&lt;&gt;0,$H651&gt;0,OR(AUTOEVENTO&lt;&gt;"manual",$M651&lt;&gt;1)),ROUND(OFFSET($P651,0,AO$13),15-13*ORÇAMENTO!$AF$7)/$H651*OFFSET(ORÇAMENTO!$X$15,ROW(AO651)-ROW(AO$15),0),0)</f>
        <v>0</v>
      </c>
      <c r="AP651" s="632">
        <f ca="1">IF(AND($D651="Serviço",AP$12&lt;&gt;0,$H651&gt;0,OR(AUTOEVENTO&lt;&gt;"manual",$M651&lt;&gt;1)),ROUND(OFFSET($P651,0,AP$13),15-13*ORÇAMENTO!$AF$7)/$H651*OFFSET(ORÇAMENTO!$X$15,ROW(AP651)-ROW(AP$15),0),0)</f>
        <v>0</v>
      </c>
      <c r="AQ651" s="632">
        <f ca="1">IF(AND($D651="Serviço",AQ$12&lt;&gt;0,$H651&gt;0,OR(AUTOEVENTO&lt;&gt;"manual",$M651&lt;&gt;1)),ROUND(OFFSET($P651,0,AQ$13),15-13*ORÇAMENTO!$AF$7)/$H651*OFFSET(ORÇAMENTO!$X$15,ROW(AQ651)-ROW(AQ$15),0),0)</f>
        <v>0</v>
      </c>
      <c r="AR651" s="632">
        <f ca="1">IF(AND($D651="Serviço",AR$12&lt;&gt;0,$H651&gt;0,OR(AUTOEVENTO&lt;&gt;"manual",$M651&lt;&gt;1)),ROUND(OFFSET($P651,0,AR$13),15-13*ORÇAMENTO!$AF$7)/$H651*OFFSET(ORÇAMENTO!$X$15,ROW(AR651)-ROW(AR$15),0),0)</f>
        <v>0</v>
      </c>
      <c r="AS651" s="633">
        <f ca="1">IF(AND($D651="Serviço",AS$12&lt;&gt;0,$H651&gt;0,OR(AUTOEVENTO&lt;&gt;"manual",$M651&lt;&gt;1)),ROUND(OFFSET($P651,0,AS$13),15-13*ORÇAMENTO!$AF$7)/$H651*OFFSET(ORÇAMENTO!$X$15,ROW(AS651)-ROW(AS$15),0),0)</f>
        <v>0</v>
      </c>
      <c r="AT651" s="632">
        <f ca="1">IF(AND($D651="Serviço",AT$12&lt;&gt;0,$H651&gt;0,OR(AUTOEVENTO&lt;&gt;"manual",$M651&lt;&gt;1)),ROUND(OFFSET($P651,0,AT$13),15-13*ORÇAMENTO!$AF$7)/$H651*OFFSET(ORÇAMENTO!$X$15,ROW(AT651)-ROW(AT$15),0),0)</f>
        <v>0</v>
      </c>
      <c r="AU651" s="632">
        <f ca="1">IF(AND($D651="Serviço",AU$12&lt;&gt;0,$H651&gt;0,OR(AUTOEVENTO&lt;&gt;"manual",$M651&lt;&gt;1)),ROUND(OFFSET($P651,0,AU$13),15-13*ORÇAMENTO!$AF$7)/$H651*OFFSET(ORÇAMENTO!$X$15,ROW(AU651)-ROW(AU$15),0),0)</f>
        <v>0</v>
      </c>
      <c r="AV651" s="632">
        <f ca="1">IF(AND($D651="Serviço",AV$12&lt;&gt;0,$H651&gt;0,OR(AUTOEVENTO&lt;&gt;"manual",$M651&lt;&gt;1)),ROUND(OFFSET($P651,0,AV$13),15-13*ORÇAMENTO!$AF$7)/$H651*OFFSET(ORÇAMENTO!$X$15,ROW(AV651)-ROW(AV$15),0),0)</f>
        <v>0</v>
      </c>
      <c r="AW651" s="632">
        <f ca="1">IF(AND($D651="Serviço",AW$12&lt;&gt;0,$H651&gt;0,OR(AUTOEVENTO&lt;&gt;"manual",$M651&lt;&gt;1)),ROUND(OFFSET($P651,0,AW$13),15-13*ORÇAMENTO!$AF$7)/$H651*OFFSET(ORÇAMENTO!$X$15,ROW(AW651)-ROW(AW$15),0),0)</f>
        <v>0</v>
      </c>
      <c r="AX651" s="632">
        <f ca="1">IF(AND($D651="Serviço",AX$12&lt;&gt;0,$H651&gt;0,OR(AUTOEVENTO&lt;&gt;"manual",$M651&lt;&gt;1)),ROUND(OFFSET($P651,0,AX$13),15-13*ORÇAMENTO!$AF$7)/$H651*OFFSET(ORÇAMENTO!$X$15,ROW(AX651)-ROW(AX$15),0),0)</f>
        <v>0</v>
      </c>
      <c r="AY651" s="632">
        <f ca="1">IF(AND($D651="Serviço",AY$12&lt;&gt;0,$H651&gt;0,OR(AUTOEVENTO&lt;&gt;"manual",$M651&lt;&gt;1)),ROUND(OFFSET($P651,0,AY$13),15-13*ORÇAMENTO!$AF$7)/$H651*OFFSET(ORÇAMENTO!$X$15,ROW(AY651)-ROW(AY$15),0),0)</f>
        <v>0</v>
      </c>
      <c r="AZ651" s="632">
        <f ca="1">IF(AND($D651="Serviço",AZ$12&lt;&gt;0,$H651&gt;0,OR(AUTOEVENTO&lt;&gt;"manual",$M651&lt;&gt;1)),ROUND(OFFSET($P651,0,AZ$13),15-13*ORÇAMENTO!$AF$7)/$H651*OFFSET(ORÇAMENTO!$X$15,ROW(AZ651)-ROW(AZ$15),0),0)</f>
        <v>0</v>
      </c>
      <c r="BA651" s="633">
        <f ca="1">IF(AND($D651="Serviço",BA$12&lt;&gt;0,$H651&gt;0,OR(AUTOEVENTO&lt;&gt;"manual",$M651&lt;&gt;1)),ROUND(OFFSET($P651,0,BA$13),15-13*ORÇAMENTO!$AF$7)/$H651*OFFSET(ORÇAMENTO!$X$15,ROW(BA651)-ROW(BA$15),0),0)</f>
        <v>0</v>
      </c>
      <c r="BC651" s="215">
        <f ca="1">IF($D651&lt;&gt;"Serviço",0,IF(AND(AUTOEVENTO="Manual",$M651=1),0,IF(OFFSET(CRONOPLE!$F$14,$M651,BC$13)="",10^12,OFFSET(CRONOPLE!$F$14,$M651,BC$13))))</f>
        <v>1000000000000</v>
      </c>
      <c r="BD651" s="215">
        <f ca="1">IF($D651&lt;&gt;"Serviço",0,IF(AND(AUTOEVENTO="Manual",$M651=1),0,IF(OFFSET(CRONOPLE!$F$14,$M651,BD$13)="",10^12,OFFSET(CRONOPLE!$F$14,$M651,BD$13))))</f>
        <v>1000000000000</v>
      </c>
      <c r="BE651" s="215">
        <f ca="1">IF($D651&lt;&gt;"Serviço",0,IF(AND(AUTOEVENTO="Manual",$M651=1),0,IF(OFFSET(CRONOPLE!$F$14,$M651,BE$13)="",10^12,OFFSET(CRONOPLE!$F$14,$M651,BE$13))))</f>
        <v>1000000000000</v>
      </c>
      <c r="BF651" s="215">
        <f ca="1">IF($D651&lt;&gt;"Serviço",0,IF(AND(AUTOEVENTO="Manual",$M651=1),0,IF(OFFSET(CRONOPLE!$F$14,$M651,BF$13)="",10^12,OFFSET(CRONOPLE!$F$14,$M651,BF$13))))</f>
        <v>1000000000000</v>
      </c>
      <c r="BG651" s="215">
        <f ca="1">IF($D651&lt;&gt;"Serviço",0,IF(AND(AUTOEVENTO="Manual",$M651=1),0,IF(OFFSET(CRONOPLE!$F$14,$M651,BG$13)="",10^12,OFFSET(CRONOPLE!$F$14,$M651,BG$13))))</f>
        <v>1000000000000</v>
      </c>
      <c r="BH651" s="215">
        <f ca="1">IF($D651&lt;&gt;"Serviço",0,IF(AND(AUTOEVENTO="Manual",$M651=1),0,IF(OFFSET(CRONOPLE!$F$14,$M651,BH$13)="",10^12,OFFSET(CRONOPLE!$F$14,$M651,BH$13))))</f>
        <v>1000000000000</v>
      </c>
      <c r="BI651" s="215">
        <f ca="1">IF($D651&lt;&gt;"Serviço",0,IF(AND(AUTOEVENTO="Manual",$M651=1),0,IF(OFFSET(CRONOPLE!$F$14,$M651,BI$13)="",10^12,OFFSET(CRONOPLE!$F$14,$M651,BI$13))))</f>
        <v>1000000000000</v>
      </c>
      <c r="BJ651" s="215">
        <f ca="1">IF($D651&lt;&gt;"Serviço",0,IF(AND(AUTOEVENTO="Manual",$M651=1),0,IF(OFFSET(CRONOPLE!$F$14,$M651,BJ$13)="",10^12,OFFSET(CRONOPLE!$F$14,$M651,BJ$13))))</f>
        <v>1000000000000</v>
      </c>
      <c r="BK651" s="215">
        <f ca="1">IF($D651&lt;&gt;"Serviço",0,IF(AND(AUTOEVENTO="Manual",$M651=1),0,IF(OFFSET(CRONOPLE!$F$14,$M651,BK$13)="",10^12,OFFSET(CRONOPLE!$F$14,$M651,BK$13))))</f>
        <v>1000000000000</v>
      </c>
      <c r="BL651" s="215">
        <f ca="1">IF($D651&lt;&gt;"Serviço",0,IF(AND(AUTOEVENTO="Manual",$M651=1),0,IF(OFFSET(CRONOPLE!$F$14,$M651,BL$13)="",10^12,OFFSET(CRONOPLE!$F$14,$M651,BL$13))))</f>
        <v>1000000000000</v>
      </c>
      <c r="BM651" s="215">
        <f ca="1">IF($D651&lt;&gt;"Serviço",0,IF(AND(AUTOEVENTO="Manual",$M651=1),0,IF(OFFSET(CRONOPLE!$F$14,$M651,BM$13)="",10^12,OFFSET(CRONOPLE!$F$14,$M651,BM$13))))</f>
        <v>1000000000000</v>
      </c>
      <c r="BN651" s="215">
        <f ca="1">IF($D651&lt;&gt;"Serviço",0,IF(AND(AUTOEVENTO="Manual",$M651=1),0,IF(OFFSET(CRONOPLE!$F$14,$M651,BN$13)="",10^12,OFFSET(CRONOPLE!$F$14,$M651,BN$13))))</f>
        <v>1000000000000</v>
      </c>
      <c r="BO651" s="215">
        <f ca="1">IF($D651&lt;&gt;"Serviço",0,IF(AND(AUTOEVENTO="Manual",$M651=1),0,IF(OFFSET(CRONOPLE!$F$14,$M651,BO$13)="",10^12,OFFSET(CRONOPLE!$F$14,$M651,BO$13))))</f>
        <v>1000000000000</v>
      </c>
      <c r="BP651" s="215">
        <f ca="1">IF($D651&lt;&gt;"Serviço",0,IF(AND(AUTOEVENTO="Manual",$M651=1),0,IF(OFFSET(CRONOPLE!$F$14,$M651,BP$13)="",10^12,OFFSET(CRONOPLE!$F$14,$M651,BP$13))))</f>
        <v>1000000000000</v>
      </c>
      <c r="BQ651" s="215">
        <f ca="1">IF($D651&lt;&gt;"Serviço",0,IF(AND(AUTOEVENTO="Manual",$M651=1),0,IF(OFFSET(CRONOPLE!$F$14,$M651,BQ$13)="",10^12,OFFSET(CRONOPLE!$F$14,$M651,BQ$13))))</f>
        <v>1000000000000</v>
      </c>
      <c r="BR651" s="215">
        <f ca="1">IF($D651&lt;&gt;"Serviço",0,IF(AND(AUTOEVENTO="Manual",$M651=1),0,IF(OFFSET(CRONOPLE!$F$14,$M651,BR$13)="",10^12,OFFSET(CRONOPLE!$F$14,$M651,BR$13))))</f>
        <v>1000000000000</v>
      </c>
      <c r="BS651" s="215">
        <f ca="1">IF($D651&lt;&gt;"Serviço",0,IF(AND(AUTOEVENTO="Manual",$M651=1),0,IF(OFFSET(CRONOPLE!$F$14,$M651,BS$13)="",10^12,OFFSET(CRONOPLE!$F$14,$M651,BS$13))))</f>
        <v>1000000000000</v>
      </c>
      <c r="BT651" s="215">
        <f ca="1">IF($D651&lt;&gt;"Serviço",0,IF(AND(AUTOEVENTO="Manual",$M651=1),0,IF(OFFSET(CRONOPLE!$F$14,$M651,BT$13)="",10^12,OFFSET(CRONOPLE!$F$14,$M651,BT$13))))</f>
        <v>1000000000000</v>
      </c>
      <c r="BV651" s="216">
        <f ca="1">IF($D651&lt;&gt;"Serviço",0,IF(OR(AND(AUTOEVENTO="Manual",$M651=1),$M651&gt;(ROW(PLE.lastrow)-ROW(PLE.firstrow))),0,IF(OFFSET(PLE!$G$14,$M651,BV$13)="",10^12,OFFSET(PLE!$G$14,$M651,BV$13))))</f>
        <v>1000000000000</v>
      </c>
      <c r="BW651" s="216">
        <f ca="1">IF($D651&lt;&gt;"Serviço",0,IF(OR(AND(AUTOEVENTO="Manual",$M651=1),$M651&gt;(ROW(PLE.lastrow)-ROW(PLE.firstrow))),0,IF(OFFSET(PLE!$G$14,$M651,BW$13)="",10^12,OFFSET(PLE!$G$14,$M651,BW$13))))</f>
        <v>1000000000000</v>
      </c>
      <c r="BX651" s="216">
        <f ca="1">IF($D651&lt;&gt;"Serviço",0,IF(OR(AND(AUTOEVENTO="Manual",$M651=1),$M651&gt;(ROW(PLE.lastrow)-ROW(PLE.firstrow))),0,IF(OFFSET(PLE!$G$14,$M651,BX$13)="",10^12,OFFSET(PLE!$G$14,$M651,BX$13))))</f>
        <v>1000000000000</v>
      </c>
      <c r="BY651" s="216">
        <f ca="1">IF($D651&lt;&gt;"Serviço",0,IF(OR(AND(AUTOEVENTO="Manual",$M651=1),$M651&gt;(ROW(PLE.lastrow)-ROW(PLE.firstrow))),0,IF(OFFSET(PLE!$G$14,$M651,BY$13)="",10^12,OFFSET(PLE!$G$14,$M651,BY$13))))</f>
        <v>1000000000000</v>
      </c>
      <c r="BZ651" s="216">
        <f ca="1">IF($D651&lt;&gt;"Serviço",0,IF(OR(AND(AUTOEVENTO="Manual",$M651=1),$M651&gt;(ROW(PLE.lastrow)-ROW(PLE.firstrow))),0,IF(OFFSET(PLE!$G$14,$M651,BZ$13)="",10^12,OFFSET(PLE!$G$14,$M651,BZ$13))))</f>
        <v>1000000000000</v>
      </c>
      <c r="CA651" s="216">
        <f ca="1">IF($D651&lt;&gt;"Serviço",0,IF(OR(AND(AUTOEVENTO="Manual",$M651=1),$M651&gt;(ROW(PLE.lastrow)-ROW(PLE.firstrow))),0,IF(OFFSET(PLE!$G$14,$M651,CA$13)="",10^12,OFFSET(PLE!$G$14,$M651,CA$13))))</f>
        <v>1000000000000</v>
      </c>
      <c r="CB651" s="216">
        <f ca="1">IF($D651&lt;&gt;"Serviço",0,IF(OR(AND(AUTOEVENTO="Manual",$M651=1),$M651&gt;(ROW(PLE.lastrow)-ROW(PLE.firstrow))),0,IF(OFFSET(PLE!$G$14,$M651,CB$13)="",10^12,OFFSET(PLE!$G$14,$M651,CB$13))))</f>
        <v>1000000000000</v>
      </c>
      <c r="CC651" s="216">
        <f ca="1">IF($D651&lt;&gt;"Serviço",0,IF(OR(AND(AUTOEVENTO="Manual",$M651=1),$M651&gt;(ROW(PLE.lastrow)-ROW(PLE.firstrow))),0,IF(OFFSET(PLE!$G$14,$M651,CC$13)="",10^12,OFFSET(PLE!$G$14,$M651,CC$13))))</f>
        <v>1000000000000</v>
      </c>
      <c r="CD651" s="216">
        <f ca="1">IF($D651&lt;&gt;"Serviço",0,IF(OR(AND(AUTOEVENTO="Manual",$M651=1),$M651&gt;(ROW(PLE.lastrow)-ROW(PLE.firstrow))),0,IF(OFFSET(PLE!$G$14,$M651,CD$13)="",10^12,OFFSET(PLE!$G$14,$M651,CD$13))))</f>
        <v>1000000000000</v>
      </c>
      <c r="CE651" s="216">
        <f ca="1">IF($D651&lt;&gt;"Serviço",0,IF(OR(AND(AUTOEVENTO="Manual",$M651=1),$M651&gt;(ROW(PLE.lastrow)-ROW(PLE.firstrow))),0,IF(OFFSET(PLE!$G$14,$M651,CE$13)="",10^12,OFFSET(PLE!$G$14,$M651,CE$13))))</f>
        <v>1000000000000</v>
      </c>
      <c r="CF651" s="216">
        <f ca="1">IF($D651&lt;&gt;"Serviço",0,IF(OR(AND(AUTOEVENTO="Manual",$M651=1),$M651&gt;(ROW(PLE.lastrow)-ROW(PLE.firstrow))),0,IF(OFFSET(PLE!$G$14,$M651,CF$13)="",10^12,OFFSET(PLE!$G$14,$M651,CF$13))))</f>
        <v>1000000000000</v>
      </c>
      <c r="CG651" s="216">
        <f ca="1">IF($D651&lt;&gt;"Serviço",0,IF(OR(AND(AUTOEVENTO="Manual",$M651=1),$M651&gt;(ROW(PLE.lastrow)-ROW(PLE.firstrow))),0,IF(OFFSET(PLE!$G$14,$M651,CG$13)="",10^12,OFFSET(PLE!$G$14,$M651,CG$13))))</f>
        <v>1000000000000</v>
      </c>
      <c r="CH651" s="216">
        <f ca="1">IF($D651&lt;&gt;"Serviço",0,IF(OR(AND(AUTOEVENTO="Manual",$M651=1),$M651&gt;(ROW(PLE.lastrow)-ROW(PLE.firstrow))),0,IF(OFFSET(PLE!$G$14,$M651,CH$13)="",10^12,OFFSET(PLE!$G$14,$M651,CH$13))))</f>
        <v>1000000000000</v>
      </c>
      <c r="CI651" s="216">
        <f ca="1">IF($D651&lt;&gt;"Serviço",0,IF(OR(AND(AUTOEVENTO="Manual",$M651=1),$M651&gt;(ROW(PLE.lastrow)-ROW(PLE.firstrow))),0,IF(OFFSET(PLE!$G$14,$M651,CI$13)="",10^12,OFFSET(PLE!$G$14,$M651,CI$13))))</f>
        <v>1000000000000</v>
      </c>
      <c r="CJ651" s="216">
        <f ca="1">IF($D651&lt;&gt;"Serviço",0,IF(OR(AND(AUTOEVENTO="Manual",$M651=1),$M651&gt;(ROW(PLE.lastrow)-ROW(PLE.firstrow))),0,IF(OFFSET(PLE!$G$14,$M651,CJ$13)="",10^12,OFFSET(PLE!$G$14,$M651,CJ$13))))</f>
        <v>1000000000000</v>
      </c>
      <c r="CK651" s="216">
        <f ca="1">IF($D651&lt;&gt;"Serviço",0,IF(OR(AND(AUTOEVENTO="Manual",$M651=1),$M651&gt;(ROW(PLE.lastrow)-ROW(PLE.firstrow))),0,IF(OFFSET(PLE!$G$14,$M651,CK$13)="",10^12,OFFSET(PLE!$G$14,$M651,CK$13))))</f>
        <v>1000000000000</v>
      </c>
      <c r="CL651" s="216">
        <f ca="1">IF($D651&lt;&gt;"Serviço",0,IF(OR(AND(AUTOEVENTO="Manual",$M651=1),$M651&gt;(ROW(PLE.lastrow)-ROW(PLE.firstrow))),0,IF(OFFSET(PLE!$G$14,$M651,CL$13)="",10^12,OFFSET(PLE!$G$14,$M651,CL$13))))</f>
        <v>1000000000000</v>
      </c>
      <c r="CM651" s="216">
        <f ca="1">IF($D651&lt;&gt;"Serviço",0,IF(OR(AND(AUTOEVENTO="Manual",$M651=1),$M651&gt;(ROW(PLE.lastrow)-ROW(PLE.firstrow))),0,IF(OFFSET(PLE!$G$14,$M651,CM$13)="",10^12,OFFSET(PLE!$G$14,$M651,CM$13))))</f>
        <v>1000000000000</v>
      </c>
    </row>
    <row r="652" spans="1:91" ht="13.2" x14ac:dyDescent="0.25">
      <c r="A652" s="9">
        <f t="shared" ca="1" si="20"/>
        <v>0</v>
      </c>
      <c r="B652" s="9" t="str">
        <f ca="1">OFFSET(ORÇAMENTO!C$15,ROW(B652)-ROW(B$15),0)</f>
        <v>S</v>
      </c>
      <c r="C652" s="9" t="str">
        <f ca="1">OFFSET(ORÇAMENTO!L$15,ROW(C652)-ROW(C$15),0)</f>
        <v/>
      </c>
      <c r="D652" s="145" t="str">
        <f ca="1">OFFSET(ORÇAMENTO!N$15,ROW(D652)-ROW(D$15),0)</f>
        <v>Serviço</v>
      </c>
      <c r="E652" s="205" t="str">
        <f ca="1">OFFSET(ORÇAMENTO!O$15,ROW(E652)-ROW(E$15),0)</f>
        <v>-</v>
      </c>
      <c r="F652" s="206" t="str">
        <f ca="1">OFFSET(ORÇAMENTO!R$15,ROW(F652)-ROW(F$15),0)</f>
        <v>(abra o arquivo 'Referência 05-2024.xls)</v>
      </c>
      <c r="G652" s="207" t="str">
        <f ca="1">IF($D652&lt;&gt;"Serviço","",OFFSET(ORÇAMENTO!S$15,ROW(G652)-ROW(G$15),0))</f>
        <v>-</v>
      </c>
      <c r="H652" s="151">
        <f ca="1">IF($D652&lt;&gt;"Serviço",0,IF(ACOMPANHAMENTO="BM",ROUND(OFFSET(ORÇAMENTO!AJ$15,ROW(H652)-ROW(H$15),0),15-13*ORÇAMENTO!$AF$7),SUMPRODUCT(($Q$12:$AI$12&lt;&gt;"")*ROUND($Q652:$AI652,15-13*ORÇAMENTO!$AF$7))))</f>
        <v>5</v>
      </c>
      <c r="I652" s="650"/>
      <c r="K652" s="208"/>
      <c r="L652" s="209" t="s">
        <v>257</v>
      </c>
      <c r="M652" s="210">
        <f ca="1">IF($D652&lt;&gt;"Serviço","",IF(AUTOEVENTO="manual",$A652,IF(ISERROR(MATCH($A652,$A$15:OFFSET($A652,-1,0),0)),MAX($M$15:OFFSET(M652,-1,0))+1,INDEX($M$15:OFFSET(M652,-1,0),MATCH($A652,$A$15:OFFSET($A652,-1,0),0)))))</f>
        <v>0</v>
      </c>
      <c r="N652" s="211" t="str">
        <f ca="1">IF($D652&lt;&gt;"Serviço","",IF(AUTOEVENTO="Manual",IF($A652=0,"&lt;-- defina o número do agrupador",OFFSET(EVENTOS!$D$14,$A652,0)),OFFSET($F$15,$A652,0)))</f>
        <v>&lt;-- defina o número do agrupador</v>
      </c>
      <c r="O652" s="212"/>
      <c r="Q652" s="212"/>
      <c r="R652" s="213"/>
      <c r="S652" s="213"/>
      <c r="T652" s="213"/>
      <c r="U652" s="213"/>
      <c r="V652" s="213"/>
      <c r="W652" s="213"/>
      <c r="X652" s="213"/>
      <c r="Y652" s="213"/>
      <c r="Z652" s="214"/>
      <c r="AA652" s="213"/>
      <c r="AB652" s="213"/>
      <c r="AC652" s="213"/>
      <c r="AD652" s="213"/>
      <c r="AE652" s="213"/>
      <c r="AF652" s="213"/>
      <c r="AG652" s="213"/>
      <c r="AH652" s="214"/>
      <c r="AJ652" s="631">
        <f ca="1">IF(AND($D652="Serviço",AJ$12&lt;&gt;0,$H652&gt;0,OR(AUTOEVENTO&lt;&gt;"manual",$M652&lt;&gt;1)),ROUND(OFFSET($P652,0,AJ$13),15-13*ORÇAMENTO!$AF$7)/$H652*OFFSET(ORÇAMENTO!$X$15,ROW(AJ652)-ROW(AJ$15),0),0)</f>
        <v>0</v>
      </c>
      <c r="AK652" s="632">
        <f ca="1">IF(AND($D652="Serviço",AK$12&lt;&gt;0,$H652&gt;0,OR(AUTOEVENTO&lt;&gt;"manual",$M652&lt;&gt;1)),ROUND(OFFSET($P652,0,AK$13),15-13*ORÇAMENTO!$AF$7)/$H652*OFFSET(ORÇAMENTO!$X$15,ROW(AK652)-ROW(AK$15),0),0)</f>
        <v>0</v>
      </c>
      <c r="AL652" s="632">
        <f ca="1">IF(AND($D652="Serviço",AL$12&lt;&gt;0,$H652&gt;0,OR(AUTOEVENTO&lt;&gt;"manual",$M652&lt;&gt;1)),ROUND(OFFSET($P652,0,AL$13),15-13*ORÇAMENTO!$AF$7)/$H652*OFFSET(ORÇAMENTO!$X$15,ROW(AL652)-ROW(AL$15),0),0)</f>
        <v>0</v>
      </c>
      <c r="AM652" s="632">
        <f ca="1">IF(AND($D652="Serviço",AM$12&lt;&gt;0,$H652&gt;0,OR(AUTOEVENTO&lt;&gt;"manual",$M652&lt;&gt;1)),ROUND(OFFSET($P652,0,AM$13),15-13*ORÇAMENTO!$AF$7)/$H652*OFFSET(ORÇAMENTO!$X$15,ROW(AM652)-ROW(AM$15),0),0)</f>
        <v>0</v>
      </c>
      <c r="AN652" s="632">
        <f ca="1">IF(AND($D652="Serviço",AN$12&lt;&gt;0,$H652&gt;0,OR(AUTOEVENTO&lt;&gt;"manual",$M652&lt;&gt;1)),ROUND(OFFSET($P652,0,AN$13),15-13*ORÇAMENTO!$AF$7)/$H652*OFFSET(ORÇAMENTO!$X$15,ROW(AN652)-ROW(AN$15),0),0)</f>
        <v>0</v>
      </c>
      <c r="AO652" s="632">
        <f ca="1">IF(AND($D652="Serviço",AO$12&lt;&gt;0,$H652&gt;0,OR(AUTOEVENTO&lt;&gt;"manual",$M652&lt;&gt;1)),ROUND(OFFSET($P652,0,AO$13),15-13*ORÇAMENTO!$AF$7)/$H652*OFFSET(ORÇAMENTO!$X$15,ROW(AO652)-ROW(AO$15),0),0)</f>
        <v>0</v>
      </c>
      <c r="AP652" s="632">
        <f ca="1">IF(AND($D652="Serviço",AP$12&lt;&gt;0,$H652&gt;0,OR(AUTOEVENTO&lt;&gt;"manual",$M652&lt;&gt;1)),ROUND(OFFSET($P652,0,AP$13),15-13*ORÇAMENTO!$AF$7)/$H652*OFFSET(ORÇAMENTO!$X$15,ROW(AP652)-ROW(AP$15),0),0)</f>
        <v>0</v>
      </c>
      <c r="AQ652" s="632">
        <f ca="1">IF(AND($D652="Serviço",AQ$12&lt;&gt;0,$H652&gt;0,OR(AUTOEVENTO&lt;&gt;"manual",$M652&lt;&gt;1)),ROUND(OFFSET($P652,0,AQ$13),15-13*ORÇAMENTO!$AF$7)/$H652*OFFSET(ORÇAMENTO!$X$15,ROW(AQ652)-ROW(AQ$15),0),0)</f>
        <v>0</v>
      </c>
      <c r="AR652" s="632">
        <f ca="1">IF(AND($D652="Serviço",AR$12&lt;&gt;0,$H652&gt;0,OR(AUTOEVENTO&lt;&gt;"manual",$M652&lt;&gt;1)),ROUND(OFFSET($P652,0,AR$13),15-13*ORÇAMENTO!$AF$7)/$H652*OFFSET(ORÇAMENTO!$X$15,ROW(AR652)-ROW(AR$15),0),0)</f>
        <v>0</v>
      </c>
      <c r="AS652" s="633">
        <f ca="1">IF(AND($D652="Serviço",AS$12&lt;&gt;0,$H652&gt;0,OR(AUTOEVENTO&lt;&gt;"manual",$M652&lt;&gt;1)),ROUND(OFFSET($P652,0,AS$13),15-13*ORÇAMENTO!$AF$7)/$H652*OFFSET(ORÇAMENTO!$X$15,ROW(AS652)-ROW(AS$15),0),0)</f>
        <v>0</v>
      </c>
      <c r="AT652" s="632">
        <f ca="1">IF(AND($D652="Serviço",AT$12&lt;&gt;0,$H652&gt;0,OR(AUTOEVENTO&lt;&gt;"manual",$M652&lt;&gt;1)),ROUND(OFFSET($P652,0,AT$13),15-13*ORÇAMENTO!$AF$7)/$H652*OFFSET(ORÇAMENTO!$X$15,ROW(AT652)-ROW(AT$15),0),0)</f>
        <v>0</v>
      </c>
      <c r="AU652" s="632">
        <f ca="1">IF(AND($D652="Serviço",AU$12&lt;&gt;0,$H652&gt;0,OR(AUTOEVENTO&lt;&gt;"manual",$M652&lt;&gt;1)),ROUND(OFFSET($P652,0,AU$13),15-13*ORÇAMENTO!$AF$7)/$H652*OFFSET(ORÇAMENTO!$X$15,ROW(AU652)-ROW(AU$15),0),0)</f>
        <v>0</v>
      </c>
      <c r="AV652" s="632">
        <f ca="1">IF(AND($D652="Serviço",AV$12&lt;&gt;0,$H652&gt;0,OR(AUTOEVENTO&lt;&gt;"manual",$M652&lt;&gt;1)),ROUND(OFFSET($P652,0,AV$13),15-13*ORÇAMENTO!$AF$7)/$H652*OFFSET(ORÇAMENTO!$X$15,ROW(AV652)-ROW(AV$15),0),0)</f>
        <v>0</v>
      </c>
      <c r="AW652" s="632">
        <f ca="1">IF(AND($D652="Serviço",AW$12&lt;&gt;0,$H652&gt;0,OR(AUTOEVENTO&lt;&gt;"manual",$M652&lt;&gt;1)),ROUND(OFFSET($P652,0,AW$13),15-13*ORÇAMENTO!$AF$7)/$H652*OFFSET(ORÇAMENTO!$X$15,ROW(AW652)-ROW(AW$15),0),0)</f>
        <v>0</v>
      </c>
      <c r="AX652" s="632">
        <f ca="1">IF(AND($D652="Serviço",AX$12&lt;&gt;0,$H652&gt;0,OR(AUTOEVENTO&lt;&gt;"manual",$M652&lt;&gt;1)),ROUND(OFFSET($P652,0,AX$13),15-13*ORÇAMENTO!$AF$7)/$H652*OFFSET(ORÇAMENTO!$X$15,ROW(AX652)-ROW(AX$15),0),0)</f>
        <v>0</v>
      </c>
      <c r="AY652" s="632">
        <f ca="1">IF(AND($D652="Serviço",AY$12&lt;&gt;0,$H652&gt;0,OR(AUTOEVENTO&lt;&gt;"manual",$M652&lt;&gt;1)),ROUND(OFFSET($P652,0,AY$13),15-13*ORÇAMENTO!$AF$7)/$H652*OFFSET(ORÇAMENTO!$X$15,ROW(AY652)-ROW(AY$15),0),0)</f>
        <v>0</v>
      </c>
      <c r="AZ652" s="632">
        <f ca="1">IF(AND($D652="Serviço",AZ$12&lt;&gt;0,$H652&gt;0,OR(AUTOEVENTO&lt;&gt;"manual",$M652&lt;&gt;1)),ROUND(OFFSET($P652,0,AZ$13),15-13*ORÇAMENTO!$AF$7)/$H652*OFFSET(ORÇAMENTO!$X$15,ROW(AZ652)-ROW(AZ$15),0),0)</f>
        <v>0</v>
      </c>
      <c r="BA652" s="633">
        <f ca="1">IF(AND($D652="Serviço",BA$12&lt;&gt;0,$H652&gt;0,OR(AUTOEVENTO&lt;&gt;"manual",$M652&lt;&gt;1)),ROUND(OFFSET($P652,0,BA$13),15-13*ORÇAMENTO!$AF$7)/$H652*OFFSET(ORÇAMENTO!$X$15,ROW(BA652)-ROW(BA$15),0),0)</f>
        <v>0</v>
      </c>
      <c r="BC652" s="215">
        <f ca="1">IF($D652&lt;&gt;"Serviço",0,IF(AND(AUTOEVENTO="Manual",$M652=1),0,IF(OFFSET(CRONOPLE!$F$14,$M652,BC$13)="",10^12,OFFSET(CRONOPLE!$F$14,$M652,BC$13))))</f>
        <v>1000000000000</v>
      </c>
      <c r="BD652" s="215">
        <f ca="1">IF($D652&lt;&gt;"Serviço",0,IF(AND(AUTOEVENTO="Manual",$M652=1),0,IF(OFFSET(CRONOPLE!$F$14,$M652,BD$13)="",10^12,OFFSET(CRONOPLE!$F$14,$M652,BD$13))))</f>
        <v>1000000000000</v>
      </c>
      <c r="BE652" s="215">
        <f ca="1">IF($D652&lt;&gt;"Serviço",0,IF(AND(AUTOEVENTO="Manual",$M652=1),0,IF(OFFSET(CRONOPLE!$F$14,$M652,BE$13)="",10^12,OFFSET(CRONOPLE!$F$14,$M652,BE$13))))</f>
        <v>1000000000000</v>
      </c>
      <c r="BF652" s="215">
        <f ca="1">IF($D652&lt;&gt;"Serviço",0,IF(AND(AUTOEVENTO="Manual",$M652=1),0,IF(OFFSET(CRONOPLE!$F$14,$M652,BF$13)="",10^12,OFFSET(CRONOPLE!$F$14,$M652,BF$13))))</f>
        <v>1000000000000</v>
      </c>
      <c r="BG652" s="215">
        <f ca="1">IF($D652&lt;&gt;"Serviço",0,IF(AND(AUTOEVENTO="Manual",$M652=1),0,IF(OFFSET(CRONOPLE!$F$14,$M652,BG$13)="",10^12,OFFSET(CRONOPLE!$F$14,$M652,BG$13))))</f>
        <v>1000000000000</v>
      </c>
      <c r="BH652" s="215">
        <f ca="1">IF($D652&lt;&gt;"Serviço",0,IF(AND(AUTOEVENTO="Manual",$M652=1),0,IF(OFFSET(CRONOPLE!$F$14,$M652,BH$13)="",10^12,OFFSET(CRONOPLE!$F$14,$M652,BH$13))))</f>
        <v>1000000000000</v>
      </c>
      <c r="BI652" s="215">
        <f ca="1">IF($D652&lt;&gt;"Serviço",0,IF(AND(AUTOEVENTO="Manual",$M652=1),0,IF(OFFSET(CRONOPLE!$F$14,$M652,BI$13)="",10^12,OFFSET(CRONOPLE!$F$14,$M652,BI$13))))</f>
        <v>1000000000000</v>
      </c>
      <c r="BJ652" s="215">
        <f ca="1">IF($D652&lt;&gt;"Serviço",0,IF(AND(AUTOEVENTO="Manual",$M652=1),0,IF(OFFSET(CRONOPLE!$F$14,$M652,BJ$13)="",10^12,OFFSET(CRONOPLE!$F$14,$M652,BJ$13))))</f>
        <v>1000000000000</v>
      </c>
      <c r="BK652" s="215">
        <f ca="1">IF($D652&lt;&gt;"Serviço",0,IF(AND(AUTOEVENTO="Manual",$M652=1),0,IF(OFFSET(CRONOPLE!$F$14,$M652,BK$13)="",10^12,OFFSET(CRONOPLE!$F$14,$M652,BK$13))))</f>
        <v>1000000000000</v>
      </c>
      <c r="BL652" s="215">
        <f ca="1">IF($D652&lt;&gt;"Serviço",0,IF(AND(AUTOEVENTO="Manual",$M652=1),0,IF(OFFSET(CRONOPLE!$F$14,$M652,BL$13)="",10^12,OFFSET(CRONOPLE!$F$14,$M652,BL$13))))</f>
        <v>1000000000000</v>
      </c>
      <c r="BM652" s="215">
        <f ca="1">IF($D652&lt;&gt;"Serviço",0,IF(AND(AUTOEVENTO="Manual",$M652=1),0,IF(OFFSET(CRONOPLE!$F$14,$M652,BM$13)="",10^12,OFFSET(CRONOPLE!$F$14,$M652,BM$13))))</f>
        <v>1000000000000</v>
      </c>
      <c r="BN652" s="215">
        <f ca="1">IF($D652&lt;&gt;"Serviço",0,IF(AND(AUTOEVENTO="Manual",$M652=1),0,IF(OFFSET(CRONOPLE!$F$14,$M652,BN$13)="",10^12,OFFSET(CRONOPLE!$F$14,$M652,BN$13))))</f>
        <v>1000000000000</v>
      </c>
      <c r="BO652" s="215">
        <f ca="1">IF($D652&lt;&gt;"Serviço",0,IF(AND(AUTOEVENTO="Manual",$M652=1),0,IF(OFFSET(CRONOPLE!$F$14,$M652,BO$13)="",10^12,OFFSET(CRONOPLE!$F$14,$M652,BO$13))))</f>
        <v>1000000000000</v>
      </c>
      <c r="BP652" s="215">
        <f ca="1">IF($D652&lt;&gt;"Serviço",0,IF(AND(AUTOEVENTO="Manual",$M652=1),0,IF(OFFSET(CRONOPLE!$F$14,$M652,BP$13)="",10^12,OFFSET(CRONOPLE!$F$14,$M652,BP$13))))</f>
        <v>1000000000000</v>
      </c>
      <c r="BQ652" s="215">
        <f ca="1">IF($D652&lt;&gt;"Serviço",0,IF(AND(AUTOEVENTO="Manual",$M652=1),0,IF(OFFSET(CRONOPLE!$F$14,$M652,BQ$13)="",10^12,OFFSET(CRONOPLE!$F$14,$M652,BQ$13))))</f>
        <v>1000000000000</v>
      </c>
      <c r="BR652" s="215">
        <f ca="1">IF($D652&lt;&gt;"Serviço",0,IF(AND(AUTOEVENTO="Manual",$M652=1),0,IF(OFFSET(CRONOPLE!$F$14,$M652,BR$13)="",10^12,OFFSET(CRONOPLE!$F$14,$M652,BR$13))))</f>
        <v>1000000000000</v>
      </c>
      <c r="BS652" s="215">
        <f ca="1">IF($D652&lt;&gt;"Serviço",0,IF(AND(AUTOEVENTO="Manual",$M652=1),0,IF(OFFSET(CRONOPLE!$F$14,$M652,BS$13)="",10^12,OFFSET(CRONOPLE!$F$14,$M652,BS$13))))</f>
        <v>1000000000000</v>
      </c>
      <c r="BT652" s="215">
        <f ca="1">IF($D652&lt;&gt;"Serviço",0,IF(AND(AUTOEVENTO="Manual",$M652=1),0,IF(OFFSET(CRONOPLE!$F$14,$M652,BT$13)="",10^12,OFFSET(CRONOPLE!$F$14,$M652,BT$13))))</f>
        <v>1000000000000</v>
      </c>
      <c r="BV652" s="216">
        <f ca="1">IF($D652&lt;&gt;"Serviço",0,IF(OR(AND(AUTOEVENTO="Manual",$M652=1),$M652&gt;(ROW(PLE.lastrow)-ROW(PLE.firstrow))),0,IF(OFFSET(PLE!$G$14,$M652,BV$13)="",10^12,OFFSET(PLE!$G$14,$M652,BV$13))))</f>
        <v>1000000000000</v>
      </c>
      <c r="BW652" s="216">
        <f ca="1">IF($D652&lt;&gt;"Serviço",0,IF(OR(AND(AUTOEVENTO="Manual",$M652=1),$M652&gt;(ROW(PLE.lastrow)-ROW(PLE.firstrow))),0,IF(OFFSET(PLE!$G$14,$M652,BW$13)="",10^12,OFFSET(PLE!$G$14,$M652,BW$13))))</f>
        <v>1000000000000</v>
      </c>
      <c r="BX652" s="216">
        <f ca="1">IF($D652&lt;&gt;"Serviço",0,IF(OR(AND(AUTOEVENTO="Manual",$M652=1),$M652&gt;(ROW(PLE.lastrow)-ROW(PLE.firstrow))),0,IF(OFFSET(PLE!$G$14,$M652,BX$13)="",10^12,OFFSET(PLE!$G$14,$M652,BX$13))))</f>
        <v>1000000000000</v>
      </c>
      <c r="BY652" s="216">
        <f ca="1">IF($D652&lt;&gt;"Serviço",0,IF(OR(AND(AUTOEVENTO="Manual",$M652=1),$M652&gt;(ROW(PLE.lastrow)-ROW(PLE.firstrow))),0,IF(OFFSET(PLE!$G$14,$M652,BY$13)="",10^12,OFFSET(PLE!$G$14,$M652,BY$13))))</f>
        <v>1000000000000</v>
      </c>
      <c r="BZ652" s="216">
        <f ca="1">IF($D652&lt;&gt;"Serviço",0,IF(OR(AND(AUTOEVENTO="Manual",$M652=1),$M652&gt;(ROW(PLE.lastrow)-ROW(PLE.firstrow))),0,IF(OFFSET(PLE!$G$14,$M652,BZ$13)="",10^12,OFFSET(PLE!$G$14,$M652,BZ$13))))</f>
        <v>1000000000000</v>
      </c>
      <c r="CA652" s="216">
        <f ca="1">IF($D652&lt;&gt;"Serviço",0,IF(OR(AND(AUTOEVENTO="Manual",$M652=1),$M652&gt;(ROW(PLE.lastrow)-ROW(PLE.firstrow))),0,IF(OFFSET(PLE!$G$14,$M652,CA$13)="",10^12,OFFSET(PLE!$G$14,$M652,CA$13))))</f>
        <v>1000000000000</v>
      </c>
      <c r="CB652" s="216">
        <f ca="1">IF($D652&lt;&gt;"Serviço",0,IF(OR(AND(AUTOEVENTO="Manual",$M652=1),$M652&gt;(ROW(PLE.lastrow)-ROW(PLE.firstrow))),0,IF(OFFSET(PLE!$G$14,$M652,CB$13)="",10^12,OFFSET(PLE!$G$14,$M652,CB$13))))</f>
        <v>1000000000000</v>
      </c>
      <c r="CC652" s="216">
        <f ca="1">IF($D652&lt;&gt;"Serviço",0,IF(OR(AND(AUTOEVENTO="Manual",$M652=1),$M652&gt;(ROW(PLE.lastrow)-ROW(PLE.firstrow))),0,IF(OFFSET(PLE!$G$14,$M652,CC$13)="",10^12,OFFSET(PLE!$G$14,$M652,CC$13))))</f>
        <v>1000000000000</v>
      </c>
      <c r="CD652" s="216">
        <f ca="1">IF($D652&lt;&gt;"Serviço",0,IF(OR(AND(AUTOEVENTO="Manual",$M652=1),$M652&gt;(ROW(PLE.lastrow)-ROW(PLE.firstrow))),0,IF(OFFSET(PLE!$G$14,$M652,CD$13)="",10^12,OFFSET(PLE!$G$14,$M652,CD$13))))</f>
        <v>1000000000000</v>
      </c>
      <c r="CE652" s="216">
        <f ca="1">IF($D652&lt;&gt;"Serviço",0,IF(OR(AND(AUTOEVENTO="Manual",$M652=1),$M652&gt;(ROW(PLE.lastrow)-ROW(PLE.firstrow))),0,IF(OFFSET(PLE!$G$14,$M652,CE$13)="",10^12,OFFSET(PLE!$G$14,$M652,CE$13))))</f>
        <v>1000000000000</v>
      </c>
      <c r="CF652" s="216">
        <f ca="1">IF($D652&lt;&gt;"Serviço",0,IF(OR(AND(AUTOEVENTO="Manual",$M652=1),$M652&gt;(ROW(PLE.lastrow)-ROW(PLE.firstrow))),0,IF(OFFSET(PLE!$G$14,$M652,CF$13)="",10^12,OFFSET(PLE!$G$14,$M652,CF$13))))</f>
        <v>1000000000000</v>
      </c>
      <c r="CG652" s="216">
        <f ca="1">IF($D652&lt;&gt;"Serviço",0,IF(OR(AND(AUTOEVENTO="Manual",$M652=1),$M652&gt;(ROW(PLE.lastrow)-ROW(PLE.firstrow))),0,IF(OFFSET(PLE!$G$14,$M652,CG$13)="",10^12,OFFSET(PLE!$G$14,$M652,CG$13))))</f>
        <v>1000000000000</v>
      </c>
      <c r="CH652" s="216">
        <f ca="1">IF($D652&lt;&gt;"Serviço",0,IF(OR(AND(AUTOEVENTO="Manual",$M652=1),$M652&gt;(ROW(PLE.lastrow)-ROW(PLE.firstrow))),0,IF(OFFSET(PLE!$G$14,$M652,CH$13)="",10^12,OFFSET(PLE!$G$14,$M652,CH$13))))</f>
        <v>1000000000000</v>
      </c>
      <c r="CI652" s="216">
        <f ca="1">IF($D652&lt;&gt;"Serviço",0,IF(OR(AND(AUTOEVENTO="Manual",$M652=1),$M652&gt;(ROW(PLE.lastrow)-ROW(PLE.firstrow))),0,IF(OFFSET(PLE!$G$14,$M652,CI$13)="",10^12,OFFSET(PLE!$G$14,$M652,CI$13))))</f>
        <v>1000000000000</v>
      </c>
      <c r="CJ652" s="216">
        <f ca="1">IF($D652&lt;&gt;"Serviço",0,IF(OR(AND(AUTOEVENTO="Manual",$M652=1),$M652&gt;(ROW(PLE.lastrow)-ROW(PLE.firstrow))),0,IF(OFFSET(PLE!$G$14,$M652,CJ$13)="",10^12,OFFSET(PLE!$G$14,$M652,CJ$13))))</f>
        <v>1000000000000</v>
      </c>
      <c r="CK652" s="216">
        <f ca="1">IF($D652&lt;&gt;"Serviço",0,IF(OR(AND(AUTOEVENTO="Manual",$M652=1),$M652&gt;(ROW(PLE.lastrow)-ROW(PLE.firstrow))),0,IF(OFFSET(PLE!$G$14,$M652,CK$13)="",10^12,OFFSET(PLE!$G$14,$M652,CK$13))))</f>
        <v>1000000000000</v>
      </c>
      <c r="CL652" s="216">
        <f ca="1">IF($D652&lt;&gt;"Serviço",0,IF(OR(AND(AUTOEVENTO="Manual",$M652=1),$M652&gt;(ROW(PLE.lastrow)-ROW(PLE.firstrow))),0,IF(OFFSET(PLE!$G$14,$M652,CL$13)="",10^12,OFFSET(PLE!$G$14,$M652,CL$13))))</f>
        <v>1000000000000</v>
      </c>
      <c r="CM652" s="216">
        <f ca="1">IF($D652&lt;&gt;"Serviço",0,IF(OR(AND(AUTOEVENTO="Manual",$M652=1),$M652&gt;(ROW(PLE.lastrow)-ROW(PLE.firstrow))),0,IF(OFFSET(PLE!$G$14,$M652,CM$13)="",10^12,OFFSET(PLE!$G$14,$M652,CM$13))))</f>
        <v>1000000000000</v>
      </c>
    </row>
    <row r="653" spans="1:91" ht="13.2" x14ac:dyDescent="0.25">
      <c r="A653" s="9">
        <f t="shared" ca="1" si="20"/>
        <v>0</v>
      </c>
      <c r="B653" s="9" t="str">
        <f ca="1">OFFSET(ORÇAMENTO!C$15,ROW(B653)-ROW(B$15),0)</f>
        <v>S</v>
      </c>
      <c r="C653" s="9" t="str">
        <f ca="1">OFFSET(ORÇAMENTO!L$15,ROW(C653)-ROW(C$15),0)</f>
        <v/>
      </c>
      <c r="D653" s="145" t="str">
        <f ca="1">OFFSET(ORÇAMENTO!N$15,ROW(D653)-ROW(D$15),0)</f>
        <v>Serviço</v>
      </c>
      <c r="E653" s="205" t="str">
        <f ca="1">OFFSET(ORÇAMENTO!O$15,ROW(E653)-ROW(E$15),0)</f>
        <v>-</v>
      </c>
      <c r="F653" s="206" t="str">
        <f ca="1">OFFSET(ORÇAMENTO!R$15,ROW(F653)-ROW(F$15),0)</f>
        <v>(abra o arquivo 'Referência 05-2024.xls)</v>
      </c>
      <c r="G653" s="207" t="str">
        <f ca="1">IF($D653&lt;&gt;"Serviço","",OFFSET(ORÇAMENTO!S$15,ROW(G653)-ROW(G$15),0))</f>
        <v>-</v>
      </c>
      <c r="H653" s="151">
        <f ca="1">IF($D653&lt;&gt;"Serviço",0,IF(ACOMPANHAMENTO="BM",ROUND(OFFSET(ORÇAMENTO!AJ$15,ROW(H653)-ROW(H$15),0),15-13*ORÇAMENTO!$AF$7),SUMPRODUCT(($Q$12:$AI$12&lt;&gt;"")*ROUND($Q653:$AI653,15-13*ORÇAMENTO!$AF$7))))</f>
        <v>2</v>
      </c>
      <c r="I653" s="650"/>
      <c r="K653" s="208"/>
      <c r="L653" s="209" t="s">
        <v>257</v>
      </c>
      <c r="M653" s="210">
        <f ca="1">IF($D653&lt;&gt;"Serviço","",IF(AUTOEVENTO="manual",$A653,IF(ISERROR(MATCH($A653,$A$15:OFFSET($A653,-1,0),0)),MAX($M$15:OFFSET(M653,-1,0))+1,INDEX($M$15:OFFSET(M653,-1,0),MATCH($A653,$A$15:OFFSET($A653,-1,0),0)))))</f>
        <v>0</v>
      </c>
      <c r="N653" s="211" t="str">
        <f ca="1">IF($D653&lt;&gt;"Serviço","",IF(AUTOEVENTO="Manual",IF($A653=0,"&lt;-- defina o número do agrupador",OFFSET(EVENTOS!$D$14,$A653,0)),OFFSET($F$15,$A653,0)))</f>
        <v>&lt;-- defina o número do agrupador</v>
      </c>
      <c r="O653" s="212"/>
      <c r="Q653" s="212"/>
      <c r="R653" s="213"/>
      <c r="S653" s="213"/>
      <c r="T653" s="213"/>
      <c r="U653" s="213"/>
      <c r="V653" s="213"/>
      <c r="W653" s="213"/>
      <c r="X653" s="213"/>
      <c r="Y653" s="213"/>
      <c r="Z653" s="214"/>
      <c r="AA653" s="213"/>
      <c r="AB653" s="213"/>
      <c r="AC653" s="213"/>
      <c r="AD653" s="213"/>
      <c r="AE653" s="213"/>
      <c r="AF653" s="213"/>
      <c r="AG653" s="213"/>
      <c r="AH653" s="214"/>
      <c r="AJ653" s="631">
        <f ca="1">IF(AND($D653="Serviço",AJ$12&lt;&gt;0,$H653&gt;0,OR(AUTOEVENTO&lt;&gt;"manual",$M653&lt;&gt;1)),ROUND(OFFSET($P653,0,AJ$13),15-13*ORÇAMENTO!$AF$7)/$H653*OFFSET(ORÇAMENTO!$X$15,ROW(AJ653)-ROW(AJ$15),0),0)</f>
        <v>0</v>
      </c>
      <c r="AK653" s="632">
        <f ca="1">IF(AND($D653="Serviço",AK$12&lt;&gt;0,$H653&gt;0,OR(AUTOEVENTO&lt;&gt;"manual",$M653&lt;&gt;1)),ROUND(OFFSET($P653,0,AK$13),15-13*ORÇAMENTO!$AF$7)/$H653*OFFSET(ORÇAMENTO!$X$15,ROW(AK653)-ROW(AK$15),0),0)</f>
        <v>0</v>
      </c>
      <c r="AL653" s="632">
        <f ca="1">IF(AND($D653="Serviço",AL$12&lt;&gt;0,$H653&gt;0,OR(AUTOEVENTO&lt;&gt;"manual",$M653&lt;&gt;1)),ROUND(OFFSET($P653,0,AL$13),15-13*ORÇAMENTO!$AF$7)/$H653*OFFSET(ORÇAMENTO!$X$15,ROW(AL653)-ROW(AL$15),0),0)</f>
        <v>0</v>
      </c>
      <c r="AM653" s="632">
        <f ca="1">IF(AND($D653="Serviço",AM$12&lt;&gt;0,$H653&gt;0,OR(AUTOEVENTO&lt;&gt;"manual",$M653&lt;&gt;1)),ROUND(OFFSET($P653,0,AM$13),15-13*ORÇAMENTO!$AF$7)/$H653*OFFSET(ORÇAMENTO!$X$15,ROW(AM653)-ROW(AM$15),0),0)</f>
        <v>0</v>
      </c>
      <c r="AN653" s="632">
        <f ca="1">IF(AND($D653="Serviço",AN$12&lt;&gt;0,$H653&gt;0,OR(AUTOEVENTO&lt;&gt;"manual",$M653&lt;&gt;1)),ROUND(OFFSET($P653,0,AN$13),15-13*ORÇAMENTO!$AF$7)/$H653*OFFSET(ORÇAMENTO!$X$15,ROW(AN653)-ROW(AN$15),0),0)</f>
        <v>0</v>
      </c>
      <c r="AO653" s="632">
        <f ca="1">IF(AND($D653="Serviço",AO$12&lt;&gt;0,$H653&gt;0,OR(AUTOEVENTO&lt;&gt;"manual",$M653&lt;&gt;1)),ROUND(OFFSET($P653,0,AO$13),15-13*ORÇAMENTO!$AF$7)/$H653*OFFSET(ORÇAMENTO!$X$15,ROW(AO653)-ROW(AO$15),0),0)</f>
        <v>0</v>
      </c>
      <c r="AP653" s="632">
        <f ca="1">IF(AND($D653="Serviço",AP$12&lt;&gt;0,$H653&gt;0,OR(AUTOEVENTO&lt;&gt;"manual",$M653&lt;&gt;1)),ROUND(OFFSET($P653,0,AP$13),15-13*ORÇAMENTO!$AF$7)/$H653*OFFSET(ORÇAMENTO!$X$15,ROW(AP653)-ROW(AP$15),0),0)</f>
        <v>0</v>
      </c>
      <c r="AQ653" s="632">
        <f ca="1">IF(AND($D653="Serviço",AQ$12&lt;&gt;0,$H653&gt;0,OR(AUTOEVENTO&lt;&gt;"manual",$M653&lt;&gt;1)),ROUND(OFFSET($P653,0,AQ$13),15-13*ORÇAMENTO!$AF$7)/$H653*OFFSET(ORÇAMENTO!$X$15,ROW(AQ653)-ROW(AQ$15),0),0)</f>
        <v>0</v>
      </c>
      <c r="AR653" s="632">
        <f ca="1">IF(AND($D653="Serviço",AR$12&lt;&gt;0,$H653&gt;0,OR(AUTOEVENTO&lt;&gt;"manual",$M653&lt;&gt;1)),ROUND(OFFSET($P653,0,AR$13),15-13*ORÇAMENTO!$AF$7)/$H653*OFFSET(ORÇAMENTO!$X$15,ROW(AR653)-ROW(AR$15),0),0)</f>
        <v>0</v>
      </c>
      <c r="AS653" s="633">
        <f ca="1">IF(AND($D653="Serviço",AS$12&lt;&gt;0,$H653&gt;0,OR(AUTOEVENTO&lt;&gt;"manual",$M653&lt;&gt;1)),ROUND(OFFSET($P653,0,AS$13),15-13*ORÇAMENTO!$AF$7)/$H653*OFFSET(ORÇAMENTO!$X$15,ROW(AS653)-ROW(AS$15),0),0)</f>
        <v>0</v>
      </c>
      <c r="AT653" s="632">
        <f ca="1">IF(AND($D653="Serviço",AT$12&lt;&gt;0,$H653&gt;0,OR(AUTOEVENTO&lt;&gt;"manual",$M653&lt;&gt;1)),ROUND(OFFSET($P653,0,AT$13),15-13*ORÇAMENTO!$AF$7)/$H653*OFFSET(ORÇAMENTO!$X$15,ROW(AT653)-ROW(AT$15),0),0)</f>
        <v>0</v>
      </c>
      <c r="AU653" s="632">
        <f ca="1">IF(AND($D653="Serviço",AU$12&lt;&gt;0,$H653&gt;0,OR(AUTOEVENTO&lt;&gt;"manual",$M653&lt;&gt;1)),ROUND(OFFSET($P653,0,AU$13),15-13*ORÇAMENTO!$AF$7)/$H653*OFFSET(ORÇAMENTO!$X$15,ROW(AU653)-ROW(AU$15),0),0)</f>
        <v>0</v>
      </c>
      <c r="AV653" s="632">
        <f ca="1">IF(AND($D653="Serviço",AV$12&lt;&gt;0,$H653&gt;0,OR(AUTOEVENTO&lt;&gt;"manual",$M653&lt;&gt;1)),ROUND(OFFSET($P653,0,AV$13),15-13*ORÇAMENTO!$AF$7)/$H653*OFFSET(ORÇAMENTO!$X$15,ROW(AV653)-ROW(AV$15),0),0)</f>
        <v>0</v>
      </c>
      <c r="AW653" s="632">
        <f ca="1">IF(AND($D653="Serviço",AW$12&lt;&gt;0,$H653&gt;0,OR(AUTOEVENTO&lt;&gt;"manual",$M653&lt;&gt;1)),ROUND(OFFSET($P653,0,AW$13),15-13*ORÇAMENTO!$AF$7)/$H653*OFFSET(ORÇAMENTO!$X$15,ROW(AW653)-ROW(AW$15),0),0)</f>
        <v>0</v>
      </c>
      <c r="AX653" s="632">
        <f ca="1">IF(AND($D653="Serviço",AX$12&lt;&gt;0,$H653&gt;0,OR(AUTOEVENTO&lt;&gt;"manual",$M653&lt;&gt;1)),ROUND(OFFSET($P653,0,AX$13),15-13*ORÇAMENTO!$AF$7)/$H653*OFFSET(ORÇAMENTO!$X$15,ROW(AX653)-ROW(AX$15),0),0)</f>
        <v>0</v>
      </c>
      <c r="AY653" s="632">
        <f ca="1">IF(AND($D653="Serviço",AY$12&lt;&gt;0,$H653&gt;0,OR(AUTOEVENTO&lt;&gt;"manual",$M653&lt;&gt;1)),ROUND(OFFSET($P653,0,AY$13),15-13*ORÇAMENTO!$AF$7)/$H653*OFFSET(ORÇAMENTO!$X$15,ROW(AY653)-ROW(AY$15),0),0)</f>
        <v>0</v>
      </c>
      <c r="AZ653" s="632">
        <f ca="1">IF(AND($D653="Serviço",AZ$12&lt;&gt;0,$H653&gt;0,OR(AUTOEVENTO&lt;&gt;"manual",$M653&lt;&gt;1)),ROUND(OFFSET($P653,0,AZ$13),15-13*ORÇAMENTO!$AF$7)/$H653*OFFSET(ORÇAMENTO!$X$15,ROW(AZ653)-ROW(AZ$15),0),0)</f>
        <v>0</v>
      </c>
      <c r="BA653" s="633">
        <f ca="1">IF(AND($D653="Serviço",BA$12&lt;&gt;0,$H653&gt;0,OR(AUTOEVENTO&lt;&gt;"manual",$M653&lt;&gt;1)),ROUND(OFFSET($P653,0,BA$13),15-13*ORÇAMENTO!$AF$7)/$H653*OFFSET(ORÇAMENTO!$X$15,ROW(BA653)-ROW(BA$15),0),0)</f>
        <v>0</v>
      </c>
      <c r="BC653" s="215">
        <f ca="1">IF($D653&lt;&gt;"Serviço",0,IF(AND(AUTOEVENTO="Manual",$M653=1),0,IF(OFFSET(CRONOPLE!$F$14,$M653,BC$13)="",10^12,OFFSET(CRONOPLE!$F$14,$M653,BC$13))))</f>
        <v>1000000000000</v>
      </c>
      <c r="BD653" s="215">
        <f ca="1">IF($D653&lt;&gt;"Serviço",0,IF(AND(AUTOEVENTO="Manual",$M653=1),0,IF(OFFSET(CRONOPLE!$F$14,$M653,BD$13)="",10^12,OFFSET(CRONOPLE!$F$14,$M653,BD$13))))</f>
        <v>1000000000000</v>
      </c>
      <c r="BE653" s="215">
        <f ca="1">IF($D653&lt;&gt;"Serviço",0,IF(AND(AUTOEVENTO="Manual",$M653=1),0,IF(OFFSET(CRONOPLE!$F$14,$M653,BE$13)="",10^12,OFFSET(CRONOPLE!$F$14,$M653,BE$13))))</f>
        <v>1000000000000</v>
      </c>
      <c r="BF653" s="215">
        <f ca="1">IF($D653&lt;&gt;"Serviço",0,IF(AND(AUTOEVENTO="Manual",$M653=1),0,IF(OFFSET(CRONOPLE!$F$14,$M653,BF$13)="",10^12,OFFSET(CRONOPLE!$F$14,$M653,BF$13))))</f>
        <v>1000000000000</v>
      </c>
      <c r="BG653" s="215">
        <f ca="1">IF($D653&lt;&gt;"Serviço",0,IF(AND(AUTOEVENTO="Manual",$M653=1),0,IF(OFFSET(CRONOPLE!$F$14,$M653,BG$13)="",10^12,OFFSET(CRONOPLE!$F$14,$M653,BG$13))))</f>
        <v>1000000000000</v>
      </c>
      <c r="BH653" s="215">
        <f ca="1">IF($D653&lt;&gt;"Serviço",0,IF(AND(AUTOEVENTO="Manual",$M653=1),0,IF(OFFSET(CRONOPLE!$F$14,$M653,BH$13)="",10^12,OFFSET(CRONOPLE!$F$14,$M653,BH$13))))</f>
        <v>1000000000000</v>
      </c>
      <c r="BI653" s="215">
        <f ca="1">IF($D653&lt;&gt;"Serviço",0,IF(AND(AUTOEVENTO="Manual",$M653=1),0,IF(OFFSET(CRONOPLE!$F$14,$M653,BI$13)="",10^12,OFFSET(CRONOPLE!$F$14,$M653,BI$13))))</f>
        <v>1000000000000</v>
      </c>
      <c r="BJ653" s="215">
        <f ca="1">IF($D653&lt;&gt;"Serviço",0,IF(AND(AUTOEVENTO="Manual",$M653=1),0,IF(OFFSET(CRONOPLE!$F$14,$M653,BJ$13)="",10^12,OFFSET(CRONOPLE!$F$14,$M653,BJ$13))))</f>
        <v>1000000000000</v>
      </c>
      <c r="BK653" s="215">
        <f ca="1">IF($D653&lt;&gt;"Serviço",0,IF(AND(AUTOEVENTO="Manual",$M653=1),0,IF(OFFSET(CRONOPLE!$F$14,$M653,BK$13)="",10^12,OFFSET(CRONOPLE!$F$14,$M653,BK$13))))</f>
        <v>1000000000000</v>
      </c>
      <c r="BL653" s="215">
        <f ca="1">IF($D653&lt;&gt;"Serviço",0,IF(AND(AUTOEVENTO="Manual",$M653=1),0,IF(OFFSET(CRONOPLE!$F$14,$M653,BL$13)="",10^12,OFFSET(CRONOPLE!$F$14,$M653,BL$13))))</f>
        <v>1000000000000</v>
      </c>
      <c r="BM653" s="215">
        <f ca="1">IF($D653&lt;&gt;"Serviço",0,IF(AND(AUTOEVENTO="Manual",$M653=1),0,IF(OFFSET(CRONOPLE!$F$14,$M653,BM$13)="",10^12,OFFSET(CRONOPLE!$F$14,$M653,BM$13))))</f>
        <v>1000000000000</v>
      </c>
      <c r="BN653" s="215">
        <f ca="1">IF($D653&lt;&gt;"Serviço",0,IF(AND(AUTOEVENTO="Manual",$M653=1),0,IF(OFFSET(CRONOPLE!$F$14,$M653,BN$13)="",10^12,OFFSET(CRONOPLE!$F$14,$M653,BN$13))))</f>
        <v>1000000000000</v>
      </c>
      <c r="BO653" s="215">
        <f ca="1">IF($D653&lt;&gt;"Serviço",0,IF(AND(AUTOEVENTO="Manual",$M653=1),0,IF(OFFSET(CRONOPLE!$F$14,$M653,BO$13)="",10^12,OFFSET(CRONOPLE!$F$14,$M653,BO$13))))</f>
        <v>1000000000000</v>
      </c>
      <c r="BP653" s="215">
        <f ca="1">IF($D653&lt;&gt;"Serviço",0,IF(AND(AUTOEVENTO="Manual",$M653=1),0,IF(OFFSET(CRONOPLE!$F$14,$M653,BP$13)="",10^12,OFFSET(CRONOPLE!$F$14,$M653,BP$13))))</f>
        <v>1000000000000</v>
      </c>
      <c r="BQ653" s="215">
        <f ca="1">IF($D653&lt;&gt;"Serviço",0,IF(AND(AUTOEVENTO="Manual",$M653=1),0,IF(OFFSET(CRONOPLE!$F$14,$M653,BQ$13)="",10^12,OFFSET(CRONOPLE!$F$14,$M653,BQ$13))))</f>
        <v>1000000000000</v>
      </c>
      <c r="BR653" s="215">
        <f ca="1">IF($D653&lt;&gt;"Serviço",0,IF(AND(AUTOEVENTO="Manual",$M653=1),0,IF(OFFSET(CRONOPLE!$F$14,$M653,BR$13)="",10^12,OFFSET(CRONOPLE!$F$14,$M653,BR$13))))</f>
        <v>1000000000000</v>
      </c>
      <c r="BS653" s="215">
        <f ca="1">IF($D653&lt;&gt;"Serviço",0,IF(AND(AUTOEVENTO="Manual",$M653=1),0,IF(OFFSET(CRONOPLE!$F$14,$M653,BS$13)="",10^12,OFFSET(CRONOPLE!$F$14,$M653,BS$13))))</f>
        <v>1000000000000</v>
      </c>
      <c r="BT653" s="215">
        <f ca="1">IF($D653&lt;&gt;"Serviço",0,IF(AND(AUTOEVENTO="Manual",$M653=1),0,IF(OFFSET(CRONOPLE!$F$14,$M653,BT$13)="",10^12,OFFSET(CRONOPLE!$F$14,$M653,BT$13))))</f>
        <v>1000000000000</v>
      </c>
      <c r="BV653" s="216">
        <f ca="1">IF($D653&lt;&gt;"Serviço",0,IF(OR(AND(AUTOEVENTO="Manual",$M653=1),$M653&gt;(ROW(PLE.lastrow)-ROW(PLE.firstrow))),0,IF(OFFSET(PLE!$G$14,$M653,BV$13)="",10^12,OFFSET(PLE!$G$14,$M653,BV$13))))</f>
        <v>1000000000000</v>
      </c>
      <c r="BW653" s="216">
        <f ca="1">IF($D653&lt;&gt;"Serviço",0,IF(OR(AND(AUTOEVENTO="Manual",$M653=1),$M653&gt;(ROW(PLE.lastrow)-ROW(PLE.firstrow))),0,IF(OFFSET(PLE!$G$14,$M653,BW$13)="",10^12,OFFSET(PLE!$G$14,$M653,BW$13))))</f>
        <v>1000000000000</v>
      </c>
      <c r="BX653" s="216">
        <f ca="1">IF($D653&lt;&gt;"Serviço",0,IF(OR(AND(AUTOEVENTO="Manual",$M653=1),$M653&gt;(ROW(PLE.lastrow)-ROW(PLE.firstrow))),0,IF(OFFSET(PLE!$G$14,$M653,BX$13)="",10^12,OFFSET(PLE!$G$14,$M653,BX$13))))</f>
        <v>1000000000000</v>
      </c>
      <c r="BY653" s="216">
        <f ca="1">IF($D653&lt;&gt;"Serviço",0,IF(OR(AND(AUTOEVENTO="Manual",$M653=1),$M653&gt;(ROW(PLE.lastrow)-ROW(PLE.firstrow))),0,IF(OFFSET(PLE!$G$14,$M653,BY$13)="",10^12,OFFSET(PLE!$G$14,$M653,BY$13))))</f>
        <v>1000000000000</v>
      </c>
      <c r="BZ653" s="216">
        <f ca="1">IF($D653&lt;&gt;"Serviço",0,IF(OR(AND(AUTOEVENTO="Manual",$M653=1),$M653&gt;(ROW(PLE.lastrow)-ROW(PLE.firstrow))),0,IF(OFFSET(PLE!$G$14,$M653,BZ$13)="",10^12,OFFSET(PLE!$G$14,$M653,BZ$13))))</f>
        <v>1000000000000</v>
      </c>
      <c r="CA653" s="216">
        <f ca="1">IF($D653&lt;&gt;"Serviço",0,IF(OR(AND(AUTOEVENTO="Manual",$M653=1),$M653&gt;(ROW(PLE.lastrow)-ROW(PLE.firstrow))),0,IF(OFFSET(PLE!$G$14,$M653,CA$13)="",10^12,OFFSET(PLE!$G$14,$M653,CA$13))))</f>
        <v>1000000000000</v>
      </c>
      <c r="CB653" s="216">
        <f ca="1">IF($D653&lt;&gt;"Serviço",0,IF(OR(AND(AUTOEVENTO="Manual",$M653=1),$M653&gt;(ROW(PLE.lastrow)-ROW(PLE.firstrow))),0,IF(OFFSET(PLE!$G$14,$M653,CB$13)="",10^12,OFFSET(PLE!$G$14,$M653,CB$13))))</f>
        <v>1000000000000</v>
      </c>
      <c r="CC653" s="216">
        <f ca="1">IF($D653&lt;&gt;"Serviço",0,IF(OR(AND(AUTOEVENTO="Manual",$M653=1),$M653&gt;(ROW(PLE.lastrow)-ROW(PLE.firstrow))),0,IF(OFFSET(PLE!$G$14,$M653,CC$13)="",10^12,OFFSET(PLE!$G$14,$M653,CC$13))))</f>
        <v>1000000000000</v>
      </c>
      <c r="CD653" s="216">
        <f ca="1">IF($D653&lt;&gt;"Serviço",0,IF(OR(AND(AUTOEVENTO="Manual",$M653=1),$M653&gt;(ROW(PLE.lastrow)-ROW(PLE.firstrow))),0,IF(OFFSET(PLE!$G$14,$M653,CD$13)="",10^12,OFFSET(PLE!$G$14,$M653,CD$13))))</f>
        <v>1000000000000</v>
      </c>
      <c r="CE653" s="216">
        <f ca="1">IF($D653&lt;&gt;"Serviço",0,IF(OR(AND(AUTOEVENTO="Manual",$M653=1),$M653&gt;(ROW(PLE.lastrow)-ROW(PLE.firstrow))),0,IF(OFFSET(PLE!$G$14,$M653,CE$13)="",10^12,OFFSET(PLE!$G$14,$M653,CE$13))))</f>
        <v>1000000000000</v>
      </c>
      <c r="CF653" s="216">
        <f ca="1">IF($D653&lt;&gt;"Serviço",0,IF(OR(AND(AUTOEVENTO="Manual",$M653=1),$M653&gt;(ROW(PLE.lastrow)-ROW(PLE.firstrow))),0,IF(OFFSET(PLE!$G$14,$M653,CF$13)="",10^12,OFFSET(PLE!$G$14,$M653,CF$13))))</f>
        <v>1000000000000</v>
      </c>
      <c r="CG653" s="216">
        <f ca="1">IF($D653&lt;&gt;"Serviço",0,IF(OR(AND(AUTOEVENTO="Manual",$M653=1),$M653&gt;(ROW(PLE.lastrow)-ROW(PLE.firstrow))),0,IF(OFFSET(PLE!$G$14,$M653,CG$13)="",10^12,OFFSET(PLE!$G$14,$M653,CG$13))))</f>
        <v>1000000000000</v>
      </c>
      <c r="CH653" s="216">
        <f ca="1">IF($D653&lt;&gt;"Serviço",0,IF(OR(AND(AUTOEVENTO="Manual",$M653=1),$M653&gt;(ROW(PLE.lastrow)-ROW(PLE.firstrow))),0,IF(OFFSET(PLE!$G$14,$M653,CH$13)="",10^12,OFFSET(PLE!$G$14,$M653,CH$13))))</f>
        <v>1000000000000</v>
      </c>
      <c r="CI653" s="216">
        <f ca="1">IF($D653&lt;&gt;"Serviço",0,IF(OR(AND(AUTOEVENTO="Manual",$M653=1),$M653&gt;(ROW(PLE.lastrow)-ROW(PLE.firstrow))),0,IF(OFFSET(PLE!$G$14,$M653,CI$13)="",10^12,OFFSET(PLE!$G$14,$M653,CI$13))))</f>
        <v>1000000000000</v>
      </c>
      <c r="CJ653" s="216">
        <f ca="1">IF($D653&lt;&gt;"Serviço",0,IF(OR(AND(AUTOEVENTO="Manual",$M653=1),$M653&gt;(ROW(PLE.lastrow)-ROW(PLE.firstrow))),0,IF(OFFSET(PLE!$G$14,$M653,CJ$13)="",10^12,OFFSET(PLE!$G$14,$M653,CJ$13))))</f>
        <v>1000000000000</v>
      </c>
      <c r="CK653" s="216">
        <f ca="1">IF($D653&lt;&gt;"Serviço",0,IF(OR(AND(AUTOEVENTO="Manual",$M653=1),$M653&gt;(ROW(PLE.lastrow)-ROW(PLE.firstrow))),0,IF(OFFSET(PLE!$G$14,$M653,CK$13)="",10^12,OFFSET(PLE!$G$14,$M653,CK$13))))</f>
        <v>1000000000000</v>
      </c>
      <c r="CL653" s="216">
        <f ca="1">IF($D653&lt;&gt;"Serviço",0,IF(OR(AND(AUTOEVENTO="Manual",$M653=1),$M653&gt;(ROW(PLE.lastrow)-ROW(PLE.firstrow))),0,IF(OFFSET(PLE!$G$14,$M653,CL$13)="",10^12,OFFSET(PLE!$G$14,$M653,CL$13))))</f>
        <v>1000000000000</v>
      </c>
      <c r="CM653" s="216">
        <f ca="1">IF($D653&lt;&gt;"Serviço",0,IF(OR(AND(AUTOEVENTO="Manual",$M653=1),$M653&gt;(ROW(PLE.lastrow)-ROW(PLE.firstrow))),0,IF(OFFSET(PLE!$G$14,$M653,CM$13)="",10^12,OFFSET(PLE!$G$14,$M653,CM$13))))</f>
        <v>1000000000000</v>
      </c>
    </row>
    <row r="654" spans="1:91" ht="13.2" x14ac:dyDescent="0.25">
      <c r="A654" s="9">
        <f t="shared" ca="1" si="20"/>
        <v>0</v>
      </c>
      <c r="B654" s="9" t="str">
        <f ca="1">OFFSET(ORÇAMENTO!C$15,ROW(B654)-ROW(B$15),0)</f>
        <v>S</v>
      </c>
      <c r="C654" s="9" t="str">
        <f ca="1">OFFSET(ORÇAMENTO!L$15,ROW(C654)-ROW(C$15),0)</f>
        <v/>
      </c>
      <c r="D654" s="145" t="str">
        <f ca="1">OFFSET(ORÇAMENTO!N$15,ROW(D654)-ROW(D$15),0)</f>
        <v>Serviço</v>
      </c>
      <c r="E654" s="205" t="str">
        <f ca="1">OFFSET(ORÇAMENTO!O$15,ROW(E654)-ROW(E$15),0)</f>
        <v>-</v>
      </c>
      <c r="F654" s="206" t="str">
        <f ca="1">OFFSET(ORÇAMENTO!R$15,ROW(F654)-ROW(F$15),0)</f>
        <v>(abra o arquivo 'Referência 05-2024.xls)</v>
      </c>
      <c r="G654" s="207" t="str">
        <f ca="1">IF($D654&lt;&gt;"Serviço","",OFFSET(ORÇAMENTO!S$15,ROW(G654)-ROW(G$15),0))</f>
        <v>-</v>
      </c>
      <c r="H654" s="151">
        <f ca="1">IF($D654&lt;&gt;"Serviço",0,IF(ACOMPANHAMENTO="BM",ROUND(OFFSET(ORÇAMENTO!AJ$15,ROW(H654)-ROW(H$15),0),15-13*ORÇAMENTO!$AF$7),SUMPRODUCT(($Q$12:$AI$12&lt;&gt;"")*ROUND($Q654:$AI654,15-13*ORÇAMENTO!$AF$7))))</f>
        <v>3</v>
      </c>
      <c r="I654" s="650"/>
      <c r="K654" s="208"/>
      <c r="L654" s="209" t="s">
        <v>257</v>
      </c>
      <c r="M654" s="210">
        <f ca="1">IF($D654&lt;&gt;"Serviço","",IF(AUTOEVENTO="manual",$A654,IF(ISERROR(MATCH($A654,$A$15:OFFSET($A654,-1,0),0)),MAX($M$15:OFFSET(M654,-1,0))+1,INDEX($M$15:OFFSET(M654,-1,0),MATCH($A654,$A$15:OFFSET($A654,-1,0),0)))))</f>
        <v>0</v>
      </c>
      <c r="N654" s="211" t="str">
        <f ca="1">IF($D654&lt;&gt;"Serviço","",IF(AUTOEVENTO="Manual",IF($A654=0,"&lt;-- defina o número do agrupador",OFFSET(EVENTOS!$D$14,$A654,0)),OFFSET($F$15,$A654,0)))</f>
        <v>&lt;-- defina o número do agrupador</v>
      </c>
      <c r="O654" s="212"/>
      <c r="Q654" s="212"/>
      <c r="R654" s="213"/>
      <c r="S654" s="213"/>
      <c r="T654" s="213"/>
      <c r="U654" s="213"/>
      <c r="V654" s="213"/>
      <c r="W654" s="213"/>
      <c r="X654" s="213"/>
      <c r="Y654" s="213"/>
      <c r="Z654" s="214"/>
      <c r="AA654" s="213"/>
      <c r="AB654" s="213"/>
      <c r="AC654" s="213"/>
      <c r="AD654" s="213"/>
      <c r="AE654" s="213"/>
      <c r="AF654" s="213"/>
      <c r="AG654" s="213"/>
      <c r="AH654" s="214"/>
      <c r="AJ654" s="631">
        <f ca="1">IF(AND($D654="Serviço",AJ$12&lt;&gt;0,$H654&gt;0,OR(AUTOEVENTO&lt;&gt;"manual",$M654&lt;&gt;1)),ROUND(OFFSET($P654,0,AJ$13),15-13*ORÇAMENTO!$AF$7)/$H654*OFFSET(ORÇAMENTO!$X$15,ROW(AJ654)-ROW(AJ$15),0),0)</f>
        <v>0</v>
      </c>
      <c r="AK654" s="632">
        <f ca="1">IF(AND($D654="Serviço",AK$12&lt;&gt;0,$H654&gt;0,OR(AUTOEVENTO&lt;&gt;"manual",$M654&lt;&gt;1)),ROUND(OFFSET($P654,0,AK$13),15-13*ORÇAMENTO!$AF$7)/$H654*OFFSET(ORÇAMENTO!$X$15,ROW(AK654)-ROW(AK$15),0),0)</f>
        <v>0</v>
      </c>
      <c r="AL654" s="632">
        <f ca="1">IF(AND($D654="Serviço",AL$12&lt;&gt;0,$H654&gt;0,OR(AUTOEVENTO&lt;&gt;"manual",$M654&lt;&gt;1)),ROUND(OFFSET($P654,0,AL$13),15-13*ORÇAMENTO!$AF$7)/$H654*OFFSET(ORÇAMENTO!$X$15,ROW(AL654)-ROW(AL$15),0),0)</f>
        <v>0</v>
      </c>
      <c r="AM654" s="632">
        <f ca="1">IF(AND($D654="Serviço",AM$12&lt;&gt;0,$H654&gt;0,OR(AUTOEVENTO&lt;&gt;"manual",$M654&lt;&gt;1)),ROUND(OFFSET($P654,0,AM$13),15-13*ORÇAMENTO!$AF$7)/$H654*OFFSET(ORÇAMENTO!$X$15,ROW(AM654)-ROW(AM$15),0),0)</f>
        <v>0</v>
      </c>
      <c r="AN654" s="632">
        <f ca="1">IF(AND($D654="Serviço",AN$12&lt;&gt;0,$H654&gt;0,OR(AUTOEVENTO&lt;&gt;"manual",$M654&lt;&gt;1)),ROUND(OFFSET($P654,0,AN$13),15-13*ORÇAMENTO!$AF$7)/$H654*OFFSET(ORÇAMENTO!$X$15,ROW(AN654)-ROW(AN$15),0),0)</f>
        <v>0</v>
      </c>
      <c r="AO654" s="632">
        <f ca="1">IF(AND($D654="Serviço",AO$12&lt;&gt;0,$H654&gt;0,OR(AUTOEVENTO&lt;&gt;"manual",$M654&lt;&gt;1)),ROUND(OFFSET($P654,0,AO$13),15-13*ORÇAMENTO!$AF$7)/$H654*OFFSET(ORÇAMENTO!$X$15,ROW(AO654)-ROW(AO$15),0),0)</f>
        <v>0</v>
      </c>
      <c r="AP654" s="632">
        <f ca="1">IF(AND($D654="Serviço",AP$12&lt;&gt;0,$H654&gt;0,OR(AUTOEVENTO&lt;&gt;"manual",$M654&lt;&gt;1)),ROUND(OFFSET($P654,0,AP$13),15-13*ORÇAMENTO!$AF$7)/$H654*OFFSET(ORÇAMENTO!$X$15,ROW(AP654)-ROW(AP$15),0),0)</f>
        <v>0</v>
      </c>
      <c r="AQ654" s="632">
        <f ca="1">IF(AND($D654="Serviço",AQ$12&lt;&gt;0,$H654&gt;0,OR(AUTOEVENTO&lt;&gt;"manual",$M654&lt;&gt;1)),ROUND(OFFSET($P654,0,AQ$13),15-13*ORÇAMENTO!$AF$7)/$H654*OFFSET(ORÇAMENTO!$X$15,ROW(AQ654)-ROW(AQ$15),0),0)</f>
        <v>0</v>
      </c>
      <c r="AR654" s="632">
        <f ca="1">IF(AND($D654="Serviço",AR$12&lt;&gt;0,$H654&gt;0,OR(AUTOEVENTO&lt;&gt;"manual",$M654&lt;&gt;1)),ROUND(OFFSET($P654,0,AR$13),15-13*ORÇAMENTO!$AF$7)/$H654*OFFSET(ORÇAMENTO!$X$15,ROW(AR654)-ROW(AR$15),0),0)</f>
        <v>0</v>
      </c>
      <c r="AS654" s="633">
        <f ca="1">IF(AND($D654="Serviço",AS$12&lt;&gt;0,$H654&gt;0,OR(AUTOEVENTO&lt;&gt;"manual",$M654&lt;&gt;1)),ROUND(OFFSET($P654,0,AS$13),15-13*ORÇAMENTO!$AF$7)/$H654*OFFSET(ORÇAMENTO!$X$15,ROW(AS654)-ROW(AS$15),0),0)</f>
        <v>0</v>
      </c>
      <c r="AT654" s="632">
        <f ca="1">IF(AND($D654="Serviço",AT$12&lt;&gt;0,$H654&gt;0,OR(AUTOEVENTO&lt;&gt;"manual",$M654&lt;&gt;1)),ROUND(OFFSET($P654,0,AT$13),15-13*ORÇAMENTO!$AF$7)/$H654*OFFSET(ORÇAMENTO!$X$15,ROW(AT654)-ROW(AT$15),0),0)</f>
        <v>0</v>
      </c>
      <c r="AU654" s="632">
        <f ca="1">IF(AND($D654="Serviço",AU$12&lt;&gt;0,$H654&gt;0,OR(AUTOEVENTO&lt;&gt;"manual",$M654&lt;&gt;1)),ROUND(OFFSET($P654,0,AU$13),15-13*ORÇAMENTO!$AF$7)/$H654*OFFSET(ORÇAMENTO!$X$15,ROW(AU654)-ROW(AU$15),0),0)</f>
        <v>0</v>
      </c>
      <c r="AV654" s="632">
        <f ca="1">IF(AND($D654="Serviço",AV$12&lt;&gt;0,$H654&gt;0,OR(AUTOEVENTO&lt;&gt;"manual",$M654&lt;&gt;1)),ROUND(OFFSET($P654,0,AV$13),15-13*ORÇAMENTO!$AF$7)/$H654*OFFSET(ORÇAMENTO!$X$15,ROW(AV654)-ROW(AV$15),0),0)</f>
        <v>0</v>
      </c>
      <c r="AW654" s="632">
        <f ca="1">IF(AND($D654="Serviço",AW$12&lt;&gt;0,$H654&gt;0,OR(AUTOEVENTO&lt;&gt;"manual",$M654&lt;&gt;1)),ROUND(OFFSET($P654,0,AW$13),15-13*ORÇAMENTO!$AF$7)/$H654*OFFSET(ORÇAMENTO!$X$15,ROW(AW654)-ROW(AW$15),0),0)</f>
        <v>0</v>
      </c>
      <c r="AX654" s="632">
        <f ca="1">IF(AND($D654="Serviço",AX$12&lt;&gt;0,$H654&gt;0,OR(AUTOEVENTO&lt;&gt;"manual",$M654&lt;&gt;1)),ROUND(OFFSET($P654,0,AX$13),15-13*ORÇAMENTO!$AF$7)/$H654*OFFSET(ORÇAMENTO!$X$15,ROW(AX654)-ROW(AX$15),0),0)</f>
        <v>0</v>
      </c>
      <c r="AY654" s="632">
        <f ca="1">IF(AND($D654="Serviço",AY$12&lt;&gt;0,$H654&gt;0,OR(AUTOEVENTO&lt;&gt;"manual",$M654&lt;&gt;1)),ROUND(OFFSET($P654,0,AY$13),15-13*ORÇAMENTO!$AF$7)/$H654*OFFSET(ORÇAMENTO!$X$15,ROW(AY654)-ROW(AY$15),0),0)</f>
        <v>0</v>
      </c>
      <c r="AZ654" s="632">
        <f ca="1">IF(AND($D654="Serviço",AZ$12&lt;&gt;0,$H654&gt;0,OR(AUTOEVENTO&lt;&gt;"manual",$M654&lt;&gt;1)),ROUND(OFFSET($P654,0,AZ$13),15-13*ORÇAMENTO!$AF$7)/$H654*OFFSET(ORÇAMENTO!$X$15,ROW(AZ654)-ROW(AZ$15),0),0)</f>
        <v>0</v>
      </c>
      <c r="BA654" s="633">
        <f ca="1">IF(AND($D654="Serviço",BA$12&lt;&gt;0,$H654&gt;0,OR(AUTOEVENTO&lt;&gt;"manual",$M654&lt;&gt;1)),ROUND(OFFSET($P654,0,BA$13),15-13*ORÇAMENTO!$AF$7)/$H654*OFFSET(ORÇAMENTO!$X$15,ROW(BA654)-ROW(BA$15),0),0)</f>
        <v>0</v>
      </c>
      <c r="BC654" s="215">
        <f ca="1">IF($D654&lt;&gt;"Serviço",0,IF(AND(AUTOEVENTO="Manual",$M654=1),0,IF(OFFSET(CRONOPLE!$F$14,$M654,BC$13)="",10^12,OFFSET(CRONOPLE!$F$14,$M654,BC$13))))</f>
        <v>1000000000000</v>
      </c>
      <c r="BD654" s="215">
        <f ca="1">IF($D654&lt;&gt;"Serviço",0,IF(AND(AUTOEVENTO="Manual",$M654=1),0,IF(OFFSET(CRONOPLE!$F$14,$M654,BD$13)="",10^12,OFFSET(CRONOPLE!$F$14,$M654,BD$13))))</f>
        <v>1000000000000</v>
      </c>
      <c r="BE654" s="215">
        <f ca="1">IF($D654&lt;&gt;"Serviço",0,IF(AND(AUTOEVENTO="Manual",$M654=1),0,IF(OFFSET(CRONOPLE!$F$14,$M654,BE$13)="",10^12,OFFSET(CRONOPLE!$F$14,$M654,BE$13))))</f>
        <v>1000000000000</v>
      </c>
      <c r="BF654" s="215">
        <f ca="1">IF($D654&lt;&gt;"Serviço",0,IF(AND(AUTOEVENTO="Manual",$M654=1),0,IF(OFFSET(CRONOPLE!$F$14,$M654,BF$13)="",10^12,OFFSET(CRONOPLE!$F$14,$M654,BF$13))))</f>
        <v>1000000000000</v>
      </c>
      <c r="BG654" s="215">
        <f ca="1">IF($D654&lt;&gt;"Serviço",0,IF(AND(AUTOEVENTO="Manual",$M654=1),0,IF(OFFSET(CRONOPLE!$F$14,$M654,BG$13)="",10^12,OFFSET(CRONOPLE!$F$14,$M654,BG$13))))</f>
        <v>1000000000000</v>
      </c>
      <c r="BH654" s="215">
        <f ca="1">IF($D654&lt;&gt;"Serviço",0,IF(AND(AUTOEVENTO="Manual",$M654=1),0,IF(OFFSET(CRONOPLE!$F$14,$M654,BH$13)="",10^12,OFFSET(CRONOPLE!$F$14,$M654,BH$13))))</f>
        <v>1000000000000</v>
      </c>
      <c r="BI654" s="215">
        <f ca="1">IF($D654&lt;&gt;"Serviço",0,IF(AND(AUTOEVENTO="Manual",$M654=1),0,IF(OFFSET(CRONOPLE!$F$14,$M654,BI$13)="",10^12,OFFSET(CRONOPLE!$F$14,$M654,BI$13))))</f>
        <v>1000000000000</v>
      </c>
      <c r="BJ654" s="215">
        <f ca="1">IF($D654&lt;&gt;"Serviço",0,IF(AND(AUTOEVENTO="Manual",$M654=1),0,IF(OFFSET(CRONOPLE!$F$14,$M654,BJ$13)="",10^12,OFFSET(CRONOPLE!$F$14,$M654,BJ$13))))</f>
        <v>1000000000000</v>
      </c>
      <c r="BK654" s="215">
        <f ca="1">IF($D654&lt;&gt;"Serviço",0,IF(AND(AUTOEVENTO="Manual",$M654=1),0,IF(OFFSET(CRONOPLE!$F$14,$M654,BK$13)="",10^12,OFFSET(CRONOPLE!$F$14,$M654,BK$13))))</f>
        <v>1000000000000</v>
      </c>
      <c r="BL654" s="215">
        <f ca="1">IF($D654&lt;&gt;"Serviço",0,IF(AND(AUTOEVENTO="Manual",$M654=1),0,IF(OFFSET(CRONOPLE!$F$14,$M654,BL$13)="",10^12,OFFSET(CRONOPLE!$F$14,$M654,BL$13))))</f>
        <v>1000000000000</v>
      </c>
      <c r="BM654" s="215">
        <f ca="1">IF($D654&lt;&gt;"Serviço",0,IF(AND(AUTOEVENTO="Manual",$M654=1),0,IF(OFFSET(CRONOPLE!$F$14,$M654,BM$13)="",10^12,OFFSET(CRONOPLE!$F$14,$M654,BM$13))))</f>
        <v>1000000000000</v>
      </c>
      <c r="BN654" s="215">
        <f ca="1">IF($D654&lt;&gt;"Serviço",0,IF(AND(AUTOEVENTO="Manual",$M654=1),0,IF(OFFSET(CRONOPLE!$F$14,$M654,BN$13)="",10^12,OFFSET(CRONOPLE!$F$14,$M654,BN$13))))</f>
        <v>1000000000000</v>
      </c>
      <c r="BO654" s="215">
        <f ca="1">IF($D654&lt;&gt;"Serviço",0,IF(AND(AUTOEVENTO="Manual",$M654=1),0,IF(OFFSET(CRONOPLE!$F$14,$M654,BO$13)="",10^12,OFFSET(CRONOPLE!$F$14,$M654,BO$13))))</f>
        <v>1000000000000</v>
      </c>
      <c r="BP654" s="215">
        <f ca="1">IF($D654&lt;&gt;"Serviço",0,IF(AND(AUTOEVENTO="Manual",$M654=1),0,IF(OFFSET(CRONOPLE!$F$14,$M654,BP$13)="",10^12,OFFSET(CRONOPLE!$F$14,$M654,BP$13))))</f>
        <v>1000000000000</v>
      </c>
      <c r="BQ654" s="215">
        <f ca="1">IF($D654&lt;&gt;"Serviço",0,IF(AND(AUTOEVENTO="Manual",$M654=1),0,IF(OFFSET(CRONOPLE!$F$14,$M654,BQ$13)="",10^12,OFFSET(CRONOPLE!$F$14,$M654,BQ$13))))</f>
        <v>1000000000000</v>
      </c>
      <c r="BR654" s="215">
        <f ca="1">IF($D654&lt;&gt;"Serviço",0,IF(AND(AUTOEVENTO="Manual",$M654=1),0,IF(OFFSET(CRONOPLE!$F$14,$M654,BR$13)="",10^12,OFFSET(CRONOPLE!$F$14,$M654,BR$13))))</f>
        <v>1000000000000</v>
      </c>
      <c r="BS654" s="215">
        <f ca="1">IF($D654&lt;&gt;"Serviço",0,IF(AND(AUTOEVENTO="Manual",$M654=1),0,IF(OFFSET(CRONOPLE!$F$14,$M654,BS$13)="",10^12,OFFSET(CRONOPLE!$F$14,$M654,BS$13))))</f>
        <v>1000000000000</v>
      </c>
      <c r="BT654" s="215">
        <f ca="1">IF($D654&lt;&gt;"Serviço",0,IF(AND(AUTOEVENTO="Manual",$M654=1),0,IF(OFFSET(CRONOPLE!$F$14,$M654,BT$13)="",10^12,OFFSET(CRONOPLE!$F$14,$M654,BT$13))))</f>
        <v>1000000000000</v>
      </c>
      <c r="BV654" s="216">
        <f ca="1">IF($D654&lt;&gt;"Serviço",0,IF(OR(AND(AUTOEVENTO="Manual",$M654=1),$M654&gt;(ROW(PLE.lastrow)-ROW(PLE.firstrow))),0,IF(OFFSET(PLE!$G$14,$M654,BV$13)="",10^12,OFFSET(PLE!$G$14,$M654,BV$13))))</f>
        <v>1000000000000</v>
      </c>
      <c r="BW654" s="216">
        <f ca="1">IF($D654&lt;&gt;"Serviço",0,IF(OR(AND(AUTOEVENTO="Manual",$M654=1),$M654&gt;(ROW(PLE.lastrow)-ROW(PLE.firstrow))),0,IF(OFFSET(PLE!$G$14,$M654,BW$13)="",10^12,OFFSET(PLE!$G$14,$M654,BW$13))))</f>
        <v>1000000000000</v>
      </c>
      <c r="BX654" s="216">
        <f ca="1">IF($D654&lt;&gt;"Serviço",0,IF(OR(AND(AUTOEVENTO="Manual",$M654=1),$M654&gt;(ROW(PLE.lastrow)-ROW(PLE.firstrow))),0,IF(OFFSET(PLE!$G$14,$M654,BX$13)="",10^12,OFFSET(PLE!$G$14,$M654,BX$13))))</f>
        <v>1000000000000</v>
      </c>
      <c r="BY654" s="216">
        <f ca="1">IF($D654&lt;&gt;"Serviço",0,IF(OR(AND(AUTOEVENTO="Manual",$M654=1),$M654&gt;(ROW(PLE.lastrow)-ROW(PLE.firstrow))),0,IF(OFFSET(PLE!$G$14,$M654,BY$13)="",10^12,OFFSET(PLE!$G$14,$M654,BY$13))))</f>
        <v>1000000000000</v>
      </c>
      <c r="BZ654" s="216">
        <f ca="1">IF($D654&lt;&gt;"Serviço",0,IF(OR(AND(AUTOEVENTO="Manual",$M654=1),$M654&gt;(ROW(PLE.lastrow)-ROW(PLE.firstrow))),0,IF(OFFSET(PLE!$G$14,$M654,BZ$13)="",10^12,OFFSET(PLE!$G$14,$M654,BZ$13))))</f>
        <v>1000000000000</v>
      </c>
      <c r="CA654" s="216">
        <f ca="1">IF($D654&lt;&gt;"Serviço",0,IF(OR(AND(AUTOEVENTO="Manual",$M654=1),$M654&gt;(ROW(PLE.lastrow)-ROW(PLE.firstrow))),0,IF(OFFSET(PLE!$G$14,$M654,CA$13)="",10^12,OFFSET(PLE!$G$14,$M654,CA$13))))</f>
        <v>1000000000000</v>
      </c>
      <c r="CB654" s="216">
        <f ca="1">IF($D654&lt;&gt;"Serviço",0,IF(OR(AND(AUTOEVENTO="Manual",$M654=1),$M654&gt;(ROW(PLE.lastrow)-ROW(PLE.firstrow))),0,IF(OFFSET(PLE!$G$14,$M654,CB$13)="",10^12,OFFSET(PLE!$G$14,$M654,CB$13))))</f>
        <v>1000000000000</v>
      </c>
      <c r="CC654" s="216">
        <f ca="1">IF($D654&lt;&gt;"Serviço",0,IF(OR(AND(AUTOEVENTO="Manual",$M654=1),$M654&gt;(ROW(PLE.lastrow)-ROW(PLE.firstrow))),0,IF(OFFSET(PLE!$G$14,$M654,CC$13)="",10^12,OFFSET(PLE!$G$14,$M654,CC$13))))</f>
        <v>1000000000000</v>
      </c>
      <c r="CD654" s="216">
        <f ca="1">IF($D654&lt;&gt;"Serviço",0,IF(OR(AND(AUTOEVENTO="Manual",$M654=1),$M654&gt;(ROW(PLE.lastrow)-ROW(PLE.firstrow))),0,IF(OFFSET(PLE!$G$14,$M654,CD$13)="",10^12,OFFSET(PLE!$G$14,$M654,CD$13))))</f>
        <v>1000000000000</v>
      </c>
      <c r="CE654" s="216">
        <f ca="1">IF($D654&lt;&gt;"Serviço",0,IF(OR(AND(AUTOEVENTO="Manual",$M654=1),$M654&gt;(ROW(PLE.lastrow)-ROW(PLE.firstrow))),0,IF(OFFSET(PLE!$G$14,$M654,CE$13)="",10^12,OFFSET(PLE!$G$14,$M654,CE$13))))</f>
        <v>1000000000000</v>
      </c>
      <c r="CF654" s="216">
        <f ca="1">IF($D654&lt;&gt;"Serviço",0,IF(OR(AND(AUTOEVENTO="Manual",$M654=1),$M654&gt;(ROW(PLE.lastrow)-ROW(PLE.firstrow))),0,IF(OFFSET(PLE!$G$14,$M654,CF$13)="",10^12,OFFSET(PLE!$G$14,$M654,CF$13))))</f>
        <v>1000000000000</v>
      </c>
      <c r="CG654" s="216">
        <f ca="1">IF($D654&lt;&gt;"Serviço",0,IF(OR(AND(AUTOEVENTO="Manual",$M654=1),$M654&gt;(ROW(PLE.lastrow)-ROW(PLE.firstrow))),0,IF(OFFSET(PLE!$G$14,$M654,CG$13)="",10^12,OFFSET(PLE!$G$14,$M654,CG$13))))</f>
        <v>1000000000000</v>
      </c>
      <c r="CH654" s="216">
        <f ca="1">IF($D654&lt;&gt;"Serviço",0,IF(OR(AND(AUTOEVENTO="Manual",$M654=1),$M654&gt;(ROW(PLE.lastrow)-ROW(PLE.firstrow))),0,IF(OFFSET(PLE!$G$14,$M654,CH$13)="",10^12,OFFSET(PLE!$G$14,$M654,CH$13))))</f>
        <v>1000000000000</v>
      </c>
      <c r="CI654" s="216">
        <f ca="1">IF($D654&lt;&gt;"Serviço",0,IF(OR(AND(AUTOEVENTO="Manual",$M654=1),$M654&gt;(ROW(PLE.lastrow)-ROW(PLE.firstrow))),0,IF(OFFSET(PLE!$G$14,$M654,CI$13)="",10^12,OFFSET(PLE!$G$14,$M654,CI$13))))</f>
        <v>1000000000000</v>
      </c>
      <c r="CJ654" s="216">
        <f ca="1">IF($D654&lt;&gt;"Serviço",0,IF(OR(AND(AUTOEVENTO="Manual",$M654=1),$M654&gt;(ROW(PLE.lastrow)-ROW(PLE.firstrow))),0,IF(OFFSET(PLE!$G$14,$M654,CJ$13)="",10^12,OFFSET(PLE!$G$14,$M654,CJ$13))))</f>
        <v>1000000000000</v>
      </c>
      <c r="CK654" s="216">
        <f ca="1">IF($D654&lt;&gt;"Serviço",0,IF(OR(AND(AUTOEVENTO="Manual",$M654=1),$M654&gt;(ROW(PLE.lastrow)-ROW(PLE.firstrow))),0,IF(OFFSET(PLE!$G$14,$M654,CK$13)="",10^12,OFFSET(PLE!$G$14,$M654,CK$13))))</f>
        <v>1000000000000</v>
      </c>
      <c r="CL654" s="216">
        <f ca="1">IF($D654&lt;&gt;"Serviço",0,IF(OR(AND(AUTOEVENTO="Manual",$M654=1),$M654&gt;(ROW(PLE.lastrow)-ROW(PLE.firstrow))),0,IF(OFFSET(PLE!$G$14,$M654,CL$13)="",10^12,OFFSET(PLE!$G$14,$M654,CL$13))))</f>
        <v>1000000000000</v>
      </c>
      <c r="CM654" s="216">
        <f ca="1">IF($D654&lt;&gt;"Serviço",0,IF(OR(AND(AUTOEVENTO="Manual",$M654=1),$M654&gt;(ROW(PLE.lastrow)-ROW(PLE.firstrow))),0,IF(OFFSET(PLE!$G$14,$M654,CM$13)="",10^12,OFFSET(PLE!$G$14,$M654,CM$13))))</f>
        <v>1000000000000</v>
      </c>
    </row>
    <row r="655" spans="1:91" ht="13.2" x14ac:dyDescent="0.25">
      <c r="A655" s="9">
        <f t="shared" ca="1" si="20"/>
        <v>0</v>
      </c>
      <c r="B655" s="9" t="str">
        <f ca="1">OFFSET(ORÇAMENTO!C$15,ROW(B655)-ROW(B$15),0)</f>
        <v>S</v>
      </c>
      <c r="C655" s="9" t="str">
        <f ca="1">OFFSET(ORÇAMENTO!L$15,ROW(C655)-ROW(C$15),0)</f>
        <v/>
      </c>
      <c r="D655" s="145" t="str">
        <f ca="1">OFFSET(ORÇAMENTO!N$15,ROW(D655)-ROW(D$15),0)</f>
        <v>Serviço</v>
      </c>
      <c r="E655" s="205" t="str">
        <f ca="1">OFFSET(ORÇAMENTO!O$15,ROW(E655)-ROW(E$15),0)</f>
        <v>-</v>
      </c>
      <c r="F655" s="206" t="str">
        <f ca="1">OFFSET(ORÇAMENTO!R$15,ROW(F655)-ROW(F$15),0)</f>
        <v>(abra o arquivo 'Referência 05-2024.xls)</v>
      </c>
      <c r="G655" s="207" t="str">
        <f ca="1">IF($D655&lt;&gt;"Serviço","",OFFSET(ORÇAMENTO!S$15,ROW(G655)-ROW(G$15),0))</f>
        <v>-</v>
      </c>
      <c r="H655" s="151">
        <f ca="1">IF($D655&lt;&gt;"Serviço",0,IF(ACOMPANHAMENTO="BM",ROUND(OFFSET(ORÇAMENTO!AJ$15,ROW(H655)-ROW(H$15),0),15-13*ORÇAMENTO!$AF$7),SUMPRODUCT(($Q$12:$AI$12&lt;&gt;"")*ROUND($Q655:$AI655,15-13*ORÇAMENTO!$AF$7))))</f>
        <v>1</v>
      </c>
      <c r="I655" s="650"/>
      <c r="K655" s="208"/>
      <c r="L655" s="209" t="s">
        <v>257</v>
      </c>
      <c r="M655" s="210">
        <f ca="1">IF($D655&lt;&gt;"Serviço","",IF(AUTOEVENTO="manual",$A655,IF(ISERROR(MATCH($A655,$A$15:OFFSET($A655,-1,0),0)),MAX($M$15:OFFSET(M655,-1,0))+1,INDEX($M$15:OFFSET(M655,-1,0),MATCH($A655,$A$15:OFFSET($A655,-1,0),0)))))</f>
        <v>0</v>
      </c>
      <c r="N655" s="211" t="str">
        <f ca="1">IF($D655&lt;&gt;"Serviço","",IF(AUTOEVENTO="Manual",IF($A655=0,"&lt;-- defina o número do agrupador",OFFSET(EVENTOS!$D$14,$A655,0)),OFFSET($F$15,$A655,0)))</f>
        <v>&lt;-- defina o número do agrupador</v>
      </c>
      <c r="O655" s="212"/>
      <c r="Q655" s="212"/>
      <c r="R655" s="213"/>
      <c r="S655" s="213"/>
      <c r="T655" s="213"/>
      <c r="U655" s="213"/>
      <c r="V655" s="213"/>
      <c r="W655" s="213"/>
      <c r="X655" s="213"/>
      <c r="Y655" s="213"/>
      <c r="Z655" s="214"/>
      <c r="AA655" s="213"/>
      <c r="AB655" s="213"/>
      <c r="AC655" s="213"/>
      <c r="AD655" s="213"/>
      <c r="AE655" s="213"/>
      <c r="AF655" s="213"/>
      <c r="AG655" s="213"/>
      <c r="AH655" s="214"/>
      <c r="AJ655" s="631">
        <f ca="1">IF(AND($D655="Serviço",AJ$12&lt;&gt;0,$H655&gt;0,OR(AUTOEVENTO&lt;&gt;"manual",$M655&lt;&gt;1)),ROUND(OFFSET($P655,0,AJ$13),15-13*ORÇAMENTO!$AF$7)/$H655*OFFSET(ORÇAMENTO!$X$15,ROW(AJ655)-ROW(AJ$15),0),0)</f>
        <v>0</v>
      </c>
      <c r="AK655" s="632">
        <f ca="1">IF(AND($D655="Serviço",AK$12&lt;&gt;0,$H655&gt;0,OR(AUTOEVENTO&lt;&gt;"manual",$M655&lt;&gt;1)),ROUND(OFFSET($P655,0,AK$13),15-13*ORÇAMENTO!$AF$7)/$H655*OFFSET(ORÇAMENTO!$X$15,ROW(AK655)-ROW(AK$15),0),0)</f>
        <v>0</v>
      </c>
      <c r="AL655" s="632">
        <f ca="1">IF(AND($D655="Serviço",AL$12&lt;&gt;0,$H655&gt;0,OR(AUTOEVENTO&lt;&gt;"manual",$M655&lt;&gt;1)),ROUND(OFFSET($P655,0,AL$13),15-13*ORÇAMENTO!$AF$7)/$H655*OFFSET(ORÇAMENTO!$X$15,ROW(AL655)-ROW(AL$15),0),0)</f>
        <v>0</v>
      </c>
      <c r="AM655" s="632">
        <f ca="1">IF(AND($D655="Serviço",AM$12&lt;&gt;0,$H655&gt;0,OR(AUTOEVENTO&lt;&gt;"manual",$M655&lt;&gt;1)),ROUND(OFFSET($P655,0,AM$13),15-13*ORÇAMENTO!$AF$7)/$H655*OFFSET(ORÇAMENTO!$X$15,ROW(AM655)-ROW(AM$15),0),0)</f>
        <v>0</v>
      </c>
      <c r="AN655" s="632">
        <f ca="1">IF(AND($D655="Serviço",AN$12&lt;&gt;0,$H655&gt;0,OR(AUTOEVENTO&lt;&gt;"manual",$M655&lt;&gt;1)),ROUND(OFFSET($P655,0,AN$13),15-13*ORÇAMENTO!$AF$7)/$H655*OFFSET(ORÇAMENTO!$X$15,ROW(AN655)-ROW(AN$15),0),0)</f>
        <v>0</v>
      </c>
      <c r="AO655" s="632">
        <f ca="1">IF(AND($D655="Serviço",AO$12&lt;&gt;0,$H655&gt;0,OR(AUTOEVENTO&lt;&gt;"manual",$M655&lt;&gt;1)),ROUND(OFFSET($P655,0,AO$13),15-13*ORÇAMENTO!$AF$7)/$H655*OFFSET(ORÇAMENTO!$X$15,ROW(AO655)-ROW(AO$15),0),0)</f>
        <v>0</v>
      </c>
      <c r="AP655" s="632">
        <f ca="1">IF(AND($D655="Serviço",AP$12&lt;&gt;0,$H655&gt;0,OR(AUTOEVENTO&lt;&gt;"manual",$M655&lt;&gt;1)),ROUND(OFFSET($P655,0,AP$13),15-13*ORÇAMENTO!$AF$7)/$H655*OFFSET(ORÇAMENTO!$X$15,ROW(AP655)-ROW(AP$15),0),0)</f>
        <v>0</v>
      </c>
      <c r="AQ655" s="632">
        <f ca="1">IF(AND($D655="Serviço",AQ$12&lt;&gt;0,$H655&gt;0,OR(AUTOEVENTO&lt;&gt;"manual",$M655&lt;&gt;1)),ROUND(OFFSET($P655,0,AQ$13),15-13*ORÇAMENTO!$AF$7)/$H655*OFFSET(ORÇAMENTO!$X$15,ROW(AQ655)-ROW(AQ$15),0),0)</f>
        <v>0</v>
      </c>
      <c r="AR655" s="632">
        <f ca="1">IF(AND($D655="Serviço",AR$12&lt;&gt;0,$H655&gt;0,OR(AUTOEVENTO&lt;&gt;"manual",$M655&lt;&gt;1)),ROUND(OFFSET($P655,0,AR$13),15-13*ORÇAMENTO!$AF$7)/$H655*OFFSET(ORÇAMENTO!$X$15,ROW(AR655)-ROW(AR$15),0),0)</f>
        <v>0</v>
      </c>
      <c r="AS655" s="633">
        <f ca="1">IF(AND($D655="Serviço",AS$12&lt;&gt;0,$H655&gt;0,OR(AUTOEVENTO&lt;&gt;"manual",$M655&lt;&gt;1)),ROUND(OFFSET($P655,0,AS$13),15-13*ORÇAMENTO!$AF$7)/$H655*OFFSET(ORÇAMENTO!$X$15,ROW(AS655)-ROW(AS$15),0),0)</f>
        <v>0</v>
      </c>
      <c r="AT655" s="632">
        <f ca="1">IF(AND($D655="Serviço",AT$12&lt;&gt;0,$H655&gt;0,OR(AUTOEVENTO&lt;&gt;"manual",$M655&lt;&gt;1)),ROUND(OFFSET($P655,0,AT$13),15-13*ORÇAMENTO!$AF$7)/$H655*OFFSET(ORÇAMENTO!$X$15,ROW(AT655)-ROW(AT$15),0),0)</f>
        <v>0</v>
      </c>
      <c r="AU655" s="632">
        <f ca="1">IF(AND($D655="Serviço",AU$12&lt;&gt;0,$H655&gt;0,OR(AUTOEVENTO&lt;&gt;"manual",$M655&lt;&gt;1)),ROUND(OFFSET($P655,0,AU$13),15-13*ORÇAMENTO!$AF$7)/$H655*OFFSET(ORÇAMENTO!$X$15,ROW(AU655)-ROW(AU$15),0),0)</f>
        <v>0</v>
      </c>
      <c r="AV655" s="632">
        <f ca="1">IF(AND($D655="Serviço",AV$12&lt;&gt;0,$H655&gt;0,OR(AUTOEVENTO&lt;&gt;"manual",$M655&lt;&gt;1)),ROUND(OFFSET($P655,0,AV$13),15-13*ORÇAMENTO!$AF$7)/$H655*OFFSET(ORÇAMENTO!$X$15,ROW(AV655)-ROW(AV$15),0),0)</f>
        <v>0</v>
      </c>
      <c r="AW655" s="632">
        <f ca="1">IF(AND($D655="Serviço",AW$12&lt;&gt;0,$H655&gt;0,OR(AUTOEVENTO&lt;&gt;"manual",$M655&lt;&gt;1)),ROUND(OFFSET($P655,0,AW$13),15-13*ORÇAMENTO!$AF$7)/$H655*OFFSET(ORÇAMENTO!$X$15,ROW(AW655)-ROW(AW$15),0),0)</f>
        <v>0</v>
      </c>
      <c r="AX655" s="632">
        <f ca="1">IF(AND($D655="Serviço",AX$12&lt;&gt;0,$H655&gt;0,OR(AUTOEVENTO&lt;&gt;"manual",$M655&lt;&gt;1)),ROUND(OFFSET($P655,0,AX$13),15-13*ORÇAMENTO!$AF$7)/$H655*OFFSET(ORÇAMENTO!$X$15,ROW(AX655)-ROW(AX$15),0),0)</f>
        <v>0</v>
      </c>
      <c r="AY655" s="632">
        <f ca="1">IF(AND($D655="Serviço",AY$12&lt;&gt;0,$H655&gt;0,OR(AUTOEVENTO&lt;&gt;"manual",$M655&lt;&gt;1)),ROUND(OFFSET($P655,0,AY$13),15-13*ORÇAMENTO!$AF$7)/$H655*OFFSET(ORÇAMENTO!$X$15,ROW(AY655)-ROW(AY$15),0),0)</f>
        <v>0</v>
      </c>
      <c r="AZ655" s="632">
        <f ca="1">IF(AND($D655="Serviço",AZ$12&lt;&gt;0,$H655&gt;0,OR(AUTOEVENTO&lt;&gt;"manual",$M655&lt;&gt;1)),ROUND(OFFSET($P655,0,AZ$13),15-13*ORÇAMENTO!$AF$7)/$H655*OFFSET(ORÇAMENTO!$X$15,ROW(AZ655)-ROW(AZ$15),0),0)</f>
        <v>0</v>
      </c>
      <c r="BA655" s="633">
        <f ca="1">IF(AND($D655="Serviço",BA$12&lt;&gt;0,$H655&gt;0,OR(AUTOEVENTO&lt;&gt;"manual",$M655&lt;&gt;1)),ROUND(OFFSET($P655,0,BA$13),15-13*ORÇAMENTO!$AF$7)/$H655*OFFSET(ORÇAMENTO!$X$15,ROW(BA655)-ROW(BA$15),0),0)</f>
        <v>0</v>
      </c>
      <c r="BC655" s="215">
        <f ca="1">IF($D655&lt;&gt;"Serviço",0,IF(AND(AUTOEVENTO="Manual",$M655=1),0,IF(OFFSET(CRONOPLE!$F$14,$M655,BC$13)="",10^12,OFFSET(CRONOPLE!$F$14,$M655,BC$13))))</f>
        <v>1000000000000</v>
      </c>
      <c r="BD655" s="215">
        <f ca="1">IF($D655&lt;&gt;"Serviço",0,IF(AND(AUTOEVENTO="Manual",$M655=1),0,IF(OFFSET(CRONOPLE!$F$14,$M655,BD$13)="",10^12,OFFSET(CRONOPLE!$F$14,$M655,BD$13))))</f>
        <v>1000000000000</v>
      </c>
      <c r="BE655" s="215">
        <f ca="1">IF($D655&lt;&gt;"Serviço",0,IF(AND(AUTOEVENTO="Manual",$M655=1),0,IF(OFFSET(CRONOPLE!$F$14,$M655,BE$13)="",10^12,OFFSET(CRONOPLE!$F$14,$M655,BE$13))))</f>
        <v>1000000000000</v>
      </c>
      <c r="BF655" s="215">
        <f ca="1">IF($D655&lt;&gt;"Serviço",0,IF(AND(AUTOEVENTO="Manual",$M655=1),0,IF(OFFSET(CRONOPLE!$F$14,$M655,BF$13)="",10^12,OFFSET(CRONOPLE!$F$14,$M655,BF$13))))</f>
        <v>1000000000000</v>
      </c>
      <c r="BG655" s="215">
        <f ca="1">IF($D655&lt;&gt;"Serviço",0,IF(AND(AUTOEVENTO="Manual",$M655=1),0,IF(OFFSET(CRONOPLE!$F$14,$M655,BG$13)="",10^12,OFFSET(CRONOPLE!$F$14,$M655,BG$13))))</f>
        <v>1000000000000</v>
      </c>
      <c r="BH655" s="215">
        <f ca="1">IF($D655&lt;&gt;"Serviço",0,IF(AND(AUTOEVENTO="Manual",$M655=1),0,IF(OFFSET(CRONOPLE!$F$14,$M655,BH$13)="",10^12,OFFSET(CRONOPLE!$F$14,$M655,BH$13))))</f>
        <v>1000000000000</v>
      </c>
      <c r="BI655" s="215">
        <f ca="1">IF($D655&lt;&gt;"Serviço",0,IF(AND(AUTOEVENTO="Manual",$M655=1),0,IF(OFFSET(CRONOPLE!$F$14,$M655,BI$13)="",10^12,OFFSET(CRONOPLE!$F$14,$M655,BI$13))))</f>
        <v>1000000000000</v>
      </c>
      <c r="BJ655" s="215">
        <f ca="1">IF($D655&lt;&gt;"Serviço",0,IF(AND(AUTOEVENTO="Manual",$M655=1),0,IF(OFFSET(CRONOPLE!$F$14,$M655,BJ$13)="",10^12,OFFSET(CRONOPLE!$F$14,$M655,BJ$13))))</f>
        <v>1000000000000</v>
      </c>
      <c r="BK655" s="215">
        <f ca="1">IF($D655&lt;&gt;"Serviço",0,IF(AND(AUTOEVENTO="Manual",$M655=1),0,IF(OFFSET(CRONOPLE!$F$14,$M655,BK$13)="",10^12,OFFSET(CRONOPLE!$F$14,$M655,BK$13))))</f>
        <v>1000000000000</v>
      </c>
      <c r="BL655" s="215">
        <f ca="1">IF($D655&lt;&gt;"Serviço",0,IF(AND(AUTOEVENTO="Manual",$M655=1),0,IF(OFFSET(CRONOPLE!$F$14,$M655,BL$13)="",10^12,OFFSET(CRONOPLE!$F$14,$M655,BL$13))))</f>
        <v>1000000000000</v>
      </c>
      <c r="BM655" s="215">
        <f ca="1">IF($D655&lt;&gt;"Serviço",0,IF(AND(AUTOEVENTO="Manual",$M655=1),0,IF(OFFSET(CRONOPLE!$F$14,$M655,BM$13)="",10^12,OFFSET(CRONOPLE!$F$14,$M655,BM$13))))</f>
        <v>1000000000000</v>
      </c>
      <c r="BN655" s="215">
        <f ca="1">IF($D655&lt;&gt;"Serviço",0,IF(AND(AUTOEVENTO="Manual",$M655=1),0,IF(OFFSET(CRONOPLE!$F$14,$M655,BN$13)="",10^12,OFFSET(CRONOPLE!$F$14,$M655,BN$13))))</f>
        <v>1000000000000</v>
      </c>
      <c r="BO655" s="215">
        <f ca="1">IF($D655&lt;&gt;"Serviço",0,IF(AND(AUTOEVENTO="Manual",$M655=1),0,IF(OFFSET(CRONOPLE!$F$14,$M655,BO$13)="",10^12,OFFSET(CRONOPLE!$F$14,$M655,BO$13))))</f>
        <v>1000000000000</v>
      </c>
      <c r="BP655" s="215">
        <f ca="1">IF($D655&lt;&gt;"Serviço",0,IF(AND(AUTOEVENTO="Manual",$M655=1),0,IF(OFFSET(CRONOPLE!$F$14,$M655,BP$13)="",10^12,OFFSET(CRONOPLE!$F$14,$M655,BP$13))))</f>
        <v>1000000000000</v>
      </c>
      <c r="BQ655" s="215">
        <f ca="1">IF($D655&lt;&gt;"Serviço",0,IF(AND(AUTOEVENTO="Manual",$M655=1),0,IF(OFFSET(CRONOPLE!$F$14,$M655,BQ$13)="",10^12,OFFSET(CRONOPLE!$F$14,$M655,BQ$13))))</f>
        <v>1000000000000</v>
      </c>
      <c r="BR655" s="215">
        <f ca="1">IF($D655&lt;&gt;"Serviço",0,IF(AND(AUTOEVENTO="Manual",$M655=1),0,IF(OFFSET(CRONOPLE!$F$14,$M655,BR$13)="",10^12,OFFSET(CRONOPLE!$F$14,$M655,BR$13))))</f>
        <v>1000000000000</v>
      </c>
      <c r="BS655" s="215">
        <f ca="1">IF($D655&lt;&gt;"Serviço",0,IF(AND(AUTOEVENTO="Manual",$M655=1),0,IF(OFFSET(CRONOPLE!$F$14,$M655,BS$13)="",10^12,OFFSET(CRONOPLE!$F$14,$M655,BS$13))))</f>
        <v>1000000000000</v>
      </c>
      <c r="BT655" s="215">
        <f ca="1">IF($D655&lt;&gt;"Serviço",0,IF(AND(AUTOEVENTO="Manual",$M655=1),0,IF(OFFSET(CRONOPLE!$F$14,$M655,BT$13)="",10^12,OFFSET(CRONOPLE!$F$14,$M655,BT$13))))</f>
        <v>1000000000000</v>
      </c>
      <c r="BV655" s="216">
        <f ca="1">IF($D655&lt;&gt;"Serviço",0,IF(OR(AND(AUTOEVENTO="Manual",$M655=1),$M655&gt;(ROW(PLE.lastrow)-ROW(PLE.firstrow))),0,IF(OFFSET(PLE!$G$14,$M655,BV$13)="",10^12,OFFSET(PLE!$G$14,$M655,BV$13))))</f>
        <v>1000000000000</v>
      </c>
      <c r="BW655" s="216">
        <f ca="1">IF($D655&lt;&gt;"Serviço",0,IF(OR(AND(AUTOEVENTO="Manual",$M655=1),$M655&gt;(ROW(PLE.lastrow)-ROW(PLE.firstrow))),0,IF(OFFSET(PLE!$G$14,$M655,BW$13)="",10^12,OFFSET(PLE!$G$14,$M655,BW$13))))</f>
        <v>1000000000000</v>
      </c>
      <c r="BX655" s="216">
        <f ca="1">IF($D655&lt;&gt;"Serviço",0,IF(OR(AND(AUTOEVENTO="Manual",$M655=1),$M655&gt;(ROW(PLE.lastrow)-ROW(PLE.firstrow))),0,IF(OFFSET(PLE!$G$14,$M655,BX$13)="",10^12,OFFSET(PLE!$G$14,$M655,BX$13))))</f>
        <v>1000000000000</v>
      </c>
      <c r="BY655" s="216">
        <f ca="1">IF($D655&lt;&gt;"Serviço",0,IF(OR(AND(AUTOEVENTO="Manual",$M655=1),$M655&gt;(ROW(PLE.lastrow)-ROW(PLE.firstrow))),0,IF(OFFSET(PLE!$G$14,$M655,BY$13)="",10^12,OFFSET(PLE!$G$14,$M655,BY$13))))</f>
        <v>1000000000000</v>
      </c>
      <c r="BZ655" s="216">
        <f ca="1">IF($D655&lt;&gt;"Serviço",0,IF(OR(AND(AUTOEVENTO="Manual",$M655=1),$M655&gt;(ROW(PLE.lastrow)-ROW(PLE.firstrow))),0,IF(OFFSET(PLE!$G$14,$M655,BZ$13)="",10^12,OFFSET(PLE!$G$14,$M655,BZ$13))))</f>
        <v>1000000000000</v>
      </c>
      <c r="CA655" s="216">
        <f ca="1">IF($D655&lt;&gt;"Serviço",0,IF(OR(AND(AUTOEVENTO="Manual",$M655=1),$M655&gt;(ROW(PLE.lastrow)-ROW(PLE.firstrow))),0,IF(OFFSET(PLE!$G$14,$M655,CA$13)="",10^12,OFFSET(PLE!$G$14,$M655,CA$13))))</f>
        <v>1000000000000</v>
      </c>
      <c r="CB655" s="216">
        <f ca="1">IF($D655&lt;&gt;"Serviço",0,IF(OR(AND(AUTOEVENTO="Manual",$M655=1),$M655&gt;(ROW(PLE.lastrow)-ROW(PLE.firstrow))),0,IF(OFFSET(PLE!$G$14,$M655,CB$13)="",10^12,OFFSET(PLE!$G$14,$M655,CB$13))))</f>
        <v>1000000000000</v>
      </c>
      <c r="CC655" s="216">
        <f ca="1">IF($D655&lt;&gt;"Serviço",0,IF(OR(AND(AUTOEVENTO="Manual",$M655=1),$M655&gt;(ROW(PLE.lastrow)-ROW(PLE.firstrow))),0,IF(OFFSET(PLE!$G$14,$M655,CC$13)="",10^12,OFFSET(PLE!$G$14,$M655,CC$13))))</f>
        <v>1000000000000</v>
      </c>
      <c r="CD655" s="216">
        <f ca="1">IF($D655&lt;&gt;"Serviço",0,IF(OR(AND(AUTOEVENTO="Manual",$M655=1),$M655&gt;(ROW(PLE.lastrow)-ROW(PLE.firstrow))),0,IF(OFFSET(PLE!$G$14,$M655,CD$13)="",10^12,OFFSET(PLE!$G$14,$M655,CD$13))))</f>
        <v>1000000000000</v>
      </c>
      <c r="CE655" s="216">
        <f ca="1">IF($D655&lt;&gt;"Serviço",0,IF(OR(AND(AUTOEVENTO="Manual",$M655=1),$M655&gt;(ROW(PLE.lastrow)-ROW(PLE.firstrow))),0,IF(OFFSET(PLE!$G$14,$M655,CE$13)="",10^12,OFFSET(PLE!$G$14,$M655,CE$13))))</f>
        <v>1000000000000</v>
      </c>
      <c r="CF655" s="216">
        <f ca="1">IF($D655&lt;&gt;"Serviço",0,IF(OR(AND(AUTOEVENTO="Manual",$M655=1),$M655&gt;(ROW(PLE.lastrow)-ROW(PLE.firstrow))),0,IF(OFFSET(PLE!$G$14,$M655,CF$13)="",10^12,OFFSET(PLE!$G$14,$M655,CF$13))))</f>
        <v>1000000000000</v>
      </c>
      <c r="CG655" s="216">
        <f ca="1">IF($D655&lt;&gt;"Serviço",0,IF(OR(AND(AUTOEVENTO="Manual",$M655=1),$M655&gt;(ROW(PLE.lastrow)-ROW(PLE.firstrow))),0,IF(OFFSET(PLE!$G$14,$M655,CG$13)="",10^12,OFFSET(PLE!$G$14,$M655,CG$13))))</f>
        <v>1000000000000</v>
      </c>
      <c r="CH655" s="216">
        <f ca="1">IF($D655&lt;&gt;"Serviço",0,IF(OR(AND(AUTOEVENTO="Manual",$M655=1),$M655&gt;(ROW(PLE.lastrow)-ROW(PLE.firstrow))),0,IF(OFFSET(PLE!$G$14,$M655,CH$13)="",10^12,OFFSET(PLE!$G$14,$M655,CH$13))))</f>
        <v>1000000000000</v>
      </c>
      <c r="CI655" s="216">
        <f ca="1">IF($D655&lt;&gt;"Serviço",0,IF(OR(AND(AUTOEVENTO="Manual",$M655=1),$M655&gt;(ROW(PLE.lastrow)-ROW(PLE.firstrow))),0,IF(OFFSET(PLE!$G$14,$M655,CI$13)="",10^12,OFFSET(PLE!$G$14,$M655,CI$13))))</f>
        <v>1000000000000</v>
      </c>
      <c r="CJ655" s="216">
        <f ca="1">IF($D655&lt;&gt;"Serviço",0,IF(OR(AND(AUTOEVENTO="Manual",$M655=1),$M655&gt;(ROW(PLE.lastrow)-ROW(PLE.firstrow))),0,IF(OFFSET(PLE!$G$14,$M655,CJ$13)="",10^12,OFFSET(PLE!$G$14,$M655,CJ$13))))</f>
        <v>1000000000000</v>
      </c>
      <c r="CK655" s="216">
        <f ca="1">IF($D655&lt;&gt;"Serviço",0,IF(OR(AND(AUTOEVENTO="Manual",$M655=1),$M655&gt;(ROW(PLE.lastrow)-ROW(PLE.firstrow))),0,IF(OFFSET(PLE!$G$14,$M655,CK$13)="",10^12,OFFSET(PLE!$G$14,$M655,CK$13))))</f>
        <v>1000000000000</v>
      </c>
      <c r="CL655" s="216">
        <f ca="1">IF($D655&lt;&gt;"Serviço",0,IF(OR(AND(AUTOEVENTO="Manual",$M655=1),$M655&gt;(ROW(PLE.lastrow)-ROW(PLE.firstrow))),0,IF(OFFSET(PLE!$G$14,$M655,CL$13)="",10^12,OFFSET(PLE!$G$14,$M655,CL$13))))</f>
        <v>1000000000000</v>
      </c>
      <c r="CM655" s="216">
        <f ca="1">IF($D655&lt;&gt;"Serviço",0,IF(OR(AND(AUTOEVENTO="Manual",$M655=1),$M655&gt;(ROW(PLE.lastrow)-ROW(PLE.firstrow))),0,IF(OFFSET(PLE!$G$14,$M655,CM$13)="",10^12,OFFSET(PLE!$G$14,$M655,CM$13))))</f>
        <v>1000000000000</v>
      </c>
    </row>
    <row r="656" spans="1:91" ht="13.2" x14ac:dyDescent="0.25">
      <c r="A656" s="9">
        <f t="shared" ca="1" si="20"/>
        <v>0</v>
      </c>
      <c r="B656" s="9" t="str">
        <f ca="1">OFFSET(ORÇAMENTO!C$15,ROW(B656)-ROW(B$15),0)</f>
        <v>S</v>
      </c>
      <c r="C656" s="9" t="str">
        <f ca="1">OFFSET(ORÇAMENTO!L$15,ROW(C656)-ROW(C$15),0)</f>
        <v/>
      </c>
      <c r="D656" s="145" t="str">
        <f ca="1">OFFSET(ORÇAMENTO!N$15,ROW(D656)-ROW(D$15),0)</f>
        <v>Serviço</v>
      </c>
      <c r="E656" s="205" t="str">
        <f ca="1">OFFSET(ORÇAMENTO!O$15,ROW(E656)-ROW(E$15),0)</f>
        <v>-</v>
      </c>
      <c r="F656" s="206" t="str">
        <f ca="1">OFFSET(ORÇAMENTO!R$15,ROW(F656)-ROW(F$15),0)</f>
        <v>(abra o arquivo 'Referência 05-2024.xls)</v>
      </c>
      <c r="G656" s="207" t="str">
        <f ca="1">IF($D656&lt;&gt;"Serviço","",OFFSET(ORÇAMENTO!S$15,ROW(G656)-ROW(G$15),0))</f>
        <v>-</v>
      </c>
      <c r="H656" s="151">
        <f ca="1">IF($D656&lt;&gt;"Serviço",0,IF(ACOMPANHAMENTO="BM",ROUND(OFFSET(ORÇAMENTO!AJ$15,ROW(H656)-ROW(H$15),0),15-13*ORÇAMENTO!$AF$7),SUMPRODUCT(($Q$12:$AI$12&lt;&gt;"")*ROUND($Q656:$AI656,15-13*ORÇAMENTO!$AF$7))))</f>
        <v>1</v>
      </c>
      <c r="I656" s="650"/>
      <c r="K656" s="208"/>
      <c r="L656" s="209" t="s">
        <v>257</v>
      </c>
      <c r="M656" s="210">
        <f ca="1">IF($D656&lt;&gt;"Serviço","",IF(AUTOEVENTO="manual",$A656,IF(ISERROR(MATCH($A656,$A$15:OFFSET($A656,-1,0),0)),MAX($M$15:OFFSET(M656,-1,0))+1,INDEX($M$15:OFFSET(M656,-1,0),MATCH($A656,$A$15:OFFSET($A656,-1,0),0)))))</f>
        <v>0</v>
      </c>
      <c r="N656" s="211" t="str">
        <f ca="1">IF($D656&lt;&gt;"Serviço","",IF(AUTOEVENTO="Manual",IF($A656=0,"&lt;-- defina o número do agrupador",OFFSET(EVENTOS!$D$14,$A656,0)),OFFSET($F$15,$A656,0)))</f>
        <v>&lt;-- defina o número do agrupador</v>
      </c>
      <c r="O656" s="212"/>
      <c r="Q656" s="212"/>
      <c r="R656" s="213"/>
      <c r="S656" s="213"/>
      <c r="T656" s="213"/>
      <c r="U656" s="213"/>
      <c r="V656" s="213"/>
      <c r="W656" s="213"/>
      <c r="X656" s="213"/>
      <c r="Y656" s="213"/>
      <c r="Z656" s="214"/>
      <c r="AA656" s="213"/>
      <c r="AB656" s="213"/>
      <c r="AC656" s="213"/>
      <c r="AD656" s="213"/>
      <c r="AE656" s="213"/>
      <c r="AF656" s="213"/>
      <c r="AG656" s="213"/>
      <c r="AH656" s="214"/>
      <c r="AJ656" s="631">
        <f ca="1">IF(AND($D656="Serviço",AJ$12&lt;&gt;0,$H656&gt;0,OR(AUTOEVENTO&lt;&gt;"manual",$M656&lt;&gt;1)),ROUND(OFFSET($P656,0,AJ$13),15-13*ORÇAMENTO!$AF$7)/$H656*OFFSET(ORÇAMENTO!$X$15,ROW(AJ656)-ROW(AJ$15),0),0)</f>
        <v>0</v>
      </c>
      <c r="AK656" s="632">
        <f ca="1">IF(AND($D656="Serviço",AK$12&lt;&gt;0,$H656&gt;0,OR(AUTOEVENTO&lt;&gt;"manual",$M656&lt;&gt;1)),ROUND(OFFSET($P656,0,AK$13),15-13*ORÇAMENTO!$AF$7)/$H656*OFFSET(ORÇAMENTO!$X$15,ROW(AK656)-ROW(AK$15),0),0)</f>
        <v>0</v>
      </c>
      <c r="AL656" s="632">
        <f ca="1">IF(AND($D656="Serviço",AL$12&lt;&gt;0,$H656&gt;0,OR(AUTOEVENTO&lt;&gt;"manual",$M656&lt;&gt;1)),ROUND(OFFSET($P656,0,AL$13),15-13*ORÇAMENTO!$AF$7)/$H656*OFFSET(ORÇAMENTO!$X$15,ROW(AL656)-ROW(AL$15),0),0)</f>
        <v>0</v>
      </c>
      <c r="AM656" s="632">
        <f ca="1">IF(AND($D656="Serviço",AM$12&lt;&gt;0,$H656&gt;0,OR(AUTOEVENTO&lt;&gt;"manual",$M656&lt;&gt;1)),ROUND(OFFSET($P656,0,AM$13),15-13*ORÇAMENTO!$AF$7)/$H656*OFFSET(ORÇAMENTO!$X$15,ROW(AM656)-ROW(AM$15),0),0)</f>
        <v>0</v>
      </c>
      <c r="AN656" s="632">
        <f ca="1">IF(AND($D656="Serviço",AN$12&lt;&gt;0,$H656&gt;0,OR(AUTOEVENTO&lt;&gt;"manual",$M656&lt;&gt;1)),ROUND(OFFSET($P656,0,AN$13),15-13*ORÇAMENTO!$AF$7)/$H656*OFFSET(ORÇAMENTO!$X$15,ROW(AN656)-ROW(AN$15),0),0)</f>
        <v>0</v>
      </c>
      <c r="AO656" s="632">
        <f ca="1">IF(AND($D656="Serviço",AO$12&lt;&gt;0,$H656&gt;0,OR(AUTOEVENTO&lt;&gt;"manual",$M656&lt;&gt;1)),ROUND(OFFSET($P656,0,AO$13),15-13*ORÇAMENTO!$AF$7)/$H656*OFFSET(ORÇAMENTO!$X$15,ROW(AO656)-ROW(AO$15),0),0)</f>
        <v>0</v>
      </c>
      <c r="AP656" s="632">
        <f ca="1">IF(AND($D656="Serviço",AP$12&lt;&gt;0,$H656&gt;0,OR(AUTOEVENTO&lt;&gt;"manual",$M656&lt;&gt;1)),ROUND(OFFSET($P656,0,AP$13),15-13*ORÇAMENTO!$AF$7)/$H656*OFFSET(ORÇAMENTO!$X$15,ROW(AP656)-ROW(AP$15),0),0)</f>
        <v>0</v>
      </c>
      <c r="AQ656" s="632">
        <f ca="1">IF(AND($D656="Serviço",AQ$12&lt;&gt;0,$H656&gt;0,OR(AUTOEVENTO&lt;&gt;"manual",$M656&lt;&gt;1)),ROUND(OFFSET($P656,0,AQ$13),15-13*ORÇAMENTO!$AF$7)/$H656*OFFSET(ORÇAMENTO!$X$15,ROW(AQ656)-ROW(AQ$15),0),0)</f>
        <v>0</v>
      </c>
      <c r="AR656" s="632">
        <f ca="1">IF(AND($D656="Serviço",AR$12&lt;&gt;0,$H656&gt;0,OR(AUTOEVENTO&lt;&gt;"manual",$M656&lt;&gt;1)),ROUND(OFFSET($P656,0,AR$13),15-13*ORÇAMENTO!$AF$7)/$H656*OFFSET(ORÇAMENTO!$X$15,ROW(AR656)-ROW(AR$15),0),0)</f>
        <v>0</v>
      </c>
      <c r="AS656" s="633">
        <f ca="1">IF(AND($D656="Serviço",AS$12&lt;&gt;0,$H656&gt;0,OR(AUTOEVENTO&lt;&gt;"manual",$M656&lt;&gt;1)),ROUND(OFFSET($P656,0,AS$13),15-13*ORÇAMENTO!$AF$7)/$H656*OFFSET(ORÇAMENTO!$X$15,ROW(AS656)-ROW(AS$15),0),0)</f>
        <v>0</v>
      </c>
      <c r="AT656" s="632">
        <f ca="1">IF(AND($D656="Serviço",AT$12&lt;&gt;0,$H656&gt;0,OR(AUTOEVENTO&lt;&gt;"manual",$M656&lt;&gt;1)),ROUND(OFFSET($P656,0,AT$13),15-13*ORÇAMENTO!$AF$7)/$H656*OFFSET(ORÇAMENTO!$X$15,ROW(AT656)-ROW(AT$15),0),0)</f>
        <v>0</v>
      </c>
      <c r="AU656" s="632">
        <f ca="1">IF(AND($D656="Serviço",AU$12&lt;&gt;0,$H656&gt;0,OR(AUTOEVENTO&lt;&gt;"manual",$M656&lt;&gt;1)),ROUND(OFFSET($P656,0,AU$13),15-13*ORÇAMENTO!$AF$7)/$H656*OFFSET(ORÇAMENTO!$X$15,ROW(AU656)-ROW(AU$15),0),0)</f>
        <v>0</v>
      </c>
      <c r="AV656" s="632">
        <f ca="1">IF(AND($D656="Serviço",AV$12&lt;&gt;0,$H656&gt;0,OR(AUTOEVENTO&lt;&gt;"manual",$M656&lt;&gt;1)),ROUND(OFFSET($P656,0,AV$13),15-13*ORÇAMENTO!$AF$7)/$H656*OFFSET(ORÇAMENTO!$X$15,ROW(AV656)-ROW(AV$15),0),0)</f>
        <v>0</v>
      </c>
      <c r="AW656" s="632">
        <f ca="1">IF(AND($D656="Serviço",AW$12&lt;&gt;0,$H656&gt;0,OR(AUTOEVENTO&lt;&gt;"manual",$M656&lt;&gt;1)),ROUND(OFFSET($P656,0,AW$13),15-13*ORÇAMENTO!$AF$7)/$H656*OFFSET(ORÇAMENTO!$X$15,ROW(AW656)-ROW(AW$15),0),0)</f>
        <v>0</v>
      </c>
      <c r="AX656" s="632">
        <f ca="1">IF(AND($D656="Serviço",AX$12&lt;&gt;0,$H656&gt;0,OR(AUTOEVENTO&lt;&gt;"manual",$M656&lt;&gt;1)),ROUND(OFFSET($P656,0,AX$13),15-13*ORÇAMENTO!$AF$7)/$H656*OFFSET(ORÇAMENTO!$X$15,ROW(AX656)-ROW(AX$15),0),0)</f>
        <v>0</v>
      </c>
      <c r="AY656" s="632">
        <f ca="1">IF(AND($D656="Serviço",AY$12&lt;&gt;0,$H656&gt;0,OR(AUTOEVENTO&lt;&gt;"manual",$M656&lt;&gt;1)),ROUND(OFFSET($P656,0,AY$13),15-13*ORÇAMENTO!$AF$7)/$H656*OFFSET(ORÇAMENTO!$X$15,ROW(AY656)-ROW(AY$15),0),0)</f>
        <v>0</v>
      </c>
      <c r="AZ656" s="632">
        <f ca="1">IF(AND($D656="Serviço",AZ$12&lt;&gt;0,$H656&gt;0,OR(AUTOEVENTO&lt;&gt;"manual",$M656&lt;&gt;1)),ROUND(OFFSET($P656,0,AZ$13),15-13*ORÇAMENTO!$AF$7)/$H656*OFFSET(ORÇAMENTO!$X$15,ROW(AZ656)-ROW(AZ$15),0),0)</f>
        <v>0</v>
      </c>
      <c r="BA656" s="633">
        <f ca="1">IF(AND($D656="Serviço",BA$12&lt;&gt;0,$H656&gt;0,OR(AUTOEVENTO&lt;&gt;"manual",$M656&lt;&gt;1)),ROUND(OFFSET($P656,0,BA$13),15-13*ORÇAMENTO!$AF$7)/$H656*OFFSET(ORÇAMENTO!$X$15,ROW(BA656)-ROW(BA$15),0),0)</f>
        <v>0</v>
      </c>
      <c r="BC656" s="215">
        <f ca="1">IF($D656&lt;&gt;"Serviço",0,IF(AND(AUTOEVENTO="Manual",$M656=1),0,IF(OFFSET(CRONOPLE!$F$14,$M656,BC$13)="",10^12,OFFSET(CRONOPLE!$F$14,$M656,BC$13))))</f>
        <v>1000000000000</v>
      </c>
      <c r="BD656" s="215">
        <f ca="1">IF($D656&lt;&gt;"Serviço",0,IF(AND(AUTOEVENTO="Manual",$M656=1),0,IF(OFFSET(CRONOPLE!$F$14,$M656,BD$13)="",10^12,OFFSET(CRONOPLE!$F$14,$M656,BD$13))))</f>
        <v>1000000000000</v>
      </c>
      <c r="BE656" s="215">
        <f ca="1">IF($D656&lt;&gt;"Serviço",0,IF(AND(AUTOEVENTO="Manual",$M656=1),0,IF(OFFSET(CRONOPLE!$F$14,$M656,BE$13)="",10^12,OFFSET(CRONOPLE!$F$14,$M656,BE$13))))</f>
        <v>1000000000000</v>
      </c>
      <c r="BF656" s="215">
        <f ca="1">IF($D656&lt;&gt;"Serviço",0,IF(AND(AUTOEVENTO="Manual",$M656=1),0,IF(OFFSET(CRONOPLE!$F$14,$M656,BF$13)="",10^12,OFFSET(CRONOPLE!$F$14,$M656,BF$13))))</f>
        <v>1000000000000</v>
      </c>
      <c r="BG656" s="215">
        <f ca="1">IF($D656&lt;&gt;"Serviço",0,IF(AND(AUTOEVENTO="Manual",$M656=1),0,IF(OFFSET(CRONOPLE!$F$14,$M656,BG$13)="",10^12,OFFSET(CRONOPLE!$F$14,$M656,BG$13))))</f>
        <v>1000000000000</v>
      </c>
      <c r="BH656" s="215">
        <f ca="1">IF($D656&lt;&gt;"Serviço",0,IF(AND(AUTOEVENTO="Manual",$M656=1),0,IF(OFFSET(CRONOPLE!$F$14,$M656,BH$13)="",10^12,OFFSET(CRONOPLE!$F$14,$M656,BH$13))))</f>
        <v>1000000000000</v>
      </c>
      <c r="BI656" s="215">
        <f ca="1">IF($D656&lt;&gt;"Serviço",0,IF(AND(AUTOEVENTO="Manual",$M656=1),0,IF(OFFSET(CRONOPLE!$F$14,$M656,BI$13)="",10^12,OFFSET(CRONOPLE!$F$14,$M656,BI$13))))</f>
        <v>1000000000000</v>
      </c>
      <c r="BJ656" s="215">
        <f ca="1">IF($D656&lt;&gt;"Serviço",0,IF(AND(AUTOEVENTO="Manual",$M656=1),0,IF(OFFSET(CRONOPLE!$F$14,$M656,BJ$13)="",10^12,OFFSET(CRONOPLE!$F$14,$M656,BJ$13))))</f>
        <v>1000000000000</v>
      </c>
      <c r="BK656" s="215">
        <f ca="1">IF($D656&lt;&gt;"Serviço",0,IF(AND(AUTOEVENTO="Manual",$M656=1),0,IF(OFFSET(CRONOPLE!$F$14,$M656,BK$13)="",10^12,OFFSET(CRONOPLE!$F$14,$M656,BK$13))))</f>
        <v>1000000000000</v>
      </c>
      <c r="BL656" s="215">
        <f ca="1">IF($D656&lt;&gt;"Serviço",0,IF(AND(AUTOEVENTO="Manual",$M656=1),0,IF(OFFSET(CRONOPLE!$F$14,$M656,BL$13)="",10^12,OFFSET(CRONOPLE!$F$14,$M656,BL$13))))</f>
        <v>1000000000000</v>
      </c>
      <c r="BM656" s="215">
        <f ca="1">IF($D656&lt;&gt;"Serviço",0,IF(AND(AUTOEVENTO="Manual",$M656=1),0,IF(OFFSET(CRONOPLE!$F$14,$M656,BM$13)="",10^12,OFFSET(CRONOPLE!$F$14,$M656,BM$13))))</f>
        <v>1000000000000</v>
      </c>
      <c r="BN656" s="215">
        <f ca="1">IF($D656&lt;&gt;"Serviço",0,IF(AND(AUTOEVENTO="Manual",$M656=1),0,IF(OFFSET(CRONOPLE!$F$14,$M656,BN$13)="",10^12,OFFSET(CRONOPLE!$F$14,$M656,BN$13))))</f>
        <v>1000000000000</v>
      </c>
      <c r="BO656" s="215">
        <f ca="1">IF($D656&lt;&gt;"Serviço",0,IF(AND(AUTOEVENTO="Manual",$M656=1),0,IF(OFFSET(CRONOPLE!$F$14,$M656,BO$13)="",10^12,OFFSET(CRONOPLE!$F$14,$M656,BO$13))))</f>
        <v>1000000000000</v>
      </c>
      <c r="BP656" s="215">
        <f ca="1">IF($D656&lt;&gt;"Serviço",0,IF(AND(AUTOEVENTO="Manual",$M656=1),0,IF(OFFSET(CRONOPLE!$F$14,$M656,BP$13)="",10^12,OFFSET(CRONOPLE!$F$14,$M656,BP$13))))</f>
        <v>1000000000000</v>
      </c>
      <c r="BQ656" s="215">
        <f ca="1">IF($D656&lt;&gt;"Serviço",0,IF(AND(AUTOEVENTO="Manual",$M656=1),0,IF(OFFSET(CRONOPLE!$F$14,$M656,BQ$13)="",10^12,OFFSET(CRONOPLE!$F$14,$M656,BQ$13))))</f>
        <v>1000000000000</v>
      </c>
      <c r="BR656" s="215">
        <f ca="1">IF($D656&lt;&gt;"Serviço",0,IF(AND(AUTOEVENTO="Manual",$M656=1),0,IF(OFFSET(CRONOPLE!$F$14,$M656,BR$13)="",10^12,OFFSET(CRONOPLE!$F$14,$M656,BR$13))))</f>
        <v>1000000000000</v>
      </c>
      <c r="BS656" s="215">
        <f ca="1">IF($D656&lt;&gt;"Serviço",0,IF(AND(AUTOEVENTO="Manual",$M656=1),0,IF(OFFSET(CRONOPLE!$F$14,$M656,BS$13)="",10^12,OFFSET(CRONOPLE!$F$14,$M656,BS$13))))</f>
        <v>1000000000000</v>
      </c>
      <c r="BT656" s="215">
        <f ca="1">IF($D656&lt;&gt;"Serviço",0,IF(AND(AUTOEVENTO="Manual",$M656=1),0,IF(OFFSET(CRONOPLE!$F$14,$M656,BT$13)="",10^12,OFFSET(CRONOPLE!$F$14,$M656,BT$13))))</f>
        <v>1000000000000</v>
      </c>
      <c r="BV656" s="216">
        <f ca="1">IF($D656&lt;&gt;"Serviço",0,IF(OR(AND(AUTOEVENTO="Manual",$M656=1),$M656&gt;(ROW(PLE.lastrow)-ROW(PLE.firstrow))),0,IF(OFFSET(PLE!$G$14,$M656,BV$13)="",10^12,OFFSET(PLE!$G$14,$M656,BV$13))))</f>
        <v>1000000000000</v>
      </c>
      <c r="BW656" s="216">
        <f ca="1">IF($D656&lt;&gt;"Serviço",0,IF(OR(AND(AUTOEVENTO="Manual",$M656=1),$M656&gt;(ROW(PLE.lastrow)-ROW(PLE.firstrow))),0,IF(OFFSET(PLE!$G$14,$M656,BW$13)="",10^12,OFFSET(PLE!$G$14,$M656,BW$13))))</f>
        <v>1000000000000</v>
      </c>
      <c r="BX656" s="216">
        <f ca="1">IF($D656&lt;&gt;"Serviço",0,IF(OR(AND(AUTOEVENTO="Manual",$M656=1),$M656&gt;(ROW(PLE.lastrow)-ROW(PLE.firstrow))),0,IF(OFFSET(PLE!$G$14,$M656,BX$13)="",10^12,OFFSET(PLE!$G$14,$M656,BX$13))))</f>
        <v>1000000000000</v>
      </c>
      <c r="BY656" s="216">
        <f ca="1">IF($D656&lt;&gt;"Serviço",0,IF(OR(AND(AUTOEVENTO="Manual",$M656=1),$M656&gt;(ROW(PLE.lastrow)-ROW(PLE.firstrow))),0,IF(OFFSET(PLE!$G$14,$M656,BY$13)="",10^12,OFFSET(PLE!$G$14,$M656,BY$13))))</f>
        <v>1000000000000</v>
      </c>
      <c r="BZ656" s="216">
        <f ca="1">IF($D656&lt;&gt;"Serviço",0,IF(OR(AND(AUTOEVENTO="Manual",$M656=1),$M656&gt;(ROW(PLE.lastrow)-ROW(PLE.firstrow))),0,IF(OFFSET(PLE!$G$14,$M656,BZ$13)="",10^12,OFFSET(PLE!$G$14,$M656,BZ$13))))</f>
        <v>1000000000000</v>
      </c>
      <c r="CA656" s="216">
        <f ca="1">IF($D656&lt;&gt;"Serviço",0,IF(OR(AND(AUTOEVENTO="Manual",$M656=1),$M656&gt;(ROW(PLE.lastrow)-ROW(PLE.firstrow))),0,IF(OFFSET(PLE!$G$14,$M656,CA$13)="",10^12,OFFSET(PLE!$G$14,$M656,CA$13))))</f>
        <v>1000000000000</v>
      </c>
      <c r="CB656" s="216">
        <f ca="1">IF($D656&lt;&gt;"Serviço",0,IF(OR(AND(AUTOEVENTO="Manual",$M656=1),$M656&gt;(ROW(PLE.lastrow)-ROW(PLE.firstrow))),0,IF(OFFSET(PLE!$G$14,$M656,CB$13)="",10^12,OFFSET(PLE!$G$14,$M656,CB$13))))</f>
        <v>1000000000000</v>
      </c>
      <c r="CC656" s="216">
        <f ca="1">IF($D656&lt;&gt;"Serviço",0,IF(OR(AND(AUTOEVENTO="Manual",$M656=1),$M656&gt;(ROW(PLE.lastrow)-ROW(PLE.firstrow))),0,IF(OFFSET(PLE!$G$14,$M656,CC$13)="",10^12,OFFSET(PLE!$G$14,$M656,CC$13))))</f>
        <v>1000000000000</v>
      </c>
      <c r="CD656" s="216">
        <f ca="1">IF($D656&lt;&gt;"Serviço",0,IF(OR(AND(AUTOEVENTO="Manual",$M656=1),$M656&gt;(ROW(PLE.lastrow)-ROW(PLE.firstrow))),0,IF(OFFSET(PLE!$G$14,$M656,CD$13)="",10^12,OFFSET(PLE!$G$14,$M656,CD$13))))</f>
        <v>1000000000000</v>
      </c>
      <c r="CE656" s="216">
        <f ca="1">IF($D656&lt;&gt;"Serviço",0,IF(OR(AND(AUTOEVENTO="Manual",$M656=1),$M656&gt;(ROW(PLE.lastrow)-ROW(PLE.firstrow))),0,IF(OFFSET(PLE!$G$14,$M656,CE$13)="",10^12,OFFSET(PLE!$G$14,$M656,CE$13))))</f>
        <v>1000000000000</v>
      </c>
      <c r="CF656" s="216">
        <f ca="1">IF($D656&lt;&gt;"Serviço",0,IF(OR(AND(AUTOEVENTO="Manual",$M656=1),$M656&gt;(ROW(PLE.lastrow)-ROW(PLE.firstrow))),0,IF(OFFSET(PLE!$G$14,$M656,CF$13)="",10^12,OFFSET(PLE!$G$14,$M656,CF$13))))</f>
        <v>1000000000000</v>
      </c>
      <c r="CG656" s="216">
        <f ca="1">IF($D656&lt;&gt;"Serviço",0,IF(OR(AND(AUTOEVENTO="Manual",$M656=1),$M656&gt;(ROW(PLE.lastrow)-ROW(PLE.firstrow))),0,IF(OFFSET(PLE!$G$14,$M656,CG$13)="",10^12,OFFSET(PLE!$G$14,$M656,CG$13))))</f>
        <v>1000000000000</v>
      </c>
      <c r="CH656" s="216">
        <f ca="1">IF($D656&lt;&gt;"Serviço",0,IF(OR(AND(AUTOEVENTO="Manual",$M656=1),$M656&gt;(ROW(PLE.lastrow)-ROW(PLE.firstrow))),0,IF(OFFSET(PLE!$G$14,$M656,CH$13)="",10^12,OFFSET(PLE!$G$14,$M656,CH$13))))</f>
        <v>1000000000000</v>
      </c>
      <c r="CI656" s="216">
        <f ca="1">IF($D656&lt;&gt;"Serviço",0,IF(OR(AND(AUTOEVENTO="Manual",$M656=1),$M656&gt;(ROW(PLE.lastrow)-ROW(PLE.firstrow))),0,IF(OFFSET(PLE!$G$14,$M656,CI$13)="",10^12,OFFSET(PLE!$G$14,$M656,CI$13))))</f>
        <v>1000000000000</v>
      </c>
      <c r="CJ656" s="216">
        <f ca="1">IF($D656&lt;&gt;"Serviço",0,IF(OR(AND(AUTOEVENTO="Manual",$M656=1),$M656&gt;(ROW(PLE.lastrow)-ROW(PLE.firstrow))),0,IF(OFFSET(PLE!$G$14,$M656,CJ$13)="",10^12,OFFSET(PLE!$G$14,$M656,CJ$13))))</f>
        <v>1000000000000</v>
      </c>
      <c r="CK656" s="216">
        <f ca="1">IF($D656&lt;&gt;"Serviço",0,IF(OR(AND(AUTOEVENTO="Manual",$M656=1),$M656&gt;(ROW(PLE.lastrow)-ROW(PLE.firstrow))),0,IF(OFFSET(PLE!$G$14,$M656,CK$13)="",10^12,OFFSET(PLE!$G$14,$M656,CK$13))))</f>
        <v>1000000000000</v>
      </c>
      <c r="CL656" s="216">
        <f ca="1">IF($D656&lt;&gt;"Serviço",0,IF(OR(AND(AUTOEVENTO="Manual",$M656=1),$M656&gt;(ROW(PLE.lastrow)-ROW(PLE.firstrow))),0,IF(OFFSET(PLE!$G$14,$M656,CL$13)="",10^12,OFFSET(PLE!$G$14,$M656,CL$13))))</f>
        <v>1000000000000</v>
      </c>
      <c r="CM656" s="216">
        <f ca="1">IF($D656&lt;&gt;"Serviço",0,IF(OR(AND(AUTOEVENTO="Manual",$M656=1),$M656&gt;(ROW(PLE.lastrow)-ROW(PLE.firstrow))),0,IF(OFFSET(PLE!$G$14,$M656,CM$13)="",10^12,OFFSET(PLE!$G$14,$M656,CM$13))))</f>
        <v>1000000000000</v>
      </c>
    </row>
    <row r="657" spans="1:91" ht="13.2" x14ac:dyDescent="0.25">
      <c r="A657" s="9">
        <f t="shared" ca="1" si="20"/>
        <v>0</v>
      </c>
      <c r="B657" s="9">
        <f ca="1">OFFSET(ORÇAMENTO!C$15,ROW(B657)-ROW(B$15),0)</f>
        <v>3</v>
      </c>
      <c r="C657" s="9" t="str">
        <f ca="1">OFFSET(ORÇAMENTO!L$15,ROW(C657)-ROW(C$15),0)</f>
        <v>F</v>
      </c>
      <c r="D657" s="145" t="str">
        <f ca="1">OFFSET(ORÇAMENTO!N$15,ROW(D657)-ROW(D$15),0)</f>
        <v>Nível 3</v>
      </c>
      <c r="E657" s="205" t="str">
        <f ca="1">OFFSET(ORÇAMENTO!O$15,ROW(E657)-ROW(E$15),0)</f>
        <v>1.20.6.</v>
      </c>
      <c r="F657" s="206" t="str">
        <f ca="1">OFFSET(ORÇAMENTO!R$15,ROW(F657)-ROW(F$15),0)</f>
        <v>ELETRODUTOS E ACESSÓRIOS</v>
      </c>
      <c r="G657" s="207" t="str">
        <f ca="1">IF($D657&lt;&gt;"Serviço","",OFFSET(ORÇAMENTO!S$15,ROW(G657)-ROW(G$15),0))</f>
        <v/>
      </c>
      <c r="H657" s="151">
        <f ca="1">IF($D657&lt;&gt;"Serviço",0,IF(ACOMPANHAMENTO="BM",ROUND(OFFSET(ORÇAMENTO!AJ$15,ROW(H657)-ROW(H$15),0),15-13*ORÇAMENTO!$AF$7),SUMPRODUCT(($Q$12:$AI$12&lt;&gt;"")*ROUND($Q657:$AI657,15-13*ORÇAMENTO!$AF$7))))</f>
        <v>0</v>
      </c>
      <c r="I657" s="650"/>
      <c r="K657" s="208"/>
      <c r="L657" s="209" t="s">
        <v>257</v>
      </c>
      <c r="M657" s="210" t="str">
        <f ca="1">IF($D657&lt;&gt;"Serviço","",IF(AUTOEVENTO="manual",$A657,IF(ISERROR(MATCH($A657,$A$15:OFFSET($A657,-1,0),0)),MAX($M$15:OFFSET(M657,-1,0))+1,INDEX($M$15:OFFSET(M657,-1,0),MATCH($A657,$A$15:OFFSET($A657,-1,0),0)))))</f>
        <v/>
      </c>
      <c r="N657" s="211" t="str">
        <f ca="1">IF($D657&lt;&gt;"Serviço","",IF(AUTOEVENTO="Manual",IF($A657=0,"&lt;-- defina o número do agrupador",OFFSET(EVENTOS!$D$14,$A657,0)),OFFSET($F$15,$A657,0)))</f>
        <v/>
      </c>
      <c r="O657" s="212"/>
      <c r="Q657" s="212"/>
      <c r="R657" s="213"/>
      <c r="S657" s="213"/>
      <c r="T657" s="213"/>
      <c r="U657" s="213"/>
      <c r="V657" s="213"/>
      <c r="W657" s="213"/>
      <c r="X657" s="213"/>
      <c r="Y657" s="213"/>
      <c r="Z657" s="214"/>
      <c r="AA657" s="213"/>
      <c r="AB657" s="213"/>
      <c r="AC657" s="213"/>
      <c r="AD657" s="213"/>
      <c r="AE657" s="213"/>
      <c r="AF657" s="213"/>
      <c r="AG657" s="213"/>
      <c r="AH657" s="214"/>
      <c r="AJ657" s="631">
        <f ca="1">IF(AND($D657="Serviço",AJ$12&lt;&gt;0,$H657&gt;0,OR(AUTOEVENTO&lt;&gt;"manual",$M657&lt;&gt;1)),ROUND(OFFSET($P657,0,AJ$13),15-13*ORÇAMENTO!$AF$7)/$H657*OFFSET(ORÇAMENTO!$X$15,ROW(AJ657)-ROW(AJ$15),0),0)</f>
        <v>0</v>
      </c>
      <c r="AK657" s="632">
        <f ca="1">IF(AND($D657="Serviço",AK$12&lt;&gt;0,$H657&gt;0,OR(AUTOEVENTO&lt;&gt;"manual",$M657&lt;&gt;1)),ROUND(OFFSET($P657,0,AK$13),15-13*ORÇAMENTO!$AF$7)/$H657*OFFSET(ORÇAMENTO!$X$15,ROW(AK657)-ROW(AK$15),0),0)</f>
        <v>0</v>
      </c>
      <c r="AL657" s="632">
        <f ca="1">IF(AND($D657="Serviço",AL$12&lt;&gt;0,$H657&gt;0,OR(AUTOEVENTO&lt;&gt;"manual",$M657&lt;&gt;1)),ROUND(OFFSET($P657,0,AL$13),15-13*ORÇAMENTO!$AF$7)/$H657*OFFSET(ORÇAMENTO!$X$15,ROW(AL657)-ROW(AL$15),0),0)</f>
        <v>0</v>
      </c>
      <c r="AM657" s="632">
        <f ca="1">IF(AND($D657="Serviço",AM$12&lt;&gt;0,$H657&gt;0,OR(AUTOEVENTO&lt;&gt;"manual",$M657&lt;&gt;1)),ROUND(OFFSET($P657,0,AM$13),15-13*ORÇAMENTO!$AF$7)/$H657*OFFSET(ORÇAMENTO!$X$15,ROW(AM657)-ROW(AM$15),0),0)</f>
        <v>0</v>
      </c>
      <c r="AN657" s="632">
        <f ca="1">IF(AND($D657="Serviço",AN$12&lt;&gt;0,$H657&gt;0,OR(AUTOEVENTO&lt;&gt;"manual",$M657&lt;&gt;1)),ROUND(OFFSET($P657,0,AN$13),15-13*ORÇAMENTO!$AF$7)/$H657*OFFSET(ORÇAMENTO!$X$15,ROW(AN657)-ROW(AN$15),0),0)</f>
        <v>0</v>
      </c>
      <c r="AO657" s="632">
        <f ca="1">IF(AND($D657="Serviço",AO$12&lt;&gt;0,$H657&gt;0,OR(AUTOEVENTO&lt;&gt;"manual",$M657&lt;&gt;1)),ROUND(OFFSET($P657,0,AO$13),15-13*ORÇAMENTO!$AF$7)/$H657*OFFSET(ORÇAMENTO!$X$15,ROW(AO657)-ROW(AO$15),0),0)</f>
        <v>0</v>
      </c>
      <c r="AP657" s="632">
        <f ca="1">IF(AND($D657="Serviço",AP$12&lt;&gt;0,$H657&gt;0,OR(AUTOEVENTO&lt;&gt;"manual",$M657&lt;&gt;1)),ROUND(OFFSET($P657,0,AP$13),15-13*ORÇAMENTO!$AF$7)/$H657*OFFSET(ORÇAMENTO!$X$15,ROW(AP657)-ROW(AP$15),0),0)</f>
        <v>0</v>
      </c>
      <c r="AQ657" s="632">
        <f ca="1">IF(AND($D657="Serviço",AQ$12&lt;&gt;0,$H657&gt;0,OR(AUTOEVENTO&lt;&gt;"manual",$M657&lt;&gt;1)),ROUND(OFFSET($P657,0,AQ$13),15-13*ORÇAMENTO!$AF$7)/$H657*OFFSET(ORÇAMENTO!$X$15,ROW(AQ657)-ROW(AQ$15),0),0)</f>
        <v>0</v>
      </c>
      <c r="AR657" s="632">
        <f ca="1">IF(AND($D657="Serviço",AR$12&lt;&gt;0,$H657&gt;0,OR(AUTOEVENTO&lt;&gt;"manual",$M657&lt;&gt;1)),ROUND(OFFSET($P657,0,AR$13),15-13*ORÇAMENTO!$AF$7)/$H657*OFFSET(ORÇAMENTO!$X$15,ROW(AR657)-ROW(AR$15),0),0)</f>
        <v>0</v>
      </c>
      <c r="AS657" s="633">
        <f ca="1">IF(AND($D657="Serviço",AS$12&lt;&gt;0,$H657&gt;0,OR(AUTOEVENTO&lt;&gt;"manual",$M657&lt;&gt;1)),ROUND(OFFSET($P657,0,AS$13),15-13*ORÇAMENTO!$AF$7)/$H657*OFFSET(ORÇAMENTO!$X$15,ROW(AS657)-ROW(AS$15),0),0)</f>
        <v>0</v>
      </c>
      <c r="AT657" s="632">
        <f ca="1">IF(AND($D657="Serviço",AT$12&lt;&gt;0,$H657&gt;0,OR(AUTOEVENTO&lt;&gt;"manual",$M657&lt;&gt;1)),ROUND(OFFSET($P657,0,AT$13),15-13*ORÇAMENTO!$AF$7)/$H657*OFFSET(ORÇAMENTO!$X$15,ROW(AT657)-ROW(AT$15),0),0)</f>
        <v>0</v>
      </c>
      <c r="AU657" s="632">
        <f ca="1">IF(AND($D657="Serviço",AU$12&lt;&gt;0,$H657&gt;0,OR(AUTOEVENTO&lt;&gt;"manual",$M657&lt;&gt;1)),ROUND(OFFSET($P657,0,AU$13),15-13*ORÇAMENTO!$AF$7)/$H657*OFFSET(ORÇAMENTO!$X$15,ROW(AU657)-ROW(AU$15),0),0)</f>
        <v>0</v>
      </c>
      <c r="AV657" s="632">
        <f ca="1">IF(AND($D657="Serviço",AV$12&lt;&gt;0,$H657&gt;0,OR(AUTOEVENTO&lt;&gt;"manual",$M657&lt;&gt;1)),ROUND(OFFSET($P657,0,AV$13),15-13*ORÇAMENTO!$AF$7)/$H657*OFFSET(ORÇAMENTO!$X$15,ROW(AV657)-ROW(AV$15),0),0)</f>
        <v>0</v>
      </c>
      <c r="AW657" s="632">
        <f ca="1">IF(AND($D657="Serviço",AW$12&lt;&gt;0,$H657&gt;0,OR(AUTOEVENTO&lt;&gt;"manual",$M657&lt;&gt;1)),ROUND(OFFSET($P657,0,AW$13),15-13*ORÇAMENTO!$AF$7)/$H657*OFFSET(ORÇAMENTO!$X$15,ROW(AW657)-ROW(AW$15),0),0)</f>
        <v>0</v>
      </c>
      <c r="AX657" s="632">
        <f ca="1">IF(AND($D657="Serviço",AX$12&lt;&gt;0,$H657&gt;0,OR(AUTOEVENTO&lt;&gt;"manual",$M657&lt;&gt;1)),ROUND(OFFSET($P657,0,AX$13),15-13*ORÇAMENTO!$AF$7)/$H657*OFFSET(ORÇAMENTO!$X$15,ROW(AX657)-ROW(AX$15),0),0)</f>
        <v>0</v>
      </c>
      <c r="AY657" s="632">
        <f ca="1">IF(AND($D657="Serviço",AY$12&lt;&gt;0,$H657&gt;0,OR(AUTOEVENTO&lt;&gt;"manual",$M657&lt;&gt;1)),ROUND(OFFSET($P657,0,AY$13),15-13*ORÇAMENTO!$AF$7)/$H657*OFFSET(ORÇAMENTO!$X$15,ROW(AY657)-ROW(AY$15),0),0)</f>
        <v>0</v>
      </c>
      <c r="AZ657" s="632">
        <f ca="1">IF(AND($D657="Serviço",AZ$12&lt;&gt;0,$H657&gt;0,OR(AUTOEVENTO&lt;&gt;"manual",$M657&lt;&gt;1)),ROUND(OFFSET($P657,0,AZ$13),15-13*ORÇAMENTO!$AF$7)/$H657*OFFSET(ORÇAMENTO!$X$15,ROW(AZ657)-ROW(AZ$15),0),0)</f>
        <v>0</v>
      </c>
      <c r="BA657" s="633">
        <f ca="1">IF(AND($D657="Serviço",BA$12&lt;&gt;0,$H657&gt;0,OR(AUTOEVENTO&lt;&gt;"manual",$M657&lt;&gt;1)),ROUND(OFFSET($P657,0,BA$13),15-13*ORÇAMENTO!$AF$7)/$H657*OFFSET(ORÇAMENTO!$X$15,ROW(BA657)-ROW(BA$15),0),0)</f>
        <v>0</v>
      </c>
      <c r="BC657" s="215">
        <f ca="1">IF($D657&lt;&gt;"Serviço",0,IF(AND(AUTOEVENTO="Manual",$M657=1),0,IF(OFFSET(CRONOPLE!$F$14,$M657,BC$13)="",10^12,OFFSET(CRONOPLE!$F$14,$M657,BC$13))))</f>
        <v>0</v>
      </c>
      <c r="BD657" s="215">
        <f ca="1">IF($D657&lt;&gt;"Serviço",0,IF(AND(AUTOEVENTO="Manual",$M657=1),0,IF(OFFSET(CRONOPLE!$F$14,$M657,BD$13)="",10^12,OFFSET(CRONOPLE!$F$14,$M657,BD$13))))</f>
        <v>0</v>
      </c>
      <c r="BE657" s="215">
        <f ca="1">IF($D657&lt;&gt;"Serviço",0,IF(AND(AUTOEVENTO="Manual",$M657=1),0,IF(OFFSET(CRONOPLE!$F$14,$M657,BE$13)="",10^12,OFFSET(CRONOPLE!$F$14,$M657,BE$13))))</f>
        <v>0</v>
      </c>
      <c r="BF657" s="215">
        <f ca="1">IF($D657&lt;&gt;"Serviço",0,IF(AND(AUTOEVENTO="Manual",$M657=1),0,IF(OFFSET(CRONOPLE!$F$14,$M657,BF$13)="",10^12,OFFSET(CRONOPLE!$F$14,$M657,BF$13))))</f>
        <v>0</v>
      </c>
      <c r="BG657" s="215">
        <f ca="1">IF($D657&lt;&gt;"Serviço",0,IF(AND(AUTOEVENTO="Manual",$M657=1),0,IF(OFFSET(CRONOPLE!$F$14,$M657,BG$13)="",10^12,OFFSET(CRONOPLE!$F$14,$M657,BG$13))))</f>
        <v>0</v>
      </c>
      <c r="BH657" s="215">
        <f ca="1">IF($D657&lt;&gt;"Serviço",0,IF(AND(AUTOEVENTO="Manual",$M657=1),0,IF(OFFSET(CRONOPLE!$F$14,$M657,BH$13)="",10^12,OFFSET(CRONOPLE!$F$14,$M657,BH$13))))</f>
        <v>0</v>
      </c>
      <c r="BI657" s="215">
        <f ca="1">IF($D657&lt;&gt;"Serviço",0,IF(AND(AUTOEVENTO="Manual",$M657=1),0,IF(OFFSET(CRONOPLE!$F$14,$M657,BI$13)="",10^12,OFFSET(CRONOPLE!$F$14,$M657,BI$13))))</f>
        <v>0</v>
      </c>
      <c r="BJ657" s="215">
        <f ca="1">IF($D657&lt;&gt;"Serviço",0,IF(AND(AUTOEVENTO="Manual",$M657=1),0,IF(OFFSET(CRONOPLE!$F$14,$M657,BJ$13)="",10^12,OFFSET(CRONOPLE!$F$14,$M657,BJ$13))))</f>
        <v>0</v>
      </c>
      <c r="BK657" s="215">
        <f ca="1">IF($D657&lt;&gt;"Serviço",0,IF(AND(AUTOEVENTO="Manual",$M657=1),0,IF(OFFSET(CRONOPLE!$F$14,$M657,BK$13)="",10^12,OFFSET(CRONOPLE!$F$14,$M657,BK$13))))</f>
        <v>0</v>
      </c>
      <c r="BL657" s="215">
        <f ca="1">IF($D657&lt;&gt;"Serviço",0,IF(AND(AUTOEVENTO="Manual",$M657=1),0,IF(OFFSET(CRONOPLE!$F$14,$M657,BL$13)="",10^12,OFFSET(CRONOPLE!$F$14,$M657,BL$13))))</f>
        <v>0</v>
      </c>
      <c r="BM657" s="215">
        <f ca="1">IF($D657&lt;&gt;"Serviço",0,IF(AND(AUTOEVENTO="Manual",$M657=1),0,IF(OFFSET(CRONOPLE!$F$14,$M657,BM$13)="",10^12,OFFSET(CRONOPLE!$F$14,$M657,BM$13))))</f>
        <v>0</v>
      </c>
      <c r="BN657" s="215">
        <f ca="1">IF($D657&lt;&gt;"Serviço",0,IF(AND(AUTOEVENTO="Manual",$M657=1),0,IF(OFFSET(CRONOPLE!$F$14,$M657,BN$13)="",10^12,OFFSET(CRONOPLE!$F$14,$M657,BN$13))))</f>
        <v>0</v>
      </c>
      <c r="BO657" s="215">
        <f ca="1">IF($D657&lt;&gt;"Serviço",0,IF(AND(AUTOEVENTO="Manual",$M657=1),0,IF(OFFSET(CRONOPLE!$F$14,$M657,BO$13)="",10^12,OFFSET(CRONOPLE!$F$14,$M657,BO$13))))</f>
        <v>0</v>
      </c>
      <c r="BP657" s="215">
        <f ca="1">IF($D657&lt;&gt;"Serviço",0,IF(AND(AUTOEVENTO="Manual",$M657=1),0,IF(OFFSET(CRONOPLE!$F$14,$M657,BP$13)="",10^12,OFFSET(CRONOPLE!$F$14,$M657,BP$13))))</f>
        <v>0</v>
      </c>
      <c r="BQ657" s="215">
        <f ca="1">IF($D657&lt;&gt;"Serviço",0,IF(AND(AUTOEVENTO="Manual",$M657=1),0,IF(OFFSET(CRONOPLE!$F$14,$M657,BQ$13)="",10^12,OFFSET(CRONOPLE!$F$14,$M657,BQ$13))))</f>
        <v>0</v>
      </c>
      <c r="BR657" s="215">
        <f ca="1">IF($D657&lt;&gt;"Serviço",0,IF(AND(AUTOEVENTO="Manual",$M657=1),0,IF(OFFSET(CRONOPLE!$F$14,$M657,BR$13)="",10^12,OFFSET(CRONOPLE!$F$14,$M657,BR$13))))</f>
        <v>0</v>
      </c>
      <c r="BS657" s="215">
        <f ca="1">IF($D657&lt;&gt;"Serviço",0,IF(AND(AUTOEVENTO="Manual",$M657=1),0,IF(OFFSET(CRONOPLE!$F$14,$M657,BS$13)="",10^12,OFFSET(CRONOPLE!$F$14,$M657,BS$13))))</f>
        <v>0</v>
      </c>
      <c r="BT657" s="215">
        <f ca="1">IF($D657&lt;&gt;"Serviço",0,IF(AND(AUTOEVENTO="Manual",$M657=1),0,IF(OFFSET(CRONOPLE!$F$14,$M657,BT$13)="",10^12,OFFSET(CRONOPLE!$F$14,$M657,BT$13))))</f>
        <v>0</v>
      </c>
      <c r="BV657" s="216">
        <f ca="1">IF($D657&lt;&gt;"Serviço",0,IF(OR(AND(AUTOEVENTO="Manual",$M657=1),$M657&gt;(ROW(PLE.lastrow)-ROW(PLE.firstrow))),0,IF(OFFSET(PLE!$G$14,$M657,BV$13)="",10^12,OFFSET(PLE!$G$14,$M657,BV$13))))</f>
        <v>0</v>
      </c>
      <c r="BW657" s="216">
        <f ca="1">IF($D657&lt;&gt;"Serviço",0,IF(OR(AND(AUTOEVENTO="Manual",$M657=1),$M657&gt;(ROW(PLE.lastrow)-ROW(PLE.firstrow))),0,IF(OFFSET(PLE!$G$14,$M657,BW$13)="",10^12,OFFSET(PLE!$G$14,$M657,BW$13))))</f>
        <v>0</v>
      </c>
      <c r="BX657" s="216">
        <f ca="1">IF($D657&lt;&gt;"Serviço",0,IF(OR(AND(AUTOEVENTO="Manual",$M657=1),$M657&gt;(ROW(PLE.lastrow)-ROW(PLE.firstrow))),0,IF(OFFSET(PLE!$G$14,$M657,BX$13)="",10^12,OFFSET(PLE!$G$14,$M657,BX$13))))</f>
        <v>0</v>
      </c>
      <c r="BY657" s="216">
        <f ca="1">IF($D657&lt;&gt;"Serviço",0,IF(OR(AND(AUTOEVENTO="Manual",$M657=1),$M657&gt;(ROW(PLE.lastrow)-ROW(PLE.firstrow))),0,IF(OFFSET(PLE!$G$14,$M657,BY$13)="",10^12,OFFSET(PLE!$G$14,$M657,BY$13))))</f>
        <v>0</v>
      </c>
      <c r="BZ657" s="216">
        <f ca="1">IF($D657&lt;&gt;"Serviço",0,IF(OR(AND(AUTOEVENTO="Manual",$M657=1),$M657&gt;(ROW(PLE.lastrow)-ROW(PLE.firstrow))),0,IF(OFFSET(PLE!$G$14,$M657,BZ$13)="",10^12,OFFSET(PLE!$G$14,$M657,BZ$13))))</f>
        <v>0</v>
      </c>
      <c r="CA657" s="216">
        <f ca="1">IF($D657&lt;&gt;"Serviço",0,IF(OR(AND(AUTOEVENTO="Manual",$M657=1),$M657&gt;(ROW(PLE.lastrow)-ROW(PLE.firstrow))),0,IF(OFFSET(PLE!$G$14,$M657,CA$13)="",10^12,OFFSET(PLE!$G$14,$M657,CA$13))))</f>
        <v>0</v>
      </c>
      <c r="CB657" s="216">
        <f ca="1">IF($D657&lt;&gt;"Serviço",0,IF(OR(AND(AUTOEVENTO="Manual",$M657=1),$M657&gt;(ROW(PLE.lastrow)-ROW(PLE.firstrow))),0,IF(OFFSET(PLE!$G$14,$M657,CB$13)="",10^12,OFFSET(PLE!$G$14,$M657,CB$13))))</f>
        <v>0</v>
      </c>
      <c r="CC657" s="216">
        <f ca="1">IF($D657&lt;&gt;"Serviço",0,IF(OR(AND(AUTOEVENTO="Manual",$M657=1),$M657&gt;(ROW(PLE.lastrow)-ROW(PLE.firstrow))),0,IF(OFFSET(PLE!$G$14,$M657,CC$13)="",10^12,OFFSET(PLE!$G$14,$M657,CC$13))))</f>
        <v>0</v>
      </c>
      <c r="CD657" s="216">
        <f ca="1">IF($D657&lt;&gt;"Serviço",0,IF(OR(AND(AUTOEVENTO="Manual",$M657=1),$M657&gt;(ROW(PLE.lastrow)-ROW(PLE.firstrow))),0,IF(OFFSET(PLE!$G$14,$M657,CD$13)="",10^12,OFFSET(PLE!$G$14,$M657,CD$13))))</f>
        <v>0</v>
      </c>
      <c r="CE657" s="216">
        <f ca="1">IF($D657&lt;&gt;"Serviço",0,IF(OR(AND(AUTOEVENTO="Manual",$M657=1),$M657&gt;(ROW(PLE.lastrow)-ROW(PLE.firstrow))),0,IF(OFFSET(PLE!$G$14,$M657,CE$13)="",10^12,OFFSET(PLE!$G$14,$M657,CE$13))))</f>
        <v>0</v>
      </c>
      <c r="CF657" s="216">
        <f ca="1">IF($D657&lt;&gt;"Serviço",0,IF(OR(AND(AUTOEVENTO="Manual",$M657=1),$M657&gt;(ROW(PLE.lastrow)-ROW(PLE.firstrow))),0,IF(OFFSET(PLE!$G$14,$M657,CF$13)="",10^12,OFFSET(PLE!$G$14,$M657,CF$13))))</f>
        <v>0</v>
      </c>
      <c r="CG657" s="216">
        <f ca="1">IF($D657&lt;&gt;"Serviço",0,IF(OR(AND(AUTOEVENTO="Manual",$M657=1),$M657&gt;(ROW(PLE.lastrow)-ROW(PLE.firstrow))),0,IF(OFFSET(PLE!$G$14,$M657,CG$13)="",10^12,OFFSET(PLE!$G$14,$M657,CG$13))))</f>
        <v>0</v>
      </c>
      <c r="CH657" s="216">
        <f ca="1">IF($D657&lt;&gt;"Serviço",0,IF(OR(AND(AUTOEVENTO="Manual",$M657=1),$M657&gt;(ROW(PLE.lastrow)-ROW(PLE.firstrow))),0,IF(OFFSET(PLE!$G$14,$M657,CH$13)="",10^12,OFFSET(PLE!$G$14,$M657,CH$13))))</f>
        <v>0</v>
      </c>
      <c r="CI657" s="216">
        <f ca="1">IF($D657&lt;&gt;"Serviço",0,IF(OR(AND(AUTOEVENTO="Manual",$M657=1),$M657&gt;(ROW(PLE.lastrow)-ROW(PLE.firstrow))),0,IF(OFFSET(PLE!$G$14,$M657,CI$13)="",10^12,OFFSET(PLE!$G$14,$M657,CI$13))))</f>
        <v>0</v>
      </c>
      <c r="CJ657" s="216">
        <f ca="1">IF($D657&lt;&gt;"Serviço",0,IF(OR(AND(AUTOEVENTO="Manual",$M657=1),$M657&gt;(ROW(PLE.lastrow)-ROW(PLE.firstrow))),0,IF(OFFSET(PLE!$G$14,$M657,CJ$13)="",10^12,OFFSET(PLE!$G$14,$M657,CJ$13))))</f>
        <v>0</v>
      </c>
      <c r="CK657" s="216">
        <f ca="1">IF($D657&lt;&gt;"Serviço",0,IF(OR(AND(AUTOEVENTO="Manual",$M657=1),$M657&gt;(ROW(PLE.lastrow)-ROW(PLE.firstrow))),0,IF(OFFSET(PLE!$G$14,$M657,CK$13)="",10^12,OFFSET(PLE!$G$14,$M657,CK$13))))</f>
        <v>0</v>
      </c>
      <c r="CL657" s="216">
        <f ca="1">IF($D657&lt;&gt;"Serviço",0,IF(OR(AND(AUTOEVENTO="Manual",$M657=1),$M657&gt;(ROW(PLE.lastrow)-ROW(PLE.firstrow))),0,IF(OFFSET(PLE!$G$14,$M657,CL$13)="",10^12,OFFSET(PLE!$G$14,$M657,CL$13))))</f>
        <v>0</v>
      </c>
      <c r="CM657" s="216">
        <f ca="1">IF($D657&lt;&gt;"Serviço",0,IF(OR(AND(AUTOEVENTO="Manual",$M657=1),$M657&gt;(ROW(PLE.lastrow)-ROW(PLE.firstrow))),0,IF(OFFSET(PLE!$G$14,$M657,CM$13)="",10^12,OFFSET(PLE!$G$14,$M657,CM$13))))</f>
        <v>0</v>
      </c>
    </row>
    <row r="658" spans="1:91" ht="13.2" x14ac:dyDescent="0.25">
      <c r="A658" s="9">
        <f t="shared" ca="1" si="20"/>
        <v>0</v>
      </c>
      <c r="B658" s="9" t="str">
        <f ca="1">OFFSET(ORÇAMENTO!C$15,ROW(B658)-ROW(B$15),0)</f>
        <v>S</v>
      </c>
      <c r="C658" s="9" t="str">
        <f ca="1">OFFSET(ORÇAMENTO!L$15,ROW(C658)-ROW(C$15),0)</f>
        <v/>
      </c>
      <c r="D658" s="145" t="str">
        <f ca="1">OFFSET(ORÇAMENTO!N$15,ROW(D658)-ROW(D$15),0)</f>
        <v>Serviço</v>
      </c>
      <c r="E658" s="205" t="str">
        <f ca="1">OFFSET(ORÇAMENTO!O$15,ROW(E658)-ROW(E$15),0)</f>
        <v>-</v>
      </c>
      <c r="F658" s="206" t="str">
        <f ca="1">OFFSET(ORÇAMENTO!R$15,ROW(F658)-ROW(F$15),0)</f>
        <v>(abra o arquivo 'Referência 05-2024.xls)</v>
      </c>
      <c r="G658" s="207" t="str">
        <f ca="1">IF($D658&lt;&gt;"Serviço","",OFFSET(ORÇAMENTO!S$15,ROW(G658)-ROW(G$15),0))</f>
        <v>-</v>
      </c>
      <c r="H658" s="151">
        <f ca="1">IF($D658&lt;&gt;"Serviço",0,IF(ACOMPANHAMENTO="BM",ROUND(OFFSET(ORÇAMENTO!AJ$15,ROW(H658)-ROW(H$15),0),15-13*ORÇAMENTO!$AF$7),SUMPRODUCT(($Q$12:$AI$12&lt;&gt;"")*ROUND($Q658:$AI658,15-13*ORÇAMENTO!$AF$7))))</f>
        <v>167.49</v>
      </c>
      <c r="I658" s="650"/>
      <c r="K658" s="208"/>
      <c r="L658" s="209" t="s">
        <v>257</v>
      </c>
      <c r="M658" s="210">
        <f ca="1">IF($D658&lt;&gt;"Serviço","",IF(AUTOEVENTO="manual",$A658,IF(ISERROR(MATCH($A658,$A$15:OFFSET($A658,-1,0),0)),MAX($M$15:OFFSET(M658,-1,0))+1,INDEX($M$15:OFFSET(M658,-1,0),MATCH($A658,$A$15:OFFSET($A658,-1,0),0)))))</f>
        <v>0</v>
      </c>
      <c r="N658" s="211" t="str">
        <f ca="1">IF($D658&lt;&gt;"Serviço","",IF(AUTOEVENTO="Manual",IF($A658=0,"&lt;-- defina o número do agrupador",OFFSET(EVENTOS!$D$14,$A658,0)),OFFSET($F$15,$A658,0)))</f>
        <v>&lt;-- defina o número do agrupador</v>
      </c>
      <c r="O658" s="212"/>
      <c r="Q658" s="212"/>
      <c r="R658" s="213"/>
      <c r="S658" s="213"/>
      <c r="T658" s="213"/>
      <c r="U658" s="213"/>
      <c r="V658" s="213"/>
      <c r="W658" s="213"/>
      <c r="X658" s="213"/>
      <c r="Y658" s="213"/>
      <c r="Z658" s="214"/>
      <c r="AA658" s="213"/>
      <c r="AB658" s="213"/>
      <c r="AC658" s="213"/>
      <c r="AD658" s="213"/>
      <c r="AE658" s="213"/>
      <c r="AF658" s="213"/>
      <c r="AG658" s="213"/>
      <c r="AH658" s="214"/>
      <c r="AJ658" s="631">
        <f ca="1">IF(AND($D658="Serviço",AJ$12&lt;&gt;0,$H658&gt;0,OR(AUTOEVENTO&lt;&gt;"manual",$M658&lt;&gt;1)),ROUND(OFFSET($P658,0,AJ$13),15-13*ORÇAMENTO!$AF$7)/$H658*OFFSET(ORÇAMENTO!$X$15,ROW(AJ658)-ROW(AJ$15),0),0)</f>
        <v>0</v>
      </c>
      <c r="AK658" s="632">
        <f ca="1">IF(AND($D658="Serviço",AK$12&lt;&gt;0,$H658&gt;0,OR(AUTOEVENTO&lt;&gt;"manual",$M658&lt;&gt;1)),ROUND(OFFSET($P658,0,AK$13),15-13*ORÇAMENTO!$AF$7)/$H658*OFFSET(ORÇAMENTO!$X$15,ROW(AK658)-ROW(AK$15),0),0)</f>
        <v>0</v>
      </c>
      <c r="AL658" s="632">
        <f ca="1">IF(AND($D658="Serviço",AL$12&lt;&gt;0,$H658&gt;0,OR(AUTOEVENTO&lt;&gt;"manual",$M658&lt;&gt;1)),ROUND(OFFSET($P658,0,AL$13),15-13*ORÇAMENTO!$AF$7)/$H658*OFFSET(ORÇAMENTO!$X$15,ROW(AL658)-ROW(AL$15),0),0)</f>
        <v>0</v>
      </c>
      <c r="AM658" s="632">
        <f ca="1">IF(AND($D658="Serviço",AM$12&lt;&gt;0,$H658&gt;0,OR(AUTOEVENTO&lt;&gt;"manual",$M658&lt;&gt;1)),ROUND(OFFSET($P658,0,AM$13),15-13*ORÇAMENTO!$AF$7)/$H658*OFFSET(ORÇAMENTO!$X$15,ROW(AM658)-ROW(AM$15),0),0)</f>
        <v>0</v>
      </c>
      <c r="AN658" s="632">
        <f ca="1">IF(AND($D658="Serviço",AN$12&lt;&gt;0,$H658&gt;0,OR(AUTOEVENTO&lt;&gt;"manual",$M658&lt;&gt;1)),ROUND(OFFSET($P658,0,AN$13),15-13*ORÇAMENTO!$AF$7)/$H658*OFFSET(ORÇAMENTO!$X$15,ROW(AN658)-ROW(AN$15),0),0)</f>
        <v>0</v>
      </c>
      <c r="AO658" s="632">
        <f ca="1">IF(AND($D658="Serviço",AO$12&lt;&gt;0,$H658&gt;0,OR(AUTOEVENTO&lt;&gt;"manual",$M658&lt;&gt;1)),ROUND(OFFSET($P658,0,AO$13),15-13*ORÇAMENTO!$AF$7)/$H658*OFFSET(ORÇAMENTO!$X$15,ROW(AO658)-ROW(AO$15),0),0)</f>
        <v>0</v>
      </c>
      <c r="AP658" s="632">
        <f ca="1">IF(AND($D658="Serviço",AP$12&lt;&gt;0,$H658&gt;0,OR(AUTOEVENTO&lt;&gt;"manual",$M658&lt;&gt;1)),ROUND(OFFSET($P658,0,AP$13),15-13*ORÇAMENTO!$AF$7)/$H658*OFFSET(ORÇAMENTO!$X$15,ROW(AP658)-ROW(AP$15),0),0)</f>
        <v>0</v>
      </c>
      <c r="AQ658" s="632">
        <f ca="1">IF(AND($D658="Serviço",AQ$12&lt;&gt;0,$H658&gt;0,OR(AUTOEVENTO&lt;&gt;"manual",$M658&lt;&gt;1)),ROUND(OFFSET($P658,0,AQ$13),15-13*ORÇAMENTO!$AF$7)/$H658*OFFSET(ORÇAMENTO!$X$15,ROW(AQ658)-ROW(AQ$15),0),0)</f>
        <v>0</v>
      </c>
      <c r="AR658" s="632">
        <f ca="1">IF(AND($D658="Serviço",AR$12&lt;&gt;0,$H658&gt;0,OR(AUTOEVENTO&lt;&gt;"manual",$M658&lt;&gt;1)),ROUND(OFFSET($P658,0,AR$13),15-13*ORÇAMENTO!$AF$7)/$H658*OFFSET(ORÇAMENTO!$X$15,ROW(AR658)-ROW(AR$15),0),0)</f>
        <v>0</v>
      </c>
      <c r="AS658" s="633">
        <f ca="1">IF(AND($D658="Serviço",AS$12&lt;&gt;0,$H658&gt;0,OR(AUTOEVENTO&lt;&gt;"manual",$M658&lt;&gt;1)),ROUND(OFFSET($P658,0,AS$13),15-13*ORÇAMENTO!$AF$7)/$H658*OFFSET(ORÇAMENTO!$X$15,ROW(AS658)-ROW(AS$15),0),0)</f>
        <v>0</v>
      </c>
      <c r="AT658" s="632">
        <f ca="1">IF(AND($D658="Serviço",AT$12&lt;&gt;0,$H658&gt;0,OR(AUTOEVENTO&lt;&gt;"manual",$M658&lt;&gt;1)),ROUND(OFFSET($P658,0,AT$13),15-13*ORÇAMENTO!$AF$7)/$H658*OFFSET(ORÇAMENTO!$X$15,ROW(AT658)-ROW(AT$15),0),0)</f>
        <v>0</v>
      </c>
      <c r="AU658" s="632">
        <f ca="1">IF(AND($D658="Serviço",AU$12&lt;&gt;0,$H658&gt;0,OR(AUTOEVENTO&lt;&gt;"manual",$M658&lt;&gt;1)),ROUND(OFFSET($P658,0,AU$13),15-13*ORÇAMENTO!$AF$7)/$H658*OFFSET(ORÇAMENTO!$X$15,ROW(AU658)-ROW(AU$15),0),0)</f>
        <v>0</v>
      </c>
      <c r="AV658" s="632">
        <f ca="1">IF(AND($D658="Serviço",AV$12&lt;&gt;0,$H658&gt;0,OR(AUTOEVENTO&lt;&gt;"manual",$M658&lt;&gt;1)),ROUND(OFFSET($P658,0,AV$13),15-13*ORÇAMENTO!$AF$7)/$H658*OFFSET(ORÇAMENTO!$X$15,ROW(AV658)-ROW(AV$15),0),0)</f>
        <v>0</v>
      </c>
      <c r="AW658" s="632">
        <f ca="1">IF(AND($D658="Serviço",AW$12&lt;&gt;0,$H658&gt;0,OR(AUTOEVENTO&lt;&gt;"manual",$M658&lt;&gt;1)),ROUND(OFFSET($P658,0,AW$13),15-13*ORÇAMENTO!$AF$7)/$H658*OFFSET(ORÇAMENTO!$X$15,ROW(AW658)-ROW(AW$15),0),0)</f>
        <v>0</v>
      </c>
      <c r="AX658" s="632">
        <f ca="1">IF(AND($D658="Serviço",AX$12&lt;&gt;0,$H658&gt;0,OR(AUTOEVENTO&lt;&gt;"manual",$M658&lt;&gt;1)),ROUND(OFFSET($P658,0,AX$13),15-13*ORÇAMENTO!$AF$7)/$H658*OFFSET(ORÇAMENTO!$X$15,ROW(AX658)-ROW(AX$15),0),0)</f>
        <v>0</v>
      </c>
      <c r="AY658" s="632">
        <f ca="1">IF(AND($D658="Serviço",AY$12&lt;&gt;0,$H658&gt;0,OR(AUTOEVENTO&lt;&gt;"manual",$M658&lt;&gt;1)),ROUND(OFFSET($P658,0,AY$13),15-13*ORÇAMENTO!$AF$7)/$H658*OFFSET(ORÇAMENTO!$X$15,ROW(AY658)-ROW(AY$15),0),0)</f>
        <v>0</v>
      </c>
      <c r="AZ658" s="632">
        <f ca="1">IF(AND($D658="Serviço",AZ$12&lt;&gt;0,$H658&gt;0,OR(AUTOEVENTO&lt;&gt;"manual",$M658&lt;&gt;1)),ROUND(OFFSET($P658,0,AZ$13),15-13*ORÇAMENTO!$AF$7)/$H658*OFFSET(ORÇAMENTO!$X$15,ROW(AZ658)-ROW(AZ$15),0),0)</f>
        <v>0</v>
      </c>
      <c r="BA658" s="633">
        <f ca="1">IF(AND($D658="Serviço",BA$12&lt;&gt;0,$H658&gt;0,OR(AUTOEVENTO&lt;&gt;"manual",$M658&lt;&gt;1)),ROUND(OFFSET($P658,0,BA$13),15-13*ORÇAMENTO!$AF$7)/$H658*OFFSET(ORÇAMENTO!$X$15,ROW(BA658)-ROW(BA$15),0),0)</f>
        <v>0</v>
      </c>
      <c r="BC658" s="215">
        <f ca="1">IF($D658&lt;&gt;"Serviço",0,IF(AND(AUTOEVENTO="Manual",$M658=1),0,IF(OFFSET(CRONOPLE!$F$14,$M658,BC$13)="",10^12,OFFSET(CRONOPLE!$F$14,$M658,BC$13))))</f>
        <v>1000000000000</v>
      </c>
      <c r="BD658" s="215">
        <f ca="1">IF($D658&lt;&gt;"Serviço",0,IF(AND(AUTOEVENTO="Manual",$M658=1),0,IF(OFFSET(CRONOPLE!$F$14,$M658,BD$13)="",10^12,OFFSET(CRONOPLE!$F$14,$M658,BD$13))))</f>
        <v>1000000000000</v>
      </c>
      <c r="BE658" s="215">
        <f ca="1">IF($D658&lt;&gt;"Serviço",0,IF(AND(AUTOEVENTO="Manual",$M658=1),0,IF(OFFSET(CRONOPLE!$F$14,$M658,BE$13)="",10^12,OFFSET(CRONOPLE!$F$14,$M658,BE$13))))</f>
        <v>1000000000000</v>
      </c>
      <c r="BF658" s="215">
        <f ca="1">IF($D658&lt;&gt;"Serviço",0,IF(AND(AUTOEVENTO="Manual",$M658=1),0,IF(OFFSET(CRONOPLE!$F$14,$M658,BF$13)="",10^12,OFFSET(CRONOPLE!$F$14,$M658,BF$13))))</f>
        <v>1000000000000</v>
      </c>
      <c r="BG658" s="215">
        <f ca="1">IF($D658&lt;&gt;"Serviço",0,IF(AND(AUTOEVENTO="Manual",$M658=1),0,IF(OFFSET(CRONOPLE!$F$14,$M658,BG$13)="",10^12,OFFSET(CRONOPLE!$F$14,$M658,BG$13))))</f>
        <v>1000000000000</v>
      </c>
      <c r="BH658" s="215">
        <f ca="1">IF($D658&lt;&gt;"Serviço",0,IF(AND(AUTOEVENTO="Manual",$M658=1),0,IF(OFFSET(CRONOPLE!$F$14,$M658,BH$13)="",10^12,OFFSET(CRONOPLE!$F$14,$M658,BH$13))))</f>
        <v>1000000000000</v>
      </c>
      <c r="BI658" s="215">
        <f ca="1">IF($D658&lt;&gt;"Serviço",0,IF(AND(AUTOEVENTO="Manual",$M658=1),0,IF(OFFSET(CRONOPLE!$F$14,$M658,BI$13)="",10^12,OFFSET(CRONOPLE!$F$14,$M658,BI$13))))</f>
        <v>1000000000000</v>
      </c>
      <c r="BJ658" s="215">
        <f ca="1">IF($D658&lt;&gt;"Serviço",0,IF(AND(AUTOEVENTO="Manual",$M658=1),0,IF(OFFSET(CRONOPLE!$F$14,$M658,BJ$13)="",10^12,OFFSET(CRONOPLE!$F$14,$M658,BJ$13))))</f>
        <v>1000000000000</v>
      </c>
      <c r="BK658" s="215">
        <f ca="1">IF($D658&lt;&gt;"Serviço",0,IF(AND(AUTOEVENTO="Manual",$M658=1),0,IF(OFFSET(CRONOPLE!$F$14,$M658,BK$13)="",10^12,OFFSET(CRONOPLE!$F$14,$M658,BK$13))))</f>
        <v>1000000000000</v>
      </c>
      <c r="BL658" s="215">
        <f ca="1">IF($D658&lt;&gt;"Serviço",0,IF(AND(AUTOEVENTO="Manual",$M658=1),0,IF(OFFSET(CRONOPLE!$F$14,$M658,BL$13)="",10^12,OFFSET(CRONOPLE!$F$14,$M658,BL$13))))</f>
        <v>1000000000000</v>
      </c>
      <c r="BM658" s="215">
        <f ca="1">IF($D658&lt;&gt;"Serviço",0,IF(AND(AUTOEVENTO="Manual",$M658=1),0,IF(OFFSET(CRONOPLE!$F$14,$M658,BM$13)="",10^12,OFFSET(CRONOPLE!$F$14,$M658,BM$13))))</f>
        <v>1000000000000</v>
      </c>
      <c r="BN658" s="215">
        <f ca="1">IF($D658&lt;&gt;"Serviço",0,IF(AND(AUTOEVENTO="Manual",$M658=1),0,IF(OFFSET(CRONOPLE!$F$14,$M658,BN$13)="",10^12,OFFSET(CRONOPLE!$F$14,$M658,BN$13))))</f>
        <v>1000000000000</v>
      </c>
      <c r="BO658" s="215">
        <f ca="1">IF($D658&lt;&gt;"Serviço",0,IF(AND(AUTOEVENTO="Manual",$M658=1),0,IF(OFFSET(CRONOPLE!$F$14,$M658,BO$13)="",10^12,OFFSET(CRONOPLE!$F$14,$M658,BO$13))))</f>
        <v>1000000000000</v>
      </c>
      <c r="BP658" s="215">
        <f ca="1">IF($D658&lt;&gt;"Serviço",0,IF(AND(AUTOEVENTO="Manual",$M658=1),0,IF(OFFSET(CRONOPLE!$F$14,$M658,BP$13)="",10^12,OFFSET(CRONOPLE!$F$14,$M658,BP$13))))</f>
        <v>1000000000000</v>
      </c>
      <c r="BQ658" s="215">
        <f ca="1">IF($D658&lt;&gt;"Serviço",0,IF(AND(AUTOEVENTO="Manual",$M658=1),0,IF(OFFSET(CRONOPLE!$F$14,$M658,BQ$13)="",10^12,OFFSET(CRONOPLE!$F$14,$M658,BQ$13))))</f>
        <v>1000000000000</v>
      </c>
      <c r="BR658" s="215">
        <f ca="1">IF($D658&lt;&gt;"Serviço",0,IF(AND(AUTOEVENTO="Manual",$M658=1),0,IF(OFFSET(CRONOPLE!$F$14,$M658,BR$13)="",10^12,OFFSET(CRONOPLE!$F$14,$M658,BR$13))))</f>
        <v>1000000000000</v>
      </c>
      <c r="BS658" s="215">
        <f ca="1">IF($D658&lt;&gt;"Serviço",0,IF(AND(AUTOEVENTO="Manual",$M658=1),0,IF(OFFSET(CRONOPLE!$F$14,$M658,BS$13)="",10^12,OFFSET(CRONOPLE!$F$14,$M658,BS$13))))</f>
        <v>1000000000000</v>
      </c>
      <c r="BT658" s="215">
        <f ca="1">IF($D658&lt;&gt;"Serviço",0,IF(AND(AUTOEVENTO="Manual",$M658=1),0,IF(OFFSET(CRONOPLE!$F$14,$M658,BT$13)="",10^12,OFFSET(CRONOPLE!$F$14,$M658,BT$13))))</f>
        <v>1000000000000</v>
      </c>
      <c r="BV658" s="216">
        <f ca="1">IF($D658&lt;&gt;"Serviço",0,IF(OR(AND(AUTOEVENTO="Manual",$M658=1),$M658&gt;(ROW(PLE.lastrow)-ROW(PLE.firstrow))),0,IF(OFFSET(PLE!$G$14,$M658,BV$13)="",10^12,OFFSET(PLE!$G$14,$M658,BV$13))))</f>
        <v>1000000000000</v>
      </c>
      <c r="BW658" s="216">
        <f ca="1">IF($D658&lt;&gt;"Serviço",0,IF(OR(AND(AUTOEVENTO="Manual",$M658=1),$M658&gt;(ROW(PLE.lastrow)-ROW(PLE.firstrow))),0,IF(OFFSET(PLE!$G$14,$M658,BW$13)="",10^12,OFFSET(PLE!$G$14,$M658,BW$13))))</f>
        <v>1000000000000</v>
      </c>
      <c r="BX658" s="216">
        <f ca="1">IF($D658&lt;&gt;"Serviço",0,IF(OR(AND(AUTOEVENTO="Manual",$M658=1),$M658&gt;(ROW(PLE.lastrow)-ROW(PLE.firstrow))),0,IF(OFFSET(PLE!$G$14,$M658,BX$13)="",10^12,OFFSET(PLE!$G$14,$M658,BX$13))))</f>
        <v>1000000000000</v>
      </c>
      <c r="BY658" s="216">
        <f ca="1">IF($D658&lt;&gt;"Serviço",0,IF(OR(AND(AUTOEVENTO="Manual",$M658=1),$M658&gt;(ROW(PLE.lastrow)-ROW(PLE.firstrow))),0,IF(OFFSET(PLE!$G$14,$M658,BY$13)="",10^12,OFFSET(PLE!$G$14,$M658,BY$13))))</f>
        <v>1000000000000</v>
      </c>
      <c r="BZ658" s="216">
        <f ca="1">IF($D658&lt;&gt;"Serviço",0,IF(OR(AND(AUTOEVENTO="Manual",$M658=1),$M658&gt;(ROW(PLE.lastrow)-ROW(PLE.firstrow))),0,IF(OFFSET(PLE!$G$14,$M658,BZ$13)="",10^12,OFFSET(PLE!$G$14,$M658,BZ$13))))</f>
        <v>1000000000000</v>
      </c>
      <c r="CA658" s="216">
        <f ca="1">IF($D658&lt;&gt;"Serviço",0,IF(OR(AND(AUTOEVENTO="Manual",$M658=1),$M658&gt;(ROW(PLE.lastrow)-ROW(PLE.firstrow))),0,IF(OFFSET(PLE!$G$14,$M658,CA$13)="",10^12,OFFSET(PLE!$G$14,$M658,CA$13))))</f>
        <v>1000000000000</v>
      </c>
      <c r="CB658" s="216">
        <f ca="1">IF($D658&lt;&gt;"Serviço",0,IF(OR(AND(AUTOEVENTO="Manual",$M658=1),$M658&gt;(ROW(PLE.lastrow)-ROW(PLE.firstrow))),0,IF(OFFSET(PLE!$G$14,$M658,CB$13)="",10^12,OFFSET(PLE!$G$14,$M658,CB$13))))</f>
        <v>1000000000000</v>
      </c>
      <c r="CC658" s="216">
        <f ca="1">IF($D658&lt;&gt;"Serviço",0,IF(OR(AND(AUTOEVENTO="Manual",$M658=1),$M658&gt;(ROW(PLE.lastrow)-ROW(PLE.firstrow))),0,IF(OFFSET(PLE!$G$14,$M658,CC$13)="",10^12,OFFSET(PLE!$G$14,$M658,CC$13))))</f>
        <v>1000000000000</v>
      </c>
      <c r="CD658" s="216">
        <f ca="1">IF($D658&lt;&gt;"Serviço",0,IF(OR(AND(AUTOEVENTO="Manual",$M658=1),$M658&gt;(ROW(PLE.lastrow)-ROW(PLE.firstrow))),0,IF(OFFSET(PLE!$G$14,$M658,CD$13)="",10^12,OFFSET(PLE!$G$14,$M658,CD$13))))</f>
        <v>1000000000000</v>
      </c>
      <c r="CE658" s="216">
        <f ca="1">IF($D658&lt;&gt;"Serviço",0,IF(OR(AND(AUTOEVENTO="Manual",$M658=1),$M658&gt;(ROW(PLE.lastrow)-ROW(PLE.firstrow))),0,IF(OFFSET(PLE!$G$14,$M658,CE$13)="",10^12,OFFSET(PLE!$G$14,$M658,CE$13))))</f>
        <v>1000000000000</v>
      </c>
      <c r="CF658" s="216">
        <f ca="1">IF($D658&lt;&gt;"Serviço",0,IF(OR(AND(AUTOEVENTO="Manual",$M658=1),$M658&gt;(ROW(PLE.lastrow)-ROW(PLE.firstrow))),0,IF(OFFSET(PLE!$G$14,$M658,CF$13)="",10^12,OFFSET(PLE!$G$14,$M658,CF$13))))</f>
        <v>1000000000000</v>
      </c>
      <c r="CG658" s="216">
        <f ca="1">IF($D658&lt;&gt;"Serviço",0,IF(OR(AND(AUTOEVENTO="Manual",$M658=1),$M658&gt;(ROW(PLE.lastrow)-ROW(PLE.firstrow))),0,IF(OFFSET(PLE!$G$14,$M658,CG$13)="",10^12,OFFSET(PLE!$G$14,$M658,CG$13))))</f>
        <v>1000000000000</v>
      </c>
      <c r="CH658" s="216">
        <f ca="1">IF($D658&lt;&gt;"Serviço",0,IF(OR(AND(AUTOEVENTO="Manual",$M658=1),$M658&gt;(ROW(PLE.lastrow)-ROW(PLE.firstrow))),0,IF(OFFSET(PLE!$G$14,$M658,CH$13)="",10^12,OFFSET(PLE!$G$14,$M658,CH$13))))</f>
        <v>1000000000000</v>
      </c>
      <c r="CI658" s="216">
        <f ca="1">IF($D658&lt;&gt;"Serviço",0,IF(OR(AND(AUTOEVENTO="Manual",$M658=1),$M658&gt;(ROW(PLE.lastrow)-ROW(PLE.firstrow))),0,IF(OFFSET(PLE!$G$14,$M658,CI$13)="",10^12,OFFSET(PLE!$G$14,$M658,CI$13))))</f>
        <v>1000000000000</v>
      </c>
      <c r="CJ658" s="216">
        <f ca="1">IF($D658&lt;&gt;"Serviço",0,IF(OR(AND(AUTOEVENTO="Manual",$M658=1),$M658&gt;(ROW(PLE.lastrow)-ROW(PLE.firstrow))),0,IF(OFFSET(PLE!$G$14,$M658,CJ$13)="",10^12,OFFSET(PLE!$G$14,$M658,CJ$13))))</f>
        <v>1000000000000</v>
      </c>
      <c r="CK658" s="216">
        <f ca="1">IF($D658&lt;&gt;"Serviço",0,IF(OR(AND(AUTOEVENTO="Manual",$M658=1),$M658&gt;(ROW(PLE.lastrow)-ROW(PLE.firstrow))),0,IF(OFFSET(PLE!$G$14,$M658,CK$13)="",10^12,OFFSET(PLE!$G$14,$M658,CK$13))))</f>
        <v>1000000000000</v>
      </c>
      <c r="CL658" s="216">
        <f ca="1">IF($D658&lt;&gt;"Serviço",0,IF(OR(AND(AUTOEVENTO="Manual",$M658=1),$M658&gt;(ROW(PLE.lastrow)-ROW(PLE.firstrow))),0,IF(OFFSET(PLE!$G$14,$M658,CL$13)="",10^12,OFFSET(PLE!$G$14,$M658,CL$13))))</f>
        <v>1000000000000</v>
      </c>
      <c r="CM658" s="216">
        <f ca="1">IF($D658&lt;&gt;"Serviço",0,IF(OR(AND(AUTOEVENTO="Manual",$M658=1),$M658&gt;(ROW(PLE.lastrow)-ROW(PLE.firstrow))),0,IF(OFFSET(PLE!$G$14,$M658,CM$13)="",10^12,OFFSET(PLE!$G$14,$M658,CM$13))))</f>
        <v>1000000000000</v>
      </c>
    </row>
    <row r="659" spans="1:91" ht="13.2" x14ac:dyDescent="0.25">
      <c r="A659" s="9">
        <f t="shared" ca="1" si="20"/>
        <v>0</v>
      </c>
      <c r="B659" s="9" t="str">
        <f ca="1">OFFSET(ORÇAMENTO!C$15,ROW(B659)-ROW(B$15),0)</f>
        <v>S</v>
      </c>
      <c r="C659" s="9" t="str">
        <f ca="1">OFFSET(ORÇAMENTO!L$15,ROW(C659)-ROW(C$15),0)</f>
        <v/>
      </c>
      <c r="D659" s="145" t="str">
        <f ca="1">OFFSET(ORÇAMENTO!N$15,ROW(D659)-ROW(D$15),0)</f>
        <v>Serviço</v>
      </c>
      <c r="E659" s="205" t="str">
        <f ca="1">OFFSET(ORÇAMENTO!O$15,ROW(E659)-ROW(E$15),0)</f>
        <v>-</v>
      </c>
      <c r="F659" s="206" t="str">
        <f ca="1">OFFSET(ORÇAMENTO!R$15,ROW(F659)-ROW(F$15),0)</f>
        <v>(abra o arquivo 'Referência 05-2024.xls)</v>
      </c>
      <c r="G659" s="207" t="str">
        <f ca="1">IF($D659&lt;&gt;"Serviço","",OFFSET(ORÇAMENTO!S$15,ROW(G659)-ROW(G$15),0))</f>
        <v>-</v>
      </c>
      <c r="H659" s="151">
        <f ca="1">IF($D659&lt;&gt;"Serviço",0,IF(ACOMPANHAMENTO="BM",ROUND(OFFSET(ORÇAMENTO!AJ$15,ROW(H659)-ROW(H$15),0),15-13*ORÇAMENTO!$AF$7),SUMPRODUCT(($Q$12:$AI$12&lt;&gt;"")*ROUND($Q659:$AI659,15-13*ORÇAMENTO!$AF$7))))</f>
        <v>106.19</v>
      </c>
      <c r="I659" s="650"/>
      <c r="K659" s="208"/>
      <c r="L659" s="209" t="s">
        <v>257</v>
      </c>
      <c r="M659" s="210">
        <f ca="1">IF($D659&lt;&gt;"Serviço","",IF(AUTOEVENTO="manual",$A659,IF(ISERROR(MATCH($A659,$A$15:OFFSET($A659,-1,0),0)),MAX($M$15:OFFSET(M659,-1,0))+1,INDEX($M$15:OFFSET(M659,-1,0),MATCH($A659,$A$15:OFFSET($A659,-1,0),0)))))</f>
        <v>0</v>
      </c>
      <c r="N659" s="211" t="str">
        <f ca="1">IF($D659&lt;&gt;"Serviço","",IF(AUTOEVENTO="Manual",IF($A659=0,"&lt;-- defina o número do agrupador",OFFSET(EVENTOS!$D$14,$A659,0)),OFFSET($F$15,$A659,0)))</f>
        <v>&lt;-- defina o número do agrupador</v>
      </c>
      <c r="O659" s="212"/>
      <c r="Q659" s="212"/>
      <c r="R659" s="213"/>
      <c r="S659" s="213"/>
      <c r="T659" s="213"/>
      <c r="U659" s="213"/>
      <c r="V659" s="213"/>
      <c r="W659" s="213"/>
      <c r="X659" s="213"/>
      <c r="Y659" s="213"/>
      <c r="Z659" s="214"/>
      <c r="AA659" s="213"/>
      <c r="AB659" s="213"/>
      <c r="AC659" s="213"/>
      <c r="AD659" s="213"/>
      <c r="AE659" s="213"/>
      <c r="AF659" s="213"/>
      <c r="AG659" s="213"/>
      <c r="AH659" s="214"/>
      <c r="AJ659" s="631">
        <f ca="1">IF(AND($D659="Serviço",AJ$12&lt;&gt;0,$H659&gt;0,OR(AUTOEVENTO&lt;&gt;"manual",$M659&lt;&gt;1)),ROUND(OFFSET($P659,0,AJ$13),15-13*ORÇAMENTO!$AF$7)/$H659*OFFSET(ORÇAMENTO!$X$15,ROW(AJ659)-ROW(AJ$15),0),0)</f>
        <v>0</v>
      </c>
      <c r="AK659" s="632">
        <f ca="1">IF(AND($D659="Serviço",AK$12&lt;&gt;0,$H659&gt;0,OR(AUTOEVENTO&lt;&gt;"manual",$M659&lt;&gt;1)),ROUND(OFFSET($P659,0,AK$13),15-13*ORÇAMENTO!$AF$7)/$H659*OFFSET(ORÇAMENTO!$X$15,ROW(AK659)-ROW(AK$15),0),0)</f>
        <v>0</v>
      </c>
      <c r="AL659" s="632">
        <f ca="1">IF(AND($D659="Serviço",AL$12&lt;&gt;0,$H659&gt;0,OR(AUTOEVENTO&lt;&gt;"manual",$M659&lt;&gt;1)),ROUND(OFFSET($P659,0,AL$13),15-13*ORÇAMENTO!$AF$7)/$H659*OFFSET(ORÇAMENTO!$X$15,ROW(AL659)-ROW(AL$15),0),0)</f>
        <v>0</v>
      </c>
      <c r="AM659" s="632">
        <f ca="1">IF(AND($D659="Serviço",AM$12&lt;&gt;0,$H659&gt;0,OR(AUTOEVENTO&lt;&gt;"manual",$M659&lt;&gt;1)),ROUND(OFFSET($P659,0,AM$13),15-13*ORÇAMENTO!$AF$7)/$H659*OFFSET(ORÇAMENTO!$X$15,ROW(AM659)-ROW(AM$15),0),0)</f>
        <v>0</v>
      </c>
      <c r="AN659" s="632">
        <f ca="1">IF(AND($D659="Serviço",AN$12&lt;&gt;0,$H659&gt;0,OR(AUTOEVENTO&lt;&gt;"manual",$M659&lt;&gt;1)),ROUND(OFFSET($P659,0,AN$13),15-13*ORÇAMENTO!$AF$7)/$H659*OFFSET(ORÇAMENTO!$X$15,ROW(AN659)-ROW(AN$15),0),0)</f>
        <v>0</v>
      </c>
      <c r="AO659" s="632">
        <f ca="1">IF(AND($D659="Serviço",AO$12&lt;&gt;0,$H659&gt;0,OR(AUTOEVENTO&lt;&gt;"manual",$M659&lt;&gt;1)),ROUND(OFFSET($P659,0,AO$13),15-13*ORÇAMENTO!$AF$7)/$H659*OFFSET(ORÇAMENTO!$X$15,ROW(AO659)-ROW(AO$15),0),0)</f>
        <v>0</v>
      </c>
      <c r="AP659" s="632">
        <f ca="1">IF(AND($D659="Serviço",AP$12&lt;&gt;0,$H659&gt;0,OR(AUTOEVENTO&lt;&gt;"manual",$M659&lt;&gt;1)),ROUND(OFFSET($P659,0,AP$13),15-13*ORÇAMENTO!$AF$7)/$H659*OFFSET(ORÇAMENTO!$X$15,ROW(AP659)-ROW(AP$15),0),0)</f>
        <v>0</v>
      </c>
      <c r="AQ659" s="632">
        <f ca="1">IF(AND($D659="Serviço",AQ$12&lt;&gt;0,$H659&gt;0,OR(AUTOEVENTO&lt;&gt;"manual",$M659&lt;&gt;1)),ROUND(OFFSET($P659,0,AQ$13),15-13*ORÇAMENTO!$AF$7)/$H659*OFFSET(ORÇAMENTO!$X$15,ROW(AQ659)-ROW(AQ$15),0),0)</f>
        <v>0</v>
      </c>
      <c r="AR659" s="632">
        <f ca="1">IF(AND($D659="Serviço",AR$12&lt;&gt;0,$H659&gt;0,OR(AUTOEVENTO&lt;&gt;"manual",$M659&lt;&gt;1)),ROUND(OFFSET($P659,0,AR$13),15-13*ORÇAMENTO!$AF$7)/$H659*OFFSET(ORÇAMENTO!$X$15,ROW(AR659)-ROW(AR$15),0),0)</f>
        <v>0</v>
      </c>
      <c r="AS659" s="633">
        <f ca="1">IF(AND($D659="Serviço",AS$12&lt;&gt;0,$H659&gt;0,OR(AUTOEVENTO&lt;&gt;"manual",$M659&lt;&gt;1)),ROUND(OFFSET($P659,0,AS$13),15-13*ORÇAMENTO!$AF$7)/$H659*OFFSET(ORÇAMENTO!$X$15,ROW(AS659)-ROW(AS$15),0),0)</f>
        <v>0</v>
      </c>
      <c r="AT659" s="632">
        <f ca="1">IF(AND($D659="Serviço",AT$12&lt;&gt;0,$H659&gt;0,OR(AUTOEVENTO&lt;&gt;"manual",$M659&lt;&gt;1)),ROUND(OFFSET($P659,0,AT$13),15-13*ORÇAMENTO!$AF$7)/$H659*OFFSET(ORÇAMENTO!$X$15,ROW(AT659)-ROW(AT$15),0),0)</f>
        <v>0</v>
      </c>
      <c r="AU659" s="632">
        <f ca="1">IF(AND($D659="Serviço",AU$12&lt;&gt;0,$H659&gt;0,OR(AUTOEVENTO&lt;&gt;"manual",$M659&lt;&gt;1)),ROUND(OFFSET($P659,0,AU$13),15-13*ORÇAMENTO!$AF$7)/$H659*OFFSET(ORÇAMENTO!$X$15,ROW(AU659)-ROW(AU$15),0),0)</f>
        <v>0</v>
      </c>
      <c r="AV659" s="632">
        <f ca="1">IF(AND($D659="Serviço",AV$12&lt;&gt;0,$H659&gt;0,OR(AUTOEVENTO&lt;&gt;"manual",$M659&lt;&gt;1)),ROUND(OFFSET($P659,0,AV$13),15-13*ORÇAMENTO!$AF$7)/$H659*OFFSET(ORÇAMENTO!$X$15,ROW(AV659)-ROW(AV$15),0),0)</f>
        <v>0</v>
      </c>
      <c r="AW659" s="632">
        <f ca="1">IF(AND($D659="Serviço",AW$12&lt;&gt;0,$H659&gt;0,OR(AUTOEVENTO&lt;&gt;"manual",$M659&lt;&gt;1)),ROUND(OFFSET($P659,0,AW$13),15-13*ORÇAMENTO!$AF$7)/$H659*OFFSET(ORÇAMENTO!$X$15,ROW(AW659)-ROW(AW$15),0),0)</f>
        <v>0</v>
      </c>
      <c r="AX659" s="632">
        <f ca="1">IF(AND($D659="Serviço",AX$12&lt;&gt;0,$H659&gt;0,OR(AUTOEVENTO&lt;&gt;"manual",$M659&lt;&gt;1)),ROUND(OFFSET($P659,0,AX$13),15-13*ORÇAMENTO!$AF$7)/$H659*OFFSET(ORÇAMENTO!$X$15,ROW(AX659)-ROW(AX$15),0),0)</f>
        <v>0</v>
      </c>
      <c r="AY659" s="632">
        <f ca="1">IF(AND($D659="Serviço",AY$12&lt;&gt;0,$H659&gt;0,OR(AUTOEVENTO&lt;&gt;"manual",$M659&lt;&gt;1)),ROUND(OFFSET($P659,0,AY$13),15-13*ORÇAMENTO!$AF$7)/$H659*OFFSET(ORÇAMENTO!$X$15,ROW(AY659)-ROW(AY$15),0),0)</f>
        <v>0</v>
      </c>
      <c r="AZ659" s="632">
        <f ca="1">IF(AND($D659="Serviço",AZ$12&lt;&gt;0,$H659&gt;0,OR(AUTOEVENTO&lt;&gt;"manual",$M659&lt;&gt;1)),ROUND(OFFSET($P659,0,AZ$13),15-13*ORÇAMENTO!$AF$7)/$H659*OFFSET(ORÇAMENTO!$X$15,ROW(AZ659)-ROW(AZ$15),0),0)</f>
        <v>0</v>
      </c>
      <c r="BA659" s="633">
        <f ca="1">IF(AND($D659="Serviço",BA$12&lt;&gt;0,$H659&gt;0,OR(AUTOEVENTO&lt;&gt;"manual",$M659&lt;&gt;1)),ROUND(OFFSET($P659,0,BA$13),15-13*ORÇAMENTO!$AF$7)/$H659*OFFSET(ORÇAMENTO!$X$15,ROW(BA659)-ROW(BA$15),0),0)</f>
        <v>0</v>
      </c>
      <c r="BC659" s="215">
        <f ca="1">IF($D659&lt;&gt;"Serviço",0,IF(AND(AUTOEVENTO="Manual",$M659=1),0,IF(OFFSET(CRONOPLE!$F$14,$M659,BC$13)="",10^12,OFFSET(CRONOPLE!$F$14,$M659,BC$13))))</f>
        <v>1000000000000</v>
      </c>
      <c r="BD659" s="215">
        <f ca="1">IF($D659&lt;&gt;"Serviço",0,IF(AND(AUTOEVENTO="Manual",$M659=1),0,IF(OFFSET(CRONOPLE!$F$14,$M659,BD$13)="",10^12,OFFSET(CRONOPLE!$F$14,$M659,BD$13))))</f>
        <v>1000000000000</v>
      </c>
      <c r="BE659" s="215">
        <f ca="1">IF($D659&lt;&gt;"Serviço",0,IF(AND(AUTOEVENTO="Manual",$M659=1),0,IF(OFFSET(CRONOPLE!$F$14,$M659,BE$13)="",10^12,OFFSET(CRONOPLE!$F$14,$M659,BE$13))))</f>
        <v>1000000000000</v>
      </c>
      <c r="BF659" s="215">
        <f ca="1">IF($D659&lt;&gt;"Serviço",0,IF(AND(AUTOEVENTO="Manual",$M659=1),0,IF(OFFSET(CRONOPLE!$F$14,$M659,BF$13)="",10^12,OFFSET(CRONOPLE!$F$14,$M659,BF$13))))</f>
        <v>1000000000000</v>
      </c>
      <c r="BG659" s="215">
        <f ca="1">IF($D659&lt;&gt;"Serviço",0,IF(AND(AUTOEVENTO="Manual",$M659=1),0,IF(OFFSET(CRONOPLE!$F$14,$M659,BG$13)="",10^12,OFFSET(CRONOPLE!$F$14,$M659,BG$13))))</f>
        <v>1000000000000</v>
      </c>
      <c r="BH659" s="215">
        <f ca="1">IF($D659&lt;&gt;"Serviço",0,IF(AND(AUTOEVENTO="Manual",$M659=1),0,IF(OFFSET(CRONOPLE!$F$14,$M659,BH$13)="",10^12,OFFSET(CRONOPLE!$F$14,$M659,BH$13))))</f>
        <v>1000000000000</v>
      </c>
      <c r="BI659" s="215">
        <f ca="1">IF($D659&lt;&gt;"Serviço",0,IF(AND(AUTOEVENTO="Manual",$M659=1),0,IF(OFFSET(CRONOPLE!$F$14,$M659,BI$13)="",10^12,OFFSET(CRONOPLE!$F$14,$M659,BI$13))))</f>
        <v>1000000000000</v>
      </c>
      <c r="BJ659" s="215">
        <f ca="1">IF($D659&lt;&gt;"Serviço",0,IF(AND(AUTOEVENTO="Manual",$M659=1),0,IF(OFFSET(CRONOPLE!$F$14,$M659,BJ$13)="",10^12,OFFSET(CRONOPLE!$F$14,$M659,BJ$13))))</f>
        <v>1000000000000</v>
      </c>
      <c r="BK659" s="215">
        <f ca="1">IF($D659&lt;&gt;"Serviço",0,IF(AND(AUTOEVENTO="Manual",$M659=1),0,IF(OFFSET(CRONOPLE!$F$14,$M659,BK$13)="",10^12,OFFSET(CRONOPLE!$F$14,$M659,BK$13))))</f>
        <v>1000000000000</v>
      </c>
      <c r="BL659" s="215">
        <f ca="1">IF($D659&lt;&gt;"Serviço",0,IF(AND(AUTOEVENTO="Manual",$M659=1),0,IF(OFFSET(CRONOPLE!$F$14,$M659,BL$13)="",10^12,OFFSET(CRONOPLE!$F$14,$M659,BL$13))))</f>
        <v>1000000000000</v>
      </c>
      <c r="BM659" s="215">
        <f ca="1">IF($D659&lt;&gt;"Serviço",0,IF(AND(AUTOEVENTO="Manual",$M659=1),0,IF(OFFSET(CRONOPLE!$F$14,$M659,BM$13)="",10^12,OFFSET(CRONOPLE!$F$14,$M659,BM$13))))</f>
        <v>1000000000000</v>
      </c>
      <c r="BN659" s="215">
        <f ca="1">IF($D659&lt;&gt;"Serviço",0,IF(AND(AUTOEVENTO="Manual",$M659=1),0,IF(OFFSET(CRONOPLE!$F$14,$M659,BN$13)="",10^12,OFFSET(CRONOPLE!$F$14,$M659,BN$13))))</f>
        <v>1000000000000</v>
      </c>
      <c r="BO659" s="215">
        <f ca="1">IF($D659&lt;&gt;"Serviço",0,IF(AND(AUTOEVENTO="Manual",$M659=1),0,IF(OFFSET(CRONOPLE!$F$14,$M659,BO$13)="",10^12,OFFSET(CRONOPLE!$F$14,$M659,BO$13))))</f>
        <v>1000000000000</v>
      </c>
      <c r="BP659" s="215">
        <f ca="1">IF($D659&lt;&gt;"Serviço",0,IF(AND(AUTOEVENTO="Manual",$M659=1),0,IF(OFFSET(CRONOPLE!$F$14,$M659,BP$13)="",10^12,OFFSET(CRONOPLE!$F$14,$M659,BP$13))))</f>
        <v>1000000000000</v>
      </c>
      <c r="BQ659" s="215">
        <f ca="1">IF($D659&lt;&gt;"Serviço",0,IF(AND(AUTOEVENTO="Manual",$M659=1),0,IF(OFFSET(CRONOPLE!$F$14,$M659,BQ$13)="",10^12,OFFSET(CRONOPLE!$F$14,$M659,BQ$13))))</f>
        <v>1000000000000</v>
      </c>
      <c r="BR659" s="215">
        <f ca="1">IF($D659&lt;&gt;"Serviço",0,IF(AND(AUTOEVENTO="Manual",$M659=1),0,IF(OFFSET(CRONOPLE!$F$14,$M659,BR$13)="",10^12,OFFSET(CRONOPLE!$F$14,$M659,BR$13))))</f>
        <v>1000000000000</v>
      </c>
      <c r="BS659" s="215">
        <f ca="1">IF($D659&lt;&gt;"Serviço",0,IF(AND(AUTOEVENTO="Manual",$M659=1),0,IF(OFFSET(CRONOPLE!$F$14,$M659,BS$13)="",10^12,OFFSET(CRONOPLE!$F$14,$M659,BS$13))))</f>
        <v>1000000000000</v>
      </c>
      <c r="BT659" s="215">
        <f ca="1">IF($D659&lt;&gt;"Serviço",0,IF(AND(AUTOEVENTO="Manual",$M659=1),0,IF(OFFSET(CRONOPLE!$F$14,$M659,BT$13)="",10^12,OFFSET(CRONOPLE!$F$14,$M659,BT$13))))</f>
        <v>1000000000000</v>
      </c>
      <c r="BV659" s="216">
        <f ca="1">IF($D659&lt;&gt;"Serviço",0,IF(OR(AND(AUTOEVENTO="Manual",$M659=1),$M659&gt;(ROW(PLE.lastrow)-ROW(PLE.firstrow))),0,IF(OFFSET(PLE!$G$14,$M659,BV$13)="",10^12,OFFSET(PLE!$G$14,$M659,BV$13))))</f>
        <v>1000000000000</v>
      </c>
      <c r="BW659" s="216">
        <f ca="1">IF($D659&lt;&gt;"Serviço",0,IF(OR(AND(AUTOEVENTO="Manual",$M659=1),$M659&gt;(ROW(PLE.lastrow)-ROW(PLE.firstrow))),0,IF(OFFSET(PLE!$G$14,$M659,BW$13)="",10^12,OFFSET(PLE!$G$14,$M659,BW$13))))</f>
        <v>1000000000000</v>
      </c>
      <c r="BX659" s="216">
        <f ca="1">IF($D659&lt;&gt;"Serviço",0,IF(OR(AND(AUTOEVENTO="Manual",$M659=1),$M659&gt;(ROW(PLE.lastrow)-ROW(PLE.firstrow))),0,IF(OFFSET(PLE!$G$14,$M659,BX$13)="",10^12,OFFSET(PLE!$G$14,$M659,BX$13))))</f>
        <v>1000000000000</v>
      </c>
      <c r="BY659" s="216">
        <f ca="1">IF($D659&lt;&gt;"Serviço",0,IF(OR(AND(AUTOEVENTO="Manual",$M659=1),$M659&gt;(ROW(PLE.lastrow)-ROW(PLE.firstrow))),0,IF(OFFSET(PLE!$G$14,$M659,BY$13)="",10^12,OFFSET(PLE!$G$14,$M659,BY$13))))</f>
        <v>1000000000000</v>
      </c>
      <c r="BZ659" s="216">
        <f ca="1">IF($D659&lt;&gt;"Serviço",0,IF(OR(AND(AUTOEVENTO="Manual",$M659=1),$M659&gt;(ROW(PLE.lastrow)-ROW(PLE.firstrow))),0,IF(OFFSET(PLE!$G$14,$M659,BZ$13)="",10^12,OFFSET(PLE!$G$14,$M659,BZ$13))))</f>
        <v>1000000000000</v>
      </c>
      <c r="CA659" s="216">
        <f ca="1">IF($D659&lt;&gt;"Serviço",0,IF(OR(AND(AUTOEVENTO="Manual",$M659=1),$M659&gt;(ROW(PLE.lastrow)-ROW(PLE.firstrow))),0,IF(OFFSET(PLE!$G$14,$M659,CA$13)="",10^12,OFFSET(PLE!$G$14,$M659,CA$13))))</f>
        <v>1000000000000</v>
      </c>
      <c r="CB659" s="216">
        <f ca="1">IF($D659&lt;&gt;"Serviço",0,IF(OR(AND(AUTOEVENTO="Manual",$M659=1),$M659&gt;(ROW(PLE.lastrow)-ROW(PLE.firstrow))),0,IF(OFFSET(PLE!$G$14,$M659,CB$13)="",10^12,OFFSET(PLE!$G$14,$M659,CB$13))))</f>
        <v>1000000000000</v>
      </c>
      <c r="CC659" s="216">
        <f ca="1">IF($D659&lt;&gt;"Serviço",0,IF(OR(AND(AUTOEVENTO="Manual",$M659=1),$M659&gt;(ROW(PLE.lastrow)-ROW(PLE.firstrow))),0,IF(OFFSET(PLE!$G$14,$M659,CC$13)="",10^12,OFFSET(PLE!$G$14,$M659,CC$13))))</f>
        <v>1000000000000</v>
      </c>
      <c r="CD659" s="216">
        <f ca="1">IF($D659&lt;&gt;"Serviço",0,IF(OR(AND(AUTOEVENTO="Manual",$M659=1),$M659&gt;(ROW(PLE.lastrow)-ROW(PLE.firstrow))),0,IF(OFFSET(PLE!$G$14,$M659,CD$13)="",10^12,OFFSET(PLE!$G$14,$M659,CD$13))))</f>
        <v>1000000000000</v>
      </c>
      <c r="CE659" s="216">
        <f ca="1">IF($D659&lt;&gt;"Serviço",0,IF(OR(AND(AUTOEVENTO="Manual",$M659=1),$M659&gt;(ROW(PLE.lastrow)-ROW(PLE.firstrow))),0,IF(OFFSET(PLE!$G$14,$M659,CE$13)="",10^12,OFFSET(PLE!$G$14,$M659,CE$13))))</f>
        <v>1000000000000</v>
      </c>
      <c r="CF659" s="216">
        <f ca="1">IF($D659&lt;&gt;"Serviço",0,IF(OR(AND(AUTOEVENTO="Manual",$M659=1),$M659&gt;(ROW(PLE.lastrow)-ROW(PLE.firstrow))),0,IF(OFFSET(PLE!$G$14,$M659,CF$13)="",10^12,OFFSET(PLE!$G$14,$M659,CF$13))))</f>
        <v>1000000000000</v>
      </c>
      <c r="CG659" s="216">
        <f ca="1">IF($D659&lt;&gt;"Serviço",0,IF(OR(AND(AUTOEVENTO="Manual",$M659=1),$M659&gt;(ROW(PLE.lastrow)-ROW(PLE.firstrow))),0,IF(OFFSET(PLE!$G$14,$M659,CG$13)="",10^12,OFFSET(PLE!$G$14,$M659,CG$13))))</f>
        <v>1000000000000</v>
      </c>
      <c r="CH659" s="216">
        <f ca="1">IF($D659&lt;&gt;"Serviço",0,IF(OR(AND(AUTOEVENTO="Manual",$M659=1),$M659&gt;(ROW(PLE.lastrow)-ROW(PLE.firstrow))),0,IF(OFFSET(PLE!$G$14,$M659,CH$13)="",10^12,OFFSET(PLE!$G$14,$M659,CH$13))))</f>
        <v>1000000000000</v>
      </c>
      <c r="CI659" s="216">
        <f ca="1">IF($D659&lt;&gt;"Serviço",0,IF(OR(AND(AUTOEVENTO="Manual",$M659=1),$M659&gt;(ROW(PLE.lastrow)-ROW(PLE.firstrow))),0,IF(OFFSET(PLE!$G$14,$M659,CI$13)="",10^12,OFFSET(PLE!$G$14,$M659,CI$13))))</f>
        <v>1000000000000</v>
      </c>
      <c r="CJ659" s="216">
        <f ca="1">IF($D659&lt;&gt;"Serviço",0,IF(OR(AND(AUTOEVENTO="Manual",$M659=1),$M659&gt;(ROW(PLE.lastrow)-ROW(PLE.firstrow))),0,IF(OFFSET(PLE!$G$14,$M659,CJ$13)="",10^12,OFFSET(PLE!$G$14,$M659,CJ$13))))</f>
        <v>1000000000000</v>
      </c>
      <c r="CK659" s="216">
        <f ca="1">IF($D659&lt;&gt;"Serviço",0,IF(OR(AND(AUTOEVENTO="Manual",$M659=1),$M659&gt;(ROW(PLE.lastrow)-ROW(PLE.firstrow))),0,IF(OFFSET(PLE!$G$14,$M659,CK$13)="",10^12,OFFSET(PLE!$G$14,$M659,CK$13))))</f>
        <v>1000000000000</v>
      </c>
      <c r="CL659" s="216">
        <f ca="1">IF($D659&lt;&gt;"Serviço",0,IF(OR(AND(AUTOEVENTO="Manual",$M659=1),$M659&gt;(ROW(PLE.lastrow)-ROW(PLE.firstrow))),0,IF(OFFSET(PLE!$G$14,$M659,CL$13)="",10^12,OFFSET(PLE!$G$14,$M659,CL$13))))</f>
        <v>1000000000000</v>
      </c>
      <c r="CM659" s="216">
        <f ca="1">IF($D659&lt;&gt;"Serviço",0,IF(OR(AND(AUTOEVENTO="Manual",$M659=1),$M659&gt;(ROW(PLE.lastrow)-ROW(PLE.firstrow))),0,IF(OFFSET(PLE!$G$14,$M659,CM$13)="",10^12,OFFSET(PLE!$G$14,$M659,CM$13))))</f>
        <v>1000000000000</v>
      </c>
    </row>
    <row r="660" spans="1:91" ht="13.2" x14ac:dyDescent="0.25">
      <c r="A660" s="9">
        <f t="shared" ca="1" si="20"/>
        <v>0</v>
      </c>
      <c r="B660" s="9" t="str">
        <f ca="1">OFFSET(ORÇAMENTO!C$15,ROW(B660)-ROW(B$15),0)</f>
        <v>S</v>
      </c>
      <c r="C660" s="9" t="str">
        <f ca="1">OFFSET(ORÇAMENTO!L$15,ROW(C660)-ROW(C$15),0)</f>
        <v/>
      </c>
      <c r="D660" s="145" t="str">
        <f ca="1">OFFSET(ORÇAMENTO!N$15,ROW(D660)-ROW(D$15),0)</f>
        <v>Serviço</v>
      </c>
      <c r="E660" s="205" t="str">
        <f ca="1">OFFSET(ORÇAMENTO!O$15,ROW(E660)-ROW(E$15),0)</f>
        <v>-</v>
      </c>
      <c r="F660" s="206" t="str">
        <f ca="1">OFFSET(ORÇAMENTO!R$15,ROW(F660)-ROW(F$15),0)</f>
        <v>(abra o arquivo 'Referência 05-2024.xls)</v>
      </c>
      <c r="G660" s="207" t="str">
        <f ca="1">IF($D660&lt;&gt;"Serviço","",OFFSET(ORÇAMENTO!S$15,ROW(G660)-ROW(G$15),0))</f>
        <v>-</v>
      </c>
      <c r="H660" s="151">
        <f ca="1">IF($D660&lt;&gt;"Serviço",0,IF(ACOMPANHAMENTO="BM",ROUND(OFFSET(ORÇAMENTO!AJ$15,ROW(H660)-ROW(H$15),0),15-13*ORÇAMENTO!$AF$7),SUMPRODUCT(($Q$12:$AI$12&lt;&gt;"")*ROUND($Q660:$AI660,15-13*ORÇAMENTO!$AF$7))))</f>
        <v>9.9</v>
      </c>
      <c r="I660" s="650"/>
      <c r="K660" s="208"/>
      <c r="L660" s="209" t="s">
        <v>257</v>
      </c>
      <c r="M660" s="210">
        <f ca="1">IF($D660&lt;&gt;"Serviço","",IF(AUTOEVENTO="manual",$A660,IF(ISERROR(MATCH($A660,$A$15:OFFSET($A660,-1,0),0)),MAX($M$15:OFFSET(M660,-1,0))+1,INDEX($M$15:OFFSET(M660,-1,0),MATCH($A660,$A$15:OFFSET($A660,-1,0),0)))))</f>
        <v>0</v>
      </c>
      <c r="N660" s="211" t="str">
        <f ca="1">IF($D660&lt;&gt;"Serviço","",IF(AUTOEVENTO="Manual",IF($A660=0,"&lt;-- defina o número do agrupador",OFFSET(EVENTOS!$D$14,$A660,0)),OFFSET($F$15,$A660,0)))</f>
        <v>&lt;-- defina o número do agrupador</v>
      </c>
      <c r="O660" s="212"/>
      <c r="Q660" s="212"/>
      <c r="R660" s="213"/>
      <c r="S660" s="213"/>
      <c r="T660" s="213"/>
      <c r="U660" s="213"/>
      <c r="V660" s="213"/>
      <c r="W660" s="213"/>
      <c r="X660" s="213"/>
      <c r="Y660" s="213"/>
      <c r="Z660" s="214"/>
      <c r="AA660" s="213"/>
      <c r="AB660" s="213"/>
      <c r="AC660" s="213"/>
      <c r="AD660" s="213"/>
      <c r="AE660" s="213"/>
      <c r="AF660" s="213"/>
      <c r="AG660" s="213"/>
      <c r="AH660" s="214"/>
      <c r="AJ660" s="631">
        <f ca="1">IF(AND($D660="Serviço",AJ$12&lt;&gt;0,$H660&gt;0,OR(AUTOEVENTO&lt;&gt;"manual",$M660&lt;&gt;1)),ROUND(OFFSET($P660,0,AJ$13),15-13*ORÇAMENTO!$AF$7)/$H660*OFFSET(ORÇAMENTO!$X$15,ROW(AJ660)-ROW(AJ$15),0),0)</f>
        <v>0</v>
      </c>
      <c r="AK660" s="632">
        <f ca="1">IF(AND($D660="Serviço",AK$12&lt;&gt;0,$H660&gt;0,OR(AUTOEVENTO&lt;&gt;"manual",$M660&lt;&gt;1)),ROUND(OFFSET($P660,0,AK$13),15-13*ORÇAMENTO!$AF$7)/$H660*OFFSET(ORÇAMENTO!$X$15,ROW(AK660)-ROW(AK$15),0),0)</f>
        <v>0</v>
      </c>
      <c r="AL660" s="632">
        <f ca="1">IF(AND($D660="Serviço",AL$12&lt;&gt;0,$H660&gt;0,OR(AUTOEVENTO&lt;&gt;"manual",$M660&lt;&gt;1)),ROUND(OFFSET($P660,0,AL$13),15-13*ORÇAMENTO!$AF$7)/$H660*OFFSET(ORÇAMENTO!$X$15,ROW(AL660)-ROW(AL$15),0),0)</f>
        <v>0</v>
      </c>
      <c r="AM660" s="632">
        <f ca="1">IF(AND($D660="Serviço",AM$12&lt;&gt;0,$H660&gt;0,OR(AUTOEVENTO&lt;&gt;"manual",$M660&lt;&gt;1)),ROUND(OFFSET($P660,0,AM$13),15-13*ORÇAMENTO!$AF$7)/$H660*OFFSET(ORÇAMENTO!$X$15,ROW(AM660)-ROW(AM$15),0),0)</f>
        <v>0</v>
      </c>
      <c r="AN660" s="632">
        <f ca="1">IF(AND($D660="Serviço",AN$12&lt;&gt;0,$H660&gt;0,OR(AUTOEVENTO&lt;&gt;"manual",$M660&lt;&gt;1)),ROUND(OFFSET($P660,0,AN$13),15-13*ORÇAMENTO!$AF$7)/$H660*OFFSET(ORÇAMENTO!$X$15,ROW(AN660)-ROW(AN$15),0),0)</f>
        <v>0</v>
      </c>
      <c r="AO660" s="632">
        <f ca="1">IF(AND($D660="Serviço",AO$12&lt;&gt;0,$H660&gt;0,OR(AUTOEVENTO&lt;&gt;"manual",$M660&lt;&gt;1)),ROUND(OFFSET($P660,0,AO$13),15-13*ORÇAMENTO!$AF$7)/$H660*OFFSET(ORÇAMENTO!$X$15,ROW(AO660)-ROW(AO$15),0),0)</f>
        <v>0</v>
      </c>
      <c r="AP660" s="632">
        <f ca="1">IF(AND($D660="Serviço",AP$12&lt;&gt;0,$H660&gt;0,OR(AUTOEVENTO&lt;&gt;"manual",$M660&lt;&gt;1)),ROUND(OFFSET($P660,0,AP$13),15-13*ORÇAMENTO!$AF$7)/$H660*OFFSET(ORÇAMENTO!$X$15,ROW(AP660)-ROW(AP$15),0),0)</f>
        <v>0</v>
      </c>
      <c r="AQ660" s="632">
        <f ca="1">IF(AND($D660="Serviço",AQ$12&lt;&gt;0,$H660&gt;0,OR(AUTOEVENTO&lt;&gt;"manual",$M660&lt;&gt;1)),ROUND(OFFSET($P660,0,AQ$13),15-13*ORÇAMENTO!$AF$7)/$H660*OFFSET(ORÇAMENTO!$X$15,ROW(AQ660)-ROW(AQ$15),0),0)</f>
        <v>0</v>
      </c>
      <c r="AR660" s="632">
        <f ca="1">IF(AND($D660="Serviço",AR$12&lt;&gt;0,$H660&gt;0,OR(AUTOEVENTO&lt;&gt;"manual",$M660&lt;&gt;1)),ROUND(OFFSET($P660,0,AR$13),15-13*ORÇAMENTO!$AF$7)/$H660*OFFSET(ORÇAMENTO!$X$15,ROW(AR660)-ROW(AR$15),0),0)</f>
        <v>0</v>
      </c>
      <c r="AS660" s="633">
        <f ca="1">IF(AND($D660="Serviço",AS$12&lt;&gt;0,$H660&gt;0,OR(AUTOEVENTO&lt;&gt;"manual",$M660&lt;&gt;1)),ROUND(OFFSET($P660,0,AS$13),15-13*ORÇAMENTO!$AF$7)/$H660*OFFSET(ORÇAMENTO!$X$15,ROW(AS660)-ROW(AS$15),0),0)</f>
        <v>0</v>
      </c>
      <c r="AT660" s="632">
        <f ca="1">IF(AND($D660="Serviço",AT$12&lt;&gt;0,$H660&gt;0,OR(AUTOEVENTO&lt;&gt;"manual",$M660&lt;&gt;1)),ROUND(OFFSET($P660,0,AT$13),15-13*ORÇAMENTO!$AF$7)/$H660*OFFSET(ORÇAMENTO!$X$15,ROW(AT660)-ROW(AT$15),0),0)</f>
        <v>0</v>
      </c>
      <c r="AU660" s="632">
        <f ca="1">IF(AND($D660="Serviço",AU$12&lt;&gt;0,$H660&gt;0,OR(AUTOEVENTO&lt;&gt;"manual",$M660&lt;&gt;1)),ROUND(OFFSET($P660,0,AU$13),15-13*ORÇAMENTO!$AF$7)/$H660*OFFSET(ORÇAMENTO!$X$15,ROW(AU660)-ROW(AU$15),0),0)</f>
        <v>0</v>
      </c>
      <c r="AV660" s="632">
        <f ca="1">IF(AND($D660="Serviço",AV$12&lt;&gt;0,$H660&gt;0,OR(AUTOEVENTO&lt;&gt;"manual",$M660&lt;&gt;1)),ROUND(OFFSET($P660,0,AV$13),15-13*ORÇAMENTO!$AF$7)/$H660*OFFSET(ORÇAMENTO!$X$15,ROW(AV660)-ROW(AV$15),0),0)</f>
        <v>0</v>
      </c>
      <c r="AW660" s="632">
        <f ca="1">IF(AND($D660="Serviço",AW$12&lt;&gt;0,$H660&gt;0,OR(AUTOEVENTO&lt;&gt;"manual",$M660&lt;&gt;1)),ROUND(OFFSET($P660,0,AW$13),15-13*ORÇAMENTO!$AF$7)/$H660*OFFSET(ORÇAMENTO!$X$15,ROW(AW660)-ROW(AW$15),0),0)</f>
        <v>0</v>
      </c>
      <c r="AX660" s="632">
        <f ca="1">IF(AND($D660="Serviço",AX$12&lt;&gt;0,$H660&gt;0,OR(AUTOEVENTO&lt;&gt;"manual",$M660&lt;&gt;1)),ROUND(OFFSET($P660,0,AX$13),15-13*ORÇAMENTO!$AF$7)/$H660*OFFSET(ORÇAMENTO!$X$15,ROW(AX660)-ROW(AX$15),0),0)</f>
        <v>0</v>
      </c>
      <c r="AY660" s="632">
        <f ca="1">IF(AND($D660="Serviço",AY$12&lt;&gt;0,$H660&gt;0,OR(AUTOEVENTO&lt;&gt;"manual",$M660&lt;&gt;1)),ROUND(OFFSET($P660,0,AY$13),15-13*ORÇAMENTO!$AF$7)/$H660*OFFSET(ORÇAMENTO!$X$15,ROW(AY660)-ROW(AY$15),0),0)</f>
        <v>0</v>
      </c>
      <c r="AZ660" s="632">
        <f ca="1">IF(AND($D660="Serviço",AZ$12&lt;&gt;0,$H660&gt;0,OR(AUTOEVENTO&lt;&gt;"manual",$M660&lt;&gt;1)),ROUND(OFFSET($P660,0,AZ$13),15-13*ORÇAMENTO!$AF$7)/$H660*OFFSET(ORÇAMENTO!$X$15,ROW(AZ660)-ROW(AZ$15),0),0)</f>
        <v>0</v>
      </c>
      <c r="BA660" s="633">
        <f ca="1">IF(AND($D660="Serviço",BA$12&lt;&gt;0,$H660&gt;0,OR(AUTOEVENTO&lt;&gt;"manual",$M660&lt;&gt;1)),ROUND(OFFSET($P660,0,BA$13),15-13*ORÇAMENTO!$AF$7)/$H660*OFFSET(ORÇAMENTO!$X$15,ROW(BA660)-ROW(BA$15),0),0)</f>
        <v>0</v>
      </c>
      <c r="BC660" s="215">
        <f ca="1">IF($D660&lt;&gt;"Serviço",0,IF(AND(AUTOEVENTO="Manual",$M660=1),0,IF(OFFSET(CRONOPLE!$F$14,$M660,BC$13)="",10^12,OFFSET(CRONOPLE!$F$14,$M660,BC$13))))</f>
        <v>1000000000000</v>
      </c>
      <c r="BD660" s="215">
        <f ca="1">IF($D660&lt;&gt;"Serviço",0,IF(AND(AUTOEVENTO="Manual",$M660=1),0,IF(OFFSET(CRONOPLE!$F$14,$M660,BD$13)="",10^12,OFFSET(CRONOPLE!$F$14,$M660,BD$13))))</f>
        <v>1000000000000</v>
      </c>
      <c r="BE660" s="215">
        <f ca="1">IF($D660&lt;&gt;"Serviço",0,IF(AND(AUTOEVENTO="Manual",$M660=1),0,IF(OFFSET(CRONOPLE!$F$14,$M660,BE$13)="",10^12,OFFSET(CRONOPLE!$F$14,$M660,BE$13))))</f>
        <v>1000000000000</v>
      </c>
      <c r="BF660" s="215">
        <f ca="1">IF($D660&lt;&gt;"Serviço",0,IF(AND(AUTOEVENTO="Manual",$M660=1),0,IF(OFFSET(CRONOPLE!$F$14,$M660,BF$13)="",10^12,OFFSET(CRONOPLE!$F$14,$M660,BF$13))))</f>
        <v>1000000000000</v>
      </c>
      <c r="BG660" s="215">
        <f ca="1">IF($D660&lt;&gt;"Serviço",0,IF(AND(AUTOEVENTO="Manual",$M660=1),0,IF(OFFSET(CRONOPLE!$F$14,$M660,BG$13)="",10^12,OFFSET(CRONOPLE!$F$14,$M660,BG$13))))</f>
        <v>1000000000000</v>
      </c>
      <c r="BH660" s="215">
        <f ca="1">IF($D660&lt;&gt;"Serviço",0,IF(AND(AUTOEVENTO="Manual",$M660=1),0,IF(OFFSET(CRONOPLE!$F$14,$M660,BH$13)="",10^12,OFFSET(CRONOPLE!$F$14,$M660,BH$13))))</f>
        <v>1000000000000</v>
      </c>
      <c r="BI660" s="215">
        <f ca="1">IF($D660&lt;&gt;"Serviço",0,IF(AND(AUTOEVENTO="Manual",$M660=1),0,IF(OFFSET(CRONOPLE!$F$14,$M660,BI$13)="",10^12,OFFSET(CRONOPLE!$F$14,$M660,BI$13))))</f>
        <v>1000000000000</v>
      </c>
      <c r="BJ660" s="215">
        <f ca="1">IF($D660&lt;&gt;"Serviço",0,IF(AND(AUTOEVENTO="Manual",$M660=1),0,IF(OFFSET(CRONOPLE!$F$14,$M660,BJ$13)="",10^12,OFFSET(CRONOPLE!$F$14,$M660,BJ$13))))</f>
        <v>1000000000000</v>
      </c>
      <c r="BK660" s="215">
        <f ca="1">IF($D660&lt;&gt;"Serviço",0,IF(AND(AUTOEVENTO="Manual",$M660=1),0,IF(OFFSET(CRONOPLE!$F$14,$M660,BK$13)="",10^12,OFFSET(CRONOPLE!$F$14,$M660,BK$13))))</f>
        <v>1000000000000</v>
      </c>
      <c r="BL660" s="215">
        <f ca="1">IF($D660&lt;&gt;"Serviço",0,IF(AND(AUTOEVENTO="Manual",$M660=1),0,IF(OFFSET(CRONOPLE!$F$14,$M660,BL$13)="",10^12,OFFSET(CRONOPLE!$F$14,$M660,BL$13))))</f>
        <v>1000000000000</v>
      </c>
      <c r="BM660" s="215">
        <f ca="1">IF($D660&lt;&gt;"Serviço",0,IF(AND(AUTOEVENTO="Manual",$M660=1),0,IF(OFFSET(CRONOPLE!$F$14,$M660,BM$13)="",10^12,OFFSET(CRONOPLE!$F$14,$M660,BM$13))))</f>
        <v>1000000000000</v>
      </c>
      <c r="BN660" s="215">
        <f ca="1">IF($D660&lt;&gt;"Serviço",0,IF(AND(AUTOEVENTO="Manual",$M660=1),0,IF(OFFSET(CRONOPLE!$F$14,$M660,BN$13)="",10^12,OFFSET(CRONOPLE!$F$14,$M660,BN$13))))</f>
        <v>1000000000000</v>
      </c>
      <c r="BO660" s="215">
        <f ca="1">IF($D660&lt;&gt;"Serviço",0,IF(AND(AUTOEVENTO="Manual",$M660=1),0,IF(OFFSET(CRONOPLE!$F$14,$M660,BO$13)="",10^12,OFFSET(CRONOPLE!$F$14,$M660,BO$13))))</f>
        <v>1000000000000</v>
      </c>
      <c r="BP660" s="215">
        <f ca="1">IF($D660&lt;&gt;"Serviço",0,IF(AND(AUTOEVENTO="Manual",$M660=1),0,IF(OFFSET(CRONOPLE!$F$14,$M660,BP$13)="",10^12,OFFSET(CRONOPLE!$F$14,$M660,BP$13))))</f>
        <v>1000000000000</v>
      </c>
      <c r="BQ660" s="215">
        <f ca="1">IF($D660&lt;&gt;"Serviço",0,IF(AND(AUTOEVENTO="Manual",$M660=1),0,IF(OFFSET(CRONOPLE!$F$14,$M660,BQ$13)="",10^12,OFFSET(CRONOPLE!$F$14,$M660,BQ$13))))</f>
        <v>1000000000000</v>
      </c>
      <c r="BR660" s="215">
        <f ca="1">IF($D660&lt;&gt;"Serviço",0,IF(AND(AUTOEVENTO="Manual",$M660=1),0,IF(OFFSET(CRONOPLE!$F$14,$M660,BR$13)="",10^12,OFFSET(CRONOPLE!$F$14,$M660,BR$13))))</f>
        <v>1000000000000</v>
      </c>
      <c r="BS660" s="215">
        <f ca="1">IF($D660&lt;&gt;"Serviço",0,IF(AND(AUTOEVENTO="Manual",$M660=1),0,IF(OFFSET(CRONOPLE!$F$14,$M660,BS$13)="",10^12,OFFSET(CRONOPLE!$F$14,$M660,BS$13))))</f>
        <v>1000000000000</v>
      </c>
      <c r="BT660" s="215">
        <f ca="1">IF($D660&lt;&gt;"Serviço",0,IF(AND(AUTOEVENTO="Manual",$M660=1),0,IF(OFFSET(CRONOPLE!$F$14,$M660,BT$13)="",10^12,OFFSET(CRONOPLE!$F$14,$M660,BT$13))))</f>
        <v>1000000000000</v>
      </c>
      <c r="BV660" s="216">
        <f ca="1">IF($D660&lt;&gt;"Serviço",0,IF(OR(AND(AUTOEVENTO="Manual",$M660=1),$M660&gt;(ROW(PLE.lastrow)-ROW(PLE.firstrow))),0,IF(OFFSET(PLE!$G$14,$M660,BV$13)="",10^12,OFFSET(PLE!$G$14,$M660,BV$13))))</f>
        <v>1000000000000</v>
      </c>
      <c r="BW660" s="216">
        <f ca="1">IF($D660&lt;&gt;"Serviço",0,IF(OR(AND(AUTOEVENTO="Manual",$M660=1),$M660&gt;(ROW(PLE.lastrow)-ROW(PLE.firstrow))),0,IF(OFFSET(PLE!$G$14,$M660,BW$13)="",10^12,OFFSET(PLE!$G$14,$M660,BW$13))))</f>
        <v>1000000000000</v>
      </c>
      <c r="BX660" s="216">
        <f ca="1">IF($D660&lt;&gt;"Serviço",0,IF(OR(AND(AUTOEVENTO="Manual",$M660=1),$M660&gt;(ROW(PLE.lastrow)-ROW(PLE.firstrow))),0,IF(OFFSET(PLE!$G$14,$M660,BX$13)="",10^12,OFFSET(PLE!$G$14,$M660,BX$13))))</f>
        <v>1000000000000</v>
      </c>
      <c r="BY660" s="216">
        <f ca="1">IF($D660&lt;&gt;"Serviço",0,IF(OR(AND(AUTOEVENTO="Manual",$M660=1),$M660&gt;(ROW(PLE.lastrow)-ROW(PLE.firstrow))),0,IF(OFFSET(PLE!$G$14,$M660,BY$13)="",10^12,OFFSET(PLE!$G$14,$M660,BY$13))))</f>
        <v>1000000000000</v>
      </c>
      <c r="BZ660" s="216">
        <f ca="1">IF($D660&lt;&gt;"Serviço",0,IF(OR(AND(AUTOEVENTO="Manual",$M660=1),$M660&gt;(ROW(PLE.lastrow)-ROW(PLE.firstrow))),0,IF(OFFSET(PLE!$G$14,$M660,BZ$13)="",10^12,OFFSET(PLE!$G$14,$M660,BZ$13))))</f>
        <v>1000000000000</v>
      </c>
      <c r="CA660" s="216">
        <f ca="1">IF($D660&lt;&gt;"Serviço",0,IF(OR(AND(AUTOEVENTO="Manual",$M660=1),$M660&gt;(ROW(PLE.lastrow)-ROW(PLE.firstrow))),0,IF(OFFSET(PLE!$G$14,$M660,CA$13)="",10^12,OFFSET(PLE!$G$14,$M660,CA$13))))</f>
        <v>1000000000000</v>
      </c>
      <c r="CB660" s="216">
        <f ca="1">IF($D660&lt;&gt;"Serviço",0,IF(OR(AND(AUTOEVENTO="Manual",$M660=1),$M660&gt;(ROW(PLE.lastrow)-ROW(PLE.firstrow))),0,IF(OFFSET(PLE!$G$14,$M660,CB$13)="",10^12,OFFSET(PLE!$G$14,$M660,CB$13))))</f>
        <v>1000000000000</v>
      </c>
      <c r="CC660" s="216">
        <f ca="1">IF($D660&lt;&gt;"Serviço",0,IF(OR(AND(AUTOEVENTO="Manual",$M660=1),$M660&gt;(ROW(PLE.lastrow)-ROW(PLE.firstrow))),0,IF(OFFSET(PLE!$G$14,$M660,CC$13)="",10^12,OFFSET(PLE!$G$14,$M660,CC$13))))</f>
        <v>1000000000000</v>
      </c>
      <c r="CD660" s="216">
        <f ca="1">IF($D660&lt;&gt;"Serviço",0,IF(OR(AND(AUTOEVENTO="Manual",$M660=1),$M660&gt;(ROW(PLE.lastrow)-ROW(PLE.firstrow))),0,IF(OFFSET(PLE!$G$14,$M660,CD$13)="",10^12,OFFSET(PLE!$G$14,$M660,CD$13))))</f>
        <v>1000000000000</v>
      </c>
      <c r="CE660" s="216">
        <f ca="1">IF($D660&lt;&gt;"Serviço",0,IF(OR(AND(AUTOEVENTO="Manual",$M660=1),$M660&gt;(ROW(PLE.lastrow)-ROW(PLE.firstrow))),0,IF(OFFSET(PLE!$G$14,$M660,CE$13)="",10^12,OFFSET(PLE!$G$14,$M660,CE$13))))</f>
        <v>1000000000000</v>
      </c>
      <c r="CF660" s="216">
        <f ca="1">IF($D660&lt;&gt;"Serviço",0,IF(OR(AND(AUTOEVENTO="Manual",$M660=1),$M660&gt;(ROW(PLE.lastrow)-ROW(PLE.firstrow))),0,IF(OFFSET(PLE!$G$14,$M660,CF$13)="",10^12,OFFSET(PLE!$G$14,$M660,CF$13))))</f>
        <v>1000000000000</v>
      </c>
      <c r="CG660" s="216">
        <f ca="1">IF($D660&lt;&gt;"Serviço",0,IF(OR(AND(AUTOEVENTO="Manual",$M660=1),$M660&gt;(ROW(PLE.lastrow)-ROW(PLE.firstrow))),0,IF(OFFSET(PLE!$G$14,$M660,CG$13)="",10^12,OFFSET(PLE!$G$14,$M660,CG$13))))</f>
        <v>1000000000000</v>
      </c>
      <c r="CH660" s="216">
        <f ca="1">IF($D660&lt;&gt;"Serviço",0,IF(OR(AND(AUTOEVENTO="Manual",$M660=1),$M660&gt;(ROW(PLE.lastrow)-ROW(PLE.firstrow))),0,IF(OFFSET(PLE!$G$14,$M660,CH$13)="",10^12,OFFSET(PLE!$G$14,$M660,CH$13))))</f>
        <v>1000000000000</v>
      </c>
      <c r="CI660" s="216">
        <f ca="1">IF($D660&lt;&gt;"Serviço",0,IF(OR(AND(AUTOEVENTO="Manual",$M660=1),$M660&gt;(ROW(PLE.lastrow)-ROW(PLE.firstrow))),0,IF(OFFSET(PLE!$G$14,$M660,CI$13)="",10^12,OFFSET(PLE!$G$14,$M660,CI$13))))</f>
        <v>1000000000000</v>
      </c>
      <c r="CJ660" s="216">
        <f ca="1">IF($D660&lt;&gt;"Serviço",0,IF(OR(AND(AUTOEVENTO="Manual",$M660=1),$M660&gt;(ROW(PLE.lastrow)-ROW(PLE.firstrow))),0,IF(OFFSET(PLE!$G$14,$M660,CJ$13)="",10^12,OFFSET(PLE!$G$14,$M660,CJ$13))))</f>
        <v>1000000000000</v>
      </c>
      <c r="CK660" s="216">
        <f ca="1">IF($D660&lt;&gt;"Serviço",0,IF(OR(AND(AUTOEVENTO="Manual",$M660=1),$M660&gt;(ROW(PLE.lastrow)-ROW(PLE.firstrow))),0,IF(OFFSET(PLE!$G$14,$M660,CK$13)="",10^12,OFFSET(PLE!$G$14,$M660,CK$13))))</f>
        <v>1000000000000</v>
      </c>
      <c r="CL660" s="216">
        <f ca="1">IF($D660&lt;&gt;"Serviço",0,IF(OR(AND(AUTOEVENTO="Manual",$M660=1),$M660&gt;(ROW(PLE.lastrow)-ROW(PLE.firstrow))),0,IF(OFFSET(PLE!$G$14,$M660,CL$13)="",10^12,OFFSET(PLE!$G$14,$M660,CL$13))))</f>
        <v>1000000000000</v>
      </c>
      <c r="CM660" s="216">
        <f ca="1">IF($D660&lt;&gt;"Serviço",0,IF(OR(AND(AUTOEVENTO="Manual",$M660=1),$M660&gt;(ROW(PLE.lastrow)-ROW(PLE.firstrow))),0,IF(OFFSET(PLE!$G$14,$M660,CM$13)="",10^12,OFFSET(PLE!$G$14,$M660,CM$13))))</f>
        <v>1000000000000</v>
      </c>
    </row>
    <row r="661" spans="1:91" ht="13.2" x14ac:dyDescent="0.25">
      <c r="A661" s="9">
        <f t="shared" ca="1" si="20"/>
        <v>0</v>
      </c>
      <c r="B661" s="9" t="str">
        <f ca="1">OFFSET(ORÇAMENTO!C$15,ROW(B661)-ROW(B$15),0)</f>
        <v>S</v>
      </c>
      <c r="C661" s="9" t="str">
        <f ca="1">OFFSET(ORÇAMENTO!L$15,ROW(C661)-ROW(C$15),0)</f>
        <v/>
      </c>
      <c r="D661" s="145" t="str">
        <f ca="1">OFFSET(ORÇAMENTO!N$15,ROW(D661)-ROW(D$15),0)</f>
        <v>Serviço</v>
      </c>
      <c r="E661" s="205" t="str">
        <f ca="1">OFFSET(ORÇAMENTO!O$15,ROW(E661)-ROW(E$15),0)</f>
        <v>-</v>
      </c>
      <c r="F661" s="206" t="str">
        <f ca="1">OFFSET(ORÇAMENTO!R$15,ROW(F661)-ROW(F$15),0)</f>
        <v>(abra o arquivo 'Referência 05-2024.xls)</v>
      </c>
      <c r="G661" s="207" t="str">
        <f ca="1">IF($D661&lt;&gt;"Serviço","",OFFSET(ORÇAMENTO!S$15,ROW(G661)-ROW(G$15),0))</f>
        <v>-</v>
      </c>
      <c r="H661" s="151">
        <f ca="1">IF($D661&lt;&gt;"Serviço",0,IF(ACOMPANHAMENTO="BM",ROUND(OFFSET(ORÇAMENTO!AJ$15,ROW(H661)-ROW(H$15),0),15-13*ORÇAMENTO!$AF$7),SUMPRODUCT(($Q$12:$AI$12&lt;&gt;"")*ROUND($Q661:$AI661,15-13*ORÇAMENTO!$AF$7))))</f>
        <v>3.7</v>
      </c>
      <c r="I661" s="650"/>
      <c r="K661" s="208"/>
      <c r="L661" s="209" t="s">
        <v>257</v>
      </c>
      <c r="M661" s="210">
        <f ca="1">IF($D661&lt;&gt;"Serviço","",IF(AUTOEVENTO="manual",$A661,IF(ISERROR(MATCH($A661,$A$15:OFFSET($A661,-1,0),0)),MAX($M$15:OFFSET(M661,-1,0))+1,INDEX($M$15:OFFSET(M661,-1,0),MATCH($A661,$A$15:OFFSET($A661,-1,0),0)))))</f>
        <v>0</v>
      </c>
      <c r="N661" s="211" t="str">
        <f ca="1">IF($D661&lt;&gt;"Serviço","",IF(AUTOEVENTO="Manual",IF($A661=0,"&lt;-- defina o número do agrupador",OFFSET(EVENTOS!$D$14,$A661,0)),OFFSET($F$15,$A661,0)))</f>
        <v>&lt;-- defina o número do agrupador</v>
      </c>
      <c r="O661" s="212"/>
      <c r="Q661" s="212"/>
      <c r="R661" s="213"/>
      <c r="S661" s="213"/>
      <c r="T661" s="213"/>
      <c r="U661" s="213"/>
      <c r="V661" s="213"/>
      <c r="W661" s="213"/>
      <c r="X661" s="213"/>
      <c r="Y661" s="213"/>
      <c r="Z661" s="214"/>
      <c r="AA661" s="213"/>
      <c r="AB661" s="213"/>
      <c r="AC661" s="213"/>
      <c r="AD661" s="213"/>
      <c r="AE661" s="213"/>
      <c r="AF661" s="213"/>
      <c r="AG661" s="213"/>
      <c r="AH661" s="214"/>
      <c r="AJ661" s="631">
        <f ca="1">IF(AND($D661="Serviço",AJ$12&lt;&gt;0,$H661&gt;0,OR(AUTOEVENTO&lt;&gt;"manual",$M661&lt;&gt;1)),ROUND(OFFSET($P661,0,AJ$13),15-13*ORÇAMENTO!$AF$7)/$H661*OFFSET(ORÇAMENTO!$X$15,ROW(AJ661)-ROW(AJ$15),0),0)</f>
        <v>0</v>
      </c>
      <c r="AK661" s="632">
        <f ca="1">IF(AND($D661="Serviço",AK$12&lt;&gt;0,$H661&gt;0,OR(AUTOEVENTO&lt;&gt;"manual",$M661&lt;&gt;1)),ROUND(OFFSET($P661,0,AK$13),15-13*ORÇAMENTO!$AF$7)/$H661*OFFSET(ORÇAMENTO!$X$15,ROW(AK661)-ROW(AK$15),0),0)</f>
        <v>0</v>
      </c>
      <c r="AL661" s="632">
        <f ca="1">IF(AND($D661="Serviço",AL$12&lt;&gt;0,$H661&gt;0,OR(AUTOEVENTO&lt;&gt;"manual",$M661&lt;&gt;1)),ROUND(OFFSET($P661,0,AL$13),15-13*ORÇAMENTO!$AF$7)/$H661*OFFSET(ORÇAMENTO!$X$15,ROW(AL661)-ROW(AL$15),0),0)</f>
        <v>0</v>
      </c>
      <c r="AM661" s="632">
        <f ca="1">IF(AND($D661="Serviço",AM$12&lt;&gt;0,$H661&gt;0,OR(AUTOEVENTO&lt;&gt;"manual",$M661&lt;&gt;1)),ROUND(OFFSET($P661,0,AM$13),15-13*ORÇAMENTO!$AF$7)/$H661*OFFSET(ORÇAMENTO!$X$15,ROW(AM661)-ROW(AM$15),0),0)</f>
        <v>0</v>
      </c>
      <c r="AN661" s="632">
        <f ca="1">IF(AND($D661="Serviço",AN$12&lt;&gt;0,$H661&gt;0,OR(AUTOEVENTO&lt;&gt;"manual",$M661&lt;&gt;1)),ROUND(OFFSET($P661,0,AN$13),15-13*ORÇAMENTO!$AF$7)/$H661*OFFSET(ORÇAMENTO!$X$15,ROW(AN661)-ROW(AN$15),0),0)</f>
        <v>0</v>
      </c>
      <c r="AO661" s="632">
        <f ca="1">IF(AND($D661="Serviço",AO$12&lt;&gt;0,$H661&gt;0,OR(AUTOEVENTO&lt;&gt;"manual",$M661&lt;&gt;1)),ROUND(OFFSET($P661,0,AO$13),15-13*ORÇAMENTO!$AF$7)/$H661*OFFSET(ORÇAMENTO!$X$15,ROW(AO661)-ROW(AO$15),0),0)</f>
        <v>0</v>
      </c>
      <c r="AP661" s="632">
        <f ca="1">IF(AND($D661="Serviço",AP$12&lt;&gt;0,$H661&gt;0,OR(AUTOEVENTO&lt;&gt;"manual",$M661&lt;&gt;1)),ROUND(OFFSET($P661,0,AP$13),15-13*ORÇAMENTO!$AF$7)/$H661*OFFSET(ORÇAMENTO!$X$15,ROW(AP661)-ROW(AP$15),0),0)</f>
        <v>0</v>
      </c>
      <c r="AQ661" s="632">
        <f ca="1">IF(AND($D661="Serviço",AQ$12&lt;&gt;0,$H661&gt;0,OR(AUTOEVENTO&lt;&gt;"manual",$M661&lt;&gt;1)),ROUND(OFFSET($P661,0,AQ$13),15-13*ORÇAMENTO!$AF$7)/$H661*OFFSET(ORÇAMENTO!$X$15,ROW(AQ661)-ROW(AQ$15),0),0)</f>
        <v>0</v>
      </c>
      <c r="AR661" s="632">
        <f ca="1">IF(AND($D661="Serviço",AR$12&lt;&gt;0,$H661&gt;0,OR(AUTOEVENTO&lt;&gt;"manual",$M661&lt;&gt;1)),ROUND(OFFSET($P661,0,AR$13),15-13*ORÇAMENTO!$AF$7)/$H661*OFFSET(ORÇAMENTO!$X$15,ROW(AR661)-ROW(AR$15),0),0)</f>
        <v>0</v>
      </c>
      <c r="AS661" s="633">
        <f ca="1">IF(AND($D661="Serviço",AS$12&lt;&gt;0,$H661&gt;0,OR(AUTOEVENTO&lt;&gt;"manual",$M661&lt;&gt;1)),ROUND(OFFSET($P661,0,AS$13),15-13*ORÇAMENTO!$AF$7)/$H661*OFFSET(ORÇAMENTO!$X$15,ROW(AS661)-ROW(AS$15),0),0)</f>
        <v>0</v>
      </c>
      <c r="AT661" s="632">
        <f ca="1">IF(AND($D661="Serviço",AT$12&lt;&gt;0,$H661&gt;0,OR(AUTOEVENTO&lt;&gt;"manual",$M661&lt;&gt;1)),ROUND(OFFSET($P661,0,AT$13),15-13*ORÇAMENTO!$AF$7)/$H661*OFFSET(ORÇAMENTO!$X$15,ROW(AT661)-ROW(AT$15),0),0)</f>
        <v>0</v>
      </c>
      <c r="AU661" s="632">
        <f ca="1">IF(AND($D661="Serviço",AU$12&lt;&gt;0,$H661&gt;0,OR(AUTOEVENTO&lt;&gt;"manual",$M661&lt;&gt;1)),ROUND(OFFSET($P661,0,AU$13),15-13*ORÇAMENTO!$AF$7)/$H661*OFFSET(ORÇAMENTO!$X$15,ROW(AU661)-ROW(AU$15),0),0)</f>
        <v>0</v>
      </c>
      <c r="AV661" s="632">
        <f ca="1">IF(AND($D661="Serviço",AV$12&lt;&gt;0,$H661&gt;0,OR(AUTOEVENTO&lt;&gt;"manual",$M661&lt;&gt;1)),ROUND(OFFSET($P661,0,AV$13),15-13*ORÇAMENTO!$AF$7)/$H661*OFFSET(ORÇAMENTO!$X$15,ROW(AV661)-ROW(AV$15),0),0)</f>
        <v>0</v>
      </c>
      <c r="AW661" s="632">
        <f ca="1">IF(AND($D661="Serviço",AW$12&lt;&gt;0,$H661&gt;0,OR(AUTOEVENTO&lt;&gt;"manual",$M661&lt;&gt;1)),ROUND(OFFSET($P661,0,AW$13),15-13*ORÇAMENTO!$AF$7)/$H661*OFFSET(ORÇAMENTO!$X$15,ROW(AW661)-ROW(AW$15),0),0)</f>
        <v>0</v>
      </c>
      <c r="AX661" s="632">
        <f ca="1">IF(AND($D661="Serviço",AX$12&lt;&gt;0,$H661&gt;0,OR(AUTOEVENTO&lt;&gt;"manual",$M661&lt;&gt;1)),ROUND(OFFSET($P661,0,AX$13),15-13*ORÇAMENTO!$AF$7)/$H661*OFFSET(ORÇAMENTO!$X$15,ROW(AX661)-ROW(AX$15),0),0)</f>
        <v>0</v>
      </c>
      <c r="AY661" s="632">
        <f ca="1">IF(AND($D661="Serviço",AY$12&lt;&gt;0,$H661&gt;0,OR(AUTOEVENTO&lt;&gt;"manual",$M661&lt;&gt;1)),ROUND(OFFSET($P661,0,AY$13),15-13*ORÇAMENTO!$AF$7)/$H661*OFFSET(ORÇAMENTO!$X$15,ROW(AY661)-ROW(AY$15),0),0)</f>
        <v>0</v>
      </c>
      <c r="AZ661" s="632">
        <f ca="1">IF(AND($D661="Serviço",AZ$12&lt;&gt;0,$H661&gt;0,OR(AUTOEVENTO&lt;&gt;"manual",$M661&lt;&gt;1)),ROUND(OFFSET($P661,0,AZ$13),15-13*ORÇAMENTO!$AF$7)/$H661*OFFSET(ORÇAMENTO!$X$15,ROW(AZ661)-ROW(AZ$15),0),0)</f>
        <v>0</v>
      </c>
      <c r="BA661" s="633">
        <f ca="1">IF(AND($D661="Serviço",BA$12&lt;&gt;0,$H661&gt;0,OR(AUTOEVENTO&lt;&gt;"manual",$M661&lt;&gt;1)),ROUND(OFFSET($P661,0,BA$13),15-13*ORÇAMENTO!$AF$7)/$H661*OFFSET(ORÇAMENTO!$X$15,ROW(BA661)-ROW(BA$15),0),0)</f>
        <v>0</v>
      </c>
      <c r="BC661" s="215">
        <f ca="1">IF($D661&lt;&gt;"Serviço",0,IF(AND(AUTOEVENTO="Manual",$M661=1),0,IF(OFFSET(CRONOPLE!$F$14,$M661,BC$13)="",10^12,OFFSET(CRONOPLE!$F$14,$M661,BC$13))))</f>
        <v>1000000000000</v>
      </c>
      <c r="BD661" s="215">
        <f ca="1">IF($D661&lt;&gt;"Serviço",0,IF(AND(AUTOEVENTO="Manual",$M661=1),0,IF(OFFSET(CRONOPLE!$F$14,$M661,BD$13)="",10^12,OFFSET(CRONOPLE!$F$14,$M661,BD$13))))</f>
        <v>1000000000000</v>
      </c>
      <c r="BE661" s="215">
        <f ca="1">IF($D661&lt;&gt;"Serviço",0,IF(AND(AUTOEVENTO="Manual",$M661=1),0,IF(OFFSET(CRONOPLE!$F$14,$M661,BE$13)="",10^12,OFFSET(CRONOPLE!$F$14,$M661,BE$13))))</f>
        <v>1000000000000</v>
      </c>
      <c r="BF661" s="215">
        <f ca="1">IF($D661&lt;&gt;"Serviço",0,IF(AND(AUTOEVENTO="Manual",$M661=1),0,IF(OFFSET(CRONOPLE!$F$14,$M661,BF$13)="",10^12,OFFSET(CRONOPLE!$F$14,$M661,BF$13))))</f>
        <v>1000000000000</v>
      </c>
      <c r="BG661" s="215">
        <f ca="1">IF($D661&lt;&gt;"Serviço",0,IF(AND(AUTOEVENTO="Manual",$M661=1),0,IF(OFFSET(CRONOPLE!$F$14,$M661,BG$13)="",10^12,OFFSET(CRONOPLE!$F$14,$M661,BG$13))))</f>
        <v>1000000000000</v>
      </c>
      <c r="BH661" s="215">
        <f ca="1">IF($D661&lt;&gt;"Serviço",0,IF(AND(AUTOEVENTO="Manual",$M661=1),0,IF(OFFSET(CRONOPLE!$F$14,$M661,BH$13)="",10^12,OFFSET(CRONOPLE!$F$14,$M661,BH$13))))</f>
        <v>1000000000000</v>
      </c>
      <c r="BI661" s="215">
        <f ca="1">IF($D661&lt;&gt;"Serviço",0,IF(AND(AUTOEVENTO="Manual",$M661=1),0,IF(OFFSET(CRONOPLE!$F$14,$M661,BI$13)="",10^12,OFFSET(CRONOPLE!$F$14,$M661,BI$13))))</f>
        <v>1000000000000</v>
      </c>
      <c r="BJ661" s="215">
        <f ca="1">IF($D661&lt;&gt;"Serviço",0,IF(AND(AUTOEVENTO="Manual",$M661=1),0,IF(OFFSET(CRONOPLE!$F$14,$M661,BJ$13)="",10^12,OFFSET(CRONOPLE!$F$14,$M661,BJ$13))))</f>
        <v>1000000000000</v>
      </c>
      <c r="BK661" s="215">
        <f ca="1">IF($D661&lt;&gt;"Serviço",0,IF(AND(AUTOEVENTO="Manual",$M661=1),0,IF(OFFSET(CRONOPLE!$F$14,$M661,BK$13)="",10^12,OFFSET(CRONOPLE!$F$14,$M661,BK$13))))</f>
        <v>1000000000000</v>
      </c>
      <c r="BL661" s="215">
        <f ca="1">IF($D661&lt;&gt;"Serviço",0,IF(AND(AUTOEVENTO="Manual",$M661=1),0,IF(OFFSET(CRONOPLE!$F$14,$M661,BL$13)="",10^12,OFFSET(CRONOPLE!$F$14,$M661,BL$13))))</f>
        <v>1000000000000</v>
      </c>
      <c r="BM661" s="215">
        <f ca="1">IF($D661&lt;&gt;"Serviço",0,IF(AND(AUTOEVENTO="Manual",$M661=1),0,IF(OFFSET(CRONOPLE!$F$14,$M661,BM$13)="",10^12,OFFSET(CRONOPLE!$F$14,$M661,BM$13))))</f>
        <v>1000000000000</v>
      </c>
      <c r="BN661" s="215">
        <f ca="1">IF($D661&lt;&gt;"Serviço",0,IF(AND(AUTOEVENTO="Manual",$M661=1),0,IF(OFFSET(CRONOPLE!$F$14,$M661,BN$13)="",10^12,OFFSET(CRONOPLE!$F$14,$M661,BN$13))))</f>
        <v>1000000000000</v>
      </c>
      <c r="BO661" s="215">
        <f ca="1">IF($D661&lt;&gt;"Serviço",0,IF(AND(AUTOEVENTO="Manual",$M661=1),0,IF(OFFSET(CRONOPLE!$F$14,$M661,BO$13)="",10^12,OFFSET(CRONOPLE!$F$14,$M661,BO$13))))</f>
        <v>1000000000000</v>
      </c>
      <c r="BP661" s="215">
        <f ca="1">IF($D661&lt;&gt;"Serviço",0,IF(AND(AUTOEVENTO="Manual",$M661=1),0,IF(OFFSET(CRONOPLE!$F$14,$M661,BP$13)="",10^12,OFFSET(CRONOPLE!$F$14,$M661,BP$13))))</f>
        <v>1000000000000</v>
      </c>
      <c r="BQ661" s="215">
        <f ca="1">IF($D661&lt;&gt;"Serviço",0,IF(AND(AUTOEVENTO="Manual",$M661=1),0,IF(OFFSET(CRONOPLE!$F$14,$M661,BQ$13)="",10^12,OFFSET(CRONOPLE!$F$14,$M661,BQ$13))))</f>
        <v>1000000000000</v>
      </c>
      <c r="BR661" s="215">
        <f ca="1">IF($D661&lt;&gt;"Serviço",0,IF(AND(AUTOEVENTO="Manual",$M661=1),0,IF(OFFSET(CRONOPLE!$F$14,$M661,BR$13)="",10^12,OFFSET(CRONOPLE!$F$14,$M661,BR$13))))</f>
        <v>1000000000000</v>
      </c>
      <c r="BS661" s="215">
        <f ca="1">IF($D661&lt;&gt;"Serviço",0,IF(AND(AUTOEVENTO="Manual",$M661=1),0,IF(OFFSET(CRONOPLE!$F$14,$M661,BS$13)="",10^12,OFFSET(CRONOPLE!$F$14,$M661,BS$13))))</f>
        <v>1000000000000</v>
      </c>
      <c r="BT661" s="215">
        <f ca="1">IF($D661&lt;&gt;"Serviço",0,IF(AND(AUTOEVENTO="Manual",$M661=1),0,IF(OFFSET(CRONOPLE!$F$14,$M661,BT$13)="",10^12,OFFSET(CRONOPLE!$F$14,$M661,BT$13))))</f>
        <v>1000000000000</v>
      </c>
      <c r="BV661" s="216">
        <f ca="1">IF($D661&lt;&gt;"Serviço",0,IF(OR(AND(AUTOEVENTO="Manual",$M661=1),$M661&gt;(ROW(PLE.lastrow)-ROW(PLE.firstrow))),0,IF(OFFSET(PLE!$G$14,$M661,BV$13)="",10^12,OFFSET(PLE!$G$14,$M661,BV$13))))</f>
        <v>1000000000000</v>
      </c>
      <c r="BW661" s="216">
        <f ca="1">IF($D661&lt;&gt;"Serviço",0,IF(OR(AND(AUTOEVENTO="Manual",$M661=1),$M661&gt;(ROW(PLE.lastrow)-ROW(PLE.firstrow))),0,IF(OFFSET(PLE!$G$14,$M661,BW$13)="",10^12,OFFSET(PLE!$G$14,$M661,BW$13))))</f>
        <v>1000000000000</v>
      </c>
      <c r="BX661" s="216">
        <f ca="1">IF($D661&lt;&gt;"Serviço",0,IF(OR(AND(AUTOEVENTO="Manual",$M661=1),$M661&gt;(ROW(PLE.lastrow)-ROW(PLE.firstrow))),0,IF(OFFSET(PLE!$G$14,$M661,BX$13)="",10^12,OFFSET(PLE!$G$14,$M661,BX$13))))</f>
        <v>1000000000000</v>
      </c>
      <c r="BY661" s="216">
        <f ca="1">IF($D661&lt;&gt;"Serviço",0,IF(OR(AND(AUTOEVENTO="Manual",$M661=1),$M661&gt;(ROW(PLE.lastrow)-ROW(PLE.firstrow))),0,IF(OFFSET(PLE!$G$14,$M661,BY$13)="",10^12,OFFSET(PLE!$G$14,$M661,BY$13))))</f>
        <v>1000000000000</v>
      </c>
      <c r="BZ661" s="216">
        <f ca="1">IF($D661&lt;&gt;"Serviço",0,IF(OR(AND(AUTOEVENTO="Manual",$M661=1),$M661&gt;(ROW(PLE.lastrow)-ROW(PLE.firstrow))),0,IF(OFFSET(PLE!$G$14,$M661,BZ$13)="",10^12,OFFSET(PLE!$G$14,$M661,BZ$13))))</f>
        <v>1000000000000</v>
      </c>
      <c r="CA661" s="216">
        <f ca="1">IF($D661&lt;&gt;"Serviço",0,IF(OR(AND(AUTOEVENTO="Manual",$M661=1),$M661&gt;(ROW(PLE.lastrow)-ROW(PLE.firstrow))),0,IF(OFFSET(PLE!$G$14,$M661,CA$13)="",10^12,OFFSET(PLE!$G$14,$M661,CA$13))))</f>
        <v>1000000000000</v>
      </c>
      <c r="CB661" s="216">
        <f ca="1">IF($D661&lt;&gt;"Serviço",0,IF(OR(AND(AUTOEVENTO="Manual",$M661=1),$M661&gt;(ROW(PLE.lastrow)-ROW(PLE.firstrow))),0,IF(OFFSET(PLE!$G$14,$M661,CB$13)="",10^12,OFFSET(PLE!$G$14,$M661,CB$13))))</f>
        <v>1000000000000</v>
      </c>
      <c r="CC661" s="216">
        <f ca="1">IF($D661&lt;&gt;"Serviço",0,IF(OR(AND(AUTOEVENTO="Manual",$M661=1),$M661&gt;(ROW(PLE.lastrow)-ROW(PLE.firstrow))),0,IF(OFFSET(PLE!$G$14,$M661,CC$13)="",10^12,OFFSET(PLE!$G$14,$M661,CC$13))))</f>
        <v>1000000000000</v>
      </c>
      <c r="CD661" s="216">
        <f ca="1">IF($D661&lt;&gt;"Serviço",0,IF(OR(AND(AUTOEVENTO="Manual",$M661=1),$M661&gt;(ROW(PLE.lastrow)-ROW(PLE.firstrow))),0,IF(OFFSET(PLE!$G$14,$M661,CD$13)="",10^12,OFFSET(PLE!$G$14,$M661,CD$13))))</f>
        <v>1000000000000</v>
      </c>
      <c r="CE661" s="216">
        <f ca="1">IF($D661&lt;&gt;"Serviço",0,IF(OR(AND(AUTOEVENTO="Manual",$M661=1),$M661&gt;(ROW(PLE.lastrow)-ROW(PLE.firstrow))),0,IF(OFFSET(PLE!$G$14,$M661,CE$13)="",10^12,OFFSET(PLE!$G$14,$M661,CE$13))))</f>
        <v>1000000000000</v>
      </c>
      <c r="CF661" s="216">
        <f ca="1">IF($D661&lt;&gt;"Serviço",0,IF(OR(AND(AUTOEVENTO="Manual",$M661=1),$M661&gt;(ROW(PLE.lastrow)-ROW(PLE.firstrow))),0,IF(OFFSET(PLE!$G$14,$M661,CF$13)="",10^12,OFFSET(PLE!$G$14,$M661,CF$13))))</f>
        <v>1000000000000</v>
      </c>
      <c r="CG661" s="216">
        <f ca="1">IF($D661&lt;&gt;"Serviço",0,IF(OR(AND(AUTOEVENTO="Manual",$M661=1),$M661&gt;(ROW(PLE.lastrow)-ROW(PLE.firstrow))),0,IF(OFFSET(PLE!$G$14,$M661,CG$13)="",10^12,OFFSET(PLE!$G$14,$M661,CG$13))))</f>
        <v>1000000000000</v>
      </c>
      <c r="CH661" s="216">
        <f ca="1">IF($D661&lt;&gt;"Serviço",0,IF(OR(AND(AUTOEVENTO="Manual",$M661=1),$M661&gt;(ROW(PLE.lastrow)-ROW(PLE.firstrow))),0,IF(OFFSET(PLE!$G$14,$M661,CH$13)="",10^12,OFFSET(PLE!$G$14,$M661,CH$13))))</f>
        <v>1000000000000</v>
      </c>
      <c r="CI661" s="216">
        <f ca="1">IF($D661&lt;&gt;"Serviço",0,IF(OR(AND(AUTOEVENTO="Manual",$M661=1),$M661&gt;(ROW(PLE.lastrow)-ROW(PLE.firstrow))),0,IF(OFFSET(PLE!$G$14,$M661,CI$13)="",10^12,OFFSET(PLE!$G$14,$M661,CI$13))))</f>
        <v>1000000000000</v>
      </c>
      <c r="CJ661" s="216">
        <f ca="1">IF($D661&lt;&gt;"Serviço",0,IF(OR(AND(AUTOEVENTO="Manual",$M661=1),$M661&gt;(ROW(PLE.lastrow)-ROW(PLE.firstrow))),0,IF(OFFSET(PLE!$G$14,$M661,CJ$13)="",10^12,OFFSET(PLE!$G$14,$M661,CJ$13))))</f>
        <v>1000000000000</v>
      </c>
      <c r="CK661" s="216">
        <f ca="1">IF($D661&lt;&gt;"Serviço",0,IF(OR(AND(AUTOEVENTO="Manual",$M661=1),$M661&gt;(ROW(PLE.lastrow)-ROW(PLE.firstrow))),0,IF(OFFSET(PLE!$G$14,$M661,CK$13)="",10^12,OFFSET(PLE!$G$14,$M661,CK$13))))</f>
        <v>1000000000000</v>
      </c>
      <c r="CL661" s="216">
        <f ca="1">IF($D661&lt;&gt;"Serviço",0,IF(OR(AND(AUTOEVENTO="Manual",$M661=1),$M661&gt;(ROW(PLE.lastrow)-ROW(PLE.firstrow))),0,IF(OFFSET(PLE!$G$14,$M661,CL$13)="",10^12,OFFSET(PLE!$G$14,$M661,CL$13))))</f>
        <v>1000000000000</v>
      </c>
      <c r="CM661" s="216">
        <f ca="1">IF($D661&lt;&gt;"Serviço",0,IF(OR(AND(AUTOEVENTO="Manual",$M661=1),$M661&gt;(ROW(PLE.lastrow)-ROW(PLE.firstrow))),0,IF(OFFSET(PLE!$G$14,$M661,CM$13)="",10^12,OFFSET(PLE!$G$14,$M661,CM$13))))</f>
        <v>1000000000000</v>
      </c>
    </row>
    <row r="662" spans="1:91" ht="13.2" x14ac:dyDescent="0.25">
      <c r="A662" s="9">
        <f t="shared" ca="1" si="20"/>
        <v>0</v>
      </c>
      <c r="B662" s="9" t="str">
        <f ca="1">OFFSET(ORÇAMENTO!C$15,ROW(B662)-ROW(B$15),0)</f>
        <v>S</v>
      </c>
      <c r="C662" s="9" t="str">
        <f ca="1">OFFSET(ORÇAMENTO!L$15,ROW(C662)-ROW(C$15),0)</f>
        <v/>
      </c>
      <c r="D662" s="145" t="str">
        <f ca="1">OFFSET(ORÇAMENTO!N$15,ROW(D662)-ROW(D$15),0)</f>
        <v>Serviço</v>
      </c>
      <c r="E662" s="205" t="str">
        <f ca="1">OFFSET(ORÇAMENTO!O$15,ROW(E662)-ROW(E$15),0)</f>
        <v>-</v>
      </c>
      <c r="F662" s="206" t="str">
        <f ca="1">OFFSET(ORÇAMENTO!R$15,ROW(F662)-ROW(F$15),0)</f>
        <v>(abra o arquivo 'Referência 05-2024.xls)</v>
      </c>
      <c r="G662" s="207" t="str">
        <f ca="1">IF($D662&lt;&gt;"Serviço","",OFFSET(ORÇAMENTO!S$15,ROW(G662)-ROW(G$15),0))</f>
        <v>-</v>
      </c>
      <c r="H662" s="151">
        <f ca="1">IF($D662&lt;&gt;"Serviço",0,IF(ACOMPANHAMENTO="BM",ROUND(OFFSET(ORÇAMENTO!AJ$15,ROW(H662)-ROW(H$15),0),15-13*ORÇAMENTO!$AF$7),SUMPRODUCT(($Q$12:$AI$12&lt;&gt;"")*ROUND($Q662:$AI662,15-13*ORÇAMENTO!$AF$7))))</f>
        <v>32.4</v>
      </c>
      <c r="I662" s="650"/>
      <c r="K662" s="208"/>
      <c r="L662" s="209" t="s">
        <v>257</v>
      </c>
      <c r="M662" s="210">
        <f ca="1">IF($D662&lt;&gt;"Serviço","",IF(AUTOEVENTO="manual",$A662,IF(ISERROR(MATCH($A662,$A$15:OFFSET($A662,-1,0),0)),MAX($M$15:OFFSET(M662,-1,0))+1,INDEX($M$15:OFFSET(M662,-1,0),MATCH($A662,$A$15:OFFSET($A662,-1,0),0)))))</f>
        <v>0</v>
      </c>
      <c r="N662" s="211" t="str">
        <f ca="1">IF($D662&lt;&gt;"Serviço","",IF(AUTOEVENTO="Manual",IF($A662=0,"&lt;-- defina o número do agrupador",OFFSET(EVENTOS!$D$14,$A662,0)),OFFSET($F$15,$A662,0)))</f>
        <v>&lt;-- defina o número do agrupador</v>
      </c>
      <c r="O662" s="212"/>
      <c r="Q662" s="212"/>
      <c r="R662" s="213"/>
      <c r="S662" s="213"/>
      <c r="T662" s="213"/>
      <c r="U662" s="213"/>
      <c r="V662" s="213"/>
      <c r="W662" s="213"/>
      <c r="X662" s="213"/>
      <c r="Y662" s="213"/>
      <c r="Z662" s="214"/>
      <c r="AA662" s="213"/>
      <c r="AB662" s="213"/>
      <c r="AC662" s="213"/>
      <c r="AD662" s="213"/>
      <c r="AE662" s="213"/>
      <c r="AF662" s="213"/>
      <c r="AG662" s="213"/>
      <c r="AH662" s="214"/>
      <c r="AJ662" s="631">
        <f ca="1">IF(AND($D662="Serviço",AJ$12&lt;&gt;0,$H662&gt;0,OR(AUTOEVENTO&lt;&gt;"manual",$M662&lt;&gt;1)),ROUND(OFFSET($P662,0,AJ$13),15-13*ORÇAMENTO!$AF$7)/$H662*OFFSET(ORÇAMENTO!$X$15,ROW(AJ662)-ROW(AJ$15),0),0)</f>
        <v>0</v>
      </c>
      <c r="AK662" s="632">
        <f ca="1">IF(AND($D662="Serviço",AK$12&lt;&gt;0,$H662&gt;0,OR(AUTOEVENTO&lt;&gt;"manual",$M662&lt;&gt;1)),ROUND(OFFSET($P662,0,AK$13),15-13*ORÇAMENTO!$AF$7)/$H662*OFFSET(ORÇAMENTO!$X$15,ROW(AK662)-ROW(AK$15),0),0)</f>
        <v>0</v>
      </c>
      <c r="AL662" s="632">
        <f ca="1">IF(AND($D662="Serviço",AL$12&lt;&gt;0,$H662&gt;0,OR(AUTOEVENTO&lt;&gt;"manual",$M662&lt;&gt;1)),ROUND(OFFSET($P662,0,AL$13),15-13*ORÇAMENTO!$AF$7)/$H662*OFFSET(ORÇAMENTO!$X$15,ROW(AL662)-ROW(AL$15),0),0)</f>
        <v>0</v>
      </c>
      <c r="AM662" s="632">
        <f ca="1">IF(AND($D662="Serviço",AM$12&lt;&gt;0,$H662&gt;0,OR(AUTOEVENTO&lt;&gt;"manual",$M662&lt;&gt;1)),ROUND(OFFSET($P662,0,AM$13),15-13*ORÇAMENTO!$AF$7)/$H662*OFFSET(ORÇAMENTO!$X$15,ROW(AM662)-ROW(AM$15),0),0)</f>
        <v>0</v>
      </c>
      <c r="AN662" s="632">
        <f ca="1">IF(AND($D662="Serviço",AN$12&lt;&gt;0,$H662&gt;0,OR(AUTOEVENTO&lt;&gt;"manual",$M662&lt;&gt;1)),ROUND(OFFSET($P662,0,AN$13),15-13*ORÇAMENTO!$AF$7)/$H662*OFFSET(ORÇAMENTO!$X$15,ROW(AN662)-ROW(AN$15),0),0)</f>
        <v>0</v>
      </c>
      <c r="AO662" s="632">
        <f ca="1">IF(AND($D662="Serviço",AO$12&lt;&gt;0,$H662&gt;0,OR(AUTOEVENTO&lt;&gt;"manual",$M662&lt;&gt;1)),ROUND(OFFSET($P662,0,AO$13),15-13*ORÇAMENTO!$AF$7)/$H662*OFFSET(ORÇAMENTO!$X$15,ROW(AO662)-ROW(AO$15),0),0)</f>
        <v>0</v>
      </c>
      <c r="AP662" s="632">
        <f ca="1">IF(AND($D662="Serviço",AP$12&lt;&gt;0,$H662&gt;0,OR(AUTOEVENTO&lt;&gt;"manual",$M662&lt;&gt;1)),ROUND(OFFSET($P662,0,AP$13),15-13*ORÇAMENTO!$AF$7)/$H662*OFFSET(ORÇAMENTO!$X$15,ROW(AP662)-ROW(AP$15),0),0)</f>
        <v>0</v>
      </c>
      <c r="AQ662" s="632">
        <f ca="1">IF(AND($D662="Serviço",AQ$12&lt;&gt;0,$H662&gt;0,OR(AUTOEVENTO&lt;&gt;"manual",$M662&lt;&gt;1)),ROUND(OFFSET($P662,0,AQ$13),15-13*ORÇAMENTO!$AF$7)/$H662*OFFSET(ORÇAMENTO!$X$15,ROW(AQ662)-ROW(AQ$15),0),0)</f>
        <v>0</v>
      </c>
      <c r="AR662" s="632">
        <f ca="1">IF(AND($D662="Serviço",AR$12&lt;&gt;0,$H662&gt;0,OR(AUTOEVENTO&lt;&gt;"manual",$M662&lt;&gt;1)),ROUND(OFFSET($P662,0,AR$13),15-13*ORÇAMENTO!$AF$7)/$H662*OFFSET(ORÇAMENTO!$X$15,ROW(AR662)-ROW(AR$15),0),0)</f>
        <v>0</v>
      </c>
      <c r="AS662" s="633">
        <f ca="1">IF(AND($D662="Serviço",AS$12&lt;&gt;0,$H662&gt;0,OR(AUTOEVENTO&lt;&gt;"manual",$M662&lt;&gt;1)),ROUND(OFFSET($P662,0,AS$13),15-13*ORÇAMENTO!$AF$7)/$H662*OFFSET(ORÇAMENTO!$X$15,ROW(AS662)-ROW(AS$15),0),0)</f>
        <v>0</v>
      </c>
      <c r="AT662" s="632">
        <f ca="1">IF(AND($D662="Serviço",AT$12&lt;&gt;0,$H662&gt;0,OR(AUTOEVENTO&lt;&gt;"manual",$M662&lt;&gt;1)),ROUND(OFFSET($P662,0,AT$13),15-13*ORÇAMENTO!$AF$7)/$H662*OFFSET(ORÇAMENTO!$X$15,ROW(AT662)-ROW(AT$15),0),0)</f>
        <v>0</v>
      </c>
      <c r="AU662" s="632">
        <f ca="1">IF(AND($D662="Serviço",AU$12&lt;&gt;0,$H662&gt;0,OR(AUTOEVENTO&lt;&gt;"manual",$M662&lt;&gt;1)),ROUND(OFFSET($P662,0,AU$13),15-13*ORÇAMENTO!$AF$7)/$H662*OFFSET(ORÇAMENTO!$X$15,ROW(AU662)-ROW(AU$15),0),0)</f>
        <v>0</v>
      </c>
      <c r="AV662" s="632">
        <f ca="1">IF(AND($D662="Serviço",AV$12&lt;&gt;0,$H662&gt;0,OR(AUTOEVENTO&lt;&gt;"manual",$M662&lt;&gt;1)),ROUND(OFFSET($P662,0,AV$13),15-13*ORÇAMENTO!$AF$7)/$H662*OFFSET(ORÇAMENTO!$X$15,ROW(AV662)-ROW(AV$15),0),0)</f>
        <v>0</v>
      </c>
      <c r="AW662" s="632">
        <f ca="1">IF(AND($D662="Serviço",AW$12&lt;&gt;0,$H662&gt;0,OR(AUTOEVENTO&lt;&gt;"manual",$M662&lt;&gt;1)),ROUND(OFFSET($P662,0,AW$13),15-13*ORÇAMENTO!$AF$7)/$H662*OFFSET(ORÇAMENTO!$X$15,ROW(AW662)-ROW(AW$15),0),0)</f>
        <v>0</v>
      </c>
      <c r="AX662" s="632">
        <f ca="1">IF(AND($D662="Serviço",AX$12&lt;&gt;0,$H662&gt;0,OR(AUTOEVENTO&lt;&gt;"manual",$M662&lt;&gt;1)),ROUND(OFFSET($P662,0,AX$13),15-13*ORÇAMENTO!$AF$7)/$H662*OFFSET(ORÇAMENTO!$X$15,ROW(AX662)-ROW(AX$15),0),0)</f>
        <v>0</v>
      </c>
      <c r="AY662" s="632">
        <f ca="1">IF(AND($D662="Serviço",AY$12&lt;&gt;0,$H662&gt;0,OR(AUTOEVENTO&lt;&gt;"manual",$M662&lt;&gt;1)),ROUND(OFFSET($P662,0,AY$13),15-13*ORÇAMENTO!$AF$7)/$H662*OFFSET(ORÇAMENTO!$X$15,ROW(AY662)-ROW(AY$15),0),0)</f>
        <v>0</v>
      </c>
      <c r="AZ662" s="632">
        <f ca="1">IF(AND($D662="Serviço",AZ$12&lt;&gt;0,$H662&gt;0,OR(AUTOEVENTO&lt;&gt;"manual",$M662&lt;&gt;1)),ROUND(OFFSET($P662,0,AZ$13),15-13*ORÇAMENTO!$AF$7)/$H662*OFFSET(ORÇAMENTO!$X$15,ROW(AZ662)-ROW(AZ$15),0),0)</f>
        <v>0</v>
      </c>
      <c r="BA662" s="633">
        <f ca="1">IF(AND($D662="Serviço",BA$12&lt;&gt;0,$H662&gt;0,OR(AUTOEVENTO&lt;&gt;"manual",$M662&lt;&gt;1)),ROUND(OFFSET($P662,0,BA$13),15-13*ORÇAMENTO!$AF$7)/$H662*OFFSET(ORÇAMENTO!$X$15,ROW(BA662)-ROW(BA$15),0),0)</f>
        <v>0</v>
      </c>
      <c r="BC662" s="215">
        <f ca="1">IF($D662&lt;&gt;"Serviço",0,IF(AND(AUTOEVENTO="Manual",$M662=1),0,IF(OFFSET(CRONOPLE!$F$14,$M662,BC$13)="",10^12,OFFSET(CRONOPLE!$F$14,$M662,BC$13))))</f>
        <v>1000000000000</v>
      </c>
      <c r="BD662" s="215">
        <f ca="1">IF($D662&lt;&gt;"Serviço",0,IF(AND(AUTOEVENTO="Manual",$M662=1),0,IF(OFFSET(CRONOPLE!$F$14,$M662,BD$13)="",10^12,OFFSET(CRONOPLE!$F$14,$M662,BD$13))))</f>
        <v>1000000000000</v>
      </c>
      <c r="BE662" s="215">
        <f ca="1">IF($D662&lt;&gt;"Serviço",0,IF(AND(AUTOEVENTO="Manual",$M662=1),0,IF(OFFSET(CRONOPLE!$F$14,$M662,BE$13)="",10^12,OFFSET(CRONOPLE!$F$14,$M662,BE$13))))</f>
        <v>1000000000000</v>
      </c>
      <c r="BF662" s="215">
        <f ca="1">IF($D662&lt;&gt;"Serviço",0,IF(AND(AUTOEVENTO="Manual",$M662=1),0,IF(OFFSET(CRONOPLE!$F$14,$M662,BF$13)="",10^12,OFFSET(CRONOPLE!$F$14,$M662,BF$13))))</f>
        <v>1000000000000</v>
      </c>
      <c r="BG662" s="215">
        <f ca="1">IF($D662&lt;&gt;"Serviço",0,IF(AND(AUTOEVENTO="Manual",$M662=1),0,IF(OFFSET(CRONOPLE!$F$14,$M662,BG$13)="",10^12,OFFSET(CRONOPLE!$F$14,$M662,BG$13))))</f>
        <v>1000000000000</v>
      </c>
      <c r="BH662" s="215">
        <f ca="1">IF($D662&lt;&gt;"Serviço",0,IF(AND(AUTOEVENTO="Manual",$M662=1),0,IF(OFFSET(CRONOPLE!$F$14,$M662,BH$13)="",10^12,OFFSET(CRONOPLE!$F$14,$M662,BH$13))))</f>
        <v>1000000000000</v>
      </c>
      <c r="BI662" s="215">
        <f ca="1">IF($D662&lt;&gt;"Serviço",0,IF(AND(AUTOEVENTO="Manual",$M662=1),0,IF(OFFSET(CRONOPLE!$F$14,$M662,BI$13)="",10^12,OFFSET(CRONOPLE!$F$14,$M662,BI$13))))</f>
        <v>1000000000000</v>
      </c>
      <c r="BJ662" s="215">
        <f ca="1">IF($D662&lt;&gt;"Serviço",0,IF(AND(AUTOEVENTO="Manual",$M662=1),0,IF(OFFSET(CRONOPLE!$F$14,$M662,BJ$13)="",10^12,OFFSET(CRONOPLE!$F$14,$M662,BJ$13))))</f>
        <v>1000000000000</v>
      </c>
      <c r="BK662" s="215">
        <f ca="1">IF($D662&lt;&gt;"Serviço",0,IF(AND(AUTOEVENTO="Manual",$M662=1),0,IF(OFFSET(CRONOPLE!$F$14,$M662,BK$13)="",10^12,OFFSET(CRONOPLE!$F$14,$M662,BK$13))))</f>
        <v>1000000000000</v>
      </c>
      <c r="BL662" s="215">
        <f ca="1">IF($D662&lt;&gt;"Serviço",0,IF(AND(AUTOEVENTO="Manual",$M662=1),0,IF(OFFSET(CRONOPLE!$F$14,$M662,BL$13)="",10^12,OFFSET(CRONOPLE!$F$14,$M662,BL$13))))</f>
        <v>1000000000000</v>
      </c>
      <c r="BM662" s="215">
        <f ca="1">IF($D662&lt;&gt;"Serviço",0,IF(AND(AUTOEVENTO="Manual",$M662=1),0,IF(OFFSET(CRONOPLE!$F$14,$M662,BM$13)="",10^12,OFFSET(CRONOPLE!$F$14,$M662,BM$13))))</f>
        <v>1000000000000</v>
      </c>
      <c r="BN662" s="215">
        <f ca="1">IF($D662&lt;&gt;"Serviço",0,IF(AND(AUTOEVENTO="Manual",$M662=1),0,IF(OFFSET(CRONOPLE!$F$14,$M662,BN$13)="",10^12,OFFSET(CRONOPLE!$F$14,$M662,BN$13))))</f>
        <v>1000000000000</v>
      </c>
      <c r="BO662" s="215">
        <f ca="1">IF($D662&lt;&gt;"Serviço",0,IF(AND(AUTOEVENTO="Manual",$M662=1),0,IF(OFFSET(CRONOPLE!$F$14,$M662,BO$13)="",10^12,OFFSET(CRONOPLE!$F$14,$M662,BO$13))))</f>
        <v>1000000000000</v>
      </c>
      <c r="BP662" s="215">
        <f ca="1">IF($D662&lt;&gt;"Serviço",0,IF(AND(AUTOEVENTO="Manual",$M662=1),0,IF(OFFSET(CRONOPLE!$F$14,$M662,BP$13)="",10^12,OFFSET(CRONOPLE!$F$14,$M662,BP$13))))</f>
        <v>1000000000000</v>
      </c>
      <c r="BQ662" s="215">
        <f ca="1">IF($D662&lt;&gt;"Serviço",0,IF(AND(AUTOEVENTO="Manual",$M662=1),0,IF(OFFSET(CRONOPLE!$F$14,$M662,BQ$13)="",10^12,OFFSET(CRONOPLE!$F$14,$M662,BQ$13))))</f>
        <v>1000000000000</v>
      </c>
      <c r="BR662" s="215">
        <f ca="1">IF($D662&lt;&gt;"Serviço",0,IF(AND(AUTOEVENTO="Manual",$M662=1),0,IF(OFFSET(CRONOPLE!$F$14,$M662,BR$13)="",10^12,OFFSET(CRONOPLE!$F$14,$M662,BR$13))))</f>
        <v>1000000000000</v>
      </c>
      <c r="BS662" s="215">
        <f ca="1">IF($D662&lt;&gt;"Serviço",0,IF(AND(AUTOEVENTO="Manual",$M662=1),0,IF(OFFSET(CRONOPLE!$F$14,$M662,BS$13)="",10^12,OFFSET(CRONOPLE!$F$14,$M662,BS$13))))</f>
        <v>1000000000000</v>
      </c>
      <c r="BT662" s="215">
        <f ca="1">IF($D662&lt;&gt;"Serviço",0,IF(AND(AUTOEVENTO="Manual",$M662=1),0,IF(OFFSET(CRONOPLE!$F$14,$M662,BT$13)="",10^12,OFFSET(CRONOPLE!$F$14,$M662,BT$13))))</f>
        <v>1000000000000</v>
      </c>
      <c r="BV662" s="216">
        <f ca="1">IF($D662&lt;&gt;"Serviço",0,IF(OR(AND(AUTOEVENTO="Manual",$M662=1),$M662&gt;(ROW(PLE.lastrow)-ROW(PLE.firstrow))),0,IF(OFFSET(PLE!$G$14,$M662,BV$13)="",10^12,OFFSET(PLE!$G$14,$M662,BV$13))))</f>
        <v>1000000000000</v>
      </c>
      <c r="BW662" s="216">
        <f ca="1">IF($D662&lt;&gt;"Serviço",0,IF(OR(AND(AUTOEVENTO="Manual",$M662=1),$M662&gt;(ROW(PLE.lastrow)-ROW(PLE.firstrow))),0,IF(OFFSET(PLE!$G$14,$M662,BW$13)="",10^12,OFFSET(PLE!$G$14,$M662,BW$13))))</f>
        <v>1000000000000</v>
      </c>
      <c r="BX662" s="216">
        <f ca="1">IF($D662&lt;&gt;"Serviço",0,IF(OR(AND(AUTOEVENTO="Manual",$M662=1),$M662&gt;(ROW(PLE.lastrow)-ROW(PLE.firstrow))),0,IF(OFFSET(PLE!$G$14,$M662,BX$13)="",10^12,OFFSET(PLE!$G$14,$M662,BX$13))))</f>
        <v>1000000000000</v>
      </c>
      <c r="BY662" s="216">
        <f ca="1">IF($D662&lt;&gt;"Serviço",0,IF(OR(AND(AUTOEVENTO="Manual",$M662=1),$M662&gt;(ROW(PLE.lastrow)-ROW(PLE.firstrow))),0,IF(OFFSET(PLE!$G$14,$M662,BY$13)="",10^12,OFFSET(PLE!$G$14,$M662,BY$13))))</f>
        <v>1000000000000</v>
      </c>
      <c r="BZ662" s="216">
        <f ca="1">IF($D662&lt;&gt;"Serviço",0,IF(OR(AND(AUTOEVENTO="Manual",$M662=1),$M662&gt;(ROW(PLE.lastrow)-ROW(PLE.firstrow))),0,IF(OFFSET(PLE!$G$14,$M662,BZ$13)="",10^12,OFFSET(PLE!$G$14,$M662,BZ$13))))</f>
        <v>1000000000000</v>
      </c>
      <c r="CA662" s="216">
        <f ca="1">IF($D662&lt;&gt;"Serviço",0,IF(OR(AND(AUTOEVENTO="Manual",$M662=1),$M662&gt;(ROW(PLE.lastrow)-ROW(PLE.firstrow))),0,IF(OFFSET(PLE!$G$14,$M662,CA$13)="",10^12,OFFSET(PLE!$G$14,$M662,CA$13))))</f>
        <v>1000000000000</v>
      </c>
      <c r="CB662" s="216">
        <f ca="1">IF($D662&lt;&gt;"Serviço",0,IF(OR(AND(AUTOEVENTO="Manual",$M662=1),$M662&gt;(ROW(PLE.lastrow)-ROW(PLE.firstrow))),0,IF(OFFSET(PLE!$G$14,$M662,CB$13)="",10^12,OFFSET(PLE!$G$14,$M662,CB$13))))</f>
        <v>1000000000000</v>
      </c>
      <c r="CC662" s="216">
        <f ca="1">IF($D662&lt;&gt;"Serviço",0,IF(OR(AND(AUTOEVENTO="Manual",$M662=1),$M662&gt;(ROW(PLE.lastrow)-ROW(PLE.firstrow))),0,IF(OFFSET(PLE!$G$14,$M662,CC$13)="",10^12,OFFSET(PLE!$G$14,$M662,CC$13))))</f>
        <v>1000000000000</v>
      </c>
      <c r="CD662" s="216">
        <f ca="1">IF($D662&lt;&gt;"Serviço",0,IF(OR(AND(AUTOEVENTO="Manual",$M662=1),$M662&gt;(ROW(PLE.lastrow)-ROW(PLE.firstrow))),0,IF(OFFSET(PLE!$G$14,$M662,CD$13)="",10^12,OFFSET(PLE!$G$14,$M662,CD$13))))</f>
        <v>1000000000000</v>
      </c>
      <c r="CE662" s="216">
        <f ca="1">IF($D662&lt;&gt;"Serviço",0,IF(OR(AND(AUTOEVENTO="Manual",$M662=1),$M662&gt;(ROW(PLE.lastrow)-ROW(PLE.firstrow))),0,IF(OFFSET(PLE!$G$14,$M662,CE$13)="",10^12,OFFSET(PLE!$G$14,$M662,CE$13))))</f>
        <v>1000000000000</v>
      </c>
      <c r="CF662" s="216">
        <f ca="1">IF($D662&lt;&gt;"Serviço",0,IF(OR(AND(AUTOEVENTO="Manual",$M662=1),$M662&gt;(ROW(PLE.lastrow)-ROW(PLE.firstrow))),0,IF(OFFSET(PLE!$G$14,$M662,CF$13)="",10^12,OFFSET(PLE!$G$14,$M662,CF$13))))</f>
        <v>1000000000000</v>
      </c>
      <c r="CG662" s="216">
        <f ca="1">IF($D662&lt;&gt;"Serviço",0,IF(OR(AND(AUTOEVENTO="Manual",$M662=1),$M662&gt;(ROW(PLE.lastrow)-ROW(PLE.firstrow))),0,IF(OFFSET(PLE!$G$14,$M662,CG$13)="",10^12,OFFSET(PLE!$G$14,$M662,CG$13))))</f>
        <v>1000000000000</v>
      </c>
      <c r="CH662" s="216">
        <f ca="1">IF($D662&lt;&gt;"Serviço",0,IF(OR(AND(AUTOEVENTO="Manual",$M662=1),$M662&gt;(ROW(PLE.lastrow)-ROW(PLE.firstrow))),0,IF(OFFSET(PLE!$G$14,$M662,CH$13)="",10^12,OFFSET(PLE!$G$14,$M662,CH$13))))</f>
        <v>1000000000000</v>
      </c>
      <c r="CI662" s="216">
        <f ca="1">IF($D662&lt;&gt;"Serviço",0,IF(OR(AND(AUTOEVENTO="Manual",$M662=1),$M662&gt;(ROW(PLE.lastrow)-ROW(PLE.firstrow))),0,IF(OFFSET(PLE!$G$14,$M662,CI$13)="",10^12,OFFSET(PLE!$G$14,$M662,CI$13))))</f>
        <v>1000000000000</v>
      </c>
      <c r="CJ662" s="216">
        <f ca="1">IF($D662&lt;&gt;"Serviço",0,IF(OR(AND(AUTOEVENTO="Manual",$M662=1),$M662&gt;(ROW(PLE.lastrow)-ROW(PLE.firstrow))),0,IF(OFFSET(PLE!$G$14,$M662,CJ$13)="",10^12,OFFSET(PLE!$G$14,$M662,CJ$13))))</f>
        <v>1000000000000</v>
      </c>
      <c r="CK662" s="216">
        <f ca="1">IF($D662&lt;&gt;"Serviço",0,IF(OR(AND(AUTOEVENTO="Manual",$M662=1),$M662&gt;(ROW(PLE.lastrow)-ROW(PLE.firstrow))),0,IF(OFFSET(PLE!$G$14,$M662,CK$13)="",10^12,OFFSET(PLE!$G$14,$M662,CK$13))))</f>
        <v>1000000000000</v>
      </c>
      <c r="CL662" s="216">
        <f ca="1">IF($D662&lt;&gt;"Serviço",0,IF(OR(AND(AUTOEVENTO="Manual",$M662=1),$M662&gt;(ROW(PLE.lastrow)-ROW(PLE.firstrow))),0,IF(OFFSET(PLE!$G$14,$M662,CL$13)="",10^12,OFFSET(PLE!$G$14,$M662,CL$13))))</f>
        <v>1000000000000</v>
      </c>
      <c r="CM662" s="216">
        <f ca="1">IF($D662&lt;&gt;"Serviço",0,IF(OR(AND(AUTOEVENTO="Manual",$M662=1),$M662&gt;(ROW(PLE.lastrow)-ROW(PLE.firstrow))),0,IF(OFFSET(PLE!$G$14,$M662,CM$13)="",10^12,OFFSET(PLE!$G$14,$M662,CM$13))))</f>
        <v>1000000000000</v>
      </c>
    </row>
    <row r="663" spans="1:91" ht="13.2" x14ac:dyDescent="0.25">
      <c r="A663" s="9">
        <f t="shared" ca="1" si="20"/>
        <v>0</v>
      </c>
      <c r="B663" s="9" t="str">
        <f ca="1">OFFSET(ORÇAMENTO!C$15,ROW(B663)-ROW(B$15),0)</f>
        <v>S</v>
      </c>
      <c r="C663" s="9" t="str">
        <f ca="1">OFFSET(ORÇAMENTO!L$15,ROW(C663)-ROW(C$15),0)</f>
        <v/>
      </c>
      <c r="D663" s="145" t="str">
        <f ca="1">OFFSET(ORÇAMENTO!N$15,ROW(D663)-ROW(D$15),0)</f>
        <v>Serviço</v>
      </c>
      <c r="E663" s="205" t="str">
        <f ca="1">OFFSET(ORÇAMENTO!O$15,ROW(E663)-ROW(E$15),0)</f>
        <v>-</v>
      </c>
      <c r="F663" s="206" t="str">
        <f ca="1">OFFSET(ORÇAMENTO!R$15,ROW(F663)-ROW(F$15),0)</f>
        <v>(abra o arquivo 'Referência 05-2024.xls)</v>
      </c>
      <c r="G663" s="207" t="str">
        <f ca="1">IF($D663&lt;&gt;"Serviço","",OFFSET(ORÇAMENTO!S$15,ROW(G663)-ROW(G$15),0))</f>
        <v>-</v>
      </c>
      <c r="H663" s="151">
        <f ca="1">IF($D663&lt;&gt;"Serviço",0,IF(ACOMPANHAMENTO="BM",ROUND(OFFSET(ORÇAMENTO!AJ$15,ROW(H663)-ROW(H$15),0),15-13*ORÇAMENTO!$AF$7),SUMPRODUCT(($Q$12:$AI$12&lt;&gt;"")*ROUND($Q663:$AI663,15-13*ORÇAMENTO!$AF$7))))</f>
        <v>128.9</v>
      </c>
      <c r="I663" s="650"/>
      <c r="K663" s="208"/>
      <c r="L663" s="209" t="s">
        <v>257</v>
      </c>
      <c r="M663" s="210">
        <f ca="1">IF($D663&lt;&gt;"Serviço","",IF(AUTOEVENTO="manual",$A663,IF(ISERROR(MATCH($A663,$A$15:OFFSET($A663,-1,0),0)),MAX($M$15:OFFSET(M663,-1,0))+1,INDEX($M$15:OFFSET(M663,-1,0),MATCH($A663,$A$15:OFFSET($A663,-1,0),0)))))</f>
        <v>0</v>
      </c>
      <c r="N663" s="211" t="str">
        <f ca="1">IF($D663&lt;&gt;"Serviço","",IF(AUTOEVENTO="Manual",IF($A663=0,"&lt;-- defina o número do agrupador",OFFSET(EVENTOS!$D$14,$A663,0)),OFFSET($F$15,$A663,0)))</f>
        <v>&lt;-- defina o número do agrupador</v>
      </c>
      <c r="O663" s="212"/>
      <c r="Q663" s="212"/>
      <c r="R663" s="213"/>
      <c r="S663" s="213"/>
      <c r="T663" s="213"/>
      <c r="U663" s="213"/>
      <c r="V663" s="213"/>
      <c r="W663" s="213"/>
      <c r="X663" s="213"/>
      <c r="Y663" s="213"/>
      <c r="Z663" s="214"/>
      <c r="AA663" s="213"/>
      <c r="AB663" s="213"/>
      <c r="AC663" s="213"/>
      <c r="AD663" s="213"/>
      <c r="AE663" s="213"/>
      <c r="AF663" s="213"/>
      <c r="AG663" s="213"/>
      <c r="AH663" s="214"/>
      <c r="AJ663" s="631">
        <f ca="1">IF(AND($D663="Serviço",AJ$12&lt;&gt;0,$H663&gt;0,OR(AUTOEVENTO&lt;&gt;"manual",$M663&lt;&gt;1)),ROUND(OFFSET($P663,0,AJ$13),15-13*ORÇAMENTO!$AF$7)/$H663*OFFSET(ORÇAMENTO!$X$15,ROW(AJ663)-ROW(AJ$15),0),0)</f>
        <v>0</v>
      </c>
      <c r="AK663" s="632">
        <f ca="1">IF(AND($D663="Serviço",AK$12&lt;&gt;0,$H663&gt;0,OR(AUTOEVENTO&lt;&gt;"manual",$M663&lt;&gt;1)),ROUND(OFFSET($P663,0,AK$13),15-13*ORÇAMENTO!$AF$7)/$H663*OFFSET(ORÇAMENTO!$X$15,ROW(AK663)-ROW(AK$15),0),0)</f>
        <v>0</v>
      </c>
      <c r="AL663" s="632">
        <f ca="1">IF(AND($D663="Serviço",AL$12&lt;&gt;0,$H663&gt;0,OR(AUTOEVENTO&lt;&gt;"manual",$M663&lt;&gt;1)),ROUND(OFFSET($P663,0,AL$13),15-13*ORÇAMENTO!$AF$7)/$H663*OFFSET(ORÇAMENTO!$X$15,ROW(AL663)-ROW(AL$15),0),0)</f>
        <v>0</v>
      </c>
      <c r="AM663" s="632">
        <f ca="1">IF(AND($D663="Serviço",AM$12&lt;&gt;0,$H663&gt;0,OR(AUTOEVENTO&lt;&gt;"manual",$M663&lt;&gt;1)),ROUND(OFFSET($P663,0,AM$13),15-13*ORÇAMENTO!$AF$7)/$H663*OFFSET(ORÇAMENTO!$X$15,ROW(AM663)-ROW(AM$15),0),0)</f>
        <v>0</v>
      </c>
      <c r="AN663" s="632">
        <f ca="1">IF(AND($D663="Serviço",AN$12&lt;&gt;0,$H663&gt;0,OR(AUTOEVENTO&lt;&gt;"manual",$M663&lt;&gt;1)),ROUND(OFFSET($P663,0,AN$13),15-13*ORÇAMENTO!$AF$7)/$H663*OFFSET(ORÇAMENTO!$X$15,ROW(AN663)-ROW(AN$15),0),0)</f>
        <v>0</v>
      </c>
      <c r="AO663" s="632">
        <f ca="1">IF(AND($D663="Serviço",AO$12&lt;&gt;0,$H663&gt;0,OR(AUTOEVENTO&lt;&gt;"manual",$M663&lt;&gt;1)),ROUND(OFFSET($P663,0,AO$13),15-13*ORÇAMENTO!$AF$7)/$H663*OFFSET(ORÇAMENTO!$X$15,ROW(AO663)-ROW(AO$15),0),0)</f>
        <v>0</v>
      </c>
      <c r="AP663" s="632">
        <f ca="1">IF(AND($D663="Serviço",AP$12&lt;&gt;0,$H663&gt;0,OR(AUTOEVENTO&lt;&gt;"manual",$M663&lt;&gt;1)),ROUND(OFFSET($P663,0,AP$13),15-13*ORÇAMENTO!$AF$7)/$H663*OFFSET(ORÇAMENTO!$X$15,ROW(AP663)-ROW(AP$15),0),0)</f>
        <v>0</v>
      </c>
      <c r="AQ663" s="632">
        <f ca="1">IF(AND($D663="Serviço",AQ$12&lt;&gt;0,$H663&gt;0,OR(AUTOEVENTO&lt;&gt;"manual",$M663&lt;&gt;1)),ROUND(OFFSET($P663,0,AQ$13),15-13*ORÇAMENTO!$AF$7)/$H663*OFFSET(ORÇAMENTO!$X$15,ROW(AQ663)-ROW(AQ$15),0),0)</f>
        <v>0</v>
      </c>
      <c r="AR663" s="632">
        <f ca="1">IF(AND($D663="Serviço",AR$12&lt;&gt;0,$H663&gt;0,OR(AUTOEVENTO&lt;&gt;"manual",$M663&lt;&gt;1)),ROUND(OFFSET($P663,0,AR$13),15-13*ORÇAMENTO!$AF$7)/$H663*OFFSET(ORÇAMENTO!$X$15,ROW(AR663)-ROW(AR$15),0),0)</f>
        <v>0</v>
      </c>
      <c r="AS663" s="633">
        <f ca="1">IF(AND($D663="Serviço",AS$12&lt;&gt;0,$H663&gt;0,OR(AUTOEVENTO&lt;&gt;"manual",$M663&lt;&gt;1)),ROUND(OFFSET($P663,0,AS$13),15-13*ORÇAMENTO!$AF$7)/$H663*OFFSET(ORÇAMENTO!$X$15,ROW(AS663)-ROW(AS$15),0),0)</f>
        <v>0</v>
      </c>
      <c r="AT663" s="632">
        <f ca="1">IF(AND($D663="Serviço",AT$12&lt;&gt;0,$H663&gt;0,OR(AUTOEVENTO&lt;&gt;"manual",$M663&lt;&gt;1)),ROUND(OFFSET($P663,0,AT$13),15-13*ORÇAMENTO!$AF$7)/$H663*OFFSET(ORÇAMENTO!$X$15,ROW(AT663)-ROW(AT$15),0),0)</f>
        <v>0</v>
      </c>
      <c r="AU663" s="632">
        <f ca="1">IF(AND($D663="Serviço",AU$12&lt;&gt;0,$H663&gt;0,OR(AUTOEVENTO&lt;&gt;"manual",$M663&lt;&gt;1)),ROUND(OFFSET($P663,0,AU$13),15-13*ORÇAMENTO!$AF$7)/$H663*OFFSET(ORÇAMENTO!$X$15,ROW(AU663)-ROW(AU$15),0),0)</f>
        <v>0</v>
      </c>
      <c r="AV663" s="632">
        <f ca="1">IF(AND($D663="Serviço",AV$12&lt;&gt;0,$H663&gt;0,OR(AUTOEVENTO&lt;&gt;"manual",$M663&lt;&gt;1)),ROUND(OFFSET($P663,0,AV$13),15-13*ORÇAMENTO!$AF$7)/$H663*OFFSET(ORÇAMENTO!$X$15,ROW(AV663)-ROW(AV$15),0),0)</f>
        <v>0</v>
      </c>
      <c r="AW663" s="632">
        <f ca="1">IF(AND($D663="Serviço",AW$12&lt;&gt;0,$H663&gt;0,OR(AUTOEVENTO&lt;&gt;"manual",$M663&lt;&gt;1)),ROUND(OFFSET($P663,0,AW$13),15-13*ORÇAMENTO!$AF$7)/$H663*OFFSET(ORÇAMENTO!$X$15,ROW(AW663)-ROW(AW$15),0),0)</f>
        <v>0</v>
      </c>
      <c r="AX663" s="632">
        <f ca="1">IF(AND($D663="Serviço",AX$12&lt;&gt;0,$H663&gt;0,OR(AUTOEVENTO&lt;&gt;"manual",$M663&lt;&gt;1)),ROUND(OFFSET($P663,0,AX$13),15-13*ORÇAMENTO!$AF$7)/$H663*OFFSET(ORÇAMENTO!$X$15,ROW(AX663)-ROW(AX$15),0),0)</f>
        <v>0</v>
      </c>
      <c r="AY663" s="632">
        <f ca="1">IF(AND($D663="Serviço",AY$12&lt;&gt;0,$H663&gt;0,OR(AUTOEVENTO&lt;&gt;"manual",$M663&lt;&gt;1)),ROUND(OFFSET($P663,0,AY$13),15-13*ORÇAMENTO!$AF$7)/$H663*OFFSET(ORÇAMENTO!$X$15,ROW(AY663)-ROW(AY$15),0),0)</f>
        <v>0</v>
      </c>
      <c r="AZ663" s="632">
        <f ca="1">IF(AND($D663="Serviço",AZ$12&lt;&gt;0,$H663&gt;0,OR(AUTOEVENTO&lt;&gt;"manual",$M663&lt;&gt;1)),ROUND(OFFSET($P663,0,AZ$13),15-13*ORÇAMENTO!$AF$7)/$H663*OFFSET(ORÇAMENTO!$X$15,ROW(AZ663)-ROW(AZ$15),0),0)</f>
        <v>0</v>
      </c>
      <c r="BA663" s="633">
        <f ca="1">IF(AND($D663="Serviço",BA$12&lt;&gt;0,$H663&gt;0,OR(AUTOEVENTO&lt;&gt;"manual",$M663&lt;&gt;1)),ROUND(OFFSET($P663,0,BA$13),15-13*ORÇAMENTO!$AF$7)/$H663*OFFSET(ORÇAMENTO!$X$15,ROW(BA663)-ROW(BA$15),0),0)</f>
        <v>0</v>
      </c>
      <c r="BC663" s="215">
        <f ca="1">IF($D663&lt;&gt;"Serviço",0,IF(AND(AUTOEVENTO="Manual",$M663=1),0,IF(OFFSET(CRONOPLE!$F$14,$M663,BC$13)="",10^12,OFFSET(CRONOPLE!$F$14,$M663,BC$13))))</f>
        <v>1000000000000</v>
      </c>
      <c r="BD663" s="215">
        <f ca="1">IF($D663&lt;&gt;"Serviço",0,IF(AND(AUTOEVENTO="Manual",$M663=1),0,IF(OFFSET(CRONOPLE!$F$14,$M663,BD$13)="",10^12,OFFSET(CRONOPLE!$F$14,$M663,BD$13))))</f>
        <v>1000000000000</v>
      </c>
      <c r="BE663" s="215">
        <f ca="1">IF($D663&lt;&gt;"Serviço",0,IF(AND(AUTOEVENTO="Manual",$M663=1),0,IF(OFFSET(CRONOPLE!$F$14,$M663,BE$13)="",10^12,OFFSET(CRONOPLE!$F$14,$M663,BE$13))))</f>
        <v>1000000000000</v>
      </c>
      <c r="BF663" s="215">
        <f ca="1">IF($D663&lt;&gt;"Serviço",0,IF(AND(AUTOEVENTO="Manual",$M663=1),0,IF(OFFSET(CRONOPLE!$F$14,$M663,BF$13)="",10^12,OFFSET(CRONOPLE!$F$14,$M663,BF$13))))</f>
        <v>1000000000000</v>
      </c>
      <c r="BG663" s="215">
        <f ca="1">IF($D663&lt;&gt;"Serviço",0,IF(AND(AUTOEVENTO="Manual",$M663=1),0,IF(OFFSET(CRONOPLE!$F$14,$M663,BG$13)="",10^12,OFFSET(CRONOPLE!$F$14,$M663,BG$13))))</f>
        <v>1000000000000</v>
      </c>
      <c r="BH663" s="215">
        <f ca="1">IF($D663&lt;&gt;"Serviço",0,IF(AND(AUTOEVENTO="Manual",$M663=1),0,IF(OFFSET(CRONOPLE!$F$14,$M663,BH$13)="",10^12,OFFSET(CRONOPLE!$F$14,$M663,BH$13))))</f>
        <v>1000000000000</v>
      </c>
      <c r="BI663" s="215">
        <f ca="1">IF($D663&lt;&gt;"Serviço",0,IF(AND(AUTOEVENTO="Manual",$M663=1),0,IF(OFFSET(CRONOPLE!$F$14,$M663,BI$13)="",10^12,OFFSET(CRONOPLE!$F$14,$M663,BI$13))))</f>
        <v>1000000000000</v>
      </c>
      <c r="BJ663" s="215">
        <f ca="1">IF($D663&lt;&gt;"Serviço",0,IF(AND(AUTOEVENTO="Manual",$M663=1),0,IF(OFFSET(CRONOPLE!$F$14,$M663,BJ$13)="",10^12,OFFSET(CRONOPLE!$F$14,$M663,BJ$13))))</f>
        <v>1000000000000</v>
      </c>
      <c r="BK663" s="215">
        <f ca="1">IF($D663&lt;&gt;"Serviço",0,IF(AND(AUTOEVENTO="Manual",$M663=1),0,IF(OFFSET(CRONOPLE!$F$14,$M663,BK$13)="",10^12,OFFSET(CRONOPLE!$F$14,$M663,BK$13))))</f>
        <v>1000000000000</v>
      </c>
      <c r="BL663" s="215">
        <f ca="1">IF($D663&lt;&gt;"Serviço",0,IF(AND(AUTOEVENTO="Manual",$M663=1),0,IF(OFFSET(CRONOPLE!$F$14,$M663,BL$13)="",10^12,OFFSET(CRONOPLE!$F$14,$M663,BL$13))))</f>
        <v>1000000000000</v>
      </c>
      <c r="BM663" s="215">
        <f ca="1">IF($D663&lt;&gt;"Serviço",0,IF(AND(AUTOEVENTO="Manual",$M663=1),0,IF(OFFSET(CRONOPLE!$F$14,$M663,BM$13)="",10^12,OFFSET(CRONOPLE!$F$14,$M663,BM$13))))</f>
        <v>1000000000000</v>
      </c>
      <c r="BN663" s="215">
        <f ca="1">IF($D663&lt;&gt;"Serviço",0,IF(AND(AUTOEVENTO="Manual",$M663=1),0,IF(OFFSET(CRONOPLE!$F$14,$M663,BN$13)="",10^12,OFFSET(CRONOPLE!$F$14,$M663,BN$13))))</f>
        <v>1000000000000</v>
      </c>
      <c r="BO663" s="215">
        <f ca="1">IF($D663&lt;&gt;"Serviço",0,IF(AND(AUTOEVENTO="Manual",$M663=1),0,IF(OFFSET(CRONOPLE!$F$14,$M663,BO$13)="",10^12,OFFSET(CRONOPLE!$F$14,$M663,BO$13))))</f>
        <v>1000000000000</v>
      </c>
      <c r="BP663" s="215">
        <f ca="1">IF($D663&lt;&gt;"Serviço",0,IF(AND(AUTOEVENTO="Manual",$M663=1),0,IF(OFFSET(CRONOPLE!$F$14,$M663,BP$13)="",10^12,OFFSET(CRONOPLE!$F$14,$M663,BP$13))))</f>
        <v>1000000000000</v>
      </c>
      <c r="BQ663" s="215">
        <f ca="1">IF($D663&lt;&gt;"Serviço",0,IF(AND(AUTOEVENTO="Manual",$M663=1),0,IF(OFFSET(CRONOPLE!$F$14,$M663,BQ$13)="",10^12,OFFSET(CRONOPLE!$F$14,$M663,BQ$13))))</f>
        <v>1000000000000</v>
      </c>
      <c r="BR663" s="215">
        <f ca="1">IF($D663&lt;&gt;"Serviço",0,IF(AND(AUTOEVENTO="Manual",$M663=1),0,IF(OFFSET(CRONOPLE!$F$14,$M663,BR$13)="",10^12,OFFSET(CRONOPLE!$F$14,$M663,BR$13))))</f>
        <v>1000000000000</v>
      </c>
      <c r="BS663" s="215">
        <f ca="1">IF($D663&lt;&gt;"Serviço",0,IF(AND(AUTOEVENTO="Manual",$M663=1),0,IF(OFFSET(CRONOPLE!$F$14,$M663,BS$13)="",10^12,OFFSET(CRONOPLE!$F$14,$M663,BS$13))))</f>
        <v>1000000000000</v>
      </c>
      <c r="BT663" s="215">
        <f ca="1">IF($D663&lt;&gt;"Serviço",0,IF(AND(AUTOEVENTO="Manual",$M663=1),0,IF(OFFSET(CRONOPLE!$F$14,$M663,BT$13)="",10^12,OFFSET(CRONOPLE!$F$14,$M663,BT$13))))</f>
        <v>1000000000000</v>
      </c>
      <c r="BV663" s="216">
        <f ca="1">IF($D663&lt;&gt;"Serviço",0,IF(OR(AND(AUTOEVENTO="Manual",$M663=1),$M663&gt;(ROW(PLE.lastrow)-ROW(PLE.firstrow))),0,IF(OFFSET(PLE!$G$14,$M663,BV$13)="",10^12,OFFSET(PLE!$G$14,$M663,BV$13))))</f>
        <v>1000000000000</v>
      </c>
      <c r="BW663" s="216">
        <f ca="1">IF($D663&lt;&gt;"Serviço",0,IF(OR(AND(AUTOEVENTO="Manual",$M663=1),$M663&gt;(ROW(PLE.lastrow)-ROW(PLE.firstrow))),0,IF(OFFSET(PLE!$G$14,$M663,BW$13)="",10^12,OFFSET(PLE!$G$14,$M663,BW$13))))</f>
        <v>1000000000000</v>
      </c>
      <c r="BX663" s="216">
        <f ca="1">IF($D663&lt;&gt;"Serviço",0,IF(OR(AND(AUTOEVENTO="Manual",$M663=1),$M663&gt;(ROW(PLE.lastrow)-ROW(PLE.firstrow))),0,IF(OFFSET(PLE!$G$14,$M663,BX$13)="",10^12,OFFSET(PLE!$G$14,$M663,BX$13))))</f>
        <v>1000000000000</v>
      </c>
      <c r="BY663" s="216">
        <f ca="1">IF($D663&lt;&gt;"Serviço",0,IF(OR(AND(AUTOEVENTO="Manual",$M663=1),$M663&gt;(ROW(PLE.lastrow)-ROW(PLE.firstrow))),0,IF(OFFSET(PLE!$G$14,$M663,BY$13)="",10^12,OFFSET(PLE!$G$14,$M663,BY$13))))</f>
        <v>1000000000000</v>
      </c>
      <c r="BZ663" s="216">
        <f ca="1">IF($D663&lt;&gt;"Serviço",0,IF(OR(AND(AUTOEVENTO="Manual",$M663=1),$M663&gt;(ROW(PLE.lastrow)-ROW(PLE.firstrow))),0,IF(OFFSET(PLE!$G$14,$M663,BZ$13)="",10^12,OFFSET(PLE!$G$14,$M663,BZ$13))))</f>
        <v>1000000000000</v>
      </c>
      <c r="CA663" s="216">
        <f ca="1">IF($D663&lt;&gt;"Serviço",0,IF(OR(AND(AUTOEVENTO="Manual",$M663=1),$M663&gt;(ROW(PLE.lastrow)-ROW(PLE.firstrow))),0,IF(OFFSET(PLE!$G$14,$M663,CA$13)="",10^12,OFFSET(PLE!$G$14,$M663,CA$13))))</f>
        <v>1000000000000</v>
      </c>
      <c r="CB663" s="216">
        <f ca="1">IF($D663&lt;&gt;"Serviço",0,IF(OR(AND(AUTOEVENTO="Manual",$M663=1),$M663&gt;(ROW(PLE.lastrow)-ROW(PLE.firstrow))),0,IF(OFFSET(PLE!$G$14,$M663,CB$13)="",10^12,OFFSET(PLE!$G$14,$M663,CB$13))))</f>
        <v>1000000000000</v>
      </c>
      <c r="CC663" s="216">
        <f ca="1">IF($D663&lt;&gt;"Serviço",0,IF(OR(AND(AUTOEVENTO="Manual",$M663=1),$M663&gt;(ROW(PLE.lastrow)-ROW(PLE.firstrow))),0,IF(OFFSET(PLE!$G$14,$M663,CC$13)="",10^12,OFFSET(PLE!$G$14,$M663,CC$13))))</f>
        <v>1000000000000</v>
      </c>
      <c r="CD663" s="216">
        <f ca="1">IF($D663&lt;&gt;"Serviço",0,IF(OR(AND(AUTOEVENTO="Manual",$M663=1),$M663&gt;(ROW(PLE.lastrow)-ROW(PLE.firstrow))),0,IF(OFFSET(PLE!$G$14,$M663,CD$13)="",10^12,OFFSET(PLE!$G$14,$M663,CD$13))))</f>
        <v>1000000000000</v>
      </c>
      <c r="CE663" s="216">
        <f ca="1">IF($D663&lt;&gt;"Serviço",0,IF(OR(AND(AUTOEVENTO="Manual",$M663=1),$M663&gt;(ROW(PLE.lastrow)-ROW(PLE.firstrow))),0,IF(OFFSET(PLE!$G$14,$M663,CE$13)="",10^12,OFFSET(PLE!$G$14,$M663,CE$13))))</f>
        <v>1000000000000</v>
      </c>
      <c r="CF663" s="216">
        <f ca="1">IF($D663&lt;&gt;"Serviço",0,IF(OR(AND(AUTOEVENTO="Manual",$M663=1),$M663&gt;(ROW(PLE.lastrow)-ROW(PLE.firstrow))),0,IF(OFFSET(PLE!$G$14,$M663,CF$13)="",10^12,OFFSET(PLE!$G$14,$M663,CF$13))))</f>
        <v>1000000000000</v>
      </c>
      <c r="CG663" s="216">
        <f ca="1">IF($D663&lt;&gt;"Serviço",0,IF(OR(AND(AUTOEVENTO="Manual",$M663=1),$M663&gt;(ROW(PLE.lastrow)-ROW(PLE.firstrow))),0,IF(OFFSET(PLE!$G$14,$M663,CG$13)="",10^12,OFFSET(PLE!$G$14,$M663,CG$13))))</f>
        <v>1000000000000</v>
      </c>
      <c r="CH663" s="216">
        <f ca="1">IF($D663&lt;&gt;"Serviço",0,IF(OR(AND(AUTOEVENTO="Manual",$M663=1),$M663&gt;(ROW(PLE.lastrow)-ROW(PLE.firstrow))),0,IF(OFFSET(PLE!$G$14,$M663,CH$13)="",10^12,OFFSET(PLE!$G$14,$M663,CH$13))))</f>
        <v>1000000000000</v>
      </c>
      <c r="CI663" s="216">
        <f ca="1">IF($D663&lt;&gt;"Serviço",0,IF(OR(AND(AUTOEVENTO="Manual",$M663=1),$M663&gt;(ROW(PLE.lastrow)-ROW(PLE.firstrow))),0,IF(OFFSET(PLE!$G$14,$M663,CI$13)="",10^12,OFFSET(PLE!$G$14,$M663,CI$13))))</f>
        <v>1000000000000</v>
      </c>
      <c r="CJ663" s="216">
        <f ca="1">IF($D663&lt;&gt;"Serviço",0,IF(OR(AND(AUTOEVENTO="Manual",$M663=1),$M663&gt;(ROW(PLE.lastrow)-ROW(PLE.firstrow))),0,IF(OFFSET(PLE!$G$14,$M663,CJ$13)="",10^12,OFFSET(PLE!$G$14,$M663,CJ$13))))</f>
        <v>1000000000000</v>
      </c>
      <c r="CK663" s="216">
        <f ca="1">IF($D663&lt;&gt;"Serviço",0,IF(OR(AND(AUTOEVENTO="Manual",$M663=1),$M663&gt;(ROW(PLE.lastrow)-ROW(PLE.firstrow))),0,IF(OFFSET(PLE!$G$14,$M663,CK$13)="",10^12,OFFSET(PLE!$G$14,$M663,CK$13))))</f>
        <v>1000000000000</v>
      </c>
      <c r="CL663" s="216">
        <f ca="1">IF($D663&lt;&gt;"Serviço",0,IF(OR(AND(AUTOEVENTO="Manual",$M663=1),$M663&gt;(ROW(PLE.lastrow)-ROW(PLE.firstrow))),0,IF(OFFSET(PLE!$G$14,$M663,CL$13)="",10^12,OFFSET(PLE!$G$14,$M663,CL$13))))</f>
        <v>1000000000000</v>
      </c>
      <c r="CM663" s="216">
        <f ca="1">IF($D663&lt;&gt;"Serviço",0,IF(OR(AND(AUTOEVENTO="Manual",$M663=1),$M663&gt;(ROW(PLE.lastrow)-ROW(PLE.firstrow))),0,IF(OFFSET(PLE!$G$14,$M663,CM$13)="",10^12,OFFSET(PLE!$G$14,$M663,CM$13))))</f>
        <v>1000000000000</v>
      </c>
    </row>
    <row r="664" spans="1:91" ht="13.2" x14ac:dyDescent="0.25">
      <c r="A664" s="9">
        <f t="shared" ca="1" si="20"/>
        <v>0</v>
      </c>
      <c r="B664" s="9" t="str">
        <f ca="1">OFFSET(ORÇAMENTO!C$15,ROW(B664)-ROW(B$15),0)</f>
        <v>S</v>
      </c>
      <c r="C664" s="9" t="str">
        <f ca="1">OFFSET(ORÇAMENTO!L$15,ROW(C664)-ROW(C$15),0)</f>
        <v/>
      </c>
      <c r="D664" s="145" t="str">
        <f ca="1">OFFSET(ORÇAMENTO!N$15,ROW(D664)-ROW(D$15),0)</f>
        <v>Serviço</v>
      </c>
      <c r="E664" s="205" t="str">
        <f ca="1">OFFSET(ORÇAMENTO!O$15,ROW(E664)-ROW(E$15),0)</f>
        <v>-</v>
      </c>
      <c r="F664" s="206" t="str">
        <f ca="1">OFFSET(ORÇAMENTO!R$15,ROW(F664)-ROW(F$15),0)</f>
        <v>(abra o arquivo 'Referência 05-2024.xls)</v>
      </c>
      <c r="G664" s="207" t="str">
        <f ca="1">IF($D664&lt;&gt;"Serviço","",OFFSET(ORÇAMENTO!S$15,ROW(G664)-ROW(G$15),0))</f>
        <v>-</v>
      </c>
      <c r="H664" s="151">
        <f ca="1">IF($D664&lt;&gt;"Serviço",0,IF(ACOMPANHAMENTO="BM",ROUND(OFFSET(ORÇAMENTO!AJ$15,ROW(H664)-ROW(H$15),0),15-13*ORÇAMENTO!$AF$7),SUMPRODUCT(($Q$12:$AI$12&lt;&gt;"")*ROUND($Q664:$AI664,15-13*ORÇAMENTO!$AF$7))))</f>
        <v>33.1</v>
      </c>
      <c r="I664" s="650"/>
      <c r="K664" s="208"/>
      <c r="L664" s="209" t="s">
        <v>257</v>
      </c>
      <c r="M664" s="210">
        <f ca="1">IF($D664&lt;&gt;"Serviço","",IF(AUTOEVENTO="manual",$A664,IF(ISERROR(MATCH($A664,$A$15:OFFSET($A664,-1,0),0)),MAX($M$15:OFFSET(M664,-1,0))+1,INDEX($M$15:OFFSET(M664,-1,0),MATCH($A664,$A$15:OFFSET($A664,-1,0),0)))))</f>
        <v>0</v>
      </c>
      <c r="N664" s="211" t="str">
        <f ca="1">IF($D664&lt;&gt;"Serviço","",IF(AUTOEVENTO="Manual",IF($A664=0,"&lt;-- defina o número do agrupador",OFFSET(EVENTOS!$D$14,$A664,0)),OFFSET($F$15,$A664,0)))</f>
        <v>&lt;-- defina o número do agrupador</v>
      </c>
      <c r="O664" s="212"/>
      <c r="Q664" s="212"/>
      <c r="R664" s="213"/>
      <c r="S664" s="213"/>
      <c r="T664" s="213"/>
      <c r="U664" s="213"/>
      <c r="V664" s="213"/>
      <c r="W664" s="213"/>
      <c r="X664" s="213"/>
      <c r="Y664" s="213"/>
      <c r="Z664" s="214"/>
      <c r="AA664" s="213"/>
      <c r="AB664" s="213"/>
      <c r="AC664" s="213"/>
      <c r="AD664" s="213"/>
      <c r="AE664" s="213"/>
      <c r="AF664" s="213"/>
      <c r="AG664" s="213"/>
      <c r="AH664" s="214"/>
      <c r="AJ664" s="631">
        <f ca="1">IF(AND($D664="Serviço",AJ$12&lt;&gt;0,$H664&gt;0,OR(AUTOEVENTO&lt;&gt;"manual",$M664&lt;&gt;1)),ROUND(OFFSET($P664,0,AJ$13),15-13*ORÇAMENTO!$AF$7)/$H664*OFFSET(ORÇAMENTO!$X$15,ROW(AJ664)-ROW(AJ$15),0),0)</f>
        <v>0</v>
      </c>
      <c r="AK664" s="632">
        <f ca="1">IF(AND($D664="Serviço",AK$12&lt;&gt;0,$H664&gt;0,OR(AUTOEVENTO&lt;&gt;"manual",$M664&lt;&gt;1)),ROUND(OFFSET($P664,0,AK$13),15-13*ORÇAMENTO!$AF$7)/$H664*OFFSET(ORÇAMENTO!$X$15,ROW(AK664)-ROW(AK$15),0),0)</f>
        <v>0</v>
      </c>
      <c r="AL664" s="632">
        <f ca="1">IF(AND($D664="Serviço",AL$12&lt;&gt;0,$H664&gt;0,OR(AUTOEVENTO&lt;&gt;"manual",$M664&lt;&gt;1)),ROUND(OFFSET($P664,0,AL$13),15-13*ORÇAMENTO!$AF$7)/$H664*OFFSET(ORÇAMENTO!$X$15,ROW(AL664)-ROW(AL$15),0),0)</f>
        <v>0</v>
      </c>
      <c r="AM664" s="632">
        <f ca="1">IF(AND($D664="Serviço",AM$12&lt;&gt;0,$H664&gt;0,OR(AUTOEVENTO&lt;&gt;"manual",$M664&lt;&gt;1)),ROUND(OFFSET($P664,0,AM$13),15-13*ORÇAMENTO!$AF$7)/$H664*OFFSET(ORÇAMENTO!$X$15,ROW(AM664)-ROW(AM$15),0),0)</f>
        <v>0</v>
      </c>
      <c r="AN664" s="632">
        <f ca="1">IF(AND($D664="Serviço",AN$12&lt;&gt;0,$H664&gt;0,OR(AUTOEVENTO&lt;&gt;"manual",$M664&lt;&gt;1)),ROUND(OFFSET($P664,0,AN$13),15-13*ORÇAMENTO!$AF$7)/$H664*OFFSET(ORÇAMENTO!$X$15,ROW(AN664)-ROW(AN$15),0),0)</f>
        <v>0</v>
      </c>
      <c r="AO664" s="632">
        <f ca="1">IF(AND($D664="Serviço",AO$12&lt;&gt;0,$H664&gt;0,OR(AUTOEVENTO&lt;&gt;"manual",$M664&lt;&gt;1)),ROUND(OFFSET($P664,0,AO$13),15-13*ORÇAMENTO!$AF$7)/$H664*OFFSET(ORÇAMENTO!$X$15,ROW(AO664)-ROW(AO$15),0),0)</f>
        <v>0</v>
      </c>
      <c r="AP664" s="632">
        <f ca="1">IF(AND($D664="Serviço",AP$12&lt;&gt;0,$H664&gt;0,OR(AUTOEVENTO&lt;&gt;"manual",$M664&lt;&gt;1)),ROUND(OFFSET($P664,0,AP$13),15-13*ORÇAMENTO!$AF$7)/$H664*OFFSET(ORÇAMENTO!$X$15,ROW(AP664)-ROW(AP$15),0),0)</f>
        <v>0</v>
      </c>
      <c r="AQ664" s="632">
        <f ca="1">IF(AND($D664="Serviço",AQ$12&lt;&gt;0,$H664&gt;0,OR(AUTOEVENTO&lt;&gt;"manual",$M664&lt;&gt;1)),ROUND(OFFSET($P664,0,AQ$13),15-13*ORÇAMENTO!$AF$7)/$H664*OFFSET(ORÇAMENTO!$X$15,ROW(AQ664)-ROW(AQ$15),0),0)</f>
        <v>0</v>
      </c>
      <c r="AR664" s="632">
        <f ca="1">IF(AND($D664="Serviço",AR$12&lt;&gt;0,$H664&gt;0,OR(AUTOEVENTO&lt;&gt;"manual",$M664&lt;&gt;1)),ROUND(OFFSET($P664,0,AR$13),15-13*ORÇAMENTO!$AF$7)/$H664*OFFSET(ORÇAMENTO!$X$15,ROW(AR664)-ROW(AR$15),0),0)</f>
        <v>0</v>
      </c>
      <c r="AS664" s="633">
        <f ca="1">IF(AND($D664="Serviço",AS$12&lt;&gt;0,$H664&gt;0,OR(AUTOEVENTO&lt;&gt;"manual",$M664&lt;&gt;1)),ROUND(OFFSET($P664,0,AS$13),15-13*ORÇAMENTO!$AF$7)/$H664*OFFSET(ORÇAMENTO!$X$15,ROW(AS664)-ROW(AS$15),0),0)</f>
        <v>0</v>
      </c>
      <c r="AT664" s="632">
        <f ca="1">IF(AND($D664="Serviço",AT$12&lt;&gt;0,$H664&gt;0,OR(AUTOEVENTO&lt;&gt;"manual",$M664&lt;&gt;1)),ROUND(OFFSET($P664,0,AT$13),15-13*ORÇAMENTO!$AF$7)/$H664*OFFSET(ORÇAMENTO!$X$15,ROW(AT664)-ROW(AT$15),0),0)</f>
        <v>0</v>
      </c>
      <c r="AU664" s="632">
        <f ca="1">IF(AND($D664="Serviço",AU$12&lt;&gt;0,$H664&gt;0,OR(AUTOEVENTO&lt;&gt;"manual",$M664&lt;&gt;1)),ROUND(OFFSET($P664,0,AU$13),15-13*ORÇAMENTO!$AF$7)/$H664*OFFSET(ORÇAMENTO!$X$15,ROW(AU664)-ROW(AU$15),0),0)</f>
        <v>0</v>
      </c>
      <c r="AV664" s="632">
        <f ca="1">IF(AND($D664="Serviço",AV$12&lt;&gt;0,$H664&gt;0,OR(AUTOEVENTO&lt;&gt;"manual",$M664&lt;&gt;1)),ROUND(OFFSET($P664,0,AV$13),15-13*ORÇAMENTO!$AF$7)/$H664*OFFSET(ORÇAMENTO!$X$15,ROW(AV664)-ROW(AV$15),0),0)</f>
        <v>0</v>
      </c>
      <c r="AW664" s="632">
        <f ca="1">IF(AND($D664="Serviço",AW$12&lt;&gt;0,$H664&gt;0,OR(AUTOEVENTO&lt;&gt;"manual",$M664&lt;&gt;1)),ROUND(OFFSET($P664,0,AW$13),15-13*ORÇAMENTO!$AF$7)/$H664*OFFSET(ORÇAMENTO!$X$15,ROW(AW664)-ROW(AW$15),0),0)</f>
        <v>0</v>
      </c>
      <c r="AX664" s="632">
        <f ca="1">IF(AND($D664="Serviço",AX$12&lt;&gt;0,$H664&gt;0,OR(AUTOEVENTO&lt;&gt;"manual",$M664&lt;&gt;1)),ROUND(OFFSET($P664,0,AX$13),15-13*ORÇAMENTO!$AF$7)/$H664*OFFSET(ORÇAMENTO!$X$15,ROW(AX664)-ROW(AX$15),0),0)</f>
        <v>0</v>
      </c>
      <c r="AY664" s="632">
        <f ca="1">IF(AND($D664="Serviço",AY$12&lt;&gt;0,$H664&gt;0,OR(AUTOEVENTO&lt;&gt;"manual",$M664&lt;&gt;1)),ROUND(OFFSET($P664,0,AY$13),15-13*ORÇAMENTO!$AF$7)/$H664*OFFSET(ORÇAMENTO!$X$15,ROW(AY664)-ROW(AY$15),0),0)</f>
        <v>0</v>
      </c>
      <c r="AZ664" s="632">
        <f ca="1">IF(AND($D664="Serviço",AZ$12&lt;&gt;0,$H664&gt;0,OR(AUTOEVENTO&lt;&gt;"manual",$M664&lt;&gt;1)),ROUND(OFFSET($P664,0,AZ$13),15-13*ORÇAMENTO!$AF$7)/$H664*OFFSET(ORÇAMENTO!$X$15,ROW(AZ664)-ROW(AZ$15),0),0)</f>
        <v>0</v>
      </c>
      <c r="BA664" s="633">
        <f ca="1">IF(AND($D664="Serviço",BA$12&lt;&gt;0,$H664&gt;0,OR(AUTOEVENTO&lt;&gt;"manual",$M664&lt;&gt;1)),ROUND(OFFSET($P664,0,BA$13),15-13*ORÇAMENTO!$AF$7)/$H664*OFFSET(ORÇAMENTO!$X$15,ROW(BA664)-ROW(BA$15),0),0)</f>
        <v>0</v>
      </c>
      <c r="BC664" s="215">
        <f ca="1">IF($D664&lt;&gt;"Serviço",0,IF(AND(AUTOEVENTO="Manual",$M664=1),0,IF(OFFSET(CRONOPLE!$F$14,$M664,BC$13)="",10^12,OFFSET(CRONOPLE!$F$14,$M664,BC$13))))</f>
        <v>1000000000000</v>
      </c>
      <c r="BD664" s="215">
        <f ca="1">IF($D664&lt;&gt;"Serviço",0,IF(AND(AUTOEVENTO="Manual",$M664=1),0,IF(OFFSET(CRONOPLE!$F$14,$M664,BD$13)="",10^12,OFFSET(CRONOPLE!$F$14,$M664,BD$13))))</f>
        <v>1000000000000</v>
      </c>
      <c r="BE664" s="215">
        <f ca="1">IF($D664&lt;&gt;"Serviço",0,IF(AND(AUTOEVENTO="Manual",$M664=1),0,IF(OFFSET(CRONOPLE!$F$14,$M664,BE$13)="",10^12,OFFSET(CRONOPLE!$F$14,$M664,BE$13))))</f>
        <v>1000000000000</v>
      </c>
      <c r="BF664" s="215">
        <f ca="1">IF($D664&lt;&gt;"Serviço",0,IF(AND(AUTOEVENTO="Manual",$M664=1),0,IF(OFFSET(CRONOPLE!$F$14,$M664,BF$13)="",10^12,OFFSET(CRONOPLE!$F$14,$M664,BF$13))))</f>
        <v>1000000000000</v>
      </c>
      <c r="BG664" s="215">
        <f ca="1">IF($D664&lt;&gt;"Serviço",0,IF(AND(AUTOEVENTO="Manual",$M664=1),0,IF(OFFSET(CRONOPLE!$F$14,$M664,BG$13)="",10^12,OFFSET(CRONOPLE!$F$14,$M664,BG$13))))</f>
        <v>1000000000000</v>
      </c>
      <c r="BH664" s="215">
        <f ca="1">IF($D664&lt;&gt;"Serviço",0,IF(AND(AUTOEVENTO="Manual",$M664=1),0,IF(OFFSET(CRONOPLE!$F$14,$M664,BH$13)="",10^12,OFFSET(CRONOPLE!$F$14,$M664,BH$13))))</f>
        <v>1000000000000</v>
      </c>
      <c r="BI664" s="215">
        <f ca="1">IF($D664&lt;&gt;"Serviço",0,IF(AND(AUTOEVENTO="Manual",$M664=1),0,IF(OFFSET(CRONOPLE!$F$14,$M664,BI$13)="",10^12,OFFSET(CRONOPLE!$F$14,$M664,BI$13))))</f>
        <v>1000000000000</v>
      </c>
      <c r="BJ664" s="215">
        <f ca="1">IF($D664&lt;&gt;"Serviço",0,IF(AND(AUTOEVENTO="Manual",$M664=1),0,IF(OFFSET(CRONOPLE!$F$14,$M664,BJ$13)="",10^12,OFFSET(CRONOPLE!$F$14,$M664,BJ$13))))</f>
        <v>1000000000000</v>
      </c>
      <c r="BK664" s="215">
        <f ca="1">IF($D664&lt;&gt;"Serviço",0,IF(AND(AUTOEVENTO="Manual",$M664=1),0,IF(OFFSET(CRONOPLE!$F$14,$M664,BK$13)="",10^12,OFFSET(CRONOPLE!$F$14,$M664,BK$13))))</f>
        <v>1000000000000</v>
      </c>
      <c r="BL664" s="215">
        <f ca="1">IF($D664&lt;&gt;"Serviço",0,IF(AND(AUTOEVENTO="Manual",$M664=1),0,IF(OFFSET(CRONOPLE!$F$14,$M664,BL$13)="",10^12,OFFSET(CRONOPLE!$F$14,$M664,BL$13))))</f>
        <v>1000000000000</v>
      </c>
      <c r="BM664" s="215">
        <f ca="1">IF($D664&lt;&gt;"Serviço",0,IF(AND(AUTOEVENTO="Manual",$M664=1),0,IF(OFFSET(CRONOPLE!$F$14,$M664,BM$13)="",10^12,OFFSET(CRONOPLE!$F$14,$M664,BM$13))))</f>
        <v>1000000000000</v>
      </c>
      <c r="BN664" s="215">
        <f ca="1">IF($D664&lt;&gt;"Serviço",0,IF(AND(AUTOEVENTO="Manual",$M664=1),0,IF(OFFSET(CRONOPLE!$F$14,$M664,BN$13)="",10^12,OFFSET(CRONOPLE!$F$14,$M664,BN$13))))</f>
        <v>1000000000000</v>
      </c>
      <c r="BO664" s="215">
        <f ca="1">IF($D664&lt;&gt;"Serviço",0,IF(AND(AUTOEVENTO="Manual",$M664=1),0,IF(OFFSET(CRONOPLE!$F$14,$M664,BO$13)="",10^12,OFFSET(CRONOPLE!$F$14,$M664,BO$13))))</f>
        <v>1000000000000</v>
      </c>
      <c r="BP664" s="215">
        <f ca="1">IF($D664&lt;&gt;"Serviço",0,IF(AND(AUTOEVENTO="Manual",$M664=1),0,IF(OFFSET(CRONOPLE!$F$14,$M664,BP$13)="",10^12,OFFSET(CRONOPLE!$F$14,$M664,BP$13))))</f>
        <v>1000000000000</v>
      </c>
      <c r="BQ664" s="215">
        <f ca="1">IF($D664&lt;&gt;"Serviço",0,IF(AND(AUTOEVENTO="Manual",$M664=1),0,IF(OFFSET(CRONOPLE!$F$14,$M664,BQ$13)="",10^12,OFFSET(CRONOPLE!$F$14,$M664,BQ$13))))</f>
        <v>1000000000000</v>
      </c>
      <c r="BR664" s="215">
        <f ca="1">IF($D664&lt;&gt;"Serviço",0,IF(AND(AUTOEVENTO="Manual",$M664=1),0,IF(OFFSET(CRONOPLE!$F$14,$M664,BR$13)="",10^12,OFFSET(CRONOPLE!$F$14,$M664,BR$13))))</f>
        <v>1000000000000</v>
      </c>
      <c r="BS664" s="215">
        <f ca="1">IF($D664&lt;&gt;"Serviço",0,IF(AND(AUTOEVENTO="Manual",$M664=1),0,IF(OFFSET(CRONOPLE!$F$14,$M664,BS$13)="",10^12,OFFSET(CRONOPLE!$F$14,$M664,BS$13))))</f>
        <v>1000000000000</v>
      </c>
      <c r="BT664" s="215">
        <f ca="1">IF($D664&lt;&gt;"Serviço",0,IF(AND(AUTOEVENTO="Manual",$M664=1),0,IF(OFFSET(CRONOPLE!$F$14,$M664,BT$13)="",10^12,OFFSET(CRONOPLE!$F$14,$M664,BT$13))))</f>
        <v>1000000000000</v>
      </c>
      <c r="BV664" s="216">
        <f ca="1">IF($D664&lt;&gt;"Serviço",0,IF(OR(AND(AUTOEVENTO="Manual",$M664=1),$M664&gt;(ROW(PLE.lastrow)-ROW(PLE.firstrow))),0,IF(OFFSET(PLE!$G$14,$M664,BV$13)="",10^12,OFFSET(PLE!$G$14,$M664,BV$13))))</f>
        <v>1000000000000</v>
      </c>
      <c r="BW664" s="216">
        <f ca="1">IF($D664&lt;&gt;"Serviço",0,IF(OR(AND(AUTOEVENTO="Manual",$M664=1),$M664&gt;(ROW(PLE.lastrow)-ROW(PLE.firstrow))),0,IF(OFFSET(PLE!$G$14,$M664,BW$13)="",10^12,OFFSET(PLE!$G$14,$M664,BW$13))))</f>
        <v>1000000000000</v>
      </c>
      <c r="BX664" s="216">
        <f ca="1">IF($D664&lt;&gt;"Serviço",0,IF(OR(AND(AUTOEVENTO="Manual",$M664=1),$M664&gt;(ROW(PLE.lastrow)-ROW(PLE.firstrow))),0,IF(OFFSET(PLE!$G$14,$M664,BX$13)="",10^12,OFFSET(PLE!$G$14,$M664,BX$13))))</f>
        <v>1000000000000</v>
      </c>
      <c r="BY664" s="216">
        <f ca="1">IF($D664&lt;&gt;"Serviço",0,IF(OR(AND(AUTOEVENTO="Manual",$M664=1),$M664&gt;(ROW(PLE.lastrow)-ROW(PLE.firstrow))),0,IF(OFFSET(PLE!$G$14,$M664,BY$13)="",10^12,OFFSET(PLE!$G$14,$M664,BY$13))))</f>
        <v>1000000000000</v>
      </c>
      <c r="BZ664" s="216">
        <f ca="1">IF($D664&lt;&gt;"Serviço",0,IF(OR(AND(AUTOEVENTO="Manual",$M664=1),$M664&gt;(ROW(PLE.lastrow)-ROW(PLE.firstrow))),0,IF(OFFSET(PLE!$G$14,$M664,BZ$13)="",10^12,OFFSET(PLE!$G$14,$M664,BZ$13))))</f>
        <v>1000000000000</v>
      </c>
      <c r="CA664" s="216">
        <f ca="1">IF($D664&lt;&gt;"Serviço",0,IF(OR(AND(AUTOEVENTO="Manual",$M664=1),$M664&gt;(ROW(PLE.lastrow)-ROW(PLE.firstrow))),0,IF(OFFSET(PLE!$G$14,$M664,CA$13)="",10^12,OFFSET(PLE!$G$14,$M664,CA$13))))</f>
        <v>1000000000000</v>
      </c>
      <c r="CB664" s="216">
        <f ca="1">IF($D664&lt;&gt;"Serviço",0,IF(OR(AND(AUTOEVENTO="Manual",$M664=1),$M664&gt;(ROW(PLE.lastrow)-ROW(PLE.firstrow))),0,IF(OFFSET(PLE!$G$14,$M664,CB$13)="",10^12,OFFSET(PLE!$G$14,$M664,CB$13))))</f>
        <v>1000000000000</v>
      </c>
      <c r="CC664" s="216">
        <f ca="1">IF($D664&lt;&gt;"Serviço",0,IF(OR(AND(AUTOEVENTO="Manual",$M664=1),$M664&gt;(ROW(PLE.lastrow)-ROW(PLE.firstrow))),0,IF(OFFSET(PLE!$G$14,$M664,CC$13)="",10^12,OFFSET(PLE!$G$14,$M664,CC$13))))</f>
        <v>1000000000000</v>
      </c>
      <c r="CD664" s="216">
        <f ca="1">IF($D664&lt;&gt;"Serviço",0,IF(OR(AND(AUTOEVENTO="Manual",$M664=1),$M664&gt;(ROW(PLE.lastrow)-ROW(PLE.firstrow))),0,IF(OFFSET(PLE!$G$14,$M664,CD$13)="",10^12,OFFSET(PLE!$G$14,$M664,CD$13))))</f>
        <v>1000000000000</v>
      </c>
      <c r="CE664" s="216">
        <f ca="1">IF($D664&lt;&gt;"Serviço",0,IF(OR(AND(AUTOEVENTO="Manual",$M664=1),$M664&gt;(ROW(PLE.lastrow)-ROW(PLE.firstrow))),0,IF(OFFSET(PLE!$G$14,$M664,CE$13)="",10^12,OFFSET(PLE!$G$14,$M664,CE$13))))</f>
        <v>1000000000000</v>
      </c>
      <c r="CF664" s="216">
        <f ca="1">IF($D664&lt;&gt;"Serviço",0,IF(OR(AND(AUTOEVENTO="Manual",$M664=1),$M664&gt;(ROW(PLE.lastrow)-ROW(PLE.firstrow))),0,IF(OFFSET(PLE!$G$14,$M664,CF$13)="",10^12,OFFSET(PLE!$G$14,$M664,CF$13))))</f>
        <v>1000000000000</v>
      </c>
      <c r="CG664" s="216">
        <f ca="1">IF($D664&lt;&gt;"Serviço",0,IF(OR(AND(AUTOEVENTO="Manual",$M664=1),$M664&gt;(ROW(PLE.lastrow)-ROW(PLE.firstrow))),0,IF(OFFSET(PLE!$G$14,$M664,CG$13)="",10^12,OFFSET(PLE!$G$14,$M664,CG$13))))</f>
        <v>1000000000000</v>
      </c>
      <c r="CH664" s="216">
        <f ca="1">IF($D664&lt;&gt;"Serviço",0,IF(OR(AND(AUTOEVENTO="Manual",$M664=1),$M664&gt;(ROW(PLE.lastrow)-ROW(PLE.firstrow))),0,IF(OFFSET(PLE!$G$14,$M664,CH$13)="",10^12,OFFSET(PLE!$G$14,$M664,CH$13))))</f>
        <v>1000000000000</v>
      </c>
      <c r="CI664" s="216">
        <f ca="1">IF($D664&lt;&gt;"Serviço",0,IF(OR(AND(AUTOEVENTO="Manual",$M664=1),$M664&gt;(ROW(PLE.lastrow)-ROW(PLE.firstrow))),0,IF(OFFSET(PLE!$G$14,$M664,CI$13)="",10^12,OFFSET(PLE!$G$14,$M664,CI$13))))</f>
        <v>1000000000000</v>
      </c>
      <c r="CJ664" s="216">
        <f ca="1">IF($D664&lt;&gt;"Serviço",0,IF(OR(AND(AUTOEVENTO="Manual",$M664=1),$M664&gt;(ROW(PLE.lastrow)-ROW(PLE.firstrow))),0,IF(OFFSET(PLE!$G$14,$M664,CJ$13)="",10^12,OFFSET(PLE!$G$14,$M664,CJ$13))))</f>
        <v>1000000000000</v>
      </c>
      <c r="CK664" s="216">
        <f ca="1">IF($D664&lt;&gt;"Serviço",0,IF(OR(AND(AUTOEVENTO="Manual",$M664=1),$M664&gt;(ROW(PLE.lastrow)-ROW(PLE.firstrow))),0,IF(OFFSET(PLE!$G$14,$M664,CK$13)="",10^12,OFFSET(PLE!$G$14,$M664,CK$13))))</f>
        <v>1000000000000</v>
      </c>
      <c r="CL664" s="216">
        <f ca="1">IF($D664&lt;&gt;"Serviço",0,IF(OR(AND(AUTOEVENTO="Manual",$M664=1),$M664&gt;(ROW(PLE.lastrow)-ROW(PLE.firstrow))),0,IF(OFFSET(PLE!$G$14,$M664,CL$13)="",10^12,OFFSET(PLE!$G$14,$M664,CL$13))))</f>
        <v>1000000000000</v>
      </c>
      <c r="CM664" s="216">
        <f ca="1">IF($D664&lt;&gt;"Serviço",0,IF(OR(AND(AUTOEVENTO="Manual",$M664=1),$M664&gt;(ROW(PLE.lastrow)-ROW(PLE.firstrow))),0,IF(OFFSET(PLE!$G$14,$M664,CM$13)="",10^12,OFFSET(PLE!$G$14,$M664,CM$13))))</f>
        <v>1000000000000</v>
      </c>
    </row>
    <row r="665" spans="1:91" ht="13.2" x14ac:dyDescent="0.25">
      <c r="A665" s="9">
        <f t="shared" ca="1" si="20"/>
        <v>0</v>
      </c>
      <c r="B665" s="9" t="str">
        <f ca="1">OFFSET(ORÇAMENTO!C$15,ROW(B665)-ROW(B$15),0)</f>
        <v>S</v>
      </c>
      <c r="C665" s="9" t="str">
        <f ca="1">OFFSET(ORÇAMENTO!L$15,ROW(C665)-ROW(C$15),0)</f>
        <v/>
      </c>
      <c r="D665" s="145" t="str">
        <f ca="1">OFFSET(ORÇAMENTO!N$15,ROW(D665)-ROW(D$15),0)</f>
        <v>Serviço</v>
      </c>
      <c r="E665" s="205" t="str">
        <f ca="1">OFFSET(ORÇAMENTO!O$15,ROW(E665)-ROW(E$15),0)</f>
        <v>-</v>
      </c>
      <c r="F665" s="206" t="str">
        <f ca="1">OFFSET(ORÇAMENTO!R$15,ROW(F665)-ROW(F$15),0)</f>
        <v>(abra o arquivo 'Referência 05-2024.xls)</v>
      </c>
      <c r="G665" s="207" t="str">
        <f ca="1">IF($D665&lt;&gt;"Serviço","",OFFSET(ORÇAMENTO!S$15,ROW(G665)-ROW(G$15),0))</f>
        <v>-</v>
      </c>
      <c r="H665" s="151">
        <f ca="1">IF($D665&lt;&gt;"Serviço",0,IF(ACOMPANHAMENTO="BM",ROUND(OFFSET(ORÇAMENTO!AJ$15,ROW(H665)-ROW(H$15),0),15-13*ORÇAMENTO!$AF$7),SUMPRODUCT(($Q$12:$AI$12&lt;&gt;"")*ROUND($Q665:$AI665,15-13*ORÇAMENTO!$AF$7))))</f>
        <v>39.85</v>
      </c>
      <c r="I665" s="650"/>
      <c r="K665" s="208"/>
      <c r="L665" s="209" t="s">
        <v>257</v>
      </c>
      <c r="M665" s="210">
        <f ca="1">IF($D665&lt;&gt;"Serviço","",IF(AUTOEVENTO="manual",$A665,IF(ISERROR(MATCH($A665,$A$15:OFFSET($A665,-1,0),0)),MAX($M$15:OFFSET(M665,-1,0))+1,INDEX($M$15:OFFSET(M665,-1,0),MATCH($A665,$A$15:OFFSET($A665,-1,0),0)))))</f>
        <v>0</v>
      </c>
      <c r="N665" s="211" t="str">
        <f ca="1">IF($D665&lt;&gt;"Serviço","",IF(AUTOEVENTO="Manual",IF($A665=0,"&lt;-- defina o número do agrupador",OFFSET(EVENTOS!$D$14,$A665,0)),OFFSET($F$15,$A665,0)))</f>
        <v>&lt;-- defina o número do agrupador</v>
      </c>
      <c r="O665" s="212"/>
      <c r="Q665" s="212"/>
      <c r="R665" s="213"/>
      <c r="S665" s="213"/>
      <c r="T665" s="213"/>
      <c r="U665" s="213"/>
      <c r="V665" s="213"/>
      <c r="W665" s="213"/>
      <c r="X665" s="213"/>
      <c r="Y665" s="213"/>
      <c r="Z665" s="214"/>
      <c r="AA665" s="213"/>
      <c r="AB665" s="213"/>
      <c r="AC665" s="213"/>
      <c r="AD665" s="213"/>
      <c r="AE665" s="213"/>
      <c r="AF665" s="213"/>
      <c r="AG665" s="213"/>
      <c r="AH665" s="214"/>
      <c r="AJ665" s="631">
        <f ca="1">IF(AND($D665="Serviço",AJ$12&lt;&gt;0,$H665&gt;0,OR(AUTOEVENTO&lt;&gt;"manual",$M665&lt;&gt;1)),ROUND(OFFSET($P665,0,AJ$13),15-13*ORÇAMENTO!$AF$7)/$H665*OFFSET(ORÇAMENTO!$X$15,ROW(AJ665)-ROW(AJ$15),0),0)</f>
        <v>0</v>
      </c>
      <c r="AK665" s="632">
        <f ca="1">IF(AND($D665="Serviço",AK$12&lt;&gt;0,$H665&gt;0,OR(AUTOEVENTO&lt;&gt;"manual",$M665&lt;&gt;1)),ROUND(OFFSET($P665,0,AK$13),15-13*ORÇAMENTO!$AF$7)/$H665*OFFSET(ORÇAMENTO!$X$15,ROW(AK665)-ROW(AK$15),0),0)</f>
        <v>0</v>
      </c>
      <c r="AL665" s="632">
        <f ca="1">IF(AND($D665="Serviço",AL$12&lt;&gt;0,$H665&gt;0,OR(AUTOEVENTO&lt;&gt;"manual",$M665&lt;&gt;1)),ROUND(OFFSET($P665,0,AL$13),15-13*ORÇAMENTO!$AF$7)/$H665*OFFSET(ORÇAMENTO!$X$15,ROW(AL665)-ROW(AL$15),0),0)</f>
        <v>0</v>
      </c>
      <c r="AM665" s="632">
        <f ca="1">IF(AND($D665="Serviço",AM$12&lt;&gt;0,$H665&gt;0,OR(AUTOEVENTO&lt;&gt;"manual",$M665&lt;&gt;1)),ROUND(OFFSET($P665,0,AM$13),15-13*ORÇAMENTO!$AF$7)/$H665*OFFSET(ORÇAMENTO!$X$15,ROW(AM665)-ROW(AM$15),0),0)</f>
        <v>0</v>
      </c>
      <c r="AN665" s="632">
        <f ca="1">IF(AND($D665="Serviço",AN$12&lt;&gt;0,$H665&gt;0,OR(AUTOEVENTO&lt;&gt;"manual",$M665&lt;&gt;1)),ROUND(OFFSET($P665,0,AN$13),15-13*ORÇAMENTO!$AF$7)/$H665*OFFSET(ORÇAMENTO!$X$15,ROW(AN665)-ROW(AN$15),0),0)</f>
        <v>0</v>
      </c>
      <c r="AO665" s="632">
        <f ca="1">IF(AND($D665="Serviço",AO$12&lt;&gt;0,$H665&gt;0,OR(AUTOEVENTO&lt;&gt;"manual",$M665&lt;&gt;1)),ROUND(OFFSET($P665,0,AO$13),15-13*ORÇAMENTO!$AF$7)/$H665*OFFSET(ORÇAMENTO!$X$15,ROW(AO665)-ROW(AO$15),0),0)</f>
        <v>0</v>
      </c>
      <c r="AP665" s="632">
        <f ca="1">IF(AND($D665="Serviço",AP$12&lt;&gt;0,$H665&gt;0,OR(AUTOEVENTO&lt;&gt;"manual",$M665&lt;&gt;1)),ROUND(OFFSET($P665,0,AP$13),15-13*ORÇAMENTO!$AF$7)/$H665*OFFSET(ORÇAMENTO!$X$15,ROW(AP665)-ROW(AP$15),0),0)</f>
        <v>0</v>
      </c>
      <c r="AQ665" s="632">
        <f ca="1">IF(AND($D665="Serviço",AQ$12&lt;&gt;0,$H665&gt;0,OR(AUTOEVENTO&lt;&gt;"manual",$M665&lt;&gt;1)),ROUND(OFFSET($P665,0,AQ$13),15-13*ORÇAMENTO!$AF$7)/$H665*OFFSET(ORÇAMENTO!$X$15,ROW(AQ665)-ROW(AQ$15),0),0)</f>
        <v>0</v>
      </c>
      <c r="AR665" s="632">
        <f ca="1">IF(AND($D665="Serviço",AR$12&lt;&gt;0,$H665&gt;0,OR(AUTOEVENTO&lt;&gt;"manual",$M665&lt;&gt;1)),ROUND(OFFSET($P665,0,AR$13),15-13*ORÇAMENTO!$AF$7)/$H665*OFFSET(ORÇAMENTO!$X$15,ROW(AR665)-ROW(AR$15),0),0)</f>
        <v>0</v>
      </c>
      <c r="AS665" s="633">
        <f ca="1">IF(AND($D665="Serviço",AS$12&lt;&gt;0,$H665&gt;0,OR(AUTOEVENTO&lt;&gt;"manual",$M665&lt;&gt;1)),ROUND(OFFSET($P665,0,AS$13),15-13*ORÇAMENTO!$AF$7)/$H665*OFFSET(ORÇAMENTO!$X$15,ROW(AS665)-ROW(AS$15),0),0)</f>
        <v>0</v>
      </c>
      <c r="AT665" s="632">
        <f ca="1">IF(AND($D665="Serviço",AT$12&lt;&gt;0,$H665&gt;0,OR(AUTOEVENTO&lt;&gt;"manual",$M665&lt;&gt;1)),ROUND(OFFSET($P665,0,AT$13),15-13*ORÇAMENTO!$AF$7)/$H665*OFFSET(ORÇAMENTO!$X$15,ROW(AT665)-ROW(AT$15),0),0)</f>
        <v>0</v>
      </c>
      <c r="AU665" s="632">
        <f ca="1">IF(AND($D665="Serviço",AU$12&lt;&gt;0,$H665&gt;0,OR(AUTOEVENTO&lt;&gt;"manual",$M665&lt;&gt;1)),ROUND(OFFSET($P665,0,AU$13),15-13*ORÇAMENTO!$AF$7)/$H665*OFFSET(ORÇAMENTO!$X$15,ROW(AU665)-ROW(AU$15),0),0)</f>
        <v>0</v>
      </c>
      <c r="AV665" s="632">
        <f ca="1">IF(AND($D665="Serviço",AV$12&lt;&gt;0,$H665&gt;0,OR(AUTOEVENTO&lt;&gt;"manual",$M665&lt;&gt;1)),ROUND(OFFSET($P665,0,AV$13),15-13*ORÇAMENTO!$AF$7)/$H665*OFFSET(ORÇAMENTO!$X$15,ROW(AV665)-ROW(AV$15),0),0)</f>
        <v>0</v>
      </c>
      <c r="AW665" s="632">
        <f ca="1">IF(AND($D665="Serviço",AW$12&lt;&gt;0,$H665&gt;0,OR(AUTOEVENTO&lt;&gt;"manual",$M665&lt;&gt;1)),ROUND(OFFSET($P665,0,AW$13),15-13*ORÇAMENTO!$AF$7)/$H665*OFFSET(ORÇAMENTO!$X$15,ROW(AW665)-ROW(AW$15),0),0)</f>
        <v>0</v>
      </c>
      <c r="AX665" s="632">
        <f ca="1">IF(AND($D665="Serviço",AX$12&lt;&gt;0,$H665&gt;0,OR(AUTOEVENTO&lt;&gt;"manual",$M665&lt;&gt;1)),ROUND(OFFSET($P665,0,AX$13),15-13*ORÇAMENTO!$AF$7)/$H665*OFFSET(ORÇAMENTO!$X$15,ROW(AX665)-ROW(AX$15),0),0)</f>
        <v>0</v>
      </c>
      <c r="AY665" s="632">
        <f ca="1">IF(AND($D665="Serviço",AY$12&lt;&gt;0,$H665&gt;0,OR(AUTOEVENTO&lt;&gt;"manual",$M665&lt;&gt;1)),ROUND(OFFSET($P665,0,AY$13),15-13*ORÇAMENTO!$AF$7)/$H665*OFFSET(ORÇAMENTO!$X$15,ROW(AY665)-ROW(AY$15),0),0)</f>
        <v>0</v>
      </c>
      <c r="AZ665" s="632">
        <f ca="1">IF(AND($D665="Serviço",AZ$12&lt;&gt;0,$H665&gt;0,OR(AUTOEVENTO&lt;&gt;"manual",$M665&lt;&gt;1)),ROUND(OFFSET($P665,0,AZ$13),15-13*ORÇAMENTO!$AF$7)/$H665*OFFSET(ORÇAMENTO!$X$15,ROW(AZ665)-ROW(AZ$15),0),0)</f>
        <v>0</v>
      </c>
      <c r="BA665" s="633">
        <f ca="1">IF(AND($D665="Serviço",BA$12&lt;&gt;0,$H665&gt;0,OR(AUTOEVENTO&lt;&gt;"manual",$M665&lt;&gt;1)),ROUND(OFFSET($P665,0,BA$13),15-13*ORÇAMENTO!$AF$7)/$H665*OFFSET(ORÇAMENTO!$X$15,ROW(BA665)-ROW(BA$15),0),0)</f>
        <v>0</v>
      </c>
      <c r="BC665" s="215">
        <f ca="1">IF($D665&lt;&gt;"Serviço",0,IF(AND(AUTOEVENTO="Manual",$M665=1),0,IF(OFFSET(CRONOPLE!$F$14,$M665,BC$13)="",10^12,OFFSET(CRONOPLE!$F$14,$M665,BC$13))))</f>
        <v>1000000000000</v>
      </c>
      <c r="BD665" s="215">
        <f ca="1">IF($D665&lt;&gt;"Serviço",0,IF(AND(AUTOEVENTO="Manual",$M665=1),0,IF(OFFSET(CRONOPLE!$F$14,$M665,BD$13)="",10^12,OFFSET(CRONOPLE!$F$14,$M665,BD$13))))</f>
        <v>1000000000000</v>
      </c>
      <c r="BE665" s="215">
        <f ca="1">IF($D665&lt;&gt;"Serviço",0,IF(AND(AUTOEVENTO="Manual",$M665=1),0,IF(OFFSET(CRONOPLE!$F$14,$M665,BE$13)="",10^12,OFFSET(CRONOPLE!$F$14,$M665,BE$13))))</f>
        <v>1000000000000</v>
      </c>
      <c r="BF665" s="215">
        <f ca="1">IF($D665&lt;&gt;"Serviço",0,IF(AND(AUTOEVENTO="Manual",$M665=1),0,IF(OFFSET(CRONOPLE!$F$14,$M665,BF$13)="",10^12,OFFSET(CRONOPLE!$F$14,$M665,BF$13))))</f>
        <v>1000000000000</v>
      </c>
      <c r="BG665" s="215">
        <f ca="1">IF($D665&lt;&gt;"Serviço",0,IF(AND(AUTOEVENTO="Manual",$M665=1),0,IF(OFFSET(CRONOPLE!$F$14,$M665,BG$13)="",10^12,OFFSET(CRONOPLE!$F$14,$M665,BG$13))))</f>
        <v>1000000000000</v>
      </c>
      <c r="BH665" s="215">
        <f ca="1">IF($D665&lt;&gt;"Serviço",0,IF(AND(AUTOEVENTO="Manual",$M665=1),0,IF(OFFSET(CRONOPLE!$F$14,$M665,BH$13)="",10^12,OFFSET(CRONOPLE!$F$14,$M665,BH$13))))</f>
        <v>1000000000000</v>
      </c>
      <c r="BI665" s="215">
        <f ca="1">IF($D665&lt;&gt;"Serviço",0,IF(AND(AUTOEVENTO="Manual",$M665=1),0,IF(OFFSET(CRONOPLE!$F$14,$M665,BI$13)="",10^12,OFFSET(CRONOPLE!$F$14,$M665,BI$13))))</f>
        <v>1000000000000</v>
      </c>
      <c r="BJ665" s="215">
        <f ca="1">IF($D665&lt;&gt;"Serviço",0,IF(AND(AUTOEVENTO="Manual",$M665=1),0,IF(OFFSET(CRONOPLE!$F$14,$M665,BJ$13)="",10^12,OFFSET(CRONOPLE!$F$14,$M665,BJ$13))))</f>
        <v>1000000000000</v>
      </c>
      <c r="BK665" s="215">
        <f ca="1">IF($D665&lt;&gt;"Serviço",0,IF(AND(AUTOEVENTO="Manual",$M665=1),0,IF(OFFSET(CRONOPLE!$F$14,$M665,BK$13)="",10^12,OFFSET(CRONOPLE!$F$14,$M665,BK$13))))</f>
        <v>1000000000000</v>
      </c>
      <c r="BL665" s="215">
        <f ca="1">IF($D665&lt;&gt;"Serviço",0,IF(AND(AUTOEVENTO="Manual",$M665=1),0,IF(OFFSET(CRONOPLE!$F$14,$M665,BL$13)="",10^12,OFFSET(CRONOPLE!$F$14,$M665,BL$13))))</f>
        <v>1000000000000</v>
      </c>
      <c r="BM665" s="215">
        <f ca="1">IF($D665&lt;&gt;"Serviço",0,IF(AND(AUTOEVENTO="Manual",$M665=1),0,IF(OFFSET(CRONOPLE!$F$14,$M665,BM$13)="",10^12,OFFSET(CRONOPLE!$F$14,$M665,BM$13))))</f>
        <v>1000000000000</v>
      </c>
      <c r="BN665" s="215">
        <f ca="1">IF($D665&lt;&gt;"Serviço",0,IF(AND(AUTOEVENTO="Manual",$M665=1),0,IF(OFFSET(CRONOPLE!$F$14,$M665,BN$13)="",10^12,OFFSET(CRONOPLE!$F$14,$M665,BN$13))))</f>
        <v>1000000000000</v>
      </c>
      <c r="BO665" s="215">
        <f ca="1">IF($D665&lt;&gt;"Serviço",0,IF(AND(AUTOEVENTO="Manual",$M665=1),0,IF(OFFSET(CRONOPLE!$F$14,$M665,BO$13)="",10^12,OFFSET(CRONOPLE!$F$14,$M665,BO$13))))</f>
        <v>1000000000000</v>
      </c>
      <c r="BP665" s="215">
        <f ca="1">IF($D665&lt;&gt;"Serviço",0,IF(AND(AUTOEVENTO="Manual",$M665=1),0,IF(OFFSET(CRONOPLE!$F$14,$M665,BP$13)="",10^12,OFFSET(CRONOPLE!$F$14,$M665,BP$13))))</f>
        <v>1000000000000</v>
      </c>
      <c r="BQ665" s="215">
        <f ca="1">IF($D665&lt;&gt;"Serviço",0,IF(AND(AUTOEVENTO="Manual",$M665=1),0,IF(OFFSET(CRONOPLE!$F$14,$M665,BQ$13)="",10^12,OFFSET(CRONOPLE!$F$14,$M665,BQ$13))))</f>
        <v>1000000000000</v>
      </c>
      <c r="BR665" s="215">
        <f ca="1">IF($D665&lt;&gt;"Serviço",0,IF(AND(AUTOEVENTO="Manual",$M665=1),0,IF(OFFSET(CRONOPLE!$F$14,$M665,BR$13)="",10^12,OFFSET(CRONOPLE!$F$14,$M665,BR$13))))</f>
        <v>1000000000000</v>
      </c>
      <c r="BS665" s="215">
        <f ca="1">IF($D665&lt;&gt;"Serviço",0,IF(AND(AUTOEVENTO="Manual",$M665=1),0,IF(OFFSET(CRONOPLE!$F$14,$M665,BS$13)="",10^12,OFFSET(CRONOPLE!$F$14,$M665,BS$13))))</f>
        <v>1000000000000</v>
      </c>
      <c r="BT665" s="215">
        <f ca="1">IF($D665&lt;&gt;"Serviço",0,IF(AND(AUTOEVENTO="Manual",$M665=1),0,IF(OFFSET(CRONOPLE!$F$14,$M665,BT$13)="",10^12,OFFSET(CRONOPLE!$F$14,$M665,BT$13))))</f>
        <v>1000000000000</v>
      </c>
      <c r="BV665" s="216">
        <f ca="1">IF($D665&lt;&gt;"Serviço",0,IF(OR(AND(AUTOEVENTO="Manual",$M665=1),$M665&gt;(ROW(PLE.lastrow)-ROW(PLE.firstrow))),0,IF(OFFSET(PLE!$G$14,$M665,BV$13)="",10^12,OFFSET(PLE!$G$14,$M665,BV$13))))</f>
        <v>1000000000000</v>
      </c>
      <c r="BW665" s="216">
        <f ca="1">IF($D665&lt;&gt;"Serviço",0,IF(OR(AND(AUTOEVENTO="Manual",$M665=1),$M665&gt;(ROW(PLE.lastrow)-ROW(PLE.firstrow))),0,IF(OFFSET(PLE!$G$14,$M665,BW$13)="",10^12,OFFSET(PLE!$G$14,$M665,BW$13))))</f>
        <v>1000000000000</v>
      </c>
      <c r="BX665" s="216">
        <f ca="1">IF($D665&lt;&gt;"Serviço",0,IF(OR(AND(AUTOEVENTO="Manual",$M665=1),$M665&gt;(ROW(PLE.lastrow)-ROW(PLE.firstrow))),0,IF(OFFSET(PLE!$G$14,$M665,BX$13)="",10^12,OFFSET(PLE!$G$14,$M665,BX$13))))</f>
        <v>1000000000000</v>
      </c>
      <c r="BY665" s="216">
        <f ca="1">IF($D665&lt;&gt;"Serviço",0,IF(OR(AND(AUTOEVENTO="Manual",$M665=1),$M665&gt;(ROW(PLE.lastrow)-ROW(PLE.firstrow))),0,IF(OFFSET(PLE!$G$14,$M665,BY$13)="",10^12,OFFSET(PLE!$G$14,$M665,BY$13))))</f>
        <v>1000000000000</v>
      </c>
      <c r="BZ665" s="216">
        <f ca="1">IF($D665&lt;&gt;"Serviço",0,IF(OR(AND(AUTOEVENTO="Manual",$M665=1),$M665&gt;(ROW(PLE.lastrow)-ROW(PLE.firstrow))),0,IF(OFFSET(PLE!$G$14,$M665,BZ$13)="",10^12,OFFSET(PLE!$G$14,$M665,BZ$13))))</f>
        <v>1000000000000</v>
      </c>
      <c r="CA665" s="216">
        <f ca="1">IF($D665&lt;&gt;"Serviço",0,IF(OR(AND(AUTOEVENTO="Manual",$M665=1),$M665&gt;(ROW(PLE.lastrow)-ROW(PLE.firstrow))),0,IF(OFFSET(PLE!$G$14,$M665,CA$13)="",10^12,OFFSET(PLE!$G$14,$M665,CA$13))))</f>
        <v>1000000000000</v>
      </c>
      <c r="CB665" s="216">
        <f ca="1">IF($D665&lt;&gt;"Serviço",0,IF(OR(AND(AUTOEVENTO="Manual",$M665=1),$M665&gt;(ROW(PLE.lastrow)-ROW(PLE.firstrow))),0,IF(OFFSET(PLE!$G$14,$M665,CB$13)="",10^12,OFFSET(PLE!$G$14,$M665,CB$13))))</f>
        <v>1000000000000</v>
      </c>
      <c r="CC665" s="216">
        <f ca="1">IF($D665&lt;&gt;"Serviço",0,IF(OR(AND(AUTOEVENTO="Manual",$M665=1),$M665&gt;(ROW(PLE.lastrow)-ROW(PLE.firstrow))),0,IF(OFFSET(PLE!$G$14,$M665,CC$13)="",10^12,OFFSET(PLE!$G$14,$M665,CC$13))))</f>
        <v>1000000000000</v>
      </c>
      <c r="CD665" s="216">
        <f ca="1">IF($D665&lt;&gt;"Serviço",0,IF(OR(AND(AUTOEVENTO="Manual",$M665=1),$M665&gt;(ROW(PLE.lastrow)-ROW(PLE.firstrow))),0,IF(OFFSET(PLE!$G$14,$M665,CD$13)="",10^12,OFFSET(PLE!$G$14,$M665,CD$13))))</f>
        <v>1000000000000</v>
      </c>
      <c r="CE665" s="216">
        <f ca="1">IF($D665&lt;&gt;"Serviço",0,IF(OR(AND(AUTOEVENTO="Manual",$M665=1),$M665&gt;(ROW(PLE.lastrow)-ROW(PLE.firstrow))),0,IF(OFFSET(PLE!$G$14,$M665,CE$13)="",10^12,OFFSET(PLE!$G$14,$M665,CE$13))))</f>
        <v>1000000000000</v>
      </c>
      <c r="CF665" s="216">
        <f ca="1">IF($D665&lt;&gt;"Serviço",0,IF(OR(AND(AUTOEVENTO="Manual",$M665=1),$M665&gt;(ROW(PLE.lastrow)-ROW(PLE.firstrow))),0,IF(OFFSET(PLE!$G$14,$M665,CF$13)="",10^12,OFFSET(PLE!$G$14,$M665,CF$13))))</f>
        <v>1000000000000</v>
      </c>
      <c r="CG665" s="216">
        <f ca="1">IF($D665&lt;&gt;"Serviço",0,IF(OR(AND(AUTOEVENTO="Manual",$M665=1),$M665&gt;(ROW(PLE.lastrow)-ROW(PLE.firstrow))),0,IF(OFFSET(PLE!$G$14,$M665,CG$13)="",10^12,OFFSET(PLE!$G$14,$M665,CG$13))))</f>
        <v>1000000000000</v>
      </c>
      <c r="CH665" s="216">
        <f ca="1">IF($D665&lt;&gt;"Serviço",0,IF(OR(AND(AUTOEVENTO="Manual",$M665=1),$M665&gt;(ROW(PLE.lastrow)-ROW(PLE.firstrow))),0,IF(OFFSET(PLE!$G$14,$M665,CH$13)="",10^12,OFFSET(PLE!$G$14,$M665,CH$13))))</f>
        <v>1000000000000</v>
      </c>
      <c r="CI665" s="216">
        <f ca="1">IF($D665&lt;&gt;"Serviço",0,IF(OR(AND(AUTOEVENTO="Manual",$M665=1),$M665&gt;(ROW(PLE.lastrow)-ROW(PLE.firstrow))),0,IF(OFFSET(PLE!$G$14,$M665,CI$13)="",10^12,OFFSET(PLE!$G$14,$M665,CI$13))))</f>
        <v>1000000000000</v>
      </c>
      <c r="CJ665" s="216">
        <f ca="1">IF($D665&lt;&gt;"Serviço",0,IF(OR(AND(AUTOEVENTO="Manual",$M665=1),$M665&gt;(ROW(PLE.lastrow)-ROW(PLE.firstrow))),0,IF(OFFSET(PLE!$G$14,$M665,CJ$13)="",10^12,OFFSET(PLE!$G$14,$M665,CJ$13))))</f>
        <v>1000000000000</v>
      </c>
      <c r="CK665" s="216">
        <f ca="1">IF($D665&lt;&gt;"Serviço",0,IF(OR(AND(AUTOEVENTO="Manual",$M665=1),$M665&gt;(ROW(PLE.lastrow)-ROW(PLE.firstrow))),0,IF(OFFSET(PLE!$G$14,$M665,CK$13)="",10^12,OFFSET(PLE!$G$14,$M665,CK$13))))</f>
        <v>1000000000000</v>
      </c>
      <c r="CL665" s="216">
        <f ca="1">IF($D665&lt;&gt;"Serviço",0,IF(OR(AND(AUTOEVENTO="Manual",$M665=1),$M665&gt;(ROW(PLE.lastrow)-ROW(PLE.firstrow))),0,IF(OFFSET(PLE!$G$14,$M665,CL$13)="",10^12,OFFSET(PLE!$G$14,$M665,CL$13))))</f>
        <v>1000000000000</v>
      </c>
      <c r="CM665" s="216">
        <f ca="1">IF($D665&lt;&gt;"Serviço",0,IF(OR(AND(AUTOEVENTO="Manual",$M665=1),$M665&gt;(ROW(PLE.lastrow)-ROW(PLE.firstrow))),0,IF(OFFSET(PLE!$G$14,$M665,CM$13)="",10^12,OFFSET(PLE!$G$14,$M665,CM$13))))</f>
        <v>1000000000000</v>
      </c>
    </row>
    <row r="666" spans="1:91" ht="13.2" x14ac:dyDescent="0.25">
      <c r="A666" s="9">
        <f t="shared" ca="1" si="20"/>
        <v>0</v>
      </c>
      <c r="B666" s="9" t="str">
        <f ca="1">OFFSET(ORÇAMENTO!C$15,ROW(B666)-ROW(B$15),0)</f>
        <v>S</v>
      </c>
      <c r="C666" s="9" t="str">
        <f ca="1">OFFSET(ORÇAMENTO!L$15,ROW(C666)-ROW(C$15),0)</f>
        <v/>
      </c>
      <c r="D666" s="145" t="str">
        <f ca="1">OFFSET(ORÇAMENTO!N$15,ROW(D666)-ROW(D$15),0)</f>
        <v>Serviço</v>
      </c>
      <c r="E666" s="205" t="str">
        <f ca="1">OFFSET(ORÇAMENTO!O$15,ROW(E666)-ROW(E$15),0)</f>
        <v>-</v>
      </c>
      <c r="F666" s="206" t="str">
        <f ca="1">OFFSET(ORÇAMENTO!R$15,ROW(F666)-ROW(F$15),0)</f>
        <v>(abra o arquivo 'Referência 05-2024.xls)</v>
      </c>
      <c r="G666" s="207" t="str">
        <f ca="1">IF($D666&lt;&gt;"Serviço","",OFFSET(ORÇAMENTO!S$15,ROW(G666)-ROW(G$15),0))</f>
        <v>-</v>
      </c>
      <c r="H666" s="151">
        <f ca="1">IF($D666&lt;&gt;"Serviço",0,IF(ACOMPANHAMENTO="BM",ROUND(OFFSET(ORÇAMENTO!AJ$15,ROW(H666)-ROW(H$15),0),15-13*ORÇAMENTO!$AF$7),SUMPRODUCT(($Q$12:$AI$12&lt;&gt;"")*ROUND($Q666:$AI666,15-13*ORÇAMENTO!$AF$7))))</f>
        <v>25.4</v>
      </c>
      <c r="I666" s="650"/>
      <c r="K666" s="208"/>
      <c r="L666" s="209" t="s">
        <v>257</v>
      </c>
      <c r="M666" s="210">
        <f ca="1">IF($D666&lt;&gt;"Serviço","",IF(AUTOEVENTO="manual",$A666,IF(ISERROR(MATCH($A666,$A$15:OFFSET($A666,-1,0),0)),MAX($M$15:OFFSET(M666,-1,0))+1,INDEX($M$15:OFFSET(M666,-1,0),MATCH($A666,$A$15:OFFSET($A666,-1,0),0)))))</f>
        <v>0</v>
      </c>
      <c r="N666" s="211" t="str">
        <f ca="1">IF($D666&lt;&gt;"Serviço","",IF(AUTOEVENTO="Manual",IF($A666=0,"&lt;-- defina o número do agrupador",OFFSET(EVENTOS!$D$14,$A666,0)),OFFSET($F$15,$A666,0)))</f>
        <v>&lt;-- defina o número do agrupador</v>
      </c>
      <c r="O666" s="212"/>
      <c r="Q666" s="212"/>
      <c r="R666" s="213"/>
      <c r="S666" s="213"/>
      <c r="T666" s="213"/>
      <c r="U666" s="213"/>
      <c r="V666" s="213"/>
      <c r="W666" s="213"/>
      <c r="X666" s="213"/>
      <c r="Y666" s="213"/>
      <c r="Z666" s="214"/>
      <c r="AA666" s="213"/>
      <c r="AB666" s="213"/>
      <c r="AC666" s="213"/>
      <c r="AD666" s="213"/>
      <c r="AE666" s="213"/>
      <c r="AF666" s="213"/>
      <c r="AG666" s="213"/>
      <c r="AH666" s="214"/>
      <c r="AJ666" s="631">
        <f ca="1">IF(AND($D666="Serviço",AJ$12&lt;&gt;0,$H666&gt;0,OR(AUTOEVENTO&lt;&gt;"manual",$M666&lt;&gt;1)),ROUND(OFFSET($P666,0,AJ$13),15-13*ORÇAMENTO!$AF$7)/$H666*OFFSET(ORÇAMENTO!$X$15,ROW(AJ666)-ROW(AJ$15),0),0)</f>
        <v>0</v>
      </c>
      <c r="AK666" s="632">
        <f ca="1">IF(AND($D666="Serviço",AK$12&lt;&gt;0,$H666&gt;0,OR(AUTOEVENTO&lt;&gt;"manual",$M666&lt;&gt;1)),ROUND(OFFSET($P666,0,AK$13),15-13*ORÇAMENTO!$AF$7)/$H666*OFFSET(ORÇAMENTO!$X$15,ROW(AK666)-ROW(AK$15),0),0)</f>
        <v>0</v>
      </c>
      <c r="AL666" s="632">
        <f ca="1">IF(AND($D666="Serviço",AL$12&lt;&gt;0,$H666&gt;0,OR(AUTOEVENTO&lt;&gt;"manual",$M666&lt;&gt;1)),ROUND(OFFSET($P666,0,AL$13),15-13*ORÇAMENTO!$AF$7)/$H666*OFFSET(ORÇAMENTO!$X$15,ROW(AL666)-ROW(AL$15),0),0)</f>
        <v>0</v>
      </c>
      <c r="AM666" s="632">
        <f ca="1">IF(AND($D666="Serviço",AM$12&lt;&gt;0,$H666&gt;0,OR(AUTOEVENTO&lt;&gt;"manual",$M666&lt;&gt;1)),ROUND(OFFSET($P666,0,AM$13),15-13*ORÇAMENTO!$AF$7)/$H666*OFFSET(ORÇAMENTO!$X$15,ROW(AM666)-ROW(AM$15),0),0)</f>
        <v>0</v>
      </c>
      <c r="AN666" s="632">
        <f ca="1">IF(AND($D666="Serviço",AN$12&lt;&gt;0,$H666&gt;0,OR(AUTOEVENTO&lt;&gt;"manual",$M666&lt;&gt;1)),ROUND(OFFSET($P666,0,AN$13),15-13*ORÇAMENTO!$AF$7)/$H666*OFFSET(ORÇAMENTO!$X$15,ROW(AN666)-ROW(AN$15),0),0)</f>
        <v>0</v>
      </c>
      <c r="AO666" s="632">
        <f ca="1">IF(AND($D666="Serviço",AO$12&lt;&gt;0,$H666&gt;0,OR(AUTOEVENTO&lt;&gt;"manual",$M666&lt;&gt;1)),ROUND(OFFSET($P666,0,AO$13),15-13*ORÇAMENTO!$AF$7)/$H666*OFFSET(ORÇAMENTO!$X$15,ROW(AO666)-ROW(AO$15),0),0)</f>
        <v>0</v>
      </c>
      <c r="AP666" s="632">
        <f ca="1">IF(AND($D666="Serviço",AP$12&lt;&gt;0,$H666&gt;0,OR(AUTOEVENTO&lt;&gt;"manual",$M666&lt;&gt;1)),ROUND(OFFSET($P666,0,AP$13),15-13*ORÇAMENTO!$AF$7)/$H666*OFFSET(ORÇAMENTO!$X$15,ROW(AP666)-ROW(AP$15),0),0)</f>
        <v>0</v>
      </c>
      <c r="AQ666" s="632">
        <f ca="1">IF(AND($D666="Serviço",AQ$12&lt;&gt;0,$H666&gt;0,OR(AUTOEVENTO&lt;&gt;"manual",$M666&lt;&gt;1)),ROUND(OFFSET($P666,0,AQ$13),15-13*ORÇAMENTO!$AF$7)/$H666*OFFSET(ORÇAMENTO!$X$15,ROW(AQ666)-ROW(AQ$15),0),0)</f>
        <v>0</v>
      </c>
      <c r="AR666" s="632">
        <f ca="1">IF(AND($D666="Serviço",AR$12&lt;&gt;0,$H666&gt;0,OR(AUTOEVENTO&lt;&gt;"manual",$M666&lt;&gt;1)),ROUND(OFFSET($P666,0,AR$13),15-13*ORÇAMENTO!$AF$7)/$H666*OFFSET(ORÇAMENTO!$X$15,ROW(AR666)-ROW(AR$15),0),0)</f>
        <v>0</v>
      </c>
      <c r="AS666" s="633">
        <f ca="1">IF(AND($D666="Serviço",AS$12&lt;&gt;0,$H666&gt;0,OR(AUTOEVENTO&lt;&gt;"manual",$M666&lt;&gt;1)),ROUND(OFFSET($P666,0,AS$13),15-13*ORÇAMENTO!$AF$7)/$H666*OFFSET(ORÇAMENTO!$X$15,ROW(AS666)-ROW(AS$15),0),0)</f>
        <v>0</v>
      </c>
      <c r="AT666" s="632">
        <f ca="1">IF(AND($D666="Serviço",AT$12&lt;&gt;0,$H666&gt;0,OR(AUTOEVENTO&lt;&gt;"manual",$M666&lt;&gt;1)),ROUND(OFFSET($P666,0,AT$13),15-13*ORÇAMENTO!$AF$7)/$H666*OFFSET(ORÇAMENTO!$X$15,ROW(AT666)-ROW(AT$15),0),0)</f>
        <v>0</v>
      </c>
      <c r="AU666" s="632">
        <f ca="1">IF(AND($D666="Serviço",AU$12&lt;&gt;0,$H666&gt;0,OR(AUTOEVENTO&lt;&gt;"manual",$M666&lt;&gt;1)),ROUND(OFFSET($P666,0,AU$13),15-13*ORÇAMENTO!$AF$7)/$H666*OFFSET(ORÇAMENTO!$X$15,ROW(AU666)-ROW(AU$15),0),0)</f>
        <v>0</v>
      </c>
      <c r="AV666" s="632">
        <f ca="1">IF(AND($D666="Serviço",AV$12&lt;&gt;0,$H666&gt;0,OR(AUTOEVENTO&lt;&gt;"manual",$M666&lt;&gt;1)),ROUND(OFFSET($P666,0,AV$13),15-13*ORÇAMENTO!$AF$7)/$H666*OFFSET(ORÇAMENTO!$X$15,ROW(AV666)-ROW(AV$15),0),0)</f>
        <v>0</v>
      </c>
      <c r="AW666" s="632">
        <f ca="1">IF(AND($D666="Serviço",AW$12&lt;&gt;0,$H666&gt;0,OR(AUTOEVENTO&lt;&gt;"manual",$M666&lt;&gt;1)),ROUND(OFFSET($P666,0,AW$13),15-13*ORÇAMENTO!$AF$7)/$H666*OFFSET(ORÇAMENTO!$X$15,ROW(AW666)-ROW(AW$15),0),0)</f>
        <v>0</v>
      </c>
      <c r="AX666" s="632">
        <f ca="1">IF(AND($D666="Serviço",AX$12&lt;&gt;0,$H666&gt;0,OR(AUTOEVENTO&lt;&gt;"manual",$M666&lt;&gt;1)),ROUND(OFFSET($P666,0,AX$13),15-13*ORÇAMENTO!$AF$7)/$H666*OFFSET(ORÇAMENTO!$X$15,ROW(AX666)-ROW(AX$15),0),0)</f>
        <v>0</v>
      </c>
      <c r="AY666" s="632">
        <f ca="1">IF(AND($D666="Serviço",AY$12&lt;&gt;0,$H666&gt;0,OR(AUTOEVENTO&lt;&gt;"manual",$M666&lt;&gt;1)),ROUND(OFFSET($P666,0,AY$13),15-13*ORÇAMENTO!$AF$7)/$H666*OFFSET(ORÇAMENTO!$X$15,ROW(AY666)-ROW(AY$15),0),0)</f>
        <v>0</v>
      </c>
      <c r="AZ666" s="632">
        <f ca="1">IF(AND($D666="Serviço",AZ$12&lt;&gt;0,$H666&gt;0,OR(AUTOEVENTO&lt;&gt;"manual",$M666&lt;&gt;1)),ROUND(OFFSET($P666,0,AZ$13),15-13*ORÇAMENTO!$AF$7)/$H666*OFFSET(ORÇAMENTO!$X$15,ROW(AZ666)-ROW(AZ$15),0),0)</f>
        <v>0</v>
      </c>
      <c r="BA666" s="633">
        <f ca="1">IF(AND($D666="Serviço",BA$12&lt;&gt;0,$H666&gt;0,OR(AUTOEVENTO&lt;&gt;"manual",$M666&lt;&gt;1)),ROUND(OFFSET($P666,0,BA$13),15-13*ORÇAMENTO!$AF$7)/$H666*OFFSET(ORÇAMENTO!$X$15,ROW(BA666)-ROW(BA$15),0),0)</f>
        <v>0</v>
      </c>
      <c r="BC666" s="215">
        <f ca="1">IF($D666&lt;&gt;"Serviço",0,IF(AND(AUTOEVENTO="Manual",$M666=1),0,IF(OFFSET(CRONOPLE!$F$14,$M666,BC$13)="",10^12,OFFSET(CRONOPLE!$F$14,$M666,BC$13))))</f>
        <v>1000000000000</v>
      </c>
      <c r="BD666" s="215">
        <f ca="1">IF($D666&lt;&gt;"Serviço",0,IF(AND(AUTOEVENTO="Manual",$M666=1),0,IF(OFFSET(CRONOPLE!$F$14,$M666,BD$13)="",10^12,OFFSET(CRONOPLE!$F$14,$M666,BD$13))))</f>
        <v>1000000000000</v>
      </c>
      <c r="BE666" s="215">
        <f ca="1">IF($D666&lt;&gt;"Serviço",0,IF(AND(AUTOEVENTO="Manual",$M666=1),0,IF(OFFSET(CRONOPLE!$F$14,$M666,BE$13)="",10^12,OFFSET(CRONOPLE!$F$14,$M666,BE$13))))</f>
        <v>1000000000000</v>
      </c>
      <c r="BF666" s="215">
        <f ca="1">IF($D666&lt;&gt;"Serviço",0,IF(AND(AUTOEVENTO="Manual",$M666=1),0,IF(OFFSET(CRONOPLE!$F$14,$M666,BF$13)="",10^12,OFFSET(CRONOPLE!$F$14,$M666,BF$13))))</f>
        <v>1000000000000</v>
      </c>
      <c r="BG666" s="215">
        <f ca="1">IF($D666&lt;&gt;"Serviço",0,IF(AND(AUTOEVENTO="Manual",$M666=1),0,IF(OFFSET(CRONOPLE!$F$14,$M666,BG$13)="",10^12,OFFSET(CRONOPLE!$F$14,$M666,BG$13))))</f>
        <v>1000000000000</v>
      </c>
      <c r="BH666" s="215">
        <f ca="1">IF($D666&lt;&gt;"Serviço",0,IF(AND(AUTOEVENTO="Manual",$M666=1),0,IF(OFFSET(CRONOPLE!$F$14,$M666,BH$13)="",10^12,OFFSET(CRONOPLE!$F$14,$M666,BH$13))))</f>
        <v>1000000000000</v>
      </c>
      <c r="BI666" s="215">
        <f ca="1">IF($D666&lt;&gt;"Serviço",0,IF(AND(AUTOEVENTO="Manual",$M666=1),0,IF(OFFSET(CRONOPLE!$F$14,$M666,BI$13)="",10^12,OFFSET(CRONOPLE!$F$14,$M666,BI$13))))</f>
        <v>1000000000000</v>
      </c>
      <c r="BJ666" s="215">
        <f ca="1">IF($D666&lt;&gt;"Serviço",0,IF(AND(AUTOEVENTO="Manual",$M666=1),0,IF(OFFSET(CRONOPLE!$F$14,$M666,BJ$13)="",10^12,OFFSET(CRONOPLE!$F$14,$M666,BJ$13))))</f>
        <v>1000000000000</v>
      </c>
      <c r="BK666" s="215">
        <f ca="1">IF($D666&lt;&gt;"Serviço",0,IF(AND(AUTOEVENTO="Manual",$M666=1),0,IF(OFFSET(CRONOPLE!$F$14,$M666,BK$13)="",10^12,OFFSET(CRONOPLE!$F$14,$M666,BK$13))))</f>
        <v>1000000000000</v>
      </c>
      <c r="BL666" s="215">
        <f ca="1">IF($D666&lt;&gt;"Serviço",0,IF(AND(AUTOEVENTO="Manual",$M666=1),0,IF(OFFSET(CRONOPLE!$F$14,$M666,BL$13)="",10^12,OFFSET(CRONOPLE!$F$14,$M666,BL$13))))</f>
        <v>1000000000000</v>
      </c>
      <c r="BM666" s="215">
        <f ca="1">IF($D666&lt;&gt;"Serviço",0,IF(AND(AUTOEVENTO="Manual",$M666=1),0,IF(OFFSET(CRONOPLE!$F$14,$M666,BM$13)="",10^12,OFFSET(CRONOPLE!$F$14,$M666,BM$13))))</f>
        <v>1000000000000</v>
      </c>
      <c r="BN666" s="215">
        <f ca="1">IF($D666&lt;&gt;"Serviço",0,IF(AND(AUTOEVENTO="Manual",$M666=1),0,IF(OFFSET(CRONOPLE!$F$14,$M666,BN$13)="",10^12,OFFSET(CRONOPLE!$F$14,$M666,BN$13))))</f>
        <v>1000000000000</v>
      </c>
      <c r="BO666" s="215">
        <f ca="1">IF($D666&lt;&gt;"Serviço",0,IF(AND(AUTOEVENTO="Manual",$M666=1),0,IF(OFFSET(CRONOPLE!$F$14,$M666,BO$13)="",10^12,OFFSET(CRONOPLE!$F$14,$M666,BO$13))))</f>
        <v>1000000000000</v>
      </c>
      <c r="BP666" s="215">
        <f ca="1">IF($D666&lt;&gt;"Serviço",0,IF(AND(AUTOEVENTO="Manual",$M666=1),0,IF(OFFSET(CRONOPLE!$F$14,$M666,BP$13)="",10^12,OFFSET(CRONOPLE!$F$14,$M666,BP$13))))</f>
        <v>1000000000000</v>
      </c>
      <c r="BQ666" s="215">
        <f ca="1">IF($D666&lt;&gt;"Serviço",0,IF(AND(AUTOEVENTO="Manual",$M666=1),0,IF(OFFSET(CRONOPLE!$F$14,$M666,BQ$13)="",10^12,OFFSET(CRONOPLE!$F$14,$M666,BQ$13))))</f>
        <v>1000000000000</v>
      </c>
      <c r="BR666" s="215">
        <f ca="1">IF($D666&lt;&gt;"Serviço",0,IF(AND(AUTOEVENTO="Manual",$M666=1),0,IF(OFFSET(CRONOPLE!$F$14,$M666,BR$13)="",10^12,OFFSET(CRONOPLE!$F$14,$M666,BR$13))))</f>
        <v>1000000000000</v>
      </c>
      <c r="BS666" s="215">
        <f ca="1">IF($D666&lt;&gt;"Serviço",0,IF(AND(AUTOEVENTO="Manual",$M666=1),0,IF(OFFSET(CRONOPLE!$F$14,$M666,BS$13)="",10^12,OFFSET(CRONOPLE!$F$14,$M666,BS$13))))</f>
        <v>1000000000000</v>
      </c>
      <c r="BT666" s="215">
        <f ca="1">IF($D666&lt;&gt;"Serviço",0,IF(AND(AUTOEVENTO="Manual",$M666=1),0,IF(OFFSET(CRONOPLE!$F$14,$M666,BT$13)="",10^12,OFFSET(CRONOPLE!$F$14,$M666,BT$13))))</f>
        <v>1000000000000</v>
      </c>
      <c r="BV666" s="216">
        <f ca="1">IF($D666&lt;&gt;"Serviço",0,IF(OR(AND(AUTOEVENTO="Manual",$M666=1),$M666&gt;(ROW(PLE.lastrow)-ROW(PLE.firstrow))),0,IF(OFFSET(PLE!$G$14,$M666,BV$13)="",10^12,OFFSET(PLE!$G$14,$M666,BV$13))))</f>
        <v>1000000000000</v>
      </c>
      <c r="BW666" s="216">
        <f ca="1">IF($D666&lt;&gt;"Serviço",0,IF(OR(AND(AUTOEVENTO="Manual",$M666=1),$M666&gt;(ROW(PLE.lastrow)-ROW(PLE.firstrow))),0,IF(OFFSET(PLE!$G$14,$M666,BW$13)="",10^12,OFFSET(PLE!$G$14,$M666,BW$13))))</f>
        <v>1000000000000</v>
      </c>
      <c r="BX666" s="216">
        <f ca="1">IF($D666&lt;&gt;"Serviço",0,IF(OR(AND(AUTOEVENTO="Manual",$M666=1),$M666&gt;(ROW(PLE.lastrow)-ROW(PLE.firstrow))),0,IF(OFFSET(PLE!$G$14,$M666,BX$13)="",10^12,OFFSET(PLE!$G$14,$M666,BX$13))))</f>
        <v>1000000000000</v>
      </c>
      <c r="BY666" s="216">
        <f ca="1">IF($D666&lt;&gt;"Serviço",0,IF(OR(AND(AUTOEVENTO="Manual",$M666=1),$M666&gt;(ROW(PLE.lastrow)-ROW(PLE.firstrow))),0,IF(OFFSET(PLE!$G$14,$M666,BY$13)="",10^12,OFFSET(PLE!$G$14,$M666,BY$13))))</f>
        <v>1000000000000</v>
      </c>
      <c r="BZ666" s="216">
        <f ca="1">IF($D666&lt;&gt;"Serviço",0,IF(OR(AND(AUTOEVENTO="Manual",$M666=1),$M666&gt;(ROW(PLE.lastrow)-ROW(PLE.firstrow))),0,IF(OFFSET(PLE!$G$14,$M666,BZ$13)="",10^12,OFFSET(PLE!$G$14,$M666,BZ$13))))</f>
        <v>1000000000000</v>
      </c>
      <c r="CA666" s="216">
        <f ca="1">IF($D666&lt;&gt;"Serviço",0,IF(OR(AND(AUTOEVENTO="Manual",$M666=1),$M666&gt;(ROW(PLE.lastrow)-ROW(PLE.firstrow))),0,IF(OFFSET(PLE!$G$14,$M666,CA$13)="",10^12,OFFSET(PLE!$G$14,$M666,CA$13))))</f>
        <v>1000000000000</v>
      </c>
      <c r="CB666" s="216">
        <f ca="1">IF($D666&lt;&gt;"Serviço",0,IF(OR(AND(AUTOEVENTO="Manual",$M666=1),$M666&gt;(ROW(PLE.lastrow)-ROW(PLE.firstrow))),0,IF(OFFSET(PLE!$G$14,$M666,CB$13)="",10^12,OFFSET(PLE!$G$14,$M666,CB$13))))</f>
        <v>1000000000000</v>
      </c>
      <c r="CC666" s="216">
        <f ca="1">IF($D666&lt;&gt;"Serviço",0,IF(OR(AND(AUTOEVENTO="Manual",$M666=1),$M666&gt;(ROW(PLE.lastrow)-ROW(PLE.firstrow))),0,IF(OFFSET(PLE!$G$14,$M666,CC$13)="",10^12,OFFSET(PLE!$G$14,$M666,CC$13))))</f>
        <v>1000000000000</v>
      </c>
      <c r="CD666" s="216">
        <f ca="1">IF($D666&lt;&gt;"Serviço",0,IF(OR(AND(AUTOEVENTO="Manual",$M666=1),$M666&gt;(ROW(PLE.lastrow)-ROW(PLE.firstrow))),0,IF(OFFSET(PLE!$G$14,$M666,CD$13)="",10^12,OFFSET(PLE!$G$14,$M666,CD$13))))</f>
        <v>1000000000000</v>
      </c>
      <c r="CE666" s="216">
        <f ca="1">IF($D666&lt;&gt;"Serviço",0,IF(OR(AND(AUTOEVENTO="Manual",$M666=1),$M666&gt;(ROW(PLE.lastrow)-ROW(PLE.firstrow))),0,IF(OFFSET(PLE!$G$14,$M666,CE$13)="",10^12,OFFSET(PLE!$G$14,$M666,CE$13))))</f>
        <v>1000000000000</v>
      </c>
      <c r="CF666" s="216">
        <f ca="1">IF($D666&lt;&gt;"Serviço",0,IF(OR(AND(AUTOEVENTO="Manual",$M666=1),$M666&gt;(ROW(PLE.lastrow)-ROW(PLE.firstrow))),0,IF(OFFSET(PLE!$G$14,$M666,CF$13)="",10^12,OFFSET(PLE!$G$14,$M666,CF$13))))</f>
        <v>1000000000000</v>
      </c>
      <c r="CG666" s="216">
        <f ca="1">IF($D666&lt;&gt;"Serviço",0,IF(OR(AND(AUTOEVENTO="Manual",$M666=1),$M666&gt;(ROW(PLE.lastrow)-ROW(PLE.firstrow))),0,IF(OFFSET(PLE!$G$14,$M666,CG$13)="",10^12,OFFSET(PLE!$G$14,$M666,CG$13))))</f>
        <v>1000000000000</v>
      </c>
      <c r="CH666" s="216">
        <f ca="1">IF($D666&lt;&gt;"Serviço",0,IF(OR(AND(AUTOEVENTO="Manual",$M666=1),$M666&gt;(ROW(PLE.lastrow)-ROW(PLE.firstrow))),0,IF(OFFSET(PLE!$G$14,$M666,CH$13)="",10^12,OFFSET(PLE!$G$14,$M666,CH$13))))</f>
        <v>1000000000000</v>
      </c>
      <c r="CI666" s="216">
        <f ca="1">IF($D666&lt;&gt;"Serviço",0,IF(OR(AND(AUTOEVENTO="Manual",$M666=1),$M666&gt;(ROW(PLE.lastrow)-ROW(PLE.firstrow))),0,IF(OFFSET(PLE!$G$14,$M666,CI$13)="",10^12,OFFSET(PLE!$G$14,$M666,CI$13))))</f>
        <v>1000000000000</v>
      </c>
      <c r="CJ666" s="216">
        <f ca="1">IF($D666&lt;&gt;"Serviço",0,IF(OR(AND(AUTOEVENTO="Manual",$M666=1),$M666&gt;(ROW(PLE.lastrow)-ROW(PLE.firstrow))),0,IF(OFFSET(PLE!$G$14,$M666,CJ$13)="",10^12,OFFSET(PLE!$G$14,$M666,CJ$13))))</f>
        <v>1000000000000</v>
      </c>
      <c r="CK666" s="216">
        <f ca="1">IF($D666&lt;&gt;"Serviço",0,IF(OR(AND(AUTOEVENTO="Manual",$M666=1),$M666&gt;(ROW(PLE.lastrow)-ROW(PLE.firstrow))),0,IF(OFFSET(PLE!$G$14,$M666,CK$13)="",10^12,OFFSET(PLE!$G$14,$M666,CK$13))))</f>
        <v>1000000000000</v>
      </c>
      <c r="CL666" s="216">
        <f ca="1">IF($D666&lt;&gt;"Serviço",0,IF(OR(AND(AUTOEVENTO="Manual",$M666=1),$M666&gt;(ROW(PLE.lastrow)-ROW(PLE.firstrow))),0,IF(OFFSET(PLE!$G$14,$M666,CL$13)="",10^12,OFFSET(PLE!$G$14,$M666,CL$13))))</f>
        <v>1000000000000</v>
      </c>
      <c r="CM666" s="216">
        <f ca="1">IF($D666&lt;&gt;"Serviço",0,IF(OR(AND(AUTOEVENTO="Manual",$M666=1),$M666&gt;(ROW(PLE.lastrow)-ROW(PLE.firstrow))),0,IF(OFFSET(PLE!$G$14,$M666,CM$13)="",10^12,OFFSET(PLE!$G$14,$M666,CM$13))))</f>
        <v>1000000000000</v>
      </c>
    </row>
    <row r="667" spans="1:91" ht="13.2" x14ac:dyDescent="0.25">
      <c r="A667" s="9">
        <f t="shared" ca="1" si="20"/>
        <v>0</v>
      </c>
      <c r="B667" s="9" t="str">
        <f ca="1">OFFSET(ORÇAMENTO!C$15,ROW(B667)-ROW(B$15),0)</f>
        <v>S</v>
      </c>
      <c r="C667" s="9" t="str">
        <f ca="1">OFFSET(ORÇAMENTO!L$15,ROW(C667)-ROW(C$15),0)</f>
        <v/>
      </c>
      <c r="D667" s="145" t="str">
        <f ca="1">OFFSET(ORÇAMENTO!N$15,ROW(D667)-ROW(D$15),0)</f>
        <v>Serviço</v>
      </c>
      <c r="E667" s="205" t="str">
        <f ca="1">OFFSET(ORÇAMENTO!O$15,ROW(E667)-ROW(E$15),0)</f>
        <v>-</v>
      </c>
      <c r="F667" s="206" t="str">
        <f ca="1">OFFSET(ORÇAMENTO!R$15,ROW(F667)-ROW(F$15),0)</f>
        <v>(abra o arquivo 'Referência 05-2024.xls)</v>
      </c>
      <c r="G667" s="207" t="str">
        <f ca="1">IF($D667&lt;&gt;"Serviço","",OFFSET(ORÇAMENTO!S$15,ROW(G667)-ROW(G$15),0))</f>
        <v>-</v>
      </c>
      <c r="H667" s="151">
        <f ca="1">IF($D667&lt;&gt;"Serviço",0,IF(ACOMPANHAMENTO="BM",ROUND(OFFSET(ORÇAMENTO!AJ$15,ROW(H667)-ROW(H$15),0),15-13*ORÇAMENTO!$AF$7),SUMPRODUCT(($Q$12:$AI$12&lt;&gt;"")*ROUND($Q667:$AI667,15-13*ORÇAMENTO!$AF$7))))</f>
        <v>113.4</v>
      </c>
      <c r="I667" s="650"/>
      <c r="K667" s="208"/>
      <c r="L667" s="209" t="s">
        <v>257</v>
      </c>
      <c r="M667" s="210">
        <f ca="1">IF($D667&lt;&gt;"Serviço","",IF(AUTOEVENTO="manual",$A667,IF(ISERROR(MATCH($A667,$A$15:OFFSET($A667,-1,0),0)),MAX($M$15:OFFSET(M667,-1,0))+1,INDEX($M$15:OFFSET(M667,-1,0),MATCH($A667,$A$15:OFFSET($A667,-1,0),0)))))</f>
        <v>0</v>
      </c>
      <c r="N667" s="211" t="str">
        <f ca="1">IF($D667&lt;&gt;"Serviço","",IF(AUTOEVENTO="Manual",IF($A667=0,"&lt;-- defina o número do agrupador",OFFSET(EVENTOS!$D$14,$A667,0)),OFFSET($F$15,$A667,0)))</f>
        <v>&lt;-- defina o número do agrupador</v>
      </c>
      <c r="O667" s="212"/>
      <c r="Q667" s="212"/>
      <c r="R667" s="213"/>
      <c r="S667" s="213"/>
      <c r="T667" s="213"/>
      <c r="U667" s="213"/>
      <c r="V667" s="213"/>
      <c r="W667" s="213"/>
      <c r="X667" s="213"/>
      <c r="Y667" s="213"/>
      <c r="Z667" s="214"/>
      <c r="AA667" s="213"/>
      <c r="AB667" s="213"/>
      <c r="AC667" s="213"/>
      <c r="AD667" s="213"/>
      <c r="AE667" s="213"/>
      <c r="AF667" s="213"/>
      <c r="AG667" s="213"/>
      <c r="AH667" s="214"/>
      <c r="AJ667" s="631">
        <f ca="1">IF(AND($D667="Serviço",AJ$12&lt;&gt;0,$H667&gt;0,OR(AUTOEVENTO&lt;&gt;"manual",$M667&lt;&gt;1)),ROUND(OFFSET($P667,0,AJ$13),15-13*ORÇAMENTO!$AF$7)/$H667*OFFSET(ORÇAMENTO!$X$15,ROW(AJ667)-ROW(AJ$15),0),0)</f>
        <v>0</v>
      </c>
      <c r="AK667" s="632">
        <f ca="1">IF(AND($D667="Serviço",AK$12&lt;&gt;0,$H667&gt;0,OR(AUTOEVENTO&lt;&gt;"manual",$M667&lt;&gt;1)),ROUND(OFFSET($P667,0,AK$13),15-13*ORÇAMENTO!$AF$7)/$H667*OFFSET(ORÇAMENTO!$X$15,ROW(AK667)-ROW(AK$15),0),0)</f>
        <v>0</v>
      </c>
      <c r="AL667" s="632">
        <f ca="1">IF(AND($D667="Serviço",AL$12&lt;&gt;0,$H667&gt;0,OR(AUTOEVENTO&lt;&gt;"manual",$M667&lt;&gt;1)),ROUND(OFFSET($P667,0,AL$13),15-13*ORÇAMENTO!$AF$7)/$H667*OFFSET(ORÇAMENTO!$X$15,ROW(AL667)-ROW(AL$15),0),0)</f>
        <v>0</v>
      </c>
      <c r="AM667" s="632">
        <f ca="1">IF(AND($D667="Serviço",AM$12&lt;&gt;0,$H667&gt;0,OR(AUTOEVENTO&lt;&gt;"manual",$M667&lt;&gt;1)),ROUND(OFFSET($P667,0,AM$13),15-13*ORÇAMENTO!$AF$7)/$H667*OFFSET(ORÇAMENTO!$X$15,ROW(AM667)-ROW(AM$15),0),0)</f>
        <v>0</v>
      </c>
      <c r="AN667" s="632">
        <f ca="1">IF(AND($D667="Serviço",AN$12&lt;&gt;0,$H667&gt;0,OR(AUTOEVENTO&lt;&gt;"manual",$M667&lt;&gt;1)),ROUND(OFFSET($P667,0,AN$13),15-13*ORÇAMENTO!$AF$7)/$H667*OFFSET(ORÇAMENTO!$X$15,ROW(AN667)-ROW(AN$15),0),0)</f>
        <v>0</v>
      </c>
      <c r="AO667" s="632">
        <f ca="1">IF(AND($D667="Serviço",AO$12&lt;&gt;0,$H667&gt;0,OR(AUTOEVENTO&lt;&gt;"manual",$M667&lt;&gt;1)),ROUND(OFFSET($P667,0,AO$13),15-13*ORÇAMENTO!$AF$7)/$H667*OFFSET(ORÇAMENTO!$X$15,ROW(AO667)-ROW(AO$15),0),0)</f>
        <v>0</v>
      </c>
      <c r="AP667" s="632">
        <f ca="1">IF(AND($D667="Serviço",AP$12&lt;&gt;0,$H667&gt;0,OR(AUTOEVENTO&lt;&gt;"manual",$M667&lt;&gt;1)),ROUND(OFFSET($P667,0,AP$13),15-13*ORÇAMENTO!$AF$7)/$H667*OFFSET(ORÇAMENTO!$X$15,ROW(AP667)-ROW(AP$15),0),0)</f>
        <v>0</v>
      </c>
      <c r="AQ667" s="632">
        <f ca="1">IF(AND($D667="Serviço",AQ$12&lt;&gt;0,$H667&gt;0,OR(AUTOEVENTO&lt;&gt;"manual",$M667&lt;&gt;1)),ROUND(OFFSET($P667,0,AQ$13),15-13*ORÇAMENTO!$AF$7)/$H667*OFFSET(ORÇAMENTO!$X$15,ROW(AQ667)-ROW(AQ$15),0),0)</f>
        <v>0</v>
      </c>
      <c r="AR667" s="632">
        <f ca="1">IF(AND($D667="Serviço",AR$12&lt;&gt;0,$H667&gt;0,OR(AUTOEVENTO&lt;&gt;"manual",$M667&lt;&gt;1)),ROUND(OFFSET($P667,0,AR$13),15-13*ORÇAMENTO!$AF$7)/$H667*OFFSET(ORÇAMENTO!$X$15,ROW(AR667)-ROW(AR$15),0),0)</f>
        <v>0</v>
      </c>
      <c r="AS667" s="633">
        <f ca="1">IF(AND($D667="Serviço",AS$12&lt;&gt;0,$H667&gt;0,OR(AUTOEVENTO&lt;&gt;"manual",$M667&lt;&gt;1)),ROUND(OFFSET($P667,0,AS$13),15-13*ORÇAMENTO!$AF$7)/$H667*OFFSET(ORÇAMENTO!$X$15,ROW(AS667)-ROW(AS$15),0),0)</f>
        <v>0</v>
      </c>
      <c r="AT667" s="632">
        <f ca="1">IF(AND($D667="Serviço",AT$12&lt;&gt;0,$H667&gt;0,OR(AUTOEVENTO&lt;&gt;"manual",$M667&lt;&gt;1)),ROUND(OFFSET($P667,0,AT$13),15-13*ORÇAMENTO!$AF$7)/$H667*OFFSET(ORÇAMENTO!$X$15,ROW(AT667)-ROW(AT$15),0),0)</f>
        <v>0</v>
      </c>
      <c r="AU667" s="632">
        <f ca="1">IF(AND($D667="Serviço",AU$12&lt;&gt;0,$H667&gt;0,OR(AUTOEVENTO&lt;&gt;"manual",$M667&lt;&gt;1)),ROUND(OFFSET($P667,0,AU$13),15-13*ORÇAMENTO!$AF$7)/$H667*OFFSET(ORÇAMENTO!$X$15,ROW(AU667)-ROW(AU$15),0),0)</f>
        <v>0</v>
      </c>
      <c r="AV667" s="632">
        <f ca="1">IF(AND($D667="Serviço",AV$12&lt;&gt;0,$H667&gt;0,OR(AUTOEVENTO&lt;&gt;"manual",$M667&lt;&gt;1)),ROUND(OFFSET($P667,0,AV$13),15-13*ORÇAMENTO!$AF$7)/$H667*OFFSET(ORÇAMENTO!$X$15,ROW(AV667)-ROW(AV$15),0),0)</f>
        <v>0</v>
      </c>
      <c r="AW667" s="632">
        <f ca="1">IF(AND($D667="Serviço",AW$12&lt;&gt;0,$H667&gt;0,OR(AUTOEVENTO&lt;&gt;"manual",$M667&lt;&gt;1)),ROUND(OFFSET($P667,0,AW$13),15-13*ORÇAMENTO!$AF$7)/$H667*OFFSET(ORÇAMENTO!$X$15,ROW(AW667)-ROW(AW$15),0),0)</f>
        <v>0</v>
      </c>
      <c r="AX667" s="632">
        <f ca="1">IF(AND($D667="Serviço",AX$12&lt;&gt;0,$H667&gt;0,OR(AUTOEVENTO&lt;&gt;"manual",$M667&lt;&gt;1)),ROUND(OFFSET($P667,0,AX$13),15-13*ORÇAMENTO!$AF$7)/$H667*OFFSET(ORÇAMENTO!$X$15,ROW(AX667)-ROW(AX$15),0),0)</f>
        <v>0</v>
      </c>
      <c r="AY667" s="632">
        <f ca="1">IF(AND($D667="Serviço",AY$12&lt;&gt;0,$H667&gt;0,OR(AUTOEVENTO&lt;&gt;"manual",$M667&lt;&gt;1)),ROUND(OFFSET($P667,0,AY$13),15-13*ORÇAMENTO!$AF$7)/$H667*OFFSET(ORÇAMENTO!$X$15,ROW(AY667)-ROW(AY$15),0),0)</f>
        <v>0</v>
      </c>
      <c r="AZ667" s="632">
        <f ca="1">IF(AND($D667="Serviço",AZ$12&lt;&gt;0,$H667&gt;0,OR(AUTOEVENTO&lt;&gt;"manual",$M667&lt;&gt;1)),ROUND(OFFSET($P667,0,AZ$13),15-13*ORÇAMENTO!$AF$7)/$H667*OFFSET(ORÇAMENTO!$X$15,ROW(AZ667)-ROW(AZ$15),0),0)</f>
        <v>0</v>
      </c>
      <c r="BA667" s="633">
        <f ca="1">IF(AND($D667="Serviço",BA$12&lt;&gt;0,$H667&gt;0,OR(AUTOEVENTO&lt;&gt;"manual",$M667&lt;&gt;1)),ROUND(OFFSET($P667,0,BA$13),15-13*ORÇAMENTO!$AF$7)/$H667*OFFSET(ORÇAMENTO!$X$15,ROW(BA667)-ROW(BA$15),0),0)</f>
        <v>0</v>
      </c>
      <c r="BC667" s="215">
        <f ca="1">IF($D667&lt;&gt;"Serviço",0,IF(AND(AUTOEVENTO="Manual",$M667=1),0,IF(OFFSET(CRONOPLE!$F$14,$M667,BC$13)="",10^12,OFFSET(CRONOPLE!$F$14,$M667,BC$13))))</f>
        <v>1000000000000</v>
      </c>
      <c r="BD667" s="215">
        <f ca="1">IF($D667&lt;&gt;"Serviço",0,IF(AND(AUTOEVENTO="Manual",$M667=1),0,IF(OFFSET(CRONOPLE!$F$14,$M667,BD$13)="",10^12,OFFSET(CRONOPLE!$F$14,$M667,BD$13))))</f>
        <v>1000000000000</v>
      </c>
      <c r="BE667" s="215">
        <f ca="1">IF($D667&lt;&gt;"Serviço",0,IF(AND(AUTOEVENTO="Manual",$M667=1),0,IF(OFFSET(CRONOPLE!$F$14,$M667,BE$13)="",10^12,OFFSET(CRONOPLE!$F$14,$M667,BE$13))))</f>
        <v>1000000000000</v>
      </c>
      <c r="BF667" s="215">
        <f ca="1">IF($D667&lt;&gt;"Serviço",0,IF(AND(AUTOEVENTO="Manual",$M667=1),0,IF(OFFSET(CRONOPLE!$F$14,$M667,BF$13)="",10^12,OFFSET(CRONOPLE!$F$14,$M667,BF$13))))</f>
        <v>1000000000000</v>
      </c>
      <c r="BG667" s="215">
        <f ca="1">IF($D667&lt;&gt;"Serviço",0,IF(AND(AUTOEVENTO="Manual",$M667=1),0,IF(OFFSET(CRONOPLE!$F$14,$M667,BG$13)="",10^12,OFFSET(CRONOPLE!$F$14,$M667,BG$13))))</f>
        <v>1000000000000</v>
      </c>
      <c r="BH667" s="215">
        <f ca="1">IF($D667&lt;&gt;"Serviço",0,IF(AND(AUTOEVENTO="Manual",$M667=1),0,IF(OFFSET(CRONOPLE!$F$14,$M667,BH$13)="",10^12,OFFSET(CRONOPLE!$F$14,$M667,BH$13))))</f>
        <v>1000000000000</v>
      </c>
      <c r="BI667" s="215">
        <f ca="1">IF($D667&lt;&gt;"Serviço",0,IF(AND(AUTOEVENTO="Manual",$M667=1),0,IF(OFFSET(CRONOPLE!$F$14,$M667,BI$13)="",10^12,OFFSET(CRONOPLE!$F$14,$M667,BI$13))))</f>
        <v>1000000000000</v>
      </c>
      <c r="BJ667" s="215">
        <f ca="1">IF($D667&lt;&gt;"Serviço",0,IF(AND(AUTOEVENTO="Manual",$M667=1),0,IF(OFFSET(CRONOPLE!$F$14,$M667,BJ$13)="",10^12,OFFSET(CRONOPLE!$F$14,$M667,BJ$13))))</f>
        <v>1000000000000</v>
      </c>
      <c r="BK667" s="215">
        <f ca="1">IF($D667&lt;&gt;"Serviço",0,IF(AND(AUTOEVENTO="Manual",$M667=1),0,IF(OFFSET(CRONOPLE!$F$14,$M667,BK$13)="",10^12,OFFSET(CRONOPLE!$F$14,$M667,BK$13))))</f>
        <v>1000000000000</v>
      </c>
      <c r="BL667" s="215">
        <f ca="1">IF($D667&lt;&gt;"Serviço",0,IF(AND(AUTOEVENTO="Manual",$M667=1),0,IF(OFFSET(CRONOPLE!$F$14,$M667,BL$13)="",10^12,OFFSET(CRONOPLE!$F$14,$M667,BL$13))))</f>
        <v>1000000000000</v>
      </c>
      <c r="BM667" s="215">
        <f ca="1">IF($D667&lt;&gt;"Serviço",0,IF(AND(AUTOEVENTO="Manual",$M667=1),0,IF(OFFSET(CRONOPLE!$F$14,$M667,BM$13)="",10^12,OFFSET(CRONOPLE!$F$14,$M667,BM$13))))</f>
        <v>1000000000000</v>
      </c>
      <c r="BN667" s="215">
        <f ca="1">IF($D667&lt;&gt;"Serviço",0,IF(AND(AUTOEVENTO="Manual",$M667=1),0,IF(OFFSET(CRONOPLE!$F$14,$M667,BN$13)="",10^12,OFFSET(CRONOPLE!$F$14,$M667,BN$13))))</f>
        <v>1000000000000</v>
      </c>
      <c r="BO667" s="215">
        <f ca="1">IF($D667&lt;&gt;"Serviço",0,IF(AND(AUTOEVENTO="Manual",$M667=1),0,IF(OFFSET(CRONOPLE!$F$14,$M667,BO$13)="",10^12,OFFSET(CRONOPLE!$F$14,$M667,BO$13))))</f>
        <v>1000000000000</v>
      </c>
      <c r="BP667" s="215">
        <f ca="1">IF($D667&lt;&gt;"Serviço",0,IF(AND(AUTOEVENTO="Manual",$M667=1),0,IF(OFFSET(CRONOPLE!$F$14,$M667,BP$13)="",10^12,OFFSET(CRONOPLE!$F$14,$M667,BP$13))))</f>
        <v>1000000000000</v>
      </c>
      <c r="BQ667" s="215">
        <f ca="1">IF($D667&lt;&gt;"Serviço",0,IF(AND(AUTOEVENTO="Manual",$M667=1),0,IF(OFFSET(CRONOPLE!$F$14,$M667,BQ$13)="",10^12,OFFSET(CRONOPLE!$F$14,$M667,BQ$13))))</f>
        <v>1000000000000</v>
      </c>
      <c r="BR667" s="215">
        <f ca="1">IF($D667&lt;&gt;"Serviço",0,IF(AND(AUTOEVENTO="Manual",$M667=1),0,IF(OFFSET(CRONOPLE!$F$14,$M667,BR$13)="",10^12,OFFSET(CRONOPLE!$F$14,$M667,BR$13))))</f>
        <v>1000000000000</v>
      </c>
      <c r="BS667" s="215">
        <f ca="1">IF($D667&lt;&gt;"Serviço",0,IF(AND(AUTOEVENTO="Manual",$M667=1),0,IF(OFFSET(CRONOPLE!$F$14,$M667,BS$13)="",10^12,OFFSET(CRONOPLE!$F$14,$M667,BS$13))))</f>
        <v>1000000000000</v>
      </c>
      <c r="BT667" s="215">
        <f ca="1">IF($D667&lt;&gt;"Serviço",0,IF(AND(AUTOEVENTO="Manual",$M667=1),0,IF(OFFSET(CRONOPLE!$F$14,$M667,BT$13)="",10^12,OFFSET(CRONOPLE!$F$14,$M667,BT$13))))</f>
        <v>1000000000000</v>
      </c>
      <c r="BV667" s="216">
        <f ca="1">IF($D667&lt;&gt;"Serviço",0,IF(OR(AND(AUTOEVENTO="Manual",$M667=1),$M667&gt;(ROW(PLE.lastrow)-ROW(PLE.firstrow))),0,IF(OFFSET(PLE!$G$14,$M667,BV$13)="",10^12,OFFSET(PLE!$G$14,$M667,BV$13))))</f>
        <v>1000000000000</v>
      </c>
      <c r="BW667" s="216">
        <f ca="1">IF($D667&lt;&gt;"Serviço",0,IF(OR(AND(AUTOEVENTO="Manual",$M667=1),$M667&gt;(ROW(PLE.lastrow)-ROW(PLE.firstrow))),0,IF(OFFSET(PLE!$G$14,$M667,BW$13)="",10^12,OFFSET(PLE!$G$14,$M667,BW$13))))</f>
        <v>1000000000000</v>
      </c>
      <c r="BX667" s="216">
        <f ca="1">IF($D667&lt;&gt;"Serviço",0,IF(OR(AND(AUTOEVENTO="Manual",$M667=1),$M667&gt;(ROW(PLE.lastrow)-ROW(PLE.firstrow))),0,IF(OFFSET(PLE!$G$14,$M667,BX$13)="",10^12,OFFSET(PLE!$G$14,$M667,BX$13))))</f>
        <v>1000000000000</v>
      </c>
      <c r="BY667" s="216">
        <f ca="1">IF($D667&lt;&gt;"Serviço",0,IF(OR(AND(AUTOEVENTO="Manual",$M667=1),$M667&gt;(ROW(PLE.lastrow)-ROW(PLE.firstrow))),0,IF(OFFSET(PLE!$G$14,$M667,BY$13)="",10^12,OFFSET(PLE!$G$14,$M667,BY$13))))</f>
        <v>1000000000000</v>
      </c>
      <c r="BZ667" s="216">
        <f ca="1">IF($D667&lt;&gt;"Serviço",0,IF(OR(AND(AUTOEVENTO="Manual",$M667=1),$M667&gt;(ROW(PLE.lastrow)-ROW(PLE.firstrow))),0,IF(OFFSET(PLE!$G$14,$M667,BZ$13)="",10^12,OFFSET(PLE!$G$14,$M667,BZ$13))))</f>
        <v>1000000000000</v>
      </c>
      <c r="CA667" s="216">
        <f ca="1">IF($D667&lt;&gt;"Serviço",0,IF(OR(AND(AUTOEVENTO="Manual",$M667=1),$M667&gt;(ROW(PLE.lastrow)-ROW(PLE.firstrow))),0,IF(OFFSET(PLE!$G$14,$M667,CA$13)="",10^12,OFFSET(PLE!$G$14,$M667,CA$13))))</f>
        <v>1000000000000</v>
      </c>
      <c r="CB667" s="216">
        <f ca="1">IF($D667&lt;&gt;"Serviço",0,IF(OR(AND(AUTOEVENTO="Manual",$M667=1),$M667&gt;(ROW(PLE.lastrow)-ROW(PLE.firstrow))),0,IF(OFFSET(PLE!$G$14,$M667,CB$13)="",10^12,OFFSET(PLE!$G$14,$M667,CB$13))))</f>
        <v>1000000000000</v>
      </c>
      <c r="CC667" s="216">
        <f ca="1">IF($D667&lt;&gt;"Serviço",0,IF(OR(AND(AUTOEVENTO="Manual",$M667=1),$M667&gt;(ROW(PLE.lastrow)-ROW(PLE.firstrow))),0,IF(OFFSET(PLE!$G$14,$M667,CC$13)="",10^12,OFFSET(PLE!$G$14,$M667,CC$13))))</f>
        <v>1000000000000</v>
      </c>
      <c r="CD667" s="216">
        <f ca="1">IF($D667&lt;&gt;"Serviço",0,IF(OR(AND(AUTOEVENTO="Manual",$M667=1),$M667&gt;(ROW(PLE.lastrow)-ROW(PLE.firstrow))),0,IF(OFFSET(PLE!$G$14,$M667,CD$13)="",10^12,OFFSET(PLE!$G$14,$M667,CD$13))))</f>
        <v>1000000000000</v>
      </c>
      <c r="CE667" s="216">
        <f ca="1">IF($D667&lt;&gt;"Serviço",0,IF(OR(AND(AUTOEVENTO="Manual",$M667=1),$M667&gt;(ROW(PLE.lastrow)-ROW(PLE.firstrow))),0,IF(OFFSET(PLE!$G$14,$M667,CE$13)="",10^12,OFFSET(PLE!$G$14,$M667,CE$13))))</f>
        <v>1000000000000</v>
      </c>
      <c r="CF667" s="216">
        <f ca="1">IF($D667&lt;&gt;"Serviço",0,IF(OR(AND(AUTOEVENTO="Manual",$M667=1),$M667&gt;(ROW(PLE.lastrow)-ROW(PLE.firstrow))),0,IF(OFFSET(PLE!$G$14,$M667,CF$13)="",10^12,OFFSET(PLE!$G$14,$M667,CF$13))))</f>
        <v>1000000000000</v>
      </c>
      <c r="CG667" s="216">
        <f ca="1">IF($D667&lt;&gt;"Serviço",0,IF(OR(AND(AUTOEVENTO="Manual",$M667=1),$M667&gt;(ROW(PLE.lastrow)-ROW(PLE.firstrow))),0,IF(OFFSET(PLE!$G$14,$M667,CG$13)="",10^12,OFFSET(PLE!$G$14,$M667,CG$13))))</f>
        <v>1000000000000</v>
      </c>
      <c r="CH667" s="216">
        <f ca="1">IF($D667&lt;&gt;"Serviço",0,IF(OR(AND(AUTOEVENTO="Manual",$M667=1),$M667&gt;(ROW(PLE.lastrow)-ROW(PLE.firstrow))),0,IF(OFFSET(PLE!$G$14,$M667,CH$13)="",10^12,OFFSET(PLE!$G$14,$M667,CH$13))))</f>
        <v>1000000000000</v>
      </c>
      <c r="CI667" s="216">
        <f ca="1">IF($D667&lt;&gt;"Serviço",0,IF(OR(AND(AUTOEVENTO="Manual",$M667=1),$M667&gt;(ROW(PLE.lastrow)-ROW(PLE.firstrow))),0,IF(OFFSET(PLE!$G$14,$M667,CI$13)="",10^12,OFFSET(PLE!$G$14,$M667,CI$13))))</f>
        <v>1000000000000</v>
      </c>
      <c r="CJ667" s="216">
        <f ca="1">IF($D667&lt;&gt;"Serviço",0,IF(OR(AND(AUTOEVENTO="Manual",$M667=1),$M667&gt;(ROW(PLE.lastrow)-ROW(PLE.firstrow))),0,IF(OFFSET(PLE!$G$14,$M667,CJ$13)="",10^12,OFFSET(PLE!$G$14,$M667,CJ$13))))</f>
        <v>1000000000000</v>
      </c>
      <c r="CK667" s="216">
        <f ca="1">IF($D667&lt;&gt;"Serviço",0,IF(OR(AND(AUTOEVENTO="Manual",$M667=1),$M667&gt;(ROW(PLE.lastrow)-ROW(PLE.firstrow))),0,IF(OFFSET(PLE!$G$14,$M667,CK$13)="",10^12,OFFSET(PLE!$G$14,$M667,CK$13))))</f>
        <v>1000000000000</v>
      </c>
      <c r="CL667" s="216">
        <f ca="1">IF($D667&lt;&gt;"Serviço",0,IF(OR(AND(AUTOEVENTO="Manual",$M667=1),$M667&gt;(ROW(PLE.lastrow)-ROW(PLE.firstrow))),0,IF(OFFSET(PLE!$G$14,$M667,CL$13)="",10^12,OFFSET(PLE!$G$14,$M667,CL$13))))</f>
        <v>1000000000000</v>
      </c>
      <c r="CM667" s="216">
        <f ca="1">IF($D667&lt;&gt;"Serviço",0,IF(OR(AND(AUTOEVENTO="Manual",$M667=1),$M667&gt;(ROW(PLE.lastrow)-ROW(PLE.firstrow))),0,IF(OFFSET(PLE!$G$14,$M667,CM$13)="",10^12,OFFSET(PLE!$G$14,$M667,CM$13))))</f>
        <v>1000000000000</v>
      </c>
    </row>
    <row r="668" spans="1:91" ht="13.2" x14ac:dyDescent="0.25">
      <c r="A668" s="9">
        <f t="shared" ca="1" si="20"/>
        <v>0</v>
      </c>
      <c r="B668" s="9">
        <f ca="1">OFFSET(ORÇAMENTO!C$15,ROW(B668)-ROW(B$15),0)</f>
        <v>2</v>
      </c>
      <c r="C668" s="9" t="str">
        <f ca="1">OFFSET(ORÇAMENTO!L$15,ROW(C668)-ROW(C$15),0)</f>
        <v>F</v>
      </c>
      <c r="D668" s="145" t="str">
        <f ca="1">OFFSET(ORÇAMENTO!N$15,ROW(D668)-ROW(D$15),0)</f>
        <v>Nível 2</v>
      </c>
      <c r="E668" s="205" t="str">
        <f ca="1">OFFSET(ORÇAMENTO!O$15,ROW(E668)-ROW(E$15),0)</f>
        <v>1.21.</v>
      </c>
      <c r="F668" s="206" t="str">
        <f ca="1">OFFSET(ORÇAMENTO!R$15,ROW(F668)-ROW(F$15),0)</f>
        <v>SISTEMA DE EXAUSTÃO MECÂNICA</v>
      </c>
      <c r="G668" s="207" t="str">
        <f ca="1">IF($D668&lt;&gt;"Serviço","",OFFSET(ORÇAMENTO!S$15,ROW(G668)-ROW(G$15),0))</f>
        <v/>
      </c>
      <c r="H668" s="151">
        <f ca="1">IF($D668&lt;&gt;"Serviço",0,IF(ACOMPANHAMENTO="BM",ROUND(OFFSET(ORÇAMENTO!AJ$15,ROW(H668)-ROW(H$15),0),15-13*ORÇAMENTO!$AF$7),SUMPRODUCT(($Q$12:$AI$12&lt;&gt;"")*ROUND($Q668:$AI668,15-13*ORÇAMENTO!$AF$7))))</f>
        <v>0</v>
      </c>
      <c r="I668" s="650"/>
      <c r="K668" s="208"/>
      <c r="L668" s="209" t="s">
        <v>257</v>
      </c>
      <c r="M668" s="210" t="str">
        <f ca="1">IF($D668&lt;&gt;"Serviço","",IF(AUTOEVENTO="manual",$A668,IF(ISERROR(MATCH($A668,$A$15:OFFSET($A668,-1,0),0)),MAX($M$15:OFFSET(M668,-1,0))+1,INDEX($M$15:OFFSET(M668,-1,0),MATCH($A668,$A$15:OFFSET($A668,-1,0),0)))))</f>
        <v/>
      </c>
      <c r="N668" s="211" t="str">
        <f ca="1">IF($D668&lt;&gt;"Serviço","",IF(AUTOEVENTO="Manual",IF($A668=0,"&lt;-- defina o número do agrupador",OFFSET(EVENTOS!$D$14,$A668,0)),OFFSET($F$15,$A668,0)))</f>
        <v/>
      </c>
      <c r="O668" s="212"/>
      <c r="Q668" s="212"/>
      <c r="R668" s="213"/>
      <c r="S668" s="213"/>
      <c r="T668" s="213"/>
      <c r="U668" s="213"/>
      <c r="V668" s="213"/>
      <c r="W668" s="213"/>
      <c r="X668" s="213"/>
      <c r="Y668" s="213"/>
      <c r="Z668" s="214"/>
      <c r="AA668" s="213"/>
      <c r="AB668" s="213"/>
      <c r="AC668" s="213"/>
      <c r="AD668" s="213"/>
      <c r="AE668" s="213"/>
      <c r="AF668" s="213"/>
      <c r="AG668" s="213"/>
      <c r="AH668" s="214"/>
      <c r="AJ668" s="631">
        <f ca="1">IF(AND($D668="Serviço",AJ$12&lt;&gt;0,$H668&gt;0,OR(AUTOEVENTO&lt;&gt;"manual",$M668&lt;&gt;1)),ROUND(OFFSET($P668,0,AJ$13),15-13*ORÇAMENTO!$AF$7)/$H668*OFFSET(ORÇAMENTO!$X$15,ROW(AJ668)-ROW(AJ$15),0),0)</f>
        <v>0</v>
      </c>
      <c r="AK668" s="632">
        <f ca="1">IF(AND($D668="Serviço",AK$12&lt;&gt;0,$H668&gt;0,OR(AUTOEVENTO&lt;&gt;"manual",$M668&lt;&gt;1)),ROUND(OFFSET($P668,0,AK$13),15-13*ORÇAMENTO!$AF$7)/$H668*OFFSET(ORÇAMENTO!$X$15,ROW(AK668)-ROW(AK$15),0),0)</f>
        <v>0</v>
      </c>
      <c r="AL668" s="632">
        <f ca="1">IF(AND($D668="Serviço",AL$12&lt;&gt;0,$H668&gt;0,OR(AUTOEVENTO&lt;&gt;"manual",$M668&lt;&gt;1)),ROUND(OFFSET($P668,0,AL$13),15-13*ORÇAMENTO!$AF$7)/$H668*OFFSET(ORÇAMENTO!$X$15,ROW(AL668)-ROW(AL$15),0),0)</f>
        <v>0</v>
      </c>
      <c r="AM668" s="632">
        <f ca="1">IF(AND($D668="Serviço",AM$12&lt;&gt;0,$H668&gt;0,OR(AUTOEVENTO&lt;&gt;"manual",$M668&lt;&gt;1)),ROUND(OFFSET($P668,0,AM$13),15-13*ORÇAMENTO!$AF$7)/$H668*OFFSET(ORÇAMENTO!$X$15,ROW(AM668)-ROW(AM$15),0),0)</f>
        <v>0</v>
      </c>
      <c r="AN668" s="632">
        <f ca="1">IF(AND($D668="Serviço",AN$12&lt;&gt;0,$H668&gt;0,OR(AUTOEVENTO&lt;&gt;"manual",$M668&lt;&gt;1)),ROUND(OFFSET($P668,0,AN$13),15-13*ORÇAMENTO!$AF$7)/$H668*OFFSET(ORÇAMENTO!$X$15,ROW(AN668)-ROW(AN$15),0),0)</f>
        <v>0</v>
      </c>
      <c r="AO668" s="632">
        <f ca="1">IF(AND($D668="Serviço",AO$12&lt;&gt;0,$H668&gt;0,OR(AUTOEVENTO&lt;&gt;"manual",$M668&lt;&gt;1)),ROUND(OFFSET($P668,0,AO$13),15-13*ORÇAMENTO!$AF$7)/$H668*OFFSET(ORÇAMENTO!$X$15,ROW(AO668)-ROW(AO$15),0),0)</f>
        <v>0</v>
      </c>
      <c r="AP668" s="632">
        <f ca="1">IF(AND($D668="Serviço",AP$12&lt;&gt;0,$H668&gt;0,OR(AUTOEVENTO&lt;&gt;"manual",$M668&lt;&gt;1)),ROUND(OFFSET($P668,0,AP$13),15-13*ORÇAMENTO!$AF$7)/$H668*OFFSET(ORÇAMENTO!$X$15,ROW(AP668)-ROW(AP$15),0),0)</f>
        <v>0</v>
      </c>
      <c r="AQ668" s="632">
        <f ca="1">IF(AND($D668="Serviço",AQ$12&lt;&gt;0,$H668&gt;0,OR(AUTOEVENTO&lt;&gt;"manual",$M668&lt;&gt;1)),ROUND(OFFSET($P668,0,AQ$13),15-13*ORÇAMENTO!$AF$7)/$H668*OFFSET(ORÇAMENTO!$X$15,ROW(AQ668)-ROW(AQ$15),0),0)</f>
        <v>0</v>
      </c>
      <c r="AR668" s="632">
        <f ca="1">IF(AND($D668="Serviço",AR$12&lt;&gt;0,$H668&gt;0,OR(AUTOEVENTO&lt;&gt;"manual",$M668&lt;&gt;1)),ROUND(OFFSET($P668,0,AR$13),15-13*ORÇAMENTO!$AF$7)/$H668*OFFSET(ORÇAMENTO!$X$15,ROW(AR668)-ROW(AR$15),0),0)</f>
        <v>0</v>
      </c>
      <c r="AS668" s="633">
        <f ca="1">IF(AND($D668="Serviço",AS$12&lt;&gt;0,$H668&gt;0,OR(AUTOEVENTO&lt;&gt;"manual",$M668&lt;&gt;1)),ROUND(OFFSET($P668,0,AS$13),15-13*ORÇAMENTO!$AF$7)/$H668*OFFSET(ORÇAMENTO!$X$15,ROW(AS668)-ROW(AS$15),0),0)</f>
        <v>0</v>
      </c>
      <c r="AT668" s="632">
        <f ca="1">IF(AND($D668="Serviço",AT$12&lt;&gt;0,$H668&gt;0,OR(AUTOEVENTO&lt;&gt;"manual",$M668&lt;&gt;1)),ROUND(OFFSET($P668,0,AT$13),15-13*ORÇAMENTO!$AF$7)/$H668*OFFSET(ORÇAMENTO!$X$15,ROW(AT668)-ROW(AT$15),0),0)</f>
        <v>0</v>
      </c>
      <c r="AU668" s="632">
        <f ca="1">IF(AND($D668="Serviço",AU$12&lt;&gt;0,$H668&gt;0,OR(AUTOEVENTO&lt;&gt;"manual",$M668&lt;&gt;1)),ROUND(OFFSET($P668,0,AU$13),15-13*ORÇAMENTO!$AF$7)/$H668*OFFSET(ORÇAMENTO!$X$15,ROW(AU668)-ROW(AU$15),0),0)</f>
        <v>0</v>
      </c>
      <c r="AV668" s="632">
        <f ca="1">IF(AND($D668="Serviço",AV$12&lt;&gt;0,$H668&gt;0,OR(AUTOEVENTO&lt;&gt;"manual",$M668&lt;&gt;1)),ROUND(OFFSET($P668,0,AV$13),15-13*ORÇAMENTO!$AF$7)/$H668*OFFSET(ORÇAMENTO!$X$15,ROW(AV668)-ROW(AV$15),0),0)</f>
        <v>0</v>
      </c>
      <c r="AW668" s="632">
        <f ca="1">IF(AND($D668="Serviço",AW$12&lt;&gt;0,$H668&gt;0,OR(AUTOEVENTO&lt;&gt;"manual",$M668&lt;&gt;1)),ROUND(OFFSET($P668,0,AW$13),15-13*ORÇAMENTO!$AF$7)/$H668*OFFSET(ORÇAMENTO!$X$15,ROW(AW668)-ROW(AW$15),0),0)</f>
        <v>0</v>
      </c>
      <c r="AX668" s="632">
        <f ca="1">IF(AND($D668="Serviço",AX$12&lt;&gt;0,$H668&gt;0,OR(AUTOEVENTO&lt;&gt;"manual",$M668&lt;&gt;1)),ROUND(OFFSET($P668,0,AX$13),15-13*ORÇAMENTO!$AF$7)/$H668*OFFSET(ORÇAMENTO!$X$15,ROW(AX668)-ROW(AX$15),0),0)</f>
        <v>0</v>
      </c>
      <c r="AY668" s="632">
        <f ca="1">IF(AND($D668="Serviço",AY$12&lt;&gt;0,$H668&gt;0,OR(AUTOEVENTO&lt;&gt;"manual",$M668&lt;&gt;1)),ROUND(OFFSET($P668,0,AY$13),15-13*ORÇAMENTO!$AF$7)/$H668*OFFSET(ORÇAMENTO!$X$15,ROW(AY668)-ROW(AY$15),0),0)</f>
        <v>0</v>
      </c>
      <c r="AZ668" s="632">
        <f ca="1">IF(AND($D668="Serviço",AZ$12&lt;&gt;0,$H668&gt;0,OR(AUTOEVENTO&lt;&gt;"manual",$M668&lt;&gt;1)),ROUND(OFFSET($P668,0,AZ$13),15-13*ORÇAMENTO!$AF$7)/$H668*OFFSET(ORÇAMENTO!$X$15,ROW(AZ668)-ROW(AZ$15),0),0)</f>
        <v>0</v>
      </c>
      <c r="BA668" s="633">
        <f ca="1">IF(AND($D668="Serviço",BA$12&lt;&gt;0,$H668&gt;0,OR(AUTOEVENTO&lt;&gt;"manual",$M668&lt;&gt;1)),ROUND(OFFSET($P668,0,BA$13),15-13*ORÇAMENTO!$AF$7)/$H668*OFFSET(ORÇAMENTO!$X$15,ROW(BA668)-ROW(BA$15),0),0)</f>
        <v>0</v>
      </c>
      <c r="BC668" s="215">
        <f ca="1">IF($D668&lt;&gt;"Serviço",0,IF(AND(AUTOEVENTO="Manual",$M668=1),0,IF(OFFSET(CRONOPLE!$F$14,$M668,BC$13)="",10^12,OFFSET(CRONOPLE!$F$14,$M668,BC$13))))</f>
        <v>0</v>
      </c>
      <c r="BD668" s="215">
        <f ca="1">IF($D668&lt;&gt;"Serviço",0,IF(AND(AUTOEVENTO="Manual",$M668=1),0,IF(OFFSET(CRONOPLE!$F$14,$M668,BD$13)="",10^12,OFFSET(CRONOPLE!$F$14,$M668,BD$13))))</f>
        <v>0</v>
      </c>
      <c r="BE668" s="215">
        <f ca="1">IF($D668&lt;&gt;"Serviço",0,IF(AND(AUTOEVENTO="Manual",$M668=1),0,IF(OFFSET(CRONOPLE!$F$14,$M668,BE$13)="",10^12,OFFSET(CRONOPLE!$F$14,$M668,BE$13))))</f>
        <v>0</v>
      </c>
      <c r="BF668" s="215">
        <f ca="1">IF($D668&lt;&gt;"Serviço",0,IF(AND(AUTOEVENTO="Manual",$M668=1),0,IF(OFFSET(CRONOPLE!$F$14,$M668,BF$13)="",10^12,OFFSET(CRONOPLE!$F$14,$M668,BF$13))))</f>
        <v>0</v>
      </c>
      <c r="BG668" s="215">
        <f ca="1">IF($D668&lt;&gt;"Serviço",0,IF(AND(AUTOEVENTO="Manual",$M668=1),0,IF(OFFSET(CRONOPLE!$F$14,$M668,BG$13)="",10^12,OFFSET(CRONOPLE!$F$14,$M668,BG$13))))</f>
        <v>0</v>
      </c>
      <c r="BH668" s="215">
        <f ca="1">IF($D668&lt;&gt;"Serviço",0,IF(AND(AUTOEVENTO="Manual",$M668=1),0,IF(OFFSET(CRONOPLE!$F$14,$M668,BH$13)="",10^12,OFFSET(CRONOPLE!$F$14,$M668,BH$13))))</f>
        <v>0</v>
      </c>
      <c r="BI668" s="215">
        <f ca="1">IF($D668&lt;&gt;"Serviço",0,IF(AND(AUTOEVENTO="Manual",$M668=1),0,IF(OFFSET(CRONOPLE!$F$14,$M668,BI$13)="",10^12,OFFSET(CRONOPLE!$F$14,$M668,BI$13))))</f>
        <v>0</v>
      </c>
      <c r="BJ668" s="215">
        <f ca="1">IF($D668&lt;&gt;"Serviço",0,IF(AND(AUTOEVENTO="Manual",$M668=1),0,IF(OFFSET(CRONOPLE!$F$14,$M668,BJ$13)="",10^12,OFFSET(CRONOPLE!$F$14,$M668,BJ$13))))</f>
        <v>0</v>
      </c>
      <c r="BK668" s="215">
        <f ca="1">IF($D668&lt;&gt;"Serviço",0,IF(AND(AUTOEVENTO="Manual",$M668=1),0,IF(OFFSET(CRONOPLE!$F$14,$M668,BK$13)="",10^12,OFFSET(CRONOPLE!$F$14,$M668,BK$13))))</f>
        <v>0</v>
      </c>
      <c r="BL668" s="215">
        <f ca="1">IF($D668&lt;&gt;"Serviço",0,IF(AND(AUTOEVENTO="Manual",$M668=1),0,IF(OFFSET(CRONOPLE!$F$14,$M668,BL$13)="",10^12,OFFSET(CRONOPLE!$F$14,$M668,BL$13))))</f>
        <v>0</v>
      </c>
      <c r="BM668" s="215">
        <f ca="1">IF($D668&lt;&gt;"Serviço",0,IF(AND(AUTOEVENTO="Manual",$M668=1),0,IF(OFFSET(CRONOPLE!$F$14,$M668,BM$13)="",10^12,OFFSET(CRONOPLE!$F$14,$M668,BM$13))))</f>
        <v>0</v>
      </c>
      <c r="BN668" s="215">
        <f ca="1">IF($D668&lt;&gt;"Serviço",0,IF(AND(AUTOEVENTO="Manual",$M668=1),0,IF(OFFSET(CRONOPLE!$F$14,$M668,BN$13)="",10^12,OFFSET(CRONOPLE!$F$14,$M668,BN$13))))</f>
        <v>0</v>
      </c>
      <c r="BO668" s="215">
        <f ca="1">IF($D668&lt;&gt;"Serviço",0,IF(AND(AUTOEVENTO="Manual",$M668=1),0,IF(OFFSET(CRONOPLE!$F$14,$M668,BO$13)="",10^12,OFFSET(CRONOPLE!$F$14,$M668,BO$13))))</f>
        <v>0</v>
      </c>
      <c r="BP668" s="215">
        <f ca="1">IF($D668&lt;&gt;"Serviço",0,IF(AND(AUTOEVENTO="Manual",$M668=1),0,IF(OFFSET(CRONOPLE!$F$14,$M668,BP$13)="",10^12,OFFSET(CRONOPLE!$F$14,$M668,BP$13))))</f>
        <v>0</v>
      </c>
      <c r="BQ668" s="215">
        <f ca="1">IF($D668&lt;&gt;"Serviço",0,IF(AND(AUTOEVENTO="Manual",$M668=1),0,IF(OFFSET(CRONOPLE!$F$14,$M668,BQ$13)="",10^12,OFFSET(CRONOPLE!$F$14,$M668,BQ$13))))</f>
        <v>0</v>
      </c>
      <c r="BR668" s="215">
        <f ca="1">IF($D668&lt;&gt;"Serviço",0,IF(AND(AUTOEVENTO="Manual",$M668=1),0,IF(OFFSET(CRONOPLE!$F$14,$M668,BR$13)="",10^12,OFFSET(CRONOPLE!$F$14,$M668,BR$13))))</f>
        <v>0</v>
      </c>
      <c r="BS668" s="215">
        <f ca="1">IF($D668&lt;&gt;"Serviço",0,IF(AND(AUTOEVENTO="Manual",$M668=1),0,IF(OFFSET(CRONOPLE!$F$14,$M668,BS$13)="",10^12,OFFSET(CRONOPLE!$F$14,$M668,BS$13))))</f>
        <v>0</v>
      </c>
      <c r="BT668" s="215">
        <f ca="1">IF($D668&lt;&gt;"Serviço",0,IF(AND(AUTOEVENTO="Manual",$M668=1),0,IF(OFFSET(CRONOPLE!$F$14,$M668,BT$13)="",10^12,OFFSET(CRONOPLE!$F$14,$M668,BT$13))))</f>
        <v>0</v>
      </c>
      <c r="BV668" s="216">
        <f ca="1">IF($D668&lt;&gt;"Serviço",0,IF(OR(AND(AUTOEVENTO="Manual",$M668=1),$M668&gt;(ROW(PLE.lastrow)-ROW(PLE.firstrow))),0,IF(OFFSET(PLE!$G$14,$M668,BV$13)="",10^12,OFFSET(PLE!$G$14,$M668,BV$13))))</f>
        <v>0</v>
      </c>
      <c r="BW668" s="216">
        <f ca="1">IF($D668&lt;&gt;"Serviço",0,IF(OR(AND(AUTOEVENTO="Manual",$M668=1),$M668&gt;(ROW(PLE.lastrow)-ROW(PLE.firstrow))),0,IF(OFFSET(PLE!$G$14,$M668,BW$13)="",10^12,OFFSET(PLE!$G$14,$M668,BW$13))))</f>
        <v>0</v>
      </c>
      <c r="BX668" s="216">
        <f ca="1">IF($D668&lt;&gt;"Serviço",0,IF(OR(AND(AUTOEVENTO="Manual",$M668=1),$M668&gt;(ROW(PLE.lastrow)-ROW(PLE.firstrow))),0,IF(OFFSET(PLE!$G$14,$M668,BX$13)="",10^12,OFFSET(PLE!$G$14,$M668,BX$13))))</f>
        <v>0</v>
      </c>
      <c r="BY668" s="216">
        <f ca="1">IF($D668&lt;&gt;"Serviço",0,IF(OR(AND(AUTOEVENTO="Manual",$M668=1),$M668&gt;(ROW(PLE.lastrow)-ROW(PLE.firstrow))),0,IF(OFFSET(PLE!$G$14,$M668,BY$13)="",10^12,OFFSET(PLE!$G$14,$M668,BY$13))))</f>
        <v>0</v>
      </c>
      <c r="BZ668" s="216">
        <f ca="1">IF($D668&lt;&gt;"Serviço",0,IF(OR(AND(AUTOEVENTO="Manual",$M668=1),$M668&gt;(ROW(PLE.lastrow)-ROW(PLE.firstrow))),0,IF(OFFSET(PLE!$G$14,$M668,BZ$13)="",10^12,OFFSET(PLE!$G$14,$M668,BZ$13))))</f>
        <v>0</v>
      </c>
      <c r="CA668" s="216">
        <f ca="1">IF($D668&lt;&gt;"Serviço",0,IF(OR(AND(AUTOEVENTO="Manual",$M668=1),$M668&gt;(ROW(PLE.lastrow)-ROW(PLE.firstrow))),0,IF(OFFSET(PLE!$G$14,$M668,CA$13)="",10^12,OFFSET(PLE!$G$14,$M668,CA$13))))</f>
        <v>0</v>
      </c>
      <c r="CB668" s="216">
        <f ca="1">IF($D668&lt;&gt;"Serviço",0,IF(OR(AND(AUTOEVENTO="Manual",$M668=1),$M668&gt;(ROW(PLE.lastrow)-ROW(PLE.firstrow))),0,IF(OFFSET(PLE!$G$14,$M668,CB$13)="",10^12,OFFSET(PLE!$G$14,$M668,CB$13))))</f>
        <v>0</v>
      </c>
      <c r="CC668" s="216">
        <f ca="1">IF($D668&lt;&gt;"Serviço",0,IF(OR(AND(AUTOEVENTO="Manual",$M668=1),$M668&gt;(ROW(PLE.lastrow)-ROW(PLE.firstrow))),0,IF(OFFSET(PLE!$G$14,$M668,CC$13)="",10^12,OFFSET(PLE!$G$14,$M668,CC$13))))</f>
        <v>0</v>
      </c>
      <c r="CD668" s="216">
        <f ca="1">IF($D668&lt;&gt;"Serviço",0,IF(OR(AND(AUTOEVENTO="Manual",$M668=1),$M668&gt;(ROW(PLE.lastrow)-ROW(PLE.firstrow))),0,IF(OFFSET(PLE!$G$14,$M668,CD$13)="",10^12,OFFSET(PLE!$G$14,$M668,CD$13))))</f>
        <v>0</v>
      </c>
      <c r="CE668" s="216">
        <f ca="1">IF($D668&lt;&gt;"Serviço",0,IF(OR(AND(AUTOEVENTO="Manual",$M668=1),$M668&gt;(ROW(PLE.lastrow)-ROW(PLE.firstrow))),0,IF(OFFSET(PLE!$G$14,$M668,CE$13)="",10^12,OFFSET(PLE!$G$14,$M668,CE$13))))</f>
        <v>0</v>
      </c>
      <c r="CF668" s="216">
        <f ca="1">IF($D668&lt;&gt;"Serviço",0,IF(OR(AND(AUTOEVENTO="Manual",$M668=1),$M668&gt;(ROW(PLE.lastrow)-ROW(PLE.firstrow))),0,IF(OFFSET(PLE!$G$14,$M668,CF$13)="",10^12,OFFSET(PLE!$G$14,$M668,CF$13))))</f>
        <v>0</v>
      </c>
      <c r="CG668" s="216">
        <f ca="1">IF($D668&lt;&gt;"Serviço",0,IF(OR(AND(AUTOEVENTO="Manual",$M668=1),$M668&gt;(ROW(PLE.lastrow)-ROW(PLE.firstrow))),0,IF(OFFSET(PLE!$G$14,$M668,CG$13)="",10^12,OFFSET(PLE!$G$14,$M668,CG$13))))</f>
        <v>0</v>
      </c>
      <c r="CH668" s="216">
        <f ca="1">IF($D668&lt;&gt;"Serviço",0,IF(OR(AND(AUTOEVENTO="Manual",$M668=1),$M668&gt;(ROW(PLE.lastrow)-ROW(PLE.firstrow))),0,IF(OFFSET(PLE!$G$14,$M668,CH$13)="",10^12,OFFSET(PLE!$G$14,$M668,CH$13))))</f>
        <v>0</v>
      </c>
      <c r="CI668" s="216">
        <f ca="1">IF($D668&lt;&gt;"Serviço",0,IF(OR(AND(AUTOEVENTO="Manual",$M668=1),$M668&gt;(ROW(PLE.lastrow)-ROW(PLE.firstrow))),0,IF(OFFSET(PLE!$G$14,$M668,CI$13)="",10^12,OFFSET(PLE!$G$14,$M668,CI$13))))</f>
        <v>0</v>
      </c>
      <c r="CJ668" s="216">
        <f ca="1">IF($D668&lt;&gt;"Serviço",0,IF(OR(AND(AUTOEVENTO="Manual",$M668=1),$M668&gt;(ROW(PLE.lastrow)-ROW(PLE.firstrow))),0,IF(OFFSET(PLE!$G$14,$M668,CJ$13)="",10^12,OFFSET(PLE!$G$14,$M668,CJ$13))))</f>
        <v>0</v>
      </c>
      <c r="CK668" s="216">
        <f ca="1">IF($D668&lt;&gt;"Serviço",0,IF(OR(AND(AUTOEVENTO="Manual",$M668=1),$M668&gt;(ROW(PLE.lastrow)-ROW(PLE.firstrow))),0,IF(OFFSET(PLE!$G$14,$M668,CK$13)="",10^12,OFFSET(PLE!$G$14,$M668,CK$13))))</f>
        <v>0</v>
      </c>
      <c r="CL668" s="216">
        <f ca="1">IF($D668&lt;&gt;"Serviço",0,IF(OR(AND(AUTOEVENTO="Manual",$M668=1),$M668&gt;(ROW(PLE.lastrow)-ROW(PLE.firstrow))),0,IF(OFFSET(PLE!$G$14,$M668,CL$13)="",10^12,OFFSET(PLE!$G$14,$M668,CL$13))))</f>
        <v>0</v>
      </c>
      <c r="CM668" s="216">
        <f ca="1">IF($D668&lt;&gt;"Serviço",0,IF(OR(AND(AUTOEVENTO="Manual",$M668=1),$M668&gt;(ROW(PLE.lastrow)-ROW(PLE.firstrow))),0,IF(OFFSET(PLE!$G$14,$M668,CM$13)="",10^12,OFFSET(PLE!$G$14,$M668,CM$13))))</f>
        <v>0</v>
      </c>
    </row>
    <row r="669" spans="1:91" ht="13.2" x14ac:dyDescent="0.25">
      <c r="A669" s="9">
        <f t="shared" ca="1" si="20"/>
        <v>0</v>
      </c>
      <c r="B669" s="9" t="str">
        <f ca="1">OFFSET(ORÇAMENTO!C$15,ROW(B669)-ROW(B$15),0)</f>
        <v>S</v>
      </c>
      <c r="C669" s="9" t="str">
        <f ca="1">OFFSET(ORÇAMENTO!L$15,ROW(C669)-ROW(C$15),0)</f>
        <v/>
      </c>
      <c r="D669" s="145" t="str">
        <f ca="1">OFFSET(ORÇAMENTO!N$15,ROW(D669)-ROW(D$15),0)</f>
        <v>Serviço</v>
      </c>
      <c r="E669" s="205" t="str">
        <f ca="1">OFFSET(ORÇAMENTO!O$15,ROW(E669)-ROW(E$15),0)</f>
        <v>-</v>
      </c>
      <c r="F669" s="206" t="str">
        <f ca="1">OFFSET(ORÇAMENTO!R$15,ROW(F669)-ROW(F$15),0)</f>
        <v>(abra o arquivo 'Referência 05-2024.xls)</v>
      </c>
      <c r="G669" s="207" t="str">
        <f ca="1">IF($D669&lt;&gt;"Serviço","",OFFSET(ORÇAMENTO!S$15,ROW(G669)-ROW(G$15),0))</f>
        <v>-</v>
      </c>
      <c r="H669" s="151">
        <f ca="1">IF($D669&lt;&gt;"Serviço",0,IF(ACOMPANHAMENTO="BM",ROUND(OFFSET(ORÇAMENTO!AJ$15,ROW(H669)-ROW(H$15),0),15-13*ORÇAMENTO!$AF$7),SUMPRODUCT(($Q$12:$AI$12&lt;&gt;"")*ROUND($Q669:$AI669,15-13*ORÇAMENTO!$AF$7))))</f>
        <v>1</v>
      </c>
      <c r="I669" s="650"/>
      <c r="K669" s="208"/>
      <c r="L669" s="209" t="s">
        <v>257</v>
      </c>
      <c r="M669" s="210">
        <f ca="1">IF($D669&lt;&gt;"Serviço","",IF(AUTOEVENTO="manual",$A669,IF(ISERROR(MATCH($A669,$A$15:OFFSET($A669,-1,0),0)),MAX($M$15:OFFSET(M669,-1,0))+1,INDEX($M$15:OFFSET(M669,-1,0),MATCH($A669,$A$15:OFFSET($A669,-1,0),0)))))</f>
        <v>0</v>
      </c>
      <c r="N669" s="211" t="str">
        <f ca="1">IF($D669&lt;&gt;"Serviço","",IF(AUTOEVENTO="Manual",IF($A669=0,"&lt;-- defina o número do agrupador",OFFSET(EVENTOS!$D$14,$A669,0)),OFFSET($F$15,$A669,0)))</f>
        <v>&lt;-- defina o número do agrupador</v>
      </c>
      <c r="O669" s="212"/>
      <c r="Q669" s="212"/>
      <c r="R669" s="213"/>
      <c r="S669" s="213"/>
      <c r="T669" s="213"/>
      <c r="U669" s="213"/>
      <c r="V669" s="213"/>
      <c r="W669" s="213"/>
      <c r="X669" s="213"/>
      <c r="Y669" s="213"/>
      <c r="Z669" s="214"/>
      <c r="AA669" s="213"/>
      <c r="AB669" s="213"/>
      <c r="AC669" s="213"/>
      <c r="AD669" s="213"/>
      <c r="AE669" s="213"/>
      <c r="AF669" s="213"/>
      <c r="AG669" s="213"/>
      <c r="AH669" s="214"/>
      <c r="AJ669" s="631">
        <f ca="1">IF(AND($D669="Serviço",AJ$12&lt;&gt;0,$H669&gt;0,OR(AUTOEVENTO&lt;&gt;"manual",$M669&lt;&gt;1)),ROUND(OFFSET($P669,0,AJ$13),15-13*ORÇAMENTO!$AF$7)/$H669*OFFSET(ORÇAMENTO!$X$15,ROW(AJ669)-ROW(AJ$15),0),0)</f>
        <v>0</v>
      </c>
      <c r="AK669" s="632">
        <f ca="1">IF(AND($D669="Serviço",AK$12&lt;&gt;0,$H669&gt;0,OR(AUTOEVENTO&lt;&gt;"manual",$M669&lt;&gt;1)),ROUND(OFFSET($P669,0,AK$13),15-13*ORÇAMENTO!$AF$7)/$H669*OFFSET(ORÇAMENTO!$X$15,ROW(AK669)-ROW(AK$15),0),0)</f>
        <v>0</v>
      </c>
      <c r="AL669" s="632">
        <f ca="1">IF(AND($D669="Serviço",AL$12&lt;&gt;0,$H669&gt;0,OR(AUTOEVENTO&lt;&gt;"manual",$M669&lt;&gt;1)),ROUND(OFFSET($P669,0,AL$13),15-13*ORÇAMENTO!$AF$7)/$H669*OFFSET(ORÇAMENTO!$X$15,ROW(AL669)-ROW(AL$15),0),0)</f>
        <v>0</v>
      </c>
      <c r="AM669" s="632">
        <f ca="1">IF(AND($D669="Serviço",AM$12&lt;&gt;0,$H669&gt;0,OR(AUTOEVENTO&lt;&gt;"manual",$M669&lt;&gt;1)),ROUND(OFFSET($P669,0,AM$13),15-13*ORÇAMENTO!$AF$7)/$H669*OFFSET(ORÇAMENTO!$X$15,ROW(AM669)-ROW(AM$15),0),0)</f>
        <v>0</v>
      </c>
      <c r="AN669" s="632">
        <f ca="1">IF(AND($D669="Serviço",AN$12&lt;&gt;0,$H669&gt;0,OR(AUTOEVENTO&lt;&gt;"manual",$M669&lt;&gt;1)),ROUND(OFFSET($P669,0,AN$13),15-13*ORÇAMENTO!$AF$7)/$H669*OFFSET(ORÇAMENTO!$X$15,ROW(AN669)-ROW(AN$15),0),0)</f>
        <v>0</v>
      </c>
      <c r="AO669" s="632">
        <f ca="1">IF(AND($D669="Serviço",AO$12&lt;&gt;0,$H669&gt;0,OR(AUTOEVENTO&lt;&gt;"manual",$M669&lt;&gt;1)),ROUND(OFFSET($P669,0,AO$13),15-13*ORÇAMENTO!$AF$7)/$H669*OFFSET(ORÇAMENTO!$X$15,ROW(AO669)-ROW(AO$15),0),0)</f>
        <v>0</v>
      </c>
      <c r="AP669" s="632">
        <f ca="1">IF(AND($D669="Serviço",AP$12&lt;&gt;0,$H669&gt;0,OR(AUTOEVENTO&lt;&gt;"manual",$M669&lt;&gt;1)),ROUND(OFFSET($P669,0,AP$13),15-13*ORÇAMENTO!$AF$7)/$H669*OFFSET(ORÇAMENTO!$X$15,ROW(AP669)-ROW(AP$15),0),0)</f>
        <v>0</v>
      </c>
      <c r="AQ669" s="632">
        <f ca="1">IF(AND($D669="Serviço",AQ$12&lt;&gt;0,$H669&gt;0,OR(AUTOEVENTO&lt;&gt;"manual",$M669&lt;&gt;1)),ROUND(OFFSET($P669,0,AQ$13),15-13*ORÇAMENTO!$AF$7)/$H669*OFFSET(ORÇAMENTO!$X$15,ROW(AQ669)-ROW(AQ$15),0),0)</f>
        <v>0</v>
      </c>
      <c r="AR669" s="632">
        <f ca="1">IF(AND($D669="Serviço",AR$12&lt;&gt;0,$H669&gt;0,OR(AUTOEVENTO&lt;&gt;"manual",$M669&lt;&gt;1)),ROUND(OFFSET($P669,0,AR$13),15-13*ORÇAMENTO!$AF$7)/$H669*OFFSET(ORÇAMENTO!$X$15,ROW(AR669)-ROW(AR$15),0),0)</f>
        <v>0</v>
      </c>
      <c r="AS669" s="633">
        <f ca="1">IF(AND($D669="Serviço",AS$12&lt;&gt;0,$H669&gt;0,OR(AUTOEVENTO&lt;&gt;"manual",$M669&lt;&gt;1)),ROUND(OFFSET($P669,0,AS$13),15-13*ORÇAMENTO!$AF$7)/$H669*OFFSET(ORÇAMENTO!$X$15,ROW(AS669)-ROW(AS$15),0),0)</f>
        <v>0</v>
      </c>
      <c r="AT669" s="632">
        <f ca="1">IF(AND($D669="Serviço",AT$12&lt;&gt;0,$H669&gt;0,OR(AUTOEVENTO&lt;&gt;"manual",$M669&lt;&gt;1)),ROUND(OFFSET($P669,0,AT$13),15-13*ORÇAMENTO!$AF$7)/$H669*OFFSET(ORÇAMENTO!$X$15,ROW(AT669)-ROW(AT$15),0),0)</f>
        <v>0</v>
      </c>
      <c r="AU669" s="632">
        <f ca="1">IF(AND($D669="Serviço",AU$12&lt;&gt;0,$H669&gt;0,OR(AUTOEVENTO&lt;&gt;"manual",$M669&lt;&gt;1)),ROUND(OFFSET($P669,0,AU$13),15-13*ORÇAMENTO!$AF$7)/$H669*OFFSET(ORÇAMENTO!$X$15,ROW(AU669)-ROW(AU$15),0),0)</f>
        <v>0</v>
      </c>
      <c r="AV669" s="632">
        <f ca="1">IF(AND($D669="Serviço",AV$12&lt;&gt;0,$H669&gt;0,OR(AUTOEVENTO&lt;&gt;"manual",$M669&lt;&gt;1)),ROUND(OFFSET($P669,0,AV$13),15-13*ORÇAMENTO!$AF$7)/$H669*OFFSET(ORÇAMENTO!$X$15,ROW(AV669)-ROW(AV$15),0),0)</f>
        <v>0</v>
      </c>
      <c r="AW669" s="632">
        <f ca="1">IF(AND($D669="Serviço",AW$12&lt;&gt;0,$H669&gt;0,OR(AUTOEVENTO&lt;&gt;"manual",$M669&lt;&gt;1)),ROUND(OFFSET($P669,0,AW$13),15-13*ORÇAMENTO!$AF$7)/$H669*OFFSET(ORÇAMENTO!$X$15,ROW(AW669)-ROW(AW$15),0),0)</f>
        <v>0</v>
      </c>
      <c r="AX669" s="632">
        <f ca="1">IF(AND($D669="Serviço",AX$12&lt;&gt;0,$H669&gt;0,OR(AUTOEVENTO&lt;&gt;"manual",$M669&lt;&gt;1)),ROUND(OFFSET($P669,0,AX$13),15-13*ORÇAMENTO!$AF$7)/$H669*OFFSET(ORÇAMENTO!$X$15,ROW(AX669)-ROW(AX$15),0),0)</f>
        <v>0</v>
      </c>
      <c r="AY669" s="632">
        <f ca="1">IF(AND($D669="Serviço",AY$12&lt;&gt;0,$H669&gt;0,OR(AUTOEVENTO&lt;&gt;"manual",$M669&lt;&gt;1)),ROUND(OFFSET($P669,0,AY$13),15-13*ORÇAMENTO!$AF$7)/$H669*OFFSET(ORÇAMENTO!$X$15,ROW(AY669)-ROW(AY$15),0),0)</f>
        <v>0</v>
      </c>
      <c r="AZ669" s="632">
        <f ca="1">IF(AND($D669="Serviço",AZ$12&lt;&gt;0,$H669&gt;0,OR(AUTOEVENTO&lt;&gt;"manual",$M669&lt;&gt;1)),ROUND(OFFSET($P669,0,AZ$13),15-13*ORÇAMENTO!$AF$7)/$H669*OFFSET(ORÇAMENTO!$X$15,ROW(AZ669)-ROW(AZ$15),0),0)</f>
        <v>0</v>
      </c>
      <c r="BA669" s="633">
        <f ca="1">IF(AND($D669="Serviço",BA$12&lt;&gt;0,$H669&gt;0,OR(AUTOEVENTO&lt;&gt;"manual",$M669&lt;&gt;1)),ROUND(OFFSET($P669,0,BA$13),15-13*ORÇAMENTO!$AF$7)/$H669*OFFSET(ORÇAMENTO!$X$15,ROW(BA669)-ROW(BA$15),0),0)</f>
        <v>0</v>
      </c>
      <c r="BC669" s="215">
        <f ca="1">IF($D669&lt;&gt;"Serviço",0,IF(AND(AUTOEVENTO="Manual",$M669=1),0,IF(OFFSET(CRONOPLE!$F$14,$M669,BC$13)="",10^12,OFFSET(CRONOPLE!$F$14,$M669,BC$13))))</f>
        <v>1000000000000</v>
      </c>
      <c r="BD669" s="215">
        <f ca="1">IF($D669&lt;&gt;"Serviço",0,IF(AND(AUTOEVENTO="Manual",$M669=1),0,IF(OFFSET(CRONOPLE!$F$14,$M669,BD$13)="",10^12,OFFSET(CRONOPLE!$F$14,$M669,BD$13))))</f>
        <v>1000000000000</v>
      </c>
      <c r="BE669" s="215">
        <f ca="1">IF($D669&lt;&gt;"Serviço",0,IF(AND(AUTOEVENTO="Manual",$M669=1),0,IF(OFFSET(CRONOPLE!$F$14,$M669,BE$13)="",10^12,OFFSET(CRONOPLE!$F$14,$M669,BE$13))))</f>
        <v>1000000000000</v>
      </c>
      <c r="BF669" s="215">
        <f ca="1">IF($D669&lt;&gt;"Serviço",0,IF(AND(AUTOEVENTO="Manual",$M669=1),0,IF(OFFSET(CRONOPLE!$F$14,$M669,BF$13)="",10^12,OFFSET(CRONOPLE!$F$14,$M669,BF$13))))</f>
        <v>1000000000000</v>
      </c>
      <c r="BG669" s="215">
        <f ca="1">IF($D669&lt;&gt;"Serviço",0,IF(AND(AUTOEVENTO="Manual",$M669=1),0,IF(OFFSET(CRONOPLE!$F$14,$M669,BG$13)="",10^12,OFFSET(CRONOPLE!$F$14,$M669,BG$13))))</f>
        <v>1000000000000</v>
      </c>
      <c r="BH669" s="215">
        <f ca="1">IF($D669&lt;&gt;"Serviço",0,IF(AND(AUTOEVENTO="Manual",$M669=1),0,IF(OFFSET(CRONOPLE!$F$14,$M669,BH$13)="",10^12,OFFSET(CRONOPLE!$F$14,$M669,BH$13))))</f>
        <v>1000000000000</v>
      </c>
      <c r="BI669" s="215">
        <f ca="1">IF($D669&lt;&gt;"Serviço",0,IF(AND(AUTOEVENTO="Manual",$M669=1),0,IF(OFFSET(CRONOPLE!$F$14,$M669,BI$13)="",10^12,OFFSET(CRONOPLE!$F$14,$M669,BI$13))))</f>
        <v>1000000000000</v>
      </c>
      <c r="BJ669" s="215">
        <f ca="1">IF($D669&lt;&gt;"Serviço",0,IF(AND(AUTOEVENTO="Manual",$M669=1),0,IF(OFFSET(CRONOPLE!$F$14,$M669,BJ$13)="",10^12,OFFSET(CRONOPLE!$F$14,$M669,BJ$13))))</f>
        <v>1000000000000</v>
      </c>
      <c r="BK669" s="215">
        <f ca="1">IF($D669&lt;&gt;"Serviço",0,IF(AND(AUTOEVENTO="Manual",$M669=1),0,IF(OFFSET(CRONOPLE!$F$14,$M669,BK$13)="",10^12,OFFSET(CRONOPLE!$F$14,$M669,BK$13))))</f>
        <v>1000000000000</v>
      </c>
      <c r="BL669" s="215">
        <f ca="1">IF($D669&lt;&gt;"Serviço",0,IF(AND(AUTOEVENTO="Manual",$M669=1),0,IF(OFFSET(CRONOPLE!$F$14,$M669,BL$13)="",10^12,OFFSET(CRONOPLE!$F$14,$M669,BL$13))))</f>
        <v>1000000000000</v>
      </c>
      <c r="BM669" s="215">
        <f ca="1">IF($D669&lt;&gt;"Serviço",0,IF(AND(AUTOEVENTO="Manual",$M669=1),0,IF(OFFSET(CRONOPLE!$F$14,$M669,BM$13)="",10^12,OFFSET(CRONOPLE!$F$14,$M669,BM$13))))</f>
        <v>1000000000000</v>
      </c>
      <c r="BN669" s="215">
        <f ca="1">IF($D669&lt;&gt;"Serviço",0,IF(AND(AUTOEVENTO="Manual",$M669=1),0,IF(OFFSET(CRONOPLE!$F$14,$M669,BN$13)="",10^12,OFFSET(CRONOPLE!$F$14,$M669,BN$13))))</f>
        <v>1000000000000</v>
      </c>
      <c r="BO669" s="215">
        <f ca="1">IF($D669&lt;&gt;"Serviço",0,IF(AND(AUTOEVENTO="Manual",$M669=1),0,IF(OFFSET(CRONOPLE!$F$14,$M669,BO$13)="",10^12,OFFSET(CRONOPLE!$F$14,$M669,BO$13))))</f>
        <v>1000000000000</v>
      </c>
      <c r="BP669" s="215">
        <f ca="1">IF($D669&lt;&gt;"Serviço",0,IF(AND(AUTOEVENTO="Manual",$M669=1),0,IF(OFFSET(CRONOPLE!$F$14,$M669,BP$13)="",10^12,OFFSET(CRONOPLE!$F$14,$M669,BP$13))))</f>
        <v>1000000000000</v>
      </c>
      <c r="BQ669" s="215">
        <f ca="1">IF($D669&lt;&gt;"Serviço",0,IF(AND(AUTOEVENTO="Manual",$M669=1),0,IF(OFFSET(CRONOPLE!$F$14,$M669,BQ$13)="",10^12,OFFSET(CRONOPLE!$F$14,$M669,BQ$13))))</f>
        <v>1000000000000</v>
      </c>
      <c r="BR669" s="215">
        <f ca="1">IF($D669&lt;&gt;"Serviço",0,IF(AND(AUTOEVENTO="Manual",$M669=1),0,IF(OFFSET(CRONOPLE!$F$14,$M669,BR$13)="",10^12,OFFSET(CRONOPLE!$F$14,$M669,BR$13))))</f>
        <v>1000000000000</v>
      </c>
      <c r="BS669" s="215">
        <f ca="1">IF($D669&lt;&gt;"Serviço",0,IF(AND(AUTOEVENTO="Manual",$M669=1),0,IF(OFFSET(CRONOPLE!$F$14,$M669,BS$13)="",10^12,OFFSET(CRONOPLE!$F$14,$M669,BS$13))))</f>
        <v>1000000000000</v>
      </c>
      <c r="BT669" s="215">
        <f ca="1">IF($D669&lt;&gt;"Serviço",0,IF(AND(AUTOEVENTO="Manual",$M669=1),0,IF(OFFSET(CRONOPLE!$F$14,$M669,BT$13)="",10^12,OFFSET(CRONOPLE!$F$14,$M669,BT$13))))</f>
        <v>1000000000000</v>
      </c>
      <c r="BV669" s="216">
        <f ca="1">IF($D669&lt;&gt;"Serviço",0,IF(OR(AND(AUTOEVENTO="Manual",$M669=1),$M669&gt;(ROW(PLE.lastrow)-ROW(PLE.firstrow))),0,IF(OFFSET(PLE!$G$14,$M669,BV$13)="",10^12,OFFSET(PLE!$G$14,$M669,BV$13))))</f>
        <v>1000000000000</v>
      </c>
      <c r="BW669" s="216">
        <f ca="1">IF($D669&lt;&gt;"Serviço",0,IF(OR(AND(AUTOEVENTO="Manual",$M669=1),$M669&gt;(ROW(PLE.lastrow)-ROW(PLE.firstrow))),0,IF(OFFSET(PLE!$G$14,$M669,BW$13)="",10^12,OFFSET(PLE!$G$14,$M669,BW$13))))</f>
        <v>1000000000000</v>
      </c>
      <c r="BX669" s="216">
        <f ca="1">IF($D669&lt;&gt;"Serviço",0,IF(OR(AND(AUTOEVENTO="Manual",$M669=1),$M669&gt;(ROW(PLE.lastrow)-ROW(PLE.firstrow))),0,IF(OFFSET(PLE!$G$14,$M669,BX$13)="",10^12,OFFSET(PLE!$G$14,$M669,BX$13))))</f>
        <v>1000000000000</v>
      </c>
      <c r="BY669" s="216">
        <f ca="1">IF($D669&lt;&gt;"Serviço",0,IF(OR(AND(AUTOEVENTO="Manual",$M669=1),$M669&gt;(ROW(PLE.lastrow)-ROW(PLE.firstrow))),0,IF(OFFSET(PLE!$G$14,$M669,BY$13)="",10^12,OFFSET(PLE!$G$14,$M669,BY$13))))</f>
        <v>1000000000000</v>
      </c>
      <c r="BZ669" s="216">
        <f ca="1">IF($D669&lt;&gt;"Serviço",0,IF(OR(AND(AUTOEVENTO="Manual",$M669=1),$M669&gt;(ROW(PLE.lastrow)-ROW(PLE.firstrow))),0,IF(OFFSET(PLE!$G$14,$M669,BZ$13)="",10^12,OFFSET(PLE!$G$14,$M669,BZ$13))))</f>
        <v>1000000000000</v>
      </c>
      <c r="CA669" s="216">
        <f ca="1">IF($D669&lt;&gt;"Serviço",0,IF(OR(AND(AUTOEVENTO="Manual",$M669=1),$M669&gt;(ROW(PLE.lastrow)-ROW(PLE.firstrow))),0,IF(OFFSET(PLE!$G$14,$M669,CA$13)="",10^12,OFFSET(PLE!$G$14,$M669,CA$13))))</f>
        <v>1000000000000</v>
      </c>
      <c r="CB669" s="216">
        <f ca="1">IF($D669&lt;&gt;"Serviço",0,IF(OR(AND(AUTOEVENTO="Manual",$M669=1),$M669&gt;(ROW(PLE.lastrow)-ROW(PLE.firstrow))),0,IF(OFFSET(PLE!$G$14,$M669,CB$13)="",10^12,OFFSET(PLE!$G$14,$M669,CB$13))))</f>
        <v>1000000000000</v>
      </c>
      <c r="CC669" s="216">
        <f ca="1">IF($D669&lt;&gt;"Serviço",0,IF(OR(AND(AUTOEVENTO="Manual",$M669=1),$M669&gt;(ROW(PLE.lastrow)-ROW(PLE.firstrow))),0,IF(OFFSET(PLE!$G$14,$M669,CC$13)="",10^12,OFFSET(PLE!$G$14,$M669,CC$13))))</f>
        <v>1000000000000</v>
      </c>
      <c r="CD669" s="216">
        <f ca="1">IF($D669&lt;&gt;"Serviço",0,IF(OR(AND(AUTOEVENTO="Manual",$M669=1),$M669&gt;(ROW(PLE.lastrow)-ROW(PLE.firstrow))),0,IF(OFFSET(PLE!$G$14,$M669,CD$13)="",10^12,OFFSET(PLE!$G$14,$M669,CD$13))))</f>
        <v>1000000000000</v>
      </c>
      <c r="CE669" s="216">
        <f ca="1">IF($D669&lt;&gt;"Serviço",0,IF(OR(AND(AUTOEVENTO="Manual",$M669=1),$M669&gt;(ROW(PLE.lastrow)-ROW(PLE.firstrow))),0,IF(OFFSET(PLE!$G$14,$M669,CE$13)="",10^12,OFFSET(PLE!$G$14,$M669,CE$13))))</f>
        <v>1000000000000</v>
      </c>
      <c r="CF669" s="216">
        <f ca="1">IF($D669&lt;&gt;"Serviço",0,IF(OR(AND(AUTOEVENTO="Manual",$M669=1),$M669&gt;(ROW(PLE.lastrow)-ROW(PLE.firstrow))),0,IF(OFFSET(PLE!$G$14,$M669,CF$13)="",10^12,OFFSET(PLE!$G$14,$M669,CF$13))))</f>
        <v>1000000000000</v>
      </c>
      <c r="CG669" s="216">
        <f ca="1">IF($D669&lt;&gt;"Serviço",0,IF(OR(AND(AUTOEVENTO="Manual",$M669=1),$M669&gt;(ROW(PLE.lastrow)-ROW(PLE.firstrow))),0,IF(OFFSET(PLE!$G$14,$M669,CG$13)="",10^12,OFFSET(PLE!$G$14,$M669,CG$13))))</f>
        <v>1000000000000</v>
      </c>
      <c r="CH669" s="216">
        <f ca="1">IF($D669&lt;&gt;"Serviço",0,IF(OR(AND(AUTOEVENTO="Manual",$M669=1),$M669&gt;(ROW(PLE.lastrow)-ROW(PLE.firstrow))),0,IF(OFFSET(PLE!$G$14,$M669,CH$13)="",10^12,OFFSET(PLE!$G$14,$M669,CH$13))))</f>
        <v>1000000000000</v>
      </c>
      <c r="CI669" s="216">
        <f ca="1">IF($D669&lt;&gt;"Serviço",0,IF(OR(AND(AUTOEVENTO="Manual",$M669=1),$M669&gt;(ROW(PLE.lastrow)-ROW(PLE.firstrow))),0,IF(OFFSET(PLE!$G$14,$M669,CI$13)="",10^12,OFFSET(PLE!$G$14,$M669,CI$13))))</f>
        <v>1000000000000</v>
      </c>
      <c r="CJ669" s="216">
        <f ca="1">IF($D669&lt;&gt;"Serviço",0,IF(OR(AND(AUTOEVENTO="Manual",$M669=1),$M669&gt;(ROW(PLE.lastrow)-ROW(PLE.firstrow))),0,IF(OFFSET(PLE!$G$14,$M669,CJ$13)="",10^12,OFFSET(PLE!$G$14,$M669,CJ$13))))</f>
        <v>1000000000000</v>
      </c>
      <c r="CK669" s="216">
        <f ca="1">IF($D669&lt;&gt;"Serviço",0,IF(OR(AND(AUTOEVENTO="Manual",$M669=1),$M669&gt;(ROW(PLE.lastrow)-ROW(PLE.firstrow))),0,IF(OFFSET(PLE!$G$14,$M669,CK$13)="",10^12,OFFSET(PLE!$G$14,$M669,CK$13))))</f>
        <v>1000000000000</v>
      </c>
      <c r="CL669" s="216">
        <f ca="1">IF($D669&lt;&gt;"Serviço",0,IF(OR(AND(AUTOEVENTO="Manual",$M669=1),$M669&gt;(ROW(PLE.lastrow)-ROW(PLE.firstrow))),0,IF(OFFSET(PLE!$G$14,$M669,CL$13)="",10^12,OFFSET(PLE!$G$14,$M669,CL$13))))</f>
        <v>1000000000000</v>
      </c>
      <c r="CM669" s="216">
        <f ca="1">IF($D669&lt;&gt;"Serviço",0,IF(OR(AND(AUTOEVENTO="Manual",$M669=1),$M669&gt;(ROW(PLE.lastrow)-ROW(PLE.firstrow))),0,IF(OFFSET(PLE!$G$14,$M669,CM$13)="",10^12,OFFSET(PLE!$G$14,$M669,CM$13))))</f>
        <v>1000000000000</v>
      </c>
    </row>
    <row r="670" spans="1:91" ht="13.2" x14ac:dyDescent="0.25">
      <c r="A670" s="9">
        <f t="shared" ca="1" si="20"/>
        <v>0</v>
      </c>
      <c r="B670" s="9" t="str">
        <f ca="1">OFFSET(ORÇAMENTO!C$15,ROW(B670)-ROW(B$15),0)</f>
        <v>S</v>
      </c>
      <c r="C670" s="9" t="str">
        <f ca="1">OFFSET(ORÇAMENTO!L$15,ROW(C670)-ROW(C$15),0)</f>
        <v/>
      </c>
      <c r="D670" s="145" t="str">
        <f ca="1">OFFSET(ORÇAMENTO!N$15,ROW(D670)-ROW(D$15),0)</f>
        <v>Serviço</v>
      </c>
      <c r="E670" s="205" t="str">
        <f ca="1">OFFSET(ORÇAMENTO!O$15,ROW(E670)-ROW(E$15),0)</f>
        <v>-</v>
      </c>
      <c r="F670" s="206" t="str">
        <f ca="1">OFFSET(ORÇAMENTO!R$15,ROW(F670)-ROW(F$15),0)</f>
        <v>(abra o arquivo 'Referência 05-2024.xls)</v>
      </c>
      <c r="G670" s="207" t="str">
        <f ca="1">IF($D670&lt;&gt;"Serviço","",OFFSET(ORÇAMENTO!S$15,ROW(G670)-ROW(G$15),0))</f>
        <v>-</v>
      </c>
      <c r="H670" s="151">
        <f ca="1">IF($D670&lt;&gt;"Serviço",0,IF(ACOMPANHAMENTO="BM",ROUND(OFFSET(ORÇAMENTO!AJ$15,ROW(H670)-ROW(H$15),0),15-13*ORÇAMENTO!$AF$7),SUMPRODUCT(($Q$12:$AI$12&lt;&gt;"")*ROUND($Q670:$AI670,15-13*ORÇAMENTO!$AF$7))))</f>
        <v>6</v>
      </c>
      <c r="I670" s="650"/>
      <c r="K670" s="208"/>
      <c r="L670" s="209" t="s">
        <v>257</v>
      </c>
      <c r="M670" s="210">
        <f ca="1">IF($D670&lt;&gt;"Serviço","",IF(AUTOEVENTO="manual",$A670,IF(ISERROR(MATCH($A670,$A$15:OFFSET($A670,-1,0),0)),MAX($M$15:OFFSET(M670,-1,0))+1,INDEX($M$15:OFFSET(M670,-1,0),MATCH($A670,$A$15:OFFSET($A670,-1,0),0)))))</f>
        <v>0</v>
      </c>
      <c r="N670" s="211" t="str">
        <f ca="1">IF($D670&lt;&gt;"Serviço","",IF(AUTOEVENTO="Manual",IF($A670=0,"&lt;-- defina o número do agrupador",OFFSET(EVENTOS!$D$14,$A670,0)),OFFSET($F$15,$A670,0)))</f>
        <v>&lt;-- defina o número do agrupador</v>
      </c>
      <c r="O670" s="212"/>
      <c r="Q670" s="212"/>
      <c r="R670" s="213"/>
      <c r="S670" s="213"/>
      <c r="T670" s="213"/>
      <c r="U670" s="213"/>
      <c r="V670" s="213"/>
      <c r="W670" s="213"/>
      <c r="X670" s="213"/>
      <c r="Y670" s="213"/>
      <c r="Z670" s="214"/>
      <c r="AA670" s="213"/>
      <c r="AB670" s="213"/>
      <c r="AC670" s="213"/>
      <c r="AD670" s="213"/>
      <c r="AE670" s="213"/>
      <c r="AF670" s="213"/>
      <c r="AG670" s="213"/>
      <c r="AH670" s="214"/>
      <c r="AJ670" s="631">
        <f ca="1">IF(AND($D670="Serviço",AJ$12&lt;&gt;0,$H670&gt;0,OR(AUTOEVENTO&lt;&gt;"manual",$M670&lt;&gt;1)),ROUND(OFFSET($P670,0,AJ$13),15-13*ORÇAMENTO!$AF$7)/$H670*OFFSET(ORÇAMENTO!$X$15,ROW(AJ670)-ROW(AJ$15),0),0)</f>
        <v>0</v>
      </c>
      <c r="AK670" s="632">
        <f ca="1">IF(AND($D670="Serviço",AK$12&lt;&gt;0,$H670&gt;0,OR(AUTOEVENTO&lt;&gt;"manual",$M670&lt;&gt;1)),ROUND(OFFSET($P670,0,AK$13),15-13*ORÇAMENTO!$AF$7)/$H670*OFFSET(ORÇAMENTO!$X$15,ROW(AK670)-ROW(AK$15),0),0)</f>
        <v>0</v>
      </c>
      <c r="AL670" s="632">
        <f ca="1">IF(AND($D670="Serviço",AL$12&lt;&gt;0,$H670&gt;0,OR(AUTOEVENTO&lt;&gt;"manual",$M670&lt;&gt;1)),ROUND(OFFSET($P670,0,AL$13),15-13*ORÇAMENTO!$AF$7)/$H670*OFFSET(ORÇAMENTO!$X$15,ROW(AL670)-ROW(AL$15),0),0)</f>
        <v>0</v>
      </c>
      <c r="AM670" s="632">
        <f ca="1">IF(AND($D670="Serviço",AM$12&lt;&gt;0,$H670&gt;0,OR(AUTOEVENTO&lt;&gt;"manual",$M670&lt;&gt;1)),ROUND(OFFSET($P670,0,AM$13),15-13*ORÇAMENTO!$AF$7)/$H670*OFFSET(ORÇAMENTO!$X$15,ROW(AM670)-ROW(AM$15),0),0)</f>
        <v>0</v>
      </c>
      <c r="AN670" s="632">
        <f ca="1">IF(AND($D670="Serviço",AN$12&lt;&gt;0,$H670&gt;0,OR(AUTOEVENTO&lt;&gt;"manual",$M670&lt;&gt;1)),ROUND(OFFSET($P670,0,AN$13),15-13*ORÇAMENTO!$AF$7)/$H670*OFFSET(ORÇAMENTO!$X$15,ROW(AN670)-ROW(AN$15),0),0)</f>
        <v>0</v>
      </c>
      <c r="AO670" s="632">
        <f ca="1">IF(AND($D670="Serviço",AO$12&lt;&gt;0,$H670&gt;0,OR(AUTOEVENTO&lt;&gt;"manual",$M670&lt;&gt;1)),ROUND(OFFSET($P670,0,AO$13),15-13*ORÇAMENTO!$AF$7)/$H670*OFFSET(ORÇAMENTO!$X$15,ROW(AO670)-ROW(AO$15),0),0)</f>
        <v>0</v>
      </c>
      <c r="AP670" s="632">
        <f ca="1">IF(AND($D670="Serviço",AP$12&lt;&gt;0,$H670&gt;0,OR(AUTOEVENTO&lt;&gt;"manual",$M670&lt;&gt;1)),ROUND(OFFSET($P670,0,AP$13),15-13*ORÇAMENTO!$AF$7)/$H670*OFFSET(ORÇAMENTO!$X$15,ROW(AP670)-ROW(AP$15),0),0)</f>
        <v>0</v>
      </c>
      <c r="AQ670" s="632">
        <f ca="1">IF(AND($D670="Serviço",AQ$12&lt;&gt;0,$H670&gt;0,OR(AUTOEVENTO&lt;&gt;"manual",$M670&lt;&gt;1)),ROUND(OFFSET($P670,0,AQ$13),15-13*ORÇAMENTO!$AF$7)/$H670*OFFSET(ORÇAMENTO!$X$15,ROW(AQ670)-ROW(AQ$15),0),0)</f>
        <v>0</v>
      </c>
      <c r="AR670" s="632">
        <f ca="1">IF(AND($D670="Serviço",AR$12&lt;&gt;0,$H670&gt;0,OR(AUTOEVENTO&lt;&gt;"manual",$M670&lt;&gt;1)),ROUND(OFFSET($P670,0,AR$13),15-13*ORÇAMENTO!$AF$7)/$H670*OFFSET(ORÇAMENTO!$X$15,ROW(AR670)-ROW(AR$15),0),0)</f>
        <v>0</v>
      </c>
      <c r="AS670" s="633">
        <f ca="1">IF(AND($D670="Serviço",AS$12&lt;&gt;0,$H670&gt;0,OR(AUTOEVENTO&lt;&gt;"manual",$M670&lt;&gt;1)),ROUND(OFFSET($P670,0,AS$13),15-13*ORÇAMENTO!$AF$7)/$H670*OFFSET(ORÇAMENTO!$X$15,ROW(AS670)-ROW(AS$15),0),0)</f>
        <v>0</v>
      </c>
      <c r="AT670" s="632">
        <f ca="1">IF(AND($D670="Serviço",AT$12&lt;&gt;0,$H670&gt;0,OR(AUTOEVENTO&lt;&gt;"manual",$M670&lt;&gt;1)),ROUND(OFFSET($P670,0,AT$13),15-13*ORÇAMENTO!$AF$7)/$H670*OFFSET(ORÇAMENTO!$X$15,ROW(AT670)-ROW(AT$15),0),0)</f>
        <v>0</v>
      </c>
      <c r="AU670" s="632">
        <f ca="1">IF(AND($D670="Serviço",AU$12&lt;&gt;0,$H670&gt;0,OR(AUTOEVENTO&lt;&gt;"manual",$M670&lt;&gt;1)),ROUND(OFFSET($P670,0,AU$13),15-13*ORÇAMENTO!$AF$7)/$H670*OFFSET(ORÇAMENTO!$X$15,ROW(AU670)-ROW(AU$15),0),0)</f>
        <v>0</v>
      </c>
      <c r="AV670" s="632">
        <f ca="1">IF(AND($D670="Serviço",AV$12&lt;&gt;0,$H670&gt;0,OR(AUTOEVENTO&lt;&gt;"manual",$M670&lt;&gt;1)),ROUND(OFFSET($P670,0,AV$13),15-13*ORÇAMENTO!$AF$7)/$H670*OFFSET(ORÇAMENTO!$X$15,ROW(AV670)-ROW(AV$15),0),0)</f>
        <v>0</v>
      </c>
      <c r="AW670" s="632">
        <f ca="1">IF(AND($D670="Serviço",AW$12&lt;&gt;0,$H670&gt;0,OR(AUTOEVENTO&lt;&gt;"manual",$M670&lt;&gt;1)),ROUND(OFFSET($P670,0,AW$13),15-13*ORÇAMENTO!$AF$7)/$H670*OFFSET(ORÇAMENTO!$X$15,ROW(AW670)-ROW(AW$15),0),0)</f>
        <v>0</v>
      </c>
      <c r="AX670" s="632">
        <f ca="1">IF(AND($D670="Serviço",AX$12&lt;&gt;0,$H670&gt;0,OR(AUTOEVENTO&lt;&gt;"manual",$M670&lt;&gt;1)),ROUND(OFFSET($P670,0,AX$13),15-13*ORÇAMENTO!$AF$7)/$H670*OFFSET(ORÇAMENTO!$X$15,ROW(AX670)-ROW(AX$15),0),0)</f>
        <v>0</v>
      </c>
      <c r="AY670" s="632">
        <f ca="1">IF(AND($D670="Serviço",AY$12&lt;&gt;0,$H670&gt;0,OR(AUTOEVENTO&lt;&gt;"manual",$M670&lt;&gt;1)),ROUND(OFFSET($P670,0,AY$13),15-13*ORÇAMENTO!$AF$7)/$H670*OFFSET(ORÇAMENTO!$X$15,ROW(AY670)-ROW(AY$15),0),0)</f>
        <v>0</v>
      </c>
      <c r="AZ670" s="632">
        <f ca="1">IF(AND($D670="Serviço",AZ$12&lt;&gt;0,$H670&gt;0,OR(AUTOEVENTO&lt;&gt;"manual",$M670&lt;&gt;1)),ROUND(OFFSET($P670,0,AZ$13),15-13*ORÇAMENTO!$AF$7)/$H670*OFFSET(ORÇAMENTO!$X$15,ROW(AZ670)-ROW(AZ$15),0),0)</f>
        <v>0</v>
      </c>
      <c r="BA670" s="633">
        <f ca="1">IF(AND($D670="Serviço",BA$12&lt;&gt;0,$H670&gt;0,OR(AUTOEVENTO&lt;&gt;"manual",$M670&lt;&gt;1)),ROUND(OFFSET($P670,0,BA$13),15-13*ORÇAMENTO!$AF$7)/$H670*OFFSET(ORÇAMENTO!$X$15,ROW(BA670)-ROW(BA$15),0),0)</f>
        <v>0</v>
      </c>
      <c r="BC670" s="215">
        <f ca="1">IF($D670&lt;&gt;"Serviço",0,IF(AND(AUTOEVENTO="Manual",$M670=1),0,IF(OFFSET(CRONOPLE!$F$14,$M670,BC$13)="",10^12,OFFSET(CRONOPLE!$F$14,$M670,BC$13))))</f>
        <v>1000000000000</v>
      </c>
      <c r="BD670" s="215">
        <f ca="1">IF($D670&lt;&gt;"Serviço",0,IF(AND(AUTOEVENTO="Manual",$M670=1),0,IF(OFFSET(CRONOPLE!$F$14,$M670,BD$13)="",10^12,OFFSET(CRONOPLE!$F$14,$M670,BD$13))))</f>
        <v>1000000000000</v>
      </c>
      <c r="BE670" s="215">
        <f ca="1">IF($D670&lt;&gt;"Serviço",0,IF(AND(AUTOEVENTO="Manual",$M670=1),0,IF(OFFSET(CRONOPLE!$F$14,$M670,BE$13)="",10^12,OFFSET(CRONOPLE!$F$14,$M670,BE$13))))</f>
        <v>1000000000000</v>
      </c>
      <c r="BF670" s="215">
        <f ca="1">IF($D670&lt;&gt;"Serviço",0,IF(AND(AUTOEVENTO="Manual",$M670=1),0,IF(OFFSET(CRONOPLE!$F$14,$M670,BF$13)="",10^12,OFFSET(CRONOPLE!$F$14,$M670,BF$13))))</f>
        <v>1000000000000</v>
      </c>
      <c r="BG670" s="215">
        <f ca="1">IF($D670&lt;&gt;"Serviço",0,IF(AND(AUTOEVENTO="Manual",$M670=1),0,IF(OFFSET(CRONOPLE!$F$14,$M670,BG$13)="",10^12,OFFSET(CRONOPLE!$F$14,$M670,BG$13))))</f>
        <v>1000000000000</v>
      </c>
      <c r="BH670" s="215">
        <f ca="1">IF($D670&lt;&gt;"Serviço",0,IF(AND(AUTOEVENTO="Manual",$M670=1),0,IF(OFFSET(CRONOPLE!$F$14,$M670,BH$13)="",10^12,OFFSET(CRONOPLE!$F$14,$M670,BH$13))))</f>
        <v>1000000000000</v>
      </c>
      <c r="BI670" s="215">
        <f ca="1">IF($D670&lt;&gt;"Serviço",0,IF(AND(AUTOEVENTO="Manual",$M670=1),0,IF(OFFSET(CRONOPLE!$F$14,$M670,BI$13)="",10^12,OFFSET(CRONOPLE!$F$14,$M670,BI$13))))</f>
        <v>1000000000000</v>
      </c>
      <c r="BJ670" s="215">
        <f ca="1">IF($D670&lt;&gt;"Serviço",0,IF(AND(AUTOEVENTO="Manual",$M670=1),0,IF(OFFSET(CRONOPLE!$F$14,$M670,BJ$13)="",10^12,OFFSET(CRONOPLE!$F$14,$M670,BJ$13))))</f>
        <v>1000000000000</v>
      </c>
      <c r="BK670" s="215">
        <f ca="1">IF($D670&lt;&gt;"Serviço",0,IF(AND(AUTOEVENTO="Manual",$M670=1),0,IF(OFFSET(CRONOPLE!$F$14,$M670,BK$13)="",10^12,OFFSET(CRONOPLE!$F$14,$M670,BK$13))))</f>
        <v>1000000000000</v>
      </c>
      <c r="BL670" s="215">
        <f ca="1">IF($D670&lt;&gt;"Serviço",0,IF(AND(AUTOEVENTO="Manual",$M670=1),0,IF(OFFSET(CRONOPLE!$F$14,$M670,BL$13)="",10^12,OFFSET(CRONOPLE!$F$14,$M670,BL$13))))</f>
        <v>1000000000000</v>
      </c>
      <c r="BM670" s="215">
        <f ca="1">IF($D670&lt;&gt;"Serviço",0,IF(AND(AUTOEVENTO="Manual",$M670=1),0,IF(OFFSET(CRONOPLE!$F$14,$M670,BM$13)="",10^12,OFFSET(CRONOPLE!$F$14,$M670,BM$13))))</f>
        <v>1000000000000</v>
      </c>
      <c r="BN670" s="215">
        <f ca="1">IF($D670&lt;&gt;"Serviço",0,IF(AND(AUTOEVENTO="Manual",$M670=1),0,IF(OFFSET(CRONOPLE!$F$14,$M670,BN$13)="",10^12,OFFSET(CRONOPLE!$F$14,$M670,BN$13))))</f>
        <v>1000000000000</v>
      </c>
      <c r="BO670" s="215">
        <f ca="1">IF($D670&lt;&gt;"Serviço",0,IF(AND(AUTOEVENTO="Manual",$M670=1),0,IF(OFFSET(CRONOPLE!$F$14,$M670,BO$13)="",10^12,OFFSET(CRONOPLE!$F$14,$M670,BO$13))))</f>
        <v>1000000000000</v>
      </c>
      <c r="BP670" s="215">
        <f ca="1">IF($D670&lt;&gt;"Serviço",0,IF(AND(AUTOEVENTO="Manual",$M670=1),0,IF(OFFSET(CRONOPLE!$F$14,$M670,BP$13)="",10^12,OFFSET(CRONOPLE!$F$14,$M670,BP$13))))</f>
        <v>1000000000000</v>
      </c>
      <c r="BQ670" s="215">
        <f ca="1">IF($D670&lt;&gt;"Serviço",0,IF(AND(AUTOEVENTO="Manual",$M670=1),0,IF(OFFSET(CRONOPLE!$F$14,$M670,BQ$13)="",10^12,OFFSET(CRONOPLE!$F$14,$M670,BQ$13))))</f>
        <v>1000000000000</v>
      </c>
      <c r="BR670" s="215">
        <f ca="1">IF($D670&lt;&gt;"Serviço",0,IF(AND(AUTOEVENTO="Manual",$M670=1),0,IF(OFFSET(CRONOPLE!$F$14,$M670,BR$13)="",10^12,OFFSET(CRONOPLE!$F$14,$M670,BR$13))))</f>
        <v>1000000000000</v>
      </c>
      <c r="BS670" s="215">
        <f ca="1">IF($D670&lt;&gt;"Serviço",0,IF(AND(AUTOEVENTO="Manual",$M670=1),0,IF(OFFSET(CRONOPLE!$F$14,$M670,BS$13)="",10^12,OFFSET(CRONOPLE!$F$14,$M670,BS$13))))</f>
        <v>1000000000000</v>
      </c>
      <c r="BT670" s="215">
        <f ca="1">IF($D670&lt;&gt;"Serviço",0,IF(AND(AUTOEVENTO="Manual",$M670=1),0,IF(OFFSET(CRONOPLE!$F$14,$M670,BT$13)="",10^12,OFFSET(CRONOPLE!$F$14,$M670,BT$13))))</f>
        <v>1000000000000</v>
      </c>
      <c r="BV670" s="216">
        <f ca="1">IF($D670&lt;&gt;"Serviço",0,IF(OR(AND(AUTOEVENTO="Manual",$M670=1),$M670&gt;(ROW(PLE.lastrow)-ROW(PLE.firstrow))),0,IF(OFFSET(PLE!$G$14,$M670,BV$13)="",10^12,OFFSET(PLE!$G$14,$M670,BV$13))))</f>
        <v>1000000000000</v>
      </c>
      <c r="BW670" s="216">
        <f ca="1">IF($D670&lt;&gt;"Serviço",0,IF(OR(AND(AUTOEVENTO="Manual",$M670=1),$M670&gt;(ROW(PLE.lastrow)-ROW(PLE.firstrow))),0,IF(OFFSET(PLE!$G$14,$M670,BW$13)="",10^12,OFFSET(PLE!$G$14,$M670,BW$13))))</f>
        <v>1000000000000</v>
      </c>
      <c r="BX670" s="216">
        <f ca="1">IF($D670&lt;&gt;"Serviço",0,IF(OR(AND(AUTOEVENTO="Manual",$M670=1),$M670&gt;(ROW(PLE.lastrow)-ROW(PLE.firstrow))),0,IF(OFFSET(PLE!$G$14,$M670,BX$13)="",10^12,OFFSET(PLE!$G$14,$M670,BX$13))))</f>
        <v>1000000000000</v>
      </c>
      <c r="BY670" s="216">
        <f ca="1">IF($D670&lt;&gt;"Serviço",0,IF(OR(AND(AUTOEVENTO="Manual",$M670=1),$M670&gt;(ROW(PLE.lastrow)-ROW(PLE.firstrow))),0,IF(OFFSET(PLE!$G$14,$M670,BY$13)="",10^12,OFFSET(PLE!$G$14,$M670,BY$13))))</f>
        <v>1000000000000</v>
      </c>
      <c r="BZ670" s="216">
        <f ca="1">IF($D670&lt;&gt;"Serviço",0,IF(OR(AND(AUTOEVENTO="Manual",$M670=1),$M670&gt;(ROW(PLE.lastrow)-ROW(PLE.firstrow))),0,IF(OFFSET(PLE!$G$14,$M670,BZ$13)="",10^12,OFFSET(PLE!$G$14,$M670,BZ$13))))</f>
        <v>1000000000000</v>
      </c>
      <c r="CA670" s="216">
        <f ca="1">IF($D670&lt;&gt;"Serviço",0,IF(OR(AND(AUTOEVENTO="Manual",$M670=1),$M670&gt;(ROW(PLE.lastrow)-ROW(PLE.firstrow))),0,IF(OFFSET(PLE!$G$14,$M670,CA$13)="",10^12,OFFSET(PLE!$G$14,$M670,CA$13))))</f>
        <v>1000000000000</v>
      </c>
      <c r="CB670" s="216">
        <f ca="1">IF($D670&lt;&gt;"Serviço",0,IF(OR(AND(AUTOEVENTO="Manual",$M670=1),$M670&gt;(ROW(PLE.lastrow)-ROW(PLE.firstrow))),0,IF(OFFSET(PLE!$G$14,$M670,CB$13)="",10^12,OFFSET(PLE!$G$14,$M670,CB$13))))</f>
        <v>1000000000000</v>
      </c>
      <c r="CC670" s="216">
        <f ca="1">IF($D670&lt;&gt;"Serviço",0,IF(OR(AND(AUTOEVENTO="Manual",$M670=1),$M670&gt;(ROW(PLE.lastrow)-ROW(PLE.firstrow))),0,IF(OFFSET(PLE!$G$14,$M670,CC$13)="",10^12,OFFSET(PLE!$G$14,$M670,CC$13))))</f>
        <v>1000000000000</v>
      </c>
      <c r="CD670" s="216">
        <f ca="1">IF($D670&lt;&gt;"Serviço",0,IF(OR(AND(AUTOEVENTO="Manual",$M670=1),$M670&gt;(ROW(PLE.lastrow)-ROW(PLE.firstrow))),0,IF(OFFSET(PLE!$G$14,$M670,CD$13)="",10^12,OFFSET(PLE!$G$14,$M670,CD$13))))</f>
        <v>1000000000000</v>
      </c>
      <c r="CE670" s="216">
        <f ca="1">IF($D670&lt;&gt;"Serviço",0,IF(OR(AND(AUTOEVENTO="Manual",$M670=1),$M670&gt;(ROW(PLE.lastrow)-ROW(PLE.firstrow))),0,IF(OFFSET(PLE!$G$14,$M670,CE$13)="",10^12,OFFSET(PLE!$G$14,$M670,CE$13))))</f>
        <v>1000000000000</v>
      </c>
      <c r="CF670" s="216">
        <f ca="1">IF($D670&lt;&gt;"Serviço",0,IF(OR(AND(AUTOEVENTO="Manual",$M670=1),$M670&gt;(ROW(PLE.lastrow)-ROW(PLE.firstrow))),0,IF(OFFSET(PLE!$G$14,$M670,CF$13)="",10^12,OFFSET(PLE!$G$14,$M670,CF$13))))</f>
        <v>1000000000000</v>
      </c>
      <c r="CG670" s="216">
        <f ca="1">IF($D670&lt;&gt;"Serviço",0,IF(OR(AND(AUTOEVENTO="Manual",$M670=1),$M670&gt;(ROW(PLE.lastrow)-ROW(PLE.firstrow))),0,IF(OFFSET(PLE!$G$14,$M670,CG$13)="",10^12,OFFSET(PLE!$G$14,$M670,CG$13))))</f>
        <v>1000000000000</v>
      </c>
      <c r="CH670" s="216">
        <f ca="1">IF($D670&lt;&gt;"Serviço",0,IF(OR(AND(AUTOEVENTO="Manual",$M670=1),$M670&gt;(ROW(PLE.lastrow)-ROW(PLE.firstrow))),0,IF(OFFSET(PLE!$G$14,$M670,CH$13)="",10^12,OFFSET(PLE!$G$14,$M670,CH$13))))</f>
        <v>1000000000000</v>
      </c>
      <c r="CI670" s="216">
        <f ca="1">IF($D670&lt;&gt;"Serviço",0,IF(OR(AND(AUTOEVENTO="Manual",$M670=1),$M670&gt;(ROW(PLE.lastrow)-ROW(PLE.firstrow))),0,IF(OFFSET(PLE!$G$14,$M670,CI$13)="",10^12,OFFSET(PLE!$G$14,$M670,CI$13))))</f>
        <v>1000000000000</v>
      </c>
      <c r="CJ670" s="216">
        <f ca="1">IF($D670&lt;&gt;"Serviço",0,IF(OR(AND(AUTOEVENTO="Manual",$M670=1),$M670&gt;(ROW(PLE.lastrow)-ROW(PLE.firstrow))),0,IF(OFFSET(PLE!$G$14,$M670,CJ$13)="",10^12,OFFSET(PLE!$G$14,$M670,CJ$13))))</f>
        <v>1000000000000</v>
      </c>
      <c r="CK670" s="216">
        <f ca="1">IF($D670&lt;&gt;"Serviço",0,IF(OR(AND(AUTOEVENTO="Manual",$M670=1),$M670&gt;(ROW(PLE.lastrow)-ROW(PLE.firstrow))),0,IF(OFFSET(PLE!$G$14,$M670,CK$13)="",10^12,OFFSET(PLE!$G$14,$M670,CK$13))))</f>
        <v>1000000000000</v>
      </c>
      <c r="CL670" s="216">
        <f ca="1">IF($D670&lt;&gt;"Serviço",0,IF(OR(AND(AUTOEVENTO="Manual",$M670=1),$M670&gt;(ROW(PLE.lastrow)-ROW(PLE.firstrow))),0,IF(OFFSET(PLE!$G$14,$M670,CL$13)="",10^12,OFFSET(PLE!$G$14,$M670,CL$13))))</f>
        <v>1000000000000</v>
      </c>
      <c r="CM670" s="216">
        <f ca="1">IF($D670&lt;&gt;"Serviço",0,IF(OR(AND(AUTOEVENTO="Manual",$M670=1),$M670&gt;(ROW(PLE.lastrow)-ROW(PLE.firstrow))),0,IF(OFFSET(PLE!$G$14,$M670,CM$13)="",10^12,OFFSET(PLE!$G$14,$M670,CM$13))))</f>
        <v>1000000000000</v>
      </c>
    </row>
    <row r="671" spans="1:91" ht="13.2" x14ac:dyDescent="0.25">
      <c r="A671" s="9">
        <f t="shared" ca="1" si="20"/>
        <v>0</v>
      </c>
      <c r="B671" s="9" t="str">
        <f ca="1">OFFSET(ORÇAMENTO!C$15,ROW(B671)-ROW(B$15),0)</f>
        <v>S</v>
      </c>
      <c r="C671" s="9" t="str">
        <f ca="1">OFFSET(ORÇAMENTO!L$15,ROW(C671)-ROW(C$15),0)</f>
        <v/>
      </c>
      <c r="D671" s="145" t="str">
        <f ca="1">OFFSET(ORÇAMENTO!N$15,ROW(D671)-ROW(D$15),0)</f>
        <v>Serviço</v>
      </c>
      <c r="E671" s="205" t="str">
        <f ca="1">OFFSET(ORÇAMENTO!O$15,ROW(E671)-ROW(E$15),0)</f>
        <v>-</v>
      </c>
      <c r="F671" s="206" t="str">
        <f ca="1">OFFSET(ORÇAMENTO!R$15,ROW(F671)-ROW(F$15),0)</f>
        <v>(abra o arquivo 'Referência 05-2024.xls)</v>
      </c>
      <c r="G671" s="207" t="str">
        <f ca="1">IF($D671&lt;&gt;"Serviço","",OFFSET(ORÇAMENTO!S$15,ROW(G671)-ROW(G$15),0))</f>
        <v>-</v>
      </c>
      <c r="H671" s="151">
        <f ca="1">IF($D671&lt;&gt;"Serviço",0,IF(ACOMPANHAMENTO="BM",ROUND(OFFSET(ORÇAMENTO!AJ$15,ROW(H671)-ROW(H$15),0),15-13*ORÇAMENTO!$AF$7),SUMPRODUCT(($Q$12:$AI$12&lt;&gt;"")*ROUND($Q671:$AI671,15-13*ORÇAMENTO!$AF$7))))</f>
        <v>1</v>
      </c>
      <c r="I671" s="650"/>
      <c r="K671" s="208"/>
      <c r="L671" s="209" t="s">
        <v>257</v>
      </c>
      <c r="M671" s="210">
        <f ca="1">IF($D671&lt;&gt;"Serviço","",IF(AUTOEVENTO="manual",$A671,IF(ISERROR(MATCH($A671,$A$15:OFFSET($A671,-1,0),0)),MAX($M$15:OFFSET(M671,-1,0))+1,INDEX($M$15:OFFSET(M671,-1,0),MATCH($A671,$A$15:OFFSET($A671,-1,0),0)))))</f>
        <v>0</v>
      </c>
      <c r="N671" s="211" t="str">
        <f ca="1">IF($D671&lt;&gt;"Serviço","",IF(AUTOEVENTO="Manual",IF($A671=0,"&lt;-- defina o número do agrupador",OFFSET(EVENTOS!$D$14,$A671,0)),OFFSET($F$15,$A671,0)))</f>
        <v>&lt;-- defina o número do agrupador</v>
      </c>
      <c r="O671" s="212"/>
      <c r="Q671" s="212"/>
      <c r="R671" s="213"/>
      <c r="S671" s="213"/>
      <c r="T671" s="213"/>
      <c r="U671" s="213"/>
      <c r="V671" s="213"/>
      <c r="W671" s="213"/>
      <c r="X671" s="213"/>
      <c r="Y671" s="213"/>
      <c r="Z671" s="214"/>
      <c r="AA671" s="213"/>
      <c r="AB671" s="213"/>
      <c r="AC671" s="213"/>
      <c r="AD671" s="213"/>
      <c r="AE671" s="213"/>
      <c r="AF671" s="213"/>
      <c r="AG671" s="213"/>
      <c r="AH671" s="214"/>
      <c r="AJ671" s="631">
        <f ca="1">IF(AND($D671="Serviço",AJ$12&lt;&gt;0,$H671&gt;0,OR(AUTOEVENTO&lt;&gt;"manual",$M671&lt;&gt;1)),ROUND(OFFSET($P671,0,AJ$13),15-13*ORÇAMENTO!$AF$7)/$H671*OFFSET(ORÇAMENTO!$X$15,ROW(AJ671)-ROW(AJ$15),0),0)</f>
        <v>0</v>
      </c>
      <c r="AK671" s="632">
        <f ca="1">IF(AND($D671="Serviço",AK$12&lt;&gt;0,$H671&gt;0,OR(AUTOEVENTO&lt;&gt;"manual",$M671&lt;&gt;1)),ROUND(OFFSET($P671,0,AK$13),15-13*ORÇAMENTO!$AF$7)/$H671*OFFSET(ORÇAMENTO!$X$15,ROW(AK671)-ROW(AK$15),0),0)</f>
        <v>0</v>
      </c>
      <c r="AL671" s="632">
        <f ca="1">IF(AND($D671="Serviço",AL$12&lt;&gt;0,$H671&gt;0,OR(AUTOEVENTO&lt;&gt;"manual",$M671&lt;&gt;1)),ROUND(OFFSET($P671,0,AL$13),15-13*ORÇAMENTO!$AF$7)/$H671*OFFSET(ORÇAMENTO!$X$15,ROW(AL671)-ROW(AL$15),0),0)</f>
        <v>0</v>
      </c>
      <c r="AM671" s="632">
        <f ca="1">IF(AND($D671="Serviço",AM$12&lt;&gt;0,$H671&gt;0,OR(AUTOEVENTO&lt;&gt;"manual",$M671&lt;&gt;1)),ROUND(OFFSET($P671,0,AM$13),15-13*ORÇAMENTO!$AF$7)/$H671*OFFSET(ORÇAMENTO!$X$15,ROW(AM671)-ROW(AM$15),0),0)</f>
        <v>0</v>
      </c>
      <c r="AN671" s="632">
        <f ca="1">IF(AND($D671="Serviço",AN$12&lt;&gt;0,$H671&gt;0,OR(AUTOEVENTO&lt;&gt;"manual",$M671&lt;&gt;1)),ROUND(OFFSET($P671,0,AN$13),15-13*ORÇAMENTO!$AF$7)/$H671*OFFSET(ORÇAMENTO!$X$15,ROW(AN671)-ROW(AN$15),0),0)</f>
        <v>0</v>
      </c>
      <c r="AO671" s="632">
        <f ca="1">IF(AND($D671="Serviço",AO$12&lt;&gt;0,$H671&gt;0,OR(AUTOEVENTO&lt;&gt;"manual",$M671&lt;&gt;1)),ROUND(OFFSET($P671,0,AO$13),15-13*ORÇAMENTO!$AF$7)/$H671*OFFSET(ORÇAMENTO!$X$15,ROW(AO671)-ROW(AO$15),0),0)</f>
        <v>0</v>
      </c>
      <c r="AP671" s="632">
        <f ca="1">IF(AND($D671="Serviço",AP$12&lt;&gt;0,$H671&gt;0,OR(AUTOEVENTO&lt;&gt;"manual",$M671&lt;&gt;1)),ROUND(OFFSET($P671,0,AP$13),15-13*ORÇAMENTO!$AF$7)/$H671*OFFSET(ORÇAMENTO!$X$15,ROW(AP671)-ROW(AP$15),0),0)</f>
        <v>0</v>
      </c>
      <c r="AQ671" s="632">
        <f ca="1">IF(AND($D671="Serviço",AQ$12&lt;&gt;0,$H671&gt;0,OR(AUTOEVENTO&lt;&gt;"manual",$M671&lt;&gt;1)),ROUND(OFFSET($P671,0,AQ$13),15-13*ORÇAMENTO!$AF$7)/$H671*OFFSET(ORÇAMENTO!$X$15,ROW(AQ671)-ROW(AQ$15),0),0)</f>
        <v>0</v>
      </c>
      <c r="AR671" s="632">
        <f ca="1">IF(AND($D671="Serviço",AR$12&lt;&gt;0,$H671&gt;0,OR(AUTOEVENTO&lt;&gt;"manual",$M671&lt;&gt;1)),ROUND(OFFSET($P671,0,AR$13),15-13*ORÇAMENTO!$AF$7)/$H671*OFFSET(ORÇAMENTO!$X$15,ROW(AR671)-ROW(AR$15),0),0)</f>
        <v>0</v>
      </c>
      <c r="AS671" s="633">
        <f ca="1">IF(AND($D671="Serviço",AS$12&lt;&gt;0,$H671&gt;0,OR(AUTOEVENTO&lt;&gt;"manual",$M671&lt;&gt;1)),ROUND(OFFSET($P671,0,AS$13),15-13*ORÇAMENTO!$AF$7)/$H671*OFFSET(ORÇAMENTO!$X$15,ROW(AS671)-ROW(AS$15),0),0)</f>
        <v>0</v>
      </c>
      <c r="AT671" s="632">
        <f ca="1">IF(AND($D671="Serviço",AT$12&lt;&gt;0,$H671&gt;0,OR(AUTOEVENTO&lt;&gt;"manual",$M671&lt;&gt;1)),ROUND(OFFSET($P671,0,AT$13),15-13*ORÇAMENTO!$AF$7)/$H671*OFFSET(ORÇAMENTO!$X$15,ROW(AT671)-ROW(AT$15),0),0)</f>
        <v>0</v>
      </c>
      <c r="AU671" s="632">
        <f ca="1">IF(AND($D671="Serviço",AU$12&lt;&gt;0,$H671&gt;0,OR(AUTOEVENTO&lt;&gt;"manual",$M671&lt;&gt;1)),ROUND(OFFSET($P671,0,AU$13),15-13*ORÇAMENTO!$AF$7)/$H671*OFFSET(ORÇAMENTO!$X$15,ROW(AU671)-ROW(AU$15),0),0)</f>
        <v>0</v>
      </c>
      <c r="AV671" s="632">
        <f ca="1">IF(AND($D671="Serviço",AV$12&lt;&gt;0,$H671&gt;0,OR(AUTOEVENTO&lt;&gt;"manual",$M671&lt;&gt;1)),ROUND(OFFSET($P671,0,AV$13),15-13*ORÇAMENTO!$AF$7)/$H671*OFFSET(ORÇAMENTO!$X$15,ROW(AV671)-ROW(AV$15),0),0)</f>
        <v>0</v>
      </c>
      <c r="AW671" s="632">
        <f ca="1">IF(AND($D671="Serviço",AW$12&lt;&gt;0,$H671&gt;0,OR(AUTOEVENTO&lt;&gt;"manual",$M671&lt;&gt;1)),ROUND(OFFSET($P671,0,AW$13),15-13*ORÇAMENTO!$AF$7)/$H671*OFFSET(ORÇAMENTO!$X$15,ROW(AW671)-ROW(AW$15),0),0)</f>
        <v>0</v>
      </c>
      <c r="AX671" s="632">
        <f ca="1">IF(AND($D671="Serviço",AX$12&lt;&gt;0,$H671&gt;0,OR(AUTOEVENTO&lt;&gt;"manual",$M671&lt;&gt;1)),ROUND(OFFSET($P671,0,AX$13),15-13*ORÇAMENTO!$AF$7)/$H671*OFFSET(ORÇAMENTO!$X$15,ROW(AX671)-ROW(AX$15),0),0)</f>
        <v>0</v>
      </c>
      <c r="AY671" s="632">
        <f ca="1">IF(AND($D671="Serviço",AY$12&lt;&gt;0,$H671&gt;0,OR(AUTOEVENTO&lt;&gt;"manual",$M671&lt;&gt;1)),ROUND(OFFSET($P671,0,AY$13),15-13*ORÇAMENTO!$AF$7)/$H671*OFFSET(ORÇAMENTO!$X$15,ROW(AY671)-ROW(AY$15),0),0)</f>
        <v>0</v>
      </c>
      <c r="AZ671" s="632">
        <f ca="1">IF(AND($D671="Serviço",AZ$12&lt;&gt;0,$H671&gt;0,OR(AUTOEVENTO&lt;&gt;"manual",$M671&lt;&gt;1)),ROUND(OFFSET($P671,0,AZ$13),15-13*ORÇAMENTO!$AF$7)/$H671*OFFSET(ORÇAMENTO!$X$15,ROW(AZ671)-ROW(AZ$15),0),0)</f>
        <v>0</v>
      </c>
      <c r="BA671" s="633">
        <f ca="1">IF(AND($D671="Serviço",BA$12&lt;&gt;0,$H671&gt;0,OR(AUTOEVENTO&lt;&gt;"manual",$M671&lt;&gt;1)),ROUND(OFFSET($P671,0,BA$13),15-13*ORÇAMENTO!$AF$7)/$H671*OFFSET(ORÇAMENTO!$X$15,ROW(BA671)-ROW(BA$15),0),0)</f>
        <v>0</v>
      </c>
      <c r="BC671" s="215">
        <f ca="1">IF($D671&lt;&gt;"Serviço",0,IF(AND(AUTOEVENTO="Manual",$M671=1),0,IF(OFFSET(CRONOPLE!$F$14,$M671,BC$13)="",10^12,OFFSET(CRONOPLE!$F$14,$M671,BC$13))))</f>
        <v>1000000000000</v>
      </c>
      <c r="BD671" s="215">
        <f ca="1">IF($D671&lt;&gt;"Serviço",0,IF(AND(AUTOEVENTO="Manual",$M671=1),0,IF(OFFSET(CRONOPLE!$F$14,$M671,BD$13)="",10^12,OFFSET(CRONOPLE!$F$14,$M671,BD$13))))</f>
        <v>1000000000000</v>
      </c>
      <c r="BE671" s="215">
        <f ca="1">IF($D671&lt;&gt;"Serviço",0,IF(AND(AUTOEVENTO="Manual",$M671=1),0,IF(OFFSET(CRONOPLE!$F$14,$M671,BE$13)="",10^12,OFFSET(CRONOPLE!$F$14,$M671,BE$13))))</f>
        <v>1000000000000</v>
      </c>
      <c r="BF671" s="215">
        <f ca="1">IF($D671&lt;&gt;"Serviço",0,IF(AND(AUTOEVENTO="Manual",$M671=1),0,IF(OFFSET(CRONOPLE!$F$14,$M671,BF$13)="",10^12,OFFSET(CRONOPLE!$F$14,$M671,BF$13))))</f>
        <v>1000000000000</v>
      </c>
      <c r="BG671" s="215">
        <f ca="1">IF($D671&lt;&gt;"Serviço",0,IF(AND(AUTOEVENTO="Manual",$M671=1),0,IF(OFFSET(CRONOPLE!$F$14,$M671,BG$13)="",10^12,OFFSET(CRONOPLE!$F$14,$M671,BG$13))))</f>
        <v>1000000000000</v>
      </c>
      <c r="BH671" s="215">
        <f ca="1">IF($D671&lt;&gt;"Serviço",0,IF(AND(AUTOEVENTO="Manual",$M671=1),0,IF(OFFSET(CRONOPLE!$F$14,$M671,BH$13)="",10^12,OFFSET(CRONOPLE!$F$14,$M671,BH$13))))</f>
        <v>1000000000000</v>
      </c>
      <c r="BI671" s="215">
        <f ca="1">IF($D671&lt;&gt;"Serviço",0,IF(AND(AUTOEVENTO="Manual",$M671=1),0,IF(OFFSET(CRONOPLE!$F$14,$M671,BI$13)="",10^12,OFFSET(CRONOPLE!$F$14,$M671,BI$13))))</f>
        <v>1000000000000</v>
      </c>
      <c r="BJ671" s="215">
        <f ca="1">IF($D671&lt;&gt;"Serviço",0,IF(AND(AUTOEVENTO="Manual",$M671=1),0,IF(OFFSET(CRONOPLE!$F$14,$M671,BJ$13)="",10^12,OFFSET(CRONOPLE!$F$14,$M671,BJ$13))))</f>
        <v>1000000000000</v>
      </c>
      <c r="BK671" s="215">
        <f ca="1">IF($D671&lt;&gt;"Serviço",0,IF(AND(AUTOEVENTO="Manual",$M671=1),0,IF(OFFSET(CRONOPLE!$F$14,$M671,BK$13)="",10^12,OFFSET(CRONOPLE!$F$14,$M671,BK$13))))</f>
        <v>1000000000000</v>
      </c>
      <c r="BL671" s="215">
        <f ca="1">IF($D671&lt;&gt;"Serviço",0,IF(AND(AUTOEVENTO="Manual",$M671=1),0,IF(OFFSET(CRONOPLE!$F$14,$M671,BL$13)="",10^12,OFFSET(CRONOPLE!$F$14,$M671,BL$13))))</f>
        <v>1000000000000</v>
      </c>
      <c r="BM671" s="215">
        <f ca="1">IF($D671&lt;&gt;"Serviço",0,IF(AND(AUTOEVENTO="Manual",$M671=1),0,IF(OFFSET(CRONOPLE!$F$14,$M671,BM$13)="",10^12,OFFSET(CRONOPLE!$F$14,$M671,BM$13))))</f>
        <v>1000000000000</v>
      </c>
      <c r="BN671" s="215">
        <f ca="1">IF($D671&lt;&gt;"Serviço",0,IF(AND(AUTOEVENTO="Manual",$M671=1),0,IF(OFFSET(CRONOPLE!$F$14,$M671,BN$13)="",10^12,OFFSET(CRONOPLE!$F$14,$M671,BN$13))))</f>
        <v>1000000000000</v>
      </c>
      <c r="BO671" s="215">
        <f ca="1">IF($D671&lt;&gt;"Serviço",0,IF(AND(AUTOEVENTO="Manual",$M671=1),0,IF(OFFSET(CRONOPLE!$F$14,$M671,BO$13)="",10^12,OFFSET(CRONOPLE!$F$14,$M671,BO$13))))</f>
        <v>1000000000000</v>
      </c>
      <c r="BP671" s="215">
        <f ca="1">IF($D671&lt;&gt;"Serviço",0,IF(AND(AUTOEVENTO="Manual",$M671=1),0,IF(OFFSET(CRONOPLE!$F$14,$M671,BP$13)="",10^12,OFFSET(CRONOPLE!$F$14,$M671,BP$13))))</f>
        <v>1000000000000</v>
      </c>
      <c r="BQ671" s="215">
        <f ca="1">IF($D671&lt;&gt;"Serviço",0,IF(AND(AUTOEVENTO="Manual",$M671=1),0,IF(OFFSET(CRONOPLE!$F$14,$M671,BQ$13)="",10^12,OFFSET(CRONOPLE!$F$14,$M671,BQ$13))))</f>
        <v>1000000000000</v>
      </c>
      <c r="BR671" s="215">
        <f ca="1">IF($D671&lt;&gt;"Serviço",0,IF(AND(AUTOEVENTO="Manual",$M671=1),0,IF(OFFSET(CRONOPLE!$F$14,$M671,BR$13)="",10^12,OFFSET(CRONOPLE!$F$14,$M671,BR$13))))</f>
        <v>1000000000000</v>
      </c>
      <c r="BS671" s="215">
        <f ca="1">IF($D671&lt;&gt;"Serviço",0,IF(AND(AUTOEVENTO="Manual",$M671=1),0,IF(OFFSET(CRONOPLE!$F$14,$M671,BS$13)="",10^12,OFFSET(CRONOPLE!$F$14,$M671,BS$13))))</f>
        <v>1000000000000</v>
      </c>
      <c r="BT671" s="215">
        <f ca="1">IF($D671&lt;&gt;"Serviço",0,IF(AND(AUTOEVENTO="Manual",$M671=1),0,IF(OFFSET(CRONOPLE!$F$14,$M671,BT$13)="",10^12,OFFSET(CRONOPLE!$F$14,$M671,BT$13))))</f>
        <v>1000000000000</v>
      </c>
      <c r="BV671" s="216">
        <f ca="1">IF($D671&lt;&gt;"Serviço",0,IF(OR(AND(AUTOEVENTO="Manual",$M671=1),$M671&gt;(ROW(PLE.lastrow)-ROW(PLE.firstrow))),0,IF(OFFSET(PLE!$G$14,$M671,BV$13)="",10^12,OFFSET(PLE!$G$14,$M671,BV$13))))</f>
        <v>1000000000000</v>
      </c>
      <c r="BW671" s="216">
        <f ca="1">IF($D671&lt;&gt;"Serviço",0,IF(OR(AND(AUTOEVENTO="Manual",$M671=1),$M671&gt;(ROW(PLE.lastrow)-ROW(PLE.firstrow))),0,IF(OFFSET(PLE!$G$14,$M671,BW$13)="",10^12,OFFSET(PLE!$G$14,$M671,BW$13))))</f>
        <v>1000000000000</v>
      </c>
      <c r="BX671" s="216">
        <f ca="1">IF($D671&lt;&gt;"Serviço",0,IF(OR(AND(AUTOEVENTO="Manual",$M671=1),$M671&gt;(ROW(PLE.lastrow)-ROW(PLE.firstrow))),0,IF(OFFSET(PLE!$G$14,$M671,BX$13)="",10^12,OFFSET(PLE!$G$14,$M671,BX$13))))</f>
        <v>1000000000000</v>
      </c>
      <c r="BY671" s="216">
        <f ca="1">IF($D671&lt;&gt;"Serviço",0,IF(OR(AND(AUTOEVENTO="Manual",$M671=1),$M671&gt;(ROW(PLE.lastrow)-ROW(PLE.firstrow))),0,IF(OFFSET(PLE!$G$14,$M671,BY$13)="",10^12,OFFSET(PLE!$G$14,$M671,BY$13))))</f>
        <v>1000000000000</v>
      </c>
      <c r="BZ671" s="216">
        <f ca="1">IF($D671&lt;&gt;"Serviço",0,IF(OR(AND(AUTOEVENTO="Manual",$M671=1),$M671&gt;(ROW(PLE.lastrow)-ROW(PLE.firstrow))),0,IF(OFFSET(PLE!$G$14,$M671,BZ$13)="",10^12,OFFSET(PLE!$G$14,$M671,BZ$13))))</f>
        <v>1000000000000</v>
      </c>
      <c r="CA671" s="216">
        <f ca="1">IF($D671&lt;&gt;"Serviço",0,IF(OR(AND(AUTOEVENTO="Manual",$M671=1),$M671&gt;(ROW(PLE.lastrow)-ROW(PLE.firstrow))),0,IF(OFFSET(PLE!$G$14,$M671,CA$13)="",10^12,OFFSET(PLE!$G$14,$M671,CA$13))))</f>
        <v>1000000000000</v>
      </c>
      <c r="CB671" s="216">
        <f ca="1">IF($D671&lt;&gt;"Serviço",0,IF(OR(AND(AUTOEVENTO="Manual",$M671=1),$M671&gt;(ROW(PLE.lastrow)-ROW(PLE.firstrow))),0,IF(OFFSET(PLE!$G$14,$M671,CB$13)="",10^12,OFFSET(PLE!$G$14,$M671,CB$13))))</f>
        <v>1000000000000</v>
      </c>
      <c r="CC671" s="216">
        <f ca="1">IF($D671&lt;&gt;"Serviço",0,IF(OR(AND(AUTOEVENTO="Manual",$M671=1),$M671&gt;(ROW(PLE.lastrow)-ROW(PLE.firstrow))),0,IF(OFFSET(PLE!$G$14,$M671,CC$13)="",10^12,OFFSET(PLE!$G$14,$M671,CC$13))))</f>
        <v>1000000000000</v>
      </c>
      <c r="CD671" s="216">
        <f ca="1">IF($D671&lt;&gt;"Serviço",0,IF(OR(AND(AUTOEVENTO="Manual",$M671=1),$M671&gt;(ROW(PLE.lastrow)-ROW(PLE.firstrow))),0,IF(OFFSET(PLE!$G$14,$M671,CD$13)="",10^12,OFFSET(PLE!$G$14,$M671,CD$13))))</f>
        <v>1000000000000</v>
      </c>
      <c r="CE671" s="216">
        <f ca="1">IF($D671&lt;&gt;"Serviço",0,IF(OR(AND(AUTOEVENTO="Manual",$M671=1),$M671&gt;(ROW(PLE.lastrow)-ROW(PLE.firstrow))),0,IF(OFFSET(PLE!$G$14,$M671,CE$13)="",10^12,OFFSET(PLE!$G$14,$M671,CE$13))))</f>
        <v>1000000000000</v>
      </c>
      <c r="CF671" s="216">
        <f ca="1">IF($D671&lt;&gt;"Serviço",0,IF(OR(AND(AUTOEVENTO="Manual",$M671=1),$M671&gt;(ROW(PLE.lastrow)-ROW(PLE.firstrow))),0,IF(OFFSET(PLE!$G$14,$M671,CF$13)="",10^12,OFFSET(PLE!$G$14,$M671,CF$13))))</f>
        <v>1000000000000</v>
      </c>
      <c r="CG671" s="216">
        <f ca="1">IF($D671&lt;&gt;"Serviço",0,IF(OR(AND(AUTOEVENTO="Manual",$M671=1),$M671&gt;(ROW(PLE.lastrow)-ROW(PLE.firstrow))),0,IF(OFFSET(PLE!$G$14,$M671,CG$13)="",10^12,OFFSET(PLE!$G$14,$M671,CG$13))))</f>
        <v>1000000000000</v>
      </c>
      <c r="CH671" s="216">
        <f ca="1">IF($D671&lt;&gt;"Serviço",0,IF(OR(AND(AUTOEVENTO="Manual",$M671=1),$M671&gt;(ROW(PLE.lastrow)-ROW(PLE.firstrow))),0,IF(OFFSET(PLE!$G$14,$M671,CH$13)="",10^12,OFFSET(PLE!$G$14,$M671,CH$13))))</f>
        <v>1000000000000</v>
      </c>
      <c r="CI671" s="216">
        <f ca="1">IF($D671&lt;&gt;"Serviço",0,IF(OR(AND(AUTOEVENTO="Manual",$M671=1),$M671&gt;(ROW(PLE.lastrow)-ROW(PLE.firstrow))),0,IF(OFFSET(PLE!$G$14,$M671,CI$13)="",10^12,OFFSET(PLE!$G$14,$M671,CI$13))))</f>
        <v>1000000000000</v>
      </c>
      <c r="CJ671" s="216">
        <f ca="1">IF($D671&lt;&gt;"Serviço",0,IF(OR(AND(AUTOEVENTO="Manual",$M671=1),$M671&gt;(ROW(PLE.lastrow)-ROW(PLE.firstrow))),0,IF(OFFSET(PLE!$G$14,$M671,CJ$13)="",10^12,OFFSET(PLE!$G$14,$M671,CJ$13))))</f>
        <v>1000000000000</v>
      </c>
      <c r="CK671" s="216">
        <f ca="1">IF($D671&lt;&gt;"Serviço",0,IF(OR(AND(AUTOEVENTO="Manual",$M671=1),$M671&gt;(ROW(PLE.lastrow)-ROW(PLE.firstrow))),0,IF(OFFSET(PLE!$G$14,$M671,CK$13)="",10^12,OFFSET(PLE!$G$14,$M671,CK$13))))</f>
        <v>1000000000000</v>
      </c>
      <c r="CL671" s="216">
        <f ca="1">IF($D671&lt;&gt;"Serviço",0,IF(OR(AND(AUTOEVENTO="Manual",$M671=1),$M671&gt;(ROW(PLE.lastrow)-ROW(PLE.firstrow))),0,IF(OFFSET(PLE!$G$14,$M671,CL$13)="",10^12,OFFSET(PLE!$G$14,$M671,CL$13))))</f>
        <v>1000000000000</v>
      </c>
      <c r="CM671" s="216">
        <f ca="1">IF($D671&lt;&gt;"Serviço",0,IF(OR(AND(AUTOEVENTO="Manual",$M671=1),$M671&gt;(ROW(PLE.lastrow)-ROW(PLE.firstrow))),0,IF(OFFSET(PLE!$G$14,$M671,CM$13)="",10^12,OFFSET(PLE!$G$14,$M671,CM$13))))</f>
        <v>1000000000000</v>
      </c>
    </row>
    <row r="672" spans="1:91" ht="13.2" x14ac:dyDescent="0.25">
      <c r="A672" s="9">
        <f t="shared" ca="1" si="20"/>
        <v>0</v>
      </c>
      <c r="B672" s="9">
        <f ca="1">OFFSET(ORÇAMENTO!C$15,ROW(B672)-ROW(B$15),0)</f>
        <v>2</v>
      </c>
      <c r="C672" s="9" t="str">
        <f ca="1">OFFSET(ORÇAMENTO!L$15,ROW(C672)-ROW(C$15),0)</f>
        <v>F</v>
      </c>
      <c r="D672" s="145" t="str">
        <f ca="1">OFFSET(ORÇAMENTO!N$15,ROW(D672)-ROW(D$15),0)</f>
        <v>Nível 2</v>
      </c>
      <c r="E672" s="205" t="str">
        <f ca="1">OFFSET(ORÇAMENTO!O$15,ROW(E672)-ROW(E$15),0)</f>
        <v>1.22.</v>
      </c>
      <c r="F672" s="206" t="str">
        <f ca="1">OFFSET(ORÇAMENTO!R$15,ROW(F672)-ROW(F$15),0)</f>
        <v>SISTEMA DE PROTEÇÃO CONTRA DESCARGAS ATMOSFÉRICAS (SPDA)</v>
      </c>
      <c r="G672" s="207" t="str">
        <f ca="1">IF($D672&lt;&gt;"Serviço","",OFFSET(ORÇAMENTO!S$15,ROW(G672)-ROW(G$15),0))</f>
        <v/>
      </c>
      <c r="H672" s="151">
        <f ca="1">IF($D672&lt;&gt;"Serviço",0,IF(ACOMPANHAMENTO="BM",ROUND(OFFSET(ORÇAMENTO!AJ$15,ROW(H672)-ROW(H$15),0),15-13*ORÇAMENTO!$AF$7),SUMPRODUCT(($Q$12:$AI$12&lt;&gt;"")*ROUND($Q672:$AI672,15-13*ORÇAMENTO!$AF$7))))</f>
        <v>0</v>
      </c>
      <c r="I672" s="650"/>
      <c r="K672" s="208"/>
      <c r="L672" s="209" t="s">
        <v>257</v>
      </c>
      <c r="M672" s="210" t="str">
        <f ca="1">IF($D672&lt;&gt;"Serviço","",IF(AUTOEVENTO="manual",$A672,IF(ISERROR(MATCH($A672,$A$15:OFFSET($A672,-1,0),0)),MAX($M$15:OFFSET(M672,-1,0))+1,INDEX($M$15:OFFSET(M672,-1,0),MATCH($A672,$A$15:OFFSET($A672,-1,0),0)))))</f>
        <v/>
      </c>
      <c r="N672" s="211" t="str">
        <f ca="1">IF($D672&lt;&gt;"Serviço","",IF(AUTOEVENTO="Manual",IF($A672=0,"&lt;-- defina o número do agrupador",OFFSET(EVENTOS!$D$14,$A672,0)),OFFSET($F$15,$A672,0)))</f>
        <v/>
      </c>
      <c r="O672" s="212"/>
      <c r="Q672" s="212"/>
      <c r="R672" s="213"/>
      <c r="S672" s="213"/>
      <c r="T672" s="213"/>
      <c r="U672" s="213"/>
      <c r="V672" s="213"/>
      <c r="W672" s="213"/>
      <c r="X672" s="213"/>
      <c r="Y672" s="213"/>
      <c r="Z672" s="214"/>
      <c r="AA672" s="213"/>
      <c r="AB672" s="213"/>
      <c r="AC672" s="213"/>
      <c r="AD672" s="213"/>
      <c r="AE672" s="213"/>
      <c r="AF672" s="213"/>
      <c r="AG672" s="213"/>
      <c r="AH672" s="214"/>
      <c r="AJ672" s="631">
        <f ca="1">IF(AND($D672="Serviço",AJ$12&lt;&gt;0,$H672&gt;0,OR(AUTOEVENTO&lt;&gt;"manual",$M672&lt;&gt;1)),ROUND(OFFSET($P672,0,AJ$13),15-13*ORÇAMENTO!$AF$7)/$H672*OFFSET(ORÇAMENTO!$X$15,ROW(AJ672)-ROW(AJ$15),0),0)</f>
        <v>0</v>
      </c>
      <c r="AK672" s="632">
        <f ca="1">IF(AND($D672="Serviço",AK$12&lt;&gt;0,$H672&gt;0,OR(AUTOEVENTO&lt;&gt;"manual",$M672&lt;&gt;1)),ROUND(OFFSET($P672,0,AK$13),15-13*ORÇAMENTO!$AF$7)/$H672*OFFSET(ORÇAMENTO!$X$15,ROW(AK672)-ROW(AK$15),0),0)</f>
        <v>0</v>
      </c>
      <c r="AL672" s="632">
        <f ca="1">IF(AND($D672="Serviço",AL$12&lt;&gt;0,$H672&gt;0,OR(AUTOEVENTO&lt;&gt;"manual",$M672&lt;&gt;1)),ROUND(OFFSET($P672,0,AL$13),15-13*ORÇAMENTO!$AF$7)/$H672*OFFSET(ORÇAMENTO!$X$15,ROW(AL672)-ROW(AL$15),0),0)</f>
        <v>0</v>
      </c>
      <c r="AM672" s="632">
        <f ca="1">IF(AND($D672="Serviço",AM$12&lt;&gt;0,$H672&gt;0,OR(AUTOEVENTO&lt;&gt;"manual",$M672&lt;&gt;1)),ROUND(OFFSET($P672,0,AM$13),15-13*ORÇAMENTO!$AF$7)/$H672*OFFSET(ORÇAMENTO!$X$15,ROW(AM672)-ROW(AM$15),0),0)</f>
        <v>0</v>
      </c>
      <c r="AN672" s="632">
        <f ca="1">IF(AND($D672="Serviço",AN$12&lt;&gt;0,$H672&gt;0,OR(AUTOEVENTO&lt;&gt;"manual",$M672&lt;&gt;1)),ROUND(OFFSET($P672,0,AN$13),15-13*ORÇAMENTO!$AF$7)/$H672*OFFSET(ORÇAMENTO!$X$15,ROW(AN672)-ROW(AN$15),0),0)</f>
        <v>0</v>
      </c>
      <c r="AO672" s="632">
        <f ca="1">IF(AND($D672="Serviço",AO$12&lt;&gt;0,$H672&gt;0,OR(AUTOEVENTO&lt;&gt;"manual",$M672&lt;&gt;1)),ROUND(OFFSET($P672,0,AO$13),15-13*ORÇAMENTO!$AF$7)/$H672*OFFSET(ORÇAMENTO!$X$15,ROW(AO672)-ROW(AO$15),0),0)</f>
        <v>0</v>
      </c>
      <c r="AP672" s="632">
        <f ca="1">IF(AND($D672="Serviço",AP$12&lt;&gt;0,$H672&gt;0,OR(AUTOEVENTO&lt;&gt;"manual",$M672&lt;&gt;1)),ROUND(OFFSET($P672,0,AP$13),15-13*ORÇAMENTO!$AF$7)/$H672*OFFSET(ORÇAMENTO!$X$15,ROW(AP672)-ROW(AP$15),0),0)</f>
        <v>0</v>
      </c>
      <c r="AQ672" s="632">
        <f ca="1">IF(AND($D672="Serviço",AQ$12&lt;&gt;0,$H672&gt;0,OR(AUTOEVENTO&lt;&gt;"manual",$M672&lt;&gt;1)),ROUND(OFFSET($P672,0,AQ$13),15-13*ORÇAMENTO!$AF$7)/$H672*OFFSET(ORÇAMENTO!$X$15,ROW(AQ672)-ROW(AQ$15),0),0)</f>
        <v>0</v>
      </c>
      <c r="AR672" s="632">
        <f ca="1">IF(AND($D672="Serviço",AR$12&lt;&gt;0,$H672&gt;0,OR(AUTOEVENTO&lt;&gt;"manual",$M672&lt;&gt;1)),ROUND(OFFSET($P672,0,AR$13),15-13*ORÇAMENTO!$AF$7)/$H672*OFFSET(ORÇAMENTO!$X$15,ROW(AR672)-ROW(AR$15),0),0)</f>
        <v>0</v>
      </c>
      <c r="AS672" s="633">
        <f ca="1">IF(AND($D672="Serviço",AS$12&lt;&gt;0,$H672&gt;0,OR(AUTOEVENTO&lt;&gt;"manual",$M672&lt;&gt;1)),ROUND(OFFSET($P672,0,AS$13),15-13*ORÇAMENTO!$AF$7)/$H672*OFFSET(ORÇAMENTO!$X$15,ROW(AS672)-ROW(AS$15),0),0)</f>
        <v>0</v>
      </c>
      <c r="AT672" s="632">
        <f ca="1">IF(AND($D672="Serviço",AT$12&lt;&gt;0,$H672&gt;0,OR(AUTOEVENTO&lt;&gt;"manual",$M672&lt;&gt;1)),ROUND(OFFSET($P672,0,AT$13),15-13*ORÇAMENTO!$AF$7)/$H672*OFFSET(ORÇAMENTO!$X$15,ROW(AT672)-ROW(AT$15),0),0)</f>
        <v>0</v>
      </c>
      <c r="AU672" s="632">
        <f ca="1">IF(AND($D672="Serviço",AU$12&lt;&gt;0,$H672&gt;0,OR(AUTOEVENTO&lt;&gt;"manual",$M672&lt;&gt;1)),ROUND(OFFSET($P672,0,AU$13),15-13*ORÇAMENTO!$AF$7)/$H672*OFFSET(ORÇAMENTO!$X$15,ROW(AU672)-ROW(AU$15),0),0)</f>
        <v>0</v>
      </c>
      <c r="AV672" s="632">
        <f ca="1">IF(AND($D672="Serviço",AV$12&lt;&gt;0,$H672&gt;0,OR(AUTOEVENTO&lt;&gt;"manual",$M672&lt;&gt;1)),ROUND(OFFSET($P672,0,AV$13),15-13*ORÇAMENTO!$AF$7)/$H672*OFFSET(ORÇAMENTO!$X$15,ROW(AV672)-ROW(AV$15),0),0)</f>
        <v>0</v>
      </c>
      <c r="AW672" s="632">
        <f ca="1">IF(AND($D672="Serviço",AW$12&lt;&gt;0,$H672&gt;0,OR(AUTOEVENTO&lt;&gt;"manual",$M672&lt;&gt;1)),ROUND(OFFSET($P672,0,AW$13),15-13*ORÇAMENTO!$AF$7)/$H672*OFFSET(ORÇAMENTO!$X$15,ROW(AW672)-ROW(AW$15),0),0)</f>
        <v>0</v>
      </c>
      <c r="AX672" s="632">
        <f ca="1">IF(AND($D672="Serviço",AX$12&lt;&gt;0,$H672&gt;0,OR(AUTOEVENTO&lt;&gt;"manual",$M672&lt;&gt;1)),ROUND(OFFSET($P672,0,AX$13),15-13*ORÇAMENTO!$AF$7)/$H672*OFFSET(ORÇAMENTO!$X$15,ROW(AX672)-ROW(AX$15),0),0)</f>
        <v>0</v>
      </c>
      <c r="AY672" s="632">
        <f ca="1">IF(AND($D672="Serviço",AY$12&lt;&gt;0,$H672&gt;0,OR(AUTOEVENTO&lt;&gt;"manual",$M672&lt;&gt;1)),ROUND(OFFSET($P672,0,AY$13),15-13*ORÇAMENTO!$AF$7)/$H672*OFFSET(ORÇAMENTO!$X$15,ROW(AY672)-ROW(AY$15),0),0)</f>
        <v>0</v>
      </c>
      <c r="AZ672" s="632">
        <f ca="1">IF(AND($D672="Serviço",AZ$12&lt;&gt;0,$H672&gt;0,OR(AUTOEVENTO&lt;&gt;"manual",$M672&lt;&gt;1)),ROUND(OFFSET($P672,0,AZ$13),15-13*ORÇAMENTO!$AF$7)/$H672*OFFSET(ORÇAMENTO!$X$15,ROW(AZ672)-ROW(AZ$15),0),0)</f>
        <v>0</v>
      </c>
      <c r="BA672" s="633">
        <f ca="1">IF(AND($D672="Serviço",BA$12&lt;&gt;0,$H672&gt;0,OR(AUTOEVENTO&lt;&gt;"manual",$M672&lt;&gt;1)),ROUND(OFFSET($P672,0,BA$13),15-13*ORÇAMENTO!$AF$7)/$H672*OFFSET(ORÇAMENTO!$X$15,ROW(BA672)-ROW(BA$15),0),0)</f>
        <v>0</v>
      </c>
      <c r="BC672" s="215">
        <f ca="1">IF($D672&lt;&gt;"Serviço",0,IF(AND(AUTOEVENTO="Manual",$M672=1),0,IF(OFFSET(CRONOPLE!$F$14,$M672,BC$13)="",10^12,OFFSET(CRONOPLE!$F$14,$M672,BC$13))))</f>
        <v>0</v>
      </c>
      <c r="BD672" s="215">
        <f ca="1">IF($D672&lt;&gt;"Serviço",0,IF(AND(AUTOEVENTO="Manual",$M672=1),0,IF(OFFSET(CRONOPLE!$F$14,$M672,BD$13)="",10^12,OFFSET(CRONOPLE!$F$14,$M672,BD$13))))</f>
        <v>0</v>
      </c>
      <c r="BE672" s="215">
        <f ca="1">IF($D672&lt;&gt;"Serviço",0,IF(AND(AUTOEVENTO="Manual",$M672=1),0,IF(OFFSET(CRONOPLE!$F$14,$M672,BE$13)="",10^12,OFFSET(CRONOPLE!$F$14,$M672,BE$13))))</f>
        <v>0</v>
      </c>
      <c r="BF672" s="215">
        <f ca="1">IF($D672&lt;&gt;"Serviço",0,IF(AND(AUTOEVENTO="Manual",$M672=1),0,IF(OFFSET(CRONOPLE!$F$14,$M672,BF$13)="",10^12,OFFSET(CRONOPLE!$F$14,$M672,BF$13))))</f>
        <v>0</v>
      </c>
      <c r="BG672" s="215">
        <f ca="1">IF($D672&lt;&gt;"Serviço",0,IF(AND(AUTOEVENTO="Manual",$M672=1),0,IF(OFFSET(CRONOPLE!$F$14,$M672,BG$13)="",10^12,OFFSET(CRONOPLE!$F$14,$M672,BG$13))))</f>
        <v>0</v>
      </c>
      <c r="BH672" s="215">
        <f ca="1">IF($D672&lt;&gt;"Serviço",0,IF(AND(AUTOEVENTO="Manual",$M672=1),0,IF(OFFSET(CRONOPLE!$F$14,$M672,BH$13)="",10^12,OFFSET(CRONOPLE!$F$14,$M672,BH$13))))</f>
        <v>0</v>
      </c>
      <c r="BI672" s="215">
        <f ca="1">IF($D672&lt;&gt;"Serviço",0,IF(AND(AUTOEVENTO="Manual",$M672=1),0,IF(OFFSET(CRONOPLE!$F$14,$M672,BI$13)="",10^12,OFFSET(CRONOPLE!$F$14,$M672,BI$13))))</f>
        <v>0</v>
      </c>
      <c r="BJ672" s="215">
        <f ca="1">IF($D672&lt;&gt;"Serviço",0,IF(AND(AUTOEVENTO="Manual",$M672=1),0,IF(OFFSET(CRONOPLE!$F$14,$M672,BJ$13)="",10^12,OFFSET(CRONOPLE!$F$14,$M672,BJ$13))))</f>
        <v>0</v>
      </c>
      <c r="BK672" s="215">
        <f ca="1">IF($D672&lt;&gt;"Serviço",0,IF(AND(AUTOEVENTO="Manual",$M672=1),0,IF(OFFSET(CRONOPLE!$F$14,$M672,BK$13)="",10^12,OFFSET(CRONOPLE!$F$14,$M672,BK$13))))</f>
        <v>0</v>
      </c>
      <c r="BL672" s="215">
        <f ca="1">IF($D672&lt;&gt;"Serviço",0,IF(AND(AUTOEVENTO="Manual",$M672=1),0,IF(OFFSET(CRONOPLE!$F$14,$M672,BL$13)="",10^12,OFFSET(CRONOPLE!$F$14,$M672,BL$13))))</f>
        <v>0</v>
      </c>
      <c r="BM672" s="215">
        <f ca="1">IF($D672&lt;&gt;"Serviço",0,IF(AND(AUTOEVENTO="Manual",$M672=1),0,IF(OFFSET(CRONOPLE!$F$14,$M672,BM$13)="",10^12,OFFSET(CRONOPLE!$F$14,$M672,BM$13))))</f>
        <v>0</v>
      </c>
      <c r="BN672" s="215">
        <f ca="1">IF($D672&lt;&gt;"Serviço",0,IF(AND(AUTOEVENTO="Manual",$M672=1),0,IF(OFFSET(CRONOPLE!$F$14,$M672,BN$13)="",10^12,OFFSET(CRONOPLE!$F$14,$M672,BN$13))))</f>
        <v>0</v>
      </c>
      <c r="BO672" s="215">
        <f ca="1">IF($D672&lt;&gt;"Serviço",0,IF(AND(AUTOEVENTO="Manual",$M672=1),0,IF(OFFSET(CRONOPLE!$F$14,$M672,BO$13)="",10^12,OFFSET(CRONOPLE!$F$14,$M672,BO$13))))</f>
        <v>0</v>
      </c>
      <c r="BP672" s="215">
        <f ca="1">IF($D672&lt;&gt;"Serviço",0,IF(AND(AUTOEVENTO="Manual",$M672=1),0,IF(OFFSET(CRONOPLE!$F$14,$M672,BP$13)="",10^12,OFFSET(CRONOPLE!$F$14,$M672,BP$13))))</f>
        <v>0</v>
      </c>
      <c r="BQ672" s="215">
        <f ca="1">IF($D672&lt;&gt;"Serviço",0,IF(AND(AUTOEVENTO="Manual",$M672=1),0,IF(OFFSET(CRONOPLE!$F$14,$M672,BQ$13)="",10^12,OFFSET(CRONOPLE!$F$14,$M672,BQ$13))))</f>
        <v>0</v>
      </c>
      <c r="BR672" s="215">
        <f ca="1">IF($D672&lt;&gt;"Serviço",0,IF(AND(AUTOEVENTO="Manual",$M672=1),0,IF(OFFSET(CRONOPLE!$F$14,$M672,BR$13)="",10^12,OFFSET(CRONOPLE!$F$14,$M672,BR$13))))</f>
        <v>0</v>
      </c>
      <c r="BS672" s="215">
        <f ca="1">IF($D672&lt;&gt;"Serviço",0,IF(AND(AUTOEVENTO="Manual",$M672=1),0,IF(OFFSET(CRONOPLE!$F$14,$M672,BS$13)="",10^12,OFFSET(CRONOPLE!$F$14,$M672,BS$13))))</f>
        <v>0</v>
      </c>
      <c r="BT672" s="215">
        <f ca="1">IF($D672&lt;&gt;"Serviço",0,IF(AND(AUTOEVENTO="Manual",$M672=1),0,IF(OFFSET(CRONOPLE!$F$14,$M672,BT$13)="",10^12,OFFSET(CRONOPLE!$F$14,$M672,BT$13))))</f>
        <v>0</v>
      </c>
      <c r="BV672" s="216">
        <f ca="1">IF($D672&lt;&gt;"Serviço",0,IF(OR(AND(AUTOEVENTO="Manual",$M672=1),$M672&gt;(ROW(PLE.lastrow)-ROW(PLE.firstrow))),0,IF(OFFSET(PLE!$G$14,$M672,BV$13)="",10^12,OFFSET(PLE!$G$14,$M672,BV$13))))</f>
        <v>0</v>
      </c>
      <c r="BW672" s="216">
        <f ca="1">IF($D672&lt;&gt;"Serviço",0,IF(OR(AND(AUTOEVENTO="Manual",$M672=1),$M672&gt;(ROW(PLE.lastrow)-ROW(PLE.firstrow))),0,IF(OFFSET(PLE!$G$14,$M672,BW$13)="",10^12,OFFSET(PLE!$G$14,$M672,BW$13))))</f>
        <v>0</v>
      </c>
      <c r="BX672" s="216">
        <f ca="1">IF($D672&lt;&gt;"Serviço",0,IF(OR(AND(AUTOEVENTO="Manual",$M672=1),$M672&gt;(ROW(PLE.lastrow)-ROW(PLE.firstrow))),0,IF(OFFSET(PLE!$G$14,$M672,BX$13)="",10^12,OFFSET(PLE!$G$14,$M672,BX$13))))</f>
        <v>0</v>
      </c>
      <c r="BY672" s="216">
        <f ca="1">IF($D672&lt;&gt;"Serviço",0,IF(OR(AND(AUTOEVENTO="Manual",$M672=1),$M672&gt;(ROW(PLE.lastrow)-ROW(PLE.firstrow))),0,IF(OFFSET(PLE!$G$14,$M672,BY$13)="",10^12,OFFSET(PLE!$G$14,$M672,BY$13))))</f>
        <v>0</v>
      </c>
      <c r="BZ672" s="216">
        <f ca="1">IF($D672&lt;&gt;"Serviço",0,IF(OR(AND(AUTOEVENTO="Manual",$M672=1),$M672&gt;(ROW(PLE.lastrow)-ROW(PLE.firstrow))),0,IF(OFFSET(PLE!$G$14,$M672,BZ$13)="",10^12,OFFSET(PLE!$G$14,$M672,BZ$13))))</f>
        <v>0</v>
      </c>
      <c r="CA672" s="216">
        <f ca="1">IF($D672&lt;&gt;"Serviço",0,IF(OR(AND(AUTOEVENTO="Manual",$M672=1),$M672&gt;(ROW(PLE.lastrow)-ROW(PLE.firstrow))),0,IF(OFFSET(PLE!$G$14,$M672,CA$13)="",10^12,OFFSET(PLE!$G$14,$M672,CA$13))))</f>
        <v>0</v>
      </c>
      <c r="CB672" s="216">
        <f ca="1">IF($D672&lt;&gt;"Serviço",0,IF(OR(AND(AUTOEVENTO="Manual",$M672=1),$M672&gt;(ROW(PLE.lastrow)-ROW(PLE.firstrow))),0,IF(OFFSET(PLE!$G$14,$M672,CB$13)="",10^12,OFFSET(PLE!$G$14,$M672,CB$13))))</f>
        <v>0</v>
      </c>
      <c r="CC672" s="216">
        <f ca="1">IF($D672&lt;&gt;"Serviço",0,IF(OR(AND(AUTOEVENTO="Manual",$M672=1),$M672&gt;(ROW(PLE.lastrow)-ROW(PLE.firstrow))),0,IF(OFFSET(PLE!$G$14,$M672,CC$13)="",10^12,OFFSET(PLE!$G$14,$M672,CC$13))))</f>
        <v>0</v>
      </c>
      <c r="CD672" s="216">
        <f ca="1">IF($D672&lt;&gt;"Serviço",0,IF(OR(AND(AUTOEVENTO="Manual",$M672=1),$M672&gt;(ROW(PLE.lastrow)-ROW(PLE.firstrow))),0,IF(OFFSET(PLE!$G$14,$M672,CD$13)="",10^12,OFFSET(PLE!$G$14,$M672,CD$13))))</f>
        <v>0</v>
      </c>
      <c r="CE672" s="216">
        <f ca="1">IF($D672&lt;&gt;"Serviço",0,IF(OR(AND(AUTOEVENTO="Manual",$M672=1),$M672&gt;(ROW(PLE.lastrow)-ROW(PLE.firstrow))),0,IF(OFFSET(PLE!$G$14,$M672,CE$13)="",10^12,OFFSET(PLE!$G$14,$M672,CE$13))))</f>
        <v>0</v>
      </c>
      <c r="CF672" s="216">
        <f ca="1">IF($D672&lt;&gt;"Serviço",0,IF(OR(AND(AUTOEVENTO="Manual",$M672=1),$M672&gt;(ROW(PLE.lastrow)-ROW(PLE.firstrow))),0,IF(OFFSET(PLE!$G$14,$M672,CF$13)="",10^12,OFFSET(PLE!$G$14,$M672,CF$13))))</f>
        <v>0</v>
      </c>
      <c r="CG672" s="216">
        <f ca="1">IF($D672&lt;&gt;"Serviço",0,IF(OR(AND(AUTOEVENTO="Manual",$M672=1),$M672&gt;(ROW(PLE.lastrow)-ROW(PLE.firstrow))),0,IF(OFFSET(PLE!$G$14,$M672,CG$13)="",10^12,OFFSET(PLE!$G$14,$M672,CG$13))))</f>
        <v>0</v>
      </c>
      <c r="CH672" s="216">
        <f ca="1">IF($D672&lt;&gt;"Serviço",0,IF(OR(AND(AUTOEVENTO="Manual",$M672=1),$M672&gt;(ROW(PLE.lastrow)-ROW(PLE.firstrow))),0,IF(OFFSET(PLE!$G$14,$M672,CH$13)="",10^12,OFFSET(PLE!$G$14,$M672,CH$13))))</f>
        <v>0</v>
      </c>
      <c r="CI672" s="216">
        <f ca="1">IF($D672&lt;&gt;"Serviço",0,IF(OR(AND(AUTOEVENTO="Manual",$M672=1),$M672&gt;(ROW(PLE.lastrow)-ROW(PLE.firstrow))),0,IF(OFFSET(PLE!$G$14,$M672,CI$13)="",10^12,OFFSET(PLE!$G$14,$M672,CI$13))))</f>
        <v>0</v>
      </c>
      <c r="CJ672" s="216">
        <f ca="1">IF($D672&lt;&gt;"Serviço",0,IF(OR(AND(AUTOEVENTO="Manual",$M672=1),$M672&gt;(ROW(PLE.lastrow)-ROW(PLE.firstrow))),0,IF(OFFSET(PLE!$G$14,$M672,CJ$13)="",10^12,OFFSET(PLE!$G$14,$M672,CJ$13))))</f>
        <v>0</v>
      </c>
      <c r="CK672" s="216">
        <f ca="1">IF($D672&lt;&gt;"Serviço",0,IF(OR(AND(AUTOEVENTO="Manual",$M672=1),$M672&gt;(ROW(PLE.lastrow)-ROW(PLE.firstrow))),0,IF(OFFSET(PLE!$G$14,$M672,CK$13)="",10^12,OFFSET(PLE!$G$14,$M672,CK$13))))</f>
        <v>0</v>
      </c>
      <c r="CL672" s="216">
        <f ca="1">IF($D672&lt;&gt;"Serviço",0,IF(OR(AND(AUTOEVENTO="Manual",$M672=1),$M672&gt;(ROW(PLE.lastrow)-ROW(PLE.firstrow))),0,IF(OFFSET(PLE!$G$14,$M672,CL$13)="",10^12,OFFSET(PLE!$G$14,$M672,CL$13))))</f>
        <v>0</v>
      </c>
      <c r="CM672" s="216">
        <f ca="1">IF($D672&lt;&gt;"Serviço",0,IF(OR(AND(AUTOEVENTO="Manual",$M672=1),$M672&gt;(ROW(PLE.lastrow)-ROW(PLE.firstrow))),0,IF(OFFSET(PLE!$G$14,$M672,CM$13)="",10^12,OFFSET(PLE!$G$14,$M672,CM$13))))</f>
        <v>0</v>
      </c>
    </row>
    <row r="673" spans="1:91" ht="13.2" x14ac:dyDescent="0.25">
      <c r="A673" s="9">
        <f t="shared" ca="1" si="20"/>
        <v>0</v>
      </c>
      <c r="B673" s="9" t="str">
        <f ca="1">OFFSET(ORÇAMENTO!C$15,ROW(B673)-ROW(B$15),0)</f>
        <v>S</v>
      </c>
      <c r="C673" s="9" t="str">
        <f ca="1">OFFSET(ORÇAMENTO!L$15,ROW(C673)-ROW(C$15),0)</f>
        <v/>
      </c>
      <c r="D673" s="145" t="str">
        <f ca="1">OFFSET(ORÇAMENTO!N$15,ROW(D673)-ROW(D$15),0)</f>
        <v>Serviço</v>
      </c>
      <c r="E673" s="205" t="str">
        <f ca="1">OFFSET(ORÇAMENTO!O$15,ROW(E673)-ROW(E$15),0)</f>
        <v>-</v>
      </c>
      <c r="F673" s="206" t="str">
        <f ca="1">OFFSET(ORÇAMENTO!R$15,ROW(F673)-ROW(F$15),0)</f>
        <v>(abra o arquivo 'Referência 05-2024.xls)</v>
      </c>
      <c r="G673" s="207" t="str">
        <f ca="1">IF($D673&lt;&gt;"Serviço","",OFFSET(ORÇAMENTO!S$15,ROW(G673)-ROW(G$15),0))</f>
        <v>-</v>
      </c>
      <c r="H673" s="151">
        <f ca="1">IF($D673&lt;&gt;"Serviço",0,IF(ACOMPANHAMENTO="BM",ROUND(OFFSET(ORÇAMENTO!AJ$15,ROW(H673)-ROW(H$15),0),15-13*ORÇAMENTO!$AF$7),SUMPRODUCT(($Q$12:$AI$12&lt;&gt;"")*ROUND($Q673:$AI673,15-13*ORÇAMENTO!$AF$7))))</f>
        <v>1</v>
      </c>
      <c r="I673" s="650"/>
      <c r="K673" s="208"/>
      <c r="L673" s="209" t="s">
        <v>257</v>
      </c>
      <c r="M673" s="210">
        <f ca="1">IF($D673&lt;&gt;"Serviço","",IF(AUTOEVENTO="manual",$A673,IF(ISERROR(MATCH($A673,$A$15:OFFSET($A673,-1,0),0)),MAX($M$15:OFFSET(M673,-1,0))+1,INDEX($M$15:OFFSET(M673,-1,0),MATCH($A673,$A$15:OFFSET($A673,-1,0),0)))))</f>
        <v>0</v>
      </c>
      <c r="N673" s="211" t="str">
        <f ca="1">IF($D673&lt;&gt;"Serviço","",IF(AUTOEVENTO="Manual",IF($A673=0,"&lt;-- defina o número do agrupador",OFFSET(EVENTOS!$D$14,$A673,0)),OFFSET($F$15,$A673,0)))</f>
        <v>&lt;-- defina o número do agrupador</v>
      </c>
      <c r="O673" s="212"/>
      <c r="Q673" s="212"/>
      <c r="R673" s="213"/>
      <c r="S673" s="213"/>
      <c r="T673" s="213"/>
      <c r="U673" s="213"/>
      <c r="V673" s="213"/>
      <c r="W673" s="213"/>
      <c r="X673" s="213"/>
      <c r="Y673" s="213"/>
      <c r="Z673" s="214"/>
      <c r="AA673" s="213"/>
      <c r="AB673" s="213"/>
      <c r="AC673" s="213"/>
      <c r="AD673" s="213"/>
      <c r="AE673" s="213"/>
      <c r="AF673" s="213"/>
      <c r="AG673" s="213"/>
      <c r="AH673" s="214"/>
      <c r="AJ673" s="631">
        <f ca="1">IF(AND($D673="Serviço",AJ$12&lt;&gt;0,$H673&gt;0,OR(AUTOEVENTO&lt;&gt;"manual",$M673&lt;&gt;1)),ROUND(OFFSET($P673,0,AJ$13),15-13*ORÇAMENTO!$AF$7)/$H673*OFFSET(ORÇAMENTO!$X$15,ROW(AJ673)-ROW(AJ$15),0),0)</f>
        <v>0</v>
      </c>
      <c r="AK673" s="632">
        <f ca="1">IF(AND($D673="Serviço",AK$12&lt;&gt;0,$H673&gt;0,OR(AUTOEVENTO&lt;&gt;"manual",$M673&lt;&gt;1)),ROUND(OFFSET($P673,0,AK$13),15-13*ORÇAMENTO!$AF$7)/$H673*OFFSET(ORÇAMENTO!$X$15,ROW(AK673)-ROW(AK$15),0),0)</f>
        <v>0</v>
      </c>
      <c r="AL673" s="632">
        <f ca="1">IF(AND($D673="Serviço",AL$12&lt;&gt;0,$H673&gt;0,OR(AUTOEVENTO&lt;&gt;"manual",$M673&lt;&gt;1)),ROUND(OFFSET($P673,0,AL$13),15-13*ORÇAMENTO!$AF$7)/$H673*OFFSET(ORÇAMENTO!$X$15,ROW(AL673)-ROW(AL$15),0),0)</f>
        <v>0</v>
      </c>
      <c r="AM673" s="632">
        <f ca="1">IF(AND($D673="Serviço",AM$12&lt;&gt;0,$H673&gt;0,OR(AUTOEVENTO&lt;&gt;"manual",$M673&lt;&gt;1)),ROUND(OFFSET($P673,0,AM$13),15-13*ORÇAMENTO!$AF$7)/$H673*OFFSET(ORÇAMENTO!$X$15,ROW(AM673)-ROW(AM$15),0),0)</f>
        <v>0</v>
      </c>
      <c r="AN673" s="632">
        <f ca="1">IF(AND($D673="Serviço",AN$12&lt;&gt;0,$H673&gt;0,OR(AUTOEVENTO&lt;&gt;"manual",$M673&lt;&gt;1)),ROUND(OFFSET($P673,0,AN$13),15-13*ORÇAMENTO!$AF$7)/$H673*OFFSET(ORÇAMENTO!$X$15,ROW(AN673)-ROW(AN$15),0),0)</f>
        <v>0</v>
      </c>
      <c r="AO673" s="632">
        <f ca="1">IF(AND($D673="Serviço",AO$12&lt;&gt;0,$H673&gt;0,OR(AUTOEVENTO&lt;&gt;"manual",$M673&lt;&gt;1)),ROUND(OFFSET($P673,0,AO$13),15-13*ORÇAMENTO!$AF$7)/$H673*OFFSET(ORÇAMENTO!$X$15,ROW(AO673)-ROW(AO$15),0),0)</f>
        <v>0</v>
      </c>
      <c r="AP673" s="632">
        <f ca="1">IF(AND($D673="Serviço",AP$12&lt;&gt;0,$H673&gt;0,OR(AUTOEVENTO&lt;&gt;"manual",$M673&lt;&gt;1)),ROUND(OFFSET($P673,0,AP$13),15-13*ORÇAMENTO!$AF$7)/$H673*OFFSET(ORÇAMENTO!$X$15,ROW(AP673)-ROW(AP$15),0),0)</f>
        <v>0</v>
      </c>
      <c r="AQ673" s="632">
        <f ca="1">IF(AND($D673="Serviço",AQ$12&lt;&gt;0,$H673&gt;0,OR(AUTOEVENTO&lt;&gt;"manual",$M673&lt;&gt;1)),ROUND(OFFSET($P673,0,AQ$13),15-13*ORÇAMENTO!$AF$7)/$H673*OFFSET(ORÇAMENTO!$X$15,ROW(AQ673)-ROW(AQ$15),0),0)</f>
        <v>0</v>
      </c>
      <c r="AR673" s="632">
        <f ca="1">IF(AND($D673="Serviço",AR$12&lt;&gt;0,$H673&gt;0,OR(AUTOEVENTO&lt;&gt;"manual",$M673&lt;&gt;1)),ROUND(OFFSET($P673,0,AR$13),15-13*ORÇAMENTO!$AF$7)/$H673*OFFSET(ORÇAMENTO!$X$15,ROW(AR673)-ROW(AR$15),0),0)</f>
        <v>0</v>
      </c>
      <c r="AS673" s="633">
        <f ca="1">IF(AND($D673="Serviço",AS$12&lt;&gt;0,$H673&gt;0,OR(AUTOEVENTO&lt;&gt;"manual",$M673&lt;&gt;1)),ROUND(OFFSET($P673,0,AS$13),15-13*ORÇAMENTO!$AF$7)/$H673*OFFSET(ORÇAMENTO!$X$15,ROW(AS673)-ROW(AS$15),0),0)</f>
        <v>0</v>
      </c>
      <c r="AT673" s="632">
        <f ca="1">IF(AND($D673="Serviço",AT$12&lt;&gt;0,$H673&gt;0,OR(AUTOEVENTO&lt;&gt;"manual",$M673&lt;&gt;1)),ROUND(OFFSET($P673,0,AT$13),15-13*ORÇAMENTO!$AF$7)/$H673*OFFSET(ORÇAMENTO!$X$15,ROW(AT673)-ROW(AT$15),0),0)</f>
        <v>0</v>
      </c>
      <c r="AU673" s="632">
        <f ca="1">IF(AND($D673="Serviço",AU$12&lt;&gt;0,$H673&gt;0,OR(AUTOEVENTO&lt;&gt;"manual",$M673&lt;&gt;1)),ROUND(OFFSET($P673,0,AU$13),15-13*ORÇAMENTO!$AF$7)/$H673*OFFSET(ORÇAMENTO!$X$15,ROW(AU673)-ROW(AU$15),0),0)</f>
        <v>0</v>
      </c>
      <c r="AV673" s="632">
        <f ca="1">IF(AND($D673="Serviço",AV$12&lt;&gt;0,$H673&gt;0,OR(AUTOEVENTO&lt;&gt;"manual",$M673&lt;&gt;1)),ROUND(OFFSET($P673,0,AV$13),15-13*ORÇAMENTO!$AF$7)/$H673*OFFSET(ORÇAMENTO!$X$15,ROW(AV673)-ROW(AV$15),0),0)</f>
        <v>0</v>
      </c>
      <c r="AW673" s="632">
        <f ca="1">IF(AND($D673="Serviço",AW$12&lt;&gt;0,$H673&gt;0,OR(AUTOEVENTO&lt;&gt;"manual",$M673&lt;&gt;1)),ROUND(OFFSET($P673,0,AW$13),15-13*ORÇAMENTO!$AF$7)/$H673*OFFSET(ORÇAMENTO!$X$15,ROW(AW673)-ROW(AW$15),0),0)</f>
        <v>0</v>
      </c>
      <c r="AX673" s="632">
        <f ca="1">IF(AND($D673="Serviço",AX$12&lt;&gt;0,$H673&gt;0,OR(AUTOEVENTO&lt;&gt;"manual",$M673&lt;&gt;1)),ROUND(OFFSET($P673,0,AX$13),15-13*ORÇAMENTO!$AF$7)/$H673*OFFSET(ORÇAMENTO!$X$15,ROW(AX673)-ROW(AX$15),0),0)</f>
        <v>0</v>
      </c>
      <c r="AY673" s="632">
        <f ca="1">IF(AND($D673="Serviço",AY$12&lt;&gt;0,$H673&gt;0,OR(AUTOEVENTO&lt;&gt;"manual",$M673&lt;&gt;1)),ROUND(OFFSET($P673,0,AY$13),15-13*ORÇAMENTO!$AF$7)/$H673*OFFSET(ORÇAMENTO!$X$15,ROW(AY673)-ROW(AY$15),0),0)</f>
        <v>0</v>
      </c>
      <c r="AZ673" s="632">
        <f ca="1">IF(AND($D673="Serviço",AZ$12&lt;&gt;0,$H673&gt;0,OR(AUTOEVENTO&lt;&gt;"manual",$M673&lt;&gt;1)),ROUND(OFFSET($P673,0,AZ$13),15-13*ORÇAMENTO!$AF$7)/$H673*OFFSET(ORÇAMENTO!$X$15,ROW(AZ673)-ROW(AZ$15),0),0)</f>
        <v>0</v>
      </c>
      <c r="BA673" s="633">
        <f ca="1">IF(AND($D673="Serviço",BA$12&lt;&gt;0,$H673&gt;0,OR(AUTOEVENTO&lt;&gt;"manual",$M673&lt;&gt;1)),ROUND(OFFSET($P673,0,BA$13),15-13*ORÇAMENTO!$AF$7)/$H673*OFFSET(ORÇAMENTO!$X$15,ROW(BA673)-ROW(BA$15),0),0)</f>
        <v>0</v>
      </c>
      <c r="BC673" s="215">
        <f ca="1">IF($D673&lt;&gt;"Serviço",0,IF(AND(AUTOEVENTO="Manual",$M673=1),0,IF(OFFSET(CRONOPLE!$F$14,$M673,BC$13)="",10^12,OFFSET(CRONOPLE!$F$14,$M673,BC$13))))</f>
        <v>1000000000000</v>
      </c>
      <c r="BD673" s="215">
        <f ca="1">IF($D673&lt;&gt;"Serviço",0,IF(AND(AUTOEVENTO="Manual",$M673=1),0,IF(OFFSET(CRONOPLE!$F$14,$M673,BD$13)="",10^12,OFFSET(CRONOPLE!$F$14,$M673,BD$13))))</f>
        <v>1000000000000</v>
      </c>
      <c r="BE673" s="215">
        <f ca="1">IF($D673&lt;&gt;"Serviço",0,IF(AND(AUTOEVENTO="Manual",$M673=1),0,IF(OFFSET(CRONOPLE!$F$14,$M673,BE$13)="",10^12,OFFSET(CRONOPLE!$F$14,$M673,BE$13))))</f>
        <v>1000000000000</v>
      </c>
      <c r="BF673" s="215">
        <f ca="1">IF($D673&lt;&gt;"Serviço",0,IF(AND(AUTOEVENTO="Manual",$M673=1),0,IF(OFFSET(CRONOPLE!$F$14,$M673,BF$13)="",10^12,OFFSET(CRONOPLE!$F$14,$M673,BF$13))))</f>
        <v>1000000000000</v>
      </c>
      <c r="BG673" s="215">
        <f ca="1">IF($D673&lt;&gt;"Serviço",0,IF(AND(AUTOEVENTO="Manual",$M673=1),0,IF(OFFSET(CRONOPLE!$F$14,$M673,BG$13)="",10^12,OFFSET(CRONOPLE!$F$14,$M673,BG$13))))</f>
        <v>1000000000000</v>
      </c>
      <c r="BH673" s="215">
        <f ca="1">IF($D673&lt;&gt;"Serviço",0,IF(AND(AUTOEVENTO="Manual",$M673=1),0,IF(OFFSET(CRONOPLE!$F$14,$M673,BH$13)="",10^12,OFFSET(CRONOPLE!$F$14,$M673,BH$13))))</f>
        <v>1000000000000</v>
      </c>
      <c r="BI673" s="215">
        <f ca="1">IF($D673&lt;&gt;"Serviço",0,IF(AND(AUTOEVENTO="Manual",$M673=1),0,IF(OFFSET(CRONOPLE!$F$14,$M673,BI$13)="",10^12,OFFSET(CRONOPLE!$F$14,$M673,BI$13))))</f>
        <v>1000000000000</v>
      </c>
      <c r="BJ673" s="215">
        <f ca="1">IF($D673&lt;&gt;"Serviço",0,IF(AND(AUTOEVENTO="Manual",$M673=1),0,IF(OFFSET(CRONOPLE!$F$14,$M673,BJ$13)="",10^12,OFFSET(CRONOPLE!$F$14,$M673,BJ$13))))</f>
        <v>1000000000000</v>
      </c>
      <c r="BK673" s="215">
        <f ca="1">IF($D673&lt;&gt;"Serviço",0,IF(AND(AUTOEVENTO="Manual",$M673=1),0,IF(OFFSET(CRONOPLE!$F$14,$M673,BK$13)="",10^12,OFFSET(CRONOPLE!$F$14,$M673,BK$13))))</f>
        <v>1000000000000</v>
      </c>
      <c r="BL673" s="215">
        <f ca="1">IF($D673&lt;&gt;"Serviço",0,IF(AND(AUTOEVENTO="Manual",$M673=1),0,IF(OFFSET(CRONOPLE!$F$14,$M673,BL$13)="",10^12,OFFSET(CRONOPLE!$F$14,$M673,BL$13))))</f>
        <v>1000000000000</v>
      </c>
      <c r="BM673" s="215">
        <f ca="1">IF($D673&lt;&gt;"Serviço",0,IF(AND(AUTOEVENTO="Manual",$M673=1),0,IF(OFFSET(CRONOPLE!$F$14,$M673,BM$13)="",10^12,OFFSET(CRONOPLE!$F$14,$M673,BM$13))))</f>
        <v>1000000000000</v>
      </c>
      <c r="BN673" s="215">
        <f ca="1">IF($D673&lt;&gt;"Serviço",0,IF(AND(AUTOEVENTO="Manual",$M673=1),0,IF(OFFSET(CRONOPLE!$F$14,$M673,BN$13)="",10^12,OFFSET(CRONOPLE!$F$14,$M673,BN$13))))</f>
        <v>1000000000000</v>
      </c>
      <c r="BO673" s="215">
        <f ca="1">IF($D673&lt;&gt;"Serviço",0,IF(AND(AUTOEVENTO="Manual",$M673=1),0,IF(OFFSET(CRONOPLE!$F$14,$M673,BO$13)="",10^12,OFFSET(CRONOPLE!$F$14,$M673,BO$13))))</f>
        <v>1000000000000</v>
      </c>
      <c r="BP673" s="215">
        <f ca="1">IF($D673&lt;&gt;"Serviço",0,IF(AND(AUTOEVENTO="Manual",$M673=1),0,IF(OFFSET(CRONOPLE!$F$14,$M673,BP$13)="",10^12,OFFSET(CRONOPLE!$F$14,$M673,BP$13))))</f>
        <v>1000000000000</v>
      </c>
      <c r="BQ673" s="215">
        <f ca="1">IF($D673&lt;&gt;"Serviço",0,IF(AND(AUTOEVENTO="Manual",$M673=1),0,IF(OFFSET(CRONOPLE!$F$14,$M673,BQ$13)="",10^12,OFFSET(CRONOPLE!$F$14,$M673,BQ$13))))</f>
        <v>1000000000000</v>
      </c>
      <c r="BR673" s="215">
        <f ca="1">IF($D673&lt;&gt;"Serviço",0,IF(AND(AUTOEVENTO="Manual",$M673=1),0,IF(OFFSET(CRONOPLE!$F$14,$M673,BR$13)="",10^12,OFFSET(CRONOPLE!$F$14,$M673,BR$13))))</f>
        <v>1000000000000</v>
      </c>
      <c r="BS673" s="215">
        <f ca="1">IF($D673&lt;&gt;"Serviço",0,IF(AND(AUTOEVENTO="Manual",$M673=1),0,IF(OFFSET(CRONOPLE!$F$14,$M673,BS$13)="",10^12,OFFSET(CRONOPLE!$F$14,$M673,BS$13))))</f>
        <v>1000000000000</v>
      </c>
      <c r="BT673" s="215">
        <f ca="1">IF($D673&lt;&gt;"Serviço",0,IF(AND(AUTOEVENTO="Manual",$M673=1),0,IF(OFFSET(CRONOPLE!$F$14,$M673,BT$13)="",10^12,OFFSET(CRONOPLE!$F$14,$M673,BT$13))))</f>
        <v>1000000000000</v>
      </c>
      <c r="BV673" s="216">
        <f ca="1">IF($D673&lt;&gt;"Serviço",0,IF(OR(AND(AUTOEVENTO="Manual",$M673=1),$M673&gt;(ROW(PLE.lastrow)-ROW(PLE.firstrow))),0,IF(OFFSET(PLE!$G$14,$M673,BV$13)="",10^12,OFFSET(PLE!$G$14,$M673,BV$13))))</f>
        <v>1000000000000</v>
      </c>
      <c r="BW673" s="216">
        <f ca="1">IF($D673&lt;&gt;"Serviço",0,IF(OR(AND(AUTOEVENTO="Manual",$M673=1),$M673&gt;(ROW(PLE.lastrow)-ROW(PLE.firstrow))),0,IF(OFFSET(PLE!$G$14,$M673,BW$13)="",10^12,OFFSET(PLE!$G$14,$M673,BW$13))))</f>
        <v>1000000000000</v>
      </c>
      <c r="BX673" s="216">
        <f ca="1">IF($D673&lt;&gt;"Serviço",0,IF(OR(AND(AUTOEVENTO="Manual",$M673=1),$M673&gt;(ROW(PLE.lastrow)-ROW(PLE.firstrow))),0,IF(OFFSET(PLE!$G$14,$M673,BX$13)="",10^12,OFFSET(PLE!$G$14,$M673,BX$13))))</f>
        <v>1000000000000</v>
      </c>
      <c r="BY673" s="216">
        <f ca="1">IF($D673&lt;&gt;"Serviço",0,IF(OR(AND(AUTOEVENTO="Manual",$M673=1),$M673&gt;(ROW(PLE.lastrow)-ROW(PLE.firstrow))),0,IF(OFFSET(PLE!$G$14,$M673,BY$13)="",10^12,OFFSET(PLE!$G$14,$M673,BY$13))))</f>
        <v>1000000000000</v>
      </c>
      <c r="BZ673" s="216">
        <f ca="1">IF($D673&lt;&gt;"Serviço",0,IF(OR(AND(AUTOEVENTO="Manual",$M673=1),$M673&gt;(ROW(PLE.lastrow)-ROW(PLE.firstrow))),0,IF(OFFSET(PLE!$G$14,$M673,BZ$13)="",10^12,OFFSET(PLE!$G$14,$M673,BZ$13))))</f>
        <v>1000000000000</v>
      </c>
      <c r="CA673" s="216">
        <f ca="1">IF($D673&lt;&gt;"Serviço",0,IF(OR(AND(AUTOEVENTO="Manual",$M673=1),$M673&gt;(ROW(PLE.lastrow)-ROW(PLE.firstrow))),0,IF(OFFSET(PLE!$G$14,$M673,CA$13)="",10^12,OFFSET(PLE!$G$14,$M673,CA$13))))</f>
        <v>1000000000000</v>
      </c>
      <c r="CB673" s="216">
        <f ca="1">IF($D673&lt;&gt;"Serviço",0,IF(OR(AND(AUTOEVENTO="Manual",$M673=1),$M673&gt;(ROW(PLE.lastrow)-ROW(PLE.firstrow))),0,IF(OFFSET(PLE!$G$14,$M673,CB$13)="",10^12,OFFSET(PLE!$G$14,$M673,CB$13))))</f>
        <v>1000000000000</v>
      </c>
      <c r="CC673" s="216">
        <f ca="1">IF($D673&lt;&gt;"Serviço",0,IF(OR(AND(AUTOEVENTO="Manual",$M673=1),$M673&gt;(ROW(PLE.lastrow)-ROW(PLE.firstrow))),0,IF(OFFSET(PLE!$G$14,$M673,CC$13)="",10^12,OFFSET(PLE!$G$14,$M673,CC$13))))</f>
        <v>1000000000000</v>
      </c>
      <c r="CD673" s="216">
        <f ca="1">IF($D673&lt;&gt;"Serviço",0,IF(OR(AND(AUTOEVENTO="Manual",$M673=1),$M673&gt;(ROW(PLE.lastrow)-ROW(PLE.firstrow))),0,IF(OFFSET(PLE!$G$14,$M673,CD$13)="",10^12,OFFSET(PLE!$G$14,$M673,CD$13))))</f>
        <v>1000000000000</v>
      </c>
      <c r="CE673" s="216">
        <f ca="1">IF($D673&lt;&gt;"Serviço",0,IF(OR(AND(AUTOEVENTO="Manual",$M673=1),$M673&gt;(ROW(PLE.lastrow)-ROW(PLE.firstrow))),0,IF(OFFSET(PLE!$G$14,$M673,CE$13)="",10^12,OFFSET(PLE!$G$14,$M673,CE$13))))</f>
        <v>1000000000000</v>
      </c>
      <c r="CF673" s="216">
        <f ca="1">IF($D673&lt;&gt;"Serviço",0,IF(OR(AND(AUTOEVENTO="Manual",$M673=1),$M673&gt;(ROW(PLE.lastrow)-ROW(PLE.firstrow))),0,IF(OFFSET(PLE!$G$14,$M673,CF$13)="",10^12,OFFSET(PLE!$G$14,$M673,CF$13))))</f>
        <v>1000000000000</v>
      </c>
      <c r="CG673" s="216">
        <f ca="1">IF($D673&lt;&gt;"Serviço",0,IF(OR(AND(AUTOEVENTO="Manual",$M673=1),$M673&gt;(ROW(PLE.lastrow)-ROW(PLE.firstrow))),0,IF(OFFSET(PLE!$G$14,$M673,CG$13)="",10^12,OFFSET(PLE!$G$14,$M673,CG$13))))</f>
        <v>1000000000000</v>
      </c>
      <c r="CH673" s="216">
        <f ca="1">IF($D673&lt;&gt;"Serviço",0,IF(OR(AND(AUTOEVENTO="Manual",$M673=1),$M673&gt;(ROW(PLE.lastrow)-ROW(PLE.firstrow))),0,IF(OFFSET(PLE!$G$14,$M673,CH$13)="",10^12,OFFSET(PLE!$G$14,$M673,CH$13))))</f>
        <v>1000000000000</v>
      </c>
      <c r="CI673" s="216">
        <f ca="1">IF($D673&lt;&gt;"Serviço",0,IF(OR(AND(AUTOEVENTO="Manual",$M673=1),$M673&gt;(ROW(PLE.lastrow)-ROW(PLE.firstrow))),0,IF(OFFSET(PLE!$G$14,$M673,CI$13)="",10^12,OFFSET(PLE!$G$14,$M673,CI$13))))</f>
        <v>1000000000000</v>
      </c>
      <c r="CJ673" s="216">
        <f ca="1">IF($D673&lt;&gt;"Serviço",0,IF(OR(AND(AUTOEVENTO="Manual",$M673=1),$M673&gt;(ROW(PLE.lastrow)-ROW(PLE.firstrow))),0,IF(OFFSET(PLE!$G$14,$M673,CJ$13)="",10^12,OFFSET(PLE!$G$14,$M673,CJ$13))))</f>
        <v>1000000000000</v>
      </c>
      <c r="CK673" s="216">
        <f ca="1">IF($D673&lt;&gt;"Serviço",0,IF(OR(AND(AUTOEVENTO="Manual",$M673=1),$M673&gt;(ROW(PLE.lastrow)-ROW(PLE.firstrow))),0,IF(OFFSET(PLE!$G$14,$M673,CK$13)="",10^12,OFFSET(PLE!$G$14,$M673,CK$13))))</f>
        <v>1000000000000</v>
      </c>
      <c r="CL673" s="216">
        <f ca="1">IF($D673&lt;&gt;"Serviço",0,IF(OR(AND(AUTOEVENTO="Manual",$M673=1),$M673&gt;(ROW(PLE.lastrow)-ROW(PLE.firstrow))),0,IF(OFFSET(PLE!$G$14,$M673,CL$13)="",10^12,OFFSET(PLE!$G$14,$M673,CL$13))))</f>
        <v>1000000000000</v>
      </c>
      <c r="CM673" s="216">
        <f ca="1">IF($D673&lt;&gt;"Serviço",0,IF(OR(AND(AUTOEVENTO="Manual",$M673=1),$M673&gt;(ROW(PLE.lastrow)-ROW(PLE.firstrow))),0,IF(OFFSET(PLE!$G$14,$M673,CM$13)="",10^12,OFFSET(PLE!$G$14,$M673,CM$13))))</f>
        <v>1000000000000</v>
      </c>
    </row>
    <row r="674" spans="1:91" ht="13.2" x14ac:dyDescent="0.25">
      <c r="A674" s="9">
        <f t="shared" ca="1" si="20"/>
        <v>0</v>
      </c>
      <c r="B674" s="9" t="str">
        <f ca="1">OFFSET(ORÇAMENTO!C$15,ROW(B674)-ROW(B$15),0)</f>
        <v>S</v>
      </c>
      <c r="C674" s="9" t="str">
        <f ca="1">OFFSET(ORÇAMENTO!L$15,ROW(C674)-ROW(C$15),0)</f>
        <v/>
      </c>
      <c r="D674" s="145" t="str">
        <f ca="1">OFFSET(ORÇAMENTO!N$15,ROW(D674)-ROW(D$15),0)</f>
        <v>Serviço</v>
      </c>
      <c r="E674" s="205" t="str">
        <f ca="1">OFFSET(ORÇAMENTO!O$15,ROW(E674)-ROW(E$15),0)</f>
        <v>-</v>
      </c>
      <c r="F674" s="206" t="str">
        <f ca="1">OFFSET(ORÇAMENTO!R$15,ROW(F674)-ROW(F$15),0)</f>
        <v>(abra o arquivo 'Referência 05-2024.xls)</v>
      </c>
      <c r="G674" s="207" t="str">
        <f ca="1">IF($D674&lt;&gt;"Serviço","",OFFSET(ORÇAMENTO!S$15,ROW(G674)-ROW(G$15),0))</f>
        <v>-</v>
      </c>
      <c r="H674" s="151">
        <f ca="1">IF($D674&lt;&gt;"Serviço",0,IF(ACOMPANHAMENTO="BM",ROUND(OFFSET(ORÇAMENTO!AJ$15,ROW(H674)-ROW(H$15),0),15-13*ORÇAMENTO!$AF$7),SUMPRODUCT(($Q$12:$AI$12&lt;&gt;"")*ROUND($Q674:$AI674,15-13*ORÇAMENTO!$AF$7))))</f>
        <v>45</v>
      </c>
      <c r="I674" s="650"/>
      <c r="K674" s="208"/>
      <c r="L674" s="209" t="s">
        <v>257</v>
      </c>
      <c r="M674" s="210">
        <f ca="1">IF($D674&lt;&gt;"Serviço","",IF(AUTOEVENTO="manual",$A674,IF(ISERROR(MATCH($A674,$A$15:OFFSET($A674,-1,0),0)),MAX($M$15:OFFSET(M674,-1,0))+1,INDEX($M$15:OFFSET(M674,-1,0),MATCH($A674,$A$15:OFFSET($A674,-1,0),0)))))</f>
        <v>0</v>
      </c>
      <c r="N674" s="211" t="str">
        <f ca="1">IF($D674&lt;&gt;"Serviço","",IF(AUTOEVENTO="Manual",IF($A674=0,"&lt;-- defina o número do agrupador",OFFSET(EVENTOS!$D$14,$A674,0)),OFFSET($F$15,$A674,0)))</f>
        <v>&lt;-- defina o número do agrupador</v>
      </c>
      <c r="O674" s="212"/>
      <c r="Q674" s="212"/>
      <c r="R674" s="213"/>
      <c r="S674" s="213"/>
      <c r="T674" s="213"/>
      <c r="U674" s="213"/>
      <c r="V674" s="213"/>
      <c r="W674" s="213"/>
      <c r="X674" s="213"/>
      <c r="Y674" s="213"/>
      <c r="Z674" s="214"/>
      <c r="AA674" s="213"/>
      <c r="AB674" s="213"/>
      <c r="AC674" s="213"/>
      <c r="AD674" s="213"/>
      <c r="AE674" s="213"/>
      <c r="AF674" s="213"/>
      <c r="AG674" s="213"/>
      <c r="AH674" s="214"/>
      <c r="AJ674" s="631">
        <f ca="1">IF(AND($D674="Serviço",AJ$12&lt;&gt;0,$H674&gt;0,OR(AUTOEVENTO&lt;&gt;"manual",$M674&lt;&gt;1)),ROUND(OFFSET($P674,0,AJ$13),15-13*ORÇAMENTO!$AF$7)/$H674*OFFSET(ORÇAMENTO!$X$15,ROW(AJ674)-ROW(AJ$15),0),0)</f>
        <v>0</v>
      </c>
      <c r="AK674" s="632">
        <f ca="1">IF(AND($D674="Serviço",AK$12&lt;&gt;0,$H674&gt;0,OR(AUTOEVENTO&lt;&gt;"manual",$M674&lt;&gt;1)),ROUND(OFFSET($P674,0,AK$13),15-13*ORÇAMENTO!$AF$7)/$H674*OFFSET(ORÇAMENTO!$X$15,ROW(AK674)-ROW(AK$15),0),0)</f>
        <v>0</v>
      </c>
      <c r="AL674" s="632">
        <f ca="1">IF(AND($D674="Serviço",AL$12&lt;&gt;0,$H674&gt;0,OR(AUTOEVENTO&lt;&gt;"manual",$M674&lt;&gt;1)),ROUND(OFFSET($P674,0,AL$13),15-13*ORÇAMENTO!$AF$7)/$H674*OFFSET(ORÇAMENTO!$X$15,ROW(AL674)-ROW(AL$15),0),0)</f>
        <v>0</v>
      </c>
      <c r="AM674" s="632">
        <f ca="1">IF(AND($D674="Serviço",AM$12&lt;&gt;0,$H674&gt;0,OR(AUTOEVENTO&lt;&gt;"manual",$M674&lt;&gt;1)),ROUND(OFFSET($P674,0,AM$13),15-13*ORÇAMENTO!$AF$7)/$H674*OFFSET(ORÇAMENTO!$X$15,ROW(AM674)-ROW(AM$15),0),0)</f>
        <v>0</v>
      </c>
      <c r="AN674" s="632">
        <f ca="1">IF(AND($D674="Serviço",AN$12&lt;&gt;0,$H674&gt;0,OR(AUTOEVENTO&lt;&gt;"manual",$M674&lt;&gt;1)),ROUND(OFFSET($P674,0,AN$13),15-13*ORÇAMENTO!$AF$7)/$H674*OFFSET(ORÇAMENTO!$X$15,ROW(AN674)-ROW(AN$15),0),0)</f>
        <v>0</v>
      </c>
      <c r="AO674" s="632">
        <f ca="1">IF(AND($D674="Serviço",AO$12&lt;&gt;0,$H674&gt;0,OR(AUTOEVENTO&lt;&gt;"manual",$M674&lt;&gt;1)),ROUND(OFFSET($P674,0,AO$13),15-13*ORÇAMENTO!$AF$7)/$H674*OFFSET(ORÇAMENTO!$X$15,ROW(AO674)-ROW(AO$15),0),0)</f>
        <v>0</v>
      </c>
      <c r="AP674" s="632">
        <f ca="1">IF(AND($D674="Serviço",AP$12&lt;&gt;0,$H674&gt;0,OR(AUTOEVENTO&lt;&gt;"manual",$M674&lt;&gt;1)),ROUND(OFFSET($P674,0,AP$13),15-13*ORÇAMENTO!$AF$7)/$H674*OFFSET(ORÇAMENTO!$X$15,ROW(AP674)-ROW(AP$15),0),0)</f>
        <v>0</v>
      </c>
      <c r="AQ674" s="632">
        <f ca="1">IF(AND($D674="Serviço",AQ$12&lt;&gt;0,$H674&gt;0,OR(AUTOEVENTO&lt;&gt;"manual",$M674&lt;&gt;1)),ROUND(OFFSET($P674,0,AQ$13),15-13*ORÇAMENTO!$AF$7)/$H674*OFFSET(ORÇAMENTO!$X$15,ROW(AQ674)-ROW(AQ$15),0),0)</f>
        <v>0</v>
      </c>
      <c r="AR674" s="632">
        <f ca="1">IF(AND($D674="Serviço",AR$12&lt;&gt;0,$H674&gt;0,OR(AUTOEVENTO&lt;&gt;"manual",$M674&lt;&gt;1)),ROUND(OFFSET($P674,0,AR$13),15-13*ORÇAMENTO!$AF$7)/$H674*OFFSET(ORÇAMENTO!$X$15,ROW(AR674)-ROW(AR$15),0),0)</f>
        <v>0</v>
      </c>
      <c r="AS674" s="633">
        <f ca="1">IF(AND($D674="Serviço",AS$12&lt;&gt;0,$H674&gt;0,OR(AUTOEVENTO&lt;&gt;"manual",$M674&lt;&gt;1)),ROUND(OFFSET($P674,0,AS$13),15-13*ORÇAMENTO!$AF$7)/$H674*OFFSET(ORÇAMENTO!$X$15,ROW(AS674)-ROW(AS$15),0),0)</f>
        <v>0</v>
      </c>
      <c r="AT674" s="632">
        <f ca="1">IF(AND($D674="Serviço",AT$12&lt;&gt;0,$H674&gt;0,OR(AUTOEVENTO&lt;&gt;"manual",$M674&lt;&gt;1)),ROUND(OFFSET($P674,0,AT$13),15-13*ORÇAMENTO!$AF$7)/$H674*OFFSET(ORÇAMENTO!$X$15,ROW(AT674)-ROW(AT$15),0),0)</f>
        <v>0</v>
      </c>
      <c r="AU674" s="632">
        <f ca="1">IF(AND($D674="Serviço",AU$12&lt;&gt;0,$H674&gt;0,OR(AUTOEVENTO&lt;&gt;"manual",$M674&lt;&gt;1)),ROUND(OFFSET($P674,0,AU$13),15-13*ORÇAMENTO!$AF$7)/$H674*OFFSET(ORÇAMENTO!$X$15,ROW(AU674)-ROW(AU$15),0),0)</f>
        <v>0</v>
      </c>
      <c r="AV674" s="632">
        <f ca="1">IF(AND($D674="Serviço",AV$12&lt;&gt;0,$H674&gt;0,OR(AUTOEVENTO&lt;&gt;"manual",$M674&lt;&gt;1)),ROUND(OFFSET($P674,0,AV$13),15-13*ORÇAMENTO!$AF$7)/$H674*OFFSET(ORÇAMENTO!$X$15,ROW(AV674)-ROW(AV$15),0),0)</f>
        <v>0</v>
      </c>
      <c r="AW674" s="632">
        <f ca="1">IF(AND($D674="Serviço",AW$12&lt;&gt;0,$H674&gt;0,OR(AUTOEVENTO&lt;&gt;"manual",$M674&lt;&gt;1)),ROUND(OFFSET($P674,0,AW$13),15-13*ORÇAMENTO!$AF$7)/$H674*OFFSET(ORÇAMENTO!$X$15,ROW(AW674)-ROW(AW$15),0),0)</f>
        <v>0</v>
      </c>
      <c r="AX674" s="632">
        <f ca="1">IF(AND($D674="Serviço",AX$12&lt;&gt;0,$H674&gt;0,OR(AUTOEVENTO&lt;&gt;"manual",$M674&lt;&gt;1)),ROUND(OFFSET($P674,0,AX$13),15-13*ORÇAMENTO!$AF$7)/$H674*OFFSET(ORÇAMENTO!$X$15,ROW(AX674)-ROW(AX$15),0),0)</f>
        <v>0</v>
      </c>
      <c r="AY674" s="632">
        <f ca="1">IF(AND($D674="Serviço",AY$12&lt;&gt;0,$H674&gt;0,OR(AUTOEVENTO&lt;&gt;"manual",$M674&lt;&gt;1)),ROUND(OFFSET($P674,0,AY$13),15-13*ORÇAMENTO!$AF$7)/$H674*OFFSET(ORÇAMENTO!$X$15,ROW(AY674)-ROW(AY$15),0),0)</f>
        <v>0</v>
      </c>
      <c r="AZ674" s="632">
        <f ca="1">IF(AND($D674="Serviço",AZ$12&lt;&gt;0,$H674&gt;0,OR(AUTOEVENTO&lt;&gt;"manual",$M674&lt;&gt;1)),ROUND(OFFSET($P674,0,AZ$13),15-13*ORÇAMENTO!$AF$7)/$H674*OFFSET(ORÇAMENTO!$X$15,ROW(AZ674)-ROW(AZ$15),0),0)</f>
        <v>0</v>
      </c>
      <c r="BA674" s="633">
        <f ca="1">IF(AND($D674="Serviço",BA$12&lt;&gt;0,$H674&gt;0,OR(AUTOEVENTO&lt;&gt;"manual",$M674&lt;&gt;1)),ROUND(OFFSET($P674,0,BA$13),15-13*ORÇAMENTO!$AF$7)/$H674*OFFSET(ORÇAMENTO!$X$15,ROW(BA674)-ROW(BA$15),0),0)</f>
        <v>0</v>
      </c>
      <c r="BC674" s="215">
        <f ca="1">IF($D674&lt;&gt;"Serviço",0,IF(AND(AUTOEVENTO="Manual",$M674=1),0,IF(OFFSET(CRONOPLE!$F$14,$M674,BC$13)="",10^12,OFFSET(CRONOPLE!$F$14,$M674,BC$13))))</f>
        <v>1000000000000</v>
      </c>
      <c r="BD674" s="215">
        <f ca="1">IF($D674&lt;&gt;"Serviço",0,IF(AND(AUTOEVENTO="Manual",$M674=1),0,IF(OFFSET(CRONOPLE!$F$14,$M674,BD$13)="",10^12,OFFSET(CRONOPLE!$F$14,$M674,BD$13))))</f>
        <v>1000000000000</v>
      </c>
      <c r="BE674" s="215">
        <f ca="1">IF($D674&lt;&gt;"Serviço",0,IF(AND(AUTOEVENTO="Manual",$M674=1),0,IF(OFFSET(CRONOPLE!$F$14,$M674,BE$13)="",10^12,OFFSET(CRONOPLE!$F$14,$M674,BE$13))))</f>
        <v>1000000000000</v>
      </c>
      <c r="BF674" s="215">
        <f ca="1">IF($D674&lt;&gt;"Serviço",0,IF(AND(AUTOEVENTO="Manual",$M674=1),0,IF(OFFSET(CRONOPLE!$F$14,$M674,BF$13)="",10^12,OFFSET(CRONOPLE!$F$14,$M674,BF$13))))</f>
        <v>1000000000000</v>
      </c>
      <c r="BG674" s="215">
        <f ca="1">IF($D674&lt;&gt;"Serviço",0,IF(AND(AUTOEVENTO="Manual",$M674=1),0,IF(OFFSET(CRONOPLE!$F$14,$M674,BG$13)="",10^12,OFFSET(CRONOPLE!$F$14,$M674,BG$13))))</f>
        <v>1000000000000</v>
      </c>
      <c r="BH674" s="215">
        <f ca="1">IF($D674&lt;&gt;"Serviço",0,IF(AND(AUTOEVENTO="Manual",$M674=1),0,IF(OFFSET(CRONOPLE!$F$14,$M674,BH$13)="",10^12,OFFSET(CRONOPLE!$F$14,$M674,BH$13))))</f>
        <v>1000000000000</v>
      </c>
      <c r="BI674" s="215">
        <f ca="1">IF($D674&lt;&gt;"Serviço",0,IF(AND(AUTOEVENTO="Manual",$M674=1),0,IF(OFFSET(CRONOPLE!$F$14,$M674,BI$13)="",10^12,OFFSET(CRONOPLE!$F$14,$M674,BI$13))))</f>
        <v>1000000000000</v>
      </c>
      <c r="BJ674" s="215">
        <f ca="1">IF($D674&lt;&gt;"Serviço",0,IF(AND(AUTOEVENTO="Manual",$M674=1),0,IF(OFFSET(CRONOPLE!$F$14,$M674,BJ$13)="",10^12,OFFSET(CRONOPLE!$F$14,$M674,BJ$13))))</f>
        <v>1000000000000</v>
      </c>
      <c r="BK674" s="215">
        <f ca="1">IF($D674&lt;&gt;"Serviço",0,IF(AND(AUTOEVENTO="Manual",$M674=1),0,IF(OFFSET(CRONOPLE!$F$14,$M674,BK$13)="",10^12,OFFSET(CRONOPLE!$F$14,$M674,BK$13))))</f>
        <v>1000000000000</v>
      </c>
      <c r="BL674" s="215">
        <f ca="1">IF($D674&lt;&gt;"Serviço",0,IF(AND(AUTOEVENTO="Manual",$M674=1),0,IF(OFFSET(CRONOPLE!$F$14,$M674,BL$13)="",10^12,OFFSET(CRONOPLE!$F$14,$M674,BL$13))))</f>
        <v>1000000000000</v>
      </c>
      <c r="BM674" s="215">
        <f ca="1">IF($D674&lt;&gt;"Serviço",0,IF(AND(AUTOEVENTO="Manual",$M674=1),0,IF(OFFSET(CRONOPLE!$F$14,$M674,BM$13)="",10^12,OFFSET(CRONOPLE!$F$14,$M674,BM$13))))</f>
        <v>1000000000000</v>
      </c>
      <c r="BN674" s="215">
        <f ca="1">IF($D674&lt;&gt;"Serviço",0,IF(AND(AUTOEVENTO="Manual",$M674=1),0,IF(OFFSET(CRONOPLE!$F$14,$M674,BN$13)="",10^12,OFFSET(CRONOPLE!$F$14,$M674,BN$13))))</f>
        <v>1000000000000</v>
      </c>
      <c r="BO674" s="215">
        <f ca="1">IF($D674&lt;&gt;"Serviço",0,IF(AND(AUTOEVENTO="Manual",$M674=1),0,IF(OFFSET(CRONOPLE!$F$14,$M674,BO$13)="",10^12,OFFSET(CRONOPLE!$F$14,$M674,BO$13))))</f>
        <v>1000000000000</v>
      </c>
      <c r="BP674" s="215">
        <f ca="1">IF($D674&lt;&gt;"Serviço",0,IF(AND(AUTOEVENTO="Manual",$M674=1),0,IF(OFFSET(CRONOPLE!$F$14,$M674,BP$13)="",10^12,OFFSET(CRONOPLE!$F$14,$M674,BP$13))))</f>
        <v>1000000000000</v>
      </c>
      <c r="BQ674" s="215">
        <f ca="1">IF($D674&lt;&gt;"Serviço",0,IF(AND(AUTOEVENTO="Manual",$M674=1),0,IF(OFFSET(CRONOPLE!$F$14,$M674,BQ$13)="",10^12,OFFSET(CRONOPLE!$F$14,$M674,BQ$13))))</f>
        <v>1000000000000</v>
      </c>
      <c r="BR674" s="215">
        <f ca="1">IF($D674&lt;&gt;"Serviço",0,IF(AND(AUTOEVENTO="Manual",$M674=1),0,IF(OFFSET(CRONOPLE!$F$14,$M674,BR$13)="",10^12,OFFSET(CRONOPLE!$F$14,$M674,BR$13))))</f>
        <v>1000000000000</v>
      </c>
      <c r="BS674" s="215">
        <f ca="1">IF($D674&lt;&gt;"Serviço",0,IF(AND(AUTOEVENTO="Manual",$M674=1),0,IF(OFFSET(CRONOPLE!$F$14,$M674,BS$13)="",10^12,OFFSET(CRONOPLE!$F$14,$M674,BS$13))))</f>
        <v>1000000000000</v>
      </c>
      <c r="BT674" s="215">
        <f ca="1">IF($D674&lt;&gt;"Serviço",0,IF(AND(AUTOEVENTO="Manual",$M674=1),0,IF(OFFSET(CRONOPLE!$F$14,$M674,BT$13)="",10^12,OFFSET(CRONOPLE!$F$14,$M674,BT$13))))</f>
        <v>1000000000000</v>
      </c>
      <c r="BV674" s="216">
        <f ca="1">IF($D674&lt;&gt;"Serviço",0,IF(OR(AND(AUTOEVENTO="Manual",$M674=1),$M674&gt;(ROW(PLE.lastrow)-ROW(PLE.firstrow))),0,IF(OFFSET(PLE!$G$14,$M674,BV$13)="",10^12,OFFSET(PLE!$G$14,$M674,BV$13))))</f>
        <v>1000000000000</v>
      </c>
      <c r="BW674" s="216">
        <f ca="1">IF($D674&lt;&gt;"Serviço",0,IF(OR(AND(AUTOEVENTO="Manual",$M674=1),$M674&gt;(ROW(PLE.lastrow)-ROW(PLE.firstrow))),0,IF(OFFSET(PLE!$G$14,$M674,BW$13)="",10^12,OFFSET(PLE!$G$14,$M674,BW$13))))</f>
        <v>1000000000000</v>
      </c>
      <c r="BX674" s="216">
        <f ca="1">IF($D674&lt;&gt;"Serviço",0,IF(OR(AND(AUTOEVENTO="Manual",$M674=1),$M674&gt;(ROW(PLE.lastrow)-ROW(PLE.firstrow))),0,IF(OFFSET(PLE!$G$14,$M674,BX$13)="",10^12,OFFSET(PLE!$G$14,$M674,BX$13))))</f>
        <v>1000000000000</v>
      </c>
      <c r="BY674" s="216">
        <f ca="1">IF($D674&lt;&gt;"Serviço",0,IF(OR(AND(AUTOEVENTO="Manual",$M674=1),$M674&gt;(ROW(PLE.lastrow)-ROW(PLE.firstrow))),0,IF(OFFSET(PLE!$G$14,$M674,BY$13)="",10^12,OFFSET(PLE!$G$14,$M674,BY$13))))</f>
        <v>1000000000000</v>
      </c>
      <c r="BZ674" s="216">
        <f ca="1">IF($D674&lt;&gt;"Serviço",0,IF(OR(AND(AUTOEVENTO="Manual",$M674=1),$M674&gt;(ROW(PLE.lastrow)-ROW(PLE.firstrow))),0,IF(OFFSET(PLE!$G$14,$M674,BZ$13)="",10^12,OFFSET(PLE!$G$14,$M674,BZ$13))))</f>
        <v>1000000000000</v>
      </c>
      <c r="CA674" s="216">
        <f ca="1">IF($D674&lt;&gt;"Serviço",0,IF(OR(AND(AUTOEVENTO="Manual",$M674=1),$M674&gt;(ROW(PLE.lastrow)-ROW(PLE.firstrow))),0,IF(OFFSET(PLE!$G$14,$M674,CA$13)="",10^12,OFFSET(PLE!$G$14,$M674,CA$13))))</f>
        <v>1000000000000</v>
      </c>
      <c r="CB674" s="216">
        <f ca="1">IF($D674&lt;&gt;"Serviço",0,IF(OR(AND(AUTOEVENTO="Manual",$M674=1),$M674&gt;(ROW(PLE.lastrow)-ROW(PLE.firstrow))),0,IF(OFFSET(PLE!$G$14,$M674,CB$13)="",10^12,OFFSET(PLE!$G$14,$M674,CB$13))))</f>
        <v>1000000000000</v>
      </c>
      <c r="CC674" s="216">
        <f ca="1">IF($D674&lt;&gt;"Serviço",0,IF(OR(AND(AUTOEVENTO="Manual",$M674=1),$M674&gt;(ROW(PLE.lastrow)-ROW(PLE.firstrow))),0,IF(OFFSET(PLE!$G$14,$M674,CC$13)="",10^12,OFFSET(PLE!$G$14,$M674,CC$13))))</f>
        <v>1000000000000</v>
      </c>
      <c r="CD674" s="216">
        <f ca="1">IF($D674&lt;&gt;"Serviço",0,IF(OR(AND(AUTOEVENTO="Manual",$M674=1),$M674&gt;(ROW(PLE.lastrow)-ROW(PLE.firstrow))),0,IF(OFFSET(PLE!$G$14,$M674,CD$13)="",10^12,OFFSET(PLE!$G$14,$M674,CD$13))))</f>
        <v>1000000000000</v>
      </c>
      <c r="CE674" s="216">
        <f ca="1">IF($D674&lt;&gt;"Serviço",0,IF(OR(AND(AUTOEVENTO="Manual",$M674=1),$M674&gt;(ROW(PLE.lastrow)-ROW(PLE.firstrow))),0,IF(OFFSET(PLE!$G$14,$M674,CE$13)="",10^12,OFFSET(PLE!$G$14,$M674,CE$13))))</f>
        <v>1000000000000</v>
      </c>
      <c r="CF674" s="216">
        <f ca="1">IF($D674&lt;&gt;"Serviço",0,IF(OR(AND(AUTOEVENTO="Manual",$M674=1),$M674&gt;(ROW(PLE.lastrow)-ROW(PLE.firstrow))),0,IF(OFFSET(PLE!$G$14,$M674,CF$13)="",10^12,OFFSET(PLE!$G$14,$M674,CF$13))))</f>
        <v>1000000000000</v>
      </c>
      <c r="CG674" s="216">
        <f ca="1">IF($D674&lt;&gt;"Serviço",0,IF(OR(AND(AUTOEVENTO="Manual",$M674=1),$M674&gt;(ROW(PLE.lastrow)-ROW(PLE.firstrow))),0,IF(OFFSET(PLE!$G$14,$M674,CG$13)="",10^12,OFFSET(PLE!$G$14,$M674,CG$13))))</f>
        <v>1000000000000</v>
      </c>
      <c r="CH674" s="216">
        <f ca="1">IF($D674&lt;&gt;"Serviço",0,IF(OR(AND(AUTOEVENTO="Manual",$M674=1),$M674&gt;(ROW(PLE.lastrow)-ROW(PLE.firstrow))),0,IF(OFFSET(PLE!$G$14,$M674,CH$13)="",10^12,OFFSET(PLE!$G$14,$M674,CH$13))))</f>
        <v>1000000000000</v>
      </c>
      <c r="CI674" s="216">
        <f ca="1">IF($D674&lt;&gt;"Serviço",0,IF(OR(AND(AUTOEVENTO="Manual",$M674=1),$M674&gt;(ROW(PLE.lastrow)-ROW(PLE.firstrow))),0,IF(OFFSET(PLE!$G$14,$M674,CI$13)="",10^12,OFFSET(PLE!$G$14,$M674,CI$13))))</f>
        <v>1000000000000</v>
      </c>
      <c r="CJ674" s="216">
        <f ca="1">IF($D674&lt;&gt;"Serviço",0,IF(OR(AND(AUTOEVENTO="Manual",$M674=1),$M674&gt;(ROW(PLE.lastrow)-ROW(PLE.firstrow))),0,IF(OFFSET(PLE!$G$14,$M674,CJ$13)="",10^12,OFFSET(PLE!$G$14,$M674,CJ$13))))</f>
        <v>1000000000000</v>
      </c>
      <c r="CK674" s="216">
        <f ca="1">IF($D674&lt;&gt;"Serviço",0,IF(OR(AND(AUTOEVENTO="Manual",$M674=1),$M674&gt;(ROW(PLE.lastrow)-ROW(PLE.firstrow))),0,IF(OFFSET(PLE!$G$14,$M674,CK$13)="",10^12,OFFSET(PLE!$G$14,$M674,CK$13))))</f>
        <v>1000000000000</v>
      </c>
      <c r="CL674" s="216">
        <f ca="1">IF($D674&lt;&gt;"Serviço",0,IF(OR(AND(AUTOEVENTO="Manual",$M674=1),$M674&gt;(ROW(PLE.lastrow)-ROW(PLE.firstrow))),0,IF(OFFSET(PLE!$G$14,$M674,CL$13)="",10^12,OFFSET(PLE!$G$14,$M674,CL$13))))</f>
        <v>1000000000000</v>
      </c>
      <c r="CM674" s="216">
        <f ca="1">IF($D674&lt;&gt;"Serviço",0,IF(OR(AND(AUTOEVENTO="Manual",$M674=1),$M674&gt;(ROW(PLE.lastrow)-ROW(PLE.firstrow))),0,IF(OFFSET(PLE!$G$14,$M674,CM$13)="",10^12,OFFSET(PLE!$G$14,$M674,CM$13))))</f>
        <v>1000000000000</v>
      </c>
    </row>
    <row r="675" spans="1:91" ht="13.2" x14ac:dyDescent="0.25">
      <c r="A675" s="9">
        <f t="shared" ca="1" si="20"/>
        <v>0</v>
      </c>
      <c r="B675" s="9" t="str">
        <f ca="1">OFFSET(ORÇAMENTO!C$15,ROW(B675)-ROW(B$15),0)</f>
        <v>S</v>
      </c>
      <c r="C675" s="9" t="str">
        <f ca="1">OFFSET(ORÇAMENTO!L$15,ROW(C675)-ROW(C$15),0)</f>
        <v/>
      </c>
      <c r="D675" s="145" t="str">
        <f ca="1">OFFSET(ORÇAMENTO!N$15,ROW(D675)-ROW(D$15),0)</f>
        <v>Serviço</v>
      </c>
      <c r="E675" s="205" t="str">
        <f ca="1">OFFSET(ORÇAMENTO!O$15,ROW(E675)-ROW(E$15),0)</f>
        <v>-</v>
      </c>
      <c r="F675" s="206" t="str">
        <f ca="1">OFFSET(ORÇAMENTO!R$15,ROW(F675)-ROW(F$15),0)</f>
        <v>(abra o arquivo 'Referência 05-2024.xls)</v>
      </c>
      <c r="G675" s="207" t="str">
        <f ca="1">IF($D675&lt;&gt;"Serviço","",OFFSET(ORÇAMENTO!S$15,ROW(G675)-ROW(G$15),0))</f>
        <v>-</v>
      </c>
      <c r="H675" s="151">
        <f ca="1">IF($D675&lt;&gt;"Serviço",0,IF(ACOMPANHAMENTO="BM",ROUND(OFFSET(ORÇAMENTO!AJ$15,ROW(H675)-ROW(H$15),0),15-13*ORÇAMENTO!$AF$7),SUMPRODUCT(($Q$12:$AI$12&lt;&gt;"")*ROUND($Q675:$AI675,15-13*ORÇAMENTO!$AF$7))))</f>
        <v>25</v>
      </c>
      <c r="I675" s="650"/>
      <c r="K675" s="208"/>
      <c r="L675" s="209" t="s">
        <v>257</v>
      </c>
      <c r="M675" s="210">
        <f ca="1">IF($D675&lt;&gt;"Serviço","",IF(AUTOEVENTO="manual",$A675,IF(ISERROR(MATCH($A675,$A$15:OFFSET($A675,-1,0),0)),MAX($M$15:OFFSET(M675,-1,0))+1,INDEX($M$15:OFFSET(M675,-1,0),MATCH($A675,$A$15:OFFSET($A675,-1,0),0)))))</f>
        <v>0</v>
      </c>
      <c r="N675" s="211" t="str">
        <f ca="1">IF($D675&lt;&gt;"Serviço","",IF(AUTOEVENTO="Manual",IF($A675=0,"&lt;-- defina o número do agrupador",OFFSET(EVENTOS!$D$14,$A675,0)),OFFSET($F$15,$A675,0)))</f>
        <v>&lt;-- defina o número do agrupador</v>
      </c>
      <c r="O675" s="212"/>
      <c r="Q675" s="212"/>
      <c r="R675" s="213"/>
      <c r="S675" s="213"/>
      <c r="T675" s="213"/>
      <c r="U675" s="213"/>
      <c r="V675" s="213"/>
      <c r="W675" s="213"/>
      <c r="X675" s="213"/>
      <c r="Y675" s="213"/>
      <c r="Z675" s="214"/>
      <c r="AA675" s="213"/>
      <c r="AB675" s="213"/>
      <c r="AC675" s="213"/>
      <c r="AD675" s="213"/>
      <c r="AE675" s="213"/>
      <c r="AF675" s="213"/>
      <c r="AG675" s="213"/>
      <c r="AH675" s="214"/>
      <c r="AJ675" s="631">
        <f ca="1">IF(AND($D675="Serviço",AJ$12&lt;&gt;0,$H675&gt;0,OR(AUTOEVENTO&lt;&gt;"manual",$M675&lt;&gt;1)),ROUND(OFFSET($P675,0,AJ$13),15-13*ORÇAMENTO!$AF$7)/$H675*OFFSET(ORÇAMENTO!$X$15,ROW(AJ675)-ROW(AJ$15),0),0)</f>
        <v>0</v>
      </c>
      <c r="AK675" s="632">
        <f ca="1">IF(AND($D675="Serviço",AK$12&lt;&gt;0,$H675&gt;0,OR(AUTOEVENTO&lt;&gt;"manual",$M675&lt;&gt;1)),ROUND(OFFSET($P675,0,AK$13),15-13*ORÇAMENTO!$AF$7)/$H675*OFFSET(ORÇAMENTO!$X$15,ROW(AK675)-ROW(AK$15),0),0)</f>
        <v>0</v>
      </c>
      <c r="AL675" s="632">
        <f ca="1">IF(AND($D675="Serviço",AL$12&lt;&gt;0,$H675&gt;0,OR(AUTOEVENTO&lt;&gt;"manual",$M675&lt;&gt;1)),ROUND(OFFSET($P675,0,AL$13),15-13*ORÇAMENTO!$AF$7)/$H675*OFFSET(ORÇAMENTO!$X$15,ROW(AL675)-ROW(AL$15),0),0)</f>
        <v>0</v>
      </c>
      <c r="AM675" s="632">
        <f ca="1">IF(AND($D675="Serviço",AM$12&lt;&gt;0,$H675&gt;0,OR(AUTOEVENTO&lt;&gt;"manual",$M675&lt;&gt;1)),ROUND(OFFSET($P675,0,AM$13),15-13*ORÇAMENTO!$AF$7)/$H675*OFFSET(ORÇAMENTO!$X$15,ROW(AM675)-ROW(AM$15),0),0)</f>
        <v>0</v>
      </c>
      <c r="AN675" s="632">
        <f ca="1">IF(AND($D675="Serviço",AN$12&lt;&gt;0,$H675&gt;0,OR(AUTOEVENTO&lt;&gt;"manual",$M675&lt;&gt;1)),ROUND(OFFSET($P675,0,AN$13),15-13*ORÇAMENTO!$AF$7)/$H675*OFFSET(ORÇAMENTO!$X$15,ROW(AN675)-ROW(AN$15),0),0)</f>
        <v>0</v>
      </c>
      <c r="AO675" s="632">
        <f ca="1">IF(AND($D675="Serviço",AO$12&lt;&gt;0,$H675&gt;0,OR(AUTOEVENTO&lt;&gt;"manual",$M675&lt;&gt;1)),ROUND(OFFSET($P675,0,AO$13),15-13*ORÇAMENTO!$AF$7)/$H675*OFFSET(ORÇAMENTO!$X$15,ROW(AO675)-ROW(AO$15),0),0)</f>
        <v>0</v>
      </c>
      <c r="AP675" s="632">
        <f ca="1">IF(AND($D675="Serviço",AP$12&lt;&gt;0,$H675&gt;0,OR(AUTOEVENTO&lt;&gt;"manual",$M675&lt;&gt;1)),ROUND(OFFSET($P675,0,AP$13),15-13*ORÇAMENTO!$AF$7)/$H675*OFFSET(ORÇAMENTO!$X$15,ROW(AP675)-ROW(AP$15),0),0)</f>
        <v>0</v>
      </c>
      <c r="AQ675" s="632">
        <f ca="1">IF(AND($D675="Serviço",AQ$12&lt;&gt;0,$H675&gt;0,OR(AUTOEVENTO&lt;&gt;"manual",$M675&lt;&gt;1)),ROUND(OFFSET($P675,0,AQ$13),15-13*ORÇAMENTO!$AF$7)/$H675*OFFSET(ORÇAMENTO!$X$15,ROW(AQ675)-ROW(AQ$15),0),0)</f>
        <v>0</v>
      </c>
      <c r="AR675" s="632">
        <f ca="1">IF(AND($D675="Serviço",AR$12&lt;&gt;0,$H675&gt;0,OR(AUTOEVENTO&lt;&gt;"manual",$M675&lt;&gt;1)),ROUND(OFFSET($P675,0,AR$13),15-13*ORÇAMENTO!$AF$7)/$H675*OFFSET(ORÇAMENTO!$X$15,ROW(AR675)-ROW(AR$15),0),0)</f>
        <v>0</v>
      </c>
      <c r="AS675" s="633">
        <f ca="1">IF(AND($D675="Serviço",AS$12&lt;&gt;0,$H675&gt;0,OR(AUTOEVENTO&lt;&gt;"manual",$M675&lt;&gt;1)),ROUND(OFFSET($P675,0,AS$13),15-13*ORÇAMENTO!$AF$7)/$H675*OFFSET(ORÇAMENTO!$X$15,ROW(AS675)-ROW(AS$15),0),0)</f>
        <v>0</v>
      </c>
      <c r="AT675" s="632">
        <f ca="1">IF(AND($D675="Serviço",AT$12&lt;&gt;0,$H675&gt;0,OR(AUTOEVENTO&lt;&gt;"manual",$M675&lt;&gt;1)),ROUND(OFFSET($P675,0,AT$13),15-13*ORÇAMENTO!$AF$7)/$H675*OFFSET(ORÇAMENTO!$X$15,ROW(AT675)-ROW(AT$15),0),0)</f>
        <v>0</v>
      </c>
      <c r="AU675" s="632">
        <f ca="1">IF(AND($D675="Serviço",AU$12&lt;&gt;0,$H675&gt;0,OR(AUTOEVENTO&lt;&gt;"manual",$M675&lt;&gt;1)),ROUND(OFFSET($P675,0,AU$13),15-13*ORÇAMENTO!$AF$7)/$H675*OFFSET(ORÇAMENTO!$X$15,ROW(AU675)-ROW(AU$15),0),0)</f>
        <v>0</v>
      </c>
      <c r="AV675" s="632">
        <f ca="1">IF(AND($D675="Serviço",AV$12&lt;&gt;0,$H675&gt;0,OR(AUTOEVENTO&lt;&gt;"manual",$M675&lt;&gt;1)),ROUND(OFFSET($P675,0,AV$13),15-13*ORÇAMENTO!$AF$7)/$H675*OFFSET(ORÇAMENTO!$X$15,ROW(AV675)-ROW(AV$15),0),0)</f>
        <v>0</v>
      </c>
      <c r="AW675" s="632">
        <f ca="1">IF(AND($D675="Serviço",AW$12&lt;&gt;0,$H675&gt;0,OR(AUTOEVENTO&lt;&gt;"manual",$M675&lt;&gt;1)),ROUND(OFFSET($P675,0,AW$13),15-13*ORÇAMENTO!$AF$7)/$H675*OFFSET(ORÇAMENTO!$X$15,ROW(AW675)-ROW(AW$15),0),0)</f>
        <v>0</v>
      </c>
      <c r="AX675" s="632">
        <f ca="1">IF(AND($D675="Serviço",AX$12&lt;&gt;0,$H675&gt;0,OR(AUTOEVENTO&lt;&gt;"manual",$M675&lt;&gt;1)),ROUND(OFFSET($P675,0,AX$13),15-13*ORÇAMENTO!$AF$7)/$H675*OFFSET(ORÇAMENTO!$X$15,ROW(AX675)-ROW(AX$15),0),0)</f>
        <v>0</v>
      </c>
      <c r="AY675" s="632">
        <f ca="1">IF(AND($D675="Serviço",AY$12&lt;&gt;0,$H675&gt;0,OR(AUTOEVENTO&lt;&gt;"manual",$M675&lt;&gt;1)),ROUND(OFFSET($P675,0,AY$13),15-13*ORÇAMENTO!$AF$7)/$H675*OFFSET(ORÇAMENTO!$X$15,ROW(AY675)-ROW(AY$15),0),0)</f>
        <v>0</v>
      </c>
      <c r="AZ675" s="632">
        <f ca="1">IF(AND($D675="Serviço",AZ$12&lt;&gt;0,$H675&gt;0,OR(AUTOEVENTO&lt;&gt;"manual",$M675&lt;&gt;1)),ROUND(OFFSET($P675,0,AZ$13),15-13*ORÇAMENTO!$AF$7)/$H675*OFFSET(ORÇAMENTO!$X$15,ROW(AZ675)-ROW(AZ$15),0),0)</f>
        <v>0</v>
      </c>
      <c r="BA675" s="633">
        <f ca="1">IF(AND($D675="Serviço",BA$12&lt;&gt;0,$H675&gt;0,OR(AUTOEVENTO&lt;&gt;"manual",$M675&lt;&gt;1)),ROUND(OFFSET($P675,0,BA$13),15-13*ORÇAMENTO!$AF$7)/$H675*OFFSET(ORÇAMENTO!$X$15,ROW(BA675)-ROW(BA$15),0),0)</f>
        <v>0</v>
      </c>
      <c r="BC675" s="215">
        <f ca="1">IF($D675&lt;&gt;"Serviço",0,IF(AND(AUTOEVENTO="Manual",$M675=1),0,IF(OFFSET(CRONOPLE!$F$14,$M675,BC$13)="",10^12,OFFSET(CRONOPLE!$F$14,$M675,BC$13))))</f>
        <v>1000000000000</v>
      </c>
      <c r="BD675" s="215">
        <f ca="1">IF($D675&lt;&gt;"Serviço",0,IF(AND(AUTOEVENTO="Manual",$M675=1),0,IF(OFFSET(CRONOPLE!$F$14,$M675,BD$13)="",10^12,OFFSET(CRONOPLE!$F$14,$M675,BD$13))))</f>
        <v>1000000000000</v>
      </c>
      <c r="BE675" s="215">
        <f ca="1">IF($D675&lt;&gt;"Serviço",0,IF(AND(AUTOEVENTO="Manual",$M675=1),0,IF(OFFSET(CRONOPLE!$F$14,$M675,BE$13)="",10^12,OFFSET(CRONOPLE!$F$14,$M675,BE$13))))</f>
        <v>1000000000000</v>
      </c>
      <c r="BF675" s="215">
        <f ca="1">IF($D675&lt;&gt;"Serviço",0,IF(AND(AUTOEVENTO="Manual",$M675=1),0,IF(OFFSET(CRONOPLE!$F$14,$M675,BF$13)="",10^12,OFFSET(CRONOPLE!$F$14,$M675,BF$13))))</f>
        <v>1000000000000</v>
      </c>
      <c r="BG675" s="215">
        <f ca="1">IF($D675&lt;&gt;"Serviço",0,IF(AND(AUTOEVENTO="Manual",$M675=1),0,IF(OFFSET(CRONOPLE!$F$14,$M675,BG$13)="",10^12,OFFSET(CRONOPLE!$F$14,$M675,BG$13))))</f>
        <v>1000000000000</v>
      </c>
      <c r="BH675" s="215">
        <f ca="1">IF($D675&lt;&gt;"Serviço",0,IF(AND(AUTOEVENTO="Manual",$M675=1),0,IF(OFFSET(CRONOPLE!$F$14,$M675,BH$13)="",10^12,OFFSET(CRONOPLE!$F$14,$M675,BH$13))))</f>
        <v>1000000000000</v>
      </c>
      <c r="BI675" s="215">
        <f ca="1">IF($D675&lt;&gt;"Serviço",0,IF(AND(AUTOEVENTO="Manual",$M675=1),0,IF(OFFSET(CRONOPLE!$F$14,$M675,BI$13)="",10^12,OFFSET(CRONOPLE!$F$14,$M675,BI$13))))</f>
        <v>1000000000000</v>
      </c>
      <c r="BJ675" s="215">
        <f ca="1">IF($D675&lt;&gt;"Serviço",0,IF(AND(AUTOEVENTO="Manual",$M675=1),0,IF(OFFSET(CRONOPLE!$F$14,$M675,BJ$13)="",10^12,OFFSET(CRONOPLE!$F$14,$M675,BJ$13))))</f>
        <v>1000000000000</v>
      </c>
      <c r="BK675" s="215">
        <f ca="1">IF($D675&lt;&gt;"Serviço",0,IF(AND(AUTOEVENTO="Manual",$M675=1),0,IF(OFFSET(CRONOPLE!$F$14,$M675,BK$13)="",10^12,OFFSET(CRONOPLE!$F$14,$M675,BK$13))))</f>
        <v>1000000000000</v>
      </c>
      <c r="BL675" s="215">
        <f ca="1">IF($D675&lt;&gt;"Serviço",0,IF(AND(AUTOEVENTO="Manual",$M675=1),0,IF(OFFSET(CRONOPLE!$F$14,$M675,BL$13)="",10^12,OFFSET(CRONOPLE!$F$14,$M675,BL$13))))</f>
        <v>1000000000000</v>
      </c>
      <c r="BM675" s="215">
        <f ca="1">IF($D675&lt;&gt;"Serviço",0,IF(AND(AUTOEVENTO="Manual",$M675=1),0,IF(OFFSET(CRONOPLE!$F$14,$M675,BM$13)="",10^12,OFFSET(CRONOPLE!$F$14,$M675,BM$13))))</f>
        <v>1000000000000</v>
      </c>
      <c r="BN675" s="215">
        <f ca="1">IF($D675&lt;&gt;"Serviço",0,IF(AND(AUTOEVENTO="Manual",$M675=1),0,IF(OFFSET(CRONOPLE!$F$14,$M675,BN$13)="",10^12,OFFSET(CRONOPLE!$F$14,$M675,BN$13))))</f>
        <v>1000000000000</v>
      </c>
      <c r="BO675" s="215">
        <f ca="1">IF($D675&lt;&gt;"Serviço",0,IF(AND(AUTOEVENTO="Manual",$M675=1),0,IF(OFFSET(CRONOPLE!$F$14,$M675,BO$13)="",10^12,OFFSET(CRONOPLE!$F$14,$M675,BO$13))))</f>
        <v>1000000000000</v>
      </c>
      <c r="BP675" s="215">
        <f ca="1">IF($D675&lt;&gt;"Serviço",0,IF(AND(AUTOEVENTO="Manual",$M675=1),0,IF(OFFSET(CRONOPLE!$F$14,$M675,BP$13)="",10^12,OFFSET(CRONOPLE!$F$14,$M675,BP$13))))</f>
        <v>1000000000000</v>
      </c>
      <c r="BQ675" s="215">
        <f ca="1">IF($D675&lt;&gt;"Serviço",0,IF(AND(AUTOEVENTO="Manual",$M675=1),0,IF(OFFSET(CRONOPLE!$F$14,$M675,BQ$13)="",10^12,OFFSET(CRONOPLE!$F$14,$M675,BQ$13))))</f>
        <v>1000000000000</v>
      </c>
      <c r="BR675" s="215">
        <f ca="1">IF($D675&lt;&gt;"Serviço",0,IF(AND(AUTOEVENTO="Manual",$M675=1),0,IF(OFFSET(CRONOPLE!$F$14,$M675,BR$13)="",10^12,OFFSET(CRONOPLE!$F$14,$M675,BR$13))))</f>
        <v>1000000000000</v>
      </c>
      <c r="BS675" s="215">
        <f ca="1">IF($D675&lt;&gt;"Serviço",0,IF(AND(AUTOEVENTO="Manual",$M675=1),0,IF(OFFSET(CRONOPLE!$F$14,$M675,BS$13)="",10^12,OFFSET(CRONOPLE!$F$14,$M675,BS$13))))</f>
        <v>1000000000000</v>
      </c>
      <c r="BT675" s="215">
        <f ca="1">IF($D675&lt;&gt;"Serviço",0,IF(AND(AUTOEVENTO="Manual",$M675=1),0,IF(OFFSET(CRONOPLE!$F$14,$M675,BT$13)="",10^12,OFFSET(CRONOPLE!$F$14,$M675,BT$13))))</f>
        <v>1000000000000</v>
      </c>
      <c r="BV675" s="216">
        <f ca="1">IF($D675&lt;&gt;"Serviço",0,IF(OR(AND(AUTOEVENTO="Manual",$M675=1),$M675&gt;(ROW(PLE.lastrow)-ROW(PLE.firstrow))),0,IF(OFFSET(PLE!$G$14,$M675,BV$13)="",10^12,OFFSET(PLE!$G$14,$M675,BV$13))))</f>
        <v>1000000000000</v>
      </c>
      <c r="BW675" s="216">
        <f ca="1">IF($D675&lt;&gt;"Serviço",0,IF(OR(AND(AUTOEVENTO="Manual",$M675=1),$M675&gt;(ROW(PLE.lastrow)-ROW(PLE.firstrow))),0,IF(OFFSET(PLE!$G$14,$M675,BW$13)="",10^12,OFFSET(PLE!$G$14,$M675,BW$13))))</f>
        <v>1000000000000</v>
      </c>
      <c r="BX675" s="216">
        <f ca="1">IF($D675&lt;&gt;"Serviço",0,IF(OR(AND(AUTOEVENTO="Manual",$M675=1),$M675&gt;(ROW(PLE.lastrow)-ROW(PLE.firstrow))),0,IF(OFFSET(PLE!$G$14,$M675,BX$13)="",10^12,OFFSET(PLE!$G$14,$M675,BX$13))))</f>
        <v>1000000000000</v>
      </c>
      <c r="BY675" s="216">
        <f ca="1">IF($D675&lt;&gt;"Serviço",0,IF(OR(AND(AUTOEVENTO="Manual",$M675=1),$M675&gt;(ROW(PLE.lastrow)-ROW(PLE.firstrow))),0,IF(OFFSET(PLE!$G$14,$M675,BY$13)="",10^12,OFFSET(PLE!$G$14,$M675,BY$13))))</f>
        <v>1000000000000</v>
      </c>
      <c r="BZ675" s="216">
        <f ca="1">IF($D675&lt;&gt;"Serviço",0,IF(OR(AND(AUTOEVENTO="Manual",$M675=1),$M675&gt;(ROW(PLE.lastrow)-ROW(PLE.firstrow))),0,IF(OFFSET(PLE!$G$14,$M675,BZ$13)="",10^12,OFFSET(PLE!$G$14,$M675,BZ$13))))</f>
        <v>1000000000000</v>
      </c>
      <c r="CA675" s="216">
        <f ca="1">IF($D675&lt;&gt;"Serviço",0,IF(OR(AND(AUTOEVENTO="Manual",$M675=1),$M675&gt;(ROW(PLE.lastrow)-ROW(PLE.firstrow))),0,IF(OFFSET(PLE!$G$14,$M675,CA$13)="",10^12,OFFSET(PLE!$G$14,$M675,CA$13))))</f>
        <v>1000000000000</v>
      </c>
      <c r="CB675" s="216">
        <f ca="1">IF($D675&lt;&gt;"Serviço",0,IF(OR(AND(AUTOEVENTO="Manual",$M675=1),$M675&gt;(ROW(PLE.lastrow)-ROW(PLE.firstrow))),0,IF(OFFSET(PLE!$G$14,$M675,CB$13)="",10^12,OFFSET(PLE!$G$14,$M675,CB$13))))</f>
        <v>1000000000000</v>
      </c>
      <c r="CC675" s="216">
        <f ca="1">IF($D675&lt;&gt;"Serviço",0,IF(OR(AND(AUTOEVENTO="Manual",$M675=1),$M675&gt;(ROW(PLE.lastrow)-ROW(PLE.firstrow))),0,IF(OFFSET(PLE!$G$14,$M675,CC$13)="",10^12,OFFSET(PLE!$G$14,$M675,CC$13))))</f>
        <v>1000000000000</v>
      </c>
      <c r="CD675" s="216">
        <f ca="1">IF($D675&lt;&gt;"Serviço",0,IF(OR(AND(AUTOEVENTO="Manual",$M675=1),$M675&gt;(ROW(PLE.lastrow)-ROW(PLE.firstrow))),0,IF(OFFSET(PLE!$G$14,$M675,CD$13)="",10^12,OFFSET(PLE!$G$14,$M675,CD$13))))</f>
        <v>1000000000000</v>
      </c>
      <c r="CE675" s="216">
        <f ca="1">IF($D675&lt;&gt;"Serviço",0,IF(OR(AND(AUTOEVENTO="Manual",$M675=1),$M675&gt;(ROW(PLE.lastrow)-ROW(PLE.firstrow))),0,IF(OFFSET(PLE!$G$14,$M675,CE$13)="",10^12,OFFSET(PLE!$G$14,$M675,CE$13))))</f>
        <v>1000000000000</v>
      </c>
      <c r="CF675" s="216">
        <f ca="1">IF($D675&lt;&gt;"Serviço",0,IF(OR(AND(AUTOEVENTO="Manual",$M675=1),$M675&gt;(ROW(PLE.lastrow)-ROW(PLE.firstrow))),0,IF(OFFSET(PLE!$G$14,$M675,CF$13)="",10^12,OFFSET(PLE!$G$14,$M675,CF$13))))</f>
        <v>1000000000000</v>
      </c>
      <c r="CG675" s="216">
        <f ca="1">IF($D675&lt;&gt;"Serviço",0,IF(OR(AND(AUTOEVENTO="Manual",$M675=1),$M675&gt;(ROW(PLE.lastrow)-ROW(PLE.firstrow))),0,IF(OFFSET(PLE!$G$14,$M675,CG$13)="",10^12,OFFSET(PLE!$G$14,$M675,CG$13))))</f>
        <v>1000000000000</v>
      </c>
      <c r="CH675" s="216">
        <f ca="1">IF($D675&lt;&gt;"Serviço",0,IF(OR(AND(AUTOEVENTO="Manual",$M675=1),$M675&gt;(ROW(PLE.lastrow)-ROW(PLE.firstrow))),0,IF(OFFSET(PLE!$G$14,$M675,CH$13)="",10^12,OFFSET(PLE!$G$14,$M675,CH$13))))</f>
        <v>1000000000000</v>
      </c>
      <c r="CI675" s="216">
        <f ca="1">IF($D675&lt;&gt;"Serviço",0,IF(OR(AND(AUTOEVENTO="Manual",$M675=1),$M675&gt;(ROW(PLE.lastrow)-ROW(PLE.firstrow))),0,IF(OFFSET(PLE!$G$14,$M675,CI$13)="",10^12,OFFSET(PLE!$G$14,$M675,CI$13))))</f>
        <v>1000000000000</v>
      </c>
      <c r="CJ675" s="216">
        <f ca="1">IF($D675&lt;&gt;"Serviço",0,IF(OR(AND(AUTOEVENTO="Manual",$M675=1),$M675&gt;(ROW(PLE.lastrow)-ROW(PLE.firstrow))),0,IF(OFFSET(PLE!$G$14,$M675,CJ$13)="",10^12,OFFSET(PLE!$G$14,$M675,CJ$13))))</f>
        <v>1000000000000</v>
      </c>
      <c r="CK675" s="216">
        <f ca="1">IF($D675&lt;&gt;"Serviço",0,IF(OR(AND(AUTOEVENTO="Manual",$M675=1),$M675&gt;(ROW(PLE.lastrow)-ROW(PLE.firstrow))),0,IF(OFFSET(PLE!$G$14,$M675,CK$13)="",10^12,OFFSET(PLE!$G$14,$M675,CK$13))))</f>
        <v>1000000000000</v>
      </c>
      <c r="CL675" s="216">
        <f ca="1">IF($D675&lt;&gt;"Serviço",0,IF(OR(AND(AUTOEVENTO="Manual",$M675=1),$M675&gt;(ROW(PLE.lastrow)-ROW(PLE.firstrow))),0,IF(OFFSET(PLE!$G$14,$M675,CL$13)="",10^12,OFFSET(PLE!$G$14,$M675,CL$13))))</f>
        <v>1000000000000</v>
      </c>
      <c r="CM675" s="216">
        <f ca="1">IF($D675&lt;&gt;"Serviço",0,IF(OR(AND(AUTOEVENTO="Manual",$M675=1),$M675&gt;(ROW(PLE.lastrow)-ROW(PLE.firstrow))),0,IF(OFFSET(PLE!$G$14,$M675,CM$13)="",10^12,OFFSET(PLE!$G$14,$M675,CM$13))))</f>
        <v>1000000000000</v>
      </c>
    </row>
    <row r="676" spans="1:91" ht="13.2" x14ac:dyDescent="0.25">
      <c r="A676" s="9">
        <f t="shared" ca="1" si="20"/>
        <v>0</v>
      </c>
      <c r="B676" s="9" t="str">
        <f ca="1">OFFSET(ORÇAMENTO!C$15,ROW(B676)-ROW(B$15),0)</f>
        <v>S</v>
      </c>
      <c r="C676" s="9" t="str">
        <f ca="1">OFFSET(ORÇAMENTO!L$15,ROW(C676)-ROW(C$15),0)</f>
        <v/>
      </c>
      <c r="D676" s="145" t="str">
        <f ca="1">OFFSET(ORÇAMENTO!N$15,ROW(D676)-ROW(D$15),0)</f>
        <v>Serviço</v>
      </c>
      <c r="E676" s="205" t="str">
        <f ca="1">OFFSET(ORÇAMENTO!O$15,ROW(E676)-ROW(E$15),0)</f>
        <v>-</v>
      </c>
      <c r="F676" s="206" t="str">
        <f ca="1">OFFSET(ORÇAMENTO!R$15,ROW(F676)-ROW(F$15),0)</f>
        <v>(abra o arquivo 'Referência 05-2024.xls)</v>
      </c>
      <c r="G676" s="207" t="str">
        <f ca="1">IF($D676&lt;&gt;"Serviço","",OFFSET(ORÇAMENTO!S$15,ROW(G676)-ROW(G$15),0))</f>
        <v>-</v>
      </c>
      <c r="H676" s="151">
        <f ca="1">IF($D676&lt;&gt;"Serviço",0,IF(ACOMPANHAMENTO="BM",ROUND(OFFSET(ORÇAMENTO!AJ$15,ROW(H676)-ROW(H$15),0),15-13*ORÇAMENTO!$AF$7),SUMPRODUCT(($Q$12:$AI$12&lt;&gt;"")*ROUND($Q676:$AI676,15-13*ORÇAMENTO!$AF$7))))</f>
        <v>6</v>
      </c>
      <c r="I676" s="650"/>
      <c r="K676" s="208"/>
      <c r="L676" s="209" t="s">
        <v>257</v>
      </c>
      <c r="M676" s="210">
        <f ca="1">IF($D676&lt;&gt;"Serviço","",IF(AUTOEVENTO="manual",$A676,IF(ISERROR(MATCH($A676,$A$15:OFFSET($A676,-1,0),0)),MAX($M$15:OFFSET(M676,-1,0))+1,INDEX($M$15:OFFSET(M676,-1,0),MATCH($A676,$A$15:OFFSET($A676,-1,0),0)))))</f>
        <v>0</v>
      </c>
      <c r="N676" s="211" t="str">
        <f ca="1">IF($D676&lt;&gt;"Serviço","",IF(AUTOEVENTO="Manual",IF($A676=0,"&lt;-- defina o número do agrupador",OFFSET(EVENTOS!$D$14,$A676,0)),OFFSET($F$15,$A676,0)))</f>
        <v>&lt;-- defina o número do agrupador</v>
      </c>
      <c r="O676" s="212"/>
      <c r="Q676" s="212"/>
      <c r="R676" s="213"/>
      <c r="S676" s="213"/>
      <c r="T676" s="213"/>
      <c r="U676" s="213"/>
      <c r="V676" s="213"/>
      <c r="W676" s="213"/>
      <c r="X676" s="213"/>
      <c r="Y676" s="213"/>
      <c r="Z676" s="214"/>
      <c r="AA676" s="213"/>
      <c r="AB676" s="213"/>
      <c r="AC676" s="213"/>
      <c r="AD676" s="213"/>
      <c r="AE676" s="213"/>
      <c r="AF676" s="213"/>
      <c r="AG676" s="213"/>
      <c r="AH676" s="214"/>
      <c r="AJ676" s="631">
        <f ca="1">IF(AND($D676="Serviço",AJ$12&lt;&gt;0,$H676&gt;0,OR(AUTOEVENTO&lt;&gt;"manual",$M676&lt;&gt;1)),ROUND(OFFSET($P676,0,AJ$13),15-13*ORÇAMENTO!$AF$7)/$H676*OFFSET(ORÇAMENTO!$X$15,ROW(AJ676)-ROW(AJ$15),0),0)</f>
        <v>0</v>
      </c>
      <c r="AK676" s="632">
        <f ca="1">IF(AND($D676="Serviço",AK$12&lt;&gt;0,$H676&gt;0,OR(AUTOEVENTO&lt;&gt;"manual",$M676&lt;&gt;1)),ROUND(OFFSET($P676,0,AK$13),15-13*ORÇAMENTO!$AF$7)/$H676*OFFSET(ORÇAMENTO!$X$15,ROW(AK676)-ROW(AK$15),0),0)</f>
        <v>0</v>
      </c>
      <c r="AL676" s="632">
        <f ca="1">IF(AND($D676="Serviço",AL$12&lt;&gt;0,$H676&gt;0,OR(AUTOEVENTO&lt;&gt;"manual",$M676&lt;&gt;1)),ROUND(OFFSET($P676,0,AL$13),15-13*ORÇAMENTO!$AF$7)/$H676*OFFSET(ORÇAMENTO!$X$15,ROW(AL676)-ROW(AL$15),0),0)</f>
        <v>0</v>
      </c>
      <c r="AM676" s="632">
        <f ca="1">IF(AND($D676="Serviço",AM$12&lt;&gt;0,$H676&gt;0,OR(AUTOEVENTO&lt;&gt;"manual",$M676&lt;&gt;1)),ROUND(OFFSET($P676,0,AM$13),15-13*ORÇAMENTO!$AF$7)/$H676*OFFSET(ORÇAMENTO!$X$15,ROW(AM676)-ROW(AM$15),0),0)</f>
        <v>0</v>
      </c>
      <c r="AN676" s="632">
        <f ca="1">IF(AND($D676="Serviço",AN$12&lt;&gt;0,$H676&gt;0,OR(AUTOEVENTO&lt;&gt;"manual",$M676&lt;&gt;1)),ROUND(OFFSET($P676,0,AN$13),15-13*ORÇAMENTO!$AF$7)/$H676*OFFSET(ORÇAMENTO!$X$15,ROW(AN676)-ROW(AN$15),0),0)</f>
        <v>0</v>
      </c>
      <c r="AO676" s="632">
        <f ca="1">IF(AND($D676="Serviço",AO$12&lt;&gt;0,$H676&gt;0,OR(AUTOEVENTO&lt;&gt;"manual",$M676&lt;&gt;1)),ROUND(OFFSET($P676,0,AO$13),15-13*ORÇAMENTO!$AF$7)/$H676*OFFSET(ORÇAMENTO!$X$15,ROW(AO676)-ROW(AO$15),0),0)</f>
        <v>0</v>
      </c>
      <c r="AP676" s="632">
        <f ca="1">IF(AND($D676="Serviço",AP$12&lt;&gt;0,$H676&gt;0,OR(AUTOEVENTO&lt;&gt;"manual",$M676&lt;&gt;1)),ROUND(OFFSET($P676,0,AP$13),15-13*ORÇAMENTO!$AF$7)/$H676*OFFSET(ORÇAMENTO!$X$15,ROW(AP676)-ROW(AP$15),0),0)</f>
        <v>0</v>
      </c>
      <c r="AQ676" s="632">
        <f ca="1">IF(AND($D676="Serviço",AQ$12&lt;&gt;0,$H676&gt;0,OR(AUTOEVENTO&lt;&gt;"manual",$M676&lt;&gt;1)),ROUND(OFFSET($P676,0,AQ$13),15-13*ORÇAMENTO!$AF$7)/$H676*OFFSET(ORÇAMENTO!$X$15,ROW(AQ676)-ROW(AQ$15),0),0)</f>
        <v>0</v>
      </c>
      <c r="AR676" s="632">
        <f ca="1">IF(AND($D676="Serviço",AR$12&lt;&gt;0,$H676&gt;0,OR(AUTOEVENTO&lt;&gt;"manual",$M676&lt;&gt;1)),ROUND(OFFSET($P676,0,AR$13),15-13*ORÇAMENTO!$AF$7)/$H676*OFFSET(ORÇAMENTO!$X$15,ROW(AR676)-ROW(AR$15),0),0)</f>
        <v>0</v>
      </c>
      <c r="AS676" s="633">
        <f ca="1">IF(AND($D676="Serviço",AS$12&lt;&gt;0,$H676&gt;0,OR(AUTOEVENTO&lt;&gt;"manual",$M676&lt;&gt;1)),ROUND(OFFSET($P676,0,AS$13),15-13*ORÇAMENTO!$AF$7)/$H676*OFFSET(ORÇAMENTO!$X$15,ROW(AS676)-ROW(AS$15),0),0)</f>
        <v>0</v>
      </c>
      <c r="AT676" s="632">
        <f ca="1">IF(AND($D676="Serviço",AT$12&lt;&gt;0,$H676&gt;0,OR(AUTOEVENTO&lt;&gt;"manual",$M676&lt;&gt;1)),ROUND(OFFSET($P676,0,AT$13),15-13*ORÇAMENTO!$AF$7)/$H676*OFFSET(ORÇAMENTO!$X$15,ROW(AT676)-ROW(AT$15),0),0)</f>
        <v>0</v>
      </c>
      <c r="AU676" s="632">
        <f ca="1">IF(AND($D676="Serviço",AU$12&lt;&gt;0,$H676&gt;0,OR(AUTOEVENTO&lt;&gt;"manual",$M676&lt;&gt;1)),ROUND(OFFSET($P676,0,AU$13),15-13*ORÇAMENTO!$AF$7)/$H676*OFFSET(ORÇAMENTO!$X$15,ROW(AU676)-ROW(AU$15),0),0)</f>
        <v>0</v>
      </c>
      <c r="AV676" s="632">
        <f ca="1">IF(AND($D676="Serviço",AV$12&lt;&gt;0,$H676&gt;0,OR(AUTOEVENTO&lt;&gt;"manual",$M676&lt;&gt;1)),ROUND(OFFSET($P676,0,AV$13),15-13*ORÇAMENTO!$AF$7)/$H676*OFFSET(ORÇAMENTO!$X$15,ROW(AV676)-ROW(AV$15),0),0)</f>
        <v>0</v>
      </c>
      <c r="AW676" s="632">
        <f ca="1">IF(AND($D676="Serviço",AW$12&lt;&gt;0,$H676&gt;0,OR(AUTOEVENTO&lt;&gt;"manual",$M676&lt;&gt;1)),ROUND(OFFSET($P676,0,AW$13),15-13*ORÇAMENTO!$AF$7)/$H676*OFFSET(ORÇAMENTO!$X$15,ROW(AW676)-ROW(AW$15),0),0)</f>
        <v>0</v>
      </c>
      <c r="AX676" s="632">
        <f ca="1">IF(AND($D676="Serviço",AX$12&lt;&gt;0,$H676&gt;0,OR(AUTOEVENTO&lt;&gt;"manual",$M676&lt;&gt;1)),ROUND(OFFSET($P676,0,AX$13),15-13*ORÇAMENTO!$AF$7)/$H676*OFFSET(ORÇAMENTO!$X$15,ROW(AX676)-ROW(AX$15),0),0)</f>
        <v>0</v>
      </c>
      <c r="AY676" s="632">
        <f ca="1">IF(AND($D676="Serviço",AY$12&lt;&gt;0,$H676&gt;0,OR(AUTOEVENTO&lt;&gt;"manual",$M676&lt;&gt;1)),ROUND(OFFSET($P676,0,AY$13),15-13*ORÇAMENTO!$AF$7)/$H676*OFFSET(ORÇAMENTO!$X$15,ROW(AY676)-ROW(AY$15),0),0)</f>
        <v>0</v>
      </c>
      <c r="AZ676" s="632">
        <f ca="1">IF(AND($D676="Serviço",AZ$12&lt;&gt;0,$H676&gt;0,OR(AUTOEVENTO&lt;&gt;"manual",$M676&lt;&gt;1)),ROUND(OFFSET($P676,0,AZ$13),15-13*ORÇAMENTO!$AF$7)/$H676*OFFSET(ORÇAMENTO!$X$15,ROW(AZ676)-ROW(AZ$15),0),0)</f>
        <v>0</v>
      </c>
      <c r="BA676" s="633">
        <f ca="1">IF(AND($D676="Serviço",BA$12&lt;&gt;0,$H676&gt;0,OR(AUTOEVENTO&lt;&gt;"manual",$M676&lt;&gt;1)),ROUND(OFFSET($P676,0,BA$13),15-13*ORÇAMENTO!$AF$7)/$H676*OFFSET(ORÇAMENTO!$X$15,ROW(BA676)-ROW(BA$15),0),0)</f>
        <v>0</v>
      </c>
      <c r="BC676" s="215">
        <f ca="1">IF($D676&lt;&gt;"Serviço",0,IF(AND(AUTOEVENTO="Manual",$M676=1),0,IF(OFFSET(CRONOPLE!$F$14,$M676,BC$13)="",10^12,OFFSET(CRONOPLE!$F$14,$M676,BC$13))))</f>
        <v>1000000000000</v>
      </c>
      <c r="BD676" s="215">
        <f ca="1">IF($D676&lt;&gt;"Serviço",0,IF(AND(AUTOEVENTO="Manual",$M676=1),0,IF(OFFSET(CRONOPLE!$F$14,$M676,BD$13)="",10^12,OFFSET(CRONOPLE!$F$14,$M676,BD$13))))</f>
        <v>1000000000000</v>
      </c>
      <c r="BE676" s="215">
        <f ca="1">IF($D676&lt;&gt;"Serviço",0,IF(AND(AUTOEVENTO="Manual",$M676=1),0,IF(OFFSET(CRONOPLE!$F$14,$M676,BE$13)="",10^12,OFFSET(CRONOPLE!$F$14,$M676,BE$13))))</f>
        <v>1000000000000</v>
      </c>
      <c r="BF676" s="215">
        <f ca="1">IF($D676&lt;&gt;"Serviço",0,IF(AND(AUTOEVENTO="Manual",$M676=1),0,IF(OFFSET(CRONOPLE!$F$14,$M676,BF$13)="",10^12,OFFSET(CRONOPLE!$F$14,$M676,BF$13))))</f>
        <v>1000000000000</v>
      </c>
      <c r="BG676" s="215">
        <f ca="1">IF($D676&lt;&gt;"Serviço",0,IF(AND(AUTOEVENTO="Manual",$M676=1),0,IF(OFFSET(CRONOPLE!$F$14,$M676,BG$13)="",10^12,OFFSET(CRONOPLE!$F$14,$M676,BG$13))))</f>
        <v>1000000000000</v>
      </c>
      <c r="BH676" s="215">
        <f ca="1">IF($D676&lt;&gt;"Serviço",0,IF(AND(AUTOEVENTO="Manual",$M676=1),0,IF(OFFSET(CRONOPLE!$F$14,$M676,BH$13)="",10^12,OFFSET(CRONOPLE!$F$14,$M676,BH$13))))</f>
        <v>1000000000000</v>
      </c>
      <c r="BI676" s="215">
        <f ca="1">IF($D676&lt;&gt;"Serviço",0,IF(AND(AUTOEVENTO="Manual",$M676=1),0,IF(OFFSET(CRONOPLE!$F$14,$M676,BI$13)="",10^12,OFFSET(CRONOPLE!$F$14,$M676,BI$13))))</f>
        <v>1000000000000</v>
      </c>
      <c r="BJ676" s="215">
        <f ca="1">IF($D676&lt;&gt;"Serviço",0,IF(AND(AUTOEVENTO="Manual",$M676=1),0,IF(OFFSET(CRONOPLE!$F$14,$M676,BJ$13)="",10^12,OFFSET(CRONOPLE!$F$14,$M676,BJ$13))))</f>
        <v>1000000000000</v>
      </c>
      <c r="BK676" s="215">
        <f ca="1">IF($D676&lt;&gt;"Serviço",0,IF(AND(AUTOEVENTO="Manual",$M676=1),0,IF(OFFSET(CRONOPLE!$F$14,$M676,BK$13)="",10^12,OFFSET(CRONOPLE!$F$14,$M676,BK$13))))</f>
        <v>1000000000000</v>
      </c>
      <c r="BL676" s="215">
        <f ca="1">IF($D676&lt;&gt;"Serviço",0,IF(AND(AUTOEVENTO="Manual",$M676=1),0,IF(OFFSET(CRONOPLE!$F$14,$M676,BL$13)="",10^12,OFFSET(CRONOPLE!$F$14,$M676,BL$13))))</f>
        <v>1000000000000</v>
      </c>
      <c r="BM676" s="215">
        <f ca="1">IF($D676&lt;&gt;"Serviço",0,IF(AND(AUTOEVENTO="Manual",$M676=1),0,IF(OFFSET(CRONOPLE!$F$14,$M676,BM$13)="",10^12,OFFSET(CRONOPLE!$F$14,$M676,BM$13))))</f>
        <v>1000000000000</v>
      </c>
      <c r="BN676" s="215">
        <f ca="1">IF($D676&lt;&gt;"Serviço",0,IF(AND(AUTOEVENTO="Manual",$M676=1),0,IF(OFFSET(CRONOPLE!$F$14,$M676,BN$13)="",10^12,OFFSET(CRONOPLE!$F$14,$M676,BN$13))))</f>
        <v>1000000000000</v>
      </c>
      <c r="BO676" s="215">
        <f ca="1">IF($D676&lt;&gt;"Serviço",0,IF(AND(AUTOEVENTO="Manual",$M676=1),0,IF(OFFSET(CRONOPLE!$F$14,$M676,BO$13)="",10^12,OFFSET(CRONOPLE!$F$14,$M676,BO$13))))</f>
        <v>1000000000000</v>
      </c>
      <c r="BP676" s="215">
        <f ca="1">IF($D676&lt;&gt;"Serviço",0,IF(AND(AUTOEVENTO="Manual",$M676=1),0,IF(OFFSET(CRONOPLE!$F$14,$M676,BP$13)="",10^12,OFFSET(CRONOPLE!$F$14,$M676,BP$13))))</f>
        <v>1000000000000</v>
      </c>
      <c r="BQ676" s="215">
        <f ca="1">IF($D676&lt;&gt;"Serviço",0,IF(AND(AUTOEVENTO="Manual",$M676=1),0,IF(OFFSET(CRONOPLE!$F$14,$M676,BQ$13)="",10^12,OFFSET(CRONOPLE!$F$14,$M676,BQ$13))))</f>
        <v>1000000000000</v>
      </c>
      <c r="BR676" s="215">
        <f ca="1">IF($D676&lt;&gt;"Serviço",0,IF(AND(AUTOEVENTO="Manual",$M676=1),0,IF(OFFSET(CRONOPLE!$F$14,$M676,BR$13)="",10^12,OFFSET(CRONOPLE!$F$14,$M676,BR$13))))</f>
        <v>1000000000000</v>
      </c>
      <c r="BS676" s="215">
        <f ca="1">IF($D676&lt;&gt;"Serviço",0,IF(AND(AUTOEVENTO="Manual",$M676=1),0,IF(OFFSET(CRONOPLE!$F$14,$M676,BS$13)="",10^12,OFFSET(CRONOPLE!$F$14,$M676,BS$13))))</f>
        <v>1000000000000</v>
      </c>
      <c r="BT676" s="215">
        <f ca="1">IF($D676&lt;&gt;"Serviço",0,IF(AND(AUTOEVENTO="Manual",$M676=1),0,IF(OFFSET(CRONOPLE!$F$14,$M676,BT$13)="",10^12,OFFSET(CRONOPLE!$F$14,$M676,BT$13))))</f>
        <v>1000000000000</v>
      </c>
      <c r="BV676" s="216">
        <f ca="1">IF($D676&lt;&gt;"Serviço",0,IF(OR(AND(AUTOEVENTO="Manual",$M676=1),$M676&gt;(ROW(PLE.lastrow)-ROW(PLE.firstrow))),0,IF(OFFSET(PLE!$G$14,$M676,BV$13)="",10^12,OFFSET(PLE!$G$14,$M676,BV$13))))</f>
        <v>1000000000000</v>
      </c>
      <c r="BW676" s="216">
        <f ca="1">IF($D676&lt;&gt;"Serviço",0,IF(OR(AND(AUTOEVENTO="Manual",$M676=1),$M676&gt;(ROW(PLE.lastrow)-ROW(PLE.firstrow))),0,IF(OFFSET(PLE!$G$14,$M676,BW$13)="",10^12,OFFSET(PLE!$G$14,$M676,BW$13))))</f>
        <v>1000000000000</v>
      </c>
      <c r="BX676" s="216">
        <f ca="1">IF($D676&lt;&gt;"Serviço",0,IF(OR(AND(AUTOEVENTO="Manual",$M676=1),$M676&gt;(ROW(PLE.lastrow)-ROW(PLE.firstrow))),0,IF(OFFSET(PLE!$G$14,$M676,BX$13)="",10^12,OFFSET(PLE!$G$14,$M676,BX$13))))</f>
        <v>1000000000000</v>
      </c>
      <c r="BY676" s="216">
        <f ca="1">IF($D676&lt;&gt;"Serviço",0,IF(OR(AND(AUTOEVENTO="Manual",$M676=1),$M676&gt;(ROW(PLE.lastrow)-ROW(PLE.firstrow))),0,IF(OFFSET(PLE!$G$14,$M676,BY$13)="",10^12,OFFSET(PLE!$G$14,$M676,BY$13))))</f>
        <v>1000000000000</v>
      </c>
      <c r="BZ676" s="216">
        <f ca="1">IF($D676&lt;&gt;"Serviço",0,IF(OR(AND(AUTOEVENTO="Manual",$M676=1),$M676&gt;(ROW(PLE.lastrow)-ROW(PLE.firstrow))),0,IF(OFFSET(PLE!$G$14,$M676,BZ$13)="",10^12,OFFSET(PLE!$G$14,$M676,BZ$13))))</f>
        <v>1000000000000</v>
      </c>
      <c r="CA676" s="216">
        <f ca="1">IF($D676&lt;&gt;"Serviço",0,IF(OR(AND(AUTOEVENTO="Manual",$M676=1),$M676&gt;(ROW(PLE.lastrow)-ROW(PLE.firstrow))),0,IF(OFFSET(PLE!$G$14,$M676,CA$13)="",10^12,OFFSET(PLE!$G$14,$M676,CA$13))))</f>
        <v>1000000000000</v>
      </c>
      <c r="CB676" s="216">
        <f ca="1">IF($D676&lt;&gt;"Serviço",0,IF(OR(AND(AUTOEVENTO="Manual",$M676=1),$M676&gt;(ROW(PLE.lastrow)-ROW(PLE.firstrow))),0,IF(OFFSET(PLE!$G$14,$M676,CB$13)="",10^12,OFFSET(PLE!$G$14,$M676,CB$13))))</f>
        <v>1000000000000</v>
      </c>
      <c r="CC676" s="216">
        <f ca="1">IF($D676&lt;&gt;"Serviço",0,IF(OR(AND(AUTOEVENTO="Manual",$M676=1),$M676&gt;(ROW(PLE.lastrow)-ROW(PLE.firstrow))),0,IF(OFFSET(PLE!$G$14,$M676,CC$13)="",10^12,OFFSET(PLE!$G$14,$M676,CC$13))))</f>
        <v>1000000000000</v>
      </c>
      <c r="CD676" s="216">
        <f ca="1">IF($D676&lt;&gt;"Serviço",0,IF(OR(AND(AUTOEVENTO="Manual",$M676=1),$M676&gt;(ROW(PLE.lastrow)-ROW(PLE.firstrow))),0,IF(OFFSET(PLE!$G$14,$M676,CD$13)="",10^12,OFFSET(PLE!$G$14,$M676,CD$13))))</f>
        <v>1000000000000</v>
      </c>
      <c r="CE676" s="216">
        <f ca="1">IF($D676&lt;&gt;"Serviço",0,IF(OR(AND(AUTOEVENTO="Manual",$M676=1),$M676&gt;(ROW(PLE.lastrow)-ROW(PLE.firstrow))),0,IF(OFFSET(PLE!$G$14,$M676,CE$13)="",10^12,OFFSET(PLE!$G$14,$M676,CE$13))))</f>
        <v>1000000000000</v>
      </c>
      <c r="CF676" s="216">
        <f ca="1">IF($D676&lt;&gt;"Serviço",0,IF(OR(AND(AUTOEVENTO="Manual",$M676=1),$M676&gt;(ROW(PLE.lastrow)-ROW(PLE.firstrow))),0,IF(OFFSET(PLE!$G$14,$M676,CF$13)="",10^12,OFFSET(PLE!$G$14,$M676,CF$13))))</f>
        <v>1000000000000</v>
      </c>
      <c r="CG676" s="216">
        <f ca="1">IF($D676&lt;&gt;"Serviço",0,IF(OR(AND(AUTOEVENTO="Manual",$M676=1),$M676&gt;(ROW(PLE.lastrow)-ROW(PLE.firstrow))),0,IF(OFFSET(PLE!$G$14,$M676,CG$13)="",10^12,OFFSET(PLE!$G$14,$M676,CG$13))))</f>
        <v>1000000000000</v>
      </c>
      <c r="CH676" s="216">
        <f ca="1">IF($D676&lt;&gt;"Serviço",0,IF(OR(AND(AUTOEVENTO="Manual",$M676=1),$M676&gt;(ROW(PLE.lastrow)-ROW(PLE.firstrow))),0,IF(OFFSET(PLE!$G$14,$M676,CH$13)="",10^12,OFFSET(PLE!$G$14,$M676,CH$13))))</f>
        <v>1000000000000</v>
      </c>
      <c r="CI676" s="216">
        <f ca="1">IF($D676&lt;&gt;"Serviço",0,IF(OR(AND(AUTOEVENTO="Manual",$M676=1),$M676&gt;(ROW(PLE.lastrow)-ROW(PLE.firstrow))),0,IF(OFFSET(PLE!$G$14,$M676,CI$13)="",10^12,OFFSET(PLE!$G$14,$M676,CI$13))))</f>
        <v>1000000000000</v>
      </c>
      <c r="CJ676" s="216">
        <f ca="1">IF($D676&lt;&gt;"Serviço",0,IF(OR(AND(AUTOEVENTO="Manual",$M676=1),$M676&gt;(ROW(PLE.lastrow)-ROW(PLE.firstrow))),0,IF(OFFSET(PLE!$G$14,$M676,CJ$13)="",10^12,OFFSET(PLE!$G$14,$M676,CJ$13))))</f>
        <v>1000000000000</v>
      </c>
      <c r="CK676" s="216">
        <f ca="1">IF($D676&lt;&gt;"Serviço",0,IF(OR(AND(AUTOEVENTO="Manual",$M676=1),$M676&gt;(ROW(PLE.lastrow)-ROW(PLE.firstrow))),0,IF(OFFSET(PLE!$G$14,$M676,CK$13)="",10^12,OFFSET(PLE!$G$14,$M676,CK$13))))</f>
        <v>1000000000000</v>
      </c>
      <c r="CL676" s="216">
        <f ca="1">IF($D676&lt;&gt;"Serviço",0,IF(OR(AND(AUTOEVENTO="Manual",$M676=1),$M676&gt;(ROW(PLE.lastrow)-ROW(PLE.firstrow))),0,IF(OFFSET(PLE!$G$14,$M676,CL$13)="",10^12,OFFSET(PLE!$G$14,$M676,CL$13))))</f>
        <v>1000000000000</v>
      </c>
      <c r="CM676" s="216">
        <f ca="1">IF($D676&lt;&gt;"Serviço",0,IF(OR(AND(AUTOEVENTO="Manual",$M676=1),$M676&gt;(ROW(PLE.lastrow)-ROW(PLE.firstrow))),0,IF(OFFSET(PLE!$G$14,$M676,CM$13)="",10^12,OFFSET(PLE!$G$14,$M676,CM$13))))</f>
        <v>1000000000000</v>
      </c>
    </row>
    <row r="677" spans="1:91" ht="13.2" x14ac:dyDescent="0.25">
      <c r="A677" s="9">
        <f t="shared" ca="1" si="20"/>
        <v>0</v>
      </c>
      <c r="B677" s="9" t="str">
        <f ca="1">OFFSET(ORÇAMENTO!C$15,ROW(B677)-ROW(B$15),0)</f>
        <v>S</v>
      </c>
      <c r="C677" s="9" t="str">
        <f ca="1">OFFSET(ORÇAMENTO!L$15,ROW(C677)-ROW(C$15),0)</f>
        <v/>
      </c>
      <c r="D677" s="145" t="str">
        <f ca="1">OFFSET(ORÇAMENTO!N$15,ROW(D677)-ROW(D$15),0)</f>
        <v>Serviço</v>
      </c>
      <c r="E677" s="205" t="str">
        <f ca="1">OFFSET(ORÇAMENTO!O$15,ROW(E677)-ROW(E$15),0)</f>
        <v>-</v>
      </c>
      <c r="F677" s="206" t="str">
        <f ca="1">OFFSET(ORÇAMENTO!R$15,ROW(F677)-ROW(F$15),0)</f>
        <v>(abra o arquivo 'Referência 05-2024.xls)</v>
      </c>
      <c r="G677" s="207" t="str">
        <f ca="1">IF($D677&lt;&gt;"Serviço","",OFFSET(ORÇAMENTO!S$15,ROW(G677)-ROW(G$15),0))</f>
        <v>-</v>
      </c>
      <c r="H677" s="151">
        <f ca="1">IF($D677&lt;&gt;"Serviço",0,IF(ACOMPANHAMENTO="BM",ROUND(OFFSET(ORÇAMENTO!AJ$15,ROW(H677)-ROW(H$15),0),15-13*ORÇAMENTO!$AF$7),SUMPRODUCT(($Q$12:$AI$12&lt;&gt;"")*ROUND($Q677:$AI677,15-13*ORÇAMENTO!$AF$7))))</f>
        <v>1</v>
      </c>
      <c r="I677" s="650"/>
      <c r="K677" s="208"/>
      <c r="L677" s="209" t="s">
        <v>257</v>
      </c>
      <c r="M677" s="210">
        <f ca="1">IF($D677&lt;&gt;"Serviço","",IF(AUTOEVENTO="manual",$A677,IF(ISERROR(MATCH($A677,$A$15:OFFSET($A677,-1,0),0)),MAX($M$15:OFFSET(M677,-1,0))+1,INDEX($M$15:OFFSET(M677,-1,0),MATCH($A677,$A$15:OFFSET($A677,-1,0),0)))))</f>
        <v>0</v>
      </c>
      <c r="N677" s="211" t="str">
        <f ca="1">IF($D677&lt;&gt;"Serviço","",IF(AUTOEVENTO="Manual",IF($A677=0,"&lt;-- defina o número do agrupador",OFFSET(EVENTOS!$D$14,$A677,0)),OFFSET($F$15,$A677,0)))</f>
        <v>&lt;-- defina o número do agrupador</v>
      </c>
      <c r="O677" s="212"/>
      <c r="Q677" s="212"/>
      <c r="R677" s="213"/>
      <c r="S677" s="213"/>
      <c r="T677" s="213"/>
      <c r="U677" s="213"/>
      <c r="V677" s="213"/>
      <c r="W677" s="213"/>
      <c r="X677" s="213"/>
      <c r="Y677" s="213"/>
      <c r="Z677" s="214"/>
      <c r="AA677" s="213"/>
      <c r="AB677" s="213"/>
      <c r="AC677" s="213"/>
      <c r="AD677" s="213"/>
      <c r="AE677" s="213"/>
      <c r="AF677" s="213"/>
      <c r="AG677" s="213"/>
      <c r="AH677" s="214"/>
      <c r="AJ677" s="631">
        <f ca="1">IF(AND($D677="Serviço",AJ$12&lt;&gt;0,$H677&gt;0,OR(AUTOEVENTO&lt;&gt;"manual",$M677&lt;&gt;1)),ROUND(OFFSET($P677,0,AJ$13),15-13*ORÇAMENTO!$AF$7)/$H677*OFFSET(ORÇAMENTO!$X$15,ROW(AJ677)-ROW(AJ$15),0),0)</f>
        <v>0</v>
      </c>
      <c r="AK677" s="632">
        <f ca="1">IF(AND($D677="Serviço",AK$12&lt;&gt;0,$H677&gt;0,OR(AUTOEVENTO&lt;&gt;"manual",$M677&lt;&gt;1)),ROUND(OFFSET($P677,0,AK$13),15-13*ORÇAMENTO!$AF$7)/$H677*OFFSET(ORÇAMENTO!$X$15,ROW(AK677)-ROW(AK$15),0),0)</f>
        <v>0</v>
      </c>
      <c r="AL677" s="632">
        <f ca="1">IF(AND($D677="Serviço",AL$12&lt;&gt;0,$H677&gt;0,OR(AUTOEVENTO&lt;&gt;"manual",$M677&lt;&gt;1)),ROUND(OFFSET($P677,0,AL$13),15-13*ORÇAMENTO!$AF$7)/$H677*OFFSET(ORÇAMENTO!$X$15,ROW(AL677)-ROW(AL$15),0),0)</f>
        <v>0</v>
      </c>
      <c r="AM677" s="632">
        <f ca="1">IF(AND($D677="Serviço",AM$12&lt;&gt;0,$H677&gt;0,OR(AUTOEVENTO&lt;&gt;"manual",$M677&lt;&gt;1)),ROUND(OFFSET($P677,0,AM$13),15-13*ORÇAMENTO!$AF$7)/$H677*OFFSET(ORÇAMENTO!$X$15,ROW(AM677)-ROW(AM$15),0),0)</f>
        <v>0</v>
      </c>
      <c r="AN677" s="632">
        <f ca="1">IF(AND($D677="Serviço",AN$12&lt;&gt;0,$H677&gt;0,OR(AUTOEVENTO&lt;&gt;"manual",$M677&lt;&gt;1)),ROUND(OFFSET($P677,0,AN$13),15-13*ORÇAMENTO!$AF$7)/$H677*OFFSET(ORÇAMENTO!$X$15,ROW(AN677)-ROW(AN$15),0),0)</f>
        <v>0</v>
      </c>
      <c r="AO677" s="632">
        <f ca="1">IF(AND($D677="Serviço",AO$12&lt;&gt;0,$H677&gt;0,OR(AUTOEVENTO&lt;&gt;"manual",$M677&lt;&gt;1)),ROUND(OFFSET($P677,0,AO$13),15-13*ORÇAMENTO!$AF$7)/$H677*OFFSET(ORÇAMENTO!$X$15,ROW(AO677)-ROW(AO$15),0),0)</f>
        <v>0</v>
      </c>
      <c r="AP677" s="632">
        <f ca="1">IF(AND($D677="Serviço",AP$12&lt;&gt;0,$H677&gt;0,OR(AUTOEVENTO&lt;&gt;"manual",$M677&lt;&gt;1)),ROUND(OFFSET($P677,0,AP$13),15-13*ORÇAMENTO!$AF$7)/$H677*OFFSET(ORÇAMENTO!$X$15,ROW(AP677)-ROW(AP$15),0),0)</f>
        <v>0</v>
      </c>
      <c r="AQ677" s="632">
        <f ca="1">IF(AND($D677="Serviço",AQ$12&lt;&gt;0,$H677&gt;0,OR(AUTOEVENTO&lt;&gt;"manual",$M677&lt;&gt;1)),ROUND(OFFSET($P677,0,AQ$13),15-13*ORÇAMENTO!$AF$7)/$H677*OFFSET(ORÇAMENTO!$X$15,ROW(AQ677)-ROW(AQ$15),0),0)</f>
        <v>0</v>
      </c>
      <c r="AR677" s="632">
        <f ca="1">IF(AND($D677="Serviço",AR$12&lt;&gt;0,$H677&gt;0,OR(AUTOEVENTO&lt;&gt;"manual",$M677&lt;&gt;1)),ROUND(OFFSET($P677,0,AR$13),15-13*ORÇAMENTO!$AF$7)/$H677*OFFSET(ORÇAMENTO!$X$15,ROW(AR677)-ROW(AR$15),0),0)</f>
        <v>0</v>
      </c>
      <c r="AS677" s="633">
        <f ca="1">IF(AND($D677="Serviço",AS$12&lt;&gt;0,$H677&gt;0,OR(AUTOEVENTO&lt;&gt;"manual",$M677&lt;&gt;1)),ROUND(OFFSET($P677,0,AS$13),15-13*ORÇAMENTO!$AF$7)/$H677*OFFSET(ORÇAMENTO!$X$15,ROW(AS677)-ROW(AS$15),0),0)</f>
        <v>0</v>
      </c>
      <c r="AT677" s="632">
        <f ca="1">IF(AND($D677="Serviço",AT$12&lt;&gt;0,$H677&gt;0,OR(AUTOEVENTO&lt;&gt;"manual",$M677&lt;&gt;1)),ROUND(OFFSET($P677,0,AT$13),15-13*ORÇAMENTO!$AF$7)/$H677*OFFSET(ORÇAMENTO!$X$15,ROW(AT677)-ROW(AT$15),0),0)</f>
        <v>0</v>
      </c>
      <c r="AU677" s="632">
        <f ca="1">IF(AND($D677="Serviço",AU$12&lt;&gt;0,$H677&gt;0,OR(AUTOEVENTO&lt;&gt;"manual",$M677&lt;&gt;1)),ROUND(OFFSET($P677,0,AU$13),15-13*ORÇAMENTO!$AF$7)/$H677*OFFSET(ORÇAMENTO!$X$15,ROW(AU677)-ROW(AU$15),0),0)</f>
        <v>0</v>
      </c>
      <c r="AV677" s="632">
        <f ca="1">IF(AND($D677="Serviço",AV$12&lt;&gt;0,$H677&gt;0,OR(AUTOEVENTO&lt;&gt;"manual",$M677&lt;&gt;1)),ROUND(OFFSET($P677,0,AV$13),15-13*ORÇAMENTO!$AF$7)/$H677*OFFSET(ORÇAMENTO!$X$15,ROW(AV677)-ROW(AV$15),0),0)</f>
        <v>0</v>
      </c>
      <c r="AW677" s="632">
        <f ca="1">IF(AND($D677="Serviço",AW$12&lt;&gt;0,$H677&gt;0,OR(AUTOEVENTO&lt;&gt;"manual",$M677&lt;&gt;1)),ROUND(OFFSET($P677,0,AW$13),15-13*ORÇAMENTO!$AF$7)/$H677*OFFSET(ORÇAMENTO!$X$15,ROW(AW677)-ROW(AW$15),0),0)</f>
        <v>0</v>
      </c>
      <c r="AX677" s="632">
        <f ca="1">IF(AND($D677="Serviço",AX$12&lt;&gt;0,$H677&gt;0,OR(AUTOEVENTO&lt;&gt;"manual",$M677&lt;&gt;1)),ROUND(OFFSET($P677,0,AX$13),15-13*ORÇAMENTO!$AF$7)/$H677*OFFSET(ORÇAMENTO!$X$15,ROW(AX677)-ROW(AX$15),0),0)</f>
        <v>0</v>
      </c>
      <c r="AY677" s="632">
        <f ca="1">IF(AND($D677="Serviço",AY$12&lt;&gt;0,$H677&gt;0,OR(AUTOEVENTO&lt;&gt;"manual",$M677&lt;&gt;1)),ROUND(OFFSET($P677,0,AY$13),15-13*ORÇAMENTO!$AF$7)/$H677*OFFSET(ORÇAMENTO!$X$15,ROW(AY677)-ROW(AY$15),0),0)</f>
        <v>0</v>
      </c>
      <c r="AZ677" s="632">
        <f ca="1">IF(AND($D677="Serviço",AZ$12&lt;&gt;0,$H677&gt;0,OR(AUTOEVENTO&lt;&gt;"manual",$M677&lt;&gt;1)),ROUND(OFFSET($P677,0,AZ$13),15-13*ORÇAMENTO!$AF$7)/$H677*OFFSET(ORÇAMENTO!$X$15,ROW(AZ677)-ROW(AZ$15),0),0)</f>
        <v>0</v>
      </c>
      <c r="BA677" s="633">
        <f ca="1">IF(AND($D677="Serviço",BA$12&lt;&gt;0,$H677&gt;0,OR(AUTOEVENTO&lt;&gt;"manual",$M677&lt;&gt;1)),ROUND(OFFSET($P677,0,BA$13),15-13*ORÇAMENTO!$AF$7)/$H677*OFFSET(ORÇAMENTO!$X$15,ROW(BA677)-ROW(BA$15),0),0)</f>
        <v>0</v>
      </c>
      <c r="BC677" s="215">
        <f ca="1">IF($D677&lt;&gt;"Serviço",0,IF(AND(AUTOEVENTO="Manual",$M677=1),0,IF(OFFSET(CRONOPLE!$F$14,$M677,BC$13)="",10^12,OFFSET(CRONOPLE!$F$14,$M677,BC$13))))</f>
        <v>1000000000000</v>
      </c>
      <c r="BD677" s="215">
        <f ca="1">IF($D677&lt;&gt;"Serviço",0,IF(AND(AUTOEVENTO="Manual",$M677=1),0,IF(OFFSET(CRONOPLE!$F$14,$M677,BD$13)="",10^12,OFFSET(CRONOPLE!$F$14,$M677,BD$13))))</f>
        <v>1000000000000</v>
      </c>
      <c r="BE677" s="215">
        <f ca="1">IF($D677&lt;&gt;"Serviço",0,IF(AND(AUTOEVENTO="Manual",$M677=1),0,IF(OFFSET(CRONOPLE!$F$14,$M677,BE$13)="",10^12,OFFSET(CRONOPLE!$F$14,$M677,BE$13))))</f>
        <v>1000000000000</v>
      </c>
      <c r="BF677" s="215">
        <f ca="1">IF($D677&lt;&gt;"Serviço",0,IF(AND(AUTOEVENTO="Manual",$M677=1),0,IF(OFFSET(CRONOPLE!$F$14,$M677,BF$13)="",10^12,OFFSET(CRONOPLE!$F$14,$M677,BF$13))))</f>
        <v>1000000000000</v>
      </c>
      <c r="BG677" s="215">
        <f ca="1">IF($D677&lt;&gt;"Serviço",0,IF(AND(AUTOEVENTO="Manual",$M677=1),0,IF(OFFSET(CRONOPLE!$F$14,$M677,BG$13)="",10^12,OFFSET(CRONOPLE!$F$14,$M677,BG$13))))</f>
        <v>1000000000000</v>
      </c>
      <c r="BH677" s="215">
        <f ca="1">IF($D677&lt;&gt;"Serviço",0,IF(AND(AUTOEVENTO="Manual",$M677=1),0,IF(OFFSET(CRONOPLE!$F$14,$M677,BH$13)="",10^12,OFFSET(CRONOPLE!$F$14,$M677,BH$13))))</f>
        <v>1000000000000</v>
      </c>
      <c r="BI677" s="215">
        <f ca="1">IF($D677&lt;&gt;"Serviço",0,IF(AND(AUTOEVENTO="Manual",$M677=1),0,IF(OFFSET(CRONOPLE!$F$14,$M677,BI$13)="",10^12,OFFSET(CRONOPLE!$F$14,$M677,BI$13))))</f>
        <v>1000000000000</v>
      </c>
      <c r="BJ677" s="215">
        <f ca="1">IF($D677&lt;&gt;"Serviço",0,IF(AND(AUTOEVENTO="Manual",$M677=1),0,IF(OFFSET(CRONOPLE!$F$14,$M677,BJ$13)="",10^12,OFFSET(CRONOPLE!$F$14,$M677,BJ$13))))</f>
        <v>1000000000000</v>
      </c>
      <c r="BK677" s="215">
        <f ca="1">IF($D677&lt;&gt;"Serviço",0,IF(AND(AUTOEVENTO="Manual",$M677=1),0,IF(OFFSET(CRONOPLE!$F$14,$M677,BK$13)="",10^12,OFFSET(CRONOPLE!$F$14,$M677,BK$13))))</f>
        <v>1000000000000</v>
      </c>
      <c r="BL677" s="215">
        <f ca="1">IF($D677&lt;&gt;"Serviço",0,IF(AND(AUTOEVENTO="Manual",$M677=1),0,IF(OFFSET(CRONOPLE!$F$14,$M677,BL$13)="",10^12,OFFSET(CRONOPLE!$F$14,$M677,BL$13))))</f>
        <v>1000000000000</v>
      </c>
      <c r="BM677" s="215">
        <f ca="1">IF($D677&lt;&gt;"Serviço",0,IF(AND(AUTOEVENTO="Manual",$M677=1),0,IF(OFFSET(CRONOPLE!$F$14,$M677,BM$13)="",10^12,OFFSET(CRONOPLE!$F$14,$M677,BM$13))))</f>
        <v>1000000000000</v>
      </c>
      <c r="BN677" s="215">
        <f ca="1">IF($D677&lt;&gt;"Serviço",0,IF(AND(AUTOEVENTO="Manual",$M677=1),0,IF(OFFSET(CRONOPLE!$F$14,$M677,BN$13)="",10^12,OFFSET(CRONOPLE!$F$14,$M677,BN$13))))</f>
        <v>1000000000000</v>
      </c>
      <c r="BO677" s="215">
        <f ca="1">IF($D677&lt;&gt;"Serviço",0,IF(AND(AUTOEVENTO="Manual",$M677=1),0,IF(OFFSET(CRONOPLE!$F$14,$M677,BO$13)="",10^12,OFFSET(CRONOPLE!$F$14,$M677,BO$13))))</f>
        <v>1000000000000</v>
      </c>
      <c r="BP677" s="215">
        <f ca="1">IF($D677&lt;&gt;"Serviço",0,IF(AND(AUTOEVENTO="Manual",$M677=1),0,IF(OFFSET(CRONOPLE!$F$14,$M677,BP$13)="",10^12,OFFSET(CRONOPLE!$F$14,$M677,BP$13))))</f>
        <v>1000000000000</v>
      </c>
      <c r="BQ677" s="215">
        <f ca="1">IF($D677&lt;&gt;"Serviço",0,IF(AND(AUTOEVENTO="Manual",$M677=1),0,IF(OFFSET(CRONOPLE!$F$14,$M677,BQ$13)="",10^12,OFFSET(CRONOPLE!$F$14,$M677,BQ$13))))</f>
        <v>1000000000000</v>
      </c>
      <c r="BR677" s="215">
        <f ca="1">IF($D677&lt;&gt;"Serviço",0,IF(AND(AUTOEVENTO="Manual",$M677=1),0,IF(OFFSET(CRONOPLE!$F$14,$M677,BR$13)="",10^12,OFFSET(CRONOPLE!$F$14,$M677,BR$13))))</f>
        <v>1000000000000</v>
      </c>
      <c r="BS677" s="215">
        <f ca="1">IF($D677&lt;&gt;"Serviço",0,IF(AND(AUTOEVENTO="Manual",$M677=1),0,IF(OFFSET(CRONOPLE!$F$14,$M677,BS$13)="",10^12,OFFSET(CRONOPLE!$F$14,$M677,BS$13))))</f>
        <v>1000000000000</v>
      </c>
      <c r="BT677" s="215">
        <f ca="1">IF($D677&lt;&gt;"Serviço",0,IF(AND(AUTOEVENTO="Manual",$M677=1),0,IF(OFFSET(CRONOPLE!$F$14,$M677,BT$13)="",10^12,OFFSET(CRONOPLE!$F$14,$M677,BT$13))))</f>
        <v>1000000000000</v>
      </c>
      <c r="BV677" s="216">
        <f ca="1">IF($D677&lt;&gt;"Serviço",0,IF(OR(AND(AUTOEVENTO="Manual",$M677=1),$M677&gt;(ROW(PLE.lastrow)-ROW(PLE.firstrow))),0,IF(OFFSET(PLE!$G$14,$M677,BV$13)="",10^12,OFFSET(PLE!$G$14,$M677,BV$13))))</f>
        <v>1000000000000</v>
      </c>
      <c r="BW677" s="216">
        <f ca="1">IF($D677&lt;&gt;"Serviço",0,IF(OR(AND(AUTOEVENTO="Manual",$M677=1),$M677&gt;(ROW(PLE.lastrow)-ROW(PLE.firstrow))),0,IF(OFFSET(PLE!$G$14,$M677,BW$13)="",10^12,OFFSET(PLE!$G$14,$M677,BW$13))))</f>
        <v>1000000000000</v>
      </c>
      <c r="BX677" s="216">
        <f ca="1">IF($D677&lt;&gt;"Serviço",0,IF(OR(AND(AUTOEVENTO="Manual",$M677=1),$M677&gt;(ROW(PLE.lastrow)-ROW(PLE.firstrow))),0,IF(OFFSET(PLE!$G$14,$M677,BX$13)="",10^12,OFFSET(PLE!$G$14,$M677,BX$13))))</f>
        <v>1000000000000</v>
      </c>
      <c r="BY677" s="216">
        <f ca="1">IF($D677&lt;&gt;"Serviço",0,IF(OR(AND(AUTOEVENTO="Manual",$M677=1),$M677&gt;(ROW(PLE.lastrow)-ROW(PLE.firstrow))),0,IF(OFFSET(PLE!$G$14,$M677,BY$13)="",10^12,OFFSET(PLE!$G$14,$M677,BY$13))))</f>
        <v>1000000000000</v>
      </c>
      <c r="BZ677" s="216">
        <f ca="1">IF($D677&lt;&gt;"Serviço",0,IF(OR(AND(AUTOEVENTO="Manual",$M677=1),$M677&gt;(ROW(PLE.lastrow)-ROW(PLE.firstrow))),0,IF(OFFSET(PLE!$G$14,$M677,BZ$13)="",10^12,OFFSET(PLE!$G$14,$M677,BZ$13))))</f>
        <v>1000000000000</v>
      </c>
      <c r="CA677" s="216">
        <f ca="1">IF($D677&lt;&gt;"Serviço",0,IF(OR(AND(AUTOEVENTO="Manual",$M677=1),$M677&gt;(ROW(PLE.lastrow)-ROW(PLE.firstrow))),0,IF(OFFSET(PLE!$G$14,$M677,CA$13)="",10^12,OFFSET(PLE!$G$14,$M677,CA$13))))</f>
        <v>1000000000000</v>
      </c>
      <c r="CB677" s="216">
        <f ca="1">IF($D677&lt;&gt;"Serviço",0,IF(OR(AND(AUTOEVENTO="Manual",$M677=1),$M677&gt;(ROW(PLE.lastrow)-ROW(PLE.firstrow))),0,IF(OFFSET(PLE!$G$14,$M677,CB$13)="",10^12,OFFSET(PLE!$G$14,$M677,CB$13))))</f>
        <v>1000000000000</v>
      </c>
      <c r="CC677" s="216">
        <f ca="1">IF($D677&lt;&gt;"Serviço",0,IF(OR(AND(AUTOEVENTO="Manual",$M677=1),$M677&gt;(ROW(PLE.lastrow)-ROW(PLE.firstrow))),0,IF(OFFSET(PLE!$G$14,$M677,CC$13)="",10^12,OFFSET(PLE!$G$14,$M677,CC$13))))</f>
        <v>1000000000000</v>
      </c>
      <c r="CD677" s="216">
        <f ca="1">IF($D677&lt;&gt;"Serviço",0,IF(OR(AND(AUTOEVENTO="Manual",$M677=1),$M677&gt;(ROW(PLE.lastrow)-ROW(PLE.firstrow))),0,IF(OFFSET(PLE!$G$14,$M677,CD$13)="",10^12,OFFSET(PLE!$G$14,$M677,CD$13))))</f>
        <v>1000000000000</v>
      </c>
      <c r="CE677" s="216">
        <f ca="1">IF($D677&lt;&gt;"Serviço",0,IF(OR(AND(AUTOEVENTO="Manual",$M677=1),$M677&gt;(ROW(PLE.lastrow)-ROW(PLE.firstrow))),0,IF(OFFSET(PLE!$G$14,$M677,CE$13)="",10^12,OFFSET(PLE!$G$14,$M677,CE$13))))</f>
        <v>1000000000000</v>
      </c>
      <c r="CF677" s="216">
        <f ca="1">IF($D677&lt;&gt;"Serviço",0,IF(OR(AND(AUTOEVENTO="Manual",$M677=1),$M677&gt;(ROW(PLE.lastrow)-ROW(PLE.firstrow))),0,IF(OFFSET(PLE!$G$14,$M677,CF$13)="",10^12,OFFSET(PLE!$G$14,$M677,CF$13))))</f>
        <v>1000000000000</v>
      </c>
      <c r="CG677" s="216">
        <f ca="1">IF($D677&lt;&gt;"Serviço",0,IF(OR(AND(AUTOEVENTO="Manual",$M677=1),$M677&gt;(ROW(PLE.lastrow)-ROW(PLE.firstrow))),0,IF(OFFSET(PLE!$G$14,$M677,CG$13)="",10^12,OFFSET(PLE!$G$14,$M677,CG$13))))</f>
        <v>1000000000000</v>
      </c>
      <c r="CH677" s="216">
        <f ca="1">IF($D677&lt;&gt;"Serviço",0,IF(OR(AND(AUTOEVENTO="Manual",$M677=1),$M677&gt;(ROW(PLE.lastrow)-ROW(PLE.firstrow))),0,IF(OFFSET(PLE!$G$14,$M677,CH$13)="",10^12,OFFSET(PLE!$G$14,$M677,CH$13))))</f>
        <v>1000000000000</v>
      </c>
      <c r="CI677" s="216">
        <f ca="1">IF($D677&lt;&gt;"Serviço",0,IF(OR(AND(AUTOEVENTO="Manual",$M677=1),$M677&gt;(ROW(PLE.lastrow)-ROW(PLE.firstrow))),0,IF(OFFSET(PLE!$G$14,$M677,CI$13)="",10^12,OFFSET(PLE!$G$14,$M677,CI$13))))</f>
        <v>1000000000000</v>
      </c>
      <c r="CJ677" s="216">
        <f ca="1">IF($D677&lt;&gt;"Serviço",0,IF(OR(AND(AUTOEVENTO="Manual",$M677=1),$M677&gt;(ROW(PLE.lastrow)-ROW(PLE.firstrow))),0,IF(OFFSET(PLE!$G$14,$M677,CJ$13)="",10^12,OFFSET(PLE!$G$14,$M677,CJ$13))))</f>
        <v>1000000000000</v>
      </c>
      <c r="CK677" s="216">
        <f ca="1">IF($D677&lt;&gt;"Serviço",0,IF(OR(AND(AUTOEVENTO="Manual",$M677=1),$M677&gt;(ROW(PLE.lastrow)-ROW(PLE.firstrow))),0,IF(OFFSET(PLE!$G$14,$M677,CK$13)="",10^12,OFFSET(PLE!$G$14,$M677,CK$13))))</f>
        <v>1000000000000</v>
      </c>
      <c r="CL677" s="216">
        <f ca="1">IF($D677&lt;&gt;"Serviço",0,IF(OR(AND(AUTOEVENTO="Manual",$M677=1),$M677&gt;(ROW(PLE.lastrow)-ROW(PLE.firstrow))),0,IF(OFFSET(PLE!$G$14,$M677,CL$13)="",10^12,OFFSET(PLE!$G$14,$M677,CL$13))))</f>
        <v>1000000000000</v>
      </c>
      <c r="CM677" s="216">
        <f ca="1">IF($D677&lt;&gt;"Serviço",0,IF(OR(AND(AUTOEVENTO="Manual",$M677=1),$M677&gt;(ROW(PLE.lastrow)-ROW(PLE.firstrow))),0,IF(OFFSET(PLE!$G$14,$M677,CM$13)="",10^12,OFFSET(PLE!$G$14,$M677,CM$13))))</f>
        <v>1000000000000</v>
      </c>
    </row>
    <row r="678" spans="1:91" ht="13.2" x14ac:dyDescent="0.25">
      <c r="A678" s="9">
        <f t="shared" ca="1" si="20"/>
        <v>0</v>
      </c>
      <c r="B678" s="9" t="str">
        <f ca="1">OFFSET(ORÇAMENTO!C$15,ROW(B678)-ROW(B$15),0)</f>
        <v>S</v>
      </c>
      <c r="C678" s="9" t="str">
        <f ca="1">OFFSET(ORÇAMENTO!L$15,ROW(C678)-ROW(C$15),0)</f>
        <v/>
      </c>
      <c r="D678" s="145" t="str">
        <f ca="1">OFFSET(ORÇAMENTO!N$15,ROW(D678)-ROW(D$15),0)</f>
        <v>Serviço</v>
      </c>
      <c r="E678" s="205" t="str">
        <f ca="1">OFFSET(ORÇAMENTO!O$15,ROW(E678)-ROW(E$15),0)</f>
        <v>-</v>
      </c>
      <c r="F678" s="206" t="str">
        <f ca="1">OFFSET(ORÇAMENTO!R$15,ROW(F678)-ROW(F$15),0)</f>
        <v>(abra o arquivo 'Referência 05-2024.xls)</v>
      </c>
      <c r="G678" s="207" t="str">
        <f ca="1">IF($D678&lt;&gt;"Serviço","",OFFSET(ORÇAMENTO!S$15,ROW(G678)-ROW(G$15),0))</f>
        <v>-</v>
      </c>
      <c r="H678" s="151">
        <f ca="1">IF($D678&lt;&gt;"Serviço",0,IF(ACOMPANHAMENTO="BM",ROUND(OFFSET(ORÇAMENTO!AJ$15,ROW(H678)-ROW(H$15),0),15-13*ORÇAMENTO!$AF$7),SUMPRODUCT(($Q$12:$AI$12&lt;&gt;"")*ROUND($Q678:$AI678,15-13*ORÇAMENTO!$AF$7))))</f>
        <v>150</v>
      </c>
      <c r="I678" s="650"/>
      <c r="K678" s="208"/>
      <c r="L678" s="209" t="s">
        <v>257</v>
      </c>
      <c r="M678" s="210">
        <f ca="1">IF($D678&lt;&gt;"Serviço","",IF(AUTOEVENTO="manual",$A678,IF(ISERROR(MATCH($A678,$A$15:OFFSET($A678,-1,0),0)),MAX($M$15:OFFSET(M678,-1,0))+1,INDEX($M$15:OFFSET(M678,-1,0),MATCH($A678,$A$15:OFFSET($A678,-1,0),0)))))</f>
        <v>0</v>
      </c>
      <c r="N678" s="211" t="str">
        <f ca="1">IF($D678&lt;&gt;"Serviço","",IF(AUTOEVENTO="Manual",IF($A678=0,"&lt;-- defina o número do agrupador",OFFSET(EVENTOS!$D$14,$A678,0)),OFFSET($F$15,$A678,0)))</f>
        <v>&lt;-- defina o número do agrupador</v>
      </c>
      <c r="O678" s="212"/>
      <c r="Q678" s="212"/>
      <c r="R678" s="213"/>
      <c r="S678" s="213"/>
      <c r="T678" s="213"/>
      <c r="U678" s="213"/>
      <c r="V678" s="213"/>
      <c r="W678" s="213"/>
      <c r="X678" s="213"/>
      <c r="Y678" s="213"/>
      <c r="Z678" s="214"/>
      <c r="AA678" s="213"/>
      <c r="AB678" s="213"/>
      <c r="AC678" s="213"/>
      <c r="AD678" s="213"/>
      <c r="AE678" s="213"/>
      <c r="AF678" s="213"/>
      <c r="AG678" s="213"/>
      <c r="AH678" s="214"/>
      <c r="AJ678" s="631">
        <f ca="1">IF(AND($D678="Serviço",AJ$12&lt;&gt;0,$H678&gt;0,OR(AUTOEVENTO&lt;&gt;"manual",$M678&lt;&gt;1)),ROUND(OFFSET($P678,0,AJ$13),15-13*ORÇAMENTO!$AF$7)/$H678*OFFSET(ORÇAMENTO!$X$15,ROW(AJ678)-ROW(AJ$15),0),0)</f>
        <v>0</v>
      </c>
      <c r="AK678" s="632">
        <f ca="1">IF(AND($D678="Serviço",AK$12&lt;&gt;0,$H678&gt;0,OR(AUTOEVENTO&lt;&gt;"manual",$M678&lt;&gt;1)),ROUND(OFFSET($P678,0,AK$13),15-13*ORÇAMENTO!$AF$7)/$H678*OFFSET(ORÇAMENTO!$X$15,ROW(AK678)-ROW(AK$15),0),0)</f>
        <v>0</v>
      </c>
      <c r="AL678" s="632">
        <f ca="1">IF(AND($D678="Serviço",AL$12&lt;&gt;0,$H678&gt;0,OR(AUTOEVENTO&lt;&gt;"manual",$M678&lt;&gt;1)),ROUND(OFFSET($P678,0,AL$13),15-13*ORÇAMENTO!$AF$7)/$H678*OFFSET(ORÇAMENTO!$X$15,ROW(AL678)-ROW(AL$15),0),0)</f>
        <v>0</v>
      </c>
      <c r="AM678" s="632">
        <f ca="1">IF(AND($D678="Serviço",AM$12&lt;&gt;0,$H678&gt;0,OR(AUTOEVENTO&lt;&gt;"manual",$M678&lt;&gt;1)),ROUND(OFFSET($P678,0,AM$13),15-13*ORÇAMENTO!$AF$7)/$H678*OFFSET(ORÇAMENTO!$X$15,ROW(AM678)-ROW(AM$15),0),0)</f>
        <v>0</v>
      </c>
      <c r="AN678" s="632">
        <f ca="1">IF(AND($D678="Serviço",AN$12&lt;&gt;0,$H678&gt;0,OR(AUTOEVENTO&lt;&gt;"manual",$M678&lt;&gt;1)),ROUND(OFFSET($P678,0,AN$13),15-13*ORÇAMENTO!$AF$7)/$H678*OFFSET(ORÇAMENTO!$X$15,ROW(AN678)-ROW(AN$15),0),0)</f>
        <v>0</v>
      </c>
      <c r="AO678" s="632">
        <f ca="1">IF(AND($D678="Serviço",AO$12&lt;&gt;0,$H678&gt;0,OR(AUTOEVENTO&lt;&gt;"manual",$M678&lt;&gt;1)),ROUND(OFFSET($P678,0,AO$13),15-13*ORÇAMENTO!$AF$7)/$H678*OFFSET(ORÇAMENTO!$X$15,ROW(AO678)-ROW(AO$15),0),0)</f>
        <v>0</v>
      </c>
      <c r="AP678" s="632">
        <f ca="1">IF(AND($D678="Serviço",AP$12&lt;&gt;0,$H678&gt;0,OR(AUTOEVENTO&lt;&gt;"manual",$M678&lt;&gt;1)),ROUND(OFFSET($P678,0,AP$13),15-13*ORÇAMENTO!$AF$7)/$H678*OFFSET(ORÇAMENTO!$X$15,ROW(AP678)-ROW(AP$15),0),0)</f>
        <v>0</v>
      </c>
      <c r="AQ678" s="632">
        <f ca="1">IF(AND($D678="Serviço",AQ$12&lt;&gt;0,$H678&gt;0,OR(AUTOEVENTO&lt;&gt;"manual",$M678&lt;&gt;1)),ROUND(OFFSET($P678,0,AQ$13),15-13*ORÇAMENTO!$AF$7)/$H678*OFFSET(ORÇAMENTO!$X$15,ROW(AQ678)-ROW(AQ$15),0),0)</f>
        <v>0</v>
      </c>
      <c r="AR678" s="632">
        <f ca="1">IF(AND($D678="Serviço",AR$12&lt;&gt;0,$H678&gt;0,OR(AUTOEVENTO&lt;&gt;"manual",$M678&lt;&gt;1)),ROUND(OFFSET($P678,0,AR$13),15-13*ORÇAMENTO!$AF$7)/$H678*OFFSET(ORÇAMENTO!$X$15,ROW(AR678)-ROW(AR$15),0),0)</f>
        <v>0</v>
      </c>
      <c r="AS678" s="633">
        <f ca="1">IF(AND($D678="Serviço",AS$12&lt;&gt;0,$H678&gt;0,OR(AUTOEVENTO&lt;&gt;"manual",$M678&lt;&gt;1)),ROUND(OFFSET($P678,0,AS$13),15-13*ORÇAMENTO!$AF$7)/$H678*OFFSET(ORÇAMENTO!$X$15,ROW(AS678)-ROW(AS$15),0),0)</f>
        <v>0</v>
      </c>
      <c r="AT678" s="632">
        <f ca="1">IF(AND($D678="Serviço",AT$12&lt;&gt;0,$H678&gt;0,OR(AUTOEVENTO&lt;&gt;"manual",$M678&lt;&gt;1)),ROUND(OFFSET($P678,0,AT$13),15-13*ORÇAMENTO!$AF$7)/$H678*OFFSET(ORÇAMENTO!$X$15,ROW(AT678)-ROW(AT$15),0),0)</f>
        <v>0</v>
      </c>
      <c r="AU678" s="632">
        <f ca="1">IF(AND($D678="Serviço",AU$12&lt;&gt;0,$H678&gt;0,OR(AUTOEVENTO&lt;&gt;"manual",$M678&lt;&gt;1)),ROUND(OFFSET($P678,0,AU$13),15-13*ORÇAMENTO!$AF$7)/$H678*OFFSET(ORÇAMENTO!$X$15,ROW(AU678)-ROW(AU$15),0),0)</f>
        <v>0</v>
      </c>
      <c r="AV678" s="632">
        <f ca="1">IF(AND($D678="Serviço",AV$12&lt;&gt;0,$H678&gt;0,OR(AUTOEVENTO&lt;&gt;"manual",$M678&lt;&gt;1)),ROUND(OFFSET($P678,0,AV$13),15-13*ORÇAMENTO!$AF$7)/$H678*OFFSET(ORÇAMENTO!$X$15,ROW(AV678)-ROW(AV$15),0),0)</f>
        <v>0</v>
      </c>
      <c r="AW678" s="632">
        <f ca="1">IF(AND($D678="Serviço",AW$12&lt;&gt;0,$H678&gt;0,OR(AUTOEVENTO&lt;&gt;"manual",$M678&lt;&gt;1)),ROUND(OFFSET($P678,0,AW$13),15-13*ORÇAMENTO!$AF$7)/$H678*OFFSET(ORÇAMENTO!$X$15,ROW(AW678)-ROW(AW$15),0),0)</f>
        <v>0</v>
      </c>
      <c r="AX678" s="632">
        <f ca="1">IF(AND($D678="Serviço",AX$12&lt;&gt;0,$H678&gt;0,OR(AUTOEVENTO&lt;&gt;"manual",$M678&lt;&gt;1)),ROUND(OFFSET($P678,0,AX$13),15-13*ORÇAMENTO!$AF$7)/$H678*OFFSET(ORÇAMENTO!$X$15,ROW(AX678)-ROW(AX$15),0),0)</f>
        <v>0</v>
      </c>
      <c r="AY678" s="632">
        <f ca="1">IF(AND($D678="Serviço",AY$12&lt;&gt;0,$H678&gt;0,OR(AUTOEVENTO&lt;&gt;"manual",$M678&lt;&gt;1)),ROUND(OFFSET($P678,0,AY$13),15-13*ORÇAMENTO!$AF$7)/$H678*OFFSET(ORÇAMENTO!$X$15,ROW(AY678)-ROW(AY$15),0),0)</f>
        <v>0</v>
      </c>
      <c r="AZ678" s="632">
        <f ca="1">IF(AND($D678="Serviço",AZ$12&lt;&gt;0,$H678&gt;0,OR(AUTOEVENTO&lt;&gt;"manual",$M678&lt;&gt;1)),ROUND(OFFSET($P678,0,AZ$13),15-13*ORÇAMENTO!$AF$7)/$H678*OFFSET(ORÇAMENTO!$X$15,ROW(AZ678)-ROW(AZ$15),0),0)</f>
        <v>0</v>
      </c>
      <c r="BA678" s="633">
        <f ca="1">IF(AND($D678="Serviço",BA$12&lt;&gt;0,$H678&gt;0,OR(AUTOEVENTO&lt;&gt;"manual",$M678&lt;&gt;1)),ROUND(OFFSET($P678,0,BA$13),15-13*ORÇAMENTO!$AF$7)/$H678*OFFSET(ORÇAMENTO!$X$15,ROW(BA678)-ROW(BA$15),0),0)</f>
        <v>0</v>
      </c>
      <c r="BC678" s="215">
        <f ca="1">IF($D678&lt;&gt;"Serviço",0,IF(AND(AUTOEVENTO="Manual",$M678=1),0,IF(OFFSET(CRONOPLE!$F$14,$M678,BC$13)="",10^12,OFFSET(CRONOPLE!$F$14,$M678,BC$13))))</f>
        <v>1000000000000</v>
      </c>
      <c r="BD678" s="215">
        <f ca="1">IF($D678&lt;&gt;"Serviço",0,IF(AND(AUTOEVENTO="Manual",$M678=1),0,IF(OFFSET(CRONOPLE!$F$14,$M678,BD$13)="",10^12,OFFSET(CRONOPLE!$F$14,$M678,BD$13))))</f>
        <v>1000000000000</v>
      </c>
      <c r="BE678" s="215">
        <f ca="1">IF($D678&lt;&gt;"Serviço",0,IF(AND(AUTOEVENTO="Manual",$M678=1),0,IF(OFFSET(CRONOPLE!$F$14,$M678,BE$13)="",10^12,OFFSET(CRONOPLE!$F$14,$M678,BE$13))))</f>
        <v>1000000000000</v>
      </c>
      <c r="BF678" s="215">
        <f ca="1">IF($D678&lt;&gt;"Serviço",0,IF(AND(AUTOEVENTO="Manual",$M678=1),0,IF(OFFSET(CRONOPLE!$F$14,$M678,BF$13)="",10^12,OFFSET(CRONOPLE!$F$14,$M678,BF$13))))</f>
        <v>1000000000000</v>
      </c>
      <c r="BG678" s="215">
        <f ca="1">IF($D678&lt;&gt;"Serviço",0,IF(AND(AUTOEVENTO="Manual",$M678=1),0,IF(OFFSET(CRONOPLE!$F$14,$M678,BG$13)="",10^12,OFFSET(CRONOPLE!$F$14,$M678,BG$13))))</f>
        <v>1000000000000</v>
      </c>
      <c r="BH678" s="215">
        <f ca="1">IF($D678&lt;&gt;"Serviço",0,IF(AND(AUTOEVENTO="Manual",$M678=1),0,IF(OFFSET(CRONOPLE!$F$14,$M678,BH$13)="",10^12,OFFSET(CRONOPLE!$F$14,$M678,BH$13))))</f>
        <v>1000000000000</v>
      </c>
      <c r="BI678" s="215">
        <f ca="1">IF($D678&lt;&gt;"Serviço",0,IF(AND(AUTOEVENTO="Manual",$M678=1),0,IF(OFFSET(CRONOPLE!$F$14,$M678,BI$13)="",10^12,OFFSET(CRONOPLE!$F$14,$M678,BI$13))))</f>
        <v>1000000000000</v>
      </c>
      <c r="BJ678" s="215">
        <f ca="1">IF($D678&lt;&gt;"Serviço",0,IF(AND(AUTOEVENTO="Manual",$M678=1),0,IF(OFFSET(CRONOPLE!$F$14,$M678,BJ$13)="",10^12,OFFSET(CRONOPLE!$F$14,$M678,BJ$13))))</f>
        <v>1000000000000</v>
      </c>
      <c r="BK678" s="215">
        <f ca="1">IF($D678&lt;&gt;"Serviço",0,IF(AND(AUTOEVENTO="Manual",$M678=1),0,IF(OFFSET(CRONOPLE!$F$14,$M678,BK$13)="",10^12,OFFSET(CRONOPLE!$F$14,$M678,BK$13))))</f>
        <v>1000000000000</v>
      </c>
      <c r="BL678" s="215">
        <f ca="1">IF($D678&lt;&gt;"Serviço",0,IF(AND(AUTOEVENTO="Manual",$M678=1),0,IF(OFFSET(CRONOPLE!$F$14,$M678,BL$13)="",10^12,OFFSET(CRONOPLE!$F$14,$M678,BL$13))))</f>
        <v>1000000000000</v>
      </c>
      <c r="BM678" s="215">
        <f ca="1">IF($D678&lt;&gt;"Serviço",0,IF(AND(AUTOEVENTO="Manual",$M678=1),0,IF(OFFSET(CRONOPLE!$F$14,$M678,BM$13)="",10^12,OFFSET(CRONOPLE!$F$14,$M678,BM$13))))</f>
        <v>1000000000000</v>
      </c>
      <c r="BN678" s="215">
        <f ca="1">IF($D678&lt;&gt;"Serviço",0,IF(AND(AUTOEVENTO="Manual",$M678=1),0,IF(OFFSET(CRONOPLE!$F$14,$M678,BN$13)="",10^12,OFFSET(CRONOPLE!$F$14,$M678,BN$13))))</f>
        <v>1000000000000</v>
      </c>
      <c r="BO678" s="215">
        <f ca="1">IF($D678&lt;&gt;"Serviço",0,IF(AND(AUTOEVENTO="Manual",$M678=1),0,IF(OFFSET(CRONOPLE!$F$14,$M678,BO$13)="",10^12,OFFSET(CRONOPLE!$F$14,$M678,BO$13))))</f>
        <v>1000000000000</v>
      </c>
      <c r="BP678" s="215">
        <f ca="1">IF($D678&lt;&gt;"Serviço",0,IF(AND(AUTOEVENTO="Manual",$M678=1),0,IF(OFFSET(CRONOPLE!$F$14,$M678,BP$13)="",10^12,OFFSET(CRONOPLE!$F$14,$M678,BP$13))))</f>
        <v>1000000000000</v>
      </c>
      <c r="BQ678" s="215">
        <f ca="1">IF($D678&lt;&gt;"Serviço",0,IF(AND(AUTOEVENTO="Manual",$M678=1),0,IF(OFFSET(CRONOPLE!$F$14,$M678,BQ$13)="",10^12,OFFSET(CRONOPLE!$F$14,$M678,BQ$13))))</f>
        <v>1000000000000</v>
      </c>
      <c r="BR678" s="215">
        <f ca="1">IF($D678&lt;&gt;"Serviço",0,IF(AND(AUTOEVENTO="Manual",$M678=1),0,IF(OFFSET(CRONOPLE!$F$14,$M678,BR$13)="",10^12,OFFSET(CRONOPLE!$F$14,$M678,BR$13))))</f>
        <v>1000000000000</v>
      </c>
      <c r="BS678" s="215">
        <f ca="1">IF($D678&lt;&gt;"Serviço",0,IF(AND(AUTOEVENTO="Manual",$M678=1),0,IF(OFFSET(CRONOPLE!$F$14,$M678,BS$13)="",10^12,OFFSET(CRONOPLE!$F$14,$M678,BS$13))))</f>
        <v>1000000000000</v>
      </c>
      <c r="BT678" s="215">
        <f ca="1">IF($D678&lt;&gt;"Serviço",0,IF(AND(AUTOEVENTO="Manual",$M678=1),0,IF(OFFSET(CRONOPLE!$F$14,$M678,BT$13)="",10^12,OFFSET(CRONOPLE!$F$14,$M678,BT$13))))</f>
        <v>1000000000000</v>
      </c>
      <c r="BV678" s="216">
        <f ca="1">IF($D678&lt;&gt;"Serviço",0,IF(OR(AND(AUTOEVENTO="Manual",$M678=1),$M678&gt;(ROW(PLE.lastrow)-ROW(PLE.firstrow))),0,IF(OFFSET(PLE!$G$14,$M678,BV$13)="",10^12,OFFSET(PLE!$G$14,$M678,BV$13))))</f>
        <v>1000000000000</v>
      </c>
      <c r="BW678" s="216">
        <f ca="1">IF($D678&lt;&gt;"Serviço",0,IF(OR(AND(AUTOEVENTO="Manual",$M678=1),$M678&gt;(ROW(PLE.lastrow)-ROW(PLE.firstrow))),0,IF(OFFSET(PLE!$G$14,$M678,BW$13)="",10^12,OFFSET(PLE!$G$14,$M678,BW$13))))</f>
        <v>1000000000000</v>
      </c>
      <c r="BX678" s="216">
        <f ca="1">IF($D678&lt;&gt;"Serviço",0,IF(OR(AND(AUTOEVENTO="Manual",$M678=1),$M678&gt;(ROW(PLE.lastrow)-ROW(PLE.firstrow))),0,IF(OFFSET(PLE!$G$14,$M678,BX$13)="",10^12,OFFSET(PLE!$G$14,$M678,BX$13))))</f>
        <v>1000000000000</v>
      </c>
      <c r="BY678" s="216">
        <f ca="1">IF($D678&lt;&gt;"Serviço",0,IF(OR(AND(AUTOEVENTO="Manual",$M678=1),$M678&gt;(ROW(PLE.lastrow)-ROW(PLE.firstrow))),0,IF(OFFSET(PLE!$G$14,$M678,BY$13)="",10^12,OFFSET(PLE!$G$14,$M678,BY$13))))</f>
        <v>1000000000000</v>
      </c>
      <c r="BZ678" s="216">
        <f ca="1">IF($D678&lt;&gt;"Serviço",0,IF(OR(AND(AUTOEVENTO="Manual",$M678=1),$M678&gt;(ROW(PLE.lastrow)-ROW(PLE.firstrow))),0,IF(OFFSET(PLE!$G$14,$M678,BZ$13)="",10^12,OFFSET(PLE!$G$14,$M678,BZ$13))))</f>
        <v>1000000000000</v>
      </c>
      <c r="CA678" s="216">
        <f ca="1">IF($D678&lt;&gt;"Serviço",0,IF(OR(AND(AUTOEVENTO="Manual",$M678=1),$M678&gt;(ROW(PLE.lastrow)-ROW(PLE.firstrow))),0,IF(OFFSET(PLE!$G$14,$M678,CA$13)="",10^12,OFFSET(PLE!$G$14,$M678,CA$13))))</f>
        <v>1000000000000</v>
      </c>
      <c r="CB678" s="216">
        <f ca="1">IF($D678&lt;&gt;"Serviço",0,IF(OR(AND(AUTOEVENTO="Manual",$M678=1),$M678&gt;(ROW(PLE.lastrow)-ROW(PLE.firstrow))),0,IF(OFFSET(PLE!$G$14,$M678,CB$13)="",10^12,OFFSET(PLE!$G$14,$M678,CB$13))))</f>
        <v>1000000000000</v>
      </c>
      <c r="CC678" s="216">
        <f ca="1">IF($D678&lt;&gt;"Serviço",0,IF(OR(AND(AUTOEVENTO="Manual",$M678=1),$M678&gt;(ROW(PLE.lastrow)-ROW(PLE.firstrow))),0,IF(OFFSET(PLE!$G$14,$M678,CC$13)="",10^12,OFFSET(PLE!$G$14,$M678,CC$13))))</f>
        <v>1000000000000</v>
      </c>
      <c r="CD678" s="216">
        <f ca="1">IF($D678&lt;&gt;"Serviço",0,IF(OR(AND(AUTOEVENTO="Manual",$M678=1),$M678&gt;(ROW(PLE.lastrow)-ROW(PLE.firstrow))),0,IF(OFFSET(PLE!$G$14,$M678,CD$13)="",10^12,OFFSET(PLE!$G$14,$M678,CD$13))))</f>
        <v>1000000000000</v>
      </c>
      <c r="CE678" s="216">
        <f ca="1">IF($D678&lt;&gt;"Serviço",0,IF(OR(AND(AUTOEVENTO="Manual",$M678=1),$M678&gt;(ROW(PLE.lastrow)-ROW(PLE.firstrow))),0,IF(OFFSET(PLE!$G$14,$M678,CE$13)="",10^12,OFFSET(PLE!$G$14,$M678,CE$13))))</f>
        <v>1000000000000</v>
      </c>
      <c r="CF678" s="216">
        <f ca="1">IF($D678&lt;&gt;"Serviço",0,IF(OR(AND(AUTOEVENTO="Manual",$M678=1),$M678&gt;(ROW(PLE.lastrow)-ROW(PLE.firstrow))),0,IF(OFFSET(PLE!$G$14,$M678,CF$13)="",10^12,OFFSET(PLE!$G$14,$M678,CF$13))))</f>
        <v>1000000000000</v>
      </c>
      <c r="CG678" s="216">
        <f ca="1">IF($D678&lt;&gt;"Serviço",0,IF(OR(AND(AUTOEVENTO="Manual",$M678=1),$M678&gt;(ROW(PLE.lastrow)-ROW(PLE.firstrow))),0,IF(OFFSET(PLE!$G$14,$M678,CG$13)="",10^12,OFFSET(PLE!$G$14,$M678,CG$13))))</f>
        <v>1000000000000</v>
      </c>
      <c r="CH678" s="216">
        <f ca="1">IF($D678&lt;&gt;"Serviço",0,IF(OR(AND(AUTOEVENTO="Manual",$M678=1),$M678&gt;(ROW(PLE.lastrow)-ROW(PLE.firstrow))),0,IF(OFFSET(PLE!$G$14,$M678,CH$13)="",10^12,OFFSET(PLE!$G$14,$M678,CH$13))))</f>
        <v>1000000000000</v>
      </c>
      <c r="CI678" s="216">
        <f ca="1">IF($D678&lt;&gt;"Serviço",0,IF(OR(AND(AUTOEVENTO="Manual",$M678=1),$M678&gt;(ROW(PLE.lastrow)-ROW(PLE.firstrow))),0,IF(OFFSET(PLE!$G$14,$M678,CI$13)="",10^12,OFFSET(PLE!$G$14,$M678,CI$13))))</f>
        <v>1000000000000</v>
      </c>
      <c r="CJ678" s="216">
        <f ca="1">IF($D678&lt;&gt;"Serviço",0,IF(OR(AND(AUTOEVENTO="Manual",$M678=1),$M678&gt;(ROW(PLE.lastrow)-ROW(PLE.firstrow))),0,IF(OFFSET(PLE!$G$14,$M678,CJ$13)="",10^12,OFFSET(PLE!$G$14,$M678,CJ$13))))</f>
        <v>1000000000000</v>
      </c>
      <c r="CK678" s="216">
        <f ca="1">IF($D678&lt;&gt;"Serviço",0,IF(OR(AND(AUTOEVENTO="Manual",$M678=1),$M678&gt;(ROW(PLE.lastrow)-ROW(PLE.firstrow))),0,IF(OFFSET(PLE!$G$14,$M678,CK$13)="",10^12,OFFSET(PLE!$G$14,$M678,CK$13))))</f>
        <v>1000000000000</v>
      </c>
      <c r="CL678" s="216">
        <f ca="1">IF($D678&lt;&gt;"Serviço",0,IF(OR(AND(AUTOEVENTO="Manual",$M678=1),$M678&gt;(ROW(PLE.lastrow)-ROW(PLE.firstrow))),0,IF(OFFSET(PLE!$G$14,$M678,CL$13)="",10^12,OFFSET(PLE!$G$14,$M678,CL$13))))</f>
        <v>1000000000000</v>
      </c>
      <c r="CM678" s="216">
        <f ca="1">IF($D678&lt;&gt;"Serviço",0,IF(OR(AND(AUTOEVENTO="Manual",$M678=1),$M678&gt;(ROW(PLE.lastrow)-ROW(PLE.firstrow))),0,IF(OFFSET(PLE!$G$14,$M678,CM$13)="",10^12,OFFSET(PLE!$G$14,$M678,CM$13))))</f>
        <v>1000000000000</v>
      </c>
    </row>
    <row r="679" spans="1:91" ht="13.2" x14ac:dyDescent="0.25">
      <c r="A679" s="9">
        <f t="shared" ca="1" si="20"/>
        <v>0</v>
      </c>
      <c r="B679" s="9" t="str">
        <f ca="1">OFFSET(ORÇAMENTO!C$15,ROW(B679)-ROW(B$15),0)</f>
        <v>S</v>
      </c>
      <c r="C679" s="9" t="str">
        <f ca="1">OFFSET(ORÇAMENTO!L$15,ROW(C679)-ROW(C$15),0)</f>
        <v/>
      </c>
      <c r="D679" s="145" t="str">
        <f ca="1">OFFSET(ORÇAMENTO!N$15,ROW(D679)-ROW(D$15),0)</f>
        <v>Serviço</v>
      </c>
      <c r="E679" s="205" t="str">
        <f ca="1">OFFSET(ORÇAMENTO!O$15,ROW(E679)-ROW(E$15),0)</f>
        <v>-</v>
      </c>
      <c r="F679" s="206" t="str">
        <f ca="1">OFFSET(ORÇAMENTO!R$15,ROW(F679)-ROW(F$15),0)</f>
        <v>(abra o arquivo 'Referência 05-2024.xls)</v>
      </c>
      <c r="G679" s="207" t="str">
        <f ca="1">IF($D679&lt;&gt;"Serviço","",OFFSET(ORÇAMENTO!S$15,ROW(G679)-ROW(G$15),0))</f>
        <v>-</v>
      </c>
      <c r="H679" s="151">
        <f ca="1">IF($D679&lt;&gt;"Serviço",0,IF(ACOMPANHAMENTO="BM",ROUND(OFFSET(ORÇAMENTO!AJ$15,ROW(H679)-ROW(H$15),0),15-13*ORÇAMENTO!$AF$7),SUMPRODUCT(($Q$12:$AI$12&lt;&gt;"")*ROUND($Q679:$AI679,15-13*ORÇAMENTO!$AF$7))))</f>
        <v>1</v>
      </c>
      <c r="I679" s="650"/>
      <c r="K679" s="208"/>
      <c r="L679" s="209" t="s">
        <v>257</v>
      </c>
      <c r="M679" s="210">
        <f ca="1">IF($D679&lt;&gt;"Serviço","",IF(AUTOEVENTO="manual",$A679,IF(ISERROR(MATCH($A679,$A$15:OFFSET($A679,-1,0),0)),MAX($M$15:OFFSET(M679,-1,0))+1,INDEX($M$15:OFFSET(M679,-1,0),MATCH($A679,$A$15:OFFSET($A679,-1,0),0)))))</f>
        <v>0</v>
      </c>
      <c r="N679" s="211" t="str">
        <f ca="1">IF($D679&lt;&gt;"Serviço","",IF(AUTOEVENTO="Manual",IF($A679=0,"&lt;-- defina o número do agrupador",OFFSET(EVENTOS!$D$14,$A679,0)),OFFSET($F$15,$A679,0)))</f>
        <v>&lt;-- defina o número do agrupador</v>
      </c>
      <c r="O679" s="212"/>
      <c r="Q679" s="212"/>
      <c r="R679" s="213"/>
      <c r="S679" s="213"/>
      <c r="T679" s="213"/>
      <c r="U679" s="213"/>
      <c r="V679" s="213"/>
      <c r="W679" s="213"/>
      <c r="X679" s="213"/>
      <c r="Y679" s="213"/>
      <c r="Z679" s="214"/>
      <c r="AA679" s="213"/>
      <c r="AB679" s="213"/>
      <c r="AC679" s="213"/>
      <c r="AD679" s="213"/>
      <c r="AE679" s="213"/>
      <c r="AF679" s="213"/>
      <c r="AG679" s="213"/>
      <c r="AH679" s="214"/>
      <c r="AJ679" s="631">
        <f ca="1">IF(AND($D679="Serviço",AJ$12&lt;&gt;0,$H679&gt;0,OR(AUTOEVENTO&lt;&gt;"manual",$M679&lt;&gt;1)),ROUND(OFFSET($P679,0,AJ$13),15-13*ORÇAMENTO!$AF$7)/$H679*OFFSET(ORÇAMENTO!$X$15,ROW(AJ679)-ROW(AJ$15),0),0)</f>
        <v>0</v>
      </c>
      <c r="AK679" s="632">
        <f ca="1">IF(AND($D679="Serviço",AK$12&lt;&gt;0,$H679&gt;0,OR(AUTOEVENTO&lt;&gt;"manual",$M679&lt;&gt;1)),ROUND(OFFSET($P679,0,AK$13),15-13*ORÇAMENTO!$AF$7)/$H679*OFFSET(ORÇAMENTO!$X$15,ROW(AK679)-ROW(AK$15),0),0)</f>
        <v>0</v>
      </c>
      <c r="AL679" s="632">
        <f ca="1">IF(AND($D679="Serviço",AL$12&lt;&gt;0,$H679&gt;0,OR(AUTOEVENTO&lt;&gt;"manual",$M679&lt;&gt;1)),ROUND(OFFSET($P679,0,AL$13),15-13*ORÇAMENTO!$AF$7)/$H679*OFFSET(ORÇAMENTO!$X$15,ROW(AL679)-ROW(AL$15),0),0)</f>
        <v>0</v>
      </c>
      <c r="AM679" s="632">
        <f ca="1">IF(AND($D679="Serviço",AM$12&lt;&gt;0,$H679&gt;0,OR(AUTOEVENTO&lt;&gt;"manual",$M679&lt;&gt;1)),ROUND(OFFSET($P679,0,AM$13),15-13*ORÇAMENTO!$AF$7)/$H679*OFFSET(ORÇAMENTO!$X$15,ROW(AM679)-ROW(AM$15),0),0)</f>
        <v>0</v>
      </c>
      <c r="AN679" s="632">
        <f ca="1">IF(AND($D679="Serviço",AN$12&lt;&gt;0,$H679&gt;0,OR(AUTOEVENTO&lt;&gt;"manual",$M679&lt;&gt;1)),ROUND(OFFSET($P679,0,AN$13),15-13*ORÇAMENTO!$AF$7)/$H679*OFFSET(ORÇAMENTO!$X$15,ROW(AN679)-ROW(AN$15),0),0)</f>
        <v>0</v>
      </c>
      <c r="AO679" s="632">
        <f ca="1">IF(AND($D679="Serviço",AO$12&lt;&gt;0,$H679&gt;0,OR(AUTOEVENTO&lt;&gt;"manual",$M679&lt;&gt;1)),ROUND(OFFSET($P679,0,AO$13),15-13*ORÇAMENTO!$AF$7)/$H679*OFFSET(ORÇAMENTO!$X$15,ROW(AO679)-ROW(AO$15),0),0)</f>
        <v>0</v>
      </c>
      <c r="AP679" s="632">
        <f ca="1">IF(AND($D679="Serviço",AP$12&lt;&gt;0,$H679&gt;0,OR(AUTOEVENTO&lt;&gt;"manual",$M679&lt;&gt;1)),ROUND(OFFSET($P679,0,AP$13),15-13*ORÇAMENTO!$AF$7)/$H679*OFFSET(ORÇAMENTO!$X$15,ROW(AP679)-ROW(AP$15),0),0)</f>
        <v>0</v>
      </c>
      <c r="AQ679" s="632">
        <f ca="1">IF(AND($D679="Serviço",AQ$12&lt;&gt;0,$H679&gt;0,OR(AUTOEVENTO&lt;&gt;"manual",$M679&lt;&gt;1)),ROUND(OFFSET($P679,0,AQ$13),15-13*ORÇAMENTO!$AF$7)/$H679*OFFSET(ORÇAMENTO!$X$15,ROW(AQ679)-ROW(AQ$15),0),0)</f>
        <v>0</v>
      </c>
      <c r="AR679" s="632">
        <f ca="1">IF(AND($D679="Serviço",AR$12&lt;&gt;0,$H679&gt;0,OR(AUTOEVENTO&lt;&gt;"manual",$M679&lt;&gt;1)),ROUND(OFFSET($P679,0,AR$13),15-13*ORÇAMENTO!$AF$7)/$H679*OFFSET(ORÇAMENTO!$X$15,ROW(AR679)-ROW(AR$15),0),0)</f>
        <v>0</v>
      </c>
      <c r="AS679" s="633">
        <f ca="1">IF(AND($D679="Serviço",AS$12&lt;&gt;0,$H679&gt;0,OR(AUTOEVENTO&lt;&gt;"manual",$M679&lt;&gt;1)),ROUND(OFFSET($P679,0,AS$13),15-13*ORÇAMENTO!$AF$7)/$H679*OFFSET(ORÇAMENTO!$X$15,ROW(AS679)-ROW(AS$15),0),0)</f>
        <v>0</v>
      </c>
      <c r="AT679" s="632">
        <f ca="1">IF(AND($D679="Serviço",AT$12&lt;&gt;0,$H679&gt;0,OR(AUTOEVENTO&lt;&gt;"manual",$M679&lt;&gt;1)),ROUND(OFFSET($P679,0,AT$13),15-13*ORÇAMENTO!$AF$7)/$H679*OFFSET(ORÇAMENTO!$X$15,ROW(AT679)-ROW(AT$15),0),0)</f>
        <v>0</v>
      </c>
      <c r="AU679" s="632">
        <f ca="1">IF(AND($D679="Serviço",AU$12&lt;&gt;0,$H679&gt;0,OR(AUTOEVENTO&lt;&gt;"manual",$M679&lt;&gt;1)),ROUND(OFFSET($P679,0,AU$13),15-13*ORÇAMENTO!$AF$7)/$H679*OFFSET(ORÇAMENTO!$X$15,ROW(AU679)-ROW(AU$15),0),0)</f>
        <v>0</v>
      </c>
      <c r="AV679" s="632">
        <f ca="1">IF(AND($D679="Serviço",AV$12&lt;&gt;0,$H679&gt;0,OR(AUTOEVENTO&lt;&gt;"manual",$M679&lt;&gt;1)),ROUND(OFFSET($P679,0,AV$13),15-13*ORÇAMENTO!$AF$7)/$H679*OFFSET(ORÇAMENTO!$X$15,ROW(AV679)-ROW(AV$15),0),0)</f>
        <v>0</v>
      </c>
      <c r="AW679" s="632">
        <f ca="1">IF(AND($D679="Serviço",AW$12&lt;&gt;0,$H679&gt;0,OR(AUTOEVENTO&lt;&gt;"manual",$M679&lt;&gt;1)),ROUND(OFFSET($P679,0,AW$13),15-13*ORÇAMENTO!$AF$7)/$H679*OFFSET(ORÇAMENTO!$X$15,ROW(AW679)-ROW(AW$15),0),0)</f>
        <v>0</v>
      </c>
      <c r="AX679" s="632">
        <f ca="1">IF(AND($D679="Serviço",AX$12&lt;&gt;0,$H679&gt;0,OR(AUTOEVENTO&lt;&gt;"manual",$M679&lt;&gt;1)),ROUND(OFFSET($P679,0,AX$13),15-13*ORÇAMENTO!$AF$7)/$H679*OFFSET(ORÇAMENTO!$X$15,ROW(AX679)-ROW(AX$15),0),0)</f>
        <v>0</v>
      </c>
      <c r="AY679" s="632">
        <f ca="1">IF(AND($D679="Serviço",AY$12&lt;&gt;0,$H679&gt;0,OR(AUTOEVENTO&lt;&gt;"manual",$M679&lt;&gt;1)),ROUND(OFFSET($P679,0,AY$13),15-13*ORÇAMENTO!$AF$7)/$H679*OFFSET(ORÇAMENTO!$X$15,ROW(AY679)-ROW(AY$15),0),0)</f>
        <v>0</v>
      </c>
      <c r="AZ679" s="632">
        <f ca="1">IF(AND($D679="Serviço",AZ$12&lt;&gt;0,$H679&gt;0,OR(AUTOEVENTO&lt;&gt;"manual",$M679&lt;&gt;1)),ROUND(OFFSET($P679,0,AZ$13),15-13*ORÇAMENTO!$AF$7)/$H679*OFFSET(ORÇAMENTO!$X$15,ROW(AZ679)-ROW(AZ$15),0),0)</f>
        <v>0</v>
      </c>
      <c r="BA679" s="633">
        <f ca="1">IF(AND($D679="Serviço",BA$12&lt;&gt;0,$H679&gt;0,OR(AUTOEVENTO&lt;&gt;"manual",$M679&lt;&gt;1)),ROUND(OFFSET($P679,0,BA$13),15-13*ORÇAMENTO!$AF$7)/$H679*OFFSET(ORÇAMENTO!$X$15,ROW(BA679)-ROW(BA$15),0),0)</f>
        <v>0</v>
      </c>
      <c r="BC679" s="215">
        <f ca="1">IF($D679&lt;&gt;"Serviço",0,IF(AND(AUTOEVENTO="Manual",$M679=1),0,IF(OFFSET(CRONOPLE!$F$14,$M679,BC$13)="",10^12,OFFSET(CRONOPLE!$F$14,$M679,BC$13))))</f>
        <v>1000000000000</v>
      </c>
      <c r="BD679" s="215">
        <f ca="1">IF($D679&lt;&gt;"Serviço",0,IF(AND(AUTOEVENTO="Manual",$M679=1),0,IF(OFFSET(CRONOPLE!$F$14,$M679,BD$13)="",10^12,OFFSET(CRONOPLE!$F$14,$M679,BD$13))))</f>
        <v>1000000000000</v>
      </c>
      <c r="BE679" s="215">
        <f ca="1">IF($D679&lt;&gt;"Serviço",0,IF(AND(AUTOEVENTO="Manual",$M679=1),0,IF(OFFSET(CRONOPLE!$F$14,$M679,BE$13)="",10^12,OFFSET(CRONOPLE!$F$14,$M679,BE$13))))</f>
        <v>1000000000000</v>
      </c>
      <c r="BF679" s="215">
        <f ca="1">IF($D679&lt;&gt;"Serviço",0,IF(AND(AUTOEVENTO="Manual",$M679=1),0,IF(OFFSET(CRONOPLE!$F$14,$M679,BF$13)="",10^12,OFFSET(CRONOPLE!$F$14,$M679,BF$13))))</f>
        <v>1000000000000</v>
      </c>
      <c r="BG679" s="215">
        <f ca="1">IF($D679&lt;&gt;"Serviço",0,IF(AND(AUTOEVENTO="Manual",$M679=1),0,IF(OFFSET(CRONOPLE!$F$14,$M679,BG$13)="",10^12,OFFSET(CRONOPLE!$F$14,$M679,BG$13))))</f>
        <v>1000000000000</v>
      </c>
      <c r="BH679" s="215">
        <f ca="1">IF($D679&lt;&gt;"Serviço",0,IF(AND(AUTOEVENTO="Manual",$M679=1),0,IF(OFFSET(CRONOPLE!$F$14,$M679,BH$13)="",10^12,OFFSET(CRONOPLE!$F$14,$M679,BH$13))))</f>
        <v>1000000000000</v>
      </c>
      <c r="BI679" s="215">
        <f ca="1">IF($D679&lt;&gt;"Serviço",0,IF(AND(AUTOEVENTO="Manual",$M679=1),0,IF(OFFSET(CRONOPLE!$F$14,$M679,BI$13)="",10^12,OFFSET(CRONOPLE!$F$14,$M679,BI$13))))</f>
        <v>1000000000000</v>
      </c>
      <c r="BJ679" s="215">
        <f ca="1">IF($D679&lt;&gt;"Serviço",0,IF(AND(AUTOEVENTO="Manual",$M679=1),0,IF(OFFSET(CRONOPLE!$F$14,$M679,BJ$13)="",10^12,OFFSET(CRONOPLE!$F$14,$M679,BJ$13))))</f>
        <v>1000000000000</v>
      </c>
      <c r="BK679" s="215">
        <f ca="1">IF($D679&lt;&gt;"Serviço",0,IF(AND(AUTOEVENTO="Manual",$M679=1),0,IF(OFFSET(CRONOPLE!$F$14,$M679,BK$13)="",10^12,OFFSET(CRONOPLE!$F$14,$M679,BK$13))))</f>
        <v>1000000000000</v>
      </c>
      <c r="BL679" s="215">
        <f ca="1">IF($D679&lt;&gt;"Serviço",0,IF(AND(AUTOEVENTO="Manual",$M679=1),0,IF(OFFSET(CRONOPLE!$F$14,$M679,BL$13)="",10^12,OFFSET(CRONOPLE!$F$14,$M679,BL$13))))</f>
        <v>1000000000000</v>
      </c>
      <c r="BM679" s="215">
        <f ca="1">IF($D679&lt;&gt;"Serviço",0,IF(AND(AUTOEVENTO="Manual",$M679=1),0,IF(OFFSET(CRONOPLE!$F$14,$M679,BM$13)="",10^12,OFFSET(CRONOPLE!$F$14,$M679,BM$13))))</f>
        <v>1000000000000</v>
      </c>
      <c r="BN679" s="215">
        <f ca="1">IF($D679&lt;&gt;"Serviço",0,IF(AND(AUTOEVENTO="Manual",$M679=1),0,IF(OFFSET(CRONOPLE!$F$14,$M679,BN$13)="",10^12,OFFSET(CRONOPLE!$F$14,$M679,BN$13))))</f>
        <v>1000000000000</v>
      </c>
      <c r="BO679" s="215">
        <f ca="1">IF($D679&lt;&gt;"Serviço",0,IF(AND(AUTOEVENTO="Manual",$M679=1),0,IF(OFFSET(CRONOPLE!$F$14,$M679,BO$13)="",10^12,OFFSET(CRONOPLE!$F$14,$M679,BO$13))))</f>
        <v>1000000000000</v>
      </c>
      <c r="BP679" s="215">
        <f ca="1">IF($D679&lt;&gt;"Serviço",0,IF(AND(AUTOEVENTO="Manual",$M679=1),0,IF(OFFSET(CRONOPLE!$F$14,$M679,BP$13)="",10^12,OFFSET(CRONOPLE!$F$14,$M679,BP$13))))</f>
        <v>1000000000000</v>
      </c>
      <c r="BQ679" s="215">
        <f ca="1">IF($D679&lt;&gt;"Serviço",0,IF(AND(AUTOEVENTO="Manual",$M679=1),0,IF(OFFSET(CRONOPLE!$F$14,$M679,BQ$13)="",10^12,OFFSET(CRONOPLE!$F$14,$M679,BQ$13))))</f>
        <v>1000000000000</v>
      </c>
      <c r="BR679" s="215">
        <f ca="1">IF($D679&lt;&gt;"Serviço",0,IF(AND(AUTOEVENTO="Manual",$M679=1),0,IF(OFFSET(CRONOPLE!$F$14,$M679,BR$13)="",10^12,OFFSET(CRONOPLE!$F$14,$M679,BR$13))))</f>
        <v>1000000000000</v>
      </c>
      <c r="BS679" s="215">
        <f ca="1">IF($D679&lt;&gt;"Serviço",0,IF(AND(AUTOEVENTO="Manual",$M679=1),0,IF(OFFSET(CRONOPLE!$F$14,$M679,BS$13)="",10^12,OFFSET(CRONOPLE!$F$14,$M679,BS$13))))</f>
        <v>1000000000000</v>
      </c>
      <c r="BT679" s="215">
        <f ca="1">IF($D679&lt;&gt;"Serviço",0,IF(AND(AUTOEVENTO="Manual",$M679=1),0,IF(OFFSET(CRONOPLE!$F$14,$M679,BT$13)="",10^12,OFFSET(CRONOPLE!$F$14,$M679,BT$13))))</f>
        <v>1000000000000</v>
      </c>
      <c r="BV679" s="216">
        <f ca="1">IF($D679&lt;&gt;"Serviço",0,IF(OR(AND(AUTOEVENTO="Manual",$M679=1),$M679&gt;(ROW(PLE.lastrow)-ROW(PLE.firstrow))),0,IF(OFFSET(PLE!$G$14,$M679,BV$13)="",10^12,OFFSET(PLE!$G$14,$M679,BV$13))))</f>
        <v>1000000000000</v>
      </c>
      <c r="BW679" s="216">
        <f ca="1">IF($D679&lt;&gt;"Serviço",0,IF(OR(AND(AUTOEVENTO="Manual",$M679=1),$M679&gt;(ROW(PLE.lastrow)-ROW(PLE.firstrow))),0,IF(OFFSET(PLE!$G$14,$M679,BW$13)="",10^12,OFFSET(PLE!$G$14,$M679,BW$13))))</f>
        <v>1000000000000</v>
      </c>
      <c r="BX679" s="216">
        <f ca="1">IF($D679&lt;&gt;"Serviço",0,IF(OR(AND(AUTOEVENTO="Manual",$M679=1),$M679&gt;(ROW(PLE.lastrow)-ROW(PLE.firstrow))),0,IF(OFFSET(PLE!$G$14,$M679,BX$13)="",10^12,OFFSET(PLE!$G$14,$M679,BX$13))))</f>
        <v>1000000000000</v>
      </c>
      <c r="BY679" s="216">
        <f ca="1">IF($D679&lt;&gt;"Serviço",0,IF(OR(AND(AUTOEVENTO="Manual",$M679=1),$M679&gt;(ROW(PLE.lastrow)-ROW(PLE.firstrow))),0,IF(OFFSET(PLE!$G$14,$M679,BY$13)="",10^12,OFFSET(PLE!$G$14,$M679,BY$13))))</f>
        <v>1000000000000</v>
      </c>
      <c r="BZ679" s="216">
        <f ca="1">IF($D679&lt;&gt;"Serviço",0,IF(OR(AND(AUTOEVENTO="Manual",$M679=1),$M679&gt;(ROW(PLE.lastrow)-ROW(PLE.firstrow))),0,IF(OFFSET(PLE!$G$14,$M679,BZ$13)="",10^12,OFFSET(PLE!$G$14,$M679,BZ$13))))</f>
        <v>1000000000000</v>
      </c>
      <c r="CA679" s="216">
        <f ca="1">IF($D679&lt;&gt;"Serviço",0,IF(OR(AND(AUTOEVENTO="Manual",$M679=1),$M679&gt;(ROW(PLE.lastrow)-ROW(PLE.firstrow))),0,IF(OFFSET(PLE!$G$14,$M679,CA$13)="",10^12,OFFSET(PLE!$G$14,$M679,CA$13))))</f>
        <v>1000000000000</v>
      </c>
      <c r="CB679" s="216">
        <f ca="1">IF($D679&lt;&gt;"Serviço",0,IF(OR(AND(AUTOEVENTO="Manual",$M679=1),$M679&gt;(ROW(PLE.lastrow)-ROW(PLE.firstrow))),0,IF(OFFSET(PLE!$G$14,$M679,CB$13)="",10^12,OFFSET(PLE!$G$14,$M679,CB$13))))</f>
        <v>1000000000000</v>
      </c>
      <c r="CC679" s="216">
        <f ca="1">IF($D679&lt;&gt;"Serviço",0,IF(OR(AND(AUTOEVENTO="Manual",$M679=1),$M679&gt;(ROW(PLE.lastrow)-ROW(PLE.firstrow))),0,IF(OFFSET(PLE!$G$14,$M679,CC$13)="",10^12,OFFSET(PLE!$G$14,$M679,CC$13))))</f>
        <v>1000000000000</v>
      </c>
      <c r="CD679" s="216">
        <f ca="1">IF($D679&lt;&gt;"Serviço",0,IF(OR(AND(AUTOEVENTO="Manual",$M679=1),$M679&gt;(ROW(PLE.lastrow)-ROW(PLE.firstrow))),0,IF(OFFSET(PLE!$G$14,$M679,CD$13)="",10^12,OFFSET(PLE!$G$14,$M679,CD$13))))</f>
        <v>1000000000000</v>
      </c>
      <c r="CE679" s="216">
        <f ca="1">IF($D679&lt;&gt;"Serviço",0,IF(OR(AND(AUTOEVENTO="Manual",$M679=1),$M679&gt;(ROW(PLE.lastrow)-ROW(PLE.firstrow))),0,IF(OFFSET(PLE!$G$14,$M679,CE$13)="",10^12,OFFSET(PLE!$G$14,$M679,CE$13))))</f>
        <v>1000000000000</v>
      </c>
      <c r="CF679" s="216">
        <f ca="1">IF($D679&lt;&gt;"Serviço",0,IF(OR(AND(AUTOEVENTO="Manual",$M679=1),$M679&gt;(ROW(PLE.lastrow)-ROW(PLE.firstrow))),0,IF(OFFSET(PLE!$G$14,$M679,CF$13)="",10^12,OFFSET(PLE!$G$14,$M679,CF$13))))</f>
        <v>1000000000000</v>
      </c>
      <c r="CG679" s="216">
        <f ca="1">IF($D679&lt;&gt;"Serviço",0,IF(OR(AND(AUTOEVENTO="Manual",$M679=1),$M679&gt;(ROW(PLE.lastrow)-ROW(PLE.firstrow))),0,IF(OFFSET(PLE!$G$14,$M679,CG$13)="",10^12,OFFSET(PLE!$G$14,$M679,CG$13))))</f>
        <v>1000000000000</v>
      </c>
      <c r="CH679" s="216">
        <f ca="1">IF($D679&lt;&gt;"Serviço",0,IF(OR(AND(AUTOEVENTO="Manual",$M679=1),$M679&gt;(ROW(PLE.lastrow)-ROW(PLE.firstrow))),0,IF(OFFSET(PLE!$G$14,$M679,CH$13)="",10^12,OFFSET(PLE!$G$14,$M679,CH$13))))</f>
        <v>1000000000000</v>
      </c>
      <c r="CI679" s="216">
        <f ca="1">IF($D679&lt;&gt;"Serviço",0,IF(OR(AND(AUTOEVENTO="Manual",$M679=1),$M679&gt;(ROW(PLE.lastrow)-ROW(PLE.firstrow))),0,IF(OFFSET(PLE!$G$14,$M679,CI$13)="",10^12,OFFSET(PLE!$G$14,$M679,CI$13))))</f>
        <v>1000000000000</v>
      </c>
      <c r="CJ679" s="216">
        <f ca="1">IF($D679&lt;&gt;"Serviço",0,IF(OR(AND(AUTOEVENTO="Manual",$M679=1),$M679&gt;(ROW(PLE.lastrow)-ROW(PLE.firstrow))),0,IF(OFFSET(PLE!$G$14,$M679,CJ$13)="",10^12,OFFSET(PLE!$G$14,$M679,CJ$13))))</f>
        <v>1000000000000</v>
      </c>
      <c r="CK679" s="216">
        <f ca="1">IF($D679&lt;&gt;"Serviço",0,IF(OR(AND(AUTOEVENTO="Manual",$M679=1),$M679&gt;(ROW(PLE.lastrow)-ROW(PLE.firstrow))),0,IF(OFFSET(PLE!$G$14,$M679,CK$13)="",10^12,OFFSET(PLE!$G$14,$M679,CK$13))))</f>
        <v>1000000000000</v>
      </c>
      <c r="CL679" s="216">
        <f ca="1">IF($D679&lt;&gt;"Serviço",0,IF(OR(AND(AUTOEVENTO="Manual",$M679=1),$M679&gt;(ROW(PLE.lastrow)-ROW(PLE.firstrow))),0,IF(OFFSET(PLE!$G$14,$M679,CL$13)="",10^12,OFFSET(PLE!$G$14,$M679,CL$13))))</f>
        <v>1000000000000</v>
      </c>
      <c r="CM679" s="216">
        <f ca="1">IF($D679&lt;&gt;"Serviço",0,IF(OR(AND(AUTOEVENTO="Manual",$M679=1),$M679&gt;(ROW(PLE.lastrow)-ROW(PLE.firstrow))),0,IF(OFFSET(PLE!$G$14,$M679,CM$13)="",10^12,OFFSET(PLE!$G$14,$M679,CM$13))))</f>
        <v>1000000000000</v>
      </c>
    </row>
    <row r="680" spans="1:91" ht="13.2" x14ac:dyDescent="0.25">
      <c r="A680" s="9">
        <f t="shared" ca="1" si="20"/>
        <v>0</v>
      </c>
      <c r="B680" s="9" t="str">
        <f ca="1">OFFSET(ORÇAMENTO!C$15,ROW(B680)-ROW(B$15),0)</f>
        <v>S</v>
      </c>
      <c r="C680" s="9" t="str">
        <f ca="1">OFFSET(ORÇAMENTO!L$15,ROW(C680)-ROW(C$15),0)</f>
        <v/>
      </c>
      <c r="D680" s="145" t="str">
        <f ca="1">OFFSET(ORÇAMENTO!N$15,ROW(D680)-ROW(D$15),0)</f>
        <v>Serviço</v>
      </c>
      <c r="E680" s="205" t="str">
        <f ca="1">OFFSET(ORÇAMENTO!O$15,ROW(E680)-ROW(E$15),0)</f>
        <v>-</v>
      </c>
      <c r="F680" s="206" t="str">
        <f ca="1">OFFSET(ORÇAMENTO!R$15,ROW(F680)-ROW(F$15),0)</f>
        <v>(abra o arquivo 'Referência 05-2024.xls)</v>
      </c>
      <c r="G680" s="207" t="str">
        <f ca="1">IF($D680&lt;&gt;"Serviço","",OFFSET(ORÇAMENTO!S$15,ROW(G680)-ROW(G$15),0))</f>
        <v>-</v>
      </c>
      <c r="H680" s="151">
        <f ca="1">IF($D680&lt;&gt;"Serviço",0,IF(ACOMPANHAMENTO="BM",ROUND(OFFSET(ORÇAMENTO!AJ$15,ROW(H680)-ROW(H$15),0),15-13*ORÇAMENTO!$AF$7),SUMPRODUCT(($Q$12:$AI$12&lt;&gt;"")*ROUND($Q680:$AI680,15-13*ORÇAMENTO!$AF$7))))</f>
        <v>43.95</v>
      </c>
      <c r="I680" s="650"/>
      <c r="K680" s="208"/>
      <c r="L680" s="209" t="s">
        <v>257</v>
      </c>
      <c r="M680" s="210">
        <f ca="1">IF($D680&lt;&gt;"Serviço","",IF(AUTOEVENTO="manual",$A680,IF(ISERROR(MATCH($A680,$A$15:OFFSET($A680,-1,0),0)),MAX($M$15:OFFSET(M680,-1,0))+1,INDEX($M$15:OFFSET(M680,-1,0),MATCH($A680,$A$15:OFFSET($A680,-1,0),0)))))</f>
        <v>0</v>
      </c>
      <c r="N680" s="211" t="str">
        <f ca="1">IF($D680&lt;&gt;"Serviço","",IF(AUTOEVENTO="Manual",IF($A680=0,"&lt;-- defina o número do agrupador",OFFSET(EVENTOS!$D$14,$A680,0)),OFFSET($F$15,$A680,0)))</f>
        <v>&lt;-- defina o número do agrupador</v>
      </c>
      <c r="O680" s="212"/>
      <c r="Q680" s="212"/>
      <c r="R680" s="213"/>
      <c r="S680" s="213"/>
      <c r="T680" s="213"/>
      <c r="U680" s="213"/>
      <c r="V680" s="213"/>
      <c r="W680" s="213"/>
      <c r="X680" s="213"/>
      <c r="Y680" s="213"/>
      <c r="Z680" s="214"/>
      <c r="AA680" s="213"/>
      <c r="AB680" s="213"/>
      <c r="AC680" s="213"/>
      <c r="AD680" s="213"/>
      <c r="AE680" s="213"/>
      <c r="AF680" s="213"/>
      <c r="AG680" s="213"/>
      <c r="AH680" s="214"/>
      <c r="AJ680" s="631">
        <f ca="1">IF(AND($D680="Serviço",AJ$12&lt;&gt;0,$H680&gt;0,OR(AUTOEVENTO&lt;&gt;"manual",$M680&lt;&gt;1)),ROUND(OFFSET($P680,0,AJ$13),15-13*ORÇAMENTO!$AF$7)/$H680*OFFSET(ORÇAMENTO!$X$15,ROW(AJ680)-ROW(AJ$15),0),0)</f>
        <v>0</v>
      </c>
      <c r="AK680" s="632">
        <f ca="1">IF(AND($D680="Serviço",AK$12&lt;&gt;0,$H680&gt;0,OR(AUTOEVENTO&lt;&gt;"manual",$M680&lt;&gt;1)),ROUND(OFFSET($P680,0,AK$13),15-13*ORÇAMENTO!$AF$7)/$H680*OFFSET(ORÇAMENTO!$X$15,ROW(AK680)-ROW(AK$15),0),0)</f>
        <v>0</v>
      </c>
      <c r="AL680" s="632">
        <f ca="1">IF(AND($D680="Serviço",AL$12&lt;&gt;0,$H680&gt;0,OR(AUTOEVENTO&lt;&gt;"manual",$M680&lt;&gt;1)),ROUND(OFFSET($P680,0,AL$13),15-13*ORÇAMENTO!$AF$7)/$H680*OFFSET(ORÇAMENTO!$X$15,ROW(AL680)-ROW(AL$15),0),0)</f>
        <v>0</v>
      </c>
      <c r="AM680" s="632">
        <f ca="1">IF(AND($D680="Serviço",AM$12&lt;&gt;0,$H680&gt;0,OR(AUTOEVENTO&lt;&gt;"manual",$M680&lt;&gt;1)),ROUND(OFFSET($P680,0,AM$13),15-13*ORÇAMENTO!$AF$7)/$H680*OFFSET(ORÇAMENTO!$X$15,ROW(AM680)-ROW(AM$15),0),0)</f>
        <v>0</v>
      </c>
      <c r="AN680" s="632">
        <f ca="1">IF(AND($D680="Serviço",AN$12&lt;&gt;0,$H680&gt;0,OR(AUTOEVENTO&lt;&gt;"manual",$M680&lt;&gt;1)),ROUND(OFFSET($P680,0,AN$13),15-13*ORÇAMENTO!$AF$7)/$H680*OFFSET(ORÇAMENTO!$X$15,ROW(AN680)-ROW(AN$15),0),0)</f>
        <v>0</v>
      </c>
      <c r="AO680" s="632">
        <f ca="1">IF(AND($D680="Serviço",AO$12&lt;&gt;0,$H680&gt;0,OR(AUTOEVENTO&lt;&gt;"manual",$M680&lt;&gt;1)),ROUND(OFFSET($P680,0,AO$13),15-13*ORÇAMENTO!$AF$7)/$H680*OFFSET(ORÇAMENTO!$X$15,ROW(AO680)-ROW(AO$15),0),0)</f>
        <v>0</v>
      </c>
      <c r="AP680" s="632">
        <f ca="1">IF(AND($D680="Serviço",AP$12&lt;&gt;0,$H680&gt;0,OR(AUTOEVENTO&lt;&gt;"manual",$M680&lt;&gt;1)),ROUND(OFFSET($P680,0,AP$13),15-13*ORÇAMENTO!$AF$7)/$H680*OFFSET(ORÇAMENTO!$X$15,ROW(AP680)-ROW(AP$15),0),0)</f>
        <v>0</v>
      </c>
      <c r="AQ680" s="632">
        <f ca="1">IF(AND($D680="Serviço",AQ$12&lt;&gt;0,$H680&gt;0,OR(AUTOEVENTO&lt;&gt;"manual",$M680&lt;&gt;1)),ROUND(OFFSET($P680,0,AQ$13),15-13*ORÇAMENTO!$AF$7)/$H680*OFFSET(ORÇAMENTO!$X$15,ROW(AQ680)-ROW(AQ$15),0),0)</f>
        <v>0</v>
      </c>
      <c r="AR680" s="632">
        <f ca="1">IF(AND($D680="Serviço",AR$12&lt;&gt;0,$H680&gt;0,OR(AUTOEVENTO&lt;&gt;"manual",$M680&lt;&gt;1)),ROUND(OFFSET($P680,0,AR$13),15-13*ORÇAMENTO!$AF$7)/$H680*OFFSET(ORÇAMENTO!$X$15,ROW(AR680)-ROW(AR$15),0),0)</f>
        <v>0</v>
      </c>
      <c r="AS680" s="633">
        <f ca="1">IF(AND($D680="Serviço",AS$12&lt;&gt;0,$H680&gt;0,OR(AUTOEVENTO&lt;&gt;"manual",$M680&lt;&gt;1)),ROUND(OFFSET($P680,0,AS$13),15-13*ORÇAMENTO!$AF$7)/$H680*OFFSET(ORÇAMENTO!$X$15,ROW(AS680)-ROW(AS$15),0),0)</f>
        <v>0</v>
      </c>
      <c r="AT680" s="632">
        <f ca="1">IF(AND($D680="Serviço",AT$12&lt;&gt;0,$H680&gt;0,OR(AUTOEVENTO&lt;&gt;"manual",$M680&lt;&gt;1)),ROUND(OFFSET($P680,0,AT$13),15-13*ORÇAMENTO!$AF$7)/$H680*OFFSET(ORÇAMENTO!$X$15,ROW(AT680)-ROW(AT$15),0),0)</f>
        <v>0</v>
      </c>
      <c r="AU680" s="632">
        <f ca="1">IF(AND($D680="Serviço",AU$12&lt;&gt;0,$H680&gt;0,OR(AUTOEVENTO&lt;&gt;"manual",$M680&lt;&gt;1)),ROUND(OFFSET($P680,0,AU$13),15-13*ORÇAMENTO!$AF$7)/$H680*OFFSET(ORÇAMENTO!$X$15,ROW(AU680)-ROW(AU$15),0),0)</f>
        <v>0</v>
      </c>
      <c r="AV680" s="632">
        <f ca="1">IF(AND($D680="Serviço",AV$12&lt;&gt;0,$H680&gt;0,OR(AUTOEVENTO&lt;&gt;"manual",$M680&lt;&gt;1)),ROUND(OFFSET($P680,0,AV$13),15-13*ORÇAMENTO!$AF$7)/$H680*OFFSET(ORÇAMENTO!$X$15,ROW(AV680)-ROW(AV$15),0),0)</f>
        <v>0</v>
      </c>
      <c r="AW680" s="632">
        <f ca="1">IF(AND($D680="Serviço",AW$12&lt;&gt;0,$H680&gt;0,OR(AUTOEVENTO&lt;&gt;"manual",$M680&lt;&gt;1)),ROUND(OFFSET($P680,0,AW$13),15-13*ORÇAMENTO!$AF$7)/$H680*OFFSET(ORÇAMENTO!$X$15,ROW(AW680)-ROW(AW$15),0),0)</f>
        <v>0</v>
      </c>
      <c r="AX680" s="632">
        <f ca="1">IF(AND($D680="Serviço",AX$12&lt;&gt;0,$H680&gt;0,OR(AUTOEVENTO&lt;&gt;"manual",$M680&lt;&gt;1)),ROUND(OFFSET($P680,0,AX$13),15-13*ORÇAMENTO!$AF$7)/$H680*OFFSET(ORÇAMENTO!$X$15,ROW(AX680)-ROW(AX$15),0),0)</f>
        <v>0</v>
      </c>
      <c r="AY680" s="632">
        <f ca="1">IF(AND($D680="Serviço",AY$12&lt;&gt;0,$H680&gt;0,OR(AUTOEVENTO&lt;&gt;"manual",$M680&lt;&gt;1)),ROUND(OFFSET($P680,0,AY$13),15-13*ORÇAMENTO!$AF$7)/$H680*OFFSET(ORÇAMENTO!$X$15,ROW(AY680)-ROW(AY$15),0),0)</f>
        <v>0</v>
      </c>
      <c r="AZ680" s="632">
        <f ca="1">IF(AND($D680="Serviço",AZ$12&lt;&gt;0,$H680&gt;0,OR(AUTOEVENTO&lt;&gt;"manual",$M680&lt;&gt;1)),ROUND(OFFSET($P680,0,AZ$13),15-13*ORÇAMENTO!$AF$7)/$H680*OFFSET(ORÇAMENTO!$X$15,ROW(AZ680)-ROW(AZ$15),0),0)</f>
        <v>0</v>
      </c>
      <c r="BA680" s="633">
        <f ca="1">IF(AND($D680="Serviço",BA$12&lt;&gt;0,$H680&gt;0,OR(AUTOEVENTO&lt;&gt;"manual",$M680&lt;&gt;1)),ROUND(OFFSET($P680,0,BA$13),15-13*ORÇAMENTO!$AF$7)/$H680*OFFSET(ORÇAMENTO!$X$15,ROW(BA680)-ROW(BA$15),0),0)</f>
        <v>0</v>
      </c>
      <c r="BC680" s="215">
        <f ca="1">IF($D680&lt;&gt;"Serviço",0,IF(AND(AUTOEVENTO="Manual",$M680=1),0,IF(OFFSET(CRONOPLE!$F$14,$M680,BC$13)="",10^12,OFFSET(CRONOPLE!$F$14,$M680,BC$13))))</f>
        <v>1000000000000</v>
      </c>
      <c r="BD680" s="215">
        <f ca="1">IF($D680&lt;&gt;"Serviço",0,IF(AND(AUTOEVENTO="Manual",$M680=1),0,IF(OFFSET(CRONOPLE!$F$14,$M680,BD$13)="",10^12,OFFSET(CRONOPLE!$F$14,$M680,BD$13))))</f>
        <v>1000000000000</v>
      </c>
      <c r="BE680" s="215">
        <f ca="1">IF($D680&lt;&gt;"Serviço",0,IF(AND(AUTOEVENTO="Manual",$M680=1),0,IF(OFFSET(CRONOPLE!$F$14,$M680,BE$13)="",10^12,OFFSET(CRONOPLE!$F$14,$M680,BE$13))))</f>
        <v>1000000000000</v>
      </c>
      <c r="BF680" s="215">
        <f ca="1">IF($D680&lt;&gt;"Serviço",0,IF(AND(AUTOEVENTO="Manual",$M680=1),0,IF(OFFSET(CRONOPLE!$F$14,$M680,BF$13)="",10^12,OFFSET(CRONOPLE!$F$14,$M680,BF$13))))</f>
        <v>1000000000000</v>
      </c>
      <c r="BG680" s="215">
        <f ca="1">IF($D680&lt;&gt;"Serviço",0,IF(AND(AUTOEVENTO="Manual",$M680=1),0,IF(OFFSET(CRONOPLE!$F$14,$M680,BG$13)="",10^12,OFFSET(CRONOPLE!$F$14,$M680,BG$13))))</f>
        <v>1000000000000</v>
      </c>
      <c r="BH680" s="215">
        <f ca="1">IF($D680&lt;&gt;"Serviço",0,IF(AND(AUTOEVENTO="Manual",$M680=1),0,IF(OFFSET(CRONOPLE!$F$14,$M680,BH$13)="",10^12,OFFSET(CRONOPLE!$F$14,$M680,BH$13))))</f>
        <v>1000000000000</v>
      </c>
      <c r="BI680" s="215">
        <f ca="1">IF($D680&lt;&gt;"Serviço",0,IF(AND(AUTOEVENTO="Manual",$M680=1),0,IF(OFFSET(CRONOPLE!$F$14,$M680,BI$13)="",10^12,OFFSET(CRONOPLE!$F$14,$M680,BI$13))))</f>
        <v>1000000000000</v>
      </c>
      <c r="BJ680" s="215">
        <f ca="1">IF($D680&lt;&gt;"Serviço",0,IF(AND(AUTOEVENTO="Manual",$M680=1),0,IF(OFFSET(CRONOPLE!$F$14,$M680,BJ$13)="",10^12,OFFSET(CRONOPLE!$F$14,$M680,BJ$13))))</f>
        <v>1000000000000</v>
      </c>
      <c r="BK680" s="215">
        <f ca="1">IF($D680&lt;&gt;"Serviço",0,IF(AND(AUTOEVENTO="Manual",$M680=1),0,IF(OFFSET(CRONOPLE!$F$14,$M680,BK$13)="",10^12,OFFSET(CRONOPLE!$F$14,$M680,BK$13))))</f>
        <v>1000000000000</v>
      </c>
      <c r="BL680" s="215">
        <f ca="1">IF($D680&lt;&gt;"Serviço",0,IF(AND(AUTOEVENTO="Manual",$M680=1),0,IF(OFFSET(CRONOPLE!$F$14,$M680,BL$13)="",10^12,OFFSET(CRONOPLE!$F$14,$M680,BL$13))))</f>
        <v>1000000000000</v>
      </c>
      <c r="BM680" s="215">
        <f ca="1">IF($D680&lt;&gt;"Serviço",0,IF(AND(AUTOEVENTO="Manual",$M680=1),0,IF(OFFSET(CRONOPLE!$F$14,$M680,BM$13)="",10^12,OFFSET(CRONOPLE!$F$14,$M680,BM$13))))</f>
        <v>1000000000000</v>
      </c>
      <c r="BN680" s="215">
        <f ca="1">IF($D680&lt;&gt;"Serviço",0,IF(AND(AUTOEVENTO="Manual",$M680=1),0,IF(OFFSET(CRONOPLE!$F$14,$M680,BN$13)="",10^12,OFFSET(CRONOPLE!$F$14,$M680,BN$13))))</f>
        <v>1000000000000</v>
      </c>
      <c r="BO680" s="215">
        <f ca="1">IF($D680&lt;&gt;"Serviço",0,IF(AND(AUTOEVENTO="Manual",$M680=1),0,IF(OFFSET(CRONOPLE!$F$14,$M680,BO$13)="",10^12,OFFSET(CRONOPLE!$F$14,$M680,BO$13))))</f>
        <v>1000000000000</v>
      </c>
      <c r="BP680" s="215">
        <f ca="1">IF($D680&lt;&gt;"Serviço",0,IF(AND(AUTOEVENTO="Manual",$M680=1),0,IF(OFFSET(CRONOPLE!$F$14,$M680,BP$13)="",10^12,OFFSET(CRONOPLE!$F$14,$M680,BP$13))))</f>
        <v>1000000000000</v>
      </c>
      <c r="BQ680" s="215">
        <f ca="1">IF($D680&lt;&gt;"Serviço",0,IF(AND(AUTOEVENTO="Manual",$M680=1),0,IF(OFFSET(CRONOPLE!$F$14,$M680,BQ$13)="",10^12,OFFSET(CRONOPLE!$F$14,$M680,BQ$13))))</f>
        <v>1000000000000</v>
      </c>
      <c r="BR680" s="215">
        <f ca="1">IF($D680&lt;&gt;"Serviço",0,IF(AND(AUTOEVENTO="Manual",$M680=1),0,IF(OFFSET(CRONOPLE!$F$14,$M680,BR$13)="",10^12,OFFSET(CRONOPLE!$F$14,$M680,BR$13))))</f>
        <v>1000000000000</v>
      </c>
      <c r="BS680" s="215">
        <f ca="1">IF($D680&lt;&gt;"Serviço",0,IF(AND(AUTOEVENTO="Manual",$M680=1),0,IF(OFFSET(CRONOPLE!$F$14,$M680,BS$13)="",10^12,OFFSET(CRONOPLE!$F$14,$M680,BS$13))))</f>
        <v>1000000000000</v>
      </c>
      <c r="BT680" s="215">
        <f ca="1">IF($D680&lt;&gt;"Serviço",0,IF(AND(AUTOEVENTO="Manual",$M680=1),0,IF(OFFSET(CRONOPLE!$F$14,$M680,BT$13)="",10^12,OFFSET(CRONOPLE!$F$14,$M680,BT$13))))</f>
        <v>1000000000000</v>
      </c>
      <c r="BV680" s="216">
        <f ca="1">IF($D680&lt;&gt;"Serviço",0,IF(OR(AND(AUTOEVENTO="Manual",$M680=1),$M680&gt;(ROW(PLE.lastrow)-ROW(PLE.firstrow))),0,IF(OFFSET(PLE!$G$14,$M680,BV$13)="",10^12,OFFSET(PLE!$G$14,$M680,BV$13))))</f>
        <v>1000000000000</v>
      </c>
      <c r="BW680" s="216">
        <f ca="1">IF($D680&lt;&gt;"Serviço",0,IF(OR(AND(AUTOEVENTO="Manual",$M680=1),$M680&gt;(ROW(PLE.lastrow)-ROW(PLE.firstrow))),0,IF(OFFSET(PLE!$G$14,$M680,BW$13)="",10^12,OFFSET(PLE!$G$14,$M680,BW$13))))</f>
        <v>1000000000000</v>
      </c>
      <c r="BX680" s="216">
        <f ca="1">IF($D680&lt;&gt;"Serviço",0,IF(OR(AND(AUTOEVENTO="Manual",$M680=1),$M680&gt;(ROW(PLE.lastrow)-ROW(PLE.firstrow))),0,IF(OFFSET(PLE!$G$14,$M680,BX$13)="",10^12,OFFSET(PLE!$G$14,$M680,BX$13))))</f>
        <v>1000000000000</v>
      </c>
      <c r="BY680" s="216">
        <f ca="1">IF($D680&lt;&gt;"Serviço",0,IF(OR(AND(AUTOEVENTO="Manual",$M680=1),$M680&gt;(ROW(PLE.lastrow)-ROW(PLE.firstrow))),0,IF(OFFSET(PLE!$G$14,$M680,BY$13)="",10^12,OFFSET(PLE!$G$14,$M680,BY$13))))</f>
        <v>1000000000000</v>
      </c>
      <c r="BZ680" s="216">
        <f ca="1">IF($D680&lt;&gt;"Serviço",0,IF(OR(AND(AUTOEVENTO="Manual",$M680=1),$M680&gt;(ROW(PLE.lastrow)-ROW(PLE.firstrow))),0,IF(OFFSET(PLE!$G$14,$M680,BZ$13)="",10^12,OFFSET(PLE!$G$14,$M680,BZ$13))))</f>
        <v>1000000000000</v>
      </c>
      <c r="CA680" s="216">
        <f ca="1">IF($D680&lt;&gt;"Serviço",0,IF(OR(AND(AUTOEVENTO="Manual",$M680=1),$M680&gt;(ROW(PLE.lastrow)-ROW(PLE.firstrow))),0,IF(OFFSET(PLE!$G$14,$M680,CA$13)="",10^12,OFFSET(PLE!$G$14,$M680,CA$13))))</f>
        <v>1000000000000</v>
      </c>
      <c r="CB680" s="216">
        <f ca="1">IF($D680&lt;&gt;"Serviço",0,IF(OR(AND(AUTOEVENTO="Manual",$M680=1),$M680&gt;(ROW(PLE.lastrow)-ROW(PLE.firstrow))),0,IF(OFFSET(PLE!$G$14,$M680,CB$13)="",10^12,OFFSET(PLE!$G$14,$M680,CB$13))))</f>
        <v>1000000000000</v>
      </c>
      <c r="CC680" s="216">
        <f ca="1">IF($D680&lt;&gt;"Serviço",0,IF(OR(AND(AUTOEVENTO="Manual",$M680=1),$M680&gt;(ROW(PLE.lastrow)-ROW(PLE.firstrow))),0,IF(OFFSET(PLE!$G$14,$M680,CC$13)="",10^12,OFFSET(PLE!$G$14,$M680,CC$13))))</f>
        <v>1000000000000</v>
      </c>
      <c r="CD680" s="216">
        <f ca="1">IF($D680&lt;&gt;"Serviço",0,IF(OR(AND(AUTOEVENTO="Manual",$M680=1),$M680&gt;(ROW(PLE.lastrow)-ROW(PLE.firstrow))),0,IF(OFFSET(PLE!$G$14,$M680,CD$13)="",10^12,OFFSET(PLE!$G$14,$M680,CD$13))))</f>
        <v>1000000000000</v>
      </c>
      <c r="CE680" s="216">
        <f ca="1">IF($D680&lt;&gt;"Serviço",0,IF(OR(AND(AUTOEVENTO="Manual",$M680=1),$M680&gt;(ROW(PLE.lastrow)-ROW(PLE.firstrow))),0,IF(OFFSET(PLE!$G$14,$M680,CE$13)="",10^12,OFFSET(PLE!$G$14,$M680,CE$13))))</f>
        <v>1000000000000</v>
      </c>
      <c r="CF680" s="216">
        <f ca="1">IF($D680&lt;&gt;"Serviço",0,IF(OR(AND(AUTOEVENTO="Manual",$M680=1),$M680&gt;(ROW(PLE.lastrow)-ROW(PLE.firstrow))),0,IF(OFFSET(PLE!$G$14,$M680,CF$13)="",10^12,OFFSET(PLE!$G$14,$M680,CF$13))))</f>
        <v>1000000000000</v>
      </c>
      <c r="CG680" s="216">
        <f ca="1">IF($D680&lt;&gt;"Serviço",0,IF(OR(AND(AUTOEVENTO="Manual",$M680=1),$M680&gt;(ROW(PLE.lastrow)-ROW(PLE.firstrow))),0,IF(OFFSET(PLE!$G$14,$M680,CG$13)="",10^12,OFFSET(PLE!$G$14,$M680,CG$13))))</f>
        <v>1000000000000</v>
      </c>
      <c r="CH680" s="216">
        <f ca="1">IF($D680&lt;&gt;"Serviço",0,IF(OR(AND(AUTOEVENTO="Manual",$M680=1),$M680&gt;(ROW(PLE.lastrow)-ROW(PLE.firstrow))),0,IF(OFFSET(PLE!$G$14,$M680,CH$13)="",10^12,OFFSET(PLE!$G$14,$M680,CH$13))))</f>
        <v>1000000000000</v>
      </c>
      <c r="CI680" s="216">
        <f ca="1">IF($D680&lt;&gt;"Serviço",0,IF(OR(AND(AUTOEVENTO="Manual",$M680=1),$M680&gt;(ROW(PLE.lastrow)-ROW(PLE.firstrow))),0,IF(OFFSET(PLE!$G$14,$M680,CI$13)="",10^12,OFFSET(PLE!$G$14,$M680,CI$13))))</f>
        <v>1000000000000</v>
      </c>
      <c r="CJ680" s="216">
        <f ca="1">IF($D680&lt;&gt;"Serviço",0,IF(OR(AND(AUTOEVENTO="Manual",$M680=1),$M680&gt;(ROW(PLE.lastrow)-ROW(PLE.firstrow))),0,IF(OFFSET(PLE!$G$14,$M680,CJ$13)="",10^12,OFFSET(PLE!$G$14,$M680,CJ$13))))</f>
        <v>1000000000000</v>
      </c>
      <c r="CK680" s="216">
        <f ca="1">IF($D680&lt;&gt;"Serviço",0,IF(OR(AND(AUTOEVENTO="Manual",$M680=1),$M680&gt;(ROW(PLE.lastrow)-ROW(PLE.firstrow))),0,IF(OFFSET(PLE!$G$14,$M680,CK$13)="",10^12,OFFSET(PLE!$G$14,$M680,CK$13))))</f>
        <v>1000000000000</v>
      </c>
      <c r="CL680" s="216">
        <f ca="1">IF($D680&lt;&gt;"Serviço",0,IF(OR(AND(AUTOEVENTO="Manual",$M680=1),$M680&gt;(ROW(PLE.lastrow)-ROW(PLE.firstrow))),0,IF(OFFSET(PLE!$G$14,$M680,CL$13)="",10^12,OFFSET(PLE!$G$14,$M680,CL$13))))</f>
        <v>1000000000000</v>
      </c>
      <c r="CM680" s="216">
        <f ca="1">IF($D680&lt;&gt;"Serviço",0,IF(OR(AND(AUTOEVENTO="Manual",$M680=1),$M680&gt;(ROW(PLE.lastrow)-ROW(PLE.firstrow))),0,IF(OFFSET(PLE!$G$14,$M680,CM$13)="",10^12,OFFSET(PLE!$G$14,$M680,CM$13))))</f>
        <v>1000000000000</v>
      </c>
    </row>
    <row r="681" spans="1:91" ht="13.2" x14ac:dyDescent="0.25">
      <c r="A681" s="9">
        <f t="shared" ca="1" si="20"/>
        <v>0</v>
      </c>
      <c r="B681" s="9" t="str">
        <f ca="1">OFFSET(ORÇAMENTO!C$15,ROW(B681)-ROW(B$15),0)</f>
        <v>S</v>
      </c>
      <c r="C681" s="9" t="str">
        <f ca="1">OFFSET(ORÇAMENTO!L$15,ROW(C681)-ROW(C$15),0)</f>
        <v/>
      </c>
      <c r="D681" s="145" t="str">
        <f ca="1">OFFSET(ORÇAMENTO!N$15,ROW(D681)-ROW(D$15),0)</f>
        <v>Serviço</v>
      </c>
      <c r="E681" s="205" t="str">
        <f ca="1">OFFSET(ORÇAMENTO!O$15,ROW(E681)-ROW(E$15),0)</f>
        <v>-</v>
      </c>
      <c r="F681" s="206" t="str">
        <f ca="1">OFFSET(ORÇAMENTO!R$15,ROW(F681)-ROW(F$15),0)</f>
        <v>(abra o arquivo 'Referência 05-2024.xls)</v>
      </c>
      <c r="G681" s="207" t="str">
        <f ca="1">IF($D681&lt;&gt;"Serviço","",OFFSET(ORÇAMENTO!S$15,ROW(G681)-ROW(G$15),0))</f>
        <v>-</v>
      </c>
      <c r="H681" s="151">
        <f ca="1">IF($D681&lt;&gt;"Serviço",0,IF(ACOMPANHAMENTO="BM",ROUND(OFFSET(ORÇAMENTO!AJ$15,ROW(H681)-ROW(H$15),0),15-13*ORÇAMENTO!$AF$7),SUMPRODUCT(($Q$12:$AI$12&lt;&gt;"")*ROUND($Q681:$AI681,15-13*ORÇAMENTO!$AF$7))))</f>
        <v>43.95</v>
      </c>
      <c r="I681" s="650"/>
      <c r="K681" s="208"/>
      <c r="L681" s="209" t="s">
        <v>257</v>
      </c>
      <c r="M681" s="210">
        <f ca="1">IF($D681&lt;&gt;"Serviço","",IF(AUTOEVENTO="manual",$A681,IF(ISERROR(MATCH($A681,$A$15:OFFSET($A681,-1,0),0)),MAX($M$15:OFFSET(M681,-1,0))+1,INDEX($M$15:OFFSET(M681,-1,0),MATCH($A681,$A$15:OFFSET($A681,-1,0),0)))))</f>
        <v>0</v>
      </c>
      <c r="N681" s="211" t="str">
        <f ca="1">IF($D681&lt;&gt;"Serviço","",IF(AUTOEVENTO="Manual",IF($A681=0,"&lt;-- defina o número do agrupador",OFFSET(EVENTOS!$D$14,$A681,0)),OFFSET($F$15,$A681,0)))</f>
        <v>&lt;-- defina o número do agrupador</v>
      </c>
      <c r="O681" s="212"/>
      <c r="Q681" s="212"/>
      <c r="R681" s="213"/>
      <c r="S681" s="213"/>
      <c r="T681" s="213"/>
      <c r="U681" s="213"/>
      <c r="V681" s="213"/>
      <c r="W681" s="213"/>
      <c r="X681" s="213"/>
      <c r="Y681" s="213"/>
      <c r="Z681" s="214"/>
      <c r="AA681" s="213"/>
      <c r="AB681" s="213"/>
      <c r="AC681" s="213"/>
      <c r="AD681" s="213"/>
      <c r="AE681" s="213"/>
      <c r="AF681" s="213"/>
      <c r="AG681" s="213"/>
      <c r="AH681" s="214"/>
      <c r="AJ681" s="631">
        <f ca="1">IF(AND($D681="Serviço",AJ$12&lt;&gt;0,$H681&gt;0,OR(AUTOEVENTO&lt;&gt;"manual",$M681&lt;&gt;1)),ROUND(OFFSET($P681,0,AJ$13),15-13*ORÇAMENTO!$AF$7)/$H681*OFFSET(ORÇAMENTO!$X$15,ROW(AJ681)-ROW(AJ$15),0),0)</f>
        <v>0</v>
      </c>
      <c r="AK681" s="632">
        <f ca="1">IF(AND($D681="Serviço",AK$12&lt;&gt;0,$H681&gt;0,OR(AUTOEVENTO&lt;&gt;"manual",$M681&lt;&gt;1)),ROUND(OFFSET($P681,0,AK$13),15-13*ORÇAMENTO!$AF$7)/$H681*OFFSET(ORÇAMENTO!$X$15,ROW(AK681)-ROW(AK$15),0),0)</f>
        <v>0</v>
      </c>
      <c r="AL681" s="632">
        <f ca="1">IF(AND($D681="Serviço",AL$12&lt;&gt;0,$H681&gt;0,OR(AUTOEVENTO&lt;&gt;"manual",$M681&lt;&gt;1)),ROUND(OFFSET($P681,0,AL$13),15-13*ORÇAMENTO!$AF$7)/$H681*OFFSET(ORÇAMENTO!$X$15,ROW(AL681)-ROW(AL$15),0),0)</f>
        <v>0</v>
      </c>
      <c r="AM681" s="632">
        <f ca="1">IF(AND($D681="Serviço",AM$12&lt;&gt;0,$H681&gt;0,OR(AUTOEVENTO&lt;&gt;"manual",$M681&lt;&gt;1)),ROUND(OFFSET($P681,0,AM$13),15-13*ORÇAMENTO!$AF$7)/$H681*OFFSET(ORÇAMENTO!$X$15,ROW(AM681)-ROW(AM$15),0),0)</f>
        <v>0</v>
      </c>
      <c r="AN681" s="632">
        <f ca="1">IF(AND($D681="Serviço",AN$12&lt;&gt;0,$H681&gt;0,OR(AUTOEVENTO&lt;&gt;"manual",$M681&lt;&gt;1)),ROUND(OFFSET($P681,0,AN$13),15-13*ORÇAMENTO!$AF$7)/$H681*OFFSET(ORÇAMENTO!$X$15,ROW(AN681)-ROW(AN$15),0),0)</f>
        <v>0</v>
      </c>
      <c r="AO681" s="632">
        <f ca="1">IF(AND($D681="Serviço",AO$12&lt;&gt;0,$H681&gt;0,OR(AUTOEVENTO&lt;&gt;"manual",$M681&lt;&gt;1)),ROUND(OFFSET($P681,0,AO$13),15-13*ORÇAMENTO!$AF$7)/$H681*OFFSET(ORÇAMENTO!$X$15,ROW(AO681)-ROW(AO$15),0),0)</f>
        <v>0</v>
      </c>
      <c r="AP681" s="632">
        <f ca="1">IF(AND($D681="Serviço",AP$12&lt;&gt;0,$H681&gt;0,OR(AUTOEVENTO&lt;&gt;"manual",$M681&lt;&gt;1)),ROUND(OFFSET($P681,0,AP$13),15-13*ORÇAMENTO!$AF$7)/$H681*OFFSET(ORÇAMENTO!$X$15,ROW(AP681)-ROW(AP$15),0),0)</f>
        <v>0</v>
      </c>
      <c r="AQ681" s="632">
        <f ca="1">IF(AND($D681="Serviço",AQ$12&lt;&gt;0,$H681&gt;0,OR(AUTOEVENTO&lt;&gt;"manual",$M681&lt;&gt;1)),ROUND(OFFSET($P681,0,AQ$13),15-13*ORÇAMENTO!$AF$7)/$H681*OFFSET(ORÇAMENTO!$X$15,ROW(AQ681)-ROW(AQ$15),0),0)</f>
        <v>0</v>
      </c>
      <c r="AR681" s="632">
        <f ca="1">IF(AND($D681="Serviço",AR$12&lt;&gt;0,$H681&gt;0,OR(AUTOEVENTO&lt;&gt;"manual",$M681&lt;&gt;1)),ROUND(OFFSET($P681,0,AR$13),15-13*ORÇAMENTO!$AF$7)/$H681*OFFSET(ORÇAMENTO!$X$15,ROW(AR681)-ROW(AR$15),0),0)</f>
        <v>0</v>
      </c>
      <c r="AS681" s="633">
        <f ca="1">IF(AND($D681="Serviço",AS$12&lt;&gt;0,$H681&gt;0,OR(AUTOEVENTO&lt;&gt;"manual",$M681&lt;&gt;1)),ROUND(OFFSET($P681,0,AS$13),15-13*ORÇAMENTO!$AF$7)/$H681*OFFSET(ORÇAMENTO!$X$15,ROW(AS681)-ROW(AS$15),0),0)</f>
        <v>0</v>
      </c>
      <c r="AT681" s="632">
        <f ca="1">IF(AND($D681="Serviço",AT$12&lt;&gt;0,$H681&gt;0,OR(AUTOEVENTO&lt;&gt;"manual",$M681&lt;&gt;1)),ROUND(OFFSET($P681,0,AT$13),15-13*ORÇAMENTO!$AF$7)/$H681*OFFSET(ORÇAMENTO!$X$15,ROW(AT681)-ROW(AT$15),0),0)</f>
        <v>0</v>
      </c>
      <c r="AU681" s="632">
        <f ca="1">IF(AND($D681="Serviço",AU$12&lt;&gt;0,$H681&gt;0,OR(AUTOEVENTO&lt;&gt;"manual",$M681&lt;&gt;1)),ROUND(OFFSET($P681,0,AU$13),15-13*ORÇAMENTO!$AF$7)/$H681*OFFSET(ORÇAMENTO!$X$15,ROW(AU681)-ROW(AU$15),0),0)</f>
        <v>0</v>
      </c>
      <c r="AV681" s="632">
        <f ca="1">IF(AND($D681="Serviço",AV$12&lt;&gt;0,$H681&gt;0,OR(AUTOEVENTO&lt;&gt;"manual",$M681&lt;&gt;1)),ROUND(OFFSET($P681,0,AV$13),15-13*ORÇAMENTO!$AF$7)/$H681*OFFSET(ORÇAMENTO!$X$15,ROW(AV681)-ROW(AV$15),0),0)</f>
        <v>0</v>
      </c>
      <c r="AW681" s="632">
        <f ca="1">IF(AND($D681="Serviço",AW$12&lt;&gt;0,$H681&gt;0,OR(AUTOEVENTO&lt;&gt;"manual",$M681&lt;&gt;1)),ROUND(OFFSET($P681,0,AW$13),15-13*ORÇAMENTO!$AF$7)/$H681*OFFSET(ORÇAMENTO!$X$15,ROW(AW681)-ROW(AW$15),0),0)</f>
        <v>0</v>
      </c>
      <c r="AX681" s="632">
        <f ca="1">IF(AND($D681="Serviço",AX$12&lt;&gt;0,$H681&gt;0,OR(AUTOEVENTO&lt;&gt;"manual",$M681&lt;&gt;1)),ROUND(OFFSET($P681,0,AX$13),15-13*ORÇAMENTO!$AF$7)/$H681*OFFSET(ORÇAMENTO!$X$15,ROW(AX681)-ROW(AX$15),0),0)</f>
        <v>0</v>
      </c>
      <c r="AY681" s="632">
        <f ca="1">IF(AND($D681="Serviço",AY$12&lt;&gt;0,$H681&gt;0,OR(AUTOEVENTO&lt;&gt;"manual",$M681&lt;&gt;1)),ROUND(OFFSET($P681,0,AY$13),15-13*ORÇAMENTO!$AF$7)/$H681*OFFSET(ORÇAMENTO!$X$15,ROW(AY681)-ROW(AY$15),0),0)</f>
        <v>0</v>
      </c>
      <c r="AZ681" s="632">
        <f ca="1">IF(AND($D681="Serviço",AZ$12&lt;&gt;0,$H681&gt;0,OR(AUTOEVENTO&lt;&gt;"manual",$M681&lt;&gt;1)),ROUND(OFFSET($P681,0,AZ$13),15-13*ORÇAMENTO!$AF$7)/$H681*OFFSET(ORÇAMENTO!$X$15,ROW(AZ681)-ROW(AZ$15),0),0)</f>
        <v>0</v>
      </c>
      <c r="BA681" s="633">
        <f ca="1">IF(AND($D681="Serviço",BA$12&lt;&gt;0,$H681&gt;0,OR(AUTOEVENTO&lt;&gt;"manual",$M681&lt;&gt;1)),ROUND(OFFSET($P681,0,BA$13),15-13*ORÇAMENTO!$AF$7)/$H681*OFFSET(ORÇAMENTO!$X$15,ROW(BA681)-ROW(BA$15),0),0)</f>
        <v>0</v>
      </c>
      <c r="BC681" s="215">
        <f ca="1">IF($D681&lt;&gt;"Serviço",0,IF(AND(AUTOEVENTO="Manual",$M681=1),0,IF(OFFSET(CRONOPLE!$F$14,$M681,BC$13)="",10^12,OFFSET(CRONOPLE!$F$14,$M681,BC$13))))</f>
        <v>1000000000000</v>
      </c>
      <c r="BD681" s="215">
        <f ca="1">IF($D681&lt;&gt;"Serviço",0,IF(AND(AUTOEVENTO="Manual",$M681=1),0,IF(OFFSET(CRONOPLE!$F$14,$M681,BD$13)="",10^12,OFFSET(CRONOPLE!$F$14,$M681,BD$13))))</f>
        <v>1000000000000</v>
      </c>
      <c r="BE681" s="215">
        <f ca="1">IF($D681&lt;&gt;"Serviço",0,IF(AND(AUTOEVENTO="Manual",$M681=1),0,IF(OFFSET(CRONOPLE!$F$14,$M681,BE$13)="",10^12,OFFSET(CRONOPLE!$F$14,$M681,BE$13))))</f>
        <v>1000000000000</v>
      </c>
      <c r="BF681" s="215">
        <f ca="1">IF($D681&lt;&gt;"Serviço",0,IF(AND(AUTOEVENTO="Manual",$M681=1),0,IF(OFFSET(CRONOPLE!$F$14,$M681,BF$13)="",10^12,OFFSET(CRONOPLE!$F$14,$M681,BF$13))))</f>
        <v>1000000000000</v>
      </c>
      <c r="BG681" s="215">
        <f ca="1">IF($D681&lt;&gt;"Serviço",0,IF(AND(AUTOEVENTO="Manual",$M681=1),0,IF(OFFSET(CRONOPLE!$F$14,$M681,BG$13)="",10^12,OFFSET(CRONOPLE!$F$14,$M681,BG$13))))</f>
        <v>1000000000000</v>
      </c>
      <c r="BH681" s="215">
        <f ca="1">IF($D681&lt;&gt;"Serviço",0,IF(AND(AUTOEVENTO="Manual",$M681=1),0,IF(OFFSET(CRONOPLE!$F$14,$M681,BH$13)="",10^12,OFFSET(CRONOPLE!$F$14,$M681,BH$13))))</f>
        <v>1000000000000</v>
      </c>
      <c r="BI681" s="215">
        <f ca="1">IF($D681&lt;&gt;"Serviço",0,IF(AND(AUTOEVENTO="Manual",$M681=1),0,IF(OFFSET(CRONOPLE!$F$14,$M681,BI$13)="",10^12,OFFSET(CRONOPLE!$F$14,$M681,BI$13))))</f>
        <v>1000000000000</v>
      </c>
      <c r="BJ681" s="215">
        <f ca="1">IF($D681&lt;&gt;"Serviço",0,IF(AND(AUTOEVENTO="Manual",$M681=1),0,IF(OFFSET(CRONOPLE!$F$14,$M681,BJ$13)="",10^12,OFFSET(CRONOPLE!$F$14,$M681,BJ$13))))</f>
        <v>1000000000000</v>
      </c>
      <c r="BK681" s="215">
        <f ca="1">IF($D681&lt;&gt;"Serviço",0,IF(AND(AUTOEVENTO="Manual",$M681=1),0,IF(OFFSET(CRONOPLE!$F$14,$M681,BK$13)="",10^12,OFFSET(CRONOPLE!$F$14,$M681,BK$13))))</f>
        <v>1000000000000</v>
      </c>
      <c r="BL681" s="215">
        <f ca="1">IF($D681&lt;&gt;"Serviço",0,IF(AND(AUTOEVENTO="Manual",$M681=1),0,IF(OFFSET(CRONOPLE!$F$14,$M681,BL$13)="",10^12,OFFSET(CRONOPLE!$F$14,$M681,BL$13))))</f>
        <v>1000000000000</v>
      </c>
      <c r="BM681" s="215">
        <f ca="1">IF($D681&lt;&gt;"Serviço",0,IF(AND(AUTOEVENTO="Manual",$M681=1),0,IF(OFFSET(CRONOPLE!$F$14,$M681,BM$13)="",10^12,OFFSET(CRONOPLE!$F$14,$M681,BM$13))))</f>
        <v>1000000000000</v>
      </c>
      <c r="BN681" s="215">
        <f ca="1">IF($D681&lt;&gt;"Serviço",0,IF(AND(AUTOEVENTO="Manual",$M681=1),0,IF(OFFSET(CRONOPLE!$F$14,$M681,BN$13)="",10^12,OFFSET(CRONOPLE!$F$14,$M681,BN$13))))</f>
        <v>1000000000000</v>
      </c>
      <c r="BO681" s="215">
        <f ca="1">IF($D681&lt;&gt;"Serviço",0,IF(AND(AUTOEVENTO="Manual",$M681=1),0,IF(OFFSET(CRONOPLE!$F$14,$M681,BO$13)="",10^12,OFFSET(CRONOPLE!$F$14,$M681,BO$13))))</f>
        <v>1000000000000</v>
      </c>
      <c r="BP681" s="215">
        <f ca="1">IF($D681&lt;&gt;"Serviço",0,IF(AND(AUTOEVENTO="Manual",$M681=1),0,IF(OFFSET(CRONOPLE!$F$14,$M681,BP$13)="",10^12,OFFSET(CRONOPLE!$F$14,$M681,BP$13))))</f>
        <v>1000000000000</v>
      </c>
      <c r="BQ681" s="215">
        <f ca="1">IF($D681&lt;&gt;"Serviço",0,IF(AND(AUTOEVENTO="Manual",$M681=1),0,IF(OFFSET(CRONOPLE!$F$14,$M681,BQ$13)="",10^12,OFFSET(CRONOPLE!$F$14,$M681,BQ$13))))</f>
        <v>1000000000000</v>
      </c>
      <c r="BR681" s="215">
        <f ca="1">IF($D681&lt;&gt;"Serviço",0,IF(AND(AUTOEVENTO="Manual",$M681=1),0,IF(OFFSET(CRONOPLE!$F$14,$M681,BR$13)="",10^12,OFFSET(CRONOPLE!$F$14,$M681,BR$13))))</f>
        <v>1000000000000</v>
      </c>
      <c r="BS681" s="215">
        <f ca="1">IF($D681&lt;&gt;"Serviço",0,IF(AND(AUTOEVENTO="Manual",$M681=1),0,IF(OFFSET(CRONOPLE!$F$14,$M681,BS$13)="",10^12,OFFSET(CRONOPLE!$F$14,$M681,BS$13))))</f>
        <v>1000000000000</v>
      </c>
      <c r="BT681" s="215">
        <f ca="1">IF($D681&lt;&gt;"Serviço",0,IF(AND(AUTOEVENTO="Manual",$M681=1),0,IF(OFFSET(CRONOPLE!$F$14,$M681,BT$13)="",10^12,OFFSET(CRONOPLE!$F$14,$M681,BT$13))))</f>
        <v>1000000000000</v>
      </c>
      <c r="BV681" s="216">
        <f ca="1">IF($D681&lt;&gt;"Serviço",0,IF(OR(AND(AUTOEVENTO="Manual",$M681=1),$M681&gt;(ROW(PLE.lastrow)-ROW(PLE.firstrow))),0,IF(OFFSET(PLE!$G$14,$M681,BV$13)="",10^12,OFFSET(PLE!$G$14,$M681,BV$13))))</f>
        <v>1000000000000</v>
      </c>
      <c r="BW681" s="216">
        <f ca="1">IF($D681&lt;&gt;"Serviço",0,IF(OR(AND(AUTOEVENTO="Manual",$M681=1),$M681&gt;(ROW(PLE.lastrow)-ROW(PLE.firstrow))),0,IF(OFFSET(PLE!$G$14,$M681,BW$13)="",10^12,OFFSET(PLE!$G$14,$M681,BW$13))))</f>
        <v>1000000000000</v>
      </c>
      <c r="BX681" s="216">
        <f ca="1">IF($D681&lt;&gt;"Serviço",0,IF(OR(AND(AUTOEVENTO="Manual",$M681=1),$M681&gt;(ROW(PLE.lastrow)-ROW(PLE.firstrow))),0,IF(OFFSET(PLE!$G$14,$M681,BX$13)="",10^12,OFFSET(PLE!$G$14,$M681,BX$13))))</f>
        <v>1000000000000</v>
      </c>
      <c r="BY681" s="216">
        <f ca="1">IF($D681&lt;&gt;"Serviço",0,IF(OR(AND(AUTOEVENTO="Manual",$M681=1),$M681&gt;(ROW(PLE.lastrow)-ROW(PLE.firstrow))),0,IF(OFFSET(PLE!$G$14,$M681,BY$13)="",10^12,OFFSET(PLE!$G$14,$M681,BY$13))))</f>
        <v>1000000000000</v>
      </c>
      <c r="BZ681" s="216">
        <f ca="1">IF($D681&lt;&gt;"Serviço",0,IF(OR(AND(AUTOEVENTO="Manual",$M681=1),$M681&gt;(ROW(PLE.lastrow)-ROW(PLE.firstrow))),0,IF(OFFSET(PLE!$G$14,$M681,BZ$13)="",10^12,OFFSET(PLE!$G$14,$M681,BZ$13))))</f>
        <v>1000000000000</v>
      </c>
      <c r="CA681" s="216">
        <f ca="1">IF($D681&lt;&gt;"Serviço",0,IF(OR(AND(AUTOEVENTO="Manual",$M681=1),$M681&gt;(ROW(PLE.lastrow)-ROW(PLE.firstrow))),0,IF(OFFSET(PLE!$G$14,$M681,CA$13)="",10^12,OFFSET(PLE!$G$14,$M681,CA$13))))</f>
        <v>1000000000000</v>
      </c>
      <c r="CB681" s="216">
        <f ca="1">IF($D681&lt;&gt;"Serviço",0,IF(OR(AND(AUTOEVENTO="Manual",$M681=1),$M681&gt;(ROW(PLE.lastrow)-ROW(PLE.firstrow))),0,IF(OFFSET(PLE!$G$14,$M681,CB$13)="",10^12,OFFSET(PLE!$G$14,$M681,CB$13))))</f>
        <v>1000000000000</v>
      </c>
      <c r="CC681" s="216">
        <f ca="1">IF($D681&lt;&gt;"Serviço",0,IF(OR(AND(AUTOEVENTO="Manual",$M681=1),$M681&gt;(ROW(PLE.lastrow)-ROW(PLE.firstrow))),0,IF(OFFSET(PLE!$G$14,$M681,CC$13)="",10^12,OFFSET(PLE!$G$14,$M681,CC$13))))</f>
        <v>1000000000000</v>
      </c>
      <c r="CD681" s="216">
        <f ca="1">IF($D681&lt;&gt;"Serviço",0,IF(OR(AND(AUTOEVENTO="Manual",$M681=1),$M681&gt;(ROW(PLE.lastrow)-ROW(PLE.firstrow))),0,IF(OFFSET(PLE!$G$14,$M681,CD$13)="",10^12,OFFSET(PLE!$G$14,$M681,CD$13))))</f>
        <v>1000000000000</v>
      </c>
      <c r="CE681" s="216">
        <f ca="1">IF($D681&lt;&gt;"Serviço",0,IF(OR(AND(AUTOEVENTO="Manual",$M681=1),$M681&gt;(ROW(PLE.lastrow)-ROW(PLE.firstrow))),0,IF(OFFSET(PLE!$G$14,$M681,CE$13)="",10^12,OFFSET(PLE!$G$14,$M681,CE$13))))</f>
        <v>1000000000000</v>
      </c>
      <c r="CF681" s="216">
        <f ca="1">IF($D681&lt;&gt;"Serviço",0,IF(OR(AND(AUTOEVENTO="Manual",$M681=1),$M681&gt;(ROW(PLE.lastrow)-ROW(PLE.firstrow))),0,IF(OFFSET(PLE!$G$14,$M681,CF$13)="",10^12,OFFSET(PLE!$G$14,$M681,CF$13))))</f>
        <v>1000000000000</v>
      </c>
      <c r="CG681" s="216">
        <f ca="1">IF($D681&lt;&gt;"Serviço",0,IF(OR(AND(AUTOEVENTO="Manual",$M681=1),$M681&gt;(ROW(PLE.lastrow)-ROW(PLE.firstrow))),0,IF(OFFSET(PLE!$G$14,$M681,CG$13)="",10^12,OFFSET(PLE!$G$14,$M681,CG$13))))</f>
        <v>1000000000000</v>
      </c>
      <c r="CH681" s="216">
        <f ca="1">IF($D681&lt;&gt;"Serviço",0,IF(OR(AND(AUTOEVENTO="Manual",$M681=1),$M681&gt;(ROW(PLE.lastrow)-ROW(PLE.firstrow))),0,IF(OFFSET(PLE!$G$14,$M681,CH$13)="",10^12,OFFSET(PLE!$G$14,$M681,CH$13))))</f>
        <v>1000000000000</v>
      </c>
      <c r="CI681" s="216">
        <f ca="1">IF($D681&lt;&gt;"Serviço",0,IF(OR(AND(AUTOEVENTO="Manual",$M681=1),$M681&gt;(ROW(PLE.lastrow)-ROW(PLE.firstrow))),0,IF(OFFSET(PLE!$G$14,$M681,CI$13)="",10^12,OFFSET(PLE!$G$14,$M681,CI$13))))</f>
        <v>1000000000000</v>
      </c>
      <c r="CJ681" s="216">
        <f ca="1">IF($D681&lt;&gt;"Serviço",0,IF(OR(AND(AUTOEVENTO="Manual",$M681=1),$M681&gt;(ROW(PLE.lastrow)-ROW(PLE.firstrow))),0,IF(OFFSET(PLE!$G$14,$M681,CJ$13)="",10^12,OFFSET(PLE!$G$14,$M681,CJ$13))))</f>
        <v>1000000000000</v>
      </c>
      <c r="CK681" s="216">
        <f ca="1">IF($D681&lt;&gt;"Serviço",0,IF(OR(AND(AUTOEVENTO="Manual",$M681=1),$M681&gt;(ROW(PLE.lastrow)-ROW(PLE.firstrow))),0,IF(OFFSET(PLE!$G$14,$M681,CK$13)="",10^12,OFFSET(PLE!$G$14,$M681,CK$13))))</f>
        <v>1000000000000</v>
      </c>
      <c r="CL681" s="216">
        <f ca="1">IF($D681&lt;&gt;"Serviço",0,IF(OR(AND(AUTOEVENTO="Manual",$M681=1),$M681&gt;(ROW(PLE.lastrow)-ROW(PLE.firstrow))),0,IF(OFFSET(PLE!$G$14,$M681,CL$13)="",10^12,OFFSET(PLE!$G$14,$M681,CL$13))))</f>
        <v>1000000000000</v>
      </c>
      <c r="CM681" s="216">
        <f ca="1">IF($D681&lt;&gt;"Serviço",0,IF(OR(AND(AUTOEVENTO="Manual",$M681=1),$M681&gt;(ROW(PLE.lastrow)-ROW(PLE.firstrow))),0,IF(OFFSET(PLE!$G$14,$M681,CM$13)="",10^12,OFFSET(PLE!$G$14,$M681,CM$13))))</f>
        <v>1000000000000</v>
      </c>
    </row>
    <row r="682" spans="1:91" ht="13.2" x14ac:dyDescent="0.25">
      <c r="A682" s="9">
        <f t="shared" ca="1" si="20"/>
        <v>0</v>
      </c>
      <c r="B682" s="9" t="str">
        <f ca="1">OFFSET(ORÇAMENTO!C$15,ROW(B682)-ROW(B$15),0)</f>
        <v>S</v>
      </c>
      <c r="C682" s="9" t="str">
        <f ca="1">OFFSET(ORÇAMENTO!L$15,ROW(C682)-ROW(C$15),0)</f>
        <v/>
      </c>
      <c r="D682" s="145" t="str">
        <f ca="1">OFFSET(ORÇAMENTO!N$15,ROW(D682)-ROW(D$15),0)</f>
        <v>Serviço</v>
      </c>
      <c r="E682" s="205" t="str">
        <f ca="1">OFFSET(ORÇAMENTO!O$15,ROW(E682)-ROW(E$15),0)</f>
        <v>-</v>
      </c>
      <c r="F682" s="206" t="str">
        <f ca="1">OFFSET(ORÇAMENTO!R$15,ROW(F682)-ROW(F$15),0)</f>
        <v>(abra o arquivo 'Referência 05-2024.xls)</v>
      </c>
      <c r="G682" s="207" t="str">
        <f ca="1">IF($D682&lt;&gt;"Serviço","",OFFSET(ORÇAMENTO!S$15,ROW(G682)-ROW(G$15),0))</f>
        <v>-</v>
      </c>
      <c r="H682" s="151">
        <f ca="1">IF($D682&lt;&gt;"Serviço",0,IF(ACOMPANHAMENTO="BM",ROUND(OFFSET(ORÇAMENTO!AJ$15,ROW(H682)-ROW(H$15),0),15-13*ORÇAMENTO!$AF$7),SUMPRODUCT(($Q$12:$AI$12&lt;&gt;"")*ROUND($Q682:$AI682,15-13*ORÇAMENTO!$AF$7))))</f>
        <v>15</v>
      </c>
      <c r="I682" s="650"/>
      <c r="K682" s="208"/>
      <c r="L682" s="209" t="s">
        <v>257</v>
      </c>
      <c r="M682" s="210">
        <f ca="1">IF($D682&lt;&gt;"Serviço","",IF(AUTOEVENTO="manual",$A682,IF(ISERROR(MATCH($A682,$A$15:OFFSET($A682,-1,0),0)),MAX($M$15:OFFSET(M682,-1,0))+1,INDEX($M$15:OFFSET(M682,-1,0),MATCH($A682,$A$15:OFFSET($A682,-1,0),0)))))</f>
        <v>0</v>
      </c>
      <c r="N682" s="211" t="str">
        <f ca="1">IF($D682&lt;&gt;"Serviço","",IF(AUTOEVENTO="Manual",IF($A682=0,"&lt;-- defina o número do agrupador",OFFSET(EVENTOS!$D$14,$A682,0)),OFFSET($F$15,$A682,0)))</f>
        <v>&lt;-- defina o número do agrupador</v>
      </c>
      <c r="O682" s="212"/>
      <c r="Q682" s="212"/>
      <c r="R682" s="213"/>
      <c r="S682" s="213"/>
      <c r="T682" s="213"/>
      <c r="U682" s="213"/>
      <c r="V682" s="213"/>
      <c r="W682" s="213"/>
      <c r="X682" s="213"/>
      <c r="Y682" s="213"/>
      <c r="Z682" s="214"/>
      <c r="AA682" s="213"/>
      <c r="AB682" s="213"/>
      <c r="AC682" s="213"/>
      <c r="AD682" s="213"/>
      <c r="AE682" s="213"/>
      <c r="AF682" s="213"/>
      <c r="AG682" s="213"/>
      <c r="AH682" s="214"/>
      <c r="AJ682" s="631">
        <f ca="1">IF(AND($D682="Serviço",AJ$12&lt;&gt;0,$H682&gt;0,OR(AUTOEVENTO&lt;&gt;"manual",$M682&lt;&gt;1)),ROUND(OFFSET($P682,0,AJ$13),15-13*ORÇAMENTO!$AF$7)/$H682*OFFSET(ORÇAMENTO!$X$15,ROW(AJ682)-ROW(AJ$15),0),0)</f>
        <v>0</v>
      </c>
      <c r="AK682" s="632">
        <f ca="1">IF(AND($D682="Serviço",AK$12&lt;&gt;0,$H682&gt;0,OR(AUTOEVENTO&lt;&gt;"manual",$M682&lt;&gt;1)),ROUND(OFFSET($P682,0,AK$13),15-13*ORÇAMENTO!$AF$7)/$H682*OFFSET(ORÇAMENTO!$X$15,ROW(AK682)-ROW(AK$15),0),0)</f>
        <v>0</v>
      </c>
      <c r="AL682" s="632">
        <f ca="1">IF(AND($D682="Serviço",AL$12&lt;&gt;0,$H682&gt;0,OR(AUTOEVENTO&lt;&gt;"manual",$M682&lt;&gt;1)),ROUND(OFFSET($P682,0,AL$13),15-13*ORÇAMENTO!$AF$7)/$H682*OFFSET(ORÇAMENTO!$X$15,ROW(AL682)-ROW(AL$15),0),0)</f>
        <v>0</v>
      </c>
      <c r="AM682" s="632">
        <f ca="1">IF(AND($D682="Serviço",AM$12&lt;&gt;0,$H682&gt;0,OR(AUTOEVENTO&lt;&gt;"manual",$M682&lt;&gt;1)),ROUND(OFFSET($P682,0,AM$13),15-13*ORÇAMENTO!$AF$7)/$H682*OFFSET(ORÇAMENTO!$X$15,ROW(AM682)-ROW(AM$15),0),0)</f>
        <v>0</v>
      </c>
      <c r="AN682" s="632">
        <f ca="1">IF(AND($D682="Serviço",AN$12&lt;&gt;0,$H682&gt;0,OR(AUTOEVENTO&lt;&gt;"manual",$M682&lt;&gt;1)),ROUND(OFFSET($P682,0,AN$13),15-13*ORÇAMENTO!$AF$7)/$H682*OFFSET(ORÇAMENTO!$X$15,ROW(AN682)-ROW(AN$15),0),0)</f>
        <v>0</v>
      </c>
      <c r="AO682" s="632">
        <f ca="1">IF(AND($D682="Serviço",AO$12&lt;&gt;0,$H682&gt;0,OR(AUTOEVENTO&lt;&gt;"manual",$M682&lt;&gt;1)),ROUND(OFFSET($P682,0,AO$13),15-13*ORÇAMENTO!$AF$7)/$H682*OFFSET(ORÇAMENTO!$X$15,ROW(AO682)-ROW(AO$15),0),0)</f>
        <v>0</v>
      </c>
      <c r="AP682" s="632">
        <f ca="1">IF(AND($D682="Serviço",AP$12&lt;&gt;0,$H682&gt;0,OR(AUTOEVENTO&lt;&gt;"manual",$M682&lt;&gt;1)),ROUND(OFFSET($P682,0,AP$13),15-13*ORÇAMENTO!$AF$7)/$H682*OFFSET(ORÇAMENTO!$X$15,ROW(AP682)-ROW(AP$15),0),0)</f>
        <v>0</v>
      </c>
      <c r="AQ682" s="632">
        <f ca="1">IF(AND($D682="Serviço",AQ$12&lt;&gt;0,$H682&gt;0,OR(AUTOEVENTO&lt;&gt;"manual",$M682&lt;&gt;1)),ROUND(OFFSET($P682,0,AQ$13),15-13*ORÇAMENTO!$AF$7)/$H682*OFFSET(ORÇAMENTO!$X$15,ROW(AQ682)-ROW(AQ$15),0),0)</f>
        <v>0</v>
      </c>
      <c r="AR682" s="632">
        <f ca="1">IF(AND($D682="Serviço",AR$12&lt;&gt;0,$H682&gt;0,OR(AUTOEVENTO&lt;&gt;"manual",$M682&lt;&gt;1)),ROUND(OFFSET($P682,0,AR$13),15-13*ORÇAMENTO!$AF$7)/$H682*OFFSET(ORÇAMENTO!$X$15,ROW(AR682)-ROW(AR$15),0),0)</f>
        <v>0</v>
      </c>
      <c r="AS682" s="633">
        <f ca="1">IF(AND($D682="Serviço",AS$12&lt;&gt;0,$H682&gt;0,OR(AUTOEVENTO&lt;&gt;"manual",$M682&lt;&gt;1)),ROUND(OFFSET($P682,0,AS$13),15-13*ORÇAMENTO!$AF$7)/$H682*OFFSET(ORÇAMENTO!$X$15,ROW(AS682)-ROW(AS$15),0),0)</f>
        <v>0</v>
      </c>
      <c r="AT682" s="632">
        <f ca="1">IF(AND($D682="Serviço",AT$12&lt;&gt;0,$H682&gt;0,OR(AUTOEVENTO&lt;&gt;"manual",$M682&lt;&gt;1)),ROUND(OFFSET($P682,0,AT$13),15-13*ORÇAMENTO!$AF$7)/$H682*OFFSET(ORÇAMENTO!$X$15,ROW(AT682)-ROW(AT$15),0),0)</f>
        <v>0</v>
      </c>
      <c r="AU682" s="632">
        <f ca="1">IF(AND($D682="Serviço",AU$12&lt;&gt;0,$H682&gt;0,OR(AUTOEVENTO&lt;&gt;"manual",$M682&lt;&gt;1)),ROUND(OFFSET($P682,0,AU$13),15-13*ORÇAMENTO!$AF$7)/$H682*OFFSET(ORÇAMENTO!$X$15,ROW(AU682)-ROW(AU$15),0),0)</f>
        <v>0</v>
      </c>
      <c r="AV682" s="632">
        <f ca="1">IF(AND($D682="Serviço",AV$12&lt;&gt;0,$H682&gt;0,OR(AUTOEVENTO&lt;&gt;"manual",$M682&lt;&gt;1)),ROUND(OFFSET($P682,0,AV$13),15-13*ORÇAMENTO!$AF$7)/$H682*OFFSET(ORÇAMENTO!$X$15,ROW(AV682)-ROW(AV$15),0),0)</f>
        <v>0</v>
      </c>
      <c r="AW682" s="632">
        <f ca="1">IF(AND($D682="Serviço",AW$12&lt;&gt;0,$H682&gt;0,OR(AUTOEVENTO&lt;&gt;"manual",$M682&lt;&gt;1)),ROUND(OFFSET($P682,0,AW$13),15-13*ORÇAMENTO!$AF$7)/$H682*OFFSET(ORÇAMENTO!$X$15,ROW(AW682)-ROW(AW$15),0),0)</f>
        <v>0</v>
      </c>
      <c r="AX682" s="632">
        <f ca="1">IF(AND($D682="Serviço",AX$12&lt;&gt;0,$H682&gt;0,OR(AUTOEVENTO&lt;&gt;"manual",$M682&lt;&gt;1)),ROUND(OFFSET($P682,0,AX$13),15-13*ORÇAMENTO!$AF$7)/$H682*OFFSET(ORÇAMENTO!$X$15,ROW(AX682)-ROW(AX$15),0),0)</f>
        <v>0</v>
      </c>
      <c r="AY682" s="632">
        <f ca="1">IF(AND($D682="Serviço",AY$12&lt;&gt;0,$H682&gt;0,OR(AUTOEVENTO&lt;&gt;"manual",$M682&lt;&gt;1)),ROUND(OFFSET($P682,0,AY$13),15-13*ORÇAMENTO!$AF$7)/$H682*OFFSET(ORÇAMENTO!$X$15,ROW(AY682)-ROW(AY$15),0),0)</f>
        <v>0</v>
      </c>
      <c r="AZ682" s="632">
        <f ca="1">IF(AND($D682="Serviço",AZ$12&lt;&gt;0,$H682&gt;0,OR(AUTOEVENTO&lt;&gt;"manual",$M682&lt;&gt;1)),ROUND(OFFSET($P682,0,AZ$13),15-13*ORÇAMENTO!$AF$7)/$H682*OFFSET(ORÇAMENTO!$X$15,ROW(AZ682)-ROW(AZ$15),0),0)</f>
        <v>0</v>
      </c>
      <c r="BA682" s="633">
        <f ca="1">IF(AND($D682="Serviço",BA$12&lt;&gt;0,$H682&gt;0,OR(AUTOEVENTO&lt;&gt;"manual",$M682&lt;&gt;1)),ROUND(OFFSET($P682,0,BA$13),15-13*ORÇAMENTO!$AF$7)/$H682*OFFSET(ORÇAMENTO!$X$15,ROW(BA682)-ROW(BA$15),0),0)</f>
        <v>0</v>
      </c>
      <c r="BC682" s="215">
        <f ca="1">IF($D682&lt;&gt;"Serviço",0,IF(AND(AUTOEVENTO="Manual",$M682=1),0,IF(OFFSET(CRONOPLE!$F$14,$M682,BC$13)="",10^12,OFFSET(CRONOPLE!$F$14,$M682,BC$13))))</f>
        <v>1000000000000</v>
      </c>
      <c r="BD682" s="215">
        <f ca="1">IF($D682&lt;&gt;"Serviço",0,IF(AND(AUTOEVENTO="Manual",$M682=1),0,IF(OFFSET(CRONOPLE!$F$14,$M682,BD$13)="",10^12,OFFSET(CRONOPLE!$F$14,$M682,BD$13))))</f>
        <v>1000000000000</v>
      </c>
      <c r="BE682" s="215">
        <f ca="1">IF($D682&lt;&gt;"Serviço",0,IF(AND(AUTOEVENTO="Manual",$M682=1),0,IF(OFFSET(CRONOPLE!$F$14,$M682,BE$13)="",10^12,OFFSET(CRONOPLE!$F$14,$M682,BE$13))))</f>
        <v>1000000000000</v>
      </c>
      <c r="BF682" s="215">
        <f ca="1">IF($D682&lt;&gt;"Serviço",0,IF(AND(AUTOEVENTO="Manual",$M682=1),0,IF(OFFSET(CRONOPLE!$F$14,$M682,BF$13)="",10^12,OFFSET(CRONOPLE!$F$14,$M682,BF$13))))</f>
        <v>1000000000000</v>
      </c>
      <c r="BG682" s="215">
        <f ca="1">IF($D682&lt;&gt;"Serviço",0,IF(AND(AUTOEVENTO="Manual",$M682=1),0,IF(OFFSET(CRONOPLE!$F$14,$M682,BG$13)="",10^12,OFFSET(CRONOPLE!$F$14,$M682,BG$13))))</f>
        <v>1000000000000</v>
      </c>
      <c r="BH682" s="215">
        <f ca="1">IF($D682&lt;&gt;"Serviço",0,IF(AND(AUTOEVENTO="Manual",$M682=1),0,IF(OFFSET(CRONOPLE!$F$14,$M682,BH$13)="",10^12,OFFSET(CRONOPLE!$F$14,$M682,BH$13))))</f>
        <v>1000000000000</v>
      </c>
      <c r="BI682" s="215">
        <f ca="1">IF($D682&lt;&gt;"Serviço",0,IF(AND(AUTOEVENTO="Manual",$M682=1),0,IF(OFFSET(CRONOPLE!$F$14,$M682,BI$13)="",10^12,OFFSET(CRONOPLE!$F$14,$M682,BI$13))))</f>
        <v>1000000000000</v>
      </c>
      <c r="BJ682" s="215">
        <f ca="1">IF($D682&lt;&gt;"Serviço",0,IF(AND(AUTOEVENTO="Manual",$M682=1),0,IF(OFFSET(CRONOPLE!$F$14,$M682,BJ$13)="",10^12,OFFSET(CRONOPLE!$F$14,$M682,BJ$13))))</f>
        <v>1000000000000</v>
      </c>
      <c r="BK682" s="215">
        <f ca="1">IF($D682&lt;&gt;"Serviço",0,IF(AND(AUTOEVENTO="Manual",$M682=1),0,IF(OFFSET(CRONOPLE!$F$14,$M682,BK$13)="",10^12,OFFSET(CRONOPLE!$F$14,$M682,BK$13))))</f>
        <v>1000000000000</v>
      </c>
      <c r="BL682" s="215">
        <f ca="1">IF($D682&lt;&gt;"Serviço",0,IF(AND(AUTOEVENTO="Manual",$M682=1),0,IF(OFFSET(CRONOPLE!$F$14,$M682,BL$13)="",10^12,OFFSET(CRONOPLE!$F$14,$M682,BL$13))))</f>
        <v>1000000000000</v>
      </c>
      <c r="BM682" s="215">
        <f ca="1">IF($D682&lt;&gt;"Serviço",0,IF(AND(AUTOEVENTO="Manual",$M682=1),0,IF(OFFSET(CRONOPLE!$F$14,$M682,BM$13)="",10^12,OFFSET(CRONOPLE!$F$14,$M682,BM$13))))</f>
        <v>1000000000000</v>
      </c>
      <c r="BN682" s="215">
        <f ca="1">IF($D682&lt;&gt;"Serviço",0,IF(AND(AUTOEVENTO="Manual",$M682=1),0,IF(OFFSET(CRONOPLE!$F$14,$M682,BN$13)="",10^12,OFFSET(CRONOPLE!$F$14,$M682,BN$13))))</f>
        <v>1000000000000</v>
      </c>
      <c r="BO682" s="215">
        <f ca="1">IF($D682&lt;&gt;"Serviço",0,IF(AND(AUTOEVENTO="Manual",$M682=1),0,IF(OFFSET(CRONOPLE!$F$14,$M682,BO$13)="",10^12,OFFSET(CRONOPLE!$F$14,$M682,BO$13))))</f>
        <v>1000000000000</v>
      </c>
      <c r="BP682" s="215">
        <f ca="1">IF($D682&lt;&gt;"Serviço",0,IF(AND(AUTOEVENTO="Manual",$M682=1),0,IF(OFFSET(CRONOPLE!$F$14,$M682,BP$13)="",10^12,OFFSET(CRONOPLE!$F$14,$M682,BP$13))))</f>
        <v>1000000000000</v>
      </c>
      <c r="BQ682" s="215">
        <f ca="1">IF($D682&lt;&gt;"Serviço",0,IF(AND(AUTOEVENTO="Manual",$M682=1),0,IF(OFFSET(CRONOPLE!$F$14,$M682,BQ$13)="",10^12,OFFSET(CRONOPLE!$F$14,$M682,BQ$13))))</f>
        <v>1000000000000</v>
      </c>
      <c r="BR682" s="215">
        <f ca="1">IF($D682&lt;&gt;"Serviço",0,IF(AND(AUTOEVENTO="Manual",$M682=1),0,IF(OFFSET(CRONOPLE!$F$14,$M682,BR$13)="",10^12,OFFSET(CRONOPLE!$F$14,$M682,BR$13))))</f>
        <v>1000000000000</v>
      </c>
      <c r="BS682" s="215">
        <f ca="1">IF($D682&lt;&gt;"Serviço",0,IF(AND(AUTOEVENTO="Manual",$M682=1),0,IF(OFFSET(CRONOPLE!$F$14,$M682,BS$13)="",10^12,OFFSET(CRONOPLE!$F$14,$M682,BS$13))))</f>
        <v>1000000000000</v>
      </c>
      <c r="BT682" s="215">
        <f ca="1">IF($D682&lt;&gt;"Serviço",0,IF(AND(AUTOEVENTO="Manual",$M682=1),0,IF(OFFSET(CRONOPLE!$F$14,$M682,BT$13)="",10^12,OFFSET(CRONOPLE!$F$14,$M682,BT$13))))</f>
        <v>1000000000000</v>
      </c>
      <c r="BV682" s="216">
        <f ca="1">IF($D682&lt;&gt;"Serviço",0,IF(OR(AND(AUTOEVENTO="Manual",$M682=1),$M682&gt;(ROW(PLE.lastrow)-ROW(PLE.firstrow))),0,IF(OFFSET(PLE!$G$14,$M682,BV$13)="",10^12,OFFSET(PLE!$G$14,$M682,BV$13))))</f>
        <v>1000000000000</v>
      </c>
      <c r="BW682" s="216">
        <f ca="1">IF($D682&lt;&gt;"Serviço",0,IF(OR(AND(AUTOEVENTO="Manual",$M682=1),$M682&gt;(ROW(PLE.lastrow)-ROW(PLE.firstrow))),0,IF(OFFSET(PLE!$G$14,$M682,BW$13)="",10^12,OFFSET(PLE!$G$14,$M682,BW$13))))</f>
        <v>1000000000000</v>
      </c>
      <c r="BX682" s="216">
        <f ca="1">IF($D682&lt;&gt;"Serviço",0,IF(OR(AND(AUTOEVENTO="Manual",$M682=1),$M682&gt;(ROW(PLE.lastrow)-ROW(PLE.firstrow))),0,IF(OFFSET(PLE!$G$14,$M682,BX$13)="",10^12,OFFSET(PLE!$G$14,$M682,BX$13))))</f>
        <v>1000000000000</v>
      </c>
      <c r="BY682" s="216">
        <f ca="1">IF($D682&lt;&gt;"Serviço",0,IF(OR(AND(AUTOEVENTO="Manual",$M682=1),$M682&gt;(ROW(PLE.lastrow)-ROW(PLE.firstrow))),0,IF(OFFSET(PLE!$G$14,$M682,BY$13)="",10^12,OFFSET(PLE!$G$14,$M682,BY$13))))</f>
        <v>1000000000000</v>
      </c>
      <c r="BZ682" s="216">
        <f ca="1">IF($D682&lt;&gt;"Serviço",0,IF(OR(AND(AUTOEVENTO="Manual",$M682=1),$M682&gt;(ROW(PLE.lastrow)-ROW(PLE.firstrow))),0,IF(OFFSET(PLE!$G$14,$M682,BZ$13)="",10^12,OFFSET(PLE!$G$14,$M682,BZ$13))))</f>
        <v>1000000000000</v>
      </c>
      <c r="CA682" s="216">
        <f ca="1">IF($D682&lt;&gt;"Serviço",0,IF(OR(AND(AUTOEVENTO="Manual",$M682=1),$M682&gt;(ROW(PLE.lastrow)-ROW(PLE.firstrow))),0,IF(OFFSET(PLE!$G$14,$M682,CA$13)="",10^12,OFFSET(PLE!$G$14,$M682,CA$13))))</f>
        <v>1000000000000</v>
      </c>
      <c r="CB682" s="216">
        <f ca="1">IF($D682&lt;&gt;"Serviço",0,IF(OR(AND(AUTOEVENTO="Manual",$M682=1),$M682&gt;(ROW(PLE.lastrow)-ROW(PLE.firstrow))),0,IF(OFFSET(PLE!$G$14,$M682,CB$13)="",10^12,OFFSET(PLE!$G$14,$M682,CB$13))))</f>
        <v>1000000000000</v>
      </c>
      <c r="CC682" s="216">
        <f ca="1">IF($D682&lt;&gt;"Serviço",0,IF(OR(AND(AUTOEVENTO="Manual",$M682=1),$M682&gt;(ROW(PLE.lastrow)-ROW(PLE.firstrow))),0,IF(OFFSET(PLE!$G$14,$M682,CC$13)="",10^12,OFFSET(PLE!$G$14,$M682,CC$13))))</f>
        <v>1000000000000</v>
      </c>
      <c r="CD682" s="216">
        <f ca="1">IF($D682&lt;&gt;"Serviço",0,IF(OR(AND(AUTOEVENTO="Manual",$M682=1),$M682&gt;(ROW(PLE.lastrow)-ROW(PLE.firstrow))),0,IF(OFFSET(PLE!$G$14,$M682,CD$13)="",10^12,OFFSET(PLE!$G$14,$M682,CD$13))))</f>
        <v>1000000000000</v>
      </c>
      <c r="CE682" s="216">
        <f ca="1">IF($D682&lt;&gt;"Serviço",0,IF(OR(AND(AUTOEVENTO="Manual",$M682=1),$M682&gt;(ROW(PLE.lastrow)-ROW(PLE.firstrow))),0,IF(OFFSET(PLE!$G$14,$M682,CE$13)="",10^12,OFFSET(PLE!$G$14,$M682,CE$13))))</f>
        <v>1000000000000</v>
      </c>
      <c r="CF682" s="216">
        <f ca="1">IF($D682&lt;&gt;"Serviço",0,IF(OR(AND(AUTOEVENTO="Manual",$M682=1),$M682&gt;(ROW(PLE.lastrow)-ROW(PLE.firstrow))),0,IF(OFFSET(PLE!$G$14,$M682,CF$13)="",10^12,OFFSET(PLE!$G$14,$M682,CF$13))))</f>
        <v>1000000000000</v>
      </c>
      <c r="CG682" s="216">
        <f ca="1">IF($D682&lt;&gt;"Serviço",0,IF(OR(AND(AUTOEVENTO="Manual",$M682=1),$M682&gt;(ROW(PLE.lastrow)-ROW(PLE.firstrow))),0,IF(OFFSET(PLE!$G$14,$M682,CG$13)="",10^12,OFFSET(PLE!$G$14,$M682,CG$13))))</f>
        <v>1000000000000</v>
      </c>
      <c r="CH682" s="216">
        <f ca="1">IF($D682&lt;&gt;"Serviço",0,IF(OR(AND(AUTOEVENTO="Manual",$M682=1),$M682&gt;(ROW(PLE.lastrow)-ROW(PLE.firstrow))),0,IF(OFFSET(PLE!$G$14,$M682,CH$13)="",10^12,OFFSET(PLE!$G$14,$M682,CH$13))))</f>
        <v>1000000000000</v>
      </c>
      <c r="CI682" s="216">
        <f ca="1">IF($D682&lt;&gt;"Serviço",0,IF(OR(AND(AUTOEVENTO="Manual",$M682=1),$M682&gt;(ROW(PLE.lastrow)-ROW(PLE.firstrow))),0,IF(OFFSET(PLE!$G$14,$M682,CI$13)="",10^12,OFFSET(PLE!$G$14,$M682,CI$13))))</f>
        <v>1000000000000</v>
      </c>
      <c r="CJ682" s="216">
        <f ca="1">IF($D682&lt;&gt;"Serviço",0,IF(OR(AND(AUTOEVENTO="Manual",$M682=1),$M682&gt;(ROW(PLE.lastrow)-ROW(PLE.firstrow))),0,IF(OFFSET(PLE!$G$14,$M682,CJ$13)="",10^12,OFFSET(PLE!$G$14,$M682,CJ$13))))</f>
        <v>1000000000000</v>
      </c>
      <c r="CK682" s="216">
        <f ca="1">IF($D682&lt;&gt;"Serviço",0,IF(OR(AND(AUTOEVENTO="Manual",$M682=1),$M682&gt;(ROW(PLE.lastrow)-ROW(PLE.firstrow))),0,IF(OFFSET(PLE!$G$14,$M682,CK$13)="",10^12,OFFSET(PLE!$G$14,$M682,CK$13))))</f>
        <v>1000000000000</v>
      </c>
      <c r="CL682" s="216">
        <f ca="1">IF($D682&lt;&gt;"Serviço",0,IF(OR(AND(AUTOEVENTO="Manual",$M682=1),$M682&gt;(ROW(PLE.lastrow)-ROW(PLE.firstrow))),0,IF(OFFSET(PLE!$G$14,$M682,CL$13)="",10^12,OFFSET(PLE!$G$14,$M682,CL$13))))</f>
        <v>1000000000000</v>
      </c>
      <c r="CM682" s="216">
        <f ca="1">IF($D682&lt;&gt;"Serviço",0,IF(OR(AND(AUTOEVENTO="Manual",$M682=1),$M682&gt;(ROW(PLE.lastrow)-ROW(PLE.firstrow))),0,IF(OFFSET(PLE!$G$14,$M682,CM$13)="",10^12,OFFSET(PLE!$G$14,$M682,CM$13))))</f>
        <v>1000000000000</v>
      </c>
    </row>
    <row r="683" spans="1:91" ht="13.2" x14ac:dyDescent="0.25">
      <c r="A683" s="9">
        <f t="shared" ca="1" si="20"/>
        <v>0</v>
      </c>
      <c r="B683" s="9" t="str">
        <f ca="1">OFFSET(ORÇAMENTO!C$15,ROW(B683)-ROW(B$15),0)</f>
        <v>S</v>
      </c>
      <c r="C683" s="9" t="str">
        <f ca="1">OFFSET(ORÇAMENTO!L$15,ROW(C683)-ROW(C$15),0)</f>
        <v/>
      </c>
      <c r="D683" s="145" t="str">
        <f ca="1">OFFSET(ORÇAMENTO!N$15,ROW(D683)-ROW(D$15),0)</f>
        <v>Serviço</v>
      </c>
      <c r="E683" s="205" t="str">
        <f ca="1">OFFSET(ORÇAMENTO!O$15,ROW(E683)-ROW(E$15),0)</f>
        <v>-</v>
      </c>
      <c r="F683" s="206" t="str">
        <f ca="1">OFFSET(ORÇAMENTO!R$15,ROW(F683)-ROW(F$15),0)</f>
        <v>(abra o arquivo 'Referência 05-2024.xls)</v>
      </c>
      <c r="G683" s="207" t="str">
        <f ca="1">IF($D683&lt;&gt;"Serviço","",OFFSET(ORÇAMENTO!S$15,ROW(G683)-ROW(G$15),0))</f>
        <v>-</v>
      </c>
      <c r="H683" s="151">
        <f ca="1">IF($D683&lt;&gt;"Serviço",0,IF(ACOMPANHAMENTO="BM",ROUND(OFFSET(ORÇAMENTO!AJ$15,ROW(H683)-ROW(H$15),0),15-13*ORÇAMENTO!$AF$7),SUMPRODUCT(($Q$12:$AI$12&lt;&gt;"")*ROUND($Q683:$AI683,15-13*ORÇAMENTO!$AF$7))))</f>
        <v>50</v>
      </c>
      <c r="I683" s="650"/>
      <c r="K683" s="208"/>
      <c r="L683" s="209" t="s">
        <v>257</v>
      </c>
      <c r="M683" s="210">
        <f ca="1">IF($D683&lt;&gt;"Serviço","",IF(AUTOEVENTO="manual",$A683,IF(ISERROR(MATCH($A683,$A$15:OFFSET($A683,-1,0),0)),MAX($M$15:OFFSET(M683,-1,0))+1,INDEX($M$15:OFFSET(M683,-1,0),MATCH($A683,$A$15:OFFSET($A683,-1,0),0)))))</f>
        <v>0</v>
      </c>
      <c r="N683" s="211" t="str">
        <f ca="1">IF($D683&lt;&gt;"Serviço","",IF(AUTOEVENTO="Manual",IF($A683=0,"&lt;-- defina o número do agrupador",OFFSET(EVENTOS!$D$14,$A683,0)),OFFSET($F$15,$A683,0)))</f>
        <v>&lt;-- defina o número do agrupador</v>
      </c>
      <c r="O683" s="212"/>
      <c r="Q683" s="212"/>
      <c r="R683" s="213"/>
      <c r="S683" s="213"/>
      <c r="T683" s="213"/>
      <c r="U683" s="213"/>
      <c r="V683" s="213"/>
      <c r="W683" s="213"/>
      <c r="X683" s="213"/>
      <c r="Y683" s="213"/>
      <c r="Z683" s="214"/>
      <c r="AA683" s="213"/>
      <c r="AB683" s="213"/>
      <c r="AC683" s="213"/>
      <c r="AD683" s="213"/>
      <c r="AE683" s="213"/>
      <c r="AF683" s="213"/>
      <c r="AG683" s="213"/>
      <c r="AH683" s="214"/>
      <c r="AJ683" s="631">
        <f ca="1">IF(AND($D683="Serviço",AJ$12&lt;&gt;0,$H683&gt;0,OR(AUTOEVENTO&lt;&gt;"manual",$M683&lt;&gt;1)),ROUND(OFFSET($P683,0,AJ$13),15-13*ORÇAMENTO!$AF$7)/$H683*OFFSET(ORÇAMENTO!$X$15,ROW(AJ683)-ROW(AJ$15),0),0)</f>
        <v>0</v>
      </c>
      <c r="AK683" s="632">
        <f ca="1">IF(AND($D683="Serviço",AK$12&lt;&gt;0,$H683&gt;0,OR(AUTOEVENTO&lt;&gt;"manual",$M683&lt;&gt;1)),ROUND(OFFSET($P683,0,AK$13),15-13*ORÇAMENTO!$AF$7)/$H683*OFFSET(ORÇAMENTO!$X$15,ROW(AK683)-ROW(AK$15),0),0)</f>
        <v>0</v>
      </c>
      <c r="AL683" s="632">
        <f ca="1">IF(AND($D683="Serviço",AL$12&lt;&gt;0,$H683&gt;0,OR(AUTOEVENTO&lt;&gt;"manual",$M683&lt;&gt;1)),ROUND(OFFSET($P683,0,AL$13),15-13*ORÇAMENTO!$AF$7)/$H683*OFFSET(ORÇAMENTO!$X$15,ROW(AL683)-ROW(AL$15),0),0)</f>
        <v>0</v>
      </c>
      <c r="AM683" s="632">
        <f ca="1">IF(AND($D683="Serviço",AM$12&lt;&gt;0,$H683&gt;0,OR(AUTOEVENTO&lt;&gt;"manual",$M683&lt;&gt;1)),ROUND(OFFSET($P683,0,AM$13),15-13*ORÇAMENTO!$AF$7)/$H683*OFFSET(ORÇAMENTO!$X$15,ROW(AM683)-ROW(AM$15),0),0)</f>
        <v>0</v>
      </c>
      <c r="AN683" s="632">
        <f ca="1">IF(AND($D683="Serviço",AN$12&lt;&gt;0,$H683&gt;0,OR(AUTOEVENTO&lt;&gt;"manual",$M683&lt;&gt;1)),ROUND(OFFSET($P683,0,AN$13),15-13*ORÇAMENTO!$AF$7)/$H683*OFFSET(ORÇAMENTO!$X$15,ROW(AN683)-ROW(AN$15),0),0)</f>
        <v>0</v>
      </c>
      <c r="AO683" s="632">
        <f ca="1">IF(AND($D683="Serviço",AO$12&lt;&gt;0,$H683&gt;0,OR(AUTOEVENTO&lt;&gt;"manual",$M683&lt;&gt;1)),ROUND(OFFSET($P683,0,AO$13),15-13*ORÇAMENTO!$AF$7)/$H683*OFFSET(ORÇAMENTO!$X$15,ROW(AO683)-ROW(AO$15),0),0)</f>
        <v>0</v>
      </c>
      <c r="AP683" s="632">
        <f ca="1">IF(AND($D683="Serviço",AP$12&lt;&gt;0,$H683&gt;0,OR(AUTOEVENTO&lt;&gt;"manual",$M683&lt;&gt;1)),ROUND(OFFSET($P683,0,AP$13),15-13*ORÇAMENTO!$AF$7)/$H683*OFFSET(ORÇAMENTO!$X$15,ROW(AP683)-ROW(AP$15),0),0)</f>
        <v>0</v>
      </c>
      <c r="AQ683" s="632">
        <f ca="1">IF(AND($D683="Serviço",AQ$12&lt;&gt;0,$H683&gt;0,OR(AUTOEVENTO&lt;&gt;"manual",$M683&lt;&gt;1)),ROUND(OFFSET($P683,0,AQ$13),15-13*ORÇAMENTO!$AF$7)/$H683*OFFSET(ORÇAMENTO!$X$15,ROW(AQ683)-ROW(AQ$15),0),0)</f>
        <v>0</v>
      </c>
      <c r="AR683" s="632">
        <f ca="1">IF(AND($D683="Serviço",AR$12&lt;&gt;0,$H683&gt;0,OR(AUTOEVENTO&lt;&gt;"manual",$M683&lt;&gt;1)),ROUND(OFFSET($P683,0,AR$13),15-13*ORÇAMENTO!$AF$7)/$H683*OFFSET(ORÇAMENTO!$X$15,ROW(AR683)-ROW(AR$15),0),0)</f>
        <v>0</v>
      </c>
      <c r="AS683" s="633">
        <f ca="1">IF(AND($D683="Serviço",AS$12&lt;&gt;0,$H683&gt;0,OR(AUTOEVENTO&lt;&gt;"manual",$M683&lt;&gt;1)),ROUND(OFFSET($P683,0,AS$13),15-13*ORÇAMENTO!$AF$7)/$H683*OFFSET(ORÇAMENTO!$X$15,ROW(AS683)-ROW(AS$15),0),0)</f>
        <v>0</v>
      </c>
      <c r="AT683" s="632">
        <f ca="1">IF(AND($D683="Serviço",AT$12&lt;&gt;0,$H683&gt;0,OR(AUTOEVENTO&lt;&gt;"manual",$M683&lt;&gt;1)),ROUND(OFFSET($P683,0,AT$13),15-13*ORÇAMENTO!$AF$7)/$H683*OFFSET(ORÇAMENTO!$X$15,ROW(AT683)-ROW(AT$15),0),0)</f>
        <v>0</v>
      </c>
      <c r="AU683" s="632">
        <f ca="1">IF(AND($D683="Serviço",AU$12&lt;&gt;0,$H683&gt;0,OR(AUTOEVENTO&lt;&gt;"manual",$M683&lt;&gt;1)),ROUND(OFFSET($P683,0,AU$13),15-13*ORÇAMENTO!$AF$7)/$H683*OFFSET(ORÇAMENTO!$X$15,ROW(AU683)-ROW(AU$15),0),0)</f>
        <v>0</v>
      </c>
      <c r="AV683" s="632">
        <f ca="1">IF(AND($D683="Serviço",AV$12&lt;&gt;0,$H683&gt;0,OR(AUTOEVENTO&lt;&gt;"manual",$M683&lt;&gt;1)),ROUND(OFFSET($P683,0,AV$13),15-13*ORÇAMENTO!$AF$7)/$H683*OFFSET(ORÇAMENTO!$X$15,ROW(AV683)-ROW(AV$15),0),0)</f>
        <v>0</v>
      </c>
      <c r="AW683" s="632">
        <f ca="1">IF(AND($D683="Serviço",AW$12&lt;&gt;0,$H683&gt;0,OR(AUTOEVENTO&lt;&gt;"manual",$M683&lt;&gt;1)),ROUND(OFFSET($P683,0,AW$13),15-13*ORÇAMENTO!$AF$7)/$H683*OFFSET(ORÇAMENTO!$X$15,ROW(AW683)-ROW(AW$15),0),0)</f>
        <v>0</v>
      </c>
      <c r="AX683" s="632">
        <f ca="1">IF(AND($D683="Serviço",AX$12&lt;&gt;0,$H683&gt;0,OR(AUTOEVENTO&lt;&gt;"manual",$M683&lt;&gt;1)),ROUND(OFFSET($P683,0,AX$13),15-13*ORÇAMENTO!$AF$7)/$H683*OFFSET(ORÇAMENTO!$X$15,ROW(AX683)-ROW(AX$15),0),0)</f>
        <v>0</v>
      </c>
      <c r="AY683" s="632">
        <f ca="1">IF(AND($D683="Serviço",AY$12&lt;&gt;0,$H683&gt;0,OR(AUTOEVENTO&lt;&gt;"manual",$M683&lt;&gt;1)),ROUND(OFFSET($P683,0,AY$13),15-13*ORÇAMENTO!$AF$7)/$H683*OFFSET(ORÇAMENTO!$X$15,ROW(AY683)-ROW(AY$15),0),0)</f>
        <v>0</v>
      </c>
      <c r="AZ683" s="632">
        <f ca="1">IF(AND($D683="Serviço",AZ$12&lt;&gt;0,$H683&gt;0,OR(AUTOEVENTO&lt;&gt;"manual",$M683&lt;&gt;1)),ROUND(OFFSET($P683,0,AZ$13),15-13*ORÇAMENTO!$AF$7)/$H683*OFFSET(ORÇAMENTO!$X$15,ROW(AZ683)-ROW(AZ$15),0),0)</f>
        <v>0</v>
      </c>
      <c r="BA683" s="633">
        <f ca="1">IF(AND($D683="Serviço",BA$12&lt;&gt;0,$H683&gt;0,OR(AUTOEVENTO&lt;&gt;"manual",$M683&lt;&gt;1)),ROUND(OFFSET($P683,0,BA$13),15-13*ORÇAMENTO!$AF$7)/$H683*OFFSET(ORÇAMENTO!$X$15,ROW(BA683)-ROW(BA$15),0),0)</f>
        <v>0</v>
      </c>
      <c r="BC683" s="215">
        <f ca="1">IF($D683&lt;&gt;"Serviço",0,IF(AND(AUTOEVENTO="Manual",$M683=1),0,IF(OFFSET(CRONOPLE!$F$14,$M683,BC$13)="",10^12,OFFSET(CRONOPLE!$F$14,$M683,BC$13))))</f>
        <v>1000000000000</v>
      </c>
      <c r="BD683" s="215">
        <f ca="1">IF($D683&lt;&gt;"Serviço",0,IF(AND(AUTOEVENTO="Manual",$M683=1),0,IF(OFFSET(CRONOPLE!$F$14,$M683,BD$13)="",10^12,OFFSET(CRONOPLE!$F$14,$M683,BD$13))))</f>
        <v>1000000000000</v>
      </c>
      <c r="BE683" s="215">
        <f ca="1">IF($D683&lt;&gt;"Serviço",0,IF(AND(AUTOEVENTO="Manual",$M683=1),0,IF(OFFSET(CRONOPLE!$F$14,$M683,BE$13)="",10^12,OFFSET(CRONOPLE!$F$14,$M683,BE$13))))</f>
        <v>1000000000000</v>
      </c>
      <c r="BF683" s="215">
        <f ca="1">IF($D683&lt;&gt;"Serviço",0,IF(AND(AUTOEVENTO="Manual",$M683=1),0,IF(OFFSET(CRONOPLE!$F$14,$M683,BF$13)="",10^12,OFFSET(CRONOPLE!$F$14,$M683,BF$13))))</f>
        <v>1000000000000</v>
      </c>
      <c r="BG683" s="215">
        <f ca="1">IF($D683&lt;&gt;"Serviço",0,IF(AND(AUTOEVENTO="Manual",$M683=1),0,IF(OFFSET(CRONOPLE!$F$14,$M683,BG$13)="",10^12,OFFSET(CRONOPLE!$F$14,$M683,BG$13))))</f>
        <v>1000000000000</v>
      </c>
      <c r="BH683" s="215">
        <f ca="1">IF($D683&lt;&gt;"Serviço",0,IF(AND(AUTOEVENTO="Manual",$M683=1),0,IF(OFFSET(CRONOPLE!$F$14,$M683,BH$13)="",10^12,OFFSET(CRONOPLE!$F$14,$M683,BH$13))))</f>
        <v>1000000000000</v>
      </c>
      <c r="BI683" s="215">
        <f ca="1">IF($D683&lt;&gt;"Serviço",0,IF(AND(AUTOEVENTO="Manual",$M683=1),0,IF(OFFSET(CRONOPLE!$F$14,$M683,BI$13)="",10^12,OFFSET(CRONOPLE!$F$14,$M683,BI$13))))</f>
        <v>1000000000000</v>
      </c>
      <c r="BJ683" s="215">
        <f ca="1">IF($D683&lt;&gt;"Serviço",0,IF(AND(AUTOEVENTO="Manual",$M683=1),0,IF(OFFSET(CRONOPLE!$F$14,$M683,BJ$13)="",10^12,OFFSET(CRONOPLE!$F$14,$M683,BJ$13))))</f>
        <v>1000000000000</v>
      </c>
      <c r="BK683" s="215">
        <f ca="1">IF($D683&lt;&gt;"Serviço",0,IF(AND(AUTOEVENTO="Manual",$M683=1),0,IF(OFFSET(CRONOPLE!$F$14,$M683,BK$13)="",10^12,OFFSET(CRONOPLE!$F$14,$M683,BK$13))))</f>
        <v>1000000000000</v>
      </c>
      <c r="BL683" s="215">
        <f ca="1">IF($D683&lt;&gt;"Serviço",0,IF(AND(AUTOEVENTO="Manual",$M683=1),0,IF(OFFSET(CRONOPLE!$F$14,$M683,BL$13)="",10^12,OFFSET(CRONOPLE!$F$14,$M683,BL$13))))</f>
        <v>1000000000000</v>
      </c>
      <c r="BM683" s="215">
        <f ca="1">IF($D683&lt;&gt;"Serviço",0,IF(AND(AUTOEVENTO="Manual",$M683=1),0,IF(OFFSET(CRONOPLE!$F$14,$M683,BM$13)="",10^12,OFFSET(CRONOPLE!$F$14,$M683,BM$13))))</f>
        <v>1000000000000</v>
      </c>
      <c r="BN683" s="215">
        <f ca="1">IF($D683&lt;&gt;"Serviço",0,IF(AND(AUTOEVENTO="Manual",$M683=1),0,IF(OFFSET(CRONOPLE!$F$14,$M683,BN$13)="",10^12,OFFSET(CRONOPLE!$F$14,$M683,BN$13))))</f>
        <v>1000000000000</v>
      </c>
      <c r="BO683" s="215">
        <f ca="1">IF($D683&lt;&gt;"Serviço",0,IF(AND(AUTOEVENTO="Manual",$M683=1),0,IF(OFFSET(CRONOPLE!$F$14,$M683,BO$13)="",10^12,OFFSET(CRONOPLE!$F$14,$M683,BO$13))))</f>
        <v>1000000000000</v>
      </c>
      <c r="BP683" s="215">
        <f ca="1">IF($D683&lt;&gt;"Serviço",0,IF(AND(AUTOEVENTO="Manual",$M683=1),0,IF(OFFSET(CRONOPLE!$F$14,$M683,BP$13)="",10^12,OFFSET(CRONOPLE!$F$14,$M683,BP$13))))</f>
        <v>1000000000000</v>
      </c>
      <c r="BQ683" s="215">
        <f ca="1">IF($D683&lt;&gt;"Serviço",0,IF(AND(AUTOEVENTO="Manual",$M683=1),0,IF(OFFSET(CRONOPLE!$F$14,$M683,BQ$13)="",10^12,OFFSET(CRONOPLE!$F$14,$M683,BQ$13))))</f>
        <v>1000000000000</v>
      </c>
      <c r="BR683" s="215">
        <f ca="1">IF($D683&lt;&gt;"Serviço",0,IF(AND(AUTOEVENTO="Manual",$M683=1),0,IF(OFFSET(CRONOPLE!$F$14,$M683,BR$13)="",10^12,OFFSET(CRONOPLE!$F$14,$M683,BR$13))))</f>
        <v>1000000000000</v>
      </c>
      <c r="BS683" s="215">
        <f ca="1">IF($D683&lt;&gt;"Serviço",0,IF(AND(AUTOEVENTO="Manual",$M683=1),0,IF(OFFSET(CRONOPLE!$F$14,$M683,BS$13)="",10^12,OFFSET(CRONOPLE!$F$14,$M683,BS$13))))</f>
        <v>1000000000000</v>
      </c>
      <c r="BT683" s="215">
        <f ca="1">IF($D683&lt;&gt;"Serviço",0,IF(AND(AUTOEVENTO="Manual",$M683=1),0,IF(OFFSET(CRONOPLE!$F$14,$M683,BT$13)="",10^12,OFFSET(CRONOPLE!$F$14,$M683,BT$13))))</f>
        <v>1000000000000</v>
      </c>
      <c r="BV683" s="216">
        <f ca="1">IF($D683&lt;&gt;"Serviço",0,IF(OR(AND(AUTOEVENTO="Manual",$M683=1),$M683&gt;(ROW(PLE.lastrow)-ROW(PLE.firstrow))),0,IF(OFFSET(PLE!$G$14,$M683,BV$13)="",10^12,OFFSET(PLE!$G$14,$M683,BV$13))))</f>
        <v>1000000000000</v>
      </c>
      <c r="BW683" s="216">
        <f ca="1">IF($D683&lt;&gt;"Serviço",0,IF(OR(AND(AUTOEVENTO="Manual",$M683=1),$M683&gt;(ROW(PLE.lastrow)-ROW(PLE.firstrow))),0,IF(OFFSET(PLE!$G$14,$M683,BW$13)="",10^12,OFFSET(PLE!$G$14,$M683,BW$13))))</f>
        <v>1000000000000</v>
      </c>
      <c r="BX683" s="216">
        <f ca="1">IF($D683&lt;&gt;"Serviço",0,IF(OR(AND(AUTOEVENTO="Manual",$M683=1),$M683&gt;(ROW(PLE.lastrow)-ROW(PLE.firstrow))),0,IF(OFFSET(PLE!$G$14,$M683,BX$13)="",10^12,OFFSET(PLE!$G$14,$M683,BX$13))))</f>
        <v>1000000000000</v>
      </c>
      <c r="BY683" s="216">
        <f ca="1">IF($D683&lt;&gt;"Serviço",0,IF(OR(AND(AUTOEVENTO="Manual",$M683=1),$M683&gt;(ROW(PLE.lastrow)-ROW(PLE.firstrow))),0,IF(OFFSET(PLE!$G$14,$M683,BY$13)="",10^12,OFFSET(PLE!$G$14,$M683,BY$13))))</f>
        <v>1000000000000</v>
      </c>
      <c r="BZ683" s="216">
        <f ca="1">IF($D683&lt;&gt;"Serviço",0,IF(OR(AND(AUTOEVENTO="Manual",$M683=1),$M683&gt;(ROW(PLE.lastrow)-ROW(PLE.firstrow))),0,IF(OFFSET(PLE!$G$14,$M683,BZ$13)="",10^12,OFFSET(PLE!$G$14,$M683,BZ$13))))</f>
        <v>1000000000000</v>
      </c>
      <c r="CA683" s="216">
        <f ca="1">IF($D683&lt;&gt;"Serviço",0,IF(OR(AND(AUTOEVENTO="Manual",$M683=1),$M683&gt;(ROW(PLE.lastrow)-ROW(PLE.firstrow))),0,IF(OFFSET(PLE!$G$14,$M683,CA$13)="",10^12,OFFSET(PLE!$G$14,$M683,CA$13))))</f>
        <v>1000000000000</v>
      </c>
      <c r="CB683" s="216">
        <f ca="1">IF($D683&lt;&gt;"Serviço",0,IF(OR(AND(AUTOEVENTO="Manual",$M683=1),$M683&gt;(ROW(PLE.lastrow)-ROW(PLE.firstrow))),0,IF(OFFSET(PLE!$G$14,$M683,CB$13)="",10^12,OFFSET(PLE!$G$14,$M683,CB$13))))</f>
        <v>1000000000000</v>
      </c>
      <c r="CC683" s="216">
        <f ca="1">IF($D683&lt;&gt;"Serviço",0,IF(OR(AND(AUTOEVENTO="Manual",$M683=1),$M683&gt;(ROW(PLE.lastrow)-ROW(PLE.firstrow))),0,IF(OFFSET(PLE!$G$14,$M683,CC$13)="",10^12,OFFSET(PLE!$G$14,$M683,CC$13))))</f>
        <v>1000000000000</v>
      </c>
      <c r="CD683" s="216">
        <f ca="1">IF($D683&lt;&gt;"Serviço",0,IF(OR(AND(AUTOEVENTO="Manual",$M683=1),$M683&gt;(ROW(PLE.lastrow)-ROW(PLE.firstrow))),0,IF(OFFSET(PLE!$G$14,$M683,CD$13)="",10^12,OFFSET(PLE!$G$14,$M683,CD$13))))</f>
        <v>1000000000000</v>
      </c>
      <c r="CE683" s="216">
        <f ca="1">IF($D683&lt;&gt;"Serviço",0,IF(OR(AND(AUTOEVENTO="Manual",$M683=1),$M683&gt;(ROW(PLE.lastrow)-ROW(PLE.firstrow))),0,IF(OFFSET(PLE!$G$14,$M683,CE$13)="",10^12,OFFSET(PLE!$G$14,$M683,CE$13))))</f>
        <v>1000000000000</v>
      </c>
      <c r="CF683" s="216">
        <f ca="1">IF($D683&lt;&gt;"Serviço",0,IF(OR(AND(AUTOEVENTO="Manual",$M683=1),$M683&gt;(ROW(PLE.lastrow)-ROW(PLE.firstrow))),0,IF(OFFSET(PLE!$G$14,$M683,CF$13)="",10^12,OFFSET(PLE!$G$14,$M683,CF$13))))</f>
        <v>1000000000000</v>
      </c>
      <c r="CG683" s="216">
        <f ca="1">IF($D683&lt;&gt;"Serviço",0,IF(OR(AND(AUTOEVENTO="Manual",$M683=1),$M683&gt;(ROW(PLE.lastrow)-ROW(PLE.firstrow))),0,IF(OFFSET(PLE!$G$14,$M683,CG$13)="",10^12,OFFSET(PLE!$G$14,$M683,CG$13))))</f>
        <v>1000000000000</v>
      </c>
      <c r="CH683" s="216">
        <f ca="1">IF($D683&lt;&gt;"Serviço",0,IF(OR(AND(AUTOEVENTO="Manual",$M683=1),$M683&gt;(ROW(PLE.lastrow)-ROW(PLE.firstrow))),0,IF(OFFSET(PLE!$G$14,$M683,CH$13)="",10^12,OFFSET(PLE!$G$14,$M683,CH$13))))</f>
        <v>1000000000000</v>
      </c>
      <c r="CI683" s="216">
        <f ca="1">IF($D683&lt;&gt;"Serviço",0,IF(OR(AND(AUTOEVENTO="Manual",$M683=1),$M683&gt;(ROW(PLE.lastrow)-ROW(PLE.firstrow))),0,IF(OFFSET(PLE!$G$14,$M683,CI$13)="",10^12,OFFSET(PLE!$G$14,$M683,CI$13))))</f>
        <v>1000000000000</v>
      </c>
      <c r="CJ683" s="216">
        <f ca="1">IF($D683&lt;&gt;"Serviço",0,IF(OR(AND(AUTOEVENTO="Manual",$M683=1),$M683&gt;(ROW(PLE.lastrow)-ROW(PLE.firstrow))),0,IF(OFFSET(PLE!$G$14,$M683,CJ$13)="",10^12,OFFSET(PLE!$G$14,$M683,CJ$13))))</f>
        <v>1000000000000</v>
      </c>
      <c r="CK683" s="216">
        <f ca="1">IF($D683&lt;&gt;"Serviço",0,IF(OR(AND(AUTOEVENTO="Manual",$M683=1),$M683&gt;(ROW(PLE.lastrow)-ROW(PLE.firstrow))),0,IF(OFFSET(PLE!$G$14,$M683,CK$13)="",10^12,OFFSET(PLE!$G$14,$M683,CK$13))))</f>
        <v>1000000000000</v>
      </c>
      <c r="CL683" s="216">
        <f ca="1">IF($D683&lt;&gt;"Serviço",0,IF(OR(AND(AUTOEVENTO="Manual",$M683=1),$M683&gt;(ROW(PLE.lastrow)-ROW(PLE.firstrow))),0,IF(OFFSET(PLE!$G$14,$M683,CL$13)="",10^12,OFFSET(PLE!$G$14,$M683,CL$13))))</f>
        <v>1000000000000</v>
      </c>
      <c r="CM683" s="216">
        <f ca="1">IF($D683&lt;&gt;"Serviço",0,IF(OR(AND(AUTOEVENTO="Manual",$M683=1),$M683&gt;(ROW(PLE.lastrow)-ROW(PLE.firstrow))),0,IF(OFFSET(PLE!$G$14,$M683,CM$13)="",10^12,OFFSET(PLE!$G$14,$M683,CM$13))))</f>
        <v>1000000000000</v>
      </c>
    </row>
    <row r="684" spans="1:91" ht="13.2" x14ac:dyDescent="0.25">
      <c r="A684" s="9">
        <f t="shared" ca="1" si="20"/>
        <v>0</v>
      </c>
      <c r="B684" s="9" t="str">
        <f ca="1">OFFSET(ORÇAMENTO!C$15,ROW(B684)-ROW(B$15),0)</f>
        <v>S</v>
      </c>
      <c r="C684" s="9" t="str">
        <f ca="1">OFFSET(ORÇAMENTO!L$15,ROW(C684)-ROW(C$15),0)</f>
        <v/>
      </c>
      <c r="D684" s="145" t="str">
        <f ca="1">OFFSET(ORÇAMENTO!N$15,ROW(D684)-ROW(D$15),0)</f>
        <v>Serviço</v>
      </c>
      <c r="E684" s="205" t="str">
        <f ca="1">OFFSET(ORÇAMENTO!O$15,ROW(E684)-ROW(E$15),0)</f>
        <v>-</v>
      </c>
      <c r="F684" s="206" t="str">
        <f ca="1">OFFSET(ORÇAMENTO!R$15,ROW(F684)-ROW(F$15),0)</f>
        <v>(abra o arquivo 'Referência 05-2024.xls)</v>
      </c>
      <c r="G684" s="207" t="str">
        <f ca="1">IF($D684&lt;&gt;"Serviço","",OFFSET(ORÇAMENTO!S$15,ROW(G684)-ROW(G$15),0))</f>
        <v>-</v>
      </c>
      <c r="H684" s="151">
        <f ca="1">IF($D684&lt;&gt;"Serviço",0,IF(ACOMPANHAMENTO="BM",ROUND(OFFSET(ORÇAMENTO!AJ$15,ROW(H684)-ROW(H$15),0),15-13*ORÇAMENTO!$AF$7),SUMPRODUCT(($Q$12:$AI$12&lt;&gt;"")*ROUND($Q684:$AI684,15-13*ORÇAMENTO!$AF$7))))</f>
        <v>470</v>
      </c>
      <c r="I684" s="650"/>
      <c r="K684" s="208"/>
      <c r="L684" s="209" t="s">
        <v>257</v>
      </c>
      <c r="M684" s="210">
        <f ca="1">IF($D684&lt;&gt;"Serviço","",IF(AUTOEVENTO="manual",$A684,IF(ISERROR(MATCH($A684,$A$15:OFFSET($A684,-1,0),0)),MAX($M$15:OFFSET(M684,-1,0))+1,INDEX($M$15:OFFSET(M684,-1,0),MATCH($A684,$A$15:OFFSET($A684,-1,0),0)))))</f>
        <v>0</v>
      </c>
      <c r="N684" s="211" t="str">
        <f ca="1">IF($D684&lt;&gt;"Serviço","",IF(AUTOEVENTO="Manual",IF($A684=0,"&lt;-- defina o número do agrupador",OFFSET(EVENTOS!$D$14,$A684,0)),OFFSET($F$15,$A684,0)))</f>
        <v>&lt;-- defina o número do agrupador</v>
      </c>
      <c r="O684" s="212"/>
      <c r="Q684" s="212"/>
      <c r="R684" s="213"/>
      <c r="S684" s="213"/>
      <c r="T684" s="213"/>
      <c r="U684" s="213"/>
      <c r="V684" s="213"/>
      <c r="W684" s="213"/>
      <c r="X684" s="213"/>
      <c r="Y684" s="213"/>
      <c r="Z684" s="214"/>
      <c r="AA684" s="213"/>
      <c r="AB684" s="213"/>
      <c r="AC684" s="213"/>
      <c r="AD684" s="213"/>
      <c r="AE684" s="213"/>
      <c r="AF684" s="213"/>
      <c r="AG684" s="213"/>
      <c r="AH684" s="214"/>
      <c r="AJ684" s="631">
        <f ca="1">IF(AND($D684="Serviço",AJ$12&lt;&gt;0,$H684&gt;0,OR(AUTOEVENTO&lt;&gt;"manual",$M684&lt;&gt;1)),ROUND(OFFSET($P684,0,AJ$13),15-13*ORÇAMENTO!$AF$7)/$H684*OFFSET(ORÇAMENTO!$X$15,ROW(AJ684)-ROW(AJ$15),0),0)</f>
        <v>0</v>
      </c>
      <c r="AK684" s="632">
        <f ca="1">IF(AND($D684="Serviço",AK$12&lt;&gt;0,$H684&gt;0,OR(AUTOEVENTO&lt;&gt;"manual",$M684&lt;&gt;1)),ROUND(OFFSET($P684,0,AK$13),15-13*ORÇAMENTO!$AF$7)/$H684*OFFSET(ORÇAMENTO!$X$15,ROW(AK684)-ROW(AK$15),0),0)</f>
        <v>0</v>
      </c>
      <c r="AL684" s="632">
        <f ca="1">IF(AND($D684="Serviço",AL$12&lt;&gt;0,$H684&gt;0,OR(AUTOEVENTO&lt;&gt;"manual",$M684&lt;&gt;1)),ROUND(OFFSET($P684,0,AL$13),15-13*ORÇAMENTO!$AF$7)/$H684*OFFSET(ORÇAMENTO!$X$15,ROW(AL684)-ROW(AL$15),0),0)</f>
        <v>0</v>
      </c>
      <c r="AM684" s="632">
        <f ca="1">IF(AND($D684="Serviço",AM$12&lt;&gt;0,$H684&gt;0,OR(AUTOEVENTO&lt;&gt;"manual",$M684&lt;&gt;1)),ROUND(OFFSET($P684,0,AM$13),15-13*ORÇAMENTO!$AF$7)/$H684*OFFSET(ORÇAMENTO!$X$15,ROW(AM684)-ROW(AM$15),0),0)</f>
        <v>0</v>
      </c>
      <c r="AN684" s="632">
        <f ca="1">IF(AND($D684="Serviço",AN$12&lt;&gt;0,$H684&gt;0,OR(AUTOEVENTO&lt;&gt;"manual",$M684&lt;&gt;1)),ROUND(OFFSET($P684,0,AN$13),15-13*ORÇAMENTO!$AF$7)/$H684*OFFSET(ORÇAMENTO!$X$15,ROW(AN684)-ROW(AN$15),0),0)</f>
        <v>0</v>
      </c>
      <c r="AO684" s="632">
        <f ca="1">IF(AND($D684="Serviço",AO$12&lt;&gt;0,$H684&gt;0,OR(AUTOEVENTO&lt;&gt;"manual",$M684&lt;&gt;1)),ROUND(OFFSET($P684,0,AO$13),15-13*ORÇAMENTO!$AF$7)/$H684*OFFSET(ORÇAMENTO!$X$15,ROW(AO684)-ROW(AO$15),0),0)</f>
        <v>0</v>
      </c>
      <c r="AP684" s="632">
        <f ca="1">IF(AND($D684="Serviço",AP$12&lt;&gt;0,$H684&gt;0,OR(AUTOEVENTO&lt;&gt;"manual",$M684&lt;&gt;1)),ROUND(OFFSET($P684,0,AP$13),15-13*ORÇAMENTO!$AF$7)/$H684*OFFSET(ORÇAMENTO!$X$15,ROW(AP684)-ROW(AP$15),0),0)</f>
        <v>0</v>
      </c>
      <c r="AQ684" s="632">
        <f ca="1">IF(AND($D684="Serviço",AQ$12&lt;&gt;0,$H684&gt;0,OR(AUTOEVENTO&lt;&gt;"manual",$M684&lt;&gt;1)),ROUND(OFFSET($P684,0,AQ$13),15-13*ORÇAMENTO!$AF$7)/$H684*OFFSET(ORÇAMENTO!$X$15,ROW(AQ684)-ROW(AQ$15),0),0)</f>
        <v>0</v>
      </c>
      <c r="AR684" s="632">
        <f ca="1">IF(AND($D684="Serviço",AR$12&lt;&gt;0,$H684&gt;0,OR(AUTOEVENTO&lt;&gt;"manual",$M684&lt;&gt;1)),ROUND(OFFSET($P684,0,AR$13),15-13*ORÇAMENTO!$AF$7)/$H684*OFFSET(ORÇAMENTO!$X$15,ROW(AR684)-ROW(AR$15),0),0)</f>
        <v>0</v>
      </c>
      <c r="AS684" s="633">
        <f ca="1">IF(AND($D684="Serviço",AS$12&lt;&gt;0,$H684&gt;0,OR(AUTOEVENTO&lt;&gt;"manual",$M684&lt;&gt;1)),ROUND(OFFSET($P684,0,AS$13),15-13*ORÇAMENTO!$AF$7)/$H684*OFFSET(ORÇAMENTO!$X$15,ROW(AS684)-ROW(AS$15),0),0)</f>
        <v>0</v>
      </c>
      <c r="AT684" s="632">
        <f ca="1">IF(AND($D684="Serviço",AT$12&lt;&gt;0,$H684&gt;0,OR(AUTOEVENTO&lt;&gt;"manual",$M684&lt;&gt;1)),ROUND(OFFSET($P684,0,AT$13),15-13*ORÇAMENTO!$AF$7)/$H684*OFFSET(ORÇAMENTO!$X$15,ROW(AT684)-ROW(AT$15),0),0)</f>
        <v>0</v>
      </c>
      <c r="AU684" s="632">
        <f ca="1">IF(AND($D684="Serviço",AU$12&lt;&gt;0,$H684&gt;0,OR(AUTOEVENTO&lt;&gt;"manual",$M684&lt;&gt;1)),ROUND(OFFSET($P684,0,AU$13),15-13*ORÇAMENTO!$AF$7)/$H684*OFFSET(ORÇAMENTO!$X$15,ROW(AU684)-ROW(AU$15),0),0)</f>
        <v>0</v>
      </c>
      <c r="AV684" s="632">
        <f ca="1">IF(AND($D684="Serviço",AV$12&lt;&gt;0,$H684&gt;0,OR(AUTOEVENTO&lt;&gt;"manual",$M684&lt;&gt;1)),ROUND(OFFSET($P684,0,AV$13),15-13*ORÇAMENTO!$AF$7)/$H684*OFFSET(ORÇAMENTO!$X$15,ROW(AV684)-ROW(AV$15),0),0)</f>
        <v>0</v>
      </c>
      <c r="AW684" s="632">
        <f ca="1">IF(AND($D684="Serviço",AW$12&lt;&gt;0,$H684&gt;0,OR(AUTOEVENTO&lt;&gt;"manual",$M684&lt;&gt;1)),ROUND(OFFSET($P684,0,AW$13),15-13*ORÇAMENTO!$AF$7)/$H684*OFFSET(ORÇAMENTO!$X$15,ROW(AW684)-ROW(AW$15),0),0)</f>
        <v>0</v>
      </c>
      <c r="AX684" s="632">
        <f ca="1">IF(AND($D684="Serviço",AX$12&lt;&gt;0,$H684&gt;0,OR(AUTOEVENTO&lt;&gt;"manual",$M684&lt;&gt;1)),ROUND(OFFSET($P684,0,AX$13),15-13*ORÇAMENTO!$AF$7)/$H684*OFFSET(ORÇAMENTO!$X$15,ROW(AX684)-ROW(AX$15),0),0)</f>
        <v>0</v>
      </c>
      <c r="AY684" s="632">
        <f ca="1">IF(AND($D684="Serviço",AY$12&lt;&gt;0,$H684&gt;0,OR(AUTOEVENTO&lt;&gt;"manual",$M684&lt;&gt;1)),ROUND(OFFSET($P684,0,AY$13),15-13*ORÇAMENTO!$AF$7)/$H684*OFFSET(ORÇAMENTO!$X$15,ROW(AY684)-ROW(AY$15),0),0)</f>
        <v>0</v>
      </c>
      <c r="AZ684" s="632">
        <f ca="1">IF(AND($D684="Serviço",AZ$12&lt;&gt;0,$H684&gt;0,OR(AUTOEVENTO&lt;&gt;"manual",$M684&lt;&gt;1)),ROUND(OFFSET($P684,0,AZ$13),15-13*ORÇAMENTO!$AF$7)/$H684*OFFSET(ORÇAMENTO!$X$15,ROW(AZ684)-ROW(AZ$15),0),0)</f>
        <v>0</v>
      </c>
      <c r="BA684" s="633">
        <f ca="1">IF(AND($D684="Serviço",BA$12&lt;&gt;0,$H684&gt;0,OR(AUTOEVENTO&lt;&gt;"manual",$M684&lt;&gt;1)),ROUND(OFFSET($P684,0,BA$13),15-13*ORÇAMENTO!$AF$7)/$H684*OFFSET(ORÇAMENTO!$X$15,ROW(BA684)-ROW(BA$15),0),0)</f>
        <v>0</v>
      </c>
      <c r="BC684" s="215">
        <f ca="1">IF($D684&lt;&gt;"Serviço",0,IF(AND(AUTOEVENTO="Manual",$M684=1),0,IF(OFFSET(CRONOPLE!$F$14,$M684,BC$13)="",10^12,OFFSET(CRONOPLE!$F$14,$M684,BC$13))))</f>
        <v>1000000000000</v>
      </c>
      <c r="BD684" s="215">
        <f ca="1">IF($D684&lt;&gt;"Serviço",0,IF(AND(AUTOEVENTO="Manual",$M684=1),0,IF(OFFSET(CRONOPLE!$F$14,$M684,BD$13)="",10^12,OFFSET(CRONOPLE!$F$14,$M684,BD$13))))</f>
        <v>1000000000000</v>
      </c>
      <c r="BE684" s="215">
        <f ca="1">IF($D684&lt;&gt;"Serviço",0,IF(AND(AUTOEVENTO="Manual",$M684=1),0,IF(OFFSET(CRONOPLE!$F$14,$M684,BE$13)="",10^12,OFFSET(CRONOPLE!$F$14,$M684,BE$13))))</f>
        <v>1000000000000</v>
      </c>
      <c r="BF684" s="215">
        <f ca="1">IF($D684&lt;&gt;"Serviço",0,IF(AND(AUTOEVENTO="Manual",$M684=1),0,IF(OFFSET(CRONOPLE!$F$14,$M684,BF$13)="",10^12,OFFSET(CRONOPLE!$F$14,$M684,BF$13))))</f>
        <v>1000000000000</v>
      </c>
      <c r="BG684" s="215">
        <f ca="1">IF($D684&lt;&gt;"Serviço",0,IF(AND(AUTOEVENTO="Manual",$M684=1),0,IF(OFFSET(CRONOPLE!$F$14,$M684,BG$13)="",10^12,OFFSET(CRONOPLE!$F$14,$M684,BG$13))))</f>
        <v>1000000000000</v>
      </c>
      <c r="BH684" s="215">
        <f ca="1">IF($D684&lt;&gt;"Serviço",0,IF(AND(AUTOEVENTO="Manual",$M684=1),0,IF(OFFSET(CRONOPLE!$F$14,$M684,BH$13)="",10^12,OFFSET(CRONOPLE!$F$14,$M684,BH$13))))</f>
        <v>1000000000000</v>
      </c>
      <c r="BI684" s="215">
        <f ca="1">IF($D684&lt;&gt;"Serviço",0,IF(AND(AUTOEVENTO="Manual",$M684=1),0,IF(OFFSET(CRONOPLE!$F$14,$M684,BI$13)="",10^12,OFFSET(CRONOPLE!$F$14,$M684,BI$13))))</f>
        <v>1000000000000</v>
      </c>
      <c r="BJ684" s="215">
        <f ca="1">IF($D684&lt;&gt;"Serviço",0,IF(AND(AUTOEVENTO="Manual",$M684=1),0,IF(OFFSET(CRONOPLE!$F$14,$M684,BJ$13)="",10^12,OFFSET(CRONOPLE!$F$14,$M684,BJ$13))))</f>
        <v>1000000000000</v>
      </c>
      <c r="BK684" s="215">
        <f ca="1">IF($D684&lt;&gt;"Serviço",0,IF(AND(AUTOEVENTO="Manual",$M684=1),0,IF(OFFSET(CRONOPLE!$F$14,$M684,BK$13)="",10^12,OFFSET(CRONOPLE!$F$14,$M684,BK$13))))</f>
        <v>1000000000000</v>
      </c>
      <c r="BL684" s="215">
        <f ca="1">IF($D684&lt;&gt;"Serviço",0,IF(AND(AUTOEVENTO="Manual",$M684=1),0,IF(OFFSET(CRONOPLE!$F$14,$M684,BL$13)="",10^12,OFFSET(CRONOPLE!$F$14,$M684,BL$13))))</f>
        <v>1000000000000</v>
      </c>
      <c r="BM684" s="215">
        <f ca="1">IF($D684&lt;&gt;"Serviço",0,IF(AND(AUTOEVENTO="Manual",$M684=1),0,IF(OFFSET(CRONOPLE!$F$14,$M684,BM$13)="",10^12,OFFSET(CRONOPLE!$F$14,$M684,BM$13))))</f>
        <v>1000000000000</v>
      </c>
      <c r="BN684" s="215">
        <f ca="1">IF($D684&lt;&gt;"Serviço",0,IF(AND(AUTOEVENTO="Manual",$M684=1),0,IF(OFFSET(CRONOPLE!$F$14,$M684,BN$13)="",10^12,OFFSET(CRONOPLE!$F$14,$M684,BN$13))))</f>
        <v>1000000000000</v>
      </c>
      <c r="BO684" s="215">
        <f ca="1">IF($D684&lt;&gt;"Serviço",0,IF(AND(AUTOEVENTO="Manual",$M684=1),0,IF(OFFSET(CRONOPLE!$F$14,$M684,BO$13)="",10^12,OFFSET(CRONOPLE!$F$14,$M684,BO$13))))</f>
        <v>1000000000000</v>
      </c>
      <c r="BP684" s="215">
        <f ca="1">IF($D684&lt;&gt;"Serviço",0,IF(AND(AUTOEVENTO="Manual",$M684=1),0,IF(OFFSET(CRONOPLE!$F$14,$M684,BP$13)="",10^12,OFFSET(CRONOPLE!$F$14,$M684,BP$13))))</f>
        <v>1000000000000</v>
      </c>
      <c r="BQ684" s="215">
        <f ca="1">IF($D684&lt;&gt;"Serviço",0,IF(AND(AUTOEVENTO="Manual",$M684=1),0,IF(OFFSET(CRONOPLE!$F$14,$M684,BQ$13)="",10^12,OFFSET(CRONOPLE!$F$14,$M684,BQ$13))))</f>
        <v>1000000000000</v>
      </c>
      <c r="BR684" s="215">
        <f ca="1">IF($D684&lt;&gt;"Serviço",0,IF(AND(AUTOEVENTO="Manual",$M684=1),0,IF(OFFSET(CRONOPLE!$F$14,$M684,BR$13)="",10^12,OFFSET(CRONOPLE!$F$14,$M684,BR$13))))</f>
        <v>1000000000000</v>
      </c>
      <c r="BS684" s="215">
        <f ca="1">IF($D684&lt;&gt;"Serviço",0,IF(AND(AUTOEVENTO="Manual",$M684=1),0,IF(OFFSET(CRONOPLE!$F$14,$M684,BS$13)="",10^12,OFFSET(CRONOPLE!$F$14,$M684,BS$13))))</f>
        <v>1000000000000</v>
      </c>
      <c r="BT684" s="215">
        <f ca="1">IF($D684&lt;&gt;"Serviço",0,IF(AND(AUTOEVENTO="Manual",$M684=1),0,IF(OFFSET(CRONOPLE!$F$14,$M684,BT$13)="",10^12,OFFSET(CRONOPLE!$F$14,$M684,BT$13))))</f>
        <v>1000000000000</v>
      </c>
      <c r="BV684" s="216">
        <f ca="1">IF($D684&lt;&gt;"Serviço",0,IF(OR(AND(AUTOEVENTO="Manual",$M684=1),$M684&gt;(ROW(PLE.lastrow)-ROW(PLE.firstrow))),0,IF(OFFSET(PLE!$G$14,$M684,BV$13)="",10^12,OFFSET(PLE!$G$14,$M684,BV$13))))</f>
        <v>1000000000000</v>
      </c>
      <c r="BW684" s="216">
        <f ca="1">IF($D684&lt;&gt;"Serviço",0,IF(OR(AND(AUTOEVENTO="Manual",$M684=1),$M684&gt;(ROW(PLE.lastrow)-ROW(PLE.firstrow))),0,IF(OFFSET(PLE!$G$14,$M684,BW$13)="",10^12,OFFSET(PLE!$G$14,$M684,BW$13))))</f>
        <v>1000000000000</v>
      </c>
      <c r="BX684" s="216">
        <f ca="1">IF($D684&lt;&gt;"Serviço",0,IF(OR(AND(AUTOEVENTO="Manual",$M684=1),$M684&gt;(ROW(PLE.lastrow)-ROW(PLE.firstrow))),0,IF(OFFSET(PLE!$G$14,$M684,BX$13)="",10^12,OFFSET(PLE!$G$14,$M684,BX$13))))</f>
        <v>1000000000000</v>
      </c>
      <c r="BY684" s="216">
        <f ca="1">IF($D684&lt;&gt;"Serviço",0,IF(OR(AND(AUTOEVENTO="Manual",$M684=1),$M684&gt;(ROW(PLE.lastrow)-ROW(PLE.firstrow))),0,IF(OFFSET(PLE!$G$14,$M684,BY$13)="",10^12,OFFSET(PLE!$G$14,$M684,BY$13))))</f>
        <v>1000000000000</v>
      </c>
      <c r="BZ684" s="216">
        <f ca="1">IF($D684&lt;&gt;"Serviço",0,IF(OR(AND(AUTOEVENTO="Manual",$M684=1),$M684&gt;(ROW(PLE.lastrow)-ROW(PLE.firstrow))),0,IF(OFFSET(PLE!$G$14,$M684,BZ$13)="",10^12,OFFSET(PLE!$G$14,$M684,BZ$13))))</f>
        <v>1000000000000</v>
      </c>
      <c r="CA684" s="216">
        <f ca="1">IF($D684&lt;&gt;"Serviço",0,IF(OR(AND(AUTOEVENTO="Manual",$M684=1),$M684&gt;(ROW(PLE.lastrow)-ROW(PLE.firstrow))),0,IF(OFFSET(PLE!$G$14,$M684,CA$13)="",10^12,OFFSET(PLE!$G$14,$M684,CA$13))))</f>
        <v>1000000000000</v>
      </c>
      <c r="CB684" s="216">
        <f ca="1">IF($D684&lt;&gt;"Serviço",0,IF(OR(AND(AUTOEVENTO="Manual",$M684=1),$M684&gt;(ROW(PLE.lastrow)-ROW(PLE.firstrow))),0,IF(OFFSET(PLE!$G$14,$M684,CB$13)="",10^12,OFFSET(PLE!$G$14,$M684,CB$13))))</f>
        <v>1000000000000</v>
      </c>
      <c r="CC684" s="216">
        <f ca="1">IF($D684&lt;&gt;"Serviço",0,IF(OR(AND(AUTOEVENTO="Manual",$M684=1),$M684&gt;(ROW(PLE.lastrow)-ROW(PLE.firstrow))),0,IF(OFFSET(PLE!$G$14,$M684,CC$13)="",10^12,OFFSET(PLE!$G$14,$M684,CC$13))))</f>
        <v>1000000000000</v>
      </c>
      <c r="CD684" s="216">
        <f ca="1">IF($D684&lt;&gt;"Serviço",0,IF(OR(AND(AUTOEVENTO="Manual",$M684=1),$M684&gt;(ROW(PLE.lastrow)-ROW(PLE.firstrow))),0,IF(OFFSET(PLE!$G$14,$M684,CD$13)="",10^12,OFFSET(PLE!$G$14,$M684,CD$13))))</f>
        <v>1000000000000</v>
      </c>
      <c r="CE684" s="216">
        <f ca="1">IF($D684&lt;&gt;"Serviço",0,IF(OR(AND(AUTOEVENTO="Manual",$M684=1),$M684&gt;(ROW(PLE.lastrow)-ROW(PLE.firstrow))),0,IF(OFFSET(PLE!$G$14,$M684,CE$13)="",10^12,OFFSET(PLE!$G$14,$M684,CE$13))))</f>
        <v>1000000000000</v>
      </c>
      <c r="CF684" s="216">
        <f ca="1">IF($D684&lt;&gt;"Serviço",0,IF(OR(AND(AUTOEVENTO="Manual",$M684=1),$M684&gt;(ROW(PLE.lastrow)-ROW(PLE.firstrow))),0,IF(OFFSET(PLE!$G$14,$M684,CF$13)="",10^12,OFFSET(PLE!$G$14,$M684,CF$13))))</f>
        <v>1000000000000</v>
      </c>
      <c r="CG684" s="216">
        <f ca="1">IF($D684&lt;&gt;"Serviço",0,IF(OR(AND(AUTOEVENTO="Manual",$M684=1),$M684&gt;(ROW(PLE.lastrow)-ROW(PLE.firstrow))),0,IF(OFFSET(PLE!$G$14,$M684,CG$13)="",10^12,OFFSET(PLE!$G$14,$M684,CG$13))))</f>
        <v>1000000000000</v>
      </c>
      <c r="CH684" s="216">
        <f ca="1">IF($D684&lt;&gt;"Serviço",0,IF(OR(AND(AUTOEVENTO="Manual",$M684=1),$M684&gt;(ROW(PLE.lastrow)-ROW(PLE.firstrow))),0,IF(OFFSET(PLE!$G$14,$M684,CH$13)="",10^12,OFFSET(PLE!$G$14,$M684,CH$13))))</f>
        <v>1000000000000</v>
      </c>
      <c r="CI684" s="216">
        <f ca="1">IF($D684&lt;&gt;"Serviço",0,IF(OR(AND(AUTOEVENTO="Manual",$M684=1),$M684&gt;(ROW(PLE.lastrow)-ROW(PLE.firstrow))),0,IF(OFFSET(PLE!$G$14,$M684,CI$13)="",10^12,OFFSET(PLE!$G$14,$M684,CI$13))))</f>
        <v>1000000000000</v>
      </c>
      <c r="CJ684" s="216">
        <f ca="1">IF($D684&lt;&gt;"Serviço",0,IF(OR(AND(AUTOEVENTO="Manual",$M684=1),$M684&gt;(ROW(PLE.lastrow)-ROW(PLE.firstrow))),0,IF(OFFSET(PLE!$G$14,$M684,CJ$13)="",10^12,OFFSET(PLE!$G$14,$M684,CJ$13))))</f>
        <v>1000000000000</v>
      </c>
      <c r="CK684" s="216">
        <f ca="1">IF($D684&lt;&gt;"Serviço",0,IF(OR(AND(AUTOEVENTO="Manual",$M684=1),$M684&gt;(ROW(PLE.lastrow)-ROW(PLE.firstrow))),0,IF(OFFSET(PLE!$G$14,$M684,CK$13)="",10^12,OFFSET(PLE!$G$14,$M684,CK$13))))</f>
        <v>1000000000000</v>
      </c>
      <c r="CL684" s="216">
        <f ca="1">IF($D684&lt;&gt;"Serviço",0,IF(OR(AND(AUTOEVENTO="Manual",$M684=1),$M684&gt;(ROW(PLE.lastrow)-ROW(PLE.firstrow))),0,IF(OFFSET(PLE!$G$14,$M684,CL$13)="",10^12,OFFSET(PLE!$G$14,$M684,CL$13))))</f>
        <v>1000000000000</v>
      </c>
      <c r="CM684" s="216">
        <f ca="1">IF($D684&lt;&gt;"Serviço",0,IF(OR(AND(AUTOEVENTO="Manual",$M684=1),$M684&gt;(ROW(PLE.lastrow)-ROW(PLE.firstrow))),0,IF(OFFSET(PLE!$G$14,$M684,CM$13)="",10^12,OFFSET(PLE!$G$14,$M684,CM$13))))</f>
        <v>1000000000000</v>
      </c>
    </row>
    <row r="685" spans="1:91" ht="13.2" x14ac:dyDescent="0.25">
      <c r="A685" s="9">
        <f t="shared" ca="1" si="20"/>
        <v>0</v>
      </c>
      <c r="B685" s="9" t="str">
        <f ca="1">OFFSET(ORÇAMENTO!C$15,ROW(B685)-ROW(B$15),0)</f>
        <v>S</v>
      </c>
      <c r="C685" s="9" t="str">
        <f ca="1">OFFSET(ORÇAMENTO!L$15,ROW(C685)-ROW(C$15),0)</f>
        <v/>
      </c>
      <c r="D685" s="145" t="str">
        <f ca="1">OFFSET(ORÇAMENTO!N$15,ROW(D685)-ROW(D$15),0)</f>
        <v>Serviço</v>
      </c>
      <c r="E685" s="205" t="str">
        <f ca="1">OFFSET(ORÇAMENTO!O$15,ROW(E685)-ROW(E$15),0)</f>
        <v>-</v>
      </c>
      <c r="F685" s="206" t="str">
        <f ca="1">OFFSET(ORÇAMENTO!R$15,ROW(F685)-ROW(F$15),0)</f>
        <v>(abra o arquivo 'Referência 05-2024.xls)</v>
      </c>
      <c r="G685" s="207" t="str">
        <f ca="1">IF($D685&lt;&gt;"Serviço","",OFFSET(ORÇAMENTO!S$15,ROW(G685)-ROW(G$15),0))</f>
        <v>-</v>
      </c>
      <c r="H685" s="151">
        <f ca="1">IF($D685&lt;&gt;"Serviço",0,IF(ACOMPANHAMENTO="BM",ROUND(OFFSET(ORÇAMENTO!AJ$15,ROW(H685)-ROW(H$15),0),15-13*ORÇAMENTO!$AF$7),SUMPRODUCT(($Q$12:$AI$12&lt;&gt;"")*ROUND($Q685:$AI685,15-13*ORÇAMENTO!$AF$7))))</f>
        <v>15</v>
      </c>
      <c r="I685" s="650"/>
      <c r="K685" s="208"/>
      <c r="L685" s="209" t="s">
        <v>257</v>
      </c>
      <c r="M685" s="210">
        <f ca="1">IF($D685&lt;&gt;"Serviço","",IF(AUTOEVENTO="manual",$A685,IF(ISERROR(MATCH($A685,$A$15:OFFSET($A685,-1,0),0)),MAX($M$15:OFFSET(M685,-1,0))+1,INDEX($M$15:OFFSET(M685,-1,0),MATCH($A685,$A$15:OFFSET($A685,-1,0),0)))))</f>
        <v>0</v>
      </c>
      <c r="N685" s="211" t="str">
        <f ca="1">IF($D685&lt;&gt;"Serviço","",IF(AUTOEVENTO="Manual",IF($A685=0,"&lt;-- defina o número do agrupador",OFFSET(EVENTOS!$D$14,$A685,0)),OFFSET($F$15,$A685,0)))</f>
        <v>&lt;-- defina o número do agrupador</v>
      </c>
      <c r="O685" s="212"/>
      <c r="Q685" s="212"/>
      <c r="R685" s="213"/>
      <c r="S685" s="213"/>
      <c r="T685" s="213"/>
      <c r="U685" s="213"/>
      <c r="V685" s="213"/>
      <c r="W685" s="213"/>
      <c r="X685" s="213"/>
      <c r="Y685" s="213"/>
      <c r="Z685" s="214"/>
      <c r="AA685" s="213"/>
      <c r="AB685" s="213"/>
      <c r="AC685" s="213"/>
      <c r="AD685" s="213"/>
      <c r="AE685" s="213"/>
      <c r="AF685" s="213"/>
      <c r="AG685" s="213"/>
      <c r="AH685" s="214"/>
      <c r="AJ685" s="631">
        <f ca="1">IF(AND($D685="Serviço",AJ$12&lt;&gt;0,$H685&gt;0,OR(AUTOEVENTO&lt;&gt;"manual",$M685&lt;&gt;1)),ROUND(OFFSET($P685,0,AJ$13),15-13*ORÇAMENTO!$AF$7)/$H685*OFFSET(ORÇAMENTO!$X$15,ROW(AJ685)-ROW(AJ$15),0),0)</f>
        <v>0</v>
      </c>
      <c r="AK685" s="632">
        <f ca="1">IF(AND($D685="Serviço",AK$12&lt;&gt;0,$H685&gt;0,OR(AUTOEVENTO&lt;&gt;"manual",$M685&lt;&gt;1)),ROUND(OFFSET($P685,0,AK$13),15-13*ORÇAMENTO!$AF$7)/$H685*OFFSET(ORÇAMENTO!$X$15,ROW(AK685)-ROW(AK$15),0),0)</f>
        <v>0</v>
      </c>
      <c r="AL685" s="632">
        <f ca="1">IF(AND($D685="Serviço",AL$12&lt;&gt;0,$H685&gt;0,OR(AUTOEVENTO&lt;&gt;"manual",$M685&lt;&gt;1)),ROUND(OFFSET($P685,0,AL$13),15-13*ORÇAMENTO!$AF$7)/$H685*OFFSET(ORÇAMENTO!$X$15,ROW(AL685)-ROW(AL$15),0),0)</f>
        <v>0</v>
      </c>
      <c r="AM685" s="632">
        <f ca="1">IF(AND($D685="Serviço",AM$12&lt;&gt;0,$H685&gt;0,OR(AUTOEVENTO&lt;&gt;"manual",$M685&lt;&gt;1)),ROUND(OFFSET($P685,0,AM$13),15-13*ORÇAMENTO!$AF$7)/$H685*OFFSET(ORÇAMENTO!$X$15,ROW(AM685)-ROW(AM$15),0),0)</f>
        <v>0</v>
      </c>
      <c r="AN685" s="632">
        <f ca="1">IF(AND($D685="Serviço",AN$12&lt;&gt;0,$H685&gt;0,OR(AUTOEVENTO&lt;&gt;"manual",$M685&lt;&gt;1)),ROUND(OFFSET($P685,0,AN$13),15-13*ORÇAMENTO!$AF$7)/$H685*OFFSET(ORÇAMENTO!$X$15,ROW(AN685)-ROW(AN$15),0),0)</f>
        <v>0</v>
      </c>
      <c r="AO685" s="632">
        <f ca="1">IF(AND($D685="Serviço",AO$12&lt;&gt;0,$H685&gt;0,OR(AUTOEVENTO&lt;&gt;"manual",$M685&lt;&gt;1)),ROUND(OFFSET($P685,0,AO$13),15-13*ORÇAMENTO!$AF$7)/$H685*OFFSET(ORÇAMENTO!$X$15,ROW(AO685)-ROW(AO$15),0),0)</f>
        <v>0</v>
      </c>
      <c r="AP685" s="632">
        <f ca="1">IF(AND($D685="Serviço",AP$12&lt;&gt;0,$H685&gt;0,OR(AUTOEVENTO&lt;&gt;"manual",$M685&lt;&gt;1)),ROUND(OFFSET($P685,0,AP$13),15-13*ORÇAMENTO!$AF$7)/$H685*OFFSET(ORÇAMENTO!$X$15,ROW(AP685)-ROW(AP$15),0),0)</f>
        <v>0</v>
      </c>
      <c r="AQ685" s="632">
        <f ca="1">IF(AND($D685="Serviço",AQ$12&lt;&gt;0,$H685&gt;0,OR(AUTOEVENTO&lt;&gt;"manual",$M685&lt;&gt;1)),ROUND(OFFSET($P685,0,AQ$13),15-13*ORÇAMENTO!$AF$7)/$H685*OFFSET(ORÇAMENTO!$X$15,ROW(AQ685)-ROW(AQ$15),0),0)</f>
        <v>0</v>
      </c>
      <c r="AR685" s="632">
        <f ca="1">IF(AND($D685="Serviço",AR$12&lt;&gt;0,$H685&gt;0,OR(AUTOEVENTO&lt;&gt;"manual",$M685&lt;&gt;1)),ROUND(OFFSET($P685,0,AR$13),15-13*ORÇAMENTO!$AF$7)/$H685*OFFSET(ORÇAMENTO!$X$15,ROW(AR685)-ROW(AR$15),0),0)</f>
        <v>0</v>
      </c>
      <c r="AS685" s="633">
        <f ca="1">IF(AND($D685="Serviço",AS$12&lt;&gt;0,$H685&gt;0,OR(AUTOEVENTO&lt;&gt;"manual",$M685&lt;&gt;1)),ROUND(OFFSET($P685,0,AS$13),15-13*ORÇAMENTO!$AF$7)/$H685*OFFSET(ORÇAMENTO!$X$15,ROW(AS685)-ROW(AS$15),0),0)</f>
        <v>0</v>
      </c>
      <c r="AT685" s="632">
        <f ca="1">IF(AND($D685="Serviço",AT$12&lt;&gt;0,$H685&gt;0,OR(AUTOEVENTO&lt;&gt;"manual",$M685&lt;&gt;1)),ROUND(OFFSET($P685,0,AT$13),15-13*ORÇAMENTO!$AF$7)/$H685*OFFSET(ORÇAMENTO!$X$15,ROW(AT685)-ROW(AT$15),0),0)</f>
        <v>0</v>
      </c>
      <c r="AU685" s="632">
        <f ca="1">IF(AND($D685="Serviço",AU$12&lt;&gt;0,$H685&gt;0,OR(AUTOEVENTO&lt;&gt;"manual",$M685&lt;&gt;1)),ROUND(OFFSET($P685,0,AU$13),15-13*ORÇAMENTO!$AF$7)/$H685*OFFSET(ORÇAMENTO!$X$15,ROW(AU685)-ROW(AU$15),0),0)</f>
        <v>0</v>
      </c>
      <c r="AV685" s="632">
        <f ca="1">IF(AND($D685="Serviço",AV$12&lt;&gt;0,$H685&gt;0,OR(AUTOEVENTO&lt;&gt;"manual",$M685&lt;&gt;1)),ROUND(OFFSET($P685,0,AV$13),15-13*ORÇAMENTO!$AF$7)/$H685*OFFSET(ORÇAMENTO!$X$15,ROW(AV685)-ROW(AV$15),0),0)</f>
        <v>0</v>
      </c>
      <c r="AW685" s="632">
        <f ca="1">IF(AND($D685="Serviço",AW$12&lt;&gt;0,$H685&gt;0,OR(AUTOEVENTO&lt;&gt;"manual",$M685&lt;&gt;1)),ROUND(OFFSET($P685,0,AW$13),15-13*ORÇAMENTO!$AF$7)/$H685*OFFSET(ORÇAMENTO!$X$15,ROW(AW685)-ROW(AW$15),0),0)</f>
        <v>0</v>
      </c>
      <c r="AX685" s="632">
        <f ca="1">IF(AND($D685="Serviço",AX$12&lt;&gt;0,$H685&gt;0,OR(AUTOEVENTO&lt;&gt;"manual",$M685&lt;&gt;1)),ROUND(OFFSET($P685,0,AX$13),15-13*ORÇAMENTO!$AF$7)/$H685*OFFSET(ORÇAMENTO!$X$15,ROW(AX685)-ROW(AX$15),0),0)</f>
        <v>0</v>
      </c>
      <c r="AY685" s="632">
        <f ca="1">IF(AND($D685="Serviço",AY$12&lt;&gt;0,$H685&gt;0,OR(AUTOEVENTO&lt;&gt;"manual",$M685&lt;&gt;1)),ROUND(OFFSET($P685,0,AY$13),15-13*ORÇAMENTO!$AF$7)/$H685*OFFSET(ORÇAMENTO!$X$15,ROW(AY685)-ROW(AY$15),0),0)</f>
        <v>0</v>
      </c>
      <c r="AZ685" s="632">
        <f ca="1">IF(AND($D685="Serviço",AZ$12&lt;&gt;0,$H685&gt;0,OR(AUTOEVENTO&lt;&gt;"manual",$M685&lt;&gt;1)),ROUND(OFFSET($P685,0,AZ$13),15-13*ORÇAMENTO!$AF$7)/$H685*OFFSET(ORÇAMENTO!$X$15,ROW(AZ685)-ROW(AZ$15),0),0)</f>
        <v>0</v>
      </c>
      <c r="BA685" s="633">
        <f ca="1">IF(AND($D685="Serviço",BA$12&lt;&gt;0,$H685&gt;0,OR(AUTOEVENTO&lt;&gt;"manual",$M685&lt;&gt;1)),ROUND(OFFSET($P685,0,BA$13),15-13*ORÇAMENTO!$AF$7)/$H685*OFFSET(ORÇAMENTO!$X$15,ROW(BA685)-ROW(BA$15),0),0)</f>
        <v>0</v>
      </c>
      <c r="BC685" s="215">
        <f ca="1">IF($D685&lt;&gt;"Serviço",0,IF(AND(AUTOEVENTO="Manual",$M685=1),0,IF(OFFSET(CRONOPLE!$F$14,$M685,BC$13)="",10^12,OFFSET(CRONOPLE!$F$14,$M685,BC$13))))</f>
        <v>1000000000000</v>
      </c>
      <c r="BD685" s="215">
        <f ca="1">IF($D685&lt;&gt;"Serviço",0,IF(AND(AUTOEVENTO="Manual",$M685=1),0,IF(OFFSET(CRONOPLE!$F$14,$M685,BD$13)="",10^12,OFFSET(CRONOPLE!$F$14,$M685,BD$13))))</f>
        <v>1000000000000</v>
      </c>
      <c r="BE685" s="215">
        <f ca="1">IF($D685&lt;&gt;"Serviço",0,IF(AND(AUTOEVENTO="Manual",$M685=1),0,IF(OFFSET(CRONOPLE!$F$14,$M685,BE$13)="",10^12,OFFSET(CRONOPLE!$F$14,$M685,BE$13))))</f>
        <v>1000000000000</v>
      </c>
      <c r="BF685" s="215">
        <f ca="1">IF($D685&lt;&gt;"Serviço",0,IF(AND(AUTOEVENTO="Manual",$M685=1),0,IF(OFFSET(CRONOPLE!$F$14,$M685,BF$13)="",10^12,OFFSET(CRONOPLE!$F$14,$M685,BF$13))))</f>
        <v>1000000000000</v>
      </c>
      <c r="BG685" s="215">
        <f ca="1">IF($D685&lt;&gt;"Serviço",0,IF(AND(AUTOEVENTO="Manual",$M685=1),0,IF(OFFSET(CRONOPLE!$F$14,$M685,BG$13)="",10^12,OFFSET(CRONOPLE!$F$14,$M685,BG$13))))</f>
        <v>1000000000000</v>
      </c>
      <c r="BH685" s="215">
        <f ca="1">IF($D685&lt;&gt;"Serviço",0,IF(AND(AUTOEVENTO="Manual",$M685=1),0,IF(OFFSET(CRONOPLE!$F$14,$M685,BH$13)="",10^12,OFFSET(CRONOPLE!$F$14,$M685,BH$13))))</f>
        <v>1000000000000</v>
      </c>
      <c r="BI685" s="215">
        <f ca="1">IF($D685&lt;&gt;"Serviço",0,IF(AND(AUTOEVENTO="Manual",$M685=1),0,IF(OFFSET(CRONOPLE!$F$14,$M685,BI$13)="",10^12,OFFSET(CRONOPLE!$F$14,$M685,BI$13))))</f>
        <v>1000000000000</v>
      </c>
      <c r="BJ685" s="215">
        <f ca="1">IF($D685&lt;&gt;"Serviço",0,IF(AND(AUTOEVENTO="Manual",$M685=1),0,IF(OFFSET(CRONOPLE!$F$14,$M685,BJ$13)="",10^12,OFFSET(CRONOPLE!$F$14,$M685,BJ$13))))</f>
        <v>1000000000000</v>
      </c>
      <c r="BK685" s="215">
        <f ca="1">IF($D685&lt;&gt;"Serviço",0,IF(AND(AUTOEVENTO="Manual",$M685=1),0,IF(OFFSET(CRONOPLE!$F$14,$M685,BK$13)="",10^12,OFFSET(CRONOPLE!$F$14,$M685,BK$13))))</f>
        <v>1000000000000</v>
      </c>
      <c r="BL685" s="215">
        <f ca="1">IF($D685&lt;&gt;"Serviço",0,IF(AND(AUTOEVENTO="Manual",$M685=1),0,IF(OFFSET(CRONOPLE!$F$14,$M685,BL$13)="",10^12,OFFSET(CRONOPLE!$F$14,$M685,BL$13))))</f>
        <v>1000000000000</v>
      </c>
      <c r="BM685" s="215">
        <f ca="1">IF($D685&lt;&gt;"Serviço",0,IF(AND(AUTOEVENTO="Manual",$M685=1),0,IF(OFFSET(CRONOPLE!$F$14,$M685,BM$13)="",10^12,OFFSET(CRONOPLE!$F$14,$M685,BM$13))))</f>
        <v>1000000000000</v>
      </c>
      <c r="BN685" s="215">
        <f ca="1">IF($D685&lt;&gt;"Serviço",0,IF(AND(AUTOEVENTO="Manual",$M685=1),0,IF(OFFSET(CRONOPLE!$F$14,$M685,BN$13)="",10^12,OFFSET(CRONOPLE!$F$14,$M685,BN$13))))</f>
        <v>1000000000000</v>
      </c>
      <c r="BO685" s="215">
        <f ca="1">IF($D685&lt;&gt;"Serviço",0,IF(AND(AUTOEVENTO="Manual",$M685=1),0,IF(OFFSET(CRONOPLE!$F$14,$M685,BO$13)="",10^12,OFFSET(CRONOPLE!$F$14,$M685,BO$13))))</f>
        <v>1000000000000</v>
      </c>
      <c r="BP685" s="215">
        <f ca="1">IF($D685&lt;&gt;"Serviço",0,IF(AND(AUTOEVENTO="Manual",$M685=1),0,IF(OFFSET(CRONOPLE!$F$14,$M685,BP$13)="",10^12,OFFSET(CRONOPLE!$F$14,$M685,BP$13))))</f>
        <v>1000000000000</v>
      </c>
      <c r="BQ685" s="215">
        <f ca="1">IF($D685&lt;&gt;"Serviço",0,IF(AND(AUTOEVENTO="Manual",$M685=1),0,IF(OFFSET(CRONOPLE!$F$14,$M685,BQ$13)="",10^12,OFFSET(CRONOPLE!$F$14,$M685,BQ$13))))</f>
        <v>1000000000000</v>
      </c>
      <c r="BR685" s="215">
        <f ca="1">IF($D685&lt;&gt;"Serviço",0,IF(AND(AUTOEVENTO="Manual",$M685=1),0,IF(OFFSET(CRONOPLE!$F$14,$M685,BR$13)="",10^12,OFFSET(CRONOPLE!$F$14,$M685,BR$13))))</f>
        <v>1000000000000</v>
      </c>
      <c r="BS685" s="215">
        <f ca="1">IF($D685&lt;&gt;"Serviço",0,IF(AND(AUTOEVENTO="Manual",$M685=1),0,IF(OFFSET(CRONOPLE!$F$14,$M685,BS$13)="",10^12,OFFSET(CRONOPLE!$F$14,$M685,BS$13))))</f>
        <v>1000000000000</v>
      </c>
      <c r="BT685" s="215">
        <f ca="1">IF($D685&lt;&gt;"Serviço",0,IF(AND(AUTOEVENTO="Manual",$M685=1),0,IF(OFFSET(CRONOPLE!$F$14,$M685,BT$13)="",10^12,OFFSET(CRONOPLE!$F$14,$M685,BT$13))))</f>
        <v>1000000000000</v>
      </c>
      <c r="BV685" s="216">
        <f ca="1">IF($D685&lt;&gt;"Serviço",0,IF(OR(AND(AUTOEVENTO="Manual",$M685=1),$M685&gt;(ROW(PLE.lastrow)-ROW(PLE.firstrow))),0,IF(OFFSET(PLE!$G$14,$M685,BV$13)="",10^12,OFFSET(PLE!$G$14,$M685,BV$13))))</f>
        <v>1000000000000</v>
      </c>
      <c r="BW685" s="216">
        <f ca="1">IF($D685&lt;&gt;"Serviço",0,IF(OR(AND(AUTOEVENTO="Manual",$M685=1),$M685&gt;(ROW(PLE.lastrow)-ROW(PLE.firstrow))),0,IF(OFFSET(PLE!$G$14,$M685,BW$13)="",10^12,OFFSET(PLE!$G$14,$M685,BW$13))))</f>
        <v>1000000000000</v>
      </c>
      <c r="BX685" s="216">
        <f ca="1">IF($D685&lt;&gt;"Serviço",0,IF(OR(AND(AUTOEVENTO="Manual",$M685=1),$M685&gt;(ROW(PLE.lastrow)-ROW(PLE.firstrow))),0,IF(OFFSET(PLE!$G$14,$M685,BX$13)="",10^12,OFFSET(PLE!$G$14,$M685,BX$13))))</f>
        <v>1000000000000</v>
      </c>
      <c r="BY685" s="216">
        <f ca="1">IF($D685&lt;&gt;"Serviço",0,IF(OR(AND(AUTOEVENTO="Manual",$M685=1),$M685&gt;(ROW(PLE.lastrow)-ROW(PLE.firstrow))),0,IF(OFFSET(PLE!$G$14,$M685,BY$13)="",10^12,OFFSET(PLE!$G$14,$M685,BY$13))))</f>
        <v>1000000000000</v>
      </c>
      <c r="BZ685" s="216">
        <f ca="1">IF($D685&lt;&gt;"Serviço",0,IF(OR(AND(AUTOEVENTO="Manual",$M685=1),$M685&gt;(ROW(PLE.lastrow)-ROW(PLE.firstrow))),0,IF(OFFSET(PLE!$G$14,$M685,BZ$13)="",10^12,OFFSET(PLE!$G$14,$M685,BZ$13))))</f>
        <v>1000000000000</v>
      </c>
      <c r="CA685" s="216">
        <f ca="1">IF($D685&lt;&gt;"Serviço",0,IF(OR(AND(AUTOEVENTO="Manual",$M685=1),$M685&gt;(ROW(PLE.lastrow)-ROW(PLE.firstrow))),0,IF(OFFSET(PLE!$G$14,$M685,CA$13)="",10^12,OFFSET(PLE!$G$14,$M685,CA$13))))</f>
        <v>1000000000000</v>
      </c>
      <c r="CB685" s="216">
        <f ca="1">IF($D685&lt;&gt;"Serviço",0,IF(OR(AND(AUTOEVENTO="Manual",$M685=1),$M685&gt;(ROW(PLE.lastrow)-ROW(PLE.firstrow))),0,IF(OFFSET(PLE!$G$14,$M685,CB$13)="",10^12,OFFSET(PLE!$G$14,$M685,CB$13))))</f>
        <v>1000000000000</v>
      </c>
      <c r="CC685" s="216">
        <f ca="1">IF($D685&lt;&gt;"Serviço",0,IF(OR(AND(AUTOEVENTO="Manual",$M685=1),$M685&gt;(ROW(PLE.lastrow)-ROW(PLE.firstrow))),0,IF(OFFSET(PLE!$G$14,$M685,CC$13)="",10^12,OFFSET(PLE!$G$14,$M685,CC$13))))</f>
        <v>1000000000000</v>
      </c>
      <c r="CD685" s="216">
        <f ca="1">IF($D685&lt;&gt;"Serviço",0,IF(OR(AND(AUTOEVENTO="Manual",$M685=1),$M685&gt;(ROW(PLE.lastrow)-ROW(PLE.firstrow))),0,IF(OFFSET(PLE!$G$14,$M685,CD$13)="",10^12,OFFSET(PLE!$G$14,$M685,CD$13))))</f>
        <v>1000000000000</v>
      </c>
      <c r="CE685" s="216">
        <f ca="1">IF($D685&lt;&gt;"Serviço",0,IF(OR(AND(AUTOEVENTO="Manual",$M685=1),$M685&gt;(ROW(PLE.lastrow)-ROW(PLE.firstrow))),0,IF(OFFSET(PLE!$G$14,$M685,CE$13)="",10^12,OFFSET(PLE!$G$14,$M685,CE$13))))</f>
        <v>1000000000000</v>
      </c>
      <c r="CF685" s="216">
        <f ca="1">IF($D685&lt;&gt;"Serviço",0,IF(OR(AND(AUTOEVENTO="Manual",$M685=1),$M685&gt;(ROW(PLE.lastrow)-ROW(PLE.firstrow))),0,IF(OFFSET(PLE!$G$14,$M685,CF$13)="",10^12,OFFSET(PLE!$G$14,$M685,CF$13))))</f>
        <v>1000000000000</v>
      </c>
      <c r="CG685" s="216">
        <f ca="1">IF($D685&lt;&gt;"Serviço",0,IF(OR(AND(AUTOEVENTO="Manual",$M685=1),$M685&gt;(ROW(PLE.lastrow)-ROW(PLE.firstrow))),0,IF(OFFSET(PLE!$G$14,$M685,CG$13)="",10^12,OFFSET(PLE!$G$14,$M685,CG$13))))</f>
        <v>1000000000000</v>
      </c>
      <c r="CH685" s="216">
        <f ca="1">IF($D685&lt;&gt;"Serviço",0,IF(OR(AND(AUTOEVENTO="Manual",$M685=1),$M685&gt;(ROW(PLE.lastrow)-ROW(PLE.firstrow))),0,IF(OFFSET(PLE!$G$14,$M685,CH$13)="",10^12,OFFSET(PLE!$G$14,$M685,CH$13))))</f>
        <v>1000000000000</v>
      </c>
      <c r="CI685" s="216">
        <f ca="1">IF($D685&lt;&gt;"Serviço",0,IF(OR(AND(AUTOEVENTO="Manual",$M685=1),$M685&gt;(ROW(PLE.lastrow)-ROW(PLE.firstrow))),0,IF(OFFSET(PLE!$G$14,$M685,CI$13)="",10^12,OFFSET(PLE!$G$14,$M685,CI$13))))</f>
        <v>1000000000000</v>
      </c>
      <c r="CJ685" s="216">
        <f ca="1">IF($D685&lt;&gt;"Serviço",0,IF(OR(AND(AUTOEVENTO="Manual",$M685=1),$M685&gt;(ROW(PLE.lastrow)-ROW(PLE.firstrow))),0,IF(OFFSET(PLE!$G$14,$M685,CJ$13)="",10^12,OFFSET(PLE!$G$14,$M685,CJ$13))))</f>
        <v>1000000000000</v>
      </c>
      <c r="CK685" s="216">
        <f ca="1">IF($D685&lt;&gt;"Serviço",0,IF(OR(AND(AUTOEVENTO="Manual",$M685=1),$M685&gt;(ROW(PLE.lastrow)-ROW(PLE.firstrow))),0,IF(OFFSET(PLE!$G$14,$M685,CK$13)="",10^12,OFFSET(PLE!$G$14,$M685,CK$13))))</f>
        <v>1000000000000</v>
      </c>
      <c r="CL685" s="216">
        <f ca="1">IF($D685&lt;&gt;"Serviço",0,IF(OR(AND(AUTOEVENTO="Manual",$M685=1),$M685&gt;(ROW(PLE.lastrow)-ROW(PLE.firstrow))),0,IF(OFFSET(PLE!$G$14,$M685,CL$13)="",10^12,OFFSET(PLE!$G$14,$M685,CL$13))))</f>
        <v>1000000000000</v>
      </c>
      <c r="CM685" s="216">
        <f ca="1">IF($D685&lt;&gt;"Serviço",0,IF(OR(AND(AUTOEVENTO="Manual",$M685=1),$M685&gt;(ROW(PLE.lastrow)-ROW(PLE.firstrow))),0,IF(OFFSET(PLE!$G$14,$M685,CM$13)="",10^12,OFFSET(PLE!$G$14,$M685,CM$13))))</f>
        <v>1000000000000</v>
      </c>
    </row>
    <row r="686" spans="1:91" ht="13.2" x14ac:dyDescent="0.25">
      <c r="A686" s="9">
        <f t="shared" ca="1" si="20"/>
        <v>0</v>
      </c>
      <c r="B686" s="9" t="str">
        <f ca="1">OFFSET(ORÇAMENTO!C$15,ROW(B686)-ROW(B$15),0)</f>
        <v>S</v>
      </c>
      <c r="C686" s="9" t="str">
        <f ca="1">OFFSET(ORÇAMENTO!L$15,ROW(C686)-ROW(C$15),0)</f>
        <v/>
      </c>
      <c r="D686" s="145" t="str">
        <f ca="1">OFFSET(ORÇAMENTO!N$15,ROW(D686)-ROW(D$15),0)</f>
        <v>Serviço</v>
      </c>
      <c r="E686" s="205" t="str">
        <f ca="1">OFFSET(ORÇAMENTO!O$15,ROW(E686)-ROW(E$15),0)</f>
        <v>-</v>
      </c>
      <c r="F686" s="206" t="str">
        <f ca="1">OFFSET(ORÇAMENTO!R$15,ROW(F686)-ROW(F$15),0)</f>
        <v>(abra o arquivo 'Referência 05-2024.xls)</v>
      </c>
      <c r="G686" s="207" t="str">
        <f ca="1">IF($D686&lt;&gt;"Serviço","",OFFSET(ORÇAMENTO!S$15,ROW(G686)-ROW(G$15),0))</f>
        <v>-</v>
      </c>
      <c r="H686" s="151">
        <f ca="1">IF($D686&lt;&gt;"Serviço",0,IF(ACOMPANHAMENTO="BM",ROUND(OFFSET(ORÇAMENTO!AJ$15,ROW(H686)-ROW(H$15),0),15-13*ORÇAMENTO!$AF$7),SUMPRODUCT(($Q$12:$AI$12&lt;&gt;"")*ROUND($Q686:$AI686,15-13*ORÇAMENTO!$AF$7))))</f>
        <v>25</v>
      </c>
      <c r="I686" s="650"/>
      <c r="K686" s="208"/>
      <c r="L686" s="209" t="s">
        <v>257</v>
      </c>
      <c r="M686" s="210">
        <f ca="1">IF($D686&lt;&gt;"Serviço","",IF(AUTOEVENTO="manual",$A686,IF(ISERROR(MATCH($A686,$A$15:OFFSET($A686,-1,0),0)),MAX($M$15:OFFSET(M686,-1,0))+1,INDEX($M$15:OFFSET(M686,-1,0),MATCH($A686,$A$15:OFFSET($A686,-1,0),0)))))</f>
        <v>0</v>
      </c>
      <c r="N686" s="211" t="str">
        <f ca="1">IF($D686&lt;&gt;"Serviço","",IF(AUTOEVENTO="Manual",IF($A686=0,"&lt;-- defina o número do agrupador",OFFSET(EVENTOS!$D$14,$A686,0)),OFFSET($F$15,$A686,0)))</f>
        <v>&lt;-- defina o número do agrupador</v>
      </c>
      <c r="O686" s="212"/>
      <c r="Q686" s="212"/>
      <c r="R686" s="213"/>
      <c r="S686" s="213"/>
      <c r="T686" s="213"/>
      <c r="U686" s="213"/>
      <c r="V686" s="213"/>
      <c r="W686" s="213"/>
      <c r="X686" s="213"/>
      <c r="Y686" s="213"/>
      <c r="Z686" s="214"/>
      <c r="AA686" s="213"/>
      <c r="AB686" s="213"/>
      <c r="AC686" s="213"/>
      <c r="AD686" s="213"/>
      <c r="AE686" s="213"/>
      <c r="AF686" s="213"/>
      <c r="AG686" s="213"/>
      <c r="AH686" s="214"/>
      <c r="AJ686" s="631">
        <f ca="1">IF(AND($D686="Serviço",AJ$12&lt;&gt;0,$H686&gt;0,OR(AUTOEVENTO&lt;&gt;"manual",$M686&lt;&gt;1)),ROUND(OFFSET($P686,0,AJ$13),15-13*ORÇAMENTO!$AF$7)/$H686*OFFSET(ORÇAMENTO!$X$15,ROW(AJ686)-ROW(AJ$15),0),0)</f>
        <v>0</v>
      </c>
      <c r="AK686" s="632">
        <f ca="1">IF(AND($D686="Serviço",AK$12&lt;&gt;0,$H686&gt;0,OR(AUTOEVENTO&lt;&gt;"manual",$M686&lt;&gt;1)),ROUND(OFFSET($P686,0,AK$13),15-13*ORÇAMENTO!$AF$7)/$H686*OFFSET(ORÇAMENTO!$X$15,ROW(AK686)-ROW(AK$15),0),0)</f>
        <v>0</v>
      </c>
      <c r="AL686" s="632">
        <f ca="1">IF(AND($D686="Serviço",AL$12&lt;&gt;0,$H686&gt;0,OR(AUTOEVENTO&lt;&gt;"manual",$M686&lt;&gt;1)),ROUND(OFFSET($P686,0,AL$13),15-13*ORÇAMENTO!$AF$7)/$H686*OFFSET(ORÇAMENTO!$X$15,ROW(AL686)-ROW(AL$15),0),0)</f>
        <v>0</v>
      </c>
      <c r="AM686" s="632">
        <f ca="1">IF(AND($D686="Serviço",AM$12&lt;&gt;0,$H686&gt;0,OR(AUTOEVENTO&lt;&gt;"manual",$M686&lt;&gt;1)),ROUND(OFFSET($P686,0,AM$13),15-13*ORÇAMENTO!$AF$7)/$H686*OFFSET(ORÇAMENTO!$X$15,ROW(AM686)-ROW(AM$15),0),0)</f>
        <v>0</v>
      </c>
      <c r="AN686" s="632">
        <f ca="1">IF(AND($D686="Serviço",AN$12&lt;&gt;0,$H686&gt;0,OR(AUTOEVENTO&lt;&gt;"manual",$M686&lt;&gt;1)),ROUND(OFFSET($P686,0,AN$13),15-13*ORÇAMENTO!$AF$7)/$H686*OFFSET(ORÇAMENTO!$X$15,ROW(AN686)-ROW(AN$15),0),0)</f>
        <v>0</v>
      </c>
      <c r="AO686" s="632">
        <f ca="1">IF(AND($D686="Serviço",AO$12&lt;&gt;0,$H686&gt;0,OR(AUTOEVENTO&lt;&gt;"manual",$M686&lt;&gt;1)),ROUND(OFFSET($P686,0,AO$13),15-13*ORÇAMENTO!$AF$7)/$H686*OFFSET(ORÇAMENTO!$X$15,ROW(AO686)-ROW(AO$15),0),0)</f>
        <v>0</v>
      </c>
      <c r="AP686" s="632">
        <f ca="1">IF(AND($D686="Serviço",AP$12&lt;&gt;0,$H686&gt;0,OR(AUTOEVENTO&lt;&gt;"manual",$M686&lt;&gt;1)),ROUND(OFFSET($P686,0,AP$13),15-13*ORÇAMENTO!$AF$7)/$H686*OFFSET(ORÇAMENTO!$X$15,ROW(AP686)-ROW(AP$15),0),0)</f>
        <v>0</v>
      </c>
      <c r="AQ686" s="632">
        <f ca="1">IF(AND($D686="Serviço",AQ$12&lt;&gt;0,$H686&gt;0,OR(AUTOEVENTO&lt;&gt;"manual",$M686&lt;&gt;1)),ROUND(OFFSET($P686,0,AQ$13),15-13*ORÇAMENTO!$AF$7)/$H686*OFFSET(ORÇAMENTO!$X$15,ROW(AQ686)-ROW(AQ$15),0),0)</f>
        <v>0</v>
      </c>
      <c r="AR686" s="632">
        <f ca="1">IF(AND($D686="Serviço",AR$12&lt;&gt;0,$H686&gt;0,OR(AUTOEVENTO&lt;&gt;"manual",$M686&lt;&gt;1)),ROUND(OFFSET($P686,0,AR$13),15-13*ORÇAMENTO!$AF$7)/$H686*OFFSET(ORÇAMENTO!$X$15,ROW(AR686)-ROW(AR$15),0),0)</f>
        <v>0</v>
      </c>
      <c r="AS686" s="633">
        <f ca="1">IF(AND($D686="Serviço",AS$12&lt;&gt;0,$H686&gt;0,OR(AUTOEVENTO&lt;&gt;"manual",$M686&lt;&gt;1)),ROUND(OFFSET($P686,0,AS$13),15-13*ORÇAMENTO!$AF$7)/$H686*OFFSET(ORÇAMENTO!$X$15,ROW(AS686)-ROW(AS$15),0),0)</f>
        <v>0</v>
      </c>
      <c r="AT686" s="632">
        <f ca="1">IF(AND($D686="Serviço",AT$12&lt;&gt;0,$H686&gt;0,OR(AUTOEVENTO&lt;&gt;"manual",$M686&lt;&gt;1)),ROUND(OFFSET($P686,0,AT$13),15-13*ORÇAMENTO!$AF$7)/$H686*OFFSET(ORÇAMENTO!$X$15,ROW(AT686)-ROW(AT$15),0),0)</f>
        <v>0</v>
      </c>
      <c r="AU686" s="632">
        <f ca="1">IF(AND($D686="Serviço",AU$12&lt;&gt;0,$H686&gt;0,OR(AUTOEVENTO&lt;&gt;"manual",$M686&lt;&gt;1)),ROUND(OFFSET($P686,0,AU$13),15-13*ORÇAMENTO!$AF$7)/$H686*OFFSET(ORÇAMENTO!$X$15,ROW(AU686)-ROW(AU$15),0),0)</f>
        <v>0</v>
      </c>
      <c r="AV686" s="632">
        <f ca="1">IF(AND($D686="Serviço",AV$12&lt;&gt;0,$H686&gt;0,OR(AUTOEVENTO&lt;&gt;"manual",$M686&lt;&gt;1)),ROUND(OFFSET($P686,0,AV$13),15-13*ORÇAMENTO!$AF$7)/$H686*OFFSET(ORÇAMENTO!$X$15,ROW(AV686)-ROW(AV$15),0),0)</f>
        <v>0</v>
      </c>
      <c r="AW686" s="632">
        <f ca="1">IF(AND($D686="Serviço",AW$12&lt;&gt;0,$H686&gt;0,OR(AUTOEVENTO&lt;&gt;"manual",$M686&lt;&gt;1)),ROUND(OFFSET($P686,0,AW$13),15-13*ORÇAMENTO!$AF$7)/$H686*OFFSET(ORÇAMENTO!$X$15,ROW(AW686)-ROW(AW$15),0),0)</f>
        <v>0</v>
      </c>
      <c r="AX686" s="632">
        <f ca="1">IF(AND($D686="Serviço",AX$12&lt;&gt;0,$H686&gt;0,OR(AUTOEVENTO&lt;&gt;"manual",$M686&lt;&gt;1)),ROUND(OFFSET($P686,0,AX$13),15-13*ORÇAMENTO!$AF$7)/$H686*OFFSET(ORÇAMENTO!$X$15,ROW(AX686)-ROW(AX$15),0),0)</f>
        <v>0</v>
      </c>
      <c r="AY686" s="632">
        <f ca="1">IF(AND($D686="Serviço",AY$12&lt;&gt;0,$H686&gt;0,OR(AUTOEVENTO&lt;&gt;"manual",$M686&lt;&gt;1)),ROUND(OFFSET($P686,0,AY$13),15-13*ORÇAMENTO!$AF$7)/$H686*OFFSET(ORÇAMENTO!$X$15,ROW(AY686)-ROW(AY$15),0),0)</f>
        <v>0</v>
      </c>
      <c r="AZ686" s="632">
        <f ca="1">IF(AND($D686="Serviço",AZ$12&lt;&gt;0,$H686&gt;0,OR(AUTOEVENTO&lt;&gt;"manual",$M686&lt;&gt;1)),ROUND(OFFSET($P686,0,AZ$13),15-13*ORÇAMENTO!$AF$7)/$H686*OFFSET(ORÇAMENTO!$X$15,ROW(AZ686)-ROW(AZ$15),0),0)</f>
        <v>0</v>
      </c>
      <c r="BA686" s="633">
        <f ca="1">IF(AND($D686="Serviço",BA$12&lt;&gt;0,$H686&gt;0,OR(AUTOEVENTO&lt;&gt;"manual",$M686&lt;&gt;1)),ROUND(OFFSET($P686,0,BA$13),15-13*ORÇAMENTO!$AF$7)/$H686*OFFSET(ORÇAMENTO!$X$15,ROW(BA686)-ROW(BA$15),0),0)</f>
        <v>0</v>
      </c>
      <c r="BC686" s="215">
        <f ca="1">IF($D686&lt;&gt;"Serviço",0,IF(AND(AUTOEVENTO="Manual",$M686=1),0,IF(OFFSET(CRONOPLE!$F$14,$M686,BC$13)="",10^12,OFFSET(CRONOPLE!$F$14,$M686,BC$13))))</f>
        <v>1000000000000</v>
      </c>
      <c r="BD686" s="215">
        <f ca="1">IF($D686&lt;&gt;"Serviço",0,IF(AND(AUTOEVENTO="Manual",$M686=1),0,IF(OFFSET(CRONOPLE!$F$14,$M686,BD$13)="",10^12,OFFSET(CRONOPLE!$F$14,$M686,BD$13))))</f>
        <v>1000000000000</v>
      </c>
      <c r="BE686" s="215">
        <f ca="1">IF($D686&lt;&gt;"Serviço",0,IF(AND(AUTOEVENTO="Manual",$M686=1),0,IF(OFFSET(CRONOPLE!$F$14,$M686,BE$13)="",10^12,OFFSET(CRONOPLE!$F$14,$M686,BE$13))))</f>
        <v>1000000000000</v>
      </c>
      <c r="BF686" s="215">
        <f ca="1">IF($D686&lt;&gt;"Serviço",0,IF(AND(AUTOEVENTO="Manual",$M686=1),0,IF(OFFSET(CRONOPLE!$F$14,$M686,BF$13)="",10^12,OFFSET(CRONOPLE!$F$14,$M686,BF$13))))</f>
        <v>1000000000000</v>
      </c>
      <c r="BG686" s="215">
        <f ca="1">IF($D686&lt;&gt;"Serviço",0,IF(AND(AUTOEVENTO="Manual",$M686=1),0,IF(OFFSET(CRONOPLE!$F$14,$M686,BG$13)="",10^12,OFFSET(CRONOPLE!$F$14,$M686,BG$13))))</f>
        <v>1000000000000</v>
      </c>
      <c r="BH686" s="215">
        <f ca="1">IF($D686&lt;&gt;"Serviço",0,IF(AND(AUTOEVENTO="Manual",$M686=1),0,IF(OFFSET(CRONOPLE!$F$14,$M686,BH$13)="",10^12,OFFSET(CRONOPLE!$F$14,$M686,BH$13))))</f>
        <v>1000000000000</v>
      </c>
      <c r="BI686" s="215">
        <f ca="1">IF($D686&lt;&gt;"Serviço",0,IF(AND(AUTOEVENTO="Manual",$M686=1),0,IF(OFFSET(CRONOPLE!$F$14,$M686,BI$13)="",10^12,OFFSET(CRONOPLE!$F$14,$M686,BI$13))))</f>
        <v>1000000000000</v>
      </c>
      <c r="BJ686" s="215">
        <f ca="1">IF($D686&lt;&gt;"Serviço",0,IF(AND(AUTOEVENTO="Manual",$M686=1),0,IF(OFFSET(CRONOPLE!$F$14,$M686,BJ$13)="",10^12,OFFSET(CRONOPLE!$F$14,$M686,BJ$13))))</f>
        <v>1000000000000</v>
      </c>
      <c r="BK686" s="215">
        <f ca="1">IF($D686&lt;&gt;"Serviço",0,IF(AND(AUTOEVENTO="Manual",$M686=1),0,IF(OFFSET(CRONOPLE!$F$14,$M686,BK$13)="",10^12,OFFSET(CRONOPLE!$F$14,$M686,BK$13))))</f>
        <v>1000000000000</v>
      </c>
      <c r="BL686" s="215">
        <f ca="1">IF($D686&lt;&gt;"Serviço",0,IF(AND(AUTOEVENTO="Manual",$M686=1),0,IF(OFFSET(CRONOPLE!$F$14,$M686,BL$13)="",10^12,OFFSET(CRONOPLE!$F$14,$M686,BL$13))))</f>
        <v>1000000000000</v>
      </c>
      <c r="BM686" s="215">
        <f ca="1">IF($D686&lt;&gt;"Serviço",0,IF(AND(AUTOEVENTO="Manual",$M686=1),0,IF(OFFSET(CRONOPLE!$F$14,$M686,BM$13)="",10^12,OFFSET(CRONOPLE!$F$14,$M686,BM$13))))</f>
        <v>1000000000000</v>
      </c>
      <c r="BN686" s="215">
        <f ca="1">IF($D686&lt;&gt;"Serviço",0,IF(AND(AUTOEVENTO="Manual",$M686=1),0,IF(OFFSET(CRONOPLE!$F$14,$M686,BN$13)="",10^12,OFFSET(CRONOPLE!$F$14,$M686,BN$13))))</f>
        <v>1000000000000</v>
      </c>
      <c r="BO686" s="215">
        <f ca="1">IF($D686&lt;&gt;"Serviço",0,IF(AND(AUTOEVENTO="Manual",$M686=1),0,IF(OFFSET(CRONOPLE!$F$14,$M686,BO$13)="",10^12,OFFSET(CRONOPLE!$F$14,$M686,BO$13))))</f>
        <v>1000000000000</v>
      </c>
      <c r="BP686" s="215">
        <f ca="1">IF($D686&lt;&gt;"Serviço",0,IF(AND(AUTOEVENTO="Manual",$M686=1),0,IF(OFFSET(CRONOPLE!$F$14,$M686,BP$13)="",10^12,OFFSET(CRONOPLE!$F$14,$M686,BP$13))))</f>
        <v>1000000000000</v>
      </c>
      <c r="BQ686" s="215">
        <f ca="1">IF($D686&lt;&gt;"Serviço",0,IF(AND(AUTOEVENTO="Manual",$M686=1),0,IF(OFFSET(CRONOPLE!$F$14,$M686,BQ$13)="",10^12,OFFSET(CRONOPLE!$F$14,$M686,BQ$13))))</f>
        <v>1000000000000</v>
      </c>
      <c r="BR686" s="215">
        <f ca="1">IF($D686&lt;&gt;"Serviço",0,IF(AND(AUTOEVENTO="Manual",$M686=1),0,IF(OFFSET(CRONOPLE!$F$14,$M686,BR$13)="",10^12,OFFSET(CRONOPLE!$F$14,$M686,BR$13))))</f>
        <v>1000000000000</v>
      </c>
      <c r="BS686" s="215">
        <f ca="1">IF($D686&lt;&gt;"Serviço",0,IF(AND(AUTOEVENTO="Manual",$M686=1),0,IF(OFFSET(CRONOPLE!$F$14,$M686,BS$13)="",10^12,OFFSET(CRONOPLE!$F$14,$M686,BS$13))))</f>
        <v>1000000000000</v>
      </c>
      <c r="BT686" s="215">
        <f ca="1">IF($D686&lt;&gt;"Serviço",0,IF(AND(AUTOEVENTO="Manual",$M686=1),0,IF(OFFSET(CRONOPLE!$F$14,$M686,BT$13)="",10^12,OFFSET(CRONOPLE!$F$14,$M686,BT$13))))</f>
        <v>1000000000000</v>
      </c>
      <c r="BV686" s="216">
        <f ca="1">IF($D686&lt;&gt;"Serviço",0,IF(OR(AND(AUTOEVENTO="Manual",$M686=1),$M686&gt;(ROW(PLE.lastrow)-ROW(PLE.firstrow))),0,IF(OFFSET(PLE!$G$14,$M686,BV$13)="",10^12,OFFSET(PLE!$G$14,$M686,BV$13))))</f>
        <v>1000000000000</v>
      </c>
      <c r="BW686" s="216">
        <f ca="1">IF($D686&lt;&gt;"Serviço",0,IF(OR(AND(AUTOEVENTO="Manual",$M686=1),$M686&gt;(ROW(PLE.lastrow)-ROW(PLE.firstrow))),0,IF(OFFSET(PLE!$G$14,$M686,BW$13)="",10^12,OFFSET(PLE!$G$14,$M686,BW$13))))</f>
        <v>1000000000000</v>
      </c>
      <c r="BX686" s="216">
        <f ca="1">IF($D686&lt;&gt;"Serviço",0,IF(OR(AND(AUTOEVENTO="Manual",$M686=1),$M686&gt;(ROW(PLE.lastrow)-ROW(PLE.firstrow))),0,IF(OFFSET(PLE!$G$14,$M686,BX$13)="",10^12,OFFSET(PLE!$G$14,$M686,BX$13))))</f>
        <v>1000000000000</v>
      </c>
      <c r="BY686" s="216">
        <f ca="1">IF($D686&lt;&gt;"Serviço",0,IF(OR(AND(AUTOEVENTO="Manual",$M686=1),$M686&gt;(ROW(PLE.lastrow)-ROW(PLE.firstrow))),0,IF(OFFSET(PLE!$G$14,$M686,BY$13)="",10^12,OFFSET(PLE!$G$14,$M686,BY$13))))</f>
        <v>1000000000000</v>
      </c>
      <c r="BZ686" s="216">
        <f ca="1">IF($D686&lt;&gt;"Serviço",0,IF(OR(AND(AUTOEVENTO="Manual",$M686=1),$M686&gt;(ROW(PLE.lastrow)-ROW(PLE.firstrow))),0,IF(OFFSET(PLE!$G$14,$M686,BZ$13)="",10^12,OFFSET(PLE!$G$14,$M686,BZ$13))))</f>
        <v>1000000000000</v>
      </c>
      <c r="CA686" s="216">
        <f ca="1">IF($D686&lt;&gt;"Serviço",0,IF(OR(AND(AUTOEVENTO="Manual",$M686=1),$M686&gt;(ROW(PLE.lastrow)-ROW(PLE.firstrow))),0,IF(OFFSET(PLE!$G$14,$M686,CA$13)="",10^12,OFFSET(PLE!$G$14,$M686,CA$13))))</f>
        <v>1000000000000</v>
      </c>
      <c r="CB686" s="216">
        <f ca="1">IF($D686&lt;&gt;"Serviço",0,IF(OR(AND(AUTOEVENTO="Manual",$M686=1),$M686&gt;(ROW(PLE.lastrow)-ROW(PLE.firstrow))),0,IF(OFFSET(PLE!$G$14,$M686,CB$13)="",10^12,OFFSET(PLE!$G$14,$M686,CB$13))))</f>
        <v>1000000000000</v>
      </c>
      <c r="CC686" s="216">
        <f ca="1">IF($D686&lt;&gt;"Serviço",0,IF(OR(AND(AUTOEVENTO="Manual",$M686=1),$M686&gt;(ROW(PLE.lastrow)-ROW(PLE.firstrow))),0,IF(OFFSET(PLE!$G$14,$M686,CC$13)="",10^12,OFFSET(PLE!$G$14,$M686,CC$13))))</f>
        <v>1000000000000</v>
      </c>
      <c r="CD686" s="216">
        <f ca="1">IF($D686&lt;&gt;"Serviço",0,IF(OR(AND(AUTOEVENTO="Manual",$M686=1),$M686&gt;(ROW(PLE.lastrow)-ROW(PLE.firstrow))),0,IF(OFFSET(PLE!$G$14,$M686,CD$13)="",10^12,OFFSET(PLE!$G$14,$M686,CD$13))))</f>
        <v>1000000000000</v>
      </c>
      <c r="CE686" s="216">
        <f ca="1">IF($D686&lt;&gt;"Serviço",0,IF(OR(AND(AUTOEVENTO="Manual",$M686=1),$M686&gt;(ROW(PLE.lastrow)-ROW(PLE.firstrow))),0,IF(OFFSET(PLE!$G$14,$M686,CE$13)="",10^12,OFFSET(PLE!$G$14,$M686,CE$13))))</f>
        <v>1000000000000</v>
      </c>
      <c r="CF686" s="216">
        <f ca="1">IF($D686&lt;&gt;"Serviço",0,IF(OR(AND(AUTOEVENTO="Manual",$M686=1),$M686&gt;(ROW(PLE.lastrow)-ROW(PLE.firstrow))),0,IF(OFFSET(PLE!$G$14,$M686,CF$13)="",10^12,OFFSET(PLE!$G$14,$M686,CF$13))))</f>
        <v>1000000000000</v>
      </c>
      <c r="CG686" s="216">
        <f ca="1">IF($D686&lt;&gt;"Serviço",0,IF(OR(AND(AUTOEVENTO="Manual",$M686=1),$M686&gt;(ROW(PLE.lastrow)-ROW(PLE.firstrow))),0,IF(OFFSET(PLE!$G$14,$M686,CG$13)="",10^12,OFFSET(PLE!$G$14,$M686,CG$13))))</f>
        <v>1000000000000</v>
      </c>
      <c r="CH686" s="216">
        <f ca="1">IF($D686&lt;&gt;"Serviço",0,IF(OR(AND(AUTOEVENTO="Manual",$M686=1),$M686&gt;(ROW(PLE.lastrow)-ROW(PLE.firstrow))),0,IF(OFFSET(PLE!$G$14,$M686,CH$13)="",10^12,OFFSET(PLE!$G$14,$M686,CH$13))))</f>
        <v>1000000000000</v>
      </c>
      <c r="CI686" s="216">
        <f ca="1">IF($D686&lt;&gt;"Serviço",0,IF(OR(AND(AUTOEVENTO="Manual",$M686=1),$M686&gt;(ROW(PLE.lastrow)-ROW(PLE.firstrow))),0,IF(OFFSET(PLE!$G$14,$M686,CI$13)="",10^12,OFFSET(PLE!$G$14,$M686,CI$13))))</f>
        <v>1000000000000</v>
      </c>
      <c r="CJ686" s="216">
        <f ca="1">IF($D686&lt;&gt;"Serviço",0,IF(OR(AND(AUTOEVENTO="Manual",$M686=1),$M686&gt;(ROW(PLE.lastrow)-ROW(PLE.firstrow))),0,IF(OFFSET(PLE!$G$14,$M686,CJ$13)="",10^12,OFFSET(PLE!$G$14,$M686,CJ$13))))</f>
        <v>1000000000000</v>
      </c>
      <c r="CK686" s="216">
        <f ca="1">IF($D686&lt;&gt;"Serviço",0,IF(OR(AND(AUTOEVENTO="Manual",$M686=1),$M686&gt;(ROW(PLE.lastrow)-ROW(PLE.firstrow))),0,IF(OFFSET(PLE!$G$14,$M686,CK$13)="",10^12,OFFSET(PLE!$G$14,$M686,CK$13))))</f>
        <v>1000000000000</v>
      </c>
      <c r="CL686" s="216">
        <f ca="1">IF($D686&lt;&gt;"Serviço",0,IF(OR(AND(AUTOEVENTO="Manual",$M686=1),$M686&gt;(ROW(PLE.lastrow)-ROW(PLE.firstrow))),0,IF(OFFSET(PLE!$G$14,$M686,CL$13)="",10^12,OFFSET(PLE!$G$14,$M686,CL$13))))</f>
        <v>1000000000000</v>
      </c>
      <c r="CM686" s="216">
        <f ca="1">IF($D686&lt;&gt;"Serviço",0,IF(OR(AND(AUTOEVENTO="Manual",$M686=1),$M686&gt;(ROW(PLE.lastrow)-ROW(PLE.firstrow))),0,IF(OFFSET(PLE!$G$14,$M686,CM$13)="",10^12,OFFSET(PLE!$G$14,$M686,CM$13))))</f>
        <v>1000000000000</v>
      </c>
    </row>
    <row r="687" spans="1:91" ht="13.2" x14ac:dyDescent="0.25">
      <c r="A687" s="9">
        <f t="shared" ca="1" si="20"/>
        <v>0</v>
      </c>
      <c r="B687" s="9" t="str">
        <f ca="1">OFFSET(ORÇAMENTO!C$15,ROW(B687)-ROW(B$15),0)</f>
        <v>S</v>
      </c>
      <c r="C687" s="9" t="str">
        <f ca="1">OFFSET(ORÇAMENTO!L$15,ROW(C687)-ROW(C$15),0)</f>
        <v/>
      </c>
      <c r="D687" s="145" t="str">
        <f ca="1">OFFSET(ORÇAMENTO!N$15,ROW(D687)-ROW(D$15),0)</f>
        <v>Serviço</v>
      </c>
      <c r="E687" s="205" t="str">
        <f ca="1">OFFSET(ORÇAMENTO!O$15,ROW(E687)-ROW(E$15),0)</f>
        <v>-</v>
      </c>
      <c r="F687" s="206" t="str">
        <f ca="1">OFFSET(ORÇAMENTO!R$15,ROW(F687)-ROW(F$15),0)</f>
        <v>(abra o arquivo 'Referência 05-2024.xls)</v>
      </c>
      <c r="G687" s="207" t="str">
        <f ca="1">IF($D687&lt;&gt;"Serviço","",OFFSET(ORÇAMENTO!S$15,ROW(G687)-ROW(G$15),0))</f>
        <v>-</v>
      </c>
      <c r="H687" s="151">
        <f ca="1">IF($D687&lt;&gt;"Serviço",0,IF(ACOMPANHAMENTO="BM",ROUND(OFFSET(ORÇAMENTO!AJ$15,ROW(H687)-ROW(H$15),0),15-13*ORÇAMENTO!$AF$7),SUMPRODUCT(($Q$12:$AI$12&lt;&gt;"")*ROUND($Q687:$AI687,15-13*ORÇAMENTO!$AF$7))))</f>
        <v>30</v>
      </c>
      <c r="I687" s="650"/>
      <c r="K687" s="208"/>
      <c r="L687" s="209" t="s">
        <v>257</v>
      </c>
      <c r="M687" s="210">
        <f ca="1">IF($D687&lt;&gt;"Serviço","",IF(AUTOEVENTO="manual",$A687,IF(ISERROR(MATCH($A687,$A$15:OFFSET($A687,-1,0),0)),MAX($M$15:OFFSET(M687,-1,0))+1,INDEX($M$15:OFFSET(M687,-1,0),MATCH($A687,$A$15:OFFSET($A687,-1,0),0)))))</f>
        <v>0</v>
      </c>
      <c r="N687" s="211" t="str">
        <f ca="1">IF($D687&lt;&gt;"Serviço","",IF(AUTOEVENTO="Manual",IF($A687=0,"&lt;-- defina o número do agrupador",OFFSET(EVENTOS!$D$14,$A687,0)),OFFSET($F$15,$A687,0)))</f>
        <v>&lt;-- defina o número do agrupador</v>
      </c>
      <c r="O687" s="212"/>
      <c r="Q687" s="212"/>
      <c r="R687" s="213"/>
      <c r="S687" s="213"/>
      <c r="T687" s="213"/>
      <c r="U687" s="213"/>
      <c r="V687" s="213"/>
      <c r="W687" s="213"/>
      <c r="X687" s="213"/>
      <c r="Y687" s="213"/>
      <c r="Z687" s="214"/>
      <c r="AA687" s="213"/>
      <c r="AB687" s="213"/>
      <c r="AC687" s="213"/>
      <c r="AD687" s="213"/>
      <c r="AE687" s="213"/>
      <c r="AF687" s="213"/>
      <c r="AG687" s="213"/>
      <c r="AH687" s="214"/>
      <c r="AJ687" s="631">
        <f ca="1">IF(AND($D687="Serviço",AJ$12&lt;&gt;0,$H687&gt;0,OR(AUTOEVENTO&lt;&gt;"manual",$M687&lt;&gt;1)),ROUND(OFFSET($P687,0,AJ$13),15-13*ORÇAMENTO!$AF$7)/$H687*OFFSET(ORÇAMENTO!$X$15,ROW(AJ687)-ROW(AJ$15),0),0)</f>
        <v>0</v>
      </c>
      <c r="AK687" s="632">
        <f ca="1">IF(AND($D687="Serviço",AK$12&lt;&gt;0,$H687&gt;0,OR(AUTOEVENTO&lt;&gt;"manual",$M687&lt;&gt;1)),ROUND(OFFSET($P687,0,AK$13),15-13*ORÇAMENTO!$AF$7)/$H687*OFFSET(ORÇAMENTO!$X$15,ROW(AK687)-ROW(AK$15),0),0)</f>
        <v>0</v>
      </c>
      <c r="AL687" s="632">
        <f ca="1">IF(AND($D687="Serviço",AL$12&lt;&gt;0,$H687&gt;0,OR(AUTOEVENTO&lt;&gt;"manual",$M687&lt;&gt;1)),ROUND(OFFSET($P687,0,AL$13),15-13*ORÇAMENTO!$AF$7)/$H687*OFFSET(ORÇAMENTO!$X$15,ROW(AL687)-ROW(AL$15),0),0)</f>
        <v>0</v>
      </c>
      <c r="AM687" s="632">
        <f ca="1">IF(AND($D687="Serviço",AM$12&lt;&gt;0,$H687&gt;0,OR(AUTOEVENTO&lt;&gt;"manual",$M687&lt;&gt;1)),ROUND(OFFSET($P687,0,AM$13),15-13*ORÇAMENTO!$AF$7)/$H687*OFFSET(ORÇAMENTO!$X$15,ROW(AM687)-ROW(AM$15),0),0)</f>
        <v>0</v>
      </c>
      <c r="AN687" s="632">
        <f ca="1">IF(AND($D687="Serviço",AN$12&lt;&gt;0,$H687&gt;0,OR(AUTOEVENTO&lt;&gt;"manual",$M687&lt;&gt;1)),ROUND(OFFSET($P687,0,AN$13),15-13*ORÇAMENTO!$AF$7)/$H687*OFFSET(ORÇAMENTO!$X$15,ROW(AN687)-ROW(AN$15),0),0)</f>
        <v>0</v>
      </c>
      <c r="AO687" s="632">
        <f ca="1">IF(AND($D687="Serviço",AO$12&lt;&gt;0,$H687&gt;0,OR(AUTOEVENTO&lt;&gt;"manual",$M687&lt;&gt;1)),ROUND(OFFSET($P687,0,AO$13),15-13*ORÇAMENTO!$AF$7)/$H687*OFFSET(ORÇAMENTO!$X$15,ROW(AO687)-ROW(AO$15),0),0)</f>
        <v>0</v>
      </c>
      <c r="AP687" s="632">
        <f ca="1">IF(AND($D687="Serviço",AP$12&lt;&gt;0,$H687&gt;0,OR(AUTOEVENTO&lt;&gt;"manual",$M687&lt;&gt;1)),ROUND(OFFSET($P687,0,AP$13),15-13*ORÇAMENTO!$AF$7)/$H687*OFFSET(ORÇAMENTO!$X$15,ROW(AP687)-ROW(AP$15),0),0)</f>
        <v>0</v>
      </c>
      <c r="AQ687" s="632">
        <f ca="1">IF(AND($D687="Serviço",AQ$12&lt;&gt;0,$H687&gt;0,OR(AUTOEVENTO&lt;&gt;"manual",$M687&lt;&gt;1)),ROUND(OFFSET($P687,0,AQ$13),15-13*ORÇAMENTO!$AF$7)/$H687*OFFSET(ORÇAMENTO!$X$15,ROW(AQ687)-ROW(AQ$15),0),0)</f>
        <v>0</v>
      </c>
      <c r="AR687" s="632">
        <f ca="1">IF(AND($D687="Serviço",AR$12&lt;&gt;0,$H687&gt;0,OR(AUTOEVENTO&lt;&gt;"manual",$M687&lt;&gt;1)),ROUND(OFFSET($P687,0,AR$13),15-13*ORÇAMENTO!$AF$7)/$H687*OFFSET(ORÇAMENTO!$X$15,ROW(AR687)-ROW(AR$15),0),0)</f>
        <v>0</v>
      </c>
      <c r="AS687" s="633">
        <f ca="1">IF(AND($D687="Serviço",AS$12&lt;&gt;0,$H687&gt;0,OR(AUTOEVENTO&lt;&gt;"manual",$M687&lt;&gt;1)),ROUND(OFFSET($P687,0,AS$13),15-13*ORÇAMENTO!$AF$7)/$H687*OFFSET(ORÇAMENTO!$X$15,ROW(AS687)-ROW(AS$15),0),0)</f>
        <v>0</v>
      </c>
      <c r="AT687" s="632">
        <f ca="1">IF(AND($D687="Serviço",AT$12&lt;&gt;0,$H687&gt;0,OR(AUTOEVENTO&lt;&gt;"manual",$M687&lt;&gt;1)),ROUND(OFFSET($P687,0,AT$13),15-13*ORÇAMENTO!$AF$7)/$H687*OFFSET(ORÇAMENTO!$X$15,ROW(AT687)-ROW(AT$15),0),0)</f>
        <v>0</v>
      </c>
      <c r="AU687" s="632">
        <f ca="1">IF(AND($D687="Serviço",AU$12&lt;&gt;0,$H687&gt;0,OR(AUTOEVENTO&lt;&gt;"manual",$M687&lt;&gt;1)),ROUND(OFFSET($P687,0,AU$13),15-13*ORÇAMENTO!$AF$7)/$H687*OFFSET(ORÇAMENTO!$X$15,ROW(AU687)-ROW(AU$15),0),0)</f>
        <v>0</v>
      </c>
      <c r="AV687" s="632">
        <f ca="1">IF(AND($D687="Serviço",AV$12&lt;&gt;0,$H687&gt;0,OR(AUTOEVENTO&lt;&gt;"manual",$M687&lt;&gt;1)),ROUND(OFFSET($P687,0,AV$13),15-13*ORÇAMENTO!$AF$7)/$H687*OFFSET(ORÇAMENTO!$X$15,ROW(AV687)-ROW(AV$15),0),0)</f>
        <v>0</v>
      </c>
      <c r="AW687" s="632">
        <f ca="1">IF(AND($D687="Serviço",AW$12&lt;&gt;0,$H687&gt;0,OR(AUTOEVENTO&lt;&gt;"manual",$M687&lt;&gt;1)),ROUND(OFFSET($P687,0,AW$13),15-13*ORÇAMENTO!$AF$7)/$H687*OFFSET(ORÇAMENTO!$X$15,ROW(AW687)-ROW(AW$15),0),0)</f>
        <v>0</v>
      </c>
      <c r="AX687" s="632">
        <f ca="1">IF(AND($D687="Serviço",AX$12&lt;&gt;0,$H687&gt;0,OR(AUTOEVENTO&lt;&gt;"manual",$M687&lt;&gt;1)),ROUND(OFFSET($P687,0,AX$13),15-13*ORÇAMENTO!$AF$7)/$H687*OFFSET(ORÇAMENTO!$X$15,ROW(AX687)-ROW(AX$15),0),0)</f>
        <v>0</v>
      </c>
      <c r="AY687" s="632">
        <f ca="1">IF(AND($D687="Serviço",AY$12&lt;&gt;0,$H687&gt;0,OR(AUTOEVENTO&lt;&gt;"manual",$M687&lt;&gt;1)),ROUND(OFFSET($P687,0,AY$13),15-13*ORÇAMENTO!$AF$7)/$H687*OFFSET(ORÇAMENTO!$X$15,ROW(AY687)-ROW(AY$15),0),0)</f>
        <v>0</v>
      </c>
      <c r="AZ687" s="632">
        <f ca="1">IF(AND($D687="Serviço",AZ$12&lt;&gt;0,$H687&gt;0,OR(AUTOEVENTO&lt;&gt;"manual",$M687&lt;&gt;1)),ROUND(OFFSET($P687,0,AZ$13),15-13*ORÇAMENTO!$AF$7)/$H687*OFFSET(ORÇAMENTO!$X$15,ROW(AZ687)-ROW(AZ$15),0),0)</f>
        <v>0</v>
      </c>
      <c r="BA687" s="633">
        <f ca="1">IF(AND($D687="Serviço",BA$12&lt;&gt;0,$H687&gt;0,OR(AUTOEVENTO&lt;&gt;"manual",$M687&lt;&gt;1)),ROUND(OFFSET($P687,0,BA$13),15-13*ORÇAMENTO!$AF$7)/$H687*OFFSET(ORÇAMENTO!$X$15,ROW(BA687)-ROW(BA$15),0),0)</f>
        <v>0</v>
      </c>
      <c r="BC687" s="215">
        <f ca="1">IF($D687&lt;&gt;"Serviço",0,IF(AND(AUTOEVENTO="Manual",$M687=1),0,IF(OFFSET(CRONOPLE!$F$14,$M687,BC$13)="",10^12,OFFSET(CRONOPLE!$F$14,$M687,BC$13))))</f>
        <v>1000000000000</v>
      </c>
      <c r="BD687" s="215">
        <f ca="1">IF($D687&lt;&gt;"Serviço",0,IF(AND(AUTOEVENTO="Manual",$M687=1),0,IF(OFFSET(CRONOPLE!$F$14,$M687,BD$13)="",10^12,OFFSET(CRONOPLE!$F$14,$M687,BD$13))))</f>
        <v>1000000000000</v>
      </c>
      <c r="BE687" s="215">
        <f ca="1">IF($D687&lt;&gt;"Serviço",0,IF(AND(AUTOEVENTO="Manual",$M687=1),0,IF(OFFSET(CRONOPLE!$F$14,$M687,BE$13)="",10^12,OFFSET(CRONOPLE!$F$14,$M687,BE$13))))</f>
        <v>1000000000000</v>
      </c>
      <c r="BF687" s="215">
        <f ca="1">IF($D687&lt;&gt;"Serviço",0,IF(AND(AUTOEVENTO="Manual",$M687=1),0,IF(OFFSET(CRONOPLE!$F$14,$M687,BF$13)="",10^12,OFFSET(CRONOPLE!$F$14,$M687,BF$13))))</f>
        <v>1000000000000</v>
      </c>
      <c r="BG687" s="215">
        <f ca="1">IF($D687&lt;&gt;"Serviço",0,IF(AND(AUTOEVENTO="Manual",$M687=1),0,IF(OFFSET(CRONOPLE!$F$14,$M687,BG$13)="",10^12,OFFSET(CRONOPLE!$F$14,$M687,BG$13))))</f>
        <v>1000000000000</v>
      </c>
      <c r="BH687" s="215">
        <f ca="1">IF($D687&lt;&gt;"Serviço",0,IF(AND(AUTOEVENTO="Manual",$M687=1),0,IF(OFFSET(CRONOPLE!$F$14,$M687,BH$13)="",10^12,OFFSET(CRONOPLE!$F$14,$M687,BH$13))))</f>
        <v>1000000000000</v>
      </c>
      <c r="BI687" s="215">
        <f ca="1">IF($D687&lt;&gt;"Serviço",0,IF(AND(AUTOEVENTO="Manual",$M687=1),0,IF(OFFSET(CRONOPLE!$F$14,$M687,BI$13)="",10^12,OFFSET(CRONOPLE!$F$14,$M687,BI$13))))</f>
        <v>1000000000000</v>
      </c>
      <c r="BJ687" s="215">
        <f ca="1">IF($D687&lt;&gt;"Serviço",0,IF(AND(AUTOEVENTO="Manual",$M687=1),0,IF(OFFSET(CRONOPLE!$F$14,$M687,BJ$13)="",10^12,OFFSET(CRONOPLE!$F$14,$M687,BJ$13))))</f>
        <v>1000000000000</v>
      </c>
      <c r="BK687" s="215">
        <f ca="1">IF($D687&lt;&gt;"Serviço",0,IF(AND(AUTOEVENTO="Manual",$M687=1),0,IF(OFFSET(CRONOPLE!$F$14,$M687,BK$13)="",10^12,OFFSET(CRONOPLE!$F$14,$M687,BK$13))))</f>
        <v>1000000000000</v>
      </c>
      <c r="BL687" s="215">
        <f ca="1">IF($D687&lt;&gt;"Serviço",0,IF(AND(AUTOEVENTO="Manual",$M687=1),0,IF(OFFSET(CRONOPLE!$F$14,$M687,BL$13)="",10^12,OFFSET(CRONOPLE!$F$14,$M687,BL$13))))</f>
        <v>1000000000000</v>
      </c>
      <c r="BM687" s="215">
        <f ca="1">IF($D687&lt;&gt;"Serviço",0,IF(AND(AUTOEVENTO="Manual",$M687=1),0,IF(OFFSET(CRONOPLE!$F$14,$M687,BM$13)="",10^12,OFFSET(CRONOPLE!$F$14,$M687,BM$13))))</f>
        <v>1000000000000</v>
      </c>
      <c r="BN687" s="215">
        <f ca="1">IF($D687&lt;&gt;"Serviço",0,IF(AND(AUTOEVENTO="Manual",$M687=1),0,IF(OFFSET(CRONOPLE!$F$14,$M687,BN$13)="",10^12,OFFSET(CRONOPLE!$F$14,$M687,BN$13))))</f>
        <v>1000000000000</v>
      </c>
      <c r="BO687" s="215">
        <f ca="1">IF($D687&lt;&gt;"Serviço",0,IF(AND(AUTOEVENTO="Manual",$M687=1),0,IF(OFFSET(CRONOPLE!$F$14,$M687,BO$13)="",10^12,OFFSET(CRONOPLE!$F$14,$M687,BO$13))))</f>
        <v>1000000000000</v>
      </c>
      <c r="BP687" s="215">
        <f ca="1">IF($D687&lt;&gt;"Serviço",0,IF(AND(AUTOEVENTO="Manual",$M687=1),0,IF(OFFSET(CRONOPLE!$F$14,$M687,BP$13)="",10^12,OFFSET(CRONOPLE!$F$14,$M687,BP$13))))</f>
        <v>1000000000000</v>
      </c>
      <c r="BQ687" s="215">
        <f ca="1">IF($D687&lt;&gt;"Serviço",0,IF(AND(AUTOEVENTO="Manual",$M687=1),0,IF(OFFSET(CRONOPLE!$F$14,$M687,BQ$13)="",10^12,OFFSET(CRONOPLE!$F$14,$M687,BQ$13))))</f>
        <v>1000000000000</v>
      </c>
      <c r="BR687" s="215">
        <f ca="1">IF($D687&lt;&gt;"Serviço",0,IF(AND(AUTOEVENTO="Manual",$M687=1),0,IF(OFFSET(CRONOPLE!$F$14,$M687,BR$13)="",10^12,OFFSET(CRONOPLE!$F$14,$M687,BR$13))))</f>
        <v>1000000000000</v>
      </c>
      <c r="BS687" s="215">
        <f ca="1">IF($D687&lt;&gt;"Serviço",0,IF(AND(AUTOEVENTO="Manual",$M687=1),0,IF(OFFSET(CRONOPLE!$F$14,$M687,BS$13)="",10^12,OFFSET(CRONOPLE!$F$14,$M687,BS$13))))</f>
        <v>1000000000000</v>
      </c>
      <c r="BT687" s="215">
        <f ca="1">IF($D687&lt;&gt;"Serviço",0,IF(AND(AUTOEVENTO="Manual",$M687=1),0,IF(OFFSET(CRONOPLE!$F$14,$M687,BT$13)="",10^12,OFFSET(CRONOPLE!$F$14,$M687,BT$13))))</f>
        <v>1000000000000</v>
      </c>
      <c r="BV687" s="216">
        <f ca="1">IF($D687&lt;&gt;"Serviço",0,IF(OR(AND(AUTOEVENTO="Manual",$M687=1),$M687&gt;(ROW(PLE.lastrow)-ROW(PLE.firstrow))),0,IF(OFFSET(PLE!$G$14,$M687,BV$13)="",10^12,OFFSET(PLE!$G$14,$M687,BV$13))))</f>
        <v>1000000000000</v>
      </c>
      <c r="BW687" s="216">
        <f ca="1">IF($D687&lt;&gt;"Serviço",0,IF(OR(AND(AUTOEVENTO="Manual",$M687=1),$M687&gt;(ROW(PLE.lastrow)-ROW(PLE.firstrow))),0,IF(OFFSET(PLE!$G$14,$M687,BW$13)="",10^12,OFFSET(PLE!$G$14,$M687,BW$13))))</f>
        <v>1000000000000</v>
      </c>
      <c r="BX687" s="216">
        <f ca="1">IF($D687&lt;&gt;"Serviço",0,IF(OR(AND(AUTOEVENTO="Manual",$M687=1),$M687&gt;(ROW(PLE.lastrow)-ROW(PLE.firstrow))),0,IF(OFFSET(PLE!$G$14,$M687,BX$13)="",10^12,OFFSET(PLE!$G$14,$M687,BX$13))))</f>
        <v>1000000000000</v>
      </c>
      <c r="BY687" s="216">
        <f ca="1">IF($D687&lt;&gt;"Serviço",0,IF(OR(AND(AUTOEVENTO="Manual",$M687=1),$M687&gt;(ROW(PLE.lastrow)-ROW(PLE.firstrow))),0,IF(OFFSET(PLE!$G$14,$M687,BY$13)="",10^12,OFFSET(PLE!$G$14,$M687,BY$13))))</f>
        <v>1000000000000</v>
      </c>
      <c r="BZ687" s="216">
        <f ca="1">IF($D687&lt;&gt;"Serviço",0,IF(OR(AND(AUTOEVENTO="Manual",$M687=1),$M687&gt;(ROW(PLE.lastrow)-ROW(PLE.firstrow))),0,IF(OFFSET(PLE!$G$14,$M687,BZ$13)="",10^12,OFFSET(PLE!$G$14,$M687,BZ$13))))</f>
        <v>1000000000000</v>
      </c>
      <c r="CA687" s="216">
        <f ca="1">IF($D687&lt;&gt;"Serviço",0,IF(OR(AND(AUTOEVENTO="Manual",$M687=1),$M687&gt;(ROW(PLE.lastrow)-ROW(PLE.firstrow))),0,IF(OFFSET(PLE!$G$14,$M687,CA$13)="",10^12,OFFSET(PLE!$G$14,$M687,CA$13))))</f>
        <v>1000000000000</v>
      </c>
      <c r="CB687" s="216">
        <f ca="1">IF($D687&lt;&gt;"Serviço",0,IF(OR(AND(AUTOEVENTO="Manual",$M687=1),$M687&gt;(ROW(PLE.lastrow)-ROW(PLE.firstrow))),0,IF(OFFSET(PLE!$G$14,$M687,CB$13)="",10^12,OFFSET(PLE!$G$14,$M687,CB$13))))</f>
        <v>1000000000000</v>
      </c>
      <c r="CC687" s="216">
        <f ca="1">IF($D687&lt;&gt;"Serviço",0,IF(OR(AND(AUTOEVENTO="Manual",$M687=1),$M687&gt;(ROW(PLE.lastrow)-ROW(PLE.firstrow))),0,IF(OFFSET(PLE!$G$14,$M687,CC$13)="",10^12,OFFSET(PLE!$G$14,$M687,CC$13))))</f>
        <v>1000000000000</v>
      </c>
      <c r="CD687" s="216">
        <f ca="1">IF($D687&lt;&gt;"Serviço",0,IF(OR(AND(AUTOEVENTO="Manual",$M687=1),$M687&gt;(ROW(PLE.lastrow)-ROW(PLE.firstrow))),0,IF(OFFSET(PLE!$G$14,$M687,CD$13)="",10^12,OFFSET(PLE!$G$14,$M687,CD$13))))</f>
        <v>1000000000000</v>
      </c>
      <c r="CE687" s="216">
        <f ca="1">IF($D687&lt;&gt;"Serviço",0,IF(OR(AND(AUTOEVENTO="Manual",$M687=1),$M687&gt;(ROW(PLE.lastrow)-ROW(PLE.firstrow))),0,IF(OFFSET(PLE!$G$14,$M687,CE$13)="",10^12,OFFSET(PLE!$G$14,$M687,CE$13))))</f>
        <v>1000000000000</v>
      </c>
      <c r="CF687" s="216">
        <f ca="1">IF($D687&lt;&gt;"Serviço",0,IF(OR(AND(AUTOEVENTO="Manual",$M687=1),$M687&gt;(ROW(PLE.lastrow)-ROW(PLE.firstrow))),0,IF(OFFSET(PLE!$G$14,$M687,CF$13)="",10^12,OFFSET(PLE!$G$14,$M687,CF$13))))</f>
        <v>1000000000000</v>
      </c>
      <c r="CG687" s="216">
        <f ca="1">IF($D687&lt;&gt;"Serviço",0,IF(OR(AND(AUTOEVENTO="Manual",$M687=1),$M687&gt;(ROW(PLE.lastrow)-ROW(PLE.firstrow))),0,IF(OFFSET(PLE!$G$14,$M687,CG$13)="",10^12,OFFSET(PLE!$G$14,$M687,CG$13))))</f>
        <v>1000000000000</v>
      </c>
      <c r="CH687" s="216">
        <f ca="1">IF($D687&lt;&gt;"Serviço",0,IF(OR(AND(AUTOEVENTO="Manual",$M687=1),$M687&gt;(ROW(PLE.lastrow)-ROW(PLE.firstrow))),0,IF(OFFSET(PLE!$G$14,$M687,CH$13)="",10^12,OFFSET(PLE!$G$14,$M687,CH$13))))</f>
        <v>1000000000000</v>
      </c>
      <c r="CI687" s="216">
        <f ca="1">IF($D687&lt;&gt;"Serviço",0,IF(OR(AND(AUTOEVENTO="Manual",$M687=1),$M687&gt;(ROW(PLE.lastrow)-ROW(PLE.firstrow))),0,IF(OFFSET(PLE!$G$14,$M687,CI$13)="",10^12,OFFSET(PLE!$G$14,$M687,CI$13))))</f>
        <v>1000000000000</v>
      </c>
      <c r="CJ687" s="216">
        <f ca="1">IF($D687&lt;&gt;"Serviço",0,IF(OR(AND(AUTOEVENTO="Manual",$M687=1),$M687&gt;(ROW(PLE.lastrow)-ROW(PLE.firstrow))),0,IF(OFFSET(PLE!$G$14,$M687,CJ$13)="",10^12,OFFSET(PLE!$G$14,$M687,CJ$13))))</f>
        <v>1000000000000</v>
      </c>
      <c r="CK687" s="216">
        <f ca="1">IF($D687&lt;&gt;"Serviço",0,IF(OR(AND(AUTOEVENTO="Manual",$M687=1),$M687&gt;(ROW(PLE.lastrow)-ROW(PLE.firstrow))),0,IF(OFFSET(PLE!$G$14,$M687,CK$13)="",10^12,OFFSET(PLE!$G$14,$M687,CK$13))))</f>
        <v>1000000000000</v>
      </c>
      <c r="CL687" s="216">
        <f ca="1">IF($D687&lt;&gt;"Serviço",0,IF(OR(AND(AUTOEVENTO="Manual",$M687=1),$M687&gt;(ROW(PLE.lastrow)-ROW(PLE.firstrow))),0,IF(OFFSET(PLE!$G$14,$M687,CL$13)="",10^12,OFFSET(PLE!$G$14,$M687,CL$13))))</f>
        <v>1000000000000</v>
      </c>
      <c r="CM687" s="216">
        <f ca="1">IF($D687&lt;&gt;"Serviço",0,IF(OR(AND(AUTOEVENTO="Manual",$M687=1),$M687&gt;(ROW(PLE.lastrow)-ROW(PLE.firstrow))),0,IF(OFFSET(PLE!$G$14,$M687,CM$13)="",10^12,OFFSET(PLE!$G$14,$M687,CM$13))))</f>
        <v>1000000000000</v>
      </c>
    </row>
    <row r="688" spans="1:91" ht="13.2" x14ac:dyDescent="0.25">
      <c r="A688" s="9">
        <f t="shared" ca="1" si="20"/>
        <v>0</v>
      </c>
      <c r="B688" s="9">
        <f ca="1">OFFSET(ORÇAMENTO!C$15,ROW(B688)-ROW(B$15),0)</f>
        <v>2</v>
      </c>
      <c r="C688" s="9" t="str">
        <f ca="1">OFFSET(ORÇAMENTO!L$15,ROW(C688)-ROW(C$15),0)</f>
        <v>F</v>
      </c>
      <c r="D688" s="145" t="str">
        <f ca="1">OFFSET(ORÇAMENTO!N$15,ROW(D688)-ROW(D$15),0)</f>
        <v>Nível 2</v>
      </c>
      <c r="E688" s="205" t="str">
        <f ca="1">OFFSET(ORÇAMENTO!O$15,ROW(E688)-ROW(E$15),0)</f>
        <v>1.23.</v>
      </c>
      <c r="F688" s="206" t="str">
        <f ca="1">OFFSET(ORÇAMENTO!R$15,ROW(F688)-ROW(F$15),0)</f>
        <v>SERVIÇOS COMPLEMENTARES</v>
      </c>
      <c r="G688" s="207" t="str">
        <f ca="1">IF($D688&lt;&gt;"Serviço","",OFFSET(ORÇAMENTO!S$15,ROW(G688)-ROW(G$15),0))</f>
        <v/>
      </c>
      <c r="H688" s="151">
        <f ca="1">IF($D688&lt;&gt;"Serviço",0,IF(ACOMPANHAMENTO="BM",ROUND(OFFSET(ORÇAMENTO!AJ$15,ROW(H688)-ROW(H$15),0),15-13*ORÇAMENTO!$AF$7),SUMPRODUCT(($Q$12:$AI$12&lt;&gt;"")*ROUND($Q688:$AI688,15-13*ORÇAMENTO!$AF$7))))</f>
        <v>0</v>
      </c>
      <c r="I688" s="650"/>
      <c r="K688" s="208"/>
      <c r="L688" s="209" t="s">
        <v>257</v>
      </c>
      <c r="M688" s="210" t="str">
        <f ca="1">IF($D688&lt;&gt;"Serviço","",IF(AUTOEVENTO="manual",$A688,IF(ISERROR(MATCH($A688,$A$15:OFFSET($A688,-1,0),0)),MAX($M$15:OFFSET(M688,-1,0))+1,INDEX($M$15:OFFSET(M688,-1,0),MATCH($A688,$A$15:OFFSET($A688,-1,0),0)))))</f>
        <v/>
      </c>
      <c r="N688" s="211" t="str">
        <f ca="1">IF($D688&lt;&gt;"Serviço","",IF(AUTOEVENTO="Manual",IF($A688=0,"&lt;-- defina o número do agrupador",OFFSET(EVENTOS!$D$14,$A688,0)),OFFSET($F$15,$A688,0)))</f>
        <v/>
      </c>
      <c r="O688" s="212"/>
      <c r="Q688" s="212"/>
      <c r="R688" s="213"/>
      <c r="S688" s="213"/>
      <c r="T688" s="213"/>
      <c r="U688" s="213"/>
      <c r="V688" s="213"/>
      <c r="W688" s="213"/>
      <c r="X688" s="213"/>
      <c r="Y688" s="213"/>
      <c r="Z688" s="214"/>
      <c r="AA688" s="213"/>
      <c r="AB688" s="213"/>
      <c r="AC688" s="213"/>
      <c r="AD688" s="213"/>
      <c r="AE688" s="213"/>
      <c r="AF688" s="213"/>
      <c r="AG688" s="213"/>
      <c r="AH688" s="214"/>
      <c r="AJ688" s="631">
        <f ca="1">IF(AND($D688="Serviço",AJ$12&lt;&gt;0,$H688&gt;0,OR(AUTOEVENTO&lt;&gt;"manual",$M688&lt;&gt;1)),ROUND(OFFSET($P688,0,AJ$13),15-13*ORÇAMENTO!$AF$7)/$H688*OFFSET(ORÇAMENTO!$X$15,ROW(AJ688)-ROW(AJ$15),0),0)</f>
        <v>0</v>
      </c>
      <c r="AK688" s="632">
        <f ca="1">IF(AND($D688="Serviço",AK$12&lt;&gt;0,$H688&gt;0,OR(AUTOEVENTO&lt;&gt;"manual",$M688&lt;&gt;1)),ROUND(OFFSET($P688,0,AK$13),15-13*ORÇAMENTO!$AF$7)/$H688*OFFSET(ORÇAMENTO!$X$15,ROW(AK688)-ROW(AK$15),0),0)</f>
        <v>0</v>
      </c>
      <c r="AL688" s="632">
        <f ca="1">IF(AND($D688="Serviço",AL$12&lt;&gt;0,$H688&gt;0,OR(AUTOEVENTO&lt;&gt;"manual",$M688&lt;&gt;1)),ROUND(OFFSET($P688,0,AL$13),15-13*ORÇAMENTO!$AF$7)/$H688*OFFSET(ORÇAMENTO!$X$15,ROW(AL688)-ROW(AL$15),0),0)</f>
        <v>0</v>
      </c>
      <c r="AM688" s="632">
        <f ca="1">IF(AND($D688="Serviço",AM$12&lt;&gt;0,$H688&gt;0,OR(AUTOEVENTO&lt;&gt;"manual",$M688&lt;&gt;1)),ROUND(OFFSET($P688,0,AM$13),15-13*ORÇAMENTO!$AF$7)/$H688*OFFSET(ORÇAMENTO!$X$15,ROW(AM688)-ROW(AM$15),0),0)</f>
        <v>0</v>
      </c>
      <c r="AN688" s="632">
        <f ca="1">IF(AND($D688="Serviço",AN$12&lt;&gt;0,$H688&gt;0,OR(AUTOEVENTO&lt;&gt;"manual",$M688&lt;&gt;1)),ROUND(OFFSET($P688,0,AN$13),15-13*ORÇAMENTO!$AF$7)/$H688*OFFSET(ORÇAMENTO!$X$15,ROW(AN688)-ROW(AN$15),0),0)</f>
        <v>0</v>
      </c>
      <c r="AO688" s="632">
        <f ca="1">IF(AND($D688="Serviço",AO$12&lt;&gt;0,$H688&gt;0,OR(AUTOEVENTO&lt;&gt;"manual",$M688&lt;&gt;1)),ROUND(OFFSET($P688,0,AO$13),15-13*ORÇAMENTO!$AF$7)/$H688*OFFSET(ORÇAMENTO!$X$15,ROW(AO688)-ROW(AO$15),0),0)</f>
        <v>0</v>
      </c>
      <c r="AP688" s="632">
        <f ca="1">IF(AND($D688="Serviço",AP$12&lt;&gt;0,$H688&gt;0,OR(AUTOEVENTO&lt;&gt;"manual",$M688&lt;&gt;1)),ROUND(OFFSET($P688,0,AP$13),15-13*ORÇAMENTO!$AF$7)/$H688*OFFSET(ORÇAMENTO!$X$15,ROW(AP688)-ROW(AP$15),0),0)</f>
        <v>0</v>
      </c>
      <c r="AQ688" s="632">
        <f ca="1">IF(AND($D688="Serviço",AQ$12&lt;&gt;0,$H688&gt;0,OR(AUTOEVENTO&lt;&gt;"manual",$M688&lt;&gt;1)),ROUND(OFFSET($P688,0,AQ$13),15-13*ORÇAMENTO!$AF$7)/$H688*OFFSET(ORÇAMENTO!$X$15,ROW(AQ688)-ROW(AQ$15),0),0)</f>
        <v>0</v>
      </c>
      <c r="AR688" s="632">
        <f ca="1">IF(AND($D688="Serviço",AR$12&lt;&gt;0,$H688&gt;0,OR(AUTOEVENTO&lt;&gt;"manual",$M688&lt;&gt;1)),ROUND(OFFSET($P688,0,AR$13),15-13*ORÇAMENTO!$AF$7)/$H688*OFFSET(ORÇAMENTO!$X$15,ROW(AR688)-ROW(AR$15),0),0)</f>
        <v>0</v>
      </c>
      <c r="AS688" s="633">
        <f ca="1">IF(AND($D688="Serviço",AS$12&lt;&gt;0,$H688&gt;0,OR(AUTOEVENTO&lt;&gt;"manual",$M688&lt;&gt;1)),ROUND(OFFSET($P688,0,AS$13),15-13*ORÇAMENTO!$AF$7)/$H688*OFFSET(ORÇAMENTO!$X$15,ROW(AS688)-ROW(AS$15),0),0)</f>
        <v>0</v>
      </c>
      <c r="AT688" s="632">
        <f ca="1">IF(AND($D688="Serviço",AT$12&lt;&gt;0,$H688&gt;0,OR(AUTOEVENTO&lt;&gt;"manual",$M688&lt;&gt;1)),ROUND(OFFSET($P688,0,AT$13),15-13*ORÇAMENTO!$AF$7)/$H688*OFFSET(ORÇAMENTO!$X$15,ROW(AT688)-ROW(AT$15),0),0)</f>
        <v>0</v>
      </c>
      <c r="AU688" s="632">
        <f ca="1">IF(AND($D688="Serviço",AU$12&lt;&gt;0,$H688&gt;0,OR(AUTOEVENTO&lt;&gt;"manual",$M688&lt;&gt;1)),ROUND(OFFSET($P688,0,AU$13),15-13*ORÇAMENTO!$AF$7)/$H688*OFFSET(ORÇAMENTO!$X$15,ROW(AU688)-ROW(AU$15),0),0)</f>
        <v>0</v>
      </c>
      <c r="AV688" s="632">
        <f ca="1">IF(AND($D688="Serviço",AV$12&lt;&gt;0,$H688&gt;0,OR(AUTOEVENTO&lt;&gt;"manual",$M688&lt;&gt;1)),ROUND(OFFSET($P688,0,AV$13),15-13*ORÇAMENTO!$AF$7)/$H688*OFFSET(ORÇAMENTO!$X$15,ROW(AV688)-ROW(AV$15),0),0)</f>
        <v>0</v>
      </c>
      <c r="AW688" s="632">
        <f ca="1">IF(AND($D688="Serviço",AW$12&lt;&gt;0,$H688&gt;0,OR(AUTOEVENTO&lt;&gt;"manual",$M688&lt;&gt;1)),ROUND(OFFSET($P688,0,AW$13),15-13*ORÇAMENTO!$AF$7)/$H688*OFFSET(ORÇAMENTO!$X$15,ROW(AW688)-ROW(AW$15),0),0)</f>
        <v>0</v>
      </c>
      <c r="AX688" s="632">
        <f ca="1">IF(AND($D688="Serviço",AX$12&lt;&gt;0,$H688&gt;0,OR(AUTOEVENTO&lt;&gt;"manual",$M688&lt;&gt;1)),ROUND(OFFSET($P688,0,AX$13),15-13*ORÇAMENTO!$AF$7)/$H688*OFFSET(ORÇAMENTO!$X$15,ROW(AX688)-ROW(AX$15),0),0)</f>
        <v>0</v>
      </c>
      <c r="AY688" s="632">
        <f ca="1">IF(AND($D688="Serviço",AY$12&lt;&gt;0,$H688&gt;0,OR(AUTOEVENTO&lt;&gt;"manual",$M688&lt;&gt;1)),ROUND(OFFSET($P688,0,AY$13),15-13*ORÇAMENTO!$AF$7)/$H688*OFFSET(ORÇAMENTO!$X$15,ROW(AY688)-ROW(AY$15),0),0)</f>
        <v>0</v>
      </c>
      <c r="AZ688" s="632">
        <f ca="1">IF(AND($D688="Serviço",AZ$12&lt;&gt;0,$H688&gt;0,OR(AUTOEVENTO&lt;&gt;"manual",$M688&lt;&gt;1)),ROUND(OFFSET($P688,0,AZ$13),15-13*ORÇAMENTO!$AF$7)/$H688*OFFSET(ORÇAMENTO!$X$15,ROW(AZ688)-ROW(AZ$15),0),0)</f>
        <v>0</v>
      </c>
      <c r="BA688" s="633">
        <f ca="1">IF(AND($D688="Serviço",BA$12&lt;&gt;0,$H688&gt;0,OR(AUTOEVENTO&lt;&gt;"manual",$M688&lt;&gt;1)),ROUND(OFFSET($P688,0,BA$13),15-13*ORÇAMENTO!$AF$7)/$H688*OFFSET(ORÇAMENTO!$X$15,ROW(BA688)-ROW(BA$15),0),0)</f>
        <v>0</v>
      </c>
      <c r="BC688" s="215">
        <f ca="1">IF($D688&lt;&gt;"Serviço",0,IF(AND(AUTOEVENTO="Manual",$M688=1),0,IF(OFFSET(CRONOPLE!$F$14,$M688,BC$13)="",10^12,OFFSET(CRONOPLE!$F$14,$M688,BC$13))))</f>
        <v>0</v>
      </c>
      <c r="BD688" s="215">
        <f ca="1">IF($D688&lt;&gt;"Serviço",0,IF(AND(AUTOEVENTO="Manual",$M688=1),0,IF(OFFSET(CRONOPLE!$F$14,$M688,BD$13)="",10^12,OFFSET(CRONOPLE!$F$14,$M688,BD$13))))</f>
        <v>0</v>
      </c>
      <c r="BE688" s="215">
        <f ca="1">IF($D688&lt;&gt;"Serviço",0,IF(AND(AUTOEVENTO="Manual",$M688=1),0,IF(OFFSET(CRONOPLE!$F$14,$M688,BE$13)="",10^12,OFFSET(CRONOPLE!$F$14,$M688,BE$13))))</f>
        <v>0</v>
      </c>
      <c r="BF688" s="215">
        <f ca="1">IF($D688&lt;&gt;"Serviço",0,IF(AND(AUTOEVENTO="Manual",$M688=1),0,IF(OFFSET(CRONOPLE!$F$14,$M688,BF$13)="",10^12,OFFSET(CRONOPLE!$F$14,$M688,BF$13))))</f>
        <v>0</v>
      </c>
      <c r="BG688" s="215">
        <f ca="1">IF($D688&lt;&gt;"Serviço",0,IF(AND(AUTOEVENTO="Manual",$M688=1),0,IF(OFFSET(CRONOPLE!$F$14,$M688,BG$13)="",10^12,OFFSET(CRONOPLE!$F$14,$M688,BG$13))))</f>
        <v>0</v>
      </c>
      <c r="BH688" s="215">
        <f ca="1">IF($D688&lt;&gt;"Serviço",0,IF(AND(AUTOEVENTO="Manual",$M688=1),0,IF(OFFSET(CRONOPLE!$F$14,$M688,BH$13)="",10^12,OFFSET(CRONOPLE!$F$14,$M688,BH$13))))</f>
        <v>0</v>
      </c>
      <c r="BI688" s="215">
        <f ca="1">IF($D688&lt;&gt;"Serviço",0,IF(AND(AUTOEVENTO="Manual",$M688=1),0,IF(OFFSET(CRONOPLE!$F$14,$M688,BI$13)="",10^12,OFFSET(CRONOPLE!$F$14,$M688,BI$13))))</f>
        <v>0</v>
      </c>
      <c r="BJ688" s="215">
        <f ca="1">IF($D688&lt;&gt;"Serviço",0,IF(AND(AUTOEVENTO="Manual",$M688=1),0,IF(OFFSET(CRONOPLE!$F$14,$M688,BJ$13)="",10^12,OFFSET(CRONOPLE!$F$14,$M688,BJ$13))))</f>
        <v>0</v>
      </c>
      <c r="BK688" s="215">
        <f ca="1">IF($D688&lt;&gt;"Serviço",0,IF(AND(AUTOEVENTO="Manual",$M688=1),0,IF(OFFSET(CRONOPLE!$F$14,$M688,BK$13)="",10^12,OFFSET(CRONOPLE!$F$14,$M688,BK$13))))</f>
        <v>0</v>
      </c>
      <c r="BL688" s="215">
        <f ca="1">IF($D688&lt;&gt;"Serviço",0,IF(AND(AUTOEVENTO="Manual",$M688=1),0,IF(OFFSET(CRONOPLE!$F$14,$M688,BL$13)="",10^12,OFFSET(CRONOPLE!$F$14,$M688,BL$13))))</f>
        <v>0</v>
      </c>
      <c r="BM688" s="215">
        <f ca="1">IF($D688&lt;&gt;"Serviço",0,IF(AND(AUTOEVENTO="Manual",$M688=1),0,IF(OFFSET(CRONOPLE!$F$14,$M688,BM$13)="",10^12,OFFSET(CRONOPLE!$F$14,$M688,BM$13))))</f>
        <v>0</v>
      </c>
      <c r="BN688" s="215">
        <f ca="1">IF($D688&lt;&gt;"Serviço",0,IF(AND(AUTOEVENTO="Manual",$M688=1),0,IF(OFFSET(CRONOPLE!$F$14,$M688,BN$13)="",10^12,OFFSET(CRONOPLE!$F$14,$M688,BN$13))))</f>
        <v>0</v>
      </c>
      <c r="BO688" s="215">
        <f ca="1">IF($D688&lt;&gt;"Serviço",0,IF(AND(AUTOEVENTO="Manual",$M688=1),0,IF(OFFSET(CRONOPLE!$F$14,$M688,BO$13)="",10^12,OFFSET(CRONOPLE!$F$14,$M688,BO$13))))</f>
        <v>0</v>
      </c>
      <c r="BP688" s="215">
        <f ca="1">IF($D688&lt;&gt;"Serviço",0,IF(AND(AUTOEVENTO="Manual",$M688=1),0,IF(OFFSET(CRONOPLE!$F$14,$M688,BP$13)="",10^12,OFFSET(CRONOPLE!$F$14,$M688,BP$13))))</f>
        <v>0</v>
      </c>
      <c r="BQ688" s="215">
        <f ca="1">IF($D688&lt;&gt;"Serviço",0,IF(AND(AUTOEVENTO="Manual",$M688=1),0,IF(OFFSET(CRONOPLE!$F$14,$M688,BQ$13)="",10^12,OFFSET(CRONOPLE!$F$14,$M688,BQ$13))))</f>
        <v>0</v>
      </c>
      <c r="BR688" s="215">
        <f ca="1">IF($D688&lt;&gt;"Serviço",0,IF(AND(AUTOEVENTO="Manual",$M688=1),0,IF(OFFSET(CRONOPLE!$F$14,$M688,BR$13)="",10^12,OFFSET(CRONOPLE!$F$14,$M688,BR$13))))</f>
        <v>0</v>
      </c>
      <c r="BS688" s="215">
        <f ca="1">IF($D688&lt;&gt;"Serviço",0,IF(AND(AUTOEVENTO="Manual",$M688=1),0,IF(OFFSET(CRONOPLE!$F$14,$M688,BS$13)="",10^12,OFFSET(CRONOPLE!$F$14,$M688,BS$13))))</f>
        <v>0</v>
      </c>
      <c r="BT688" s="215">
        <f ca="1">IF($D688&lt;&gt;"Serviço",0,IF(AND(AUTOEVENTO="Manual",$M688=1),0,IF(OFFSET(CRONOPLE!$F$14,$M688,BT$13)="",10^12,OFFSET(CRONOPLE!$F$14,$M688,BT$13))))</f>
        <v>0</v>
      </c>
      <c r="BV688" s="216">
        <f ca="1">IF($D688&lt;&gt;"Serviço",0,IF(OR(AND(AUTOEVENTO="Manual",$M688=1),$M688&gt;(ROW(PLE.lastrow)-ROW(PLE.firstrow))),0,IF(OFFSET(PLE!$G$14,$M688,BV$13)="",10^12,OFFSET(PLE!$G$14,$M688,BV$13))))</f>
        <v>0</v>
      </c>
      <c r="BW688" s="216">
        <f ca="1">IF($D688&lt;&gt;"Serviço",0,IF(OR(AND(AUTOEVENTO="Manual",$M688=1),$M688&gt;(ROW(PLE.lastrow)-ROW(PLE.firstrow))),0,IF(OFFSET(PLE!$G$14,$M688,BW$13)="",10^12,OFFSET(PLE!$G$14,$M688,BW$13))))</f>
        <v>0</v>
      </c>
      <c r="BX688" s="216">
        <f ca="1">IF($D688&lt;&gt;"Serviço",0,IF(OR(AND(AUTOEVENTO="Manual",$M688=1),$M688&gt;(ROW(PLE.lastrow)-ROW(PLE.firstrow))),0,IF(OFFSET(PLE!$G$14,$M688,BX$13)="",10^12,OFFSET(PLE!$G$14,$M688,BX$13))))</f>
        <v>0</v>
      </c>
      <c r="BY688" s="216">
        <f ca="1">IF($D688&lt;&gt;"Serviço",0,IF(OR(AND(AUTOEVENTO="Manual",$M688=1),$M688&gt;(ROW(PLE.lastrow)-ROW(PLE.firstrow))),0,IF(OFFSET(PLE!$G$14,$M688,BY$13)="",10^12,OFFSET(PLE!$G$14,$M688,BY$13))))</f>
        <v>0</v>
      </c>
      <c r="BZ688" s="216">
        <f ca="1">IF($D688&lt;&gt;"Serviço",0,IF(OR(AND(AUTOEVENTO="Manual",$M688=1),$M688&gt;(ROW(PLE.lastrow)-ROW(PLE.firstrow))),0,IF(OFFSET(PLE!$G$14,$M688,BZ$13)="",10^12,OFFSET(PLE!$G$14,$M688,BZ$13))))</f>
        <v>0</v>
      </c>
      <c r="CA688" s="216">
        <f ca="1">IF($D688&lt;&gt;"Serviço",0,IF(OR(AND(AUTOEVENTO="Manual",$M688=1),$M688&gt;(ROW(PLE.lastrow)-ROW(PLE.firstrow))),0,IF(OFFSET(PLE!$G$14,$M688,CA$13)="",10^12,OFFSET(PLE!$G$14,$M688,CA$13))))</f>
        <v>0</v>
      </c>
      <c r="CB688" s="216">
        <f ca="1">IF($D688&lt;&gt;"Serviço",0,IF(OR(AND(AUTOEVENTO="Manual",$M688=1),$M688&gt;(ROW(PLE.lastrow)-ROW(PLE.firstrow))),0,IF(OFFSET(PLE!$G$14,$M688,CB$13)="",10^12,OFFSET(PLE!$G$14,$M688,CB$13))))</f>
        <v>0</v>
      </c>
      <c r="CC688" s="216">
        <f ca="1">IF($D688&lt;&gt;"Serviço",0,IF(OR(AND(AUTOEVENTO="Manual",$M688=1),$M688&gt;(ROW(PLE.lastrow)-ROW(PLE.firstrow))),0,IF(OFFSET(PLE!$G$14,$M688,CC$13)="",10^12,OFFSET(PLE!$G$14,$M688,CC$13))))</f>
        <v>0</v>
      </c>
      <c r="CD688" s="216">
        <f ca="1">IF($D688&lt;&gt;"Serviço",0,IF(OR(AND(AUTOEVENTO="Manual",$M688=1),$M688&gt;(ROW(PLE.lastrow)-ROW(PLE.firstrow))),0,IF(OFFSET(PLE!$G$14,$M688,CD$13)="",10^12,OFFSET(PLE!$G$14,$M688,CD$13))))</f>
        <v>0</v>
      </c>
      <c r="CE688" s="216">
        <f ca="1">IF($D688&lt;&gt;"Serviço",0,IF(OR(AND(AUTOEVENTO="Manual",$M688=1),$M688&gt;(ROW(PLE.lastrow)-ROW(PLE.firstrow))),0,IF(OFFSET(PLE!$G$14,$M688,CE$13)="",10^12,OFFSET(PLE!$G$14,$M688,CE$13))))</f>
        <v>0</v>
      </c>
      <c r="CF688" s="216">
        <f ca="1">IF($D688&lt;&gt;"Serviço",0,IF(OR(AND(AUTOEVENTO="Manual",$M688=1),$M688&gt;(ROW(PLE.lastrow)-ROW(PLE.firstrow))),0,IF(OFFSET(PLE!$G$14,$M688,CF$13)="",10^12,OFFSET(PLE!$G$14,$M688,CF$13))))</f>
        <v>0</v>
      </c>
      <c r="CG688" s="216">
        <f ca="1">IF($D688&lt;&gt;"Serviço",0,IF(OR(AND(AUTOEVENTO="Manual",$M688=1),$M688&gt;(ROW(PLE.lastrow)-ROW(PLE.firstrow))),0,IF(OFFSET(PLE!$G$14,$M688,CG$13)="",10^12,OFFSET(PLE!$G$14,$M688,CG$13))))</f>
        <v>0</v>
      </c>
      <c r="CH688" s="216">
        <f ca="1">IF($D688&lt;&gt;"Serviço",0,IF(OR(AND(AUTOEVENTO="Manual",$M688=1),$M688&gt;(ROW(PLE.lastrow)-ROW(PLE.firstrow))),0,IF(OFFSET(PLE!$G$14,$M688,CH$13)="",10^12,OFFSET(PLE!$G$14,$M688,CH$13))))</f>
        <v>0</v>
      </c>
      <c r="CI688" s="216">
        <f ca="1">IF($D688&lt;&gt;"Serviço",0,IF(OR(AND(AUTOEVENTO="Manual",$M688=1),$M688&gt;(ROW(PLE.lastrow)-ROW(PLE.firstrow))),0,IF(OFFSET(PLE!$G$14,$M688,CI$13)="",10^12,OFFSET(PLE!$G$14,$M688,CI$13))))</f>
        <v>0</v>
      </c>
      <c r="CJ688" s="216">
        <f ca="1">IF($D688&lt;&gt;"Serviço",0,IF(OR(AND(AUTOEVENTO="Manual",$M688=1),$M688&gt;(ROW(PLE.lastrow)-ROW(PLE.firstrow))),0,IF(OFFSET(PLE!$G$14,$M688,CJ$13)="",10^12,OFFSET(PLE!$G$14,$M688,CJ$13))))</f>
        <v>0</v>
      </c>
      <c r="CK688" s="216">
        <f ca="1">IF($D688&lt;&gt;"Serviço",0,IF(OR(AND(AUTOEVENTO="Manual",$M688=1),$M688&gt;(ROW(PLE.lastrow)-ROW(PLE.firstrow))),0,IF(OFFSET(PLE!$G$14,$M688,CK$13)="",10^12,OFFSET(PLE!$G$14,$M688,CK$13))))</f>
        <v>0</v>
      </c>
      <c r="CL688" s="216">
        <f ca="1">IF($D688&lt;&gt;"Serviço",0,IF(OR(AND(AUTOEVENTO="Manual",$M688=1),$M688&gt;(ROW(PLE.lastrow)-ROW(PLE.firstrow))),0,IF(OFFSET(PLE!$G$14,$M688,CL$13)="",10^12,OFFSET(PLE!$G$14,$M688,CL$13))))</f>
        <v>0</v>
      </c>
      <c r="CM688" s="216">
        <f ca="1">IF($D688&lt;&gt;"Serviço",0,IF(OR(AND(AUTOEVENTO="Manual",$M688=1),$M688&gt;(ROW(PLE.lastrow)-ROW(PLE.firstrow))),0,IF(OFFSET(PLE!$G$14,$M688,CM$13)="",10^12,OFFSET(PLE!$G$14,$M688,CM$13))))</f>
        <v>0</v>
      </c>
    </row>
    <row r="689" spans="1:91" ht="13.2" x14ac:dyDescent="0.25">
      <c r="A689" s="9">
        <f t="shared" ca="1" si="20"/>
        <v>0</v>
      </c>
      <c r="B689" s="9" t="str">
        <f ca="1">OFFSET(ORÇAMENTO!C$15,ROW(B689)-ROW(B$15),0)</f>
        <v>S</v>
      </c>
      <c r="C689" s="9" t="str">
        <f ca="1">OFFSET(ORÇAMENTO!L$15,ROW(C689)-ROW(C$15),0)</f>
        <v/>
      </c>
      <c r="D689" s="145" t="str">
        <f ca="1">OFFSET(ORÇAMENTO!N$15,ROW(D689)-ROW(D$15),0)</f>
        <v>Serviço</v>
      </c>
      <c r="E689" s="205" t="str">
        <f ca="1">OFFSET(ORÇAMENTO!O$15,ROW(E689)-ROW(E$15),0)</f>
        <v>-</v>
      </c>
      <c r="F689" s="206" t="str">
        <f ca="1">OFFSET(ORÇAMENTO!R$15,ROW(F689)-ROW(F$15),0)</f>
        <v>(abra o arquivo 'Referência 05-2024.xls)</v>
      </c>
      <c r="G689" s="207" t="str">
        <f ca="1">IF($D689&lt;&gt;"Serviço","",OFFSET(ORÇAMENTO!S$15,ROW(G689)-ROW(G$15),0))</f>
        <v>-</v>
      </c>
      <c r="H689" s="151">
        <f ca="1">IF($D689&lt;&gt;"Serviço",0,IF(ACOMPANHAMENTO="BM",ROUND(OFFSET(ORÇAMENTO!AJ$15,ROW(H689)-ROW(H$15),0),15-13*ORÇAMENTO!$AF$7),SUMPRODUCT(($Q$12:$AI$12&lt;&gt;"")*ROUND($Q689:$AI689,15-13*ORÇAMENTO!$AF$7))))</f>
        <v>1</v>
      </c>
      <c r="I689" s="650"/>
      <c r="K689" s="208"/>
      <c r="L689" s="209" t="s">
        <v>257</v>
      </c>
      <c r="M689" s="210">
        <f ca="1">IF($D689&lt;&gt;"Serviço","",IF(AUTOEVENTO="manual",$A689,IF(ISERROR(MATCH($A689,$A$15:OFFSET($A689,-1,0),0)),MAX($M$15:OFFSET(M689,-1,0))+1,INDEX($M$15:OFFSET(M689,-1,0),MATCH($A689,$A$15:OFFSET($A689,-1,0),0)))))</f>
        <v>0</v>
      </c>
      <c r="N689" s="211" t="str">
        <f ca="1">IF($D689&lt;&gt;"Serviço","",IF(AUTOEVENTO="Manual",IF($A689=0,"&lt;-- defina o número do agrupador",OFFSET(EVENTOS!$D$14,$A689,0)),OFFSET($F$15,$A689,0)))</f>
        <v>&lt;-- defina o número do agrupador</v>
      </c>
      <c r="O689" s="212"/>
      <c r="Q689" s="212"/>
      <c r="R689" s="213"/>
      <c r="S689" s="213"/>
      <c r="T689" s="213"/>
      <c r="U689" s="213"/>
      <c r="V689" s="213"/>
      <c r="W689" s="213"/>
      <c r="X689" s="213"/>
      <c r="Y689" s="213"/>
      <c r="Z689" s="214"/>
      <c r="AA689" s="213"/>
      <c r="AB689" s="213"/>
      <c r="AC689" s="213"/>
      <c r="AD689" s="213"/>
      <c r="AE689" s="213"/>
      <c r="AF689" s="213"/>
      <c r="AG689" s="213"/>
      <c r="AH689" s="214"/>
      <c r="AJ689" s="631">
        <f ca="1">IF(AND($D689="Serviço",AJ$12&lt;&gt;0,$H689&gt;0,OR(AUTOEVENTO&lt;&gt;"manual",$M689&lt;&gt;1)),ROUND(OFFSET($P689,0,AJ$13),15-13*ORÇAMENTO!$AF$7)/$H689*OFFSET(ORÇAMENTO!$X$15,ROW(AJ689)-ROW(AJ$15),0),0)</f>
        <v>0</v>
      </c>
      <c r="AK689" s="632">
        <f ca="1">IF(AND($D689="Serviço",AK$12&lt;&gt;0,$H689&gt;0,OR(AUTOEVENTO&lt;&gt;"manual",$M689&lt;&gt;1)),ROUND(OFFSET($P689,0,AK$13),15-13*ORÇAMENTO!$AF$7)/$H689*OFFSET(ORÇAMENTO!$X$15,ROW(AK689)-ROW(AK$15),0),0)</f>
        <v>0</v>
      </c>
      <c r="AL689" s="632">
        <f ca="1">IF(AND($D689="Serviço",AL$12&lt;&gt;0,$H689&gt;0,OR(AUTOEVENTO&lt;&gt;"manual",$M689&lt;&gt;1)),ROUND(OFFSET($P689,0,AL$13),15-13*ORÇAMENTO!$AF$7)/$H689*OFFSET(ORÇAMENTO!$X$15,ROW(AL689)-ROW(AL$15),0),0)</f>
        <v>0</v>
      </c>
      <c r="AM689" s="632">
        <f ca="1">IF(AND($D689="Serviço",AM$12&lt;&gt;0,$H689&gt;0,OR(AUTOEVENTO&lt;&gt;"manual",$M689&lt;&gt;1)),ROUND(OFFSET($P689,0,AM$13),15-13*ORÇAMENTO!$AF$7)/$H689*OFFSET(ORÇAMENTO!$X$15,ROW(AM689)-ROW(AM$15),0),0)</f>
        <v>0</v>
      </c>
      <c r="AN689" s="632">
        <f ca="1">IF(AND($D689="Serviço",AN$12&lt;&gt;0,$H689&gt;0,OR(AUTOEVENTO&lt;&gt;"manual",$M689&lt;&gt;1)),ROUND(OFFSET($P689,0,AN$13),15-13*ORÇAMENTO!$AF$7)/$H689*OFFSET(ORÇAMENTO!$X$15,ROW(AN689)-ROW(AN$15),0),0)</f>
        <v>0</v>
      </c>
      <c r="AO689" s="632">
        <f ca="1">IF(AND($D689="Serviço",AO$12&lt;&gt;0,$H689&gt;0,OR(AUTOEVENTO&lt;&gt;"manual",$M689&lt;&gt;1)),ROUND(OFFSET($P689,0,AO$13),15-13*ORÇAMENTO!$AF$7)/$H689*OFFSET(ORÇAMENTO!$X$15,ROW(AO689)-ROW(AO$15),0),0)</f>
        <v>0</v>
      </c>
      <c r="AP689" s="632">
        <f ca="1">IF(AND($D689="Serviço",AP$12&lt;&gt;0,$H689&gt;0,OR(AUTOEVENTO&lt;&gt;"manual",$M689&lt;&gt;1)),ROUND(OFFSET($P689,0,AP$13),15-13*ORÇAMENTO!$AF$7)/$H689*OFFSET(ORÇAMENTO!$X$15,ROW(AP689)-ROW(AP$15),0),0)</f>
        <v>0</v>
      </c>
      <c r="AQ689" s="632">
        <f ca="1">IF(AND($D689="Serviço",AQ$12&lt;&gt;0,$H689&gt;0,OR(AUTOEVENTO&lt;&gt;"manual",$M689&lt;&gt;1)),ROUND(OFFSET($P689,0,AQ$13),15-13*ORÇAMENTO!$AF$7)/$H689*OFFSET(ORÇAMENTO!$X$15,ROW(AQ689)-ROW(AQ$15),0),0)</f>
        <v>0</v>
      </c>
      <c r="AR689" s="632">
        <f ca="1">IF(AND($D689="Serviço",AR$12&lt;&gt;0,$H689&gt;0,OR(AUTOEVENTO&lt;&gt;"manual",$M689&lt;&gt;1)),ROUND(OFFSET($P689,0,AR$13),15-13*ORÇAMENTO!$AF$7)/$H689*OFFSET(ORÇAMENTO!$X$15,ROW(AR689)-ROW(AR$15),0),0)</f>
        <v>0</v>
      </c>
      <c r="AS689" s="633">
        <f ca="1">IF(AND($D689="Serviço",AS$12&lt;&gt;0,$H689&gt;0,OR(AUTOEVENTO&lt;&gt;"manual",$M689&lt;&gt;1)),ROUND(OFFSET($P689,0,AS$13),15-13*ORÇAMENTO!$AF$7)/$H689*OFFSET(ORÇAMENTO!$X$15,ROW(AS689)-ROW(AS$15),0),0)</f>
        <v>0</v>
      </c>
      <c r="AT689" s="632">
        <f ca="1">IF(AND($D689="Serviço",AT$12&lt;&gt;0,$H689&gt;0,OR(AUTOEVENTO&lt;&gt;"manual",$M689&lt;&gt;1)),ROUND(OFFSET($P689,0,AT$13),15-13*ORÇAMENTO!$AF$7)/$H689*OFFSET(ORÇAMENTO!$X$15,ROW(AT689)-ROW(AT$15),0),0)</f>
        <v>0</v>
      </c>
      <c r="AU689" s="632">
        <f ca="1">IF(AND($D689="Serviço",AU$12&lt;&gt;0,$H689&gt;0,OR(AUTOEVENTO&lt;&gt;"manual",$M689&lt;&gt;1)),ROUND(OFFSET($P689,0,AU$13),15-13*ORÇAMENTO!$AF$7)/$H689*OFFSET(ORÇAMENTO!$X$15,ROW(AU689)-ROW(AU$15),0),0)</f>
        <v>0</v>
      </c>
      <c r="AV689" s="632">
        <f ca="1">IF(AND($D689="Serviço",AV$12&lt;&gt;0,$H689&gt;0,OR(AUTOEVENTO&lt;&gt;"manual",$M689&lt;&gt;1)),ROUND(OFFSET($P689,0,AV$13),15-13*ORÇAMENTO!$AF$7)/$H689*OFFSET(ORÇAMENTO!$X$15,ROW(AV689)-ROW(AV$15),0),0)</f>
        <v>0</v>
      </c>
      <c r="AW689" s="632">
        <f ca="1">IF(AND($D689="Serviço",AW$12&lt;&gt;0,$H689&gt;0,OR(AUTOEVENTO&lt;&gt;"manual",$M689&lt;&gt;1)),ROUND(OFFSET($P689,0,AW$13),15-13*ORÇAMENTO!$AF$7)/$H689*OFFSET(ORÇAMENTO!$X$15,ROW(AW689)-ROW(AW$15),0),0)</f>
        <v>0</v>
      </c>
      <c r="AX689" s="632">
        <f ca="1">IF(AND($D689="Serviço",AX$12&lt;&gt;0,$H689&gt;0,OR(AUTOEVENTO&lt;&gt;"manual",$M689&lt;&gt;1)),ROUND(OFFSET($P689,0,AX$13),15-13*ORÇAMENTO!$AF$7)/$H689*OFFSET(ORÇAMENTO!$X$15,ROW(AX689)-ROW(AX$15),0),0)</f>
        <v>0</v>
      </c>
      <c r="AY689" s="632">
        <f ca="1">IF(AND($D689="Serviço",AY$12&lt;&gt;0,$H689&gt;0,OR(AUTOEVENTO&lt;&gt;"manual",$M689&lt;&gt;1)),ROUND(OFFSET($P689,0,AY$13),15-13*ORÇAMENTO!$AF$7)/$H689*OFFSET(ORÇAMENTO!$X$15,ROW(AY689)-ROW(AY$15),0),0)</f>
        <v>0</v>
      </c>
      <c r="AZ689" s="632">
        <f ca="1">IF(AND($D689="Serviço",AZ$12&lt;&gt;0,$H689&gt;0,OR(AUTOEVENTO&lt;&gt;"manual",$M689&lt;&gt;1)),ROUND(OFFSET($P689,0,AZ$13),15-13*ORÇAMENTO!$AF$7)/$H689*OFFSET(ORÇAMENTO!$X$15,ROW(AZ689)-ROW(AZ$15),0),0)</f>
        <v>0</v>
      </c>
      <c r="BA689" s="633">
        <f ca="1">IF(AND($D689="Serviço",BA$12&lt;&gt;0,$H689&gt;0,OR(AUTOEVENTO&lt;&gt;"manual",$M689&lt;&gt;1)),ROUND(OFFSET($P689,0,BA$13),15-13*ORÇAMENTO!$AF$7)/$H689*OFFSET(ORÇAMENTO!$X$15,ROW(BA689)-ROW(BA$15),0),0)</f>
        <v>0</v>
      </c>
      <c r="BC689" s="215">
        <f ca="1">IF($D689&lt;&gt;"Serviço",0,IF(AND(AUTOEVENTO="Manual",$M689=1),0,IF(OFFSET(CRONOPLE!$F$14,$M689,BC$13)="",10^12,OFFSET(CRONOPLE!$F$14,$M689,BC$13))))</f>
        <v>1000000000000</v>
      </c>
      <c r="BD689" s="215">
        <f ca="1">IF($D689&lt;&gt;"Serviço",0,IF(AND(AUTOEVENTO="Manual",$M689=1),0,IF(OFFSET(CRONOPLE!$F$14,$M689,BD$13)="",10^12,OFFSET(CRONOPLE!$F$14,$M689,BD$13))))</f>
        <v>1000000000000</v>
      </c>
      <c r="BE689" s="215">
        <f ca="1">IF($D689&lt;&gt;"Serviço",0,IF(AND(AUTOEVENTO="Manual",$M689=1),0,IF(OFFSET(CRONOPLE!$F$14,$M689,BE$13)="",10^12,OFFSET(CRONOPLE!$F$14,$M689,BE$13))))</f>
        <v>1000000000000</v>
      </c>
      <c r="BF689" s="215">
        <f ca="1">IF($D689&lt;&gt;"Serviço",0,IF(AND(AUTOEVENTO="Manual",$M689=1),0,IF(OFFSET(CRONOPLE!$F$14,$M689,BF$13)="",10^12,OFFSET(CRONOPLE!$F$14,$M689,BF$13))))</f>
        <v>1000000000000</v>
      </c>
      <c r="BG689" s="215">
        <f ca="1">IF($D689&lt;&gt;"Serviço",0,IF(AND(AUTOEVENTO="Manual",$M689=1),0,IF(OFFSET(CRONOPLE!$F$14,$M689,BG$13)="",10^12,OFFSET(CRONOPLE!$F$14,$M689,BG$13))))</f>
        <v>1000000000000</v>
      </c>
      <c r="BH689" s="215">
        <f ca="1">IF($D689&lt;&gt;"Serviço",0,IF(AND(AUTOEVENTO="Manual",$M689=1),0,IF(OFFSET(CRONOPLE!$F$14,$M689,BH$13)="",10^12,OFFSET(CRONOPLE!$F$14,$M689,BH$13))))</f>
        <v>1000000000000</v>
      </c>
      <c r="BI689" s="215">
        <f ca="1">IF($D689&lt;&gt;"Serviço",0,IF(AND(AUTOEVENTO="Manual",$M689=1),0,IF(OFFSET(CRONOPLE!$F$14,$M689,BI$13)="",10^12,OFFSET(CRONOPLE!$F$14,$M689,BI$13))))</f>
        <v>1000000000000</v>
      </c>
      <c r="BJ689" s="215">
        <f ca="1">IF($D689&lt;&gt;"Serviço",0,IF(AND(AUTOEVENTO="Manual",$M689=1),0,IF(OFFSET(CRONOPLE!$F$14,$M689,BJ$13)="",10^12,OFFSET(CRONOPLE!$F$14,$M689,BJ$13))))</f>
        <v>1000000000000</v>
      </c>
      <c r="BK689" s="215">
        <f ca="1">IF($D689&lt;&gt;"Serviço",0,IF(AND(AUTOEVENTO="Manual",$M689=1),0,IF(OFFSET(CRONOPLE!$F$14,$M689,BK$13)="",10^12,OFFSET(CRONOPLE!$F$14,$M689,BK$13))))</f>
        <v>1000000000000</v>
      </c>
      <c r="BL689" s="215">
        <f ca="1">IF($D689&lt;&gt;"Serviço",0,IF(AND(AUTOEVENTO="Manual",$M689=1),0,IF(OFFSET(CRONOPLE!$F$14,$M689,BL$13)="",10^12,OFFSET(CRONOPLE!$F$14,$M689,BL$13))))</f>
        <v>1000000000000</v>
      </c>
      <c r="BM689" s="215">
        <f ca="1">IF($D689&lt;&gt;"Serviço",0,IF(AND(AUTOEVENTO="Manual",$M689=1),0,IF(OFFSET(CRONOPLE!$F$14,$M689,BM$13)="",10^12,OFFSET(CRONOPLE!$F$14,$M689,BM$13))))</f>
        <v>1000000000000</v>
      </c>
      <c r="BN689" s="215">
        <f ca="1">IF($D689&lt;&gt;"Serviço",0,IF(AND(AUTOEVENTO="Manual",$M689=1),0,IF(OFFSET(CRONOPLE!$F$14,$M689,BN$13)="",10^12,OFFSET(CRONOPLE!$F$14,$M689,BN$13))))</f>
        <v>1000000000000</v>
      </c>
      <c r="BO689" s="215">
        <f ca="1">IF($D689&lt;&gt;"Serviço",0,IF(AND(AUTOEVENTO="Manual",$M689=1),0,IF(OFFSET(CRONOPLE!$F$14,$M689,BO$13)="",10^12,OFFSET(CRONOPLE!$F$14,$M689,BO$13))))</f>
        <v>1000000000000</v>
      </c>
      <c r="BP689" s="215">
        <f ca="1">IF($D689&lt;&gt;"Serviço",0,IF(AND(AUTOEVENTO="Manual",$M689=1),0,IF(OFFSET(CRONOPLE!$F$14,$M689,BP$13)="",10^12,OFFSET(CRONOPLE!$F$14,$M689,BP$13))))</f>
        <v>1000000000000</v>
      </c>
      <c r="BQ689" s="215">
        <f ca="1">IF($D689&lt;&gt;"Serviço",0,IF(AND(AUTOEVENTO="Manual",$M689=1),0,IF(OFFSET(CRONOPLE!$F$14,$M689,BQ$13)="",10^12,OFFSET(CRONOPLE!$F$14,$M689,BQ$13))))</f>
        <v>1000000000000</v>
      </c>
      <c r="BR689" s="215">
        <f ca="1">IF($D689&lt;&gt;"Serviço",0,IF(AND(AUTOEVENTO="Manual",$M689=1),0,IF(OFFSET(CRONOPLE!$F$14,$M689,BR$13)="",10^12,OFFSET(CRONOPLE!$F$14,$M689,BR$13))))</f>
        <v>1000000000000</v>
      </c>
      <c r="BS689" s="215">
        <f ca="1">IF($D689&lt;&gt;"Serviço",0,IF(AND(AUTOEVENTO="Manual",$M689=1),0,IF(OFFSET(CRONOPLE!$F$14,$M689,BS$13)="",10^12,OFFSET(CRONOPLE!$F$14,$M689,BS$13))))</f>
        <v>1000000000000</v>
      </c>
      <c r="BT689" s="215">
        <f ca="1">IF($D689&lt;&gt;"Serviço",0,IF(AND(AUTOEVENTO="Manual",$M689=1),0,IF(OFFSET(CRONOPLE!$F$14,$M689,BT$13)="",10^12,OFFSET(CRONOPLE!$F$14,$M689,BT$13))))</f>
        <v>1000000000000</v>
      </c>
      <c r="BV689" s="216">
        <f ca="1">IF($D689&lt;&gt;"Serviço",0,IF(OR(AND(AUTOEVENTO="Manual",$M689=1),$M689&gt;(ROW(PLE.lastrow)-ROW(PLE.firstrow))),0,IF(OFFSET(PLE!$G$14,$M689,BV$13)="",10^12,OFFSET(PLE!$G$14,$M689,BV$13))))</f>
        <v>1000000000000</v>
      </c>
      <c r="BW689" s="216">
        <f ca="1">IF($D689&lt;&gt;"Serviço",0,IF(OR(AND(AUTOEVENTO="Manual",$M689=1),$M689&gt;(ROW(PLE.lastrow)-ROW(PLE.firstrow))),0,IF(OFFSET(PLE!$G$14,$M689,BW$13)="",10^12,OFFSET(PLE!$G$14,$M689,BW$13))))</f>
        <v>1000000000000</v>
      </c>
      <c r="BX689" s="216">
        <f ca="1">IF($D689&lt;&gt;"Serviço",0,IF(OR(AND(AUTOEVENTO="Manual",$M689=1),$M689&gt;(ROW(PLE.lastrow)-ROW(PLE.firstrow))),0,IF(OFFSET(PLE!$G$14,$M689,BX$13)="",10^12,OFFSET(PLE!$G$14,$M689,BX$13))))</f>
        <v>1000000000000</v>
      </c>
      <c r="BY689" s="216">
        <f ca="1">IF($D689&lt;&gt;"Serviço",0,IF(OR(AND(AUTOEVENTO="Manual",$M689=1),$M689&gt;(ROW(PLE.lastrow)-ROW(PLE.firstrow))),0,IF(OFFSET(PLE!$G$14,$M689,BY$13)="",10^12,OFFSET(PLE!$G$14,$M689,BY$13))))</f>
        <v>1000000000000</v>
      </c>
      <c r="BZ689" s="216">
        <f ca="1">IF($D689&lt;&gt;"Serviço",0,IF(OR(AND(AUTOEVENTO="Manual",$M689=1),$M689&gt;(ROW(PLE.lastrow)-ROW(PLE.firstrow))),0,IF(OFFSET(PLE!$G$14,$M689,BZ$13)="",10^12,OFFSET(PLE!$G$14,$M689,BZ$13))))</f>
        <v>1000000000000</v>
      </c>
      <c r="CA689" s="216">
        <f ca="1">IF($D689&lt;&gt;"Serviço",0,IF(OR(AND(AUTOEVENTO="Manual",$M689=1),$M689&gt;(ROW(PLE.lastrow)-ROW(PLE.firstrow))),0,IF(OFFSET(PLE!$G$14,$M689,CA$13)="",10^12,OFFSET(PLE!$G$14,$M689,CA$13))))</f>
        <v>1000000000000</v>
      </c>
      <c r="CB689" s="216">
        <f ca="1">IF($D689&lt;&gt;"Serviço",0,IF(OR(AND(AUTOEVENTO="Manual",$M689=1),$M689&gt;(ROW(PLE.lastrow)-ROW(PLE.firstrow))),0,IF(OFFSET(PLE!$G$14,$M689,CB$13)="",10^12,OFFSET(PLE!$G$14,$M689,CB$13))))</f>
        <v>1000000000000</v>
      </c>
      <c r="CC689" s="216">
        <f ca="1">IF($D689&lt;&gt;"Serviço",0,IF(OR(AND(AUTOEVENTO="Manual",$M689=1),$M689&gt;(ROW(PLE.lastrow)-ROW(PLE.firstrow))),0,IF(OFFSET(PLE!$G$14,$M689,CC$13)="",10^12,OFFSET(PLE!$G$14,$M689,CC$13))))</f>
        <v>1000000000000</v>
      </c>
      <c r="CD689" s="216">
        <f ca="1">IF($D689&lt;&gt;"Serviço",0,IF(OR(AND(AUTOEVENTO="Manual",$M689=1),$M689&gt;(ROW(PLE.lastrow)-ROW(PLE.firstrow))),0,IF(OFFSET(PLE!$G$14,$M689,CD$13)="",10^12,OFFSET(PLE!$G$14,$M689,CD$13))))</f>
        <v>1000000000000</v>
      </c>
      <c r="CE689" s="216">
        <f ca="1">IF($D689&lt;&gt;"Serviço",0,IF(OR(AND(AUTOEVENTO="Manual",$M689=1),$M689&gt;(ROW(PLE.lastrow)-ROW(PLE.firstrow))),0,IF(OFFSET(PLE!$G$14,$M689,CE$13)="",10^12,OFFSET(PLE!$G$14,$M689,CE$13))))</f>
        <v>1000000000000</v>
      </c>
      <c r="CF689" s="216">
        <f ca="1">IF($D689&lt;&gt;"Serviço",0,IF(OR(AND(AUTOEVENTO="Manual",$M689=1),$M689&gt;(ROW(PLE.lastrow)-ROW(PLE.firstrow))),0,IF(OFFSET(PLE!$G$14,$M689,CF$13)="",10^12,OFFSET(PLE!$G$14,$M689,CF$13))))</f>
        <v>1000000000000</v>
      </c>
      <c r="CG689" s="216">
        <f ca="1">IF($D689&lt;&gt;"Serviço",0,IF(OR(AND(AUTOEVENTO="Manual",$M689=1),$M689&gt;(ROW(PLE.lastrow)-ROW(PLE.firstrow))),0,IF(OFFSET(PLE!$G$14,$M689,CG$13)="",10^12,OFFSET(PLE!$G$14,$M689,CG$13))))</f>
        <v>1000000000000</v>
      </c>
      <c r="CH689" s="216">
        <f ca="1">IF($D689&lt;&gt;"Serviço",0,IF(OR(AND(AUTOEVENTO="Manual",$M689=1),$M689&gt;(ROW(PLE.lastrow)-ROW(PLE.firstrow))),0,IF(OFFSET(PLE!$G$14,$M689,CH$13)="",10^12,OFFSET(PLE!$G$14,$M689,CH$13))))</f>
        <v>1000000000000</v>
      </c>
      <c r="CI689" s="216">
        <f ca="1">IF($D689&lt;&gt;"Serviço",0,IF(OR(AND(AUTOEVENTO="Manual",$M689=1),$M689&gt;(ROW(PLE.lastrow)-ROW(PLE.firstrow))),0,IF(OFFSET(PLE!$G$14,$M689,CI$13)="",10^12,OFFSET(PLE!$G$14,$M689,CI$13))))</f>
        <v>1000000000000</v>
      </c>
      <c r="CJ689" s="216">
        <f ca="1">IF($D689&lt;&gt;"Serviço",0,IF(OR(AND(AUTOEVENTO="Manual",$M689=1),$M689&gt;(ROW(PLE.lastrow)-ROW(PLE.firstrow))),0,IF(OFFSET(PLE!$G$14,$M689,CJ$13)="",10^12,OFFSET(PLE!$G$14,$M689,CJ$13))))</f>
        <v>1000000000000</v>
      </c>
      <c r="CK689" s="216">
        <f ca="1">IF($D689&lt;&gt;"Serviço",0,IF(OR(AND(AUTOEVENTO="Manual",$M689=1),$M689&gt;(ROW(PLE.lastrow)-ROW(PLE.firstrow))),0,IF(OFFSET(PLE!$G$14,$M689,CK$13)="",10^12,OFFSET(PLE!$G$14,$M689,CK$13))))</f>
        <v>1000000000000</v>
      </c>
      <c r="CL689" s="216">
        <f ca="1">IF($D689&lt;&gt;"Serviço",0,IF(OR(AND(AUTOEVENTO="Manual",$M689=1),$M689&gt;(ROW(PLE.lastrow)-ROW(PLE.firstrow))),0,IF(OFFSET(PLE!$G$14,$M689,CL$13)="",10^12,OFFSET(PLE!$G$14,$M689,CL$13))))</f>
        <v>1000000000000</v>
      </c>
      <c r="CM689" s="216">
        <f ca="1">IF($D689&lt;&gt;"Serviço",0,IF(OR(AND(AUTOEVENTO="Manual",$M689=1),$M689&gt;(ROW(PLE.lastrow)-ROW(PLE.firstrow))),0,IF(OFFSET(PLE!$G$14,$M689,CM$13)="",10^12,OFFSET(PLE!$G$14,$M689,CM$13))))</f>
        <v>1000000000000</v>
      </c>
    </row>
    <row r="690" spans="1:91" ht="13.2" x14ac:dyDescent="0.25">
      <c r="A690" s="9">
        <f t="shared" ca="1" si="20"/>
        <v>0</v>
      </c>
      <c r="B690" s="9" t="str">
        <f ca="1">OFFSET(ORÇAMENTO!C$15,ROW(B690)-ROW(B$15),0)</f>
        <v>S</v>
      </c>
      <c r="C690" s="9" t="str">
        <f ca="1">OFFSET(ORÇAMENTO!L$15,ROW(C690)-ROW(C$15),0)</f>
        <v/>
      </c>
      <c r="D690" s="145" t="str">
        <f ca="1">OFFSET(ORÇAMENTO!N$15,ROW(D690)-ROW(D$15),0)</f>
        <v>Serviço</v>
      </c>
      <c r="E690" s="205" t="str">
        <f ca="1">OFFSET(ORÇAMENTO!O$15,ROW(E690)-ROW(E$15),0)</f>
        <v>-</v>
      </c>
      <c r="F690" s="206" t="str">
        <f ca="1">OFFSET(ORÇAMENTO!R$15,ROW(F690)-ROW(F$15),0)</f>
        <v>(abra o arquivo 'Referência 05-2024.xls)</v>
      </c>
      <c r="G690" s="207" t="str">
        <f ca="1">IF($D690&lt;&gt;"Serviço","",OFFSET(ORÇAMENTO!S$15,ROW(G690)-ROW(G$15),0))</f>
        <v>-</v>
      </c>
      <c r="H690" s="151">
        <f ca="1">IF($D690&lt;&gt;"Serviço",0,IF(ACOMPANHAMENTO="BM",ROUND(OFFSET(ORÇAMENTO!AJ$15,ROW(H690)-ROW(H$15),0),15-13*ORÇAMENTO!$AF$7),SUMPRODUCT(($Q$12:$AI$12&lt;&gt;"")*ROUND($Q690:$AI690,15-13*ORÇAMENTO!$AF$7))))</f>
        <v>61.78</v>
      </c>
      <c r="I690" s="650"/>
      <c r="K690" s="208"/>
      <c r="L690" s="209" t="s">
        <v>257</v>
      </c>
      <c r="M690" s="210">
        <f ca="1">IF($D690&lt;&gt;"Serviço","",IF(AUTOEVENTO="manual",$A690,IF(ISERROR(MATCH($A690,$A$15:OFFSET($A690,-1,0),0)),MAX($M$15:OFFSET(M690,-1,0))+1,INDEX($M$15:OFFSET(M690,-1,0),MATCH($A690,$A$15:OFFSET($A690,-1,0),0)))))</f>
        <v>0</v>
      </c>
      <c r="N690" s="211" t="str">
        <f ca="1">IF($D690&lt;&gt;"Serviço","",IF(AUTOEVENTO="Manual",IF($A690=0,"&lt;-- defina o número do agrupador",OFFSET(EVENTOS!$D$14,$A690,0)),OFFSET($F$15,$A690,0)))</f>
        <v>&lt;-- defina o número do agrupador</v>
      </c>
      <c r="O690" s="212"/>
      <c r="Q690" s="212"/>
      <c r="R690" s="213"/>
      <c r="S690" s="213"/>
      <c r="T690" s="213"/>
      <c r="U690" s="213"/>
      <c r="V690" s="213"/>
      <c r="W690" s="213"/>
      <c r="X690" s="213"/>
      <c r="Y690" s="213"/>
      <c r="Z690" s="214"/>
      <c r="AA690" s="213"/>
      <c r="AB690" s="213"/>
      <c r="AC690" s="213"/>
      <c r="AD690" s="213"/>
      <c r="AE690" s="213"/>
      <c r="AF690" s="213"/>
      <c r="AG690" s="213"/>
      <c r="AH690" s="214"/>
      <c r="AJ690" s="631">
        <f ca="1">IF(AND($D690="Serviço",AJ$12&lt;&gt;0,$H690&gt;0,OR(AUTOEVENTO&lt;&gt;"manual",$M690&lt;&gt;1)),ROUND(OFFSET($P690,0,AJ$13),15-13*ORÇAMENTO!$AF$7)/$H690*OFFSET(ORÇAMENTO!$X$15,ROW(AJ690)-ROW(AJ$15),0),0)</f>
        <v>0</v>
      </c>
      <c r="AK690" s="632">
        <f ca="1">IF(AND($D690="Serviço",AK$12&lt;&gt;0,$H690&gt;0,OR(AUTOEVENTO&lt;&gt;"manual",$M690&lt;&gt;1)),ROUND(OFFSET($P690,0,AK$13),15-13*ORÇAMENTO!$AF$7)/$H690*OFFSET(ORÇAMENTO!$X$15,ROW(AK690)-ROW(AK$15),0),0)</f>
        <v>0</v>
      </c>
      <c r="AL690" s="632">
        <f ca="1">IF(AND($D690="Serviço",AL$12&lt;&gt;0,$H690&gt;0,OR(AUTOEVENTO&lt;&gt;"manual",$M690&lt;&gt;1)),ROUND(OFFSET($P690,0,AL$13),15-13*ORÇAMENTO!$AF$7)/$H690*OFFSET(ORÇAMENTO!$X$15,ROW(AL690)-ROW(AL$15),0),0)</f>
        <v>0</v>
      </c>
      <c r="AM690" s="632">
        <f ca="1">IF(AND($D690="Serviço",AM$12&lt;&gt;0,$H690&gt;0,OR(AUTOEVENTO&lt;&gt;"manual",$M690&lt;&gt;1)),ROUND(OFFSET($P690,0,AM$13),15-13*ORÇAMENTO!$AF$7)/$H690*OFFSET(ORÇAMENTO!$X$15,ROW(AM690)-ROW(AM$15),0),0)</f>
        <v>0</v>
      </c>
      <c r="AN690" s="632">
        <f ca="1">IF(AND($D690="Serviço",AN$12&lt;&gt;0,$H690&gt;0,OR(AUTOEVENTO&lt;&gt;"manual",$M690&lt;&gt;1)),ROUND(OFFSET($P690,0,AN$13),15-13*ORÇAMENTO!$AF$7)/$H690*OFFSET(ORÇAMENTO!$X$15,ROW(AN690)-ROW(AN$15),0),0)</f>
        <v>0</v>
      </c>
      <c r="AO690" s="632">
        <f ca="1">IF(AND($D690="Serviço",AO$12&lt;&gt;0,$H690&gt;0,OR(AUTOEVENTO&lt;&gt;"manual",$M690&lt;&gt;1)),ROUND(OFFSET($P690,0,AO$13),15-13*ORÇAMENTO!$AF$7)/$H690*OFFSET(ORÇAMENTO!$X$15,ROW(AO690)-ROW(AO$15),0),0)</f>
        <v>0</v>
      </c>
      <c r="AP690" s="632">
        <f ca="1">IF(AND($D690="Serviço",AP$12&lt;&gt;0,$H690&gt;0,OR(AUTOEVENTO&lt;&gt;"manual",$M690&lt;&gt;1)),ROUND(OFFSET($P690,0,AP$13),15-13*ORÇAMENTO!$AF$7)/$H690*OFFSET(ORÇAMENTO!$X$15,ROW(AP690)-ROW(AP$15),0),0)</f>
        <v>0</v>
      </c>
      <c r="AQ690" s="632">
        <f ca="1">IF(AND($D690="Serviço",AQ$12&lt;&gt;0,$H690&gt;0,OR(AUTOEVENTO&lt;&gt;"manual",$M690&lt;&gt;1)),ROUND(OFFSET($P690,0,AQ$13),15-13*ORÇAMENTO!$AF$7)/$H690*OFFSET(ORÇAMENTO!$X$15,ROW(AQ690)-ROW(AQ$15),0),0)</f>
        <v>0</v>
      </c>
      <c r="AR690" s="632">
        <f ca="1">IF(AND($D690="Serviço",AR$12&lt;&gt;0,$H690&gt;0,OR(AUTOEVENTO&lt;&gt;"manual",$M690&lt;&gt;1)),ROUND(OFFSET($P690,0,AR$13),15-13*ORÇAMENTO!$AF$7)/$H690*OFFSET(ORÇAMENTO!$X$15,ROW(AR690)-ROW(AR$15),0),0)</f>
        <v>0</v>
      </c>
      <c r="AS690" s="633">
        <f ca="1">IF(AND($D690="Serviço",AS$12&lt;&gt;0,$H690&gt;0,OR(AUTOEVENTO&lt;&gt;"manual",$M690&lt;&gt;1)),ROUND(OFFSET($P690,0,AS$13),15-13*ORÇAMENTO!$AF$7)/$H690*OFFSET(ORÇAMENTO!$X$15,ROW(AS690)-ROW(AS$15),0),0)</f>
        <v>0</v>
      </c>
      <c r="AT690" s="632">
        <f ca="1">IF(AND($D690="Serviço",AT$12&lt;&gt;0,$H690&gt;0,OR(AUTOEVENTO&lt;&gt;"manual",$M690&lt;&gt;1)),ROUND(OFFSET($P690,0,AT$13),15-13*ORÇAMENTO!$AF$7)/$H690*OFFSET(ORÇAMENTO!$X$15,ROW(AT690)-ROW(AT$15),0),0)</f>
        <v>0</v>
      </c>
      <c r="AU690" s="632">
        <f ca="1">IF(AND($D690="Serviço",AU$12&lt;&gt;0,$H690&gt;0,OR(AUTOEVENTO&lt;&gt;"manual",$M690&lt;&gt;1)),ROUND(OFFSET($P690,0,AU$13),15-13*ORÇAMENTO!$AF$7)/$H690*OFFSET(ORÇAMENTO!$X$15,ROW(AU690)-ROW(AU$15),0),0)</f>
        <v>0</v>
      </c>
      <c r="AV690" s="632">
        <f ca="1">IF(AND($D690="Serviço",AV$12&lt;&gt;0,$H690&gt;0,OR(AUTOEVENTO&lt;&gt;"manual",$M690&lt;&gt;1)),ROUND(OFFSET($P690,0,AV$13),15-13*ORÇAMENTO!$AF$7)/$H690*OFFSET(ORÇAMENTO!$X$15,ROW(AV690)-ROW(AV$15),0),0)</f>
        <v>0</v>
      </c>
      <c r="AW690" s="632">
        <f ca="1">IF(AND($D690="Serviço",AW$12&lt;&gt;0,$H690&gt;0,OR(AUTOEVENTO&lt;&gt;"manual",$M690&lt;&gt;1)),ROUND(OFFSET($P690,0,AW$13),15-13*ORÇAMENTO!$AF$7)/$H690*OFFSET(ORÇAMENTO!$X$15,ROW(AW690)-ROW(AW$15),0),0)</f>
        <v>0</v>
      </c>
      <c r="AX690" s="632">
        <f ca="1">IF(AND($D690="Serviço",AX$12&lt;&gt;0,$H690&gt;0,OR(AUTOEVENTO&lt;&gt;"manual",$M690&lt;&gt;1)),ROUND(OFFSET($P690,0,AX$13),15-13*ORÇAMENTO!$AF$7)/$H690*OFFSET(ORÇAMENTO!$X$15,ROW(AX690)-ROW(AX$15),0),0)</f>
        <v>0</v>
      </c>
      <c r="AY690" s="632">
        <f ca="1">IF(AND($D690="Serviço",AY$12&lt;&gt;0,$H690&gt;0,OR(AUTOEVENTO&lt;&gt;"manual",$M690&lt;&gt;1)),ROUND(OFFSET($P690,0,AY$13),15-13*ORÇAMENTO!$AF$7)/$H690*OFFSET(ORÇAMENTO!$X$15,ROW(AY690)-ROW(AY$15),0),0)</f>
        <v>0</v>
      </c>
      <c r="AZ690" s="632">
        <f ca="1">IF(AND($D690="Serviço",AZ$12&lt;&gt;0,$H690&gt;0,OR(AUTOEVENTO&lt;&gt;"manual",$M690&lt;&gt;1)),ROUND(OFFSET($P690,0,AZ$13),15-13*ORÇAMENTO!$AF$7)/$H690*OFFSET(ORÇAMENTO!$X$15,ROW(AZ690)-ROW(AZ$15),0),0)</f>
        <v>0</v>
      </c>
      <c r="BA690" s="633">
        <f ca="1">IF(AND($D690="Serviço",BA$12&lt;&gt;0,$H690&gt;0,OR(AUTOEVENTO&lt;&gt;"manual",$M690&lt;&gt;1)),ROUND(OFFSET($P690,0,BA$13),15-13*ORÇAMENTO!$AF$7)/$H690*OFFSET(ORÇAMENTO!$X$15,ROW(BA690)-ROW(BA$15),0),0)</f>
        <v>0</v>
      </c>
      <c r="BC690" s="215">
        <f ca="1">IF($D690&lt;&gt;"Serviço",0,IF(AND(AUTOEVENTO="Manual",$M690=1),0,IF(OFFSET(CRONOPLE!$F$14,$M690,BC$13)="",10^12,OFFSET(CRONOPLE!$F$14,$M690,BC$13))))</f>
        <v>1000000000000</v>
      </c>
      <c r="BD690" s="215">
        <f ca="1">IF($D690&lt;&gt;"Serviço",0,IF(AND(AUTOEVENTO="Manual",$M690=1),0,IF(OFFSET(CRONOPLE!$F$14,$M690,BD$13)="",10^12,OFFSET(CRONOPLE!$F$14,$M690,BD$13))))</f>
        <v>1000000000000</v>
      </c>
      <c r="BE690" s="215">
        <f ca="1">IF($D690&lt;&gt;"Serviço",0,IF(AND(AUTOEVENTO="Manual",$M690=1),0,IF(OFFSET(CRONOPLE!$F$14,$M690,BE$13)="",10^12,OFFSET(CRONOPLE!$F$14,$M690,BE$13))))</f>
        <v>1000000000000</v>
      </c>
      <c r="BF690" s="215">
        <f ca="1">IF($D690&lt;&gt;"Serviço",0,IF(AND(AUTOEVENTO="Manual",$M690=1),0,IF(OFFSET(CRONOPLE!$F$14,$M690,BF$13)="",10^12,OFFSET(CRONOPLE!$F$14,$M690,BF$13))))</f>
        <v>1000000000000</v>
      </c>
      <c r="BG690" s="215">
        <f ca="1">IF($D690&lt;&gt;"Serviço",0,IF(AND(AUTOEVENTO="Manual",$M690=1),0,IF(OFFSET(CRONOPLE!$F$14,$M690,BG$13)="",10^12,OFFSET(CRONOPLE!$F$14,$M690,BG$13))))</f>
        <v>1000000000000</v>
      </c>
      <c r="BH690" s="215">
        <f ca="1">IF($D690&lt;&gt;"Serviço",0,IF(AND(AUTOEVENTO="Manual",$M690=1),0,IF(OFFSET(CRONOPLE!$F$14,$M690,BH$13)="",10^12,OFFSET(CRONOPLE!$F$14,$M690,BH$13))))</f>
        <v>1000000000000</v>
      </c>
      <c r="BI690" s="215">
        <f ca="1">IF($D690&lt;&gt;"Serviço",0,IF(AND(AUTOEVENTO="Manual",$M690=1),0,IF(OFFSET(CRONOPLE!$F$14,$M690,BI$13)="",10^12,OFFSET(CRONOPLE!$F$14,$M690,BI$13))))</f>
        <v>1000000000000</v>
      </c>
      <c r="BJ690" s="215">
        <f ca="1">IF($D690&lt;&gt;"Serviço",0,IF(AND(AUTOEVENTO="Manual",$M690=1),0,IF(OFFSET(CRONOPLE!$F$14,$M690,BJ$13)="",10^12,OFFSET(CRONOPLE!$F$14,$M690,BJ$13))))</f>
        <v>1000000000000</v>
      </c>
      <c r="BK690" s="215">
        <f ca="1">IF($D690&lt;&gt;"Serviço",0,IF(AND(AUTOEVENTO="Manual",$M690=1),0,IF(OFFSET(CRONOPLE!$F$14,$M690,BK$13)="",10^12,OFFSET(CRONOPLE!$F$14,$M690,BK$13))))</f>
        <v>1000000000000</v>
      </c>
      <c r="BL690" s="215">
        <f ca="1">IF($D690&lt;&gt;"Serviço",0,IF(AND(AUTOEVENTO="Manual",$M690=1),0,IF(OFFSET(CRONOPLE!$F$14,$M690,BL$13)="",10^12,OFFSET(CRONOPLE!$F$14,$M690,BL$13))))</f>
        <v>1000000000000</v>
      </c>
      <c r="BM690" s="215">
        <f ca="1">IF($D690&lt;&gt;"Serviço",0,IF(AND(AUTOEVENTO="Manual",$M690=1),0,IF(OFFSET(CRONOPLE!$F$14,$M690,BM$13)="",10^12,OFFSET(CRONOPLE!$F$14,$M690,BM$13))))</f>
        <v>1000000000000</v>
      </c>
      <c r="BN690" s="215">
        <f ca="1">IF($D690&lt;&gt;"Serviço",0,IF(AND(AUTOEVENTO="Manual",$M690=1),0,IF(OFFSET(CRONOPLE!$F$14,$M690,BN$13)="",10^12,OFFSET(CRONOPLE!$F$14,$M690,BN$13))))</f>
        <v>1000000000000</v>
      </c>
      <c r="BO690" s="215">
        <f ca="1">IF($D690&lt;&gt;"Serviço",0,IF(AND(AUTOEVENTO="Manual",$M690=1),0,IF(OFFSET(CRONOPLE!$F$14,$M690,BO$13)="",10^12,OFFSET(CRONOPLE!$F$14,$M690,BO$13))))</f>
        <v>1000000000000</v>
      </c>
      <c r="BP690" s="215">
        <f ca="1">IF($D690&lt;&gt;"Serviço",0,IF(AND(AUTOEVENTO="Manual",$M690=1),0,IF(OFFSET(CRONOPLE!$F$14,$M690,BP$13)="",10^12,OFFSET(CRONOPLE!$F$14,$M690,BP$13))))</f>
        <v>1000000000000</v>
      </c>
      <c r="BQ690" s="215">
        <f ca="1">IF($D690&lt;&gt;"Serviço",0,IF(AND(AUTOEVENTO="Manual",$M690=1),0,IF(OFFSET(CRONOPLE!$F$14,$M690,BQ$13)="",10^12,OFFSET(CRONOPLE!$F$14,$M690,BQ$13))))</f>
        <v>1000000000000</v>
      </c>
      <c r="BR690" s="215">
        <f ca="1">IF($D690&lt;&gt;"Serviço",0,IF(AND(AUTOEVENTO="Manual",$M690=1),0,IF(OFFSET(CRONOPLE!$F$14,$M690,BR$13)="",10^12,OFFSET(CRONOPLE!$F$14,$M690,BR$13))))</f>
        <v>1000000000000</v>
      </c>
      <c r="BS690" s="215">
        <f ca="1">IF($D690&lt;&gt;"Serviço",0,IF(AND(AUTOEVENTO="Manual",$M690=1),0,IF(OFFSET(CRONOPLE!$F$14,$M690,BS$13)="",10^12,OFFSET(CRONOPLE!$F$14,$M690,BS$13))))</f>
        <v>1000000000000</v>
      </c>
      <c r="BT690" s="215">
        <f ca="1">IF($D690&lt;&gt;"Serviço",0,IF(AND(AUTOEVENTO="Manual",$M690=1),0,IF(OFFSET(CRONOPLE!$F$14,$M690,BT$13)="",10^12,OFFSET(CRONOPLE!$F$14,$M690,BT$13))))</f>
        <v>1000000000000</v>
      </c>
      <c r="BV690" s="216">
        <f ca="1">IF($D690&lt;&gt;"Serviço",0,IF(OR(AND(AUTOEVENTO="Manual",$M690=1),$M690&gt;(ROW(PLE.lastrow)-ROW(PLE.firstrow))),0,IF(OFFSET(PLE!$G$14,$M690,BV$13)="",10^12,OFFSET(PLE!$G$14,$M690,BV$13))))</f>
        <v>1000000000000</v>
      </c>
      <c r="BW690" s="216">
        <f ca="1">IF($D690&lt;&gt;"Serviço",0,IF(OR(AND(AUTOEVENTO="Manual",$M690=1),$M690&gt;(ROW(PLE.lastrow)-ROW(PLE.firstrow))),0,IF(OFFSET(PLE!$G$14,$M690,BW$13)="",10^12,OFFSET(PLE!$G$14,$M690,BW$13))))</f>
        <v>1000000000000</v>
      </c>
      <c r="BX690" s="216">
        <f ca="1">IF($D690&lt;&gt;"Serviço",0,IF(OR(AND(AUTOEVENTO="Manual",$M690=1),$M690&gt;(ROW(PLE.lastrow)-ROW(PLE.firstrow))),0,IF(OFFSET(PLE!$G$14,$M690,BX$13)="",10^12,OFFSET(PLE!$G$14,$M690,BX$13))))</f>
        <v>1000000000000</v>
      </c>
      <c r="BY690" s="216">
        <f ca="1">IF($D690&lt;&gt;"Serviço",0,IF(OR(AND(AUTOEVENTO="Manual",$M690=1),$M690&gt;(ROW(PLE.lastrow)-ROW(PLE.firstrow))),0,IF(OFFSET(PLE!$G$14,$M690,BY$13)="",10^12,OFFSET(PLE!$G$14,$M690,BY$13))))</f>
        <v>1000000000000</v>
      </c>
      <c r="BZ690" s="216">
        <f ca="1">IF($D690&lt;&gt;"Serviço",0,IF(OR(AND(AUTOEVENTO="Manual",$M690=1),$M690&gt;(ROW(PLE.lastrow)-ROW(PLE.firstrow))),0,IF(OFFSET(PLE!$G$14,$M690,BZ$13)="",10^12,OFFSET(PLE!$G$14,$M690,BZ$13))))</f>
        <v>1000000000000</v>
      </c>
      <c r="CA690" s="216">
        <f ca="1">IF($D690&lt;&gt;"Serviço",0,IF(OR(AND(AUTOEVENTO="Manual",$M690=1),$M690&gt;(ROW(PLE.lastrow)-ROW(PLE.firstrow))),0,IF(OFFSET(PLE!$G$14,$M690,CA$13)="",10^12,OFFSET(PLE!$G$14,$M690,CA$13))))</f>
        <v>1000000000000</v>
      </c>
      <c r="CB690" s="216">
        <f ca="1">IF($D690&lt;&gt;"Serviço",0,IF(OR(AND(AUTOEVENTO="Manual",$M690=1),$M690&gt;(ROW(PLE.lastrow)-ROW(PLE.firstrow))),0,IF(OFFSET(PLE!$G$14,$M690,CB$13)="",10^12,OFFSET(PLE!$G$14,$M690,CB$13))))</f>
        <v>1000000000000</v>
      </c>
      <c r="CC690" s="216">
        <f ca="1">IF($D690&lt;&gt;"Serviço",0,IF(OR(AND(AUTOEVENTO="Manual",$M690=1),$M690&gt;(ROW(PLE.lastrow)-ROW(PLE.firstrow))),0,IF(OFFSET(PLE!$G$14,$M690,CC$13)="",10^12,OFFSET(PLE!$G$14,$M690,CC$13))))</f>
        <v>1000000000000</v>
      </c>
      <c r="CD690" s="216">
        <f ca="1">IF($D690&lt;&gt;"Serviço",0,IF(OR(AND(AUTOEVENTO="Manual",$M690=1),$M690&gt;(ROW(PLE.lastrow)-ROW(PLE.firstrow))),0,IF(OFFSET(PLE!$G$14,$M690,CD$13)="",10^12,OFFSET(PLE!$G$14,$M690,CD$13))))</f>
        <v>1000000000000</v>
      </c>
      <c r="CE690" s="216">
        <f ca="1">IF($D690&lt;&gt;"Serviço",0,IF(OR(AND(AUTOEVENTO="Manual",$M690=1),$M690&gt;(ROW(PLE.lastrow)-ROW(PLE.firstrow))),0,IF(OFFSET(PLE!$G$14,$M690,CE$13)="",10^12,OFFSET(PLE!$G$14,$M690,CE$13))))</f>
        <v>1000000000000</v>
      </c>
      <c r="CF690" s="216">
        <f ca="1">IF($D690&lt;&gt;"Serviço",0,IF(OR(AND(AUTOEVENTO="Manual",$M690=1),$M690&gt;(ROW(PLE.lastrow)-ROW(PLE.firstrow))),0,IF(OFFSET(PLE!$G$14,$M690,CF$13)="",10^12,OFFSET(PLE!$G$14,$M690,CF$13))))</f>
        <v>1000000000000</v>
      </c>
      <c r="CG690" s="216">
        <f ca="1">IF($D690&lt;&gt;"Serviço",0,IF(OR(AND(AUTOEVENTO="Manual",$M690=1),$M690&gt;(ROW(PLE.lastrow)-ROW(PLE.firstrow))),0,IF(OFFSET(PLE!$G$14,$M690,CG$13)="",10^12,OFFSET(PLE!$G$14,$M690,CG$13))))</f>
        <v>1000000000000</v>
      </c>
      <c r="CH690" s="216">
        <f ca="1">IF($D690&lt;&gt;"Serviço",0,IF(OR(AND(AUTOEVENTO="Manual",$M690=1),$M690&gt;(ROW(PLE.lastrow)-ROW(PLE.firstrow))),0,IF(OFFSET(PLE!$G$14,$M690,CH$13)="",10^12,OFFSET(PLE!$G$14,$M690,CH$13))))</f>
        <v>1000000000000</v>
      </c>
      <c r="CI690" s="216">
        <f ca="1">IF($D690&lt;&gt;"Serviço",0,IF(OR(AND(AUTOEVENTO="Manual",$M690=1),$M690&gt;(ROW(PLE.lastrow)-ROW(PLE.firstrow))),0,IF(OFFSET(PLE!$G$14,$M690,CI$13)="",10^12,OFFSET(PLE!$G$14,$M690,CI$13))))</f>
        <v>1000000000000</v>
      </c>
      <c r="CJ690" s="216">
        <f ca="1">IF($D690&lt;&gt;"Serviço",0,IF(OR(AND(AUTOEVENTO="Manual",$M690=1),$M690&gt;(ROW(PLE.lastrow)-ROW(PLE.firstrow))),0,IF(OFFSET(PLE!$G$14,$M690,CJ$13)="",10^12,OFFSET(PLE!$G$14,$M690,CJ$13))))</f>
        <v>1000000000000</v>
      </c>
      <c r="CK690" s="216">
        <f ca="1">IF($D690&lt;&gt;"Serviço",0,IF(OR(AND(AUTOEVENTO="Manual",$M690=1),$M690&gt;(ROW(PLE.lastrow)-ROW(PLE.firstrow))),0,IF(OFFSET(PLE!$G$14,$M690,CK$13)="",10^12,OFFSET(PLE!$G$14,$M690,CK$13))))</f>
        <v>1000000000000</v>
      </c>
      <c r="CL690" s="216">
        <f ca="1">IF($D690&lt;&gt;"Serviço",0,IF(OR(AND(AUTOEVENTO="Manual",$M690=1),$M690&gt;(ROW(PLE.lastrow)-ROW(PLE.firstrow))),0,IF(OFFSET(PLE!$G$14,$M690,CL$13)="",10^12,OFFSET(PLE!$G$14,$M690,CL$13))))</f>
        <v>1000000000000</v>
      </c>
      <c r="CM690" s="216">
        <f ca="1">IF($D690&lt;&gt;"Serviço",0,IF(OR(AND(AUTOEVENTO="Manual",$M690=1),$M690&gt;(ROW(PLE.lastrow)-ROW(PLE.firstrow))),0,IF(OFFSET(PLE!$G$14,$M690,CM$13)="",10^12,OFFSET(PLE!$G$14,$M690,CM$13))))</f>
        <v>1000000000000</v>
      </c>
    </row>
    <row r="691" spans="1:91" ht="13.2" x14ac:dyDescent="0.25">
      <c r="A691" s="9">
        <f t="shared" ca="1" si="20"/>
        <v>0</v>
      </c>
      <c r="B691" s="9" t="str">
        <f ca="1">OFFSET(ORÇAMENTO!C$15,ROW(B691)-ROW(B$15),0)</f>
        <v>S</v>
      </c>
      <c r="C691" s="9" t="str">
        <f ca="1">OFFSET(ORÇAMENTO!L$15,ROW(C691)-ROW(C$15),0)</f>
        <v/>
      </c>
      <c r="D691" s="145" t="str">
        <f ca="1">OFFSET(ORÇAMENTO!N$15,ROW(D691)-ROW(D$15),0)</f>
        <v>Serviço</v>
      </c>
      <c r="E691" s="205" t="str">
        <f ca="1">OFFSET(ORÇAMENTO!O$15,ROW(E691)-ROW(E$15),0)</f>
        <v>-</v>
      </c>
      <c r="F691" s="206" t="str">
        <f ca="1">OFFSET(ORÇAMENTO!R$15,ROW(F691)-ROW(F$15),0)</f>
        <v>(abra o arquivo 'Referência 05-2024.xls)</v>
      </c>
      <c r="G691" s="207" t="str">
        <f ca="1">IF($D691&lt;&gt;"Serviço","",OFFSET(ORÇAMENTO!S$15,ROW(G691)-ROW(G$15),0))</f>
        <v>-</v>
      </c>
      <c r="H691" s="151">
        <f ca="1">IF($D691&lt;&gt;"Serviço",0,IF(ACOMPANHAMENTO="BM",ROUND(OFFSET(ORÇAMENTO!AJ$15,ROW(H691)-ROW(H$15),0),15-13*ORÇAMENTO!$AF$7),SUMPRODUCT(($Q$12:$AI$12&lt;&gt;"")*ROUND($Q691:$AI691,15-13*ORÇAMENTO!$AF$7))))</f>
        <v>27.71</v>
      </c>
      <c r="I691" s="650"/>
      <c r="K691" s="208"/>
      <c r="L691" s="209" t="s">
        <v>257</v>
      </c>
      <c r="M691" s="210">
        <f ca="1">IF($D691&lt;&gt;"Serviço","",IF(AUTOEVENTO="manual",$A691,IF(ISERROR(MATCH($A691,$A$15:OFFSET($A691,-1,0),0)),MAX($M$15:OFFSET(M691,-1,0))+1,INDEX($M$15:OFFSET(M691,-1,0),MATCH($A691,$A$15:OFFSET($A691,-1,0),0)))))</f>
        <v>0</v>
      </c>
      <c r="N691" s="211" t="str">
        <f ca="1">IF($D691&lt;&gt;"Serviço","",IF(AUTOEVENTO="Manual",IF($A691=0,"&lt;-- defina o número do agrupador",OFFSET(EVENTOS!$D$14,$A691,0)),OFFSET($F$15,$A691,0)))</f>
        <v>&lt;-- defina o número do agrupador</v>
      </c>
      <c r="O691" s="212"/>
      <c r="Q691" s="212"/>
      <c r="R691" s="213"/>
      <c r="S691" s="213"/>
      <c r="T691" s="213"/>
      <c r="U691" s="213"/>
      <c r="V691" s="213"/>
      <c r="W691" s="213"/>
      <c r="X691" s="213"/>
      <c r="Y691" s="213"/>
      <c r="Z691" s="214"/>
      <c r="AA691" s="213"/>
      <c r="AB691" s="213"/>
      <c r="AC691" s="213"/>
      <c r="AD691" s="213"/>
      <c r="AE691" s="213"/>
      <c r="AF691" s="213"/>
      <c r="AG691" s="213"/>
      <c r="AH691" s="214"/>
      <c r="AJ691" s="631">
        <f ca="1">IF(AND($D691="Serviço",AJ$12&lt;&gt;0,$H691&gt;0,OR(AUTOEVENTO&lt;&gt;"manual",$M691&lt;&gt;1)),ROUND(OFFSET($P691,0,AJ$13),15-13*ORÇAMENTO!$AF$7)/$H691*OFFSET(ORÇAMENTO!$X$15,ROW(AJ691)-ROW(AJ$15),0),0)</f>
        <v>0</v>
      </c>
      <c r="AK691" s="632">
        <f ca="1">IF(AND($D691="Serviço",AK$12&lt;&gt;0,$H691&gt;0,OR(AUTOEVENTO&lt;&gt;"manual",$M691&lt;&gt;1)),ROUND(OFFSET($P691,0,AK$13),15-13*ORÇAMENTO!$AF$7)/$H691*OFFSET(ORÇAMENTO!$X$15,ROW(AK691)-ROW(AK$15),0),0)</f>
        <v>0</v>
      </c>
      <c r="AL691" s="632">
        <f ca="1">IF(AND($D691="Serviço",AL$12&lt;&gt;0,$H691&gt;0,OR(AUTOEVENTO&lt;&gt;"manual",$M691&lt;&gt;1)),ROUND(OFFSET($P691,0,AL$13),15-13*ORÇAMENTO!$AF$7)/$H691*OFFSET(ORÇAMENTO!$X$15,ROW(AL691)-ROW(AL$15),0),0)</f>
        <v>0</v>
      </c>
      <c r="AM691" s="632">
        <f ca="1">IF(AND($D691="Serviço",AM$12&lt;&gt;0,$H691&gt;0,OR(AUTOEVENTO&lt;&gt;"manual",$M691&lt;&gt;1)),ROUND(OFFSET($P691,0,AM$13),15-13*ORÇAMENTO!$AF$7)/$H691*OFFSET(ORÇAMENTO!$X$15,ROW(AM691)-ROW(AM$15),0),0)</f>
        <v>0</v>
      </c>
      <c r="AN691" s="632">
        <f ca="1">IF(AND($D691="Serviço",AN$12&lt;&gt;0,$H691&gt;0,OR(AUTOEVENTO&lt;&gt;"manual",$M691&lt;&gt;1)),ROUND(OFFSET($P691,0,AN$13),15-13*ORÇAMENTO!$AF$7)/$H691*OFFSET(ORÇAMENTO!$X$15,ROW(AN691)-ROW(AN$15),0),0)</f>
        <v>0</v>
      </c>
      <c r="AO691" s="632">
        <f ca="1">IF(AND($D691="Serviço",AO$12&lt;&gt;0,$H691&gt;0,OR(AUTOEVENTO&lt;&gt;"manual",$M691&lt;&gt;1)),ROUND(OFFSET($P691,0,AO$13),15-13*ORÇAMENTO!$AF$7)/$H691*OFFSET(ORÇAMENTO!$X$15,ROW(AO691)-ROW(AO$15),0),0)</f>
        <v>0</v>
      </c>
      <c r="AP691" s="632">
        <f ca="1">IF(AND($D691="Serviço",AP$12&lt;&gt;0,$H691&gt;0,OR(AUTOEVENTO&lt;&gt;"manual",$M691&lt;&gt;1)),ROUND(OFFSET($P691,0,AP$13),15-13*ORÇAMENTO!$AF$7)/$H691*OFFSET(ORÇAMENTO!$X$15,ROW(AP691)-ROW(AP$15),0),0)</f>
        <v>0</v>
      </c>
      <c r="AQ691" s="632">
        <f ca="1">IF(AND($D691="Serviço",AQ$12&lt;&gt;0,$H691&gt;0,OR(AUTOEVENTO&lt;&gt;"manual",$M691&lt;&gt;1)),ROUND(OFFSET($P691,0,AQ$13),15-13*ORÇAMENTO!$AF$7)/$H691*OFFSET(ORÇAMENTO!$X$15,ROW(AQ691)-ROW(AQ$15),0),0)</f>
        <v>0</v>
      </c>
      <c r="AR691" s="632">
        <f ca="1">IF(AND($D691="Serviço",AR$12&lt;&gt;0,$H691&gt;0,OR(AUTOEVENTO&lt;&gt;"manual",$M691&lt;&gt;1)),ROUND(OFFSET($P691,0,AR$13),15-13*ORÇAMENTO!$AF$7)/$H691*OFFSET(ORÇAMENTO!$X$15,ROW(AR691)-ROW(AR$15),0),0)</f>
        <v>0</v>
      </c>
      <c r="AS691" s="633">
        <f ca="1">IF(AND($D691="Serviço",AS$12&lt;&gt;0,$H691&gt;0,OR(AUTOEVENTO&lt;&gt;"manual",$M691&lt;&gt;1)),ROUND(OFFSET($P691,0,AS$13),15-13*ORÇAMENTO!$AF$7)/$H691*OFFSET(ORÇAMENTO!$X$15,ROW(AS691)-ROW(AS$15),0),0)</f>
        <v>0</v>
      </c>
      <c r="AT691" s="632">
        <f ca="1">IF(AND($D691="Serviço",AT$12&lt;&gt;0,$H691&gt;0,OR(AUTOEVENTO&lt;&gt;"manual",$M691&lt;&gt;1)),ROUND(OFFSET($P691,0,AT$13),15-13*ORÇAMENTO!$AF$7)/$H691*OFFSET(ORÇAMENTO!$X$15,ROW(AT691)-ROW(AT$15),0),0)</f>
        <v>0</v>
      </c>
      <c r="AU691" s="632">
        <f ca="1">IF(AND($D691="Serviço",AU$12&lt;&gt;0,$H691&gt;0,OR(AUTOEVENTO&lt;&gt;"manual",$M691&lt;&gt;1)),ROUND(OFFSET($P691,0,AU$13),15-13*ORÇAMENTO!$AF$7)/$H691*OFFSET(ORÇAMENTO!$X$15,ROW(AU691)-ROW(AU$15),0),0)</f>
        <v>0</v>
      </c>
      <c r="AV691" s="632">
        <f ca="1">IF(AND($D691="Serviço",AV$12&lt;&gt;0,$H691&gt;0,OR(AUTOEVENTO&lt;&gt;"manual",$M691&lt;&gt;1)),ROUND(OFFSET($P691,0,AV$13),15-13*ORÇAMENTO!$AF$7)/$H691*OFFSET(ORÇAMENTO!$X$15,ROW(AV691)-ROW(AV$15),0),0)</f>
        <v>0</v>
      </c>
      <c r="AW691" s="632">
        <f ca="1">IF(AND($D691="Serviço",AW$12&lt;&gt;0,$H691&gt;0,OR(AUTOEVENTO&lt;&gt;"manual",$M691&lt;&gt;1)),ROUND(OFFSET($P691,0,AW$13),15-13*ORÇAMENTO!$AF$7)/$H691*OFFSET(ORÇAMENTO!$X$15,ROW(AW691)-ROW(AW$15),0),0)</f>
        <v>0</v>
      </c>
      <c r="AX691" s="632">
        <f ca="1">IF(AND($D691="Serviço",AX$12&lt;&gt;0,$H691&gt;0,OR(AUTOEVENTO&lt;&gt;"manual",$M691&lt;&gt;1)),ROUND(OFFSET($P691,0,AX$13),15-13*ORÇAMENTO!$AF$7)/$H691*OFFSET(ORÇAMENTO!$X$15,ROW(AX691)-ROW(AX$15),0),0)</f>
        <v>0</v>
      </c>
      <c r="AY691" s="632">
        <f ca="1">IF(AND($D691="Serviço",AY$12&lt;&gt;0,$H691&gt;0,OR(AUTOEVENTO&lt;&gt;"manual",$M691&lt;&gt;1)),ROUND(OFFSET($P691,0,AY$13),15-13*ORÇAMENTO!$AF$7)/$H691*OFFSET(ORÇAMENTO!$X$15,ROW(AY691)-ROW(AY$15),0),0)</f>
        <v>0</v>
      </c>
      <c r="AZ691" s="632">
        <f ca="1">IF(AND($D691="Serviço",AZ$12&lt;&gt;0,$H691&gt;0,OR(AUTOEVENTO&lt;&gt;"manual",$M691&lt;&gt;1)),ROUND(OFFSET($P691,0,AZ$13),15-13*ORÇAMENTO!$AF$7)/$H691*OFFSET(ORÇAMENTO!$X$15,ROW(AZ691)-ROW(AZ$15),0),0)</f>
        <v>0</v>
      </c>
      <c r="BA691" s="633">
        <f ca="1">IF(AND($D691="Serviço",BA$12&lt;&gt;0,$H691&gt;0,OR(AUTOEVENTO&lt;&gt;"manual",$M691&lt;&gt;1)),ROUND(OFFSET($P691,0,BA$13),15-13*ORÇAMENTO!$AF$7)/$H691*OFFSET(ORÇAMENTO!$X$15,ROW(BA691)-ROW(BA$15),0),0)</f>
        <v>0</v>
      </c>
      <c r="BC691" s="215">
        <f ca="1">IF($D691&lt;&gt;"Serviço",0,IF(AND(AUTOEVENTO="Manual",$M691=1),0,IF(OFFSET(CRONOPLE!$F$14,$M691,BC$13)="",10^12,OFFSET(CRONOPLE!$F$14,$M691,BC$13))))</f>
        <v>1000000000000</v>
      </c>
      <c r="BD691" s="215">
        <f ca="1">IF($D691&lt;&gt;"Serviço",0,IF(AND(AUTOEVENTO="Manual",$M691=1),0,IF(OFFSET(CRONOPLE!$F$14,$M691,BD$13)="",10^12,OFFSET(CRONOPLE!$F$14,$M691,BD$13))))</f>
        <v>1000000000000</v>
      </c>
      <c r="BE691" s="215">
        <f ca="1">IF($D691&lt;&gt;"Serviço",0,IF(AND(AUTOEVENTO="Manual",$M691=1),0,IF(OFFSET(CRONOPLE!$F$14,$M691,BE$13)="",10^12,OFFSET(CRONOPLE!$F$14,$M691,BE$13))))</f>
        <v>1000000000000</v>
      </c>
      <c r="BF691" s="215">
        <f ca="1">IF($D691&lt;&gt;"Serviço",0,IF(AND(AUTOEVENTO="Manual",$M691=1),0,IF(OFFSET(CRONOPLE!$F$14,$M691,BF$13)="",10^12,OFFSET(CRONOPLE!$F$14,$M691,BF$13))))</f>
        <v>1000000000000</v>
      </c>
      <c r="BG691" s="215">
        <f ca="1">IF($D691&lt;&gt;"Serviço",0,IF(AND(AUTOEVENTO="Manual",$M691=1),0,IF(OFFSET(CRONOPLE!$F$14,$M691,BG$13)="",10^12,OFFSET(CRONOPLE!$F$14,$M691,BG$13))))</f>
        <v>1000000000000</v>
      </c>
      <c r="BH691" s="215">
        <f ca="1">IF($D691&lt;&gt;"Serviço",0,IF(AND(AUTOEVENTO="Manual",$M691=1),0,IF(OFFSET(CRONOPLE!$F$14,$M691,BH$13)="",10^12,OFFSET(CRONOPLE!$F$14,$M691,BH$13))))</f>
        <v>1000000000000</v>
      </c>
      <c r="BI691" s="215">
        <f ca="1">IF($D691&lt;&gt;"Serviço",0,IF(AND(AUTOEVENTO="Manual",$M691=1),0,IF(OFFSET(CRONOPLE!$F$14,$M691,BI$13)="",10^12,OFFSET(CRONOPLE!$F$14,$M691,BI$13))))</f>
        <v>1000000000000</v>
      </c>
      <c r="BJ691" s="215">
        <f ca="1">IF($D691&lt;&gt;"Serviço",0,IF(AND(AUTOEVENTO="Manual",$M691=1),0,IF(OFFSET(CRONOPLE!$F$14,$M691,BJ$13)="",10^12,OFFSET(CRONOPLE!$F$14,$M691,BJ$13))))</f>
        <v>1000000000000</v>
      </c>
      <c r="BK691" s="215">
        <f ca="1">IF($D691&lt;&gt;"Serviço",0,IF(AND(AUTOEVENTO="Manual",$M691=1),0,IF(OFFSET(CRONOPLE!$F$14,$M691,BK$13)="",10^12,OFFSET(CRONOPLE!$F$14,$M691,BK$13))))</f>
        <v>1000000000000</v>
      </c>
      <c r="BL691" s="215">
        <f ca="1">IF($D691&lt;&gt;"Serviço",0,IF(AND(AUTOEVENTO="Manual",$M691=1),0,IF(OFFSET(CRONOPLE!$F$14,$M691,BL$13)="",10^12,OFFSET(CRONOPLE!$F$14,$M691,BL$13))))</f>
        <v>1000000000000</v>
      </c>
      <c r="BM691" s="215">
        <f ca="1">IF($D691&lt;&gt;"Serviço",0,IF(AND(AUTOEVENTO="Manual",$M691=1),0,IF(OFFSET(CRONOPLE!$F$14,$M691,BM$13)="",10^12,OFFSET(CRONOPLE!$F$14,$M691,BM$13))))</f>
        <v>1000000000000</v>
      </c>
      <c r="BN691" s="215">
        <f ca="1">IF($D691&lt;&gt;"Serviço",0,IF(AND(AUTOEVENTO="Manual",$M691=1),0,IF(OFFSET(CRONOPLE!$F$14,$M691,BN$13)="",10^12,OFFSET(CRONOPLE!$F$14,$M691,BN$13))))</f>
        <v>1000000000000</v>
      </c>
      <c r="BO691" s="215">
        <f ca="1">IF($D691&lt;&gt;"Serviço",0,IF(AND(AUTOEVENTO="Manual",$M691=1),0,IF(OFFSET(CRONOPLE!$F$14,$M691,BO$13)="",10^12,OFFSET(CRONOPLE!$F$14,$M691,BO$13))))</f>
        <v>1000000000000</v>
      </c>
      <c r="BP691" s="215">
        <f ca="1">IF($D691&lt;&gt;"Serviço",0,IF(AND(AUTOEVENTO="Manual",$M691=1),0,IF(OFFSET(CRONOPLE!$F$14,$M691,BP$13)="",10^12,OFFSET(CRONOPLE!$F$14,$M691,BP$13))))</f>
        <v>1000000000000</v>
      </c>
      <c r="BQ691" s="215">
        <f ca="1">IF($D691&lt;&gt;"Serviço",0,IF(AND(AUTOEVENTO="Manual",$M691=1),0,IF(OFFSET(CRONOPLE!$F$14,$M691,BQ$13)="",10^12,OFFSET(CRONOPLE!$F$14,$M691,BQ$13))))</f>
        <v>1000000000000</v>
      </c>
      <c r="BR691" s="215">
        <f ca="1">IF($D691&lt;&gt;"Serviço",0,IF(AND(AUTOEVENTO="Manual",$M691=1),0,IF(OFFSET(CRONOPLE!$F$14,$M691,BR$13)="",10^12,OFFSET(CRONOPLE!$F$14,$M691,BR$13))))</f>
        <v>1000000000000</v>
      </c>
      <c r="BS691" s="215">
        <f ca="1">IF($D691&lt;&gt;"Serviço",0,IF(AND(AUTOEVENTO="Manual",$M691=1),0,IF(OFFSET(CRONOPLE!$F$14,$M691,BS$13)="",10^12,OFFSET(CRONOPLE!$F$14,$M691,BS$13))))</f>
        <v>1000000000000</v>
      </c>
      <c r="BT691" s="215">
        <f ca="1">IF($D691&lt;&gt;"Serviço",0,IF(AND(AUTOEVENTO="Manual",$M691=1),0,IF(OFFSET(CRONOPLE!$F$14,$M691,BT$13)="",10^12,OFFSET(CRONOPLE!$F$14,$M691,BT$13))))</f>
        <v>1000000000000</v>
      </c>
      <c r="BV691" s="216">
        <f ca="1">IF($D691&lt;&gt;"Serviço",0,IF(OR(AND(AUTOEVENTO="Manual",$M691=1),$M691&gt;(ROW(PLE.lastrow)-ROW(PLE.firstrow))),0,IF(OFFSET(PLE!$G$14,$M691,BV$13)="",10^12,OFFSET(PLE!$G$14,$M691,BV$13))))</f>
        <v>1000000000000</v>
      </c>
      <c r="BW691" s="216">
        <f ca="1">IF($D691&lt;&gt;"Serviço",0,IF(OR(AND(AUTOEVENTO="Manual",$M691=1),$M691&gt;(ROW(PLE.lastrow)-ROW(PLE.firstrow))),0,IF(OFFSET(PLE!$G$14,$M691,BW$13)="",10^12,OFFSET(PLE!$G$14,$M691,BW$13))))</f>
        <v>1000000000000</v>
      </c>
      <c r="BX691" s="216">
        <f ca="1">IF($D691&lt;&gt;"Serviço",0,IF(OR(AND(AUTOEVENTO="Manual",$M691=1),$M691&gt;(ROW(PLE.lastrow)-ROW(PLE.firstrow))),0,IF(OFFSET(PLE!$G$14,$M691,BX$13)="",10^12,OFFSET(PLE!$G$14,$M691,BX$13))))</f>
        <v>1000000000000</v>
      </c>
      <c r="BY691" s="216">
        <f ca="1">IF($D691&lt;&gt;"Serviço",0,IF(OR(AND(AUTOEVENTO="Manual",$M691=1),$M691&gt;(ROW(PLE.lastrow)-ROW(PLE.firstrow))),0,IF(OFFSET(PLE!$G$14,$M691,BY$13)="",10^12,OFFSET(PLE!$G$14,$M691,BY$13))))</f>
        <v>1000000000000</v>
      </c>
      <c r="BZ691" s="216">
        <f ca="1">IF($D691&lt;&gt;"Serviço",0,IF(OR(AND(AUTOEVENTO="Manual",$M691=1),$M691&gt;(ROW(PLE.lastrow)-ROW(PLE.firstrow))),0,IF(OFFSET(PLE!$G$14,$M691,BZ$13)="",10^12,OFFSET(PLE!$G$14,$M691,BZ$13))))</f>
        <v>1000000000000</v>
      </c>
      <c r="CA691" s="216">
        <f ca="1">IF($D691&lt;&gt;"Serviço",0,IF(OR(AND(AUTOEVENTO="Manual",$M691=1),$M691&gt;(ROW(PLE.lastrow)-ROW(PLE.firstrow))),0,IF(OFFSET(PLE!$G$14,$M691,CA$13)="",10^12,OFFSET(PLE!$G$14,$M691,CA$13))))</f>
        <v>1000000000000</v>
      </c>
      <c r="CB691" s="216">
        <f ca="1">IF($D691&lt;&gt;"Serviço",0,IF(OR(AND(AUTOEVENTO="Manual",$M691=1),$M691&gt;(ROW(PLE.lastrow)-ROW(PLE.firstrow))),0,IF(OFFSET(PLE!$G$14,$M691,CB$13)="",10^12,OFFSET(PLE!$G$14,$M691,CB$13))))</f>
        <v>1000000000000</v>
      </c>
      <c r="CC691" s="216">
        <f ca="1">IF($D691&lt;&gt;"Serviço",0,IF(OR(AND(AUTOEVENTO="Manual",$M691=1),$M691&gt;(ROW(PLE.lastrow)-ROW(PLE.firstrow))),0,IF(OFFSET(PLE!$G$14,$M691,CC$13)="",10^12,OFFSET(PLE!$G$14,$M691,CC$13))))</f>
        <v>1000000000000</v>
      </c>
      <c r="CD691" s="216">
        <f ca="1">IF($D691&lt;&gt;"Serviço",0,IF(OR(AND(AUTOEVENTO="Manual",$M691=1),$M691&gt;(ROW(PLE.lastrow)-ROW(PLE.firstrow))),0,IF(OFFSET(PLE!$G$14,$M691,CD$13)="",10^12,OFFSET(PLE!$G$14,$M691,CD$13))))</f>
        <v>1000000000000</v>
      </c>
      <c r="CE691" s="216">
        <f ca="1">IF($D691&lt;&gt;"Serviço",0,IF(OR(AND(AUTOEVENTO="Manual",$M691=1),$M691&gt;(ROW(PLE.lastrow)-ROW(PLE.firstrow))),0,IF(OFFSET(PLE!$G$14,$M691,CE$13)="",10^12,OFFSET(PLE!$G$14,$M691,CE$13))))</f>
        <v>1000000000000</v>
      </c>
      <c r="CF691" s="216">
        <f ca="1">IF($D691&lt;&gt;"Serviço",0,IF(OR(AND(AUTOEVENTO="Manual",$M691=1),$M691&gt;(ROW(PLE.lastrow)-ROW(PLE.firstrow))),0,IF(OFFSET(PLE!$G$14,$M691,CF$13)="",10^12,OFFSET(PLE!$G$14,$M691,CF$13))))</f>
        <v>1000000000000</v>
      </c>
      <c r="CG691" s="216">
        <f ca="1">IF($D691&lt;&gt;"Serviço",0,IF(OR(AND(AUTOEVENTO="Manual",$M691=1),$M691&gt;(ROW(PLE.lastrow)-ROW(PLE.firstrow))),0,IF(OFFSET(PLE!$G$14,$M691,CG$13)="",10^12,OFFSET(PLE!$G$14,$M691,CG$13))))</f>
        <v>1000000000000</v>
      </c>
      <c r="CH691" s="216">
        <f ca="1">IF($D691&lt;&gt;"Serviço",0,IF(OR(AND(AUTOEVENTO="Manual",$M691=1),$M691&gt;(ROW(PLE.lastrow)-ROW(PLE.firstrow))),0,IF(OFFSET(PLE!$G$14,$M691,CH$13)="",10^12,OFFSET(PLE!$G$14,$M691,CH$13))))</f>
        <v>1000000000000</v>
      </c>
      <c r="CI691" s="216">
        <f ca="1">IF($D691&lt;&gt;"Serviço",0,IF(OR(AND(AUTOEVENTO="Manual",$M691=1),$M691&gt;(ROW(PLE.lastrow)-ROW(PLE.firstrow))),0,IF(OFFSET(PLE!$G$14,$M691,CI$13)="",10^12,OFFSET(PLE!$G$14,$M691,CI$13))))</f>
        <v>1000000000000</v>
      </c>
      <c r="CJ691" s="216">
        <f ca="1">IF($D691&lt;&gt;"Serviço",0,IF(OR(AND(AUTOEVENTO="Manual",$M691=1),$M691&gt;(ROW(PLE.lastrow)-ROW(PLE.firstrow))),0,IF(OFFSET(PLE!$G$14,$M691,CJ$13)="",10^12,OFFSET(PLE!$G$14,$M691,CJ$13))))</f>
        <v>1000000000000</v>
      </c>
      <c r="CK691" s="216">
        <f ca="1">IF($D691&lt;&gt;"Serviço",0,IF(OR(AND(AUTOEVENTO="Manual",$M691=1),$M691&gt;(ROW(PLE.lastrow)-ROW(PLE.firstrow))),0,IF(OFFSET(PLE!$G$14,$M691,CK$13)="",10^12,OFFSET(PLE!$G$14,$M691,CK$13))))</f>
        <v>1000000000000</v>
      </c>
      <c r="CL691" s="216">
        <f ca="1">IF($D691&lt;&gt;"Serviço",0,IF(OR(AND(AUTOEVENTO="Manual",$M691=1),$M691&gt;(ROW(PLE.lastrow)-ROW(PLE.firstrow))),0,IF(OFFSET(PLE!$G$14,$M691,CL$13)="",10^12,OFFSET(PLE!$G$14,$M691,CL$13))))</f>
        <v>1000000000000</v>
      </c>
      <c r="CM691" s="216">
        <f ca="1">IF($D691&lt;&gt;"Serviço",0,IF(OR(AND(AUTOEVENTO="Manual",$M691=1),$M691&gt;(ROW(PLE.lastrow)-ROW(PLE.firstrow))),0,IF(OFFSET(PLE!$G$14,$M691,CM$13)="",10^12,OFFSET(PLE!$G$14,$M691,CM$13))))</f>
        <v>1000000000000</v>
      </c>
    </row>
    <row r="692" spans="1:91" ht="13.2" x14ac:dyDescent="0.25">
      <c r="A692" s="9">
        <f t="shared" ca="1" si="20"/>
        <v>0</v>
      </c>
      <c r="B692" s="9" t="str">
        <f ca="1">OFFSET(ORÇAMENTO!C$15,ROW(B692)-ROW(B$15),0)</f>
        <v>S</v>
      </c>
      <c r="C692" s="9" t="str">
        <f ca="1">OFFSET(ORÇAMENTO!L$15,ROW(C692)-ROW(C$15),0)</f>
        <v/>
      </c>
      <c r="D692" s="145" t="str">
        <f ca="1">OFFSET(ORÇAMENTO!N$15,ROW(D692)-ROW(D$15),0)</f>
        <v>Serviço</v>
      </c>
      <c r="E692" s="205" t="str">
        <f ca="1">OFFSET(ORÇAMENTO!O$15,ROW(E692)-ROW(E$15),0)</f>
        <v>-</v>
      </c>
      <c r="F692" s="206" t="str">
        <f ca="1">OFFSET(ORÇAMENTO!R$15,ROW(F692)-ROW(F$15),0)</f>
        <v>(abra o arquivo 'Referência 05-2024.xls)</v>
      </c>
      <c r="G692" s="207" t="str">
        <f ca="1">IF($D692&lt;&gt;"Serviço","",OFFSET(ORÇAMENTO!S$15,ROW(G692)-ROW(G$15),0))</f>
        <v>-</v>
      </c>
      <c r="H692" s="151">
        <f ca="1">IF($D692&lt;&gt;"Serviço",0,IF(ACOMPANHAMENTO="BM",ROUND(OFFSET(ORÇAMENTO!AJ$15,ROW(H692)-ROW(H$15),0),15-13*ORÇAMENTO!$AF$7),SUMPRODUCT(($Q$12:$AI$12&lt;&gt;"")*ROUND($Q692:$AI692,15-13*ORÇAMENTO!$AF$7))))</f>
        <v>0.96</v>
      </c>
      <c r="I692" s="650"/>
      <c r="K692" s="208"/>
      <c r="L692" s="209" t="s">
        <v>257</v>
      </c>
      <c r="M692" s="210">
        <f ca="1">IF($D692&lt;&gt;"Serviço","",IF(AUTOEVENTO="manual",$A692,IF(ISERROR(MATCH($A692,$A$15:OFFSET($A692,-1,0),0)),MAX($M$15:OFFSET(M692,-1,0))+1,INDEX($M$15:OFFSET(M692,-1,0),MATCH($A692,$A$15:OFFSET($A692,-1,0),0)))))</f>
        <v>0</v>
      </c>
      <c r="N692" s="211" t="str">
        <f ca="1">IF($D692&lt;&gt;"Serviço","",IF(AUTOEVENTO="Manual",IF($A692=0,"&lt;-- defina o número do agrupador",OFFSET(EVENTOS!$D$14,$A692,0)),OFFSET($F$15,$A692,0)))</f>
        <v>&lt;-- defina o número do agrupador</v>
      </c>
      <c r="O692" s="212"/>
      <c r="Q692" s="212"/>
      <c r="R692" s="213"/>
      <c r="S692" s="213"/>
      <c r="T692" s="213"/>
      <c r="U692" s="213"/>
      <c r="V692" s="213"/>
      <c r="W692" s="213"/>
      <c r="X692" s="213"/>
      <c r="Y692" s="213"/>
      <c r="Z692" s="214"/>
      <c r="AA692" s="213"/>
      <c r="AB692" s="213"/>
      <c r="AC692" s="213"/>
      <c r="AD692" s="213"/>
      <c r="AE692" s="213"/>
      <c r="AF692" s="213"/>
      <c r="AG692" s="213"/>
      <c r="AH692" s="214"/>
      <c r="AJ692" s="631">
        <f ca="1">IF(AND($D692="Serviço",AJ$12&lt;&gt;0,$H692&gt;0,OR(AUTOEVENTO&lt;&gt;"manual",$M692&lt;&gt;1)),ROUND(OFFSET($P692,0,AJ$13),15-13*ORÇAMENTO!$AF$7)/$H692*OFFSET(ORÇAMENTO!$X$15,ROW(AJ692)-ROW(AJ$15),0),0)</f>
        <v>0</v>
      </c>
      <c r="AK692" s="632">
        <f ca="1">IF(AND($D692="Serviço",AK$12&lt;&gt;0,$H692&gt;0,OR(AUTOEVENTO&lt;&gt;"manual",$M692&lt;&gt;1)),ROUND(OFFSET($P692,0,AK$13),15-13*ORÇAMENTO!$AF$7)/$H692*OFFSET(ORÇAMENTO!$X$15,ROW(AK692)-ROW(AK$15),0),0)</f>
        <v>0</v>
      </c>
      <c r="AL692" s="632">
        <f ca="1">IF(AND($D692="Serviço",AL$12&lt;&gt;0,$H692&gt;0,OR(AUTOEVENTO&lt;&gt;"manual",$M692&lt;&gt;1)),ROUND(OFFSET($P692,0,AL$13),15-13*ORÇAMENTO!$AF$7)/$H692*OFFSET(ORÇAMENTO!$X$15,ROW(AL692)-ROW(AL$15),0),0)</f>
        <v>0</v>
      </c>
      <c r="AM692" s="632">
        <f ca="1">IF(AND($D692="Serviço",AM$12&lt;&gt;0,$H692&gt;0,OR(AUTOEVENTO&lt;&gt;"manual",$M692&lt;&gt;1)),ROUND(OFFSET($P692,0,AM$13),15-13*ORÇAMENTO!$AF$7)/$H692*OFFSET(ORÇAMENTO!$X$15,ROW(AM692)-ROW(AM$15),0),0)</f>
        <v>0</v>
      </c>
      <c r="AN692" s="632">
        <f ca="1">IF(AND($D692="Serviço",AN$12&lt;&gt;0,$H692&gt;0,OR(AUTOEVENTO&lt;&gt;"manual",$M692&lt;&gt;1)),ROUND(OFFSET($P692,0,AN$13),15-13*ORÇAMENTO!$AF$7)/$H692*OFFSET(ORÇAMENTO!$X$15,ROW(AN692)-ROW(AN$15),0),0)</f>
        <v>0</v>
      </c>
      <c r="AO692" s="632">
        <f ca="1">IF(AND($D692="Serviço",AO$12&lt;&gt;0,$H692&gt;0,OR(AUTOEVENTO&lt;&gt;"manual",$M692&lt;&gt;1)),ROUND(OFFSET($P692,0,AO$13),15-13*ORÇAMENTO!$AF$7)/$H692*OFFSET(ORÇAMENTO!$X$15,ROW(AO692)-ROW(AO$15),0),0)</f>
        <v>0</v>
      </c>
      <c r="AP692" s="632">
        <f ca="1">IF(AND($D692="Serviço",AP$12&lt;&gt;0,$H692&gt;0,OR(AUTOEVENTO&lt;&gt;"manual",$M692&lt;&gt;1)),ROUND(OFFSET($P692,0,AP$13),15-13*ORÇAMENTO!$AF$7)/$H692*OFFSET(ORÇAMENTO!$X$15,ROW(AP692)-ROW(AP$15),0),0)</f>
        <v>0</v>
      </c>
      <c r="AQ692" s="632">
        <f ca="1">IF(AND($D692="Serviço",AQ$12&lt;&gt;0,$H692&gt;0,OR(AUTOEVENTO&lt;&gt;"manual",$M692&lt;&gt;1)),ROUND(OFFSET($P692,0,AQ$13),15-13*ORÇAMENTO!$AF$7)/$H692*OFFSET(ORÇAMENTO!$X$15,ROW(AQ692)-ROW(AQ$15),0),0)</f>
        <v>0</v>
      </c>
      <c r="AR692" s="632">
        <f ca="1">IF(AND($D692="Serviço",AR$12&lt;&gt;0,$H692&gt;0,OR(AUTOEVENTO&lt;&gt;"manual",$M692&lt;&gt;1)),ROUND(OFFSET($P692,0,AR$13),15-13*ORÇAMENTO!$AF$7)/$H692*OFFSET(ORÇAMENTO!$X$15,ROW(AR692)-ROW(AR$15),0),0)</f>
        <v>0</v>
      </c>
      <c r="AS692" s="633">
        <f ca="1">IF(AND($D692="Serviço",AS$12&lt;&gt;0,$H692&gt;0,OR(AUTOEVENTO&lt;&gt;"manual",$M692&lt;&gt;1)),ROUND(OFFSET($P692,0,AS$13),15-13*ORÇAMENTO!$AF$7)/$H692*OFFSET(ORÇAMENTO!$X$15,ROW(AS692)-ROW(AS$15),0),0)</f>
        <v>0</v>
      </c>
      <c r="AT692" s="632">
        <f ca="1">IF(AND($D692="Serviço",AT$12&lt;&gt;0,$H692&gt;0,OR(AUTOEVENTO&lt;&gt;"manual",$M692&lt;&gt;1)),ROUND(OFFSET($P692,0,AT$13),15-13*ORÇAMENTO!$AF$7)/$H692*OFFSET(ORÇAMENTO!$X$15,ROW(AT692)-ROW(AT$15),0),0)</f>
        <v>0</v>
      </c>
      <c r="AU692" s="632">
        <f ca="1">IF(AND($D692="Serviço",AU$12&lt;&gt;0,$H692&gt;0,OR(AUTOEVENTO&lt;&gt;"manual",$M692&lt;&gt;1)),ROUND(OFFSET($P692,0,AU$13),15-13*ORÇAMENTO!$AF$7)/$H692*OFFSET(ORÇAMENTO!$X$15,ROW(AU692)-ROW(AU$15),0),0)</f>
        <v>0</v>
      </c>
      <c r="AV692" s="632">
        <f ca="1">IF(AND($D692="Serviço",AV$12&lt;&gt;0,$H692&gt;0,OR(AUTOEVENTO&lt;&gt;"manual",$M692&lt;&gt;1)),ROUND(OFFSET($P692,0,AV$13),15-13*ORÇAMENTO!$AF$7)/$H692*OFFSET(ORÇAMENTO!$X$15,ROW(AV692)-ROW(AV$15),0),0)</f>
        <v>0</v>
      </c>
      <c r="AW692" s="632">
        <f ca="1">IF(AND($D692="Serviço",AW$12&lt;&gt;0,$H692&gt;0,OR(AUTOEVENTO&lt;&gt;"manual",$M692&lt;&gt;1)),ROUND(OFFSET($P692,0,AW$13),15-13*ORÇAMENTO!$AF$7)/$H692*OFFSET(ORÇAMENTO!$X$15,ROW(AW692)-ROW(AW$15),0),0)</f>
        <v>0</v>
      </c>
      <c r="AX692" s="632">
        <f ca="1">IF(AND($D692="Serviço",AX$12&lt;&gt;0,$H692&gt;0,OR(AUTOEVENTO&lt;&gt;"manual",$M692&lt;&gt;1)),ROUND(OFFSET($P692,0,AX$13),15-13*ORÇAMENTO!$AF$7)/$H692*OFFSET(ORÇAMENTO!$X$15,ROW(AX692)-ROW(AX$15),0),0)</f>
        <v>0</v>
      </c>
      <c r="AY692" s="632">
        <f ca="1">IF(AND($D692="Serviço",AY$12&lt;&gt;0,$H692&gt;0,OR(AUTOEVENTO&lt;&gt;"manual",$M692&lt;&gt;1)),ROUND(OFFSET($P692,0,AY$13),15-13*ORÇAMENTO!$AF$7)/$H692*OFFSET(ORÇAMENTO!$X$15,ROW(AY692)-ROW(AY$15),0),0)</f>
        <v>0</v>
      </c>
      <c r="AZ692" s="632">
        <f ca="1">IF(AND($D692="Serviço",AZ$12&lt;&gt;0,$H692&gt;0,OR(AUTOEVENTO&lt;&gt;"manual",$M692&lt;&gt;1)),ROUND(OFFSET($P692,0,AZ$13),15-13*ORÇAMENTO!$AF$7)/$H692*OFFSET(ORÇAMENTO!$X$15,ROW(AZ692)-ROW(AZ$15),0),0)</f>
        <v>0</v>
      </c>
      <c r="BA692" s="633">
        <f ca="1">IF(AND($D692="Serviço",BA$12&lt;&gt;0,$H692&gt;0,OR(AUTOEVENTO&lt;&gt;"manual",$M692&lt;&gt;1)),ROUND(OFFSET($P692,0,BA$13),15-13*ORÇAMENTO!$AF$7)/$H692*OFFSET(ORÇAMENTO!$X$15,ROW(BA692)-ROW(BA$15),0),0)</f>
        <v>0</v>
      </c>
      <c r="BC692" s="215">
        <f ca="1">IF($D692&lt;&gt;"Serviço",0,IF(AND(AUTOEVENTO="Manual",$M692=1),0,IF(OFFSET(CRONOPLE!$F$14,$M692,BC$13)="",10^12,OFFSET(CRONOPLE!$F$14,$M692,BC$13))))</f>
        <v>1000000000000</v>
      </c>
      <c r="BD692" s="215">
        <f ca="1">IF($D692&lt;&gt;"Serviço",0,IF(AND(AUTOEVENTO="Manual",$M692=1),0,IF(OFFSET(CRONOPLE!$F$14,$M692,BD$13)="",10^12,OFFSET(CRONOPLE!$F$14,$M692,BD$13))))</f>
        <v>1000000000000</v>
      </c>
      <c r="BE692" s="215">
        <f ca="1">IF($D692&lt;&gt;"Serviço",0,IF(AND(AUTOEVENTO="Manual",$M692=1),0,IF(OFFSET(CRONOPLE!$F$14,$M692,BE$13)="",10^12,OFFSET(CRONOPLE!$F$14,$M692,BE$13))))</f>
        <v>1000000000000</v>
      </c>
      <c r="BF692" s="215">
        <f ca="1">IF($D692&lt;&gt;"Serviço",0,IF(AND(AUTOEVENTO="Manual",$M692=1),0,IF(OFFSET(CRONOPLE!$F$14,$M692,BF$13)="",10^12,OFFSET(CRONOPLE!$F$14,$M692,BF$13))))</f>
        <v>1000000000000</v>
      </c>
      <c r="BG692" s="215">
        <f ca="1">IF($D692&lt;&gt;"Serviço",0,IF(AND(AUTOEVENTO="Manual",$M692=1),0,IF(OFFSET(CRONOPLE!$F$14,$M692,BG$13)="",10^12,OFFSET(CRONOPLE!$F$14,$M692,BG$13))))</f>
        <v>1000000000000</v>
      </c>
      <c r="BH692" s="215">
        <f ca="1">IF($D692&lt;&gt;"Serviço",0,IF(AND(AUTOEVENTO="Manual",$M692=1),0,IF(OFFSET(CRONOPLE!$F$14,$M692,BH$13)="",10^12,OFFSET(CRONOPLE!$F$14,$M692,BH$13))))</f>
        <v>1000000000000</v>
      </c>
      <c r="BI692" s="215">
        <f ca="1">IF($D692&lt;&gt;"Serviço",0,IF(AND(AUTOEVENTO="Manual",$M692=1),0,IF(OFFSET(CRONOPLE!$F$14,$M692,BI$13)="",10^12,OFFSET(CRONOPLE!$F$14,$M692,BI$13))))</f>
        <v>1000000000000</v>
      </c>
      <c r="BJ692" s="215">
        <f ca="1">IF($D692&lt;&gt;"Serviço",0,IF(AND(AUTOEVENTO="Manual",$M692=1),0,IF(OFFSET(CRONOPLE!$F$14,$M692,BJ$13)="",10^12,OFFSET(CRONOPLE!$F$14,$M692,BJ$13))))</f>
        <v>1000000000000</v>
      </c>
      <c r="BK692" s="215">
        <f ca="1">IF($D692&lt;&gt;"Serviço",0,IF(AND(AUTOEVENTO="Manual",$M692=1),0,IF(OFFSET(CRONOPLE!$F$14,$M692,BK$13)="",10^12,OFFSET(CRONOPLE!$F$14,$M692,BK$13))))</f>
        <v>1000000000000</v>
      </c>
      <c r="BL692" s="215">
        <f ca="1">IF($D692&lt;&gt;"Serviço",0,IF(AND(AUTOEVENTO="Manual",$M692=1),0,IF(OFFSET(CRONOPLE!$F$14,$M692,BL$13)="",10^12,OFFSET(CRONOPLE!$F$14,$M692,BL$13))))</f>
        <v>1000000000000</v>
      </c>
      <c r="BM692" s="215">
        <f ca="1">IF($D692&lt;&gt;"Serviço",0,IF(AND(AUTOEVENTO="Manual",$M692=1),0,IF(OFFSET(CRONOPLE!$F$14,$M692,BM$13)="",10^12,OFFSET(CRONOPLE!$F$14,$M692,BM$13))))</f>
        <v>1000000000000</v>
      </c>
      <c r="BN692" s="215">
        <f ca="1">IF($D692&lt;&gt;"Serviço",0,IF(AND(AUTOEVENTO="Manual",$M692=1),0,IF(OFFSET(CRONOPLE!$F$14,$M692,BN$13)="",10^12,OFFSET(CRONOPLE!$F$14,$M692,BN$13))))</f>
        <v>1000000000000</v>
      </c>
      <c r="BO692" s="215">
        <f ca="1">IF($D692&lt;&gt;"Serviço",0,IF(AND(AUTOEVENTO="Manual",$M692=1),0,IF(OFFSET(CRONOPLE!$F$14,$M692,BO$13)="",10^12,OFFSET(CRONOPLE!$F$14,$M692,BO$13))))</f>
        <v>1000000000000</v>
      </c>
      <c r="BP692" s="215">
        <f ca="1">IF($D692&lt;&gt;"Serviço",0,IF(AND(AUTOEVENTO="Manual",$M692=1),0,IF(OFFSET(CRONOPLE!$F$14,$M692,BP$13)="",10^12,OFFSET(CRONOPLE!$F$14,$M692,BP$13))))</f>
        <v>1000000000000</v>
      </c>
      <c r="BQ692" s="215">
        <f ca="1">IF($D692&lt;&gt;"Serviço",0,IF(AND(AUTOEVENTO="Manual",$M692=1),0,IF(OFFSET(CRONOPLE!$F$14,$M692,BQ$13)="",10^12,OFFSET(CRONOPLE!$F$14,$M692,BQ$13))))</f>
        <v>1000000000000</v>
      </c>
      <c r="BR692" s="215">
        <f ca="1">IF($D692&lt;&gt;"Serviço",0,IF(AND(AUTOEVENTO="Manual",$M692=1),0,IF(OFFSET(CRONOPLE!$F$14,$M692,BR$13)="",10^12,OFFSET(CRONOPLE!$F$14,$M692,BR$13))))</f>
        <v>1000000000000</v>
      </c>
      <c r="BS692" s="215">
        <f ca="1">IF($D692&lt;&gt;"Serviço",0,IF(AND(AUTOEVENTO="Manual",$M692=1),0,IF(OFFSET(CRONOPLE!$F$14,$M692,BS$13)="",10^12,OFFSET(CRONOPLE!$F$14,$M692,BS$13))))</f>
        <v>1000000000000</v>
      </c>
      <c r="BT692" s="215">
        <f ca="1">IF($D692&lt;&gt;"Serviço",0,IF(AND(AUTOEVENTO="Manual",$M692=1),0,IF(OFFSET(CRONOPLE!$F$14,$M692,BT$13)="",10^12,OFFSET(CRONOPLE!$F$14,$M692,BT$13))))</f>
        <v>1000000000000</v>
      </c>
      <c r="BV692" s="216">
        <f ca="1">IF($D692&lt;&gt;"Serviço",0,IF(OR(AND(AUTOEVENTO="Manual",$M692=1),$M692&gt;(ROW(PLE.lastrow)-ROW(PLE.firstrow))),0,IF(OFFSET(PLE!$G$14,$M692,BV$13)="",10^12,OFFSET(PLE!$G$14,$M692,BV$13))))</f>
        <v>1000000000000</v>
      </c>
      <c r="BW692" s="216">
        <f ca="1">IF($D692&lt;&gt;"Serviço",0,IF(OR(AND(AUTOEVENTO="Manual",$M692=1),$M692&gt;(ROW(PLE.lastrow)-ROW(PLE.firstrow))),0,IF(OFFSET(PLE!$G$14,$M692,BW$13)="",10^12,OFFSET(PLE!$G$14,$M692,BW$13))))</f>
        <v>1000000000000</v>
      </c>
      <c r="BX692" s="216">
        <f ca="1">IF($D692&lt;&gt;"Serviço",0,IF(OR(AND(AUTOEVENTO="Manual",$M692=1),$M692&gt;(ROW(PLE.lastrow)-ROW(PLE.firstrow))),0,IF(OFFSET(PLE!$G$14,$M692,BX$13)="",10^12,OFFSET(PLE!$G$14,$M692,BX$13))))</f>
        <v>1000000000000</v>
      </c>
      <c r="BY692" s="216">
        <f ca="1">IF($D692&lt;&gt;"Serviço",0,IF(OR(AND(AUTOEVENTO="Manual",$M692=1),$M692&gt;(ROW(PLE.lastrow)-ROW(PLE.firstrow))),0,IF(OFFSET(PLE!$G$14,$M692,BY$13)="",10^12,OFFSET(PLE!$G$14,$M692,BY$13))))</f>
        <v>1000000000000</v>
      </c>
      <c r="BZ692" s="216">
        <f ca="1">IF($D692&lt;&gt;"Serviço",0,IF(OR(AND(AUTOEVENTO="Manual",$M692=1),$M692&gt;(ROW(PLE.lastrow)-ROW(PLE.firstrow))),0,IF(OFFSET(PLE!$G$14,$M692,BZ$13)="",10^12,OFFSET(PLE!$G$14,$M692,BZ$13))))</f>
        <v>1000000000000</v>
      </c>
      <c r="CA692" s="216">
        <f ca="1">IF($D692&lt;&gt;"Serviço",0,IF(OR(AND(AUTOEVENTO="Manual",$M692=1),$M692&gt;(ROW(PLE.lastrow)-ROW(PLE.firstrow))),0,IF(OFFSET(PLE!$G$14,$M692,CA$13)="",10^12,OFFSET(PLE!$G$14,$M692,CA$13))))</f>
        <v>1000000000000</v>
      </c>
      <c r="CB692" s="216">
        <f ca="1">IF($D692&lt;&gt;"Serviço",0,IF(OR(AND(AUTOEVENTO="Manual",$M692=1),$M692&gt;(ROW(PLE.lastrow)-ROW(PLE.firstrow))),0,IF(OFFSET(PLE!$G$14,$M692,CB$13)="",10^12,OFFSET(PLE!$G$14,$M692,CB$13))))</f>
        <v>1000000000000</v>
      </c>
      <c r="CC692" s="216">
        <f ca="1">IF($D692&lt;&gt;"Serviço",0,IF(OR(AND(AUTOEVENTO="Manual",$M692=1),$M692&gt;(ROW(PLE.lastrow)-ROW(PLE.firstrow))),0,IF(OFFSET(PLE!$G$14,$M692,CC$13)="",10^12,OFFSET(PLE!$G$14,$M692,CC$13))))</f>
        <v>1000000000000</v>
      </c>
      <c r="CD692" s="216">
        <f ca="1">IF($D692&lt;&gt;"Serviço",0,IF(OR(AND(AUTOEVENTO="Manual",$M692=1),$M692&gt;(ROW(PLE.lastrow)-ROW(PLE.firstrow))),0,IF(OFFSET(PLE!$G$14,$M692,CD$13)="",10^12,OFFSET(PLE!$G$14,$M692,CD$13))))</f>
        <v>1000000000000</v>
      </c>
      <c r="CE692" s="216">
        <f ca="1">IF($D692&lt;&gt;"Serviço",0,IF(OR(AND(AUTOEVENTO="Manual",$M692=1),$M692&gt;(ROW(PLE.lastrow)-ROW(PLE.firstrow))),0,IF(OFFSET(PLE!$G$14,$M692,CE$13)="",10^12,OFFSET(PLE!$G$14,$M692,CE$13))))</f>
        <v>1000000000000</v>
      </c>
      <c r="CF692" s="216">
        <f ca="1">IF($D692&lt;&gt;"Serviço",0,IF(OR(AND(AUTOEVENTO="Manual",$M692=1),$M692&gt;(ROW(PLE.lastrow)-ROW(PLE.firstrow))),0,IF(OFFSET(PLE!$G$14,$M692,CF$13)="",10^12,OFFSET(PLE!$G$14,$M692,CF$13))))</f>
        <v>1000000000000</v>
      </c>
      <c r="CG692" s="216">
        <f ca="1">IF($D692&lt;&gt;"Serviço",0,IF(OR(AND(AUTOEVENTO="Manual",$M692=1),$M692&gt;(ROW(PLE.lastrow)-ROW(PLE.firstrow))),0,IF(OFFSET(PLE!$G$14,$M692,CG$13)="",10^12,OFFSET(PLE!$G$14,$M692,CG$13))))</f>
        <v>1000000000000</v>
      </c>
      <c r="CH692" s="216">
        <f ca="1">IF($D692&lt;&gt;"Serviço",0,IF(OR(AND(AUTOEVENTO="Manual",$M692=1),$M692&gt;(ROW(PLE.lastrow)-ROW(PLE.firstrow))),0,IF(OFFSET(PLE!$G$14,$M692,CH$13)="",10^12,OFFSET(PLE!$G$14,$M692,CH$13))))</f>
        <v>1000000000000</v>
      </c>
      <c r="CI692" s="216">
        <f ca="1">IF($D692&lt;&gt;"Serviço",0,IF(OR(AND(AUTOEVENTO="Manual",$M692=1),$M692&gt;(ROW(PLE.lastrow)-ROW(PLE.firstrow))),0,IF(OFFSET(PLE!$G$14,$M692,CI$13)="",10^12,OFFSET(PLE!$G$14,$M692,CI$13))))</f>
        <v>1000000000000</v>
      </c>
      <c r="CJ692" s="216">
        <f ca="1">IF($D692&lt;&gt;"Serviço",0,IF(OR(AND(AUTOEVENTO="Manual",$M692=1),$M692&gt;(ROW(PLE.lastrow)-ROW(PLE.firstrow))),0,IF(OFFSET(PLE!$G$14,$M692,CJ$13)="",10^12,OFFSET(PLE!$G$14,$M692,CJ$13))))</f>
        <v>1000000000000</v>
      </c>
      <c r="CK692" s="216">
        <f ca="1">IF($D692&lt;&gt;"Serviço",0,IF(OR(AND(AUTOEVENTO="Manual",$M692=1),$M692&gt;(ROW(PLE.lastrow)-ROW(PLE.firstrow))),0,IF(OFFSET(PLE!$G$14,$M692,CK$13)="",10^12,OFFSET(PLE!$G$14,$M692,CK$13))))</f>
        <v>1000000000000</v>
      </c>
      <c r="CL692" s="216">
        <f ca="1">IF($D692&lt;&gt;"Serviço",0,IF(OR(AND(AUTOEVENTO="Manual",$M692=1),$M692&gt;(ROW(PLE.lastrow)-ROW(PLE.firstrow))),0,IF(OFFSET(PLE!$G$14,$M692,CL$13)="",10^12,OFFSET(PLE!$G$14,$M692,CL$13))))</f>
        <v>1000000000000</v>
      </c>
      <c r="CM692" s="216">
        <f ca="1">IF($D692&lt;&gt;"Serviço",0,IF(OR(AND(AUTOEVENTO="Manual",$M692=1),$M692&gt;(ROW(PLE.lastrow)-ROW(PLE.firstrow))),0,IF(OFFSET(PLE!$G$14,$M692,CM$13)="",10^12,OFFSET(PLE!$G$14,$M692,CM$13))))</f>
        <v>1000000000000</v>
      </c>
    </row>
    <row r="693" spans="1:91" ht="13.2" x14ac:dyDescent="0.25">
      <c r="A693" s="9">
        <f t="shared" ca="1" si="20"/>
        <v>0</v>
      </c>
      <c r="B693" s="9" t="str">
        <f ca="1">OFFSET(ORÇAMENTO!C$15,ROW(B693)-ROW(B$15),0)</f>
        <v>S</v>
      </c>
      <c r="C693" s="9" t="str">
        <f ca="1">OFFSET(ORÇAMENTO!L$15,ROW(C693)-ROW(C$15),0)</f>
        <v/>
      </c>
      <c r="D693" s="145" t="str">
        <f ca="1">OFFSET(ORÇAMENTO!N$15,ROW(D693)-ROW(D$15),0)</f>
        <v>Serviço</v>
      </c>
      <c r="E693" s="205" t="str">
        <f ca="1">OFFSET(ORÇAMENTO!O$15,ROW(E693)-ROW(E$15),0)</f>
        <v>-</v>
      </c>
      <c r="F693" s="206" t="str">
        <f ca="1">OFFSET(ORÇAMENTO!R$15,ROW(F693)-ROW(F$15),0)</f>
        <v>(abra o arquivo 'Referência 05-2024.xls)</v>
      </c>
      <c r="G693" s="207" t="str">
        <f ca="1">IF($D693&lt;&gt;"Serviço","",OFFSET(ORÇAMENTO!S$15,ROW(G693)-ROW(G$15),0))</f>
        <v>-</v>
      </c>
      <c r="H693" s="151">
        <f ca="1">IF($D693&lt;&gt;"Serviço",0,IF(ACOMPANHAMENTO="BM",ROUND(OFFSET(ORÇAMENTO!AJ$15,ROW(H693)-ROW(H$15),0),15-13*ORÇAMENTO!$AF$7),SUMPRODUCT(($Q$12:$AI$12&lt;&gt;"")*ROUND($Q693:$AI693,15-13*ORÇAMENTO!$AF$7))))</f>
        <v>52.5</v>
      </c>
      <c r="I693" s="650"/>
      <c r="K693" s="208"/>
      <c r="L693" s="209" t="s">
        <v>257</v>
      </c>
      <c r="M693" s="210">
        <f ca="1">IF($D693&lt;&gt;"Serviço","",IF(AUTOEVENTO="manual",$A693,IF(ISERROR(MATCH($A693,$A$15:OFFSET($A693,-1,0),0)),MAX($M$15:OFFSET(M693,-1,0))+1,INDEX($M$15:OFFSET(M693,-1,0),MATCH($A693,$A$15:OFFSET($A693,-1,0),0)))))</f>
        <v>0</v>
      </c>
      <c r="N693" s="211" t="str">
        <f ca="1">IF($D693&lt;&gt;"Serviço","",IF(AUTOEVENTO="Manual",IF($A693=0,"&lt;-- defina o número do agrupador",OFFSET(EVENTOS!$D$14,$A693,0)),OFFSET($F$15,$A693,0)))</f>
        <v>&lt;-- defina o número do agrupador</v>
      </c>
      <c r="O693" s="212"/>
      <c r="Q693" s="212"/>
      <c r="R693" s="213"/>
      <c r="S693" s="213"/>
      <c r="T693" s="213"/>
      <c r="U693" s="213"/>
      <c r="V693" s="213"/>
      <c r="W693" s="213"/>
      <c r="X693" s="213"/>
      <c r="Y693" s="213"/>
      <c r="Z693" s="214"/>
      <c r="AA693" s="213"/>
      <c r="AB693" s="213"/>
      <c r="AC693" s="213"/>
      <c r="AD693" s="213"/>
      <c r="AE693" s="213"/>
      <c r="AF693" s="213"/>
      <c r="AG693" s="213"/>
      <c r="AH693" s="214"/>
      <c r="AJ693" s="631">
        <f ca="1">IF(AND($D693="Serviço",AJ$12&lt;&gt;0,$H693&gt;0,OR(AUTOEVENTO&lt;&gt;"manual",$M693&lt;&gt;1)),ROUND(OFFSET($P693,0,AJ$13),15-13*ORÇAMENTO!$AF$7)/$H693*OFFSET(ORÇAMENTO!$X$15,ROW(AJ693)-ROW(AJ$15),0),0)</f>
        <v>0</v>
      </c>
      <c r="AK693" s="632">
        <f ca="1">IF(AND($D693="Serviço",AK$12&lt;&gt;0,$H693&gt;0,OR(AUTOEVENTO&lt;&gt;"manual",$M693&lt;&gt;1)),ROUND(OFFSET($P693,0,AK$13),15-13*ORÇAMENTO!$AF$7)/$H693*OFFSET(ORÇAMENTO!$X$15,ROW(AK693)-ROW(AK$15),0),0)</f>
        <v>0</v>
      </c>
      <c r="AL693" s="632">
        <f ca="1">IF(AND($D693="Serviço",AL$12&lt;&gt;0,$H693&gt;0,OR(AUTOEVENTO&lt;&gt;"manual",$M693&lt;&gt;1)),ROUND(OFFSET($P693,0,AL$13),15-13*ORÇAMENTO!$AF$7)/$H693*OFFSET(ORÇAMENTO!$X$15,ROW(AL693)-ROW(AL$15),0),0)</f>
        <v>0</v>
      </c>
      <c r="AM693" s="632">
        <f ca="1">IF(AND($D693="Serviço",AM$12&lt;&gt;0,$H693&gt;0,OR(AUTOEVENTO&lt;&gt;"manual",$M693&lt;&gt;1)),ROUND(OFFSET($P693,0,AM$13),15-13*ORÇAMENTO!$AF$7)/$H693*OFFSET(ORÇAMENTO!$X$15,ROW(AM693)-ROW(AM$15),0),0)</f>
        <v>0</v>
      </c>
      <c r="AN693" s="632">
        <f ca="1">IF(AND($D693="Serviço",AN$12&lt;&gt;0,$H693&gt;0,OR(AUTOEVENTO&lt;&gt;"manual",$M693&lt;&gt;1)),ROUND(OFFSET($P693,0,AN$13),15-13*ORÇAMENTO!$AF$7)/$H693*OFFSET(ORÇAMENTO!$X$15,ROW(AN693)-ROW(AN$15),0),0)</f>
        <v>0</v>
      </c>
      <c r="AO693" s="632">
        <f ca="1">IF(AND($D693="Serviço",AO$12&lt;&gt;0,$H693&gt;0,OR(AUTOEVENTO&lt;&gt;"manual",$M693&lt;&gt;1)),ROUND(OFFSET($P693,0,AO$13),15-13*ORÇAMENTO!$AF$7)/$H693*OFFSET(ORÇAMENTO!$X$15,ROW(AO693)-ROW(AO$15),0),0)</f>
        <v>0</v>
      </c>
      <c r="AP693" s="632">
        <f ca="1">IF(AND($D693="Serviço",AP$12&lt;&gt;0,$H693&gt;0,OR(AUTOEVENTO&lt;&gt;"manual",$M693&lt;&gt;1)),ROUND(OFFSET($P693,0,AP$13),15-13*ORÇAMENTO!$AF$7)/$H693*OFFSET(ORÇAMENTO!$X$15,ROW(AP693)-ROW(AP$15),0),0)</f>
        <v>0</v>
      </c>
      <c r="AQ693" s="632">
        <f ca="1">IF(AND($D693="Serviço",AQ$12&lt;&gt;0,$H693&gt;0,OR(AUTOEVENTO&lt;&gt;"manual",$M693&lt;&gt;1)),ROUND(OFFSET($P693,0,AQ$13),15-13*ORÇAMENTO!$AF$7)/$H693*OFFSET(ORÇAMENTO!$X$15,ROW(AQ693)-ROW(AQ$15),0),0)</f>
        <v>0</v>
      </c>
      <c r="AR693" s="632">
        <f ca="1">IF(AND($D693="Serviço",AR$12&lt;&gt;0,$H693&gt;0,OR(AUTOEVENTO&lt;&gt;"manual",$M693&lt;&gt;1)),ROUND(OFFSET($P693,0,AR$13),15-13*ORÇAMENTO!$AF$7)/$H693*OFFSET(ORÇAMENTO!$X$15,ROW(AR693)-ROW(AR$15),0),0)</f>
        <v>0</v>
      </c>
      <c r="AS693" s="633">
        <f ca="1">IF(AND($D693="Serviço",AS$12&lt;&gt;0,$H693&gt;0,OR(AUTOEVENTO&lt;&gt;"manual",$M693&lt;&gt;1)),ROUND(OFFSET($P693,0,AS$13),15-13*ORÇAMENTO!$AF$7)/$H693*OFFSET(ORÇAMENTO!$X$15,ROW(AS693)-ROW(AS$15),0),0)</f>
        <v>0</v>
      </c>
      <c r="AT693" s="632">
        <f ca="1">IF(AND($D693="Serviço",AT$12&lt;&gt;0,$H693&gt;0,OR(AUTOEVENTO&lt;&gt;"manual",$M693&lt;&gt;1)),ROUND(OFFSET($P693,0,AT$13),15-13*ORÇAMENTO!$AF$7)/$H693*OFFSET(ORÇAMENTO!$X$15,ROW(AT693)-ROW(AT$15),0),0)</f>
        <v>0</v>
      </c>
      <c r="AU693" s="632">
        <f ca="1">IF(AND($D693="Serviço",AU$12&lt;&gt;0,$H693&gt;0,OR(AUTOEVENTO&lt;&gt;"manual",$M693&lt;&gt;1)),ROUND(OFFSET($P693,0,AU$13),15-13*ORÇAMENTO!$AF$7)/$H693*OFFSET(ORÇAMENTO!$X$15,ROW(AU693)-ROW(AU$15),0),0)</f>
        <v>0</v>
      </c>
      <c r="AV693" s="632">
        <f ca="1">IF(AND($D693="Serviço",AV$12&lt;&gt;0,$H693&gt;0,OR(AUTOEVENTO&lt;&gt;"manual",$M693&lt;&gt;1)),ROUND(OFFSET($P693,0,AV$13),15-13*ORÇAMENTO!$AF$7)/$H693*OFFSET(ORÇAMENTO!$X$15,ROW(AV693)-ROW(AV$15),0),0)</f>
        <v>0</v>
      </c>
      <c r="AW693" s="632">
        <f ca="1">IF(AND($D693="Serviço",AW$12&lt;&gt;0,$H693&gt;0,OR(AUTOEVENTO&lt;&gt;"manual",$M693&lt;&gt;1)),ROUND(OFFSET($P693,0,AW$13),15-13*ORÇAMENTO!$AF$7)/$H693*OFFSET(ORÇAMENTO!$X$15,ROW(AW693)-ROW(AW$15),0),0)</f>
        <v>0</v>
      </c>
      <c r="AX693" s="632">
        <f ca="1">IF(AND($D693="Serviço",AX$12&lt;&gt;0,$H693&gt;0,OR(AUTOEVENTO&lt;&gt;"manual",$M693&lt;&gt;1)),ROUND(OFFSET($P693,0,AX$13),15-13*ORÇAMENTO!$AF$7)/$H693*OFFSET(ORÇAMENTO!$X$15,ROW(AX693)-ROW(AX$15),0),0)</f>
        <v>0</v>
      </c>
      <c r="AY693" s="632">
        <f ca="1">IF(AND($D693="Serviço",AY$12&lt;&gt;0,$H693&gt;0,OR(AUTOEVENTO&lt;&gt;"manual",$M693&lt;&gt;1)),ROUND(OFFSET($P693,0,AY$13),15-13*ORÇAMENTO!$AF$7)/$H693*OFFSET(ORÇAMENTO!$X$15,ROW(AY693)-ROW(AY$15),0),0)</f>
        <v>0</v>
      </c>
      <c r="AZ693" s="632">
        <f ca="1">IF(AND($D693="Serviço",AZ$12&lt;&gt;0,$H693&gt;0,OR(AUTOEVENTO&lt;&gt;"manual",$M693&lt;&gt;1)),ROUND(OFFSET($P693,0,AZ$13),15-13*ORÇAMENTO!$AF$7)/$H693*OFFSET(ORÇAMENTO!$X$15,ROW(AZ693)-ROW(AZ$15),0),0)</f>
        <v>0</v>
      </c>
      <c r="BA693" s="633">
        <f ca="1">IF(AND($D693="Serviço",BA$12&lt;&gt;0,$H693&gt;0,OR(AUTOEVENTO&lt;&gt;"manual",$M693&lt;&gt;1)),ROUND(OFFSET($P693,0,BA$13),15-13*ORÇAMENTO!$AF$7)/$H693*OFFSET(ORÇAMENTO!$X$15,ROW(BA693)-ROW(BA$15),0),0)</f>
        <v>0</v>
      </c>
      <c r="BC693" s="215">
        <f ca="1">IF($D693&lt;&gt;"Serviço",0,IF(AND(AUTOEVENTO="Manual",$M693=1),0,IF(OFFSET(CRONOPLE!$F$14,$M693,BC$13)="",10^12,OFFSET(CRONOPLE!$F$14,$M693,BC$13))))</f>
        <v>1000000000000</v>
      </c>
      <c r="BD693" s="215">
        <f ca="1">IF($D693&lt;&gt;"Serviço",0,IF(AND(AUTOEVENTO="Manual",$M693=1),0,IF(OFFSET(CRONOPLE!$F$14,$M693,BD$13)="",10^12,OFFSET(CRONOPLE!$F$14,$M693,BD$13))))</f>
        <v>1000000000000</v>
      </c>
      <c r="BE693" s="215">
        <f ca="1">IF($D693&lt;&gt;"Serviço",0,IF(AND(AUTOEVENTO="Manual",$M693=1),0,IF(OFFSET(CRONOPLE!$F$14,$M693,BE$13)="",10^12,OFFSET(CRONOPLE!$F$14,$M693,BE$13))))</f>
        <v>1000000000000</v>
      </c>
      <c r="BF693" s="215">
        <f ca="1">IF($D693&lt;&gt;"Serviço",0,IF(AND(AUTOEVENTO="Manual",$M693=1),0,IF(OFFSET(CRONOPLE!$F$14,$M693,BF$13)="",10^12,OFFSET(CRONOPLE!$F$14,$M693,BF$13))))</f>
        <v>1000000000000</v>
      </c>
      <c r="BG693" s="215">
        <f ca="1">IF($D693&lt;&gt;"Serviço",0,IF(AND(AUTOEVENTO="Manual",$M693=1),0,IF(OFFSET(CRONOPLE!$F$14,$M693,BG$13)="",10^12,OFFSET(CRONOPLE!$F$14,$M693,BG$13))))</f>
        <v>1000000000000</v>
      </c>
      <c r="BH693" s="215">
        <f ca="1">IF($D693&lt;&gt;"Serviço",0,IF(AND(AUTOEVENTO="Manual",$M693=1),0,IF(OFFSET(CRONOPLE!$F$14,$M693,BH$13)="",10^12,OFFSET(CRONOPLE!$F$14,$M693,BH$13))))</f>
        <v>1000000000000</v>
      </c>
      <c r="BI693" s="215">
        <f ca="1">IF($D693&lt;&gt;"Serviço",0,IF(AND(AUTOEVENTO="Manual",$M693=1),0,IF(OFFSET(CRONOPLE!$F$14,$M693,BI$13)="",10^12,OFFSET(CRONOPLE!$F$14,$M693,BI$13))))</f>
        <v>1000000000000</v>
      </c>
      <c r="BJ693" s="215">
        <f ca="1">IF($D693&lt;&gt;"Serviço",0,IF(AND(AUTOEVENTO="Manual",$M693=1),0,IF(OFFSET(CRONOPLE!$F$14,$M693,BJ$13)="",10^12,OFFSET(CRONOPLE!$F$14,$M693,BJ$13))))</f>
        <v>1000000000000</v>
      </c>
      <c r="BK693" s="215">
        <f ca="1">IF($D693&lt;&gt;"Serviço",0,IF(AND(AUTOEVENTO="Manual",$M693=1),0,IF(OFFSET(CRONOPLE!$F$14,$M693,BK$13)="",10^12,OFFSET(CRONOPLE!$F$14,$M693,BK$13))))</f>
        <v>1000000000000</v>
      </c>
      <c r="BL693" s="215">
        <f ca="1">IF($D693&lt;&gt;"Serviço",0,IF(AND(AUTOEVENTO="Manual",$M693=1),0,IF(OFFSET(CRONOPLE!$F$14,$M693,BL$13)="",10^12,OFFSET(CRONOPLE!$F$14,$M693,BL$13))))</f>
        <v>1000000000000</v>
      </c>
      <c r="BM693" s="215">
        <f ca="1">IF($D693&lt;&gt;"Serviço",0,IF(AND(AUTOEVENTO="Manual",$M693=1),0,IF(OFFSET(CRONOPLE!$F$14,$M693,BM$13)="",10^12,OFFSET(CRONOPLE!$F$14,$M693,BM$13))))</f>
        <v>1000000000000</v>
      </c>
      <c r="BN693" s="215">
        <f ca="1">IF($D693&lt;&gt;"Serviço",0,IF(AND(AUTOEVENTO="Manual",$M693=1),0,IF(OFFSET(CRONOPLE!$F$14,$M693,BN$13)="",10^12,OFFSET(CRONOPLE!$F$14,$M693,BN$13))))</f>
        <v>1000000000000</v>
      </c>
      <c r="BO693" s="215">
        <f ca="1">IF($D693&lt;&gt;"Serviço",0,IF(AND(AUTOEVENTO="Manual",$M693=1),0,IF(OFFSET(CRONOPLE!$F$14,$M693,BO$13)="",10^12,OFFSET(CRONOPLE!$F$14,$M693,BO$13))))</f>
        <v>1000000000000</v>
      </c>
      <c r="BP693" s="215">
        <f ca="1">IF($D693&lt;&gt;"Serviço",0,IF(AND(AUTOEVENTO="Manual",$M693=1),0,IF(OFFSET(CRONOPLE!$F$14,$M693,BP$13)="",10^12,OFFSET(CRONOPLE!$F$14,$M693,BP$13))))</f>
        <v>1000000000000</v>
      </c>
      <c r="BQ693" s="215">
        <f ca="1">IF($D693&lt;&gt;"Serviço",0,IF(AND(AUTOEVENTO="Manual",$M693=1),0,IF(OFFSET(CRONOPLE!$F$14,$M693,BQ$13)="",10^12,OFFSET(CRONOPLE!$F$14,$M693,BQ$13))))</f>
        <v>1000000000000</v>
      </c>
      <c r="BR693" s="215">
        <f ca="1">IF($D693&lt;&gt;"Serviço",0,IF(AND(AUTOEVENTO="Manual",$M693=1),0,IF(OFFSET(CRONOPLE!$F$14,$M693,BR$13)="",10^12,OFFSET(CRONOPLE!$F$14,$M693,BR$13))))</f>
        <v>1000000000000</v>
      </c>
      <c r="BS693" s="215">
        <f ca="1">IF($D693&lt;&gt;"Serviço",0,IF(AND(AUTOEVENTO="Manual",$M693=1),0,IF(OFFSET(CRONOPLE!$F$14,$M693,BS$13)="",10^12,OFFSET(CRONOPLE!$F$14,$M693,BS$13))))</f>
        <v>1000000000000</v>
      </c>
      <c r="BT693" s="215">
        <f ca="1">IF($D693&lt;&gt;"Serviço",0,IF(AND(AUTOEVENTO="Manual",$M693=1),0,IF(OFFSET(CRONOPLE!$F$14,$M693,BT$13)="",10^12,OFFSET(CRONOPLE!$F$14,$M693,BT$13))))</f>
        <v>1000000000000</v>
      </c>
      <c r="BV693" s="216">
        <f ca="1">IF($D693&lt;&gt;"Serviço",0,IF(OR(AND(AUTOEVENTO="Manual",$M693=1),$M693&gt;(ROW(PLE.lastrow)-ROW(PLE.firstrow))),0,IF(OFFSET(PLE!$G$14,$M693,BV$13)="",10^12,OFFSET(PLE!$G$14,$M693,BV$13))))</f>
        <v>1000000000000</v>
      </c>
      <c r="BW693" s="216">
        <f ca="1">IF($D693&lt;&gt;"Serviço",0,IF(OR(AND(AUTOEVENTO="Manual",$M693=1),$M693&gt;(ROW(PLE.lastrow)-ROW(PLE.firstrow))),0,IF(OFFSET(PLE!$G$14,$M693,BW$13)="",10^12,OFFSET(PLE!$G$14,$M693,BW$13))))</f>
        <v>1000000000000</v>
      </c>
      <c r="BX693" s="216">
        <f ca="1">IF($D693&lt;&gt;"Serviço",0,IF(OR(AND(AUTOEVENTO="Manual",$M693=1),$M693&gt;(ROW(PLE.lastrow)-ROW(PLE.firstrow))),0,IF(OFFSET(PLE!$G$14,$M693,BX$13)="",10^12,OFFSET(PLE!$G$14,$M693,BX$13))))</f>
        <v>1000000000000</v>
      </c>
      <c r="BY693" s="216">
        <f ca="1">IF($D693&lt;&gt;"Serviço",0,IF(OR(AND(AUTOEVENTO="Manual",$M693=1),$M693&gt;(ROW(PLE.lastrow)-ROW(PLE.firstrow))),0,IF(OFFSET(PLE!$G$14,$M693,BY$13)="",10^12,OFFSET(PLE!$G$14,$M693,BY$13))))</f>
        <v>1000000000000</v>
      </c>
      <c r="BZ693" s="216">
        <f ca="1">IF($D693&lt;&gt;"Serviço",0,IF(OR(AND(AUTOEVENTO="Manual",$M693=1),$M693&gt;(ROW(PLE.lastrow)-ROW(PLE.firstrow))),0,IF(OFFSET(PLE!$G$14,$M693,BZ$13)="",10^12,OFFSET(PLE!$G$14,$M693,BZ$13))))</f>
        <v>1000000000000</v>
      </c>
      <c r="CA693" s="216">
        <f ca="1">IF($D693&lt;&gt;"Serviço",0,IF(OR(AND(AUTOEVENTO="Manual",$M693=1),$M693&gt;(ROW(PLE.lastrow)-ROW(PLE.firstrow))),0,IF(OFFSET(PLE!$G$14,$M693,CA$13)="",10^12,OFFSET(PLE!$G$14,$M693,CA$13))))</f>
        <v>1000000000000</v>
      </c>
      <c r="CB693" s="216">
        <f ca="1">IF($D693&lt;&gt;"Serviço",0,IF(OR(AND(AUTOEVENTO="Manual",$M693=1),$M693&gt;(ROW(PLE.lastrow)-ROW(PLE.firstrow))),0,IF(OFFSET(PLE!$G$14,$M693,CB$13)="",10^12,OFFSET(PLE!$G$14,$M693,CB$13))))</f>
        <v>1000000000000</v>
      </c>
      <c r="CC693" s="216">
        <f ca="1">IF($D693&lt;&gt;"Serviço",0,IF(OR(AND(AUTOEVENTO="Manual",$M693=1),$M693&gt;(ROW(PLE.lastrow)-ROW(PLE.firstrow))),0,IF(OFFSET(PLE!$G$14,$M693,CC$13)="",10^12,OFFSET(PLE!$G$14,$M693,CC$13))))</f>
        <v>1000000000000</v>
      </c>
      <c r="CD693" s="216">
        <f ca="1">IF($D693&lt;&gt;"Serviço",0,IF(OR(AND(AUTOEVENTO="Manual",$M693=1),$M693&gt;(ROW(PLE.lastrow)-ROW(PLE.firstrow))),0,IF(OFFSET(PLE!$G$14,$M693,CD$13)="",10^12,OFFSET(PLE!$G$14,$M693,CD$13))))</f>
        <v>1000000000000</v>
      </c>
      <c r="CE693" s="216">
        <f ca="1">IF($D693&lt;&gt;"Serviço",0,IF(OR(AND(AUTOEVENTO="Manual",$M693=1),$M693&gt;(ROW(PLE.lastrow)-ROW(PLE.firstrow))),0,IF(OFFSET(PLE!$G$14,$M693,CE$13)="",10^12,OFFSET(PLE!$G$14,$M693,CE$13))))</f>
        <v>1000000000000</v>
      </c>
      <c r="CF693" s="216">
        <f ca="1">IF($D693&lt;&gt;"Serviço",0,IF(OR(AND(AUTOEVENTO="Manual",$M693=1),$M693&gt;(ROW(PLE.lastrow)-ROW(PLE.firstrow))),0,IF(OFFSET(PLE!$G$14,$M693,CF$13)="",10^12,OFFSET(PLE!$G$14,$M693,CF$13))))</f>
        <v>1000000000000</v>
      </c>
      <c r="CG693" s="216">
        <f ca="1">IF($D693&lt;&gt;"Serviço",0,IF(OR(AND(AUTOEVENTO="Manual",$M693=1),$M693&gt;(ROW(PLE.lastrow)-ROW(PLE.firstrow))),0,IF(OFFSET(PLE!$G$14,$M693,CG$13)="",10^12,OFFSET(PLE!$G$14,$M693,CG$13))))</f>
        <v>1000000000000</v>
      </c>
      <c r="CH693" s="216">
        <f ca="1">IF($D693&lt;&gt;"Serviço",0,IF(OR(AND(AUTOEVENTO="Manual",$M693=1),$M693&gt;(ROW(PLE.lastrow)-ROW(PLE.firstrow))),0,IF(OFFSET(PLE!$G$14,$M693,CH$13)="",10^12,OFFSET(PLE!$G$14,$M693,CH$13))))</f>
        <v>1000000000000</v>
      </c>
      <c r="CI693" s="216">
        <f ca="1">IF($D693&lt;&gt;"Serviço",0,IF(OR(AND(AUTOEVENTO="Manual",$M693=1),$M693&gt;(ROW(PLE.lastrow)-ROW(PLE.firstrow))),0,IF(OFFSET(PLE!$G$14,$M693,CI$13)="",10^12,OFFSET(PLE!$G$14,$M693,CI$13))))</f>
        <v>1000000000000</v>
      </c>
      <c r="CJ693" s="216">
        <f ca="1">IF($D693&lt;&gt;"Serviço",0,IF(OR(AND(AUTOEVENTO="Manual",$M693=1),$M693&gt;(ROW(PLE.lastrow)-ROW(PLE.firstrow))),0,IF(OFFSET(PLE!$G$14,$M693,CJ$13)="",10^12,OFFSET(PLE!$G$14,$M693,CJ$13))))</f>
        <v>1000000000000</v>
      </c>
      <c r="CK693" s="216">
        <f ca="1">IF($D693&lt;&gt;"Serviço",0,IF(OR(AND(AUTOEVENTO="Manual",$M693=1),$M693&gt;(ROW(PLE.lastrow)-ROW(PLE.firstrow))),0,IF(OFFSET(PLE!$G$14,$M693,CK$13)="",10^12,OFFSET(PLE!$G$14,$M693,CK$13))))</f>
        <v>1000000000000</v>
      </c>
      <c r="CL693" s="216">
        <f ca="1">IF($D693&lt;&gt;"Serviço",0,IF(OR(AND(AUTOEVENTO="Manual",$M693=1),$M693&gt;(ROW(PLE.lastrow)-ROW(PLE.firstrow))),0,IF(OFFSET(PLE!$G$14,$M693,CL$13)="",10^12,OFFSET(PLE!$G$14,$M693,CL$13))))</f>
        <v>1000000000000</v>
      </c>
      <c r="CM693" s="216">
        <f ca="1">IF($D693&lt;&gt;"Serviço",0,IF(OR(AND(AUTOEVENTO="Manual",$M693=1),$M693&gt;(ROW(PLE.lastrow)-ROW(PLE.firstrow))),0,IF(OFFSET(PLE!$G$14,$M693,CM$13)="",10^12,OFFSET(PLE!$G$14,$M693,CM$13))))</f>
        <v>1000000000000</v>
      </c>
    </row>
    <row r="694" spans="1:91" ht="13.2" x14ac:dyDescent="0.25">
      <c r="A694" s="9">
        <f t="shared" ca="1" si="20"/>
        <v>0</v>
      </c>
      <c r="B694" s="9" t="str">
        <f ca="1">OFFSET(ORÇAMENTO!C$15,ROW(B694)-ROW(B$15),0)</f>
        <v>S</v>
      </c>
      <c r="C694" s="9" t="str">
        <f ca="1">OFFSET(ORÇAMENTO!L$15,ROW(C694)-ROW(C$15),0)</f>
        <v/>
      </c>
      <c r="D694" s="145" t="str">
        <f ca="1">OFFSET(ORÇAMENTO!N$15,ROW(D694)-ROW(D$15),0)</f>
        <v>Serviço</v>
      </c>
      <c r="E694" s="205" t="str">
        <f ca="1">OFFSET(ORÇAMENTO!O$15,ROW(E694)-ROW(E$15),0)</f>
        <v>-</v>
      </c>
      <c r="F694" s="206" t="str">
        <f ca="1">OFFSET(ORÇAMENTO!R$15,ROW(F694)-ROW(F$15),0)</f>
        <v>(abra o arquivo 'Referência 05-2024.xls)</v>
      </c>
      <c r="G694" s="207" t="str">
        <f ca="1">IF($D694&lt;&gt;"Serviço","",OFFSET(ORÇAMENTO!S$15,ROW(G694)-ROW(G$15),0))</f>
        <v>-</v>
      </c>
      <c r="H694" s="151">
        <f ca="1">IF($D694&lt;&gt;"Serviço",0,IF(ACOMPANHAMENTO="BM",ROUND(OFFSET(ORÇAMENTO!AJ$15,ROW(H694)-ROW(H$15),0),15-13*ORÇAMENTO!$AF$7),SUMPRODUCT(($Q$12:$AI$12&lt;&gt;"")*ROUND($Q694:$AI694,15-13*ORÇAMENTO!$AF$7))))</f>
        <v>53</v>
      </c>
      <c r="I694" s="650"/>
      <c r="K694" s="208"/>
      <c r="L694" s="209" t="s">
        <v>257</v>
      </c>
      <c r="M694" s="210">
        <f ca="1">IF($D694&lt;&gt;"Serviço","",IF(AUTOEVENTO="manual",$A694,IF(ISERROR(MATCH($A694,$A$15:OFFSET($A694,-1,0),0)),MAX($M$15:OFFSET(M694,-1,0))+1,INDEX($M$15:OFFSET(M694,-1,0),MATCH($A694,$A$15:OFFSET($A694,-1,0),0)))))</f>
        <v>0</v>
      </c>
      <c r="N694" s="211" t="str">
        <f ca="1">IF($D694&lt;&gt;"Serviço","",IF(AUTOEVENTO="Manual",IF($A694=0,"&lt;-- defina o número do agrupador",OFFSET(EVENTOS!$D$14,$A694,0)),OFFSET($F$15,$A694,0)))</f>
        <v>&lt;-- defina o número do agrupador</v>
      </c>
      <c r="O694" s="212"/>
      <c r="Q694" s="212"/>
      <c r="R694" s="213"/>
      <c r="S694" s="213"/>
      <c r="T694" s="213"/>
      <c r="U694" s="213"/>
      <c r="V694" s="213"/>
      <c r="W694" s="213"/>
      <c r="X694" s="213"/>
      <c r="Y694" s="213"/>
      <c r="Z694" s="214"/>
      <c r="AA694" s="213"/>
      <c r="AB694" s="213"/>
      <c r="AC694" s="213"/>
      <c r="AD694" s="213"/>
      <c r="AE694" s="213"/>
      <c r="AF694" s="213"/>
      <c r="AG694" s="213"/>
      <c r="AH694" s="214"/>
      <c r="AJ694" s="631">
        <f ca="1">IF(AND($D694="Serviço",AJ$12&lt;&gt;0,$H694&gt;0,OR(AUTOEVENTO&lt;&gt;"manual",$M694&lt;&gt;1)),ROUND(OFFSET($P694,0,AJ$13),15-13*ORÇAMENTO!$AF$7)/$H694*OFFSET(ORÇAMENTO!$X$15,ROW(AJ694)-ROW(AJ$15),0),0)</f>
        <v>0</v>
      </c>
      <c r="AK694" s="632">
        <f ca="1">IF(AND($D694="Serviço",AK$12&lt;&gt;0,$H694&gt;0,OR(AUTOEVENTO&lt;&gt;"manual",$M694&lt;&gt;1)),ROUND(OFFSET($P694,0,AK$13),15-13*ORÇAMENTO!$AF$7)/$H694*OFFSET(ORÇAMENTO!$X$15,ROW(AK694)-ROW(AK$15),0),0)</f>
        <v>0</v>
      </c>
      <c r="AL694" s="632">
        <f ca="1">IF(AND($D694="Serviço",AL$12&lt;&gt;0,$H694&gt;0,OR(AUTOEVENTO&lt;&gt;"manual",$M694&lt;&gt;1)),ROUND(OFFSET($P694,0,AL$13),15-13*ORÇAMENTO!$AF$7)/$H694*OFFSET(ORÇAMENTO!$X$15,ROW(AL694)-ROW(AL$15),0),0)</f>
        <v>0</v>
      </c>
      <c r="AM694" s="632">
        <f ca="1">IF(AND($D694="Serviço",AM$12&lt;&gt;0,$H694&gt;0,OR(AUTOEVENTO&lt;&gt;"manual",$M694&lt;&gt;1)),ROUND(OFFSET($P694,0,AM$13),15-13*ORÇAMENTO!$AF$7)/$H694*OFFSET(ORÇAMENTO!$X$15,ROW(AM694)-ROW(AM$15),0),0)</f>
        <v>0</v>
      </c>
      <c r="AN694" s="632">
        <f ca="1">IF(AND($D694="Serviço",AN$12&lt;&gt;0,$H694&gt;0,OR(AUTOEVENTO&lt;&gt;"manual",$M694&lt;&gt;1)),ROUND(OFFSET($P694,0,AN$13),15-13*ORÇAMENTO!$AF$7)/$H694*OFFSET(ORÇAMENTO!$X$15,ROW(AN694)-ROW(AN$15),0),0)</f>
        <v>0</v>
      </c>
      <c r="AO694" s="632">
        <f ca="1">IF(AND($D694="Serviço",AO$12&lt;&gt;0,$H694&gt;0,OR(AUTOEVENTO&lt;&gt;"manual",$M694&lt;&gt;1)),ROUND(OFFSET($P694,0,AO$13),15-13*ORÇAMENTO!$AF$7)/$H694*OFFSET(ORÇAMENTO!$X$15,ROW(AO694)-ROW(AO$15),0),0)</f>
        <v>0</v>
      </c>
      <c r="AP694" s="632">
        <f ca="1">IF(AND($D694="Serviço",AP$12&lt;&gt;0,$H694&gt;0,OR(AUTOEVENTO&lt;&gt;"manual",$M694&lt;&gt;1)),ROUND(OFFSET($P694,0,AP$13),15-13*ORÇAMENTO!$AF$7)/$H694*OFFSET(ORÇAMENTO!$X$15,ROW(AP694)-ROW(AP$15),0),0)</f>
        <v>0</v>
      </c>
      <c r="AQ694" s="632">
        <f ca="1">IF(AND($D694="Serviço",AQ$12&lt;&gt;0,$H694&gt;0,OR(AUTOEVENTO&lt;&gt;"manual",$M694&lt;&gt;1)),ROUND(OFFSET($P694,0,AQ$13),15-13*ORÇAMENTO!$AF$7)/$H694*OFFSET(ORÇAMENTO!$X$15,ROW(AQ694)-ROW(AQ$15),0),0)</f>
        <v>0</v>
      </c>
      <c r="AR694" s="632">
        <f ca="1">IF(AND($D694="Serviço",AR$12&lt;&gt;0,$H694&gt;0,OR(AUTOEVENTO&lt;&gt;"manual",$M694&lt;&gt;1)),ROUND(OFFSET($P694,0,AR$13),15-13*ORÇAMENTO!$AF$7)/$H694*OFFSET(ORÇAMENTO!$X$15,ROW(AR694)-ROW(AR$15),0),0)</f>
        <v>0</v>
      </c>
      <c r="AS694" s="633">
        <f ca="1">IF(AND($D694="Serviço",AS$12&lt;&gt;0,$H694&gt;0,OR(AUTOEVENTO&lt;&gt;"manual",$M694&lt;&gt;1)),ROUND(OFFSET($P694,0,AS$13),15-13*ORÇAMENTO!$AF$7)/$H694*OFFSET(ORÇAMENTO!$X$15,ROW(AS694)-ROW(AS$15),0),0)</f>
        <v>0</v>
      </c>
      <c r="AT694" s="632">
        <f ca="1">IF(AND($D694="Serviço",AT$12&lt;&gt;0,$H694&gt;0,OR(AUTOEVENTO&lt;&gt;"manual",$M694&lt;&gt;1)),ROUND(OFFSET($P694,0,AT$13),15-13*ORÇAMENTO!$AF$7)/$H694*OFFSET(ORÇAMENTO!$X$15,ROW(AT694)-ROW(AT$15),0),0)</f>
        <v>0</v>
      </c>
      <c r="AU694" s="632">
        <f ca="1">IF(AND($D694="Serviço",AU$12&lt;&gt;0,$H694&gt;0,OR(AUTOEVENTO&lt;&gt;"manual",$M694&lt;&gt;1)),ROUND(OFFSET($P694,0,AU$13),15-13*ORÇAMENTO!$AF$7)/$H694*OFFSET(ORÇAMENTO!$X$15,ROW(AU694)-ROW(AU$15),0),0)</f>
        <v>0</v>
      </c>
      <c r="AV694" s="632">
        <f ca="1">IF(AND($D694="Serviço",AV$12&lt;&gt;0,$H694&gt;0,OR(AUTOEVENTO&lt;&gt;"manual",$M694&lt;&gt;1)),ROUND(OFFSET($P694,0,AV$13),15-13*ORÇAMENTO!$AF$7)/$H694*OFFSET(ORÇAMENTO!$X$15,ROW(AV694)-ROW(AV$15),0),0)</f>
        <v>0</v>
      </c>
      <c r="AW694" s="632">
        <f ca="1">IF(AND($D694="Serviço",AW$12&lt;&gt;0,$H694&gt;0,OR(AUTOEVENTO&lt;&gt;"manual",$M694&lt;&gt;1)),ROUND(OFFSET($P694,0,AW$13),15-13*ORÇAMENTO!$AF$7)/$H694*OFFSET(ORÇAMENTO!$X$15,ROW(AW694)-ROW(AW$15),0),0)</f>
        <v>0</v>
      </c>
      <c r="AX694" s="632">
        <f ca="1">IF(AND($D694="Serviço",AX$12&lt;&gt;0,$H694&gt;0,OR(AUTOEVENTO&lt;&gt;"manual",$M694&lt;&gt;1)),ROUND(OFFSET($P694,0,AX$13),15-13*ORÇAMENTO!$AF$7)/$H694*OFFSET(ORÇAMENTO!$X$15,ROW(AX694)-ROW(AX$15),0),0)</f>
        <v>0</v>
      </c>
      <c r="AY694" s="632">
        <f ca="1">IF(AND($D694="Serviço",AY$12&lt;&gt;0,$H694&gt;0,OR(AUTOEVENTO&lt;&gt;"manual",$M694&lt;&gt;1)),ROUND(OFFSET($P694,0,AY$13),15-13*ORÇAMENTO!$AF$7)/$H694*OFFSET(ORÇAMENTO!$X$15,ROW(AY694)-ROW(AY$15),0),0)</f>
        <v>0</v>
      </c>
      <c r="AZ694" s="632">
        <f ca="1">IF(AND($D694="Serviço",AZ$12&lt;&gt;0,$H694&gt;0,OR(AUTOEVENTO&lt;&gt;"manual",$M694&lt;&gt;1)),ROUND(OFFSET($P694,0,AZ$13),15-13*ORÇAMENTO!$AF$7)/$H694*OFFSET(ORÇAMENTO!$X$15,ROW(AZ694)-ROW(AZ$15),0),0)</f>
        <v>0</v>
      </c>
      <c r="BA694" s="633">
        <f ca="1">IF(AND($D694="Serviço",BA$12&lt;&gt;0,$H694&gt;0,OR(AUTOEVENTO&lt;&gt;"manual",$M694&lt;&gt;1)),ROUND(OFFSET($P694,0,BA$13),15-13*ORÇAMENTO!$AF$7)/$H694*OFFSET(ORÇAMENTO!$X$15,ROW(BA694)-ROW(BA$15),0),0)</f>
        <v>0</v>
      </c>
      <c r="BC694" s="215">
        <f ca="1">IF($D694&lt;&gt;"Serviço",0,IF(AND(AUTOEVENTO="Manual",$M694=1),0,IF(OFFSET(CRONOPLE!$F$14,$M694,BC$13)="",10^12,OFFSET(CRONOPLE!$F$14,$M694,BC$13))))</f>
        <v>1000000000000</v>
      </c>
      <c r="BD694" s="215">
        <f ca="1">IF($D694&lt;&gt;"Serviço",0,IF(AND(AUTOEVENTO="Manual",$M694=1),0,IF(OFFSET(CRONOPLE!$F$14,$M694,BD$13)="",10^12,OFFSET(CRONOPLE!$F$14,$M694,BD$13))))</f>
        <v>1000000000000</v>
      </c>
      <c r="BE694" s="215">
        <f ca="1">IF($D694&lt;&gt;"Serviço",0,IF(AND(AUTOEVENTO="Manual",$M694=1),0,IF(OFFSET(CRONOPLE!$F$14,$M694,BE$13)="",10^12,OFFSET(CRONOPLE!$F$14,$M694,BE$13))))</f>
        <v>1000000000000</v>
      </c>
      <c r="BF694" s="215">
        <f ca="1">IF($D694&lt;&gt;"Serviço",0,IF(AND(AUTOEVENTO="Manual",$M694=1),0,IF(OFFSET(CRONOPLE!$F$14,$M694,BF$13)="",10^12,OFFSET(CRONOPLE!$F$14,$M694,BF$13))))</f>
        <v>1000000000000</v>
      </c>
      <c r="BG694" s="215">
        <f ca="1">IF($D694&lt;&gt;"Serviço",0,IF(AND(AUTOEVENTO="Manual",$M694=1),0,IF(OFFSET(CRONOPLE!$F$14,$M694,BG$13)="",10^12,OFFSET(CRONOPLE!$F$14,$M694,BG$13))))</f>
        <v>1000000000000</v>
      </c>
      <c r="BH694" s="215">
        <f ca="1">IF($D694&lt;&gt;"Serviço",0,IF(AND(AUTOEVENTO="Manual",$M694=1),0,IF(OFFSET(CRONOPLE!$F$14,$M694,BH$13)="",10^12,OFFSET(CRONOPLE!$F$14,$M694,BH$13))))</f>
        <v>1000000000000</v>
      </c>
      <c r="BI694" s="215">
        <f ca="1">IF($D694&lt;&gt;"Serviço",0,IF(AND(AUTOEVENTO="Manual",$M694=1),0,IF(OFFSET(CRONOPLE!$F$14,$M694,BI$13)="",10^12,OFFSET(CRONOPLE!$F$14,$M694,BI$13))))</f>
        <v>1000000000000</v>
      </c>
      <c r="BJ694" s="215">
        <f ca="1">IF($D694&lt;&gt;"Serviço",0,IF(AND(AUTOEVENTO="Manual",$M694=1),0,IF(OFFSET(CRONOPLE!$F$14,$M694,BJ$13)="",10^12,OFFSET(CRONOPLE!$F$14,$M694,BJ$13))))</f>
        <v>1000000000000</v>
      </c>
      <c r="BK694" s="215">
        <f ca="1">IF($D694&lt;&gt;"Serviço",0,IF(AND(AUTOEVENTO="Manual",$M694=1),0,IF(OFFSET(CRONOPLE!$F$14,$M694,BK$13)="",10^12,OFFSET(CRONOPLE!$F$14,$M694,BK$13))))</f>
        <v>1000000000000</v>
      </c>
      <c r="BL694" s="215">
        <f ca="1">IF($D694&lt;&gt;"Serviço",0,IF(AND(AUTOEVENTO="Manual",$M694=1),0,IF(OFFSET(CRONOPLE!$F$14,$M694,BL$13)="",10^12,OFFSET(CRONOPLE!$F$14,$M694,BL$13))))</f>
        <v>1000000000000</v>
      </c>
      <c r="BM694" s="215">
        <f ca="1">IF($D694&lt;&gt;"Serviço",0,IF(AND(AUTOEVENTO="Manual",$M694=1),0,IF(OFFSET(CRONOPLE!$F$14,$M694,BM$13)="",10^12,OFFSET(CRONOPLE!$F$14,$M694,BM$13))))</f>
        <v>1000000000000</v>
      </c>
      <c r="BN694" s="215">
        <f ca="1">IF($D694&lt;&gt;"Serviço",0,IF(AND(AUTOEVENTO="Manual",$M694=1),0,IF(OFFSET(CRONOPLE!$F$14,$M694,BN$13)="",10^12,OFFSET(CRONOPLE!$F$14,$M694,BN$13))))</f>
        <v>1000000000000</v>
      </c>
      <c r="BO694" s="215">
        <f ca="1">IF($D694&lt;&gt;"Serviço",0,IF(AND(AUTOEVENTO="Manual",$M694=1),0,IF(OFFSET(CRONOPLE!$F$14,$M694,BO$13)="",10^12,OFFSET(CRONOPLE!$F$14,$M694,BO$13))))</f>
        <v>1000000000000</v>
      </c>
      <c r="BP694" s="215">
        <f ca="1">IF($D694&lt;&gt;"Serviço",0,IF(AND(AUTOEVENTO="Manual",$M694=1),0,IF(OFFSET(CRONOPLE!$F$14,$M694,BP$13)="",10^12,OFFSET(CRONOPLE!$F$14,$M694,BP$13))))</f>
        <v>1000000000000</v>
      </c>
      <c r="BQ694" s="215">
        <f ca="1">IF($D694&lt;&gt;"Serviço",0,IF(AND(AUTOEVENTO="Manual",$M694=1),0,IF(OFFSET(CRONOPLE!$F$14,$M694,BQ$13)="",10^12,OFFSET(CRONOPLE!$F$14,$M694,BQ$13))))</f>
        <v>1000000000000</v>
      </c>
      <c r="BR694" s="215">
        <f ca="1">IF($D694&lt;&gt;"Serviço",0,IF(AND(AUTOEVENTO="Manual",$M694=1),0,IF(OFFSET(CRONOPLE!$F$14,$M694,BR$13)="",10^12,OFFSET(CRONOPLE!$F$14,$M694,BR$13))))</f>
        <v>1000000000000</v>
      </c>
      <c r="BS694" s="215">
        <f ca="1">IF($D694&lt;&gt;"Serviço",0,IF(AND(AUTOEVENTO="Manual",$M694=1),0,IF(OFFSET(CRONOPLE!$F$14,$M694,BS$13)="",10^12,OFFSET(CRONOPLE!$F$14,$M694,BS$13))))</f>
        <v>1000000000000</v>
      </c>
      <c r="BT694" s="215">
        <f ca="1">IF($D694&lt;&gt;"Serviço",0,IF(AND(AUTOEVENTO="Manual",$M694=1),0,IF(OFFSET(CRONOPLE!$F$14,$M694,BT$13)="",10^12,OFFSET(CRONOPLE!$F$14,$M694,BT$13))))</f>
        <v>1000000000000</v>
      </c>
      <c r="BV694" s="216">
        <f ca="1">IF($D694&lt;&gt;"Serviço",0,IF(OR(AND(AUTOEVENTO="Manual",$M694=1),$M694&gt;(ROW(PLE.lastrow)-ROW(PLE.firstrow))),0,IF(OFFSET(PLE!$G$14,$M694,BV$13)="",10^12,OFFSET(PLE!$G$14,$M694,BV$13))))</f>
        <v>1000000000000</v>
      </c>
      <c r="BW694" s="216">
        <f ca="1">IF($D694&lt;&gt;"Serviço",0,IF(OR(AND(AUTOEVENTO="Manual",$M694=1),$M694&gt;(ROW(PLE.lastrow)-ROW(PLE.firstrow))),0,IF(OFFSET(PLE!$G$14,$M694,BW$13)="",10^12,OFFSET(PLE!$G$14,$M694,BW$13))))</f>
        <v>1000000000000</v>
      </c>
      <c r="BX694" s="216">
        <f ca="1">IF($D694&lt;&gt;"Serviço",0,IF(OR(AND(AUTOEVENTO="Manual",$M694=1),$M694&gt;(ROW(PLE.lastrow)-ROW(PLE.firstrow))),0,IF(OFFSET(PLE!$G$14,$M694,BX$13)="",10^12,OFFSET(PLE!$G$14,$M694,BX$13))))</f>
        <v>1000000000000</v>
      </c>
      <c r="BY694" s="216">
        <f ca="1">IF($D694&lt;&gt;"Serviço",0,IF(OR(AND(AUTOEVENTO="Manual",$M694=1),$M694&gt;(ROW(PLE.lastrow)-ROW(PLE.firstrow))),0,IF(OFFSET(PLE!$G$14,$M694,BY$13)="",10^12,OFFSET(PLE!$G$14,$M694,BY$13))))</f>
        <v>1000000000000</v>
      </c>
      <c r="BZ694" s="216">
        <f ca="1">IF($D694&lt;&gt;"Serviço",0,IF(OR(AND(AUTOEVENTO="Manual",$M694=1),$M694&gt;(ROW(PLE.lastrow)-ROW(PLE.firstrow))),0,IF(OFFSET(PLE!$G$14,$M694,BZ$13)="",10^12,OFFSET(PLE!$G$14,$M694,BZ$13))))</f>
        <v>1000000000000</v>
      </c>
      <c r="CA694" s="216">
        <f ca="1">IF($D694&lt;&gt;"Serviço",0,IF(OR(AND(AUTOEVENTO="Manual",$M694=1),$M694&gt;(ROW(PLE.lastrow)-ROW(PLE.firstrow))),0,IF(OFFSET(PLE!$G$14,$M694,CA$13)="",10^12,OFFSET(PLE!$G$14,$M694,CA$13))))</f>
        <v>1000000000000</v>
      </c>
      <c r="CB694" s="216">
        <f ca="1">IF($D694&lt;&gt;"Serviço",0,IF(OR(AND(AUTOEVENTO="Manual",$M694=1),$M694&gt;(ROW(PLE.lastrow)-ROW(PLE.firstrow))),0,IF(OFFSET(PLE!$G$14,$M694,CB$13)="",10^12,OFFSET(PLE!$G$14,$M694,CB$13))))</f>
        <v>1000000000000</v>
      </c>
      <c r="CC694" s="216">
        <f ca="1">IF($D694&lt;&gt;"Serviço",0,IF(OR(AND(AUTOEVENTO="Manual",$M694=1),$M694&gt;(ROW(PLE.lastrow)-ROW(PLE.firstrow))),0,IF(OFFSET(PLE!$G$14,$M694,CC$13)="",10^12,OFFSET(PLE!$G$14,$M694,CC$13))))</f>
        <v>1000000000000</v>
      </c>
      <c r="CD694" s="216">
        <f ca="1">IF($D694&lt;&gt;"Serviço",0,IF(OR(AND(AUTOEVENTO="Manual",$M694=1),$M694&gt;(ROW(PLE.lastrow)-ROW(PLE.firstrow))),0,IF(OFFSET(PLE!$G$14,$M694,CD$13)="",10^12,OFFSET(PLE!$G$14,$M694,CD$13))))</f>
        <v>1000000000000</v>
      </c>
      <c r="CE694" s="216">
        <f ca="1">IF($D694&lt;&gt;"Serviço",0,IF(OR(AND(AUTOEVENTO="Manual",$M694=1),$M694&gt;(ROW(PLE.lastrow)-ROW(PLE.firstrow))),0,IF(OFFSET(PLE!$G$14,$M694,CE$13)="",10^12,OFFSET(PLE!$G$14,$M694,CE$13))))</f>
        <v>1000000000000</v>
      </c>
      <c r="CF694" s="216">
        <f ca="1">IF($D694&lt;&gt;"Serviço",0,IF(OR(AND(AUTOEVENTO="Manual",$M694=1),$M694&gt;(ROW(PLE.lastrow)-ROW(PLE.firstrow))),0,IF(OFFSET(PLE!$G$14,$M694,CF$13)="",10^12,OFFSET(PLE!$G$14,$M694,CF$13))))</f>
        <v>1000000000000</v>
      </c>
      <c r="CG694" s="216">
        <f ca="1">IF($D694&lt;&gt;"Serviço",0,IF(OR(AND(AUTOEVENTO="Manual",$M694=1),$M694&gt;(ROW(PLE.lastrow)-ROW(PLE.firstrow))),0,IF(OFFSET(PLE!$G$14,$M694,CG$13)="",10^12,OFFSET(PLE!$G$14,$M694,CG$13))))</f>
        <v>1000000000000</v>
      </c>
      <c r="CH694" s="216">
        <f ca="1">IF($D694&lt;&gt;"Serviço",0,IF(OR(AND(AUTOEVENTO="Manual",$M694=1),$M694&gt;(ROW(PLE.lastrow)-ROW(PLE.firstrow))),0,IF(OFFSET(PLE!$G$14,$M694,CH$13)="",10^12,OFFSET(PLE!$G$14,$M694,CH$13))))</f>
        <v>1000000000000</v>
      </c>
      <c r="CI694" s="216">
        <f ca="1">IF($D694&lt;&gt;"Serviço",0,IF(OR(AND(AUTOEVENTO="Manual",$M694=1),$M694&gt;(ROW(PLE.lastrow)-ROW(PLE.firstrow))),0,IF(OFFSET(PLE!$G$14,$M694,CI$13)="",10^12,OFFSET(PLE!$G$14,$M694,CI$13))))</f>
        <v>1000000000000</v>
      </c>
      <c r="CJ694" s="216">
        <f ca="1">IF($D694&lt;&gt;"Serviço",0,IF(OR(AND(AUTOEVENTO="Manual",$M694=1),$M694&gt;(ROW(PLE.lastrow)-ROW(PLE.firstrow))),0,IF(OFFSET(PLE!$G$14,$M694,CJ$13)="",10^12,OFFSET(PLE!$G$14,$M694,CJ$13))))</f>
        <v>1000000000000</v>
      </c>
      <c r="CK694" s="216">
        <f ca="1">IF($D694&lt;&gt;"Serviço",0,IF(OR(AND(AUTOEVENTO="Manual",$M694=1),$M694&gt;(ROW(PLE.lastrow)-ROW(PLE.firstrow))),0,IF(OFFSET(PLE!$G$14,$M694,CK$13)="",10^12,OFFSET(PLE!$G$14,$M694,CK$13))))</f>
        <v>1000000000000</v>
      </c>
      <c r="CL694" s="216">
        <f ca="1">IF($D694&lt;&gt;"Serviço",0,IF(OR(AND(AUTOEVENTO="Manual",$M694=1),$M694&gt;(ROW(PLE.lastrow)-ROW(PLE.firstrow))),0,IF(OFFSET(PLE!$G$14,$M694,CL$13)="",10^12,OFFSET(PLE!$G$14,$M694,CL$13))))</f>
        <v>1000000000000</v>
      </c>
      <c r="CM694" s="216">
        <f ca="1">IF($D694&lt;&gt;"Serviço",0,IF(OR(AND(AUTOEVENTO="Manual",$M694=1),$M694&gt;(ROW(PLE.lastrow)-ROW(PLE.firstrow))),0,IF(OFFSET(PLE!$G$14,$M694,CM$13)="",10^12,OFFSET(PLE!$G$14,$M694,CM$13))))</f>
        <v>1000000000000</v>
      </c>
    </row>
    <row r="695" spans="1:91" ht="13.2" x14ac:dyDescent="0.25">
      <c r="A695" s="9">
        <f t="shared" ca="1" si="20"/>
        <v>0</v>
      </c>
      <c r="B695" s="9" t="str">
        <f ca="1">OFFSET(ORÇAMENTO!C$15,ROW(B695)-ROW(B$15),0)</f>
        <v>S</v>
      </c>
      <c r="C695" s="9" t="str">
        <f ca="1">OFFSET(ORÇAMENTO!L$15,ROW(C695)-ROW(C$15),0)</f>
        <v/>
      </c>
      <c r="D695" s="145" t="str">
        <f ca="1">OFFSET(ORÇAMENTO!N$15,ROW(D695)-ROW(D$15),0)</f>
        <v>Serviço</v>
      </c>
      <c r="E695" s="205" t="str">
        <f ca="1">OFFSET(ORÇAMENTO!O$15,ROW(E695)-ROW(E$15),0)</f>
        <v>-</v>
      </c>
      <c r="F695" s="206" t="str">
        <f ca="1">OFFSET(ORÇAMENTO!R$15,ROW(F695)-ROW(F$15),0)</f>
        <v>(abra o arquivo 'Referência 05-2024.xls)</v>
      </c>
      <c r="G695" s="207" t="str">
        <f ca="1">IF($D695&lt;&gt;"Serviço","",OFFSET(ORÇAMENTO!S$15,ROW(G695)-ROW(G$15),0))</f>
        <v>-</v>
      </c>
      <c r="H695" s="151">
        <f ca="1">IF($D695&lt;&gt;"Serviço",0,IF(ACOMPANHAMENTO="BM",ROUND(OFFSET(ORÇAMENTO!AJ$15,ROW(H695)-ROW(H$15),0),15-13*ORÇAMENTO!$AF$7),SUMPRODUCT(($Q$12:$AI$12&lt;&gt;"")*ROUND($Q695:$AI695,15-13*ORÇAMENTO!$AF$7))))</f>
        <v>24</v>
      </c>
      <c r="I695" s="650"/>
      <c r="K695" s="208"/>
      <c r="L695" s="209" t="s">
        <v>257</v>
      </c>
      <c r="M695" s="210">
        <f ca="1">IF($D695&lt;&gt;"Serviço","",IF(AUTOEVENTO="manual",$A695,IF(ISERROR(MATCH($A695,$A$15:OFFSET($A695,-1,0),0)),MAX($M$15:OFFSET(M695,-1,0))+1,INDEX($M$15:OFFSET(M695,-1,0),MATCH($A695,$A$15:OFFSET($A695,-1,0),0)))))</f>
        <v>0</v>
      </c>
      <c r="N695" s="211" t="str">
        <f ca="1">IF($D695&lt;&gt;"Serviço","",IF(AUTOEVENTO="Manual",IF($A695=0,"&lt;-- defina o número do agrupador",OFFSET(EVENTOS!$D$14,$A695,0)),OFFSET($F$15,$A695,0)))</f>
        <v>&lt;-- defina o número do agrupador</v>
      </c>
      <c r="O695" s="212"/>
      <c r="Q695" s="212"/>
      <c r="R695" s="213"/>
      <c r="S695" s="213"/>
      <c r="T695" s="213"/>
      <c r="U695" s="213"/>
      <c r="V695" s="213"/>
      <c r="W695" s="213"/>
      <c r="X695" s="213"/>
      <c r="Y695" s="213"/>
      <c r="Z695" s="214"/>
      <c r="AA695" s="213"/>
      <c r="AB695" s="213"/>
      <c r="AC695" s="213"/>
      <c r="AD695" s="213"/>
      <c r="AE695" s="213"/>
      <c r="AF695" s="213"/>
      <c r="AG695" s="213"/>
      <c r="AH695" s="214"/>
      <c r="AJ695" s="631">
        <f ca="1">IF(AND($D695="Serviço",AJ$12&lt;&gt;0,$H695&gt;0,OR(AUTOEVENTO&lt;&gt;"manual",$M695&lt;&gt;1)),ROUND(OFFSET($P695,0,AJ$13),15-13*ORÇAMENTO!$AF$7)/$H695*OFFSET(ORÇAMENTO!$X$15,ROW(AJ695)-ROW(AJ$15),0),0)</f>
        <v>0</v>
      </c>
      <c r="AK695" s="632">
        <f ca="1">IF(AND($D695="Serviço",AK$12&lt;&gt;0,$H695&gt;0,OR(AUTOEVENTO&lt;&gt;"manual",$M695&lt;&gt;1)),ROUND(OFFSET($P695,0,AK$13),15-13*ORÇAMENTO!$AF$7)/$H695*OFFSET(ORÇAMENTO!$X$15,ROW(AK695)-ROW(AK$15),0),0)</f>
        <v>0</v>
      </c>
      <c r="AL695" s="632">
        <f ca="1">IF(AND($D695="Serviço",AL$12&lt;&gt;0,$H695&gt;0,OR(AUTOEVENTO&lt;&gt;"manual",$M695&lt;&gt;1)),ROUND(OFFSET($P695,0,AL$13),15-13*ORÇAMENTO!$AF$7)/$H695*OFFSET(ORÇAMENTO!$X$15,ROW(AL695)-ROW(AL$15),0),0)</f>
        <v>0</v>
      </c>
      <c r="AM695" s="632">
        <f ca="1">IF(AND($D695="Serviço",AM$12&lt;&gt;0,$H695&gt;0,OR(AUTOEVENTO&lt;&gt;"manual",$M695&lt;&gt;1)),ROUND(OFFSET($P695,0,AM$13),15-13*ORÇAMENTO!$AF$7)/$H695*OFFSET(ORÇAMENTO!$X$15,ROW(AM695)-ROW(AM$15),0),0)</f>
        <v>0</v>
      </c>
      <c r="AN695" s="632">
        <f ca="1">IF(AND($D695="Serviço",AN$12&lt;&gt;0,$H695&gt;0,OR(AUTOEVENTO&lt;&gt;"manual",$M695&lt;&gt;1)),ROUND(OFFSET($P695,0,AN$13),15-13*ORÇAMENTO!$AF$7)/$H695*OFFSET(ORÇAMENTO!$X$15,ROW(AN695)-ROW(AN$15),0),0)</f>
        <v>0</v>
      </c>
      <c r="AO695" s="632">
        <f ca="1">IF(AND($D695="Serviço",AO$12&lt;&gt;0,$H695&gt;0,OR(AUTOEVENTO&lt;&gt;"manual",$M695&lt;&gt;1)),ROUND(OFFSET($P695,0,AO$13),15-13*ORÇAMENTO!$AF$7)/$H695*OFFSET(ORÇAMENTO!$X$15,ROW(AO695)-ROW(AO$15),0),0)</f>
        <v>0</v>
      </c>
      <c r="AP695" s="632">
        <f ca="1">IF(AND($D695="Serviço",AP$12&lt;&gt;0,$H695&gt;0,OR(AUTOEVENTO&lt;&gt;"manual",$M695&lt;&gt;1)),ROUND(OFFSET($P695,0,AP$13),15-13*ORÇAMENTO!$AF$7)/$H695*OFFSET(ORÇAMENTO!$X$15,ROW(AP695)-ROW(AP$15),0),0)</f>
        <v>0</v>
      </c>
      <c r="AQ695" s="632">
        <f ca="1">IF(AND($D695="Serviço",AQ$12&lt;&gt;0,$H695&gt;0,OR(AUTOEVENTO&lt;&gt;"manual",$M695&lt;&gt;1)),ROUND(OFFSET($P695,0,AQ$13),15-13*ORÇAMENTO!$AF$7)/$H695*OFFSET(ORÇAMENTO!$X$15,ROW(AQ695)-ROW(AQ$15),0),0)</f>
        <v>0</v>
      </c>
      <c r="AR695" s="632">
        <f ca="1">IF(AND($D695="Serviço",AR$12&lt;&gt;0,$H695&gt;0,OR(AUTOEVENTO&lt;&gt;"manual",$M695&lt;&gt;1)),ROUND(OFFSET($P695,0,AR$13),15-13*ORÇAMENTO!$AF$7)/$H695*OFFSET(ORÇAMENTO!$X$15,ROW(AR695)-ROW(AR$15),0),0)</f>
        <v>0</v>
      </c>
      <c r="AS695" s="633">
        <f ca="1">IF(AND($D695="Serviço",AS$12&lt;&gt;0,$H695&gt;0,OR(AUTOEVENTO&lt;&gt;"manual",$M695&lt;&gt;1)),ROUND(OFFSET($P695,0,AS$13),15-13*ORÇAMENTO!$AF$7)/$H695*OFFSET(ORÇAMENTO!$X$15,ROW(AS695)-ROW(AS$15),0),0)</f>
        <v>0</v>
      </c>
      <c r="AT695" s="632">
        <f ca="1">IF(AND($D695="Serviço",AT$12&lt;&gt;0,$H695&gt;0,OR(AUTOEVENTO&lt;&gt;"manual",$M695&lt;&gt;1)),ROUND(OFFSET($P695,0,AT$13),15-13*ORÇAMENTO!$AF$7)/$H695*OFFSET(ORÇAMENTO!$X$15,ROW(AT695)-ROW(AT$15),0),0)</f>
        <v>0</v>
      </c>
      <c r="AU695" s="632">
        <f ca="1">IF(AND($D695="Serviço",AU$12&lt;&gt;0,$H695&gt;0,OR(AUTOEVENTO&lt;&gt;"manual",$M695&lt;&gt;1)),ROUND(OFFSET($P695,0,AU$13),15-13*ORÇAMENTO!$AF$7)/$H695*OFFSET(ORÇAMENTO!$X$15,ROW(AU695)-ROW(AU$15),0),0)</f>
        <v>0</v>
      </c>
      <c r="AV695" s="632">
        <f ca="1">IF(AND($D695="Serviço",AV$12&lt;&gt;0,$H695&gt;0,OR(AUTOEVENTO&lt;&gt;"manual",$M695&lt;&gt;1)),ROUND(OFFSET($P695,0,AV$13),15-13*ORÇAMENTO!$AF$7)/$H695*OFFSET(ORÇAMENTO!$X$15,ROW(AV695)-ROW(AV$15),0),0)</f>
        <v>0</v>
      </c>
      <c r="AW695" s="632">
        <f ca="1">IF(AND($D695="Serviço",AW$12&lt;&gt;0,$H695&gt;0,OR(AUTOEVENTO&lt;&gt;"manual",$M695&lt;&gt;1)),ROUND(OFFSET($P695,0,AW$13),15-13*ORÇAMENTO!$AF$7)/$H695*OFFSET(ORÇAMENTO!$X$15,ROW(AW695)-ROW(AW$15),0),0)</f>
        <v>0</v>
      </c>
      <c r="AX695" s="632">
        <f ca="1">IF(AND($D695="Serviço",AX$12&lt;&gt;0,$H695&gt;0,OR(AUTOEVENTO&lt;&gt;"manual",$M695&lt;&gt;1)),ROUND(OFFSET($P695,0,AX$13),15-13*ORÇAMENTO!$AF$7)/$H695*OFFSET(ORÇAMENTO!$X$15,ROW(AX695)-ROW(AX$15),0),0)</f>
        <v>0</v>
      </c>
      <c r="AY695" s="632">
        <f ca="1">IF(AND($D695="Serviço",AY$12&lt;&gt;0,$H695&gt;0,OR(AUTOEVENTO&lt;&gt;"manual",$M695&lt;&gt;1)),ROUND(OFFSET($P695,0,AY$13),15-13*ORÇAMENTO!$AF$7)/$H695*OFFSET(ORÇAMENTO!$X$15,ROW(AY695)-ROW(AY$15),0),0)</f>
        <v>0</v>
      </c>
      <c r="AZ695" s="632">
        <f ca="1">IF(AND($D695="Serviço",AZ$12&lt;&gt;0,$H695&gt;0,OR(AUTOEVENTO&lt;&gt;"manual",$M695&lt;&gt;1)),ROUND(OFFSET($P695,0,AZ$13),15-13*ORÇAMENTO!$AF$7)/$H695*OFFSET(ORÇAMENTO!$X$15,ROW(AZ695)-ROW(AZ$15),0),0)</f>
        <v>0</v>
      </c>
      <c r="BA695" s="633">
        <f ca="1">IF(AND($D695="Serviço",BA$12&lt;&gt;0,$H695&gt;0,OR(AUTOEVENTO&lt;&gt;"manual",$M695&lt;&gt;1)),ROUND(OFFSET($P695,0,BA$13),15-13*ORÇAMENTO!$AF$7)/$H695*OFFSET(ORÇAMENTO!$X$15,ROW(BA695)-ROW(BA$15),0),0)</f>
        <v>0</v>
      </c>
      <c r="BC695" s="215">
        <f ca="1">IF($D695&lt;&gt;"Serviço",0,IF(AND(AUTOEVENTO="Manual",$M695=1),0,IF(OFFSET(CRONOPLE!$F$14,$M695,BC$13)="",10^12,OFFSET(CRONOPLE!$F$14,$M695,BC$13))))</f>
        <v>1000000000000</v>
      </c>
      <c r="BD695" s="215">
        <f ca="1">IF($D695&lt;&gt;"Serviço",0,IF(AND(AUTOEVENTO="Manual",$M695=1),0,IF(OFFSET(CRONOPLE!$F$14,$M695,BD$13)="",10^12,OFFSET(CRONOPLE!$F$14,$M695,BD$13))))</f>
        <v>1000000000000</v>
      </c>
      <c r="BE695" s="215">
        <f ca="1">IF($D695&lt;&gt;"Serviço",0,IF(AND(AUTOEVENTO="Manual",$M695=1),0,IF(OFFSET(CRONOPLE!$F$14,$M695,BE$13)="",10^12,OFFSET(CRONOPLE!$F$14,$M695,BE$13))))</f>
        <v>1000000000000</v>
      </c>
      <c r="BF695" s="215">
        <f ca="1">IF($D695&lt;&gt;"Serviço",0,IF(AND(AUTOEVENTO="Manual",$M695=1),0,IF(OFFSET(CRONOPLE!$F$14,$M695,BF$13)="",10^12,OFFSET(CRONOPLE!$F$14,$M695,BF$13))))</f>
        <v>1000000000000</v>
      </c>
      <c r="BG695" s="215">
        <f ca="1">IF($D695&lt;&gt;"Serviço",0,IF(AND(AUTOEVENTO="Manual",$M695=1),0,IF(OFFSET(CRONOPLE!$F$14,$M695,BG$13)="",10^12,OFFSET(CRONOPLE!$F$14,$M695,BG$13))))</f>
        <v>1000000000000</v>
      </c>
      <c r="BH695" s="215">
        <f ca="1">IF($D695&lt;&gt;"Serviço",0,IF(AND(AUTOEVENTO="Manual",$M695=1),0,IF(OFFSET(CRONOPLE!$F$14,$M695,BH$13)="",10^12,OFFSET(CRONOPLE!$F$14,$M695,BH$13))))</f>
        <v>1000000000000</v>
      </c>
      <c r="BI695" s="215">
        <f ca="1">IF($D695&lt;&gt;"Serviço",0,IF(AND(AUTOEVENTO="Manual",$M695=1),0,IF(OFFSET(CRONOPLE!$F$14,$M695,BI$13)="",10^12,OFFSET(CRONOPLE!$F$14,$M695,BI$13))))</f>
        <v>1000000000000</v>
      </c>
      <c r="BJ695" s="215">
        <f ca="1">IF($D695&lt;&gt;"Serviço",0,IF(AND(AUTOEVENTO="Manual",$M695=1),0,IF(OFFSET(CRONOPLE!$F$14,$M695,BJ$13)="",10^12,OFFSET(CRONOPLE!$F$14,$M695,BJ$13))))</f>
        <v>1000000000000</v>
      </c>
      <c r="BK695" s="215">
        <f ca="1">IF($D695&lt;&gt;"Serviço",0,IF(AND(AUTOEVENTO="Manual",$M695=1),0,IF(OFFSET(CRONOPLE!$F$14,$M695,BK$13)="",10^12,OFFSET(CRONOPLE!$F$14,$M695,BK$13))))</f>
        <v>1000000000000</v>
      </c>
      <c r="BL695" s="215">
        <f ca="1">IF($D695&lt;&gt;"Serviço",0,IF(AND(AUTOEVENTO="Manual",$M695=1),0,IF(OFFSET(CRONOPLE!$F$14,$M695,BL$13)="",10^12,OFFSET(CRONOPLE!$F$14,$M695,BL$13))))</f>
        <v>1000000000000</v>
      </c>
      <c r="BM695" s="215">
        <f ca="1">IF($D695&lt;&gt;"Serviço",0,IF(AND(AUTOEVENTO="Manual",$M695=1),0,IF(OFFSET(CRONOPLE!$F$14,$M695,BM$13)="",10^12,OFFSET(CRONOPLE!$F$14,$M695,BM$13))))</f>
        <v>1000000000000</v>
      </c>
      <c r="BN695" s="215">
        <f ca="1">IF($D695&lt;&gt;"Serviço",0,IF(AND(AUTOEVENTO="Manual",$M695=1),0,IF(OFFSET(CRONOPLE!$F$14,$M695,BN$13)="",10^12,OFFSET(CRONOPLE!$F$14,$M695,BN$13))))</f>
        <v>1000000000000</v>
      </c>
      <c r="BO695" s="215">
        <f ca="1">IF($D695&lt;&gt;"Serviço",0,IF(AND(AUTOEVENTO="Manual",$M695=1),0,IF(OFFSET(CRONOPLE!$F$14,$M695,BO$13)="",10^12,OFFSET(CRONOPLE!$F$14,$M695,BO$13))))</f>
        <v>1000000000000</v>
      </c>
      <c r="BP695" s="215">
        <f ca="1">IF($D695&lt;&gt;"Serviço",0,IF(AND(AUTOEVENTO="Manual",$M695=1),0,IF(OFFSET(CRONOPLE!$F$14,$M695,BP$13)="",10^12,OFFSET(CRONOPLE!$F$14,$M695,BP$13))))</f>
        <v>1000000000000</v>
      </c>
      <c r="BQ695" s="215">
        <f ca="1">IF($D695&lt;&gt;"Serviço",0,IF(AND(AUTOEVENTO="Manual",$M695=1),0,IF(OFFSET(CRONOPLE!$F$14,$M695,BQ$13)="",10^12,OFFSET(CRONOPLE!$F$14,$M695,BQ$13))))</f>
        <v>1000000000000</v>
      </c>
      <c r="BR695" s="215">
        <f ca="1">IF($D695&lt;&gt;"Serviço",0,IF(AND(AUTOEVENTO="Manual",$M695=1),0,IF(OFFSET(CRONOPLE!$F$14,$M695,BR$13)="",10^12,OFFSET(CRONOPLE!$F$14,$M695,BR$13))))</f>
        <v>1000000000000</v>
      </c>
      <c r="BS695" s="215">
        <f ca="1">IF($D695&lt;&gt;"Serviço",0,IF(AND(AUTOEVENTO="Manual",$M695=1),0,IF(OFFSET(CRONOPLE!$F$14,$M695,BS$13)="",10^12,OFFSET(CRONOPLE!$F$14,$M695,BS$13))))</f>
        <v>1000000000000</v>
      </c>
      <c r="BT695" s="215">
        <f ca="1">IF($D695&lt;&gt;"Serviço",0,IF(AND(AUTOEVENTO="Manual",$M695=1),0,IF(OFFSET(CRONOPLE!$F$14,$M695,BT$13)="",10^12,OFFSET(CRONOPLE!$F$14,$M695,BT$13))))</f>
        <v>1000000000000</v>
      </c>
      <c r="BV695" s="216">
        <f ca="1">IF($D695&lt;&gt;"Serviço",0,IF(OR(AND(AUTOEVENTO="Manual",$M695=1),$M695&gt;(ROW(PLE.lastrow)-ROW(PLE.firstrow))),0,IF(OFFSET(PLE!$G$14,$M695,BV$13)="",10^12,OFFSET(PLE!$G$14,$M695,BV$13))))</f>
        <v>1000000000000</v>
      </c>
      <c r="BW695" s="216">
        <f ca="1">IF($D695&lt;&gt;"Serviço",0,IF(OR(AND(AUTOEVENTO="Manual",$M695=1),$M695&gt;(ROW(PLE.lastrow)-ROW(PLE.firstrow))),0,IF(OFFSET(PLE!$G$14,$M695,BW$13)="",10^12,OFFSET(PLE!$G$14,$M695,BW$13))))</f>
        <v>1000000000000</v>
      </c>
      <c r="BX695" s="216">
        <f ca="1">IF($D695&lt;&gt;"Serviço",0,IF(OR(AND(AUTOEVENTO="Manual",$M695=1),$M695&gt;(ROW(PLE.lastrow)-ROW(PLE.firstrow))),0,IF(OFFSET(PLE!$G$14,$M695,BX$13)="",10^12,OFFSET(PLE!$G$14,$M695,BX$13))))</f>
        <v>1000000000000</v>
      </c>
      <c r="BY695" s="216">
        <f ca="1">IF($D695&lt;&gt;"Serviço",0,IF(OR(AND(AUTOEVENTO="Manual",$M695=1),$M695&gt;(ROW(PLE.lastrow)-ROW(PLE.firstrow))),0,IF(OFFSET(PLE!$G$14,$M695,BY$13)="",10^12,OFFSET(PLE!$G$14,$M695,BY$13))))</f>
        <v>1000000000000</v>
      </c>
      <c r="BZ695" s="216">
        <f ca="1">IF($D695&lt;&gt;"Serviço",0,IF(OR(AND(AUTOEVENTO="Manual",$M695=1),$M695&gt;(ROW(PLE.lastrow)-ROW(PLE.firstrow))),0,IF(OFFSET(PLE!$G$14,$M695,BZ$13)="",10^12,OFFSET(PLE!$G$14,$M695,BZ$13))))</f>
        <v>1000000000000</v>
      </c>
      <c r="CA695" s="216">
        <f ca="1">IF($D695&lt;&gt;"Serviço",0,IF(OR(AND(AUTOEVENTO="Manual",$M695=1),$M695&gt;(ROW(PLE.lastrow)-ROW(PLE.firstrow))),0,IF(OFFSET(PLE!$G$14,$M695,CA$13)="",10^12,OFFSET(PLE!$G$14,$M695,CA$13))))</f>
        <v>1000000000000</v>
      </c>
      <c r="CB695" s="216">
        <f ca="1">IF($D695&lt;&gt;"Serviço",0,IF(OR(AND(AUTOEVENTO="Manual",$M695=1),$M695&gt;(ROW(PLE.lastrow)-ROW(PLE.firstrow))),0,IF(OFFSET(PLE!$G$14,$M695,CB$13)="",10^12,OFFSET(PLE!$G$14,$M695,CB$13))))</f>
        <v>1000000000000</v>
      </c>
      <c r="CC695" s="216">
        <f ca="1">IF($D695&lt;&gt;"Serviço",0,IF(OR(AND(AUTOEVENTO="Manual",$M695=1),$M695&gt;(ROW(PLE.lastrow)-ROW(PLE.firstrow))),0,IF(OFFSET(PLE!$G$14,$M695,CC$13)="",10^12,OFFSET(PLE!$G$14,$M695,CC$13))))</f>
        <v>1000000000000</v>
      </c>
      <c r="CD695" s="216">
        <f ca="1">IF($D695&lt;&gt;"Serviço",0,IF(OR(AND(AUTOEVENTO="Manual",$M695=1),$M695&gt;(ROW(PLE.lastrow)-ROW(PLE.firstrow))),0,IF(OFFSET(PLE!$G$14,$M695,CD$13)="",10^12,OFFSET(PLE!$G$14,$M695,CD$13))))</f>
        <v>1000000000000</v>
      </c>
      <c r="CE695" s="216">
        <f ca="1">IF($D695&lt;&gt;"Serviço",0,IF(OR(AND(AUTOEVENTO="Manual",$M695=1),$M695&gt;(ROW(PLE.lastrow)-ROW(PLE.firstrow))),0,IF(OFFSET(PLE!$G$14,$M695,CE$13)="",10^12,OFFSET(PLE!$G$14,$M695,CE$13))))</f>
        <v>1000000000000</v>
      </c>
      <c r="CF695" s="216">
        <f ca="1">IF($D695&lt;&gt;"Serviço",0,IF(OR(AND(AUTOEVENTO="Manual",$M695=1),$M695&gt;(ROW(PLE.lastrow)-ROW(PLE.firstrow))),0,IF(OFFSET(PLE!$G$14,$M695,CF$13)="",10^12,OFFSET(PLE!$G$14,$M695,CF$13))))</f>
        <v>1000000000000</v>
      </c>
      <c r="CG695" s="216">
        <f ca="1">IF($D695&lt;&gt;"Serviço",0,IF(OR(AND(AUTOEVENTO="Manual",$M695=1),$M695&gt;(ROW(PLE.lastrow)-ROW(PLE.firstrow))),0,IF(OFFSET(PLE!$G$14,$M695,CG$13)="",10^12,OFFSET(PLE!$G$14,$M695,CG$13))))</f>
        <v>1000000000000</v>
      </c>
      <c r="CH695" s="216">
        <f ca="1">IF($D695&lt;&gt;"Serviço",0,IF(OR(AND(AUTOEVENTO="Manual",$M695=1),$M695&gt;(ROW(PLE.lastrow)-ROW(PLE.firstrow))),0,IF(OFFSET(PLE!$G$14,$M695,CH$13)="",10^12,OFFSET(PLE!$G$14,$M695,CH$13))))</f>
        <v>1000000000000</v>
      </c>
      <c r="CI695" s="216">
        <f ca="1">IF($D695&lt;&gt;"Serviço",0,IF(OR(AND(AUTOEVENTO="Manual",$M695=1),$M695&gt;(ROW(PLE.lastrow)-ROW(PLE.firstrow))),0,IF(OFFSET(PLE!$G$14,$M695,CI$13)="",10^12,OFFSET(PLE!$G$14,$M695,CI$13))))</f>
        <v>1000000000000</v>
      </c>
      <c r="CJ695" s="216">
        <f ca="1">IF($D695&lt;&gt;"Serviço",0,IF(OR(AND(AUTOEVENTO="Manual",$M695=1),$M695&gt;(ROW(PLE.lastrow)-ROW(PLE.firstrow))),0,IF(OFFSET(PLE!$G$14,$M695,CJ$13)="",10^12,OFFSET(PLE!$G$14,$M695,CJ$13))))</f>
        <v>1000000000000</v>
      </c>
      <c r="CK695" s="216">
        <f ca="1">IF($D695&lt;&gt;"Serviço",0,IF(OR(AND(AUTOEVENTO="Manual",$M695=1),$M695&gt;(ROW(PLE.lastrow)-ROW(PLE.firstrow))),0,IF(OFFSET(PLE!$G$14,$M695,CK$13)="",10^12,OFFSET(PLE!$G$14,$M695,CK$13))))</f>
        <v>1000000000000</v>
      </c>
      <c r="CL695" s="216">
        <f ca="1">IF($D695&lt;&gt;"Serviço",0,IF(OR(AND(AUTOEVENTO="Manual",$M695=1),$M695&gt;(ROW(PLE.lastrow)-ROW(PLE.firstrow))),0,IF(OFFSET(PLE!$G$14,$M695,CL$13)="",10^12,OFFSET(PLE!$G$14,$M695,CL$13))))</f>
        <v>1000000000000</v>
      </c>
      <c r="CM695" s="216">
        <f ca="1">IF($D695&lt;&gt;"Serviço",0,IF(OR(AND(AUTOEVENTO="Manual",$M695=1),$M695&gt;(ROW(PLE.lastrow)-ROW(PLE.firstrow))),0,IF(OFFSET(PLE!$G$14,$M695,CM$13)="",10^12,OFFSET(PLE!$G$14,$M695,CM$13))))</f>
        <v>1000000000000</v>
      </c>
    </row>
    <row r="696" spans="1:91" ht="13.2" x14ac:dyDescent="0.25">
      <c r="A696" s="9">
        <f t="shared" ca="1" si="20"/>
        <v>0</v>
      </c>
      <c r="B696" s="9" t="str">
        <f ca="1">OFFSET(ORÇAMENTO!C$15,ROW(B696)-ROW(B$15),0)</f>
        <v>S</v>
      </c>
      <c r="C696" s="9" t="str">
        <f ca="1">OFFSET(ORÇAMENTO!L$15,ROW(C696)-ROW(C$15),0)</f>
        <v/>
      </c>
      <c r="D696" s="145" t="str">
        <f ca="1">OFFSET(ORÇAMENTO!N$15,ROW(D696)-ROW(D$15),0)</f>
        <v>Serviço</v>
      </c>
      <c r="E696" s="205" t="str">
        <f ca="1">OFFSET(ORÇAMENTO!O$15,ROW(E696)-ROW(E$15),0)</f>
        <v>-</v>
      </c>
      <c r="F696" s="206" t="str">
        <f ca="1">OFFSET(ORÇAMENTO!R$15,ROW(F696)-ROW(F$15),0)</f>
        <v>(abra o arquivo 'Referência 05-2024.xls)</v>
      </c>
      <c r="G696" s="207" t="str">
        <f ca="1">IF($D696&lt;&gt;"Serviço","",OFFSET(ORÇAMENTO!S$15,ROW(G696)-ROW(G$15),0))</f>
        <v>-</v>
      </c>
      <c r="H696" s="151">
        <f ca="1">IF($D696&lt;&gt;"Serviço",0,IF(ACOMPANHAMENTO="BM",ROUND(OFFSET(ORÇAMENTO!AJ$15,ROW(H696)-ROW(H$15),0),15-13*ORÇAMENTO!$AF$7),SUMPRODUCT(($Q$12:$AI$12&lt;&gt;"")*ROUND($Q696:$AI696,15-13*ORÇAMENTO!$AF$7))))</f>
        <v>85.38</v>
      </c>
      <c r="I696" s="650"/>
      <c r="K696" s="208"/>
      <c r="L696" s="209" t="s">
        <v>257</v>
      </c>
      <c r="M696" s="210">
        <f ca="1">IF($D696&lt;&gt;"Serviço","",IF(AUTOEVENTO="manual",$A696,IF(ISERROR(MATCH($A696,$A$15:OFFSET($A696,-1,0),0)),MAX($M$15:OFFSET(M696,-1,0))+1,INDEX($M$15:OFFSET(M696,-1,0),MATCH($A696,$A$15:OFFSET($A696,-1,0),0)))))</f>
        <v>0</v>
      </c>
      <c r="N696" s="211" t="str">
        <f ca="1">IF($D696&lt;&gt;"Serviço","",IF(AUTOEVENTO="Manual",IF($A696=0,"&lt;-- defina o número do agrupador",OFFSET(EVENTOS!$D$14,$A696,0)),OFFSET($F$15,$A696,0)))</f>
        <v>&lt;-- defina o número do agrupador</v>
      </c>
      <c r="O696" s="212"/>
      <c r="Q696" s="212"/>
      <c r="R696" s="213"/>
      <c r="S696" s="213"/>
      <c r="T696" s="213"/>
      <c r="U696" s="213"/>
      <c r="V696" s="213"/>
      <c r="W696" s="213"/>
      <c r="X696" s="213"/>
      <c r="Y696" s="213"/>
      <c r="Z696" s="214"/>
      <c r="AA696" s="213"/>
      <c r="AB696" s="213"/>
      <c r="AC696" s="213"/>
      <c r="AD696" s="213"/>
      <c r="AE696" s="213"/>
      <c r="AF696" s="213"/>
      <c r="AG696" s="213"/>
      <c r="AH696" s="214"/>
      <c r="AJ696" s="631">
        <f ca="1">IF(AND($D696="Serviço",AJ$12&lt;&gt;0,$H696&gt;0,OR(AUTOEVENTO&lt;&gt;"manual",$M696&lt;&gt;1)),ROUND(OFFSET($P696,0,AJ$13),15-13*ORÇAMENTO!$AF$7)/$H696*OFFSET(ORÇAMENTO!$X$15,ROW(AJ696)-ROW(AJ$15),0),0)</f>
        <v>0</v>
      </c>
      <c r="AK696" s="632">
        <f ca="1">IF(AND($D696="Serviço",AK$12&lt;&gt;0,$H696&gt;0,OR(AUTOEVENTO&lt;&gt;"manual",$M696&lt;&gt;1)),ROUND(OFFSET($P696,0,AK$13),15-13*ORÇAMENTO!$AF$7)/$H696*OFFSET(ORÇAMENTO!$X$15,ROW(AK696)-ROW(AK$15),0),0)</f>
        <v>0</v>
      </c>
      <c r="AL696" s="632">
        <f ca="1">IF(AND($D696="Serviço",AL$12&lt;&gt;0,$H696&gt;0,OR(AUTOEVENTO&lt;&gt;"manual",$M696&lt;&gt;1)),ROUND(OFFSET($P696,0,AL$13),15-13*ORÇAMENTO!$AF$7)/$H696*OFFSET(ORÇAMENTO!$X$15,ROW(AL696)-ROW(AL$15),0),0)</f>
        <v>0</v>
      </c>
      <c r="AM696" s="632">
        <f ca="1">IF(AND($D696="Serviço",AM$12&lt;&gt;0,$H696&gt;0,OR(AUTOEVENTO&lt;&gt;"manual",$M696&lt;&gt;1)),ROUND(OFFSET($P696,0,AM$13),15-13*ORÇAMENTO!$AF$7)/$H696*OFFSET(ORÇAMENTO!$X$15,ROW(AM696)-ROW(AM$15),0),0)</f>
        <v>0</v>
      </c>
      <c r="AN696" s="632">
        <f ca="1">IF(AND($D696="Serviço",AN$12&lt;&gt;0,$H696&gt;0,OR(AUTOEVENTO&lt;&gt;"manual",$M696&lt;&gt;1)),ROUND(OFFSET($P696,0,AN$13),15-13*ORÇAMENTO!$AF$7)/$H696*OFFSET(ORÇAMENTO!$X$15,ROW(AN696)-ROW(AN$15),0),0)</f>
        <v>0</v>
      </c>
      <c r="AO696" s="632">
        <f ca="1">IF(AND($D696="Serviço",AO$12&lt;&gt;0,$H696&gt;0,OR(AUTOEVENTO&lt;&gt;"manual",$M696&lt;&gt;1)),ROUND(OFFSET($P696,0,AO$13),15-13*ORÇAMENTO!$AF$7)/$H696*OFFSET(ORÇAMENTO!$X$15,ROW(AO696)-ROW(AO$15),0),0)</f>
        <v>0</v>
      </c>
      <c r="AP696" s="632">
        <f ca="1">IF(AND($D696="Serviço",AP$12&lt;&gt;0,$H696&gt;0,OR(AUTOEVENTO&lt;&gt;"manual",$M696&lt;&gt;1)),ROUND(OFFSET($P696,0,AP$13),15-13*ORÇAMENTO!$AF$7)/$H696*OFFSET(ORÇAMENTO!$X$15,ROW(AP696)-ROW(AP$15),0),0)</f>
        <v>0</v>
      </c>
      <c r="AQ696" s="632">
        <f ca="1">IF(AND($D696="Serviço",AQ$12&lt;&gt;0,$H696&gt;0,OR(AUTOEVENTO&lt;&gt;"manual",$M696&lt;&gt;1)),ROUND(OFFSET($P696,0,AQ$13),15-13*ORÇAMENTO!$AF$7)/$H696*OFFSET(ORÇAMENTO!$X$15,ROW(AQ696)-ROW(AQ$15),0),0)</f>
        <v>0</v>
      </c>
      <c r="AR696" s="632">
        <f ca="1">IF(AND($D696="Serviço",AR$12&lt;&gt;0,$H696&gt;0,OR(AUTOEVENTO&lt;&gt;"manual",$M696&lt;&gt;1)),ROUND(OFFSET($P696,0,AR$13),15-13*ORÇAMENTO!$AF$7)/$H696*OFFSET(ORÇAMENTO!$X$15,ROW(AR696)-ROW(AR$15),0),0)</f>
        <v>0</v>
      </c>
      <c r="AS696" s="633">
        <f ca="1">IF(AND($D696="Serviço",AS$12&lt;&gt;0,$H696&gt;0,OR(AUTOEVENTO&lt;&gt;"manual",$M696&lt;&gt;1)),ROUND(OFFSET($P696,0,AS$13),15-13*ORÇAMENTO!$AF$7)/$H696*OFFSET(ORÇAMENTO!$X$15,ROW(AS696)-ROW(AS$15),0),0)</f>
        <v>0</v>
      </c>
      <c r="AT696" s="632">
        <f ca="1">IF(AND($D696="Serviço",AT$12&lt;&gt;0,$H696&gt;0,OR(AUTOEVENTO&lt;&gt;"manual",$M696&lt;&gt;1)),ROUND(OFFSET($P696,0,AT$13),15-13*ORÇAMENTO!$AF$7)/$H696*OFFSET(ORÇAMENTO!$X$15,ROW(AT696)-ROW(AT$15),0),0)</f>
        <v>0</v>
      </c>
      <c r="AU696" s="632">
        <f ca="1">IF(AND($D696="Serviço",AU$12&lt;&gt;0,$H696&gt;0,OR(AUTOEVENTO&lt;&gt;"manual",$M696&lt;&gt;1)),ROUND(OFFSET($P696,0,AU$13),15-13*ORÇAMENTO!$AF$7)/$H696*OFFSET(ORÇAMENTO!$X$15,ROW(AU696)-ROW(AU$15),0),0)</f>
        <v>0</v>
      </c>
      <c r="AV696" s="632">
        <f ca="1">IF(AND($D696="Serviço",AV$12&lt;&gt;0,$H696&gt;0,OR(AUTOEVENTO&lt;&gt;"manual",$M696&lt;&gt;1)),ROUND(OFFSET($P696,0,AV$13),15-13*ORÇAMENTO!$AF$7)/$H696*OFFSET(ORÇAMENTO!$X$15,ROW(AV696)-ROW(AV$15),0),0)</f>
        <v>0</v>
      </c>
      <c r="AW696" s="632">
        <f ca="1">IF(AND($D696="Serviço",AW$12&lt;&gt;0,$H696&gt;0,OR(AUTOEVENTO&lt;&gt;"manual",$M696&lt;&gt;1)),ROUND(OFFSET($P696,0,AW$13),15-13*ORÇAMENTO!$AF$7)/$H696*OFFSET(ORÇAMENTO!$X$15,ROW(AW696)-ROW(AW$15),0),0)</f>
        <v>0</v>
      </c>
      <c r="AX696" s="632">
        <f ca="1">IF(AND($D696="Serviço",AX$12&lt;&gt;0,$H696&gt;0,OR(AUTOEVENTO&lt;&gt;"manual",$M696&lt;&gt;1)),ROUND(OFFSET($P696,0,AX$13),15-13*ORÇAMENTO!$AF$7)/$H696*OFFSET(ORÇAMENTO!$X$15,ROW(AX696)-ROW(AX$15),0),0)</f>
        <v>0</v>
      </c>
      <c r="AY696" s="632">
        <f ca="1">IF(AND($D696="Serviço",AY$12&lt;&gt;0,$H696&gt;0,OR(AUTOEVENTO&lt;&gt;"manual",$M696&lt;&gt;1)),ROUND(OFFSET($P696,0,AY$13),15-13*ORÇAMENTO!$AF$7)/$H696*OFFSET(ORÇAMENTO!$X$15,ROW(AY696)-ROW(AY$15),0),0)</f>
        <v>0</v>
      </c>
      <c r="AZ696" s="632">
        <f ca="1">IF(AND($D696="Serviço",AZ$12&lt;&gt;0,$H696&gt;0,OR(AUTOEVENTO&lt;&gt;"manual",$M696&lt;&gt;1)),ROUND(OFFSET($P696,0,AZ$13),15-13*ORÇAMENTO!$AF$7)/$H696*OFFSET(ORÇAMENTO!$X$15,ROW(AZ696)-ROW(AZ$15),0),0)</f>
        <v>0</v>
      </c>
      <c r="BA696" s="633">
        <f ca="1">IF(AND($D696="Serviço",BA$12&lt;&gt;0,$H696&gt;0,OR(AUTOEVENTO&lt;&gt;"manual",$M696&lt;&gt;1)),ROUND(OFFSET($P696,0,BA$13),15-13*ORÇAMENTO!$AF$7)/$H696*OFFSET(ORÇAMENTO!$X$15,ROW(BA696)-ROW(BA$15),0),0)</f>
        <v>0</v>
      </c>
      <c r="BC696" s="215">
        <f ca="1">IF($D696&lt;&gt;"Serviço",0,IF(AND(AUTOEVENTO="Manual",$M696=1),0,IF(OFFSET(CRONOPLE!$F$14,$M696,BC$13)="",10^12,OFFSET(CRONOPLE!$F$14,$M696,BC$13))))</f>
        <v>1000000000000</v>
      </c>
      <c r="BD696" s="215">
        <f ca="1">IF($D696&lt;&gt;"Serviço",0,IF(AND(AUTOEVENTO="Manual",$M696=1),0,IF(OFFSET(CRONOPLE!$F$14,$M696,BD$13)="",10^12,OFFSET(CRONOPLE!$F$14,$M696,BD$13))))</f>
        <v>1000000000000</v>
      </c>
      <c r="BE696" s="215">
        <f ca="1">IF($D696&lt;&gt;"Serviço",0,IF(AND(AUTOEVENTO="Manual",$M696=1),0,IF(OFFSET(CRONOPLE!$F$14,$M696,BE$13)="",10^12,OFFSET(CRONOPLE!$F$14,$M696,BE$13))))</f>
        <v>1000000000000</v>
      </c>
      <c r="BF696" s="215">
        <f ca="1">IF($D696&lt;&gt;"Serviço",0,IF(AND(AUTOEVENTO="Manual",$M696=1),0,IF(OFFSET(CRONOPLE!$F$14,$M696,BF$13)="",10^12,OFFSET(CRONOPLE!$F$14,$M696,BF$13))))</f>
        <v>1000000000000</v>
      </c>
      <c r="BG696" s="215">
        <f ca="1">IF($D696&lt;&gt;"Serviço",0,IF(AND(AUTOEVENTO="Manual",$M696=1),0,IF(OFFSET(CRONOPLE!$F$14,$M696,BG$13)="",10^12,OFFSET(CRONOPLE!$F$14,$M696,BG$13))))</f>
        <v>1000000000000</v>
      </c>
      <c r="BH696" s="215">
        <f ca="1">IF($D696&lt;&gt;"Serviço",0,IF(AND(AUTOEVENTO="Manual",$M696=1),0,IF(OFFSET(CRONOPLE!$F$14,$M696,BH$13)="",10^12,OFFSET(CRONOPLE!$F$14,$M696,BH$13))))</f>
        <v>1000000000000</v>
      </c>
      <c r="BI696" s="215">
        <f ca="1">IF($D696&lt;&gt;"Serviço",0,IF(AND(AUTOEVENTO="Manual",$M696=1),0,IF(OFFSET(CRONOPLE!$F$14,$M696,BI$13)="",10^12,OFFSET(CRONOPLE!$F$14,$M696,BI$13))))</f>
        <v>1000000000000</v>
      </c>
      <c r="BJ696" s="215">
        <f ca="1">IF($D696&lt;&gt;"Serviço",0,IF(AND(AUTOEVENTO="Manual",$M696=1),0,IF(OFFSET(CRONOPLE!$F$14,$M696,BJ$13)="",10^12,OFFSET(CRONOPLE!$F$14,$M696,BJ$13))))</f>
        <v>1000000000000</v>
      </c>
      <c r="BK696" s="215">
        <f ca="1">IF($D696&lt;&gt;"Serviço",0,IF(AND(AUTOEVENTO="Manual",$M696=1),0,IF(OFFSET(CRONOPLE!$F$14,$M696,BK$13)="",10^12,OFFSET(CRONOPLE!$F$14,$M696,BK$13))))</f>
        <v>1000000000000</v>
      </c>
      <c r="BL696" s="215">
        <f ca="1">IF($D696&lt;&gt;"Serviço",0,IF(AND(AUTOEVENTO="Manual",$M696=1),0,IF(OFFSET(CRONOPLE!$F$14,$M696,BL$13)="",10^12,OFFSET(CRONOPLE!$F$14,$M696,BL$13))))</f>
        <v>1000000000000</v>
      </c>
      <c r="BM696" s="215">
        <f ca="1">IF($D696&lt;&gt;"Serviço",0,IF(AND(AUTOEVENTO="Manual",$M696=1),0,IF(OFFSET(CRONOPLE!$F$14,$M696,BM$13)="",10^12,OFFSET(CRONOPLE!$F$14,$M696,BM$13))))</f>
        <v>1000000000000</v>
      </c>
      <c r="BN696" s="215">
        <f ca="1">IF($D696&lt;&gt;"Serviço",0,IF(AND(AUTOEVENTO="Manual",$M696=1),0,IF(OFFSET(CRONOPLE!$F$14,$M696,BN$13)="",10^12,OFFSET(CRONOPLE!$F$14,$M696,BN$13))))</f>
        <v>1000000000000</v>
      </c>
      <c r="BO696" s="215">
        <f ca="1">IF($D696&lt;&gt;"Serviço",0,IF(AND(AUTOEVENTO="Manual",$M696=1),0,IF(OFFSET(CRONOPLE!$F$14,$M696,BO$13)="",10^12,OFFSET(CRONOPLE!$F$14,$M696,BO$13))))</f>
        <v>1000000000000</v>
      </c>
      <c r="BP696" s="215">
        <f ca="1">IF($D696&lt;&gt;"Serviço",0,IF(AND(AUTOEVENTO="Manual",$M696=1),0,IF(OFFSET(CRONOPLE!$F$14,$M696,BP$13)="",10^12,OFFSET(CRONOPLE!$F$14,$M696,BP$13))))</f>
        <v>1000000000000</v>
      </c>
      <c r="BQ696" s="215">
        <f ca="1">IF($D696&lt;&gt;"Serviço",0,IF(AND(AUTOEVENTO="Manual",$M696=1),0,IF(OFFSET(CRONOPLE!$F$14,$M696,BQ$13)="",10^12,OFFSET(CRONOPLE!$F$14,$M696,BQ$13))))</f>
        <v>1000000000000</v>
      </c>
      <c r="BR696" s="215">
        <f ca="1">IF($D696&lt;&gt;"Serviço",0,IF(AND(AUTOEVENTO="Manual",$M696=1),0,IF(OFFSET(CRONOPLE!$F$14,$M696,BR$13)="",10^12,OFFSET(CRONOPLE!$F$14,$M696,BR$13))))</f>
        <v>1000000000000</v>
      </c>
      <c r="BS696" s="215">
        <f ca="1">IF($D696&lt;&gt;"Serviço",0,IF(AND(AUTOEVENTO="Manual",$M696=1),0,IF(OFFSET(CRONOPLE!$F$14,$M696,BS$13)="",10^12,OFFSET(CRONOPLE!$F$14,$M696,BS$13))))</f>
        <v>1000000000000</v>
      </c>
      <c r="BT696" s="215">
        <f ca="1">IF($D696&lt;&gt;"Serviço",0,IF(AND(AUTOEVENTO="Manual",$M696=1),0,IF(OFFSET(CRONOPLE!$F$14,$M696,BT$13)="",10^12,OFFSET(CRONOPLE!$F$14,$M696,BT$13))))</f>
        <v>1000000000000</v>
      </c>
      <c r="BV696" s="216">
        <f ca="1">IF($D696&lt;&gt;"Serviço",0,IF(OR(AND(AUTOEVENTO="Manual",$M696=1),$M696&gt;(ROW(PLE.lastrow)-ROW(PLE.firstrow))),0,IF(OFFSET(PLE!$G$14,$M696,BV$13)="",10^12,OFFSET(PLE!$G$14,$M696,BV$13))))</f>
        <v>1000000000000</v>
      </c>
      <c r="BW696" s="216">
        <f ca="1">IF($D696&lt;&gt;"Serviço",0,IF(OR(AND(AUTOEVENTO="Manual",$M696=1),$M696&gt;(ROW(PLE.lastrow)-ROW(PLE.firstrow))),0,IF(OFFSET(PLE!$G$14,$M696,BW$13)="",10^12,OFFSET(PLE!$G$14,$M696,BW$13))))</f>
        <v>1000000000000</v>
      </c>
      <c r="BX696" s="216">
        <f ca="1">IF($D696&lt;&gt;"Serviço",0,IF(OR(AND(AUTOEVENTO="Manual",$M696=1),$M696&gt;(ROW(PLE.lastrow)-ROW(PLE.firstrow))),0,IF(OFFSET(PLE!$G$14,$M696,BX$13)="",10^12,OFFSET(PLE!$G$14,$M696,BX$13))))</f>
        <v>1000000000000</v>
      </c>
      <c r="BY696" s="216">
        <f ca="1">IF($D696&lt;&gt;"Serviço",0,IF(OR(AND(AUTOEVENTO="Manual",$M696=1),$M696&gt;(ROW(PLE.lastrow)-ROW(PLE.firstrow))),0,IF(OFFSET(PLE!$G$14,$M696,BY$13)="",10^12,OFFSET(PLE!$G$14,$M696,BY$13))))</f>
        <v>1000000000000</v>
      </c>
      <c r="BZ696" s="216">
        <f ca="1">IF($D696&lt;&gt;"Serviço",0,IF(OR(AND(AUTOEVENTO="Manual",$M696=1),$M696&gt;(ROW(PLE.lastrow)-ROW(PLE.firstrow))),0,IF(OFFSET(PLE!$G$14,$M696,BZ$13)="",10^12,OFFSET(PLE!$G$14,$M696,BZ$13))))</f>
        <v>1000000000000</v>
      </c>
      <c r="CA696" s="216">
        <f ca="1">IF($D696&lt;&gt;"Serviço",0,IF(OR(AND(AUTOEVENTO="Manual",$M696=1),$M696&gt;(ROW(PLE.lastrow)-ROW(PLE.firstrow))),0,IF(OFFSET(PLE!$G$14,$M696,CA$13)="",10^12,OFFSET(PLE!$G$14,$M696,CA$13))))</f>
        <v>1000000000000</v>
      </c>
      <c r="CB696" s="216">
        <f ca="1">IF($D696&lt;&gt;"Serviço",0,IF(OR(AND(AUTOEVENTO="Manual",$M696=1),$M696&gt;(ROW(PLE.lastrow)-ROW(PLE.firstrow))),0,IF(OFFSET(PLE!$G$14,$M696,CB$13)="",10^12,OFFSET(PLE!$G$14,$M696,CB$13))))</f>
        <v>1000000000000</v>
      </c>
      <c r="CC696" s="216">
        <f ca="1">IF($D696&lt;&gt;"Serviço",0,IF(OR(AND(AUTOEVENTO="Manual",$M696=1),$M696&gt;(ROW(PLE.lastrow)-ROW(PLE.firstrow))),0,IF(OFFSET(PLE!$G$14,$M696,CC$13)="",10^12,OFFSET(PLE!$G$14,$M696,CC$13))))</f>
        <v>1000000000000</v>
      </c>
      <c r="CD696" s="216">
        <f ca="1">IF($D696&lt;&gt;"Serviço",0,IF(OR(AND(AUTOEVENTO="Manual",$M696=1),$M696&gt;(ROW(PLE.lastrow)-ROW(PLE.firstrow))),0,IF(OFFSET(PLE!$G$14,$M696,CD$13)="",10^12,OFFSET(PLE!$G$14,$M696,CD$13))))</f>
        <v>1000000000000</v>
      </c>
      <c r="CE696" s="216">
        <f ca="1">IF($D696&lt;&gt;"Serviço",0,IF(OR(AND(AUTOEVENTO="Manual",$M696=1),$M696&gt;(ROW(PLE.lastrow)-ROW(PLE.firstrow))),0,IF(OFFSET(PLE!$G$14,$M696,CE$13)="",10^12,OFFSET(PLE!$G$14,$M696,CE$13))))</f>
        <v>1000000000000</v>
      </c>
      <c r="CF696" s="216">
        <f ca="1">IF($D696&lt;&gt;"Serviço",0,IF(OR(AND(AUTOEVENTO="Manual",$M696=1),$M696&gt;(ROW(PLE.lastrow)-ROW(PLE.firstrow))),0,IF(OFFSET(PLE!$G$14,$M696,CF$13)="",10^12,OFFSET(PLE!$G$14,$M696,CF$13))))</f>
        <v>1000000000000</v>
      </c>
      <c r="CG696" s="216">
        <f ca="1">IF($D696&lt;&gt;"Serviço",0,IF(OR(AND(AUTOEVENTO="Manual",$M696=1),$M696&gt;(ROW(PLE.lastrow)-ROW(PLE.firstrow))),0,IF(OFFSET(PLE!$G$14,$M696,CG$13)="",10^12,OFFSET(PLE!$G$14,$M696,CG$13))))</f>
        <v>1000000000000</v>
      </c>
      <c r="CH696" s="216">
        <f ca="1">IF($D696&lt;&gt;"Serviço",0,IF(OR(AND(AUTOEVENTO="Manual",$M696=1),$M696&gt;(ROW(PLE.lastrow)-ROW(PLE.firstrow))),0,IF(OFFSET(PLE!$G$14,$M696,CH$13)="",10^12,OFFSET(PLE!$G$14,$M696,CH$13))))</f>
        <v>1000000000000</v>
      </c>
      <c r="CI696" s="216">
        <f ca="1">IF($D696&lt;&gt;"Serviço",0,IF(OR(AND(AUTOEVENTO="Manual",$M696=1),$M696&gt;(ROW(PLE.lastrow)-ROW(PLE.firstrow))),0,IF(OFFSET(PLE!$G$14,$M696,CI$13)="",10^12,OFFSET(PLE!$G$14,$M696,CI$13))))</f>
        <v>1000000000000</v>
      </c>
      <c r="CJ696" s="216">
        <f ca="1">IF($D696&lt;&gt;"Serviço",0,IF(OR(AND(AUTOEVENTO="Manual",$M696=1),$M696&gt;(ROW(PLE.lastrow)-ROW(PLE.firstrow))),0,IF(OFFSET(PLE!$G$14,$M696,CJ$13)="",10^12,OFFSET(PLE!$G$14,$M696,CJ$13))))</f>
        <v>1000000000000</v>
      </c>
      <c r="CK696" s="216">
        <f ca="1">IF($D696&lt;&gt;"Serviço",0,IF(OR(AND(AUTOEVENTO="Manual",$M696=1),$M696&gt;(ROW(PLE.lastrow)-ROW(PLE.firstrow))),0,IF(OFFSET(PLE!$G$14,$M696,CK$13)="",10^12,OFFSET(PLE!$G$14,$M696,CK$13))))</f>
        <v>1000000000000</v>
      </c>
      <c r="CL696" s="216">
        <f ca="1">IF($D696&lt;&gt;"Serviço",0,IF(OR(AND(AUTOEVENTO="Manual",$M696=1),$M696&gt;(ROW(PLE.lastrow)-ROW(PLE.firstrow))),0,IF(OFFSET(PLE!$G$14,$M696,CL$13)="",10^12,OFFSET(PLE!$G$14,$M696,CL$13))))</f>
        <v>1000000000000</v>
      </c>
      <c r="CM696" s="216">
        <f ca="1">IF($D696&lt;&gt;"Serviço",0,IF(OR(AND(AUTOEVENTO="Manual",$M696=1),$M696&gt;(ROW(PLE.lastrow)-ROW(PLE.firstrow))),0,IF(OFFSET(PLE!$G$14,$M696,CM$13)="",10^12,OFFSET(PLE!$G$14,$M696,CM$13))))</f>
        <v>1000000000000</v>
      </c>
    </row>
    <row r="697" spans="1:91" ht="13.2" x14ac:dyDescent="0.25">
      <c r="A697" s="9">
        <f t="shared" ca="1" si="20"/>
        <v>0</v>
      </c>
      <c r="B697" s="9" t="str">
        <f ca="1">OFFSET(ORÇAMENTO!C$15,ROW(B697)-ROW(B$15),0)</f>
        <v>S</v>
      </c>
      <c r="C697" s="9" t="str">
        <f ca="1">OFFSET(ORÇAMENTO!L$15,ROW(C697)-ROW(C$15),0)</f>
        <v/>
      </c>
      <c r="D697" s="145" t="str">
        <f ca="1">OFFSET(ORÇAMENTO!N$15,ROW(D697)-ROW(D$15),0)</f>
        <v>Serviço</v>
      </c>
      <c r="E697" s="205" t="str">
        <f ca="1">OFFSET(ORÇAMENTO!O$15,ROW(E697)-ROW(E$15),0)</f>
        <v>-</v>
      </c>
      <c r="F697" s="206" t="str">
        <f ca="1">OFFSET(ORÇAMENTO!R$15,ROW(F697)-ROW(F$15),0)</f>
        <v>(abra o arquivo 'Referência 05-2024.xls)</v>
      </c>
      <c r="G697" s="207" t="str">
        <f ca="1">IF($D697&lt;&gt;"Serviço","",OFFSET(ORÇAMENTO!S$15,ROW(G697)-ROW(G$15),0))</f>
        <v>-</v>
      </c>
      <c r="H697" s="151">
        <f ca="1">IF($D697&lt;&gt;"Serviço",0,IF(ACOMPANHAMENTO="BM",ROUND(OFFSET(ORÇAMENTO!AJ$15,ROW(H697)-ROW(H$15),0),15-13*ORÇAMENTO!$AF$7),SUMPRODUCT(($Q$12:$AI$12&lt;&gt;"")*ROUND($Q697:$AI697,15-13*ORÇAMENTO!$AF$7))))</f>
        <v>87</v>
      </c>
      <c r="I697" s="650"/>
      <c r="K697" s="208"/>
      <c r="L697" s="209" t="s">
        <v>257</v>
      </c>
      <c r="M697" s="210">
        <f ca="1">IF($D697&lt;&gt;"Serviço","",IF(AUTOEVENTO="manual",$A697,IF(ISERROR(MATCH($A697,$A$15:OFFSET($A697,-1,0),0)),MAX($M$15:OFFSET(M697,-1,0))+1,INDEX($M$15:OFFSET(M697,-1,0),MATCH($A697,$A$15:OFFSET($A697,-1,0),0)))))</f>
        <v>0</v>
      </c>
      <c r="N697" s="211" t="str">
        <f ca="1">IF($D697&lt;&gt;"Serviço","",IF(AUTOEVENTO="Manual",IF($A697=0,"&lt;-- defina o número do agrupador",OFFSET(EVENTOS!$D$14,$A697,0)),OFFSET($F$15,$A697,0)))</f>
        <v>&lt;-- defina o número do agrupador</v>
      </c>
      <c r="O697" s="212"/>
      <c r="Q697" s="212"/>
      <c r="R697" s="213"/>
      <c r="S697" s="213"/>
      <c r="T697" s="213"/>
      <c r="U697" s="213"/>
      <c r="V697" s="213"/>
      <c r="W697" s="213"/>
      <c r="X697" s="213"/>
      <c r="Y697" s="213"/>
      <c r="Z697" s="214"/>
      <c r="AA697" s="213"/>
      <c r="AB697" s="213"/>
      <c r="AC697" s="213"/>
      <c r="AD697" s="213"/>
      <c r="AE697" s="213"/>
      <c r="AF697" s="213"/>
      <c r="AG697" s="213"/>
      <c r="AH697" s="214"/>
      <c r="AJ697" s="631">
        <f ca="1">IF(AND($D697="Serviço",AJ$12&lt;&gt;0,$H697&gt;0,OR(AUTOEVENTO&lt;&gt;"manual",$M697&lt;&gt;1)),ROUND(OFFSET($P697,0,AJ$13),15-13*ORÇAMENTO!$AF$7)/$H697*OFFSET(ORÇAMENTO!$X$15,ROW(AJ697)-ROW(AJ$15),0),0)</f>
        <v>0</v>
      </c>
      <c r="AK697" s="632">
        <f ca="1">IF(AND($D697="Serviço",AK$12&lt;&gt;0,$H697&gt;0,OR(AUTOEVENTO&lt;&gt;"manual",$M697&lt;&gt;1)),ROUND(OFFSET($P697,0,AK$13),15-13*ORÇAMENTO!$AF$7)/$H697*OFFSET(ORÇAMENTO!$X$15,ROW(AK697)-ROW(AK$15),0),0)</f>
        <v>0</v>
      </c>
      <c r="AL697" s="632">
        <f ca="1">IF(AND($D697="Serviço",AL$12&lt;&gt;0,$H697&gt;0,OR(AUTOEVENTO&lt;&gt;"manual",$M697&lt;&gt;1)),ROUND(OFFSET($P697,0,AL$13),15-13*ORÇAMENTO!$AF$7)/$H697*OFFSET(ORÇAMENTO!$X$15,ROW(AL697)-ROW(AL$15),0),0)</f>
        <v>0</v>
      </c>
      <c r="AM697" s="632">
        <f ca="1">IF(AND($D697="Serviço",AM$12&lt;&gt;0,$H697&gt;0,OR(AUTOEVENTO&lt;&gt;"manual",$M697&lt;&gt;1)),ROUND(OFFSET($P697,0,AM$13),15-13*ORÇAMENTO!$AF$7)/$H697*OFFSET(ORÇAMENTO!$X$15,ROW(AM697)-ROW(AM$15),0),0)</f>
        <v>0</v>
      </c>
      <c r="AN697" s="632">
        <f ca="1">IF(AND($D697="Serviço",AN$12&lt;&gt;0,$H697&gt;0,OR(AUTOEVENTO&lt;&gt;"manual",$M697&lt;&gt;1)),ROUND(OFFSET($P697,0,AN$13),15-13*ORÇAMENTO!$AF$7)/$H697*OFFSET(ORÇAMENTO!$X$15,ROW(AN697)-ROW(AN$15),0),0)</f>
        <v>0</v>
      </c>
      <c r="AO697" s="632">
        <f ca="1">IF(AND($D697="Serviço",AO$12&lt;&gt;0,$H697&gt;0,OR(AUTOEVENTO&lt;&gt;"manual",$M697&lt;&gt;1)),ROUND(OFFSET($P697,0,AO$13),15-13*ORÇAMENTO!$AF$7)/$H697*OFFSET(ORÇAMENTO!$X$15,ROW(AO697)-ROW(AO$15),0),0)</f>
        <v>0</v>
      </c>
      <c r="AP697" s="632">
        <f ca="1">IF(AND($D697="Serviço",AP$12&lt;&gt;0,$H697&gt;0,OR(AUTOEVENTO&lt;&gt;"manual",$M697&lt;&gt;1)),ROUND(OFFSET($P697,0,AP$13),15-13*ORÇAMENTO!$AF$7)/$H697*OFFSET(ORÇAMENTO!$X$15,ROW(AP697)-ROW(AP$15),0),0)</f>
        <v>0</v>
      </c>
      <c r="AQ697" s="632">
        <f ca="1">IF(AND($D697="Serviço",AQ$12&lt;&gt;0,$H697&gt;0,OR(AUTOEVENTO&lt;&gt;"manual",$M697&lt;&gt;1)),ROUND(OFFSET($P697,0,AQ$13),15-13*ORÇAMENTO!$AF$7)/$H697*OFFSET(ORÇAMENTO!$X$15,ROW(AQ697)-ROW(AQ$15),0),0)</f>
        <v>0</v>
      </c>
      <c r="AR697" s="632">
        <f ca="1">IF(AND($D697="Serviço",AR$12&lt;&gt;0,$H697&gt;0,OR(AUTOEVENTO&lt;&gt;"manual",$M697&lt;&gt;1)),ROUND(OFFSET($P697,0,AR$13),15-13*ORÇAMENTO!$AF$7)/$H697*OFFSET(ORÇAMENTO!$X$15,ROW(AR697)-ROW(AR$15),0),0)</f>
        <v>0</v>
      </c>
      <c r="AS697" s="633">
        <f ca="1">IF(AND($D697="Serviço",AS$12&lt;&gt;0,$H697&gt;0,OR(AUTOEVENTO&lt;&gt;"manual",$M697&lt;&gt;1)),ROUND(OFFSET($P697,0,AS$13),15-13*ORÇAMENTO!$AF$7)/$H697*OFFSET(ORÇAMENTO!$X$15,ROW(AS697)-ROW(AS$15),0),0)</f>
        <v>0</v>
      </c>
      <c r="AT697" s="632">
        <f ca="1">IF(AND($D697="Serviço",AT$12&lt;&gt;0,$H697&gt;0,OR(AUTOEVENTO&lt;&gt;"manual",$M697&lt;&gt;1)),ROUND(OFFSET($P697,0,AT$13),15-13*ORÇAMENTO!$AF$7)/$H697*OFFSET(ORÇAMENTO!$X$15,ROW(AT697)-ROW(AT$15),0),0)</f>
        <v>0</v>
      </c>
      <c r="AU697" s="632">
        <f ca="1">IF(AND($D697="Serviço",AU$12&lt;&gt;0,$H697&gt;0,OR(AUTOEVENTO&lt;&gt;"manual",$M697&lt;&gt;1)),ROUND(OFFSET($P697,0,AU$13),15-13*ORÇAMENTO!$AF$7)/$H697*OFFSET(ORÇAMENTO!$X$15,ROW(AU697)-ROW(AU$15),0),0)</f>
        <v>0</v>
      </c>
      <c r="AV697" s="632">
        <f ca="1">IF(AND($D697="Serviço",AV$12&lt;&gt;0,$H697&gt;0,OR(AUTOEVENTO&lt;&gt;"manual",$M697&lt;&gt;1)),ROUND(OFFSET($P697,0,AV$13),15-13*ORÇAMENTO!$AF$7)/$H697*OFFSET(ORÇAMENTO!$X$15,ROW(AV697)-ROW(AV$15),0),0)</f>
        <v>0</v>
      </c>
      <c r="AW697" s="632">
        <f ca="1">IF(AND($D697="Serviço",AW$12&lt;&gt;0,$H697&gt;0,OR(AUTOEVENTO&lt;&gt;"manual",$M697&lt;&gt;1)),ROUND(OFFSET($P697,0,AW$13),15-13*ORÇAMENTO!$AF$7)/$H697*OFFSET(ORÇAMENTO!$X$15,ROW(AW697)-ROW(AW$15),0),0)</f>
        <v>0</v>
      </c>
      <c r="AX697" s="632">
        <f ca="1">IF(AND($D697="Serviço",AX$12&lt;&gt;0,$H697&gt;0,OR(AUTOEVENTO&lt;&gt;"manual",$M697&lt;&gt;1)),ROUND(OFFSET($P697,0,AX$13),15-13*ORÇAMENTO!$AF$7)/$H697*OFFSET(ORÇAMENTO!$X$15,ROW(AX697)-ROW(AX$15),0),0)</f>
        <v>0</v>
      </c>
      <c r="AY697" s="632">
        <f ca="1">IF(AND($D697="Serviço",AY$12&lt;&gt;0,$H697&gt;0,OR(AUTOEVENTO&lt;&gt;"manual",$M697&lt;&gt;1)),ROUND(OFFSET($P697,0,AY$13),15-13*ORÇAMENTO!$AF$7)/$H697*OFFSET(ORÇAMENTO!$X$15,ROW(AY697)-ROW(AY$15),0),0)</f>
        <v>0</v>
      </c>
      <c r="AZ697" s="632">
        <f ca="1">IF(AND($D697="Serviço",AZ$12&lt;&gt;0,$H697&gt;0,OR(AUTOEVENTO&lt;&gt;"manual",$M697&lt;&gt;1)),ROUND(OFFSET($P697,0,AZ$13),15-13*ORÇAMENTO!$AF$7)/$H697*OFFSET(ORÇAMENTO!$X$15,ROW(AZ697)-ROW(AZ$15),0),0)</f>
        <v>0</v>
      </c>
      <c r="BA697" s="633">
        <f ca="1">IF(AND($D697="Serviço",BA$12&lt;&gt;0,$H697&gt;0,OR(AUTOEVENTO&lt;&gt;"manual",$M697&lt;&gt;1)),ROUND(OFFSET($P697,0,BA$13),15-13*ORÇAMENTO!$AF$7)/$H697*OFFSET(ORÇAMENTO!$X$15,ROW(BA697)-ROW(BA$15),0),0)</f>
        <v>0</v>
      </c>
      <c r="BC697" s="215">
        <f ca="1">IF($D697&lt;&gt;"Serviço",0,IF(AND(AUTOEVENTO="Manual",$M697=1),0,IF(OFFSET(CRONOPLE!$F$14,$M697,BC$13)="",10^12,OFFSET(CRONOPLE!$F$14,$M697,BC$13))))</f>
        <v>1000000000000</v>
      </c>
      <c r="BD697" s="215">
        <f ca="1">IF($D697&lt;&gt;"Serviço",0,IF(AND(AUTOEVENTO="Manual",$M697=1),0,IF(OFFSET(CRONOPLE!$F$14,$M697,BD$13)="",10^12,OFFSET(CRONOPLE!$F$14,$M697,BD$13))))</f>
        <v>1000000000000</v>
      </c>
      <c r="BE697" s="215">
        <f ca="1">IF($D697&lt;&gt;"Serviço",0,IF(AND(AUTOEVENTO="Manual",$M697=1),0,IF(OFFSET(CRONOPLE!$F$14,$M697,BE$13)="",10^12,OFFSET(CRONOPLE!$F$14,$M697,BE$13))))</f>
        <v>1000000000000</v>
      </c>
      <c r="BF697" s="215">
        <f ca="1">IF($D697&lt;&gt;"Serviço",0,IF(AND(AUTOEVENTO="Manual",$M697=1),0,IF(OFFSET(CRONOPLE!$F$14,$M697,BF$13)="",10^12,OFFSET(CRONOPLE!$F$14,$M697,BF$13))))</f>
        <v>1000000000000</v>
      </c>
      <c r="BG697" s="215">
        <f ca="1">IF($D697&lt;&gt;"Serviço",0,IF(AND(AUTOEVENTO="Manual",$M697=1),0,IF(OFFSET(CRONOPLE!$F$14,$M697,BG$13)="",10^12,OFFSET(CRONOPLE!$F$14,$M697,BG$13))))</f>
        <v>1000000000000</v>
      </c>
      <c r="BH697" s="215">
        <f ca="1">IF($D697&lt;&gt;"Serviço",0,IF(AND(AUTOEVENTO="Manual",$M697=1),0,IF(OFFSET(CRONOPLE!$F$14,$M697,BH$13)="",10^12,OFFSET(CRONOPLE!$F$14,$M697,BH$13))))</f>
        <v>1000000000000</v>
      </c>
      <c r="BI697" s="215">
        <f ca="1">IF($D697&lt;&gt;"Serviço",0,IF(AND(AUTOEVENTO="Manual",$M697=1),0,IF(OFFSET(CRONOPLE!$F$14,$M697,BI$13)="",10^12,OFFSET(CRONOPLE!$F$14,$M697,BI$13))))</f>
        <v>1000000000000</v>
      </c>
      <c r="BJ697" s="215">
        <f ca="1">IF($D697&lt;&gt;"Serviço",0,IF(AND(AUTOEVENTO="Manual",$M697=1),0,IF(OFFSET(CRONOPLE!$F$14,$M697,BJ$13)="",10^12,OFFSET(CRONOPLE!$F$14,$M697,BJ$13))))</f>
        <v>1000000000000</v>
      </c>
      <c r="BK697" s="215">
        <f ca="1">IF($D697&lt;&gt;"Serviço",0,IF(AND(AUTOEVENTO="Manual",$M697=1),0,IF(OFFSET(CRONOPLE!$F$14,$M697,BK$13)="",10^12,OFFSET(CRONOPLE!$F$14,$M697,BK$13))))</f>
        <v>1000000000000</v>
      </c>
      <c r="BL697" s="215">
        <f ca="1">IF($D697&lt;&gt;"Serviço",0,IF(AND(AUTOEVENTO="Manual",$M697=1),0,IF(OFFSET(CRONOPLE!$F$14,$M697,BL$13)="",10^12,OFFSET(CRONOPLE!$F$14,$M697,BL$13))))</f>
        <v>1000000000000</v>
      </c>
      <c r="BM697" s="215">
        <f ca="1">IF($D697&lt;&gt;"Serviço",0,IF(AND(AUTOEVENTO="Manual",$M697=1),0,IF(OFFSET(CRONOPLE!$F$14,$M697,BM$13)="",10^12,OFFSET(CRONOPLE!$F$14,$M697,BM$13))))</f>
        <v>1000000000000</v>
      </c>
      <c r="BN697" s="215">
        <f ca="1">IF($D697&lt;&gt;"Serviço",0,IF(AND(AUTOEVENTO="Manual",$M697=1),0,IF(OFFSET(CRONOPLE!$F$14,$M697,BN$13)="",10^12,OFFSET(CRONOPLE!$F$14,$M697,BN$13))))</f>
        <v>1000000000000</v>
      </c>
      <c r="BO697" s="215">
        <f ca="1">IF($D697&lt;&gt;"Serviço",0,IF(AND(AUTOEVENTO="Manual",$M697=1),0,IF(OFFSET(CRONOPLE!$F$14,$M697,BO$13)="",10^12,OFFSET(CRONOPLE!$F$14,$M697,BO$13))))</f>
        <v>1000000000000</v>
      </c>
      <c r="BP697" s="215">
        <f ca="1">IF($D697&lt;&gt;"Serviço",0,IF(AND(AUTOEVENTO="Manual",$M697=1),0,IF(OFFSET(CRONOPLE!$F$14,$M697,BP$13)="",10^12,OFFSET(CRONOPLE!$F$14,$M697,BP$13))))</f>
        <v>1000000000000</v>
      </c>
      <c r="BQ697" s="215">
        <f ca="1">IF($D697&lt;&gt;"Serviço",0,IF(AND(AUTOEVENTO="Manual",$M697=1),0,IF(OFFSET(CRONOPLE!$F$14,$M697,BQ$13)="",10^12,OFFSET(CRONOPLE!$F$14,$M697,BQ$13))))</f>
        <v>1000000000000</v>
      </c>
      <c r="BR697" s="215">
        <f ca="1">IF($D697&lt;&gt;"Serviço",0,IF(AND(AUTOEVENTO="Manual",$M697=1),0,IF(OFFSET(CRONOPLE!$F$14,$M697,BR$13)="",10^12,OFFSET(CRONOPLE!$F$14,$M697,BR$13))))</f>
        <v>1000000000000</v>
      </c>
      <c r="BS697" s="215">
        <f ca="1">IF($D697&lt;&gt;"Serviço",0,IF(AND(AUTOEVENTO="Manual",$M697=1),0,IF(OFFSET(CRONOPLE!$F$14,$M697,BS$13)="",10^12,OFFSET(CRONOPLE!$F$14,$M697,BS$13))))</f>
        <v>1000000000000</v>
      </c>
      <c r="BT697" s="215">
        <f ca="1">IF($D697&lt;&gt;"Serviço",0,IF(AND(AUTOEVENTO="Manual",$M697=1),0,IF(OFFSET(CRONOPLE!$F$14,$M697,BT$13)="",10^12,OFFSET(CRONOPLE!$F$14,$M697,BT$13))))</f>
        <v>1000000000000</v>
      </c>
      <c r="BV697" s="216">
        <f ca="1">IF($D697&lt;&gt;"Serviço",0,IF(OR(AND(AUTOEVENTO="Manual",$M697=1),$M697&gt;(ROW(PLE.lastrow)-ROW(PLE.firstrow))),0,IF(OFFSET(PLE!$G$14,$M697,BV$13)="",10^12,OFFSET(PLE!$G$14,$M697,BV$13))))</f>
        <v>1000000000000</v>
      </c>
      <c r="BW697" s="216">
        <f ca="1">IF($D697&lt;&gt;"Serviço",0,IF(OR(AND(AUTOEVENTO="Manual",$M697=1),$M697&gt;(ROW(PLE.lastrow)-ROW(PLE.firstrow))),0,IF(OFFSET(PLE!$G$14,$M697,BW$13)="",10^12,OFFSET(PLE!$G$14,$M697,BW$13))))</f>
        <v>1000000000000</v>
      </c>
      <c r="BX697" s="216">
        <f ca="1">IF($D697&lt;&gt;"Serviço",0,IF(OR(AND(AUTOEVENTO="Manual",$M697=1),$M697&gt;(ROW(PLE.lastrow)-ROW(PLE.firstrow))),0,IF(OFFSET(PLE!$G$14,$M697,BX$13)="",10^12,OFFSET(PLE!$G$14,$M697,BX$13))))</f>
        <v>1000000000000</v>
      </c>
      <c r="BY697" s="216">
        <f ca="1">IF($D697&lt;&gt;"Serviço",0,IF(OR(AND(AUTOEVENTO="Manual",$M697=1),$M697&gt;(ROW(PLE.lastrow)-ROW(PLE.firstrow))),0,IF(OFFSET(PLE!$G$14,$M697,BY$13)="",10^12,OFFSET(PLE!$G$14,$M697,BY$13))))</f>
        <v>1000000000000</v>
      </c>
      <c r="BZ697" s="216">
        <f ca="1">IF($D697&lt;&gt;"Serviço",0,IF(OR(AND(AUTOEVENTO="Manual",$M697=1),$M697&gt;(ROW(PLE.lastrow)-ROW(PLE.firstrow))),0,IF(OFFSET(PLE!$G$14,$M697,BZ$13)="",10^12,OFFSET(PLE!$G$14,$M697,BZ$13))))</f>
        <v>1000000000000</v>
      </c>
      <c r="CA697" s="216">
        <f ca="1">IF($D697&lt;&gt;"Serviço",0,IF(OR(AND(AUTOEVENTO="Manual",$M697=1),$M697&gt;(ROW(PLE.lastrow)-ROW(PLE.firstrow))),0,IF(OFFSET(PLE!$G$14,$M697,CA$13)="",10^12,OFFSET(PLE!$G$14,$M697,CA$13))))</f>
        <v>1000000000000</v>
      </c>
      <c r="CB697" s="216">
        <f ca="1">IF($D697&lt;&gt;"Serviço",0,IF(OR(AND(AUTOEVENTO="Manual",$M697=1),$M697&gt;(ROW(PLE.lastrow)-ROW(PLE.firstrow))),0,IF(OFFSET(PLE!$G$14,$M697,CB$13)="",10^12,OFFSET(PLE!$G$14,$M697,CB$13))))</f>
        <v>1000000000000</v>
      </c>
      <c r="CC697" s="216">
        <f ca="1">IF($D697&lt;&gt;"Serviço",0,IF(OR(AND(AUTOEVENTO="Manual",$M697=1),$M697&gt;(ROW(PLE.lastrow)-ROW(PLE.firstrow))),0,IF(OFFSET(PLE!$G$14,$M697,CC$13)="",10^12,OFFSET(PLE!$G$14,$M697,CC$13))))</f>
        <v>1000000000000</v>
      </c>
      <c r="CD697" s="216">
        <f ca="1">IF($D697&lt;&gt;"Serviço",0,IF(OR(AND(AUTOEVENTO="Manual",$M697=1),$M697&gt;(ROW(PLE.lastrow)-ROW(PLE.firstrow))),0,IF(OFFSET(PLE!$G$14,$M697,CD$13)="",10^12,OFFSET(PLE!$G$14,$M697,CD$13))))</f>
        <v>1000000000000</v>
      </c>
      <c r="CE697" s="216">
        <f ca="1">IF($D697&lt;&gt;"Serviço",0,IF(OR(AND(AUTOEVENTO="Manual",$M697=1),$M697&gt;(ROW(PLE.lastrow)-ROW(PLE.firstrow))),0,IF(OFFSET(PLE!$G$14,$M697,CE$13)="",10^12,OFFSET(PLE!$G$14,$M697,CE$13))))</f>
        <v>1000000000000</v>
      </c>
      <c r="CF697" s="216">
        <f ca="1">IF($D697&lt;&gt;"Serviço",0,IF(OR(AND(AUTOEVENTO="Manual",$M697=1),$M697&gt;(ROW(PLE.lastrow)-ROW(PLE.firstrow))),0,IF(OFFSET(PLE!$G$14,$M697,CF$13)="",10^12,OFFSET(PLE!$G$14,$M697,CF$13))))</f>
        <v>1000000000000</v>
      </c>
      <c r="CG697" s="216">
        <f ca="1">IF($D697&lt;&gt;"Serviço",0,IF(OR(AND(AUTOEVENTO="Manual",$M697=1),$M697&gt;(ROW(PLE.lastrow)-ROW(PLE.firstrow))),0,IF(OFFSET(PLE!$G$14,$M697,CG$13)="",10^12,OFFSET(PLE!$G$14,$M697,CG$13))))</f>
        <v>1000000000000</v>
      </c>
      <c r="CH697" s="216">
        <f ca="1">IF($D697&lt;&gt;"Serviço",0,IF(OR(AND(AUTOEVENTO="Manual",$M697=1),$M697&gt;(ROW(PLE.lastrow)-ROW(PLE.firstrow))),0,IF(OFFSET(PLE!$G$14,$M697,CH$13)="",10^12,OFFSET(PLE!$G$14,$M697,CH$13))))</f>
        <v>1000000000000</v>
      </c>
      <c r="CI697" s="216">
        <f ca="1">IF($D697&lt;&gt;"Serviço",0,IF(OR(AND(AUTOEVENTO="Manual",$M697=1),$M697&gt;(ROW(PLE.lastrow)-ROW(PLE.firstrow))),0,IF(OFFSET(PLE!$G$14,$M697,CI$13)="",10^12,OFFSET(PLE!$G$14,$M697,CI$13))))</f>
        <v>1000000000000</v>
      </c>
      <c r="CJ697" s="216">
        <f ca="1">IF($D697&lt;&gt;"Serviço",0,IF(OR(AND(AUTOEVENTO="Manual",$M697=1),$M697&gt;(ROW(PLE.lastrow)-ROW(PLE.firstrow))),0,IF(OFFSET(PLE!$G$14,$M697,CJ$13)="",10^12,OFFSET(PLE!$G$14,$M697,CJ$13))))</f>
        <v>1000000000000</v>
      </c>
      <c r="CK697" s="216">
        <f ca="1">IF($D697&lt;&gt;"Serviço",0,IF(OR(AND(AUTOEVENTO="Manual",$M697=1),$M697&gt;(ROW(PLE.lastrow)-ROW(PLE.firstrow))),0,IF(OFFSET(PLE!$G$14,$M697,CK$13)="",10^12,OFFSET(PLE!$G$14,$M697,CK$13))))</f>
        <v>1000000000000</v>
      </c>
      <c r="CL697" s="216">
        <f ca="1">IF($D697&lt;&gt;"Serviço",0,IF(OR(AND(AUTOEVENTO="Manual",$M697=1),$M697&gt;(ROW(PLE.lastrow)-ROW(PLE.firstrow))),0,IF(OFFSET(PLE!$G$14,$M697,CL$13)="",10^12,OFFSET(PLE!$G$14,$M697,CL$13))))</f>
        <v>1000000000000</v>
      </c>
      <c r="CM697" s="216">
        <f ca="1">IF($D697&lt;&gt;"Serviço",0,IF(OR(AND(AUTOEVENTO="Manual",$M697=1),$M697&gt;(ROW(PLE.lastrow)-ROW(PLE.firstrow))),0,IF(OFFSET(PLE!$G$14,$M697,CM$13)="",10^12,OFFSET(PLE!$G$14,$M697,CM$13))))</f>
        <v>1000000000000</v>
      </c>
    </row>
    <row r="698" spans="1:91" ht="13.2" x14ac:dyDescent="0.25">
      <c r="A698" s="9">
        <f t="shared" ca="1" si="20"/>
        <v>0</v>
      </c>
      <c r="B698" s="9" t="str">
        <f ca="1">OFFSET(ORÇAMENTO!C$15,ROW(B698)-ROW(B$15),0)</f>
        <v>S</v>
      </c>
      <c r="C698" s="9" t="str">
        <f ca="1">OFFSET(ORÇAMENTO!L$15,ROW(C698)-ROW(C$15),0)</f>
        <v/>
      </c>
      <c r="D698" s="145" t="str">
        <f ca="1">OFFSET(ORÇAMENTO!N$15,ROW(D698)-ROW(D$15),0)</f>
        <v>Serviço</v>
      </c>
      <c r="E698" s="205" t="str">
        <f ca="1">OFFSET(ORÇAMENTO!O$15,ROW(E698)-ROW(E$15),0)</f>
        <v>-</v>
      </c>
      <c r="F698" s="206" t="str">
        <f ca="1">OFFSET(ORÇAMENTO!R$15,ROW(F698)-ROW(F$15),0)</f>
        <v>(abra o arquivo 'Referência 05-2024.xls)</v>
      </c>
      <c r="G698" s="207" t="str">
        <f ca="1">IF($D698&lt;&gt;"Serviço","",OFFSET(ORÇAMENTO!S$15,ROW(G698)-ROW(G$15),0))</f>
        <v>-</v>
      </c>
      <c r="H698" s="151">
        <f ca="1">IF($D698&lt;&gt;"Serviço",0,IF(ACOMPANHAMENTO="BM",ROUND(OFFSET(ORÇAMENTO!AJ$15,ROW(H698)-ROW(H$15),0),15-13*ORÇAMENTO!$AF$7),SUMPRODUCT(($Q$12:$AI$12&lt;&gt;"")*ROUND($Q698:$AI698,15-13*ORÇAMENTO!$AF$7))))</f>
        <v>16.5</v>
      </c>
      <c r="I698" s="650"/>
      <c r="K698" s="208"/>
      <c r="L698" s="209" t="s">
        <v>257</v>
      </c>
      <c r="M698" s="210">
        <f ca="1">IF($D698&lt;&gt;"Serviço","",IF(AUTOEVENTO="manual",$A698,IF(ISERROR(MATCH($A698,$A$15:OFFSET($A698,-1,0),0)),MAX($M$15:OFFSET(M698,-1,0))+1,INDEX($M$15:OFFSET(M698,-1,0),MATCH($A698,$A$15:OFFSET($A698,-1,0),0)))))</f>
        <v>0</v>
      </c>
      <c r="N698" s="211" t="str">
        <f ca="1">IF($D698&lt;&gt;"Serviço","",IF(AUTOEVENTO="Manual",IF($A698=0,"&lt;-- defina o número do agrupador",OFFSET(EVENTOS!$D$14,$A698,0)),OFFSET($F$15,$A698,0)))</f>
        <v>&lt;-- defina o número do agrupador</v>
      </c>
      <c r="O698" s="212"/>
      <c r="Q698" s="212"/>
      <c r="R698" s="213"/>
      <c r="S698" s="213"/>
      <c r="T698" s="213"/>
      <c r="U698" s="213"/>
      <c r="V698" s="213"/>
      <c r="W698" s="213"/>
      <c r="X698" s="213"/>
      <c r="Y698" s="213"/>
      <c r="Z698" s="214"/>
      <c r="AA698" s="213"/>
      <c r="AB698" s="213"/>
      <c r="AC698" s="213"/>
      <c r="AD698" s="213"/>
      <c r="AE698" s="213"/>
      <c r="AF698" s="213"/>
      <c r="AG698" s="213"/>
      <c r="AH698" s="214"/>
      <c r="AJ698" s="631">
        <f ca="1">IF(AND($D698="Serviço",AJ$12&lt;&gt;0,$H698&gt;0,OR(AUTOEVENTO&lt;&gt;"manual",$M698&lt;&gt;1)),ROUND(OFFSET($P698,0,AJ$13),15-13*ORÇAMENTO!$AF$7)/$H698*OFFSET(ORÇAMENTO!$X$15,ROW(AJ698)-ROW(AJ$15),0),0)</f>
        <v>0</v>
      </c>
      <c r="AK698" s="632">
        <f ca="1">IF(AND($D698="Serviço",AK$12&lt;&gt;0,$H698&gt;0,OR(AUTOEVENTO&lt;&gt;"manual",$M698&lt;&gt;1)),ROUND(OFFSET($P698,0,AK$13),15-13*ORÇAMENTO!$AF$7)/$H698*OFFSET(ORÇAMENTO!$X$15,ROW(AK698)-ROW(AK$15),0),0)</f>
        <v>0</v>
      </c>
      <c r="AL698" s="632">
        <f ca="1">IF(AND($D698="Serviço",AL$12&lt;&gt;0,$H698&gt;0,OR(AUTOEVENTO&lt;&gt;"manual",$M698&lt;&gt;1)),ROUND(OFFSET($P698,0,AL$13),15-13*ORÇAMENTO!$AF$7)/$H698*OFFSET(ORÇAMENTO!$X$15,ROW(AL698)-ROW(AL$15),0),0)</f>
        <v>0</v>
      </c>
      <c r="AM698" s="632">
        <f ca="1">IF(AND($D698="Serviço",AM$12&lt;&gt;0,$H698&gt;0,OR(AUTOEVENTO&lt;&gt;"manual",$M698&lt;&gt;1)),ROUND(OFFSET($P698,0,AM$13),15-13*ORÇAMENTO!$AF$7)/$H698*OFFSET(ORÇAMENTO!$X$15,ROW(AM698)-ROW(AM$15),0),0)</f>
        <v>0</v>
      </c>
      <c r="AN698" s="632">
        <f ca="1">IF(AND($D698="Serviço",AN$12&lt;&gt;0,$H698&gt;0,OR(AUTOEVENTO&lt;&gt;"manual",$M698&lt;&gt;1)),ROUND(OFFSET($P698,0,AN$13),15-13*ORÇAMENTO!$AF$7)/$H698*OFFSET(ORÇAMENTO!$X$15,ROW(AN698)-ROW(AN$15),0),0)</f>
        <v>0</v>
      </c>
      <c r="AO698" s="632">
        <f ca="1">IF(AND($D698="Serviço",AO$12&lt;&gt;0,$H698&gt;0,OR(AUTOEVENTO&lt;&gt;"manual",$M698&lt;&gt;1)),ROUND(OFFSET($P698,0,AO$13),15-13*ORÇAMENTO!$AF$7)/$H698*OFFSET(ORÇAMENTO!$X$15,ROW(AO698)-ROW(AO$15),0),0)</f>
        <v>0</v>
      </c>
      <c r="AP698" s="632">
        <f ca="1">IF(AND($D698="Serviço",AP$12&lt;&gt;0,$H698&gt;0,OR(AUTOEVENTO&lt;&gt;"manual",$M698&lt;&gt;1)),ROUND(OFFSET($P698,0,AP$13),15-13*ORÇAMENTO!$AF$7)/$H698*OFFSET(ORÇAMENTO!$X$15,ROW(AP698)-ROW(AP$15),0),0)</f>
        <v>0</v>
      </c>
      <c r="AQ698" s="632">
        <f ca="1">IF(AND($D698="Serviço",AQ$12&lt;&gt;0,$H698&gt;0,OR(AUTOEVENTO&lt;&gt;"manual",$M698&lt;&gt;1)),ROUND(OFFSET($P698,0,AQ$13),15-13*ORÇAMENTO!$AF$7)/$H698*OFFSET(ORÇAMENTO!$X$15,ROW(AQ698)-ROW(AQ$15),0),0)</f>
        <v>0</v>
      </c>
      <c r="AR698" s="632">
        <f ca="1">IF(AND($D698="Serviço",AR$12&lt;&gt;0,$H698&gt;0,OR(AUTOEVENTO&lt;&gt;"manual",$M698&lt;&gt;1)),ROUND(OFFSET($P698,0,AR$13),15-13*ORÇAMENTO!$AF$7)/$H698*OFFSET(ORÇAMENTO!$X$15,ROW(AR698)-ROW(AR$15),0),0)</f>
        <v>0</v>
      </c>
      <c r="AS698" s="633">
        <f ca="1">IF(AND($D698="Serviço",AS$12&lt;&gt;0,$H698&gt;0,OR(AUTOEVENTO&lt;&gt;"manual",$M698&lt;&gt;1)),ROUND(OFFSET($P698,0,AS$13),15-13*ORÇAMENTO!$AF$7)/$H698*OFFSET(ORÇAMENTO!$X$15,ROW(AS698)-ROW(AS$15),0),0)</f>
        <v>0</v>
      </c>
      <c r="AT698" s="632">
        <f ca="1">IF(AND($D698="Serviço",AT$12&lt;&gt;0,$H698&gt;0,OR(AUTOEVENTO&lt;&gt;"manual",$M698&lt;&gt;1)),ROUND(OFFSET($P698,0,AT$13),15-13*ORÇAMENTO!$AF$7)/$H698*OFFSET(ORÇAMENTO!$X$15,ROW(AT698)-ROW(AT$15),0),0)</f>
        <v>0</v>
      </c>
      <c r="AU698" s="632">
        <f ca="1">IF(AND($D698="Serviço",AU$12&lt;&gt;0,$H698&gt;0,OR(AUTOEVENTO&lt;&gt;"manual",$M698&lt;&gt;1)),ROUND(OFFSET($P698,0,AU$13),15-13*ORÇAMENTO!$AF$7)/$H698*OFFSET(ORÇAMENTO!$X$15,ROW(AU698)-ROW(AU$15),0),0)</f>
        <v>0</v>
      </c>
      <c r="AV698" s="632">
        <f ca="1">IF(AND($D698="Serviço",AV$12&lt;&gt;0,$H698&gt;0,OR(AUTOEVENTO&lt;&gt;"manual",$M698&lt;&gt;1)),ROUND(OFFSET($P698,0,AV$13),15-13*ORÇAMENTO!$AF$7)/$H698*OFFSET(ORÇAMENTO!$X$15,ROW(AV698)-ROW(AV$15),0),0)</f>
        <v>0</v>
      </c>
      <c r="AW698" s="632">
        <f ca="1">IF(AND($D698="Serviço",AW$12&lt;&gt;0,$H698&gt;0,OR(AUTOEVENTO&lt;&gt;"manual",$M698&lt;&gt;1)),ROUND(OFFSET($P698,0,AW$13),15-13*ORÇAMENTO!$AF$7)/$H698*OFFSET(ORÇAMENTO!$X$15,ROW(AW698)-ROW(AW$15),0),0)</f>
        <v>0</v>
      </c>
      <c r="AX698" s="632">
        <f ca="1">IF(AND($D698="Serviço",AX$12&lt;&gt;0,$H698&gt;0,OR(AUTOEVENTO&lt;&gt;"manual",$M698&lt;&gt;1)),ROUND(OFFSET($P698,0,AX$13),15-13*ORÇAMENTO!$AF$7)/$H698*OFFSET(ORÇAMENTO!$X$15,ROW(AX698)-ROW(AX$15),0),0)</f>
        <v>0</v>
      </c>
      <c r="AY698" s="632">
        <f ca="1">IF(AND($D698="Serviço",AY$12&lt;&gt;0,$H698&gt;0,OR(AUTOEVENTO&lt;&gt;"manual",$M698&lt;&gt;1)),ROUND(OFFSET($P698,0,AY$13),15-13*ORÇAMENTO!$AF$7)/$H698*OFFSET(ORÇAMENTO!$X$15,ROW(AY698)-ROW(AY$15),0),0)</f>
        <v>0</v>
      </c>
      <c r="AZ698" s="632">
        <f ca="1">IF(AND($D698="Serviço",AZ$12&lt;&gt;0,$H698&gt;0,OR(AUTOEVENTO&lt;&gt;"manual",$M698&lt;&gt;1)),ROUND(OFFSET($P698,0,AZ$13),15-13*ORÇAMENTO!$AF$7)/$H698*OFFSET(ORÇAMENTO!$X$15,ROW(AZ698)-ROW(AZ$15),0),0)</f>
        <v>0</v>
      </c>
      <c r="BA698" s="633">
        <f ca="1">IF(AND($D698="Serviço",BA$12&lt;&gt;0,$H698&gt;0,OR(AUTOEVENTO&lt;&gt;"manual",$M698&lt;&gt;1)),ROUND(OFFSET($P698,0,BA$13),15-13*ORÇAMENTO!$AF$7)/$H698*OFFSET(ORÇAMENTO!$X$15,ROW(BA698)-ROW(BA$15),0),0)</f>
        <v>0</v>
      </c>
      <c r="BC698" s="215">
        <f ca="1">IF($D698&lt;&gt;"Serviço",0,IF(AND(AUTOEVENTO="Manual",$M698=1),0,IF(OFFSET(CRONOPLE!$F$14,$M698,BC$13)="",10^12,OFFSET(CRONOPLE!$F$14,$M698,BC$13))))</f>
        <v>1000000000000</v>
      </c>
      <c r="BD698" s="215">
        <f ca="1">IF($D698&lt;&gt;"Serviço",0,IF(AND(AUTOEVENTO="Manual",$M698=1),0,IF(OFFSET(CRONOPLE!$F$14,$M698,BD$13)="",10^12,OFFSET(CRONOPLE!$F$14,$M698,BD$13))))</f>
        <v>1000000000000</v>
      </c>
      <c r="BE698" s="215">
        <f ca="1">IF($D698&lt;&gt;"Serviço",0,IF(AND(AUTOEVENTO="Manual",$M698=1),0,IF(OFFSET(CRONOPLE!$F$14,$M698,BE$13)="",10^12,OFFSET(CRONOPLE!$F$14,$M698,BE$13))))</f>
        <v>1000000000000</v>
      </c>
      <c r="BF698" s="215">
        <f ca="1">IF($D698&lt;&gt;"Serviço",0,IF(AND(AUTOEVENTO="Manual",$M698=1),0,IF(OFFSET(CRONOPLE!$F$14,$M698,BF$13)="",10^12,OFFSET(CRONOPLE!$F$14,$M698,BF$13))))</f>
        <v>1000000000000</v>
      </c>
      <c r="BG698" s="215">
        <f ca="1">IF($D698&lt;&gt;"Serviço",0,IF(AND(AUTOEVENTO="Manual",$M698=1),0,IF(OFFSET(CRONOPLE!$F$14,$M698,BG$13)="",10^12,OFFSET(CRONOPLE!$F$14,$M698,BG$13))))</f>
        <v>1000000000000</v>
      </c>
      <c r="BH698" s="215">
        <f ca="1">IF($D698&lt;&gt;"Serviço",0,IF(AND(AUTOEVENTO="Manual",$M698=1),0,IF(OFFSET(CRONOPLE!$F$14,$M698,BH$13)="",10^12,OFFSET(CRONOPLE!$F$14,$M698,BH$13))))</f>
        <v>1000000000000</v>
      </c>
      <c r="BI698" s="215">
        <f ca="1">IF($D698&lt;&gt;"Serviço",0,IF(AND(AUTOEVENTO="Manual",$M698=1),0,IF(OFFSET(CRONOPLE!$F$14,$M698,BI$13)="",10^12,OFFSET(CRONOPLE!$F$14,$M698,BI$13))))</f>
        <v>1000000000000</v>
      </c>
      <c r="BJ698" s="215">
        <f ca="1">IF($D698&lt;&gt;"Serviço",0,IF(AND(AUTOEVENTO="Manual",$M698=1),0,IF(OFFSET(CRONOPLE!$F$14,$M698,BJ$13)="",10^12,OFFSET(CRONOPLE!$F$14,$M698,BJ$13))))</f>
        <v>1000000000000</v>
      </c>
      <c r="BK698" s="215">
        <f ca="1">IF($D698&lt;&gt;"Serviço",0,IF(AND(AUTOEVENTO="Manual",$M698=1),0,IF(OFFSET(CRONOPLE!$F$14,$M698,BK$13)="",10^12,OFFSET(CRONOPLE!$F$14,$M698,BK$13))))</f>
        <v>1000000000000</v>
      </c>
      <c r="BL698" s="215">
        <f ca="1">IF($D698&lt;&gt;"Serviço",0,IF(AND(AUTOEVENTO="Manual",$M698=1),0,IF(OFFSET(CRONOPLE!$F$14,$M698,BL$13)="",10^12,OFFSET(CRONOPLE!$F$14,$M698,BL$13))))</f>
        <v>1000000000000</v>
      </c>
      <c r="BM698" s="215">
        <f ca="1">IF($D698&lt;&gt;"Serviço",0,IF(AND(AUTOEVENTO="Manual",$M698=1),0,IF(OFFSET(CRONOPLE!$F$14,$M698,BM$13)="",10^12,OFFSET(CRONOPLE!$F$14,$M698,BM$13))))</f>
        <v>1000000000000</v>
      </c>
      <c r="BN698" s="215">
        <f ca="1">IF($D698&lt;&gt;"Serviço",0,IF(AND(AUTOEVENTO="Manual",$M698=1),0,IF(OFFSET(CRONOPLE!$F$14,$M698,BN$13)="",10^12,OFFSET(CRONOPLE!$F$14,$M698,BN$13))))</f>
        <v>1000000000000</v>
      </c>
      <c r="BO698" s="215">
        <f ca="1">IF($D698&lt;&gt;"Serviço",0,IF(AND(AUTOEVENTO="Manual",$M698=1),0,IF(OFFSET(CRONOPLE!$F$14,$M698,BO$13)="",10^12,OFFSET(CRONOPLE!$F$14,$M698,BO$13))))</f>
        <v>1000000000000</v>
      </c>
      <c r="BP698" s="215">
        <f ca="1">IF($D698&lt;&gt;"Serviço",0,IF(AND(AUTOEVENTO="Manual",$M698=1),0,IF(OFFSET(CRONOPLE!$F$14,$M698,BP$13)="",10^12,OFFSET(CRONOPLE!$F$14,$M698,BP$13))))</f>
        <v>1000000000000</v>
      </c>
      <c r="BQ698" s="215">
        <f ca="1">IF($D698&lt;&gt;"Serviço",0,IF(AND(AUTOEVENTO="Manual",$M698=1),0,IF(OFFSET(CRONOPLE!$F$14,$M698,BQ$13)="",10^12,OFFSET(CRONOPLE!$F$14,$M698,BQ$13))))</f>
        <v>1000000000000</v>
      </c>
      <c r="BR698" s="215">
        <f ca="1">IF($D698&lt;&gt;"Serviço",0,IF(AND(AUTOEVENTO="Manual",$M698=1),0,IF(OFFSET(CRONOPLE!$F$14,$M698,BR$13)="",10^12,OFFSET(CRONOPLE!$F$14,$M698,BR$13))))</f>
        <v>1000000000000</v>
      </c>
      <c r="BS698" s="215">
        <f ca="1">IF($D698&lt;&gt;"Serviço",0,IF(AND(AUTOEVENTO="Manual",$M698=1),0,IF(OFFSET(CRONOPLE!$F$14,$M698,BS$13)="",10^12,OFFSET(CRONOPLE!$F$14,$M698,BS$13))))</f>
        <v>1000000000000</v>
      </c>
      <c r="BT698" s="215">
        <f ca="1">IF($D698&lt;&gt;"Serviço",0,IF(AND(AUTOEVENTO="Manual",$M698=1),0,IF(OFFSET(CRONOPLE!$F$14,$M698,BT$13)="",10^12,OFFSET(CRONOPLE!$F$14,$M698,BT$13))))</f>
        <v>1000000000000</v>
      </c>
      <c r="BV698" s="216">
        <f ca="1">IF($D698&lt;&gt;"Serviço",0,IF(OR(AND(AUTOEVENTO="Manual",$M698=1),$M698&gt;(ROW(PLE.lastrow)-ROW(PLE.firstrow))),0,IF(OFFSET(PLE!$G$14,$M698,BV$13)="",10^12,OFFSET(PLE!$G$14,$M698,BV$13))))</f>
        <v>1000000000000</v>
      </c>
      <c r="BW698" s="216">
        <f ca="1">IF($D698&lt;&gt;"Serviço",0,IF(OR(AND(AUTOEVENTO="Manual",$M698=1),$M698&gt;(ROW(PLE.lastrow)-ROW(PLE.firstrow))),0,IF(OFFSET(PLE!$G$14,$M698,BW$13)="",10^12,OFFSET(PLE!$G$14,$M698,BW$13))))</f>
        <v>1000000000000</v>
      </c>
      <c r="BX698" s="216">
        <f ca="1">IF($D698&lt;&gt;"Serviço",0,IF(OR(AND(AUTOEVENTO="Manual",$M698=1),$M698&gt;(ROW(PLE.lastrow)-ROW(PLE.firstrow))),0,IF(OFFSET(PLE!$G$14,$M698,BX$13)="",10^12,OFFSET(PLE!$G$14,$M698,BX$13))))</f>
        <v>1000000000000</v>
      </c>
      <c r="BY698" s="216">
        <f ca="1">IF($D698&lt;&gt;"Serviço",0,IF(OR(AND(AUTOEVENTO="Manual",$M698=1),$M698&gt;(ROW(PLE.lastrow)-ROW(PLE.firstrow))),0,IF(OFFSET(PLE!$G$14,$M698,BY$13)="",10^12,OFFSET(PLE!$G$14,$M698,BY$13))))</f>
        <v>1000000000000</v>
      </c>
      <c r="BZ698" s="216">
        <f ca="1">IF($D698&lt;&gt;"Serviço",0,IF(OR(AND(AUTOEVENTO="Manual",$M698=1),$M698&gt;(ROW(PLE.lastrow)-ROW(PLE.firstrow))),0,IF(OFFSET(PLE!$G$14,$M698,BZ$13)="",10^12,OFFSET(PLE!$G$14,$M698,BZ$13))))</f>
        <v>1000000000000</v>
      </c>
      <c r="CA698" s="216">
        <f ca="1">IF($D698&lt;&gt;"Serviço",0,IF(OR(AND(AUTOEVENTO="Manual",$M698=1),$M698&gt;(ROW(PLE.lastrow)-ROW(PLE.firstrow))),0,IF(OFFSET(PLE!$G$14,$M698,CA$13)="",10^12,OFFSET(PLE!$G$14,$M698,CA$13))))</f>
        <v>1000000000000</v>
      </c>
      <c r="CB698" s="216">
        <f ca="1">IF($D698&lt;&gt;"Serviço",0,IF(OR(AND(AUTOEVENTO="Manual",$M698=1),$M698&gt;(ROW(PLE.lastrow)-ROW(PLE.firstrow))),0,IF(OFFSET(PLE!$G$14,$M698,CB$13)="",10^12,OFFSET(PLE!$G$14,$M698,CB$13))))</f>
        <v>1000000000000</v>
      </c>
      <c r="CC698" s="216">
        <f ca="1">IF($D698&lt;&gt;"Serviço",0,IF(OR(AND(AUTOEVENTO="Manual",$M698=1),$M698&gt;(ROW(PLE.lastrow)-ROW(PLE.firstrow))),0,IF(OFFSET(PLE!$G$14,$M698,CC$13)="",10^12,OFFSET(PLE!$G$14,$M698,CC$13))))</f>
        <v>1000000000000</v>
      </c>
      <c r="CD698" s="216">
        <f ca="1">IF($D698&lt;&gt;"Serviço",0,IF(OR(AND(AUTOEVENTO="Manual",$M698=1),$M698&gt;(ROW(PLE.lastrow)-ROW(PLE.firstrow))),0,IF(OFFSET(PLE!$G$14,$M698,CD$13)="",10^12,OFFSET(PLE!$G$14,$M698,CD$13))))</f>
        <v>1000000000000</v>
      </c>
      <c r="CE698" s="216">
        <f ca="1">IF($D698&lt;&gt;"Serviço",0,IF(OR(AND(AUTOEVENTO="Manual",$M698=1),$M698&gt;(ROW(PLE.lastrow)-ROW(PLE.firstrow))),0,IF(OFFSET(PLE!$G$14,$M698,CE$13)="",10^12,OFFSET(PLE!$G$14,$M698,CE$13))))</f>
        <v>1000000000000</v>
      </c>
      <c r="CF698" s="216">
        <f ca="1">IF($D698&lt;&gt;"Serviço",0,IF(OR(AND(AUTOEVENTO="Manual",$M698=1),$M698&gt;(ROW(PLE.lastrow)-ROW(PLE.firstrow))),0,IF(OFFSET(PLE!$G$14,$M698,CF$13)="",10^12,OFFSET(PLE!$G$14,$M698,CF$13))))</f>
        <v>1000000000000</v>
      </c>
      <c r="CG698" s="216">
        <f ca="1">IF($D698&lt;&gt;"Serviço",0,IF(OR(AND(AUTOEVENTO="Manual",$M698=1),$M698&gt;(ROW(PLE.lastrow)-ROW(PLE.firstrow))),0,IF(OFFSET(PLE!$G$14,$M698,CG$13)="",10^12,OFFSET(PLE!$G$14,$M698,CG$13))))</f>
        <v>1000000000000</v>
      </c>
      <c r="CH698" s="216">
        <f ca="1">IF($D698&lt;&gt;"Serviço",0,IF(OR(AND(AUTOEVENTO="Manual",$M698=1),$M698&gt;(ROW(PLE.lastrow)-ROW(PLE.firstrow))),0,IF(OFFSET(PLE!$G$14,$M698,CH$13)="",10^12,OFFSET(PLE!$G$14,$M698,CH$13))))</f>
        <v>1000000000000</v>
      </c>
      <c r="CI698" s="216">
        <f ca="1">IF($D698&lt;&gt;"Serviço",0,IF(OR(AND(AUTOEVENTO="Manual",$M698=1),$M698&gt;(ROW(PLE.lastrow)-ROW(PLE.firstrow))),0,IF(OFFSET(PLE!$G$14,$M698,CI$13)="",10^12,OFFSET(PLE!$G$14,$M698,CI$13))))</f>
        <v>1000000000000</v>
      </c>
      <c r="CJ698" s="216">
        <f ca="1">IF($D698&lt;&gt;"Serviço",0,IF(OR(AND(AUTOEVENTO="Manual",$M698=1),$M698&gt;(ROW(PLE.lastrow)-ROW(PLE.firstrow))),0,IF(OFFSET(PLE!$G$14,$M698,CJ$13)="",10^12,OFFSET(PLE!$G$14,$M698,CJ$13))))</f>
        <v>1000000000000</v>
      </c>
      <c r="CK698" s="216">
        <f ca="1">IF($D698&lt;&gt;"Serviço",0,IF(OR(AND(AUTOEVENTO="Manual",$M698=1),$M698&gt;(ROW(PLE.lastrow)-ROW(PLE.firstrow))),0,IF(OFFSET(PLE!$G$14,$M698,CK$13)="",10^12,OFFSET(PLE!$G$14,$M698,CK$13))))</f>
        <v>1000000000000</v>
      </c>
      <c r="CL698" s="216">
        <f ca="1">IF($D698&lt;&gt;"Serviço",0,IF(OR(AND(AUTOEVENTO="Manual",$M698=1),$M698&gt;(ROW(PLE.lastrow)-ROW(PLE.firstrow))),0,IF(OFFSET(PLE!$G$14,$M698,CL$13)="",10^12,OFFSET(PLE!$G$14,$M698,CL$13))))</f>
        <v>1000000000000</v>
      </c>
      <c r="CM698" s="216">
        <f ca="1">IF($D698&lt;&gt;"Serviço",0,IF(OR(AND(AUTOEVENTO="Manual",$M698=1),$M698&gt;(ROW(PLE.lastrow)-ROW(PLE.firstrow))),0,IF(OFFSET(PLE!$G$14,$M698,CM$13)="",10^12,OFFSET(PLE!$G$14,$M698,CM$13))))</f>
        <v>1000000000000</v>
      </c>
    </row>
    <row r="699" spans="1:91" ht="13.2" x14ac:dyDescent="0.25">
      <c r="A699" s="9">
        <f t="shared" ca="1" si="20"/>
        <v>0</v>
      </c>
      <c r="B699" s="9">
        <f ca="1">OFFSET(ORÇAMENTO!C$15,ROW(B699)-ROW(B$15),0)</f>
        <v>2</v>
      </c>
      <c r="C699" s="9" t="str">
        <f ca="1">OFFSET(ORÇAMENTO!L$15,ROW(C699)-ROW(C$15),0)</f>
        <v>F</v>
      </c>
      <c r="D699" s="145" t="str">
        <f ca="1">OFFSET(ORÇAMENTO!N$15,ROW(D699)-ROW(D$15),0)</f>
        <v>Nível 2</v>
      </c>
      <c r="E699" s="205" t="str">
        <f ca="1">OFFSET(ORÇAMENTO!O$15,ROW(E699)-ROW(E$15),0)</f>
        <v>1.24.</v>
      </c>
      <c r="F699" s="206" t="str">
        <f ca="1">OFFSET(ORÇAMENTO!R$15,ROW(F699)-ROW(F$15),0)</f>
        <v>SERVIÇOS FINAIS</v>
      </c>
      <c r="G699" s="207" t="str">
        <f ca="1">IF($D699&lt;&gt;"Serviço","",OFFSET(ORÇAMENTO!S$15,ROW(G699)-ROW(G$15),0))</f>
        <v/>
      </c>
      <c r="H699" s="151">
        <f ca="1">IF($D699&lt;&gt;"Serviço",0,IF(ACOMPANHAMENTO="BM",ROUND(OFFSET(ORÇAMENTO!AJ$15,ROW(H699)-ROW(H$15),0),15-13*ORÇAMENTO!$AF$7),SUMPRODUCT(($Q$12:$AI$12&lt;&gt;"")*ROUND($Q699:$AI699,15-13*ORÇAMENTO!$AF$7))))</f>
        <v>0</v>
      </c>
      <c r="I699" s="650"/>
      <c r="K699" s="208"/>
      <c r="L699" s="209" t="s">
        <v>257</v>
      </c>
      <c r="M699" s="210" t="str">
        <f ca="1">IF($D699&lt;&gt;"Serviço","",IF(AUTOEVENTO="manual",$A699,IF(ISERROR(MATCH($A699,$A$15:OFFSET($A699,-1,0),0)),MAX($M$15:OFFSET(M699,-1,0))+1,INDEX($M$15:OFFSET(M699,-1,0),MATCH($A699,$A$15:OFFSET($A699,-1,0),0)))))</f>
        <v/>
      </c>
      <c r="N699" s="211" t="str">
        <f ca="1">IF($D699&lt;&gt;"Serviço","",IF(AUTOEVENTO="Manual",IF($A699=0,"&lt;-- defina o número do agrupador",OFFSET(EVENTOS!$D$14,$A699,0)),OFFSET($F$15,$A699,0)))</f>
        <v/>
      </c>
      <c r="O699" s="212"/>
      <c r="Q699" s="212"/>
      <c r="R699" s="213"/>
      <c r="S699" s="213"/>
      <c r="T699" s="213"/>
      <c r="U699" s="213"/>
      <c r="V699" s="213"/>
      <c r="W699" s="213"/>
      <c r="X699" s="213"/>
      <c r="Y699" s="213"/>
      <c r="Z699" s="214"/>
      <c r="AA699" s="213"/>
      <c r="AB699" s="213"/>
      <c r="AC699" s="213"/>
      <c r="AD699" s="213"/>
      <c r="AE699" s="213"/>
      <c r="AF699" s="213"/>
      <c r="AG699" s="213"/>
      <c r="AH699" s="214"/>
      <c r="AJ699" s="631">
        <f ca="1">IF(AND($D699="Serviço",AJ$12&lt;&gt;0,$H699&gt;0,OR(AUTOEVENTO&lt;&gt;"manual",$M699&lt;&gt;1)),ROUND(OFFSET($P699,0,AJ$13),15-13*ORÇAMENTO!$AF$7)/$H699*OFFSET(ORÇAMENTO!$X$15,ROW(AJ699)-ROW(AJ$15),0),0)</f>
        <v>0</v>
      </c>
      <c r="AK699" s="632">
        <f ca="1">IF(AND($D699="Serviço",AK$12&lt;&gt;0,$H699&gt;0,OR(AUTOEVENTO&lt;&gt;"manual",$M699&lt;&gt;1)),ROUND(OFFSET($P699,0,AK$13),15-13*ORÇAMENTO!$AF$7)/$H699*OFFSET(ORÇAMENTO!$X$15,ROW(AK699)-ROW(AK$15),0),0)</f>
        <v>0</v>
      </c>
      <c r="AL699" s="632">
        <f ca="1">IF(AND($D699="Serviço",AL$12&lt;&gt;0,$H699&gt;0,OR(AUTOEVENTO&lt;&gt;"manual",$M699&lt;&gt;1)),ROUND(OFFSET($P699,0,AL$13),15-13*ORÇAMENTO!$AF$7)/$H699*OFFSET(ORÇAMENTO!$X$15,ROW(AL699)-ROW(AL$15),0),0)</f>
        <v>0</v>
      </c>
      <c r="AM699" s="632">
        <f ca="1">IF(AND($D699="Serviço",AM$12&lt;&gt;0,$H699&gt;0,OR(AUTOEVENTO&lt;&gt;"manual",$M699&lt;&gt;1)),ROUND(OFFSET($P699,0,AM$13),15-13*ORÇAMENTO!$AF$7)/$H699*OFFSET(ORÇAMENTO!$X$15,ROW(AM699)-ROW(AM$15),0),0)</f>
        <v>0</v>
      </c>
      <c r="AN699" s="632">
        <f ca="1">IF(AND($D699="Serviço",AN$12&lt;&gt;0,$H699&gt;0,OR(AUTOEVENTO&lt;&gt;"manual",$M699&lt;&gt;1)),ROUND(OFFSET($P699,0,AN$13),15-13*ORÇAMENTO!$AF$7)/$H699*OFFSET(ORÇAMENTO!$X$15,ROW(AN699)-ROW(AN$15),0),0)</f>
        <v>0</v>
      </c>
      <c r="AO699" s="632">
        <f ca="1">IF(AND($D699="Serviço",AO$12&lt;&gt;0,$H699&gt;0,OR(AUTOEVENTO&lt;&gt;"manual",$M699&lt;&gt;1)),ROUND(OFFSET($P699,0,AO$13),15-13*ORÇAMENTO!$AF$7)/$H699*OFFSET(ORÇAMENTO!$X$15,ROW(AO699)-ROW(AO$15),0),0)</f>
        <v>0</v>
      </c>
      <c r="AP699" s="632">
        <f ca="1">IF(AND($D699="Serviço",AP$12&lt;&gt;0,$H699&gt;0,OR(AUTOEVENTO&lt;&gt;"manual",$M699&lt;&gt;1)),ROUND(OFFSET($P699,0,AP$13),15-13*ORÇAMENTO!$AF$7)/$H699*OFFSET(ORÇAMENTO!$X$15,ROW(AP699)-ROW(AP$15),0),0)</f>
        <v>0</v>
      </c>
      <c r="AQ699" s="632">
        <f ca="1">IF(AND($D699="Serviço",AQ$12&lt;&gt;0,$H699&gt;0,OR(AUTOEVENTO&lt;&gt;"manual",$M699&lt;&gt;1)),ROUND(OFFSET($P699,0,AQ$13),15-13*ORÇAMENTO!$AF$7)/$H699*OFFSET(ORÇAMENTO!$X$15,ROW(AQ699)-ROW(AQ$15),0),0)</f>
        <v>0</v>
      </c>
      <c r="AR699" s="632">
        <f ca="1">IF(AND($D699="Serviço",AR$12&lt;&gt;0,$H699&gt;0,OR(AUTOEVENTO&lt;&gt;"manual",$M699&lt;&gt;1)),ROUND(OFFSET($P699,0,AR$13),15-13*ORÇAMENTO!$AF$7)/$H699*OFFSET(ORÇAMENTO!$X$15,ROW(AR699)-ROW(AR$15),0),0)</f>
        <v>0</v>
      </c>
      <c r="AS699" s="633">
        <f ca="1">IF(AND($D699="Serviço",AS$12&lt;&gt;0,$H699&gt;0,OR(AUTOEVENTO&lt;&gt;"manual",$M699&lt;&gt;1)),ROUND(OFFSET($P699,0,AS$13),15-13*ORÇAMENTO!$AF$7)/$H699*OFFSET(ORÇAMENTO!$X$15,ROW(AS699)-ROW(AS$15),0),0)</f>
        <v>0</v>
      </c>
      <c r="AT699" s="632">
        <f ca="1">IF(AND($D699="Serviço",AT$12&lt;&gt;0,$H699&gt;0,OR(AUTOEVENTO&lt;&gt;"manual",$M699&lt;&gt;1)),ROUND(OFFSET($P699,0,AT$13),15-13*ORÇAMENTO!$AF$7)/$H699*OFFSET(ORÇAMENTO!$X$15,ROW(AT699)-ROW(AT$15),0),0)</f>
        <v>0</v>
      </c>
      <c r="AU699" s="632">
        <f ca="1">IF(AND($D699="Serviço",AU$12&lt;&gt;0,$H699&gt;0,OR(AUTOEVENTO&lt;&gt;"manual",$M699&lt;&gt;1)),ROUND(OFFSET($P699,0,AU$13),15-13*ORÇAMENTO!$AF$7)/$H699*OFFSET(ORÇAMENTO!$X$15,ROW(AU699)-ROW(AU$15),0),0)</f>
        <v>0</v>
      </c>
      <c r="AV699" s="632">
        <f ca="1">IF(AND($D699="Serviço",AV$12&lt;&gt;0,$H699&gt;0,OR(AUTOEVENTO&lt;&gt;"manual",$M699&lt;&gt;1)),ROUND(OFFSET($P699,0,AV$13),15-13*ORÇAMENTO!$AF$7)/$H699*OFFSET(ORÇAMENTO!$X$15,ROW(AV699)-ROW(AV$15),0),0)</f>
        <v>0</v>
      </c>
      <c r="AW699" s="632">
        <f ca="1">IF(AND($D699="Serviço",AW$12&lt;&gt;0,$H699&gt;0,OR(AUTOEVENTO&lt;&gt;"manual",$M699&lt;&gt;1)),ROUND(OFFSET($P699,0,AW$13),15-13*ORÇAMENTO!$AF$7)/$H699*OFFSET(ORÇAMENTO!$X$15,ROW(AW699)-ROW(AW$15),0),0)</f>
        <v>0</v>
      </c>
      <c r="AX699" s="632">
        <f ca="1">IF(AND($D699="Serviço",AX$12&lt;&gt;0,$H699&gt;0,OR(AUTOEVENTO&lt;&gt;"manual",$M699&lt;&gt;1)),ROUND(OFFSET($P699,0,AX$13),15-13*ORÇAMENTO!$AF$7)/$H699*OFFSET(ORÇAMENTO!$X$15,ROW(AX699)-ROW(AX$15),0),0)</f>
        <v>0</v>
      </c>
      <c r="AY699" s="632">
        <f ca="1">IF(AND($D699="Serviço",AY$12&lt;&gt;0,$H699&gt;0,OR(AUTOEVENTO&lt;&gt;"manual",$M699&lt;&gt;1)),ROUND(OFFSET($P699,0,AY$13),15-13*ORÇAMENTO!$AF$7)/$H699*OFFSET(ORÇAMENTO!$X$15,ROW(AY699)-ROW(AY$15),0),0)</f>
        <v>0</v>
      </c>
      <c r="AZ699" s="632">
        <f ca="1">IF(AND($D699="Serviço",AZ$12&lt;&gt;0,$H699&gt;0,OR(AUTOEVENTO&lt;&gt;"manual",$M699&lt;&gt;1)),ROUND(OFFSET($P699,0,AZ$13),15-13*ORÇAMENTO!$AF$7)/$H699*OFFSET(ORÇAMENTO!$X$15,ROW(AZ699)-ROW(AZ$15),0),0)</f>
        <v>0</v>
      </c>
      <c r="BA699" s="633">
        <f ca="1">IF(AND($D699="Serviço",BA$12&lt;&gt;0,$H699&gt;0,OR(AUTOEVENTO&lt;&gt;"manual",$M699&lt;&gt;1)),ROUND(OFFSET($P699,0,BA$13),15-13*ORÇAMENTO!$AF$7)/$H699*OFFSET(ORÇAMENTO!$X$15,ROW(BA699)-ROW(BA$15),0),0)</f>
        <v>0</v>
      </c>
      <c r="BC699" s="215">
        <f ca="1">IF($D699&lt;&gt;"Serviço",0,IF(AND(AUTOEVENTO="Manual",$M699=1),0,IF(OFFSET(CRONOPLE!$F$14,$M699,BC$13)="",10^12,OFFSET(CRONOPLE!$F$14,$M699,BC$13))))</f>
        <v>0</v>
      </c>
      <c r="BD699" s="215">
        <f ca="1">IF($D699&lt;&gt;"Serviço",0,IF(AND(AUTOEVENTO="Manual",$M699=1),0,IF(OFFSET(CRONOPLE!$F$14,$M699,BD$13)="",10^12,OFFSET(CRONOPLE!$F$14,$M699,BD$13))))</f>
        <v>0</v>
      </c>
      <c r="BE699" s="215">
        <f ca="1">IF($D699&lt;&gt;"Serviço",0,IF(AND(AUTOEVENTO="Manual",$M699=1),0,IF(OFFSET(CRONOPLE!$F$14,$M699,BE$13)="",10^12,OFFSET(CRONOPLE!$F$14,$M699,BE$13))))</f>
        <v>0</v>
      </c>
      <c r="BF699" s="215">
        <f ca="1">IF($D699&lt;&gt;"Serviço",0,IF(AND(AUTOEVENTO="Manual",$M699=1),0,IF(OFFSET(CRONOPLE!$F$14,$M699,BF$13)="",10^12,OFFSET(CRONOPLE!$F$14,$M699,BF$13))))</f>
        <v>0</v>
      </c>
      <c r="BG699" s="215">
        <f ca="1">IF($D699&lt;&gt;"Serviço",0,IF(AND(AUTOEVENTO="Manual",$M699=1),0,IF(OFFSET(CRONOPLE!$F$14,$M699,BG$13)="",10^12,OFFSET(CRONOPLE!$F$14,$M699,BG$13))))</f>
        <v>0</v>
      </c>
      <c r="BH699" s="215">
        <f ca="1">IF($D699&lt;&gt;"Serviço",0,IF(AND(AUTOEVENTO="Manual",$M699=1),0,IF(OFFSET(CRONOPLE!$F$14,$M699,BH$13)="",10^12,OFFSET(CRONOPLE!$F$14,$M699,BH$13))))</f>
        <v>0</v>
      </c>
      <c r="BI699" s="215">
        <f ca="1">IF($D699&lt;&gt;"Serviço",0,IF(AND(AUTOEVENTO="Manual",$M699=1),0,IF(OFFSET(CRONOPLE!$F$14,$M699,BI$13)="",10^12,OFFSET(CRONOPLE!$F$14,$M699,BI$13))))</f>
        <v>0</v>
      </c>
      <c r="BJ699" s="215">
        <f ca="1">IF($D699&lt;&gt;"Serviço",0,IF(AND(AUTOEVENTO="Manual",$M699=1),0,IF(OFFSET(CRONOPLE!$F$14,$M699,BJ$13)="",10^12,OFFSET(CRONOPLE!$F$14,$M699,BJ$13))))</f>
        <v>0</v>
      </c>
      <c r="BK699" s="215">
        <f ca="1">IF($D699&lt;&gt;"Serviço",0,IF(AND(AUTOEVENTO="Manual",$M699=1),0,IF(OFFSET(CRONOPLE!$F$14,$M699,BK$13)="",10^12,OFFSET(CRONOPLE!$F$14,$M699,BK$13))))</f>
        <v>0</v>
      </c>
      <c r="BL699" s="215">
        <f ca="1">IF($D699&lt;&gt;"Serviço",0,IF(AND(AUTOEVENTO="Manual",$M699=1),0,IF(OFFSET(CRONOPLE!$F$14,$M699,BL$13)="",10^12,OFFSET(CRONOPLE!$F$14,$M699,BL$13))))</f>
        <v>0</v>
      </c>
      <c r="BM699" s="215">
        <f ca="1">IF($D699&lt;&gt;"Serviço",0,IF(AND(AUTOEVENTO="Manual",$M699=1),0,IF(OFFSET(CRONOPLE!$F$14,$M699,BM$13)="",10^12,OFFSET(CRONOPLE!$F$14,$M699,BM$13))))</f>
        <v>0</v>
      </c>
      <c r="BN699" s="215">
        <f ca="1">IF($D699&lt;&gt;"Serviço",0,IF(AND(AUTOEVENTO="Manual",$M699=1),0,IF(OFFSET(CRONOPLE!$F$14,$M699,BN$13)="",10^12,OFFSET(CRONOPLE!$F$14,$M699,BN$13))))</f>
        <v>0</v>
      </c>
      <c r="BO699" s="215">
        <f ca="1">IF($D699&lt;&gt;"Serviço",0,IF(AND(AUTOEVENTO="Manual",$M699=1),0,IF(OFFSET(CRONOPLE!$F$14,$M699,BO$13)="",10^12,OFFSET(CRONOPLE!$F$14,$M699,BO$13))))</f>
        <v>0</v>
      </c>
      <c r="BP699" s="215">
        <f ca="1">IF($D699&lt;&gt;"Serviço",0,IF(AND(AUTOEVENTO="Manual",$M699=1),0,IF(OFFSET(CRONOPLE!$F$14,$M699,BP$13)="",10^12,OFFSET(CRONOPLE!$F$14,$M699,BP$13))))</f>
        <v>0</v>
      </c>
      <c r="BQ699" s="215">
        <f ca="1">IF($D699&lt;&gt;"Serviço",0,IF(AND(AUTOEVENTO="Manual",$M699=1),0,IF(OFFSET(CRONOPLE!$F$14,$M699,BQ$13)="",10^12,OFFSET(CRONOPLE!$F$14,$M699,BQ$13))))</f>
        <v>0</v>
      </c>
      <c r="BR699" s="215">
        <f ca="1">IF($D699&lt;&gt;"Serviço",0,IF(AND(AUTOEVENTO="Manual",$M699=1),0,IF(OFFSET(CRONOPLE!$F$14,$M699,BR$13)="",10^12,OFFSET(CRONOPLE!$F$14,$M699,BR$13))))</f>
        <v>0</v>
      </c>
      <c r="BS699" s="215">
        <f ca="1">IF($D699&lt;&gt;"Serviço",0,IF(AND(AUTOEVENTO="Manual",$M699=1),0,IF(OFFSET(CRONOPLE!$F$14,$M699,BS$13)="",10^12,OFFSET(CRONOPLE!$F$14,$M699,BS$13))))</f>
        <v>0</v>
      </c>
      <c r="BT699" s="215">
        <f ca="1">IF($D699&lt;&gt;"Serviço",0,IF(AND(AUTOEVENTO="Manual",$M699=1),0,IF(OFFSET(CRONOPLE!$F$14,$M699,BT$13)="",10^12,OFFSET(CRONOPLE!$F$14,$M699,BT$13))))</f>
        <v>0</v>
      </c>
      <c r="BV699" s="216">
        <f ca="1">IF($D699&lt;&gt;"Serviço",0,IF(OR(AND(AUTOEVENTO="Manual",$M699=1),$M699&gt;(ROW(PLE.lastrow)-ROW(PLE.firstrow))),0,IF(OFFSET(PLE!$G$14,$M699,BV$13)="",10^12,OFFSET(PLE!$G$14,$M699,BV$13))))</f>
        <v>0</v>
      </c>
      <c r="BW699" s="216">
        <f ca="1">IF($D699&lt;&gt;"Serviço",0,IF(OR(AND(AUTOEVENTO="Manual",$M699=1),$M699&gt;(ROW(PLE.lastrow)-ROW(PLE.firstrow))),0,IF(OFFSET(PLE!$G$14,$M699,BW$13)="",10^12,OFFSET(PLE!$G$14,$M699,BW$13))))</f>
        <v>0</v>
      </c>
      <c r="BX699" s="216">
        <f ca="1">IF($D699&lt;&gt;"Serviço",0,IF(OR(AND(AUTOEVENTO="Manual",$M699=1),$M699&gt;(ROW(PLE.lastrow)-ROW(PLE.firstrow))),0,IF(OFFSET(PLE!$G$14,$M699,BX$13)="",10^12,OFFSET(PLE!$G$14,$M699,BX$13))))</f>
        <v>0</v>
      </c>
      <c r="BY699" s="216">
        <f ca="1">IF($D699&lt;&gt;"Serviço",0,IF(OR(AND(AUTOEVENTO="Manual",$M699=1),$M699&gt;(ROW(PLE.lastrow)-ROW(PLE.firstrow))),0,IF(OFFSET(PLE!$G$14,$M699,BY$13)="",10^12,OFFSET(PLE!$G$14,$M699,BY$13))))</f>
        <v>0</v>
      </c>
      <c r="BZ699" s="216">
        <f ca="1">IF($D699&lt;&gt;"Serviço",0,IF(OR(AND(AUTOEVENTO="Manual",$M699=1),$M699&gt;(ROW(PLE.lastrow)-ROW(PLE.firstrow))),0,IF(OFFSET(PLE!$G$14,$M699,BZ$13)="",10^12,OFFSET(PLE!$G$14,$M699,BZ$13))))</f>
        <v>0</v>
      </c>
      <c r="CA699" s="216">
        <f ca="1">IF($D699&lt;&gt;"Serviço",0,IF(OR(AND(AUTOEVENTO="Manual",$M699=1),$M699&gt;(ROW(PLE.lastrow)-ROW(PLE.firstrow))),0,IF(OFFSET(PLE!$G$14,$M699,CA$13)="",10^12,OFFSET(PLE!$G$14,$M699,CA$13))))</f>
        <v>0</v>
      </c>
      <c r="CB699" s="216">
        <f ca="1">IF($D699&lt;&gt;"Serviço",0,IF(OR(AND(AUTOEVENTO="Manual",$M699=1),$M699&gt;(ROW(PLE.lastrow)-ROW(PLE.firstrow))),0,IF(OFFSET(PLE!$G$14,$M699,CB$13)="",10^12,OFFSET(PLE!$G$14,$M699,CB$13))))</f>
        <v>0</v>
      </c>
      <c r="CC699" s="216">
        <f ca="1">IF($D699&lt;&gt;"Serviço",0,IF(OR(AND(AUTOEVENTO="Manual",$M699=1),$M699&gt;(ROW(PLE.lastrow)-ROW(PLE.firstrow))),0,IF(OFFSET(PLE!$G$14,$M699,CC$13)="",10^12,OFFSET(PLE!$G$14,$M699,CC$13))))</f>
        <v>0</v>
      </c>
      <c r="CD699" s="216">
        <f ca="1">IF($D699&lt;&gt;"Serviço",0,IF(OR(AND(AUTOEVENTO="Manual",$M699=1),$M699&gt;(ROW(PLE.lastrow)-ROW(PLE.firstrow))),0,IF(OFFSET(PLE!$G$14,$M699,CD$13)="",10^12,OFFSET(PLE!$G$14,$M699,CD$13))))</f>
        <v>0</v>
      </c>
      <c r="CE699" s="216">
        <f ca="1">IF($D699&lt;&gt;"Serviço",0,IF(OR(AND(AUTOEVENTO="Manual",$M699=1),$M699&gt;(ROW(PLE.lastrow)-ROW(PLE.firstrow))),0,IF(OFFSET(PLE!$G$14,$M699,CE$13)="",10^12,OFFSET(PLE!$G$14,$M699,CE$13))))</f>
        <v>0</v>
      </c>
      <c r="CF699" s="216">
        <f ca="1">IF($D699&lt;&gt;"Serviço",0,IF(OR(AND(AUTOEVENTO="Manual",$M699=1),$M699&gt;(ROW(PLE.lastrow)-ROW(PLE.firstrow))),0,IF(OFFSET(PLE!$G$14,$M699,CF$13)="",10^12,OFFSET(PLE!$G$14,$M699,CF$13))))</f>
        <v>0</v>
      </c>
      <c r="CG699" s="216">
        <f ca="1">IF($D699&lt;&gt;"Serviço",0,IF(OR(AND(AUTOEVENTO="Manual",$M699=1),$M699&gt;(ROW(PLE.lastrow)-ROW(PLE.firstrow))),0,IF(OFFSET(PLE!$G$14,$M699,CG$13)="",10^12,OFFSET(PLE!$G$14,$M699,CG$13))))</f>
        <v>0</v>
      </c>
      <c r="CH699" s="216">
        <f ca="1">IF($D699&lt;&gt;"Serviço",0,IF(OR(AND(AUTOEVENTO="Manual",$M699=1),$M699&gt;(ROW(PLE.lastrow)-ROW(PLE.firstrow))),0,IF(OFFSET(PLE!$G$14,$M699,CH$13)="",10^12,OFFSET(PLE!$G$14,$M699,CH$13))))</f>
        <v>0</v>
      </c>
      <c r="CI699" s="216">
        <f ca="1">IF($D699&lt;&gt;"Serviço",0,IF(OR(AND(AUTOEVENTO="Manual",$M699=1),$M699&gt;(ROW(PLE.lastrow)-ROW(PLE.firstrow))),0,IF(OFFSET(PLE!$G$14,$M699,CI$13)="",10^12,OFFSET(PLE!$G$14,$M699,CI$13))))</f>
        <v>0</v>
      </c>
      <c r="CJ699" s="216">
        <f ca="1">IF($D699&lt;&gt;"Serviço",0,IF(OR(AND(AUTOEVENTO="Manual",$M699=1),$M699&gt;(ROW(PLE.lastrow)-ROW(PLE.firstrow))),0,IF(OFFSET(PLE!$G$14,$M699,CJ$13)="",10^12,OFFSET(PLE!$G$14,$M699,CJ$13))))</f>
        <v>0</v>
      </c>
      <c r="CK699" s="216">
        <f ca="1">IF($D699&lt;&gt;"Serviço",0,IF(OR(AND(AUTOEVENTO="Manual",$M699=1),$M699&gt;(ROW(PLE.lastrow)-ROW(PLE.firstrow))),0,IF(OFFSET(PLE!$G$14,$M699,CK$13)="",10^12,OFFSET(PLE!$G$14,$M699,CK$13))))</f>
        <v>0</v>
      </c>
      <c r="CL699" s="216">
        <f ca="1">IF($D699&lt;&gt;"Serviço",0,IF(OR(AND(AUTOEVENTO="Manual",$M699=1),$M699&gt;(ROW(PLE.lastrow)-ROW(PLE.firstrow))),0,IF(OFFSET(PLE!$G$14,$M699,CL$13)="",10^12,OFFSET(PLE!$G$14,$M699,CL$13))))</f>
        <v>0</v>
      </c>
      <c r="CM699" s="216">
        <f ca="1">IF($D699&lt;&gt;"Serviço",0,IF(OR(AND(AUTOEVENTO="Manual",$M699=1),$M699&gt;(ROW(PLE.lastrow)-ROW(PLE.firstrow))),0,IF(OFFSET(PLE!$G$14,$M699,CM$13)="",10^12,OFFSET(PLE!$G$14,$M699,CM$13))))</f>
        <v>0</v>
      </c>
    </row>
    <row r="700" spans="1:91" ht="13.2" x14ac:dyDescent="0.25">
      <c r="A700" s="9">
        <f t="shared" ca="1" si="20"/>
        <v>0</v>
      </c>
      <c r="B700" s="9" t="str">
        <f ca="1">OFFSET(ORÇAMENTO!C$15,ROW(B700)-ROW(B$15),0)</f>
        <v>S</v>
      </c>
      <c r="C700" s="9" t="str">
        <f ca="1">OFFSET(ORÇAMENTO!L$15,ROW(C700)-ROW(C$15),0)</f>
        <v/>
      </c>
      <c r="D700" s="145" t="str">
        <f ca="1">OFFSET(ORÇAMENTO!N$15,ROW(D700)-ROW(D$15),0)</f>
        <v>Serviço</v>
      </c>
      <c r="E700" s="205" t="str">
        <f ca="1">OFFSET(ORÇAMENTO!O$15,ROW(E700)-ROW(E$15),0)</f>
        <v>-</v>
      </c>
      <c r="F700" s="206" t="str">
        <f ca="1">OFFSET(ORÇAMENTO!R$15,ROW(F700)-ROW(F$15),0)</f>
        <v>(abra o arquivo 'Referência 05-2024.xls)</v>
      </c>
      <c r="G700" s="207" t="str">
        <f ca="1">IF($D700&lt;&gt;"Serviço","",OFFSET(ORÇAMENTO!S$15,ROW(G700)-ROW(G$15),0))</f>
        <v>-</v>
      </c>
      <c r="H700" s="151">
        <f ca="1">IF($D700&lt;&gt;"Serviço",0,IF(ACOMPANHAMENTO="BM",ROUND(OFFSET(ORÇAMENTO!AJ$15,ROW(H700)-ROW(H$15),0),15-13*ORÇAMENTO!$AF$7),SUMPRODUCT(($Q$12:$AI$12&lt;&gt;"")*ROUND($Q700:$AI700,15-13*ORÇAMENTO!$AF$7))))</f>
        <v>2935.25</v>
      </c>
      <c r="I700" s="650"/>
      <c r="K700" s="208"/>
      <c r="L700" s="209" t="s">
        <v>257</v>
      </c>
      <c r="M700" s="210">
        <f ca="1">IF($D700&lt;&gt;"Serviço","",IF(AUTOEVENTO="manual",$A700,IF(ISERROR(MATCH($A700,$A$15:OFFSET($A700,-1,0),0)),MAX($M$15:OFFSET(M700,-1,0))+1,INDEX($M$15:OFFSET(M700,-1,0),MATCH($A700,$A$15:OFFSET($A700,-1,0),0)))))</f>
        <v>0</v>
      </c>
      <c r="N700" s="211" t="str">
        <f ca="1">IF($D700&lt;&gt;"Serviço","",IF(AUTOEVENTO="Manual",IF($A700=0,"&lt;-- defina o número do agrupador",OFFSET(EVENTOS!$D$14,$A700,0)),OFFSET($F$15,$A700,0)))</f>
        <v>&lt;-- defina o número do agrupador</v>
      </c>
      <c r="O700" s="212"/>
      <c r="Q700" s="212"/>
      <c r="R700" s="213"/>
      <c r="S700" s="213"/>
      <c r="T700" s="213"/>
      <c r="U700" s="213"/>
      <c r="V700" s="213"/>
      <c r="W700" s="213"/>
      <c r="X700" s="213"/>
      <c r="Y700" s="213"/>
      <c r="Z700" s="214"/>
      <c r="AA700" s="213"/>
      <c r="AB700" s="213"/>
      <c r="AC700" s="213"/>
      <c r="AD700" s="213"/>
      <c r="AE700" s="213"/>
      <c r="AF700" s="213"/>
      <c r="AG700" s="213"/>
      <c r="AH700" s="214"/>
      <c r="AJ700" s="631">
        <f ca="1">IF(AND($D700="Serviço",AJ$12&lt;&gt;0,$H700&gt;0,OR(AUTOEVENTO&lt;&gt;"manual",$M700&lt;&gt;1)),ROUND(OFFSET($P700,0,AJ$13),15-13*ORÇAMENTO!$AF$7)/$H700*OFFSET(ORÇAMENTO!$X$15,ROW(AJ700)-ROW(AJ$15),0),0)</f>
        <v>0</v>
      </c>
      <c r="AK700" s="632">
        <f ca="1">IF(AND($D700="Serviço",AK$12&lt;&gt;0,$H700&gt;0,OR(AUTOEVENTO&lt;&gt;"manual",$M700&lt;&gt;1)),ROUND(OFFSET($P700,0,AK$13),15-13*ORÇAMENTO!$AF$7)/$H700*OFFSET(ORÇAMENTO!$X$15,ROW(AK700)-ROW(AK$15),0),0)</f>
        <v>0</v>
      </c>
      <c r="AL700" s="632">
        <f ca="1">IF(AND($D700="Serviço",AL$12&lt;&gt;0,$H700&gt;0,OR(AUTOEVENTO&lt;&gt;"manual",$M700&lt;&gt;1)),ROUND(OFFSET($P700,0,AL$13),15-13*ORÇAMENTO!$AF$7)/$H700*OFFSET(ORÇAMENTO!$X$15,ROW(AL700)-ROW(AL$15),0),0)</f>
        <v>0</v>
      </c>
      <c r="AM700" s="632">
        <f ca="1">IF(AND($D700="Serviço",AM$12&lt;&gt;0,$H700&gt;0,OR(AUTOEVENTO&lt;&gt;"manual",$M700&lt;&gt;1)),ROUND(OFFSET($P700,0,AM$13),15-13*ORÇAMENTO!$AF$7)/$H700*OFFSET(ORÇAMENTO!$X$15,ROW(AM700)-ROW(AM$15),0),0)</f>
        <v>0</v>
      </c>
      <c r="AN700" s="632">
        <f ca="1">IF(AND($D700="Serviço",AN$12&lt;&gt;0,$H700&gt;0,OR(AUTOEVENTO&lt;&gt;"manual",$M700&lt;&gt;1)),ROUND(OFFSET($P700,0,AN$13),15-13*ORÇAMENTO!$AF$7)/$H700*OFFSET(ORÇAMENTO!$X$15,ROW(AN700)-ROW(AN$15),0),0)</f>
        <v>0</v>
      </c>
      <c r="AO700" s="632">
        <f ca="1">IF(AND($D700="Serviço",AO$12&lt;&gt;0,$H700&gt;0,OR(AUTOEVENTO&lt;&gt;"manual",$M700&lt;&gt;1)),ROUND(OFFSET($P700,0,AO$13),15-13*ORÇAMENTO!$AF$7)/$H700*OFFSET(ORÇAMENTO!$X$15,ROW(AO700)-ROW(AO$15),0),0)</f>
        <v>0</v>
      </c>
      <c r="AP700" s="632">
        <f ca="1">IF(AND($D700="Serviço",AP$12&lt;&gt;0,$H700&gt;0,OR(AUTOEVENTO&lt;&gt;"manual",$M700&lt;&gt;1)),ROUND(OFFSET($P700,0,AP$13),15-13*ORÇAMENTO!$AF$7)/$H700*OFFSET(ORÇAMENTO!$X$15,ROW(AP700)-ROW(AP$15),0),0)</f>
        <v>0</v>
      </c>
      <c r="AQ700" s="632">
        <f ca="1">IF(AND($D700="Serviço",AQ$12&lt;&gt;0,$H700&gt;0,OR(AUTOEVENTO&lt;&gt;"manual",$M700&lt;&gt;1)),ROUND(OFFSET($P700,0,AQ$13),15-13*ORÇAMENTO!$AF$7)/$H700*OFFSET(ORÇAMENTO!$X$15,ROW(AQ700)-ROW(AQ$15),0),0)</f>
        <v>0</v>
      </c>
      <c r="AR700" s="632">
        <f ca="1">IF(AND($D700="Serviço",AR$12&lt;&gt;0,$H700&gt;0,OR(AUTOEVENTO&lt;&gt;"manual",$M700&lt;&gt;1)),ROUND(OFFSET($P700,0,AR$13),15-13*ORÇAMENTO!$AF$7)/$H700*OFFSET(ORÇAMENTO!$X$15,ROW(AR700)-ROW(AR$15),0),0)</f>
        <v>0</v>
      </c>
      <c r="AS700" s="633">
        <f ca="1">IF(AND($D700="Serviço",AS$12&lt;&gt;0,$H700&gt;0,OR(AUTOEVENTO&lt;&gt;"manual",$M700&lt;&gt;1)),ROUND(OFFSET($P700,0,AS$13),15-13*ORÇAMENTO!$AF$7)/$H700*OFFSET(ORÇAMENTO!$X$15,ROW(AS700)-ROW(AS$15),0),0)</f>
        <v>0</v>
      </c>
      <c r="AT700" s="632">
        <f ca="1">IF(AND($D700="Serviço",AT$12&lt;&gt;0,$H700&gt;0,OR(AUTOEVENTO&lt;&gt;"manual",$M700&lt;&gt;1)),ROUND(OFFSET($P700,0,AT$13),15-13*ORÇAMENTO!$AF$7)/$H700*OFFSET(ORÇAMENTO!$X$15,ROW(AT700)-ROW(AT$15),0),0)</f>
        <v>0</v>
      </c>
      <c r="AU700" s="632">
        <f ca="1">IF(AND($D700="Serviço",AU$12&lt;&gt;0,$H700&gt;0,OR(AUTOEVENTO&lt;&gt;"manual",$M700&lt;&gt;1)),ROUND(OFFSET($P700,0,AU$13),15-13*ORÇAMENTO!$AF$7)/$H700*OFFSET(ORÇAMENTO!$X$15,ROW(AU700)-ROW(AU$15),0),0)</f>
        <v>0</v>
      </c>
      <c r="AV700" s="632">
        <f ca="1">IF(AND($D700="Serviço",AV$12&lt;&gt;0,$H700&gt;0,OR(AUTOEVENTO&lt;&gt;"manual",$M700&lt;&gt;1)),ROUND(OFFSET($P700,0,AV$13),15-13*ORÇAMENTO!$AF$7)/$H700*OFFSET(ORÇAMENTO!$X$15,ROW(AV700)-ROW(AV$15),0),0)</f>
        <v>0</v>
      </c>
      <c r="AW700" s="632">
        <f ca="1">IF(AND($D700="Serviço",AW$12&lt;&gt;0,$H700&gt;0,OR(AUTOEVENTO&lt;&gt;"manual",$M700&lt;&gt;1)),ROUND(OFFSET($P700,0,AW$13),15-13*ORÇAMENTO!$AF$7)/$H700*OFFSET(ORÇAMENTO!$X$15,ROW(AW700)-ROW(AW$15),0),0)</f>
        <v>0</v>
      </c>
      <c r="AX700" s="632">
        <f ca="1">IF(AND($D700="Serviço",AX$12&lt;&gt;0,$H700&gt;0,OR(AUTOEVENTO&lt;&gt;"manual",$M700&lt;&gt;1)),ROUND(OFFSET($P700,0,AX$13),15-13*ORÇAMENTO!$AF$7)/$H700*OFFSET(ORÇAMENTO!$X$15,ROW(AX700)-ROW(AX$15),0),0)</f>
        <v>0</v>
      </c>
      <c r="AY700" s="632">
        <f ca="1">IF(AND($D700="Serviço",AY$12&lt;&gt;0,$H700&gt;0,OR(AUTOEVENTO&lt;&gt;"manual",$M700&lt;&gt;1)),ROUND(OFFSET($P700,0,AY$13),15-13*ORÇAMENTO!$AF$7)/$H700*OFFSET(ORÇAMENTO!$X$15,ROW(AY700)-ROW(AY$15),0),0)</f>
        <v>0</v>
      </c>
      <c r="AZ700" s="632">
        <f ca="1">IF(AND($D700="Serviço",AZ$12&lt;&gt;0,$H700&gt;0,OR(AUTOEVENTO&lt;&gt;"manual",$M700&lt;&gt;1)),ROUND(OFFSET($P700,0,AZ$13),15-13*ORÇAMENTO!$AF$7)/$H700*OFFSET(ORÇAMENTO!$X$15,ROW(AZ700)-ROW(AZ$15),0),0)</f>
        <v>0</v>
      </c>
      <c r="BA700" s="633">
        <f ca="1">IF(AND($D700="Serviço",BA$12&lt;&gt;0,$H700&gt;0,OR(AUTOEVENTO&lt;&gt;"manual",$M700&lt;&gt;1)),ROUND(OFFSET($P700,0,BA$13),15-13*ORÇAMENTO!$AF$7)/$H700*OFFSET(ORÇAMENTO!$X$15,ROW(BA700)-ROW(BA$15),0),0)</f>
        <v>0</v>
      </c>
      <c r="BC700" s="215">
        <f ca="1">IF($D700&lt;&gt;"Serviço",0,IF(AND(AUTOEVENTO="Manual",$M700=1),0,IF(OFFSET(CRONOPLE!$F$14,$M700,BC$13)="",10^12,OFFSET(CRONOPLE!$F$14,$M700,BC$13))))</f>
        <v>1000000000000</v>
      </c>
      <c r="BD700" s="215">
        <f ca="1">IF($D700&lt;&gt;"Serviço",0,IF(AND(AUTOEVENTO="Manual",$M700=1),0,IF(OFFSET(CRONOPLE!$F$14,$M700,BD$13)="",10^12,OFFSET(CRONOPLE!$F$14,$M700,BD$13))))</f>
        <v>1000000000000</v>
      </c>
      <c r="BE700" s="215">
        <f ca="1">IF($D700&lt;&gt;"Serviço",0,IF(AND(AUTOEVENTO="Manual",$M700=1),0,IF(OFFSET(CRONOPLE!$F$14,$M700,BE$13)="",10^12,OFFSET(CRONOPLE!$F$14,$M700,BE$13))))</f>
        <v>1000000000000</v>
      </c>
      <c r="BF700" s="215">
        <f ca="1">IF($D700&lt;&gt;"Serviço",0,IF(AND(AUTOEVENTO="Manual",$M700=1),0,IF(OFFSET(CRONOPLE!$F$14,$M700,BF$13)="",10^12,OFFSET(CRONOPLE!$F$14,$M700,BF$13))))</f>
        <v>1000000000000</v>
      </c>
      <c r="BG700" s="215">
        <f ca="1">IF($D700&lt;&gt;"Serviço",0,IF(AND(AUTOEVENTO="Manual",$M700=1),0,IF(OFFSET(CRONOPLE!$F$14,$M700,BG$13)="",10^12,OFFSET(CRONOPLE!$F$14,$M700,BG$13))))</f>
        <v>1000000000000</v>
      </c>
      <c r="BH700" s="215">
        <f ca="1">IF($D700&lt;&gt;"Serviço",0,IF(AND(AUTOEVENTO="Manual",$M700=1),0,IF(OFFSET(CRONOPLE!$F$14,$M700,BH$13)="",10^12,OFFSET(CRONOPLE!$F$14,$M700,BH$13))))</f>
        <v>1000000000000</v>
      </c>
      <c r="BI700" s="215">
        <f ca="1">IF($D700&lt;&gt;"Serviço",0,IF(AND(AUTOEVENTO="Manual",$M700=1),0,IF(OFFSET(CRONOPLE!$F$14,$M700,BI$13)="",10^12,OFFSET(CRONOPLE!$F$14,$M700,BI$13))))</f>
        <v>1000000000000</v>
      </c>
      <c r="BJ700" s="215">
        <f ca="1">IF($D700&lt;&gt;"Serviço",0,IF(AND(AUTOEVENTO="Manual",$M700=1),0,IF(OFFSET(CRONOPLE!$F$14,$M700,BJ$13)="",10^12,OFFSET(CRONOPLE!$F$14,$M700,BJ$13))))</f>
        <v>1000000000000</v>
      </c>
      <c r="BK700" s="215">
        <f ca="1">IF($D700&lt;&gt;"Serviço",0,IF(AND(AUTOEVENTO="Manual",$M700=1),0,IF(OFFSET(CRONOPLE!$F$14,$M700,BK$13)="",10^12,OFFSET(CRONOPLE!$F$14,$M700,BK$13))))</f>
        <v>1000000000000</v>
      </c>
      <c r="BL700" s="215">
        <f ca="1">IF($D700&lt;&gt;"Serviço",0,IF(AND(AUTOEVENTO="Manual",$M700=1),0,IF(OFFSET(CRONOPLE!$F$14,$M700,BL$13)="",10^12,OFFSET(CRONOPLE!$F$14,$M700,BL$13))))</f>
        <v>1000000000000</v>
      </c>
      <c r="BM700" s="215">
        <f ca="1">IF($D700&lt;&gt;"Serviço",0,IF(AND(AUTOEVENTO="Manual",$M700=1),0,IF(OFFSET(CRONOPLE!$F$14,$M700,BM$13)="",10^12,OFFSET(CRONOPLE!$F$14,$M700,BM$13))))</f>
        <v>1000000000000</v>
      </c>
      <c r="BN700" s="215">
        <f ca="1">IF($D700&lt;&gt;"Serviço",0,IF(AND(AUTOEVENTO="Manual",$M700=1),0,IF(OFFSET(CRONOPLE!$F$14,$M700,BN$13)="",10^12,OFFSET(CRONOPLE!$F$14,$M700,BN$13))))</f>
        <v>1000000000000</v>
      </c>
      <c r="BO700" s="215">
        <f ca="1">IF($D700&lt;&gt;"Serviço",0,IF(AND(AUTOEVENTO="Manual",$M700=1),0,IF(OFFSET(CRONOPLE!$F$14,$M700,BO$13)="",10^12,OFFSET(CRONOPLE!$F$14,$M700,BO$13))))</f>
        <v>1000000000000</v>
      </c>
      <c r="BP700" s="215">
        <f ca="1">IF($D700&lt;&gt;"Serviço",0,IF(AND(AUTOEVENTO="Manual",$M700=1),0,IF(OFFSET(CRONOPLE!$F$14,$M700,BP$13)="",10^12,OFFSET(CRONOPLE!$F$14,$M700,BP$13))))</f>
        <v>1000000000000</v>
      </c>
      <c r="BQ700" s="215">
        <f ca="1">IF($D700&lt;&gt;"Serviço",0,IF(AND(AUTOEVENTO="Manual",$M700=1),0,IF(OFFSET(CRONOPLE!$F$14,$M700,BQ$13)="",10^12,OFFSET(CRONOPLE!$F$14,$M700,BQ$13))))</f>
        <v>1000000000000</v>
      </c>
      <c r="BR700" s="215">
        <f ca="1">IF($D700&lt;&gt;"Serviço",0,IF(AND(AUTOEVENTO="Manual",$M700=1),0,IF(OFFSET(CRONOPLE!$F$14,$M700,BR$13)="",10^12,OFFSET(CRONOPLE!$F$14,$M700,BR$13))))</f>
        <v>1000000000000</v>
      </c>
      <c r="BS700" s="215">
        <f ca="1">IF($D700&lt;&gt;"Serviço",0,IF(AND(AUTOEVENTO="Manual",$M700=1),0,IF(OFFSET(CRONOPLE!$F$14,$M700,BS$13)="",10^12,OFFSET(CRONOPLE!$F$14,$M700,BS$13))))</f>
        <v>1000000000000</v>
      </c>
      <c r="BT700" s="215">
        <f ca="1">IF($D700&lt;&gt;"Serviço",0,IF(AND(AUTOEVENTO="Manual",$M700=1),0,IF(OFFSET(CRONOPLE!$F$14,$M700,BT$13)="",10^12,OFFSET(CRONOPLE!$F$14,$M700,BT$13))))</f>
        <v>1000000000000</v>
      </c>
      <c r="BV700" s="216">
        <f ca="1">IF($D700&lt;&gt;"Serviço",0,IF(OR(AND(AUTOEVENTO="Manual",$M700=1),$M700&gt;(ROW(PLE.lastrow)-ROW(PLE.firstrow))),0,IF(OFFSET(PLE!$G$14,$M700,BV$13)="",10^12,OFFSET(PLE!$G$14,$M700,BV$13))))</f>
        <v>1000000000000</v>
      </c>
      <c r="BW700" s="216">
        <f ca="1">IF($D700&lt;&gt;"Serviço",0,IF(OR(AND(AUTOEVENTO="Manual",$M700=1),$M700&gt;(ROW(PLE.lastrow)-ROW(PLE.firstrow))),0,IF(OFFSET(PLE!$G$14,$M700,BW$13)="",10^12,OFFSET(PLE!$G$14,$M700,BW$13))))</f>
        <v>1000000000000</v>
      </c>
      <c r="BX700" s="216">
        <f ca="1">IF($D700&lt;&gt;"Serviço",0,IF(OR(AND(AUTOEVENTO="Manual",$M700=1),$M700&gt;(ROW(PLE.lastrow)-ROW(PLE.firstrow))),0,IF(OFFSET(PLE!$G$14,$M700,BX$13)="",10^12,OFFSET(PLE!$G$14,$M700,BX$13))))</f>
        <v>1000000000000</v>
      </c>
      <c r="BY700" s="216">
        <f ca="1">IF($D700&lt;&gt;"Serviço",0,IF(OR(AND(AUTOEVENTO="Manual",$M700=1),$M700&gt;(ROW(PLE.lastrow)-ROW(PLE.firstrow))),0,IF(OFFSET(PLE!$G$14,$M700,BY$13)="",10^12,OFFSET(PLE!$G$14,$M700,BY$13))))</f>
        <v>1000000000000</v>
      </c>
      <c r="BZ700" s="216">
        <f ca="1">IF($D700&lt;&gt;"Serviço",0,IF(OR(AND(AUTOEVENTO="Manual",$M700=1),$M700&gt;(ROW(PLE.lastrow)-ROW(PLE.firstrow))),0,IF(OFFSET(PLE!$G$14,$M700,BZ$13)="",10^12,OFFSET(PLE!$G$14,$M700,BZ$13))))</f>
        <v>1000000000000</v>
      </c>
      <c r="CA700" s="216">
        <f ca="1">IF($D700&lt;&gt;"Serviço",0,IF(OR(AND(AUTOEVENTO="Manual",$M700=1),$M700&gt;(ROW(PLE.lastrow)-ROW(PLE.firstrow))),0,IF(OFFSET(PLE!$G$14,$M700,CA$13)="",10^12,OFFSET(PLE!$G$14,$M700,CA$13))))</f>
        <v>1000000000000</v>
      </c>
      <c r="CB700" s="216">
        <f ca="1">IF($D700&lt;&gt;"Serviço",0,IF(OR(AND(AUTOEVENTO="Manual",$M700=1),$M700&gt;(ROW(PLE.lastrow)-ROW(PLE.firstrow))),0,IF(OFFSET(PLE!$G$14,$M700,CB$13)="",10^12,OFFSET(PLE!$G$14,$M700,CB$13))))</f>
        <v>1000000000000</v>
      </c>
      <c r="CC700" s="216">
        <f ca="1">IF($D700&lt;&gt;"Serviço",0,IF(OR(AND(AUTOEVENTO="Manual",$M700=1),$M700&gt;(ROW(PLE.lastrow)-ROW(PLE.firstrow))),0,IF(OFFSET(PLE!$G$14,$M700,CC$13)="",10^12,OFFSET(PLE!$G$14,$M700,CC$13))))</f>
        <v>1000000000000</v>
      </c>
      <c r="CD700" s="216">
        <f ca="1">IF($D700&lt;&gt;"Serviço",0,IF(OR(AND(AUTOEVENTO="Manual",$M700=1),$M700&gt;(ROW(PLE.lastrow)-ROW(PLE.firstrow))),0,IF(OFFSET(PLE!$G$14,$M700,CD$13)="",10^12,OFFSET(PLE!$G$14,$M700,CD$13))))</f>
        <v>1000000000000</v>
      </c>
      <c r="CE700" s="216">
        <f ca="1">IF($D700&lt;&gt;"Serviço",0,IF(OR(AND(AUTOEVENTO="Manual",$M700=1),$M700&gt;(ROW(PLE.lastrow)-ROW(PLE.firstrow))),0,IF(OFFSET(PLE!$G$14,$M700,CE$13)="",10^12,OFFSET(PLE!$G$14,$M700,CE$13))))</f>
        <v>1000000000000</v>
      </c>
      <c r="CF700" s="216">
        <f ca="1">IF($D700&lt;&gt;"Serviço",0,IF(OR(AND(AUTOEVENTO="Manual",$M700=1),$M700&gt;(ROW(PLE.lastrow)-ROW(PLE.firstrow))),0,IF(OFFSET(PLE!$G$14,$M700,CF$13)="",10^12,OFFSET(PLE!$G$14,$M700,CF$13))))</f>
        <v>1000000000000</v>
      </c>
      <c r="CG700" s="216">
        <f ca="1">IF($D700&lt;&gt;"Serviço",0,IF(OR(AND(AUTOEVENTO="Manual",$M700=1),$M700&gt;(ROW(PLE.lastrow)-ROW(PLE.firstrow))),0,IF(OFFSET(PLE!$G$14,$M700,CG$13)="",10^12,OFFSET(PLE!$G$14,$M700,CG$13))))</f>
        <v>1000000000000</v>
      </c>
      <c r="CH700" s="216">
        <f ca="1">IF($D700&lt;&gt;"Serviço",0,IF(OR(AND(AUTOEVENTO="Manual",$M700=1),$M700&gt;(ROW(PLE.lastrow)-ROW(PLE.firstrow))),0,IF(OFFSET(PLE!$G$14,$M700,CH$13)="",10^12,OFFSET(PLE!$G$14,$M700,CH$13))))</f>
        <v>1000000000000</v>
      </c>
      <c r="CI700" s="216">
        <f ca="1">IF($D700&lt;&gt;"Serviço",0,IF(OR(AND(AUTOEVENTO="Manual",$M700=1),$M700&gt;(ROW(PLE.lastrow)-ROW(PLE.firstrow))),0,IF(OFFSET(PLE!$G$14,$M700,CI$13)="",10^12,OFFSET(PLE!$G$14,$M700,CI$13))))</f>
        <v>1000000000000</v>
      </c>
      <c r="CJ700" s="216">
        <f ca="1">IF($D700&lt;&gt;"Serviço",0,IF(OR(AND(AUTOEVENTO="Manual",$M700=1),$M700&gt;(ROW(PLE.lastrow)-ROW(PLE.firstrow))),0,IF(OFFSET(PLE!$G$14,$M700,CJ$13)="",10^12,OFFSET(PLE!$G$14,$M700,CJ$13))))</f>
        <v>1000000000000</v>
      </c>
      <c r="CK700" s="216">
        <f ca="1">IF($D700&lt;&gt;"Serviço",0,IF(OR(AND(AUTOEVENTO="Manual",$M700=1),$M700&gt;(ROW(PLE.lastrow)-ROW(PLE.firstrow))),0,IF(OFFSET(PLE!$G$14,$M700,CK$13)="",10^12,OFFSET(PLE!$G$14,$M700,CK$13))))</f>
        <v>1000000000000</v>
      </c>
      <c r="CL700" s="216">
        <f ca="1">IF($D700&lt;&gt;"Serviço",0,IF(OR(AND(AUTOEVENTO="Manual",$M700=1),$M700&gt;(ROW(PLE.lastrow)-ROW(PLE.firstrow))),0,IF(OFFSET(PLE!$G$14,$M700,CL$13)="",10^12,OFFSET(PLE!$G$14,$M700,CL$13))))</f>
        <v>1000000000000</v>
      </c>
      <c r="CM700" s="216">
        <f ca="1">IF($D700&lt;&gt;"Serviço",0,IF(OR(AND(AUTOEVENTO="Manual",$M700=1),$M700&gt;(ROW(PLE.lastrow)-ROW(PLE.firstrow))),0,IF(OFFSET(PLE!$G$14,$M700,CM$13)="",10^12,OFFSET(PLE!$G$14,$M700,CM$13))))</f>
        <v>1000000000000</v>
      </c>
    </row>
    <row r="701" spans="1:91" ht="13.2" x14ac:dyDescent="0.25">
      <c r="A701" s="9">
        <f t="shared" ca="1" si="20"/>
        <v>0</v>
      </c>
      <c r="B701" s="9" t="str">
        <f ca="1">OFFSET(ORÇAMENTO!C$15,ROW(B701)-ROW(B$15),0)</f>
        <v>S</v>
      </c>
      <c r="C701" s="9" t="str">
        <f ca="1">OFFSET(ORÇAMENTO!L$15,ROW(C701)-ROW(C$15),0)</f>
        <v/>
      </c>
      <c r="D701" s="145" t="str">
        <f ca="1">OFFSET(ORÇAMENTO!N$15,ROW(D701)-ROW(D$15),0)</f>
        <v>Serviço</v>
      </c>
      <c r="E701" s="205" t="str">
        <f ca="1">OFFSET(ORÇAMENTO!O$15,ROW(E701)-ROW(E$15),0)</f>
        <v>-</v>
      </c>
      <c r="F701" s="206" t="str">
        <f ca="1">OFFSET(ORÇAMENTO!R$15,ROW(F701)-ROW(F$15),0)</f>
        <v>(abra o arquivo 'Referência 05-2024.xls)</v>
      </c>
      <c r="G701" s="207" t="str">
        <f ca="1">IF($D701&lt;&gt;"Serviço","",OFFSET(ORÇAMENTO!S$15,ROW(G701)-ROW(G$15),0))</f>
        <v>-</v>
      </c>
      <c r="H701" s="151">
        <f ca="1">IF($D701&lt;&gt;"Serviço",0,IF(ACOMPANHAMENTO="BM",ROUND(OFFSET(ORÇAMENTO!AJ$15,ROW(H701)-ROW(H$15),0),15-13*ORÇAMENTO!$AF$7),SUMPRODUCT(($Q$12:$AI$12&lt;&gt;"")*ROUND($Q701:$AI701,15-13*ORÇAMENTO!$AF$7))))</f>
        <v>1</v>
      </c>
      <c r="I701" s="650"/>
      <c r="K701" s="208"/>
      <c r="L701" s="209" t="s">
        <v>257</v>
      </c>
      <c r="M701" s="210">
        <f ca="1">IF($D701&lt;&gt;"Serviço","",IF(AUTOEVENTO="manual",$A701,IF(ISERROR(MATCH($A701,$A$15:OFFSET($A701,-1,0),0)),MAX($M$15:OFFSET(M701,-1,0))+1,INDEX($M$15:OFFSET(M701,-1,0),MATCH($A701,$A$15:OFFSET($A701,-1,0),0)))))</f>
        <v>0</v>
      </c>
      <c r="N701" s="211" t="str">
        <f ca="1">IF($D701&lt;&gt;"Serviço","",IF(AUTOEVENTO="Manual",IF($A701=0,"&lt;-- defina o número do agrupador",OFFSET(EVENTOS!$D$14,$A701,0)),OFFSET($F$15,$A701,0)))</f>
        <v>&lt;-- defina o número do agrupador</v>
      </c>
      <c r="O701" s="212"/>
      <c r="Q701" s="212"/>
      <c r="R701" s="213"/>
      <c r="S701" s="213"/>
      <c r="T701" s="213"/>
      <c r="U701" s="213"/>
      <c r="V701" s="213"/>
      <c r="W701" s="213"/>
      <c r="X701" s="213"/>
      <c r="Y701" s="213"/>
      <c r="Z701" s="214"/>
      <c r="AA701" s="213"/>
      <c r="AB701" s="213"/>
      <c r="AC701" s="213"/>
      <c r="AD701" s="213"/>
      <c r="AE701" s="213"/>
      <c r="AF701" s="213"/>
      <c r="AG701" s="213"/>
      <c r="AH701" s="214"/>
      <c r="AJ701" s="631">
        <f ca="1">IF(AND($D701="Serviço",AJ$12&lt;&gt;0,$H701&gt;0,OR(AUTOEVENTO&lt;&gt;"manual",$M701&lt;&gt;1)),ROUND(OFFSET($P701,0,AJ$13),15-13*ORÇAMENTO!$AF$7)/$H701*OFFSET(ORÇAMENTO!$X$15,ROW(AJ701)-ROW(AJ$15),0),0)</f>
        <v>0</v>
      </c>
      <c r="AK701" s="632">
        <f ca="1">IF(AND($D701="Serviço",AK$12&lt;&gt;0,$H701&gt;0,OR(AUTOEVENTO&lt;&gt;"manual",$M701&lt;&gt;1)),ROUND(OFFSET($P701,0,AK$13),15-13*ORÇAMENTO!$AF$7)/$H701*OFFSET(ORÇAMENTO!$X$15,ROW(AK701)-ROW(AK$15),0),0)</f>
        <v>0</v>
      </c>
      <c r="AL701" s="632">
        <f ca="1">IF(AND($D701="Serviço",AL$12&lt;&gt;0,$H701&gt;0,OR(AUTOEVENTO&lt;&gt;"manual",$M701&lt;&gt;1)),ROUND(OFFSET($P701,0,AL$13),15-13*ORÇAMENTO!$AF$7)/$H701*OFFSET(ORÇAMENTO!$X$15,ROW(AL701)-ROW(AL$15),0),0)</f>
        <v>0</v>
      </c>
      <c r="AM701" s="632">
        <f ca="1">IF(AND($D701="Serviço",AM$12&lt;&gt;0,$H701&gt;0,OR(AUTOEVENTO&lt;&gt;"manual",$M701&lt;&gt;1)),ROUND(OFFSET($P701,0,AM$13),15-13*ORÇAMENTO!$AF$7)/$H701*OFFSET(ORÇAMENTO!$X$15,ROW(AM701)-ROW(AM$15),0),0)</f>
        <v>0</v>
      </c>
      <c r="AN701" s="632">
        <f ca="1">IF(AND($D701="Serviço",AN$12&lt;&gt;0,$H701&gt;0,OR(AUTOEVENTO&lt;&gt;"manual",$M701&lt;&gt;1)),ROUND(OFFSET($P701,0,AN$13),15-13*ORÇAMENTO!$AF$7)/$H701*OFFSET(ORÇAMENTO!$X$15,ROW(AN701)-ROW(AN$15),0),0)</f>
        <v>0</v>
      </c>
      <c r="AO701" s="632">
        <f ca="1">IF(AND($D701="Serviço",AO$12&lt;&gt;0,$H701&gt;0,OR(AUTOEVENTO&lt;&gt;"manual",$M701&lt;&gt;1)),ROUND(OFFSET($P701,0,AO$13),15-13*ORÇAMENTO!$AF$7)/$H701*OFFSET(ORÇAMENTO!$X$15,ROW(AO701)-ROW(AO$15),0),0)</f>
        <v>0</v>
      </c>
      <c r="AP701" s="632">
        <f ca="1">IF(AND($D701="Serviço",AP$12&lt;&gt;0,$H701&gt;0,OR(AUTOEVENTO&lt;&gt;"manual",$M701&lt;&gt;1)),ROUND(OFFSET($P701,0,AP$13),15-13*ORÇAMENTO!$AF$7)/$H701*OFFSET(ORÇAMENTO!$X$15,ROW(AP701)-ROW(AP$15),0),0)</f>
        <v>0</v>
      </c>
      <c r="AQ701" s="632">
        <f ca="1">IF(AND($D701="Serviço",AQ$12&lt;&gt;0,$H701&gt;0,OR(AUTOEVENTO&lt;&gt;"manual",$M701&lt;&gt;1)),ROUND(OFFSET($P701,0,AQ$13),15-13*ORÇAMENTO!$AF$7)/$H701*OFFSET(ORÇAMENTO!$X$15,ROW(AQ701)-ROW(AQ$15),0),0)</f>
        <v>0</v>
      </c>
      <c r="AR701" s="632">
        <f ca="1">IF(AND($D701="Serviço",AR$12&lt;&gt;0,$H701&gt;0,OR(AUTOEVENTO&lt;&gt;"manual",$M701&lt;&gt;1)),ROUND(OFFSET($P701,0,AR$13),15-13*ORÇAMENTO!$AF$7)/$H701*OFFSET(ORÇAMENTO!$X$15,ROW(AR701)-ROW(AR$15),0),0)</f>
        <v>0</v>
      </c>
      <c r="AS701" s="633">
        <f ca="1">IF(AND($D701="Serviço",AS$12&lt;&gt;0,$H701&gt;0,OR(AUTOEVENTO&lt;&gt;"manual",$M701&lt;&gt;1)),ROUND(OFFSET($P701,0,AS$13),15-13*ORÇAMENTO!$AF$7)/$H701*OFFSET(ORÇAMENTO!$X$15,ROW(AS701)-ROW(AS$15),0),0)</f>
        <v>0</v>
      </c>
      <c r="AT701" s="632">
        <f ca="1">IF(AND($D701="Serviço",AT$12&lt;&gt;0,$H701&gt;0,OR(AUTOEVENTO&lt;&gt;"manual",$M701&lt;&gt;1)),ROUND(OFFSET($P701,0,AT$13),15-13*ORÇAMENTO!$AF$7)/$H701*OFFSET(ORÇAMENTO!$X$15,ROW(AT701)-ROW(AT$15),0),0)</f>
        <v>0</v>
      </c>
      <c r="AU701" s="632">
        <f ca="1">IF(AND($D701="Serviço",AU$12&lt;&gt;0,$H701&gt;0,OR(AUTOEVENTO&lt;&gt;"manual",$M701&lt;&gt;1)),ROUND(OFFSET($P701,0,AU$13),15-13*ORÇAMENTO!$AF$7)/$H701*OFFSET(ORÇAMENTO!$X$15,ROW(AU701)-ROW(AU$15),0),0)</f>
        <v>0</v>
      </c>
      <c r="AV701" s="632">
        <f ca="1">IF(AND($D701="Serviço",AV$12&lt;&gt;0,$H701&gt;0,OR(AUTOEVENTO&lt;&gt;"manual",$M701&lt;&gt;1)),ROUND(OFFSET($P701,0,AV$13),15-13*ORÇAMENTO!$AF$7)/$H701*OFFSET(ORÇAMENTO!$X$15,ROW(AV701)-ROW(AV$15),0),0)</f>
        <v>0</v>
      </c>
      <c r="AW701" s="632">
        <f ca="1">IF(AND($D701="Serviço",AW$12&lt;&gt;0,$H701&gt;0,OR(AUTOEVENTO&lt;&gt;"manual",$M701&lt;&gt;1)),ROUND(OFFSET($P701,0,AW$13),15-13*ORÇAMENTO!$AF$7)/$H701*OFFSET(ORÇAMENTO!$X$15,ROW(AW701)-ROW(AW$15),0),0)</f>
        <v>0</v>
      </c>
      <c r="AX701" s="632">
        <f ca="1">IF(AND($D701="Serviço",AX$12&lt;&gt;0,$H701&gt;0,OR(AUTOEVENTO&lt;&gt;"manual",$M701&lt;&gt;1)),ROUND(OFFSET($P701,0,AX$13),15-13*ORÇAMENTO!$AF$7)/$H701*OFFSET(ORÇAMENTO!$X$15,ROW(AX701)-ROW(AX$15),0),0)</f>
        <v>0</v>
      </c>
      <c r="AY701" s="632">
        <f ca="1">IF(AND($D701="Serviço",AY$12&lt;&gt;0,$H701&gt;0,OR(AUTOEVENTO&lt;&gt;"manual",$M701&lt;&gt;1)),ROUND(OFFSET($P701,0,AY$13),15-13*ORÇAMENTO!$AF$7)/$H701*OFFSET(ORÇAMENTO!$X$15,ROW(AY701)-ROW(AY$15),0),0)</f>
        <v>0</v>
      </c>
      <c r="AZ701" s="632">
        <f ca="1">IF(AND($D701="Serviço",AZ$12&lt;&gt;0,$H701&gt;0,OR(AUTOEVENTO&lt;&gt;"manual",$M701&lt;&gt;1)),ROUND(OFFSET($P701,0,AZ$13),15-13*ORÇAMENTO!$AF$7)/$H701*OFFSET(ORÇAMENTO!$X$15,ROW(AZ701)-ROW(AZ$15),0),0)</f>
        <v>0</v>
      </c>
      <c r="BA701" s="633">
        <f ca="1">IF(AND($D701="Serviço",BA$12&lt;&gt;0,$H701&gt;0,OR(AUTOEVENTO&lt;&gt;"manual",$M701&lt;&gt;1)),ROUND(OFFSET($P701,0,BA$13),15-13*ORÇAMENTO!$AF$7)/$H701*OFFSET(ORÇAMENTO!$X$15,ROW(BA701)-ROW(BA$15),0),0)</f>
        <v>0</v>
      </c>
      <c r="BC701" s="215">
        <f ca="1">IF($D701&lt;&gt;"Serviço",0,IF(AND(AUTOEVENTO="Manual",$M701=1),0,IF(OFFSET(CRONOPLE!$F$14,$M701,BC$13)="",10^12,OFFSET(CRONOPLE!$F$14,$M701,BC$13))))</f>
        <v>1000000000000</v>
      </c>
      <c r="BD701" s="215">
        <f ca="1">IF($D701&lt;&gt;"Serviço",0,IF(AND(AUTOEVENTO="Manual",$M701=1),0,IF(OFFSET(CRONOPLE!$F$14,$M701,BD$13)="",10^12,OFFSET(CRONOPLE!$F$14,$M701,BD$13))))</f>
        <v>1000000000000</v>
      </c>
      <c r="BE701" s="215">
        <f ca="1">IF($D701&lt;&gt;"Serviço",0,IF(AND(AUTOEVENTO="Manual",$M701=1),0,IF(OFFSET(CRONOPLE!$F$14,$M701,BE$13)="",10^12,OFFSET(CRONOPLE!$F$14,$M701,BE$13))))</f>
        <v>1000000000000</v>
      </c>
      <c r="BF701" s="215">
        <f ca="1">IF($D701&lt;&gt;"Serviço",0,IF(AND(AUTOEVENTO="Manual",$M701=1),0,IF(OFFSET(CRONOPLE!$F$14,$M701,BF$13)="",10^12,OFFSET(CRONOPLE!$F$14,$M701,BF$13))))</f>
        <v>1000000000000</v>
      </c>
      <c r="BG701" s="215">
        <f ca="1">IF($D701&lt;&gt;"Serviço",0,IF(AND(AUTOEVENTO="Manual",$M701=1),0,IF(OFFSET(CRONOPLE!$F$14,$M701,BG$13)="",10^12,OFFSET(CRONOPLE!$F$14,$M701,BG$13))))</f>
        <v>1000000000000</v>
      </c>
      <c r="BH701" s="215">
        <f ca="1">IF($D701&lt;&gt;"Serviço",0,IF(AND(AUTOEVENTO="Manual",$M701=1),0,IF(OFFSET(CRONOPLE!$F$14,$M701,BH$13)="",10^12,OFFSET(CRONOPLE!$F$14,$M701,BH$13))))</f>
        <v>1000000000000</v>
      </c>
      <c r="BI701" s="215">
        <f ca="1">IF($D701&lt;&gt;"Serviço",0,IF(AND(AUTOEVENTO="Manual",$M701=1),0,IF(OFFSET(CRONOPLE!$F$14,$M701,BI$13)="",10^12,OFFSET(CRONOPLE!$F$14,$M701,BI$13))))</f>
        <v>1000000000000</v>
      </c>
      <c r="BJ701" s="215">
        <f ca="1">IF($D701&lt;&gt;"Serviço",0,IF(AND(AUTOEVENTO="Manual",$M701=1),0,IF(OFFSET(CRONOPLE!$F$14,$M701,BJ$13)="",10^12,OFFSET(CRONOPLE!$F$14,$M701,BJ$13))))</f>
        <v>1000000000000</v>
      </c>
      <c r="BK701" s="215">
        <f ca="1">IF($D701&lt;&gt;"Serviço",0,IF(AND(AUTOEVENTO="Manual",$M701=1),0,IF(OFFSET(CRONOPLE!$F$14,$M701,BK$13)="",10^12,OFFSET(CRONOPLE!$F$14,$M701,BK$13))))</f>
        <v>1000000000000</v>
      </c>
      <c r="BL701" s="215">
        <f ca="1">IF($D701&lt;&gt;"Serviço",0,IF(AND(AUTOEVENTO="Manual",$M701=1),0,IF(OFFSET(CRONOPLE!$F$14,$M701,BL$13)="",10^12,OFFSET(CRONOPLE!$F$14,$M701,BL$13))))</f>
        <v>1000000000000</v>
      </c>
      <c r="BM701" s="215">
        <f ca="1">IF($D701&lt;&gt;"Serviço",0,IF(AND(AUTOEVENTO="Manual",$M701=1),0,IF(OFFSET(CRONOPLE!$F$14,$M701,BM$13)="",10^12,OFFSET(CRONOPLE!$F$14,$M701,BM$13))))</f>
        <v>1000000000000</v>
      </c>
      <c r="BN701" s="215">
        <f ca="1">IF($D701&lt;&gt;"Serviço",0,IF(AND(AUTOEVENTO="Manual",$M701=1),0,IF(OFFSET(CRONOPLE!$F$14,$M701,BN$13)="",10^12,OFFSET(CRONOPLE!$F$14,$M701,BN$13))))</f>
        <v>1000000000000</v>
      </c>
      <c r="BO701" s="215">
        <f ca="1">IF($D701&lt;&gt;"Serviço",0,IF(AND(AUTOEVENTO="Manual",$M701=1),0,IF(OFFSET(CRONOPLE!$F$14,$M701,BO$13)="",10^12,OFFSET(CRONOPLE!$F$14,$M701,BO$13))))</f>
        <v>1000000000000</v>
      </c>
      <c r="BP701" s="215">
        <f ca="1">IF($D701&lt;&gt;"Serviço",0,IF(AND(AUTOEVENTO="Manual",$M701=1),0,IF(OFFSET(CRONOPLE!$F$14,$M701,BP$13)="",10^12,OFFSET(CRONOPLE!$F$14,$M701,BP$13))))</f>
        <v>1000000000000</v>
      </c>
      <c r="BQ701" s="215">
        <f ca="1">IF($D701&lt;&gt;"Serviço",0,IF(AND(AUTOEVENTO="Manual",$M701=1),0,IF(OFFSET(CRONOPLE!$F$14,$M701,BQ$13)="",10^12,OFFSET(CRONOPLE!$F$14,$M701,BQ$13))))</f>
        <v>1000000000000</v>
      </c>
      <c r="BR701" s="215">
        <f ca="1">IF($D701&lt;&gt;"Serviço",0,IF(AND(AUTOEVENTO="Manual",$M701=1),0,IF(OFFSET(CRONOPLE!$F$14,$M701,BR$13)="",10^12,OFFSET(CRONOPLE!$F$14,$M701,BR$13))))</f>
        <v>1000000000000</v>
      </c>
      <c r="BS701" s="215">
        <f ca="1">IF($D701&lt;&gt;"Serviço",0,IF(AND(AUTOEVENTO="Manual",$M701=1),0,IF(OFFSET(CRONOPLE!$F$14,$M701,BS$13)="",10^12,OFFSET(CRONOPLE!$F$14,$M701,BS$13))))</f>
        <v>1000000000000</v>
      </c>
      <c r="BT701" s="215">
        <f ca="1">IF($D701&lt;&gt;"Serviço",0,IF(AND(AUTOEVENTO="Manual",$M701=1),0,IF(OFFSET(CRONOPLE!$F$14,$M701,BT$13)="",10^12,OFFSET(CRONOPLE!$F$14,$M701,BT$13))))</f>
        <v>1000000000000</v>
      </c>
      <c r="BV701" s="216">
        <f ca="1">IF($D701&lt;&gt;"Serviço",0,IF(OR(AND(AUTOEVENTO="Manual",$M701=1),$M701&gt;(ROW(PLE.lastrow)-ROW(PLE.firstrow))),0,IF(OFFSET(PLE!$G$14,$M701,BV$13)="",10^12,OFFSET(PLE!$G$14,$M701,BV$13))))</f>
        <v>1000000000000</v>
      </c>
      <c r="BW701" s="216">
        <f ca="1">IF($D701&lt;&gt;"Serviço",0,IF(OR(AND(AUTOEVENTO="Manual",$M701=1),$M701&gt;(ROW(PLE.lastrow)-ROW(PLE.firstrow))),0,IF(OFFSET(PLE!$G$14,$M701,BW$13)="",10^12,OFFSET(PLE!$G$14,$M701,BW$13))))</f>
        <v>1000000000000</v>
      </c>
      <c r="BX701" s="216">
        <f ca="1">IF($D701&lt;&gt;"Serviço",0,IF(OR(AND(AUTOEVENTO="Manual",$M701=1),$M701&gt;(ROW(PLE.lastrow)-ROW(PLE.firstrow))),0,IF(OFFSET(PLE!$G$14,$M701,BX$13)="",10^12,OFFSET(PLE!$G$14,$M701,BX$13))))</f>
        <v>1000000000000</v>
      </c>
      <c r="BY701" s="216">
        <f ca="1">IF($D701&lt;&gt;"Serviço",0,IF(OR(AND(AUTOEVENTO="Manual",$M701=1),$M701&gt;(ROW(PLE.lastrow)-ROW(PLE.firstrow))),0,IF(OFFSET(PLE!$G$14,$M701,BY$13)="",10^12,OFFSET(PLE!$G$14,$M701,BY$13))))</f>
        <v>1000000000000</v>
      </c>
      <c r="BZ701" s="216">
        <f ca="1">IF($D701&lt;&gt;"Serviço",0,IF(OR(AND(AUTOEVENTO="Manual",$M701=1),$M701&gt;(ROW(PLE.lastrow)-ROW(PLE.firstrow))),0,IF(OFFSET(PLE!$G$14,$M701,BZ$13)="",10^12,OFFSET(PLE!$G$14,$M701,BZ$13))))</f>
        <v>1000000000000</v>
      </c>
      <c r="CA701" s="216">
        <f ca="1">IF($D701&lt;&gt;"Serviço",0,IF(OR(AND(AUTOEVENTO="Manual",$M701=1),$M701&gt;(ROW(PLE.lastrow)-ROW(PLE.firstrow))),0,IF(OFFSET(PLE!$G$14,$M701,CA$13)="",10^12,OFFSET(PLE!$G$14,$M701,CA$13))))</f>
        <v>1000000000000</v>
      </c>
      <c r="CB701" s="216">
        <f ca="1">IF($D701&lt;&gt;"Serviço",0,IF(OR(AND(AUTOEVENTO="Manual",$M701=1),$M701&gt;(ROW(PLE.lastrow)-ROW(PLE.firstrow))),0,IF(OFFSET(PLE!$G$14,$M701,CB$13)="",10^12,OFFSET(PLE!$G$14,$M701,CB$13))))</f>
        <v>1000000000000</v>
      </c>
      <c r="CC701" s="216">
        <f ca="1">IF($D701&lt;&gt;"Serviço",0,IF(OR(AND(AUTOEVENTO="Manual",$M701=1),$M701&gt;(ROW(PLE.lastrow)-ROW(PLE.firstrow))),0,IF(OFFSET(PLE!$G$14,$M701,CC$13)="",10^12,OFFSET(PLE!$G$14,$M701,CC$13))))</f>
        <v>1000000000000</v>
      </c>
      <c r="CD701" s="216">
        <f ca="1">IF($D701&lt;&gt;"Serviço",0,IF(OR(AND(AUTOEVENTO="Manual",$M701=1),$M701&gt;(ROW(PLE.lastrow)-ROW(PLE.firstrow))),0,IF(OFFSET(PLE!$G$14,$M701,CD$13)="",10^12,OFFSET(PLE!$G$14,$M701,CD$13))))</f>
        <v>1000000000000</v>
      </c>
      <c r="CE701" s="216">
        <f ca="1">IF($D701&lt;&gt;"Serviço",0,IF(OR(AND(AUTOEVENTO="Manual",$M701=1),$M701&gt;(ROW(PLE.lastrow)-ROW(PLE.firstrow))),0,IF(OFFSET(PLE!$G$14,$M701,CE$13)="",10^12,OFFSET(PLE!$G$14,$M701,CE$13))))</f>
        <v>1000000000000</v>
      </c>
      <c r="CF701" s="216">
        <f ca="1">IF($D701&lt;&gt;"Serviço",0,IF(OR(AND(AUTOEVENTO="Manual",$M701=1),$M701&gt;(ROW(PLE.lastrow)-ROW(PLE.firstrow))),0,IF(OFFSET(PLE!$G$14,$M701,CF$13)="",10^12,OFFSET(PLE!$G$14,$M701,CF$13))))</f>
        <v>1000000000000</v>
      </c>
      <c r="CG701" s="216">
        <f ca="1">IF($D701&lt;&gt;"Serviço",0,IF(OR(AND(AUTOEVENTO="Manual",$M701=1),$M701&gt;(ROW(PLE.lastrow)-ROW(PLE.firstrow))),0,IF(OFFSET(PLE!$G$14,$M701,CG$13)="",10^12,OFFSET(PLE!$G$14,$M701,CG$13))))</f>
        <v>1000000000000</v>
      </c>
      <c r="CH701" s="216">
        <f ca="1">IF($D701&lt;&gt;"Serviço",0,IF(OR(AND(AUTOEVENTO="Manual",$M701=1),$M701&gt;(ROW(PLE.lastrow)-ROW(PLE.firstrow))),0,IF(OFFSET(PLE!$G$14,$M701,CH$13)="",10^12,OFFSET(PLE!$G$14,$M701,CH$13))))</f>
        <v>1000000000000</v>
      </c>
      <c r="CI701" s="216">
        <f ca="1">IF($D701&lt;&gt;"Serviço",0,IF(OR(AND(AUTOEVENTO="Manual",$M701=1),$M701&gt;(ROW(PLE.lastrow)-ROW(PLE.firstrow))),0,IF(OFFSET(PLE!$G$14,$M701,CI$13)="",10^12,OFFSET(PLE!$G$14,$M701,CI$13))))</f>
        <v>1000000000000</v>
      </c>
      <c r="CJ701" s="216">
        <f ca="1">IF($D701&lt;&gt;"Serviço",0,IF(OR(AND(AUTOEVENTO="Manual",$M701=1),$M701&gt;(ROW(PLE.lastrow)-ROW(PLE.firstrow))),0,IF(OFFSET(PLE!$G$14,$M701,CJ$13)="",10^12,OFFSET(PLE!$G$14,$M701,CJ$13))))</f>
        <v>1000000000000</v>
      </c>
      <c r="CK701" s="216">
        <f ca="1">IF($D701&lt;&gt;"Serviço",0,IF(OR(AND(AUTOEVENTO="Manual",$M701=1),$M701&gt;(ROW(PLE.lastrow)-ROW(PLE.firstrow))),0,IF(OFFSET(PLE!$G$14,$M701,CK$13)="",10^12,OFFSET(PLE!$G$14,$M701,CK$13))))</f>
        <v>1000000000000</v>
      </c>
      <c r="CL701" s="216">
        <f ca="1">IF($D701&lt;&gt;"Serviço",0,IF(OR(AND(AUTOEVENTO="Manual",$M701=1),$M701&gt;(ROW(PLE.lastrow)-ROW(PLE.firstrow))),0,IF(OFFSET(PLE!$G$14,$M701,CL$13)="",10^12,OFFSET(PLE!$G$14,$M701,CL$13))))</f>
        <v>1000000000000</v>
      </c>
      <c r="CM701" s="216">
        <f ca="1">IF($D701&lt;&gt;"Serviço",0,IF(OR(AND(AUTOEVENTO="Manual",$M701=1),$M701&gt;(ROW(PLE.lastrow)-ROW(PLE.firstrow))),0,IF(OFFSET(PLE!$G$14,$M701,CM$13)="",10^12,OFFSET(PLE!$G$14,$M701,CM$13))))</f>
        <v>1000000000000</v>
      </c>
    </row>
    <row r="702" spans="1:91" ht="13.2" x14ac:dyDescent="0.25">
      <c r="A702" s="9">
        <f ca="1">IF(AUTOEVENTO="Manual",IF(K702&lt;&gt;"",MIN(VALUE(LEFT(K702,FIND(".",K702)-1)),COUNTA(EVENTOS.Lista)),0),IF(OR($B702&gt;AUTOEVENTO,$B702="S",$B702=0),SUBSTITUTE(OFFSET($A702,-1,0),IF($D702="Serviço",".",""),""),ROW(A702)-ROW($A$15)&amp;"."))</f>
        <v>0</v>
      </c>
      <c r="B702" s="9">
        <f ca="1">OFFSET(ORÇAMENTO!C$15,ROW(B702)-ROW(B$15),0)</f>
        <v>1</v>
      </c>
      <c r="C702" s="9" t="str">
        <f ca="1">OFFSET(ORÇAMENTO!L$15,ROW(C702)-ROW(C$15),0)</f>
        <v>F</v>
      </c>
      <c r="D702" s="145" t="str">
        <f ca="1">OFFSET(ORÇAMENTO!N$15,ROW(D702)-ROW(D$15),0)</f>
        <v>Meta</v>
      </c>
      <c r="E702" s="205" t="str">
        <f ca="1">OFFSET(ORÇAMENTO!O$15,ROW(E702)-ROW(E$15),0)</f>
        <v>2.</v>
      </c>
      <c r="F702" s="206" t="str">
        <f ca="1">OFFSET(ORÇAMENTO!R$15,ROW(F702)-ROW(F$15),0)</f>
        <v>PLANILHA ORÇAMENTÁRIA - MUNICIPAL</v>
      </c>
      <c r="G702" s="207" t="str">
        <f ca="1">IF($D702&lt;&gt;"Serviço","",OFFSET(ORÇAMENTO!S$15,ROW(G702)-ROW(G$15),0))</f>
        <v/>
      </c>
      <c r="H702" s="151">
        <f ca="1">IF($D702&lt;&gt;"Serviço",0,IF(ACOMPANHAMENTO="BM",ROUND(OFFSET(ORÇAMENTO!AJ$15,ROW(H702)-ROW(H$15),0),15-13*ORÇAMENTO!$AF$7),SUMPRODUCT(($Q$12:$AI$12&lt;&gt;"")*ROUND($Q702:$AI702,15-13*ORÇAMENTO!$AF$7))))</f>
        <v>0</v>
      </c>
      <c r="I702" s="650"/>
      <c r="K702" s="208"/>
      <c r="L702" s="209" t="s">
        <v>257</v>
      </c>
      <c r="M702" s="210" t="str">
        <f ca="1">IF($D702&lt;&gt;"Serviço","",IF(AUTOEVENTO="manual",$A702,IF(ISERROR(MATCH($A702,$A$15:OFFSET($A702,-1,0),0)),MAX($M$15:OFFSET(M702,-1,0))+1,INDEX($M$15:OFFSET(M702,-1,0),MATCH($A702,$A$15:OFFSET($A702,-1,0),0)))))</f>
        <v/>
      </c>
      <c r="N702" s="211" t="str">
        <f ca="1">IF($D702&lt;&gt;"Serviço","",IF(AUTOEVENTO="Manual",IF($A702=0,"&lt;-- defina o número do agrupador",OFFSET(EVENTOS!$D$14,$A702,0)),OFFSET($F$15,$A702,0)))</f>
        <v/>
      </c>
      <c r="O702" s="212"/>
      <c r="Q702" s="212"/>
      <c r="R702" s="213"/>
      <c r="S702" s="213"/>
      <c r="T702" s="213"/>
      <c r="U702" s="213"/>
      <c r="V702" s="213"/>
      <c r="W702" s="213"/>
      <c r="X702" s="213"/>
      <c r="Y702" s="213"/>
      <c r="Z702" s="214"/>
      <c r="AA702" s="213"/>
      <c r="AB702" s="213"/>
      <c r="AC702" s="213"/>
      <c r="AD702" s="213"/>
      <c r="AE702" s="213"/>
      <c r="AF702" s="213"/>
      <c r="AG702" s="213"/>
      <c r="AH702" s="214"/>
      <c r="AJ702" s="631">
        <f ca="1">IF(AND($D702="Serviço",AJ$12&lt;&gt;0,$H702&gt;0,OR(AUTOEVENTO&lt;&gt;"manual",$M702&lt;&gt;1)),ROUND(OFFSET($P702,0,AJ$13),15-13*ORÇAMENTO!$AF$7)/$H702*OFFSET(ORÇAMENTO!$X$15,ROW(AJ702)-ROW(AJ$15),0),0)</f>
        <v>0</v>
      </c>
      <c r="AK702" s="632">
        <f ca="1">IF(AND($D702="Serviço",AK$12&lt;&gt;0,$H702&gt;0,OR(AUTOEVENTO&lt;&gt;"manual",$M702&lt;&gt;1)),ROUND(OFFSET($P702,0,AK$13),15-13*ORÇAMENTO!$AF$7)/$H702*OFFSET(ORÇAMENTO!$X$15,ROW(AK702)-ROW(AK$15),0),0)</f>
        <v>0</v>
      </c>
      <c r="AL702" s="632">
        <f ca="1">IF(AND($D702="Serviço",AL$12&lt;&gt;0,$H702&gt;0,OR(AUTOEVENTO&lt;&gt;"manual",$M702&lt;&gt;1)),ROUND(OFFSET($P702,0,AL$13),15-13*ORÇAMENTO!$AF$7)/$H702*OFFSET(ORÇAMENTO!$X$15,ROW(AL702)-ROW(AL$15),0),0)</f>
        <v>0</v>
      </c>
      <c r="AM702" s="632">
        <f ca="1">IF(AND($D702="Serviço",AM$12&lt;&gt;0,$H702&gt;0,OR(AUTOEVENTO&lt;&gt;"manual",$M702&lt;&gt;1)),ROUND(OFFSET($P702,0,AM$13),15-13*ORÇAMENTO!$AF$7)/$H702*OFFSET(ORÇAMENTO!$X$15,ROW(AM702)-ROW(AM$15),0),0)</f>
        <v>0</v>
      </c>
      <c r="AN702" s="632">
        <f ca="1">IF(AND($D702="Serviço",AN$12&lt;&gt;0,$H702&gt;0,OR(AUTOEVENTO&lt;&gt;"manual",$M702&lt;&gt;1)),ROUND(OFFSET($P702,0,AN$13),15-13*ORÇAMENTO!$AF$7)/$H702*OFFSET(ORÇAMENTO!$X$15,ROW(AN702)-ROW(AN$15),0),0)</f>
        <v>0</v>
      </c>
      <c r="AO702" s="632">
        <f ca="1">IF(AND($D702="Serviço",AO$12&lt;&gt;0,$H702&gt;0,OR(AUTOEVENTO&lt;&gt;"manual",$M702&lt;&gt;1)),ROUND(OFFSET($P702,0,AO$13),15-13*ORÇAMENTO!$AF$7)/$H702*OFFSET(ORÇAMENTO!$X$15,ROW(AO702)-ROW(AO$15),0),0)</f>
        <v>0</v>
      </c>
      <c r="AP702" s="632">
        <f ca="1">IF(AND($D702="Serviço",AP$12&lt;&gt;0,$H702&gt;0,OR(AUTOEVENTO&lt;&gt;"manual",$M702&lt;&gt;1)),ROUND(OFFSET($P702,0,AP$13),15-13*ORÇAMENTO!$AF$7)/$H702*OFFSET(ORÇAMENTO!$X$15,ROW(AP702)-ROW(AP$15),0),0)</f>
        <v>0</v>
      </c>
      <c r="AQ702" s="632">
        <f ca="1">IF(AND($D702="Serviço",AQ$12&lt;&gt;0,$H702&gt;0,OR(AUTOEVENTO&lt;&gt;"manual",$M702&lt;&gt;1)),ROUND(OFFSET($P702,0,AQ$13),15-13*ORÇAMENTO!$AF$7)/$H702*OFFSET(ORÇAMENTO!$X$15,ROW(AQ702)-ROW(AQ$15),0),0)</f>
        <v>0</v>
      </c>
      <c r="AR702" s="632">
        <f ca="1">IF(AND($D702="Serviço",AR$12&lt;&gt;0,$H702&gt;0,OR(AUTOEVENTO&lt;&gt;"manual",$M702&lt;&gt;1)),ROUND(OFFSET($P702,0,AR$13),15-13*ORÇAMENTO!$AF$7)/$H702*OFFSET(ORÇAMENTO!$X$15,ROW(AR702)-ROW(AR$15),0),0)</f>
        <v>0</v>
      </c>
      <c r="AS702" s="633">
        <f ca="1">IF(AND($D702="Serviço",AS$12&lt;&gt;0,$H702&gt;0,OR(AUTOEVENTO&lt;&gt;"manual",$M702&lt;&gt;1)),ROUND(OFFSET($P702,0,AS$13),15-13*ORÇAMENTO!$AF$7)/$H702*OFFSET(ORÇAMENTO!$X$15,ROW(AS702)-ROW(AS$15),0),0)</f>
        <v>0</v>
      </c>
      <c r="AT702" s="632">
        <f ca="1">IF(AND($D702="Serviço",AT$12&lt;&gt;0,$H702&gt;0,OR(AUTOEVENTO&lt;&gt;"manual",$M702&lt;&gt;1)),ROUND(OFFSET($P702,0,AT$13),15-13*ORÇAMENTO!$AF$7)/$H702*OFFSET(ORÇAMENTO!$X$15,ROW(AT702)-ROW(AT$15),0),0)</f>
        <v>0</v>
      </c>
      <c r="AU702" s="632">
        <f ca="1">IF(AND($D702="Serviço",AU$12&lt;&gt;0,$H702&gt;0,OR(AUTOEVENTO&lt;&gt;"manual",$M702&lt;&gt;1)),ROUND(OFFSET($P702,0,AU$13),15-13*ORÇAMENTO!$AF$7)/$H702*OFFSET(ORÇAMENTO!$X$15,ROW(AU702)-ROW(AU$15),0),0)</f>
        <v>0</v>
      </c>
      <c r="AV702" s="632">
        <f ca="1">IF(AND($D702="Serviço",AV$12&lt;&gt;0,$H702&gt;0,OR(AUTOEVENTO&lt;&gt;"manual",$M702&lt;&gt;1)),ROUND(OFFSET($P702,0,AV$13),15-13*ORÇAMENTO!$AF$7)/$H702*OFFSET(ORÇAMENTO!$X$15,ROW(AV702)-ROW(AV$15),0),0)</f>
        <v>0</v>
      </c>
      <c r="AW702" s="632">
        <f ca="1">IF(AND($D702="Serviço",AW$12&lt;&gt;0,$H702&gt;0,OR(AUTOEVENTO&lt;&gt;"manual",$M702&lt;&gt;1)),ROUND(OFFSET($P702,0,AW$13),15-13*ORÇAMENTO!$AF$7)/$H702*OFFSET(ORÇAMENTO!$X$15,ROW(AW702)-ROW(AW$15),0),0)</f>
        <v>0</v>
      </c>
      <c r="AX702" s="632">
        <f ca="1">IF(AND($D702="Serviço",AX$12&lt;&gt;0,$H702&gt;0,OR(AUTOEVENTO&lt;&gt;"manual",$M702&lt;&gt;1)),ROUND(OFFSET($P702,0,AX$13),15-13*ORÇAMENTO!$AF$7)/$H702*OFFSET(ORÇAMENTO!$X$15,ROW(AX702)-ROW(AX$15),0),0)</f>
        <v>0</v>
      </c>
      <c r="AY702" s="632">
        <f ca="1">IF(AND($D702="Serviço",AY$12&lt;&gt;0,$H702&gt;0,OR(AUTOEVENTO&lt;&gt;"manual",$M702&lt;&gt;1)),ROUND(OFFSET($P702,0,AY$13),15-13*ORÇAMENTO!$AF$7)/$H702*OFFSET(ORÇAMENTO!$X$15,ROW(AY702)-ROW(AY$15),0),0)</f>
        <v>0</v>
      </c>
      <c r="AZ702" s="632">
        <f ca="1">IF(AND($D702="Serviço",AZ$12&lt;&gt;0,$H702&gt;0,OR(AUTOEVENTO&lt;&gt;"manual",$M702&lt;&gt;1)),ROUND(OFFSET($P702,0,AZ$13),15-13*ORÇAMENTO!$AF$7)/$H702*OFFSET(ORÇAMENTO!$X$15,ROW(AZ702)-ROW(AZ$15),0),0)</f>
        <v>0</v>
      </c>
      <c r="BA702" s="633">
        <f ca="1">IF(AND($D702="Serviço",BA$12&lt;&gt;0,$H702&gt;0,OR(AUTOEVENTO&lt;&gt;"manual",$M702&lt;&gt;1)),ROUND(OFFSET($P702,0,BA$13),15-13*ORÇAMENTO!$AF$7)/$H702*OFFSET(ORÇAMENTO!$X$15,ROW(BA702)-ROW(BA$15),0),0)</f>
        <v>0</v>
      </c>
      <c r="BC702" s="215">
        <f ca="1">IF($D702&lt;&gt;"Serviço",0,IF(AND(AUTOEVENTO="Manual",$M702=1),0,IF(OFFSET(CRONOPLE!$F$14,$M702,BC$13)="",10^12,OFFSET(CRONOPLE!$F$14,$M702,BC$13))))</f>
        <v>0</v>
      </c>
      <c r="BD702" s="215">
        <f ca="1">IF($D702&lt;&gt;"Serviço",0,IF(AND(AUTOEVENTO="Manual",$M702=1),0,IF(OFFSET(CRONOPLE!$F$14,$M702,BD$13)="",10^12,OFFSET(CRONOPLE!$F$14,$M702,BD$13))))</f>
        <v>0</v>
      </c>
      <c r="BE702" s="215">
        <f ca="1">IF($D702&lt;&gt;"Serviço",0,IF(AND(AUTOEVENTO="Manual",$M702=1),0,IF(OFFSET(CRONOPLE!$F$14,$M702,BE$13)="",10^12,OFFSET(CRONOPLE!$F$14,$M702,BE$13))))</f>
        <v>0</v>
      </c>
      <c r="BF702" s="215">
        <f ca="1">IF($D702&lt;&gt;"Serviço",0,IF(AND(AUTOEVENTO="Manual",$M702=1),0,IF(OFFSET(CRONOPLE!$F$14,$M702,BF$13)="",10^12,OFFSET(CRONOPLE!$F$14,$M702,BF$13))))</f>
        <v>0</v>
      </c>
      <c r="BG702" s="215">
        <f ca="1">IF($D702&lt;&gt;"Serviço",0,IF(AND(AUTOEVENTO="Manual",$M702=1),0,IF(OFFSET(CRONOPLE!$F$14,$M702,BG$13)="",10^12,OFFSET(CRONOPLE!$F$14,$M702,BG$13))))</f>
        <v>0</v>
      </c>
      <c r="BH702" s="215">
        <f ca="1">IF($D702&lt;&gt;"Serviço",0,IF(AND(AUTOEVENTO="Manual",$M702=1),0,IF(OFFSET(CRONOPLE!$F$14,$M702,BH$13)="",10^12,OFFSET(CRONOPLE!$F$14,$M702,BH$13))))</f>
        <v>0</v>
      </c>
      <c r="BI702" s="215">
        <f ca="1">IF($D702&lt;&gt;"Serviço",0,IF(AND(AUTOEVENTO="Manual",$M702=1),0,IF(OFFSET(CRONOPLE!$F$14,$M702,BI$13)="",10^12,OFFSET(CRONOPLE!$F$14,$M702,BI$13))))</f>
        <v>0</v>
      </c>
      <c r="BJ702" s="215">
        <f ca="1">IF($D702&lt;&gt;"Serviço",0,IF(AND(AUTOEVENTO="Manual",$M702=1),0,IF(OFFSET(CRONOPLE!$F$14,$M702,BJ$13)="",10^12,OFFSET(CRONOPLE!$F$14,$M702,BJ$13))))</f>
        <v>0</v>
      </c>
      <c r="BK702" s="215">
        <f ca="1">IF($D702&lt;&gt;"Serviço",0,IF(AND(AUTOEVENTO="Manual",$M702=1),0,IF(OFFSET(CRONOPLE!$F$14,$M702,BK$13)="",10^12,OFFSET(CRONOPLE!$F$14,$M702,BK$13))))</f>
        <v>0</v>
      </c>
      <c r="BL702" s="215">
        <f ca="1">IF($D702&lt;&gt;"Serviço",0,IF(AND(AUTOEVENTO="Manual",$M702=1),0,IF(OFFSET(CRONOPLE!$F$14,$M702,BL$13)="",10^12,OFFSET(CRONOPLE!$F$14,$M702,BL$13))))</f>
        <v>0</v>
      </c>
      <c r="BM702" s="215">
        <f ca="1">IF($D702&lt;&gt;"Serviço",0,IF(AND(AUTOEVENTO="Manual",$M702=1),0,IF(OFFSET(CRONOPLE!$F$14,$M702,BM$13)="",10^12,OFFSET(CRONOPLE!$F$14,$M702,BM$13))))</f>
        <v>0</v>
      </c>
      <c r="BN702" s="215">
        <f ca="1">IF($D702&lt;&gt;"Serviço",0,IF(AND(AUTOEVENTO="Manual",$M702=1),0,IF(OFFSET(CRONOPLE!$F$14,$M702,BN$13)="",10^12,OFFSET(CRONOPLE!$F$14,$M702,BN$13))))</f>
        <v>0</v>
      </c>
      <c r="BO702" s="215">
        <f ca="1">IF($D702&lt;&gt;"Serviço",0,IF(AND(AUTOEVENTO="Manual",$M702=1),0,IF(OFFSET(CRONOPLE!$F$14,$M702,BO$13)="",10^12,OFFSET(CRONOPLE!$F$14,$M702,BO$13))))</f>
        <v>0</v>
      </c>
      <c r="BP702" s="215">
        <f ca="1">IF($D702&lt;&gt;"Serviço",0,IF(AND(AUTOEVENTO="Manual",$M702=1),0,IF(OFFSET(CRONOPLE!$F$14,$M702,BP$13)="",10^12,OFFSET(CRONOPLE!$F$14,$M702,BP$13))))</f>
        <v>0</v>
      </c>
      <c r="BQ702" s="215">
        <f ca="1">IF($D702&lt;&gt;"Serviço",0,IF(AND(AUTOEVENTO="Manual",$M702=1),0,IF(OFFSET(CRONOPLE!$F$14,$M702,BQ$13)="",10^12,OFFSET(CRONOPLE!$F$14,$M702,BQ$13))))</f>
        <v>0</v>
      </c>
      <c r="BR702" s="215">
        <f ca="1">IF($D702&lt;&gt;"Serviço",0,IF(AND(AUTOEVENTO="Manual",$M702=1),0,IF(OFFSET(CRONOPLE!$F$14,$M702,BR$13)="",10^12,OFFSET(CRONOPLE!$F$14,$M702,BR$13))))</f>
        <v>0</v>
      </c>
      <c r="BS702" s="215">
        <f ca="1">IF($D702&lt;&gt;"Serviço",0,IF(AND(AUTOEVENTO="Manual",$M702=1),0,IF(OFFSET(CRONOPLE!$F$14,$M702,BS$13)="",10^12,OFFSET(CRONOPLE!$F$14,$M702,BS$13))))</f>
        <v>0</v>
      </c>
      <c r="BT702" s="215">
        <f ca="1">IF($D702&lt;&gt;"Serviço",0,IF(AND(AUTOEVENTO="Manual",$M702=1),0,IF(OFFSET(CRONOPLE!$F$14,$M702,BT$13)="",10^12,OFFSET(CRONOPLE!$F$14,$M702,BT$13))))</f>
        <v>0</v>
      </c>
      <c r="BV702" s="216">
        <f ca="1">IF($D702&lt;&gt;"Serviço",0,IF(OR(AND(AUTOEVENTO="Manual",$M702=1),$M702&gt;(ROW(PLE.lastrow)-ROW(PLE.firstrow))),0,IF(OFFSET(PLE!$G$14,$M702,BV$13)="",10^12,OFFSET(PLE!$G$14,$M702,BV$13))))</f>
        <v>0</v>
      </c>
      <c r="BW702" s="216">
        <f ca="1">IF($D702&lt;&gt;"Serviço",0,IF(OR(AND(AUTOEVENTO="Manual",$M702=1),$M702&gt;(ROW(PLE.lastrow)-ROW(PLE.firstrow))),0,IF(OFFSET(PLE!$G$14,$M702,BW$13)="",10^12,OFFSET(PLE!$G$14,$M702,BW$13))))</f>
        <v>0</v>
      </c>
      <c r="BX702" s="216">
        <f ca="1">IF($D702&lt;&gt;"Serviço",0,IF(OR(AND(AUTOEVENTO="Manual",$M702=1),$M702&gt;(ROW(PLE.lastrow)-ROW(PLE.firstrow))),0,IF(OFFSET(PLE!$G$14,$M702,BX$13)="",10^12,OFFSET(PLE!$G$14,$M702,BX$13))))</f>
        <v>0</v>
      </c>
      <c r="BY702" s="216">
        <f ca="1">IF($D702&lt;&gt;"Serviço",0,IF(OR(AND(AUTOEVENTO="Manual",$M702=1),$M702&gt;(ROW(PLE.lastrow)-ROW(PLE.firstrow))),0,IF(OFFSET(PLE!$G$14,$M702,BY$13)="",10^12,OFFSET(PLE!$G$14,$M702,BY$13))))</f>
        <v>0</v>
      </c>
      <c r="BZ702" s="216">
        <f ca="1">IF($D702&lt;&gt;"Serviço",0,IF(OR(AND(AUTOEVENTO="Manual",$M702=1),$M702&gt;(ROW(PLE.lastrow)-ROW(PLE.firstrow))),0,IF(OFFSET(PLE!$G$14,$M702,BZ$13)="",10^12,OFFSET(PLE!$G$14,$M702,BZ$13))))</f>
        <v>0</v>
      </c>
      <c r="CA702" s="216">
        <f ca="1">IF($D702&lt;&gt;"Serviço",0,IF(OR(AND(AUTOEVENTO="Manual",$M702=1),$M702&gt;(ROW(PLE.lastrow)-ROW(PLE.firstrow))),0,IF(OFFSET(PLE!$G$14,$M702,CA$13)="",10^12,OFFSET(PLE!$G$14,$M702,CA$13))))</f>
        <v>0</v>
      </c>
      <c r="CB702" s="216">
        <f ca="1">IF($D702&lt;&gt;"Serviço",0,IF(OR(AND(AUTOEVENTO="Manual",$M702=1),$M702&gt;(ROW(PLE.lastrow)-ROW(PLE.firstrow))),0,IF(OFFSET(PLE!$G$14,$M702,CB$13)="",10^12,OFFSET(PLE!$G$14,$M702,CB$13))))</f>
        <v>0</v>
      </c>
      <c r="CC702" s="216">
        <f ca="1">IF($D702&lt;&gt;"Serviço",0,IF(OR(AND(AUTOEVENTO="Manual",$M702=1),$M702&gt;(ROW(PLE.lastrow)-ROW(PLE.firstrow))),0,IF(OFFSET(PLE!$G$14,$M702,CC$13)="",10^12,OFFSET(PLE!$G$14,$M702,CC$13))))</f>
        <v>0</v>
      </c>
      <c r="CD702" s="216">
        <f ca="1">IF($D702&lt;&gt;"Serviço",0,IF(OR(AND(AUTOEVENTO="Manual",$M702=1),$M702&gt;(ROW(PLE.lastrow)-ROW(PLE.firstrow))),0,IF(OFFSET(PLE!$G$14,$M702,CD$13)="",10^12,OFFSET(PLE!$G$14,$M702,CD$13))))</f>
        <v>0</v>
      </c>
      <c r="CE702" s="216">
        <f ca="1">IF($D702&lt;&gt;"Serviço",0,IF(OR(AND(AUTOEVENTO="Manual",$M702=1),$M702&gt;(ROW(PLE.lastrow)-ROW(PLE.firstrow))),0,IF(OFFSET(PLE!$G$14,$M702,CE$13)="",10^12,OFFSET(PLE!$G$14,$M702,CE$13))))</f>
        <v>0</v>
      </c>
      <c r="CF702" s="216">
        <f ca="1">IF($D702&lt;&gt;"Serviço",0,IF(OR(AND(AUTOEVENTO="Manual",$M702=1),$M702&gt;(ROW(PLE.lastrow)-ROW(PLE.firstrow))),0,IF(OFFSET(PLE!$G$14,$M702,CF$13)="",10^12,OFFSET(PLE!$G$14,$M702,CF$13))))</f>
        <v>0</v>
      </c>
      <c r="CG702" s="216">
        <f ca="1">IF($D702&lt;&gt;"Serviço",0,IF(OR(AND(AUTOEVENTO="Manual",$M702=1),$M702&gt;(ROW(PLE.lastrow)-ROW(PLE.firstrow))),0,IF(OFFSET(PLE!$G$14,$M702,CG$13)="",10^12,OFFSET(PLE!$G$14,$M702,CG$13))))</f>
        <v>0</v>
      </c>
      <c r="CH702" s="216">
        <f ca="1">IF($D702&lt;&gt;"Serviço",0,IF(OR(AND(AUTOEVENTO="Manual",$M702=1),$M702&gt;(ROW(PLE.lastrow)-ROW(PLE.firstrow))),0,IF(OFFSET(PLE!$G$14,$M702,CH$13)="",10^12,OFFSET(PLE!$G$14,$M702,CH$13))))</f>
        <v>0</v>
      </c>
      <c r="CI702" s="216">
        <f ca="1">IF($D702&lt;&gt;"Serviço",0,IF(OR(AND(AUTOEVENTO="Manual",$M702=1),$M702&gt;(ROW(PLE.lastrow)-ROW(PLE.firstrow))),0,IF(OFFSET(PLE!$G$14,$M702,CI$13)="",10^12,OFFSET(PLE!$G$14,$M702,CI$13))))</f>
        <v>0</v>
      </c>
      <c r="CJ702" s="216">
        <f ca="1">IF($D702&lt;&gt;"Serviço",0,IF(OR(AND(AUTOEVENTO="Manual",$M702=1),$M702&gt;(ROW(PLE.lastrow)-ROW(PLE.firstrow))),0,IF(OFFSET(PLE!$G$14,$M702,CJ$13)="",10^12,OFFSET(PLE!$G$14,$M702,CJ$13))))</f>
        <v>0</v>
      </c>
      <c r="CK702" s="216">
        <f ca="1">IF($D702&lt;&gt;"Serviço",0,IF(OR(AND(AUTOEVENTO="Manual",$M702=1),$M702&gt;(ROW(PLE.lastrow)-ROW(PLE.firstrow))),0,IF(OFFSET(PLE!$G$14,$M702,CK$13)="",10^12,OFFSET(PLE!$G$14,$M702,CK$13))))</f>
        <v>0</v>
      </c>
      <c r="CL702" s="216">
        <f ca="1">IF($D702&lt;&gt;"Serviço",0,IF(OR(AND(AUTOEVENTO="Manual",$M702=1),$M702&gt;(ROW(PLE.lastrow)-ROW(PLE.firstrow))),0,IF(OFFSET(PLE!$G$14,$M702,CL$13)="",10^12,OFFSET(PLE!$G$14,$M702,CL$13))))</f>
        <v>0</v>
      </c>
      <c r="CM702" s="216">
        <f ca="1">IF($D702&lt;&gt;"Serviço",0,IF(OR(AND(AUTOEVENTO="Manual",$M702=1),$M702&gt;(ROW(PLE.lastrow)-ROW(PLE.firstrow))),0,IF(OFFSET(PLE!$G$14,$M702,CM$13)="",10^12,OFFSET(PLE!$G$14,$M702,CM$13))))</f>
        <v>0</v>
      </c>
    </row>
    <row r="703" spans="1:91" ht="13.2" x14ac:dyDescent="0.25">
      <c r="A703" s="9">
        <f t="shared" ca="1" si="20"/>
        <v>0</v>
      </c>
      <c r="B703" s="9">
        <f ca="1">OFFSET(ORÇAMENTO!C$15,ROW(B703)-ROW(B$15),0)</f>
        <v>2</v>
      </c>
      <c r="C703" s="9" t="str">
        <f ca="1">OFFSET(ORÇAMENTO!L$15,ROW(C703)-ROW(C$15),0)</f>
        <v>F</v>
      </c>
      <c r="D703" s="145" t="str">
        <f ca="1">OFFSET(ORÇAMENTO!N$15,ROW(D703)-ROW(D$15),0)</f>
        <v>Nível 2</v>
      </c>
      <c r="E703" s="205" t="str">
        <f ca="1">OFFSET(ORÇAMENTO!O$15,ROW(E703)-ROW(E$15),0)</f>
        <v>2.1.</v>
      </c>
      <c r="F703" s="206" t="str">
        <f ca="1">OFFSET(ORÇAMENTO!R$15,ROW(F703)-ROW(F$15),0)</f>
        <v>PASSEIO COM ACESSIBILIDADE</v>
      </c>
      <c r="G703" s="207" t="str">
        <f ca="1">IF($D703&lt;&gt;"Serviço","",OFFSET(ORÇAMENTO!S$15,ROW(G703)-ROW(G$15),0))</f>
        <v/>
      </c>
      <c r="H703" s="151">
        <f ca="1">IF($D703&lt;&gt;"Serviço",0,IF(ACOMPANHAMENTO="BM",ROUND(OFFSET(ORÇAMENTO!AJ$15,ROW(H703)-ROW(H$15),0),15-13*ORÇAMENTO!$AF$7),SUMPRODUCT(($Q$12:$AI$12&lt;&gt;"")*ROUND($Q703:$AI703,15-13*ORÇAMENTO!$AF$7))))</f>
        <v>0</v>
      </c>
      <c r="I703" s="650"/>
      <c r="K703" s="208"/>
      <c r="L703" s="209" t="s">
        <v>257</v>
      </c>
      <c r="M703" s="210" t="str">
        <f ca="1">IF($D703&lt;&gt;"Serviço","",IF(AUTOEVENTO="manual",$A703,IF(ISERROR(MATCH($A703,$A$15:OFFSET($A703,-1,0),0)),MAX($M$15:OFFSET(M703,-1,0))+1,INDEX($M$15:OFFSET(M703,-1,0),MATCH($A703,$A$15:OFFSET($A703,-1,0),0)))))</f>
        <v/>
      </c>
      <c r="N703" s="211" t="str">
        <f ca="1">IF($D703&lt;&gt;"Serviço","",IF(AUTOEVENTO="Manual",IF($A703=0,"&lt;-- defina o número do agrupador",OFFSET(EVENTOS!$D$14,$A703,0)),OFFSET($F$15,$A703,0)))</f>
        <v/>
      </c>
      <c r="O703" s="212"/>
      <c r="Q703" s="212"/>
      <c r="R703" s="213"/>
      <c r="S703" s="213"/>
      <c r="T703" s="213"/>
      <c r="U703" s="213"/>
      <c r="V703" s="213"/>
      <c r="W703" s="213"/>
      <c r="X703" s="213"/>
      <c r="Y703" s="213"/>
      <c r="Z703" s="214"/>
      <c r="AA703" s="213"/>
      <c r="AB703" s="213"/>
      <c r="AC703" s="213"/>
      <c r="AD703" s="213"/>
      <c r="AE703" s="213"/>
      <c r="AF703" s="213"/>
      <c r="AG703" s="213"/>
      <c r="AH703" s="214"/>
      <c r="AJ703" s="631">
        <f ca="1">IF(AND($D703="Serviço",AJ$12&lt;&gt;0,$H703&gt;0,OR(AUTOEVENTO&lt;&gt;"manual",$M703&lt;&gt;1)),ROUND(OFFSET($P703,0,AJ$13),15-13*ORÇAMENTO!$AF$7)/$H703*OFFSET(ORÇAMENTO!$X$15,ROW(AJ703)-ROW(AJ$15),0),0)</f>
        <v>0</v>
      </c>
      <c r="AK703" s="632">
        <f ca="1">IF(AND($D703="Serviço",AK$12&lt;&gt;0,$H703&gt;0,OR(AUTOEVENTO&lt;&gt;"manual",$M703&lt;&gt;1)),ROUND(OFFSET($P703,0,AK$13),15-13*ORÇAMENTO!$AF$7)/$H703*OFFSET(ORÇAMENTO!$X$15,ROW(AK703)-ROW(AK$15),0),0)</f>
        <v>0</v>
      </c>
      <c r="AL703" s="632">
        <f ca="1">IF(AND($D703="Serviço",AL$12&lt;&gt;0,$H703&gt;0,OR(AUTOEVENTO&lt;&gt;"manual",$M703&lt;&gt;1)),ROUND(OFFSET($P703,0,AL$13),15-13*ORÇAMENTO!$AF$7)/$H703*OFFSET(ORÇAMENTO!$X$15,ROW(AL703)-ROW(AL$15),0),0)</f>
        <v>0</v>
      </c>
      <c r="AM703" s="632">
        <f ca="1">IF(AND($D703="Serviço",AM$12&lt;&gt;0,$H703&gt;0,OR(AUTOEVENTO&lt;&gt;"manual",$M703&lt;&gt;1)),ROUND(OFFSET($P703,0,AM$13),15-13*ORÇAMENTO!$AF$7)/$H703*OFFSET(ORÇAMENTO!$X$15,ROW(AM703)-ROW(AM$15),0),0)</f>
        <v>0</v>
      </c>
      <c r="AN703" s="632">
        <f ca="1">IF(AND($D703="Serviço",AN$12&lt;&gt;0,$H703&gt;0,OR(AUTOEVENTO&lt;&gt;"manual",$M703&lt;&gt;1)),ROUND(OFFSET($P703,0,AN$13),15-13*ORÇAMENTO!$AF$7)/$H703*OFFSET(ORÇAMENTO!$X$15,ROW(AN703)-ROW(AN$15),0),0)</f>
        <v>0</v>
      </c>
      <c r="AO703" s="632">
        <f ca="1">IF(AND($D703="Serviço",AO$12&lt;&gt;0,$H703&gt;0,OR(AUTOEVENTO&lt;&gt;"manual",$M703&lt;&gt;1)),ROUND(OFFSET($P703,0,AO$13),15-13*ORÇAMENTO!$AF$7)/$H703*OFFSET(ORÇAMENTO!$X$15,ROW(AO703)-ROW(AO$15),0),0)</f>
        <v>0</v>
      </c>
      <c r="AP703" s="632">
        <f ca="1">IF(AND($D703="Serviço",AP$12&lt;&gt;0,$H703&gt;0,OR(AUTOEVENTO&lt;&gt;"manual",$M703&lt;&gt;1)),ROUND(OFFSET($P703,0,AP$13),15-13*ORÇAMENTO!$AF$7)/$H703*OFFSET(ORÇAMENTO!$X$15,ROW(AP703)-ROW(AP$15),0),0)</f>
        <v>0</v>
      </c>
      <c r="AQ703" s="632">
        <f ca="1">IF(AND($D703="Serviço",AQ$12&lt;&gt;0,$H703&gt;0,OR(AUTOEVENTO&lt;&gt;"manual",$M703&lt;&gt;1)),ROUND(OFFSET($P703,0,AQ$13),15-13*ORÇAMENTO!$AF$7)/$H703*OFFSET(ORÇAMENTO!$X$15,ROW(AQ703)-ROW(AQ$15),0),0)</f>
        <v>0</v>
      </c>
      <c r="AR703" s="632">
        <f ca="1">IF(AND($D703="Serviço",AR$12&lt;&gt;0,$H703&gt;0,OR(AUTOEVENTO&lt;&gt;"manual",$M703&lt;&gt;1)),ROUND(OFFSET($P703,0,AR$13),15-13*ORÇAMENTO!$AF$7)/$H703*OFFSET(ORÇAMENTO!$X$15,ROW(AR703)-ROW(AR$15),0),0)</f>
        <v>0</v>
      </c>
      <c r="AS703" s="633">
        <f ca="1">IF(AND($D703="Serviço",AS$12&lt;&gt;0,$H703&gt;0,OR(AUTOEVENTO&lt;&gt;"manual",$M703&lt;&gt;1)),ROUND(OFFSET($P703,0,AS$13),15-13*ORÇAMENTO!$AF$7)/$H703*OFFSET(ORÇAMENTO!$X$15,ROW(AS703)-ROW(AS$15),0),0)</f>
        <v>0</v>
      </c>
      <c r="AT703" s="632">
        <f ca="1">IF(AND($D703="Serviço",AT$12&lt;&gt;0,$H703&gt;0,OR(AUTOEVENTO&lt;&gt;"manual",$M703&lt;&gt;1)),ROUND(OFFSET($P703,0,AT$13),15-13*ORÇAMENTO!$AF$7)/$H703*OFFSET(ORÇAMENTO!$X$15,ROW(AT703)-ROW(AT$15),0),0)</f>
        <v>0</v>
      </c>
      <c r="AU703" s="632">
        <f ca="1">IF(AND($D703="Serviço",AU$12&lt;&gt;0,$H703&gt;0,OR(AUTOEVENTO&lt;&gt;"manual",$M703&lt;&gt;1)),ROUND(OFFSET($P703,0,AU$13),15-13*ORÇAMENTO!$AF$7)/$H703*OFFSET(ORÇAMENTO!$X$15,ROW(AU703)-ROW(AU$15),0),0)</f>
        <v>0</v>
      </c>
      <c r="AV703" s="632">
        <f ca="1">IF(AND($D703="Serviço",AV$12&lt;&gt;0,$H703&gt;0,OR(AUTOEVENTO&lt;&gt;"manual",$M703&lt;&gt;1)),ROUND(OFFSET($P703,0,AV$13),15-13*ORÇAMENTO!$AF$7)/$H703*OFFSET(ORÇAMENTO!$X$15,ROW(AV703)-ROW(AV$15),0),0)</f>
        <v>0</v>
      </c>
      <c r="AW703" s="632">
        <f ca="1">IF(AND($D703="Serviço",AW$12&lt;&gt;0,$H703&gt;0,OR(AUTOEVENTO&lt;&gt;"manual",$M703&lt;&gt;1)),ROUND(OFFSET($P703,0,AW$13),15-13*ORÇAMENTO!$AF$7)/$H703*OFFSET(ORÇAMENTO!$X$15,ROW(AW703)-ROW(AW$15),0),0)</f>
        <v>0</v>
      </c>
      <c r="AX703" s="632">
        <f ca="1">IF(AND($D703="Serviço",AX$12&lt;&gt;0,$H703&gt;0,OR(AUTOEVENTO&lt;&gt;"manual",$M703&lt;&gt;1)),ROUND(OFFSET($P703,0,AX$13),15-13*ORÇAMENTO!$AF$7)/$H703*OFFSET(ORÇAMENTO!$X$15,ROW(AX703)-ROW(AX$15),0),0)</f>
        <v>0</v>
      </c>
      <c r="AY703" s="632">
        <f ca="1">IF(AND($D703="Serviço",AY$12&lt;&gt;0,$H703&gt;0,OR(AUTOEVENTO&lt;&gt;"manual",$M703&lt;&gt;1)),ROUND(OFFSET($P703,0,AY$13),15-13*ORÇAMENTO!$AF$7)/$H703*OFFSET(ORÇAMENTO!$X$15,ROW(AY703)-ROW(AY$15),0),0)</f>
        <v>0</v>
      </c>
      <c r="AZ703" s="632">
        <f ca="1">IF(AND($D703="Serviço",AZ$12&lt;&gt;0,$H703&gt;0,OR(AUTOEVENTO&lt;&gt;"manual",$M703&lt;&gt;1)),ROUND(OFFSET($P703,0,AZ$13),15-13*ORÇAMENTO!$AF$7)/$H703*OFFSET(ORÇAMENTO!$X$15,ROW(AZ703)-ROW(AZ$15),0),0)</f>
        <v>0</v>
      </c>
      <c r="BA703" s="633">
        <f ca="1">IF(AND($D703="Serviço",BA$12&lt;&gt;0,$H703&gt;0,OR(AUTOEVENTO&lt;&gt;"manual",$M703&lt;&gt;1)),ROUND(OFFSET($P703,0,BA$13),15-13*ORÇAMENTO!$AF$7)/$H703*OFFSET(ORÇAMENTO!$X$15,ROW(BA703)-ROW(BA$15),0),0)</f>
        <v>0</v>
      </c>
      <c r="BC703" s="215">
        <f ca="1">IF($D703&lt;&gt;"Serviço",0,IF(AND(AUTOEVENTO="Manual",$M703=1),0,IF(OFFSET(CRONOPLE!$F$14,$M703,BC$13)="",10^12,OFFSET(CRONOPLE!$F$14,$M703,BC$13))))</f>
        <v>0</v>
      </c>
      <c r="BD703" s="215">
        <f ca="1">IF($D703&lt;&gt;"Serviço",0,IF(AND(AUTOEVENTO="Manual",$M703=1),0,IF(OFFSET(CRONOPLE!$F$14,$M703,BD$13)="",10^12,OFFSET(CRONOPLE!$F$14,$M703,BD$13))))</f>
        <v>0</v>
      </c>
      <c r="BE703" s="215">
        <f ca="1">IF($D703&lt;&gt;"Serviço",0,IF(AND(AUTOEVENTO="Manual",$M703=1),0,IF(OFFSET(CRONOPLE!$F$14,$M703,BE$13)="",10^12,OFFSET(CRONOPLE!$F$14,$M703,BE$13))))</f>
        <v>0</v>
      </c>
      <c r="BF703" s="215">
        <f ca="1">IF($D703&lt;&gt;"Serviço",0,IF(AND(AUTOEVENTO="Manual",$M703=1),0,IF(OFFSET(CRONOPLE!$F$14,$M703,BF$13)="",10^12,OFFSET(CRONOPLE!$F$14,$M703,BF$13))))</f>
        <v>0</v>
      </c>
      <c r="BG703" s="215">
        <f ca="1">IF($D703&lt;&gt;"Serviço",0,IF(AND(AUTOEVENTO="Manual",$M703=1),0,IF(OFFSET(CRONOPLE!$F$14,$M703,BG$13)="",10^12,OFFSET(CRONOPLE!$F$14,$M703,BG$13))))</f>
        <v>0</v>
      </c>
      <c r="BH703" s="215">
        <f ca="1">IF($D703&lt;&gt;"Serviço",0,IF(AND(AUTOEVENTO="Manual",$M703=1),0,IF(OFFSET(CRONOPLE!$F$14,$M703,BH$13)="",10^12,OFFSET(CRONOPLE!$F$14,$M703,BH$13))))</f>
        <v>0</v>
      </c>
      <c r="BI703" s="215">
        <f ca="1">IF($D703&lt;&gt;"Serviço",0,IF(AND(AUTOEVENTO="Manual",$M703=1),0,IF(OFFSET(CRONOPLE!$F$14,$M703,BI$13)="",10^12,OFFSET(CRONOPLE!$F$14,$M703,BI$13))))</f>
        <v>0</v>
      </c>
      <c r="BJ703" s="215">
        <f ca="1">IF($D703&lt;&gt;"Serviço",0,IF(AND(AUTOEVENTO="Manual",$M703=1),0,IF(OFFSET(CRONOPLE!$F$14,$M703,BJ$13)="",10^12,OFFSET(CRONOPLE!$F$14,$M703,BJ$13))))</f>
        <v>0</v>
      </c>
      <c r="BK703" s="215">
        <f ca="1">IF($D703&lt;&gt;"Serviço",0,IF(AND(AUTOEVENTO="Manual",$M703=1),0,IF(OFFSET(CRONOPLE!$F$14,$M703,BK$13)="",10^12,OFFSET(CRONOPLE!$F$14,$M703,BK$13))))</f>
        <v>0</v>
      </c>
      <c r="BL703" s="215">
        <f ca="1">IF($D703&lt;&gt;"Serviço",0,IF(AND(AUTOEVENTO="Manual",$M703=1),0,IF(OFFSET(CRONOPLE!$F$14,$M703,BL$13)="",10^12,OFFSET(CRONOPLE!$F$14,$M703,BL$13))))</f>
        <v>0</v>
      </c>
      <c r="BM703" s="215">
        <f ca="1">IF($D703&lt;&gt;"Serviço",0,IF(AND(AUTOEVENTO="Manual",$M703=1),0,IF(OFFSET(CRONOPLE!$F$14,$M703,BM$13)="",10^12,OFFSET(CRONOPLE!$F$14,$M703,BM$13))))</f>
        <v>0</v>
      </c>
      <c r="BN703" s="215">
        <f ca="1">IF($D703&lt;&gt;"Serviço",0,IF(AND(AUTOEVENTO="Manual",$M703=1),0,IF(OFFSET(CRONOPLE!$F$14,$M703,BN$13)="",10^12,OFFSET(CRONOPLE!$F$14,$M703,BN$13))))</f>
        <v>0</v>
      </c>
      <c r="BO703" s="215">
        <f ca="1">IF($D703&lt;&gt;"Serviço",0,IF(AND(AUTOEVENTO="Manual",$M703=1),0,IF(OFFSET(CRONOPLE!$F$14,$M703,BO$13)="",10^12,OFFSET(CRONOPLE!$F$14,$M703,BO$13))))</f>
        <v>0</v>
      </c>
      <c r="BP703" s="215">
        <f ca="1">IF($D703&lt;&gt;"Serviço",0,IF(AND(AUTOEVENTO="Manual",$M703=1),0,IF(OFFSET(CRONOPLE!$F$14,$M703,BP$13)="",10^12,OFFSET(CRONOPLE!$F$14,$M703,BP$13))))</f>
        <v>0</v>
      </c>
      <c r="BQ703" s="215">
        <f ca="1">IF($D703&lt;&gt;"Serviço",0,IF(AND(AUTOEVENTO="Manual",$M703=1),0,IF(OFFSET(CRONOPLE!$F$14,$M703,BQ$13)="",10^12,OFFSET(CRONOPLE!$F$14,$M703,BQ$13))))</f>
        <v>0</v>
      </c>
      <c r="BR703" s="215">
        <f ca="1">IF($D703&lt;&gt;"Serviço",0,IF(AND(AUTOEVENTO="Manual",$M703=1),0,IF(OFFSET(CRONOPLE!$F$14,$M703,BR$13)="",10^12,OFFSET(CRONOPLE!$F$14,$M703,BR$13))))</f>
        <v>0</v>
      </c>
      <c r="BS703" s="215">
        <f ca="1">IF($D703&lt;&gt;"Serviço",0,IF(AND(AUTOEVENTO="Manual",$M703=1),0,IF(OFFSET(CRONOPLE!$F$14,$M703,BS$13)="",10^12,OFFSET(CRONOPLE!$F$14,$M703,BS$13))))</f>
        <v>0</v>
      </c>
      <c r="BT703" s="215">
        <f ca="1">IF($D703&lt;&gt;"Serviço",0,IF(AND(AUTOEVENTO="Manual",$M703=1),0,IF(OFFSET(CRONOPLE!$F$14,$M703,BT$13)="",10^12,OFFSET(CRONOPLE!$F$14,$M703,BT$13))))</f>
        <v>0</v>
      </c>
      <c r="BV703" s="216">
        <f ca="1">IF($D703&lt;&gt;"Serviço",0,IF(OR(AND(AUTOEVENTO="Manual",$M703=1),$M703&gt;(ROW(PLE.lastrow)-ROW(PLE.firstrow))),0,IF(OFFSET(PLE!$G$14,$M703,BV$13)="",10^12,OFFSET(PLE!$G$14,$M703,BV$13))))</f>
        <v>0</v>
      </c>
      <c r="BW703" s="216">
        <f ca="1">IF($D703&lt;&gt;"Serviço",0,IF(OR(AND(AUTOEVENTO="Manual",$M703=1),$M703&gt;(ROW(PLE.lastrow)-ROW(PLE.firstrow))),0,IF(OFFSET(PLE!$G$14,$M703,BW$13)="",10^12,OFFSET(PLE!$G$14,$M703,BW$13))))</f>
        <v>0</v>
      </c>
      <c r="BX703" s="216">
        <f ca="1">IF($D703&lt;&gt;"Serviço",0,IF(OR(AND(AUTOEVENTO="Manual",$M703=1),$M703&gt;(ROW(PLE.lastrow)-ROW(PLE.firstrow))),0,IF(OFFSET(PLE!$G$14,$M703,BX$13)="",10^12,OFFSET(PLE!$G$14,$M703,BX$13))))</f>
        <v>0</v>
      </c>
      <c r="BY703" s="216">
        <f ca="1">IF($D703&lt;&gt;"Serviço",0,IF(OR(AND(AUTOEVENTO="Manual",$M703=1),$M703&gt;(ROW(PLE.lastrow)-ROW(PLE.firstrow))),0,IF(OFFSET(PLE!$G$14,$M703,BY$13)="",10^12,OFFSET(PLE!$G$14,$M703,BY$13))))</f>
        <v>0</v>
      </c>
      <c r="BZ703" s="216">
        <f ca="1">IF($D703&lt;&gt;"Serviço",0,IF(OR(AND(AUTOEVENTO="Manual",$M703=1),$M703&gt;(ROW(PLE.lastrow)-ROW(PLE.firstrow))),0,IF(OFFSET(PLE!$G$14,$M703,BZ$13)="",10^12,OFFSET(PLE!$G$14,$M703,BZ$13))))</f>
        <v>0</v>
      </c>
      <c r="CA703" s="216">
        <f ca="1">IF($D703&lt;&gt;"Serviço",0,IF(OR(AND(AUTOEVENTO="Manual",$M703=1),$M703&gt;(ROW(PLE.lastrow)-ROW(PLE.firstrow))),0,IF(OFFSET(PLE!$G$14,$M703,CA$13)="",10^12,OFFSET(PLE!$G$14,$M703,CA$13))))</f>
        <v>0</v>
      </c>
      <c r="CB703" s="216">
        <f ca="1">IF($D703&lt;&gt;"Serviço",0,IF(OR(AND(AUTOEVENTO="Manual",$M703=1),$M703&gt;(ROW(PLE.lastrow)-ROW(PLE.firstrow))),0,IF(OFFSET(PLE!$G$14,$M703,CB$13)="",10^12,OFFSET(PLE!$G$14,$M703,CB$13))))</f>
        <v>0</v>
      </c>
      <c r="CC703" s="216">
        <f ca="1">IF($D703&lt;&gt;"Serviço",0,IF(OR(AND(AUTOEVENTO="Manual",$M703=1),$M703&gt;(ROW(PLE.lastrow)-ROW(PLE.firstrow))),0,IF(OFFSET(PLE!$G$14,$M703,CC$13)="",10^12,OFFSET(PLE!$G$14,$M703,CC$13))))</f>
        <v>0</v>
      </c>
      <c r="CD703" s="216">
        <f ca="1">IF($D703&lt;&gt;"Serviço",0,IF(OR(AND(AUTOEVENTO="Manual",$M703=1),$M703&gt;(ROW(PLE.lastrow)-ROW(PLE.firstrow))),0,IF(OFFSET(PLE!$G$14,$M703,CD$13)="",10^12,OFFSET(PLE!$G$14,$M703,CD$13))))</f>
        <v>0</v>
      </c>
      <c r="CE703" s="216">
        <f ca="1">IF($D703&lt;&gt;"Serviço",0,IF(OR(AND(AUTOEVENTO="Manual",$M703=1),$M703&gt;(ROW(PLE.lastrow)-ROW(PLE.firstrow))),0,IF(OFFSET(PLE!$G$14,$M703,CE$13)="",10^12,OFFSET(PLE!$G$14,$M703,CE$13))))</f>
        <v>0</v>
      </c>
      <c r="CF703" s="216">
        <f ca="1">IF($D703&lt;&gt;"Serviço",0,IF(OR(AND(AUTOEVENTO="Manual",$M703=1),$M703&gt;(ROW(PLE.lastrow)-ROW(PLE.firstrow))),0,IF(OFFSET(PLE!$G$14,$M703,CF$13)="",10^12,OFFSET(PLE!$G$14,$M703,CF$13))))</f>
        <v>0</v>
      </c>
      <c r="CG703" s="216">
        <f ca="1">IF($D703&lt;&gt;"Serviço",0,IF(OR(AND(AUTOEVENTO="Manual",$M703=1),$M703&gt;(ROW(PLE.lastrow)-ROW(PLE.firstrow))),0,IF(OFFSET(PLE!$G$14,$M703,CG$13)="",10^12,OFFSET(PLE!$G$14,$M703,CG$13))))</f>
        <v>0</v>
      </c>
      <c r="CH703" s="216">
        <f ca="1">IF($D703&lt;&gt;"Serviço",0,IF(OR(AND(AUTOEVENTO="Manual",$M703=1),$M703&gt;(ROW(PLE.lastrow)-ROW(PLE.firstrow))),0,IF(OFFSET(PLE!$G$14,$M703,CH$13)="",10^12,OFFSET(PLE!$G$14,$M703,CH$13))))</f>
        <v>0</v>
      </c>
      <c r="CI703" s="216">
        <f ca="1">IF($D703&lt;&gt;"Serviço",0,IF(OR(AND(AUTOEVENTO="Manual",$M703=1),$M703&gt;(ROW(PLE.lastrow)-ROW(PLE.firstrow))),0,IF(OFFSET(PLE!$G$14,$M703,CI$13)="",10^12,OFFSET(PLE!$G$14,$M703,CI$13))))</f>
        <v>0</v>
      </c>
      <c r="CJ703" s="216">
        <f ca="1">IF($D703&lt;&gt;"Serviço",0,IF(OR(AND(AUTOEVENTO="Manual",$M703=1),$M703&gt;(ROW(PLE.lastrow)-ROW(PLE.firstrow))),0,IF(OFFSET(PLE!$G$14,$M703,CJ$13)="",10^12,OFFSET(PLE!$G$14,$M703,CJ$13))))</f>
        <v>0</v>
      </c>
      <c r="CK703" s="216">
        <f ca="1">IF($D703&lt;&gt;"Serviço",0,IF(OR(AND(AUTOEVENTO="Manual",$M703=1),$M703&gt;(ROW(PLE.lastrow)-ROW(PLE.firstrow))),0,IF(OFFSET(PLE!$G$14,$M703,CK$13)="",10^12,OFFSET(PLE!$G$14,$M703,CK$13))))</f>
        <v>0</v>
      </c>
      <c r="CL703" s="216">
        <f ca="1">IF($D703&lt;&gt;"Serviço",0,IF(OR(AND(AUTOEVENTO="Manual",$M703=1),$M703&gt;(ROW(PLE.lastrow)-ROW(PLE.firstrow))),0,IF(OFFSET(PLE!$G$14,$M703,CL$13)="",10^12,OFFSET(PLE!$G$14,$M703,CL$13))))</f>
        <v>0</v>
      </c>
      <c r="CM703" s="216">
        <f ca="1">IF($D703&lt;&gt;"Serviço",0,IF(OR(AND(AUTOEVENTO="Manual",$M703=1),$M703&gt;(ROW(PLE.lastrow)-ROW(PLE.firstrow))),0,IF(OFFSET(PLE!$G$14,$M703,CM$13)="",10^12,OFFSET(PLE!$G$14,$M703,CM$13))))</f>
        <v>0</v>
      </c>
    </row>
    <row r="704" spans="1:91" ht="13.2" x14ac:dyDescent="0.25">
      <c r="A704" s="9">
        <f t="shared" ca="1" si="20"/>
        <v>0</v>
      </c>
      <c r="B704" s="9" t="str">
        <f ca="1">OFFSET(ORÇAMENTO!C$15,ROW(B704)-ROW(B$15),0)</f>
        <v>S</v>
      </c>
      <c r="C704" s="9" t="str">
        <f ca="1">OFFSET(ORÇAMENTO!L$15,ROW(C704)-ROW(C$15),0)</f>
        <v/>
      </c>
      <c r="D704" s="145" t="str">
        <f ca="1">OFFSET(ORÇAMENTO!N$15,ROW(D704)-ROW(D$15),0)</f>
        <v>Serviço</v>
      </c>
      <c r="E704" s="205" t="str">
        <f ca="1">OFFSET(ORÇAMENTO!O$15,ROW(E704)-ROW(E$15),0)</f>
        <v>-</v>
      </c>
      <c r="F704" s="206" t="str">
        <f ca="1">OFFSET(ORÇAMENTO!R$15,ROW(F704)-ROW(F$15),0)</f>
        <v>(abra o arquivo 'Referência 05-2024.xls)</v>
      </c>
      <c r="G704" s="207" t="str">
        <f ca="1">IF($D704&lt;&gt;"Serviço","",OFFSET(ORÇAMENTO!S$15,ROW(G704)-ROW(G$15),0))</f>
        <v>-</v>
      </c>
      <c r="H704" s="151">
        <f ca="1">IF($D704&lt;&gt;"Serviço",0,IF(ACOMPANHAMENTO="BM",ROUND(OFFSET(ORÇAMENTO!AJ$15,ROW(H704)-ROW(H$15),0),15-13*ORÇAMENTO!$AF$7),SUMPRODUCT(($Q$12:$AI$12&lt;&gt;"")*ROUND($Q704:$AI704,15-13*ORÇAMENTO!$AF$7))))</f>
        <v>114</v>
      </c>
      <c r="I704" s="650"/>
      <c r="K704" s="208"/>
      <c r="L704" s="209" t="s">
        <v>257</v>
      </c>
      <c r="M704" s="210">
        <f ca="1">IF($D704&lt;&gt;"Serviço","",IF(AUTOEVENTO="manual",$A704,IF(ISERROR(MATCH($A704,$A$15:OFFSET($A704,-1,0),0)),MAX($M$15:OFFSET(M704,-1,0))+1,INDEX($M$15:OFFSET(M704,-1,0),MATCH($A704,$A$15:OFFSET($A704,-1,0),0)))))</f>
        <v>0</v>
      </c>
      <c r="N704" s="211" t="str">
        <f ca="1">IF($D704&lt;&gt;"Serviço","",IF(AUTOEVENTO="Manual",IF($A704=0,"&lt;-- defina o número do agrupador",OFFSET(EVENTOS!$D$14,$A704,0)),OFFSET($F$15,$A704,0)))</f>
        <v>&lt;-- defina o número do agrupador</v>
      </c>
      <c r="O704" s="212"/>
      <c r="Q704" s="212"/>
      <c r="R704" s="213"/>
      <c r="S704" s="213"/>
      <c r="T704" s="213"/>
      <c r="U704" s="213"/>
      <c r="V704" s="213"/>
      <c r="W704" s="213"/>
      <c r="X704" s="213"/>
      <c r="Y704" s="213"/>
      <c r="Z704" s="214"/>
      <c r="AA704" s="213"/>
      <c r="AB704" s="213"/>
      <c r="AC704" s="213"/>
      <c r="AD704" s="213"/>
      <c r="AE704" s="213"/>
      <c r="AF704" s="213"/>
      <c r="AG704" s="213"/>
      <c r="AH704" s="214"/>
      <c r="AJ704" s="631">
        <f ca="1">IF(AND($D704="Serviço",AJ$12&lt;&gt;0,$H704&gt;0,OR(AUTOEVENTO&lt;&gt;"manual",$M704&lt;&gt;1)),ROUND(OFFSET($P704,0,AJ$13),15-13*ORÇAMENTO!$AF$7)/$H704*OFFSET(ORÇAMENTO!$X$15,ROW(AJ704)-ROW(AJ$15),0),0)</f>
        <v>0</v>
      </c>
      <c r="AK704" s="632">
        <f ca="1">IF(AND($D704="Serviço",AK$12&lt;&gt;0,$H704&gt;0,OR(AUTOEVENTO&lt;&gt;"manual",$M704&lt;&gt;1)),ROUND(OFFSET($P704,0,AK$13),15-13*ORÇAMENTO!$AF$7)/$H704*OFFSET(ORÇAMENTO!$X$15,ROW(AK704)-ROW(AK$15),0),0)</f>
        <v>0</v>
      </c>
      <c r="AL704" s="632">
        <f ca="1">IF(AND($D704="Serviço",AL$12&lt;&gt;0,$H704&gt;0,OR(AUTOEVENTO&lt;&gt;"manual",$M704&lt;&gt;1)),ROUND(OFFSET($P704,0,AL$13),15-13*ORÇAMENTO!$AF$7)/$H704*OFFSET(ORÇAMENTO!$X$15,ROW(AL704)-ROW(AL$15),0),0)</f>
        <v>0</v>
      </c>
      <c r="AM704" s="632">
        <f ca="1">IF(AND($D704="Serviço",AM$12&lt;&gt;0,$H704&gt;0,OR(AUTOEVENTO&lt;&gt;"manual",$M704&lt;&gt;1)),ROUND(OFFSET($P704,0,AM$13),15-13*ORÇAMENTO!$AF$7)/$H704*OFFSET(ORÇAMENTO!$X$15,ROW(AM704)-ROW(AM$15),0),0)</f>
        <v>0</v>
      </c>
      <c r="AN704" s="632">
        <f ca="1">IF(AND($D704="Serviço",AN$12&lt;&gt;0,$H704&gt;0,OR(AUTOEVENTO&lt;&gt;"manual",$M704&lt;&gt;1)),ROUND(OFFSET($P704,0,AN$13),15-13*ORÇAMENTO!$AF$7)/$H704*OFFSET(ORÇAMENTO!$X$15,ROW(AN704)-ROW(AN$15),0),0)</f>
        <v>0</v>
      </c>
      <c r="AO704" s="632">
        <f ca="1">IF(AND($D704="Serviço",AO$12&lt;&gt;0,$H704&gt;0,OR(AUTOEVENTO&lt;&gt;"manual",$M704&lt;&gt;1)),ROUND(OFFSET($P704,0,AO$13),15-13*ORÇAMENTO!$AF$7)/$H704*OFFSET(ORÇAMENTO!$X$15,ROW(AO704)-ROW(AO$15),0),0)</f>
        <v>0</v>
      </c>
      <c r="AP704" s="632">
        <f ca="1">IF(AND($D704="Serviço",AP$12&lt;&gt;0,$H704&gt;0,OR(AUTOEVENTO&lt;&gt;"manual",$M704&lt;&gt;1)),ROUND(OFFSET($P704,0,AP$13),15-13*ORÇAMENTO!$AF$7)/$H704*OFFSET(ORÇAMENTO!$X$15,ROW(AP704)-ROW(AP$15),0),0)</f>
        <v>0</v>
      </c>
      <c r="AQ704" s="632">
        <f ca="1">IF(AND($D704="Serviço",AQ$12&lt;&gt;0,$H704&gt;0,OR(AUTOEVENTO&lt;&gt;"manual",$M704&lt;&gt;1)),ROUND(OFFSET($P704,0,AQ$13),15-13*ORÇAMENTO!$AF$7)/$H704*OFFSET(ORÇAMENTO!$X$15,ROW(AQ704)-ROW(AQ$15),0),0)</f>
        <v>0</v>
      </c>
      <c r="AR704" s="632">
        <f ca="1">IF(AND($D704="Serviço",AR$12&lt;&gt;0,$H704&gt;0,OR(AUTOEVENTO&lt;&gt;"manual",$M704&lt;&gt;1)),ROUND(OFFSET($P704,0,AR$13),15-13*ORÇAMENTO!$AF$7)/$H704*OFFSET(ORÇAMENTO!$X$15,ROW(AR704)-ROW(AR$15),0),0)</f>
        <v>0</v>
      </c>
      <c r="AS704" s="633">
        <f ca="1">IF(AND($D704="Serviço",AS$12&lt;&gt;0,$H704&gt;0,OR(AUTOEVENTO&lt;&gt;"manual",$M704&lt;&gt;1)),ROUND(OFFSET($P704,0,AS$13),15-13*ORÇAMENTO!$AF$7)/$H704*OFFSET(ORÇAMENTO!$X$15,ROW(AS704)-ROW(AS$15),0),0)</f>
        <v>0</v>
      </c>
      <c r="AT704" s="632">
        <f ca="1">IF(AND($D704="Serviço",AT$12&lt;&gt;0,$H704&gt;0,OR(AUTOEVENTO&lt;&gt;"manual",$M704&lt;&gt;1)),ROUND(OFFSET($P704,0,AT$13),15-13*ORÇAMENTO!$AF$7)/$H704*OFFSET(ORÇAMENTO!$X$15,ROW(AT704)-ROW(AT$15),0),0)</f>
        <v>0</v>
      </c>
      <c r="AU704" s="632">
        <f ca="1">IF(AND($D704="Serviço",AU$12&lt;&gt;0,$H704&gt;0,OR(AUTOEVENTO&lt;&gt;"manual",$M704&lt;&gt;1)),ROUND(OFFSET($P704,0,AU$13),15-13*ORÇAMENTO!$AF$7)/$H704*OFFSET(ORÇAMENTO!$X$15,ROW(AU704)-ROW(AU$15),0),0)</f>
        <v>0</v>
      </c>
      <c r="AV704" s="632">
        <f ca="1">IF(AND($D704="Serviço",AV$12&lt;&gt;0,$H704&gt;0,OR(AUTOEVENTO&lt;&gt;"manual",$M704&lt;&gt;1)),ROUND(OFFSET($P704,0,AV$13),15-13*ORÇAMENTO!$AF$7)/$H704*OFFSET(ORÇAMENTO!$X$15,ROW(AV704)-ROW(AV$15),0),0)</f>
        <v>0</v>
      </c>
      <c r="AW704" s="632">
        <f ca="1">IF(AND($D704="Serviço",AW$12&lt;&gt;0,$H704&gt;0,OR(AUTOEVENTO&lt;&gt;"manual",$M704&lt;&gt;1)),ROUND(OFFSET($P704,0,AW$13),15-13*ORÇAMENTO!$AF$7)/$H704*OFFSET(ORÇAMENTO!$X$15,ROW(AW704)-ROW(AW$15),0),0)</f>
        <v>0</v>
      </c>
      <c r="AX704" s="632">
        <f ca="1">IF(AND($D704="Serviço",AX$12&lt;&gt;0,$H704&gt;0,OR(AUTOEVENTO&lt;&gt;"manual",$M704&lt;&gt;1)),ROUND(OFFSET($P704,0,AX$13),15-13*ORÇAMENTO!$AF$7)/$H704*OFFSET(ORÇAMENTO!$X$15,ROW(AX704)-ROW(AX$15),0),0)</f>
        <v>0</v>
      </c>
      <c r="AY704" s="632">
        <f ca="1">IF(AND($D704="Serviço",AY$12&lt;&gt;0,$H704&gt;0,OR(AUTOEVENTO&lt;&gt;"manual",$M704&lt;&gt;1)),ROUND(OFFSET($P704,0,AY$13),15-13*ORÇAMENTO!$AF$7)/$H704*OFFSET(ORÇAMENTO!$X$15,ROW(AY704)-ROW(AY$15),0),0)</f>
        <v>0</v>
      </c>
      <c r="AZ704" s="632">
        <f ca="1">IF(AND($D704="Serviço",AZ$12&lt;&gt;0,$H704&gt;0,OR(AUTOEVENTO&lt;&gt;"manual",$M704&lt;&gt;1)),ROUND(OFFSET($P704,0,AZ$13),15-13*ORÇAMENTO!$AF$7)/$H704*OFFSET(ORÇAMENTO!$X$15,ROW(AZ704)-ROW(AZ$15),0),0)</f>
        <v>0</v>
      </c>
      <c r="BA704" s="633">
        <f ca="1">IF(AND($D704="Serviço",BA$12&lt;&gt;0,$H704&gt;0,OR(AUTOEVENTO&lt;&gt;"manual",$M704&lt;&gt;1)),ROUND(OFFSET($P704,0,BA$13),15-13*ORÇAMENTO!$AF$7)/$H704*OFFSET(ORÇAMENTO!$X$15,ROW(BA704)-ROW(BA$15),0),0)</f>
        <v>0</v>
      </c>
      <c r="BC704" s="215">
        <f ca="1">IF($D704&lt;&gt;"Serviço",0,IF(AND(AUTOEVENTO="Manual",$M704=1),0,IF(OFFSET(CRONOPLE!$F$14,$M704,BC$13)="",10^12,OFFSET(CRONOPLE!$F$14,$M704,BC$13))))</f>
        <v>1000000000000</v>
      </c>
      <c r="BD704" s="215">
        <f ca="1">IF($D704&lt;&gt;"Serviço",0,IF(AND(AUTOEVENTO="Manual",$M704=1),0,IF(OFFSET(CRONOPLE!$F$14,$M704,BD$13)="",10^12,OFFSET(CRONOPLE!$F$14,$M704,BD$13))))</f>
        <v>1000000000000</v>
      </c>
      <c r="BE704" s="215">
        <f ca="1">IF($D704&lt;&gt;"Serviço",0,IF(AND(AUTOEVENTO="Manual",$M704=1),0,IF(OFFSET(CRONOPLE!$F$14,$M704,BE$13)="",10^12,OFFSET(CRONOPLE!$F$14,$M704,BE$13))))</f>
        <v>1000000000000</v>
      </c>
      <c r="BF704" s="215">
        <f ca="1">IF($D704&lt;&gt;"Serviço",0,IF(AND(AUTOEVENTO="Manual",$M704=1),0,IF(OFFSET(CRONOPLE!$F$14,$M704,BF$13)="",10^12,OFFSET(CRONOPLE!$F$14,$M704,BF$13))))</f>
        <v>1000000000000</v>
      </c>
      <c r="BG704" s="215">
        <f ca="1">IF($D704&lt;&gt;"Serviço",0,IF(AND(AUTOEVENTO="Manual",$M704=1),0,IF(OFFSET(CRONOPLE!$F$14,$M704,BG$13)="",10^12,OFFSET(CRONOPLE!$F$14,$M704,BG$13))))</f>
        <v>1000000000000</v>
      </c>
      <c r="BH704" s="215">
        <f ca="1">IF($D704&lt;&gt;"Serviço",0,IF(AND(AUTOEVENTO="Manual",$M704=1),0,IF(OFFSET(CRONOPLE!$F$14,$M704,BH$13)="",10^12,OFFSET(CRONOPLE!$F$14,$M704,BH$13))))</f>
        <v>1000000000000</v>
      </c>
      <c r="BI704" s="215">
        <f ca="1">IF($D704&lt;&gt;"Serviço",0,IF(AND(AUTOEVENTO="Manual",$M704=1),0,IF(OFFSET(CRONOPLE!$F$14,$M704,BI$13)="",10^12,OFFSET(CRONOPLE!$F$14,$M704,BI$13))))</f>
        <v>1000000000000</v>
      </c>
      <c r="BJ704" s="215">
        <f ca="1">IF($D704&lt;&gt;"Serviço",0,IF(AND(AUTOEVENTO="Manual",$M704=1),0,IF(OFFSET(CRONOPLE!$F$14,$M704,BJ$13)="",10^12,OFFSET(CRONOPLE!$F$14,$M704,BJ$13))))</f>
        <v>1000000000000</v>
      </c>
      <c r="BK704" s="215">
        <f ca="1">IF($D704&lt;&gt;"Serviço",0,IF(AND(AUTOEVENTO="Manual",$M704=1),0,IF(OFFSET(CRONOPLE!$F$14,$M704,BK$13)="",10^12,OFFSET(CRONOPLE!$F$14,$M704,BK$13))))</f>
        <v>1000000000000</v>
      </c>
      <c r="BL704" s="215">
        <f ca="1">IF($D704&lt;&gt;"Serviço",0,IF(AND(AUTOEVENTO="Manual",$M704=1),0,IF(OFFSET(CRONOPLE!$F$14,$M704,BL$13)="",10^12,OFFSET(CRONOPLE!$F$14,$M704,BL$13))))</f>
        <v>1000000000000</v>
      </c>
      <c r="BM704" s="215">
        <f ca="1">IF($D704&lt;&gt;"Serviço",0,IF(AND(AUTOEVENTO="Manual",$M704=1),0,IF(OFFSET(CRONOPLE!$F$14,$M704,BM$13)="",10^12,OFFSET(CRONOPLE!$F$14,$M704,BM$13))))</f>
        <v>1000000000000</v>
      </c>
      <c r="BN704" s="215">
        <f ca="1">IF($D704&lt;&gt;"Serviço",0,IF(AND(AUTOEVENTO="Manual",$M704=1),0,IF(OFFSET(CRONOPLE!$F$14,$M704,BN$13)="",10^12,OFFSET(CRONOPLE!$F$14,$M704,BN$13))))</f>
        <v>1000000000000</v>
      </c>
      <c r="BO704" s="215">
        <f ca="1">IF($D704&lt;&gt;"Serviço",0,IF(AND(AUTOEVENTO="Manual",$M704=1),0,IF(OFFSET(CRONOPLE!$F$14,$M704,BO$13)="",10^12,OFFSET(CRONOPLE!$F$14,$M704,BO$13))))</f>
        <v>1000000000000</v>
      </c>
      <c r="BP704" s="215">
        <f ca="1">IF($D704&lt;&gt;"Serviço",0,IF(AND(AUTOEVENTO="Manual",$M704=1),0,IF(OFFSET(CRONOPLE!$F$14,$M704,BP$13)="",10^12,OFFSET(CRONOPLE!$F$14,$M704,BP$13))))</f>
        <v>1000000000000</v>
      </c>
      <c r="BQ704" s="215">
        <f ca="1">IF($D704&lt;&gt;"Serviço",0,IF(AND(AUTOEVENTO="Manual",$M704=1),0,IF(OFFSET(CRONOPLE!$F$14,$M704,BQ$13)="",10^12,OFFSET(CRONOPLE!$F$14,$M704,BQ$13))))</f>
        <v>1000000000000</v>
      </c>
      <c r="BR704" s="215">
        <f ca="1">IF($D704&lt;&gt;"Serviço",0,IF(AND(AUTOEVENTO="Manual",$M704=1),0,IF(OFFSET(CRONOPLE!$F$14,$M704,BR$13)="",10^12,OFFSET(CRONOPLE!$F$14,$M704,BR$13))))</f>
        <v>1000000000000</v>
      </c>
      <c r="BS704" s="215">
        <f ca="1">IF($D704&lt;&gt;"Serviço",0,IF(AND(AUTOEVENTO="Manual",$M704=1),0,IF(OFFSET(CRONOPLE!$F$14,$M704,BS$13)="",10^12,OFFSET(CRONOPLE!$F$14,$M704,BS$13))))</f>
        <v>1000000000000</v>
      </c>
      <c r="BT704" s="215">
        <f ca="1">IF($D704&lt;&gt;"Serviço",0,IF(AND(AUTOEVENTO="Manual",$M704=1),0,IF(OFFSET(CRONOPLE!$F$14,$M704,BT$13)="",10^12,OFFSET(CRONOPLE!$F$14,$M704,BT$13))))</f>
        <v>1000000000000</v>
      </c>
      <c r="BV704" s="216">
        <f ca="1">IF($D704&lt;&gt;"Serviço",0,IF(OR(AND(AUTOEVENTO="Manual",$M704=1),$M704&gt;(ROW(PLE.lastrow)-ROW(PLE.firstrow))),0,IF(OFFSET(PLE!$G$14,$M704,BV$13)="",10^12,OFFSET(PLE!$G$14,$M704,BV$13))))</f>
        <v>1000000000000</v>
      </c>
      <c r="BW704" s="216">
        <f ca="1">IF($D704&lt;&gt;"Serviço",0,IF(OR(AND(AUTOEVENTO="Manual",$M704=1),$M704&gt;(ROW(PLE.lastrow)-ROW(PLE.firstrow))),0,IF(OFFSET(PLE!$G$14,$M704,BW$13)="",10^12,OFFSET(PLE!$G$14,$M704,BW$13))))</f>
        <v>1000000000000</v>
      </c>
      <c r="BX704" s="216">
        <f ca="1">IF($D704&lt;&gt;"Serviço",0,IF(OR(AND(AUTOEVENTO="Manual",$M704=1),$M704&gt;(ROW(PLE.lastrow)-ROW(PLE.firstrow))),0,IF(OFFSET(PLE!$G$14,$M704,BX$13)="",10^12,OFFSET(PLE!$G$14,$M704,BX$13))))</f>
        <v>1000000000000</v>
      </c>
      <c r="BY704" s="216">
        <f ca="1">IF($D704&lt;&gt;"Serviço",0,IF(OR(AND(AUTOEVENTO="Manual",$M704=1),$M704&gt;(ROW(PLE.lastrow)-ROW(PLE.firstrow))),0,IF(OFFSET(PLE!$G$14,$M704,BY$13)="",10^12,OFFSET(PLE!$G$14,$M704,BY$13))))</f>
        <v>1000000000000</v>
      </c>
      <c r="BZ704" s="216">
        <f ca="1">IF($D704&lt;&gt;"Serviço",0,IF(OR(AND(AUTOEVENTO="Manual",$M704=1),$M704&gt;(ROW(PLE.lastrow)-ROW(PLE.firstrow))),0,IF(OFFSET(PLE!$G$14,$M704,BZ$13)="",10^12,OFFSET(PLE!$G$14,$M704,BZ$13))))</f>
        <v>1000000000000</v>
      </c>
      <c r="CA704" s="216">
        <f ca="1">IF($D704&lt;&gt;"Serviço",0,IF(OR(AND(AUTOEVENTO="Manual",$M704=1),$M704&gt;(ROW(PLE.lastrow)-ROW(PLE.firstrow))),0,IF(OFFSET(PLE!$G$14,$M704,CA$13)="",10^12,OFFSET(PLE!$G$14,$M704,CA$13))))</f>
        <v>1000000000000</v>
      </c>
      <c r="CB704" s="216">
        <f ca="1">IF($D704&lt;&gt;"Serviço",0,IF(OR(AND(AUTOEVENTO="Manual",$M704=1),$M704&gt;(ROW(PLE.lastrow)-ROW(PLE.firstrow))),0,IF(OFFSET(PLE!$G$14,$M704,CB$13)="",10^12,OFFSET(PLE!$G$14,$M704,CB$13))))</f>
        <v>1000000000000</v>
      </c>
      <c r="CC704" s="216">
        <f ca="1">IF($D704&lt;&gt;"Serviço",0,IF(OR(AND(AUTOEVENTO="Manual",$M704=1),$M704&gt;(ROW(PLE.lastrow)-ROW(PLE.firstrow))),0,IF(OFFSET(PLE!$G$14,$M704,CC$13)="",10^12,OFFSET(PLE!$G$14,$M704,CC$13))))</f>
        <v>1000000000000</v>
      </c>
      <c r="CD704" s="216">
        <f ca="1">IF($D704&lt;&gt;"Serviço",0,IF(OR(AND(AUTOEVENTO="Manual",$M704=1),$M704&gt;(ROW(PLE.lastrow)-ROW(PLE.firstrow))),0,IF(OFFSET(PLE!$G$14,$M704,CD$13)="",10^12,OFFSET(PLE!$G$14,$M704,CD$13))))</f>
        <v>1000000000000</v>
      </c>
      <c r="CE704" s="216">
        <f ca="1">IF($D704&lt;&gt;"Serviço",0,IF(OR(AND(AUTOEVENTO="Manual",$M704=1),$M704&gt;(ROW(PLE.lastrow)-ROW(PLE.firstrow))),0,IF(OFFSET(PLE!$G$14,$M704,CE$13)="",10^12,OFFSET(PLE!$G$14,$M704,CE$13))))</f>
        <v>1000000000000</v>
      </c>
      <c r="CF704" s="216">
        <f ca="1">IF($D704&lt;&gt;"Serviço",0,IF(OR(AND(AUTOEVENTO="Manual",$M704=1),$M704&gt;(ROW(PLE.lastrow)-ROW(PLE.firstrow))),0,IF(OFFSET(PLE!$G$14,$M704,CF$13)="",10^12,OFFSET(PLE!$G$14,$M704,CF$13))))</f>
        <v>1000000000000</v>
      </c>
      <c r="CG704" s="216">
        <f ca="1">IF($D704&lt;&gt;"Serviço",0,IF(OR(AND(AUTOEVENTO="Manual",$M704=1),$M704&gt;(ROW(PLE.lastrow)-ROW(PLE.firstrow))),0,IF(OFFSET(PLE!$G$14,$M704,CG$13)="",10^12,OFFSET(PLE!$G$14,$M704,CG$13))))</f>
        <v>1000000000000</v>
      </c>
      <c r="CH704" s="216">
        <f ca="1">IF($D704&lt;&gt;"Serviço",0,IF(OR(AND(AUTOEVENTO="Manual",$M704=1),$M704&gt;(ROW(PLE.lastrow)-ROW(PLE.firstrow))),0,IF(OFFSET(PLE!$G$14,$M704,CH$13)="",10^12,OFFSET(PLE!$G$14,$M704,CH$13))))</f>
        <v>1000000000000</v>
      </c>
      <c r="CI704" s="216">
        <f ca="1">IF($D704&lt;&gt;"Serviço",0,IF(OR(AND(AUTOEVENTO="Manual",$M704=1),$M704&gt;(ROW(PLE.lastrow)-ROW(PLE.firstrow))),0,IF(OFFSET(PLE!$G$14,$M704,CI$13)="",10^12,OFFSET(PLE!$G$14,$M704,CI$13))))</f>
        <v>1000000000000</v>
      </c>
      <c r="CJ704" s="216">
        <f ca="1">IF($D704&lt;&gt;"Serviço",0,IF(OR(AND(AUTOEVENTO="Manual",$M704=1),$M704&gt;(ROW(PLE.lastrow)-ROW(PLE.firstrow))),0,IF(OFFSET(PLE!$G$14,$M704,CJ$13)="",10^12,OFFSET(PLE!$G$14,$M704,CJ$13))))</f>
        <v>1000000000000</v>
      </c>
      <c r="CK704" s="216">
        <f ca="1">IF($D704&lt;&gt;"Serviço",0,IF(OR(AND(AUTOEVENTO="Manual",$M704=1),$M704&gt;(ROW(PLE.lastrow)-ROW(PLE.firstrow))),0,IF(OFFSET(PLE!$G$14,$M704,CK$13)="",10^12,OFFSET(PLE!$G$14,$M704,CK$13))))</f>
        <v>1000000000000</v>
      </c>
      <c r="CL704" s="216">
        <f ca="1">IF($D704&lt;&gt;"Serviço",0,IF(OR(AND(AUTOEVENTO="Manual",$M704=1),$M704&gt;(ROW(PLE.lastrow)-ROW(PLE.firstrow))),0,IF(OFFSET(PLE!$G$14,$M704,CL$13)="",10^12,OFFSET(PLE!$G$14,$M704,CL$13))))</f>
        <v>1000000000000</v>
      </c>
      <c r="CM704" s="216">
        <f ca="1">IF($D704&lt;&gt;"Serviço",0,IF(OR(AND(AUTOEVENTO="Manual",$M704=1),$M704&gt;(ROW(PLE.lastrow)-ROW(PLE.firstrow))),0,IF(OFFSET(PLE!$G$14,$M704,CM$13)="",10^12,OFFSET(PLE!$G$14,$M704,CM$13))))</f>
        <v>1000000000000</v>
      </c>
    </row>
    <row r="705" spans="1:91" ht="13.2" x14ac:dyDescent="0.25">
      <c r="A705" s="9">
        <f t="shared" ca="1" si="20"/>
        <v>0</v>
      </c>
      <c r="B705" s="9" t="str">
        <f ca="1">OFFSET(ORÇAMENTO!C$15,ROW(B705)-ROW(B$15),0)</f>
        <v>S</v>
      </c>
      <c r="C705" s="9" t="str">
        <f ca="1">OFFSET(ORÇAMENTO!L$15,ROW(C705)-ROW(C$15),0)</f>
        <v/>
      </c>
      <c r="D705" s="145" t="str">
        <f ca="1">OFFSET(ORÇAMENTO!N$15,ROW(D705)-ROW(D$15),0)</f>
        <v>Serviço</v>
      </c>
      <c r="E705" s="205" t="str">
        <f ca="1">OFFSET(ORÇAMENTO!O$15,ROW(E705)-ROW(E$15),0)</f>
        <v>-</v>
      </c>
      <c r="F705" s="206" t="str">
        <f ca="1">OFFSET(ORÇAMENTO!R$15,ROW(F705)-ROW(F$15),0)</f>
        <v>(abra o arquivo 'Referência 05-2024.xls)</v>
      </c>
      <c r="G705" s="207" t="str">
        <f ca="1">IF($D705&lt;&gt;"Serviço","",OFFSET(ORÇAMENTO!S$15,ROW(G705)-ROW(G$15),0))</f>
        <v>-</v>
      </c>
      <c r="H705" s="151">
        <f ca="1">IF($D705&lt;&gt;"Serviço",0,IF(ACOMPANHAMENTO="BM",ROUND(OFFSET(ORÇAMENTO!AJ$15,ROW(H705)-ROW(H$15),0),15-13*ORÇAMENTO!$AF$7),SUMPRODUCT(($Q$12:$AI$12&lt;&gt;"")*ROUND($Q705:$AI705,15-13*ORÇAMENTO!$AF$7))))</f>
        <v>24</v>
      </c>
      <c r="I705" s="650"/>
      <c r="K705" s="208"/>
      <c r="L705" s="209" t="s">
        <v>257</v>
      </c>
      <c r="M705" s="210">
        <f ca="1">IF($D705&lt;&gt;"Serviço","",IF(AUTOEVENTO="manual",$A705,IF(ISERROR(MATCH($A705,$A$15:OFFSET($A705,-1,0),0)),MAX($M$15:OFFSET(M705,-1,0))+1,INDEX($M$15:OFFSET(M705,-1,0),MATCH($A705,$A$15:OFFSET($A705,-1,0),0)))))</f>
        <v>0</v>
      </c>
      <c r="N705" s="211" t="str">
        <f ca="1">IF($D705&lt;&gt;"Serviço","",IF(AUTOEVENTO="Manual",IF($A705=0,"&lt;-- defina o número do agrupador",OFFSET(EVENTOS!$D$14,$A705,0)),OFFSET($F$15,$A705,0)))</f>
        <v>&lt;-- defina o número do agrupador</v>
      </c>
      <c r="O705" s="212"/>
      <c r="Q705" s="212"/>
      <c r="R705" s="213"/>
      <c r="S705" s="213"/>
      <c r="T705" s="213"/>
      <c r="U705" s="213"/>
      <c r="V705" s="213"/>
      <c r="W705" s="213"/>
      <c r="X705" s="213"/>
      <c r="Y705" s="213"/>
      <c r="Z705" s="214"/>
      <c r="AA705" s="213"/>
      <c r="AB705" s="213"/>
      <c r="AC705" s="213"/>
      <c r="AD705" s="213"/>
      <c r="AE705" s="213"/>
      <c r="AF705" s="213"/>
      <c r="AG705" s="213"/>
      <c r="AH705" s="214"/>
      <c r="AJ705" s="631">
        <f ca="1">IF(AND($D705="Serviço",AJ$12&lt;&gt;0,$H705&gt;0,OR(AUTOEVENTO&lt;&gt;"manual",$M705&lt;&gt;1)),ROUND(OFFSET($P705,0,AJ$13),15-13*ORÇAMENTO!$AF$7)/$H705*OFFSET(ORÇAMENTO!$X$15,ROW(AJ705)-ROW(AJ$15),0),0)</f>
        <v>0</v>
      </c>
      <c r="AK705" s="632">
        <f ca="1">IF(AND($D705="Serviço",AK$12&lt;&gt;0,$H705&gt;0,OR(AUTOEVENTO&lt;&gt;"manual",$M705&lt;&gt;1)),ROUND(OFFSET($P705,0,AK$13),15-13*ORÇAMENTO!$AF$7)/$H705*OFFSET(ORÇAMENTO!$X$15,ROW(AK705)-ROW(AK$15),0),0)</f>
        <v>0</v>
      </c>
      <c r="AL705" s="632">
        <f ca="1">IF(AND($D705="Serviço",AL$12&lt;&gt;0,$H705&gt;0,OR(AUTOEVENTO&lt;&gt;"manual",$M705&lt;&gt;1)),ROUND(OFFSET($P705,0,AL$13),15-13*ORÇAMENTO!$AF$7)/$H705*OFFSET(ORÇAMENTO!$X$15,ROW(AL705)-ROW(AL$15),0),0)</f>
        <v>0</v>
      </c>
      <c r="AM705" s="632">
        <f ca="1">IF(AND($D705="Serviço",AM$12&lt;&gt;0,$H705&gt;0,OR(AUTOEVENTO&lt;&gt;"manual",$M705&lt;&gt;1)),ROUND(OFFSET($P705,0,AM$13),15-13*ORÇAMENTO!$AF$7)/$H705*OFFSET(ORÇAMENTO!$X$15,ROW(AM705)-ROW(AM$15),0),0)</f>
        <v>0</v>
      </c>
      <c r="AN705" s="632">
        <f ca="1">IF(AND($D705="Serviço",AN$12&lt;&gt;0,$H705&gt;0,OR(AUTOEVENTO&lt;&gt;"manual",$M705&lt;&gt;1)),ROUND(OFFSET($P705,0,AN$13),15-13*ORÇAMENTO!$AF$7)/$H705*OFFSET(ORÇAMENTO!$X$15,ROW(AN705)-ROW(AN$15),0),0)</f>
        <v>0</v>
      </c>
      <c r="AO705" s="632">
        <f ca="1">IF(AND($D705="Serviço",AO$12&lt;&gt;0,$H705&gt;0,OR(AUTOEVENTO&lt;&gt;"manual",$M705&lt;&gt;1)),ROUND(OFFSET($P705,0,AO$13),15-13*ORÇAMENTO!$AF$7)/$H705*OFFSET(ORÇAMENTO!$X$15,ROW(AO705)-ROW(AO$15),0),0)</f>
        <v>0</v>
      </c>
      <c r="AP705" s="632">
        <f ca="1">IF(AND($D705="Serviço",AP$12&lt;&gt;0,$H705&gt;0,OR(AUTOEVENTO&lt;&gt;"manual",$M705&lt;&gt;1)),ROUND(OFFSET($P705,0,AP$13),15-13*ORÇAMENTO!$AF$7)/$H705*OFFSET(ORÇAMENTO!$X$15,ROW(AP705)-ROW(AP$15),0),0)</f>
        <v>0</v>
      </c>
      <c r="AQ705" s="632">
        <f ca="1">IF(AND($D705="Serviço",AQ$12&lt;&gt;0,$H705&gt;0,OR(AUTOEVENTO&lt;&gt;"manual",$M705&lt;&gt;1)),ROUND(OFFSET($P705,0,AQ$13),15-13*ORÇAMENTO!$AF$7)/$H705*OFFSET(ORÇAMENTO!$X$15,ROW(AQ705)-ROW(AQ$15),0),0)</f>
        <v>0</v>
      </c>
      <c r="AR705" s="632">
        <f ca="1">IF(AND($D705="Serviço",AR$12&lt;&gt;0,$H705&gt;0,OR(AUTOEVENTO&lt;&gt;"manual",$M705&lt;&gt;1)),ROUND(OFFSET($P705,0,AR$13),15-13*ORÇAMENTO!$AF$7)/$H705*OFFSET(ORÇAMENTO!$X$15,ROW(AR705)-ROW(AR$15),0),0)</f>
        <v>0</v>
      </c>
      <c r="AS705" s="633">
        <f ca="1">IF(AND($D705="Serviço",AS$12&lt;&gt;0,$H705&gt;0,OR(AUTOEVENTO&lt;&gt;"manual",$M705&lt;&gt;1)),ROUND(OFFSET($P705,0,AS$13),15-13*ORÇAMENTO!$AF$7)/$H705*OFFSET(ORÇAMENTO!$X$15,ROW(AS705)-ROW(AS$15),0),0)</f>
        <v>0</v>
      </c>
      <c r="AT705" s="632">
        <f ca="1">IF(AND($D705="Serviço",AT$12&lt;&gt;0,$H705&gt;0,OR(AUTOEVENTO&lt;&gt;"manual",$M705&lt;&gt;1)),ROUND(OFFSET($P705,0,AT$13),15-13*ORÇAMENTO!$AF$7)/$H705*OFFSET(ORÇAMENTO!$X$15,ROW(AT705)-ROW(AT$15),0),0)</f>
        <v>0</v>
      </c>
      <c r="AU705" s="632">
        <f ca="1">IF(AND($D705="Serviço",AU$12&lt;&gt;0,$H705&gt;0,OR(AUTOEVENTO&lt;&gt;"manual",$M705&lt;&gt;1)),ROUND(OFFSET($P705,0,AU$13),15-13*ORÇAMENTO!$AF$7)/$H705*OFFSET(ORÇAMENTO!$X$15,ROW(AU705)-ROW(AU$15),0),0)</f>
        <v>0</v>
      </c>
      <c r="AV705" s="632">
        <f ca="1">IF(AND($D705="Serviço",AV$12&lt;&gt;0,$H705&gt;0,OR(AUTOEVENTO&lt;&gt;"manual",$M705&lt;&gt;1)),ROUND(OFFSET($P705,0,AV$13),15-13*ORÇAMENTO!$AF$7)/$H705*OFFSET(ORÇAMENTO!$X$15,ROW(AV705)-ROW(AV$15),0),0)</f>
        <v>0</v>
      </c>
      <c r="AW705" s="632">
        <f ca="1">IF(AND($D705="Serviço",AW$12&lt;&gt;0,$H705&gt;0,OR(AUTOEVENTO&lt;&gt;"manual",$M705&lt;&gt;1)),ROUND(OFFSET($P705,0,AW$13),15-13*ORÇAMENTO!$AF$7)/$H705*OFFSET(ORÇAMENTO!$X$15,ROW(AW705)-ROW(AW$15),0),0)</f>
        <v>0</v>
      </c>
      <c r="AX705" s="632">
        <f ca="1">IF(AND($D705="Serviço",AX$12&lt;&gt;0,$H705&gt;0,OR(AUTOEVENTO&lt;&gt;"manual",$M705&lt;&gt;1)),ROUND(OFFSET($P705,0,AX$13),15-13*ORÇAMENTO!$AF$7)/$H705*OFFSET(ORÇAMENTO!$X$15,ROW(AX705)-ROW(AX$15),0),0)</f>
        <v>0</v>
      </c>
      <c r="AY705" s="632">
        <f ca="1">IF(AND($D705="Serviço",AY$12&lt;&gt;0,$H705&gt;0,OR(AUTOEVENTO&lt;&gt;"manual",$M705&lt;&gt;1)),ROUND(OFFSET($P705,0,AY$13),15-13*ORÇAMENTO!$AF$7)/$H705*OFFSET(ORÇAMENTO!$X$15,ROW(AY705)-ROW(AY$15),0),0)</f>
        <v>0</v>
      </c>
      <c r="AZ705" s="632">
        <f ca="1">IF(AND($D705="Serviço",AZ$12&lt;&gt;0,$H705&gt;0,OR(AUTOEVENTO&lt;&gt;"manual",$M705&lt;&gt;1)),ROUND(OFFSET($P705,0,AZ$13),15-13*ORÇAMENTO!$AF$7)/$H705*OFFSET(ORÇAMENTO!$X$15,ROW(AZ705)-ROW(AZ$15),0),0)</f>
        <v>0</v>
      </c>
      <c r="BA705" s="633">
        <f ca="1">IF(AND($D705="Serviço",BA$12&lt;&gt;0,$H705&gt;0,OR(AUTOEVENTO&lt;&gt;"manual",$M705&lt;&gt;1)),ROUND(OFFSET($P705,0,BA$13),15-13*ORÇAMENTO!$AF$7)/$H705*OFFSET(ORÇAMENTO!$X$15,ROW(BA705)-ROW(BA$15),0),0)</f>
        <v>0</v>
      </c>
      <c r="BC705" s="215">
        <f ca="1">IF($D705&lt;&gt;"Serviço",0,IF(AND(AUTOEVENTO="Manual",$M705=1),0,IF(OFFSET(CRONOPLE!$F$14,$M705,BC$13)="",10^12,OFFSET(CRONOPLE!$F$14,$M705,BC$13))))</f>
        <v>1000000000000</v>
      </c>
      <c r="BD705" s="215">
        <f ca="1">IF($D705&lt;&gt;"Serviço",0,IF(AND(AUTOEVENTO="Manual",$M705=1),0,IF(OFFSET(CRONOPLE!$F$14,$M705,BD$13)="",10^12,OFFSET(CRONOPLE!$F$14,$M705,BD$13))))</f>
        <v>1000000000000</v>
      </c>
      <c r="BE705" s="215">
        <f ca="1">IF($D705&lt;&gt;"Serviço",0,IF(AND(AUTOEVENTO="Manual",$M705=1),0,IF(OFFSET(CRONOPLE!$F$14,$M705,BE$13)="",10^12,OFFSET(CRONOPLE!$F$14,$M705,BE$13))))</f>
        <v>1000000000000</v>
      </c>
      <c r="BF705" s="215">
        <f ca="1">IF($D705&lt;&gt;"Serviço",0,IF(AND(AUTOEVENTO="Manual",$M705=1),0,IF(OFFSET(CRONOPLE!$F$14,$M705,BF$13)="",10^12,OFFSET(CRONOPLE!$F$14,$M705,BF$13))))</f>
        <v>1000000000000</v>
      </c>
      <c r="BG705" s="215">
        <f ca="1">IF($D705&lt;&gt;"Serviço",0,IF(AND(AUTOEVENTO="Manual",$M705=1),0,IF(OFFSET(CRONOPLE!$F$14,$M705,BG$13)="",10^12,OFFSET(CRONOPLE!$F$14,$M705,BG$13))))</f>
        <v>1000000000000</v>
      </c>
      <c r="BH705" s="215">
        <f ca="1">IF($D705&lt;&gt;"Serviço",0,IF(AND(AUTOEVENTO="Manual",$M705=1),0,IF(OFFSET(CRONOPLE!$F$14,$M705,BH$13)="",10^12,OFFSET(CRONOPLE!$F$14,$M705,BH$13))))</f>
        <v>1000000000000</v>
      </c>
      <c r="BI705" s="215">
        <f ca="1">IF($D705&lt;&gt;"Serviço",0,IF(AND(AUTOEVENTO="Manual",$M705=1),0,IF(OFFSET(CRONOPLE!$F$14,$M705,BI$13)="",10^12,OFFSET(CRONOPLE!$F$14,$M705,BI$13))))</f>
        <v>1000000000000</v>
      </c>
      <c r="BJ705" s="215">
        <f ca="1">IF($D705&lt;&gt;"Serviço",0,IF(AND(AUTOEVENTO="Manual",$M705=1),0,IF(OFFSET(CRONOPLE!$F$14,$M705,BJ$13)="",10^12,OFFSET(CRONOPLE!$F$14,$M705,BJ$13))))</f>
        <v>1000000000000</v>
      </c>
      <c r="BK705" s="215">
        <f ca="1">IF($D705&lt;&gt;"Serviço",0,IF(AND(AUTOEVENTO="Manual",$M705=1),0,IF(OFFSET(CRONOPLE!$F$14,$M705,BK$13)="",10^12,OFFSET(CRONOPLE!$F$14,$M705,BK$13))))</f>
        <v>1000000000000</v>
      </c>
      <c r="BL705" s="215">
        <f ca="1">IF($D705&lt;&gt;"Serviço",0,IF(AND(AUTOEVENTO="Manual",$M705=1),0,IF(OFFSET(CRONOPLE!$F$14,$M705,BL$13)="",10^12,OFFSET(CRONOPLE!$F$14,$M705,BL$13))))</f>
        <v>1000000000000</v>
      </c>
      <c r="BM705" s="215">
        <f ca="1">IF($D705&lt;&gt;"Serviço",0,IF(AND(AUTOEVENTO="Manual",$M705=1),0,IF(OFFSET(CRONOPLE!$F$14,$M705,BM$13)="",10^12,OFFSET(CRONOPLE!$F$14,$M705,BM$13))))</f>
        <v>1000000000000</v>
      </c>
      <c r="BN705" s="215">
        <f ca="1">IF($D705&lt;&gt;"Serviço",0,IF(AND(AUTOEVENTO="Manual",$M705=1),0,IF(OFFSET(CRONOPLE!$F$14,$M705,BN$13)="",10^12,OFFSET(CRONOPLE!$F$14,$M705,BN$13))))</f>
        <v>1000000000000</v>
      </c>
      <c r="BO705" s="215">
        <f ca="1">IF($D705&lt;&gt;"Serviço",0,IF(AND(AUTOEVENTO="Manual",$M705=1),0,IF(OFFSET(CRONOPLE!$F$14,$M705,BO$13)="",10^12,OFFSET(CRONOPLE!$F$14,$M705,BO$13))))</f>
        <v>1000000000000</v>
      </c>
      <c r="BP705" s="215">
        <f ca="1">IF($D705&lt;&gt;"Serviço",0,IF(AND(AUTOEVENTO="Manual",$M705=1),0,IF(OFFSET(CRONOPLE!$F$14,$M705,BP$13)="",10^12,OFFSET(CRONOPLE!$F$14,$M705,BP$13))))</f>
        <v>1000000000000</v>
      </c>
      <c r="BQ705" s="215">
        <f ca="1">IF($D705&lt;&gt;"Serviço",0,IF(AND(AUTOEVENTO="Manual",$M705=1),0,IF(OFFSET(CRONOPLE!$F$14,$M705,BQ$13)="",10^12,OFFSET(CRONOPLE!$F$14,$M705,BQ$13))))</f>
        <v>1000000000000</v>
      </c>
      <c r="BR705" s="215">
        <f ca="1">IF($D705&lt;&gt;"Serviço",0,IF(AND(AUTOEVENTO="Manual",$M705=1),0,IF(OFFSET(CRONOPLE!$F$14,$M705,BR$13)="",10^12,OFFSET(CRONOPLE!$F$14,$M705,BR$13))))</f>
        <v>1000000000000</v>
      </c>
      <c r="BS705" s="215">
        <f ca="1">IF($D705&lt;&gt;"Serviço",0,IF(AND(AUTOEVENTO="Manual",$M705=1),0,IF(OFFSET(CRONOPLE!$F$14,$M705,BS$13)="",10^12,OFFSET(CRONOPLE!$F$14,$M705,BS$13))))</f>
        <v>1000000000000</v>
      </c>
      <c r="BT705" s="215">
        <f ca="1">IF($D705&lt;&gt;"Serviço",0,IF(AND(AUTOEVENTO="Manual",$M705=1),0,IF(OFFSET(CRONOPLE!$F$14,$M705,BT$13)="",10^12,OFFSET(CRONOPLE!$F$14,$M705,BT$13))))</f>
        <v>1000000000000</v>
      </c>
      <c r="BV705" s="216">
        <f ca="1">IF($D705&lt;&gt;"Serviço",0,IF(OR(AND(AUTOEVENTO="Manual",$M705=1),$M705&gt;(ROW(PLE.lastrow)-ROW(PLE.firstrow))),0,IF(OFFSET(PLE!$G$14,$M705,BV$13)="",10^12,OFFSET(PLE!$G$14,$M705,BV$13))))</f>
        <v>1000000000000</v>
      </c>
      <c r="BW705" s="216">
        <f ca="1">IF($D705&lt;&gt;"Serviço",0,IF(OR(AND(AUTOEVENTO="Manual",$M705=1),$M705&gt;(ROW(PLE.lastrow)-ROW(PLE.firstrow))),0,IF(OFFSET(PLE!$G$14,$M705,BW$13)="",10^12,OFFSET(PLE!$G$14,$M705,BW$13))))</f>
        <v>1000000000000</v>
      </c>
      <c r="BX705" s="216">
        <f ca="1">IF($D705&lt;&gt;"Serviço",0,IF(OR(AND(AUTOEVENTO="Manual",$M705=1),$M705&gt;(ROW(PLE.lastrow)-ROW(PLE.firstrow))),0,IF(OFFSET(PLE!$G$14,$M705,BX$13)="",10^12,OFFSET(PLE!$G$14,$M705,BX$13))))</f>
        <v>1000000000000</v>
      </c>
      <c r="BY705" s="216">
        <f ca="1">IF($D705&lt;&gt;"Serviço",0,IF(OR(AND(AUTOEVENTO="Manual",$M705=1),$M705&gt;(ROW(PLE.lastrow)-ROW(PLE.firstrow))),0,IF(OFFSET(PLE!$G$14,$M705,BY$13)="",10^12,OFFSET(PLE!$G$14,$M705,BY$13))))</f>
        <v>1000000000000</v>
      </c>
      <c r="BZ705" s="216">
        <f ca="1">IF($D705&lt;&gt;"Serviço",0,IF(OR(AND(AUTOEVENTO="Manual",$M705=1),$M705&gt;(ROW(PLE.lastrow)-ROW(PLE.firstrow))),0,IF(OFFSET(PLE!$G$14,$M705,BZ$13)="",10^12,OFFSET(PLE!$G$14,$M705,BZ$13))))</f>
        <v>1000000000000</v>
      </c>
      <c r="CA705" s="216">
        <f ca="1">IF($D705&lt;&gt;"Serviço",0,IF(OR(AND(AUTOEVENTO="Manual",$M705=1),$M705&gt;(ROW(PLE.lastrow)-ROW(PLE.firstrow))),0,IF(OFFSET(PLE!$G$14,$M705,CA$13)="",10^12,OFFSET(PLE!$G$14,$M705,CA$13))))</f>
        <v>1000000000000</v>
      </c>
      <c r="CB705" s="216">
        <f ca="1">IF($D705&lt;&gt;"Serviço",0,IF(OR(AND(AUTOEVENTO="Manual",$M705=1),$M705&gt;(ROW(PLE.lastrow)-ROW(PLE.firstrow))),0,IF(OFFSET(PLE!$G$14,$M705,CB$13)="",10^12,OFFSET(PLE!$G$14,$M705,CB$13))))</f>
        <v>1000000000000</v>
      </c>
      <c r="CC705" s="216">
        <f ca="1">IF($D705&lt;&gt;"Serviço",0,IF(OR(AND(AUTOEVENTO="Manual",$M705=1),$M705&gt;(ROW(PLE.lastrow)-ROW(PLE.firstrow))),0,IF(OFFSET(PLE!$G$14,$M705,CC$13)="",10^12,OFFSET(PLE!$G$14,$M705,CC$13))))</f>
        <v>1000000000000</v>
      </c>
      <c r="CD705" s="216">
        <f ca="1">IF($D705&lt;&gt;"Serviço",0,IF(OR(AND(AUTOEVENTO="Manual",$M705=1),$M705&gt;(ROW(PLE.lastrow)-ROW(PLE.firstrow))),0,IF(OFFSET(PLE!$G$14,$M705,CD$13)="",10^12,OFFSET(PLE!$G$14,$M705,CD$13))))</f>
        <v>1000000000000</v>
      </c>
      <c r="CE705" s="216">
        <f ca="1">IF($D705&lt;&gt;"Serviço",0,IF(OR(AND(AUTOEVENTO="Manual",$M705=1),$M705&gt;(ROW(PLE.lastrow)-ROW(PLE.firstrow))),0,IF(OFFSET(PLE!$G$14,$M705,CE$13)="",10^12,OFFSET(PLE!$G$14,$M705,CE$13))))</f>
        <v>1000000000000</v>
      </c>
      <c r="CF705" s="216">
        <f ca="1">IF($D705&lt;&gt;"Serviço",0,IF(OR(AND(AUTOEVENTO="Manual",$M705=1),$M705&gt;(ROW(PLE.lastrow)-ROW(PLE.firstrow))),0,IF(OFFSET(PLE!$G$14,$M705,CF$13)="",10^12,OFFSET(PLE!$G$14,$M705,CF$13))))</f>
        <v>1000000000000</v>
      </c>
      <c r="CG705" s="216">
        <f ca="1">IF($D705&lt;&gt;"Serviço",0,IF(OR(AND(AUTOEVENTO="Manual",$M705=1),$M705&gt;(ROW(PLE.lastrow)-ROW(PLE.firstrow))),0,IF(OFFSET(PLE!$G$14,$M705,CG$13)="",10^12,OFFSET(PLE!$G$14,$M705,CG$13))))</f>
        <v>1000000000000</v>
      </c>
      <c r="CH705" s="216">
        <f ca="1">IF($D705&lt;&gt;"Serviço",0,IF(OR(AND(AUTOEVENTO="Manual",$M705=1),$M705&gt;(ROW(PLE.lastrow)-ROW(PLE.firstrow))),0,IF(OFFSET(PLE!$G$14,$M705,CH$13)="",10^12,OFFSET(PLE!$G$14,$M705,CH$13))))</f>
        <v>1000000000000</v>
      </c>
      <c r="CI705" s="216">
        <f ca="1">IF($D705&lt;&gt;"Serviço",0,IF(OR(AND(AUTOEVENTO="Manual",$M705=1),$M705&gt;(ROW(PLE.lastrow)-ROW(PLE.firstrow))),0,IF(OFFSET(PLE!$G$14,$M705,CI$13)="",10^12,OFFSET(PLE!$G$14,$M705,CI$13))))</f>
        <v>1000000000000</v>
      </c>
      <c r="CJ705" s="216">
        <f ca="1">IF($D705&lt;&gt;"Serviço",0,IF(OR(AND(AUTOEVENTO="Manual",$M705=1),$M705&gt;(ROW(PLE.lastrow)-ROW(PLE.firstrow))),0,IF(OFFSET(PLE!$G$14,$M705,CJ$13)="",10^12,OFFSET(PLE!$G$14,$M705,CJ$13))))</f>
        <v>1000000000000</v>
      </c>
      <c r="CK705" s="216">
        <f ca="1">IF($D705&lt;&gt;"Serviço",0,IF(OR(AND(AUTOEVENTO="Manual",$M705=1),$M705&gt;(ROW(PLE.lastrow)-ROW(PLE.firstrow))),0,IF(OFFSET(PLE!$G$14,$M705,CK$13)="",10^12,OFFSET(PLE!$G$14,$M705,CK$13))))</f>
        <v>1000000000000</v>
      </c>
      <c r="CL705" s="216">
        <f ca="1">IF($D705&lt;&gt;"Serviço",0,IF(OR(AND(AUTOEVENTO="Manual",$M705=1),$M705&gt;(ROW(PLE.lastrow)-ROW(PLE.firstrow))),0,IF(OFFSET(PLE!$G$14,$M705,CL$13)="",10^12,OFFSET(PLE!$G$14,$M705,CL$13))))</f>
        <v>1000000000000</v>
      </c>
      <c r="CM705" s="216">
        <f ca="1">IF($D705&lt;&gt;"Serviço",0,IF(OR(AND(AUTOEVENTO="Manual",$M705=1),$M705&gt;(ROW(PLE.lastrow)-ROW(PLE.firstrow))),0,IF(OFFSET(PLE!$G$14,$M705,CM$13)="",10^12,OFFSET(PLE!$G$14,$M705,CM$13))))</f>
        <v>1000000000000</v>
      </c>
    </row>
    <row r="706" spans="1:91" ht="13.2" x14ac:dyDescent="0.25">
      <c r="A706" s="9">
        <f t="shared" ca="1" si="20"/>
        <v>0</v>
      </c>
      <c r="B706" s="9" t="str">
        <f ca="1">OFFSET(ORÇAMENTO!C$15,ROW(B706)-ROW(B$15),0)</f>
        <v>S</v>
      </c>
      <c r="C706" s="9" t="str">
        <f ca="1">OFFSET(ORÇAMENTO!L$15,ROW(C706)-ROW(C$15),0)</f>
        <v/>
      </c>
      <c r="D706" s="145" t="str">
        <f ca="1">OFFSET(ORÇAMENTO!N$15,ROW(D706)-ROW(D$15),0)</f>
        <v>Serviço</v>
      </c>
      <c r="E706" s="205" t="str">
        <f ca="1">OFFSET(ORÇAMENTO!O$15,ROW(E706)-ROW(E$15),0)</f>
        <v>-</v>
      </c>
      <c r="F706" s="206" t="str">
        <f ca="1">OFFSET(ORÇAMENTO!R$15,ROW(F706)-ROW(F$15),0)</f>
        <v>(abra o arquivo 'Referência 05-2024.xls)</v>
      </c>
      <c r="G706" s="207" t="str">
        <f ca="1">IF($D706&lt;&gt;"Serviço","",OFFSET(ORÇAMENTO!S$15,ROW(G706)-ROW(G$15),0))</f>
        <v>-</v>
      </c>
      <c r="H706" s="151">
        <f ca="1">IF($D706&lt;&gt;"Serviço",0,IF(ACOMPANHAMENTO="BM",ROUND(OFFSET(ORÇAMENTO!AJ$15,ROW(H706)-ROW(H$15),0),15-13*ORÇAMENTO!$AF$7),SUMPRODUCT(($Q$12:$AI$12&lt;&gt;"")*ROUND($Q706:$AI706,15-13*ORÇAMENTO!$AF$7))))</f>
        <v>60</v>
      </c>
      <c r="I706" s="650"/>
      <c r="K706" s="208"/>
      <c r="L706" s="209" t="s">
        <v>257</v>
      </c>
      <c r="M706" s="210">
        <f ca="1">IF($D706&lt;&gt;"Serviço","",IF(AUTOEVENTO="manual",$A706,IF(ISERROR(MATCH($A706,$A$15:OFFSET($A706,-1,0),0)),MAX($M$15:OFFSET(M706,-1,0))+1,INDEX($M$15:OFFSET(M706,-1,0),MATCH($A706,$A$15:OFFSET($A706,-1,0),0)))))</f>
        <v>0</v>
      </c>
      <c r="N706" s="211" t="str">
        <f ca="1">IF($D706&lt;&gt;"Serviço","",IF(AUTOEVENTO="Manual",IF($A706=0,"&lt;-- defina o número do agrupador",OFFSET(EVENTOS!$D$14,$A706,0)),OFFSET($F$15,$A706,0)))</f>
        <v>&lt;-- defina o número do agrupador</v>
      </c>
      <c r="O706" s="212"/>
      <c r="Q706" s="212"/>
      <c r="R706" s="213"/>
      <c r="S706" s="213"/>
      <c r="T706" s="213"/>
      <c r="U706" s="213"/>
      <c r="V706" s="213"/>
      <c r="W706" s="213"/>
      <c r="X706" s="213"/>
      <c r="Y706" s="213"/>
      <c r="Z706" s="214"/>
      <c r="AA706" s="213"/>
      <c r="AB706" s="213"/>
      <c r="AC706" s="213"/>
      <c r="AD706" s="213"/>
      <c r="AE706" s="213"/>
      <c r="AF706" s="213"/>
      <c r="AG706" s="213"/>
      <c r="AH706" s="214"/>
      <c r="AJ706" s="631">
        <f ca="1">IF(AND($D706="Serviço",AJ$12&lt;&gt;0,$H706&gt;0,OR(AUTOEVENTO&lt;&gt;"manual",$M706&lt;&gt;1)),ROUND(OFFSET($P706,0,AJ$13),15-13*ORÇAMENTO!$AF$7)/$H706*OFFSET(ORÇAMENTO!$X$15,ROW(AJ706)-ROW(AJ$15),0),0)</f>
        <v>0</v>
      </c>
      <c r="AK706" s="632">
        <f ca="1">IF(AND($D706="Serviço",AK$12&lt;&gt;0,$H706&gt;0,OR(AUTOEVENTO&lt;&gt;"manual",$M706&lt;&gt;1)),ROUND(OFFSET($P706,0,AK$13),15-13*ORÇAMENTO!$AF$7)/$H706*OFFSET(ORÇAMENTO!$X$15,ROW(AK706)-ROW(AK$15),0),0)</f>
        <v>0</v>
      </c>
      <c r="AL706" s="632">
        <f ca="1">IF(AND($D706="Serviço",AL$12&lt;&gt;0,$H706&gt;0,OR(AUTOEVENTO&lt;&gt;"manual",$M706&lt;&gt;1)),ROUND(OFFSET($P706,0,AL$13),15-13*ORÇAMENTO!$AF$7)/$H706*OFFSET(ORÇAMENTO!$X$15,ROW(AL706)-ROW(AL$15),0),0)</f>
        <v>0</v>
      </c>
      <c r="AM706" s="632">
        <f ca="1">IF(AND($D706="Serviço",AM$12&lt;&gt;0,$H706&gt;0,OR(AUTOEVENTO&lt;&gt;"manual",$M706&lt;&gt;1)),ROUND(OFFSET($P706,0,AM$13),15-13*ORÇAMENTO!$AF$7)/$H706*OFFSET(ORÇAMENTO!$X$15,ROW(AM706)-ROW(AM$15),0),0)</f>
        <v>0</v>
      </c>
      <c r="AN706" s="632">
        <f ca="1">IF(AND($D706="Serviço",AN$12&lt;&gt;0,$H706&gt;0,OR(AUTOEVENTO&lt;&gt;"manual",$M706&lt;&gt;1)),ROUND(OFFSET($P706,0,AN$13),15-13*ORÇAMENTO!$AF$7)/$H706*OFFSET(ORÇAMENTO!$X$15,ROW(AN706)-ROW(AN$15),0),0)</f>
        <v>0</v>
      </c>
      <c r="AO706" s="632">
        <f ca="1">IF(AND($D706="Serviço",AO$12&lt;&gt;0,$H706&gt;0,OR(AUTOEVENTO&lt;&gt;"manual",$M706&lt;&gt;1)),ROUND(OFFSET($P706,0,AO$13),15-13*ORÇAMENTO!$AF$7)/$H706*OFFSET(ORÇAMENTO!$X$15,ROW(AO706)-ROW(AO$15),0),0)</f>
        <v>0</v>
      </c>
      <c r="AP706" s="632">
        <f ca="1">IF(AND($D706="Serviço",AP$12&lt;&gt;0,$H706&gt;0,OR(AUTOEVENTO&lt;&gt;"manual",$M706&lt;&gt;1)),ROUND(OFFSET($P706,0,AP$13),15-13*ORÇAMENTO!$AF$7)/$H706*OFFSET(ORÇAMENTO!$X$15,ROW(AP706)-ROW(AP$15),0),0)</f>
        <v>0</v>
      </c>
      <c r="AQ706" s="632">
        <f ca="1">IF(AND($D706="Serviço",AQ$12&lt;&gt;0,$H706&gt;0,OR(AUTOEVENTO&lt;&gt;"manual",$M706&lt;&gt;1)),ROUND(OFFSET($P706,0,AQ$13),15-13*ORÇAMENTO!$AF$7)/$H706*OFFSET(ORÇAMENTO!$X$15,ROW(AQ706)-ROW(AQ$15),0),0)</f>
        <v>0</v>
      </c>
      <c r="AR706" s="632">
        <f ca="1">IF(AND($D706="Serviço",AR$12&lt;&gt;0,$H706&gt;0,OR(AUTOEVENTO&lt;&gt;"manual",$M706&lt;&gt;1)),ROUND(OFFSET($P706,0,AR$13),15-13*ORÇAMENTO!$AF$7)/$H706*OFFSET(ORÇAMENTO!$X$15,ROW(AR706)-ROW(AR$15),0),0)</f>
        <v>0</v>
      </c>
      <c r="AS706" s="633">
        <f ca="1">IF(AND($D706="Serviço",AS$12&lt;&gt;0,$H706&gt;0,OR(AUTOEVENTO&lt;&gt;"manual",$M706&lt;&gt;1)),ROUND(OFFSET($P706,0,AS$13),15-13*ORÇAMENTO!$AF$7)/$H706*OFFSET(ORÇAMENTO!$X$15,ROW(AS706)-ROW(AS$15),0),0)</f>
        <v>0</v>
      </c>
      <c r="AT706" s="632">
        <f ca="1">IF(AND($D706="Serviço",AT$12&lt;&gt;0,$H706&gt;0,OR(AUTOEVENTO&lt;&gt;"manual",$M706&lt;&gt;1)),ROUND(OFFSET($P706,0,AT$13),15-13*ORÇAMENTO!$AF$7)/$H706*OFFSET(ORÇAMENTO!$X$15,ROW(AT706)-ROW(AT$15),0),0)</f>
        <v>0</v>
      </c>
      <c r="AU706" s="632">
        <f ca="1">IF(AND($D706="Serviço",AU$12&lt;&gt;0,$H706&gt;0,OR(AUTOEVENTO&lt;&gt;"manual",$M706&lt;&gt;1)),ROUND(OFFSET($P706,0,AU$13),15-13*ORÇAMENTO!$AF$7)/$H706*OFFSET(ORÇAMENTO!$X$15,ROW(AU706)-ROW(AU$15),0),0)</f>
        <v>0</v>
      </c>
      <c r="AV706" s="632">
        <f ca="1">IF(AND($D706="Serviço",AV$12&lt;&gt;0,$H706&gt;0,OR(AUTOEVENTO&lt;&gt;"manual",$M706&lt;&gt;1)),ROUND(OFFSET($P706,0,AV$13),15-13*ORÇAMENTO!$AF$7)/$H706*OFFSET(ORÇAMENTO!$X$15,ROW(AV706)-ROW(AV$15),0),0)</f>
        <v>0</v>
      </c>
      <c r="AW706" s="632">
        <f ca="1">IF(AND($D706="Serviço",AW$12&lt;&gt;0,$H706&gt;0,OR(AUTOEVENTO&lt;&gt;"manual",$M706&lt;&gt;1)),ROUND(OFFSET($P706,0,AW$13),15-13*ORÇAMENTO!$AF$7)/$H706*OFFSET(ORÇAMENTO!$X$15,ROW(AW706)-ROW(AW$15),0),0)</f>
        <v>0</v>
      </c>
      <c r="AX706" s="632">
        <f ca="1">IF(AND($D706="Serviço",AX$12&lt;&gt;0,$H706&gt;0,OR(AUTOEVENTO&lt;&gt;"manual",$M706&lt;&gt;1)),ROUND(OFFSET($P706,0,AX$13),15-13*ORÇAMENTO!$AF$7)/$H706*OFFSET(ORÇAMENTO!$X$15,ROW(AX706)-ROW(AX$15),0),0)</f>
        <v>0</v>
      </c>
      <c r="AY706" s="632">
        <f ca="1">IF(AND($D706="Serviço",AY$12&lt;&gt;0,$H706&gt;0,OR(AUTOEVENTO&lt;&gt;"manual",$M706&lt;&gt;1)),ROUND(OFFSET($P706,0,AY$13),15-13*ORÇAMENTO!$AF$7)/$H706*OFFSET(ORÇAMENTO!$X$15,ROW(AY706)-ROW(AY$15),0),0)</f>
        <v>0</v>
      </c>
      <c r="AZ706" s="632">
        <f ca="1">IF(AND($D706="Serviço",AZ$12&lt;&gt;0,$H706&gt;0,OR(AUTOEVENTO&lt;&gt;"manual",$M706&lt;&gt;1)),ROUND(OFFSET($P706,0,AZ$13),15-13*ORÇAMENTO!$AF$7)/$H706*OFFSET(ORÇAMENTO!$X$15,ROW(AZ706)-ROW(AZ$15),0),0)</f>
        <v>0</v>
      </c>
      <c r="BA706" s="633">
        <f ca="1">IF(AND($D706="Serviço",BA$12&lt;&gt;0,$H706&gt;0,OR(AUTOEVENTO&lt;&gt;"manual",$M706&lt;&gt;1)),ROUND(OFFSET($P706,0,BA$13),15-13*ORÇAMENTO!$AF$7)/$H706*OFFSET(ORÇAMENTO!$X$15,ROW(BA706)-ROW(BA$15),0),0)</f>
        <v>0</v>
      </c>
      <c r="BC706" s="215">
        <f ca="1">IF($D706&lt;&gt;"Serviço",0,IF(AND(AUTOEVENTO="Manual",$M706=1),0,IF(OFFSET(CRONOPLE!$F$14,$M706,BC$13)="",10^12,OFFSET(CRONOPLE!$F$14,$M706,BC$13))))</f>
        <v>1000000000000</v>
      </c>
      <c r="BD706" s="215">
        <f ca="1">IF($D706&lt;&gt;"Serviço",0,IF(AND(AUTOEVENTO="Manual",$M706=1),0,IF(OFFSET(CRONOPLE!$F$14,$M706,BD$13)="",10^12,OFFSET(CRONOPLE!$F$14,$M706,BD$13))))</f>
        <v>1000000000000</v>
      </c>
      <c r="BE706" s="215">
        <f ca="1">IF($D706&lt;&gt;"Serviço",0,IF(AND(AUTOEVENTO="Manual",$M706=1),0,IF(OFFSET(CRONOPLE!$F$14,$M706,BE$13)="",10^12,OFFSET(CRONOPLE!$F$14,$M706,BE$13))))</f>
        <v>1000000000000</v>
      </c>
      <c r="BF706" s="215">
        <f ca="1">IF($D706&lt;&gt;"Serviço",0,IF(AND(AUTOEVENTO="Manual",$M706=1),0,IF(OFFSET(CRONOPLE!$F$14,$M706,BF$13)="",10^12,OFFSET(CRONOPLE!$F$14,$M706,BF$13))))</f>
        <v>1000000000000</v>
      </c>
      <c r="BG706" s="215">
        <f ca="1">IF($D706&lt;&gt;"Serviço",0,IF(AND(AUTOEVENTO="Manual",$M706=1),0,IF(OFFSET(CRONOPLE!$F$14,$M706,BG$13)="",10^12,OFFSET(CRONOPLE!$F$14,$M706,BG$13))))</f>
        <v>1000000000000</v>
      </c>
      <c r="BH706" s="215">
        <f ca="1">IF($D706&lt;&gt;"Serviço",0,IF(AND(AUTOEVENTO="Manual",$M706=1),0,IF(OFFSET(CRONOPLE!$F$14,$M706,BH$13)="",10^12,OFFSET(CRONOPLE!$F$14,$M706,BH$13))))</f>
        <v>1000000000000</v>
      </c>
      <c r="BI706" s="215">
        <f ca="1">IF($D706&lt;&gt;"Serviço",0,IF(AND(AUTOEVENTO="Manual",$M706=1),0,IF(OFFSET(CRONOPLE!$F$14,$M706,BI$13)="",10^12,OFFSET(CRONOPLE!$F$14,$M706,BI$13))))</f>
        <v>1000000000000</v>
      </c>
      <c r="BJ706" s="215">
        <f ca="1">IF($D706&lt;&gt;"Serviço",0,IF(AND(AUTOEVENTO="Manual",$M706=1),0,IF(OFFSET(CRONOPLE!$F$14,$M706,BJ$13)="",10^12,OFFSET(CRONOPLE!$F$14,$M706,BJ$13))))</f>
        <v>1000000000000</v>
      </c>
      <c r="BK706" s="215">
        <f ca="1">IF($D706&lt;&gt;"Serviço",0,IF(AND(AUTOEVENTO="Manual",$M706=1),0,IF(OFFSET(CRONOPLE!$F$14,$M706,BK$13)="",10^12,OFFSET(CRONOPLE!$F$14,$M706,BK$13))))</f>
        <v>1000000000000</v>
      </c>
      <c r="BL706" s="215">
        <f ca="1">IF($D706&lt;&gt;"Serviço",0,IF(AND(AUTOEVENTO="Manual",$M706=1),0,IF(OFFSET(CRONOPLE!$F$14,$M706,BL$13)="",10^12,OFFSET(CRONOPLE!$F$14,$M706,BL$13))))</f>
        <v>1000000000000</v>
      </c>
      <c r="BM706" s="215">
        <f ca="1">IF($D706&lt;&gt;"Serviço",0,IF(AND(AUTOEVENTO="Manual",$M706=1),0,IF(OFFSET(CRONOPLE!$F$14,$M706,BM$13)="",10^12,OFFSET(CRONOPLE!$F$14,$M706,BM$13))))</f>
        <v>1000000000000</v>
      </c>
      <c r="BN706" s="215">
        <f ca="1">IF($D706&lt;&gt;"Serviço",0,IF(AND(AUTOEVENTO="Manual",$M706=1),0,IF(OFFSET(CRONOPLE!$F$14,$M706,BN$13)="",10^12,OFFSET(CRONOPLE!$F$14,$M706,BN$13))))</f>
        <v>1000000000000</v>
      </c>
      <c r="BO706" s="215">
        <f ca="1">IF($D706&lt;&gt;"Serviço",0,IF(AND(AUTOEVENTO="Manual",$M706=1),0,IF(OFFSET(CRONOPLE!$F$14,$M706,BO$13)="",10^12,OFFSET(CRONOPLE!$F$14,$M706,BO$13))))</f>
        <v>1000000000000</v>
      </c>
      <c r="BP706" s="215">
        <f ca="1">IF($D706&lt;&gt;"Serviço",0,IF(AND(AUTOEVENTO="Manual",$M706=1),0,IF(OFFSET(CRONOPLE!$F$14,$M706,BP$13)="",10^12,OFFSET(CRONOPLE!$F$14,$M706,BP$13))))</f>
        <v>1000000000000</v>
      </c>
      <c r="BQ706" s="215">
        <f ca="1">IF($D706&lt;&gt;"Serviço",0,IF(AND(AUTOEVENTO="Manual",$M706=1),0,IF(OFFSET(CRONOPLE!$F$14,$M706,BQ$13)="",10^12,OFFSET(CRONOPLE!$F$14,$M706,BQ$13))))</f>
        <v>1000000000000</v>
      </c>
      <c r="BR706" s="215">
        <f ca="1">IF($D706&lt;&gt;"Serviço",0,IF(AND(AUTOEVENTO="Manual",$M706=1),0,IF(OFFSET(CRONOPLE!$F$14,$M706,BR$13)="",10^12,OFFSET(CRONOPLE!$F$14,$M706,BR$13))))</f>
        <v>1000000000000</v>
      </c>
      <c r="BS706" s="215">
        <f ca="1">IF($D706&lt;&gt;"Serviço",0,IF(AND(AUTOEVENTO="Manual",$M706=1),0,IF(OFFSET(CRONOPLE!$F$14,$M706,BS$13)="",10^12,OFFSET(CRONOPLE!$F$14,$M706,BS$13))))</f>
        <v>1000000000000</v>
      </c>
      <c r="BT706" s="215">
        <f ca="1">IF($D706&lt;&gt;"Serviço",0,IF(AND(AUTOEVENTO="Manual",$M706=1),0,IF(OFFSET(CRONOPLE!$F$14,$M706,BT$13)="",10^12,OFFSET(CRONOPLE!$F$14,$M706,BT$13))))</f>
        <v>1000000000000</v>
      </c>
      <c r="BV706" s="216">
        <f ca="1">IF($D706&lt;&gt;"Serviço",0,IF(OR(AND(AUTOEVENTO="Manual",$M706=1),$M706&gt;(ROW(PLE.lastrow)-ROW(PLE.firstrow))),0,IF(OFFSET(PLE!$G$14,$M706,BV$13)="",10^12,OFFSET(PLE!$G$14,$M706,BV$13))))</f>
        <v>1000000000000</v>
      </c>
      <c r="BW706" s="216">
        <f ca="1">IF($D706&lt;&gt;"Serviço",0,IF(OR(AND(AUTOEVENTO="Manual",$M706=1),$M706&gt;(ROW(PLE.lastrow)-ROW(PLE.firstrow))),0,IF(OFFSET(PLE!$G$14,$M706,BW$13)="",10^12,OFFSET(PLE!$G$14,$M706,BW$13))))</f>
        <v>1000000000000</v>
      </c>
      <c r="BX706" s="216">
        <f ca="1">IF($D706&lt;&gt;"Serviço",0,IF(OR(AND(AUTOEVENTO="Manual",$M706=1),$M706&gt;(ROW(PLE.lastrow)-ROW(PLE.firstrow))),0,IF(OFFSET(PLE!$G$14,$M706,BX$13)="",10^12,OFFSET(PLE!$G$14,$M706,BX$13))))</f>
        <v>1000000000000</v>
      </c>
      <c r="BY706" s="216">
        <f ca="1">IF($D706&lt;&gt;"Serviço",0,IF(OR(AND(AUTOEVENTO="Manual",$M706=1),$M706&gt;(ROW(PLE.lastrow)-ROW(PLE.firstrow))),0,IF(OFFSET(PLE!$G$14,$M706,BY$13)="",10^12,OFFSET(PLE!$G$14,$M706,BY$13))))</f>
        <v>1000000000000</v>
      </c>
      <c r="BZ706" s="216">
        <f ca="1">IF($D706&lt;&gt;"Serviço",0,IF(OR(AND(AUTOEVENTO="Manual",$M706=1),$M706&gt;(ROW(PLE.lastrow)-ROW(PLE.firstrow))),0,IF(OFFSET(PLE!$G$14,$M706,BZ$13)="",10^12,OFFSET(PLE!$G$14,$M706,BZ$13))))</f>
        <v>1000000000000</v>
      </c>
      <c r="CA706" s="216">
        <f ca="1">IF($D706&lt;&gt;"Serviço",0,IF(OR(AND(AUTOEVENTO="Manual",$M706=1),$M706&gt;(ROW(PLE.lastrow)-ROW(PLE.firstrow))),0,IF(OFFSET(PLE!$G$14,$M706,CA$13)="",10^12,OFFSET(PLE!$G$14,$M706,CA$13))))</f>
        <v>1000000000000</v>
      </c>
      <c r="CB706" s="216">
        <f ca="1">IF($D706&lt;&gt;"Serviço",0,IF(OR(AND(AUTOEVENTO="Manual",$M706=1),$M706&gt;(ROW(PLE.lastrow)-ROW(PLE.firstrow))),0,IF(OFFSET(PLE!$G$14,$M706,CB$13)="",10^12,OFFSET(PLE!$G$14,$M706,CB$13))))</f>
        <v>1000000000000</v>
      </c>
      <c r="CC706" s="216">
        <f ca="1">IF($D706&lt;&gt;"Serviço",0,IF(OR(AND(AUTOEVENTO="Manual",$M706=1),$M706&gt;(ROW(PLE.lastrow)-ROW(PLE.firstrow))),0,IF(OFFSET(PLE!$G$14,$M706,CC$13)="",10^12,OFFSET(PLE!$G$14,$M706,CC$13))))</f>
        <v>1000000000000</v>
      </c>
      <c r="CD706" s="216">
        <f ca="1">IF($D706&lt;&gt;"Serviço",0,IF(OR(AND(AUTOEVENTO="Manual",$M706=1),$M706&gt;(ROW(PLE.lastrow)-ROW(PLE.firstrow))),0,IF(OFFSET(PLE!$G$14,$M706,CD$13)="",10^12,OFFSET(PLE!$G$14,$M706,CD$13))))</f>
        <v>1000000000000</v>
      </c>
      <c r="CE706" s="216">
        <f ca="1">IF($D706&lt;&gt;"Serviço",0,IF(OR(AND(AUTOEVENTO="Manual",$M706=1),$M706&gt;(ROW(PLE.lastrow)-ROW(PLE.firstrow))),0,IF(OFFSET(PLE!$G$14,$M706,CE$13)="",10^12,OFFSET(PLE!$G$14,$M706,CE$13))))</f>
        <v>1000000000000</v>
      </c>
      <c r="CF706" s="216">
        <f ca="1">IF($D706&lt;&gt;"Serviço",0,IF(OR(AND(AUTOEVENTO="Manual",$M706=1),$M706&gt;(ROW(PLE.lastrow)-ROW(PLE.firstrow))),0,IF(OFFSET(PLE!$G$14,$M706,CF$13)="",10^12,OFFSET(PLE!$G$14,$M706,CF$13))))</f>
        <v>1000000000000</v>
      </c>
      <c r="CG706" s="216">
        <f ca="1">IF($D706&lt;&gt;"Serviço",0,IF(OR(AND(AUTOEVENTO="Manual",$M706=1),$M706&gt;(ROW(PLE.lastrow)-ROW(PLE.firstrow))),0,IF(OFFSET(PLE!$G$14,$M706,CG$13)="",10^12,OFFSET(PLE!$G$14,$M706,CG$13))))</f>
        <v>1000000000000</v>
      </c>
      <c r="CH706" s="216">
        <f ca="1">IF($D706&lt;&gt;"Serviço",0,IF(OR(AND(AUTOEVENTO="Manual",$M706=1),$M706&gt;(ROW(PLE.lastrow)-ROW(PLE.firstrow))),0,IF(OFFSET(PLE!$G$14,$M706,CH$13)="",10^12,OFFSET(PLE!$G$14,$M706,CH$13))))</f>
        <v>1000000000000</v>
      </c>
      <c r="CI706" s="216">
        <f ca="1">IF($D706&lt;&gt;"Serviço",0,IF(OR(AND(AUTOEVENTO="Manual",$M706=1),$M706&gt;(ROW(PLE.lastrow)-ROW(PLE.firstrow))),0,IF(OFFSET(PLE!$G$14,$M706,CI$13)="",10^12,OFFSET(PLE!$G$14,$M706,CI$13))))</f>
        <v>1000000000000</v>
      </c>
      <c r="CJ706" s="216">
        <f ca="1">IF($D706&lt;&gt;"Serviço",0,IF(OR(AND(AUTOEVENTO="Manual",$M706=1),$M706&gt;(ROW(PLE.lastrow)-ROW(PLE.firstrow))),0,IF(OFFSET(PLE!$G$14,$M706,CJ$13)="",10^12,OFFSET(PLE!$G$14,$M706,CJ$13))))</f>
        <v>1000000000000</v>
      </c>
      <c r="CK706" s="216">
        <f ca="1">IF($D706&lt;&gt;"Serviço",0,IF(OR(AND(AUTOEVENTO="Manual",$M706=1),$M706&gt;(ROW(PLE.lastrow)-ROW(PLE.firstrow))),0,IF(OFFSET(PLE!$G$14,$M706,CK$13)="",10^12,OFFSET(PLE!$G$14,$M706,CK$13))))</f>
        <v>1000000000000</v>
      </c>
      <c r="CL706" s="216">
        <f ca="1">IF($D706&lt;&gt;"Serviço",0,IF(OR(AND(AUTOEVENTO="Manual",$M706=1),$M706&gt;(ROW(PLE.lastrow)-ROW(PLE.firstrow))),0,IF(OFFSET(PLE!$G$14,$M706,CL$13)="",10^12,OFFSET(PLE!$G$14,$M706,CL$13))))</f>
        <v>1000000000000</v>
      </c>
      <c r="CM706" s="216">
        <f ca="1">IF($D706&lt;&gt;"Serviço",0,IF(OR(AND(AUTOEVENTO="Manual",$M706=1),$M706&gt;(ROW(PLE.lastrow)-ROW(PLE.firstrow))),0,IF(OFFSET(PLE!$G$14,$M706,CM$13)="",10^12,OFFSET(PLE!$G$14,$M706,CM$13))))</f>
        <v>1000000000000</v>
      </c>
    </row>
    <row r="707" spans="1:91" ht="13.2" x14ac:dyDescent="0.25">
      <c r="A707" s="9">
        <f t="shared" ca="1" si="20"/>
        <v>0</v>
      </c>
      <c r="B707" s="9">
        <f ca="1">OFFSET(ORÇAMENTO!C$15,ROW(B707)-ROW(B$15),0)</f>
        <v>2</v>
      </c>
      <c r="C707" s="9" t="str">
        <f ca="1">OFFSET(ORÇAMENTO!L$15,ROW(C707)-ROW(C$15),0)</f>
        <v>F</v>
      </c>
      <c r="D707" s="145" t="str">
        <f ca="1">OFFSET(ORÇAMENTO!N$15,ROW(D707)-ROW(D$15),0)</f>
        <v>Nível 2</v>
      </c>
      <c r="E707" s="205" t="str">
        <f ca="1">OFFSET(ORÇAMENTO!O$15,ROW(E707)-ROW(E$15),0)</f>
        <v>2.2.</v>
      </c>
      <c r="F707" s="206" t="str">
        <f ca="1">OFFSET(ORÇAMENTO!R$15,ROW(F707)-ROW(F$15),0)</f>
        <v>PADRÃO DE ENTRADA DE ENERGIA</v>
      </c>
      <c r="G707" s="207" t="str">
        <f ca="1">IF($D707&lt;&gt;"Serviço","",OFFSET(ORÇAMENTO!S$15,ROW(G707)-ROW(G$15),0))</f>
        <v/>
      </c>
      <c r="H707" s="151">
        <f ca="1">IF($D707&lt;&gt;"Serviço",0,IF(ACOMPANHAMENTO="BM",ROUND(OFFSET(ORÇAMENTO!AJ$15,ROW(H707)-ROW(H$15),0),15-13*ORÇAMENTO!$AF$7),SUMPRODUCT(($Q$12:$AI$12&lt;&gt;"")*ROUND($Q707:$AI707,15-13*ORÇAMENTO!$AF$7))))</f>
        <v>0</v>
      </c>
      <c r="I707" s="650"/>
      <c r="K707" s="208"/>
      <c r="L707" s="209" t="s">
        <v>257</v>
      </c>
      <c r="M707" s="210" t="str">
        <f ca="1">IF($D707&lt;&gt;"Serviço","",IF(AUTOEVENTO="manual",$A707,IF(ISERROR(MATCH($A707,$A$15:OFFSET($A707,-1,0),0)),MAX($M$15:OFFSET(M707,-1,0))+1,INDEX($M$15:OFFSET(M707,-1,0),MATCH($A707,$A$15:OFFSET($A707,-1,0),0)))))</f>
        <v/>
      </c>
      <c r="N707" s="211" t="str">
        <f ca="1">IF($D707&lt;&gt;"Serviço","",IF(AUTOEVENTO="Manual",IF($A707=0,"&lt;-- defina o número do agrupador",OFFSET(EVENTOS!$D$14,$A707,0)),OFFSET($F$15,$A707,0)))</f>
        <v/>
      </c>
      <c r="O707" s="212"/>
      <c r="Q707" s="212"/>
      <c r="R707" s="213"/>
      <c r="S707" s="213"/>
      <c r="T707" s="213"/>
      <c r="U707" s="213"/>
      <c r="V707" s="213"/>
      <c r="W707" s="213"/>
      <c r="X707" s="213"/>
      <c r="Y707" s="213"/>
      <c r="Z707" s="214"/>
      <c r="AA707" s="213"/>
      <c r="AB707" s="213"/>
      <c r="AC707" s="213"/>
      <c r="AD707" s="213"/>
      <c r="AE707" s="213"/>
      <c r="AF707" s="213"/>
      <c r="AG707" s="213"/>
      <c r="AH707" s="214"/>
      <c r="AJ707" s="631">
        <f ca="1">IF(AND($D707="Serviço",AJ$12&lt;&gt;0,$H707&gt;0,OR(AUTOEVENTO&lt;&gt;"manual",$M707&lt;&gt;1)),ROUND(OFFSET($P707,0,AJ$13),15-13*ORÇAMENTO!$AF$7)/$H707*OFFSET(ORÇAMENTO!$X$15,ROW(AJ707)-ROW(AJ$15),0),0)</f>
        <v>0</v>
      </c>
      <c r="AK707" s="632">
        <f ca="1">IF(AND($D707="Serviço",AK$12&lt;&gt;0,$H707&gt;0,OR(AUTOEVENTO&lt;&gt;"manual",$M707&lt;&gt;1)),ROUND(OFFSET($P707,0,AK$13),15-13*ORÇAMENTO!$AF$7)/$H707*OFFSET(ORÇAMENTO!$X$15,ROW(AK707)-ROW(AK$15),0),0)</f>
        <v>0</v>
      </c>
      <c r="AL707" s="632">
        <f ca="1">IF(AND($D707="Serviço",AL$12&lt;&gt;0,$H707&gt;0,OR(AUTOEVENTO&lt;&gt;"manual",$M707&lt;&gt;1)),ROUND(OFFSET($P707,0,AL$13),15-13*ORÇAMENTO!$AF$7)/$H707*OFFSET(ORÇAMENTO!$X$15,ROW(AL707)-ROW(AL$15),0),0)</f>
        <v>0</v>
      </c>
      <c r="AM707" s="632">
        <f ca="1">IF(AND($D707="Serviço",AM$12&lt;&gt;0,$H707&gt;0,OR(AUTOEVENTO&lt;&gt;"manual",$M707&lt;&gt;1)),ROUND(OFFSET($P707,0,AM$13),15-13*ORÇAMENTO!$AF$7)/$H707*OFFSET(ORÇAMENTO!$X$15,ROW(AM707)-ROW(AM$15),0),0)</f>
        <v>0</v>
      </c>
      <c r="AN707" s="632">
        <f ca="1">IF(AND($D707="Serviço",AN$12&lt;&gt;0,$H707&gt;0,OR(AUTOEVENTO&lt;&gt;"manual",$M707&lt;&gt;1)),ROUND(OFFSET($P707,0,AN$13),15-13*ORÇAMENTO!$AF$7)/$H707*OFFSET(ORÇAMENTO!$X$15,ROW(AN707)-ROW(AN$15),0),0)</f>
        <v>0</v>
      </c>
      <c r="AO707" s="632">
        <f ca="1">IF(AND($D707="Serviço",AO$12&lt;&gt;0,$H707&gt;0,OR(AUTOEVENTO&lt;&gt;"manual",$M707&lt;&gt;1)),ROUND(OFFSET($P707,0,AO$13),15-13*ORÇAMENTO!$AF$7)/$H707*OFFSET(ORÇAMENTO!$X$15,ROW(AO707)-ROW(AO$15),0),0)</f>
        <v>0</v>
      </c>
      <c r="AP707" s="632">
        <f ca="1">IF(AND($D707="Serviço",AP$12&lt;&gt;0,$H707&gt;0,OR(AUTOEVENTO&lt;&gt;"manual",$M707&lt;&gt;1)),ROUND(OFFSET($P707,0,AP$13),15-13*ORÇAMENTO!$AF$7)/$H707*OFFSET(ORÇAMENTO!$X$15,ROW(AP707)-ROW(AP$15),0),0)</f>
        <v>0</v>
      </c>
      <c r="AQ707" s="632">
        <f ca="1">IF(AND($D707="Serviço",AQ$12&lt;&gt;0,$H707&gt;0,OR(AUTOEVENTO&lt;&gt;"manual",$M707&lt;&gt;1)),ROUND(OFFSET($P707,0,AQ$13),15-13*ORÇAMENTO!$AF$7)/$H707*OFFSET(ORÇAMENTO!$X$15,ROW(AQ707)-ROW(AQ$15),0),0)</f>
        <v>0</v>
      </c>
      <c r="AR707" s="632">
        <f ca="1">IF(AND($D707="Serviço",AR$12&lt;&gt;0,$H707&gt;0,OR(AUTOEVENTO&lt;&gt;"manual",$M707&lt;&gt;1)),ROUND(OFFSET($P707,0,AR$13),15-13*ORÇAMENTO!$AF$7)/$H707*OFFSET(ORÇAMENTO!$X$15,ROW(AR707)-ROW(AR$15),0),0)</f>
        <v>0</v>
      </c>
      <c r="AS707" s="633">
        <f ca="1">IF(AND($D707="Serviço",AS$12&lt;&gt;0,$H707&gt;0,OR(AUTOEVENTO&lt;&gt;"manual",$M707&lt;&gt;1)),ROUND(OFFSET($P707,0,AS$13),15-13*ORÇAMENTO!$AF$7)/$H707*OFFSET(ORÇAMENTO!$X$15,ROW(AS707)-ROW(AS$15),0),0)</f>
        <v>0</v>
      </c>
      <c r="AT707" s="632">
        <f ca="1">IF(AND($D707="Serviço",AT$12&lt;&gt;0,$H707&gt;0,OR(AUTOEVENTO&lt;&gt;"manual",$M707&lt;&gt;1)),ROUND(OFFSET($P707,0,AT$13),15-13*ORÇAMENTO!$AF$7)/$H707*OFFSET(ORÇAMENTO!$X$15,ROW(AT707)-ROW(AT$15),0),0)</f>
        <v>0</v>
      </c>
      <c r="AU707" s="632">
        <f ca="1">IF(AND($D707="Serviço",AU$12&lt;&gt;0,$H707&gt;0,OR(AUTOEVENTO&lt;&gt;"manual",$M707&lt;&gt;1)),ROUND(OFFSET($P707,0,AU$13),15-13*ORÇAMENTO!$AF$7)/$H707*OFFSET(ORÇAMENTO!$X$15,ROW(AU707)-ROW(AU$15),0),0)</f>
        <v>0</v>
      </c>
      <c r="AV707" s="632">
        <f ca="1">IF(AND($D707="Serviço",AV$12&lt;&gt;0,$H707&gt;0,OR(AUTOEVENTO&lt;&gt;"manual",$M707&lt;&gt;1)),ROUND(OFFSET($P707,0,AV$13),15-13*ORÇAMENTO!$AF$7)/$H707*OFFSET(ORÇAMENTO!$X$15,ROW(AV707)-ROW(AV$15),0),0)</f>
        <v>0</v>
      </c>
      <c r="AW707" s="632">
        <f ca="1">IF(AND($D707="Serviço",AW$12&lt;&gt;0,$H707&gt;0,OR(AUTOEVENTO&lt;&gt;"manual",$M707&lt;&gt;1)),ROUND(OFFSET($P707,0,AW$13),15-13*ORÇAMENTO!$AF$7)/$H707*OFFSET(ORÇAMENTO!$X$15,ROW(AW707)-ROW(AW$15),0),0)</f>
        <v>0</v>
      </c>
      <c r="AX707" s="632">
        <f ca="1">IF(AND($D707="Serviço",AX$12&lt;&gt;0,$H707&gt;0,OR(AUTOEVENTO&lt;&gt;"manual",$M707&lt;&gt;1)),ROUND(OFFSET($P707,0,AX$13),15-13*ORÇAMENTO!$AF$7)/$H707*OFFSET(ORÇAMENTO!$X$15,ROW(AX707)-ROW(AX$15),0),0)</f>
        <v>0</v>
      </c>
      <c r="AY707" s="632">
        <f ca="1">IF(AND($D707="Serviço",AY$12&lt;&gt;0,$H707&gt;0,OR(AUTOEVENTO&lt;&gt;"manual",$M707&lt;&gt;1)),ROUND(OFFSET($P707,0,AY$13),15-13*ORÇAMENTO!$AF$7)/$H707*OFFSET(ORÇAMENTO!$X$15,ROW(AY707)-ROW(AY$15),0),0)</f>
        <v>0</v>
      </c>
      <c r="AZ707" s="632">
        <f ca="1">IF(AND($D707="Serviço",AZ$12&lt;&gt;0,$H707&gt;0,OR(AUTOEVENTO&lt;&gt;"manual",$M707&lt;&gt;1)),ROUND(OFFSET($P707,0,AZ$13),15-13*ORÇAMENTO!$AF$7)/$H707*OFFSET(ORÇAMENTO!$X$15,ROW(AZ707)-ROW(AZ$15),0),0)</f>
        <v>0</v>
      </c>
      <c r="BA707" s="633">
        <f ca="1">IF(AND($D707="Serviço",BA$12&lt;&gt;0,$H707&gt;0,OR(AUTOEVENTO&lt;&gt;"manual",$M707&lt;&gt;1)),ROUND(OFFSET($P707,0,BA$13),15-13*ORÇAMENTO!$AF$7)/$H707*OFFSET(ORÇAMENTO!$X$15,ROW(BA707)-ROW(BA$15),0),0)</f>
        <v>0</v>
      </c>
      <c r="BC707" s="215">
        <f ca="1">IF($D707&lt;&gt;"Serviço",0,IF(AND(AUTOEVENTO="Manual",$M707=1),0,IF(OFFSET(CRONOPLE!$F$14,$M707,BC$13)="",10^12,OFFSET(CRONOPLE!$F$14,$M707,BC$13))))</f>
        <v>0</v>
      </c>
      <c r="BD707" s="215">
        <f ca="1">IF($D707&lt;&gt;"Serviço",0,IF(AND(AUTOEVENTO="Manual",$M707=1),0,IF(OFFSET(CRONOPLE!$F$14,$M707,BD$13)="",10^12,OFFSET(CRONOPLE!$F$14,$M707,BD$13))))</f>
        <v>0</v>
      </c>
      <c r="BE707" s="215">
        <f ca="1">IF($D707&lt;&gt;"Serviço",0,IF(AND(AUTOEVENTO="Manual",$M707=1),0,IF(OFFSET(CRONOPLE!$F$14,$M707,BE$13)="",10^12,OFFSET(CRONOPLE!$F$14,$M707,BE$13))))</f>
        <v>0</v>
      </c>
      <c r="BF707" s="215">
        <f ca="1">IF($D707&lt;&gt;"Serviço",0,IF(AND(AUTOEVENTO="Manual",$M707=1),0,IF(OFFSET(CRONOPLE!$F$14,$M707,BF$13)="",10^12,OFFSET(CRONOPLE!$F$14,$M707,BF$13))))</f>
        <v>0</v>
      </c>
      <c r="BG707" s="215">
        <f ca="1">IF($D707&lt;&gt;"Serviço",0,IF(AND(AUTOEVENTO="Manual",$M707=1),0,IF(OFFSET(CRONOPLE!$F$14,$M707,BG$13)="",10^12,OFFSET(CRONOPLE!$F$14,$M707,BG$13))))</f>
        <v>0</v>
      </c>
      <c r="BH707" s="215">
        <f ca="1">IF($D707&lt;&gt;"Serviço",0,IF(AND(AUTOEVENTO="Manual",$M707=1),0,IF(OFFSET(CRONOPLE!$F$14,$M707,BH$13)="",10^12,OFFSET(CRONOPLE!$F$14,$M707,BH$13))))</f>
        <v>0</v>
      </c>
      <c r="BI707" s="215">
        <f ca="1">IF($D707&lt;&gt;"Serviço",0,IF(AND(AUTOEVENTO="Manual",$M707=1),0,IF(OFFSET(CRONOPLE!$F$14,$M707,BI$13)="",10^12,OFFSET(CRONOPLE!$F$14,$M707,BI$13))))</f>
        <v>0</v>
      </c>
      <c r="BJ707" s="215">
        <f ca="1">IF($D707&lt;&gt;"Serviço",0,IF(AND(AUTOEVENTO="Manual",$M707=1),0,IF(OFFSET(CRONOPLE!$F$14,$M707,BJ$13)="",10^12,OFFSET(CRONOPLE!$F$14,$M707,BJ$13))))</f>
        <v>0</v>
      </c>
      <c r="BK707" s="215">
        <f ca="1">IF($D707&lt;&gt;"Serviço",0,IF(AND(AUTOEVENTO="Manual",$M707=1),0,IF(OFFSET(CRONOPLE!$F$14,$M707,BK$13)="",10^12,OFFSET(CRONOPLE!$F$14,$M707,BK$13))))</f>
        <v>0</v>
      </c>
      <c r="BL707" s="215">
        <f ca="1">IF($D707&lt;&gt;"Serviço",0,IF(AND(AUTOEVENTO="Manual",$M707=1),0,IF(OFFSET(CRONOPLE!$F$14,$M707,BL$13)="",10^12,OFFSET(CRONOPLE!$F$14,$M707,BL$13))))</f>
        <v>0</v>
      </c>
      <c r="BM707" s="215">
        <f ca="1">IF($D707&lt;&gt;"Serviço",0,IF(AND(AUTOEVENTO="Manual",$M707=1),0,IF(OFFSET(CRONOPLE!$F$14,$M707,BM$13)="",10^12,OFFSET(CRONOPLE!$F$14,$M707,BM$13))))</f>
        <v>0</v>
      </c>
      <c r="BN707" s="215">
        <f ca="1">IF($D707&lt;&gt;"Serviço",0,IF(AND(AUTOEVENTO="Manual",$M707=1),0,IF(OFFSET(CRONOPLE!$F$14,$M707,BN$13)="",10^12,OFFSET(CRONOPLE!$F$14,$M707,BN$13))))</f>
        <v>0</v>
      </c>
      <c r="BO707" s="215">
        <f ca="1">IF($D707&lt;&gt;"Serviço",0,IF(AND(AUTOEVENTO="Manual",$M707=1),0,IF(OFFSET(CRONOPLE!$F$14,$M707,BO$13)="",10^12,OFFSET(CRONOPLE!$F$14,$M707,BO$13))))</f>
        <v>0</v>
      </c>
      <c r="BP707" s="215">
        <f ca="1">IF($D707&lt;&gt;"Serviço",0,IF(AND(AUTOEVENTO="Manual",$M707=1),0,IF(OFFSET(CRONOPLE!$F$14,$M707,BP$13)="",10^12,OFFSET(CRONOPLE!$F$14,$M707,BP$13))))</f>
        <v>0</v>
      </c>
      <c r="BQ707" s="215">
        <f ca="1">IF($D707&lt;&gt;"Serviço",0,IF(AND(AUTOEVENTO="Manual",$M707=1),0,IF(OFFSET(CRONOPLE!$F$14,$M707,BQ$13)="",10^12,OFFSET(CRONOPLE!$F$14,$M707,BQ$13))))</f>
        <v>0</v>
      </c>
      <c r="BR707" s="215">
        <f ca="1">IF($D707&lt;&gt;"Serviço",0,IF(AND(AUTOEVENTO="Manual",$M707=1),0,IF(OFFSET(CRONOPLE!$F$14,$M707,BR$13)="",10^12,OFFSET(CRONOPLE!$F$14,$M707,BR$13))))</f>
        <v>0</v>
      </c>
      <c r="BS707" s="215">
        <f ca="1">IF($D707&lt;&gt;"Serviço",0,IF(AND(AUTOEVENTO="Manual",$M707=1),0,IF(OFFSET(CRONOPLE!$F$14,$M707,BS$13)="",10^12,OFFSET(CRONOPLE!$F$14,$M707,BS$13))))</f>
        <v>0</v>
      </c>
      <c r="BT707" s="215">
        <f ca="1">IF($D707&lt;&gt;"Serviço",0,IF(AND(AUTOEVENTO="Manual",$M707=1),0,IF(OFFSET(CRONOPLE!$F$14,$M707,BT$13)="",10^12,OFFSET(CRONOPLE!$F$14,$M707,BT$13))))</f>
        <v>0</v>
      </c>
      <c r="BV707" s="216">
        <f ca="1">IF($D707&lt;&gt;"Serviço",0,IF(OR(AND(AUTOEVENTO="Manual",$M707=1),$M707&gt;(ROW(PLE.lastrow)-ROW(PLE.firstrow))),0,IF(OFFSET(PLE!$G$14,$M707,BV$13)="",10^12,OFFSET(PLE!$G$14,$M707,BV$13))))</f>
        <v>0</v>
      </c>
      <c r="BW707" s="216">
        <f ca="1">IF($D707&lt;&gt;"Serviço",0,IF(OR(AND(AUTOEVENTO="Manual",$M707=1),$M707&gt;(ROW(PLE.lastrow)-ROW(PLE.firstrow))),0,IF(OFFSET(PLE!$G$14,$M707,BW$13)="",10^12,OFFSET(PLE!$G$14,$M707,BW$13))))</f>
        <v>0</v>
      </c>
      <c r="BX707" s="216">
        <f ca="1">IF($D707&lt;&gt;"Serviço",0,IF(OR(AND(AUTOEVENTO="Manual",$M707=1),$M707&gt;(ROW(PLE.lastrow)-ROW(PLE.firstrow))),0,IF(OFFSET(PLE!$G$14,$M707,BX$13)="",10^12,OFFSET(PLE!$G$14,$M707,BX$13))))</f>
        <v>0</v>
      </c>
      <c r="BY707" s="216">
        <f ca="1">IF($D707&lt;&gt;"Serviço",0,IF(OR(AND(AUTOEVENTO="Manual",$M707=1),$M707&gt;(ROW(PLE.lastrow)-ROW(PLE.firstrow))),0,IF(OFFSET(PLE!$G$14,$M707,BY$13)="",10^12,OFFSET(PLE!$G$14,$M707,BY$13))))</f>
        <v>0</v>
      </c>
      <c r="BZ707" s="216">
        <f ca="1">IF($D707&lt;&gt;"Serviço",0,IF(OR(AND(AUTOEVENTO="Manual",$M707=1),$M707&gt;(ROW(PLE.lastrow)-ROW(PLE.firstrow))),0,IF(OFFSET(PLE!$G$14,$M707,BZ$13)="",10^12,OFFSET(PLE!$G$14,$M707,BZ$13))))</f>
        <v>0</v>
      </c>
      <c r="CA707" s="216">
        <f ca="1">IF($D707&lt;&gt;"Serviço",0,IF(OR(AND(AUTOEVENTO="Manual",$M707=1),$M707&gt;(ROW(PLE.lastrow)-ROW(PLE.firstrow))),0,IF(OFFSET(PLE!$G$14,$M707,CA$13)="",10^12,OFFSET(PLE!$G$14,$M707,CA$13))))</f>
        <v>0</v>
      </c>
      <c r="CB707" s="216">
        <f ca="1">IF($D707&lt;&gt;"Serviço",0,IF(OR(AND(AUTOEVENTO="Manual",$M707=1),$M707&gt;(ROW(PLE.lastrow)-ROW(PLE.firstrow))),0,IF(OFFSET(PLE!$G$14,$M707,CB$13)="",10^12,OFFSET(PLE!$G$14,$M707,CB$13))))</f>
        <v>0</v>
      </c>
      <c r="CC707" s="216">
        <f ca="1">IF($D707&lt;&gt;"Serviço",0,IF(OR(AND(AUTOEVENTO="Manual",$M707=1),$M707&gt;(ROW(PLE.lastrow)-ROW(PLE.firstrow))),0,IF(OFFSET(PLE!$G$14,$M707,CC$13)="",10^12,OFFSET(PLE!$G$14,$M707,CC$13))))</f>
        <v>0</v>
      </c>
      <c r="CD707" s="216">
        <f ca="1">IF($D707&lt;&gt;"Serviço",0,IF(OR(AND(AUTOEVENTO="Manual",$M707=1),$M707&gt;(ROW(PLE.lastrow)-ROW(PLE.firstrow))),0,IF(OFFSET(PLE!$G$14,$M707,CD$13)="",10^12,OFFSET(PLE!$G$14,$M707,CD$13))))</f>
        <v>0</v>
      </c>
      <c r="CE707" s="216">
        <f ca="1">IF($D707&lt;&gt;"Serviço",0,IF(OR(AND(AUTOEVENTO="Manual",$M707=1),$M707&gt;(ROW(PLE.lastrow)-ROW(PLE.firstrow))),0,IF(OFFSET(PLE!$G$14,$M707,CE$13)="",10^12,OFFSET(PLE!$G$14,$M707,CE$13))))</f>
        <v>0</v>
      </c>
      <c r="CF707" s="216">
        <f ca="1">IF($D707&lt;&gt;"Serviço",0,IF(OR(AND(AUTOEVENTO="Manual",$M707=1),$M707&gt;(ROW(PLE.lastrow)-ROW(PLE.firstrow))),0,IF(OFFSET(PLE!$G$14,$M707,CF$13)="",10^12,OFFSET(PLE!$G$14,$M707,CF$13))))</f>
        <v>0</v>
      </c>
      <c r="CG707" s="216">
        <f ca="1">IF($D707&lt;&gt;"Serviço",0,IF(OR(AND(AUTOEVENTO="Manual",$M707=1),$M707&gt;(ROW(PLE.lastrow)-ROW(PLE.firstrow))),0,IF(OFFSET(PLE!$G$14,$M707,CG$13)="",10^12,OFFSET(PLE!$G$14,$M707,CG$13))))</f>
        <v>0</v>
      </c>
      <c r="CH707" s="216">
        <f ca="1">IF($D707&lt;&gt;"Serviço",0,IF(OR(AND(AUTOEVENTO="Manual",$M707=1),$M707&gt;(ROW(PLE.lastrow)-ROW(PLE.firstrow))),0,IF(OFFSET(PLE!$G$14,$M707,CH$13)="",10^12,OFFSET(PLE!$G$14,$M707,CH$13))))</f>
        <v>0</v>
      </c>
      <c r="CI707" s="216">
        <f ca="1">IF($D707&lt;&gt;"Serviço",0,IF(OR(AND(AUTOEVENTO="Manual",$M707=1),$M707&gt;(ROW(PLE.lastrow)-ROW(PLE.firstrow))),0,IF(OFFSET(PLE!$G$14,$M707,CI$13)="",10^12,OFFSET(PLE!$G$14,$M707,CI$13))))</f>
        <v>0</v>
      </c>
      <c r="CJ707" s="216">
        <f ca="1">IF($D707&lt;&gt;"Serviço",0,IF(OR(AND(AUTOEVENTO="Manual",$M707=1),$M707&gt;(ROW(PLE.lastrow)-ROW(PLE.firstrow))),0,IF(OFFSET(PLE!$G$14,$M707,CJ$13)="",10^12,OFFSET(PLE!$G$14,$M707,CJ$13))))</f>
        <v>0</v>
      </c>
      <c r="CK707" s="216">
        <f ca="1">IF($D707&lt;&gt;"Serviço",0,IF(OR(AND(AUTOEVENTO="Manual",$M707=1),$M707&gt;(ROW(PLE.lastrow)-ROW(PLE.firstrow))),0,IF(OFFSET(PLE!$G$14,$M707,CK$13)="",10^12,OFFSET(PLE!$G$14,$M707,CK$13))))</f>
        <v>0</v>
      </c>
      <c r="CL707" s="216">
        <f ca="1">IF($D707&lt;&gt;"Serviço",0,IF(OR(AND(AUTOEVENTO="Manual",$M707=1),$M707&gt;(ROW(PLE.lastrow)-ROW(PLE.firstrow))),0,IF(OFFSET(PLE!$G$14,$M707,CL$13)="",10^12,OFFSET(PLE!$G$14,$M707,CL$13))))</f>
        <v>0</v>
      </c>
      <c r="CM707" s="216">
        <f ca="1">IF($D707&lt;&gt;"Serviço",0,IF(OR(AND(AUTOEVENTO="Manual",$M707=1),$M707&gt;(ROW(PLE.lastrow)-ROW(PLE.firstrow))),0,IF(OFFSET(PLE!$G$14,$M707,CM$13)="",10^12,OFFSET(PLE!$G$14,$M707,CM$13))))</f>
        <v>0</v>
      </c>
    </row>
    <row r="708" spans="1:91" ht="13.2" x14ac:dyDescent="0.25">
      <c r="A708" s="9">
        <f ca="1">IF(AUTOEVENTO="Manual",IF(K708&lt;&gt;"",MIN(VALUE(LEFT(K708,FIND(".",K708)-1)),COUNTA(EVENTOS.Lista)),0),IF(OR($B708&gt;AUTOEVENTO,$B708="S",$B708=0),SUBSTITUTE(OFFSET($A708,-1,0),IF($D708="Serviço",".",""),""),ROW(A708)-ROW($A$15)&amp;"."))</f>
        <v>0</v>
      </c>
      <c r="B708" s="9" t="str">
        <f ca="1">OFFSET(ORÇAMENTO!C$15,ROW(B708)-ROW(B$15),0)</f>
        <v>S</v>
      </c>
      <c r="C708" s="9" t="str">
        <f ca="1">OFFSET(ORÇAMENTO!L$15,ROW(C708)-ROW(C$15),0)</f>
        <v/>
      </c>
      <c r="D708" s="145" t="str">
        <f ca="1">OFFSET(ORÇAMENTO!N$15,ROW(D708)-ROW(D$15),0)</f>
        <v>Serviço</v>
      </c>
      <c r="E708" s="205" t="str">
        <f ca="1">OFFSET(ORÇAMENTO!O$15,ROW(E708)-ROW(E$15),0)</f>
        <v>-</v>
      </c>
      <c r="F708" s="206" t="str">
        <f ca="1">OFFSET(ORÇAMENTO!R$15,ROW(F708)-ROW(F$15),0)</f>
        <v>(abra o arquivo 'Referência 05-2024.xls)</v>
      </c>
      <c r="G708" s="207" t="str">
        <f ca="1">IF($D708&lt;&gt;"Serviço","",OFFSET(ORÇAMENTO!S$15,ROW(G708)-ROW(G$15),0))</f>
        <v>-</v>
      </c>
      <c r="H708" s="151">
        <f ca="1">IF($D708&lt;&gt;"Serviço",0,IF(ACOMPANHAMENTO="BM",ROUND(OFFSET(ORÇAMENTO!AJ$15,ROW(H708)-ROW(H$15),0),15-13*ORÇAMENTO!$AF$7),SUMPRODUCT(($Q$12:$AI$12&lt;&gt;"")*ROUND($Q708:$AI708,15-13*ORÇAMENTO!$AF$7))))</f>
        <v>1</v>
      </c>
      <c r="I708" s="650"/>
      <c r="K708" s="208"/>
      <c r="L708" s="209" t="s">
        <v>257</v>
      </c>
      <c r="M708" s="210">
        <f ca="1">IF($D708&lt;&gt;"Serviço","",IF(AUTOEVENTO="manual",$A708,IF(ISERROR(MATCH($A708,$A$15:OFFSET($A708,-1,0),0)),MAX($M$15:OFFSET(M708,-1,0))+1,INDEX($M$15:OFFSET(M708,-1,0),MATCH($A708,$A$15:OFFSET($A708,-1,0),0)))))</f>
        <v>0</v>
      </c>
      <c r="N708" s="211" t="str">
        <f ca="1">IF($D708&lt;&gt;"Serviço","",IF(AUTOEVENTO="Manual",IF($A708=0,"&lt;-- defina o número do agrupador",OFFSET(EVENTOS!$D$14,$A708,0)),OFFSET($F$15,$A708,0)))</f>
        <v>&lt;-- defina o número do agrupador</v>
      </c>
      <c r="O708" s="212"/>
      <c r="Q708" s="212"/>
      <c r="R708" s="213"/>
      <c r="S708" s="213"/>
      <c r="T708" s="213"/>
      <c r="U708" s="213"/>
      <c r="V708" s="213"/>
      <c r="W708" s="213"/>
      <c r="X708" s="213"/>
      <c r="Y708" s="213"/>
      <c r="Z708" s="214"/>
      <c r="AA708" s="213"/>
      <c r="AB708" s="213"/>
      <c r="AC708" s="213"/>
      <c r="AD708" s="213"/>
      <c r="AE708" s="213"/>
      <c r="AF708" s="213"/>
      <c r="AG708" s="213"/>
      <c r="AH708" s="214"/>
      <c r="AJ708" s="631">
        <f ca="1">IF(AND($D708="Serviço",AJ$12&lt;&gt;0,$H708&gt;0,OR(AUTOEVENTO&lt;&gt;"manual",$M708&lt;&gt;1)),ROUND(OFFSET($P708,0,AJ$13),15-13*ORÇAMENTO!$AF$7)/$H708*OFFSET(ORÇAMENTO!$X$15,ROW(AJ708)-ROW(AJ$15),0),0)</f>
        <v>0</v>
      </c>
      <c r="AK708" s="632">
        <f ca="1">IF(AND($D708="Serviço",AK$12&lt;&gt;0,$H708&gt;0,OR(AUTOEVENTO&lt;&gt;"manual",$M708&lt;&gt;1)),ROUND(OFFSET($P708,0,AK$13),15-13*ORÇAMENTO!$AF$7)/$H708*OFFSET(ORÇAMENTO!$X$15,ROW(AK708)-ROW(AK$15),0),0)</f>
        <v>0</v>
      </c>
      <c r="AL708" s="632">
        <f ca="1">IF(AND($D708="Serviço",AL$12&lt;&gt;0,$H708&gt;0,OR(AUTOEVENTO&lt;&gt;"manual",$M708&lt;&gt;1)),ROUND(OFFSET($P708,0,AL$13),15-13*ORÇAMENTO!$AF$7)/$H708*OFFSET(ORÇAMENTO!$X$15,ROW(AL708)-ROW(AL$15),0),0)</f>
        <v>0</v>
      </c>
      <c r="AM708" s="632">
        <f ca="1">IF(AND($D708="Serviço",AM$12&lt;&gt;0,$H708&gt;0,OR(AUTOEVENTO&lt;&gt;"manual",$M708&lt;&gt;1)),ROUND(OFFSET($P708,0,AM$13),15-13*ORÇAMENTO!$AF$7)/$H708*OFFSET(ORÇAMENTO!$X$15,ROW(AM708)-ROW(AM$15),0),0)</f>
        <v>0</v>
      </c>
      <c r="AN708" s="632">
        <f ca="1">IF(AND($D708="Serviço",AN$12&lt;&gt;0,$H708&gt;0,OR(AUTOEVENTO&lt;&gt;"manual",$M708&lt;&gt;1)),ROUND(OFFSET($P708,0,AN$13),15-13*ORÇAMENTO!$AF$7)/$H708*OFFSET(ORÇAMENTO!$X$15,ROW(AN708)-ROW(AN$15),0),0)</f>
        <v>0</v>
      </c>
      <c r="AO708" s="632">
        <f ca="1">IF(AND($D708="Serviço",AO$12&lt;&gt;0,$H708&gt;0,OR(AUTOEVENTO&lt;&gt;"manual",$M708&lt;&gt;1)),ROUND(OFFSET($P708,0,AO$13),15-13*ORÇAMENTO!$AF$7)/$H708*OFFSET(ORÇAMENTO!$X$15,ROW(AO708)-ROW(AO$15),0),0)</f>
        <v>0</v>
      </c>
      <c r="AP708" s="632">
        <f ca="1">IF(AND($D708="Serviço",AP$12&lt;&gt;0,$H708&gt;0,OR(AUTOEVENTO&lt;&gt;"manual",$M708&lt;&gt;1)),ROUND(OFFSET($P708,0,AP$13),15-13*ORÇAMENTO!$AF$7)/$H708*OFFSET(ORÇAMENTO!$X$15,ROW(AP708)-ROW(AP$15),0),0)</f>
        <v>0</v>
      </c>
      <c r="AQ708" s="632">
        <f ca="1">IF(AND($D708="Serviço",AQ$12&lt;&gt;0,$H708&gt;0,OR(AUTOEVENTO&lt;&gt;"manual",$M708&lt;&gt;1)),ROUND(OFFSET($P708,0,AQ$13),15-13*ORÇAMENTO!$AF$7)/$H708*OFFSET(ORÇAMENTO!$X$15,ROW(AQ708)-ROW(AQ$15),0),0)</f>
        <v>0</v>
      </c>
      <c r="AR708" s="632">
        <f ca="1">IF(AND($D708="Serviço",AR$12&lt;&gt;0,$H708&gt;0,OR(AUTOEVENTO&lt;&gt;"manual",$M708&lt;&gt;1)),ROUND(OFFSET($P708,0,AR$13),15-13*ORÇAMENTO!$AF$7)/$H708*OFFSET(ORÇAMENTO!$X$15,ROW(AR708)-ROW(AR$15),0),0)</f>
        <v>0</v>
      </c>
      <c r="AS708" s="633">
        <f ca="1">IF(AND($D708="Serviço",AS$12&lt;&gt;0,$H708&gt;0,OR(AUTOEVENTO&lt;&gt;"manual",$M708&lt;&gt;1)),ROUND(OFFSET($P708,0,AS$13),15-13*ORÇAMENTO!$AF$7)/$H708*OFFSET(ORÇAMENTO!$X$15,ROW(AS708)-ROW(AS$15),0),0)</f>
        <v>0</v>
      </c>
      <c r="AT708" s="632">
        <f ca="1">IF(AND($D708="Serviço",AT$12&lt;&gt;0,$H708&gt;0,OR(AUTOEVENTO&lt;&gt;"manual",$M708&lt;&gt;1)),ROUND(OFFSET($P708,0,AT$13),15-13*ORÇAMENTO!$AF$7)/$H708*OFFSET(ORÇAMENTO!$X$15,ROW(AT708)-ROW(AT$15),0),0)</f>
        <v>0</v>
      </c>
      <c r="AU708" s="632">
        <f ca="1">IF(AND($D708="Serviço",AU$12&lt;&gt;0,$H708&gt;0,OR(AUTOEVENTO&lt;&gt;"manual",$M708&lt;&gt;1)),ROUND(OFFSET($P708,0,AU$13),15-13*ORÇAMENTO!$AF$7)/$H708*OFFSET(ORÇAMENTO!$X$15,ROW(AU708)-ROW(AU$15),0),0)</f>
        <v>0</v>
      </c>
      <c r="AV708" s="632">
        <f ca="1">IF(AND($D708="Serviço",AV$12&lt;&gt;0,$H708&gt;0,OR(AUTOEVENTO&lt;&gt;"manual",$M708&lt;&gt;1)),ROUND(OFFSET($P708,0,AV$13),15-13*ORÇAMENTO!$AF$7)/$H708*OFFSET(ORÇAMENTO!$X$15,ROW(AV708)-ROW(AV$15),0),0)</f>
        <v>0</v>
      </c>
      <c r="AW708" s="632">
        <f ca="1">IF(AND($D708="Serviço",AW$12&lt;&gt;0,$H708&gt;0,OR(AUTOEVENTO&lt;&gt;"manual",$M708&lt;&gt;1)),ROUND(OFFSET($P708,0,AW$13),15-13*ORÇAMENTO!$AF$7)/$H708*OFFSET(ORÇAMENTO!$X$15,ROW(AW708)-ROW(AW$15),0),0)</f>
        <v>0</v>
      </c>
      <c r="AX708" s="632">
        <f ca="1">IF(AND($D708="Serviço",AX$12&lt;&gt;0,$H708&gt;0,OR(AUTOEVENTO&lt;&gt;"manual",$M708&lt;&gt;1)),ROUND(OFFSET($P708,0,AX$13),15-13*ORÇAMENTO!$AF$7)/$H708*OFFSET(ORÇAMENTO!$X$15,ROW(AX708)-ROW(AX$15),0),0)</f>
        <v>0</v>
      </c>
      <c r="AY708" s="632">
        <f ca="1">IF(AND($D708="Serviço",AY$12&lt;&gt;0,$H708&gt;0,OR(AUTOEVENTO&lt;&gt;"manual",$M708&lt;&gt;1)),ROUND(OFFSET($P708,0,AY$13),15-13*ORÇAMENTO!$AF$7)/$H708*OFFSET(ORÇAMENTO!$X$15,ROW(AY708)-ROW(AY$15),0),0)</f>
        <v>0</v>
      </c>
      <c r="AZ708" s="632">
        <f ca="1">IF(AND($D708="Serviço",AZ$12&lt;&gt;0,$H708&gt;0,OR(AUTOEVENTO&lt;&gt;"manual",$M708&lt;&gt;1)),ROUND(OFFSET($P708,0,AZ$13),15-13*ORÇAMENTO!$AF$7)/$H708*OFFSET(ORÇAMENTO!$X$15,ROW(AZ708)-ROW(AZ$15),0),0)</f>
        <v>0</v>
      </c>
      <c r="BA708" s="633">
        <f ca="1">IF(AND($D708="Serviço",BA$12&lt;&gt;0,$H708&gt;0,OR(AUTOEVENTO&lt;&gt;"manual",$M708&lt;&gt;1)),ROUND(OFFSET($P708,0,BA$13),15-13*ORÇAMENTO!$AF$7)/$H708*OFFSET(ORÇAMENTO!$X$15,ROW(BA708)-ROW(BA$15),0),0)</f>
        <v>0</v>
      </c>
      <c r="BC708" s="215">
        <f ca="1">IF($D708&lt;&gt;"Serviço",0,IF(AND(AUTOEVENTO="Manual",$M708=1),0,IF(OFFSET(CRONOPLE!$F$14,$M708,BC$13)="",10^12,OFFSET(CRONOPLE!$F$14,$M708,BC$13))))</f>
        <v>1000000000000</v>
      </c>
      <c r="BD708" s="215">
        <f ca="1">IF($D708&lt;&gt;"Serviço",0,IF(AND(AUTOEVENTO="Manual",$M708=1),0,IF(OFFSET(CRONOPLE!$F$14,$M708,BD$13)="",10^12,OFFSET(CRONOPLE!$F$14,$M708,BD$13))))</f>
        <v>1000000000000</v>
      </c>
      <c r="BE708" s="215">
        <f ca="1">IF($D708&lt;&gt;"Serviço",0,IF(AND(AUTOEVENTO="Manual",$M708=1),0,IF(OFFSET(CRONOPLE!$F$14,$M708,BE$13)="",10^12,OFFSET(CRONOPLE!$F$14,$M708,BE$13))))</f>
        <v>1000000000000</v>
      </c>
      <c r="BF708" s="215">
        <f ca="1">IF($D708&lt;&gt;"Serviço",0,IF(AND(AUTOEVENTO="Manual",$M708=1),0,IF(OFFSET(CRONOPLE!$F$14,$M708,BF$13)="",10^12,OFFSET(CRONOPLE!$F$14,$M708,BF$13))))</f>
        <v>1000000000000</v>
      </c>
      <c r="BG708" s="215">
        <f ca="1">IF($D708&lt;&gt;"Serviço",0,IF(AND(AUTOEVENTO="Manual",$M708=1),0,IF(OFFSET(CRONOPLE!$F$14,$M708,BG$13)="",10^12,OFFSET(CRONOPLE!$F$14,$M708,BG$13))))</f>
        <v>1000000000000</v>
      </c>
      <c r="BH708" s="215">
        <f ca="1">IF($D708&lt;&gt;"Serviço",0,IF(AND(AUTOEVENTO="Manual",$M708=1),0,IF(OFFSET(CRONOPLE!$F$14,$M708,BH$13)="",10^12,OFFSET(CRONOPLE!$F$14,$M708,BH$13))))</f>
        <v>1000000000000</v>
      </c>
      <c r="BI708" s="215">
        <f ca="1">IF($D708&lt;&gt;"Serviço",0,IF(AND(AUTOEVENTO="Manual",$M708=1),0,IF(OFFSET(CRONOPLE!$F$14,$M708,BI$13)="",10^12,OFFSET(CRONOPLE!$F$14,$M708,BI$13))))</f>
        <v>1000000000000</v>
      </c>
      <c r="BJ708" s="215">
        <f ca="1">IF($D708&lt;&gt;"Serviço",0,IF(AND(AUTOEVENTO="Manual",$M708=1),0,IF(OFFSET(CRONOPLE!$F$14,$M708,BJ$13)="",10^12,OFFSET(CRONOPLE!$F$14,$M708,BJ$13))))</f>
        <v>1000000000000</v>
      </c>
      <c r="BK708" s="215">
        <f ca="1">IF($D708&lt;&gt;"Serviço",0,IF(AND(AUTOEVENTO="Manual",$M708=1),0,IF(OFFSET(CRONOPLE!$F$14,$M708,BK$13)="",10^12,OFFSET(CRONOPLE!$F$14,$M708,BK$13))))</f>
        <v>1000000000000</v>
      </c>
      <c r="BL708" s="215">
        <f ca="1">IF($D708&lt;&gt;"Serviço",0,IF(AND(AUTOEVENTO="Manual",$M708=1),0,IF(OFFSET(CRONOPLE!$F$14,$M708,BL$13)="",10^12,OFFSET(CRONOPLE!$F$14,$M708,BL$13))))</f>
        <v>1000000000000</v>
      </c>
      <c r="BM708" s="215">
        <f ca="1">IF($D708&lt;&gt;"Serviço",0,IF(AND(AUTOEVENTO="Manual",$M708=1),0,IF(OFFSET(CRONOPLE!$F$14,$M708,BM$13)="",10^12,OFFSET(CRONOPLE!$F$14,$M708,BM$13))))</f>
        <v>1000000000000</v>
      </c>
      <c r="BN708" s="215">
        <f ca="1">IF($D708&lt;&gt;"Serviço",0,IF(AND(AUTOEVENTO="Manual",$M708=1),0,IF(OFFSET(CRONOPLE!$F$14,$M708,BN$13)="",10^12,OFFSET(CRONOPLE!$F$14,$M708,BN$13))))</f>
        <v>1000000000000</v>
      </c>
      <c r="BO708" s="215">
        <f ca="1">IF($D708&lt;&gt;"Serviço",0,IF(AND(AUTOEVENTO="Manual",$M708=1),0,IF(OFFSET(CRONOPLE!$F$14,$M708,BO$13)="",10^12,OFFSET(CRONOPLE!$F$14,$M708,BO$13))))</f>
        <v>1000000000000</v>
      </c>
      <c r="BP708" s="215">
        <f ca="1">IF($D708&lt;&gt;"Serviço",0,IF(AND(AUTOEVENTO="Manual",$M708=1),0,IF(OFFSET(CRONOPLE!$F$14,$M708,BP$13)="",10^12,OFFSET(CRONOPLE!$F$14,$M708,BP$13))))</f>
        <v>1000000000000</v>
      </c>
      <c r="BQ708" s="215">
        <f ca="1">IF($D708&lt;&gt;"Serviço",0,IF(AND(AUTOEVENTO="Manual",$M708=1),0,IF(OFFSET(CRONOPLE!$F$14,$M708,BQ$13)="",10^12,OFFSET(CRONOPLE!$F$14,$M708,BQ$13))))</f>
        <v>1000000000000</v>
      </c>
      <c r="BR708" s="215">
        <f ca="1">IF($D708&lt;&gt;"Serviço",0,IF(AND(AUTOEVENTO="Manual",$M708=1),0,IF(OFFSET(CRONOPLE!$F$14,$M708,BR$13)="",10^12,OFFSET(CRONOPLE!$F$14,$M708,BR$13))))</f>
        <v>1000000000000</v>
      </c>
      <c r="BS708" s="215">
        <f ca="1">IF($D708&lt;&gt;"Serviço",0,IF(AND(AUTOEVENTO="Manual",$M708=1),0,IF(OFFSET(CRONOPLE!$F$14,$M708,BS$13)="",10^12,OFFSET(CRONOPLE!$F$14,$M708,BS$13))))</f>
        <v>1000000000000</v>
      </c>
      <c r="BT708" s="215">
        <f ca="1">IF($D708&lt;&gt;"Serviço",0,IF(AND(AUTOEVENTO="Manual",$M708=1),0,IF(OFFSET(CRONOPLE!$F$14,$M708,BT$13)="",10^12,OFFSET(CRONOPLE!$F$14,$M708,BT$13))))</f>
        <v>1000000000000</v>
      </c>
      <c r="BV708" s="216">
        <f ca="1">IF($D708&lt;&gt;"Serviço",0,IF(OR(AND(AUTOEVENTO="Manual",$M708=1),$M708&gt;(ROW(PLE.lastrow)-ROW(PLE.firstrow))),0,IF(OFFSET(PLE!$G$14,$M708,BV$13)="",10^12,OFFSET(PLE!$G$14,$M708,BV$13))))</f>
        <v>1000000000000</v>
      </c>
      <c r="BW708" s="216">
        <f ca="1">IF($D708&lt;&gt;"Serviço",0,IF(OR(AND(AUTOEVENTO="Manual",$M708=1),$M708&gt;(ROW(PLE.lastrow)-ROW(PLE.firstrow))),0,IF(OFFSET(PLE!$G$14,$M708,BW$13)="",10^12,OFFSET(PLE!$G$14,$M708,BW$13))))</f>
        <v>1000000000000</v>
      </c>
      <c r="BX708" s="216">
        <f ca="1">IF($D708&lt;&gt;"Serviço",0,IF(OR(AND(AUTOEVENTO="Manual",$M708=1),$M708&gt;(ROW(PLE.lastrow)-ROW(PLE.firstrow))),0,IF(OFFSET(PLE!$G$14,$M708,BX$13)="",10^12,OFFSET(PLE!$G$14,$M708,BX$13))))</f>
        <v>1000000000000</v>
      </c>
      <c r="BY708" s="216">
        <f ca="1">IF($D708&lt;&gt;"Serviço",0,IF(OR(AND(AUTOEVENTO="Manual",$M708=1),$M708&gt;(ROW(PLE.lastrow)-ROW(PLE.firstrow))),0,IF(OFFSET(PLE!$G$14,$M708,BY$13)="",10^12,OFFSET(PLE!$G$14,$M708,BY$13))))</f>
        <v>1000000000000</v>
      </c>
      <c r="BZ708" s="216">
        <f ca="1">IF($D708&lt;&gt;"Serviço",0,IF(OR(AND(AUTOEVENTO="Manual",$M708=1),$M708&gt;(ROW(PLE.lastrow)-ROW(PLE.firstrow))),0,IF(OFFSET(PLE!$G$14,$M708,BZ$13)="",10^12,OFFSET(PLE!$G$14,$M708,BZ$13))))</f>
        <v>1000000000000</v>
      </c>
      <c r="CA708" s="216">
        <f ca="1">IF($D708&lt;&gt;"Serviço",0,IF(OR(AND(AUTOEVENTO="Manual",$M708=1),$M708&gt;(ROW(PLE.lastrow)-ROW(PLE.firstrow))),0,IF(OFFSET(PLE!$G$14,$M708,CA$13)="",10^12,OFFSET(PLE!$G$14,$M708,CA$13))))</f>
        <v>1000000000000</v>
      </c>
      <c r="CB708" s="216">
        <f ca="1">IF($D708&lt;&gt;"Serviço",0,IF(OR(AND(AUTOEVENTO="Manual",$M708=1),$M708&gt;(ROW(PLE.lastrow)-ROW(PLE.firstrow))),0,IF(OFFSET(PLE!$G$14,$M708,CB$13)="",10^12,OFFSET(PLE!$G$14,$M708,CB$13))))</f>
        <v>1000000000000</v>
      </c>
      <c r="CC708" s="216">
        <f ca="1">IF($D708&lt;&gt;"Serviço",0,IF(OR(AND(AUTOEVENTO="Manual",$M708=1),$M708&gt;(ROW(PLE.lastrow)-ROW(PLE.firstrow))),0,IF(OFFSET(PLE!$G$14,$M708,CC$13)="",10^12,OFFSET(PLE!$G$14,$M708,CC$13))))</f>
        <v>1000000000000</v>
      </c>
      <c r="CD708" s="216">
        <f ca="1">IF($D708&lt;&gt;"Serviço",0,IF(OR(AND(AUTOEVENTO="Manual",$M708=1),$M708&gt;(ROW(PLE.lastrow)-ROW(PLE.firstrow))),0,IF(OFFSET(PLE!$G$14,$M708,CD$13)="",10^12,OFFSET(PLE!$G$14,$M708,CD$13))))</f>
        <v>1000000000000</v>
      </c>
      <c r="CE708" s="216">
        <f ca="1">IF($D708&lt;&gt;"Serviço",0,IF(OR(AND(AUTOEVENTO="Manual",$M708=1),$M708&gt;(ROW(PLE.lastrow)-ROW(PLE.firstrow))),0,IF(OFFSET(PLE!$G$14,$M708,CE$13)="",10^12,OFFSET(PLE!$G$14,$M708,CE$13))))</f>
        <v>1000000000000</v>
      </c>
      <c r="CF708" s="216">
        <f ca="1">IF($D708&lt;&gt;"Serviço",0,IF(OR(AND(AUTOEVENTO="Manual",$M708=1),$M708&gt;(ROW(PLE.lastrow)-ROW(PLE.firstrow))),0,IF(OFFSET(PLE!$G$14,$M708,CF$13)="",10^12,OFFSET(PLE!$G$14,$M708,CF$13))))</f>
        <v>1000000000000</v>
      </c>
      <c r="CG708" s="216">
        <f ca="1">IF($D708&lt;&gt;"Serviço",0,IF(OR(AND(AUTOEVENTO="Manual",$M708=1),$M708&gt;(ROW(PLE.lastrow)-ROW(PLE.firstrow))),0,IF(OFFSET(PLE!$G$14,$M708,CG$13)="",10^12,OFFSET(PLE!$G$14,$M708,CG$13))))</f>
        <v>1000000000000</v>
      </c>
      <c r="CH708" s="216">
        <f ca="1">IF($D708&lt;&gt;"Serviço",0,IF(OR(AND(AUTOEVENTO="Manual",$M708=1),$M708&gt;(ROW(PLE.lastrow)-ROW(PLE.firstrow))),0,IF(OFFSET(PLE!$G$14,$M708,CH$13)="",10^12,OFFSET(PLE!$G$14,$M708,CH$13))))</f>
        <v>1000000000000</v>
      </c>
      <c r="CI708" s="216">
        <f ca="1">IF($D708&lt;&gt;"Serviço",0,IF(OR(AND(AUTOEVENTO="Manual",$M708=1),$M708&gt;(ROW(PLE.lastrow)-ROW(PLE.firstrow))),0,IF(OFFSET(PLE!$G$14,$M708,CI$13)="",10^12,OFFSET(PLE!$G$14,$M708,CI$13))))</f>
        <v>1000000000000</v>
      </c>
      <c r="CJ708" s="216">
        <f ca="1">IF($D708&lt;&gt;"Serviço",0,IF(OR(AND(AUTOEVENTO="Manual",$M708=1),$M708&gt;(ROW(PLE.lastrow)-ROW(PLE.firstrow))),0,IF(OFFSET(PLE!$G$14,$M708,CJ$13)="",10^12,OFFSET(PLE!$G$14,$M708,CJ$13))))</f>
        <v>1000000000000</v>
      </c>
      <c r="CK708" s="216">
        <f ca="1">IF($D708&lt;&gt;"Serviço",0,IF(OR(AND(AUTOEVENTO="Manual",$M708=1),$M708&gt;(ROW(PLE.lastrow)-ROW(PLE.firstrow))),0,IF(OFFSET(PLE!$G$14,$M708,CK$13)="",10^12,OFFSET(PLE!$G$14,$M708,CK$13))))</f>
        <v>1000000000000</v>
      </c>
      <c r="CL708" s="216">
        <f ca="1">IF($D708&lt;&gt;"Serviço",0,IF(OR(AND(AUTOEVENTO="Manual",$M708=1),$M708&gt;(ROW(PLE.lastrow)-ROW(PLE.firstrow))),0,IF(OFFSET(PLE!$G$14,$M708,CL$13)="",10^12,OFFSET(PLE!$G$14,$M708,CL$13))))</f>
        <v>1000000000000</v>
      </c>
      <c r="CM708" s="216">
        <f ca="1">IF($D708&lt;&gt;"Serviço",0,IF(OR(AND(AUTOEVENTO="Manual",$M708=1),$M708&gt;(ROW(PLE.lastrow)-ROW(PLE.firstrow))),0,IF(OFFSET(PLE!$G$14,$M708,CM$13)="",10^12,OFFSET(PLE!$G$14,$M708,CM$13))))</f>
        <v>1000000000000</v>
      </c>
    </row>
    <row r="709" spans="1:91" ht="13.2" x14ac:dyDescent="0.25">
      <c r="A709" s="9">
        <f ca="1">IF(AUTOEVENTO="Manual",IF(K709&lt;&gt;"",MIN(VALUE(LEFT(K709,FIND(".",K709)-1)),COUNTA(EVENTOS.Lista)),0),IF(OR($B709&gt;AUTOEVENTO,$B709="S",$B709=0),SUBSTITUTE(OFFSET($A709,-1,0),IF($D709="Serviço",".",""),""),ROW(A709)-ROW($A$15)&amp;"."))</f>
        <v>0</v>
      </c>
      <c r="B709" s="9" t="str">
        <f ca="1">OFFSET(ORÇAMENTO!C$15,ROW(B709)-ROW(B$15),0)</f>
        <v>S</v>
      </c>
      <c r="C709" s="9" t="str">
        <f ca="1">OFFSET(ORÇAMENTO!L$15,ROW(C709)-ROW(C$15),0)</f>
        <v/>
      </c>
      <c r="D709" s="145" t="str">
        <f ca="1">OFFSET(ORÇAMENTO!N$15,ROW(D709)-ROW(D$15),0)</f>
        <v>Serviço</v>
      </c>
      <c r="E709" s="205" t="str">
        <f ca="1">OFFSET(ORÇAMENTO!O$15,ROW(E709)-ROW(E$15),0)</f>
        <v>-</v>
      </c>
      <c r="F709" s="206" t="str">
        <f ca="1">OFFSET(ORÇAMENTO!R$15,ROW(F709)-ROW(F$15),0)</f>
        <v>(abra o arquivo 'Referência 05-2024.xls)</v>
      </c>
      <c r="G709" s="207" t="str">
        <f ca="1">IF($D709&lt;&gt;"Serviço","",OFFSET(ORÇAMENTO!S$15,ROW(G709)-ROW(G$15),0))</f>
        <v>-</v>
      </c>
      <c r="H709" s="151">
        <f ca="1">IF($D709&lt;&gt;"Serviço",0,IF(ACOMPANHAMENTO="BM",ROUND(OFFSET(ORÇAMENTO!AJ$15,ROW(H709)-ROW(H$15),0),15-13*ORÇAMENTO!$AF$7),SUMPRODUCT(($Q$12:$AI$12&lt;&gt;"")*ROUND($Q709:$AI709,15-13*ORÇAMENTO!$AF$7))))</f>
        <v>1</v>
      </c>
      <c r="I709" s="650"/>
      <c r="K709" s="208"/>
      <c r="L709" s="209" t="s">
        <v>257</v>
      </c>
      <c r="M709" s="210">
        <f ca="1">IF($D709&lt;&gt;"Serviço","",IF(AUTOEVENTO="manual",$A709,IF(ISERROR(MATCH($A709,$A$15:OFFSET($A709,-1,0),0)),MAX($M$15:OFFSET(M709,-1,0))+1,INDEX($M$15:OFFSET(M709,-1,0),MATCH($A709,$A$15:OFFSET($A709,-1,0),0)))))</f>
        <v>0</v>
      </c>
      <c r="N709" s="211" t="str">
        <f ca="1">IF($D709&lt;&gt;"Serviço","",IF(AUTOEVENTO="Manual",IF($A709=0,"&lt;-- defina o número do agrupador",OFFSET(EVENTOS!$D$14,$A709,0)),OFFSET($F$15,$A709,0)))</f>
        <v>&lt;-- defina o número do agrupador</v>
      </c>
      <c r="O709" s="212"/>
      <c r="Q709" s="212"/>
      <c r="R709" s="213"/>
      <c r="S709" s="213"/>
      <c r="T709" s="213"/>
      <c r="U709" s="213"/>
      <c r="V709" s="213"/>
      <c r="W709" s="213"/>
      <c r="X709" s="213"/>
      <c r="Y709" s="213"/>
      <c r="Z709" s="214"/>
      <c r="AA709" s="213"/>
      <c r="AB709" s="213"/>
      <c r="AC709" s="213"/>
      <c r="AD709" s="213"/>
      <c r="AE709" s="213"/>
      <c r="AF709" s="213"/>
      <c r="AG709" s="213"/>
      <c r="AH709" s="214"/>
      <c r="AJ709" s="631">
        <f ca="1">IF(AND($D709="Serviço",AJ$12&lt;&gt;0,$H709&gt;0,OR(AUTOEVENTO&lt;&gt;"manual",$M709&lt;&gt;1)),ROUND(OFFSET($P709,0,AJ$13),15-13*ORÇAMENTO!$AF$7)/$H709*OFFSET(ORÇAMENTO!$X$15,ROW(AJ709)-ROW(AJ$15),0),0)</f>
        <v>0</v>
      </c>
      <c r="AK709" s="632">
        <f ca="1">IF(AND($D709="Serviço",AK$12&lt;&gt;0,$H709&gt;0,OR(AUTOEVENTO&lt;&gt;"manual",$M709&lt;&gt;1)),ROUND(OFFSET($P709,0,AK$13),15-13*ORÇAMENTO!$AF$7)/$H709*OFFSET(ORÇAMENTO!$X$15,ROW(AK709)-ROW(AK$15),0),0)</f>
        <v>0</v>
      </c>
      <c r="AL709" s="632">
        <f ca="1">IF(AND($D709="Serviço",AL$12&lt;&gt;0,$H709&gt;0,OR(AUTOEVENTO&lt;&gt;"manual",$M709&lt;&gt;1)),ROUND(OFFSET($P709,0,AL$13),15-13*ORÇAMENTO!$AF$7)/$H709*OFFSET(ORÇAMENTO!$X$15,ROW(AL709)-ROW(AL$15),0),0)</f>
        <v>0</v>
      </c>
      <c r="AM709" s="632">
        <f ca="1">IF(AND($D709="Serviço",AM$12&lt;&gt;0,$H709&gt;0,OR(AUTOEVENTO&lt;&gt;"manual",$M709&lt;&gt;1)),ROUND(OFFSET($P709,0,AM$13),15-13*ORÇAMENTO!$AF$7)/$H709*OFFSET(ORÇAMENTO!$X$15,ROW(AM709)-ROW(AM$15),0),0)</f>
        <v>0</v>
      </c>
      <c r="AN709" s="632">
        <f ca="1">IF(AND($D709="Serviço",AN$12&lt;&gt;0,$H709&gt;0,OR(AUTOEVENTO&lt;&gt;"manual",$M709&lt;&gt;1)),ROUND(OFFSET($P709,0,AN$13),15-13*ORÇAMENTO!$AF$7)/$H709*OFFSET(ORÇAMENTO!$X$15,ROW(AN709)-ROW(AN$15),0),0)</f>
        <v>0</v>
      </c>
      <c r="AO709" s="632">
        <f ca="1">IF(AND($D709="Serviço",AO$12&lt;&gt;0,$H709&gt;0,OR(AUTOEVENTO&lt;&gt;"manual",$M709&lt;&gt;1)),ROUND(OFFSET($P709,0,AO$13),15-13*ORÇAMENTO!$AF$7)/$H709*OFFSET(ORÇAMENTO!$X$15,ROW(AO709)-ROW(AO$15),0),0)</f>
        <v>0</v>
      </c>
      <c r="AP709" s="632">
        <f ca="1">IF(AND($D709="Serviço",AP$12&lt;&gt;0,$H709&gt;0,OR(AUTOEVENTO&lt;&gt;"manual",$M709&lt;&gt;1)),ROUND(OFFSET($P709,0,AP$13),15-13*ORÇAMENTO!$AF$7)/$H709*OFFSET(ORÇAMENTO!$X$15,ROW(AP709)-ROW(AP$15),0),0)</f>
        <v>0</v>
      </c>
      <c r="AQ709" s="632">
        <f ca="1">IF(AND($D709="Serviço",AQ$12&lt;&gt;0,$H709&gt;0,OR(AUTOEVENTO&lt;&gt;"manual",$M709&lt;&gt;1)),ROUND(OFFSET($P709,0,AQ$13),15-13*ORÇAMENTO!$AF$7)/$H709*OFFSET(ORÇAMENTO!$X$15,ROW(AQ709)-ROW(AQ$15),0),0)</f>
        <v>0</v>
      </c>
      <c r="AR709" s="632">
        <f ca="1">IF(AND($D709="Serviço",AR$12&lt;&gt;0,$H709&gt;0,OR(AUTOEVENTO&lt;&gt;"manual",$M709&lt;&gt;1)),ROUND(OFFSET($P709,0,AR$13),15-13*ORÇAMENTO!$AF$7)/$H709*OFFSET(ORÇAMENTO!$X$15,ROW(AR709)-ROW(AR$15),0),0)</f>
        <v>0</v>
      </c>
      <c r="AS709" s="633">
        <f ca="1">IF(AND($D709="Serviço",AS$12&lt;&gt;0,$H709&gt;0,OR(AUTOEVENTO&lt;&gt;"manual",$M709&lt;&gt;1)),ROUND(OFFSET($P709,0,AS$13),15-13*ORÇAMENTO!$AF$7)/$H709*OFFSET(ORÇAMENTO!$X$15,ROW(AS709)-ROW(AS$15),0),0)</f>
        <v>0</v>
      </c>
      <c r="AT709" s="632">
        <f ca="1">IF(AND($D709="Serviço",AT$12&lt;&gt;0,$H709&gt;0,OR(AUTOEVENTO&lt;&gt;"manual",$M709&lt;&gt;1)),ROUND(OFFSET($P709,0,AT$13),15-13*ORÇAMENTO!$AF$7)/$H709*OFFSET(ORÇAMENTO!$X$15,ROW(AT709)-ROW(AT$15),0),0)</f>
        <v>0</v>
      </c>
      <c r="AU709" s="632">
        <f ca="1">IF(AND($D709="Serviço",AU$12&lt;&gt;0,$H709&gt;0,OR(AUTOEVENTO&lt;&gt;"manual",$M709&lt;&gt;1)),ROUND(OFFSET($P709,0,AU$13),15-13*ORÇAMENTO!$AF$7)/$H709*OFFSET(ORÇAMENTO!$X$15,ROW(AU709)-ROW(AU$15),0),0)</f>
        <v>0</v>
      </c>
      <c r="AV709" s="632">
        <f ca="1">IF(AND($D709="Serviço",AV$12&lt;&gt;0,$H709&gt;0,OR(AUTOEVENTO&lt;&gt;"manual",$M709&lt;&gt;1)),ROUND(OFFSET($P709,0,AV$13),15-13*ORÇAMENTO!$AF$7)/$H709*OFFSET(ORÇAMENTO!$X$15,ROW(AV709)-ROW(AV$15),0),0)</f>
        <v>0</v>
      </c>
      <c r="AW709" s="632">
        <f ca="1">IF(AND($D709="Serviço",AW$12&lt;&gt;0,$H709&gt;0,OR(AUTOEVENTO&lt;&gt;"manual",$M709&lt;&gt;1)),ROUND(OFFSET($P709,0,AW$13),15-13*ORÇAMENTO!$AF$7)/$H709*OFFSET(ORÇAMENTO!$X$15,ROW(AW709)-ROW(AW$15),0),0)</f>
        <v>0</v>
      </c>
      <c r="AX709" s="632">
        <f ca="1">IF(AND($D709="Serviço",AX$12&lt;&gt;0,$H709&gt;0,OR(AUTOEVENTO&lt;&gt;"manual",$M709&lt;&gt;1)),ROUND(OFFSET($P709,0,AX$13),15-13*ORÇAMENTO!$AF$7)/$H709*OFFSET(ORÇAMENTO!$X$15,ROW(AX709)-ROW(AX$15),0),0)</f>
        <v>0</v>
      </c>
      <c r="AY709" s="632">
        <f ca="1">IF(AND($D709="Serviço",AY$12&lt;&gt;0,$H709&gt;0,OR(AUTOEVENTO&lt;&gt;"manual",$M709&lt;&gt;1)),ROUND(OFFSET($P709,0,AY$13),15-13*ORÇAMENTO!$AF$7)/$H709*OFFSET(ORÇAMENTO!$X$15,ROW(AY709)-ROW(AY$15),0),0)</f>
        <v>0</v>
      </c>
      <c r="AZ709" s="632">
        <f ca="1">IF(AND($D709="Serviço",AZ$12&lt;&gt;0,$H709&gt;0,OR(AUTOEVENTO&lt;&gt;"manual",$M709&lt;&gt;1)),ROUND(OFFSET($P709,0,AZ$13),15-13*ORÇAMENTO!$AF$7)/$H709*OFFSET(ORÇAMENTO!$X$15,ROW(AZ709)-ROW(AZ$15),0),0)</f>
        <v>0</v>
      </c>
      <c r="BA709" s="633">
        <f ca="1">IF(AND($D709="Serviço",BA$12&lt;&gt;0,$H709&gt;0,OR(AUTOEVENTO&lt;&gt;"manual",$M709&lt;&gt;1)),ROUND(OFFSET($P709,0,BA$13),15-13*ORÇAMENTO!$AF$7)/$H709*OFFSET(ORÇAMENTO!$X$15,ROW(BA709)-ROW(BA$15),0),0)</f>
        <v>0</v>
      </c>
      <c r="BC709" s="215">
        <f ca="1">IF($D709&lt;&gt;"Serviço",0,IF(AND(AUTOEVENTO="Manual",$M709=1),0,IF(OFFSET(CRONOPLE!$F$14,$M709,BC$13)="",10^12,OFFSET(CRONOPLE!$F$14,$M709,BC$13))))</f>
        <v>1000000000000</v>
      </c>
      <c r="BD709" s="215">
        <f ca="1">IF($D709&lt;&gt;"Serviço",0,IF(AND(AUTOEVENTO="Manual",$M709=1),0,IF(OFFSET(CRONOPLE!$F$14,$M709,BD$13)="",10^12,OFFSET(CRONOPLE!$F$14,$M709,BD$13))))</f>
        <v>1000000000000</v>
      </c>
      <c r="BE709" s="215">
        <f ca="1">IF($D709&lt;&gt;"Serviço",0,IF(AND(AUTOEVENTO="Manual",$M709=1),0,IF(OFFSET(CRONOPLE!$F$14,$M709,BE$13)="",10^12,OFFSET(CRONOPLE!$F$14,$M709,BE$13))))</f>
        <v>1000000000000</v>
      </c>
      <c r="BF709" s="215">
        <f ca="1">IF($D709&lt;&gt;"Serviço",0,IF(AND(AUTOEVENTO="Manual",$M709=1),0,IF(OFFSET(CRONOPLE!$F$14,$M709,BF$13)="",10^12,OFFSET(CRONOPLE!$F$14,$M709,BF$13))))</f>
        <v>1000000000000</v>
      </c>
      <c r="BG709" s="215">
        <f ca="1">IF($D709&lt;&gt;"Serviço",0,IF(AND(AUTOEVENTO="Manual",$M709=1),0,IF(OFFSET(CRONOPLE!$F$14,$M709,BG$13)="",10^12,OFFSET(CRONOPLE!$F$14,$M709,BG$13))))</f>
        <v>1000000000000</v>
      </c>
      <c r="BH709" s="215">
        <f ca="1">IF($D709&lt;&gt;"Serviço",0,IF(AND(AUTOEVENTO="Manual",$M709=1),0,IF(OFFSET(CRONOPLE!$F$14,$M709,BH$13)="",10^12,OFFSET(CRONOPLE!$F$14,$M709,BH$13))))</f>
        <v>1000000000000</v>
      </c>
      <c r="BI709" s="215">
        <f ca="1">IF($D709&lt;&gt;"Serviço",0,IF(AND(AUTOEVENTO="Manual",$M709=1),0,IF(OFFSET(CRONOPLE!$F$14,$M709,BI$13)="",10^12,OFFSET(CRONOPLE!$F$14,$M709,BI$13))))</f>
        <v>1000000000000</v>
      </c>
      <c r="BJ709" s="215">
        <f ca="1">IF($D709&lt;&gt;"Serviço",0,IF(AND(AUTOEVENTO="Manual",$M709=1),0,IF(OFFSET(CRONOPLE!$F$14,$M709,BJ$13)="",10^12,OFFSET(CRONOPLE!$F$14,$M709,BJ$13))))</f>
        <v>1000000000000</v>
      </c>
      <c r="BK709" s="215">
        <f ca="1">IF($D709&lt;&gt;"Serviço",0,IF(AND(AUTOEVENTO="Manual",$M709=1),0,IF(OFFSET(CRONOPLE!$F$14,$M709,BK$13)="",10^12,OFFSET(CRONOPLE!$F$14,$M709,BK$13))))</f>
        <v>1000000000000</v>
      </c>
      <c r="BL709" s="215">
        <f ca="1">IF($D709&lt;&gt;"Serviço",0,IF(AND(AUTOEVENTO="Manual",$M709=1),0,IF(OFFSET(CRONOPLE!$F$14,$M709,BL$13)="",10^12,OFFSET(CRONOPLE!$F$14,$M709,BL$13))))</f>
        <v>1000000000000</v>
      </c>
      <c r="BM709" s="215">
        <f ca="1">IF($D709&lt;&gt;"Serviço",0,IF(AND(AUTOEVENTO="Manual",$M709=1),0,IF(OFFSET(CRONOPLE!$F$14,$M709,BM$13)="",10^12,OFFSET(CRONOPLE!$F$14,$M709,BM$13))))</f>
        <v>1000000000000</v>
      </c>
      <c r="BN709" s="215">
        <f ca="1">IF($D709&lt;&gt;"Serviço",0,IF(AND(AUTOEVENTO="Manual",$M709=1),0,IF(OFFSET(CRONOPLE!$F$14,$M709,BN$13)="",10^12,OFFSET(CRONOPLE!$F$14,$M709,BN$13))))</f>
        <v>1000000000000</v>
      </c>
      <c r="BO709" s="215">
        <f ca="1">IF($D709&lt;&gt;"Serviço",0,IF(AND(AUTOEVENTO="Manual",$M709=1),0,IF(OFFSET(CRONOPLE!$F$14,$M709,BO$13)="",10^12,OFFSET(CRONOPLE!$F$14,$M709,BO$13))))</f>
        <v>1000000000000</v>
      </c>
      <c r="BP709" s="215">
        <f ca="1">IF($D709&lt;&gt;"Serviço",0,IF(AND(AUTOEVENTO="Manual",$M709=1),0,IF(OFFSET(CRONOPLE!$F$14,$M709,BP$13)="",10^12,OFFSET(CRONOPLE!$F$14,$M709,BP$13))))</f>
        <v>1000000000000</v>
      </c>
      <c r="BQ709" s="215">
        <f ca="1">IF($D709&lt;&gt;"Serviço",0,IF(AND(AUTOEVENTO="Manual",$M709=1),0,IF(OFFSET(CRONOPLE!$F$14,$M709,BQ$13)="",10^12,OFFSET(CRONOPLE!$F$14,$M709,BQ$13))))</f>
        <v>1000000000000</v>
      </c>
      <c r="BR709" s="215">
        <f ca="1">IF($D709&lt;&gt;"Serviço",0,IF(AND(AUTOEVENTO="Manual",$M709=1),0,IF(OFFSET(CRONOPLE!$F$14,$M709,BR$13)="",10^12,OFFSET(CRONOPLE!$F$14,$M709,BR$13))))</f>
        <v>1000000000000</v>
      </c>
      <c r="BS709" s="215">
        <f ca="1">IF($D709&lt;&gt;"Serviço",0,IF(AND(AUTOEVENTO="Manual",$M709=1),0,IF(OFFSET(CRONOPLE!$F$14,$M709,BS$13)="",10^12,OFFSET(CRONOPLE!$F$14,$M709,BS$13))))</f>
        <v>1000000000000</v>
      </c>
      <c r="BT709" s="215">
        <f ca="1">IF($D709&lt;&gt;"Serviço",0,IF(AND(AUTOEVENTO="Manual",$M709=1),0,IF(OFFSET(CRONOPLE!$F$14,$M709,BT$13)="",10^12,OFFSET(CRONOPLE!$F$14,$M709,BT$13))))</f>
        <v>1000000000000</v>
      </c>
      <c r="BV709" s="216">
        <f ca="1">IF($D709&lt;&gt;"Serviço",0,IF(OR(AND(AUTOEVENTO="Manual",$M709=1),$M709&gt;(ROW(PLE.lastrow)-ROW(PLE.firstrow))),0,IF(OFFSET(PLE!$G$14,$M709,BV$13)="",10^12,OFFSET(PLE!$G$14,$M709,BV$13))))</f>
        <v>1000000000000</v>
      </c>
      <c r="BW709" s="216">
        <f ca="1">IF($D709&lt;&gt;"Serviço",0,IF(OR(AND(AUTOEVENTO="Manual",$M709=1),$M709&gt;(ROW(PLE.lastrow)-ROW(PLE.firstrow))),0,IF(OFFSET(PLE!$G$14,$M709,BW$13)="",10^12,OFFSET(PLE!$G$14,$M709,BW$13))))</f>
        <v>1000000000000</v>
      </c>
      <c r="BX709" s="216">
        <f ca="1">IF($D709&lt;&gt;"Serviço",0,IF(OR(AND(AUTOEVENTO="Manual",$M709=1),$M709&gt;(ROW(PLE.lastrow)-ROW(PLE.firstrow))),0,IF(OFFSET(PLE!$G$14,$M709,BX$13)="",10^12,OFFSET(PLE!$G$14,$M709,BX$13))))</f>
        <v>1000000000000</v>
      </c>
      <c r="BY709" s="216">
        <f ca="1">IF($D709&lt;&gt;"Serviço",0,IF(OR(AND(AUTOEVENTO="Manual",$M709=1),$M709&gt;(ROW(PLE.lastrow)-ROW(PLE.firstrow))),0,IF(OFFSET(PLE!$G$14,$M709,BY$13)="",10^12,OFFSET(PLE!$G$14,$M709,BY$13))))</f>
        <v>1000000000000</v>
      </c>
      <c r="BZ709" s="216">
        <f ca="1">IF($D709&lt;&gt;"Serviço",0,IF(OR(AND(AUTOEVENTO="Manual",$M709=1),$M709&gt;(ROW(PLE.lastrow)-ROW(PLE.firstrow))),0,IF(OFFSET(PLE!$G$14,$M709,BZ$13)="",10^12,OFFSET(PLE!$G$14,$M709,BZ$13))))</f>
        <v>1000000000000</v>
      </c>
      <c r="CA709" s="216">
        <f ca="1">IF($D709&lt;&gt;"Serviço",0,IF(OR(AND(AUTOEVENTO="Manual",$M709=1),$M709&gt;(ROW(PLE.lastrow)-ROW(PLE.firstrow))),0,IF(OFFSET(PLE!$G$14,$M709,CA$13)="",10^12,OFFSET(PLE!$G$14,$M709,CA$13))))</f>
        <v>1000000000000</v>
      </c>
      <c r="CB709" s="216">
        <f ca="1">IF($D709&lt;&gt;"Serviço",0,IF(OR(AND(AUTOEVENTO="Manual",$M709=1),$M709&gt;(ROW(PLE.lastrow)-ROW(PLE.firstrow))),0,IF(OFFSET(PLE!$G$14,$M709,CB$13)="",10^12,OFFSET(PLE!$G$14,$M709,CB$13))))</f>
        <v>1000000000000</v>
      </c>
      <c r="CC709" s="216">
        <f ca="1">IF($D709&lt;&gt;"Serviço",0,IF(OR(AND(AUTOEVENTO="Manual",$M709=1),$M709&gt;(ROW(PLE.lastrow)-ROW(PLE.firstrow))),0,IF(OFFSET(PLE!$G$14,$M709,CC$13)="",10^12,OFFSET(PLE!$G$14,$M709,CC$13))))</f>
        <v>1000000000000</v>
      </c>
      <c r="CD709" s="216">
        <f ca="1">IF($D709&lt;&gt;"Serviço",0,IF(OR(AND(AUTOEVENTO="Manual",$M709=1),$M709&gt;(ROW(PLE.lastrow)-ROW(PLE.firstrow))),0,IF(OFFSET(PLE!$G$14,$M709,CD$13)="",10^12,OFFSET(PLE!$G$14,$M709,CD$13))))</f>
        <v>1000000000000</v>
      </c>
      <c r="CE709" s="216">
        <f ca="1">IF($D709&lt;&gt;"Serviço",0,IF(OR(AND(AUTOEVENTO="Manual",$M709=1),$M709&gt;(ROW(PLE.lastrow)-ROW(PLE.firstrow))),0,IF(OFFSET(PLE!$G$14,$M709,CE$13)="",10^12,OFFSET(PLE!$G$14,$M709,CE$13))))</f>
        <v>1000000000000</v>
      </c>
      <c r="CF709" s="216">
        <f ca="1">IF($D709&lt;&gt;"Serviço",0,IF(OR(AND(AUTOEVENTO="Manual",$M709=1),$M709&gt;(ROW(PLE.lastrow)-ROW(PLE.firstrow))),0,IF(OFFSET(PLE!$G$14,$M709,CF$13)="",10^12,OFFSET(PLE!$G$14,$M709,CF$13))))</f>
        <v>1000000000000</v>
      </c>
      <c r="CG709" s="216">
        <f ca="1">IF($D709&lt;&gt;"Serviço",0,IF(OR(AND(AUTOEVENTO="Manual",$M709=1),$M709&gt;(ROW(PLE.lastrow)-ROW(PLE.firstrow))),0,IF(OFFSET(PLE!$G$14,$M709,CG$13)="",10^12,OFFSET(PLE!$G$14,$M709,CG$13))))</f>
        <v>1000000000000</v>
      </c>
      <c r="CH709" s="216">
        <f ca="1">IF($D709&lt;&gt;"Serviço",0,IF(OR(AND(AUTOEVENTO="Manual",$M709=1),$M709&gt;(ROW(PLE.lastrow)-ROW(PLE.firstrow))),0,IF(OFFSET(PLE!$G$14,$M709,CH$13)="",10^12,OFFSET(PLE!$G$14,$M709,CH$13))))</f>
        <v>1000000000000</v>
      </c>
      <c r="CI709" s="216">
        <f ca="1">IF($D709&lt;&gt;"Serviço",0,IF(OR(AND(AUTOEVENTO="Manual",$M709=1),$M709&gt;(ROW(PLE.lastrow)-ROW(PLE.firstrow))),0,IF(OFFSET(PLE!$G$14,$M709,CI$13)="",10^12,OFFSET(PLE!$G$14,$M709,CI$13))))</f>
        <v>1000000000000</v>
      </c>
      <c r="CJ709" s="216">
        <f ca="1">IF($D709&lt;&gt;"Serviço",0,IF(OR(AND(AUTOEVENTO="Manual",$M709=1),$M709&gt;(ROW(PLE.lastrow)-ROW(PLE.firstrow))),0,IF(OFFSET(PLE!$G$14,$M709,CJ$13)="",10^12,OFFSET(PLE!$G$14,$M709,CJ$13))))</f>
        <v>1000000000000</v>
      </c>
      <c r="CK709" s="216">
        <f ca="1">IF($D709&lt;&gt;"Serviço",0,IF(OR(AND(AUTOEVENTO="Manual",$M709=1),$M709&gt;(ROW(PLE.lastrow)-ROW(PLE.firstrow))),0,IF(OFFSET(PLE!$G$14,$M709,CK$13)="",10^12,OFFSET(PLE!$G$14,$M709,CK$13))))</f>
        <v>1000000000000</v>
      </c>
      <c r="CL709" s="216">
        <f ca="1">IF($D709&lt;&gt;"Serviço",0,IF(OR(AND(AUTOEVENTO="Manual",$M709=1),$M709&gt;(ROW(PLE.lastrow)-ROW(PLE.firstrow))),0,IF(OFFSET(PLE!$G$14,$M709,CL$13)="",10^12,OFFSET(PLE!$G$14,$M709,CL$13))))</f>
        <v>1000000000000</v>
      </c>
      <c r="CM709" s="216">
        <f ca="1">IF($D709&lt;&gt;"Serviço",0,IF(OR(AND(AUTOEVENTO="Manual",$M709=1),$M709&gt;(ROW(PLE.lastrow)-ROW(PLE.firstrow))),0,IF(OFFSET(PLE!$G$14,$M709,CM$13)="",10^12,OFFSET(PLE!$G$14,$M709,CM$13))))</f>
        <v>1000000000000</v>
      </c>
    </row>
    <row r="710" spans="1:91" ht="5.0999999999999996" customHeight="1" x14ac:dyDescent="0.25">
      <c r="B710" s="9">
        <f ca="1">OFFSET(ORÇAMENTO!C$15,ROW(B710)-ROW(B$15),0)</f>
        <v>-1</v>
      </c>
      <c r="C710" s="9" t="str">
        <f ca="1">OFFSET(ORÇAMENTO!L$15,ROW(C710)-ROW(C$15),0)</f>
        <v>F</v>
      </c>
      <c r="D710" s="562" t="s">
        <v>196</v>
      </c>
      <c r="E710" s="563"/>
      <c r="F710" s="564"/>
      <c r="G710" s="564"/>
      <c r="H710" s="564"/>
      <c r="I710" s="565"/>
      <c r="J710" s="176"/>
      <c r="K710" s="568"/>
      <c r="L710" s="561" t="s">
        <v>257</v>
      </c>
      <c r="M710" s="569"/>
      <c r="N710" s="566"/>
      <c r="O710" s="560"/>
      <c r="P710" s="176"/>
      <c r="Q710" s="567"/>
      <c r="R710" s="564"/>
      <c r="S710" s="564"/>
      <c r="T710" s="564"/>
      <c r="U710" s="564"/>
      <c r="V710" s="564"/>
      <c r="W710" s="564"/>
      <c r="X710" s="564"/>
      <c r="Y710" s="564"/>
      <c r="Z710" s="565"/>
      <c r="AA710" s="564"/>
      <c r="AB710" s="564"/>
      <c r="AC710" s="564"/>
      <c r="AD710" s="564"/>
      <c r="AE710" s="564"/>
      <c r="AF710" s="564"/>
      <c r="AG710" s="564"/>
      <c r="AH710" s="565"/>
      <c r="AI710" s="176"/>
      <c r="AJ710" s="167"/>
      <c r="AK710" s="226"/>
      <c r="AL710" s="226"/>
      <c r="AM710" s="226"/>
      <c r="AN710" s="226"/>
      <c r="AO710" s="226"/>
      <c r="AP710" s="226"/>
      <c r="AQ710" s="226"/>
      <c r="AR710" s="226"/>
      <c r="AS710" s="168"/>
      <c r="AT710" s="226"/>
      <c r="AU710" s="226"/>
      <c r="AV710" s="226"/>
      <c r="AW710" s="226"/>
      <c r="AX710" s="226"/>
      <c r="AY710" s="226"/>
      <c r="AZ710" s="226"/>
      <c r="BA710" s="168"/>
      <c r="BC710" s="167"/>
      <c r="BD710" s="226"/>
      <c r="BE710" s="226"/>
      <c r="BF710" s="226"/>
      <c r="BG710" s="226"/>
      <c r="BH710" s="226"/>
      <c r="BI710" s="226"/>
      <c r="BJ710" s="226"/>
      <c r="BK710" s="226"/>
      <c r="BL710" s="168"/>
      <c r="BM710" s="226"/>
      <c r="BN710" s="226"/>
      <c r="BO710" s="226"/>
      <c r="BP710" s="226"/>
      <c r="BQ710" s="226"/>
      <c r="BR710" s="226"/>
      <c r="BS710" s="226"/>
      <c r="BT710" s="168"/>
      <c r="BV710" s="167"/>
      <c r="BW710" s="226"/>
      <c r="BX710" s="226"/>
      <c r="BY710" s="226"/>
      <c r="BZ710" s="226"/>
      <c r="CA710" s="226"/>
      <c r="CB710" s="226"/>
      <c r="CC710" s="226"/>
      <c r="CD710" s="226"/>
      <c r="CE710" s="168"/>
      <c r="CF710" s="226"/>
      <c r="CG710" s="226"/>
      <c r="CH710" s="226"/>
      <c r="CI710" s="226"/>
      <c r="CJ710" s="226"/>
      <c r="CK710" s="226"/>
      <c r="CL710" s="226"/>
      <c r="CM710" s="168"/>
    </row>
    <row r="711" spans="1:91" ht="12.75" customHeight="1" x14ac:dyDescent="0.25"/>
    <row r="712" spans="1:91" ht="12.75" customHeight="1" x14ac:dyDescent="0.25"/>
    <row r="713" spans="1:91" ht="12.75" customHeight="1" x14ac:dyDescent="0.25"/>
    <row r="714" spans="1:91" ht="15" customHeight="1" x14ac:dyDescent="0.25">
      <c r="F714" s="227" t="str">
        <f>Import.Município</f>
        <v>LAGUNA/SC</v>
      </c>
      <c r="I714" s="640"/>
      <c r="J714" s="640"/>
      <c r="K714" s="640"/>
      <c r="L714" s="640"/>
      <c r="M714" s="641"/>
      <c r="N714" s="557"/>
      <c r="T714" s="175"/>
      <c r="U714" s="175"/>
      <c r="V714" s="228"/>
      <c r="W714" s="228"/>
      <c r="X714" s="228"/>
      <c r="Y714" s="228"/>
      <c r="AB714" s="175"/>
      <c r="AC714" s="175"/>
      <c r="AD714" s="228"/>
      <c r="AE714" s="228"/>
      <c r="AF714" s="228"/>
      <c r="AG714" s="228"/>
    </row>
    <row r="715" spans="1:91" ht="12.75" customHeight="1" x14ac:dyDescent="0.25">
      <c r="F715" s="12" t="s">
        <v>190</v>
      </c>
      <c r="I715" s="229" t="s">
        <v>192</v>
      </c>
      <c r="J715" s="229"/>
      <c r="K715" s="229"/>
      <c r="L715" s="229"/>
      <c r="T715" s="229" t="s">
        <v>192</v>
      </c>
      <c r="U715" s="229"/>
      <c r="AB715" s="229" t="s">
        <v>192</v>
      </c>
      <c r="AC715" s="229"/>
    </row>
    <row r="716" spans="1:91" ht="12.75" customHeight="1" x14ac:dyDescent="0.25">
      <c r="A716"/>
      <c r="B716"/>
      <c r="F716" s="104"/>
      <c r="I716" s="642" t="str">
        <f t="array" aca="1" ref="I716:I718" ca="1">OFFSET(Import.RespOrçamento,0,-1) &amp; " " &amp; Import.RespOrçamento</f>
        <v>Nome: Norton dos Santos Filho</v>
      </c>
      <c r="K716" s="96"/>
      <c r="L716" s="96"/>
      <c r="T716" s="642" t="str">
        <f t="array" aca="1" ref="T716:T718" ca="1">OFFSET(Import.RespOrçamento,0,-1) &amp; " " &amp; Import.RespOrçamento</f>
        <v>Nome: Norton dos Santos Filho</v>
      </c>
      <c r="U716" s="95"/>
      <c r="AB716" s="642" t="str">
        <f t="array" aca="1" ref="AB716:AB718" ca="1">OFFSET(Import.RespOrçamento,0,-1) &amp; " " &amp; Import.RespOrçamento</f>
        <v>Nome: Norton dos Santos Filho</v>
      </c>
      <c r="AC716" s="95"/>
    </row>
    <row r="717" spans="1:91" ht="12.75" customHeight="1" x14ac:dyDescent="0.25">
      <c r="A717"/>
      <c r="B717"/>
      <c r="F717" s="639">
        <f ca="1">DADOS!$F$25</f>
        <v>45477</v>
      </c>
      <c r="I717" s="642" t="str">
        <f ca="1"/>
        <v>CREA/CAU: 139329-8</v>
      </c>
      <c r="K717" s="96"/>
      <c r="L717" s="96"/>
      <c r="T717" s="642" t="str">
        <f ca="1"/>
        <v>CREA/CAU: 139329-8</v>
      </c>
      <c r="U717" s="95"/>
      <c r="AB717" s="642" t="str">
        <f ca="1"/>
        <v>CREA/CAU: 139329-8</v>
      </c>
      <c r="AC717" s="95"/>
    </row>
    <row r="718" spans="1:91" ht="12.75" customHeight="1" x14ac:dyDescent="0.25">
      <c r="A718"/>
      <c r="B718"/>
      <c r="F718" s="177" t="s">
        <v>191</v>
      </c>
      <c r="I718" s="642" t="str">
        <f ca="1"/>
        <v>ART/RRT: 9200819-3</v>
      </c>
      <c r="K718" s="96"/>
      <c r="L718" s="96"/>
      <c r="T718" s="642" t="str">
        <f ca="1"/>
        <v>ART/RRT: 9200819-3</v>
      </c>
      <c r="U718" s="95"/>
      <c r="AB718" s="642" t="str">
        <f ca="1"/>
        <v>ART/RRT: 9200819-3</v>
      </c>
      <c r="AC718" s="95"/>
    </row>
    <row r="719" spans="1:91" ht="12.75" customHeight="1" x14ac:dyDescent="0.25">
      <c r="A719"/>
      <c r="B719"/>
      <c r="C719"/>
      <c r="M719"/>
    </row>
    <row r="720" spans="1:91" ht="12.75" customHeight="1" x14ac:dyDescent="0.25">
      <c r="A720"/>
      <c r="B720"/>
      <c r="C720"/>
      <c r="M720"/>
    </row>
    <row r="721" spans="1:13" ht="12.75" customHeight="1" x14ac:dyDescent="0.25">
      <c r="A721"/>
      <c r="B721"/>
      <c r="C721"/>
      <c r="M721"/>
    </row>
    <row r="722" spans="1:13" ht="12.75" customHeight="1" x14ac:dyDescent="0.25">
      <c r="A722"/>
      <c r="B722"/>
      <c r="C722"/>
      <c r="M722"/>
    </row>
    <row r="723" spans="1:13" ht="12.75" customHeight="1" x14ac:dyDescent="0.25">
      <c r="A723"/>
      <c r="B723"/>
      <c r="C723"/>
      <c r="M723"/>
    </row>
    <row r="724" spans="1:13" ht="12.75" customHeight="1" x14ac:dyDescent="0.25">
      <c r="A724"/>
      <c r="B724"/>
      <c r="C724"/>
      <c r="M724"/>
    </row>
    <row r="725" spans="1:13" ht="12.75" customHeight="1" x14ac:dyDescent="0.25">
      <c r="A725"/>
      <c r="B725"/>
      <c r="C725"/>
      <c r="M725"/>
    </row>
    <row r="726" spans="1:13" ht="12.75" customHeight="1" x14ac:dyDescent="0.25">
      <c r="A726"/>
      <c r="B726"/>
      <c r="C726"/>
      <c r="M726"/>
    </row>
    <row r="727" spans="1:13" ht="12.75" customHeight="1" x14ac:dyDescent="0.25">
      <c r="A727"/>
      <c r="B727"/>
      <c r="C727"/>
      <c r="M727"/>
    </row>
    <row r="728" spans="1:13" ht="12.75" customHeight="1" x14ac:dyDescent="0.25">
      <c r="A728"/>
      <c r="B728"/>
      <c r="C728"/>
      <c r="M728"/>
    </row>
    <row r="729" spans="1:13" ht="12.75" customHeight="1" x14ac:dyDescent="0.25">
      <c r="A729"/>
      <c r="B729"/>
      <c r="C729"/>
      <c r="M729"/>
    </row>
    <row r="730" spans="1:13" ht="12.75" customHeight="1" x14ac:dyDescent="0.25">
      <c r="A730"/>
      <c r="B730"/>
      <c r="C730"/>
      <c r="M730"/>
    </row>
    <row r="731" spans="1:13" ht="12.75" customHeight="1" x14ac:dyDescent="0.25">
      <c r="A731"/>
      <c r="B731"/>
      <c r="C731"/>
      <c r="M731"/>
    </row>
    <row r="732" spans="1:13" ht="12.75" customHeight="1" x14ac:dyDescent="0.25">
      <c r="A732"/>
      <c r="B732"/>
      <c r="C732"/>
      <c r="M732"/>
    </row>
    <row r="733" spans="1:13" ht="12.75" customHeight="1" x14ac:dyDescent="0.25">
      <c r="A733"/>
      <c r="B733"/>
      <c r="C733"/>
      <c r="M733"/>
    </row>
    <row r="734" spans="1:13" ht="12.75" customHeight="1" x14ac:dyDescent="0.25">
      <c r="A734"/>
      <c r="B734"/>
      <c r="C734"/>
      <c r="M734"/>
    </row>
    <row r="735" spans="1:13" ht="12.75" customHeight="1" x14ac:dyDescent="0.25">
      <c r="A735"/>
      <c r="B735"/>
      <c r="C735"/>
      <c r="M735"/>
    </row>
    <row r="736" spans="1:13" ht="12.75" customHeight="1" x14ac:dyDescent="0.25">
      <c r="A736"/>
      <c r="B736"/>
      <c r="C736"/>
      <c r="M736"/>
    </row>
    <row r="737" spans="1:13" ht="12.75" customHeight="1" x14ac:dyDescent="0.25">
      <c r="A737"/>
      <c r="B737"/>
      <c r="C737"/>
      <c r="M737"/>
    </row>
    <row r="738" spans="1:13" ht="12.75" customHeight="1" x14ac:dyDescent="0.25">
      <c r="A738"/>
      <c r="B738"/>
      <c r="C738"/>
      <c r="M738"/>
    </row>
    <row r="739" spans="1:13" ht="12.75" customHeight="1" x14ac:dyDescent="0.25">
      <c r="A739"/>
      <c r="B739"/>
      <c r="C739"/>
      <c r="M739"/>
    </row>
    <row r="740" spans="1:13" ht="12.75" customHeight="1" x14ac:dyDescent="0.25">
      <c r="A740"/>
      <c r="B740"/>
      <c r="C740"/>
      <c r="M740"/>
    </row>
    <row r="741" spans="1:13" ht="12.75" customHeight="1" x14ac:dyDescent="0.25">
      <c r="A741"/>
      <c r="B741"/>
      <c r="C741"/>
      <c r="M741"/>
    </row>
    <row r="742" spans="1:13" ht="12.75" customHeight="1" x14ac:dyDescent="0.25">
      <c r="A742"/>
      <c r="B742"/>
      <c r="C742"/>
      <c r="M742"/>
    </row>
    <row r="743" spans="1:13" ht="12.75" customHeight="1" x14ac:dyDescent="0.25">
      <c r="A743"/>
      <c r="B743"/>
      <c r="C743"/>
      <c r="M743"/>
    </row>
    <row r="744" spans="1:13" ht="12.75" customHeight="1" x14ac:dyDescent="0.25">
      <c r="A744"/>
      <c r="B744"/>
      <c r="C744"/>
      <c r="M744"/>
    </row>
    <row r="745" spans="1:13" ht="12.75" customHeight="1" x14ac:dyDescent="0.25">
      <c r="A745"/>
      <c r="B745"/>
      <c r="C745"/>
      <c r="M745"/>
    </row>
    <row r="746" spans="1:13" ht="12.75" customHeight="1" x14ac:dyDescent="0.25">
      <c r="A746"/>
      <c r="B746"/>
      <c r="C746"/>
      <c r="M746"/>
    </row>
    <row r="747" spans="1:13" ht="12.75" customHeight="1" x14ac:dyDescent="0.25">
      <c r="A747"/>
      <c r="B747"/>
      <c r="C747"/>
      <c r="M747"/>
    </row>
    <row r="748" spans="1:13" ht="12.75" customHeight="1" x14ac:dyDescent="0.25">
      <c r="A748"/>
      <c r="B748"/>
      <c r="C748"/>
      <c r="M748"/>
    </row>
    <row r="749" spans="1:13" ht="12.75" customHeight="1" x14ac:dyDescent="0.25">
      <c r="A749"/>
      <c r="B749"/>
      <c r="C749"/>
      <c r="M749"/>
    </row>
    <row r="750" spans="1:13" ht="12.75" customHeight="1" x14ac:dyDescent="0.25">
      <c r="A750"/>
      <c r="B750"/>
      <c r="C750"/>
      <c r="M750"/>
    </row>
    <row r="751" spans="1:13" ht="12.75" customHeight="1" x14ac:dyDescent="0.25">
      <c r="A751"/>
      <c r="B751"/>
      <c r="C751"/>
      <c r="M751"/>
    </row>
    <row r="752" spans="1:13" ht="12.75" customHeight="1" x14ac:dyDescent="0.25">
      <c r="A752"/>
      <c r="B752"/>
      <c r="C752"/>
      <c r="M752"/>
    </row>
    <row r="753" spans="1:13" ht="12.75" customHeight="1" x14ac:dyDescent="0.25">
      <c r="A753"/>
      <c r="B753"/>
      <c r="C753"/>
      <c r="M753"/>
    </row>
    <row r="754" spans="1:13" ht="12.75" customHeight="1" x14ac:dyDescent="0.25">
      <c r="A754"/>
      <c r="B754"/>
      <c r="C754"/>
      <c r="M754"/>
    </row>
    <row r="755" spans="1:13" ht="12.75" customHeight="1" x14ac:dyDescent="0.25">
      <c r="A755"/>
      <c r="B755"/>
      <c r="C755"/>
      <c r="M755"/>
    </row>
    <row r="756" spans="1:13" ht="12.75" customHeight="1" x14ac:dyDescent="0.25">
      <c r="A756"/>
      <c r="B756"/>
      <c r="C756"/>
      <c r="M756"/>
    </row>
    <row r="757" spans="1:13" ht="12.75" customHeight="1" x14ac:dyDescent="0.25">
      <c r="A757"/>
      <c r="B757"/>
      <c r="C757"/>
      <c r="M757"/>
    </row>
    <row r="758" spans="1:13" ht="12.75" customHeight="1" x14ac:dyDescent="0.25">
      <c r="A758"/>
      <c r="B758"/>
      <c r="C758"/>
      <c r="M758"/>
    </row>
    <row r="759" spans="1:13" ht="12.75" customHeight="1" x14ac:dyDescent="0.25">
      <c r="A759"/>
      <c r="B759"/>
      <c r="C759"/>
      <c r="M759"/>
    </row>
    <row r="760" spans="1:13" ht="12.75" customHeight="1" x14ac:dyDescent="0.25">
      <c r="A760"/>
      <c r="B760"/>
      <c r="C760"/>
      <c r="M760"/>
    </row>
    <row r="761" spans="1:13" ht="12.75" customHeight="1" x14ac:dyDescent="0.25">
      <c r="A761"/>
      <c r="B761"/>
      <c r="C761"/>
      <c r="M761"/>
    </row>
    <row r="762" spans="1:13" ht="12.75" customHeight="1" x14ac:dyDescent="0.25">
      <c r="A762"/>
      <c r="B762"/>
      <c r="C762"/>
      <c r="M762"/>
    </row>
    <row r="763" spans="1:13" ht="12.75" customHeight="1" x14ac:dyDescent="0.25">
      <c r="A763"/>
      <c r="B763"/>
      <c r="C763"/>
      <c r="M763"/>
    </row>
    <row r="764" spans="1:13" ht="12.75" customHeight="1" x14ac:dyDescent="0.25">
      <c r="A764"/>
      <c r="B764"/>
      <c r="C764"/>
      <c r="M764"/>
    </row>
    <row r="765" spans="1:13" ht="12.75" customHeight="1" x14ac:dyDescent="0.25">
      <c r="A765"/>
      <c r="B765"/>
      <c r="C765"/>
      <c r="M765"/>
    </row>
    <row r="766" spans="1:13" ht="12.75" customHeight="1" x14ac:dyDescent="0.25">
      <c r="A766"/>
      <c r="B766"/>
      <c r="C766"/>
      <c r="M766"/>
    </row>
    <row r="767" spans="1:13" ht="12.75" customHeight="1" x14ac:dyDescent="0.25">
      <c r="A767"/>
      <c r="B767"/>
      <c r="C767"/>
      <c r="M767"/>
    </row>
    <row r="768" spans="1:13" ht="12.75" customHeight="1" x14ac:dyDescent="0.25">
      <c r="A768"/>
      <c r="B768"/>
      <c r="C768"/>
      <c r="M768"/>
    </row>
    <row r="769" spans="1:13" ht="12.75" customHeight="1" x14ac:dyDescent="0.25">
      <c r="A769"/>
      <c r="B769"/>
      <c r="C769"/>
      <c r="M769"/>
    </row>
    <row r="770" spans="1:13" ht="12.75" customHeight="1" x14ac:dyDescent="0.25">
      <c r="A770"/>
      <c r="B770"/>
      <c r="C770"/>
      <c r="M770"/>
    </row>
    <row r="771" spans="1:13" ht="12.75" customHeight="1" x14ac:dyDescent="0.25">
      <c r="A771"/>
      <c r="B771"/>
      <c r="C771"/>
      <c r="M771"/>
    </row>
    <row r="772" spans="1:13" ht="12.75" customHeight="1" x14ac:dyDescent="0.25">
      <c r="A772"/>
      <c r="B772"/>
      <c r="C772"/>
      <c r="M772"/>
    </row>
    <row r="773" spans="1:13" ht="12.75" customHeight="1" x14ac:dyDescent="0.25">
      <c r="A773"/>
      <c r="B773"/>
      <c r="C773"/>
      <c r="M773"/>
    </row>
    <row r="774" spans="1:13" ht="12.75" customHeight="1" x14ac:dyDescent="0.25">
      <c r="A774"/>
      <c r="B774"/>
      <c r="C774"/>
      <c r="M774"/>
    </row>
    <row r="775" spans="1:13" ht="12.75" customHeight="1" x14ac:dyDescent="0.25">
      <c r="A775"/>
      <c r="B775"/>
      <c r="C775"/>
      <c r="M775"/>
    </row>
    <row r="776" spans="1:13" ht="12.75" customHeight="1" x14ac:dyDescent="0.25">
      <c r="A776"/>
      <c r="B776"/>
      <c r="C776"/>
      <c r="M776"/>
    </row>
    <row r="777" spans="1:13" ht="12.75" customHeight="1" x14ac:dyDescent="0.25">
      <c r="A777"/>
      <c r="B777"/>
      <c r="C777"/>
      <c r="M777"/>
    </row>
    <row r="778" spans="1:13" ht="12.75" customHeight="1" x14ac:dyDescent="0.25">
      <c r="A778"/>
      <c r="B778"/>
      <c r="C778"/>
      <c r="M778"/>
    </row>
    <row r="779" spans="1:13" ht="12.75" customHeight="1" x14ac:dyDescent="0.25">
      <c r="A779"/>
      <c r="B779"/>
      <c r="C779"/>
      <c r="M779"/>
    </row>
    <row r="780" spans="1:13" ht="12.75" customHeight="1" x14ac:dyDescent="0.25">
      <c r="A780"/>
      <c r="B780"/>
      <c r="C780"/>
      <c r="M780"/>
    </row>
    <row r="781" spans="1:13" ht="12.75" customHeight="1" x14ac:dyDescent="0.25">
      <c r="A781"/>
      <c r="B781"/>
      <c r="C781"/>
      <c r="M781"/>
    </row>
    <row r="782" spans="1:13" ht="12.75" customHeight="1" x14ac:dyDescent="0.25">
      <c r="A782"/>
      <c r="B782"/>
      <c r="C782"/>
      <c r="M782"/>
    </row>
    <row r="783" spans="1:13" ht="12.75" customHeight="1" x14ac:dyDescent="0.25">
      <c r="A783"/>
      <c r="B783"/>
      <c r="C783"/>
      <c r="M783"/>
    </row>
    <row r="784" spans="1:13" ht="12.75" customHeight="1" x14ac:dyDescent="0.25">
      <c r="A784"/>
      <c r="B784"/>
      <c r="C784"/>
      <c r="M784"/>
    </row>
    <row r="785" spans="1:13" ht="12.75" customHeight="1" x14ac:dyDescent="0.25">
      <c r="A785"/>
      <c r="B785"/>
      <c r="C785"/>
      <c r="M785"/>
    </row>
    <row r="786" spans="1:13" ht="12.75" customHeight="1" x14ac:dyDescent="0.25">
      <c r="A786"/>
      <c r="B786"/>
      <c r="C786"/>
      <c r="M786"/>
    </row>
    <row r="787" spans="1:13" ht="12.75" customHeight="1" x14ac:dyDescent="0.25">
      <c r="A787"/>
      <c r="B787"/>
      <c r="C787"/>
      <c r="M787"/>
    </row>
    <row r="788" spans="1:13" ht="12.75" customHeight="1" x14ac:dyDescent="0.25">
      <c r="A788"/>
      <c r="B788"/>
      <c r="C788"/>
      <c r="M788"/>
    </row>
    <row r="789" spans="1:13" ht="12.75" customHeight="1" x14ac:dyDescent="0.25">
      <c r="A789"/>
      <c r="B789"/>
      <c r="C789"/>
      <c r="M789"/>
    </row>
    <row r="790" spans="1:13" ht="12.75" customHeight="1" x14ac:dyDescent="0.25">
      <c r="A790"/>
      <c r="B790"/>
      <c r="C790"/>
      <c r="M790"/>
    </row>
    <row r="791" spans="1:13" ht="12.75" customHeight="1" x14ac:dyDescent="0.25">
      <c r="A791"/>
      <c r="B791"/>
      <c r="C791"/>
      <c r="M791"/>
    </row>
    <row r="792" spans="1:13" ht="12.75" customHeight="1" x14ac:dyDescent="0.25">
      <c r="A792"/>
      <c r="B792"/>
      <c r="C792"/>
      <c r="M792"/>
    </row>
    <row r="793" spans="1:13" ht="12.75" customHeight="1" x14ac:dyDescent="0.25">
      <c r="A793"/>
      <c r="B793"/>
      <c r="C793"/>
      <c r="M793"/>
    </row>
    <row r="794" spans="1:13" ht="12.75" customHeight="1" x14ac:dyDescent="0.25">
      <c r="A794"/>
      <c r="B794"/>
      <c r="C794"/>
      <c r="M794"/>
    </row>
    <row r="795" spans="1:13" ht="12.75" customHeight="1" x14ac:dyDescent="0.25">
      <c r="A795"/>
      <c r="B795"/>
      <c r="C795"/>
      <c r="M795"/>
    </row>
    <row r="796" spans="1:13" ht="12.75" customHeight="1" x14ac:dyDescent="0.25">
      <c r="A796"/>
      <c r="B796"/>
      <c r="C796"/>
      <c r="M796"/>
    </row>
    <row r="797" spans="1:13" ht="12.75" customHeight="1" x14ac:dyDescent="0.25">
      <c r="A797"/>
      <c r="B797"/>
      <c r="C797"/>
      <c r="M797"/>
    </row>
    <row r="798" spans="1:13" ht="12.75" customHeight="1" x14ac:dyDescent="0.25">
      <c r="A798"/>
      <c r="B798"/>
      <c r="C798"/>
      <c r="M798"/>
    </row>
    <row r="799" spans="1:13" ht="12.75" customHeight="1" x14ac:dyDescent="0.25">
      <c r="A799"/>
      <c r="B799"/>
      <c r="C799"/>
      <c r="M799"/>
    </row>
    <row r="800" spans="1:13" ht="12.75" customHeight="1" x14ac:dyDescent="0.25">
      <c r="A800"/>
      <c r="B800"/>
      <c r="C800"/>
      <c r="M800"/>
    </row>
    <row r="801" spans="1:13" ht="12.75" customHeight="1" x14ac:dyDescent="0.25">
      <c r="A801"/>
      <c r="B801"/>
      <c r="C801"/>
      <c r="M801"/>
    </row>
    <row r="802" spans="1:13" ht="12.75" customHeight="1" x14ac:dyDescent="0.25">
      <c r="A802"/>
      <c r="B802"/>
      <c r="C802"/>
      <c r="M802"/>
    </row>
    <row r="803" spans="1:13" ht="12.75" customHeight="1" x14ac:dyDescent="0.25">
      <c r="A803"/>
      <c r="B803"/>
      <c r="C803"/>
      <c r="M803"/>
    </row>
    <row r="804" spans="1:13" ht="12.75" customHeight="1" x14ac:dyDescent="0.25">
      <c r="A804"/>
      <c r="B804"/>
      <c r="C804"/>
      <c r="M804"/>
    </row>
    <row r="805" spans="1:13" ht="12.75" customHeight="1" x14ac:dyDescent="0.25">
      <c r="A805"/>
      <c r="B805"/>
      <c r="C805"/>
      <c r="M805"/>
    </row>
    <row r="806" spans="1:13" ht="12.75" customHeight="1" x14ac:dyDescent="0.25">
      <c r="A806"/>
      <c r="B806"/>
      <c r="C806"/>
      <c r="M806"/>
    </row>
    <row r="807" spans="1:13" ht="12.75" customHeight="1" x14ac:dyDescent="0.25">
      <c r="A807"/>
      <c r="B807"/>
      <c r="C807"/>
      <c r="M807"/>
    </row>
    <row r="808" spans="1:13" ht="12.75" customHeight="1" x14ac:dyDescent="0.25">
      <c r="A808"/>
      <c r="B808"/>
      <c r="C808"/>
      <c r="M808"/>
    </row>
    <row r="809" spans="1:13" ht="12.75" customHeight="1" x14ac:dyDescent="0.25">
      <c r="A809"/>
      <c r="B809"/>
      <c r="C809"/>
      <c r="M809"/>
    </row>
    <row r="810" spans="1:13" ht="12.75" customHeight="1" x14ac:dyDescent="0.25">
      <c r="A810"/>
      <c r="B810"/>
      <c r="C810"/>
      <c r="M810"/>
    </row>
    <row r="811" spans="1:13" ht="12.75" customHeight="1" x14ac:dyDescent="0.25">
      <c r="A811"/>
      <c r="B811"/>
      <c r="C811"/>
      <c r="M811"/>
    </row>
    <row r="812" spans="1:13" ht="12.75" customHeight="1" x14ac:dyDescent="0.25">
      <c r="A812"/>
      <c r="B812"/>
      <c r="C812"/>
      <c r="M812"/>
    </row>
    <row r="813" spans="1:13" ht="12.75" customHeight="1" x14ac:dyDescent="0.25">
      <c r="A813"/>
      <c r="B813"/>
      <c r="C813"/>
      <c r="M813"/>
    </row>
    <row r="814" spans="1:13" ht="12.75" customHeight="1" x14ac:dyDescent="0.25">
      <c r="A814"/>
      <c r="B814"/>
      <c r="C814"/>
      <c r="M814"/>
    </row>
    <row r="815" spans="1:13" ht="12.75" customHeight="1" x14ac:dyDescent="0.25">
      <c r="A815"/>
      <c r="B815"/>
      <c r="C815"/>
      <c r="M815"/>
    </row>
    <row r="816" spans="1:13" ht="12.75" customHeight="1" x14ac:dyDescent="0.25">
      <c r="A816"/>
      <c r="B816"/>
      <c r="C816"/>
      <c r="M816"/>
    </row>
    <row r="817" spans="1:13" ht="12.75" customHeight="1" x14ac:dyDescent="0.25">
      <c r="A817"/>
      <c r="B817"/>
      <c r="C817"/>
      <c r="M817"/>
    </row>
    <row r="818" spans="1:13" ht="12.75" customHeight="1" x14ac:dyDescent="0.25">
      <c r="A818"/>
      <c r="B818"/>
      <c r="C818"/>
      <c r="M818"/>
    </row>
    <row r="819" spans="1:13" ht="12.75" customHeight="1" x14ac:dyDescent="0.25">
      <c r="A819"/>
      <c r="B819"/>
      <c r="C819"/>
      <c r="M819"/>
    </row>
    <row r="820" spans="1:13" ht="12.75" customHeight="1" x14ac:dyDescent="0.25">
      <c r="A820"/>
      <c r="B820"/>
      <c r="C820"/>
      <c r="M820"/>
    </row>
    <row r="821" spans="1:13" ht="12.75" customHeight="1" x14ac:dyDescent="0.25">
      <c r="A821"/>
      <c r="B821"/>
      <c r="C821"/>
      <c r="M821"/>
    </row>
    <row r="822" spans="1:13" ht="12.75" customHeight="1" x14ac:dyDescent="0.25">
      <c r="A822"/>
      <c r="B822"/>
      <c r="C822"/>
      <c r="M822"/>
    </row>
    <row r="823" spans="1:13" ht="12.75" customHeight="1" x14ac:dyDescent="0.25">
      <c r="A823"/>
      <c r="B823"/>
      <c r="C823"/>
      <c r="M823"/>
    </row>
    <row r="824" spans="1:13" ht="12.75" customHeight="1" x14ac:dyDescent="0.25">
      <c r="A824"/>
      <c r="B824"/>
      <c r="C824"/>
      <c r="M824"/>
    </row>
    <row r="825" spans="1:13" ht="12.75" customHeight="1" x14ac:dyDescent="0.25">
      <c r="A825"/>
      <c r="B825"/>
      <c r="C825"/>
      <c r="M825"/>
    </row>
    <row r="826" spans="1:13" ht="12.75" customHeight="1" x14ac:dyDescent="0.25">
      <c r="A826"/>
      <c r="B826"/>
      <c r="C826"/>
      <c r="M826"/>
    </row>
    <row r="827" spans="1:13" ht="12.75" customHeight="1" x14ac:dyDescent="0.25">
      <c r="A827"/>
      <c r="B827"/>
      <c r="C827"/>
      <c r="M827"/>
    </row>
    <row r="828" spans="1:13" ht="12.75" customHeight="1" x14ac:dyDescent="0.25">
      <c r="A828"/>
      <c r="B828"/>
      <c r="C828"/>
      <c r="M828"/>
    </row>
    <row r="829" spans="1:13" ht="12.75" customHeight="1" x14ac:dyDescent="0.25">
      <c r="A829"/>
      <c r="B829"/>
      <c r="C829"/>
      <c r="M829"/>
    </row>
    <row r="830" spans="1:13" ht="12.75" customHeight="1" x14ac:dyDescent="0.25">
      <c r="A830"/>
      <c r="B830"/>
      <c r="C830"/>
      <c r="M830"/>
    </row>
    <row r="831" spans="1:13" ht="12.75" customHeight="1" x14ac:dyDescent="0.25">
      <c r="A831"/>
      <c r="B831"/>
      <c r="C831"/>
      <c r="M831"/>
    </row>
    <row r="832" spans="1:13" ht="12.75" customHeight="1" x14ac:dyDescent="0.25">
      <c r="A832"/>
      <c r="B832"/>
      <c r="C832"/>
      <c r="M832"/>
    </row>
    <row r="833" spans="1:13" ht="12.75" customHeight="1" x14ac:dyDescent="0.25">
      <c r="A833"/>
      <c r="B833"/>
      <c r="C833"/>
      <c r="M833"/>
    </row>
    <row r="834" spans="1:13" ht="12.75" customHeight="1" x14ac:dyDescent="0.25">
      <c r="A834"/>
      <c r="B834"/>
      <c r="C834"/>
      <c r="M834"/>
    </row>
    <row r="835" spans="1:13" ht="12.75" customHeight="1" x14ac:dyDescent="0.25">
      <c r="A835"/>
      <c r="B835"/>
      <c r="C835"/>
      <c r="M835"/>
    </row>
    <row r="836" spans="1:13" ht="12.75" customHeight="1" x14ac:dyDescent="0.25">
      <c r="A836"/>
      <c r="B836"/>
      <c r="C836"/>
      <c r="M836"/>
    </row>
    <row r="837" spans="1:13" ht="12.75" customHeight="1" x14ac:dyDescent="0.25">
      <c r="A837"/>
      <c r="B837"/>
      <c r="C837"/>
      <c r="M837"/>
    </row>
    <row r="838" spans="1:13" ht="12.75" customHeight="1" x14ac:dyDescent="0.25">
      <c r="A838"/>
      <c r="B838"/>
      <c r="C838"/>
      <c r="M838"/>
    </row>
    <row r="839" spans="1:13" ht="12.75" customHeight="1" x14ac:dyDescent="0.25">
      <c r="A839"/>
      <c r="B839"/>
      <c r="C839"/>
      <c r="M839"/>
    </row>
    <row r="840" spans="1:13" ht="12.75" customHeight="1" x14ac:dyDescent="0.25">
      <c r="A840"/>
      <c r="B840"/>
      <c r="C840"/>
      <c r="M840"/>
    </row>
    <row r="841" spans="1:13" ht="12.75" customHeight="1" x14ac:dyDescent="0.25">
      <c r="A841"/>
      <c r="B841"/>
      <c r="C841"/>
      <c r="M841"/>
    </row>
    <row r="842" spans="1:13" ht="12.75" customHeight="1" x14ac:dyDescent="0.25">
      <c r="A842"/>
      <c r="B842"/>
      <c r="C842"/>
      <c r="M842"/>
    </row>
    <row r="843" spans="1:13" ht="12.75" customHeight="1" x14ac:dyDescent="0.25">
      <c r="A843"/>
      <c r="B843"/>
      <c r="C843"/>
      <c r="M843"/>
    </row>
    <row r="844" spans="1:13" ht="12.75" customHeight="1" x14ac:dyDescent="0.25">
      <c r="A844"/>
      <c r="B844"/>
      <c r="C844"/>
      <c r="M844"/>
    </row>
    <row r="845" spans="1:13" ht="12.75" customHeight="1" x14ac:dyDescent="0.25">
      <c r="A845"/>
      <c r="B845"/>
      <c r="C845"/>
      <c r="M845"/>
    </row>
    <row r="846" spans="1:13" ht="12.75" customHeight="1" x14ac:dyDescent="0.25">
      <c r="A846"/>
      <c r="B846"/>
      <c r="C846"/>
      <c r="M846"/>
    </row>
    <row r="847" spans="1:13" ht="12.75" customHeight="1" x14ac:dyDescent="0.25">
      <c r="A847"/>
      <c r="B847"/>
      <c r="C847"/>
      <c r="M847"/>
    </row>
    <row r="848" spans="1:13" ht="12.75" customHeight="1" x14ac:dyDescent="0.25">
      <c r="A848"/>
      <c r="B848"/>
      <c r="C848"/>
      <c r="M848"/>
    </row>
    <row r="849" spans="1:13" ht="12.75" customHeight="1" x14ac:dyDescent="0.25">
      <c r="A849"/>
      <c r="B849"/>
      <c r="C849"/>
      <c r="M849"/>
    </row>
    <row r="850" spans="1:13" ht="12.75" customHeight="1" x14ac:dyDescent="0.25">
      <c r="A850"/>
      <c r="B850"/>
      <c r="C850"/>
      <c r="M850"/>
    </row>
    <row r="851" spans="1:13" ht="12.75" customHeight="1" x14ac:dyDescent="0.25">
      <c r="A851"/>
      <c r="B851"/>
      <c r="C851"/>
      <c r="M851"/>
    </row>
    <row r="852" spans="1:13" ht="12.75" customHeight="1" x14ac:dyDescent="0.25">
      <c r="A852"/>
      <c r="B852"/>
      <c r="C852"/>
      <c r="M852"/>
    </row>
    <row r="853" spans="1:13" ht="12.75" customHeight="1" x14ac:dyDescent="0.25">
      <c r="A853"/>
      <c r="B853"/>
      <c r="C853"/>
      <c r="M853"/>
    </row>
    <row r="854" spans="1:13" ht="12.75" customHeight="1" x14ac:dyDescent="0.25">
      <c r="A854"/>
      <c r="B854"/>
      <c r="C854"/>
      <c r="M854"/>
    </row>
    <row r="855" spans="1:13" ht="12.75" customHeight="1" x14ac:dyDescent="0.25">
      <c r="A855"/>
      <c r="B855"/>
      <c r="C855"/>
      <c r="M855"/>
    </row>
    <row r="856" spans="1:13" ht="12.75" customHeight="1" x14ac:dyDescent="0.25">
      <c r="A856"/>
      <c r="B856"/>
      <c r="C856"/>
      <c r="M856"/>
    </row>
    <row r="857" spans="1:13" ht="12.75" customHeight="1" x14ac:dyDescent="0.25">
      <c r="A857"/>
      <c r="B857"/>
      <c r="C857"/>
      <c r="M857"/>
    </row>
    <row r="858" spans="1:13" ht="12.75" customHeight="1" x14ac:dyDescent="0.25">
      <c r="A858"/>
      <c r="B858"/>
      <c r="C858"/>
      <c r="M858"/>
    </row>
    <row r="859" spans="1:13" ht="12.75" customHeight="1" x14ac:dyDescent="0.25">
      <c r="A859"/>
      <c r="B859"/>
      <c r="C859"/>
      <c r="M859"/>
    </row>
    <row r="860" spans="1:13" ht="12.75" customHeight="1" x14ac:dyDescent="0.25">
      <c r="A860"/>
      <c r="B860"/>
      <c r="C860"/>
      <c r="M860"/>
    </row>
    <row r="861" spans="1:13" ht="12.75" customHeight="1" x14ac:dyDescent="0.25">
      <c r="A861"/>
      <c r="B861"/>
      <c r="C861"/>
      <c r="M861"/>
    </row>
    <row r="862" spans="1:13" ht="12.75" customHeight="1" x14ac:dyDescent="0.25">
      <c r="A862"/>
      <c r="B862"/>
      <c r="C862"/>
      <c r="M862"/>
    </row>
    <row r="863" spans="1:13" ht="12.75" customHeight="1" x14ac:dyDescent="0.25">
      <c r="A863"/>
      <c r="B863"/>
      <c r="C863"/>
      <c r="M863"/>
    </row>
    <row r="864" spans="1:13" ht="12.75" customHeight="1" x14ac:dyDescent="0.25">
      <c r="A864"/>
      <c r="B864"/>
      <c r="C864"/>
      <c r="M864"/>
    </row>
    <row r="865" spans="1:13" ht="12.75" customHeight="1" x14ac:dyDescent="0.25">
      <c r="A865"/>
      <c r="B865"/>
      <c r="C865"/>
      <c r="M865"/>
    </row>
    <row r="866" spans="1:13" ht="12.75" customHeight="1" x14ac:dyDescent="0.25">
      <c r="A866"/>
      <c r="B866"/>
      <c r="C866"/>
      <c r="M866"/>
    </row>
    <row r="867" spans="1:13" ht="12.75" customHeight="1" x14ac:dyDescent="0.25">
      <c r="A867"/>
      <c r="B867"/>
      <c r="C867"/>
      <c r="M867"/>
    </row>
    <row r="868" spans="1:13" ht="12.75" customHeight="1" x14ac:dyDescent="0.25">
      <c r="A868"/>
      <c r="B868"/>
      <c r="C868"/>
      <c r="M868"/>
    </row>
    <row r="869" spans="1:13" ht="12.75" customHeight="1" x14ac:dyDescent="0.25">
      <c r="A869"/>
      <c r="B869"/>
      <c r="C869"/>
      <c r="M869"/>
    </row>
    <row r="870" spans="1:13" ht="12.75" customHeight="1" x14ac:dyDescent="0.25">
      <c r="A870"/>
      <c r="B870"/>
      <c r="C870"/>
      <c r="M870"/>
    </row>
    <row r="871" spans="1:13" ht="12.75" customHeight="1" x14ac:dyDescent="0.25">
      <c r="A871"/>
      <c r="B871"/>
      <c r="C871"/>
      <c r="M871"/>
    </row>
    <row r="872" spans="1:13" ht="12.75" customHeight="1" x14ac:dyDescent="0.25">
      <c r="A872"/>
      <c r="B872"/>
      <c r="C872"/>
      <c r="M872"/>
    </row>
    <row r="873" spans="1:13" ht="12.75" customHeight="1" x14ac:dyDescent="0.25">
      <c r="A873"/>
      <c r="B873"/>
      <c r="C873"/>
      <c r="M873"/>
    </row>
    <row r="874" spans="1:13" ht="12.75" customHeight="1" x14ac:dyDescent="0.25">
      <c r="A874"/>
      <c r="B874"/>
      <c r="C874"/>
      <c r="M874"/>
    </row>
    <row r="875" spans="1:13" ht="12.75" customHeight="1" x14ac:dyDescent="0.25">
      <c r="A875"/>
      <c r="B875"/>
      <c r="C875"/>
      <c r="M875"/>
    </row>
    <row r="876" spans="1:13" ht="12.75" customHeight="1" x14ac:dyDescent="0.25">
      <c r="A876"/>
      <c r="B876"/>
      <c r="C876"/>
      <c r="M876"/>
    </row>
    <row r="877" spans="1:13" ht="12.75" customHeight="1" x14ac:dyDescent="0.25">
      <c r="A877"/>
      <c r="B877"/>
      <c r="C877"/>
      <c r="M877"/>
    </row>
    <row r="878" spans="1:13" ht="12.75" customHeight="1" x14ac:dyDescent="0.25">
      <c r="A878"/>
      <c r="B878"/>
      <c r="C878"/>
      <c r="M878"/>
    </row>
    <row r="879" spans="1:13" ht="12.75" customHeight="1" x14ac:dyDescent="0.25">
      <c r="A879"/>
      <c r="B879"/>
      <c r="C879"/>
      <c r="M879"/>
    </row>
    <row r="880" spans="1:13" ht="12.75" customHeight="1" x14ac:dyDescent="0.25">
      <c r="A880"/>
      <c r="B880"/>
      <c r="C880"/>
      <c r="M880"/>
    </row>
    <row r="881" spans="1:13" ht="12.75" customHeight="1" x14ac:dyDescent="0.25">
      <c r="A881"/>
      <c r="B881"/>
      <c r="C881"/>
      <c r="M881"/>
    </row>
    <row r="882" spans="1:13" ht="12.75" customHeight="1" x14ac:dyDescent="0.25">
      <c r="A882"/>
      <c r="B882"/>
      <c r="C882"/>
      <c r="M882"/>
    </row>
    <row r="883" spans="1:13" ht="12.75" customHeight="1" x14ac:dyDescent="0.25">
      <c r="A883"/>
      <c r="B883"/>
      <c r="C883"/>
      <c r="M883"/>
    </row>
    <row r="884" spans="1:13" ht="12.75" customHeight="1" x14ac:dyDescent="0.25">
      <c r="A884"/>
      <c r="B884"/>
      <c r="C884"/>
      <c r="M884"/>
    </row>
    <row r="885" spans="1:13" ht="12.75" customHeight="1" x14ac:dyDescent="0.25">
      <c r="A885"/>
      <c r="B885"/>
      <c r="C885"/>
      <c r="M885"/>
    </row>
    <row r="886" spans="1:13" ht="12.75" customHeight="1" x14ac:dyDescent="0.25">
      <c r="A886"/>
      <c r="B886"/>
      <c r="C886"/>
      <c r="M886"/>
    </row>
    <row r="887" spans="1:13" ht="12.75" customHeight="1" x14ac:dyDescent="0.25">
      <c r="A887"/>
      <c r="B887"/>
      <c r="C887"/>
      <c r="M887"/>
    </row>
    <row r="888" spans="1:13" ht="12.75" customHeight="1" x14ac:dyDescent="0.25">
      <c r="A888"/>
      <c r="B888"/>
      <c r="C888"/>
      <c r="M888"/>
    </row>
    <row r="889" spans="1:13" ht="12.75" customHeight="1" x14ac:dyDescent="0.25">
      <c r="A889"/>
      <c r="B889"/>
      <c r="C889"/>
      <c r="M889"/>
    </row>
    <row r="890" spans="1:13" ht="12.75" customHeight="1" x14ac:dyDescent="0.25">
      <c r="A890"/>
      <c r="B890"/>
      <c r="C890"/>
      <c r="M890"/>
    </row>
    <row r="891" spans="1:13" ht="12.75" customHeight="1" x14ac:dyDescent="0.25">
      <c r="A891"/>
      <c r="B891"/>
      <c r="C891"/>
      <c r="M891"/>
    </row>
    <row r="892" spans="1:13" ht="12.75" customHeight="1" x14ac:dyDescent="0.25">
      <c r="A892"/>
      <c r="B892"/>
      <c r="C892"/>
      <c r="M892"/>
    </row>
    <row r="893" spans="1:13" ht="12.75" customHeight="1" x14ac:dyDescent="0.25">
      <c r="A893"/>
      <c r="B893"/>
      <c r="C893"/>
      <c r="M893"/>
    </row>
    <row r="894" spans="1:13" ht="12.75" customHeight="1" x14ac:dyDescent="0.25">
      <c r="A894"/>
      <c r="B894"/>
      <c r="C894"/>
      <c r="M894"/>
    </row>
    <row r="895" spans="1:13" ht="12.75" customHeight="1" x14ac:dyDescent="0.25">
      <c r="A895"/>
      <c r="B895"/>
      <c r="C895"/>
      <c r="M895"/>
    </row>
    <row r="896" spans="1:13" ht="12.75" customHeight="1" x14ac:dyDescent="0.25">
      <c r="A896"/>
      <c r="B896"/>
      <c r="C896"/>
      <c r="M896"/>
    </row>
    <row r="897" spans="1:13" ht="12.75" customHeight="1" x14ac:dyDescent="0.25">
      <c r="A897"/>
      <c r="B897"/>
      <c r="C897"/>
      <c r="M897"/>
    </row>
    <row r="898" spans="1:13" ht="12.75" customHeight="1" x14ac:dyDescent="0.25">
      <c r="A898"/>
      <c r="B898"/>
      <c r="C898"/>
      <c r="M898"/>
    </row>
    <row r="899" spans="1:13" ht="12.75" customHeight="1" x14ac:dyDescent="0.25">
      <c r="A899"/>
      <c r="B899"/>
      <c r="C899"/>
      <c r="M899"/>
    </row>
    <row r="900" spans="1:13" ht="12.75" customHeight="1" x14ac:dyDescent="0.25">
      <c r="A900"/>
      <c r="B900"/>
      <c r="C900"/>
      <c r="M900"/>
    </row>
    <row r="901" spans="1:13" ht="12.75" customHeight="1" x14ac:dyDescent="0.25">
      <c r="A901"/>
      <c r="B901"/>
      <c r="C901"/>
      <c r="M901"/>
    </row>
    <row r="902" spans="1:13" ht="12.75" customHeight="1" x14ac:dyDescent="0.25">
      <c r="A902"/>
      <c r="B902"/>
      <c r="C902"/>
      <c r="M902"/>
    </row>
    <row r="903" spans="1:13" ht="12.75" customHeight="1" x14ac:dyDescent="0.25">
      <c r="A903"/>
      <c r="B903"/>
      <c r="C903"/>
      <c r="M903"/>
    </row>
    <row r="904" spans="1:13" ht="12.75" customHeight="1" x14ac:dyDescent="0.25">
      <c r="A904"/>
      <c r="B904"/>
      <c r="C904"/>
      <c r="M904"/>
    </row>
    <row r="905" spans="1:13" ht="12.75" customHeight="1" x14ac:dyDescent="0.25">
      <c r="A905"/>
      <c r="B905"/>
      <c r="C905"/>
      <c r="M905"/>
    </row>
    <row r="906" spans="1:13" ht="12.75" customHeight="1" x14ac:dyDescent="0.25">
      <c r="A906"/>
      <c r="B906"/>
      <c r="C906"/>
      <c r="M906"/>
    </row>
    <row r="907" spans="1:13" ht="12.75" customHeight="1" x14ac:dyDescent="0.25">
      <c r="A907"/>
      <c r="B907"/>
      <c r="C907"/>
      <c r="M907"/>
    </row>
    <row r="908" spans="1:13" ht="12.75" customHeight="1" x14ac:dyDescent="0.25">
      <c r="A908"/>
      <c r="B908"/>
      <c r="C908"/>
      <c r="M908"/>
    </row>
    <row r="909" spans="1:13" ht="12.75" customHeight="1" x14ac:dyDescent="0.25">
      <c r="A909"/>
      <c r="B909"/>
      <c r="C909"/>
      <c r="M909"/>
    </row>
    <row r="910" spans="1:13" ht="12.75" customHeight="1" x14ac:dyDescent="0.25">
      <c r="A910"/>
      <c r="B910"/>
      <c r="C910"/>
      <c r="M910"/>
    </row>
    <row r="911" spans="1:13" ht="12.75" customHeight="1" x14ac:dyDescent="0.25">
      <c r="A911"/>
      <c r="B911"/>
      <c r="C911"/>
      <c r="M911"/>
    </row>
    <row r="912" spans="1:13" ht="12.75" customHeight="1" x14ac:dyDescent="0.25">
      <c r="A912"/>
      <c r="B912"/>
      <c r="C912"/>
      <c r="M912"/>
    </row>
    <row r="913" spans="1:13" ht="12.75" customHeight="1" x14ac:dyDescent="0.25">
      <c r="A913"/>
      <c r="B913"/>
      <c r="C913"/>
      <c r="M913"/>
    </row>
    <row r="914" spans="1:13" ht="12.75" customHeight="1" x14ac:dyDescent="0.25">
      <c r="A914"/>
      <c r="B914"/>
      <c r="C914"/>
      <c r="M914"/>
    </row>
    <row r="915" spans="1:13" ht="12.75" customHeight="1" x14ac:dyDescent="0.25">
      <c r="A915"/>
      <c r="B915"/>
      <c r="C915"/>
      <c r="M915"/>
    </row>
    <row r="916" spans="1:13" ht="12.75" customHeight="1" x14ac:dyDescent="0.25">
      <c r="A916"/>
      <c r="B916"/>
      <c r="C916"/>
      <c r="M916"/>
    </row>
    <row r="917" spans="1:13" ht="12.75" customHeight="1" x14ac:dyDescent="0.25">
      <c r="A917"/>
      <c r="B917"/>
      <c r="C917"/>
      <c r="M917"/>
    </row>
    <row r="918" spans="1:13" ht="12.75" customHeight="1" x14ac:dyDescent="0.25">
      <c r="A918"/>
      <c r="B918"/>
      <c r="C918"/>
      <c r="M918"/>
    </row>
    <row r="919" spans="1:13" ht="12.75" customHeight="1" x14ac:dyDescent="0.25">
      <c r="A919"/>
      <c r="B919"/>
      <c r="C919"/>
      <c r="M919"/>
    </row>
    <row r="920" spans="1:13" ht="12.75" customHeight="1" x14ac:dyDescent="0.25">
      <c r="A920"/>
      <c r="B920"/>
      <c r="C920"/>
      <c r="M920"/>
    </row>
    <row r="921" spans="1:13" ht="12.75" customHeight="1" x14ac:dyDescent="0.25">
      <c r="A921"/>
      <c r="B921"/>
      <c r="C921"/>
      <c r="M921"/>
    </row>
    <row r="922" spans="1:13" ht="12.75" customHeight="1" x14ac:dyDescent="0.25">
      <c r="A922"/>
      <c r="B922"/>
      <c r="C922"/>
      <c r="M922"/>
    </row>
    <row r="923" spans="1:13" ht="12.75" customHeight="1" x14ac:dyDescent="0.25">
      <c r="A923"/>
      <c r="B923"/>
      <c r="C923"/>
      <c r="M923"/>
    </row>
    <row r="924" spans="1:13" ht="12.75" customHeight="1" x14ac:dyDescent="0.25">
      <c r="A924"/>
      <c r="B924"/>
      <c r="C924"/>
      <c r="M924"/>
    </row>
    <row r="925" spans="1:13" ht="12.75" customHeight="1" x14ac:dyDescent="0.25">
      <c r="A925"/>
      <c r="B925"/>
      <c r="C925"/>
      <c r="M925"/>
    </row>
    <row r="926" spans="1:13" ht="12.75" customHeight="1" x14ac:dyDescent="0.25">
      <c r="A926"/>
      <c r="B926"/>
      <c r="C926"/>
      <c r="M926"/>
    </row>
    <row r="927" spans="1:13" ht="12.75" customHeight="1" x14ac:dyDescent="0.25">
      <c r="A927"/>
      <c r="B927"/>
      <c r="C927"/>
      <c r="M927"/>
    </row>
    <row r="928" spans="1:13" ht="12.75" customHeight="1" x14ac:dyDescent="0.25">
      <c r="A928"/>
      <c r="B928"/>
      <c r="C928"/>
      <c r="M928"/>
    </row>
    <row r="929" spans="1:13" ht="12.75" customHeight="1" x14ac:dyDescent="0.25">
      <c r="A929"/>
      <c r="B929"/>
      <c r="C929"/>
      <c r="M929"/>
    </row>
    <row r="930" spans="1:13" ht="12.75" customHeight="1" x14ac:dyDescent="0.25">
      <c r="A930"/>
      <c r="B930"/>
      <c r="C930"/>
      <c r="M930"/>
    </row>
    <row r="931" spans="1:13" ht="12.75" customHeight="1" x14ac:dyDescent="0.25">
      <c r="A931"/>
      <c r="B931"/>
      <c r="C931"/>
      <c r="M931"/>
    </row>
    <row r="932" spans="1:13" ht="12.75" customHeight="1" x14ac:dyDescent="0.25">
      <c r="A932"/>
      <c r="B932"/>
      <c r="C932"/>
      <c r="M932"/>
    </row>
    <row r="933" spans="1:13" ht="12.75" customHeight="1" x14ac:dyDescent="0.25">
      <c r="A933"/>
      <c r="B933"/>
      <c r="C933"/>
      <c r="M933"/>
    </row>
    <row r="934" spans="1:13" ht="12.75" customHeight="1" x14ac:dyDescent="0.25">
      <c r="A934"/>
      <c r="B934"/>
      <c r="C934"/>
      <c r="M934"/>
    </row>
    <row r="935" spans="1:13" ht="12.75" customHeight="1" x14ac:dyDescent="0.25">
      <c r="A935"/>
      <c r="B935"/>
      <c r="C935"/>
      <c r="M935"/>
    </row>
    <row r="936" spans="1:13" ht="12.75" customHeight="1" x14ac:dyDescent="0.25">
      <c r="A936"/>
      <c r="B936"/>
      <c r="C936"/>
      <c r="M936"/>
    </row>
    <row r="937" spans="1:13" ht="12.75" customHeight="1" x14ac:dyDescent="0.25">
      <c r="A937"/>
      <c r="B937"/>
      <c r="C937"/>
      <c r="M937"/>
    </row>
    <row r="938" spans="1:13" ht="12.75" customHeight="1" x14ac:dyDescent="0.25">
      <c r="A938"/>
      <c r="B938"/>
      <c r="C938"/>
      <c r="M938"/>
    </row>
    <row r="939" spans="1:13" ht="12.75" customHeight="1" x14ac:dyDescent="0.25">
      <c r="A939"/>
      <c r="B939"/>
      <c r="C939"/>
      <c r="M939"/>
    </row>
    <row r="940" spans="1:13" ht="12.75" customHeight="1" x14ac:dyDescent="0.25">
      <c r="A940"/>
      <c r="B940"/>
      <c r="C940"/>
      <c r="M940"/>
    </row>
    <row r="941" spans="1:13" ht="12.75" customHeight="1" x14ac:dyDescent="0.25">
      <c r="A941"/>
      <c r="B941"/>
      <c r="C941"/>
      <c r="M941"/>
    </row>
    <row r="942" spans="1:13" ht="12.75" customHeight="1" x14ac:dyDescent="0.25">
      <c r="A942"/>
      <c r="B942"/>
      <c r="C942"/>
      <c r="M942"/>
    </row>
    <row r="943" spans="1:13" ht="12.75" customHeight="1" x14ac:dyDescent="0.25">
      <c r="A943"/>
      <c r="B943"/>
      <c r="C943"/>
      <c r="M943"/>
    </row>
    <row r="944" spans="1:13" ht="12.75" customHeight="1" x14ac:dyDescent="0.25">
      <c r="A944"/>
      <c r="B944"/>
      <c r="C944"/>
      <c r="M944"/>
    </row>
    <row r="945" spans="1:13" ht="12.75" customHeight="1" x14ac:dyDescent="0.25">
      <c r="A945"/>
      <c r="B945"/>
      <c r="C945"/>
      <c r="M945"/>
    </row>
    <row r="946" spans="1:13" ht="12.75" customHeight="1" x14ac:dyDescent="0.25">
      <c r="A946"/>
      <c r="B946"/>
      <c r="C946"/>
      <c r="M946"/>
    </row>
    <row r="947" spans="1:13" ht="12.75" customHeight="1" x14ac:dyDescent="0.25">
      <c r="A947"/>
      <c r="B947"/>
      <c r="C947"/>
      <c r="M947"/>
    </row>
    <row r="948" spans="1:13" ht="12.75" customHeight="1" x14ac:dyDescent="0.25">
      <c r="A948"/>
      <c r="B948"/>
      <c r="C948"/>
      <c r="M948"/>
    </row>
    <row r="949" spans="1:13" ht="12.75" customHeight="1" x14ac:dyDescent="0.25">
      <c r="A949"/>
      <c r="B949"/>
      <c r="C949"/>
      <c r="M949"/>
    </row>
    <row r="950" spans="1:13" ht="12.75" customHeight="1" x14ac:dyDescent="0.25">
      <c r="A950"/>
      <c r="B950"/>
      <c r="C950"/>
      <c r="M950"/>
    </row>
    <row r="951" spans="1:13" ht="12.75" customHeight="1" x14ac:dyDescent="0.25">
      <c r="A951"/>
      <c r="B951"/>
      <c r="C951"/>
      <c r="M951"/>
    </row>
    <row r="952" spans="1:13" ht="12.75" customHeight="1" x14ac:dyDescent="0.25">
      <c r="A952"/>
      <c r="B952"/>
      <c r="C952"/>
      <c r="M952"/>
    </row>
    <row r="953" spans="1:13" ht="12.75" customHeight="1" x14ac:dyDescent="0.25">
      <c r="A953"/>
      <c r="B953"/>
      <c r="C953"/>
      <c r="M953"/>
    </row>
    <row r="954" spans="1:13" ht="12.75" customHeight="1" x14ac:dyDescent="0.25">
      <c r="A954"/>
      <c r="B954"/>
      <c r="C954"/>
      <c r="M954"/>
    </row>
    <row r="955" spans="1:13" ht="12.75" customHeight="1" x14ac:dyDescent="0.25">
      <c r="A955"/>
      <c r="B955"/>
      <c r="C955"/>
      <c r="M955"/>
    </row>
    <row r="956" spans="1:13" ht="12.75" customHeight="1" x14ac:dyDescent="0.25">
      <c r="A956"/>
      <c r="B956"/>
      <c r="C956"/>
      <c r="M956"/>
    </row>
    <row r="957" spans="1:13" ht="12.75" customHeight="1" x14ac:dyDescent="0.25">
      <c r="A957"/>
      <c r="B957"/>
      <c r="C957"/>
      <c r="M957"/>
    </row>
    <row r="958" spans="1:13" ht="12.75" customHeight="1" x14ac:dyDescent="0.25">
      <c r="A958"/>
      <c r="B958"/>
      <c r="C958"/>
      <c r="M958"/>
    </row>
    <row r="959" spans="1:13" ht="12.75" customHeight="1" x14ac:dyDescent="0.25">
      <c r="A959"/>
      <c r="B959"/>
      <c r="C959"/>
      <c r="M959"/>
    </row>
    <row r="960" spans="1:13" ht="12.75" customHeight="1" x14ac:dyDescent="0.25">
      <c r="A960"/>
      <c r="B960"/>
      <c r="C960"/>
      <c r="M960"/>
    </row>
    <row r="961" spans="1:13" ht="12.75" customHeight="1" x14ac:dyDescent="0.25">
      <c r="A961"/>
      <c r="B961"/>
      <c r="C961"/>
      <c r="M961"/>
    </row>
    <row r="962" spans="1:13" ht="12.75" customHeight="1" x14ac:dyDescent="0.25">
      <c r="A962"/>
      <c r="B962"/>
      <c r="C962"/>
      <c r="M962"/>
    </row>
    <row r="963" spans="1:13" ht="12.75" customHeight="1" x14ac:dyDescent="0.25">
      <c r="A963"/>
      <c r="B963"/>
      <c r="C963"/>
      <c r="M963"/>
    </row>
    <row r="964" spans="1:13" ht="12.75" customHeight="1" x14ac:dyDescent="0.25">
      <c r="A964"/>
      <c r="B964"/>
      <c r="C964"/>
      <c r="M964"/>
    </row>
    <row r="965" spans="1:13" ht="12.75" customHeight="1" x14ac:dyDescent="0.25">
      <c r="A965"/>
      <c r="B965"/>
      <c r="C965"/>
      <c r="M965"/>
    </row>
    <row r="966" spans="1:13" ht="12.75" customHeight="1" x14ac:dyDescent="0.25">
      <c r="A966"/>
      <c r="B966"/>
      <c r="C966"/>
      <c r="M966"/>
    </row>
    <row r="967" spans="1:13" ht="12.75" customHeight="1" x14ac:dyDescent="0.25">
      <c r="A967"/>
      <c r="B967"/>
      <c r="C967"/>
      <c r="M967"/>
    </row>
    <row r="968" spans="1:13" ht="12.75" customHeight="1" x14ac:dyDescent="0.25">
      <c r="A968"/>
      <c r="B968"/>
      <c r="C968"/>
      <c r="M968"/>
    </row>
    <row r="969" spans="1:13" ht="12.75" customHeight="1" x14ac:dyDescent="0.25">
      <c r="A969"/>
      <c r="B969"/>
      <c r="C969"/>
      <c r="M969"/>
    </row>
    <row r="970" spans="1:13" ht="12.75" customHeight="1" x14ac:dyDescent="0.25">
      <c r="A970"/>
      <c r="B970"/>
      <c r="C970"/>
      <c r="M970"/>
    </row>
    <row r="971" spans="1:13" ht="12.75" customHeight="1" x14ac:dyDescent="0.25">
      <c r="A971"/>
      <c r="B971"/>
      <c r="C971"/>
      <c r="M971"/>
    </row>
    <row r="972" spans="1:13" ht="12.75" customHeight="1" x14ac:dyDescent="0.25">
      <c r="A972"/>
      <c r="B972"/>
      <c r="C972"/>
      <c r="M972"/>
    </row>
    <row r="973" spans="1:13" ht="12.75" customHeight="1" x14ac:dyDescent="0.25">
      <c r="A973"/>
      <c r="B973"/>
      <c r="C973"/>
      <c r="M973"/>
    </row>
    <row r="974" spans="1:13" ht="12.75" customHeight="1" x14ac:dyDescent="0.25">
      <c r="A974"/>
      <c r="B974"/>
      <c r="C974"/>
      <c r="M974"/>
    </row>
    <row r="975" spans="1:13" ht="12.75" customHeight="1" x14ac:dyDescent="0.25">
      <c r="A975"/>
      <c r="B975"/>
      <c r="C975"/>
      <c r="M975"/>
    </row>
    <row r="976" spans="1:13" ht="12.75" customHeight="1" x14ac:dyDescent="0.25">
      <c r="A976"/>
      <c r="B976"/>
      <c r="C976"/>
      <c r="M976"/>
    </row>
    <row r="977" spans="1:13" ht="12.75" customHeight="1" x14ac:dyDescent="0.25">
      <c r="A977"/>
      <c r="B977"/>
      <c r="C977"/>
      <c r="M977"/>
    </row>
    <row r="978" spans="1:13" ht="12.75" customHeight="1" x14ac:dyDescent="0.25">
      <c r="A978"/>
      <c r="B978"/>
      <c r="C978"/>
      <c r="M978"/>
    </row>
    <row r="979" spans="1:13" ht="12.75" customHeight="1" x14ac:dyDescent="0.25">
      <c r="A979"/>
      <c r="B979"/>
      <c r="C979"/>
      <c r="M979"/>
    </row>
    <row r="980" spans="1:13" ht="12.75" customHeight="1" x14ac:dyDescent="0.25">
      <c r="A980"/>
      <c r="B980"/>
      <c r="C980"/>
      <c r="M980"/>
    </row>
    <row r="981" spans="1:13" ht="12.75" customHeight="1" x14ac:dyDescent="0.25">
      <c r="A981"/>
      <c r="B981"/>
      <c r="C981"/>
      <c r="M981"/>
    </row>
    <row r="982" spans="1:13" ht="12.75" customHeight="1" x14ac:dyDescent="0.25">
      <c r="A982"/>
      <c r="B982"/>
      <c r="C982"/>
      <c r="M982"/>
    </row>
    <row r="983" spans="1:13" ht="12.75" customHeight="1" x14ac:dyDescent="0.25">
      <c r="A983"/>
      <c r="B983"/>
      <c r="C983"/>
      <c r="M983"/>
    </row>
    <row r="984" spans="1:13" ht="12.75" customHeight="1" x14ac:dyDescent="0.25">
      <c r="A984"/>
      <c r="B984"/>
      <c r="C984"/>
      <c r="M984"/>
    </row>
    <row r="985" spans="1:13" ht="12.75" customHeight="1" x14ac:dyDescent="0.25">
      <c r="A985"/>
      <c r="B985"/>
      <c r="C985"/>
      <c r="M985"/>
    </row>
    <row r="986" spans="1:13" ht="12.75" customHeight="1" x14ac:dyDescent="0.25">
      <c r="A986"/>
      <c r="B986"/>
      <c r="C986"/>
      <c r="M986"/>
    </row>
    <row r="987" spans="1:13" ht="12.75" customHeight="1" x14ac:dyDescent="0.25">
      <c r="A987"/>
      <c r="B987"/>
      <c r="C987"/>
      <c r="M987"/>
    </row>
    <row r="988" spans="1:13" ht="12.75" customHeight="1" x14ac:dyDescent="0.25">
      <c r="A988"/>
      <c r="B988"/>
      <c r="C988"/>
      <c r="M988"/>
    </row>
    <row r="989" spans="1:13" ht="12.75" customHeight="1" x14ac:dyDescent="0.25">
      <c r="A989"/>
      <c r="B989"/>
      <c r="C989"/>
      <c r="M989"/>
    </row>
    <row r="990" spans="1:13" ht="12.75" customHeight="1" x14ac:dyDescent="0.25">
      <c r="A990"/>
      <c r="B990"/>
      <c r="C990"/>
      <c r="M990"/>
    </row>
    <row r="991" spans="1:13" ht="12.75" customHeight="1" x14ac:dyDescent="0.25">
      <c r="A991"/>
      <c r="B991"/>
      <c r="C991"/>
      <c r="M991"/>
    </row>
    <row r="992" spans="1:13" ht="12.75" customHeight="1" x14ac:dyDescent="0.25">
      <c r="A992"/>
      <c r="B992"/>
      <c r="C992"/>
      <c r="M992"/>
    </row>
    <row r="993" spans="1:13" ht="12.75" customHeight="1" x14ac:dyDescent="0.25">
      <c r="A993"/>
      <c r="B993"/>
      <c r="C993"/>
      <c r="M993"/>
    </row>
    <row r="994" spans="1:13" ht="12.75" customHeight="1" x14ac:dyDescent="0.25">
      <c r="A994"/>
      <c r="B994"/>
      <c r="C994"/>
      <c r="M994"/>
    </row>
    <row r="995" spans="1:13" ht="12.75" customHeight="1" x14ac:dyDescent="0.25">
      <c r="A995"/>
      <c r="B995"/>
      <c r="C995"/>
      <c r="M995"/>
    </row>
    <row r="996" spans="1:13" ht="12.75" customHeight="1" x14ac:dyDescent="0.25">
      <c r="A996"/>
      <c r="B996"/>
      <c r="C996"/>
      <c r="M996"/>
    </row>
    <row r="997" spans="1:13" ht="12.75" customHeight="1" x14ac:dyDescent="0.25">
      <c r="A997"/>
      <c r="B997"/>
      <c r="C997"/>
      <c r="M997"/>
    </row>
    <row r="998" spans="1:13" ht="12.75" customHeight="1" x14ac:dyDescent="0.25">
      <c r="A998"/>
      <c r="B998"/>
      <c r="C998"/>
      <c r="M998"/>
    </row>
    <row r="999" spans="1:13" ht="12.75" customHeight="1" x14ac:dyDescent="0.25">
      <c r="A999"/>
      <c r="B999"/>
      <c r="C999"/>
      <c r="M999"/>
    </row>
    <row r="1000" spans="1:13" ht="12.75" customHeight="1" x14ac:dyDescent="0.25">
      <c r="A1000"/>
      <c r="B1000"/>
      <c r="C1000"/>
      <c r="M1000"/>
    </row>
    <row r="1001" spans="1:13" ht="12.75" customHeight="1" x14ac:dyDescent="0.25">
      <c r="A1001"/>
      <c r="B1001"/>
      <c r="C1001"/>
      <c r="M1001"/>
    </row>
    <row r="1002" spans="1:13" ht="12.75" customHeight="1" x14ac:dyDescent="0.25">
      <c r="A1002"/>
      <c r="B1002"/>
      <c r="C1002"/>
      <c r="M1002"/>
    </row>
    <row r="1003" spans="1:13" ht="12.75" customHeight="1" x14ac:dyDescent="0.25">
      <c r="A1003"/>
      <c r="B1003"/>
      <c r="C1003"/>
      <c r="M1003"/>
    </row>
    <row r="1004" spans="1:13" ht="12.75" customHeight="1" x14ac:dyDescent="0.25">
      <c r="A1004"/>
      <c r="B1004"/>
      <c r="C1004"/>
      <c r="M1004"/>
    </row>
    <row r="1005" spans="1:13" ht="12.75" customHeight="1" x14ac:dyDescent="0.25">
      <c r="A1005"/>
      <c r="B1005"/>
      <c r="C1005"/>
      <c r="M1005"/>
    </row>
    <row r="1006" spans="1:13" ht="12.75" customHeight="1" x14ac:dyDescent="0.25">
      <c r="A1006"/>
      <c r="B1006"/>
      <c r="C1006"/>
      <c r="M1006"/>
    </row>
    <row r="1007" spans="1:13" ht="12.75" customHeight="1" x14ac:dyDescent="0.25">
      <c r="A1007"/>
      <c r="B1007"/>
      <c r="C1007"/>
      <c r="M1007"/>
    </row>
    <row r="1008" spans="1:13" ht="12.75" customHeight="1" x14ac:dyDescent="0.25">
      <c r="A1008"/>
      <c r="B1008"/>
      <c r="C1008"/>
      <c r="M1008"/>
    </row>
    <row r="1009" spans="1:13" ht="12.75" customHeight="1" x14ac:dyDescent="0.25">
      <c r="A1009"/>
      <c r="B1009"/>
      <c r="C1009"/>
      <c r="M1009"/>
    </row>
    <row r="1010" spans="1:13" ht="12.75" customHeight="1" x14ac:dyDescent="0.25">
      <c r="A1010"/>
      <c r="B1010"/>
      <c r="C1010"/>
      <c r="M1010"/>
    </row>
    <row r="1011" spans="1:13" ht="12.75" customHeight="1" x14ac:dyDescent="0.25">
      <c r="A1011"/>
      <c r="B1011"/>
      <c r="C1011"/>
      <c r="M1011"/>
    </row>
    <row r="1012" spans="1:13" ht="12.75" customHeight="1" x14ac:dyDescent="0.25">
      <c r="A1012"/>
      <c r="B1012"/>
      <c r="C1012"/>
      <c r="M1012"/>
    </row>
    <row r="1013" spans="1:13" ht="12.75" customHeight="1" x14ac:dyDescent="0.25">
      <c r="A1013"/>
      <c r="B1013"/>
      <c r="C1013"/>
      <c r="M1013"/>
    </row>
    <row r="1014" spans="1:13" ht="12.75" customHeight="1" x14ac:dyDescent="0.25">
      <c r="A1014"/>
      <c r="B1014"/>
      <c r="C1014"/>
      <c r="M1014"/>
    </row>
    <row r="1015" spans="1:13" ht="12.75" customHeight="1" x14ac:dyDescent="0.25">
      <c r="A1015"/>
      <c r="B1015"/>
      <c r="C1015"/>
      <c r="M1015"/>
    </row>
    <row r="1016" spans="1:13" ht="12.75" customHeight="1" x14ac:dyDescent="0.25">
      <c r="A1016"/>
      <c r="B1016"/>
      <c r="C1016"/>
      <c r="M1016"/>
    </row>
    <row r="1017" spans="1:13" ht="12.75" customHeight="1" x14ac:dyDescent="0.25">
      <c r="A1017"/>
      <c r="B1017"/>
      <c r="C1017"/>
      <c r="M1017"/>
    </row>
    <row r="1018" spans="1:13" ht="12.75" customHeight="1" x14ac:dyDescent="0.25">
      <c r="A1018"/>
      <c r="B1018"/>
      <c r="C1018"/>
      <c r="M1018"/>
    </row>
    <row r="1019" spans="1:13" ht="12.75" customHeight="1" x14ac:dyDescent="0.25">
      <c r="A1019"/>
      <c r="B1019"/>
      <c r="C1019"/>
      <c r="M1019"/>
    </row>
    <row r="1020" spans="1:13" ht="12.75" customHeight="1" x14ac:dyDescent="0.25">
      <c r="A1020"/>
      <c r="B1020"/>
      <c r="C1020"/>
      <c r="M1020"/>
    </row>
    <row r="1021" spans="1:13" ht="12.75" customHeight="1" x14ac:dyDescent="0.25">
      <c r="A1021"/>
      <c r="B1021"/>
      <c r="C1021"/>
      <c r="M1021"/>
    </row>
    <row r="1022" spans="1:13" ht="12.75" customHeight="1" x14ac:dyDescent="0.25">
      <c r="A1022"/>
      <c r="B1022"/>
      <c r="C1022"/>
      <c r="M1022"/>
    </row>
    <row r="1023" spans="1:13" ht="12.75" customHeight="1" x14ac:dyDescent="0.25">
      <c r="A1023"/>
      <c r="B1023"/>
      <c r="C1023"/>
      <c r="M1023"/>
    </row>
    <row r="1024" spans="1:13" ht="12.75" customHeight="1" x14ac:dyDescent="0.25">
      <c r="A1024"/>
      <c r="B1024"/>
      <c r="C1024"/>
      <c r="M1024"/>
    </row>
    <row r="1025" spans="1:13" ht="12.75" customHeight="1" x14ac:dyDescent="0.25">
      <c r="A1025"/>
      <c r="B1025"/>
      <c r="C1025"/>
      <c r="M1025"/>
    </row>
    <row r="1026" spans="1:13" ht="12.75" customHeight="1" x14ac:dyDescent="0.25">
      <c r="A1026"/>
      <c r="B1026"/>
      <c r="C1026"/>
      <c r="M1026"/>
    </row>
    <row r="1027" spans="1:13" ht="12.75" customHeight="1" x14ac:dyDescent="0.25">
      <c r="A1027"/>
      <c r="B1027"/>
      <c r="C1027"/>
      <c r="M1027"/>
    </row>
    <row r="1028" spans="1:13" ht="12.75" customHeight="1" x14ac:dyDescent="0.25">
      <c r="A1028"/>
      <c r="B1028"/>
      <c r="C1028"/>
      <c r="M1028"/>
    </row>
    <row r="1029" spans="1:13" ht="12.75" customHeight="1" x14ac:dyDescent="0.25">
      <c r="A1029"/>
      <c r="B1029"/>
      <c r="C1029"/>
      <c r="M1029"/>
    </row>
    <row r="1030" spans="1:13" ht="12.75" customHeight="1" x14ac:dyDescent="0.25">
      <c r="A1030"/>
      <c r="B1030"/>
      <c r="C1030"/>
      <c r="M1030"/>
    </row>
    <row r="1031" spans="1:13" ht="12.75" customHeight="1" x14ac:dyDescent="0.25">
      <c r="A1031"/>
      <c r="B1031"/>
      <c r="C1031"/>
      <c r="M1031"/>
    </row>
    <row r="1032" spans="1:13" ht="12.75" customHeight="1" x14ac:dyDescent="0.25">
      <c r="A1032"/>
      <c r="B1032"/>
      <c r="C1032"/>
      <c r="M1032"/>
    </row>
    <row r="1033" spans="1:13" ht="12.75" customHeight="1" x14ac:dyDescent="0.25">
      <c r="A1033"/>
      <c r="B1033"/>
      <c r="C1033"/>
      <c r="M1033"/>
    </row>
    <row r="1034" spans="1:13" ht="12.75" customHeight="1" x14ac:dyDescent="0.25">
      <c r="A1034"/>
      <c r="B1034"/>
      <c r="C1034"/>
      <c r="M1034"/>
    </row>
    <row r="1035" spans="1:13" ht="12.75" customHeight="1" x14ac:dyDescent="0.25">
      <c r="A1035"/>
      <c r="B1035"/>
      <c r="C1035"/>
      <c r="M1035"/>
    </row>
    <row r="1036" spans="1:13" ht="12.75" customHeight="1" x14ac:dyDescent="0.25">
      <c r="A1036"/>
      <c r="B1036"/>
      <c r="C1036"/>
      <c r="M1036"/>
    </row>
    <row r="1037" spans="1:13" ht="12.75" customHeight="1" x14ac:dyDescent="0.25">
      <c r="A1037"/>
      <c r="B1037"/>
      <c r="C1037"/>
      <c r="M1037"/>
    </row>
    <row r="1038" spans="1:13" ht="12.75" customHeight="1" x14ac:dyDescent="0.25">
      <c r="A1038"/>
      <c r="B1038"/>
      <c r="C1038"/>
      <c r="M1038"/>
    </row>
    <row r="1039" spans="1:13" ht="12.75" customHeight="1" x14ac:dyDescent="0.25">
      <c r="A1039"/>
      <c r="B1039"/>
      <c r="C1039"/>
      <c r="M1039"/>
    </row>
    <row r="1040" spans="1:13" ht="12.75" customHeight="1" x14ac:dyDescent="0.25">
      <c r="A1040"/>
      <c r="B1040"/>
      <c r="C1040"/>
      <c r="M1040"/>
    </row>
    <row r="1041" spans="1:13" ht="12.75" customHeight="1" x14ac:dyDescent="0.25">
      <c r="A1041"/>
      <c r="B1041"/>
      <c r="C1041"/>
      <c r="M1041"/>
    </row>
    <row r="1042" spans="1:13" ht="12.75" customHeight="1" x14ac:dyDescent="0.25">
      <c r="A1042"/>
      <c r="B1042"/>
      <c r="C1042"/>
      <c r="M1042"/>
    </row>
    <row r="1043" spans="1:13" ht="12.75" customHeight="1" x14ac:dyDescent="0.25">
      <c r="A1043"/>
      <c r="B1043"/>
      <c r="C1043"/>
      <c r="M1043"/>
    </row>
    <row r="1044" spans="1:13" ht="12.75" customHeight="1" x14ac:dyDescent="0.25">
      <c r="A1044"/>
      <c r="B1044"/>
      <c r="C1044"/>
      <c r="M1044"/>
    </row>
    <row r="1045" spans="1:13" ht="12.75" customHeight="1" x14ac:dyDescent="0.25">
      <c r="A1045"/>
      <c r="B1045"/>
      <c r="C1045"/>
      <c r="M1045"/>
    </row>
    <row r="1046" spans="1:13" ht="12.75" customHeight="1" x14ac:dyDescent="0.25">
      <c r="A1046"/>
      <c r="B1046"/>
      <c r="C1046"/>
      <c r="M1046"/>
    </row>
    <row r="1047" spans="1:13" ht="12.75" customHeight="1" x14ac:dyDescent="0.25">
      <c r="A1047"/>
      <c r="B1047"/>
      <c r="C1047"/>
      <c r="M1047"/>
    </row>
    <row r="1048" spans="1:13" ht="12.75" customHeight="1" x14ac:dyDescent="0.25">
      <c r="A1048"/>
      <c r="B1048"/>
      <c r="C1048"/>
      <c r="M1048"/>
    </row>
    <row r="1049" spans="1:13" ht="12.75" customHeight="1" x14ac:dyDescent="0.25">
      <c r="A1049"/>
      <c r="B1049"/>
      <c r="C1049"/>
      <c r="M1049"/>
    </row>
    <row r="1050" spans="1:13" ht="12.75" customHeight="1" x14ac:dyDescent="0.25">
      <c r="A1050"/>
      <c r="B1050"/>
      <c r="C1050"/>
      <c r="M1050"/>
    </row>
    <row r="1051" spans="1:13" ht="12.75" customHeight="1" x14ac:dyDescent="0.25">
      <c r="A1051"/>
      <c r="B1051"/>
      <c r="C1051"/>
      <c r="M1051"/>
    </row>
    <row r="1052" spans="1:13" ht="12.75" customHeight="1" x14ac:dyDescent="0.25">
      <c r="A1052"/>
      <c r="B1052"/>
      <c r="C1052"/>
      <c r="M1052"/>
    </row>
    <row r="1053" spans="1:13" ht="12.75" customHeight="1" x14ac:dyDescent="0.25">
      <c r="A1053"/>
      <c r="B1053"/>
      <c r="C1053"/>
      <c r="M1053"/>
    </row>
    <row r="1054" spans="1:13" ht="12.75" customHeight="1" x14ac:dyDescent="0.25">
      <c r="A1054"/>
      <c r="B1054"/>
      <c r="C1054"/>
      <c r="M1054"/>
    </row>
    <row r="1055" spans="1:13" ht="12.75" customHeight="1" x14ac:dyDescent="0.25">
      <c r="A1055"/>
      <c r="B1055"/>
      <c r="C1055"/>
      <c r="M1055"/>
    </row>
    <row r="1056" spans="1:13" ht="12.75" customHeight="1" x14ac:dyDescent="0.25">
      <c r="A1056"/>
      <c r="B1056"/>
      <c r="C1056"/>
      <c r="M1056"/>
    </row>
    <row r="1057" spans="1:13" ht="12.75" customHeight="1" x14ac:dyDescent="0.25">
      <c r="A1057"/>
      <c r="B1057"/>
      <c r="C1057"/>
      <c r="M1057"/>
    </row>
    <row r="1058" spans="1:13" ht="12.75" customHeight="1" x14ac:dyDescent="0.25">
      <c r="A1058"/>
      <c r="B1058"/>
      <c r="C1058"/>
      <c r="M1058"/>
    </row>
    <row r="1059" spans="1:13" ht="12.75" customHeight="1" x14ac:dyDescent="0.25">
      <c r="A1059"/>
      <c r="B1059"/>
      <c r="C1059"/>
      <c r="M1059"/>
    </row>
    <row r="1060" spans="1:13" ht="12.75" customHeight="1" x14ac:dyDescent="0.25">
      <c r="A1060"/>
      <c r="B1060"/>
      <c r="C1060"/>
      <c r="M1060"/>
    </row>
    <row r="1061" spans="1:13" ht="12.75" customHeight="1" x14ac:dyDescent="0.25">
      <c r="A1061"/>
      <c r="B1061"/>
      <c r="C1061"/>
      <c r="M1061"/>
    </row>
    <row r="1062" spans="1:13" ht="12.75" customHeight="1" x14ac:dyDescent="0.25">
      <c r="A1062"/>
      <c r="B1062"/>
      <c r="C1062"/>
      <c r="M1062"/>
    </row>
    <row r="1063" spans="1:13" ht="12.75" customHeight="1" x14ac:dyDescent="0.25">
      <c r="A1063"/>
      <c r="B1063"/>
      <c r="C1063"/>
      <c r="M1063"/>
    </row>
    <row r="1064" spans="1:13" ht="12.75" customHeight="1" x14ac:dyDescent="0.25">
      <c r="A1064"/>
      <c r="B1064"/>
      <c r="C1064"/>
      <c r="M1064"/>
    </row>
    <row r="1065" spans="1:13" ht="12.75" customHeight="1" x14ac:dyDescent="0.25">
      <c r="A1065"/>
      <c r="B1065"/>
      <c r="C1065"/>
      <c r="M1065"/>
    </row>
    <row r="1066" spans="1:13" ht="12.75" customHeight="1" x14ac:dyDescent="0.25">
      <c r="A1066"/>
      <c r="B1066"/>
      <c r="C1066"/>
      <c r="M1066"/>
    </row>
    <row r="1067" spans="1:13" ht="12.75" customHeight="1" x14ac:dyDescent="0.25">
      <c r="A1067"/>
      <c r="B1067"/>
      <c r="C1067"/>
      <c r="M1067"/>
    </row>
    <row r="1068" spans="1:13" ht="12.75" customHeight="1" x14ac:dyDescent="0.25">
      <c r="A1068"/>
      <c r="B1068"/>
      <c r="C1068"/>
      <c r="M1068"/>
    </row>
    <row r="1069" spans="1:13" ht="12.75" customHeight="1" x14ac:dyDescent="0.25">
      <c r="A1069"/>
      <c r="B1069"/>
      <c r="C1069"/>
      <c r="M1069"/>
    </row>
    <row r="1070" spans="1:13" ht="12.75" customHeight="1" x14ac:dyDescent="0.25">
      <c r="A1070"/>
      <c r="B1070"/>
      <c r="C1070"/>
      <c r="M1070"/>
    </row>
    <row r="1071" spans="1:13" ht="12.75" customHeight="1" x14ac:dyDescent="0.25">
      <c r="A1071"/>
      <c r="B1071"/>
      <c r="C1071"/>
      <c r="M1071"/>
    </row>
    <row r="1072" spans="1:13" ht="12.75" customHeight="1" x14ac:dyDescent="0.25">
      <c r="A1072"/>
      <c r="B1072"/>
      <c r="C1072"/>
      <c r="M1072"/>
    </row>
    <row r="1073" spans="1:13" ht="12.75" customHeight="1" x14ac:dyDescent="0.25">
      <c r="A1073"/>
      <c r="B1073"/>
      <c r="C1073"/>
      <c r="M1073"/>
    </row>
    <row r="1074" spans="1:13" ht="12.75" customHeight="1" x14ac:dyDescent="0.25">
      <c r="A1074"/>
      <c r="B1074"/>
      <c r="C1074"/>
      <c r="M1074"/>
    </row>
    <row r="1075" spans="1:13" ht="12.75" customHeight="1" x14ac:dyDescent="0.25">
      <c r="A1075"/>
      <c r="B1075"/>
      <c r="C1075"/>
      <c r="M1075"/>
    </row>
    <row r="1076" spans="1:13" ht="12.75" customHeight="1" x14ac:dyDescent="0.25">
      <c r="A1076"/>
      <c r="B1076"/>
      <c r="C1076"/>
      <c r="M1076"/>
    </row>
    <row r="1077" spans="1:13" ht="12.75" customHeight="1" x14ac:dyDescent="0.25">
      <c r="A1077"/>
      <c r="B1077"/>
      <c r="C1077"/>
      <c r="M1077"/>
    </row>
    <row r="1078" spans="1:13" ht="12.75" customHeight="1" x14ac:dyDescent="0.25">
      <c r="A1078"/>
      <c r="B1078"/>
      <c r="C1078"/>
      <c r="M1078"/>
    </row>
    <row r="1079" spans="1:13" ht="12.75" customHeight="1" x14ac:dyDescent="0.25">
      <c r="A1079"/>
      <c r="B1079"/>
      <c r="C1079"/>
      <c r="M1079"/>
    </row>
    <row r="1080" spans="1:13" ht="12.75" customHeight="1" x14ac:dyDescent="0.25">
      <c r="A1080"/>
      <c r="B1080"/>
      <c r="C1080"/>
      <c r="M1080"/>
    </row>
    <row r="1081" spans="1:13" ht="12.75" customHeight="1" x14ac:dyDescent="0.25">
      <c r="A1081"/>
      <c r="B1081"/>
      <c r="C1081"/>
      <c r="M1081"/>
    </row>
    <row r="1082" spans="1:13" ht="12.75" customHeight="1" x14ac:dyDescent="0.25">
      <c r="A1082"/>
      <c r="B1082"/>
      <c r="C1082"/>
      <c r="M1082"/>
    </row>
    <row r="1083" spans="1:13" ht="12.75" customHeight="1" x14ac:dyDescent="0.25">
      <c r="A1083"/>
      <c r="B1083"/>
      <c r="C1083"/>
      <c r="M1083"/>
    </row>
    <row r="1084" spans="1:13" ht="12.75" customHeight="1" x14ac:dyDescent="0.25">
      <c r="A1084"/>
      <c r="B1084"/>
      <c r="C1084"/>
      <c r="M1084"/>
    </row>
    <row r="1085" spans="1:13" ht="12.75" customHeight="1" x14ac:dyDescent="0.25">
      <c r="A1085"/>
      <c r="B1085"/>
      <c r="C1085"/>
      <c r="M1085"/>
    </row>
    <row r="1086" spans="1:13" ht="12.75" customHeight="1" x14ac:dyDescent="0.25">
      <c r="A1086"/>
      <c r="B1086"/>
      <c r="C1086"/>
      <c r="M1086"/>
    </row>
    <row r="1087" spans="1:13" ht="12.75" customHeight="1" x14ac:dyDescent="0.25">
      <c r="A1087"/>
      <c r="B1087"/>
      <c r="C1087"/>
      <c r="M1087"/>
    </row>
    <row r="1088" spans="1:13" ht="12.75" customHeight="1" x14ac:dyDescent="0.25">
      <c r="A1088"/>
      <c r="B1088"/>
      <c r="C1088"/>
      <c r="M1088"/>
    </row>
    <row r="1089" spans="1:13" ht="12.75" customHeight="1" x14ac:dyDescent="0.25">
      <c r="A1089"/>
      <c r="B1089"/>
      <c r="C1089"/>
      <c r="M1089"/>
    </row>
    <row r="1090" spans="1:13" ht="12.75" customHeight="1" x14ac:dyDescent="0.25">
      <c r="A1090"/>
      <c r="B1090"/>
      <c r="C1090"/>
      <c r="M1090"/>
    </row>
    <row r="1091" spans="1:13" ht="12.75" customHeight="1" x14ac:dyDescent="0.25">
      <c r="A1091"/>
      <c r="B1091"/>
      <c r="C1091"/>
      <c r="M1091"/>
    </row>
    <row r="1092" spans="1:13" ht="12.75" customHeight="1" x14ac:dyDescent="0.25">
      <c r="A1092"/>
      <c r="B1092"/>
      <c r="C1092"/>
      <c r="M1092"/>
    </row>
    <row r="1093" spans="1:13" ht="12.75" customHeight="1" x14ac:dyDescent="0.25">
      <c r="A1093"/>
      <c r="B1093"/>
      <c r="C1093"/>
      <c r="M1093"/>
    </row>
    <row r="1094" spans="1:13" ht="12.75" customHeight="1" x14ac:dyDescent="0.25">
      <c r="A1094"/>
      <c r="B1094"/>
      <c r="C1094"/>
      <c r="M1094"/>
    </row>
    <row r="1095" spans="1:13" ht="12.75" customHeight="1" x14ac:dyDescent="0.25">
      <c r="A1095"/>
      <c r="B1095"/>
      <c r="C1095"/>
      <c r="M1095"/>
    </row>
    <row r="1096" spans="1:13" ht="12.75" customHeight="1" x14ac:dyDescent="0.25">
      <c r="A1096"/>
      <c r="B1096"/>
      <c r="C1096"/>
      <c r="M1096"/>
    </row>
    <row r="1097" spans="1:13" ht="12.75" customHeight="1" x14ac:dyDescent="0.25">
      <c r="A1097"/>
      <c r="B1097"/>
      <c r="C1097"/>
      <c r="M1097"/>
    </row>
    <row r="1098" spans="1:13" ht="12.75" customHeight="1" x14ac:dyDescent="0.25">
      <c r="A1098"/>
      <c r="B1098"/>
      <c r="C1098"/>
      <c r="M1098"/>
    </row>
    <row r="1099" spans="1:13" ht="12.75" customHeight="1" x14ac:dyDescent="0.25">
      <c r="A1099"/>
      <c r="B1099"/>
      <c r="C1099"/>
      <c r="M1099"/>
    </row>
    <row r="1100" spans="1:13" ht="12.75" customHeight="1" x14ac:dyDescent="0.25">
      <c r="A1100"/>
      <c r="B1100"/>
      <c r="C1100"/>
      <c r="M1100"/>
    </row>
    <row r="1101" spans="1:13" ht="12.75" customHeight="1" x14ac:dyDescent="0.25">
      <c r="A1101"/>
      <c r="B1101"/>
      <c r="C1101"/>
      <c r="M1101"/>
    </row>
    <row r="1102" spans="1:13" ht="12.75" customHeight="1" x14ac:dyDescent="0.25">
      <c r="A1102"/>
      <c r="B1102"/>
      <c r="C1102"/>
      <c r="M1102"/>
    </row>
    <row r="1103" spans="1:13" ht="12.75" customHeight="1" x14ac:dyDescent="0.25">
      <c r="A1103"/>
      <c r="B1103"/>
      <c r="C1103"/>
      <c r="M1103"/>
    </row>
    <row r="1104" spans="1:13" ht="12.75" customHeight="1" x14ac:dyDescent="0.25">
      <c r="A1104"/>
      <c r="B1104"/>
      <c r="C1104"/>
      <c r="M1104"/>
    </row>
    <row r="1105" spans="1:13" ht="12.75" customHeight="1" x14ac:dyDescent="0.25">
      <c r="A1105"/>
      <c r="B1105"/>
      <c r="C1105"/>
      <c r="M1105"/>
    </row>
    <row r="1106" spans="1:13" ht="12.75" customHeight="1" x14ac:dyDescent="0.25">
      <c r="A1106"/>
      <c r="B1106"/>
      <c r="C1106"/>
      <c r="M1106"/>
    </row>
    <row r="1107" spans="1:13" ht="12.75" customHeight="1" x14ac:dyDescent="0.25">
      <c r="A1107"/>
      <c r="B1107"/>
      <c r="C1107"/>
      <c r="M1107"/>
    </row>
    <row r="1108" spans="1:13" ht="12.75" customHeight="1" x14ac:dyDescent="0.25">
      <c r="A1108"/>
      <c r="B1108"/>
      <c r="C1108"/>
      <c r="M1108"/>
    </row>
    <row r="1109" spans="1:13" ht="12.75" customHeight="1" x14ac:dyDescent="0.25">
      <c r="A1109"/>
      <c r="B1109"/>
      <c r="C1109"/>
      <c r="M1109"/>
    </row>
    <row r="1110" spans="1:13" ht="12.75" customHeight="1" x14ac:dyDescent="0.25">
      <c r="A1110"/>
      <c r="B1110"/>
      <c r="C1110"/>
      <c r="M1110"/>
    </row>
    <row r="1111" spans="1:13" ht="12.75" customHeight="1" x14ac:dyDescent="0.25">
      <c r="A1111"/>
      <c r="B1111"/>
      <c r="C1111"/>
      <c r="M1111"/>
    </row>
    <row r="1112" spans="1:13" ht="12.75" customHeight="1" x14ac:dyDescent="0.25">
      <c r="A1112"/>
      <c r="B1112"/>
      <c r="C1112"/>
      <c r="M1112"/>
    </row>
    <row r="1113" spans="1:13" ht="12.75" customHeight="1" x14ac:dyDescent="0.25">
      <c r="A1113"/>
      <c r="B1113"/>
      <c r="C1113"/>
      <c r="M1113"/>
    </row>
    <row r="1114" spans="1:13" ht="12.75" customHeight="1" x14ac:dyDescent="0.25">
      <c r="A1114"/>
      <c r="B1114"/>
      <c r="C1114"/>
      <c r="M1114"/>
    </row>
    <row r="1115" spans="1:13" ht="12.75" customHeight="1" x14ac:dyDescent="0.25">
      <c r="A1115"/>
      <c r="B1115"/>
      <c r="C1115"/>
      <c r="M1115"/>
    </row>
    <row r="1116" spans="1:13" ht="12.75" customHeight="1" x14ac:dyDescent="0.25">
      <c r="A1116"/>
      <c r="B1116"/>
      <c r="C1116"/>
      <c r="M1116"/>
    </row>
    <row r="1117" spans="1:13" ht="12.75" customHeight="1" x14ac:dyDescent="0.25">
      <c r="A1117"/>
      <c r="B1117"/>
      <c r="C1117"/>
      <c r="M1117"/>
    </row>
    <row r="1118" spans="1:13" ht="12.75" customHeight="1" x14ac:dyDescent="0.25">
      <c r="A1118"/>
      <c r="B1118"/>
      <c r="C1118"/>
      <c r="M1118"/>
    </row>
    <row r="1119" spans="1:13" ht="12.75" customHeight="1" x14ac:dyDescent="0.25">
      <c r="A1119"/>
      <c r="B1119"/>
      <c r="C1119"/>
      <c r="M1119"/>
    </row>
    <row r="1120" spans="1:13" ht="12.75" customHeight="1" x14ac:dyDescent="0.25">
      <c r="A1120"/>
      <c r="B1120"/>
      <c r="C1120"/>
      <c r="M1120"/>
    </row>
    <row r="1121" spans="1:13" ht="12.75" customHeight="1" x14ac:dyDescent="0.25">
      <c r="A1121"/>
      <c r="B1121"/>
      <c r="C1121"/>
      <c r="M1121"/>
    </row>
    <row r="1122" spans="1:13" ht="12.75" customHeight="1" x14ac:dyDescent="0.25">
      <c r="A1122"/>
      <c r="B1122"/>
      <c r="C1122"/>
      <c r="M1122"/>
    </row>
    <row r="1123" spans="1:13" ht="12.75" customHeight="1" x14ac:dyDescent="0.25">
      <c r="A1123"/>
      <c r="B1123"/>
      <c r="C1123"/>
      <c r="M1123"/>
    </row>
    <row r="1124" spans="1:13" ht="12.75" customHeight="1" x14ac:dyDescent="0.25">
      <c r="A1124"/>
      <c r="B1124"/>
      <c r="C1124"/>
      <c r="M1124"/>
    </row>
    <row r="1125" spans="1:13" ht="12.75" customHeight="1" x14ac:dyDescent="0.25">
      <c r="A1125"/>
      <c r="B1125"/>
      <c r="C1125"/>
      <c r="M1125"/>
    </row>
    <row r="1126" spans="1:13" ht="12.75" customHeight="1" x14ac:dyDescent="0.25">
      <c r="A1126"/>
      <c r="B1126"/>
      <c r="C1126"/>
      <c r="M1126"/>
    </row>
    <row r="1127" spans="1:13" ht="12.75" customHeight="1" x14ac:dyDescent="0.25">
      <c r="A1127"/>
      <c r="B1127"/>
      <c r="C1127"/>
      <c r="M1127"/>
    </row>
    <row r="1128" spans="1:13" ht="12.75" customHeight="1" x14ac:dyDescent="0.25">
      <c r="A1128"/>
      <c r="B1128"/>
      <c r="C1128"/>
      <c r="M1128"/>
    </row>
    <row r="1129" spans="1:13" ht="12.75" customHeight="1" x14ac:dyDescent="0.25">
      <c r="A1129"/>
      <c r="B1129"/>
      <c r="C1129"/>
      <c r="M1129"/>
    </row>
    <row r="1130" spans="1:13" ht="12.75" customHeight="1" x14ac:dyDescent="0.25">
      <c r="A1130"/>
      <c r="B1130"/>
      <c r="C1130"/>
      <c r="M1130"/>
    </row>
    <row r="1131" spans="1:13" ht="12.75" customHeight="1" x14ac:dyDescent="0.25">
      <c r="A1131"/>
      <c r="B1131"/>
      <c r="C1131"/>
      <c r="M1131"/>
    </row>
    <row r="1132" spans="1:13" ht="12.75" customHeight="1" x14ac:dyDescent="0.25">
      <c r="A1132"/>
      <c r="B1132"/>
      <c r="C1132"/>
      <c r="M1132"/>
    </row>
    <row r="1133" spans="1:13" ht="12.75" customHeight="1" x14ac:dyDescent="0.25">
      <c r="A1133"/>
      <c r="B1133"/>
      <c r="C1133"/>
      <c r="M1133"/>
    </row>
    <row r="1134" spans="1:13" ht="12.75" customHeight="1" x14ac:dyDescent="0.25">
      <c r="A1134"/>
      <c r="B1134"/>
      <c r="C1134"/>
      <c r="M1134"/>
    </row>
    <row r="1135" spans="1:13" ht="12.75" customHeight="1" x14ac:dyDescent="0.25">
      <c r="A1135"/>
      <c r="B1135"/>
      <c r="C1135"/>
      <c r="M1135"/>
    </row>
    <row r="1136" spans="1:13" ht="12.75" customHeight="1" x14ac:dyDescent="0.25">
      <c r="A1136"/>
      <c r="B1136"/>
      <c r="C1136"/>
      <c r="M1136"/>
    </row>
    <row r="1137" spans="1:13" ht="12.75" customHeight="1" x14ac:dyDescent="0.25">
      <c r="A1137"/>
      <c r="B1137"/>
      <c r="C1137"/>
      <c r="M1137"/>
    </row>
    <row r="1138" spans="1:13" ht="12.75" customHeight="1" x14ac:dyDescent="0.25">
      <c r="A1138"/>
      <c r="B1138"/>
      <c r="C1138"/>
      <c r="M1138"/>
    </row>
    <row r="1139" spans="1:13" ht="12.75" customHeight="1" x14ac:dyDescent="0.25">
      <c r="A1139"/>
      <c r="B1139"/>
      <c r="C1139"/>
      <c r="M1139"/>
    </row>
    <row r="1140" spans="1:13" ht="12.75" customHeight="1" x14ac:dyDescent="0.25">
      <c r="A1140"/>
      <c r="B1140"/>
      <c r="C1140"/>
      <c r="M1140"/>
    </row>
    <row r="1141" spans="1:13" ht="12.75" customHeight="1" x14ac:dyDescent="0.25">
      <c r="A1141"/>
      <c r="B1141"/>
      <c r="C1141"/>
      <c r="M1141"/>
    </row>
    <row r="1142" spans="1:13" ht="12.75" customHeight="1" x14ac:dyDescent="0.25">
      <c r="A1142"/>
      <c r="B1142"/>
      <c r="C1142"/>
      <c r="M1142"/>
    </row>
    <row r="1143" spans="1:13" ht="12.75" customHeight="1" x14ac:dyDescent="0.25">
      <c r="A1143"/>
      <c r="B1143"/>
      <c r="C1143"/>
      <c r="M1143"/>
    </row>
    <row r="1144" spans="1:13" ht="12.75" customHeight="1" x14ac:dyDescent="0.25">
      <c r="A1144"/>
      <c r="B1144"/>
      <c r="C1144"/>
      <c r="M1144"/>
    </row>
    <row r="1145" spans="1:13" ht="12.75" customHeight="1" x14ac:dyDescent="0.25">
      <c r="A1145"/>
      <c r="B1145"/>
      <c r="C1145"/>
      <c r="M1145"/>
    </row>
    <row r="1146" spans="1:13" ht="12.75" customHeight="1" x14ac:dyDescent="0.25">
      <c r="A1146"/>
      <c r="B1146"/>
      <c r="C1146"/>
      <c r="M1146"/>
    </row>
    <row r="1147" spans="1:13" ht="12.75" customHeight="1" x14ac:dyDescent="0.25">
      <c r="A1147"/>
      <c r="B1147"/>
      <c r="C1147"/>
      <c r="M1147"/>
    </row>
    <row r="1148" spans="1:13" ht="12.75" customHeight="1" x14ac:dyDescent="0.25">
      <c r="A1148"/>
      <c r="B1148"/>
      <c r="C1148"/>
      <c r="M1148"/>
    </row>
    <row r="1149" spans="1:13" ht="12.75" customHeight="1" x14ac:dyDescent="0.25">
      <c r="A1149"/>
      <c r="B1149"/>
      <c r="C1149"/>
      <c r="M1149"/>
    </row>
    <row r="1150" spans="1:13" ht="12.75" customHeight="1" x14ac:dyDescent="0.25">
      <c r="A1150"/>
      <c r="B1150"/>
      <c r="C1150"/>
      <c r="M1150"/>
    </row>
    <row r="1151" spans="1:13" ht="12.75" customHeight="1" x14ac:dyDescent="0.25">
      <c r="A1151"/>
      <c r="B1151"/>
      <c r="C1151"/>
      <c r="M1151"/>
    </row>
    <row r="1152" spans="1:13" ht="12.75" customHeight="1" x14ac:dyDescent="0.25">
      <c r="A1152"/>
      <c r="B1152"/>
      <c r="C1152"/>
      <c r="M1152"/>
    </row>
    <row r="1153" spans="1:13" ht="12.75" customHeight="1" x14ac:dyDescent="0.25">
      <c r="A1153"/>
      <c r="B1153"/>
      <c r="C1153"/>
      <c r="M1153"/>
    </row>
    <row r="1154" spans="1:13" ht="12.75" customHeight="1" x14ac:dyDescent="0.25">
      <c r="A1154"/>
      <c r="B1154"/>
      <c r="C1154"/>
      <c r="M1154"/>
    </row>
    <row r="1155" spans="1:13" ht="12.75" customHeight="1" x14ac:dyDescent="0.25">
      <c r="A1155"/>
      <c r="B1155"/>
      <c r="C1155"/>
      <c r="M1155"/>
    </row>
    <row r="1156" spans="1:13" ht="12.75" customHeight="1" x14ac:dyDescent="0.25">
      <c r="A1156"/>
      <c r="B1156"/>
      <c r="C1156"/>
      <c r="M1156"/>
    </row>
    <row r="1157" spans="1:13" ht="12.75" customHeight="1" x14ac:dyDescent="0.25">
      <c r="A1157"/>
      <c r="B1157"/>
      <c r="C1157"/>
      <c r="M1157"/>
    </row>
    <row r="1158" spans="1:13" ht="12.75" customHeight="1" x14ac:dyDescent="0.25">
      <c r="A1158"/>
      <c r="B1158"/>
      <c r="C1158"/>
      <c r="M1158"/>
    </row>
    <row r="1159" spans="1:13" ht="12.75" customHeight="1" x14ac:dyDescent="0.25">
      <c r="A1159"/>
      <c r="B1159"/>
      <c r="C1159"/>
      <c r="M1159"/>
    </row>
    <row r="1160" spans="1:13" ht="12.75" customHeight="1" x14ac:dyDescent="0.25">
      <c r="A1160"/>
      <c r="B1160"/>
      <c r="C1160"/>
      <c r="M1160"/>
    </row>
    <row r="1161" spans="1:13" ht="12.75" customHeight="1" x14ac:dyDescent="0.25">
      <c r="A1161"/>
      <c r="B1161"/>
      <c r="C1161"/>
      <c r="M1161"/>
    </row>
    <row r="1162" spans="1:13" ht="12.75" customHeight="1" x14ac:dyDescent="0.25">
      <c r="A1162"/>
      <c r="B1162"/>
      <c r="C1162"/>
      <c r="M1162"/>
    </row>
    <row r="1163" spans="1:13" ht="12.75" customHeight="1" x14ac:dyDescent="0.25">
      <c r="A1163"/>
      <c r="B1163"/>
      <c r="C1163"/>
      <c r="M1163"/>
    </row>
    <row r="1164" spans="1:13" ht="12.75" customHeight="1" x14ac:dyDescent="0.25">
      <c r="A1164"/>
      <c r="B1164"/>
      <c r="C1164"/>
      <c r="M1164"/>
    </row>
    <row r="1165" spans="1:13" ht="12.75" customHeight="1" x14ac:dyDescent="0.25">
      <c r="A1165"/>
      <c r="B1165"/>
      <c r="C1165"/>
      <c r="M1165"/>
    </row>
    <row r="1166" spans="1:13" ht="12.75" customHeight="1" x14ac:dyDescent="0.25">
      <c r="A1166"/>
      <c r="B1166"/>
      <c r="C1166"/>
      <c r="M1166"/>
    </row>
    <row r="1167" spans="1:13" ht="12.75" customHeight="1" x14ac:dyDescent="0.25">
      <c r="A1167"/>
      <c r="B1167"/>
      <c r="C1167"/>
      <c r="M1167"/>
    </row>
    <row r="1168" spans="1:13" ht="12.75" customHeight="1" x14ac:dyDescent="0.25">
      <c r="A1168"/>
      <c r="B1168"/>
      <c r="C1168"/>
      <c r="M1168"/>
    </row>
    <row r="1169" spans="1:13" ht="12.75" customHeight="1" x14ac:dyDescent="0.25">
      <c r="A1169"/>
      <c r="B1169"/>
      <c r="C1169"/>
      <c r="M1169"/>
    </row>
    <row r="1170" spans="1:13" ht="12.75" customHeight="1" x14ac:dyDescent="0.25">
      <c r="A1170"/>
      <c r="B1170"/>
      <c r="C1170"/>
      <c r="M1170"/>
    </row>
    <row r="1171" spans="1:13" ht="12.75" customHeight="1" x14ac:dyDescent="0.25">
      <c r="A1171"/>
      <c r="B1171"/>
      <c r="C1171"/>
      <c r="M1171"/>
    </row>
    <row r="1172" spans="1:13" ht="12.75" customHeight="1" x14ac:dyDescent="0.25">
      <c r="A1172"/>
      <c r="B1172"/>
      <c r="C1172"/>
      <c r="M1172"/>
    </row>
    <row r="1173" spans="1:13" ht="12.75" customHeight="1" x14ac:dyDescent="0.25">
      <c r="A1173"/>
      <c r="B1173"/>
      <c r="C1173"/>
      <c r="M1173"/>
    </row>
    <row r="1174" spans="1:13" ht="12.75" customHeight="1" x14ac:dyDescent="0.25">
      <c r="A1174"/>
      <c r="B1174"/>
      <c r="C1174"/>
      <c r="M1174"/>
    </row>
    <row r="1175" spans="1:13" ht="12.75" customHeight="1" x14ac:dyDescent="0.25">
      <c r="A1175"/>
      <c r="B1175"/>
      <c r="C1175"/>
      <c r="M1175"/>
    </row>
    <row r="1176" spans="1:13" ht="12.75" customHeight="1" x14ac:dyDescent="0.25">
      <c r="A1176"/>
      <c r="B1176"/>
      <c r="C1176"/>
      <c r="M1176"/>
    </row>
    <row r="1177" spans="1:13" ht="12.75" customHeight="1" x14ac:dyDescent="0.25">
      <c r="A1177"/>
      <c r="B1177"/>
      <c r="C1177"/>
      <c r="M1177"/>
    </row>
    <row r="1178" spans="1:13" ht="12.75" customHeight="1" x14ac:dyDescent="0.25">
      <c r="A1178"/>
      <c r="B1178"/>
      <c r="C1178"/>
      <c r="M1178"/>
    </row>
    <row r="1179" spans="1:13" ht="12.75" customHeight="1" x14ac:dyDescent="0.25">
      <c r="A1179"/>
      <c r="B1179"/>
      <c r="C1179"/>
      <c r="M1179"/>
    </row>
    <row r="1180" spans="1:13" ht="12.75" customHeight="1" x14ac:dyDescent="0.25">
      <c r="A1180"/>
      <c r="B1180"/>
      <c r="C1180"/>
      <c r="M1180"/>
    </row>
    <row r="1181" spans="1:13" ht="12.75" customHeight="1" x14ac:dyDescent="0.25">
      <c r="A1181"/>
      <c r="B1181"/>
      <c r="C1181"/>
      <c r="M1181"/>
    </row>
    <row r="1182" spans="1:13" ht="12.75" customHeight="1" x14ac:dyDescent="0.25">
      <c r="A1182"/>
      <c r="B1182"/>
      <c r="C1182"/>
      <c r="M1182"/>
    </row>
    <row r="1183" spans="1:13" ht="12.75" customHeight="1" x14ac:dyDescent="0.25">
      <c r="A1183"/>
      <c r="B1183"/>
      <c r="C1183"/>
      <c r="M1183"/>
    </row>
    <row r="1184" spans="1:13" ht="12.75" customHeight="1" x14ac:dyDescent="0.25">
      <c r="A1184"/>
      <c r="B1184"/>
      <c r="C1184"/>
      <c r="M1184"/>
    </row>
    <row r="1185" spans="1:13" ht="12.75" customHeight="1" x14ac:dyDescent="0.25">
      <c r="A1185"/>
      <c r="B1185"/>
      <c r="C1185"/>
      <c r="M1185"/>
    </row>
    <row r="1186" spans="1:13" ht="12.75" customHeight="1" x14ac:dyDescent="0.25">
      <c r="A1186"/>
      <c r="B1186"/>
      <c r="C1186"/>
      <c r="M1186"/>
    </row>
    <row r="1187" spans="1:13" ht="12.75" customHeight="1" x14ac:dyDescent="0.25">
      <c r="A1187"/>
      <c r="B1187"/>
      <c r="C1187"/>
      <c r="M1187"/>
    </row>
    <row r="1188" spans="1:13" ht="12.75" customHeight="1" x14ac:dyDescent="0.25">
      <c r="A1188"/>
      <c r="B1188"/>
      <c r="C1188"/>
      <c r="M1188"/>
    </row>
    <row r="1189" spans="1:13" ht="12.75" customHeight="1" x14ac:dyDescent="0.25">
      <c r="A1189"/>
      <c r="B1189"/>
      <c r="C1189"/>
      <c r="M1189"/>
    </row>
    <row r="1190" spans="1:13" ht="12.75" customHeight="1" x14ac:dyDescent="0.25">
      <c r="A1190"/>
      <c r="B1190"/>
      <c r="C1190"/>
      <c r="M1190"/>
    </row>
    <row r="1191" spans="1:13" ht="12.75" customHeight="1" x14ac:dyDescent="0.25">
      <c r="A1191"/>
      <c r="B1191"/>
      <c r="C1191"/>
      <c r="M1191"/>
    </row>
    <row r="1192" spans="1:13" ht="12.75" customHeight="1" x14ac:dyDescent="0.25">
      <c r="A1192"/>
      <c r="B1192"/>
      <c r="C1192"/>
      <c r="M1192"/>
    </row>
    <row r="1193" spans="1:13" ht="12.75" customHeight="1" x14ac:dyDescent="0.25">
      <c r="A1193"/>
      <c r="B1193"/>
      <c r="C1193"/>
      <c r="M1193"/>
    </row>
    <row r="1194" spans="1:13" ht="12.75" customHeight="1" x14ac:dyDescent="0.25">
      <c r="A1194"/>
      <c r="B1194"/>
      <c r="C1194"/>
      <c r="M1194"/>
    </row>
    <row r="1195" spans="1:13" ht="12.75" customHeight="1" x14ac:dyDescent="0.25">
      <c r="A1195"/>
      <c r="B1195"/>
      <c r="C1195"/>
      <c r="M1195"/>
    </row>
    <row r="1196" spans="1:13" ht="12.75" customHeight="1" x14ac:dyDescent="0.25">
      <c r="A1196"/>
      <c r="B1196"/>
      <c r="C1196"/>
      <c r="M1196"/>
    </row>
    <row r="1197" spans="1:13" ht="12.75" customHeight="1" x14ac:dyDescent="0.25">
      <c r="A1197"/>
      <c r="B1197"/>
      <c r="C1197"/>
      <c r="M1197"/>
    </row>
    <row r="1198" spans="1:13" ht="12.75" customHeight="1" x14ac:dyDescent="0.25">
      <c r="A1198"/>
      <c r="B1198"/>
      <c r="C1198"/>
      <c r="M1198"/>
    </row>
    <row r="1199" spans="1:13" ht="12.75" customHeight="1" x14ac:dyDescent="0.25">
      <c r="A1199"/>
      <c r="B1199"/>
      <c r="C1199"/>
      <c r="M1199"/>
    </row>
    <row r="1200" spans="1:13" ht="12.75" customHeight="1" x14ac:dyDescent="0.25">
      <c r="A1200"/>
      <c r="B1200"/>
      <c r="C1200"/>
      <c r="M1200"/>
    </row>
    <row r="1201" spans="1:13" ht="12.75" customHeight="1" x14ac:dyDescent="0.25">
      <c r="A1201"/>
      <c r="B1201"/>
      <c r="C1201"/>
      <c r="M1201"/>
    </row>
    <row r="1202" spans="1:13" ht="12.75" customHeight="1" x14ac:dyDescent="0.25">
      <c r="A1202"/>
      <c r="B1202"/>
      <c r="C1202"/>
      <c r="M1202"/>
    </row>
    <row r="1203" spans="1:13" ht="12.75" customHeight="1" x14ac:dyDescent="0.25">
      <c r="A1203"/>
      <c r="B1203"/>
      <c r="C1203"/>
      <c r="M1203"/>
    </row>
    <row r="1204" spans="1:13" ht="12.75" customHeight="1" x14ac:dyDescent="0.25">
      <c r="A1204"/>
      <c r="B1204"/>
      <c r="C1204"/>
      <c r="M1204"/>
    </row>
    <row r="1205" spans="1:13" ht="12.75" customHeight="1" x14ac:dyDescent="0.25">
      <c r="A1205"/>
      <c r="B1205"/>
      <c r="C1205"/>
      <c r="M1205"/>
    </row>
    <row r="1206" spans="1:13" ht="12.75" customHeight="1" x14ac:dyDescent="0.25">
      <c r="A1206"/>
      <c r="B1206"/>
      <c r="C1206"/>
      <c r="M1206"/>
    </row>
    <row r="1207" spans="1:13" ht="12.75" customHeight="1" x14ac:dyDescent="0.25">
      <c r="A1207"/>
      <c r="B1207"/>
      <c r="C1207"/>
      <c r="M1207"/>
    </row>
    <row r="1208" spans="1:13" ht="12.75" customHeight="1" x14ac:dyDescent="0.25">
      <c r="A1208"/>
      <c r="B1208"/>
      <c r="C1208"/>
      <c r="M1208"/>
    </row>
    <row r="1209" spans="1:13" ht="12.75" customHeight="1" x14ac:dyDescent="0.25">
      <c r="A1209"/>
      <c r="B1209"/>
      <c r="C1209"/>
      <c r="M1209"/>
    </row>
    <row r="1210" spans="1:13" ht="12.75" customHeight="1" x14ac:dyDescent="0.25">
      <c r="A1210"/>
      <c r="B1210"/>
      <c r="C1210"/>
      <c r="M1210"/>
    </row>
    <row r="1211" spans="1:13" ht="12.75" customHeight="1" x14ac:dyDescent="0.25">
      <c r="A1211"/>
      <c r="B1211"/>
      <c r="C1211"/>
      <c r="M1211"/>
    </row>
    <row r="1212" spans="1:13" ht="12.75" customHeight="1" x14ac:dyDescent="0.25">
      <c r="A1212"/>
      <c r="B1212"/>
      <c r="C1212"/>
      <c r="M1212"/>
    </row>
    <row r="1213" spans="1:13" ht="12.75" customHeight="1" x14ac:dyDescent="0.25">
      <c r="A1213"/>
      <c r="B1213"/>
      <c r="C1213"/>
      <c r="M1213"/>
    </row>
    <row r="1214" spans="1:13" ht="12.75" customHeight="1" x14ac:dyDescent="0.25">
      <c r="A1214"/>
      <c r="B1214"/>
      <c r="C1214"/>
      <c r="M1214"/>
    </row>
    <row r="1215" spans="1:13" ht="12.75" customHeight="1" x14ac:dyDescent="0.25">
      <c r="A1215"/>
      <c r="B1215"/>
      <c r="C1215"/>
      <c r="M1215"/>
    </row>
    <row r="1216" spans="1:13" ht="12.75" customHeight="1" x14ac:dyDescent="0.25">
      <c r="A1216"/>
      <c r="B1216"/>
      <c r="C1216"/>
      <c r="M1216"/>
    </row>
    <row r="1217" spans="1:13" ht="12.75" customHeight="1" x14ac:dyDescent="0.25">
      <c r="A1217"/>
      <c r="B1217"/>
      <c r="C1217"/>
      <c r="M1217"/>
    </row>
    <row r="1218" spans="1:13" ht="12.75" customHeight="1" x14ac:dyDescent="0.25">
      <c r="A1218"/>
      <c r="B1218"/>
      <c r="C1218"/>
      <c r="M1218"/>
    </row>
    <row r="1219" spans="1:13" ht="12.75" customHeight="1" x14ac:dyDescent="0.25">
      <c r="A1219"/>
      <c r="B1219"/>
      <c r="C1219"/>
      <c r="M1219"/>
    </row>
    <row r="1220" spans="1:13" ht="12.75" customHeight="1" x14ac:dyDescent="0.25">
      <c r="A1220"/>
      <c r="B1220"/>
      <c r="C1220"/>
      <c r="M1220"/>
    </row>
    <row r="1221" spans="1:13" ht="12.75" customHeight="1" x14ac:dyDescent="0.25">
      <c r="A1221"/>
      <c r="B1221"/>
      <c r="C1221"/>
      <c r="M1221"/>
    </row>
    <row r="1222" spans="1:13" ht="12.75" customHeight="1" x14ac:dyDescent="0.25">
      <c r="A1222"/>
      <c r="B1222"/>
      <c r="C1222"/>
      <c r="M1222"/>
    </row>
    <row r="1223" spans="1:13" ht="12.75" customHeight="1" x14ac:dyDescent="0.25">
      <c r="A1223"/>
      <c r="B1223"/>
      <c r="C1223"/>
      <c r="M1223"/>
    </row>
    <row r="1224" spans="1:13" ht="12.75" customHeight="1" x14ac:dyDescent="0.25">
      <c r="A1224"/>
      <c r="B1224"/>
      <c r="C1224"/>
      <c r="M1224"/>
    </row>
    <row r="1225" spans="1:13" ht="12.75" customHeight="1" x14ac:dyDescent="0.25">
      <c r="A1225"/>
      <c r="B1225"/>
      <c r="C1225"/>
      <c r="M1225"/>
    </row>
    <row r="1226" spans="1:13" ht="12.75" customHeight="1" x14ac:dyDescent="0.25">
      <c r="A1226"/>
      <c r="B1226"/>
      <c r="C1226"/>
      <c r="M1226"/>
    </row>
    <row r="1227" spans="1:13" ht="12.75" customHeight="1" x14ac:dyDescent="0.25">
      <c r="A1227"/>
      <c r="B1227"/>
      <c r="C1227"/>
      <c r="M1227"/>
    </row>
    <row r="1228" spans="1:13" ht="12.75" customHeight="1" x14ac:dyDescent="0.25">
      <c r="A1228"/>
      <c r="B1228"/>
      <c r="C1228"/>
      <c r="M1228"/>
    </row>
    <row r="1229" spans="1:13" ht="12.75" customHeight="1" x14ac:dyDescent="0.25">
      <c r="A1229"/>
      <c r="B1229"/>
      <c r="C1229"/>
      <c r="M1229"/>
    </row>
    <row r="1230" spans="1:13" ht="12.75" customHeight="1" x14ac:dyDescent="0.25">
      <c r="A1230"/>
      <c r="B1230"/>
      <c r="C1230"/>
      <c r="M1230"/>
    </row>
    <row r="1231" spans="1:13" ht="12.75" customHeight="1" x14ac:dyDescent="0.25">
      <c r="A1231"/>
      <c r="B1231"/>
      <c r="C1231"/>
      <c r="M1231"/>
    </row>
    <row r="1232" spans="1:13" ht="12.75" customHeight="1" x14ac:dyDescent="0.25">
      <c r="A1232"/>
      <c r="B1232"/>
      <c r="C1232"/>
      <c r="M1232"/>
    </row>
    <row r="1233" spans="1:13" ht="12.75" customHeight="1" x14ac:dyDescent="0.25">
      <c r="A1233"/>
      <c r="B1233"/>
      <c r="C1233"/>
      <c r="M1233"/>
    </row>
    <row r="1234" spans="1:13" ht="12.75" customHeight="1" x14ac:dyDescent="0.25">
      <c r="A1234"/>
      <c r="B1234"/>
      <c r="C1234"/>
      <c r="M1234"/>
    </row>
    <row r="1235" spans="1:13" ht="12.75" customHeight="1" x14ac:dyDescent="0.25">
      <c r="A1235"/>
      <c r="B1235"/>
      <c r="C1235"/>
      <c r="M1235"/>
    </row>
    <row r="1236" spans="1:13" ht="12.75" customHeight="1" x14ac:dyDescent="0.25">
      <c r="A1236"/>
      <c r="B1236"/>
      <c r="C1236"/>
      <c r="M1236"/>
    </row>
    <row r="1237" spans="1:13" ht="12.75" customHeight="1" x14ac:dyDescent="0.25">
      <c r="A1237"/>
      <c r="B1237"/>
      <c r="C1237"/>
      <c r="M1237"/>
    </row>
    <row r="1238" spans="1:13" ht="12.75" customHeight="1" x14ac:dyDescent="0.25">
      <c r="A1238"/>
      <c r="B1238"/>
      <c r="C1238"/>
      <c r="M1238"/>
    </row>
    <row r="1239" spans="1:13" ht="12.75" customHeight="1" x14ac:dyDescent="0.25">
      <c r="A1239"/>
      <c r="B1239"/>
      <c r="C1239"/>
      <c r="M1239"/>
    </row>
    <row r="1240" spans="1:13" ht="12.75" customHeight="1" x14ac:dyDescent="0.25">
      <c r="A1240"/>
      <c r="B1240"/>
      <c r="C1240"/>
      <c r="M1240"/>
    </row>
    <row r="1241" spans="1:13" ht="12.75" customHeight="1" x14ac:dyDescent="0.25">
      <c r="A1241"/>
      <c r="B1241"/>
      <c r="C1241"/>
      <c r="M1241"/>
    </row>
    <row r="1242" spans="1:13" ht="12.75" customHeight="1" x14ac:dyDescent="0.25">
      <c r="A1242"/>
      <c r="B1242"/>
      <c r="C1242"/>
      <c r="M1242"/>
    </row>
    <row r="1243" spans="1:13" ht="12.75" customHeight="1" x14ac:dyDescent="0.25">
      <c r="A1243"/>
      <c r="B1243"/>
      <c r="C1243"/>
      <c r="M1243"/>
    </row>
    <row r="1244" spans="1:13" ht="12.75" customHeight="1" x14ac:dyDescent="0.25">
      <c r="A1244"/>
      <c r="B1244"/>
      <c r="C1244"/>
      <c r="M1244"/>
    </row>
    <row r="1245" spans="1:13" ht="12.75" customHeight="1" x14ac:dyDescent="0.25">
      <c r="A1245"/>
      <c r="B1245"/>
      <c r="C1245"/>
      <c r="M1245"/>
    </row>
    <row r="1246" spans="1:13" ht="12.75" customHeight="1" x14ac:dyDescent="0.25">
      <c r="A1246"/>
      <c r="B1246"/>
      <c r="C1246"/>
      <c r="M1246"/>
    </row>
    <row r="1247" spans="1:13" ht="12.75" customHeight="1" x14ac:dyDescent="0.25">
      <c r="A1247"/>
      <c r="B1247"/>
      <c r="C1247"/>
      <c r="M1247"/>
    </row>
    <row r="1248" spans="1:13" ht="12.75" customHeight="1" x14ac:dyDescent="0.25">
      <c r="A1248"/>
      <c r="B1248"/>
      <c r="C1248"/>
      <c r="M1248"/>
    </row>
    <row r="1249" spans="1:13" ht="12.75" customHeight="1" x14ac:dyDescent="0.25">
      <c r="A1249"/>
      <c r="B1249"/>
      <c r="C1249"/>
      <c r="M1249"/>
    </row>
    <row r="1250" spans="1:13" ht="12.75" customHeight="1" x14ac:dyDescent="0.25">
      <c r="A1250"/>
      <c r="B1250"/>
      <c r="C1250"/>
      <c r="M1250"/>
    </row>
    <row r="1251" spans="1:13" ht="12.75" customHeight="1" x14ac:dyDescent="0.25">
      <c r="A1251"/>
      <c r="B1251"/>
      <c r="C1251"/>
      <c r="M1251"/>
    </row>
    <row r="1252" spans="1:13" ht="12.75" customHeight="1" x14ac:dyDescent="0.25">
      <c r="A1252"/>
      <c r="B1252"/>
      <c r="C1252"/>
      <c r="M1252"/>
    </row>
    <row r="1253" spans="1:13" ht="12.75" customHeight="1" x14ac:dyDescent="0.25">
      <c r="A1253"/>
      <c r="B1253"/>
      <c r="C1253"/>
      <c r="M1253"/>
    </row>
    <row r="1254" spans="1:13" ht="12.75" customHeight="1" x14ac:dyDescent="0.25">
      <c r="A1254"/>
      <c r="B1254"/>
      <c r="C1254"/>
      <c r="M1254"/>
    </row>
    <row r="1255" spans="1:13" ht="12.75" customHeight="1" x14ac:dyDescent="0.25">
      <c r="A1255"/>
      <c r="B1255"/>
      <c r="C1255"/>
      <c r="M1255"/>
    </row>
    <row r="1256" spans="1:13" ht="12.75" customHeight="1" x14ac:dyDescent="0.25">
      <c r="A1256"/>
      <c r="B1256"/>
      <c r="C1256"/>
      <c r="M1256"/>
    </row>
    <row r="1257" spans="1:13" ht="12.75" customHeight="1" x14ac:dyDescent="0.25">
      <c r="A1257"/>
      <c r="B1257"/>
      <c r="C1257"/>
      <c r="M1257"/>
    </row>
    <row r="1258" spans="1:13" ht="12.75" customHeight="1" x14ac:dyDescent="0.25">
      <c r="A1258"/>
      <c r="B1258"/>
      <c r="C1258"/>
      <c r="M1258"/>
    </row>
    <row r="1259" spans="1:13" ht="12.75" customHeight="1" x14ac:dyDescent="0.25">
      <c r="A1259"/>
      <c r="B1259"/>
      <c r="C1259"/>
      <c r="M1259"/>
    </row>
    <row r="1260" spans="1:13" ht="12.75" customHeight="1" x14ac:dyDescent="0.25">
      <c r="A1260"/>
      <c r="B1260"/>
      <c r="C1260"/>
      <c r="M1260"/>
    </row>
    <row r="1261" spans="1:13" ht="12.75" customHeight="1" x14ac:dyDescent="0.25">
      <c r="A1261"/>
      <c r="B1261"/>
      <c r="C1261"/>
      <c r="M1261"/>
    </row>
    <row r="1262" spans="1:13" ht="12.75" customHeight="1" x14ac:dyDescent="0.25">
      <c r="A1262"/>
      <c r="B1262"/>
      <c r="C1262"/>
      <c r="M1262"/>
    </row>
    <row r="1263" spans="1:13" ht="12.75" customHeight="1" x14ac:dyDescent="0.25">
      <c r="A1263"/>
      <c r="B1263"/>
      <c r="C1263"/>
      <c r="M1263"/>
    </row>
    <row r="1264" spans="1:13" ht="12.75" customHeight="1" x14ac:dyDescent="0.25">
      <c r="A1264"/>
      <c r="B1264"/>
      <c r="C1264"/>
      <c r="M1264"/>
    </row>
    <row r="1265" spans="1:13" ht="12.75" customHeight="1" x14ac:dyDescent="0.25">
      <c r="A1265"/>
      <c r="B1265"/>
      <c r="C1265"/>
      <c r="M1265"/>
    </row>
    <row r="1266" spans="1:13" ht="12.75" customHeight="1" x14ac:dyDescent="0.25">
      <c r="A1266"/>
      <c r="B1266"/>
      <c r="C1266"/>
      <c r="M1266"/>
    </row>
    <row r="1267" spans="1:13" ht="12.75" customHeight="1" x14ac:dyDescent="0.25">
      <c r="A1267"/>
      <c r="B1267"/>
      <c r="C1267"/>
      <c r="M1267"/>
    </row>
    <row r="1268" spans="1:13" ht="12.75" customHeight="1" x14ac:dyDescent="0.25">
      <c r="A1268"/>
      <c r="B1268"/>
      <c r="C1268"/>
      <c r="M1268"/>
    </row>
    <row r="1269" spans="1:13" ht="12.75" customHeight="1" x14ac:dyDescent="0.25">
      <c r="A1269"/>
      <c r="B1269"/>
      <c r="C1269"/>
      <c r="M1269"/>
    </row>
    <row r="1270" spans="1:13" ht="12.75" customHeight="1" x14ac:dyDescent="0.25">
      <c r="A1270"/>
      <c r="B1270"/>
      <c r="C1270"/>
      <c r="M1270"/>
    </row>
    <row r="1271" spans="1:13" ht="12.75" customHeight="1" x14ac:dyDescent="0.25">
      <c r="A1271"/>
      <c r="B1271"/>
      <c r="C1271"/>
      <c r="M1271"/>
    </row>
    <row r="1272" spans="1:13" ht="12.75" customHeight="1" x14ac:dyDescent="0.25">
      <c r="A1272"/>
      <c r="B1272"/>
      <c r="C1272"/>
      <c r="M1272"/>
    </row>
    <row r="1273" spans="1:13" ht="12.75" customHeight="1" x14ac:dyDescent="0.25">
      <c r="A1273"/>
      <c r="B1273"/>
      <c r="C1273"/>
      <c r="M1273"/>
    </row>
    <row r="1274" spans="1:13" ht="12.75" customHeight="1" x14ac:dyDescent="0.25">
      <c r="A1274"/>
      <c r="B1274"/>
      <c r="C1274"/>
      <c r="M1274"/>
    </row>
    <row r="1275" spans="1:13" ht="12.75" customHeight="1" x14ac:dyDescent="0.25">
      <c r="A1275"/>
      <c r="B1275"/>
      <c r="C1275"/>
      <c r="M1275"/>
    </row>
    <row r="1276" spans="1:13" ht="12.75" customHeight="1" x14ac:dyDescent="0.25">
      <c r="A1276"/>
      <c r="B1276"/>
      <c r="C1276"/>
      <c r="M1276"/>
    </row>
    <row r="1277" spans="1:13" ht="12.75" customHeight="1" x14ac:dyDescent="0.25">
      <c r="A1277"/>
      <c r="B1277"/>
      <c r="C1277"/>
      <c r="M1277"/>
    </row>
    <row r="1278" spans="1:13" ht="12.75" customHeight="1" x14ac:dyDescent="0.25">
      <c r="A1278"/>
      <c r="B1278"/>
      <c r="C1278"/>
      <c r="M1278"/>
    </row>
    <row r="1279" spans="1:13" ht="12.75" customHeight="1" x14ac:dyDescent="0.25">
      <c r="A1279"/>
      <c r="B1279"/>
      <c r="C1279"/>
      <c r="M1279"/>
    </row>
    <row r="1280" spans="1:13" ht="12.75" customHeight="1" x14ac:dyDescent="0.25">
      <c r="A1280"/>
      <c r="B1280"/>
      <c r="C1280"/>
      <c r="M1280"/>
    </row>
    <row r="1281" spans="1:13" ht="12.75" customHeight="1" x14ac:dyDescent="0.25">
      <c r="A1281"/>
      <c r="B1281"/>
      <c r="C1281"/>
      <c r="M1281"/>
    </row>
    <row r="1282" spans="1:13" ht="12.75" customHeight="1" x14ac:dyDescent="0.25">
      <c r="A1282"/>
      <c r="B1282"/>
      <c r="C1282"/>
      <c r="M1282"/>
    </row>
    <row r="1283" spans="1:13" ht="12.75" customHeight="1" x14ac:dyDescent="0.25">
      <c r="A1283"/>
      <c r="B1283"/>
      <c r="C1283"/>
      <c r="M1283"/>
    </row>
    <row r="1284" spans="1:13" ht="12.75" customHeight="1" x14ac:dyDescent="0.25">
      <c r="A1284"/>
      <c r="B1284"/>
      <c r="C1284"/>
      <c r="M1284"/>
    </row>
    <row r="1285" spans="1:13" ht="12.75" customHeight="1" x14ac:dyDescent="0.25">
      <c r="A1285"/>
      <c r="B1285"/>
      <c r="C1285"/>
      <c r="M1285"/>
    </row>
    <row r="1286" spans="1:13" ht="12.75" customHeight="1" x14ac:dyDescent="0.25">
      <c r="A1286"/>
      <c r="B1286"/>
      <c r="C1286"/>
      <c r="M1286"/>
    </row>
    <row r="1287" spans="1:13" ht="12.75" customHeight="1" x14ac:dyDescent="0.25">
      <c r="A1287"/>
      <c r="B1287"/>
      <c r="C1287"/>
      <c r="M1287"/>
    </row>
    <row r="1288" spans="1:13" ht="12.75" customHeight="1" x14ac:dyDescent="0.25">
      <c r="A1288"/>
      <c r="B1288"/>
      <c r="C1288"/>
      <c r="M1288"/>
    </row>
    <row r="1289" spans="1:13" ht="12.75" customHeight="1" x14ac:dyDescent="0.25">
      <c r="A1289"/>
      <c r="B1289"/>
      <c r="C1289"/>
      <c r="M1289"/>
    </row>
    <row r="1290" spans="1:13" ht="12.75" customHeight="1" x14ac:dyDescent="0.25">
      <c r="A1290"/>
      <c r="B1290"/>
      <c r="C1290"/>
      <c r="M1290"/>
    </row>
    <row r="1291" spans="1:13" ht="12.75" customHeight="1" x14ac:dyDescent="0.25">
      <c r="A1291"/>
      <c r="B1291"/>
      <c r="C1291"/>
      <c r="M1291"/>
    </row>
    <row r="1292" spans="1:13" ht="12.75" customHeight="1" x14ac:dyDescent="0.25">
      <c r="A1292"/>
      <c r="B1292"/>
      <c r="C1292"/>
      <c r="M1292"/>
    </row>
    <row r="1293" spans="1:13" ht="12.75" customHeight="1" x14ac:dyDescent="0.25">
      <c r="A1293"/>
      <c r="B1293"/>
      <c r="C1293"/>
      <c r="M1293"/>
    </row>
    <row r="1294" spans="1:13" ht="12.75" customHeight="1" x14ac:dyDescent="0.25">
      <c r="A1294"/>
      <c r="B1294"/>
      <c r="C1294"/>
      <c r="M1294"/>
    </row>
    <row r="1295" spans="1:13" ht="12.75" customHeight="1" x14ac:dyDescent="0.25">
      <c r="A1295"/>
      <c r="B1295"/>
      <c r="C1295"/>
      <c r="M1295"/>
    </row>
    <row r="1296" spans="1:13" ht="12.75" customHeight="1" x14ac:dyDescent="0.25">
      <c r="A1296"/>
      <c r="B1296"/>
      <c r="C1296"/>
      <c r="M1296"/>
    </row>
    <row r="1297" spans="1:13" ht="12.75" customHeight="1" x14ac:dyDescent="0.25">
      <c r="A1297"/>
      <c r="B1297"/>
      <c r="C1297"/>
      <c r="M1297"/>
    </row>
    <row r="1298" spans="1:13" ht="12.75" customHeight="1" x14ac:dyDescent="0.25">
      <c r="A1298"/>
      <c r="B1298"/>
      <c r="C1298"/>
      <c r="M1298"/>
    </row>
    <row r="1299" spans="1:13" ht="12.75" customHeight="1" x14ac:dyDescent="0.25">
      <c r="A1299"/>
      <c r="B1299"/>
      <c r="C1299"/>
      <c r="M1299"/>
    </row>
    <row r="1300" spans="1:13" ht="12.75" customHeight="1" x14ac:dyDescent="0.25">
      <c r="A1300"/>
      <c r="B1300"/>
      <c r="C1300"/>
      <c r="M1300"/>
    </row>
    <row r="1301" spans="1:13" ht="12.75" customHeight="1" x14ac:dyDescent="0.25">
      <c r="A1301"/>
      <c r="B1301"/>
      <c r="C1301"/>
      <c r="M1301"/>
    </row>
    <row r="1302" spans="1:13" ht="12.75" customHeight="1" x14ac:dyDescent="0.25">
      <c r="A1302"/>
      <c r="B1302"/>
      <c r="C1302"/>
      <c r="M1302"/>
    </row>
    <row r="1303" spans="1:13" ht="12.75" customHeight="1" x14ac:dyDescent="0.25">
      <c r="A1303"/>
      <c r="B1303"/>
      <c r="C1303"/>
      <c r="M1303"/>
    </row>
    <row r="1304" spans="1:13" ht="12.75" customHeight="1" x14ac:dyDescent="0.25">
      <c r="A1304"/>
      <c r="B1304"/>
      <c r="C1304"/>
      <c r="M1304"/>
    </row>
    <row r="1305" spans="1:13" ht="12.75" customHeight="1" x14ac:dyDescent="0.25">
      <c r="A1305"/>
      <c r="B1305"/>
      <c r="C1305"/>
      <c r="M1305"/>
    </row>
    <row r="1306" spans="1:13" ht="12.75" customHeight="1" x14ac:dyDescent="0.25">
      <c r="A1306"/>
      <c r="B1306"/>
      <c r="C1306"/>
      <c r="M1306"/>
    </row>
    <row r="1307" spans="1:13" ht="12.75" customHeight="1" x14ac:dyDescent="0.25">
      <c r="A1307"/>
      <c r="B1307"/>
      <c r="C1307"/>
      <c r="M1307"/>
    </row>
    <row r="1308" spans="1:13" ht="12.75" customHeight="1" x14ac:dyDescent="0.25">
      <c r="A1308"/>
      <c r="B1308"/>
      <c r="C1308"/>
      <c r="M1308"/>
    </row>
    <row r="1309" spans="1:13" ht="12.75" customHeight="1" x14ac:dyDescent="0.25">
      <c r="A1309"/>
      <c r="B1309"/>
      <c r="C1309"/>
      <c r="M1309"/>
    </row>
    <row r="1310" spans="1:13" ht="12.75" customHeight="1" x14ac:dyDescent="0.25">
      <c r="A1310"/>
      <c r="B1310"/>
      <c r="C1310"/>
      <c r="M1310"/>
    </row>
    <row r="1311" spans="1:13" ht="12.75" customHeight="1" x14ac:dyDescent="0.25">
      <c r="A1311"/>
      <c r="B1311"/>
      <c r="C1311"/>
      <c r="M1311"/>
    </row>
    <row r="1312" spans="1:13" ht="12.75" customHeight="1" x14ac:dyDescent="0.25">
      <c r="A1312"/>
      <c r="B1312"/>
      <c r="C1312"/>
      <c r="M1312"/>
    </row>
    <row r="1313" spans="1:13" ht="12.75" customHeight="1" x14ac:dyDescent="0.25">
      <c r="A1313"/>
      <c r="B1313"/>
      <c r="C1313"/>
      <c r="M1313"/>
    </row>
    <row r="1314" spans="1:13" ht="12.75" customHeight="1" x14ac:dyDescent="0.25">
      <c r="A1314"/>
      <c r="B1314"/>
      <c r="C1314"/>
      <c r="M1314"/>
    </row>
    <row r="1315" spans="1:13" ht="12.75" customHeight="1" x14ac:dyDescent="0.25">
      <c r="A1315"/>
      <c r="B1315"/>
      <c r="C1315"/>
      <c r="M1315"/>
    </row>
    <row r="1316" spans="1:13" ht="12.75" customHeight="1" x14ac:dyDescent="0.25">
      <c r="A1316"/>
      <c r="B1316"/>
      <c r="C1316"/>
      <c r="M1316"/>
    </row>
    <row r="1317" spans="1:13" ht="12.75" customHeight="1" x14ac:dyDescent="0.25">
      <c r="A1317"/>
      <c r="B1317"/>
      <c r="C1317"/>
      <c r="M1317"/>
    </row>
    <row r="1318" spans="1:13" ht="12.75" customHeight="1" x14ac:dyDescent="0.25">
      <c r="A1318"/>
      <c r="B1318"/>
      <c r="C1318"/>
      <c r="M1318"/>
    </row>
    <row r="1319" spans="1:13" ht="12.75" customHeight="1" x14ac:dyDescent="0.25">
      <c r="A1319"/>
      <c r="B1319"/>
      <c r="C1319"/>
      <c r="M1319"/>
    </row>
    <row r="1320" spans="1:13" ht="12.75" customHeight="1" x14ac:dyDescent="0.25">
      <c r="A1320"/>
      <c r="B1320"/>
      <c r="C1320"/>
      <c r="M1320"/>
    </row>
    <row r="1321" spans="1:13" ht="12.75" customHeight="1" x14ac:dyDescent="0.25">
      <c r="A1321"/>
      <c r="B1321"/>
      <c r="C1321"/>
      <c r="M1321"/>
    </row>
    <row r="1322" spans="1:13" ht="12.75" customHeight="1" x14ac:dyDescent="0.25">
      <c r="A1322"/>
      <c r="B1322"/>
      <c r="C1322"/>
      <c r="M1322"/>
    </row>
    <row r="1323" spans="1:13" ht="12.75" customHeight="1" x14ac:dyDescent="0.25">
      <c r="A1323"/>
      <c r="B1323"/>
      <c r="C1323"/>
      <c r="M1323"/>
    </row>
    <row r="1324" spans="1:13" ht="12.75" customHeight="1" x14ac:dyDescent="0.25">
      <c r="A1324"/>
      <c r="B1324"/>
      <c r="C1324"/>
      <c r="M1324"/>
    </row>
    <row r="1325" spans="1:13" ht="12.75" customHeight="1" x14ac:dyDescent="0.25">
      <c r="A1325"/>
      <c r="B1325"/>
      <c r="C1325"/>
      <c r="M1325"/>
    </row>
    <row r="1326" spans="1:13" ht="12.75" customHeight="1" x14ac:dyDescent="0.25">
      <c r="A1326"/>
      <c r="B1326"/>
      <c r="C1326"/>
      <c r="M1326"/>
    </row>
    <row r="1327" spans="1:13" ht="12.75" customHeight="1" x14ac:dyDescent="0.25">
      <c r="A1327"/>
      <c r="B1327"/>
      <c r="C1327"/>
      <c r="M1327"/>
    </row>
    <row r="1328" spans="1:13" ht="12.75" customHeight="1" x14ac:dyDescent="0.25">
      <c r="A1328"/>
      <c r="B1328"/>
      <c r="C1328"/>
      <c r="M1328"/>
    </row>
    <row r="1329" spans="1:13" ht="12.75" customHeight="1" x14ac:dyDescent="0.25">
      <c r="A1329"/>
      <c r="B1329"/>
      <c r="C1329"/>
      <c r="M1329"/>
    </row>
    <row r="1330" spans="1:13" ht="12.75" customHeight="1" x14ac:dyDescent="0.25">
      <c r="A1330"/>
      <c r="B1330"/>
      <c r="C1330"/>
      <c r="M1330"/>
    </row>
    <row r="1331" spans="1:13" ht="12.75" customHeight="1" x14ac:dyDescent="0.25">
      <c r="A1331"/>
      <c r="B1331"/>
      <c r="C1331"/>
      <c r="M1331"/>
    </row>
    <row r="1332" spans="1:13" ht="12.75" customHeight="1" x14ac:dyDescent="0.25">
      <c r="A1332"/>
      <c r="B1332"/>
      <c r="C1332"/>
      <c r="M1332"/>
    </row>
    <row r="1333" spans="1:13" ht="12.75" customHeight="1" x14ac:dyDescent="0.25">
      <c r="A1333"/>
      <c r="B1333"/>
      <c r="C1333"/>
      <c r="M1333"/>
    </row>
    <row r="1334" spans="1:13" ht="12.75" customHeight="1" x14ac:dyDescent="0.25">
      <c r="A1334"/>
      <c r="B1334"/>
      <c r="C1334"/>
      <c r="M1334"/>
    </row>
    <row r="1335" spans="1:13" ht="12.75" customHeight="1" x14ac:dyDescent="0.25">
      <c r="A1335"/>
      <c r="B1335"/>
      <c r="C1335"/>
      <c r="M1335"/>
    </row>
    <row r="1336" spans="1:13" ht="12.75" customHeight="1" x14ac:dyDescent="0.25">
      <c r="A1336"/>
      <c r="B1336"/>
      <c r="C1336"/>
      <c r="M1336"/>
    </row>
    <row r="1337" spans="1:13" ht="12.75" customHeight="1" x14ac:dyDescent="0.25">
      <c r="A1337"/>
      <c r="B1337"/>
      <c r="C1337"/>
      <c r="M1337"/>
    </row>
    <row r="1338" spans="1:13" ht="12.75" customHeight="1" x14ac:dyDescent="0.25">
      <c r="A1338"/>
      <c r="B1338"/>
      <c r="C1338"/>
      <c r="M1338"/>
    </row>
    <row r="1339" spans="1:13" ht="12.75" customHeight="1" x14ac:dyDescent="0.25">
      <c r="A1339"/>
      <c r="B1339"/>
      <c r="C1339"/>
      <c r="M1339"/>
    </row>
    <row r="1340" spans="1:13" ht="12.75" customHeight="1" x14ac:dyDescent="0.25">
      <c r="A1340"/>
      <c r="B1340"/>
      <c r="C1340"/>
      <c r="M1340"/>
    </row>
    <row r="1341" spans="1:13" ht="12.75" customHeight="1" x14ac:dyDescent="0.25">
      <c r="A1341"/>
      <c r="B1341"/>
      <c r="C1341"/>
      <c r="M1341"/>
    </row>
    <row r="1342" spans="1:13" ht="12.75" customHeight="1" x14ac:dyDescent="0.25">
      <c r="A1342"/>
      <c r="B1342"/>
      <c r="C1342"/>
      <c r="M1342"/>
    </row>
    <row r="1343" spans="1:13" ht="12.75" customHeight="1" x14ac:dyDescent="0.25">
      <c r="A1343"/>
      <c r="B1343"/>
      <c r="C1343"/>
      <c r="M1343"/>
    </row>
    <row r="1344" spans="1:13" ht="12.75" customHeight="1" x14ac:dyDescent="0.25">
      <c r="A1344"/>
      <c r="B1344"/>
      <c r="C1344"/>
      <c r="M1344"/>
    </row>
    <row r="1345" spans="1:13" ht="12.75" customHeight="1" x14ac:dyDescent="0.25">
      <c r="A1345"/>
      <c r="B1345"/>
      <c r="C1345"/>
      <c r="M1345"/>
    </row>
    <row r="1346" spans="1:13" ht="12.75" customHeight="1" x14ac:dyDescent="0.25">
      <c r="A1346"/>
      <c r="B1346"/>
      <c r="C1346"/>
      <c r="M1346"/>
    </row>
    <row r="1347" spans="1:13" ht="12.75" customHeight="1" x14ac:dyDescent="0.25">
      <c r="A1347"/>
      <c r="B1347"/>
      <c r="C1347"/>
      <c r="M1347"/>
    </row>
    <row r="1348" spans="1:13" ht="12.75" customHeight="1" x14ac:dyDescent="0.25">
      <c r="A1348"/>
      <c r="B1348"/>
      <c r="C1348"/>
      <c r="M1348"/>
    </row>
    <row r="1349" spans="1:13" ht="12.75" customHeight="1" x14ac:dyDescent="0.25">
      <c r="A1349"/>
      <c r="B1349"/>
      <c r="C1349"/>
      <c r="M1349"/>
    </row>
    <row r="1350" spans="1:13" ht="12.75" customHeight="1" x14ac:dyDescent="0.25">
      <c r="A1350"/>
      <c r="B1350"/>
      <c r="C1350"/>
      <c r="M1350"/>
    </row>
    <row r="1351" spans="1:13" ht="12.75" customHeight="1" x14ac:dyDescent="0.25">
      <c r="A1351"/>
      <c r="B1351"/>
      <c r="C1351"/>
      <c r="M1351"/>
    </row>
    <row r="1352" spans="1:13" ht="12.75" customHeight="1" x14ac:dyDescent="0.25">
      <c r="A1352"/>
      <c r="B1352"/>
      <c r="C1352"/>
      <c r="M1352"/>
    </row>
    <row r="1353" spans="1:13" ht="12.75" customHeight="1" x14ac:dyDescent="0.25">
      <c r="A1353"/>
      <c r="B1353"/>
      <c r="C1353"/>
      <c r="M1353"/>
    </row>
    <row r="1354" spans="1:13" ht="12.75" customHeight="1" x14ac:dyDescent="0.25">
      <c r="A1354"/>
      <c r="B1354"/>
      <c r="C1354"/>
      <c r="M1354"/>
    </row>
    <row r="1355" spans="1:13" ht="12.75" customHeight="1" x14ac:dyDescent="0.25">
      <c r="A1355"/>
      <c r="B1355"/>
      <c r="C1355"/>
      <c r="M1355"/>
    </row>
    <row r="1356" spans="1:13" ht="12.75" customHeight="1" x14ac:dyDescent="0.25">
      <c r="A1356"/>
      <c r="B1356"/>
      <c r="C1356"/>
      <c r="M1356"/>
    </row>
    <row r="1357" spans="1:13" ht="12.75" customHeight="1" x14ac:dyDescent="0.25">
      <c r="A1357"/>
      <c r="B1357"/>
      <c r="C1357"/>
      <c r="M1357"/>
    </row>
    <row r="1358" spans="1:13" ht="12.75" customHeight="1" x14ac:dyDescent="0.25">
      <c r="A1358"/>
      <c r="B1358"/>
      <c r="C1358"/>
      <c r="M1358"/>
    </row>
    <row r="1359" spans="1:13" ht="12.75" customHeight="1" x14ac:dyDescent="0.25">
      <c r="A1359"/>
      <c r="B1359"/>
      <c r="C1359"/>
      <c r="M1359"/>
    </row>
    <row r="1360" spans="1:13" ht="12.75" customHeight="1" x14ac:dyDescent="0.25">
      <c r="A1360"/>
      <c r="B1360"/>
      <c r="C1360"/>
      <c r="M1360"/>
    </row>
    <row r="1361" spans="1:13" ht="12.75" customHeight="1" x14ac:dyDescent="0.25">
      <c r="A1361"/>
      <c r="B1361"/>
      <c r="C1361"/>
      <c r="M1361"/>
    </row>
    <row r="1362" spans="1:13" ht="12.75" customHeight="1" x14ac:dyDescent="0.25">
      <c r="A1362"/>
      <c r="B1362"/>
      <c r="C1362"/>
      <c r="M1362"/>
    </row>
    <row r="1363" spans="1:13" ht="12.75" customHeight="1" x14ac:dyDescent="0.25">
      <c r="A1363"/>
      <c r="B1363"/>
      <c r="C1363"/>
      <c r="M1363"/>
    </row>
    <row r="1364" spans="1:13" ht="12.75" customHeight="1" x14ac:dyDescent="0.25">
      <c r="A1364"/>
      <c r="B1364"/>
      <c r="C1364"/>
      <c r="M1364"/>
    </row>
    <row r="1365" spans="1:13" ht="12.75" customHeight="1" x14ac:dyDescent="0.25">
      <c r="A1365"/>
      <c r="B1365"/>
      <c r="C1365"/>
      <c r="M1365"/>
    </row>
    <row r="1366" spans="1:13" ht="12.75" customHeight="1" x14ac:dyDescent="0.25">
      <c r="A1366"/>
      <c r="B1366"/>
      <c r="C1366"/>
      <c r="M1366"/>
    </row>
    <row r="1367" spans="1:13" ht="12.75" customHeight="1" x14ac:dyDescent="0.25">
      <c r="A1367"/>
      <c r="B1367"/>
      <c r="C1367"/>
      <c r="M1367"/>
    </row>
    <row r="1368" spans="1:13" ht="12.75" customHeight="1" x14ac:dyDescent="0.25">
      <c r="A1368"/>
      <c r="B1368"/>
      <c r="C1368"/>
      <c r="M1368"/>
    </row>
    <row r="1369" spans="1:13" ht="12.75" customHeight="1" x14ac:dyDescent="0.25">
      <c r="A1369"/>
      <c r="B1369"/>
      <c r="C1369"/>
      <c r="M1369"/>
    </row>
    <row r="1370" spans="1:13" ht="12.75" customHeight="1" x14ac:dyDescent="0.25">
      <c r="A1370"/>
      <c r="B1370"/>
      <c r="C1370"/>
      <c r="M1370"/>
    </row>
    <row r="1371" spans="1:13" ht="12.75" customHeight="1" x14ac:dyDescent="0.25">
      <c r="A1371"/>
      <c r="B1371"/>
      <c r="C1371"/>
      <c r="M1371"/>
    </row>
    <row r="1372" spans="1:13" ht="12.75" customHeight="1" x14ac:dyDescent="0.25">
      <c r="A1372"/>
      <c r="B1372"/>
      <c r="C1372"/>
      <c r="M1372"/>
    </row>
    <row r="1373" spans="1:13" ht="12.75" customHeight="1" x14ac:dyDescent="0.25">
      <c r="A1373"/>
      <c r="B1373"/>
      <c r="C1373"/>
      <c r="M1373"/>
    </row>
    <row r="1374" spans="1:13" ht="12.75" customHeight="1" x14ac:dyDescent="0.25">
      <c r="A1374"/>
      <c r="B1374"/>
      <c r="C1374"/>
      <c r="M1374"/>
    </row>
    <row r="1375" spans="1:13" ht="12.75" customHeight="1" x14ac:dyDescent="0.25">
      <c r="A1375"/>
      <c r="B1375"/>
      <c r="C1375"/>
      <c r="M1375"/>
    </row>
    <row r="1376" spans="1:13" ht="12.75" customHeight="1" x14ac:dyDescent="0.25">
      <c r="A1376"/>
      <c r="B1376"/>
      <c r="C1376"/>
      <c r="M1376"/>
    </row>
    <row r="1377" spans="1:13" ht="12.75" customHeight="1" x14ac:dyDescent="0.25">
      <c r="A1377"/>
      <c r="B1377"/>
      <c r="C1377"/>
      <c r="M1377"/>
    </row>
    <row r="1378" spans="1:13" ht="12.75" customHeight="1" x14ac:dyDescent="0.25">
      <c r="A1378"/>
      <c r="B1378"/>
      <c r="C1378"/>
      <c r="M1378"/>
    </row>
    <row r="1379" spans="1:13" ht="12.75" customHeight="1" x14ac:dyDescent="0.25">
      <c r="A1379"/>
      <c r="B1379"/>
      <c r="C1379"/>
      <c r="M1379"/>
    </row>
    <row r="1380" spans="1:13" ht="12.75" customHeight="1" x14ac:dyDescent="0.25">
      <c r="A1380"/>
      <c r="B1380"/>
      <c r="C1380"/>
      <c r="M1380"/>
    </row>
    <row r="1381" spans="1:13" ht="12.75" customHeight="1" x14ac:dyDescent="0.25">
      <c r="A1381"/>
      <c r="B1381"/>
      <c r="C1381"/>
      <c r="M1381"/>
    </row>
    <row r="1382" spans="1:13" ht="12.75" customHeight="1" x14ac:dyDescent="0.25">
      <c r="A1382"/>
      <c r="B1382"/>
      <c r="C1382"/>
      <c r="M1382"/>
    </row>
    <row r="1383" spans="1:13" ht="12.75" customHeight="1" x14ac:dyDescent="0.25">
      <c r="A1383"/>
      <c r="B1383"/>
      <c r="C1383"/>
      <c r="M1383"/>
    </row>
    <row r="1384" spans="1:13" ht="12.75" customHeight="1" x14ac:dyDescent="0.25">
      <c r="A1384"/>
      <c r="B1384"/>
      <c r="C1384"/>
      <c r="M1384"/>
    </row>
    <row r="1385" spans="1:13" ht="12.75" customHeight="1" x14ac:dyDescent="0.25">
      <c r="A1385"/>
      <c r="B1385"/>
      <c r="C1385"/>
      <c r="M1385"/>
    </row>
    <row r="1386" spans="1:13" ht="12.75" customHeight="1" x14ac:dyDescent="0.25">
      <c r="A1386"/>
      <c r="B1386"/>
      <c r="C1386"/>
      <c r="M1386"/>
    </row>
    <row r="1387" spans="1:13" ht="12.75" customHeight="1" x14ac:dyDescent="0.25">
      <c r="A1387"/>
      <c r="B1387"/>
      <c r="C1387"/>
      <c r="M1387"/>
    </row>
    <row r="1388" spans="1:13" ht="12.75" customHeight="1" x14ac:dyDescent="0.25">
      <c r="A1388"/>
      <c r="B1388"/>
      <c r="C1388"/>
      <c r="M1388"/>
    </row>
    <row r="1389" spans="1:13" ht="12.75" customHeight="1" x14ac:dyDescent="0.25">
      <c r="A1389"/>
      <c r="B1389"/>
      <c r="C1389"/>
      <c r="M1389"/>
    </row>
    <row r="1390" spans="1:13" ht="12.75" customHeight="1" x14ac:dyDescent="0.25">
      <c r="A1390"/>
      <c r="B1390"/>
      <c r="C1390"/>
      <c r="M1390"/>
    </row>
    <row r="1391" spans="1:13" ht="12.75" customHeight="1" x14ac:dyDescent="0.25">
      <c r="A1391"/>
      <c r="B1391"/>
      <c r="C1391"/>
      <c r="M1391"/>
    </row>
    <row r="1392" spans="1:13" ht="12.75" customHeight="1" x14ac:dyDescent="0.25">
      <c r="A1392"/>
      <c r="B1392"/>
      <c r="C1392"/>
      <c r="M1392"/>
    </row>
    <row r="1393" spans="1:13" ht="12.75" customHeight="1" x14ac:dyDescent="0.25">
      <c r="A1393"/>
      <c r="B1393"/>
      <c r="C1393"/>
      <c r="M1393"/>
    </row>
    <row r="1394" spans="1:13" ht="12.75" customHeight="1" x14ac:dyDescent="0.25">
      <c r="A1394"/>
      <c r="B1394"/>
      <c r="C1394"/>
      <c r="M1394"/>
    </row>
    <row r="1395" spans="1:13" ht="12.75" customHeight="1" x14ac:dyDescent="0.25">
      <c r="A1395"/>
      <c r="B1395"/>
      <c r="C1395"/>
      <c r="M1395"/>
    </row>
    <row r="1396" spans="1:13" ht="12.75" customHeight="1" x14ac:dyDescent="0.25">
      <c r="A1396"/>
      <c r="B1396"/>
      <c r="C1396"/>
      <c r="M1396"/>
    </row>
    <row r="1397" spans="1:13" ht="12.75" customHeight="1" x14ac:dyDescent="0.25">
      <c r="A1397"/>
      <c r="B1397"/>
      <c r="C1397"/>
      <c r="M1397"/>
    </row>
    <row r="1398" spans="1:13" ht="12.75" customHeight="1" x14ac:dyDescent="0.25">
      <c r="A1398"/>
      <c r="B1398"/>
      <c r="C1398"/>
      <c r="M1398"/>
    </row>
    <row r="1399" spans="1:13" ht="12.75" customHeight="1" x14ac:dyDescent="0.25">
      <c r="A1399"/>
      <c r="B1399"/>
      <c r="C1399"/>
      <c r="M1399"/>
    </row>
    <row r="1400" spans="1:13" ht="12.75" customHeight="1" x14ac:dyDescent="0.25">
      <c r="A1400"/>
      <c r="B1400"/>
      <c r="C1400"/>
      <c r="M1400"/>
    </row>
    <row r="1401" spans="1:13" ht="12.75" customHeight="1" x14ac:dyDescent="0.25">
      <c r="A1401"/>
      <c r="B1401"/>
      <c r="C1401"/>
      <c r="M1401"/>
    </row>
    <row r="1402" spans="1:13" ht="12.75" customHeight="1" x14ac:dyDescent="0.25">
      <c r="A1402"/>
      <c r="B1402"/>
      <c r="C1402"/>
      <c r="M1402"/>
    </row>
    <row r="1403" spans="1:13" ht="12.75" customHeight="1" x14ac:dyDescent="0.25">
      <c r="A1403"/>
      <c r="B1403"/>
      <c r="C1403"/>
      <c r="M1403"/>
    </row>
    <row r="1404" spans="1:13" ht="12.75" customHeight="1" x14ac:dyDescent="0.25">
      <c r="A1404"/>
      <c r="B1404"/>
      <c r="C1404"/>
      <c r="M1404"/>
    </row>
    <row r="1405" spans="1:13" ht="12.75" customHeight="1" x14ac:dyDescent="0.25">
      <c r="A1405"/>
      <c r="B1405"/>
      <c r="C1405"/>
      <c r="M1405"/>
    </row>
    <row r="1406" spans="1:13" ht="12.75" customHeight="1" x14ac:dyDescent="0.25">
      <c r="A1406"/>
      <c r="B1406"/>
      <c r="C1406"/>
      <c r="M1406"/>
    </row>
    <row r="1407" spans="1:13" ht="12.75" customHeight="1" x14ac:dyDescent="0.25">
      <c r="A1407"/>
      <c r="B1407"/>
      <c r="C1407"/>
      <c r="M1407"/>
    </row>
    <row r="1408" spans="1:13" ht="12.75" customHeight="1" x14ac:dyDescent="0.25">
      <c r="A1408"/>
      <c r="B1408"/>
      <c r="C1408"/>
      <c r="M1408"/>
    </row>
    <row r="1409" spans="1:13" ht="12.75" customHeight="1" x14ac:dyDescent="0.25">
      <c r="A1409"/>
      <c r="B1409"/>
      <c r="C1409"/>
      <c r="M1409"/>
    </row>
    <row r="1410" spans="1:13" ht="12.75" customHeight="1" x14ac:dyDescent="0.25">
      <c r="A1410"/>
      <c r="B1410"/>
      <c r="C1410"/>
      <c r="M1410"/>
    </row>
    <row r="1411" spans="1:13" ht="12.75" customHeight="1" x14ac:dyDescent="0.25">
      <c r="A1411"/>
      <c r="B1411"/>
      <c r="C1411"/>
      <c r="M1411"/>
    </row>
    <row r="1412" spans="1:13" ht="12.75" customHeight="1" x14ac:dyDescent="0.25">
      <c r="A1412"/>
      <c r="B1412"/>
      <c r="C1412"/>
      <c r="M1412"/>
    </row>
    <row r="1413" spans="1:13" ht="12.75" customHeight="1" x14ac:dyDescent="0.25">
      <c r="A1413"/>
      <c r="B1413"/>
      <c r="C1413"/>
      <c r="M1413"/>
    </row>
    <row r="1414" spans="1:13" ht="12.75" customHeight="1" x14ac:dyDescent="0.25">
      <c r="A1414"/>
      <c r="B1414"/>
      <c r="C1414"/>
      <c r="M1414"/>
    </row>
    <row r="1415" spans="1:13" ht="12.75" customHeight="1" x14ac:dyDescent="0.25">
      <c r="A1415"/>
      <c r="B1415"/>
      <c r="C1415"/>
      <c r="M1415"/>
    </row>
    <row r="1416" spans="1:13" ht="12.75" customHeight="1" x14ac:dyDescent="0.25">
      <c r="A1416"/>
      <c r="B1416"/>
      <c r="C1416"/>
      <c r="M1416"/>
    </row>
    <row r="1417" spans="1:13" ht="12.75" customHeight="1" x14ac:dyDescent="0.25">
      <c r="A1417"/>
      <c r="B1417"/>
      <c r="C1417"/>
      <c r="M1417"/>
    </row>
    <row r="1418" spans="1:13" ht="12.75" customHeight="1" x14ac:dyDescent="0.25">
      <c r="A1418"/>
      <c r="B1418"/>
      <c r="C1418"/>
      <c r="M1418"/>
    </row>
    <row r="1419" spans="1:13" ht="12.75" customHeight="1" x14ac:dyDescent="0.25">
      <c r="A1419"/>
      <c r="B1419"/>
      <c r="C1419"/>
      <c r="M1419"/>
    </row>
    <row r="1420" spans="1:13" ht="12.75" customHeight="1" x14ac:dyDescent="0.25">
      <c r="A1420"/>
      <c r="B1420"/>
      <c r="C1420"/>
      <c r="M1420"/>
    </row>
    <row r="1421" spans="1:13" ht="12.75" customHeight="1" x14ac:dyDescent="0.25">
      <c r="A1421"/>
      <c r="B1421"/>
      <c r="C1421"/>
      <c r="M1421"/>
    </row>
    <row r="1422" spans="1:13" ht="12.75" customHeight="1" x14ac:dyDescent="0.25">
      <c r="A1422"/>
      <c r="B1422"/>
      <c r="C1422"/>
      <c r="M1422"/>
    </row>
    <row r="1423" spans="1:13" ht="12.75" customHeight="1" x14ac:dyDescent="0.25">
      <c r="A1423"/>
      <c r="B1423"/>
      <c r="C1423"/>
      <c r="M1423"/>
    </row>
    <row r="1424" spans="1:13" ht="12.75" customHeight="1" x14ac:dyDescent="0.25">
      <c r="A1424"/>
      <c r="B1424"/>
      <c r="C1424"/>
      <c r="M1424"/>
    </row>
    <row r="1425" spans="1:13" ht="12.75" customHeight="1" x14ac:dyDescent="0.25">
      <c r="A1425"/>
      <c r="B1425"/>
      <c r="C1425"/>
      <c r="M1425"/>
    </row>
    <row r="1426" spans="1:13" ht="12.75" customHeight="1" x14ac:dyDescent="0.25">
      <c r="A1426"/>
      <c r="B1426"/>
      <c r="C1426"/>
      <c r="M1426"/>
    </row>
    <row r="1427" spans="1:13" ht="12.75" customHeight="1" x14ac:dyDescent="0.25">
      <c r="A1427"/>
      <c r="B1427"/>
      <c r="C1427"/>
      <c r="M1427"/>
    </row>
    <row r="1428" spans="1:13" ht="12.75" customHeight="1" x14ac:dyDescent="0.25">
      <c r="A1428"/>
      <c r="B1428"/>
      <c r="C1428"/>
      <c r="M1428"/>
    </row>
    <row r="1429" spans="1:13" ht="12.75" customHeight="1" x14ac:dyDescent="0.25">
      <c r="A1429"/>
      <c r="B1429"/>
      <c r="C1429"/>
      <c r="M1429"/>
    </row>
    <row r="1430" spans="1:13" ht="12.75" customHeight="1" x14ac:dyDescent="0.25">
      <c r="A1430"/>
      <c r="B1430"/>
      <c r="C1430"/>
      <c r="M1430"/>
    </row>
    <row r="1431" spans="1:13" ht="12.75" customHeight="1" x14ac:dyDescent="0.25">
      <c r="A1431"/>
      <c r="B1431"/>
      <c r="C1431"/>
      <c r="M1431"/>
    </row>
    <row r="1432" spans="1:13" ht="12.75" customHeight="1" x14ac:dyDescent="0.25">
      <c r="A1432"/>
      <c r="B1432"/>
      <c r="C1432"/>
      <c r="M1432"/>
    </row>
    <row r="1433" spans="1:13" ht="12.75" customHeight="1" x14ac:dyDescent="0.25">
      <c r="A1433"/>
      <c r="B1433"/>
      <c r="C1433"/>
      <c r="M1433"/>
    </row>
    <row r="1434" spans="1:13" ht="12.75" customHeight="1" x14ac:dyDescent="0.25">
      <c r="A1434"/>
      <c r="B1434"/>
      <c r="C1434"/>
      <c r="M1434"/>
    </row>
    <row r="1435" spans="1:13" ht="12.75" customHeight="1" x14ac:dyDescent="0.25">
      <c r="A1435"/>
      <c r="B1435"/>
      <c r="C1435"/>
      <c r="M1435"/>
    </row>
    <row r="1436" spans="1:13" ht="12.75" customHeight="1" x14ac:dyDescent="0.25">
      <c r="A1436"/>
      <c r="B1436"/>
      <c r="C1436"/>
      <c r="M1436"/>
    </row>
    <row r="1437" spans="1:13" ht="12.75" customHeight="1" x14ac:dyDescent="0.25">
      <c r="A1437"/>
      <c r="B1437"/>
      <c r="C1437"/>
      <c r="M1437"/>
    </row>
    <row r="1438" spans="1:13" ht="12.75" customHeight="1" x14ac:dyDescent="0.25">
      <c r="A1438"/>
      <c r="B1438"/>
      <c r="C1438"/>
      <c r="M1438"/>
    </row>
    <row r="1439" spans="1:13" ht="12.75" customHeight="1" x14ac:dyDescent="0.25">
      <c r="A1439"/>
      <c r="B1439"/>
      <c r="C1439"/>
      <c r="M1439"/>
    </row>
    <row r="1440" spans="1:13" ht="12.75" customHeight="1" x14ac:dyDescent="0.25">
      <c r="A1440"/>
      <c r="B1440"/>
      <c r="C1440"/>
      <c r="M1440"/>
    </row>
    <row r="1441" spans="1:13" ht="12.75" customHeight="1" x14ac:dyDescent="0.25">
      <c r="A1441"/>
      <c r="B1441"/>
      <c r="C1441"/>
      <c r="M1441"/>
    </row>
    <row r="1442" spans="1:13" ht="12.75" customHeight="1" x14ac:dyDescent="0.25">
      <c r="A1442"/>
      <c r="B1442"/>
      <c r="C1442"/>
      <c r="M1442"/>
    </row>
    <row r="1443" spans="1:13" ht="12.75" customHeight="1" x14ac:dyDescent="0.25">
      <c r="A1443"/>
      <c r="B1443"/>
      <c r="C1443"/>
      <c r="M1443"/>
    </row>
    <row r="1444" spans="1:13" ht="12.75" customHeight="1" x14ac:dyDescent="0.25">
      <c r="A1444"/>
      <c r="B1444"/>
      <c r="C1444"/>
      <c r="M1444"/>
    </row>
    <row r="1445" spans="1:13" ht="12.75" customHeight="1" x14ac:dyDescent="0.25">
      <c r="A1445"/>
      <c r="B1445"/>
      <c r="C1445"/>
      <c r="M1445"/>
    </row>
    <row r="1446" spans="1:13" ht="12.75" customHeight="1" x14ac:dyDescent="0.25">
      <c r="A1446"/>
      <c r="B1446"/>
      <c r="C1446"/>
      <c r="M1446"/>
    </row>
    <row r="1447" spans="1:13" ht="12.75" customHeight="1" x14ac:dyDescent="0.25">
      <c r="A1447"/>
      <c r="B1447"/>
      <c r="C1447"/>
      <c r="M1447"/>
    </row>
    <row r="1448" spans="1:13" ht="12.75" customHeight="1" x14ac:dyDescent="0.25">
      <c r="A1448"/>
      <c r="B1448"/>
      <c r="C1448"/>
      <c r="M1448"/>
    </row>
    <row r="1449" spans="1:13" ht="12.75" customHeight="1" x14ac:dyDescent="0.25">
      <c r="A1449"/>
      <c r="B1449"/>
      <c r="C1449"/>
      <c r="M1449"/>
    </row>
    <row r="1450" spans="1:13" ht="12.75" customHeight="1" x14ac:dyDescent="0.25">
      <c r="A1450"/>
      <c r="B1450"/>
      <c r="C1450"/>
      <c r="M1450"/>
    </row>
    <row r="1451" spans="1:13" ht="12.75" customHeight="1" x14ac:dyDescent="0.25">
      <c r="A1451"/>
      <c r="B1451"/>
      <c r="C1451"/>
      <c r="M1451"/>
    </row>
    <row r="1452" spans="1:13" ht="12.75" customHeight="1" x14ac:dyDescent="0.25">
      <c r="A1452"/>
      <c r="B1452"/>
      <c r="C1452"/>
      <c r="M1452"/>
    </row>
    <row r="1453" spans="1:13" ht="12.75" customHeight="1" x14ac:dyDescent="0.25">
      <c r="A1453"/>
      <c r="B1453"/>
      <c r="C1453"/>
      <c r="M1453"/>
    </row>
    <row r="1454" spans="1:13" ht="12.75" customHeight="1" x14ac:dyDescent="0.25">
      <c r="A1454"/>
      <c r="B1454"/>
      <c r="C1454"/>
      <c r="M1454"/>
    </row>
    <row r="1455" spans="1:13" ht="12.75" customHeight="1" x14ac:dyDescent="0.25">
      <c r="A1455"/>
      <c r="B1455"/>
      <c r="C1455"/>
      <c r="M1455"/>
    </row>
    <row r="1456" spans="1:13" ht="12.75" customHeight="1" x14ac:dyDescent="0.25">
      <c r="A1456"/>
      <c r="B1456"/>
      <c r="C1456"/>
      <c r="M1456"/>
    </row>
    <row r="1457" spans="1:13" ht="12.75" customHeight="1" x14ac:dyDescent="0.25">
      <c r="A1457"/>
      <c r="B1457"/>
      <c r="C1457"/>
      <c r="M1457"/>
    </row>
    <row r="1458" spans="1:13" ht="12.75" customHeight="1" x14ac:dyDescent="0.25">
      <c r="A1458"/>
      <c r="B1458"/>
      <c r="C1458"/>
      <c r="M1458"/>
    </row>
    <row r="1459" spans="1:13" ht="12.75" customHeight="1" x14ac:dyDescent="0.25">
      <c r="A1459"/>
      <c r="B1459"/>
      <c r="C1459"/>
      <c r="M1459"/>
    </row>
    <row r="1460" spans="1:13" ht="12.75" customHeight="1" x14ac:dyDescent="0.25">
      <c r="A1460"/>
      <c r="B1460"/>
      <c r="C1460"/>
      <c r="M1460"/>
    </row>
    <row r="1461" spans="1:13" ht="12.75" customHeight="1" x14ac:dyDescent="0.25">
      <c r="A1461"/>
      <c r="B1461"/>
      <c r="C1461"/>
      <c r="M1461"/>
    </row>
    <row r="1462" spans="1:13" ht="12.75" customHeight="1" x14ac:dyDescent="0.25">
      <c r="A1462"/>
      <c r="B1462"/>
      <c r="C1462"/>
      <c r="M1462"/>
    </row>
    <row r="1463" spans="1:13" ht="12.75" customHeight="1" x14ac:dyDescent="0.25">
      <c r="A1463"/>
      <c r="B1463"/>
      <c r="C1463"/>
      <c r="M1463"/>
    </row>
    <row r="1464" spans="1:13" ht="12.75" customHeight="1" x14ac:dyDescent="0.25">
      <c r="A1464"/>
      <c r="B1464"/>
      <c r="C1464"/>
      <c r="M1464"/>
    </row>
    <row r="1465" spans="1:13" ht="12.75" customHeight="1" x14ac:dyDescent="0.25">
      <c r="A1465"/>
      <c r="B1465"/>
      <c r="C1465"/>
      <c r="M1465"/>
    </row>
    <row r="1466" spans="1:13" ht="12.75" customHeight="1" x14ac:dyDescent="0.25">
      <c r="A1466"/>
      <c r="B1466"/>
      <c r="C1466"/>
      <c r="M1466"/>
    </row>
    <row r="1467" spans="1:13" ht="12.75" customHeight="1" x14ac:dyDescent="0.25">
      <c r="A1467"/>
      <c r="B1467"/>
      <c r="C1467"/>
      <c r="M1467"/>
    </row>
    <row r="1468" spans="1:13" ht="12.75" customHeight="1" x14ac:dyDescent="0.25">
      <c r="A1468"/>
      <c r="B1468"/>
      <c r="C1468"/>
      <c r="M1468"/>
    </row>
    <row r="1469" spans="1:13" ht="12.75" customHeight="1" x14ac:dyDescent="0.25">
      <c r="A1469"/>
      <c r="B1469"/>
      <c r="C1469"/>
      <c r="M1469"/>
    </row>
    <row r="1470" spans="1:13" ht="12.75" customHeight="1" x14ac:dyDescent="0.25">
      <c r="A1470"/>
      <c r="B1470"/>
      <c r="C1470"/>
      <c r="M1470"/>
    </row>
    <row r="1471" spans="1:13" ht="12.75" customHeight="1" x14ac:dyDescent="0.25">
      <c r="A1471"/>
      <c r="B1471"/>
      <c r="C1471"/>
      <c r="M1471"/>
    </row>
    <row r="1472" spans="1:13" ht="12.75" customHeight="1" x14ac:dyDescent="0.25">
      <c r="A1472"/>
      <c r="B1472"/>
      <c r="C1472"/>
      <c r="M1472"/>
    </row>
    <row r="1473" spans="1:13" ht="12.75" customHeight="1" x14ac:dyDescent="0.25">
      <c r="A1473"/>
      <c r="B1473"/>
      <c r="C1473"/>
      <c r="M1473"/>
    </row>
    <row r="1474" spans="1:13" ht="12.75" customHeight="1" x14ac:dyDescent="0.25">
      <c r="A1474"/>
      <c r="B1474"/>
      <c r="C1474"/>
      <c r="M1474"/>
    </row>
    <row r="1475" spans="1:13" ht="12.75" customHeight="1" x14ac:dyDescent="0.25">
      <c r="A1475"/>
      <c r="B1475"/>
      <c r="C1475"/>
      <c r="M1475"/>
    </row>
    <row r="1476" spans="1:13" ht="12.75" customHeight="1" x14ac:dyDescent="0.25">
      <c r="A1476"/>
      <c r="B1476"/>
      <c r="C1476"/>
      <c r="M1476"/>
    </row>
    <row r="1477" spans="1:13" ht="12.75" customHeight="1" x14ac:dyDescent="0.25">
      <c r="A1477"/>
      <c r="B1477"/>
      <c r="C1477"/>
      <c r="M1477"/>
    </row>
    <row r="1478" spans="1:13" ht="12.75" customHeight="1" x14ac:dyDescent="0.25">
      <c r="A1478"/>
      <c r="B1478"/>
      <c r="C1478"/>
      <c r="M1478"/>
    </row>
    <row r="1479" spans="1:13" ht="12.75" customHeight="1" x14ac:dyDescent="0.25">
      <c r="A1479"/>
      <c r="B1479"/>
      <c r="C1479"/>
      <c r="M1479"/>
    </row>
    <row r="1480" spans="1:13" ht="12.75" customHeight="1" x14ac:dyDescent="0.25">
      <c r="A1480"/>
      <c r="B1480"/>
      <c r="C1480"/>
      <c r="M1480"/>
    </row>
    <row r="1481" spans="1:13" ht="12.75" customHeight="1" x14ac:dyDescent="0.25">
      <c r="A1481"/>
      <c r="B1481"/>
      <c r="C1481"/>
      <c r="M1481"/>
    </row>
    <row r="1482" spans="1:13" ht="12.75" customHeight="1" x14ac:dyDescent="0.25">
      <c r="A1482"/>
      <c r="B1482"/>
      <c r="C1482"/>
      <c r="M1482"/>
    </row>
    <row r="1483" spans="1:13" ht="12.75" customHeight="1" x14ac:dyDescent="0.25">
      <c r="A1483"/>
      <c r="B1483"/>
      <c r="C1483"/>
      <c r="M1483"/>
    </row>
    <row r="1484" spans="1:13" ht="12.75" customHeight="1" x14ac:dyDescent="0.25">
      <c r="A1484"/>
      <c r="B1484"/>
      <c r="C1484"/>
      <c r="M1484"/>
    </row>
    <row r="1485" spans="1:13" ht="12.75" customHeight="1" x14ac:dyDescent="0.25">
      <c r="A1485"/>
      <c r="B1485"/>
      <c r="C1485"/>
      <c r="M1485"/>
    </row>
    <row r="1486" spans="1:13" ht="12.75" customHeight="1" x14ac:dyDescent="0.25">
      <c r="A1486"/>
      <c r="B1486"/>
      <c r="C1486"/>
      <c r="M1486"/>
    </row>
    <row r="1487" spans="1:13" ht="12.75" customHeight="1" x14ac:dyDescent="0.25">
      <c r="A1487"/>
      <c r="B1487"/>
      <c r="C1487"/>
      <c r="M1487"/>
    </row>
    <row r="1488" spans="1:13" ht="12.75" customHeight="1" x14ac:dyDescent="0.25">
      <c r="A1488"/>
      <c r="B1488"/>
      <c r="C1488"/>
      <c r="M1488"/>
    </row>
    <row r="1489" spans="1:13" ht="12.75" customHeight="1" x14ac:dyDescent="0.25">
      <c r="A1489"/>
      <c r="B1489"/>
      <c r="C1489"/>
      <c r="M1489"/>
    </row>
    <row r="1490" spans="1:13" ht="12.75" customHeight="1" x14ac:dyDescent="0.25">
      <c r="A1490"/>
      <c r="B1490"/>
      <c r="C1490"/>
      <c r="M1490"/>
    </row>
    <row r="1491" spans="1:13" ht="12.75" customHeight="1" x14ac:dyDescent="0.25">
      <c r="A1491"/>
      <c r="B1491"/>
      <c r="C1491"/>
      <c r="M1491"/>
    </row>
    <row r="1492" spans="1:13" ht="12.75" customHeight="1" x14ac:dyDescent="0.25">
      <c r="A1492"/>
      <c r="B1492"/>
      <c r="C1492"/>
      <c r="M1492"/>
    </row>
    <row r="1493" spans="1:13" ht="12.75" customHeight="1" x14ac:dyDescent="0.25">
      <c r="A1493"/>
      <c r="B1493"/>
      <c r="C1493"/>
      <c r="M1493"/>
    </row>
    <row r="1494" spans="1:13" ht="12.75" customHeight="1" x14ac:dyDescent="0.25">
      <c r="A1494"/>
      <c r="B1494"/>
      <c r="C1494"/>
      <c r="M1494"/>
    </row>
    <row r="1495" spans="1:13" ht="12.75" customHeight="1" x14ac:dyDescent="0.25">
      <c r="A1495"/>
      <c r="B1495"/>
      <c r="C1495"/>
      <c r="M1495"/>
    </row>
    <row r="1496" spans="1:13" ht="12.75" customHeight="1" x14ac:dyDescent="0.25">
      <c r="A1496"/>
      <c r="B1496"/>
      <c r="C1496"/>
      <c r="M1496"/>
    </row>
    <row r="1497" spans="1:13" ht="12.75" customHeight="1" x14ac:dyDescent="0.25">
      <c r="A1497"/>
      <c r="B1497"/>
      <c r="C1497"/>
      <c r="M1497"/>
    </row>
    <row r="1498" spans="1:13" ht="12.75" customHeight="1" x14ac:dyDescent="0.25">
      <c r="A1498"/>
      <c r="B1498"/>
      <c r="C1498"/>
      <c r="M1498"/>
    </row>
    <row r="1499" spans="1:13" ht="12.75" customHeight="1" x14ac:dyDescent="0.25">
      <c r="A1499"/>
      <c r="B1499"/>
      <c r="C1499"/>
      <c r="M1499"/>
    </row>
    <row r="1500" spans="1:13" ht="12.75" customHeight="1" x14ac:dyDescent="0.25">
      <c r="A1500"/>
      <c r="B1500"/>
      <c r="C1500"/>
      <c r="M1500"/>
    </row>
    <row r="1501" spans="1:13" ht="12.75" customHeight="1" x14ac:dyDescent="0.25">
      <c r="A1501"/>
      <c r="B1501"/>
      <c r="C1501"/>
      <c r="M1501"/>
    </row>
    <row r="1502" spans="1:13" ht="12.75" customHeight="1" x14ac:dyDescent="0.25">
      <c r="A1502"/>
      <c r="B1502"/>
      <c r="C1502"/>
      <c r="M1502"/>
    </row>
    <row r="1503" spans="1:13" ht="12.75" customHeight="1" x14ac:dyDescent="0.25">
      <c r="A1503"/>
      <c r="B1503"/>
      <c r="C1503"/>
      <c r="M1503"/>
    </row>
    <row r="1504" spans="1:13" ht="12.75" customHeight="1" x14ac:dyDescent="0.25">
      <c r="A1504"/>
      <c r="B1504"/>
      <c r="C1504"/>
      <c r="M1504"/>
    </row>
    <row r="1505" spans="1:13" ht="12.75" customHeight="1" x14ac:dyDescent="0.25">
      <c r="A1505"/>
      <c r="B1505"/>
      <c r="C1505"/>
      <c r="M1505"/>
    </row>
    <row r="1506" spans="1:13" ht="12.75" customHeight="1" x14ac:dyDescent="0.25">
      <c r="A1506"/>
      <c r="B1506"/>
      <c r="C1506"/>
      <c r="M1506"/>
    </row>
    <row r="1507" spans="1:13" ht="12.75" customHeight="1" x14ac:dyDescent="0.25">
      <c r="A1507"/>
      <c r="B1507"/>
      <c r="C1507"/>
      <c r="M1507"/>
    </row>
    <row r="1508" spans="1:13" ht="12.75" customHeight="1" x14ac:dyDescent="0.25">
      <c r="A1508"/>
      <c r="B1508"/>
      <c r="C1508"/>
      <c r="M1508"/>
    </row>
    <row r="1509" spans="1:13" ht="12.75" customHeight="1" x14ac:dyDescent="0.25">
      <c r="A1509"/>
      <c r="B1509"/>
      <c r="C1509"/>
      <c r="M1509"/>
    </row>
    <row r="1510" spans="1:13" ht="12.75" customHeight="1" x14ac:dyDescent="0.25">
      <c r="A1510"/>
      <c r="B1510"/>
      <c r="C1510"/>
      <c r="M1510"/>
    </row>
    <row r="1511" spans="1:13" ht="12.75" customHeight="1" x14ac:dyDescent="0.25">
      <c r="A1511"/>
      <c r="B1511"/>
      <c r="C1511"/>
      <c r="M1511"/>
    </row>
    <row r="1512" spans="1:13" ht="12.75" customHeight="1" x14ac:dyDescent="0.25">
      <c r="A1512"/>
      <c r="B1512"/>
      <c r="C1512"/>
      <c r="M1512"/>
    </row>
    <row r="1513" spans="1:13" ht="12.75" customHeight="1" x14ac:dyDescent="0.25">
      <c r="A1513"/>
      <c r="B1513"/>
      <c r="C1513"/>
      <c r="M1513"/>
    </row>
    <row r="1514" spans="1:13" ht="12.75" customHeight="1" x14ac:dyDescent="0.25">
      <c r="A1514"/>
      <c r="B1514"/>
      <c r="C1514"/>
      <c r="M1514"/>
    </row>
    <row r="1515" spans="1:13" ht="12.75" customHeight="1" x14ac:dyDescent="0.25">
      <c r="A1515"/>
      <c r="B1515"/>
      <c r="C1515"/>
      <c r="M1515"/>
    </row>
    <row r="1516" spans="1:13" ht="12.75" customHeight="1" x14ac:dyDescent="0.25">
      <c r="A1516"/>
      <c r="B1516"/>
      <c r="C1516"/>
      <c r="M1516"/>
    </row>
    <row r="1517" spans="1:13" ht="12.75" customHeight="1" x14ac:dyDescent="0.25">
      <c r="A1517"/>
      <c r="B1517"/>
      <c r="C1517"/>
      <c r="M1517"/>
    </row>
    <row r="1518" spans="1:13" ht="12.75" customHeight="1" x14ac:dyDescent="0.25">
      <c r="A1518"/>
      <c r="B1518"/>
      <c r="C1518"/>
      <c r="M1518"/>
    </row>
    <row r="1519" spans="1:13" ht="12.75" customHeight="1" x14ac:dyDescent="0.25">
      <c r="A1519"/>
      <c r="B1519"/>
      <c r="C1519"/>
      <c r="M1519"/>
    </row>
    <row r="1520" spans="1:13" ht="12.75" customHeight="1" x14ac:dyDescent="0.25">
      <c r="A1520"/>
      <c r="B1520"/>
      <c r="C1520"/>
      <c r="M1520"/>
    </row>
    <row r="1521" spans="1:13" ht="12.75" customHeight="1" x14ac:dyDescent="0.25">
      <c r="A1521"/>
      <c r="B1521"/>
      <c r="C1521"/>
      <c r="M1521"/>
    </row>
    <row r="1522" spans="1:13" ht="12.75" customHeight="1" x14ac:dyDescent="0.25">
      <c r="A1522"/>
      <c r="B1522"/>
      <c r="C1522"/>
      <c r="M1522"/>
    </row>
    <row r="1523" spans="1:13" ht="12.75" customHeight="1" x14ac:dyDescent="0.25">
      <c r="A1523"/>
      <c r="B1523"/>
      <c r="C1523"/>
      <c r="M1523"/>
    </row>
    <row r="1524" spans="1:13" ht="12.75" customHeight="1" x14ac:dyDescent="0.25">
      <c r="A1524"/>
      <c r="B1524"/>
      <c r="C1524"/>
      <c r="M1524"/>
    </row>
    <row r="1525" spans="1:13" ht="12.75" customHeight="1" x14ac:dyDescent="0.25">
      <c r="A1525"/>
      <c r="B1525"/>
      <c r="C1525"/>
      <c r="M1525"/>
    </row>
    <row r="1526" spans="1:13" ht="12.75" customHeight="1" x14ac:dyDescent="0.25">
      <c r="A1526"/>
      <c r="B1526"/>
      <c r="C1526"/>
      <c r="M1526"/>
    </row>
    <row r="1527" spans="1:13" ht="12.75" customHeight="1" x14ac:dyDescent="0.25">
      <c r="A1527"/>
      <c r="B1527"/>
      <c r="C1527"/>
      <c r="M1527"/>
    </row>
    <row r="1528" spans="1:13" ht="12.75" customHeight="1" x14ac:dyDescent="0.25">
      <c r="A1528"/>
      <c r="B1528"/>
      <c r="C1528"/>
      <c r="M1528"/>
    </row>
    <row r="1529" spans="1:13" ht="12.75" customHeight="1" x14ac:dyDescent="0.25">
      <c r="A1529"/>
      <c r="B1529"/>
      <c r="C1529"/>
      <c r="M1529"/>
    </row>
    <row r="1530" spans="1:13" ht="12.75" customHeight="1" x14ac:dyDescent="0.25">
      <c r="A1530"/>
      <c r="B1530"/>
      <c r="C1530"/>
      <c r="M1530"/>
    </row>
    <row r="1531" spans="1:13" ht="12.75" customHeight="1" x14ac:dyDescent="0.25">
      <c r="A1531"/>
      <c r="B1531"/>
      <c r="C1531"/>
      <c r="M1531"/>
    </row>
    <row r="1532" spans="1:13" ht="12.75" customHeight="1" x14ac:dyDescent="0.25">
      <c r="A1532"/>
      <c r="B1532"/>
      <c r="C1532"/>
      <c r="M1532"/>
    </row>
    <row r="1533" spans="1:13" ht="12.75" customHeight="1" x14ac:dyDescent="0.25">
      <c r="A1533"/>
      <c r="B1533"/>
      <c r="C1533"/>
      <c r="M1533"/>
    </row>
    <row r="1534" spans="1:13" ht="12.75" customHeight="1" x14ac:dyDescent="0.25">
      <c r="A1534"/>
      <c r="B1534"/>
      <c r="C1534"/>
      <c r="M1534"/>
    </row>
    <row r="1535" spans="1:13" ht="12.75" customHeight="1" x14ac:dyDescent="0.25">
      <c r="A1535"/>
      <c r="B1535"/>
      <c r="C1535"/>
      <c r="M1535"/>
    </row>
    <row r="1536" spans="1:13" ht="12.75" customHeight="1" x14ac:dyDescent="0.25">
      <c r="A1536"/>
      <c r="B1536"/>
      <c r="C1536"/>
      <c r="M1536"/>
    </row>
    <row r="1537" spans="1:13" ht="12.75" customHeight="1" x14ac:dyDescent="0.25">
      <c r="A1537"/>
      <c r="B1537"/>
      <c r="C1537"/>
      <c r="M1537"/>
    </row>
    <row r="1538" spans="1:13" ht="12.75" customHeight="1" x14ac:dyDescent="0.25">
      <c r="A1538"/>
      <c r="B1538"/>
      <c r="C1538"/>
      <c r="M1538"/>
    </row>
    <row r="1539" spans="1:13" ht="12.75" customHeight="1" x14ac:dyDescent="0.25">
      <c r="A1539"/>
      <c r="B1539"/>
      <c r="C1539"/>
      <c r="M1539"/>
    </row>
    <row r="1540" spans="1:13" ht="12.75" customHeight="1" x14ac:dyDescent="0.25">
      <c r="A1540"/>
      <c r="B1540"/>
      <c r="C1540"/>
      <c r="M1540"/>
    </row>
    <row r="1541" spans="1:13" ht="12.75" customHeight="1" x14ac:dyDescent="0.25">
      <c r="A1541"/>
      <c r="B1541"/>
      <c r="C1541"/>
      <c r="M1541"/>
    </row>
    <row r="1542" spans="1:13" ht="12.75" customHeight="1" x14ac:dyDescent="0.25">
      <c r="A1542"/>
      <c r="B1542"/>
      <c r="C1542"/>
      <c r="M1542"/>
    </row>
    <row r="1543" spans="1:13" ht="12.75" customHeight="1" x14ac:dyDescent="0.25">
      <c r="A1543"/>
      <c r="B1543"/>
      <c r="C1543"/>
      <c r="M1543"/>
    </row>
    <row r="1544" spans="1:13" ht="12.75" customHeight="1" x14ac:dyDescent="0.25">
      <c r="A1544"/>
      <c r="B1544"/>
      <c r="C1544"/>
      <c r="M1544"/>
    </row>
    <row r="1545" spans="1:13" ht="12.75" customHeight="1" x14ac:dyDescent="0.25">
      <c r="A1545"/>
      <c r="B1545"/>
      <c r="C1545"/>
      <c r="M1545"/>
    </row>
    <row r="1546" spans="1:13" ht="12.75" customHeight="1" x14ac:dyDescent="0.25">
      <c r="A1546"/>
      <c r="B1546"/>
      <c r="C1546"/>
      <c r="M1546"/>
    </row>
    <row r="1547" spans="1:13" ht="12.75" customHeight="1" x14ac:dyDescent="0.25">
      <c r="A1547"/>
      <c r="B1547"/>
      <c r="C1547"/>
      <c r="M1547"/>
    </row>
    <row r="1548" spans="1:13" ht="12.75" customHeight="1" x14ac:dyDescent="0.25">
      <c r="A1548"/>
      <c r="B1548"/>
      <c r="C1548"/>
      <c r="M1548"/>
    </row>
    <row r="1549" spans="1:13" ht="12.75" customHeight="1" x14ac:dyDescent="0.25">
      <c r="A1549"/>
      <c r="B1549"/>
      <c r="C1549"/>
      <c r="M1549"/>
    </row>
    <row r="1550" spans="1:13" ht="12.75" customHeight="1" x14ac:dyDescent="0.25">
      <c r="A1550"/>
      <c r="B1550"/>
      <c r="C1550"/>
      <c r="M1550"/>
    </row>
    <row r="1551" spans="1:13" ht="12.75" customHeight="1" x14ac:dyDescent="0.25">
      <c r="A1551"/>
      <c r="B1551"/>
      <c r="C1551"/>
      <c r="M1551"/>
    </row>
    <row r="1552" spans="1:13" ht="12.75" customHeight="1" x14ac:dyDescent="0.25">
      <c r="A1552"/>
      <c r="B1552"/>
      <c r="C1552"/>
      <c r="M1552"/>
    </row>
    <row r="1553" spans="1:13" ht="12.75" customHeight="1" x14ac:dyDescent="0.25">
      <c r="A1553"/>
      <c r="B1553"/>
      <c r="C1553"/>
      <c r="M1553"/>
    </row>
    <row r="1554" spans="1:13" ht="12.75" customHeight="1" x14ac:dyDescent="0.25">
      <c r="A1554"/>
      <c r="B1554"/>
      <c r="C1554"/>
      <c r="M1554"/>
    </row>
    <row r="1555" spans="1:13" ht="12.75" customHeight="1" x14ac:dyDescent="0.25">
      <c r="A1555"/>
      <c r="B1555"/>
      <c r="C1555"/>
      <c r="M1555"/>
    </row>
    <row r="1556" spans="1:13" ht="12.75" customHeight="1" x14ac:dyDescent="0.25">
      <c r="A1556"/>
      <c r="B1556"/>
      <c r="C1556"/>
      <c r="M1556"/>
    </row>
    <row r="1557" spans="1:13" ht="12.75" customHeight="1" x14ac:dyDescent="0.25">
      <c r="A1557"/>
      <c r="B1557"/>
      <c r="C1557"/>
      <c r="M1557"/>
    </row>
    <row r="1558" spans="1:13" ht="12.75" customHeight="1" x14ac:dyDescent="0.25">
      <c r="A1558"/>
      <c r="B1558"/>
      <c r="C1558"/>
      <c r="M1558"/>
    </row>
    <row r="1559" spans="1:13" ht="12.75" customHeight="1" x14ac:dyDescent="0.25">
      <c r="A1559"/>
      <c r="B1559"/>
      <c r="C1559"/>
      <c r="M1559"/>
    </row>
    <row r="1560" spans="1:13" ht="12.75" customHeight="1" x14ac:dyDescent="0.25">
      <c r="A1560"/>
      <c r="B1560"/>
      <c r="C1560"/>
      <c r="M1560"/>
    </row>
    <row r="1561" spans="1:13" ht="12.75" customHeight="1" x14ac:dyDescent="0.25">
      <c r="A1561"/>
      <c r="B1561"/>
      <c r="C1561"/>
      <c r="M1561"/>
    </row>
    <row r="1562" spans="1:13" ht="12.75" customHeight="1" x14ac:dyDescent="0.25">
      <c r="A1562"/>
      <c r="B1562"/>
      <c r="C1562"/>
      <c r="M1562"/>
    </row>
    <row r="1563" spans="1:13" ht="12.75" customHeight="1" x14ac:dyDescent="0.25">
      <c r="A1563"/>
      <c r="B1563"/>
      <c r="C1563"/>
      <c r="M1563"/>
    </row>
    <row r="1564" spans="1:13" ht="12.75" customHeight="1" x14ac:dyDescent="0.25">
      <c r="A1564"/>
      <c r="B1564"/>
      <c r="C1564"/>
      <c r="M1564"/>
    </row>
    <row r="1565" spans="1:13" ht="12.75" customHeight="1" x14ac:dyDescent="0.25">
      <c r="A1565"/>
      <c r="B1565"/>
      <c r="C1565"/>
      <c r="M1565"/>
    </row>
    <row r="1566" spans="1:13" ht="12.75" customHeight="1" x14ac:dyDescent="0.25">
      <c r="A1566"/>
      <c r="B1566"/>
      <c r="C1566"/>
      <c r="M1566"/>
    </row>
    <row r="1567" spans="1:13" ht="12.75" customHeight="1" x14ac:dyDescent="0.25">
      <c r="A1567"/>
      <c r="B1567"/>
      <c r="C1567"/>
      <c r="M1567"/>
    </row>
    <row r="1568" spans="1:13" ht="12.75" customHeight="1" x14ac:dyDescent="0.25">
      <c r="A1568"/>
      <c r="B1568"/>
      <c r="C1568"/>
      <c r="M1568"/>
    </row>
    <row r="1569" spans="1:13" ht="12.75" customHeight="1" x14ac:dyDescent="0.25">
      <c r="A1569"/>
      <c r="B1569"/>
      <c r="C1569"/>
      <c r="M1569"/>
    </row>
    <row r="1570" spans="1:13" ht="12.75" customHeight="1" x14ac:dyDescent="0.25">
      <c r="A1570"/>
      <c r="B1570"/>
      <c r="C1570"/>
      <c r="M1570"/>
    </row>
    <row r="1571" spans="1:13" ht="12.75" customHeight="1" x14ac:dyDescent="0.25">
      <c r="A1571"/>
      <c r="B1571"/>
      <c r="C1571"/>
      <c r="M1571"/>
    </row>
    <row r="1572" spans="1:13" ht="12.75" customHeight="1" x14ac:dyDescent="0.25">
      <c r="A1572"/>
      <c r="B1572"/>
      <c r="C1572"/>
      <c r="M1572"/>
    </row>
    <row r="1573" spans="1:13" ht="12.75" customHeight="1" x14ac:dyDescent="0.25">
      <c r="A1573"/>
      <c r="B1573"/>
      <c r="C1573"/>
      <c r="M1573"/>
    </row>
    <row r="1574" spans="1:13" ht="12.75" customHeight="1" x14ac:dyDescent="0.25">
      <c r="A1574"/>
      <c r="B1574"/>
      <c r="C1574"/>
      <c r="M1574"/>
    </row>
    <row r="1575" spans="1:13" ht="12.75" customHeight="1" x14ac:dyDescent="0.25">
      <c r="A1575"/>
      <c r="B1575"/>
      <c r="C1575"/>
      <c r="M1575"/>
    </row>
    <row r="1576" spans="1:13" ht="12.75" customHeight="1" x14ac:dyDescent="0.25">
      <c r="A1576"/>
      <c r="B1576"/>
      <c r="C1576"/>
      <c r="M1576"/>
    </row>
    <row r="1577" spans="1:13" ht="12.75" customHeight="1" x14ac:dyDescent="0.25">
      <c r="A1577"/>
      <c r="B1577"/>
      <c r="C1577"/>
      <c r="M1577"/>
    </row>
    <row r="1578" spans="1:13" ht="12.75" customHeight="1" x14ac:dyDescent="0.25">
      <c r="A1578"/>
      <c r="B1578"/>
      <c r="C1578"/>
      <c r="M1578"/>
    </row>
    <row r="1579" spans="1:13" ht="12.75" customHeight="1" x14ac:dyDescent="0.25">
      <c r="A1579"/>
      <c r="B1579"/>
      <c r="C1579"/>
      <c r="M1579"/>
    </row>
    <row r="1580" spans="1:13" ht="12.75" customHeight="1" x14ac:dyDescent="0.25">
      <c r="A1580"/>
      <c r="B1580"/>
      <c r="C1580"/>
      <c r="M1580"/>
    </row>
    <row r="1581" spans="1:13" ht="12.75" customHeight="1" x14ac:dyDescent="0.25">
      <c r="A1581"/>
      <c r="B1581"/>
      <c r="C1581"/>
      <c r="M1581"/>
    </row>
    <row r="1582" spans="1:13" ht="12.75" customHeight="1" x14ac:dyDescent="0.25">
      <c r="A1582"/>
      <c r="B1582"/>
      <c r="C1582"/>
      <c r="M1582"/>
    </row>
    <row r="1583" spans="1:13" ht="12.75" customHeight="1" x14ac:dyDescent="0.25">
      <c r="A1583"/>
      <c r="B1583"/>
      <c r="C1583"/>
      <c r="M1583"/>
    </row>
    <row r="1584" spans="1:13" ht="12.75" customHeight="1" x14ac:dyDescent="0.25">
      <c r="A1584"/>
      <c r="B1584"/>
      <c r="C1584"/>
      <c r="M1584"/>
    </row>
    <row r="1585" spans="1:13" ht="12.75" customHeight="1" x14ac:dyDescent="0.25">
      <c r="A1585"/>
      <c r="B1585"/>
      <c r="C1585"/>
      <c r="M1585"/>
    </row>
    <row r="1586" spans="1:13" ht="12.75" customHeight="1" x14ac:dyDescent="0.25">
      <c r="A1586"/>
      <c r="B1586"/>
      <c r="C1586"/>
      <c r="M1586"/>
    </row>
    <row r="1587" spans="1:13" ht="12.75" customHeight="1" x14ac:dyDescent="0.25">
      <c r="A1587"/>
      <c r="B1587"/>
      <c r="C1587"/>
      <c r="M1587"/>
    </row>
    <row r="1588" spans="1:13" ht="12.75" customHeight="1" x14ac:dyDescent="0.25">
      <c r="A1588"/>
      <c r="B1588"/>
      <c r="C1588"/>
      <c r="M1588"/>
    </row>
    <row r="1589" spans="1:13" ht="12.75" customHeight="1" x14ac:dyDescent="0.25">
      <c r="A1589"/>
      <c r="B1589"/>
      <c r="C1589"/>
      <c r="M1589"/>
    </row>
    <row r="1590" spans="1:13" ht="12.75" customHeight="1" x14ac:dyDescent="0.25">
      <c r="A1590"/>
      <c r="B1590"/>
      <c r="C1590"/>
      <c r="M1590"/>
    </row>
    <row r="1591" spans="1:13" ht="12.75" customHeight="1" x14ac:dyDescent="0.25">
      <c r="A1591"/>
      <c r="B1591"/>
      <c r="C1591"/>
      <c r="M1591"/>
    </row>
    <row r="1592" spans="1:13" ht="12.75" customHeight="1" x14ac:dyDescent="0.25">
      <c r="A1592"/>
      <c r="B1592"/>
      <c r="C1592"/>
      <c r="M1592"/>
    </row>
    <row r="1593" spans="1:13" ht="12.75" customHeight="1" x14ac:dyDescent="0.25">
      <c r="A1593"/>
      <c r="B1593"/>
      <c r="C1593"/>
      <c r="M1593"/>
    </row>
    <row r="1594" spans="1:13" ht="12.75" customHeight="1" x14ac:dyDescent="0.25">
      <c r="A1594"/>
      <c r="B1594"/>
      <c r="C1594"/>
      <c r="M1594"/>
    </row>
    <row r="1595" spans="1:13" ht="12.75" customHeight="1" x14ac:dyDescent="0.25">
      <c r="A1595"/>
      <c r="B1595"/>
      <c r="C1595"/>
      <c r="M1595"/>
    </row>
    <row r="1596" spans="1:13" ht="12.75" customHeight="1" x14ac:dyDescent="0.25">
      <c r="A1596"/>
      <c r="B1596"/>
      <c r="C1596"/>
      <c r="M1596"/>
    </row>
    <row r="1597" spans="1:13" ht="12.75" customHeight="1" x14ac:dyDescent="0.25">
      <c r="A1597"/>
      <c r="B1597"/>
      <c r="C1597"/>
      <c r="M1597"/>
    </row>
    <row r="1598" spans="1:13" ht="12.75" customHeight="1" x14ac:dyDescent="0.25">
      <c r="A1598"/>
      <c r="B1598"/>
      <c r="C1598"/>
      <c r="M1598"/>
    </row>
    <row r="1599" spans="1:13" ht="12.75" customHeight="1" x14ac:dyDescent="0.25">
      <c r="A1599"/>
      <c r="B1599"/>
      <c r="C1599"/>
      <c r="M1599"/>
    </row>
    <row r="1600" spans="1:13" ht="12.75" customHeight="1" x14ac:dyDescent="0.25">
      <c r="A1600"/>
      <c r="B1600"/>
      <c r="C1600"/>
      <c r="M1600"/>
    </row>
    <row r="1601" spans="1:13" ht="12.75" customHeight="1" x14ac:dyDescent="0.25">
      <c r="A1601"/>
      <c r="B1601"/>
      <c r="C1601"/>
      <c r="M1601"/>
    </row>
    <row r="1602" spans="1:13" ht="12.75" customHeight="1" x14ac:dyDescent="0.25">
      <c r="A1602"/>
      <c r="B1602"/>
      <c r="C1602"/>
      <c r="M1602"/>
    </row>
    <row r="1603" spans="1:13" ht="12.75" customHeight="1" x14ac:dyDescent="0.25">
      <c r="A1603"/>
      <c r="B1603"/>
      <c r="C1603"/>
      <c r="M1603"/>
    </row>
    <row r="1604" spans="1:13" ht="12.75" customHeight="1" x14ac:dyDescent="0.25">
      <c r="A1604"/>
      <c r="B1604"/>
      <c r="C1604"/>
      <c r="M1604"/>
    </row>
    <row r="1605" spans="1:13" ht="12.75" customHeight="1" x14ac:dyDescent="0.25">
      <c r="A1605"/>
      <c r="B1605"/>
      <c r="C1605"/>
      <c r="M1605"/>
    </row>
    <row r="1606" spans="1:13" ht="12.75" customHeight="1" x14ac:dyDescent="0.25">
      <c r="A1606"/>
      <c r="B1606"/>
      <c r="C1606"/>
      <c r="M1606"/>
    </row>
    <row r="1607" spans="1:13" ht="12.75" customHeight="1" x14ac:dyDescent="0.25">
      <c r="A1607"/>
      <c r="B1607"/>
      <c r="C1607"/>
      <c r="M1607"/>
    </row>
    <row r="1608" spans="1:13" ht="12.75" customHeight="1" x14ac:dyDescent="0.25">
      <c r="A1608"/>
      <c r="B1608"/>
      <c r="C1608"/>
      <c r="M1608"/>
    </row>
    <row r="1609" spans="1:13" ht="12.75" customHeight="1" x14ac:dyDescent="0.25">
      <c r="A1609"/>
      <c r="B1609"/>
      <c r="C1609"/>
      <c r="M1609"/>
    </row>
    <row r="1610" spans="1:13" ht="12.75" customHeight="1" x14ac:dyDescent="0.25">
      <c r="A1610"/>
      <c r="B1610"/>
      <c r="C1610"/>
      <c r="M1610"/>
    </row>
    <row r="1611" spans="1:13" ht="12.75" customHeight="1" x14ac:dyDescent="0.25">
      <c r="A1611"/>
      <c r="B1611"/>
      <c r="C1611"/>
      <c r="M1611"/>
    </row>
    <row r="1612" spans="1:13" ht="12.75" customHeight="1" x14ac:dyDescent="0.25">
      <c r="A1612"/>
      <c r="B1612"/>
      <c r="C1612"/>
      <c r="M1612"/>
    </row>
    <row r="1613" spans="1:13" ht="12.75" customHeight="1" x14ac:dyDescent="0.25">
      <c r="A1613"/>
      <c r="B1613"/>
      <c r="C1613"/>
      <c r="M1613"/>
    </row>
    <row r="1614" spans="1:13" ht="12.75" customHeight="1" x14ac:dyDescent="0.25">
      <c r="A1614"/>
      <c r="B1614"/>
      <c r="C1614"/>
      <c r="M1614"/>
    </row>
    <row r="1615" spans="1:13" ht="12.75" customHeight="1" x14ac:dyDescent="0.25">
      <c r="A1615"/>
      <c r="B1615"/>
      <c r="C1615"/>
      <c r="M1615"/>
    </row>
    <row r="1616" spans="1:13" ht="12.75" customHeight="1" x14ac:dyDescent="0.25">
      <c r="A1616"/>
      <c r="B1616"/>
      <c r="C1616"/>
      <c r="M1616"/>
    </row>
    <row r="1617" spans="1:13" ht="12.75" customHeight="1" x14ac:dyDescent="0.25">
      <c r="A1617"/>
      <c r="B1617"/>
      <c r="C1617"/>
      <c r="M1617"/>
    </row>
    <row r="1618" spans="1:13" ht="12.75" customHeight="1" x14ac:dyDescent="0.25">
      <c r="A1618"/>
      <c r="B1618"/>
      <c r="C1618"/>
      <c r="M1618"/>
    </row>
    <row r="1619" spans="1:13" ht="12.75" customHeight="1" x14ac:dyDescent="0.25">
      <c r="A1619"/>
      <c r="B1619"/>
      <c r="C1619"/>
      <c r="M1619"/>
    </row>
    <row r="1620" spans="1:13" ht="12.75" customHeight="1" x14ac:dyDescent="0.25">
      <c r="A1620"/>
      <c r="B1620"/>
      <c r="C1620"/>
      <c r="M1620"/>
    </row>
    <row r="1621" spans="1:13" ht="12.75" customHeight="1" x14ac:dyDescent="0.25">
      <c r="A1621"/>
      <c r="B1621"/>
      <c r="C1621"/>
      <c r="M1621"/>
    </row>
    <row r="1622" spans="1:13" ht="12.75" customHeight="1" x14ac:dyDescent="0.25">
      <c r="A1622"/>
      <c r="B1622"/>
      <c r="C1622"/>
      <c r="M1622"/>
    </row>
    <row r="1623" spans="1:13" ht="12.75" customHeight="1" x14ac:dyDescent="0.25">
      <c r="A1623"/>
      <c r="B1623"/>
      <c r="C1623"/>
      <c r="M1623"/>
    </row>
    <row r="1624" spans="1:13" ht="12.75" customHeight="1" x14ac:dyDescent="0.25">
      <c r="A1624"/>
      <c r="B1624"/>
      <c r="C1624"/>
      <c r="M1624"/>
    </row>
    <row r="1625" spans="1:13" ht="12.75" customHeight="1" x14ac:dyDescent="0.25">
      <c r="A1625"/>
      <c r="B1625"/>
      <c r="C1625"/>
      <c r="M1625"/>
    </row>
    <row r="1626" spans="1:13" ht="12.75" customHeight="1" x14ac:dyDescent="0.25">
      <c r="A1626"/>
      <c r="B1626"/>
      <c r="C1626"/>
      <c r="M1626"/>
    </row>
    <row r="1627" spans="1:13" ht="12.75" customHeight="1" x14ac:dyDescent="0.25">
      <c r="A1627"/>
      <c r="B1627"/>
      <c r="C1627"/>
      <c r="M1627"/>
    </row>
    <row r="1628" spans="1:13" ht="12.75" customHeight="1" x14ac:dyDescent="0.25">
      <c r="A1628"/>
      <c r="B1628"/>
      <c r="C1628"/>
      <c r="M1628"/>
    </row>
    <row r="1629" spans="1:13" ht="12.75" customHeight="1" x14ac:dyDescent="0.25">
      <c r="A1629"/>
      <c r="B1629"/>
      <c r="C1629"/>
      <c r="M1629"/>
    </row>
    <row r="1630" spans="1:13" ht="12.75" customHeight="1" x14ac:dyDescent="0.25">
      <c r="A1630"/>
      <c r="B1630"/>
      <c r="C1630"/>
      <c r="M1630"/>
    </row>
    <row r="1631" spans="1:13" ht="12.75" customHeight="1" x14ac:dyDescent="0.25">
      <c r="A1631"/>
      <c r="B1631"/>
      <c r="C1631"/>
      <c r="M1631"/>
    </row>
    <row r="1632" spans="1:13" ht="12.75" customHeight="1" x14ac:dyDescent="0.25">
      <c r="A1632"/>
      <c r="B1632"/>
      <c r="C1632"/>
      <c r="M1632"/>
    </row>
    <row r="1633" spans="1:13" ht="12.75" customHeight="1" x14ac:dyDescent="0.25">
      <c r="A1633"/>
      <c r="B1633"/>
      <c r="C1633"/>
      <c r="M1633"/>
    </row>
    <row r="1634" spans="1:13" ht="12.75" customHeight="1" x14ac:dyDescent="0.25">
      <c r="A1634"/>
      <c r="B1634"/>
      <c r="C1634"/>
      <c r="M1634"/>
    </row>
    <row r="1635" spans="1:13" ht="12.75" customHeight="1" x14ac:dyDescent="0.25">
      <c r="A1635"/>
      <c r="B1635"/>
      <c r="C1635"/>
      <c r="M1635"/>
    </row>
    <row r="1636" spans="1:13" ht="12.75" customHeight="1" x14ac:dyDescent="0.25">
      <c r="A1636"/>
      <c r="B1636"/>
      <c r="C1636"/>
      <c r="M1636"/>
    </row>
    <row r="1637" spans="1:13" ht="12.75" customHeight="1" x14ac:dyDescent="0.25">
      <c r="A1637"/>
      <c r="B1637"/>
      <c r="C1637"/>
      <c r="M1637"/>
    </row>
    <row r="1638" spans="1:13" ht="12.75" customHeight="1" x14ac:dyDescent="0.25">
      <c r="A1638"/>
      <c r="B1638"/>
      <c r="C1638"/>
      <c r="M1638"/>
    </row>
    <row r="1639" spans="1:13" ht="12.75" customHeight="1" x14ac:dyDescent="0.25">
      <c r="A1639"/>
      <c r="B1639"/>
      <c r="C1639"/>
      <c r="M1639"/>
    </row>
    <row r="1640" spans="1:13" ht="12.75" customHeight="1" x14ac:dyDescent="0.25">
      <c r="A1640"/>
      <c r="B1640"/>
      <c r="C1640"/>
      <c r="M1640"/>
    </row>
    <row r="1641" spans="1:13" ht="12.75" customHeight="1" x14ac:dyDescent="0.25">
      <c r="A1641"/>
      <c r="B1641"/>
      <c r="C1641"/>
      <c r="M1641"/>
    </row>
    <row r="1642" spans="1:13" ht="12.75" customHeight="1" x14ac:dyDescent="0.25">
      <c r="A1642"/>
      <c r="B1642"/>
      <c r="C1642"/>
      <c r="M1642"/>
    </row>
    <row r="1643" spans="1:13" ht="12.75" customHeight="1" x14ac:dyDescent="0.25">
      <c r="A1643"/>
      <c r="B1643"/>
      <c r="C1643"/>
      <c r="M1643"/>
    </row>
    <row r="1644" spans="1:13" ht="12.75" customHeight="1" x14ac:dyDescent="0.25">
      <c r="A1644"/>
      <c r="B1644"/>
      <c r="C1644"/>
      <c r="M1644"/>
    </row>
    <row r="1645" spans="1:13" ht="12.75" customHeight="1" x14ac:dyDescent="0.25">
      <c r="A1645"/>
      <c r="B1645"/>
      <c r="C1645"/>
      <c r="M1645"/>
    </row>
    <row r="1646" spans="1:13" ht="12.75" customHeight="1" x14ac:dyDescent="0.25">
      <c r="A1646"/>
      <c r="B1646"/>
      <c r="C1646"/>
      <c r="M1646"/>
    </row>
    <row r="1647" spans="1:13" ht="12.75" customHeight="1" x14ac:dyDescent="0.25">
      <c r="A1647"/>
      <c r="B1647"/>
      <c r="C1647"/>
      <c r="M1647"/>
    </row>
    <row r="1648" spans="1:13" ht="12.75" customHeight="1" x14ac:dyDescent="0.25">
      <c r="A1648"/>
      <c r="B1648"/>
      <c r="C1648"/>
      <c r="M1648"/>
    </row>
    <row r="1649" spans="1:13" ht="12.75" customHeight="1" x14ac:dyDescent="0.25">
      <c r="A1649"/>
      <c r="B1649"/>
      <c r="C1649"/>
      <c r="M1649"/>
    </row>
    <row r="1650" spans="1:13" ht="12.75" customHeight="1" x14ac:dyDescent="0.25">
      <c r="A1650"/>
      <c r="B1650"/>
      <c r="C1650"/>
      <c r="M1650"/>
    </row>
    <row r="1651" spans="1:13" ht="12.75" customHeight="1" x14ac:dyDescent="0.25">
      <c r="A1651"/>
      <c r="B1651"/>
      <c r="C1651"/>
      <c r="M1651"/>
    </row>
    <row r="1652" spans="1:13" ht="12.75" customHeight="1" x14ac:dyDescent="0.25">
      <c r="A1652"/>
      <c r="B1652"/>
      <c r="C1652"/>
      <c r="M1652"/>
    </row>
    <row r="1653" spans="1:13" ht="12.75" customHeight="1" x14ac:dyDescent="0.25">
      <c r="A1653"/>
      <c r="B1653"/>
      <c r="C1653"/>
      <c r="M1653"/>
    </row>
    <row r="1654" spans="1:13" ht="12.75" customHeight="1" x14ac:dyDescent="0.25">
      <c r="A1654"/>
      <c r="B1654"/>
      <c r="C1654"/>
      <c r="M1654"/>
    </row>
    <row r="1655" spans="1:13" ht="12.75" customHeight="1" x14ac:dyDescent="0.25">
      <c r="A1655"/>
      <c r="B1655"/>
      <c r="C1655"/>
      <c r="M1655"/>
    </row>
    <row r="1656" spans="1:13" ht="12.75" customHeight="1" x14ac:dyDescent="0.25">
      <c r="A1656"/>
      <c r="B1656"/>
      <c r="C1656"/>
      <c r="M1656"/>
    </row>
    <row r="1657" spans="1:13" ht="12.75" customHeight="1" x14ac:dyDescent="0.25">
      <c r="A1657"/>
      <c r="B1657"/>
      <c r="C1657"/>
      <c r="M1657"/>
    </row>
    <row r="1658" spans="1:13" ht="12.75" customHeight="1" x14ac:dyDescent="0.25">
      <c r="A1658"/>
      <c r="B1658"/>
      <c r="C1658"/>
      <c r="M1658"/>
    </row>
    <row r="1659" spans="1:13" ht="12.75" customHeight="1" x14ac:dyDescent="0.25">
      <c r="A1659"/>
      <c r="B1659"/>
      <c r="C1659"/>
      <c r="M1659"/>
    </row>
    <row r="1660" spans="1:13" ht="12.75" customHeight="1" x14ac:dyDescent="0.25">
      <c r="A1660"/>
      <c r="B1660"/>
      <c r="C1660"/>
      <c r="M1660"/>
    </row>
    <row r="1661" spans="1:13" ht="12.75" customHeight="1" x14ac:dyDescent="0.25">
      <c r="A1661"/>
      <c r="B1661"/>
      <c r="C1661"/>
      <c r="M1661"/>
    </row>
    <row r="1662" spans="1:13" ht="12.75" customHeight="1" x14ac:dyDescent="0.25">
      <c r="A1662"/>
      <c r="B1662"/>
      <c r="C1662"/>
      <c r="M1662"/>
    </row>
    <row r="1663" spans="1:13" ht="12.75" customHeight="1" x14ac:dyDescent="0.25">
      <c r="A1663"/>
      <c r="B1663"/>
      <c r="C1663"/>
      <c r="M1663"/>
    </row>
    <row r="1664" spans="1:13" ht="12.75" customHeight="1" x14ac:dyDescent="0.25">
      <c r="A1664"/>
      <c r="B1664"/>
      <c r="C1664"/>
      <c r="M1664"/>
    </row>
    <row r="1665" spans="1:13" ht="12.75" customHeight="1" x14ac:dyDescent="0.25">
      <c r="A1665"/>
      <c r="B1665"/>
      <c r="C1665"/>
      <c r="M1665"/>
    </row>
    <row r="1666" spans="1:13" ht="12.75" customHeight="1" x14ac:dyDescent="0.25">
      <c r="A1666"/>
      <c r="B1666"/>
      <c r="C1666"/>
      <c r="M1666"/>
    </row>
    <row r="1667" spans="1:13" ht="12.75" customHeight="1" x14ac:dyDescent="0.25">
      <c r="A1667"/>
      <c r="B1667"/>
      <c r="C1667"/>
      <c r="M1667"/>
    </row>
    <row r="1668" spans="1:13" ht="12.75" customHeight="1" x14ac:dyDescent="0.25">
      <c r="A1668"/>
      <c r="B1668"/>
      <c r="C1668"/>
      <c r="M1668"/>
    </row>
    <row r="1669" spans="1:13" ht="12.75" customHeight="1" x14ac:dyDescent="0.25">
      <c r="A1669"/>
      <c r="B1669"/>
      <c r="C1669"/>
      <c r="M1669"/>
    </row>
    <row r="1670" spans="1:13" ht="12.75" customHeight="1" x14ac:dyDescent="0.25">
      <c r="A1670"/>
      <c r="B1670"/>
      <c r="C1670"/>
      <c r="M1670"/>
    </row>
    <row r="1671" spans="1:13" ht="12.75" customHeight="1" x14ac:dyDescent="0.25">
      <c r="A1671"/>
      <c r="B1671"/>
      <c r="C1671"/>
      <c r="M1671"/>
    </row>
    <row r="1672" spans="1:13" ht="12.75" customHeight="1" x14ac:dyDescent="0.25">
      <c r="A1672"/>
      <c r="B1672"/>
      <c r="C1672"/>
      <c r="M1672"/>
    </row>
    <row r="1673" spans="1:13" ht="12.75" customHeight="1" x14ac:dyDescent="0.25">
      <c r="A1673"/>
      <c r="B1673"/>
      <c r="C1673"/>
      <c r="M1673"/>
    </row>
    <row r="1674" spans="1:13" ht="12.75" customHeight="1" x14ac:dyDescent="0.25">
      <c r="A1674"/>
      <c r="B1674"/>
      <c r="C1674"/>
      <c r="M1674"/>
    </row>
    <row r="1675" spans="1:13" ht="12.75" customHeight="1" x14ac:dyDescent="0.25">
      <c r="A1675"/>
      <c r="B1675"/>
      <c r="C1675"/>
      <c r="M1675"/>
    </row>
    <row r="1676" spans="1:13" ht="12.75" customHeight="1" x14ac:dyDescent="0.25">
      <c r="A1676"/>
      <c r="B1676"/>
      <c r="C1676"/>
      <c r="M1676"/>
    </row>
    <row r="1677" spans="1:13" ht="12.75" customHeight="1" x14ac:dyDescent="0.25">
      <c r="A1677"/>
      <c r="B1677"/>
      <c r="C1677"/>
      <c r="M1677"/>
    </row>
    <row r="1678" spans="1:13" ht="12.75" customHeight="1" x14ac:dyDescent="0.25">
      <c r="A1678"/>
      <c r="B1678"/>
      <c r="C1678"/>
      <c r="M1678"/>
    </row>
    <row r="1679" spans="1:13" ht="12.75" customHeight="1" x14ac:dyDescent="0.25">
      <c r="A1679"/>
      <c r="B1679"/>
      <c r="C1679"/>
      <c r="M1679"/>
    </row>
    <row r="1680" spans="1:13" ht="12.75" customHeight="1" x14ac:dyDescent="0.25">
      <c r="A1680"/>
      <c r="B1680"/>
      <c r="C1680"/>
      <c r="M1680"/>
    </row>
    <row r="1681" spans="1:13" ht="12.75" customHeight="1" x14ac:dyDescent="0.25">
      <c r="A1681"/>
      <c r="B1681"/>
      <c r="C1681"/>
      <c r="M1681"/>
    </row>
    <row r="1682" spans="1:13" ht="12.75" customHeight="1" x14ac:dyDescent="0.25">
      <c r="A1682"/>
      <c r="B1682"/>
      <c r="C1682"/>
      <c r="M1682"/>
    </row>
    <row r="1683" spans="1:13" ht="12.75" customHeight="1" x14ac:dyDescent="0.25">
      <c r="A1683"/>
      <c r="B1683"/>
      <c r="C1683"/>
      <c r="M1683"/>
    </row>
    <row r="1684" spans="1:13" ht="12.75" customHeight="1" x14ac:dyDescent="0.25">
      <c r="A1684"/>
      <c r="B1684"/>
      <c r="C1684"/>
      <c r="M1684"/>
    </row>
    <row r="1685" spans="1:13" ht="12.75" customHeight="1" x14ac:dyDescent="0.25">
      <c r="A1685"/>
      <c r="B1685"/>
      <c r="C1685"/>
      <c r="M1685"/>
    </row>
    <row r="1686" spans="1:13" ht="12.75" customHeight="1" x14ac:dyDescent="0.25">
      <c r="A1686"/>
      <c r="B1686"/>
      <c r="C1686"/>
      <c r="M1686"/>
    </row>
    <row r="1687" spans="1:13" ht="12.75" customHeight="1" x14ac:dyDescent="0.25">
      <c r="A1687"/>
      <c r="B1687"/>
      <c r="C1687"/>
      <c r="M1687"/>
    </row>
    <row r="1688" spans="1:13" ht="12.75" customHeight="1" x14ac:dyDescent="0.25">
      <c r="A1688"/>
      <c r="B1688"/>
      <c r="C1688"/>
      <c r="M1688"/>
    </row>
    <row r="1689" spans="1:13" ht="12.75" customHeight="1" x14ac:dyDescent="0.25">
      <c r="A1689"/>
      <c r="B1689"/>
      <c r="C1689"/>
      <c r="M1689"/>
    </row>
    <row r="1690" spans="1:13" ht="12.75" customHeight="1" x14ac:dyDescent="0.25">
      <c r="A1690"/>
      <c r="B1690"/>
      <c r="C1690"/>
      <c r="M1690"/>
    </row>
    <row r="1691" spans="1:13" ht="12.75" customHeight="1" x14ac:dyDescent="0.25">
      <c r="A1691"/>
      <c r="B1691"/>
      <c r="C1691"/>
      <c r="M1691"/>
    </row>
    <row r="1692" spans="1:13" ht="12.75" customHeight="1" x14ac:dyDescent="0.25">
      <c r="A1692"/>
      <c r="B1692"/>
      <c r="C1692"/>
      <c r="M1692"/>
    </row>
    <row r="1693" spans="1:13" ht="12.75" customHeight="1" x14ac:dyDescent="0.25">
      <c r="A1693"/>
      <c r="B1693"/>
      <c r="C1693"/>
      <c r="M1693"/>
    </row>
    <row r="1694" spans="1:13" ht="12.75" customHeight="1" x14ac:dyDescent="0.25">
      <c r="A1694"/>
      <c r="B1694"/>
      <c r="C1694"/>
      <c r="M1694"/>
    </row>
    <row r="1695" spans="1:13" ht="12.75" customHeight="1" x14ac:dyDescent="0.25">
      <c r="A1695"/>
      <c r="B1695"/>
      <c r="C1695"/>
      <c r="M1695"/>
    </row>
    <row r="1696" spans="1:13" ht="12.75" customHeight="1" x14ac:dyDescent="0.25">
      <c r="A1696"/>
      <c r="B1696"/>
      <c r="C1696"/>
      <c r="M1696"/>
    </row>
    <row r="1697" spans="1:13" ht="12.75" customHeight="1" x14ac:dyDescent="0.25">
      <c r="A1697"/>
      <c r="B1697"/>
      <c r="C1697"/>
      <c r="M1697"/>
    </row>
    <row r="1698" spans="1:13" ht="12.75" customHeight="1" x14ac:dyDescent="0.25">
      <c r="A1698"/>
      <c r="B1698"/>
      <c r="C1698"/>
      <c r="M1698"/>
    </row>
    <row r="1699" spans="1:13" ht="12.75" customHeight="1" x14ac:dyDescent="0.25">
      <c r="A1699"/>
      <c r="B1699"/>
      <c r="C1699"/>
      <c r="M1699"/>
    </row>
    <row r="1700" spans="1:13" ht="12.75" customHeight="1" x14ac:dyDescent="0.25">
      <c r="A1700"/>
      <c r="B1700"/>
      <c r="C1700"/>
      <c r="M1700"/>
    </row>
    <row r="1701" spans="1:13" ht="12.75" customHeight="1" x14ac:dyDescent="0.25">
      <c r="A1701"/>
      <c r="B1701"/>
      <c r="C1701"/>
      <c r="M1701"/>
    </row>
    <row r="1702" spans="1:13" ht="12.75" customHeight="1" x14ac:dyDescent="0.25">
      <c r="A1702"/>
      <c r="B1702"/>
      <c r="C1702"/>
      <c r="M1702"/>
    </row>
    <row r="1703" spans="1:13" ht="12.75" customHeight="1" x14ac:dyDescent="0.25">
      <c r="A1703"/>
      <c r="B1703"/>
      <c r="C1703"/>
      <c r="M1703"/>
    </row>
    <row r="1704" spans="1:13" ht="12.75" customHeight="1" x14ac:dyDescent="0.25">
      <c r="A1704"/>
      <c r="B1704"/>
      <c r="C1704"/>
      <c r="M1704"/>
    </row>
    <row r="1705" spans="1:13" ht="12.75" customHeight="1" x14ac:dyDescent="0.25">
      <c r="A1705"/>
      <c r="B1705"/>
      <c r="C1705"/>
      <c r="M1705"/>
    </row>
    <row r="1706" spans="1:13" ht="12.75" customHeight="1" x14ac:dyDescent="0.25">
      <c r="A1706"/>
      <c r="B1706"/>
      <c r="C1706"/>
      <c r="M1706"/>
    </row>
    <row r="1707" spans="1:13" ht="12.75" customHeight="1" x14ac:dyDescent="0.25">
      <c r="A1707"/>
      <c r="B1707"/>
      <c r="C1707"/>
      <c r="M1707"/>
    </row>
    <row r="1708" spans="1:13" ht="12.75" customHeight="1" x14ac:dyDescent="0.25">
      <c r="A1708"/>
      <c r="B1708"/>
      <c r="C1708"/>
      <c r="M1708"/>
    </row>
    <row r="1709" spans="1:13" ht="12.75" customHeight="1" x14ac:dyDescent="0.25">
      <c r="A1709"/>
      <c r="B1709"/>
      <c r="C1709"/>
      <c r="M1709"/>
    </row>
    <row r="1710" spans="1:13" ht="12.75" customHeight="1" x14ac:dyDescent="0.25">
      <c r="A1710"/>
      <c r="B1710"/>
      <c r="C1710"/>
      <c r="M1710"/>
    </row>
    <row r="1711" spans="1:13" ht="12.75" customHeight="1" x14ac:dyDescent="0.25">
      <c r="A1711"/>
      <c r="B1711"/>
      <c r="C1711"/>
      <c r="M1711"/>
    </row>
    <row r="1712" spans="1:13" ht="12.75" customHeight="1" x14ac:dyDescent="0.25">
      <c r="A1712"/>
      <c r="B1712"/>
      <c r="C1712"/>
      <c r="M1712"/>
    </row>
    <row r="1713" spans="1:13" ht="12.75" customHeight="1" x14ac:dyDescent="0.25">
      <c r="A1713"/>
      <c r="B1713"/>
      <c r="C1713"/>
      <c r="M1713"/>
    </row>
    <row r="1714" spans="1:13" ht="12.75" customHeight="1" x14ac:dyDescent="0.25">
      <c r="A1714"/>
      <c r="B1714"/>
      <c r="C1714"/>
      <c r="M1714"/>
    </row>
    <row r="1715" spans="1:13" ht="12.75" customHeight="1" x14ac:dyDescent="0.25">
      <c r="A1715"/>
      <c r="B1715"/>
      <c r="C1715"/>
      <c r="M1715"/>
    </row>
    <row r="1716" spans="1:13" ht="12.75" customHeight="1" x14ac:dyDescent="0.25">
      <c r="A1716"/>
      <c r="B1716"/>
      <c r="C1716"/>
      <c r="M1716"/>
    </row>
    <row r="1717" spans="1:13" ht="12.75" customHeight="1" x14ac:dyDescent="0.25">
      <c r="A1717"/>
      <c r="B1717"/>
      <c r="C1717"/>
      <c r="M1717"/>
    </row>
    <row r="1718" spans="1:13" ht="12.75" customHeight="1" x14ac:dyDescent="0.25">
      <c r="A1718"/>
      <c r="B1718"/>
      <c r="C1718"/>
      <c r="M1718"/>
    </row>
    <row r="1719" spans="1:13" ht="12.75" customHeight="1" x14ac:dyDescent="0.25">
      <c r="A1719"/>
      <c r="B1719"/>
      <c r="C1719"/>
      <c r="M1719"/>
    </row>
    <row r="1720" spans="1:13" ht="12.75" customHeight="1" x14ac:dyDescent="0.25">
      <c r="A1720"/>
      <c r="B1720"/>
      <c r="C1720"/>
      <c r="M1720"/>
    </row>
    <row r="1721" spans="1:13" ht="12.75" customHeight="1" x14ac:dyDescent="0.25">
      <c r="A1721"/>
      <c r="B1721"/>
      <c r="C1721"/>
      <c r="M1721"/>
    </row>
    <row r="1722" spans="1:13" ht="12.75" customHeight="1" x14ac:dyDescent="0.25">
      <c r="A1722"/>
      <c r="B1722"/>
      <c r="C1722"/>
      <c r="M1722"/>
    </row>
    <row r="1723" spans="1:13" ht="12.75" customHeight="1" x14ac:dyDescent="0.25">
      <c r="A1723"/>
      <c r="B1723"/>
      <c r="C1723"/>
      <c r="M1723"/>
    </row>
    <row r="1724" spans="1:13" ht="12.75" customHeight="1" x14ac:dyDescent="0.25">
      <c r="A1724"/>
      <c r="B1724"/>
      <c r="C1724"/>
      <c r="M1724"/>
    </row>
    <row r="1725" spans="1:13" ht="12.75" customHeight="1" x14ac:dyDescent="0.25">
      <c r="A1725"/>
      <c r="B1725"/>
      <c r="C1725"/>
      <c r="M1725"/>
    </row>
    <row r="1726" spans="1:13" ht="12.75" customHeight="1" x14ac:dyDescent="0.25">
      <c r="A1726"/>
      <c r="B1726"/>
      <c r="C1726"/>
      <c r="M1726"/>
    </row>
    <row r="1727" spans="1:13" ht="12.75" customHeight="1" x14ac:dyDescent="0.25">
      <c r="A1727"/>
      <c r="B1727"/>
      <c r="C1727"/>
      <c r="M1727"/>
    </row>
    <row r="1728" spans="1:13" ht="12.75" customHeight="1" x14ac:dyDescent="0.25">
      <c r="A1728"/>
      <c r="B1728"/>
      <c r="C1728"/>
      <c r="M1728"/>
    </row>
    <row r="1729" spans="1:13" ht="12.75" customHeight="1" x14ac:dyDescent="0.25">
      <c r="A1729"/>
      <c r="B1729"/>
      <c r="C1729"/>
      <c r="M1729"/>
    </row>
    <row r="1730" spans="1:13" ht="12.75" customHeight="1" x14ac:dyDescent="0.25">
      <c r="A1730"/>
      <c r="B1730"/>
      <c r="C1730"/>
      <c r="M1730"/>
    </row>
    <row r="1731" spans="1:13" ht="12.75" customHeight="1" x14ac:dyDescent="0.25">
      <c r="A1731"/>
      <c r="B1731"/>
      <c r="C1731"/>
      <c r="M1731"/>
    </row>
    <row r="1732" spans="1:13" ht="12.75" customHeight="1" x14ac:dyDescent="0.25">
      <c r="A1732"/>
      <c r="B1732"/>
      <c r="C1732"/>
      <c r="M1732"/>
    </row>
    <row r="1733" spans="1:13" ht="12.75" customHeight="1" x14ac:dyDescent="0.25">
      <c r="A1733"/>
      <c r="B1733"/>
      <c r="C1733"/>
      <c r="M1733"/>
    </row>
    <row r="1734" spans="1:13" ht="12.75" customHeight="1" x14ac:dyDescent="0.25">
      <c r="A1734"/>
      <c r="B1734"/>
      <c r="C1734"/>
      <c r="M1734"/>
    </row>
    <row r="1735" spans="1:13" ht="12.75" customHeight="1" x14ac:dyDescent="0.25">
      <c r="A1735"/>
      <c r="B1735"/>
      <c r="C1735"/>
      <c r="M1735"/>
    </row>
    <row r="1736" spans="1:13" ht="12.75" customHeight="1" x14ac:dyDescent="0.25">
      <c r="A1736"/>
      <c r="B1736"/>
      <c r="C1736"/>
      <c r="M1736"/>
    </row>
    <row r="1737" spans="1:13" ht="12.75" customHeight="1" x14ac:dyDescent="0.25">
      <c r="A1737"/>
      <c r="B1737"/>
      <c r="C1737"/>
      <c r="M1737"/>
    </row>
    <row r="1738" spans="1:13" ht="12.75" customHeight="1" x14ac:dyDescent="0.25">
      <c r="A1738"/>
      <c r="B1738"/>
      <c r="C1738"/>
      <c r="M1738"/>
    </row>
    <row r="1739" spans="1:13" ht="12.75" customHeight="1" x14ac:dyDescent="0.25">
      <c r="A1739"/>
      <c r="B1739"/>
      <c r="C1739"/>
      <c r="M1739"/>
    </row>
    <row r="1740" spans="1:13" ht="12.75" customHeight="1" x14ac:dyDescent="0.25">
      <c r="A1740"/>
      <c r="B1740"/>
      <c r="C1740"/>
      <c r="M1740"/>
    </row>
    <row r="1741" spans="1:13" ht="12.75" customHeight="1" x14ac:dyDescent="0.25">
      <c r="A1741"/>
      <c r="B1741"/>
      <c r="C1741"/>
      <c r="M1741"/>
    </row>
    <row r="1742" spans="1:13" ht="12.75" customHeight="1" x14ac:dyDescent="0.25">
      <c r="A1742"/>
      <c r="B1742"/>
      <c r="C1742"/>
      <c r="M1742"/>
    </row>
    <row r="1743" spans="1:13" ht="12.75" customHeight="1" x14ac:dyDescent="0.25">
      <c r="A1743"/>
      <c r="B1743"/>
      <c r="C1743"/>
      <c r="M1743"/>
    </row>
    <row r="1744" spans="1:13" ht="12.75" customHeight="1" x14ac:dyDescent="0.25">
      <c r="A1744"/>
      <c r="B1744"/>
      <c r="C1744"/>
      <c r="M1744"/>
    </row>
    <row r="1745" spans="1:13" ht="12.75" customHeight="1" x14ac:dyDescent="0.25">
      <c r="A1745"/>
      <c r="B1745"/>
      <c r="C1745"/>
      <c r="M1745"/>
    </row>
    <row r="1746" spans="1:13" ht="12.75" customHeight="1" x14ac:dyDescent="0.25">
      <c r="A1746"/>
      <c r="B1746"/>
      <c r="C1746"/>
      <c r="M1746"/>
    </row>
    <row r="1747" spans="1:13" ht="12.75" customHeight="1" x14ac:dyDescent="0.25">
      <c r="A1747"/>
      <c r="B1747"/>
      <c r="C1747"/>
      <c r="M1747"/>
    </row>
    <row r="1748" spans="1:13" ht="12.75" customHeight="1" x14ac:dyDescent="0.25">
      <c r="A1748"/>
      <c r="B1748"/>
      <c r="C1748"/>
      <c r="M1748"/>
    </row>
    <row r="1749" spans="1:13" ht="12.75" customHeight="1" x14ac:dyDescent="0.25">
      <c r="A1749"/>
      <c r="B1749"/>
      <c r="C1749"/>
      <c r="M1749"/>
    </row>
    <row r="1750" spans="1:13" ht="12.75" customHeight="1" x14ac:dyDescent="0.25">
      <c r="A1750"/>
      <c r="B1750"/>
      <c r="C1750"/>
      <c r="M1750"/>
    </row>
    <row r="1751" spans="1:13" ht="12.75" customHeight="1" x14ac:dyDescent="0.25">
      <c r="A1751"/>
      <c r="B1751"/>
      <c r="C1751"/>
      <c r="M1751"/>
    </row>
    <row r="1752" spans="1:13" ht="12.75" customHeight="1" x14ac:dyDescent="0.25">
      <c r="A1752"/>
      <c r="B1752"/>
      <c r="C1752"/>
      <c r="M1752"/>
    </row>
    <row r="1753" spans="1:13" ht="12.75" customHeight="1" x14ac:dyDescent="0.25">
      <c r="A1753"/>
      <c r="B1753"/>
      <c r="C1753"/>
      <c r="M1753"/>
    </row>
    <row r="1754" spans="1:13" ht="12.75" customHeight="1" x14ac:dyDescent="0.25">
      <c r="A1754"/>
      <c r="B1754"/>
      <c r="C1754"/>
      <c r="M1754"/>
    </row>
    <row r="1755" spans="1:13" ht="12.75" customHeight="1" x14ac:dyDescent="0.25">
      <c r="A1755"/>
      <c r="B1755"/>
      <c r="C1755"/>
      <c r="M1755"/>
    </row>
    <row r="1756" spans="1:13" ht="12.75" customHeight="1" x14ac:dyDescent="0.25">
      <c r="A1756"/>
      <c r="B1756"/>
      <c r="C1756"/>
      <c r="M1756"/>
    </row>
    <row r="1757" spans="1:13" ht="12.75" customHeight="1" x14ac:dyDescent="0.25">
      <c r="A1757"/>
      <c r="B1757"/>
      <c r="C1757"/>
      <c r="M1757"/>
    </row>
    <row r="1758" spans="1:13" ht="12.75" customHeight="1" x14ac:dyDescent="0.25">
      <c r="A1758"/>
      <c r="B1758"/>
      <c r="C1758"/>
      <c r="M1758"/>
    </row>
    <row r="1759" spans="1:13" ht="12.75" customHeight="1" x14ac:dyDescent="0.25">
      <c r="A1759"/>
      <c r="B1759"/>
      <c r="C1759"/>
      <c r="M1759"/>
    </row>
    <row r="1760" spans="1:13" ht="12.75" customHeight="1" x14ac:dyDescent="0.25">
      <c r="A1760"/>
      <c r="B1760"/>
      <c r="C1760"/>
      <c r="M1760"/>
    </row>
    <row r="1761" spans="1:13" ht="12.75" customHeight="1" x14ac:dyDescent="0.25">
      <c r="A1761"/>
      <c r="B1761"/>
      <c r="C1761"/>
      <c r="M1761"/>
    </row>
    <row r="1762" spans="1:13" ht="12.75" customHeight="1" x14ac:dyDescent="0.25">
      <c r="A1762"/>
      <c r="B1762"/>
      <c r="C1762"/>
      <c r="M1762"/>
    </row>
    <row r="1763" spans="1:13" ht="12.75" customHeight="1" x14ac:dyDescent="0.25">
      <c r="A1763"/>
      <c r="B1763"/>
      <c r="C1763"/>
      <c r="M1763"/>
    </row>
    <row r="1764" spans="1:13" ht="12.75" customHeight="1" x14ac:dyDescent="0.25">
      <c r="A1764"/>
      <c r="B1764"/>
      <c r="C1764"/>
      <c r="M1764"/>
    </row>
    <row r="1765" spans="1:13" ht="12.75" customHeight="1" x14ac:dyDescent="0.25">
      <c r="A1765"/>
      <c r="B1765"/>
      <c r="C1765"/>
      <c r="M1765"/>
    </row>
    <row r="1766" spans="1:13" ht="12.75" customHeight="1" x14ac:dyDescent="0.25">
      <c r="A1766"/>
      <c r="B1766"/>
      <c r="C1766"/>
      <c r="M1766"/>
    </row>
    <row r="1767" spans="1:13" ht="12.75" customHeight="1" x14ac:dyDescent="0.25">
      <c r="A1767"/>
      <c r="B1767"/>
      <c r="C1767"/>
      <c r="M1767"/>
    </row>
    <row r="1768" spans="1:13" ht="12.75" customHeight="1" x14ac:dyDescent="0.25">
      <c r="A1768"/>
      <c r="B1768"/>
      <c r="C1768"/>
      <c r="M1768"/>
    </row>
    <row r="1769" spans="1:13" ht="12.75" customHeight="1" x14ac:dyDescent="0.25">
      <c r="A1769"/>
      <c r="B1769"/>
      <c r="C1769"/>
      <c r="M1769"/>
    </row>
    <row r="1770" spans="1:13" ht="12.75" customHeight="1" x14ac:dyDescent="0.25">
      <c r="A1770"/>
      <c r="B1770"/>
      <c r="C1770"/>
      <c r="M1770"/>
    </row>
    <row r="1771" spans="1:13" ht="12.75" customHeight="1" x14ac:dyDescent="0.25">
      <c r="A1771"/>
      <c r="B1771"/>
      <c r="C1771"/>
      <c r="M1771"/>
    </row>
    <row r="1772" spans="1:13" ht="12.75" customHeight="1" x14ac:dyDescent="0.25">
      <c r="A1772"/>
      <c r="B1772"/>
      <c r="C1772"/>
      <c r="M1772"/>
    </row>
    <row r="1773" spans="1:13" ht="12.75" customHeight="1" x14ac:dyDescent="0.25">
      <c r="A1773"/>
      <c r="B1773"/>
      <c r="C1773"/>
      <c r="M1773"/>
    </row>
    <row r="1774" spans="1:13" ht="12.75" customHeight="1" x14ac:dyDescent="0.25">
      <c r="A1774"/>
      <c r="B1774"/>
      <c r="C1774"/>
      <c r="M1774"/>
    </row>
    <row r="1775" spans="1:13" ht="12.75" customHeight="1" x14ac:dyDescent="0.25">
      <c r="A1775"/>
      <c r="B1775"/>
      <c r="C1775"/>
      <c r="M1775"/>
    </row>
    <row r="1776" spans="1:13" ht="12.75" customHeight="1" x14ac:dyDescent="0.25">
      <c r="A1776"/>
      <c r="B1776"/>
      <c r="C1776"/>
      <c r="M1776"/>
    </row>
    <row r="1777" spans="1:13" ht="12.75" customHeight="1" x14ac:dyDescent="0.25">
      <c r="A1777"/>
      <c r="B1777"/>
      <c r="C1777"/>
      <c r="M1777"/>
    </row>
    <row r="1778" spans="1:13" ht="12.75" customHeight="1" x14ac:dyDescent="0.25">
      <c r="A1778"/>
      <c r="B1778"/>
      <c r="C1778"/>
      <c r="M1778"/>
    </row>
    <row r="1779" spans="1:13" ht="12.75" customHeight="1" x14ac:dyDescent="0.25">
      <c r="A1779"/>
      <c r="B1779"/>
      <c r="C1779"/>
      <c r="M1779"/>
    </row>
    <row r="1780" spans="1:13" ht="12.75" customHeight="1" x14ac:dyDescent="0.25">
      <c r="A1780"/>
      <c r="B1780"/>
      <c r="C1780"/>
      <c r="M1780"/>
    </row>
    <row r="1781" spans="1:13" ht="12.75" customHeight="1" x14ac:dyDescent="0.25">
      <c r="A1781"/>
      <c r="B1781"/>
      <c r="C1781"/>
      <c r="M1781"/>
    </row>
    <row r="1782" spans="1:13" ht="12.75" customHeight="1" x14ac:dyDescent="0.25">
      <c r="A1782"/>
      <c r="B1782"/>
      <c r="C1782"/>
      <c r="M1782"/>
    </row>
    <row r="1783" spans="1:13" ht="12.75" customHeight="1" x14ac:dyDescent="0.25">
      <c r="A1783"/>
      <c r="B1783"/>
      <c r="C1783"/>
      <c r="M1783"/>
    </row>
    <row r="1784" spans="1:13" ht="12.75" customHeight="1" x14ac:dyDescent="0.25">
      <c r="A1784"/>
      <c r="B1784"/>
      <c r="C1784"/>
      <c r="M1784"/>
    </row>
    <row r="1785" spans="1:13" ht="12.75" customHeight="1" x14ac:dyDescent="0.25">
      <c r="A1785"/>
      <c r="B1785"/>
      <c r="C1785"/>
      <c r="M1785"/>
    </row>
    <row r="1786" spans="1:13" ht="12.75" customHeight="1" x14ac:dyDescent="0.25">
      <c r="A1786"/>
      <c r="B1786"/>
      <c r="C1786"/>
      <c r="M1786"/>
    </row>
    <row r="1787" spans="1:13" ht="12.75" customHeight="1" x14ac:dyDescent="0.25">
      <c r="A1787"/>
      <c r="B1787"/>
      <c r="C1787"/>
      <c r="M1787"/>
    </row>
    <row r="1788" spans="1:13" ht="12.75" customHeight="1" x14ac:dyDescent="0.25">
      <c r="A1788"/>
      <c r="B1788"/>
      <c r="C1788"/>
      <c r="M1788"/>
    </row>
    <row r="1789" spans="1:13" ht="12.75" customHeight="1" x14ac:dyDescent="0.25">
      <c r="A1789"/>
      <c r="B1789"/>
      <c r="C1789"/>
      <c r="M1789"/>
    </row>
    <row r="1790" spans="1:13" ht="12.75" customHeight="1" x14ac:dyDescent="0.25">
      <c r="A1790"/>
      <c r="B1790"/>
      <c r="C1790"/>
      <c r="M1790"/>
    </row>
    <row r="1791" spans="1:13" ht="12.75" customHeight="1" x14ac:dyDescent="0.25">
      <c r="A1791"/>
      <c r="B1791"/>
      <c r="C1791"/>
      <c r="M1791"/>
    </row>
    <row r="1792" spans="1:13" ht="12.75" customHeight="1" x14ac:dyDescent="0.25">
      <c r="A1792"/>
      <c r="B1792"/>
      <c r="C1792"/>
      <c r="M1792"/>
    </row>
    <row r="1793" spans="1:13" ht="12.75" customHeight="1" x14ac:dyDescent="0.25">
      <c r="A1793"/>
      <c r="B1793"/>
      <c r="C1793"/>
      <c r="M1793"/>
    </row>
    <row r="1794" spans="1:13" ht="12.75" customHeight="1" x14ac:dyDescent="0.25">
      <c r="A1794"/>
      <c r="B1794"/>
      <c r="C1794"/>
      <c r="M1794"/>
    </row>
    <row r="1795" spans="1:13" ht="12.75" customHeight="1" x14ac:dyDescent="0.25">
      <c r="A1795"/>
      <c r="B1795"/>
      <c r="C1795"/>
      <c r="M1795"/>
    </row>
    <row r="1796" spans="1:13" ht="12.75" customHeight="1" x14ac:dyDescent="0.25">
      <c r="A1796"/>
      <c r="B1796"/>
      <c r="C1796"/>
      <c r="M1796"/>
    </row>
    <row r="1797" spans="1:13" ht="12.75" customHeight="1" x14ac:dyDescent="0.25">
      <c r="A1797"/>
      <c r="B1797"/>
      <c r="C1797"/>
      <c r="M1797"/>
    </row>
    <row r="1798" spans="1:13" ht="12.75" customHeight="1" x14ac:dyDescent="0.25">
      <c r="A1798"/>
      <c r="B1798"/>
      <c r="C1798"/>
      <c r="M1798"/>
    </row>
    <row r="1799" spans="1:13" ht="12.75" customHeight="1" x14ac:dyDescent="0.25">
      <c r="A1799"/>
      <c r="B1799"/>
      <c r="C1799"/>
      <c r="M1799"/>
    </row>
    <row r="1800" spans="1:13" ht="12.75" customHeight="1" x14ac:dyDescent="0.25">
      <c r="A1800"/>
      <c r="B1800"/>
      <c r="C1800"/>
      <c r="M1800"/>
    </row>
    <row r="1801" spans="1:13" ht="12.75" customHeight="1" x14ac:dyDescent="0.25">
      <c r="A1801"/>
      <c r="B1801"/>
      <c r="C1801"/>
      <c r="M1801"/>
    </row>
    <row r="1802" spans="1:13" ht="12.75" customHeight="1" x14ac:dyDescent="0.25">
      <c r="A1802"/>
      <c r="B1802"/>
      <c r="C1802"/>
      <c r="M1802"/>
    </row>
    <row r="1803" spans="1:13" ht="12.75" customHeight="1" x14ac:dyDescent="0.25">
      <c r="A1803"/>
      <c r="B1803"/>
      <c r="C1803"/>
      <c r="M1803"/>
    </row>
    <row r="1804" spans="1:13" ht="12.75" customHeight="1" x14ac:dyDescent="0.25">
      <c r="A1804"/>
      <c r="B1804"/>
      <c r="C1804"/>
      <c r="M1804"/>
    </row>
    <row r="1805" spans="1:13" ht="12.75" customHeight="1" x14ac:dyDescent="0.25">
      <c r="A1805"/>
      <c r="B1805"/>
      <c r="C1805"/>
      <c r="M1805"/>
    </row>
    <row r="1806" spans="1:13" ht="12.75" customHeight="1" x14ac:dyDescent="0.25">
      <c r="A1806"/>
      <c r="B1806"/>
      <c r="C1806"/>
      <c r="M1806"/>
    </row>
    <row r="1807" spans="1:13" ht="12.75" customHeight="1" x14ac:dyDescent="0.25">
      <c r="A1807"/>
      <c r="B1807"/>
      <c r="C1807"/>
      <c r="M1807"/>
    </row>
    <row r="1808" spans="1:13" ht="12.75" customHeight="1" x14ac:dyDescent="0.25">
      <c r="A1808"/>
      <c r="B1808"/>
      <c r="C1808"/>
      <c r="M1808"/>
    </row>
    <row r="1809" spans="1:13" ht="12.75" customHeight="1" x14ac:dyDescent="0.25">
      <c r="A1809"/>
      <c r="B1809"/>
      <c r="C1809"/>
      <c r="M1809"/>
    </row>
    <row r="1810" spans="1:13" ht="12.75" customHeight="1" x14ac:dyDescent="0.25">
      <c r="A1810"/>
      <c r="B1810"/>
      <c r="C1810"/>
      <c r="M1810"/>
    </row>
    <row r="1811" spans="1:13" ht="12.75" customHeight="1" x14ac:dyDescent="0.25">
      <c r="A1811"/>
      <c r="B1811"/>
      <c r="C1811"/>
      <c r="M1811"/>
    </row>
    <row r="1812" spans="1:13" ht="12.75" customHeight="1" x14ac:dyDescent="0.25">
      <c r="A1812"/>
      <c r="B1812"/>
      <c r="C1812"/>
      <c r="M1812"/>
    </row>
    <row r="1813" spans="1:13" ht="12.75" customHeight="1" x14ac:dyDescent="0.25">
      <c r="A1813"/>
      <c r="B1813"/>
      <c r="C1813"/>
      <c r="M1813"/>
    </row>
    <row r="1814" spans="1:13" ht="12.75" customHeight="1" x14ac:dyDescent="0.25">
      <c r="A1814"/>
      <c r="B1814"/>
      <c r="C1814"/>
      <c r="M1814"/>
    </row>
    <row r="1815" spans="1:13" ht="12.75" customHeight="1" x14ac:dyDescent="0.25">
      <c r="A1815"/>
      <c r="B1815"/>
      <c r="C1815"/>
      <c r="M1815"/>
    </row>
    <row r="1816" spans="1:13" ht="12.75" customHeight="1" x14ac:dyDescent="0.25">
      <c r="A1816"/>
      <c r="B1816"/>
      <c r="C1816"/>
      <c r="M1816"/>
    </row>
    <row r="1817" spans="1:13" ht="12.75" customHeight="1" x14ac:dyDescent="0.25">
      <c r="A1817"/>
      <c r="B1817"/>
      <c r="C1817"/>
      <c r="M1817"/>
    </row>
    <row r="1818" spans="1:13" ht="12.75" customHeight="1" x14ac:dyDescent="0.25">
      <c r="A1818"/>
      <c r="B1818"/>
      <c r="C1818"/>
      <c r="M1818"/>
    </row>
    <row r="1819" spans="1:13" ht="12.75" customHeight="1" x14ac:dyDescent="0.25">
      <c r="A1819"/>
      <c r="B1819"/>
      <c r="C1819"/>
      <c r="M1819"/>
    </row>
    <row r="1820" spans="1:13" ht="12.75" customHeight="1" x14ac:dyDescent="0.25">
      <c r="A1820"/>
      <c r="B1820"/>
      <c r="C1820"/>
      <c r="M1820"/>
    </row>
    <row r="1821" spans="1:13" ht="12.75" customHeight="1" x14ac:dyDescent="0.25">
      <c r="A1821"/>
      <c r="B1821"/>
      <c r="C1821"/>
      <c r="M1821"/>
    </row>
    <row r="1822" spans="1:13" ht="12.75" customHeight="1" x14ac:dyDescent="0.25">
      <c r="A1822"/>
      <c r="B1822"/>
      <c r="C1822"/>
      <c r="M1822"/>
    </row>
    <row r="1823" spans="1:13" ht="12.75" customHeight="1" x14ac:dyDescent="0.25">
      <c r="A1823"/>
      <c r="B1823"/>
      <c r="C1823"/>
      <c r="M1823"/>
    </row>
    <row r="1824" spans="1:13" ht="12.75" customHeight="1" x14ac:dyDescent="0.25">
      <c r="A1824"/>
      <c r="B1824"/>
      <c r="C1824"/>
      <c r="M1824"/>
    </row>
    <row r="1825" spans="1:13" ht="12.75" customHeight="1" x14ac:dyDescent="0.25">
      <c r="A1825"/>
      <c r="B1825"/>
      <c r="C1825"/>
      <c r="M1825"/>
    </row>
    <row r="1826" spans="1:13" ht="12.75" customHeight="1" x14ac:dyDescent="0.25">
      <c r="A1826"/>
      <c r="B1826"/>
      <c r="C1826"/>
      <c r="M1826"/>
    </row>
    <row r="1827" spans="1:13" ht="12.75" customHeight="1" x14ac:dyDescent="0.25">
      <c r="A1827"/>
      <c r="B1827"/>
      <c r="C1827"/>
      <c r="M1827"/>
    </row>
    <row r="1828" spans="1:13" ht="12.75" customHeight="1" x14ac:dyDescent="0.25">
      <c r="A1828"/>
      <c r="B1828"/>
      <c r="C1828"/>
      <c r="M1828"/>
    </row>
    <row r="1829" spans="1:13" ht="12.75" customHeight="1" x14ac:dyDescent="0.25">
      <c r="A1829"/>
      <c r="B1829"/>
      <c r="C1829"/>
      <c r="M1829"/>
    </row>
    <row r="1830" spans="1:13" ht="12.75" customHeight="1" x14ac:dyDescent="0.25">
      <c r="A1830"/>
      <c r="B1830"/>
      <c r="C1830"/>
      <c r="M1830"/>
    </row>
    <row r="1831" spans="1:13" ht="12.75" customHeight="1" x14ac:dyDescent="0.25">
      <c r="A1831"/>
      <c r="B1831"/>
      <c r="C1831"/>
      <c r="M1831"/>
    </row>
    <row r="1832" spans="1:13" ht="12.75" customHeight="1" x14ac:dyDescent="0.25">
      <c r="A1832"/>
      <c r="B1832"/>
      <c r="C1832"/>
      <c r="M1832"/>
    </row>
    <row r="1833" spans="1:13" ht="12.75" customHeight="1" x14ac:dyDescent="0.25">
      <c r="A1833"/>
      <c r="B1833"/>
      <c r="C1833"/>
      <c r="M1833"/>
    </row>
    <row r="1834" spans="1:13" ht="12.75" customHeight="1" x14ac:dyDescent="0.25">
      <c r="A1834"/>
      <c r="B1834"/>
      <c r="C1834"/>
      <c r="M1834"/>
    </row>
    <row r="1835" spans="1:13" ht="12.75" customHeight="1" x14ac:dyDescent="0.25">
      <c r="A1835"/>
      <c r="B1835"/>
      <c r="C1835"/>
      <c r="M1835"/>
    </row>
    <row r="1836" spans="1:13" ht="12.75" customHeight="1" x14ac:dyDescent="0.25">
      <c r="A1836"/>
      <c r="B1836"/>
      <c r="C1836"/>
      <c r="M1836"/>
    </row>
    <row r="1837" spans="1:13" ht="12.75" customHeight="1" x14ac:dyDescent="0.25">
      <c r="A1837"/>
      <c r="B1837"/>
      <c r="C1837"/>
      <c r="M1837"/>
    </row>
    <row r="1838" spans="1:13" ht="12.75" customHeight="1" x14ac:dyDescent="0.25">
      <c r="A1838"/>
      <c r="B1838"/>
      <c r="C1838"/>
      <c r="M1838"/>
    </row>
    <row r="1839" spans="1:13" ht="12.75" customHeight="1" x14ac:dyDescent="0.25">
      <c r="A1839"/>
      <c r="B1839"/>
      <c r="C1839"/>
      <c r="M1839"/>
    </row>
    <row r="1840" spans="1:13" ht="12.75" customHeight="1" x14ac:dyDescent="0.25">
      <c r="A1840"/>
      <c r="B1840"/>
      <c r="C1840"/>
      <c r="M1840"/>
    </row>
    <row r="1841" spans="1:13" ht="12.75" customHeight="1" x14ac:dyDescent="0.25">
      <c r="A1841"/>
      <c r="B1841"/>
      <c r="C1841"/>
      <c r="M1841"/>
    </row>
    <row r="1842" spans="1:13" ht="12.75" customHeight="1" x14ac:dyDescent="0.25">
      <c r="A1842"/>
      <c r="B1842"/>
      <c r="C1842"/>
      <c r="M1842"/>
    </row>
    <row r="1843" spans="1:13" ht="12.75" customHeight="1" x14ac:dyDescent="0.25">
      <c r="A1843"/>
      <c r="B1843"/>
      <c r="C1843"/>
      <c r="M1843"/>
    </row>
    <row r="1844" spans="1:13" ht="12.75" customHeight="1" x14ac:dyDescent="0.25">
      <c r="A1844"/>
      <c r="B1844"/>
      <c r="C1844"/>
      <c r="M1844"/>
    </row>
    <row r="1845" spans="1:13" ht="12.75" customHeight="1" x14ac:dyDescent="0.25">
      <c r="A1845"/>
      <c r="B1845"/>
      <c r="C1845"/>
      <c r="M1845"/>
    </row>
    <row r="1846" spans="1:13" ht="12.75" customHeight="1" x14ac:dyDescent="0.25">
      <c r="A1846"/>
      <c r="B1846"/>
      <c r="C1846"/>
      <c r="M1846"/>
    </row>
    <row r="1847" spans="1:13" ht="12.75" customHeight="1" x14ac:dyDescent="0.25">
      <c r="A1847"/>
      <c r="B1847"/>
      <c r="C1847"/>
      <c r="M1847"/>
    </row>
    <row r="1848" spans="1:13" ht="12.75" customHeight="1" x14ac:dyDescent="0.25">
      <c r="A1848"/>
      <c r="B1848"/>
      <c r="C1848"/>
      <c r="M1848"/>
    </row>
    <row r="1849" spans="1:13" ht="12.75" customHeight="1" x14ac:dyDescent="0.25">
      <c r="A1849"/>
      <c r="B1849"/>
      <c r="C1849"/>
      <c r="M1849"/>
    </row>
    <row r="1850" spans="1:13" ht="12.75" customHeight="1" x14ac:dyDescent="0.25">
      <c r="A1850"/>
      <c r="B1850"/>
      <c r="C1850"/>
      <c r="M1850"/>
    </row>
    <row r="1851" spans="1:13" ht="12.75" customHeight="1" x14ac:dyDescent="0.25">
      <c r="A1851"/>
      <c r="B1851"/>
      <c r="C1851"/>
      <c r="M1851"/>
    </row>
    <row r="1852" spans="1:13" ht="12.75" customHeight="1" x14ac:dyDescent="0.25">
      <c r="A1852"/>
      <c r="B1852"/>
      <c r="C1852"/>
      <c r="M1852"/>
    </row>
    <row r="1853" spans="1:13" ht="12.75" customHeight="1" x14ac:dyDescent="0.25">
      <c r="A1853"/>
      <c r="B1853"/>
      <c r="C1853"/>
      <c r="M1853"/>
    </row>
    <row r="1854" spans="1:13" ht="12.75" customHeight="1" x14ac:dyDescent="0.25">
      <c r="A1854"/>
      <c r="B1854"/>
      <c r="C1854"/>
      <c r="M1854"/>
    </row>
    <row r="1855" spans="1:13" ht="12.75" customHeight="1" x14ac:dyDescent="0.25">
      <c r="A1855"/>
      <c r="B1855"/>
      <c r="C1855"/>
      <c r="M1855"/>
    </row>
    <row r="1856" spans="1:13" ht="12.75" customHeight="1" x14ac:dyDescent="0.25">
      <c r="A1856"/>
      <c r="B1856"/>
      <c r="C1856"/>
      <c r="M1856"/>
    </row>
    <row r="1857" spans="1:13" ht="12.75" customHeight="1" x14ac:dyDescent="0.25">
      <c r="A1857"/>
      <c r="B1857"/>
      <c r="C1857"/>
      <c r="M1857"/>
    </row>
    <row r="1858" spans="1:13" ht="12.75" customHeight="1" x14ac:dyDescent="0.25">
      <c r="A1858"/>
      <c r="B1858"/>
      <c r="C1858"/>
      <c r="M1858"/>
    </row>
    <row r="1859" spans="1:13" ht="12.75" customHeight="1" x14ac:dyDescent="0.25">
      <c r="A1859"/>
      <c r="B1859"/>
      <c r="C1859"/>
      <c r="M1859"/>
    </row>
    <row r="1860" spans="1:13" ht="12.75" customHeight="1" x14ac:dyDescent="0.25">
      <c r="A1860"/>
      <c r="B1860"/>
      <c r="C1860"/>
      <c r="M1860"/>
    </row>
    <row r="1861" spans="1:13" ht="12.75" customHeight="1" x14ac:dyDescent="0.25">
      <c r="A1861"/>
      <c r="B1861"/>
      <c r="C1861"/>
      <c r="M1861"/>
    </row>
    <row r="1862" spans="1:13" ht="12.75" customHeight="1" x14ac:dyDescent="0.25">
      <c r="A1862"/>
      <c r="B1862"/>
      <c r="C1862"/>
      <c r="M1862"/>
    </row>
    <row r="1863" spans="1:13" ht="12.75" customHeight="1" x14ac:dyDescent="0.25">
      <c r="A1863"/>
      <c r="B1863"/>
      <c r="C1863"/>
      <c r="M1863"/>
    </row>
    <row r="1864" spans="1:13" ht="12.75" customHeight="1" x14ac:dyDescent="0.25">
      <c r="A1864"/>
      <c r="B1864"/>
      <c r="C1864"/>
      <c r="M1864"/>
    </row>
    <row r="1865" spans="1:13" ht="12.75" customHeight="1" x14ac:dyDescent="0.25">
      <c r="A1865"/>
      <c r="B1865"/>
      <c r="C1865"/>
      <c r="M1865"/>
    </row>
    <row r="1866" spans="1:13" ht="12.75" customHeight="1" x14ac:dyDescent="0.25">
      <c r="A1866"/>
      <c r="B1866"/>
      <c r="C1866"/>
      <c r="M1866"/>
    </row>
    <row r="1867" spans="1:13" ht="12.75" customHeight="1" x14ac:dyDescent="0.25">
      <c r="A1867"/>
      <c r="B1867"/>
      <c r="C1867"/>
      <c r="M1867"/>
    </row>
    <row r="1868" spans="1:13" ht="12.75" customHeight="1" x14ac:dyDescent="0.25">
      <c r="A1868"/>
      <c r="B1868"/>
      <c r="C1868"/>
      <c r="M1868"/>
    </row>
    <row r="1869" spans="1:13" ht="12.75" customHeight="1" x14ac:dyDescent="0.25">
      <c r="A1869"/>
      <c r="B1869"/>
      <c r="C1869"/>
      <c r="M1869"/>
    </row>
    <row r="1870" spans="1:13" ht="12.75" customHeight="1" x14ac:dyDescent="0.25">
      <c r="A1870"/>
      <c r="B1870"/>
      <c r="C1870"/>
      <c r="M1870"/>
    </row>
    <row r="1871" spans="1:13" ht="12.75" customHeight="1" x14ac:dyDescent="0.25">
      <c r="A1871"/>
      <c r="B1871"/>
      <c r="C1871"/>
      <c r="M1871"/>
    </row>
    <row r="1872" spans="1:13" ht="12.75" customHeight="1" x14ac:dyDescent="0.25">
      <c r="A1872"/>
      <c r="B1872"/>
      <c r="C1872"/>
      <c r="M1872"/>
    </row>
    <row r="1873" spans="1:13" ht="12.75" customHeight="1" x14ac:dyDescent="0.25">
      <c r="A1873"/>
      <c r="B1873"/>
      <c r="C1873"/>
      <c r="M1873"/>
    </row>
    <row r="1874" spans="1:13" ht="12.75" customHeight="1" x14ac:dyDescent="0.25">
      <c r="A1874"/>
      <c r="B1874"/>
      <c r="C1874"/>
      <c r="M1874"/>
    </row>
    <row r="1875" spans="1:13" ht="12.75" customHeight="1" x14ac:dyDescent="0.25">
      <c r="A1875"/>
      <c r="B1875"/>
      <c r="C1875"/>
      <c r="M1875"/>
    </row>
    <row r="1876" spans="1:13" ht="12.75" customHeight="1" x14ac:dyDescent="0.25">
      <c r="A1876"/>
      <c r="B1876"/>
      <c r="C1876"/>
      <c r="M1876"/>
    </row>
    <row r="1877" spans="1:13" ht="12.75" customHeight="1" x14ac:dyDescent="0.25">
      <c r="A1877"/>
      <c r="B1877"/>
      <c r="C1877"/>
      <c r="M1877"/>
    </row>
    <row r="1878" spans="1:13" ht="12.75" customHeight="1" x14ac:dyDescent="0.25">
      <c r="A1878"/>
      <c r="B1878"/>
      <c r="C1878"/>
      <c r="M1878"/>
    </row>
    <row r="1879" spans="1:13" ht="12.75" customHeight="1" x14ac:dyDescent="0.25">
      <c r="A1879"/>
      <c r="B1879"/>
      <c r="C1879"/>
      <c r="M1879"/>
    </row>
    <row r="1880" spans="1:13" ht="12.75" customHeight="1" x14ac:dyDescent="0.25">
      <c r="A1880"/>
      <c r="B1880"/>
      <c r="C1880"/>
      <c r="M1880"/>
    </row>
    <row r="1881" spans="1:13" ht="12.75" customHeight="1" x14ac:dyDescent="0.25">
      <c r="A1881"/>
      <c r="B1881"/>
      <c r="C1881"/>
      <c r="M1881"/>
    </row>
    <row r="1882" spans="1:13" ht="12.75" customHeight="1" x14ac:dyDescent="0.25">
      <c r="A1882"/>
      <c r="B1882"/>
      <c r="C1882"/>
      <c r="M1882"/>
    </row>
    <row r="1883" spans="1:13" ht="12.75" customHeight="1" x14ac:dyDescent="0.25">
      <c r="A1883"/>
      <c r="B1883"/>
      <c r="C1883"/>
      <c r="M1883"/>
    </row>
    <row r="1884" spans="1:13" ht="12.75" customHeight="1" x14ac:dyDescent="0.25">
      <c r="A1884"/>
      <c r="B1884"/>
      <c r="C1884"/>
      <c r="M1884"/>
    </row>
    <row r="1885" spans="1:13" ht="12.75" customHeight="1" x14ac:dyDescent="0.25">
      <c r="A1885"/>
      <c r="B1885"/>
      <c r="C1885"/>
      <c r="M1885"/>
    </row>
    <row r="1886" spans="1:13" ht="12.75" customHeight="1" x14ac:dyDescent="0.25">
      <c r="A1886"/>
      <c r="B1886"/>
      <c r="C1886"/>
      <c r="M1886"/>
    </row>
    <row r="1887" spans="1:13" ht="12.75" customHeight="1" x14ac:dyDescent="0.25">
      <c r="A1887"/>
      <c r="B1887"/>
      <c r="C1887"/>
      <c r="M1887"/>
    </row>
    <row r="1888" spans="1:13" ht="12.75" customHeight="1" x14ac:dyDescent="0.25">
      <c r="A1888"/>
      <c r="B1888"/>
      <c r="C1888"/>
      <c r="M1888"/>
    </row>
    <row r="1889" spans="1:13" ht="12.75" customHeight="1" x14ac:dyDescent="0.25">
      <c r="A1889"/>
      <c r="B1889"/>
      <c r="C1889"/>
      <c r="M1889"/>
    </row>
    <row r="1890" spans="1:13" ht="12.75" customHeight="1" x14ac:dyDescent="0.25">
      <c r="A1890"/>
      <c r="B1890"/>
      <c r="C1890"/>
      <c r="M1890"/>
    </row>
    <row r="1891" spans="1:13" ht="12.75" customHeight="1" x14ac:dyDescent="0.25">
      <c r="A1891"/>
      <c r="B1891"/>
      <c r="C1891"/>
      <c r="M1891"/>
    </row>
    <row r="1892" spans="1:13" ht="12.75" customHeight="1" x14ac:dyDescent="0.25">
      <c r="A1892"/>
      <c r="B1892"/>
      <c r="C1892"/>
      <c r="M1892"/>
    </row>
    <row r="1893" spans="1:13" ht="12.75" customHeight="1" x14ac:dyDescent="0.25">
      <c r="A1893"/>
      <c r="B1893"/>
      <c r="C1893"/>
      <c r="M1893"/>
    </row>
    <row r="1894" spans="1:13" ht="12.75" customHeight="1" x14ac:dyDescent="0.25">
      <c r="A1894"/>
      <c r="B1894"/>
      <c r="C1894"/>
      <c r="M1894"/>
    </row>
    <row r="1895" spans="1:13" ht="12.75" customHeight="1" x14ac:dyDescent="0.25">
      <c r="A1895"/>
      <c r="B1895"/>
      <c r="C1895"/>
      <c r="M1895"/>
    </row>
    <row r="1896" spans="1:13" ht="12.75" customHeight="1" x14ac:dyDescent="0.25">
      <c r="A1896"/>
      <c r="B1896"/>
      <c r="C1896"/>
      <c r="M1896"/>
    </row>
    <row r="1897" spans="1:13" ht="12.75" customHeight="1" x14ac:dyDescent="0.25">
      <c r="A1897"/>
      <c r="B1897"/>
      <c r="C1897"/>
      <c r="M1897"/>
    </row>
    <row r="1898" spans="1:13" ht="12.75" customHeight="1" x14ac:dyDescent="0.25">
      <c r="A1898"/>
      <c r="B1898"/>
      <c r="C1898"/>
      <c r="M1898"/>
    </row>
    <row r="1899" spans="1:13" ht="12.75" customHeight="1" x14ac:dyDescent="0.25">
      <c r="A1899"/>
      <c r="B1899"/>
      <c r="C1899"/>
      <c r="M1899"/>
    </row>
    <row r="1900" spans="1:13" ht="12.75" customHeight="1" x14ac:dyDescent="0.25">
      <c r="A1900"/>
      <c r="B1900"/>
      <c r="C1900"/>
      <c r="M1900"/>
    </row>
    <row r="1901" spans="1:13" ht="12.75" customHeight="1" x14ac:dyDescent="0.25">
      <c r="A1901"/>
      <c r="B1901"/>
      <c r="C1901"/>
      <c r="M1901"/>
    </row>
    <row r="1902" spans="1:13" ht="12.75" customHeight="1" x14ac:dyDescent="0.25">
      <c r="A1902"/>
      <c r="B1902"/>
      <c r="C1902"/>
      <c r="M1902"/>
    </row>
    <row r="1903" spans="1:13" ht="12.75" customHeight="1" x14ac:dyDescent="0.25">
      <c r="A1903"/>
      <c r="B1903"/>
      <c r="C1903"/>
      <c r="M1903"/>
    </row>
    <row r="1904" spans="1:13" ht="12.75" customHeight="1" x14ac:dyDescent="0.25">
      <c r="A1904"/>
      <c r="B1904"/>
      <c r="C1904"/>
      <c r="M1904"/>
    </row>
    <row r="1905" spans="1:13" ht="12.75" customHeight="1" x14ac:dyDescent="0.25">
      <c r="A1905"/>
      <c r="B1905"/>
      <c r="C1905"/>
      <c r="M1905"/>
    </row>
    <row r="1906" spans="1:13" ht="12.75" customHeight="1" x14ac:dyDescent="0.25">
      <c r="A1906"/>
      <c r="B1906"/>
      <c r="C1906"/>
      <c r="M1906"/>
    </row>
    <row r="1907" spans="1:13" ht="12.75" customHeight="1" x14ac:dyDescent="0.25">
      <c r="A1907"/>
      <c r="B1907"/>
      <c r="C1907"/>
      <c r="M1907"/>
    </row>
    <row r="1908" spans="1:13" ht="12.75" customHeight="1" x14ac:dyDescent="0.25">
      <c r="A1908"/>
      <c r="B1908"/>
      <c r="C1908"/>
      <c r="M1908"/>
    </row>
    <row r="1909" spans="1:13" ht="12.75" customHeight="1" x14ac:dyDescent="0.25">
      <c r="A1909"/>
      <c r="B1909"/>
      <c r="C1909"/>
      <c r="M1909"/>
    </row>
    <row r="1910" spans="1:13" ht="12.75" customHeight="1" x14ac:dyDescent="0.25">
      <c r="A1910"/>
      <c r="B1910"/>
      <c r="C1910"/>
      <c r="M1910"/>
    </row>
    <row r="1911" spans="1:13" ht="12.75" customHeight="1" x14ac:dyDescent="0.25">
      <c r="A1911"/>
      <c r="B1911"/>
      <c r="C1911"/>
      <c r="M1911"/>
    </row>
    <row r="1912" spans="1:13" ht="12.75" customHeight="1" x14ac:dyDescent="0.25">
      <c r="A1912"/>
      <c r="B1912"/>
      <c r="C1912"/>
      <c r="M1912"/>
    </row>
    <row r="1913" spans="1:13" ht="12.75" customHeight="1" x14ac:dyDescent="0.25">
      <c r="A1913"/>
      <c r="B1913"/>
      <c r="C1913"/>
      <c r="M1913"/>
    </row>
    <row r="1914" spans="1:13" ht="12.75" customHeight="1" x14ac:dyDescent="0.25">
      <c r="A1914"/>
      <c r="B1914"/>
      <c r="C1914"/>
      <c r="M1914"/>
    </row>
    <row r="1915" spans="1:13" ht="12.75" customHeight="1" x14ac:dyDescent="0.25">
      <c r="A1915"/>
      <c r="B1915"/>
      <c r="C1915"/>
      <c r="M1915"/>
    </row>
    <row r="1916" spans="1:13" ht="12.75" customHeight="1" x14ac:dyDescent="0.25">
      <c r="A1916"/>
      <c r="B1916"/>
      <c r="C1916"/>
      <c r="M1916"/>
    </row>
    <row r="1917" spans="1:13" ht="12.75" customHeight="1" x14ac:dyDescent="0.25">
      <c r="A1917"/>
      <c r="B1917"/>
      <c r="C1917"/>
      <c r="M1917"/>
    </row>
    <row r="1918" spans="1:13" ht="12.75" customHeight="1" x14ac:dyDescent="0.25">
      <c r="A1918"/>
      <c r="B1918"/>
      <c r="C1918"/>
      <c r="M1918"/>
    </row>
    <row r="1919" spans="1:13" ht="12.75" customHeight="1" x14ac:dyDescent="0.25">
      <c r="A1919"/>
      <c r="B1919"/>
      <c r="C1919"/>
      <c r="M1919"/>
    </row>
    <row r="1920" spans="1:13" ht="12.75" customHeight="1" x14ac:dyDescent="0.25">
      <c r="A1920"/>
      <c r="B1920"/>
      <c r="C1920"/>
      <c r="M1920"/>
    </row>
    <row r="1921" spans="1:13" ht="12.75" customHeight="1" x14ac:dyDescent="0.25">
      <c r="A1921"/>
      <c r="B1921"/>
      <c r="C1921"/>
      <c r="M1921"/>
    </row>
    <row r="1922" spans="1:13" ht="12.75" customHeight="1" x14ac:dyDescent="0.25">
      <c r="A1922"/>
      <c r="B1922"/>
      <c r="C1922"/>
      <c r="M1922"/>
    </row>
    <row r="1923" spans="1:13" ht="12.75" customHeight="1" x14ac:dyDescent="0.25">
      <c r="A1923"/>
      <c r="B1923"/>
      <c r="C1923"/>
      <c r="M1923"/>
    </row>
    <row r="1924" spans="1:13" ht="12.75" customHeight="1" x14ac:dyDescent="0.25">
      <c r="A1924"/>
      <c r="B1924"/>
      <c r="C1924"/>
      <c r="M1924"/>
    </row>
    <row r="1925" spans="1:13" ht="12.75" customHeight="1" x14ac:dyDescent="0.25">
      <c r="A1925"/>
      <c r="B1925"/>
      <c r="C1925"/>
      <c r="M1925"/>
    </row>
    <row r="1926" spans="1:13" ht="12.75" customHeight="1" x14ac:dyDescent="0.25">
      <c r="A1926"/>
      <c r="B1926"/>
      <c r="C1926"/>
      <c r="M1926"/>
    </row>
    <row r="1927" spans="1:13" ht="12.75" customHeight="1" x14ac:dyDescent="0.25">
      <c r="A1927"/>
      <c r="B1927"/>
      <c r="C1927"/>
      <c r="M1927"/>
    </row>
    <row r="1928" spans="1:13" ht="12.75" customHeight="1" x14ac:dyDescent="0.25">
      <c r="A1928"/>
      <c r="B1928"/>
      <c r="C1928"/>
      <c r="M1928"/>
    </row>
    <row r="1929" spans="1:13" ht="12.75" customHeight="1" x14ac:dyDescent="0.25">
      <c r="A1929"/>
      <c r="B1929"/>
      <c r="C1929"/>
      <c r="M1929"/>
    </row>
    <row r="1930" spans="1:13" ht="12.75" customHeight="1" x14ac:dyDescent="0.25">
      <c r="A1930"/>
      <c r="B1930"/>
      <c r="C1930"/>
      <c r="M1930"/>
    </row>
    <row r="1931" spans="1:13" ht="12.75" customHeight="1" x14ac:dyDescent="0.25">
      <c r="A1931"/>
      <c r="B1931"/>
      <c r="C1931"/>
      <c r="M1931"/>
    </row>
    <row r="1932" spans="1:13" ht="12.75" customHeight="1" x14ac:dyDescent="0.25">
      <c r="A1932"/>
      <c r="B1932"/>
      <c r="C1932"/>
      <c r="M1932"/>
    </row>
    <row r="1933" spans="1:13" ht="12.75" customHeight="1" x14ac:dyDescent="0.25">
      <c r="A1933"/>
      <c r="B1933"/>
      <c r="C1933"/>
      <c r="M1933"/>
    </row>
    <row r="1934" spans="1:13" ht="12.75" customHeight="1" x14ac:dyDescent="0.25">
      <c r="A1934"/>
      <c r="B1934"/>
      <c r="C1934"/>
      <c r="M1934"/>
    </row>
    <row r="1935" spans="1:13" ht="12.75" customHeight="1" x14ac:dyDescent="0.25">
      <c r="A1935"/>
      <c r="B1935"/>
      <c r="C1935"/>
      <c r="M1935"/>
    </row>
    <row r="1936" spans="1:13" ht="12.75" customHeight="1" x14ac:dyDescent="0.25">
      <c r="A1936"/>
      <c r="B1936"/>
      <c r="C1936"/>
      <c r="M1936"/>
    </row>
    <row r="1937" spans="1:13" ht="12.75" customHeight="1" x14ac:dyDescent="0.25">
      <c r="A1937"/>
      <c r="B1937"/>
      <c r="C1937"/>
      <c r="M1937"/>
    </row>
    <row r="1938" spans="1:13" ht="12.75" customHeight="1" x14ac:dyDescent="0.25">
      <c r="A1938"/>
      <c r="B1938"/>
      <c r="C1938"/>
      <c r="M1938"/>
    </row>
    <row r="1939" spans="1:13" ht="12.75" customHeight="1" x14ac:dyDescent="0.25">
      <c r="A1939"/>
      <c r="B1939"/>
      <c r="C1939"/>
      <c r="M1939"/>
    </row>
    <row r="1940" spans="1:13" ht="12.75" customHeight="1" x14ac:dyDescent="0.25">
      <c r="A1940"/>
      <c r="B1940"/>
      <c r="C1940"/>
      <c r="M1940"/>
    </row>
    <row r="1941" spans="1:13" ht="12.75" customHeight="1" x14ac:dyDescent="0.25">
      <c r="A1941"/>
      <c r="B1941"/>
      <c r="C1941"/>
      <c r="M1941"/>
    </row>
    <row r="1942" spans="1:13" ht="12.75" customHeight="1" x14ac:dyDescent="0.25">
      <c r="A1942"/>
      <c r="B1942"/>
      <c r="C1942"/>
      <c r="M1942"/>
    </row>
    <row r="1943" spans="1:13" ht="12.75" customHeight="1" x14ac:dyDescent="0.25">
      <c r="A1943"/>
      <c r="B1943"/>
      <c r="C1943"/>
      <c r="M1943"/>
    </row>
    <row r="1944" spans="1:13" ht="12.75" customHeight="1" x14ac:dyDescent="0.25">
      <c r="A1944"/>
      <c r="B1944"/>
      <c r="C1944"/>
      <c r="M1944"/>
    </row>
    <row r="1945" spans="1:13" ht="12.75" customHeight="1" x14ac:dyDescent="0.25">
      <c r="A1945"/>
      <c r="B1945"/>
      <c r="C1945"/>
      <c r="M1945"/>
    </row>
    <row r="1946" spans="1:13" ht="12.75" customHeight="1" x14ac:dyDescent="0.25">
      <c r="A1946"/>
      <c r="B1946"/>
      <c r="C1946"/>
      <c r="M1946"/>
    </row>
    <row r="1947" spans="1:13" ht="12.75" customHeight="1" x14ac:dyDescent="0.25">
      <c r="A1947"/>
      <c r="B1947"/>
      <c r="C1947"/>
      <c r="M1947"/>
    </row>
    <row r="1948" spans="1:13" ht="12.75" customHeight="1" x14ac:dyDescent="0.25">
      <c r="A1948"/>
      <c r="B1948"/>
      <c r="C1948"/>
      <c r="M1948"/>
    </row>
    <row r="1949" spans="1:13" ht="12.75" customHeight="1" x14ac:dyDescent="0.25">
      <c r="A1949"/>
      <c r="B1949"/>
      <c r="C1949"/>
      <c r="M1949"/>
    </row>
    <row r="1950" spans="1:13" ht="12.75" customHeight="1" x14ac:dyDescent="0.25">
      <c r="A1950"/>
      <c r="B1950"/>
      <c r="C1950"/>
      <c r="M1950"/>
    </row>
    <row r="1951" spans="1:13" ht="12.75" customHeight="1" x14ac:dyDescent="0.25">
      <c r="A1951"/>
      <c r="B1951"/>
      <c r="C1951"/>
      <c r="M1951"/>
    </row>
    <row r="1952" spans="1:13" ht="12.75" customHeight="1" x14ac:dyDescent="0.25">
      <c r="A1952"/>
      <c r="B1952"/>
      <c r="C1952"/>
      <c r="M1952"/>
    </row>
    <row r="1953" spans="1:13" ht="12.75" customHeight="1" x14ac:dyDescent="0.25">
      <c r="A1953"/>
      <c r="B1953"/>
      <c r="C1953"/>
      <c r="M1953"/>
    </row>
    <row r="1954" spans="1:13" ht="12.75" customHeight="1" x14ac:dyDescent="0.25">
      <c r="A1954"/>
      <c r="B1954"/>
      <c r="C1954"/>
      <c r="M1954"/>
    </row>
    <row r="1955" spans="1:13" ht="12.75" customHeight="1" x14ac:dyDescent="0.25">
      <c r="A1955"/>
      <c r="B1955"/>
      <c r="C1955"/>
      <c r="M1955"/>
    </row>
    <row r="1956" spans="1:13" ht="12.75" customHeight="1" x14ac:dyDescent="0.25">
      <c r="A1956"/>
      <c r="B1956"/>
      <c r="C1956"/>
      <c r="M1956"/>
    </row>
    <row r="1957" spans="1:13" ht="12.75" customHeight="1" x14ac:dyDescent="0.25">
      <c r="A1957"/>
      <c r="B1957"/>
      <c r="C1957"/>
      <c r="M1957"/>
    </row>
    <row r="1958" spans="1:13" ht="12.75" customHeight="1" x14ac:dyDescent="0.25">
      <c r="A1958"/>
      <c r="B1958"/>
      <c r="C1958"/>
      <c r="M1958"/>
    </row>
    <row r="1959" spans="1:13" ht="12.75" customHeight="1" x14ac:dyDescent="0.25">
      <c r="A1959"/>
      <c r="B1959"/>
      <c r="C1959"/>
      <c r="M1959"/>
    </row>
    <row r="1960" spans="1:13" ht="12.75" customHeight="1" x14ac:dyDescent="0.25">
      <c r="A1960"/>
      <c r="B1960"/>
      <c r="C1960"/>
      <c r="M1960"/>
    </row>
    <row r="1961" spans="1:13" ht="12.75" customHeight="1" x14ac:dyDescent="0.25">
      <c r="A1961"/>
      <c r="B1961"/>
      <c r="C1961"/>
      <c r="M1961"/>
    </row>
    <row r="1962" spans="1:13" ht="12.75" customHeight="1" x14ac:dyDescent="0.25">
      <c r="A1962"/>
      <c r="B1962"/>
      <c r="C1962"/>
      <c r="M1962"/>
    </row>
    <row r="1963" spans="1:13" ht="12.75" customHeight="1" x14ac:dyDescent="0.25">
      <c r="A1963"/>
      <c r="B1963"/>
      <c r="C1963"/>
      <c r="M1963"/>
    </row>
    <row r="1964" spans="1:13" ht="12.75" customHeight="1" x14ac:dyDescent="0.25">
      <c r="A1964"/>
      <c r="B1964"/>
      <c r="C1964"/>
      <c r="M1964"/>
    </row>
    <row r="1965" spans="1:13" ht="12.75" customHeight="1" x14ac:dyDescent="0.25">
      <c r="A1965"/>
      <c r="B1965"/>
      <c r="C1965"/>
      <c r="M1965"/>
    </row>
    <row r="1966" spans="1:13" ht="12.75" customHeight="1" x14ac:dyDescent="0.25">
      <c r="A1966"/>
      <c r="B1966"/>
      <c r="C1966"/>
      <c r="M1966"/>
    </row>
    <row r="1967" spans="1:13" ht="12.75" customHeight="1" x14ac:dyDescent="0.25">
      <c r="A1967"/>
      <c r="B1967"/>
      <c r="C1967"/>
      <c r="M1967"/>
    </row>
    <row r="1968" spans="1:13" ht="12.75" customHeight="1" x14ac:dyDescent="0.25">
      <c r="A1968"/>
      <c r="B1968"/>
      <c r="C1968"/>
      <c r="M1968"/>
    </row>
    <row r="1969" spans="1:13" ht="12.75" customHeight="1" x14ac:dyDescent="0.25">
      <c r="A1969"/>
      <c r="B1969"/>
      <c r="C1969"/>
      <c r="M1969"/>
    </row>
    <row r="1970" spans="1:13" ht="12.75" customHeight="1" x14ac:dyDescent="0.25">
      <c r="A1970"/>
      <c r="B1970"/>
      <c r="C1970"/>
      <c r="M1970"/>
    </row>
    <row r="1971" spans="1:13" ht="12.75" customHeight="1" x14ac:dyDescent="0.25">
      <c r="A1971"/>
      <c r="B1971"/>
      <c r="C1971"/>
      <c r="M1971"/>
    </row>
    <row r="1972" spans="1:13" ht="12.75" customHeight="1" x14ac:dyDescent="0.25">
      <c r="A1972"/>
      <c r="B1972"/>
      <c r="C1972"/>
      <c r="M1972"/>
    </row>
    <row r="1973" spans="1:13" ht="12.75" customHeight="1" x14ac:dyDescent="0.25">
      <c r="A1973"/>
      <c r="B1973"/>
      <c r="C1973"/>
      <c r="M1973"/>
    </row>
    <row r="1974" spans="1:13" ht="12.75" customHeight="1" x14ac:dyDescent="0.25">
      <c r="A1974"/>
      <c r="B1974"/>
      <c r="C1974"/>
      <c r="M1974"/>
    </row>
    <row r="1975" spans="1:13" ht="12.75" customHeight="1" x14ac:dyDescent="0.25">
      <c r="A1975"/>
      <c r="B1975"/>
      <c r="C1975"/>
      <c r="M1975"/>
    </row>
    <row r="1976" spans="1:13" ht="12.75" customHeight="1" x14ac:dyDescent="0.25">
      <c r="A1976"/>
      <c r="B1976"/>
      <c r="C1976"/>
      <c r="M1976"/>
    </row>
    <row r="1977" spans="1:13" ht="12.75" customHeight="1" x14ac:dyDescent="0.25">
      <c r="A1977"/>
      <c r="B1977"/>
      <c r="C1977"/>
      <c r="M1977"/>
    </row>
    <row r="1978" spans="1:13" ht="12.75" customHeight="1" x14ac:dyDescent="0.25">
      <c r="A1978"/>
      <c r="B1978"/>
      <c r="C1978"/>
      <c r="M1978"/>
    </row>
    <row r="1979" spans="1:13" ht="12.75" customHeight="1" x14ac:dyDescent="0.25">
      <c r="A1979"/>
      <c r="B1979"/>
      <c r="C1979"/>
      <c r="M1979"/>
    </row>
    <row r="1980" spans="1:13" ht="12.75" customHeight="1" x14ac:dyDescent="0.25">
      <c r="A1980"/>
      <c r="B1980"/>
      <c r="C1980"/>
      <c r="M1980"/>
    </row>
    <row r="1981" spans="1:13" ht="12.75" customHeight="1" x14ac:dyDescent="0.25">
      <c r="A1981"/>
      <c r="B1981"/>
      <c r="C1981"/>
      <c r="M1981"/>
    </row>
    <row r="1982" spans="1:13" ht="12.75" customHeight="1" x14ac:dyDescent="0.25">
      <c r="A1982"/>
      <c r="B1982"/>
      <c r="C1982"/>
      <c r="M1982"/>
    </row>
    <row r="1983" spans="1:13" ht="12.75" customHeight="1" x14ac:dyDescent="0.25">
      <c r="A1983"/>
      <c r="B1983"/>
      <c r="C1983"/>
      <c r="M1983"/>
    </row>
    <row r="1984" spans="1:13" ht="12.75" customHeight="1" x14ac:dyDescent="0.25">
      <c r="A1984"/>
      <c r="B1984"/>
      <c r="C1984"/>
      <c r="M1984"/>
    </row>
    <row r="1985" spans="1:13" ht="12.75" customHeight="1" x14ac:dyDescent="0.25">
      <c r="A1985"/>
      <c r="B1985"/>
      <c r="C1985"/>
      <c r="M1985"/>
    </row>
    <row r="1986" spans="1:13" ht="12.75" customHeight="1" x14ac:dyDescent="0.25">
      <c r="A1986"/>
      <c r="B1986"/>
      <c r="C1986"/>
      <c r="M1986"/>
    </row>
    <row r="1987" spans="1:13" ht="12.75" customHeight="1" x14ac:dyDescent="0.25">
      <c r="A1987"/>
      <c r="B1987"/>
      <c r="C1987"/>
      <c r="M1987"/>
    </row>
    <row r="1988" spans="1:13" ht="12.75" customHeight="1" x14ac:dyDescent="0.25">
      <c r="A1988"/>
      <c r="B1988"/>
      <c r="C1988"/>
      <c r="M1988"/>
    </row>
    <row r="1989" spans="1:13" ht="12.75" customHeight="1" x14ac:dyDescent="0.25">
      <c r="A1989"/>
      <c r="B1989"/>
      <c r="C1989"/>
      <c r="M1989"/>
    </row>
    <row r="1990" spans="1:13" ht="12.75" customHeight="1" x14ac:dyDescent="0.25">
      <c r="A1990"/>
      <c r="B1990"/>
      <c r="C1990"/>
      <c r="M1990"/>
    </row>
    <row r="1991" spans="1:13" ht="12.75" customHeight="1" x14ac:dyDescent="0.25">
      <c r="A1991"/>
      <c r="B1991"/>
      <c r="C1991"/>
      <c r="M1991"/>
    </row>
    <row r="1992" spans="1:13" ht="12.75" customHeight="1" x14ac:dyDescent="0.25">
      <c r="A1992"/>
      <c r="B1992"/>
      <c r="C1992"/>
      <c r="M1992"/>
    </row>
    <row r="1993" spans="1:13" ht="12.75" customHeight="1" x14ac:dyDescent="0.25">
      <c r="A1993"/>
      <c r="B1993"/>
      <c r="C1993"/>
      <c r="M1993"/>
    </row>
    <row r="1994" spans="1:13" ht="12.75" customHeight="1" x14ac:dyDescent="0.25">
      <c r="A1994"/>
      <c r="B1994"/>
      <c r="C1994"/>
      <c r="M1994"/>
    </row>
    <row r="1995" spans="1:13" ht="12.75" customHeight="1" x14ac:dyDescent="0.25">
      <c r="A1995"/>
      <c r="B1995"/>
      <c r="C1995"/>
      <c r="M1995"/>
    </row>
    <row r="1996" spans="1:13" ht="12.75" customHeight="1" x14ac:dyDescent="0.25">
      <c r="A1996"/>
      <c r="B1996"/>
      <c r="C1996"/>
      <c r="M1996"/>
    </row>
    <row r="1997" spans="1:13" ht="12.75" customHeight="1" x14ac:dyDescent="0.25">
      <c r="A1997"/>
      <c r="B1997"/>
      <c r="C1997"/>
      <c r="M1997"/>
    </row>
    <row r="1998" spans="1:13" ht="12.75" customHeight="1" x14ac:dyDescent="0.25">
      <c r="A1998"/>
      <c r="B1998"/>
      <c r="C1998"/>
      <c r="M1998"/>
    </row>
    <row r="1999" spans="1:13" ht="12.75" customHeight="1" x14ac:dyDescent="0.25">
      <c r="A1999"/>
      <c r="B1999"/>
      <c r="C1999"/>
      <c r="M1999"/>
    </row>
    <row r="2000" spans="1:13" ht="12.75" customHeight="1" x14ac:dyDescent="0.25">
      <c r="A2000"/>
      <c r="B2000"/>
      <c r="C2000"/>
      <c r="M2000"/>
    </row>
    <row r="2001" spans="1:13" ht="12.75" customHeight="1" x14ac:dyDescent="0.25">
      <c r="A2001"/>
      <c r="B2001"/>
      <c r="C2001"/>
      <c r="M2001"/>
    </row>
    <row r="2002" spans="1:13" ht="12.75" customHeight="1" x14ac:dyDescent="0.25">
      <c r="A2002"/>
      <c r="B2002"/>
      <c r="C2002"/>
      <c r="M2002"/>
    </row>
    <row r="2003" spans="1:13" ht="12.75" customHeight="1" x14ac:dyDescent="0.25">
      <c r="A2003"/>
      <c r="B2003"/>
      <c r="C2003"/>
      <c r="M2003"/>
    </row>
    <row r="2004" spans="1:13" ht="12.75" customHeight="1" x14ac:dyDescent="0.25">
      <c r="A2004"/>
      <c r="B2004"/>
      <c r="C2004"/>
      <c r="M2004"/>
    </row>
    <row r="2005" spans="1:13" ht="12.75" customHeight="1" x14ac:dyDescent="0.25">
      <c r="A2005"/>
      <c r="B2005"/>
      <c r="C2005"/>
      <c r="M2005"/>
    </row>
    <row r="2006" spans="1:13" ht="12.75" customHeight="1" x14ac:dyDescent="0.25">
      <c r="A2006"/>
      <c r="B2006"/>
      <c r="C2006"/>
      <c r="M2006"/>
    </row>
    <row r="2007" spans="1:13" ht="12.75" customHeight="1" x14ac:dyDescent="0.25">
      <c r="A2007"/>
      <c r="B2007"/>
      <c r="C2007"/>
      <c r="M2007"/>
    </row>
    <row r="2008" spans="1:13" ht="12.75" customHeight="1" x14ac:dyDescent="0.25">
      <c r="A2008"/>
      <c r="B2008"/>
      <c r="C2008"/>
      <c r="M2008"/>
    </row>
    <row r="2009" spans="1:13" ht="12.75" customHeight="1" x14ac:dyDescent="0.25">
      <c r="A2009"/>
      <c r="B2009"/>
      <c r="C2009"/>
      <c r="M2009"/>
    </row>
    <row r="2010" spans="1:13" ht="12.75" customHeight="1" x14ac:dyDescent="0.25">
      <c r="A2010"/>
      <c r="B2010"/>
      <c r="C2010"/>
      <c r="M2010"/>
    </row>
    <row r="2011" spans="1:13" ht="12.75" customHeight="1" x14ac:dyDescent="0.25">
      <c r="A2011"/>
      <c r="B2011"/>
      <c r="C2011"/>
      <c r="M2011"/>
    </row>
    <row r="2012" spans="1:13" ht="12.75" customHeight="1" x14ac:dyDescent="0.25">
      <c r="A2012"/>
      <c r="B2012"/>
      <c r="C2012"/>
      <c r="M2012"/>
    </row>
    <row r="2013" spans="1:13" ht="12.75" customHeight="1" x14ac:dyDescent="0.25">
      <c r="A2013"/>
      <c r="B2013"/>
      <c r="C2013"/>
      <c r="M2013"/>
    </row>
    <row r="2014" spans="1:13" ht="12.75" customHeight="1" x14ac:dyDescent="0.25">
      <c r="A2014"/>
      <c r="B2014"/>
      <c r="C2014"/>
      <c r="M2014"/>
    </row>
    <row r="2015" spans="1:13" ht="12.75" customHeight="1" x14ac:dyDescent="0.25">
      <c r="A2015"/>
      <c r="B2015"/>
      <c r="C2015"/>
      <c r="M2015"/>
    </row>
    <row r="2016" spans="1:13" ht="12.75" customHeight="1" x14ac:dyDescent="0.25">
      <c r="A2016"/>
      <c r="B2016"/>
      <c r="C2016"/>
      <c r="M2016"/>
    </row>
    <row r="2017" spans="1:13" ht="12.75" customHeight="1" x14ac:dyDescent="0.25">
      <c r="A2017"/>
      <c r="B2017"/>
      <c r="C2017"/>
      <c r="M2017"/>
    </row>
    <row r="2018" spans="1:13" ht="12.75" customHeight="1" x14ac:dyDescent="0.25">
      <c r="A2018"/>
      <c r="B2018"/>
      <c r="C2018"/>
      <c r="M2018"/>
    </row>
    <row r="2019" spans="1:13" ht="12.75" customHeight="1" x14ac:dyDescent="0.25">
      <c r="A2019"/>
      <c r="B2019"/>
      <c r="C2019"/>
      <c r="M2019"/>
    </row>
    <row r="2020" spans="1:13" ht="12.75" customHeight="1" x14ac:dyDescent="0.25">
      <c r="A2020"/>
      <c r="B2020"/>
      <c r="C2020"/>
      <c r="M2020"/>
    </row>
    <row r="2021" spans="1:13" ht="12.75" customHeight="1" x14ac:dyDescent="0.25">
      <c r="A2021"/>
      <c r="B2021"/>
      <c r="C2021"/>
      <c r="M2021"/>
    </row>
    <row r="2022" spans="1:13" ht="12.75" customHeight="1" x14ac:dyDescent="0.25">
      <c r="A2022"/>
      <c r="B2022"/>
      <c r="C2022"/>
      <c r="M2022"/>
    </row>
    <row r="2023" spans="1:13" ht="12.75" customHeight="1" x14ac:dyDescent="0.25">
      <c r="A2023"/>
      <c r="B2023"/>
      <c r="C2023"/>
      <c r="M2023"/>
    </row>
    <row r="2024" spans="1:13" ht="12.75" customHeight="1" x14ac:dyDescent="0.25">
      <c r="A2024"/>
      <c r="B2024"/>
      <c r="C2024"/>
      <c r="M2024"/>
    </row>
    <row r="2025" spans="1:13" ht="12.75" customHeight="1" x14ac:dyDescent="0.25">
      <c r="A2025"/>
      <c r="B2025"/>
      <c r="C2025"/>
      <c r="M2025"/>
    </row>
    <row r="2026" spans="1:13" ht="12.75" customHeight="1" x14ac:dyDescent="0.25">
      <c r="A2026"/>
      <c r="B2026"/>
      <c r="C2026"/>
      <c r="M2026"/>
    </row>
    <row r="2027" spans="1:13" ht="12.75" customHeight="1" x14ac:dyDescent="0.25">
      <c r="A2027"/>
      <c r="B2027"/>
      <c r="C2027"/>
      <c r="M2027"/>
    </row>
    <row r="2028" spans="1:13" ht="12.75" customHeight="1" x14ac:dyDescent="0.25">
      <c r="A2028"/>
      <c r="B2028"/>
      <c r="C2028"/>
      <c r="M2028"/>
    </row>
    <row r="2029" spans="1:13" ht="12.75" customHeight="1" x14ac:dyDescent="0.25">
      <c r="A2029"/>
      <c r="B2029"/>
      <c r="C2029"/>
      <c r="M2029"/>
    </row>
    <row r="2030" spans="1:13" ht="12.75" customHeight="1" x14ac:dyDescent="0.25">
      <c r="A2030"/>
      <c r="B2030"/>
      <c r="C2030"/>
      <c r="M2030"/>
    </row>
    <row r="2031" spans="1:13" ht="12.75" customHeight="1" x14ac:dyDescent="0.25">
      <c r="A2031"/>
      <c r="B2031"/>
      <c r="C2031"/>
      <c r="M2031"/>
    </row>
    <row r="2032" spans="1:13" ht="12.75" customHeight="1" x14ac:dyDescent="0.25">
      <c r="A2032"/>
      <c r="B2032"/>
      <c r="C2032"/>
      <c r="M2032"/>
    </row>
    <row r="2033" spans="1:13" ht="12.75" customHeight="1" x14ac:dyDescent="0.25">
      <c r="A2033"/>
      <c r="B2033"/>
      <c r="C2033"/>
      <c r="M2033"/>
    </row>
    <row r="2034" spans="1:13" ht="12.75" customHeight="1" x14ac:dyDescent="0.25">
      <c r="A2034"/>
      <c r="B2034"/>
      <c r="C2034"/>
      <c r="M2034"/>
    </row>
    <row r="2035" spans="1:13" ht="12.75" customHeight="1" x14ac:dyDescent="0.25">
      <c r="A2035"/>
      <c r="B2035"/>
      <c r="C2035"/>
      <c r="M2035"/>
    </row>
    <row r="2036" spans="1:13" ht="12.75" customHeight="1" x14ac:dyDescent="0.25">
      <c r="A2036"/>
      <c r="B2036"/>
      <c r="C2036"/>
      <c r="M2036"/>
    </row>
    <row r="2037" spans="1:13" ht="12.75" customHeight="1" x14ac:dyDescent="0.25">
      <c r="A2037"/>
      <c r="B2037"/>
      <c r="C2037"/>
      <c r="M2037"/>
    </row>
    <row r="2038" spans="1:13" ht="12.75" customHeight="1" x14ac:dyDescent="0.25">
      <c r="A2038"/>
      <c r="B2038"/>
      <c r="C2038"/>
      <c r="M2038"/>
    </row>
    <row r="2039" spans="1:13" ht="12.75" customHeight="1" x14ac:dyDescent="0.25">
      <c r="A2039"/>
      <c r="B2039"/>
      <c r="C2039"/>
      <c r="M2039"/>
    </row>
    <row r="2040" spans="1:13" ht="12.75" customHeight="1" x14ac:dyDescent="0.25">
      <c r="A2040"/>
      <c r="B2040"/>
      <c r="C2040"/>
      <c r="M2040"/>
    </row>
    <row r="2041" spans="1:13" ht="12.75" customHeight="1" x14ac:dyDescent="0.25">
      <c r="A2041"/>
      <c r="B2041"/>
      <c r="C2041"/>
      <c r="M2041"/>
    </row>
    <row r="2042" spans="1:13" ht="12.75" customHeight="1" x14ac:dyDescent="0.25">
      <c r="A2042"/>
      <c r="B2042"/>
      <c r="C2042"/>
      <c r="M2042"/>
    </row>
    <row r="2043" spans="1:13" ht="12.75" customHeight="1" x14ac:dyDescent="0.25">
      <c r="A2043"/>
      <c r="B2043"/>
      <c r="C2043"/>
      <c r="M2043"/>
    </row>
    <row r="2044" spans="1:13" ht="12.75" customHeight="1" x14ac:dyDescent="0.25">
      <c r="A2044"/>
      <c r="B2044"/>
      <c r="C2044"/>
      <c r="M2044"/>
    </row>
    <row r="2045" spans="1:13" ht="12.75" customHeight="1" x14ac:dyDescent="0.25">
      <c r="A2045"/>
      <c r="B2045"/>
      <c r="C2045"/>
      <c r="M2045"/>
    </row>
    <row r="2046" spans="1:13" ht="12.75" customHeight="1" x14ac:dyDescent="0.25">
      <c r="A2046"/>
      <c r="B2046"/>
      <c r="C2046"/>
      <c r="M2046"/>
    </row>
    <row r="2047" spans="1:13" ht="12.75" customHeight="1" x14ac:dyDescent="0.25">
      <c r="A2047"/>
      <c r="B2047"/>
      <c r="C2047"/>
      <c r="M2047"/>
    </row>
    <row r="2048" spans="1:13" ht="12.75" customHeight="1" x14ac:dyDescent="0.25">
      <c r="A2048"/>
      <c r="B2048"/>
      <c r="C2048"/>
      <c r="M2048"/>
    </row>
    <row r="2049" spans="1:13" ht="12.75" customHeight="1" x14ac:dyDescent="0.25">
      <c r="A2049"/>
      <c r="B2049"/>
      <c r="C2049"/>
      <c r="M2049"/>
    </row>
    <row r="2050" spans="1:13" ht="12.75" customHeight="1" x14ac:dyDescent="0.25">
      <c r="A2050"/>
      <c r="B2050"/>
      <c r="C2050"/>
      <c r="M2050"/>
    </row>
    <row r="2051" spans="1:13" ht="12.75" customHeight="1" x14ac:dyDescent="0.25">
      <c r="A2051"/>
      <c r="B2051"/>
      <c r="C2051"/>
      <c r="M2051"/>
    </row>
    <row r="2052" spans="1:13" ht="12.75" customHeight="1" x14ac:dyDescent="0.25">
      <c r="A2052"/>
      <c r="B2052"/>
      <c r="C2052"/>
      <c r="M2052"/>
    </row>
    <row r="2053" spans="1:13" ht="12.75" customHeight="1" x14ac:dyDescent="0.25">
      <c r="A2053"/>
      <c r="B2053"/>
      <c r="C2053"/>
      <c r="M2053"/>
    </row>
    <row r="2054" spans="1:13" ht="12.75" customHeight="1" x14ac:dyDescent="0.25">
      <c r="A2054"/>
      <c r="B2054"/>
      <c r="C2054"/>
      <c r="M2054"/>
    </row>
    <row r="2055" spans="1:13" ht="12.75" customHeight="1" x14ac:dyDescent="0.25">
      <c r="A2055"/>
      <c r="B2055"/>
      <c r="C2055"/>
      <c r="M2055"/>
    </row>
    <row r="2056" spans="1:13" ht="12.75" customHeight="1" x14ac:dyDescent="0.25">
      <c r="A2056"/>
      <c r="B2056"/>
      <c r="C2056"/>
      <c r="M2056"/>
    </row>
    <row r="2057" spans="1:13" ht="12.75" customHeight="1" x14ac:dyDescent="0.25">
      <c r="A2057"/>
      <c r="B2057"/>
      <c r="C2057"/>
      <c r="M2057"/>
    </row>
    <row r="2058" spans="1:13" ht="12.75" customHeight="1" x14ac:dyDescent="0.25">
      <c r="A2058"/>
      <c r="B2058"/>
      <c r="C2058"/>
      <c r="M2058"/>
    </row>
    <row r="2059" spans="1:13" ht="12.75" customHeight="1" x14ac:dyDescent="0.25">
      <c r="A2059"/>
      <c r="B2059"/>
      <c r="C2059"/>
      <c r="M2059"/>
    </row>
    <row r="2060" spans="1:13" ht="12.75" customHeight="1" x14ac:dyDescent="0.25">
      <c r="A2060"/>
      <c r="B2060"/>
      <c r="C2060"/>
      <c r="M2060"/>
    </row>
    <row r="2061" spans="1:13" ht="12.75" customHeight="1" x14ac:dyDescent="0.25">
      <c r="A2061"/>
      <c r="B2061"/>
      <c r="C2061"/>
      <c r="M2061"/>
    </row>
    <row r="2062" spans="1:13" ht="12.75" customHeight="1" x14ac:dyDescent="0.25">
      <c r="A2062"/>
      <c r="B2062"/>
      <c r="C2062"/>
      <c r="M2062"/>
    </row>
    <row r="2063" spans="1:13" ht="12.75" customHeight="1" x14ac:dyDescent="0.25">
      <c r="A2063"/>
      <c r="B2063"/>
      <c r="C2063"/>
      <c r="M2063"/>
    </row>
    <row r="2064" spans="1:13" ht="12.75" customHeight="1" x14ac:dyDescent="0.25">
      <c r="A2064"/>
      <c r="B2064"/>
      <c r="C2064"/>
      <c r="M2064"/>
    </row>
    <row r="2065" spans="1:13" ht="12.75" customHeight="1" x14ac:dyDescent="0.25">
      <c r="A2065"/>
      <c r="B2065"/>
      <c r="C2065"/>
      <c r="M2065"/>
    </row>
    <row r="2066" spans="1:13" ht="12.75" customHeight="1" x14ac:dyDescent="0.25">
      <c r="A2066"/>
      <c r="B2066"/>
      <c r="C2066"/>
      <c r="M2066"/>
    </row>
    <row r="2067" spans="1:13" ht="12.75" customHeight="1" x14ac:dyDescent="0.25">
      <c r="A2067"/>
      <c r="B2067"/>
      <c r="C2067"/>
      <c r="M2067"/>
    </row>
    <row r="2068" spans="1:13" ht="12.75" customHeight="1" x14ac:dyDescent="0.25">
      <c r="A2068"/>
      <c r="B2068"/>
      <c r="C2068"/>
      <c r="M2068"/>
    </row>
    <row r="2069" spans="1:13" ht="12.75" customHeight="1" x14ac:dyDescent="0.25">
      <c r="A2069"/>
      <c r="B2069"/>
      <c r="C2069"/>
      <c r="M2069"/>
    </row>
    <row r="2070" spans="1:13" ht="12.75" customHeight="1" x14ac:dyDescent="0.25">
      <c r="A2070"/>
      <c r="B2070"/>
      <c r="C2070"/>
      <c r="M2070"/>
    </row>
    <row r="2071" spans="1:13" ht="12.75" customHeight="1" x14ac:dyDescent="0.25">
      <c r="A2071"/>
      <c r="B2071"/>
      <c r="C2071"/>
      <c r="M2071"/>
    </row>
    <row r="2072" spans="1:13" ht="12.75" customHeight="1" x14ac:dyDescent="0.25">
      <c r="A2072"/>
      <c r="B2072"/>
      <c r="C2072"/>
      <c r="M2072"/>
    </row>
    <row r="2073" spans="1:13" ht="12.75" customHeight="1" x14ac:dyDescent="0.25">
      <c r="A2073"/>
      <c r="B2073"/>
      <c r="C2073"/>
      <c r="M2073"/>
    </row>
    <row r="2074" spans="1:13" ht="12.75" customHeight="1" x14ac:dyDescent="0.25">
      <c r="A2074"/>
      <c r="B2074"/>
      <c r="C2074"/>
      <c r="M2074"/>
    </row>
    <row r="2075" spans="1:13" ht="12.75" customHeight="1" x14ac:dyDescent="0.25">
      <c r="A2075"/>
      <c r="B2075"/>
      <c r="C2075"/>
      <c r="M2075"/>
    </row>
    <row r="2076" spans="1:13" ht="12.75" customHeight="1" x14ac:dyDescent="0.25">
      <c r="A2076"/>
      <c r="B2076"/>
      <c r="C2076"/>
      <c r="M2076"/>
    </row>
    <row r="2077" spans="1:13" ht="12.75" customHeight="1" x14ac:dyDescent="0.25">
      <c r="A2077"/>
      <c r="B2077"/>
      <c r="C2077"/>
      <c r="M2077"/>
    </row>
    <row r="2078" spans="1:13" ht="12.75" customHeight="1" x14ac:dyDescent="0.25">
      <c r="A2078"/>
      <c r="B2078"/>
      <c r="C2078"/>
      <c r="M2078"/>
    </row>
    <row r="2079" spans="1:13" ht="12.75" customHeight="1" x14ac:dyDescent="0.25">
      <c r="A2079"/>
      <c r="B2079"/>
      <c r="C2079"/>
      <c r="M2079"/>
    </row>
    <row r="2080" spans="1:13" ht="12.75" customHeight="1" x14ac:dyDescent="0.25">
      <c r="A2080"/>
      <c r="B2080"/>
      <c r="C2080"/>
      <c r="M2080"/>
    </row>
    <row r="2081" spans="1:13" ht="12.75" customHeight="1" x14ac:dyDescent="0.25">
      <c r="A2081"/>
      <c r="B2081"/>
      <c r="C2081"/>
      <c r="M2081"/>
    </row>
    <row r="2082" spans="1:13" ht="12.75" customHeight="1" x14ac:dyDescent="0.25">
      <c r="A2082"/>
      <c r="B2082"/>
      <c r="C2082"/>
      <c r="M2082"/>
    </row>
    <row r="2083" spans="1:13" ht="12.75" customHeight="1" x14ac:dyDescent="0.25">
      <c r="A2083"/>
      <c r="B2083"/>
      <c r="C2083"/>
      <c r="M2083"/>
    </row>
    <row r="2084" spans="1:13" ht="12.75" customHeight="1" x14ac:dyDescent="0.25">
      <c r="A2084"/>
      <c r="B2084"/>
      <c r="C2084"/>
      <c r="M2084"/>
    </row>
    <row r="2085" spans="1:13" ht="12.75" customHeight="1" x14ac:dyDescent="0.25">
      <c r="A2085"/>
      <c r="B2085"/>
      <c r="C2085"/>
      <c r="M2085"/>
    </row>
    <row r="2086" spans="1:13" ht="12.75" customHeight="1" x14ac:dyDescent="0.25">
      <c r="A2086"/>
      <c r="B2086"/>
      <c r="C2086"/>
      <c r="M2086"/>
    </row>
    <row r="2087" spans="1:13" ht="12.75" customHeight="1" x14ac:dyDescent="0.25">
      <c r="A2087"/>
      <c r="B2087"/>
      <c r="C2087"/>
      <c r="M2087"/>
    </row>
    <row r="2088" spans="1:13" ht="12.75" customHeight="1" x14ac:dyDescent="0.25">
      <c r="A2088"/>
      <c r="B2088"/>
      <c r="C2088"/>
      <c r="M2088"/>
    </row>
    <row r="2089" spans="1:13" ht="12.75" customHeight="1" x14ac:dyDescent="0.25">
      <c r="A2089"/>
      <c r="B2089"/>
      <c r="C2089"/>
      <c r="M2089"/>
    </row>
    <row r="2090" spans="1:13" ht="12.75" customHeight="1" x14ac:dyDescent="0.25">
      <c r="A2090"/>
      <c r="B2090"/>
      <c r="C2090"/>
      <c r="M2090"/>
    </row>
    <row r="2091" spans="1:13" ht="12.75" customHeight="1" x14ac:dyDescent="0.25">
      <c r="A2091"/>
      <c r="B2091"/>
      <c r="C2091"/>
      <c r="M2091"/>
    </row>
    <row r="2092" spans="1:13" ht="12.75" customHeight="1" x14ac:dyDescent="0.25">
      <c r="A2092"/>
      <c r="B2092"/>
      <c r="C2092"/>
      <c r="M2092"/>
    </row>
    <row r="2093" spans="1:13" ht="12.75" customHeight="1" x14ac:dyDescent="0.25">
      <c r="A2093"/>
      <c r="B2093"/>
      <c r="C2093"/>
      <c r="M2093"/>
    </row>
    <row r="2094" spans="1:13" ht="12.75" customHeight="1" x14ac:dyDescent="0.25">
      <c r="A2094"/>
      <c r="B2094"/>
      <c r="C2094"/>
      <c r="M2094"/>
    </row>
    <row r="2095" spans="1:13" ht="12.75" customHeight="1" x14ac:dyDescent="0.25">
      <c r="A2095"/>
      <c r="B2095"/>
      <c r="C2095"/>
      <c r="M2095"/>
    </row>
    <row r="2096" spans="1:13" ht="12.75" customHeight="1" x14ac:dyDescent="0.25">
      <c r="A2096"/>
      <c r="B2096"/>
      <c r="C2096"/>
      <c r="M2096"/>
    </row>
    <row r="2097" spans="1:13" ht="12.75" customHeight="1" x14ac:dyDescent="0.25">
      <c r="A2097"/>
      <c r="B2097"/>
      <c r="C2097"/>
      <c r="M2097"/>
    </row>
    <row r="2098" spans="1:13" ht="12.75" customHeight="1" x14ac:dyDescent="0.25">
      <c r="A2098"/>
      <c r="B2098"/>
      <c r="C2098"/>
      <c r="M2098"/>
    </row>
    <row r="2099" spans="1:13" ht="12.75" customHeight="1" x14ac:dyDescent="0.25">
      <c r="A2099"/>
      <c r="B2099"/>
      <c r="C2099"/>
      <c r="M2099"/>
    </row>
    <row r="2100" spans="1:13" ht="12.75" customHeight="1" x14ac:dyDescent="0.25">
      <c r="A2100"/>
      <c r="B2100"/>
      <c r="C2100"/>
      <c r="M2100"/>
    </row>
    <row r="2101" spans="1:13" ht="12.75" customHeight="1" x14ac:dyDescent="0.25">
      <c r="A2101"/>
      <c r="B2101"/>
      <c r="C2101"/>
      <c r="M2101"/>
    </row>
    <row r="2102" spans="1:13" ht="12.75" customHeight="1" x14ac:dyDescent="0.25">
      <c r="A2102"/>
      <c r="B2102"/>
      <c r="C2102"/>
      <c r="M2102"/>
    </row>
    <row r="2103" spans="1:13" ht="12.75" customHeight="1" x14ac:dyDescent="0.25">
      <c r="A2103"/>
      <c r="B2103"/>
      <c r="C2103"/>
      <c r="M2103"/>
    </row>
    <row r="2104" spans="1:13" ht="12.75" customHeight="1" x14ac:dyDescent="0.25">
      <c r="A2104"/>
      <c r="B2104"/>
      <c r="C2104"/>
      <c r="M2104"/>
    </row>
    <row r="2105" spans="1:13" ht="12.75" customHeight="1" x14ac:dyDescent="0.25">
      <c r="A2105"/>
      <c r="B2105"/>
      <c r="C2105"/>
      <c r="M2105"/>
    </row>
    <row r="2106" spans="1:13" ht="12.75" customHeight="1" x14ac:dyDescent="0.25">
      <c r="A2106"/>
      <c r="B2106"/>
      <c r="C2106"/>
      <c r="M2106"/>
    </row>
    <row r="2107" spans="1:13" ht="12.75" customHeight="1" x14ac:dyDescent="0.25">
      <c r="A2107"/>
      <c r="B2107"/>
      <c r="C2107"/>
      <c r="M2107"/>
    </row>
    <row r="2108" spans="1:13" ht="12.75" customHeight="1" x14ac:dyDescent="0.25">
      <c r="A2108"/>
      <c r="B2108"/>
      <c r="C2108"/>
      <c r="M2108"/>
    </row>
    <row r="2109" spans="1:13" ht="12.75" customHeight="1" x14ac:dyDescent="0.25">
      <c r="A2109"/>
      <c r="B2109"/>
      <c r="C2109"/>
      <c r="M2109"/>
    </row>
    <row r="2110" spans="1:13" ht="12.75" customHeight="1" x14ac:dyDescent="0.25">
      <c r="A2110"/>
      <c r="B2110"/>
      <c r="C2110"/>
      <c r="M2110"/>
    </row>
    <row r="2111" spans="1:13" ht="12.75" customHeight="1" x14ac:dyDescent="0.25">
      <c r="A2111"/>
      <c r="B2111"/>
      <c r="C2111"/>
      <c r="M2111"/>
    </row>
    <row r="2112" spans="1:13" ht="12.75" customHeight="1" x14ac:dyDescent="0.25">
      <c r="A2112"/>
      <c r="B2112"/>
      <c r="C2112"/>
      <c r="M2112"/>
    </row>
    <row r="2113" spans="1:13" ht="12.75" customHeight="1" x14ac:dyDescent="0.25">
      <c r="A2113"/>
      <c r="B2113"/>
      <c r="C2113"/>
      <c r="M2113"/>
    </row>
    <row r="2114" spans="1:13" ht="12.75" customHeight="1" x14ac:dyDescent="0.25">
      <c r="A2114"/>
      <c r="B2114"/>
      <c r="C2114"/>
      <c r="M2114"/>
    </row>
    <row r="2115" spans="1:13" ht="12.75" customHeight="1" x14ac:dyDescent="0.25">
      <c r="A2115"/>
      <c r="B2115"/>
      <c r="C2115"/>
      <c r="M2115"/>
    </row>
    <row r="2116" spans="1:13" ht="12.75" customHeight="1" x14ac:dyDescent="0.25">
      <c r="A2116"/>
      <c r="B2116"/>
      <c r="C2116"/>
      <c r="M2116"/>
    </row>
    <row r="2117" spans="1:13" ht="12.75" customHeight="1" x14ac:dyDescent="0.25">
      <c r="A2117"/>
      <c r="B2117"/>
      <c r="C2117"/>
      <c r="M2117"/>
    </row>
    <row r="2118" spans="1:13" ht="12.75" customHeight="1" x14ac:dyDescent="0.25">
      <c r="A2118"/>
      <c r="B2118"/>
      <c r="C2118"/>
      <c r="M2118"/>
    </row>
    <row r="2119" spans="1:13" ht="12.75" customHeight="1" x14ac:dyDescent="0.25">
      <c r="A2119"/>
      <c r="B2119"/>
      <c r="C2119"/>
      <c r="M2119"/>
    </row>
    <row r="2120" spans="1:13" ht="12.75" customHeight="1" x14ac:dyDescent="0.25">
      <c r="A2120"/>
      <c r="B2120"/>
      <c r="C2120"/>
      <c r="M2120"/>
    </row>
    <row r="2121" spans="1:13" ht="12.75" customHeight="1" x14ac:dyDescent="0.25">
      <c r="A2121"/>
      <c r="B2121"/>
      <c r="C2121"/>
      <c r="M2121"/>
    </row>
    <row r="2122" spans="1:13" ht="12.75" customHeight="1" x14ac:dyDescent="0.25">
      <c r="A2122"/>
      <c r="B2122"/>
      <c r="C2122"/>
      <c r="M2122"/>
    </row>
    <row r="2123" spans="1:13" ht="12.75" customHeight="1" x14ac:dyDescent="0.25">
      <c r="A2123"/>
      <c r="B2123"/>
      <c r="C2123"/>
      <c r="M2123"/>
    </row>
    <row r="2124" spans="1:13" ht="12.75" customHeight="1" x14ac:dyDescent="0.25">
      <c r="A2124"/>
      <c r="B2124"/>
      <c r="C2124"/>
      <c r="M2124"/>
    </row>
    <row r="2125" spans="1:13" ht="12.75" customHeight="1" x14ac:dyDescent="0.25">
      <c r="A2125"/>
      <c r="B2125"/>
      <c r="C2125"/>
      <c r="M2125"/>
    </row>
    <row r="2126" spans="1:13" ht="12.75" customHeight="1" x14ac:dyDescent="0.25">
      <c r="A2126"/>
      <c r="B2126"/>
      <c r="C2126"/>
      <c r="M2126"/>
    </row>
    <row r="2127" spans="1:13" ht="12.75" customHeight="1" x14ac:dyDescent="0.25">
      <c r="A2127"/>
      <c r="B2127"/>
      <c r="C2127"/>
      <c r="M2127"/>
    </row>
    <row r="2128" spans="1:13" ht="12.75" customHeight="1" x14ac:dyDescent="0.25">
      <c r="A2128"/>
      <c r="B2128"/>
      <c r="C2128"/>
      <c r="M2128"/>
    </row>
    <row r="2129" spans="1:13" ht="12.75" customHeight="1" x14ac:dyDescent="0.25">
      <c r="A2129"/>
      <c r="B2129"/>
      <c r="C2129"/>
      <c r="M2129"/>
    </row>
    <row r="2130" spans="1:13" ht="12.75" customHeight="1" x14ac:dyDescent="0.25">
      <c r="A2130"/>
      <c r="B2130"/>
      <c r="C2130"/>
      <c r="M2130"/>
    </row>
    <row r="2131" spans="1:13" ht="12.75" customHeight="1" x14ac:dyDescent="0.25">
      <c r="A2131"/>
      <c r="B2131"/>
      <c r="C2131"/>
      <c r="M2131"/>
    </row>
    <row r="2132" spans="1:13" ht="12.75" customHeight="1" x14ac:dyDescent="0.25">
      <c r="A2132"/>
      <c r="B2132"/>
      <c r="C2132"/>
      <c r="M2132"/>
    </row>
    <row r="2133" spans="1:13" ht="12.75" customHeight="1" x14ac:dyDescent="0.25">
      <c r="A2133"/>
      <c r="B2133"/>
      <c r="C2133"/>
      <c r="M2133"/>
    </row>
    <row r="2134" spans="1:13" ht="12.75" customHeight="1" x14ac:dyDescent="0.25">
      <c r="A2134"/>
      <c r="B2134"/>
      <c r="C2134"/>
      <c r="M2134"/>
    </row>
    <row r="2135" spans="1:13" ht="12.75" customHeight="1" x14ac:dyDescent="0.25">
      <c r="A2135"/>
      <c r="B2135"/>
      <c r="C2135"/>
      <c r="M2135"/>
    </row>
    <row r="2136" spans="1:13" ht="12.75" customHeight="1" x14ac:dyDescent="0.25">
      <c r="A2136"/>
      <c r="B2136"/>
      <c r="C2136"/>
      <c r="M2136"/>
    </row>
    <row r="2137" spans="1:13" ht="12.75" customHeight="1" x14ac:dyDescent="0.25">
      <c r="A2137"/>
      <c r="B2137"/>
      <c r="C2137"/>
      <c r="M2137"/>
    </row>
    <row r="2138" spans="1:13" ht="12.75" customHeight="1" x14ac:dyDescent="0.25">
      <c r="A2138"/>
      <c r="B2138"/>
      <c r="C2138"/>
      <c r="M2138"/>
    </row>
    <row r="2139" spans="1:13" ht="12.75" customHeight="1" x14ac:dyDescent="0.25">
      <c r="A2139"/>
      <c r="B2139"/>
      <c r="C2139"/>
      <c r="M2139"/>
    </row>
    <row r="2140" spans="1:13" ht="12.75" customHeight="1" x14ac:dyDescent="0.25">
      <c r="A2140"/>
      <c r="B2140"/>
      <c r="C2140"/>
      <c r="M2140"/>
    </row>
    <row r="2141" spans="1:13" ht="12.75" customHeight="1" x14ac:dyDescent="0.25">
      <c r="A2141"/>
      <c r="B2141"/>
      <c r="C2141"/>
      <c r="M2141"/>
    </row>
    <row r="2142" spans="1:13" ht="12.75" customHeight="1" x14ac:dyDescent="0.25">
      <c r="A2142"/>
      <c r="B2142"/>
      <c r="C2142"/>
      <c r="M2142"/>
    </row>
    <row r="2143" spans="1:13" ht="12.75" customHeight="1" x14ac:dyDescent="0.25">
      <c r="A2143"/>
      <c r="B2143"/>
      <c r="C2143"/>
      <c r="M2143"/>
    </row>
    <row r="2144" spans="1:13" ht="12.75" customHeight="1" x14ac:dyDescent="0.25">
      <c r="A2144"/>
      <c r="B2144"/>
      <c r="C2144"/>
      <c r="M2144"/>
    </row>
    <row r="2145" spans="1:13" ht="12.75" customHeight="1" x14ac:dyDescent="0.25">
      <c r="A2145"/>
      <c r="B2145"/>
      <c r="C2145"/>
      <c r="M2145"/>
    </row>
    <row r="2146" spans="1:13" ht="12.75" customHeight="1" x14ac:dyDescent="0.25">
      <c r="A2146"/>
      <c r="B2146"/>
      <c r="C2146"/>
      <c r="M2146"/>
    </row>
    <row r="2147" spans="1:13" ht="12.75" customHeight="1" x14ac:dyDescent="0.25">
      <c r="A2147"/>
      <c r="B2147"/>
      <c r="C2147"/>
      <c r="M2147"/>
    </row>
    <row r="2148" spans="1:13" ht="12.75" customHeight="1" x14ac:dyDescent="0.25">
      <c r="A2148"/>
      <c r="B2148"/>
      <c r="C2148"/>
      <c r="M2148"/>
    </row>
    <row r="2149" spans="1:13" ht="12.75" customHeight="1" x14ac:dyDescent="0.25">
      <c r="A2149"/>
      <c r="B2149"/>
      <c r="C2149"/>
      <c r="M2149"/>
    </row>
    <row r="2150" spans="1:13" ht="12.75" customHeight="1" x14ac:dyDescent="0.25">
      <c r="A2150"/>
      <c r="B2150"/>
      <c r="C2150"/>
      <c r="M2150"/>
    </row>
    <row r="2151" spans="1:13" ht="12.75" customHeight="1" x14ac:dyDescent="0.25">
      <c r="A2151"/>
      <c r="B2151"/>
      <c r="C2151"/>
      <c r="M2151"/>
    </row>
    <row r="2152" spans="1:13" ht="12.75" customHeight="1" x14ac:dyDescent="0.25">
      <c r="A2152"/>
      <c r="B2152"/>
      <c r="C2152"/>
      <c r="M2152"/>
    </row>
    <row r="2153" spans="1:13" ht="12.75" customHeight="1" x14ac:dyDescent="0.25">
      <c r="A2153"/>
      <c r="B2153"/>
      <c r="C2153"/>
      <c r="M2153"/>
    </row>
    <row r="2154" spans="1:13" ht="12.75" customHeight="1" x14ac:dyDescent="0.25">
      <c r="A2154"/>
      <c r="B2154"/>
      <c r="C2154"/>
      <c r="M2154"/>
    </row>
    <row r="2155" spans="1:13" ht="12.75" customHeight="1" x14ac:dyDescent="0.25">
      <c r="A2155"/>
      <c r="B2155"/>
      <c r="C2155"/>
      <c r="M2155"/>
    </row>
    <row r="2156" spans="1:13" ht="12.75" customHeight="1" x14ac:dyDescent="0.25">
      <c r="A2156"/>
      <c r="B2156"/>
      <c r="C2156"/>
      <c r="M2156"/>
    </row>
    <row r="2157" spans="1:13" ht="12.75" customHeight="1" x14ac:dyDescent="0.25">
      <c r="A2157"/>
      <c r="B2157"/>
      <c r="C2157"/>
      <c r="M2157"/>
    </row>
    <row r="2158" spans="1:13" ht="12.75" customHeight="1" x14ac:dyDescent="0.25">
      <c r="A2158"/>
      <c r="B2158"/>
      <c r="C2158"/>
      <c r="M2158"/>
    </row>
    <row r="2159" spans="1:13" ht="12.75" customHeight="1" x14ac:dyDescent="0.25">
      <c r="A2159"/>
      <c r="B2159"/>
      <c r="C2159"/>
      <c r="M2159"/>
    </row>
    <row r="2160" spans="1:13" ht="12.75" customHeight="1" x14ac:dyDescent="0.25">
      <c r="A2160"/>
      <c r="B2160"/>
      <c r="C2160"/>
      <c r="M2160"/>
    </row>
    <row r="2161" spans="1:13" ht="12.75" customHeight="1" x14ac:dyDescent="0.25">
      <c r="A2161"/>
      <c r="B2161"/>
      <c r="C2161"/>
      <c r="M2161"/>
    </row>
    <row r="2162" spans="1:13" ht="12.75" customHeight="1" x14ac:dyDescent="0.25">
      <c r="A2162"/>
      <c r="B2162"/>
      <c r="C2162"/>
      <c r="M2162"/>
    </row>
    <row r="2163" spans="1:13" ht="12.75" customHeight="1" x14ac:dyDescent="0.25">
      <c r="A2163"/>
      <c r="B2163"/>
      <c r="C2163"/>
      <c r="M2163"/>
    </row>
    <row r="2164" spans="1:13" ht="12.75" customHeight="1" x14ac:dyDescent="0.25">
      <c r="A2164"/>
      <c r="B2164"/>
      <c r="C2164"/>
      <c r="M2164"/>
    </row>
    <row r="2165" spans="1:13" ht="12.75" customHeight="1" x14ac:dyDescent="0.25">
      <c r="A2165"/>
      <c r="B2165"/>
      <c r="C2165"/>
      <c r="M2165"/>
    </row>
    <row r="2166" spans="1:13" ht="12.75" customHeight="1" x14ac:dyDescent="0.25">
      <c r="A2166"/>
      <c r="B2166"/>
      <c r="C2166"/>
      <c r="M2166"/>
    </row>
    <row r="2167" spans="1:13" ht="12.75" customHeight="1" x14ac:dyDescent="0.25">
      <c r="A2167"/>
      <c r="B2167"/>
      <c r="C2167"/>
      <c r="M2167"/>
    </row>
    <row r="2168" spans="1:13" ht="12.75" customHeight="1" x14ac:dyDescent="0.25">
      <c r="A2168"/>
      <c r="B2168"/>
      <c r="C2168"/>
      <c r="M2168"/>
    </row>
    <row r="2169" spans="1:13" ht="12.75" customHeight="1" x14ac:dyDescent="0.25">
      <c r="A2169"/>
      <c r="B2169"/>
      <c r="C2169"/>
      <c r="M2169"/>
    </row>
    <row r="2170" spans="1:13" ht="12.75" customHeight="1" x14ac:dyDescent="0.25">
      <c r="A2170"/>
      <c r="B2170"/>
      <c r="C2170"/>
      <c r="M2170"/>
    </row>
    <row r="2171" spans="1:13" ht="12.75" customHeight="1" x14ac:dyDescent="0.25">
      <c r="A2171"/>
      <c r="B2171"/>
      <c r="C2171"/>
      <c r="M2171"/>
    </row>
    <row r="2172" spans="1:13" ht="12.75" customHeight="1" x14ac:dyDescent="0.25">
      <c r="A2172"/>
      <c r="B2172"/>
      <c r="C2172"/>
      <c r="M2172"/>
    </row>
    <row r="2173" spans="1:13" ht="12.75" customHeight="1" x14ac:dyDescent="0.25">
      <c r="A2173"/>
      <c r="B2173"/>
      <c r="C2173"/>
      <c r="M2173"/>
    </row>
    <row r="2174" spans="1:13" ht="12.75" customHeight="1" x14ac:dyDescent="0.25">
      <c r="A2174"/>
      <c r="B2174"/>
      <c r="C2174"/>
      <c r="M2174"/>
    </row>
    <row r="2175" spans="1:13" ht="12.75" customHeight="1" x14ac:dyDescent="0.25">
      <c r="A2175"/>
      <c r="B2175"/>
      <c r="C2175"/>
      <c r="M2175"/>
    </row>
    <row r="2176" spans="1:13" ht="12.75" customHeight="1" x14ac:dyDescent="0.25">
      <c r="A2176"/>
      <c r="B2176"/>
      <c r="C2176"/>
      <c r="M2176"/>
    </row>
    <row r="2177" spans="1:13" ht="12.75" customHeight="1" x14ac:dyDescent="0.25">
      <c r="A2177"/>
      <c r="B2177"/>
      <c r="C2177"/>
      <c r="M2177"/>
    </row>
    <row r="2178" spans="1:13" ht="12.75" customHeight="1" x14ac:dyDescent="0.25">
      <c r="A2178"/>
      <c r="B2178"/>
      <c r="C2178"/>
      <c r="M2178"/>
    </row>
    <row r="2179" spans="1:13" ht="12.75" customHeight="1" x14ac:dyDescent="0.25">
      <c r="A2179"/>
      <c r="B2179"/>
      <c r="C2179"/>
      <c r="M2179"/>
    </row>
    <row r="2180" spans="1:13" ht="12.75" customHeight="1" x14ac:dyDescent="0.25">
      <c r="A2180"/>
      <c r="B2180"/>
      <c r="C2180"/>
      <c r="M2180"/>
    </row>
    <row r="2181" spans="1:13" ht="12.75" customHeight="1" x14ac:dyDescent="0.25">
      <c r="A2181"/>
      <c r="B2181"/>
      <c r="C2181"/>
      <c r="M2181"/>
    </row>
    <row r="2182" spans="1:13" ht="12.75" customHeight="1" x14ac:dyDescent="0.25">
      <c r="A2182"/>
      <c r="B2182"/>
      <c r="C2182"/>
      <c r="M2182"/>
    </row>
    <row r="2183" spans="1:13" ht="12.75" customHeight="1" x14ac:dyDescent="0.25">
      <c r="A2183"/>
      <c r="B2183"/>
      <c r="C2183"/>
      <c r="M2183"/>
    </row>
    <row r="2184" spans="1:13" ht="12.75" customHeight="1" x14ac:dyDescent="0.25">
      <c r="A2184"/>
      <c r="B2184"/>
      <c r="C2184"/>
      <c r="M2184"/>
    </row>
    <row r="2185" spans="1:13" ht="12.75" customHeight="1" x14ac:dyDescent="0.25">
      <c r="A2185"/>
      <c r="B2185"/>
      <c r="C2185"/>
      <c r="M2185"/>
    </row>
    <row r="2186" spans="1:13" ht="12.75" customHeight="1" x14ac:dyDescent="0.25">
      <c r="A2186"/>
      <c r="B2186"/>
      <c r="C2186"/>
      <c r="M2186"/>
    </row>
    <row r="2187" spans="1:13" ht="12.75" customHeight="1" x14ac:dyDescent="0.25">
      <c r="A2187"/>
      <c r="B2187"/>
      <c r="C2187"/>
      <c r="M2187"/>
    </row>
    <row r="2188" spans="1:13" ht="12.75" customHeight="1" x14ac:dyDescent="0.25">
      <c r="A2188"/>
      <c r="B2188"/>
      <c r="C2188"/>
      <c r="M2188"/>
    </row>
    <row r="2189" spans="1:13" ht="12.75" customHeight="1" x14ac:dyDescent="0.25">
      <c r="A2189"/>
      <c r="B2189"/>
      <c r="C2189"/>
      <c r="M2189"/>
    </row>
    <row r="2190" spans="1:13" ht="12.75" customHeight="1" x14ac:dyDescent="0.25">
      <c r="A2190"/>
      <c r="B2190"/>
      <c r="C2190"/>
      <c r="M2190"/>
    </row>
    <row r="2191" spans="1:13" ht="12.75" customHeight="1" x14ac:dyDescent="0.25">
      <c r="A2191"/>
      <c r="B2191"/>
      <c r="C2191"/>
      <c r="M2191"/>
    </row>
    <row r="2192" spans="1:13" ht="12.75" customHeight="1" x14ac:dyDescent="0.25">
      <c r="A2192"/>
      <c r="B2192"/>
      <c r="C2192"/>
      <c r="M2192"/>
    </row>
    <row r="2193" spans="1:13" ht="12.75" customHeight="1" x14ac:dyDescent="0.25">
      <c r="A2193"/>
      <c r="B2193"/>
      <c r="C2193"/>
      <c r="M2193"/>
    </row>
    <row r="2194" spans="1:13" ht="12.75" customHeight="1" x14ac:dyDescent="0.25">
      <c r="A2194"/>
      <c r="B2194"/>
      <c r="C2194"/>
      <c r="M2194"/>
    </row>
    <row r="2195" spans="1:13" ht="12.75" customHeight="1" x14ac:dyDescent="0.25">
      <c r="A2195"/>
      <c r="B2195"/>
      <c r="C2195"/>
      <c r="M2195"/>
    </row>
    <row r="2196" spans="1:13" ht="12.75" customHeight="1" x14ac:dyDescent="0.25">
      <c r="A2196"/>
      <c r="B2196"/>
      <c r="C2196"/>
      <c r="M2196"/>
    </row>
    <row r="2197" spans="1:13" ht="12.75" customHeight="1" x14ac:dyDescent="0.25">
      <c r="A2197"/>
      <c r="B2197"/>
      <c r="C2197"/>
      <c r="M2197"/>
    </row>
    <row r="2198" spans="1:13" ht="12.75" customHeight="1" x14ac:dyDescent="0.25">
      <c r="A2198"/>
      <c r="B2198"/>
      <c r="C2198"/>
      <c r="M2198"/>
    </row>
    <row r="2199" spans="1:13" ht="12.75" customHeight="1" x14ac:dyDescent="0.25">
      <c r="A2199"/>
      <c r="B2199"/>
      <c r="C2199"/>
      <c r="M2199"/>
    </row>
    <row r="2200" spans="1:13" ht="12.75" customHeight="1" x14ac:dyDescent="0.25">
      <c r="A2200"/>
      <c r="B2200"/>
      <c r="C2200"/>
      <c r="M2200"/>
    </row>
    <row r="2201" spans="1:13" ht="12.75" customHeight="1" x14ac:dyDescent="0.25">
      <c r="A2201"/>
      <c r="B2201"/>
      <c r="C2201"/>
      <c r="M2201"/>
    </row>
    <row r="2202" spans="1:13" ht="12.75" customHeight="1" x14ac:dyDescent="0.25">
      <c r="A2202"/>
      <c r="B2202"/>
      <c r="C2202"/>
      <c r="M2202"/>
    </row>
    <row r="2203" spans="1:13" ht="12.75" customHeight="1" x14ac:dyDescent="0.25">
      <c r="A2203"/>
      <c r="B2203"/>
      <c r="C2203"/>
      <c r="M2203"/>
    </row>
    <row r="2204" spans="1:13" ht="12.75" customHeight="1" x14ac:dyDescent="0.25">
      <c r="A2204"/>
      <c r="B2204"/>
      <c r="C2204"/>
      <c r="M2204"/>
    </row>
    <row r="2205" spans="1:13" ht="12.75" customHeight="1" x14ac:dyDescent="0.25">
      <c r="A2205"/>
      <c r="B2205"/>
      <c r="C2205"/>
      <c r="M2205"/>
    </row>
    <row r="2206" spans="1:13" ht="12.75" customHeight="1" x14ac:dyDescent="0.25">
      <c r="A2206"/>
      <c r="B2206"/>
      <c r="C2206"/>
      <c r="M2206"/>
    </row>
    <row r="2207" spans="1:13" ht="12.75" customHeight="1" x14ac:dyDescent="0.25">
      <c r="A2207"/>
      <c r="B2207"/>
      <c r="C2207"/>
      <c r="M2207"/>
    </row>
    <row r="2208" spans="1:13" ht="12.75" customHeight="1" x14ac:dyDescent="0.25">
      <c r="A2208"/>
      <c r="B2208"/>
      <c r="C2208"/>
      <c r="M2208"/>
    </row>
    <row r="2209" spans="1:13" ht="12.75" customHeight="1" x14ac:dyDescent="0.25">
      <c r="A2209"/>
      <c r="B2209"/>
      <c r="C2209"/>
      <c r="M2209"/>
    </row>
    <row r="2210" spans="1:13" ht="12.75" customHeight="1" x14ac:dyDescent="0.25">
      <c r="A2210"/>
      <c r="B2210"/>
      <c r="C2210"/>
      <c r="M2210"/>
    </row>
    <row r="2211" spans="1:13" ht="12.75" customHeight="1" x14ac:dyDescent="0.25">
      <c r="A2211"/>
      <c r="B2211"/>
      <c r="C2211"/>
      <c r="M2211"/>
    </row>
    <row r="2212" spans="1:13" ht="12.75" customHeight="1" x14ac:dyDescent="0.25">
      <c r="A2212"/>
      <c r="B2212"/>
      <c r="C2212"/>
      <c r="M2212"/>
    </row>
    <row r="2213" spans="1:13" ht="12.75" customHeight="1" x14ac:dyDescent="0.25">
      <c r="A2213"/>
      <c r="B2213"/>
      <c r="C2213"/>
      <c r="M2213"/>
    </row>
    <row r="2214" spans="1:13" ht="12.75" customHeight="1" x14ac:dyDescent="0.25">
      <c r="A2214"/>
      <c r="B2214"/>
      <c r="C2214"/>
      <c r="M2214"/>
    </row>
    <row r="2215" spans="1:13" ht="12.75" customHeight="1" x14ac:dyDescent="0.25">
      <c r="A2215"/>
      <c r="B2215"/>
      <c r="C2215"/>
      <c r="M2215"/>
    </row>
    <row r="2216" spans="1:13" ht="12.75" customHeight="1" x14ac:dyDescent="0.25">
      <c r="A2216"/>
      <c r="B2216"/>
      <c r="C2216"/>
      <c r="M2216"/>
    </row>
    <row r="2217" spans="1:13" ht="12.75" customHeight="1" x14ac:dyDescent="0.25">
      <c r="A2217"/>
      <c r="B2217"/>
      <c r="C2217"/>
      <c r="M2217"/>
    </row>
    <row r="2218" spans="1:13" ht="12.75" customHeight="1" x14ac:dyDescent="0.25">
      <c r="A2218"/>
      <c r="B2218"/>
      <c r="C2218"/>
      <c r="M2218"/>
    </row>
    <row r="2219" spans="1:13" ht="12.75" customHeight="1" x14ac:dyDescent="0.25">
      <c r="A2219"/>
      <c r="B2219"/>
      <c r="C2219"/>
      <c r="M2219"/>
    </row>
    <row r="2220" spans="1:13" ht="12.75" customHeight="1" x14ac:dyDescent="0.25">
      <c r="A2220"/>
      <c r="B2220"/>
      <c r="C2220"/>
      <c r="M2220"/>
    </row>
    <row r="2221" spans="1:13" ht="12.75" customHeight="1" x14ac:dyDescent="0.25">
      <c r="A2221"/>
      <c r="B2221"/>
      <c r="C2221"/>
      <c r="M2221"/>
    </row>
    <row r="2222" spans="1:13" ht="12.75" customHeight="1" x14ac:dyDescent="0.25">
      <c r="A2222"/>
      <c r="B2222"/>
      <c r="C2222"/>
      <c r="M2222"/>
    </row>
    <row r="2223" spans="1:13" ht="12.75" customHeight="1" x14ac:dyDescent="0.25">
      <c r="A2223"/>
      <c r="B2223"/>
      <c r="C2223"/>
      <c r="M2223"/>
    </row>
    <row r="2224" spans="1:13" ht="12.75" customHeight="1" x14ac:dyDescent="0.25">
      <c r="A2224"/>
      <c r="B2224"/>
      <c r="C2224"/>
      <c r="M2224"/>
    </row>
    <row r="2225" spans="1:13" ht="12.75" customHeight="1" x14ac:dyDescent="0.25">
      <c r="A2225"/>
      <c r="B2225"/>
      <c r="C2225"/>
      <c r="M2225"/>
    </row>
    <row r="2226" spans="1:13" ht="12.75" customHeight="1" x14ac:dyDescent="0.25">
      <c r="A2226"/>
      <c r="B2226"/>
      <c r="C2226"/>
      <c r="M2226"/>
    </row>
    <row r="2227" spans="1:13" ht="12.75" customHeight="1" x14ac:dyDescent="0.25">
      <c r="A2227"/>
      <c r="B2227"/>
      <c r="C2227"/>
      <c r="M2227"/>
    </row>
    <row r="2228" spans="1:13" ht="12.75" customHeight="1" x14ac:dyDescent="0.25">
      <c r="A2228"/>
      <c r="B2228"/>
      <c r="C2228"/>
      <c r="M2228"/>
    </row>
    <row r="2229" spans="1:13" ht="12.75" customHeight="1" x14ac:dyDescent="0.25">
      <c r="A2229"/>
      <c r="B2229"/>
      <c r="C2229"/>
      <c r="M2229"/>
    </row>
    <row r="2230" spans="1:13" ht="12.75" customHeight="1" x14ac:dyDescent="0.25">
      <c r="A2230"/>
      <c r="B2230"/>
      <c r="C2230"/>
      <c r="M2230"/>
    </row>
    <row r="2231" spans="1:13" ht="12.75" customHeight="1" x14ac:dyDescent="0.25">
      <c r="A2231"/>
      <c r="B2231"/>
      <c r="C2231"/>
      <c r="M2231"/>
    </row>
    <row r="2232" spans="1:13" ht="12.75" customHeight="1" x14ac:dyDescent="0.25">
      <c r="A2232"/>
      <c r="B2232"/>
      <c r="C2232"/>
      <c r="M2232"/>
    </row>
    <row r="2233" spans="1:13" ht="12.75" customHeight="1" x14ac:dyDescent="0.25">
      <c r="A2233"/>
      <c r="B2233"/>
      <c r="C2233"/>
      <c r="M2233"/>
    </row>
    <row r="2234" spans="1:13" ht="12.75" customHeight="1" x14ac:dyDescent="0.25">
      <c r="A2234"/>
      <c r="B2234"/>
      <c r="C2234"/>
      <c r="M2234"/>
    </row>
    <row r="2235" spans="1:13" ht="12.75" customHeight="1" x14ac:dyDescent="0.25">
      <c r="A2235"/>
      <c r="B2235"/>
      <c r="C2235"/>
      <c r="M2235"/>
    </row>
    <row r="2236" spans="1:13" ht="12.75" customHeight="1" x14ac:dyDescent="0.25">
      <c r="A2236"/>
      <c r="B2236"/>
      <c r="C2236"/>
      <c r="M2236"/>
    </row>
    <row r="2237" spans="1:13" ht="12.75" customHeight="1" x14ac:dyDescent="0.25">
      <c r="A2237"/>
      <c r="B2237"/>
      <c r="C2237"/>
      <c r="M2237"/>
    </row>
    <row r="2238" spans="1:13" ht="12.75" customHeight="1" x14ac:dyDescent="0.25">
      <c r="A2238"/>
      <c r="B2238"/>
      <c r="C2238"/>
      <c r="M2238"/>
    </row>
    <row r="2239" spans="1:13" ht="12.75" customHeight="1" x14ac:dyDescent="0.25">
      <c r="A2239"/>
      <c r="B2239"/>
      <c r="C2239"/>
      <c r="M2239"/>
    </row>
    <row r="2240" spans="1:13" ht="12.75" customHeight="1" x14ac:dyDescent="0.25">
      <c r="A2240"/>
      <c r="B2240"/>
      <c r="C2240"/>
      <c r="M2240"/>
    </row>
    <row r="2241" spans="1:13" ht="12.75" customHeight="1" x14ac:dyDescent="0.25">
      <c r="A2241"/>
      <c r="B2241"/>
      <c r="C2241"/>
      <c r="M2241"/>
    </row>
    <row r="2242" spans="1:13" ht="12.75" customHeight="1" x14ac:dyDescent="0.25">
      <c r="A2242"/>
      <c r="B2242"/>
      <c r="C2242"/>
      <c r="M2242"/>
    </row>
    <row r="2243" spans="1:13" ht="12.75" customHeight="1" x14ac:dyDescent="0.25">
      <c r="A2243"/>
      <c r="B2243"/>
      <c r="C2243"/>
      <c r="M2243"/>
    </row>
    <row r="2244" spans="1:13" ht="12.75" customHeight="1" x14ac:dyDescent="0.25">
      <c r="A2244"/>
      <c r="B2244"/>
      <c r="C2244"/>
      <c r="M2244"/>
    </row>
    <row r="2245" spans="1:13" ht="12.75" customHeight="1" x14ac:dyDescent="0.25">
      <c r="A2245"/>
      <c r="B2245"/>
      <c r="C2245"/>
      <c r="M2245"/>
    </row>
    <row r="2246" spans="1:13" ht="12.75" customHeight="1" x14ac:dyDescent="0.25">
      <c r="A2246"/>
      <c r="B2246"/>
      <c r="C2246"/>
      <c r="M2246"/>
    </row>
    <row r="2247" spans="1:13" ht="12.75" customHeight="1" x14ac:dyDescent="0.25">
      <c r="A2247"/>
      <c r="B2247"/>
      <c r="C2247"/>
      <c r="M2247"/>
    </row>
    <row r="2248" spans="1:13" ht="12.75" customHeight="1" x14ac:dyDescent="0.25">
      <c r="A2248"/>
      <c r="B2248"/>
      <c r="C2248"/>
      <c r="M2248"/>
    </row>
    <row r="2249" spans="1:13" ht="12.75" customHeight="1" x14ac:dyDescent="0.25">
      <c r="A2249"/>
      <c r="B2249"/>
      <c r="C2249"/>
      <c r="M2249"/>
    </row>
    <row r="2250" spans="1:13" ht="12.75" customHeight="1" x14ac:dyDescent="0.25">
      <c r="A2250"/>
      <c r="B2250"/>
      <c r="C2250"/>
      <c r="M2250"/>
    </row>
    <row r="2251" spans="1:13" ht="12.75" customHeight="1" x14ac:dyDescent="0.25">
      <c r="A2251"/>
      <c r="B2251"/>
      <c r="C2251"/>
      <c r="M2251"/>
    </row>
    <row r="2252" spans="1:13" ht="12.75" customHeight="1" x14ac:dyDescent="0.25">
      <c r="A2252"/>
      <c r="B2252"/>
      <c r="C2252"/>
      <c r="M2252"/>
    </row>
    <row r="2253" spans="1:13" ht="12.75" customHeight="1" x14ac:dyDescent="0.25">
      <c r="A2253"/>
      <c r="B2253"/>
      <c r="C2253"/>
      <c r="M2253"/>
    </row>
    <row r="2254" spans="1:13" ht="12.75" customHeight="1" x14ac:dyDescent="0.25">
      <c r="A2254"/>
      <c r="B2254"/>
      <c r="C2254"/>
      <c r="M2254"/>
    </row>
    <row r="2255" spans="1:13" ht="12.75" customHeight="1" x14ac:dyDescent="0.25">
      <c r="A2255"/>
      <c r="B2255"/>
      <c r="C2255"/>
      <c r="M2255"/>
    </row>
    <row r="2256" spans="1:13" ht="12.75" customHeight="1" x14ac:dyDescent="0.25">
      <c r="A2256"/>
      <c r="B2256"/>
      <c r="C2256"/>
      <c r="M2256"/>
    </row>
    <row r="2257" spans="1:13" ht="12.75" customHeight="1" x14ac:dyDescent="0.25">
      <c r="A2257"/>
      <c r="B2257"/>
      <c r="C2257"/>
      <c r="M2257"/>
    </row>
    <row r="2258" spans="1:13" ht="12.75" customHeight="1" x14ac:dyDescent="0.25">
      <c r="A2258"/>
      <c r="B2258"/>
      <c r="C2258"/>
      <c r="M2258"/>
    </row>
    <row r="2259" spans="1:13" ht="12.75" customHeight="1" x14ac:dyDescent="0.25">
      <c r="A2259"/>
      <c r="B2259"/>
      <c r="C2259"/>
      <c r="M2259"/>
    </row>
    <row r="2260" spans="1:13" ht="12.75" customHeight="1" x14ac:dyDescent="0.25">
      <c r="A2260"/>
      <c r="B2260"/>
      <c r="C2260"/>
      <c r="M2260"/>
    </row>
    <row r="2261" spans="1:13" ht="12.75" customHeight="1" x14ac:dyDescent="0.25">
      <c r="A2261"/>
      <c r="B2261"/>
      <c r="C2261"/>
      <c r="M2261"/>
    </row>
    <row r="2262" spans="1:13" ht="12.75" customHeight="1" x14ac:dyDescent="0.25">
      <c r="A2262"/>
      <c r="B2262"/>
      <c r="C2262"/>
      <c r="M2262"/>
    </row>
    <row r="2263" spans="1:13" ht="12.75" customHeight="1" x14ac:dyDescent="0.25">
      <c r="A2263"/>
      <c r="B2263"/>
      <c r="C2263"/>
      <c r="M2263"/>
    </row>
    <row r="2264" spans="1:13" ht="12.75" customHeight="1" x14ac:dyDescent="0.25">
      <c r="A2264"/>
      <c r="B2264"/>
      <c r="C2264"/>
      <c r="M2264"/>
    </row>
    <row r="2265" spans="1:13" ht="12.75" customHeight="1" x14ac:dyDescent="0.25">
      <c r="A2265"/>
      <c r="B2265"/>
      <c r="C2265"/>
      <c r="M2265"/>
    </row>
    <row r="2266" spans="1:13" ht="12.75" customHeight="1" x14ac:dyDescent="0.25">
      <c r="A2266"/>
      <c r="B2266"/>
      <c r="C2266"/>
      <c r="M2266"/>
    </row>
    <row r="2267" spans="1:13" ht="12.75" customHeight="1" x14ac:dyDescent="0.25">
      <c r="A2267"/>
      <c r="B2267"/>
      <c r="C2267"/>
      <c r="M2267"/>
    </row>
    <row r="2268" spans="1:13" ht="12.75" customHeight="1" x14ac:dyDescent="0.25">
      <c r="A2268"/>
      <c r="B2268"/>
      <c r="C2268"/>
      <c r="M2268"/>
    </row>
    <row r="2269" spans="1:13" ht="12.75" customHeight="1" x14ac:dyDescent="0.25">
      <c r="A2269"/>
      <c r="B2269"/>
      <c r="C2269"/>
      <c r="M2269"/>
    </row>
    <row r="2270" spans="1:13" ht="12.75" customHeight="1" x14ac:dyDescent="0.25">
      <c r="A2270"/>
      <c r="B2270"/>
      <c r="C2270"/>
      <c r="M2270"/>
    </row>
    <row r="2271" spans="1:13" ht="12.75" customHeight="1" x14ac:dyDescent="0.25">
      <c r="A2271"/>
      <c r="B2271"/>
      <c r="C2271"/>
      <c r="M2271"/>
    </row>
    <row r="2272" spans="1:13" ht="12.75" customHeight="1" x14ac:dyDescent="0.25">
      <c r="A2272"/>
      <c r="B2272"/>
      <c r="C2272"/>
      <c r="M2272"/>
    </row>
    <row r="2273" spans="1:13" ht="12.75" customHeight="1" x14ac:dyDescent="0.25">
      <c r="A2273"/>
      <c r="B2273"/>
      <c r="C2273"/>
      <c r="M2273"/>
    </row>
    <row r="2274" spans="1:13" ht="12.75" customHeight="1" x14ac:dyDescent="0.25">
      <c r="A2274"/>
      <c r="B2274"/>
      <c r="C2274"/>
      <c r="M2274"/>
    </row>
    <row r="2275" spans="1:13" ht="12.75" customHeight="1" x14ac:dyDescent="0.25">
      <c r="A2275"/>
      <c r="B2275"/>
      <c r="C2275"/>
      <c r="M2275"/>
    </row>
    <row r="2276" spans="1:13" ht="12.75" customHeight="1" x14ac:dyDescent="0.25">
      <c r="A2276"/>
      <c r="B2276"/>
      <c r="C2276"/>
      <c r="M2276"/>
    </row>
    <row r="2277" spans="1:13" ht="12.75" customHeight="1" x14ac:dyDescent="0.25">
      <c r="A2277"/>
      <c r="B2277"/>
      <c r="C2277"/>
      <c r="M2277"/>
    </row>
    <row r="2278" spans="1:13" ht="12.75" customHeight="1" x14ac:dyDescent="0.25">
      <c r="A2278"/>
      <c r="B2278"/>
      <c r="C2278"/>
      <c r="M2278"/>
    </row>
    <row r="2279" spans="1:13" ht="12.75" customHeight="1" x14ac:dyDescent="0.25">
      <c r="A2279"/>
      <c r="B2279"/>
      <c r="C2279"/>
      <c r="M2279"/>
    </row>
    <row r="2280" spans="1:13" ht="12.75" customHeight="1" x14ac:dyDescent="0.25">
      <c r="A2280"/>
      <c r="B2280"/>
      <c r="C2280"/>
      <c r="M2280"/>
    </row>
    <row r="2281" spans="1:13" ht="12.75" customHeight="1" x14ac:dyDescent="0.25">
      <c r="A2281"/>
      <c r="B2281"/>
      <c r="C2281"/>
      <c r="M2281"/>
    </row>
    <row r="2282" spans="1:13" ht="12.75" customHeight="1" x14ac:dyDescent="0.25">
      <c r="A2282"/>
      <c r="B2282"/>
      <c r="C2282"/>
      <c r="M2282"/>
    </row>
    <row r="2283" spans="1:13" ht="12.75" customHeight="1" x14ac:dyDescent="0.25">
      <c r="A2283"/>
      <c r="B2283"/>
      <c r="C2283"/>
      <c r="M2283"/>
    </row>
    <row r="2284" spans="1:13" ht="12.75" customHeight="1" x14ac:dyDescent="0.25">
      <c r="A2284"/>
      <c r="B2284"/>
      <c r="C2284"/>
      <c r="M2284"/>
    </row>
    <row r="2285" spans="1:13" ht="12.75" customHeight="1" x14ac:dyDescent="0.25">
      <c r="A2285"/>
      <c r="B2285"/>
      <c r="C2285"/>
      <c r="M2285"/>
    </row>
    <row r="2286" spans="1:13" ht="12.75" customHeight="1" x14ac:dyDescent="0.25">
      <c r="A2286"/>
      <c r="B2286"/>
      <c r="C2286"/>
      <c r="M2286"/>
    </row>
    <row r="2287" spans="1:13" ht="12.75" customHeight="1" x14ac:dyDescent="0.25">
      <c r="A2287"/>
      <c r="B2287"/>
      <c r="C2287"/>
      <c r="M2287"/>
    </row>
    <row r="2288" spans="1:13" ht="12.75" customHeight="1" x14ac:dyDescent="0.25">
      <c r="A2288"/>
      <c r="B2288"/>
      <c r="C2288"/>
      <c r="M2288"/>
    </row>
    <row r="2289" spans="1:13" ht="12.75" customHeight="1" x14ac:dyDescent="0.25">
      <c r="A2289"/>
      <c r="B2289"/>
      <c r="C2289"/>
      <c r="M2289"/>
    </row>
    <row r="2290" spans="1:13" ht="12.75" customHeight="1" x14ac:dyDescent="0.25">
      <c r="A2290"/>
      <c r="B2290"/>
      <c r="C2290"/>
      <c r="M2290"/>
    </row>
    <row r="2291" spans="1:13" ht="12.75" customHeight="1" x14ac:dyDescent="0.25">
      <c r="A2291"/>
      <c r="B2291"/>
      <c r="C2291"/>
      <c r="M2291"/>
    </row>
    <row r="2292" spans="1:13" ht="12.75" customHeight="1" x14ac:dyDescent="0.25">
      <c r="A2292"/>
      <c r="B2292"/>
      <c r="C2292"/>
      <c r="M2292"/>
    </row>
    <row r="2293" spans="1:13" ht="12.75" customHeight="1" x14ac:dyDescent="0.25">
      <c r="A2293"/>
      <c r="B2293"/>
      <c r="C2293"/>
      <c r="M2293"/>
    </row>
    <row r="2294" spans="1:13" ht="12.75" customHeight="1" x14ac:dyDescent="0.25">
      <c r="A2294"/>
      <c r="B2294"/>
      <c r="C2294"/>
      <c r="M2294"/>
    </row>
    <row r="2295" spans="1:13" ht="12.75" customHeight="1" x14ac:dyDescent="0.25">
      <c r="A2295"/>
      <c r="B2295"/>
      <c r="C2295"/>
      <c r="M2295"/>
    </row>
    <row r="2296" spans="1:13" ht="12.75" customHeight="1" x14ac:dyDescent="0.25">
      <c r="A2296"/>
      <c r="B2296"/>
      <c r="C2296"/>
      <c r="M2296"/>
    </row>
    <row r="2297" spans="1:13" ht="12.75" customHeight="1" x14ac:dyDescent="0.25">
      <c r="A2297"/>
      <c r="B2297"/>
      <c r="C2297"/>
      <c r="M2297"/>
    </row>
    <row r="2298" spans="1:13" ht="12.75" customHeight="1" x14ac:dyDescent="0.25">
      <c r="A2298"/>
      <c r="B2298"/>
      <c r="C2298"/>
      <c r="M2298"/>
    </row>
    <row r="2299" spans="1:13" ht="12.75" customHeight="1" x14ac:dyDescent="0.25">
      <c r="A2299"/>
      <c r="B2299"/>
      <c r="C2299"/>
      <c r="M2299"/>
    </row>
    <row r="2300" spans="1:13" ht="12.75" customHeight="1" x14ac:dyDescent="0.25">
      <c r="A2300"/>
      <c r="B2300"/>
      <c r="C2300"/>
      <c r="M2300"/>
    </row>
    <row r="2301" spans="1:13" ht="12.75" customHeight="1" x14ac:dyDescent="0.25">
      <c r="A2301"/>
      <c r="B2301"/>
      <c r="C2301"/>
      <c r="M2301"/>
    </row>
    <row r="2302" spans="1:13" ht="12.75" customHeight="1" x14ac:dyDescent="0.25">
      <c r="A2302"/>
      <c r="B2302"/>
      <c r="C2302"/>
      <c r="M2302"/>
    </row>
    <row r="2303" spans="1:13" ht="12.75" customHeight="1" x14ac:dyDescent="0.25">
      <c r="A2303"/>
      <c r="B2303"/>
      <c r="C2303"/>
      <c r="M2303"/>
    </row>
    <row r="2304" spans="1:13" ht="12.75" customHeight="1" x14ac:dyDescent="0.25">
      <c r="A2304"/>
      <c r="B2304"/>
      <c r="C2304"/>
      <c r="M2304"/>
    </row>
    <row r="2305" spans="1:13" ht="12.75" customHeight="1" x14ac:dyDescent="0.25">
      <c r="A2305"/>
      <c r="B2305"/>
      <c r="C2305"/>
      <c r="M2305"/>
    </row>
    <row r="2306" spans="1:13" ht="12.75" customHeight="1" x14ac:dyDescent="0.25">
      <c r="A2306"/>
      <c r="B2306"/>
      <c r="C2306"/>
      <c r="M2306"/>
    </row>
    <row r="2307" spans="1:13" ht="12.75" customHeight="1" x14ac:dyDescent="0.25">
      <c r="A2307"/>
      <c r="B2307"/>
      <c r="C2307"/>
      <c r="M2307"/>
    </row>
    <row r="2308" spans="1:13" ht="12.75" customHeight="1" x14ac:dyDescent="0.25">
      <c r="A2308"/>
      <c r="B2308"/>
      <c r="C2308"/>
      <c r="M2308"/>
    </row>
    <row r="2309" spans="1:13" ht="12.75" customHeight="1" x14ac:dyDescent="0.25">
      <c r="A2309"/>
      <c r="B2309"/>
      <c r="C2309"/>
      <c r="M2309"/>
    </row>
    <row r="2310" spans="1:13" ht="12.75" customHeight="1" x14ac:dyDescent="0.25">
      <c r="A2310"/>
      <c r="B2310"/>
      <c r="C2310"/>
      <c r="M2310"/>
    </row>
    <row r="2311" spans="1:13" ht="12.75" customHeight="1" x14ac:dyDescent="0.25">
      <c r="A2311"/>
      <c r="B2311"/>
      <c r="C2311"/>
      <c r="M2311"/>
    </row>
    <row r="2312" spans="1:13" ht="12.75" customHeight="1" x14ac:dyDescent="0.25">
      <c r="A2312"/>
      <c r="B2312"/>
      <c r="C2312"/>
      <c r="M2312"/>
    </row>
    <row r="2313" spans="1:13" ht="12.75" customHeight="1" x14ac:dyDescent="0.25">
      <c r="A2313"/>
      <c r="B2313"/>
      <c r="C2313"/>
      <c r="M2313"/>
    </row>
    <row r="2314" spans="1:13" ht="12.75" customHeight="1" x14ac:dyDescent="0.25">
      <c r="A2314"/>
      <c r="B2314"/>
      <c r="C2314"/>
      <c r="M2314"/>
    </row>
    <row r="2315" spans="1:13" ht="12.75" customHeight="1" x14ac:dyDescent="0.25">
      <c r="A2315"/>
      <c r="B2315"/>
      <c r="C2315"/>
      <c r="M2315"/>
    </row>
    <row r="2316" spans="1:13" ht="12.75" customHeight="1" x14ac:dyDescent="0.25">
      <c r="A2316"/>
      <c r="B2316"/>
      <c r="C2316"/>
      <c r="M2316"/>
    </row>
    <row r="2317" spans="1:13" ht="12.75" customHeight="1" x14ac:dyDescent="0.25">
      <c r="A2317"/>
      <c r="B2317"/>
      <c r="C2317"/>
      <c r="M2317"/>
    </row>
    <row r="2318" spans="1:13" ht="12.75" customHeight="1" x14ac:dyDescent="0.25">
      <c r="A2318"/>
      <c r="B2318"/>
      <c r="C2318"/>
      <c r="M2318"/>
    </row>
    <row r="2319" spans="1:13" ht="12.75" customHeight="1" x14ac:dyDescent="0.25">
      <c r="A2319"/>
      <c r="B2319"/>
      <c r="C2319"/>
      <c r="M2319"/>
    </row>
    <row r="2320" spans="1:13" ht="12.75" customHeight="1" x14ac:dyDescent="0.25">
      <c r="A2320"/>
      <c r="B2320"/>
      <c r="C2320"/>
      <c r="M2320"/>
    </row>
    <row r="2321" spans="1:13" ht="12.75" customHeight="1" x14ac:dyDescent="0.25">
      <c r="A2321"/>
      <c r="B2321"/>
      <c r="C2321"/>
      <c r="M2321"/>
    </row>
    <row r="2322" spans="1:13" ht="12.75" customHeight="1" x14ac:dyDescent="0.25">
      <c r="A2322"/>
      <c r="B2322"/>
      <c r="C2322"/>
      <c r="M2322"/>
    </row>
    <row r="2323" spans="1:13" ht="12.75" customHeight="1" x14ac:dyDescent="0.25">
      <c r="A2323"/>
      <c r="B2323"/>
      <c r="C2323"/>
      <c r="M2323"/>
    </row>
    <row r="2324" spans="1:13" ht="12.75" customHeight="1" x14ac:dyDescent="0.25">
      <c r="A2324"/>
      <c r="B2324"/>
      <c r="C2324"/>
      <c r="M2324"/>
    </row>
    <row r="2325" spans="1:13" ht="12.75" customHeight="1" x14ac:dyDescent="0.25">
      <c r="A2325"/>
      <c r="B2325"/>
      <c r="C2325"/>
      <c r="M2325"/>
    </row>
    <row r="2326" spans="1:13" ht="12.75" customHeight="1" x14ac:dyDescent="0.25">
      <c r="A2326"/>
      <c r="B2326"/>
      <c r="C2326"/>
      <c r="M2326"/>
    </row>
    <row r="2327" spans="1:13" ht="12.75" customHeight="1" x14ac:dyDescent="0.25">
      <c r="A2327"/>
      <c r="B2327"/>
      <c r="C2327"/>
      <c r="M2327"/>
    </row>
    <row r="2328" spans="1:13" ht="12.75" customHeight="1" x14ac:dyDescent="0.25">
      <c r="A2328"/>
      <c r="B2328"/>
      <c r="C2328"/>
      <c r="M2328"/>
    </row>
    <row r="2329" spans="1:13" ht="12.75" customHeight="1" x14ac:dyDescent="0.25">
      <c r="A2329"/>
      <c r="B2329"/>
      <c r="C2329"/>
      <c r="M2329"/>
    </row>
    <row r="2330" spans="1:13" ht="12.75" customHeight="1" x14ac:dyDescent="0.25">
      <c r="A2330"/>
      <c r="B2330"/>
      <c r="C2330"/>
      <c r="M2330"/>
    </row>
    <row r="2331" spans="1:13" ht="12.75" customHeight="1" x14ac:dyDescent="0.25">
      <c r="A2331"/>
      <c r="B2331"/>
      <c r="C2331"/>
      <c r="M2331"/>
    </row>
    <row r="2332" spans="1:13" ht="12.75" customHeight="1" x14ac:dyDescent="0.25">
      <c r="A2332"/>
      <c r="B2332"/>
      <c r="C2332"/>
      <c r="M2332"/>
    </row>
    <row r="2333" spans="1:13" ht="12.75" customHeight="1" x14ac:dyDescent="0.25">
      <c r="A2333"/>
      <c r="B2333"/>
      <c r="C2333"/>
      <c r="M2333"/>
    </row>
    <row r="2334" spans="1:13" ht="12.75" customHeight="1" x14ac:dyDescent="0.25">
      <c r="A2334"/>
      <c r="B2334"/>
      <c r="C2334"/>
      <c r="M2334"/>
    </row>
    <row r="2335" spans="1:13" ht="12.75" customHeight="1" x14ac:dyDescent="0.25">
      <c r="A2335"/>
      <c r="B2335"/>
      <c r="C2335"/>
      <c r="M2335"/>
    </row>
    <row r="2336" spans="1:13" ht="12.75" customHeight="1" x14ac:dyDescent="0.25">
      <c r="A2336"/>
      <c r="B2336"/>
      <c r="C2336"/>
      <c r="M2336"/>
    </row>
    <row r="2337" spans="1:13" ht="12.75" customHeight="1" x14ac:dyDescent="0.25">
      <c r="A2337"/>
      <c r="B2337"/>
      <c r="C2337"/>
      <c r="M2337"/>
    </row>
    <row r="2338" spans="1:13" ht="12.75" customHeight="1" x14ac:dyDescent="0.25">
      <c r="A2338"/>
      <c r="B2338"/>
      <c r="C2338"/>
      <c r="M2338"/>
    </row>
    <row r="2339" spans="1:13" ht="12.75" customHeight="1" x14ac:dyDescent="0.25">
      <c r="A2339"/>
      <c r="B2339"/>
      <c r="C2339"/>
      <c r="M2339"/>
    </row>
    <row r="2340" spans="1:13" ht="12.75" customHeight="1" x14ac:dyDescent="0.25">
      <c r="A2340"/>
      <c r="B2340"/>
      <c r="C2340"/>
      <c r="M2340"/>
    </row>
    <row r="2341" spans="1:13" ht="12.75" customHeight="1" x14ac:dyDescent="0.25">
      <c r="A2341"/>
      <c r="B2341"/>
      <c r="C2341"/>
      <c r="M2341"/>
    </row>
    <row r="2342" spans="1:13" ht="12.75" customHeight="1" x14ac:dyDescent="0.25">
      <c r="A2342"/>
      <c r="B2342"/>
      <c r="C2342"/>
      <c r="M2342"/>
    </row>
    <row r="2343" spans="1:13" ht="12.75" customHeight="1" x14ac:dyDescent="0.25">
      <c r="A2343"/>
      <c r="B2343"/>
      <c r="C2343"/>
      <c r="M2343"/>
    </row>
    <row r="2344" spans="1:13" ht="12.75" customHeight="1" x14ac:dyDescent="0.25">
      <c r="A2344"/>
      <c r="B2344"/>
      <c r="C2344"/>
      <c r="M2344"/>
    </row>
    <row r="2345" spans="1:13" ht="12.75" customHeight="1" x14ac:dyDescent="0.25">
      <c r="A2345"/>
      <c r="B2345"/>
      <c r="C2345"/>
      <c r="M2345"/>
    </row>
    <row r="2346" spans="1:13" ht="12.75" customHeight="1" x14ac:dyDescent="0.25">
      <c r="A2346"/>
      <c r="B2346"/>
      <c r="C2346"/>
      <c r="M2346"/>
    </row>
    <row r="2347" spans="1:13" ht="12.75" customHeight="1" x14ac:dyDescent="0.25">
      <c r="A2347"/>
      <c r="B2347"/>
      <c r="C2347"/>
      <c r="M2347"/>
    </row>
    <row r="2348" spans="1:13" ht="12.75" customHeight="1" x14ac:dyDescent="0.25">
      <c r="A2348"/>
      <c r="B2348"/>
      <c r="C2348"/>
      <c r="M2348"/>
    </row>
    <row r="2349" spans="1:13" ht="12.75" customHeight="1" x14ac:dyDescent="0.25">
      <c r="A2349"/>
      <c r="B2349"/>
      <c r="C2349"/>
      <c r="M2349"/>
    </row>
    <row r="2350" spans="1:13" ht="12.75" customHeight="1" x14ac:dyDescent="0.25">
      <c r="A2350"/>
      <c r="B2350"/>
      <c r="C2350"/>
      <c r="M2350"/>
    </row>
    <row r="2351" spans="1:13" ht="12.75" customHeight="1" x14ac:dyDescent="0.25">
      <c r="A2351"/>
      <c r="B2351"/>
      <c r="C2351"/>
      <c r="M2351"/>
    </row>
    <row r="2352" spans="1:13" ht="12.75" customHeight="1" x14ac:dyDescent="0.25">
      <c r="A2352"/>
      <c r="B2352"/>
      <c r="C2352"/>
      <c r="M2352"/>
    </row>
    <row r="2353" spans="1:13" ht="12.75" customHeight="1" x14ac:dyDescent="0.25">
      <c r="A2353"/>
      <c r="B2353"/>
      <c r="C2353"/>
      <c r="M2353"/>
    </row>
    <row r="2354" spans="1:13" ht="12.75" customHeight="1" x14ac:dyDescent="0.25">
      <c r="A2354"/>
      <c r="B2354"/>
      <c r="C2354"/>
      <c r="M2354"/>
    </row>
    <row r="2355" spans="1:13" ht="12.75" customHeight="1" x14ac:dyDescent="0.25">
      <c r="A2355"/>
      <c r="B2355"/>
      <c r="C2355"/>
      <c r="M2355"/>
    </row>
    <row r="2356" spans="1:13" ht="12.75" customHeight="1" x14ac:dyDescent="0.25">
      <c r="A2356"/>
      <c r="B2356"/>
      <c r="C2356"/>
      <c r="M2356"/>
    </row>
    <row r="2357" spans="1:13" ht="12.75" customHeight="1" x14ac:dyDescent="0.25">
      <c r="A2357"/>
      <c r="B2357"/>
      <c r="C2357"/>
      <c r="M2357"/>
    </row>
    <row r="2358" spans="1:13" ht="12.75" customHeight="1" x14ac:dyDescent="0.25">
      <c r="A2358"/>
      <c r="B2358"/>
      <c r="C2358"/>
      <c r="M2358"/>
    </row>
    <row r="2359" spans="1:13" ht="12.75" customHeight="1" x14ac:dyDescent="0.25">
      <c r="A2359"/>
      <c r="B2359"/>
      <c r="C2359"/>
      <c r="M2359"/>
    </row>
    <row r="2360" spans="1:13" ht="12.75" customHeight="1" x14ac:dyDescent="0.25">
      <c r="A2360"/>
      <c r="B2360"/>
      <c r="C2360"/>
      <c r="M2360"/>
    </row>
    <row r="2361" spans="1:13" ht="12.75" customHeight="1" x14ac:dyDescent="0.25">
      <c r="A2361"/>
      <c r="B2361"/>
      <c r="C2361"/>
      <c r="M2361"/>
    </row>
    <row r="2362" spans="1:13" ht="12.75" customHeight="1" x14ac:dyDescent="0.25">
      <c r="A2362"/>
      <c r="B2362"/>
      <c r="C2362"/>
      <c r="M2362"/>
    </row>
    <row r="2363" spans="1:13" ht="12.75" customHeight="1" x14ac:dyDescent="0.25">
      <c r="A2363"/>
      <c r="B2363"/>
      <c r="C2363"/>
      <c r="M2363"/>
    </row>
    <row r="2364" spans="1:13" ht="12.75" customHeight="1" x14ac:dyDescent="0.25">
      <c r="A2364"/>
      <c r="B2364"/>
      <c r="C2364"/>
      <c r="M2364"/>
    </row>
    <row r="2365" spans="1:13" ht="12.75" customHeight="1" x14ac:dyDescent="0.25">
      <c r="A2365"/>
      <c r="B2365"/>
      <c r="C2365"/>
      <c r="M2365"/>
    </row>
    <row r="2366" spans="1:13" ht="12.75" customHeight="1" x14ac:dyDescent="0.25">
      <c r="A2366"/>
      <c r="B2366"/>
      <c r="C2366"/>
      <c r="M2366"/>
    </row>
    <row r="2367" spans="1:13" ht="12.75" customHeight="1" x14ac:dyDescent="0.25">
      <c r="A2367"/>
      <c r="B2367"/>
      <c r="C2367"/>
      <c r="M2367"/>
    </row>
    <row r="2368" spans="1:13" ht="12.75" customHeight="1" x14ac:dyDescent="0.25">
      <c r="A2368"/>
      <c r="B2368"/>
      <c r="C2368"/>
      <c r="M2368"/>
    </row>
    <row r="2369" spans="1:13" ht="12.75" customHeight="1" x14ac:dyDescent="0.25">
      <c r="A2369"/>
      <c r="B2369"/>
      <c r="C2369"/>
      <c r="M2369"/>
    </row>
    <row r="2370" spans="1:13" ht="12.75" customHeight="1" x14ac:dyDescent="0.25">
      <c r="A2370"/>
      <c r="B2370"/>
      <c r="C2370"/>
      <c r="M2370"/>
    </row>
    <row r="2371" spans="1:13" ht="12.75" customHeight="1" x14ac:dyDescent="0.25">
      <c r="A2371"/>
      <c r="B2371"/>
      <c r="C2371"/>
      <c r="M2371"/>
    </row>
    <row r="2372" spans="1:13" ht="12.75" customHeight="1" x14ac:dyDescent="0.25">
      <c r="A2372"/>
      <c r="B2372"/>
      <c r="C2372"/>
      <c r="M2372"/>
    </row>
    <row r="2373" spans="1:13" ht="12.75" customHeight="1" x14ac:dyDescent="0.25">
      <c r="A2373"/>
      <c r="B2373"/>
      <c r="C2373"/>
      <c r="M2373"/>
    </row>
    <row r="2374" spans="1:13" ht="12.75" customHeight="1" x14ac:dyDescent="0.25">
      <c r="A2374"/>
      <c r="B2374"/>
      <c r="C2374"/>
      <c r="M2374"/>
    </row>
    <row r="2375" spans="1:13" ht="12.75" customHeight="1" x14ac:dyDescent="0.25">
      <c r="A2375"/>
      <c r="B2375"/>
      <c r="C2375"/>
      <c r="M2375"/>
    </row>
    <row r="2376" spans="1:13" ht="12.75" customHeight="1" x14ac:dyDescent="0.25">
      <c r="A2376"/>
      <c r="B2376"/>
      <c r="C2376"/>
      <c r="M2376"/>
    </row>
    <row r="2377" spans="1:13" ht="12.75" customHeight="1" x14ac:dyDescent="0.25">
      <c r="A2377"/>
      <c r="B2377"/>
      <c r="C2377"/>
      <c r="M2377"/>
    </row>
    <row r="2378" spans="1:13" ht="12.75" customHeight="1" x14ac:dyDescent="0.25">
      <c r="A2378"/>
      <c r="B2378"/>
      <c r="C2378"/>
      <c r="M2378"/>
    </row>
    <row r="2379" spans="1:13" ht="12.75" customHeight="1" x14ac:dyDescent="0.25">
      <c r="A2379"/>
      <c r="B2379"/>
      <c r="C2379"/>
      <c r="M2379"/>
    </row>
    <row r="2380" spans="1:13" ht="12.75" customHeight="1" x14ac:dyDescent="0.25">
      <c r="A2380"/>
      <c r="B2380"/>
      <c r="C2380"/>
      <c r="M2380"/>
    </row>
    <row r="2381" spans="1:13" ht="12.75" customHeight="1" x14ac:dyDescent="0.25">
      <c r="A2381"/>
      <c r="B2381"/>
      <c r="C2381"/>
      <c r="M2381"/>
    </row>
    <row r="2382" spans="1:13" ht="12.75" customHeight="1" x14ac:dyDescent="0.25">
      <c r="A2382"/>
      <c r="B2382"/>
      <c r="C2382"/>
      <c r="M2382"/>
    </row>
    <row r="2383" spans="1:13" ht="12.75" customHeight="1" x14ac:dyDescent="0.25">
      <c r="A2383"/>
      <c r="B2383"/>
      <c r="C2383"/>
      <c r="M2383"/>
    </row>
    <row r="2384" spans="1:13" ht="12.75" customHeight="1" x14ac:dyDescent="0.25">
      <c r="A2384"/>
      <c r="B2384"/>
      <c r="C2384"/>
      <c r="M2384"/>
    </row>
    <row r="2385" spans="1:13" ht="12.75" customHeight="1" x14ac:dyDescent="0.25">
      <c r="A2385"/>
      <c r="B2385"/>
      <c r="C2385"/>
      <c r="M2385"/>
    </row>
    <row r="2386" spans="1:13" ht="12.75" customHeight="1" x14ac:dyDescent="0.25">
      <c r="A2386"/>
      <c r="B2386"/>
      <c r="C2386"/>
      <c r="M2386"/>
    </row>
    <row r="2387" spans="1:13" ht="12.75" customHeight="1" x14ac:dyDescent="0.25">
      <c r="A2387"/>
      <c r="B2387"/>
      <c r="C2387"/>
      <c r="M2387"/>
    </row>
    <row r="2388" spans="1:13" ht="12.75" customHeight="1" x14ac:dyDescent="0.25">
      <c r="A2388"/>
      <c r="B2388"/>
      <c r="C2388"/>
      <c r="M2388"/>
    </row>
    <row r="2389" spans="1:13" ht="12.75" customHeight="1" x14ac:dyDescent="0.25">
      <c r="A2389"/>
      <c r="B2389"/>
      <c r="C2389"/>
      <c r="M2389"/>
    </row>
    <row r="2390" spans="1:13" ht="12.75" customHeight="1" x14ac:dyDescent="0.25">
      <c r="A2390"/>
      <c r="B2390"/>
      <c r="C2390"/>
      <c r="M2390"/>
    </row>
    <row r="2391" spans="1:13" ht="12.75" customHeight="1" x14ac:dyDescent="0.25">
      <c r="A2391"/>
      <c r="B2391"/>
      <c r="C2391"/>
      <c r="M2391"/>
    </row>
    <row r="2392" spans="1:13" ht="12.75" customHeight="1" x14ac:dyDescent="0.25">
      <c r="A2392"/>
      <c r="B2392"/>
      <c r="C2392"/>
      <c r="M2392"/>
    </row>
    <row r="2393" spans="1:13" ht="12.75" customHeight="1" x14ac:dyDescent="0.25">
      <c r="A2393"/>
      <c r="B2393"/>
      <c r="C2393"/>
      <c r="M2393"/>
    </row>
    <row r="2394" spans="1:13" ht="12.75" customHeight="1" x14ac:dyDescent="0.25">
      <c r="A2394"/>
      <c r="B2394"/>
      <c r="C2394"/>
      <c r="M2394"/>
    </row>
    <row r="2395" spans="1:13" ht="12.75" customHeight="1" x14ac:dyDescent="0.25">
      <c r="A2395"/>
      <c r="B2395"/>
      <c r="C2395"/>
      <c r="M2395"/>
    </row>
    <row r="2396" spans="1:13" ht="12.75" customHeight="1" x14ac:dyDescent="0.25">
      <c r="A2396"/>
      <c r="B2396"/>
      <c r="C2396"/>
      <c r="M2396"/>
    </row>
    <row r="2397" spans="1:13" ht="12.75" customHeight="1" x14ac:dyDescent="0.25">
      <c r="A2397"/>
      <c r="B2397"/>
      <c r="C2397"/>
      <c r="M2397"/>
    </row>
    <row r="2398" spans="1:13" ht="12.75" customHeight="1" x14ac:dyDescent="0.25">
      <c r="A2398"/>
      <c r="B2398"/>
      <c r="C2398"/>
      <c r="M2398"/>
    </row>
    <row r="2399" spans="1:13" ht="12.75" customHeight="1" x14ac:dyDescent="0.25">
      <c r="A2399"/>
      <c r="B2399"/>
      <c r="C2399"/>
      <c r="M2399"/>
    </row>
    <row r="2400" spans="1:13" ht="12.75" customHeight="1" x14ac:dyDescent="0.25">
      <c r="A2400"/>
      <c r="B2400"/>
      <c r="C2400"/>
      <c r="M2400"/>
    </row>
    <row r="2401" spans="1:13" ht="12.75" customHeight="1" x14ac:dyDescent="0.25">
      <c r="A2401"/>
      <c r="B2401"/>
      <c r="C2401"/>
      <c r="M2401"/>
    </row>
    <row r="2402" spans="1:13" ht="12.75" customHeight="1" x14ac:dyDescent="0.25">
      <c r="A2402"/>
      <c r="B2402"/>
      <c r="C2402"/>
      <c r="M2402"/>
    </row>
    <row r="2403" spans="1:13" ht="12.75" customHeight="1" x14ac:dyDescent="0.25">
      <c r="A2403"/>
      <c r="B2403"/>
      <c r="C2403"/>
      <c r="M2403"/>
    </row>
    <row r="2404" spans="1:13" ht="12.75" customHeight="1" x14ac:dyDescent="0.25">
      <c r="A2404"/>
      <c r="B2404"/>
      <c r="C2404"/>
      <c r="M2404"/>
    </row>
    <row r="2405" spans="1:13" ht="12.75" customHeight="1" x14ac:dyDescent="0.25">
      <c r="A2405"/>
      <c r="B2405"/>
      <c r="C2405"/>
      <c r="M2405"/>
    </row>
    <row r="2406" spans="1:13" ht="12.75" customHeight="1" x14ac:dyDescent="0.25">
      <c r="A2406"/>
      <c r="B2406"/>
      <c r="C2406"/>
      <c r="M2406"/>
    </row>
    <row r="2407" spans="1:13" ht="12.75" customHeight="1" x14ac:dyDescent="0.25">
      <c r="A2407"/>
      <c r="B2407"/>
      <c r="C2407"/>
      <c r="M2407"/>
    </row>
    <row r="2408" spans="1:13" ht="12.75" customHeight="1" x14ac:dyDescent="0.25">
      <c r="A2408"/>
      <c r="B2408"/>
      <c r="C2408"/>
      <c r="M2408"/>
    </row>
    <row r="2409" spans="1:13" ht="12.75" customHeight="1" x14ac:dyDescent="0.25">
      <c r="A2409"/>
      <c r="B2409"/>
      <c r="C2409"/>
      <c r="M2409"/>
    </row>
    <row r="2410" spans="1:13" ht="12.75" customHeight="1" x14ac:dyDescent="0.25">
      <c r="A2410"/>
      <c r="B2410"/>
      <c r="C2410"/>
      <c r="M2410"/>
    </row>
    <row r="2411" spans="1:13" ht="12.75" customHeight="1" x14ac:dyDescent="0.25">
      <c r="A2411"/>
      <c r="B2411"/>
      <c r="C2411"/>
      <c r="M2411"/>
    </row>
    <row r="2412" spans="1:13" ht="12.75" customHeight="1" x14ac:dyDescent="0.25">
      <c r="A2412"/>
      <c r="B2412"/>
      <c r="C2412"/>
      <c r="M2412"/>
    </row>
    <row r="2413" spans="1:13" ht="12.75" customHeight="1" x14ac:dyDescent="0.25">
      <c r="A2413"/>
      <c r="B2413"/>
      <c r="C2413"/>
      <c r="M2413"/>
    </row>
    <row r="2414" spans="1:13" ht="12.75" customHeight="1" x14ac:dyDescent="0.25">
      <c r="A2414"/>
      <c r="B2414"/>
      <c r="C2414"/>
      <c r="M2414"/>
    </row>
    <row r="2415" spans="1:13" ht="12.75" customHeight="1" x14ac:dyDescent="0.25">
      <c r="A2415"/>
      <c r="B2415"/>
      <c r="C2415"/>
      <c r="M2415"/>
    </row>
    <row r="2416" spans="1:13" ht="12.75" customHeight="1" x14ac:dyDescent="0.25">
      <c r="A2416"/>
      <c r="B2416"/>
      <c r="C2416"/>
      <c r="M2416"/>
    </row>
    <row r="2417" spans="1:13" ht="12.75" customHeight="1" x14ac:dyDescent="0.25">
      <c r="A2417"/>
      <c r="B2417"/>
      <c r="C2417"/>
      <c r="M2417"/>
    </row>
    <row r="2418" spans="1:13" ht="12.75" customHeight="1" x14ac:dyDescent="0.25">
      <c r="A2418"/>
      <c r="B2418"/>
      <c r="C2418"/>
      <c r="M2418"/>
    </row>
    <row r="2419" spans="1:13" ht="12.75" customHeight="1" x14ac:dyDescent="0.25">
      <c r="A2419"/>
      <c r="B2419"/>
      <c r="C2419"/>
      <c r="M2419"/>
    </row>
    <row r="2420" spans="1:13" ht="12.75" customHeight="1" x14ac:dyDescent="0.25">
      <c r="A2420"/>
      <c r="B2420"/>
      <c r="C2420"/>
      <c r="M2420"/>
    </row>
    <row r="2421" spans="1:13" ht="12.75" customHeight="1" x14ac:dyDescent="0.25">
      <c r="A2421"/>
      <c r="B2421"/>
      <c r="C2421"/>
      <c r="M2421"/>
    </row>
    <row r="2422" spans="1:13" ht="12.75" customHeight="1" x14ac:dyDescent="0.25">
      <c r="A2422"/>
      <c r="B2422"/>
      <c r="C2422"/>
      <c r="M2422"/>
    </row>
    <row r="2423" spans="1:13" ht="12.75" customHeight="1" x14ac:dyDescent="0.25">
      <c r="A2423"/>
      <c r="B2423"/>
      <c r="C2423"/>
      <c r="M2423"/>
    </row>
    <row r="2424" spans="1:13" ht="12.75" customHeight="1" x14ac:dyDescent="0.25">
      <c r="A2424"/>
      <c r="B2424"/>
      <c r="C2424"/>
      <c r="M2424"/>
    </row>
    <row r="2425" spans="1:13" ht="12.75" customHeight="1" x14ac:dyDescent="0.25">
      <c r="A2425"/>
      <c r="B2425"/>
      <c r="C2425"/>
      <c r="M2425"/>
    </row>
    <row r="2426" spans="1:13" ht="12.75" customHeight="1" x14ac:dyDescent="0.25">
      <c r="A2426"/>
      <c r="B2426"/>
      <c r="C2426"/>
      <c r="M2426"/>
    </row>
    <row r="2427" spans="1:13" ht="12.75" customHeight="1" x14ac:dyDescent="0.25">
      <c r="A2427"/>
      <c r="B2427"/>
      <c r="C2427"/>
      <c r="M2427"/>
    </row>
    <row r="2428" spans="1:13" ht="12.75" customHeight="1" x14ac:dyDescent="0.25">
      <c r="A2428"/>
      <c r="B2428"/>
      <c r="C2428"/>
      <c r="M2428"/>
    </row>
    <row r="2429" spans="1:13" ht="12.75" customHeight="1" x14ac:dyDescent="0.25">
      <c r="A2429"/>
      <c r="B2429"/>
      <c r="C2429"/>
      <c r="M2429"/>
    </row>
    <row r="2430" spans="1:13" ht="12.75" customHeight="1" x14ac:dyDescent="0.25">
      <c r="A2430"/>
      <c r="B2430"/>
      <c r="C2430"/>
      <c r="M2430"/>
    </row>
    <row r="2431" spans="1:13" ht="12.75" customHeight="1" x14ac:dyDescent="0.25">
      <c r="A2431"/>
      <c r="B2431"/>
      <c r="C2431"/>
      <c r="M2431"/>
    </row>
    <row r="2432" spans="1:13" ht="12.75" customHeight="1" x14ac:dyDescent="0.25">
      <c r="A2432"/>
      <c r="B2432"/>
      <c r="C2432"/>
      <c r="M2432"/>
    </row>
    <row r="2433" spans="1:13" ht="12.75" customHeight="1" x14ac:dyDescent="0.25">
      <c r="A2433"/>
      <c r="B2433"/>
      <c r="C2433"/>
      <c r="M2433"/>
    </row>
    <row r="2434" spans="1:13" ht="12.75" customHeight="1" x14ac:dyDescent="0.25">
      <c r="A2434"/>
      <c r="B2434"/>
      <c r="C2434"/>
      <c r="M2434"/>
    </row>
    <row r="2435" spans="1:13" ht="12.75" customHeight="1" x14ac:dyDescent="0.25">
      <c r="A2435"/>
      <c r="B2435"/>
      <c r="C2435"/>
      <c r="M2435"/>
    </row>
    <row r="2436" spans="1:13" ht="12.75" customHeight="1" x14ac:dyDescent="0.25">
      <c r="A2436"/>
      <c r="B2436"/>
      <c r="C2436"/>
      <c r="M2436"/>
    </row>
    <row r="2437" spans="1:13" ht="12.75" customHeight="1" x14ac:dyDescent="0.25">
      <c r="A2437"/>
      <c r="B2437"/>
      <c r="C2437"/>
      <c r="M2437"/>
    </row>
    <row r="2438" spans="1:13" ht="12.75" customHeight="1" x14ac:dyDescent="0.25">
      <c r="A2438"/>
      <c r="B2438"/>
      <c r="C2438"/>
      <c r="M2438"/>
    </row>
    <row r="2439" spans="1:13" ht="12.75" customHeight="1" x14ac:dyDescent="0.25">
      <c r="A2439"/>
      <c r="B2439"/>
      <c r="C2439"/>
      <c r="M2439"/>
    </row>
    <row r="2440" spans="1:13" ht="12.75" customHeight="1" x14ac:dyDescent="0.25">
      <c r="A2440"/>
      <c r="B2440"/>
      <c r="C2440"/>
      <c r="M2440"/>
    </row>
    <row r="2441" spans="1:13" ht="12.75" customHeight="1" x14ac:dyDescent="0.25">
      <c r="A2441"/>
      <c r="B2441"/>
      <c r="C2441"/>
      <c r="M2441"/>
    </row>
    <row r="2442" spans="1:13" ht="12.75" customHeight="1" x14ac:dyDescent="0.25">
      <c r="A2442"/>
      <c r="B2442"/>
      <c r="C2442"/>
      <c r="M2442"/>
    </row>
    <row r="2443" spans="1:13" ht="12.75" customHeight="1" x14ac:dyDescent="0.25">
      <c r="A2443"/>
      <c r="B2443"/>
      <c r="C2443"/>
      <c r="M2443"/>
    </row>
    <row r="2444" spans="1:13" ht="12.75" customHeight="1" x14ac:dyDescent="0.25">
      <c r="A2444"/>
      <c r="B2444"/>
      <c r="C2444"/>
      <c r="M2444"/>
    </row>
    <row r="2445" spans="1:13" ht="12.75" customHeight="1" x14ac:dyDescent="0.25">
      <c r="A2445"/>
      <c r="B2445"/>
      <c r="C2445"/>
      <c r="M2445"/>
    </row>
    <row r="2446" spans="1:13" ht="12.75" customHeight="1" x14ac:dyDescent="0.25">
      <c r="A2446"/>
      <c r="B2446"/>
      <c r="C2446"/>
      <c r="M2446"/>
    </row>
    <row r="2447" spans="1:13" ht="12.75" customHeight="1" x14ac:dyDescent="0.25">
      <c r="A2447"/>
      <c r="B2447"/>
      <c r="C2447"/>
      <c r="M2447"/>
    </row>
    <row r="2448" spans="1:13" ht="12.75" customHeight="1" x14ac:dyDescent="0.25">
      <c r="A2448"/>
      <c r="B2448"/>
      <c r="C2448"/>
      <c r="M2448"/>
    </row>
    <row r="2449" spans="1:13" ht="12.75" customHeight="1" x14ac:dyDescent="0.25">
      <c r="A2449"/>
      <c r="B2449"/>
      <c r="C2449"/>
      <c r="M2449"/>
    </row>
    <row r="2450" spans="1:13" ht="12.75" customHeight="1" x14ac:dyDescent="0.25">
      <c r="A2450"/>
      <c r="B2450"/>
      <c r="C2450"/>
      <c r="M2450"/>
    </row>
    <row r="2451" spans="1:13" ht="12.75" customHeight="1" x14ac:dyDescent="0.25">
      <c r="A2451"/>
      <c r="B2451"/>
      <c r="C2451"/>
      <c r="M2451"/>
    </row>
    <row r="2452" spans="1:13" ht="12.75" customHeight="1" x14ac:dyDescent="0.25">
      <c r="A2452"/>
      <c r="B2452"/>
      <c r="C2452"/>
      <c r="M2452"/>
    </row>
    <row r="2453" spans="1:13" ht="12.75" customHeight="1" x14ac:dyDescent="0.25">
      <c r="A2453"/>
      <c r="B2453"/>
      <c r="C2453"/>
      <c r="M2453"/>
    </row>
    <row r="2454" spans="1:13" ht="12.75" customHeight="1" x14ac:dyDescent="0.25">
      <c r="A2454"/>
      <c r="B2454"/>
      <c r="C2454"/>
      <c r="M2454"/>
    </row>
    <row r="2455" spans="1:13" ht="12.75" customHeight="1" x14ac:dyDescent="0.25">
      <c r="A2455"/>
      <c r="B2455"/>
      <c r="C2455"/>
      <c r="M2455"/>
    </row>
    <row r="2456" spans="1:13" ht="12.75" customHeight="1" x14ac:dyDescent="0.25">
      <c r="A2456"/>
      <c r="B2456"/>
      <c r="C2456"/>
      <c r="M2456"/>
    </row>
    <row r="2457" spans="1:13" ht="12.75" customHeight="1" x14ac:dyDescent="0.25">
      <c r="A2457"/>
      <c r="B2457"/>
      <c r="C2457"/>
      <c r="M2457"/>
    </row>
    <row r="2458" spans="1:13" ht="12.75" customHeight="1" x14ac:dyDescent="0.25">
      <c r="A2458"/>
      <c r="B2458"/>
      <c r="C2458"/>
      <c r="M2458"/>
    </row>
    <row r="2459" spans="1:13" ht="12.75" customHeight="1" x14ac:dyDescent="0.25">
      <c r="A2459"/>
      <c r="B2459"/>
      <c r="C2459"/>
      <c r="M2459"/>
    </row>
    <row r="2460" spans="1:13" ht="12.75" customHeight="1" x14ac:dyDescent="0.25">
      <c r="A2460"/>
      <c r="B2460"/>
      <c r="C2460"/>
      <c r="M2460"/>
    </row>
    <row r="2461" spans="1:13" ht="12.75" customHeight="1" x14ac:dyDescent="0.25">
      <c r="A2461"/>
      <c r="B2461"/>
      <c r="C2461"/>
      <c r="M2461"/>
    </row>
    <row r="2462" spans="1:13" ht="12.75" customHeight="1" x14ac:dyDescent="0.25">
      <c r="A2462"/>
      <c r="B2462"/>
      <c r="C2462"/>
      <c r="M2462"/>
    </row>
    <row r="2463" spans="1:13" ht="12.75" customHeight="1" x14ac:dyDescent="0.25">
      <c r="A2463"/>
      <c r="B2463"/>
      <c r="C2463"/>
      <c r="M2463"/>
    </row>
    <row r="2464" spans="1:13" ht="12.75" customHeight="1" x14ac:dyDescent="0.25">
      <c r="A2464"/>
      <c r="B2464"/>
      <c r="C2464"/>
      <c r="M2464"/>
    </row>
    <row r="2465" spans="1:13" ht="12.75" customHeight="1" x14ac:dyDescent="0.25">
      <c r="A2465"/>
      <c r="B2465"/>
      <c r="C2465"/>
      <c r="M2465"/>
    </row>
    <row r="2466" spans="1:13" ht="12.75" customHeight="1" x14ac:dyDescent="0.25">
      <c r="A2466"/>
      <c r="B2466"/>
      <c r="C2466"/>
      <c r="M2466"/>
    </row>
    <row r="2467" spans="1:13" ht="12.75" customHeight="1" x14ac:dyDescent="0.25">
      <c r="A2467"/>
      <c r="B2467"/>
      <c r="C2467"/>
      <c r="M2467"/>
    </row>
    <row r="2468" spans="1:13" ht="12.75" customHeight="1" x14ac:dyDescent="0.25">
      <c r="A2468"/>
      <c r="B2468"/>
      <c r="C2468"/>
      <c r="M2468"/>
    </row>
    <row r="2469" spans="1:13" ht="12.75" customHeight="1" x14ac:dyDescent="0.25">
      <c r="A2469"/>
      <c r="B2469"/>
      <c r="C2469"/>
      <c r="M2469"/>
    </row>
    <row r="2470" spans="1:13" ht="12.75" customHeight="1" x14ac:dyDescent="0.25">
      <c r="A2470"/>
      <c r="B2470"/>
      <c r="C2470"/>
      <c r="M2470"/>
    </row>
    <row r="2471" spans="1:13" ht="12.75" customHeight="1" x14ac:dyDescent="0.25">
      <c r="A2471"/>
      <c r="B2471"/>
      <c r="C2471"/>
      <c r="M2471"/>
    </row>
    <row r="2472" spans="1:13" ht="12.75" customHeight="1" x14ac:dyDescent="0.25">
      <c r="A2472"/>
      <c r="B2472"/>
      <c r="C2472"/>
      <c r="M2472"/>
    </row>
    <row r="2473" spans="1:13" ht="12.75" customHeight="1" x14ac:dyDescent="0.25">
      <c r="A2473"/>
      <c r="B2473"/>
      <c r="C2473"/>
      <c r="M2473"/>
    </row>
    <row r="2474" spans="1:13" ht="12.75" customHeight="1" x14ac:dyDescent="0.25">
      <c r="A2474"/>
      <c r="B2474"/>
      <c r="C2474"/>
      <c r="M2474"/>
    </row>
    <row r="2475" spans="1:13" ht="12.75" customHeight="1" x14ac:dyDescent="0.25">
      <c r="A2475"/>
      <c r="B2475"/>
      <c r="C2475"/>
      <c r="M2475"/>
    </row>
    <row r="2476" spans="1:13" ht="12.75" customHeight="1" x14ac:dyDescent="0.25">
      <c r="A2476"/>
      <c r="B2476"/>
      <c r="C2476"/>
      <c r="M2476"/>
    </row>
    <row r="2477" spans="1:13" ht="12.75" customHeight="1" x14ac:dyDescent="0.25">
      <c r="A2477"/>
      <c r="B2477"/>
      <c r="C2477"/>
      <c r="M2477"/>
    </row>
    <row r="2478" spans="1:13" ht="12.75" customHeight="1" x14ac:dyDescent="0.25">
      <c r="A2478"/>
      <c r="B2478"/>
      <c r="C2478"/>
      <c r="M2478"/>
    </row>
    <row r="2479" spans="1:13" ht="12.75" customHeight="1" x14ac:dyDescent="0.25">
      <c r="A2479"/>
      <c r="B2479"/>
      <c r="C2479"/>
      <c r="M2479"/>
    </row>
    <row r="2480" spans="1:13" ht="12.75" customHeight="1" x14ac:dyDescent="0.25">
      <c r="A2480"/>
      <c r="B2480"/>
      <c r="C2480"/>
      <c r="M2480"/>
    </row>
    <row r="2481" spans="1:13" ht="12.75" customHeight="1" x14ac:dyDescent="0.25">
      <c r="A2481"/>
      <c r="B2481"/>
      <c r="C2481"/>
      <c r="M2481"/>
    </row>
    <row r="2482" spans="1:13" ht="12.75" customHeight="1" x14ac:dyDescent="0.25">
      <c r="A2482"/>
      <c r="B2482"/>
      <c r="C2482"/>
      <c r="M2482"/>
    </row>
    <row r="2483" spans="1:13" ht="12.75" customHeight="1" x14ac:dyDescent="0.25">
      <c r="A2483"/>
      <c r="B2483"/>
      <c r="C2483"/>
      <c r="M2483"/>
    </row>
    <row r="2484" spans="1:13" ht="12.75" customHeight="1" x14ac:dyDescent="0.25">
      <c r="A2484"/>
      <c r="B2484"/>
      <c r="C2484"/>
      <c r="M2484"/>
    </row>
    <row r="2485" spans="1:13" ht="12.75" customHeight="1" x14ac:dyDescent="0.25">
      <c r="A2485"/>
      <c r="B2485"/>
      <c r="C2485"/>
      <c r="M2485"/>
    </row>
    <row r="2486" spans="1:13" ht="12.75" customHeight="1" x14ac:dyDescent="0.25">
      <c r="A2486"/>
      <c r="B2486"/>
      <c r="C2486"/>
      <c r="M2486"/>
    </row>
    <row r="2487" spans="1:13" ht="12.75" customHeight="1" x14ac:dyDescent="0.25">
      <c r="A2487"/>
      <c r="B2487"/>
      <c r="C2487"/>
      <c r="M2487"/>
    </row>
    <row r="2488" spans="1:13" ht="12.75" customHeight="1" x14ac:dyDescent="0.25">
      <c r="A2488"/>
      <c r="B2488"/>
      <c r="C2488"/>
      <c r="M2488"/>
    </row>
    <row r="2489" spans="1:13" ht="12.75" customHeight="1" x14ac:dyDescent="0.25">
      <c r="A2489"/>
      <c r="B2489"/>
      <c r="C2489"/>
      <c r="M2489"/>
    </row>
    <row r="2490" spans="1:13" ht="12.75" customHeight="1" x14ac:dyDescent="0.25">
      <c r="A2490"/>
      <c r="B2490"/>
      <c r="C2490"/>
      <c r="M2490"/>
    </row>
    <row r="2491" spans="1:13" ht="12.75" customHeight="1" x14ac:dyDescent="0.25">
      <c r="A2491"/>
      <c r="B2491"/>
      <c r="C2491"/>
      <c r="M2491"/>
    </row>
    <row r="2492" spans="1:13" ht="12.75" customHeight="1" x14ac:dyDescent="0.25">
      <c r="A2492"/>
      <c r="B2492"/>
      <c r="C2492"/>
      <c r="M2492"/>
    </row>
    <row r="2493" spans="1:13" ht="12.75" customHeight="1" x14ac:dyDescent="0.25">
      <c r="A2493"/>
      <c r="B2493"/>
      <c r="C2493"/>
      <c r="M2493"/>
    </row>
    <row r="2494" spans="1:13" ht="12.75" customHeight="1" x14ac:dyDescent="0.25">
      <c r="A2494"/>
      <c r="B2494"/>
      <c r="C2494"/>
      <c r="M2494"/>
    </row>
    <row r="2495" spans="1:13" ht="12.75" customHeight="1" x14ac:dyDescent="0.25">
      <c r="A2495"/>
      <c r="B2495"/>
      <c r="C2495"/>
      <c r="M2495"/>
    </row>
    <row r="2496" spans="1:13" ht="12.75" customHeight="1" x14ac:dyDescent="0.25">
      <c r="A2496"/>
      <c r="B2496"/>
      <c r="C2496"/>
      <c r="M2496"/>
    </row>
    <row r="2497" spans="1:13" ht="12.75" customHeight="1" x14ac:dyDescent="0.25">
      <c r="A2497"/>
      <c r="B2497"/>
      <c r="C2497"/>
      <c r="M2497"/>
    </row>
    <row r="2498" spans="1:13" ht="12.75" customHeight="1" x14ac:dyDescent="0.25">
      <c r="A2498"/>
      <c r="B2498"/>
      <c r="C2498"/>
      <c r="M2498"/>
    </row>
    <row r="2499" spans="1:13" ht="12.75" customHeight="1" x14ac:dyDescent="0.25">
      <c r="A2499"/>
      <c r="B2499"/>
      <c r="C2499"/>
      <c r="M2499"/>
    </row>
    <row r="2500" spans="1:13" ht="12.75" customHeight="1" x14ac:dyDescent="0.25">
      <c r="A2500"/>
      <c r="B2500"/>
      <c r="C2500"/>
      <c r="M2500"/>
    </row>
    <row r="2501" spans="1:13" ht="12.75" customHeight="1" x14ac:dyDescent="0.25">
      <c r="A2501"/>
      <c r="B2501"/>
      <c r="C2501"/>
      <c r="M2501"/>
    </row>
    <row r="2502" spans="1:13" ht="12.75" customHeight="1" x14ac:dyDescent="0.25">
      <c r="A2502"/>
      <c r="B2502"/>
      <c r="C2502"/>
      <c r="M2502"/>
    </row>
    <row r="2503" spans="1:13" ht="12.75" customHeight="1" x14ac:dyDescent="0.25">
      <c r="A2503"/>
      <c r="B2503"/>
      <c r="C2503"/>
      <c r="M2503"/>
    </row>
    <row r="2504" spans="1:13" ht="12.75" customHeight="1" x14ac:dyDescent="0.25">
      <c r="A2504"/>
      <c r="B2504"/>
      <c r="C2504"/>
      <c r="M2504"/>
    </row>
    <row r="2505" spans="1:13" ht="12.75" customHeight="1" x14ac:dyDescent="0.25">
      <c r="A2505"/>
      <c r="B2505"/>
      <c r="C2505"/>
      <c r="M2505"/>
    </row>
    <row r="2506" spans="1:13" ht="12.75" customHeight="1" x14ac:dyDescent="0.25">
      <c r="A2506"/>
      <c r="B2506"/>
      <c r="C2506"/>
      <c r="M2506"/>
    </row>
    <row r="2507" spans="1:13" ht="12.75" customHeight="1" x14ac:dyDescent="0.25">
      <c r="A2507"/>
      <c r="B2507"/>
      <c r="C2507"/>
      <c r="M2507"/>
    </row>
    <row r="2508" spans="1:13" ht="12.75" customHeight="1" x14ac:dyDescent="0.25">
      <c r="A2508"/>
      <c r="B2508"/>
      <c r="C2508"/>
      <c r="M2508"/>
    </row>
    <row r="2509" spans="1:13" ht="12.75" customHeight="1" x14ac:dyDescent="0.25">
      <c r="A2509"/>
      <c r="B2509"/>
      <c r="C2509"/>
      <c r="M2509"/>
    </row>
    <row r="2510" spans="1:13" ht="12.75" customHeight="1" x14ac:dyDescent="0.25">
      <c r="A2510"/>
      <c r="B2510"/>
      <c r="C2510"/>
      <c r="M2510"/>
    </row>
    <row r="2511" spans="1:13" ht="12.75" customHeight="1" x14ac:dyDescent="0.25">
      <c r="A2511"/>
      <c r="B2511"/>
      <c r="C2511"/>
      <c r="M2511"/>
    </row>
    <row r="2512" spans="1:13" ht="12.75" customHeight="1" x14ac:dyDescent="0.25">
      <c r="A2512"/>
      <c r="B2512"/>
      <c r="C2512"/>
      <c r="M2512"/>
    </row>
    <row r="2513" spans="1:13" ht="12.75" customHeight="1" x14ac:dyDescent="0.25">
      <c r="A2513"/>
      <c r="B2513"/>
      <c r="C2513"/>
      <c r="M2513"/>
    </row>
    <row r="2514" spans="1:13" ht="12.75" customHeight="1" x14ac:dyDescent="0.25">
      <c r="A2514"/>
      <c r="B2514"/>
      <c r="C2514"/>
      <c r="M2514"/>
    </row>
    <row r="2515" spans="1:13" ht="12.75" customHeight="1" x14ac:dyDescent="0.25">
      <c r="A2515"/>
      <c r="B2515"/>
      <c r="C2515"/>
      <c r="M2515"/>
    </row>
    <row r="2516" spans="1:13" ht="12.75" customHeight="1" x14ac:dyDescent="0.25">
      <c r="A2516"/>
      <c r="B2516"/>
      <c r="C2516"/>
      <c r="M2516"/>
    </row>
    <row r="2517" spans="1:13" ht="12.75" customHeight="1" x14ac:dyDescent="0.25">
      <c r="A2517"/>
      <c r="B2517"/>
      <c r="C2517"/>
      <c r="M2517"/>
    </row>
    <row r="2518" spans="1:13" ht="12.75" customHeight="1" x14ac:dyDescent="0.25">
      <c r="A2518"/>
      <c r="B2518"/>
      <c r="C2518"/>
      <c r="M2518"/>
    </row>
    <row r="2519" spans="1:13" ht="12.75" customHeight="1" x14ac:dyDescent="0.25">
      <c r="A2519"/>
      <c r="B2519"/>
      <c r="C2519"/>
      <c r="M2519"/>
    </row>
    <row r="2520" spans="1:13" ht="12.75" customHeight="1" x14ac:dyDescent="0.25">
      <c r="A2520"/>
      <c r="B2520"/>
      <c r="C2520"/>
      <c r="M2520"/>
    </row>
    <row r="2521" spans="1:13" ht="12.75" customHeight="1" x14ac:dyDescent="0.25">
      <c r="A2521"/>
      <c r="B2521"/>
      <c r="C2521"/>
      <c r="M2521"/>
    </row>
    <row r="2522" spans="1:13" ht="12.75" customHeight="1" x14ac:dyDescent="0.25">
      <c r="A2522"/>
      <c r="B2522"/>
      <c r="C2522"/>
      <c r="M2522"/>
    </row>
    <row r="2523" spans="1:13" ht="12.75" customHeight="1" x14ac:dyDescent="0.25">
      <c r="A2523"/>
      <c r="B2523"/>
      <c r="C2523"/>
      <c r="M2523"/>
    </row>
    <row r="2524" spans="1:13" ht="12.75" customHeight="1" x14ac:dyDescent="0.25">
      <c r="A2524"/>
      <c r="B2524"/>
      <c r="C2524"/>
      <c r="M2524"/>
    </row>
    <row r="2525" spans="1:13" ht="12.75" customHeight="1" x14ac:dyDescent="0.25">
      <c r="A2525"/>
      <c r="B2525"/>
      <c r="C2525"/>
      <c r="M2525"/>
    </row>
    <row r="2526" spans="1:13" ht="12.75" customHeight="1" x14ac:dyDescent="0.25">
      <c r="A2526"/>
      <c r="B2526"/>
      <c r="C2526"/>
      <c r="M2526"/>
    </row>
    <row r="2527" spans="1:13" ht="12.75" customHeight="1" x14ac:dyDescent="0.25">
      <c r="A2527"/>
      <c r="B2527"/>
      <c r="C2527"/>
      <c r="M2527"/>
    </row>
    <row r="2528" spans="1:13" ht="12.75" customHeight="1" x14ac:dyDescent="0.25">
      <c r="A2528"/>
      <c r="B2528"/>
      <c r="C2528"/>
      <c r="M2528"/>
    </row>
    <row r="2529" spans="1:13" ht="12.75" customHeight="1" x14ac:dyDescent="0.25">
      <c r="A2529"/>
      <c r="B2529"/>
      <c r="C2529"/>
      <c r="M2529"/>
    </row>
    <row r="2530" spans="1:13" ht="12.75" customHeight="1" x14ac:dyDescent="0.25">
      <c r="A2530"/>
      <c r="B2530"/>
      <c r="C2530"/>
      <c r="M2530"/>
    </row>
    <row r="2531" spans="1:13" ht="12.75" customHeight="1" x14ac:dyDescent="0.25">
      <c r="A2531"/>
      <c r="B2531"/>
      <c r="C2531"/>
      <c r="M2531"/>
    </row>
    <row r="2532" spans="1:13" ht="12.75" customHeight="1" x14ac:dyDescent="0.25">
      <c r="A2532"/>
      <c r="B2532"/>
      <c r="C2532"/>
      <c r="M2532"/>
    </row>
    <row r="2533" spans="1:13" ht="12.75" customHeight="1" x14ac:dyDescent="0.25">
      <c r="A2533"/>
      <c r="B2533"/>
      <c r="C2533"/>
      <c r="M2533"/>
    </row>
    <row r="2534" spans="1:13" ht="12.75" customHeight="1" x14ac:dyDescent="0.25">
      <c r="A2534"/>
      <c r="B2534"/>
      <c r="C2534"/>
      <c r="M2534"/>
    </row>
    <row r="2535" spans="1:13" ht="12.75" customHeight="1" x14ac:dyDescent="0.25">
      <c r="A2535"/>
      <c r="B2535"/>
      <c r="C2535"/>
      <c r="M2535"/>
    </row>
    <row r="2536" spans="1:13" ht="12.75" customHeight="1" x14ac:dyDescent="0.25">
      <c r="A2536"/>
      <c r="B2536"/>
      <c r="C2536"/>
      <c r="M2536"/>
    </row>
    <row r="2537" spans="1:13" ht="12.75" customHeight="1" x14ac:dyDescent="0.25">
      <c r="A2537"/>
      <c r="B2537"/>
      <c r="C2537"/>
      <c r="M2537"/>
    </row>
    <row r="2538" spans="1:13" ht="12.75" customHeight="1" x14ac:dyDescent="0.25">
      <c r="A2538"/>
      <c r="B2538"/>
      <c r="C2538"/>
      <c r="M2538"/>
    </row>
    <row r="2539" spans="1:13" ht="12.75" customHeight="1" x14ac:dyDescent="0.25">
      <c r="A2539"/>
      <c r="B2539"/>
      <c r="C2539"/>
      <c r="M2539"/>
    </row>
    <row r="2540" spans="1:13" ht="12.75" customHeight="1" x14ac:dyDescent="0.25">
      <c r="A2540"/>
      <c r="B2540"/>
      <c r="C2540"/>
      <c r="M2540"/>
    </row>
    <row r="2541" spans="1:13" ht="12.75" customHeight="1" x14ac:dyDescent="0.25">
      <c r="A2541"/>
      <c r="B2541"/>
      <c r="C2541"/>
      <c r="M2541"/>
    </row>
    <row r="2542" spans="1:13" ht="12.75" customHeight="1" x14ac:dyDescent="0.25">
      <c r="A2542"/>
      <c r="B2542"/>
      <c r="C2542"/>
      <c r="M2542"/>
    </row>
    <row r="2543" spans="1:13" ht="12.75" customHeight="1" x14ac:dyDescent="0.25">
      <c r="A2543"/>
      <c r="B2543"/>
      <c r="C2543"/>
      <c r="M2543"/>
    </row>
    <row r="2544" spans="1:13" ht="12.75" customHeight="1" x14ac:dyDescent="0.25">
      <c r="A2544"/>
      <c r="B2544"/>
      <c r="C2544"/>
      <c r="M2544"/>
    </row>
    <row r="2545" spans="1:13" ht="12.75" customHeight="1" x14ac:dyDescent="0.25">
      <c r="A2545"/>
      <c r="B2545"/>
      <c r="C2545"/>
      <c r="M2545"/>
    </row>
    <row r="2546" spans="1:13" ht="12.75" customHeight="1" x14ac:dyDescent="0.25">
      <c r="A2546"/>
      <c r="B2546"/>
      <c r="C2546"/>
      <c r="M2546"/>
    </row>
    <row r="2547" spans="1:13" ht="12.75" customHeight="1" x14ac:dyDescent="0.25">
      <c r="A2547"/>
      <c r="B2547"/>
      <c r="C2547"/>
      <c r="M2547"/>
    </row>
    <row r="2548" spans="1:13" ht="12.75" customHeight="1" x14ac:dyDescent="0.25">
      <c r="A2548"/>
      <c r="B2548"/>
      <c r="C2548"/>
      <c r="M2548"/>
    </row>
    <row r="2549" spans="1:13" ht="12.75" customHeight="1" x14ac:dyDescent="0.25">
      <c r="A2549"/>
      <c r="B2549"/>
      <c r="C2549"/>
      <c r="M2549"/>
    </row>
    <row r="2550" spans="1:13" ht="12.75" customHeight="1" x14ac:dyDescent="0.25">
      <c r="A2550"/>
      <c r="B2550"/>
      <c r="C2550"/>
      <c r="M2550"/>
    </row>
    <row r="2551" spans="1:13" ht="12.75" customHeight="1" x14ac:dyDescent="0.25">
      <c r="A2551"/>
      <c r="B2551"/>
      <c r="C2551"/>
      <c r="M2551"/>
    </row>
    <row r="2552" spans="1:13" ht="12.75" customHeight="1" x14ac:dyDescent="0.25">
      <c r="A2552"/>
      <c r="B2552"/>
      <c r="C2552"/>
      <c r="M2552"/>
    </row>
    <row r="2553" spans="1:13" ht="12.75" customHeight="1" x14ac:dyDescent="0.25">
      <c r="A2553"/>
      <c r="B2553"/>
      <c r="C2553"/>
      <c r="M2553"/>
    </row>
    <row r="2554" spans="1:13" ht="12.75" customHeight="1" x14ac:dyDescent="0.25">
      <c r="A2554"/>
      <c r="B2554"/>
      <c r="C2554"/>
      <c r="M2554"/>
    </row>
    <row r="2555" spans="1:13" ht="12.75" customHeight="1" x14ac:dyDescent="0.25">
      <c r="A2555"/>
      <c r="B2555"/>
      <c r="C2555"/>
      <c r="M2555"/>
    </row>
    <row r="2556" spans="1:13" ht="12.75" customHeight="1" x14ac:dyDescent="0.25">
      <c r="A2556"/>
      <c r="B2556"/>
      <c r="C2556"/>
      <c r="M2556"/>
    </row>
    <row r="2557" spans="1:13" ht="12.75" customHeight="1" x14ac:dyDescent="0.25">
      <c r="A2557"/>
      <c r="B2557"/>
      <c r="C2557"/>
      <c r="M2557"/>
    </row>
    <row r="2558" spans="1:13" ht="12.75" customHeight="1" x14ac:dyDescent="0.25">
      <c r="A2558"/>
      <c r="B2558"/>
      <c r="C2558"/>
      <c r="M2558"/>
    </row>
    <row r="2559" spans="1:13" ht="12.75" customHeight="1" x14ac:dyDescent="0.25">
      <c r="A2559"/>
      <c r="B2559"/>
      <c r="C2559"/>
      <c r="M2559"/>
    </row>
    <row r="2560" spans="1:13" ht="12.75" customHeight="1" x14ac:dyDescent="0.25">
      <c r="A2560"/>
      <c r="B2560"/>
      <c r="C2560"/>
      <c r="M2560"/>
    </row>
    <row r="2561" spans="1:13" ht="12.75" customHeight="1" x14ac:dyDescent="0.25">
      <c r="A2561"/>
      <c r="B2561"/>
      <c r="C2561"/>
      <c r="M2561"/>
    </row>
    <row r="2562" spans="1:13" ht="12.75" customHeight="1" x14ac:dyDescent="0.25">
      <c r="A2562"/>
      <c r="B2562"/>
      <c r="C2562"/>
      <c r="M2562"/>
    </row>
    <row r="2563" spans="1:13" ht="12.75" customHeight="1" x14ac:dyDescent="0.25">
      <c r="A2563"/>
      <c r="B2563"/>
      <c r="C2563"/>
      <c r="M2563"/>
    </row>
    <row r="2564" spans="1:13" ht="12.75" customHeight="1" x14ac:dyDescent="0.25">
      <c r="A2564"/>
      <c r="B2564"/>
      <c r="C2564"/>
      <c r="M2564"/>
    </row>
    <row r="2565" spans="1:13" ht="12.75" customHeight="1" x14ac:dyDescent="0.25">
      <c r="A2565"/>
      <c r="B2565"/>
      <c r="C2565"/>
      <c r="M2565"/>
    </row>
    <row r="2566" spans="1:13" ht="12.75" customHeight="1" x14ac:dyDescent="0.25">
      <c r="A2566"/>
      <c r="B2566"/>
      <c r="C2566"/>
      <c r="M2566"/>
    </row>
    <row r="2567" spans="1:13" ht="12.75" customHeight="1" x14ac:dyDescent="0.25">
      <c r="A2567"/>
      <c r="B2567"/>
      <c r="C2567"/>
      <c r="M2567"/>
    </row>
    <row r="2568" spans="1:13" ht="12.75" customHeight="1" x14ac:dyDescent="0.25">
      <c r="A2568"/>
      <c r="B2568"/>
      <c r="C2568"/>
      <c r="M2568"/>
    </row>
    <row r="2569" spans="1:13" ht="12.75" customHeight="1" x14ac:dyDescent="0.25">
      <c r="A2569"/>
      <c r="B2569"/>
      <c r="C2569"/>
      <c r="M2569"/>
    </row>
    <row r="2570" spans="1:13" ht="12.75" customHeight="1" x14ac:dyDescent="0.25">
      <c r="A2570"/>
      <c r="B2570"/>
      <c r="C2570"/>
      <c r="M2570"/>
    </row>
    <row r="2571" spans="1:13" ht="12.75" customHeight="1" x14ac:dyDescent="0.25">
      <c r="A2571"/>
      <c r="B2571"/>
      <c r="C2571"/>
      <c r="M2571"/>
    </row>
    <row r="2572" spans="1:13" ht="12.75" customHeight="1" x14ac:dyDescent="0.25">
      <c r="A2572"/>
      <c r="B2572"/>
      <c r="C2572"/>
      <c r="M2572"/>
    </row>
    <row r="2573" spans="1:13" ht="12.75" customHeight="1" x14ac:dyDescent="0.25">
      <c r="A2573"/>
      <c r="B2573"/>
      <c r="C2573"/>
      <c r="M2573"/>
    </row>
    <row r="2574" spans="1:13" ht="12.75" customHeight="1" x14ac:dyDescent="0.25">
      <c r="A2574"/>
      <c r="B2574"/>
      <c r="C2574"/>
      <c r="M2574"/>
    </row>
    <row r="2575" spans="1:13" ht="12.75" customHeight="1" x14ac:dyDescent="0.25">
      <c r="A2575"/>
      <c r="B2575"/>
      <c r="C2575"/>
      <c r="M2575"/>
    </row>
    <row r="2576" spans="1:13" ht="12.75" customHeight="1" x14ac:dyDescent="0.25">
      <c r="A2576"/>
      <c r="B2576"/>
      <c r="C2576"/>
      <c r="M2576"/>
    </row>
    <row r="2577" spans="1:13" ht="12.75" customHeight="1" x14ac:dyDescent="0.25">
      <c r="A2577"/>
      <c r="B2577"/>
      <c r="C2577"/>
      <c r="M2577"/>
    </row>
    <row r="2578" spans="1:13" ht="12.75" customHeight="1" x14ac:dyDescent="0.25">
      <c r="A2578"/>
      <c r="B2578"/>
      <c r="C2578"/>
      <c r="M2578"/>
    </row>
    <row r="2579" spans="1:13" ht="12.75" customHeight="1" x14ac:dyDescent="0.25">
      <c r="A2579"/>
      <c r="B2579"/>
      <c r="C2579"/>
      <c r="M2579"/>
    </row>
    <row r="2580" spans="1:13" ht="12.75" customHeight="1" x14ac:dyDescent="0.25">
      <c r="A2580"/>
      <c r="B2580"/>
      <c r="C2580"/>
      <c r="M2580"/>
    </row>
    <row r="2581" spans="1:13" ht="12.75" customHeight="1" x14ac:dyDescent="0.25">
      <c r="A2581"/>
      <c r="B2581"/>
      <c r="C2581"/>
      <c r="M2581"/>
    </row>
    <row r="2582" spans="1:13" ht="12.75" customHeight="1" x14ac:dyDescent="0.25">
      <c r="A2582"/>
      <c r="B2582"/>
      <c r="C2582"/>
      <c r="M2582"/>
    </row>
    <row r="2583" spans="1:13" ht="12.75" customHeight="1" x14ac:dyDescent="0.25">
      <c r="A2583"/>
      <c r="B2583"/>
      <c r="C2583"/>
      <c r="M2583"/>
    </row>
    <row r="2584" spans="1:13" ht="12.75" customHeight="1" x14ac:dyDescent="0.25">
      <c r="A2584"/>
      <c r="B2584"/>
      <c r="C2584"/>
      <c r="M2584"/>
    </row>
    <row r="2585" spans="1:13" ht="12.75" customHeight="1" x14ac:dyDescent="0.25">
      <c r="A2585"/>
      <c r="B2585"/>
      <c r="C2585"/>
      <c r="M2585"/>
    </row>
    <row r="2586" spans="1:13" ht="12.75" customHeight="1" x14ac:dyDescent="0.25">
      <c r="A2586"/>
      <c r="B2586"/>
      <c r="C2586"/>
      <c r="M2586"/>
    </row>
    <row r="2587" spans="1:13" ht="12.75" customHeight="1" x14ac:dyDescent="0.25">
      <c r="A2587"/>
      <c r="B2587"/>
      <c r="C2587"/>
      <c r="M2587"/>
    </row>
    <row r="2588" spans="1:13" ht="12.75" customHeight="1" x14ac:dyDescent="0.25">
      <c r="A2588"/>
      <c r="B2588"/>
      <c r="C2588"/>
      <c r="M2588"/>
    </row>
    <row r="2589" spans="1:13" ht="12.75" customHeight="1" x14ac:dyDescent="0.25">
      <c r="A2589"/>
      <c r="B2589"/>
      <c r="C2589"/>
      <c r="M2589"/>
    </row>
    <row r="2590" spans="1:13" ht="12.75" customHeight="1" x14ac:dyDescent="0.25">
      <c r="A2590"/>
      <c r="B2590"/>
      <c r="C2590"/>
      <c r="M2590"/>
    </row>
    <row r="2591" spans="1:13" ht="12.75" customHeight="1" x14ac:dyDescent="0.25">
      <c r="A2591"/>
      <c r="B2591"/>
      <c r="C2591"/>
      <c r="M2591"/>
    </row>
    <row r="2592" spans="1:13" ht="12.75" customHeight="1" x14ac:dyDescent="0.25">
      <c r="A2592"/>
      <c r="B2592"/>
      <c r="C2592"/>
      <c r="M2592"/>
    </row>
    <row r="2593" spans="1:13" ht="12.75" customHeight="1" x14ac:dyDescent="0.25">
      <c r="A2593"/>
      <c r="B2593"/>
      <c r="C2593"/>
      <c r="M2593"/>
    </row>
    <row r="2594" spans="1:13" ht="12.75" customHeight="1" x14ac:dyDescent="0.25">
      <c r="A2594"/>
      <c r="B2594"/>
      <c r="C2594"/>
      <c r="M2594"/>
    </row>
    <row r="2595" spans="1:13" ht="12.75" customHeight="1" x14ac:dyDescent="0.25">
      <c r="A2595"/>
      <c r="B2595"/>
      <c r="C2595"/>
      <c r="M2595"/>
    </row>
    <row r="2596" spans="1:13" ht="12.75" customHeight="1" x14ac:dyDescent="0.25">
      <c r="A2596"/>
      <c r="B2596"/>
      <c r="C2596"/>
      <c r="M2596"/>
    </row>
    <row r="2597" spans="1:13" ht="12.75" customHeight="1" x14ac:dyDescent="0.25">
      <c r="A2597"/>
      <c r="B2597"/>
      <c r="C2597"/>
      <c r="M2597"/>
    </row>
    <row r="2598" spans="1:13" ht="12.75" customHeight="1" x14ac:dyDescent="0.25">
      <c r="A2598"/>
      <c r="B2598"/>
      <c r="C2598"/>
      <c r="M2598"/>
    </row>
    <row r="2599" spans="1:13" ht="12.75" customHeight="1" x14ac:dyDescent="0.25">
      <c r="A2599"/>
      <c r="B2599"/>
      <c r="C2599"/>
      <c r="M2599"/>
    </row>
    <row r="2600" spans="1:13" ht="12.75" customHeight="1" x14ac:dyDescent="0.25">
      <c r="A2600"/>
      <c r="B2600"/>
      <c r="C2600"/>
      <c r="M2600"/>
    </row>
    <row r="2601" spans="1:13" ht="12.75" customHeight="1" x14ac:dyDescent="0.25">
      <c r="A2601"/>
      <c r="B2601"/>
      <c r="C2601"/>
      <c r="M2601"/>
    </row>
    <row r="2602" spans="1:13" ht="12.75" customHeight="1" x14ac:dyDescent="0.25">
      <c r="A2602"/>
      <c r="B2602"/>
      <c r="C2602"/>
      <c r="M2602"/>
    </row>
    <row r="2603" spans="1:13" ht="12.75" customHeight="1" x14ac:dyDescent="0.25">
      <c r="A2603"/>
      <c r="B2603"/>
      <c r="C2603"/>
      <c r="M2603"/>
    </row>
    <row r="2604" spans="1:13" ht="12.75" customHeight="1" x14ac:dyDescent="0.25">
      <c r="A2604"/>
      <c r="B2604"/>
      <c r="C2604"/>
      <c r="M2604"/>
    </row>
    <row r="2605" spans="1:13" ht="12.75" customHeight="1" x14ac:dyDescent="0.25">
      <c r="A2605"/>
      <c r="B2605"/>
      <c r="C2605"/>
      <c r="M2605"/>
    </row>
    <row r="2606" spans="1:13" ht="12.75" customHeight="1" x14ac:dyDescent="0.25">
      <c r="A2606"/>
      <c r="B2606"/>
      <c r="C2606"/>
      <c r="M2606"/>
    </row>
    <row r="2607" spans="1:13" ht="12.75" customHeight="1" x14ac:dyDescent="0.25">
      <c r="A2607"/>
      <c r="B2607"/>
      <c r="C2607"/>
      <c r="M2607"/>
    </row>
    <row r="2608" spans="1:13" ht="12.75" customHeight="1" x14ac:dyDescent="0.25">
      <c r="A2608"/>
      <c r="B2608"/>
      <c r="C2608"/>
      <c r="M2608"/>
    </row>
    <row r="2609" spans="1:13" ht="12.75" customHeight="1" x14ac:dyDescent="0.25">
      <c r="A2609"/>
      <c r="B2609"/>
      <c r="C2609"/>
      <c r="M2609"/>
    </row>
    <row r="2610" spans="1:13" ht="12.75" customHeight="1" x14ac:dyDescent="0.25">
      <c r="A2610"/>
      <c r="B2610"/>
      <c r="C2610"/>
      <c r="M2610"/>
    </row>
    <row r="2611" spans="1:13" ht="12.75" customHeight="1" x14ac:dyDescent="0.25">
      <c r="A2611"/>
      <c r="B2611"/>
      <c r="C2611"/>
      <c r="M2611"/>
    </row>
    <row r="2612" spans="1:13" ht="12.75" customHeight="1" x14ac:dyDescent="0.25">
      <c r="A2612"/>
      <c r="B2612"/>
      <c r="C2612"/>
      <c r="M2612"/>
    </row>
    <row r="2613" spans="1:13" ht="12.75" customHeight="1" x14ac:dyDescent="0.25">
      <c r="A2613"/>
      <c r="B2613"/>
      <c r="C2613"/>
      <c r="M2613"/>
    </row>
    <row r="2614" spans="1:13" ht="12.75" customHeight="1" x14ac:dyDescent="0.25">
      <c r="A2614"/>
      <c r="B2614"/>
      <c r="C2614"/>
      <c r="M2614"/>
    </row>
    <row r="2615" spans="1:13" ht="12.75" customHeight="1" x14ac:dyDescent="0.25">
      <c r="A2615"/>
      <c r="B2615"/>
      <c r="C2615"/>
      <c r="M2615"/>
    </row>
    <row r="2616" spans="1:13" ht="12.75" customHeight="1" x14ac:dyDescent="0.25">
      <c r="A2616"/>
      <c r="B2616"/>
      <c r="C2616"/>
      <c r="M2616"/>
    </row>
    <row r="2617" spans="1:13" ht="12.75" customHeight="1" x14ac:dyDescent="0.25">
      <c r="A2617"/>
      <c r="B2617"/>
      <c r="C2617"/>
      <c r="M2617"/>
    </row>
    <row r="2618" spans="1:13" ht="12.75" customHeight="1" x14ac:dyDescent="0.25">
      <c r="A2618"/>
      <c r="B2618"/>
      <c r="C2618"/>
      <c r="M2618"/>
    </row>
    <row r="2619" spans="1:13" ht="12.75" customHeight="1" x14ac:dyDescent="0.25">
      <c r="A2619"/>
      <c r="B2619"/>
      <c r="C2619"/>
      <c r="M2619"/>
    </row>
    <row r="2620" spans="1:13" ht="12.75" customHeight="1" x14ac:dyDescent="0.25">
      <c r="A2620"/>
      <c r="B2620"/>
      <c r="C2620"/>
      <c r="M2620"/>
    </row>
    <row r="2621" spans="1:13" ht="12.75" customHeight="1" x14ac:dyDescent="0.25">
      <c r="A2621"/>
      <c r="B2621"/>
      <c r="C2621"/>
      <c r="M2621"/>
    </row>
    <row r="2622" spans="1:13" ht="12.75" customHeight="1" x14ac:dyDescent="0.25">
      <c r="A2622"/>
      <c r="B2622"/>
      <c r="C2622"/>
      <c r="M2622"/>
    </row>
    <row r="2623" spans="1:13" ht="12.75" customHeight="1" x14ac:dyDescent="0.25">
      <c r="A2623"/>
      <c r="B2623"/>
      <c r="C2623"/>
      <c r="M2623"/>
    </row>
    <row r="2624" spans="1:13" ht="12.75" customHeight="1" x14ac:dyDescent="0.25">
      <c r="A2624"/>
      <c r="B2624"/>
      <c r="C2624"/>
      <c r="M2624"/>
    </row>
    <row r="2625" spans="1:13" ht="12.75" customHeight="1" x14ac:dyDescent="0.25">
      <c r="A2625"/>
      <c r="B2625"/>
      <c r="C2625"/>
      <c r="M2625"/>
    </row>
    <row r="2626" spans="1:13" ht="12.75" customHeight="1" x14ac:dyDescent="0.25">
      <c r="A2626"/>
      <c r="B2626"/>
      <c r="C2626"/>
      <c r="M2626"/>
    </row>
    <row r="2627" spans="1:13" ht="12.75" customHeight="1" x14ac:dyDescent="0.25">
      <c r="A2627"/>
      <c r="B2627"/>
      <c r="C2627"/>
      <c r="M2627"/>
    </row>
    <row r="2628" spans="1:13" ht="12.75" customHeight="1" x14ac:dyDescent="0.25">
      <c r="A2628"/>
      <c r="B2628"/>
      <c r="C2628"/>
      <c r="M2628"/>
    </row>
    <row r="2629" spans="1:13" ht="12.75" customHeight="1" x14ac:dyDescent="0.25">
      <c r="A2629"/>
      <c r="B2629"/>
      <c r="C2629"/>
      <c r="M2629"/>
    </row>
    <row r="2630" spans="1:13" ht="12.75" customHeight="1" x14ac:dyDescent="0.25">
      <c r="A2630"/>
      <c r="B2630"/>
      <c r="C2630"/>
      <c r="M2630"/>
    </row>
    <row r="2631" spans="1:13" ht="12.75" customHeight="1" x14ac:dyDescent="0.25">
      <c r="A2631"/>
      <c r="B2631"/>
      <c r="C2631"/>
      <c r="M2631"/>
    </row>
    <row r="2632" spans="1:13" ht="12.75" customHeight="1" x14ac:dyDescent="0.25">
      <c r="A2632"/>
      <c r="B2632"/>
      <c r="C2632"/>
      <c r="M2632"/>
    </row>
    <row r="2633" spans="1:13" ht="12.75" customHeight="1" x14ac:dyDescent="0.25">
      <c r="A2633"/>
      <c r="B2633"/>
      <c r="C2633"/>
      <c r="M2633"/>
    </row>
    <row r="2634" spans="1:13" ht="12.75" customHeight="1" x14ac:dyDescent="0.25">
      <c r="A2634"/>
      <c r="B2634"/>
      <c r="C2634"/>
      <c r="M2634"/>
    </row>
    <row r="2635" spans="1:13" ht="12.75" customHeight="1" x14ac:dyDescent="0.25">
      <c r="A2635"/>
      <c r="B2635"/>
      <c r="C2635"/>
      <c r="M2635"/>
    </row>
    <row r="2636" spans="1:13" ht="12.75" customHeight="1" x14ac:dyDescent="0.25">
      <c r="A2636"/>
      <c r="B2636"/>
      <c r="C2636"/>
      <c r="M2636"/>
    </row>
    <row r="2637" spans="1:13" ht="12.75" customHeight="1" x14ac:dyDescent="0.25">
      <c r="A2637"/>
      <c r="B2637"/>
      <c r="C2637"/>
      <c r="M2637"/>
    </row>
    <row r="2638" spans="1:13" ht="12.75" customHeight="1" x14ac:dyDescent="0.25">
      <c r="A2638"/>
      <c r="B2638"/>
      <c r="C2638"/>
      <c r="M2638"/>
    </row>
    <row r="2639" spans="1:13" ht="12.75" customHeight="1" x14ac:dyDescent="0.25">
      <c r="A2639"/>
      <c r="B2639"/>
      <c r="C2639"/>
      <c r="M2639"/>
    </row>
    <row r="2640" spans="1:13" ht="12.75" customHeight="1" x14ac:dyDescent="0.25">
      <c r="A2640"/>
      <c r="B2640"/>
      <c r="C2640"/>
      <c r="M2640"/>
    </row>
    <row r="2641" spans="1:13" ht="12.75" customHeight="1" x14ac:dyDescent="0.25">
      <c r="A2641"/>
      <c r="B2641"/>
      <c r="C2641"/>
      <c r="M2641"/>
    </row>
    <row r="2642" spans="1:13" ht="12.75" customHeight="1" x14ac:dyDescent="0.25">
      <c r="A2642"/>
      <c r="B2642"/>
      <c r="C2642"/>
      <c r="M2642"/>
    </row>
    <row r="2643" spans="1:13" ht="12.75" customHeight="1" x14ac:dyDescent="0.25">
      <c r="A2643"/>
      <c r="B2643"/>
      <c r="C2643"/>
      <c r="M2643"/>
    </row>
    <row r="2644" spans="1:13" ht="12.75" customHeight="1" x14ac:dyDescent="0.25">
      <c r="A2644"/>
      <c r="B2644"/>
      <c r="C2644"/>
      <c r="M2644"/>
    </row>
    <row r="2645" spans="1:13" ht="12.75" customHeight="1" x14ac:dyDescent="0.25">
      <c r="A2645"/>
      <c r="B2645"/>
      <c r="C2645"/>
      <c r="M2645"/>
    </row>
    <row r="2646" spans="1:13" ht="12.75" customHeight="1" x14ac:dyDescent="0.25">
      <c r="A2646"/>
      <c r="B2646"/>
      <c r="C2646"/>
      <c r="M2646"/>
    </row>
    <row r="2647" spans="1:13" ht="12.75" customHeight="1" x14ac:dyDescent="0.25">
      <c r="A2647"/>
      <c r="B2647"/>
      <c r="C2647"/>
      <c r="M2647"/>
    </row>
    <row r="2648" spans="1:13" ht="12.75" customHeight="1" x14ac:dyDescent="0.25">
      <c r="A2648"/>
      <c r="B2648"/>
      <c r="C2648"/>
      <c r="M2648"/>
    </row>
    <row r="2649" spans="1:13" ht="12.75" customHeight="1" x14ac:dyDescent="0.25">
      <c r="A2649"/>
      <c r="B2649"/>
      <c r="C2649"/>
      <c r="M2649"/>
    </row>
    <row r="2650" spans="1:13" ht="12.75" customHeight="1" x14ac:dyDescent="0.25">
      <c r="A2650"/>
      <c r="B2650"/>
      <c r="C2650"/>
      <c r="M2650"/>
    </row>
    <row r="2651" spans="1:13" ht="12.75" customHeight="1" x14ac:dyDescent="0.25">
      <c r="A2651"/>
      <c r="B2651"/>
      <c r="C2651"/>
      <c r="M2651"/>
    </row>
    <row r="2652" spans="1:13" ht="12.75" customHeight="1" x14ac:dyDescent="0.25">
      <c r="A2652"/>
      <c r="B2652"/>
      <c r="C2652"/>
      <c r="M2652"/>
    </row>
    <row r="2653" spans="1:13" ht="12.75" customHeight="1" x14ac:dyDescent="0.25">
      <c r="A2653"/>
      <c r="B2653"/>
      <c r="C2653"/>
      <c r="M2653"/>
    </row>
    <row r="2654" spans="1:13" ht="12.75" customHeight="1" x14ac:dyDescent="0.25">
      <c r="A2654"/>
      <c r="B2654"/>
      <c r="C2654"/>
      <c r="M2654"/>
    </row>
    <row r="2655" spans="1:13" ht="12.75" customHeight="1" x14ac:dyDescent="0.25">
      <c r="A2655"/>
      <c r="B2655"/>
      <c r="C2655"/>
      <c r="M2655"/>
    </row>
    <row r="2656" spans="1:13" ht="12.75" customHeight="1" x14ac:dyDescent="0.25">
      <c r="A2656"/>
      <c r="B2656"/>
      <c r="C2656"/>
      <c r="M2656"/>
    </row>
    <row r="2657" spans="1:13" ht="12.75" customHeight="1" x14ac:dyDescent="0.25">
      <c r="A2657"/>
      <c r="B2657"/>
      <c r="C2657"/>
      <c r="M2657"/>
    </row>
    <row r="2658" spans="1:13" ht="12.75" customHeight="1" x14ac:dyDescent="0.25">
      <c r="A2658"/>
      <c r="B2658"/>
      <c r="C2658"/>
      <c r="M2658"/>
    </row>
    <row r="2659" spans="1:13" ht="12.75" customHeight="1" x14ac:dyDescent="0.25">
      <c r="A2659"/>
      <c r="B2659"/>
      <c r="C2659"/>
      <c r="M2659"/>
    </row>
    <row r="2660" spans="1:13" ht="12.75" customHeight="1" x14ac:dyDescent="0.25">
      <c r="A2660"/>
      <c r="B2660"/>
      <c r="C2660"/>
      <c r="M2660"/>
    </row>
    <row r="2661" spans="1:13" ht="12.75" customHeight="1" x14ac:dyDescent="0.25">
      <c r="A2661"/>
      <c r="B2661"/>
      <c r="C2661"/>
      <c r="M2661"/>
    </row>
    <row r="2662" spans="1:13" ht="12.75" customHeight="1" x14ac:dyDescent="0.25">
      <c r="A2662"/>
      <c r="B2662"/>
      <c r="C2662"/>
      <c r="M2662"/>
    </row>
    <row r="2663" spans="1:13" ht="12.75" customHeight="1" x14ac:dyDescent="0.25">
      <c r="A2663"/>
      <c r="B2663"/>
      <c r="C2663"/>
      <c r="M2663"/>
    </row>
    <row r="2664" spans="1:13" ht="12.75" customHeight="1" x14ac:dyDescent="0.25">
      <c r="A2664"/>
      <c r="B2664"/>
      <c r="C2664"/>
      <c r="M2664"/>
    </row>
    <row r="2665" spans="1:13" ht="12.75" customHeight="1" x14ac:dyDescent="0.25">
      <c r="A2665"/>
      <c r="B2665"/>
      <c r="C2665"/>
      <c r="M2665"/>
    </row>
    <row r="2666" spans="1:13" ht="12.75" customHeight="1" x14ac:dyDescent="0.25">
      <c r="A2666"/>
      <c r="B2666"/>
      <c r="C2666"/>
      <c r="M2666"/>
    </row>
    <row r="2667" spans="1:13" ht="12.75" customHeight="1" x14ac:dyDescent="0.25">
      <c r="A2667"/>
      <c r="B2667"/>
      <c r="C2667"/>
      <c r="M2667"/>
    </row>
    <row r="2668" spans="1:13" ht="12.75" customHeight="1" x14ac:dyDescent="0.25">
      <c r="A2668"/>
      <c r="B2668"/>
      <c r="C2668"/>
      <c r="M2668"/>
    </row>
    <row r="2669" spans="1:13" ht="12.75" customHeight="1" x14ac:dyDescent="0.25">
      <c r="A2669"/>
      <c r="B2669"/>
      <c r="C2669"/>
      <c r="M2669"/>
    </row>
    <row r="2670" spans="1:13" ht="12.75" customHeight="1" x14ac:dyDescent="0.25">
      <c r="A2670"/>
      <c r="B2670"/>
      <c r="C2670"/>
      <c r="M2670"/>
    </row>
    <row r="2671" spans="1:13" ht="12.75" customHeight="1" x14ac:dyDescent="0.25">
      <c r="A2671"/>
      <c r="B2671"/>
      <c r="C2671"/>
      <c r="M2671"/>
    </row>
    <row r="2672" spans="1:13" ht="12.75" customHeight="1" x14ac:dyDescent="0.25">
      <c r="A2672"/>
      <c r="B2672"/>
      <c r="C2672"/>
      <c r="M2672"/>
    </row>
    <row r="2673" spans="1:13" ht="12.75" customHeight="1" x14ac:dyDescent="0.25">
      <c r="A2673"/>
      <c r="B2673"/>
      <c r="C2673"/>
      <c r="M2673"/>
    </row>
    <row r="2674" spans="1:13" ht="12.75" customHeight="1" x14ac:dyDescent="0.25">
      <c r="A2674"/>
      <c r="B2674"/>
      <c r="C2674"/>
      <c r="M2674"/>
    </row>
    <row r="2675" spans="1:13" ht="12.75" customHeight="1" x14ac:dyDescent="0.25">
      <c r="A2675"/>
      <c r="B2675"/>
      <c r="C2675"/>
      <c r="M2675"/>
    </row>
    <row r="2676" spans="1:13" ht="12.75" customHeight="1" x14ac:dyDescent="0.25">
      <c r="A2676"/>
      <c r="B2676"/>
      <c r="C2676"/>
      <c r="M2676"/>
    </row>
    <row r="2677" spans="1:13" ht="12.75" customHeight="1" x14ac:dyDescent="0.25">
      <c r="A2677"/>
      <c r="B2677"/>
      <c r="C2677"/>
      <c r="M2677"/>
    </row>
    <row r="2678" spans="1:13" ht="12.75" customHeight="1" x14ac:dyDescent="0.25">
      <c r="A2678"/>
      <c r="B2678"/>
      <c r="C2678"/>
      <c r="M2678"/>
    </row>
    <row r="2679" spans="1:13" ht="12.75" customHeight="1" x14ac:dyDescent="0.25">
      <c r="A2679"/>
      <c r="B2679"/>
      <c r="C2679"/>
      <c r="M2679"/>
    </row>
    <row r="2680" spans="1:13" ht="12.75" customHeight="1" x14ac:dyDescent="0.25">
      <c r="A2680"/>
      <c r="B2680"/>
      <c r="C2680"/>
      <c r="M2680"/>
    </row>
    <row r="2681" spans="1:13" ht="12.75" customHeight="1" x14ac:dyDescent="0.25">
      <c r="A2681"/>
      <c r="B2681"/>
      <c r="C2681"/>
      <c r="M2681"/>
    </row>
    <row r="2682" spans="1:13" ht="12.75" customHeight="1" x14ac:dyDescent="0.25">
      <c r="A2682"/>
      <c r="B2682"/>
      <c r="C2682"/>
      <c r="M2682"/>
    </row>
    <row r="2683" spans="1:13" ht="12.75" customHeight="1" x14ac:dyDescent="0.25">
      <c r="A2683"/>
      <c r="B2683"/>
      <c r="C2683"/>
      <c r="M2683"/>
    </row>
    <row r="2684" spans="1:13" ht="12.75" customHeight="1" x14ac:dyDescent="0.25">
      <c r="A2684"/>
      <c r="B2684"/>
      <c r="C2684"/>
      <c r="M2684"/>
    </row>
    <row r="2685" spans="1:13" ht="12.75" customHeight="1" x14ac:dyDescent="0.25">
      <c r="A2685"/>
      <c r="B2685"/>
      <c r="C2685"/>
      <c r="M2685"/>
    </row>
    <row r="2686" spans="1:13" ht="12.75" customHeight="1" x14ac:dyDescent="0.25">
      <c r="A2686"/>
      <c r="B2686"/>
      <c r="C2686"/>
      <c r="M2686"/>
    </row>
    <row r="2687" spans="1:13" ht="12.75" customHeight="1" x14ac:dyDescent="0.25">
      <c r="A2687"/>
      <c r="B2687"/>
      <c r="C2687"/>
      <c r="M2687"/>
    </row>
    <row r="2688" spans="1:13" ht="12.75" customHeight="1" x14ac:dyDescent="0.25">
      <c r="A2688"/>
      <c r="B2688"/>
      <c r="C2688"/>
      <c r="M2688"/>
    </row>
    <row r="2689" spans="1:13" ht="12.75" customHeight="1" x14ac:dyDescent="0.25">
      <c r="A2689"/>
      <c r="B2689"/>
      <c r="C2689"/>
      <c r="M2689"/>
    </row>
    <row r="2690" spans="1:13" ht="12.75" customHeight="1" x14ac:dyDescent="0.25">
      <c r="A2690"/>
      <c r="B2690"/>
      <c r="C2690"/>
      <c r="M2690"/>
    </row>
    <row r="2691" spans="1:13" ht="12.75" customHeight="1" x14ac:dyDescent="0.25">
      <c r="A2691"/>
      <c r="B2691"/>
      <c r="C2691"/>
      <c r="M2691"/>
    </row>
    <row r="2692" spans="1:13" ht="12.75" customHeight="1" x14ac:dyDescent="0.25">
      <c r="A2692"/>
      <c r="B2692"/>
      <c r="C2692"/>
      <c r="M2692"/>
    </row>
    <row r="2693" spans="1:13" ht="12.75" customHeight="1" x14ac:dyDescent="0.25">
      <c r="A2693"/>
      <c r="B2693"/>
      <c r="C2693"/>
      <c r="M2693"/>
    </row>
    <row r="2694" spans="1:13" ht="12.75" customHeight="1" x14ac:dyDescent="0.25">
      <c r="A2694"/>
      <c r="B2694"/>
      <c r="C2694"/>
      <c r="M2694"/>
    </row>
    <row r="2695" spans="1:13" ht="12.75" customHeight="1" x14ac:dyDescent="0.25">
      <c r="A2695"/>
      <c r="B2695"/>
      <c r="C2695"/>
      <c r="M2695"/>
    </row>
    <row r="2696" spans="1:13" ht="12.75" customHeight="1" x14ac:dyDescent="0.25">
      <c r="A2696"/>
      <c r="B2696"/>
      <c r="C2696"/>
      <c r="M2696"/>
    </row>
    <row r="2697" spans="1:13" ht="12.75" customHeight="1" x14ac:dyDescent="0.25">
      <c r="A2697"/>
      <c r="B2697"/>
      <c r="C2697"/>
      <c r="M2697"/>
    </row>
    <row r="2698" spans="1:13" ht="12.75" customHeight="1" x14ac:dyDescent="0.25">
      <c r="A2698"/>
      <c r="B2698"/>
      <c r="C2698"/>
      <c r="M2698"/>
    </row>
    <row r="2699" spans="1:13" ht="12.75" customHeight="1" x14ac:dyDescent="0.25">
      <c r="A2699"/>
      <c r="B2699"/>
      <c r="C2699"/>
      <c r="M2699"/>
    </row>
    <row r="2700" spans="1:13" ht="12.75" customHeight="1" x14ac:dyDescent="0.25">
      <c r="A2700"/>
      <c r="B2700"/>
      <c r="C2700"/>
      <c r="M2700"/>
    </row>
    <row r="2701" spans="1:13" ht="12.75" customHeight="1" x14ac:dyDescent="0.25">
      <c r="A2701"/>
      <c r="B2701"/>
      <c r="C2701"/>
      <c r="M2701"/>
    </row>
    <row r="2702" spans="1:13" ht="12.75" customHeight="1" x14ac:dyDescent="0.25">
      <c r="A2702"/>
      <c r="B2702"/>
      <c r="C2702"/>
      <c r="M2702"/>
    </row>
    <row r="2703" spans="1:13" ht="12.75" customHeight="1" x14ac:dyDescent="0.25">
      <c r="A2703"/>
      <c r="B2703"/>
      <c r="C2703"/>
      <c r="M2703"/>
    </row>
    <row r="2704" spans="1:13" ht="12.75" customHeight="1" x14ac:dyDescent="0.25">
      <c r="A2704"/>
      <c r="B2704"/>
      <c r="C2704"/>
      <c r="M2704"/>
    </row>
    <row r="2705" spans="1:13" ht="12.75" customHeight="1" x14ac:dyDescent="0.25">
      <c r="A2705"/>
      <c r="B2705"/>
      <c r="C2705"/>
      <c r="M2705"/>
    </row>
    <row r="2706" spans="1:13" ht="12.75" customHeight="1" x14ac:dyDescent="0.25">
      <c r="A2706"/>
      <c r="B2706"/>
      <c r="C2706"/>
      <c r="M2706"/>
    </row>
    <row r="2707" spans="1:13" ht="12.75" customHeight="1" x14ac:dyDescent="0.25">
      <c r="A2707"/>
      <c r="B2707"/>
      <c r="C2707"/>
      <c r="M2707"/>
    </row>
    <row r="2708" spans="1:13" ht="12.75" customHeight="1" x14ac:dyDescent="0.25">
      <c r="A2708"/>
      <c r="B2708"/>
      <c r="C2708"/>
      <c r="M2708"/>
    </row>
    <row r="2709" spans="1:13" ht="12.75" customHeight="1" x14ac:dyDescent="0.25">
      <c r="A2709"/>
      <c r="B2709"/>
      <c r="C2709"/>
      <c r="M2709"/>
    </row>
    <row r="2710" spans="1:13" ht="12.75" customHeight="1" x14ac:dyDescent="0.25">
      <c r="A2710"/>
      <c r="B2710"/>
      <c r="C2710"/>
      <c r="M2710"/>
    </row>
    <row r="2711" spans="1:13" ht="12.75" customHeight="1" x14ac:dyDescent="0.25">
      <c r="A2711"/>
      <c r="B2711"/>
      <c r="C2711"/>
      <c r="M2711"/>
    </row>
    <row r="2712" spans="1:13" ht="12.75" customHeight="1" x14ac:dyDescent="0.25">
      <c r="A2712"/>
      <c r="B2712"/>
      <c r="C2712"/>
      <c r="M2712"/>
    </row>
    <row r="2713" spans="1:13" ht="12.75" customHeight="1" x14ac:dyDescent="0.25">
      <c r="A2713"/>
      <c r="B2713"/>
      <c r="C2713"/>
      <c r="M2713"/>
    </row>
    <row r="2714" spans="1:13" ht="12.75" customHeight="1" x14ac:dyDescent="0.25">
      <c r="A2714"/>
      <c r="B2714"/>
      <c r="C2714"/>
      <c r="M2714"/>
    </row>
    <row r="2715" spans="1:13" ht="12.75" customHeight="1" x14ac:dyDescent="0.25">
      <c r="A2715"/>
      <c r="B2715"/>
      <c r="C2715"/>
      <c r="M2715"/>
    </row>
    <row r="2716" spans="1:13" ht="12.75" customHeight="1" x14ac:dyDescent="0.25">
      <c r="A2716"/>
      <c r="B2716"/>
      <c r="C2716"/>
      <c r="M2716"/>
    </row>
    <row r="2717" spans="1:13" ht="12.75" customHeight="1" x14ac:dyDescent="0.25">
      <c r="A2717"/>
      <c r="B2717"/>
      <c r="C2717"/>
      <c r="M2717"/>
    </row>
    <row r="2718" spans="1:13" ht="12.75" customHeight="1" x14ac:dyDescent="0.25">
      <c r="A2718"/>
      <c r="B2718"/>
      <c r="C2718"/>
      <c r="M2718"/>
    </row>
    <row r="2719" spans="1:13" ht="12.75" customHeight="1" x14ac:dyDescent="0.25">
      <c r="A2719"/>
      <c r="B2719"/>
      <c r="C2719"/>
      <c r="M2719"/>
    </row>
    <row r="2720" spans="1:13" ht="12.75" customHeight="1" x14ac:dyDescent="0.25">
      <c r="A2720"/>
      <c r="B2720"/>
      <c r="C2720"/>
      <c r="M2720"/>
    </row>
    <row r="2721" spans="1:13" ht="12.75" customHeight="1" x14ac:dyDescent="0.25">
      <c r="A2721"/>
      <c r="B2721"/>
      <c r="C2721"/>
      <c r="M2721"/>
    </row>
    <row r="2722" spans="1:13" ht="12.75" customHeight="1" x14ac:dyDescent="0.25">
      <c r="A2722"/>
      <c r="B2722"/>
      <c r="C2722"/>
      <c r="M2722"/>
    </row>
    <row r="2723" spans="1:13" ht="12.75" customHeight="1" x14ac:dyDescent="0.25">
      <c r="A2723"/>
      <c r="B2723"/>
      <c r="C2723"/>
      <c r="M2723"/>
    </row>
    <row r="2724" spans="1:13" ht="12.75" customHeight="1" x14ac:dyDescent="0.25">
      <c r="A2724"/>
      <c r="B2724"/>
      <c r="C2724"/>
      <c r="M2724"/>
    </row>
    <row r="2725" spans="1:13" ht="12.75" customHeight="1" x14ac:dyDescent="0.25">
      <c r="A2725"/>
      <c r="B2725"/>
      <c r="C2725"/>
      <c r="M2725"/>
    </row>
    <row r="2726" spans="1:13" ht="12.75" customHeight="1" x14ac:dyDescent="0.25">
      <c r="A2726"/>
      <c r="B2726"/>
      <c r="C2726"/>
      <c r="M2726"/>
    </row>
    <row r="2727" spans="1:13" ht="12.75" customHeight="1" x14ac:dyDescent="0.25">
      <c r="A2727"/>
      <c r="B2727"/>
      <c r="C2727"/>
      <c r="M2727"/>
    </row>
    <row r="2728" spans="1:13" ht="12.75" customHeight="1" x14ac:dyDescent="0.25">
      <c r="A2728"/>
      <c r="B2728"/>
      <c r="C2728"/>
      <c r="M2728"/>
    </row>
    <row r="2729" spans="1:13" ht="12.75" customHeight="1" x14ac:dyDescent="0.25">
      <c r="A2729"/>
      <c r="B2729"/>
      <c r="C2729"/>
      <c r="M2729"/>
    </row>
    <row r="2730" spans="1:13" ht="12.75" customHeight="1" x14ac:dyDescent="0.25">
      <c r="A2730"/>
      <c r="B2730"/>
      <c r="C2730"/>
      <c r="M2730"/>
    </row>
    <row r="2731" spans="1:13" ht="12.75" customHeight="1" x14ac:dyDescent="0.25">
      <c r="A2731"/>
      <c r="B2731"/>
      <c r="C2731"/>
      <c r="M2731"/>
    </row>
    <row r="2732" spans="1:13" ht="12.75" customHeight="1" x14ac:dyDescent="0.25">
      <c r="A2732"/>
      <c r="B2732"/>
      <c r="C2732"/>
      <c r="M2732"/>
    </row>
    <row r="2733" spans="1:13" ht="12.75" customHeight="1" x14ac:dyDescent="0.25">
      <c r="A2733"/>
      <c r="B2733"/>
      <c r="C2733"/>
      <c r="M2733"/>
    </row>
    <row r="2734" spans="1:13" ht="12.75" customHeight="1" x14ac:dyDescent="0.25">
      <c r="A2734"/>
      <c r="B2734"/>
      <c r="C2734"/>
      <c r="M2734"/>
    </row>
    <row r="2735" spans="1:13" ht="12.75" customHeight="1" x14ac:dyDescent="0.25">
      <c r="A2735"/>
      <c r="B2735"/>
      <c r="C2735"/>
      <c r="M2735"/>
    </row>
    <row r="2736" spans="1:13" ht="12.75" customHeight="1" x14ac:dyDescent="0.25">
      <c r="A2736"/>
      <c r="B2736"/>
      <c r="C2736"/>
      <c r="M2736"/>
    </row>
    <row r="2737" spans="1:13" ht="12.75" customHeight="1" x14ac:dyDescent="0.25">
      <c r="A2737"/>
      <c r="B2737"/>
      <c r="C2737"/>
      <c r="M2737"/>
    </row>
    <row r="2738" spans="1:13" ht="12.75" customHeight="1" x14ac:dyDescent="0.25">
      <c r="A2738"/>
      <c r="B2738"/>
      <c r="C2738"/>
      <c r="M2738"/>
    </row>
    <row r="2739" spans="1:13" ht="12.75" customHeight="1" x14ac:dyDescent="0.25">
      <c r="A2739"/>
      <c r="B2739"/>
      <c r="C2739"/>
      <c r="M2739"/>
    </row>
    <row r="2740" spans="1:13" ht="12.75" customHeight="1" x14ac:dyDescent="0.25">
      <c r="A2740"/>
      <c r="B2740"/>
      <c r="C2740"/>
      <c r="M2740"/>
    </row>
    <row r="2741" spans="1:13" ht="12.75" customHeight="1" x14ac:dyDescent="0.25">
      <c r="A2741"/>
      <c r="B2741"/>
      <c r="C2741"/>
      <c r="M2741"/>
    </row>
    <row r="2742" spans="1:13" ht="12.75" customHeight="1" x14ac:dyDescent="0.25">
      <c r="A2742"/>
      <c r="B2742"/>
      <c r="C2742"/>
      <c r="M2742"/>
    </row>
    <row r="2743" spans="1:13" ht="12.75" customHeight="1" x14ac:dyDescent="0.25">
      <c r="A2743"/>
      <c r="B2743"/>
      <c r="C2743"/>
      <c r="M2743"/>
    </row>
    <row r="2744" spans="1:13" ht="12.75" customHeight="1" x14ac:dyDescent="0.25">
      <c r="A2744"/>
      <c r="B2744"/>
      <c r="C2744"/>
      <c r="M2744"/>
    </row>
    <row r="2745" spans="1:13" ht="12.75" customHeight="1" x14ac:dyDescent="0.25">
      <c r="A2745"/>
      <c r="B2745"/>
      <c r="C2745"/>
      <c r="M2745"/>
    </row>
    <row r="2746" spans="1:13" ht="12.75" customHeight="1" x14ac:dyDescent="0.25">
      <c r="A2746"/>
      <c r="B2746"/>
      <c r="C2746"/>
      <c r="M2746"/>
    </row>
    <row r="2747" spans="1:13" ht="12.75" customHeight="1" x14ac:dyDescent="0.25">
      <c r="A2747"/>
      <c r="B2747"/>
      <c r="C2747"/>
      <c r="M2747"/>
    </row>
    <row r="2748" spans="1:13" ht="12.75" customHeight="1" x14ac:dyDescent="0.25">
      <c r="A2748"/>
      <c r="B2748"/>
      <c r="C2748"/>
      <c r="M2748"/>
    </row>
    <row r="2749" spans="1:13" ht="12.75" customHeight="1" x14ac:dyDescent="0.25">
      <c r="A2749"/>
      <c r="B2749"/>
      <c r="C2749"/>
      <c r="M2749"/>
    </row>
    <row r="2750" spans="1:13" ht="12.75" customHeight="1" x14ac:dyDescent="0.25">
      <c r="A2750"/>
      <c r="B2750"/>
      <c r="C2750"/>
      <c r="M2750"/>
    </row>
    <row r="2751" spans="1:13" ht="12.75" customHeight="1" x14ac:dyDescent="0.25">
      <c r="A2751"/>
      <c r="B2751"/>
      <c r="C2751"/>
      <c r="M2751"/>
    </row>
    <row r="2752" spans="1:13" ht="12.75" customHeight="1" x14ac:dyDescent="0.25">
      <c r="A2752"/>
      <c r="B2752"/>
      <c r="C2752"/>
      <c r="M2752"/>
    </row>
    <row r="2753" spans="1:13" ht="12.75" customHeight="1" x14ac:dyDescent="0.25">
      <c r="A2753"/>
      <c r="B2753"/>
      <c r="C2753"/>
      <c r="M2753"/>
    </row>
    <row r="2754" spans="1:13" ht="12.75" customHeight="1" x14ac:dyDescent="0.25">
      <c r="A2754"/>
      <c r="B2754"/>
      <c r="C2754"/>
      <c r="M2754"/>
    </row>
    <row r="2755" spans="1:13" ht="12.75" customHeight="1" x14ac:dyDescent="0.25">
      <c r="A2755"/>
      <c r="B2755"/>
      <c r="C2755"/>
      <c r="M2755"/>
    </row>
    <row r="2756" spans="1:13" ht="12.75" customHeight="1" x14ac:dyDescent="0.25">
      <c r="A2756"/>
      <c r="B2756"/>
      <c r="C2756"/>
      <c r="M2756"/>
    </row>
    <row r="2757" spans="1:13" ht="12.75" customHeight="1" x14ac:dyDescent="0.25">
      <c r="A2757"/>
      <c r="B2757"/>
      <c r="C2757"/>
      <c r="M2757"/>
    </row>
    <row r="2758" spans="1:13" ht="12.75" customHeight="1" x14ac:dyDescent="0.25">
      <c r="A2758"/>
      <c r="B2758"/>
      <c r="C2758"/>
      <c r="M2758"/>
    </row>
    <row r="2759" spans="1:13" ht="12.75" customHeight="1" x14ac:dyDescent="0.25">
      <c r="A2759"/>
      <c r="B2759"/>
      <c r="C2759"/>
      <c r="M2759"/>
    </row>
    <row r="2760" spans="1:13" ht="12.75" customHeight="1" x14ac:dyDescent="0.25">
      <c r="A2760"/>
      <c r="B2760"/>
      <c r="C2760"/>
      <c r="M2760"/>
    </row>
    <row r="2761" spans="1:13" ht="12.75" customHeight="1" x14ac:dyDescent="0.25">
      <c r="A2761"/>
      <c r="B2761"/>
      <c r="C2761"/>
      <c r="M2761"/>
    </row>
    <row r="2762" spans="1:13" ht="12.75" customHeight="1" x14ac:dyDescent="0.25">
      <c r="A2762"/>
      <c r="B2762"/>
      <c r="C2762"/>
      <c r="M2762"/>
    </row>
    <row r="2763" spans="1:13" ht="12.75" customHeight="1" x14ac:dyDescent="0.25">
      <c r="A2763"/>
      <c r="B2763"/>
      <c r="C2763"/>
      <c r="M2763"/>
    </row>
    <row r="2764" spans="1:13" ht="12.75" customHeight="1" x14ac:dyDescent="0.25">
      <c r="A2764"/>
      <c r="B2764"/>
      <c r="C2764"/>
      <c r="M2764"/>
    </row>
    <row r="2765" spans="1:13" ht="12.75" customHeight="1" x14ac:dyDescent="0.25">
      <c r="A2765"/>
      <c r="B2765"/>
      <c r="C2765"/>
      <c r="M2765"/>
    </row>
    <row r="2766" spans="1:13" ht="12.75" customHeight="1" x14ac:dyDescent="0.25">
      <c r="A2766"/>
      <c r="B2766"/>
      <c r="C2766"/>
      <c r="M2766"/>
    </row>
    <row r="2767" spans="1:13" ht="12.75" customHeight="1" x14ac:dyDescent="0.25">
      <c r="A2767"/>
      <c r="B2767"/>
      <c r="C2767"/>
      <c r="M2767"/>
    </row>
    <row r="2768" spans="1:13" ht="12.75" customHeight="1" x14ac:dyDescent="0.25">
      <c r="A2768"/>
      <c r="B2768"/>
      <c r="C2768"/>
      <c r="M2768"/>
    </row>
    <row r="2769" spans="1:13" ht="12.75" customHeight="1" x14ac:dyDescent="0.25">
      <c r="A2769"/>
      <c r="B2769"/>
      <c r="C2769"/>
      <c r="M2769"/>
    </row>
    <row r="2770" spans="1:13" ht="12.75" customHeight="1" x14ac:dyDescent="0.25">
      <c r="A2770"/>
      <c r="B2770"/>
      <c r="C2770"/>
      <c r="M2770"/>
    </row>
    <row r="2771" spans="1:13" ht="12.75" customHeight="1" x14ac:dyDescent="0.25">
      <c r="A2771"/>
      <c r="B2771"/>
      <c r="C2771"/>
      <c r="M2771"/>
    </row>
    <row r="2772" spans="1:13" ht="12.75" customHeight="1" x14ac:dyDescent="0.25">
      <c r="A2772"/>
      <c r="B2772"/>
      <c r="C2772"/>
      <c r="M2772"/>
    </row>
    <row r="2773" spans="1:13" ht="12.75" customHeight="1" x14ac:dyDescent="0.25">
      <c r="A2773"/>
      <c r="B2773"/>
      <c r="C2773"/>
      <c r="M2773"/>
    </row>
    <row r="2774" spans="1:13" ht="12.75" customHeight="1" x14ac:dyDescent="0.25">
      <c r="A2774"/>
      <c r="B2774"/>
      <c r="C2774"/>
      <c r="M2774"/>
    </row>
    <row r="2775" spans="1:13" ht="12.75" customHeight="1" x14ac:dyDescent="0.25">
      <c r="A2775"/>
      <c r="B2775"/>
      <c r="C2775"/>
      <c r="M2775"/>
    </row>
    <row r="2776" spans="1:13" ht="12.75" customHeight="1" x14ac:dyDescent="0.25">
      <c r="A2776"/>
      <c r="B2776"/>
      <c r="C2776"/>
      <c r="M2776"/>
    </row>
    <row r="2777" spans="1:13" ht="12.75" customHeight="1" x14ac:dyDescent="0.25">
      <c r="A2777"/>
      <c r="B2777"/>
      <c r="C2777"/>
      <c r="M2777"/>
    </row>
    <row r="2778" spans="1:13" ht="12.75" customHeight="1" x14ac:dyDescent="0.25">
      <c r="A2778"/>
      <c r="B2778"/>
      <c r="C2778"/>
      <c r="M2778"/>
    </row>
    <row r="2779" spans="1:13" ht="12.75" customHeight="1" x14ac:dyDescent="0.25">
      <c r="A2779"/>
      <c r="B2779"/>
      <c r="C2779"/>
      <c r="M2779"/>
    </row>
    <row r="2780" spans="1:13" ht="12.75" customHeight="1" x14ac:dyDescent="0.25">
      <c r="A2780"/>
      <c r="B2780"/>
      <c r="C2780"/>
      <c r="M2780"/>
    </row>
    <row r="2781" spans="1:13" ht="12.75" customHeight="1" x14ac:dyDescent="0.25">
      <c r="A2781"/>
      <c r="B2781"/>
      <c r="C2781"/>
      <c r="M2781"/>
    </row>
    <row r="2782" spans="1:13" ht="12.75" customHeight="1" x14ac:dyDescent="0.25">
      <c r="A2782"/>
      <c r="B2782"/>
      <c r="C2782"/>
      <c r="M2782"/>
    </row>
    <row r="2783" spans="1:13" ht="12.75" customHeight="1" x14ac:dyDescent="0.25">
      <c r="A2783"/>
      <c r="B2783"/>
      <c r="C2783"/>
      <c r="M2783"/>
    </row>
    <row r="2784" spans="1:13" ht="12.75" customHeight="1" x14ac:dyDescent="0.25">
      <c r="A2784"/>
      <c r="B2784"/>
      <c r="C2784"/>
      <c r="M2784"/>
    </row>
    <row r="2785" spans="1:13" ht="12.75" customHeight="1" x14ac:dyDescent="0.25">
      <c r="A2785"/>
      <c r="B2785"/>
      <c r="C2785"/>
      <c r="M2785"/>
    </row>
    <row r="2786" spans="1:13" ht="12.75" customHeight="1" x14ac:dyDescent="0.25">
      <c r="A2786"/>
      <c r="B2786"/>
      <c r="C2786"/>
      <c r="M2786"/>
    </row>
    <row r="2787" spans="1:13" ht="12.75" customHeight="1" x14ac:dyDescent="0.25">
      <c r="A2787"/>
      <c r="B2787"/>
      <c r="C2787"/>
      <c r="M2787"/>
    </row>
    <row r="2788" spans="1:13" ht="12.75" customHeight="1" x14ac:dyDescent="0.25">
      <c r="A2788"/>
      <c r="B2788"/>
      <c r="C2788"/>
      <c r="M2788"/>
    </row>
    <row r="2789" spans="1:13" ht="12.75" customHeight="1" x14ac:dyDescent="0.25">
      <c r="A2789"/>
      <c r="B2789"/>
      <c r="C2789"/>
      <c r="M2789"/>
    </row>
    <row r="2790" spans="1:13" ht="12.75" customHeight="1" x14ac:dyDescent="0.25">
      <c r="A2790"/>
      <c r="B2790"/>
      <c r="C2790"/>
      <c r="M2790"/>
    </row>
    <row r="2791" spans="1:13" ht="12.75" customHeight="1" x14ac:dyDescent="0.25">
      <c r="A2791"/>
      <c r="B2791"/>
      <c r="C2791"/>
      <c r="M2791"/>
    </row>
    <row r="2792" spans="1:13" ht="12.75" customHeight="1" x14ac:dyDescent="0.25">
      <c r="A2792"/>
      <c r="B2792"/>
      <c r="C2792"/>
      <c r="M2792"/>
    </row>
    <row r="2793" spans="1:13" ht="12.75" customHeight="1" x14ac:dyDescent="0.25">
      <c r="A2793"/>
      <c r="B2793"/>
      <c r="C2793"/>
      <c r="M2793"/>
    </row>
    <row r="2794" spans="1:13" ht="12.75" customHeight="1" x14ac:dyDescent="0.25">
      <c r="A2794"/>
      <c r="B2794"/>
      <c r="C2794"/>
      <c r="M2794"/>
    </row>
    <row r="2795" spans="1:13" ht="12.75" customHeight="1" x14ac:dyDescent="0.25">
      <c r="A2795"/>
      <c r="B2795"/>
      <c r="C2795"/>
      <c r="M2795"/>
    </row>
    <row r="2796" spans="1:13" ht="12.75" customHeight="1" x14ac:dyDescent="0.25">
      <c r="A2796"/>
      <c r="B2796"/>
      <c r="C2796"/>
      <c r="M2796"/>
    </row>
    <row r="2797" spans="1:13" ht="12.75" customHeight="1" x14ac:dyDescent="0.25">
      <c r="A2797"/>
      <c r="B2797"/>
      <c r="C2797"/>
      <c r="M2797"/>
    </row>
    <row r="2798" spans="1:13" ht="12.75" customHeight="1" x14ac:dyDescent="0.25">
      <c r="A2798"/>
      <c r="B2798"/>
      <c r="C2798"/>
      <c r="M2798"/>
    </row>
    <row r="2799" spans="1:13" ht="12.75" customHeight="1" x14ac:dyDescent="0.25">
      <c r="A2799"/>
      <c r="B2799"/>
      <c r="C2799"/>
      <c r="M2799"/>
    </row>
    <row r="2800" spans="1:13" ht="12.75" customHeight="1" x14ac:dyDescent="0.25">
      <c r="A2800"/>
      <c r="B2800"/>
      <c r="C2800"/>
      <c r="M2800"/>
    </row>
    <row r="2801" spans="1:13" ht="12.75" customHeight="1" x14ac:dyDescent="0.25">
      <c r="A2801"/>
      <c r="B2801"/>
      <c r="C2801"/>
      <c r="M2801"/>
    </row>
    <row r="2802" spans="1:13" ht="12.75" customHeight="1" x14ac:dyDescent="0.25">
      <c r="A2802"/>
      <c r="B2802"/>
      <c r="C2802"/>
      <c r="M2802"/>
    </row>
    <row r="2803" spans="1:13" ht="12.75" customHeight="1" x14ac:dyDescent="0.25">
      <c r="A2803"/>
      <c r="B2803"/>
      <c r="C2803"/>
      <c r="M2803"/>
    </row>
    <row r="2804" spans="1:13" ht="12.75" customHeight="1" x14ac:dyDescent="0.25">
      <c r="A2804"/>
      <c r="B2804"/>
      <c r="C2804"/>
      <c r="M2804"/>
    </row>
    <row r="2805" spans="1:13" ht="12.75" customHeight="1" x14ac:dyDescent="0.25">
      <c r="A2805"/>
      <c r="B2805"/>
      <c r="C2805"/>
      <c r="M2805"/>
    </row>
    <row r="2806" spans="1:13" ht="12.75" customHeight="1" x14ac:dyDescent="0.25">
      <c r="A2806"/>
      <c r="B2806"/>
      <c r="C2806"/>
      <c r="M2806"/>
    </row>
    <row r="2807" spans="1:13" ht="12.75" customHeight="1" x14ac:dyDescent="0.25">
      <c r="A2807"/>
      <c r="B2807"/>
      <c r="C2807"/>
      <c r="M2807"/>
    </row>
    <row r="2808" spans="1:13" ht="12.75" customHeight="1" x14ac:dyDescent="0.25">
      <c r="A2808"/>
      <c r="B2808"/>
      <c r="C2808"/>
      <c r="M2808"/>
    </row>
    <row r="2809" spans="1:13" ht="12.75" customHeight="1" x14ac:dyDescent="0.25">
      <c r="A2809"/>
      <c r="B2809"/>
      <c r="C2809"/>
      <c r="M2809"/>
    </row>
    <row r="2810" spans="1:13" ht="12.75" customHeight="1" x14ac:dyDescent="0.25">
      <c r="A2810"/>
      <c r="B2810"/>
      <c r="C2810"/>
      <c r="M2810"/>
    </row>
    <row r="2811" spans="1:13" ht="12.75" customHeight="1" x14ac:dyDescent="0.25">
      <c r="A2811"/>
      <c r="B2811"/>
      <c r="C2811"/>
      <c r="M2811"/>
    </row>
    <row r="2812" spans="1:13" ht="12.75" customHeight="1" x14ac:dyDescent="0.25">
      <c r="A2812"/>
      <c r="B2812"/>
      <c r="C2812"/>
      <c r="M2812"/>
    </row>
    <row r="2813" spans="1:13" ht="12.75" customHeight="1" x14ac:dyDescent="0.25">
      <c r="A2813"/>
      <c r="B2813"/>
      <c r="C2813"/>
      <c r="M2813"/>
    </row>
    <row r="2814" spans="1:13" ht="12.75" customHeight="1" x14ac:dyDescent="0.25">
      <c r="A2814"/>
      <c r="B2814"/>
      <c r="C2814"/>
      <c r="M2814"/>
    </row>
    <row r="2815" spans="1:13" ht="12.75" customHeight="1" x14ac:dyDescent="0.25">
      <c r="A2815"/>
      <c r="B2815"/>
      <c r="C2815"/>
      <c r="M2815"/>
    </row>
    <row r="2816" spans="1:13" ht="12.75" customHeight="1" x14ac:dyDescent="0.25">
      <c r="A2816"/>
      <c r="B2816"/>
      <c r="C2816"/>
      <c r="M2816"/>
    </row>
    <row r="2817" spans="1:13" ht="12.75" customHeight="1" x14ac:dyDescent="0.25">
      <c r="A2817"/>
      <c r="B2817"/>
      <c r="C2817"/>
      <c r="M2817"/>
    </row>
    <row r="2818" spans="1:13" ht="12.75" customHeight="1" x14ac:dyDescent="0.25">
      <c r="A2818"/>
      <c r="B2818"/>
      <c r="C2818"/>
      <c r="M2818"/>
    </row>
    <row r="2819" spans="1:13" ht="12.75" customHeight="1" x14ac:dyDescent="0.25">
      <c r="A2819"/>
      <c r="B2819"/>
      <c r="C2819"/>
      <c r="M2819"/>
    </row>
    <row r="2820" spans="1:13" ht="12.75" customHeight="1" x14ac:dyDescent="0.25">
      <c r="A2820"/>
      <c r="B2820"/>
      <c r="C2820"/>
      <c r="M2820"/>
    </row>
    <row r="2821" spans="1:13" ht="12.75" customHeight="1" x14ac:dyDescent="0.25">
      <c r="A2821"/>
      <c r="B2821"/>
      <c r="C2821"/>
      <c r="M2821"/>
    </row>
    <row r="2822" spans="1:13" ht="12.75" customHeight="1" x14ac:dyDescent="0.25">
      <c r="A2822"/>
      <c r="B2822"/>
      <c r="C2822"/>
      <c r="M2822"/>
    </row>
    <row r="2823" spans="1:13" ht="12.75" customHeight="1" x14ac:dyDescent="0.25">
      <c r="A2823"/>
      <c r="B2823"/>
      <c r="C2823"/>
      <c r="M2823"/>
    </row>
    <row r="2824" spans="1:13" ht="12.75" customHeight="1" x14ac:dyDescent="0.25">
      <c r="A2824"/>
      <c r="B2824"/>
      <c r="C2824"/>
      <c r="M2824"/>
    </row>
    <row r="2825" spans="1:13" ht="12.75" customHeight="1" x14ac:dyDescent="0.25">
      <c r="A2825"/>
      <c r="B2825"/>
      <c r="C2825"/>
      <c r="M2825"/>
    </row>
    <row r="2826" spans="1:13" ht="12.75" customHeight="1" x14ac:dyDescent="0.25">
      <c r="A2826"/>
      <c r="B2826"/>
      <c r="C2826"/>
      <c r="M2826"/>
    </row>
    <row r="2827" spans="1:13" ht="12.75" customHeight="1" x14ac:dyDescent="0.25">
      <c r="A2827"/>
      <c r="B2827"/>
      <c r="C2827"/>
      <c r="M2827"/>
    </row>
    <row r="2828" spans="1:13" ht="12.75" customHeight="1" x14ac:dyDescent="0.25">
      <c r="A2828"/>
      <c r="B2828"/>
      <c r="C2828"/>
      <c r="M2828"/>
    </row>
    <row r="2829" spans="1:13" ht="12.75" customHeight="1" x14ac:dyDescent="0.25">
      <c r="A2829"/>
      <c r="B2829"/>
      <c r="C2829"/>
      <c r="M2829"/>
    </row>
    <row r="2830" spans="1:13" ht="12.75" customHeight="1" x14ac:dyDescent="0.25">
      <c r="A2830"/>
      <c r="B2830"/>
      <c r="C2830"/>
      <c r="M2830"/>
    </row>
    <row r="2831" spans="1:13" ht="12.75" customHeight="1" x14ac:dyDescent="0.25">
      <c r="A2831"/>
      <c r="B2831"/>
      <c r="C2831"/>
      <c r="M2831"/>
    </row>
    <row r="2832" spans="1:13" ht="12.75" customHeight="1" x14ac:dyDescent="0.25">
      <c r="A2832"/>
      <c r="B2832"/>
      <c r="C2832"/>
      <c r="M2832"/>
    </row>
    <row r="2833" spans="1:13" ht="12.75" customHeight="1" x14ac:dyDescent="0.25">
      <c r="A2833"/>
      <c r="B2833"/>
      <c r="C2833"/>
      <c r="M2833"/>
    </row>
    <row r="2834" spans="1:13" ht="12.75" customHeight="1" x14ac:dyDescent="0.25">
      <c r="A2834"/>
      <c r="B2834"/>
      <c r="C2834"/>
      <c r="M2834"/>
    </row>
    <row r="2835" spans="1:13" ht="12.75" customHeight="1" x14ac:dyDescent="0.25">
      <c r="A2835"/>
      <c r="B2835"/>
      <c r="C2835"/>
      <c r="M2835"/>
    </row>
    <row r="2836" spans="1:13" ht="12.75" customHeight="1" x14ac:dyDescent="0.25">
      <c r="A2836"/>
      <c r="B2836"/>
      <c r="C2836"/>
      <c r="M2836"/>
    </row>
    <row r="2837" spans="1:13" ht="12.75" customHeight="1" x14ac:dyDescent="0.25">
      <c r="A2837"/>
      <c r="B2837"/>
      <c r="C2837"/>
      <c r="M2837"/>
    </row>
    <row r="2838" spans="1:13" ht="12.75" customHeight="1" x14ac:dyDescent="0.25">
      <c r="A2838"/>
      <c r="B2838"/>
      <c r="C2838"/>
      <c r="M2838"/>
    </row>
    <row r="2839" spans="1:13" ht="12.75" customHeight="1" x14ac:dyDescent="0.25">
      <c r="A2839"/>
      <c r="B2839"/>
      <c r="C2839"/>
      <c r="M2839"/>
    </row>
    <row r="2840" spans="1:13" ht="12.75" customHeight="1" x14ac:dyDescent="0.25">
      <c r="A2840"/>
      <c r="B2840"/>
      <c r="C2840"/>
      <c r="M2840"/>
    </row>
    <row r="2841" spans="1:13" ht="12.75" customHeight="1" x14ac:dyDescent="0.25">
      <c r="A2841"/>
      <c r="B2841"/>
      <c r="C2841"/>
      <c r="M2841"/>
    </row>
    <row r="2842" spans="1:13" ht="12.75" customHeight="1" x14ac:dyDescent="0.25">
      <c r="A2842"/>
      <c r="B2842"/>
      <c r="C2842"/>
      <c r="M2842"/>
    </row>
    <row r="2843" spans="1:13" ht="12.75" customHeight="1" x14ac:dyDescent="0.25">
      <c r="A2843"/>
      <c r="B2843"/>
      <c r="C2843"/>
      <c r="M2843"/>
    </row>
    <row r="2844" spans="1:13" ht="12.75" customHeight="1" x14ac:dyDescent="0.25">
      <c r="A2844"/>
      <c r="B2844"/>
      <c r="C2844"/>
      <c r="M2844"/>
    </row>
    <row r="2845" spans="1:13" ht="12.75" customHeight="1" x14ac:dyDescent="0.25">
      <c r="A2845"/>
      <c r="B2845"/>
      <c r="C2845"/>
      <c r="M2845"/>
    </row>
    <row r="2846" spans="1:13" ht="12.75" customHeight="1" x14ac:dyDescent="0.25">
      <c r="A2846"/>
      <c r="B2846"/>
      <c r="C2846"/>
      <c r="M2846"/>
    </row>
    <row r="2847" spans="1:13" ht="12.75" customHeight="1" x14ac:dyDescent="0.25">
      <c r="A2847"/>
      <c r="B2847"/>
      <c r="C2847"/>
      <c r="M2847"/>
    </row>
    <row r="2848" spans="1:13" ht="12.75" customHeight="1" x14ac:dyDescent="0.25">
      <c r="A2848"/>
      <c r="B2848"/>
      <c r="C2848"/>
      <c r="M2848"/>
    </row>
    <row r="2849" spans="1:13" ht="12.75" customHeight="1" x14ac:dyDescent="0.25">
      <c r="A2849"/>
      <c r="B2849"/>
      <c r="C2849"/>
      <c r="M2849"/>
    </row>
    <row r="2850" spans="1:13" ht="12.75" customHeight="1" x14ac:dyDescent="0.25">
      <c r="A2850"/>
      <c r="B2850"/>
      <c r="C2850"/>
      <c r="M2850"/>
    </row>
    <row r="2851" spans="1:13" ht="12.75" customHeight="1" x14ac:dyDescent="0.25">
      <c r="A2851"/>
      <c r="B2851"/>
      <c r="C2851"/>
      <c r="M2851"/>
    </row>
    <row r="2852" spans="1:13" ht="12.75" customHeight="1" x14ac:dyDescent="0.25">
      <c r="A2852"/>
      <c r="B2852"/>
      <c r="C2852"/>
      <c r="M2852"/>
    </row>
    <row r="2853" spans="1:13" ht="12.75" customHeight="1" x14ac:dyDescent="0.25">
      <c r="A2853"/>
      <c r="B2853"/>
      <c r="C2853"/>
      <c r="M2853"/>
    </row>
    <row r="2854" spans="1:13" ht="12.75" customHeight="1" x14ac:dyDescent="0.25">
      <c r="A2854"/>
      <c r="B2854"/>
      <c r="C2854"/>
      <c r="M2854"/>
    </row>
    <row r="2855" spans="1:13" ht="12.75" customHeight="1" x14ac:dyDescent="0.25">
      <c r="A2855"/>
      <c r="B2855"/>
      <c r="C2855"/>
      <c r="M2855"/>
    </row>
    <row r="2856" spans="1:13" ht="12.75" customHeight="1" x14ac:dyDescent="0.25">
      <c r="A2856"/>
      <c r="B2856"/>
      <c r="C2856"/>
      <c r="M2856"/>
    </row>
    <row r="2857" spans="1:13" ht="12.75" customHeight="1" x14ac:dyDescent="0.25">
      <c r="A2857"/>
      <c r="B2857"/>
      <c r="C2857"/>
      <c r="M2857"/>
    </row>
    <row r="2858" spans="1:13" ht="12.75" customHeight="1" x14ac:dyDescent="0.25">
      <c r="A2858"/>
      <c r="B2858"/>
      <c r="C2858"/>
      <c r="M2858"/>
    </row>
    <row r="2859" spans="1:13" ht="12.75" customHeight="1" x14ac:dyDescent="0.25">
      <c r="A2859"/>
      <c r="B2859"/>
      <c r="C2859"/>
      <c r="M2859"/>
    </row>
    <row r="2860" spans="1:13" ht="12.75" customHeight="1" x14ac:dyDescent="0.25">
      <c r="A2860"/>
      <c r="B2860"/>
      <c r="C2860"/>
      <c r="M2860"/>
    </row>
    <row r="2861" spans="1:13" ht="12.75" customHeight="1" x14ac:dyDescent="0.25">
      <c r="A2861"/>
      <c r="B2861"/>
      <c r="C2861"/>
      <c r="M2861"/>
    </row>
    <row r="2862" spans="1:13" ht="12.75" customHeight="1" x14ac:dyDescent="0.25">
      <c r="A2862"/>
      <c r="B2862"/>
      <c r="C2862"/>
      <c r="M2862"/>
    </row>
    <row r="2863" spans="1:13" ht="12.75" customHeight="1" x14ac:dyDescent="0.25">
      <c r="A2863"/>
      <c r="B2863"/>
      <c r="C2863"/>
      <c r="M2863"/>
    </row>
    <row r="2864" spans="1:13" ht="12.75" customHeight="1" x14ac:dyDescent="0.25">
      <c r="A2864"/>
      <c r="B2864"/>
      <c r="C2864"/>
      <c r="M2864"/>
    </row>
    <row r="2865" spans="1:13" ht="12.75" customHeight="1" x14ac:dyDescent="0.25">
      <c r="A2865"/>
      <c r="B2865"/>
      <c r="C2865"/>
      <c r="M2865"/>
    </row>
    <row r="2866" spans="1:13" ht="12.75" customHeight="1" x14ac:dyDescent="0.25">
      <c r="A2866"/>
      <c r="B2866"/>
      <c r="C2866"/>
      <c r="M2866"/>
    </row>
    <row r="2867" spans="1:13" ht="12.75" customHeight="1" x14ac:dyDescent="0.25">
      <c r="A2867"/>
      <c r="B2867"/>
      <c r="C2867"/>
      <c r="M2867"/>
    </row>
    <row r="2868" spans="1:13" ht="12.75" customHeight="1" x14ac:dyDescent="0.25">
      <c r="A2868"/>
      <c r="B2868"/>
      <c r="C2868"/>
      <c r="M2868"/>
    </row>
    <row r="2869" spans="1:13" ht="12.75" customHeight="1" x14ac:dyDescent="0.25">
      <c r="A2869"/>
      <c r="B2869"/>
      <c r="C2869"/>
      <c r="M2869"/>
    </row>
    <row r="2870" spans="1:13" ht="12.75" customHeight="1" x14ac:dyDescent="0.25">
      <c r="A2870"/>
      <c r="B2870"/>
      <c r="C2870"/>
      <c r="M2870"/>
    </row>
    <row r="2871" spans="1:13" ht="12.75" customHeight="1" x14ac:dyDescent="0.25">
      <c r="A2871"/>
      <c r="B2871"/>
      <c r="C2871"/>
      <c r="M2871"/>
    </row>
    <row r="2872" spans="1:13" ht="12.75" customHeight="1" x14ac:dyDescent="0.25">
      <c r="A2872"/>
      <c r="B2872"/>
      <c r="C2872"/>
      <c r="M2872"/>
    </row>
    <row r="2873" spans="1:13" ht="12.75" customHeight="1" x14ac:dyDescent="0.25">
      <c r="A2873"/>
      <c r="B2873"/>
      <c r="C2873"/>
      <c r="M2873"/>
    </row>
    <row r="2874" spans="1:13" ht="12.75" customHeight="1" x14ac:dyDescent="0.25">
      <c r="A2874"/>
      <c r="B2874"/>
      <c r="C2874"/>
      <c r="M2874"/>
    </row>
    <row r="2875" spans="1:13" ht="12.75" customHeight="1" x14ac:dyDescent="0.25">
      <c r="A2875"/>
      <c r="B2875"/>
      <c r="C2875"/>
      <c r="M2875"/>
    </row>
    <row r="2876" spans="1:13" ht="12.75" customHeight="1" x14ac:dyDescent="0.25">
      <c r="A2876"/>
      <c r="B2876"/>
      <c r="C2876"/>
      <c r="M2876"/>
    </row>
    <row r="2877" spans="1:13" ht="12.75" customHeight="1" x14ac:dyDescent="0.25">
      <c r="A2877"/>
      <c r="B2877"/>
      <c r="C2877"/>
      <c r="M2877"/>
    </row>
    <row r="2878" spans="1:13" ht="12.75" customHeight="1" x14ac:dyDescent="0.25">
      <c r="A2878"/>
      <c r="B2878"/>
      <c r="C2878"/>
      <c r="M2878"/>
    </row>
    <row r="2879" spans="1:13" ht="12.75" customHeight="1" x14ac:dyDescent="0.25">
      <c r="A2879"/>
      <c r="B2879"/>
      <c r="C2879"/>
      <c r="M2879"/>
    </row>
    <row r="2880" spans="1:13" ht="12.75" customHeight="1" x14ac:dyDescent="0.25">
      <c r="A2880"/>
      <c r="B2880"/>
      <c r="C2880"/>
      <c r="M2880"/>
    </row>
    <row r="2881" spans="1:13" ht="12.75" customHeight="1" x14ac:dyDescent="0.25">
      <c r="A2881"/>
      <c r="B2881"/>
      <c r="C2881"/>
      <c r="M2881"/>
    </row>
    <row r="2882" spans="1:13" ht="12.75" customHeight="1" x14ac:dyDescent="0.25">
      <c r="A2882"/>
      <c r="B2882"/>
      <c r="C2882"/>
      <c r="M2882"/>
    </row>
    <row r="2883" spans="1:13" ht="12.75" customHeight="1" x14ac:dyDescent="0.25">
      <c r="A2883"/>
      <c r="B2883"/>
      <c r="C2883"/>
      <c r="M2883"/>
    </row>
    <row r="2884" spans="1:13" ht="12.75" customHeight="1" x14ac:dyDescent="0.25">
      <c r="A2884"/>
      <c r="B2884"/>
      <c r="C2884"/>
      <c r="M2884"/>
    </row>
    <row r="2885" spans="1:13" ht="12.75" customHeight="1" x14ac:dyDescent="0.25">
      <c r="A2885"/>
      <c r="B2885"/>
      <c r="C2885"/>
      <c r="M2885"/>
    </row>
    <row r="2886" spans="1:13" ht="12.75" customHeight="1" x14ac:dyDescent="0.25">
      <c r="A2886"/>
      <c r="B2886"/>
      <c r="C2886"/>
      <c r="M2886"/>
    </row>
    <row r="2887" spans="1:13" ht="12.75" customHeight="1" x14ac:dyDescent="0.25">
      <c r="A2887"/>
      <c r="B2887"/>
      <c r="C2887"/>
      <c r="M2887"/>
    </row>
    <row r="2888" spans="1:13" ht="12.75" customHeight="1" x14ac:dyDescent="0.25">
      <c r="A2888"/>
      <c r="B2888"/>
      <c r="C2888"/>
      <c r="M2888"/>
    </row>
    <row r="2889" spans="1:13" ht="12.75" customHeight="1" x14ac:dyDescent="0.25">
      <c r="A2889"/>
      <c r="B2889"/>
      <c r="C2889"/>
      <c r="M2889"/>
    </row>
    <row r="2890" spans="1:13" ht="12.75" customHeight="1" x14ac:dyDescent="0.25">
      <c r="A2890"/>
      <c r="B2890"/>
      <c r="C2890"/>
      <c r="M2890"/>
    </row>
    <row r="2891" spans="1:13" ht="12.75" customHeight="1" x14ac:dyDescent="0.25">
      <c r="A2891"/>
      <c r="B2891"/>
      <c r="C2891"/>
      <c r="M2891"/>
    </row>
    <row r="2892" spans="1:13" ht="12.75" customHeight="1" x14ac:dyDescent="0.25">
      <c r="A2892"/>
      <c r="B2892"/>
      <c r="C2892"/>
      <c r="M2892"/>
    </row>
    <row r="2893" spans="1:13" ht="12.75" customHeight="1" x14ac:dyDescent="0.25">
      <c r="A2893"/>
      <c r="B2893"/>
      <c r="C2893"/>
      <c r="M2893"/>
    </row>
    <row r="2894" spans="1:13" ht="12.75" customHeight="1" x14ac:dyDescent="0.25">
      <c r="A2894"/>
      <c r="B2894"/>
      <c r="C2894"/>
      <c r="M2894"/>
    </row>
    <row r="2895" spans="1:13" ht="12.75" customHeight="1" x14ac:dyDescent="0.25">
      <c r="A2895"/>
      <c r="B2895"/>
      <c r="C2895"/>
      <c r="M2895"/>
    </row>
    <row r="2896" spans="1:13" ht="12.75" customHeight="1" x14ac:dyDescent="0.25">
      <c r="A2896"/>
      <c r="B2896"/>
      <c r="C2896"/>
      <c r="M2896"/>
    </row>
    <row r="2897" spans="1:13" ht="12.75" customHeight="1" x14ac:dyDescent="0.25">
      <c r="A2897"/>
      <c r="B2897"/>
      <c r="C2897"/>
      <c r="M2897"/>
    </row>
    <row r="2898" spans="1:13" ht="12.75" customHeight="1" x14ac:dyDescent="0.25">
      <c r="A2898"/>
      <c r="B2898"/>
      <c r="C2898"/>
      <c r="M2898"/>
    </row>
    <row r="2899" spans="1:13" ht="12.75" customHeight="1" x14ac:dyDescent="0.25">
      <c r="A2899"/>
      <c r="B2899"/>
      <c r="C2899"/>
      <c r="M2899"/>
    </row>
    <row r="2900" spans="1:13" ht="12.75" customHeight="1" x14ac:dyDescent="0.25">
      <c r="A2900"/>
      <c r="B2900"/>
      <c r="C2900"/>
      <c r="M2900"/>
    </row>
    <row r="2901" spans="1:13" ht="12.75" customHeight="1" x14ac:dyDescent="0.25">
      <c r="A2901"/>
      <c r="B2901"/>
      <c r="C2901"/>
      <c r="M2901"/>
    </row>
    <row r="2902" spans="1:13" ht="12.75" customHeight="1" x14ac:dyDescent="0.25">
      <c r="A2902"/>
      <c r="B2902"/>
      <c r="C2902"/>
      <c r="M2902"/>
    </row>
    <row r="2903" spans="1:13" ht="12.75" customHeight="1" x14ac:dyDescent="0.25">
      <c r="A2903"/>
      <c r="B2903"/>
      <c r="C2903"/>
      <c r="M2903"/>
    </row>
    <row r="2904" spans="1:13" ht="12.75" customHeight="1" x14ac:dyDescent="0.25">
      <c r="A2904"/>
      <c r="B2904"/>
      <c r="C2904"/>
      <c r="M2904"/>
    </row>
    <row r="2905" spans="1:13" ht="12.75" customHeight="1" x14ac:dyDescent="0.25">
      <c r="A2905"/>
      <c r="B2905"/>
      <c r="C2905"/>
      <c r="M2905"/>
    </row>
    <row r="2906" spans="1:13" ht="12.75" customHeight="1" x14ac:dyDescent="0.25">
      <c r="A2906"/>
      <c r="B2906"/>
      <c r="C2906"/>
      <c r="M2906"/>
    </row>
    <row r="2907" spans="1:13" ht="12.75" customHeight="1" x14ac:dyDescent="0.25">
      <c r="A2907"/>
      <c r="B2907"/>
      <c r="C2907"/>
      <c r="M2907"/>
    </row>
    <row r="2908" spans="1:13" ht="12.75" customHeight="1" x14ac:dyDescent="0.25">
      <c r="A2908"/>
      <c r="B2908"/>
      <c r="C2908"/>
      <c r="M2908"/>
    </row>
    <row r="2909" spans="1:13" ht="12.75" customHeight="1" x14ac:dyDescent="0.25">
      <c r="A2909"/>
      <c r="B2909"/>
      <c r="C2909"/>
      <c r="M2909"/>
    </row>
    <row r="2910" spans="1:13" ht="12.75" customHeight="1" x14ac:dyDescent="0.25">
      <c r="A2910"/>
      <c r="B2910"/>
      <c r="C2910"/>
      <c r="M2910"/>
    </row>
    <row r="2911" spans="1:13" ht="12.75" customHeight="1" x14ac:dyDescent="0.25">
      <c r="A2911"/>
      <c r="B2911"/>
      <c r="C2911"/>
      <c r="M2911"/>
    </row>
    <row r="2912" spans="1:13" ht="12.75" customHeight="1" x14ac:dyDescent="0.25">
      <c r="A2912"/>
      <c r="B2912"/>
      <c r="C2912"/>
      <c r="M2912"/>
    </row>
    <row r="2913" spans="1:13" ht="12.75" customHeight="1" x14ac:dyDescent="0.25">
      <c r="A2913"/>
      <c r="B2913"/>
      <c r="C2913"/>
      <c r="M2913"/>
    </row>
    <row r="2914" spans="1:13" ht="12.75" customHeight="1" x14ac:dyDescent="0.25">
      <c r="A2914"/>
      <c r="B2914"/>
      <c r="C2914"/>
      <c r="M2914"/>
    </row>
    <row r="2915" spans="1:13" ht="12.75" customHeight="1" x14ac:dyDescent="0.25">
      <c r="A2915"/>
      <c r="B2915"/>
      <c r="C2915"/>
      <c r="M2915"/>
    </row>
    <row r="2916" spans="1:13" ht="12.75" customHeight="1" x14ac:dyDescent="0.25">
      <c r="A2916"/>
      <c r="B2916"/>
      <c r="C2916"/>
      <c r="M2916"/>
    </row>
    <row r="2917" spans="1:13" ht="12.75" customHeight="1" x14ac:dyDescent="0.25">
      <c r="A2917"/>
      <c r="B2917"/>
      <c r="C2917"/>
      <c r="M2917"/>
    </row>
    <row r="2918" spans="1:13" ht="12.75" customHeight="1" x14ac:dyDescent="0.25">
      <c r="A2918"/>
      <c r="B2918"/>
      <c r="C2918"/>
      <c r="M2918"/>
    </row>
    <row r="2919" spans="1:13" ht="12.75" customHeight="1" x14ac:dyDescent="0.25">
      <c r="A2919"/>
      <c r="B2919"/>
      <c r="C2919"/>
      <c r="M2919"/>
    </row>
    <row r="2920" spans="1:13" ht="12.75" customHeight="1" x14ac:dyDescent="0.25">
      <c r="A2920"/>
      <c r="B2920"/>
      <c r="C2920"/>
      <c r="M2920"/>
    </row>
    <row r="2921" spans="1:13" ht="12.75" customHeight="1" x14ac:dyDescent="0.25">
      <c r="A2921"/>
      <c r="B2921"/>
      <c r="C2921"/>
      <c r="M2921"/>
    </row>
    <row r="2922" spans="1:13" ht="12.75" customHeight="1" x14ac:dyDescent="0.25">
      <c r="A2922"/>
      <c r="B2922"/>
      <c r="C2922"/>
      <c r="M2922"/>
    </row>
    <row r="2923" spans="1:13" ht="12.75" customHeight="1" x14ac:dyDescent="0.25">
      <c r="A2923"/>
      <c r="B2923"/>
      <c r="C2923"/>
      <c r="M2923"/>
    </row>
    <row r="2924" spans="1:13" ht="12.75" customHeight="1" x14ac:dyDescent="0.25">
      <c r="A2924"/>
      <c r="B2924"/>
      <c r="C2924"/>
      <c r="M2924"/>
    </row>
    <row r="2925" spans="1:13" ht="12.75" customHeight="1" x14ac:dyDescent="0.25">
      <c r="A2925"/>
      <c r="B2925"/>
      <c r="C2925"/>
      <c r="M2925"/>
    </row>
    <row r="2926" spans="1:13" ht="12.75" customHeight="1" x14ac:dyDescent="0.25">
      <c r="A2926"/>
      <c r="B2926"/>
      <c r="C2926"/>
      <c r="M2926"/>
    </row>
    <row r="2927" spans="1:13" ht="12.75" customHeight="1" x14ac:dyDescent="0.25">
      <c r="A2927"/>
      <c r="B2927"/>
      <c r="C2927"/>
      <c r="M2927"/>
    </row>
    <row r="2928" spans="1:13" ht="12.75" customHeight="1" x14ac:dyDescent="0.25">
      <c r="A2928"/>
      <c r="B2928"/>
      <c r="C2928"/>
      <c r="M2928"/>
    </row>
    <row r="2929" spans="1:13" ht="12.75" customHeight="1" x14ac:dyDescent="0.25">
      <c r="A2929"/>
      <c r="B2929"/>
      <c r="C2929"/>
      <c r="M2929"/>
    </row>
    <row r="2930" spans="1:13" ht="12.75" customHeight="1" x14ac:dyDescent="0.25">
      <c r="A2930"/>
      <c r="B2930"/>
      <c r="C2930"/>
      <c r="M2930"/>
    </row>
    <row r="2931" spans="1:13" ht="12.75" customHeight="1" x14ac:dyDescent="0.25">
      <c r="A2931"/>
      <c r="B2931"/>
      <c r="C2931"/>
      <c r="M2931"/>
    </row>
    <row r="2932" spans="1:13" ht="12.75" customHeight="1" x14ac:dyDescent="0.25">
      <c r="A2932"/>
      <c r="B2932"/>
      <c r="C2932"/>
      <c r="M2932"/>
    </row>
    <row r="2933" spans="1:13" ht="12.75" customHeight="1" x14ac:dyDescent="0.25">
      <c r="A2933"/>
      <c r="B2933"/>
      <c r="C2933"/>
      <c r="M2933"/>
    </row>
    <row r="2934" spans="1:13" ht="12.75" customHeight="1" x14ac:dyDescent="0.25">
      <c r="A2934"/>
      <c r="B2934"/>
      <c r="C2934"/>
      <c r="M2934"/>
    </row>
    <row r="2935" spans="1:13" ht="12.75" customHeight="1" x14ac:dyDescent="0.25">
      <c r="A2935"/>
      <c r="B2935"/>
      <c r="C2935"/>
      <c r="M2935"/>
    </row>
    <row r="2936" spans="1:13" ht="12.75" customHeight="1" x14ac:dyDescent="0.25">
      <c r="A2936"/>
      <c r="B2936"/>
      <c r="C2936"/>
      <c r="M2936"/>
    </row>
    <row r="2937" spans="1:13" ht="12.75" customHeight="1" x14ac:dyDescent="0.25">
      <c r="A2937"/>
      <c r="B2937"/>
      <c r="C2937"/>
      <c r="M2937"/>
    </row>
    <row r="2938" spans="1:13" ht="12.75" customHeight="1" x14ac:dyDescent="0.25">
      <c r="A2938"/>
      <c r="B2938"/>
      <c r="C2938"/>
      <c r="M2938"/>
    </row>
    <row r="2939" spans="1:13" ht="12.75" customHeight="1" x14ac:dyDescent="0.25">
      <c r="A2939"/>
      <c r="B2939"/>
      <c r="C2939"/>
      <c r="M2939"/>
    </row>
    <row r="2940" spans="1:13" ht="12.75" customHeight="1" x14ac:dyDescent="0.25">
      <c r="A2940"/>
      <c r="B2940"/>
      <c r="C2940"/>
      <c r="M2940"/>
    </row>
    <row r="2941" spans="1:13" ht="12.75" customHeight="1" x14ac:dyDescent="0.25">
      <c r="A2941"/>
      <c r="B2941"/>
      <c r="C2941"/>
      <c r="M2941"/>
    </row>
    <row r="2942" spans="1:13" ht="12.75" customHeight="1" x14ac:dyDescent="0.25">
      <c r="A2942"/>
      <c r="B2942"/>
      <c r="C2942"/>
      <c r="M2942"/>
    </row>
    <row r="2943" spans="1:13" ht="12.75" customHeight="1" x14ac:dyDescent="0.25">
      <c r="A2943"/>
      <c r="B2943"/>
      <c r="C2943"/>
      <c r="M2943"/>
    </row>
    <row r="2944" spans="1:13" ht="12.75" customHeight="1" x14ac:dyDescent="0.25">
      <c r="A2944"/>
      <c r="B2944"/>
      <c r="C2944"/>
      <c r="M2944"/>
    </row>
    <row r="2945" spans="1:13" ht="12.75" customHeight="1" x14ac:dyDescent="0.25">
      <c r="A2945"/>
      <c r="B2945"/>
      <c r="C2945"/>
      <c r="M2945"/>
    </row>
    <row r="2946" spans="1:13" ht="12.75" customHeight="1" x14ac:dyDescent="0.25">
      <c r="A2946"/>
      <c r="B2946"/>
      <c r="C2946"/>
      <c r="M2946"/>
    </row>
    <row r="2947" spans="1:13" ht="12.75" customHeight="1" x14ac:dyDescent="0.25">
      <c r="A2947"/>
      <c r="B2947"/>
      <c r="C2947"/>
      <c r="M2947"/>
    </row>
    <row r="2948" spans="1:13" ht="12.75" customHeight="1" x14ac:dyDescent="0.25">
      <c r="A2948"/>
      <c r="B2948"/>
      <c r="C2948"/>
      <c r="M2948"/>
    </row>
    <row r="2949" spans="1:13" ht="12.75" customHeight="1" x14ac:dyDescent="0.25">
      <c r="A2949"/>
      <c r="B2949"/>
      <c r="C2949"/>
      <c r="M2949"/>
    </row>
    <row r="2950" spans="1:13" ht="12.75" customHeight="1" x14ac:dyDescent="0.25">
      <c r="A2950"/>
      <c r="B2950"/>
      <c r="C2950"/>
      <c r="M2950"/>
    </row>
    <row r="2951" spans="1:13" ht="12.75" customHeight="1" x14ac:dyDescent="0.25">
      <c r="A2951"/>
      <c r="B2951"/>
      <c r="C2951"/>
      <c r="M2951"/>
    </row>
    <row r="2952" spans="1:13" ht="12.75" customHeight="1" x14ac:dyDescent="0.25">
      <c r="A2952"/>
      <c r="B2952"/>
      <c r="C2952"/>
      <c r="M2952"/>
    </row>
    <row r="2953" spans="1:13" ht="12.75" customHeight="1" x14ac:dyDescent="0.25">
      <c r="A2953"/>
      <c r="B2953"/>
      <c r="C2953"/>
      <c r="M2953"/>
    </row>
    <row r="2954" spans="1:13" ht="12.75" customHeight="1" x14ac:dyDescent="0.25">
      <c r="A2954"/>
      <c r="B2954"/>
      <c r="C2954"/>
      <c r="M2954"/>
    </row>
    <row r="2955" spans="1:13" ht="12.75" customHeight="1" x14ac:dyDescent="0.25">
      <c r="A2955"/>
      <c r="B2955"/>
      <c r="C2955"/>
      <c r="M2955"/>
    </row>
    <row r="2956" spans="1:13" ht="12.75" customHeight="1" x14ac:dyDescent="0.25">
      <c r="A2956"/>
      <c r="B2956"/>
      <c r="C2956"/>
      <c r="M2956"/>
    </row>
    <row r="2957" spans="1:13" ht="12.75" customHeight="1" x14ac:dyDescent="0.25">
      <c r="A2957"/>
      <c r="B2957"/>
      <c r="C2957"/>
      <c r="M2957"/>
    </row>
    <row r="2958" spans="1:13" ht="12.75" customHeight="1" x14ac:dyDescent="0.25">
      <c r="A2958"/>
      <c r="B2958"/>
      <c r="C2958"/>
      <c r="M2958"/>
    </row>
    <row r="2959" spans="1:13" ht="12.75" customHeight="1" x14ac:dyDescent="0.25">
      <c r="A2959"/>
      <c r="B2959"/>
      <c r="C2959"/>
      <c r="M2959"/>
    </row>
    <row r="2960" spans="1:13" ht="12.75" customHeight="1" x14ac:dyDescent="0.25">
      <c r="A2960"/>
      <c r="B2960"/>
      <c r="C2960"/>
      <c r="M2960"/>
    </row>
    <row r="2961" spans="1:13" ht="12.75" customHeight="1" x14ac:dyDescent="0.25">
      <c r="A2961"/>
      <c r="B2961"/>
      <c r="C2961"/>
      <c r="M2961"/>
    </row>
    <row r="2962" spans="1:13" ht="12.75" customHeight="1" x14ac:dyDescent="0.25">
      <c r="A2962"/>
      <c r="B2962"/>
      <c r="C2962"/>
      <c r="M2962"/>
    </row>
    <row r="2963" spans="1:13" ht="12.75" customHeight="1" x14ac:dyDescent="0.25">
      <c r="A2963"/>
      <c r="B2963"/>
      <c r="C2963"/>
      <c r="M2963"/>
    </row>
    <row r="2964" spans="1:13" ht="12.75" customHeight="1" x14ac:dyDescent="0.25">
      <c r="A2964"/>
      <c r="B2964"/>
      <c r="C2964"/>
      <c r="M2964"/>
    </row>
    <row r="2965" spans="1:13" ht="12.75" customHeight="1" x14ac:dyDescent="0.25">
      <c r="A2965"/>
      <c r="B2965"/>
      <c r="C2965"/>
      <c r="M2965"/>
    </row>
    <row r="2966" spans="1:13" ht="12.75" customHeight="1" x14ac:dyDescent="0.25">
      <c r="A2966"/>
      <c r="B2966"/>
      <c r="C2966"/>
      <c r="M2966"/>
    </row>
    <row r="2967" spans="1:13" ht="12.75" customHeight="1" x14ac:dyDescent="0.25">
      <c r="A2967"/>
      <c r="B2967"/>
      <c r="C2967"/>
      <c r="M2967"/>
    </row>
    <row r="2968" spans="1:13" ht="12.75" customHeight="1" x14ac:dyDescent="0.25">
      <c r="A2968"/>
      <c r="B2968"/>
      <c r="C2968"/>
      <c r="M2968"/>
    </row>
    <row r="2969" spans="1:13" ht="12.75" customHeight="1" x14ac:dyDescent="0.25">
      <c r="A2969"/>
      <c r="B2969"/>
      <c r="C2969"/>
      <c r="M2969"/>
    </row>
    <row r="2970" spans="1:13" ht="12.75" customHeight="1" x14ac:dyDescent="0.25">
      <c r="A2970"/>
      <c r="B2970"/>
      <c r="C2970"/>
      <c r="M2970"/>
    </row>
    <row r="2971" spans="1:13" ht="12.75" customHeight="1" x14ac:dyDescent="0.25">
      <c r="A2971"/>
      <c r="B2971"/>
      <c r="C2971"/>
      <c r="M2971"/>
    </row>
    <row r="2972" spans="1:13" ht="12.75" customHeight="1" x14ac:dyDescent="0.25">
      <c r="A2972"/>
      <c r="B2972"/>
      <c r="C2972"/>
      <c r="M2972"/>
    </row>
    <row r="2973" spans="1:13" ht="12.75" customHeight="1" x14ac:dyDescent="0.25">
      <c r="A2973"/>
      <c r="B2973"/>
      <c r="C2973"/>
      <c r="M2973"/>
    </row>
    <row r="2974" spans="1:13" ht="12.75" customHeight="1" x14ac:dyDescent="0.25">
      <c r="A2974"/>
      <c r="B2974"/>
      <c r="C2974"/>
      <c r="M2974"/>
    </row>
    <row r="2975" spans="1:13" ht="12.75" customHeight="1" x14ac:dyDescent="0.25">
      <c r="A2975"/>
      <c r="B2975"/>
      <c r="C2975"/>
      <c r="M2975"/>
    </row>
    <row r="2976" spans="1:13" ht="12.75" customHeight="1" x14ac:dyDescent="0.25">
      <c r="A2976"/>
      <c r="B2976"/>
      <c r="C2976"/>
      <c r="M2976"/>
    </row>
    <row r="2977" spans="1:13" ht="12.75" customHeight="1" x14ac:dyDescent="0.25">
      <c r="A2977"/>
      <c r="B2977"/>
      <c r="C2977"/>
      <c r="M2977"/>
    </row>
    <row r="2978" spans="1:13" ht="12.75" customHeight="1" x14ac:dyDescent="0.25">
      <c r="A2978"/>
      <c r="B2978"/>
      <c r="C2978"/>
      <c r="M2978"/>
    </row>
    <row r="2979" spans="1:13" ht="12.75" customHeight="1" x14ac:dyDescent="0.25">
      <c r="A2979"/>
      <c r="B2979"/>
      <c r="C2979"/>
      <c r="M2979"/>
    </row>
    <row r="2980" spans="1:13" ht="12.75" customHeight="1" x14ac:dyDescent="0.25">
      <c r="A2980"/>
      <c r="B2980"/>
      <c r="C2980"/>
      <c r="M2980"/>
    </row>
    <row r="2981" spans="1:13" ht="12.75" customHeight="1" x14ac:dyDescent="0.25">
      <c r="A2981"/>
      <c r="B2981"/>
      <c r="C2981"/>
      <c r="M2981"/>
    </row>
    <row r="2982" spans="1:13" ht="12.75" customHeight="1" x14ac:dyDescent="0.25">
      <c r="A2982"/>
      <c r="B2982"/>
      <c r="C2982"/>
      <c r="M2982"/>
    </row>
    <row r="2983" spans="1:13" ht="12.75" customHeight="1" x14ac:dyDescent="0.25">
      <c r="A2983"/>
      <c r="B2983"/>
      <c r="C2983"/>
      <c r="M2983"/>
    </row>
    <row r="2984" spans="1:13" ht="12.75" customHeight="1" x14ac:dyDescent="0.25">
      <c r="A2984"/>
      <c r="B2984"/>
      <c r="C2984"/>
      <c r="M2984"/>
    </row>
    <row r="2985" spans="1:13" ht="12.75" customHeight="1" x14ac:dyDescent="0.25">
      <c r="A2985"/>
      <c r="B2985"/>
      <c r="C2985"/>
      <c r="M2985"/>
    </row>
    <row r="2986" spans="1:13" ht="12.75" customHeight="1" x14ac:dyDescent="0.25">
      <c r="A2986"/>
      <c r="B2986"/>
      <c r="C2986"/>
      <c r="M2986"/>
    </row>
    <row r="2987" spans="1:13" ht="12.75" customHeight="1" x14ac:dyDescent="0.25">
      <c r="A2987"/>
      <c r="B2987"/>
      <c r="C2987"/>
      <c r="M2987"/>
    </row>
    <row r="2988" spans="1:13" ht="12.75" customHeight="1" x14ac:dyDescent="0.25">
      <c r="A2988"/>
      <c r="B2988"/>
      <c r="C2988"/>
      <c r="M2988"/>
    </row>
    <row r="2989" spans="1:13" ht="12.75" customHeight="1" x14ac:dyDescent="0.25">
      <c r="A2989"/>
      <c r="B2989"/>
      <c r="C2989"/>
      <c r="M2989"/>
    </row>
    <row r="2990" spans="1:13" ht="12.75" customHeight="1" x14ac:dyDescent="0.25">
      <c r="A2990"/>
      <c r="B2990"/>
      <c r="C2990"/>
      <c r="M2990"/>
    </row>
    <row r="2991" spans="1:13" ht="12.75" customHeight="1" x14ac:dyDescent="0.25">
      <c r="A2991"/>
      <c r="B2991"/>
      <c r="C2991"/>
      <c r="M2991"/>
    </row>
    <row r="2992" spans="1:13" ht="12.75" customHeight="1" x14ac:dyDescent="0.25">
      <c r="A2992"/>
      <c r="B2992"/>
      <c r="C2992"/>
      <c r="M2992"/>
    </row>
    <row r="2993" spans="1:13" ht="12.75" customHeight="1" x14ac:dyDescent="0.25">
      <c r="A2993"/>
      <c r="B2993"/>
      <c r="C2993"/>
      <c r="M2993"/>
    </row>
    <row r="2994" spans="1:13" ht="12.75" customHeight="1" x14ac:dyDescent="0.25">
      <c r="A2994"/>
      <c r="B2994"/>
      <c r="C2994"/>
      <c r="M2994"/>
    </row>
    <row r="2995" spans="1:13" ht="12.75" customHeight="1" x14ac:dyDescent="0.25">
      <c r="A2995"/>
      <c r="B2995"/>
      <c r="C2995"/>
      <c r="M2995"/>
    </row>
    <row r="2996" spans="1:13" ht="12.75" customHeight="1" x14ac:dyDescent="0.25">
      <c r="A2996"/>
      <c r="B2996"/>
      <c r="C2996"/>
      <c r="M2996"/>
    </row>
    <row r="2997" spans="1:13" ht="12.75" customHeight="1" x14ac:dyDescent="0.25">
      <c r="A2997"/>
      <c r="B2997"/>
      <c r="C2997"/>
      <c r="M2997"/>
    </row>
    <row r="2998" spans="1:13" ht="12.75" customHeight="1" x14ac:dyDescent="0.25">
      <c r="A2998"/>
      <c r="B2998"/>
      <c r="C2998"/>
      <c r="M2998"/>
    </row>
    <row r="2999" spans="1:13" ht="12.75" customHeight="1" x14ac:dyDescent="0.25">
      <c r="A2999"/>
      <c r="B2999"/>
      <c r="C2999"/>
      <c r="M2999"/>
    </row>
    <row r="3000" spans="1:13" ht="12.75" customHeight="1" x14ac:dyDescent="0.25">
      <c r="A3000"/>
      <c r="B3000"/>
      <c r="C3000"/>
      <c r="M3000"/>
    </row>
    <row r="3001" spans="1:13" ht="12.75" customHeight="1" x14ac:dyDescent="0.25">
      <c r="A3001"/>
      <c r="B3001"/>
      <c r="C3001"/>
      <c r="M3001"/>
    </row>
    <row r="3002" spans="1:13" ht="12.75" customHeight="1" x14ac:dyDescent="0.25">
      <c r="A3002"/>
      <c r="B3002"/>
      <c r="C3002"/>
      <c r="M3002"/>
    </row>
    <row r="3003" spans="1:13" ht="12.75" customHeight="1" x14ac:dyDescent="0.25">
      <c r="A3003"/>
      <c r="B3003"/>
      <c r="C3003"/>
      <c r="M3003"/>
    </row>
    <row r="3004" spans="1:13" ht="12.75" customHeight="1" x14ac:dyDescent="0.25">
      <c r="A3004"/>
      <c r="B3004"/>
      <c r="C3004"/>
      <c r="M3004"/>
    </row>
    <row r="3005" spans="1:13" ht="12.75" customHeight="1" x14ac:dyDescent="0.25">
      <c r="A3005"/>
      <c r="B3005"/>
      <c r="C3005"/>
      <c r="M3005"/>
    </row>
    <row r="3006" spans="1:13" ht="12.75" customHeight="1" x14ac:dyDescent="0.25">
      <c r="A3006"/>
      <c r="B3006"/>
      <c r="C3006"/>
      <c r="M3006"/>
    </row>
    <row r="3007" spans="1:13" ht="12.75" customHeight="1" x14ac:dyDescent="0.25">
      <c r="A3007"/>
      <c r="B3007"/>
      <c r="C3007"/>
      <c r="M3007"/>
    </row>
    <row r="3008" spans="1:13" ht="12.75" customHeight="1" x14ac:dyDescent="0.25">
      <c r="A3008"/>
      <c r="B3008"/>
      <c r="C3008"/>
      <c r="M3008"/>
    </row>
    <row r="3009" spans="1:13" ht="12.75" customHeight="1" x14ac:dyDescent="0.25">
      <c r="A3009"/>
      <c r="B3009"/>
      <c r="C3009"/>
      <c r="M3009"/>
    </row>
    <row r="3010" spans="1:13" ht="12.75" customHeight="1" x14ac:dyDescent="0.25">
      <c r="A3010"/>
      <c r="B3010"/>
      <c r="C3010"/>
      <c r="M3010"/>
    </row>
    <row r="3011" spans="1:13" ht="12.75" customHeight="1" x14ac:dyDescent="0.25">
      <c r="A3011"/>
      <c r="B3011"/>
      <c r="C3011"/>
      <c r="M3011"/>
    </row>
    <row r="3012" spans="1:13" ht="12.75" customHeight="1" x14ac:dyDescent="0.25">
      <c r="A3012"/>
      <c r="B3012"/>
      <c r="C3012"/>
      <c r="M3012"/>
    </row>
    <row r="3013" spans="1:13" ht="12.75" customHeight="1" x14ac:dyDescent="0.25">
      <c r="A3013"/>
      <c r="B3013"/>
      <c r="C3013"/>
      <c r="M3013"/>
    </row>
    <row r="3014" spans="1:13" ht="12.75" customHeight="1" x14ac:dyDescent="0.25">
      <c r="A3014"/>
      <c r="B3014"/>
      <c r="C3014"/>
      <c r="M3014"/>
    </row>
    <row r="3015" spans="1:13" ht="12.75" customHeight="1" x14ac:dyDescent="0.25">
      <c r="A3015"/>
      <c r="B3015"/>
      <c r="C3015"/>
      <c r="M3015"/>
    </row>
    <row r="3016" spans="1:13" ht="12.75" customHeight="1" x14ac:dyDescent="0.25">
      <c r="A3016"/>
      <c r="B3016"/>
      <c r="C3016"/>
      <c r="M3016"/>
    </row>
    <row r="3017" spans="1:13" ht="12.75" customHeight="1" x14ac:dyDescent="0.25">
      <c r="A3017"/>
      <c r="B3017"/>
      <c r="C3017"/>
      <c r="M3017"/>
    </row>
    <row r="3018" spans="1:13" ht="12.75" customHeight="1" x14ac:dyDescent="0.25">
      <c r="A3018"/>
      <c r="B3018"/>
      <c r="C3018"/>
      <c r="M3018"/>
    </row>
    <row r="3019" spans="1:13" ht="12.75" customHeight="1" x14ac:dyDescent="0.25">
      <c r="A3019"/>
      <c r="B3019"/>
      <c r="C3019"/>
      <c r="M3019"/>
    </row>
    <row r="3020" spans="1:13" ht="12.75" customHeight="1" x14ac:dyDescent="0.25">
      <c r="A3020"/>
      <c r="B3020"/>
      <c r="C3020"/>
      <c r="M3020"/>
    </row>
    <row r="3021" spans="1:13" ht="12.75" customHeight="1" x14ac:dyDescent="0.25">
      <c r="A3021"/>
      <c r="B3021"/>
      <c r="C3021"/>
      <c r="M3021"/>
    </row>
    <row r="3022" spans="1:13" ht="12.75" customHeight="1" x14ac:dyDescent="0.25">
      <c r="A3022"/>
      <c r="B3022"/>
      <c r="C3022"/>
      <c r="M3022"/>
    </row>
    <row r="3023" spans="1:13" ht="12.75" customHeight="1" x14ac:dyDescent="0.25">
      <c r="A3023"/>
      <c r="B3023"/>
      <c r="C3023"/>
      <c r="M3023"/>
    </row>
    <row r="3024" spans="1:13" ht="12.75" customHeight="1" x14ac:dyDescent="0.25">
      <c r="A3024"/>
      <c r="B3024"/>
      <c r="C3024"/>
      <c r="M3024"/>
    </row>
    <row r="3025" spans="1:13" ht="12.75" customHeight="1" x14ac:dyDescent="0.25">
      <c r="A3025"/>
      <c r="B3025"/>
      <c r="C3025"/>
      <c r="M3025"/>
    </row>
    <row r="3026" spans="1:13" ht="12.75" customHeight="1" x14ac:dyDescent="0.25">
      <c r="A3026"/>
      <c r="B3026"/>
      <c r="C3026"/>
      <c r="M3026"/>
    </row>
    <row r="3027" spans="1:13" ht="12.75" customHeight="1" x14ac:dyDescent="0.25">
      <c r="A3027"/>
      <c r="B3027"/>
      <c r="C3027"/>
      <c r="M3027"/>
    </row>
    <row r="3028" spans="1:13" ht="12.75" customHeight="1" x14ac:dyDescent="0.25">
      <c r="A3028"/>
      <c r="B3028"/>
      <c r="C3028"/>
      <c r="M3028"/>
    </row>
    <row r="3029" spans="1:13" ht="12.75" customHeight="1" x14ac:dyDescent="0.25">
      <c r="A3029"/>
      <c r="B3029"/>
      <c r="C3029"/>
      <c r="M3029"/>
    </row>
    <row r="3030" spans="1:13" ht="12.75" customHeight="1" x14ac:dyDescent="0.25">
      <c r="A3030"/>
      <c r="B3030"/>
      <c r="C3030"/>
      <c r="M3030"/>
    </row>
    <row r="3031" spans="1:13" ht="12.75" customHeight="1" x14ac:dyDescent="0.25">
      <c r="A3031"/>
      <c r="B3031"/>
      <c r="C3031"/>
      <c r="M3031"/>
    </row>
    <row r="3032" spans="1:13" ht="12.75" customHeight="1" x14ac:dyDescent="0.25">
      <c r="A3032"/>
      <c r="B3032"/>
      <c r="C3032"/>
      <c r="M3032"/>
    </row>
    <row r="3033" spans="1:13" ht="12.75" customHeight="1" x14ac:dyDescent="0.25">
      <c r="A3033"/>
      <c r="B3033"/>
      <c r="C3033"/>
      <c r="M3033"/>
    </row>
    <row r="3034" spans="1:13" ht="12.75" customHeight="1" x14ac:dyDescent="0.25">
      <c r="A3034"/>
      <c r="B3034"/>
      <c r="C3034"/>
      <c r="M3034"/>
    </row>
    <row r="3035" spans="1:13" ht="12.75" customHeight="1" x14ac:dyDescent="0.25">
      <c r="A3035"/>
      <c r="B3035"/>
      <c r="C3035"/>
      <c r="M3035"/>
    </row>
    <row r="3036" spans="1:13" ht="12.75" customHeight="1" x14ac:dyDescent="0.25">
      <c r="A3036"/>
      <c r="B3036"/>
      <c r="C3036"/>
      <c r="M3036"/>
    </row>
    <row r="3037" spans="1:13" ht="12.75" customHeight="1" x14ac:dyDescent="0.25">
      <c r="A3037"/>
      <c r="B3037"/>
      <c r="C3037"/>
      <c r="M3037"/>
    </row>
    <row r="3038" spans="1:13" ht="12.75" customHeight="1" x14ac:dyDescent="0.25">
      <c r="A3038"/>
      <c r="B3038"/>
      <c r="C3038"/>
      <c r="M3038"/>
    </row>
    <row r="3039" spans="1:13" ht="12.75" customHeight="1" x14ac:dyDescent="0.25">
      <c r="A3039"/>
      <c r="B3039"/>
      <c r="C3039"/>
      <c r="M3039"/>
    </row>
    <row r="3040" spans="1:13" ht="12.75" customHeight="1" x14ac:dyDescent="0.25">
      <c r="A3040"/>
      <c r="B3040"/>
      <c r="C3040"/>
      <c r="M3040"/>
    </row>
    <row r="3041" spans="1:13" ht="12.75" customHeight="1" x14ac:dyDescent="0.25">
      <c r="A3041"/>
      <c r="B3041"/>
      <c r="C3041"/>
      <c r="M3041"/>
    </row>
    <row r="3042" spans="1:13" ht="12.75" customHeight="1" x14ac:dyDescent="0.25">
      <c r="A3042"/>
      <c r="B3042"/>
      <c r="C3042"/>
      <c r="M3042"/>
    </row>
    <row r="3043" spans="1:13" ht="12.75" customHeight="1" x14ac:dyDescent="0.25">
      <c r="A3043"/>
      <c r="B3043"/>
      <c r="C3043"/>
      <c r="M3043"/>
    </row>
    <row r="3044" spans="1:13" ht="12.75" customHeight="1" x14ac:dyDescent="0.25">
      <c r="A3044"/>
      <c r="B3044"/>
      <c r="C3044"/>
      <c r="M3044"/>
    </row>
    <row r="3045" spans="1:13" ht="12.75" customHeight="1" x14ac:dyDescent="0.25">
      <c r="A3045"/>
      <c r="B3045"/>
      <c r="C3045"/>
      <c r="M3045"/>
    </row>
    <row r="3046" spans="1:13" ht="12.75" customHeight="1" x14ac:dyDescent="0.25">
      <c r="A3046"/>
      <c r="B3046"/>
      <c r="C3046"/>
      <c r="M3046"/>
    </row>
    <row r="3047" spans="1:13" ht="12.75" customHeight="1" x14ac:dyDescent="0.25">
      <c r="A3047"/>
      <c r="B3047"/>
      <c r="C3047"/>
      <c r="M3047"/>
    </row>
    <row r="3048" spans="1:13" ht="12.75" customHeight="1" x14ac:dyDescent="0.25">
      <c r="A3048"/>
      <c r="B3048"/>
      <c r="C3048"/>
      <c r="M3048"/>
    </row>
    <row r="3049" spans="1:13" ht="12.75" customHeight="1" x14ac:dyDescent="0.25">
      <c r="A3049"/>
      <c r="B3049"/>
      <c r="C3049"/>
      <c r="M3049"/>
    </row>
    <row r="3050" spans="1:13" ht="12.75" customHeight="1" x14ac:dyDescent="0.25">
      <c r="A3050"/>
      <c r="B3050"/>
      <c r="C3050"/>
      <c r="M3050"/>
    </row>
    <row r="3051" spans="1:13" ht="12.75" customHeight="1" x14ac:dyDescent="0.25">
      <c r="A3051"/>
      <c r="B3051"/>
      <c r="C3051"/>
      <c r="M3051"/>
    </row>
    <row r="3052" spans="1:13" ht="12.75" customHeight="1" x14ac:dyDescent="0.25">
      <c r="A3052"/>
      <c r="B3052"/>
      <c r="C3052"/>
      <c r="M3052"/>
    </row>
    <row r="3053" spans="1:13" ht="12.75" customHeight="1" x14ac:dyDescent="0.25">
      <c r="A3053"/>
      <c r="B3053"/>
      <c r="C3053"/>
      <c r="M3053"/>
    </row>
    <row r="3054" spans="1:13" ht="12.75" customHeight="1" x14ac:dyDescent="0.25">
      <c r="A3054"/>
      <c r="B3054"/>
      <c r="C3054"/>
      <c r="M3054"/>
    </row>
    <row r="3055" spans="1:13" ht="12.75" customHeight="1" x14ac:dyDescent="0.25">
      <c r="A3055"/>
      <c r="B3055"/>
      <c r="C3055"/>
      <c r="M3055"/>
    </row>
    <row r="3056" spans="1:13" ht="12.75" customHeight="1" x14ac:dyDescent="0.25">
      <c r="A3056"/>
      <c r="B3056"/>
      <c r="C3056"/>
      <c r="M3056"/>
    </row>
    <row r="3057" spans="1:13" ht="12.75" customHeight="1" x14ac:dyDescent="0.25">
      <c r="A3057"/>
      <c r="B3057"/>
      <c r="C3057"/>
      <c r="M3057"/>
    </row>
    <row r="3058" spans="1:13" ht="12.75" customHeight="1" x14ac:dyDescent="0.25">
      <c r="A3058"/>
      <c r="B3058"/>
      <c r="C3058"/>
      <c r="M3058"/>
    </row>
    <row r="3059" spans="1:13" ht="12.75" customHeight="1" x14ac:dyDescent="0.25">
      <c r="A3059"/>
      <c r="B3059"/>
      <c r="C3059"/>
      <c r="M3059"/>
    </row>
    <row r="3060" spans="1:13" ht="12.75" customHeight="1" x14ac:dyDescent="0.25">
      <c r="A3060"/>
      <c r="B3060"/>
      <c r="C3060"/>
      <c r="M3060"/>
    </row>
    <row r="3061" spans="1:13" ht="12.75" customHeight="1" x14ac:dyDescent="0.25">
      <c r="A3061"/>
      <c r="B3061"/>
      <c r="C3061"/>
      <c r="M3061"/>
    </row>
    <row r="3062" spans="1:13" ht="12.75" customHeight="1" x14ac:dyDescent="0.25">
      <c r="A3062"/>
      <c r="B3062"/>
      <c r="C3062"/>
      <c r="M3062"/>
    </row>
    <row r="3063" spans="1:13" ht="12.75" customHeight="1" x14ac:dyDescent="0.25">
      <c r="A3063"/>
      <c r="B3063"/>
      <c r="C3063"/>
      <c r="M3063"/>
    </row>
    <row r="3064" spans="1:13" ht="12.75" customHeight="1" x14ac:dyDescent="0.25">
      <c r="A3064"/>
      <c r="B3064"/>
      <c r="C3064"/>
      <c r="M3064"/>
    </row>
    <row r="3065" spans="1:13" ht="12.75" customHeight="1" x14ac:dyDescent="0.25">
      <c r="A3065"/>
      <c r="B3065"/>
      <c r="C3065"/>
      <c r="M3065"/>
    </row>
    <row r="3066" spans="1:13" ht="12.75" customHeight="1" x14ac:dyDescent="0.25">
      <c r="A3066"/>
      <c r="B3066"/>
      <c r="C3066"/>
      <c r="M3066"/>
    </row>
    <row r="3067" spans="1:13" ht="12.75" customHeight="1" x14ac:dyDescent="0.25">
      <c r="A3067"/>
      <c r="B3067"/>
      <c r="C3067"/>
      <c r="M3067"/>
    </row>
    <row r="3068" spans="1:13" ht="12.75" customHeight="1" x14ac:dyDescent="0.25">
      <c r="A3068"/>
      <c r="B3068"/>
      <c r="C3068"/>
      <c r="M3068"/>
    </row>
    <row r="3069" spans="1:13" ht="12.75" customHeight="1" x14ac:dyDescent="0.25">
      <c r="A3069"/>
      <c r="B3069"/>
      <c r="C3069"/>
      <c r="M3069"/>
    </row>
    <row r="3070" spans="1:13" ht="12.75" customHeight="1" x14ac:dyDescent="0.25">
      <c r="A3070"/>
      <c r="B3070"/>
      <c r="C3070"/>
      <c r="M3070"/>
    </row>
    <row r="3071" spans="1:13" ht="12.75" customHeight="1" x14ac:dyDescent="0.25">
      <c r="A3071"/>
      <c r="B3071"/>
      <c r="C3071"/>
      <c r="M3071"/>
    </row>
    <row r="3072" spans="1:13" ht="12.75" customHeight="1" x14ac:dyDescent="0.25">
      <c r="A3072"/>
      <c r="B3072"/>
      <c r="C3072"/>
      <c r="M3072"/>
    </row>
    <row r="3073" spans="1:13" ht="12.75" customHeight="1" x14ac:dyDescent="0.25">
      <c r="A3073"/>
      <c r="B3073"/>
      <c r="C3073"/>
      <c r="M3073"/>
    </row>
    <row r="3074" spans="1:13" ht="12.75" customHeight="1" x14ac:dyDescent="0.25">
      <c r="A3074"/>
      <c r="B3074"/>
      <c r="C3074"/>
      <c r="M3074"/>
    </row>
    <row r="3075" spans="1:13" ht="12.75" customHeight="1" x14ac:dyDescent="0.25">
      <c r="A3075"/>
      <c r="B3075"/>
      <c r="C3075"/>
      <c r="M3075"/>
    </row>
    <row r="3076" spans="1:13" ht="12.75" customHeight="1" x14ac:dyDescent="0.25">
      <c r="A3076"/>
      <c r="B3076"/>
      <c r="C3076"/>
      <c r="M3076"/>
    </row>
    <row r="3077" spans="1:13" ht="12.75" customHeight="1" x14ac:dyDescent="0.25">
      <c r="A3077"/>
      <c r="B3077"/>
      <c r="C3077"/>
      <c r="M3077"/>
    </row>
    <row r="3078" spans="1:13" ht="12.75" customHeight="1" x14ac:dyDescent="0.25">
      <c r="A3078"/>
      <c r="B3078"/>
      <c r="C3078"/>
      <c r="M3078"/>
    </row>
    <row r="3079" spans="1:13" ht="12.75" customHeight="1" x14ac:dyDescent="0.25">
      <c r="A3079"/>
      <c r="B3079"/>
      <c r="C3079"/>
      <c r="M3079"/>
    </row>
    <row r="3080" spans="1:13" ht="12.75" customHeight="1" x14ac:dyDescent="0.25">
      <c r="A3080"/>
      <c r="B3080"/>
      <c r="C3080"/>
      <c r="M3080"/>
    </row>
    <row r="3081" spans="1:13" ht="12.75" customHeight="1" x14ac:dyDescent="0.25">
      <c r="A3081"/>
      <c r="B3081"/>
      <c r="C3081"/>
      <c r="M3081"/>
    </row>
    <row r="3082" spans="1:13" ht="12.75" customHeight="1" x14ac:dyDescent="0.25">
      <c r="A3082"/>
      <c r="B3082"/>
      <c r="C3082"/>
      <c r="M3082"/>
    </row>
    <row r="3083" spans="1:13" ht="12.75" customHeight="1" x14ac:dyDescent="0.25">
      <c r="A3083"/>
      <c r="B3083"/>
      <c r="C3083"/>
      <c r="M3083"/>
    </row>
    <row r="3084" spans="1:13" ht="12.75" customHeight="1" x14ac:dyDescent="0.25">
      <c r="A3084"/>
      <c r="B3084"/>
      <c r="C3084"/>
      <c r="M3084"/>
    </row>
    <row r="3085" spans="1:13" ht="12.75" customHeight="1" x14ac:dyDescent="0.25">
      <c r="A3085"/>
      <c r="B3085"/>
      <c r="C3085"/>
      <c r="M3085"/>
    </row>
    <row r="3086" spans="1:13" ht="12.75" customHeight="1" x14ac:dyDescent="0.25">
      <c r="A3086"/>
      <c r="B3086"/>
      <c r="C3086"/>
      <c r="M3086"/>
    </row>
    <row r="3087" spans="1:13" ht="12.75" customHeight="1" x14ac:dyDescent="0.25">
      <c r="A3087"/>
      <c r="B3087"/>
      <c r="C3087"/>
      <c r="M3087"/>
    </row>
    <row r="3088" spans="1:13" ht="12.75" customHeight="1" x14ac:dyDescent="0.25">
      <c r="A3088"/>
      <c r="B3088"/>
      <c r="C3088"/>
      <c r="M3088"/>
    </row>
    <row r="3089" spans="1:13" ht="12.75" customHeight="1" x14ac:dyDescent="0.25">
      <c r="A3089"/>
      <c r="B3089"/>
      <c r="C3089"/>
      <c r="M3089"/>
    </row>
    <row r="3090" spans="1:13" ht="12.75" customHeight="1" x14ac:dyDescent="0.25">
      <c r="A3090"/>
      <c r="B3090"/>
      <c r="C3090"/>
      <c r="M3090"/>
    </row>
    <row r="3091" spans="1:13" ht="12.75" customHeight="1" x14ac:dyDescent="0.25">
      <c r="A3091"/>
      <c r="B3091"/>
      <c r="C3091"/>
      <c r="M3091"/>
    </row>
    <row r="3092" spans="1:13" ht="12.75" customHeight="1" x14ac:dyDescent="0.25">
      <c r="A3092"/>
      <c r="B3092"/>
      <c r="C3092"/>
      <c r="M3092"/>
    </row>
    <row r="3093" spans="1:13" ht="12.75" customHeight="1" x14ac:dyDescent="0.25">
      <c r="A3093"/>
      <c r="B3093"/>
      <c r="C3093"/>
      <c r="M3093"/>
    </row>
    <row r="3094" spans="1:13" ht="12.75" customHeight="1" x14ac:dyDescent="0.25">
      <c r="A3094"/>
      <c r="B3094"/>
      <c r="C3094"/>
      <c r="M3094"/>
    </row>
    <row r="3095" spans="1:13" ht="12.75" customHeight="1" x14ac:dyDescent="0.25">
      <c r="A3095"/>
      <c r="B3095"/>
      <c r="C3095"/>
      <c r="M3095"/>
    </row>
    <row r="3096" spans="1:13" ht="12.75" customHeight="1" x14ac:dyDescent="0.25">
      <c r="A3096"/>
      <c r="B3096"/>
      <c r="C3096"/>
      <c r="M3096"/>
    </row>
    <row r="3097" spans="1:13" ht="12.75" customHeight="1" x14ac:dyDescent="0.25">
      <c r="A3097"/>
      <c r="B3097"/>
      <c r="C3097"/>
      <c r="M3097"/>
    </row>
    <row r="3098" spans="1:13" ht="12.75" customHeight="1" x14ac:dyDescent="0.25">
      <c r="A3098"/>
      <c r="B3098"/>
      <c r="C3098"/>
      <c r="M3098"/>
    </row>
    <row r="3099" spans="1:13" ht="12.75" customHeight="1" x14ac:dyDescent="0.25">
      <c r="A3099"/>
      <c r="B3099"/>
      <c r="C3099"/>
      <c r="M3099"/>
    </row>
    <row r="3100" spans="1:13" ht="12.75" customHeight="1" x14ac:dyDescent="0.25">
      <c r="A3100"/>
      <c r="B3100"/>
      <c r="C3100"/>
      <c r="M3100"/>
    </row>
    <row r="3101" spans="1:13" ht="12.75" customHeight="1" x14ac:dyDescent="0.25">
      <c r="A3101"/>
      <c r="B3101"/>
      <c r="C3101"/>
      <c r="M3101"/>
    </row>
    <row r="3102" spans="1:13" ht="12.75" customHeight="1" x14ac:dyDescent="0.25">
      <c r="A3102"/>
      <c r="B3102"/>
      <c r="C3102"/>
      <c r="M3102"/>
    </row>
    <row r="3103" spans="1:13" ht="12.75" customHeight="1" x14ac:dyDescent="0.25">
      <c r="A3103"/>
      <c r="B3103"/>
      <c r="C3103"/>
      <c r="M3103"/>
    </row>
    <row r="3104" spans="1:13" ht="12.75" customHeight="1" x14ac:dyDescent="0.25">
      <c r="A3104"/>
      <c r="B3104"/>
      <c r="C3104"/>
      <c r="M3104"/>
    </row>
    <row r="3105" spans="1:13" ht="12.75" customHeight="1" x14ac:dyDescent="0.25">
      <c r="A3105"/>
      <c r="B3105"/>
      <c r="C3105"/>
      <c r="M3105"/>
    </row>
    <row r="3106" spans="1:13" ht="12.75" customHeight="1" x14ac:dyDescent="0.25">
      <c r="A3106"/>
      <c r="B3106"/>
      <c r="C3106"/>
      <c r="M3106"/>
    </row>
    <row r="3107" spans="1:13" ht="12.75" customHeight="1" x14ac:dyDescent="0.25">
      <c r="A3107"/>
      <c r="B3107"/>
      <c r="C3107"/>
      <c r="M3107"/>
    </row>
    <row r="3108" spans="1:13" ht="12.75" customHeight="1" x14ac:dyDescent="0.25">
      <c r="A3108"/>
      <c r="B3108"/>
      <c r="C3108"/>
      <c r="M3108"/>
    </row>
    <row r="3109" spans="1:13" ht="12.75" customHeight="1" x14ac:dyDescent="0.25">
      <c r="A3109"/>
      <c r="B3109"/>
      <c r="C3109"/>
      <c r="M3109"/>
    </row>
    <row r="3110" spans="1:13" ht="12.75" customHeight="1" x14ac:dyDescent="0.25">
      <c r="A3110"/>
      <c r="B3110"/>
      <c r="C3110"/>
      <c r="M3110"/>
    </row>
    <row r="3111" spans="1:13" ht="12.75" customHeight="1" x14ac:dyDescent="0.25">
      <c r="A3111"/>
      <c r="B3111"/>
      <c r="C3111"/>
      <c r="M3111"/>
    </row>
    <row r="3112" spans="1:13" ht="12.75" customHeight="1" x14ac:dyDescent="0.25">
      <c r="A3112"/>
      <c r="B3112"/>
      <c r="C3112"/>
      <c r="M3112"/>
    </row>
    <row r="3113" spans="1:13" ht="12.75" customHeight="1" x14ac:dyDescent="0.25">
      <c r="A3113"/>
      <c r="B3113"/>
      <c r="C3113"/>
      <c r="M3113"/>
    </row>
    <row r="3114" spans="1:13" ht="12.75" customHeight="1" x14ac:dyDescent="0.25">
      <c r="A3114"/>
      <c r="B3114"/>
      <c r="C3114"/>
      <c r="M3114"/>
    </row>
    <row r="3115" spans="1:13" ht="12.75" customHeight="1" x14ac:dyDescent="0.25">
      <c r="A3115"/>
      <c r="B3115"/>
      <c r="C3115"/>
      <c r="M3115"/>
    </row>
    <row r="3116" spans="1:13" ht="12.75" customHeight="1" x14ac:dyDescent="0.25">
      <c r="A3116"/>
      <c r="B3116"/>
      <c r="C3116"/>
      <c r="M3116"/>
    </row>
    <row r="3117" spans="1:13" ht="12.75" customHeight="1" x14ac:dyDescent="0.25">
      <c r="A3117"/>
      <c r="B3117"/>
      <c r="C3117"/>
      <c r="M3117"/>
    </row>
    <row r="3118" spans="1:13" ht="12.75" customHeight="1" x14ac:dyDescent="0.25">
      <c r="A3118"/>
      <c r="B3118"/>
      <c r="C3118"/>
      <c r="M3118"/>
    </row>
    <row r="3119" spans="1:13" ht="12.75" customHeight="1" x14ac:dyDescent="0.25">
      <c r="A3119"/>
      <c r="B3119"/>
      <c r="C3119"/>
      <c r="M3119"/>
    </row>
    <row r="3120" spans="1:13" ht="12.75" customHeight="1" x14ac:dyDescent="0.25">
      <c r="A3120"/>
      <c r="B3120"/>
      <c r="C3120"/>
      <c r="M3120"/>
    </row>
    <row r="3121" spans="1:13" ht="12.75" customHeight="1" x14ac:dyDescent="0.25">
      <c r="A3121"/>
      <c r="B3121"/>
      <c r="C3121"/>
      <c r="M3121"/>
    </row>
    <row r="3122" spans="1:13" ht="12.75" customHeight="1" x14ac:dyDescent="0.25">
      <c r="A3122"/>
      <c r="B3122"/>
      <c r="C3122"/>
      <c r="M3122"/>
    </row>
    <row r="3123" spans="1:13" ht="12.75" customHeight="1" x14ac:dyDescent="0.25">
      <c r="A3123"/>
      <c r="B3123"/>
      <c r="C3123"/>
      <c r="M3123"/>
    </row>
    <row r="3124" spans="1:13" ht="12.75" customHeight="1" x14ac:dyDescent="0.25">
      <c r="A3124"/>
      <c r="B3124"/>
      <c r="C3124"/>
      <c r="M3124"/>
    </row>
    <row r="3125" spans="1:13" ht="12.75" customHeight="1" x14ac:dyDescent="0.25">
      <c r="A3125"/>
      <c r="B3125"/>
      <c r="C3125"/>
      <c r="M3125"/>
    </row>
    <row r="3126" spans="1:13" ht="12.75" customHeight="1" x14ac:dyDescent="0.25">
      <c r="A3126"/>
      <c r="B3126"/>
      <c r="C3126"/>
      <c r="M3126"/>
    </row>
    <row r="3127" spans="1:13" ht="12.75" customHeight="1" x14ac:dyDescent="0.25">
      <c r="A3127"/>
      <c r="B3127"/>
      <c r="C3127"/>
      <c r="M3127"/>
    </row>
    <row r="3128" spans="1:13" ht="12.75" customHeight="1" x14ac:dyDescent="0.25">
      <c r="A3128"/>
      <c r="B3128"/>
      <c r="C3128"/>
      <c r="M3128"/>
    </row>
    <row r="3129" spans="1:13" ht="12.75" customHeight="1" x14ac:dyDescent="0.25">
      <c r="A3129"/>
      <c r="B3129"/>
      <c r="C3129"/>
      <c r="M3129"/>
    </row>
    <row r="3130" spans="1:13" ht="12.75" customHeight="1" x14ac:dyDescent="0.25">
      <c r="A3130"/>
      <c r="B3130"/>
      <c r="C3130"/>
      <c r="M3130"/>
    </row>
    <row r="3131" spans="1:13" ht="12.75" customHeight="1" x14ac:dyDescent="0.25">
      <c r="A3131"/>
      <c r="B3131"/>
      <c r="C3131"/>
      <c r="M3131"/>
    </row>
    <row r="3132" spans="1:13" ht="12.75" customHeight="1" x14ac:dyDescent="0.25">
      <c r="A3132"/>
      <c r="B3132"/>
      <c r="C3132"/>
      <c r="M3132"/>
    </row>
    <row r="3133" spans="1:13" ht="12.75" customHeight="1" x14ac:dyDescent="0.25">
      <c r="A3133"/>
      <c r="B3133"/>
      <c r="C3133"/>
      <c r="M3133"/>
    </row>
    <row r="3134" spans="1:13" ht="12.75" customHeight="1" x14ac:dyDescent="0.25">
      <c r="A3134"/>
      <c r="B3134"/>
      <c r="C3134"/>
      <c r="M3134"/>
    </row>
    <row r="3135" spans="1:13" ht="12.75" customHeight="1" x14ac:dyDescent="0.25">
      <c r="A3135"/>
      <c r="B3135"/>
      <c r="C3135"/>
      <c r="M3135"/>
    </row>
    <row r="3136" spans="1:13" ht="12.75" customHeight="1" x14ac:dyDescent="0.25">
      <c r="A3136"/>
      <c r="B3136"/>
      <c r="C3136"/>
      <c r="M3136"/>
    </row>
    <row r="3137" spans="1:13" ht="12.75" customHeight="1" x14ac:dyDescent="0.25">
      <c r="A3137"/>
      <c r="B3137"/>
      <c r="C3137"/>
      <c r="M3137"/>
    </row>
    <row r="3138" spans="1:13" ht="12.75" customHeight="1" x14ac:dyDescent="0.25">
      <c r="A3138"/>
      <c r="B3138"/>
      <c r="C3138"/>
      <c r="M3138"/>
    </row>
    <row r="3139" spans="1:13" ht="12.75" customHeight="1" x14ac:dyDescent="0.25">
      <c r="A3139"/>
      <c r="B3139"/>
      <c r="C3139"/>
      <c r="M3139"/>
    </row>
    <row r="3140" spans="1:13" ht="12.75" customHeight="1" x14ac:dyDescent="0.25">
      <c r="A3140"/>
      <c r="B3140"/>
      <c r="C3140"/>
      <c r="M3140"/>
    </row>
    <row r="3141" spans="1:13" ht="12.75" customHeight="1" x14ac:dyDescent="0.25">
      <c r="A3141"/>
      <c r="B3141"/>
      <c r="C3141"/>
      <c r="M3141"/>
    </row>
    <row r="3142" spans="1:13" ht="12.75" customHeight="1" x14ac:dyDescent="0.25">
      <c r="A3142"/>
      <c r="B3142"/>
      <c r="C3142"/>
      <c r="M3142"/>
    </row>
    <row r="3143" spans="1:13" ht="12.75" customHeight="1" x14ac:dyDescent="0.25">
      <c r="A3143"/>
      <c r="B3143"/>
      <c r="C3143"/>
      <c r="M3143"/>
    </row>
    <row r="3144" spans="1:13" ht="12.75" customHeight="1" x14ac:dyDescent="0.25">
      <c r="A3144"/>
      <c r="B3144"/>
      <c r="C3144"/>
      <c r="M3144"/>
    </row>
    <row r="3145" spans="1:13" ht="12.75" customHeight="1" x14ac:dyDescent="0.25">
      <c r="A3145"/>
      <c r="B3145"/>
      <c r="C3145"/>
      <c r="M3145"/>
    </row>
    <row r="3146" spans="1:13" ht="12.75" customHeight="1" x14ac:dyDescent="0.25">
      <c r="A3146"/>
      <c r="B3146"/>
      <c r="C3146"/>
      <c r="M3146"/>
    </row>
    <row r="3147" spans="1:13" ht="12.75" customHeight="1" x14ac:dyDescent="0.25">
      <c r="A3147"/>
      <c r="B3147"/>
      <c r="C3147"/>
      <c r="M3147"/>
    </row>
    <row r="3148" spans="1:13" ht="12.75" customHeight="1" x14ac:dyDescent="0.25">
      <c r="A3148"/>
      <c r="B3148"/>
      <c r="C3148"/>
      <c r="M3148"/>
    </row>
    <row r="3149" spans="1:13" ht="12.75" customHeight="1" x14ac:dyDescent="0.25">
      <c r="A3149"/>
      <c r="B3149"/>
      <c r="C3149"/>
      <c r="M3149"/>
    </row>
    <row r="3150" spans="1:13" ht="12.75" customHeight="1" x14ac:dyDescent="0.25">
      <c r="A3150"/>
      <c r="B3150"/>
      <c r="C3150"/>
      <c r="M3150"/>
    </row>
    <row r="3151" spans="1:13" ht="12.75" customHeight="1" x14ac:dyDescent="0.25">
      <c r="A3151"/>
      <c r="B3151"/>
      <c r="C3151"/>
      <c r="M3151"/>
    </row>
    <row r="3152" spans="1:13" ht="12.75" customHeight="1" x14ac:dyDescent="0.25">
      <c r="A3152"/>
      <c r="B3152"/>
      <c r="C3152"/>
      <c r="M3152"/>
    </row>
    <row r="3153" spans="1:13" ht="12.75" customHeight="1" x14ac:dyDescent="0.25">
      <c r="A3153"/>
      <c r="B3153"/>
      <c r="C3153"/>
      <c r="M3153"/>
    </row>
    <row r="3154" spans="1:13" ht="12.75" customHeight="1" x14ac:dyDescent="0.25">
      <c r="A3154"/>
      <c r="B3154"/>
      <c r="C3154"/>
      <c r="M3154"/>
    </row>
    <row r="3155" spans="1:13" ht="12.75" customHeight="1" x14ac:dyDescent="0.25">
      <c r="A3155"/>
      <c r="B3155"/>
      <c r="C3155"/>
      <c r="M3155"/>
    </row>
    <row r="3156" spans="1:13" ht="12.75" customHeight="1" x14ac:dyDescent="0.25">
      <c r="A3156"/>
      <c r="B3156"/>
      <c r="C3156"/>
      <c r="M3156"/>
    </row>
    <row r="3157" spans="1:13" ht="12.75" customHeight="1" x14ac:dyDescent="0.25">
      <c r="A3157"/>
      <c r="B3157"/>
      <c r="C3157"/>
      <c r="M3157"/>
    </row>
    <row r="3158" spans="1:13" ht="12.75" customHeight="1" x14ac:dyDescent="0.25">
      <c r="A3158"/>
      <c r="B3158"/>
      <c r="C3158"/>
      <c r="M3158"/>
    </row>
    <row r="3159" spans="1:13" ht="12.75" customHeight="1" x14ac:dyDescent="0.25">
      <c r="A3159"/>
      <c r="B3159"/>
      <c r="C3159"/>
      <c r="M3159"/>
    </row>
    <row r="3160" spans="1:13" ht="12.75" customHeight="1" x14ac:dyDescent="0.25">
      <c r="A3160"/>
      <c r="B3160"/>
      <c r="C3160"/>
      <c r="M3160"/>
    </row>
    <row r="3161" spans="1:13" ht="12.75" customHeight="1" x14ac:dyDescent="0.25">
      <c r="A3161"/>
      <c r="B3161"/>
      <c r="C3161"/>
      <c r="M3161"/>
    </row>
    <row r="3162" spans="1:13" ht="12.75" customHeight="1" x14ac:dyDescent="0.25">
      <c r="A3162"/>
      <c r="B3162"/>
      <c r="C3162"/>
      <c r="M3162"/>
    </row>
    <row r="3163" spans="1:13" ht="12.75" customHeight="1" x14ac:dyDescent="0.25">
      <c r="A3163"/>
      <c r="B3163"/>
      <c r="C3163"/>
      <c r="M3163"/>
    </row>
    <row r="3164" spans="1:13" ht="12.75" customHeight="1" x14ac:dyDescent="0.25">
      <c r="A3164"/>
      <c r="B3164"/>
      <c r="C3164"/>
      <c r="M3164"/>
    </row>
    <row r="3165" spans="1:13" ht="12.75" customHeight="1" x14ac:dyDescent="0.25">
      <c r="A3165"/>
      <c r="B3165"/>
      <c r="C3165"/>
      <c r="M3165"/>
    </row>
    <row r="3166" spans="1:13" ht="12.75" customHeight="1" x14ac:dyDescent="0.25">
      <c r="A3166"/>
      <c r="B3166"/>
      <c r="C3166"/>
      <c r="M3166"/>
    </row>
    <row r="3167" spans="1:13" ht="12.75" customHeight="1" x14ac:dyDescent="0.25">
      <c r="A3167"/>
      <c r="B3167"/>
      <c r="C3167"/>
      <c r="M3167"/>
    </row>
    <row r="3168" spans="1:13" ht="12.75" customHeight="1" x14ac:dyDescent="0.25">
      <c r="A3168"/>
      <c r="B3168"/>
      <c r="C3168"/>
      <c r="M3168"/>
    </row>
    <row r="3169" spans="1:13" ht="12.75" customHeight="1" x14ac:dyDescent="0.25">
      <c r="A3169"/>
      <c r="B3169"/>
      <c r="C3169"/>
      <c r="M3169"/>
    </row>
    <row r="3170" spans="1:13" ht="12.75" customHeight="1" x14ac:dyDescent="0.25">
      <c r="A3170"/>
      <c r="B3170"/>
      <c r="C3170"/>
      <c r="M3170"/>
    </row>
    <row r="3171" spans="1:13" ht="12.75" customHeight="1" x14ac:dyDescent="0.25">
      <c r="A3171"/>
      <c r="B3171"/>
      <c r="C3171"/>
      <c r="M3171"/>
    </row>
    <row r="3172" spans="1:13" ht="12.75" customHeight="1" x14ac:dyDescent="0.25">
      <c r="A3172"/>
      <c r="B3172"/>
      <c r="C3172"/>
      <c r="M3172"/>
    </row>
    <row r="3173" spans="1:13" ht="12.75" customHeight="1" x14ac:dyDescent="0.25">
      <c r="A3173"/>
      <c r="B3173"/>
      <c r="C3173"/>
      <c r="M3173"/>
    </row>
    <row r="3174" spans="1:13" ht="12.75" customHeight="1" x14ac:dyDescent="0.25">
      <c r="A3174"/>
      <c r="B3174"/>
      <c r="C3174"/>
      <c r="M3174"/>
    </row>
    <row r="3175" spans="1:13" ht="12.75" customHeight="1" x14ac:dyDescent="0.25">
      <c r="A3175"/>
      <c r="B3175"/>
      <c r="C3175"/>
      <c r="M3175"/>
    </row>
    <row r="3176" spans="1:13" ht="12.75" customHeight="1" x14ac:dyDescent="0.25">
      <c r="A3176"/>
      <c r="B3176"/>
      <c r="C3176"/>
      <c r="M3176"/>
    </row>
    <row r="3177" spans="1:13" ht="12.75" customHeight="1" x14ac:dyDescent="0.25">
      <c r="A3177"/>
      <c r="B3177"/>
      <c r="C3177"/>
      <c r="M3177"/>
    </row>
    <row r="3178" spans="1:13" ht="12.75" customHeight="1" x14ac:dyDescent="0.25">
      <c r="A3178"/>
      <c r="B3178"/>
      <c r="C3178"/>
      <c r="M3178"/>
    </row>
    <row r="3179" spans="1:13" ht="12.75" customHeight="1" x14ac:dyDescent="0.25">
      <c r="A3179"/>
      <c r="B3179"/>
      <c r="C3179"/>
      <c r="M3179"/>
    </row>
    <row r="3180" spans="1:13" ht="12.75" customHeight="1" x14ac:dyDescent="0.25">
      <c r="A3180"/>
      <c r="B3180"/>
      <c r="C3180"/>
      <c r="M3180"/>
    </row>
    <row r="3181" spans="1:13" ht="12.75" customHeight="1" x14ac:dyDescent="0.25">
      <c r="A3181"/>
      <c r="B3181"/>
      <c r="C3181"/>
      <c r="M3181"/>
    </row>
    <row r="3182" spans="1:13" ht="12.75" customHeight="1" x14ac:dyDescent="0.25">
      <c r="A3182"/>
      <c r="B3182"/>
      <c r="C3182"/>
      <c r="M3182"/>
    </row>
    <row r="3183" spans="1:13" ht="12.75" customHeight="1" x14ac:dyDescent="0.25">
      <c r="A3183"/>
      <c r="B3183"/>
      <c r="C3183"/>
      <c r="M3183"/>
    </row>
    <row r="3184" spans="1:13" ht="12.75" customHeight="1" x14ac:dyDescent="0.25">
      <c r="A3184"/>
      <c r="B3184"/>
      <c r="C3184"/>
      <c r="M3184"/>
    </row>
    <row r="3185" spans="1:13" ht="12.75" customHeight="1" x14ac:dyDescent="0.25">
      <c r="A3185"/>
      <c r="B3185"/>
      <c r="C3185"/>
      <c r="M3185"/>
    </row>
    <row r="3186" spans="1:13" ht="12.75" customHeight="1" x14ac:dyDescent="0.25">
      <c r="A3186"/>
      <c r="B3186"/>
      <c r="C3186"/>
      <c r="M3186"/>
    </row>
    <row r="3187" spans="1:13" ht="12.75" customHeight="1" x14ac:dyDescent="0.25">
      <c r="A3187"/>
      <c r="B3187"/>
      <c r="C3187"/>
      <c r="M3187"/>
    </row>
    <row r="3188" spans="1:13" ht="12.75" customHeight="1" x14ac:dyDescent="0.25">
      <c r="A3188"/>
      <c r="B3188"/>
      <c r="C3188"/>
      <c r="M3188"/>
    </row>
    <row r="3189" spans="1:13" ht="12.75" customHeight="1" x14ac:dyDescent="0.25">
      <c r="A3189"/>
      <c r="B3189"/>
      <c r="C3189"/>
      <c r="M3189"/>
    </row>
    <row r="3190" spans="1:13" ht="12.75" customHeight="1" x14ac:dyDescent="0.25">
      <c r="A3190"/>
      <c r="B3190"/>
      <c r="C3190"/>
      <c r="M3190"/>
    </row>
    <row r="3191" spans="1:13" ht="12.75" customHeight="1" x14ac:dyDescent="0.25">
      <c r="A3191"/>
      <c r="B3191"/>
      <c r="C3191"/>
      <c r="M3191"/>
    </row>
    <row r="3192" spans="1:13" ht="12.75" customHeight="1" x14ac:dyDescent="0.25">
      <c r="A3192"/>
      <c r="B3192"/>
      <c r="C3192"/>
      <c r="M3192"/>
    </row>
    <row r="3193" spans="1:13" ht="12.75" customHeight="1" x14ac:dyDescent="0.25">
      <c r="A3193"/>
      <c r="B3193"/>
      <c r="C3193"/>
      <c r="M3193"/>
    </row>
    <row r="3194" spans="1:13" ht="12.75" customHeight="1" x14ac:dyDescent="0.25">
      <c r="A3194"/>
      <c r="B3194"/>
      <c r="C3194"/>
      <c r="M3194"/>
    </row>
    <row r="3195" spans="1:13" ht="12.75" customHeight="1" x14ac:dyDescent="0.25">
      <c r="A3195"/>
      <c r="B3195"/>
      <c r="C3195"/>
      <c r="M3195"/>
    </row>
    <row r="3196" spans="1:13" ht="12.75" customHeight="1" x14ac:dyDescent="0.25">
      <c r="A3196"/>
      <c r="B3196"/>
      <c r="C3196"/>
      <c r="M3196"/>
    </row>
    <row r="3197" spans="1:13" ht="12.75" customHeight="1" x14ac:dyDescent="0.25">
      <c r="A3197"/>
      <c r="B3197"/>
      <c r="C3197"/>
      <c r="M3197"/>
    </row>
    <row r="3198" spans="1:13" ht="12.75" customHeight="1" x14ac:dyDescent="0.25">
      <c r="A3198"/>
      <c r="B3198"/>
      <c r="C3198"/>
      <c r="M3198"/>
    </row>
    <row r="3199" spans="1:13" ht="12.75" customHeight="1" x14ac:dyDescent="0.25">
      <c r="A3199"/>
      <c r="B3199"/>
      <c r="C3199"/>
      <c r="M3199"/>
    </row>
    <row r="3200" spans="1:13" ht="12.75" customHeight="1" x14ac:dyDescent="0.25">
      <c r="A3200"/>
      <c r="B3200"/>
      <c r="C3200"/>
      <c r="M3200"/>
    </row>
    <row r="3201" spans="1:13" ht="12.75" customHeight="1" x14ac:dyDescent="0.25">
      <c r="A3201"/>
      <c r="B3201"/>
      <c r="C3201"/>
      <c r="M3201"/>
    </row>
    <row r="3202" spans="1:13" ht="12.75" customHeight="1" x14ac:dyDescent="0.25">
      <c r="A3202"/>
      <c r="B3202"/>
      <c r="C3202"/>
      <c r="M3202"/>
    </row>
    <row r="3203" spans="1:13" ht="12.75" customHeight="1" x14ac:dyDescent="0.25">
      <c r="A3203"/>
      <c r="B3203"/>
      <c r="C3203"/>
      <c r="M3203"/>
    </row>
    <row r="3204" spans="1:13" ht="12.75" customHeight="1" x14ac:dyDescent="0.25">
      <c r="A3204"/>
      <c r="B3204"/>
      <c r="C3204"/>
      <c r="M3204"/>
    </row>
    <row r="3205" spans="1:13" ht="12.75" customHeight="1" x14ac:dyDescent="0.25">
      <c r="A3205"/>
      <c r="B3205"/>
      <c r="C3205"/>
      <c r="M3205"/>
    </row>
    <row r="3206" spans="1:13" ht="12.75" customHeight="1" x14ac:dyDescent="0.25">
      <c r="A3206"/>
      <c r="B3206"/>
      <c r="C3206"/>
      <c r="M3206"/>
    </row>
    <row r="3207" spans="1:13" ht="12.75" customHeight="1" x14ac:dyDescent="0.25">
      <c r="A3207"/>
      <c r="B3207"/>
      <c r="C3207"/>
      <c r="M3207"/>
    </row>
    <row r="3208" spans="1:13" ht="12.75" customHeight="1" x14ac:dyDescent="0.25">
      <c r="A3208"/>
      <c r="B3208"/>
      <c r="C3208"/>
      <c r="M3208"/>
    </row>
    <row r="3209" spans="1:13" ht="12.75" customHeight="1" x14ac:dyDescent="0.25">
      <c r="A3209"/>
      <c r="B3209"/>
      <c r="C3209"/>
      <c r="M3209"/>
    </row>
    <row r="3210" spans="1:13" ht="12.75" customHeight="1" x14ac:dyDescent="0.25">
      <c r="A3210"/>
      <c r="B3210"/>
      <c r="C3210"/>
      <c r="M3210"/>
    </row>
    <row r="3211" spans="1:13" ht="12.75" customHeight="1" x14ac:dyDescent="0.25">
      <c r="A3211"/>
      <c r="B3211"/>
      <c r="C3211"/>
      <c r="M3211"/>
    </row>
    <row r="3212" spans="1:13" ht="12.75" customHeight="1" x14ac:dyDescent="0.25">
      <c r="A3212"/>
      <c r="B3212"/>
      <c r="C3212"/>
      <c r="M3212"/>
    </row>
    <row r="3213" spans="1:13" ht="12.75" customHeight="1" x14ac:dyDescent="0.25">
      <c r="A3213"/>
      <c r="B3213"/>
      <c r="C3213"/>
      <c r="M3213"/>
    </row>
    <row r="3214" spans="1:13" ht="12.75" customHeight="1" x14ac:dyDescent="0.25">
      <c r="A3214"/>
      <c r="B3214"/>
      <c r="C3214"/>
      <c r="M3214"/>
    </row>
    <row r="3215" spans="1:13" ht="12.75" customHeight="1" x14ac:dyDescent="0.25">
      <c r="A3215"/>
      <c r="B3215"/>
      <c r="C3215"/>
      <c r="M3215"/>
    </row>
    <row r="3216" spans="1:13" ht="12.75" customHeight="1" x14ac:dyDescent="0.25">
      <c r="A3216"/>
      <c r="B3216"/>
      <c r="C3216"/>
      <c r="M3216"/>
    </row>
    <row r="3217" spans="1:13" ht="12.75" customHeight="1" x14ac:dyDescent="0.25">
      <c r="A3217"/>
      <c r="B3217"/>
      <c r="C3217"/>
      <c r="M3217"/>
    </row>
    <row r="3218" spans="1:13" ht="12.75" customHeight="1" x14ac:dyDescent="0.25">
      <c r="A3218"/>
      <c r="B3218"/>
      <c r="C3218"/>
      <c r="M3218"/>
    </row>
    <row r="3219" spans="1:13" ht="12.75" customHeight="1" x14ac:dyDescent="0.25">
      <c r="A3219"/>
      <c r="B3219"/>
      <c r="C3219"/>
      <c r="M3219"/>
    </row>
    <row r="3220" spans="1:13" ht="12.75" customHeight="1" x14ac:dyDescent="0.25">
      <c r="A3220"/>
      <c r="B3220"/>
      <c r="C3220"/>
      <c r="M3220"/>
    </row>
    <row r="3221" spans="1:13" ht="12.75" customHeight="1" x14ac:dyDescent="0.25">
      <c r="A3221"/>
      <c r="B3221"/>
      <c r="C3221"/>
      <c r="M3221"/>
    </row>
    <row r="3222" spans="1:13" ht="12.75" customHeight="1" x14ac:dyDescent="0.25">
      <c r="A3222"/>
      <c r="B3222"/>
      <c r="C3222"/>
      <c r="M3222"/>
    </row>
    <row r="3223" spans="1:13" ht="12.75" customHeight="1" x14ac:dyDescent="0.25">
      <c r="A3223"/>
      <c r="B3223"/>
      <c r="C3223"/>
      <c r="M3223"/>
    </row>
    <row r="3224" spans="1:13" ht="12.75" customHeight="1" x14ac:dyDescent="0.25">
      <c r="A3224"/>
      <c r="B3224"/>
      <c r="C3224"/>
      <c r="M3224"/>
    </row>
    <row r="3225" spans="1:13" ht="12.75" customHeight="1" x14ac:dyDescent="0.25">
      <c r="A3225"/>
      <c r="B3225"/>
      <c r="C3225"/>
      <c r="M3225"/>
    </row>
    <row r="3226" spans="1:13" ht="12.75" customHeight="1" x14ac:dyDescent="0.25">
      <c r="A3226"/>
      <c r="B3226"/>
      <c r="C3226"/>
      <c r="M3226"/>
    </row>
    <row r="3227" spans="1:13" ht="12.75" customHeight="1" x14ac:dyDescent="0.25">
      <c r="A3227"/>
      <c r="B3227"/>
      <c r="C3227"/>
      <c r="M3227"/>
    </row>
    <row r="3228" spans="1:13" ht="12.75" customHeight="1" x14ac:dyDescent="0.25">
      <c r="A3228"/>
      <c r="B3228"/>
      <c r="C3228"/>
      <c r="M3228"/>
    </row>
    <row r="3229" spans="1:13" ht="12.75" customHeight="1" x14ac:dyDescent="0.25">
      <c r="A3229"/>
      <c r="B3229"/>
      <c r="C3229"/>
      <c r="M3229"/>
    </row>
    <row r="3230" spans="1:13" ht="12.75" customHeight="1" x14ac:dyDescent="0.25">
      <c r="A3230"/>
      <c r="B3230"/>
      <c r="C3230"/>
      <c r="M3230"/>
    </row>
    <row r="3231" spans="1:13" ht="12.75" customHeight="1" x14ac:dyDescent="0.25">
      <c r="A3231"/>
      <c r="B3231"/>
      <c r="C3231"/>
      <c r="M3231"/>
    </row>
    <row r="3232" spans="1:13" ht="12.75" customHeight="1" x14ac:dyDescent="0.25">
      <c r="A3232"/>
      <c r="B3232"/>
      <c r="C3232"/>
      <c r="M3232"/>
    </row>
    <row r="3233" spans="1:13" ht="12.75" customHeight="1" x14ac:dyDescent="0.25">
      <c r="A3233"/>
      <c r="B3233"/>
      <c r="C3233"/>
      <c r="M3233"/>
    </row>
    <row r="3234" spans="1:13" ht="12.75" customHeight="1" x14ac:dyDescent="0.25">
      <c r="A3234"/>
      <c r="B3234"/>
      <c r="C3234"/>
      <c r="M3234"/>
    </row>
    <row r="3235" spans="1:13" ht="12.75" customHeight="1" x14ac:dyDescent="0.25">
      <c r="A3235"/>
      <c r="B3235"/>
      <c r="C3235"/>
      <c r="M3235"/>
    </row>
    <row r="3236" spans="1:13" ht="12.75" customHeight="1" x14ac:dyDescent="0.25">
      <c r="A3236"/>
      <c r="B3236"/>
      <c r="C3236"/>
      <c r="M3236"/>
    </row>
    <row r="3237" spans="1:13" ht="12.75" customHeight="1" x14ac:dyDescent="0.25">
      <c r="A3237"/>
      <c r="B3237"/>
      <c r="C3237"/>
      <c r="M3237"/>
    </row>
    <row r="3238" spans="1:13" ht="12.75" customHeight="1" x14ac:dyDescent="0.25">
      <c r="A3238"/>
      <c r="B3238"/>
      <c r="C3238"/>
      <c r="M3238"/>
    </row>
    <row r="3239" spans="1:13" ht="12.75" customHeight="1" x14ac:dyDescent="0.25">
      <c r="A3239"/>
      <c r="B3239"/>
      <c r="C3239"/>
      <c r="M3239"/>
    </row>
    <row r="3240" spans="1:13" ht="12.75" customHeight="1" x14ac:dyDescent="0.25">
      <c r="A3240"/>
      <c r="B3240"/>
      <c r="C3240"/>
      <c r="M3240"/>
    </row>
    <row r="3241" spans="1:13" ht="12.75" customHeight="1" x14ac:dyDescent="0.25">
      <c r="A3241"/>
      <c r="B3241"/>
      <c r="C3241"/>
      <c r="M3241"/>
    </row>
    <row r="3242" spans="1:13" ht="12.75" customHeight="1" x14ac:dyDescent="0.25">
      <c r="A3242"/>
      <c r="B3242"/>
      <c r="C3242"/>
      <c r="M3242"/>
    </row>
    <row r="3243" spans="1:13" ht="12.75" customHeight="1" x14ac:dyDescent="0.25">
      <c r="A3243"/>
      <c r="B3243"/>
      <c r="C3243"/>
      <c r="M3243"/>
    </row>
    <row r="3244" spans="1:13" ht="12.75" customHeight="1" x14ac:dyDescent="0.25">
      <c r="A3244"/>
      <c r="B3244"/>
      <c r="C3244"/>
      <c r="M3244"/>
    </row>
    <row r="3245" spans="1:13" ht="12.75" customHeight="1" x14ac:dyDescent="0.25">
      <c r="A3245"/>
      <c r="B3245"/>
      <c r="C3245"/>
      <c r="M3245"/>
    </row>
    <row r="3246" spans="1:13" ht="12.75" customHeight="1" x14ac:dyDescent="0.25">
      <c r="A3246"/>
      <c r="B3246"/>
      <c r="C3246"/>
      <c r="M3246"/>
    </row>
    <row r="3247" spans="1:13" ht="12.75" customHeight="1" x14ac:dyDescent="0.25">
      <c r="A3247"/>
      <c r="B3247"/>
      <c r="C3247"/>
      <c r="M3247"/>
    </row>
    <row r="3248" spans="1:13" ht="12.75" customHeight="1" x14ac:dyDescent="0.25">
      <c r="A3248"/>
      <c r="B3248"/>
      <c r="C3248"/>
      <c r="M3248"/>
    </row>
    <row r="3249" spans="1:13" ht="12.75" customHeight="1" x14ac:dyDescent="0.25">
      <c r="A3249"/>
      <c r="B3249"/>
      <c r="C3249"/>
      <c r="M3249"/>
    </row>
    <row r="3250" spans="1:13" ht="12.75" customHeight="1" x14ac:dyDescent="0.25">
      <c r="A3250"/>
      <c r="B3250"/>
      <c r="C3250"/>
      <c r="M3250"/>
    </row>
    <row r="3251" spans="1:13" ht="12.75" customHeight="1" x14ac:dyDescent="0.25">
      <c r="A3251"/>
      <c r="B3251"/>
      <c r="C3251"/>
      <c r="M3251"/>
    </row>
    <row r="3252" spans="1:13" ht="12.75" customHeight="1" x14ac:dyDescent="0.25">
      <c r="A3252"/>
      <c r="B3252"/>
      <c r="C3252"/>
      <c r="M3252"/>
    </row>
    <row r="3253" spans="1:13" ht="12.75" customHeight="1" x14ac:dyDescent="0.25">
      <c r="A3253"/>
      <c r="B3253"/>
      <c r="C3253"/>
      <c r="M3253"/>
    </row>
    <row r="3254" spans="1:13" ht="12.75" customHeight="1" x14ac:dyDescent="0.25">
      <c r="A3254"/>
      <c r="B3254"/>
      <c r="C3254"/>
      <c r="M3254"/>
    </row>
    <row r="3255" spans="1:13" ht="12.75" customHeight="1" x14ac:dyDescent="0.25">
      <c r="A3255"/>
      <c r="B3255"/>
      <c r="C3255"/>
      <c r="M3255"/>
    </row>
    <row r="3256" spans="1:13" ht="12.75" customHeight="1" x14ac:dyDescent="0.25">
      <c r="A3256"/>
      <c r="B3256"/>
      <c r="C3256"/>
      <c r="M3256"/>
    </row>
    <row r="3257" spans="1:13" ht="12.75" customHeight="1" x14ac:dyDescent="0.25">
      <c r="A3257"/>
      <c r="B3257"/>
      <c r="C3257"/>
      <c r="M3257"/>
    </row>
    <row r="3258" spans="1:13" ht="12.75" customHeight="1" x14ac:dyDescent="0.25">
      <c r="A3258"/>
      <c r="B3258"/>
      <c r="C3258"/>
      <c r="M3258"/>
    </row>
    <row r="3259" spans="1:13" ht="12.75" customHeight="1" x14ac:dyDescent="0.25">
      <c r="A3259"/>
      <c r="B3259"/>
      <c r="C3259"/>
      <c r="M3259"/>
    </row>
    <row r="3260" spans="1:13" ht="12.75" customHeight="1" x14ac:dyDescent="0.25">
      <c r="A3260"/>
      <c r="B3260"/>
      <c r="C3260"/>
      <c r="M3260"/>
    </row>
    <row r="3261" spans="1:13" ht="12.75" customHeight="1" x14ac:dyDescent="0.25">
      <c r="A3261"/>
      <c r="B3261"/>
      <c r="C3261"/>
      <c r="M3261"/>
    </row>
    <row r="3262" spans="1:13" ht="12.75" customHeight="1" x14ac:dyDescent="0.25">
      <c r="A3262"/>
      <c r="B3262"/>
      <c r="C3262"/>
      <c r="M3262"/>
    </row>
    <row r="3263" spans="1:13" ht="12.75" customHeight="1" x14ac:dyDescent="0.25">
      <c r="A3263"/>
      <c r="B3263"/>
      <c r="C3263"/>
      <c r="M3263"/>
    </row>
    <row r="3264" spans="1:13" ht="12.75" customHeight="1" x14ac:dyDescent="0.25">
      <c r="A3264"/>
      <c r="B3264"/>
      <c r="C3264"/>
      <c r="M3264"/>
    </row>
    <row r="3265" spans="1:13" ht="12.75" customHeight="1" x14ac:dyDescent="0.25">
      <c r="A3265"/>
      <c r="B3265"/>
      <c r="C3265"/>
      <c r="M3265"/>
    </row>
    <row r="3266" spans="1:13" ht="12.75" customHeight="1" x14ac:dyDescent="0.25">
      <c r="A3266"/>
      <c r="B3266"/>
      <c r="C3266"/>
      <c r="M3266"/>
    </row>
    <row r="3267" spans="1:13" ht="12.75" customHeight="1" x14ac:dyDescent="0.25">
      <c r="A3267"/>
      <c r="B3267"/>
      <c r="C3267"/>
      <c r="M3267"/>
    </row>
    <row r="3268" spans="1:13" ht="12.75" customHeight="1" x14ac:dyDescent="0.25">
      <c r="A3268"/>
      <c r="B3268"/>
      <c r="C3268"/>
      <c r="M3268"/>
    </row>
    <row r="3269" spans="1:13" ht="12.75" customHeight="1" x14ac:dyDescent="0.25">
      <c r="A3269"/>
      <c r="B3269"/>
      <c r="C3269"/>
      <c r="M3269"/>
    </row>
    <row r="3270" spans="1:13" ht="12.75" customHeight="1" x14ac:dyDescent="0.25">
      <c r="A3270"/>
      <c r="B3270"/>
      <c r="C3270"/>
      <c r="M3270"/>
    </row>
    <row r="3271" spans="1:13" ht="12.75" customHeight="1" x14ac:dyDescent="0.25">
      <c r="A3271"/>
      <c r="B3271"/>
      <c r="C3271"/>
      <c r="M3271"/>
    </row>
    <row r="3272" spans="1:13" ht="12.75" customHeight="1" x14ac:dyDescent="0.25">
      <c r="A3272"/>
      <c r="B3272"/>
      <c r="C3272"/>
      <c r="M3272"/>
    </row>
    <row r="3273" spans="1:13" ht="12.75" customHeight="1" x14ac:dyDescent="0.25">
      <c r="A3273"/>
      <c r="B3273"/>
      <c r="C3273"/>
      <c r="M3273"/>
    </row>
    <row r="3274" spans="1:13" ht="12.75" customHeight="1" x14ac:dyDescent="0.25">
      <c r="A3274"/>
      <c r="B3274"/>
      <c r="C3274"/>
      <c r="M3274"/>
    </row>
    <row r="3275" spans="1:13" ht="12.75" customHeight="1" x14ac:dyDescent="0.25">
      <c r="A3275"/>
      <c r="B3275"/>
      <c r="C3275"/>
      <c r="M3275"/>
    </row>
    <row r="3276" spans="1:13" ht="12.75" customHeight="1" x14ac:dyDescent="0.25">
      <c r="A3276"/>
      <c r="B3276"/>
      <c r="C3276"/>
      <c r="M3276"/>
    </row>
    <row r="3277" spans="1:13" ht="12.75" customHeight="1" x14ac:dyDescent="0.25">
      <c r="A3277"/>
      <c r="B3277"/>
      <c r="C3277"/>
      <c r="M3277"/>
    </row>
    <row r="3278" spans="1:13" ht="12.75" customHeight="1" x14ac:dyDescent="0.25">
      <c r="A3278"/>
      <c r="B3278"/>
      <c r="C3278"/>
      <c r="M3278"/>
    </row>
    <row r="3279" spans="1:13" ht="12.75" customHeight="1" x14ac:dyDescent="0.25">
      <c r="A3279"/>
      <c r="B3279"/>
      <c r="C3279"/>
      <c r="M3279"/>
    </row>
    <row r="3280" spans="1:13" ht="12.75" customHeight="1" x14ac:dyDescent="0.25">
      <c r="A3280"/>
      <c r="B3280"/>
      <c r="C3280"/>
      <c r="M3280"/>
    </row>
    <row r="3281" spans="1:13" ht="12.75" customHeight="1" x14ac:dyDescent="0.25">
      <c r="A3281"/>
      <c r="B3281"/>
      <c r="C3281"/>
      <c r="M3281"/>
    </row>
    <row r="3282" spans="1:13" ht="12.75" customHeight="1" x14ac:dyDescent="0.25">
      <c r="A3282"/>
      <c r="B3282"/>
      <c r="C3282"/>
      <c r="M3282"/>
    </row>
    <row r="3283" spans="1:13" ht="12.75" customHeight="1" x14ac:dyDescent="0.25">
      <c r="A3283"/>
      <c r="B3283"/>
      <c r="C3283"/>
      <c r="M3283"/>
    </row>
    <row r="3284" spans="1:13" ht="12.75" customHeight="1" x14ac:dyDescent="0.25">
      <c r="A3284"/>
      <c r="B3284"/>
      <c r="C3284"/>
      <c r="M3284"/>
    </row>
    <row r="3285" spans="1:13" ht="12.75" customHeight="1" x14ac:dyDescent="0.25">
      <c r="A3285"/>
      <c r="B3285"/>
      <c r="C3285"/>
      <c r="M3285"/>
    </row>
    <row r="3286" spans="1:13" ht="12.75" customHeight="1" x14ac:dyDescent="0.25">
      <c r="A3286"/>
      <c r="B3286"/>
      <c r="C3286"/>
      <c r="M3286"/>
    </row>
    <row r="3287" spans="1:13" ht="12.75" customHeight="1" x14ac:dyDescent="0.25">
      <c r="A3287"/>
      <c r="B3287"/>
      <c r="C3287"/>
      <c r="M3287"/>
    </row>
    <row r="3288" spans="1:13" ht="12.75" customHeight="1" x14ac:dyDescent="0.25">
      <c r="A3288"/>
      <c r="B3288"/>
      <c r="C3288"/>
      <c r="M3288"/>
    </row>
    <row r="3289" spans="1:13" ht="12.75" customHeight="1" x14ac:dyDescent="0.25">
      <c r="A3289"/>
      <c r="B3289"/>
      <c r="C3289"/>
      <c r="M3289"/>
    </row>
    <row r="3290" spans="1:13" ht="12.75" customHeight="1" x14ac:dyDescent="0.25">
      <c r="A3290"/>
      <c r="B3290"/>
      <c r="C3290"/>
      <c r="M3290"/>
    </row>
    <row r="3291" spans="1:13" ht="12.75" customHeight="1" x14ac:dyDescent="0.25">
      <c r="A3291"/>
      <c r="B3291"/>
      <c r="C3291"/>
      <c r="M3291"/>
    </row>
    <row r="3292" spans="1:13" ht="12.75" customHeight="1" x14ac:dyDescent="0.25">
      <c r="A3292"/>
      <c r="B3292"/>
      <c r="C3292"/>
      <c r="M3292"/>
    </row>
    <row r="3293" spans="1:13" ht="12.75" customHeight="1" x14ac:dyDescent="0.25">
      <c r="A3293"/>
      <c r="B3293"/>
      <c r="C3293"/>
      <c r="M3293"/>
    </row>
    <row r="3294" spans="1:13" ht="12.75" customHeight="1" x14ac:dyDescent="0.25">
      <c r="A3294"/>
      <c r="B3294"/>
      <c r="C3294"/>
      <c r="M3294"/>
    </row>
    <row r="3295" spans="1:13" ht="12.75" customHeight="1" x14ac:dyDescent="0.25">
      <c r="A3295"/>
      <c r="B3295"/>
      <c r="C3295"/>
      <c r="M3295"/>
    </row>
    <row r="3296" spans="1:13" ht="12.75" customHeight="1" x14ac:dyDescent="0.25">
      <c r="A3296"/>
      <c r="B3296"/>
      <c r="C3296"/>
      <c r="M3296"/>
    </row>
    <row r="3297" spans="1:13" ht="12.75" customHeight="1" x14ac:dyDescent="0.25">
      <c r="A3297"/>
      <c r="B3297"/>
      <c r="C3297"/>
      <c r="M3297"/>
    </row>
    <row r="3298" spans="1:13" ht="12.75" customHeight="1" x14ac:dyDescent="0.25">
      <c r="A3298"/>
      <c r="B3298"/>
      <c r="C3298"/>
      <c r="M3298"/>
    </row>
    <row r="3299" spans="1:13" ht="12.75" customHeight="1" x14ac:dyDescent="0.25">
      <c r="A3299"/>
      <c r="B3299"/>
      <c r="C3299"/>
      <c r="M3299"/>
    </row>
    <row r="3300" spans="1:13" ht="12.75" customHeight="1" x14ac:dyDescent="0.25">
      <c r="A3300"/>
      <c r="B3300"/>
      <c r="C3300"/>
      <c r="M3300"/>
    </row>
    <row r="3301" spans="1:13" ht="12.75" customHeight="1" x14ac:dyDescent="0.25">
      <c r="A3301"/>
      <c r="B3301"/>
      <c r="C3301"/>
      <c r="M3301"/>
    </row>
    <row r="3302" spans="1:13" ht="12.75" customHeight="1" x14ac:dyDescent="0.25">
      <c r="A3302"/>
      <c r="B3302"/>
      <c r="C3302"/>
      <c r="M3302"/>
    </row>
    <row r="3303" spans="1:13" ht="12.75" customHeight="1" x14ac:dyDescent="0.25">
      <c r="A3303"/>
      <c r="B3303"/>
      <c r="C3303"/>
      <c r="M3303"/>
    </row>
    <row r="3304" spans="1:13" ht="12.75" customHeight="1" x14ac:dyDescent="0.25">
      <c r="A3304"/>
      <c r="B3304"/>
      <c r="C3304"/>
      <c r="M3304"/>
    </row>
    <row r="3305" spans="1:13" ht="12.75" customHeight="1" x14ac:dyDescent="0.25">
      <c r="A3305"/>
      <c r="B3305"/>
      <c r="C3305"/>
      <c r="M3305"/>
    </row>
    <row r="3306" spans="1:13" ht="12.75" customHeight="1" x14ac:dyDescent="0.25">
      <c r="A3306"/>
      <c r="B3306"/>
      <c r="C3306"/>
      <c r="M3306"/>
    </row>
    <row r="3307" spans="1:13" ht="12.75" customHeight="1" x14ac:dyDescent="0.25">
      <c r="A3307"/>
      <c r="B3307"/>
      <c r="C3307"/>
      <c r="M3307"/>
    </row>
    <row r="3308" spans="1:13" ht="12.75" customHeight="1" x14ac:dyDescent="0.25">
      <c r="A3308"/>
      <c r="B3308"/>
      <c r="C3308"/>
      <c r="M3308"/>
    </row>
    <row r="3309" spans="1:13" ht="12.75" customHeight="1" x14ac:dyDescent="0.25">
      <c r="A3309"/>
      <c r="B3309"/>
      <c r="C3309"/>
      <c r="M3309"/>
    </row>
    <row r="3310" spans="1:13" ht="12.75" customHeight="1" x14ac:dyDescent="0.25">
      <c r="A3310"/>
      <c r="B3310"/>
      <c r="C3310"/>
      <c r="M3310"/>
    </row>
    <row r="3311" spans="1:13" ht="12.75" customHeight="1" x14ac:dyDescent="0.25">
      <c r="A3311"/>
      <c r="B3311"/>
      <c r="C3311"/>
      <c r="M3311"/>
    </row>
    <row r="3312" spans="1:13" ht="12.75" customHeight="1" x14ac:dyDescent="0.25">
      <c r="A3312"/>
      <c r="B3312"/>
      <c r="C3312"/>
      <c r="M3312"/>
    </row>
    <row r="3313" spans="1:13" ht="12.75" customHeight="1" x14ac:dyDescent="0.25">
      <c r="A3313"/>
      <c r="B3313"/>
      <c r="C3313"/>
      <c r="M3313"/>
    </row>
    <row r="3314" spans="1:13" ht="12.75" customHeight="1" x14ac:dyDescent="0.25">
      <c r="A3314"/>
      <c r="B3314"/>
      <c r="C3314"/>
      <c r="M3314"/>
    </row>
    <row r="3315" spans="1:13" ht="12.75" customHeight="1" x14ac:dyDescent="0.25">
      <c r="A3315"/>
      <c r="B3315"/>
      <c r="C3315"/>
      <c r="M3315"/>
    </row>
    <row r="3316" spans="1:13" ht="12.75" customHeight="1" x14ac:dyDescent="0.25">
      <c r="A3316"/>
      <c r="B3316"/>
      <c r="C3316"/>
      <c r="M3316"/>
    </row>
    <row r="3317" spans="1:13" ht="12.75" customHeight="1" x14ac:dyDescent="0.25">
      <c r="A3317"/>
      <c r="B3317"/>
      <c r="C3317"/>
      <c r="M3317"/>
    </row>
    <row r="3318" spans="1:13" ht="12.75" customHeight="1" x14ac:dyDescent="0.25">
      <c r="A3318"/>
      <c r="B3318"/>
      <c r="C3318"/>
      <c r="M3318"/>
    </row>
    <row r="3319" spans="1:13" ht="12.75" customHeight="1" x14ac:dyDescent="0.25">
      <c r="A3319"/>
      <c r="B3319"/>
      <c r="C3319"/>
      <c r="M3319"/>
    </row>
    <row r="3320" spans="1:13" ht="12.75" customHeight="1" x14ac:dyDescent="0.25">
      <c r="A3320"/>
      <c r="B3320"/>
      <c r="C3320"/>
      <c r="M3320"/>
    </row>
    <row r="3321" spans="1:13" ht="12.75" customHeight="1" x14ac:dyDescent="0.25">
      <c r="A3321"/>
      <c r="B3321"/>
      <c r="C3321"/>
      <c r="M3321"/>
    </row>
    <row r="3322" spans="1:13" ht="12.75" customHeight="1" x14ac:dyDescent="0.25">
      <c r="A3322"/>
      <c r="B3322"/>
      <c r="C3322"/>
      <c r="M3322"/>
    </row>
    <row r="3323" spans="1:13" ht="12.75" customHeight="1" x14ac:dyDescent="0.25">
      <c r="A3323"/>
      <c r="B3323"/>
      <c r="C3323"/>
      <c r="M3323"/>
    </row>
    <row r="3324" spans="1:13" ht="12.75" customHeight="1" x14ac:dyDescent="0.25">
      <c r="A3324"/>
      <c r="B3324"/>
      <c r="C3324"/>
      <c r="M3324"/>
    </row>
    <row r="3325" spans="1:13" ht="12.75" customHeight="1" x14ac:dyDescent="0.25">
      <c r="A3325"/>
      <c r="B3325"/>
      <c r="C3325"/>
      <c r="M3325"/>
    </row>
    <row r="3326" spans="1:13" ht="12.75" customHeight="1" x14ac:dyDescent="0.25">
      <c r="A3326"/>
      <c r="B3326"/>
      <c r="C3326"/>
      <c r="M3326"/>
    </row>
    <row r="3327" spans="1:13" ht="12.75" customHeight="1" x14ac:dyDescent="0.25">
      <c r="A3327"/>
      <c r="B3327"/>
      <c r="C3327"/>
      <c r="M3327"/>
    </row>
    <row r="3328" spans="1:13" ht="12.75" customHeight="1" x14ac:dyDescent="0.25">
      <c r="A3328"/>
      <c r="B3328"/>
      <c r="C3328"/>
      <c r="M3328"/>
    </row>
    <row r="3329" spans="1:13" ht="12.75" customHeight="1" x14ac:dyDescent="0.25">
      <c r="A3329"/>
      <c r="B3329"/>
      <c r="C3329"/>
      <c r="M3329"/>
    </row>
    <row r="3330" spans="1:13" ht="12.75" customHeight="1" x14ac:dyDescent="0.25">
      <c r="A3330"/>
      <c r="B3330"/>
      <c r="C3330"/>
      <c r="M3330"/>
    </row>
    <row r="3331" spans="1:13" ht="12.75" customHeight="1" x14ac:dyDescent="0.25">
      <c r="A3331"/>
      <c r="B3331"/>
      <c r="C3331"/>
      <c r="M3331"/>
    </row>
    <row r="3332" spans="1:13" ht="12.75" customHeight="1" x14ac:dyDescent="0.25">
      <c r="A3332"/>
      <c r="B3332"/>
      <c r="C3332"/>
      <c r="M3332"/>
    </row>
    <row r="3333" spans="1:13" ht="12.75" customHeight="1" x14ac:dyDescent="0.25">
      <c r="A3333"/>
      <c r="B3333"/>
      <c r="C3333"/>
      <c r="M3333"/>
    </row>
    <row r="3334" spans="1:13" ht="12.75" customHeight="1" x14ac:dyDescent="0.25">
      <c r="A3334"/>
      <c r="B3334"/>
      <c r="C3334"/>
      <c r="M3334"/>
    </row>
    <row r="3335" spans="1:13" ht="12.75" customHeight="1" x14ac:dyDescent="0.25">
      <c r="A3335"/>
      <c r="B3335"/>
      <c r="C3335"/>
      <c r="M3335"/>
    </row>
    <row r="3336" spans="1:13" ht="12.75" customHeight="1" x14ac:dyDescent="0.25">
      <c r="A3336"/>
      <c r="B3336"/>
      <c r="C3336"/>
      <c r="M3336"/>
    </row>
    <row r="3337" spans="1:13" ht="12.75" customHeight="1" x14ac:dyDescent="0.25">
      <c r="A3337"/>
      <c r="B3337"/>
      <c r="C3337"/>
      <c r="M3337"/>
    </row>
    <row r="3338" spans="1:13" ht="12.75" customHeight="1" x14ac:dyDescent="0.25">
      <c r="A3338"/>
      <c r="B3338"/>
      <c r="C3338"/>
      <c r="M3338"/>
    </row>
    <row r="3339" spans="1:13" ht="12.75" customHeight="1" x14ac:dyDescent="0.25">
      <c r="A3339"/>
      <c r="B3339"/>
      <c r="C3339"/>
      <c r="M3339"/>
    </row>
    <row r="3340" spans="1:13" ht="12.75" customHeight="1" x14ac:dyDescent="0.25">
      <c r="A3340"/>
      <c r="B3340"/>
      <c r="C3340"/>
      <c r="M3340"/>
    </row>
    <row r="3341" spans="1:13" ht="12.75" customHeight="1" x14ac:dyDescent="0.25">
      <c r="A3341"/>
      <c r="B3341"/>
      <c r="C3341"/>
      <c r="M3341"/>
    </row>
    <row r="3342" spans="1:13" ht="12.75" customHeight="1" x14ac:dyDescent="0.25">
      <c r="A3342"/>
      <c r="B3342"/>
      <c r="C3342"/>
      <c r="M3342"/>
    </row>
    <row r="3343" spans="1:13" ht="12.75" customHeight="1" x14ac:dyDescent="0.25">
      <c r="A3343"/>
      <c r="B3343"/>
      <c r="C3343"/>
      <c r="M3343"/>
    </row>
    <row r="3344" spans="1:13" ht="12.75" customHeight="1" x14ac:dyDescent="0.25">
      <c r="A3344"/>
      <c r="B3344"/>
      <c r="C3344"/>
      <c r="M3344"/>
    </row>
    <row r="3345" spans="1:13" ht="12.75" customHeight="1" x14ac:dyDescent="0.25">
      <c r="A3345"/>
      <c r="B3345"/>
      <c r="C3345"/>
      <c r="M3345"/>
    </row>
    <row r="3346" spans="1:13" ht="12.75" customHeight="1" x14ac:dyDescent="0.25">
      <c r="A3346"/>
      <c r="B3346"/>
      <c r="C3346"/>
      <c r="M3346"/>
    </row>
    <row r="3347" spans="1:13" ht="12.75" customHeight="1" x14ac:dyDescent="0.25">
      <c r="A3347"/>
      <c r="B3347"/>
      <c r="C3347"/>
      <c r="M3347"/>
    </row>
    <row r="3348" spans="1:13" ht="12.75" customHeight="1" x14ac:dyDescent="0.25">
      <c r="A3348"/>
      <c r="B3348"/>
      <c r="C3348"/>
      <c r="M3348"/>
    </row>
    <row r="3349" spans="1:13" ht="12.75" customHeight="1" x14ac:dyDescent="0.25">
      <c r="A3349"/>
      <c r="B3349"/>
      <c r="C3349"/>
      <c r="M3349"/>
    </row>
    <row r="3350" spans="1:13" ht="12.75" customHeight="1" x14ac:dyDescent="0.25">
      <c r="A3350"/>
      <c r="B3350"/>
      <c r="C3350"/>
      <c r="M3350"/>
    </row>
    <row r="3351" spans="1:13" ht="12.75" customHeight="1" x14ac:dyDescent="0.25">
      <c r="A3351"/>
      <c r="B3351"/>
      <c r="C3351"/>
      <c r="M3351"/>
    </row>
    <row r="3352" spans="1:13" ht="12.75" customHeight="1" x14ac:dyDescent="0.25">
      <c r="A3352"/>
      <c r="B3352"/>
      <c r="C3352"/>
      <c r="M3352"/>
    </row>
    <row r="3353" spans="1:13" ht="12.75" customHeight="1" x14ac:dyDescent="0.25">
      <c r="A3353"/>
      <c r="B3353"/>
      <c r="C3353"/>
      <c r="M3353"/>
    </row>
    <row r="3354" spans="1:13" ht="12.75" customHeight="1" x14ac:dyDescent="0.25">
      <c r="A3354"/>
      <c r="B3354"/>
      <c r="C3354"/>
      <c r="M3354"/>
    </row>
    <row r="3355" spans="1:13" ht="12.75" customHeight="1" x14ac:dyDescent="0.25">
      <c r="A3355"/>
      <c r="B3355"/>
      <c r="C3355"/>
      <c r="M3355"/>
    </row>
    <row r="3356" spans="1:13" ht="12.75" customHeight="1" x14ac:dyDescent="0.25">
      <c r="A3356"/>
      <c r="B3356"/>
      <c r="C3356"/>
      <c r="M3356"/>
    </row>
    <row r="3357" spans="1:13" ht="12.75" customHeight="1" x14ac:dyDescent="0.25">
      <c r="A3357"/>
      <c r="B3357"/>
      <c r="C3357"/>
      <c r="M3357"/>
    </row>
    <row r="3358" spans="1:13" ht="12.75" customHeight="1" x14ac:dyDescent="0.25">
      <c r="A3358"/>
      <c r="B3358"/>
      <c r="C3358"/>
      <c r="M3358"/>
    </row>
    <row r="3359" spans="1:13" ht="12.75" customHeight="1" x14ac:dyDescent="0.25">
      <c r="A3359"/>
      <c r="B3359"/>
      <c r="C3359"/>
      <c r="M3359"/>
    </row>
    <row r="3360" spans="1:13" ht="12.75" customHeight="1" x14ac:dyDescent="0.25">
      <c r="A3360"/>
      <c r="B3360"/>
      <c r="C3360"/>
      <c r="M3360"/>
    </row>
    <row r="3361" spans="1:13" ht="12.75" customHeight="1" x14ac:dyDescent="0.25">
      <c r="A3361"/>
      <c r="B3361"/>
      <c r="C3361"/>
      <c r="M3361"/>
    </row>
    <row r="3362" spans="1:13" ht="12.75" customHeight="1" x14ac:dyDescent="0.25">
      <c r="A3362"/>
      <c r="B3362"/>
      <c r="C3362"/>
      <c r="M3362"/>
    </row>
    <row r="3363" spans="1:13" ht="12.75" customHeight="1" x14ac:dyDescent="0.25">
      <c r="A3363"/>
      <c r="B3363"/>
      <c r="C3363"/>
      <c r="M3363"/>
    </row>
    <row r="3364" spans="1:13" ht="12.75" customHeight="1" x14ac:dyDescent="0.25">
      <c r="A3364"/>
      <c r="B3364"/>
      <c r="C3364"/>
      <c r="M3364"/>
    </row>
    <row r="3365" spans="1:13" ht="12.75" customHeight="1" x14ac:dyDescent="0.25">
      <c r="A3365"/>
      <c r="B3365"/>
      <c r="C3365"/>
      <c r="M3365"/>
    </row>
    <row r="3366" spans="1:13" ht="12.75" customHeight="1" x14ac:dyDescent="0.25">
      <c r="A3366"/>
      <c r="B3366"/>
      <c r="C3366"/>
      <c r="M3366"/>
    </row>
    <row r="3367" spans="1:13" ht="12.75" customHeight="1" x14ac:dyDescent="0.25">
      <c r="A3367"/>
      <c r="B3367"/>
      <c r="C3367"/>
      <c r="M3367"/>
    </row>
    <row r="3368" spans="1:13" ht="12.75" customHeight="1" x14ac:dyDescent="0.25">
      <c r="A3368"/>
      <c r="B3368"/>
      <c r="C3368"/>
      <c r="M3368"/>
    </row>
    <row r="3369" spans="1:13" ht="12.75" customHeight="1" x14ac:dyDescent="0.25">
      <c r="A3369"/>
      <c r="B3369"/>
      <c r="C3369"/>
      <c r="M3369"/>
    </row>
    <row r="3370" spans="1:13" ht="12.75" customHeight="1" x14ac:dyDescent="0.25">
      <c r="A3370"/>
      <c r="B3370"/>
      <c r="C3370"/>
      <c r="M3370"/>
    </row>
    <row r="3371" spans="1:13" ht="12.75" customHeight="1" x14ac:dyDescent="0.25">
      <c r="A3371"/>
      <c r="B3371"/>
      <c r="C3371"/>
      <c r="M3371"/>
    </row>
    <row r="3372" spans="1:13" ht="12.75" customHeight="1" x14ac:dyDescent="0.25">
      <c r="A3372"/>
      <c r="B3372"/>
      <c r="C3372"/>
      <c r="M3372"/>
    </row>
    <row r="3373" spans="1:13" ht="12.75" customHeight="1" x14ac:dyDescent="0.25">
      <c r="A3373"/>
      <c r="B3373"/>
      <c r="C3373"/>
      <c r="M3373"/>
    </row>
    <row r="3374" spans="1:13" ht="12.75" customHeight="1" x14ac:dyDescent="0.25">
      <c r="A3374"/>
      <c r="B3374"/>
      <c r="C3374"/>
      <c r="M3374"/>
    </row>
    <row r="3375" spans="1:13" ht="12.75" customHeight="1" x14ac:dyDescent="0.25">
      <c r="A3375"/>
      <c r="B3375"/>
      <c r="C3375"/>
      <c r="M3375"/>
    </row>
    <row r="3376" spans="1:13" ht="12.75" customHeight="1" x14ac:dyDescent="0.25">
      <c r="A3376"/>
      <c r="B3376"/>
      <c r="C3376"/>
      <c r="M3376"/>
    </row>
    <row r="3377" spans="1:13" ht="12.75" customHeight="1" x14ac:dyDescent="0.25">
      <c r="A3377"/>
      <c r="B3377"/>
      <c r="C3377"/>
      <c r="M3377"/>
    </row>
    <row r="3378" spans="1:13" ht="12.75" customHeight="1" x14ac:dyDescent="0.25">
      <c r="A3378"/>
      <c r="B3378"/>
      <c r="C3378"/>
      <c r="M3378"/>
    </row>
    <row r="3379" spans="1:13" ht="12.75" customHeight="1" x14ac:dyDescent="0.25">
      <c r="A3379"/>
      <c r="B3379"/>
      <c r="C3379"/>
      <c r="M3379"/>
    </row>
    <row r="3380" spans="1:13" ht="12.75" customHeight="1" x14ac:dyDescent="0.25">
      <c r="A3380"/>
      <c r="B3380"/>
      <c r="C3380"/>
      <c r="M3380"/>
    </row>
    <row r="3381" spans="1:13" ht="12.75" customHeight="1" x14ac:dyDescent="0.25">
      <c r="A3381"/>
      <c r="B3381"/>
      <c r="C3381"/>
      <c r="M3381"/>
    </row>
    <row r="3382" spans="1:13" ht="12.75" customHeight="1" x14ac:dyDescent="0.25">
      <c r="A3382"/>
      <c r="B3382"/>
      <c r="C3382"/>
      <c r="M3382"/>
    </row>
    <row r="3383" spans="1:13" ht="12.75" customHeight="1" x14ac:dyDescent="0.25">
      <c r="A3383"/>
      <c r="B3383"/>
      <c r="C3383"/>
      <c r="M3383"/>
    </row>
    <row r="3384" spans="1:13" ht="12.75" customHeight="1" x14ac:dyDescent="0.25">
      <c r="A3384"/>
      <c r="B3384"/>
      <c r="C3384"/>
      <c r="M3384"/>
    </row>
    <row r="3385" spans="1:13" ht="12.75" customHeight="1" x14ac:dyDescent="0.25">
      <c r="A3385"/>
      <c r="B3385"/>
      <c r="C3385"/>
      <c r="M3385"/>
    </row>
    <row r="3386" spans="1:13" ht="12.75" customHeight="1" x14ac:dyDescent="0.25">
      <c r="A3386"/>
      <c r="B3386"/>
      <c r="C3386"/>
      <c r="M3386"/>
    </row>
    <row r="3387" spans="1:13" ht="12.75" customHeight="1" x14ac:dyDescent="0.25">
      <c r="A3387"/>
      <c r="B3387"/>
      <c r="C3387"/>
      <c r="M3387"/>
    </row>
    <row r="3388" spans="1:13" ht="12.75" customHeight="1" x14ac:dyDescent="0.25">
      <c r="A3388"/>
      <c r="B3388"/>
      <c r="C3388"/>
      <c r="M3388"/>
    </row>
    <row r="3389" spans="1:13" ht="12.75" customHeight="1" x14ac:dyDescent="0.25">
      <c r="A3389"/>
      <c r="B3389"/>
      <c r="C3389"/>
      <c r="M3389"/>
    </row>
    <row r="3390" spans="1:13" ht="12.75" customHeight="1" x14ac:dyDescent="0.25">
      <c r="A3390"/>
      <c r="B3390"/>
      <c r="C3390"/>
      <c r="M3390"/>
    </row>
    <row r="3391" spans="1:13" ht="12.75" customHeight="1" x14ac:dyDescent="0.25">
      <c r="A3391"/>
      <c r="B3391"/>
      <c r="C3391"/>
      <c r="M3391"/>
    </row>
    <row r="3392" spans="1:13" ht="12.75" customHeight="1" x14ac:dyDescent="0.25">
      <c r="A3392"/>
      <c r="B3392"/>
      <c r="C3392"/>
      <c r="M3392"/>
    </row>
    <row r="3393" spans="1:13" ht="12.75" customHeight="1" x14ac:dyDescent="0.25">
      <c r="A3393"/>
      <c r="B3393"/>
      <c r="C3393"/>
      <c r="M3393"/>
    </row>
    <row r="3394" spans="1:13" ht="12.75" customHeight="1" x14ac:dyDescent="0.25">
      <c r="A3394"/>
      <c r="B3394"/>
      <c r="C3394"/>
      <c r="M3394"/>
    </row>
    <row r="3395" spans="1:13" ht="12.75" customHeight="1" x14ac:dyDescent="0.25">
      <c r="A3395"/>
      <c r="B3395"/>
      <c r="C3395"/>
      <c r="M3395"/>
    </row>
    <row r="3396" spans="1:13" ht="12.75" customHeight="1" x14ac:dyDescent="0.25">
      <c r="A3396"/>
      <c r="B3396"/>
      <c r="C3396"/>
      <c r="M3396"/>
    </row>
    <row r="3397" spans="1:13" ht="12.75" customHeight="1" x14ac:dyDescent="0.25">
      <c r="A3397"/>
      <c r="B3397"/>
      <c r="C3397"/>
      <c r="M3397"/>
    </row>
    <row r="3398" spans="1:13" ht="12.75" customHeight="1" x14ac:dyDescent="0.25">
      <c r="A3398"/>
      <c r="B3398"/>
      <c r="C3398"/>
      <c r="M3398"/>
    </row>
    <row r="3399" spans="1:13" ht="12.75" customHeight="1" x14ac:dyDescent="0.25">
      <c r="A3399"/>
      <c r="B3399"/>
      <c r="C3399"/>
      <c r="M3399"/>
    </row>
    <row r="3400" spans="1:13" ht="12.75" customHeight="1" x14ac:dyDescent="0.25">
      <c r="A3400"/>
      <c r="B3400"/>
      <c r="C3400"/>
      <c r="M3400"/>
    </row>
    <row r="3401" spans="1:13" ht="12.75" customHeight="1" x14ac:dyDescent="0.25">
      <c r="A3401"/>
      <c r="B3401"/>
      <c r="C3401"/>
      <c r="M3401"/>
    </row>
    <row r="3402" spans="1:13" ht="12.75" customHeight="1" x14ac:dyDescent="0.25">
      <c r="A3402"/>
      <c r="B3402"/>
      <c r="C3402"/>
      <c r="M3402"/>
    </row>
    <row r="3403" spans="1:13" ht="12.75" customHeight="1" x14ac:dyDescent="0.25">
      <c r="A3403"/>
      <c r="B3403"/>
      <c r="C3403"/>
      <c r="M3403"/>
    </row>
    <row r="3404" spans="1:13" ht="12.75" customHeight="1" x14ac:dyDescent="0.25">
      <c r="A3404"/>
      <c r="B3404"/>
      <c r="C3404"/>
      <c r="M3404"/>
    </row>
    <row r="3405" spans="1:13" ht="12.75" customHeight="1" x14ac:dyDescent="0.25">
      <c r="A3405"/>
      <c r="B3405"/>
      <c r="C3405"/>
      <c r="M3405"/>
    </row>
    <row r="3406" spans="1:13" ht="12.75" customHeight="1" x14ac:dyDescent="0.25">
      <c r="A3406"/>
      <c r="B3406"/>
      <c r="C3406"/>
      <c r="M3406"/>
    </row>
    <row r="3407" spans="1:13" ht="12.75" customHeight="1" x14ac:dyDescent="0.25">
      <c r="A3407"/>
      <c r="B3407"/>
      <c r="C3407"/>
      <c r="M3407"/>
    </row>
    <row r="3408" spans="1:13" ht="12.75" customHeight="1" x14ac:dyDescent="0.25">
      <c r="A3408"/>
      <c r="B3408"/>
      <c r="C3408"/>
      <c r="M3408"/>
    </row>
    <row r="3409" spans="1:13" ht="12.75" customHeight="1" x14ac:dyDescent="0.25">
      <c r="A3409"/>
      <c r="B3409"/>
      <c r="C3409"/>
      <c r="M3409"/>
    </row>
    <row r="3410" spans="1:13" ht="12.75" customHeight="1" x14ac:dyDescent="0.25">
      <c r="A3410"/>
      <c r="B3410"/>
      <c r="C3410"/>
      <c r="M3410"/>
    </row>
    <row r="3411" spans="1:13" ht="12.75" customHeight="1" x14ac:dyDescent="0.25">
      <c r="A3411"/>
      <c r="B3411"/>
      <c r="C3411"/>
      <c r="M3411"/>
    </row>
    <row r="3412" spans="1:13" ht="12.75" customHeight="1" x14ac:dyDescent="0.25">
      <c r="A3412"/>
      <c r="B3412"/>
      <c r="C3412"/>
      <c r="M3412"/>
    </row>
    <row r="3413" spans="1:13" ht="12.75" customHeight="1" x14ac:dyDescent="0.25">
      <c r="A3413"/>
      <c r="B3413"/>
      <c r="C3413"/>
      <c r="M3413"/>
    </row>
    <row r="3414" spans="1:13" ht="12.75" customHeight="1" x14ac:dyDescent="0.25">
      <c r="A3414"/>
      <c r="B3414"/>
      <c r="C3414"/>
      <c r="M3414"/>
    </row>
    <row r="3415" spans="1:13" ht="12.75" customHeight="1" x14ac:dyDescent="0.25">
      <c r="A3415"/>
      <c r="B3415"/>
      <c r="C3415"/>
      <c r="M3415"/>
    </row>
    <row r="3416" spans="1:13" ht="12.75" customHeight="1" x14ac:dyDescent="0.25">
      <c r="A3416"/>
      <c r="B3416"/>
      <c r="C3416"/>
      <c r="M3416"/>
    </row>
    <row r="3417" spans="1:13" ht="12.75" customHeight="1" x14ac:dyDescent="0.25">
      <c r="A3417"/>
      <c r="B3417"/>
      <c r="C3417"/>
      <c r="M3417"/>
    </row>
    <row r="3418" spans="1:13" ht="12.75" customHeight="1" x14ac:dyDescent="0.25">
      <c r="A3418"/>
      <c r="B3418"/>
      <c r="C3418"/>
      <c r="M3418"/>
    </row>
    <row r="3419" spans="1:13" ht="12.75" customHeight="1" x14ac:dyDescent="0.25">
      <c r="A3419"/>
      <c r="B3419"/>
      <c r="C3419"/>
      <c r="M3419"/>
    </row>
    <row r="3420" spans="1:13" ht="12.75" customHeight="1" x14ac:dyDescent="0.25">
      <c r="A3420"/>
      <c r="B3420"/>
      <c r="C3420"/>
      <c r="M3420"/>
    </row>
    <row r="3421" spans="1:13" ht="12.75" customHeight="1" x14ac:dyDescent="0.25">
      <c r="A3421"/>
      <c r="B3421"/>
      <c r="C3421"/>
      <c r="M3421"/>
    </row>
    <row r="3422" spans="1:13" ht="12.75" customHeight="1" x14ac:dyDescent="0.25">
      <c r="A3422"/>
      <c r="B3422"/>
      <c r="C3422"/>
      <c r="M3422"/>
    </row>
    <row r="3423" spans="1:13" ht="12.75" customHeight="1" x14ac:dyDescent="0.25">
      <c r="A3423"/>
      <c r="B3423"/>
      <c r="C3423"/>
      <c r="M3423"/>
    </row>
    <row r="3424" spans="1:13" ht="12.75" customHeight="1" x14ac:dyDescent="0.25">
      <c r="A3424"/>
      <c r="B3424"/>
      <c r="C3424"/>
      <c r="M3424"/>
    </row>
    <row r="3425" spans="1:13" ht="12.75" customHeight="1" x14ac:dyDescent="0.25">
      <c r="A3425"/>
      <c r="B3425"/>
      <c r="C3425"/>
      <c r="M3425"/>
    </row>
    <row r="3426" spans="1:13" ht="12.75" customHeight="1" x14ac:dyDescent="0.25">
      <c r="A3426"/>
      <c r="B3426"/>
      <c r="C3426"/>
      <c r="M3426"/>
    </row>
    <row r="3427" spans="1:13" ht="12.75" customHeight="1" x14ac:dyDescent="0.25">
      <c r="A3427"/>
      <c r="B3427"/>
      <c r="C3427"/>
      <c r="M3427"/>
    </row>
    <row r="3428" spans="1:13" ht="12.75" customHeight="1" x14ac:dyDescent="0.25">
      <c r="A3428"/>
      <c r="B3428"/>
      <c r="C3428"/>
      <c r="M3428"/>
    </row>
    <row r="3429" spans="1:13" ht="12.75" customHeight="1" x14ac:dyDescent="0.25">
      <c r="A3429"/>
      <c r="B3429"/>
      <c r="C3429"/>
      <c r="M3429"/>
    </row>
    <row r="3430" spans="1:13" ht="12.75" customHeight="1" x14ac:dyDescent="0.25">
      <c r="A3430"/>
      <c r="B3430"/>
      <c r="C3430"/>
      <c r="M3430"/>
    </row>
    <row r="3431" spans="1:13" ht="12.75" customHeight="1" x14ac:dyDescent="0.25">
      <c r="A3431"/>
      <c r="B3431"/>
      <c r="C3431"/>
      <c r="M3431"/>
    </row>
    <row r="3432" spans="1:13" ht="12.75" customHeight="1" x14ac:dyDescent="0.25">
      <c r="A3432"/>
      <c r="B3432"/>
      <c r="C3432"/>
      <c r="M3432"/>
    </row>
    <row r="3433" spans="1:13" ht="12.75" customHeight="1" x14ac:dyDescent="0.25">
      <c r="A3433"/>
      <c r="B3433"/>
      <c r="C3433"/>
      <c r="M3433"/>
    </row>
    <row r="3434" spans="1:13" ht="12.75" customHeight="1" x14ac:dyDescent="0.25">
      <c r="A3434"/>
      <c r="B3434"/>
      <c r="C3434"/>
      <c r="M3434"/>
    </row>
    <row r="3435" spans="1:13" ht="12.75" customHeight="1" x14ac:dyDescent="0.25">
      <c r="A3435"/>
      <c r="B3435"/>
      <c r="C3435"/>
      <c r="M3435"/>
    </row>
    <row r="3436" spans="1:13" ht="12.75" customHeight="1" x14ac:dyDescent="0.25">
      <c r="A3436"/>
      <c r="B3436"/>
      <c r="C3436"/>
      <c r="M3436"/>
    </row>
    <row r="3437" spans="1:13" ht="12.75" customHeight="1" x14ac:dyDescent="0.25">
      <c r="A3437"/>
      <c r="B3437"/>
      <c r="C3437"/>
      <c r="M3437"/>
    </row>
    <row r="3438" spans="1:13" ht="12.75" customHeight="1" x14ac:dyDescent="0.25">
      <c r="A3438"/>
      <c r="B3438"/>
      <c r="C3438"/>
      <c r="M3438"/>
    </row>
    <row r="3439" spans="1:13" ht="12.75" customHeight="1" x14ac:dyDescent="0.25">
      <c r="A3439"/>
      <c r="B3439"/>
      <c r="C3439"/>
      <c r="M3439"/>
    </row>
    <row r="3440" spans="1:13" ht="12.75" customHeight="1" x14ac:dyDescent="0.25">
      <c r="A3440"/>
      <c r="B3440"/>
      <c r="C3440"/>
      <c r="M3440"/>
    </row>
    <row r="3441" spans="1:13" ht="12.75" customHeight="1" x14ac:dyDescent="0.25">
      <c r="A3441"/>
      <c r="B3441"/>
      <c r="C3441"/>
      <c r="M3441"/>
    </row>
    <row r="3442" spans="1:13" ht="12.75" customHeight="1" x14ac:dyDescent="0.25">
      <c r="A3442"/>
      <c r="B3442"/>
      <c r="C3442"/>
      <c r="M3442"/>
    </row>
    <row r="3443" spans="1:13" ht="12.75" customHeight="1" x14ac:dyDescent="0.25">
      <c r="A3443"/>
      <c r="B3443"/>
      <c r="C3443"/>
      <c r="M3443"/>
    </row>
    <row r="3444" spans="1:13" ht="12.75" customHeight="1" x14ac:dyDescent="0.25">
      <c r="A3444"/>
      <c r="B3444"/>
      <c r="C3444"/>
      <c r="M3444"/>
    </row>
    <row r="3445" spans="1:13" ht="12.75" customHeight="1" x14ac:dyDescent="0.25">
      <c r="A3445"/>
      <c r="B3445"/>
      <c r="C3445"/>
      <c r="M3445"/>
    </row>
    <row r="3446" spans="1:13" ht="12.75" customHeight="1" x14ac:dyDescent="0.25">
      <c r="A3446"/>
      <c r="B3446"/>
      <c r="C3446"/>
      <c r="M3446"/>
    </row>
    <row r="3447" spans="1:13" ht="12.75" customHeight="1" x14ac:dyDescent="0.25">
      <c r="A3447"/>
      <c r="B3447"/>
      <c r="C3447"/>
      <c r="M3447"/>
    </row>
    <row r="3448" spans="1:13" ht="12.75" customHeight="1" x14ac:dyDescent="0.25">
      <c r="A3448"/>
      <c r="B3448"/>
      <c r="C3448"/>
      <c r="M3448"/>
    </row>
    <row r="3449" spans="1:13" ht="12.75" customHeight="1" x14ac:dyDescent="0.25">
      <c r="A3449"/>
      <c r="B3449"/>
      <c r="C3449"/>
      <c r="M3449"/>
    </row>
    <row r="3450" spans="1:13" ht="12.75" customHeight="1" x14ac:dyDescent="0.25">
      <c r="A3450"/>
      <c r="B3450"/>
      <c r="C3450"/>
      <c r="M3450"/>
    </row>
    <row r="3451" spans="1:13" ht="12.75" customHeight="1" x14ac:dyDescent="0.25">
      <c r="A3451"/>
      <c r="B3451"/>
      <c r="C3451"/>
      <c r="M3451"/>
    </row>
    <row r="3452" spans="1:13" ht="12.75" customHeight="1" x14ac:dyDescent="0.25">
      <c r="A3452"/>
      <c r="B3452"/>
      <c r="C3452"/>
      <c r="M3452"/>
    </row>
    <row r="3453" spans="1:13" ht="12.75" customHeight="1" x14ac:dyDescent="0.25">
      <c r="A3453"/>
      <c r="B3453"/>
      <c r="C3453"/>
      <c r="M3453"/>
    </row>
    <row r="3454" spans="1:13" ht="12.75" customHeight="1" x14ac:dyDescent="0.25">
      <c r="A3454"/>
      <c r="B3454"/>
      <c r="C3454"/>
      <c r="M3454"/>
    </row>
    <row r="3455" spans="1:13" ht="12.75" customHeight="1" x14ac:dyDescent="0.25">
      <c r="A3455"/>
      <c r="B3455"/>
      <c r="C3455"/>
      <c r="M3455"/>
    </row>
    <row r="3456" spans="1:13" ht="12.75" customHeight="1" x14ac:dyDescent="0.25">
      <c r="A3456"/>
      <c r="B3456"/>
      <c r="C3456"/>
      <c r="M3456"/>
    </row>
    <row r="3457" spans="1:13" ht="12.75" customHeight="1" x14ac:dyDescent="0.25">
      <c r="A3457"/>
      <c r="B3457"/>
      <c r="C3457"/>
      <c r="M3457"/>
    </row>
    <row r="3458" spans="1:13" ht="12.75" customHeight="1" x14ac:dyDescent="0.25">
      <c r="A3458"/>
      <c r="B3458"/>
      <c r="C3458"/>
      <c r="M3458"/>
    </row>
    <row r="3459" spans="1:13" ht="12.75" customHeight="1" x14ac:dyDescent="0.25">
      <c r="A3459"/>
      <c r="B3459"/>
      <c r="C3459"/>
      <c r="M3459"/>
    </row>
    <row r="3460" spans="1:13" ht="12.75" customHeight="1" x14ac:dyDescent="0.25">
      <c r="A3460"/>
      <c r="B3460"/>
      <c r="C3460"/>
      <c r="M3460"/>
    </row>
    <row r="3461" spans="1:13" ht="12.75" customHeight="1" x14ac:dyDescent="0.25">
      <c r="A3461"/>
      <c r="B3461"/>
      <c r="C3461"/>
      <c r="M3461"/>
    </row>
    <row r="3462" spans="1:13" ht="12.75" customHeight="1" x14ac:dyDescent="0.25">
      <c r="A3462"/>
      <c r="B3462"/>
      <c r="C3462"/>
      <c r="M3462"/>
    </row>
    <row r="3463" spans="1:13" ht="12.75" customHeight="1" x14ac:dyDescent="0.25">
      <c r="A3463"/>
      <c r="B3463"/>
      <c r="C3463"/>
      <c r="M3463"/>
    </row>
    <row r="3464" spans="1:13" ht="12.75" customHeight="1" x14ac:dyDescent="0.25">
      <c r="A3464"/>
      <c r="B3464"/>
      <c r="C3464"/>
      <c r="M3464"/>
    </row>
    <row r="3465" spans="1:13" ht="12.75" customHeight="1" x14ac:dyDescent="0.25">
      <c r="A3465"/>
      <c r="B3465"/>
      <c r="C3465"/>
      <c r="M3465"/>
    </row>
    <row r="3466" spans="1:13" ht="12.75" customHeight="1" x14ac:dyDescent="0.25">
      <c r="A3466"/>
      <c r="B3466"/>
      <c r="C3466"/>
      <c r="M3466"/>
    </row>
    <row r="3467" spans="1:13" ht="12.75" customHeight="1" x14ac:dyDescent="0.25">
      <c r="A3467"/>
      <c r="B3467"/>
      <c r="C3467"/>
      <c r="M3467"/>
    </row>
    <row r="3468" spans="1:13" ht="12.75" customHeight="1" x14ac:dyDescent="0.25">
      <c r="A3468"/>
      <c r="B3468"/>
      <c r="C3468"/>
      <c r="M3468"/>
    </row>
    <row r="3469" spans="1:13" ht="12.75" customHeight="1" x14ac:dyDescent="0.25">
      <c r="A3469"/>
      <c r="B3469"/>
      <c r="C3469"/>
      <c r="M3469"/>
    </row>
    <row r="3470" spans="1:13" ht="12.75" customHeight="1" x14ac:dyDescent="0.25">
      <c r="A3470"/>
      <c r="B3470"/>
      <c r="C3470"/>
      <c r="M3470"/>
    </row>
    <row r="3471" spans="1:13" ht="12.75" customHeight="1" x14ac:dyDescent="0.25">
      <c r="A3471"/>
      <c r="B3471"/>
      <c r="C3471"/>
      <c r="M3471"/>
    </row>
    <row r="3472" spans="1:13" ht="12.75" customHeight="1" x14ac:dyDescent="0.25">
      <c r="A3472"/>
      <c r="B3472"/>
      <c r="C3472"/>
      <c r="M3472"/>
    </row>
    <row r="3473" spans="1:13" ht="12.75" customHeight="1" x14ac:dyDescent="0.25">
      <c r="A3473"/>
      <c r="B3473"/>
      <c r="C3473"/>
      <c r="M3473"/>
    </row>
    <row r="3474" spans="1:13" ht="12.75" customHeight="1" x14ac:dyDescent="0.25">
      <c r="A3474"/>
      <c r="B3474"/>
      <c r="C3474"/>
      <c r="M3474"/>
    </row>
    <row r="3475" spans="1:13" ht="12.75" customHeight="1" x14ac:dyDescent="0.25">
      <c r="A3475"/>
      <c r="B3475"/>
      <c r="C3475"/>
      <c r="M3475"/>
    </row>
    <row r="3476" spans="1:13" ht="12.75" customHeight="1" x14ac:dyDescent="0.25">
      <c r="A3476"/>
      <c r="B3476"/>
      <c r="C3476"/>
      <c r="M3476"/>
    </row>
    <row r="3477" spans="1:13" ht="12.75" customHeight="1" x14ac:dyDescent="0.25">
      <c r="A3477"/>
      <c r="B3477"/>
      <c r="C3477"/>
      <c r="M3477"/>
    </row>
    <row r="3478" spans="1:13" ht="12.75" customHeight="1" x14ac:dyDescent="0.25">
      <c r="A3478"/>
      <c r="B3478"/>
      <c r="C3478"/>
      <c r="M3478"/>
    </row>
    <row r="3479" spans="1:13" ht="12.75" customHeight="1" x14ac:dyDescent="0.25">
      <c r="A3479"/>
      <c r="B3479"/>
      <c r="C3479"/>
      <c r="M3479"/>
    </row>
    <row r="3480" spans="1:13" ht="12.75" customHeight="1" x14ac:dyDescent="0.25">
      <c r="A3480"/>
      <c r="B3480"/>
      <c r="C3480"/>
      <c r="M3480"/>
    </row>
    <row r="3481" spans="1:13" ht="12.75" customHeight="1" x14ac:dyDescent="0.25">
      <c r="A3481"/>
      <c r="B3481"/>
      <c r="C3481"/>
      <c r="M3481"/>
    </row>
    <row r="3482" spans="1:13" ht="12.75" customHeight="1" x14ac:dyDescent="0.25">
      <c r="A3482"/>
      <c r="B3482"/>
      <c r="C3482"/>
      <c r="M3482"/>
    </row>
    <row r="3483" spans="1:13" ht="12.75" customHeight="1" x14ac:dyDescent="0.25">
      <c r="A3483"/>
      <c r="B3483"/>
      <c r="C3483"/>
      <c r="M3483"/>
    </row>
    <row r="3484" spans="1:13" ht="12.75" customHeight="1" x14ac:dyDescent="0.25">
      <c r="A3484"/>
      <c r="B3484"/>
      <c r="C3484"/>
      <c r="M3484"/>
    </row>
    <row r="3485" spans="1:13" ht="12.75" customHeight="1" x14ac:dyDescent="0.25">
      <c r="A3485"/>
      <c r="B3485"/>
      <c r="C3485"/>
      <c r="M3485"/>
    </row>
    <row r="3486" spans="1:13" ht="12.75" customHeight="1" x14ac:dyDescent="0.25">
      <c r="A3486"/>
      <c r="B3486"/>
      <c r="C3486"/>
      <c r="M3486"/>
    </row>
    <row r="3487" spans="1:13" ht="12.75" customHeight="1" x14ac:dyDescent="0.25">
      <c r="A3487"/>
      <c r="B3487"/>
      <c r="C3487"/>
      <c r="M3487"/>
    </row>
    <row r="3488" spans="1:13" ht="12.75" customHeight="1" x14ac:dyDescent="0.25">
      <c r="A3488"/>
      <c r="B3488"/>
      <c r="C3488"/>
      <c r="M3488"/>
    </row>
    <row r="3489" spans="1:13" ht="12.75" customHeight="1" x14ac:dyDescent="0.25">
      <c r="A3489"/>
      <c r="B3489"/>
      <c r="C3489"/>
      <c r="M3489"/>
    </row>
    <row r="3490" spans="1:13" ht="12.75" customHeight="1" x14ac:dyDescent="0.25">
      <c r="A3490"/>
      <c r="B3490"/>
      <c r="C3490"/>
      <c r="M3490"/>
    </row>
    <row r="3491" spans="1:13" ht="12.75" customHeight="1" x14ac:dyDescent="0.25">
      <c r="A3491"/>
      <c r="B3491"/>
      <c r="C3491"/>
      <c r="M3491"/>
    </row>
    <row r="3492" spans="1:13" ht="12.75" customHeight="1" x14ac:dyDescent="0.25">
      <c r="A3492"/>
      <c r="B3492"/>
      <c r="C3492"/>
      <c r="M3492"/>
    </row>
    <row r="3493" spans="1:13" ht="12.75" customHeight="1" x14ac:dyDescent="0.25">
      <c r="A3493"/>
      <c r="B3493"/>
      <c r="C3493"/>
      <c r="M3493"/>
    </row>
    <row r="3494" spans="1:13" ht="12.75" customHeight="1" x14ac:dyDescent="0.25">
      <c r="A3494"/>
      <c r="B3494"/>
      <c r="C3494"/>
      <c r="M3494"/>
    </row>
    <row r="3495" spans="1:13" ht="12.75" customHeight="1" x14ac:dyDescent="0.25">
      <c r="A3495"/>
      <c r="B3495"/>
      <c r="C3495"/>
      <c r="M3495"/>
    </row>
    <row r="3496" spans="1:13" ht="12.75" customHeight="1" x14ac:dyDescent="0.25">
      <c r="A3496"/>
      <c r="B3496"/>
      <c r="C3496"/>
      <c r="M3496"/>
    </row>
    <row r="3497" spans="1:13" ht="12.75" customHeight="1" x14ac:dyDescent="0.25">
      <c r="A3497"/>
      <c r="B3497"/>
      <c r="C3497"/>
      <c r="M3497"/>
    </row>
    <row r="3498" spans="1:13" ht="12.75" customHeight="1" x14ac:dyDescent="0.25">
      <c r="A3498"/>
      <c r="B3498"/>
      <c r="C3498"/>
      <c r="M3498"/>
    </row>
    <row r="3499" spans="1:13" ht="12.75" customHeight="1" x14ac:dyDescent="0.25">
      <c r="A3499"/>
      <c r="B3499"/>
      <c r="C3499"/>
      <c r="M3499"/>
    </row>
    <row r="3500" spans="1:13" ht="12.75" customHeight="1" x14ac:dyDescent="0.25">
      <c r="A3500"/>
      <c r="B3500"/>
      <c r="C3500"/>
      <c r="M3500"/>
    </row>
    <row r="3501" spans="1:13" ht="12.75" customHeight="1" x14ac:dyDescent="0.25">
      <c r="A3501"/>
      <c r="B3501"/>
      <c r="C3501"/>
      <c r="M3501"/>
    </row>
    <row r="3502" spans="1:13" ht="12.75" customHeight="1" x14ac:dyDescent="0.25">
      <c r="A3502"/>
      <c r="B3502"/>
      <c r="C3502"/>
      <c r="M3502"/>
    </row>
    <row r="3503" spans="1:13" ht="12.75" customHeight="1" x14ac:dyDescent="0.25">
      <c r="A3503"/>
      <c r="B3503"/>
      <c r="C3503"/>
      <c r="M3503"/>
    </row>
    <row r="3504" spans="1:13" ht="12.75" customHeight="1" x14ac:dyDescent="0.25">
      <c r="A3504"/>
      <c r="B3504"/>
      <c r="C3504"/>
      <c r="M3504"/>
    </row>
    <row r="3505" spans="1:13" ht="12.75" customHeight="1" x14ac:dyDescent="0.25">
      <c r="A3505"/>
      <c r="B3505"/>
      <c r="C3505"/>
      <c r="M3505"/>
    </row>
    <row r="3506" spans="1:13" ht="12.75" customHeight="1" x14ac:dyDescent="0.25">
      <c r="A3506"/>
      <c r="B3506"/>
      <c r="C3506"/>
      <c r="M3506"/>
    </row>
    <row r="3507" spans="1:13" ht="12.75" customHeight="1" x14ac:dyDescent="0.25">
      <c r="A3507"/>
      <c r="B3507"/>
      <c r="C3507"/>
      <c r="M3507"/>
    </row>
    <row r="3508" spans="1:13" ht="12.75" customHeight="1" x14ac:dyDescent="0.25">
      <c r="A3508"/>
      <c r="B3508"/>
      <c r="C3508"/>
      <c r="M3508"/>
    </row>
    <row r="3509" spans="1:13" ht="12.75" customHeight="1" x14ac:dyDescent="0.25">
      <c r="A3509"/>
      <c r="B3509"/>
      <c r="C3509"/>
      <c r="M3509"/>
    </row>
    <row r="3510" spans="1:13" ht="12.75" customHeight="1" x14ac:dyDescent="0.25">
      <c r="A3510"/>
      <c r="B3510"/>
      <c r="C3510"/>
      <c r="M3510"/>
    </row>
    <row r="3511" spans="1:13" ht="12.75" customHeight="1" x14ac:dyDescent="0.25">
      <c r="A3511"/>
      <c r="B3511"/>
      <c r="C3511"/>
      <c r="M3511"/>
    </row>
    <row r="3512" spans="1:13" ht="12.75" customHeight="1" x14ac:dyDescent="0.25">
      <c r="A3512"/>
      <c r="B3512"/>
      <c r="C3512"/>
      <c r="M3512"/>
    </row>
    <row r="3513" spans="1:13" ht="12.75" customHeight="1" x14ac:dyDescent="0.25">
      <c r="A3513"/>
      <c r="B3513"/>
      <c r="C3513"/>
      <c r="M3513"/>
    </row>
    <row r="3514" spans="1:13" ht="12.75" customHeight="1" x14ac:dyDescent="0.25">
      <c r="A3514"/>
      <c r="B3514"/>
      <c r="C3514"/>
      <c r="M3514"/>
    </row>
    <row r="3515" spans="1:13" ht="12.75" customHeight="1" x14ac:dyDescent="0.25">
      <c r="A3515"/>
      <c r="B3515"/>
      <c r="C3515"/>
      <c r="M3515"/>
    </row>
    <row r="3516" spans="1:13" ht="12.75" customHeight="1" x14ac:dyDescent="0.25">
      <c r="A3516"/>
      <c r="B3516"/>
      <c r="C3516"/>
      <c r="M3516"/>
    </row>
    <row r="3517" spans="1:13" ht="12.75" customHeight="1" x14ac:dyDescent="0.25">
      <c r="A3517"/>
      <c r="B3517"/>
      <c r="C3517"/>
      <c r="M3517"/>
    </row>
    <row r="3518" spans="1:13" ht="12.75" customHeight="1" x14ac:dyDescent="0.25">
      <c r="A3518"/>
      <c r="B3518"/>
      <c r="C3518"/>
      <c r="M3518"/>
    </row>
    <row r="3519" spans="1:13" ht="12.75" customHeight="1" x14ac:dyDescent="0.25">
      <c r="A3519"/>
      <c r="B3519"/>
      <c r="C3519"/>
      <c r="M3519"/>
    </row>
    <row r="3520" spans="1:13" ht="12.75" customHeight="1" x14ac:dyDescent="0.25">
      <c r="A3520"/>
      <c r="B3520"/>
      <c r="C3520"/>
      <c r="M3520"/>
    </row>
    <row r="3521" spans="1:13" ht="12.75" customHeight="1" x14ac:dyDescent="0.25">
      <c r="A3521"/>
      <c r="B3521"/>
      <c r="C3521"/>
      <c r="M3521"/>
    </row>
    <row r="3522" spans="1:13" ht="12.75" customHeight="1" x14ac:dyDescent="0.25">
      <c r="A3522"/>
      <c r="B3522"/>
      <c r="C3522"/>
      <c r="M3522"/>
    </row>
    <row r="3523" spans="1:13" ht="12.75" customHeight="1" x14ac:dyDescent="0.25">
      <c r="A3523"/>
      <c r="B3523"/>
      <c r="C3523"/>
      <c r="M3523"/>
    </row>
    <row r="3524" spans="1:13" ht="12.75" customHeight="1" x14ac:dyDescent="0.25">
      <c r="A3524"/>
      <c r="B3524"/>
      <c r="C3524"/>
      <c r="M3524"/>
    </row>
    <row r="3525" spans="1:13" ht="12.75" customHeight="1" x14ac:dyDescent="0.25">
      <c r="A3525"/>
      <c r="B3525"/>
      <c r="C3525"/>
      <c r="M3525"/>
    </row>
    <row r="3526" spans="1:13" ht="12.75" customHeight="1" x14ac:dyDescent="0.25">
      <c r="A3526"/>
      <c r="B3526"/>
      <c r="C3526"/>
      <c r="M3526"/>
    </row>
    <row r="3527" spans="1:13" ht="12.75" customHeight="1" x14ac:dyDescent="0.25">
      <c r="A3527"/>
      <c r="B3527"/>
      <c r="C3527"/>
      <c r="M3527"/>
    </row>
    <row r="3528" spans="1:13" ht="12.75" customHeight="1" x14ac:dyDescent="0.25">
      <c r="A3528"/>
      <c r="B3528"/>
      <c r="C3528"/>
      <c r="M3528"/>
    </row>
    <row r="3529" spans="1:13" ht="12.75" customHeight="1" x14ac:dyDescent="0.25">
      <c r="A3529"/>
      <c r="B3529"/>
      <c r="C3529"/>
      <c r="M3529"/>
    </row>
    <row r="3530" spans="1:13" ht="12.75" customHeight="1" x14ac:dyDescent="0.25">
      <c r="A3530"/>
      <c r="B3530"/>
      <c r="C3530"/>
      <c r="M3530"/>
    </row>
    <row r="3531" spans="1:13" ht="12.75" customHeight="1" x14ac:dyDescent="0.25">
      <c r="A3531"/>
      <c r="B3531"/>
      <c r="C3531"/>
      <c r="M3531"/>
    </row>
    <row r="3532" spans="1:13" ht="12.75" customHeight="1" x14ac:dyDescent="0.25">
      <c r="A3532"/>
      <c r="B3532"/>
      <c r="C3532"/>
      <c r="M3532"/>
    </row>
    <row r="3533" spans="1:13" ht="12.75" customHeight="1" x14ac:dyDescent="0.25">
      <c r="A3533"/>
      <c r="B3533"/>
      <c r="C3533"/>
      <c r="M3533"/>
    </row>
    <row r="3534" spans="1:13" ht="12.75" customHeight="1" x14ac:dyDescent="0.25">
      <c r="A3534"/>
      <c r="B3534"/>
      <c r="C3534"/>
      <c r="M3534"/>
    </row>
    <row r="3535" spans="1:13" ht="12.75" customHeight="1" x14ac:dyDescent="0.25">
      <c r="A3535"/>
      <c r="B3535"/>
      <c r="C3535"/>
      <c r="M3535"/>
    </row>
    <row r="3536" spans="1:13" ht="12.75" customHeight="1" x14ac:dyDescent="0.25">
      <c r="A3536"/>
      <c r="B3536"/>
      <c r="C3536"/>
      <c r="M3536"/>
    </row>
    <row r="3537" spans="1:13" ht="12.75" customHeight="1" x14ac:dyDescent="0.25">
      <c r="A3537"/>
      <c r="B3537"/>
      <c r="C3537"/>
      <c r="M3537"/>
    </row>
    <row r="3538" spans="1:13" ht="12.75" customHeight="1" x14ac:dyDescent="0.25">
      <c r="A3538"/>
      <c r="B3538"/>
      <c r="C3538"/>
      <c r="M3538"/>
    </row>
    <row r="3539" spans="1:13" ht="12.75" customHeight="1" x14ac:dyDescent="0.25">
      <c r="A3539"/>
      <c r="B3539"/>
      <c r="C3539"/>
      <c r="M3539"/>
    </row>
    <row r="3540" spans="1:13" ht="12.75" customHeight="1" x14ac:dyDescent="0.25">
      <c r="A3540"/>
      <c r="B3540"/>
      <c r="C3540"/>
      <c r="M3540"/>
    </row>
    <row r="3541" spans="1:13" ht="12.75" customHeight="1" x14ac:dyDescent="0.25">
      <c r="A3541"/>
      <c r="B3541"/>
      <c r="C3541"/>
      <c r="M3541"/>
    </row>
    <row r="3542" spans="1:13" ht="12.75" customHeight="1" x14ac:dyDescent="0.25">
      <c r="A3542"/>
      <c r="B3542"/>
      <c r="C3542"/>
      <c r="M3542"/>
    </row>
    <row r="3543" spans="1:13" ht="12.75" customHeight="1" x14ac:dyDescent="0.25">
      <c r="A3543"/>
      <c r="B3543"/>
      <c r="C3543"/>
      <c r="M3543"/>
    </row>
    <row r="3544" spans="1:13" ht="12.75" customHeight="1" x14ac:dyDescent="0.25">
      <c r="A3544"/>
      <c r="B3544"/>
      <c r="C3544"/>
      <c r="M3544"/>
    </row>
    <row r="3545" spans="1:13" ht="12.75" customHeight="1" x14ac:dyDescent="0.25">
      <c r="A3545"/>
      <c r="B3545"/>
      <c r="C3545"/>
      <c r="M3545"/>
    </row>
    <row r="3546" spans="1:13" ht="12.75" customHeight="1" x14ac:dyDescent="0.25">
      <c r="A3546"/>
      <c r="B3546"/>
      <c r="C3546"/>
      <c r="M3546"/>
    </row>
    <row r="3547" spans="1:13" ht="12.75" customHeight="1" x14ac:dyDescent="0.25">
      <c r="A3547"/>
      <c r="B3547"/>
      <c r="C3547"/>
      <c r="M3547"/>
    </row>
    <row r="3548" spans="1:13" ht="12.75" customHeight="1" x14ac:dyDescent="0.25">
      <c r="A3548"/>
      <c r="B3548"/>
      <c r="C3548"/>
      <c r="M3548"/>
    </row>
    <row r="3549" spans="1:13" ht="12.75" customHeight="1" x14ac:dyDescent="0.25">
      <c r="A3549"/>
      <c r="B3549"/>
      <c r="C3549"/>
      <c r="M3549"/>
    </row>
    <row r="3550" spans="1:13" ht="12.75" customHeight="1" x14ac:dyDescent="0.25">
      <c r="A3550"/>
      <c r="B3550"/>
      <c r="C3550"/>
      <c r="M3550"/>
    </row>
    <row r="3551" spans="1:13" ht="12.75" customHeight="1" x14ac:dyDescent="0.25">
      <c r="A3551"/>
      <c r="B3551"/>
      <c r="C3551"/>
      <c r="M3551"/>
    </row>
    <row r="3552" spans="1:13" ht="12.75" customHeight="1" x14ac:dyDescent="0.25">
      <c r="A3552"/>
      <c r="B3552"/>
      <c r="C3552"/>
      <c r="M3552"/>
    </row>
    <row r="3553" spans="1:13" ht="12.75" customHeight="1" x14ac:dyDescent="0.25">
      <c r="A3553"/>
      <c r="B3553"/>
      <c r="C3553"/>
      <c r="M3553"/>
    </row>
    <row r="3554" spans="1:13" ht="12.75" customHeight="1" x14ac:dyDescent="0.25">
      <c r="A3554"/>
      <c r="B3554"/>
      <c r="C3554"/>
      <c r="M3554"/>
    </row>
    <row r="3555" spans="1:13" ht="12.75" customHeight="1" x14ac:dyDescent="0.25">
      <c r="A3555"/>
      <c r="B3555"/>
      <c r="C3555"/>
      <c r="M3555"/>
    </row>
    <row r="3556" spans="1:13" ht="12.75" customHeight="1" x14ac:dyDescent="0.25">
      <c r="A3556"/>
      <c r="B3556"/>
      <c r="C3556"/>
      <c r="M3556"/>
    </row>
    <row r="3557" spans="1:13" ht="12.75" customHeight="1" x14ac:dyDescent="0.25">
      <c r="A3557"/>
      <c r="B3557"/>
      <c r="C3557"/>
      <c r="M3557"/>
    </row>
    <row r="3558" spans="1:13" ht="12.75" customHeight="1" x14ac:dyDescent="0.25">
      <c r="A3558"/>
      <c r="B3558"/>
      <c r="C3558"/>
      <c r="M3558"/>
    </row>
    <row r="3559" spans="1:13" ht="12.75" customHeight="1" x14ac:dyDescent="0.25">
      <c r="A3559"/>
      <c r="B3559"/>
      <c r="C3559"/>
      <c r="M3559"/>
    </row>
    <row r="3560" spans="1:13" ht="12.75" customHeight="1" x14ac:dyDescent="0.25">
      <c r="A3560"/>
      <c r="B3560"/>
      <c r="C3560"/>
      <c r="M3560"/>
    </row>
    <row r="3561" spans="1:13" ht="12.75" customHeight="1" x14ac:dyDescent="0.25">
      <c r="A3561"/>
      <c r="B3561"/>
      <c r="C3561"/>
      <c r="M3561"/>
    </row>
    <row r="3562" spans="1:13" ht="12.75" customHeight="1" x14ac:dyDescent="0.25">
      <c r="A3562"/>
      <c r="B3562"/>
      <c r="C3562"/>
      <c r="M3562"/>
    </row>
    <row r="3563" spans="1:13" ht="12.75" customHeight="1" x14ac:dyDescent="0.25">
      <c r="A3563"/>
      <c r="B3563"/>
      <c r="C3563"/>
      <c r="M3563"/>
    </row>
    <row r="3564" spans="1:13" ht="12.75" customHeight="1" x14ac:dyDescent="0.25">
      <c r="A3564"/>
      <c r="B3564"/>
      <c r="C3564"/>
      <c r="M3564"/>
    </row>
    <row r="3565" spans="1:13" ht="12.75" customHeight="1" x14ac:dyDescent="0.25">
      <c r="A3565"/>
      <c r="B3565"/>
      <c r="C3565"/>
      <c r="M3565"/>
    </row>
    <row r="3566" spans="1:13" ht="12.75" customHeight="1" x14ac:dyDescent="0.25">
      <c r="A3566"/>
      <c r="B3566"/>
      <c r="C3566"/>
      <c r="M3566"/>
    </row>
    <row r="3567" spans="1:13" ht="12.75" customHeight="1" x14ac:dyDescent="0.25">
      <c r="A3567"/>
      <c r="B3567"/>
      <c r="C3567"/>
      <c r="M3567"/>
    </row>
    <row r="3568" spans="1:13" ht="12.75" customHeight="1" x14ac:dyDescent="0.25">
      <c r="A3568"/>
      <c r="B3568"/>
      <c r="C3568"/>
      <c r="M3568"/>
    </row>
    <row r="3569" spans="1:13" ht="12.75" customHeight="1" x14ac:dyDescent="0.25">
      <c r="A3569"/>
      <c r="B3569"/>
      <c r="C3569"/>
      <c r="M3569"/>
    </row>
    <row r="3570" spans="1:13" ht="12.75" customHeight="1" x14ac:dyDescent="0.25">
      <c r="A3570"/>
      <c r="B3570"/>
      <c r="C3570"/>
      <c r="M3570"/>
    </row>
    <row r="3571" spans="1:13" ht="12.75" customHeight="1" x14ac:dyDescent="0.25">
      <c r="A3571"/>
      <c r="B3571"/>
      <c r="C3571"/>
      <c r="M3571"/>
    </row>
    <row r="3572" spans="1:13" ht="12.75" customHeight="1" x14ac:dyDescent="0.25">
      <c r="A3572"/>
      <c r="B3572"/>
      <c r="C3572"/>
      <c r="M3572"/>
    </row>
    <row r="3573" spans="1:13" ht="12.75" customHeight="1" x14ac:dyDescent="0.25">
      <c r="A3573"/>
      <c r="B3573"/>
      <c r="C3573"/>
      <c r="M3573"/>
    </row>
    <row r="3574" spans="1:13" ht="12.75" customHeight="1" x14ac:dyDescent="0.25">
      <c r="A3574"/>
      <c r="B3574"/>
      <c r="C3574"/>
      <c r="M3574"/>
    </row>
    <row r="3575" spans="1:13" ht="12.75" customHeight="1" x14ac:dyDescent="0.25">
      <c r="A3575"/>
      <c r="B3575"/>
      <c r="C3575"/>
      <c r="M3575"/>
    </row>
    <row r="3576" spans="1:13" ht="12.75" customHeight="1" x14ac:dyDescent="0.25">
      <c r="A3576"/>
      <c r="B3576"/>
      <c r="C3576"/>
      <c r="M3576"/>
    </row>
    <row r="3577" spans="1:13" ht="12.75" customHeight="1" x14ac:dyDescent="0.25">
      <c r="A3577"/>
      <c r="B3577"/>
      <c r="C3577"/>
      <c r="M3577"/>
    </row>
    <row r="3578" spans="1:13" ht="12.75" customHeight="1" x14ac:dyDescent="0.25">
      <c r="A3578"/>
      <c r="B3578"/>
      <c r="C3578"/>
      <c r="M3578"/>
    </row>
    <row r="3579" spans="1:13" ht="12.75" customHeight="1" x14ac:dyDescent="0.25">
      <c r="A3579"/>
      <c r="B3579"/>
      <c r="C3579"/>
      <c r="M3579"/>
    </row>
    <row r="3580" spans="1:13" ht="12.75" customHeight="1" x14ac:dyDescent="0.25">
      <c r="A3580"/>
      <c r="B3580"/>
      <c r="C3580"/>
      <c r="M3580"/>
    </row>
    <row r="3581" spans="1:13" ht="12.75" customHeight="1" x14ac:dyDescent="0.25">
      <c r="A3581"/>
      <c r="B3581"/>
      <c r="C3581"/>
      <c r="M3581"/>
    </row>
    <row r="3582" spans="1:13" ht="12.75" customHeight="1" x14ac:dyDescent="0.25">
      <c r="A3582"/>
      <c r="B3582"/>
      <c r="C3582"/>
      <c r="M3582"/>
    </row>
    <row r="3583" spans="1:13" ht="12.75" customHeight="1" x14ac:dyDescent="0.25">
      <c r="A3583"/>
      <c r="B3583"/>
      <c r="C3583"/>
      <c r="M3583"/>
    </row>
    <row r="3584" spans="1:13" ht="12.75" customHeight="1" x14ac:dyDescent="0.25">
      <c r="A3584"/>
      <c r="B3584"/>
      <c r="C3584"/>
      <c r="M3584"/>
    </row>
    <row r="3585" spans="1:13" ht="12.75" customHeight="1" x14ac:dyDescent="0.25">
      <c r="A3585"/>
      <c r="B3585"/>
      <c r="C3585"/>
      <c r="M3585"/>
    </row>
    <row r="3586" spans="1:13" ht="12.75" customHeight="1" x14ac:dyDescent="0.25">
      <c r="A3586"/>
      <c r="B3586"/>
      <c r="C3586"/>
      <c r="M3586"/>
    </row>
    <row r="3587" spans="1:13" ht="12.75" customHeight="1" x14ac:dyDescent="0.25">
      <c r="A3587"/>
      <c r="B3587"/>
      <c r="C3587"/>
      <c r="M3587"/>
    </row>
    <row r="3588" spans="1:13" ht="12.75" customHeight="1" x14ac:dyDescent="0.25">
      <c r="A3588"/>
      <c r="B3588"/>
      <c r="C3588"/>
      <c r="M3588"/>
    </row>
    <row r="3589" spans="1:13" ht="12.75" customHeight="1" x14ac:dyDescent="0.25">
      <c r="A3589"/>
      <c r="B3589"/>
      <c r="C3589"/>
      <c r="M3589"/>
    </row>
    <row r="3590" spans="1:13" ht="12.75" customHeight="1" x14ac:dyDescent="0.25">
      <c r="A3590"/>
      <c r="B3590"/>
      <c r="C3590"/>
      <c r="M3590"/>
    </row>
    <row r="3591" spans="1:13" ht="12.75" customHeight="1" x14ac:dyDescent="0.25">
      <c r="A3591"/>
      <c r="B3591"/>
      <c r="C3591"/>
      <c r="M3591"/>
    </row>
    <row r="3592" spans="1:13" ht="12.75" customHeight="1" x14ac:dyDescent="0.25">
      <c r="A3592"/>
      <c r="B3592"/>
      <c r="C3592"/>
      <c r="M3592"/>
    </row>
    <row r="3593" spans="1:13" ht="12.75" customHeight="1" x14ac:dyDescent="0.25">
      <c r="A3593"/>
      <c r="B3593"/>
      <c r="C3593"/>
      <c r="M3593"/>
    </row>
    <row r="3594" spans="1:13" ht="12.75" customHeight="1" x14ac:dyDescent="0.25">
      <c r="A3594"/>
      <c r="B3594"/>
      <c r="C3594"/>
      <c r="M3594"/>
    </row>
    <row r="3595" spans="1:13" ht="12.75" customHeight="1" x14ac:dyDescent="0.25">
      <c r="A3595"/>
      <c r="B3595"/>
      <c r="C3595"/>
      <c r="M3595"/>
    </row>
    <row r="3596" spans="1:13" ht="12.75" customHeight="1" x14ac:dyDescent="0.25">
      <c r="A3596"/>
      <c r="B3596"/>
      <c r="C3596"/>
      <c r="M3596"/>
    </row>
    <row r="3597" spans="1:13" ht="12.75" customHeight="1" x14ac:dyDescent="0.25">
      <c r="A3597"/>
      <c r="B3597"/>
      <c r="C3597"/>
      <c r="M3597"/>
    </row>
    <row r="3598" spans="1:13" ht="12.75" customHeight="1" x14ac:dyDescent="0.25">
      <c r="A3598"/>
      <c r="B3598"/>
      <c r="C3598"/>
      <c r="M3598"/>
    </row>
    <row r="3599" spans="1:13" ht="12.75" customHeight="1" x14ac:dyDescent="0.25">
      <c r="A3599"/>
      <c r="B3599"/>
      <c r="C3599"/>
      <c r="M3599"/>
    </row>
    <row r="3600" spans="1:13" ht="12.75" customHeight="1" x14ac:dyDescent="0.25">
      <c r="A3600"/>
      <c r="B3600"/>
      <c r="C3600"/>
      <c r="M3600"/>
    </row>
    <row r="3601" spans="1:13" ht="12.75" customHeight="1" x14ac:dyDescent="0.25">
      <c r="A3601"/>
      <c r="B3601"/>
      <c r="C3601"/>
      <c r="M3601"/>
    </row>
    <row r="3602" spans="1:13" ht="12.75" customHeight="1" x14ac:dyDescent="0.25">
      <c r="A3602"/>
      <c r="B3602"/>
      <c r="C3602"/>
      <c r="M3602"/>
    </row>
    <row r="3603" spans="1:13" ht="12.75" customHeight="1" x14ac:dyDescent="0.25">
      <c r="A3603"/>
      <c r="B3603"/>
      <c r="C3603"/>
      <c r="M3603"/>
    </row>
    <row r="3604" spans="1:13" ht="12.75" customHeight="1" x14ac:dyDescent="0.25">
      <c r="A3604"/>
      <c r="B3604"/>
      <c r="C3604"/>
      <c r="M3604"/>
    </row>
    <row r="3605" spans="1:13" ht="12.75" customHeight="1" x14ac:dyDescent="0.25">
      <c r="A3605"/>
      <c r="B3605"/>
      <c r="C3605"/>
      <c r="M3605"/>
    </row>
    <row r="3606" spans="1:13" ht="12.75" customHeight="1" x14ac:dyDescent="0.25">
      <c r="A3606"/>
      <c r="B3606"/>
      <c r="C3606"/>
      <c r="M3606"/>
    </row>
    <row r="3607" spans="1:13" ht="12.75" customHeight="1" x14ac:dyDescent="0.25">
      <c r="A3607"/>
      <c r="B3607"/>
      <c r="C3607"/>
      <c r="M3607"/>
    </row>
    <row r="3608" spans="1:13" ht="12.75" customHeight="1" x14ac:dyDescent="0.25">
      <c r="A3608"/>
      <c r="B3608"/>
      <c r="C3608"/>
      <c r="M3608"/>
    </row>
    <row r="3609" spans="1:13" ht="12.75" customHeight="1" x14ac:dyDescent="0.25">
      <c r="A3609"/>
      <c r="B3609"/>
      <c r="C3609"/>
      <c r="M3609"/>
    </row>
    <row r="3610" spans="1:13" ht="12.75" customHeight="1" x14ac:dyDescent="0.25">
      <c r="A3610"/>
      <c r="B3610"/>
      <c r="C3610"/>
      <c r="M3610"/>
    </row>
    <row r="3611" spans="1:13" ht="12.75" customHeight="1" x14ac:dyDescent="0.25">
      <c r="A3611"/>
      <c r="B3611"/>
      <c r="C3611"/>
      <c r="M3611"/>
    </row>
    <row r="3612" spans="1:13" ht="12.75" customHeight="1" x14ac:dyDescent="0.25">
      <c r="A3612"/>
      <c r="B3612"/>
      <c r="C3612"/>
      <c r="M3612"/>
    </row>
    <row r="3613" spans="1:13" ht="12.75" customHeight="1" x14ac:dyDescent="0.25">
      <c r="A3613"/>
      <c r="B3613"/>
      <c r="C3613"/>
      <c r="M3613"/>
    </row>
    <row r="3614" spans="1:13" ht="12.75" customHeight="1" x14ac:dyDescent="0.25">
      <c r="A3614"/>
      <c r="B3614"/>
      <c r="C3614"/>
      <c r="M3614"/>
    </row>
    <row r="3615" spans="1:13" ht="12.75" customHeight="1" x14ac:dyDescent="0.25">
      <c r="A3615"/>
      <c r="B3615"/>
      <c r="C3615"/>
      <c r="M3615"/>
    </row>
    <row r="3616" spans="1:13" ht="12.75" customHeight="1" x14ac:dyDescent="0.25">
      <c r="A3616"/>
      <c r="B3616"/>
      <c r="C3616"/>
      <c r="M3616"/>
    </row>
    <row r="3617" spans="1:13" ht="12.75" customHeight="1" x14ac:dyDescent="0.25">
      <c r="A3617"/>
      <c r="B3617"/>
      <c r="C3617"/>
      <c r="M3617"/>
    </row>
    <row r="3618" spans="1:13" ht="12.75" customHeight="1" x14ac:dyDescent="0.25">
      <c r="A3618"/>
      <c r="B3618"/>
      <c r="C3618"/>
      <c r="M3618"/>
    </row>
    <row r="3619" spans="1:13" ht="12.75" customHeight="1" x14ac:dyDescent="0.25">
      <c r="A3619"/>
      <c r="B3619"/>
      <c r="C3619"/>
      <c r="M3619"/>
    </row>
    <row r="3620" spans="1:13" ht="12.75" customHeight="1" x14ac:dyDescent="0.25">
      <c r="A3620"/>
      <c r="B3620"/>
      <c r="C3620"/>
      <c r="M3620"/>
    </row>
    <row r="3621" spans="1:13" ht="12.75" customHeight="1" x14ac:dyDescent="0.25">
      <c r="A3621"/>
      <c r="B3621"/>
      <c r="C3621"/>
      <c r="M3621"/>
    </row>
    <row r="3622" spans="1:13" ht="12.75" customHeight="1" x14ac:dyDescent="0.25">
      <c r="A3622"/>
      <c r="B3622"/>
      <c r="C3622"/>
      <c r="M3622"/>
    </row>
    <row r="3623" spans="1:13" ht="12.75" customHeight="1" x14ac:dyDescent="0.25">
      <c r="A3623"/>
      <c r="B3623"/>
      <c r="C3623"/>
      <c r="M3623"/>
    </row>
    <row r="3624" spans="1:13" ht="12.75" customHeight="1" x14ac:dyDescent="0.25">
      <c r="A3624"/>
      <c r="B3624"/>
      <c r="C3624"/>
      <c r="M3624"/>
    </row>
    <row r="3625" spans="1:13" ht="12.75" customHeight="1" x14ac:dyDescent="0.25">
      <c r="A3625"/>
      <c r="B3625"/>
      <c r="C3625"/>
      <c r="M3625"/>
    </row>
    <row r="3626" spans="1:13" ht="12.75" customHeight="1" x14ac:dyDescent="0.25">
      <c r="A3626"/>
      <c r="B3626"/>
      <c r="C3626"/>
      <c r="M3626"/>
    </row>
    <row r="3627" spans="1:13" ht="12.75" customHeight="1" x14ac:dyDescent="0.25">
      <c r="A3627"/>
      <c r="B3627"/>
      <c r="C3627"/>
      <c r="M3627"/>
    </row>
    <row r="3628" spans="1:13" ht="12.75" customHeight="1" x14ac:dyDescent="0.25">
      <c r="A3628"/>
      <c r="B3628"/>
      <c r="C3628"/>
      <c r="M3628"/>
    </row>
    <row r="3629" spans="1:13" ht="12.75" customHeight="1" x14ac:dyDescent="0.25">
      <c r="A3629"/>
      <c r="B3629"/>
      <c r="C3629"/>
      <c r="M3629"/>
    </row>
    <row r="3630" spans="1:13" ht="12.75" customHeight="1" x14ac:dyDescent="0.25">
      <c r="A3630"/>
      <c r="B3630"/>
      <c r="C3630"/>
      <c r="M3630"/>
    </row>
    <row r="3631" spans="1:13" ht="12.75" customHeight="1" x14ac:dyDescent="0.25">
      <c r="A3631"/>
      <c r="B3631"/>
      <c r="C3631"/>
      <c r="M3631"/>
    </row>
    <row r="3632" spans="1:13" ht="12.75" customHeight="1" x14ac:dyDescent="0.25">
      <c r="A3632"/>
      <c r="B3632"/>
      <c r="C3632"/>
      <c r="M3632"/>
    </row>
    <row r="3633" spans="1:13" ht="12.75" customHeight="1" x14ac:dyDescent="0.25">
      <c r="A3633"/>
      <c r="B3633"/>
      <c r="C3633"/>
      <c r="M3633"/>
    </row>
    <row r="3634" spans="1:13" ht="12.75" customHeight="1" x14ac:dyDescent="0.25">
      <c r="A3634"/>
      <c r="B3634"/>
      <c r="C3634"/>
      <c r="M3634"/>
    </row>
    <row r="3635" spans="1:13" ht="12.75" customHeight="1" x14ac:dyDescent="0.25">
      <c r="A3635"/>
      <c r="B3635"/>
      <c r="C3635"/>
      <c r="M3635"/>
    </row>
    <row r="3636" spans="1:13" ht="12.75" customHeight="1" x14ac:dyDescent="0.25">
      <c r="A3636"/>
      <c r="B3636"/>
      <c r="C3636"/>
      <c r="M3636"/>
    </row>
    <row r="3637" spans="1:13" ht="12.75" customHeight="1" x14ac:dyDescent="0.25">
      <c r="A3637"/>
      <c r="B3637"/>
      <c r="C3637"/>
      <c r="M3637"/>
    </row>
    <row r="3638" spans="1:13" ht="12.75" customHeight="1" x14ac:dyDescent="0.25">
      <c r="A3638"/>
      <c r="B3638"/>
      <c r="C3638"/>
      <c r="M3638"/>
    </row>
    <row r="3639" spans="1:13" ht="12.75" customHeight="1" x14ac:dyDescent="0.25">
      <c r="A3639"/>
      <c r="B3639"/>
      <c r="C3639"/>
      <c r="M3639"/>
    </row>
    <row r="3640" spans="1:13" ht="12.75" customHeight="1" x14ac:dyDescent="0.25">
      <c r="A3640"/>
      <c r="B3640"/>
      <c r="C3640"/>
      <c r="M3640"/>
    </row>
    <row r="3641" spans="1:13" ht="12.75" customHeight="1" x14ac:dyDescent="0.25">
      <c r="A3641"/>
      <c r="B3641"/>
      <c r="C3641"/>
      <c r="M3641"/>
    </row>
    <row r="3642" spans="1:13" ht="12.75" customHeight="1" x14ac:dyDescent="0.25">
      <c r="A3642"/>
      <c r="B3642"/>
      <c r="C3642"/>
      <c r="M3642"/>
    </row>
    <row r="3643" spans="1:13" ht="12.75" customHeight="1" x14ac:dyDescent="0.25">
      <c r="A3643"/>
      <c r="B3643"/>
      <c r="C3643"/>
      <c r="M3643"/>
    </row>
    <row r="3644" spans="1:13" ht="12.75" customHeight="1" x14ac:dyDescent="0.25">
      <c r="A3644"/>
      <c r="B3644"/>
      <c r="C3644"/>
      <c r="M3644"/>
    </row>
    <row r="3645" spans="1:13" ht="12.75" customHeight="1" x14ac:dyDescent="0.25">
      <c r="A3645"/>
      <c r="B3645"/>
      <c r="C3645"/>
      <c r="M3645"/>
    </row>
    <row r="3646" spans="1:13" ht="12.75" customHeight="1" x14ac:dyDescent="0.25">
      <c r="A3646"/>
      <c r="B3646"/>
      <c r="C3646"/>
      <c r="M3646"/>
    </row>
    <row r="3647" spans="1:13" ht="12.75" customHeight="1" x14ac:dyDescent="0.25">
      <c r="A3647"/>
      <c r="B3647"/>
      <c r="C3647"/>
      <c r="M3647"/>
    </row>
    <row r="3648" spans="1:13" ht="12.75" customHeight="1" x14ac:dyDescent="0.25">
      <c r="A3648"/>
      <c r="B3648"/>
      <c r="C3648"/>
      <c r="M3648"/>
    </row>
    <row r="3649" spans="1:13" ht="12.75" customHeight="1" x14ac:dyDescent="0.25">
      <c r="A3649"/>
      <c r="B3649"/>
      <c r="C3649"/>
      <c r="M3649"/>
    </row>
    <row r="3650" spans="1:13" ht="12.75" customHeight="1" x14ac:dyDescent="0.25">
      <c r="A3650"/>
      <c r="B3650"/>
      <c r="C3650"/>
      <c r="M3650"/>
    </row>
    <row r="3651" spans="1:13" ht="12.75" customHeight="1" x14ac:dyDescent="0.25">
      <c r="A3651"/>
      <c r="B3651"/>
      <c r="C3651"/>
      <c r="M3651"/>
    </row>
    <row r="3652" spans="1:13" ht="12.75" customHeight="1" x14ac:dyDescent="0.25">
      <c r="A3652"/>
      <c r="B3652"/>
      <c r="C3652"/>
      <c r="M3652"/>
    </row>
    <row r="3653" spans="1:13" ht="12.75" customHeight="1" x14ac:dyDescent="0.25">
      <c r="A3653"/>
      <c r="B3653"/>
      <c r="C3653"/>
      <c r="M3653"/>
    </row>
    <row r="3654" spans="1:13" ht="12.75" customHeight="1" x14ac:dyDescent="0.25">
      <c r="A3654"/>
      <c r="B3654"/>
      <c r="C3654"/>
      <c r="M3654"/>
    </row>
    <row r="3655" spans="1:13" ht="12.75" customHeight="1" x14ac:dyDescent="0.25">
      <c r="A3655"/>
      <c r="B3655"/>
      <c r="C3655"/>
      <c r="M3655"/>
    </row>
    <row r="3656" spans="1:13" ht="12.75" customHeight="1" x14ac:dyDescent="0.25">
      <c r="A3656"/>
      <c r="B3656"/>
      <c r="C3656"/>
      <c r="M3656"/>
    </row>
    <row r="3657" spans="1:13" ht="12.75" customHeight="1" x14ac:dyDescent="0.25">
      <c r="A3657"/>
      <c r="B3657"/>
      <c r="C3657"/>
      <c r="M3657"/>
    </row>
    <row r="3658" spans="1:13" ht="12.75" customHeight="1" x14ac:dyDescent="0.25">
      <c r="A3658"/>
      <c r="B3658"/>
      <c r="C3658"/>
      <c r="M3658"/>
    </row>
    <row r="3659" spans="1:13" ht="12.75" customHeight="1" x14ac:dyDescent="0.25">
      <c r="A3659"/>
      <c r="B3659"/>
      <c r="C3659"/>
      <c r="M3659"/>
    </row>
    <row r="3660" spans="1:13" ht="12.75" customHeight="1" x14ac:dyDescent="0.25">
      <c r="A3660"/>
      <c r="B3660"/>
      <c r="C3660"/>
      <c r="M3660"/>
    </row>
    <row r="3661" spans="1:13" ht="12.75" customHeight="1" x14ac:dyDescent="0.25">
      <c r="A3661"/>
      <c r="B3661"/>
      <c r="C3661"/>
      <c r="M3661"/>
    </row>
    <row r="3662" spans="1:13" ht="12.75" customHeight="1" x14ac:dyDescent="0.25">
      <c r="A3662"/>
      <c r="B3662"/>
      <c r="C3662"/>
      <c r="M3662"/>
    </row>
    <row r="3663" spans="1:13" ht="12.75" customHeight="1" x14ac:dyDescent="0.25">
      <c r="A3663"/>
      <c r="B3663"/>
      <c r="C3663"/>
      <c r="M3663"/>
    </row>
    <row r="3664" spans="1:13" ht="12.75" customHeight="1" x14ac:dyDescent="0.25">
      <c r="A3664"/>
      <c r="B3664"/>
      <c r="C3664"/>
      <c r="M3664"/>
    </row>
    <row r="3665" spans="1:13" ht="12.75" customHeight="1" x14ac:dyDescent="0.25">
      <c r="A3665"/>
      <c r="B3665"/>
      <c r="C3665"/>
      <c r="M3665"/>
    </row>
    <row r="3666" spans="1:13" ht="12.75" customHeight="1" x14ac:dyDescent="0.25">
      <c r="A3666"/>
      <c r="B3666"/>
      <c r="C3666"/>
      <c r="M3666"/>
    </row>
    <row r="3667" spans="1:13" ht="12.75" customHeight="1" x14ac:dyDescent="0.25">
      <c r="A3667"/>
      <c r="B3667"/>
      <c r="C3667"/>
      <c r="M3667"/>
    </row>
    <row r="3668" spans="1:13" ht="12.75" customHeight="1" x14ac:dyDescent="0.25">
      <c r="A3668"/>
      <c r="B3668"/>
      <c r="C3668"/>
      <c r="M3668"/>
    </row>
    <row r="3669" spans="1:13" ht="12.75" customHeight="1" x14ac:dyDescent="0.25">
      <c r="A3669"/>
      <c r="B3669"/>
      <c r="C3669"/>
      <c r="M3669"/>
    </row>
    <row r="3670" spans="1:13" ht="12.75" customHeight="1" x14ac:dyDescent="0.25">
      <c r="A3670"/>
      <c r="B3670"/>
      <c r="C3670"/>
      <c r="M3670"/>
    </row>
    <row r="3671" spans="1:13" ht="12.75" customHeight="1" x14ac:dyDescent="0.25">
      <c r="A3671"/>
      <c r="B3671"/>
      <c r="C3671"/>
      <c r="M3671"/>
    </row>
    <row r="3672" spans="1:13" ht="12.75" customHeight="1" x14ac:dyDescent="0.25">
      <c r="A3672"/>
      <c r="B3672"/>
      <c r="C3672"/>
      <c r="M3672"/>
    </row>
    <row r="3673" spans="1:13" ht="12.75" customHeight="1" x14ac:dyDescent="0.25">
      <c r="A3673"/>
      <c r="B3673"/>
      <c r="C3673"/>
      <c r="M3673"/>
    </row>
    <row r="3674" spans="1:13" ht="12.75" customHeight="1" x14ac:dyDescent="0.25">
      <c r="A3674"/>
      <c r="B3674"/>
      <c r="C3674"/>
      <c r="M3674"/>
    </row>
    <row r="3675" spans="1:13" ht="12.75" customHeight="1" x14ac:dyDescent="0.25">
      <c r="A3675"/>
      <c r="B3675"/>
      <c r="C3675"/>
      <c r="M3675"/>
    </row>
    <row r="3676" spans="1:13" ht="12.75" customHeight="1" x14ac:dyDescent="0.25">
      <c r="A3676"/>
      <c r="B3676"/>
      <c r="C3676"/>
      <c r="M3676"/>
    </row>
    <row r="3677" spans="1:13" ht="12.75" customHeight="1" x14ac:dyDescent="0.25">
      <c r="A3677"/>
      <c r="B3677"/>
      <c r="C3677"/>
      <c r="M3677"/>
    </row>
    <row r="3678" spans="1:13" ht="12.75" customHeight="1" x14ac:dyDescent="0.25">
      <c r="A3678"/>
      <c r="B3678"/>
      <c r="C3678"/>
      <c r="M3678"/>
    </row>
    <row r="3679" spans="1:13" ht="12.75" customHeight="1" x14ac:dyDescent="0.25">
      <c r="A3679"/>
      <c r="B3679"/>
      <c r="C3679"/>
      <c r="M3679"/>
    </row>
    <row r="3680" spans="1:13" ht="12.75" customHeight="1" x14ac:dyDescent="0.25">
      <c r="A3680"/>
      <c r="B3680"/>
      <c r="C3680"/>
      <c r="M3680"/>
    </row>
    <row r="3681" spans="1:13" ht="12.75" customHeight="1" x14ac:dyDescent="0.25">
      <c r="A3681"/>
      <c r="B3681"/>
      <c r="C3681"/>
      <c r="M3681"/>
    </row>
    <row r="3682" spans="1:13" ht="12.75" customHeight="1" x14ac:dyDescent="0.25">
      <c r="A3682"/>
      <c r="B3682"/>
      <c r="C3682"/>
      <c r="M3682"/>
    </row>
    <row r="3683" spans="1:13" ht="12.75" customHeight="1" x14ac:dyDescent="0.25">
      <c r="A3683"/>
      <c r="B3683"/>
      <c r="C3683"/>
      <c r="M3683"/>
    </row>
    <row r="3684" spans="1:13" ht="12.75" customHeight="1" x14ac:dyDescent="0.25">
      <c r="A3684"/>
      <c r="B3684"/>
      <c r="C3684"/>
      <c r="M3684"/>
    </row>
    <row r="3685" spans="1:13" ht="12.75" customHeight="1" x14ac:dyDescent="0.25">
      <c r="A3685"/>
      <c r="B3685"/>
      <c r="C3685"/>
      <c r="M3685"/>
    </row>
    <row r="3686" spans="1:13" ht="12.75" customHeight="1" x14ac:dyDescent="0.25">
      <c r="A3686"/>
      <c r="B3686"/>
      <c r="C3686"/>
      <c r="M3686"/>
    </row>
    <row r="3687" spans="1:13" ht="12.75" customHeight="1" x14ac:dyDescent="0.25">
      <c r="A3687"/>
      <c r="B3687"/>
      <c r="C3687"/>
      <c r="M3687"/>
    </row>
    <row r="3688" spans="1:13" ht="12.75" customHeight="1" x14ac:dyDescent="0.25">
      <c r="A3688"/>
      <c r="B3688"/>
      <c r="C3688"/>
      <c r="M3688"/>
    </row>
    <row r="3689" spans="1:13" ht="12.75" customHeight="1" x14ac:dyDescent="0.25">
      <c r="A3689"/>
      <c r="B3689"/>
      <c r="C3689"/>
      <c r="M3689"/>
    </row>
    <row r="3690" spans="1:13" ht="12.75" customHeight="1" x14ac:dyDescent="0.25">
      <c r="A3690"/>
      <c r="B3690"/>
      <c r="C3690"/>
      <c r="M3690"/>
    </row>
    <row r="3691" spans="1:13" ht="12.75" customHeight="1" x14ac:dyDescent="0.25">
      <c r="A3691"/>
      <c r="B3691"/>
      <c r="C3691"/>
      <c r="M3691"/>
    </row>
    <row r="3692" spans="1:13" ht="12.75" customHeight="1" x14ac:dyDescent="0.25">
      <c r="A3692"/>
      <c r="B3692"/>
      <c r="C3692"/>
      <c r="M3692"/>
    </row>
    <row r="3693" spans="1:13" ht="12.75" customHeight="1" x14ac:dyDescent="0.25">
      <c r="A3693"/>
      <c r="B3693"/>
      <c r="C3693"/>
      <c r="M3693"/>
    </row>
    <row r="3694" spans="1:13" ht="12.75" customHeight="1" x14ac:dyDescent="0.25">
      <c r="A3694"/>
      <c r="B3694"/>
      <c r="C3694"/>
      <c r="M3694"/>
    </row>
    <row r="3695" spans="1:13" ht="12.75" customHeight="1" x14ac:dyDescent="0.25">
      <c r="A3695"/>
      <c r="B3695"/>
      <c r="C3695"/>
      <c r="M3695"/>
    </row>
    <row r="3696" spans="1:13" ht="12.75" customHeight="1" x14ac:dyDescent="0.25">
      <c r="A3696"/>
      <c r="B3696"/>
      <c r="C3696"/>
      <c r="M3696"/>
    </row>
    <row r="3697" spans="1:13" ht="12.75" customHeight="1" x14ac:dyDescent="0.25">
      <c r="A3697"/>
      <c r="B3697"/>
      <c r="C3697"/>
      <c r="M3697"/>
    </row>
    <row r="3698" spans="1:13" ht="12.75" customHeight="1" x14ac:dyDescent="0.25">
      <c r="A3698"/>
      <c r="B3698"/>
      <c r="C3698"/>
      <c r="M3698"/>
    </row>
    <row r="3699" spans="1:13" ht="12.75" customHeight="1" x14ac:dyDescent="0.25">
      <c r="A3699"/>
      <c r="B3699"/>
      <c r="C3699"/>
      <c r="M3699"/>
    </row>
    <row r="3700" spans="1:13" ht="12.75" customHeight="1" x14ac:dyDescent="0.25">
      <c r="A3700"/>
      <c r="B3700"/>
      <c r="C3700"/>
      <c r="M3700"/>
    </row>
    <row r="3701" spans="1:13" ht="12.75" customHeight="1" x14ac:dyDescent="0.25">
      <c r="A3701"/>
      <c r="B3701"/>
      <c r="C3701"/>
      <c r="M3701"/>
    </row>
    <row r="3702" spans="1:13" ht="12.75" customHeight="1" x14ac:dyDescent="0.25">
      <c r="A3702"/>
      <c r="B3702"/>
      <c r="C3702"/>
      <c r="M3702"/>
    </row>
    <row r="3703" spans="1:13" ht="12.75" customHeight="1" x14ac:dyDescent="0.25">
      <c r="A3703"/>
      <c r="B3703"/>
      <c r="C3703"/>
      <c r="M3703"/>
    </row>
    <row r="3704" spans="1:13" ht="12.75" customHeight="1" x14ac:dyDescent="0.25">
      <c r="A3704"/>
      <c r="B3704"/>
      <c r="C3704"/>
      <c r="M3704"/>
    </row>
    <row r="3705" spans="1:13" ht="12.75" customHeight="1" x14ac:dyDescent="0.25">
      <c r="A3705"/>
      <c r="B3705"/>
      <c r="C3705"/>
      <c r="M3705"/>
    </row>
    <row r="3706" spans="1:13" ht="12.75" customHeight="1" x14ac:dyDescent="0.25">
      <c r="A3706"/>
      <c r="B3706"/>
      <c r="C3706"/>
      <c r="M3706"/>
    </row>
    <row r="3707" spans="1:13" ht="12.75" customHeight="1" x14ac:dyDescent="0.25">
      <c r="A3707"/>
      <c r="B3707"/>
      <c r="C3707"/>
      <c r="M3707"/>
    </row>
    <row r="3708" spans="1:13" ht="12.75" customHeight="1" x14ac:dyDescent="0.25">
      <c r="A3708"/>
      <c r="B3708"/>
      <c r="C3708"/>
      <c r="M3708"/>
    </row>
    <row r="3709" spans="1:13" ht="12.75" customHeight="1" x14ac:dyDescent="0.25">
      <c r="A3709"/>
      <c r="B3709"/>
      <c r="C3709"/>
      <c r="M3709"/>
    </row>
    <row r="3710" spans="1:13" ht="12.75" customHeight="1" x14ac:dyDescent="0.25">
      <c r="A3710"/>
      <c r="B3710"/>
      <c r="C3710"/>
      <c r="M3710"/>
    </row>
    <row r="3711" spans="1:13" ht="12.75" customHeight="1" x14ac:dyDescent="0.25">
      <c r="A3711"/>
      <c r="B3711"/>
      <c r="C3711"/>
      <c r="M3711"/>
    </row>
    <row r="3712" spans="1:13" ht="12.75" customHeight="1" x14ac:dyDescent="0.25">
      <c r="A3712"/>
      <c r="B3712"/>
      <c r="C3712"/>
      <c r="M3712"/>
    </row>
    <row r="3713" spans="1:13" ht="12.75" customHeight="1" x14ac:dyDescent="0.25">
      <c r="A3713"/>
      <c r="B3713"/>
      <c r="C3713"/>
      <c r="M3713"/>
    </row>
    <row r="3714" spans="1:13" ht="12.75" customHeight="1" x14ac:dyDescent="0.25">
      <c r="A3714"/>
      <c r="B3714"/>
      <c r="C3714"/>
      <c r="M3714"/>
    </row>
    <row r="3715" spans="1:13" ht="12.75" customHeight="1" x14ac:dyDescent="0.25">
      <c r="A3715"/>
      <c r="B3715"/>
      <c r="C3715"/>
      <c r="M3715"/>
    </row>
    <row r="3716" spans="1:13" ht="12.75" customHeight="1" x14ac:dyDescent="0.25">
      <c r="A3716"/>
      <c r="B3716"/>
      <c r="C3716"/>
      <c r="M3716"/>
    </row>
    <row r="3717" spans="1:13" ht="12.75" customHeight="1" x14ac:dyDescent="0.25">
      <c r="A3717"/>
      <c r="B3717"/>
      <c r="C3717"/>
      <c r="M3717"/>
    </row>
    <row r="3718" spans="1:13" ht="12.75" customHeight="1" x14ac:dyDescent="0.25">
      <c r="A3718"/>
      <c r="B3718"/>
      <c r="C3718"/>
      <c r="M3718"/>
    </row>
    <row r="3719" spans="1:13" ht="12.75" customHeight="1" x14ac:dyDescent="0.25">
      <c r="A3719"/>
      <c r="B3719"/>
      <c r="C3719"/>
      <c r="M3719"/>
    </row>
    <row r="3720" spans="1:13" ht="12.75" customHeight="1" x14ac:dyDescent="0.25">
      <c r="A3720"/>
      <c r="B3720"/>
      <c r="C3720"/>
      <c r="M3720"/>
    </row>
    <row r="3721" spans="1:13" ht="12.75" customHeight="1" x14ac:dyDescent="0.25">
      <c r="A3721"/>
      <c r="B3721"/>
      <c r="C3721"/>
      <c r="M3721"/>
    </row>
    <row r="3722" spans="1:13" ht="12.75" customHeight="1" x14ac:dyDescent="0.25">
      <c r="A3722"/>
      <c r="B3722"/>
      <c r="C3722"/>
      <c r="M3722"/>
    </row>
    <row r="3723" spans="1:13" ht="12.75" customHeight="1" x14ac:dyDescent="0.25">
      <c r="A3723"/>
      <c r="B3723"/>
      <c r="C3723"/>
      <c r="M3723"/>
    </row>
    <row r="3724" spans="1:13" ht="12.75" customHeight="1" x14ac:dyDescent="0.25">
      <c r="A3724"/>
      <c r="B3724"/>
      <c r="C3724"/>
      <c r="M3724"/>
    </row>
    <row r="3725" spans="1:13" ht="12.75" customHeight="1" x14ac:dyDescent="0.25">
      <c r="A3725"/>
      <c r="B3725"/>
      <c r="C3725"/>
      <c r="M3725"/>
    </row>
    <row r="3726" spans="1:13" ht="12.75" customHeight="1" x14ac:dyDescent="0.25">
      <c r="A3726"/>
      <c r="B3726"/>
      <c r="C3726"/>
      <c r="M3726"/>
    </row>
    <row r="3727" spans="1:13" ht="12.75" customHeight="1" x14ac:dyDescent="0.25">
      <c r="A3727"/>
      <c r="B3727"/>
      <c r="C3727"/>
      <c r="M3727"/>
    </row>
    <row r="3728" spans="1:13" ht="12.75" customHeight="1" x14ac:dyDescent="0.25">
      <c r="A3728"/>
      <c r="B3728"/>
      <c r="C3728"/>
      <c r="M3728"/>
    </row>
    <row r="3729" spans="1:13" ht="12.75" customHeight="1" x14ac:dyDescent="0.25">
      <c r="A3729"/>
      <c r="B3729"/>
      <c r="C3729"/>
      <c r="M3729"/>
    </row>
    <row r="3730" spans="1:13" ht="12.75" customHeight="1" x14ac:dyDescent="0.25">
      <c r="A3730"/>
      <c r="B3730"/>
      <c r="C3730"/>
      <c r="M3730"/>
    </row>
    <row r="3731" spans="1:13" ht="12.75" customHeight="1" x14ac:dyDescent="0.25">
      <c r="A3731"/>
      <c r="B3731"/>
      <c r="C3731"/>
      <c r="M3731"/>
    </row>
    <row r="3732" spans="1:13" ht="12.75" customHeight="1" x14ac:dyDescent="0.25">
      <c r="A3732"/>
      <c r="B3732"/>
      <c r="C3732"/>
      <c r="M3732"/>
    </row>
    <row r="3733" spans="1:13" ht="12.75" customHeight="1" x14ac:dyDescent="0.25">
      <c r="A3733"/>
      <c r="B3733"/>
      <c r="C3733"/>
      <c r="M3733"/>
    </row>
    <row r="3734" spans="1:13" ht="12.75" customHeight="1" x14ac:dyDescent="0.25">
      <c r="A3734"/>
      <c r="B3734"/>
      <c r="C3734"/>
      <c r="M3734"/>
    </row>
    <row r="3735" spans="1:13" ht="12.75" customHeight="1" x14ac:dyDescent="0.25">
      <c r="A3735"/>
      <c r="B3735"/>
      <c r="C3735"/>
      <c r="M3735"/>
    </row>
    <row r="3736" spans="1:13" ht="12.75" customHeight="1" x14ac:dyDescent="0.25">
      <c r="A3736"/>
      <c r="B3736"/>
      <c r="C3736"/>
      <c r="M3736"/>
    </row>
    <row r="3737" spans="1:13" ht="12.75" customHeight="1" x14ac:dyDescent="0.25">
      <c r="A3737"/>
      <c r="B3737"/>
      <c r="C3737"/>
      <c r="M3737"/>
    </row>
    <row r="3738" spans="1:13" ht="12.75" customHeight="1" x14ac:dyDescent="0.25">
      <c r="A3738"/>
      <c r="B3738"/>
      <c r="C3738"/>
      <c r="M3738"/>
    </row>
    <row r="3739" spans="1:13" ht="12.75" customHeight="1" x14ac:dyDescent="0.25">
      <c r="A3739"/>
      <c r="B3739"/>
      <c r="C3739"/>
      <c r="M3739"/>
    </row>
    <row r="3740" spans="1:13" ht="12.75" customHeight="1" x14ac:dyDescent="0.25">
      <c r="A3740"/>
      <c r="B3740"/>
      <c r="C3740"/>
      <c r="M3740"/>
    </row>
    <row r="3741" spans="1:13" ht="12.75" customHeight="1" x14ac:dyDescent="0.25">
      <c r="A3741"/>
      <c r="B3741"/>
      <c r="C3741"/>
      <c r="M3741"/>
    </row>
    <row r="3742" spans="1:13" ht="12.75" customHeight="1" x14ac:dyDescent="0.25">
      <c r="A3742"/>
      <c r="B3742"/>
      <c r="C3742"/>
      <c r="M3742"/>
    </row>
    <row r="3743" spans="1:13" ht="12.75" customHeight="1" x14ac:dyDescent="0.25">
      <c r="A3743"/>
      <c r="B3743"/>
      <c r="C3743"/>
      <c r="M3743"/>
    </row>
    <row r="3744" spans="1:13" ht="12.75" customHeight="1" x14ac:dyDescent="0.25">
      <c r="A3744"/>
      <c r="B3744"/>
      <c r="C3744"/>
      <c r="M3744"/>
    </row>
    <row r="3745" spans="1:13" ht="12.75" customHeight="1" x14ac:dyDescent="0.25">
      <c r="A3745"/>
      <c r="B3745"/>
      <c r="C3745"/>
      <c r="M3745"/>
    </row>
    <row r="3746" spans="1:13" ht="12.75" customHeight="1" x14ac:dyDescent="0.25">
      <c r="A3746"/>
      <c r="B3746"/>
      <c r="C3746"/>
      <c r="M3746"/>
    </row>
    <row r="3747" spans="1:13" ht="12.75" customHeight="1" x14ac:dyDescent="0.25">
      <c r="A3747"/>
      <c r="B3747"/>
      <c r="C3747"/>
      <c r="M3747"/>
    </row>
    <row r="3748" spans="1:13" ht="12.75" customHeight="1" x14ac:dyDescent="0.25">
      <c r="A3748"/>
      <c r="B3748"/>
      <c r="C3748"/>
      <c r="M3748"/>
    </row>
    <row r="3749" spans="1:13" ht="12.75" customHeight="1" x14ac:dyDescent="0.25">
      <c r="A3749"/>
      <c r="B3749"/>
      <c r="C3749"/>
      <c r="M3749"/>
    </row>
    <row r="3750" spans="1:13" ht="12.75" customHeight="1" x14ac:dyDescent="0.25">
      <c r="A3750"/>
      <c r="B3750"/>
      <c r="C3750"/>
      <c r="M3750"/>
    </row>
    <row r="3751" spans="1:13" ht="12.75" customHeight="1" x14ac:dyDescent="0.25">
      <c r="A3751"/>
      <c r="B3751"/>
      <c r="C3751"/>
      <c r="M3751"/>
    </row>
    <row r="3752" spans="1:13" ht="12.75" customHeight="1" x14ac:dyDescent="0.25">
      <c r="A3752"/>
      <c r="B3752"/>
      <c r="C3752"/>
      <c r="M3752"/>
    </row>
    <row r="3753" spans="1:13" ht="12.75" customHeight="1" x14ac:dyDescent="0.25">
      <c r="A3753"/>
      <c r="B3753"/>
      <c r="C3753"/>
      <c r="M3753"/>
    </row>
    <row r="3754" spans="1:13" ht="12.75" customHeight="1" x14ac:dyDescent="0.25">
      <c r="A3754"/>
      <c r="B3754"/>
      <c r="C3754"/>
      <c r="M3754"/>
    </row>
    <row r="3755" spans="1:13" ht="12.75" customHeight="1" x14ac:dyDescent="0.25">
      <c r="A3755"/>
      <c r="B3755"/>
      <c r="C3755"/>
      <c r="M3755"/>
    </row>
    <row r="3756" spans="1:13" ht="12.75" customHeight="1" x14ac:dyDescent="0.25">
      <c r="A3756"/>
      <c r="B3756"/>
      <c r="C3756"/>
      <c r="M3756"/>
    </row>
    <row r="3757" spans="1:13" ht="12.75" customHeight="1" x14ac:dyDescent="0.25">
      <c r="A3757"/>
      <c r="B3757"/>
      <c r="C3757"/>
      <c r="M3757"/>
    </row>
    <row r="3758" spans="1:13" ht="12.75" customHeight="1" x14ac:dyDescent="0.25">
      <c r="A3758"/>
      <c r="B3758"/>
      <c r="C3758"/>
      <c r="M3758"/>
    </row>
    <row r="3759" spans="1:13" ht="12.75" customHeight="1" x14ac:dyDescent="0.25">
      <c r="A3759"/>
      <c r="B3759"/>
      <c r="C3759"/>
      <c r="M3759"/>
    </row>
    <row r="3760" spans="1:13" ht="12.75" customHeight="1" x14ac:dyDescent="0.25">
      <c r="A3760"/>
      <c r="B3760"/>
      <c r="C3760"/>
      <c r="M3760"/>
    </row>
    <row r="3761" spans="1:13" ht="12.75" customHeight="1" x14ac:dyDescent="0.25">
      <c r="A3761"/>
      <c r="B3761"/>
      <c r="C3761"/>
      <c r="M3761"/>
    </row>
    <row r="3762" spans="1:13" ht="12.75" customHeight="1" x14ac:dyDescent="0.25">
      <c r="A3762"/>
      <c r="B3762"/>
      <c r="C3762"/>
      <c r="M3762"/>
    </row>
    <row r="3763" spans="1:13" ht="12.75" customHeight="1" x14ac:dyDescent="0.25">
      <c r="A3763"/>
      <c r="B3763"/>
      <c r="C3763"/>
      <c r="M3763"/>
    </row>
    <row r="3764" spans="1:13" ht="12.75" customHeight="1" x14ac:dyDescent="0.25">
      <c r="A3764"/>
      <c r="B3764"/>
      <c r="C3764"/>
      <c r="M3764"/>
    </row>
    <row r="3765" spans="1:13" ht="12.75" customHeight="1" x14ac:dyDescent="0.25">
      <c r="A3765"/>
      <c r="B3765"/>
      <c r="C3765"/>
      <c r="M3765"/>
    </row>
    <row r="3766" spans="1:13" ht="12.75" customHeight="1" x14ac:dyDescent="0.25">
      <c r="A3766"/>
      <c r="B3766"/>
      <c r="C3766"/>
      <c r="M3766"/>
    </row>
    <row r="3767" spans="1:13" ht="12.75" customHeight="1" x14ac:dyDescent="0.25">
      <c r="A3767"/>
      <c r="B3767"/>
      <c r="C3767"/>
      <c r="M3767"/>
    </row>
    <row r="3768" spans="1:13" ht="12.75" customHeight="1" x14ac:dyDescent="0.25">
      <c r="A3768"/>
      <c r="B3768"/>
      <c r="C3768"/>
      <c r="M3768"/>
    </row>
    <row r="3769" spans="1:13" ht="12.75" customHeight="1" x14ac:dyDescent="0.25">
      <c r="A3769"/>
      <c r="B3769"/>
      <c r="C3769"/>
      <c r="M3769"/>
    </row>
    <row r="3770" spans="1:13" ht="12.75" customHeight="1" x14ac:dyDescent="0.25">
      <c r="A3770"/>
      <c r="B3770"/>
      <c r="C3770"/>
      <c r="M3770"/>
    </row>
    <row r="3771" spans="1:13" ht="12.75" customHeight="1" x14ac:dyDescent="0.25">
      <c r="A3771"/>
      <c r="B3771"/>
      <c r="C3771"/>
      <c r="M3771"/>
    </row>
    <row r="3772" spans="1:13" ht="12.75" customHeight="1" x14ac:dyDescent="0.25">
      <c r="A3772"/>
      <c r="B3772"/>
      <c r="C3772"/>
      <c r="M3772"/>
    </row>
    <row r="3773" spans="1:13" ht="12.75" customHeight="1" x14ac:dyDescent="0.25">
      <c r="A3773"/>
      <c r="B3773"/>
      <c r="C3773"/>
      <c r="M3773"/>
    </row>
    <row r="3774" spans="1:13" ht="12.75" customHeight="1" x14ac:dyDescent="0.25">
      <c r="A3774"/>
      <c r="B3774"/>
      <c r="C3774"/>
      <c r="M3774"/>
    </row>
    <row r="3775" spans="1:13" ht="12.75" customHeight="1" x14ac:dyDescent="0.25">
      <c r="A3775"/>
      <c r="B3775"/>
      <c r="C3775"/>
      <c r="M3775"/>
    </row>
    <row r="3776" spans="1:13" ht="12.75" customHeight="1" x14ac:dyDescent="0.25">
      <c r="A3776"/>
      <c r="B3776"/>
      <c r="C3776"/>
      <c r="M3776"/>
    </row>
    <row r="3777" spans="1:13" ht="12.75" customHeight="1" x14ac:dyDescent="0.25">
      <c r="A3777"/>
      <c r="B3777"/>
      <c r="C3777"/>
      <c r="M3777"/>
    </row>
    <row r="3778" spans="1:13" ht="12.75" customHeight="1" x14ac:dyDescent="0.25">
      <c r="A3778"/>
      <c r="B3778"/>
      <c r="C3778"/>
      <c r="M3778"/>
    </row>
    <row r="3779" spans="1:13" ht="12.75" customHeight="1" x14ac:dyDescent="0.25">
      <c r="A3779"/>
      <c r="B3779"/>
      <c r="C3779"/>
      <c r="M3779"/>
    </row>
    <row r="3780" spans="1:13" ht="12.75" customHeight="1" x14ac:dyDescent="0.25">
      <c r="A3780"/>
      <c r="B3780"/>
      <c r="C3780"/>
      <c r="M3780"/>
    </row>
    <row r="3781" spans="1:13" ht="12.75" customHeight="1" x14ac:dyDescent="0.25">
      <c r="A3781"/>
      <c r="B3781"/>
      <c r="C3781"/>
      <c r="M3781"/>
    </row>
    <row r="3782" spans="1:13" ht="12.75" customHeight="1" x14ac:dyDescent="0.25">
      <c r="A3782"/>
      <c r="B3782"/>
      <c r="C3782"/>
      <c r="M3782"/>
    </row>
    <row r="3783" spans="1:13" ht="12.75" customHeight="1" x14ac:dyDescent="0.25">
      <c r="A3783"/>
      <c r="B3783"/>
      <c r="C3783"/>
      <c r="M3783"/>
    </row>
    <row r="3784" spans="1:13" ht="12.75" customHeight="1" x14ac:dyDescent="0.25">
      <c r="A3784"/>
      <c r="B3784"/>
      <c r="C3784"/>
      <c r="M3784"/>
    </row>
    <row r="3785" spans="1:13" ht="12.75" customHeight="1" x14ac:dyDescent="0.25">
      <c r="A3785"/>
      <c r="B3785"/>
      <c r="C3785"/>
      <c r="M3785"/>
    </row>
    <row r="3786" spans="1:13" ht="12.75" customHeight="1" x14ac:dyDescent="0.25">
      <c r="A3786"/>
      <c r="B3786"/>
      <c r="C3786"/>
      <c r="M3786"/>
    </row>
    <row r="3787" spans="1:13" ht="12.75" customHeight="1" x14ac:dyDescent="0.25">
      <c r="A3787"/>
      <c r="B3787"/>
      <c r="C3787"/>
      <c r="M3787"/>
    </row>
    <row r="3788" spans="1:13" ht="12.75" customHeight="1" x14ac:dyDescent="0.25">
      <c r="A3788"/>
      <c r="B3788"/>
      <c r="C3788"/>
      <c r="M3788"/>
    </row>
    <row r="3789" spans="1:13" ht="12.75" customHeight="1" x14ac:dyDescent="0.25">
      <c r="A3789"/>
      <c r="B3789"/>
      <c r="C3789"/>
      <c r="M3789"/>
    </row>
    <row r="3790" spans="1:13" ht="12.75" customHeight="1" x14ac:dyDescent="0.25">
      <c r="A3790"/>
      <c r="B3790"/>
      <c r="C3790"/>
      <c r="M3790"/>
    </row>
    <row r="3791" spans="1:13" ht="12.75" customHeight="1" x14ac:dyDescent="0.25">
      <c r="A3791"/>
      <c r="B3791"/>
      <c r="C3791"/>
      <c r="M3791"/>
    </row>
    <row r="3792" spans="1:13" ht="12.75" customHeight="1" x14ac:dyDescent="0.25">
      <c r="A3792"/>
      <c r="B3792"/>
      <c r="C3792"/>
      <c r="M3792"/>
    </row>
    <row r="3793" spans="1:13" ht="12.75" customHeight="1" x14ac:dyDescent="0.25">
      <c r="A3793"/>
      <c r="B3793"/>
      <c r="C3793"/>
      <c r="M3793"/>
    </row>
    <row r="3794" spans="1:13" ht="12.75" customHeight="1" x14ac:dyDescent="0.25">
      <c r="A3794"/>
      <c r="B3794"/>
      <c r="C3794"/>
      <c r="M3794"/>
    </row>
    <row r="3795" spans="1:13" ht="12.75" customHeight="1" x14ac:dyDescent="0.25">
      <c r="A3795"/>
      <c r="B3795"/>
      <c r="C3795"/>
      <c r="M3795"/>
    </row>
    <row r="3796" spans="1:13" ht="12.75" customHeight="1" x14ac:dyDescent="0.25">
      <c r="A3796"/>
      <c r="B3796"/>
      <c r="C3796"/>
      <c r="M3796"/>
    </row>
    <row r="3797" spans="1:13" ht="12.75" customHeight="1" x14ac:dyDescent="0.25">
      <c r="A3797"/>
      <c r="B3797"/>
      <c r="C3797"/>
      <c r="M3797"/>
    </row>
    <row r="3798" spans="1:13" ht="12.75" customHeight="1" x14ac:dyDescent="0.25">
      <c r="A3798"/>
      <c r="B3798"/>
      <c r="C3798"/>
      <c r="M3798"/>
    </row>
    <row r="3799" spans="1:13" ht="12.75" customHeight="1" x14ac:dyDescent="0.25">
      <c r="A3799"/>
      <c r="B3799"/>
      <c r="C3799"/>
      <c r="M3799"/>
    </row>
    <row r="3800" spans="1:13" ht="12.75" customHeight="1" x14ac:dyDescent="0.25">
      <c r="A3800"/>
      <c r="B3800"/>
      <c r="C3800"/>
      <c r="M3800"/>
    </row>
    <row r="3801" spans="1:13" ht="12.75" customHeight="1" x14ac:dyDescent="0.25">
      <c r="A3801"/>
      <c r="B3801"/>
      <c r="C3801"/>
      <c r="M3801"/>
    </row>
    <row r="3802" spans="1:13" ht="12.75" customHeight="1" x14ac:dyDescent="0.25">
      <c r="A3802"/>
      <c r="B3802"/>
      <c r="C3802"/>
      <c r="M3802"/>
    </row>
    <row r="3803" spans="1:13" ht="12.75" customHeight="1" x14ac:dyDescent="0.25">
      <c r="A3803"/>
      <c r="B3803"/>
      <c r="C3803"/>
      <c r="M3803"/>
    </row>
    <row r="3804" spans="1:13" ht="12.75" customHeight="1" x14ac:dyDescent="0.25">
      <c r="A3804"/>
      <c r="B3804"/>
      <c r="C3804"/>
      <c r="M3804"/>
    </row>
    <row r="3805" spans="1:13" ht="12.75" customHeight="1" x14ac:dyDescent="0.25">
      <c r="A3805"/>
      <c r="B3805"/>
      <c r="C3805"/>
      <c r="M3805"/>
    </row>
    <row r="3806" spans="1:13" ht="12.75" customHeight="1" x14ac:dyDescent="0.25">
      <c r="A3806"/>
      <c r="B3806"/>
      <c r="C3806"/>
      <c r="M3806"/>
    </row>
    <row r="3807" spans="1:13" ht="12.75" customHeight="1" x14ac:dyDescent="0.25">
      <c r="A3807"/>
      <c r="B3807"/>
      <c r="C3807"/>
      <c r="M3807"/>
    </row>
    <row r="3808" spans="1:13" ht="12.75" customHeight="1" x14ac:dyDescent="0.25">
      <c r="A3808"/>
      <c r="B3808"/>
      <c r="C3808"/>
      <c r="M3808"/>
    </row>
    <row r="3809" spans="1:13" ht="12.75" customHeight="1" x14ac:dyDescent="0.25">
      <c r="A3809"/>
      <c r="B3809"/>
      <c r="C3809"/>
      <c r="M3809"/>
    </row>
    <row r="3810" spans="1:13" ht="12.75" customHeight="1" x14ac:dyDescent="0.25">
      <c r="A3810"/>
      <c r="B3810"/>
      <c r="C3810"/>
      <c r="M3810"/>
    </row>
    <row r="3811" spans="1:13" ht="12.75" customHeight="1" x14ac:dyDescent="0.25">
      <c r="A3811"/>
      <c r="B3811"/>
      <c r="C3811"/>
      <c r="M3811"/>
    </row>
    <row r="3812" spans="1:13" ht="12.75" customHeight="1" x14ac:dyDescent="0.25">
      <c r="A3812"/>
      <c r="B3812"/>
      <c r="C3812"/>
      <c r="M3812"/>
    </row>
    <row r="3813" spans="1:13" ht="12.75" customHeight="1" x14ac:dyDescent="0.25">
      <c r="A3813"/>
      <c r="B3813"/>
      <c r="C3813"/>
      <c r="M3813"/>
    </row>
    <row r="3814" spans="1:13" ht="12.75" customHeight="1" x14ac:dyDescent="0.25">
      <c r="A3814"/>
      <c r="B3814"/>
      <c r="C3814"/>
      <c r="M3814"/>
    </row>
    <row r="3815" spans="1:13" ht="12.75" customHeight="1" x14ac:dyDescent="0.25">
      <c r="A3815"/>
      <c r="B3815"/>
      <c r="C3815"/>
      <c r="M3815"/>
    </row>
    <row r="3816" spans="1:13" ht="12.75" customHeight="1" x14ac:dyDescent="0.25">
      <c r="A3816"/>
      <c r="B3816"/>
      <c r="C3816"/>
      <c r="M3816"/>
    </row>
    <row r="3817" spans="1:13" ht="12.75" customHeight="1" x14ac:dyDescent="0.25">
      <c r="A3817"/>
      <c r="B3817"/>
      <c r="C3817"/>
      <c r="M3817"/>
    </row>
    <row r="3818" spans="1:13" ht="12.75" customHeight="1" x14ac:dyDescent="0.25">
      <c r="A3818"/>
      <c r="B3818"/>
      <c r="C3818"/>
      <c r="M3818"/>
    </row>
    <row r="3819" spans="1:13" ht="12.75" customHeight="1" x14ac:dyDescent="0.25">
      <c r="A3819"/>
      <c r="B3819"/>
      <c r="C3819"/>
      <c r="M3819"/>
    </row>
    <row r="3820" spans="1:13" ht="12.75" customHeight="1" x14ac:dyDescent="0.25">
      <c r="A3820"/>
      <c r="B3820"/>
      <c r="C3820"/>
      <c r="M3820"/>
    </row>
    <row r="3821" spans="1:13" ht="12.75" customHeight="1" x14ac:dyDescent="0.25">
      <c r="A3821"/>
      <c r="B3821"/>
      <c r="C3821"/>
      <c r="M3821"/>
    </row>
    <row r="3822" spans="1:13" ht="12.75" customHeight="1" x14ac:dyDescent="0.25">
      <c r="A3822"/>
      <c r="B3822"/>
      <c r="C3822"/>
      <c r="M3822"/>
    </row>
    <row r="3823" spans="1:13" ht="12.75" customHeight="1" x14ac:dyDescent="0.25">
      <c r="A3823"/>
      <c r="B3823"/>
      <c r="C3823"/>
      <c r="M3823"/>
    </row>
    <row r="3824" spans="1:13" ht="12.75" customHeight="1" x14ac:dyDescent="0.25">
      <c r="A3824"/>
      <c r="B3824"/>
      <c r="C3824"/>
      <c r="M3824"/>
    </row>
    <row r="3825" spans="1:13" ht="12.75" customHeight="1" x14ac:dyDescent="0.25">
      <c r="A3825"/>
      <c r="B3825"/>
      <c r="C3825"/>
      <c r="M3825"/>
    </row>
    <row r="3826" spans="1:13" ht="12.75" customHeight="1" x14ac:dyDescent="0.25">
      <c r="A3826"/>
      <c r="B3826"/>
      <c r="C3826"/>
      <c r="M3826"/>
    </row>
    <row r="3827" spans="1:13" ht="12.75" customHeight="1" x14ac:dyDescent="0.25">
      <c r="A3827"/>
      <c r="B3827"/>
      <c r="C3827"/>
      <c r="M3827"/>
    </row>
    <row r="3828" spans="1:13" ht="12.75" customHeight="1" x14ac:dyDescent="0.25">
      <c r="A3828"/>
      <c r="B3828"/>
      <c r="C3828"/>
      <c r="M3828"/>
    </row>
    <row r="3829" spans="1:13" ht="12.75" customHeight="1" x14ac:dyDescent="0.25">
      <c r="A3829"/>
      <c r="B3829"/>
      <c r="C3829"/>
      <c r="M3829"/>
    </row>
    <row r="3830" spans="1:13" ht="12.75" customHeight="1" x14ac:dyDescent="0.25">
      <c r="A3830"/>
      <c r="B3830"/>
      <c r="C3830"/>
      <c r="M3830"/>
    </row>
    <row r="3831" spans="1:13" ht="12.75" customHeight="1" x14ac:dyDescent="0.25">
      <c r="A3831"/>
      <c r="B3831"/>
      <c r="C3831"/>
      <c r="M3831"/>
    </row>
    <row r="3832" spans="1:13" ht="12.75" customHeight="1" x14ac:dyDescent="0.25">
      <c r="A3832"/>
      <c r="B3832"/>
      <c r="C3832"/>
      <c r="M3832"/>
    </row>
    <row r="3833" spans="1:13" ht="12.75" customHeight="1" x14ac:dyDescent="0.25">
      <c r="A3833"/>
      <c r="B3833"/>
      <c r="C3833"/>
      <c r="M3833"/>
    </row>
    <row r="3834" spans="1:13" ht="12.75" customHeight="1" x14ac:dyDescent="0.25">
      <c r="A3834"/>
      <c r="B3834"/>
      <c r="C3834"/>
      <c r="M3834"/>
    </row>
    <row r="3835" spans="1:13" ht="12.75" customHeight="1" x14ac:dyDescent="0.25">
      <c r="A3835"/>
      <c r="B3835"/>
      <c r="C3835"/>
      <c r="M3835"/>
    </row>
    <row r="3836" spans="1:13" ht="12.75" customHeight="1" x14ac:dyDescent="0.25">
      <c r="A3836"/>
      <c r="B3836"/>
      <c r="C3836"/>
      <c r="M3836"/>
    </row>
    <row r="3837" spans="1:13" ht="12.75" customHeight="1" x14ac:dyDescent="0.25">
      <c r="A3837"/>
      <c r="B3837"/>
      <c r="C3837"/>
      <c r="M3837"/>
    </row>
    <row r="3838" spans="1:13" ht="12.75" customHeight="1" x14ac:dyDescent="0.25">
      <c r="A3838"/>
      <c r="B3838"/>
      <c r="C3838"/>
      <c r="M3838"/>
    </row>
    <row r="3839" spans="1:13" ht="12.75" customHeight="1" x14ac:dyDescent="0.25">
      <c r="A3839"/>
      <c r="B3839"/>
      <c r="C3839"/>
      <c r="M3839"/>
    </row>
    <row r="3840" spans="1:13" ht="12.75" customHeight="1" x14ac:dyDescent="0.25">
      <c r="A3840"/>
      <c r="B3840"/>
      <c r="C3840"/>
      <c r="M3840"/>
    </row>
    <row r="3841" spans="1:13" ht="12.75" customHeight="1" x14ac:dyDescent="0.25">
      <c r="A3841"/>
      <c r="B3841"/>
      <c r="C3841"/>
      <c r="M3841"/>
    </row>
    <row r="3842" spans="1:13" ht="12.75" customHeight="1" x14ac:dyDescent="0.25">
      <c r="A3842"/>
      <c r="B3842"/>
      <c r="C3842"/>
      <c r="M3842"/>
    </row>
    <row r="3843" spans="1:13" ht="12.75" customHeight="1" x14ac:dyDescent="0.25">
      <c r="A3843"/>
      <c r="B3843"/>
      <c r="C3843"/>
      <c r="M3843"/>
    </row>
    <row r="3844" spans="1:13" ht="12.75" customHeight="1" x14ac:dyDescent="0.25">
      <c r="A3844"/>
      <c r="B3844"/>
      <c r="C3844"/>
      <c r="M3844"/>
    </row>
    <row r="3845" spans="1:13" ht="12.75" customHeight="1" x14ac:dyDescent="0.25">
      <c r="A3845"/>
      <c r="B3845"/>
      <c r="C3845"/>
      <c r="M3845"/>
    </row>
    <row r="3846" spans="1:13" ht="12.75" customHeight="1" x14ac:dyDescent="0.25">
      <c r="A3846"/>
      <c r="B3846"/>
      <c r="C3846"/>
      <c r="M3846"/>
    </row>
    <row r="3847" spans="1:13" ht="12.75" customHeight="1" x14ac:dyDescent="0.25">
      <c r="A3847"/>
      <c r="B3847"/>
      <c r="C3847"/>
      <c r="M3847"/>
    </row>
    <row r="3848" spans="1:13" ht="12.75" customHeight="1" x14ac:dyDescent="0.25">
      <c r="A3848"/>
      <c r="B3848"/>
      <c r="C3848"/>
      <c r="M3848"/>
    </row>
    <row r="3849" spans="1:13" ht="12.75" customHeight="1" x14ac:dyDescent="0.25">
      <c r="A3849"/>
      <c r="B3849"/>
      <c r="C3849"/>
      <c r="M3849"/>
    </row>
    <row r="3850" spans="1:13" ht="12.75" customHeight="1" x14ac:dyDescent="0.25">
      <c r="A3850"/>
      <c r="B3850"/>
      <c r="C3850"/>
      <c r="M3850"/>
    </row>
    <row r="3851" spans="1:13" ht="12.75" customHeight="1" x14ac:dyDescent="0.25">
      <c r="A3851"/>
      <c r="B3851"/>
      <c r="C3851"/>
      <c r="M3851"/>
    </row>
    <row r="3852" spans="1:13" ht="12.75" customHeight="1" x14ac:dyDescent="0.25">
      <c r="A3852"/>
      <c r="B3852"/>
      <c r="C3852"/>
      <c r="M3852"/>
    </row>
    <row r="3853" spans="1:13" ht="12.75" customHeight="1" x14ac:dyDescent="0.25">
      <c r="A3853"/>
      <c r="B3853"/>
      <c r="C3853"/>
      <c r="M3853"/>
    </row>
    <row r="3854" spans="1:13" ht="12.75" customHeight="1" x14ac:dyDescent="0.25">
      <c r="A3854"/>
      <c r="B3854"/>
      <c r="C3854"/>
      <c r="M3854"/>
    </row>
    <row r="3855" spans="1:13" ht="12.75" customHeight="1" x14ac:dyDescent="0.25">
      <c r="A3855"/>
      <c r="B3855"/>
      <c r="C3855"/>
      <c r="M3855"/>
    </row>
    <row r="3856" spans="1:13" ht="12.75" customHeight="1" x14ac:dyDescent="0.25">
      <c r="A3856"/>
      <c r="B3856"/>
      <c r="C3856"/>
      <c r="M3856"/>
    </row>
    <row r="3857" spans="1:13" ht="12.75" customHeight="1" x14ac:dyDescent="0.25">
      <c r="A3857"/>
      <c r="B3857"/>
      <c r="C3857"/>
      <c r="M3857"/>
    </row>
    <row r="3858" spans="1:13" ht="12.75" customHeight="1" x14ac:dyDescent="0.25">
      <c r="A3858"/>
      <c r="B3858"/>
      <c r="C3858"/>
      <c r="M3858"/>
    </row>
    <row r="3859" spans="1:13" ht="12.75" customHeight="1" x14ac:dyDescent="0.25">
      <c r="A3859"/>
      <c r="B3859"/>
      <c r="C3859"/>
      <c r="M3859"/>
    </row>
    <row r="3860" spans="1:13" ht="12.75" customHeight="1" x14ac:dyDescent="0.25">
      <c r="A3860"/>
      <c r="B3860"/>
      <c r="C3860"/>
      <c r="M3860"/>
    </row>
    <row r="3861" spans="1:13" ht="12.75" customHeight="1" x14ac:dyDescent="0.25">
      <c r="A3861"/>
      <c r="B3861"/>
      <c r="C3861"/>
      <c r="M3861"/>
    </row>
    <row r="3862" spans="1:13" ht="12.75" customHeight="1" x14ac:dyDescent="0.25">
      <c r="A3862"/>
      <c r="B3862"/>
      <c r="C3862"/>
      <c r="M3862"/>
    </row>
    <row r="3863" spans="1:13" ht="12.75" customHeight="1" x14ac:dyDescent="0.25">
      <c r="A3863"/>
      <c r="B3863"/>
      <c r="C3863"/>
      <c r="M3863"/>
    </row>
    <row r="3864" spans="1:13" ht="12.75" customHeight="1" x14ac:dyDescent="0.25">
      <c r="A3864"/>
      <c r="B3864"/>
      <c r="C3864"/>
      <c r="M3864"/>
    </row>
    <row r="3865" spans="1:13" ht="12.75" customHeight="1" x14ac:dyDescent="0.25">
      <c r="A3865"/>
      <c r="B3865"/>
      <c r="C3865"/>
      <c r="M3865"/>
    </row>
    <row r="3866" spans="1:13" ht="12.75" customHeight="1" x14ac:dyDescent="0.25">
      <c r="A3866"/>
      <c r="B3866"/>
      <c r="C3866"/>
      <c r="M3866"/>
    </row>
    <row r="3867" spans="1:13" ht="12.75" customHeight="1" x14ac:dyDescent="0.25">
      <c r="A3867"/>
      <c r="B3867"/>
      <c r="C3867"/>
      <c r="M3867"/>
    </row>
    <row r="3868" spans="1:13" ht="12.75" customHeight="1" x14ac:dyDescent="0.25">
      <c r="A3868"/>
      <c r="B3868"/>
      <c r="C3868"/>
      <c r="M3868"/>
    </row>
    <row r="3869" spans="1:13" ht="12.75" customHeight="1" x14ac:dyDescent="0.25">
      <c r="A3869"/>
      <c r="B3869"/>
      <c r="C3869"/>
      <c r="M3869"/>
    </row>
    <row r="3870" spans="1:13" ht="12.75" customHeight="1" x14ac:dyDescent="0.25">
      <c r="A3870"/>
      <c r="B3870"/>
      <c r="C3870"/>
      <c r="M3870"/>
    </row>
    <row r="3871" spans="1:13" ht="12.75" customHeight="1" x14ac:dyDescent="0.25">
      <c r="A3871"/>
      <c r="B3871"/>
      <c r="C3871"/>
      <c r="M3871"/>
    </row>
    <row r="3872" spans="1:13" ht="12.75" customHeight="1" x14ac:dyDescent="0.25">
      <c r="A3872"/>
      <c r="B3872"/>
      <c r="C3872"/>
      <c r="M3872"/>
    </row>
    <row r="3873" spans="1:13" ht="12.75" customHeight="1" x14ac:dyDescent="0.25">
      <c r="A3873"/>
      <c r="B3873"/>
      <c r="C3873"/>
      <c r="M3873"/>
    </row>
    <row r="3874" spans="1:13" ht="12.75" customHeight="1" x14ac:dyDescent="0.25">
      <c r="A3874"/>
      <c r="B3874"/>
      <c r="C3874"/>
      <c r="M3874"/>
    </row>
    <row r="3875" spans="1:13" ht="12.75" customHeight="1" x14ac:dyDescent="0.25">
      <c r="A3875"/>
      <c r="B3875"/>
      <c r="C3875"/>
      <c r="M3875"/>
    </row>
    <row r="3876" spans="1:13" ht="12.75" customHeight="1" x14ac:dyDescent="0.25">
      <c r="A3876"/>
      <c r="B3876"/>
      <c r="C3876"/>
      <c r="M3876"/>
    </row>
    <row r="3877" spans="1:13" ht="12.75" customHeight="1" x14ac:dyDescent="0.25">
      <c r="A3877"/>
      <c r="B3877"/>
      <c r="C3877"/>
      <c r="M3877"/>
    </row>
    <row r="3878" spans="1:13" ht="12.75" customHeight="1" x14ac:dyDescent="0.25">
      <c r="A3878"/>
      <c r="B3878"/>
      <c r="C3878"/>
      <c r="M3878"/>
    </row>
    <row r="3879" spans="1:13" ht="12.75" customHeight="1" x14ac:dyDescent="0.25">
      <c r="A3879"/>
      <c r="B3879"/>
      <c r="C3879"/>
      <c r="M3879"/>
    </row>
    <row r="3880" spans="1:13" ht="12.75" customHeight="1" x14ac:dyDescent="0.25">
      <c r="A3880"/>
      <c r="B3880"/>
      <c r="C3880"/>
      <c r="M3880"/>
    </row>
    <row r="3881" spans="1:13" ht="12.75" customHeight="1" x14ac:dyDescent="0.25">
      <c r="A3881"/>
      <c r="B3881"/>
      <c r="C3881"/>
      <c r="M3881"/>
    </row>
    <row r="3882" spans="1:13" ht="12.75" customHeight="1" x14ac:dyDescent="0.25">
      <c r="A3882"/>
      <c r="B3882"/>
      <c r="C3882"/>
      <c r="M3882"/>
    </row>
    <row r="3883" spans="1:13" ht="12.75" customHeight="1" x14ac:dyDescent="0.25">
      <c r="A3883"/>
      <c r="B3883"/>
      <c r="C3883"/>
      <c r="M3883"/>
    </row>
    <row r="3884" spans="1:13" ht="12.75" customHeight="1" x14ac:dyDescent="0.25">
      <c r="A3884"/>
      <c r="B3884"/>
      <c r="C3884"/>
      <c r="M3884"/>
    </row>
    <row r="3885" spans="1:13" ht="12.75" customHeight="1" x14ac:dyDescent="0.25">
      <c r="A3885"/>
      <c r="B3885"/>
      <c r="C3885"/>
      <c r="M3885"/>
    </row>
    <row r="3886" spans="1:13" ht="12.75" customHeight="1" x14ac:dyDescent="0.25">
      <c r="A3886"/>
      <c r="B3886"/>
      <c r="C3886"/>
      <c r="M3886"/>
    </row>
    <row r="3887" spans="1:13" ht="12.75" customHeight="1" x14ac:dyDescent="0.25">
      <c r="A3887"/>
      <c r="B3887"/>
      <c r="C3887"/>
      <c r="M3887"/>
    </row>
    <row r="3888" spans="1:13" ht="12.75" customHeight="1" x14ac:dyDescent="0.25">
      <c r="A3888"/>
      <c r="B3888"/>
      <c r="C3888"/>
      <c r="M3888"/>
    </row>
    <row r="3889" spans="1:13" ht="12.75" customHeight="1" x14ac:dyDescent="0.25">
      <c r="A3889"/>
      <c r="B3889"/>
      <c r="C3889"/>
      <c r="M3889"/>
    </row>
    <row r="3890" spans="1:13" ht="12.75" customHeight="1" x14ac:dyDescent="0.25">
      <c r="A3890"/>
      <c r="B3890"/>
      <c r="C3890"/>
      <c r="M3890"/>
    </row>
    <row r="3891" spans="1:13" ht="12.75" customHeight="1" x14ac:dyDescent="0.25">
      <c r="A3891"/>
      <c r="B3891"/>
      <c r="C3891"/>
      <c r="M3891"/>
    </row>
    <row r="3892" spans="1:13" ht="12.75" customHeight="1" x14ac:dyDescent="0.25">
      <c r="A3892"/>
      <c r="B3892"/>
      <c r="C3892"/>
      <c r="M3892"/>
    </row>
    <row r="3893" spans="1:13" ht="12.75" customHeight="1" x14ac:dyDescent="0.25">
      <c r="A3893"/>
      <c r="B3893"/>
      <c r="C3893"/>
      <c r="M3893"/>
    </row>
    <row r="3894" spans="1:13" ht="12.75" customHeight="1" x14ac:dyDescent="0.25">
      <c r="A3894"/>
      <c r="B3894"/>
      <c r="C3894"/>
      <c r="M3894"/>
    </row>
    <row r="3895" spans="1:13" ht="12.75" customHeight="1" x14ac:dyDescent="0.25">
      <c r="A3895"/>
      <c r="B3895"/>
      <c r="C3895"/>
      <c r="M3895"/>
    </row>
    <row r="3896" spans="1:13" ht="12.75" customHeight="1" x14ac:dyDescent="0.25">
      <c r="A3896"/>
      <c r="B3896"/>
      <c r="C3896"/>
      <c r="M3896"/>
    </row>
    <row r="3897" spans="1:13" ht="12.75" customHeight="1" x14ac:dyDescent="0.25">
      <c r="A3897"/>
      <c r="B3897"/>
      <c r="C3897"/>
      <c r="M3897"/>
    </row>
    <row r="3898" spans="1:13" ht="12.75" customHeight="1" x14ac:dyDescent="0.25">
      <c r="A3898"/>
      <c r="B3898"/>
      <c r="C3898"/>
      <c r="M3898"/>
    </row>
    <row r="3899" spans="1:13" ht="12.75" customHeight="1" x14ac:dyDescent="0.25">
      <c r="A3899"/>
      <c r="B3899"/>
      <c r="C3899"/>
      <c r="M3899"/>
    </row>
    <row r="3900" spans="1:13" ht="12.75" customHeight="1" x14ac:dyDescent="0.25">
      <c r="A3900"/>
      <c r="B3900"/>
      <c r="C3900"/>
      <c r="M3900"/>
    </row>
    <row r="3901" spans="1:13" ht="12.75" customHeight="1" x14ac:dyDescent="0.25">
      <c r="A3901"/>
      <c r="B3901"/>
      <c r="C3901"/>
      <c r="M3901"/>
    </row>
    <row r="3902" spans="1:13" ht="12.75" customHeight="1" x14ac:dyDescent="0.25">
      <c r="A3902"/>
      <c r="B3902"/>
      <c r="C3902"/>
      <c r="M3902"/>
    </row>
    <row r="3903" spans="1:13" ht="12.75" customHeight="1" x14ac:dyDescent="0.25">
      <c r="A3903"/>
      <c r="B3903"/>
      <c r="C3903"/>
      <c r="M3903"/>
    </row>
    <row r="3904" spans="1:13" ht="12.75" customHeight="1" x14ac:dyDescent="0.25">
      <c r="A3904"/>
      <c r="B3904"/>
      <c r="C3904"/>
      <c r="M3904"/>
    </row>
    <row r="3905" spans="1:13" ht="12.75" customHeight="1" x14ac:dyDescent="0.25">
      <c r="A3905"/>
      <c r="B3905"/>
      <c r="C3905"/>
      <c r="M3905"/>
    </row>
    <row r="3906" spans="1:13" ht="12.75" customHeight="1" x14ac:dyDescent="0.25">
      <c r="A3906"/>
      <c r="B3906"/>
      <c r="C3906"/>
      <c r="M3906"/>
    </row>
    <row r="3907" spans="1:13" ht="12.75" customHeight="1" x14ac:dyDescent="0.25">
      <c r="A3907"/>
      <c r="B3907"/>
      <c r="C3907"/>
      <c r="M3907"/>
    </row>
    <row r="3908" spans="1:13" ht="12.75" customHeight="1" x14ac:dyDescent="0.25">
      <c r="A3908"/>
      <c r="B3908"/>
      <c r="C3908"/>
      <c r="M3908"/>
    </row>
    <row r="3909" spans="1:13" ht="12.75" customHeight="1" x14ac:dyDescent="0.25">
      <c r="A3909"/>
      <c r="B3909"/>
      <c r="C3909"/>
      <c r="M3909"/>
    </row>
    <row r="3910" spans="1:13" ht="12.75" customHeight="1" x14ac:dyDescent="0.25">
      <c r="A3910"/>
      <c r="B3910"/>
      <c r="C3910"/>
      <c r="M3910"/>
    </row>
    <row r="3911" spans="1:13" ht="12.75" customHeight="1" x14ac:dyDescent="0.25">
      <c r="A3911"/>
      <c r="B3911"/>
      <c r="C3911"/>
      <c r="M3911"/>
    </row>
    <row r="3912" spans="1:13" ht="12.75" customHeight="1" x14ac:dyDescent="0.25">
      <c r="A3912"/>
      <c r="B3912"/>
      <c r="C3912"/>
      <c r="M3912"/>
    </row>
    <row r="3913" spans="1:13" ht="12.75" customHeight="1" x14ac:dyDescent="0.25">
      <c r="A3913"/>
      <c r="B3913"/>
      <c r="C3913"/>
      <c r="M3913"/>
    </row>
    <row r="3914" spans="1:13" ht="12.75" customHeight="1" x14ac:dyDescent="0.25">
      <c r="A3914"/>
      <c r="B3914"/>
      <c r="C3914"/>
      <c r="M3914"/>
    </row>
    <row r="3915" spans="1:13" ht="12.75" customHeight="1" x14ac:dyDescent="0.25">
      <c r="A3915"/>
      <c r="B3915"/>
      <c r="C3915"/>
      <c r="M3915"/>
    </row>
    <row r="3916" spans="1:13" ht="12.75" customHeight="1" x14ac:dyDescent="0.25">
      <c r="A3916"/>
      <c r="B3916"/>
      <c r="C3916"/>
      <c r="M3916"/>
    </row>
    <row r="3917" spans="1:13" ht="12.75" customHeight="1" x14ac:dyDescent="0.25">
      <c r="A3917"/>
      <c r="B3917"/>
      <c r="C3917"/>
      <c r="M3917"/>
    </row>
    <row r="3918" spans="1:13" ht="12.75" customHeight="1" x14ac:dyDescent="0.25">
      <c r="A3918"/>
      <c r="B3918"/>
      <c r="C3918"/>
      <c r="M3918"/>
    </row>
    <row r="3919" spans="1:13" ht="12.75" customHeight="1" x14ac:dyDescent="0.25">
      <c r="A3919"/>
      <c r="B3919"/>
      <c r="C3919"/>
      <c r="M3919"/>
    </row>
    <row r="3920" spans="1:13" ht="12.75" customHeight="1" x14ac:dyDescent="0.25">
      <c r="A3920"/>
      <c r="B3920"/>
      <c r="C3920"/>
      <c r="M3920"/>
    </row>
    <row r="3921" spans="1:13" ht="12.75" customHeight="1" x14ac:dyDescent="0.25">
      <c r="A3921"/>
      <c r="B3921"/>
      <c r="C3921"/>
      <c r="M3921"/>
    </row>
    <row r="3922" spans="1:13" ht="12.75" customHeight="1" x14ac:dyDescent="0.25">
      <c r="A3922"/>
      <c r="B3922"/>
      <c r="C3922"/>
      <c r="M3922"/>
    </row>
    <row r="3923" spans="1:13" ht="12.75" customHeight="1" x14ac:dyDescent="0.25">
      <c r="A3923"/>
      <c r="B3923"/>
      <c r="C3923"/>
      <c r="M3923"/>
    </row>
    <row r="3924" spans="1:13" ht="12.75" customHeight="1" x14ac:dyDescent="0.25">
      <c r="A3924"/>
      <c r="B3924"/>
      <c r="C3924"/>
      <c r="M3924"/>
    </row>
    <row r="3925" spans="1:13" ht="12.75" customHeight="1" x14ac:dyDescent="0.25">
      <c r="A3925"/>
      <c r="B3925"/>
      <c r="C3925"/>
      <c r="M3925"/>
    </row>
    <row r="3926" spans="1:13" ht="12.75" customHeight="1" x14ac:dyDescent="0.25">
      <c r="A3926"/>
      <c r="B3926"/>
      <c r="C3926"/>
      <c r="M3926"/>
    </row>
    <row r="3927" spans="1:13" ht="12.75" customHeight="1" x14ac:dyDescent="0.25">
      <c r="A3927"/>
      <c r="B3927"/>
      <c r="C3927"/>
      <c r="M3927"/>
    </row>
    <row r="3928" spans="1:13" ht="12.75" customHeight="1" x14ac:dyDescent="0.25">
      <c r="A3928"/>
      <c r="B3928"/>
      <c r="C3928"/>
      <c r="M3928"/>
    </row>
    <row r="3929" spans="1:13" ht="12.75" customHeight="1" x14ac:dyDescent="0.25">
      <c r="A3929"/>
      <c r="B3929"/>
      <c r="C3929"/>
      <c r="M3929"/>
    </row>
    <row r="3930" spans="1:13" ht="12.75" customHeight="1" x14ac:dyDescent="0.25">
      <c r="A3930"/>
      <c r="B3930"/>
      <c r="C3930"/>
      <c r="M3930"/>
    </row>
    <row r="3931" spans="1:13" ht="12.75" customHeight="1" x14ac:dyDescent="0.25">
      <c r="A3931"/>
      <c r="B3931"/>
      <c r="C3931"/>
      <c r="M3931"/>
    </row>
    <row r="3932" spans="1:13" ht="12.75" customHeight="1" x14ac:dyDescent="0.25">
      <c r="A3932"/>
      <c r="B3932"/>
      <c r="C3932"/>
      <c r="M3932"/>
    </row>
    <row r="3933" spans="1:13" ht="12.75" customHeight="1" x14ac:dyDescent="0.25">
      <c r="A3933"/>
      <c r="B3933"/>
      <c r="C3933"/>
      <c r="M3933"/>
    </row>
    <row r="3934" spans="1:13" ht="12.75" customHeight="1" x14ac:dyDescent="0.25">
      <c r="A3934"/>
      <c r="B3934"/>
      <c r="C3934"/>
      <c r="M3934"/>
    </row>
    <row r="3935" spans="1:13" ht="12.75" customHeight="1" x14ac:dyDescent="0.25">
      <c r="A3935"/>
      <c r="B3935"/>
      <c r="C3935"/>
      <c r="M3935"/>
    </row>
    <row r="3936" spans="1:13" ht="12.75" customHeight="1" x14ac:dyDescent="0.25">
      <c r="A3936"/>
      <c r="B3936"/>
      <c r="C3936"/>
      <c r="M3936"/>
    </row>
    <row r="3937" spans="1:13" ht="12.75" customHeight="1" x14ac:dyDescent="0.25">
      <c r="A3937"/>
      <c r="B3937"/>
      <c r="C3937"/>
      <c r="M3937"/>
    </row>
    <row r="3938" spans="1:13" ht="12.75" customHeight="1" x14ac:dyDescent="0.25">
      <c r="A3938"/>
      <c r="B3938"/>
      <c r="C3938"/>
      <c r="M3938"/>
    </row>
    <row r="3939" spans="1:13" ht="12.75" customHeight="1" x14ac:dyDescent="0.25">
      <c r="A3939"/>
      <c r="B3939"/>
      <c r="C3939"/>
      <c r="M3939"/>
    </row>
    <row r="3940" spans="1:13" ht="12.75" customHeight="1" x14ac:dyDescent="0.25">
      <c r="A3940"/>
      <c r="B3940"/>
      <c r="C3940"/>
      <c r="M3940"/>
    </row>
    <row r="3941" spans="1:13" ht="12.75" customHeight="1" x14ac:dyDescent="0.25">
      <c r="A3941"/>
      <c r="B3941"/>
      <c r="C3941"/>
      <c r="M3941"/>
    </row>
    <row r="3942" spans="1:13" ht="12.75" customHeight="1" x14ac:dyDescent="0.25">
      <c r="A3942"/>
      <c r="B3942"/>
      <c r="C3942"/>
      <c r="M3942"/>
    </row>
    <row r="3943" spans="1:13" ht="12.75" customHeight="1" x14ac:dyDescent="0.25">
      <c r="A3943"/>
      <c r="B3943"/>
      <c r="C3943"/>
      <c r="M3943"/>
    </row>
    <row r="3944" spans="1:13" ht="12.75" customHeight="1" x14ac:dyDescent="0.25">
      <c r="A3944"/>
      <c r="B3944"/>
      <c r="C3944"/>
      <c r="M3944"/>
    </row>
    <row r="3945" spans="1:13" ht="12.75" customHeight="1" x14ac:dyDescent="0.25">
      <c r="A3945"/>
      <c r="B3945"/>
      <c r="C3945"/>
      <c r="M3945"/>
    </row>
    <row r="3946" spans="1:13" ht="12.75" customHeight="1" x14ac:dyDescent="0.25">
      <c r="A3946"/>
      <c r="B3946"/>
      <c r="C3946"/>
      <c r="M3946"/>
    </row>
    <row r="3947" spans="1:13" ht="12.75" customHeight="1" x14ac:dyDescent="0.25">
      <c r="A3947"/>
      <c r="B3947"/>
      <c r="C3947"/>
      <c r="M3947"/>
    </row>
    <row r="3948" spans="1:13" ht="12.75" customHeight="1" x14ac:dyDescent="0.25">
      <c r="A3948"/>
      <c r="B3948"/>
      <c r="C3948"/>
      <c r="M3948"/>
    </row>
    <row r="3949" spans="1:13" ht="12.75" customHeight="1" x14ac:dyDescent="0.25">
      <c r="A3949"/>
      <c r="B3949"/>
      <c r="C3949"/>
      <c r="M3949"/>
    </row>
    <row r="3950" spans="1:13" ht="12.75" customHeight="1" x14ac:dyDescent="0.25">
      <c r="A3950"/>
      <c r="B3950"/>
      <c r="C3950"/>
      <c r="M3950"/>
    </row>
    <row r="3951" spans="1:13" ht="12.75" customHeight="1" x14ac:dyDescent="0.25">
      <c r="A3951"/>
      <c r="B3951"/>
      <c r="C3951"/>
      <c r="M3951"/>
    </row>
    <row r="3952" spans="1:13" ht="12.75" customHeight="1" x14ac:dyDescent="0.25">
      <c r="A3952"/>
      <c r="B3952"/>
      <c r="C3952"/>
      <c r="M3952"/>
    </row>
    <row r="3953" spans="1:13" ht="12.75" customHeight="1" x14ac:dyDescent="0.25">
      <c r="A3953"/>
      <c r="B3953"/>
      <c r="C3953"/>
      <c r="M3953"/>
    </row>
    <row r="3954" spans="1:13" ht="12.75" customHeight="1" x14ac:dyDescent="0.25">
      <c r="A3954"/>
      <c r="B3954"/>
      <c r="C3954"/>
      <c r="M3954"/>
    </row>
    <row r="3955" spans="1:13" ht="12.75" customHeight="1" x14ac:dyDescent="0.25">
      <c r="A3955"/>
      <c r="B3955"/>
      <c r="C3955"/>
      <c r="M3955"/>
    </row>
    <row r="3956" spans="1:13" ht="12.75" customHeight="1" x14ac:dyDescent="0.25">
      <c r="A3956"/>
      <c r="B3956"/>
      <c r="C3956"/>
      <c r="M3956"/>
    </row>
    <row r="3957" spans="1:13" ht="12.75" customHeight="1" x14ac:dyDescent="0.25">
      <c r="A3957"/>
      <c r="B3957"/>
      <c r="C3957"/>
      <c r="M3957"/>
    </row>
    <row r="3958" spans="1:13" ht="12.75" customHeight="1" x14ac:dyDescent="0.25">
      <c r="A3958"/>
      <c r="B3958"/>
      <c r="C3958"/>
      <c r="M3958"/>
    </row>
    <row r="3959" spans="1:13" ht="12.75" customHeight="1" x14ac:dyDescent="0.25">
      <c r="A3959"/>
      <c r="B3959"/>
      <c r="C3959"/>
      <c r="M3959"/>
    </row>
    <row r="3960" spans="1:13" ht="12.75" customHeight="1" x14ac:dyDescent="0.25">
      <c r="A3960"/>
      <c r="B3960"/>
      <c r="C3960"/>
      <c r="M3960"/>
    </row>
    <row r="3961" spans="1:13" ht="12.75" customHeight="1" x14ac:dyDescent="0.25">
      <c r="A3961"/>
      <c r="B3961"/>
      <c r="C3961"/>
      <c r="M3961"/>
    </row>
    <row r="3962" spans="1:13" ht="12.75" customHeight="1" x14ac:dyDescent="0.25">
      <c r="A3962"/>
      <c r="B3962"/>
      <c r="C3962"/>
      <c r="M3962"/>
    </row>
    <row r="3963" spans="1:13" ht="12.75" customHeight="1" x14ac:dyDescent="0.25">
      <c r="A3963"/>
      <c r="B3963"/>
      <c r="C3963"/>
      <c r="M3963"/>
    </row>
    <row r="3964" spans="1:13" ht="12.75" customHeight="1" x14ac:dyDescent="0.25">
      <c r="A3964"/>
      <c r="B3964"/>
      <c r="C3964"/>
      <c r="M3964"/>
    </row>
    <row r="3965" spans="1:13" ht="12.75" customHeight="1" x14ac:dyDescent="0.25">
      <c r="A3965"/>
      <c r="B3965"/>
      <c r="C3965"/>
      <c r="M3965"/>
    </row>
    <row r="3966" spans="1:13" ht="12.75" customHeight="1" x14ac:dyDescent="0.25">
      <c r="A3966"/>
      <c r="B3966"/>
      <c r="C3966"/>
      <c r="M3966"/>
    </row>
    <row r="3967" spans="1:13" ht="12.75" customHeight="1" x14ac:dyDescent="0.25">
      <c r="A3967"/>
      <c r="B3967"/>
      <c r="C3967"/>
      <c r="M3967"/>
    </row>
    <row r="3968" spans="1:13" ht="12.75" customHeight="1" x14ac:dyDescent="0.25">
      <c r="A3968"/>
      <c r="B3968"/>
      <c r="C3968"/>
      <c r="M3968"/>
    </row>
    <row r="3969" spans="1:13" ht="12.75" customHeight="1" x14ac:dyDescent="0.25">
      <c r="A3969"/>
      <c r="B3969"/>
      <c r="C3969"/>
      <c r="M3969"/>
    </row>
    <row r="3970" spans="1:13" ht="12.75" customHeight="1" x14ac:dyDescent="0.25">
      <c r="A3970"/>
      <c r="B3970"/>
      <c r="C3970"/>
      <c r="M3970"/>
    </row>
    <row r="3971" spans="1:13" ht="12.75" customHeight="1" x14ac:dyDescent="0.25">
      <c r="A3971"/>
      <c r="B3971"/>
      <c r="C3971"/>
      <c r="M3971"/>
    </row>
    <row r="3972" spans="1:13" ht="12.75" customHeight="1" x14ac:dyDescent="0.25">
      <c r="A3972"/>
      <c r="B3972"/>
      <c r="C3972"/>
      <c r="M3972"/>
    </row>
    <row r="3973" spans="1:13" ht="12.75" customHeight="1" x14ac:dyDescent="0.25">
      <c r="A3973"/>
      <c r="B3973"/>
      <c r="C3973"/>
      <c r="M3973"/>
    </row>
    <row r="3974" spans="1:13" ht="12.75" customHeight="1" x14ac:dyDescent="0.25">
      <c r="A3974"/>
      <c r="B3974"/>
      <c r="C3974"/>
      <c r="M3974"/>
    </row>
    <row r="3975" spans="1:13" ht="12.75" customHeight="1" x14ac:dyDescent="0.25">
      <c r="A3975"/>
      <c r="B3975"/>
      <c r="C3975"/>
      <c r="M3975"/>
    </row>
    <row r="3976" spans="1:13" ht="12.75" customHeight="1" x14ac:dyDescent="0.25">
      <c r="A3976"/>
      <c r="B3976"/>
      <c r="C3976"/>
      <c r="M3976"/>
    </row>
    <row r="3977" spans="1:13" ht="12.75" customHeight="1" x14ac:dyDescent="0.25">
      <c r="A3977"/>
      <c r="B3977"/>
      <c r="C3977"/>
      <c r="M3977"/>
    </row>
    <row r="3978" spans="1:13" ht="12.75" customHeight="1" x14ac:dyDescent="0.25">
      <c r="A3978"/>
      <c r="B3978"/>
      <c r="C3978"/>
      <c r="M3978"/>
    </row>
    <row r="3979" spans="1:13" ht="12.75" customHeight="1" x14ac:dyDescent="0.25">
      <c r="A3979"/>
      <c r="B3979"/>
      <c r="C3979"/>
      <c r="M3979"/>
    </row>
    <row r="3980" spans="1:13" ht="12.75" customHeight="1" x14ac:dyDescent="0.25">
      <c r="A3980"/>
      <c r="B3980"/>
      <c r="C3980"/>
      <c r="M3980"/>
    </row>
    <row r="3981" spans="1:13" ht="12.75" customHeight="1" x14ac:dyDescent="0.25">
      <c r="A3981"/>
      <c r="B3981"/>
      <c r="C3981"/>
      <c r="M3981"/>
    </row>
    <row r="3982" spans="1:13" ht="12.75" customHeight="1" x14ac:dyDescent="0.25">
      <c r="A3982"/>
      <c r="B3982"/>
      <c r="C3982"/>
      <c r="M3982"/>
    </row>
    <row r="3983" spans="1:13" ht="12.75" customHeight="1" x14ac:dyDescent="0.25">
      <c r="A3983"/>
      <c r="B3983"/>
      <c r="C3983"/>
      <c r="M3983"/>
    </row>
    <row r="3984" spans="1:13" ht="12.75" customHeight="1" x14ac:dyDescent="0.25">
      <c r="A3984"/>
      <c r="B3984"/>
      <c r="C3984"/>
      <c r="M3984"/>
    </row>
    <row r="3985" spans="1:13" ht="12.75" customHeight="1" x14ac:dyDescent="0.25">
      <c r="A3985"/>
      <c r="B3985"/>
      <c r="C3985"/>
      <c r="M3985"/>
    </row>
    <row r="3986" spans="1:13" ht="12.75" customHeight="1" x14ac:dyDescent="0.25">
      <c r="A3986"/>
      <c r="B3986"/>
      <c r="C3986"/>
      <c r="M3986"/>
    </row>
    <row r="3987" spans="1:13" ht="12.75" customHeight="1" x14ac:dyDescent="0.25">
      <c r="A3987"/>
      <c r="B3987"/>
      <c r="C3987"/>
      <c r="M3987"/>
    </row>
    <row r="3988" spans="1:13" ht="12.75" customHeight="1" x14ac:dyDescent="0.25">
      <c r="A3988"/>
      <c r="B3988"/>
      <c r="C3988"/>
      <c r="M3988"/>
    </row>
    <row r="3989" spans="1:13" ht="12.75" customHeight="1" x14ac:dyDescent="0.25">
      <c r="A3989"/>
      <c r="B3989"/>
      <c r="C3989"/>
      <c r="M3989"/>
    </row>
    <row r="3990" spans="1:13" ht="12.75" customHeight="1" x14ac:dyDescent="0.25">
      <c r="A3990"/>
      <c r="B3990"/>
      <c r="C3990"/>
      <c r="M3990"/>
    </row>
    <row r="3991" spans="1:13" ht="12.75" customHeight="1" x14ac:dyDescent="0.25">
      <c r="A3991"/>
      <c r="B3991"/>
      <c r="C3991"/>
      <c r="M3991"/>
    </row>
    <row r="3992" spans="1:13" ht="12.75" customHeight="1" x14ac:dyDescent="0.25">
      <c r="A3992"/>
      <c r="B3992"/>
      <c r="C3992"/>
      <c r="M3992"/>
    </row>
    <row r="3993" spans="1:13" ht="12.75" customHeight="1" x14ac:dyDescent="0.25">
      <c r="A3993"/>
      <c r="B3993"/>
      <c r="C3993"/>
      <c r="M3993"/>
    </row>
    <row r="3994" spans="1:13" ht="12.75" customHeight="1" x14ac:dyDescent="0.25">
      <c r="A3994"/>
      <c r="B3994"/>
      <c r="C3994"/>
      <c r="M3994"/>
    </row>
    <row r="3995" spans="1:13" ht="12.75" customHeight="1" x14ac:dyDescent="0.25">
      <c r="A3995"/>
      <c r="B3995"/>
      <c r="C3995"/>
      <c r="M3995"/>
    </row>
    <row r="3996" spans="1:13" ht="12.75" customHeight="1" x14ac:dyDescent="0.25">
      <c r="A3996"/>
      <c r="B3996"/>
      <c r="C3996"/>
      <c r="M3996"/>
    </row>
    <row r="3997" spans="1:13" ht="12.75" customHeight="1" x14ac:dyDescent="0.25">
      <c r="A3997"/>
      <c r="B3997"/>
      <c r="C3997"/>
      <c r="M3997"/>
    </row>
    <row r="3998" spans="1:13" ht="12.75" customHeight="1" x14ac:dyDescent="0.25">
      <c r="A3998"/>
      <c r="B3998"/>
      <c r="C3998"/>
      <c r="M3998"/>
    </row>
    <row r="3999" spans="1:13" ht="12.75" customHeight="1" x14ac:dyDescent="0.25">
      <c r="A3999"/>
      <c r="B3999"/>
      <c r="C3999"/>
      <c r="M3999"/>
    </row>
    <row r="4000" spans="1:13" ht="12.75" customHeight="1" x14ac:dyDescent="0.25">
      <c r="A4000"/>
      <c r="B4000"/>
      <c r="C4000"/>
      <c r="M4000"/>
    </row>
    <row r="4001" spans="1:13" ht="12.75" customHeight="1" x14ac:dyDescent="0.25">
      <c r="A4001"/>
      <c r="B4001"/>
      <c r="C4001"/>
      <c r="M4001"/>
    </row>
    <row r="4002" spans="1:13" ht="12.75" customHeight="1" x14ac:dyDescent="0.25">
      <c r="A4002"/>
      <c r="B4002"/>
      <c r="C4002"/>
      <c r="M4002"/>
    </row>
    <row r="4003" spans="1:13" ht="12.75" customHeight="1" x14ac:dyDescent="0.25">
      <c r="A4003"/>
      <c r="B4003"/>
      <c r="C4003"/>
      <c r="M4003"/>
    </row>
    <row r="4004" spans="1:13" ht="12.75" customHeight="1" x14ac:dyDescent="0.25">
      <c r="A4004"/>
      <c r="B4004"/>
      <c r="C4004"/>
      <c r="M4004"/>
    </row>
    <row r="4005" spans="1:13" ht="12.75" customHeight="1" x14ac:dyDescent="0.25">
      <c r="A4005"/>
      <c r="B4005"/>
      <c r="C4005"/>
      <c r="M4005"/>
    </row>
    <row r="4006" spans="1:13" ht="12.75" customHeight="1" x14ac:dyDescent="0.25">
      <c r="A4006"/>
      <c r="B4006"/>
      <c r="C4006"/>
      <c r="M4006"/>
    </row>
    <row r="4007" spans="1:13" ht="12.75" customHeight="1" x14ac:dyDescent="0.25">
      <c r="A4007"/>
      <c r="B4007"/>
      <c r="C4007"/>
      <c r="M4007"/>
    </row>
    <row r="4008" spans="1:13" ht="12.75" customHeight="1" x14ac:dyDescent="0.25">
      <c r="A4008"/>
      <c r="B4008"/>
      <c r="C4008"/>
      <c r="M4008"/>
    </row>
    <row r="4009" spans="1:13" ht="12.75" customHeight="1" x14ac:dyDescent="0.25">
      <c r="A4009"/>
      <c r="B4009"/>
      <c r="C4009"/>
      <c r="M4009"/>
    </row>
    <row r="4010" spans="1:13" ht="12.75" customHeight="1" x14ac:dyDescent="0.25">
      <c r="A4010"/>
      <c r="B4010"/>
      <c r="C4010"/>
      <c r="M4010"/>
    </row>
    <row r="4011" spans="1:13" ht="12.75" customHeight="1" x14ac:dyDescent="0.25">
      <c r="A4011"/>
      <c r="B4011"/>
      <c r="C4011"/>
      <c r="M4011"/>
    </row>
    <row r="4012" spans="1:13" ht="12.75" customHeight="1" x14ac:dyDescent="0.25">
      <c r="A4012"/>
      <c r="B4012"/>
      <c r="C4012"/>
      <c r="M4012"/>
    </row>
    <row r="4013" spans="1:13" ht="12.75" customHeight="1" x14ac:dyDescent="0.25">
      <c r="A4013"/>
      <c r="B4013"/>
      <c r="C4013"/>
      <c r="M4013"/>
    </row>
    <row r="4014" spans="1:13" ht="12.75" customHeight="1" x14ac:dyDescent="0.25">
      <c r="A4014"/>
      <c r="B4014"/>
      <c r="C4014"/>
      <c r="M4014"/>
    </row>
    <row r="4015" spans="1:13" ht="12.75" customHeight="1" x14ac:dyDescent="0.25">
      <c r="A4015"/>
      <c r="B4015"/>
      <c r="C4015"/>
      <c r="M4015"/>
    </row>
    <row r="4016" spans="1:13" ht="12.75" customHeight="1" x14ac:dyDescent="0.25">
      <c r="A4016"/>
      <c r="B4016"/>
      <c r="C4016"/>
      <c r="M4016"/>
    </row>
    <row r="4017" spans="1:13" ht="12.75" customHeight="1" x14ac:dyDescent="0.25">
      <c r="A4017"/>
      <c r="B4017"/>
      <c r="C4017"/>
      <c r="M4017"/>
    </row>
    <row r="4018" spans="1:13" ht="12.75" customHeight="1" x14ac:dyDescent="0.25">
      <c r="A4018"/>
      <c r="B4018"/>
      <c r="C4018"/>
      <c r="M4018"/>
    </row>
    <row r="4019" spans="1:13" ht="12.75" customHeight="1" x14ac:dyDescent="0.25">
      <c r="A4019"/>
      <c r="B4019"/>
      <c r="C4019"/>
      <c r="M4019"/>
    </row>
    <row r="4020" spans="1:13" ht="12.75" customHeight="1" x14ac:dyDescent="0.25">
      <c r="A4020"/>
      <c r="B4020"/>
      <c r="C4020"/>
      <c r="M4020"/>
    </row>
    <row r="4021" spans="1:13" ht="12.75" customHeight="1" x14ac:dyDescent="0.25">
      <c r="A4021"/>
      <c r="B4021"/>
      <c r="C4021"/>
      <c r="M4021"/>
    </row>
    <row r="4022" spans="1:13" ht="12.75" customHeight="1" x14ac:dyDescent="0.25">
      <c r="A4022"/>
      <c r="B4022"/>
      <c r="C4022"/>
      <c r="M4022"/>
    </row>
    <row r="4023" spans="1:13" ht="12.75" customHeight="1" x14ac:dyDescent="0.25">
      <c r="A4023"/>
      <c r="B4023"/>
      <c r="C4023"/>
      <c r="M4023"/>
    </row>
    <row r="4024" spans="1:13" ht="12.75" customHeight="1" x14ac:dyDescent="0.25">
      <c r="A4024"/>
      <c r="B4024"/>
      <c r="C4024"/>
      <c r="M4024"/>
    </row>
    <row r="4025" spans="1:13" ht="12.75" customHeight="1" x14ac:dyDescent="0.25">
      <c r="A4025"/>
      <c r="B4025"/>
      <c r="C4025"/>
      <c r="M4025"/>
    </row>
    <row r="4026" spans="1:13" ht="12.75" customHeight="1" x14ac:dyDescent="0.25">
      <c r="A4026"/>
      <c r="B4026"/>
      <c r="C4026"/>
      <c r="M4026"/>
    </row>
    <row r="4027" spans="1:13" ht="12.75" customHeight="1" x14ac:dyDescent="0.25">
      <c r="A4027"/>
      <c r="B4027"/>
      <c r="C4027"/>
      <c r="M4027"/>
    </row>
    <row r="4028" spans="1:13" ht="12.75" customHeight="1" x14ac:dyDescent="0.25">
      <c r="A4028"/>
      <c r="B4028"/>
      <c r="C4028"/>
      <c r="M4028"/>
    </row>
    <row r="4029" spans="1:13" ht="12.75" customHeight="1" x14ac:dyDescent="0.25">
      <c r="A4029"/>
      <c r="B4029"/>
      <c r="C4029"/>
      <c r="M4029"/>
    </row>
    <row r="4030" spans="1:13" ht="12.75" customHeight="1" x14ac:dyDescent="0.25">
      <c r="A4030"/>
      <c r="B4030"/>
      <c r="C4030"/>
      <c r="M4030"/>
    </row>
    <row r="4031" spans="1:13" ht="12.75" customHeight="1" x14ac:dyDescent="0.25">
      <c r="A4031"/>
      <c r="B4031"/>
      <c r="C4031"/>
      <c r="M4031"/>
    </row>
    <row r="4032" spans="1:13" ht="12.75" customHeight="1" x14ac:dyDescent="0.25">
      <c r="A4032"/>
      <c r="B4032"/>
      <c r="C4032"/>
      <c r="M4032"/>
    </row>
    <row r="4033" spans="1:13" ht="12.75" customHeight="1" x14ac:dyDescent="0.25">
      <c r="A4033"/>
      <c r="B4033"/>
      <c r="C4033"/>
      <c r="M4033"/>
    </row>
    <row r="4034" spans="1:13" ht="12.75" customHeight="1" x14ac:dyDescent="0.25">
      <c r="A4034"/>
      <c r="B4034"/>
      <c r="C4034"/>
      <c r="M4034"/>
    </row>
    <row r="4035" spans="1:13" ht="12.75" customHeight="1" x14ac:dyDescent="0.25">
      <c r="A4035"/>
      <c r="B4035"/>
      <c r="C4035"/>
      <c r="M4035"/>
    </row>
    <row r="4036" spans="1:13" ht="12.75" customHeight="1" x14ac:dyDescent="0.25">
      <c r="A4036"/>
      <c r="B4036"/>
      <c r="C4036"/>
      <c r="M4036"/>
    </row>
    <row r="4037" spans="1:13" ht="12.75" customHeight="1" x14ac:dyDescent="0.25">
      <c r="A4037"/>
      <c r="B4037"/>
      <c r="C4037"/>
      <c r="M4037"/>
    </row>
    <row r="4038" spans="1:13" ht="12.75" customHeight="1" x14ac:dyDescent="0.25">
      <c r="A4038"/>
      <c r="B4038"/>
      <c r="C4038"/>
      <c r="M4038"/>
    </row>
    <row r="4039" spans="1:13" ht="12.75" customHeight="1" x14ac:dyDescent="0.25">
      <c r="A4039"/>
      <c r="B4039"/>
      <c r="C4039"/>
      <c r="M4039"/>
    </row>
    <row r="4040" spans="1:13" ht="12.75" customHeight="1" x14ac:dyDescent="0.25">
      <c r="A4040"/>
      <c r="B4040"/>
      <c r="C4040"/>
      <c r="M4040"/>
    </row>
    <row r="4041" spans="1:13" ht="12.75" customHeight="1" x14ac:dyDescent="0.25">
      <c r="A4041"/>
      <c r="B4041"/>
      <c r="C4041"/>
      <c r="M4041"/>
    </row>
    <row r="4042" spans="1:13" ht="12.75" customHeight="1" x14ac:dyDescent="0.25">
      <c r="A4042"/>
      <c r="B4042"/>
      <c r="C4042"/>
      <c r="M4042"/>
    </row>
    <row r="4043" spans="1:13" ht="12.75" customHeight="1" x14ac:dyDescent="0.25">
      <c r="A4043"/>
      <c r="B4043"/>
      <c r="C4043"/>
      <c r="M4043"/>
    </row>
    <row r="4044" spans="1:13" ht="12.75" customHeight="1" x14ac:dyDescent="0.25">
      <c r="A4044"/>
      <c r="B4044"/>
      <c r="C4044"/>
      <c r="M4044"/>
    </row>
    <row r="4045" spans="1:13" ht="12.75" customHeight="1" x14ac:dyDescent="0.25">
      <c r="A4045"/>
      <c r="B4045"/>
      <c r="C4045"/>
      <c r="M4045"/>
    </row>
    <row r="4046" spans="1:13" ht="12.75" customHeight="1" x14ac:dyDescent="0.25">
      <c r="A4046"/>
      <c r="B4046"/>
      <c r="C4046"/>
      <c r="M4046"/>
    </row>
    <row r="4047" spans="1:13" ht="12.75" customHeight="1" x14ac:dyDescent="0.25">
      <c r="A4047"/>
      <c r="B4047"/>
      <c r="C4047"/>
      <c r="M4047"/>
    </row>
    <row r="4048" spans="1:13" ht="12.75" customHeight="1" x14ac:dyDescent="0.25">
      <c r="A4048"/>
      <c r="B4048"/>
      <c r="C4048"/>
      <c r="M4048"/>
    </row>
    <row r="4049" spans="1:13" ht="12.75" customHeight="1" x14ac:dyDescent="0.25">
      <c r="A4049"/>
      <c r="B4049"/>
      <c r="C4049"/>
      <c r="M4049"/>
    </row>
    <row r="4050" spans="1:13" ht="12.75" customHeight="1" x14ac:dyDescent="0.25">
      <c r="A4050"/>
      <c r="B4050"/>
      <c r="C4050"/>
      <c r="M4050"/>
    </row>
    <row r="4051" spans="1:13" ht="12.75" customHeight="1" x14ac:dyDescent="0.25">
      <c r="A4051"/>
      <c r="B4051"/>
      <c r="C4051"/>
      <c r="M4051"/>
    </row>
    <row r="4052" spans="1:13" ht="12.75" customHeight="1" x14ac:dyDescent="0.25">
      <c r="A4052"/>
      <c r="B4052"/>
      <c r="C4052"/>
      <c r="M4052"/>
    </row>
    <row r="4053" spans="1:13" ht="12.75" customHeight="1" x14ac:dyDescent="0.25">
      <c r="A4053"/>
      <c r="B4053"/>
      <c r="C4053"/>
      <c r="M4053"/>
    </row>
    <row r="4054" spans="1:13" ht="12.75" customHeight="1" x14ac:dyDescent="0.25">
      <c r="A4054"/>
      <c r="B4054"/>
      <c r="C4054"/>
      <c r="M4054"/>
    </row>
    <row r="4055" spans="1:13" ht="12.75" customHeight="1" x14ac:dyDescent="0.25">
      <c r="A4055"/>
      <c r="B4055"/>
      <c r="C4055"/>
      <c r="M4055"/>
    </row>
    <row r="4056" spans="1:13" ht="12.75" customHeight="1" x14ac:dyDescent="0.25">
      <c r="A4056"/>
      <c r="B4056"/>
      <c r="C4056"/>
      <c r="M4056"/>
    </row>
    <row r="4057" spans="1:13" ht="12.75" customHeight="1" x14ac:dyDescent="0.25">
      <c r="A4057"/>
      <c r="B4057"/>
      <c r="C4057"/>
      <c r="M4057"/>
    </row>
    <row r="4058" spans="1:13" ht="12.75" customHeight="1" x14ac:dyDescent="0.25">
      <c r="A4058"/>
      <c r="B4058"/>
      <c r="C4058"/>
      <c r="M4058"/>
    </row>
    <row r="4059" spans="1:13" ht="12.75" customHeight="1" x14ac:dyDescent="0.25">
      <c r="A4059"/>
      <c r="B4059"/>
      <c r="C4059"/>
      <c r="M4059"/>
    </row>
    <row r="4060" spans="1:13" ht="12.75" customHeight="1" x14ac:dyDescent="0.25">
      <c r="A4060"/>
      <c r="B4060"/>
      <c r="C4060"/>
      <c r="M4060"/>
    </row>
    <row r="4061" spans="1:13" ht="12.75" customHeight="1" x14ac:dyDescent="0.25">
      <c r="A4061"/>
      <c r="B4061"/>
      <c r="C4061"/>
      <c r="M4061"/>
    </row>
    <row r="4062" spans="1:13" ht="12.75" customHeight="1" x14ac:dyDescent="0.25">
      <c r="A4062"/>
      <c r="B4062"/>
      <c r="C4062"/>
      <c r="M4062"/>
    </row>
    <row r="4063" spans="1:13" ht="12.75" customHeight="1" x14ac:dyDescent="0.25">
      <c r="A4063"/>
      <c r="B4063"/>
      <c r="C4063"/>
      <c r="M4063"/>
    </row>
    <row r="4064" spans="1:13" ht="12.75" customHeight="1" x14ac:dyDescent="0.25">
      <c r="A4064"/>
      <c r="B4064"/>
      <c r="C4064"/>
      <c r="M4064"/>
    </row>
    <row r="4065" spans="1:13" ht="12.75" customHeight="1" x14ac:dyDescent="0.25">
      <c r="A4065"/>
      <c r="B4065"/>
      <c r="C4065"/>
      <c r="M4065"/>
    </row>
    <row r="4066" spans="1:13" ht="12.75" customHeight="1" x14ac:dyDescent="0.25">
      <c r="A4066"/>
      <c r="B4066"/>
      <c r="C4066"/>
      <c r="M4066"/>
    </row>
    <row r="4067" spans="1:13" ht="12.75" customHeight="1" x14ac:dyDescent="0.25">
      <c r="A4067"/>
      <c r="B4067"/>
      <c r="C4067"/>
      <c r="M4067"/>
    </row>
    <row r="4068" spans="1:13" ht="12.75" customHeight="1" x14ac:dyDescent="0.25">
      <c r="A4068"/>
      <c r="B4068"/>
      <c r="C4068"/>
      <c r="M4068"/>
    </row>
    <row r="4069" spans="1:13" ht="12.75" customHeight="1" x14ac:dyDescent="0.25">
      <c r="A4069"/>
      <c r="B4069"/>
      <c r="C4069"/>
      <c r="M4069"/>
    </row>
    <row r="4070" spans="1:13" ht="12.75" customHeight="1" x14ac:dyDescent="0.25">
      <c r="A4070"/>
      <c r="B4070"/>
      <c r="C4070"/>
      <c r="M4070"/>
    </row>
    <row r="4071" spans="1:13" ht="12.75" customHeight="1" x14ac:dyDescent="0.25">
      <c r="A4071"/>
      <c r="B4071"/>
      <c r="C4071"/>
      <c r="M4071"/>
    </row>
    <row r="4072" spans="1:13" ht="12.75" customHeight="1" x14ac:dyDescent="0.25">
      <c r="A4072"/>
      <c r="B4072"/>
      <c r="C4072"/>
      <c r="M4072"/>
    </row>
    <row r="4073" spans="1:13" ht="12.75" customHeight="1" x14ac:dyDescent="0.25">
      <c r="A4073"/>
      <c r="B4073"/>
      <c r="C4073"/>
      <c r="M4073"/>
    </row>
    <row r="4074" spans="1:13" ht="12.75" customHeight="1" x14ac:dyDescent="0.25">
      <c r="A4074"/>
      <c r="B4074"/>
      <c r="C4074"/>
      <c r="M4074"/>
    </row>
    <row r="4075" spans="1:13" ht="12.75" customHeight="1" x14ac:dyDescent="0.25">
      <c r="A4075"/>
      <c r="B4075"/>
      <c r="C4075"/>
      <c r="M4075"/>
    </row>
    <row r="4076" spans="1:13" ht="12.75" customHeight="1" x14ac:dyDescent="0.25">
      <c r="A4076"/>
      <c r="B4076"/>
      <c r="C4076"/>
      <c r="M4076"/>
    </row>
    <row r="4077" spans="1:13" ht="12.75" customHeight="1" x14ac:dyDescent="0.25">
      <c r="A4077"/>
      <c r="B4077"/>
      <c r="C4077"/>
      <c r="M4077"/>
    </row>
    <row r="4078" spans="1:13" ht="12.75" customHeight="1" x14ac:dyDescent="0.25">
      <c r="A4078"/>
      <c r="B4078"/>
      <c r="C4078"/>
      <c r="M4078"/>
    </row>
    <row r="4079" spans="1:13" ht="12.75" customHeight="1" x14ac:dyDescent="0.25">
      <c r="A4079"/>
      <c r="B4079"/>
      <c r="C4079"/>
      <c r="M4079"/>
    </row>
    <row r="4080" spans="1:13" ht="12.75" customHeight="1" x14ac:dyDescent="0.25">
      <c r="A4080"/>
      <c r="B4080"/>
      <c r="C4080"/>
      <c r="M4080"/>
    </row>
    <row r="4081" spans="1:13" ht="12.75" customHeight="1" x14ac:dyDescent="0.25">
      <c r="A4081"/>
      <c r="B4081"/>
      <c r="C4081"/>
      <c r="M4081"/>
    </row>
    <row r="4082" spans="1:13" ht="12.75" customHeight="1" x14ac:dyDescent="0.25">
      <c r="A4082"/>
      <c r="B4082"/>
      <c r="C4082"/>
      <c r="M4082"/>
    </row>
    <row r="4083" spans="1:13" ht="12.75" customHeight="1" x14ac:dyDescent="0.25">
      <c r="A4083"/>
      <c r="B4083"/>
      <c r="C4083"/>
      <c r="M4083"/>
    </row>
    <row r="4084" spans="1:13" ht="12.75" customHeight="1" x14ac:dyDescent="0.25">
      <c r="A4084"/>
      <c r="B4084"/>
      <c r="C4084"/>
      <c r="M4084"/>
    </row>
    <row r="4085" spans="1:13" ht="12.75" customHeight="1" x14ac:dyDescent="0.25">
      <c r="A4085"/>
      <c r="B4085"/>
      <c r="C4085"/>
      <c r="M4085"/>
    </row>
    <row r="4086" spans="1:13" ht="12.75" customHeight="1" x14ac:dyDescent="0.25">
      <c r="A4086"/>
      <c r="B4086"/>
      <c r="C4086"/>
      <c r="M4086"/>
    </row>
    <row r="4087" spans="1:13" ht="12.75" customHeight="1" x14ac:dyDescent="0.25">
      <c r="A4087"/>
      <c r="B4087"/>
      <c r="C4087"/>
      <c r="M4087"/>
    </row>
    <row r="4088" spans="1:13" ht="12.75" customHeight="1" x14ac:dyDescent="0.25">
      <c r="A4088"/>
      <c r="B4088"/>
      <c r="C4088"/>
      <c r="M4088"/>
    </row>
    <row r="4089" spans="1:13" ht="12.75" customHeight="1" x14ac:dyDescent="0.25">
      <c r="A4089"/>
      <c r="B4089"/>
      <c r="C4089"/>
      <c r="M4089"/>
    </row>
    <row r="4090" spans="1:13" ht="12.75" customHeight="1" x14ac:dyDescent="0.25">
      <c r="A4090"/>
      <c r="B4090"/>
      <c r="C4090"/>
      <c r="M4090"/>
    </row>
    <row r="4091" spans="1:13" ht="12.75" customHeight="1" x14ac:dyDescent="0.25">
      <c r="A4091"/>
      <c r="B4091"/>
      <c r="C4091"/>
      <c r="M4091"/>
    </row>
    <row r="4092" spans="1:13" ht="12.75" customHeight="1" x14ac:dyDescent="0.25">
      <c r="A4092"/>
      <c r="B4092"/>
      <c r="C4092"/>
      <c r="M4092"/>
    </row>
    <row r="4093" spans="1:13" ht="12.75" customHeight="1" x14ac:dyDescent="0.25">
      <c r="A4093"/>
      <c r="B4093"/>
      <c r="C4093"/>
      <c r="M4093"/>
    </row>
    <row r="4094" spans="1:13" ht="12.75" customHeight="1" x14ac:dyDescent="0.25">
      <c r="A4094"/>
      <c r="B4094"/>
      <c r="C4094"/>
      <c r="M4094"/>
    </row>
    <row r="4095" spans="1:13" ht="12.75" customHeight="1" x14ac:dyDescent="0.25">
      <c r="A4095"/>
      <c r="B4095"/>
      <c r="C4095"/>
      <c r="M4095"/>
    </row>
    <row r="4096" spans="1:13" ht="12.75" customHeight="1" x14ac:dyDescent="0.25">
      <c r="A4096"/>
      <c r="B4096"/>
      <c r="C4096"/>
      <c r="M4096"/>
    </row>
    <row r="4097" spans="1:13" ht="12.75" customHeight="1" x14ac:dyDescent="0.25">
      <c r="A4097"/>
      <c r="B4097"/>
      <c r="C4097"/>
      <c r="M4097"/>
    </row>
    <row r="4098" spans="1:13" ht="12.75" customHeight="1" x14ac:dyDescent="0.25">
      <c r="A4098"/>
      <c r="B4098"/>
      <c r="C4098"/>
      <c r="M4098"/>
    </row>
    <row r="4099" spans="1:13" ht="12.75" customHeight="1" x14ac:dyDescent="0.25">
      <c r="A4099"/>
      <c r="B4099"/>
      <c r="C4099"/>
      <c r="M4099"/>
    </row>
    <row r="4100" spans="1:13" ht="12.75" customHeight="1" x14ac:dyDescent="0.25">
      <c r="A4100"/>
      <c r="B4100"/>
      <c r="C4100"/>
      <c r="M4100"/>
    </row>
    <row r="4101" spans="1:13" ht="12.75" customHeight="1" x14ac:dyDescent="0.25">
      <c r="A4101"/>
      <c r="B4101"/>
      <c r="C4101"/>
      <c r="M4101"/>
    </row>
    <row r="4102" spans="1:13" ht="12.75" customHeight="1" x14ac:dyDescent="0.25">
      <c r="A4102"/>
      <c r="B4102"/>
      <c r="C4102"/>
      <c r="M4102"/>
    </row>
    <row r="4103" spans="1:13" ht="12.75" customHeight="1" x14ac:dyDescent="0.25">
      <c r="A4103"/>
      <c r="B4103"/>
      <c r="C4103"/>
      <c r="M4103"/>
    </row>
    <row r="4104" spans="1:13" ht="12.75" customHeight="1" x14ac:dyDescent="0.25">
      <c r="A4104"/>
      <c r="B4104"/>
      <c r="C4104"/>
      <c r="M4104"/>
    </row>
    <row r="4105" spans="1:13" ht="12.75" customHeight="1" x14ac:dyDescent="0.25">
      <c r="A4105"/>
      <c r="B4105"/>
      <c r="C4105"/>
      <c r="M4105"/>
    </row>
    <row r="4106" spans="1:13" ht="12.75" customHeight="1" x14ac:dyDescent="0.25">
      <c r="A4106"/>
      <c r="B4106"/>
      <c r="C4106"/>
      <c r="M4106"/>
    </row>
    <row r="4107" spans="1:13" ht="12.75" customHeight="1" x14ac:dyDescent="0.25">
      <c r="A4107"/>
      <c r="B4107"/>
      <c r="C4107"/>
      <c r="M4107"/>
    </row>
    <row r="4108" spans="1:13" ht="12.75" customHeight="1" x14ac:dyDescent="0.25">
      <c r="A4108"/>
      <c r="B4108"/>
      <c r="C4108"/>
      <c r="M4108"/>
    </row>
    <row r="4109" spans="1:13" ht="12.75" customHeight="1" x14ac:dyDescent="0.25">
      <c r="A4109"/>
      <c r="B4109"/>
      <c r="C4109"/>
      <c r="M4109"/>
    </row>
    <row r="4110" spans="1:13" ht="12.75" customHeight="1" x14ac:dyDescent="0.25">
      <c r="A4110"/>
      <c r="B4110"/>
      <c r="C4110"/>
      <c r="M4110"/>
    </row>
    <row r="4111" spans="1:13" ht="12.75" customHeight="1" x14ac:dyDescent="0.25">
      <c r="A4111"/>
      <c r="B4111"/>
      <c r="C4111"/>
      <c r="M4111"/>
    </row>
    <row r="4112" spans="1:13" ht="12.75" customHeight="1" x14ac:dyDescent="0.25">
      <c r="A4112"/>
      <c r="B4112"/>
      <c r="C4112"/>
      <c r="M4112"/>
    </row>
    <row r="4113" spans="1:13" ht="12.75" customHeight="1" x14ac:dyDescent="0.25">
      <c r="A4113"/>
      <c r="B4113"/>
      <c r="C4113"/>
      <c r="M4113"/>
    </row>
    <row r="4114" spans="1:13" ht="12.75" customHeight="1" x14ac:dyDescent="0.25">
      <c r="A4114"/>
      <c r="B4114"/>
      <c r="C4114"/>
      <c r="M4114"/>
    </row>
    <row r="4115" spans="1:13" ht="12.75" customHeight="1" x14ac:dyDescent="0.25">
      <c r="A4115"/>
      <c r="B4115"/>
      <c r="C4115"/>
      <c r="M4115"/>
    </row>
    <row r="4116" spans="1:13" ht="12.75" customHeight="1" x14ac:dyDescent="0.25">
      <c r="A4116"/>
      <c r="B4116"/>
      <c r="C4116"/>
      <c r="M4116"/>
    </row>
    <row r="4117" spans="1:13" ht="12.75" customHeight="1" x14ac:dyDescent="0.25">
      <c r="A4117"/>
      <c r="B4117"/>
      <c r="C4117"/>
      <c r="M4117"/>
    </row>
    <row r="4118" spans="1:13" ht="12.75" customHeight="1" x14ac:dyDescent="0.25">
      <c r="A4118"/>
      <c r="B4118"/>
      <c r="C4118"/>
      <c r="M4118"/>
    </row>
    <row r="4119" spans="1:13" ht="12.75" customHeight="1" x14ac:dyDescent="0.25">
      <c r="A4119"/>
      <c r="B4119"/>
      <c r="C4119"/>
      <c r="M4119"/>
    </row>
    <row r="4120" spans="1:13" ht="12.75" customHeight="1" x14ac:dyDescent="0.25">
      <c r="A4120"/>
      <c r="B4120"/>
      <c r="C4120"/>
      <c r="M4120"/>
    </row>
    <row r="4121" spans="1:13" ht="12.75" customHeight="1" x14ac:dyDescent="0.25">
      <c r="A4121"/>
      <c r="B4121"/>
      <c r="C4121"/>
      <c r="M4121"/>
    </row>
    <row r="4122" spans="1:13" ht="12.75" customHeight="1" x14ac:dyDescent="0.25">
      <c r="A4122"/>
      <c r="B4122"/>
      <c r="C4122"/>
      <c r="M4122"/>
    </row>
    <row r="4123" spans="1:13" ht="12.75" customHeight="1" x14ac:dyDescent="0.25">
      <c r="A4123"/>
      <c r="B4123"/>
      <c r="C4123"/>
      <c r="M4123"/>
    </row>
    <row r="4124" spans="1:13" ht="12.75" customHeight="1" x14ac:dyDescent="0.25">
      <c r="A4124"/>
      <c r="B4124"/>
      <c r="C4124"/>
      <c r="M4124"/>
    </row>
    <row r="4125" spans="1:13" ht="12.75" customHeight="1" x14ac:dyDescent="0.25">
      <c r="A4125"/>
      <c r="B4125"/>
      <c r="C4125"/>
      <c r="M4125"/>
    </row>
    <row r="4126" spans="1:13" ht="12.75" customHeight="1" x14ac:dyDescent="0.25">
      <c r="A4126"/>
      <c r="B4126"/>
      <c r="C4126"/>
      <c r="M4126"/>
    </row>
    <row r="4127" spans="1:13" ht="12.75" customHeight="1" x14ac:dyDescent="0.25">
      <c r="A4127"/>
      <c r="B4127"/>
      <c r="C4127"/>
      <c r="M4127"/>
    </row>
    <row r="4128" spans="1:13" ht="12.75" customHeight="1" x14ac:dyDescent="0.25">
      <c r="A4128"/>
      <c r="B4128"/>
      <c r="C4128"/>
      <c r="M4128"/>
    </row>
    <row r="4129" spans="1:13" ht="12.75" customHeight="1" x14ac:dyDescent="0.25">
      <c r="A4129"/>
      <c r="B4129"/>
      <c r="C4129"/>
      <c r="M4129"/>
    </row>
    <row r="4130" spans="1:13" ht="12.75" customHeight="1" x14ac:dyDescent="0.25">
      <c r="A4130"/>
      <c r="B4130"/>
      <c r="C4130"/>
      <c r="M4130"/>
    </row>
    <row r="4131" spans="1:13" ht="12.75" customHeight="1" x14ac:dyDescent="0.25">
      <c r="A4131"/>
      <c r="B4131"/>
      <c r="C4131"/>
      <c r="M4131"/>
    </row>
    <row r="4132" spans="1:13" ht="12.75" customHeight="1" x14ac:dyDescent="0.25">
      <c r="A4132"/>
      <c r="B4132"/>
      <c r="C4132"/>
      <c r="M4132"/>
    </row>
    <row r="4133" spans="1:13" ht="12.75" customHeight="1" x14ac:dyDescent="0.25">
      <c r="A4133"/>
      <c r="B4133"/>
      <c r="C4133"/>
      <c r="M4133"/>
    </row>
    <row r="4134" spans="1:13" ht="12.75" customHeight="1" x14ac:dyDescent="0.25">
      <c r="A4134"/>
      <c r="B4134"/>
      <c r="C4134"/>
      <c r="M4134"/>
    </row>
    <row r="4135" spans="1:13" ht="12.75" customHeight="1" x14ac:dyDescent="0.25">
      <c r="A4135"/>
      <c r="B4135"/>
      <c r="C4135"/>
      <c r="M4135"/>
    </row>
    <row r="4136" spans="1:13" ht="12.75" customHeight="1" x14ac:dyDescent="0.25">
      <c r="A4136"/>
      <c r="B4136"/>
      <c r="C4136"/>
      <c r="M4136"/>
    </row>
    <row r="4137" spans="1:13" ht="12.75" customHeight="1" x14ac:dyDescent="0.25">
      <c r="A4137"/>
      <c r="B4137"/>
      <c r="C4137"/>
      <c r="M4137"/>
    </row>
    <row r="4138" spans="1:13" ht="12.75" customHeight="1" x14ac:dyDescent="0.25">
      <c r="A4138"/>
      <c r="B4138"/>
      <c r="C4138"/>
      <c r="M4138"/>
    </row>
    <row r="4139" spans="1:13" ht="12.75" customHeight="1" x14ac:dyDescent="0.25">
      <c r="A4139"/>
      <c r="B4139"/>
      <c r="C4139"/>
      <c r="M4139"/>
    </row>
    <row r="4140" spans="1:13" ht="12.75" customHeight="1" x14ac:dyDescent="0.25">
      <c r="A4140"/>
      <c r="B4140"/>
      <c r="C4140"/>
      <c r="M4140"/>
    </row>
    <row r="4141" spans="1:13" ht="12.75" customHeight="1" x14ac:dyDescent="0.25">
      <c r="A4141"/>
      <c r="B4141"/>
      <c r="C4141"/>
      <c r="M4141"/>
    </row>
    <row r="4142" spans="1:13" ht="12.75" customHeight="1" x14ac:dyDescent="0.25">
      <c r="A4142"/>
      <c r="B4142"/>
      <c r="C4142"/>
      <c r="M4142"/>
    </row>
    <row r="4143" spans="1:13" ht="12.75" customHeight="1" x14ac:dyDescent="0.25">
      <c r="A4143"/>
      <c r="B4143"/>
      <c r="C4143"/>
      <c r="M4143"/>
    </row>
    <row r="4144" spans="1:13" ht="12.75" customHeight="1" x14ac:dyDescent="0.25">
      <c r="A4144"/>
      <c r="B4144"/>
      <c r="C4144"/>
      <c r="M4144"/>
    </row>
    <row r="4145" spans="1:13" ht="12.75" customHeight="1" x14ac:dyDescent="0.25">
      <c r="A4145"/>
      <c r="B4145"/>
      <c r="C4145"/>
      <c r="M4145"/>
    </row>
    <row r="4146" spans="1:13" ht="12.75" customHeight="1" x14ac:dyDescent="0.25">
      <c r="A4146"/>
      <c r="B4146"/>
      <c r="C4146"/>
      <c r="M4146"/>
    </row>
    <row r="4147" spans="1:13" ht="12.75" customHeight="1" x14ac:dyDescent="0.25">
      <c r="A4147"/>
      <c r="B4147"/>
      <c r="C4147"/>
      <c r="M4147"/>
    </row>
    <row r="4148" spans="1:13" ht="12.75" customHeight="1" x14ac:dyDescent="0.25">
      <c r="A4148"/>
      <c r="B4148"/>
      <c r="C4148"/>
      <c r="M4148"/>
    </row>
    <row r="4149" spans="1:13" ht="12.75" customHeight="1" x14ac:dyDescent="0.25">
      <c r="A4149"/>
      <c r="B4149"/>
      <c r="C4149"/>
      <c r="M4149"/>
    </row>
    <row r="4150" spans="1:13" ht="12.75" customHeight="1" x14ac:dyDescent="0.25">
      <c r="A4150"/>
      <c r="B4150"/>
      <c r="C4150"/>
      <c r="M4150"/>
    </row>
    <row r="4151" spans="1:13" ht="12.75" customHeight="1" x14ac:dyDescent="0.25">
      <c r="A4151"/>
      <c r="B4151"/>
      <c r="C4151"/>
      <c r="M4151"/>
    </row>
    <row r="4152" spans="1:13" ht="12.75" customHeight="1" x14ac:dyDescent="0.25">
      <c r="A4152"/>
      <c r="B4152"/>
      <c r="C4152"/>
      <c r="M4152"/>
    </row>
    <row r="4153" spans="1:13" ht="12.75" customHeight="1" x14ac:dyDescent="0.25">
      <c r="A4153"/>
      <c r="B4153"/>
      <c r="C4153"/>
      <c r="M4153"/>
    </row>
    <row r="4154" spans="1:13" ht="12.75" customHeight="1" x14ac:dyDescent="0.25">
      <c r="A4154"/>
      <c r="B4154"/>
      <c r="C4154"/>
      <c r="M4154"/>
    </row>
    <row r="4155" spans="1:13" ht="12.75" customHeight="1" x14ac:dyDescent="0.25">
      <c r="A4155"/>
      <c r="B4155"/>
      <c r="C4155"/>
      <c r="M4155"/>
    </row>
    <row r="4156" spans="1:13" ht="12.75" customHeight="1" x14ac:dyDescent="0.25">
      <c r="A4156"/>
      <c r="B4156"/>
      <c r="C4156"/>
      <c r="M4156"/>
    </row>
    <row r="4157" spans="1:13" ht="12.75" customHeight="1" x14ac:dyDescent="0.25">
      <c r="A4157"/>
      <c r="B4157"/>
      <c r="C4157"/>
      <c r="M4157"/>
    </row>
    <row r="4158" spans="1:13" ht="12.75" customHeight="1" x14ac:dyDescent="0.25">
      <c r="A4158"/>
      <c r="B4158"/>
      <c r="C4158"/>
      <c r="M4158"/>
    </row>
    <row r="4159" spans="1:13" ht="12.75" customHeight="1" x14ac:dyDescent="0.25">
      <c r="A4159"/>
      <c r="B4159"/>
      <c r="C4159"/>
      <c r="M4159"/>
    </row>
    <row r="4160" spans="1:13" ht="12.75" customHeight="1" x14ac:dyDescent="0.25">
      <c r="A4160"/>
      <c r="B4160"/>
      <c r="C4160"/>
      <c r="M4160"/>
    </row>
    <row r="4161" spans="1:13" ht="12.75" customHeight="1" x14ac:dyDescent="0.25">
      <c r="A4161"/>
      <c r="B4161"/>
      <c r="C4161"/>
      <c r="M4161"/>
    </row>
    <row r="4162" spans="1:13" ht="12.75" customHeight="1" x14ac:dyDescent="0.25">
      <c r="A4162"/>
      <c r="B4162"/>
      <c r="C4162"/>
      <c r="M4162"/>
    </row>
    <row r="4163" spans="1:13" ht="12.75" customHeight="1" x14ac:dyDescent="0.25">
      <c r="A4163"/>
      <c r="B4163"/>
      <c r="C4163"/>
      <c r="M4163"/>
    </row>
    <row r="4164" spans="1:13" ht="12.75" customHeight="1" x14ac:dyDescent="0.25">
      <c r="A4164"/>
      <c r="B4164"/>
      <c r="C4164"/>
      <c r="M4164"/>
    </row>
    <row r="4165" spans="1:13" ht="12.75" customHeight="1" x14ac:dyDescent="0.25">
      <c r="A4165"/>
      <c r="B4165"/>
      <c r="C4165"/>
      <c r="M4165"/>
    </row>
    <row r="4166" spans="1:13" ht="12.75" customHeight="1" x14ac:dyDescent="0.25">
      <c r="A4166"/>
      <c r="B4166"/>
      <c r="C4166"/>
      <c r="M4166"/>
    </row>
    <row r="4167" spans="1:13" ht="12.75" customHeight="1" x14ac:dyDescent="0.25">
      <c r="A4167"/>
      <c r="B4167"/>
      <c r="C4167"/>
      <c r="M4167"/>
    </row>
    <row r="4168" spans="1:13" ht="12.75" customHeight="1" x14ac:dyDescent="0.25">
      <c r="A4168"/>
      <c r="B4168"/>
      <c r="C4168"/>
      <c r="M4168"/>
    </row>
    <row r="4169" spans="1:13" ht="12.75" customHeight="1" x14ac:dyDescent="0.25">
      <c r="A4169"/>
      <c r="B4169"/>
      <c r="C4169"/>
      <c r="M4169"/>
    </row>
    <row r="4170" spans="1:13" ht="12.75" customHeight="1" x14ac:dyDescent="0.25">
      <c r="A4170"/>
      <c r="B4170"/>
      <c r="C4170"/>
      <c r="M4170"/>
    </row>
    <row r="4171" spans="1:13" ht="12.75" customHeight="1" x14ac:dyDescent="0.25">
      <c r="A4171"/>
      <c r="B4171"/>
      <c r="C4171"/>
      <c r="M4171"/>
    </row>
    <row r="4172" spans="1:13" ht="12.75" customHeight="1" x14ac:dyDescent="0.25">
      <c r="A4172"/>
      <c r="B4172"/>
      <c r="C4172"/>
      <c r="M4172"/>
    </row>
    <row r="4173" spans="1:13" ht="12.75" customHeight="1" x14ac:dyDescent="0.25">
      <c r="A4173"/>
      <c r="B4173"/>
      <c r="C4173"/>
      <c r="M4173"/>
    </row>
    <row r="4174" spans="1:13" ht="12.75" customHeight="1" x14ac:dyDescent="0.25">
      <c r="A4174"/>
      <c r="B4174"/>
      <c r="C4174"/>
      <c r="M4174"/>
    </row>
    <row r="4175" spans="1:13" ht="12.75" customHeight="1" x14ac:dyDescent="0.25">
      <c r="A4175"/>
      <c r="B4175"/>
      <c r="C4175"/>
      <c r="M4175"/>
    </row>
    <row r="4176" spans="1:13" ht="12.75" customHeight="1" x14ac:dyDescent="0.25">
      <c r="A4176"/>
      <c r="B4176"/>
      <c r="C4176"/>
      <c r="M4176"/>
    </row>
    <row r="4177" spans="1:13" ht="12.75" customHeight="1" x14ac:dyDescent="0.25">
      <c r="A4177"/>
      <c r="B4177"/>
      <c r="C4177"/>
      <c r="M4177"/>
    </row>
    <row r="4178" spans="1:13" ht="12.75" customHeight="1" x14ac:dyDescent="0.25">
      <c r="A4178"/>
      <c r="B4178"/>
      <c r="C4178"/>
      <c r="M4178"/>
    </row>
    <row r="4179" spans="1:13" ht="12.75" customHeight="1" x14ac:dyDescent="0.25">
      <c r="A4179"/>
      <c r="B4179"/>
      <c r="C4179"/>
      <c r="M4179"/>
    </row>
    <row r="4180" spans="1:13" ht="12.75" customHeight="1" x14ac:dyDescent="0.25">
      <c r="A4180"/>
      <c r="B4180"/>
      <c r="C4180"/>
      <c r="M4180"/>
    </row>
    <row r="4181" spans="1:13" ht="12.75" customHeight="1" x14ac:dyDescent="0.25">
      <c r="A4181"/>
      <c r="B4181"/>
      <c r="C4181"/>
      <c r="M4181"/>
    </row>
    <row r="4182" spans="1:13" ht="12.75" customHeight="1" x14ac:dyDescent="0.25">
      <c r="A4182"/>
      <c r="B4182"/>
      <c r="C4182"/>
      <c r="M4182"/>
    </row>
    <row r="4183" spans="1:13" ht="12.75" customHeight="1" x14ac:dyDescent="0.25">
      <c r="A4183"/>
      <c r="B4183"/>
      <c r="C4183"/>
      <c r="M4183"/>
    </row>
    <row r="4184" spans="1:13" ht="12.75" customHeight="1" x14ac:dyDescent="0.25">
      <c r="A4184"/>
      <c r="B4184"/>
      <c r="C4184"/>
      <c r="M4184"/>
    </row>
    <row r="4185" spans="1:13" ht="12.75" customHeight="1" x14ac:dyDescent="0.25">
      <c r="A4185"/>
      <c r="B4185"/>
      <c r="C4185"/>
      <c r="M4185"/>
    </row>
    <row r="4186" spans="1:13" ht="12.75" customHeight="1" x14ac:dyDescent="0.25">
      <c r="A4186"/>
      <c r="B4186"/>
      <c r="C4186"/>
      <c r="M4186"/>
    </row>
    <row r="4187" spans="1:13" ht="12.75" customHeight="1" x14ac:dyDescent="0.25">
      <c r="A4187"/>
      <c r="B4187"/>
      <c r="C4187"/>
      <c r="M4187"/>
    </row>
    <row r="4188" spans="1:13" ht="12.75" customHeight="1" x14ac:dyDescent="0.25">
      <c r="A4188"/>
      <c r="B4188"/>
      <c r="C4188"/>
      <c r="M4188"/>
    </row>
    <row r="4189" spans="1:13" ht="12.75" customHeight="1" x14ac:dyDescent="0.25">
      <c r="A4189"/>
      <c r="B4189"/>
      <c r="C4189"/>
      <c r="M4189"/>
    </row>
    <row r="4190" spans="1:13" ht="12.75" customHeight="1" x14ac:dyDescent="0.25">
      <c r="A4190"/>
      <c r="B4190"/>
      <c r="C4190"/>
      <c r="M4190"/>
    </row>
    <row r="4191" spans="1:13" ht="12.75" customHeight="1" x14ac:dyDescent="0.25">
      <c r="A4191"/>
      <c r="B4191"/>
      <c r="C4191"/>
      <c r="M4191"/>
    </row>
    <row r="4192" spans="1:13" ht="12.75" customHeight="1" x14ac:dyDescent="0.25">
      <c r="A4192"/>
      <c r="B4192"/>
      <c r="C4192"/>
      <c r="M4192"/>
    </row>
    <row r="4193" spans="1:13" ht="12.75" customHeight="1" x14ac:dyDescent="0.25">
      <c r="A4193"/>
      <c r="B4193"/>
      <c r="C4193"/>
      <c r="M4193"/>
    </row>
    <row r="4194" spans="1:13" ht="12.75" customHeight="1" x14ac:dyDescent="0.25">
      <c r="A4194"/>
      <c r="B4194"/>
      <c r="C4194"/>
      <c r="M4194"/>
    </row>
    <row r="4195" spans="1:13" ht="12.75" customHeight="1" x14ac:dyDescent="0.25">
      <c r="A4195"/>
      <c r="B4195"/>
      <c r="C4195"/>
      <c r="M4195"/>
    </row>
    <row r="4196" spans="1:13" ht="12.75" customHeight="1" x14ac:dyDescent="0.25">
      <c r="A4196"/>
      <c r="B4196"/>
      <c r="C4196"/>
      <c r="M4196"/>
    </row>
    <row r="4197" spans="1:13" ht="12.75" customHeight="1" x14ac:dyDescent="0.25">
      <c r="A4197"/>
      <c r="B4197"/>
      <c r="C4197"/>
      <c r="M4197"/>
    </row>
    <row r="4198" spans="1:13" ht="12.75" customHeight="1" x14ac:dyDescent="0.25">
      <c r="A4198"/>
      <c r="B4198"/>
      <c r="C4198"/>
      <c r="M4198"/>
    </row>
    <row r="4199" spans="1:13" ht="12.75" customHeight="1" x14ac:dyDescent="0.25">
      <c r="A4199"/>
      <c r="B4199"/>
      <c r="C4199"/>
      <c r="M4199"/>
    </row>
    <row r="4200" spans="1:13" ht="12.75" customHeight="1" x14ac:dyDescent="0.25">
      <c r="A4200"/>
      <c r="B4200"/>
      <c r="C4200"/>
      <c r="M4200"/>
    </row>
    <row r="4201" spans="1:13" ht="12.75" customHeight="1" x14ac:dyDescent="0.25">
      <c r="A4201"/>
      <c r="B4201"/>
      <c r="C4201"/>
      <c r="M4201"/>
    </row>
    <row r="4202" spans="1:13" ht="12.75" customHeight="1" x14ac:dyDescent="0.25">
      <c r="A4202"/>
      <c r="B4202"/>
      <c r="C4202"/>
      <c r="M4202"/>
    </row>
    <row r="4203" spans="1:13" ht="12.75" customHeight="1" x14ac:dyDescent="0.25">
      <c r="A4203"/>
      <c r="B4203"/>
      <c r="C4203"/>
      <c r="M4203"/>
    </row>
    <row r="4204" spans="1:13" ht="12.75" customHeight="1" x14ac:dyDescent="0.25">
      <c r="A4204"/>
      <c r="B4204"/>
      <c r="C4204"/>
      <c r="M4204"/>
    </row>
    <row r="4205" spans="1:13" ht="12.75" customHeight="1" x14ac:dyDescent="0.25">
      <c r="A4205"/>
      <c r="B4205"/>
      <c r="C4205"/>
      <c r="M4205"/>
    </row>
    <row r="4206" spans="1:13" ht="12.75" customHeight="1" x14ac:dyDescent="0.25">
      <c r="A4206"/>
      <c r="B4206"/>
      <c r="C4206"/>
      <c r="M4206"/>
    </row>
    <row r="4207" spans="1:13" ht="12.75" customHeight="1" x14ac:dyDescent="0.25">
      <c r="A4207"/>
      <c r="B4207"/>
      <c r="C4207"/>
      <c r="M4207"/>
    </row>
    <row r="4208" spans="1:13" ht="12.75" customHeight="1" x14ac:dyDescent="0.25">
      <c r="A4208"/>
      <c r="B4208"/>
      <c r="C4208"/>
      <c r="M4208"/>
    </row>
    <row r="4209" spans="1:13" ht="12.75" customHeight="1" x14ac:dyDescent="0.25">
      <c r="A4209"/>
      <c r="B4209"/>
      <c r="C4209"/>
      <c r="M4209"/>
    </row>
    <row r="4210" spans="1:13" ht="12.75" customHeight="1" x14ac:dyDescent="0.25">
      <c r="A4210"/>
      <c r="B4210"/>
      <c r="C4210"/>
      <c r="M4210"/>
    </row>
    <row r="4211" spans="1:13" ht="12.75" customHeight="1" x14ac:dyDescent="0.25">
      <c r="A4211"/>
      <c r="B4211"/>
      <c r="C4211"/>
      <c r="M4211"/>
    </row>
    <row r="4212" spans="1:13" ht="12.75" customHeight="1" x14ac:dyDescent="0.25">
      <c r="A4212"/>
      <c r="B4212"/>
      <c r="C4212"/>
      <c r="M4212"/>
    </row>
    <row r="4213" spans="1:13" ht="12.75" customHeight="1" x14ac:dyDescent="0.25">
      <c r="A4213"/>
      <c r="B4213"/>
      <c r="C4213"/>
      <c r="M4213"/>
    </row>
    <row r="4214" spans="1:13" ht="12.75" customHeight="1" x14ac:dyDescent="0.25">
      <c r="A4214"/>
      <c r="B4214"/>
      <c r="C4214"/>
      <c r="M4214"/>
    </row>
    <row r="4215" spans="1:13" ht="12.75" customHeight="1" x14ac:dyDescent="0.25">
      <c r="A4215"/>
      <c r="B4215"/>
      <c r="C4215"/>
      <c r="M4215"/>
    </row>
    <row r="4216" spans="1:13" ht="12.75" customHeight="1" x14ac:dyDescent="0.25">
      <c r="A4216"/>
      <c r="B4216"/>
      <c r="C4216"/>
      <c r="M4216"/>
    </row>
    <row r="4217" spans="1:13" ht="12.75" customHeight="1" x14ac:dyDescent="0.25">
      <c r="A4217"/>
      <c r="B4217"/>
      <c r="C4217"/>
      <c r="M4217"/>
    </row>
    <row r="4218" spans="1:13" ht="12.75" customHeight="1" x14ac:dyDescent="0.25">
      <c r="A4218"/>
      <c r="B4218"/>
      <c r="C4218"/>
      <c r="M4218"/>
    </row>
    <row r="4219" spans="1:13" ht="12.75" customHeight="1" x14ac:dyDescent="0.25">
      <c r="A4219"/>
      <c r="B4219"/>
      <c r="C4219"/>
      <c r="M4219"/>
    </row>
    <row r="4220" spans="1:13" ht="12.75" customHeight="1" x14ac:dyDescent="0.25">
      <c r="A4220"/>
      <c r="B4220"/>
      <c r="C4220"/>
      <c r="M4220"/>
    </row>
    <row r="4221" spans="1:13" ht="12.75" customHeight="1" x14ac:dyDescent="0.25">
      <c r="A4221"/>
      <c r="B4221"/>
      <c r="C4221"/>
      <c r="M4221"/>
    </row>
    <row r="4222" spans="1:13" ht="12.75" customHeight="1" x14ac:dyDescent="0.25">
      <c r="A4222"/>
      <c r="B4222"/>
      <c r="C4222"/>
      <c r="M4222"/>
    </row>
    <row r="4223" spans="1:13" ht="12.75" customHeight="1" x14ac:dyDescent="0.25">
      <c r="A4223"/>
      <c r="B4223"/>
      <c r="C4223"/>
      <c r="M4223"/>
    </row>
    <row r="4224" spans="1:13" ht="12.75" customHeight="1" x14ac:dyDescent="0.25">
      <c r="A4224"/>
      <c r="B4224"/>
      <c r="C4224"/>
      <c r="M4224"/>
    </row>
    <row r="4225" spans="1:13" ht="12.75" customHeight="1" x14ac:dyDescent="0.25">
      <c r="A4225"/>
      <c r="B4225"/>
      <c r="C4225"/>
      <c r="M4225"/>
    </row>
    <row r="4226" spans="1:13" ht="12.75" customHeight="1" x14ac:dyDescent="0.25">
      <c r="A4226"/>
      <c r="B4226"/>
      <c r="C4226"/>
      <c r="M4226"/>
    </row>
    <row r="4227" spans="1:13" ht="12.75" customHeight="1" x14ac:dyDescent="0.25">
      <c r="A4227"/>
      <c r="B4227"/>
      <c r="C4227"/>
      <c r="M4227"/>
    </row>
    <row r="4228" spans="1:13" ht="12.75" customHeight="1" x14ac:dyDescent="0.25">
      <c r="A4228"/>
      <c r="B4228"/>
      <c r="C4228"/>
      <c r="M4228"/>
    </row>
    <row r="4229" spans="1:13" ht="12.75" customHeight="1" x14ac:dyDescent="0.25">
      <c r="A4229"/>
      <c r="B4229"/>
      <c r="C4229"/>
      <c r="M4229"/>
    </row>
    <row r="4230" spans="1:13" ht="12.75" customHeight="1" x14ac:dyDescent="0.25">
      <c r="A4230"/>
      <c r="B4230"/>
      <c r="C4230"/>
      <c r="M4230"/>
    </row>
    <row r="4231" spans="1:13" ht="12.75" customHeight="1" x14ac:dyDescent="0.25">
      <c r="A4231"/>
      <c r="B4231"/>
      <c r="C4231"/>
      <c r="M4231"/>
    </row>
    <row r="4232" spans="1:13" ht="12.75" customHeight="1" x14ac:dyDescent="0.25">
      <c r="A4232"/>
      <c r="B4232"/>
      <c r="C4232"/>
      <c r="M4232"/>
    </row>
    <row r="4233" spans="1:13" ht="12.75" customHeight="1" x14ac:dyDescent="0.25">
      <c r="A4233"/>
      <c r="B4233"/>
      <c r="C4233"/>
      <c r="M4233"/>
    </row>
    <row r="4234" spans="1:13" ht="12.75" customHeight="1" x14ac:dyDescent="0.25">
      <c r="A4234"/>
      <c r="B4234"/>
      <c r="C4234"/>
      <c r="M4234"/>
    </row>
    <row r="4235" spans="1:13" ht="12.75" customHeight="1" x14ac:dyDescent="0.25">
      <c r="A4235"/>
      <c r="B4235"/>
      <c r="C4235"/>
      <c r="M4235"/>
    </row>
    <row r="4236" spans="1:13" ht="12.75" customHeight="1" x14ac:dyDescent="0.25">
      <c r="A4236"/>
      <c r="B4236"/>
      <c r="C4236"/>
      <c r="M4236"/>
    </row>
    <row r="4237" spans="1:13" ht="12.75" customHeight="1" x14ac:dyDescent="0.25">
      <c r="A4237"/>
      <c r="B4237"/>
      <c r="C4237"/>
      <c r="M4237"/>
    </row>
    <row r="4238" spans="1:13" ht="12.75" customHeight="1" x14ac:dyDescent="0.25">
      <c r="A4238"/>
      <c r="B4238"/>
      <c r="C4238"/>
      <c r="M4238"/>
    </row>
    <row r="4239" spans="1:13" ht="12.75" customHeight="1" x14ac:dyDescent="0.25">
      <c r="A4239"/>
      <c r="B4239"/>
      <c r="C4239"/>
      <c r="M4239"/>
    </row>
    <row r="4240" spans="1:13" ht="12.75" customHeight="1" x14ac:dyDescent="0.25">
      <c r="A4240"/>
      <c r="B4240"/>
      <c r="C4240"/>
      <c r="M4240"/>
    </row>
    <row r="4241" spans="1:13" ht="12.75" customHeight="1" x14ac:dyDescent="0.25">
      <c r="A4241"/>
      <c r="B4241"/>
      <c r="C4241"/>
      <c r="M4241"/>
    </row>
    <row r="4242" spans="1:13" ht="12.75" customHeight="1" x14ac:dyDescent="0.25">
      <c r="A4242"/>
      <c r="B4242"/>
      <c r="C4242"/>
      <c r="M4242"/>
    </row>
    <row r="4243" spans="1:13" ht="12.75" customHeight="1" x14ac:dyDescent="0.25">
      <c r="A4243"/>
      <c r="B4243"/>
      <c r="C4243"/>
      <c r="M4243"/>
    </row>
    <row r="4244" spans="1:13" ht="12.75" customHeight="1" x14ac:dyDescent="0.25">
      <c r="A4244"/>
      <c r="B4244"/>
      <c r="C4244"/>
      <c r="M4244"/>
    </row>
    <row r="4245" spans="1:13" ht="12.75" customHeight="1" x14ac:dyDescent="0.25">
      <c r="A4245"/>
      <c r="B4245"/>
      <c r="C4245"/>
      <c r="M4245"/>
    </row>
    <row r="4246" spans="1:13" ht="12.75" customHeight="1" x14ac:dyDescent="0.25">
      <c r="A4246"/>
      <c r="B4246"/>
      <c r="C4246"/>
      <c r="M4246"/>
    </row>
    <row r="4247" spans="1:13" ht="12.75" customHeight="1" x14ac:dyDescent="0.25">
      <c r="A4247"/>
      <c r="B4247"/>
      <c r="C4247"/>
      <c r="M4247"/>
    </row>
    <row r="4248" spans="1:13" ht="12.75" customHeight="1" x14ac:dyDescent="0.25">
      <c r="A4248"/>
      <c r="B4248"/>
      <c r="C4248"/>
      <c r="M4248"/>
    </row>
    <row r="4249" spans="1:13" ht="12.75" customHeight="1" x14ac:dyDescent="0.25">
      <c r="A4249"/>
      <c r="B4249"/>
      <c r="C4249"/>
      <c r="M4249"/>
    </row>
    <row r="4250" spans="1:13" ht="12.75" customHeight="1" x14ac:dyDescent="0.25">
      <c r="A4250"/>
      <c r="B4250"/>
      <c r="C4250"/>
      <c r="M4250"/>
    </row>
    <row r="4251" spans="1:13" ht="12.75" customHeight="1" x14ac:dyDescent="0.25">
      <c r="A4251"/>
      <c r="B4251"/>
      <c r="C4251"/>
      <c r="M4251"/>
    </row>
    <row r="4252" spans="1:13" ht="12.75" customHeight="1" x14ac:dyDescent="0.25">
      <c r="A4252"/>
      <c r="B4252"/>
      <c r="C4252"/>
      <c r="M4252"/>
    </row>
    <row r="4253" spans="1:13" ht="12.75" customHeight="1" x14ac:dyDescent="0.25">
      <c r="A4253"/>
      <c r="B4253"/>
      <c r="C4253"/>
      <c r="M4253"/>
    </row>
    <row r="4254" spans="1:13" ht="12.75" customHeight="1" x14ac:dyDescent="0.25">
      <c r="A4254"/>
      <c r="B4254"/>
      <c r="C4254"/>
      <c r="M4254"/>
    </row>
    <row r="4255" spans="1:13" ht="12.75" customHeight="1" x14ac:dyDescent="0.25">
      <c r="A4255"/>
      <c r="B4255"/>
      <c r="C4255"/>
      <c r="M4255"/>
    </row>
    <row r="4256" spans="1:13" ht="12.75" customHeight="1" x14ac:dyDescent="0.25">
      <c r="A4256"/>
      <c r="B4256"/>
      <c r="C4256"/>
      <c r="M4256"/>
    </row>
    <row r="4257" spans="1:13" ht="12.75" customHeight="1" x14ac:dyDescent="0.25">
      <c r="A4257"/>
      <c r="B4257"/>
      <c r="C4257"/>
      <c r="M4257"/>
    </row>
    <row r="4258" spans="1:13" ht="12.75" customHeight="1" x14ac:dyDescent="0.25">
      <c r="A4258"/>
      <c r="B4258"/>
      <c r="C4258"/>
      <c r="M4258"/>
    </row>
    <row r="4259" spans="1:13" ht="12.75" customHeight="1" x14ac:dyDescent="0.25">
      <c r="A4259"/>
      <c r="B4259"/>
      <c r="C4259"/>
      <c r="M4259"/>
    </row>
    <row r="4260" spans="1:13" ht="12.75" customHeight="1" x14ac:dyDescent="0.25">
      <c r="A4260"/>
      <c r="B4260"/>
      <c r="C4260"/>
      <c r="M4260"/>
    </row>
    <row r="4261" spans="1:13" ht="12.75" customHeight="1" x14ac:dyDescent="0.25">
      <c r="A4261"/>
      <c r="B4261"/>
      <c r="C4261"/>
      <c r="M4261"/>
    </row>
    <row r="4262" spans="1:13" ht="12.75" customHeight="1" x14ac:dyDescent="0.25">
      <c r="A4262"/>
      <c r="B4262"/>
      <c r="C4262"/>
      <c r="M4262"/>
    </row>
    <row r="4263" spans="1:13" ht="12.75" customHeight="1" x14ac:dyDescent="0.25">
      <c r="A4263"/>
      <c r="B4263"/>
      <c r="C4263"/>
      <c r="M4263"/>
    </row>
    <row r="4264" spans="1:13" ht="12.75" customHeight="1" x14ac:dyDescent="0.25">
      <c r="A4264"/>
      <c r="B4264"/>
      <c r="C4264"/>
      <c r="M4264"/>
    </row>
    <row r="4265" spans="1:13" ht="12.75" customHeight="1" x14ac:dyDescent="0.25">
      <c r="A4265"/>
      <c r="B4265"/>
      <c r="C4265"/>
      <c r="M4265"/>
    </row>
    <row r="4266" spans="1:13" ht="12.75" customHeight="1" x14ac:dyDescent="0.25">
      <c r="A4266"/>
      <c r="B4266"/>
      <c r="C4266"/>
      <c r="M4266"/>
    </row>
    <row r="4267" spans="1:13" ht="12.75" customHeight="1" x14ac:dyDescent="0.25">
      <c r="A4267"/>
      <c r="B4267"/>
      <c r="C4267"/>
      <c r="M4267"/>
    </row>
    <row r="4268" spans="1:13" ht="12.75" customHeight="1" x14ac:dyDescent="0.25">
      <c r="A4268"/>
      <c r="B4268"/>
      <c r="C4268"/>
      <c r="M4268"/>
    </row>
    <row r="4269" spans="1:13" ht="12.75" customHeight="1" x14ac:dyDescent="0.25">
      <c r="A4269"/>
      <c r="B4269"/>
      <c r="C4269"/>
      <c r="M4269"/>
    </row>
    <row r="4270" spans="1:13" ht="12.75" customHeight="1" x14ac:dyDescent="0.25">
      <c r="A4270"/>
      <c r="B4270"/>
      <c r="C4270"/>
      <c r="M4270"/>
    </row>
    <row r="4271" spans="1:13" ht="12.75" customHeight="1" x14ac:dyDescent="0.25">
      <c r="A4271"/>
      <c r="B4271"/>
      <c r="C4271"/>
      <c r="M4271"/>
    </row>
    <row r="4272" spans="1:13" ht="12.75" customHeight="1" x14ac:dyDescent="0.25">
      <c r="A4272"/>
      <c r="B4272"/>
      <c r="C4272"/>
      <c r="M4272"/>
    </row>
    <row r="4273" spans="1:13" ht="12.75" customHeight="1" x14ac:dyDescent="0.25">
      <c r="A4273"/>
      <c r="B4273"/>
      <c r="C4273"/>
      <c r="M4273"/>
    </row>
    <row r="4274" spans="1:13" ht="12.75" customHeight="1" x14ac:dyDescent="0.25">
      <c r="A4274"/>
      <c r="B4274"/>
      <c r="C4274"/>
      <c r="M4274"/>
    </row>
    <row r="4275" spans="1:13" ht="12.75" customHeight="1" x14ac:dyDescent="0.25">
      <c r="A4275"/>
      <c r="B4275"/>
      <c r="C4275"/>
      <c r="M4275"/>
    </row>
    <row r="4276" spans="1:13" ht="12.75" customHeight="1" x14ac:dyDescent="0.25">
      <c r="A4276"/>
      <c r="B4276"/>
      <c r="C4276"/>
      <c r="M4276"/>
    </row>
    <row r="4277" spans="1:13" ht="12.75" customHeight="1" x14ac:dyDescent="0.25">
      <c r="A4277"/>
      <c r="B4277"/>
      <c r="C4277"/>
      <c r="M4277"/>
    </row>
    <row r="4278" spans="1:13" ht="12.75" customHeight="1" x14ac:dyDescent="0.25">
      <c r="A4278"/>
      <c r="B4278"/>
      <c r="C4278"/>
      <c r="M4278"/>
    </row>
    <row r="4279" spans="1:13" ht="12.75" customHeight="1" x14ac:dyDescent="0.25">
      <c r="A4279"/>
      <c r="B4279"/>
      <c r="C4279"/>
      <c r="M4279"/>
    </row>
    <row r="4280" spans="1:13" ht="12.75" customHeight="1" x14ac:dyDescent="0.25">
      <c r="A4280"/>
      <c r="B4280"/>
      <c r="C4280"/>
      <c r="M4280"/>
    </row>
    <row r="4281" spans="1:13" ht="12.75" customHeight="1" x14ac:dyDescent="0.25">
      <c r="A4281"/>
      <c r="B4281"/>
      <c r="C4281"/>
      <c r="M4281"/>
    </row>
    <row r="4282" spans="1:13" ht="12.75" customHeight="1" x14ac:dyDescent="0.25">
      <c r="A4282"/>
      <c r="B4282"/>
      <c r="C4282"/>
      <c r="M4282"/>
    </row>
    <row r="4283" spans="1:13" ht="12.75" customHeight="1" x14ac:dyDescent="0.25">
      <c r="A4283"/>
      <c r="B4283"/>
      <c r="C4283"/>
      <c r="M4283"/>
    </row>
    <row r="4284" spans="1:13" ht="12.75" customHeight="1" x14ac:dyDescent="0.25">
      <c r="A4284"/>
      <c r="B4284"/>
      <c r="C4284"/>
      <c r="M4284"/>
    </row>
    <row r="4285" spans="1:13" ht="12.75" customHeight="1" x14ac:dyDescent="0.25">
      <c r="A4285"/>
      <c r="B4285"/>
      <c r="C4285"/>
      <c r="M4285"/>
    </row>
    <row r="4286" spans="1:13" ht="12.75" customHeight="1" x14ac:dyDescent="0.25">
      <c r="A4286"/>
      <c r="B4286"/>
      <c r="C4286"/>
      <c r="M4286"/>
    </row>
    <row r="4287" spans="1:13" ht="12.75" customHeight="1" x14ac:dyDescent="0.25">
      <c r="A4287"/>
      <c r="B4287"/>
      <c r="C4287"/>
      <c r="M4287"/>
    </row>
    <row r="4288" spans="1:13" ht="12.75" customHeight="1" x14ac:dyDescent="0.25">
      <c r="A4288"/>
      <c r="B4288"/>
      <c r="C4288"/>
      <c r="M4288"/>
    </row>
    <row r="4289" spans="1:13" ht="12.75" customHeight="1" x14ac:dyDescent="0.25">
      <c r="A4289"/>
      <c r="B4289"/>
      <c r="C4289"/>
      <c r="M4289"/>
    </row>
    <row r="4290" spans="1:13" ht="12.75" customHeight="1" x14ac:dyDescent="0.25">
      <c r="A4290"/>
      <c r="B4290"/>
      <c r="C4290"/>
      <c r="M4290"/>
    </row>
    <row r="4291" spans="1:13" ht="12.75" customHeight="1" x14ac:dyDescent="0.25">
      <c r="A4291"/>
      <c r="B4291"/>
      <c r="C4291"/>
      <c r="M4291"/>
    </row>
    <row r="4292" spans="1:13" ht="12.75" customHeight="1" x14ac:dyDescent="0.25">
      <c r="A4292"/>
      <c r="B4292"/>
      <c r="C4292"/>
      <c r="M4292"/>
    </row>
    <row r="4293" spans="1:13" ht="12.75" customHeight="1" x14ac:dyDescent="0.25">
      <c r="A4293"/>
      <c r="B4293"/>
      <c r="C4293"/>
      <c r="M4293"/>
    </row>
    <row r="4294" spans="1:13" ht="12.75" customHeight="1" x14ac:dyDescent="0.25">
      <c r="A4294"/>
      <c r="B4294"/>
      <c r="C4294"/>
      <c r="M4294"/>
    </row>
    <row r="4295" spans="1:13" ht="12.75" customHeight="1" x14ac:dyDescent="0.25">
      <c r="A4295"/>
      <c r="B4295"/>
      <c r="C4295"/>
      <c r="M4295"/>
    </row>
    <row r="4296" spans="1:13" ht="12.75" customHeight="1" x14ac:dyDescent="0.25">
      <c r="A4296"/>
      <c r="B4296"/>
      <c r="C4296"/>
      <c r="M4296"/>
    </row>
    <row r="4297" spans="1:13" ht="12.75" customHeight="1" x14ac:dyDescent="0.25">
      <c r="A4297"/>
      <c r="B4297"/>
      <c r="C4297"/>
      <c r="M4297"/>
    </row>
    <row r="4298" spans="1:13" ht="12.75" customHeight="1" x14ac:dyDescent="0.25">
      <c r="A4298"/>
      <c r="B4298"/>
      <c r="C4298"/>
      <c r="M4298"/>
    </row>
    <row r="4299" spans="1:13" ht="12.75" customHeight="1" x14ac:dyDescent="0.25">
      <c r="A4299"/>
      <c r="B4299"/>
      <c r="C4299"/>
      <c r="M4299"/>
    </row>
    <row r="4300" spans="1:13" ht="12.75" customHeight="1" x14ac:dyDescent="0.25">
      <c r="A4300"/>
      <c r="B4300"/>
      <c r="C4300"/>
      <c r="M4300"/>
    </row>
    <row r="4301" spans="1:13" ht="12.75" customHeight="1" x14ac:dyDescent="0.25">
      <c r="A4301"/>
      <c r="B4301"/>
      <c r="C4301"/>
      <c r="M4301"/>
    </row>
    <row r="4302" spans="1:13" ht="12.75" customHeight="1" x14ac:dyDescent="0.25">
      <c r="A4302"/>
      <c r="B4302"/>
      <c r="C4302"/>
      <c r="M4302"/>
    </row>
    <row r="4303" spans="1:13" ht="12.75" customHeight="1" x14ac:dyDescent="0.25">
      <c r="A4303"/>
      <c r="B4303"/>
      <c r="C4303"/>
      <c r="M4303"/>
    </row>
    <row r="4304" spans="1:13" ht="12.75" customHeight="1" x14ac:dyDescent="0.25">
      <c r="A4304"/>
      <c r="B4304"/>
      <c r="C4304"/>
      <c r="M4304"/>
    </row>
    <row r="4305" spans="1:13" ht="12.75" customHeight="1" x14ac:dyDescent="0.25">
      <c r="A4305"/>
      <c r="B4305"/>
      <c r="C4305"/>
      <c r="M4305"/>
    </row>
    <row r="4306" spans="1:13" ht="12.75" customHeight="1" x14ac:dyDescent="0.25">
      <c r="A4306"/>
      <c r="B4306"/>
      <c r="C4306"/>
      <c r="M4306"/>
    </row>
    <row r="4307" spans="1:13" ht="12.75" customHeight="1" x14ac:dyDescent="0.25">
      <c r="A4307"/>
      <c r="B4307"/>
      <c r="C4307"/>
      <c r="M4307"/>
    </row>
    <row r="4308" spans="1:13" ht="12.75" customHeight="1" x14ac:dyDescent="0.25">
      <c r="A4308"/>
      <c r="B4308"/>
      <c r="C4308"/>
      <c r="M4308"/>
    </row>
    <row r="4309" spans="1:13" ht="12.75" customHeight="1" x14ac:dyDescent="0.25">
      <c r="A4309"/>
      <c r="B4309"/>
      <c r="C4309"/>
      <c r="M4309"/>
    </row>
    <row r="4310" spans="1:13" ht="12.75" customHeight="1" x14ac:dyDescent="0.25">
      <c r="A4310"/>
      <c r="B4310"/>
      <c r="C4310"/>
      <c r="M4310"/>
    </row>
    <row r="4311" spans="1:13" ht="12.75" customHeight="1" x14ac:dyDescent="0.25">
      <c r="A4311"/>
      <c r="B4311"/>
      <c r="C4311"/>
      <c r="M4311"/>
    </row>
    <row r="4312" spans="1:13" ht="12.75" customHeight="1" x14ac:dyDescent="0.25">
      <c r="A4312"/>
      <c r="B4312"/>
      <c r="C4312"/>
      <c r="M4312"/>
    </row>
    <row r="4313" spans="1:13" ht="12.75" customHeight="1" x14ac:dyDescent="0.25">
      <c r="A4313"/>
      <c r="B4313"/>
      <c r="C4313"/>
      <c r="M4313"/>
    </row>
    <row r="4314" spans="1:13" ht="12.75" customHeight="1" x14ac:dyDescent="0.25">
      <c r="A4314"/>
      <c r="B4314"/>
      <c r="C4314"/>
      <c r="M4314"/>
    </row>
    <row r="4315" spans="1:13" ht="12.75" customHeight="1" x14ac:dyDescent="0.25">
      <c r="A4315"/>
      <c r="B4315"/>
      <c r="C4315"/>
      <c r="M4315"/>
    </row>
    <row r="4316" spans="1:13" ht="12.75" customHeight="1" x14ac:dyDescent="0.25">
      <c r="A4316"/>
      <c r="B4316"/>
      <c r="C4316"/>
      <c r="M4316"/>
    </row>
    <row r="4317" spans="1:13" ht="12.75" customHeight="1" x14ac:dyDescent="0.25">
      <c r="A4317"/>
      <c r="B4317"/>
      <c r="C4317"/>
      <c r="M4317"/>
    </row>
    <row r="4318" spans="1:13" ht="12.75" customHeight="1" x14ac:dyDescent="0.25">
      <c r="A4318"/>
      <c r="B4318"/>
      <c r="C4318"/>
      <c r="M4318"/>
    </row>
    <row r="4319" spans="1:13" ht="12.75" customHeight="1" x14ac:dyDescent="0.25">
      <c r="A4319"/>
      <c r="B4319"/>
      <c r="C4319"/>
      <c r="M4319"/>
    </row>
    <row r="4320" spans="1:13" ht="12.75" customHeight="1" x14ac:dyDescent="0.25">
      <c r="A4320"/>
      <c r="B4320"/>
      <c r="C4320"/>
      <c r="M4320"/>
    </row>
    <row r="4321" spans="1:13" ht="12.75" customHeight="1" x14ac:dyDescent="0.25">
      <c r="A4321"/>
      <c r="B4321"/>
      <c r="C4321"/>
      <c r="M4321"/>
    </row>
    <row r="4322" spans="1:13" ht="12.75" customHeight="1" x14ac:dyDescent="0.25">
      <c r="A4322"/>
      <c r="B4322"/>
      <c r="C4322"/>
      <c r="M4322"/>
    </row>
    <row r="4323" spans="1:13" ht="12.75" customHeight="1" x14ac:dyDescent="0.25">
      <c r="A4323"/>
      <c r="B4323"/>
      <c r="C4323"/>
      <c r="M4323"/>
    </row>
    <row r="4324" spans="1:13" ht="12.75" customHeight="1" x14ac:dyDescent="0.25">
      <c r="A4324"/>
      <c r="B4324"/>
      <c r="C4324"/>
      <c r="M4324"/>
    </row>
    <row r="4325" spans="1:13" ht="12.75" customHeight="1" x14ac:dyDescent="0.25">
      <c r="A4325"/>
      <c r="B4325"/>
      <c r="C4325"/>
      <c r="M4325"/>
    </row>
    <row r="4326" spans="1:13" ht="12.75" customHeight="1" x14ac:dyDescent="0.25">
      <c r="A4326"/>
      <c r="B4326"/>
      <c r="C4326"/>
      <c r="M4326"/>
    </row>
    <row r="4327" spans="1:13" ht="12.75" customHeight="1" x14ac:dyDescent="0.25">
      <c r="A4327"/>
      <c r="B4327"/>
      <c r="C4327"/>
      <c r="M4327"/>
    </row>
    <row r="4328" spans="1:13" ht="12.75" customHeight="1" x14ac:dyDescent="0.25">
      <c r="A4328"/>
      <c r="B4328"/>
      <c r="C4328"/>
      <c r="M4328"/>
    </row>
    <row r="4329" spans="1:13" ht="12.75" customHeight="1" x14ac:dyDescent="0.25">
      <c r="A4329"/>
      <c r="B4329"/>
      <c r="C4329"/>
      <c r="M4329"/>
    </row>
    <row r="4330" spans="1:13" ht="12.75" customHeight="1" x14ac:dyDescent="0.25">
      <c r="A4330"/>
      <c r="B4330"/>
      <c r="C4330"/>
      <c r="M4330"/>
    </row>
    <row r="4331" spans="1:13" ht="12.75" customHeight="1" x14ac:dyDescent="0.25">
      <c r="A4331"/>
      <c r="B4331"/>
      <c r="C4331"/>
      <c r="M4331"/>
    </row>
    <row r="4332" spans="1:13" ht="12.75" customHeight="1" x14ac:dyDescent="0.25">
      <c r="A4332"/>
      <c r="B4332"/>
      <c r="C4332"/>
      <c r="M4332"/>
    </row>
    <row r="4333" spans="1:13" ht="12.75" customHeight="1" x14ac:dyDescent="0.25">
      <c r="A4333"/>
      <c r="B4333"/>
      <c r="C4333"/>
      <c r="M4333"/>
    </row>
    <row r="4334" spans="1:13" ht="12.75" customHeight="1" x14ac:dyDescent="0.25">
      <c r="A4334"/>
      <c r="B4334"/>
      <c r="C4334"/>
      <c r="M4334"/>
    </row>
    <row r="4335" spans="1:13" ht="12.75" customHeight="1" x14ac:dyDescent="0.25">
      <c r="A4335"/>
      <c r="B4335"/>
      <c r="C4335"/>
      <c r="M4335"/>
    </row>
    <row r="4336" spans="1:13" ht="12.75" customHeight="1" x14ac:dyDescent="0.25">
      <c r="A4336"/>
      <c r="B4336"/>
      <c r="C4336"/>
      <c r="M4336"/>
    </row>
    <row r="4337" spans="1:13" ht="12.75" customHeight="1" x14ac:dyDescent="0.25">
      <c r="A4337"/>
      <c r="B4337"/>
      <c r="C4337"/>
      <c r="M4337"/>
    </row>
    <row r="4338" spans="1:13" ht="12.75" customHeight="1" x14ac:dyDescent="0.25">
      <c r="A4338"/>
      <c r="B4338"/>
      <c r="C4338"/>
      <c r="M4338"/>
    </row>
    <row r="4339" spans="1:13" ht="12.75" customHeight="1" x14ac:dyDescent="0.25">
      <c r="A4339"/>
      <c r="B4339"/>
      <c r="C4339"/>
      <c r="M4339"/>
    </row>
    <row r="4340" spans="1:13" ht="12.75" customHeight="1" x14ac:dyDescent="0.25">
      <c r="A4340"/>
      <c r="B4340"/>
      <c r="C4340"/>
      <c r="M4340"/>
    </row>
    <row r="4341" spans="1:13" ht="12.75" customHeight="1" x14ac:dyDescent="0.25">
      <c r="A4341"/>
      <c r="B4341"/>
      <c r="C4341"/>
      <c r="M4341"/>
    </row>
    <row r="4342" spans="1:13" ht="12.75" customHeight="1" x14ac:dyDescent="0.25">
      <c r="A4342"/>
      <c r="B4342"/>
      <c r="C4342"/>
      <c r="M4342"/>
    </row>
    <row r="4343" spans="1:13" ht="12.75" customHeight="1" x14ac:dyDescent="0.25">
      <c r="A4343"/>
      <c r="B4343"/>
      <c r="C4343"/>
      <c r="M4343"/>
    </row>
    <row r="4344" spans="1:13" ht="12.75" customHeight="1" x14ac:dyDescent="0.25">
      <c r="A4344"/>
      <c r="B4344"/>
      <c r="C4344"/>
      <c r="M4344"/>
    </row>
    <row r="4345" spans="1:13" ht="12.75" customHeight="1" x14ac:dyDescent="0.25">
      <c r="A4345"/>
      <c r="B4345"/>
      <c r="C4345"/>
      <c r="M4345"/>
    </row>
    <row r="4346" spans="1:13" ht="12.75" customHeight="1" x14ac:dyDescent="0.25">
      <c r="A4346"/>
      <c r="B4346"/>
      <c r="C4346"/>
      <c r="M4346"/>
    </row>
    <row r="4347" spans="1:13" ht="12.75" customHeight="1" x14ac:dyDescent="0.25">
      <c r="A4347"/>
      <c r="B4347"/>
      <c r="C4347"/>
      <c r="M4347"/>
    </row>
    <row r="4348" spans="1:13" ht="12.75" customHeight="1" x14ac:dyDescent="0.25">
      <c r="A4348"/>
      <c r="B4348"/>
      <c r="C4348"/>
      <c r="M4348"/>
    </row>
    <row r="4349" spans="1:13" ht="12.75" customHeight="1" x14ac:dyDescent="0.25">
      <c r="A4349"/>
      <c r="B4349"/>
      <c r="C4349"/>
      <c r="M4349"/>
    </row>
    <row r="4350" spans="1:13" ht="12.75" customHeight="1" x14ac:dyDescent="0.25">
      <c r="A4350"/>
      <c r="B4350"/>
      <c r="C4350"/>
      <c r="M4350"/>
    </row>
    <row r="4351" spans="1:13" ht="12.75" customHeight="1" x14ac:dyDescent="0.25">
      <c r="A4351"/>
      <c r="B4351"/>
      <c r="C4351"/>
      <c r="M4351"/>
    </row>
    <row r="4352" spans="1:13" ht="12.75" customHeight="1" x14ac:dyDescent="0.25">
      <c r="A4352"/>
      <c r="B4352"/>
      <c r="C4352"/>
      <c r="M4352"/>
    </row>
    <row r="4353" spans="1:13" ht="12.75" customHeight="1" x14ac:dyDescent="0.25">
      <c r="A4353"/>
      <c r="B4353"/>
      <c r="C4353"/>
      <c r="M4353"/>
    </row>
    <row r="4354" spans="1:13" ht="12.75" customHeight="1" x14ac:dyDescent="0.25">
      <c r="A4354"/>
      <c r="B4354"/>
      <c r="C4354"/>
      <c r="M4354"/>
    </row>
    <row r="4355" spans="1:13" ht="12.75" customHeight="1" x14ac:dyDescent="0.25">
      <c r="A4355"/>
      <c r="B4355"/>
      <c r="C4355"/>
      <c r="M4355"/>
    </row>
    <row r="4356" spans="1:13" ht="12.75" customHeight="1" x14ac:dyDescent="0.25">
      <c r="A4356"/>
      <c r="B4356"/>
      <c r="C4356"/>
      <c r="M4356"/>
    </row>
    <row r="4357" spans="1:13" ht="12.75" customHeight="1" x14ac:dyDescent="0.25">
      <c r="A4357"/>
      <c r="B4357"/>
      <c r="C4357"/>
      <c r="M4357"/>
    </row>
    <row r="4358" spans="1:13" ht="12.75" customHeight="1" x14ac:dyDescent="0.25">
      <c r="A4358"/>
      <c r="B4358"/>
      <c r="C4358"/>
      <c r="M4358"/>
    </row>
    <row r="4359" spans="1:13" ht="12.75" customHeight="1" x14ac:dyDescent="0.25">
      <c r="A4359"/>
      <c r="B4359"/>
      <c r="C4359"/>
      <c r="M4359"/>
    </row>
    <row r="4360" spans="1:13" ht="12.75" customHeight="1" x14ac:dyDescent="0.25">
      <c r="A4360"/>
      <c r="B4360"/>
      <c r="C4360"/>
      <c r="M4360"/>
    </row>
    <row r="4361" spans="1:13" ht="12.75" customHeight="1" x14ac:dyDescent="0.25">
      <c r="A4361"/>
      <c r="B4361"/>
      <c r="C4361"/>
      <c r="M4361"/>
    </row>
    <row r="4362" spans="1:13" ht="12.75" customHeight="1" x14ac:dyDescent="0.25">
      <c r="A4362"/>
      <c r="B4362"/>
      <c r="C4362"/>
      <c r="M4362"/>
    </row>
    <row r="4363" spans="1:13" ht="12.75" customHeight="1" x14ac:dyDescent="0.25">
      <c r="A4363"/>
      <c r="B4363"/>
      <c r="C4363"/>
      <c r="M4363"/>
    </row>
    <row r="4364" spans="1:13" ht="12.75" customHeight="1" x14ac:dyDescent="0.25">
      <c r="A4364"/>
      <c r="B4364"/>
      <c r="C4364"/>
      <c r="M4364"/>
    </row>
    <row r="4365" spans="1:13" ht="12.75" customHeight="1" x14ac:dyDescent="0.25">
      <c r="A4365"/>
      <c r="B4365"/>
      <c r="C4365"/>
      <c r="M4365"/>
    </row>
    <row r="4366" spans="1:13" ht="12.75" customHeight="1" x14ac:dyDescent="0.25">
      <c r="A4366"/>
      <c r="B4366"/>
      <c r="C4366"/>
      <c r="M4366"/>
    </row>
    <row r="4367" spans="1:13" ht="12.75" customHeight="1" x14ac:dyDescent="0.25">
      <c r="A4367"/>
      <c r="B4367"/>
      <c r="C4367"/>
      <c r="M4367"/>
    </row>
    <row r="4368" spans="1:13" ht="12.75" customHeight="1" x14ac:dyDescent="0.25">
      <c r="A4368"/>
      <c r="B4368"/>
      <c r="C4368"/>
      <c r="M4368"/>
    </row>
    <row r="4369" spans="1:13" ht="12.75" customHeight="1" x14ac:dyDescent="0.25">
      <c r="A4369"/>
      <c r="B4369"/>
      <c r="C4369"/>
      <c r="M4369"/>
    </row>
    <row r="4370" spans="1:13" ht="12.75" customHeight="1" x14ac:dyDescent="0.25">
      <c r="A4370"/>
      <c r="B4370"/>
      <c r="C4370"/>
      <c r="M4370"/>
    </row>
    <row r="4371" spans="1:13" ht="12.75" customHeight="1" x14ac:dyDescent="0.25">
      <c r="A4371"/>
      <c r="B4371"/>
      <c r="C4371"/>
      <c r="M4371"/>
    </row>
    <row r="4372" spans="1:13" ht="12.75" customHeight="1" x14ac:dyDescent="0.25">
      <c r="A4372"/>
      <c r="B4372"/>
      <c r="C4372"/>
      <c r="M4372"/>
    </row>
    <row r="4373" spans="1:13" ht="12.75" customHeight="1" x14ac:dyDescent="0.25">
      <c r="A4373"/>
      <c r="B4373"/>
      <c r="C4373"/>
      <c r="M4373"/>
    </row>
    <row r="4374" spans="1:13" ht="12.75" customHeight="1" x14ac:dyDescent="0.25">
      <c r="A4374"/>
      <c r="B4374"/>
      <c r="C4374"/>
      <c r="M4374"/>
    </row>
    <row r="4375" spans="1:13" ht="12.75" customHeight="1" x14ac:dyDescent="0.25">
      <c r="A4375"/>
      <c r="B4375"/>
      <c r="C4375"/>
      <c r="M4375"/>
    </row>
    <row r="4376" spans="1:13" ht="12.75" customHeight="1" x14ac:dyDescent="0.25">
      <c r="A4376"/>
      <c r="B4376"/>
      <c r="C4376"/>
      <c r="M4376"/>
    </row>
    <row r="4377" spans="1:13" ht="12.75" customHeight="1" x14ac:dyDescent="0.25">
      <c r="A4377"/>
      <c r="B4377"/>
      <c r="C4377"/>
      <c r="M4377"/>
    </row>
    <row r="4378" spans="1:13" ht="12.75" customHeight="1" x14ac:dyDescent="0.25">
      <c r="A4378"/>
      <c r="B4378"/>
      <c r="C4378"/>
      <c r="M4378"/>
    </row>
    <row r="4379" spans="1:13" ht="12.75" customHeight="1" x14ac:dyDescent="0.25">
      <c r="A4379"/>
      <c r="B4379"/>
      <c r="C4379"/>
      <c r="M4379"/>
    </row>
    <row r="4380" spans="1:13" ht="12.75" customHeight="1" x14ac:dyDescent="0.25">
      <c r="A4380"/>
      <c r="B4380"/>
      <c r="C4380"/>
      <c r="M4380"/>
    </row>
    <row r="4381" spans="1:13" ht="12.75" customHeight="1" x14ac:dyDescent="0.25">
      <c r="A4381"/>
      <c r="B4381"/>
      <c r="C4381"/>
      <c r="M4381"/>
    </row>
    <row r="4382" spans="1:13" ht="12.75" customHeight="1" x14ac:dyDescent="0.25">
      <c r="A4382"/>
      <c r="B4382"/>
      <c r="C4382"/>
      <c r="M4382"/>
    </row>
    <row r="4383" spans="1:13" ht="12.75" customHeight="1" x14ac:dyDescent="0.25">
      <c r="A4383"/>
      <c r="B4383"/>
      <c r="C4383"/>
      <c r="M4383"/>
    </row>
    <row r="4384" spans="1:13" ht="12.75" customHeight="1" x14ac:dyDescent="0.25">
      <c r="A4384"/>
      <c r="B4384"/>
      <c r="C4384"/>
      <c r="M4384"/>
    </row>
    <row r="4385" spans="1:13" ht="12.75" customHeight="1" x14ac:dyDescent="0.25">
      <c r="A4385"/>
      <c r="B4385"/>
      <c r="C4385"/>
      <c r="M4385"/>
    </row>
    <row r="4386" spans="1:13" ht="12.75" customHeight="1" x14ac:dyDescent="0.25">
      <c r="A4386"/>
      <c r="B4386"/>
      <c r="C4386"/>
      <c r="M4386"/>
    </row>
    <row r="4387" spans="1:13" ht="12.75" customHeight="1" x14ac:dyDescent="0.25">
      <c r="A4387"/>
      <c r="B4387"/>
      <c r="C4387"/>
      <c r="M4387"/>
    </row>
    <row r="4388" spans="1:13" ht="12.75" customHeight="1" x14ac:dyDescent="0.25">
      <c r="A4388"/>
      <c r="B4388"/>
      <c r="C4388"/>
      <c r="M4388"/>
    </row>
    <row r="4389" spans="1:13" ht="12.75" customHeight="1" x14ac:dyDescent="0.25">
      <c r="A4389"/>
      <c r="B4389"/>
      <c r="C4389"/>
      <c r="M4389"/>
    </row>
    <row r="4390" spans="1:13" ht="12.75" customHeight="1" x14ac:dyDescent="0.25">
      <c r="A4390"/>
      <c r="B4390"/>
      <c r="C4390"/>
      <c r="M4390"/>
    </row>
    <row r="4391" spans="1:13" ht="12.75" customHeight="1" x14ac:dyDescent="0.25">
      <c r="A4391"/>
      <c r="B4391"/>
      <c r="C4391"/>
      <c r="M4391"/>
    </row>
    <row r="4392" spans="1:13" ht="12.75" customHeight="1" x14ac:dyDescent="0.25">
      <c r="A4392"/>
      <c r="B4392"/>
      <c r="C4392"/>
      <c r="M4392"/>
    </row>
    <row r="4393" spans="1:13" ht="12.75" customHeight="1" x14ac:dyDescent="0.25">
      <c r="A4393"/>
      <c r="B4393"/>
      <c r="C4393"/>
      <c r="M4393"/>
    </row>
    <row r="4394" spans="1:13" ht="12.75" customHeight="1" x14ac:dyDescent="0.25">
      <c r="A4394"/>
      <c r="B4394"/>
      <c r="C4394"/>
      <c r="M4394"/>
    </row>
    <row r="4395" spans="1:13" ht="12.75" customHeight="1" x14ac:dyDescent="0.25">
      <c r="A4395"/>
      <c r="B4395"/>
      <c r="C4395"/>
      <c r="M4395"/>
    </row>
    <row r="4396" spans="1:13" ht="12.75" customHeight="1" x14ac:dyDescent="0.25">
      <c r="A4396"/>
      <c r="B4396"/>
      <c r="C4396"/>
      <c r="M4396"/>
    </row>
    <row r="4397" spans="1:13" ht="12.75" customHeight="1" x14ac:dyDescent="0.25">
      <c r="A4397"/>
      <c r="B4397"/>
      <c r="C4397"/>
      <c r="M4397"/>
    </row>
    <row r="4398" spans="1:13" ht="12.75" customHeight="1" x14ac:dyDescent="0.25">
      <c r="A4398"/>
      <c r="B4398"/>
      <c r="C4398"/>
      <c r="M4398"/>
    </row>
    <row r="4399" spans="1:13" ht="12.75" customHeight="1" x14ac:dyDescent="0.25">
      <c r="A4399"/>
      <c r="B4399"/>
      <c r="C4399"/>
      <c r="M4399"/>
    </row>
    <row r="4400" spans="1:13" ht="12.75" customHeight="1" x14ac:dyDescent="0.25">
      <c r="A4400"/>
      <c r="B4400"/>
      <c r="C4400"/>
      <c r="M4400"/>
    </row>
    <row r="4401" spans="1:13" ht="12.75" customHeight="1" x14ac:dyDescent="0.25">
      <c r="A4401"/>
      <c r="B4401"/>
      <c r="C4401"/>
      <c r="M4401"/>
    </row>
    <row r="4402" spans="1:13" ht="12.75" customHeight="1" x14ac:dyDescent="0.25">
      <c r="A4402"/>
      <c r="B4402"/>
      <c r="C4402"/>
      <c r="M4402"/>
    </row>
    <row r="4403" spans="1:13" ht="12.75" customHeight="1" x14ac:dyDescent="0.25">
      <c r="A4403"/>
      <c r="B4403"/>
      <c r="C4403"/>
      <c r="M4403"/>
    </row>
    <row r="4404" spans="1:13" ht="12.75" customHeight="1" x14ac:dyDescent="0.25">
      <c r="A4404"/>
      <c r="B4404"/>
      <c r="C4404"/>
      <c r="M4404"/>
    </row>
    <row r="4405" spans="1:13" ht="12.75" customHeight="1" x14ac:dyDescent="0.25">
      <c r="A4405"/>
      <c r="B4405"/>
      <c r="C4405"/>
      <c r="M4405"/>
    </row>
    <row r="4406" spans="1:13" ht="12.75" customHeight="1" x14ac:dyDescent="0.25">
      <c r="A4406"/>
      <c r="B4406"/>
      <c r="C4406"/>
      <c r="M4406"/>
    </row>
    <row r="4407" spans="1:13" ht="12.75" customHeight="1" x14ac:dyDescent="0.25">
      <c r="A4407"/>
      <c r="B4407"/>
      <c r="C4407"/>
      <c r="M4407"/>
    </row>
    <row r="4408" spans="1:13" ht="12.75" customHeight="1" x14ac:dyDescent="0.25">
      <c r="A4408"/>
      <c r="B4408"/>
      <c r="C4408"/>
      <c r="M4408"/>
    </row>
    <row r="4409" spans="1:13" ht="12.75" customHeight="1" x14ac:dyDescent="0.25">
      <c r="A4409"/>
      <c r="B4409"/>
      <c r="C4409"/>
      <c r="M4409"/>
    </row>
    <row r="4410" spans="1:13" ht="12.75" customHeight="1" x14ac:dyDescent="0.25">
      <c r="A4410"/>
      <c r="B4410"/>
      <c r="C4410"/>
      <c r="M4410"/>
    </row>
    <row r="4411" spans="1:13" ht="12.75" customHeight="1" x14ac:dyDescent="0.25">
      <c r="A4411"/>
      <c r="B4411"/>
      <c r="C4411"/>
      <c r="M4411"/>
    </row>
    <row r="4412" spans="1:13" ht="12.75" customHeight="1" x14ac:dyDescent="0.25">
      <c r="A4412"/>
      <c r="B4412"/>
      <c r="C4412"/>
      <c r="M4412"/>
    </row>
    <row r="4413" spans="1:13" ht="12.75" customHeight="1" x14ac:dyDescent="0.25">
      <c r="A4413"/>
      <c r="B4413"/>
      <c r="C4413"/>
      <c r="M4413"/>
    </row>
    <row r="4414" spans="1:13" ht="12.75" customHeight="1" x14ac:dyDescent="0.25">
      <c r="A4414"/>
      <c r="B4414"/>
      <c r="C4414"/>
      <c r="M4414"/>
    </row>
    <row r="4415" spans="1:13" ht="12.75" customHeight="1" x14ac:dyDescent="0.25">
      <c r="A4415"/>
      <c r="B4415"/>
      <c r="C4415"/>
      <c r="M4415"/>
    </row>
    <row r="4416" spans="1:13" ht="12.75" customHeight="1" x14ac:dyDescent="0.25">
      <c r="A4416"/>
      <c r="B4416"/>
      <c r="C4416"/>
      <c r="M4416"/>
    </row>
    <row r="4417" spans="1:13" ht="12.75" customHeight="1" x14ac:dyDescent="0.25">
      <c r="A4417"/>
      <c r="B4417"/>
      <c r="C4417"/>
      <c r="M4417"/>
    </row>
    <row r="4418" spans="1:13" ht="12.75" customHeight="1" x14ac:dyDescent="0.25">
      <c r="A4418"/>
      <c r="B4418"/>
      <c r="C4418"/>
      <c r="M4418"/>
    </row>
    <row r="4419" spans="1:13" ht="12.75" customHeight="1" x14ac:dyDescent="0.25">
      <c r="A4419"/>
      <c r="B4419"/>
      <c r="C4419"/>
      <c r="M4419"/>
    </row>
    <row r="4420" spans="1:13" ht="12.75" customHeight="1" x14ac:dyDescent="0.25">
      <c r="A4420"/>
      <c r="B4420"/>
      <c r="C4420"/>
      <c r="M4420"/>
    </row>
    <row r="4421" spans="1:13" ht="12.75" customHeight="1" x14ac:dyDescent="0.25">
      <c r="A4421"/>
      <c r="B4421"/>
      <c r="C4421"/>
      <c r="M4421"/>
    </row>
    <row r="4422" spans="1:13" ht="12.75" customHeight="1" x14ac:dyDescent="0.25">
      <c r="A4422"/>
      <c r="B4422"/>
      <c r="C4422"/>
      <c r="M4422"/>
    </row>
    <row r="4423" spans="1:13" ht="12.75" customHeight="1" x14ac:dyDescent="0.25">
      <c r="A4423"/>
      <c r="B4423"/>
      <c r="C4423"/>
      <c r="M4423"/>
    </row>
    <row r="4424" spans="1:13" ht="12.75" customHeight="1" x14ac:dyDescent="0.25">
      <c r="A4424"/>
      <c r="B4424"/>
      <c r="C4424"/>
      <c r="M4424"/>
    </row>
    <row r="4425" spans="1:13" ht="12.75" customHeight="1" x14ac:dyDescent="0.25">
      <c r="A4425"/>
      <c r="B4425"/>
      <c r="C4425"/>
      <c r="M4425"/>
    </row>
    <row r="4426" spans="1:13" ht="12.75" customHeight="1" x14ac:dyDescent="0.25">
      <c r="A4426"/>
      <c r="B4426"/>
      <c r="C4426"/>
      <c r="M4426"/>
    </row>
    <row r="4427" spans="1:13" ht="12.75" customHeight="1" x14ac:dyDescent="0.25">
      <c r="A4427"/>
      <c r="B4427"/>
      <c r="C4427"/>
      <c r="M4427"/>
    </row>
    <row r="4428" spans="1:13" ht="12.75" customHeight="1" x14ac:dyDescent="0.25">
      <c r="A4428"/>
      <c r="B4428"/>
      <c r="C4428"/>
      <c r="M4428"/>
    </row>
    <row r="4429" spans="1:13" ht="12.75" customHeight="1" x14ac:dyDescent="0.25">
      <c r="A4429"/>
      <c r="B4429"/>
      <c r="C4429"/>
      <c r="M4429"/>
    </row>
    <row r="4430" spans="1:13" ht="12.75" customHeight="1" x14ac:dyDescent="0.25">
      <c r="A4430"/>
      <c r="B4430"/>
      <c r="C4430"/>
      <c r="M4430"/>
    </row>
    <row r="4431" spans="1:13" ht="12.75" customHeight="1" x14ac:dyDescent="0.25">
      <c r="A4431"/>
      <c r="B4431"/>
      <c r="C4431"/>
      <c r="M4431"/>
    </row>
    <row r="4432" spans="1:13" ht="12.75" customHeight="1" x14ac:dyDescent="0.25">
      <c r="A4432"/>
      <c r="B4432"/>
      <c r="C4432"/>
      <c r="M4432"/>
    </row>
    <row r="4433" spans="1:13" ht="12.75" customHeight="1" x14ac:dyDescent="0.25">
      <c r="A4433"/>
      <c r="B4433"/>
      <c r="C4433"/>
      <c r="M4433"/>
    </row>
    <row r="4434" spans="1:13" ht="12.75" customHeight="1" x14ac:dyDescent="0.25">
      <c r="A4434"/>
      <c r="B4434"/>
      <c r="C4434"/>
      <c r="M4434"/>
    </row>
    <row r="4435" spans="1:13" ht="12.75" customHeight="1" x14ac:dyDescent="0.25">
      <c r="A4435"/>
      <c r="B4435"/>
      <c r="C4435"/>
      <c r="M4435"/>
    </row>
    <row r="4436" spans="1:13" ht="12.75" customHeight="1" x14ac:dyDescent="0.25">
      <c r="A4436"/>
      <c r="B4436"/>
      <c r="C4436"/>
      <c r="M4436"/>
    </row>
    <row r="4437" spans="1:13" ht="12.75" customHeight="1" x14ac:dyDescent="0.25">
      <c r="A4437"/>
      <c r="B4437"/>
      <c r="C4437"/>
      <c r="M4437"/>
    </row>
    <row r="4438" spans="1:13" ht="12.75" customHeight="1" x14ac:dyDescent="0.25">
      <c r="A4438"/>
      <c r="B4438"/>
      <c r="C4438"/>
      <c r="M4438"/>
    </row>
    <row r="4439" spans="1:13" ht="12.75" customHeight="1" x14ac:dyDescent="0.25">
      <c r="A4439"/>
      <c r="B4439"/>
      <c r="C4439"/>
      <c r="M4439"/>
    </row>
    <row r="4440" spans="1:13" ht="12.75" customHeight="1" x14ac:dyDescent="0.25">
      <c r="A4440"/>
      <c r="B4440"/>
      <c r="C4440"/>
      <c r="M4440"/>
    </row>
    <row r="4441" spans="1:13" ht="12.75" customHeight="1" x14ac:dyDescent="0.25">
      <c r="A4441"/>
      <c r="B4441"/>
      <c r="C4441"/>
      <c r="M4441"/>
    </row>
    <row r="4442" spans="1:13" ht="12.75" customHeight="1" x14ac:dyDescent="0.25">
      <c r="A4442"/>
      <c r="B4442"/>
      <c r="C4442"/>
      <c r="M4442"/>
    </row>
    <row r="4443" spans="1:13" ht="12.75" customHeight="1" x14ac:dyDescent="0.25">
      <c r="A4443"/>
      <c r="B4443"/>
      <c r="C4443"/>
      <c r="M4443"/>
    </row>
    <row r="4444" spans="1:13" ht="12.75" customHeight="1" x14ac:dyDescent="0.25">
      <c r="A4444"/>
      <c r="B4444"/>
      <c r="C4444"/>
      <c r="M4444"/>
    </row>
    <row r="4445" spans="1:13" ht="12.75" customHeight="1" x14ac:dyDescent="0.25">
      <c r="A4445"/>
      <c r="B4445"/>
      <c r="C4445"/>
      <c r="M4445"/>
    </row>
    <row r="4446" spans="1:13" ht="12.75" customHeight="1" x14ac:dyDescent="0.25">
      <c r="A4446"/>
      <c r="B4446"/>
      <c r="C4446"/>
      <c r="M4446"/>
    </row>
    <row r="4447" spans="1:13" ht="12.75" customHeight="1" x14ac:dyDescent="0.25">
      <c r="A4447"/>
      <c r="B4447"/>
      <c r="C4447"/>
      <c r="M4447"/>
    </row>
    <row r="4448" spans="1:13" ht="12.75" customHeight="1" x14ac:dyDescent="0.25">
      <c r="A4448"/>
      <c r="B4448"/>
      <c r="C4448"/>
      <c r="M4448"/>
    </row>
    <row r="4449" spans="1:13" ht="12.75" customHeight="1" x14ac:dyDescent="0.25">
      <c r="A4449"/>
      <c r="B4449"/>
      <c r="C4449"/>
      <c r="M4449"/>
    </row>
    <row r="4450" spans="1:13" ht="12.75" customHeight="1" x14ac:dyDescent="0.25">
      <c r="A4450"/>
      <c r="B4450"/>
      <c r="C4450"/>
      <c r="M4450"/>
    </row>
    <row r="4451" spans="1:13" ht="12.75" customHeight="1" x14ac:dyDescent="0.25">
      <c r="A4451"/>
      <c r="B4451"/>
      <c r="C4451"/>
      <c r="M4451"/>
    </row>
    <row r="4452" spans="1:13" ht="12.75" customHeight="1" x14ac:dyDescent="0.25">
      <c r="A4452"/>
      <c r="B4452"/>
      <c r="C4452"/>
      <c r="M4452"/>
    </row>
    <row r="4453" spans="1:13" ht="12.75" customHeight="1" x14ac:dyDescent="0.25">
      <c r="A4453"/>
      <c r="B4453"/>
      <c r="C4453"/>
      <c r="M4453"/>
    </row>
    <row r="4454" spans="1:13" ht="12.75" customHeight="1" x14ac:dyDescent="0.25">
      <c r="A4454"/>
      <c r="B4454"/>
      <c r="C4454"/>
      <c r="M4454"/>
    </row>
    <row r="4455" spans="1:13" ht="12.75" customHeight="1" x14ac:dyDescent="0.25">
      <c r="A4455"/>
      <c r="B4455"/>
      <c r="C4455"/>
      <c r="M4455"/>
    </row>
    <row r="4456" spans="1:13" ht="12.75" customHeight="1" x14ac:dyDescent="0.25">
      <c r="A4456"/>
      <c r="B4456"/>
      <c r="C4456"/>
      <c r="M4456"/>
    </row>
    <row r="4457" spans="1:13" ht="12.75" customHeight="1" x14ac:dyDescent="0.25">
      <c r="A4457"/>
      <c r="B4457"/>
      <c r="C4457"/>
      <c r="M4457"/>
    </row>
    <row r="4458" spans="1:13" ht="12.75" customHeight="1" x14ac:dyDescent="0.25">
      <c r="A4458"/>
      <c r="B4458"/>
      <c r="C4458"/>
      <c r="M4458"/>
    </row>
    <row r="4459" spans="1:13" ht="12.75" customHeight="1" x14ac:dyDescent="0.25">
      <c r="A4459"/>
      <c r="B4459"/>
      <c r="C4459"/>
      <c r="M4459"/>
    </row>
    <row r="4460" spans="1:13" ht="12.75" customHeight="1" x14ac:dyDescent="0.25">
      <c r="A4460"/>
      <c r="B4460"/>
      <c r="C4460"/>
      <c r="M4460"/>
    </row>
    <row r="4461" spans="1:13" ht="12.75" customHeight="1" x14ac:dyDescent="0.25">
      <c r="A4461"/>
      <c r="B4461"/>
      <c r="C4461"/>
      <c r="M4461"/>
    </row>
    <row r="4462" spans="1:13" ht="12.75" customHeight="1" x14ac:dyDescent="0.25">
      <c r="A4462"/>
      <c r="B4462"/>
      <c r="C4462"/>
      <c r="M4462"/>
    </row>
    <row r="4463" spans="1:13" ht="12.75" customHeight="1" x14ac:dyDescent="0.25">
      <c r="A4463"/>
      <c r="B4463"/>
      <c r="C4463"/>
      <c r="M4463"/>
    </row>
    <row r="4464" spans="1:13" ht="12.75" customHeight="1" x14ac:dyDescent="0.25">
      <c r="A4464"/>
      <c r="B4464"/>
      <c r="C4464"/>
      <c r="M4464"/>
    </row>
    <row r="4465" spans="1:13" ht="12.75" customHeight="1" x14ac:dyDescent="0.25">
      <c r="A4465"/>
      <c r="B4465"/>
      <c r="C4465"/>
      <c r="M4465"/>
    </row>
    <row r="4466" spans="1:13" ht="12.75" customHeight="1" x14ac:dyDescent="0.25">
      <c r="A4466"/>
      <c r="B4466"/>
      <c r="C4466"/>
      <c r="M4466"/>
    </row>
    <row r="4467" spans="1:13" ht="12.75" customHeight="1" x14ac:dyDescent="0.25">
      <c r="A4467"/>
      <c r="B4467"/>
      <c r="C4467"/>
      <c r="M4467"/>
    </row>
    <row r="4468" spans="1:13" ht="12.75" customHeight="1" x14ac:dyDescent="0.25">
      <c r="A4468"/>
      <c r="B4468"/>
      <c r="C4468"/>
      <c r="M4468"/>
    </row>
    <row r="4469" spans="1:13" ht="12.75" customHeight="1" x14ac:dyDescent="0.25">
      <c r="A4469"/>
      <c r="B4469"/>
      <c r="C4469"/>
      <c r="M4469"/>
    </row>
    <row r="4470" spans="1:13" ht="12.75" customHeight="1" x14ac:dyDescent="0.25">
      <c r="A4470"/>
      <c r="B4470"/>
      <c r="C4470"/>
      <c r="M4470"/>
    </row>
    <row r="4471" spans="1:13" ht="12.75" customHeight="1" x14ac:dyDescent="0.25">
      <c r="A4471"/>
      <c r="B4471"/>
      <c r="C4471"/>
      <c r="M4471"/>
    </row>
    <row r="4472" spans="1:13" ht="12.75" customHeight="1" x14ac:dyDescent="0.25">
      <c r="A4472"/>
      <c r="B4472"/>
      <c r="C4472"/>
      <c r="M4472"/>
    </row>
    <row r="4473" spans="1:13" ht="12.75" customHeight="1" x14ac:dyDescent="0.25">
      <c r="A4473"/>
      <c r="B4473"/>
      <c r="C4473"/>
      <c r="M4473"/>
    </row>
    <row r="4474" spans="1:13" ht="12.75" customHeight="1" x14ac:dyDescent="0.25">
      <c r="A4474"/>
      <c r="B4474"/>
      <c r="C4474"/>
      <c r="M4474"/>
    </row>
    <row r="4475" spans="1:13" ht="12.75" customHeight="1" x14ac:dyDescent="0.25">
      <c r="A4475"/>
      <c r="B4475"/>
      <c r="C4475"/>
      <c r="M4475"/>
    </row>
    <row r="4476" spans="1:13" ht="12.75" customHeight="1" x14ac:dyDescent="0.25">
      <c r="A4476"/>
      <c r="B4476"/>
      <c r="C4476"/>
      <c r="M4476"/>
    </row>
    <row r="4477" spans="1:13" ht="12.75" customHeight="1" x14ac:dyDescent="0.25">
      <c r="A4477"/>
      <c r="B4477"/>
      <c r="C4477"/>
      <c r="M4477"/>
    </row>
    <row r="4478" spans="1:13" ht="12.75" customHeight="1" x14ac:dyDescent="0.25">
      <c r="A4478"/>
      <c r="B4478"/>
      <c r="C4478"/>
      <c r="M4478"/>
    </row>
    <row r="4479" spans="1:13" ht="12.75" customHeight="1" x14ac:dyDescent="0.25">
      <c r="A4479"/>
      <c r="B4479"/>
      <c r="C4479"/>
      <c r="M4479"/>
    </row>
    <row r="4480" spans="1:13" ht="12.75" customHeight="1" x14ac:dyDescent="0.25">
      <c r="A4480"/>
      <c r="B4480"/>
      <c r="C4480"/>
      <c r="M4480"/>
    </row>
    <row r="4481" spans="1:13" ht="12.75" customHeight="1" x14ac:dyDescent="0.25">
      <c r="A4481"/>
      <c r="B4481"/>
      <c r="C4481"/>
      <c r="M4481"/>
    </row>
    <row r="4482" spans="1:13" ht="12.75" customHeight="1" x14ac:dyDescent="0.25">
      <c r="A4482"/>
      <c r="B4482"/>
      <c r="C4482"/>
      <c r="M4482"/>
    </row>
    <row r="4483" spans="1:13" ht="12.75" customHeight="1" x14ac:dyDescent="0.25">
      <c r="A4483"/>
      <c r="B4483"/>
      <c r="C4483"/>
      <c r="M4483"/>
    </row>
    <row r="4484" spans="1:13" ht="12.75" customHeight="1" x14ac:dyDescent="0.25">
      <c r="A4484"/>
      <c r="B4484"/>
      <c r="C4484"/>
      <c r="M4484"/>
    </row>
    <row r="4485" spans="1:13" ht="12.75" customHeight="1" x14ac:dyDescent="0.25">
      <c r="A4485"/>
      <c r="B4485"/>
      <c r="C4485"/>
      <c r="M4485"/>
    </row>
    <row r="4486" spans="1:13" ht="12.75" customHeight="1" x14ac:dyDescent="0.25">
      <c r="A4486"/>
      <c r="B4486"/>
      <c r="C4486"/>
      <c r="M4486"/>
    </row>
    <row r="4487" spans="1:13" ht="12.75" customHeight="1" x14ac:dyDescent="0.25">
      <c r="A4487"/>
      <c r="B4487"/>
      <c r="C4487"/>
      <c r="M4487"/>
    </row>
    <row r="4488" spans="1:13" ht="12.75" customHeight="1" x14ac:dyDescent="0.25">
      <c r="A4488"/>
      <c r="B4488"/>
      <c r="C4488"/>
      <c r="M4488"/>
    </row>
    <row r="4489" spans="1:13" ht="12.75" customHeight="1" x14ac:dyDescent="0.25">
      <c r="A4489"/>
      <c r="B4489"/>
      <c r="C4489"/>
      <c r="M4489"/>
    </row>
    <row r="4490" spans="1:13" ht="12.75" customHeight="1" x14ac:dyDescent="0.25">
      <c r="A4490"/>
      <c r="B4490"/>
      <c r="C4490"/>
      <c r="M4490"/>
    </row>
    <row r="4491" spans="1:13" ht="12.75" customHeight="1" x14ac:dyDescent="0.25">
      <c r="A4491"/>
      <c r="B4491"/>
      <c r="C4491"/>
      <c r="M4491"/>
    </row>
    <row r="4492" spans="1:13" ht="12.75" customHeight="1" x14ac:dyDescent="0.25">
      <c r="A4492"/>
      <c r="B4492"/>
      <c r="C4492"/>
      <c r="M4492"/>
    </row>
    <row r="4493" spans="1:13" ht="12.75" customHeight="1" x14ac:dyDescent="0.25">
      <c r="A4493"/>
      <c r="B4493"/>
      <c r="C4493"/>
      <c r="M4493"/>
    </row>
    <row r="4494" spans="1:13" ht="12.75" customHeight="1" x14ac:dyDescent="0.25">
      <c r="A4494"/>
      <c r="B4494"/>
      <c r="C4494"/>
      <c r="M4494"/>
    </row>
    <row r="4495" spans="1:13" ht="12.75" customHeight="1" x14ac:dyDescent="0.25">
      <c r="A4495"/>
      <c r="B4495"/>
      <c r="C4495"/>
      <c r="M4495"/>
    </row>
    <row r="4496" spans="1:13" ht="12.75" customHeight="1" x14ac:dyDescent="0.25">
      <c r="A4496"/>
      <c r="B4496"/>
      <c r="C4496"/>
      <c r="M4496"/>
    </row>
    <row r="4497" spans="1:13" ht="12.75" customHeight="1" x14ac:dyDescent="0.25">
      <c r="A4497"/>
      <c r="B4497"/>
      <c r="C4497"/>
      <c r="M4497"/>
    </row>
    <row r="4498" spans="1:13" ht="12.75" customHeight="1" x14ac:dyDescent="0.25">
      <c r="A4498"/>
      <c r="B4498"/>
      <c r="C4498"/>
      <c r="M4498"/>
    </row>
    <row r="4499" spans="1:13" ht="12.75" customHeight="1" x14ac:dyDescent="0.25">
      <c r="A4499"/>
      <c r="B4499"/>
      <c r="C4499"/>
      <c r="M4499"/>
    </row>
    <row r="4500" spans="1:13" ht="12.75" customHeight="1" x14ac:dyDescent="0.25">
      <c r="A4500"/>
      <c r="B4500"/>
      <c r="C4500"/>
      <c r="M4500"/>
    </row>
    <row r="4501" spans="1:13" ht="12.75" customHeight="1" x14ac:dyDescent="0.25">
      <c r="A4501"/>
      <c r="B4501"/>
      <c r="C4501"/>
      <c r="M4501"/>
    </row>
    <row r="4502" spans="1:13" ht="12.75" customHeight="1" x14ac:dyDescent="0.25">
      <c r="A4502"/>
      <c r="B4502"/>
      <c r="C4502"/>
      <c r="M4502"/>
    </row>
    <row r="4503" spans="1:13" ht="12.75" customHeight="1" x14ac:dyDescent="0.25">
      <c r="A4503"/>
      <c r="B4503"/>
      <c r="C4503"/>
      <c r="M4503"/>
    </row>
    <row r="4504" spans="1:13" ht="12.75" customHeight="1" x14ac:dyDescent="0.25">
      <c r="A4504"/>
      <c r="B4504"/>
      <c r="C4504"/>
      <c r="M4504"/>
    </row>
    <row r="4505" spans="1:13" ht="12.75" customHeight="1" x14ac:dyDescent="0.25">
      <c r="A4505"/>
      <c r="B4505"/>
      <c r="C4505"/>
      <c r="M4505"/>
    </row>
    <row r="4506" spans="1:13" ht="12.75" customHeight="1" x14ac:dyDescent="0.25">
      <c r="A4506"/>
      <c r="B4506"/>
      <c r="C4506"/>
      <c r="M4506"/>
    </row>
    <row r="4507" spans="1:13" ht="12.75" customHeight="1" x14ac:dyDescent="0.25">
      <c r="A4507"/>
      <c r="B4507"/>
      <c r="C4507"/>
      <c r="M4507"/>
    </row>
    <row r="4508" spans="1:13" ht="12.75" customHeight="1" x14ac:dyDescent="0.25">
      <c r="A4508"/>
      <c r="B4508"/>
      <c r="C4508"/>
      <c r="M4508"/>
    </row>
    <row r="4509" spans="1:13" ht="12.75" customHeight="1" x14ac:dyDescent="0.25">
      <c r="A4509"/>
      <c r="B4509"/>
      <c r="C4509"/>
      <c r="M4509"/>
    </row>
    <row r="4510" spans="1:13" ht="12.75" customHeight="1" x14ac:dyDescent="0.25">
      <c r="A4510"/>
      <c r="B4510"/>
      <c r="C4510"/>
      <c r="M4510"/>
    </row>
    <row r="4511" spans="1:13" ht="12.75" customHeight="1" x14ac:dyDescent="0.25">
      <c r="A4511"/>
      <c r="B4511"/>
      <c r="C4511"/>
      <c r="M4511"/>
    </row>
    <row r="4512" spans="1:13" ht="12.75" customHeight="1" x14ac:dyDescent="0.25">
      <c r="A4512"/>
      <c r="B4512"/>
      <c r="C4512"/>
      <c r="M4512"/>
    </row>
    <row r="4513" spans="1:13" ht="12.75" customHeight="1" x14ac:dyDescent="0.25">
      <c r="A4513"/>
      <c r="B4513"/>
      <c r="C4513"/>
      <c r="M4513"/>
    </row>
    <row r="4514" spans="1:13" ht="12.75" customHeight="1" x14ac:dyDescent="0.25">
      <c r="A4514"/>
      <c r="B4514"/>
      <c r="C4514"/>
      <c r="M4514"/>
    </row>
    <row r="4515" spans="1:13" ht="12.75" customHeight="1" x14ac:dyDescent="0.25">
      <c r="A4515"/>
      <c r="B4515"/>
      <c r="C4515"/>
      <c r="M4515"/>
    </row>
    <row r="4516" spans="1:13" ht="12.75" customHeight="1" x14ac:dyDescent="0.25">
      <c r="A4516"/>
      <c r="B4516"/>
      <c r="C4516"/>
      <c r="M4516"/>
    </row>
    <row r="4517" spans="1:13" ht="12.75" customHeight="1" x14ac:dyDescent="0.25">
      <c r="A4517"/>
      <c r="B4517"/>
      <c r="C4517"/>
      <c r="M4517"/>
    </row>
    <row r="4518" spans="1:13" ht="12.75" customHeight="1" x14ac:dyDescent="0.25">
      <c r="A4518"/>
      <c r="B4518"/>
      <c r="C4518"/>
      <c r="M4518"/>
    </row>
    <row r="4519" spans="1:13" ht="12.75" customHeight="1" x14ac:dyDescent="0.25">
      <c r="A4519"/>
      <c r="B4519"/>
      <c r="C4519"/>
      <c r="M4519"/>
    </row>
    <row r="4520" spans="1:13" ht="12.75" customHeight="1" x14ac:dyDescent="0.25">
      <c r="A4520"/>
      <c r="B4520"/>
      <c r="C4520"/>
      <c r="M4520"/>
    </row>
    <row r="4521" spans="1:13" ht="12.75" customHeight="1" x14ac:dyDescent="0.25">
      <c r="A4521"/>
      <c r="B4521"/>
      <c r="C4521"/>
      <c r="M4521"/>
    </row>
    <row r="4522" spans="1:13" ht="12.75" customHeight="1" x14ac:dyDescent="0.25">
      <c r="A4522"/>
      <c r="B4522"/>
      <c r="C4522"/>
      <c r="M4522"/>
    </row>
    <row r="4523" spans="1:13" ht="12.75" customHeight="1" x14ac:dyDescent="0.25">
      <c r="A4523"/>
      <c r="B4523"/>
      <c r="C4523"/>
      <c r="M4523"/>
    </row>
    <row r="4524" spans="1:13" ht="12.75" customHeight="1" x14ac:dyDescent="0.25">
      <c r="A4524"/>
      <c r="B4524"/>
      <c r="C4524"/>
      <c r="M4524"/>
    </row>
    <row r="4525" spans="1:13" ht="12.75" customHeight="1" x14ac:dyDescent="0.25">
      <c r="A4525"/>
      <c r="B4525"/>
      <c r="C4525"/>
      <c r="M4525"/>
    </row>
    <row r="4526" spans="1:13" ht="12.75" customHeight="1" x14ac:dyDescent="0.25">
      <c r="A4526"/>
      <c r="B4526"/>
      <c r="C4526"/>
      <c r="M4526"/>
    </row>
    <row r="4527" spans="1:13" ht="12.75" customHeight="1" x14ac:dyDescent="0.25">
      <c r="A4527"/>
      <c r="B4527"/>
      <c r="C4527"/>
      <c r="M4527"/>
    </row>
    <row r="4528" spans="1:13" ht="12.75" customHeight="1" x14ac:dyDescent="0.25">
      <c r="A4528"/>
      <c r="B4528"/>
      <c r="C4528"/>
      <c r="M4528"/>
    </row>
    <row r="4529" spans="1:13" ht="12.75" customHeight="1" x14ac:dyDescent="0.25">
      <c r="A4529"/>
      <c r="B4529"/>
      <c r="C4529"/>
      <c r="M4529"/>
    </row>
    <row r="4530" spans="1:13" ht="12.75" customHeight="1" x14ac:dyDescent="0.25">
      <c r="A4530"/>
      <c r="B4530"/>
      <c r="C4530"/>
      <c r="M4530"/>
    </row>
    <row r="4531" spans="1:13" ht="12.75" customHeight="1" x14ac:dyDescent="0.25">
      <c r="A4531"/>
      <c r="B4531"/>
      <c r="C4531"/>
      <c r="M4531"/>
    </row>
    <row r="4532" spans="1:13" ht="12.75" customHeight="1" x14ac:dyDescent="0.25">
      <c r="A4532"/>
      <c r="B4532"/>
      <c r="C4532"/>
      <c r="M4532"/>
    </row>
    <row r="4533" spans="1:13" ht="12.75" customHeight="1" x14ac:dyDescent="0.25">
      <c r="A4533"/>
      <c r="B4533"/>
      <c r="C4533"/>
      <c r="M4533"/>
    </row>
    <row r="4534" spans="1:13" ht="12.75" customHeight="1" x14ac:dyDescent="0.25">
      <c r="A4534"/>
      <c r="B4534"/>
      <c r="C4534"/>
      <c r="M4534"/>
    </row>
    <row r="4535" spans="1:13" ht="12.75" customHeight="1" x14ac:dyDescent="0.25">
      <c r="A4535"/>
      <c r="B4535"/>
      <c r="C4535"/>
      <c r="M4535"/>
    </row>
    <row r="4536" spans="1:13" ht="12.75" customHeight="1" x14ac:dyDescent="0.25">
      <c r="A4536"/>
      <c r="B4536"/>
      <c r="C4536"/>
      <c r="M4536"/>
    </row>
    <row r="4537" spans="1:13" ht="12.75" customHeight="1" x14ac:dyDescent="0.25">
      <c r="A4537"/>
      <c r="B4537"/>
      <c r="C4537"/>
      <c r="M4537"/>
    </row>
    <row r="4538" spans="1:13" ht="12.75" customHeight="1" x14ac:dyDescent="0.25">
      <c r="A4538"/>
      <c r="B4538"/>
      <c r="C4538"/>
      <c r="M4538"/>
    </row>
    <row r="4539" spans="1:13" ht="12.75" customHeight="1" x14ac:dyDescent="0.25">
      <c r="A4539"/>
      <c r="B4539"/>
      <c r="C4539"/>
      <c r="M4539"/>
    </row>
    <row r="4540" spans="1:13" ht="12.75" customHeight="1" x14ac:dyDescent="0.25">
      <c r="A4540"/>
      <c r="B4540"/>
      <c r="C4540"/>
      <c r="M4540"/>
    </row>
    <row r="4541" spans="1:13" ht="12.75" customHeight="1" x14ac:dyDescent="0.25">
      <c r="A4541"/>
      <c r="B4541"/>
      <c r="C4541"/>
      <c r="M4541"/>
    </row>
    <row r="4542" spans="1:13" ht="12.75" customHeight="1" x14ac:dyDescent="0.25">
      <c r="A4542"/>
      <c r="B4542"/>
      <c r="C4542"/>
      <c r="M4542"/>
    </row>
    <row r="4543" spans="1:13" ht="12.75" customHeight="1" x14ac:dyDescent="0.25">
      <c r="A4543"/>
      <c r="B4543"/>
      <c r="C4543"/>
      <c r="M4543"/>
    </row>
    <row r="4544" spans="1:13" ht="12.75" customHeight="1" x14ac:dyDescent="0.25">
      <c r="A4544"/>
      <c r="B4544"/>
      <c r="C4544"/>
      <c r="M4544"/>
    </row>
    <row r="4545" spans="1:13" ht="12.75" customHeight="1" x14ac:dyDescent="0.25">
      <c r="A4545"/>
      <c r="B4545"/>
      <c r="C4545"/>
      <c r="M4545"/>
    </row>
    <row r="4546" spans="1:13" ht="12.75" customHeight="1" x14ac:dyDescent="0.25">
      <c r="A4546"/>
      <c r="B4546"/>
      <c r="C4546"/>
      <c r="M4546"/>
    </row>
    <row r="4547" spans="1:13" ht="12.75" customHeight="1" x14ac:dyDescent="0.25">
      <c r="A4547"/>
      <c r="B4547"/>
      <c r="C4547"/>
      <c r="M4547"/>
    </row>
    <row r="4548" spans="1:13" ht="12.75" customHeight="1" x14ac:dyDescent="0.25">
      <c r="A4548"/>
      <c r="B4548"/>
      <c r="C4548"/>
      <c r="M4548"/>
    </row>
    <row r="4549" spans="1:13" ht="12.75" customHeight="1" x14ac:dyDescent="0.25">
      <c r="A4549"/>
      <c r="B4549"/>
      <c r="C4549"/>
      <c r="M4549"/>
    </row>
    <row r="4550" spans="1:13" ht="12.75" customHeight="1" x14ac:dyDescent="0.25">
      <c r="A4550"/>
      <c r="B4550"/>
      <c r="C4550"/>
      <c r="M4550"/>
    </row>
    <row r="4551" spans="1:13" ht="12.75" customHeight="1" x14ac:dyDescent="0.25">
      <c r="A4551"/>
      <c r="B4551"/>
      <c r="C4551"/>
      <c r="M4551"/>
    </row>
    <row r="4552" spans="1:13" ht="12.75" customHeight="1" x14ac:dyDescent="0.25">
      <c r="A4552"/>
      <c r="B4552"/>
      <c r="C4552"/>
      <c r="M4552"/>
    </row>
    <row r="4553" spans="1:13" ht="12.75" customHeight="1" x14ac:dyDescent="0.25">
      <c r="A4553"/>
      <c r="B4553"/>
      <c r="C4553"/>
      <c r="M4553"/>
    </row>
    <row r="4554" spans="1:13" ht="12.75" customHeight="1" x14ac:dyDescent="0.25">
      <c r="A4554"/>
      <c r="B4554"/>
      <c r="C4554"/>
      <c r="M4554"/>
    </row>
    <row r="4555" spans="1:13" ht="12.75" customHeight="1" x14ac:dyDescent="0.25">
      <c r="A4555"/>
      <c r="B4555"/>
      <c r="C4555"/>
      <c r="M4555"/>
    </row>
    <row r="4556" spans="1:13" ht="12.75" customHeight="1" x14ac:dyDescent="0.25">
      <c r="A4556"/>
      <c r="B4556"/>
      <c r="C4556"/>
      <c r="M4556"/>
    </row>
    <row r="4557" spans="1:13" ht="12.75" customHeight="1" x14ac:dyDescent="0.25">
      <c r="A4557"/>
      <c r="B4557"/>
      <c r="C4557"/>
      <c r="M4557"/>
    </row>
    <row r="4558" spans="1:13" ht="12.75" customHeight="1" x14ac:dyDescent="0.25">
      <c r="A4558"/>
      <c r="B4558"/>
      <c r="C4558"/>
      <c r="M4558"/>
    </row>
    <row r="4559" spans="1:13" ht="12.75" customHeight="1" x14ac:dyDescent="0.25">
      <c r="A4559"/>
      <c r="B4559"/>
      <c r="C4559"/>
      <c r="M4559"/>
    </row>
    <row r="4560" spans="1:13" ht="12.75" customHeight="1" x14ac:dyDescent="0.25">
      <c r="A4560"/>
      <c r="B4560"/>
      <c r="C4560"/>
      <c r="M4560"/>
    </row>
    <row r="4561" spans="1:13" ht="12.75" customHeight="1" x14ac:dyDescent="0.25">
      <c r="A4561"/>
      <c r="B4561"/>
      <c r="C4561"/>
      <c r="M4561"/>
    </row>
    <row r="4562" spans="1:13" ht="12.75" customHeight="1" x14ac:dyDescent="0.25">
      <c r="A4562"/>
      <c r="B4562"/>
      <c r="C4562"/>
      <c r="M4562"/>
    </row>
    <row r="4563" spans="1:13" ht="12.75" customHeight="1" x14ac:dyDescent="0.25">
      <c r="A4563"/>
      <c r="B4563"/>
      <c r="C4563"/>
      <c r="M4563"/>
    </row>
    <row r="4564" spans="1:13" ht="12.75" customHeight="1" x14ac:dyDescent="0.25">
      <c r="A4564"/>
      <c r="B4564"/>
      <c r="C4564"/>
      <c r="M4564"/>
    </row>
    <row r="4565" spans="1:13" ht="12.75" customHeight="1" x14ac:dyDescent="0.25">
      <c r="A4565"/>
      <c r="B4565"/>
      <c r="C4565"/>
      <c r="M4565"/>
    </row>
    <row r="4566" spans="1:13" ht="12.75" customHeight="1" x14ac:dyDescent="0.25">
      <c r="A4566"/>
      <c r="B4566"/>
      <c r="C4566"/>
      <c r="M4566"/>
    </row>
    <row r="4567" spans="1:13" ht="12.75" customHeight="1" x14ac:dyDescent="0.25">
      <c r="A4567"/>
      <c r="B4567"/>
      <c r="C4567"/>
      <c r="M4567"/>
    </row>
    <row r="4568" spans="1:13" ht="12.75" customHeight="1" x14ac:dyDescent="0.25">
      <c r="A4568"/>
      <c r="B4568"/>
      <c r="C4568"/>
      <c r="M4568"/>
    </row>
    <row r="4569" spans="1:13" ht="12.75" customHeight="1" x14ac:dyDescent="0.25">
      <c r="A4569"/>
      <c r="B4569"/>
      <c r="C4569"/>
      <c r="M4569"/>
    </row>
    <row r="4570" spans="1:13" ht="12.75" customHeight="1" x14ac:dyDescent="0.25">
      <c r="A4570"/>
      <c r="B4570"/>
      <c r="C4570"/>
      <c r="M4570"/>
    </row>
    <row r="4571" spans="1:13" ht="12.75" customHeight="1" x14ac:dyDescent="0.25">
      <c r="A4571"/>
      <c r="B4571"/>
      <c r="C4571"/>
      <c r="M4571"/>
    </row>
    <row r="4572" spans="1:13" ht="12.75" customHeight="1" x14ac:dyDescent="0.25">
      <c r="A4572"/>
      <c r="B4572"/>
      <c r="C4572"/>
      <c r="M4572"/>
    </row>
    <row r="4573" spans="1:13" ht="12.75" customHeight="1" x14ac:dyDescent="0.25">
      <c r="A4573"/>
      <c r="B4573"/>
      <c r="C4573"/>
      <c r="M4573"/>
    </row>
    <row r="4574" spans="1:13" ht="12.75" customHeight="1" x14ac:dyDescent="0.25">
      <c r="A4574"/>
      <c r="B4574"/>
      <c r="C4574"/>
      <c r="M4574"/>
    </row>
    <row r="4575" spans="1:13" ht="12.75" customHeight="1" x14ac:dyDescent="0.25">
      <c r="A4575"/>
      <c r="B4575"/>
      <c r="C4575"/>
      <c r="M4575"/>
    </row>
    <row r="4576" spans="1:13" ht="12.75" customHeight="1" x14ac:dyDescent="0.25">
      <c r="A4576"/>
      <c r="B4576"/>
      <c r="C4576"/>
      <c r="M4576"/>
    </row>
    <row r="4577" spans="1:13" ht="12.75" customHeight="1" x14ac:dyDescent="0.25">
      <c r="A4577"/>
      <c r="B4577"/>
      <c r="C4577"/>
      <c r="M4577"/>
    </row>
    <row r="4578" spans="1:13" ht="12.75" customHeight="1" x14ac:dyDescent="0.25">
      <c r="A4578"/>
      <c r="B4578"/>
      <c r="C4578"/>
      <c r="M4578"/>
    </row>
    <row r="4579" spans="1:13" ht="12.75" customHeight="1" x14ac:dyDescent="0.25">
      <c r="A4579"/>
      <c r="B4579"/>
      <c r="C4579"/>
      <c r="M4579"/>
    </row>
    <row r="4580" spans="1:13" ht="12.75" customHeight="1" x14ac:dyDescent="0.25">
      <c r="A4580"/>
      <c r="B4580"/>
      <c r="C4580"/>
      <c r="M4580"/>
    </row>
    <row r="4581" spans="1:13" ht="12.75" customHeight="1" x14ac:dyDescent="0.25">
      <c r="A4581"/>
      <c r="B4581"/>
      <c r="C4581"/>
      <c r="M4581"/>
    </row>
    <row r="4582" spans="1:13" ht="12.75" customHeight="1" x14ac:dyDescent="0.25">
      <c r="A4582"/>
      <c r="B4582"/>
      <c r="C4582"/>
      <c r="M4582"/>
    </row>
    <row r="4583" spans="1:13" ht="12.75" customHeight="1" x14ac:dyDescent="0.25">
      <c r="A4583"/>
      <c r="B4583"/>
      <c r="C4583"/>
      <c r="M4583"/>
    </row>
    <row r="4584" spans="1:13" ht="12.75" customHeight="1" x14ac:dyDescent="0.25">
      <c r="A4584"/>
      <c r="B4584"/>
      <c r="C4584"/>
      <c r="M4584"/>
    </row>
    <row r="4585" spans="1:13" ht="12.75" customHeight="1" x14ac:dyDescent="0.25">
      <c r="A4585"/>
      <c r="B4585"/>
      <c r="C4585"/>
      <c r="M4585"/>
    </row>
    <row r="4586" spans="1:13" ht="12.75" customHeight="1" x14ac:dyDescent="0.25">
      <c r="A4586"/>
      <c r="B4586"/>
      <c r="C4586"/>
      <c r="M4586"/>
    </row>
    <row r="4587" spans="1:13" ht="12.75" customHeight="1" x14ac:dyDescent="0.25">
      <c r="A4587"/>
      <c r="B4587"/>
      <c r="C4587"/>
      <c r="M4587"/>
    </row>
    <row r="4588" spans="1:13" ht="12.75" customHeight="1" x14ac:dyDescent="0.25">
      <c r="A4588"/>
      <c r="B4588"/>
      <c r="C4588"/>
      <c r="M4588"/>
    </row>
    <row r="4589" spans="1:13" ht="12.75" customHeight="1" x14ac:dyDescent="0.25">
      <c r="A4589"/>
      <c r="B4589"/>
      <c r="C4589"/>
      <c r="M4589"/>
    </row>
    <row r="4590" spans="1:13" ht="12.75" customHeight="1" x14ac:dyDescent="0.25">
      <c r="A4590"/>
      <c r="B4590"/>
      <c r="C4590"/>
      <c r="M4590"/>
    </row>
    <row r="4591" spans="1:13" ht="12.75" customHeight="1" x14ac:dyDescent="0.25">
      <c r="A4591"/>
      <c r="B4591"/>
      <c r="C4591"/>
      <c r="M4591"/>
    </row>
    <row r="4592" spans="1:13" ht="12.75" customHeight="1" x14ac:dyDescent="0.25">
      <c r="A4592"/>
      <c r="B4592"/>
      <c r="C4592"/>
      <c r="M4592"/>
    </row>
    <row r="4593" spans="1:13" ht="12.75" customHeight="1" x14ac:dyDescent="0.25">
      <c r="A4593"/>
      <c r="B4593"/>
      <c r="C4593"/>
      <c r="M4593"/>
    </row>
    <row r="4594" spans="1:13" ht="12.75" customHeight="1" x14ac:dyDescent="0.25">
      <c r="A4594"/>
      <c r="B4594"/>
      <c r="C4594"/>
      <c r="M4594"/>
    </row>
    <row r="4595" spans="1:13" ht="12.75" customHeight="1" x14ac:dyDescent="0.25">
      <c r="A4595"/>
      <c r="B4595"/>
      <c r="C4595"/>
      <c r="M4595"/>
    </row>
    <row r="4596" spans="1:13" ht="12.75" customHeight="1" x14ac:dyDescent="0.25">
      <c r="A4596"/>
      <c r="B4596"/>
      <c r="C4596"/>
      <c r="M4596"/>
    </row>
    <row r="4597" spans="1:13" ht="12.75" customHeight="1" x14ac:dyDescent="0.25">
      <c r="A4597"/>
      <c r="B4597"/>
      <c r="C4597"/>
      <c r="M4597"/>
    </row>
    <row r="4598" spans="1:13" ht="12.75" customHeight="1" x14ac:dyDescent="0.25">
      <c r="A4598"/>
      <c r="B4598"/>
      <c r="C4598"/>
      <c r="M4598"/>
    </row>
    <row r="4599" spans="1:13" ht="12.75" customHeight="1" x14ac:dyDescent="0.25">
      <c r="A4599"/>
      <c r="B4599"/>
      <c r="C4599"/>
      <c r="M4599"/>
    </row>
    <row r="4600" spans="1:13" ht="12.75" customHeight="1" x14ac:dyDescent="0.25">
      <c r="A4600"/>
      <c r="B4600"/>
      <c r="C4600"/>
      <c r="M4600"/>
    </row>
    <row r="4601" spans="1:13" ht="12.75" customHeight="1" x14ac:dyDescent="0.25">
      <c r="A4601"/>
      <c r="B4601"/>
      <c r="C4601"/>
      <c r="M4601"/>
    </row>
    <row r="4602" spans="1:13" ht="12.75" customHeight="1" x14ac:dyDescent="0.25">
      <c r="A4602"/>
      <c r="B4602"/>
      <c r="C4602"/>
      <c r="M4602"/>
    </row>
    <row r="4603" spans="1:13" ht="12.75" customHeight="1" x14ac:dyDescent="0.25">
      <c r="A4603"/>
      <c r="B4603"/>
      <c r="C4603"/>
      <c r="M4603"/>
    </row>
    <row r="4604" spans="1:13" ht="12.75" customHeight="1" x14ac:dyDescent="0.25">
      <c r="A4604"/>
      <c r="B4604"/>
      <c r="C4604"/>
      <c r="M4604"/>
    </row>
    <row r="4605" spans="1:13" ht="12.75" customHeight="1" x14ac:dyDescent="0.25">
      <c r="A4605"/>
      <c r="B4605"/>
      <c r="C4605"/>
      <c r="M4605"/>
    </row>
    <row r="4606" spans="1:13" ht="12.75" customHeight="1" x14ac:dyDescent="0.25">
      <c r="A4606"/>
      <c r="B4606"/>
      <c r="C4606"/>
      <c r="M4606"/>
    </row>
    <row r="4607" spans="1:13" ht="12.75" customHeight="1" x14ac:dyDescent="0.25">
      <c r="A4607"/>
      <c r="B4607"/>
      <c r="C4607"/>
      <c r="M4607"/>
    </row>
    <row r="4608" spans="1:13" ht="12.75" customHeight="1" x14ac:dyDescent="0.25">
      <c r="A4608"/>
      <c r="B4608"/>
      <c r="C4608"/>
      <c r="M4608"/>
    </row>
    <row r="4609" spans="1:13" ht="12.75" customHeight="1" x14ac:dyDescent="0.25">
      <c r="A4609"/>
      <c r="B4609"/>
      <c r="C4609"/>
      <c r="M4609"/>
    </row>
    <row r="4610" spans="1:13" ht="12.75" customHeight="1" x14ac:dyDescent="0.25">
      <c r="A4610"/>
      <c r="B4610"/>
      <c r="C4610"/>
      <c r="M4610"/>
    </row>
    <row r="4611" spans="1:13" ht="12.75" customHeight="1" x14ac:dyDescent="0.25">
      <c r="A4611"/>
      <c r="B4611"/>
      <c r="C4611"/>
      <c r="M4611"/>
    </row>
    <row r="4612" spans="1:13" ht="12.75" customHeight="1" x14ac:dyDescent="0.25">
      <c r="A4612"/>
      <c r="B4612"/>
      <c r="C4612"/>
      <c r="M4612"/>
    </row>
    <row r="4613" spans="1:13" ht="12.75" customHeight="1" x14ac:dyDescent="0.25">
      <c r="A4613"/>
      <c r="B4613"/>
      <c r="C4613"/>
      <c r="M4613"/>
    </row>
    <row r="4614" spans="1:13" ht="12.75" customHeight="1" x14ac:dyDescent="0.25">
      <c r="A4614"/>
      <c r="B4614"/>
      <c r="C4614"/>
      <c r="M4614"/>
    </row>
    <row r="4615" spans="1:13" ht="12.75" customHeight="1" x14ac:dyDescent="0.25">
      <c r="A4615"/>
      <c r="B4615"/>
      <c r="C4615"/>
      <c r="M4615"/>
    </row>
    <row r="4616" spans="1:13" ht="12.75" customHeight="1" x14ac:dyDescent="0.25">
      <c r="A4616"/>
      <c r="B4616"/>
      <c r="C4616"/>
      <c r="M4616"/>
    </row>
    <row r="4617" spans="1:13" ht="12.75" customHeight="1" x14ac:dyDescent="0.25">
      <c r="A4617"/>
      <c r="B4617"/>
      <c r="C4617"/>
      <c r="M4617"/>
    </row>
    <row r="4618" spans="1:13" ht="12.75" customHeight="1" x14ac:dyDescent="0.25">
      <c r="A4618"/>
      <c r="B4618"/>
      <c r="C4618"/>
      <c r="M4618"/>
    </row>
    <row r="4619" spans="1:13" ht="12.75" customHeight="1" x14ac:dyDescent="0.25">
      <c r="A4619"/>
      <c r="B4619"/>
      <c r="C4619"/>
      <c r="M4619"/>
    </row>
    <row r="4620" spans="1:13" ht="12.75" customHeight="1" x14ac:dyDescent="0.25">
      <c r="A4620"/>
      <c r="B4620"/>
      <c r="C4620"/>
      <c r="M4620"/>
    </row>
    <row r="4621" spans="1:13" ht="12.75" customHeight="1" x14ac:dyDescent="0.25">
      <c r="A4621"/>
      <c r="B4621"/>
      <c r="C4621"/>
      <c r="M4621"/>
    </row>
    <row r="4622" spans="1:13" ht="12.75" customHeight="1" x14ac:dyDescent="0.25">
      <c r="A4622"/>
      <c r="B4622"/>
      <c r="C4622"/>
      <c r="M4622"/>
    </row>
    <row r="4623" spans="1:13" ht="12.75" customHeight="1" x14ac:dyDescent="0.25">
      <c r="A4623"/>
      <c r="B4623"/>
      <c r="C4623"/>
      <c r="M4623"/>
    </row>
    <row r="4624" spans="1:13" ht="12.75" customHeight="1" x14ac:dyDescent="0.25">
      <c r="A4624"/>
      <c r="B4624"/>
      <c r="C4624"/>
      <c r="M4624"/>
    </row>
    <row r="4625" spans="1:13" ht="12.75" customHeight="1" x14ac:dyDescent="0.25">
      <c r="A4625"/>
      <c r="B4625"/>
      <c r="C4625"/>
      <c r="M4625"/>
    </row>
    <row r="4626" spans="1:13" ht="12.75" customHeight="1" x14ac:dyDescent="0.25">
      <c r="A4626"/>
      <c r="B4626"/>
      <c r="C4626"/>
      <c r="M4626"/>
    </row>
    <row r="4627" spans="1:13" ht="12.75" customHeight="1" x14ac:dyDescent="0.25">
      <c r="A4627"/>
      <c r="B4627"/>
      <c r="C4627"/>
      <c r="M4627"/>
    </row>
    <row r="4628" spans="1:13" ht="12.75" customHeight="1" x14ac:dyDescent="0.25">
      <c r="A4628"/>
      <c r="B4628"/>
      <c r="C4628"/>
      <c r="M4628"/>
    </row>
    <row r="4629" spans="1:13" ht="12.75" customHeight="1" x14ac:dyDescent="0.25">
      <c r="A4629"/>
      <c r="B4629"/>
      <c r="C4629"/>
      <c r="M4629"/>
    </row>
    <row r="4630" spans="1:13" ht="12.75" customHeight="1" x14ac:dyDescent="0.25">
      <c r="A4630"/>
      <c r="B4630"/>
      <c r="C4630"/>
      <c r="M4630"/>
    </row>
    <row r="4631" spans="1:13" ht="12.75" customHeight="1" x14ac:dyDescent="0.25">
      <c r="A4631"/>
      <c r="B4631"/>
      <c r="C4631"/>
      <c r="M4631"/>
    </row>
    <row r="4632" spans="1:13" ht="12.75" customHeight="1" x14ac:dyDescent="0.25">
      <c r="A4632"/>
      <c r="B4632"/>
      <c r="C4632"/>
      <c r="M4632"/>
    </row>
    <row r="4633" spans="1:13" ht="12.75" customHeight="1" x14ac:dyDescent="0.25">
      <c r="A4633"/>
      <c r="B4633"/>
      <c r="C4633"/>
      <c r="M4633"/>
    </row>
    <row r="4634" spans="1:13" ht="12.75" customHeight="1" x14ac:dyDescent="0.25">
      <c r="A4634"/>
      <c r="B4634"/>
      <c r="C4634"/>
      <c r="M4634"/>
    </row>
    <row r="4635" spans="1:13" ht="12.75" customHeight="1" x14ac:dyDescent="0.25">
      <c r="A4635"/>
      <c r="B4635"/>
      <c r="C4635"/>
      <c r="M4635"/>
    </row>
    <row r="4636" spans="1:13" ht="12.75" customHeight="1" x14ac:dyDescent="0.25">
      <c r="A4636"/>
      <c r="B4636"/>
      <c r="C4636"/>
      <c r="M4636"/>
    </row>
    <row r="4637" spans="1:13" ht="12.75" customHeight="1" x14ac:dyDescent="0.25">
      <c r="A4637"/>
      <c r="B4637"/>
      <c r="C4637"/>
      <c r="M4637"/>
    </row>
    <row r="4638" spans="1:13" ht="12.75" customHeight="1" x14ac:dyDescent="0.25">
      <c r="A4638"/>
      <c r="B4638"/>
      <c r="C4638"/>
      <c r="M4638"/>
    </row>
    <row r="4639" spans="1:13" ht="12.75" customHeight="1" x14ac:dyDescent="0.25">
      <c r="A4639"/>
      <c r="B4639"/>
      <c r="C4639"/>
      <c r="M4639"/>
    </row>
    <row r="4640" spans="1:13" ht="12.75" customHeight="1" x14ac:dyDescent="0.25">
      <c r="A4640"/>
      <c r="B4640"/>
      <c r="C4640"/>
      <c r="M4640"/>
    </row>
    <row r="4641" spans="1:13" ht="12.75" customHeight="1" x14ac:dyDescent="0.25">
      <c r="A4641"/>
      <c r="B4641"/>
      <c r="C4641"/>
      <c r="M4641"/>
    </row>
    <row r="4642" spans="1:13" ht="12.75" customHeight="1" x14ac:dyDescent="0.25">
      <c r="A4642"/>
      <c r="B4642"/>
      <c r="C4642"/>
      <c r="M4642"/>
    </row>
    <row r="4643" spans="1:13" ht="12.75" customHeight="1" x14ac:dyDescent="0.25">
      <c r="A4643"/>
      <c r="B4643"/>
      <c r="C4643"/>
      <c r="M4643"/>
    </row>
    <row r="4644" spans="1:13" ht="12.75" customHeight="1" x14ac:dyDescent="0.25">
      <c r="A4644"/>
      <c r="B4644"/>
      <c r="C4644"/>
      <c r="M4644"/>
    </row>
    <row r="4645" spans="1:13" ht="12.75" customHeight="1" x14ac:dyDescent="0.25">
      <c r="A4645"/>
      <c r="B4645"/>
      <c r="C4645"/>
      <c r="M4645"/>
    </row>
    <row r="4646" spans="1:13" ht="12.75" customHeight="1" x14ac:dyDescent="0.25">
      <c r="A4646"/>
      <c r="B4646"/>
      <c r="C4646"/>
      <c r="M4646"/>
    </row>
    <row r="4647" spans="1:13" ht="12.75" customHeight="1" x14ac:dyDescent="0.25">
      <c r="A4647"/>
      <c r="B4647"/>
      <c r="C4647"/>
      <c r="M4647"/>
    </row>
    <row r="4648" spans="1:13" ht="12.75" customHeight="1" x14ac:dyDescent="0.25">
      <c r="A4648"/>
      <c r="B4648"/>
      <c r="C4648"/>
      <c r="M4648"/>
    </row>
    <row r="4649" spans="1:13" ht="12.75" customHeight="1" x14ac:dyDescent="0.25">
      <c r="A4649"/>
      <c r="B4649"/>
      <c r="C4649"/>
      <c r="M4649"/>
    </row>
    <row r="4650" spans="1:13" ht="12.75" customHeight="1" x14ac:dyDescent="0.25">
      <c r="A4650"/>
      <c r="B4650"/>
      <c r="C4650"/>
      <c r="M4650"/>
    </row>
    <row r="4651" spans="1:13" ht="12.75" customHeight="1" x14ac:dyDescent="0.25">
      <c r="A4651"/>
      <c r="B4651"/>
      <c r="C4651"/>
      <c r="M4651"/>
    </row>
    <row r="4652" spans="1:13" ht="12.75" customHeight="1" x14ac:dyDescent="0.25">
      <c r="A4652"/>
      <c r="B4652"/>
      <c r="C4652"/>
      <c r="M4652"/>
    </row>
    <row r="4653" spans="1:13" ht="12.75" customHeight="1" x14ac:dyDescent="0.25">
      <c r="A4653"/>
      <c r="B4653"/>
      <c r="C4653"/>
      <c r="M4653"/>
    </row>
    <row r="4654" spans="1:13" ht="12.75" customHeight="1" x14ac:dyDescent="0.25">
      <c r="A4654"/>
      <c r="B4654"/>
      <c r="C4654"/>
      <c r="M4654"/>
    </row>
    <row r="4655" spans="1:13" ht="12.75" customHeight="1" x14ac:dyDescent="0.25">
      <c r="A4655"/>
      <c r="B4655"/>
      <c r="C4655"/>
      <c r="M4655"/>
    </row>
    <row r="4656" spans="1:13" ht="12.75" customHeight="1" x14ac:dyDescent="0.25">
      <c r="A4656"/>
      <c r="B4656"/>
      <c r="C4656"/>
      <c r="M4656"/>
    </row>
    <row r="4657" spans="1:13" ht="12.75" customHeight="1" x14ac:dyDescent="0.25">
      <c r="A4657"/>
      <c r="B4657"/>
      <c r="C4657"/>
      <c r="M4657"/>
    </row>
    <row r="4658" spans="1:13" ht="12.75" customHeight="1" x14ac:dyDescent="0.25">
      <c r="A4658"/>
      <c r="B4658"/>
      <c r="C4658"/>
      <c r="M4658"/>
    </row>
    <row r="4659" spans="1:13" ht="12.75" customHeight="1" x14ac:dyDescent="0.25">
      <c r="A4659"/>
      <c r="B4659"/>
      <c r="C4659"/>
      <c r="M4659"/>
    </row>
    <row r="4660" spans="1:13" ht="12.75" customHeight="1" x14ac:dyDescent="0.25">
      <c r="A4660"/>
      <c r="B4660"/>
      <c r="C4660"/>
      <c r="M4660"/>
    </row>
    <row r="4661" spans="1:13" ht="12.75" customHeight="1" x14ac:dyDescent="0.25">
      <c r="A4661"/>
      <c r="B4661"/>
      <c r="C4661"/>
      <c r="M4661"/>
    </row>
    <row r="4662" spans="1:13" ht="12.75" customHeight="1" x14ac:dyDescent="0.25">
      <c r="A4662"/>
      <c r="B4662"/>
      <c r="C4662"/>
      <c r="M4662"/>
    </row>
    <row r="4663" spans="1:13" ht="12.75" customHeight="1" x14ac:dyDescent="0.25">
      <c r="A4663"/>
      <c r="B4663"/>
      <c r="C4663"/>
      <c r="M4663"/>
    </row>
    <row r="4664" spans="1:13" ht="12.75" customHeight="1" x14ac:dyDescent="0.25">
      <c r="A4664"/>
      <c r="B4664"/>
      <c r="C4664"/>
      <c r="M4664"/>
    </row>
    <row r="4665" spans="1:13" ht="12.75" customHeight="1" x14ac:dyDescent="0.25">
      <c r="A4665"/>
      <c r="B4665"/>
      <c r="C4665"/>
      <c r="M4665"/>
    </row>
    <row r="4666" spans="1:13" ht="12.75" customHeight="1" x14ac:dyDescent="0.25">
      <c r="A4666"/>
      <c r="B4666"/>
      <c r="C4666"/>
      <c r="M4666"/>
    </row>
    <row r="4667" spans="1:13" ht="12.75" customHeight="1" x14ac:dyDescent="0.25">
      <c r="A4667"/>
      <c r="B4667"/>
      <c r="C4667"/>
      <c r="M4667"/>
    </row>
    <row r="4668" spans="1:13" ht="12.75" customHeight="1" x14ac:dyDescent="0.25">
      <c r="A4668"/>
      <c r="B4668"/>
      <c r="C4668"/>
      <c r="M4668"/>
    </row>
    <row r="4669" spans="1:13" ht="12.75" customHeight="1" x14ac:dyDescent="0.25">
      <c r="A4669"/>
      <c r="B4669"/>
      <c r="C4669"/>
      <c r="M4669"/>
    </row>
    <row r="4670" spans="1:13" ht="12.75" customHeight="1" x14ac:dyDescent="0.25">
      <c r="A4670"/>
      <c r="B4670"/>
      <c r="C4670"/>
      <c r="M4670"/>
    </row>
    <row r="4671" spans="1:13" ht="12.75" customHeight="1" x14ac:dyDescent="0.25">
      <c r="A4671"/>
      <c r="B4671"/>
      <c r="C4671"/>
      <c r="M4671"/>
    </row>
    <row r="4672" spans="1:13" ht="12.75" customHeight="1" x14ac:dyDescent="0.25">
      <c r="A4672"/>
      <c r="B4672"/>
      <c r="C4672"/>
      <c r="M4672"/>
    </row>
    <row r="4673" spans="1:13" ht="12.75" customHeight="1" x14ac:dyDescent="0.25">
      <c r="A4673"/>
      <c r="B4673"/>
      <c r="C4673"/>
      <c r="M4673"/>
    </row>
    <row r="4674" spans="1:13" ht="12.75" customHeight="1" x14ac:dyDescent="0.25">
      <c r="A4674"/>
      <c r="B4674"/>
      <c r="C4674"/>
      <c r="M4674"/>
    </row>
    <row r="4675" spans="1:13" ht="12.75" customHeight="1" x14ac:dyDescent="0.25">
      <c r="A4675"/>
      <c r="B4675"/>
      <c r="C4675"/>
      <c r="M4675"/>
    </row>
    <row r="4676" spans="1:13" ht="12.75" customHeight="1" x14ac:dyDescent="0.25">
      <c r="A4676"/>
      <c r="B4676"/>
      <c r="C4676"/>
      <c r="M4676"/>
    </row>
    <row r="4677" spans="1:13" ht="12.75" customHeight="1" x14ac:dyDescent="0.25">
      <c r="A4677"/>
      <c r="B4677"/>
      <c r="C4677"/>
      <c r="M4677"/>
    </row>
    <row r="4678" spans="1:13" ht="12.75" customHeight="1" x14ac:dyDescent="0.25">
      <c r="A4678"/>
      <c r="B4678"/>
      <c r="C4678"/>
      <c r="M4678"/>
    </row>
    <row r="4679" spans="1:13" ht="12.75" customHeight="1" x14ac:dyDescent="0.25">
      <c r="A4679"/>
      <c r="B4679"/>
      <c r="C4679"/>
      <c r="M4679"/>
    </row>
    <row r="4680" spans="1:13" ht="12.75" customHeight="1" x14ac:dyDescent="0.25">
      <c r="A4680"/>
      <c r="B4680"/>
      <c r="C4680"/>
      <c r="M4680"/>
    </row>
    <row r="4681" spans="1:13" ht="12.75" customHeight="1" x14ac:dyDescent="0.25">
      <c r="A4681"/>
      <c r="B4681"/>
      <c r="C4681"/>
      <c r="M4681"/>
    </row>
    <row r="4682" spans="1:13" ht="12.75" customHeight="1" x14ac:dyDescent="0.25">
      <c r="A4682"/>
      <c r="B4682"/>
      <c r="C4682"/>
      <c r="M4682"/>
    </row>
    <row r="4683" spans="1:13" ht="12.75" customHeight="1" x14ac:dyDescent="0.25">
      <c r="A4683"/>
      <c r="B4683"/>
      <c r="C4683"/>
      <c r="M4683"/>
    </row>
    <row r="4684" spans="1:13" ht="12.75" customHeight="1" x14ac:dyDescent="0.25">
      <c r="A4684"/>
      <c r="B4684"/>
      <c r="C4684"/>
      <c r="M4684"/>
    </row>
    <row r="4685" spans="1:13" ht="12.75" customHeight="1" x14ac:dyDescent="0.25">
      <c r="A4685"/>
      <c r="B4685"/>
      <c r="C4685"/>
      <c r="M4685"/>
    </row>
    <row r="4686" spans="1:13" ht="12.75" customHeight="1" x14ac:dyDescent="0.25">
      <c r="A4686"/>
      <c r="B4686"/>
      <c r="C4686"/>
      <c r="M4686"/>
    </row>
    <row r="4687" spans="1:13" ht="12.75" customHeight="1" x14ac:dyDescent="0.25">
      <c r="A4687"/>
      <c r="B4687"/>
      <c r="C4687"/>
      <c r="M4687"/>
    </row>
    <row r="4688" spans="1:13" ht="12.75" customHeight="1" x14ac:dyDescent="0.25">
      <c r="A4688"/>
      <c r="B4688"/>
      <c r="C4688"/>
      <c r="M4688"/>
    </row>
    <row r="4689" spans="1:13" ht="12.75" customHeight="1" x14ac:dyDescent="0.25">
      <c r="A4689"/>
      <c r="B4689"/>
      <c r="C4689"/>
      <c r="M4689"/>
    </row>
    <row r="4690" spans="1:13" ht="12.75" customHeight="1" x14ac:dyDescent="0.25">
      <c r="A4690"/>
      <c r="B4690"/>
      <c r="C4690"/>
      <c r="M4690"/>
    </row>
    <row r="4691" spans="1:13" ht="12.75" customHeight="1" x14ac:dyDescent="0.25">
      <c r="A4691"/>
      <c r="B4691"/>
      <c r="C4691"/>
      <c r="M4691"/>
    </row>
    <row r="4692" spans="1:13" ht="12.75" customHeight="1" x14ac:dyDescent="0.25">
      <c r="A4692"/>
      <c r="B4692"/>
      <c r="C4692"/>
      <c r="M4692"/>
    </row>
    <row r="4693" spans="1:13" ht="12.75" customHeight="1" x14ac:dyDescent="0.25">
      <c r="A4693"/>
      <c r="B4693"/>
      <c r="C4693"/>
      <c r="M4693"/>
    </row>
    <row r="4694" spans="1:13" ht="12.75" customHeight="1" x14ac:dyDescent="0.25">
      <c r="A4694"/>
      <c r="B4694"/>
      <c r="C4694"/>
      <c r="M4694"/>
    </row>
    <row r="4695" spans="1:13" ht="12.75" customHeight="1" x14ac:dyDescent="0.25">
      <c r="A4695"/>
      <c r="B4695"/>
      <c r="C4695"/>
      <c r="M4695"/>
    </row>
    <row r="4696" spans="1:13" ht="12.75" customHeight="1" x14ac:dyDescent="0.25">
      <c r="A4696"/>
      <c r="B4696"/>
      <c r="C4696"/>
      <c r="M4696"/>
    </row>
    <row r="4697" spans="1:13" ht="12.75" customHeight="1" x14ac:dyDescent="0.25">
      <c r="A4697"/>
      <c r="B4697"/>
      <c r="C4697"/>
      <c r="M4697"/>
    </row>
    <row r="4698" spans="1:13" ht="12.75" customHeight="1" x14ac:dyDescent="0.25">
      <c r="A4698"/>
      <c r="B4698"/>
      <c r="C4698"/>
      <c r="M4698"/>
    </row>
    <row r="4699" spans="1:13" ht="12.75" customHeight="1" x14ac:dyDescent="0.25">
      <c r="A4699"/>
      <c r="B4699"/>
      <c r="C4699"/>
      <c r="M4699"/>
    </row>
    <row r="4700" spans="1:13" ht="12.75" customHeight="1" x14ac:dyDescent="0.25">
      <c r="A4700"/>
      <c r="B4700"/>
      <c r="C4700"/>
      <c r="M4700"/>
    </row>
    <row r="4701" spans="1:13" ht="12.75" customHeight="1" x14ac:dyDescent="0.25">
      <c r="A4701"/>
      <c r="B4701"/>
      <c r="C4701"/>
      <c r="M4701"/>
    </row>
    <row r="4702" spans="1:13" ht="12.75" customHeight="1" x14ac:dyDescent="0.25">
      <c r="A4702"/>
      <c r="B4702"/>
      <c r="C4702"/>
      <c r="M4702"/>
    </row>
    <row r="4703" spans="1:13" ht="12.75" customHeight="1" x14ac:dyDescent="0.25">
      <c r="A4703"/>
      <c r="B4703"/>
      <c r="C4703"/>
      <c r="M4703"/>
    </row>
    <row r="4704" spans="1:13" ht="12.75" customHeight="1" x14ac:dyDescent="0.25">
      <c r="A4704"/>
      <c r="B4704"/>
      <c r="C4704"/>
      <c r="M4704"/>
    </row>
    <row r="4705" spans="1:13" ht="12.75" customHeight="1" x14ac:dyDescent="0.25">
      <c r="A4705"/>
      <c r="B4705"/>
      <c r="C4705"/>
      <c r="M4705"/>
    </row>
    <row r="4706" spans="1:13" ht="12.75" customHeight="1" x14ac:dyDescent="0.25">
      <c r="A4706"/>
      <c r="B4706"/>
      <c r="C4706"/>
      <c r="M4706"/>
    </row>
    <row r="4707" spans="1:13" ht="12.75" customHeight="1" x14ac:dyDescent="0.25">
      <c r="A4707"/>
      <c r="B4707"/>
      <c r="C4707"/>
      <c r="M4707"/>
    </row>
    <row r="4708" spans="1:13" ht="12.75" customHeight="1" x14ac:dyDescent="0.25">
      <c r="A4708"/>
      <c r="B4708"/>
      <c r="C4708"/>
      <c r="M4708"/>
    </row>
    <row r="4709" spans="1:13" ht="12.75" customHeight="1" x14ac:dyDescent="0.25">
      <c r="A4709"/>
      <c r="B4709"/>
      <c r="C4709"/>
      <c r="M4709"/>
    </row>
    <row r="4710" spans="1:13" ht="12.75" customHeight="1" x14ac:dyDescent="0.25">
      <c r="A4710"/>
      <c r="B4710"/>
      <c r="C4710"/>
      <c r="M4710"/>
    </row>
    <row r="4711" spans="1:13" ht="12.75" customHeight="1" x14ac:dyDescent="0.25">
      <c r="A4711"/>
      <c r="B4711"/>
      <c r="C4711"/>
      <c r="M4711"/>
    </row>
    <row r="4712" spans="1:13" ht="12.75" customHeight="1" x14ac:dyDescent="0.25">
      <c r="A4712"/>
      <c r="B4712"/>
      <c r="C4712"/>
      <c r="M4712"/>
    </row>
    <row r="4713" spans="1:13" ht="12.75" customHeight="1" x14ac:dyDescent="0.25">
      <c r="A4713"/>
      <c r="B4713"/>
      <c r="C4713"/>
      <c r="M4713"/>
    </row>
    <row r="4714" spans="1:13" ht="12.75" customHeight="1" x14ac:dyDescent="0.25">
      <c r="A4714"/>
      <c r="B4714"/>
      <c r="C4714"/>
      <c r="M4714"/>
    </row>
    <row r="4715" spans="1:13" ht="12.75" customHeight="1" x14ac:dyDescent="0.25">
      <c r="A4715"/>
      <c r="B4715"/>
      <c r="C4715"/>
      <c r="M4715"/>
    </row>
    <row r="4716" spans="1:13" ht="12.75" customHeight="1" x14ac:dyDescent="0.25">
      <c r="A4716"/>
      <c r="B4716"/>
      <c r="C4716"/>
      <c r="M4716"/>
    </row>
    <row r="4717" spans="1:13" ht="12.75" customHeight="1" x14ac:dyDescent="0.25">
      <c r="A4717"/>
      <c r="B4717"/>
      <c r="C4717"/>
      <c r="M4717"/>
    </row>
    <row r="4718" spans="1:13" ht="12.75" customHeight="1" x14ac:dyDescent="0.25">
      <c r="A4718"/>
      <c r="B4718"/>
      <c r="C4718"/>
      <c r="M4718"/>
    </row>
    <row r="4719" spans="1:13" ht="12.75" customHeight="1" x14ac:dyDescent="0.25">
      <c r="A4719"/>
      <c r="B4719"/>
      <c r="C4719"/>
      <c r="M4719"/>
    </row>
    <row r="4720" spans="1:13" ht="12.75" customHeight="1" x14ac:dyDescent="0.25">
      <c r="A4720"/>
      <c r="B4720"/>
      <c r="C4720"/>
      <c r="M4720"/>
    </row>
    <row r="4721" spans="1:13" ht="12.75" customHeight="1" x14ac:dyDescent="0.25">
      <c r="A4721"/>
      <c r="B4721"/>
      <c r="C4721"/>
      <c r="M4721"/>
    </row>
    <row r="4722" spans="1:13" ht="12.75" customHeight="1" x14ac:dyDescent="0.25">
      <c r="A4722"/>
      <c r="B4722"/>
      <c r="C4722"/>
      <c r="M4722"/>
    </row>
    <row r="4723" spans="1:13" ht="12.75" customHeight="1" x14ac:dyDescent="0.25">
      <c r="A4723"/>
      <c r="B4723"/>
      <c r="C4723"/>
      <c r="M4723"/>
    </row>
    <row r="4724" spans="1:13" ht="12.75" customHeight="1" x14ac:dyDescent="0.25">
      <c r="A4724"/>
      <c r="B4724"/>
      <c r="C4724"/>
      <c r="M4724"/>
    </row>
    <row r="4725" spans="1:13" ht="12.75" customHeight="1" x14ac:dyDescent="0.25">
      <c r="A4725"/>
      <c r="B4725"/>
      <c r="C4725"/>
      <c r="M4725"/>
    </row>
    <row r="4726" spans="1:13" ht="12.75" customHeight="1" x14ac:dyDescent="0.25">
      <c r="A4726"/>
      <c r="B4726"/>
      <c r="C4726"/>
      <c r="M4726"/>
    </row>
    <row r="4727" spans="1:13" ht="12.75" customHeight="1" x14ac:dyDescent="0.25">
      <c r="A4727"/>
      <c r="B4727"/>
      <c r="C4727"/>
      <c r="M4727"/>
    </row>
    <row r="4728" spans="1:13" ht="12.75" customHeight="1" x14ac:dyDescent="0.25">
      <c r="A4728"/>
      <c r="B4728"/>
      <c r="C4728"/>
      <c r="M4728"/>
    </row>
    <row r="4729" spans="1:13" ht="12.75" customHeight="1" x14ac:dyDescent="0.25">
      <c r="A4729"/>
      <c r="B4729"/>
      <c r="C4729"/>
      <c r="M4729"/>
    </row>
    <row r="4730" spans="1:13" ht="12.75" customHeight="1" x14ac:dyDescent="0.25">
      <c r="A4730"/>
      <c r="B4730"/>
      <c r="C4730"/>
      <c r="M4730"/>
    </row>
    <row r="4731" spans="1:13" ht="12.75" customHeight="1" x14ac:dyDescent="0.25">
      <c r="A4731"/>
      <c r="B4731"/>
      <c r="C4731"/>
      <c r="M4731"/>
    </row>
    <row r="4732" spans="1:13" ht="12.75" customHeight="1" x14ac:dyDescent="0.25">
      <c r="A4732"/>
      <c r="B4732"/>
      <c r="C4732"/>
      <c r="M4732"/>
    </row>
    <row r="4733" spans="1:13" ht="12.75" customHeight="1" x14ac:dyDescent="0.25">
      <c r="A4733"/>
      <c r="B4733"/>
      <c r="C4733"/>
      <c r="M4733"/>
    </row>
    <row r="4734" spans="1:13" ht="12.75" customHeight="1" x14ac:dyDescent="0.25">
      <c r="A4734"/>
      <c r="B4734"/>
      <c r="C4734"/>
      <c r="M4734"/>
    </row>
    <row r="4735" spans="1:13" ht="12.75" customHeight="1" x14ac:dyDescent="0.25">
      <c r="A4735"/>
      <c r="B4735"/>
      <c r="C4735"/>
      <c r="M4735"/>
    </row>
    <row r="4736" spans="1:13" ht="12.75" customHeight="1" x14ac:dyDescent="0.25">
      <c r="A4736"/>
      <c r="B4736"/>
      <c r="C4736"/>
      <c r="M4736"/>
    </row>
    <row r="4737" spans="1:13" ht="12.75" customHeight="1" x14ac:dyDescent="0.25">
      <c r="A4737"/>
      <c r="B4737"/>
      <c r="C4737"/>
      <c r="M4737"/>
    </row>
    <row r="4738" spans="1:13" ht="12.75" customHeight="1" x14ac:dyDescent="0.25">
      <c r="A4738"/>
      <c r="B4738"/>
      <c r="C4738"/>
      <c r="M4738"/>
    </row>
    <row r="4739" spans="1:13" ht="12.75" customHeight="1" x14ac:dyDescent="0.25">
      <c r="A4739"/>
      <c r="B4739"/>
      <c r="C4739"/>
      <c r="M4739"/>
    </row>
    <row r="4740" spans="1:13" ht="12.75" customHeight="1" x14ac:dyDescent="0.25">
      <c r="A4740"/>
      <c r="B4740"/>
      <c r="C4740"/>
      <c r="M4740"/>
    </row>
    <row r="4741" spans="1:13" ht="12.75" customHeight="1" x14ac:dyDescent="0.25">
      <c r="A4741"/>
      <c r="B4741"/>
      <c r="C4741"/>
      <c r="M4741"/>
    </row>
    <row r="4742" spans="1:13" ht="12.75" customHeight="1" x14ac:dyDescent="0.25">
      <c r="A4742"/>
      <c r="B4742"/>
      <c r="C4742"/>
      <c r="M4742"/>
    </row>
    <row r="4743" spans="1:13" ht="12.75" customHeight="1" x14ac:dyDescent="0.25">
      <c r="A4743"/>
      <c r="B4743"/>
      <c r="C4743"/>
      <c r="M4743"/>
    </row>
    <row r="4744" spans="1:13" ht="12.75" customHeight="1" x14ac:dyDescent="0.25">
      <c r="A4744"/>
      <c r="B4744"/>
      <c r="C4744"/>
      <c r="M4744"/>
    </row>
    <row r="4745" spans="1:13" ht="12.75" customHeight="1" x14ac:dyDescent="0.25">
      <c r="A4745"/>
      <c r="B4745"/>
      <c r="C4745"/>
      <c r="M4745"/>
    </row>
    <row r="4746" spans="1:13" ht="12.75" customHeight="1" x14ac:dyDescent="0.25">
      <c r="A4746"/>
      <c r="B4746"/>
      <c r="C4746"/>
      <c r="M4746"/>
    </row>
    <row r="4747" spans="1:13" ht="12.75" customHeight="1" x14ac:dyDescent="0.25">
      <c r="A4747"/>
      <c r="B4747"/>
      <c r="C4747"/>
      <c r="M4747"/>
    </row>
    <row r="4748" spans="1:13" ht="12.75" customHeight="1" x14ac:dyDescent="0.25">
      <c r="A4748"/>
      <c r="B4748"/>
      <c r="C4748"/>
      <c r="M4748"/>
    </row>
    <row r="4749" spans="1:13" ht="12.75" customHeight="1" x14ac:dyDescent="0.25">
      <c r="A4749"/>
      <c r="B4749"/>
      <c r="C4749"/>
      <c r="M4749"/>
    </row>
    <row r="4750" spans="1:13" ht="12.75" customHeight="1" x14ac:dyDescent="0.25">
      <c r="A4750"/>
      <c r="B4750"/>
      <c r="C4750"/>
      <c r="M4750"/>
    </row>
    <row r="4751" spans="1:13" ht="12.75" customHeight="1" x14ac:dyDescent="0.25">
      <c r="A4751"/>
      <c r="B4751"/>
      <c r="C4751"/>
      <c r="M4751"/>
    </row>
    <row r="4752" spans="1:13" ht="12.75" customHeight="1" x14ac:dyDescent="0.25">
      <c r="A4752"/>
      <c r="B4752"/>
      <c r="C4752"/>
      <c r="M4752"/>
    </row>
    <row r="4753" spans="1:13" ht="12.75" customHeight="1" x14ac:dyDescent="0.25">
      <c r="A4753"/>
      <c r="B4753"/>
      <c r="C4753"/>
      <c r="M4753"/>
    </row>
    <row r="4754" spans="1:13" ht="12.75" customHeight="1" x14ac:dyDescent="0.25">
      <c r="A4754"/>
      <c r="B4754"/>
      <c r="C4754"/>
      <c r="M4754"/>
    </row>
    <row r="4755" spans="1:13" ht="12.75" customHeight="1" x14ac:dyDescent="0.25">
      <c r="A4755"/>
      <c r="B4755"/>
      <c r="C4755"/>
      <c r="M4755"/>
    </row>
    <row r="4756" spans="1:13" ht="12.75" customHeight="1" x14ac:dyDescent="0.25">
      <c r="A4756"/>
      <c r="B4756"/>
      <c r="C4756"/>
      <c r="M4756"/>
    </row>
    <row r="4757" spans="1:13" ht="12.75" customHeight="1" x14ac:dyDescent="0.25">
      <c r="A4757"/>
      <c r="B4757"/>
      <c r="C4757"/>
      <c r="M4757"/>
    </row>
    <row r="4758" spans="1:13" ht="12.75" customHeight="1" x14ac:dyDescent="0.25">
      <c r="A4758"/>
      <c r="B4758"/>
      <c r="C4758"/>
      <c r="M4758"/>
    </row>
    <row r="4759" spans="1:13" ht="12.75" customHeight="1" x14ac:dyDescent="0.25">
      <c r="A4759"/>
      <c r="B4759"/>
      <c r="C4759"/>
      <c r="M4759"/>
    </row>
    <row r="4760" spans="1:13" ht="12.75" customHeight="1" x14ac:dyDescent="0.25">
      <c r="A4760"/>
      <c r="B4760"/>
      <c r="C4760"/>
      <c r="M4760"/>
    </row>
    <row r="4761" spans="1:13" ht="12.75" customHeight="1" x14ac:dyDescent="0.25">
      <c r="A4761"/>
      <c r="B4761"/>
      <c r="C4761"/>
      <c r="M4761"/>
    </row>
    <row r="4762" spans="1:13" ht="12.75" customHeight="1" x14ac:dyDescent="0.25">
      <c r="A4762"/>
      <c r="B4762"/>
      <c r="C4762"/>
      <c r="M4762"/>
    </row>
    <row r="4763" spans="1:13" ht="12.75" customHeight="1" x14ac:dyDescent="0.25">
      <c r="A4763"/>
      <c r="B4763"/>
      <c r="C4763"/>
      <c r="M4763"/>
    </row>
    <row r="4764" spans="1:13" ht="12.75" customHeight="1" x14ac:dyDescent="0.25">
      <c r="A4764"/>
      <c r="B4764"/>
      <c r="C4764"/>
      <c r="M4764"/>
    </row>
    <row r="4765" spans="1:13" ht="12.75" customHeight="1" x14ac:dyDescent="0.25">
      <c r="A4765"/>
      <c r="B4765"/>
      <c r="C4765"/>
      <c r="M4765"/>
    </row>
    <row r="4766" spans="1:13" ht="12.75" customHeight="1" x14ac:dyDescent="0.25">
      <c r="A4766"/>
      <c r="B4766"/>
      <c r="C4766"/>
      <c r="M4766"/>
    </row>
    <row r="4767" spans="1:13" ht="12.75" customHeight="1" x14ac:dyDescent="0.25">
      <c r="A4767"/>
      <c r="B4767"/>
      <c r="C4767"/>
      <c r="M4767"/>
    </row>
    <row r="4768" spans="1:13" ht="12.75" customHeight="1" x14ac:dyDescent="0.25">
      <c r="A4768"/>
      <c r="B4768"/>
      <c r="C4768"/>
      <c r="M4768"/>
    </row>
    <row r="4769" spans="1:13" ht="12.75" customHeight="1" x14ac:dyDescent="0.25">
      <c r="A4769"/>
      <c r="B4769"/>
      <c r="C4769"/>
      <c r="M4769"/>
    </row>
    <row r="4770" spans="1:13" ht="12.75" customHeight="1" x14ac:dyDescent="0.25">
      <c r="A4770"/>
      <c r="B4770"/>
      <c r="C4770"/>
      <c r="M4770"/>
    </row>
    <row r="4771" spans="1:13" ht="12.75" customHeight="1" x14ac:dyDescent="0.25">
      <c r="A4771"/>
      <c r="B4771"/>
      <c r="C4771"/>
      <c r="M4771"/>
    </row>
    <row r="4772" spans="1:13" ht="12.75" customHeight="1" x14ac:dyDescent="0.25">
      <c r="A4772"/>
      <c r="B4772"/>
      <c r="C4772"/>
      <c r="M4772"/>
    </row>
    <row r="4773" spans="1:13" ht="12.75" customHeight="1" x14ac:dyDescent="0.25">
      <c r="A4773"/>
      <c r="B4773"/>
      <c r="C4773"/>
      <c r="M4773"/>
    </row>
    <row r="4774" spans="1:13" ht="12.75" customHeight="1" x14ac:dyDescent="0.25">
      <c r="A4774"/>
      <c r="B4774"/>
      <c r="C4774"/>
      <c r="M4774"/>
    </row>
    <row r="4775" spans="1:13" ht="12.75" customHeight="1" x14ac:dyDescent="0.25">
      <c r="A4775"/>
      <c r="B4775"/>
      <c r="C4775"/>
      <c r="M4775"/>
    </row>
    <row r="4776" spans="1:13" ht="12.75" customHeight="1" x14ac:dyDescent="0.25">
      <c r="A4776"/>
      <c r="B4776"/>
      <c r="C4776"/>
      <c r="M4776"/>
    </row>
    <row r="4777" spans="1:13" ht="12.75" customHeight="1" x14ac:dyDescent="0.25">
      <c r="A4777"/>
      <c r="B4777"/>
      <c r="C4777"/>
      <c r="M4777"/>
    </row>
    <row r="4778" spans="1:13" ht="12.75" customHeight="1" x14ac:dyDescent="0.25">
      <c r="A4778"/>
      <c r="B4778"/>
      <c r="C4778"/>
      <c r="M4778"/>
    </row>
    <row r="4779" spans="1:13" ht="12.75" customHeight="1" x14ac:dyDescent="0.25">
      <c r="A4779"/>
      <c r="B4779"/>
      <c r="C4779"/>
      <c r="M4779"/>
    </row>
    <row r="4780" spans="1:13" ht="12.75" customHeight="1" x14ac:dyDescent="0.25">
      <c r="A4780"/>
      <c r="B4780"/>
      <c r="C4780"/>
      <c r="M4780"/>
    </row>
    <row r="4781" spans="1:13" ht="12.75" customHeight="1" x14ac:dyDescent="0.25">
      <c r="A4781"/>
      <c r="B4781"/>
      <c r="C4781"/>
      <c r="M4781"/>
    </row>
    <row r="4782" spans="1:13" ht="12.75" customHeight="1" x14ac:dyDescent="0.25">
      <c r="A4782"/>
      <c r="B4782"/>
      <c r="C4782"/>
      <c r="M4782"/>
    </row>
    <row r="4783" spans="1:13" ht="12.75" customHeight="1" x14ac:dyDescent="0.25">
      <c r="A4783"/>
      <c r="B4783"/>
      <c r="C4783"/>
      <c r="M4783"/>
    </row>
    <row r="4784" spans="1:13" ht="12.75" customHeight="1" x14ac:dyDescent="0.25">
      <c r="A4784"/>
      <c r="B4784"/>
      <c r="C4784"/>
      <c r="M4784"/>
    </row>
    <row r="4785" spans="1:13" ht="12.75" customHeight="1" x14ac:dyDescent="0.25">
      <c r="A4785"/>
      <c r="B4785"/>
      <c r="C4785"/>
      <c r="M4785"/>
    </row>
    <row r="4786" spans="1:13" ht="12.75" customHeight="1" x14ac:dyDescent="0.25">
      <c r="A4786"/>
      <c r="B4786"/>
      <c r="C4786"/>
      <c r="M4786"/>
    </row>
    <row r="4787" spans="1:13" ht="12.75" customHeight="1" x14ac:dyDescent="0.25">
      <c r="A4787"/>
      <c r="B4787"/>
      <c r="C4787"/>
      <c r="M4787"/>
    </row>
    <row r="4788" spans="1:13" ht="12.75" customHeight="1" x14ac:dyDescent="0.25">
      <c r="A4788"/>
      <c r="B4788"/>
      <c r="C4788"/>
      <c r="M4788"/>
    </row>
    <row r="4789" spans="1:13" ht="12.75" customHeight="1" x14ac:dyDescent="0.25">
      <c r="A4789"/>
      <c r="B4789"/>
      <c r="C4789"/>
      <c r="M4789"/>
    </row>
    <row r="4790" spans="1:13" ht="12.75" customHeight="1" x14ac:dyDescent="0.25">
      <c r="A4790"/>
      <c r="B4790"/>
      <c r="C4790"/>
      <c r="M4790"/>
    </row>
    <row r="4791" spans="1:13" ht="12.75" customHeight="1" x14ac:dyDescent="0.25">
      <c r="A4791"/>
      <c r="B4791"/>
      <c r="C4791"/>
      <c r="M4791"/>
    </row>
    <row r="4792" spans="1:13" ht="12.75" customHeight="1" x14ac:dyDescent="0.25">
      <c r="A4792"/>
      <c r="B4792"/>
      <c r="C4792"/>
      <c r="M4792"/>
    </row>
    <row r="4793" spans="1:13" ht="12.75" customHeight="1" x14ac:dyDescent="0.25">
      <c r="A4793"/>
      <c r="B4793"/>
      <c r="C4793"/>
      <c r="M4793"/>
    </row>
    <row r="4794" spans="1:13" ht="12.75" customHeight="1" x14ac:dyDescent="0.25">
      <c r="A4794"/>
      <c r="B4794"/>
      <c r="C4794"/>
      <c r="M4794"/>
    </row>
    <row r="4795" spans="1:13" ht="12.75" customHeight="1" x14ac:dyDescent="0.25">
      <c r="A4795"/>
      <c r="B4795"/>
      <c r="C4795"/>
      <c r="M4795"/>
    </row>
    <row r="4796" spans="1:13" ht="12.75" customHeight="1" x14ac:dyDescent="0.25">
      <c r="A4796"/>
      <c r="B4796"/>
      <c r="C4796"/>
      <c r="M4796"/>
    </row>
    <row r="4797" spans="1:13" ht="12.75" customHeight="1" x14ac:dyDescent="0.25">
      <c r="A4797"/>
      <c r="B4797"/>
      <c r="C4797"/>
      <c r="M4797"/>
    </row>
    <row r="4798" spans="1:13" ht="12.75" customHeight="1" x14ac:dyDescent="0.25">
      <c r="A4798"/>
      <c r="B4798"/>
      <c r="C4798"/>
      <c r="M4798"/>
    </row>
    <row r="4799" spans="1:13" ht="12.75" customHeight="1" x14ac:dyDescent="0.25">
      <c r="A4799"/>
      <c r="B4799"/>
      <c r="C4799"/>
      <c r="M4799"/>
    </row>
    <row r="4800" spans="1:13" ht="12.75" customHeight="1" x14ac:dyDescent="0.25">
      <c r="A4800"/>
      <c r="B4800"/>
      <c r="C4800"/>
      <c r="M4800"/>
    </row>
    <row r="4801" spans="1:13" ht="12.75" customHeight="1" x14ac:dyDescent="0.25">
      <c r="A4801"/>
      <c r="B4801"/>
      <c r="C4801"/>
      <c r="M4801"/>
    </row>
    <row r="4802" spans="1:13" ht="12.75" customHeight="1" x14ac:dyDescent="0.25">
      <c r="A4802"/>
      <c r="B4802"/>
      <c r="C4802"/>
      <c r="M4802"/>
    </row>
    <row r="4803" spans="1:13" ht="12.75" customHeight="1" x14ac:dyDescent="0.25">
      <c r="A4803"/>
      <c r="B4803"/>
      <c r="C4803"/>
      <c r="M4803"/>
    </row>
    <row r="4804" spans="1:13" ht="12.75" customHeight="1" x14ac:dyDescent="0.25">
      <c r="A4804"/>
      <c r="B4804"/>
      <c r="C4804"/>
      <c r="M4804"/>
    </row>
    <row r="4805" spans="1:13" ht="12.75" customHeight="1" x14ac:dyDescent="0.25">
      <c r="A4805"/>
      <c r="B4805"/>
      <c r="C4805"/>
      <c r="M4805"/>
    </row>
    <row r="4806" spans="1:13" ht="12.75" customHeight="1" x14ac:dyDescent="0.25">
      <c r="A4806"/>
      <c r="B4806"/>
      <c r="C4806"/>
      <c r="M4806"/>
    </row>
    <row r="4807" spans="1:13" ht="12.75" customHeight="1" x14ac:dyDescent="0.25">
      <c r="A4807"/>
      <c r="B4807"/>
      <c r="C4807"/>
      <c r="M4807"/>
    </row>
    <row r="4808" spans="1:13" ht="12.75" customHeight="1" x14ac:dyDescent="0.25">
      <c r="A4808"/>
      <c r="B4808"/>
      <c r="C4808"/>
      <c r="M4808"/>
    </row>
    <row r="4809" spans="1:13" ht="12.75" customHeight="1" x14ac:dyDescent="0.25">
      <c r="A4809"/>
      <c r="B4809"/>
      <c r="C4809"/>
      <c r="M4809"/>
    </row>
    <row r="4810" spans="1:13" ht="12.75" customHeight="1" x14ac:dyDescent="0.25">
      <c r="A4810"/>
      <c r="B4810"/>
      <c r="C4810"/>
      <c r="M4810"/>
    </row>
    <row r="4811" spans="1:13" ht="12.75" customHeight="1" x14ac:dyDescent="0.25">
      <c r="A4811"/>
      <c r="B4811"/>
      <c r="C4811"/>
      <c r="M4811"/>
    </row>
    <row r="4812" spans="1:13" ht="12.75" customHeight="1" x14ac:dyDescent="0.25">
      <c r="A4812"/>
      <c r="B4812"/>
      <c r="C4812"/>
      <c r="M4812"/>
    </row>
    <row r="4813" spans="1:13" ht="12.75" customHeight="1" x14ac:dyDescent="0.25">
      <c r="A4813"/>
      <c r="B4813"/>
      <c r="C4813"/>
      <c r="M4813"/>
    </row>
    <row r="4814" spans="1:13" ht="12.75" customHeight="1" x14ac:dyDescent="0.25">
      <c r="A4814"/>
      <c r="B4814"/>
      <c r="C4814"/>
      <c r="M4814"/>
    </row>
    <row r="4815" spans="1:13" ht="12.75" customHeight="1" x14ac:dyDescent="0.25">
      <c r="A4815"/>
      <c r="B4815"/>
      <c r="C4815"/>
      <c r="M4815"/>
    </row>
    <row r="4816" spans="1:13" ht="12.75" customHeight="1" x14ac:dyDescent="0.25">
      <c r="A4816"/>
      <c r="B4816"/>
      <c r="C4816"/>
      <c r="M4816"/>
    </row>
    <row r="4817" spans="1:13" ht="12.75" customHeight="1" x14ac:dyDescent="0.25">
      <c r="A4817"/>
      <c r="B4817"/>
      <c r="C4817"/>
      <c r="M4817"/>
    </row>
    <row r="4818" spans="1:13" ht="12.75" customHeight="1" x14ac:dyDescent="0.25">
      <c r="A4818"/>
      <c r="B4818"/>
      <c r="C4818"/>
      <c r="M4818"/>
    </row>
    <row r="4819" spans="1:13" ht="12.75" customHeight="1" x14ac:dyDescent="0.25">
      <c r="A4819"/>
      <c r="B4819"/>
      <c r="C4819"/>
      <c r="M4819"/>
    </row>
    <row r="4820" spans="1:13" ht="12.75" customHeight="1" x14ac:dyDescent="0.25">
      <c r="A4820"/>
      <c r="B4820"/>
      <c r="C4820"/>
      <c r="M4820"/>
    </row>
    <row r="4821" spans="1:13" ht="12.75" customHeight="1" x14ac:dyDescent="0.25">
      <c r="A4821"/>
      <c r="B4821"/>
      <c r="C4821"/>
      <c r="M4821"/>
    </row>
    <row r="4822" spans="1:13" ht="12.75" customHeight="1" x14ac:dyDescent="0.25">
      <c r="A4822"/>
      <c r="B4822"/>
      <c r="C4822"/>
      <c r="M4822"/>
    </row>
    <row r="4823" spans="1:13" ht="12.75" customHeight="1" x14ac:dyDescent="0.25">
      <c r="A4823"/>
      <c r="B4823"/>
      <c r="C4823"/>
      <c r="M4823"/>
    </row>
    <row r="4824" spans="1:13" ht="12.75" customHeight="1" x14ac:dyDescent="0.25">
      <c r="A4824"/>
      <c r="B4824"/>
      <c r="C4824"/>
      <c r="M4824"/>
    </row>
    <row r="4825" spans="1:13" ht="12.75" customHeight="1" x14ac:dyDescent="0.25">
      <c r="A4825"/>
      <c r="B4825"/>
      <c r="C4825"/>
      <c r="M4825"/>
    </row>
    <row r="4826" spans="1:13" ht="12.75" customHeight="1" x14ac:dyDescent="0.25">
      <c r="A4826"/>
      <c r="B4826"/>
      <c r="C4826"/>
      <c r="M4826"/>
    </row>
    <row r="4827" spans="1:13" ht="12.75" customHeight="1" x14ac:dyDescent="0.25">
      <c r="A4827"/>
      <c r="B4827"/>
      <c r="C4827"/>
      <c r="M4827"/>
    </row>
    <row r="4828" spans="1:13" ht="12.75" customHeight="1" x14ac:dyDescent="0.25">
      <c r="A4828"/>
      <c r="B4828"/>
      <c r="C4828"/>
      <c r="M4828"/>
    </row>
    <row r="4829" spans="1:13" ht="12.75" customHeight="1" x14ac:dyDescent="0.25">
      <c r="A4829"/>
      <c r="B4829"/>
      <c r="C4829"/>
      <c r="M4829"/>
    </row>
    <row r="4830" spans="1:13" ht="12.75" customHeight="1" x14ac:dyDescent="0.25">
      <c r="A4830"/>
      <c r="B4830"/>
      <c r="C4830"/>
      <c r="M4830"/>
    </row>
    <row r="4831" spans="1:13" ht="12.75" customHeight="1" x14ac:dyDescent="0.25">
      <c r="A4831"/>
      <c r="B4831"/>
      <c r="C4831"/>
      <c r="M4831"/>
    </row>
    <row r="4832" spans="1:13" ht="12.75" customHeight="1" x14ac:dyDescent="0.25">
      <c r="A4832"/>
      <c r="B4832"/>
      <c r="C4832"/>
      <c r="M4832"/>
    </row>
    <row r="4833" spans="1:13" ht="12.75" customHeight="1" x14ac:dyDescent="0.25">
      <c r="A4833"/>
      <c r="B4833"/>
      <c r="C4833"/>
      <c r="M4833"/>
    </row>
    <row r="4834" spans="1:13" ht="12.75" customHeight="1" x14ac:dyDescent="0.25">
      <c r="A4834"/>
      <c r="B4834"/>
      <c r="C4834"/>
      <c r="M4834"/>
    </row>
    <row r="4835" spans="1:13" ht="12.75" customHeight="1" x14ac:dyDescent="0.25">
      <c r="A4835"/>
      <c r="B4835"/>
      <c r="C4835"/>
      <c r="M4835"/>
    </row>
    <row r="4836" spans="1:13" ht="12.75" customHeight="1" x14ac:dyDescent="0.25">
      <c r="A4836"/>
      <c r="B4836"/>
      <c r="C4836"/>
      <c r="M4836"/>
    </row>
    <row r="4837" spans="1:13" ht="12.75" customHeight="1" x14ac:dyDescent="0.25">
      <c r="A4837"/>
      <c r="B4837"/>
      <c r="C4837"/>
      <c r="M4837"/>
    </row>
    <row r="4838" spans="1:13" ht="12.75" customHeight="1" x14ac:dyDescent="0.25">
      <c r="A4838"/>
      <c r="B4838"/>
      <c r="C4838"/>
      <c r="M4838"/>
    </row>
    <row r="4839" spans="1:13" ht="12.75" customHeight="1" x14ac:dyDescent="0.25">
      <c r="A4839"/>
      <c r="B4839"/>
      <c r="C4839"/>
      <c r="M4839"/>
    </row>
    <row r="4840" spans="1:13" ht="12.75" customHeight="1" x14ac:dyDescent="0.25">
      <c r="A4840"/>
      <c r="B4840"/>
      <c r="C4840"/>
      <c r="M4840"/>
    </row>
    <row r="4841" spans="1:13" ht="12.75" customHeight="1" x14ac:dyDescent="0.25">
      <c r="A4841"/>
      <c r="B4841"/>
      <c r="C4841"/>
      <c r="M4841"/>
    </row>
    <row r="4842" spans="1:13" ht="12.75" customHeight="1" x14ac:dyDescent="0.25">
      <c r="A4842"/>
      <c r="B4842"/>
      <c r="C4842"/>
      <c r="M4842"/>
    </row>
    <row r="4843" spans="1:13" ht="12.75" customHeight="1" x14ac:dyDescent="0.25">
      <c r="A4843"/>
      <c r="B4843"/>
      <c r="C4843"/>
      <c r="M4843"/>
    </row>
    <row r="4844" spans="1:13" ht="12.75" customHeight="1" x14ac:dyDescent="0.25">
      <c r="A4844"/>
      <c r="B4844"/>
      <c r="C4844"/>
      <c r="M4844"/>
    </row>
    <row r="4845" spans="1:13" ht="12.75" customHeight="1" x14ac:dyDescent="0.25">
      <c r="A4845"/>
      <c r="B4845"/>
      <c r="C4845"/>
      <c r="M4845"/>
    </row>
    <row r="4846" spans="1:13" ht="12.75" customHeight="1" x14ac:dyDescent="0.25">
      <c r="A4846"/>
      <c r="B4846"/>
      <c r="C4846"/>
      <c r="M4846"/>
    </row>
    <row r="4847" spans="1:13" ht="12.75" customHeight="1" x14ac:dyDescent="0.25">
      <c r="A4847"/>
      <c r="B4847"/>
      <c r="C4847"/>
      <c r="M4847"/>
    </row>
    <row r="4848" spans="1:13" ht="12.75" customHeight="1" x14ac:dyDescent="0.25">
      <c r="A4848"/>
      <c r="B4848"/>
      <c r="C4848"/>
      <c r="M4848"/>
    </row>
    <row r="4849" spans="1:13" ht="12.75" customHeight="1" x14ac:dyDescent="0.25">
      <c r="A4849"/>
      <c r="B4849"/>
      <c r="C4849"/>
      <c r="M4849"/>
    </row>
    <row r="4850" spans="1:13" ht="12.75" customHeight="1" x14ac:dyDescent="0.25">
      <c r="A4850"/>
      <c r="B4850"/>
      <c r="C4850"/>
      <c r="M4850"/>
    </row>
    <row r="4851" spans="1:13" ht="12.75" customHeight="1" x14ac:dyDescent="0.25">
      <c r="A4851"/>
      <c r="B4851"/>
      <c r="C4851"/>
      <c r="M4851"/>
    </row>
    <row r="4852" spans="1:13" ht="12.75" customHeight="1" x14ac:dyDescent="0.25">
      <c r="A4852"/>
      <c r="B4852"/>
      <c r="C4852"/>
      <c r="M4852"/>
    </row>
    <row r="4853" spans="1:13" ht="12.75" customHeight="1" x14ac:dyDescent="0.25">
      <c r="A4853"/>
      <c r="B4853"/>
      <c r="C4853"/>
      <c r="M4853"/>
    </row>
    <row r="4854" spans="1:13" ht="12.75" customHeight="1" x14ac:dyDescent="0.25">
      <c r="A4854"/>
      <c r="B4854"/>
      <c r="C4854"/>
      <c r="M4854"/>
    </row>
    <row r="4855" spans="1:13" ht="12.75" customHeight="1" x14ac:dyDescent="0.25">
      <c r="A4855"/>
      <c r="B4855"/>
      <c r="C4855"/>
      <c r="M4855"/>
    </row>
    <row r="4856" spans="1:13" ht="12.75" customHeight="1" x14ac:dyDescent="0.25">
      <c r="A4856"/>
      <c r="B4856"/>
      <c r="C4856"/>
      <c r="M4856"/>
    </row>
    <row r="4857" spans="1:13" ht="12.75" customHeight="1" x14ac:dyDescent="0.25">
      <c r="A4857"/>
      <c r="B4857"/>
      <c r="C4857"/>
      <c r="M4857"/>
    </row>
    <row r="4858" spans="1:13" ht="12.75" customHeight="1" x14ac:dyDescent="0.25">
      <c r="A4858"/>
      <c r="B4858"/>
      <c r="C4858"/>
      <c r="M4858"/>
    </row>
    <row r="4859" spans="1:13" ht="12.75" customHeight="1" x14ac:dyDescent="0.25">
      <c r="A4859"/>
      <c r="B4859"/>
      <c r="C4859"/>
      <c r="M4859"/>
    </row>
    <row r="4860" spans="1:13" ht="12.75" customHeight="1" x14ac:dyDescent="0.25">
      <c r="A4860"/>
      <c r="B4860"/>
      <c r="C4860"/>
      <c r="M4860"/>
    </row>
    <row r="4861" spans="1:13" ht="12.75" customHeight="1" x14ac:dyDescent="0.25">
      <c r="A4861"/>
      <c r="B4861"/>
      <c r="C4861"/>
      <c r="M4861"/>
    </row>
    <row r="4862" spans="1:13" ht="12.75" customHeight="1" x14ac:dyDescent="0.25">
      <c r="A4862"/>
      <c r="B4862"/>
      <c r="C4862"/>
      <c r="M4862"/>
    </row>
    <row r="4863" spans="1:13" ht="12.75" customHeight="1" x14ac:dyDescent="0.25">
      <c r="A4863"/>
      <c r="B4863"/>
      <c r="C4863"/>
      <c r="M4863"/>
    </row>
    <row r="4864" spans="1:13" ht="12.75" customHeight="1" x14ac:dyDescent="0.25">
      <c r="A4864"/>
      <c r="B4864"/>
      <c r="C4864"/>
      <c r="M4864"/>
    </row>
    <row r="4865" spans="1:13" ht="12.75" customHeight="1" x14ac:dyDescent="0.25">
      <c r="A4865"/>
      <c r="B4865"/>
      <c r="C4865"/>
      <c r="M4865"/>
    </row>
    <row r="4866" spans="1:13" ht="12.75" customHeight="1" x14ac:dyDescent="0.25">
      <c r="A4866"/>
      <c r="B4866"/>
      <c r="C4866"/>
      <c r="M4866"/>
    </row>
    <row r="4867" spans="1:13" ht="12.75" customHeight="1" x14ac:dyDescent="0.25">
      <c r="A4867"/>
      <c r="B4867"/>
      <c r="C4867"/>
      <c r="M4867"/>
    </row>
    <row r="4868" spans="1:13" ht="12.75" customHeight="1" x14ac:dyDescent="0.25">
      <c r="A4868"/>
      <c r="B4868"/>
      <c r="C4868"/>
      <c r="M4868"/>
    </row>
    <row r="4869" spans="1:13" ht="12.75" customHeight="1" x14ac:dyDescent="0.25">
      <c r="A4869"/>
      <c r="B4869"/>
      <c r="C4869"/>
      <c r="M4869"/>
    </row>
    <row r="4870" spans="1:13" ht="12.75" customHeight="1" x14ac:dyDescent="0.25">
      <c r="A4870"/>
      <c r="B4870"/>
      <c r="C4870"/>
      <c r="M4870"/>
    </row>
    <row r="4871" spans="1:13" ht="12.75" customHeight="1" x14ac:dyDescent="0.25">
      <c r="A4871"/>
      <c r="B4871"/>
      <c r="C4871"/>
      <c r="M4871"/>
    </row>
    <row r="4872" spans="1:13" ht="12.75" customHeight="1" x14ac:dyDescent="0.25">
      <c r="A4872"/>
      <c r="B4872"/>
      <c r="C4872"/>
      <c r="M4872"/>
    </row>
    <row r="4873" spans="1:13" ht="12.75" customHeight="1" x14ac:dyDescent="0.25">
      <c r="A4873"/>
      <c r="B4873"/>
      <c r="C4873"/>
      <c r="M4873"/>
    </row>
    <row r="4874" spans="1:13" ht="12.75" customHeight="1" x14ac:dyDescent="0.25">
      <c r="A4874"/>
      <c r="B4874"/>
      <c r="C4874"/>
      <c r="M4874"/>
    </row>
    <row r="4875" spans="1:13" ht="12.75" customHeight="1" x14ac:dyDescent="0.25">
      <c r="A4875"/>
      <c r="B4875"/>
      <c r="C4875"/>
      <c r="M4875"/>
    </row>
    <row r="4876" spans="1:13" ht="12.75" customHeight="1" x14ac:dyDescent="0.25">
      <c r="A4876"/>
      <c r="B4876"/>
      <c r="C4876"/>
      <c r="M4876"/>
    </row>
    <row r="4877" spans="1:13" ht="12.75" customHeight="1" x14ac:dyDescent="0.25">
      <c r="A4877"/>
      <c r="B4877"/>
      <c r="C4877"/>
      <c r="M4877"/>
    </row>
    <row r="4878" spans="1:13" ht="12.75" customHeight="1" x14ac:dyDescent="0.25">
      <c r="A4878"/>
      <c r="B4878"/>
      <c r="C4878"/>
      <c r="M4878"/>
    </row>
    <row r="4879" spans="1:13" ht="12.75" customHeight="1" x14ac:dyDescent="0.25">
      <c r="A4879"/>
      <c r="B4879"/>
      <c r="C4879"/>
      <c r="M4879"/>
    </row>
    <row r="4880" spans="1:13" ht="12.75" customHeight="1" x14ac:dyDescent="0.25">
      <c r="A4880"/>
      <c r="B4880"/>
      <c r="C4880"/>
      <c r="M4880"/>
    </row>
    <row r="4881" spans="1:13" ht="12.75" customHeight="1" x14ac:dyDescent="0.25">
      <c r="A4881"/>
      <c r="B4881"/>
      <c r="C4881"/>
      <c r="M4881"/>
    </row>
    <row r="4882" spans="1:13" ht="12.75" customHeight="1" x14ac:dyDescent="0.25">
      <c r="A4882"/>
      <c r="B4882"/>
      <c r="C4882"/>
      <c r="M4882"/>
    </row>
    <row r="4883" spans="1:13" ht="12.75" customHeight="1" x14ac:dyDescent="0.25">
      <c r="A4883"/>
      <c r="B4883"/>
      <c r="C4883"/>
      <c r="M4883"/>
    </row>
    <row r="4884" spans="1:13" ht="12.75" customHeight="1" x14ac:dyDescent="0.25">
      <c r="A4884"/>
      <c r="B4884"/>
      <c r="C4884"/>
      <c r="M4884"/>
    </row>
    <row r="4885" spans="1:13" ht="12.75" customHeight="1" x14ac:dyDescent="0.25">
      <c r="A4885"/>
      <c r="B4885"/>
      <c r="C4885"/>
      <c r="M4885"/>
    </row>
    <row r="4886" spans="1:13" ht="12.75" customHeight="1" x14ac:dyDescent="0.25">
      <c r="A4886"/>
      <c r="B4886"/>
      <c r="C4886"/>
      <c r="M4886"/>
    </row>
    <row r="4887" spans="1:13" ht="12.75" customHeight="1" x14ac:dyDescent="0.25">
      <c r="A4887"/>
      <c r="B4887"/>
      <c r="C4887"/>
      <c r="M4887"/>
    </row>
    <row r="4888" spans="1:13" ht="12.75" customHeight="1" x14ac:dyDescent="0.25">
      <c r="A4888"/>
      <c r="B4888"/>
      <c r="C4888"/>
      <c r="M4888"/>
    </row>
    <row r="4889" spans="1:13" ht="12.75" customHeight="1" x14ac:dyDescent="0.25">
      <c r="A4889"/>
      <c r="B4889"/>
      <c r="C4889"/>
      <c r="M4889"/>
    </row>
    <row r="4890" spans="1:13" ht="12.75" customHeight="1" x14ac:dyDescent="0.25">
      <c r="A4890"/>
      <c r="B4890"/>
      <c r="C4890"/>
      <c r="M4890"/>
    </row>
    <row r="4891" spans="1:13" ht="12.75" customHeight="1" x14ac:dyDescent="0.25">
      <c r="A4891"/>
      <c r="B4891"/>
      <c r="C4891"/>
      <c r="M4891"/>
    </row>
    <row r="4892" spans="1:13" ht="12.75" customHeight="1" x14ac:dyDescent="0.25">
      <c r="A4892"/>
      <c r="B4892"/>
      <c r="C4892"/>
      <c r="M4892"/>
    </row>
    <row r="4893" spans="1:13" ht="12.75" customHeight="1" x14ac:dyDescent="0.25">
      <c r="A4893"/>
      <c r="B4893"/>
      <c r="C4893"/>
      <c r="M4893"/>
    </row>
    <row r="4894" spans="1:13" ht="12.75" customHeight="1" x14ac:dyDescent="0.25">
      <c r="A4894"/>
      <c r="B4894"/>
      <c r="C4894"/>
      <c r="M4894"/>
    </row>
    <row r="4895" spans="1:13" ht="12.75" customHeight="1" x14ac:dyDescent="0.25">
      <c r="A4895"/>
      <c r="B4895"/>
      <c r="C4895"/>
      <c r="M4895"/>
    </row>
    <row r="4896" spans="1:13" ht="12.75" customHeight="1" x14ac:dyDescent="0.25">
      <c r="A4896"/>
      <c r="B4896"/>
      <c r="C4896"/>
      <c r="M4896"/>
    </row>
    <row r="4897" spans="1:13" ht="12.75" customHeight="1" x14ac:dyDescent="0.25">
      <c r="A4897"/>
      <c r="B4897"/>
      <c r="C4897"/>
      <c r="M4897"/>
    </row>
    <row r="4898" spans="1:13" ht="12.75" customHeight="1" x14ac:dyDescent="0.25">
      <c r="A4898"/>
      <c r="B4898"/>
      <c r="C4898"/>
      <c r="M4898"/>
    </row>
    <row r="4899" spans="1:13" ht="12.75" customHeight="1" x14ac:dyDescent="0.25">
      <c r="A4899"/>
      <c r="B4899"/>
      <c r="C4899"/>
      <c r="M4899"/>
    </row>
    <row r="4900" spans="1:13" ht="12.75" customHeight="1" x14ac:dyDescent="0.25">
      <c r="A4900"/>
      <c r="B4900"/>
      <c r="C4900"/>
      <c r="M4900"/>
    </row>
    <row r="4901" spans="1:13" ht="12.75" customHeight="1" x14ac:dyDescent="0.25">
      <c r="A4901"/>
      <c r="B4901"/>
      <c r="C4901"/>
      <c r="M4901"/>
    </row>
    <row r="4902" spans="1:13" ht="12.75" customHeight="1" x14ac:dyDescent="0.25">
      <c r="A4902"/>
      <c r="B4902"/>
      <c r="C4902"/>
      <c r="M4902"/>
    </row>
    <row r="4903" spans="1:13" ht="12.75" customHeight="1" x14ac:dyDescent="0.25">
      <c r="A4903"/>
      <c r="B4903"/>
      <c r="C4903"/>
      <c r="M4903"/>
    </row>
    <row r="4904" spans="1:13" ht="12.75" customHeight="1" x14ac:dyDescent="0.25">
      <c r="A4904"/>
      <c r="B4904"/>
      <c r="C4904"/>
      <c r="M4904"/>
    </row>
    <row r="4905" spans="1:13" ht="12.75" customHeight="1" x14ac:dyDescent="0.25">
      <c r="A4905"/>
      <c r="B4905"/>
      <c r="C4905"/>
      <c r="M4905"/>
    </row>
    <row r="4906" spans="1:13" ht="12.75" customHeight="1" x14ac:dyDescent="0.25">
      <c r="A4906"/>
      <c r="B4906"/>
      <c r="C4906"/>
      <c r="M4906"/>
    </row>
    <row r="4907" spans="1:13" ht="12.75" customHeight="1" x14ac:dyDescent="0.25">
      <c r="A4907"/>
      <c r="B4907"/>
      <c r="C4907"/>
      <c r="M4907"/>
    </row>
    <row r="4908" spans="1:13" ht="12.75" customHeight="1" x14ac:dyDescent="0.25">
      <c r="A4908"/>
      <c r="B4908"/>
      <c r="C4908"/>
      <c r="M4908"/>
    </row>
    <row r="4909" spans="1:13" ht="12.75" customHeight="1" x14ac:dyDescent="0.25">
      <c r="A4909"/>
      <c r="B4909"/>
      <c r="C4909"/>
      <c r="M4909"/>
    </row>
    <row r="4910" spans="1:13" ht="12.75" customHeight="1" x14ac:dyDescent="0.25">
      <c r="A4910"/>
      <c r="B4910"/>
      <c r="C4910"/>
      <c r="M4910"/>
    </row>
    <row r="4911" spans="1:13" ht="12.75" customHeight="1" x14ac:dyDescent="0.25">
      <c r="A4911"/>
      <c r="B4911"/>
      <c r="C4911"/>
      <c r="M4911"/>
    </row>
    <row r="4912" spans="1:13" ht="12.75" customHeight="1" x14ac:dyDescent="0.25">
      <c r="A4912"/>
      <c r="B4912"/>
      <c r="C4912"/>
      <c r="M4912"/>
    </row>
    <row r="4913" spans="1:13" ht="12.75" customHeight="1" x14ac:dyDescent="0.25">
      <c r="A4913"/>
      <c r="B4913"/>
      <c r="C4913"/>
      <c r="M4913"/>
    </row>
    <row r="4914" spans="1:13" ht="12.75" customHeight="1" x14ac:dyDescent="0.25">
      <c r="A4914"/>
      <c r="B4914"/>
      <c r="C4914"/>
      <c r="M4914"/>
    </row>
    <row r="4915" spans="1:13" ht="12.75" customHeight="1" x14ac:dyDescent="0.25">
      <c r="A4915"/>
      <c r="B4915"/>
      <c r="C4915"/>
      <c r="M4915"/>
    </row>
    <row r="4916" spans="1:13" ht="12.75" customHeight="1" x14ac:dyDescent="0.25">
      <c r="A4916"/>
      <c r="B4916"/>
      <c r="C4916"/>
      <c r="M4916"/>
    </row>
    <row r="4917" spans="1:13" ht="12.75" customHeight="1" x14ac:dyDescent="0.25">
      <c r="A4917"/>
      <c r="B4917"/>
      <c r="C4917"/>
      <c r="M4917"/>
    </row>
    <row r="4918" spans="1:13" ht="12.75" customHeight="1" x14ac:dyDescent="0.25">
      <c r="A4918"/>
      <c r="B4918"/>
      <c r="C4918"/>
      <c r="M4918"/>
    </row>
    <row r="4919" spans="1:13" ht="12.75" customHeight="1" x14ac:dyDescent="0.25">
      <c r="A4919"/>
      <c r="B4919"/>
      <c r="C4919"/>
      <c r="M4919"/>
    </row>
    <row r="4920" spans="1:13" ht="12.75" customHeight="1" x14ac:dyDescent="0.25">
      <c r="A4920"/>
      <c r="B4920"/>
      <c r="C4920"/>
      <c r="M4920"/>
    </row>
    <row r="4921" spans="1:13" ht="12.75" customHeight="1" x14ac:dyDescent="0.25">
      <c r="A4921"/>
      <c r="B4921"/>
      <c r="C4921"/>
      <c r="M4921"/>
    </row>
    <row r="4922" spans="1:13" ht="12.75" customHeight="1" x14ac:dyDescent="0.25">
      <c r="A4922"/>
      <c r="B4922"/>
      <c r="C4922"/>
      <c r="M4922"/>
    </row>
    <row r="4923" spans="1:13" ht="12.75" customHeight="1" x14ac:dyDescent="0.25">
      <c r="A4923"/>
      <c r="B4923"/>
      <c r="C4923"/>
      <c r="M4923"/>
    </row>
    <row r="4924" spans="1:13" ht="12.75" customHeight="1" x14ac:dyDescent="0.25">
      <c r="A4924"/>
      <c r="B4924"/>
      <c r="C4924"/>
      <c r="M4924"/>
    </row>
    <row r="4925" spans="1:13" ht="12.75" customHeight="1" x14ac:dyDescent="0.25">
      <c r="A4925"/>
      <c r="B4925"/>
      <c r="C4925"/>
      <c r="M4925"/>
    </row>
    <row r="4926" spans="1:13" ht="12.75" customHeight="1" x14ac:dyDescent="0.25">
      <c r="A4926"/>
      <c r="B4926"/>
      <c r="C4926"/>
      <c r="M4926"/>
    </row>
    <row r="4927" spans="1:13" ht="12.75" customHeight="1" x14ac:dyDescent="0.25">
      <c r="A4927"/>
      <c r="B4927"/>
      <c r="C4927"/>
      <c r="M4927"/>
    </row>
    <row r="4928" spans="1:13" ht="12.75" customHeight="1" x14ac:dyDescent="0.25">
      <c r="A4928"/>
      <c r="B4928"/>
      <c r="C4928"/>
      <c r="M4928"/>
    </row>
    <row r="4929" spans="1:13" ht="12.75" customHeight="1" x14ac:dyDescent="0.25">
      <c r="A4929"/>
      <c r="B4929"/>
      <c r="C4929"/>
      <c r="M4929"/>
    </row>
    <row r="4930" spans="1:13" ht="12.75" customHeight="1" x14ac:dyDescent="0.25">
      <c r="A4930"/>
      <c r="B4930"/>
      <c r="C4930"/>
      <c r="M4930"/>
    </row>
    <row r="4931" spans="1:13" ht="12.75" customHeight="1" x14ac:dyDescent="0.25">
      <c r="A4931"/>
      <c r="B4931"/>
      <c r="C4931"/>
      <c r="M4931"/>
    </row>
    <row r="4932" spans="1:13" ht="12.75" customHeight="1" x14ac:dyDescent="0.25">
      <c r="A4932"/>
      <c r="B4932"/>
      <c r="C4932"/>
      <c r="M4932"/>
    </row>
    <row r="4933" spans="1:13" ht="12.75" customHeight="1" x14ac:dyDescent="0.25">
      <c r="A4933"/>
      <c r="B4933"/>
      <c r="C4933"/>
      <c r="M4933"/>
    </row>
    <row r="4934" spans="1:13" ht="12.75" customHeight="1" x14ac:dyDescent="0.25">
      <c r="A4934"/>
      <c r="B4934"/>
      <c r="C4934"/>
      <c r="M4934"/>
    </row>
    <row r="4935" spans="1:13" ht="12.75" customHeight="1" x14ac:dyDescent="0.25">
      <c r="A4935"/>
      <c r="B4935"/>
      <c r="C4935"/>
      <c r="M4935"/>
    </row>
    <row r="4936" spans="1:13" ht="12.75" customHeight="1" x14ac:dyDescent="0.25">
      <c r="A4936"/>
      <c r="B4936"/>
      <c r="C4936"/>
      <c r="M4936"/>
    </row>
    <row r="4937" spans="1:13" ht="12.75" customHeight="1" x14ac:dyDescent="0.25">
      <c r="A4937"/>
      <c r="B4937"/>
      <c r="C4937"/>
      <c r="M4937"/>
    </row>
    <row r="4938" spans="1:13" ht="12.75" customHeight="1" x14ac:dyDescent="0.25">
      <c r="A4938"/>
      <c r="B4938"/>
      <c r="C4938"/>
      <c r="M4938"/>
    </row>
    <row r="4939" spans="1:13" ht="12.75" customHeight="1" x14ac:dyDescent="0.25">
      <c r="A4939"/>
      <c r="B4939"/>
      <c r="C4939"/>
      <c r="M4939"/>
    </row>
    <row r="4940" spans="1:13" ht="12.75" customHeight="1" x14ac:dyDescent="0.25">
      <c r="A4940"/>
      <c r="B4940"/>
      <c r="C4940"/>
      <c r="M4940"/>
    </row>
    <row r="4941" spans="1:13" ht="12.75" customHeight="1" x14ac:dyDescent="0.25">
      <c r="A4941"/>
      <c r="B4941"/>
      <c r="C4941"/>
      <c r="M4941"/>
    </row>
    <row r="4942" spans="1:13" ht="12.75" customHeight="1" x14ac:dyDescent="0.25">
      <c r="A4942"/>
      <c r="B4942"/>
      <c r="C4942"/>
      <c r="M4942"/>
    </row>
    <row r="4943" spans="1:13" ht="12.75" customHeight="1" x14ac:dyDescent="0.25">
      <c r="A4943"/>
      <c r="B4943"/>
      <c r="C4943"/>
      <c r="M4943"/>
    </row>
    <row r="4944" spans="1:13" ht="12.75" customHeight="1" x14ac:dyDescent="0.25">
      <c r="A4944"/>
      <c r="B4944"/>
      <c r="C4944"/>
      <c r="M4944"/>
    </row>
    <row r="4945" spans="1:13" ht="12.75" customHeight="1" x14ac:dyDescent="0.25">
      <c r="A4945"/>
      <c r="B4945"/>
      <c r="C4945"/>
      <c r="M4945"/>
    </row>
    <row r="4946" spans="1:13" ht="12.75" customHeight="1" x14ac:dyDescent="0.25">
      <c r="A4946"/>
      <c r="B4946"/>
      <c r="C4946"/>
      <c r="M4946"/>
    </row>
    <row r="4947" spans="1:13" ht="12.75" customHeight="1" x14ac:dyDescent="0.25">
      <c r="A4947"/>
      <c r="B4947"/>
      <c r="C4947"/>
      <c r="M4947"/>
    </row>
    <row r="4948" spans="1:13" ht="12.75" customHeight="1" x14ac:dyDescent="0.25">
      <c r="A4948"/>
      <c r="B4948"/>
      <c r="C4948"/>
      <c r="M4948"/>
    </row>
    <row r="4949" spans="1:13" ht="12.75" customHeight="1" x14ac:dyDescent="0.25">
      <c r="A4949"/>
      <c r="B4949"/>
      <c r="C4949"/>
      <c r="M4949"/>
    </row>
    <row r="4950" spans="1:13" ht="12.75" customHeight="1" x14ac:dyDescent="0.25">
      <c r="A4950"/>
      <c r="B4950"/>
      <c r="C4950"/>
      <c r="M4950"/>
    </row>
    <row r="4951" spans="1:13" ht="12.75" customHeight="1" x14ac:dyDescent="0.25">
      <c r="A4951"/>
      <c r="B4951"/>
      <c r="C4951"/>
      <c r="M4951"/>
    </row>
    <row r="4953" spans="1:13" ht="0" hidden="1" customHeight="1" x14ac:dyDescent="0.25">
      <c r="A4953"/>
      <c r="B4953"/>
    </row>
    <row r="4954" spans="1:13" ht="0" hidden="1" customHeight="1" x14ac:dyDescent="0.25">
      <c r="A4954"/>
      <c r="B4954"/>
    </row>
    <row r="4955" spans="1:13" ht="0" hidden="1" customHeight="1" x14ac:dyDescent="0.25">
      <c r="A4955"/>
      <c r="B4955"/>
    </row>
    <row r="4961" spans="1:13" ht="12.75" customHeight="1" x14ac:dyDescent="0.25">
      <c r="A4961"/>
      <c r="B4961"/>
      <c r="C4961"/>
      <c r="M4961"/>
    </row>
    <row r="4962" spans="1:13" ht="12.75" customHeight="1" x14ac:dyDescent="0.25">
      <c r="A4962"/>
      <c r="B4962"/>
      <c r="C4962"/>
      <c r="M4962"/>
    </row>
    <row r="4963" spans="1:13" ht="12.75" customHeight="1" x14ac:dyDescent="0.25">
      <c r="A4963"/>
      <c r="B4963"/>
      <c r="C4963"/>
      <c r="M4963"/>
    </row>
    <row r="4964" spans="1:13" ht="12.75" customHeight="1" x14ac:dyDescent="0.25">
      <c r="A4964"/>
      <c r="B4964"/>
      <c r="C4964"/>
      <c r="M4964"/>
    </row>
    <row r="61606" spans="1:13" ht="0" hidden="1" customHeight="1" x14ac:dyDescent="0.25">
      <c r="A61606"/>
      <c r="B61606"/>
      <c r="C61606"/>
      <c r="M61606"/>
    </row>
    <row r="61622" spans="1:13" ht="12.75" customHeight="1" x14ac:dyDescent="0.25">
      <c r="A61622"/>
      <c r="B61622"/>
      <c r="C61622"/>
      <c r="M61622"/>
    </row>
    <row r="61638" spans="1:13" ht="12.75" customHeight="1" x14ac:dyDescent="0.25">
      <c r="A61638"/>
      <c r="B61638"/>
      <c r="C61638"/>
      <c r="M61638"/>
    </row>
    <row r="61654" spans="1:13" ht="12.75" customHeight="1" x14ac:dyDescent="0.25">
      <c r="A61654"/>
      <c r="B61654"/>
      <c r="C61654"/>
      <c r="M61654"/>
    </row>
    <row r="61665" spans="1:13" ht="0" hidden="1" customHeight="1" x14ac:dyDescent="0.25">
      <c r="A61665"/>
      <c r="B61665"/>
    </row>
    <row r="61667" spans="1:13" ht="0" hidden="1" customHeight="1" x14ac:dyDescent="0.25">
      <c r="A61667"/>
      <c r="B61667"/>
    </row>
    <row r="61668" spans="1:13" ht="0" hidden="1" customHeight="1" x14ac:dyDescent="0.25">
      <c r="A61668"/>
      <c r="B61668"/>
    </row>
    <row r="61670" spans="1:13" ht="12.75" customHeight="1" x14ac:dyDescent="0.25">
      <c r="A61670"/>
      <c r="B61670"/>
      <c r="C61670"/>
      <c r="M61670"/>
    </row>
    <row r="61681" spans="1:13" ht="0" hidden="1" customHeight="1" x14ac:dyDescent="0.25">
      <c r="A61681"/>
      <c r="B61681"/>
    </row>
    <row r="61682" spans="1:13" ht="0" hidden="1" customHeight="1" x14ac:dyDescent="0.25">
      <c r="A61682"/>
      <c r="B61682"/>
    </row>
    <row r="61683" spans="1:13" ht="12.75" customHeight="1" x14ac:dyDescent="0.25">
      <c r="A61683"/>
      <c r="B61683"/>
      <c r="C61683"/>
      <c r="M61683"/>
    </row>
    <row r="61684" spans="1:13" ht="12.75" customHeight="1" x14ac:dyDescent="0.25">
      <c r="A61684"/>
      <c r="B61684"/>
      <c r="C61684"/>
      <c r="M61684"/>
    </row>
    <row r="61686" spans="1:13" ht="12.75" customHeight="1" x14ac:dyDescent="0.25">
      <c r="A61686"/>
      <c r="B61686"/>
      <c r="C61686"/>
      <c r="M61686"/>
    </row>
    <row r="61697" spans="1:13" ht="12.75" customHeight="1" x14ac:dyDescent="0.25">
      <c r="A61697"/>
      <c r="B61697"/>
      <c r="C61697"/>
      <c r="M61697"/>
    </row>
    <row r="61698" spans="1:13" ht="12.75" customHeight="1" x14ac:dyDescent="0.25">
      <c r="A61698"/>
      <c r="B61698"/>
      <c r="C61698"/>
      <c r="M61698"/>
    </row>
    <row r="61699" spans="1:13" ht="12.75" customHeight="1" x14ac:dyDescent="0.25">
      <c r="A61699"/>
      <c r="B61699"/>
      <c r="C61699"/>
      <c r="M61699"/>
    </row>
    <row r="61700" spans="1:13" ht="12.75" customHeight="1" x14ac:dyDescent="0.25">
      <c r="A61700"/>
      <c r="B61700"/>
      <c r="C61700"/>
      <c r="M61700"/>
    </row>
    <row r="61702" spans="1:13" ht="12.75" customHeight="1" x14ac:dyDescent="0.25">
      <c r="A61702"/>
      <c r="B61702"/>
      <c r="C61702"/>
      <c r="M61702"/>
    </row>
    <row r="61713" spans="1:13" ht="12.75" customHeight="1" x14ac:dyDescent="0.25">
      <c r="A61713"/>
      <c r="B61713"/>
      <c r="C61713"/>
      <c r="M61713"/>
    </row>
    <row r="61714" spans="1:13" ht="12.75" customHeight="1" x14ac:dyDescent="0.25">
      <c r="A61714"/>
      <c r="B61714"/>
      <c r="C61714"/>
      <c r="M61714"/>
    </row>
    <row r="61715" spans="1:13" ht="12.75" customHeight="1" x14ac:dyDescent="0.25">
      <c r="A61715"/>
      <c r="B61715"/>
      <c r="C61715"/>
      <c r="M61715"/>
    </row>
    <row r="61716" spans="1:13" ht="12.75" customHeight="1" x14ac:dyDescent="0.25">
      <c r="A61716"/>
      <c r="B61716"/>
      <c r="C61716"/>
      <c r="M61716"/>
    </row>
    <row r="61718" spans="1:13" ht="12.75" customHeight="1" x14ac:dyDescent="0.25">
      <c r="A61718"/>
      <c r="B61718"/>
      <c r="C61718"/>
      <c r="M61718"/>
    </row>
    <row r="61729" spans="1:13" ht="12.75" customHeight="1" x14ac:dyDescent="0.25">
      <c r="A61729"/>
      <c r="B61729"/>
      <c r="C61729"/>
      <c r="M61729"/>
    </row>
    <row r="61730" spans="1:13" ht="12.75" customHeight="1" x14ac:dyDescent="0.25">
      <c r="A61730"/>
      <c r="B61730"/>
      <c r="C61730"/>
      <c r="M61730"/>
    </row>
    <row r="61731" spans="1:13" ht="12.75" customHeight="1" x14ac:dyDescent="0.25">
      <c r="A61731"/>
      <c r="B61731"/>
      <c r="C61731"/>
      <c r="M61731"/>
    </row>
    <row r="61732" spans="1:13" ht="12.75" customHeight="1" x14ac:dyDescent="0.25">
      <c r="A61732"/>
      <c r="B61732"/>
      <c r="C61732"/>
      <c r="M61732"/>
    </row>
    <row r="61734" spans="1:13" ht="12.75" customHeight="1" x14ac:dyDescent="0.25">
      <c r="A61734"/>
      <c r="B61734"/>
      <c r="C61734"/>
      <c r="M61734"/>
    </row>
    <row r="61745" spans="1:13" ht="12.75" customHeight="1" x14ac:dyDescent="0.25">
      <c r="A61745"/>
      <c r="B61745"/>
      <c r="C61745"/>
      <c r="M61745"/>
    </row>
    <row r="61746" spans="1:13" ht="12.75" customHeight="1" x14ac:dyDescent="0.25">
      <c r="A61746"/>
      <c r="B61746"/>
      <c r="C61746"/>
      <c r="M61746"/>
    </row>
    <row r="61747" spans="1:13" ht="12.75" customHeight="1" x14ac:dyDescent="0.25">
      <c r="A61747"/>
      <c r="B61747"/>
      <c r="C61747"/>
      <c r="M61747"/>
    </row>
    <row r="61748" spans="1:13" ht="12.75" customHeight="1" x14ac:dyDescent="0.25">
      <c r="A61748"/>
      <c r="B61748"/>
      <c r="C61748"/>
      <c r="M61748"/>
    </row>
    <row r="61750" spans="1:13" ht="12.75" customHeight="1" x14ac:dyDescent="0.25">
      <c r="A61750"/>
      <c r="B61750"/>
      <c r="C61750"/>
      <c r="M61750"/>
    </row>
    <row r="61761" spans="1:13" ht="12.75" customHeight="1" x14ac:dyDescent="0.25">
      <c r="A61761"/>
      <c r="B61761"/>
      <c r="C61761"/>
      <c r="M61761"/>
    </row>
    <row r="61762" spans="1:13" ht="12.75" customHeight="1" x14ac:dyDescent="0.25">
      <c r="A61762"/>
      <c r="B61762"/>
      <c r="C61762"/>
      <c r="M61762"/>
    </row>
    <row r="61763" spans="1:13" ht="12.75" customHeight="1" x14ac:dyDescent="0.25">
      <c r="A61763"/>
      <c r="B61763"/>
      <c r="C61763"/>
      <c r="M61763"/>
    </row>
    <row r="61764" spans="1:13" ht="12.75" customHeight="1" x14ac:dyDescent="0.25">
      <c r="A61764"/>
      <c r="B61764"/>
      <c r="C61764"/>
      <c r="M61764"/>
    </row>
    <row r="61766" spans="1:13" ht="12.75" customHeight="1" x14ac:dyDescent="0.25">
      <c r="A61766"/>
      <c r="B61766"/>
      <c r="C61766"/>
      <c r="M61766"/>
    </row>
    <row r="61777" spans="1:13" ht="12.75" customHeight="1" x14ac:dyDescent="0.25">
      <c r="A61777"/>
      <c r="B61777"/>
      <c r="C61777"/>
      <c r="M61777"/>
    </row>
    <row r="61778" spans="1:13" ht="12.75" customHeight="1" x14ac:dyDescent="0.25">
      <c r="A61778"/>
      <c r="B61778"/>
      <c r="C61778"/>
      <c r="M61778"/>
    </row>
    <row r="61779" spans="1:13" ht="12.75" customHeight="1" x14ac:dyDescent="0.25">
      <c r="A61779"/>
      <c r="B61779"/>
      <c r="C61779"/>
      <c r="M61779"/>
    </row>
    <row r="61780" spans="1:13" ht="12.75" customHeight="1" x14ac:dyDescent="0.25">
      <c r="A61780"/>
      <c r="B61780"/>
      <c r="C61780"/>
      <c r="M61780"/>
    </row>
    <row r="61782" spans="1:13" ht="12.75" customHeight="1" x14ac:dyDescent="0.25">
      <c r="A61782"/>
      <c r="B61782"/>
      <c r="C61782"/>
      <c r="M61782"/>
    </row>
    <row r="61790" spans="1:13" ht="0" hidden="1" customHeight="1" x14ac:dyDescent="0.25">
      <c r="A61790"/>
      <c r="B61790"/>
    </row>
    <row r="61793" spans="1:13" ht="12.75" customHeight="1" x14ac:dyDescent="0.25">
      <c r="A61793"/>
      <c r="B61793"/>
      <c r="C61793"/>
      <c r="M61793"/>
    </row>
    <row r="61794" spans="1:13" ht="12.75" customHeight="1" x14ac:dyDescent="0.25">
      <c r="A61794"/>
      <c r="B61794"/>
      <c r="C61794"/>
      <c r="M61794"/>
    </row>
    <row r="61795" spans="1:13" ht="12.75" customHeight="1" x14ac:dyDescent="0.25">
      <c r="A61795"/>
      <c r="B61795"/>
      <c r="C61795"/>
      <c r="M61795"/>
    </row>
    <row r="61796" spans="1:13" ht="12.75" customHeight="1" x14ac:dyDescent="0.25">
      <c r="A61796"/>
      <c r="B61796"/>
      <c r="C61796"/>
      <c r="M61796"/>
    </row>
    <row r="61798" spans="1:13" ht="12.75" customHeight="1" x14ac:dyDescent="0.25">
      <c r="A61798"/>
      <c r="B61798"/>
      <c r="C61798"/>
      <c r="M61798"/>
    </row>
    <row r="61806" spans="1:13" ht="0" hidden="1" customHeight="1" x14ac:dyDescent="0.25">
      <c r="A61806"/>
      <c r="B61806"/>
    </row>
    <row r="61809" spans="1:13" ht="12.75" customHeight="1" x14ac:dyDescent="0.25">
      <c r="A61809"/>
      <c r="B61809"/>
      <c r="C61809"/>
      <c r="M61809"/>
    </row>
    <row r="61810" spans="1:13" ht="12.75" customHeight="1" x14ac:dyDescent="0.25">
      <c r="A61810"/>
      <c r="B61810"/>
      <c r="C61810"/>
      <c r="M61810"/>
    </row>
    <row r="61811" spans="1:13" ht="12.75" customHeight="1" x14ac:dyDescent="0.25">
      <c r="A61811"/>
      <c r="B61811"/>
      <c r="C61811"/>
      <c r="M61811"/>
    </row>
    <row r="61812" spans="1:13" ht="12.75" customHeight="1" x14ac:dyDescent="0.25">
      <c r="A61812"/>
      <c r="B61812"/>
      <c r="C61812"/>
      <c r="M61812"/>
    </row>
    <row r="61814" spans="1:13" ht="12.75" customHeight="1" x14ac:dyDescent="0.25">
      <c r="A61814"/>
      <c r="B61814"/>
      <c r="C61814"/>
      <c r="M61814"/>
    </row>
    <row r="61822" spans="1:13" ht="12.75" customHeight="1" x14ac:dyDescent="0.25">
      <c r="A61822"/>
      <c r="B61822"/>
      <c r="C61822"/>
      <c r="M61822"/>
    </row>
    <row r="61823" spans="1:13" ht="0" hidden="1" customHeight="1" x14ac:dyDescent="0.25">
      <c r="A61823"/>
      <c r="B61823"/>
    </row>
    <row r="61825" spans="1:13" ht="12.75" customHeight="1" x14ac:dyDescent="0.25">
      <c r="A61825"/>
      <c r="B61825"/>
      <c r="C61825"/>
      <c r="M61825"/>
    </row>
    <row r="61826" spans="1:13" ht="12.75" customHeight="1" x14ac:dyDescent="0.25">
      <c r="A61826"/>
      <c r="B61826"/>
      <c r="C61826"/>
      <c r="M61826"/>
    </row>
    <row r="61827" spans="1:13" ht="12.75" customHeight="1" x14ac:dyDescent="0.25">
      <c r="A61827"/>
      <c r="B61827"/>
      <c r="C61827"/>
      <c r="M61827"/>
    </row>
    <row r="61828" spans="1:13" ht="12.75" customHeight="1" x14ac:dyDescent="0.25">
      <c r="A61828"/>
      <c r="B61828"/>
      <c r="C61828"/>
      <c r="M61828"/>
    </row>
    <row r="61830" spans="1:13" ht="12.75" customHeight="1" x14ac:dyDescent="0.25">
      <c r="A61830"/>
      <c r="B61830"/>
      <c r="C61830"/>
      <c r="M61830"/>
    </row>
    <row r="61838" spans="1:13" ht="12.75" customHeight="1" x14ac:dyDescent="0.25">
      <c r="A61838"/>
      <c r="B61838"/>
      <c r="C61838"/>
      <c r="M61838"/>
    </row>
    <row r="61839" spans="1:13" ht="0" hidden="1" customHeight="1" x14ac:dyDescent="0.25">
      <c r="A61839"/>
      <c r="B61839"/>
    </row>
    <row r="61840" spans="1:13" ht="0" hidden="1" customHeight="1" x14ac:dyDescent="0.25">
      <c r="A61840"/>
      <c r="B61840"/>
    </row>
    <row r="61841" spans="1:13" ht="12.75" customHeight="1" x14ac:dyDescent="0.25">
      <c r="A61841"/>
      <c r="B61841"/>
      <c r="C61841"/>
      <c r="M61841"/>
    </row>
    <row r="61842" spans="1:13" ht="12.75" customHeight="1" x14ac:dyDescent="0.25">
      <c r="A61842"/>
      <c r="B61842"/>
      <c r="C61842"/>
      <c r="M61842"/>
    </row>
    <row r="61843" spans="1:13" ht="12.75" customHeight="1" x14ac:dyDescent="0.25">
      <c r="A61843"/>
      <c r="B61843"/>
      <c r="C61843"/>
      <c r="M61843"/>
    </row>
    <row r="61844" spans="1:13" ht="12.75" customHeight="1" x14ac:dyDescent="0.25">
      <c r="A61844"/>
      <c r="B61844"/>
      <c r="C61844"/>
      <c r="M61844"/>
    </row>
    <row r="61846" spans="1:13" ht="12.75" customHeight="1" x14ac:dyDescent="0.25">
      <c r="A61846"/>
      <c r="B61846"/>
      <c r="C61846"/>
      <c r="M61846"/>
    </row>
    <row r="61854" spans="1:13" ht="12.75" customHeight="1" x14ac:dyDescent="0.25">
      <c r="A61854"/>
      <c r="B61854"/>
      <c r="C61854"/>
      <c r="M61854"/>
    </row>
    <row r="61855" spans="1:13" ht="12.75" customHeight="1" x14ac:dyDescent="0.25">
      <c r="A61855"/>
      <c r="B61855"/>
      <c r="C61855"/>
      <c r="M61855"/>
    </row>
    <row r="61856" spans="1:13" ht="0" hidden="1" customHeight="1" x14ac:dyDescent="0.25">
      <c r="A61856"/>
      <c r="B61856"/>
    </row>
    <row r="61857" spans="1:13" ht="12.75" customHeight="1" x14ac:dyDescent="0.25">
      <c r="A61857"/>
      <c r="B61857"/>
      <c r="C61857"/>
      <c r="M61857"/>
    </row>
    <row r="61858" spans="1:13" ht="12.75" customHeight="1" x14ac:dyDescent="0.25">
      <c r="A61858"/>
      <c r="B61858"/>
      <c r="C61858"/>
      <c r="M61858"/>
    </row>
    <row r="61859" spans="1:13" ht="12.75" customHeight="1" x14ac:dyDescent="0.25">
      <c r="A61859"/>
      <c r="B61859"/>
      <c r="C61859"/>
      <c r="M61859"/>
    </row>
    <row r="61860" spans="1:13" ht="12.75" customHeight="1" x14ac:dyDescent="0.25">
      <c r="A61860"/>
      <c r="B61860"/>
      <c r="C61860"/>
      <c r="M61860"/>
    </row>
    <row r="61862" spans="1:13" ht="12.75" customHeight="1" x14ac:dyDescent="0.25">
      <c r="A61862"/>
      <c r="B61862"/>
      <c r="C61862"/>
      <c r="M61862"/>
    </row>
    <row r="61868" spans="1:13" ht="0" hidden="1" customHeight="1" x14ac:dyDescent="0.25">
      <c r="A61868"/>
      <c r="B61868"/>
    </row>
    <row r="61869" spans="1:13" ht="0" hidden="1" customHeight="1" x14ac:dyDescent="0.25">
      <c r="A61869"/>
      <c r="B61869"/>
    </row>
    <row r="61870" spans="1:13" ht="12.75" customHeight="1" x14ac:dyDescent="0.25">
      <c r="A61870"/>
      <c r="B61870"/>
      <c r="C61870"/>
      <c r="M61870"/>
    </row>
    <row r="61871" spans="1:13" ht="12.75" customHeight="1" x14ac:dyDescent="0.25">
      <c r="A61871"/>
      <c r="B61871"/>
      <c r="C61871"/>
      <c r="M61871"/>
    </row>
    <row r="61872" spans="1:13" ht="12.75" customHeight="1" x14ac:dyDescent="0.25">
      <c r="A61872"/>
      <c r="B61872"/>
      <c r="C61872"/>
      <c r="M61872"/>
    </row>
    <row r="61873" spans="1:13" ht="12.75" customHeight="1" x14ac:dyDescent="0.25">
      <c r="A61873"/>
      <c r="B61873"/>
      <c r="C61873"/>
      <c r="M61873"/>
    </row>
    <row r="61874" spans="1:13" ht="12.75" customHeight="1" x14ac:dyDescent="0.25">
      <c r="A61874"/>
      <c r="B61874"/>
      <c r="C61874"/>
      <c r="M61874"/>
    </row>
    <row r="61875" spans="1:13" ht="12.75" customHeight="1" x14ac:dyDescent="0.25">
      <c r="A61875"/>
      <c r="B61875"/>
      <c r="C61875"/>
      <c r="M61875"/>
    </row>
    <row r="61876" spans="1:13" ht="12.75" customHeight="1" x14ac:dyDescent="0.25">
      <c r="A61876"/>
      <c r="B61876"/>
      <c r="C61876"/>
      <c r="M61876"/>
    </row>
    <row r="61878" spans="1:13" ht="12.75" customHeight="1" x14ac:dyDescent="0.25">
      <c r="A61878"/>
      <c r="B61878"/>
      <c r="C61878"/>
      <c r="M61878"/>
    </row>
    <row r="61884" spans="1:13" ht="0" hidden="1" customHeight="1" x14ac:dyDescent="0.25">
      <c r="A61884"/>
      <c r="B61884"/>
    </row>
    <row r="61885" spans="1:13" ht="0" hidden="1" customHeight="1" x14ac:dyDescent="0.25">
      <c r="A61885"/>
      <c r="B61885"/>
    </row>
    <row r="61886" spans="1:13" ht="12.75" customHeight="1" x14ac:dyDescent="0.25">
      <c r="A61886"/>
      <c r="B61886"/>
      <c r="C61886"/>
      <c r="M61886"/>
    </row>
    <row r="61887" spans="1:13" ht="12.75" customHeight="1" x14ac:dyDescent="0.25">
      <c r="A61887"/>
      <c r="B61887"/>
      <c r="C61887"/>
      <c r="M61887"/>
    </row>
    <row r="61888" spans="1:13" ht="12.75" customHeight="1" x14ac:dyDescent="0.25">
      <c r="A61888"/>
      <c r="B61888"/>
      <c r="C61888"/>
      <c r="M61888"/>
    </row>
    <row r="61889" spans="1:13" ht="12.75" customHeight="1" x14ac:dyDescent="0.25">
      <c r="A61889"/>
      <c r="B61889"/>
      <c r="C61889"/>
      <c r="M61889"/>
    </row>
    <row r="61890" spans="1:13" ht="12.75" customHeight="1" x14ac:dyDescent="0.25">
      <c r="A61890"/>
      <c r="B61890"/>
      <c r="C61890"/>
      <c r="M61890"/>
    </row>
    <row r="61891" spans="1:13" ht="12.75" customHeight="1" x14ac:dyDescent="0.25">
      <c r="A61891"/>
      <c r="B61891"/>
      <c r="C61891"/>
      <c r="M61891"/>
    </row>
    <row r="61892" spans="1:13" ht="12.75" customHeight="1" x14ac:dyDescent="0.25">
      <c r="A61892"/>
      <c r="B61892"/>
      <c r="C61892"/>
      <c r="M61892"/>
    </row>
    <row r="61893" spans="1:13" ht="0" hidden="1" customHeight="1" x14ac:dyDescent="0.25">
      <c r="A61893"/>
      <c r="B61893"/>
    </row>
    <row r="61894" spans="1:13" ht="12.75" customHeight="1" x14ac:dyDescent="0.25">
      <c r="A61894"/>
      <c r="B61894"/>
      <c r="C61894"/>
      <c r="M61894"/>
    </row>
    <row r="61895" spans="1:13" ht="0" hidden="1" customHeight="1" x14ac:dyDescent="0.25">
      <c r="A61895"/>
      <c r="B61895"/>
    </row>
    <row r="61900" spans="1:13" ht="12.75" customHeight="1" x14ac:dyDescent="0.25">
      <c r="A61900"/>
      <c r="B61900"/>
      <c r="C61900"/>
      <c r="M61900"/>
    </row>
    <row r="61901" spans="1:13" ht="12.75" customHeight="1" x14ac:dyDescent="0.25">
      <c r="A61901"/>
      <c r="B61901"/>
      <c r="C61901"/>
      <c r="M61901"/>
    </row>
    <row r="61902" spans="1:13" ht="12.75" customHeight="1" x14ac:dyDescent="0.25">
      <c r="A61902"/>
      <c r="B61902"/>
      <c r="C61902"/>
      <c r="M61902"/>
    </row>
    <row r="61903" spans="1:13" ht="12.75" customHeight="1" x14ac:dyDescent="0.25">
      <c r="A61903"/>
      <c r="B61903"/>
      <c r="C61903"/>
      <c r="M61903"/>
    </row>
    <row r="61904" spans="1:13" ht="12.75" customHeight="1" x14ac:dyDescent="0.25">
      <c r="A61904"/>
      <c r="B61904"/>
      <c r="C61904"/>
      <c r="M61904"/>
    </row>
    <row r="61905" spans="1:13" ht="12.75" customHeight="1" x14ac:dyDescent="0.25">
      <c r="A61905"/>
      <c r="B61905"/>
      <c r="C61905"/>
      <c r="M61905"/>
    </row>
    <row r="61906" spans="1:13" ht="12.75" customHeight="1" x14ac:dyDescent="0.25">
      <c r="A61906"/>
      <c r="B61906"/>
      <c r="C61906"/>
      <c r="M61906"/>
    </row>
    <row r="61907" spans="1:13" ht="12.75" customHeight="1" x14ac:dyDescent="0.25">
      <c r="A61907"/>
      <c r="B61907"/>
      <c r="C61907"/>
      <c r="M61907"/>
    </row>
    <row r="61908" spans="1:13" ht="12.75" customHeight="1" x14ac:dyDescent="0.25">
      <c r="A61908"/>
      <c r="B61908"/>
      <c r="C61908"/>
      <c r="M61908"/>
    </row>
    <row r="61909" spans="1:13" ht="12.75" customHeight="1" x14ac:dyDescent="0.25">
      <c r="A61909"/>
      <c r="B61909"/>
      <c r="C61909"/>
      <c r="M61909"/>
    </row>
    <row r="61910" spans="1:13" ht="12.75" customHeight="1" x14ac:dyDescent="0.25">
      <c r="A61910"/>
      <c r="B61910"/>
      <c r="C61910"/>
      <c r="M61910"/>
    </row>
    <row r="61911" spans="1:13" ht="12.75" customHeight="1" x14ac:dyDescent="0.25">
      <c r="A61911"/>
      <c r="B61911"/>
      <c r="C61911"/>
      <c r="M61911"/>
    </row>
    <row r="61916" spans="1:13" ht="12.75" customHeight="1" x14ac:dyDescent="0.25">
      <c r="A61916"/>
      <c r="B61916"/>
      <c r="C61916"/>
      <c r="M61916"/>
    </row>
    <row r="61917" spans="1:13" ht="12.75" customHeight="1" x14ac:dyDescent="0.25">
      <c r="A61917"/>
      <c r="B61917"/>
      <c r="C61917"/>
      <c r="M61917"/>
    </row>
    <row r="61918" spans="1:13" ht="12.75" customHeight="1" x14ac:dyDescent="0.25">
      <c r="A61918"/>
      <c r="B61918"/>
      <c r="C61918"/>
      <c r="M61918"/>
    </row>
    <row r="61919" spans="1:13" ht="12.75" customHeight="1" x14ac:dyDescent="0.25">
      <c r="A61919"/>
      <c r="B61919"/>
      <c r="C61919"/>
      <c r="M61919"/>
    </row>
    <row r="61920" spans="1:13" ht="12.75" customHeight="1" x14ac:dyDescent="0.25">
      <c r="A61920"/>
      <c r="B61920"/>
      <c r="C61920"/>
      <c r="M61920"/>
    </row>
    <row r="61921" spans="1:13" ht="12.75" customHeight="1" x14ac:dyDescent="0.25">
      <c r="A61921"/>
      <c r="B61921"/>
      <c r="C61921"/>
      <c r="M61921"/>
    </row>
    <row r="61922" spans="1:13" ht="12.75" customHeight="1" x14ac:dyDescent="0.25">
      <c r="A61922"/>
      <c r="B61922"/>
      <c r="C61922"/>
      <c r="M61922"/>
    </row>
    <row r="61923" spans="1:13" ht="12.75" customHeight="1" x14ac:dyDescent="0.25">
      <c r="A61923"/>
      <c r="B61923"/>
      <c r="C61923"/>
      <c r="M61923"/>
    </row>
    <row r="61924" spans="1:13" ht="12.75" customHeight="1" x14ac:dyDescent="0.25">
      <c r="A61924"/>
      <c r="B61924"/>
      <c r="C61924"/>
      <c r="M61924"/>
    </row>
    <row r="61925" spans="1:13" ht="12.75" customHeight="1" x14ac:dyDescent="0.25">
      <c r="A61925"/>
      <c r="B61925"/>
      <c r="C61925"/>
      <c r="M61925"/>
    </row>
    <row r="61926" spans="1:13" ht="12.75" customHeight="1" x14ac:dyDescent="0.25">
      <c r="A61926"/>
      <c r="B61926"/>
      <c r="C61926"/>
      <c r="M61926"/>
    </row>
    <row r="61927" spans="1:13" ht="12.75" customHeight="1" x14ac:dyDescent="0.25">
      <c r="A61927"/>
      <c r="B61927"/>
      <c r="C61927"/>
      <c r="M61927"/>
    </row>
    <row r="61931" spans="1:13" ht="0" hidden="1" customHeight="1" x14ac:dyDescent="0.25">
      <c r="A61931"/>
      <c r="B61931"/>
    </row>
    <row r="61932" spans="1:13" ht="12.75" customHeight="1" x14ac:dyDescent="0.25">
      <c r="A61932"/>
      <c r="B61932"/>
      <c r="C61932"/>
      <c r="M61932"/>
    </row>
    <row r="61933" spans="1:13" ht="12.75" customHeight="1" x14ac:dyDescent="0.25">
      <c r="A61933"/>
      <c r="B61933"/>
      <c r="C61933"/>
      <c r="M61933"/>
    </row>
    <row r="61934" spans="1:13" ht="12.75" customHeight="1" x14ac:dyDescent="0.25">
      <c r="A61934"/>
      <c r="B61934"/>
      <c r="C61934"/>
      <c r="M61934"/>
    </row>
    <row r="61935" spans="1:13" ht="12.75" customHeight="1" x14ac:dyDescent="0.25">
      <c r="A61935"/>
      <c r="B61935"/>
      <c r="C61935"/>
      <c r="M61935"/>
    </row>
    <row r="61936" spans="1:13" ht="12.75" customHeight="1" x14ac:dyDescent="0.25">
      <c r="A61936"/>
      <c r="B61936"/>
      <c r="C61936"/>
      <c r="M61936"/>
    </row>
    <row r="61937" spans="1:13" ht="12.75" customHeight="1" x14ac:dyDescent="0.25">
      <c r="A61937"/>
      <c r="B61937"/>
      <c r="C61937"/>
      <c r="M61937"/>
    </row>
    <row r="61938" spans="1:13" ht="12.75" customHeight="1" x14ac:dyDescent="0.25">
      <c r="A61938"/>
      <c r="B61938"/>
      <c r="C61938"/>
      <c r="M61938"/>
    </row>
    <row r="61939" spans="1:13" ht="12.75" customHeight="1" x14ac:dyDescent="0.25">
      <c r="A61939"/>
      <c r="B61939"/>
      <c r="C61939"/>
      <c r="M61939"/>
    </row>
    <row r="61940" spans="1:13" ht="12.75" customHeight="1" x14ac:dyDescent="0.25">
      <c r="A61940"/>
      <c r="B61940"/>
      <c r="C61940"/>
      <c r="M61940"/>
    </row>
    <row r="61941" spans="1:13" ht="12.75" customHeight="1" x14ac:dyDescent="0.25">
      <c r="A61941"/>
      <c r="B61941"/>
      <c r="C61941"/>
      <c r="M61941"/>
    </row>
    <row r="61942" spans="1:13" ht="12.75" customHeight="1" x14ac:dyDescent="0.25">
      <c r="A61942"/>
      <c r="B61942"/>
      <c r="C61942"/>
      <c r="M61942"/>
    </row>
    <row r="61943" spans="1:13" ht="12.75" customHeight="1" x14ac:dyDescent="0.25">
      <c r="A61943"/>
      <c r="B61943"/>
      <c r="C61943"/>
      <c r="M61943"/>
    </row>
    <row r="61947" spans="1:13" ht="0" hidden="1" customHeight="1" x14ac:dyDescent="0.25">
      <c r="A61947"/>
      <c r="B61947"/>
    </row>
    <row r="61948" spans="1:13" ht="12.75" customHeight="1" x14ac:dyDescent="0.25">
      <c r="A61948"/>
      <c r="B61948"/>
      <c r="C61948"/>
      <c r="M61948"/>
    </row>
    <row r="61949" spans="1:13" ht="12.75" customHeight="1" x14ac:dyDescent="0.25">
      <c r="A61949"/>
      <c r="B61949"/>
      <c r="C61949"/>
      <c r="M61949"/>
    </row>
    <row r="61950" spans="1:13" ht="12.75" customHeight="1" x14ac:dyDescent="0.25">
      <c r="A61950"/>
      <c r="B61950"/>
      <c r="C61950"/>
      <c r="M61950"/>
    </row>
    <row r="61951" spans="1:13" ht="12.75" customHeight="1" x14ac:dyDescent="0.25">
      <c r="A61951"/>
      <c r="B61951"/>
      <c r="C61951"/>
      <c r="M61951"/>
    </row>
    <row r="61952" spans="1:13" ht="12.75" customHeight="1" x14ac:dyDescent="0.25">
      <c r="A61952"/>
      <c r="B61952"/>
      <c r="C61952"/>
      <c r="M61952"/>
    </row>
    <row r="61953" spans="1:13" ht="12.75" customHeight="1" x14ac:dyDescent="0.25">
      <c r="A61953"/>
      <c r="B61953"/>
      <c r="C61953"/>
      <c r="M61953"/>
    </row>
    <row r="61954" spans="1:13" ht="12.75" customHeight="1" x14ac:dyDescent="0.25">
      <c r="A61954"/>
      <c r="B61954"/>
      <c r="C61954"/>
      <c r="M61954"/>
    </row>
    <row r="61955" spans="1:13" ht="12.75" customHeight="1" x14ac:dyDescent="0.25">
      <c r="A61955"/>
      <c r="B61955"/>
      <c r="C61955"/>
      <c r="M61955"/>
    </row>
    <row r="61956" spans="1:13" ht="12.75" customHeight="1" x14ac:dyDescent="0.25">
      <c r="A61956"/>
      <c r="B61956"/>
      <c r="C61956"/>
      <c r="M61956"/>
    </row>
    <row r="61957" spans="1:13" ht="12.75" customHeight="1" x14ac:dyDescent="0.25">
      <c r="A61957"/>
      <c r="B61957"/>
      <c r="C61957"/>
      <c r="M61957"/>
    </row>
    <row r="61958" spans="1:13" ht="12.75" customHeight="1" x14ac:dyDescent="0.25">
      <c r="A61958"/>
      <c r="B61958"/>
      <c r="C61958"/>
      <c r="M61958"/>
    </row>
    <row r="61959" spans="1:13" ht="12.75" customHeight="1" x14ac:dyDescent="0.25">
      <c r="A61959"/>
      <c r="B61959"/>
      <c r="C61959"/>
      <c r="M61959"/>
    </row>
    <row r="61963" spans="1:13" ht="12.75" customHeight="1" x14ac:dyDescent="0.25">
      <c r="A61963"/>
      <c r="B61963"/>
      <c r="C61963"/>
      <c r="M61963"/>
    </row>
    <row r="61964" spans="1:13" ht="12.75" customHeight="1" x14ac:dyDescent="0.25">
      <c r="A61964"/>
      <c r="B61964"/>
      <c r="C61964"/>
      <c r="M61964"/>
    </row>
    <row r="61965" spans="1:13" ht="12.75" customHeight="1" x14ac:dyDescent="0.25">
      <c r="A61965"/>
      <c r="B61965"/>
      <c r="C61965"/>
      <c r="M61965"/>
    </row>
    <row r="61966" spans="1:13" ht="12.75" customHeight="1" x14ac:dyDescent="0.25">
      <c r="A61966"/>
      <c r="B61966"/>
      <c r="C61966"/>
      <c r="M61966"/>
    </row>
    <row r="61967" spans="1:13" ht="12.75" customHeight="1" x14ac:dyDescent="0.25">
      <c r="A61967"/>
      <c r="B61967"/>
      <c r="C61967"/>
      <c r="M61967"/>
    </row>
    <row r="61968" spans="1:13" ht="12.75" customHeight="1" x14ac:dyDescent="0.25">
      <c r="A61968"/>
      <c r="B61968"/>
      <c r="C61968"/>
      <c r="M61968"/>
    </row>
    <row r="61969" spans="1:13" ht="12.75" customHeight="1" x14ac:dyDescent="0.25">
      <c r="A61969"/>
      <c r="B61969"/>
      <c r="C61969"/>
      <c r="M61969"/>
    </row>
    <row r="61970" spans="1:13" ht="12.75" customHeight="1" x14ac:dyDescent="0.25">
      <c r="A61970"/>
      <c r="B61970"/>
      <c r="C61970"/>
      <c r="M61970"/>
    </row>
    <row r="61971" spans="1:13" ht="12.75" customHeight="1" x14ac:dyDescent="0.25">
      <c r="A61971"/>
      <c r="B61971"/>
      <c r="C61971"/>
      <c r="M61971"/>
    </row>
    <row r="61972" spans="1:13" ht="12.75" customHeight="1" x14ac:dyDescent="0.25">
      <c r="A61972"/>
      <c r="B61972"/>
      <c r="C61972"/>
      <c r="M61972"/>
    </row>
    <row r="61973" spans="1:13" ht="12.75" customHeight="1" x14ac:dyDescent="0.25">
      <c r="A61973"/>
      <c r="B61973"/>
      <c r="C61973"/>
      <c r="M61973"/>
    </row>
    <row r="61974" spans="1:13" ht="12.75" customHeight="1" x14ac:dyDescent="0.25">
      <c r="A61974"/>
      <c r="B61974"/>
      <c r="C61974"/>
      <c r="M61974"/>
    </row>
    <row r="61975" spans="1:13" ht="12.75" customHeight="1" x14ac:dyDescent="0.25">
      <c r="A61975"/>
      <c r="B61975"/>
      <c r="C61975"/>
      <c r="M61975"/>
    </row>
    <row r="61979" spans="1:13" ht="12.75" customHeight="1" x14ac:dyDescent="0.25">
      <c r="A61979"/>
      <c r="B61979"/>
      <c r="C61979"/>
      <c r="M61979"/>
    </row>
    <row r="61980" spans="1:13" ht="12.75" customHeight="1" x14ac:dyDescent="0.25">
      <c r="A61980"/>
      <c r="B61980"/>
      <c r="C61980"/>
      <c r="M61980"/>
    </row>
    <row r="61981" spans="1:13" ht="12.75" customHeight="1" x14ac:dyDescent="0.25">
      <c r="A61981"/>
      <c r="B61981"/>
      <c r="C61981"/>
      <c r="M61981"/>
    </row>
    <row r="61982" spans="1:13" ht="12.75" customHeight="1" x14ac:dyDescent="0.25">
      <c r="A61982"/>
      <c r="B61982"/>
      <c r="C61982"/>
      <c r="M61982"/>
    </row>
    <row r="61983" spans="1:13" ht="12.75" customHeight="1" x14ac:dyDescent="0.25">
      <c r="A61983"/>
      <c r="B61983"/>
      <c r="C61983"/>
      <c r="M61983"/>
    </row>
    <row r="61984" spans="1:13" ht="12.75" customHeight="1" x14ac:dyDescent="0.25">
      <c r="A61984"/>
      <c r="B61984"/>
      <c r="C61984"/>
      <c r="M61984"/>
    </row>
    <row r="61985" spans="1:13" ht="12.75" customHeight="1" x14ac:dyDescent="0.25">
      <c r="A61985"/>
      <c r="B61985"/>
      <c r="C61985"/>
      <c r="M61985"/>
    </row>
    <row r="61986" spans="1:13" ht="12.75" customHeight="1" x14ac:dyDescent="0.25">
      <c r="A61986"/>
      <c r="B61986"/>
      <c r="C61986"/>
      <c r="M61986"/>
    </row>
    <row r="61987" spans="1:13" ht="12.75" customHeight="1" x14ac:dyDescent="0.25">
      <c r="A61987"/>
      <c r="B61987"/>
      <c r="C61987"/>
      <c r="M61987"/>
    </row>
    <row r="61988" spans="1:13" ht="12.75" customHeight="1" x14ac:dyDescent="0.25">
      <c r="A61988"/>
      <c r="B61988"/>
      <c r="C61988"/>
      <c r="M61988"/>
    </row>
    <row r="61989" spans="1:13" ht="12.75" customHeight="1" x14ac:dyDescent="0.25">
      <c r="A61989"/>
      <c r="B61989"/>
      <c r="C61989"/>
      <c r="M61989"/>
    </row>
    <row r="61990" spans="1:13" ht="12.75" customHeight="1" x14ac:dyDescent="0.25">
      <c r="A61990"/>
      <c r="B61990"/>
      <c r="C61990"/>
      <c r="M61990"/>
    </row>
    <row r="61991" spans="1:13" ht="12.75" customHeight="1" x14ac:dyDescent="0.25">
      <c r="A61991"/>
      <c r="B61991"/>
      <c r="C61991"/>
      <c r="M61991"/>
    </row>
    <row r="61995" spans="1:13" ht="12.75" customHeight="1" x14ac:dyDescent="0.25">
      <c r="A61995"/>
      <c r="B61995"/>
      <c r="C61995"/>
      <c r="M61995"/>
    </row>
    <row r="61996" spans="1:13" ht="12.75" customHeight="1" x14ac:dyDescent="0.25">
      <c r="A61996"/>
      <c r="B61996"/>
      <c r="C61996"/>
      <c r="M61996"/>
    </row>
    <row r="61997" spans="1:13" ht="12.75" customHeight="1" x14ac:dyDescent="0.25">
      <c r="A61997"/>
      <c r="B61997"/>
      <c r="C61997"/>
      <c r="M61997"/>
    </row>
    <row r="61998" spans="1:13" ht="12.75" customHeight="1" x14ac:dyDescent="0.25">
      <c r="A61998"/>
      <c r="B61998"/>
      <c r="C61998"/>
      <c r="M61998"/>
    </row>
    <row r="61999" spans="1:13" ht="12.75" customHeight="1" x14ac:dyDescent="0.25">
      <c r="A61999"/>
      <c r="B61999"/>
      <c r="C61999"/>
      <c r="M61999"/>
    </row>
    <row r="62000" spans="1:13" ht="12.75" customHeight="1" x14ac:dyDescent="0.25">
      <c r="A62000"/>
      <c r="B62000"/>
      <c r="C62000"/>
      <c r="M62000"/>
    </row>
    <row r="62001" spans="1:13" ht="12.75" customHeight="1" x14ac:dyDescent="0.25">
      <c r="A62001"/>
      <c r="B62001"/>
      <c r="C62001"/>
      <c r="M62001"/>
    </row>
    <row r="62002" spans="1:13" ht="12.75" customHeight="1" x14ac:dyDescent="0.25">
      <c r="A62002"/>
      <c r="B62002"/>
      <c r="C62002"/>
      <c r="M62002"/>
    </row>
    <row r="62003" spans="1:13" ht="12.75" customHeight="1" x14ac:dyDescent="0.25">
      <c r="A62003"/>
      <c r="B62003"/>
      <c r="C62003"/>
      <c r="M62003"/>
    </row>
    <row r="62004" spans="1:13" ht="12.75" customHeight="1" x14ac:dyDescent="0.25">
      <c r="A62004"/>
      <c r="B62004"/>
      <c r="C62004"/>
      <c r="M62004"/>
    </row>
    <row r="62005" spans="1:13" ht="12.75" customHeight="1" x14ac:dyDescent="0.25">
      <c r="A62005"/>
      <c r="B62005"/>
      <c r="C62005"/>
      <c r="M62005"/>
    </row>
    <row r="62006" spans="1:13" ht="12.75" customHeight="1" x14ac:dyDescent="0.25">
      <c r="A62006"/>
      <c r="B62006"/>
      <c r="C62006"/>
      <c r="M62006"/>
    </row>
    <row r="62007" spans="1:13" ht="12.75" customHeight="1" x14ac:dyDescent="0.25">
      <c r="A62007"/>
      <c r="B62007"/>
      <c r="C62007"/>
      <c r="M62007"/>
    </row>
    <row r="62011" spans="1:13" ht="12.75" customHeight="1" x14ac:dyDescent="0.25">
      <c r="A62011"/>
      <c r="B62011"/>
      <c r="C62011"/>
      <c r="M62011"/>
    </row>
    <row r="62012" spans="1:13" ht="12.75" customHeight="1" x14ac:dyDescent="0.25">
      <c r="A62012"/>
      <c r="B62012"/>
      <c r="C62012"/>
      <c r="M62012"/>
    </row>
    <row r="62013" spans="1:13" ht="12.75" customHeight="1" x14ac:dyDescent="0.25">
      <c r="A62013"/>
      <c r="B62013"/>
      <c r="C62013"/>
      <c r="M62013"/>
    </row>
    <row r="62014" spans="1:13" ht="12.75" customHeight="1" x14ac:dyDescent="0.25">
      <c r="A62014"/>
      <c r="B62014"/>
      <c r="C62014"/>
      <c r="M62014"/>
    </row>
    <row r="62015" spans="1:13" ht="12.75" customHeight="1" x14ac:dyDescent="0.25">
      <c r="A62015"/>
      <c r="B62015"/>
      <c r="C62015"/>
      <c r="M62015"/>
    </row>
    <row r="62016" spans="1:13" ht="12.75" customHeight="1" x14ac:dyDescent="0.25">
      <c r="A62016"/>
      <c r="B62016"/>
      <c r="C62016"/>
      <c r="M62016"/>
    </row>
    <row r="62017" spans="1:13" ht="12.75" customHeight="1" x14ac:dyDescent="0.25">
      <c r="A62017"/>
      <c r="B62017"/>
      <c r="C62017"/>
      <c r="M62017"/>
    </row>
    <row r="62018" spans="1:13" ht="12.75" customHeight="1" x14ac:dyDescent="0.25">
      <c r="A62018"/>
      <c r="B62018"/>
      <c r="C62018"/>
      <c r="M62018"/>
    </row>
    <row r="62019" spans="1:13" ht="12.75" customHeight="1" x14ac:dyDescent="0.25">
      <c r="A62019"/>
      <c r="B62019"/>
      <c r="C62019"/>
      <c r="M62019"/>
    </row>
    <row r="62020" spans="1:13" ht="12.75" customHeight="1" x14ac:dyDescent="0.25">
      <c r="A62020"/>
      <c r="B62020"/>
      <c r="C62020"/>
      <c r="M62020"/>
    </row>
    <row r="62021" spans="1:13" ht="12.75" customHeight="1" x14ac:dyDescent="0.25">
      <c r="A62021"/>
      <c r="B62021"/>
      <c r="C62021"/>
      <c r="M62021"/>
    </row>
    <row r="62022" spans="1:13" ht="12.75" customHeight="1" x14ac:dyDescent="0.25">
      <c r="A62022"/>
      <c r="B62022"/>
      <c r="C62022"/>
      <c r="M62022"/>
    </row>
    <row r="62023" spans="1:13" ht="12.75" customHeight="1" x14ac:dyDescent="0.25">
      <c r="A62023"/>
      <c r="B62023"/>
      <c r="C62023"/>
      <c r="M62023"/>
    </row>
    <row r="62027" spans="1:13" ht="12.75" customHeight="1" x14ac:dyDescent="0.25">
      <c r="A62027"/>
      <c r="B62027"/>
      <c r="C62027"/>
      <c r="M62027"/>
    </row>
    <row r="62028" spans="1:13" ht="12.75" customHeight="1" x14ac:dyDescent="0.25">
      <c r="A62028"/>
      <c r="B62028"/>
      <c r="C62028"/>
      <c r="M62028"/>
    </row>
    <row r="62029" spans="1:13" ht="12.75" customHeight="1" x14ac:dyDescent="0.25">
      <c r="A62029"/>
      <c r="B62029"/>
      <c r="C62029"/>
      <c r="M62029"/>
    </row>
    <row r="62030" spans="1:13" ht="12.75" customHeight="1" x14ac:dyDescent="0.25">
      <c r="A62030"/>
      <c r="B62030"/>
      <c r="C62030"/>
      <c r="M62030"/>
    </row>
    <row r="62031" spans="1:13" ht="12.75" customHeight="1" x14ac:dyDescent="0.25">
      <c r="A62031"/>
      <c r="B62031"/>
      <c r="C62031"/>
      <c r="M62031"/>
    </row>
    <row r="62032" spans="1:13" ht="12.75" customHeight="1" x14ac:dyDescent="0.25">
      <c r="A62032"/>
      <c r="B62032"/>
      <c r="C62032"/>
      <c r="M62032"/>
    </row>
    <row r="62033" spans="1:13" ht="12.75" customHeight="1" x14ac:dyDescent="0.25">
      <c r="A62033"/>
      <c r="B62033"/>
      <c r="C62033"/>
      <c r="M62033"/>
    </row>
    <row r="62034" spans="1:13" ht="12.75" customHeight="1" x14ac:dyDescent="0.25">
      <c r="A62034"/>
      <c r="B62034"/>
      <c r="C62034"/>
      <c r="M62034"/>
    </row>
    <row r="62035" spans="1:13" ht="12.75" customHeight="1" x14ac:dyDescent="0.25">
      <c r="A62035"/>
      <c r="B62035"/>
      <c r="C62035"/>
      <c r="M62035"/>
    </row>
    <row r="62036" spans="1:13" ht="12.75" customHeight="1" x14ac:dyDescent="0.25">
      <c r="A62036"/>
      <c r="B62036"/>
      <c r="C62036"/>
      <c r="M62036"/>
    </row>
    <row r="62037" spans="1:13" ht="12.75" customHeight="1" x14ac:dyDescent="0.25">
      <c r="A62037"/>
      <c r="B62037"/>
      <c r="C62037"/>
      <c r="M62037"/>
    </row>
    <row r="62038" spans="1:13" ht="12.75" customHeight="1" x14ac:dyDescent="0.25">
      <c r="A62038"/>
      <c r="B62038"/>
      <c r="C62038"/>
      <c r="M62038"/>
    </row>
    <row r="62039" spans="1:13" ht="12.75" customHeight="1" x14ac:dyDescent="0.25">
      <c r="A62039"/>
      <c r="B62039"/>
      <c r="C62039"/>
      <c r="M62039"/>
    </row>
    <row r="62043" spans="1:13" ht="12.75" customHeight="1" x14ac:dyDescent="0.25">
      <c r="A62043"/>
      <c r="B62043"/>
      <c r="C62043"/>
      <c r="M62043"/>
    </row>
    <row r="62044" spans="1:13" ht="12.75" customHeight="1" x14ac:dyDescent="0.25">
      <c r="A62044"/>
      <c r="B62044"/>
      <c r="C62044"/>
      <c r="M62044"/>
    </row>
    <row r="62045" spans="1:13" ht="12.75" customHeight="1" x14ac:dyDescent="0.25">
      <c r="A62045"/>
      <c r="B62045"/>
      <c r="C62045"/>
      <c r="M62045"/>
    </row>
    <row r="62046" spans="1:13" ht="12.75" customHeight="1" x14ac:dyDescent="0.25">
      <c r="A62046"/>
      <c r="B62046"/>
      <c r="C62046"/>
      <c r="M62046"/>
    </row>
    <row r="62047" spans="1:13" ht="12.75" customHeight="1" x14ac:dyDescent="0.25">
      <c r="A62047"/>
      <c r="B62047"/>
      <c r="C62047"/>
      <c r="M62047"/>
    </row>
    <row r="62048" spans="1:13" ht="12.75" customHeight="1" x14ac:dyDescent="0.25">
      <c r="A62048"/>
      <c r="B62048"/>
      <c r="C62048"/>
      <c r="M62048"/>
    </row>
    <row r="62049" spans="1:13" ht="12.75" customHeight="1" x14ac:dyDescent="0.25">
      <c r="A62049"/>
      <c r="B62049"/>
      <c r="C62049"/>
      <c r="M62049"/>
    </row>
    <row r="62050" spans="1:13" ht="12.75" customHeight="1" x14ac:dyDescent="0.25">
      <c r="A62050"/>
      <c r="B62050"/>
      <c r="C62050"/>
      <c r="M62050"/>
    </row>
    <row r="62051" spans="1:13" ht="12.75" customHeight="1" x14ac:dyDescent="0.25">
      <c r="A62051"/>
      <c r="B62051"/>
      <c r="C62051"/>
      <c r="M62051"/>
    </row>
    <row r="62052" spans="1:13" ht="12.75" customHeight="1" x14ac:dyDescent="0.25">
      <c r="A62052"/>
      <c r="B62052"/>
      <c r="C62052"/>
      <c r="M62052"/>
    </row>
    <row r="62053" spans="1:13" ht="12.75" customHeight="1" x14ac:dyDescent="0.25">
      <c r="A62053"/>
      <c r="B62053"/>
      <c r="C62053"/>
      <c r="M62053"/>
    </row>
    <row r="62054" spans="1:13" ht="12.75" customHeight="1" x14ac:dyDescent="0.25">
      <c r="A62054"/>
      <c r="B62054"/>
      <c r="C62054"/>
      <c r="M62054"/>
    </row>
    <row r="62055" spans="1:13" ht="12.75" customHeight="1" x14ac:dyDescent="0.25">
      <c r="A62055"/>
      <c r="B62055"/>
      <c r="C62055"/>
      <c r="M62055"/>
    </row>
    <row r="62059" spans="1:13" ht="12.75" customHeight="1" x14ac:dyDescent="0.25">
      <c r="A62059"/>
      <c r="B62059"/>
      <c r="C62059"/>
      <c r="M62059"/>
    </row>
    <row r="62060" spans="1:13" ht="12.75" customHeight="1" x14ac:dyDescent="0.25">
      <c r="A62060"/>
      <c r="B62060"/>
      <c r="C62060"/>
      <c r="M62060"/>
    </row>
    <row r="62061" spans="1:13" ht="12.75" customHeight="1" x14ac:dyDescent="0.25">
      <c r="A62061"/>
      <c r="B62061"/>
      <c r="C62061"/>
      <c r="M62061"/>
    </row>
    <row r="62062" spans="1:13" ht="12.75" customHeight="1" x14ac:dyDescent="0.25">
      <c r="A62062"/>
      <c r="B62062"/>
      <c r="C62062"/>
      <c r="M62062"/>
    </row>
    <row r="62063" spans="1:13" ht="12.75" customHeight="1" x14ac:dyDescent="0.25">
      <c r="A62063"/>
      <c r="B62063"/>
      <c r="C62063"/>
      <c r="M62063"/>
    </row>
    <row r="62064" spans="1:13" ht="12.75" customHeight="1" x14ac:dyDescent="0.25">
      <c r="A62064"/>
      <c r="B62064"/>
      <c r="C62064"/>
      <c r="M62064"/>
    </row>
    <row r="62065" spans="1:13" ht="12.75" customHeight="1" x14ac:dyDescent="0.25">
      <c r="A62065"/>
      <c r="B62065"/>
      <c r="C62065"/>
      <c r="M62065"/>
    </row>
    <row r="62066" spans="1:13" ht="12.75" customHeight="1" x14ac:dyDescent="0.25">
      <c r="A62066"/>
      <c r="B62066"/>
      <c r="C62066"/>
      <c r="M62066"/>
    </row>
    <row r="62067" spans="1:13" ht="12.75" customHeight="1" x14ac:dyDescent="0.25">
      <c r="A62067"/>
      <c r="B62067"/>
      <c r="C62067"/>
      <c r="M62067"/>
    </row>
    <row r="62068" spans="1:13" ht="12.75" customHeight="1" x14ac:dyDescent="0.25">
      <c r="A62068"/>
      <c r="B62068"/>
      <c r="C62068"/>
      <c r="M62068"/>
    </row>
    <row r="62069" spans="1:13" ht="12.75" customHeight="1" x14ac:dyDescent="0.25">
      <c r="A62069"/>
      <c r="B62069"/>
      <c r="C62069"/>
      <c r="M62069"/>
    </row>
    <row r="62070" spans="1:13" ht="12.75" customHeight="1" x14ac:dyDescent="0.25">
      <c r="A62070"/>
      <c r="B62070"/>
      <c r="C62070"/>
      <c r="M62070"/>
    </row>
    <row r="62071" spans="1:13" ht="12.75" customHeight="1" x14ac:dyDescent="0.25">
      <c r="A62071"/>
      <c r="B62071"/>
      <c r="C62071"/>
      <c r="M62071"/>
    </row>
    <row r="62072" spans="1:13" ht="0" hidden="1" customHeight="1" x14ac:dyDescent="0.25">
      <c r="A62072"/>
      <c r="B62072"/>
    </row>
    <row r="62075" spans="1:13" ht="12.75" customHeight="1" x14ac:dyDescent="0.25">
      <c r="A62075"/>
      <c r="B62075"/>
      <c r="C62075"/>
      <c r="M62075"/>
    </row>
    <row r="62076" spans="1:13" ht="12.75" customHeight="1" x14ac:dyDescent="0.25">
      <c r="A62076"/>
      <c r="B62076"/>
      <c r="C62076"/>
      <c r="M62076"/>
    </row>
    <row r="62077" spans="1:13" ht="12.75" customHeight="1" x14ac:dyDescent="0.25">
      <c r="A62077"/>
      <c r="B62077"/>
      <c r="C62077"/>
      <c r="M62077"/>
    </row>
    <row r="62078" spans="1:13" ht="12.75" customHeight="1" x14ac:dyDescent="0.25">
      <c r="A62078"/>
      <c r="B62078"/>
      <c r="C62078"/>
      <c r="M62078"/>
    </row>
    <row r="62079" spans="1:13" ht="12.75" customHeight="1" x14ac:dyDescent="0.25">
      <c r="A62079"/>
      <c r="B62079"/>
      <c r="C62079"/>
      <c r="M62079"/>
    </row>
    <row r="62080" spans="1:13" ht="12.75" customHeight="1" x14ac:dyDescent="0.25">
      <c r="A62080"/>
      <c r="B62080"/>
      <c r="C62080"/>
      <c r="M62080"/>
    </row>
    <row r="62081" spans="1:13" ht="12.75" customHeight="1" x14ac:dyDescent="0.25">
      <c r="A62081"/>
      <c r="B62081"/>
      <c r="C62081"/>
      <c r="M62081"/>
    </row>
    <row r="62082" spans="1:13" ht="12.75" customHeight="1" x14ac:dyDescent="0.25">
      <c r="A62082"/>
      <c r="B62082"/>
      <c r="C62082"/>
      <c r="M62082"/>
    </row>
    <row r="62083" spans="1:13" ht="12.75" customHeight="1" x14ac:dyDescent="0.25">
      <c r="A62083"/>
      <c r="B62083"/>
      <c r="C62083"/>
      <c r="M62083"/>
    </row>
    <row r="62084" spans="1:13" ht="12.75" customHeight="1" x14ac:dyDescent="0.25">
      <c r="A62084"/>
      <c r="B62084"/>
      <c r="C62084"/>
      <c r="M62084"/>
    </row>
    <row r="62085" spans="1:13" ht="12.75" customHeight="1" x14ac:dyDescent="0.25">
      <c r="A62085"/>
      <c r="B62085"/>
      <c r="C62085"/>
      <c r="M62085"/>
    </row>
    <row r="62086" spans="1:13" ht="12.75" customHeight="1" x14ac:dyDescent="0.25">
      <c r="A62086"/>
      <c r="B62086"/>
      <c r="C62086"/>
      <c r="M62086"/>
    </row>
    <row r="62087" spans="1:13" ht="12.75" customHeight="1" x14ac:dyDescent="0.25">
      <c r="A62087"/>
      <c r="B62087"/>
      <c r="C62087"/>
      <c r="M62087"/>
    </row>
    <row r="62088" spans="1:13" ht="12.75" customHeight="1" x14ac:dyDescent="0.25">
      <c r="A62088"/>
      <c r="B62088"/>
      <c r="C62088"/>
      <c r="M62088"/>
    </row>
    <row r="62089" spans="1:13" ht="0" hidden="1" customHeight="1" x14ac:dyDescent="0.25">
      <c r="A62089"/>
      <c r="B62089"/>
    </row>
    <row r="62091" spans="1:13" ht="12.75" customHeight="1" x14ac:dyDescent="0.25">
      <c r="A62091"/>
      <c r="B62091"/>
      <c r="C62091"/>
      <c r="M62091"/>
    </row>
    <row r="62092" spans="1:13" ht="12.75" customHeight="1" x14ac:dyDescent="0.25">
      <c r="A62092"/>
      <c r="B62092"/>
      <c r="C62092"/>
      <c r="M62092"/>
    </row>
    <row r="62093" spans="1:13" ht="12.75" customHeight="1" x14ac:dyDescent="0.25">
      <c r="A62093"/>
      <c r="B62093"/>
      <c r="C62093"/>
      <c r="M62093"/>
    </row>
    <row r="62094" spans="1:13" ht="12.75" customHeight="1" x14ac:dyDescent="0.25">
      <c r="A62094"/>
      <c r="B62094"/>
      <c r="C62094"/>
      <c r="M62094"/>
    </row>
    <row r="62095" spans="1:13" ht="12.75" customHeight="1" x14ac:dyDescent="0.25">
      <c r="A62095"/>
      <c r="B62095"/>
      <c r="C62095"/>
      <c r="M62095"/>
    </row>
    <row r="62096" spans="1:13" ht="12.75" customHeight="1" x14ac:dyDescent="0.25">
      <c r="A62096"/>
      <c r="B62096"/>
      <c r="C62096"/>
      <c r="M62096"/>
    </row>
    <row r="62097" spans="1:13" ht="12.75" customHeight="1" x14ac:dyDescent="0.25">
      <c r="A62097"/>
      <c r="B62097"/>
      <c r="C62097"/>
      <c r="M62097"/>
    </row>
    <row r="62098" spans="1:13" ht="12.75" customHeight="1" x14ac:dyDescent="0.25">
      <c r="A62098"/>
      <c r="B62098"/>
      <c r="C62098"/>
      <c r="M62098"/>
    </row>
    <row r="62099" spans="1:13" ht="12.75" customHeight="1" x14ac:dyDescent="0.25">
      <c r="A62099"/>
      <c r="B62099"/>
      <c r="C62099"/>
      <c r="M62099"/>
    </row>
    <row r="62100" spans="1:13" ht="12.75" customHeight="1" x14ac:dyDescent="0.25">
      <c r="A62100"/>
      <c r="B62100"/>
      <c r="C62100"/>
      <c r="M62100"/>
    </row>
    <row r="62101" spans="1:13" ht="12.75" customHeight="1" x14ac:dyDescent="0.25">
      <c r="A62101"/>
      <c r="B62101"/>
      <c r="C62101"/>
      <c r="M62101"/>
    </row>
    <row r="62102" spans="1:13" ht="12.75" customHeight="1" x14ac:dyDescent="0.25">
      <c r="A62102"/>
      <c r="B62102"/>
      <c r="C62102"/>
      <c r="M62102"/>
    </row>
    <row r="62103" spans="1:13" ht="12.75" customHeight="1" x14ac:dyDescent="0.25">
      <c r="A62103"/>
      <c r="B62103"/>
      <c r="C62103"/>
      <c r="M62103"/>
    </row>
    <row r="62104" spans="1:13" ht="12.75" customHeight="1" x14ac:dyDescent="0.25">
      <c r="A62104"/>
      <c r="B62104"/>
      <c r="C62104"/>
      <c r="M62104"/>
    </row>
    <row r="62105" spans="1:13" ht="0" hidden="1" customHeight="1" x14ac:dyDescent="0.25">
      <c r="A62105"/>
      <c r="B62105"/>
    </row>
    <row r="62106" spans="1:13" ht="0" hidden="1" customHeight="1" x14ac:dyDescent="0.25">
      <c r="A62106"/>
      <c r="B62106"/>
    </row>
    <row r="62107" spans="1:13" ht="12.75" customHeight="1" x14ac:dyDescent="0.25">
      <c r="A62107"/>
      <c r="B62107"/>
      <c r="C62107"/>
      <c r="M62107"/>
    </row>
    <row r="62108" spans="1:13" ht="12.75" customHeight="1" x14ac:dyDescent="0.25">
      <c r="A62108"/>
      <c r="B62108"/>
      <c r="C62108"/>
      <c r="M62108"/>
    </row>
    <row r="62109" spans="1:13" ht="12.75" customHeight="1" x14ac:dyDescent="0.25">
      <c r="A62109"/>
      <c r="B62109"/>
      <c r="C62109"/>
      <c r="M62109"/>
    </row>
    <row r="62110" spans="1:13" ht="12.75" customHeight="1" x14ac:dyDescent="0.25">
      <c r="A62110"/>
      <c r="B62110"/>
      <c r="C62110"/>
      <c r="M62110"/>
    </row>
    <row r="62111" spans="1:13" ht="12.75" customHeight="1" x14ac:dyDescent="0.25">
      <c r="A62111"/>
      <c r="B62111"/>
      <c r="C62111"/>
      <c r="M62111"/>
    </row>
    <row r="62112" spans="1:13" ht="12.75" customHeight="1" x14ac:dyDescent="0.25">
      <c r="A62112"/>
      <c r="B62112"/>
      <c r="C62112"/>
      <c r="M62112"/>
    </row>
    <row r="62113" spans="1:13" ht="12.75" customHeight="1" x14ac:dyDescent="0.25">
      <c r="A62113"/>
      <c r="B62113"/>
      <c r="C62113"/>
      <c r="M62113"/>
    </row>
    <row r="62114" spans="1:13" ht="12.75" customHeight="1" x14ac:dyDescent="0.25">
      <c r="A62114"/>
      <c r="B62114"/>
      <c r="C62114"/>
      <c r="M62114"/>
    </row>
    <row r="62115" spans="1:13" ht="12.75" customHeight="1" x14ac:dyDescent="0.25">
      <c r="A62115"/>
      <c r="B62115"/>
      <c r="C62115"/>
      <c r="M62115"/>
    </row>
    <row r="62116" spans="1:13" ht="12.75" customHeight="1" x14ac:dyDescent="0.25">
      <c r="A62116"/>
      <c r="B62116"/>
      <c r="C62116"/>
      <c r="M62116"/>
    </row>
    <row r="62117" spans="1:13" ht="12.75" customHeight="1" x14ac:dyDescent="0.25">
      <c r="A62117"/>
      <c r="B62117"/>
      <c r="C62117"/>
      <c r="M62117"/>
    </row>
    <row r="62118" spans="1:13" ht="12.75" customHeight="1" x14ac:dyDescent="0.25">
      <c r="A62118"/>
      <c r="B62118"/>
      <c r="C62118"/>
      <c r="M62118"/>
    </row>
    <row r="62119" spans="1:13" ht="12.75" customHeight="1" x14ac:dyDescent="0.25">
      <c r="A62119"/>
      <c r="B62119"/>
      <c r="C62119"/>
      <c r="M62119"/>
    </row>
    <row r="62120" spans="1:13" ht="12.75" customHeight="1" x14ac:dyDescent="0.25">
      <c r="A62120"/>
      <c r="B62120"/>
      <c r="C62120"/>
      <c r="M62120"/>
    </row>
    <row r="62121" spans="1:13" ht="12.75" customHeight="1" x14ac:dyDescent="0.25">
      <c r="A62121"/>
      <c r="B62121"/>
      <c r="C62121"/>
      <c r="M62121"/>
    </row>
    <row r="62122" spans="1:13" ht="0" hidden="1" customHeight="1" x14ac:dyDescent="0.25">
      <c r="A62122"/>
      <c r="B62122"/>
    </row>
    <row r="62123" spans="1:13" ht="12.75" customHeight="1" x14ac:dyDescent="0.25">
      <c r="A62123"/>
      <c r="B62123"/>
      <c r="C62123"/>
      <c r="M62123"/>
    </row>
    <row r="62124" spans="1:13" ht="12.75" customHeight="1" x14ac:dyDescent="0.25">
      <c r="A62124"/>
      <c r="B62124"/>
      <c r="C62124"/>
      <c r="M62124"/>
    </row>
    <row r="62125" spans="1:13" ht="12.75" customHeight="1" x14ac:dyDescent="0.25">
      <c r="A62125"/>
      <c r="B62125"/>
      <c r="C62125"/>
      <c r="M62125"/>
    </row>
    <row r="62126" spans="1:13" ht="12.75" customHeight="1" x14ac:dyDescent="0.25">
      <c r="A62126"/>
      <c r="B62126"/>
      <c r="C62126"/>
      <c r="M62126"/>
    </row>
    <row r="62127" spans="1:13" ht="12.75" customHeight="1" x14ac:dyDescent="0.25">
      <c r="A62127"/>
      <c r="B62127"/>
      <c r="C62127"/>
      <c r="M62127"/>
    </row>
    <row r="62128" spans="1:13" ht="12.75" customHeight="1" x14ac:dyDescent="0.25">
      <c r="A62128"/>
      <c r="B62128"/>
      <c r="C62128"/>
      <c r="M62128"/>
    </row>
    <row r="62129" spans="1:13" ht="12.75" customHeight="1" x14ac:dyDescent="0.25">
      <c r="A62129"/>
      <c r="B62129"/>
      <c r="C62129"/>
      <c r="M62129"/>
    </row>
    <row r="62130" spans="1:13" ht="12.75" customHeight="1" x14ac:dyDescent="0.25">
      <c r="A62130"/>
      <c r="B62130"/>
      <c r="C62130"/>
      <c r="M62130"/>
    </row>
    <row r="62131" spans="1:13" ht="12.75" customHeight="1" x14ac:dyDescent="0.25">
      <c r="A62131"/>
      <c r="B62131"/>
      <c r="C62131"/>
      <c r="M62131"/>
    </row>
    <row r="62132" spans="1:13" ht="12.75" customHeight="1" x14ac:dyDescent="0.25">
      <c r="A62132"/>
      <c r="B62132"/>
      <c r="C62132"/>
      <c r="M62132"/>
    </row>
    <row r="62133" spans="1:13" ht="12.75" customHeight="1" x14ac:dyDescent="0.25">
      <c r="A62133"/>
      <c r="B62133"/>
      <c r="C62133"/>
      <c r="M62133"/>
    </row>
    <row r="62134" spans="1:13" ht="12.75" customHeight="1" x14ac:dyDescent="0.25">
      <c r="A62134"/>
      <c r="B62134"/>
      <c r="C62134"/>
      <c r="M62134"/>
    </row>
    <row r="62135" spans="1:13" ht="12.75" customHeight="1" x14ac:dyDescent="0.25">
      <c r="A62135"/>
      <c r="B62135"/>
      <c r="C62135"/>
      <c r="M62135"/>
    </row>
    <row r="62136" spans="1:13" ht="12.75" customHeight="1" x14ac:dyDescent="0.25">
      <c r="A62136"/>
      <c r="B62136"/>
      <c r="C62136"/>
      <c r="M62136"/>
    </row>
    <row r="62137" spans="1:13" ht="12.75" customHeight="1" x14ac:dyDescent="0.25">
      <c r="A62137"/>
      <c r="B62137"/>
      <c r="C62137"/>
      <c r="M62137"/>
    </row>
    <row r="62138" spans="1:13" ht="12.75" customHeight="1" x14ac:dyDescent="0.25">
      <c r="A62138"/>
      <c r="B62138"/>
      <c r="C62138"/>
      <c r="M62138"/>
    </row>
    <row r="62139" spans="1:13" ht="12.75" customHeight="1" x14ac:dyDescent="0.25">
      <c r="A62139"/>
      <c r="B62139"/>
      <c r="C62139"/>
      <c r="M62139"/>
    </row>
    <row r="62140" spans="1:13" ht="12.75" customHeight="1" x14ac:dyDescent="0.25">
      <c r="A62140"/>
      <c r="B62140"/>
      <c r="C62140"/>
      <c r="M62140"/>
    </row>
    <row r="62141" spans="1:13" ht="12.75" customHeight="1" x14ac:dyDescent="0.25">
      <c r="A62141"/>
      <c r="B62141"/>
      <c r="C62141"/>
      <c r="M62141"/>
    </row>
    <row r="62142" spans="1:13" ht="12.75" customHeight="1" x14ac:dyDescent="0.25">
      <c r="A62142"/>
      <c r="B62142"/>
      <c r="C62142"/>
      <c r="M62142"/>
    </row>
    <row r="62143" spans="1:13" ht="12.75" customHeight="1" x14ac:dyDescent="0.25">
      <c r="A62143"/>
      <c r="B62143"/>
      <c r="C62143"/>
      <c r="M62143"/>
    </row>
    <row r="62144" spans="1:13" ht="12.75" customHeight="1" x14ac:dyDescent="0.25">
      <c r="A62144"/>
      <c r="B62144"/>
      <c r="C62144"/>
      <c r="M62144"/>
    </row>
    <row r="62145" spans="1:13" ht="12.75" customHeight="1" x14ac:dyDescent="0.25">
      <c r="A62145"/>
      <c r="B62145"/>
      <c r="C62145"/>
      <c r="M62145"/>
    </row>
    <row r="62146" spans="1:13" ht="12.75" customHeight="1" x14ac:dyDescent="0.25">
      <c r="A62146"/>
      <c r="B62146"/>
      <c r="C62146"/>
      <c r="M62146"/>
    </row>
    <row r="62147" spans="1:13" ht="12.75" customHeight="1" x14ac:dyDescent="0.25">
      <c r="A62147"/>
      <c r="B62147"/>
      <c r="C62147"/>
      <c r="M62147"/>
    </row>
    <row r="62148" spans="1:13" ht="12.75" customHeight="1" x14ac:dyDescent="0.25">
      <c r="A62148"/>
      <c r="B62148"/>
      <c r="C62148"/>
      <c r="M62148"/>
    </row>
    <row r="62149" spans="1:13" ht="12.75" customHeight="1" x14ac:dyDescent="0.25">
      <c r="A62149"/>
      <c r="B62149"/>
      <c r="C62149"/>
      <c r="M62149"/>
    </row>
    <row r="62150" spans="1:13" ht="12.75" customHeight="1" x14ac:dyDescent="0.25">
      <c r="A62150"/>
      <c r="B62150"/>
      <c r="C62150"/>
      <c r="M62150"/>
    </row>
    <row r="62151" spans="1:13" ht="12.75" customHeight="1" x14ac:dyDescent="0.25">
      <c r="A62151"/>
      <c r="B62151"/>
      <c r="C62151"/>
      <c r="M62151"/>
    </row>
    <row r="62152" spans="1:13" ht="12.75" customHeight="1" x14ac:dyDescent="0.25">
      <c r="A62152"/>
      <c r="B62152"/>
      <c r="C62152"/>
      <c r="M62152"/>
    </row>
    <row r="62153" spans="1:13" ht="12.75" customHeight="1" x14ac:dyDescent="0.25">
      <c r="A62153"/>
      <c r="B62153"/>
      <c r="C62153"/>
      <c r="M62153"/>
    </row>
    <row r="62154" spans="1:13" ht="12.75" customHeight="1" x14ac:dyDescent="0.25">
      <c r="A62154"/>
      <c r="B62154"/>
      <c r="C62154"/>
      <c r="M62154"/>
    </row>
    <row r="62155" spans="1:13" ht="12.75" customHeight="1" x14ac:dyDescent="0.25">
      <c r="A62155"/>
      <c r="B62155"/>
      <c r="C62155"/>
      <c r="M62155"/>
    </row>
    <row r="62156" spans="1:13" ht="12.75" customHeight="1" x14ac:dyDescent="0.25">
      <c r="A62156"/>
      <c r="B62156"/>
      <c r="C62156"/>
      <c r="M62156"/>
    </row>
    <row r="62157" spans="1:13" ht="12.75" customHeight="1" x14ac:dyDescent="0.25">
      <c r="A62157"/>
      <c r="B62157"/>
      <c r="C62157"/>
      <c r="M62157"/>
    </row>
    <row r="62158" spans="1:13" ht="12.75" customHeight="1" x14ac:dyDescent="0.25">
      <c r="A62158"/>
      <c r="B62158"/>
      <c r="C62158"/>
      <c r="M62158"/>
    </row>
    <row r="62159" spans="1:13" ht="12.75" customHeight="1" x14ac:dyDescent="0.25">
      <c r="A62159"/>
      <c r="B62159"/>
      <c r="C62159"/>
      <c r="M62159"/>
    </row>
    <row r="62160" spans="1:13" ht="12.75" customHeight="1" x14ac:dyDescent="0.25">
      <c r="A62160"/>
      <c r="B62160"/>
      <c r="C62160"/>
      <c r="M62160"/>
    </row>
    <row r="62161" spans="1:13" ht="12.75" customHeight="1" x14ac:dyDescent="0.25">
      <c r="A62161"/>
      <c r="B62161"/>
      <c r="C62161"/>
      <c r="M62161"/>
    </row>
    <row r="62162" spans="1:13" ht="12.75" customHeight="1" x14ac:dyDescent="0.25">
      <c r="A62162"/>
      <c r="B62162"/>
      <c r="C62162"/>
      <c r="M62162"/>
    </row>
    <row r="62163" spans="1:13" ht="12.75" customHeight="1" x14ac:dyDescent="0.25">
      <c r="A62163"/>
      <c r="B62163"/>
      <c r="C62163"/>
      <c r="M62163"/>
    </row>
    <row r="62164" spans="1:13" ht="12.75" customHeight="1" x14ac:dyDescent="0.25">
      <c r="A62164"/>
      <c r="B62164"/>
      <c r="C62164"/>
      <c r="M62164"/>
    </row>
    <row r="62165" spans="1:13" ht="12.75" customHeight="1" x14ac:dyDescent="0.25">
      <c r="A62165"/>
      <c r="B62165"/>
      <c r="C62165"/>
      <c r="M62165"/>
    </row>
    <row r="62166" spans="1:13" ht="12.75" customHeight="1" x14ac:dyDescent="0.25">
      <c r="A62166"/>
      <c r="B62166"/>
      <c r="C62166"/>
      <c r="M62166"/>
    </row>
    <row r="62167" spans="1:13" ht="12.75" customHeight="1" x14ac:dyDescent="0.25">
      <c r="A62167"/>
      <c r="B62167"/>
      <c r="C62167"/>
      <c r="M62167"/>
    </row>
    <row r="62168" spans="1:13" ht="12.75" customHeight="1" x14ac:dyDescent="0.25">
      <c r="A62168"/>
      <c r="B62168"/>
      <c r="C62168"/>
      <c r="M62168"/>
    </row>
    <row r="62169" spans="1:13" ht="12.75" customHeight="1" x14ac:dyDescent="0.25">
      <c r="A62169"/>
      <c r="B62169"/>
      <c r="C62169"/>
      <c r="M62169"/>
    </row>
    <row r="62170" spans="1:13" ht="12.75" customHeight="1" x14ac:dyDescent="0.25">
      <c r="A62170"/>
      <c r="B62170"/>
      <c r="C62170"/>
      <c r="M62170"/>
    </row>
    <row r="62171" spans="1:13" ht="12.75" customHeight="1" x14ac:dyDescent="0.25">
      <c r="A62171"/>
      <c r="B62171"/>
      <c r="C62171"/>
      <c r="M62171"/>
    </row>
    <row r="62172" spans="1:13" ht="12.75" customHeight="1" x14ac:dyDescent="0.25">
      <c r="A62172"/>
      <c r="B62172"/>
      <c r="C62172"/>
      <c r="M62172"/>
    </row>
    <row r="62173" spans="1:13" ht="12.75" customHeight="1" x14ac:dyDescent="0.25">
      <c r="A62173"/>
      <c r="B62173"/>
      <c r="C62173"/>
      <c r="M62173"/>
    </row>
    <row r="62174" spans="1:13" ht="12.75" customHeight="1" x14ac:dyDescent="0.25">
      <c r="A62174"/>
      <c r="B62174"/>
      <c r="C62174"/>
      <c r="M62174"/>
    </row>
    <row r="62175" spans="1:13" ht="12.75" customHeight="1" x14ac:dyDescent="0.25">
      <c r="A62175"/>
      <c r="B62175"/>
      <c r="C62175"/>
      <c r="M62175"/>
    </row>
    <row r="62176" spans="1:13" ht="12.75" customHeight="1" x14ac:dyDescent="0.25">
      <c r="A62176"/>
      <c r="B62176"/>
      <c r="C62176"/>
      <c r="M62176"/>
    </row>
    <row r="62177" spans="1:13" ht="12.75" customHeight="1" x14ac:dyDescent="0.25">
      <c r="A62177"/>
      <c r="B62177"/>
      <c r="C62177"/>
      <c r="M62177"/>
    </row>
    <row r="62178" spans="1:13" ht="12.75" customHeight="1" x14ac:dyDescent="0.25">
      <c r="A62178"/>
      <c r="B62178"/>
      <c r="C62178"/>
      <c r="M62178"/>
    </row>
    <row r="62179" spans="1:13" ht="12.75" customHeight="1" x14ac:dyDescent="0.25">
      <c r="A62179"/>
      <c r="B62179"/>
      <c r="C62179"/>
      <c r="M62179"/>
    </row>
    <row r="62180" spans="1:13" ht="12.75" customHeight="1" x14ac:dyDescent="0.25">
      <c r="A62180"/>
      <c r="B62180"/>
      <c r="C62180"/>
      <c r="M62180"/>
    </row>
    <row r="62181" spans="1:13" ht="12.75" customHeight="1" x14ac:dyDescent="0.25">
      <c r="A62181"/>
      <c r="B62181"/>
      <c r="C62181"/>
      <c r="M62181"/>
    </row>
    <row r="62182" spans="1:13" ht="12.75" customHeight="1" x14ac:dyDescent="0.25">
      <c r="A62182"/>
      <c r="B62182"/>
      <c r="C62182"/>
      <c r="M62182"/>
    </row>
    <row r="62183" spans="1:13" ht="12.75" customHeight="1" x14ac:dyDescent="0.25">
      <c r="A62183"/>
      <c r="B62183"/>
      <c r="C62183"/>
      <c r="M62183"/>
    </row>
    <row r="62184" spans="1:13" ht="12.75" customHeight="1" x14ac:dyDescent="0.25">
      <c r="A62184"/>
      <c r="B62184"/>
      <c r="C62184"/>
      <c r="M62184"/>
    </row>
    <row r="62185" spans="1:13" ht="12.75" customHeight="1" x14ac:dyDescent="0.25">
      <c r="A62185"/>
      <c r="B62185"/>
      <c r="C62185"/>
      <c r="M62185"/>
    </row>
    <row r="62186" spans="1:13" ht="12.75" customHeight="1" x14ac:dyDescent="0.25">
      <c r="A62186"/>
      <c r="B62186"/>
      <c r="C62186"/>
      <c r="M62186"/>
    </row>
    <row r="62187" spans="1:13" ht="12.75" customHeight="1" x14ac:dyDescent="0.25">
      <c r="A62187"/>
      <c r="B62187"/>
      <c r="C62187"/>
      <c r="M62187"/>
    </row>
    <row r="62188" spans="1:13" ht="12.75" customHeight="1" x14ac:dyDescent="0.25">
      <c r="A62188"/>
      <c r="B62188"/>
      <c r="C62188"/>
      <c r="M62188"/>
    </row>
    <row r="62189" spans="1:13" ht="12.75" customHeight="1" x14ac:dyDescent="0.25">
      <c r="A62189"/>
      <c r="B62189"/>
      <c r="C62189"/>
      <c r="M62189"/>
    </row>
    <row r="62190" spans="1:13" ht="12.75" customHeight="1" x14ac:dyDescent="0.25">
      <c r="A62190"/>
      <c r="B62190"/>
      <c r="C62190"/>
      <c r="M62190"/>
    </row>
    <row r="62191" spans="1:13" ht="12.75" customHeight="1" x14ac:dyDescent="0.25">
      <c r="A62191"/>
      <c r="B62191"/>
      <c r="C62191"/>
      <c r="M62191"/>
    </row>
    <row r="62192" spans="1:13" ht="12.75" customHeight="1" x14ac:dyDescent="0.25">
      <c r="A62192"/>
      <c r="B62192"/>
      <c r="C62192"/>
      <c r="M62192"/>
    </row>
    <row r="62193" spans="1:13" ht="12.75" customHeight="1" x14ac:dyDescent="0.25">
      <c r="A62193"/>
      <c r="B62193"/>
      <c r="C62193"/>
      <c r="M62193"/>
    </row>
    <row r="62194" spans="1:13" ht="12.75" customHeight="1" x14ac:dyDescent="0.25">
      <c r="A62194"/>
      <c r="B62194"/>
      <c r="C62194"/>
      <c r="M62194"/>
    </row>
    <row r="62195" spans="1:13" ht="12.75" customHeight="1" x14ac:dyDescent="0.25">
      <c r="A62195"/>
      <c r="B62195"/>
      <c r="C62195"/>
      <c r="M62195"/>
    </row>
    <row r="62196" spans="1:13" ht="12.75" customHeight="1" x14ac:dyDescent="0.25">
      <c r="A62196"/>
      <c r="B62196"/>
      <c r="C62196"/>
      <c r="M62196"/>
    </row>
    <row r="62197" spans="1:13" ht="12.75" customHeight="1" x14ac:dyDescent="0.25">
      <c r="A62197"/>
      <c r="B62197"/>
      <c r="C62197"/>
      <c r="M62197"/>
    </row>
    <row r="62198" spans="1:13" ht="12.75" customHeight="1" x14ac:dyDescent="0.25">
      <c r="A62198"/>
      <c r="B62198"/>
      <c r="C62198"/>
      <c r="M62198"/>
    </row>
    <row r="62199" spans="1:13" ht="12.75" customHeight="1" x14ac:dyDescent="0.25">
      <c r="A62199"/>
      <c r="B62199"/>
      <c r="C62199"/>
      <c r="M62199"/>
    </row>
    <row r="62200" spans="1:13" ht="12.75" customHeight="1" x14ac:dyDescent="0.25">
      <c r="A62200"/>
      <c r="B62200"/>
      <c r="C62200"/>
      <c r="M62200"/>
    </row>
    <row r="62201" spans="1:13" ht="12.75" customHeight="1" x14ac:dyDescent="0.25">
      <c r="A62201"/>
      <c r="B62201"/>
      <c r="C62201"/>
      <c r="M62201"/>
    </row>
    <row r="62202" spans="1:13" ht="12.75" customHeight="1" x14ac:dyDescent="0.25">
      <c r="A62202"/>
      <c r="B62202"/>
      <c r="C62202"/>
      <c r="M62202"/>
    </row>
    <row r="62203" spans="1:13" ht="12.75" customHeight="1" x14ac:dyDescent="0.25">
      <c r="A62203"/>
      <c r="B62203"/>
      <c r="C62203"/>
      <c r="M62203"/>
    </row>
    <row r="62204" spans="1:13" ht="12.75" customHeight="1" x14ac:dyDescent="0.25">
      <c r="A62204"/>
      <c r="B62204"/>
      <c r="C62204"/>
      <c r="M62204"/>
    </row>
    <row r="62205" spans="1:13" ht="12.75" customHeight="1" x14ac:dyDescent="0.25">
      <c r="A62205"/>
      <c r="B62205"/>
      <c r="C62205"/>
      <c r="M62205"/>
    </row>
    <row r="62206" spans="1:13" ht="12.75" customHeight="1" x14ac:dyDescent="0.25">
      <c r="A62206"/>
      <c r="B62206"/>
      <c r="C62206"/>
      <c r="M62206"/>
    </row>
    <row r="62207" spans="1:13" ht="12.75" customHeight="1" x14ac:dyDescent="0.25">
      <c r="A62207"/>
      <c r="B62207"/>
      <c r="C62207"/>
      <c r="M62207"/>
    </row>
    <row r="62208" spans="1:13" ht="12.75" customHeight="1" x14ac:dyDescent="0.25">
      <c r="A62208"/>
      <c r="B62208"/>
      <c r="C62208"/>
      <c r="M62208"/>
    </row>
    <row r="62209" spans="1:13" ht="12.75" customHeight="1" x14ac:dyDescent="0.25">
      <c r="A62209"/>
      <c r="B62209"/>
      <c r="C62209"/>
      <c r="M62209"/>
    </row>
    <row r="62210" spans="1:13" ht="12.75" customHeight="1" x14ac:dyDescent="0.25">
      <c r="A62210"/>
      <c r="B62210"/>
      <c r="C62210"/>
      <c r="M62210"/>
    </row>
    <row r="62211" spans="1:13" ht="12.75" customHeight="1" x14ac:dyDescent="0.25">
      <c r="A62211"/>
      <c r="B62211"/>
      <c r="C62211"/>
      <c r="M62211"/>
    </row>
    <row r="62212" spans="1:13" ht="12.75" customHeight="1" x14ac:dyDescent="0.25">
      <c r="A62212"/>
      <c r="B62212"/>
      <c r="C62212"/>
      <c r="M62212"/>
    </row>
    <row r="62213" spans="1:13" ht="12.75" customHeight="1" x14ac:dyDescent="0.25">
      <c r="A62213"/>
      <c r="B62213"/>
      <c r="C62213"/>
      <c r="M62213"/>
    </row>
    <row r="62214" spans="1:13" ht="12.75" customHeight="1" x14ac:dyDescent="0.25">
      <c r="A62214"/>
      <c r="B62214"/>
      <c r="C62214"/>
      <c r="M62214"/>
    </row>
    <row r="62215" spans="1:13" ht="12.75" customHeight="1" x14ac:dyDescent="0.25">
      <c r="A62215"/>
      <c r="B62215"/>
      <c r="C62215"/>
      <c r="M62215"/>
    </row>
    <row r="62216" spans="1:13" ht="12.75" customHeight="1" x14ac:dyDescent="0.25">
      <c r="A62216"/>
      <c r="B62216"/>
      <c r="C62216"/>
      <c r="M62216"/>
    </row>
    <row r="62217" spans="1:13" ht="12.75" customHeight="1" x14ac:dyDescent="0.25">
      <c r="A62217"/>
      <c r="B62217"/>
      <c r="C62217"/>
      <c r="M62217"/>
    </row>
    <row r="62218" spans="1:13" ht="12.75" customHeight="1" x14ac:dyDescent="0.25">
      <c r="A62218"/>
      <c r="B62218"/>
      <c r="C62218"/>
      <c r="M62218"/>
    </row>
    <row r="62219" spans="1:13" ht="12.75" customHeight="1" x14ac:dyDescent="0.25">
      <c r="A62219"/>
      <c r="B62219"/>
      <c r="C62219"/>
      <c r="M62219"/>
    </row>
    <row r="62220" spans="1:13" ht="12.75" customHeight="1" x14ac:dyDescent="0.25">
      <c r="A62220"/>
      <c r="B62220"/>
      <c r="C62220"/>
      <c r="M62220"/>
    </row>
    <row r="62221" spans="1:13" ht="12.75" customHeight="1" x14ac:dyDescent="0.25">
      <c r="A62221"/>
      <c r="B62221"/>
      <c r="C62221"/>
      <c r="M62221"/>
    </row>
    <row r="62222" spans="1:13" ht="12.75" customHeight="1" x14ac:dyDescent="0.25">
      <c r="A62222"/>
      <c r="B62222"/>
      <c r="C62222"/>
      <c r="M62222"/>
    </row>
    <row r="62223" spans="1:13" ht="12.75" customHeight="1" x14ac:dyDescent="0.25">
      <c r="A62223"/>
      <c r="B62223"/>
      <c r="C62223"/>
      <c r="M62223"/>
    </row>
    <row r="62224" spans="1:13" ht="12.75" customHeight="1" x14ac:dyDescent="0.25">
      <c r="A62224"/>
      <c r="B62224"/>
      <c r="C62224"/>
      <c r="M62224"/>
    </row>
    <row r="62225" spans="1:13" ht="12.75" customHeight="1" x14ac:dyDescent="0.25">
      <c r="A62225"/>
      <c r="B62225"/>
      <c r="C62225"/>
      <c r="M62225"/>
    </row>
    <row r="62226" spans="1:13" ht="12.75" customHeight="1" x14ac:dyDescent="0.25">
      <c r="A62226"/>
      <c r="B62226"/>
      <c r="C62226"/>
      <c r="M62226"/>
    </row>
    <row r="62227" spans="1:13" ht="12.75" customHeight="1" x14ac:dyDescent="0.25">
      <c r="A62227"/>
      <c r="B62227"/>
      <c r="C62227"/>
      <c r="M62227"/>
    </row>
    <row r="62228" spans="1:13" ht="12.75" customHeight="1" x14ac:dyDescent="0.25">
      <c r="A62228"/>
      <c r="B62228"/>
      <c r="C62228"/>
      <c r="M62228"/>
    </row>
    <row r="62229" spans="1:13" ht="12.75" customHeight="1" x14ac:dyDescent="0.25">
      <c r="A62229"/>
      <c r="B62229"/>
      <c r="C62229"/>
      <c r="M62229"/>
    </row>
    <row r="62230" spans="1:13" ht="12.75" customHeight="1" x14ac:dyDescent="0.25">
      <c r="A62230"/>
      <c r="B62230"/>
      <c r="C62230"/>
      <c r="M62230"/>
    </row>
    <row r="62231" spans="1:13" ht="12.75" customHeight="1" x14ac:dyDescent="0.25">
      <c r="A62231"/>
      <c r="B62231"/>
      <c r="C62231"/>
      <c r="M62231"/>
    </row>
    <row r="62232" spans="1:13" ht="12.75" customHeight="1" x14ac:dyDescent="0.25">
      <c r="A62232"/>
      <c r="B62232"/>
      <c r="C62232"/>
      <c r="M62232"/>
    </row>
    <row r="62233" spans="1:13" ht="12.75" customHeight="1" x14ac:dyDescent="0.25">
      <c r="A62233"/>
      <c r="B62233"/>
      <c r="C62233"/>
      <c r="M62233"/>
    </row>
    <row r="62234" spans="1:13" ht="12.75" customHeight="1" x14ac:dyDescent="0.25">
      <c r="A62234"/>
      <c r="B62234"/>
      <c r="C62234"/>
      <c r="M62234"/>
    </row>
    <row r="62235" spans="1:13" ht="12.75" customHeight="1" x14ac:dyDescent="0.25">
      <c r="A62235"/>
      <c r="B62235"/>
      <c r="C62235"/>
      <c r="M62235"/>
    </row>
    <row r="62236" spans="1:13" ht="12.75" customHeight="1" x14ac:dyDescent="0.25">
      <c r="A62236"/>
      <c r="B62236"/>
      <c r="C62236"/>
      <c r="M62236"/>
    </row>
    <row r="62237" spans="1:13" ht="12.75" customHeight="1" x14ac:dyDescent="0.25">
      <c r="A62237"/>
      <c r="B62237"/>
      <c r="C62237"/>
      <c r="M62237"/>
    </row>
    <row r="62238" spans="1:13" ht="12.75" customHeight="1" x14ac:dyDescent="0.25">
      <c r="A62238"/>
      <c r="B62238"/>
      <c r="C62238"/>
      <c r="M62238"/>
    </row>
    <row r="62239" spans="1:13" ht="12.75" customHeight="1" x14ac:dyDescent="0.25">
      <c r="A62239"/>
      <c r="B62239"/>
      <c r="C62239"/>
      <c r="M62239"/>
    </row>
    <row r="62240" spans="1:13" ht="12.75" customHeight="1" x14ac:dyDescent="0.25">
      <c r="A62240"/>
      <c r="B62240"/>
      <c r="C62240"/>
      <c r="M62240"/>
    </row>
    <row r="62241" spans="1:13" ht="12.75" customHeight="1" x14ac:dyDescent="0.25">
      <c r="A62241"/>
      <c r="B62241"/>
      <c r="C62241"/>
      <c r="M62241"/>
    </row>
    <row r="62242" spans="1:13" ht="12.75" customHeight="1" x14ac:dyDescent="0.25">
      <c r="A62242"/>
      <c r="B62242"/>
      <c r="C62242"/>
      <c r="M62242"/>
    </row>
    <row r="62243" spans="1:13" ht="12.75" customHeight="1" x14ac:dyDescent="0.25">
      <c r="A62243"/>
      <c r="B62243"/>
      <c r="C62243"/>
      <c r="M62243"/>
    </row>
    <row r="62244" spans="1:13" ht="12.75" customHeight="1" x14ac:dyDescent="0.25">
      <c r="A62244"/>
      <c r="B62244"/>
      <c r="C62244"/>
      <c r="M62244"/>
    </row>
    <row r="62245" spans="1:13" ht="12.75" customHeight="1" x14ac:dyDescent="0.25">
      <c r="A62245"/>
      <c r="B62245"/>
      <c r="C62245"/>
      <c r="M62245"/>
    </row>
    <row r="62246" spans="1:13" ht="12.75" customHeight="1" x14ac:dyDescent="0.25">
      <c r="A62246"/>
      <c r="B62246"/>
      <c r="C62246"/>
      <c r="M62246"/>
    </row>
    <row r="62247" spans="1:13" ht="12.75" customHeight="1" x14ac:dyDescent="0.25">
      <c r="A62247"/>
      <c r="B62247"/>
      <c r="C62247"/>
      <c r="M62247"/>
    </row>
    <row r="62248" spans="1:13" ht="12.75" customHeight="1" x14ac:dyDescent="0.25">
      <c r="A62248"/>
      <c r="B62248"/>
      <c r="C62248"/>
      <c r="M62248"/>
    </row>
    <row r="62249" spans="1:13" ht="12.75" customHeight="1" x14ac:dyDescent="0.25">
      <c r="A62249"/>
      <c r="B62249"/>
      <c r="C62249"/>
      <c r="M62249"/>
    </row>
    <row r="62250" spans="1:13" ht="12.75" customHeight="1" x14ac:dyDescent="0.25">
      <c r="A62250"/>
      <c r="B62250"/>
      <c r="C62250"/>
      <c r="M62250"/>
    </row>
    <row r="62251" spans="1:13" ht="12.75" customHeight="1" x14ac:dyDescent="0.25">
      <c r="A62251"/>
      <c r="B62251"/>
      <c r="C62251"/>
      <c r="M62251"/>
    </row>
    <row r="62252" spans="1:13" ht="12.75" customHeight="1" x14ac:dyDescent="0.25">
      <c r="A62252"/>
      <c r="B62252"/>
      <c r="C62252"/>
      <c r="M62252"/>
    </row>
    <row r="62253" spans="1:13" ht="12.75" customHeight="1" x14ac:dyDescent="0.25">
      <c r="A62253"/>
      <c r="B62253"/>
      <c r="C62253"/>
      <c r="M62253"/>
    </row>
    <row r="62254" spans="1:13" ht="12.75" customHeight="1" x14ac:dyDescent="0.25">
      <c r="A62254"/>
      <c r="B62254"/>
      <c r="C62254"/>
      <c r="M62254"/>
    </row>
    <row r="62255" spans="1:13" ht="12.75" customHeight="1" x14ac:dyDescent="0.25">
      <c r="A62255"/>
      <c r="B62255"/>
      <c r="C62255"/>
      <c r="M62255"/>
    </row>
    <row r="62256" spans="1:13" ht="12.75" customHeight="1" x14ac:dyDescent="0.25">
      <c r="A62256"/>
      <c r="B62256"/>
      <c r="C62256"/>
      <c r="M62256"/>
    </row>
    <row r="62257" spans="1:13" ht="12.75" customHeight="1" x14ac:dyDescent="0.25">
      <c r="A62257"/>
      <c r="B62257"/>
      <c r="C62257"/>
      <c r="M62257"/>
    </row>
    <row r="62258" spans="1:13" ht="12.75" customHeight="1" x14ac:dyDescent="0.25">
      <c r="A62258"/>
      <c r="B62258"/>
      <c r="C62258"/>
      <c r="M62258"/>
    </row>
    <row r="62259" spans="1:13" ht="12.75" customHeight="1" x14ac:dyDescent="0.25">
      <c r="A62259"/>
      <c r="B62259"/>
      <c r="C62259"/>
      <c r="M62259"/>
    </row>
    <row r="62260" spans="1:13" ht="12.75" customHeight="1" x14ac:dyDescent="0.25">
      <c r="A62260"/>
      <c r="B62260"/>
      <c r="C62260"/>
      <c r="M62260"/>
    </row>
    <row r="62261" spans="1:13" ht="12.75" customHeight="1" x14ac:dyDescent="0.25">
      <c r="A62261"/>
      <c r="B62261"/>
      <c r="C62261"/>
      <c r="M62261"/>
    </row>
    <row r="62262" spans="1:13" ht="12.75" customHeight="1" x14ac:dyDescent="0.25">
      <c r="A62262"/>
      <c r="B62262"/>
      <c r="C62262"/>
      <c r="M62262"/>
    </row>
    <row r="62263" spans="1:13" ht="12.75" customHeight="1" x14ac:dyDescent="0.25">
      <c r="A62263"/>
      <c r="B62263"/>
      <c r="C62263"/>
      <c r="M62263"/>
    </row>
    <row r="62264" spans="1:13" ht="12.75" customHeight="1" x14ac:dyDescent="0.25">
      <c r="A62264"/>
      <c r="B62264"/>
      <c r="C62264"/>
      <c r="M62264"/>
    </row>
    <row r="62265" spans="1:13" ht="12.75" customHeight="1" x14ac:dyDescent="0.25">
      <c r="A62265"/>
      <c r="B62265"/>
      <c r="C62265"/>
      <c r="M62265"/>
    </row>
    <row r="62266" spans="1:13" ht="12.75" customHeight="1" x14ac:dyDescent="0.25">
      <c r="A62266"/>
      <c r="B62266"/>
      <c r="C62266"/>
      <c r="M62266"/>
    </row>
    <row r="62267" spans="1:13" ht="12.75" customHeight="1" x14ac:dyDescent="0.25">
      <c r="A62267"/>
      <c r="B62267"/>
      <c r="C62267"/>
      <c r="M62267"/>
    </row>
    <row r="62268" spans="1:13" ht="12.75" customHeight="1" x14ac:dyDescent="0.25">
      <c r="A62268"/>
      <c r="B62268"/>
      <c r="C62268"/>
      <c r="M62268"/>
    </row>
    <row r="62269" spans="1:13" ht="12.75" customHeight="1" x14ac:dyDescent="0.25">
      <c r="A62269"/>
      <c r="B62269"/>
      <c r="C62269"/>
      <c r="M62269"/>
    </row>
    <row r="62270" spans="1:13" ht="12.75" customHeight="1" x14ac:dyDescent="0.25">
      <c r="A62270"/>
      <c r="B62270"/>
      <c r="C62270"/>
      <c r="M62270"/>
    </row>
    <row r="62271" spans="1:13" ht="12.75" customHeight="1" x14ac:dyDescent="0.25">
      <c r="A62271"/>
      <c r="B62271"/>
      <c r="C62271"/>
      <c r="M62271"/>
    </row>
    <row r="62272" spans="1:13" ht="12.75" customHeight="1" x14ac:dyDescent="0.25">
      <c r="A62272"/>
      <c r="B62272"/>
      <c r="C62272"/>
      <c r="M62272"/>
    </row>
    <row r="62273" spans="1:13" ht="12.75" customHeight="1" x14ac:dyDescent="0.25">
      <c r="A62273"/>
      <c r="B62273"/>
      <c r="C62273"/>
      <c r="M62273"/>
    </row>
    <row r="62274" spans="1:13" ht="12.75" customHeight="1" x14ac:dyDescent="0.25">
      <c r="A62274"/>
      <c r="B62274"/>
      <c r="C62274"/>
      <c r="M62274"/>
    </row>
    <row r="62275" spans="1:13" ht="12.75" customHeight="1" x14ac:dyDescent="0.25">
      <c r="A62275"/>
      <c r="B62275"/>
      <c r="C62275"/>
      <c r="M62275"/>
    </row>
    <row r="62276" spans="1:13" ht="12.75" customHeight="1" x14ac:dyDescent="0.25">
      <c r="A62276"/>
      <c r="B62276"/>
      <c r="C62276"/>
      <c r="M62276"/>
    </row>
    <row r="62277" spans="1:13" ht="12.75" customHeight="1" x14ac:dyDescent="0.25">
      <c r="A62277"/>
      <c r="B62277"/>
      <c r="C62277"/>
      <c r="M62277"/>
    </row>
    <row r="62278" spans="1:13" ht="12.75" customHeight="1" x14ac:dyDescent="0.25">
      <c r="A62278"/>
      <c r="B62278"/>
      <c r="C62278"/>
      <c r="M62278"/>
    </row>
    <row r="62279" spans="1:13" ht="12.75" customHeight="1" x14ac:dyDescent="0.25">
      <c r="A62279"/>
      <c r="B62279"/>
      <c r="C62279"/>
      <c r="M62279"/>
    </row>
    <row r="62280" spans="1:13" ht="12.75" customHeight="1" x14ac:dyDescent="0.25">
      <c r="A62280"/>
      <c r="B62280"/>
      <c r="C62280"/>
      <c r="M62280"/>
    </row>
    <row r="62281" spans="1:13" ht="12.75" customHeight="1" x14ac:dyDescent="0.25">
      <c r="A62281"/>
      <c r="B62281"/>
      <c r="C62281"/>
      <c r="M62281"/>
    </row>
    <row r="62282" spans="1:13" ht="12.75" customHeight="1" x14ac:dyDescent="0.25">
      <c r="A62282"/>
      <c r="B62282"/>
      <c r="C62282"/>
      <c r="M62282"/>
    </row>
    <row r="62283" spans="1:13" ht="12.75" customHeight="1" x14ac:dyDescent="0.25">
      <c r="A62283"/>
      <c r="B62283"/>
      <c r="C62283"/>
      <c r="M62283"/>
    </row>
    <row r="62284" spans="1:13" ht="12.75" customHeight="1" x14ac:dyDescent="0.25">
      <c r="A62284"/>
      <c r="B62284"/>
      <c r="C62284"/>
      <c r="M62284"/>
    </row>
    <row r="62285" spans="1:13" ht="12.75" customHeight="1" x14ac:dyDescent="0.25">
      <c r="A62285"/>
      <c r="B62285"/>
      <c r="C62285"/>
      <c r="M62285"/>
    </row>
    <row r="62286" spans="1:13" ht="12.75" customHeight="1" x14ac:dyDescent="0.25">
      <c r="A62286"/>
      <c r="B62286"/>
      <c r="C62286"/>
      <c r="M62286"/>
    </row>
    <row r="62287" spans="1:13" ht="12.75" customHeight="1" x14ac:dyDescent="0.25">
      <c r="A62287"/>
      <c r="B62287"/>
      <c r="C62287"/>
      <c r="M62287"/>
    </row>
    <row r="62288" spans="1:13" ht="12.75" customHeight="1" x14ac:dyDescent="0.25">
      <c r="A62288"/>
      <c r="B62288"/>
      <c r="C62288"/>
      <c r="M62288"/>
    </row>
    <row r="62289" spans="1:13" ht="12.75" customHeight="1" x14ac:dyDescent="0.25">
      <c r="A62289"/>
      <c r="B62289"/>
      <c r="C62289"/>
      <c r="M62289"/>
    </row>
    <row r="62290" spans="1:13" ht="12.75" customHeight="1" x14ac:dyDescent="0.25">
      <c r="A62290"/>
      <c r="B62290"/>
      <c r="C62290"/>
      <c r="M62290"/>
    </row>
    <row r="62291" spans="1:13" ht="12.75" customHeight="1" x14ac:dyDescent="0.25">
      <c r="A62291"/>
      <c r="B62291"/>
      <c r="C62291"/>
      <c r="M62291"/>
    </row>
    <row r="62292" spans="1:13" ht="12.75" customHeight="1" x14ac:dyDescent="0.25">
      <c r="A62292"/>
      <c r="B62292"/>
      <c r="C62292"/>
      <c r="M62292"/>
    </row>
    <row r="62293" spans="1:13" ht="12.75" customHeight="1" x14ac:dyDescent="0.25">
      <c r="A62293"/>
      <c r="B62293"/>
      <c r="C62293"/>
      <c r="M62293"/>
    </row>
    <row r="62294" spans="1:13" ht="12.75" customHeight="1" x14ac:dyDescent="0.25">
      <c r="A62294"/>
      <c r="B62294"/>
      <c r="C62294"/>
      <c r="M62294"/>
    </row>
    <row r="62295" spans="1:13" ht="12.75" customHeight="1" x14ac:dyDescent="0.25">
      <c r="A62295"/>
      <c r="B62295"/>
      <c r="C62295"/>
      <c r="M62295"/>
    </row>
    <row r="62296" spans="1:13" ht="12.75" customHeight="1" x14ac:dyDescent="0.25">
      <c r="A62296"/>
      <c r="B62296"/>
      <c r="C62296"/>
      <c r="M62296"/>
    </row>
    <row r="62297" spans="1:13" ht="12.75" customHeight="1" x14ac:dyDescent="0.25">
      <c r="A62297"/>
      <c r="B62297"/>
      <c r="C62297"/>
      <c r="M62297"/>
    </row>
    <row r="62298" spans="1:13" ht="12.75" customHeight="1" x14ac:dyDescent="0.25">
      <c r="A62298"/>
      <c r="B62298"/>
      <c r="C62298"/>
      <c r="M62298"/>
    </row>
    <row r="62299" spans="1:13" ht="12.75" customHeight="1" x14ac:dyDescent="0.25">
      <c r="A62299"/>
      <c r="B62299"/>
      <c r="C62299"/>
      <c r="M62299"/>
    </row>
    <row r="62300" spans="1:13" ht="12.75" customHeight="1" x14ac:dyDescent="0.25">
      <c r="A62300"/>
      <c r="B62300"/>
      <c r="C62300"/>
      <c r="M62300"/>
    </row>
    <row r="62301" spans="1:13" ht="12.75" customHeight="1" x14ac:dyDescent="0.25">
      <c r="A62301"/>
      <c r="B62301"/>
      <c r="C62301"/>
      <c r="M62301"/>
    </row>
    <row r="62302" spans="1:13" ht="12.75" customHeight="1" x14ac:dyDescent="0.25">
      <c r="A62302"/>
      <c r="B62302"/>
      <c r="C62302"/>
      <c r="M62302"/>
    </row>
    <row r="62303" spans="1:13" ht="12.75" customHeight="1" x14ac:dyDescent="0.25">
      <c r="A62303"/>
      <c r="B62303"/>
      <c r="C62303"/>
      <c r="M62303"/>
    </row>
    <row r="62304" spans="1:13" ht="12.75" customHeight="1" x14ac:dyDescent="0.25">
      <c r="A62304"/>
      <c r="B62304"/>
      <c r="C62304"/>
      <c r="M62304"/>
    </row>
    <row r="62305" spans="1:13" ht="12.75" customHeight="1" x14ac:dyDescent="0.25">
      <c r="A62305"/>
      <c r="B62305"/>
      <c r="C62305"/>
      <c r="M62305"/>
    </row>
    <row r="62306" spans="1:13" ht="12.75" customHeight="1" x14ac:dyDescent="0.25">
      <c r="A62306"/>
      <c r="B62306"/>
      <c r="C62306"/>
      <c r="M62306"/>
    </row>
    <row r="62307" spans="1:13" ht="12.75" customHeight="1" x14ac:dyDescent="0.25">
      <c r="A62307"/>
      <c r="B62307"/>
      <c r="C62307"/>
      <c r="M62307"/>
    </row>
    <row r="62308" spans="1:13" ht="12.75" customHeight="1" x14ac:dyDescent="0.25">
      <c r="A62308"/>
      <c r="B62308"/>
      <c r="C62308"/>
      <c r="M62308"/>
    </row>
    <row r="62309" spans="1:13" ht="12.75" customHeight="1" x14ac:dyDescent="0.25">
      <c r="A62309"/>
      <c r="B62309"/>
      <c r="C62309"/>
      <c r="M62309"/>
    </row>
    <row r="62310" spans="1:13" ht="12.75" customHeight="1" x14ac:dyDescent="0.25">
      <c r="A62310"/>
      <c r="B62310"/>
      <c r="C62310"/>
      <c r="M62310"/>
    </row>
    <row r="62311" spans="1:13" ht="12.75" customHeight="1" x14ac:dyDescent="0.25">
      <c r="A62311"/>
      <c r="B62311"/>
      <c r="C62311"/>
      <c r="M62311"/>
    </row>
    <row r="62312" spans="1:13" ht="12.75" customHeight="1" x14ac:dyDescent="0.25">
      <c r="A62312"/>
      <c r="B62312"/>
      <c r="C62312"/>
      <c r="M62312"/>
    </row>
    <row r="62313" spans="1:13" ht="12.75" customHeight="1" x14ac:dyDescent="0.25">
      <c r="A62313"/>
      <c r="B62313"/>
      <c r="C62313"/>
      <c r="M62313"/>
    </row>
    <row r="62314" spans="1:13" ht="12.75" customHeight="1" x14ac:dyDescent="0.25">
      <c r="A62314"/>
      <c r="B62314"/>
      <c r="C62314"/>
      <c r="M62314"/>
    </row>
    <row r="62315" spans="1:13" ht="12.75" customHeight="1" x14ac:dyDescent="0.25">
      <c r="A62315"/>
      <c r="B62315"/>
      <c r="C62315"/>
      <c r="M62315"/>
    </row>
    <row r="62316" spans="1:13" ht="12.75" customHeight="1" x14ac:dyDescent="0.25">
      <c r="A62316"/>
      <c r="B62316"/>
      <c r="C62316"/>
      <c r="M62316"/>
    </row>
    <row r="62317" spans="1:13" ht="12.75" customHeight="1" x14ac:dyDescent="0.25">
      <c r="A62317"/>
      <c r="B62317"/>
      <c r="C62317"/>
      <c r="M62317"/>
    </row>
    <row r="62318" spans="1:13" ht="12.75" customHeight="1" x14ac:dyDescent="0.25">
      <c r="A62318"/>
      <c r="B62318"/>
      <c r="C62318"/>
      <c r="M62318"/>
    </row>
    <row r="62319" spans="1:13" ht="12.75" customHeight="1" x14ac:dyDescent="0.25">
      <c r="A62319"/>
      <c r="B62319"/>
      <c r="C62319"/>
      <c r="M62319"/>
    </row>
    <row r="62320" spans="1:13" ht="12.75" customHeight="1" x14ac:dyDescent="0.25">
      <c r="A62320"/>
      <c r="B62320"/>
      <c r="C62320"/>
      <c r="M62320"/>
    </row>
    <row r="62321" spans="1:13" ht="12.75" customHeight="1" x14ac:dyDescent="0.25">
      <c r="A62321"/>
      <c r="B62321"/>
      <c r="C62321"/>
      <c r="M62321"/>
    </row>
    <row r="62322" spans="1:13" ht="12.75" customHeight="1" x14ac:dyDescent="0.25">
      <c r="A62322"/>
      <c r="B62322"/>
      <c r="C62322"/>
      <c r="M62322"/>
    </row>
    <row r="62323" spans="1:13" ht="12.75" customHeight="1" x14ac:dyDescent="0.25">
      <c r="A62323"/>
      <c r="B62323"/>
      <c r="C62323"/>
      <c r="M62323"/>
    </row>
    <row r="62324" spans="1:13" ht="12.75" customHeight="1" x14ac:dyDescent="0.25">
      <c r="A62324"/>
      <c r="B62324"/>
      <c r="C62324"/>
      <c r="M62324"/>
    </row>
    <row r="62325" spans="1:13" ht="12.75" customHeight="1" x14ac:dyDescent="0.25">
      <c r="A62325"/>
      <c r="B62325"/>
      <c r="C62325"/>
      <c r="M62325"/>
    </row>
    <row r="62326" spans="1:13" ht="12.75" customHeight="1" x14ac:dyDescent="0.25">
      <c r="A62326"/>
      <c r="B62326"/>
      <c r="C62326"/>
      <c r="M62326"/>
    </row>
    <row r="62327" spans="1:13" ht="12.75" customHeight="1" x14ac:dyDescent="0.25">
      <c r="A62327"/>
      <c r="B62327"/>
      <c r="C62327"/>
      <c r="M62327"/>
    </row>
    <row r="62328" spans="1:13" ht="12.75" customHeight="1" x14ac:dyDescent="0.25">
      <c r="A62328"/>
      <c r="B62328"/>
      <c r="C62328"/>
      <c r="M62328"/>
    </row>
    <row r="62329" spans="1:13" ht="12.75" customHeight="1" x14ac:dyDescent="0.25">
      <c r="A62329"/>
      <c r="B62329"/>
      <c r="C62329"/>
      <c r="M62329"/>
    </row>
    <row r="62330" spans="1:13" ht="12.75" customHeight="1" x14ac:dyDescent="0.25">
      <c r="A62330"/>
      <c r="B62330"/>
      <c r="C62330"/>
      <c r="M62330"/>
    </row>
    <row r="62331" spans="1:13" ht="12.75" customHeight="1" x14ac:dyDescent="0.25">
      <c r="A62331"/>
      <c r="B62331"/>
      <c r="C62331"/>
      <c r="M62331"/>
    </row>
    <row r="62332" spans="1:13" ht="12.75" customHeight="1" x14ac:dyDescent="0.25">
      <c r="A62332"/>
      <c r="B62332"/>
      <c r="C62332"/>
      <c r="M62332"/>
    </row>
    <row r="62333" spans="1:13" ht="12.75" customHeight="1" x14ac:dyDescent="0.25">
      <c r="A62333"/>
      <c r="B62333"/>
      <c r="C62333"/>
      <c r="M62333"/>
    </row>
    <row r="62334" spans="1:13" ht="12.75" customHeight="1" x14ac:dyDescent="0.25">
      <c r="A62334"/>
      <c r="B62334"/>
      <c r="C62334"/>
      <c r="M62334"/>
    </row>
    <row r="62335" spans="1:13" ht="12.75" customHeight="1" x14ac:dyDescent="0.25">
      <c r="A62335"/>
      <c r="B62335"/>
      <c r="C62335"/>
      <c r="M62335"/>
    </row>
    <row r="62336" spans="1:13" ht="12.75" customHeight="1" x14ac:dyDescent="0.25">
      <c r="A62336"/>
      <c r="B62336"/>
      <c r="C62336"/>
      <c r="M62336"/>
    </row>
    <row r="62337" spans="1:13" ht="12.75" customHeight="1" x14ac:dyDescent="0.25">
      <c r="A62337"/>
      <c r="B62337"/>
      <c r="C62337"/>
      <c r="M62337"/>
    </row>
    <row r="62338" spans="1:13" ht="12.75" customHeight="1" x14ac:dyDescent="0.25">
      <c r="A62338"/>
      <c r="B62338"/>
      <c r="C62338"/>
      <c r="M62338"/>
    </row>
    <row r="62339" spans="1:13" ht="12.75" customHeight="1" x14ac:dyDescent="0.25">
      <c r="A62339"/>
      <c r="B62339"/>
      <c r="C62339"/>
      <c r="M62339"/>
    </row>
    <row r="62340" spans="1:13" ht="12.75" customHeight="1" x14ac:dyDescent="0.25">
      <c r="A62340"/>
      <c r="B62340"/>
      <c r="C62340"/>
      <c r="M62340"/>
    </row>
    <row r="62341" spans="1:13" ht="12.75" customHeight="1" x14ac:dyDescent="0.25">
      <c r="A62341"/>
      <c r="B62341"/>
      <c r="C62341"/>
      <c r="M62341"/>
    </row>
    <row r="62342" spans="1:13" ht="12.75" customHeight="1" x14ac:dyDescent="0.25">
      <c r="A62342"/>
      <c r="B62342"/>
      <c r="C62342"/>
      <c r="M62342"/>
    </row>
    <row r="62343" spans="1:13" ht="12.75" customHeight="1" x14ac:dyDescent="0.25">
      <c r="A62343"/>
      <c r="B62343"/>
      <c r="C62343"/>
      <c r="M62343"/>
    </row>
    <row r="62344" spans="1:13" ht="12.75" customHeight="1" x14ac:dyDescent="0.25">
      <c r="A62344"/>
      <c r="B62344"/>
      <c r="C62344"/>
      <c r="M62344"/>
    </row>
    <row r="62345" spans="1:13" ht="12.75" customHeight="1" x14ac:dyDescent="0.25">
      <c r="A62345"/>
      <c r="B62345"/>
      <c r="C62345"/>
      <c r="M62345"/>
    </row>
    <row r="62346" spans="1:13" ht="12.75" customHeight="1" x14ac:dyDescent="0.25">
      <c r="A62346"/>
      <c r="B62346"/>
      <c r="C62346"/>
      <c r="M62346"/>
    </row>
    <row r="62347" spans="1:13" ht="12.75" customHeight="1" x14ac:dyDescent="0.25">
      <c r="A62347"/>
      <c r="B62347"/>
      <c r="C62347"/>
      <c r="M62347"/>
    </row>
    <row r="62348" spans="1:13" ht="12.75" customHeight="1" x14ac:dyDescent="0.25">
      <c r="A62348"/>
      <c r="B62348"/>
      <c r="C62348"/>
      <c r="M62348"/>
    </row>
    <row r="62349" spans="1:13" ht="12.75" customHeight="1" x14ac:dyDescent="0.25">
      <c r="A62349"/>
      <c r="B62349"/>
      <c r="C62349"/>
      <c r="M62349"/>
    </row>
    <row r="62350" spans="1:13" ht="12.75" customHeight="1" x14ac:dyDescent="0.25">
      <c r="A62350"/>
      <c r="B62350"/>
      <c r="C62350"/>
      <c r="M62350"/>
    </row>
    <row r="62351" spans="1:13" ht="12.75" customHeight="1" x14ac:dyDescent="0.25">
      <c r="A62351"/>
      <c r="B62351"/>
      <c r="C62351"/>
      <c r="M62351"/>
    </row>
    <row r="62352" spans="1:13" ht="12.75" customHeight="1" x14ac:dyDescent="0.25">
      <c r="A62352"/>
      <c r="B62352"/>
      <c r="C62352"/>
      <c r="M62352"/>
    </row>
    <row r="62353" spans="1:13" ht="12.75" customHeight="1" x14ac:dyDescent="0.25">
      <c r="A62353"/>
      <c r="B62353"/>
      <c r="C62353"/>
      <c r="M62353"/>
    </row>
    <row r="62354" spans="1:13" ht="12.75" customHeight="1" x14ac:dyDescent="0.25">
      <c r="A62354"/>
      <c r="B62354"/>
      <c r="C62354"/>
      <c r="M62354"/>
    </row>
    <row r="62355" spans="1:13" ht="12.75" customHeight="1" x14ac:dyDescent="0.25">
      <c r="A62355"/>
      <c r="B62355"/>
      <c r="C62355"/>
      <c r="M62355"/>
    </row>
    <row r="62356" spans="1:13" ht="12.75" customHeight="1" x14ac:dyDescent="0.25">
      <c r="A62356"/>
      <c r="B62356"/>
      <c r="C62356"/>
      <c r="M62356"/>
    </row>
    <row r="62357" spans="1:13" ht="12.75" customHeight="1" x14ac:dyDescent="0.25">
      <c r="A62357"/>
      <c r="B62357"/>
      <c r="C62357"/>
      <c r="M62357"/>
    </row>
    <row r="62358" spans="1:13" ht="12.75" customHeight="1" x14ac:dyDescent="0.25">
      <c r="A62358"/>
      <c r="B62358"/>
      <c r="C62358"/>
      <c r="M62358"/>
    </row>
    <row r="62359" spans="1:13" ht="12.75" customHeight="1" x14ac:dyDescent="0.25">
      <c r="A62359"/>
      <c r="B62359"/>
      <c r="C62359"/>
      <c r="M62359"/>
    </row>
    <row r="62360" spans="1:13" ht="12.75" customHeight="1" x14ac:dyDescent="0.25">
      <c r="A62360"/>
      <c r="B62360"/>
      <c r="C62360"/>
      <c r="M62360"/>
    </row>
    <row r="62361" spans="1:13" ht="12.75" customHeight="1" x14ac:dyDescent="0.25">
      <c r="A62361"/>
      <c r="B62361"/>
      <c r="C62361"/>
      <c r="M62361"/>
    </row>
    <row r="62362" spans="1:13" ht="12.75" customHeight="1" x14ac:dyDescent="0.25">
      <c r="A62362"/>
      <c r="B62362"/>
      <c r="C62362"/>
      <c r="M62362"/>
    </row>
    <row r="62363" spans="1:13" ht="12.75" customHeight="1" x14ac:dyDescent="0.25">
      <c r="A62363"/>
      <c r="B62363"/>
      <c r="C62363"/>
      <c r="M62363"/>
    </row>
    <row r="62364" spans="1:13" ht="12.75" customHeight="1" x14ac:dyDescent="0.25">
      <c r="A62364"/>
      <c r="B62364"/>
      <c r="C62364"/>
      <c r="M62364"/>
    </row>
    <row r="62365" spans="1:13" ht="12.75" customHeight="1" x14ac:dyDescent="0.25">
      <c r="A62365"/>
      <c r="B62365"/>
      <c r="C62365"/>
      <c r="M62365"/>
    </row>
    <row r="62366" spans="1:13" ht="12.75" customHeight="1" x14ac:dyDescent="0.25">
      <c r="A62366"/>
      <c r="B62366"/>
      <c r="C62366"/>
      <c r="M62366"/>
    </row>
    <row r="62367" spans="1:13" ht="12.75" customHeight="1" x14ac:dyDescent="0.25">
      <c r="A62367"/>
      <c r="B62367"/>
      <c r="C62367"/>
      <c r="M62367"/>
    </row>
    <row r="62368" spans="1:13" ht="12.75" customHeight="1" x14ac:dyDescent="0.25">
      <c r="A62368"/>
      <c r="B62368"/>
      <c r="C62368"/>
      <c r="M62368"/>
    </row>
    <row r="62369" spans="1:13" ht="12.75" customHeight="1" x14ac:dyDescent="0.25">
      <c r="A62369"/>
      <c r="B62369"/>
      <c r="C62369"/>
      <c r="M62369"/>
    </row>
    <row r="62370" spans="1:13" ht="12.75" customHeight="1" x14ac:dyDescent="0.25">
      <c r="A62370"/>
      <c r="B62370"/>
      <c r="C62370"/>
      <c r="M62370"/>
    </row>
    <row r="62371" spans="1:13" ht="12.75" customHeight="1" x14ac:dyDescent="0.25">
      <c r="A62371"/>
      <c r="B62371"/>
      <c r="C62371"/>
      <c r="M62371"/>
    </row>
    <row r="62372" spans="1:13" ht="12.75" customHeight="1" x14ac:dyDescent="0.25">
      <c r="A62372"/>
      <c r="B62372"/>
      <c r="C62372"/>
      <c r="M62372"/>
    </row>
    <row r="62373" spans="1:13" ht="12.75" customHeight="1" x14ac:dyDescent="0.25">
      <c r="A62373"/>
      <c r="B62373"/>
      <c r="C62373"/>
      <c r="M62373"/>
    </row>
    <row r="62374" spans="1:13" ht="12.75" customHeight="1" x14ac:dyDescent="0.25">
      <c r="A62374"/>
      <c r="B62374"/>
      <c r="C62374"/>
      <c r="M62374"/>
    </row>
    <row r="62375" spans="1:13" ht="12.75" customHeight="1" x14ac:dyDescent="0.25">
      <c r="A62375"/>
      <c r="B62375"/>
      <c r="C62375"/>
      <c r="M62375"/>
    </row>
    <row r="62376" spans="1:13" ht="12.75" customHeight="1" x14ac:dyDescent="0.25">
      <c r="A62376"/>
      <c r="B62376"/>
      <c r="C62376"/>
      <c r="M62376"/>
    </row>
    <row r="62377" spans="1:13" ht="12.75" customHeight="1" x14ac:dyDescent="0.25">
      <c r="A62377"/>
      <c r="B62377"/>
      <c r="C62377"/>
      <c r="M62377"/>
    </row>
    <row r="62378" spans="1:13" ht="12.75" customHeight="1" x14ac:dyDescent="0.25">
      <c r="A62378"/>
      <c r="B62378"/>
      <c r="C62378"/>
      <c r="M62378"/>
    </row>
    <row r="62379" spans="1:13" ht="12.75" customHeight="1" x14ac:dyDescent="0.25">
      <c r="A62379"/>
      <c r="B62379"/>
      <c r="C62379"/>
      <c r="M62379"/>
    </row>
    <row r="62380" spans="1:13" ht="12.75" customHeight="1" x14ac:dyDescent="0.25">
      <c r="A62380"/>
      <c r="B62380"/>
      <c r="C62380"/>
      <c r="M62380"/>
    </row>
    <row r="62381" spans="1:13" ht="12.75" customHeight="1" x14ac:dyDescent="0.25">
      <c r="A62381"/>
      <c r="B62381"/>
      <c r="C62381"/>
      <c r="M62381"/>
    </row>
    <row r="62382" spans="1:13" ht="12.75" customHeight="1" x14ac:dyDescent="0.25">
      <c r="A62382"/>
      <c r="B62382"/>
      <c r="C62382"/>
      <c r="M62382"/>
    </row>
    <row r="62383" spans="1:13" ht="12.75" customHeight="1" x14ac:dyDescent="0.25">
      <c r="A62383"/>
      <c r="B62383"/>
      <c r="C62383"/>
      <c r="M62383"/>
    </row>
    <row r="62384" spans="1:13" ht="12.75" customHeight="1" x14ac:dyDescent="0.25">
      <c r="A62384"/>
      <c r="B62384"/>
      <c r="C62384"/>
      <c r="M62384"/>
    </row>
    <row r="62385" spans="1:13" ht="12.75" customHeight="1" x14ac:dyDescent="0.25">
      <c r="A62385"/>
      <c r="B62385"/>
      <c r="C62385"/>
      <c r="M62385"/>
    </row>
    <row r="62386" spans="1:13" ht="12.75" customHeight="1" x14ac:dyDescent="0.25">
      <c r="A62386"/>
      <c r="B62386"/>
      <c r="C62386"/>
      <c r="M62386"/>
    </row>
    <row r="62387" spans="1:13" ht="12.75" customHeight="1" x14ac:dyDescent="0.25">
      <c r="A62387"/>
      <c r="B62387"/>
      <c r="C62387"/>
      <c r="M62387"/>
    </row>
    <row r="62388" spans="1:13" ht="12.75" customHeight="1" x14ac:dyDescent="0.25">
      <c r="A62388"/>
      <c r="B62388"/>
      <c r="C62388"/>
      <c r="M62388"/>
    </row>
    <row r="62389" spans="1:13" ht="12.75" customHeight="1" x14ac:dyDescent="0.25">
      <c r="A62389"/>
      <c r="B62389"/>
      <c r="C62389"/>
      <c r="M62389"/>
    </row>
    <row r="62390" spans="1:13" ht="12.75" customHeight="1" x14ac:dyDescent="0.25">
      <c r="A62390"/>
      <c r="B62390"/>
      <c r="C62390"/>
      <c r="M62390"/>
    </row>
    <row r="62391" spans="1:13" ht="12.75" customHeight="1" x14ac:dyDescent="0.25">
      <c r="A62391"/>
      <c r="B62391"/>
      <c r="C62391"/>
      <c r="M62391"/>
    </row>
    <row r="62392" spans="1:13" ht="12.75" customHeight="1" x14ac:dyDescent="0.25">
      <c r="A62392"/>
      <c r="B62392"/>
      <c r="C62392"/>
      <c r="M62392"/>
    </row>
    <row r="62393" spans="1:13" ht="12.75" customHeight="1" x14ac:dyDescent="0.25">
      <c r="A62393"/>
      <c r="B62393"/>
      <c r="C62393"/>
      <c r="M62393"/>
    </row>
    <row r="62394" spans="1:13" ht="12.75" customHeight="1" x14ac:dyDescent="0.25">
      <c r="A62394"/>
      <c r="B62394"/>
      <c r="C62394"/>
      <c r="M62394"/>
    </row>
    <row r="62395" spans="1:13" ht="12.75" customHeight="1" x14ac:dyDescent="0.25">
      <c r="A62395"/>
      <c r="B62395"/>
      <c r="C62395"/>
      <c r="M62395"/>
    </row>
    <row r="62396" spans="1:13" ht="12.75" customHeight="1" x14ac:dyDescent="0.25">
      <c r="A62396"/>
      <c r="B62396"/>
      <c r="C62396"/>
      <c r="M62396"/>
    </row>
    <row r="62397" spans="1:13" ht="12.75" customHeight="1" x14ac:dyDescent="0.25">
      <c r="A62397"/>
      <c r="B62397"/>
      <c r="C62397"/>
      <c r="M62397"/>
    </row>
    <row r="62398" spans="1:13" ht="12.75" customHeight="1" x14ac:dyDescent="0.25">
      <c r="A62398"/>
      <c r="B62398"/>
      <c r="C62398"/>
      <c r="M62398"/>
    </row>
    <row r="62399" spans="1:13" ht="12.75" customHeight="1" x14ac:dyDescent="0.25">
      <c r="A62399"/>
      <c r="B62399"/>
      <c r="C62399"/>
      <c r="M62399"/>
    </row>
    <row r="62400" spans="1:13" ht="12.75" customHeight="1" x14ac:dyDescent="0.25">
      <c r="A62400"/>
      <c r="B62400"/>
      <c r="C62400"/>
      <c r="M62400"/>
    </row>
    <row r="62401" spans="1:13" ht="12.75" customHeight="1" x14ac:dyDescent="0.25">
      <c r="A62401"/>
      <c r="B62401"/>
      <c r="C62401"/>
      <c r="M62401"/>
    </row>
    <row r="62402" spans="1:13" ht="12.75" customHeight="1" x14ac:dyDescent="0.25">
      <c r="A62402"/>
      <c r="B62402"/>
      <c r="C62402"/>
      <c r="M62402"/>
    </row>
    <row r="62403" spans="1:13" ht="12.75" customHeight="1" x14ac:dyDescent="0.25">
      <c r="A62403"/>
      <c r="B62403"/>
      <c r="C62403"/>
      <c r="M62403"/>
    </row>
    <row r="62404" spans="1:13" ht="12.75" customHeight="1" x14ac:dyDescent="0.25">
      <c r="A62404"/>
      <c r="B62404"/>
      <c r="C62404"/>
      <c r="M62404"/>
    </row>
    <row r="62405" spans="1:13" ht="12.75" customHeight="1" x14ac:dyDescent="0.25">
      <c r="A62405"/>
      <c r="B62405"/>
      <c r="C62405"/>
      <c r="M62405"/>
    </row>
    <row r="62406" spans="1:13" ht="12.75" customHeight="1" x14ac:dyDescent="0.25">
      <c r="A62406"/>
      <c r="B62406"/>
      <c r="C62406"/>
      <c r="M62406"/>
    </row>
    <row r="62407" spans="1:13" ht="12.75" customHeight="1" x14ac:dyDescent="0.25">
      <c r="A62407"/>
      <c r="B62407"/>
      <c r="C62407"/>
      <c r="M62407"/>
    </row>
    <row r="62408" spans="1:13" ht="12.75" customHeight="1" x14ac:dyDescent="0.25">
      <c r="A62408"/>
      <c r="B62408"/>
      <c r="C62408"/>
      <c r="M62408"/>
    </row>
    <row r="62409" spans="1:13" ht="12.75" customHeight="1" x14ac:dyDescent="0.25">
      <c r="A62409"/>
      <c r="B62409"/>
      <c r="C62409"/>
      <c r="M62409"/>
    </row>
    <row r="62410" spans="1:13" ht="12.75" customHeight="1" x14ac:dyDescent="0.25">
      <c r="A62410"/>
      <c r="B62410"/>
      <c r="C62410"/>
      <c r="M62410"/>
    </row>
    <row r="62411" spans="1:13" ht="12.75" customHeight="1" x14ac:dyDescent="0.25">
      <c r="A62411"/>
      <c r="B62411"/>
      <c r="C62411"/>
      <c r="M62411"/>
    </row>
    <row r="62412" spans="1:13" ht="12.75" customHeight="1" x14ac:dyDescent="0.25">
      <c r="A62412"/>
      <c r="B62412"/>
      <c r="C62412"/>
      <c r="M62412"/>
    </row>
    <row r="62413" spans="1:13" ht="12.75" customHeight="1" x14ac:dyDescent="0.25">
      <c r="A62413"/>
      <c r="B62413"/>
      <c r="C62413"/>
      <c r="M62413"/>
    </row>
    <row r="62414" spans="1:13" ht="12.75" customHeight="1" x14ac:dyDescent="0.25">
      <c r="A62414"/>
      <c r="B62414"/>
      <c r="C62414"/>
      <c r="M62414"/>
    </row>
    <row r="62415" spans="1:13" ht="12.75" customHeight="1" x14ac:dyDescent="0.25">
      <c r="A62415"/>
      <c r="B62415"/>
      <c r="C62415"/>
      <c r="M62415"/>
    </row>
    <row r="62416" spans="1:13" ht="12.75" customHeight="1" x14ac:dyDescent="0.25">
      <c r="A62416"/>
      <c r="B62416"/>
      <c r="C62416"/>
      <c r="M62416"/>
    </row>
    <row r="62417" spans="1:13" ht="12.75" customHeight="1" x14ac:dyDescent="0.25">
      <c r="A62417"/>
      <c r="B62417"/>
      <c r="C62417"/>
      <c r="M62417"/>
    </row>
    <row r="62418" spans="1:13" ht="12.75" customHeight="1" x14ac:dyDescent="0.25">
      <c r="A62418"/>
      <c r="B62418"/>
      <c r="C62418"/>
      <c r="M62418"/>
    </row>
    <row r="62419" spans="1:13" ht="12.75" customHeight="1" x14ac:dyDescent="0.25">
      <c r="A62419"/>
      <c r="B62419"/>
      <c r="C62419"/>
      <c r="M62419"/>
    </row>
    <row r="62420" spans="1:13" ht="12.75" customHeight="1" x14ac:dyDescent="0.25">
      <c r="A62420"/>
      <c r="B62420"/>
      <c r="C62420"/>
      <c r="M62420"/>
    </row>
    <row r="62421" spans="1:13" ht="12.75" customHeight="1" x14ac:dyDescent="0.25">
      <c r="A62421"/>
      <c r="B62421"/>
      <c r="C62421"/>
      <c r="M62421"/>
    </row>
    <row r="62422" spans="1:13" ht="12.75" customHeight="1" x14ac:dyDescent="0.25">
      <c r="A62422"/>
      <c r="B62422"/>
      <c r="C62422"/>
      <c r="M62422"/>
    </row>
    <row r="62423" spans="1:13" ht="12.75" customHeight="1" x14ac:dyDescent="0.25">
      <c r="A62423"/>
      <c r="B62423"/>
      <c r="C62423"/>
      <c r="M62423"/>
    </row>
    <row r="62424" spans="1:13" ht="12.75" customHeight="1" x14ac:dyDescent="0.25">
      <c r="A62424"/>
      <c r="B62424"/>
      <c r="C62424"/>
      <c r="M62424"/>
    </row>
    <row r="62425" spans="1:13" ht="12.75" customHeight="1" x14ac:dyDescent="0.25">
      <c r="A62425"/>
      <c r="B62425"/>
      <c r="C62425"/>
      <c r="M62425"/>
    </row>
    <row r="62426" spans="1:13" ht="12.75" customHeight="1" x14ac:dyDescent="0.25">
      <c r="A62426"/>
      <c r="B62426"/>
      <c r="C62426"/>
      <c r="M62426"/>
    </row>
    <row r="62427" spans="1:13" ht="12.75" customHeight="1" x14ac:dyDescent="0.25">
      <c r="A62427"/>
      <c r="B62427"/>
      <c r="C62427"/>
      <c r="M62427"/>
    </row>
    <row r="62428" spans="1:13" ht="12.75" customHeight="1" x14ac:dyDescent="0.25">
      <c r="A62428"/>
      <c r="B62428"/>
      <c r="C62428"/>
      <c r="M62428"/>
    </row>
    <row r="62429" spans="1:13" ht="12.75" customHeight="1" x14ac:dyDescent="0.25">
      <c r="A62429"/>
      <c r="B62429"/>
      <c r="C62429"/>
      <c r="M62429"/>
    </row>
    <row r="62430" spans="1:13" ht="12.75" customHeight="1" x14ac:dyDescent="0.25">
      <c r="A62430"/>
      <c r="B62430"/>
      <c r="C62430"/>
      <c r="M62430"/>
    </row>
    <row r="62431" spans="1:13" ht="12.75" customHeight="1" x14ac:dyDescent="0.25">
      <c r="A62431"/>
      <c r="B62431"/>
      <c r="C62431"/>
      <c r="M62431"/>
    </row>
    <row r="62432" spans="1:13" ht="12.75" customHeight="1" x14ac:dyDescent="0.25">
      <c r="A62432"/>
      <c r="B62432"/>
      <c r="C62432"/>
      <c r="M62432"/>
    </row>
    <row r="62433" spans="1:13" ht="12.75" customHeight="1" x14ac:dyDescent="0.25">
      <c r="A62433"/>
      <c r="B62433"/>
      <c r="C62433"/>
      <c r="M62433"/>
    </row>
    <row r="62434" spans="1:13" ht="12.75" customHeight="1" x14ac:dyDescent="0.25">
      <c r="A62434"/>
      <c r="B62434"/>
      <c r="C62434"/>
      <c r="M62434"/>
    </row>
    <row r="62435" spans="1:13" ht="12.75" customHeight="1" x14ac:dyDescent="0.25">
      <c r="A62435"/>
      <c r="B62435"/>
      <c r="C62435"/>
      <c r="M62435"/>
    </row>
    <row r="62436" spans="1:13" ht="12.75" customHeight="1" x14ac:dyDescent="0.25">
      <c r="A62436"/>
      <c r="B62436"/>
      <c r="C62436"/>
      <c r="M62436"/>
    </row>
    <row r="62437" spans="1:13" ht="12.75" customHeight="1" x14ac:dyDescent="0.25">
      <c r="A62437"/>
      <c r="B62437"/>
      <c r="C62437"/>
      <c r="M62437"/>
    </row>
    <row r="62438" spans="1:13" ht="12.75" customHeight="1" x14ac:dyDescent="0.25">
      <c r="A62438"/>
      <c r="B62438"/>
      <c r="C62438"/>
      <c r="M62438"/>
    </row>
    <row r="62439" spans="1:13" ht="12.75" customHeight="1" x14ac:dyDescent="0.25">
      <c r="A62439"/>
      <c r="B62439"/>
      <c r="C62439"/>
      <c r="M62439"/>
    </row>
    <row r="62440" spans="1:13" ht="12.75" customHeight="1" x14ac:dyDescent="0.25">
      <c r="A62440"/>
      <c r="B62440"/>
      <c r="C62440"/>
      <c r="M62440"/>
    </row>
    <row r="62441" spans="1:13" ht="12.75" customHeight="1" x14ac:dyDescent="0.25">
      <c r="A62441"/>
      <c r="B62441"/>
      <c r="C62441"/>
      <c r="M62441"/>
    </row>
    <row r="62442" spans="1:13" ht="12.75" customHeight="1" x14ac:dyDescent="0.25">
      <c r="A62442"/>
      <c r="B62442"/>
      <c r="C62442"/>
      <c r="M62442"/>
    </row>
    <row r="62443" spans="1:13" ht="12.75" customHeight="1" x14ac:dyDescent="0.25">
      <c r="A62443"/>
      <c r="B62443"/>
      <c r="C62443"/>
      <c r="M62443"/>
    </row>
    <row r="62444" spans="1:13" ht="12.75" customHeight="1" x14ac:dyDescent="0.25">
      <c r="A62444"/>
      <c r="B62444"/>
      <c r="C62444"/>
      <c r="M62444"/>
    </row>
    <row r="62445" spans="1:13" ht="12.75" customHeight="1" x14ac:dyDescent="0.25">
      <c r="A62445"/>
      <c r="B62445"/>
      <c r="C62445"/>
      <c r="M62445"/>
    </row>
    <row r="62446" spans="1:13" ht="12.75" customHeight="1" x14ac:dyDescent="0.25">
      <c r="A62446"/>
      <c r="B62446"/>
      <c r="C62446"/>
      <c r="M62446"/>
    </row>
    <row r="62447" spans="1:13" ht="12.75" customHeight="1" x14ac:dyDescent="0.25">
      <c r="A62447"/>
      <c r="B62447"/>
      <c r="C62447"/>
      <c r="M62447"/>
    </row>
    <row r="62448" spans="1:13" ht="12.75" customHeight="1" x14ac:dyDescent="0.25">
      <c r="A62448"/>
      <c r="B62448"/>
      <c r="C62448"/>
      <c r="M62448"/>
    </row>
    <row r="62449" spans="1:13" ht="12.75" customHeight="1" x14ac:dyDescent="0.25">
      <c r="A62449"/>
      <c r="B62449"/>
      <c r="C62449"/>
      <c r="M62449"/>
    </row>
    <row r="62450" spans="1:13" ht="12.75" customHeight="1" x14ac:dyDescent="0.25">
      <c r="A62450"/>
      <c r="B62450"/>
      <c r="C62450"/>
      <c r="M62450"/>
    </row>
    <row r="62451" spans="1:13" ht="12.75" customHeight="1" x14ac:dyDescent="0.25">
      <c r="A62451"/>
      <c r="B62451"/>
      <c r="C62451"/>
      <c r="M62451"/>
    </row>
    <row r="62452" spans="1:13" ht="12.75" customHeight="1" x14ac:dyDescent="0.25">
      <c r="A62452"/>
      <c r="B62452"/>
      <c r="C62452"/>
      <c r="M62452"/>
    </row>
    <row r="62453" spans="1:13" ht="12.75" customHeight="1" x14ac:dyDescent="0.25">
      <c r="A62453"/>
      <c r="B62453"/>
      <c r="C62453"/>
      <c r="M62453"/>
    </row>
    <row r="62454" spans="1:13" ht="12.75" customHeight="1" x14ac:dyDescent="0.25">
      <c r="A62454"/>
      <c r="B62454"/>
      <c r="C62454"/>
      <c r="M62454"/>
    </row>
    <row r="62455" spans="1:13" ht="12.75" customHeight="1" x14ac:dyDescent="0.25">
      <c r="A62455"/>
      <c r="B62455"/>
      <c r="C62455"/>
      <c r="M62455"/>
    </row>
    <row r="62456" spans="1:13" ht="12.75" customHeight="1" x14ac:dyDescent="0.25">
      <c r="A62456"/>
      <c r="B62456"/>
      <c r="C62456"/>
      <c r="M62456"/>
    </row>
    <row r="62457" spans="1:13" ht="12.75" customHeight="1" x14ac:dyDescent="0.25">
      <c r="A62457"/>
      <c r="B62457"/>
      <c r="C62457"/>
      <c r="M62457"/>
    </row>
    <row r="62458" spans="1:13" ht="12.75" customHeight="1" x14ac:dyDescent="0.25">
      <c r="A62458"/>
      <c r="B62458"/>
      <c r="C62458"/>
      <c r="M62458"/>
    </row>
    <row r="62459" spans="1:13" ht="12.75" customHeight="1" x14ac:dyDescent="0.25">
      <c r="A62459"/>
      <c r="B62459"/>
      <c r="C62459"/>
      <c r="M62459"/>
    </row>
    <row r="62460" spans="1:13" ht="12.75" customHeight="1" x14ac:dyDescent="0.25">
      <c r="A62460"/>
      <c r="B62460"/>
      <c r="C62460"/>
      <c r="M62460"/>
    </row>
    <row r="62461" spans="1:13" ht="12.75" customHeight="1" x14ac:dyDescent="0.25">
      <c r="A62461"/>
      <c r="B62461"/>
      <c r="C62461"/>
      <c r="M62461"/>
    </row>
    <row r="62462" spans="1:13" ht="12.75" customHeight="1" x14ac:dyDescent="0.25">
      <c r="A62462"/>
      <c r="B62462"/>
      <c r="C62462"/>
      <c r="M62462"/>
    </row>
    <row r="62463" spans="1:13" ht="12.75" customHeight="1" x14ac:dyDescent="0.25">
      <c r="A62463"/>
      <c r="B62463"/>
      <c r="C62463"/>
      <c r="M62463"/>
    </row>
    <row r="62464" spans="1:13" ht="12.75" customHeight="1" x14ac:dyDescent="0.25">
      <c r="A62464"/>
      <c r="B62464"/>
      <c r="C62464"/>
      <c r="M62464"/>
    </row>
    <row r="62465" spans="1:13" ht="12.75" customHeight="1" x14ac:dyDescent="0.25">
      <c r="A62465"/>
      <c r="B62465"/>
      <c r="C62465"/>
      <c r="M62465"/>
    </row>
    <row r="62466" spans="1:13" ht="12.75" customHeight="1" x14ac:dyDescent="0.25">
      <c r="A62466"/>
      <c r="B62466"/>
      <c r="C62466"/>
      <c r="M62466"/>
    </row>
    <row r="62467" spans="1:13" ht="12.75" customHeight="1" x14ac:dyDescent="0.25">
      <c r="A62467"/>
      <c r="B62467"/>
      <c r="C62467"/>
      <c r="M62467"/>
    </row>
    <row r="62468" spans="1:13" ht="12.75" customHeight="1" x14ac:dyDescent="0.25">
      <c r="A62468"/>
      <c r="B62468"/>
      <c r="C62468"/>
      <c r="M62468"/>
    </row>
    <row r="62469" spans="1:13" ht="12.75" customHeight="1" x14ac:dyDescent="0.25">
      <c r="A62469"/>
      <c r="B62469"/>
      <c r="C62469"/>
      <c r="M62469"/>
    </row>
    <row r="62470" spans="1:13" ht="12.75" customHeight="1" x14ac:dyDescent="0.25">
      <c r="A62470"/>
      <c r="B62470"/>
      <c r="C62470"/>
      <c r="M62470"/>
    </row>
    <row r="62471" spans="1:13" ht="12.75" customHeight="1" x14ac:dyDescent="0.25">
      <c r="A62471"/>
      <c r="B62471"/>
      <c r="C62471"/>
      <c r="M62471"/>
    </row>
    <row r="62472" spans="1:13" ht="12.75" customHeight="1" x14ac:dyDescent="0.25">
      <c r="A62472"/>
      <c r="B62472"/>
      <c r="C62472"/>
      <c r="M62472"/>
    </row>
    <row r="62473" spans="1:13" ht="12.75" customHeight="1" x14ac:dyDescent="0.25">
      <c r="A62473"/>
      <c r="B62473"/>
      <c r="C62473"/>
      <c r="M62473"/>
    </row>
    <row r="62474" spans="1:13" ht="12.75" customHeight="1" x14ac:dyDescent="0.25">
      <c r="A62474"/>
      <c r="B62474"/>
      <c r="C62474"/>
      <c r="M62474"/>
    </row>
    <row r="62475" spans="1:13" ht="12.75" customHeight="1" x14ac:dyDescent="0.25">
      <c r="A62475"/>
      <c r="B62475"/>
      <c r="C62475"/>
      <c r="M62475"/>
    </row>
    <row r="62476" spans="1:13" ht="12.75" customHeight="1" x14ac:dyDescent="0.25">
      <c r="A62476"/>
      <c r="B62476"/>
      <c r="C62476"/>
      <c r="M62476"/>
    </row>
    <row r="62477" spans="1:13" ht="12.75" customHeight="1" x14ac:dyDescent="0.25">
      <c r="A62477"/>
      <c r="B62477"/>
      <c r="C62477"/>
      <c r="M62477"/>
    </row>
    <row r="62478" spans="1:13" ht="12.75" customHeight="1" x14ac:dyDescent="0.25">
      <c r="A62478"/>
      <c r="B62478"/>
      <c r="C62478"/>
      <c r="M62478"/>
    </row>
    <row r="62479" spans="1:13" ht="12.75" customHeight="1" x14ac:dyDescent="0.25">
      <c r="A62479"/>
      <c r="B62479"/>
      <c r="C62479"/>
      <c r="M62479"/>
    </row>
    <row r="62480" spans="1:13" ht="12.75" customHeight="1" x14ac:dyDescent="0.25">
      <c r="A62480"/>
      <c r="B62480"/>
      <c r="C62480"/>
      <c r="M62480"/>
    </row>
    <row r="62481" spans="1:13" ht="12.75" customHeight="1" x14ac:dyDescent="0.25">
      <c r="A62481"/>
      <c r="B62481"/>
      <c r="C62481"/>
      <c r="M62481"/>
    </row>
    <row r="62482" spans="1:13" ht="12.75" customHeight="1" x14ac:dyDescent="0.25">
      <c r="A62482"/>
      <c r="B62482"/>
      <c r="C62482"/>
      <c r="M62482"/>
    </row>
    <row r="62483" spans="1:13" ht="12.75" customHeight="1" x14ac:dyDescent="0.25">
      <c r="A62483"/>
      <c r="B62483"/>
      <c r="C62483"/>
      <c r="M62483"/>
    </row>
    <row r="62484" spans="1:13" ht="12.75" customHeight="1" x14ac:dyDescent="0.25">
      <c r="A62484"/>
      <c r="B62484"/>
      <c r="C62484"/>
      <c r="M62484"/>
    </row>
    <row r="62485" spans="1:13" ht="12.75" customHeight="1" x14ac:dyDescent="0.25">
      <c r="A62485"/>
      <c r="B62485"/>
      <c r="C62485"/>
      <c r="M62485"/>
    </row>
    <row r="62486" spans="1:13" ht="12.75" customHeight="1" x14ac:dyDescent="0.25">
      <c r="A62486"/>
      <c r="B62486"/>
      <c r="C62486"/>
      <c r="M62486"/>
    </row>
    <row r="62487" spans="1:13" ht="12.75" customHeight="1" x14ac:dyDescent="0.25">
      <c r="A62487"/>
      <c r="B62487"/>
      <c r="C62487"/>
      <c r="M62487"/>
    </row>
    <row r="62488" spans="1:13" ht="12.75" customHeight="1" x14ac:dyDescent="0.25">
      <c r="A62488"/>
      <c r="B62488"/>
      <c r="C62488"/>
      <c r="M62488"/>
    </row>
    <row r="62489" spans="1:13" ht="12.75" customHeight="1" x14ac:dyDescent="0.25">
      <c r="A62489"/>
      <c r="B62489"/>
      <c r="C62489"/>
      <c r="M62489"/>
    </row>
    <row r="62490" spans="1:13" ht="12.75" customHeight="1" x14ac:dyDescent="0.25">
      <c r="A62490"/>
      <c r="B62490"/>
      <c r="C62490"/>
      <c r="M62490"/>
    </row>
    <row r="62491" spans="1:13" ht="12.75" customHeight="1" x14ac:dyDescent="0.25">
      <c r="A62491"/>
      <c r="B62491"/>
      <c r="C62491"/>
      <c r="M62491"/>
    </row>
    <row r="62492" spans="1:13" ht="12.75" customHeight="1" x14ac:dyDescent="0.25">
      <c r="A62492"/>
      <c r="B62492"/>
      <c r="C62492"/>
      <c r="M62492"/>
    </row>
    <row r="62493" spans="1:13" ht="12.75" customHeight="1" x14ac:dyDescent="0.25">
      <c r="A62493"/>
      <c r="B62493"/>
      <c r="C62493"/>
      <c r="M62493"/>
    </row>
    <row r="62494" spans="1:13" ht="12.75" customHeight="1" x14ac:dyDescent="0.25">
      <c r="A62494"/>
      <c r="B62494"/>
      <c r="C62494"/>
      <c r="M62494"/>
    </row>
    <row r="62495" spans="1:13" ht="12.75" customHeight="1" x14ac:dyDescent="0.25">
      <c r="A62495"/>
      <c r="B62495"/>
      <c r="C62495"/>
      <c r="M62495"/>
    </row>
    <row r="62496" spans="1:13" ht="12.75" customHeight="1" x14ac:dyDescent="0.25">
      <c r="A62496"/>
      <c r="B62496"/>
      <c r="C62496"/>
      <c r="M62496"/>
    </row>
    <row r="62497" spans="1:13" ht="12.75" customHeight="1" x14ac:dyDescent="0.25">
      <c r="A62497"/>
      <c r="B62497"/>
      <c r="C62497"/>
      <c r="M62497"/>
    </row>
    <row r="62498" spans="1:13" ht="12.75" customHeight="1" x14ac:dyDescent="0.25">
      <c r="A62498"/>
      <c r="B62498"/>
      <c r="C62498"/>
      <c r="M62498"/>
    </row>
    <row r="62499" spans="1:13" ht="12.75" customHeight="1" x14ac:dyDescent="0.25">
      <c r="A62499"/>
      <c r="B62499"/>
      <c r="C62499"/>
      <c r="M62499"/>
    </row>
    <row r="62500" spans="1:13" ht="12.75" customHeight="1" x14ac:dyDescent="0.25">
      <c r="A62500"/>
      <c r="B62500"/>
      <c r="C62500"/>
      <c r="M62500"/>
    </row>
    <row r="62501" spans="1:13" ht="12.75" customHeight="1" x14ac:dyDescent="0.25">
      <c r="A62501"/>
      <c r="B62501"/>
      <c r="C62501"/>
      <c r="M62501"/>
    </row>
    <row r="62502" spans="1:13" ht="12.75" customHeight="1" x14ac:dyDescent="0.25">
      <c r="A62502"/>
      <c r="B62502"/>
      <c r="C62502"/>
      <c r="M62502"/>
    </row>
    <row r="62503" spans="1:13" ht="12.75" customHeight="1" x14ac:dyDescent="0.25">
      <c r="A62503"/>
      <c r="B62503"/>
      <c r="C62503"/>
      <c r="M62503"/>
    </row>
    <row r="62504" spans="1:13" ht="12.75" customHeight="1" x14ac:dyDescent="0.25">
      <c r="A62504"/>
      <c r="B62504"/>
      <c r="C62504"/>
      <c r="M62504"/>
    </row>
    <row r="62505" spans="1:13" ht="12.75" customHeight="1" x14ac:dyDescent="0.25">
      <c r="A62505"/>
      <c r="B62505"/>
      <c r="C62505"/>
      <c r="M62505"/>
    </row>
    <row r="62506" spans="1:13" ht="12.75" customHeight="1" x14ac:dyDescent="0.25">
      <c r="A62506"/>
      <c r="B62506"/>
      <c r="C62506"/>
      <c r="M62506"/>
    </row>
    <row r="62507" spans="1:13" ht="12.75" customHeight="1" x14ac:dyDescent="0.25">
      <c r="A62507"/>
      <c r="B62507"/>
      <c r="C62507"/>
      <c r="M62507"/>
    </row>
    <row r="62508" spans="1:13" ht="12.75" customHeight="1" x14ac:dyDescent="0.25">
      <c r="A62508"/>
      <c r="B62508"/>
      <c r="C62508"/>
      <c r="M62508"/>
    </row>
    <row r="62509" spans="1:13" ht="12.75" customHeight="1" x14ac:dyDescent="0.25">
      <c r="A62509"/>
      <c r="B62509"/>
      <c r="C62509"/>
      <c r="M62509"/>
    </row>
    <row r="62510" spans="1:13" ht="12.75" customHeight="1" x14ac:dyDescent="0.25">
      <c r="A62510"/>
      <c r="B62510"/>
      <c r="C62510"/>
      <c r="M62510"/>
    </row>
    <row r="62511" spans="1:13" ht="12.75" customHeight="1" x14ac:dyDescent="0.25">
      <c r="A62511"/>
      <c r="B62511"/>
      <c r="C62511"/>
      <c r="M62511"/>
    </row>
    <row r="62512" spans="1:13" ht="12.75" customHeight="1" x14ac:dyDescent="0.25">
      <c r="A62512"/>
      <c r="B62512"/>
      <c r="C62512"/>
      <c r="M62512"/>
    </row>
    <row r="62513" spans="1:13" ht="12.75" customHeight="1" x14ac:dyDescent="0.25">
      <c r="A62513"/>
      <c r="B62513"/>
      <c r="C62513"/>
      <c r="M62513"/>
    </row>
    <row r="62514" spans="1:13" ht="12.75" customHeight="1" x14ac:dyDescent="0.25">
      <c r="A62514"/>
      <c r="B62514"/>
      <c r="C62514"/>
      <c r="M62514"/>
    </row>
    <row r="62515" spans="1:13" ht="12.75" customHeight="1" x14ac:dyDescent="0.25">
      <c r="A62515"/>
      <c r="B62515"/>
      <c r="C62515"/>
      <c r="M62515"/>
    </row>
    <row r="62516" spans="1:13" ht="12.75" customHeight="1" x14ac:dyDescent="0.25">
      <c r="A62516"/>
      <c r="B62516"/>
      <c r="C62516"/>
      <c r="M62516"/>
    </row>
    <row r="62517" spans="1:13" ht="12.75" customHeight="1" x14ac:dyDescent="0.25">
      <c r="A62517"/>
      <c r="B62517"/>
      <c r="C62517"/>
      <c r="M62517"/>
    </row>
    <row r="62518" spans="1:13" ht="12.75" customHeight="1" x14ac:dyDescent="0.25">
      <c r="A62518"/>
      <c r="B62518"/>
      <c r="C62518"/>
      <c r="M62518"/>
    </row>
    <row r="62519" spans="1:13" ht="12.75" customHeight="1" x14ac:dyDescent="0.25">
      <c r="A62519"/>
      <c r="B62519"/>
      <c r="C62519"/>
      <c r="M62519"/>
    </row>
    <row r="62520" spans="1:13" ht="12.75" customHeight="1" x14ac:dyDescent="0.25">
      <c r="A62520"/>
      <c r="B62520"/>
      <c r="C62520"/>
      <c r="M62520"/>
    </row>
    <row r="62521" spans="1:13" ht="12.75" customHeight="1" x14ac:dyDescent="0.25">
      <c r="A62521"/>
      <c r="B62521"/>
      <c r="C62521"/>
      <c r="M62521"/>
    </row>
    <row r="62522" spans="1:13" ht="12.75" customHeight="1" x14ac:dyDescent="0.25">
      <c r="A62522"/>
      <c r="B62522"/>
      <c r="C62522"/>
      <c r="M62522"/>
    </row>
    <row r="62523" spans="1:13" ht="12.75" customHeight="1" x14ac:dyDescent="0.25">
      <c r="A62523"/>
      <c r="B62523"/>
      <c r="C62523"/>
      <c r="M62523"/>
    </row>
    <row r="62524" spans="1:13" ht="12.75" customHeight="1" x14ac:dyDescent="0.25">
      <c r="A62524"/>
      <c r="B62524"/>
      <c r="C62524"/>
      <c r="M62524"/>
    </row>
    <row r="62525" spans="1:13" ht="12.75" customHeight="1" x14ac:dyDescent="0.25">
      <c r="A62525"/>
      <c r="B62525"/>
      <c r="C62525"/>
      <c r="M62525"/>
    </row>
    <row r="62526" spans="1:13" ht="12.75" customHeight="1" x14ac:dyDescent="0.25">
      <c r="A62526"/>
      <c r="B62526"/>
      <c r="C62526"/>
      <c r="M62526"/>
    </row>
    <row r="62527" spans="1:13" ht="12.75" customHeight="1" x14ac:dyDescent="0.25">
      <c r="A62527"/>
      <c r="B62527"/>
      <c r="C62527"/>
      <c r="M62527"/>
    </row>
    <row r="62528" spans="1:13" ht="12.75" customHeight="1" x14ac:dyDescent="0.25">
      <c r="A62528"/>
      <c r="B62528"/>
      <c r="C62528"/>
      <c r="M62528"/>
    </row>
    <row r="62529" spans="1:13" ht="12.75" customHeight="1" x14ac:dyDescent="0.25">
      <c r="A62529"/>
      <c r="B62529"/>
      <c r="C62529"/>
      <c r="M62529"/>
    </row>
    <row r="62530" spans="1:13" ht="12.75" customHeight="1" x14ac:dyDescent="0.25">
      <c r="A62530"/>
      <c r="B62530"/>
      <c r="C62530"/>
      <c r="M62530"/>
    </row>
    <row r="62531" spans="1:13" ht="12.75" customHeight="1" x14ac:dyDescent="0.25">
      <c r="A62531"/>
      <c r="B62531"/>
      <c r="C62531"/>
      <c r="M62531"/>
    </row>
    <row r="62532" spans="1:13" ht="12.75" customHeight="1" x14ac:dyDescent="0.25">
      <c r="A62532"/>
      <c r="B62532"/>
      <c r="C62532"/>
      <c r="M62532"/>
    </row>
    <row r="62533" spans="1:13" ht="12.75" customHeight="1" x14ac:dyDescent="0.25">
      <c r="A62533"/>
      <c r="B62533"/>
      <c r="C62533"/>
      <c r="M62533"/>
    </row>
    <row r="62534" spans="1:13" ht="12.75" customHeight="1" x14ac:dyDescent="0.25">
      <c r="A62534"/>
      <c r="B62534"/>
      <c r="C62534"/>
      <c r="M62534"/>
    </row>
    <row r="62535" spans="1:13" ht="12.75" customHeight="1" x14ac:dyDescent="0.25">
      <c r="A62535"/>
      <c r="B62535"/>
      <c r="C62535"/>
      <c r="M62535"/>
    </row>
    <row r="62536" spans="1:13" ht="12.75" customHeight="1" x14ac:dyDescent="0.25">
      <c r="A62536"/>
      <c r="B62536"/>
      <c r="C62536"/>
      <c r="M62536"/>
    </row>
    <row r="62537" spans="1:13" ht="12.75" customHeight="1" x14ac:dyDescent="0.25">
      <c r="A62537"/>
      <c r="B62537"/>
      <c r="C62537"/>
      <c r="M62537"/>
    </row>
    <row r="62538" spans="1:13" ht="12.75" customHeight="1" x14ac:dyDescent="0.25">
      <c r="A62538"/>
      <c r="B62538"/>
      <c r="C62538"/>
      <c r="M62538"/>
    </row>
    <row r="62539" spans="1:13" ht="12.75" customHeight="1" x14ac:dyDescent="0.25">
      <c r="A62539"/>
      <c r="B62539"/>
      <c r="C62539"/>
      <c r="M62539"/>
    </row>
    <row r="62540" spans="1:13" ht="12.75" customHeight="1" x14ac:dyDescent="0.25">
      <c r="A62540"/>
      <c r="B62540"/>
      <c r="C62540"/>
      <c r="M62540"/>
    </row>
    <row r="62541" spans="1:13" ht="12.75" customHeight="1" x14ac:dyDescent="0.25">
      <c r="A62541"/>
      <c r="B62541"/>
      <c r="C62541"/>
      <c r="M62541"/>
    </row>
    <row r="62542" spans="1:13" ht="12.75" customHeight="1" x14ac:dyDescent="0.25">
      <c r="A62542"/>
      <c r="B62542"/>
      <c r="C62542"/>
      <c r="M62542"/>
    </row>
    <row r="62543" spans="1:13" ht="12.75" customHeight="1" x14ac:dyDescent="0.25">
      <c r="A62543"/>
      <c r="B62543"/>
      <c r="C62543"/>
      <c r="M62543"/>
    </row>
    <row r="62544" spans="1:13" ht="12.75" customHeight="1" x14ac:dyDescent="0.25">
      <c r="A62544"/>
      <c r="B62544"/>
      <c r="C62544"/>
      <c r="M62544"/>
    </row>
    <row r="62545" spans="1:13" ht="12.75" customHeight="1" x14ac:dyDescent="0.25">
      <c r="A62545"/>
      <c r="B62545"/>
      <c r="C62545"/>
      <c r="M62545"/>
    </row>
    <row r="62546" spans="1:13" ht="12.75" customHeight="1" x14ac:dyDescent="0.25">
      <c r="A62546"/>
      <c r="B62546"/>
      <c r="C62546"/>
      <c r="M62546"/>
    </row>
    <row r="62547" spans="1:13" ht="12.75" customHeight="1" x14ac:dyDescent="0.25">
      <c r="A62547"/>
      <c r="B62547"/>
      <c r="C62547"/>
      <c r="M62547"/>
    </row>
    <row r="62548" spans="1:13" ht="12.75" customHeight="1" x14ac:dyDescent="0.25">
      <c r="A62548"/>
      <c r="B62548"/>
      <c r="C62548"/>
      <c r="M62548"/>
    </row>
    <row r="62549" spans="1:13" ht="12.75" customHeight="1" x14ac:dyDescent="0.25">
      <c r="A62549"/>
      <c r="B62549"/>
      <c r="C62549"/>
      <c r="M62549"/>
    </row>
    <row r="62550" spans="1:13" ht="12.75" customHeight="1" x14ac:dyDescent="0.25">
      <c r="A62550"/>
      <c r="B62550"/>
      <c r="C62550"/>
      <c r="M62550"/>
    </row>
    <row r="62551" spans="1:13" ht="12.75" customHeight="1" x14ac:dyDescent="0.25">
      <c r="A62551"/>
      <c r="B62551"/>
      <c r="C62551"/>
      <c r="M62551"/>
    </row>
    <row r="62552" spans="1:13" ht="12.75" customHeight="1" x14ac:dyDescent="0.25">
      <c r="A62552"/>
      <c r="B62552"/>
      <c r="C62552"/>
      <c r="M62552"/>
    </row>
    <row r="62553" spans="1:13" ht="12.75" customHeight="1" x14ac:dyDescent="0.25">
      <c r="A62553"/>
      <c r="B62553"/>
      <c r="C62553"/>
      <c r="M62553"/>
    </row>
    <row r="62554" spans="1:13" ht="12.75" customHeight="1" x14ac:dyDescent="0.25">
      <c r="A62554"/>
      <c r="B62554"/>
      <c r="C62554"/>
      <c r="M62554"/>
    </row>
    <row r="62555" spans="1:13" ht="12.75" customHeight="1" x14ac:dyDescent="0.25">
      <c r="A62555"/>
      <c r="B62555"/>
      <c r="C62555"/>
      <c r="M62555"/>
    </row>
    <row r="62556" spans="1:13" ht="12.75" customHeight="1" x14ac:dyDescent="0.25">
      <c r="A62556"/>
      <c r="B62556"/>
      <c r="C62556"/>
      <c r="M62556"/>
    </row>
    <row r="62557" spans="1:13" ht="12.75" customHeight="1" x14ac:dyDescent="0.25">
      <c r="A62557"/>
      <c r="B62557"/>
      <c r="C62557"/>
      <c r="M62557"/>
    </row>
    <row r="62558" spans="1:13" ht="12.75" customHeight="1" x14ac:dyDescent="0.25">
      <c r="A62558"/>
      <c r="B62558"/>
      <c r="C62558"/>
      <c r="M62558"/>
    </row>
    <row r="62559" spans="1:13" ht="12.75" customHeight="1" x14ac:dyDescent="0.25">
      <c r="A62559"/>
      <c r="B62559"/>
      <c r="C62559"/>
      <c r="M62559"/>
    </row>
    <row r="62560" spans="1:13" ht="12.75" customHeight="1" x14ac:dyDescent="0.25">
      <c r="A62560"/>
      <c r="B62560"/>
      <c r="C62560"/>
      <c r="M62560"/>
    </row>
    <row r="62561" spans="1:13" ht="12.75" customHeight="1" x14ac:dyDescent="0.25">
      <c r="A62561"/>
      <c r="B62561"/>
      <c r="C62561"/>
      <c r="M62561"/>
    </row>
    <row r="62562" spans="1:13" ht="12.75" customHeight="1" x14ac:dyDescent="0.25">
      <c r="A62562"/>
      <c r="B62562"/>
      <c r="C62562"/>
      <c r="M62562"/>
    </row>
    <row r="62563" spans="1:13" ht="12.75" customHeight="1" x14ac:dyDescent="0.25">
      <c r="A62563"/>
      <c r="B62563"/>
      <c r="C62563"/>
      <c r="M62563"/>
    </row>
    <row r="62564" spans="1:13" ht="12.75" customHeight="1" x14ac:dyDescent="0.25">
      <c r="A62564"/>
      <c r="B62564"/>
      <c r="C62564"/>
      <c r="M62564"/>
    </row>
    <row r="62565" spans="1:13" ht="12.75" customHeight="1" x14ac:dyDescent="0.25">
      <c r="A62565"/>
      <c r="B62565"/>
      <c r="C62565"/>
      <c r="M62565"/>
    </row>
    <row r="62566" spans="1:13" ht="12.75" customHeight="1" x14ac:dyDescent="0.25">
      <c r="A62566"/>
      <c r="B62566"/>
      <c r="C62566"/>
      <c r="M62566"/>
    </row>
    <row r="62567" spans="1:13" ht="12.75" customHeight="1" x14ac:dyDescent="0.25">
      <c r="A62567"/>
      <c r="B62567"/>
      <c r="C62567"/>
      <c r="M62567"/>
    </row>
    <row r="62568" spans="1:13" ht="12.75" customHeight="1" x14ac:dyDescent="0.25">
      <c r="A62568"/>
      <c r="B62568"/>
      <c r="C62568"/>
      <c r="M62568"/>
    </row>
    <row r="62569" spans="1:13" ht="12.75" customHeight="1" x14ac:dyDescent="0.25">
      <c r="A62569"/>
      <c r="B62569"/>
      <c r="C62569"/>
      <c r="M62569"/>
    </row>
    <row r="62570" spans="1:13" ht="12.75" customHeight="1" x14ac:dyDescent="0.25">
      <c r="A62570"/>
      <c r="B62570"/>
      <c r="C62570"/>
      <c r="M62570"/>
    </row>
    <row r="62571" spans="1:13" ht="12.75" customHeight="1" x14ac:dyDescent="0.25">
      <c r="A62571"/>
      <c r="B62571"/>
      <c r="C62571"/>
      <c r="M62571"/>
    </row>
    <row r="62572" spans="1:13" ht="12.75" customHeight="1" x14ac:dyDescent="0.25">
      <c r="A62572"/>
      <c r="B62572"/>
      <c r="C62572"/>
      <c r="M62572"/>
    </row>
    <row r="62573" spans="1:13" ht="12.75" customHeight="1" x14ac:dyDescent="0.25">
      <c r="A62573"/>
      <c r="B62573"/>
      <c r="C62573"/>
      <c r="M62573"/>
    </row>
    <row r="62574" spans="1:13" ht="12.75" customHeight="1" x14ac:dyDescent="0.25">
      <c r="A62574"/>
      <c r="B62574"/>
      <c r="C62574"/>
      <c r="M62574"/>
    </row>
    <row r="62575" spans="1:13" ht="12.75" customHeight="1" x14ac:dyDescent="0.25">
      <c r="A62575"/>
      <c r="B62575"/>
      <c r="C62575"/>
      <c r="M62575"/>
    </row>
    <row r="62576" spans="1:13" ht="12.75" customHeight="1" x14ac:dyDescent="0.25">
      <c r="A62576"/>
      <c r="B62576"/>
      <c r="C62576"/>
      <c r="M62576"/>
    </row>
    <row r="62577" spans="1:13" ht="12.75" customHeight="1" x14ac:dyDescent="0.25">
      <c r="A62577"/>
      <c r="B62577"/>
      <c r="C62577"/>
      <c r="M62577"/>
    </row>
    <row r="62578" spans="1:13" ht="12.75" customHeight="1" x14ac:dyDescent="0.25">
      <c r="A62578"/>
      <c r="B62578"/>
      <c r="C62578"/>
      <c r="M62578"/>
    </row>
    <row r="62579" spans="1:13" ht="12.75" customHeight="1" x14ac:dyDescent="0.25">
      <c r="A62579"/>
      <c r="B62579"/>
      <c r="C62579"/>
      <c r="M62579"/>
    </row>
    <row r="62580" spans="1:13" ht="12.75" customHeight="1" x14ac:dyDescent="0.25">
      <c r="A62580"/>
      <c r="B62580"/>
      <c r="C62580"/>
      <c r="M62580"/>
    </row>
    <row r="62581" spans="1:13" ht="12.75" customHeight="1" x14ac:dyDescent="0.25">
      <c r="A62581"/>
      <c r="B62581"/>
      <c r="C62581"/>
      <c r="M62581"/>
    </row>
    <row r="62582" spans="1:13" ht="12.75" customHeight="1" x14ac:dyDescent="0.25">
      <c r="A62582"/>
      <c r="B62582"/>
      <c r="C62582"/>
      <c r="M62582"/>
    </row>
    <row r="62583" spans="1:13" ht="12.75" customHeight="1" x14ac:dyDescent="0.25">
      <c r="A62583"/>
      <c r="B62583"/>
      <c r="C62583"/>
      <c r="M62583"/>
    </row>
    <row r="62584" spans="1:13" ht="12.75" customHeight="1" x14ac:dyDescent="0.25">
      <c r="A62584"/>
      <c r="B62584"/>
      <c r="C62584"/>
      <c r="M62584"/>
    </row>
    <row r="62585" spans="1:13" ht="12.75" customHeight="1" x14ac:dyDescent="0.25">
      <c r="A62585"/>
      <c r="B62585"/>
      <c r="C62585"/>
      <c r="M62585"/>
    </row>
    <row r="62586" spans="1:13" ht="12.75" customHeight="1" x14ac:dyDescent="0.25">
      <c r="A62586"/>
      <c r="B62586"/>
      <c r="C62586"/>
      <c r="M62586"/>
    </row>
    <row r="62587" spans="1:13" ht="12.75" customHeight="1" x14ac:dyDescent="0.25">
      <c r="A62587"/>
      <c r="B62587"/>
      <c r="C62587"/>
      <c r="M62587"/>
    </row>
    <row r="62588" spans="1:13" ht="12.75" customHeight="1" x14ac:dyDescent="0.25">
      <c r="A62588"/>
      <c r="B62588"/>
      <c r="C62588"/>
      <c r="M62588"/>
    </row>
    <row r="62589" spans="1:13" ht="12.75" customHeight="1" x14ac:dyDescent="0.25">
      <c r="A62589"/>
      <c r="B62589"/>
      <c r="C62589"/>
      <c r="M62589"/>
    </row>
    <row r="62590" spans="1:13" ht="12.75" customHeight="1" x14ac:dyDescent="0.25">
      <c r="A62590"/>
      <c r="B62590"/>
      <c r="C62590"/>
      <c r="M62590"/>
    </row>
    <row r="62591" spans="1:13" ht="12.75" customHeight="1" x14ac:dyDescent="0.25">
      <c r="A62591"/>
      <c r="B62591"/>
      <c r="C62591"/>
      <c r="M62591"/>
    </row>
    <row r="62592" spans="1:13" ht="12.75" customHeight="1" x14ac:dyDescent="0.25">
      <c r="A62592"/>
      <c r="B62592"/>
      <c r="C62592"/>
      <c r="M62592"/>
    </row>
    <row r="62593" spans="1:13" ht="12.75" customHeight="1" x14ac:dyDescent="0.25">
      <c r="A62593"/>
      <c r="B62593"/>
      <c r="C62593"/>
      <c r="M62593"/>
    </row>
    <row r="62594" spans="1:13" ht="12.75" customHeight="1" x14ac:dyDescent="0.25">
      <c r="A62594"/>
      <c r="B62594"/>
      <c r="C62594"/>
      <c r="M62594"/>
    </row>
    <row r="62595" spans="1:13" ht="12.75" customHeight="1" x14ac:dyDescent="0.25">
      <c r="A62595"/>
      <c r="B62595"/>
      <c r="C62595"/>
      <c r="M62595"/>
    </row>
    <row r="62596" spans="1:13" ht="12.75" customHeight="1" x14ac:dyDescent="0.25">
      <c r="A62596"/>
      <c r="B62596"/>
      <c r="C62596"/>
      <c r="M62596"/>
    </row>
    <row r="62597" spans="1:13" ht="12.75" customHeight="1" x14ac:dyDescent="0.25">
      <c r="A62597"/>
      <c r="B62597"/>
      <c r="C62597"/>
      <c r="M62597"/>
    </row>
    <row r="62598" spans="1:13" ht="12.75" customHeight="1" x14ac:dyDescent="0.25">
      <c r="A62598"/>
      <c r="B62598"/>
      <c r="C62598"/>
      <c r="M62598"/>
    </row>
    <row r="62599" spans="1:13" ht="12.75" customHeight="1" x14ac:dyDescent="0.25">
      <c r="A62599"/>
      <c r="B62599"/>
      <c r="C62599"/>
      <c r="M62599"/>
    </row>
    <row r="62600" spans="1:13" ht="12.75" customHeight="1" x14ac:dyDescent="0.25">
      <c r="A62600"/>
      <c r="B62600"/>
      <c r="C62600"/>
      <c r="M62600"/>
    </row>
    <row r="62601" spans="1:13" ht="12.75" customHeight="1" x14ac:dyDescent="0.25">
      <c r="A62601"/>
      <c r="B62601"/>
      <c r="C62601"/>
      <c r="M62601"/>
    </row>
    <row r="62602" spans="1:13" ht="12.75" customHeight="1" x14ac:dyDescent="0.25">
      <c r="A62602"/>
      <c r="B62602"/>
      <c r="C62602"/>
      <c r="M62602"/>
    </row>
    <row r="62603" spans="1:13" ht="12.75" customHeight="1" x14ac:dyDescent="0.25">
      <c r="A62603"/>
      <c r="B62603"/>
      <c r="C62603"/>
      <c r="M62603"/>
    </row>
    <row r="62604" spans="1:13" ht="12.75" customHeight="1" x14ac:dyDescent="0.25">
      <c r="A62604"/>
      <c r="B62604"/>
      <c r="C62604"/>
      <c r="M62604"/>
    </row>
    <row r="62605" spans="1:13" ht="12.75" customHeight="1" x14ac:dyDescent="0.25">
      <c r="A62605"/>
      <c r="B62605"/>
      <c r="C62605"/>
      <c r="M62605"/>
    </row>
    <row r="62606" spans="1:13" ht="12.75" customHeight="1" x14ac:dyDescent="0.25">
      <c r="A62606"/>
      <c r="B62606"/>
      <c r="C62606"/>
      <c r="M62606"/>
    </row>
    <row r="62607" spans="1:13" ht="12.75" customHeight="1" x14ac:dyDescent="0.25">
      <c r="A62607"/>
      <c r="B62607"/>
      <c r="C62607"/>
      <c r="M62607"/>
    </row>
    <row r="62608" spans="1:13" ht="12.75" customHeight="1" x14ac:dyDescent="0.25">
      <c r="A62608"/>
      <c r="B62608"/>
      <c r="C62608"/>
      <c r="M62608"/>
    </row>
    <row r="62609" spans="1:13" ht="12.75" customHeight="1" x14ac:dyDescent="0.25">
      <c r="A62609"/>
      <c r="B62609"/>
      <c r="C62609"/>
      <c r="M62609"/>
    </row>
    <row r="62610" spans="1:13" ht="12.75" customHeight="1" x14ac:dyDescent="0.25">
      <c r="A62610"/>
      <c r="B62610"/>
      <c r="C62610"/>
      <c r="M62610"/>
    </row>
    <row r="62611" spans="1:13" ht="12.75" customHeight="1" x14ac:dyDescent="0.25">
      <c r="A62611"/>
      <c r="B62611"/>
      <c r="C62611"/>
      <c r="M62611"/>
    </row>
    <row r="62612" spans="1:13" ht="12.75" customHeight="1" x14ac:dyDescent="0.25">
      <c r="A62612"/>
      <c r="B62612"/>
      <c r="C62612"/>
      <c r="M62612"/>
    </row>
    <row r="62613" spans="1:13" ht="12.75" customHeight="1" x14ac:dyDescent="0.25">
      <c r="A62613"/>
      <c r="B62613"/>
      <c r="C62613"/>
      <c r="M62613"/>
    </row>
    <row r="62614" spans="1:13" ht="12.75" customHeight="1" x14ac:dyDescent="0.25">
      <c r="A62614"/>
      <c r="B62614"/>
      <c r="C62614"/>
      <c r="M62614"/>
    </row>
    <row r="62615" spans="1:13" ht="12.75" customHeight="1" x14ac:dyDescent="0.25">
      <c r="A62615"/>
      <c r="B62615"/>
      <c r="C62615"/>
      <c r="M62615"/>
    </row>
    <row r="62616" spans="1:13" ht="12.75" customHeight="1" x14ac:dyDescent="0.25">
      <c r="A62616"/>
      <c r="B62616"/>
      <c r="C62616"/>
      <c r="M62616"/>
    </row>
    <row r="62617" spans="1:13" ht="12.75" customHeight="1" x14ac:dyDescent="0.25">
      <c r="A62617"/>
      <c r="B62617"/>
      <c r="C62617"/>
      <c r="M62617"/>
    </row>
    <row r="62618" spans="1:13" ht="12.75" customHeight="1" x14ac:dyDescent="0.25">
      <c r="A62618"/>
      <c r="B62618"/>
      <c r="C62618"/>
      <c r="M62618"/>
    </row>
    <row r="62619" spans="1:13" ht="12.75" customHeight="1" x14ac:dyDescent="0.25">
      <c r="A62619"/>
      <c r="B62619"/>
      <c r="C62619"/>
      <c r="M62619"/>
    </row>
    <row r="62620" spans="1:13" ht="12.75" customHeight="1" x14ac:dyDescent="0.25">
      <c r="A62620"/>
      <c r="B62620"/>
      <c r="C62620"/>
      <c r="M62620"/>
    </row>
    <row r="62621" spans="1:13" ht="12.75" customHeight="1" x14ac:dyDescent="0.25">
      <c r="A62621"/>
      <c r="B62621"/>
      <c r="C62621"/>
      <c r="M62621"/>
    </row>
    <row r="62622" spans="1:13" ht="12.75" customHeight="1" x14ac:dyDescent="0.25">
      <c r="A62622"/>
      <c r="B62622"/>
      <c r="C62622"/>
      <c r="M62622"/>
    </row>
    <row r="62623" spans="1:13" ht="12.75" customHeight="1" x14ac:dyDescent="0.25">
      <c r="A62623"/>
      <c r="B62623"/>
      <c r="C62623"/>
      <c r="M62623"/>
    </row>
    <row r="62624" spans="1:13" ht="12.75" customHeight="1" x14ac:dyDescent="0.25">
      <c r="A62624"/>
      <c r="B62624"/>
      <c r="C62624"/>
      <c r="M62624"/>
    </row>
    <row r="62625" spans="1:13" ht="12.75" customHeight="1" x14ac:dyDescent="0.25">
      <c r="A62625"/>
      <c r="B62625"/>
      <c r="C62625"/>
      <c r="M62625"/>
    </row>
    <row r="62626" spans="1:13" ht="12.75" customHeight="1" x14ac:dyDescent="0.25">
      <c r="A62626"/>
      <c r="B62626"/>
      <c r="C62626"/>
      <c r="M62626"/>
    </row>
    <row r="62627" spans="1:13" ht="12.75" customHeight="1" x14ac:dyDescent="0.25">
      <c r="A62627"/>
      <c r="B62627"/>
      <c r="C62627"/>
      <c r="M62627"/>
    </row>
    <row r="62628" spans="1:13" ht="12.75" customHeight="1" x14ac:dyDescent="0.25">
      <c r="A62628"/>
      <c r="B62628"/>
      <c r="C62628"/>
      <c r="M62628"/>
    </row>
    <row r="62629" spans="1:13" ht="12.75" customHeight="1" x14ac:dyDescent="0.25">
      <c r="A62629"/>
      <c r="B62629"/>
      <c r="C62629"/>
      <c r="M62629"/>
    </row>
    <row r="62630" spans="1:13" ht="12.75" customHeight="1" x14ac:dyDescent="0.25">
      <c r="A62630"/>
      <c r="B62630"/>
      <c r="C62630"/>
      <c r="M62630"/>
    </row>
    <row r="62631" spans="1:13" ht="12.75" customHeight="1" x14ac:dyDescent="0.25">
      <c r="A62631"/>
      <c r="B62631"/>
      <c r="C62631"/>
      <c r="M62631"/>
    </row>
    <row r="62632" spans="1:13" ht="12.75" customHeight="1" x14ac:dyDescent="0.25">
      <c r="A62632"/>
      <c r="B62632"/>
      <c r="C62632"/>
      <c r="M62632"/>
    </row>
    <row r="62633" spans="1:13" ht="12.75" customHeight="1" x14ac:dyDescent="0.25">
      <c r="A62633"/>
      <c r="B62633"/>
      <c r="C62633"/>
      <c r="M62633"/>
    </row>
    <row r="62634" spans="1:13" ht="12.75" customHeight="1" x14ac:dyDescent="0.25">
      <c r="A62634"/>
      <c r="B62634"/>
      <c r="C62634"/>
      <c r="M62634"/>
    </row>
    <row r="62635" spans="1:13" ht="12.75" customHeight="1" x14ac:dyDescent="0.25">
      <c r="A62635"/>
      <c r="B62635"/>
      <c r="C62635"/>
      <c r="M62635"/>
    </row>
    <row r="62636" spans="1:13" ht="12.75" customHeight="1" x14ac:dyDescent="0.25">
      <c r="A62636"/>
      <c r="B62636"/>
      <c r="C62636"/>
      <c r="M62636"/>
    </row>
    <row r="62637" spans="1:13" ht="12.75" customHeight="1" x14ac:dyDescent="0.25">
      <c r="A62637"/>
      <c r="B62637"/>
      <c r="C62637"/>
      <c r="M62637"/>
    </row>
    <row r="62638" spans="1:13" ht="12.75" customHeight="1" x14ac:dyDescent="0.25">
      <c r="A62638"/>
      <c r="B62638"/>
      <c r="C62638"/>
      <c r="M62638"/>
    </row>
    <row r="62639" spans="1:13" ht="12.75" customHeight="1" x14ac:dyDescent="0.25">
      <c r="A62639"/>
      <c r="B62639"/>
      <c r="C62639"/>
      <c r="M62639"/>
    </row>
    <row r="62640" spans="1:13" ht="12.75" customHeight="1" x14ac:dyDescent="0.25">
      <c r="A62640"/>
      <c r="B62640"/>
      <c r="C62640"/>
      <c r="M62640"/>
    </row>
    <row r="62641" spans="1:13" ht="12.75" customHeight="1" x14ac:dyDescent="0.25">
      <c r="A62641"/>
      <c r="B62641"/>
      <c r="C62641"/>
      <c r="M62641"/>
    </row>
    <row r="62642" spans="1:13" ht="12.75" customHeight="1" x14ac:dyDescent="0.25">
      <c r="A62642"/>
      <c r="B62642"/>
      <c r="C62642"/>
      <c r="M62642"/>
    </row>
    <row r="62643" spans="1:13" ht="12.75" customHeight="1" x14ac:dyDescent="0.25">
      <c r="A62643"/>
      <c r="B62643"/>
      <c r="C62643"/>
      <c r="M62643"/>
    </row>
    <row r="62644" spans="1:13" ht="12.75" customHeight="1" x14ac:dyDescent="0.25">
      <c r="A62644"/>
      <c r="B62644"/>
      <c r="C62644"/>
      <c r="M62644"/>
    </row>
    <row r="62645" spans="1:13" ht="12.75" customHeight="1" x14ac:dyDescent="0.25">
      <c r="A62645"/>
      <c r="B62645"/>
      <c r="C62645"/>
      <c r="M62645"/>
    </row>
    <row r="62646" spans="1:13" ht="12.75" customHeight="1" x14ac:dyDescent="0.25">
      <c r="A62646"/>
      <c r="B62646"/>
      <c r="C62646"/>
      <c r="M62646"/>
    </row>
    <row r="62647" spans="1:13" ht="12.75" customHeight="1" x14ac:dyDescent="0.25">
      <c r="A62647"/>
      <c r="B62647"/>
      <c r="C62647"/>
      <c r="M62647"/>
    </row>
    <row r="62648" spans="1:13" ht="12.75" customHeight="1" x14ac:dyDescent="0.25">
      <c r="A62648"/>
      <c r="B62648"/>
      <c r="C62648"/>
      <c r="M62648"/>
    </row>
    <row r="62649" spans="1:13" ht="12.75" customHeight="1" x14ac:dyDescent="0.25">
      <c r="A62649"/>
      <c r="B62649"/>
      <c r="C62649"/>
      <c r="M62649"/>
    </row>
    <row r="62650" spans="1:13" ht="12.75" customHeight="1" x14ac:dyDescent="0.25">
      <c r="A62650"/>
      <c r="B62650"/>
      <c r="C62650"/>
      <c r="M62650"/>
    </row>
    <row r="62651" spans="1:13" ht="12.75" customHeight="1" x14ac:dyDescent="0.25">
      <c r="A62651"/>
      <c r="B62651"/>
      <c r="C62651"/>
      <c r="M62651"/>
    </row>
    <row r="62652" spans="1:13" ht="12.75" customHeight="1" x14ac:dyDescent="0.25">
      <c r="A62652"/>
      <c r="B62652"/>
      <c r="C62652"/>
      <c r="M62652"/>
    </row>
    <row r="62653" spans="1:13" ht="12.75" customHeight="1" x14ac:dyDescent="0.25">
      <c r="A62653"/>
      <c r="B62653"/>
      <c r="C62653"/>
      <c r="M62653"/>
    </row>
    <row r="62654" spans="1:13" ht="12.75" customHeight="1" x14ac:dyDescent="0.25">
      <c r="A62654"/>
      <c r="B62654"/>
      <c r="C62654"/>
      <c r="M62654"/>
    </row>
    <row r="62655" spans="1:13" ht="12.75" customHeight="1" x14ac:dyDescent="0.25">
      <c r="A62655"/>
      <c r="B62655"/>
      <c r="C62655"/>
      <c r="M62655"/>
    </row>
    <row r="62656" spans="1:13" ht="12.75" customHeight="1" x14ac:dyDescent="0.25">
      <c r="A62656"/>
      <c r="B62656"/>
      <c r="C62656"/>
      <c r="M62656"/>
    </row>
    <row r="62657" spans="1:13" ht="12.75" customHeight="1" x14ac:dyDescent="0.25">
      <c r="A62657"/>
      <c r="B62657"/>
      <c r="C62657"/>
      <c r="M62657"/>
    </row>
    <row r="62658" spans="1:13" ht="12.75" customHeight="1" x14ac:dyDescent="0.25">
      <c r="A62658"/>
      <c r="B62658"/>
      <c r="C62658"/>
      <c r="M62658"/>
    </row>
    <row r="62659" spans="1:13" ht="12.75" customHeight="1" x14ac:dyDescent="0.25">
      <c r="A62659"/>
      <c r="B62659"/>
      <c r="C62659"/>
      <c r="M62659"/>
    </row>
    <row r="62660" spans="1:13" ht="12.75" customHeight="1" x14ac:dyDescent="0.25">
      <c r="A62660"/>
      <c r="B62660"/>
      <c r="C62660"/>
      <c r="M62660"/>
    </row>
    <row r="62661" spans="1:13" ht="12.75" customHeight="1" x14ac:dyDescent="0.25">
      <c r="A62661"/>
      <c r="B62661"/>
      <c r="C62661"/>
      <c r="M62661"/>
    </row>
    <row r="62662" spans="1:13" ht="12.75" customHeight="1" x14ac:dyDescent="0.25">
      <c r="A62662"/>
      <c r="B62662"/>
      <c r="C62662"/>
      <c r="M62662"/>
    </row>
    <row r="62663" spans="1:13" ht="12.75" customHeight="1" x14ac:dyDescent="0.25">
      <c r="A62663"/>
      <c r="B62663"/>
      <c r="C62663"/>
      <c r="M62663"/>
    </row>
    <row r="62664" spans="1:13" ht="12.75" customHeight="1" x14ac:dyDescent="0.25">
      <c r="A62664"/>
      <c r="B62664"/>
      <c r="C62664"/>
      <c r="M62664"/>
    </row>
    <row r="62665" spans="1:13" ht="12.75" customHeight="1" x14ac:dyDescent="0.25">
      <c r="A62665"/>
      <c r="B62665"/>
      <c r="C62665"/>
      <c r="M62665"/>
    </row>
    <row r="62666" spans="1:13" ht="12.75" customHeight="1" x14ac:dyDescent="0.25">
      <c r="A62666"/>
      <c r="B62666"/>
      <c r="C62666"/>
      <c r="M62666"/>
    </row>
    <row r="62667" spans="1:13" ht="12.75" customHeight="1" x14ac:dyDescent="0.25">
      <c r="A62667"/>
      <c r="B62667"/>
      <c r="C62667"/>
      <c r="M62667"/>
    </row>
    <row r="62668" spans="1:13" ht="12.75" customHeight="1" x14ac:dyDescent="0.25">
      <c r="A62668"/>
      <c r="B62668"/>
      <c r="C62668"/>
      <c r="M62668"/>
    </row>
    <row r="62669" spans="1:13" ht="12.75" customHeight="1" x14ac:dyDescent="0.25">
      <c r="A62669"/>
      <c r="B62669"/>
      <c r="C62669"/>
      <c r="M62669"/>
    </row>
    <row r="62670" spans="1:13" ht="12.75" customHeight="1" x14ac:dyDescent="0.25">
      <c r="A62670"/>
      <c r="B62670"/>
      <c r="C62670"/>
      <c r="M62670"/>
    </row>
    <row r="62671" spans="1:13" ht="12.75" customHeight="1" x14ac:dyDescent="0.25">
      <c r="A62671"/>
      <c r="B62671"/>
      <c r="C62671"/>
      <c r="M62671"/>
    </row>
    <row r="62672" spans="1:13" ht="12.75" customHeight="1" x14ac:dyDescent="0.25">
      <c r="A62672"/>
      <c r="B62672"/>
      <c r="C62672"/>
      <c r="M62672"/>
    </row>
    <row r="62673" spans="1:13" ht="12.75" customHeight="1" x14ac:dyDescent="0.25">
      <c r="A62673"/>
      <c r="B62673"/>
      <c r="C62673"/>
      <c r="M62673"/>
    </row>
    <row r="62674" spans="1:13" ht="12.75" customHeight="1" x14ac:dyDescent="0.25">
      <c r="A62674"/>
      <c r="B62674"/>
      <c r="C62674"/>
      <c r="M62674"/>
    </row>
    <row r="62675" spans="1:13" ht="12.75" customHeight="1" x14ac:dyDescent="0.25">
      <c r="A62675"/>
      <c r="B62675"/>
      <c r="C62675"/>
      <c r="M62675"/>
    </row>
    <row r="62676" spans="1:13" ht="12.75" customHeight="1" x14ac:dyDescent="0.25">
      <c r="A62676"/>
      <c r="B62676"/>
      <c r="C62676"/>
      <c r="M62676"/>
    </row>
    <row r="62677" spans="1:13" ht="12.75" customHeight="1" x14ac:dyDescent="0.25">
      <c r="A62677"/>
      <c r="B62677"/>
      <c r="C62677"/>
      <c r="M62677"/>
    </row>
    <row r="62678" spans="1:13" ht="12.75" customHeight="1" x14ac:dyDescent="0.25">
      <c r="A62678"/>
      <c r="B62678"/>
      <c r="C62678"/>
      <c r="M62678"/>
    </row>
    <row r="62679" spans="1:13" ht="12.75" customHeight="1" x14ac:dyDescent="0.25">
      <c r="A62679"/>
      <c r="B62679"/>
      <c r="C62679"/>
      <c r="M62679"/>
    </row>
    <row r="62680" spans="1:13" ht="12.75" customHeight="1" x14ac:dyDescent="0.25">
      <c r="A62680"/>
      <c r="B62680"/>
      <c r="C62680"/>
      <c r="M62680"/>
    </row>
    <row r="62681" spans="1:13" ht="12.75" customHeight="1" x14ac:dyDescent="0.25">
      <c r="A62681"/>
      <c r="B62681"/>
      <c r="C62681"/>
      <c r="M62681"/>
    </row>
    <row r="62682" spans="1:13" ht="12.75" customHeight="1" x14ac:dyDescent="0.25">
      <c r="A62682"/>
      <c r="B62682"/>
      <c r="C62682"/>
      <c r="M62682"/>
    </row>
    <row r="62683" spans="1:13" ht="12.75" customHeight="1" x14ac:dyDescent="0.25">
      <c r="A62683"/>
      <c r="B62683"/>
      <c r="C62683"/>
      <c r="M62683"/>
    </row>
    <row r="62684" spans="1:13" ht="12.75" customHeight="1" x14ac:dyDescent="0.25">
      <c r="A62684"/>
      <c r="B62684"/>
      <c r="C62684"/>
      <c r="M62684"/>
    </row>
    <row r="62685" spans="1:13" ht="12.75" customHeight="1" x14ac:dyDescent="0.25">
      <c r="A62685"/>
      <c r="B62685"/>
      <c r="C62685"/>
      <c r="M62685"/>
    </row>
    <row r="62686" spans="1:13" ht="12.75" customHeight="1" x14ac:dyDescent="0.25">
      <c r="A62686"/>
      <c r="B62686"/>
      <c r="C62686"/>
      <c r="M62686"/>
    </row>
    <row r="62687" spans="1:13" ht="12.75" customHeight="1" x14ac:dyDescent="0.25">
      <c r="A62687"/>
      <c r="B62687"/>
      <c r="C62687"/>
      <c r="M62687"/>
    </row>
    <row r="62688" spans="1:13" ht="12.75" customHeight="1" x14ac:dyDescent="0.25">
      <c r="A62688"/>
      <c r="B62688"/>
      <c r="C62688"/>
      <c r="M62688"/>
    </row>
    <row r="62689" spans="1:13" ht="12.75" customHeight="1" x14ac:dyDescent="0.25">
      <c r="A62689"/>
      <c r="B62689"/>
      <c r="C62689"/>
      <c r="M62689"/>
    </row>
    <row r="62690" spans="1:13" ht="12.75" customHeight="1" x14ac:dyDescent="0.25">
      <c r="A62690"/>
      <c r="B62690"/>
      <c r="C62690"/>
      <c r="M62690"/>
    </row>
    <row r="62691" spans="1:13" ht="12.75" customHeight="1" x14ac:dyDescent="0.25">
      <c r="A62691"/>
      <c r="B62691"/>
      <c r="C62691"/>
      <c r="M62691"/>
    </row>
    <row r="62692" spans="1:13" ht="12.75" customHeight="1" x14ac:dyDescent="0.25">
      <c r="A62692"/>
      <c r="B62692"/>
      <c r="C62692"/>
      <c r="M62692"/>
    </row>
    <row r="62693" spans="1:13" ht="12.75" customHeight="1" x14ac:dyDescent="0.25">
      <c r="A62693"/>
      <c r="B62693"/>
      <c r="C62693"/>
      <c r="M62693"/>
    </row>
    <row r="62694" spans="1:13" ht="12.75" customHeight="1" x14ac:dyDescent="0.25">
      <c r="A62694"/>
      <c r="B62694"/>
      <c r="C62694"/>
      <c r="M62694"/>
    </row>
    <row r="62695" spans="1:13" ht="12.75" customHeight="1" x14ac:dyDescent="0.25">
      <c r="A62695"/>
      <c r="B62695"/>
      <c r="C62695"/>
      <c r="M62695"/>
    </row>
    <row r="62696" spans="1:13" ht="12.75" customHeight="1" x14ac:dyDescent="0.25">
      <c r="A62696"/>
      <c r="B62696"/>
      <c r="C62696"/>
      <c r="M62696"/>
    </row>
    <row r="62697" spans="1:13" ht="12.75" customHeight="1" x14ac:dyDescent="0.25">
      <c r="A62697"/>
      <c r="B62697"/>
      <c r="C62697"/>
      <c r="M62697"/>
    </row>
    <row r="62698" spans="1:13" ht="12.75" customHeight="1" x14ac:dyDescent="0.25">
      <c r="A62698"/>
      <c r="B62698"/>
      <c r="C62698"/>
      <c r="M62698"/>
    </row>
    <row r="62699" spans="1:13" ht="12.75" customHeight="1" x14ac:dyDescent="0.25">
      <c r="A62699"/>
      <c r="B62699"/>
      <c r="C62699"/>
      <c r="M62699"/>
    </row>
    <row r="62700" spans="1:13" ht="12.75" customHeight="1" x14ac:dyDescent="0.25">
      <c r="A62700"/>
      <c r="B62700"/>
      <c r="C62700"/>
      <c r="M62700"/>
    </row>
    <row r="62701" spans="1:13" ht="12.75" customHeight="1" x14ac:dyDescent="0.25">
      <c r="A62701"/>
      <c r="B62701"/>
      <c r="C62701"/>
      <c r="M62701"/>
    </row>
    <row r="62702" spans="1:13" ht="12.75" customHeight="1" x14ac:dyDescent="0.25">
      <c r="A62702"/>
      <c r="B62702"/>
      <c r="C62702"/>
      <c r="M62702"/>
    </row>
    <row r="62703" spans="1:13" ht="12.75" customHeight="1" x14ac:dyDescent="0.25">
      <c r="A62703"/>
      <c r="B62703"/>
      <c r="C62703"/>
      <c r="M62703"/>
    </row>
    <row r="62704" spans="1:13" ht="12.75" customHeight="1" x14ac:dyDescent="0.25">
      <c r="A62704"/>
      <c r="B62704"/>
      <c r="C62704"/>
      <c r="M62704"/>
    </row>
    <row r="62705" spans="1:13" ht="12.75" customHeight="1" x14ac:dyDescent="0.25">
      <c r="A62705"/>
      <c r="B62705"/>
      <c r="C62705"/>
      <c r="M62705"/>
    </row>
    <row r="62706" spans="1:13" ht="12.75" customHeight="1" x14ac:dyDescent="0.25">
      <c r="A62706"/>
      <c r="B62706"/>
      <c r="C62706"/>
      <c r="M62706"/>
    </row>
    <row r="62707" spans="1:13" ht="12.75" customHeight="1" x14ac:dyDescent="0.25">
      <c r="A62707"/>
      <c r="B62707"/>
      <c r="C62707"/>
      <c r="M62707"/>
    </row>
    <row r="62708" spans="1:13" ht="12.75" customHeight="1" x14ac:dyDescent="0.25">
      <c r="A62708"/>
      <c r="B62708"/>
      <c r="C62708"/>
      <c r="M62708"/>
    </row>
    <row r="62709" spans="1:13" ht="12.75" customHeight="1" x14ac:dyDescent="0.25">
      <c r="A62709"/>
      <c r="B62709"/>
      <c r="C62709"/>
      <c r="M62709"/>
    </row>
    <row r="62710" spans="1:13" ht="12.75" customHeight="1" x14ac:dyDescent="0.25">
      <c r="A62710"/>
      <c r="B62710"/>
      <c r="C62710"/>
      <c r="M62710"/>
    </row>
    <row r="62711" spans="1:13" ht="12.75" customHeight="1" x14ac:dyDescent="0.25">
      <c r="A62711"/>
      <c r="B62711"/>
      <c r="C62711"/>
      <c r="M62711"/>
    </row>
    <row r="62712" spans="1:13" ht="12.75" customHeight="1" x14ac:dyDescent="0.25">
      <c r="A62712"/>
      <c r="B62712"/>
      <c r="C62712"/>
      <c r="M62712"/>
    </row>
    <row r="62713" spans="1:13" ht="12.75" customHeight="1" x14ac:dyDescent="0.25">
      <c r="A62713"/>
      <c r="B62713"/>
      <c r="C62713"/>
      <c r="M62713"/>
    </row>
    <row r="62714" spans="1:13" ht="12.75" customHeight="1" x14ac:dyDescent="0.25">
      <c r="A62714"/>
      <c r="B62714"/>
      <c r="C62714"/>
      <c r="M62714"/>
    </row>
    <row r="62715" spans="1:13" ht="12.75" customHeight="1" x14ac:dyDescent="0.25">
      <c r="A62715"/>
      <c r="B62715"/>
      <c r="C62715"/>
      <c r="M62715"/>
    </row>
    <row r="62716" spans="1:13" ht="12.75" customHeight="1" x14ac:dyDescent="0.25">
      <c r="A62716"/>
      <c r="B62716"/>
      <c r="C62716"/>
      <c r="M62716"/>
    </row>
    <row r="62717" spans="1:13" ht="12.75" customHeight="1" x14ac:dyDescent="0.25">
      <c r="A62717"/>
      <c r="B62717"/>
      <c r="C62717"/>
      <c r="M62717"/>
    </row>
    <row r="62718" spans="1:13" ht="12.75" customHeight="1" x14ac:dyDescent="0.25">
      <c r="A62718"/>
      <c r="B62718"/>
      <c r="C62718"/>
      <c r="M62718"/>
    </row>
    <row r="62719" spans="1:13" ht="12.75" customHeight="1" x14ac:dyDescent="0.25">
      <c r="A62719"/>
      <c r="B62719"/>
      <c r="C62719"/>
      <c r="M62719"/>
    </row>
    <row r="62720" spans="1:13" ht="12.75" customHeight="1" x14ac:dyDescent="0.25">
      <c r="A62720"/>
      <c r="B62720"/>
      <c r="C62720"/>
      <c r="M62720"/>
    </row>
    <row r="62721" spans="1:13" ht="12.75" customHeight="1" x14ac:dyDescent="0.25">
      <c r="A62721"/>
      <c r="B62721"/>
      <c r="C62721"/>
      <c r="M62721"/>
    </row>
    <row r="62722" spans="1:13" ht="12.75" customHeight="1" x14ac:dyDescent="0.25">
      <c r="A62722"/>
      <c r="B62722"/>
      <c r="C62722"/>
      <c r="M62722"/>
    </row>
    <row r="62723" spans="1:13" ht="12.75" customHeight="1" x14ac:dyDescent="0.25">
      <c r="A62723"/>
      <c r="B62723"/>
      <c r="C62723"/>
      <c r="M62723"/>
    </row>
    <row r="62724" spans="1:13" ht="12.75" customHeight="1" x14ac:dyDescent="0.25">
      <c r="A62724"/>
      <c r="B62724"/>
      <c r="C62724"/>
      <c r="M62724"/>
    </row>
    <row r="62725" spans="1:13" ht="12.75" customHeight="1" x14ac:dyDescent="0.25">
      <c r="A62725"/>
      <c r="B62725"/>
      <c r="C62725"/>
      <c r="M62725"/>
    </row>
    <row r="62726" spans="1:13" ht="12.75" customHeight="1" x14ac:dyDescent="0.25">
      <c r="A62726"/>
      <c r="B62726"/>
      <c r="C62726"/>
      <c r="M62726"/>
    </row>
    <row r="62727" spans="1:13" ht="12.75" customHeight="1" x14ac:dyDescent="0.25">
      <c r="A62727"/>
      <c r="B62727"/>
      <c r="C62727"/>
      <c r="M62727"/>
    </row>
    <row r="62728" spans="1:13" ht="12.75" customHeight="1" x14ac:dyDescent="0.25">
      <c r="A62728"/>
      <c r="B62728"/>
      <c r="C62728"/>
      <c r="M62728"/>
    </row>
    <row r="62729" spans="1:13" ht="12.75" customHeight="1" x14ac:dyDescent="0.25">
      <c r="A62729"/>
      <c r="B62729"/>
      <c r="C62729"/>
      <c r="M62729"/>
    </row>
    <row r="62730" spans="1:13" ht="12.75" customHeight="1" x14ac:dyDescent="0.25">
      <c r="A62730"/>
      <c r="B62730"/>
      <c r="C62730"/>
      <c r="M62730"/>
    </row>
    <row r="62731" spans="1:13" ht="12.75" customHeight="1" x14ac:dyDescent="0.25">
      <c r="A62731"/>
      <c r="B62731"/>
      <c r="C62731"/>
      <c r="M62731"/>
    </row>
    <row r="62732" spans="1:13" ht="12.75" customHeight="1" x14ac:dyDescent="0.25">
      <c r="A62732"/>
      <c r="B62732"/>
      <c r="C62732"/>
      <c r="M62732"/>
    </row>
    <row r="62733" spans="1:13" ht="12.75" customHeight="1" x14ac:dyDescent="0.25">
      <c r="A62733"/>
      <c r="B62733"/>
      <c r="C62733"/>
      <c r="M62733"/>
    </row>
    <row r="62734" spans="1:13" ht="12.75" customHeight="1" x14ac:dyDescent="0.25">
      <c r="A62734"/>
      <c r="B62734"/>
      <c r="C62734"/>
      <c r="M62734"/>
    </row>
    <row r="62735" spans="1:13" ht="12.75" customHeight="1" x14ac:dyDescent="0.25">
      <c r="A62735"/>
      <c r="B62735"/>
      <c r="C62735"/>
      <c r="M62735"/>
    </row>
    <row r="62736" spans="1:13" ht="12.75" customHeight="1" x14ac:dyDescent="0.25">
      <c r="A62736"/>
      <c r="B62736"/>
      <c r="C62736"/>
      <c r="M62736"/>
    </row>
    <row r="62737" spans="1:13" ht="12.75" customHeight="1" x14ac:dyDescent="0.25">
      <c r="A62737"/>
      <c r="B62737"/>
      <c r="C62737"/>
      <c r="M62737"/>
    </row>
    <row r="62738" spans="1:13" ht="12.75" customHeight="1" x14ac:dyDescent="0.25">
      <c r="A62738"/>
      <c r="B62738"/>
      <c r="C62738"/>
      <c r="M62738"/>
    </row>
    <row r="62739" spans="1:13" ht="12.75" customHeight="1" x14ac:dyDescent="0.25">
      <c r="A62739"/>
      <c r="B62739"/>
      <c r="C62739"/>
      <c r="M62739"/>
    </row>
    <row r="62740" spans="1:13" ht="12.75" customHeight="1" x14ac:dyDescent="0.25">
      <c r="A62740"/>
      <c r="B62740"/>
      <c r="C62740"/>
      <c r="M62740"/>
    </row>
    <row r="62741" spans="1:13" ht="12.75" customHeight="1" x14ac:dyDescent="0.25">
      <c r="A62741"/>
      <c r="B62741"/>
      <c r="C62741"/>
      <c r="M62741"/>
    </row>
    <row r="62742" spans="1:13" ht="12.75" customHeight="1" x14ac:dyDescent="0.25">
      <c r="A62742"/>
      <c r="B62742"/>
      <c r="C62742"/>
      <c r="M62742"/>
    </row>
    <row r="62743" spans="1:13" ht="12.75" customHeight="1" x14ac:dyDescent="0.25">
      <c r="A62743"/>
      <c r="B62743"/>
      <c r="C62743"/>
      <c r="M62743"/>
    </row>
    <row r="62744" spans="1:13" ht="12.75" customHeight="1" x14ac:dyDescent="0.25">
      <c r="A62744"/>
      <c r="B62744"/>
      <c r="C62744"/>
      <c r="M62744"/>
    </row>
    <row r="62745" spans="1:13" ht="12.75" customHeight="1" x14ac:dyDescent="0.25">
      <c r="A62745"/>
      <c r="B62745"/>
      <c r="C62745"/>
      <c r="M62745"/>
    </row>
    <row r="62746" spans="1:13" ht="12.75" customHeight="1" x14ac:dyDescent="0.25">
      <c r="A62746"/>
      <c r="B62746"/>
      <c r="C62746"/>
      <c r="M62746"/>
    </row>
    <row r="62747" spans="1:13" ht="12.75" customHeight="1" x14ac:dyDescent="0.25">
      <c r="A62747"/>
      <c r="B62747"/>
      <c r="C62747"/>
      <c r="M62747"/>
    </row>
    <row r="62748" spans="1:13" ht="12.75" customHeight="1" x14ac:dyDescent="0.25">
      <c r="A62748"/>
      <c r="B62748"/>
      <c r="C62748"/>
      <c r="M62748"/>
    </row>
    <row r="62749" spans="1:13" ht="12.75" customHeight="1" x14ac:dyDescent="0.25">
      <c r="A62749"/>
      <c r="B62749"/>
      <c r="C62749"/>
      <c r="M62749"/>
    </row>
    <row r="62750" spans="1:13" ht="12.75" customHeight="1" x14ac:dyDescent="0.25">
      <c r="A62750"/>
      <c r="B62750"/>
      <c r="C62750"/>
      <c r="M62750"/>
    </row>
    <row r="62751" spans="1:13" ht="12.75" customHeight="1" x14ac:dyDescent="0.25">
      <c r="A62751"/>
      <c r="B62751"/>
      <c r="C62751"/>
      <c r="M62751"/>
    </row>
    <row r="62752" spans="1:13" ht="12.75" customHeight="1" x14ac:dyDescent="0.25">
      <c r="A62752"/>
      <c r="B62752"/>
      <c r="C62752"/>
      <c r="M62752"/>
    </row>
    <row r="62753" spans="1:13" ht="12.75" customHeight="1" x14ac:dyDescent="0.25">
      <c r="A62753"/>
      <c r="B62753"/>
      <c r="C62753"/>
      <c r="M62753"/>
    </row>
    <row r="62754" spans="1:13" ht="12.75" customHeight="1" x14ac:dyDescent="0.25">
      <c r="A62754"/>
      <c r="B62754"/>
      <c r="C62754"/>
      <c r="M62754"/>
    </row>
    <row r="62755" spans="1:13" ht="12.75" customHeight="1" x14ac:dyDescent="0.25">
      <c r="A62755"/>
      <c r="B62755"/>
      <c r="C62755"/>
      <c r="M62755"/>
    </row>
    <row r="62756" spans="1:13" ht="12.75" customHeight="1" x14ac:dyDescent="0.25">
      <c r="A62756"/>
      <c r="B62756"/>
      <c r="C62756"/>
      <c r="M62756"/>
    </row>
    <row r="62757" spans="1:13" ht="12.75" customHeight="1" x14ac:dyDescent="0.25">
      <c r="A62757"/>
      <c r="B62757"/>
      <c r="C62757"/>
      <c r="M62757"/>
    </row>
    <row r="62758" spans="1:13" ht="12.75" customHeight="1" x14ac:dyDescent="0.25">
      <c r="A62758"/>
      <c r="B62758"/>
      <c r="C62758"/>
      <c r="M62758"/>
    </row>
    <row r="62759" spans="1:13" ht="12.75" customHeight="1" x14ac:dyDescent="0.25">
      <c r="A62759"/>
      <c r="B62759"/>
      <c r="C62759"/>
      <c r="M62759"/>
    </row>
    <row r="62760" spans="1:13" ht="12.75" customHeight="1" x14ac:dyDescent="0.25">
      <c r="A62760"/>
      <c r="B62760"/>
      <c r="C62760"/>
      <c r="M62760"/>
    </row>
    <row r="62761" spans="1:13" ht="12.75" customHeight="1" x14ac:dyDescent="0.25">
      <c r="A62761"/>
      <c r="B62761"/>
      <c r="C62761"/>
      <c r="M62761"/>
    </row>
    <row r="62762" spans="1:13" ht="12.75" customHeight="1" x14ac:dyDescent="0.25">
      <c r="A62762"/>
      <c r="B62762"/>
      <c r="C62762"/>
      <c r="M62762"/>
    </row>
    <row r="62763" spans="1:13" ht="12.75" customHeight="1" x14ac:dyDescent="0.25">
      <c r="A62763"/>
      <c r="B62763"/>
      <c r="C62763"/>
      <c r="M62763"/>
    </row>
    <row r="62764" spans="1:13" ht="12.75" customHeight="1" x14ac:dyDescent="0.25">
      <c r="A62764"/>
      <c r="B62764"/>
      <c r="C62764"/>
      <c r="M62764"/>
    </row>
    <row r="62765" spans="1:13" ht="12.75" customHeight="1" x14ac:dyDescent="0.25">
      <c r="A62765"/>
      <c r="B62765"/>
      <c r="C62765"/>
      <c r="M62765"/>
    </row>
    <row r="62766" spans="1:13" ht="12.75" customHeight="1" x14ac:dyDescent="0.25">
      <c r="A62766"/>
      <c r="B62766"/>
      <c r="C62766"/>
      <c r="M62766"/>
    </row>
    <row r="62767" spans="1:13" ht="12.75" customHeight="1" x14ac:dyDescent="0.25">
      <c r="A62767"/>
      <c r="B62767"/>
      <c r="C62767"/>
      <c r="M62767"/>
    </row>
    <row r="62768" spans="1:13" ht="12.75" customHeight="1" x14ac:dyDescent="0.25">
      <c r="A62768"/>
      <c r="B62768"/>
      <c r="C62768"/>
      <c r="M62768"/>
    </row>
    <row r="62769" spans="1:13" ht="12.75" customHeight="1" x14ac:dyDescent="0.25">
      <c r="A62769"/>
      <c r="B62769"/>
      <c r="C62769"/>
      <c r="M62769"/>
    </row>
    <row r="62770" spans="1:13" ht="12.75" customHeight="1" x14ac:dyDescent="0.25">
      <c r="A62770"/>
      <c r="B62770"/>
      <c r="C62770"/>
      <c r="M62770"/>
    </row>
    <row r="62771" spans="1:13" ht="12.75" customHeight="1" x14ac:dyDescent="0.25">
      <c r="A62771"/>
      <c r="B62771"/>
      <c r="C62771"/>
      <c r="M62771"/>
    </row>
    <row r="62772" spans="1:13" ht="12.75" customHeight="1" x14ac:dyDescent="0.25">
      <c r="A62772"/>
      <c r="B62772"/>
      <c r="C62772"/>
      <c r="M62772"/>
    </row>
    <row r="62773" spans="1:13" ht="12.75" customHeight="1" x14ac:dyDescent="0.25">
      <c r="A62773"/>
      <c r="B62773"/>
      <c r="C62773"/>
      <c r="M62773"/>
    </row>
    <row r="62774" spans="1:13" ht="12.75" customHeight="1" x14ac:dyDescent="0.25">
      <c r="A62774"/>
      <c r="B62774"/>
      <c r="C62774"/>
      <c r="M62774"/>
    </row>
    <row r="62775" spans="1:13" ht="12.75" customHeight="1" x14ac:dyDescent="0.25">
      <c r="A62775"/>
      <c r="B62775"/>
      <c r="C62775"/>
      <c r="M62775"/>
    </row>
    <row r="62776" spans="1:13" ht="12.75" customHeight="1" x14ac:dyDescent="0.25">
      <c r="A62776"/>
      <c r="B62776"/>
      <c r="C62776"/>
      <c r="M62776"/>
    </row>
    <row r="62777" spans="1:13" ht="12.75" customHeight="1" x14ac:dyDescent="0.25">
      <c r="A62777"/>
      <c r="B62777"/>
      <c r="C62777"/>
      <c r="M62777"/>
    </row>
    <row r="62778" spans="1:13" ht="12.75" customHeight="1" x14ac:dyDescent="0.25">
      <c r="A62778"/>
      <c r="B62778"/>
      <c r="C62778"/>
      <c r="M62778"/>
    </row>
    <row r="62779" spans="1:13" ht="12.75" customHeight="1" x14ac:dyDescent="0.25">
      <c r="A62779"/>
      <c r="B62779"/>
      <c r="C62779"/>
      <c r="M62779"/>
    </row>
    <row r="62780" spans="1:13" ht="12.75" customHeight="1" x14ac:dyDescent="0.25">
      <c r="A62780"/>
      <c r="B62780"/>
      <c r="C62780"/>
      <c r="M62780"/>
    </row>
    <row r="62781" spans="1:13" ht="12.75" customHeight="1" x14ac:dyDescent="0.25">
      <c r="A62781"/>
      <c r="B62781"/>
      <c r="C62781"/>
      <c r="M62781"/>
    </row>
    <row r="62782" spans="1:13" ht="12.75" customHeight="1" x14ac:dyDescent="0.25">
      <c r="A62782"/>
      <c r="B62782"/>
      <c r="C62782"/>
      <c r="M62782"/>
    </row>
    <row r="62783" spans="1:13" ht="12.75" customHeight="1" x14ac:dyDescent="0.25">
      <c r="A62783"/>
      <c r="B62783"/>
      <c r="C62783"/>
      <c r="M62783"/>
    </row>
    <row r="62784" spans="1:13" ht="12.75" customHeight="1" x14ac:dyDescent="0.25">
      <c r="A62784"/>
      <c r="B62784"/>
      <c r="C62784"/>
      <c r="M62784"/>
    </row>
    <row r="62785" spans="1:13" ht="12.75" customHeight="1" x14ac:dyDescent="0.25">
      <c r="A62785"/>
      <c r="B62785"/>
      <c r="C62785"/>
      <c r="M62785"/>
    </row>
    <row r="62786" spans="1:13" ht="12.75" customHeight="1" x14ac:dyDescent="0.25">
      <c r="A62786"/>
      <c r="B62786"/>
      <c r="C62786"/>
      <c r="M62786"/>
    </row>
    <row r="62787" spans="1:13" ht="12.75" customHeight="1" x14ac:dyDescent="0.25">
      <c r="A62787"/>
      <c r="B62787"/>
      <c r="C62787"/>
      <c r="M62787"/>
    </row>
    <row r="62788" spans="1:13" ht="12.75" customHeight="1" x14ac:dyDescent="0.25">
      <c r="A62788"/>
      <c r="B62788"/>
      <c r="C62788"/>
      <c r="M62788"/>
    </row>
    <row r="62789" spans="1:13" ht="12.75" customHeight="1" x14ac:dyDescent="0.25">
      <c r="A62789"/>
      <c r="B62789"/>
      <c r="C62789"/>
      <c r="M62789"/>
    </row>
    <row r="62790" spans="1:13" ht="12.75" customHeight="1" x14ac:dyDescent="0.25">
      <c r="A62790"/>
      <c r="B62790"/>
      <c r="C62790"/>
      <c r="M62790"/>
    </row>
    <row r="62791" spans="1:13" ht="12.75" customHeight="1" x14ac:dyDescent="0.25">
      <c r="A62791"/>
      <c r="B62791"/>
      <c r="C62791"/>
      <c r="M62791"/>
    </row>
    <row r="62792" spans="1:13" ht="12.75" customHeight="1" x14ac:dyDescent="0.25">
      <c r="A62792"/>
      <c r="B62792"/>
      <c r="C62792"/>
      <c r="M62792"/>
    </row>
    <row r="62793" spans="1:13" ht="12.75" customHeight="1" x14ac:dyDescent="0.25">
      <c r="A62793"/>
      <c r="B62793"/>
      <c r="C62793"/>
      <c r="M62793"/>
    </row>
    <row r="62794" spans="1:13" ht="12.75" customHeight="1" x14ac:dyDescent="0.25">
      <c r="A62794"/>
      <c r="B62794"/>
      <c r="C62794"/>
      <c r="M62794"/>
    </row>
    <row r="62795" spans="1:13" ht="12.75" customHeight="1" x14ac:dyDescent="0.25">
      <c r="A62795"/>
      <c r="B62795"/>
      <c r="C62795"/>
      <c r="M62795"/>
    </row>
    <row r="62796" spans="1:13" ht="12.75" customHeight="1" x14ac:dyDescent="0.25">
      <c r="A62796"/>
      <c r="B62796"/>
      <c r="C62796"/>
      <c r="M62796"/>
    </row>
    <row r="62797" spans="1:13" ht="12.75" customHeight="1" x14ac:dyDescent="0.25">
      <c r="A62797"/>
      <c r="B62797"/>
      <c r="C62797"/>
      <c r="M62797"/>
    </row>
    <row r="62798" spans="1:13" ht="12.75" customHeight="1" x14ac:dyDescent="0.25">
      <c r="A62798"/>
      <c r="B62798"/>
      <c r="C62798"/>
      <c r="M62798"/>
    </row>
    <row r="62799" spans="1:13" ht="12.75" customHeight="1" x14ac:dyDescent="0.25">
      <c r="A62799"/>
      <c r="B62799"/>
      <c r="C62799"/>
      <c r="M62799"/>
    </row>
    <row r="62800" spans="1:13" ht="12.75" customHeight="1" x14ac:dyDescent="0.25">
      <c r="A62800"/>
      <c r="B62800"/>
      <c r="C62800"/>
      <c r="M62800"/>
    </row>
    <row r="62801" spans="1:13" ht="12.75" customHeight="1" x14ac:dyDescent="0.25">
      <c r="A62801"/>
      <c r="B62801"/>
      <c r="C62801"/>
      <c r="M62801"/>
    </row>
    <row r="62802" spans="1:13" ht="12.75" customHeight="1" x14ac:dyDescent="0.25">
      <c r="A62802"/>
      <c r="B62802"/>
      <c r="C62802"/>
      <c r="M62802"/>
    </row>
    <row r="62803" spans="1:13" ht="12.75" customHeight="1" x14ac:dyDescent="0.25">
      <c r="A62803"/>
      <c r="B62803"/>
      <c r="C62803"/>
      <c r="M62803"/>
    </row>
    <row r="62804" spans="1:13" ht="12.75" customHeight="1" x14ac:dyDescent="0.25">
      <c r="A62804"/>
      <c r="B62804"/>
      <c r="C62804"/>
      <c r="M62804"/>
    </row>
    <row r="62805" spans="1:13" ht="12.75" customHeight="1" x14ac:dyDescent="0.25">
      <c r="A62805"/>
      <c r="B62805"/>
      <c r="C62805"/>
      <c r="M62805"/>
    </row>
    <row r="62806" spans="1:13" ht="12.75" customHeight="1" x14ac:dyDescent="0.25">
      <c r="A62806"/>
      <c r="B62806"/>
      <c r="C62806"/>
      <c r="M62806"/>
    </row>
    <row r="62807" spans="1:13" ht="12.75" customHeight="1" x14ac:dyDescent="0.25">
      <c r="A62807"/>
      <c r="B62807"/>
      <c r="C62807"/>
      <c r="M62807"/>
    </row>
    <row r="62808" spans="1:13" ht="12.75" customHeight="1" x14ac:dyDescent="0.25">
      <c r="A62808"/>
      <c r="B62808"/>
      <c r="C62808"/>
      <c r="M62808"/>
    </row>
    <row r="62809" spans="1:13" ht="12.75" customHeight="1" x14ac:dyDescent="0.25">
      <c r="A62809"/>
      <c r="B62809"/>
      <c r="C62809"/>
      <c r="M62809"/>
    </row>
    <row r="62810" spans="1:13" ht="12.75" customHeight="1" x14ac:dyDescent="0.25">
      <c r="A62810"/>
      <c r="B62810"/>
      <c r="C62810"/>
      <c r="M62810"/>
    </row>
    <row r="62811" spans="1:13" ht="12.75" customHeight="1" x14ac:dyDescent="0.25">
      <c r="A62811"/>
      <c r="B62811"/>
      <c r="C62811"/>
      <c r="M62811"/>
    </row>
    <row r="62812" spans="1:13" ht="12.75" customHeight="1" x14ac:dyDescent="0.25">
      <c r="A62812"/>
      <c r="B62812"/>
      <c r="C62812"/>
      <c r="M62812"/>
    </row>
    <row r="62813" spans="1:13" ht="12.75" customHeight="1" x14ac:dyDescent="0.25">
      <c r="A62813"/>
      <c r="B62813"/>
      <c r="C62813"/>
      <c r="M62813"/>
    </row>
    <row r="62814" spans="1:13" ht="12.75" customHeight="1" x14ac:dyDescent="0.25">
      <c r="A62814"/>
      <c r="B62814"/>
      <c r="C62814"/>
      <c r="M62814"/>
    </row>
    <row r="62815" spans="1:13" ht="12.75" customHeight="1" x14ac:dyDescent="0.25">
      <c r="A62815"/>
      <c r="B62815"/>
      <c r="C62815"/>
      <c r="M62815"/>
    </row>
    <row r="62816" spans="1:13" ht="12.75" customHeight="1" x14ac:dyDescent="0.25">
      <c r="A62816"/>
      <c r="B62816"/>
      <c r="C62816"/>
      <c r="M62816"/>
    </row>
    <row r="62817" spans="1:13" ht="12.75" customHeight="1" x14ac:dyDescent="0.25">
      <c r="A62817"/>
      <c r="B62817"/>
      <c r="C62817"/>
      <c r="M62817"/>
    </row>
    <row r="62818" spans="1:13" ht="12.75" customHeight="1" x14ac:dyDescent="0.25">
      <c r="A62818"/>
      <c r="B62818"/>
      <c r="C62818"/>
      <c r="M62818"/>
    </row>
    <row r="62819" spans="1:13" ht="12.75" customHeight="1" x14ac:dyDescent="0.25">
      <c r="A62819"/>
      <c r="B62819"/>
      <c r="C62819"/>
      <c r="M62819"/>
    </row>
    <row r="62820" spans="1:13" ht="12.75" customHeight="1" x14ac:dyDescent="0.25">
      <c r="A62820"/>
      <c r="B62820"/>
      <c r="C62820"/>
      <c r="M62820"/>
    </row>
    <row r="62821" spans="1:13" ht="12.75" customHeight="1" x14ac:dyDescent="0.25">
      <c r="A62821"/>
      <c r="B62821"/>
      <c r="C62821"/>
      <c r="M62821"/>
    </row>
    <row r="62822" spans="1:13" ht="12.75" customHeight="1" x14ac:dyDescent="0.25">
      <c r="A62822"/>
      <c r="B62822"/>
      <c r="C62822"/>
      <c r="M62822"/>
    </row>
    <row r="62823" spans="1:13" ht="12.75" customHeight="1" x14ac:dyDescent="0.25">
      <c r="A62823"/>
      <c r="B62823"/>
      <c r="C62823"/>
      <c r="M62823"/>
    </row>
    <row r="62824" spans="1:13" ht="12.75" customHeight="1" x14ac:dyDescent="0.25">
      <c r="A62824"/>
      <c r="B62824"/>
      <c r="C62824"/>
      <c r="M62824"/>
    </row>
    <row r="62825" spans="1:13" ht="12.75" customHeight="1" x14ac:dyDescent="0.25">
      <c r="A62825"/>
      <c r="B62825"/>
      <c r="C62825"/>
      <c r="M62825"/>
    </row>
    <row r="62826" spans="1:13" ht="12.75" customHeight="1" x14ac:dyDescent="0.25">
      <c r="A62826"/>
      <c r="B62826"/>
      <c r="C62826"/>
      <c r="M62826"/>
    </row>
    <row r="62827" spans="1:13" ht="12.75" customHeight="1" x14ac:dyDescent="0.25">
      <c r="A62827"/>
      <c r="B62827"/>
      <c r="C62827"/>
      <c r="M62827"/>
    </row>
    <row r="62828" spans="1:13" ht="12.75" customHeight="1" x14ac:dyDescent="0.25">
      <c r="A62828"/>
      <c r="B62828"/>
      <c r="C62828"/>
      <c r="M62828"/>
    </row>
    <row r="62829" spans="1:13" ht="12.75" customHeight="1" x14ac:dyDescent="0.25">
      <c r="A62829"/>
      <c r="B62829"/>
      <c r="C62829"/>
      <c r="M62829"/>
    </row>
    <row r="62830" spans="1:13" ht="12.75" customHeight="1" x14ac:dyDescent="0.25">
      <c r="A62830"/>
      <c r="B62830"/>
      <c r="C62830"/>
      <c r="M62830"/>
    </row>
    <row r="62831" spans="1:13" ht="12.75" customHeight="1" x14ac:dyDescent="0.25">
      <c r="A62831"/>
      <c r="B62831"/>
      <c r="C62831"/>
      <c r="M62831"/>
    </row>
    <row r="62832" spans="1:13" ht="12.75" customHeight="1" x14ac:dyDescent="0.25">
      <c r="A62832"/>
      <c r="B62832"/>
      <c r="C62832"/>
      <c r="M62832"/>
    </row>
    <row r="62833" spans="1:13" ht="12.75" customHeight="1" x14ac:dyDescent="0.25">
      <c r="A62833"/>
      <c r="B62833"/>
      <c r="C62833"/>
      <c r="M62833"/>
    </row>
    <row r="62834" spans="1:13" ht="12.75" customHeight="1" x14ac:dyDescent="0.25">
      <c r="A62834"/>
      <c r="B62834"/>
      <c r="C62834"/>
      <c r="M62834"/>
    </row>
    <row r="62835" spans="1:13" ht="12.75" customHeight="1" x14ac:dyDescent="0.25">
      <c r="A62835"/>
      <c r="B62835"/>
      <c r="C62835"/>
      <c r="M62835"/>
    </row>
    <row r="62836" spans="1:13" ht="12.75" customHeight="1" x14ac:dyDescent="0.25">
      <c r="A62836"/>
      <c r="B62836"/>
      <c r="C62836"/>
      <c r="M62836"/>
    </row>
    <row r="62837" spans="1:13" ht="12.75" customHeight="1" x14ac:dyDescent="0.25">
      <c r="A62837"/>
      <c r="B62837"/>
      <c r="C62837"/>
      <c r="M62837"/>
    </row>
    <row r="62838" spans="1:13" ht="12.75" customHeight="1" x14ac:dyDescent="0.25">
      <c r="A62838"/>
      <c r="B62838"/>
      <c r="C62838"/>
      <c r="M62838"/>
    </row>
    <row r="62839" spans="1:13" ht="12.75" customHeight="1" x14ac:dyDescent="0.25">
      <c r="A62839"/>
      <c r="B62839"/>
      <c r="C62839"/>
      <c r="M62839"/>
    </row>
    <row r="62840" spans="1:13" ht="12.75" customHeight="1" x14ac:dyDescent="0.25">
      <c r="A62840"/>
      <c r="B62840"/>
      <c r="C62840"/>
      <c r="M62840"/>
    </row>
    <row r="62841" spans="1:13" ht="12.75" customHeight="1" x14ac:dyDescent="0.25">
      <c r="A62841"/>
      <c r="B62841"/>
      <c r="C62841"/>
      <c r="M62841"/>
    </row>
    <row r="62842" spans="1:13" ht="12.75" customHeight="1" x14ac:dyDescent="0.25">
      <c r="A62842"/>
      <c r="B62842"/>
      <c r="C62842"/>
      <c r="M62842"/>
    </row>
    <row r="62843" spans="1:13" ht="12.75" customHeight="1" x14ac:dyDescent="0.25">
      <c r="A62843"/>
      <c r="B62843"/>
      <c r="C62843"/>
      <c r="M62843"/>
    </row>
    <row r="62844" spans="1:13" ht="12.75" customHeight="1" x14ac:dyDescent="0.25">
      <c r="A62844"/>
      <c r="B62844"/>
      <c r="C62844"/>
      <c r="M62844"/>
    </row>
    <row r="62845" spans="1:13" ht="12.75" customHeight="1" x14ac:dyDescent="0.25">
      <c r="A62845"/>
      <c r="B62845"/>
      <c r="C62845"/>
      <c r="M62845"/>
    </row>
    <row r="62846" spans="1:13" ht="12.75" customHeight="1" x14ac:dyDescent="0.25">
      <c r="A62846"/>
      <c r="B62846"/>
      <c r="C62846"/>
      <c r="M62846"/>
    </row>
    <row r="62847" spans="1:13" ht="12.75" customHeight="1" x14ac:dyDescent="0.25">
      <c r="A62847"/>
      <c r="B62847"/>
      <c r="C62847"/>
      <c r="M62847"/>
    </row>
    <row r="62848" spans="1:13" ht="12.75" customHeight="1" x14ac:dyDescent="0.25">
      <c r="A62848"/>
      <c r="B62848"/>
      <c r="C62848"/>
      <c r="M62848"/>
    </row>
    <row r="62849" spans="1:13" ht="12.75" customHeight="1" x14ac:dyDescent="0.25">
      <c r="A62849"/>
      <c r="B62849"/>
      <c r="C62849"/>
      <c r="M62849"/>
    </row>
    <row r="62850" spans="1:13" ht="12.75" customHeight="1" x14ac:dyDescent="0.25">
      <c r="A62850"/>
      <c r="B62850"/>
      <c r="C62850"/>
      <c r="M62850"/>
    </row>
    <row r="62851" spans="1:13" ht="12.75" customHeight="1" x14ac:dyDescent="0.25">
      <c r="A62851"/>
      <c r="B62851"/>
      <c r="C62851"/>
      <c r="M62851"/>
    </row>
    <row r="62852" spans="1:13" ht="12.75" customHeight="1" x14ac:dyDescent="0.25">
      <c r="A62852"/>
      <c r="B62852"/>
      <c r="C62852"/>
      <c r="M62852"/>
    </row>
    <row r="62853" spans="1:13" ht="12.75" customHeight="1" x14ac:dyDescent="0.25">
      <c r="A62853"/>
      <c r="B62853"/>
      <c r="C62853"/>
      <c r="M62853"/>
    </row>
    <row r="62854" spans="1:13" ht="12.75" customHeight="1" x14ac:dyDescent="0.25">
      <c r="A62854"/>
      <c r="B62854"/>
      <c r="C62854"/>
      <c r="M62854"/>
    </row>
    <row r="62855" spans="1:13" ht="12.75" customHeight="1" x14ac:dyDescent="0.25">
      <c r="A62855"/>
      <c r="B62855"/>
      <c r="C62855"/>
      <c r="M62855"/>
    </row>
    <row r="62856" spans="1:13" ht="12.75" customHeight="1" x14ac:dyDescent="0.25">
      <c r="A62856"/>
      <c r="B62856"/>
      <c r="C62856"/>
      <c r="M62856"/>
    </row>
    <row r="62857" spans="1:13" ht="12.75" customHeight="1" x14ac:dyDescent="0.25">
      <c r="A62857"/>
      <c r="B62857"/>
      <c r="C62857"/>
      <c r="M62857"/>
    </row>
    <row r="62858" spans="1:13" ht="12.75" customHeight="1" x14ac:dyDescent="0.25">
      <c r="A62858"/>
      <c r="B62858"/>
      <c r="C62858"/>
      <c r="M62858"/>
    </row>
    <row r="62859" spans="1:13" ht="12.75" customHeight="1" x14ac:dyDescent="0.25">
      <c r="A62859"/>
      <c r="B62859"/>
      <c r="C62859"/>
      <c r="M62859"/>
    </row>
    <row r="62860" spans="1:13" ht="12.75" customHeight="1" x14ac:dyDescent="0.25">
      <c r="A62860"/>
      <c r="B62860"/>
      <c r="C62860"/>
      <c r="M62860"/>
    </row>
    <row r="62861" spans="1:13" ht="12.75" customHeight="1" x14ac:dyDescent="0.25">
      <c r="A62861"/>
      <c r="B62861"/>
      <c r="C62861"/>
      <c r="M62861"/>
    </row>
    <row r="62862" spans="1:13" ht="12.75" customHeight="1" x14ac:dyDescent="0.25">
      <c r="A62862"/>
      <c r="B62862"/>
      <c r="C62862"/>
      <c r="M62862"/>
    </row>
    <row r="62863" spans="1:13" ht="12.75" customHeight="1" x14ac:dyDescent="0.25">
      <c r="A62863"/>
      <c r="B62863"/>
      <c r="C62863"/>
      <c r="M62863"/>
    </row>
    <row r="62864" spans="1:13" ht="12.75" customHeight="1" x14ac:dyDescent="0.25">
      <c r="A62864"/>
      <c r="B62864"/>
      <c r="C62864"/>
      <c r="M62864"/>
    </row>
    <row r="62865" spans="1:13" ht="12.75" customHeight="1" x14ac:dyDescent="0.25">
      <c r="A62865"/>
      <c r="B62865"/>
      <c r="C62865"/>
      <c r="M62865"/>
    </row>
    <row r="62866" spans="1:13" ht="12.75" customHeight="1" x14ac:dyDescent="0.25">
      <c r="A62866"/>
      <c r="B62866"/>
      <c r="C62866"/>
      <c r="M62866"/>
    </row>
    <row r="62867" spans="1:13" ht="12.75" customHeight="1" x14ac:dyDescent="0.25">
      <c r="A62867"/>
      <c r="B62867"/>
      <c r="C62867"/>
      <c r="M62867"/>
    </row>
    <row r="62868" spans="1:13" ht="12.75" customHeight="1" x14ac:dyDescent="0.25">
      <c r="A62868"/>
      <c r="B62868"/>
      <c r="C62868"/>
      <c r="M62868"/>
    </row>
    <row r="62869" spans="1:13" ht="12.75" customHeight="1" x14ac:dyDescent="0.25">
      <c r="A62869"/>
      <c r="B62869"/>
      <c r="C62869"/>
      <c r="M62869"/>
    </row>
    <row r="62870" spans="1:13" ht="12.75" customHeight="1" x14ac:dyDescent="0.25">
      <c r="A62870"/>
      <c r="B62870"/>
      <c r="C62870"/>
      <c r="M62870"/>
    </row>
    <row r="62871" spans="1:13" ht="12.75" customHeight="1" x14ac:dyDescent="0.25">
      <c r="A62871"/>
      <c r="B62871"/>
      <c r="C62871"/>
      <c r="M62871"/>
    </row>
    <row r="62872" spans="1:13" ht="12.75" customHeight="1" x14ac:dyDescent="0.25">
      <c r="A62872"/>
      <c r="B62872"/>
      <c r="C62872"/>
      <c r="M62872"/>
    </row>
    <row r="62873" spans="1:13" ht="12.75" customHeight="1" x14ac:dyDescent="0.25">
      <c r="A62873"/>
      <c r="B62873"/>
      <c r="C62873"/>
      <c r="M62873"/>
    </row>
    <row r="62874" spans="1:13" ht="12.75" customHeight="1" x14ac:dyDescent="0.25">
      <c r="A62874"/>
      <c r="B62874"/>
      <c r="C62874"/>
      <c r="M62874"/>
    </row>
    <row r="62875" spans="1:13" ht="12.75" customHeight="1" x14ac:dyDescent="0.25">
      <c r="A62875"/>
      <c r="B62875"/>
      <c r="C62875"/>
      <c r="M62875"/>
    </row>
    <row r="62876" spans="1:13" ht="12.75" customHeight="1" x14ac:dyDescent="0.25">
      <c r="A62876"/>
      <c r="B62876"/>
      <c r="C62876"/>
      <c r="M62876"/>
    </row>
    <row r="62877" spans="1:13" ht="12.75" customHeight="1" x14ac:dyDescent="0.25">
      <c r="A62877"/>
      <c r="B62877"/>
      <c r="C62877"/>
      <c r="M62877"/>
    </row>
    <row r="62878" spans="1:13" ht="12.75" customHeight="1" x14ac:dyDescent="0.25">
      <c r="A62878"/>
      <c r="B62878"/>
      <c r="C62878"/>
      <c r="M62878"/>
    </row>
    <row r="62879" spans="1:13" ht="12.75" customHeight="1" x14ac:dyDescent="0.25">
      <c r="A62879"/>
      <c r="B62879"/>
      <c r="C62879"/>
      <c r="M62879"/>
    </row>
    <row r="62880" spans="1:13" ht="12.75" customHeight="1" x14ac:dyDescent="0.25">
      <c r="A62880"/>
      <c r="B62880"/>
      <c r="C62880"/>
      <c r="M62880"/>
    </row>
    <row r="62881" spans="1:13" ht="12.75" customHeight="1" x14ac:dyDescent="0.25">
      <c r="A62881"/>
      <c r="B62881"/>
      <c r="C62881"/>
      <c r="M62881"/>
    </row>
    <row r="62882" spans="1:13" ht="12.75" customHeight="1" x14ac:dyDescent="0.25">
      <c r="A62882"/>
      <c r="B62882"/>
      <c r="C62882"/>
      <c r="M62882"/>
    </row>
    <row r="62883" spans="1:13" ht="12.75" customHeight="1" x14ac:dyDescent="0.25">
      <c r="A62883"/>
      <c r="B62883"/>
      <c r="C62883"/>
      <c r="M62883"/>
    </row>
    <row r="62884" spans="1:13" ht="12.75" customHeight="1" x14ac:dyDescent="0.25">
      <c r="A62884"/>
      <c r="B62884"/>
      <c r="C62884"/>
      <c r="M62884"/>
    </row>
    <row r="62885" spans="1:13" ht="12.75" customHeight="1" x14ac:dyDescent="0.25">
      <c r="A62885"/>
      <c r="B62885"/>
      <c r="C62885"/>
      <c r="M62885"/>
    </row>
    <row r="62886" spans="1:13" ht="12.75" customHeight="1" x14ac:dyDescent="0.25">
      <c r="A62886"/>
      <c r="B62886"/>
      <c r="C62886"/>
      <c r="M62886"/>
    </row>
    <row r="62887" spans="1:13" ht="12.75" customHeight="1" x14ac:dyDescent="0.25">
      <c r="A62887"/>
      <c r="B62887"/>
      <c r="C62887"/>
      <c r="M62887"/>
    </row>
    <row r="62888" spans="1:13" ht="12.75" customHeight="1" x14ac:dyDescent="0.25">
      <c r="A62888"/>
      <c r="B62888"/>
      <c r="C62888"/>
      <c r="M62888"/>
    </row>
    <row r="62889" spans="1:13" ht="12.75" customHeight="1" x14ac:dyDescent="0.25">
      <c r="A62889"/>
      <c r="B62889"/>
      <c r="C62889"/>
      <c r="M62889"/>
    </row>
    <row r="62890" spans="1:13" ht="12.75" customHeight="1" x14ac:dyDescent="0.25">
      <c r="A62890"/>
      <c r="B62890"/>
      <c r="C62890"/>
      <c r="M62890"/>
    </row>
    <row r="62891" spans="1:13" ht="12.75" customHeight="1" x14ac:dyDescent="0.25">
      <c r="A62891"/>
      <c r="B62891"/>
      <c r="C62891"/>
      <c r="M62891"/>
    </row>
    <row r="62892" spans="1:13" ht="12.75" customHeight="1" x14ac:dyDescent="0.25">
      <c r="A62892"/>
      <c r="B62892"/>
      <c r="C62892"/>
      <c r="M62892"/>
    </row>
    <row r="62893" spans="1:13" ht="12.75" customHeight="1" x14ac:dyDescent="0.25">
      <c r="A62893"/>
      <c r="B62893"/>
      <c r="C62893"/>
      <c r="M62893"/>
    </row>
    <row r="62894" spans="1:13" ht="12.75" customHeight="1" x14ac:dyDescent="0.25">
      <c r="A62894"/>
      <c r="B62894"/>
      <c r="C62894"/>
      <c r="M62894"/>
    </row>
    <row r="62895" spans="1:13" ht="12.75" customHeight="1" x14ac:dyDescent="0.25">
      <c r="A62895"/>
      <c r="B62895"/>
      <c r="C62895"/>
      <c r="M62895"/>
    </row>
    <row r="62896" spans="1:13" ht="12.75" customHeight="1" x14ac:dyDescent="0.25">
      <c r="A62896"/>
      <c r="B62896"/>
      <c r="C62896"/>
      <c r="M62896"/>
    </row>
    <row r="62897" spans="1:13" ht="12.75" customHeight="1" x14ac:dyDescent="0.25">
      <c r="A62897"/>
      <c r="B62897"/>
      <c r="C62897"/>
      <c r="M62897"/>
    </row>
    <row r="62898" spans="1:13" ht="12.75" customHeight="1" x14ac:dyDescent="0.25">
      <c r="A62898"/>
      <c r="B62898"/>
      <c r="C62898"/>
      <c r="M62898"/>
    </row>
    <row r="62899" spans="1:13" ht="12.75" customHeight="1" x14ac:dyDescent="0.25">
      <c r="A62899"/>
      <c r="B62899"/>
      <c r="C62899"/>
      <c r="M62899"/>
    </row>
    <row r="62900" spans="1:13" ht="12.75" customHeight="1" x14ac:dyDescent="0.25">
      <c r="A62900"/>
      <c r="B62900"/>
      <c r="C62900"/>
      <c r="M62900"/>
    </row>
    <row r="62901" spans="1:13" ht="12.75" customHeight="1" x14ac:dyDescent="0.25">
      <c r="A62901"/>
      <c r="B62901"/>
      <c r="C62901"/>
      <c r="M62901"/>
    </row>
    <row r="62902" spans="1:13" ht="12.75" customHeight="1" x14ac:dyDescent="0.25">
      <c r="A62902"/>
      <c r="B62902"/>
      <c r="C62902"/>
      <c r="M62902"/>
    </row>
    <row r="62903" spans="1:13" ht="12.75" customHeight="1" x14ac:dyDescent="0.25">
      <c r="A62903"/>
      <c r="B62903"/>
      <c r="C62903"/>
      <c r="M62903"/>
    </row>
    <row r="62904" spans="1:13" ht="12.75" customHeight="1" x14ac:dyDescent="0.25">
      <c r="A62904"/>
      <c r="B62904"/>
      <c r="C62904"/>
      <c r="M62904"/>
    </row>
    <row r="62905" spans="1:13" ht="12.75" customHeight="1" x14ac:dyDescent="0.25">
      <c r="A62905"/>
      <c r="B62905"/>
      <c r="C62905"/>
      <c r="M62905"/>
    </row>
    <row r="62906" spans="1:13" ht="12.75" customHeight="1" x14ac:dyDescent="0.25">
      <c r="A62906"/>
      <c r="B62906"/>
      <c r="C62906"/>
      <c r="M62906"/>
    </row>
    <row r="62907" spans="1:13" ht="12.75" customHeight="1" x14ac:dyDescent="0.25">
      <c r="A62907"/>
      <c r="B62907"/>
      <c r="C62907"/>
      <c r="M62907"/>
    </row>
    <row r="62908" spans="1:13" ht="12.75" customHeight="1" x14ac:dyDescent="0.25">
      <c r="A62908"/>
      <c r="B62908"/>
      <c r="C62908"/>
      <c r="M62908"/>
    </row>
    <row r="62909" spans="1:13" ht="12.75" customHeight="1" x14ac:dyDescent="0.25">
      <c r="A62909"/>
      <c r="B62909"/>
      <c r="C62909"/>
      <c r="M62909"/>
    </row>
    <row r="62910" spans="1:13" ht="12.75" customHeight="1" x14ac:dyDescent="0.25">
      <c r="A62910"/>
      <c r="B62910"/>
      <c r="C62910"/>
      <c r="M62910"/>
    </row>
    <row r="62911" spans="1:13" ht="12.75" customHeight="1" x14ac:dyDescent="0.25">
      <c r="A62911"/>
      <c r="B62911"/>
      <c r="C62911"/>
      <c r="M62911"/>
    </row>
    <row r="62912" spans="1:13" ht="12.75" customHeight="1" x14ac:dyDescent="0.25">
      <c r="A62912"/>
      <c r="B62912"/>
      <c r="C62912"/>
      <c r="M62912"/>
    </row>
    <row r="62913" spans="1:13" ht="12.75" customHeight="1" x14ac:dyDescent="0.25">
      <c r="A62913"/>
      <c r="B62913"/>
      <c r="C62913"/>
      <c r="M62913"/>
    </row>
    <row r="62914" spans="1:13" ht="12.75" customHeight="1" x14ac:dyDescent="0.25">
      <c r="A62914"/>
      <c r="B62914"/>
      <c r="C62914"/>
      <c r="M62914"/>
    </row>
    <row r="62915" spans="1:13" ht="12.75" customHeight="1" x14ac:dyDescent="0.25">
      <c r="A62915"/>
      <c r="B62915"/>
      <c r="C62915"/>
      <c r="M62915"/>
    </row>
    <row r="62916" spans="1:13" ht="12.75" customHeight="1" x14ac:dyDescent="0.25">
      <c r="A62916"/>
      <c r="B62916"/>
      <c r="C62916"/>
      <c r="M62916"/>
    </row>
    <row r="62917" spans="1:13" ht="12.75" customHeight="1" x14ac:dyDescent="0.25">
      <c r="A62917"/>
      <c r="B62917"/>
      <c r="C62917"/>
      <c r="M62917"/>
    </row>
    <row r="62918" spans="1:13" ht="12.75" customHeight="1" x14ac:dyDescent="0.25">
      <c r="A62918"/>
      <c r="B62918"/>
      <c r="C62918"/>
      <c r="M62918"/>
    </row>
    <row r="62919" spans="1:13" ht="12.75" customHeight="1" x14ac:dyDescent="0.25">
      <c r="A62919"/>
      <c r="B62919"/>
      <c r="C62919"/>
      <c r="M62919"/>
    </row>
    <row r="62920" spans="1:13" ht="12.75" customHeight="1" x14ac:dyDescent="0.25">
      <c r="A62920"/>
      <c r="B62920"/>
      <c r="C62920"/>
      <c r="M62920"/>
    </row>
    <row r="62921" spans="1:13" ht="12.75" customHeight="1" x14ac:dyDescent="0.25">
      <c r="A62921"/>
      <c r="B62921"/>
      <c r="C62921"/>
      <c r="M62921"/>
    </row>
    <row r="62922" spans="1:13" ht="12.75" customHeight="1" x14ac:dyDescent="0.25">
      <c r="A62922"/>
      <c r="B62922"/>
      <c r="C62922"/>
      <c r="M62922"/>
    </row>
    <row r="62923" spans="1:13" ht="12.75" customHeight="1" x14ac:dyDescent="0.25">
      <c r="A62923"/>
      <c r="B62923"/>
      <c r="C62923"/>
      <c r="M62923"/>
    </row>
    <row r="62924" spans="1:13" ht="12.75" customHeight="1" x14ac:dyDescent="0.25">
      <c r="A62924"/>
      <c r="B62924"/>
      <c r="C62924"/>
      <c r="M62924"/>
    </row>
    <row r="62925" spans="1:13" ht="12.75" customHeight="1" x14ac:dyDescent="0.25">
      <c r="A62925"/>
      <c r="B62925"/>
      <c r="C62925"/>
      <c r="M62925"/>
    </row>
    <row r="62926" spans="1:13" ht="12.75" customHeight="1" x14ac:dyDescent="0.25">
      <c r="A62926"/>
      <c r="B62926"/>
      <c r="C62926"/>
      <c r="M62926"/>
    </row>
    <row r="62927" spans="1:13" ht="12.75" customHeight="1" x14ac:dyDescent="0.25">
      <c r="A62927"/>
      <c r="B62927"/>
      <c r="C62927"/>
      <c r="M62927"/>
    </row>
    <row r="62928" spans="1:13" ht="12.75" customHeight="1" x14ac:dyDescent="0.25">
      <c r="A62928"/>
      <c r="B62928"/>
      <c r="C62928"/>
      <c r="M62928"/>
    </row>
    <row r="62929" spans="1:13" ht="12.75" customHeight="1" x14ac:dyDescent="0.25">
      <c r="A62929"/>
      <c r="B62929"/>
      <c r="C62929"/>
      <c r="M62929"/>
    </row>
    <row r="62930" spans="1:13" ht="12.75" customHeight="1" x14ac:dyDescent="0.25">
      <c r="A62930"/>
      <c r="B62930"/>
      <c r="C62930"/>
      <c r="M62930"/>
    </row>
    <row r="62931" spans="1:13" ht="12.75" customHeight="1" x14ac:dyDescent="0.25">
      <c r="A62931"/>
      <c r="B62931"/>
      <c r="C62931"/>
      <c r="M62931"/>
    </row>
    <row r="62932" spans="1:13" ht="12.75" customHeight="1" x14ac:dyDescent="0.25">
      <c r="A62932"/>
      <c r="B62932"/>
      <c r="C62932"/>
      <c r="M62932"/>
    </row>
    <row r="62933" spans="1:13" ht="12.75" customHeight="1" x14ac:dyDescent="0.25">
      <c r="A62933"/>
      <c r="B62933"/>
      <c r="C62933"/>
      <c r="M62933"/>
    </row>
    <row r="62934" spans="1:13" ht="12.75" customHeight="1" x14ac:dyDescent="0.25">
      <c r="A62934"/>
      <c r="B62934"/>
      <c r="C62934"/>
      <c r="M62934"/>
    </row>
    <row r="62935" spans="1:13" ht="12.75" customHeight="1" x14ac:dyDescent="0.25">
      <c r="A62935"/>
      <c r="B62935"/>
      <c r="C62935"/>
      <c r="M62935"/>
    </row>
    <row r="62936" spans="1:13" ht="12.75" customHeight="1" x14ac:dyDescent="0.25">
      <c r="A62936"/>
      <c r="B62936"/>
      <c r="C62936"/>
      <c r="M62936"/>
    </row>
    <row r="62937" spans="1:13" ht="12.75" customHeight="1" x14ac:dyDescent="0.25">
      <c r="A62937"/>
      <c r="B62937"/>
      <c r="C62937"/>
      <c r="M62937"/>
    </row>
    <row r="62938" spans="1:13" ht="12.75" customHeight="1" x14ac:dyDescent="0.25">
      <c r="A62938"/>
      <c r="B62938"/>
      <c r="C62938"/>
      <c r="M62938"/>
    </row>
    <row r="62939" spans="1:13" ht="12.75" customHeight="1" x14ac:dyDescent="0.25">
      <c r="A62939"/>
      <c r="B62939"/>
      <c r="C62939"/>
      <c r="M62939"/>
    </row>
    <row r="62940" spans="1:13" ht="12.75" customHeight="1" x14ac:dyDescent="0.25">
      <c r="A62940"/>
      <c r="B62940"/>
      <c r="C62940"/>
      <c r="M62940"/>
    </row>
    <row r="62941" spans="1:13" ht="12.75" customHeight="1" x14ac:dyDescent="0.25">
      <c r="A62941"/>
      <c r="B62941"/>
      <c r="C62941"/>
      <c r="M62941"/>
    </row>
    <row r="62942" spans="1:13" ht="12.75" customHeight="1" x14ac:dyDescent="0.25">
      <c r="A62942"/>
      <c r="B62942"/>
      <c r="C62942"/>
      <c r="M62942"/>
    </row>
    <row r="62943" spans="1:13" ht="12.75" customHeight="1" x14ac:dyDescent="0.25">
      <c r="A62943"/>
      <c r="B62943"/>
      <c r="C62943"/>
      <c r="M62943"/>
    </row>
    <row r="62944" spans="1:13" ht="12.75" customHeight="1" x14ac:dyDescent="0.25">
      <c r="A62944"/>
      <c r="B62944"/>
      <c r="C62944"/>
      <c r="M62944"/>
    </row>
    <row r="62945" spans="1:13" ht="12.75" customHeight="1" x14ac:dyDescent="0.25">
      <c r="A62945"/>
      <c r="B62945"/>
      <c r="C62945"/>
      <c r="M62945"/>
    </row>
    <row r="62946" spans="1:13" ht="12.75" customHeight="1" x14ac:dyDescent="0.25">
      <c r="A62946"/>
      <c r="B62946"/>
      <c r="C62946"/>
      <c r="M62946"/>
    </row>
    <row r="62947" spans="1:13" ht="12.75" customHeight="1" x14ac:dyDescent="0.25">
      <c r="A62947"/>
      <c r="B62947"/>
      <c r="C62947"/>
      <c r="M62947"/>
    </row>
    <row r="62948" spans="1:13" ht="12.75" customHeight="1" x14ac:dyDescent="0.25">
      <c r="A62948"/>
      <c r="B62948"/>
      <c r="C62948"/>
      <c r="M62948"/>
    </row>
    <row r="62949" spans="1:13" ht="12.75" customHeight="1" x14ac:dyDescent="0.25">
      <c r="A62949"/>
      <c r="B62949"/>
      <c r="C62949"/>
      <c r="M62949"/>
    </row>
    <row r="62950" spans="1:13" ht="12.75" customHeight="1" x14ac:dyDescent="0.25">
      <c r="A62950"/>
      <c r="B62950"/>
      <c r="C62950"/>
      <c r="M62950"/>
    </row>
    <row r="62951" spans="1:13" ht="12.75" customHeight="1" x14ac:dyDescent="0.25">
      <c r="A62951"/>
      <c r="B62951"/>
      <c r="C62951"/>
      <c r="M62951"/>
    </row>
    <row r="62952" spans="1:13" ht="12.75" customHeight="1" x14ac:dyDescent="0.25">
      <c r="A62952"/>
      <c r="B62952"/>
      <c r="C62952"/>
      <c r="M62952"/>
    </row>
    <row r="62953" spans="1:13" ht="12.75" customHeight="1" x14ac:dyDescent="0.25">
      <c r="A62953"/>
      <c r="B62953"/>
      <c r="C62953"/>
      <c r="M62953"/>
    </row>
    <row r="62954" spans="1:13" ht="12.75" customHeight="1" x14ac:dyDescent="0.25">
      <c r="A62954"/>
      <c r="B62954"/>
      <c r="C62954"/>
      <c r="M62954"/>
    </row>
    <row r="62955" spans="1:13" ht="12.75" customHeight="1" x14ac:dyDescent="0.25">
      <c r="A62955"/>
      <c r="B62955"/>
      <c r="C62955"/>
      <c r="M62955"/>
    </row>
    <row r="62956" spans="1:13" ht="12.75" customHeight="1" x14ac:dyDescent="0.25">
      <c r="A62956"/>
      <c r="B62956"/>
      <c r="C62956"/>
      <c r="M62956"/>
    </row>
    <row r="62957" spans="1:13" ht="12.75" customHeight="1" x14ac:dyDescent="0.25">
      <c r="A62957"/>
      <c r="B62957"/>
      <c r="C62957"/>
      <c r="M62957"/>
    </row>
    <row r="62958" spans="1:13" ht="12.75" customHeight="1" x14ac:dyDescent="0.25">
      <c r="A62958"/>
      <c r="B62958"/>
      <c r="C62958"/>
      <c r="M62958"/>
    </row>
    <row r="62959" spans="1:13" ht="12.75" customHeight="1" x14ac:dyDescent="0.25">
      <c r="A62959"/>
      <c r="B62959"/>
      <c r="C62959"/>
      <c r="M62959"/>
    </row>
    <row r="62960" spans="1:13" ht="12.75" customHeight="1" x14ac:dyDescent="0.25">
      <c r="A62960"/>
      <c r="B62960"/>
      <c r="C62960"/>
      <c r="M62960"/>
    </row>
    <row r="62961" spans="1:13" ht="12.75" customHeight="1" x14ac:dyDescent="0.25">
      <c r="A62961"/>
      <c r="B62961"/>
      <c r="C62961"/>
      <c r="M62961"/>
    </row>
    <row r="62962" spans="1:13" ht="12.75" customHeight="1" x14ac:dyDescent="0.25">
      <c r="A62962"/>
      <c r="B62962"/>
      <c r="C62962"/>
      <c r="M62962"/>
    </row>
    <row r="62963" spans="1:13" ht="12.75" customHeight="1" x14ac:dyDescent="0.25">
      <c r="A62963"/>
      <c r="B62963"/>
      <c r="C62963"/>
      <c r="M62963"/>
    </row>
    <row r="62964" spans="1:13" ht="12.75" customHeight="1" x14ac:dyDescent="0.25">
      <c r="A62964"/>
      <c r="B62964"/>
      <c r="C62964"/>
      <c r="M62964"/>
    </row>
    <row r="62965" spans="1:13" ht="12.75" customHeight="1" x14ac:dyDescent="0.25">
      <c r="A62965"/>
      <c r="B62965"/>
      <c r="C62965"/>
      <c r="M62965"/>
    </row>
    <row r="62966" spans="1:13" ht="12.75" customHeight="1" x14ac:dyDescent="0.25">
      <c r="A62966"/>
      <c r="B62966"/>
      <c r="C62966"/>
      <c r="M62966"/>
    </row>
    <row r="62967" spans="1:13" ht="12.75" customHeight="1" x14ac:dyDescent="0.25">
      <c r="A62967"/>
      <c r="B62967"/>
      <c r="C62967"/>
      <c r="M62967"/>
    </row>
    <row r="62968" spans="1:13" ht="12.75" customHeight="1" x14ac:dyDescent="0.25">
      <c r="A62968"/>
      <c r="B62968"/>
      <c r="C62968"/>
      <c r="M62968"/>
    </row>
    <row r="62969" spans="1:13" ht="12.75" customHeight="1" x14ac:dyDescent="0.25">
      <c r="A62969"/>
      <c r="B62969"/>
      <c r="C62969"/>
      <c r="M62969"/>
    </row>
    <row r="62970" spans="1:13" ht="12.75" customHeight="1" x14ac:dyDescent="0.25">
      <c r="A62970"/>
      <c r="B62970"/>
      <c r="C62970"/>
      <c r="M62970"/>
    </row>
    <row r="62971" spans="1:13" ht="12.75" customHeight="1" x14ac:dyDescent="0.25">
      <c r="A62971"/>
      <c r="B62971"/>
      <c r="C62971"/>
      <c r="M62971"/>
    </row>
    <row r="62972" spans="1:13" ht="12.75" customHeight="1" x14ac:dyDescent="0.25">
      <c r="A62972"/>
      <c r="B62972"/>
      <c r="C62972"/>
      <c r="M62972"/>
    </row>
    <row r="62973" spans="1:13" ht="12.75" customHeight="1" x14ac:dyDescent="0.25">
      <c r="A62973"/>
      <c r="B62973"/>
      <c r="C62973"/>
      <c r="M62973"/>
    </row>
    <row r="62974" spans="1:13" ht="12.75" customHeight="1" x14ac:dyDescent="0.25">
      <c r="A62974"/>
      <c r="B62974"/>
      <c r="C62974"/>
      <c r="M62974"/>
    </row>
    <row r="62975" spans="1:13" ht="12.75" customHeight="1" x14ac:dyDescent="0.25">
      <c r="A62975"/>
      <c r="B62975"/>
      <c r="C62975"/>
      <c r="M62975"/>
    </row>
    <row r="62976" spans="1:13" ht="12.75" customHeight="1" x14ac:dyDescent="0.25">
      <c r="A62976"/>
      <c r="B62976"/>
      <c r="C62976"/>
      <c r="M62976"/>
    </row>
    <row r="62977" spans="1:13" ht="12.75" customHeight="1" x14ac:dyDescent="0.25">
      <c r="A62977"/>
      <c r="B62977"/>
      <c r="C62977"/>
      <c r="M62977"/>
    </row>
    <row r="62978" spans="1:13" ht="12.75" customHeight="1" x14ac:dyDescent="0.25">
      <c r="A62978"/>
      <c r="B62978"/>
      <c r="C62978"/>
      <c r="M62978"/>
    </row>
    <row r="62979" spans="1:13" ht="12.75" customHeight="1" x14ac:dyDescent="0.25">
      <c r="A62979"/>
      <c r="B62979"/>
      <c r="C62979"/>
      <c r="M62979"/>
    </row>
    <row r="62980" spans="1:13" ht="12.75" customHeight="1" x14ac:dyDescent="0.25">
      <c r="A62980"/>
      <c r="B62980"/>
      <c r="C62980"/>
      <c r="M62980"/>
    </row>
    <row r="62981" spans="1:13" ht="12.75" customHeight="1" x14ac:dyDescent="0.25">
      <c r="A62981"/>
      <c r="B62981"/>
      <c r="C62981"/>
      <c r="M62981"/>
    </row>
    <row r="62982" spans="1:13" ht="12.75" customHeight="1" x14ac:dyDescent="0.25">
      <c r="A62982"/>
      <c r="B62982"/>
      <c r="C62982"/>
      <c r="M62982"/>
    </row>
    <row r="62983" spans="1:13" ht="12.75" customHeight="1" x14ac:dyDescent="0.25">
      <c r="A62983"/>
      <c r="B62983"/>
      <c r="C62983"/>
      <c r="M62983"/>
    </row>
    <row r="62984" spans="1:13" ht="12.75" customHeight="1" x14ac:dyDescent="0.25">
      <c r="A62984"/>
      <c r="B62984"/>
      <c r="C62984"/>
      <c r="M62984"/>
    </row>
    <row r="62985" spans="1:13" ht="12.75" customHeight="1" x14ac:dyDescent="0.25">
      <c r="A62985"/>
      <c r="B62985"/>
      <c r="C62985"/>
      <c r="M62985"/>
    </row>
    <row r="62986" spans="1:13" ht="12.75" customHeight="1" x14ac:dyDescent="0.25">
      <c r="A62986"/>
      <c r="B62986"/>
      <c r="C62986"/>
      <c r="M62986"/>
    </row>
    <row r="62987" spans="1:13" ht="12.75" customHeight="1" x14ac:dyDescent="0.25">
      <c r="A62987"/>
      <c r="B62987"/>
      <c r="C62987"/>
      <c r="M62987"/>
    </row>
    <row r="62988" spans="1:13" ht="12.75" customHeight="1" x14ac:dyDescent="0.25">
      <c r="A62988"/>
      <c r="B62988"/>
      <c r="C62988"/>
      <c r="M62988"/>
    </row>
    <row r="62989" spans="1:13" ht="12.75" customHeight="1" x14ac:dyDescent="0.25">
      <c r="A62989"/>
      <c r="B62989"/>
      <c r="C62989"/>
      <c r="M62989"/>
    </row>
    <row r="62990" spans="1:13" ht="12.75" customHeight="1" x14ac:dyDescent="0.25">
      <c r="A62990"/>
      <c r="B62990"/>
      <c r="C62990"/>
      <c r="M62990"/>
    </row>
    <row r="62991" spans="1:13" ht="12.75" customHeight="1" x14ac:dyDescent="0.25">
      <c r="A62991"/>
      <c r="B62991"/>
      <c r="C62991"/>
      <c r="M62991"/>
    </row>
    <row r="62992" spans="1:13" ht="12.75" customHeight="1" x14ac:dyDescent="0.25">
      <c r="A62992"/>
      <c r="B62992"/>
      <c r="C62992"/>
      <c r="M62992"/>
    </row>
    <row r="62993" spans="1:13" ht="12.75" customHeight="1" x14ac:dyDescent="0.25">
      <c r="A62993"/>
      <c r="B62993"/>
      <c r="C62993"/>
      <c r="M62993"/>
    </row>
    <row r="62994" spans="1:13" ht="12.75" customHeight="1" x14ac:dyDescent="0.25">
      <c r="A62994"/>
      <c r="B62994"/>
      <c r="C62994"/>
      <c r="M62994"/>
    </row>
    <row r="62995" spans="1:13" ht="12.75" customHeight="1" x14ac:dyDescent="0.25">
      <c r="A62995"/>
      <c r="B62995"/>
      <c r="C62995"/>
      <c r="M62995"/>
    </row>
    <row r="62996" spans="1:13" ht="12.75" customHeight="1" x14ac:dyDescent="0.25">
      <c r="A62996"/>
      <c r="B62996"/>
      <c r="C62996"/>
      <c r="M62996"/>
    </row>
    <row r="62997" spans="1:13" ht="12.75" customHeight="1" x14ac:dyDescent="0.25">
      <c r="A62997"/>
      <c r="B62997"/>
      <c r="C62997"/>
      <c r="M62997"/>
    </row>
    <row r="62998" spans="1:13" ht="12.75" customHeight="1" x14ac:dyDescent="0.25">
      <c r="A62998"/>
      <c r="B62998"/>
      <c r="C62998"/>
      <c r="M62998"/>
    </row>
    <row r="62999" spans="1:13" ht="12.75" customHeight="1" x14ac:dyDescent="0.25">
      <c r="A62999"/>
      <c r="B62999"/>
      <c r="C62999"/>
      <c r="M62999"/>
    </row>
    <row r="63000" spans="1:13" ht="12.75" customHeight="1" x14ac:dyDescent="0.25">
      <c r="A63000"/>
      <c r="B63000"/>
      <c r="C63000"/>
      <c r="M63000"/>
    </row>
    <row r="63001" spans="1:13" ht="12.75" customHeight="1" x14ac:dyDescent="0.25">
      <c r="A63001"/>
      <c r="B63001"/>
      <c r="C63001"/>
      <c r="M63001"/>
    </row>
    <row r="63002" spans="1:13" ht="12.75" customHeight="1" x14ac:dyDescent="0.25">
      <c r="A63002"/>
      <c r="B63002"/>
      <c r="C63002"/>
      <c r="M63002"/>
    </row>
    <row r="63003" spans="1:13" ht="12.75" customHeight="1" x14ac:dyDescent="0.25">
      <c r="A63003"/>
      <c r="B63003"/>
      <c r="C63003"/>
      <c r="M63003"/>
    </row>
    <row r="63004" spans="1:13" ht="12.75" customHeight="1" x14ac:dyDescent="0.25">
      <c r="A63004"/>
      <c r="B63004"/>
      <c r="C63004"/>
      <c r="M63004"/>
    </row>
    <row r="63005" spans="1:13" ht="12.75" customHeight="1" x14ac:dyDescent="0.25">
      <c r="A63005"/>
      <c r="B63005"/>
      <c r="C63005"/>
      <c r="M63005"/>
    </row>
    <row r="63006" spans="1:13" ht="12.75" customHeight="1" x14ac:dyDescent="0.25">
      <c r="A63006"/>
      <c r="B63006"/>
      <c r="C63006"/>
      <c r="M63006"/>
    </row>
    <row r="63007" spans="1:13" ht="12.75" customHeight="1" x14ac:dyDescent="0.25">
      <c r="A63007"/>
      <c r="B63007"/>
      <c r="C63007"/>
      <c r="M63007"/>
    </row>
    <row r="63008" spans="1:13" ht="12.75" customHeight="1" x14ac:dyDescent="0.25">
      <c r="A63008"/>
      <c r="B63008"/>
      <c r="C63008"/>
      <c r="M63008"/>
    </row>
    <row r="63009" spans="1:13" ht="12.75" customHeight="1" x14ac:dyDescent="0.25">
      <c r="A63009"/>
      <c r="B63009"/>
      <c r="C63009"/>
      <c r="M63009"/>
    </row>
    <row r="63010" spans="1:13" ht="12.75" customHeight="1" x14ac:dyDescent="0.25">
      <c r="A63010"/>
      <c r="B63010"/>
      <c r="C63010"/>
      <c r="M63010"/>
    </row>
    <row r="63011" spans="1:13" ht="12.75" customHeight="1" x14ac:dyDescent="0.25">
      <c r="A63011"/>
      <c r="B63011"/>
      <c r="C63011"/>
      <c r="M63011"/>
    </row>
    <row r="63012" spans="1:13" ht="12.75" customHeight="1" x14ac:dyDescent="0.25">
      <c r="A63012"/>
      <c r="B63012"/>
      <c r="C63012"/>
      <c r="M63012"/>
    </row>
    <row r="63013" spans="1:13" ht="12.75" customHeight="1" x14ac:dyDescent="0.25">
      <c r="A63013"/>
      <c r="B63013"/>
      <c r="C63013"/>
      <c r="M63013"/>
    </row>
    <row r="63014" spans="1:13" ht="12.75" customHeight="1" x14ac:dyDescent="0.25">
      <c r="A63014"/>
      <c r="B63014"/>
      <c r="C63014"/>
      <c r="M63014"/>
    </row>
    <row r="63015" spans="1:13" ht="12.75" customHeight="1" x14ac:dyDescent="0.25">
      <c r="A63015"/>
      <c r="B63015"/>
      <c r="C63015"/>
      <c r="M63015"/>
    </row>
    <row r="63016" spans="1:13" ht="12.75" customHeight="1" x14ac:dyDescent="0.25">
      <c r="A63016"/>
      <c r="B63016"/>
      <c r="C63016"/>
      <c r="M63016"/>
    </row>
    <row r="63017" spans="1:13" ht="12.75" customHeight="1" x14ac:dyDescent="0.25">
      <c r="A63017"/>
      <c r="B63017"/>
      <c r="C63017"/>
      <c r="M63017"/>
    </row>
    <row r="63018" spans="1:13" ht="12.75" customHeight="1" x14ac:dyDescent="0.25">
      <c r="A63018"/>
      <c r="B63018"/>
      <c r="C63018"/>
      <c r="M63018"/>
    </row>
    <row r="63019" spans="1:13" ht="12.75" customHeight="1" x14ac:dyDescent="0.25">
      <c r="A63019"/>
      <c r="B63019"/>
      <c r="C63019"/>
      <c r="M63019"/>
    </row>
    <row r="63020" spans="1:13" ht="12.75" customHeight="1" x14ac:dyDescent="0.25">
      <c r="A63020"/>
      <c r="B63020"/>
      <c r="C63020"/>
      <c r="M63020"/>
    </row>
    <row r="63021" spans="1:13" ht="12.75" customHeight="1" x14ac:dyDescent="0.25">
      <c r="A63021"/>
      <c r="B63021"/>
      <c r="C63021"/>
      <c r="M63021"/>
    </row>
    <row r="63022" spans="1:13" ht="12.75" customHeight="1" x14ac:dyDescent="0.25">
      <c r="A63022"/>
      <c r="B63022"/>
      <c r="C63022"/>
      <c r="M63022"/>
    </row>
    <row r="63023" spans="1:13" ht="12.75" customHeight="1" x14ac:dyDescent="0.25">
      <c r="A63023"/>
      <c r="B63023"/>
      <c r="C63023"/>
      <c r="M63023"/>
    </row>
    <row r="63024" spans="1:13" ht="12.75" customHeight="1" x14ac:dyDescent="0.25">
      <c r="A63024"/>
      <c r="B63024"/>
      <c r="C63024"/>
      <c r="M63024"/>
    </row>
    <row r="63025" spans="1:13" ht="12.75" customHeight="1" x14ac:dyDescent="0.25">
      <c r="A63025"/>
      <c r="B63025"/>
      <c r="C63025"/>
      <c r="M63025"/>
    </row>
    <row r="63026" spans="1:13" ht="12.75" customHeight="1" x14ac:dyDescent="0.25">
      <c r="A63026"/>
      <c r="B63026"/>
      <c r="C63026"/>
      <c r="M63026"/>
    </row>
    <row r="63027" spans="1:13" ht="12.75" customHeight="1" x14ac:dyDescent="0.25">
      <c r="A63027"/>
      <c r="B63027"/>
      <c r="C63027"/>
      <c r="M63027"/>
    </row>
    <row r="63028" spans="1:13" ht="12.75" customHeight="1" x14ac:dyDescent="0.25">
      <c r="A63028"/>
      <c r="B63028"/>
      <c r="C63028"/>
      <c r="M63028"/>
    </row>
    <row r="63029" spans="1:13" ht="12.75" customHeight="1" x14ac:dyDescent="0.25">
      <c r="A63029"/>
      <c r="B63029"/>
      <c r="C63029"/>
      <c r="M63029"/>
    </row>
    <row r="63030" spans="1:13" ht="12.75" customHeight="1" x14ac:dyDescent="0.25">
      <c r="A63030"/>
      <c r="B63030"/>
      <c r="C63030"/>
      <c r="M63030"/>
    </row>
    <row r="63031" spans="1:13" ht="12.75" customHeight="1" x14ac:dyDescent="0.25">
      <c r="A63031"/>
      <c r="B63031"/>
      <c r="C63031"/>
      <c r="M63031"/>
    </row>
    <row r="63032" spans="1:13" ht="12.75" customHeight="1" x14ac:dyDescent="0.25">
      <c r="A63032"/>
      <c r="B63032"/>
      <c r="C63032"/>
      <c r="M63032"/>
    </row>
    <row r="63033" spans="1:13" ht="12.75" customHeight="1" x14ac:dyDescent="0.25">
      <c r="A63033"/>
      <c r="B63033"/>
      <c r="C63033"/>
      <c r="M63033"/>
    </row>
    <row r="63034" spans="1:13" ht="12.75" customHeight="1" x14ac:dyDescent="0.25">
      <c r="A63034"/>
      <c r="B63034"/>
      <c r="C63034"/>
      <c r="M63034"/>
    </row>
    <row r="63035" spans="1:13" ht="12.75" customHeight="1" x14ac:dyDescent="0.25">
      <c r="A63035"/>
      <c r="B63035"/>
      <c r="C63035"/>
      <c r="M63035"/>
    </row>
    <row r="63036" spans="1:13" ht="12.75" customHeight="1" x14ac:dyDescent="0.25">
      <c r="A63036"/>
      <c r="B63036"/>
      <c r="C63036"/>
      <c r="M63036"/>
    </row>
    <row r="63037" spans="1:13" ht="12.75" customHeight="1" x14ac:dyDescent="0.25">
      <c r="A63037"/>
      <c r="B63037"/>
      <c r="C63037"/>
      <c r="M63037"/>
    </row>
    <row r="63038" spans="1:13" ht="12.75" customHeight="1" x14ac:dyDescent="0.25">
      <c r="A63038"/>
      <c r="B63038"/>
      <c r="C63038"/>
      <c r="M63038"/>
    </row>
    <row r="63039" spans="1:13" ht="12.75" customHeight="1" x14ac:dyDescent="0.25">
      <c r="A63039"/>
      <c r="B63039"/>
      <c r="C63039"/>
      <c r="M63039"/>
    </row>
    <row r="63040" spans="1:13" ht="12.75" customHeight="1" x14ac:dyDescent="0.25">
      <c r="A63040"/>
      <c r="B63040"/>
      <c r="C63040"/>
      <c r="M63040"/>
    </row>
    <row r="63041" spans="1:13" ht="12.75" customHeight="1" x14ac:dyDescent="0.25">
      <c r="A63041"/>
      <c r="B63041"/>
      <c r="C63041"/>
      <c r="M63041"/>
    </row>
    <row r="63042" spans="1:13" ht="12.75" customHeight="1" x14ac:dyDescent="0.25">
      <c r="A63042"/>
      <c r="B63042"/>
      <c r="C63042"/>
      <c r="M63042"/>
    </row>
    <row r="63043" spans="1:13" ht="12.75" customHeight="1" x14ac:dyDescent="0.25">
      <c r="A63043"/>
      <c r="B63043"/>
      <c r="C63043"/>
      <c r="M63043"/>
    </row>
    <row r="63044" spans="1:13" ht="12.75" customHeight="1" x14ac:dyDescent="0.25">
      <c r="A63044"/>
      <c r="B63044"/>
      <c r="C63044"/>
      <c r="M63044"/>
    </row>
    <row r="63045" spans="1:13" ht="12.75" customHeight="1" x14ac:dyDescent="0.25">
      <c r="A63045"/>
      <c r="B63045"/>
      <c r="C63045"/>
      <c r="M63045"/>
    </row>
    <row r="63046" spans="1:13" ht="12.75" customHeight="1" x14ac:dyDescent="0.25">
      <c r="A63046"/>
      <c r="B63046"/>
      <c r="C63046"/>
      <c r="M63046"/>
    </row>
    <row r="63047" spans="1:13" ht="12.75" customHeight="1" x14ac:dyDescent="0.25">
      <c r="A63047"/>
      <c r="B63047"/>
      <c r="C63047"/>
      <c r="M63047"/>
    </row>
    <row r="63048" spans="1:13" ht="12.75" customHeight="1" x14ac:dyDescent="0.25">
      <c r="A63048"/>
      <c r="B63048"/>
      <c r="C63048"/>
      <c r="M63048"/>
    </row>
    <row r="63049" spans="1:13" ht="12.75" customHeight="1" x14ac:dyDescent="0.25">
      <c r="A63049"/>
      <c r="B63049"/>
      <c r="C63049"/>
      <c r="M63049"/>
    </row>
    <row r="63050" spans="1:13" ht="12.75" customHeight="1" x14ac:dyDescent="0.25">
      <c r="A63050"/>
      <c r="B63050"/>
      <c r="C63050"/>
      <c r="M63050"/>
    </row>
    <row r="63051" spans="1:13" ht="12.75" customHeight="1" x14ac:dyDescent="0.25">
      <c r="A63051"/>
      <c r="B63051"/>
      <c r="C63051"/>
      <c r="M63051"/>
    </row>
    <row r="63052" spans="1:13" ht="12.75" customHeight="1" x14ac:dyDescent="0.25">
      <c r="A63052"/>
      <c r="B63052"/>
      <c r="C63052"/>
      <c r="M63052"/>
    </row>
    <row r="63053" spans="1:13" ht="12.75" customHeight="1" x14ac:dyDescent="0.25">
      <c r="A63053"/>
      <c r="B63053"/>
      <c r="C63053"/>
      <c r="M63053"/>
    </row>
    <row r="63054" spans="1:13" ht="12.75" customHeight="1" x14ac:dyDescent="0.25">
      <c r="A63054"/>
      <c r="B63054"/>
      <c r="C63054"/>
      <c r="M63054"/>
    </row>
    <row r="63055" spans="1:13" ht="12.75" customHeight="1" x14ac:dyDescent="0.25">
      <c r="A63055"/>
      <c r="B63055"/>
      <c r="C63055"/>
      <c r="M63055"/>
    </row>
    <row r="63056" spans="1:13" ht="12.75" customHeight="1" x14ac:dyDescent="0.25">
      <c r="A63056"/>
      <c r="B63056"/>
      <c r="C63056"/>
      <c r="M63056"/>
    </row>
    <row r="63057" spans="1:13" ht="12.75" customHeight="1" x14ac:dyDescent="0.25">
      <c r="A63057"/>
      <c r="B63057"/>
      <c r="C63057"/>
      <c r="M63057"/>
    </row>
    <row r="63058" spans="1:13" ht="12.75" customHeight="1" x14ac:dyDescent="0.25">
      <c r="A63058"/>
      <c r="B63058"/>
      <c r="C63058"/>
      <c r="M63058"/>
    </row>
    <row r="63059" spans="1:13" ht="12.75" customHeight="1" x14ac:dyDescent="0.25">
      <c r="A63059"/>
      <c r="B63059"/>
      <c r="C63059"/>
      <c r="M63059"/>
    </row>
    <row r="63060" spans="1:13" ht="12.75" customHeight="1" x14ac:dyDescent="0.25">
      <c r="A63060"/>
      <c r="B63060"/>
      <c r="C63060"/>
      <c r="M63060"/>
    </row>
    <row r="63061" spans="1:13" ht="12.75" customHeight="1" x14ac:dyDescent="0.25">
      <c r="A63061"/>
      <c r="B63061"/>
      <c r="C63061"/>
      <c r="M63061"/>
    </row>
    <row r="63062" spans="1:13" ht="12.75" customHeight="1" x14ac:dyDescent="0.25">
      <c r="A63062"/>
      <c r="B63062"/>
      <c r="C63062"/>
      <c r="M63062"/>
    </row>
    <row r="63063" spans="1:13" ht="12.75" customHeight="1" x14ac:dyDescent="0.25">
      <c r="A63063"/>
      <c r="B63063"/>
      <c r="C63063"/>
      <c r="M63063"/>
    </row>
    <row r="63064" spans="1:13" ht="12.75" customHeight="1" x14ac:dyDescent="0.25">
      <c r="A63064"/>
      <c r="B63064"/>
      <c r="C63064"/>
      <c r="M63064"/>
    </row>
    <row r="63065" spans="1:13" ht="12.75" customHeight="1" x14ac:dyDescent="0.25">
      <c r="A63065"/>
      <c r="B63065"/>
      <c r="C63065"/>
      <c r="M63065"/>
    </row>
    <row r="63066" spans="1:13" ht="12.75" customHeight="1" x14ac:dyDescent="0.25">
      <c r="A63066"/>
      <c r="B63066"/>
      <c r="C63066"/>
      <c r="M63066"/>
    </row>
    <row r="63067" spans="1:13" ht="12.75" customHeight="1" x14ac:dyDescent="0.25">
      <c r="A63067"/>
      <c r="B63067"/>
      <c r="C63067"/>
      <c r="M63067"/>
    </row>
    <row r="63068" spans="1:13" ht="12.75" customHeight="1" x14ac:dyDescent="0.25">
      <c r="A63068"/>
      <c r="B63068"/>
      <c r="C63068"/>
      <c r="M63068"/>
    </row>
    <row r="63069" spans="1:13" ht="12.75" customHeight="1" x14ac:dyDescent="0.25">
      <c r="A63069"/>
      <c r="B63069"/>
      <c r="C63069"/>
      <c r="M63069"/>
    </row>
    <row r="63070" spans="1:13" ht="12.75" customHeight="1" x14ac:dyDescent="0.25">
      <c r="A63070"/>
      <c r="B63070"/>
      <c r="C63070"/>
      <c r="M63070"/>
    </row>
    <row r="63071" spans="1:13" ht="12.75" customHeight="1" x14ac:dyDescent="0.25">
      <c r="A63071"/>
      <c r="B63071"/>
      <c r="C63071"/>
      <c r="M63071"/>
    </row>
    <row r="63072" spans="1:13" ht="12.75" customHeight="1" x14ac:dyDescent="0.25">
      <c r="A63072"/>
      <c r="B63072"/>
      <c r="C63072"/>
      <c r="M63072"/>
    </row>
    <row r="63073" spans="1:13" ht="12.75" customHeight="1" x14ac:dyDescent="0.25">
      <c r="A63073"/>
      <c r="B63073"/>
      <c r="C63073"/>
      <c r="M63073"/>
    </row>
    <row r="63074" spans="1:13" ht="12.75" customHeight="1" x14ac:dyDescent="0.25">
      <c r="A63074"/>
      <c r="B63074"/>
      <c r="C63074"/>
      <c r="M63074"/>
    </row>
    <row r="63075" spans="1:13" ht="12.75" customHeight="1" x14ac:dyDescent="0.25">
      <c r="A63075"/>
      <c r="B63075"/>
      <c r="C63075"/>
      <c r="M63075"/>
    </row>
    <row r="63076" spans="1:13" ht="12.75" customHeight="1" x14ac:dyDescent="0.25">
      <c r="A63076"/>
      <c r="B63076"/>
      <c r="C63076"/>
      <c r="M63076"/>
    </row>
    <row r="63077" spans="1:13" ht="12.75" customHeight="1" x14ac:dyDescent="0.25">
      <c r="A63077"/>
      <c r="B63077"/>
      <c r="C63077"/>
      <c r="M63077"/>
    </row>
    <row r="63078" spans="1:13" ht="12.75" customHeight="1" x14ac:dyDescent="0.25">
      <c r="A63078"/>
      <c r="B63078"/>
      <c r="C63078"/>
      <c r="M63078"/>
    </row>
    <row r="63079" spans="1:13" ht="12.75" customHeight="1" x14ac:dyDescent="0.25">
      <c r="A63079"/>
      <c r="B63079"/>
      <c r="C63079"/>
      <c r="M63079"/>
    </row>
    <row r="63080" spans="1:13" ht="12.75" customHeight="1" x14ac:dyDescent="0.25">
      <c r="A63080"/>
      <c r="B63080"/>
      <c r="C63080"/>
      <c r="M63080"/>
    </row>
    <row r="63081" spans="1:13" ht="12.75" customHeight="1" x14ac:dyDescent="0.25">
      <c r="A63081"/>
      <c r="B63081"/>
      <c r="C63081"/>
      <c r="M63081"/>
    </row>
    <row r="63082" spans="1:13" ht="12.75" customHeight="1" x14ac:dyDescent="0.25">
      <c r="A63082"/>
      <c r="B63082"/>
      <c r="C63082"/>
      <c r="M63082"/>
    </row>
    <row r="63083" spans="1:13" ht="12.75" customHeight="1" x14ac:dyDescent="0.25">
      <c r="A63083"/>
      <c r="B63083"/>
      <c r="C63083"/>
      <c r="M63083"/>
    </row>
    <row r="63084" spans="1:13" ht="12.75" customHeight="1" x14ac:dyDescent="0.25">
      <c r="A63084"/>
      <c r="B63084"/>
      <c r="C63084"/>
      <c r="M63084"/>
    </row>
    <row r="63085" spans="1:13" ht="12.75" customHeight="1" x14ac:dyDescent="0.25">
      <c r="A63085"/>
      <c r="B63085"/>
      <c r="C63085"/>
      <c r="M63085"/>
    </row>
    <row r="63086" spans="1:13" ht="12.75" customHeight="1" x14ac:dyDescent="0.25">
      <c r="A63086"/>
      <c r="B63086"/>
      <c r="C63086"/>
      <c r="M63086"/>
    </row>
    <row r="63087" spans="1:13" ht="12.75" customHeight="1" x14ac:dyDescent="0.25">
      <c r="A63087"/>
      <c r="B63087"/>
      <c r="C63087"/>
      <c r="M63087"/>
    </row>
    <row r="63088" spans="1:13" ht="12.75" customHeight="1" x14ac:dyDescent="0.25">
      <c r="A63088"/>
      <c r="B63088"/>
      <c r="C63088"/>
      <c r="M63088"/>
    </row>
    <row r="63089" spans="1:13" ht="12.75" customHeight="1" x14ac:dyDescent="0.25">
      <c r="A63089"/>
      <c r="B63089"/>
      <c r="C63089"/>
      <c r="M63089"/>
    </row>
    <row r="63090" spans="1:13" ht="12.75" customHeight="1" x14ac:dyDescent="0.25">
      <c r="A63090"/>
      <c r="B63090"/>
      <c r="C63090"/>
      <c r="M63090"/>
    </row>
    <row r="63091" spans="1:13" ht="12.75" customHeight="1" x14ac:dyDescent="0.25">
      <c r="A63091"/>
      <c r="B63091"/>
      <c r="C63091"/>
      <c r="M63091"/>
    </row>
    <row r="63092" spans="1:13" ht="12.75" customHeight="1" x14ac:dyDescent="0.25">
      <c r="A63092"/>
      <c r="B63092"/>
      <c r="C63092"/>
      <c r="M63092"/>
    </row>
    <row r="63093" spans="1:13" ht="12.75" customHeight="1" x14ac:dyDescent="0.25">
      <c r="A63093"/>
      <c r="B63093"/>
      <c r="C63093"/>
      <c r="M63093"/>
    </row>
    <row r="63094" spans="1:13" ht="12.75" customHeight="1" x14ac:dyDescent="0.25">
      <c r="A63094"/>
      <c r="B63094"/>
      <c r="C63094"/>
      <c r="M63094"/>
    </row>
    <row r="63095" spans="1:13" ht="12.75" customHeight="1" x14ac:dyDescent="0.25">
      <c r="A63095"/>
      <c r="B63095"/>
      <c r="C63095"/>
      <c r="M63095"/>
    </row>
    <row r="63096" spans="1:13" ht="12.75" customHeight="1" x14ac:dyDescent="0.25">
      <c r="A63096"/>
      <c r="B63096"/>
      <c r="C63096"/>
      <c r="M63096"/>
    </row>
    <row r="63097" spans="1:13" ht="12.75" customHeight="1" x14ac:dyDescent="0.25">
      <c r="A63097"/>
      <c r="B63097"/>
      <c r="C63097"/>
      <c r="M63097"/>
    </row>
    <row r="63098" spans="1:13" ht="12.75" customHeight="1" x14ac:dyDescent="0.25">
      <c r="A63098"/>
      <c r="B63098"/>
      <c r="C63098"/>
      <c r="M63098"/>
    </row>
    <row r="63099" spans="1:13" ht="12.75" customHeight="1" x14ac:dyDescent="0.25">
      <c r="A63099"/>
      <c r="B63099"/>
      <c r="C63099"/>
      <c r="M63099"/>
    </row>
    <row r="63100" spans="1:13" ht="12.75" customHeight="1" x14ac:dyDescent="0.25">
      <c r="A63100"/>
      <c r="B63100"/>
      <c r="C63100"/>
      <c r="M63100"/>
    </row>
    <row r="63101" spans="1:13" ht="12.75" customHeight="1" x14ac:dyDescent="0.25">
      <c r="A63101"/>
      <c r="B63101"/>
      <c r="C63101"/>
      <c r="M63101"/>
    </row>
    <row r="63102" spans="1:13" ht="12.75" customHeight="1" x14ac:dyDescent="0.25">
      <c r="A63102"/>
      <c r="B63102"/>
      <c r="C63102"/>
      <c r="M63102"/>
    </row>
    <row r="63103" spans="1:13" ht="12.75" customHeight="1" x14ac:dyDescent="0.25">
      <c r="A63103"/>
      <c r="B63103"/>
      <c r="C63103"/>
      <c r="M63103"/>
    </row>
    <row r="63104" spans="1:13" ht="12.75" customHeight="1" x14ac:dyDescent="0.25">
      <c r="A63104"/>
      <c r="B63104"/>
      <c r="C63104"/>
      <c r="M63104"/>
    </row>
    <row r="63105" spans="1:13" ht="12.75" customHeight="1" x14ac:dyDescent="0.25">
      <c r="A63105"/>
      <c r="B63105"/>
      <c r="C63105"/>
      <c r="M63105"/>
    </row>
    <row r="63106" spans="1:13" ht="12.75" customHeight="1" x14ac:dyDescent="0.25">
      <c r="A63106"/>
      <c r="B63106"/>
      <c r="C63106"/>
      <c r="M63106"/>
    </row>
    <row r="63107" spans="1:13" ht="12.75" customHeight="1" x14ac:dyDescent="0.25">
      <c r="A63107"/>
      <c r="B63107"/>
      <c r="C63107"/>
      <c r="M63107"/>
    </row>
    <row r="63108" spans="1:13" ht="12.75" customHeight="1" x14ac:dyDescent="0.25">
      <c r="A63108"/>
      <c r="B63108"/>
      <c r="C63108"/>
      <c r="M63108"/>
    </row>
    <row r="63109" spans="1:13" ht="12.75" customHeight="1" x14ac:dyDescent="0.25">
      <c r="A63109"/>
      <c r="B63109"/>
      <c r="C63109"/>
      <c r="M63109"/>
    </row>
    <row r="63110" spans="1:13" ht="12.75" customHeight="1" x14ac:dyDescent="0.25">
      <c r="A63110"/>
      <c r="B63110"/>
      <c r="C63110"/>
      <c r="M63110"/>
    </row>
    <row r="63111" spans="1:13" ht="12.75" customHeight="1" x14ac:dyDescent="0.25">
      <c r="A63111"/>
      <c r="B63111"/>
      <c r="C63111"/>
      <c r="M63111"/>
    </row>
    <row r="63112" spans="1:13" ht="12.75" customHeight="1" x14ac:dyDescent="0.25">
      <c r="A63112"/>
      <c r="B63112"/>
      <c r="C63112"/>
      <c r="M63112"/>
    </row>
    <row r="63113" spans="1:13" ht="12.75" customHeight="1" x14ac:dyDescent="0.25">
      <c r="A63113"/>
      <c r="B63113"/>
      <c r="C63113"/>
      <c r="M63113"/>
    </row>
    <row r="63114" spans="1:13" ht="12.75" customHeight="1" x14ac:dyDescent="0.25">
      <c r="A63114"/>
      <c r="B63114"/>
      <c r="C63114"/>
      <c r="M63114"/>
    </row>
    <row r="63115" spans="1:13" ht="12.75" customHeight="1" x14ac:dyDescent="0.25">
      <c r="A63115"/>
      <c r="B63115"/>
      <c r="C63115"/>
      <c r="M63115"/>
    </row>
    <row r="63116" spans="1:13" ht="12.75" customHeight="1" x14ac:dyDescent="0.25">
      <c r="A63116"/>
      <c r="B63116"/>
      <c r="C63116"/>
      <c r="M63116"/>
    </row>
    <row r="63117" spans="1:13" ht="12.75" customHeight="1" x14ac:dyDescent="0.25">
      <c r="A63117"/>
      <c r="B63117"/>
      <c r="C63117"/>
      <c r="M63117"/>
    </row>
    <row r="63118" spans="1:13" ht="12.75" customHeight="1" x14ac:dyDescent="0.25">
      <c r="A63118"/>
      <c r="B63118"/>
      <c r="C63118"/>
      <c r="M63118"/>
    </row>
    <row r="63119" spans="1:13" ht="12.75" customHeight="1" x14ac:dyDescent="0.25">
      <c r="A63119"/>
      <c r="B63119"/>
      <c r="C63119"/>
      <c r="M63119"/>
    </row>
    <row r="63120" spans="1:13" ht="12.75" customHeight="1" x14ac:dyDescent="0.25">
      <c r="A63120"/>
      <c r="B63120"/>
      <c r="C63120"/>
      <c r="M63120"/>
    </row>
    <row r="63121" spans="1:13" ht="12.75" customHeight="1" x14ac:dyDescent="0.25">
      <c r="A63121"/>
      <c r="B63121"/>
      <c r="C63121"/>
      <c r="M63121"/>
    </row>
    <row r="63122" spans="1:13" ht="12.75" customHeight="1" x14ac:dyDescent="0.25">
      <c r="A63122"/>
      <c r="B63122"/>
      <c r="C63122"/>
      <c r="M63122"/>
    </row>
    <row r="63123" spans="1:13" ht="12.75" customHeight="1" x14ac:dyDescent="0.25">
      <c r="A63123"/>
      <c r="B63123"/>
      <c r="C63123"/>
      <c r="M63123"/>
    </row>
    <row r="63124" spans="1:13" ht="12.75" customHeight="1" x14ac:dyDescent="0.25">
      <c r="A63124"/>
      <c r="B63124"/>
      <c r="C63124"/>
      <c r="M63124"/>
    </row>
    <row r="63125" spans="1:13" ht="12.75" customHeight="1" x14ac:dyDescent="0.25">
      <c r="A63125"/>
      <c r="B63125"/>
      <c r="C63125"/>
      <c r="M63125"/>
    </row>
    <row r="63126" spans="1:13" ht="12.75" customHeight="1" x14ac:dyDescent="0.25">
      <c r="A63126"/>
      <c r="B63126"/>
      <c r="C63126"/>
      <c r="M63126"/>
    </row>
    <row r="63127" spans="1:13" ht="12.75" customHeight="1" x14ac:dyDescent="0.25">
      <c r="A63127"/>
      <c r="B63127"/>
      <c r="C63127"/>
      <c r="M63127"/>
    </row>
    <row r="63128" spans="1:13" ht="12.75" customHeight="1" x14ac:dyDescent="0.25">
      <c r="A63128"/>
      <c r="B63128"/>
      <c r="C63128"/>
      <c r="M63128"/>
    </row>
    <row r="63129" spans="1:13" ht="12.75" customHeight="1" x14ac:dyDescent="0.25">
      <c r="A63129"/>
      <c r="B63129"/>
      <c r="C63129"/>
      <c r="M63129"/>
    </row>
    <row r="63130" spans="1:13" ht="12.75" customHeight="1" x14ac:dyDescent="0.25">
      <c r="A63130"/>
      <c r="B63130"/>
      <c r="C63130"/>
      <c r="M63130"/>
    </row>
    <row r="63131" spans="1:13" ht="12.75" customHeight="1" x14ac:dyDescent="0.25">
      <c r="A63131"/>
      <c r="B63131"/>
      <c r="C63131"/>
      <c r="M63131"/>
    </row>
    <row r="63132" spans="1:13" ht="12.75" customHeight="1" x14ac:dyDescent="0.25">
      <c r="A63132"/>
      <c r="B63132"/>
      <c r="C63132"/>
      <c r="M63132"/>
    </row>
    <row r="63133" spans="1:13" ht="12.75" customHeight="1" x14ac:dyDescent="0.25">
      <c r="A63133"/>
      <c r="B63133"/>
      <c r="C63133"/>
      <c r="M63133"/>
    </row>
    <row r="63134" spans="1:13" ht="12.75" customHeight="1" x14ac:dyDescent="0.25">
      <c r="A63134"/>
      <c r="B63134"/>
      <c r="C63134"/>
      <c r="M63134"/>
    </row>
    <row r="63135" spans="1:13" ht="12.75" customHeight="1" x14ac:dyDescent="0.25">
      <c r="A63135"/>
      <c r="B63135"/>
      <c r="C63135"/>
      <c r="M63135"/>
    </row>
    <row r="63136" spans="1:13" ht="12.75" customHeight="1" x14ac:dyDescent="0.25">
      <c r="A63136"/>
      <c r="B63136"/>
      <c r="C63136"/>
      <c r="M63136"/>
    </row>
    <row r="63137" spans="1:13" ht="12.75" customHeight="1" x14ac:dyDescent="0.25">
      <c r="A63137"/>
      <c r="B63137"/>
      <c r="C63137"/>
      <c r="M63137"/>
    </row>
    <row r="63138" spans="1:13" ht="12.75" customHeight="1" x14ac:dyDescent="0.25">
      <c r="A63138"/>
      <c r="B63138"/>
      <c r="C63138"/>
      <c r="M63138"/>
    </row>
    <row r="63139" spans="1:13" ht="12.75" customHeight="1" x14ac:dyDescent="0.25">
      <c r="A63139"/>
      <c r="B63139"/>
      <c r="C63139"/>
      <c r="M63139"/>
    </row>
    <row r="63140" spans="1:13" ht="12.75" customHeight="1" x14ac:dyDescent="0.25">
      <c r="A63140"/>
      <c r="B63140"/>
      <c r="C63140"/>
      <c r="M63140"/>
    </row>
    <row r="63141" spans="1:13" ht="12.75" customHeight="1" x14ac:dyDescent="0.25">
      <c r="A63141"/>
      <c r="B63141"/>
      <c r="C63141"/>
      <c r="M63141"/>
    </row>
    <row r="63142" spans="1:13" ht="12.75" customHeight="1" x14ac:dyDescent="0.25">
      <c r="A63142"/>
      <c r="B63142"/>
      <c r="C63142"/>
      <c r="M63142"/>
    </row>
    <row r="63143" spans="1:13" ht="12.75" customHeight="1" x14ac:dyDescent="0.25">
      <c r="A63143"/>
      <c r="B63143"/>
      <c r="C63143"/>
      <c r="M63143"/>
    </row>
    <row r="63144" spans="1:13" ht="12.75" customHeight="1" x14ac:dyDescent="0.25">
      <c r="A63144"/>
      <c r="B63144"/>
      <c r="C63144"/>
      <c r="M63144"/>
    </row>
    <row r="63145" spans="1:13" ht="12.75" customHeight="1" x14ac:dyDescent="0.25">
      <c r="A63145"/>
      <c r="B63145"/>
      <c r="C63145"/>
      <c r="M63145"/>
    </row>
    <row r="63146" spans="1:13" ht="12.75" customHeight="1" x14ac:dyDescent="0.25">
      <c r="A63146"/>
      <c r="B63146"/>
      <c r="C63146"/>
      <c r="M63146"/>
    </row>
    <row r="63147" spans="1:13" ht="12.75" customHeight="1" x14ac:dyDescent="0.25">
      <c r="A63147"/>
      <c r="B63147"/>
      <c r="C63147"/>
      <c r="M63147"/>
    </row>
    <row r="63148" spans="1:13" ht="12.75" customHeight="1" x14ac:dyDescent="0.25">
      <c r="A63148"/>
      <c r="B63148"/>
      <c r="C63148"/>
      <c r="M63148"/>
    </row>
    <row r="63149" spans="1:13" ht="12.75" customHeight="1" x14ac:dyDescent="0.25">
      <c r="A63149"/>
      <c r="B63149"/>
      <c r="C63149"/>
      <c r="M63149"/>
    </row>
    <row r="63150" spans="1:13" ht="12.75" customHeight="1" x14ac:dyDescent="0.25">
      <c r="A63150"/>
      <c r="B63150"/>
      <c r="C63150"/>
      <c r="M63150"/>
    </row>
    <row r="63151" spans="1:13" ht="12.75" customHeight="1" x14ac:dyDescent="0.25">
      <c r="A63151"/>
      <c r="B63151"/>
      <c r="C63151"/>
      <c r="M63151"/>
    </row>
    <row r="63152" spans="1:13" ht="12.75" customHeight="1" x14ac:dyDescent="0.25">
      <c r="A63152"/>
      <c r="B63152"/>
      <c r="C63152"/>
      <c r="M63152"/>
    </row>
    <row r="63153" spans="1:13" ht="12.75" customHeight="1" x14ac:dyDescent="0.25">
      <c r="A63153"/>
      <c r="B63153"/>
      <c r="C63153"/>
      <c r="M63153"/>
    </row>
    <row r="63154" spans="1:13" ht="12.75" customHeight="1" x14ac:dyDescent="0.25">
      <c r="A63154"/>
      <c r="B63154"/>
      <c r="C63154"/>
      <c r="M63154"/>
    </row>
    <row r="63155" spans="1:13" ht="12.75" customHeight="1" x14ac:dyDescent="0.25">
      <c r="A63155"/>
      <c r="B63155"/>
      <c r="C63155"/>
      <c r="M63155"/>
    </row>
    <row r="63156" spans="1:13" ht="12.75" customHeight="1" x14ac:dyDescent="0.25">
      <c r="A63156"/>
      <c r="B63156"/>
      <c r="C63156"/>
      <c r="M63156"/>
    </row>
    <row r="63157" spans="1:13" ht="12.75" customHeight="1" x14ac:dyDescent="0.25">
      <c r="A63157"/>
      <c r="B63157"/>
      <c r="C63157"/>
      <c r="M63157"/>
    </row>
    <row r="63158" spans="1:13" ht="12.75" customHeight="1" x14ac:dyDescent="0.25">
      <c r="A63158"/>
      <c r="B63158"/>
      <c r="C63158"/>
      <c r="M63158"/>
    </row>
    <row r="63159" spans="1:13" ht="12.75" customHeight="1" x14ac:dyDescent="0.25">
      <c r="A63159"/>
      <c r="B63159"/>
      <c r="C63159"/>
      <c r="M63159"/>
    </row>
    <row r="63160" spans="1:13" ht="12.75" customHeight="1" x14ac:dyDescent="0.25">
      <c r="A63160"/>
      <c r="B63160"/>
      <c r="C63160"/>
      <c r="M63160"/>
    </row>
    <row r="63161" spans="1:13" ht="12.75" customHeight="1" x14ac:dyDescent="0.25">
      <c r="A63161"/>
      <c r="B63161"/>
      <c r="C63161"/>
      <c r="M63161"/>
    </row>
    <row r="63162" spans="1:13" ht="12.75" customHeight="1" x14ac:dyDescent="0.25">
      <c r="A63162"/>
      <c r="B63162"/>
      <c r="C63162"/>
      <c r="M63162"/>
    </row>
    <row r="63163" spans="1:13" ht="12.75" customHeight="1" x14ac:dyDescent="0.25">
      <c r="A63163"/>
      <c r="B63163"/>
      <c r="C63163"/>
      <c r="M63163"/>
    </row>
    <row r="63164" spans="1:13" ht="12.75" customHeight="1" x14ac:dyDescent="0.25">
      <c r="A63164"/>
      <c r="B63164"/>
      <c r="C63164"/>
      <c r="M63164"/>
    </row>
    <row r="63165" spans="1:13" ht="12.75" customHeight="1" x14ac:dyDescent="0.25">
      <c r="A63165"/>
      <c r="B63165"/>
      <c r="C63165"/>
      <c r="M63165"/>
    </row>
    <row r="63166" spans="1:13" ht="12.75" customHeight="1" x14ac:dyDescent="0.25">
      <c r="A63166"/>
      <c r="B63166"/>
      <c r="C63166"/>
      <c r="M63166"/>
    </row>
    <row r="63167" spans="1:13" ht="12.75" customHeight="1" x14ac:dyDescent="0.25">
      <c r="A63167"/>
      <c r="B63167"/>
      <c r="C63167"/>
      <c r="M63167"/>
    </row>
    <row r="63168" spans="1:13" ht="12.75" customHeight="1" x14ac:dyDescent="0.25">
      <c r="A63168"/>
      <c r="B63168"/>
      <c r="C63168"/>
      <c r="M63168"/>
    </row>
    <row r="63169" spans="1:13" ht="12.75" customHeight="1" x14ac:dyDescent="0.25">
      <c r="A63169"/>
      <c r="B63169"/>
      <c r="C63169"/>
      <c r="M63169"/>
    </row>
    <row r="63170" spans="1:13" ht="12.75" customHeight="1" x14ac:dyDescent="0.25">
      <c r="A63170"/>
      <c r="B63170"/>
      <c r="C63170"/>
      <c r="M63170"/>
    </row>
    <row r="63171" spans="1:13" ht="12.75" customHeight="1" x14ac:dyDescent="0.25">
      <c r="A63171"/>
      <c r="B63171"/>
      <c r="C63171"/>
      <c r="M63171"/>
    </row>
    <row r="63172" spans="1:13" ht="12.75" customHeight="1" x14ac:dyDescent="0.25">
      <c r="A63172"/>
      <c r="B63172"/>
      <c r="C63172"/>
      <c r="M63172"/>
    </row>
    <row r="63173" spans="1:13" ht="12.75" customHeight="1" x14ac:dyDescent="0.25">
      <c r="A63173"/>
      <c r="B63173"/>
      <c r="C63173"/>
      <c r="M63173"/>
    </row>
    <row r="63174" spans="1:13" ht="12.75" customHeight="1" x14ac:dyDescent="0.25">
      <c r="A63174"/>
      <c r="B63174"/>
      <c r="C63174"/>
      <c r="M63174"/>
    </row>
    <row r="63175" spans="1:13" ht="12.75" customHeight="1" x14ac:dyDescent="0.25">
      <c r="A63175"/>
      <c r="B63175"/>
      <c r="C63175"/>
      <c r="M63175"/>
    </row>
    <row r="63176" spans="1:13" ht="12.75" customHeight="1" x14ac:dyDescent="0.25">
      <c r="A63176"/>
      <c r="B63176"/>
      <c r="C63176"/>
      <c r="M63176"/>
    </row>
    <row r="63177" spans="1:13" ht="12.75" customHeight="1" x14ac:dyDescent="0.25">
      <c r="A63177"/>
      <c r="B63177"/>
      <c r="C63177"/>
      <c r="M63177"/>
    </row>
    <row r="63178" spans="1:13" ht="12.75" customHeight="1" x14ac:dyDescent="0.25">
      <c r="A63178"/>
      <c r="B63178"/>
      <c r="C63178"/>
      <c r="M63178"/>
    </row>
    <row r="63179" spans="1:13" ht="12.75" customHeight="1" x14ac:dyDescent="0.25">
      <c r="A63179"/>
      <c r="B63179"/>
      <c r="C63179"/>
      <c r="M63179"/>
    </row>
    <row r="63180" spans="1:13" ht="12.75" customHeight="1" x14ac:dyDescent="0.25">
      <c r="A63180"/>
      <c r="B63180"/>
      <c r="C63180"/>
      <c r="M63180"/>
    </row>
    <row r="63181" spans="1:13" ht="12.75" customHeight="1" x14ac:dyDescent="0.25">
      <c r="A63181"/>
      <c r="B63181"/>
      <c r="C63181"/>
      <c r="M63181"/>
    </row>
    <row r="63182" spans="1:13" ht="12.75" customHeight="1" x14ac:dyDescent="0.25">
      <c r="A63182"/>
      <c r="B63182"/>
      <c r="C63182"/>
      <c r="M63182"/>
    </row>
    <row r="63183" spans="1:13" ht="12.75" customHeight="1" x14ac:dyDescent="0.25">
      <c r="A63183"/>
      <c r="B63183"/>
      <c r="C63183"/>
      <c r="M63183"/>
    </row>
    <row r="63184" spans="1:13" ht="12.75" customHeight="1" x14ac:dyDescent="0.25">
      <c r="A63184"/>
      <c r="B63184"/>
      <c r="C63184"/>
      <c r="M63184"/>
    </row>
    <row r="63185" spans="1:13" ht="12.75" customHeight="1" x14ac:dyDescent="0.25">
      <c r="A63185"/>
      <c r="B63185"/>
      <c r="C63185"/>
      <c r="M63185"/>
    </row>
    <row r="63186" spans="1:13" ht="12.75" customHeight="1" x14ac:dyDescent="0.25">
      <c r="A63186"/>
      <c r="B63186"/>
      <c r="C63186"/>
      <c r="M63186"/>
    </row>
    <row r="63187" spans="1:13" ht="12.75" customHeight="1" x14ac:dyDescent="0.25">
      <c r="A63187"/>
      <c r="B63187"/>
      <c r="C63187"/>
      <c r="M63187"/>
    </row>
    <row r="63188" spans="1:13" ht="12.75" customHeight="1" x14ac:dyDescent="0.25">
      <c r="A63188"/>
      <c r="B63188"/>
      <c r="C63188"/>
      <c r="M63188"/>
    </row>
    <row r="63189" spans="1:13" ht="12.75" customHeight="1" x14ac:dyDescent="0.25">
      <c r="A63189"/>
      <c r="B63189"/>
      <c r="C63189"/>
      <c r="M63189"/>
    </row>
    <row r="63190" spans="1:13" ht="12.75" customHeight="1" x14ac:dyDescent="0.25">
      <c r="A63190"/>
      <c r="B63190"/>
      <c r="C63190"/>
      <c r="M63190"/>
    </row>
    <row r="63191" spans="1:13" ht="12.75" customHeight="1" x14ac:dyDescent="0.25">
      <c r="A63191"/>
      <c r="B63191"/>
      <c r="C63191"/>
      <c r="M63191"/>
    </row>
    <row r="63192" spans="1:13" ht="12.75" customHeight="1" x14ac:dyDescent="0.25">
      <c r="A63192"/>
      <c r="B63192"/>
      <c r="C63192"/>
      <c r="M63192"/>
    </row>
    <row r="63193" spans="1:13" ht="12.75" customHeight="1" x14ac:dyDescent="0.25">
      <c r="A63193"/>
      <c r="B63193"/>
      <c r="C63193"/>
      <c r="M63193"/>
    </row>
    <row r="63194" spans="1:13" ht="12.75" customHeight="1" x14ac:dyDescent="0.25">
      <c r="A63194"/>
      <c r="B63194"/>
      <c r="C63194"/>
      <c r="M63194"/>
    </row>
    <row r="63195" spans="1:13" ht="12.75" customHeight="1" x14ac:dyDescent="0.25">
      <c r="A63195"/>
      <c r="B63195"/>
      <c r="C63195"/>
      <c r="M63195"/>
    </row>
    <row r="63196" spans="1:13" ht="12.75" customHeight="1" x14ac:dyDescent="0.25">
      <c r="A63196"/>
      <c r="B63196"/>
      <c r="C63196"/>
      <c r="M63196"/>
    </row>
    <row r="63197" spans="1:13" ht="12.75" customHeight="1" x14ac:dyDescent="0.25">
      <c r="A63197"/>
      <c r="B63197"/>
      <c r="C63197"/>
      <c r="M63197"/>
    </row>
    <row r="63198" spans="1:13" ht="12.75" customHeight="1" x14ac:dyDescent="0.25">
      <c r="A63198"/>
      <c r="B63198"/>
      <c r="C63198"/>
      <c r="M63198"/>
    </row>
    <row r="63199" spans="1:13" ht="12.75" customHeight="1" x14ac:dyDescent="0.25">
      <c r="A63199"/>
      <c r="B63199"/>
      <c r="C63199"/>
      <c r="M63199"/>
    </row>
    <row r="63200" spans="1:13" ht="12.75" customHeight="1" x14ac:dyDescent="0.25">
      <c r="A63200"/>
      <c r="B63200"/>
      <c r="C63200"/>
      <c r="M63200"/>
    </row>
    <row r="63201" spans="1:13" ht="12.75" customHeight="1" x14ac:dyDescent="0.25">
      <c r="A63201"/>
      <c r="B63201"/>
      <c r="C63201"/>
      <c r="M63201"/>
    </row>
    <row r="63202" spans="1:13" ht="12.75" customHeight="1" x14ac:dyDescent="0.25">
      <c r="A63202"/>
      <c r="B63202"/>
      <c r="C63202"/>
      <c r="M63202"/>
    </row>
    <row r="63203" spans="1:13" ht="12.75" customHeight="1" x14ac:dyDescent="0.25">
      <c r="A63203"/>
      <c r="B63203"/>
      <c r="C63203"/>
      <c r="M63203"/>
    </row>
    <row r="63204" spans="1:13" ht="12.75" customHeight="1" x14ac:dyDescent="0.25">
      <c r="A63204"/>
      <c r="B63204"/>
      <c r="C63204"/>
      <c r="M63204"/>
    </row>
    <row r="63205" spans="1:13" ht="12.75" customHeight="1" x14ac:dyDescent="0.25">
      <c r="A63205"/>
      <c r="B63205"/>
      <c r="C63205"/>
      <c r="M63205"/>
    </row>
    <row r="63206" spans="1:13" ht="12.75" customHeight="1" x14ac:dyDescent="0.25">
      <c r="A63206"/>
      <c r="B63206"/>
      <c r="C63206"/>
      <c r="M63206"/>
    </row>
    <row r="63207" spans="1:13" ht="12.75" customHeight="1" x14ac:dyDescent="0.25">
      <c r="A63207"/>
      <c r="B63207"/>
      <c r="C63207"/>
      <c r="M63207"/>
    </row>
    <row r="63208" spans="1:13" ht="12.75" customHeight="1" x14ac:dyDescent="0.25">
      <c r="A63208"/>
      <c r="B63208"/>
      <c r="C63208"/>
      <c r="M63208"/>
    </row>
    <row r="63209" spans="1:13" ht="12.75" customHeight="1" x14ac:dyDescent="0.25">
      <c r="A63209"/>
      <c r="B63209"/>
      <c r="C63209"/>
      <c r="M63209"/>
    </row>
    <row r="63210" spans="1:13" ht="12.75" customHeight="1" x14ac:dyDescent="0.25">
      <c r="A63210"/>
      <c r="B63210"/>
      <c r="C63210"/>
      <c r="M63210"/>
    </row>
    <row r="63211" spans="1:13" ht="12.75" customHeight="1" x14ac:dyDescent="0.25">
      <c r="A63211"/>
      <c r="B63211"/>
      <c r="C63211"/>
      <c r="M63211"/>
    </row>
    <row r="63212" spans="1:13" ht="12.75" customHeight="1" x14ac:dyDescent="0.25">
      <c r="A63212"/>
      <c r="B63212"/>
      <c r="C63212"/>
      <c r="M63212"/>
    </row>
    <row r="63213" spans="1:13" ht="12.75" customHeight="1" x14ac:dyDescent="0.25">
      <c r="A63213"/>
      <c r="B63213"/>
      <c r="C63213"/>
      <c r="M63213"/>
    </row>
    <row r="63214" spans="1:13" ht="12.75" customHeight="1" x14ac:dyDescent="0.25">
      <c r="A63214"/>
      <c r="B63214"/>
      <c r="C63214"/>
      <c r="M63214"/>
    </row>
    <row r="63215" spans="1:13" ht="12.75" customHeight="1" x14ac:dyDescent="0.25">
      <c r="A63215"/>
      <c r="B63215"/>
      <c r="C63215"/>
      <c r="M63215"/>
    </row>
    <row r="63216" spans="1:13" ht="12.75" customHeight="1" x14ac:dyDescent="0.25">
      <c r="A63216"/>
      <c r="B63216"/>
      <c r="C63216"/>
      <c r="M63216"/>
    </row>
    <row r="63217" spans="1:13" ht="12.75" customHeight="1" x14ac:dyDescent="0.25">
      <c r="A63217"/>
      <c r="B63217"/>
      <c r="C63217"/>
      <c r="M63217"/>
    </row>
    <row r="63218" spans="1:13" ht="12.75" customHeight="1" x14ac:dyDescent="0.25">
      <c r="A63218"/>
      <c r="B63218"/>
      <c r="C63218"/>
      <c r="M63218"/>
    </row>
    <row r="63219" spans="1:13" ht="12.75" customHeight="1" x14ac:dyDescent="0.25">
      <c r="A63219"/>
      <c r="B63219"/>
      <c r="C63219"/>
      <c r="M63219"/>
    </row>
    <row r="63220" spans="1:13" ht="12.75" customHeight="1" x14ac:dyDescent="0.25">
      <c r="A63220"/>
      <c r="B63220"/>
      <c r="C63220"/>
      <c r="M63220"/>
    </row>
    <row r="63221" spans="1:13" ht="12.75" customHeight="1" x14ac:dyDescent="0.25">
      <c r="A63221"/>
      <c r="B63221"/>
      <c r="C63221"/>
      <c r="M63221"/>
    </row>
    <row r="63222" spans="1:13" ht="12.75" customHeight="1" x14ac:dyDescent="0.25">
      <c r="A63222"/>
      <c r="B63222"/>
      <c r="C63222"/>
      <c r="M63222"/>
    </row>
    <row r="63223" spans="1:13" ht="12.75" customHeight="1" x14ac:dyDescent="0.25">
      <c r="A63223"/>
      <c r="B63223"/>
      <c r="C63223"/>
      <c r="M63223"/>
    </row>
    <row r="63224" spans="1:13" ht="12.75" customHeight="1" x14ac:dyDescent="0.25">
      <c r="A63224"/>
      <c r="B63224"/>
      <c r="C63224"/>
      <c r="M63224"/>
    </row>
    <row r="63225" spans="1:13" ht="12.75" customHeight="1" x14ac:dyDescent="0.25">
      <c r="A63225"/>
      <c r="B63225"/>
      <c r="C63225"/>
      <c r="M63225"/>
    </row>
    <row r="63226" spans="1:13" ht="12.75" customHeight="1" x14ac:dyDescent="0.25">
      <c r="A63226"/>
      <c r="B63226"/>
      <c r="C63226"/>
      <c r="M63226"/>
    </row>
    <row r="63227" spans="1:13" ht="12.75" customHeight="1" x14ac:dyDescent="0.25">
      <c r="A63227"/>
      <c r="B63227"/>
      <c r="C63227"/>
      <c r="M63227"/>
    </row>
    <row r="63228" spans="1:13" ht="12.75" customHeight="1" x14ac:dyDescent="0.25">
      <c r="A63228"/>
      <c r="B63228"/>
      <c r="C63228"/>
      <c r="M63228"/>
    </row>
    <row r="63229" spans="1:13" ht="12.75" customHeight="1" x14ac:dyDescent="0.25">
      <c r="A63229"/>
      <c r="B63229"/>
      <c r="C63229"/>
      <c r="M63229"/>
    </row>
    <row r="63230" spans="1:13" ht="12.75" customHeight="1" x14ac:dyDescent="0.25">
      <c r="A63230"/>
      <c r="B63230"/>
      <c r="C63230"/>
      <c r="M63230"/>
    </row>
    <row r="63231" spans="1:13" ht="12.75" customHeight="1" x14ac:dyDescent="0.25">
      <c r="A63231"/>
      <c r="B63231"/>
      <c r="C63231"/>
      <c r="M63231"/>
    </row>
    <row r="63232" spans="1:13" ht="12.75" customHeight="1" x14ac:dyDescent="0.25">
      <c r="A63232"/>
      <c r="B63232"/>
      <c r="C63232"/>
      <c r="M63232"/>
    </row>
    <row r="63233" spans="1:13" ht="12.75" customHeight="1" x14ac:dyDescent="0.25">
      <c r="A63233"/>
      <c r="B63233"/>
      <c r="C63233"/>
      <c r="M63233"/>
    </row>
    <row r="63234" spans="1:13" ht="12.75" customHeight="1" x14ac:dyDescent="0.25">
      <c r="A63234"/>
      <c r="B63234"/>
      <c r="C63234"/>
      <c r="M63234"/>
    </row>
    <row r="63235" spans="1:13" ht="12.75" customHeight="1" x14ac:dyDescent="0.25">
      <c r="A63235"/>
      <c r="B63235"/>
      <c r="C63235"/>
      <c r="M63235"/>
    </row>
    <row r="63236" spans="1:13" ht="12.75" customHeight="1" x14ac:dyDescent="0.25">
      <c r="A63236"/>
      <c r="B63236"/>
      <c r="C63236"/>
      <c r="M63236"/>
    </row>
    <row r="63237" spans="1:13" ht="12.75" customHeight="1" x14ac:dyDescent="0.25">
      <c r="A63237"/>
      <c r="B63237"/>
      <c r="C63237"/>
      <c r="M63237"/>
    </row>
    <row r="63238" spans="1:13" ht="12.75" customHeight="1" x14ac:dyDescent="0.25">
      <c r="A63238"/>
      <c r="B63238"/>
      <c r="C63238"/>
      <c r="M63238"/>
    </row>
    <row r="63239" spans="1:13" ht="12.75" customHeight="1" x14ac:dyDescent="0.25">
      <c r="A63239"/>
      <c r="B63239"/>
      <c r="C63239"/>
      <c r="M63239"/>
    </row>
    <row r="63240" spans="1:13" ht="12.75" customHeight="1" x14ac:dyDescent="0.25">
      <c r="A63240"/>
      <c r="B63240"/>
      <c r="C63240"/>
      <c r="M63240"/>
    </row>
    <row r="63241" spans="1:13" ht="12.75" customHeight="1" x14ac:dyDescent="0.25">
      <c r="A63241"/>
      <c r="B63241"/>
      <c r="C63241"/>
      <c r="M63241"/>
    </row>
    <row r="63242" spans="1:13" ht="12.75" customHeight="1" x14ac:dyDescent="0.25">
      <c r="A63242"/>
      <c r="B63242"/>
      <c r="C63242"/>
      <c r="M63242"/>
    </row>
    <row r="63243" spans="1:13" ht="12.75" customHeight="1" x14ac:dyDescent="0.25">
      <c r="A63243"/>
      <c r="B63243"/>
      <c r="C63243"/>
      <c r="M63243"/>
    </row>
    <row r="63244" spans="1:13" ht="12.75" customHeight="1" x14ac:dyDescent="0.25">
      <c r="A63244"/>
      <c r="B63244"/>
      <c r="C63244"/>
      <c r="M63244"/>
    </row>
    <row r="63245" spans="1:13" ht="12.75" customHeight="1" x14ac:dyDescent="0.25">
      <c r="A63245"/>
      <c r="B63245"/>
      <c r="C63245"/>
      <c r="M63245"/>
    </row>
    <row r="63246" spans="1:13" ht="12.75" customHeight="1" x14ac:dyDescent="0.25">
      <c r="A63246"/>
      <c r="B63246"/>
      <c r="C63246"/>
      <c r="M63246"/>
    </row>
    <row r="63247" spans="1:13" ht="12.75" customHeight="1" x14ac:dyDescent="0.25">
      <c r="A63247"/>
      <c r="B63247"/>
      <c r="C63247"/>
      <c r="M63247"/>
    </row>
    <row r="63248" spans="1:13" ht="12.75" customHeight="1" x14ac:dyDescent="0.25">
      <c r="A63248"/>
      <c r="B63248"/>
      <c r="C63248"/>
      <c r="M63248"/>
    </row>
    <row r="63249" spans="1:13" ht="12.75" customHeight="1" x14ac:dyDescent="0.25">
      <c r="A63249"/>
      <c r="B63249"/>
      <c r="C63249"/>
      <c r="M63249"/>
    </row>
    <row r="63250" spans="1:13" ht="12.75" customHeight="1" x14ac:dyDescent="0.25">
      <c r="A63250"/>
      <c r="B63250"/>
      <c r="C63250"/>
      <c r="M63250"/>
    </row>
    <row r="63251" spans="1:13" ht="12.75" customHeight="1" x14ac:dyDescent="0.25">
      <c r="A63251"/>
      <c r="B63251"/>
      <c r="C63251"/>
      <c r="M63251"/>
    </row>
    <row r="63252" spans="1:13" ht="12.75" customHeight="1" x14ac:dyDescent="0.25">
      <c r="A63252"/>
      <c r="B63252"/>
      <c r="C63252"/>
      <c r="M63252"/>
    </row>
    <row r="63253" spans="1:13" ht="12.75" customHeight="1" x14ac:dyDescent="0.25">
      <c r="A63253"/>
      <c r="B63253"/>
      <c r="C63253"/>
      <c r="M63253"/>
    </row>
    <row r="63254" spans="1:13" ht="12.75" customHeight="1" x14ac:dyDescent="0.25">
      <c r="A63254"/>
      <c r="B63254"/>
      <c r="C63254"/>
      <c r="M63254"/>
    </row>
    <row r="63255" spans="1:13" ht="12.75" customHeight="1" x14ac:dyDescent="0.25">
      <c r="A63255"/>
      <c r="B63255"/>
      <c r="C63255"/>
      <c r="M63255"/>
    </row>
    <row r="63256" spans="1:13" ht="12.75" customHeight="1" x14ac:dyDescent="0.25">
      <c r="A63256"/>
      <c r="B63256"/>
      <c r="C63256"/>
      <c r="M63256"/>
    </row>
    <row r="63257" spans="1:13" ht="12.75" customHeight="1" x14ac:dyDescent="0.25">
      <c r="A63257"/>
      <c r="B63257"/>
      <c r="C63257"/>
      <c r="M63257"/>
    </row>
    <row r="63258" spans="1:13" ht="12.75" customHeight="1" x14ac:dyDescent="0.25">
      <c r="A63258"/>
      <c r="B63258"/>
      <c r="C63258"/>
      <c r="M63258"/>
    </row>
    <row r="63259" spans="1:13" ht="12.75" customHeight="1" x14ac:dyDescent="0.25">
      <c r="A63259"/>
      <c r="B63259"/>
      <c r="C63259"/>
      <c r="M63259"/>
    </row>
    <row r="63260" spans="1:13" ht="12.75" customHeight="1" x14ac:dyDescent="0.25">
      <c r="A63260"/>
      <c r="B63260"/>
      <c r="C63260"/>
      <c r="M63260"/>
    </row>
    <row r="63261" spans="1:13" ht="12.75" customHeight="1" x14ac:dyDescent="0.25">
      <c r="A63261"/>
      <c r="B63261"/>
      <c r="C63261"/>
      <c r="M63261"/>
    </row>
    <row r="63262" spans="1:13" ht="12.75" customHeight="1" x14ac:dyDescent="0.25">
      <c r="A63262"/>
      <c r="B63262"/>
      <c r="C63262"/>
      <c r="M63262"/>
    </row>
    <row r="63263" spans="1:13" ht="12.75" customHeight="1" x14ac:dyDescent="0.25">
      <c r="A63263"/>
      <c r="B63263"/>
      <c r="C63263"/>
      <c r="M63263"/>
    </row>
    <row r="63264" spans="1:13" ht="12.75" customHeight="1" x14ac:dyDescent="0.25">
      <c r="A63264"/>
      <c r="B63264"/>
      <c r="C63264"/>
      <c r="M63264"/>
    </row>
    <row r="63265" spans="1:13" ht="12.75" customHeight="1" x14ac:dyDescent="0.25">
      <c r="A63265"/>
      <c r="B63265"/>
      <c r="C63265"/>
      <c r="M63265"/>
    </row>
    <row r="63266" spans="1:13" ht="12.75" customHeight="1" x14ac:dyDescent="0.25">
      <c r="A63266"/>
      <c r="B63266"/>
      <c r="C63266"/>
      <c r="M63266"/>
    </row>
    <row r="63267" spans="1:13" ht="12.75" customHeight="1" x14ac:dyDescent="0.25">
      <c r="A63267"/>
      <c r="B63267"/>
      <c r="C63267"/>
      <c r="M63267"/>
    </row>
    <row r="63268" spans="1:13" ht="12.75" customHeight="1" x14ac:dyDescent="0.25">
      <c r="A63268"/>
      <c r="B63268"/>
      <c r="C63268"/>
      <c r="M63268"/>
    </row>
    <row r="63269" spans="1:13" ht="12.75" customHeight="1" x14ac:dyDescent="0.25">
      <c r="A63269"/>
      <c r="B63269"/>
      <c r="C63269"/>
      <c r="M63269"/>
    </row>
    <row r="63270" spans="1:13" ht="12.75" customHeight="1" x14ac:dyDescent="0.25">
      <c r="A63270"/>
      <c r="B63270"/>
      <c r="C63270"/>
      <c r="M63270"/>
    </row>
    <row r="63271" spans="1:13" ht="12.75" customHeight="1" x14ac:dyDescent="0.25">
      <c r="A63271"/>
      <c r="B63271"/>
      <c r="C63271"/>
      <c r="M63271"/>
    </row>
    <row r="63272" spans="1:13" ht="12.75" customHeight="1" x14ac:dyDescent="0.25">
      <c r="A63272"/>
      <c r="B63272"/>
      <c r="C63272"/>
      <c r="M63272"/>
    </row>
    <row r="63273" spans="1:13" ht="12.75" customHeight="1" x14ac:dyDescent="0.25">
      <c r="A63273"/>
      <c r="B63273"/>
      <c r="C63273"/>
      <c r="M63273"/>
    </row>
    <row r="63274" spans="1:13" ht="12.75" customHeight="1" x14ac:dyDescent="0.25">
      <c r="A63274"/>
      <c r="B63274"/>
      <c r="C63274"/>
      <c r="M63274"/>
    </row>
    <row r="63275" spans="1:13" ht="12.75" customHeight="1" x14ac:dyDescent="0.25">
      <c r="A63275"/>
      <c r="B63275"/>
      <c r="C63275"/>
      <c r="M63275"/>
    </row>
    <row r="63276" spans="1:13" ht="12.75" customHeight="1" x14ac:dyDescent="0.25">
      <c r="A63276"/>
      <c r="B63276"/>
      <c r="C63276"/>
      <c r="M63276"/>
    </row>
    <row r="63277" spans="1:13" ht="12.75" customHeight="1" x14ac:dyDescent="0.25">
      <c r="A63277"/>
      <c r="B63277"/>
      <c r="C63277"/>
      <c r="M63277"/>
    </row>
    <row r="63278" spans="1:13" ht="12.75" customHeight="1" x14ac:dyDescent="0.25">
      <c r="A63278"/>
      <c r="B63278"/>
      <c r="C63278"/>
      <c r="M63278"/>
    </row>
    <row r="63279" spans="1:13" ht="12.75" customHeight="1" x14ac:dyDescent="0.25">
      <c r="A63279"/>
      <c r="B63279"/>
      <c r="C63279"/>
      <c r="M63279"/>
    </row>
    <row r="63280" spans="1:13" ht="12.75" customHeight="1" x14ac:dyDescent="0.25">
      <c r="A63280"/>
      <c r="B63280"/>
      <c r="C63280"/>
      <c r="M63280"/>
    </row>
    <row r="63281" spans="1:13" ht="12.75" customHeight="1" x14ac:dyDescent="0.25">
      <c r="A63281"/>
      <c r="B63281"/>
      <c r="C63281"/>
      <c r="M63281"/>
    </row>
    <row r="63282" spans="1:13" ht="12.75" customHeight="1" x14ac:dyDescent="0.25">
      <c r="A63282"/>
      <c r="B63282"/>
      <c r="C63282"/>
      <c r="M63282"/>
    </row>
    <row r="63283" spans="1:13" ht="12.75" customHeight="1" x14ac:dyDescent="0.25">
      <c r="A63283"/>
      <c r="B63283"/>
      <c r="C63283"/>
      <c r="M63283"/>
    </row>
    <row r="63284" spans="1:13" ht="12.75" customHeight="1" x14ac:dyDescent="0.25">
      <c r="A63284"/>
      <c r="B63284"/>
      <c r="C63284"/>
      <c r="M63284"/>
    </row>
    <row r="63285" spans="1:13" ht="12.75" customHeight="1" x14ac:dyDescent="0.25">
      <c r="A63285"/>
      <c r="B63285"/>
      <c r="C63285"/>
      <c r="M63285"/>
    </row>
    <row r="63286" spans="1:13" ht="12.75" customHeight="1" x14ac:dyDescent="0.25">
      <c r="A63286"/>
      <c r="B63286"/>
      <c r="C63286"/>
      <c r="M63286"/>
    </row>
    <row r="63287" spans="1:13" ht="12.75" customHeight="1" x14ac:dyDescent="0.25">
      <c r="A63287"/>
      <c r="B63287"/>
      <c r="C63287"/>
      <c r="M63287"/>
    </row>
    <row r="63288" spans="1:13" ht="12.75" customHeight="1" x14ac:dyDescent="0.25">
      <c r="A63288"/>
      <c r="B63288"/>
      <c r="C63288"/>
      <c r="M63288"/>
    </row>
    <row r="63289" spans="1:13" ht="12.75" customHeight="1" x14ac:dyDescent="0.25">
      <c r="A63289"/>
      <c r="B63289"/>
      <c r="C63289"/>
      <c r="M63289"/>
    </row>
    <row r="63290" spans="1:13" ht="12.75" customHeight="1" x14ac:dyDescent="0.25">
      <c r="A63290"/>
      <c r="B63290"/>
      <c r="C63290"/>
      <c r="M63290"/>
    </row>
    <row r="63291" spans="1:13" ht="12.75" customHeight="1" x14ac:dyDescent="0.25">
      <c r="A63291"/>
      <c r="B63291"/>
      <c r="C63291"/>
      <c r="M63291"/>
    </row>
    <row r="63292" spans="1:13" ht="12.75" customHeight="1" x14ac:dyDescent="0.25">
      <c r="A63292"/>
      <c r="B63292"/>
      <c r="C63292"/>
      <c r="M63292"/>
    </row>
    <row r="63293" spans="1:13" ht="12.75" customHeight="1" x14ac:dyDescent="0.25">
      <c r="A63293"/>
      <c r="B63293"/>
      <c r="C63293"/>
      <c r="M63293"/>
    </row>
    <row r="63294" spans="1:13" ht="12.75" customHeight="1" x14ac:dyDescent="0.25">
      <c r="A63294"/>
      <c r="B63294"/>
      <c r="C63294"/>
      <c r="M63294"/>
    </row>
    <row r="63295" spans="1:13" ht="12.75" customHeight="1" x14ac:dyDescent="0.25">
      <c r="A63295"/>
      <c r="B63295"/>
      <c r="C63295"/>
      <c r="M63295"/>
    </row>
    <row r="63296" spans="1:13" ht="12.75" customHeight="1" x14ac:dyDescent="0.25">
      <c r="A63296"/>
      <c r="B63296"/>
      <c r="C63296"/>
      <c r="M63296"/>
    </row>
    <row r="63297" spans="1:13" ht="12.75" customHeight="1" x14ac:dyDescent="0.25">
      <c r="A63297"/>
      <c r="B63297"/>
      <c r="C63297"/>
      <c r="M63297"/>
    </row>
    <row r="63298" spans="1:13" ht="12.75" customHeight="1" x14ac:dyDescent="0.25">
      <c r="A63298"/>
      <c r="B63298"/>
      <c r="C63298"/>
      <c r="M63298"/>
    </row>
    <row r="63299" spans="1:13" ht="12.75" customHeight="1" x14ac:dyDescent="0.25">
      <c r="A63299"/>
      <c r="B63299"/>
      <c r="C63299"/>
      <c r="M63299"/>
    </row>
    <row r="63300" spans="1:13" ht="12.75" customHeight="1" x14ac:dyDescent="0.25">
      <c r="A63300"/>
      <c r="B63300"/>
      <c r="C63300"/>
      <c r="M63300"/>
    </row>
    <row r="63301" spans="1:13" ht="12.75" customHeight="1" x14ac:dyDescent="0.25">
      <c r="A63301"/>
      <c r="B63301"/>
      <c r="C63301"/>
      <c r="M63301"/>
    </row>
    <row r="63302" spans="1:13" ht="12.75" customHeight="1" x14ac:dyDescent="0.25">
      <c r="A63302"/>
      <c r="B63302"/>
      <c r="C63302"/>
      <c r="M63302"/>
    </row>
    <row r="63303" spans="1:13" ht="12.75" customHeight="1" x14ac:dyDescent="0.25">
      <c r="A63303"/>
      <c r="B63303"/>
      <c r="C63303"/>
      <c r="M63303"/>
    </row>
    <row r="63304" spans="1:13" ht="12.75" customHeight="1" x14ac:dyDescent="0.25">
      <c r="A63304"/>
      <c r="B63304"/>
      <c r="C63304"/>
      <c r="M63304"/>
    </row>
    <row r="63305" spans="1:13" ht="12.75" customHeight="1" x14ac:dyDescent="0.25">
      <c r="A63305"/>
      <c r="B63305"/>
      <c r="C63305"/>
      <c r="M63305"/>
    </row>
    <row r="63306" spans="1:13" ht="12.75" customHeight="1" x14ac:dyDescent="0.25">
      <c r="A63306"/>
      <c r="B63306"/>
      <c r="C63306"/>
      <c r="M63306"/>
    </row>
    <row r="63307" spans="1:13" ht="12.75" customHeight="1" x14ac:dyDescent="0.25">
      <c r="A63307"/>
      <c r="B63307"/>
      <c r="C63307"/>
      <c r="M63307"/>
    </row>
    <row r="63308" spans="1:13" ht="12.75" customHeight="1" x14ac:dyDescent="0.25">
      <c r="A63308"/>
      <c r="B63308"/>
      <c r="C63308"/>
      <c r="M63308"/>
    </row>
    <row r="63309" spans="1:13" ht="12.75" customHeight="1" x14ac:dyDescent="0.25">
      <c r="A63309"/>
      <c r="B63309"/>
      <c r="C63309"/>
      <c r="M63309"/>
    </row>
    <row r="63310" spans="1:13" ht="12.75" customHeight="1" x14ac:dyDescent="0.25">
      <c r="A63310"/>
      <c r="B63310"/>
      <c r="C63310"/>
      <c r="M63310"/>
    </row>
    <row r="63311" spans="1:13" ht="12.75" customHeight="1" x14ac:dyDescent="0.25">
      <c r="A63311"/>
      <c r="B63311"/>
      <c r="C63311"/>
      <c r="M63311"/>
    </row>
    <row r="63312" spans="1:13" ht="12.75" customHeight="1" x14ac:dyDescent="0.25">
      <c r="A63312"/>
      <c r="B63312"/>
      <c r="C63312"/>
      <c r="M63312"/>
    </row>
    <row r="63313" spans="1:13" ht="12.75" customHeight="1" x14ac:dyDescent="0.25">
      <c r="A63313"/>
      <c r="B63313"/>
      <c r="C63313"/>
      <c r="M63313"/>
    </row>
    <row r="63314" spans="1:13" ht="12.75" customHeight="1" x14ac:dyDescent="0.25">
      <c r="A63314"/>
      <c r="B63314"/>
      <c r="C63314"/>
      <c r="M63314"/>
    </row>
    <row r="63315" spans="1:13" ht="12.75" customHeight="1" x14ac:dyDescent="0.25">
      <c r="A63315"/>
      <c r="B63315"/>
      <c r="C63315"/>
      <c r="M63315"/>
    </row>
    <row r="63316" spans="1:13" ht="12.75" customHeight="1" x14ac:dyDescent="0.25">
      <c r="A63316"/>
      <c r="B63316"/>
      <c r="C63316"/>
      <c r="M63316"/>
    </row>
    <row r="63317" spans="1:13" ht="12.75" customHeight="1" x14ac:dyDescent="0.25">
      <c r="A63317"/>
      <c r="B63317"/>
      <c r="C63317"/>
      <c r="M63317"/>
    </row>
    <row r="63318" spans="1:13" ht="12.75" customHeight="1" x14ac:dyDescent="0.25">
      <c r="A63318"/>
      <c r="B63318"/>
      <c r="C63318"/>
      <c r="M63318"/>
    </row>
    <row r="63319" spans="1:13" ht="12.75" customHeight="1" x14ac:dyDescent="0.25">
      <c r="A63319"/>
      <c r="B63319"/>
      <c r="C63319"/>
      <c r="M63319"/>
    </row>
    <row r="63320" spans="1:13" ht="12.75" customHeight="1" x14ac:dyDescent="0.25">
      <c r="A63320"/>
      <c r="B63320"/>
      <c r="C63320"/>
      <c r="M63320"/>
    </row>
    <row r="63321" spans="1:13" ht="12.75" customHeight="1" x14ac:dyDescent="0.25">
      <c r="A63321"/>
      <c r="B63321"/>
      <c r="C63321"/>
      <c r="M63321"/>
    </row>
    <row r="63322" spans="1:13" ht="12.75" customHeight="1" x14ac:dyDescent="0.25">
      <c r="A63322"/>
      <c r="B63322"/>
      <c r="C63322"/>
      <c r="M63322"/>
    </row>
    <row r="63323" spans="1:13" ht="12.75" customHeight="1" x14ac:dyDescent="0.25">
      <c r="A63323"/>
      <c r="B63323"/>
      <c r="C63323"/>
      <c r="M63323"/>
    </row>
    <row r="63324" spans="1:13" ht="12.75" customHeight="1" x14ac:dyDescent="0.25">
      <c r="A63324"/>
      <c r="B63324"/>
      <c r="C63324"/>
      <c r="M63324"/>
    </row>
    <row r="63325" spans="1:13" ht="12.75" customHeight="1" x14ac:dyDescent="0.25">
      <c r="A63325"/>
      <c r="B63325"/>
      <c r="C63325"/>
      <c r="M63325"/>
    </row>
    <row r="63326" spans="1:13" ht="12.75" customHeight="1" x14ac:dyDescent="0.25">
      <c r="A63326"/>
      <c r="B63326"/>
      <c r="C63326"/>
      <c r="M63326"/>
    </row>
    <row r="63327" spans="1:13" ht="12.75" customHeight="1" x14ac:dyDescent="0.25">
      <c r="A63327"/>
      <c r="B63327"/>
      <c r="C63327"/>
      <c r="M63327"/>
    </row>
    <row r="63328" spans="1:13" ht="12.75" customHeight="1" x14ac:dyDescent="0.25">
      <c r="A63328"/>
      <c r="B63328"/>
      <c r="C63328"/>
      <c r="M63328"/>
    </row>
    <row r="63329" spans="1:13" ht="12.75" customHeight="1" x14ac:dyDescent="0.25">
      <c r="A63329"/>
      <c r="B63329"/>
      <c r="C63329"/>
      <c r="M63329"/>
    </row>
    <row r="63330" spans="1:13" ht="12.75" customHeight="1" x14ac:dyDescent="0.25">
      <c r="A63330"/>
      <c r="B63330"/>
      <c r="C63330"/>
      <c r="M63330"/>
    </row>
    <row r="63331" spans="1:13" ht="12.75" customHeight="1" x14ac:dyDescent="0.25">
      <c r="A63331"/>
      <c r="B63331"/>
      <c r="C63331"/>
      <c r="M63331"/>
    </row>
    <row r="63332" spans="1:13" ht="12.75" customHeight="1" x14ac:dyDescent="0.25">
      <c r="A63332"/>
      <c r="B63332"/>
      <c r="C63332"/>
      <c r="M63332"/>
    </row>
    <row r="63333" spans="1:13" ht="12.75" customHeight="1" x14ac:dyDescent="0.25">
      <c r="A63333"/>
      <c r="B63333"/>
      <c r="C63333"/>
      <c r="M63333"/>
    </row>
    <row r="63334" spans="1:13" ht="12.75" customHeight="1" x14ac:dyDescent="0.25">
      <c r="A63334"/>
      <c r="B63334"/>
      <c r="C63334"/>
      <c r="M63334"/>
    </row>
    <row r="63335" spans="1:13" ht="12.75" customHeight="1" x14ac:dyDescent="0.25">
      <c r="A63335"/>
      <c r="B63335"/>
      <c r="C63335"/>
      <c r="M63335"/>
    </row>
    <row r="63336" spans="1:13" ht="12.75" customHeight="1" x14ac:dyDescent="0.25">
      <c r="A63336"/>
      <c r="B63336"/>
      <c r="C63336"/>
      <c r="M63336"/>
    </row>
    <row r="63337" spans="1:13" ht="12.75" customHeight="1" x14ac:dyDescent="0.25">
      <c r="A63337"/>
      <c r="B63337"/>
      <c r="C63337"/>
      <c r="M63337"/>
    </row>
    <row r="63338" spans="1:13" ht="12.75" customHeight="1" x14ac:dyDescent="0.25">
      <c r="A63338"/>
      <c r="B63338"/>
      <c r="C63338"/>
      <c r="M63338"/>
    </row>
    <row r="63339" spans="1:13" ht="12.75" customHeight="1" x14ac:dyDescent="0.25">
      <c r="A63339"/>
      <c r="B63339"/>
      <c r="C63339"/>
      <c r="M63339"/>
    </row>
    <row r="63340" spans="1:13" ht="12.75" customHeight="1" x14ac:dyDescent="0.25">
      <c r="A63340"/>
      <c r="B63340"/>
      <c r="C63340"/>
      <c r="M63340"/>
    </row>
    <row r="63341" spans="1:13" ht="12.75" customHeight="1" x14ac:dyDescent="0.25">
      <c r="A63341"/>
      <c r="B63341"/>
      <c r="C63341"/>
      <c r="M63341"/>
    </row>
    <row r="63342" spans="1:13" ht="12.75" customHeight="1" x14ac:dyDescent="0.25">
      <c r="A63342"/>
      <c r="B63342"/>
      <c r="C63342"/>
      <c r="M63342"/>
    </row>
    <row r="63343" spans="1:13" ht="12.75" customHeight="1" x14ac:dyDescent="0.25">
      <c r="A63343"/>
      <c r="B63343"/>
      <c r="C63343"/>
      <c r="M63343"/>
    </row>
    <row r="63344" spans="1:13" ht="12.75" customHeight="1" x14ac:dyDescent="0.25">
      <c r="A63344"/>
      <c r="B63344"/>
      <c r="C63344"/>
      <c r="M63344"/>
    </row>
    <row r="63345" spans="1:13" ht="12.75" customHeight="1" x14ac:dyDescent="0.25">
      <c r="A63345"/>
      <c r="B63345"/>
      <c r="C63345"/>
      <c r="M63345"/>
    </row>
    <row r="63346" spans="1:13" ht="12.75" customHeight="1" x14ac:dyDescent="0.25">
      <c r="A63346"/>
      <c r="B63346"/>
      <c r="C63346"/>
      <c r="M63346"/>
    </row>
    <row r="63347" spans="1:13" ht="12.75" customHeight="1" x14ac:dyDescent="0.25">
      <c r="A63347"/>
      <c r="B63347"/>
      <c r="C63347"/>
      <c r="M63347"/>
    </row>
    <row r="63348" spans="1:13" ht="12.75" customHeight="1" x14ac:dyDescent="0.25">
      <c r="A63348"/>
      <c r="B63348"/>
      <c r="C63348"/>
      <c r="M63348"/>
    </row>
    <row r="63349" spans="1:13" ht="12.75" customHeight="1" x14ac:dyDescent="0.25">
      <c r="A63349"/>
      <c r="B63349"/>
      <c r="C63349"/>
      <c r="M63349"/>
    </row>
    <row r="63350" spans="1:13" ht="12.75" customHeight="1" x14ac:dyDescent="0.25">
      <c r="A63350"/>
      <c r="B63350"/>
      <c r="C63350"/>
      <c r="M63350"/>
    </row>
    <row r="63351" spans="1:13" ht="12.75" customHeight="1" x14ac:dyDescent="0.25">
      <c r="A63351"/>
      <c r="B63351"/>
      <c r="C63351"/>
      <c r="M63351"/>
    </row>
    <row r="63352" spans="1:13" ht="12.75" customHeight="1" x14ac:dyDescent="0.25">
      <c r="A63352"/>
      <c r="B63352"/>
      <c r="C63352"/>
      <c r="M63352"/>
    </row>
    <row r="63353" spans="1:13" ht="12.75" customHeight="1" x14ac:dyDescent="0.25">
      <c r="A63353"/>
      <c r="B63353"/>
      <c r="C63353"/>
      <c r="M63353"/>
    </row>
    <row r="63354" spans="1:13" ht="12.75" customHeight="1" x14ac:dyDescent="0.25">
      <c r="A63354"/>
      <c r="B63354"/>
      <c r="C63354"/>
      <c r="M63354"/>
    </row>
    <row r="63355" spans="1:13" ht="12.75" customHeight="1" x14ac:dyDescent="0.25">
      <c r="A63355"/>
      <c r="B63355"/>
      <c r="C63355"/>
      <c r="M63355"/>
    </row>
    <row r="63356" spans="1:13" ht="12.75" customHeight="1" x14ac:dyDescent="0.25">
      <c r="A63356"/>
      <c r="B63356"/>
      <c r="C63356"/>
      <c r="M63356"/>
    </row>
    <row r="63357" spans="1:13" ht="12.75" customHeight="1" x14ac:dyDescent="0.25">
      <c r="A63357"/>
      <c r="B63357"/>
      <c r="C63357"/>
      <c r="M63357"/>
    </row>
    <row r="63358" spans="1:13" ht="12.75" customHeight="1" x14ac:dyDescent="0.25">
      <c r="A63358"/>
      <c r="B63358"/>
      <c r="C63358"/>
      <c r="M63358"/>
    </row>
    <row r="63359" spans="1:13" ht="12.75" customHeight="1" x14ac:dyDescent="0.25">
      <c r="A63359"/>
      <c r="B63359"/>
      <c r="C63359"/>
      <c r="M63359"/>
    </row>
    <row r="63360" spans="1:13" ht="12.75" customHeight="1" x14ac:dyDescent="0.25">
      <c r="A63360"/>
      <c r="B63360"/>
      <c r="C63360"/>
      <c r="M63360"/>
    </row>
    <row r="63361" spans="1:13" ht="12.75" customHeight="1" x14ac:dyDescent="0.25">
      <c r="A63361"/>
      <c r="B63361"/>
      <c r="C63361"/>
      <c r="M63361"/>
    </row>
    <row r="63362" spans="1:13" ht="12.75" customHeight="1" x14ac:dyDescent="0.25">
      <c r="A63362"/>
      <c r="B63362"/>
      <c r="C63362"/>
      <c r="M63362"/>
    </row>
    <row r="63363" spans="1:13" ht="12.75" customHeight="1" x14ac:dyDescent="0.25">
      <c r="A63363"/>
      <c r="B63363"/>
      <c r="C63363"/>
      <c r="M63363"/>
    </row>
    <row r="63364" spans="1:13" ht="12.75" customHeight="1" x14ac:dyDescent="0.25">
      <c r="A63364"/>
      <c r="B63364"/>
      <c r="C63364"/>
      <c r="M63364"/>
    </row>
    <row r="63365" spans="1:13" ht="12.75" customHeight="1" x14ac:dyDescent="0.25">
      <c r="A63365"/>
      <c r="B63365"/>
      <c r="C63365"/>
      <c r="M63365"/>
    </row>
    <row r="63366" spans="1:13" ht="12.75" customHeight="1" x14ac:dyDescent="0.25">
      <c r="A63366"/>
      <c r="B63366"/>
      <c r="C63366"/>
      <c r="M63366"/>
    </row>
    <row r="63367" spans="1:13" ht="12.75" customHeight="1" x14ac:dyDescent="0.25">
      <c r="A63367"/>
      <c r="B63367"/>
      <c r="C63367"/>
      <c r="M63367"/>
    </row>
    <row r="63368" spans="1:13" ht="12.75" customHeight="1" x14ac:dyDescent="0.25">
      <c r="A63368"/>
      <c r="B63368"/>
      <c r="C63368"/>
      <c r="M63368"/>
    </row>
    <row r="63369" spans="1:13" ht="12.75" customHeight="1" x14ac:dyDescent="0.25">
      <c r="A63369"/>
      <c r="B63369"/>
      <c r="C63369"/>
      <c r="M63369"/>
    </row>
    <row r="63370" spans="1:13" ht="12.75" customHeight="1" x14ac:dyDescent="0.25">
      <c r="A63370"/>
      <c r="B63370"/>
      <c r="C63370"/>
      <c r="M63370"/>
    </row>
    <row r="63371" spans="1:13" ht="12.75" customHeight="1" x14ac:dyDescent="0.25">
      <c r="A63371"/>
      <c r="B63371"/>
      <c r="C63371"/>
      <c r="M63371"/>
    </row>
    <row r="63372" spans="1:13" ht="12.75" customHeight="1" x14ac:dyDescent="0.25">
      <c r="A63372"/>
      <c r="B63372"/>
      <c r="C63372"/>
      <c r="M63372"/>
    </row>
    <row r="63373" spans="1:13" ht="12.75" customHeight="1" x14ac:dyDescent="0.25">
      <c r="A63373"/>
      <c r="B63373"/>
      <c r="C63373"/>
      <c r="M63373"/>
    </row>
    <row r="63374" spans="1:13" ht="12.75" customHeight="1" x14ac:dyDescent="0.25">
      <c r="A63374"/>
      <c r="B63374"/>
      <c r="C63374"/>
      <c r="M63374"/>
    </row>
    <row r="63375" spans="1:13" ht="12.75" customHeight="1" x14ac:dyDescent="0.25">
      <c r="A63375"/>
      <c r="B63375"/>
      <c r="C63375"/>
      <c r="M63375"/>
    </row>
    <row r="63376" spans="1:13" ht="12.75" customHeight="1" x14ac:dyDescent="0.25">
      <c r="A63376"/>
      <c r="B63376"/>
      <c r="C63376"/>
      <c r="M63376"/>
    </row>
    <row r="63377" spans="1:13" ht="12.75" customHeight="1" x14ac:dyDescent="0.25">
      <c r="A63377"/>
      <c r="B63377"/>
      <c r="C63377"/>
      <c r="M63377"/>
    </row>
    <row r="63378" spans="1:13" ht="12.75" customHeight="1" x14ac:dyDescent="0.25">
      <c r="A63378"/>
      <c r="B63378"/>
      <c r="C63378"/>
      <c r="M63378"/>
    </row>
    <row r="63379" spans="1:13" ht="12.75" customHeight="1" x14ac:dyDescent="0.25">
      <c r="A63379"/>
      <c r="B63379"/>
      <c r="C63379"/>
      <c r="M63379"/>
    </row>
    <row r="63380" spans="1:13" ht="12.75" customHeight="1" x14ac:dyDescent="0.25">
      <c r="A63380"/>
      <c r="B63380"/>
      <c r="C63380"/>
      <c r="M63380"/>
    </row>
    <row r="63381" spans="1:13" ht="12.75" customHeight="1" x14ac:dyDescent="0.25">
      <c r="A63381"/>
      <c r="B63381"/>
      <c r="C63381"/>
      <c r="M63381"/>
    </row>
    <row r="63382" spans="1:13" ht="12.75" customHeight="1" x14ac:dyDescent="0.25">
      <c r="A63382"/>
      <c r="B63382"/>
      <c r="C63382"/>
      <c r="M63382"/>
    </row>
    <row r="63383" spans="1:13" ht="12.75" customHeight="1" x14ac:dyDescent="0.25">
      <c r="A63383"/>
      <c r="B63383"/>
      <c r="C63383"/>
      <c r="M63383"/>
    </row>
    <row r="63384" spans="1:13" ht="12.75" customHeight="1" x14ac:dyDescent="0.25">
      <c r="A63384"/>
      <c r="B63384"/>
      <c r="C63384"/>
      <c r="M63384"/>
    </row>
    <row r="63385" spans="1:13" ht="12.75" customHeight="1" x14ac:dyDescent="0.25">
      <c r="A63385"/>
      <c r="B63385"/>
      <c r="C63385"/>
      <c r="M63385"/>
    </row>
    <row r="63386" spans="1:13" ht="12.75" customHeight="1" x14ac:dyDescent="0.25">
      <c r="A63386"/>
      <c r="B63386"/>
      <c r="C63386"/>
      <c r="M63386"/>
    </row>
    <row r="63387" spans="1:13" ht="12.75" customHeight="1" x14ac:dyDescent="0.25">
      <c r="A63387"/>
      <c r="B63387"/>
      <c r="C63387"/>
      <c r="M63387"/>
    </row>
    <row r="63388" spans="1:13" ht="12.75" customHeight="1" x14ac:dyDescent="0.25">
      <c r="A63388"/>
      <c r="B63388"/>
      <c r="C63388"/>
      <c r="M63388"/>
    </row>
    <row r="63389" spans="1:13" ht="12.75" customHeight="1" x14ac:dyDescent="0.25">
      <c r="A63389"/>
      <c r="B63389"/>
      <c r="C63389"/>
      <c r="M63389"/>
    </row>
    <row r="63390" spans="1:13" ht="12.75" customHeight="1" x14ac:dyDescent="0.25">
      <c r="A63390"/>
      <c r="B63390"/>
      <c r="C63390"/>
      <c r="M63390"/>
    </row>
    <row r="63391" spans="1:13" ht="12.75" customHeight="1" x14ac:dyDescent="0.25">
      <c r="A63391"/>
      <c r="B63391"/>
      <c r="C63391"/>
      <c r="M63391"/>
    </row>
    <row r="63392" spans="1:13" ht="12.75" customHeight="1" x14ac:dyDescent="0.25">
      <c r="A63392"/>
      <c r="B63392"/>
      <c r="C63392"/>
      <c r="M63392"/>
    </row>
    <row r="63393" spans="1:13" ht="12.75" customHeight="1" x14ac:dyDescent="0.25">
      <c r="A63393"/>
      <c r="B63393"/>
      <c r="C63393"/>
      <c r="M63393"/>
    </row>
    <row r="63394" spans="1:13" ht="12.75" customHeight="1" x14ac:dyDescent="0.25">
      <c r="A63394"/>
      <c r="B63394"/>
      <c r="C63394"/>
      <c r="M63394"/>
    </row>
    <row r="63395" spans="1:13" ht="12.75" customHeight="1" x14ac:dyDescent="0.25">
      <c r="A63395"/>
      <c r="B63395"/>
      <c r="C63395"/>
      <c r="M63395"/>
    </row>
    <row r="63396" spans="1:13" ht="12.75" customHeight="1" x14ac:dyDescent="0.25">
      <c r="A63396"/>
      <c r="B63396"/>
      <c r="C63396"/>
      <c r="M63396"/>
    </row>
    <row r="63397" spans="1:13" ht="12.75" customHeight="1" x14ac:dyDescent="0.25">
      <c r="A63397"/>
      <c r="B63397"/>
      <c r="C63397"/>
      <c r="M63397"/>
    </row>
    <row r="63398" spans="1:13" ht="12.75" customHeight="1" x14ac:dyDescent="0.25">
      <c r="A63398"/>
      <c r="B63398"/>
      <c r="C63398"/>
      <c r="M63398"/>
    </row>
    <row r="63399" spans="1:13" ht="12.75" customHeight="1" x14ac:dyDescent="0.25">
      <c r="A63399"/>
      <c r="B63399"/>
      <c r="C63399"/>
      <c r="M63399"/>
    </row>
    <row r="63400" spans="1:13" ht="12.75" customHeight="1" x14ac:dyDescent="0.25">
      <c r="A63400"/>
      <c r="B63400"/>
      <c r="C63400"/>
      <c r="M63400"/>
    </row>
    <row r="63401" spans="1:13" ht="12.75" customHeight="1" x14ac:dyDescent="0.25">
      <c r="A63401"/>
      <c r="B63401"/>
      <c r="C63401"/>
      <c r="M63401"/>
    </row>
    <row r="63402" spans="1:13" ht="12.75" customHeight="1" x14ac:dyDescent="0.25">
      <c r="A63402"/>
      <c r="B63402"/>
      <c r="C63402"/>
      <c r="M63402"/>
    </row>
    <row r="63403" spans="1:13" ht="12.75" customHeight="1" x14ac:dyDescent="0.25">
      <c r="A63403"/>
      <c r="B63403"/>
      <c r="C63403"/>
      <c r="M63403"/>
    </row>
    <row r="63404" spans="1:13" ht="12.75" customHeight="1" x14ac:dyDescent="0.25">
      <c r="A63404"/>
      <c r="B63404"/>
      <c r="C63404"/>
      <c r="M63404"/>
    </row>
    <row r="63405" spans="1:13" ht="12.75" customHeight="1" x14ac:dyDescent="0.25">
      <c r="A63405"/>
      <c r="B63405"/>
      <c r="C63405"/>
      <c r="M63405"/>
    </row>
    <row r="63406" spans="1:13" ht="12.75" customHeight="1" x14ac:dyDescent="0.25">
      <c r="A63406"/>
      <c r="B63406"/>
      <c r="C63406"/>
      <c r="M63406"/>
    </row>
    <row r="63407" spans="1:13" ht="12.75" customHeight="1" x14ac:dyDescent="0.25">
      <c r="A63407"/>
      <c r="B63407"/>
      <c r="C63407"/>
      <c r="M63407"/>
    </row>
    <row r="63408" spans="1:13" ht="12.75" customHeight="1" x14ac:dyDescent="0.25">
      <c r="A63408"/>
      <c r="B63408"/>
      <c r="C63408"/>
      <c r="M63408"/>
    </row>
    <row r="63409" spans="1:13" ht="12.75" customHeight="1" x14ac:dyDescent="0.25">
      <c r="A63409"/>
      <c r="B63409"/>
      <c r="C63409"/>
      <c r="M63409"/>
    </row>
    <row r="63410" spans="1:13" ht="12.75" customHeight="1" x14ac:dyDescent="0.25">
      <c r="A63410"/>
      <c r="B63410"/>
      <c r="C63410"/>
      <c r="M63410"/>
    </row>
    <row r="63411" spans="1:13" ht="12.75" customHeight="1" x14ac:dyDescent="0.25">
      <c r="A63411"/>
      <c r="B63411"/>
      <c r="C63411"/>
      <c r="M63411"/>
    </row>
    <row r="63412" spans="1:13" ht="12.75" customHeight="1" x14ac:dyDescent="0.25">
      <c r="A63412"/>
      <c r="B63412"/>
      <c r="C63412"/>
      <c r="M63412"/>
    </row>
    <row r="63413" spans="1:13" ht="12.75" customHeight="1" x14ac:dyDescent="0.25">
      <c r="A63413"/>
      <c r="B63413"/>
      <c r="C63413"/>
      <c r="M63413"/>
    </row>
    <row r="63414" spans="1:13" ht="12.75" customHeight="1" x14ac:dyDescent="0.25">
      <c r="A63414"/>
      <c r="B63414"/>
      <c r="C63414"/>
      <c r="M63414"/>
    </row>
    <row r="63415" spans="1:13" ht="12.75" customHeight="1" x14ac:dyDescent="0.25">
      <c r="A63415"/>
      <c r="B63415"/>
      <c r="C63415"/>
      <c r="M63415"/>
    </row>
    <row r="63416" spans="1:13" ht="12.75" customHeight="1" x14ac:dyDescent="0.25">
      <c r="A63416"/>
      <c r="B63416"/>
      <c r="C63416"/>
      <c r="M63416"/>
    </row>
    <row r="63417" spans="1:13" ht="12.75" customHeight="1" x14ac:dyDescent="0.25">
      <c r="A63417"/>
      <c r="B63417"/>
      <c r="C63417"/>
      <c r="M63417"/>
    </row>
    <row r="63418" spans="1:13" ht="12.75" customHeight="1" x14ac:dyDescent="0.25">
      <c r="A63418"/>
      <c r="B63418"/>
      <c r="C63418"/>
      <c r="M63418"/>
    </row>
    <row r="63419" spans="1:13" ht="12.75" customHeight="1" x14ac:dyDescent="0.25">
      <c r="A63419"/>
      <c r="B63419"/>
      <c r="C63419"/>
      <c r="M63419"/>
    </row>
    <row r="63420" spans="1:13" ht="12.75" customHeight="1" x14ac:dyDescent="0.25">
      <c r="A63420"/>
      <c r="B63420"/>
      <c r="C63420"/>
      <c r="M63420"/>
    </row>
    <row r="63421" spans="1:13" ht="12.75" customHeight="1" x14ac:dyDescent="0.25">
      <c r="A63421"/>
      <c r="B63421"/>
      <c r="C63421"/>
      <c r="M63421"/>
    </row>
    <row r="63422" spans="1:13" ht="12.75" customHeight="1" x14ac:dyDescent="0.25">
      <c r="A63422"/>
      <c r="B63422"/>
      <c r="C63422"/>
      <c r="M63422"/>
    </row>
    <row r="63423" spans="1:13" ht="12.75" customHeight="1" x14ac:dyDescent="0.25">
      <c r="A63423"/>
      <c r="B63423"/>
      <c r="C63423"/>
      <c r="M63423"/>
    </row>
    <row r="63424" spans="1:13" ht="12.75" customHeight="1" x14ac:dyDescent="0.25">
      <c r="A63424"/>
      <c r="B63424"/>
      <c r="C63424"/>
      <c r="M63424"/>
    </row>
    <row r="63425" spans="1:13" ht="12.75" customHeight="1" x14ac:dyDescent="0.25">
      <c r="A63425"/>
      <c r="B63425"/>
      <c r="C63425"/>
      <c r="M63425"/>
    </row>
    <row r="63426" spans="1:13" ht="12.75" customHeight="1" x14ac:dyDescent="0.25">
      <c r="A63426"/>
      <c r="B63426"/>
      <c r="C63426"/>
      <c r="M63426"/>
    </row>
    <row r="63427" spans="1:13" ht="12.75" customHeight="1" x14ac:dyDescent="0.25">
      <c r="A63427"/>
      <c r="B63427"/>
      <c r="C63427"/>
      <c r="M63427"/>
    </row>
    <row r="63428" spans="1:13" ht="12.75" customHeight="1" x14ac:dyDescent="0.25">
      <c r="A63428"/>
      <c r="B63428"/>
      <c r="C63428"/>
      <c r="M63428"/>
    </row>
    <row r="63429" spans="1:13" ht="12.75" customHeight="1" x14ac:dyDescent="0.25">
      <c r="A63429"/>
      <c r="B63429"/>
      <c r="C63429"/>
      <c r="M63429"/>
    </row>
    <row r="63430" spans="1:13" ht="12.75" customHeight="1" x14ac:dyDescent="0.25">
      <c r="A63430"/>
      <c r="B63430"/>
      <c r="C63430"/>
      <c r="M63430"/>
    </row>
    <row r="63431" spans="1:13" ht="12.75" customHeight="1" x14ac:dyDescent="0.25">
      <c r="A63431"/>
      <c r="B63431"/>
      <c r="C63431"/>
      <c r="M63431"/>
    </row>
    <row r="63432" spans="1:13" ht="12.75" customHeight="1" x14ac:dyDescent="0.25">
      <c r="A63432"/>
      <c r="B63432"/>
      <c r="C63432"/>
      <c r="M63432"/>
    </row>
    <row r="63433" spans="1:13" ht="12.75" customHeight="1" x14ac:dyDescent="0.25">
      <c r="A63433"/>
      <c r="B63433"/>
      <c r="C63433"/>
      <c r="M63433"/>
    </row>
    <row r="63434" spans="1:13" ht="12.75" customHeight="1" x14ac:dyDescent="0.25">
      <c r="A63434"/>
      <c r="B63434"/>
      <c r="C63434"/>
      <c r="M63434"/>
    </row>
    <row r="63435" spans="1:13" ht="12.75" customHeight="1" x14ac:dyDescent="0.25">
      <c r="A63435"/>
      <c r="B63435"/>
      <c r="C63435"/>
      <c r="M63435"/>
    </row>
    <row r="63436" spans="1:13" ht="12.75" customHeight="1" x14ac:dyDescent="0.25">
      <c r="A63436"/>
      <c r="B63436"/>
      <c r="C63436"/>
      <c r="M63436"/>
    </row>
    <row r="63437" spans="1:13" ht="12.75" customHeight="1" x14ac:dyDescent="0.25">
      <c r="A63437"/>
      <c r="B63437"/>
      <c r="C63437"/>
      <c r="M63437"/>
    </row>
    <row r="63438" spans="1:13" ht="12.75" customHeight="1" x14ac:dyDescent="0.25">
      <c r="A63438"/>
      <c r="B63438"/>
      <c r="C63438"/>
      <c r="M63438"/>
    </row>
    <row r="63439" spans="1:13" ht="12.75" customHeight="1" x14ac:dyDescent="0.25">
      <c r="A63439"/>
      <c r="B63439"/>
      <c r="C63439"/>
      <c r="M63439"/>
    </row>
    <row r="63440" spans="1:13" ht="12.75" customHeight="1" x14ac:dyDescent="0.25">
      <c r="A63440"/>
      <c r="B63440"/>
      <c r="C63440"/>
      <c r="M63440"/>
    </row>
    <row r="63441" spans="1:13" ht="12.75" customHeight="1" x14ac:dyDescent="0.25">
      <c r="A63441"/>
      <c r="B63441"/>
      <c r="C63441"/>
      <c r="M63441"/>
    </row>
    <row r="63442" spans="1:13" ht="12.75" customHeight="1" x14ac:dyDescent="0.25">
      <c r="A63442"/>
      <c r="B63442"/>
      <c r="C63442"/>
      <c r="M63442"/>
    </row>
    <row r="63443" spans="1:13" ht="12.75" customHeight="1" x14ac:dyDescent="0.25">
      <c r="A63443"/>
      <c r="B63443"/>
      <c r="C63443"/>
      <c r="M63443"/>
    </row>
    <row r="63444" spans="1:13" ht="12.75" customHeight="1" x14ac:dyDescent="0.25">
      <c r="A63444"/>
      <c r="B63444"/>
      <c r="C63444"/>
      <c r="M63444"/>
    </row>
    <row r="63445" spans="1:13" ht="12.75" customHeight="1" x14ac:dyDescent="0.25">
      <c r="A63445"/>
      <c r="B63445"/>
      <c r="C63445"/>
      <c r="M63445"/>
    </row>
    <row r="63446" spans="1:13" ht="12.75" customHeight="1" x14ac:dyDescent="0.25">
      <c r="A63446"/>
      <c r="B63446"/>
      <c r="C63446"/>
      <c r="M63446"/>
    </row>
    <row r="63447" spans="1:13" ht="12.75" customHeight="1" x14ac:dyDescent="0.25">
      <c r="A63447"/>
      <c r="B63447"/>
      <c r="C63447"/>
      <c r="M63447"/>
    </row>
    <row r="63448" spans="1:13" ht="12.75" customHeight="1" x14ac:dyDescent="0.25">
      <c r="A63448"/>
      <c r="B63448"/>
      <c r="C63448"/>
      <c r="M63448"/>
    </row>
    <row r="63449" spans="1:13" ht="12.75" customHeight="1" x14ac:dyDescent="0.25">
      <c r="A63449"/>
      <c r="B63449"/>
      <c r="C63449"/>
      <c r="M63449"/>
    </row>
    <row r="63450" spans="1:13" ht="12.75" customHeight="1" x14ac:dyDescent="0.25">
      <c r="A63450"/>
      <c r="B63450"/>
      <c r="C63450"/>
      <c r="M63450"/>
    </row>
    <row r="63451" spans="1:13" ht="12.75" customHeight="1" x14ac:dyDescent="0.25">
      <c r="A63451"/>
      <c r="B63451"/>
      <c r="C63451"/>
      <c r="M63451"/>
    </row>
    <row r="63452" spans="1:13" ht="12.75" customHeight="1" x14ac:dyDescent="0.25">
      <c r="A63452"/>
      <c r="B63452"/>
      <c r="C63452"/>
      <c r="M63452"/>
    </row>
    <row r="63453" spans="1:13" ht="12.75" customHeight="1" x14ac:dyDescent="0.25">
      <c r="A63453"/>
      <c r="B63453"/>
      <c r="C63453"/>
      <c r="M63453"/>
    </row>
    <row r="63454" spans="1:13" ht="12.75" customHeight="1" x14ac:dyDescent="0.25">
      <c r="A63454"/>
      <c r="B63454"/>
      <c r="C63454"/>
      <c r="M63454"/>
    </row>
    <row r="63455" spans="1:13" ht="12.75" customHeight="1" x14ac:dyDescent="0.25">
      <c r="A63455"/>
      <c r="B63455"/>
      <c r="C63455"/>
      <c r="M63455"/>
    </row>
    <row r="63456" spans="1:13" ht="12.75" customHeight="1" x14ac:dyDescent="0.25">
      <c r="A63456"/>
      <c r="B63456"/>
      <c r="C63456"/>
      <c r="M63456"/>
    </row>
    <row r="63457" spans="1:13" ht="12.75" customHeight="1" x14ac:dyDescent="0.25">
      <c r="A63457"/>
      <c r="B63457"/>
      <c r="C63457"/>
      <c r="M63457"/>
    </row>
    <row r="63458" spans="1:13" ht="12.75" customHeight="1" x14ac:dyDescent="0.25">
      <c r="A63458"/>
      <c r="B63458"/>
      <c r="C63458"/>
      <c r="M63458"/>
    </row>
    <row r="63459" spans="1:13" ht="12.75" customHeight="1" x14ac:dyDescent="0.25">
      <c r="A63459"/>
      <c r="B63459"/>
      <c r="C63459"/>
      <c r="M63459"/>
    </row>
    <row r="63460" spans="1:13" ht="12.75" customHeight="1" x14ac:dyDescent="0.25">
      <c r="A63460"/>
      <c r="B63460"/>
      <c r="C63460"/>
      <c r="M63460"/>
    </row>
    <row r="63461" spans="1:13" ht="12.75" customHeight="1" x14ac:dyDescent="0.25">
      <c r="A63461"/>
      <c r="B63461"/>
      <c r="C63461"/>
      <c r="M63461"/>
    </row>
    <row r="63462" spans="1:13" ht="12.75" customHeight="1" x14ac:dyDescent="0.25">
      <c r="A63462"/>
      <c r="B63462"/>
      <c r="C63462"/>
      <c r="M63462"/>
    </row>
    <row r="63463" spans="1:13" ht="12.75" customHeight="1" x14ac:dyDescent="0.25">
      <c r="A63463"/>
      <c r="B63463"/>
      <c r="C63463"/>
      <c r="M63463"/>
    </row>
    <row r="63464" spans="1:13" ht="12.75" customHeight="1" x14ac:dyDescent="0.25">
      <c r="A63464"/>
      <c r="B63464"/>
      <c r="C63464"/>
      <c r="M63464"/>
    </row>
    <row r="63465" spans="1:13" ht="12.75" customHeight="1" x14ac:dyDescent="0.25">
      <c r="A63465"/>
      <c r="B63465"/>
      <c r="C63465"/>
      <c r="M63465"/>
    </row>
    <row r="63466" spans="1:13" ht="12.75" customHeight="1" x14ac:dyDescent="0.25">
      <c r="A63466"/>
      <c r="B63466"/>
      <c r="C63466"/>
      <c r="M63466"/>
    </row>
    <row r="63467" spans="1:13" ht="12.75" customHeight="1" x14ac:dyDescent="0.25">
      <c r="A63467"/>
      <c r="B63467"/>
      <c r="C63467"/>
      <c r="M63467"/>
    </row>
    <row r="63468" spans="1:13" ht="12.75" customHeight="1" x14ac:dyDescent="0.25">
      <c r="A63468"/>
      <c r="B63468"/>
      <c r="C63468"/>
      <c r="M63468"/>
    </row>
    <row r="63469" spans="1:13" ht="12.75" customHeight="1" x14ac:dyDescent="0.25">
      <c r="A63469"/>
      <c r="B63469"/>
      <c r="C63469"/>
      <c r="M63469"/>
    </row>
    <row r="63470" spans="1:13" ht="12.75" customHeight="1" x14ac:dyDescent="0.25">
      <c r="A63470"/>
      <c r="B63470"/>
      <c r="C63470"/>
      <c r="M63470"/>
    </row>
    <row r="63471" spans="1:13" ht="12.75" customHeight="1" x14ac:dyDescent="0.25">
      <c r="A63471"/>
      <c r="B63471"/>
      <c r="C63471"/>
      <c r="M63471"/>
    </row>
    <row r="63472" spans="1:13" ht="12.75" customHeight="1" x14ac:dyDescent="0.25">
      <c r="A63472"/>
      <c r="B63472"/>
      <c r="C63472"/>
      <c r="M63472"/>
    </row>
    <row r="63473" spans="1:13" ht="12.75" customHeight="1" x14ac:dyDescent="0.25">
      <c r="A63473"/>
      <c r="B63473"/>
      <c r="C63473"/>
      <c r="M63473"/>
    </row>
    <row r="63474" spans="1:13" ht="12.75" customHeight="1" x14ac:dyDescent="0.25">
      <c r="A63474"/>
      <c r="B63474"/>
      <c r="C63474"/>
      <c r="M63474"/>
    </row>
    <row r="63475" spans="1:13" ht="12.75" customHeight="1" x14ac:dyDescent="0.25">
      <c r="A63475"/>
      <c r="B63475"/>
      <c r="C63475"/>
      <c r="M63475"/>
    </row>
    <row r="63476" spans="1:13" ht="12.75" customHeight="1" x14ac:dyDescent="0.25">
      <c r="A63476"/>
      <c r="B63476"/>
      <c r="C63476"/>
      <c r="M63476"/>
    </row>
    <row r="63477" spans="1:13" ht="12.75" customHeight="1" x14ac:dyDescent="0.25">
      <c r="A63477"/>
      <c r="B63477"/>
      <c r="C63477"/>
      <c r="M63477"/>
    </row>
    <row r="63478" spans="1:13" ht="12.75" customHeight="1" x14ac:dyDescent="0.25">
      <c r="A63478"/>
      <c r="B63478"/>
      <c r="C63478"/>
      <c r="M63478"/>
    </row>
    <row r="63479" spans="1:13" ht="12.75" customHeight="1" x14ac:dyDescent="0.25">
      <c r="A63479"/>
      <c r="B63479"/>
      <c r="C63479"/>
      <c r="M63479"/>
    </row>
    <row r="63480" spans="1:13" ht="12.75" customHeight="1" x14ac:dyDescent="0.25">
      <c r="A63480"/>
      <c r="B63480"/>
      <c r="C63480"/>
      <c r="M63480"/>
    </row>
    <row r="63481" spans="1:13" ht="12.75" customHeight="1" x14ac:dyDescent="0.25">
      <c r="A63481"/>
      <c r="B63481"/>
      <c r="C63481"/>
      <c r="M63481"/>
    </row>
    <row r="63482" spans="1:13" ht="12.75" customHeight="1" x14ac:dyDescent="0.25">
      <c r="A63482"/>
      <c r="B63482"/>
      <c r="C63482"/>
      <c r="M63482"/>
    </row>
    <row r="63483" spans="1:13" ht="12.75" customHeight="1" x14ac:dyDescent="0.25">
      <c r="A63483"/>
      <c r="B63483"/>
      <c r="C63483"/>
      <c r="M63483"/>
    </row>
    <row r="63484" spans="1:13" ht="12.75" customHeight="1" x14ac:dyDescent="0.25">
      <c r="A63484"/>
      <c r="B63484"/>
      <c r="C63484"/>
      <c r="M63484"/>
    </row>
    <row r="63485" spans="1:13" ht="12.75" customHeight="1" x14ac:dyDescent="0.25">
      <c r="A63485"/>
      <c r="B63485"/>
      <c r="C63485"/>
      <c r="M63485"/>
    </row>
    <row r="63486" spans="1:13" ht="12.75" customHeight="1" x14ac:dyDescent="0.25">
      <c r="A63486"/>
      <c r="B63486"/>
      <c r="C63486"/>
      <c r="M63486"/>
    </row>
    <row r="63487" spans="1:13" ht="12.75" customHeight="1" x14ac:dyDescent="0.25">
      <c r="A63487"/>
      <c r="B63487"/>
      <c r="C63487"/>
      <c r="M63487"/>
    </row>
    <row r="63488" spans="1:13" ht="12.75" customHeight="1" x14ac:dyDescent="0.25">
      <c r="A63488"/>
      <c r="B63488"/>
      <c r="C63488"/>
      <c r="M63488"/>
    </row>
    <row r="63489" spans="1:13" ht="12.75" customHeight="1" x14ac:dyDescent="0.25">
      <c r="A63489"/>
      <c r="B63489"/>
      <c r="C63489"/>
      <c r="M63489"/>
    </row>
    <row r="63490" spans="1:13" ht="12.75" customHeight="1" x14ac:dyDescent="0.25">
      <c r="A63490"/>
      <c r="B63490"/>
      <c r="C63490"/>
      <c r="M63490"/>
    </row>
    <row r="63491" spans="1:13" ht="12.75" customHeight="1" x14ac:dyDescent="0.25">
      <c r="A63491"/>
      <c r="B63491"/>
      <c r="C63491"/>
      <c r="M63491"/>
    </row>
    <row r="63492" spans="1:13" ht="12.75" customHeight="1" x14ac:dyDescent="0.25">
      <c r="A63492"/>
      <c r="B63492"/>
      <c r="C63492"/>
      <c r="M63492"/>
    </row>
    <row r="63493" spans="1:13" ht="12.75" customHeight="1" x14ac:dyDescent="0.25">
      <c r="A63493"/>
      <c r="B63493"/>
      <c r="C63493"/>
      <c r="M63493"/>
    </row>
    <row r="63494" spans="1:13" ht="12.75" customHeight="1" x14ac:dyDescent="0.25">
      <c r="A63494"/>
      <c r="B63494"/>
      <c r="C63494"/>
      <c r="M63494"/>
    </row>
    <row r="63495" spans="1:13" ht="12.75" customHeight="1" x14ac:dyDescent="0.25">
      <c r="A63495"/>
      <c r="B63495"/>
      <c r="C63495"/>
      <c r="M63495"/>
    </row>
    <row r="63496" spans="1:13" ht="12.75" customHeight="1" x14ac:dyDescent="0.25">
      <c r="A63496"/>
      <c r="B63496"/>
      <c r="C63496"/>
      <c r="M63496"/>
    </row>
    <row r="63497" spans="1:13" ht="12.75" customHeight="1" x14ac:dyDescent="0.25">
      <c r="A63497"/>
      <c r="B63497"/>
      <c r="C63497"/>
      <c r="M63497"/>
    </row>
    <row r="63498" spans="1:13" ht="12.75" customHeight="1" x14ac:dyDescent="0.25">
      <c r="A63498"/>
      <c r="B63498"/>
      <c r="C63498"/>
      <c r="M63498"/>
    </row>
    <row r="63499" spans="1:13" ht="12.75" customHeight="1" x14ac:dyDescent="0.25">
      <c r="A63499"/>
      <c r="B63499"/>
      <c r="C63499"/>
      <c r="M63499"/>
    </row>
    <row r="63500" spans="1:13" ht="12.75" customHeight="1" x14ac:dyDescent="0.25">
      <c r="A63500"/>
      <c r="B63500"/>
      <c r="C63500"/>
      <c r="M63500"/>
    </row>
    <row r="63501" spans="1:13" ht="12.75" customHeight="1" x14ac:dyDescent="0.25">
      <c r="A63501"/>
      <c r="B63501"/>
      <c r="C63501"/>
      <c r="M63501"/>
    </row>
    <row r="63502" spans="1:13" ht="12.75" customHeight="1" x14ac:dyDescent="0.25">
      <c r="A63502"/>
      <c r="B63502"/>
      <c r="C63502"/>
      <c r="M63502"/>
    </row>
    <row r="63503" spans="1:13" ht="12.75" customHeight="1" x14ac:dyDescent="0.25">
      <c r="A63503"/>
      <c r="B63503"/>
      <c r="C63503"/>
      <c r="M63503"/>
    </row>
    <row r="63504" spans="1:13" ht="12.75" customHeight="1" x14ac:dyDescent="0.25">
      <c r="A63504"/>
      <c r="B63504"/>
      <c r="C63504"/>
      <c r="M63504"/>
    </row>
    <row r="63505" spans="1:13" ht="12.75" customHeight="1" x14ac:dyDescent="0.25">
      <c r="A63505"/>
      <c r="B63505"/>
      <c r="C63505"/>
      <c r="M63505"/>
    </row>
    <row r="63506" spans="1:13" ht="12.75" customHeight="1" x14ac:dyDescent="0.25">
      <c r="A63506"/>
      <c r="B63506"/>
      <c r="C63506"/>
      <c r="M63506"/>
    </row>
    <row r="63507" spans="1:13" ht="12.75" customHeight="1" x14ac:dyDescent="0.25">
      <c r="A63507"/>
      <c r="B63507"/>
      <c r="C63507"/>
      <c r="M63507"/>
    </row>
    <row r="63508" spans="1:13" ht="12.75" customHeight="1" x14ac:dyDescent="0.25">
      <c r="A63508"/>
      <c r="B63508"/>
      <c r="C63508"/>
      <c r="M63508"/>
    </row>
    <row r="63509" spans="1:13" ht="12.75" customHeight="1" x14ac:dyDescent="0.25">
      <c r="A63509"/>
      <c r="B63509"/>
      <c r="C63509"/>
      <c r="M63509"/>
    </row>
    <row r="63510" spans="1:13" ht="12.75" customHeight="1" x14ac:dyDescent="0.25">
      <c r="A63510"/>
      <c r="B63510"/>
      <c r="C63510"/>
      <c r="M63510"/>
    </row>
    <row r="63511" spans="1:13" ht="12.75" customHeight="1" x14ac:dyDescent="0.25">
      <c r="A63511"/>
      <c r="B63511"/>
      <c r="C63511"/>
      <c r="M63511"/>
    </row>
    <row r="63512" spans="1:13" ht="12.75" customHeight="1" x14ac:dyDescent="0.25">
      <c r="A63512"/>
      <c r="B63512"/>
      <c r="C63512"/>
      <c r="M63512"/>
    </row>
    <row r="63513" spans="1:13" ht="12.75" customHeight="1" x14ac:dyDescent="0.25">
      <c r="A63513"/>
      <c r="B63513"/>
      <c r="C63513"/>
      <c r="M63513"/>
    </row>
    <row r="63514" spans="1:13" ht="12.75" customHeight="1" x14ac:dyDescent="0.25">
      <c r="A63514"/>
      <c r="B63514"/>
      <c r="C63514"/>
      <c r="M63514"/>
    </row>
    <row r="63515" spans="1:13" ht="12.75" customHeight="1" x14ac:dyDescent="0.25">
      <c r="A63515"/>
      <c r="B63515"/>
      <c r="C63515"/>
      <c r="M63515"/>
    </row>
    <row r="63516" spans="1:13" ht="12.75" customHeight="1" x14ac:dyDescent="0.25">
      <c r="A63516"/>
      <c r="B63516"/>
      <c r="C63516"/>
      <c r="M63516"/>
    </row>
    <row r="63517" spans="1:13" ht="12.75" customHeight="1" x14ac:dyDescent="0.25">
      <c r="A63517"/>
      <c r="B63517"/>
      <c r="C63517"/>
      <c r="M63517"/>
    </row>
    <row r="63518" spans="1:13" ht="12.75" customHeight="1" x14ac:dyDescent="0.25">
      <c r="A63518"/>
      <c r="B63518"/>
      <c r="C63518"/>
      <c r="M63518"/>
    </row>
    <row r="63519" spans="1:13" ht="12.75" customHeight="1" x14ac:dyDescent="0.25">
      <c r="A63519"/>
      <c r="B63519"/>
      <c r="C63519"/>
      <c r="M63519"/>
    </row>
    <row r="63520" spans="1:13" ht="12.75" customHeight="1" x14ac:dyDescent="0.25">
      <c r="A63520"/>
      <c r="B63520"/>
      <c r="C63520"/>
      <c r="M63520"/>
    </row>
    <row r="63521" spans="1:13" ht="12.75" customHeight="1" x14ac:dyDescent="0.25">
      <c r="A63521"/>
      <c r="B63521"/>
      <c r="C63521"/>
      <c r="M63521"/>
    </row>
    <row r="63522" spans="1:13" ht="12.75" customHeight="1" x14ac:dyDescent="0.25">
      <c r="A63522"/>
      <c r="B63522"/>
      <c r="C63522"/>
      <c r="M63522"/>
    </row>
    <row r="63523" spans="1:13" ht="12.75" customHeight="1" x14ac:dyDescent="0.25">
      <c r="A63523"/>
      <c r="B63523"/>
      <c r="C63523"/>
      <c r="M63523"/>
    </row>
    <row r="63524" spans="1:13" ht="12.75" customHeight="1" x14ac:dyDescent="0.25">
      <c r="A63524"/>
      <c r="B63524"/>
      <c r="C63524"/>
      <c r="M63524"/>
    </row>
    <row r="63525" spans="1:13" ht="12.75" customHeight="1" x14ac:dyDescent="0.25">
      <c r="A63525"/>
      <c r="B63525"/>
      <c r="C63525"/>
      <c r="M63525"/>
    </row>
    <row r="63526" spans="1:13" ht="12.75" customHeight="1" x14ac:dyDescent="0.25">
      <c r="A63526"/>
      <c r="B63526"/>
      <c r="C63526"/>
      <c r="M63526"/>
    </row>
    <row r="63527" spans="1:13" ht="12.75" customHeight="1" x14ac:dyDescent="0.25">
      <c r="A63527"/>
      <c r="B63527"/>
      <c r="C63527"/>
      <c r="M63527"/>
    </row>
    <row r="63528" spans="1:13" ht="12.75" customHeight="1" x14ac:dyDescent="0.25">
      <c r="A63528"/>
      <c r="B63528"/>
      <c r="C63528"/>
      <c r="M63528"/>
    </row>
    <row r="63529" spans="1:13" ht="12.75" customHeight="1" x14ac:dyDescent="0.25">
      <c r="A63529"/>
      <c r="B63529"/>
      <c r="C63529"/>
      <c r="M63529"/>
    </row>
    <row r="63530" spans="1:13" ht="12.75" customHeight="1" x14ac:dyDescent="0.25">
      <c r="A63530"/>
      <c r="B63530"/>
      <c r="C63530"/>
      <c r="M63530"/>
    </row>
    <row r="63531" spans="1:13" ht="12.75" customHeight="1" x14ac:dyDescent="0.25">
      <c r="A63531"/>
      <c r="B63531"/>
      <c r="C63531"/>
      <c r="M63531"/>
    </row>
    <row r="63532" spans="1:13" ht="12.75" customHeight="1" x14ac:dyDescent="0.25">
      <c r="A63532"/>
      <c r="B63532"/>
      <c r="C63532"/>
      <c r="M63532"/>
    </row>
    <row r="63533" spans="1:13" ht="12.75" customHeight="1" x14ac:dyDescent="0.25">
      <c r="A63533"/>
      <c r="B63533"/>
      <c r="C63533"/>
      <c r="M63533"/>
    </row>
    <row r="63534" spans="1:13" ht="12.75" customHeight="1" x14ac:dyDescent="0.25">
      <c r="A63534"/>
      <c r="B63534"/>
      <c r="C63534"/>
      <c r="M63534"/>
    </row>
    <row r="63535" spans="1:13" ht="12.75" customHeight="1" x14ac:dyDescent="0.25">
      <c r="A63535"/>
      <c r="B63535"/>
      <c r="C63535"/>
      <c r="M63535"/>
    </row>
    <row r="63536" spans="1:13" ht="12.75" customHeight="1" x14ac:dyDescent="0.25">
      <c r="A63536"/>
      <c r="B63536"/>
      <c r="C63536"/>
      <c r="M63536"/>
    </row>
    <row r="63537" spans="1:13" ht="12.75" customHeight="1" x14ac:dyDescent="0.25">
      <c r="A63537"/>
      <c r="B63537"/>
      <c r="C63537"/>
      <c r="M63537"/>
    </row>
    <row r="63538" spans="1:13" ht="12.75" customHeight="1" x14ac:dyDescent="0.25">
      <c r="A63538"/>
      <c r="B63538"/>
      <c r="C63538"/>
      <c r="M63538"/>
    </row>
    <row r="63539" spans="1:13" ht="12.75" customHeight="1" x14ac:dyDescent="0.25">
      <c r="A63539"/>
      <c r="B63539"/>
      <c r="C63539"/>
      <c r="M63539"/>
    </row>
    <row r="63540" spans="1:13" ht="12.75" customHeight="1" x14ac:dyDescent="0.25">
      <c r="A63540"/>
      <c r="B63540"/>
      <c r="C63540"/>
      <c r="M63540"/>
    </row>
    <row r="63541" spans="1:13" ht="12.75" customHeight="1" x14ac:dyDescent="0.25">
      <c r="A63541"/>
      <c r="B63541"/>
      <c r="C63541"/>
      <c r="M63541"/>
    </row>
    <row r="63542" spans="1:13" ht="12.75" customHeight="1" x14ac:dyDescent="0.25">
      <c r="A63542"/>
      <c r="B63542"/>
      <c r="C63542"/>
      <c r="M63542"/>
    </row>
    <row r="63543" spans="1:13" ht="12.75" customHeight="1" x14ac:dyDescent="0.25">
      <c r="A63543"/>
      <c r="B63543"/>
      <c r="C63543"/>
      <c r="M63543"/>
    </row>
    <row r="63544" spans="1:13" ht="12.75" customHeight="1" x14ac:dyDescent="0.25">
      <c r="A63544"/>
      <c r="B63544"/>
      <c r="C63544"/>
      <c r="M63544"/>
    </row>
    <row r="63545" spans="1:13" ht="12.75" customHeight="1" x14ac:dyDescent="0.25">
      <c r="A63545"/>
      <c r="B63545"/>
      <c r="C63545"/>
      <c r="M63545"/>
    </row>
    <row r="63546" spans="1:13" ht="12.75" customHeight="1" x14ac:dyDescent="0.25">
      <c r="A63546"/>
      <c r="B63546"/>
      <c r="C63546"/>
      <c r="M63546"/>
    </row>
    <row r="63547" spans="1:13" ht="12.75" customHeight="1" x14ac:dyDescent="0.25">
      <c r="A63547"/>
      <c r="B63547"/>
      <c r="C63547"/>
      <c r="M63547"/>
    </row>
    <row r="63548" spans="1:13" ht="12.75" customHeight="1" x14ac:dyDescent="0.25">
      <c r="A63548"/>
      <c r="B63548"/>
      <c r="C63548"/>
      <c r="M63548"/>
    </row>
    <row r="63549" spans="1:13" ht="12.75" customHeight="1" x14ac:dyDescent="0.25">
      <c r="A63549"/>
      <c r="B63549"/>
      <c r="C63549"/>
      <c r="M63549"/>
    </row>
    <row r="63550" spans="1:13" ht="12.75" customHeight="1" x14ac:dyDescent="0.25">
      <c r="A63550"/>
      <c r="B63550"/>
      <c r="C63550"/>
      <c r="M63550"/>
    </row>
    <row r="63551" spans="1:13" ht="12.75" customHeight="1" x14ac:dyDescent="0.25">
      <c r="A63551"/>
      <c r="B63551"/>
      <c r="C63551"/>
      <c r="M63551"/>
    </row>
    <row r="63552" spans="1:13" ht="12.75" customHeight="1" x14ac:dyDescent="0.25">
      <c r="A63552"/>
      <c r="B63552"/>
      <c r="C63552"/>
      <c r="M63552"/>
    </row>
    <row r="63553" spans="1:13" ht="12.75" customHeight="1" x14ac:dyDescent="0.25">
      <c r="A63553"/>
      <c r="B63553"/>
      <c r="C63553"/>
      <c r="M63553"/>
    </row>
    <row r="63554" spans="1:13" ht="12.75" customHeight="1" x14ac:dyDescent="0.25">
      <c r="A63554"/>
      <c r="B63554"/>
      <c r="C63554"/>
      <c r="M63554"/>
    </row>
    <row r="63555" spans="1:13" ht="12.75" customHeight="1" x14ac:dyDescent="0.25">
      <c r="A63555"/>
      <c r="B63555"/>
      <c r="C63555"/>
      <c r="M63555"/>
    </row>
    <row r="63556" spans="1:13" ht="12.75" customHeight="1" x14ac:dyDescent="0.25">
      <c r="A63556"/>
      <c r="B63556"/>
      <c r="C63556"/>
      <c r="M63556"/>
    </row>
    <row r="63557" spans="1:13" ht="12.75" customHeight="1" x14ac:dyDescent="0.25">
      <c r="A63557"/>
      <c r="B63557"/>
      <c r="C63557"/>
      <c r="M63557"/>
    </row>
    <row r="63558" spans="1:13" ht="12.75" customHeight="1" x14ac:dyDescent="0.25">
      <c r="A63558"/>
      <c r="B63558"/>
      <c r="C63558"/>
      <c r="M63558"/>
    </row>
    <row r="63559" spans="1:13" ht="12.75" customHeight="1" x14ac:dyDescent="0.25">
      <c r="A63559"/>
      <c r="B63559"/>
      <c r="C63559"/>
      <c r="M63559"/>
    </row>
    <row r="63560" spans="1:13" ht="12.75" customHeight="1" x14ac:dyDescent="0.25">
      <c r="A63560"/>
      <c r="B63560"/>
      <c r="C63560"/>
      <c r="M63560"/>
    </row>
    <row r="63561" spans="1:13" ht="12.75" customHeight="1" x14ac:dyDescent="0.25">
      <c r="A63561"/>
      <c r="B63561"/>
      <c r="C63561"/>
      <c r="M63561"/>
    </row>
    <row r="63562" spans="1:13" ht="12.75" customHeight="1" x14ac:dyDescent="0.25">
      <c r="A63562"/>
      <c r="B63562"/>
      <c r="C63562"/>
      <c r="M63562"/>
    </row>
    <row r="63563" spans="1:13" ht="12.75" customHeight="1" x14ac:dyDescent="0.25">
      <c r="A63563"/>
      <c r="B63563"/>
      <c r="C63563"/>
      <c r="M63563"/>
    </row>
    <row r="63564" spans="1:13" ht="12.75" customHeight="1" x14ac:dyDescent="0.25">
      <c r="A63564"/>
      <c r="B63564"/>
      <c r="C63564"/>
      <c r="M63564"/>
    </row>
    <row r="63565" spans="1:13" ht="12.75" customHeight="1" x14ac:dyDescent="0.25">
      <c r="A63565"/>
      <c r="B63565"/>
      <c r="C63565"/>
      <c r="M63565"/>
    </row>
    <row r="63566" spans="1:13" ht="12.75" customHeight="1" x14ac:dyDescent="0.25">
      <c r="A63566"/>
      <c r="B63566"/>
      <c r="C63566"/>
      <c r="M63566"/>
    </row>
    <row r="63567" spans="1:13" ht="12.75" customHeight="1" x14ac:dyDescent="0.25">
      <c r="A63567"/>
      <c r="B63567"/>
      <c r="C63567"/>
      <c r="M63567"/>
    </row>
    <row r="63568" spans="1:13" ht="12.75" customHeight="1" x14ac:dyDescent="0.25">
      <c r="A63568"/>
      <c r="B63568"/>
      <c r="C63568"/>
      <c r="M63568"/>
    </row>
    <row r="63569" spans="1:13" ht="12.75" customHeight="1" x14ac:dyDescent="0.25">
      <c r="A63569"/>
      <c r="B63569"/>
      <c r="C63569"/>
      <c r="M63569"/>
    </row>
    <row r="63570" spans="1:13" ht="12.75" customHeight="1" x14ac:dyDescent="0.25">
      <c r="A63570"/>
      <c r="B63570"/>
      <c r="C63570"/>
      <c r="M63570"/>
    </row>
    <row r="63571" spans="1:13" ht="12.75" customHeight="1" x14ac:dyDescent="0.25">
      <c r="A63571"/>
      <c r="B63571"/>
      <c r="C63571"/>
      <c r="M63571"/>
    </row>
    <row r="63572" spans="1:13" ht="12.75" customHeight="1" x14ac:dyDescent="0.25">
      <c r="A63572"/>
      <c r="B63572"/>
      <c r="C63572"/>
      <c r="M63572"/>
    </row>
    <row r="63573" spans="1:13" ht="12.75" customHeight="1" x14ac:dyDescent="0.25">
      <c r="A63573"/>
      <c r="B63573"/>
      <c r="C63573"/>
      <c r="M63573"/>
    </row>
    <row r="63574" spans="1:13" ht="12.75" customHeight="1" x14ac:dyDescent="0.25">
      <c r="A63574"/>
      <c r="B63574"/>
      <c r="C63574"/>
      <c r="M63574"/>
    </row>
    <row r="63575" spans="1:13" ht="12.75" customHeight="1" x14ac:dyDescent="0.25">
      <c r="A63575"/>
      <c r="B63575"/>
      <c r="C63575"/>
      <c r="M63575"/>
    </row>
    <row r="63576" spans="1:13" ht="12.75" customHeight="1" x14ac:dyDescent="0.25">
      <c r="A63576"/>
      <c r="B63576"/>
      <c r="C63576"/>
      <c r="M63576"/>
    </row>
    <row r="63577" spans="1:13" ht="12.75" customHeight="1" x14ac:dyDescent="0.25">
      <c r="A63577"/>
      <c r="B63577"/>
      <c r="C63577"/>
      <c r="M63577"/>
    </row>
    <row r="63578" spans="1:13" ht="12.75" customHeight="1" x14ac:dyDescent="0.25">
      <c r="A63578"/>
      <c r="B63578"/>
      <c r="C63578"/>
      <c r="M63578"/>
    </row>
    <row r="63579" spans="1:13" ht="12.75" customHeight="1" x14ac:dyDescent="0.25">
      <c r="A63579"/>
      <c r="B63579"/>
      <c r="C63579"/>
      <c r="M63579"/>
    </row>
    <row r="63580" spans="1:13" ht="12.75" customHeight="1" x14ac:dyDescent="0.25">
      <c r="A63580"/>
      <c r="B63580"/>
      <c r="C63580"/>
      <c r="M63580"/>
    </row>
    <row r="63581" spans="1:13" ht="12.75" customHeight="1" x14ac:dyDescent="0.25">
      <c r="A63581"/>
      <c r="B63581"/>
      <c r="C63581"/>
      <c r="M63581"/>
    </row>
    <row r="63582" spans="1:13" ht="12.75" customHeight="1" x14ac:dyDescent="0.25">
      <c r="A63582"/>
      <c r="B63582"/>
      <c r="C63582"/>
      <c r="M63582"/>
    </row>
    <row r="63583" spans="1:13" ht="12.75" customHeight="1" x14ac:dyDescent="0.25">
      <c r="A63583"/>
      <c r="B63583"/>
      <c r="C63583"/>
      <c r="M63583"/>
    </row>
    <row r="63584" spans="1:13" ht="12.75" customHeight="1" x14ac:dyDescent="0.25">
      <c r="A63584"/>
      <c r="B63584"/>
      <c r="C63584"/>
      <c r="M63584"/>
    </row>
    <row r="63585" spans="1:13" ht="12.75" customHeight="1" x14ac:dyDescent="0.25">
      <c r="A63585"/>
      <c r="B63585"/>
      <c r="C63585"/>
      <c r="M63585"/>
    </row>
    <row r="63586" spans="1:13" ht="12.75" customHeight="1" x14ac:dyDescent="0.25">
      <c r="A63586"/>
      <c r="B63586"/>
      <c r="C63586"/>
      <c r="M63586"/>
    </row>
    <row r="63587" spans="1:13" ht="12.75" customHeight="1" x14ac:dyDescent="0.25">
      <c r="A63587"/>
      <c r="B63587"/>
      <c r="C63587"/>
      <c r="M63587"/>
    </row>
    <row r="63588" spans="1:13" ht="12.75" customHeight="1" x14ac:dyDescent="0.25">
      <c r="A63588"/>
      <c r="B63588"/>
      <c r="C63588"/>
      <c r="M63588"/>
    </row>
    <row r="63589" spans="1:13" ht="12.75" customHeight="1" x14ac:dyDescent="0.25">
      <c r="A63589"/>
      <c r="B63589"/>
      <c r="C63589"/>
      <c r="M63589"/>
    </row>
    <row r="63590" spans="1:13" ht="12.75" customHeight="1" x14ac:dyDescent="0.25">
      <c r="A63590"/>
      <c r="B63590"/>
      <c r="C63590"/>
      <c r="M63590"/>
    </row>
    <row r="63591" spans="1:13" ht="12.75" customHeight="1" x14ac:dyDescent="0.25">
      <c r="A63591"/>
      <c r="B63591"/>
      <c r="C63591"/>
      <c r="M63591"/>
    </row>
    <row r="63592" spans="1:13" ht="12.75" customHeight="1" x14ac:dyDescent="0.25">
      <c r="A63592"/>
      <c r="B63592"/>
      <c r="C63592"/>
      <c r="M63592"/>
    </row>
    <row r="63593" spans="1:13" ht="12.75" customHeight="1" x14ac:dyDescent="0.25">
      <c r="A63593"/>
      <c r="B63593"/>
      <c r="C63593"/>
      <c r="M63593"/>
    </row>
    <row r="63594" spans="1:13" ht="12.75" customHeight="1" x14ac:dyDescent="0.25">
      <c r="A63594"/>
      <c r="B63594"/>
      <c r="C63594"/>
      <c r="M63594"/>
    </row>
    <row r="63595" spans="1:13" ht="12.75" customHeight="1" x14ac:dyDescent="0.25">
      <c r="A63595"/>
      <c r="B63595"/>
      <c r="C63595"/>
      <c r="M63595"/>
    </row>
    <row r="63596" spans="1:13" ht="12.75" customHeight="1" x14ac:dyDescent="0.25">
      <c r="A63596"/>
      <c r="B63596"/>
      <c r="C63596"/>
      <c r="M63596"/>
    </row>
    <row r="63597" spans="1:13" ht="12.75" customHeight="1" x14ac:dyDescent="0.25">
      <c r="A63597"/>
      <c r="B63597"/>
      <c r="C63597"/>
      <c r="M63597"/>
    </row>
    <row r="63598" spans="1:13" ht="12.75" customHeight="1" x14ac:dyDescent="0.25">
      <c r="A63598"/>
      <c r="B63598"/>
      <c r="C63598"/>
      <c r="M63598"/>
    </row>
    <row r="63599" spans="1:13" ht="12.75" customHeight="1" x14ac:dyDescent="0.25">
      <c r="A63599"/>
      <c r="B63599"/>
      <c r="C63599"/>
      <c r="M63599"/>
    </row>
    <row r="63600" spans="1:13" ht="12.75" customHeight="1" x14ac:dyDescent="0.25">
      <c r="A63600"/>
      <c r="B63600"/>
      <c r="C63600"/>
      <c r="M63600"/>
    </row>
    <row r="63601" spans="1:13" ht="12.75" customHeight="1" x14ac:dyDescent="0.25">
      <c r="A63601"/>
      <c r="B63601"/>
      <c r="C63601"/>
      <c r="M63601"/>
    </row>
    <row r="63602" spans="1:13" ht="12.75" customHeight="1" x14ac:dyDescent="0.25">
      <c r="A63602"/>
      <c r="B63602"/>
      <c r="C63602"/>
      <c r="M63602"/>
    </row>
    <row r="63603" spans="1:13" ht="12.75" customHeight="1" x14ac:dyDescent="0.25">
      <c r="A63603"/>
      <c r="B63603"/>
      <c r="C63603"/>
      <c r="M63603"/>
    </row>
    <row r="63604" spans="1:13" ht="12.75" customHeight="1" x14ac:dyDescent="0.25">
      <c r="A63604"/>
      <c r="B63604"/>
      <c r="C63604"/>
      <c r="M63604"/>
    </row>
    <row r="63605" spans="1:13" ht="12.75" customHeight="1" x14ac:dyDescent="0.25">
      <c r="A63605"/>
      <c r="B63605"/>
      <c r="C63605"/>
      <c r="M63605"/>
    </row>
    <row r="63606" spans="1:13" ht="12.75" customHeight="1" x14ac:dyDescent="0.25">
      <c r="A63606"/>
      <c r="B63606"/>
      <c r="C63606"/>
      <c r="M63606"/>
    </row>
    <row r="63607" spans="1:13" ht="12.75" customHeight="1" x14ac:dyDescent="0.25">
      <c r="A63607"/>
      <c r="B63607"/>
      <c r="C63607"/>
      <c r="M63607"/>
    </row>
    <row r="63608" spans="1:13" ht="12.75" customHeight="1" x14ac:dyDescent="0.25">
      <c r="A63608"/>
      <c r="B63608"/>
      <c r="C63608"/>
      <c r="M63608"/>
    </row>
    <row r="63609" spans="1:13" ht="12.75" customHeight="1" x14ac:dyDescent="0.25">
      <c r="A63609"/>
      <c r="B63609"/>
      <c r="C63609"/>
      <c r="M63609"/>
    </row>
    <row r="63610" spans="1:13" ht="12.75" customHeight="1" x14ac:dyDescent="0.25">
      <c r="A63610"/>
      <c r="B63610"/>
      <c r="C63610"/>
      <c r="M63610"/>
    </row>
    <row r="63611" spans="1:13" ht="12.75" customHeight="1" x14ac:dyDescent="0.25">
      <c r="A63611"/>
      <c r="B63611"/>
      <c r="C63611"/>
      <c r="M63611"/>
    </row>
    <row r="63612" spans="1:13" ht="12.75" customHeight="1" x14ac:dyDescent="0.25">
      <c r="A63612"/>
      <c r="B63612"/>
      <c r="C63612"/>
      <c r="M63612"/>
    </row>
    <row r="63613" spans="1:13" ht="12.75" customHeight="1" x14ac:dyDescent="0.25">
      <c r="A63613"/>
      <c r="B63613"/>
      <c r="C63613"/>
      <c r="M63613"/>
    </row>
    <row r="63614" spans="1:13" ht="12.75" customHeight="1" x14ac:dyDescent="0.25">
      <c r="A63614"/>
      <c r="B63614"/>
      <c r="C63614"/>
      <c r="M63614"/>
    </row>
    <row r="63615" spans="1:13" ht="12.75" customHeight="1" x14ac:dyDescent="0.25">
      <c r="A63615"/>
      <c r="B63615"/>
      <c r="C63615"/>
      <c r="M63615"/>
    </row>
    <row r="63616" spans="1:13" ht="12.75" customHeight="1" x14ac:dyDescent="0.25">
      <c r="A63616"/>
      <c r="B63616"/>
      <c r="C63616"/>
      <c r="M63616"/>
    </row>
    <row r="63617" spans="1:13" ht="12.75" customHeight="1" x14ac:dyDescent="0.25">
      <c r="A63617"/>
      <c r="B63617"/>
      <c r="C63617"/>
      <c r="M63617"/>
    </row>
    <row r="63618" spans="1:13" ht="12.75" customHeight="1" x14ac:dyDescent="0.25">
      <c r="A63618"/>
      <c r="B63618"/>
      <c r="C63618"/>
      <c r="M63618"/>
    </row>
    <row r="63619" spans="1:13" ht="12.75" customHeight="1" x14ac:dyDescent="0.25">
      <c r="A63619"/>
      <c r="B63619"/>
      <c r="C63619"/>
      <c r="M63619"/>
    </row>
    <row r="63620" spans="1:13" ht="12.75" customHeight="1" x14ac:dyDescent="0.25">
      <c r="A63620"/>
      <c r="B63620"/>
      <c r="C63620"/>
      <c r="M63620"/>
    </row>
    <row r="63621" spans="1:13" ht="12.75" customHeight="1" x14ac:dyDescent="0.25">
      <c r="A63621"/>
      <c r="B63621"/>
      <c r="C63621"/>
      <c r="M63621"/>
    </row>
    <row r="63622" spans="1:13" ht="12.75" customHeight="1" x14ac:dyDescent="0.25">
      <c r="A63622"/>
      <c r="B63622"/>
      <c r="C63622"/>
      <c r="M63622"/>
    </row>
    <row r="63623" spans="1:13" ht="12.75" customHeight="1" x14ac:dyDescent="0.25">
      <c r="A63623"/>
      <c r="B63623"/>
      <c r="C63623"/>
      <c r="M63623"/>
    </row>
    <row r="63624" spans="1:13" ht="12.75" customHeight="1" x14ac:dyDescent="0.25">
      <c r="A63624"/>
      <c r="B63624"/>
      <c r="C63624"/>
      <c r="M63624"/>
    </row>
    <row r="63625" spans="1:13" ht="12.75" customHeight="1" x14ac:dyDescent="0.25">
      <c r="A63625"/>
      <c r="B63625"/>
      <c r="C63625"/>
      <c r="M63625"/>
    </row>
    <row r="63626" spans="1:13" ht="12.75" customHeight="1" x14ac:dyDescent="0.25">
      <c r="A63626"/>
      <c r="B63626"/>
      <c r="C63626"/>
      <c r="M63626"/>
    </row>
    <row r="63627" spans="1:13" ht="12.75" customHeight="1" x14ac:dyDescent="0.25">
      <c r="A63627"/>
      <c r="B63627"/>
      <c r="C63627"/>
      <c r="M63627"/>
    </row>
    <row r="63628" spans="1:13" ht="12.75" customHeight="1" x14ac:dyDescent="0.25">
      <c r="A63628"/>
      <c r="B63628"/>
      <c r="C63628"/>
      <c r="M63628"/>
    </row>
    <row r="63629" spans="1:13" ht="12.75" customHeight="1" x14ac:dyDescent="0.25">
      <c r="A63629"/>
      <c r="B63629"/>
      <c r="C63629"/>
      <c r="M63629"/>
    </row>
    <row r="63630" spans="1:13" ht="12.75" customHeight="1" x14ac:dyDescent="0.25">
      <c r="A63630"/>
      <c r="B63630"/>
      <c r="C63630"/>
      <c r="M63630"/>
    </row>
    <row r="63631" spans="1:13" ht="12.75" customHeight="1" x14ac:dyDescent="0.25">
      <c r="A63631"/>
      <c r="B63631"/>
      <c r="C63631"/>
      <c r="M63631"/>
    </row>
    <row r="63632" spans="1:13" ht="12.75" customHeight="1" x14ac:dyDescent="0.25">
      <c r="A63632"/>
      <c r="B63632"/>
      <c r="C63632"/>
      <c r="M63632"/>
    </row>
    <row r="63633" spans="1:13" ht="12.75" customHeight="1" x14ac:dyDescent="0.25">
      <c r="A63633"/>
      <c r="B63633"/>
      <c r="C63633"/>
      <c r="M63633"/>
    </row>
    <row r="63634" spans="1:13" ht="12.75" customHeight="1" x14ac:dyDescent="0.25">
      <c r="A63634"/>
      <c r="B63634"/>
      <c r="C63634"/>
      <c r="M63634"/>
    </row>
    <row r="63635" spans="1:13" ht="12.75" customHeight="1" x14ac:dyDescent="0.25">
      <c r="A63635"/>
      <c r="B63635"/>
      <c r="C63635"/>
      <c r="M63635"/>
    </row>
    <row r="63636" spans="1:13" ht="12.75" customHeight="1" x14ac:dyDescent="0.25">
      <c r="A63636"/>
      <c r="B63636"/>
      <c r="C63636"/>
      <c r="M63636"/>
    </row>
    <row r="63637" spans="1:13" ht="12.75" customHeight="1" x14ac:dyDescent="0.25">
      <c r="A63637"/>
      <c r="B63637"/>
      <c r="C63637"/>
      <c r="M63637"/>
    </row>
    <row r="63638" spans="1:13" ht="12.75" customHeight="1" x14ac:dyDescent="0.25">
      <c r="A63638"/>
      <c r="B63638"/>
      <c r="C63638"/>
      <c r="M63638"/>
    </row>
    <row r="63639" spans="1:13" ht="12.75" customHeight="1" x14ac:dyDescent="0.25">
      <c r="A63639"/>
      <c r="B63639"/>
      <c r="C63639"/>
      <c r="M63639"/>
    </row>
    <row r="63640" spans="1:13" ht="12.75" customHeight="1" x14ac:dyDescent="0.25">
      <c r="A63640"/>
      <c r="B63640"/>
      <c r="C63640"/>
      <c r="M63640"/>
    </row>
    <row r="63641" spans="1:13" ht="12.75" customHeight="1" x14ac:dyDescent="0.25">
      <c r="A63641"/>
      <c r="B63641"/>
      <c r="C63641"/>
      <c r="M63641"/>
    </row>
    <row r="63642" spans="1:13" ht="12.75" customHeight="1" x14ac:dyDescent="0.25">
      <c r="A63642"/>
      <c r="B63642"/>
      <c r="C63642"/>
      <c r="M63642"/>
    </row>
    <row r="63643" spans="1:13" ht="12.75" customHeight="1" x14ac:dyDescent="0.25">
      <c r="A63643"/>
      <c r="B63643"/>
      <c r="C63643"/>
      <c r="M63643"/>
    </row>
    <row r="63644" spans="1:13" ht="12.75" customHeight="1" x14ac:dyDescent="0.25">
      <c r="A63644"/>
      <c r="B63644"/>
      <c r="C63644"/>
      <c r="M63644"/>
    </row>
    <row r="63645" spans="1:13" ht="12.75" customHeight="1" x14ac:dyDescent="0.25">
      <c r="A63645"/>
      <c r="B63645"/>
      <c r="C63645"/>
      <c r="M63645"/>
    </row>
    <row r="63646" spans="1:13" ht="12.75" customHeight="1" x14ac:dyDescent="0.25">
      <c r="A63646"/>
      <c r="B63646"/>
      <c r="C63646"/>
      <c r="M63646"/>
    </row>
    <row r="63647" spans="1:13" ht="12.75" customHeight="1" x14ac:dyDescent="0.25">
      <c r="A63647"/>
      <c r="B63647"/>
      <c r="C63647"/>
      <c r="M63647"/>
    </row>
    <row r="63648" spans="1:13" ht="12.75" customHeight="1" x14ac:dyDescent="0.25">
      <c r="A63648"/>
      <c r="B63648"/>
      <c r="C63648"/>
      <c r="M63648"/>
    </row>
    <row r="63649" spans="1:13" ht="12.75" customHeight="1" x14ac:dyDescent="0.25">
      <c r="A63649"/>
      <c r="B63649"/>
      <c r="C63649"/>
      <c r="M63649"/>
    </row>
    <row r="63650" spans="1:13" ht="12.75" customHeight="1" x14ac:dyDescent="0.25">
      <c r="A63650"/>
      <c r="B63650"/>
      <c r="C63650"/>
      <c r="M63650"/>
    </row>
    <row r="63651" spans="1:13" ht="12.75" customHeight="1" x14ac:dyDescent="0.25">
      <c r="A63651"/>
      <c r="B63651"/>
      <c r="C63651"/>
      <c r="M63651"/>
    </row>
    <row r="63652" spans="1:13" ht="12.75" customHeight="1" x14ac:dyDescent="0.25">
      <c r="A63652"/>
      <c r="B63652"/>
      <c r="C63652"/>
      <c r="M63652"/>
    </row>
    <row r="63653" spans="1:13" ht="12.75" customHeight="1" x14ac:dyDescent="0.25">
      <c r="A63653"/>
      <c r="B63653"/>
      <c r="C63653"/>
      <c r="M63653"/>
    </row>
    <row r="63654" spans="1:13" ht="12.75" customHeight="1" x14ac:dyDescent="0.25">
      <c r="A63654"/>
      <c r="B63654"/>
      <c r="C63654"/>
      <c r="M63654"/>
    </row>
    <row r="63655" spans="1:13" ht="12.75" customHeight="1" x14ac:dyDescent="0.25">
      <c r="A63655"/>
      <c r="B63655"/>
      <c r="C63655"/>
      <c r="M63655"/>
    </row>
    <row r="63656" spans="1:13" ht="12.75" customHeight="1" x14ac:dyDescent="0.25">
      <c r="A63656"/>
      <c r="B63656"/>
      <c r="C63656"/>
      <c r="M63656"/>
    </row>
    <row r="63657" spans="1:13" ht="12.75" customHeight="1" x14ac:dyDescent="0.25">
      <c r="A63657"/>
      <c r="B63657"/>
      <c r="C63657"/>
      <c r="M63657"/>
    </row>
    <row r="63658" spans="1:13" ht="12.75" customHeight="1" x14ac:dyDescent="0.25">
      <c r="A63658"/>
      <c r="B63658"/>
      <c r="C63658"/>
      <c r="M63658"/>
    </row>
    <row r="63659" spans="1:13" ht="12.75" customHeight="1" x14ac:dyDescent="0.25">
      <c r="A63659"/>
      <c r="B63659"/>
      <c r="C63659"/>
      <c r="M63659"/>
    </row>
    <row r="63660" spans="1:13" ht="12.75" customHeight="1" x14ac:dyDescent="0.25">
      <c r="A63660"/>
      <c r="B63660"/>
      <c r="C63660"/>
      <c r="M63660"/>
    </row>
    <row r="63661" spans="1:13" ht="12.75" customHeight="1" x14ac:dyDescent="0.25">
      <c r="A63661"/>
      <c r="B63661"/>
      <c r="C63661"/>
      <c r="M63661"/>
    </row>
    <row r="63662" spans="1:13" ht="12.75" customHeight="1" x14ac:dyDescent="0.25">
      <c r="A63662"/>
      <c r="B63662"/>
      <c r="C63662"/>
      <c r="M63662"/>
    </row>
    <row r="63663" spans="1:13" ht="12.75" customHeight="1" x14ac:dyDescent="0.25">
      <c r="A63663"/>
      <c r="B63663"/>
      <c r="C63663"/>
      <c r="M63663"/>
    </row>
    <row r="63664" spans="1:13" ht="12.75" customHeight="1" x14ac:dyDescent="0.25">
      <c r="A63664"/>
      <c r="B63664"/>
      <c r="C63664"/>
      <c r="M63664"/>
    </row>
    <row r="63665" spans="1:13" ht="12.75" customHeight="1" x14ac:dyDescent="0.25">
      <c r="A63665"/>
      <c r="B63665"/>
      <c r="C63665"/>
      <c r="M63665"/>
    </row>
    <row r="63666" spans="1:13" ht="12.75" customHeight="1" x14ac:dyDescent="0.25">
      <c r="A63666"/>
      <c r="B63666"/>
      <c r="C63666"/>
      <c r="M63666"/>
    </row>
    <row r="63667" spans="1:13" ht="12.75" customHeight="1" x14ac:dyDescent="0.25">
      <c r="A63667"/>
      <c r="B63667"/>
      <c r="C63667"/>
      <c r="M63667"/>
    </row>
    <row r="63668" spans="1:13" ht="12.75" customHeight="1" x14ac:dyDescent="0.25">
      <c r="A63668"/>
      <c r="B63668"/>
      <c r="C63668"/>
      <c r="M63668"/>
    </row>
    <row r="63669" spans="1:13" ht="12.75" customHeight="1" x14ac:dyDescent="0.25">
      <c r="A63669"/>
      <c r="B63669"/>
      <c r="C63669"/>
      <c r="M63669"/>
    </row>
    <row r="63670" spans="1:13" ht="12.75" customHeight="1" x14ac:dyDescent="0.25">
      <c r="A63670"/>
      <c r="B63670"/>
      <c r="C63670"/>
      <c r="M63670"/>
    </row>
    <row r="63671" spans="1:13" ht="12.75" customHeight="1" x14ac:dyDescent="0.25">
      <c r="A63671"/>
      <c r="B63671"/>
      <c r="C63671"/>
      <c r="M63671"/>
    </row>
    <row r="63672" spans="1:13" ht="12.75" customHeight="1" x14ac:dyDescent="0.25">
      <c r="A63672"/>
      <c r="B63672"/>
      <c r="C63672"/>
      <c r="M63672"/>
    </row>
    <row r="63673" spans="1:13" ht="12.75" customHeight="1" x14ac:dyDescent="0.25">
      <c r="A63673"/>
      <c r="B63673"/>
      <c r="C63673"/>
      <c r="M63673"/>
    </row>
    <row r="63674" spans="1:13" ht="12.75" customHeight="1" x14ac:dyDescent="0.25">
      <c r="A63674"/>
      <c r="B63674"/>
      <c r="C63674"/>
      <c r="M63674"/>
    </row>
    <row r="63675" spans="1:13" ht="12.75" customHeight="1" x14ac:dyDescent="0.25">
      <c r="A63675"/>
      <c r="B63675"/>
      <c r="C63675"/>
      <c r="M63675"/>
    </row>
    <row r="63676" spans="1:13" ht="12.75" customHeight="1" x14ac:dyDescent="0.25">
      <c r="A63676"/>
      <c r="B63676"/>
      <c r="C63676"/>
      <c r="M63676"/>
    </row>
    <row r="63677" spans="1:13" ht="12.75" customHeight="1" x14ac:dyDescent="0.25">
      <c r="A63677"/>
      <c r="B63677"/>
      <c r="C63677"/>
      <c r="M63677"/>
    </row>
    <row r="63678" spans="1:13" ht="12.75" customHeight="1" x14ac:dyDescent="0.25">
      <c r="A63678"/>
      <c r="B63678"/>
      <c r="C63678"/>
      <c r="M63678"/>
    </row>
    <row r="63679" spans="1:13" ht="12.75" customHeight="1" x14ac:dyDescent="0.25">
      <c r="A63679"/>
      <c r="B63679"/>
      <c r="C63679"/>
      <c r="M63679"/>
    </row>
    <row r="63680" spans="1:13" ht="12.75" customHeight="1" x14ac:dyDescent="0.25">
      <c r="A63680"/>
      <c r="B63680"/>
      <c r="C63680"/>
      <c r="M63680"/>
    </row>
    <row r="63681" spans="1:13" ht="12.75" customHeight="1" x14ac:dyDescent="0.25">
      <c r="A63681"/>
      <c r="B63681"/>
      <c r="C63681"/>
      <c r="M63681"/>
    </row>
    <row r="63682" spans="1:13" ht="12.75" customHeight="1" x14ac:dyDescent="0.25">
      <c r="A63682"/>
      <c r="B63682"/>
      <c r="C63682"/>
      <c r="M63682"/>
    </row>
    <row r="63683" spans="1:13" ht="12.75" customHeight="1" x14ac:dyDescent="0.25">
      <c r="A63683"/>
      <c r="B63683"/>
      <c r="C63683"/>
      <c r="M63683"/>
    </row>
    <row r="63684" spans="1:13" ht="12.75" customHeight="1" x14ac:dyDescent="0.25">
      <c r="A63684"/>
      <c r="B63684"/>
      <c r="C63684"/>
      <c r="M63684"/>
    </row>
    <row r="63685" spans="1:13" ht="12.75" customHeight="1" x14ac:dyDescent="0.25">
      <c r="A63685"/>
      <c r="B63685"/>
      <c r="C63685"/>
      <c r="M63685"/>
    </row>
    <row r="63686" spans="1:13" ht="12.75" customHeight="1" x14ac:dyDescent="0.25">
      <c r="A63686"/>
      <c r="B63686"/>
      <c r="C63686"/>
      <c r="M63686"/>
    </row>
    <row r="63687" spans="1:13" ht="12.75" customHeight="1" x14ac:dyDescent="0.25">
      <c r="A63687"/>
      <c r="B63687"/>
      <c r="C63687"/>
      <c r="M63687"/>
    </row>
    <row r="63688" spans="1:13" ht="12.75" customHeight="1" x14ac:dyDescent="0.25">
      <c r="A63688"/>
      <c r="B63688"/>
      <c r="C63688"/>
      <c r="M63688"/>
    </row>
    <row r="63689" spans="1:13" ht="12.75" customHeight="1" x14ac:dyDescent="0.25">
      <c r="A63689"/>
      <c r="B63689"/>
      <c r="C63689"/>
      <c r="M63689"/>
    </row>
    <row r="63690" spans="1:13" ht="12.75" customHeight="1" x14ac:dyDescent="0.25">
      <c r="A63690"/>
      <c r="B63690"/>
      <c r="C63690"/>
      <c r="M63690"/>
    </row>
    <row r="63691" spans="1:13" ht="12.75" customHeight="1" x14ac:dyDescent="0.25">
      <c r="A63691"/>
      <c r="B63691"/>
      <c r="C63691"/>
      <c r="M63691"/>
    </row>
    <row r="63692" spans="1:13" ht="12.75" customHeight="1" x14ac:dyDescent="0.25">
      <c r="A63692"/>
      <c r="B63692"/>
      <c r="C63692"/>
      <c r="M63692"/>
    </row>
    <row r="63693" spans="1:13" ht="12.75" customHeight="1" x14ac:dyDescent="0.25">
      <c r="A63693"/>
      <c r="B63693"/>
      <c r="C63693"/>
      <c r="M63693"/>
    </row>
    <row r="63694" spans="1:13" ht="12.75" customHeight="1" x14ac:dyDescent="0.25">
      <c r="A63694"/>
      <c r="B63694"/>
      <c r="C63694"/>
      <c r="M63694"/>
    </row>
    <row r="63695" spans="1:13" ht="12.75" customHeight="1" x14ac:dyDescent="0.25">
      <c r="A63695"/>
      <c r="B63695"/>
      <c r="C63695"/>
      <c r="M63695"/>
    </row>
    <row r="63696" spans="1:13" ht="12.75" customHeight="1" x14ac:dyDescent="0.25">
      <c r="A63696"/>
      <c r="B63696"/>
      <c r="C63696"/>
      <c r="M63696"/>
    </row>
    <row r="63697" spans="1:13" ht="12.75" customHeight="1" x14ac:dyDescent="0.25">
      <c r="A63697"/>
      <c r="B63697"/>
      <c r="C63697"/>
      <c r="M63697"/>
    </row>
    <row r="63698" spans="1:13" ht="12.75" customHeight="1" x14ac:dyDescent="0.25">
      <c r="A63698"/>
      <c r="B63698"/>
      <c r="C63698"/>
      <c r="M63698"/>
    </row>
    <row r="63699" spans="1:13" ht="12.75" customHeight="1" x14ac:dyDescent="0.25">
      <c r="A63699"/>
      <c r="B63699"/>
      <c r="C63699"/>
      <c r="M63699"/>
    </row>
    <row r="63700" spans="1:13" ht="12.75" customHeight="1" x14ac:dyDescent="0.25">
      <c r="A63700"/>
      <c r="B63700"/>
      <c r="C63700"/>
      <c r="M63700"/>
    </row>
    <row r="63701" spans="1:13" ht="12.75" customHeight="1" x14ac:dyDescent="0.25">
      <c r="A63701"/>
      <c r="B63701"/>
      <c r="C63701"/>
      <c r="M63701"/>
    </row>
    <row r="63702" spans="1:13" ht="12.75" customHeight="1" x14ac:dyDescent="0.25">
      <c r="A63702"/>
      <c r="B63702"/>
      <c r="C63702"/>
      <c r="M63702"/>
    </row>
    <row r="63703" spans="1:13" ht="12.75" customHeight="1" x14ac:dyDescent="0.25">
      <c r="A63703"/>
      <c r="B63703"/>
      <c r="C63703"/>
      <c r="M63703"/>
    </row>
    <row r="63704" spans="1:13" ht="12.75" customHeight="1" x14ac:dyDescent="0.25">
      <c r="A63704"/>
      <c r="B63704"/>
      <c r="C63704"/>
      <c r="M63704"/>
    </row>
    <row r="63705" spans="1:13" ht="12.75" customHeight="1" x14ac:dyDescent="0.25">
      <c r="A63705"/>
      <c r="B63705"/>
      <c r="C63705"/>
      <c r="M63705"/>
    </row>
    <row r="63706" spans="1:13" ht="12.75" customHeight="1" x14ac:dyDescent="0.25">
      <c r="A63706"/>
      <c r="B63706"/>
      <c r="C63706"/>
      <c r="M63706"/>
    </row>
    <row r="63707" spans="1:13" ht="12.75" customHeight="1" x14ac:dyDescent="0.25">
      <c r="A63707"/>
      <c r="B63707"/>
      <c r="C63707"/>
      <c r="M63707"/>
    </row>
    <row r="63708" spans="1:13" ht="12.75" customHeight="1" x14ac:dyDescent="0.25">
      <c r="A63708"/>
      <c r="B63708"/>
      <c r="C63708"/>
      <c r="M63708"/>
    </row>
    <row r="63709" spans="1:13" ht="12.75" customHeight="1" x14ac:dyDescent="0.25">
      <c r="A63709"/>
      <c r="B63709"/>
      <c r="C63709"/>
      <c r="M63709"/>
    </row>
    <row r="63710" spans="1:13" ht="12.75" customHeight="1" x14ac:dyDescent="0.25">
      <c r="A63710"/>
      <c r="B63710"/>
      <c r="C63710"/>
      <c r="M63710"/>
    </row>
    <row r="63711" spans="1:13" ht="12.75" customHeight="1" x14ac:dyDescent="0.25">
      <c r="A63711"/>
      <c r="B63711"/>
      <c r="C63711"/>
      <c r="M63711"/>
    </row>
    <row r="63712" spans="1:13" ht="12.75" customHeight="1" x14ac:dyDescent="0.25">
      <c r="A63712"/>
      <c r="B63712"/>
      <c r="C63712"/>
      <c r="M63712"/>
    </row>
    <row r="63713" spans="1:13" ht="12.75" customHeight="1" x14ac:dyDescent="0.25">
      <c r="A63713"/>
      <c r="B63713"/>
      <c r="C63713"/>
      <c r="M63713"/>
    </row>
    <row r="63714" spans="1:13" ht="12.75" customHeight="1" x14ac:dyDescent="0.25">
      <c r="A63714"/>
      <c r="B63714"/>
      <c r="C63714"/>
      <c r="M63714"/>
    </row>
    <row r="63715" spans="1:13" ht="12.75" customHeight="1" x14ac:dyDescent="0.25">
      <c r="A63715"/>
      <c r="B63715"/>
      <c r="C63715"/>
      <c r="M63715"/>
    </row>
    <row r="63716" spans="1:13" ht="12.75" customHeight="1" x14ac:dyDescent="0.25">
      <c r="A63716"/>
      <c r="B63716"/>
      <c r="C63716"/>
      <c r="M63716"/>
    </row>
    <row r="63717" spans="1:13" ht="12.75" customHeight="1" x14ac:dyDescent="0.25">
      <c r="A63717"/>
      <c r="B63717"/>
      <c r="C63717"/>
      <c r="M63717"/>
    </row>
    <row r="63718" spans="1:13" ht="12.75" customHeight="1" x14ac:dyDescent="0.25">
      <c r="A63718"/>
      <c r="B63718"/>
      <c r="C63718"/>
      <c r="M63718"/>
    </row>
    <row r="63719" spans="1:13" ht="12.75" customHeight="1" x14ac:dyDescent="0.25">
      <c r="A63719"/>
      <c r="B63719"/>
      <c r="C63719"/>
      <c r="M63719"/>
    </row>
    <row r="63720" spans="1:13" ht="12.75" customHeight="1" x14ac:dyDescent="0.25">
      <c r="A63720"/>
      <c r="B63720"/>
      <c r="C63720"/>
      <c r="M63720"/>
    </row>
    <row r="63721" spans="1:13" ht="12.75" customHeight="1" x14ac:dyDescent="0.25">
      <c r="A63721"/>
      <c r="B63721"/>
      <c r="C63721"/>
      <c r="M63721"/>
    </row>
    <row r="63722" spans="1:13" ht="12.75" customHeight="1" x14ac:dyDescent="0.25">
      <c r="A63722"/>
      <c r="B63722"/>
      <c r="C63722"/>
      <c r="M63722"/>
    </row>
    <row r="63723" spans="1:13" ht="12.75" customHeight="1" x14ac:dyDescent="0.25">
      <c r="A63723"/>
      <c r="B63723"/>
      <c r="C63723"/>
      <c r="M63723"/>
    </row>
    <row r="63724" spans="1:13" ht="12.75" customHeight="1" x14ac:dyDescent="0.25">
      <c r="A63724"/>
      <c r="B63724"/>
      <c r="C63724"/>
      <c r="M63724"/>
    </row>
    <row r="63725" spans="1:13" ht="12.75" customHeight="1" x14ac:dyDescent="0.25">
      <c r="A63725"/>
      <c r="B63725"/>
      <c r="C63725"/>
      <c r="M63725"/>
    </row>
    <row r="63726" spans="1:13" ht="12.75" customHeight="1" x14ac:dyDescent="0.25">
      <c r="A63726"/>
      <c r="B63726"/>
      <c r="C63726"/>
      <c r="M63726"/>
    </row>
    <row r="63727" spans="1:13" ht="12.75" customHeight="1" x14ac:dyDescent="0.25">
      <c r="A63727"/>
      <c r="B63727"/>
      <c r="C63727"/>
      <c r="M63727"/>
    </row>
    <row r="63728" spans="1:13" ht="12.75" customHeight="1" x14ac:dyDescent="0.25">
      <c r="A63728"/>
      <c r="B63728"/>
      <c r="C63728"/>
      <c r="M63728"/>
    </row>
    <row r="63729" spans="1:13" ht="12.75" customHeight="1" x14ac:dyDescent="0.25">
      <c r="A63729"/>
      <c r="B63729"/>
      <c r="C63729"/>
      <c r="M63729"/>
    </row>
    <row r="63730" spans="1:13" ht="12.75" customHeight="1" x14ac:dyDescent="0.25">
      <c r="A63730"/>
      <c r="B63730"/>
      <c r="C63730"/>
      <c r="M63730"/>
    </row>
    <row r="63731" spans="1:13" ht="12.75" customHeight="1" x14ac:dyDescent="0.25">
      <c r="A63731"/>
      <c r="B63731"/>
      <c r="C63731"/>
      <c r="M63731"/>
    </row>
    <row r="63732" spans="1:13" ht="12.75" customHeight="1" x14ac:dyDescent="0.25">
      <c r="A63732"/>
      <c r="B63732"/>
      <c r="C63732"/>
      <c r="M63732"/>
    </row>
    <row r="63733" spans="1:13" ht="12.75" customHeight="1" x14ac:dyDescent="0.25">
      <c r="A63733"/>
      <c r="B63733"/>
      <c r="C63733"/>
      <c r="M63733"/>
    </row>
    <row r="63734" spans="1:13" ht="12.75" customHeight="1" x14ac:dyDescent="0.25">
      <c r="A63734"/>
      <c r="B63734"/>
      <c r="C63734"/>
      <c r="M63734"/>
    </row>
    <row r="63735" spans="1:13" ht="12.75" customHeight="1" x14ac:dyDescent="0.25">
      <c r="A63735"/>
      <c r="B63735"/>
      <c r="C63735"/>
      <c r="M63735"/>
    </row>
    <row r="63736" spans="1:13" ht="12.75" customHeight="1" x14ac:dyDescent="0.25">
      <c r="A63736"/>
      <c r="B63736"/>
      <c r="C63736"/>
      <c r="M63736"/>
    </row>
    <row r="63737" spans="1:13" ht="12.75" customHeight="1" x14ac:dyDescent="0.25">
      <c r="A63737"/>
      <c r="B63737"/>
      <c r="C63737"/>
      <c r="M63737"/>
    </row>
    <row r="63738" spans="1:13" ht="12.75" customHeight="1" x14ac:dyDescent="0.25">
      <c r="A63738"/>
      <c r="B63738"/>
      <c r="C63738"/>
      <c r="M63738"/>
    </row>
    <row r="63739" spans="1:13" ht="12.75" customHeight="1" x14ac:dyDescent="0.25">
      <c r="A63739"/>
      <c r="B63739"/>
      <c r="C63739"/>
      <c r="M63739"/>
    </row>
    <row r="63740" spans="1:13" ht="12.75" customHeight="1" x14ac:dyDescent="0.25">
      <c r="A63740"/>
      <c r="B63740"/>
      <c r="C63740"/>
      <c r="M63740"/>
    </row>
    <row r="63741" spans="1:13" ht="12.75" customHeight="1" x14ac:dyDescent="0.25">
      <c r="A63741"/>
      <c r="B63741"/>
      <c r="C63741"/>
      <c r="M63741"/>
    </row>
    <row r="63742" spans="1:13" ht="12.75" customHeight="1" x14ac:dyDescent="0.25">
      <c r="A63742"/>
      <c r="B63742"/>
      <c r="C63742"/>
      <c r="M63742"/>
    </row>
    <row r="63743" spans="1:13" ht="12.75" customHeight="1" x14ac:dyDescent="0.25">
      <c r="A63743"/>
      <c r="B63743"/>
      <c r="C63743"/>
      <c r="M63743"/>
    </row>
    <row r="63744" spans="1:13" ht="12.75" customHeight="1" x14ac:dyDescent="0.25">
      <c r="A63744"/>
      <c r="B63744"/>
      <c r="C63744"/>
      <c r="M63744"/>
    </row>
    <row r="63745" spans="1:13" ht="12.75" customHeight="1" x14ac:dyDescent="0.25">
      <c r="A63745"/>
      <c r="B63745"/>
      <c r="C63745"/>
      <c r="M63745"/>
    </row>
    <row r="63746" spans="1:13" ht="12.75" customHeight="1" x14ac:dyDescent="0.25">
      <c r="A63746"/>
      <c r="B63746"/>
      <c r="C63746"/>
      <c r="M63746"/>
    </row>
    <row r="63747" spans="1:13" ht="12.75" customHeight="1" x14ac:dyDescent="0.25">
      <c r="A63747"/>
      <c r="B63747"/>
      <c r="C63747"/>
      <c r="M63747"/>
    </row>
    <row r="63748" spans="1:13" ht="12.75" customHeight="1" x14ac:dyDescent="0.25">
      <c r="A63748"/>
      <c r="B63748"/>
      <c r="C63748"/>
      <c r="M63748"/>
    </row>
    <row r="63749" spans="1:13" ht="12.75" customHeight="1" x14ac:dyDescent="0.25">
      <c r="A63749"/>
      <c r="B63749"/>
      <c r="C63749"/>
      <c r="M63749"/>
    </row>
    <row r="63750" spans="1:13" ht="12.75" customHeight="1" x14ac:dyDescent="0.25">
      <c r="A63750"/>
      <c r="B63750"/>
      <c r="C63750"/>
      <c r="M63750"/>
    </row>
    <row r="63751" spans="1:13" ht="12.75" customHeight="1" x14ac:dyDescent="0.25">
      <c r="A63751"/>
      <c r="B63751"/>
      <c r="C63751"/>
      <c r="M63751"/>
    </row>
    <row r="63752" spans="1:13" ht="12.75" customHeight="1" x14ac:dyDescent="0.25">
      <c r="A63752"/>
      <c r="B63752"/>
      <c r="C63752"/>
      <c r="M63752"/>
    </row>
    <row r="63753" spans="1:13" ht="12.75" customHeight="1" x14ac:dyDescent="0.25">
      <c r="A63753"/>
      <c r="B63753"/>
      <c r="C63753"/>
      <c r="M63753"/>
    </row>
    <row r="63754" spans="1:13" ht="12.75" customHeight="1" x14ac:dyDescent="0.25">
      <c r="A63754"/>
      <c r="B63754"/>
      <c r="C63754"/>
      <c r="M63754"/>
    </row>
    <row r="63755" spans="1:13" ht="12.75" customHeight="1" x14ac:dyDescent="0.25">
      <c r="A63755"/>
      <c r="B63755"/>
      <c r="C63755"/>
      <c r="M63755"/>
    </row>
    <row r="63756" spans="1:13" ht="12.75" customHeight="1" x14ac:dyDescent="0.25">
      <c r="A63756"/>
      <c r="B63756"/>
      <c r="C63756"/>
      <c r="M63756"/>
    </row>
    <row r="63757" spans="1:13" ht="12.75" customHeight="1" x14ac:dyDescent="0.25">
      <c r="A63757"/>
      <c r="B63757"/>
      <c r="C63757"/>
      <c r="M63757"/>
    </row>
    <row r="63758" spans="1:13" ht="12.75" customHeight="1" x14ac:dyDescent="0.25">
      <c r="A63758"/>
      <c r="B63758"/>
      <c r="C63758"/>
      <c r="M63758"/>
    </row>
    <row r="63759" spans="1:13" ht="12.75" customHeight="1" x14ac:dyDescent="0.25">
      <c r="A63759"/>
      <c r="B63759"/>
      <c r="C63759"/>
      <c r="M63759"/>
    </row>
    <row r="63760" spans="1:13" ht="12.75" customHeight="1" x14ac:dyDescent="0.25">
      <c r="A63760"/>
      <c r="B63760"/>
      <c r="C63760"/>
      <c r="M63760"/>
    </row>
    <row r="63761" spans="1:13" ht="12.75" customHeight="1" x14ac:dyDescent="0.25">
      <c r="A63761"/>
      <c r="B63761"/>
      <c r="C63761"/>
      <c r="M63761"/>
    </row>
    <row r="63762" spans="1:13" ht="12.75" customHeight="1" x14ac:dyDescent="0.25">
      <c r="A63762"/>
      <c r="B63762"/>
      <c r="C63762"/>
      <c r="M63762"/>
    </row>
    <row r="63763" spans="1:13" ht="12.75" customHeight="1" x14ac:dyDescent="0.25">
      <c r="A63763"/>
      <c r="B63763"/>
      <c r="C63763"/>
      <c r="M63763"/>
    </row>
    <row r="63764" spans="1:13" ht="12.75" customHeight="1" x14ac:dyDescent="0.25">
      <c r="A63764"/>
      <c r="B63764"/>
      <c r="C63764"/>
      <c r="M63764"/>
    </row>
    <row r="63765" spans="1:13" ht="12.75" customHeight="1" x14ac:dyDescent="0.25">
      <c r="A63765"/>
      <c r="B63765"/>
      <c r="C63765"/>
      <c r="M63765"/>
    </row>
    <row r="63766" spans="1:13" ht="12.75" customHeight="1" x14ac:dyDescent="0.25">
      <c r="A63766"/>
      <c r="B63766"/>
      <c r="C63766"/>
      <c r="M63766"/>
    </row>
    <row r="63767" spans="1:13" ht="12.75" customHeight="1" x14ac:dyDescent="0.25">
      <c r="A63767"/>
      <c r="B63767"/>
      <c r="C63767"/>
      <c r="M63767"/>
    </row>
    <row r="63768" spans="1:13" ht="12.75" customHeight="1" x14ac:dyDescent="0.25">
      <c r="A63768"/>
      <c r="B63768"/>
      <c r="C63768"/>
      <c r="M63768"/>
    </row>
    <row r="63769" spans="1:13" ht="12.75" customHeight="1" x14ac:dyDescent="0.25">
      <c r="A63769"/>
      <c r="B63769"/>
      <c r="C63769"/>
      <c r="M63769"/>
    </row>
    <row r="63770" spans="1:13" ht="12.75" customHeight="1" x14ac:dyDescent="0.25">
      <c r="A63770"/>
      <c r="B63770"/>
      <c r="C63770"/>
      <c r="M63770"/>
    </row>
    <row r="63771" spans="1:13" ht="12.75" customHeight="1" x14ac:dyDescent="0.25">
      <c r="A63771"/>
      <c r="B63771"/>
      <c r="C63771"/>
      <c r="M63771"/>
    </row>
    <row r="63772" spans="1:13" ht="12.75" customHeight="1" x14ac:dyDescent="0.25">
      <c r="A63772"/>
      <c r="B63772"/>
      <c r="C63772"/>
      <c r="M63772"/>
    </row>
    <row r="63773" spans="1:13" ht="12.75" customHeight="1" x14ac:dyDescent="0.25">
      <c r="A63773"/>
      <c r="B63773"/>
      <c r="C63773"/>
      <c r="M63773"/>
    </row>
    <row r="63774" spans="1:13" ht="12.75" customHeight="1" x14ac:dyDescent="0.25">
      <c r="A63774"/>
      <c r="B63774"/>
      <c r="C63774"/>
      <c r="M63774"/>
    </row>
    <row r="63775" spans="1:13" ht="12.75" customHeight="1" x14ac:dyDescent="0.25">
      <c r="A63775"/>
      <c r="B63775"/>
      <c r="C63775"/>
      <c r="M63775"/>
    </row>
    <row r="63776" spans="1:13" ht="12.75" customHeight="1" x14ac:dyDescent="0.25">
      <c r="A63776"/>
      <c r="B63776"/>
      <c r="C63776"/>
      <c r="M63776"/>
    </row>
    <row r="63777" spans="1:13" ht="12.75" customHeight="1" x14ac:dyDescent="0.25">
      <c r="A63777"/>
      <c r="B63777"/>
      <c r="C63777"/>
      <c r="M63777"/>
    </row>
    <row r="63778" spans="1:13" ht="12.75" customHeight="1" x14ac:dyDescent="0.25">
      <c r="A63778"/>
      <c r="B63778"/>
      <c r="C63778"/>
      <c r="M63778"/>
    </row>
    <row r="63779" spans="1:13" ht="12.75" customHeight="1" x14ac:dyDescent="0.25">
      <c r="A63779"/>
      <c r="B63779"/>
      <c r="C63779"/>
      <c r="M63779"/>
    </row>
    <row r="63780" spans="1:13" ht="12.75" customHeight="1" x14ac:dyDescent="0.25">
      <c r="A63780"/>
      <c r="B63780"/>
      <c r="C63780"/>
      <c r="M63780"/>
    </row>
    <row r="63781" spans="1:13" ht="12.75" customHeight="1" x14ac:dyDescent="0.25">
      <c r="A63781"/>
      <c r="B63781"/>
      <c r="C63781"/>
      <c r="M63781"/>
    </row>
    <row r="63782" spans="1:13" ht="12.75" customHeight="1" x14ac:dyDescent="0.25">
      <c r="A63782"/>
      <c r="B63782"/>
      <c r="C63782"/>
      <c r="M63782"/>
    </row>
    <row r="63783" spans="1:13" ht="12.75" customHeight="1" x14ac:dyDescent="0.25">
      <c r="A63783"/>
      <c r="B63783"/>
      <c r="C63783"/>
      <c r="M63783"/>
    </row>
    <row r="63784" spans="1:13" ht="12.75" customHeight="1" x14ac:dyDescent="0.25">
      <c r="A63784"/>
      <c r="B63784"/>
      <c r="C63784"/>
      <c r="M63784"/>
    </row>
    <row r="63785" spans="1:13" ht="12.75" customHeight="1" x14ac:dyDescent="0.25">
      <c r="A63785"/>
      <c r="B63785"/>
      <c r="C63785"/>
      <c r="M63785"/>
    </row>
    <row r="63786" spans="1:13" ht="12.75" customHeight="1" x14ac:dyDescent="0.25">
      <c r="A63786"/>
      <c r="B63786"/>
      <c r="C63786"/>
      <c r="M63786"/>
    </row>
    <row r="63787" spans="1:13" ht="12.75" customHeight="1" x14ac:dyDescent="0.25">
      <c r="A63787"/>
      <c r="B63787"/>
      <c r="C63787"/>
      <c r="M63787"/>
    </row>
    <row r="63788" spans="1:13" ht="12.75" customHeight="1" x14ac:dyDescent="0.25">
      <c r="A63788"/>
      <c r="B63788"/>
      <c r="C63788"/>
      <c r="M63788"/>
    </row>
    <row r="63789" spans="1:13" ht="12.75" customHeight="1" x14ac:dyDescent="0.25">
      <c r="A63789"/>
      <c r="B63789"/>
      <c r="C63789"/>
      <c r="M63789"/>
    </row>
    <row r="63790" spans="1:13" ht="12.75" customHeight="1" x14ac:dyDescent="0.25">
      <c r="A63790"/>
      <c r="B63790"/>
      <c r="C63790"/>
      <c r="M63790"/>
    </row>
    <row r="63791" spans="1:13" ht="12.75" customHeight="1" x14ac:dyDescent="0.25">
      <c r="A63791"/>
      <c r="B63791"/>
      <c r="C63791"/>
      <c r="M63791"/>
    </row>
    <row r="63792" spans="1:13" ht="12.75" customHeight="1" x14ac:dyDescent="0.25">
      <c r="A63792"/>
      <c r="B63792"/>
      <c r="C63792"/>
      <c r="M63792"/>
    </row>
    <row r="63793" spans="1:13" ht="12.75" customHeight="1" x14ac:dyDescent="0.25">
      <c r="A63793"/>
      <c r="B63793"/>
      <c r="C63793"/>
      <c r="M63793"/>
    </row>
    <row r="63794" spans="1:13" ht="12.75" customHeight="1" x14ac:dyDescent="0.25">
      <c r="A63794"/>
      <c r="B63794"/>
      <c r="C63794"/>
      <c r="M63794"/>
    </row>
    <row r="63795" spans="1:13" ht="12.75" customHeight="1" x14ac:dyDescent="0.25">
      <c r="A63795"/>
      <c r="B63795"/>
      <c r="C63795"/>
      <c r="M63795"/>
    </row>
    <row r="63796" spans="1:13" ht="12.75" customHeight="1" x14ac:dyDescent="0.25">
      <c r="A63796"/>
      <c r="B63796"/>
      <c r="C63796"/>
      <c r="M63796"/>
    </row>
    <row r="63797" spans="1:13" ht="12.75" customHeight="1" x14ac:dyDescent="0.25">
      <c r="A63797"/>
      <c r="B63797"/>
      <c r="C63797"/>
      <c r="M63797"/>
    </row>
    <row r="63798" spans="1:13" ht="12.75" customHeight="1" x14ac:dyDescent="0.25">
      <c r="A63798"/>
      <c r="B63798"/>
      <c r="C63798"/>
      <c r="M63798"/>
    </row>
    <row r="63799" spans="1:13" ht="12.75" customHeight="1" x14ac:dyDescent="0.25">
      <c r="A63799"/>
      <c r="B63799"/>
      <c r="C63799"/>
      <c r="M63799"/>
    </row>
    <row r="63800" spans="1:13" ht="12.75" customHeight="1" x14ac:dyDescent="0.25">
      <c r="A63800"/>
      <c r="B63800"/>
      <c r="C63800"/>
      <c r="M63800"/>
    </row>
    <row r="63801" spans="1:13" ht="12.75" customHeight="1" x14ac:dyDescent="0.25">
      <c r="A63801"/>
      <c r="B63801"/>
      <c r="C63801"/>
      <c r="M63801"/>
    </row>
    <row r="63802" spans="1:13" ht="12.75" customHeight="1" x14ac:dyDescent="0.25">
      <c r="A63802"/>
      <c r="B63802"/>
      <c r="C63802"/>
      <c r="M63802"/>
    </row>
    <row r="63803" spans="1:13" ht="12.75" customHeight="1" x14ac:dyDescent="0.25">
      <c r="A63803"/>
      <c r="B63803"/>
      <c r="C63803"/>
      <c r="M63803"/>
    </row>
    <row r="63804" spans="1:13" ht="12.75" customHeight="1" x14ac:dyDescent="0.25">
      <c r="A63804"/>
      <c r="B63804"/>
      <c r="C63804"/>
      <c r="M63804"/>
    </row>
    <row r="63805" spans="1:13" ht="12.75" customHeight="1" x14ac:dyDescent="0.25">
      <c r="A63805"/>
      <c r="B63805"/>
      <c r="C63805"/>
      <c r="M63805"/>
    </row>
    <row r="63806" spans="1:13" ht="12.75" customHeight="1" x14ac:dyDescent="0.25">
      <c r="A63806"/>
      <c r="B63806"/>
      <c r="C63806"/>
      <c r="M63806"/>
    </row>
    <row r="63807" spans="1:13" ht="12.75" customHeight="1" x14ac:dyDescent="0.25">
      <c r="A63807"/>
      <c r="B63807"/>
      <c r="C63807"/>
      <c r="M63807"/>
    </row>
    <row r="63808" spans="1:13" ht="12.75" customHeight="1" x14ac:dyDescent="0.25">
      <c r="A63808"/>
      <c r="B63808"/>
      <c r="C63808"/>
      <c r="M63808"/>
    </row>
    <row r="63809" spans="1:13" ht="12.75" customHeight="1" x14ac:dyDescent="0.25">
      <c r="A63809"/>
      <c r="B63809"/>
      <c r="C63809"/>
      <c r="M63809"/>
    </row>
    <row r="63810" spans="1:13" ht="12.75" customHeight="1" x14ac:dyDescent="0.25">
      <c r="A63810"/>
      <c r="B63810"/>
      <c r="C63810"/>
      <c r="M63810"/>
    </row>
    <row r="63811" spans="1:13" ht="12.75" customHeight="1" x14ac:dyDescent="0.25">
      <c r="A63811"/>
      <c r="B63811"/>
      <c r="C63811"/>
      <c r="M63811"/>
    </row>
    <row r="63812" spans="1:13" ht="12.75" customHeight="1" x14ac:dyDescent="0.25">
      <c r="A63812"/>
      <c r="B63812"/>
      <c r="C63812"/>
      <c r="M63812"/>
    </row>
    <row r="63813" spans="1:13" ht="12.75" customHeight="1" x14ac:dyDescent="0.25">
      <c r="A63813"/>
      <c r="B63813"/>
      <c r="C63813"/>
      <c r="M63813"/>
    </row>
    <row r="63814" spans="1:13" ht="12.75" customHeight="1" x14ac:dyDescent="0.25">
      <c r="A63814"/>
      <c r="B63814"/>
      <c r="C63814"/>
      <c r="M63814"/>
    </row>
    <row r="63815" spans="1:13" ht="12.75" customHeight="1" x14ac:dyDescent="0.25">
      <c r="A63815"/>
      <c r="B63815"/>
      <c r="C63815"/>
      <c r="M63815"/>
    </row>
    <row r="63816" spans="1:13" ht="12.75" customHeight="1" x14ac:dyDescent="0.25">
      <c r="A63816"/>
      <c r="B63816"/>
      <c r="C63816"/>
      <c r="M63816"/>
    </row>
    <row r="63817" spans="1:13" ht="12.75" customHeight="1" x14ac:dyDescent="0.25">
      <c r="A63817"/>
      <c r="B63817"/>
      <c r="C63817"/>
      <c r="M63817"/>
    </row>
    <row r="63818" spans="1:13" ht="12.75" customHeight="1" x14ac:dyDescent="0.25">
      <c r="A63818"/>
      <c r="B63818"/>
      <c r="C63818"/>
      <c r="M63818"/>
    </row>
    <row r="63819" spans="1:13" ht="12.75" customHeight="1" x14ac:dyDescent="0.25">
      <c r="A63819"/>
      <c r="B63819"/>
      <c r="C63819"/>
      <c r="M63819"/>
    </row>
    <row r="63820" spans="1:13" ht="12.75" customHeight="1" x14ac:dyDescent="0.25">
      <c r="A63820"/>
      <c r="B63820"/>
      <c r="C63820"/>
      <c r="M63820"/>
    </row>
    <row r="63821" spans="1:13" ht="12.75" customHeight="1" x14ac:dyDescent="0.25">
      <c r="A63821"/>
      <c r="B63821"/>
      <c r="C63821"/>
      <c r="M63821"/>
    </row>
    <row r="63822" spans="1:13" ht="12.75" customHeight="1" x14ac:dyDescent="0.25">
      <c r="A63822"/>
      <c r="B63822"/>
      <c r="C63822"/>
      <c r="M63822"/>
    </row>
    <row r="63823" spans="1:13" ht="12.75" customHeight="1" x14ac:dyDescent="0.25">
      <c r="A63823"/>
      <c r="B63823"/>
      <c r="C63823"/>
      <c r="M63823"/>
    </row>
    <row r="63824" spans="1:13" ht="12.75" customHeight="1" x14ac:dyDescent="0.25">
      <c r="A63824"/>
      <c r="B63824"/>
      <c r="C63824"/>
      <c r="M63824"/>
    </row>
    <row r="63825" spans="1:13" ht="12.75" customHeight="1" x14ac:dyDescent="0.25">
      <c r="A63825"/>
      <c r="B63825"/>
      <c r="C63825"/>
      <c r="M63825"/>
    </row>
    <row r="63826" spans="1:13" ht="12.75" customHeight="1" x14ac:dyDescent="0.25">
      <c r="A63826"/>
      <c r="B63826"/>
      <c r="C63826"/>
      <c r="M63826"/>
    </row>
    <row r="63827" spans="1:13" ht="12.75" customHeight="1" x14ac:dyDescent="0.25">
      <c r="A63827"/>
      <c r="B63827"/>
      <c r="C63827"/>
      <c r="M63827"/>
    </row>
    <row r="63828" spans="1:13" ht="12.75" customHeight="1" x14ac:dyDescent="0.25">
      <c r="A63828"/>
      <c r="B63828"/>
      <c r="C63828"/>
      <c r="M63828"/>
    </row>
    <row r="63829" spans="1:13" ht="12.75" customHeight="1" x14ac:dyDescent="0.25">
      <c r="A63829"/>
      <c r="B63829"/>
      <c r="C63829"/>
      <c r="M63829"/>
    </row>
    <row r="63830" spans="1:13" ht="12.75" customHeight="1" x14ac:dyDescent="0.25">
      <c r="A63830"/>
      <c r="B63830"/>
      <c r="C63830"/>
      <c r="M63830"/>
    </row>
    <row r="63831" spans="1:13" ht="12.75" customHeight="1" x14ac:dyDescent="0.25">
      <c r="A63831"/>
      <c r="B63831"/>
      <c r="C63831"/>
      <c r="M63831"/>
    </row>
    <row r="63832" spans="1:13" ht="12.75" customHeight="1" x14ac:dyDescent="0.25">
      <c r="A63832"/>
      <c r="B63832"/>
      <c r="C63832"/>
      <c r="M63832"/>
    </row>
    <row r="63833" spans="1:13" ht="12.75" customHeight="1" x14ac:dyDescent="0.25">
      <c r="A63833"/>
      <c r="B63833"/>
      <c r="C63833"/>
      <c r="M63833"/>
    </row>
    <row r="63834" spans="1:13" ht="12.75" customHeight="1" x14ac:dyDescent="0.25">
      <c r="A63834"/>
      <c r="B63834"/>
      <c r="C63834"/>
      <c r="M63834"/>
    </row>
    <row r="63835" spans="1:13" ht="12.75" customHeight="1" x14ac:dyDescent="0.25">
      <c r="A63835"/>
      <c r="B63835"/>
      <c r="C63835"/>
      <c r="M63835"/>
    </row>
    <row r="63836" spans="1:13" ht="12.75" customHeight="1" x14ac:dyDescent="0.25">
      <c r="A63836"/>
      <c r="B63836"/>
      <c r="C63836"/>
      <c r="M63836"/>
    </row>
    <row r="63837" spans="1:13" ht="12.75" customHeight="1" x14ac:dyDescent="0.25">
      <c r="A63837"/>
      <c r="B63837"/>
      <c r="C63837"/>
      <c r="M63837"/>
    </row>
    <row r="63838" spans="1:13" ht="12.75" customHeight="1" x14ac:dyDescent="0.25">
      <c r="A63838"/>
      <c r="B63838"/>
      <c r="C63838"/>
      <c r="M63838"/>
    </row>
    <row r="63839" spans="1:13" ht="12.75" customHeight="1" x14ac:dyDescent="0.25">
      <c r="A63839"/>
      <c r="B63839"/>
      <c r="C63839"/>
      <c r="M63839"/>
    </row>
    <row r="63840" spans="1:13" ht="12.75" customHeight="1" x14ac:dyDescent="0.25">
      <c r="A63840"/>
      <c r="B63840"/>
      <c r="C63840"/>
      <c r="M63840"/>
    </row>
    <row r="63841" spans="1:13" ht="12.75" customHeight="1" x14ac:dyDescent="0.25">
      <c r="A63841"/>
      <c r="B63841"/>
      <c r="C63841"/>
      <c r="M63841"/>
    </row>
    <row r="63842" spans="1:13" ht="12.75" customHeight="1" x14ac:dyDescent="0.25">
      <c r="A63842"/>
      <c r="B63842"/>
      <c r="C63842"/>
      <c r="M63842"/>
    </row>
    <row r="63843" spans="1:13" ht="12.75" customHeight="1" x14ac:dyDescent="0.25">
      <c r="A63843"/>
      <c r="B63843"/>
      <c r="C63843"/>
      <c r="M63843"/>
    </row>
    <row r="63844" spans="1:13" ht="12.75" customHeight="1" x14ac:dyDescent="0.25">
      <c r="A63844"/>
      <c r="B63844"/>
      <c r="C63844"/>
      <c r="M63844"/>
    </row>
    <row r="63845" spans="1:13" ht="12.75" customHeight="1" x14ac:dyDescent="0.25">
      <c r="A63845"/>
      <c r="B63845"/>
      <c r="C63845"/>
      <c r="M63845"/>
    </row>
    <row r="63846" spans="1:13" ht="12.75" customHeight="1" x14ac:dyDescent="0.25">
      <c r="A63846"/>
      <c r="B63846"/>
      <c r="C63846"/>
      <c r="M63846"/>
    </row>
    <row r="63847" spans="1:13" ht="12.75" customHeight="1" x14ac:dyDescent="0.25">
      <c r="A63847"/>
      <c r="B63847"/>
      <c r="C63847"/>
      <c r="M63847"/>
    </row>
    <row r="63848" spans="1:13" ht="12.75" customHeight="1" x14ac:dyDescent="0.25">
      <c r="A63848"/>
      <c r="B63848"/>
      <c r="C63848"/>
      <c r="M63848"/>
    </row>
    <row r="63849" spans="1:13" ht="12.75" customHeight="1" x14ac:dyDescent="0.25">
      <c r="A63849"/>
      <c r="B63849"/>
      <c r="C63849"/>
      <c r="M63849"/>
    </row>
    <row r="63850" spans="1:13" ht="12.75" customHeight="1" x14ac:dyDescent="0.25">
      <c r="A63850"/>
      <c r="B63850"/>
      <c r="C63850"/>
      <c r="M63850"/>
    </row>
    <row r="63851" spans="1:13" ht="12.75" customHeight="1" x14ac:dyDescent="0.25">
      <c r="A63851"/>
      <c r="B63851"/>
      <c r="C63851"/>
      <c r="M63851"/>
    </row>
    <row r="63852" spans="1:13" ht="12.75" customHeight="1" x14ac:dyDescent="0.25">
      <c r="A63852"/>
      <c r="B63852"/>
      <c r="C63852"/>
      <c r="M63852"/>
    </row>
    <row r="63853" spans="1:13" ht="12.75" customHeight="1" x14ac:dyDescent="0.25">
      <c r="A63853"/>
      <c r="B63853"/>
      <c r="C63853"/>
      <c r="M63853"/>
    </row>
    <row r="63854" spans="1:13" ht="12.75" customHeight="1" x14ac:dyDescent="0.25">
      <c r="A63854"/>
      <c r="B63854"/>
      <c r="C63854"/>
      <c r="M63854"/>
    </row>
    <row r="63855" spans="1:13" ht="12.75" customHeight="1" x14ac:dyDescent="0.25">
      <c r="A63855"/>
      <c r="B63855"/>
      <c r="C63855"/>
      <c r="M63855"/>
    </row>
    <row r="63856" spans="1:13" ht="12.75" customHeight="1" x14ac:dyDescent="0.25">
      <c r="A63856"/>
      <c r="B63856"/>
      <c r="C63856"/>
      <c r="M63856"/>
    </row>
    <row r="63857" spans="1:13" ht="12.75" customHeight="1" x14ac:dyDescent="0.25">
      <c r="A63857"/>
      <c r="B63857"/>
      <c r="C63857"/>
      <c r="M63857"/>
    </row>
    <row r="63858" spans="1:13" ht="12.75" customHeight="1" x14ac:dyDescent="0.25">
      <c r="A63858"/>
      <c r="B63858"/>
      <c r="C63858"/>
      <c r="M63858"/>
    </row>
    <row r="63859" spans="1:13" ht="12.75" customHeight="1" x14ac:dyDescent="0.25">
      <c r="A63859"/>
      <c r="B63859"/>
      <c r="C63859"/>
      <c r="M63859"/>
    </row>
    <row r="63860" spans="1:13" ht="12.75" customHeight="1" x14ac:dyDescent="0.25">
      <c r="A63860"/>
      <c r="B63860"/>
      <c r="C63860"/>
      <c r="M63860"/>
    </row>
    <row r="63861" spans="1:13" ht="12.75" customHeight="1" x14ac:dyDescent="0.25">
      <c r="A63861"/>
      <c r="B63861"/>
      <c r="C63861"/>
      <c r="M63861"/>
    </row>
    <row r="63862" spans="1:13" ht="12.75" customHeight="1" x14ac:dyDescent="0.25">
      <c r="A63862"/>
      <c r="B63862"/>
      <c r="C63862"/>
      <c r="M63862"/>
    </row>
    <row r="63863" spans="1:13" ht="12.75" customHeight="1" x14ac:dyDescent="0.25">
      <c r="A63863"/>
      <c r="B63863"/>
      <c r="C63863"/>
      <c r="M63863"/>
    </row>
    <row r="63864" spans="1:13" ht="12.75" customHeight="1" x14ac:dyDescent="0.25">
      <c r="A63864"/>
      <c r="B63864"/>
      <c r="C63864"/>
      <c r="M63864"/>
    </row>
    <row r="63865" spans="1:13" ht="12.75" customHeight="1" x14ac:dyDescent="0.25">
      <c r="A63865"/>
      <c r="B63865"/>
      <c r="C63865"/>
      <c r="M63865"/>
    </row>
    <row r="63866" spans="1:13" ht="12.75" customHeight="1" x14ac:dyDescent="0.25">
      <c r="A63866"/>
      <c r="B63866"/>
      <c r="C63866"/>
      <c r="M63866"/>
    </row>
    <row r="63867" spans="1:13" ht="12.75" customHeight="1" x14ac:dyDescent="0.25">
      <c r="A63867"/>
      <c r="B63867"/>
      <c r="C63867"/>
      <c r="M63867"/>
    </row>
    <row r="63868" spans="1:13" ht="12.75" customHeight="1" x14ac:dyDescent="0.25">
      <c r="A63868"/>
      <c r="B63868"/>
      <c r="C63868"/>
      <c r="M63868"/>
    </row>
    <row r="63869" spans="1:13" ht="12.75" customHeight="1" x14ac:dyDescent="0.25">
      <c r="A63869"/>
      <c r="B63869"/>
      <c r="C63869"/>
      <c r="M63869"/>
    </row>
    <row r="63870" spans="1:13" ht="12.75" customHeight="1" x14ac:dyDescent="0.25">
      <c r="A63870"/>
      <c r="B63870"/>
      <c r="C63870"/>
      <c r="M63870"/>
    </row>
    <row r="63871" spans="1:13" ht="12.75" customHeight="1" x14ac:dyDescent="0.25">
      <c r="A63871"/>
      <c r="B63871"/>
      <c r="C63871"/>
      <c r="M63871"/>
    </row>
    <row r="63872" spans="1:13" ht="12.75" customHeight="1" x14ac:dyDescent="0.25">
      <c r="A63872"/>
      <c r="B63872"/>
      <c r="C63872"/>
      <c r="M63872"/>
    </row>
    <row r="63873" spans="1:13" ht="12.75" customHeight="1" x14ac:dyDescent="0.25">
      <c r="A63873"/>
      <c r="B63873"/>
      <c r="C63873"/>
      <c r="M63873"/>
    </row>
    <row r="63874" spans="1:13" ht="12.75" customHeight="1" x14ac:dyDescent="0.25">
      <c r="A63874"/>
      <c r="B63874"/>
      <c r="C63874"/>
      <c r="M63874"/>
    </row>
    <row r="63875" spans="1:13" ht="12.75" customHeight="1" x14ac:dyDescent="0.25">
      <c r="A63875"/>
      <c r="B63875"/>
      <c r="C63875"/>
      <c r="M63875"/>
    </row>
    <row r="63876" spans="1:13" ht="12.75" customHeight="1" x14ac:dyDescent="0.25">
      <c r="A63876"/>
      <c r="B63876"/>
      <c r="C63876"/>
      <c r="M63876"/>
    </row>
    <row r="63877" spans="1:13" ht="12.75" customHeight="1" x14ac:dyDescent="0.25">
      <c r="A63877"/>
      <c r="B63877"/>
      <c r="C63877"/>
      <c r="M63877"/>
    </row>
    <row r="63878" spans="1:13" ht="12.75" customHeight="1" x14ac:dyDescent="0.25">
      <c r="A63878"/>
      <c r="B63878"/>
      <c r="C63878"/>
      <c r="M63878"/>
    </row>
    <row r="63879" spans="1:13" ht="12.75" customHeight="1" x14ac:dyDescent="0.25">
      <c r="A63879"/>
      <c r="B63879"/>
      <c r="C63879"/>
      <c r="M63879"/>
    </row>
    <row r="63880" spans="1:13" ht="12.75" customHeight="1" x14ac:dyDescent="0.25">
      <c r="A63880"/>
      <c r="B63880"/>
      <c r="C63880"/>
      <c r="M63880"/>
    </row>
    <row r="63881" spans="1:13" ht="12.75" customHeight="1" x14ac:dyDescent="0.25">
      <c r="A63881"/>
      <c r="B63881"/>
      <c r="C63881"/>
      <c r="M63881"/>
    </row>
    <row r="63882" spans="1:13" ht="12.75" customHeight="1" x14ac:dyDescent="0.25">
      <c r="A63882"/>
      <c r="B63882"/>
      <c r="C63882"/>
      <c r="M63882"/>
    </row>
    <row r="63883" spans="1:13" ht="12.75" customHeight="1" x14ac:dyDescent="0.25">
      <c r="A63883"/>
      <c r="B63883"/>
      <c r="C63883"/>
      <c r="M63883"/>
    </row>
    <row r="63884" spans="1:13" ht="12.75" customHeight="1" x14ac:dyDescent="0.25">
      <c r="A63884"/>
      <c r="B63884"/>
      <c r="C63884"/>
      <c r="M63884"/>
    </row>
    <row r="63885" spans="1:13" ht="12.75" customHeight="1" x14ac:dyDescent="0.25">
      <c r="A63885"/>
      <c r="B63885"/>
      <c r="C63885"/>
      <c r="M63885"/>
    </row>
    <row r="63886" spans="1:13" ht="12.75" customHeight="1" x14ac:dyDescent="0.25">
      <c r="A63886"/>
      <c r="B63886"/>
      <c r="C63886"/>
      <c r="M63886"/>
    </row>
    <row r="63887" spans="1:13" ht="12.75" customHeight="1" x14ac:dyDescent="0.25">
      <c r="A63887"/>
      <c r="B63887"/>
      <c r="C63887"/>
      <c r="M63887"/>
    </row>
    <row r="63888" spans="1:13" ht="12.75" customHeight="1" x14ac:dyDescent="0.25">
      <c r="A63888"/>
      <c r="B63888"/>
      <c r="C63888"/>
      <c r="M63888"/>
    </row>
    <row r="63889" spans="1:13" ht="12.75" customHeight="1" x14ac:dyDescent="0.25">
      <c r="A63889"/>
      <c r="B63889"/>
      <c r="C63889"/>
      <c r="M63889"/>
    </row>
    <row r="63890" spans="1:13" ht="12.75" customHeight="1" x14ac:dyDescent="0.25">
      <c r="A63890"/>
      <c r="B63890"/>
      <c r="C63890"/>
      <c r="M63890"/>
    </row>
    <row r="63891" spans="1:13" ht="12.75" customHeight="1" x14ac:dyDescent="0.25">
      <c r="A63891"/>
      <c r="B63891"/>
      <c r="C63891"/>
      <c r="M63891"/>
    </row>
    <row r="63892" spans="1:13" ht="12.75" customHeight="1" x14ac:dyDescent="0.25">
      <c r="A63892"/>
      <c r="B63892"/>
      <c r="C63892"/>
      <c r="M63892"/>
    </row>
    <row r="63893" spans="1:13" ht="12.75" customHeight="1" x14ac:dyDescent="0.25">
      <c r="A63893"/>
      <c r="B63893"/>
      <c r="C63893"/>
      <c r="M63893"/>
    </row>
    <row r="63894" spans="1:13" ht="12.75" customHeight="1" x14ac:dyDescent="0.25">
      <c r="A63894"/>
      <c r="B63894"/>
      <c r="C63894"/>
      <c r="M63894"/>
    </row>
    <row r="63895" spans="1:13" ht="12.75" customHeight="1" x14ac:dyDescent="0.25">
      <c r="A63895"/>
      <c r="B63895"/>
      <c r="C63895"/>
      <c r="M63895"/>
    </row>
    <row r="63896" spans="1:13" ht="12.75" customHeight="1" x14ac:dyDescent="0.25">
      <c r="A63896"/>
      <c r="B63896"/>
      <c r="C63896"/>
      <c r="M63896"/>
    </row>
    <row r="63897" spans="1:13" ht="12.75" customHeight="1" x14ac:dyDescent="0.25">
      <c r="A63897"/>
      <c r="B63897"/>
      <c r="C63897"/>
      <c r="M63897"/>
    </row>
    <row r="63898" spans="1:13" ht="12.75" customHeight="1" x14ac:dyDescent="0.25">
      <c r="A63898"/>
      <c r="B63898"/>
      <c r="C63898"/>
      <c r="M63898"/>
    </row>
    <row r="63899" spans="1:13" ht="12.75" customHeight="1" x14ac:dyDescent="0.25">
      <c r="A63899"/>
      <c r="B63899"/>
      <c r="C63899"/>
      <c r="M63899"/>
    </row>
    <row r="63900" spans="1:13" ht="12.75" customHeight="1" x14ac:dyDescent="0.25">
      <c r="A63900"/>
      <c r="B63900"/>
      <c r="C63900"/>
      <c r="M63900"/>
    </row>
    <row r="63901" spans="1:13" ht="12.75" customHeight="1" x14ac:dyDescent="0.25">
      <c r="A63901"/>
      <c r="B63901"/>
      <c r="C63901"/>
      <c r="M63901"/>
    </row>
    <row r="63902" spans="1:13" ht="12.75" customHeight="1" x14ac:dyDescent="0.25">
      <c r="A63902"/>
      <c r="B63902"/>
      <c r="C63902"/>
      <c r="M63902"/>
    </row>
    <row r="63903" spans="1:13" ht="12.75" customHeight="1" x14ac:dyDescent="0.25">
      <c r="A63903"/>
      <c r="B63903"/>
      <c r="C63903"/>
      <c r="M63903"/>
    </row>
    <row r="63904" spans="1:13" ht="12.75" customHeight="1" x14ac:dyDescent="0.25">
      <c r="A63904"/>
      <c r="B63904"/>
      <c r="C63904"/>
      <c r="M63904"/>
    </row>
    <row r="63905" spans="1:13" ht="12.75" customHeight="1" x14ac:dyDescent="0.25">
      <c r="A63905"/>
      <c r="B63905"/>
      <c r="C63905"/>
      <c r="M63905"/>
    </row>
    <row r="63906" spans="1:13" ht="12.75" customHeight="1" x14ac:dyDescent="0.25">
      <c r="A63906"/>
      <c r="B63906"/>
      <c r="C63906"/>
      <c r="M63906"/>
    </row>
    <row r="63907" spans="1:13" ht="12.75" customHeight="1" x14ac:dyDescent="0.25">
      <c r="A63907"/>
      <c r="B63907"/>
      <c r="C63907"/>
      <c r="M63907"/>
    </row>
    <row r="63908" spans="1:13" ht="12.75" customHeight="1" x14ac:dyDescent="0.25">
      <c r="A63908"/>
      <c r="B63908"/>
      <c r="C63908"/>
      <c r="M63908"/>
    </row>
    <row r="63909" spans="1:13" ht="12.75" customHeight="1" x14ac:dyDescent="0.25">
      <c r="A63909"/>
      <c r="B63909"/>
      <c r="C63909"/>
      <c r="M63909"/>
    </row>
    <row r="63910" spans="1:13" ht="12.75" customHeight="1" x14ac:dyDescent="0.25">
      <c r="A63910"/>
      <c r="B63910"/>
      <c r="C63910"/>
      <c r="M63910"/>
    </row>
    <row r="63911" spans="1:13" ht="12.75" customHeight="1" x14ac:dyDescent="0.25">
      <c r="A63911"/>
      <c r="B63911"/>
      <c r="C63911"/>
      <c r="M63911"/>
    </row>
    <row r="63912" spans="1:13" ht="12.75" customHeight="1" x14ac:dyDescent="0.25">
      <c r="A63912"/>
      <c r="B63912"/>
      <c r="C63912"/>
      <c r="M63912"/>
    </row>
    <row r="63913" spans="1:13" ht="12.75" customHeight="1" x14ac:dyDescent="0.25">
      <c r="A63913"/>
      <c r="B63913"/>
      <c r="C63913"/>
      <c r="M63913"/>
    </row>
    <row r="63914" spans="1:13" ht="12.75" customHeight="1" x14ac:dyDescent="0.25">
      <c r="A63914"/>
      <c r="B63914"/>
      <c r="C63914"/>
      <c r="M63914"/>
    </row>
    <row r="63915" spans="1:13" ht="12.75" customHeight="1" x14ac:dyDescent="0.25">
      <c r="A63915"/>
      <c r="B63915"/>
      <c r="C63915"/>
      <c r="M63915"/>
    </row>
    <row r="63916" spans="1:13" ht="12.75" customHeight="1" x14ac:dyDescent="0.25">
      <c r="A63916"/>
      <c r="B63916"/>
      <c r="C63916"/>
      <c r="M63916"/>
    </row>
    <row r="63917" spans="1:13" ht="12.75" customHeight="1" x14ac:dyDescent="0.25">
      <c r="A63917"/>
      <c r="B63917"/>
      <c r="C63917"/>
      <c r="M63917"/>
    </row>
    <row r="63918" spans="1:13" ht="12.75" customHeight="1" x14ac:dyDescent="0.25">
      <c r="A63918"/>
      <c r="B63918"/>
      <c r="C63918"/>
      <c r="M63918"/>
    </row>
    <row r="63919" spans="1:13" ht="12.75" customHeight="1" x14ac:dyDescent="0.25">
      <c r="A63919"/>
      <c r="B63919"/>
      <c r="C63919"/>
      <c r="M63919"/>
    </row>
    <row r="63920" spans="1:13" ht="12.75" customHeight="1" x14ac:dyDescent="0.25">
      <c r="A63920"/>
      <c r="B63920"/>
      <c r="C63920"/>
      <c r="M63920"/>
    </row>
    <row r="63921" spans="1:13" ht="12.75" customHeight="1" x14ac:dyDescent="0.25">
      <c r="A63921"/>
      <c r="B63921"/>
      <c r="C63921"/>
      <c r="M63921"/>
    </row>
    <row r="63922" spans="1:13" ht="12.75" customHeight="1" x14ac:dyDescent="0.25">
      <c r="A63922"/>
      <c r="B63922"/>
      <c r="C63922"/>
      <c r="M63922"/>
    </row>
    <row r="63923" spans="1:13" ht="12.75" customHeight="1" x14ac:dyDescent="0.25">
      <c r="A63923"/>
      <c r="B63923"/>
      <c r="C63923"/>
      <c r="M63923"/>
    </row>
    <row r="63924" spans="1:13" ht="12.75" customHeight="1" x14ac:dyDescent="0.25">
      <c r="A63924"/>
      <c r="B63924"/>
      <c r="C63924"/>
      <c r="M63924"/>
    </row>
    <row r="63925" spans="1:13" ht="12.75" customHeight="1" x14ac:dyDescent="0.25">
      <c r="A63925"/>
      <c r="B63925"/>
      <c r="C63925"/>
      <c r="M63925"/>
    </row>
    <row r="63926" spans="1:13" ht="12.75" customHeight="1" x14ac:dyDescent="0.25">
      <c r="A63926"/>
      <c r="B63926"/>
      <c r="C63926"/>
      <c r="M63926"/>
    </row>
    <row r="63927" spans="1:13" ht="12.75" customHeight="1" x14ac:dyDescent="0.25">
      <c r="A63927"/>
      <c r="B63927"/>
      <c r="C63927"/>
      <c r="M63927"/>
    </row>
    <row r="63928" spans="1:13" ht="12.75" customHeight="1" x14ac:dyDescent="0.25">
      <c r="A63928"/>
      <c r="B63928"/>
      <c r="C63928"/>
      <c r="M63928"/>
    </row>
    <row r="63929" spans="1:13" ht="12.75" customHeight="1" x14ac:dyDescent="0.25">
      <c r="A63929"/>
      <c r="B63929"/>
      <c r="C63929"/>
      <c r="M63929"/>
    </row>
    <row r="63930" spans="1:13" ht="12.75" customHeight="1" x14ac:dyDescent="0.25">
      <c r="A63930"/>
      <c r="B63930"/>
      <c r="C63930"/>
      <c r="M63930"/>
    </row>
    <row r="63931" spans="1:13" ht="12.75" customHeight="1" x14ac:dyDescent="0.25">
      <c r="A63931"/>
      <c r="B63931"/>
      <c r="C63931"/>
      <c r="M63931"/>
    </row>
    <row r="63932" spans="1:13" ht="12.75" customHeight="1" x14ac:dyDescent="0.25">
      <c r="A63932"/>
      <c r="B63932"/>
      <c r="C63932"/>
      <c r="M63932"/>
    </row>
    <row r="63933" spans="1:13" ht="12.75" customHeight="1" x14ac:dyDescent="0.25">
      <c r="A63933"/>
      <c r="B63933"/>
      <c r="C63933"/>
      <c r="M63933"/>
    </row>
    <row r="63934" spans="1:13" ht="12.75" customHeight="1" x14ac:dyDescent="0.25">
      <c r="A63934"/>
      <c r="B63934"/>
      <c r="C63934"/>
      <c r="M63934"/>
    </row>
    <row r="63935" spans="1:13" ht="12.75" customHeight="1" x14ac:dyDescent="0.25">
      <c r="A63935"/>
      <c r="B63935"/>
      <c r="C63935"/>
      <c r="M63935"/>
    </row>
    <row r="63936" spans="1:13" ht="12.75" customHeight="1" x14ac:dyDescent="0.25">
      <c r="A63936"/>
      <c r="B63936"/>
      <c r="C63936"/>
      <c r="M63936"/>
    </row>
    <row r="63937" spans="1:13" ht="12.75" customHeight="1" x14ac:dyDescent="0.25">
      <c r="A63937"/>
      <c r="B63937"/>
      <c r="C63937"/>
      <c r="M63937"/>
    </row>
    <row r="63938" spans="1:13" ht="12.75" customHeight="1" x14ac:dyDescent="0.25">
      <c r="A63938"/>
      <c r="B63938"/>
      <c r="C63938"/>
      <c r="M63938"/>
    </row>
    <row r="63939" spans="1:13" ht="12.75" customHeight="1" x14ac:dyDescent="0.25">
      <c r="A63939"/>
      <c r="B63939"/>
      <c r="C63939"/>
      <c r="M63939"/>
    </row>
    <row r="63940" spans="1:13" ht="12.75" customHeight="1" x14ac:dyDescent="0.25">
      <c r="A63940"/>
      <c r="B63940"/>
      <c r="C63940"/>
      <c r="M63940"/>
    </row>
    <row r="63941" spans="1:13" ht="12.75" customHeight="1" x14ac:dyDescent="0.25">
      <c r="A63941"/>
      <c r="B63941"/>
      <c r="C63941"/>
      <c r="M63941"/>
    </row>
    <row r="63942" spans="1:13" ht="12.75" customHeight="1" x14ac:dyDescent="0.25">
      <c r="A63942"/>
      <c r="B63942"/>
      <c r="C63942"/>
      <c r="M63942"/>
    </row>
    <row r="63943" spans="1:13" ht="12.75" customHeight="1" x14ac:dyDescent="0.25">
      <c r="A63943"/>
      <c r="B63943"/>
      <c r="C63943"/>
      <c r="M63943"/>
    </row>
    <row r="63944" spans="1:13" ht="12.75" customHeight="1" x14ac:dyDescent="0.25">
      <c r="A63944"/>
      <c r="B63944"/>
      <c r="C63944"/>
      <c r="M63944"/>
    </row>
    <row r="63945" spans="1:13" ht="12.75" customHeight="1" x14ac:dyDescent="0.25">
      <c r="A63945"/>
      <c r="B63945"/>
      <c r="C63945"/>
      <c r="M63945"/>
    </row>
    <row r="63946" spans="1:13" ht="12.75" customHeight="1" x14ac:dyDescent="0.25">
      <c r="A63946"/>
      <c r="B63946"/>
      <c r="C63946"/>
      <c r="M63946"/>
    </row>
    <row r="63947" spans="1:13" ht="12.75" customHeight="1" x14ac:dyDescent="0.25">
      <c r="A63947"/>
      <c r="B63947"/>
      <c r="C63947"/>
      <c r="M63947"/>
    </row>
    <row r="63948" spans="1:13" ht="12.75" customHeight="1" x14ac:dyDescent="0.25">
      <c r="A63948"/>
      <c r="B63948"/>
      <c r="C63948"/>
      <c r="M63948"/>
    </row>
    <row r="63949" spans="1:13" ht="12.75" customHeight="1" x14ac:dyDescent="0.25">
      <c r="A63949"/>
      <c r="B63949"/>
      <c r="C63949"/>
      <c r="M63949"/>
    </row>
    <row r="63950" spans="1:13" ht="12.75" customHeight="1" x14ac:dyDescent="0.25">
      <c r="A63950"/>
      <c r="B63950"/>
      <c r="C63950"/>
      <c r="M63950"/>
    </row>
    <row r="63951" spans="1:13" ht="12.75" customHeight="1" x14ac:dyDescent="0.25">
      <c r="A63951"/>
      <c r="B63951"/>
      <c r="C63951"/>
      <c r="M63951"/>
    </row>
    <row r="63952" spans="1:13" ht="12.75" customHeight="1" x14ac:dyDescent="0.25">
      <c r="A63952"/>
      <c r="B63952"/>
      <c r="C63952"/>
      <c r="M63952"/>
    </row>
    <row r="63953" spans="1:13" ht="12.75" customHeight="1" x14ac:dyDescent="0.25">
      <c r="A63953"/>
      <c r="B63953"/>
      <c r="C63953"/>
      <c r="M63953"/>
    </row>
    <row r="63954" spans="1:13" ht="12.75" customHeight="1" x14ac:dyDescent="0.25">
      <c r="A63954"/>
      <c r="B63954"/>
      <c r="C63954"/>
      <c r="M63954"/>
    </row>
    <row r="63955" spans="1:13" ht="12.75" customHeight="1" x14ac:dyDescent="0.25">
      <c r="A63955"/>
      <c r="B63955"/>
      <c r="C63955"/>
      <c r="M63955"/>
    </row>
    <row r="63956" spans="1:13" ht="12.75" customHeight="1" x14ac:dyDescent="0.25">
      <c r="A63956"/>
      <c r="B63956"/>
      <c r="C63956"/>
      <c r="M63956"/>
    </row>
    <row r="63957" spans="1:13" ht="12.75" customHeight="1" x14ac:dyDescent="0.25">
      <c r="A63957"/>
      <c r="B63957"/>
      <c r="C63957"/>
      <c r="M63957"/>
    </row>
    <row r="63958" spans="1:13" ht="12.75" customHeight="1" x14ac:dyDescent="0.25">
      <c r="A63958"/>
      <c r="B63958"/>
      <c r="C63958"/>
      <c r="M63958"/>
    </row>
    <row r="63959" spans="1:13" ht="12.75" customHeight="1" x14ac:dyDescent="0.25">
      <c r="A63959"/>
      <c r="B63959"/>
      <c r="C63959"/>
      <c r="M63959"/>
    </row>
    <row r="63960" spans="1:13" ht="12.75" customHeight="1" x14ac:dyDescent="0.25">
      <c r="A63960"/>
      <c r="B63960"/>
      <c r="C63960"/>
      <c r="M63960"/>
    </row>
    <row r="63961" spans="1:13" ht="12.75" customHeight="1" x14ac:dyDescent="0.25">
      <c r="A63961"/>
      <c r="B63961"/>
      <c r="C63961"/>
      <c r="M63961"/>
    </row>
    <row r="63962" spans="1:13" ht="12.75" customHeight="1" x14ac:dyDescent="0.25">
      <c r="A63962"/>
      <c r="B63962"/>
      <c r="C63962"/>
      <c r="M63962"/>
    </row>
    <row r="63963" spans="1:13" ht="12.75" customHeight="1" x14ac:dyDescent="0.25">
      <c r="A63963"/>
      <c r="B63963"/>
      <c r="C63963"/>
      <c r="M63963"/>
    </row>
    <row r="63964" spans="1:13" ht="12.75" customHeight="1" x14ac:dyDescent="0.25">
      <c r="A63964"/>
      <c r="B63964"/>
      <c r="C63964"/>
      <c r="M63964"/>
    </row>
    <row r="63965" spans="1:13" ht="12.75" customHeight="1" x14ac:dyDescent="0.25">
      <c r="A63965"/>
      <c r="B63965"/>
      <c r="C63965"/>
      <c r="M63965"/>
    </row>
    <row r="63966" spans="1:13" ht="12.75" customHeight="1" x14ac:dyDescent="0.25">
      <c r="A63966"/>
      <c r="B63966"/>
      <c r="C63966"/>
      <c r="M63966"/>
    </row>
    <row r="63967" spans="1:13" ht="12.75" customHeight="1" x14ac:dyDescent="0.25">
      <c r="A63967"/>
      <c r="B63967"/>
      <c r="C63967"/>
      <c r="M63967"/>
    </row>
    <row r="63968" spans="1:13" ht="12.75" customHeight="1" x14ac:dyDescent="0.25">
      <c r="A63968"/>
      <c r="B63968"/>
      <c r="C63968"/>
      <c r="M63968"/>
    </row>
    <row r="63969" spans="1:13" ht="12.75" customHeight="1" x14ac:dyDescent="0.25">
      <c r="A63969"/>
      <c r="B63969"/>
      <c r="C63969"/>
      <c r="M63969"/>
    </row>
    <row r="63970" spans="1:13" ht="12.75" customHeight="1" x14ac:dyDescent="0.25">
      <c r="A63970"/>
      <c r="B63970"/>
      <c r="C63970"/>
      <c r="M63970"/>
    </row>
    <row r="63971" spans="1:13" ht="12.75" customHeight="1" x14ac:dyDescent="0.25">
      <c r="A63971"/>
      <c r="B63971"/>
      <c r="C63971"/>
      <c r="M63971"/>
    </row>
    <row r="63972" spans="1:13" ht="12.75" customHeight="1" x14ac:dyDescent="0.25">
      <c r="A63972"/>
      <c r="B63972"/>
      <c r="C63972"/>
      <c r="M63972"/>
    </row>
    <row r="63973" spans="1:13" ht="12.75" customHeight="1" x14ac:dyDescent="0.25">
      <c r="A63973"/>
      <c r="B63973"/>
      <c r="C63973"/>
      <c r="M63973"/>
    </row>
    <row r="63974" spans="1:13" ht="12.75" customHeight="1" x14ac:dyDescent="0.25">
      <c r="A63974"/>
      <c r="B63974"/>
      <c r="C63974"/>
      <c r="M63974"/>
    </row>
    <row r="63975" spans="1:13" ht="12.75" customHeight="1" x14ac:dyDescent="0.25">
      <c r="A63975"/>
      <c r="B63975"/>
      <c r="C63975"/>
      <c r="M63975"/>
    </row>
    <row r="63976" spans="1:13" ht="12.75" customHeight="1" x14ac:dyDescent="0.25">
      <c r="A63976"/>
      <c r="B63976"/>
      <c r="C63976"/>
      <c r="M63976"/>
    </row>
    <row r="63977" spans="1:13" ht="12.75" customHeight="1" x14ac:dyDescent="0.25">
      <c r="A63977"/>
      <c r="B63977"/>
      <c r="C63977"/>
      <c r="M63977"/>
    </row>
    <row r="63978" spans="1:13" ht="12.75" customHeight="1" x14ac:dyDescent="0.25">
      <c r="A63978"/>
      <c r="B63978"/>
      <c r="C63978"/>
      <c r="M63978"/>
    </row>
    <row r="63979" spans="1:13" ht="12.75" customHeight="1" x14ac:dyDescent="0.25">
      <c r="A63979"/>
      <c r="B63979"/>
      <c r="C63979"/>
      <c r="M63979"/>
    </row>
    <row r="63980" spans="1:13" ht="12.75" customHeight="1" x14ac:dyDescent="0.25">
      <c r="A63980"/>
      <c r="B63980"/>
      <c r="C63980"/>
      <c r="M63980"/>
    </row>
    <row r="63981" spans="1:13" ht="12.75" customHeight="1" x14ac:dyDescent="0.25">
      <c r="A63981"/>
      <c r="B63981"/>
      <c r="C63981"/>
      <c r="M63981"/>
    </row>
    <row r="63982" spans="1:13" ht="12.75" customHeight="1" x14ac:dyDescent="0.25">
      <c r="A63982"/>
      <c r="B63982"/>
      <c r="C63982"/>
      <c r="M63982"/>
    </row>
    <row r="63983" spans="1:13" ht="12.75" customHeight="1" x14ac:dyDescent="0.25">
      <c r="A63983"/>
      <c r="B63983"/>
      <c r="C63983"/>
      <c r="M63983"/>
    </row>
    <row r="63984" spans="1:13" ht="12.75" customHeight="1" x14ac:dyDescent="0.25">
      <c r="A63984"/>
      <c r="B63984"/>
      <c r="C63984"/>
      <c r="M63984"/>
    </row>
    <row r="63985" spans="1:13" ht="12.75" customHeight="1" x14ac:dyDescent="0.25">
      <c r="A63985"/>
      <c r="B63985"/>
      <c r="C63985"/>
      <c r="M63985"/>
    </row>
    <row r="63986" spans="1:13" ht="12.75" customHeight="1" x14ac:dyDescent="0.25">
      <c r="A63986"/>
      <c r="B63986"/>
      <c r="C63986"/>
      <c r="M63986"/>
    </row>
    <row r="63987" spans="1:13" ht="12.75" customHeight="1" x14ac:dyDescent="0.25">
      <c r="A63987"/>
      <c r="B63987"/>
      <c r="C63987"/>
      <c r="M63987"/>
    </row>
    <row r="63988" spans="1:13" ht="12.75" customHeight="1" x14ac:dyDescent="0.25">
      <c r="A63988"/>
      <c r="B63988"/>
      <c r="C63988"/>
      <c r="M63988"/>
    </row>
    <row r="63989" spans="1:13" ht="12.75" customHeight="1" x14ac:dyDescent="0.25">
      <c r="A63989"/>
      <c r="B63989"/>
      <c r="C63989"/>
      <c r="M63989"/>
    </row>
    <row r="63990" spans="1:13" ht="12.75" customHeight="1" x14ac:dyDescent="0.25">
      <c r="A63990"/>
      <c r="B63990"/>
      <c r="C63990"/>
      <c r="M63990"/>
    </row>
    <row r="63991" spans="1:13" ht="12.75" customHeight="1" x14ac:dyDescent="0.25">
      <c r="A63991"/>
      <c r="B63991"/>
      <c r="C63991"/>
      <c r="M63991"/>
    </row>
    <row r="63992" spans="1:13" ht="12.75" customHeight="1" x14ac:dyDescent="0.25">
      <c r="A63992"/>
      <c r="B63992"/>
      <c r="C63992"/>
      <c r="M63992"/>
    </row>
    <row r="63993" spans="1:13" ht="12.75" customHeight="1" x14ac:dyDescent="0.25">
      <c r="A63993"/>
      <c r="B63993"/>
      <c r="C63993"/>
      <c r="M63993"/>
    </row>
    <row r="63994" spans="1:13" ht="12.75" customHeight="1" x14ac:dyDescent="0.25">
      <c r="A63994"/>
      <c r="B63994"/>
      <c r="C63994"/>
      <c r="M63994"/>
    </row>
    <row r="63995" spans="1:13" ht="12.75" customHeight="1" x14ac:dyDescent="0.25">
      <c r="A63995"/>
      <c r="B63995"/>
      <c r="C63995"/>
      <c r="M63995"/>
    </row>
    <row r="63996" spans="1:13" ht="12.75" customHeight="1" x14ac:dyDescent="0.25">
      <c r="A63996"/>
      <c r="B63996"/>
      <c r="C63996"/>
      <c r="M63996"/>
    </row>
    <row r="63997" spans="1:13" ht="12.75" customHeight="1" x14ac:dyDescent="0.25">
      <c r="A63997"/>
      <c r="B63997"/>
      <c r="C63997"/>
      <c r="M63997"/>
    </row>
    <row r="63998" spans="1:13" ht="12.75" customHeight="1" x14ac:dyDescent="0.25">
      <c r="A63998"/>
      <c r="B63998"/>
      <c r="C63998"/>
      <c r="M63998"/>
    </row>
    <row r="63999" spans="1:13" ht="12.75" customHeight="1" x14ac:dyDescent="0.25">
      <c r="A63999"/>
      <c r="B63999"/>
      <c r="C63999"/>
      <c r="M63999"/>
    </row>
    <row r="64000" spans="1:13" ht="12.75" customHeight="1" x14ac:dyDescent="0.25">
      <c r="A64000"/>
      <c r="B64000"/>
      <c r="C64000"/>
      <c r="M64000"/>
    </row>
    <row r="64001" spans="1:13" ht="12.75" customHeight="1" x14ac:dyDescent="0.25">
      <c r="A64001"/>
      <c r="B64001"/>
      <c r="C64001"/>
      <c r="M64001"/>
    </row>
    <row r="64002" spans="1:13" ht="12.75" customHeight="1" x14ac:dyDescent="0.25">
      <c r="A64002"/>
      <c r="B64002"/>
      <c r="C64002"/>
      <c r="M64002"/>
    </row>
    <row r="64003" spans="1:13" ht="12.75" customHeight="1" x14ac:dyDescent="0.25">
      <c r="A64003"/>
      <c r="B64003"/>
      <c r="C64003"/>
      <c r="M64003"/>
    </row>
    <row r="64004" spans="1:13" ht="12.75" customHeight="1" x14ac:dyDescent="0.25">
      <c r="A64004"/>
      <c r="B64004"/>
      <c r="C64004"/>
      <c r="M64004"/>
    </row>
    <row r="64005" spans="1:13" ht="12.75" customHeight="1" x14ac:dyDescent="0.25">
      <c r="A64005"/>
      <c r="B64005"/>
      <c r="C64005"/>
      <c r="M64005"/>
    </row>
    <row r="64006" spans="1:13" ht="12.75" customHeight="1" x14ac:dyDescent="0.25">
      <c r="A64006"/>
      <c r="B64006"/>
      <c r="C64006"/>
      <c r="M64006"/>
    </row>
    <row r="64007" spans="1:13" ht="12.75" customHeight="1" x14ac:dyDescent="0.25">
      <c r="A64007"/>
      <c r="B64007"/>
      <c r="C64007"/>
      <c r="M64007"/>
    </row>
    <row r="64008" spans="1:13" ht="12.75" customHeight="1" x14ac:dyDescent="0.25">
      <c r="A64008"/>
      <c r="B64008"/>
      <c r="C64008"/>
      <c r="M64008"/>
    </row>
    <row r="64009" spans="1:13" ht="12.75" customHeight="1" x14ac:dyDescent="0.25">
      <c r="A64009"/>
      <c r="B64009"/>
      <c r="C64009"/>
      <c r="M64009"/>
    </row>
    <row r="64010" spans="1:13" ht="12.75" customHeight="1" x14ac:dyDescent="0.25">
      <c r="A64010"/>
      <c r="B64010"/>
      <c r="C64010"/>
      <c r="M64010"/>
    </row>
    <row r="64011" spans="1:13" ht="12.75" customHeight="1" x14ac:dyDescent="0.25">
      <c r="A64011"/>
      <c r="B64011"/>
      <c r="C64011"/>
      <c r="M64011"/>
    </row>
    <row r="64012" spans="1:13" ht="12.75" customHeight="1" x14ac:dyDescent="0.25">
      <c r="A64012"/>
      <c r="B64012"/>
      <c r="C64012"/>
      <c r="M64012"/>
    </row>
    <row r="64013" spans="1:13" ht="12.75" customHeight="1" x14ac:dyDescent="0.25">
      <c r="A64013"/>
      <c r="B64013"/>
      <c r="C64013"/>
      <c r="M64013"/>
    </row>
    <row r="64014" spans="1:13" ht="12.75" customHeight="1" x14ac:dyDescent="0.25">
      <c r="A64014"/>
      <c r="B64014"/>
      <c r="C64014"/>
      <c r="M64014"/>
    </row>
    <row r="64015" spans="1:13" ht="12.75" customHeight="1" x14ac:dyDescent="0.25">
      <c r="A64015"/>
      <c r="B64015"/>
      <c r="C64015"/>
      <c r="M64015"/>
    </row>
    <row r="64016" spans="1:13" ht="12.75" customHeight="1" x14ac:dyDescent="0.25">
      <c r="A64016"/>
      <c r="B64016"/>
      <c r="C64016"/>
      <c r="M64016"/>
    </row>
    <row r="64017" spans="1:13" ht="12.75" customHeight="1" x14ac:dyDescent="0.25">
      <c r="A64017"/>
      <c r="B64017"/>
      <c r="C64017"/>
      <c r="M64017"/>
    </row>
    <row r="64018" spans="1:13" ht="12.75" customHeight="1" x14ac:dyDescent="0.25">
      <c r="A64018"/>
      <c r="B64018"/>
      <c r="C64018"/>
      <c r="M64018"/>
    </row>
    <row r="64019" spans="1:13" ht="12.75" customHeight="1" x14ac:dyDescent="0.25">
      <c r="A64019"/>
      <c r="B64019"/>
      <c r="C64019"/>
      <c r="M64019"/>
    </row>
    <row r="64020" spans="1:13" ht="12.75" customHeight="1" x14ac:dyDescent="0.25">
      <c r="A64020"/>
      <c r="B64020"/>
      <c r="C64020"/>
      <c r="M64020"/>
    </row>
    <row r="64021" spans="1:13" ht="12.75" customHeight="1" x14ac:dyDescent="0.25">
      <c r="A64021"/>
      <c r="B64021"/>
      <c r="C64021"/>
      <c r="M64021"/>
    </row>
    <row r="64022" spans="1:13" ht="12.75" customHeight="1" x14ac:dyDescent="0.25">
      <c r="A64022"/>
      <c r="B64022"/>
      <c r="C64022"/>
      <c r="M64022"/>
    </row>
    <row r="64023" spans="1:13" ht="12.75" customHeight="1" x14ac:dyDescent="0.25">
      <c r="A64023"/>
      <c r="B64023"/>
      <c r="C64023"/>
      <c r="M64023"/>
    </row>
    <row r="64024" spans="1:13" ht="12.75" customHeight="1" x14ac:dyDescent="0.25">
      <c r="A64024"/>
      <c r="B64024"/>
      <c r="C64024"/>
      <c r="M64024"/>
    </row>
    <row r="64025" spans="1:13" ht="12.75" customHeight="1" x14ac:dyDescent="0.25">
      <c r="A64025"/>
      <c r="B64025"/>
      <c r="C64025"/>
      <c r="M64025"/>
    </row>
    <row r="64026" spans="1:13" ht="12.75" customHeight="1" x14ac:dyDescent="0.25">
      <c r="A64026"/>
      <c r="B64026"/>
      <c r="C64026"/>
      <c r="M64026"/>
    </row>
    <row r="64027" spans="1:13" ht="12.75" customHeight="1" x14ac:dyDescent="0.25">
      <c r="A64027"/>
      <c r="B64027"/>
      <c r="C64027"/>
      <c r="M64027"/>
    </row>
    <row r="64028" spans="1:13" ht="12.75" customHeight="1" x14ac:dyDescent="0.25">
      <c r="A64028"/>
      <c r="B64028"/>
      <c r="C64028"/>
      <c r="M64028"/>
    </row>
    <row r="64029" spans="1:13" ht="12.75" customHeight="1" x14ac:dyDescent="0.25">
      <c r="A64029"/>
      <c r="B64029"/>
      <c r="C64029"/>
      <c r="M64029"/>
    </row>
    <row r="64030" spans="1:13" ht="12.75" customHeight="1" x14ac:dyDescent="0.25">
      <c r="A64030"/>
      <c r="B64030"/>
      <c r="C64030"/>
      <c r="M64030"/>
    </row>
    <row r="64031" spans="1:13" ht="12.75" customHeight="1" x14ac:dyDescent="0.25">
      <c r="A64031"/>
      <c r="B64031"/>
      <c r="C64031"/>
      <c r="M64031"/>
    </row>
    <row r="64032" spans="1:13" ht="12.75" customHeight="1" x14ac:dyDescent="0.25">
      <c r="A64032"/>
      <c r="B64032"/>
      <c r="C64032"/>
      <c r="M64032"/>
    </row>
    <row r="64033" spans="1:13" ht="12.75" customHeight="1" x14ac:dyDescent="0.25">
      <c r="A64033"/>
      <c r="B64033"/>
      <c r="C64033"/>
      <c r="M64033"/>
    </row>
    <row r="64034" spans="1:13" ht="12.75" customHeight="1" x14ac:dyDescent="0.25">
      <c r="A64034"/>
      <c r="B64034"/>
      <c r="C64034"/>
      <c r="M64034"/>
    </row>
    <row r="64035" spans="1:13" ht="12.75" customHeight="1" x14ac:dyDescent="0.25">
      <c r="A64035"/>
      <c r="B64035"/>
      <c r="C64035"/>
      <c r="M64035"/>
    </row>
    <row r="64036" spans="1:13" ht="12.75" customHeight="1" x14ac:dyDescent="0.25">
      <c r="A64036"/>
      <c r="B64036"/>
      <c r="C64036"/>
      <c r="M64036"/>
    </row>
    <row r="64037" spans="1:13" ht="12.75" customHeight="1" x14ac:dyDescent="0.25">
      <c r="A64037"/>
      <c r="B64037"/>
      <c r="C64037"/>
      <c r="M64037"/>
    </row>
    <row r="64038" spans="1:13" ht="12.75" customHeight="1" x14ac:dyDescent="0.25">
      <c r="A64038"/>
      <c r="B64038"/>
      <c r="C64038"/>
      <c r="M64038"/>
    </row>
    <row r="64039" spans="1:13" ht="12.75" customHeight="1" x14ac:dyDescent="0.25">
      <c r="A64039"/>
      <c r="B64039"/>
      <c r="C64039"/>
      <c r="M64039"/>
    </row>
    <row r="64040" spans="1:13" ht="12.75" customHeight="1" x14ac:dyDescent="0.25">
      <c r="A64040"/>
      <c r="B64040"/>
      <c r="C64040"/>
      <c r="M64040"/>
    </row>
    <row r="64041" spans="1:13" ht="12.75" customHeight="1" x14ac:dyDescent="0.25">
      <c r="A64041"/>
      <c r="B64041"/>
      <c r="C64041"/>
      <c r="M64041"/>
    </row>
    <row r="64042" spans="1:13" ht="12.75" customHeight="1" x14ac:dyDescent="0.25">
      <c r="A64042"/>
      <c r="B64042"/>
      <c r="C64042"/>
      <c r="M64042"/>
    </row>
    <row r="64043" spans="1:13" ht="12.75" customHeight="1" x14ac:dyDescent="0.25">
      <c r="A64043"/>
      <c r="B64043"/>
      <c r="C64043"/>
      <c r="M64043"/>
    </row>
    <row r="64044" spans="1:13" ht="12.75" customHeight="1" x14ac:dyDescent="0.25">
      <c r="A64044"/>
      <c r="B64044"/>
      <c r="C64044"/>
      <c r="M64044"/>
    </row>
    <row r="64045" spans="1:13" ht="12.75" customHeight="1" x14ac:dyDescent="0.25">
      <c r="A64045"/>
      <c r="B64045"/>
      <c r="C64045"/>
      <c r="M64045"/>
    </row>
    <row r="64046" spans="1:13" ht="12.75" customHeight="1" x14ac:dyDescent="0.25">
      <c r="A64046"/>
      <c r="B64046"/>
      <c r="C64046"/>
      <c r="M64046"/>
    </row>
    <row r="64047" spans="1:13" ht="12.75" customHeight="1" x14ac:dyDescent="0.25">
      <c r="A64047"/>
      <c r="B64047"/>
      <c r="C64047"/>
      <c r="M64047"/>
    </row>
    <row r="64048" spans="1:13" ht="12.75" customHeight="1" x14ac:dyDescent="0.25">
      <c r="A64048"/>
      <c r="B64048"/>
      <c r="C64048"/>
      <c r="M64048"/>
    </row>
    <row r="64049" spans="1:13" ht="12.75" customHeight="1" x14ac:dyDescent="0.25">
      <c r="A64049"/>
      <c r="B64049"/>
      <c r="C64049"/>
      <c r="M64049"/>
    </row>
    <row r="64050" spans="1:13" ht="12.75" customHeight="1" x14ac:dyDescent="0.25">
      <c r="A64050"/>
      <c r="B64050"/>
      <c r="C64050"/>
      <c r="M64050"/>
    </row>
    <row r="64051" spans="1:13" ht="12.75" customHeight="1" x14ac:dyDescent="0.25">
      <c r="A64051"/>
      <c r="B64051"/>
      <c r="C64051"/>
      <c r="M64051"/>
    </row>
    <row r="64052" spans="1:13" ht="12.75" customHeight="1" x14ac:dyDescent="0.25">
      <c r="A64052"/>
      <c r="B64052"/>
      <c r="C64052"/>
      <c r="M64052"/>
    </row>
    <row r="64053" spans="1:13" ht="12.75" customHeight="1" x14ac:dyDescent="0.25">
      <c r="A64053"/>
      <c r="B64053"/>
      <c r="C64053"/>
      <c r="M64053"/>
    </row>
    <row r="64054" spans="1:13" ht="12.75" customHeight="1" x14ac:dyDescent="0.25">
      <c r="A64054"/>
      <c r="B64054"/>
      <c r="C64054"/>
      <c r="M64054"/>
    </row>
    <row r="64055" spans="1:13" ht="12.75" customHeight="1" x14ac:dyDescent="0.25">
      <c r="A64055"/>
      <c r="B64055"/>
      <c r="C64055"/>
      <c r="M64055"/>
    </row>
    <row r="64056" spans="1:13" ht="12.75" customHeight="1" x14ac:dyDescent="0.25">
      <c r="A64056"/>
      <c r="B64056"/>
      <c r="C64056"/>
      <c r="M64056"/>
    </row>
    <row r="64057" spans="1:13" ht="12.75" customHeight="1" x14ac:dyDescent="0.25">
      <c r="A64057"/>
      <c r="B64057"/>
      <c r="C64057"/>
      <c r="M64057"/>
    </row>
    <row r="64058" spans="1:13" ht="12.75" customHeight="1" x14ac:dyDescent="0.25">
      <c r="A64058"/>
      <c r="B64058"/>
      <c r="C64058"/>
      <c r="M64058"/>
    </row>
    <row r="64059" spans="1:13" ht="12.75" customHeight="1" x14ac:dyDescent="0.25">
      <c r="A64059"/>
      <c r="B64059"/>
      <c r="C64059"/>
      <c r="M64059"/>
    </row>
    <row r="64060" spans="1:13" ht="12.75" customHeight="1" x14ac:dyDescent="0.25">
      <c r="A64060"/>
      <c r="B64060"/>
      <c r="C64060"/>
      <c r="M64060"/>
    </row>
    <row r="64061" spans="1:13" ht="12.75" customHeight="1" x14ac:dyDescent="0.25">
      <c r="A64061"/>
      <c r="B64061"/>
      <c r="C64061"/>
      <c r="M64061"/>
    </row>
    <row r="64062" spans="1:13" ht="12.75" customHeight="1" x14ac:dyDescent="0.25">
      <c r="A64062"/>
      <c r="B64062"/>
      <c r="C64062"/>
      <c r="M64062"/>
    </row>
    <row r="64063" spans="1:13" ht="12.75" customHeight="1" x14ac:dyDescent="0.25">
      <c r="A64063"/>
      <c r="B64063"/>
      <c r="C64063"/>
      <c r="M64063"/>
    </row>
    <row r="64064" spans="1:13" ht="12.75" customHeight="1" x14ac:dyDescent="0.25">
      <c r="A64064"/>
      <c r="B64064"/>
      <c r="C64064"/>
      <c r="M64064"/>
    </row>
    <row r="64065" spans="1:13" ht="12.75" customHeight="1" x14ac:dyDescent="0.25">
      <c r="A64065"/>
      <c r="B64065"/>
      <c r="C64065"/>
      <c r="M64065"/>
    </row>
    <row r="64066" spans="1:13" ht="12.75" customHeight="1" x14ac:dyDescent="0.25">
      <c r="A64066"/>
      <c r="B64066"/>
      <c r="C64066"/>
      <c r="M64066"/>
    </row>
    <row r="64067" spans="1:13" ht="12.75" customHeight="1" x14ac:dyDescent="0.25">
      <c r="A64067"/>
      <c r="B64067"/>
      <c r="C64067"/>
      <c r="M64067"/>
    </row>
    <row r="64068" spans="1:13" ht="12.75" customHeight="1" x14ac:dyDescent="0.25">
      <c r="A64068"/>
      <c r="B64068"/>
      <c r="C64068"/>
      <c r="M64068"/>
    </row>
    <row r="64069" spans="1:13" ht="12.75" customHeight="1" x14ac:dyDescent="0.25">
      <c r="A64069"/>
      <c r="B64069"/>
      <c r="C64069"/>
      <c r="M64069"/>
    </row>
    <row r="64070" spans="1:13" ht="12.75" customHeight="1" x14ac:dyDescent="0.25">
      <c r="A64070"/>
      <c r="B64070"/>
      <c r="C64070"/>
      <c r="M64070"/>
    </row>
    <row r="64071" spans="1:13" ht="12.75" customHeight="1" x14ac:dyDescent="0.25">
      <c r="A64071"/>
      <c r="B64071"/>
      <c r="C64071"/>
      <c r="M64071"/>
    </row>
    <row r="64072" spans="1:13" ht="12.75" customHeight="1" x14ac:dyDescent="0.25">
      <c r="A64072"/>
      <c r="B64072"/>
      <c r="C64072"/>
      <c r="M64072"/>
    </row>
    <row r="64073" spans="1:13" ht="12.75" customHeight="1" x14ac:dyDescent="0.25">
      <c r="A64073"/>
      <c r="B64073"/>
      <c r="C64073"/>
      <c r="M64073"/>
    </row>
    <row r="64074" spans="1:13" ht="12.75" customHeight="1" x14ac:dyDescent="0.25">
      <c r="A64074"/>
      <c r="B64074"/>
      <c r="C64074"/>
      <c r="M64074"/>
    </row>
    <row r="64075" spans="1:13" ht="12.75" customHeight="1" x14ac:dyDescent="0.25">
      <c r="A64075"/>
      <c r="B64075"/>
      <c r="C64075"/>
      <c r="M64075"/>
    </row>
    <row r="64076" spans="1:13" ht="12.75" customHeight="1" x14ac:dyDescent="0.25">
      <c r="A64076"/>
      <c r="B64076"/>
      <c r="C64076"/>
      <c r="M64076"/>
    </row>
    <row r="64077" spans="1:13" ht="12.75" customHeight="1" x14ac:dyDescent="0.25">
      <c r="A64077"/>
      <c r="B64077"/>
      <c r="C64077"/>
      <c r="M64077"/>
    </row>
    <row r="64078" spans="1:13" ht="12.75" customHeight="1" x14ac:dyDescent="0.25">
      <c r="A64078"/>
      <c r="B64078"/>
      <c r="C64078"/>
      <c r="M64078"/>
    </row>
    <row r="64079" spans="1:13" ht="12.75" customHeight="1" x14ac:dyDescent="0.25">
      <c r="A64079"/>
      <c r="B64079"/>
      <c r="C64079"/>
      <c r="M64079"/>
    </row>
    <row r="64080" spans="1:13" ht="12.75" customHeight="1" x14ac:dyDescent="0.25">
      <c r="A64080"/>
      <c r="B64080"/>
      <c r="C64080"/>
      <c r="M64080"/>
    </row>
    <row r="64081" spans="1:13" ht="12.75" customHeight="1" x14ac:dyDescent="0.25">
      <c r="A64081"/>
      <c r="B64081"/>
      <c r="C64081"/>
      <c r="M64081"/>
    </row>
    <row r="64082" spans="1:13" ht="12.75" customHeight="1" x14ac:dyDescent="0.25">
      <c r="A64082"/>
      <c r="B64082"/>
      <c r="C64082"/>
      <c r="M64082"/>
    </row>
    <row r="64083" spans="1:13" ht="12.75" customHeight="1" x14ac:dyDescent="0.25">
      <c r="A64083"/>
      <c r="B64083"/>
      <c r="C64083"/>
      <c r="M64083"/>
    </row>
    <row r="64084" spans="1:13" ht="12.75" customHeight="1" x14ac:dyDescent="0.25">
      <c r="A64084"/>
      <c r="B64084"/>
      <c r="C64084"/>
      <c r="M64084"/>
    </row>
    <row r="64085" spans="1:13" ht="12.75" customHeight="1" x14ac:dyDescent="0.25">
      <c r="A64085"/>
      <c r="B64085"/>
      <c r="C64085"/>
      <c r="M64085"/>
    </row>
    <row r="64086" spans="1:13" ht="12.75" customHeight="1" x14ac:dyDescent="0.25">
      <c r="A64086"/>
      <c r="B64086"/>
      <c r="C64086"/>
      <c r="M64086"/>
    </row>
    <row r="64087" spans="1:13" ht="12.75" customHeight="1" x14ac:dyDescent="0.25">
      <c r="A64087"/>
      <c r="B64087"/>
      <c r="C64087"/>
      <c r="M64087"/>
    </row>
    <row r="64088" spans="1:13" ht="12.75" customHeight="1" x14ac:dyDescent="0.25">
      <c r="A64088"/>
      <c r="B64088"/>
      <c r="C64088"/>
      <c r="M64088"/>
    </row>
    <row r="64089" spans="1:13" ht="12.75" customHeight="1" x14ac:dyDescent="0.25">
      <c r="A64089"/>
      <c r="B64089"/>
      <c r="C64089"/>
      <c r="M64089"/>
    </row>
    <row r="64090" spans="1:13" ht="12.75" customHeight="1" x14ac:dyDescent="0.25">
      <c r="A64090"/>
      <c r="B64090"/>
      <c r="C64090"/>
      <c r="M64090"/>
    </row>
    <row r="64091" spans="1:13" ht="12.75" customHeight="1" x14ac:dyDescent="0.25">
      <c r="A64091"/>
      <c r="B64091"/>
      <c r="C64091"/>
      <c r="M64091"/>
    </row>
    <row r="64092" spans="1:13" ht="12.75" customHeight="1" x14ac:dyDescent="0.25">
      <c r="A64092"/>
      <c r="B64092"/>
      <c r="C64092"/>
      <c r="M64092"/>
    </row>
    <row r="64093" spans="1:13" ht="12.75" customHeight="1" x14ac:dyDescent="0.25">
      <c r="A64093"/>
      <c r="B64093"/>
      <c r="C64093"/>
      <c r="M64093"/>
    </row>
    <row r="64094" spans="1:13" ht="12.75" customHeight="1" x14ac:dyDescent="0.25">
      <c r="A64094"/>
      <c r="B64094"/>
      <c r="C64094"/>
      <c r="M64094"/>
    </row>
    <row r="64095" spans="1:13" ht="12.75" customHeight="1" x14ac:dyDescent="0.25">
      <c r="A64095"/>
      <c r="B64095"/>
      <c r="C64095"/>
      <c r="M64095"/>
    </row>
    <row r="64096" spans="1:13" ht="12.75" customHeight="1" x14ac:dyDescent="0.25">
      <c r="A64096"/>
      <c r="B64096"/>
      <c r="C64096"/>
      <c r="M64096"/>
    </row>
    <row r="64097" spans="1:13" ht="12.75" customHeight="1" x14ac:dyDescent="0.25">
      <c r="A64097"/>
      <c r="B64097"/>
      <c r="C64097"/>
      <c r="M64097"/>
    </row>
    <row r="64098" spans="1:13" ht="12.75" customHeight="1" x14ac:dyDescent="0.25">
      <c r="A64098"/>
      <c r="B64098"/>
      <c r="C64098"/>
      <c r="M64098"/>
    </row>
    <row r="64099" spans="1:13" ht="12.75" customHeight="1" x14ac:dyDescent="0.25">
      <c r="A64099"/>
      <c r="B64099"/>
      <c r="C64099"/>
      <c r="M64099"/>
    </row>
    <row r="64100" spans="1:13" ht="12.75" customHeight="1" x14ac:dyDescent="0.25">
      <c r="A64100"/>
      <c r="B64100"/>
      <c r="C64100"/>
      <c r="M64100"/>
    </row>
    <row r="64101" spans="1:13" ht="12.75" customHeight="1" x14ac:dyDescent="0.25">
      <c r="A64101"/>
      <c r="B64101"/>
      <c r="C64101"/>
      <c r="M64101"/>
    </row>
    <row r="64102" spans="1:13" ht="12.75" customHeight="1" x14ac:dyDescent="0.25">
      <c r="A64102"/>
      <c r="B64102"/>
      <c r="C64102"/>
      <c r="M64102"/>
    </row>
    <row r="64103" spans="1:13" ht="12.75" customHeight="1" x14ac:dyDescent="0.25">
      <c r="A64103"/>
      <c r="B64103"/>
      <c r="C64103"/>
      <c r="M64103"/>
    </row>
    <row r="64104" spans="1:13" ht="12.75" customHeight="1" x14ac:dyDescent="0.25">
      <c r="A64104"/>
      <c r="B64104"/>
      <c r="C64104"/>
      <c r="M64104"/>
    </row>
    <row r="64105" spans="1:13" ht="12.75" customHeight="1" x14ac:dyDescent="0.25">
      <c r="A64105"/>
      <c r="B64105"/>
      <c r="C64105"/>
      <c r="M64105"/>
    </row>
    <row r="64106" spans="1:13" ht="12.75" customHeight="1" x14ac:dyDescent="0.25">
      <c r="A64106"/>
      <c r="B64106"/>
      <c r="C64106"/>
      <c r="M64106"/>
    </row>
    <row r="64107" spans="1:13" ht="12.75" customHeight="1" x14ac:dyDescent="0.25">
      <c r="A64107"/>
      <c r="B64107"/>
      <c r="C64107"/>
      <c r="M64107"/>
    </row>
    <row r="64108" spans="1:13" ht="12.75" customHeight="1" x14ac:dyDescent="0.25">
      <c r="A64108"/>
      <c r="B64108"/>
      <c r="C64108"/>
      <c r="M64108"/>
    </row>
    <row r="64109" spans="1:13" ht="12.75" customHeight="1" x14ac:dyDescent="0.25">
      <c r="A64109"/>
      <c r="B64109"/>
      <c r="C64109"/>
      <c r="M64109"/>
    </row>
    <row r="64110" spans="1:13" ht="12.75" customHeight="1" x14ac:dyDescent="0.25">
      <c r="A64110"/>
      <c r="B64110"/>
      <c r="C64110"/>
      <c r="M64110"/>
    </row>
    <row r="64111" spans="1:13" ht="12.75" customHeight="1" x14ac:dyDescent="0.25">
      <c r="A64111"/>
      <c r="B64111"/>
      <c r="C64111"/>
      <c r="M64111"/>
    </row>
    <row r="64112" spans="1:13" ht="12.75" customHeight="1" x14ac:dyDescent="0.25">
      <c r="A64112"/>
      <c r="B64112"/>
      <c r="C64112"/>
      <c r="M64112"/>
    </row>
    <row r="64113" spans="1:13" ht="12.75" customHeight="1" x14ac:dyDescent="0.25">
      <c r="A64113"/>
      <c r="B64113"/>
      <c r="C64113"/>
      <c r="M64113"/>
    </row>
    <row r="64114" spans="1:13" ht="12.75" customHeight="1" x14ac:dyDescent="0.25">
      <c r="A64114"/>
      <c r="B64114"/>
      <c r="C64114"/>
      <c r="M64114"/>
    </row>
    <row r="64115" spans="1:13" ht="12.75" customHeight="1" x14ac:dyDescent="0.25">
      <c r="A64115"/>
      <c r="B64115"/>
      <c r="C64115"/>
      <c r="M64115"/>
    </row>
    <row r="64116" spans="1:13" ht="12.75" customHeight="1" x14ac:dyDescent="0.25">
      <c r="A64116"/>
      <c r="B64116"/>
      <c r="C64116"/>
      <c r="M64116"/>
    </row>
    <row r="64117" spans="1:13" ht="12.75" customHeight="1" x14ac:dyDescent="0.25">
      <c r="A64117"/>
      <c r="B64117"/>
      <c r="C64117"/>
      <c r="M64117"/>
    </row>
    <row r="64118" spans="1:13" ht="12.75" customHeight="1" x14ac:dyDescent="0.25">
      <c r="A64118"/>
      <c r="B64118"/>
      <c r="C64118"/>
      <c r="M64118"/>
    </row>
    <row r="64119" spans="1:13" ht="12.75" customHeight="1" x14ac:dyDescent="0.25">
      <c r="A64119"/>
      <c r="B64119"/>
      <c r="C64119"/>
      <c r="M64119"/>
    </row>
    <row r="64120" spans="1:13" ht="12.75" customHeight="1" x14ac:dyDescent="0.25">
      <c r="A64120"/>
      <c r="B64120"/>
      <c r="C64120"/>
      <c r="M64120"/>
    </row>
    <row r="64121" spans="1:13" ht="12.75" customHeight="1" x14ac:dyDescent="0.25">
      <c r="A64121"/>
      <c r="B64121"/>
      <c r="C64121"/>
      <c r="M64121"/>
    </row>
    <row r="64122" spans="1:13" ht="12.75" customHeight="1" x14ac:dyDescent="0.25">
      <c r="A64122"/>
      <c r="B64122"/>
      <c r="C64122"/>
      <c r="M64122"/>
    </row>
    <row r="64123" spans="1:13" ht="12.75" customHeight="1" x14ac:dyDescent="0.25">
      <c r="A64123"/>
      <c r="B64123"/>
      <c r="C64123"/>
      <c r="M64123"/>
    </row>
    <row r="64124" spans="1:13" ht="12.75" customHeight="1" x14ac:dyDescent="0.25">
      <c r="A64124"/>
      <c r="B64124"/>
      <c r="C64124"/>
      <c r="M64124"/>
    </row>
    <row r="64125" spans="1:13" ht="12.75" customHeight="1" x14ac:dyDescent="0.25">
      <c r="A64125"/>
      <c r="B64125"/>
      <c r="C64125"/>
      <c r="M64125"/>
    </row>
    <row r="64126" spans="1:13" ht="12.75" customHeight="1" x14ac:dyDescent="0.25">
      <c r="A64126"/>
      <c r="B64126"/>
      <c r="C64126"/>
      <c r="M64126"/>
    </row>
    <row r="64127" spans="1:13" ht="12.75" customHeight="1" x14ac:dyDescent="0.25">
      <c r="A64127"/>
      <c r="B64127"/>
      <c r="C64127"/>
      <c r="M64127"/>
    </row>
    <row r="64128" spans="1:13" ht="12.75" customHeight="1" x14ac:dyDescent="0.25">
      <c r="A64128"/>
      <c r="B64128"/>
      <c r="C64128"/>
      <c r="M64128"/>
    </row>
    <row r="64129" spans="1:13" ht="12.75" customHeight="1" x14ac:dyDescent="0.25">
      <c r="A64129"/>
      <c r="B64129"/>
      <c r="C64129"/>
      <c r="M64129"/>
    </row>
    <row r="64130" spans="1:13" ht="12.75" customHeight="1" x14ac:dyDescent="0.25">
      <c r="A64130"/>
      <c r="B64130"/>
      <c r="C64130"/>
      <c r="M64130"/>
    </row>
    <row r="64131" spans="1:13" ht="12.75" customHeight="1" x14ac:dyDescent="0.25">
      <c r="A64131"/>
      <c r="B64131"/>
      <c r="C64131"/>
      <c r="M64131"/>
    </row>
    <row r="64132" spans="1:13" ht="12.75" customHeight="1" x14ac:dyDescent="0.25">
      <c r="A64132"/>
      <c r="B64132"/>
      <c r="C64132"/>
      <c r="M64132"/>
    </row>
    <row r="64133" spans="1:13" ht="12.75" customHeight="1" x14ac:dyDescent="0.25">
      <c r="A64133"/>
      <c r="B64133"/>
      <c r="C64133"/>
      <c r="M64133"/>
    </row>
    <row r="64134" spans="1:13" ht="12.75" customHeight="1" x14ac:dyDescent="0.25">
      <c r="A64134"/>
      <c r="B64134"/>
      <c r="C64134"/>
      <c r="M64134"/>
    </row>
    <row r="64135" spans="1:13" ht="12.75" customHeight="1" x14ac:dyDescent="0.25">
      <c r="A64135"/>
      <c r="B64135"/>
      <c r="C64135"/>
      <c r="M64135"/>
    </row>
    <row r="64136" spans="1:13" ht="12.75" customHeight="1" x14ac:dyDescent="0.25">
      <c r="A64136"/>
      <c r="B64136"/>
      <c r="C64136"/>
      <c r="M64136"/>
    </row>
    <row r="64137" spans="1:13" ht="12.75" customHeight="1" x14ac:dyDescent="0.25">
      <c r="A64137"/>
      <c r="B64137"/>
      <c r="C64137"/>
      <c r="M64137"/>
    </row>
    <row r="64138" spans="1:13" ht="12.75" customHeight="1" x14ac:dyDescent="0.25">
      <c r="A64138"/>
      <c r="B64138"/>
      <c r="C64138"/>
      <c r="M64138"/>
    </row>
    <row r="64139" spans="1:13" ht="12.75" customHeight="1" x14ac:dyDescent="0.25">
      <c r="A64139"/>
      <c r="B64139"/>
      <c r="C64139"/>
      <c r="M64139"/>
    </row>
    <row r="64140" spans="1:13" ht="12.75" customHeight="1" x14ac:dyDescent="0.25">
      <c r="A64140"/>
      <c r="B64140"/>
      <c r="C64140"/>
      <c r="M64140"/>
    </row>
    <row r="64141" spans="1:13" ht="12.75" customHeight="1" x14ac:dyDescent="0.25">
      <c r="A64141"/>
      <c r="B64141"/>
      <c r="C64141"/>
      <c r="M64141"/>
    </row>
    <row r="64142" spans="1:13" ht="12.75" customHeight="1" x14ac:dyDescent="0.25">
      <c r="A64142"/>
      <c r="B64142"/>
      <c r="C64142"/>
      <c r="M64142"/>
    </row>
    <row r="64143" spans="1:13" ht="12.75" customHeight="1" x14ac:dyDescent="0.25">
      <c r="A64143"/>
      <c r="B64143"/>
      <c r="C64143"/>
      <c r="M64143"/>
    </row>
    <row r="64144" spans="1:13" ht="12.75" customHeight="1" x14ac:dyDescent="0.25">
      <c r="A64144"/>
      <c r="B64144"/>
      <c r="C64144"/>
      <c r="M64144"/>
    </row>
    <row r="64145" spans="1:13" ht="12.75" customHeight="1" x14ac:dyDescent="0.25">
      <c r="A64145"/>
      <c r="B64145"/>
      <c r="C64145"/>
      <c r="M64145"/>
    </row>
    <row r="64146" spans="1:13" ht="12.75" customHeight="1" x14ac:dyDescent="0.25">
      <c r="A64146"/>
      <c r="B64146"/>
      <c r="C64146"/>
      <c r="M64146"/>
    </row>
    <row r="64147" spans="1:13" ht="12.75" customHeight="1" x14ac:dyDescent="0.25">
      <c r="A64147"/>
      <c r="B64147"/>
      <c r="C64147"/>
      <c r="M64147"/>
    </row>
    <row r="64148" spans="1:13" ht="12.75" customHeight="1" x14ac:dyDescent="0.25">
      <c r="A64148"/>
      <c r="B64148"/>
      <c r="C64148"/>
      <c r="M64148"/>
    </row>
    <row r="64149" spans="1:13" ht="12.75" customHeight="1" x14ac:dyDescent="0.25">
      <c r="A64149"/>
      <c r="B64149"/>
      <c r="C64149"/>
      <c r="M64149"/>
    </row>
    <row r="64150" spans="1:13" ht="12.75" customHeight="1" x14ac:dyDescent="0.25">
      <c r="A64150"/>
      <c r="B64150"/>
      <c r="C64150"/>
      <c r="M64150"/>
    </row>
    <row r="64151" spans="1:13" ht="12.75" customHeight="1" x14ac:dyDescent="0.25">
      <c r="A64151"/>
      <c r="B64151"/>
      <c r="C64151"/>
      <c r="M64151"/>
    </row>
    <row r="64152" spans="1:13" ht="12.75" customHeight="1" x14ac:dyDescent="0.25">
      <c r="A64152"/>
      <c r="B64152"/>
      <c r="C64152"/>
      <c r="M64152"/>
    </row>
    <row r="64153" spans="1:13" ht="12.75" customHeight="1" x14ac:dyDescent="0.25">
      <c r="A64153"/>
      <c r="B64153"/>
      <c r="C64153"/>
      <c r="M64153"/>
    </row>
    <row r="64154" spans="1:13" ht="12.75" customHeight="1" x14ac:dyDescent="0.25">
      <c r="A64154"/>
      <c r="B64154"/>
      <c r="C64154"/>
      <c r="M64154"/>
    </row>
    <row r="64155" spans="1:13" ht="12.75" customHeight="1" x14ac:dyDescent="0.25">
      <c r="A64155"/>
      <c r="B64155"/>
      <c r="C64155"/>
      <c r="M64155"/>
    </row>
    <row r="64156" spans="1:13" ht="12.75" customHeight="1" x14ac:dyDescent="0.25">
      <c r="A64156"/>
      <c r="B64156"/>
      <c r="C64156"/>
      <c r="M64156"/>
    </row>
    <row r="64157" spans="1:13" ht="12.75" customHeight="1" x14ac:dyDescent="0.25">
      <c r="A64157"/>
      <c r="B64157"/>
      <c r="C64157"/>
      <c r="M64157"/>
    </row>
    <row r="64158" spans="1:13" ht="12.75" customHeight="1" x14ac:dyDescent="0.25">
      <c r="A64158"/>
      <c r="B64158"/>
      <c r="C64158"/>
      <c r="M64158"/>
    </row>
    <row r="64159" spans="1:13" ht="12.75" customHeight="1" x14ac:dyDescent="0.25">
      <c r="A64159"/>
      <c r="B64159"/>
      <c r="C64159"/>
      <c r="M64159"/>
    </row>
    <row r="64160" spans="1:13" ht="12.75" customHeight="1" x14ac:dyDescent="0.25">
      <c r="A64160"/>
      <c r="B64160"/>
      <c r="C64160"/>
      <c r="M64160"/>
    </row>
    <row r="64161" spans="1:13" ht="12.75" customHeight="1" x14ac:dyDescent="0.25">
      <c r="A64161"/>
      <c r="B64161"/>
      <c r="C64161"/>
      <c r="M64161"/>
    </row>
    <row r="64162" spans="1:13" ht="12.75" customHeight="1" x14ac:dyDescent="0.25">
      <c r="A64162"/>
      <c r="B64162"/>
      <c r="C64162"/>
      <c r="M64162"/>
    </row>
    <row r="64163" spans="1:13" ht="12.75" customHeight="1" x14ac:dyDescent="0.25">
      <c r="A64163"/>
      <c r="B64163"/>
      <c r="C64163"/>
      <c r="M64163"/>
    </row>
    <row r="64164" spans="1:13" ht="12.75" customHeight="1" x14ac:dyDescent="0.25">
      <c r="A64164"/>
      <c r="B64164"/>
      <c r="C64164"/>
      <c r="M64164"/>
    </row>
    <row r="64165" spans="1:13" ht="12.75" customHeight="1" x14ac:dyDescent="0.25">
      <c r="A64165"/>
      <c r="B64165"/>
      <c r="C64165"/>
      <c r="M64165"/>
    </row>
    <row r="64166" spans="1:13" ht="12.75" customHeight="1" x14ac:dyDescent="0.25">
      <c r="A64166"/>
      <c r="B64166"/>
      <c r="C64166"/>
      <c r="M64166"/>
    </row>
    <row r="64167" spans="1:13" ht="12.75" customHeight="1" x14ac:dyDescent="0.25">
      <c r="A64167"/>
      <c r="B64167"/>
      <c r="C64167"/>
      <c r="M64167"/>
    </row>
    <row r="64168" spans="1:13" ht="12.75" customHeight="1" x14ac:dyDescent="0.25">
      <c r="A64168"/>
      <c r="B64168"/>
      <c r="C64168"/>
      <c r="M64168"/>
    </row>
    <row r="64169" spans="1:13" ht="12.75" customHeight="1" x14ac:dyDescent="0.25">
      <c r="A64169"/>
      <c r="B64169"/>
      <c r="C64169"/>
      <c r="M64169"/>
    </row>
    <row r="64170" spans="1:13" ht="12.75" customHeight="1" x14ac:dyDescent="0.25">
      <c r="A64170"/>
      <c r="B64170"/>
      <c r="C64170"/>
      <c r="M64170"/>
    </row>
    <row r="64171" spans="1:13" ht="12.75" customHeight="1" x14ac:dyDescent="0.25">
      <c r="A64171"/>
      <c r="B64171"/>
      <c r="C64171"/>
      <c r="M64171"/>
    </row>
    <row r="64172" spans="1:13" ht="12.75" customHeight="1" x14ac:dyDescent="0.25">
      <c r="A64172"/>
      <c r="B64172"/>
      <c r="C64172"/>
      <c r="M64172"/>
    </row>
    <row r="64173" spans="1:13" ht="12.75" customHeight="1" x14ac:dyDescent="0.25">
      <c r="A64173"/>
      <c r="B64173"/>
      <c r="C64173"/>
      <c r="M64173"/>
    </row>
    <row r="64174" spans="1:13" ht="12.75" customHeight="1" x14ac:dyDescent="0.25">
      <c r="A64174"/>
      <c r="B64174"/>
      <c r="C64174"/>
      <c r="M64174"/>
    </row>
    <row r="64175" spans="1:13" ht="12.75" customHeight="1" x14ac:dyDescent="0.25">
      <c r="A64175"/>
      <c r="B64175"/>
      <c r="C64175"/>
      <c r="M64175"/>
    </row>
    <row r="64176" spans="1:13" ht="12.75" customHeight="1" x14ac:dyDescent="0.25">
      <c r="A64176"/>
      <c r="B64176"/>
      <c r="C64176"/>
      <c r="M64176"/>
    </row>
    <row r="64177" spans="1:13" ht="12.75" customHeight="1" x14ac:dyDescent="0.25">
      <c r="A64177"/>
      <c r="B64177"/>
      <c r="C64177"/>
      <c r="M64177"/>
    </row>
    <row r="64178" spans="1:13" ht="12.75" customHeight="1" x14ac:dyDescent="0.25">
      <c r="A64178"/>
      <c r="B64178"/>
      <c r="C64178"/>
      <c r="M64178"/>
    </row>
    <row r="64179" spans="1:13" ht="12.75" customHeight="1" x14ac:dyDescent="0.25">
      <c r="A64179"/>
      <c r="B64179"/>
      <c r="C64179"/>
      <c r="M64179"/>
    </row>
    <row r="64180" spans="1:13" ht="12.75" customHeight="1" x14ac:dyDescent="0.25">
      <c r="A64180"/>
      <c r="B64180"/>
      <c r="C64180"/>
      <c r="M64180"/>
    </row>
    <row r="64181" spans="1:13" ht="12.75" customHeight="1" x14ac:dyDescent="0.25">
      <c r="A64181"/>
      <c r="B64181"/>
      <c r="C64181"/>
      <c r="M64181"/>
    </row>
    <row r="64182" spans="1:13" ht="12.75" customHeight="1" x14ac:dyDescent="0.25">
      <c r="A64182"/>
      <c r="B64182"/>
      <c r="C64182"/>
      <c r="M64182"/>
    </row>
    <row r="64183" spans="1:13" ht="12.75" customHeight="1" x14ac:dyDescent="0.25">
      <c r="A64183"/>
      <c r="B64183"/>
      <c r="C64183"/>
      <c r="M64183"/>
    </row>
    <row r="64184" spans="1:13" ht="12.75" customHeight="1" x14ac:dyDescent="0.25">
      <c r="A64184"/>
      <c r="B64184"/>
      <c r="C64184"/>
      <c r="M64184"/>
    </row>
    <row r="64185" spans="1:13" ht="12.75" customHeight="1" x14ac:dyDescent="0.25">
      <c r="A64185"/>
      <c r="B64185"/>
      <c r="C64185"/>
      <c r="M64185"/>
    </row>
    <row r="64186" spans="1:13" ht="12.75" customHeight="1" x14ac:dyDescent="0.25">
      <c r="A64186"/>
      <c r="B64186"/>
      <c r="C64186"/>
      <c r="M64186"/>
    </row>
    <row r="64187" spans="1:13" ht="12.75" customHeight="1" x14ac:dyDescent="0.25">
      <c r="A64187"/>
      <c r="B64187"/>
      <c r="C64187"/>
      <c r="M64187"/>
    </row>
    <row r="64188" spans="1:13" ht="12.75" customHeight="1" x14ac:dyDescent="0.25">
      <c r="A64188"/>
      <c r="B64188"/>
      <c r="C64188"/>
      <c r="M64188"/>
    </row>
    <row r="64189" spans="1:13" ht="12.75" customHeight="1" x14ac:dyDescent="0.25">
      <c r="A64189"/>
      <c r="B64189"/>
      <c r="C64189"/>
      <c r="M64189"/>
    </row>
    <row r="64190" spans="1:13" ht="12.75" customHeight="1" x14ac:dyDescent="0.25">
      <c r="A64190"/>
      <c r="B64190"/>
      <c r="C64190"/>
      <c r="M64190"/>
    </row>
    <row r="64191" spans="1:13" ht="12.75" customHeight="1" x14ac:dyDescent="0.25">
      <c r="A64191"/>
      <c r="B64191"/>
      <c r="C64191"/>
      <c r="M64191"/>
    </row>
    <row r="64192" spans="1:13" ht="12.75" customHeight="1" x14ac:dyDescent="0.25">
      <c r="A64192"/>
      <c r="B64192"/>
      <c r="C64192"/>
      <c r="M64192"/>
    </row>
    <row r="64193" spans="1:13" ht="12.75" customHeight="1" x14ac:dyDescent="0.25">
      <c r="A64193"/>
      <c r="B64193"/>
      <c r="C64193"/>
      <c r="M64193"/>
    </row>
    <row r="64194" spans="1:13" ht="12.75" customHeight="1" x14ac:dyDescent="0.25">
      <c r="A64194"/>
      <c r="B64194"/>
      <c r="C64194"/>
      <c r="M64194"/>
    </row>
    <row r="64195" spans="1:13" ht="12.75" customHeight="1" x14ac:dyDescent="0.25">
      <c r="A64195"/>
      <c r="B64195"/>
      <c r="C64195"/>
      <c r="M64195"/>
    </row>
    <row r="64196" spans="1:13" ht="12.75" customHeight="1" x14ac:dyDescent="0.25">
      <c r="A64196"/>
      <c r="B64196"/>
      <c r="C64196"/>
      <c r="M64196"/>
    </row>
    <row r="64197" spans="1:13" ht="12.75" customHeight="1" x14ac:dyDescent="0.25">
      <c r="A64197"/>
      <c r="B64197"/>
      <c r="C64197"/>
      <c r="M64197"/>
    </row>
    <row r="64198" spans="1:13" ht="12.75" customHeight="1" x14ac:dyDescent="0.25">
      <c r="A64198"/>
      <c r="B64198"/>
      <c r="C64198"/>
      <c r="M64198"/>
    </row>
    <row r="64199" spans="1:13" ht="12.75" customHeight="1" x14ac:dyDescent="0.25">
      <c r="A64199"/>
      <c r="B64199"/>
      <c r="C64199"/>
      <c r="M64199"/>
    </row>
    <row r="64200" spans="1:13" ht="12.75" customHeight="1" x14ac:dyDescent="0.25">
      <c r="A64200"/>
      <c r="B64200"/>
      <c r="C64200"/>
      <c r="M64200"/>
    </row>
    <row r="64201" spans="1:13" ht="12.75" customHeight="1" x14ac:dyDescent="0.25">
      <c r="A64201"/>
      <c r="B64201"/>
      <c r="C64201"/>
      <c r="M64201"/>
    </row>
    <row r="64202" spans="1:13" ht="12.75" customHeight="1" x14ac:dyDescent="0.25">
      <c r="A64202"/>
      <c r="B64202"/>
      <c r="C64202"/>
      <c r="M64202"/>
    </row>
    <row r="64203" spans="1:13" ht="12.75" customHeight="1" x14ac:dyDescent="0.25">
      <c r="A64203"/>
      <c r="B64203"/>
      <c r="C64203"/>
      <c r="M64203"/>
    </row>
    <row r="64204" spans="1:13" ht="12.75" customHeight="1" x14ac:dyDescent="0.25">
      <c r="A64204"/>
      <c r="B64204"/>
      <c r="C64204"/>
      <c r="M64204"/>
    </row>
    <row r="64205" spans="1:13" ht="12.75" customHeight="1" x14ac:dyDescent="0.25">
      <c r="A64205"/>
      <c r="B64205"/>
      <c r="C64205"/>
      <c r="M64205"/>
    </row>
    <row r="64206" spans="1:13" ht="12.75" customHeight="1" x14ac:dyDescent="0.25">
      <c r="A64206"/>
      <c r="B64206"/>
      <c r="C64206"/>
      <c r="M64206"/>
    </row>
    <row r="64207" spans="1:13" ht="12.75" customHeight="1" x14ac:dyDescent="0.25">
      <c r="A64207"/>
      <c r="B64207"/>
      <c r="C64207"/>
      <c r="M64207"/>
    </row>
    <row r="64208" spans="1:13" ht="12.75" customHeight="1" x14ac:dyDescent="0.25">
      <c r="A64208"/>
      <c r="B64208"/>
      <c r="C64208"/>
      <c r="M64208"/>
    </row>
    <row r="64209" spans="1:13" ht="12.75" customHeight="1" x14ac:dyDescent="0.25">
      <c r="A64209"/>
      <c r="B64209"/>
      <c r="C64209"/>
      <c r="M64209"/>
    </row>
    <row r="64210" spans="1:13" ht="12.75" customHeight="1" x14ac:dyDescent="0.25">
      <c r="A64210"/>
      <c r="B64210"/>
      <c r="C64210"/>
      <c r="M64210"/>
    </row>
    <row r="64211" spans="1:13" ht="12.75" customHeight="1" x14ac:dyDescent="0.25">
      <c r="A64211"/>
      <c r="B64211"/>
      <c r="C64211"/>
      <c r="M64211"/>
    </row>
    <row r="64212" spans="1:13" ht="12.75" customHeight="1" x14ac:dyDescent="0.25">
      <c r="A64212"/>
      <c r="B64212"/>
      <c r="C64212"/>
      <c r="M64212"/>
    </row>
    <row r="64213" spans="1:13" ht="12.75" customHeight="1" x14ac:dyDescent="0.25">
      <c r="A64213"/>
      <c r="B64213"/>
      <c r="C64213"/>
      <c r="M64213"/>
    </row>
    <row r="64214" spans="1:13" ht="12.75" customHeight="1" x14ac:dyDescent="0.25">
      <c r="A64214"/>
      <c r="B64214"/>
      <c r="C64214"/>
      <c r="M64214"/>
    </row>
    <row r="64215" spans="1:13" ht="12.75" customHeight="1" x14ac:dyDescent="0.25">
      <c r="A64215"/>
      <c r="B64215"/>
      <c r="C64215"/>
      <c r="M64215"/>
    </row>
    <row r="64216" spans="1:13" ht="12.75" customHeight="1" x14ac:dyDescent="0.25">
      <c r="A64216"/>
      <c r="B64216"/>
      <c r="C64216"/>
      <c r="M64216"/>
    </row>
    <row r="64217" spans="1:13" ht="12.75" customHeight="1" x14ac:dyDescent="0.25">
      <c r="A64217"/>
      <c r="B64217"/>
      <c r="C64217"/>
      <c r="M64217"/>
    </row>
    <row r="64218" spans="1:13" ht="12.75" customHeight="1" x14ac:dyDescent="0.25">
      <c r="A64218"/>
      <c r="B64218"/>
      <c r="C64218"/>
      <c r="M64218"/>
    </row>
    <row r="64219" spans="1:13" ht="12.75" customHeight="1" x14ac:dyDescent="0.25">
      <c r="A64219"/>
      <c r="B64219"/>
      <c r="C64219"/>
      <c r="M64219"/>
    </row>
    <row r="64220" spans="1:13" ht="12.75" customHeight="1" x14ac:dyDescent="0.25">
      <c r="A64220"/>
      <c r="B64220"/>
      <c r="C64220"/>
      <c r="M64220"/>
    </row>
    <row r="64221" spans="1:13" ht="12.75" customHeight="1" x14ac:dyDescent="0.25">
      <c r="A64221"/>
      <c r="B64221"/>
      <c r="C64221"/>
      <c r="M64221"/>
    </row>
    <row r="64222" spans="1:13" ht="12.75" customHeight="1" x14ac:dyDescent="0.25">
      <c r="A64222"/>
      <c r="B64222"/>
      <c r="C64222"/>
      <c r="M64222"/>
    </row>
    <row r="64223" spans="1:13" ht="12.75" customHeight="1" x14ac:dyDescent="0.25">
      <c r="A64223"/>
      <c r="B64223"/>
      <c r="C64223"/>
      <c r="M64223"/>
    </row>
    <row r="64224" spans="1:13" ht="12.75" customHeight="1" x14ac:dyDescent="0.25">
      <c r="A64224"/>
      <c r="B64224"/>
      <c r="C64224"/>
      <c r="M64224"/>
    </row>
    <row r="64225" spans="1:13" ht="12.75" customHeight="1" x14ac:dyDescent="0.25">
      <c r="A64225"/>
      <c r="B64225"/>
      <c r="C64225"/>
      <c r="M64225"/>
    </row>
    <row r="64226" spans="1:13" ht="12.75" customHeight="1" x14ac:dyDescent="0.25">
      <c r="A64226"/>
      <c r="B64226"/>
      <c r="C64226"/>
      <c r="M64226"/>
    </row>
    <row r="64227" spans="1:13" ht="12.75" customHeight="1" x14ac:dyDescent="0.25">
      <c r="A64227"/>
      <c r="B64227"/>
      <c r="C64227"/>
      <c r="M64227"/>
    </row>
    <row r="64228" spans="1:13" ht="12.75" customHeight="1" x14ac:dyDescent="0.25">
      <c r="A64228"/>
      <c r="B64228"/>
      <c r="C64228"/>
      <c r="M64228"/>
    </row>
    <row r="64229" spans="1:13" ht="12.75" customHeight="1" x14ac:dyDescent="0.25">
      <c r="A64229"/>
      <c r="B64229"/>
      <c r="C64229"/>
      <c r="M64229"/>
    </row>
    <row r="64230" spans="1:13" ht="12.75" customHeight="1" x14ac:dyDescent="0.25">
      <c r="A64230"/>
      <c r="B64230"/>
      <c r="C64230"/>
      <c r="M64230"/>
    </row>
    <row r="64231" spans="1:13" ht="12.75" customHeight="1" x14ac:dyDescent="0.25">
      <c r="A64231"/>
      <c r="B64231"/>
      <c r="C64231"/>
      <c r="M64231"/>
    </row>
    <row r="64232" spans="1:13" ht="12.75" customHeight="1" x14ac:dyDescent="0.25">
      <c r="A64232"/>
      <c r="B64232"/>
      <c r="C64232"/>
      <c r="M64232"/>
    </row>
    <row r="64233" spans="1:13" ht="12.75" customHeight="1" x14ac:dyDescent="0.25">
      <c r="A64233"/>
      <c r="B64233"/>
      <c r="C64233"/>
      <c r="M64233"/>
    </row>
    <row r="64234" spans="1:13" ht="12.75" customHeight="1" x14ac:dyDescent="0.25">
      <c r="A64234"/>
      <c r="B64234"/>
      <c r="C64234"/>
      <c r="M64234"/>
    </row>
    <row r="64235" spans="1:13" ht="12.75" customHeight="1" x14ac:dyDescent="0.25">
      <c r="A64235"/>
      <c r="B64235"/>
      <c r="C64235"/>
      <c r="M64235"/>
    </row>
    <row r="64236" spans="1:13" ht="12.75" customHeight="1" x14ac:dyDescent="0.25">
      <c r="A64236"/>
      <c r="B64236"/>
      <c r="C64236"/>
      <c r="M64236"/>
    </row>
    <row r="64237" spans="1:13" ht="12.75" customHeight="1" x14ac:dyDescent="0.25">
      <c r="A64237"/>
      <c r="B64237"/>
      <c r="C64237"/>
      <c r="M64237"/>
    </row>
    <row r="64238" spans="1:13" ht="12.75" customHeight="1" x14ac:dyDescent="0.25">
      <c r="A64238"/>
      <c r="B64238"/>
      <c r="C64238"/>
      <c r="M64238"/>
    </row>
    <row r="64239" spans="1:13" ht="12.75" customHeight="1" x14ac:dyDescent="0.25">
      <c r="A64239"/>
      <c r="B64239"/>
      <c r="C64239"/>
      <c r="M64239"/>
    </row>
    <row r="64240" spans="1:13" ht="12.75" customHeight="1" x14ac:dyDescent="0.25">
      <c r="A64240"/>
      <c r="B64240"/>
      <c r="C64240"/>
      <c r="M64240"/>
    </row>
    <row r="64241" spans="1:13" ht="12.75" customHeight="1" x14ac:dyDescent="0.25">
      <c r="A64241"/>
      <c r="B64241"/>
      <c r="C64241"/>
      <c r="M64241"/>
    </row>
    <row r="64242" spans="1:13" ht="12.75" customHeight="1" x14ac:dyDescent="0.25">
      <c r="A64242"/>
      <c r="B64242"/>
      <c r="C64242"/>
      <c r="M64242"/>
    </row>
    <row r="64243" spans="1:13" ht="12.75" customHeight="1" x14ac:dyDescent="0.25">
      <c r="A64243"/>
      <c r="B64243"/>
      <c r="C64243"/>
      <c r="M64243"/>
    </row>
    <row r="64244" spans="1:13" ht="12.75" customHeight="1" x14ac:dyDescent="0.25">
      <c r="A64244"/>
      <c r="B64244"/>
      <c r="C64244"/>
      <c r="M64244"/>
    </row>
    <row r="64245" spans="1:13" ht="12.75" customHeight="1" x14ac:dyDescent="0.25">
      <c r="A64245"/>
      <c r="B64245"/>
      <c r="C64245"/>
      <c r="M64245"/>
    </row>
    <row r="64246" spans="1:13" ht="12.75" customHeight="1" x14ac:dyDescent="0.25">
      <c r="A64246"/>
      <c r="B64246"/>
      <c r="C64246"/>
      <c r="M64246"/>
    </row>
    <row r="64247" spans="1:13" ht="12.75" customHeight="1" x14ac:dyDescent="0.25">
      <c r="A64247"/>
      <c r="B64247"/>
      <c r="C64247"/>
      <c r="M64247"/>
    </row>
    <row r="64248" spans="1:13" ht="12.75" customHeight="1" x14ac:dyDescent="0.25">
      <c r="A64248"/>
      <c r="B64248"/>
      <c r="C64248"/>
      <c r="M64248"/>
    </row>
    <row r="64249" spans="1:13" ht="12.75" customHeight="1" x14ac:dyDescent="0.25">
      <c r="A64249"/>
      <c r="B64249"/>
      <c r="C64249"/>
      <c r="M64249"/>
    </row>
    <row r="64250" spans="1:13" ht="12.75" customHeight="1" x14ac:dyDescent="0.25">
      <c r="A64250"/>
      <c r="B64250"/>
      <c r="C64250"/>
      <c r="M64250"/>
    </row>
    <row r="64251" spans="1:13" ht="12.75" customHeight="1" x14ac:dyDescent="0.25">
      <c r="A64251"/>
      <c r="B64251"/>
      <c r="C64251"/>
      <c r="M64251"/>
    </row>
    <row r="64252" spans="1:13" ht="12.75" customHeight="1" x14ac:dyDescent="0.25">
      <c r="A64252"/>
      <c r="B64252"/>
      <c r="C64252"/>
      <c r="M64252"/>
    </row>
    <row r="64253" spans="1:13" ht="12.75" customHeight="1" x14ac:dyDescent="0.25">
      <c r="A64253"/>
      <c r="B64253"/>
      <c r="C64253"/>
      <c r="M64253"/>
    </row>
    <row r="64254" spans="1:13" ht="12.75" customHeight="1" x14ac:dyDescent="0.25">
      <c r="A64254"/>
      <c r="B64254"/>
      <c r="C64254"/>
      <c r="M64254"/>
    </row>
    <row r="64255" spans="1:13" ht="12.75" customHeight="1" x14ac:dyDescent="0.25">
      <c r="A64255"/>
      <c r="B64255"/>
      <c r="C64255"/>
      <c r="M64255"/>
    </row>
    <row r="64256" spans="1:13" ht="12.75" customHeight="1" x14ac:dyDescent="0.25">
      <c r="A64256"/>
      <c r="B64256"/>
      <c r="C64256"/>
      <c r="M64256"/>
    </row>
    <row r="64257" spans="1:13" ht="12.75" customHeight="1" x14ac:dyDescent="0.25">
      <c r="A64257"/>
      <c r="B64257"/>
      <c r="C64257"/>
      <c r="M64257"/>
    </row>
    <row r="64258" spans="1:13" ht="12.75" customHeight="1" x14ac:dyDescent="0.25">
      <c r="A64258"/>
      <c r="B64258"/>
      <c r="C64258"/>
      <c r="M64258"/>
    </row>
    <row r="64259" spans="1:13" ht="12.75" customHeight="1" x14ac:dyDescent="0.25">
      <c r="A64259"/>
      <c r="B64259"/>
      <c r="C64259"/>
      <c r="M64259"/>
    </row>
    <row r="64260" spans="1:13" ht="12.75" customHeight="1" x14ac:dyDescent="0.25">
      <c r="A64260"/>
      <c r="B64260"/>
      <c r="C64260"/>
      <c r="M64260"/>
    </row>
    <row r="64261" spans="1:13" ht="12.75" customHeight="1" x14ac:dyDescent="0.25">
      <c r="A64261"/>
      <c r="B64261"/>
      <c r="C64261"/>
      <c r="M64261"/>
    </row>
    <row r="64262" spans="1:13" ht="12.75" customHeight="1" x14ac:dyDescent="0.25">
      <c r="A64262"/>
      <c r="B64262"/>
      <c r="C64262"/>
      <c r="M64262"/>
    </row>
    <row r="64263" spans="1:13" ht="12.75" customHeight="1" x14ac:dyDescent="0.25">
      <c r="A64263"/>
      <c r="B64263"/>
      <c r="C64263"/>
      <c r="M64263"/>
    </row>
    <row r="64264" spans="1:13" ht="12.75" customHeight="1" x14ac:dyDescent="0.25">
      <c r="A64264"/>
      <c r="B64264"/>
      <c r="C64264"/>
      <c r="M64264"/>
    </row>
    <row r="64265" spans="1:13" ht="12.75" customHeight="1" x14ac:dyDescent="0.25">
      <c r="A64265"/>
      <c r="B64265"/>
      <c r="C64265"/>
      <c r="M64265"/>
    </row>
    <row r="64266" spans="1:13" ht="12.75" customHeight="1" x14ac:dyDescent="0.25">
      <c r="A64266"/>
      <c r="B64266"/>
      <c r="C64266"/>
      <c r="M64266"/>
    </row>
    <row r="64267" spans="1:13" ht="12.75" customHeight="1" x14ac:dyDescent="0.25">
      <c r="A64267"/>
      <c r="B64267"/>
      <c r="C64267"/>
      <c r="M64267"/>
    </row>
    <row r="64268" spans="1:13" ht="12.75" customHeight="1" x14ac:dyDescent="0.25">
      <c r="A64268"/>
      <c r="B64268"/>
      <c r="C64268"/>
      <c r="M64268"/>
    </row>
    <row r="64269" spans="1:13" ht="12.75" customHeight="1" x14ac:dyDescent="0.25">
      <c r="A64269"/>
      <c r="B64269"/>
      <c r="C64269"/>
      <c r="M64269"/>
    </row>
    <row r="64270" spans="1:13" ht="12.75" customHeight="1" x14ac:dyDescent="0.25">
      <c r="A64270"/>
      <c r="B64270"/>
      <c r="C64270"/>
      <c r="M64270"/>
    </row>
    <row r="64271" spans="1:13" ht="12.75" customHeight="1" x14ac:dyDescent="0.25">
      <c r="A64271"/>
      <c r="B64271"/>
      <c r="C64271"/>
      <c r="M64271"/>
    </row>
    <row r="64272" spans="1:13" ht="12.75" customHeight="1" x14ac:dyDescent="0.25">
      <c r="A64272"/>
      <c r="B64272"/>
      <c r="C64272"/>
      <c r="M64272"/>
    </row>
    <row r="64273" spans="1:13" ht="12.75" customHeight="1" x14ac:dyDescent="0.25">
      <c r="A64273"/>
      <c r="B64273"/>
      <c r="C64273"/>
      <c r="M64273"/>
    </row>
    <row r="64274" spans="1:13" ht="12.75" customHeight="1" x14ac:dyDescent="0.25">
      <c r="A64274"/>
      <c r="B64274"/>
      <c r="C64274"/>
      <c r="M64274"/>
    </row>
    <row r="64275" spans="1:13" ht="12.75" customHeight="1" x14ac:dyDescent="0.25">
      <c r="A64275"/>
      <c r="B64275"/>
      <c r="C64275"/>
      <c r="M64275"/>
    </row>
    <row r="64276" spans="1:13" ht="12.75" customHeight="1" x14ac:dyDescent="0.25">
      <c r="A64276"/>
      <c r="B64276"/>
      <c r="C64276"/>
      <c r="M64276"/>
    </row>
    <row r="64277" spans="1:13" ht="12.75" customHeight="1" x14ac:dyDescent="0.25">
      <c r="A64277"/>
      <c r="B64277"/>
      <c r="C64277"/>
      <c r="M64277"/>
    </row>
    <row r="64278" spans="1:13" ht="12.75" customHeight="1" x14ac:dyDescent="0.25">
      <c r="A64278"/>
      <c r="B64278"/>
      <c r="C64278"/>
      <c r="M64278"/>
    </row>
    <row r="64279" spans="1:13" ht="12.75" customHeight="1" x14ac:dyDescent="0.25">
      <c r="A64279"/>
      <c r="B64279"/>
      <c r="C64279"/>
      <c r="M64279"/>
    </row>
    <row r="64280" spans="1:13" ht="12.75" customHeight="1" x14ac:dyDescent="0.25">
      <c r="A64280"/>
      <c r="B64280"/>
      <c r="C64280"/>
      <c r="M64280"/>
    </row>
    <row r="64281" spans="1:13" ht="12.75" customHeight="1" x14ac:dyDescent="0.25">
      <c r="A64281"/>
      <c r="B64281"/>
      <c r="C64281"/>
      <c r="M64281"/>
    </row>
    <row r="64282" spans="1:13" ht="12.75" customHeight="1" x14ac:dyDescent="0.25">
      <c r="A64282"/>
      <c r="B64282"/>
      <c r="C64282"/>
      <c r="M64282"/>
    </row>
    <row r="64283" spans="1:13" ht="12.75" customHeight="1" x14ac:dyDescent="0.25">
      <c r="A64283"/>
      <c r="B64283"/>
      <c r="C64283"/>
      <c r="M64283"/>
    </row>
    <row r="64284" spans="1:13" ht="12.75" customHeight="1" x14ac:dyDescent="0.25">
      <c r="A64284"/>
      <c r="B64284"/>
      <c r="C64284"/>
      <c r="M64284"/>
    </row>
    <row r="64285" spans="1:13" ht="12.75" customHeight="1" x14ac:dyDescent="0.25">
      <c r="A64285"/>
      <c r="B64285"/>
      <c r="C64285"/>
      <c r="M64285"/>
    </row>
    <row r="64286" spans="1:13" ht="12.75" customHeight="1" x14ac:dyDescent="0.25">
      <c r="A64286"/>
      <c r="B64286"/>
      <c r="C64286"/>
      <c r="M64286"/>
    </row>
    <row r="64287" spans="1:13" ht="12.75" customHeight="1" x14ac:dyDescent="0.25">
      <c r="A64287"/>
      <c r="B64287"/>
      <c r="C64287"/>
      <c r="M64287"/>
    </row>
    <row r="64288" spans="1:13" ht="12.75" customHeight="1" x14ac:dyDescent="0.25">
      <c r="A64288"/>
      <c r="B64288"/>
      <c r="C64288"/>
      <c r="M64288"/>
    </row>
    <row r="64289" spans="1:13" ht="12.75" customHeight="1" x14ac:dyDescent="0.25">
      <c r="A64289"/>
      <c r="B64289"/>
      <c r="C64289"/>
      <c r="M64289"/>
    </row>
    <row r="64290" spans="1:13" ht="12.75" customHeight="1" x14ac:dyDescent="0.25">
      <c r="A64290"/>
      <c r="B64290"/>
      <c r="C64290"/>
      <c r="M64290"/>
    </row>
    <row r="64291" spans="1:13" ht="12.75" customHeight="1" x14ac:dyDescent="0.25">
      <c r="A64291"/>
      <c r="B64291"/>
      <c r="C64291"/>
      <c r="M64291"/>
    </row>
    <row r="64292" spans="1:13" ht="12.75" customHeight="1" x14ac:dyDescent="0.25">
      <c r="A64292"/>
      <c r="B64292"/>
      <c r="C64292"/>
      <c r="M64292"/>
    </row>
    <row r="64293" spans="1:13" ht="12.75" customHeight="1" x14ac:dyDescent="0.25">
      <c r="A64293"/>
      <c r="B64293"/>
      <c r="C64293"/>
      <c r="M64293"/>
    </row>
    <row r="64294" spans="1:13" ht="12.75" customHeight="1" x14ac:dyDescent="0.25">
      <c r="A64294"/>
      <c r="B64294"/>
      <c r="C64294"/>
      <c r="M64294"/>
    </row>
    <row r="64295" spans="1:13" ht="12.75" customHeight="1" x14ac:dyDescent="0.25">
      <c r="A64295"/>
      <c r="B64295"/>
      <c r="C64295"/>
      <c r="M64295"/>
    </row>
    <row r="64296" spans="1:13" ht="12.75" customHeight="1" x14ac:dyDescent="0.25">
      <c r="A64296"/>
      <c r="B64296"/>
      <c r="C64296"/>
      <c r="M64296"/>
    </row>
    <row r="64297" spans="1:13" ht="12.75" customHeight="1" x14ac:dyDescent="0.25">
      <c r="A64297"/>
      <c r="B64297"/>
      <c r="C64297"/>
      <c r="M64297"/>
    </row>
    <row r="64298" spans="1:13" ht="12.75" customHeight="1" x14ac:dyDescent="0.25">
      <c r="A64298"/>
      <c r="B64298"/>
      <c r="C64298"/>
      <c r="M64298"/>
    </row>
    <row r="64299" spans="1:13" ht="12.75" customHeight="1" x14ac:dyDescent="0.25">
      <c r="A64299"/>
      <c r="B64299"/>
      <c r="C64299"/>
      <c r="M64299"/>
    </row>
    <row r="64300" spans="1:13" ht="12.75" customHeight="1" x14ac:dyDescent="0.25">
      <c r="A64300"/>
      <c r="B64300"/>
      <c r="C64300"/>
      <c r="M64300"/>
    </row>
    <row r="64301" spans="1:13" ht="12.75" customHeight="1" x14ac:dyDescent="0.25">
      <c r="A64301"/>
      <c r="B64301"/>
      <c r="C64301"/>
      <c r="M64301"/>
    </row>
    <row r="64302" spans="1:13" ht="12.75" customHeight="1" x14ac:dyDescent="0.25">
      <c r="A64302"/>
      <c r="B64302"/>
      <c r="C64302"/>
      <c r="M64302"/>
    </row>
    <row r="64303" spans="1:13" ht="12.75" customHeight="1" x14ac:dyDescent="0.25">
      <c r="A64303"/>
      <c r="B64303"/>
      <c r="C64303"/>
      <c r="M64303"/>
    </row>
    <row r="64304" spans="1:13" ht="12.75" customHeight="1" x14ac:dyDescent="0.25">
      <c r="A64304"/>
      <c r="B64304"/>
      <c r="C64304"/>
      <c r="M64304"/>
    </row>
    <row r="64305" spans="1:13" ht="12.75" customHeight="1" x14ac:dyDescent="0.25">
      <c r="A64305"/>
      <c r="B64305"/>
      <c r="C64305"/>
      <c r="M64305"/>
    </row>
    <row r="64306" spans="1:13" ht="12.75" customHeight="1" x14ac:dyDescent="0.25">
      <c r="A64306"/>
      <c r="B64306"/>
      <c r="C64306"/>
      <c r="M64306"/>
    </row>
    <row r="64307" spans="1:13" ht="12.75" customHeight="1" x14ac:dyDescent="0.25">
      <c r="A64307"/>
      <c r="B64307"/>
      <c r="C64307"/>
      <c r="M64307"/>
    </row>
    <row r="64308" spans="1:13" ht="12.75" customHeight="1" x14ac:dyDescent="0.25">
      <c r="A64308"/>
      <c r="B64308"/>
      <c r="C64308"/>
      <c r="M64308"/>
    </row>
    <row r="64309" spans="1:13" ht="12.75" customHeight="1" x14ac:dyDescent="0.25">
      <c r="A64309"/>
      <c r="B64309"/>
      <c r="C64309"/>
      <c r="M64309"/>
    </row>
    <row r="64310" spans="1:13" ht="12.75" customHeight="1" x14ac:dyDescent="0.25">
      <c r="A64310"/>
      <c r="B64310"/>
      <c r="C64310"/>
      <c r="M64310"/>
    </row>
    <row r="64311" spans="1:13" ht="12.75" customHeight="1" x14ac:dyDescent="0.25">
      <c r="A64311"/>
      <c r="B64311"/>
      <c r="C64311"/>
      <c r="M64311"/>
    </row>
    <row r="64312" spans="1:13" ht="12.75" customHeight="1" x14ac:dyDescent="0.25">
      <c r="A64312"/>
      <c r="B64312"/>
      <c r="C64312"/>
      <c r="M64312"/>
    </row>
    <row r="64313" spans="1:13" ht="12.75" customHeight="1" x14ac:dyDescent="0.25">
      <c r="A64313"/>
      <c r="B64313"/>
      <c r="C64313"/>
      <c r="M64313"/>
    </row>
    <row r="64314" spans="1:13" ht="12.75" customHeight="1" x14ac:dyDescent="0.25">
      <c r="A64314"/>
      <c r="B64314"/>
      <c r="C64314"/>
      <c r="M64314"/>
    </row>
    <row r="64315" spans="1:13" ht="12.75" customHeight="1" x14ac:dyDescent="0.25">
      <c r="A64315"/>
      <c r="B64315"/>
      <c r="C64315"/>
      <c r="M64315"/>
    </row>
    <row r="64316" spans="1:13" ht="12.75" customHeight="1" x14ac:dyDescent="0.25">
      <c r="A64316"/>
      <c r="B64316"/>
      <c r="C64316"/>
      <c r="M64316"/>
    </row>
    <row r="64317" spans="1:13" ht="12.75" customHeight="1" x14ac:dyDescent="0.25">
      <c r="A64317"/>
      <c r="B64317"/>
      <c r="C64317"/>
      <c r="M64317"/>
    </row>
    <row r="64318" spans="1:13" ht="12.75" customHeight="1" x14ac:dyDescent="0.25">
      <c r="A64318"/>
      <c r="B64318"/>
      <c r="C64318"/>
      <c r="M64318"/>
    </row>
    <row r="64319" spans="1:13" ht="12.75" customHeight="1" x14ac:dyDescent="0.25">
      <c r="A64319"/>
      <c r="B64319"/>
      <c r="C64319"/>
      <c r="M64319"/>
    </row>
    <row r="64320" spans="1:13" ht="12.75" customHeight="1" x14ac:dyDescent="0.25">
      <c r="A64320"/>
      <c r="B64320"/>
      <c r="C64320"/>
      <c r="M64320"/>
    </row>
    <row r="64321" spans="1:13" ht="12.75" customHeight="1" x14ac:dyDescent="0.25">
      <c r="A64321"/>
      <c r="B64321"/>
      <c r="C64321"/>
      <c r="M64321"/>
    </row>
    <row r="64322" spans="1:13" ht="12.75" customHeight="1" x14ac:dyDescent="0.25">
      <c r="A64322"/>
      <c r="B64322"/>
      <c r="C64322"/>
      <c r="M64322"/>
    </row>
    <row r="64323" spans="1:13" ht="12.75" customHeight="1" x14ac:dyDescent="0.25">
      <c r="A64323"/>
      <c r="B64323"/>
      <c r="C64323"/>
      <c r="M64323"/>
    </row>
    <row r="64324" spans="1:13" ht="12.75" customHeight="1" x14ac:dyDescent="0.25">
      <c r="A64324"/>
      <c r="B64324"/>
      <c r="C64324"/>
      <c r="M64324"/>
    </row>
    <row r="64325" spans="1:13" ht="12.75" customHeight="1" x14ac:dyDescent="0.25">
      <c r="A64325"/>
      <c r="B64325"/>
      <c r="C64325"/>
      <c r="M64325"/>
    </row>
    <row r="64326" spans="1:13" ht="12.75" customHeight="1" x14ac:dyDescent="0.25">
      <c r="A64326"/>
      <c r="B64326"/>
      <c r="C64326"/>
      <c r="M64326"/>
    </row>
    <row r="64327" spans="1:13" ht="12.75" customHeight="1" x14ac:dyDescent="0.25">
      <c r="A64327"/>
      <c r="B64327"/>
      <c r="C64327"/>
      <c r="M64327"/>
    </row>
    <row r="64328" spans="1:13" ht="12.75" customHeight="1" x14ac:dyDescent="0.25">
      <c r="A64328"/>
      <c r="B64328"/>
      <c r="C64328"/>
      <c r="M64328"/>
    </row>
    <row r="64329" spans="1:13" ht="12.75" customHeight="1" x14ac:dyDescent="0.25">
      <c r="A64329"/>
      <c r="B64329"/>
      <c r="C64329"/>
      <c r="M64329"/>
    </row>
    <row r="64330" spans="1:13" ht="12.75" customHeight="1" x14ac:dyDescent="0.25">
      <c r="A64330"/>
      <c r="B64330"/>
      <c r="C64330"/>
      <c r="M64330"/>
    </row>
    <row r="64331" spans="1:13" ht="12.75" customHeight="1" x14ac:dyDescent="0.25">
      <c r="A64331"/>
      <c r="B64331"/>
      <c r="C64331"/>
      <c r="M64331"/>
    </row>
    <row r="64332" spans="1:13" ht="12.75" customHeight="1" x14ac:dyDescent="0.25">
      <c r="A64332"/>
      <c r="B64332"/>
      <c r="C64332"/>
      <c r="M64332"/>
    </row>
    <row r="64333" spans="1:13" ht="12.75" customHeight="1" x14ac:dyDescent="0.25">
      <c r="A64333"/>
      <c r="B64333"/>
      <c r="C64333"/>
      <c r="M64333"/>
    </row>
    <row r="64334" spans="1:13" ht="12.75" customHeight="1" x14ac:dyDescent="0.25">
      <c r="A64334"/>
      <c r="B64334"/>
      <c r="C64334"/>
      <c r="M64334"/>
    </row>
    <row r="64335" spans="1:13" ht="12.75" customHeight="1" x14ac:dyDescent="0.25">
      <c r="A64335"/>
      <c r="B64335"/>
      <c r="C64335"/>
      <c r="M64335"/>
    </row>
    <row r="64336" spans="1:13" ht="12.75" customHeight="1" x14ac:dyDescent="0.25">
      <c r="A64336"/>
      <c r="B64336"/>
      <c r="C64336"/>
      <c r="M64336"/>
    </row>
    <row r="64337" spans="1:13" ht="12.75" customHeight="1" x14ac:dyDescent="0.25">
      <c r="A64337"/>
      <c r="B64337"/>
      <c r="C64337"/>
      <c r="M64337"/>
    </row>
    <row r="64338" spans="1:13" ht="12.75" customHeight="1" x14ac:dyDescent="0.25">
      <c r="A64338"/>
      <c r="B64338"/>
      <c r="C64338"/>
      <c r="M64338"/>
    </row>
    <row r="64339" spans="1:13" ht="12.75" customHeight="1" x14ac:dyDescent="0.25">
      <c r="A64339"/>
      <c r="B64339"/>
      <c r="C64339"/>
      <c r="M64339"/>
    </row>
    <row r="64340" spans="1:13" ht="12.75" customHeight="1" x14ac:dyDescent="0.25">
      <c r="A64340"/>
      <c r="B64340"/>
      <c r="C64340"/>
      <c r="M64340"/>
    </row>
    <row r="64341" spans="1:13" ht="12.75" customHeight="1" x14ac:dyDescent="0.25">
      <c r="A64341"/>
      <c r="B64341"/>
      <c r="C64341"/>
      <c r="M64341"/>
    </row>
    <row r="64342" spans="1:13" ht="12.75" customHeight="1" x14ac:dyDescent="0.25">
      <c r="A64342"/>
      <c r="B64342"/>
      <c r="C64342"/>
      <c r="M64342"/>
    </row>
    <row r="64343" spans="1:13" ht="12.75" customHeight="1" x14ac:dyDescent="0.25">
      <c r="A64343"/>
      <c r="B64343"/>
      <c r="C64343"/>
      <c r="M64343"/>
    </row>
    <row r="64344" spans="1:13" ht="12.75" customHeight="1" x14ac:dyDescent="0.25">
      <c r="A64344"/>
      <c r="B64344"/>
      <c r="C64344"/>
      <c r="M64344"/>
    </row>
    <row r="64345" spans="1:13" ht="12.75" customHeight="1" x14ac:dyDescent="0.25">
      <c r="A64345"/>
      <c r="B64345"/>
      <c r="C64345"/>
      <c r="M64345"/>
    </row>
    <row r="64346" spans="1:13" ht="12.75" customHeight="1" x14ac:dyDescent="0.25">
      <c r="A64346"/>
      <c r="B64346"/>
      <c r="C64346"/>
      <c r="M64346"/>
    </row>
    <row r="64347" spans="1:13" ht="12.75" customHeight="1" x14ac:dyDescent="0.25">
      <c r="A64347"/>
      <c r="B64347"/>
      <c r="C64347"/>
      <c r="M64347"/>
    </row>
    <row r="64348" spans="1:13" ht="12.75" customHeight="1" x14ac:dyDescent="0.25">
      <c r="A64348"/>
      <c r="B64348"/>
      <c r="C64348"/>
      <c r="M64348"/>
    </row>
    <row r="64349" spans="1:13" ht="12.75" customHeight="1" x14ac:dyDescent="0.25">
      <c r="A64349"/>
      <c r="B64349"/>
      <c r="C64349"/>
      <c r="M64349"/>
    </row>
    <row r="64350" spans="1:13" ht="12.75" customHeight="1" x14ac:dyDescent="0.25">
      <c r="A64350"/>
      <c r="B64350"/>
      <c r="C64350"/>
      <c r="M64350"/>
    </row>
    <row r="64351" spans="1:13" ht="12.75" customHeight="1" x14ac:dyDescent="0.25">
      <c r="A64351"/>
      <c r="B64351"/>
      <c r="C64351"/>
      <c r="M64351"/>
    </row>
    <row r="64352" spans="1:13" ht="12.75" customHeight="1" x14ac:dyDescent="0.25">
      <c r="A64352"/>
      <c r="B64352"/>
      <c r="C64352"/>
      <c r="M64352"/>
    </row>
    <row r="64353" spans="1:13" ht="12.75" customHeight="1" x14ac:dyDescent="0.25">
      <c r="A64353"/>
      <c r="B64353"/>
      <c r="C64353"/>
      <c r="M64353"/>
    </row>
    <row r="64354" spans="1:13" ht="12.75" customHeight="1" x14ac:dyDescent="0.25">
      <c r="A64354"/>
      <c r="B64354"/>
      <c r="C64354"/>
      <c r="M64354"/>
    </row>
    <row r="64355" spans="1:13" ht="12.75" customHeight="1" x14ac:dyDescent="0.25">
      <c r="A64355"/>
      <c r="B64355"/>
      <c r="C64355"/>
      <c r="M64355"/>
    </row>
    <row r="64356" spans="1:13" ht="12.75" customHeight="1" x14ac:dyDescent="0.25">
      <c r="A64356"/>
      <c r="B64356"/>
      <c r="C64356"/>
      <c r="M64356"/>
    </row>
    <row r="64357" spans="1:13" ht="12.75" customHeight="1" x14ac:dyDescent="0.25">
      <c r="A64357"/>
      <c r="B64357"/>
      <c r="C64357"/>
      <c r="M64357"/>
    </row>
    <row r="64358" spans="1:13" ht="12.75" customHeight="1" x14ac:dyDescent="0.25">
      <c r="A64358"/>
      <c r="B64358"/>
      <c r="C64358"/>
      <c r="M64358"/>
    </row>
    <row r="64359" spans="1:13" ht="12.75" customHeight="1" x14ac:dyDescent="0.25">
      <c r="A64359"/>
      <c r="B64359"/>
      <c r="C64359"/>
      <c r="M64359"/>
    </row>
    <row r="64360" spans="1:13" ht="12.75" customHeight="1" x14ac:dyDescent="0.25">
      <c r="A64360"/>
      <c r="B64360"/>
      <c r="C64360"/>
      <c r="M64360"/>
    </row>
    <row r="64361" spans="1:13" ht="12.75" customHeight="1" x14ac:dyDescent="0.25">
      <c r="A64361"/>
      <c r="B64361"/>
      <c r="C64361"/>
      <c r="M64361"/>
    </row>
    <row r="64362" spans="1:13" ht="12.75" customHeight="1" x14ac:dyDescent="0.25">
      <c r="A64362"/>
      <c r="B64362"/>
      <c r="C64362"/>
      <c r="M64362"/>
    </row>
    <row r="64363" spans="1:13" ht="12.75" customHeight="1" x14ac:dyDescent="0.25">
      <c r="A64363"/>
      <c r="B64363"/>
      <c r="C64363"/>
      <c r="M64363"/>
    </row>
    <row r="64364" spans="1:13" ht="12.75" customHeight="1" x14ac:dyDescent="0.25">
      <c r="A64364"/>
      <c r="B64364"/>
      <c r="C64364"/>
      <c r="M64364"/>
    </row>
    <row r="64365" spans="1:13" ht="12.75" customHeight="1" x14ac:dyDescent="0.25">
      <c r="A64365"/>
      <c r="B64365"/>
      <c r="C64365"/>
      <c r="M64365"/>
    </row>
    <row r="64366" spans="1:13" ht="12.75" customHeight="1" x14ac:dyDescent="0.25">
      <c r="A64366"/>
      <c r="B64366"/>
      <c r="C64366"/>
      <c r="M64366"/>
    </row>
    <row r="64367" spans="1:13" ht="12.75" customHeight="1" x14ac:dyDescent="0.25">
      <c r="A64367"/>
      <c r="B64367"/>
      <c r="C64367"/>
      <c r="M64367"/>
    </row>
    <row r="64368" spans="1:13" ht="12.75" customHeight="1" x14ac:dyDescent="0.25">
      <c r="A64368"/>
      <c r="B64368"/>
      <c r="C64368"/>
      <c r="M64368"/>
    </row>
    <row r="64369" spans="1:13" ht="12.75" customHeight="1" x14ac:dyDescent="0.25">
      <c r="A64369"/>
      <c r="B64369"/>
      <c r="C64369"/>
      <c r="M64369"/>
    </row>
    <row r="64370" spans="1:13" ht="12.75" customHeight="1" x14ac:dyDescent="0.25">
      <c r="A64370"/>
      <c r="B64370"/>
      <c r="C64370"/>
      <c r="M64370"/>
    </row>
    <row r="64371" spans="1:13" ht="12.75" customHeight="1" x14ac:dyDescent="0.25">
      <c r="A64371"/>
      <c r="B64371"/>
      <c r="C64371"/>
      <c r="M64371"/>
    </row>
    <row r="64372" spans="1:13" ht="12.75" customHeight="1" x14ac:dyDescent="0.25">
      <c r="A64372"/>
      <c r="B64372"/>
      <c r="C64372"/>
      <c r="M64372"/>
    </row>
    <row r="64373" spans="1:13" ht="12.75" customHeight="1" x14ac:dyDescent="0.25">
      <c r="A64373"/>
      <c r="B64373"/>
      <c r="C64373"/>
      <c r="M64373"/>
    </row>
    <row r="64374" spans="1:13" ht="12.75" customHeight="1" x14ac:dyDescent="0.25">
      <c r="A64374"/>
      <c r="B64374"/>
      <c r="C64374"/>
      <c r="M64374"/>
    </row>
    <row r="64375" spans="1:13" ht="12.75" customHeight="1" x14ac:dyDescent="0.25">
      <c r="A64375"/>
      <c r="B64375"/>
      <c r="C64375"/>
      <c r="M64375"/>
    </row>
    <row r="64376" spans="1:13" ht="12.75" customHeight="1" x14ac:dyDescent="0.25">
      <c r="A64376"/>
      <c r="B64376"/>
      <c r="C64376"/>
      <c r="M64376"/>
    </row>
    <row r="64377" spans="1:13" ht="12.75" customHeight="1" x14ac:dyDescent="0.25">
      <c r="A64377"/>
      <c r="B64377"/>
      <c r="C64377"/>
      <c r="M64377"/>
    </row>
    <row r="64378" spans="1:13" ht="12.75" customHeight="1" x14ac:dyDescent="0.25">
      <c r="A64378"/>
      <c r="B64378"/>
      <c r="C64378"/>
      <c r="M64378"/>
    </row>
    <row r="64379" spans="1:13" ht="12.75" customHeight="1" x14ac:dyDescent="0.25">
      <c r="A64379"/>
      <c r="B64379"/>
      <c r="C64379"/>
      <c r="M64379"/>
    </row>
    <row r="64380" spans="1:13" ht="12.75" customHeight="1" x14ac:dyDescent="0.25">
      <c r="A64380"/>
      <c r="B64380"/>
      <c r="C64380"/>
      <c r="M64380"/>
    </row>
    <row r="64381" spans="1:13" ht="12.75" customHeight="1" x14ac:dyDescent="0.25">
      <c r="A64381"/>
      <c r="B64381"/>
      <c r="C64381"/>
      <c r="M64381"/>
    </row>
    <row r="64382" spans="1:13" ht="12.75" customHeight="1" x14ac:dyDescent="0.25">
      <c r="A64382"/>
      <c r="B64382"/>
      <c r="C64382"/>
      <c r="M64382"/>
    </row>
    <row r="64383" spans="1:13" ht="12.75" customHeight="1" x14ac:dyDescent="0.25">
      <c r="A64383"/>
      <c r="B64383"/>
      <c r="C64383"/>
      <c r="M64383"/>
    </row>
    <row r="64384" spans="1:13" ht="12.75" customHeight="1" x14ac:dyDescent="0.25">
      <c r="A64384"/>
      <c r="B64384"/>
      <c r="C64384"/>
      <c r="M64384"/>
    </row>
    <row r="64385" spans="1:13" ht="12.75" customHeight="1" x14ac:dyDescent="0.25">
      <c r="A64385"/>
      <c r="B64385"/>
      <c r="C64385"/>
      <c r="M64385"/>
    </row>
    <row r="64386" spans="1:13" ht="12.75" customHeight="1" x14ac:dyDescent="0.25">
      <c r="A64386"/>
      <c r="B64386"/>
      <c r="C64386"/>
      <c r="M64386"/>
    </row>
    <row r="64387" spans="1:13" ht="12.75" customHeight="1" x14ac:dyDescent="0.25">
      <c r="A64387"/>
      <c r="B64387"/>
      <c r="C64387"/>
      <c r="M64387"/>
    </row>
    <row r="64388" spans="1:13" ht="12.75" customHeight="1" x14ac:dyDescent="0.25">
      <c r="A64388"/>
      <c r="B64388"/>
      <c r="C64388"/>
      <c r="M64388"/>
    </row>
    <row r="64389" spans="1:13" ht="12.75" customHeight="1" x14ac:dyDescent="0.25">
      <c r="A64389"/>
      <c r="B64389"/>
      <c r="C64389"/>
      <c r="M64389"/>
    </row>
    <row r="64390" spans="1:13" ht="12.75" customHeight="1" x14ac:dyDescent="0.25">
      <c r="A64390"/>
      <c r="B64390"/>
      <c r="C64390"/>
      <c r="M64390"/>
    </row>
    <row r="64391" spans="1:13" ht="12.75" customHeight="1" x14ac:dyDescent="0.25">
      <c r="A64391"/>
      <c r="B64391"/>
      <c r="C64391"/>
      <c r="M64391"/>
    </row>
    <row r="64392" spans="1:13" ht="12.75" customHeight="1" x14ac:dyDescent="0.25">
      <c r="A64392"/>
      <c r="B64392"/>
      <c r="C64392"/>
      <c r="M64392"/>
    </row>
    <row r="64393" spans="1:13" ht="12.75" customHeight="1" x14ac:dyDescent="0.25">
      <c r="A64393"/>
      <c r="B64393"/>
      <c r="C64393"/>
      <c r="M64393"/>
    </row>
    <row r="64394" spans="1:13" ht="12.75" customHeight="1" x14ac:dyDescent="0.25">
      <c r="A64394"/>
      <c r="B64394"/>
      <c r="C64394"/>
      <c r="M64394"/>
    </row>
    <row r="64395" spans="1:13" ht="12.75" customHeight="1" x14ac:dyDescent="0.25">
      <c r="A64395"/>
      <c r="B64395"/>
      <c r="C64395"/>
      <c r="M64395"/>
    </row>
    <row r="64396" spans="1:13" ht="12.75" customHeight="1" x14ac:dyDescent="0.25">
      <c r="A64396"/>
      <c r="B64396"/>
      <c r="C64396"/>
      <c r="M64396"/>
    </row>
    <row r="64397" spans="1:13" ht="12.75" customHeight="1" x14ac:dyDescent="0.25">
      <c r="A64397"/>
      <c r="B64397"/>
      <c r="C64397"/>
      <c r="M64397"/>
    </row>
    <row r="64398" spans="1:13" ht="12.75" customHeight="1" x14ac:dyDescent="0.25">
      <c r="A64398"/>
      <c r="B64398"/>
      <c r="C64398"/>
      <c r="M64398"/>
    </row>
    <row r="64399" spans="1:13" ht="12.75" customHeight="1" x14ac:dyDescent="0.25">
      <c r="A64399"/>
      <c r="B64399"/>
      <c r="C64399"/>
      <c r="M64399"/>
    </row>
    <row r="64400" spans="1:13" ht="12.75" customHeight="1" x14ac:dyDescent="0.25">
      <c r="A64400"/>
      <c r="B64400"/>
      <c r="C64400"/>
      <c r="M64400"/>
    </row>
    <row r="64401" spans="1:13" ht="12.75" customHeight="1" x14ac:dyDescent="0.25">
      <c r="A64401"/>
      <c r="B64401"/>
      <c r="C64401"/>
      <c r="M64401"/>
    </row>
    <row r="64402" spans="1:13" ht="12.75" customHeight="1" x14ac:dyDescent="0.25">
      <c r="A64402"/>
      <c r="B64402"/>
      <c r="C64402"/>
      <c r="M64402"/>
    </row>
    <row r="64403" spans="1:13" ht="12.75" customHeight="1" x14ac:dyDescent="0.25">
      <c r="A64403"/>
      <c r="B64403"/>
      <c r="C64403"/>
      <c r="M64403"/>
    </row>
    <row r="64404" spans="1:13" ht="12.75" customHeight="1" x14ac:dyDescent="0.25">
      <c r="A64404"/>
      <c r="B64404"/>
      <c r="C64404"/>
      <c r="M64404"/>
    </row>
    <row r="64405" spans="1:13" ht="12.75" customHeight="1" x14ac:dyDescent="0.25">
      <c r="A64405"/>
      <c r="B64405"/>
      <c r="C64405"/>
      <c r="M64405"/>
    </row>
    <row r="64406" spans="1:13" ht="12.75" customHeight="1" x14ac:dyDescent="0.25">
      <c r="A64406"/>
      <c r="B64406"/>
      <c r="C64406"/>
      <c r="M64406"/>
    </row>
    <row r="64407" spans="1:13" ht="12.75" customHeight="1" x14ac:dyDescent="0.25">
      <c r="A64407"/>
      <c r="B64407"/>
      <c r="C64407"/>
      <c r="M64407"/>
    </row>
    <row r="64408" spans="1:13" ht="12.75" customHeight="1" x14ac:dyDescent="0.25">
      <c r="A64408"/>
      <c r="B64408"/>
      <c r="C64408"/>
      <c r="M64408"/>
    </row>
    <row r="64409" spans="1:13" ht="12.75" customHeight="1" x14ac:dyDescent="0.25">
      <c r="A64409"/>
      <c r="B64409"/>
      <c r="C64409"/>
      <c r="M64409"/>
    </row>
    <row r="64410" spans="1:13" ht="12.75" customHeight="1" x14ac:dyDescent="0.25">
      <c r="A64410"/>
      <c r="B64410"/>
      <c r="C64410"/>
      <c r="M64410"/>
    </row>
    <row r="64411" spans="1:13" ht="12.75" customHeight="1" x14ac:dyDescent="0.25">
      <c r="A64411"/>
      <c r="B64411"/>
      <c r="C64411"/>
      <c r="M64411"/>
    </row>
    <row r="64412" spans="1:13" ht="12.75" customHeight="1" x14ac:dyDescent="0.25">
      <c r="A64412"/>
      <c r="B64412"/>
      <c r="C64412"/>
      <c r="M64412"/>
    </row>
    <row r="64413" spans="1:13" ht="12.75" customHeight="1" x14ac:dyDescent="0.25">
      <c r="A64413"/>
      <c r="B64413"/>
      <c r="C64413"/>
      <c r="M64413"/>
    </row>
    <row r="64414" spans="1:13" ht="12.75" customHeight="1" x14ac:dyDescent="0.25">
      <c r="A64414"/>
      <c r="B64414"/>
      <c r="C64414"/>
      <c r="M64414"/>
    </row>
    <row r="64415" spans="1:13" ht="12.75" customHeight="1" x14ac:dyDescent="0.25">
      <c r="A64415"/>
      <c r="B64415"/>
      <c r="C64415"/>
      <c r="M64415"/>
    </row>
    <row r="64416" spans="1:13" ht="12.75" customHeight="1" x14ac:dyDescent="0.25">
      <c r="A64416"/>
      <c r="B64416"/>
      <c r="C64416"/>
      <c r="M64416"/>
    </row>
    <row r="64417" spans="1:13" ht="12.75" customHeight="1" x14ac:dyDescent="0.25">
      <c r="A64417"/>
      <c r="B64417"/>
      <c r="C64417"/>
      <c r="M64417"/>
    </row>
    <row r="64418" spans="1:13" ht="12.75" customHeight="1" x14ac:dyDescent="0.25">
      <c r="A64418"/>
      <c r="B64418"/>
      <c r="C64418"/>
      <c r="M64418"/>
    </row>
    <row r="64419" spans="1:13" ht="12.75" customHeight="1" x14ac:dyDescent="0.25">
      <c r="A64419"/>
      <c r="B64419"/>
      <c r="C64419"/>
      <c r="M64419"/>
    </row>
    <row r="64420" spans="1:13" ht="12.75" customHeight="1" x14ac:dyDescent="0.25">
      <c r="A64420"/>
      <c r="B64420"/>
      <c r="C64420"/>
      <c r="M64420"/>
    </row>
    <row r="64421" spans="1:13" ht="12.75" customHeight="1" x14ac:dyDescent="0.25">
      <c r="A64421"/>
      <c r="B64421"/>
      <c r="C64421"/>
      <c r="M64421"/>
    </row>
    <row r="64422" spans="1:13" ht="12.75" customHeight="1" x14ac:dyDescent="0.25">
      <c r="A64422"/>
      <c r="B64422"/>
      <c r="C64422"/>
      <c r="M64422"/>
    </row>
    <row r="64423" spans="1:13" ht="12.75" customHeight="1" x14ac:dyDescent="0.25">
      <c r="A64423"/>
      <c r="B64423"/>
      <c r="C64423"/>
      <c r="M64423"/>
    </row>
    <row r="64424" spans="1:13" ht="12.75" customHeight="1" x14ac:dyDescent="0.25">
      <c r="A64424"/>
      <c r="B64424"/>
      <c r="C64424"/>
      <c r="M64424"/>
    </row>
    <row r="64425" spans="1:13" ht="12.75" customHeight="1" x14ac:dyDescent="0.25">
      <c r="A64425"/>
      <c r="B64425"/>
      <c r="C64425"/>
      <c r="M64425"/>
    </row>
    <row r="64426" spans="1:13" ht="12.75" customHeight="1" x14ac:dyDescent="0.25">
      <c r="A64426"/>
      <c r="B64426"/>
      <c r="C64426"/>
      <c r="M64426"/>
    </row>
    <row r="64427" spans="1:13" ht="12.75" customHeight="1" x14ac:dyDescent="0.25">
      <c r="A64427"/>
      <c r="B64427"/>
      <c r="C64427"/>
      <c r="M64427"/>
    </row>
    <row r="64428" spans="1:13" ht="12.75" customHeight="1" x14ac:dyDescent="0.25">
      <c r="A64428"/>
      <c r="B64428"/>
      <c r="C64428"/>
      <c r="M64428"/>
    </row>
    <row r="64429" spans="1:13" ht="12.75" customHeight="1" x14ac:dyDescent="0.25">
      <c r="A64429"/>
      <c r="B64429"/>
      <c r="C64429"/>
      <c r="M64429"/>
    </row>
    <row r="64430" spans="1:13" ht="12.75" customHeight="1" x14ac:dyDescent="0.25">
      <c r="A64430"/>
      <c r="B64430"/>
      <c r="C64430"/>
      <c r="M64430"/>
    </row>
    <row r="64431" spans="1:13" ht="12.75" customHeight="1" x14ac:dyDescent="0.25">
      <c r="A64431"/>
      <c r="B64431"/>
      <c r="C64431"/>
      <c r="M64431"/>
    </row>
    <row r="64432" spans="1:13" ht="12.75" customHeight="1" x14ac:dyDescent="0.25">
      <c r="A64432"/>
      <c r="B64432"/>
      <c r="C64432"/>
      <c r="M64432"/>
    </row>
    <row r="64433" spans="1:13" ht="12.75" customHeight="1" x14ac:dyDescent="0.25">
      <c r="A64433"/>
      <c r="B64433"/>
      <c r="C64433"/>
      <c r="M64433"/>
    </row>
    <row r="64434" spans="1:13" ht="12.75" customHeight="1" x14ac:dyDescent="0.25">
      <c r="A64434"/>
      <c r="B64434"/>
      <c r="C64434"/>
      <c r="M64434"/>
    </row>
    <row r="64435" spans="1:13" ht="12.75" customHeight="1" x14ac:dyDescent="0.25">
      <c r="A64435"/>
      <c r="B64435"/>
      <c r="C64435"/>
      <c r="M64435"/>
    </row>
    <row r="64436" spans="1:13" ht="12.75" customHeight="1" x14ac:dyDescent="0.25">
      <c r="A64436"/>
      <c r="B64436"/>
      <c r="C64436"/>
      <c r="M64436"/>
    </row>
    <row r="64437" spans="1:13" ht="12.75" customHeight="1" x14ac:dyDescent="0.25">
      <c r="A64437"/>
      <c r="B64437"/>
      <c r="C64437"/>
      <c r="M64437"/>
    </row>
    <row r="64438" spans="1:13" ht="12.75" customHeight="1" x14ac:dyDescent="0.25">
      <c r="A64438"/>
      <c r="B64438"/>
      <c r="C64438"/>
      <c r="M64438"/>
    </row>
    <row r="64439" spans="1:13" ht="12.75" customHeight="1" x14ac:dyDescent="0.25">
      <c r="A64439"/>
      <c r="B64439"/>
      <c r="C64439"/>
      <c r="M64439"/>
    </row>
    <row r="64440" spans="1:13" ht="12.75" customHeight="1" x14ac:dyDescent="0.25">
      <c r="A64440"/>
      <c r="B64440"/>
      <c r="C64440"/>
      <c r="M64440"/>
    </row>
    <row r="64441" spans="1:13" ht="12.75" customHeight="1" x14ac:dyDescent="0.25">
      <c r="A64441"/>
      <c r="B64441"/>
      <c r="C64441"/>
      <c r="M64441"/>
    </row>
    <row r="64442" spans="1:13" ht="12.75" customHeight="1" x14ac:dyDescent="0.25">
      <c r="A64442"/>
      <c r="B64442"/>
      <c r="C64442"/>
      <c r="M64442"/>
    </row>
    <row r="64443" spans="1:13" ht="12.75" customHeight="1" x14ac:dyDescent="0.25">
      <c r="A64443"/>
      <c r="B64443"/>
      <c r="C64443"/>
      <c r="M64443"/>
    </row>
    <row r="64444" spans="1:13" ht="12.75" customHeight="1" x14ac:dyDescent="0.25">
      <c r="A64444"/>
      <c r="B64444"/>
      <c r="C64444"/>
      <c r="M64444"/>
    </row>
    <row r="64445" spans="1:13" ht="12.75" customHeight="1" x14ac:dyDescent="0.25">
      <c r="A64445"/>
      <c r="B64445"/>
      <c r="C64445"/>
      <c r="M64445"/>
    </row>
    <row r="64446" spans="1:13" ht="12.75" customHeight="1" x14ac:dyDescent="0.25">
      <c r="A64446"/>
      <c r="B64446"/>
      <c r="C64446"/>
      <c r="M64446"/>
    </row>
    <row r="64447" spans="1:13" ht="12.75" customHeight="1" x14ac:dyDescent="0.25">
      <c r="A64447"/>
      <c r="B64447"/>
      <c r="C64447"/>
      <c r="M64447"/>
    </row>
    <row r="64448" spans="1:13" ht="12.75" customHeight="1" x14ac:dyDescent="0.25">
      <c r="A64448"/>
      <c r="B64448"/>
      <c r="C64448"/>
      <c r="M64448"/>
    </row>
    <row r="64449" spans="1:13" ht="12.75" customHeight="1" x14ac:dyDescent="0.25">
      <c r="A64449"/>
      <c r="B64449"/>
      <c r="C64449"/>
      <c r="M64449"/>
    </row>
    <row r="64450" spans="1:13" ht="12.75" customHeight="1" x14ac:dyDescent="0.25">
      <c r="A64450"/>
      <c r="B64450"/>
      <c r="C64450"/>
      <c r="M64450"/>
    </row>
    <row r="64451" spans="1:13" ht="12.75" customHeight="1" x14ac:dyDescent="0.25">
      <c r="A64451"/>
      <c r="B64451"/>
      <c r="C64451"/>
      <c r="M64451"/>
    </row>
    <row r="64452" spans="1:13" ht="12.75" customHeight="1" x14ac:dyDescent="0.25">
      <c r="A64452"/>
      <c r="B64452"/>
      <c r="C64452"/>
      <c r="M64452"/>
    </row>
    <row r="64453" spans="1:13" ht="12.75" customHeight="1" x14ac:dyDescent="0.25">
      <c r="A64453"/>
      <c r="B64453"/>
      <c r="C64453"/>
      <c r="M64453"/>
    </row>
    <row r="64454" spans="1:13" ht="12.75" customHeight="1" x14ac:dyDescent="0.25">
      <c r="A64454"/>
      <c r="B64454"/>
      <c r="C64454"/>
      <c r="M64454"/>
    </row>
    <row r="64455" spans="1:13" ht="12.75" customHeight="1" x14ac:dyDescent="0.25">
      <c r="A64455"/>
      <c r="B64455"/>
      <c r="C64455"/>
      <c r="M64455"/>
    </row>
    <row r="64456" spans="1:13" ht="12.75" customHeight="1" x14ac:dyDescent="0.25">
      <c r="A64456"/>
      <c r="B64456"/>
      <c r="C64456"/>
      <c r="M64456"/>
    </row>
    <row r="64457" spans="1:13" ht="12.75" customHeight="1" x14ac:dyDescent="0.25">
      <c r="A64457"/>
      <c r="B64457"/>
      <c r="C64457"/>
      <c r="M64457"/>
    </row>
    <row r="64458" spans="1:13" ht="12.75" customHeight="1" x14ac:dyDescent="0.25">
      <c r="A64458"/>
      <c r="B64458"/>
      <c r="C64458"/>
      <c r="M64458"/>
    </row>
    <row r="64459" spans="1:13" ht="12.75" customHeight="1" x14ac:dyDescent="0.25">
      <c r="A64459"/>
      <c r="B64459"/>
      <c r="C64459"/>
      <c r="M64459"/>
    </row>
    <row r="64460" spans="1:13" ht="12.75" customHeight="1" x14ac:dyDescent="0.25">
      <c r="A64460"/>
      <c r="B64460"/>
      <c r="C64460"/>
      <c r="M64460"/>
    </row>
    <row r="64461" spans="1:13" ht="12.75" customHeight="1" x14ac:dyDescent="0.25">
      <c r="A64461"/>
      <c r="B64461"/>
      <c r="C64461"/>
      <c r="M64461"/>
    </row>
    <row r="64462" spans="1:13" ht="12.75" customHeight="1" x14ac:dyDescent="0.25">
      <c r="A64462"/>
      <c r="B64462"/>
      <c r="C64462"/>
      <c r="M64462"/>
    </row>
    <row r="64463" spans="1:13" ht="12.75" customHeight="1" x14ac:dyDescent="0.25">
      <c r="A64463"/>
      <c r="B64463"/>
      <c r="C64463"/>
      <c r="M64463"/>
    </row>
    <row r="64464" spans="1:13" ht="12.75" customHeight="1" x14ac:dyDescent="0.25">
      <c r="A64464"/>
      <c r="B64464"/>
      <c r="C64464"/>
      <c r="M64464"/>
    </row>
    <row r="64465" spans="1:13" ht="12.75" customHeight="1" x14ac:dyDescent="0.25">
      <c r="A64465"/>
      <c r="B64465"/>
      <c r="C64465"/>
      <c r="M64465"/>
    </row>
    <row r="64466" spans="1:13" ht="12.75" customHeight="1" x14ac:dyDescent="0.25">
      <c r="A64466"/>
      <c r="B64466"/>
      <c r="C64466"/>
      <c r="M64466"/>
    </row>
    <row r="64467" spans="1:13" ht="12.75" customHeight="1" x14ac:dyDescent="0.25">
      <c r="A64467"/>
      <c r="B64467"/>
      <c r="C64467"/>
      <c r="M64467"/>
    </row>
    <row r="64468" spans="1:13" ht="12.75" customHeight="1" x14ac:dyDescent="0.25">
      <c r="A64468"/>
      <c r="B64468"/>
      <c r="C64468"/>
      <c r="M64468"/>
    </row>
    <row r="64469" spans="1:13" ht="12.75" customHeight="1" x14ac:dyDescent="0.25">
      <c r="A64469"/>
      <c r="B64469"/>
      <c r="C64469"/>
      <c r="M64469"/>
    </row>
    <row r="64470" spans="1:13" ht="12.75" customHeight="1" x14ac:dyDescent="0.25">
      <c r="A64470"/>
      <c r="B64470"/>
      <c r="C64470"/>
      <c r="M64470"/>
    </row>
    <row r="64471" spans="1:13" ht="12.75" customHeight="1" x14ac:dyDescent="0.25">
      <c r="A64471"/>
      <c r="B64471"/>
      <c r="C64471"/>
      <c r="M64471"/>
    </row>
    <row r="64472" spans="1:13" ht="12.75" customHeight="1" x14ac:dyDescent="0.25">
      <c r="A64472"/>
      <c r="B64472"/>
      <c r="C64472"/>
      <c r="M64472"/>
    </row>
    <row r="64473" spans="1:13" ht="12.75" customHeight="1" x14ac:dyDescent="0.25">
      <c r="A64473"/>
      <c r="B64473"/>
      <c r="C64473"/>
      <c r="M64473"/>
    </row>
    <row r="64474" spans="1:13" ht="12.75" customHeight="1" x14ac:dyDescent="0.25">
      <c r="A64474"/>
      <c r="B64474"/>
      <c r="C64474"/>
      <c r="M64474"/>
    </row>
    <row r="64475" spans="1:13" ht="12.75" customHeight="1" x14ac:dyDescent="0.25">
      <c r="A64475"/>
      <c r="B64475"/>
      <c r="C64475"/>
      <c r="M64475"/>
    </row>
    <row r="64476" spans="1:13" ht="12.75" customHeight="1" x14ac:dyDescent="0.25">
      <c r="A64476"/>
      <c r="B64476"/>
      <c r="C64476"/>
      <c r="M64476"/>
    </row>
    <row r="64477" spans="1:13" ht="12.75" customHeight="1" x14ac:dyDescent="0.25">
      <c r="A64477"/>
      <c r="B64477"/>
      <c r="C64477"/>
      <c r="M64477"/>
    </row>
    <row r="64478" spans="1:13" ht="12.75" customHeight="1" x14ac:dyDescent="0.25">
      <c r="A64478"/>
      <c r="B64478"/>
      <c r="C64478"/>
      <c r="M64478"/>
    </row>
    <row r="64479" spans="1:13" ht="12.75" customHeight="1" x14ac:dyDescent="0.25">
      <c r="A64479"/>
      <c r="B64479"/>
      <c r="C64479"/>
      <c r="M64479"/>
    </row>
    <row r="64480" spans="1:13" ht="12.75" customHeight="1" x14ac:dyDescent="0.25">
      <c r="A64480"/>
      <c r="B64480"/>
      <c r="C64480"/>
      <c r="M64480"/>
    </row>
    <row r="64481" spans="1:13" ht="12.75" customHeight="1" x14ac:dyDescent="0.25">
      <c r="A64481"/>
      <c r="B64481"/>
      <c r="C64481"/>
      <c r="M64481"/>
    </row>
    <row r="64482" spans="1:13" ht="12.75" customHeight="1" x14ac:dyDescent="0.25">
      <c r="A64482"/>
      <c r="B64482"/>
      <c r="C64482"/>
      <c r="M64482"/>
    </row>
    <row r="64483" spans="1:13" ht="12.75" customHeight="1" x14ac:dyDescent="0.25">
      <c r="A64483"/>
      <c r="B64483"/>
      <c r="C64483"/>
      <c r="M64483"/>
    </row>
    <row r="64484" spans="1:13" ht="12.75" customHeight="1" x14ac:dyDescent="0.25">
      <c r="A64484"/>
      <c r="B64484"/>
      <c r="C64484"/>
      <c r="M64484"/>
    </row>
    <row r="64485" spans="1:13" ht="12.75" customHeight="1" x14ac:dyDescent="0.25">
      <c r="A64485"/>
      <c r="B64485"/>
      <c r="C64485"/>
      <c r="M64485"/>
    </row>
    <row r="64486" spans="1:13" ht="12.75" customHeight="1" x14ac:dyDescent="0.25">
      <c r="A64486"/>
      <c r="B64486"/>
      <c r="C64486"/>
      <c r="M64486"/>
    </row>
    <row r="64487" spans="1:13" ht="12.75" customHeight="1" x14ac:dyDescent="0.25">
      <c r="A64487"/>
      <c r="B64487"/>
      <c r="C64487"/>
      <c r="M64487"/>
    </row>
    <row r="64488" spans="1:13" ht="12.75" customHeight="1" x14ac:dyDescent="0.25">
      <c r="A64488"/>
      <c r="B64488"/>
      <c r="C64488"/>
      <c r="M64488"/>
    </row>
    <row r="64489" spans="1:13" ht="12.75" customHeight="1" x14ac:dyDescent="0.25">
      <c r="A64489"/>
      <c r="B64489"/>
      <c r="C64489"/>
      <c r="M64489"/>
    </row>
    <row r="64490" spans="1:13" ht="12.75" customHeight="1" x14ac:dyDescent="0.25">
      <c r="A64490"/>
      <c r="B64490"/>
      <c r="C64490"/>
      <c r="M64490"/>
    </row>
    <row r="64491" spans="1:13" ht="12.75" customHeight="1" x14ac:dyDescent="0.25">
      <c r="A64491"/>
      <c r="B64491"/>
      <c r="C64491"/>
      <c r="M64491"/>
    </row>
    <row r="64492" spans="1:13" ht="12.75" customHeight="1" x14ac:dyDescent="0.25">
      <c r="A64492"/>
      <c r="B64492"/>
      <c r="C64492"/>
      <c r="M64492"/>
    </row>
    <row r="64493" spans="1:13" ht="12.75" customHeight="1" x14ac:dyDescent="0.25">
      <c r="A64493"/>
      <c r="B64493"/>
      <c r="C64493"/>
      <c r="M64493"/>
    </row>
    <row r="64494" spans="1:13" ht="12.75" customHeight="1" x14ac:dyDescent="0.25">
      <c r="A64494"/>
      <c r="B64494"/>
      <c r="C64494"/>
      <c r="M64494"/>
    </row>
    <row r="64495" spans="1:13" ht="12.75" customHeight="1" x14ac:dyDescent="0.25">
      <c r="A64495"/>
      <c r="B64495"/>
      <c r="C64495"/>
      <c r="M64495"/>
    </row>
    <row r="64496" spans="1:13" ht="12.75" customHeight="1" x14ac:dyDescent="0.25">
      <c r="A64496"/>
      <c r="B64496"/>
      <c r="C64496"/>
      <c r="M64496"/>
    </row>
    <row r="64497" spans="1:13" ht="12.75" customHeight="1" x14ac:dyDescent="0.25">
      <c r="A64497"/>
      <c r="B64497"/>
      <c r="C64497"/>
      <c r="M64497"/>
    </row>
    <row r="64498" spans="1:13" ht="12.75" customHeight="1" x14ac:dyDescent="0.25">
      <c r="A64498"/>
      <c r="B64498"/>
      <c r="C64498"/>
      <c r="M64498"/>
    </row>
    <row r="64499" spans="1:13" ht="12.75" customHeight="1" x14ac:dyDescent="0.25">
      <c r="A64499"/>
      <c r="B64499"/>
      <c r="C64499"/>
      <c r="M64499"/>
    </row>
    <row r="64500" spans="1:13" ht="12.75" customHeight="1" x14ac:dyDescent="0.25">
      <c r="A64500"/>
      <c r="B64500"/>
      <c r="C64500"/>
      <c r="M64500"/>
    </row>
    <row r="64501" spans="1:13" ht="12.75" customHeight="1" x14ac:dyDescent="0.25">
      <c r="A64501"/>
      <c r="B64501"/>
      <c r="C64501"/>
      <c r="M64501"/>
    </row>
    <row r="64502" spans="1:13" ht="12.75" customHeight="1" x14ac:dyDescent="0.25">
      <c r="A64502"/>
      <c r="B64502"/>
      <c r="C64502"/>
      <c r="M64502"/>
    </row>
    <row r="64503" spans="1:13" ht="12.75" customHeight="1" x14ac:dyDescent="0.25">
      <c r="A64503"/>
      <c r="B64503"/>
      <c r="C64503"/>
      <c r="M64503"/>
    </row>
    <row r="64504" spans="1:13" ht="12.75" customHeight="1" x14ac:dyDescent="0.25">
      <c r="A64504"/>
      <c r="B64504"/>
      <c r="C64504"/>
      <c r="M64504"/>
    </row>
    <row r="64505" spans="1:13" ht="12.75" customHeight="1" x14ac:dyDescent="0.25">
      <c r="A64505"/>
      <c r="B64505"/>
      <c r="C64505"/>
      <c r="M64505"/>
    </row>
    <row r="64506" spans="1:13" ht="12.75" customHeight="1" x14ac:dyDescent="0.25">
      <c r="A64506"/>
      <c r="B64506"/>
      <c r="C64506"/>
      <c r="M64506"/>
    </row>
    <row r="64507" spans="1:13" ht="12.75" customHeight="1" x14ac:dyDescent="0.25">
      <c r="A64507"/>
      <c r="B64507"/>
      <c r="C64507"/>
      <c r="M64507"/>
    </row>
    <row r="64508" spans="1:13" ht="12.75" customHeight="1" x14ac:dyDescent="0.25">
      <c r="A64508"/>
      <c r="B64508"/>
      <c r="C64508"/>
      <c r="M64508"/>
    </row>
    <row r="64509" spans="1:13" ht="12.75" customHeight="1" x14ac:dyDescent="0.25">
      <c r="A64509"/>
      <c r="B64509"/>
      <c r="C64509"/>
      <c r="M64509"/>
    </row>
    <row r="64510" spans="1:13" ht="12.75" customHeight="1" x14ac:dyDescent="0.25">
      <c r="A64510"/>
      <c r="B64510"/>
      <c r="C64510"/>
      <c r="M64510"/>
    </row>
    <row r="64511" spans="1:13" ht="12.75" customHeight="1" x14ac:dyDescent="0.25">
      <c r="A64511"/>
      <c r="B64511"/>
      <c r="C64511"/>
      <c r="M64511"/>
    </row>
    <row r="64512" spans="1:13" ht="12.75" customHeight="1" x14ac:dyDescent="0.25">
      <c r="A64512"/>
      <c r="B64512"/>
      <c r="C64512"/>
      <c r="M64512"/>
    </row>
    <row r="64513" spans="1:13" ht="12.75" customHeight="1" x14ac:dyDescent="0.25">
      <c r="A64513"/>
      <c r="B64513"/>
      <c r="C64513"/>
      <c r="M64513"/>
    </row>
    <row r="64514" spans="1:13" ht="12.75" customHeight="1" x14ac:dyDescent="0.25">
      <c r="A64514"/>
      <c r="B64514"/>
      <c r="C64514"/>
      <c r="M64514"/>
    </row>
    <row r="64515" spans="1:13" ht="12.75" customHeight="1" x14ac:dyDescent="0.25">
      <c r="A64515"/>
      <c r="B64515"/>
      <c r="C64515"/>
      <c r="M64515"/>
    </row>
    <row r="64516" spans="1:13" ht="12.75" customHeight="1" x14ac:dyDescent="0.25">
      <c r="A64516"/>
      <c r="B64516"/>
      <c r="C64516"/>
      <c r="M64516"/>
    </row>
    <row r="64517" spans="1:13" ht="12.75" customHeight="1" x14ac:dyDescent="0.25">
      <c r="A64517"/>
      <c r="B64517"/>
      <c r="C64517"/>
      <c r="M64517"/>
    </row>
    <row r="64518" spans="1:13" ht="12.75" customHeight="1" x14ac:dyDescent="0.25">
      <c r="A64518"/>
      <c r="B64518"/>
      <c r="C64518"/>
      <c r="M64518"/>
    </row>
    <row r="64519" spans="1:13" ht="12.75" customHeight="1" x14ac:dyDescent="0.25">
      <c r="A64519"/>
      <c r="B64519"/>
      <c r="C64519"/>
      <c r="M64519"/>
    </row>
    <row r="64520" spans="1:13" ht="12.75" customHeight="1" x14ac:dyDescent="0.25">
      <c r="A64520"/>
      <c r="B64520"/>
      <c r="C64520"/>
      <c r="M64520"/>
    </row>
    <row r="64521" spans="1:13" ht="12.75" customHeight="1" x14ac:dyDescent="0.25">
      <c r="A64521"/>
      <c r="B64521"/>
      <c r="C64521"/>
      <c r="M64521"/>
    </row>
    <row r="64522" spans="1:13" ht="12.75" customHeight="1" x14ac:dyDescent="0.25">
      <c r="A64522"/>
      <c r="B64522"/>
      <c r="C64522"/>
      <c r="M64522"/>
    </row>
    <row r="64523" spans="1:13" ht="12.75" customHeight="1" x14ac:dyDescent="0.25">
      <c r="A64523"/>
      <c r="B64523"/>
      <c r="C64523"/>
      <c r="M64523"/>
    </row>
    <row r="64524" spans="1:13" ht="12.75" customHeight="1" x14ac:dyDescent="0.25">
      <c r="A64524"/>
      <c r="B64524"/>
      <c r="C64524"/>
      <c r="M64524"/>
    </row>
    <row r="64525" spans="1:13" ht="12.75" customHeight="1" x14ac:dyDescent="0.25">
      <c r="A64525"/>
      <c r="B64525"/>
      <c r="C64525"/>
      <c r="M64525"/>
    </row>
    <row r="64526" spans="1:13" ht="12.75" customHeight="1" x14ac:dyDescent="0.25">
      <c r="A64526"/>
      <c r="B64526"/>
      <c r="C64526"/>
      <c r="M64526"/>
    </row>
    <row r="64527" spans="1:13" ht="12.75" customHeight="1" x14ac:dyDescent="0.25">
      <c r="A64527"/>
      <c r="B64527"/>
      <c r="C64527"/>
      <c r="M64527"/>
    </row>
    <row r="64528" spans="1:13" ht="12.75" customHeight="1" x14ac:dyDescent="0.25">
      <c r="A64528"/>
      <c r="B64528"/>
      <c r="C64528"/>
      <c r="M64528"/>
    </row>
    <row r="64529" spans="1:13" ht="12.75" customHeight="1" x14ac:dyDescent="0.25">
      <c r="A64529"/>
      <c r="B64529"/>
      <c r="C64529"/>
      <c r="M64529"/>
    </row>
    <row r="64530" spans="1:13" ht="12.75" customHeight="1" x14ac:dyDescent="0.25">
      <c r="A64530"/>
      <c r="B64530"/>
      <c r="C64530"/>
      <c r="M64530"/>
    </row>
    <row r="64531" spans="1:13" ht="12.75" customHeight="1" x14ac:dyDescent="0.25">
      <c r="A64531"/>
      <c r="B64531"/>
      <c r="C64531"/>
      <c r="M64531"/>
    </row>
    <row r="64532" spans="1:13" ht="12.75" customHeight="1" x14ac:dyDescent="0.25">
      <c r="A64532"/>
      <c r="B64532"/>
      <c r="C64532"/>
      <c r="M64532"/>
    </row>
    <row r="64533" spans="1:13" ht="12.75" customHeight="1" x14ac:dyDescent="0.25">
      <c r="A64533"/>
      <c r="B64533"/>
      <c r="C64533"/>
      <c r="M64533"/>
    </row>
    <row r="64534" spans="1:13" ht="12.75" customHeight="1" x14ac:dyDescent="0.25">
      <c r="A64534"/>
      <c r="B64534"/>
      <c r="C64534"/>
      <c r="M64534"/>
    </row>
    <row r="64535" spans="1:13" ht="12.75" customHeight="1" x14ac:dyDescent="0.25">
      <c r="A64535"/>
      <c r="B64535"/>
      <c r="C64535"/>
      <c r="M64535"/>
    </row>
    <row r="64536" spans="1:13" ht="12.75" customHeight="1" x14ac:dyDescent="0.25">
      <c r="A64536"/>
      <c r="B64536"/>
      <c r="C64536"/>
      <c r="M64536"/>
    </row>
    <row r="64537" spans="1:13" ht="12.75" customHeight="1" x14ac:dyDescent="0.25">
      <c r="A64537"/>
      <c r="B64537"/>
      <c r="C64537"/>
      <c r="M64537"/>
    </row>
    <row r="64538" spans="1:13" ht="12.75" customHeight="1" x14ac:dyDescent="0.25">
      <c r="A64538"/>
      <c r="B64538"/>
      <c r="C64538"/>
      <c r="M64538"/>
    </row>
    <row r="64539" spans="1:13" ht="12.75" customHeight="1" x14ac:dyDescent="0.25">
      <c r="A64539"/>
      <c r="B64539"/>
      <c r="C64539"/>
      <c r="M64539"/>
    </row>
    <row r="64540" spans="1:13" ht="12.75" customHeight="1" x14ac:dyDescent="0.25">
      <c r="A64540"/>
      <c r="B64540"/>
      <c r="C64540"/>
      <c r="M64540"/>
    </row>
    <row r="64541" spans="1:13" ht="12.75" customHeight="1" x14ac:dyDescent="0.25">
      <c r="A64541"/>
      <c r="B64541"/>
      <c r="C64541"/>
      <c r="M64541"/>
    </row>
    <row r="64542" spans="1:13" ht="12.75" customHeight="1" x14ac:dyDescent="0.25">
      <c r="A64542"/>
      <c r="B64542"/>
      <c r="C64542"/>
      <c r="M64542"/>
    </row>
    <row r="64543" spans="1:13" ht="12.75" customHeight="1" x14ac:dyDescent="0.25">
      <c r="A64543"/>
      <c r="B64543"/>
      <c r="C64543"/>
      <c r="M64543"/>
    </row>
    <row r="64544" spans="1:13" ht="12.75" customHeight="1" x14ac:dyDescent="0.25">
      <c r="A64544"/>
      <c r="B64544"/>
      <c r="C64544"/>
      <c r="M64544"/>
    </row>
    <row r="64545" spans="1:13" ht="12.75" customHeight="1" x14ac:dyDescent="0.25">
      <c r="A64545"/>
      <c r="B64545"/>
      <c r="C64545"/>
      <c r="M64545"/>
    </row>
    <row r="64546" spans="1:13" ht="12.75" customHeight="1" x14ac:dyDescent="0.25">
      <c r="A64546"/>
      <c r="B64546"/>
      <c r="C64546"/>
      <c r="M64546"/>
    </row>
    <row r="64547" spans="1:13" ht="12.75" customHeight="1" x14ac:dyDescent="0.25">
      <c r="A64547"/>
      <c r="B64547"/>
      <c r="C64547"/>
      <c r="M64547"/>
    </row>
    <row r="64548" spans="1:13" ht="12.75" customHeight="1" x14ac:dyDescent="0.25">
      <c r="A64548"/>
      <c r="B64548"/>
      <c r="C64548"/>
      <c r="M64548"/>
    </row>
    <row r="64549" spans="1:13" ht="12.75" customHeight="1" x14ac:dyDescent="0.25">
      <c r="A64549"/>
      <c r="B64549"/>
      <c r="C64549"/>
      <c r="M64549"/>
    </row>
    <row r="64550" spans="1:13" ht="12.75" customHeight="1" x14ac:dyDescent="0.25">
      <c r="A64550"/>
      <c r="B64550"/>
      <c r="C64550"/>
      <c r="M64550"/>
    </row>
    <row r="64551" spans="1:13" ht="12.75" customHeight="1" x14ac:dyDescent="0.25">
      <c r="A64551"/>
      <c r="B64551"/>
      <c r="C64551"/>
      <c r="M64551"/>
    </row>
    <row r="64552" spans="1:13" ht="12.75" customHeight="1" x14ac:dyDescent="0.25">
      <c r="A64552"/>
      <c r="B64552"/>
      <c r="C64552"/>
      <c r="M64552"/>
    </row>
    <row r="64553" spans="1:13" ht="12.75" customHeight="1" x14ac:dyDescent="0.25">
      <c r="A64553"/>
      <c r="B64553"/>
      <c r="C64553"/>
      <c r="M64553"/>
    </row>
    <row r="64554" spans="1:13" ht="12.75" customHeight="1" x14ac:dyDescent="0.25">
      <c r="A64554"/>
      <c r="B64554"/>
      <c r="C64554"/>
      <c r="M64554"/>
    </row>
    <row r="64555" spans="1:13" ht="12.75" customHeight="1" x14ac:dyDescent="0.25">
      <c r="A64555"/>
      <c r="B64555"/>
      <c r="C64555"/>
      <c r="M64555"/>
    </row>
    <row r="64556" spans="1:13" ht="12.75" customHeight="1" x14ac:dyDescent="0.25">
      <c r="A64556"/>
      <c r="B64556"/>
      <c r="C64556"/>
      <c r="M64556"/>
    </row>
    <row r="64557" spans="1:13" ht="12.75" customHeight="1" x14ac:dyDescent="0.25">
      <c r="A64557"/>
      <c r="B64557"/>
      <c r="C64557"/>
      <c r="M64557"/>
    </row>
    <row r="64558" spans="1:13" ht="12.75" customHeight="1" x14ac:dyDescent="0.25">
      <c r="A64558"/>
      <c r="B64558"/>
      <c r="C64558"/>
      <c r="M64558"/>
    </row>
    <row r="64559" spans="1:13" ht="12.75" customHeight="1" x14ac:dyDescent="0.25">
      <c r="A64559"/>
      <c r="B64559"/>
      <c r="C64559"/>
      <c r="M64559"/>
    </row>
    <row r="64560" spans="1:13" ht="12.75" customHeight="1" x14ac:dyDescent="0.25">
      <c r="A64560"/>
      <c r="B64560"/>
      <c r="C64560"/>
      <c r="M64560"/>
    </row>
    <row r="64561" spans="1:13" ht="12.75" customHeight="1" x14ac:dyDescent="0.25">
      <c r="A64561"/>
      <c r="B64561"/>
      <c r="C64561"/>
      <c r="M64561"/>
    </row>
    <row r="64562" spans="1:13" ht="12.75" customHeight="1" x14ac:dyDescent="0.25">
      <c r="A64562"/>
      <c r="B64562"/>
      <c r="C64562"/>
      <c r="M64562"/>
    </row>
    <row r="64563" spans="1:13" ht="12.75" customHeight="1" x14ac:dyDescent="0.25">
      <c r="A64563"/>
      <c r="B64563"/>
      <c r="C64563"/>
      <c r="M64563"/>
    </row>
    <row r="64564" spans="1:13" ht="12.75" customHeight="1" x14ac:dyDescent="0.25">
      <c r="A64564"/>
      <c r="B64564"/>
      <c r="C64564"/>
      <c r="M64564"/>
    </row>
    <row r="64565" spans="1:13" ht="12.75" customHeight="1" x14ac:dyDescent="0.25">
      <c r="A64565"/>
      <c r="B64565"/>
      <c r="C64565"/>
      <c r="M64565"/>
    </row>
    <row r="64566" spans="1:13" ht="12.75" customHeight="1" x14ac:dyDescent="0.25">
      <c r="A64566"/>
      <c r="B64566"/>
      <c r="C64566"/>
      <c r="M64566"/>
    </row>
    <row r="64567" spans="1:13" ht="12.75" customHeight="1" x14ac:dyDescent="0.25">
      <c r="A64567"/>
      <c r="B64567"/>
      <c r="C64567"/>
      <c r="M64567"/>
    </row>
    <row r="64568" spans="1:13" ht="12.75" customHeight="1" x14ac:dyDescent="0.25">
      <c r="A64568"/>
      <c r="B64568"/>
      <c r="C64568"/>
      <c r="M64568"/>
    </row>
    <row r="64569" spans="1:13" ht="12.75" customHeight="1" x14ac:dyDescent="0.25">
      <c r="A64569"/>
      <c r="B64569"/>
      <c r="C64569"/>
      <c r="M64569"/>
    </row>
    <row r="64570" spans="1:13" ht="12.75" customHeight="1" x14ac:dyDescent="0.25">
      <c r="A64570"/>
      <c r="B64570"/>
      <c r="C64570"/>
      <c r="M64570"/>
    </row>
    <row r="64571" spans="1:13" ht="12.75" customHeight="1" x14ac:dyDescent="0.25">
      <c r="A64571"/>
      <c r="B64571"/>
      <c r="C64571"/>
      <c r="M64571"/>
    </row>
    <row r="64572" spans="1:13" ht="12.75" customHeight="1" x14ac:dyDescent="0.25">
      <c r="A64572"/>
      <c r="B64572"/>
      <c r="C64572"/>
      <c r="M64572"/>
    </row>
    <row r="64573" spans="1:13" ht="12.75" customHeight="1" x14ac:dyDescent="0.25">
      <c r="A64573"/>
      <c r="B64573"/>
      <c r="C64573"/>
      <c r="M64573"/>
    </row>
    <row r="64574" spans="1:13" ht="12.75" customHeight="1" x14ac:dyDescent="0.25">
      <c r="A64574"/>
      <c r="B64574"/>
      <c r="C64574"/>
      <c r="M64574"/>
    </row>
    <row r="64575" spans="1:13" ht="12.75" customHeight="1" x14ac:dyDescent="0.25">
      <c r="A64575"/>
      <c r="B64575"/>
      <c r="C64575"/>
      <c r="M64575"/>
    </row>
    <row r="64576" spans="1:13" ht="12.75" customHeight="1" x14ac:dyDescent="0.25">
      <c r="A64576"/>
      <c r="B64576"/>
      <c r="C64576"/>
      <c r="M64576"/>
    </row>
    <row r="64577" spans="1:13" ht="12.75" customHeight="1" x14ac:dyDescent="0.25">
      <c r="A64577"/>
      <c r="B64577"/>
      <c r="C64577"/>
      <c r="M64577"/>
    </row>
    <row r="64578" spans="1:13" ht="12.75" customHeight="1" x14ac:dyDescent="0.25">
      <c r="A64578"/>
      <c r="B64578"/>
      <c r="C64578"/>
      <c r="M64578"/>
    </row>
    <row r="64579" spans="1:13" ht="12.75" customHeight="1" x14ac:dyDescent="0.25">
      <c r="A64579"/>
      <c r="B64579"/>
      <c r="C64579"/>
      <c r="M64579"/>
    </row>
    <row r="64580" spans="1:13" ht="12.75" customHeight="1" x14ac:dyDescent="0.25">
      <c r="A64580"/>
      <c r="B64580"/>
      <c r="C64580"/>
      <c r="M64580"/>
    </row>
    <row r="64581" spans="1:13" ht="12.75" customHeight="1" x14ac:dyDescent="0.25">
      <c r="A64581"/>
      <c r="B64581"/>
      <c r="C64581"/>
      <c r="M64581"/>
    </row>
    <row r="64582" spans="1:13" ht="12.75" customHeight="1" x14ac:dyDescent="0.25">
      <c r="A64582"/>
      <c r="B64582"/>
      <c r="C64582"/>
      <c r="M64582"/>
    </row>
    <row r="64583" spans="1:13" ht="12.75" customHeight="1" x14ac:dyDescent="0.25">
      <c r="A64583"/>
      <c r="B64583"/>
      <c r="C64583"/>
      <c r="M64583"/>
    </row>
    <row r="64584" spans="1:13" ht="12.75" customHeight="1" x14ac:dyDescent="0.25">
      <c r="A64584"/>
      <c r="B64584"/>
      <c r="C64584"/>
      <c r="M64584"/>
    </row>
    <row r="64585" spans="1:13" ht="12.75" customHeight="1" x14ac:dyDescent="0.25">
      <c r="A64585"/>
      <c r="B64585"/>
      <c r="C64585"/>
      <c r="M64585"/>
    </row>
    <row r="64586" spans="1:13" ht="12.75" customHeight="1" x14ac:dyDescent="0.25">
      <c r="A64586"/>
      <c r="B64586"/>
      <c r="C64586"/>
      <c r="M64586"/>
    </row>
    <row r="64587" spans="1:13" ht="12.75" customHeight="1" x14ac:dyDescent="0.25">
      <c r="A64587"/>
      <c r="B64587"/>
      <c r="C64587"/>
      <c r="M64587"/>
    </row>
    <row r="64588" spans="1:13" ht="12.75" customHeight="1" x14ac:dyDescent="0.25">
      <c r="A64588"/>
      <c r="B64588"/>
      <c r="C64588"/>
      <c r="M64588"/>
    </row>
    <row r="64589" spans="1:13" ht="12.75" customHeight="1" x14ac:dyDescent="0.25">
      <c r="A64589"/>
      <c r="B64589"/>
      <c r="C64589"/>
      <c r="M64589"/>
    </row>
    <row r="64590" spans="1:13" ht="12.75" customHeight="1" x14ac:dyDescent="0.25">
      <c r="A64590"/>
      <c r="B64590"/>
      <c r="C64590"/>
      <c r="M64590"/>
    </row>
    <row r="64591" spans="1:13" ht="12.75" customHeight="1" x14ac:dyDescent="0.25">
      <c r="A64591"/>
      <c r="B64591"/>
      <c r="C64591"/>
      <c r="M64591"/>
    </row>
    <row r="64592" spans="1:13" ht="12.75" customHeight="1" x14ac:dyDescent="0.25">
      <c r="A64592"/>
      <c r="B64592"/>
      <c r="C64592"/>
      <c r="M64592"/>
    </row>
    <row r="64593" spans="1:13" ht="12.75" customHeight="1" x14ac:dyDescent="0.25">
      <c r="A64593"/>
      <c r="B64593"/>
      <c r="C64593"/>
      <c r="M64593"/>
    </row>
    <row r="64594" spans="1:13" ht="12.75" customHeight="1" x14ac:dyDescent="0.25">
      <c r="A64594"/>
      <c r="B64594"/>
      <c r="C64594"/>
      <c r="M64594"/>
    </row>
    <row r="64595" spans="1:13" ht="12.75" customHeight="1" x14ac:dyDescent="0.25">
      <c r="A64595"/>
      <c r="B64595"/>
      <c r="C64595"/>
      <c r="M64595"/>
    </row>
    <row r="64596" spans="1:13" ht="12.75" customHeight="1" x14ac:dyDescent="0.25">
      <c r="A64596"/>
      <c r="B64596"/>
      <c r="C64596"/>
      <c r="M64596"/>
    </row>
    <row r="64597" spans="1:13" ht="12.75" customHeight="1" x14ac:dyDescent="0.25">
      <c r="A64597"/>
      <c r="B64597"/>
      <c r="C64597"/>
      <c r="M64597"/>
    </row>
    <row r="64598" spans="1:13" ht="12.75" customHeight="1" x14ac:dyDescent="0.25">
      <c r="A64598"/>
      <c r="B64598"/>
      <c r="C64598"/>
      <c r="M64598"/>
    </row>
    <row r="64599" spans="1:13" ht="12.75" customHeight="1" x14ac:dyDescent="0.25">
      <c r="A64599"/>
      <c r="B64599"/>
      <c r="C64599"/>
      <c r="M64599"/>
    </row>
    <row r="64600" spans="1:13" ht="12.75" customHeight="1" x14ac:dyDescent="0.25">
      <c r="A64600"/>
      <c r="B64600"/>
      <c r="C64600"/>
      <c r="M64600"/>
    </row>
    <row r="64601" spans="1:13" ht="12.75" customHeight="1" x14ac:dyDescent="0.25">
      <c r="A64601"/>
      <c r="B64601"/>
      <c r="C64601"/>
      <c r="M64601"/>
    </row>
    <row r="64602" spans="1:13" ht="12.75" customHeight="1" x14ac:dyDescent="0.25">
      <c r="A64602"/>
      <c r="B64602"/>
      <c r="C64602"/>
      <c r="M64602"/>
    </row>
    <row r="64603" spans="1:13" ht="12.75" customHeight="1" x14ac:dyDescent="0.25">
      <c r="A64603"/>
      <c r="B64603"/>
      <c r="C64603"/>
      <c r="M64603"/>
    </row>
    <row r="64604" spans="1:13" ht="12.75" customHeight="1" x14ac:dyDescent="0.25">
      <c r="A64604"/>
      <c r="B64604"/>
      <c r="C64604"/>
      <c r="M64604"/>
    </row>
    <row r="64605" spans="1:13" ht="12.75" customHeight="1" x14ac:dyDescent="0.25">
      <c r="A64605"/>
      <c r="B64605"/>
      <c r="C64605"/>
      <c r="M64605"/>
    </row>
    <row r="64606" spans="1:13" ht="12.75" customHeight="1" x14ac:dyDescent="0.25">
      <c r="A64606"/>
      <c r="B64606"/>
      <c r="C64606"/>
      <c r="M64606"/>
    </row>
    <row r="64607" spans="1:13" ht="12.75" customHeight="1" x14ac:dyDescent="0.25">
      <c r="A64607"/>
      <c r="B64607"/>
      <c r="C64607"/>
      <c r="M64607"/>
    </row>
    <row r="64608" spans="1:13" ht="12.75" customHeight="1" x14ac:dyDescent="0.25">
      <c r="A64608"/>
      <c r="B64608"/>
      <c r="C64608"/>
      <c r="M64608"/>
    </row>
    <row r="64609" spans="1:13" ht="12.75" customHeight="1" x14ac:dyDescent="0.25">
      <c r="A64609"/>
      <c r="B64609"/>
      <c r="C64609"/>
      <c r="M64609"/>
    </row>
    <row r="64610" spans="1:13" ht="12.75" customHeight="1" x14ac:dyDescent="0.25">
      <c r="A64610"/>
      <c r="B64610"/>
      <c r="C64610"/>
      <c r="M64610"/>
    </row>
    <row r="64611" spans="1:13" ht="12.75" customHeight="1" x14ac:dyDescent="0.25">
      <c r="A64611"/>
      <c r="B64611"/>
      <c r="C64611"/>
      <c r="M64611"/>
    </row>
    <row r="64612" spans="1:13" ht="12.75" customHeight="1" x14ac:dyDescent="0.25">
      <c r="A64612"/>
      <c r="B64612"/>
      <c r="C64612"/>
      <c r="M64612"/>
    </row>
    <row r="64613" spans="1:13" ht="12.75" customHeight="1" x14ac:dyDescent="0.25">
      <c r="A64613"/>
      <c r="B64613"/>
      <c r="C64613"/>
      <c r="M64613"/>
    </row>
    <row r="64614" spans="1:13" ht="12.75" customHeight="1" x14ac:dyDescent="0.25">
      <c r="A64614"/>
      <c r="B64614"/>
      <c r="C64614"/>
      <c r="M64614"/>
    </row>
    <row r="64615" spans="1:13" ht="12.75" customHeight="1" x14ac:dyDescent="0.25">
      <c r="A64615"/>
      <c r="B64615"/>
      <c r="C64615"/>
      <c r="M64615"/>
    </row>
    <row r="64616" spans="1:13" ht="12.75" customHeight="1" x14ac:dyDescent="0.25">
      <c r="A64616"/>
      <c r="B64616"/>
      <c r="C64616"/>
      <c r="M64616"/>
    </row>
    <row r="64617" spans="1:13" ht="12.75" customHeight="1" x14ac:dyDescent="0.25">
      <c r="A64617"/>
      <c r="B64617"/>
      <c r="C64617"/>
      <c r="M64617"/>
    </row>
    <row r="64618" spans="1:13" ht="12.75" customHeight="1" x14ac:dyDescent="0.25">
      <c r="A64618"/>
      <c r="B64618"/>
      <c r="C64618"/>
      <c r="M64618"/>
    </row>
    <row r="64619" spans="1:13" ht="12.75" customHeight="1" x14ac:dyDescent="0.25">
      <c r="A64619"/>
      <c r="B64619"/>
      <c r="C64619"/>
      <c r="M64619"/>
    </row>
    <row r="64620" spans="1:13" ht="12.75" customHeight="1" x14ac:dyDescent="0.25">
      <c r="A64620"/>
      <c r="B64620"/>
      <c r="C64620"/>
      <c r="M64620"/>
    </row>
    <row r="64621" spans="1:13" ht="12.75" customHeight="1" x14ac:dyDescent="0.25">
      <c r="A64621"/>
      <c r="B64621"/>
      <c r="C64621"/>
      <c r="M64621"/>
    </row>
    <row r="64622" spans="1:13" ht="12.75" customHeight="1" x14ac:dyDescent="0.25">
      <c r="A64622"/>
      <c r="B64622"/>
      <c r="C64622"/>
      <c r="M64622"/>
    </row>
    <row r="64623" spans="1:13" ht="12.75" customHeight="1" x14ac:dyDescent="0.25">
      <c r="A64623"/>
      <c r="B64623"/>
      <c r="C64623"/>
      <c r="M64623"/>
    </row>
    <row r="64624" spans="1:13" ht="12.75" customHeight="1" x14ac:dyDescent="0.25">
      <c r="A64624"/>
      <c r="B64624"/>
      <c r="C64624"/>
      <c r="M64624"/>
    </row>
    <row r="64625" spans="1:13" ht="12.75" customHeight="1" x14ac:dyDescent="0.25">
      <c r="A64625"/>
      <c r="B64625"/>
      <c r="C64625"/>
      <c r="M64625"/>
    </row>
    <row r="64626" spans="1:13" ht="12.75" customHeight="1" x14ac:dyDescent="0.25">
      <c r="A64626"/>
      <c r="B64626"/>
      <c r="C64626"/>
      <c r="M64626"/>
    </row>
    <row r="64627" spans="1:13" ht="12.75" customHeight="1" x14ac:dyDescent="0.25">
      <c r="A64627"/>
      <c r="B64627"/>
      <c r="C64627"/>
      <c r="M64627"/>
    </row>
    <row r="64628" spans="1:13" ht="12.75" customHeight="1" x14ac:dyDescent="0.25">
      <c r="A64628"/>
      <c r="B64628"/>
      <c r="C64628"/>
      <c r="M64628"/>
    </row>
    <row r="64629" spans="1:13" ht="12.75" customHeight="1" x14ac:dyDescent="0.25">
      <c r="A64629"/>
      <c r="B64629"/>
      <c r="C64629"/>
      <c r="M64629"/>
    </row>
    <row r="64630" spans="1:13" ht="12.75" customHeight="1" x14ac:dyDescent="0.25">
      <c r="A64630"/>
      <c r="B64630"/>
      <c r="C64630"/>
      <c r="M64630"/>
    </row>
    <row r="64631" spans="1:13" ht="12.75" customHeight="1" x14ac:dyDescent="0.25">
      <c r="A64631"/>
      <c r="B64631"/>
      <c r="C64631"/>
      <c r="M64631"/>
    </row>
    <row r="64632" spans="1:13" ht="12.75" customHeight="1" x14ac:dyDescent="0.25">
      <c r="A64632"/>
      <c r="B64632"/>
      <c r="C64632"/>
      <c r="M64632"/>
    </row>
    <row r="64633" spans="1:13" ht="12.75" customHeight="1" x14ac:dyDescent="0.25">
      <c r="A64633"/>
      <c r="B64633"/>
      <c r="C64633"/>
      <c r="M64633"/>
    </row>
    <row r="64634" spans="1:13" ht="12.75" customHeight="1" x14ac:dyDescent="0.25">
      <c r="A64634"/>
      <c r="B64634"/>
      <c r="C64634"/>
      <c r="M64634"/>
    </row>
    <row r="64635" spans="1:13" ht="12.75" customHeight="1" x14ac:dyDescent="0.25">
      <c r="A64635"/>
      <c r="B64635"/>
      <c r="C64635"/>
      <c r="M64635"/>
    </row>
    <row r="64636" spans="1:13" ht="12.75" customHeight="1" x14ac:dyDescent="0.25">
      <c r="A64636"/>
      <c r="B64636"/>
      <c r="C64636"/>
      <c r="M64636"/>
    </row>
    <row r="64637" spans="1:13" ht="12.75" customHeight="1" x14ac:dyDescent="0.25">
      <c r="A64637"/>
      <c r="B64637"/>
      <c r="C64637"/>
      <c r="M64637"/>
    </row>
    <row r="64638" spans="1:13" ht="12.75" customHeight="1" x14ac:dyDescent="0.25">
      <c r="A64638"/>
      <c r="B64638"/>
      <c r="C64638"/>
      <c r="M64638"/>
    </row>
    <row r="64639" spans="1:13" ht="12.75" customHeight="1" x14ac:dyDescent="0.25">
      <c r="A64639"/>
      <c r="B64639"/>
      <c r="C64639"/>
      <c r="M64639"/>
    </row>
    <row r="64640" spans="1:13" ht="12.75" customHeight="1" x14ac:dyDescent="0.25">
      <c r="A64640"/>
      <c r="B64640"/>
      <c r="C64640"/>
      <c r="M64640"/>
    </row>
    <row r="64641" spans="1:13" ht="12.75" customHeight="1" x14ac:dyDescent="0.25">
      <c r="A64641"/>
      <c r="B64641"/>
      <c r="C64641"/>
      <c r="M64641"/>
    </row>
    <row r="64642" spans="1:13" ht="12.75" customHeight="1" x14ac:dyDescent="0.25">
      <c r="A64642"/>
      <c r="B64642"/>
      <c r="C64642"/>
      <c r="M64642"/>
    </row>
    <row r="64643" spans="1:13" ht="12.75" customHeight="1" x14ac:dyDescent="0.25">
      <c r="A64643"/>
      <c r="B64643"/>
      <c r="C64643"/>
      <c r="M64643"/>
    </row>
    <row r="64644" spans="1:13" ht="12.75" customHeight="1" x14ac:dyDescent="0.25">
      <c r="A64644"/>
      <c r="B64644"/>
      <c r="C64644"/>
      <c r="M64644"/>
    </row>
    <row r="64645" spans="1:13" ht="12.75" customHeight="1" x14ac:dyDescent="0.25">
      <c r="A64645"/>
      <c r="B64645"/>
      <c r="C64645"/>
      <c r="M64645"/>
    </row>
    <row r="64646" spans="1:13" ht="12.75" customHeight="1" x14ac:dyDescent="0.25">
      <c r="A64646"/>
      <c r="B64646"/>
      <c r="C64646"/>
      <c r="M64646"/>
    </row>
    <row r="64647" spans="1:13" ht="12.75" customHeight="1" x14ac:dyDescent="0.25">
      <c r="A64647"/>
      <c r="B64647"/>
      <c r="C64647"/>
      <c r="M64647"/>
    </row>
    <row r="64648" spans="1:13" ht="12.75" customHeight="1" x14ac:dyDescent="0.25">
      <c r="A64648"/>
      <c r="B64648"/>
      <c r="C64648"/>
      <c r="M64648"/>
    </row>
    <row r="64649" spans="1:13" ht="12.75" customHeight="1" x14ac:dyDescent="0.25">
      <c r="A64649"/>
      <c r="B64649"/>
      <c r="C64649"/>
      <c r="M64649"/>
    </row>
    <row r="64650" spans="1:13" ht="12.75" customHeight="1" x14ac:dyDescent="0.25">
      <c r="A64650"/>
      <c r="B64650"/>
      <c r="C64650"/>
      <c r="M64650"/>
    </row>
    <row r="64651" spans="1:13" ht="12.75" customHeight="1" x14ac:dyDescent="0.25">
      <c r="A64651"/>
      <c r="B64651"/>
      <c r="C64651"/>
      <c r="M64651"/>
    </row>
    <row r="64652" spans="1:13" ht="12.75" customHeight="1" x14ac:dyDescent="0.25">
      <c r="A64652"/>
      <c r="B64652"/>
      <c r="C64652"/>
      <c r="M64652"/>
    </row>
    <row r="64653" spans="1:13" ht="12.75" customHeight="1" x14ac:dyDescent="0.25">
      <c r="A64653"/>
      <c r="B64653"/>
      <c r="C64653"/>
      <c r="M64653"/>
    </row>
    <row r="64654" spans="1:13" ht="12.75" customHeight="1" x14ac:dyDescent="0.25">
      <c r="A64654"/>
      <c r="B64654"/>
      <c r="C64654"/>
      <c r="M64654"/>
    </row>
    <row r="64655" spans="1:13" ht="12.75" customHeight="1" x14ac:dyDescent="0.25">
      <c r="A64655"/>
      <c r="B64655"/>
      <c r="C64655"/>
      <c r="M64655"/>
    </row>
    <row r="64656" spans="1:13" ht="12.75" customHeight="1" x14ac:dyDescent="0.25">
      <c r="A64656"/>
      <c r="B64656"/>
      <c r="C64656"/>
      <c r="M64656"/>
    </row>
    <row r="64657" spans="1:13" ht="12.75" customHeight="1" x14ac:dyDescent="0.25">
      <c r="A64657"/>
      <c r="B64657"/>
      <c r="C64657"/>
      <c r="M64657"/>
    </row>
    <row r="64658" spans="1:13" ht="12.75" customHeight="1" x14ac:dyDescent="0.25">
      <c r="A64658"/>
      <c r="B64658"/>
      <c r="C64658"/>
      <c r="M64658"/>
    </row>
    <row r="64659" spans="1:13" ht="12.75" customHeight="1" x14ac:dyDescent="0.25">
      <c r="A64659"/>
      <c r="B64659"/>
      <c r="C64659"/>
      <c r="M64659"/>
    </row>
    <row r="64660" spans="1:13" ht="12.75" customHeight="1" x14ac:dyDescent="0.25">
      <c r="A64660"/>
      <c r="B64660"/>
      <c r="C64660"/>
      <c r="M64660"/>
    </row>
    <row r="64661" spans="1:13" ht="12.75" customHeight="1" x14ac:dyDescent="0.25">
      <c r="A64661"/>
      <c r="B64661"/>
      <c r="C64661"/>
      <c r="M64661"/>
    </row>
    <row r="64662" spans="1:13" ht="12.75" customHeight="1" x14ac:dyDescent="0.25">
      <c r="A64662"/>
      <c r="B64662"/>
      <c r="C64662"/>
      <c r="M64662"/>
    </row>
    <row r="64663" spans="1:13" ht="12.75" customHeight="1" x14ac:dyDescent="0.25">
      <c r="A64663"/>
      <c r="B64663"/>
      <c r="C64663"/>
      <c r="M64663"/>
    </row>
    <row r="64664" spans="1:13" ht="12.75" customHeight="1" x14ac:dyDescent="0.25">
      <c r="A64664"/>
      <c r="B64664"/>
      <c r="C64664"/>
      <c r="M64664"/>
    </row>
    <row r="64665" spans="1:13" ht="12.75" customHeight="1" x14ac:dyDescent="0.25">
      <c r="A64665"/>
      <c r="B64665"/>
      <c r="C64665"/>
      <c r="M64665"/>
    </row>
    <row r="64666" spans="1:13" ht="12.75" customHeight="1" x14ac:dyDescent="0.25">
      <c r="A64666"/>
      <c r="B64666"/>
      <c r="C64666"/>
      <c r="M64666"/>
    </row>
    <row r="64667" spans="1:13" ht="12.75" customHeight="1" x14ac:dyDescent="0.25">
      <c r="A64667"/>
      <c r="B64667"/>
      <c r="C64667"/>
      <c r="M64667"/>
    </row>
    <row r="64668" spans="1:13" ht="12.75" customHeight="1" x14ac:dyDescent="0.25">
      <c r="A64668"/>
      <c r="B64668"/>
      <c r="C64668"/>
      <c r="M64668"/>
    </row>
    <row r="64669" spans="1:13" ht="12.75" customHeight="1" x14ac:dyDescent="0.25">
      <c r="A64669"/>
      <c r="B64669"/>
      <c r="C64669"/>
      <c r="M64669"/>
    </row>
    <row r="64670" spans="1:13" ht="12.75" customHeight="1" x14ac:dyDescent="0.25">
      <c r="A64670"/>
      <c r="B64670"/>
      <c r="C64670"/>
      <c r="M64670"/>
    </row>
    <row r="64671" spans="1:13" ht="12.75" customHeight="1" x14ac:dyDescent="0.25">
      <c r="A64671"/>
      <c r="B64671"/>
      <c r="C64671"/>
      <c r="M64671"/>
    </row>
    <row r="64672" spans="1:13" ht="12.75" customHeight="1" x14ac:dyDescent="0.25">
      <c r="A64672"/>
      <c r="B64672"/>
      <c r="C64672"/>
      <c r="M64672"/>
    </row>
    <row r="64673" spans="1:13" ht="12.75" customHeight="1" x14ac:dyDescent="0.25">
      <c r="A64673"/>
      <c r="B64673"/>
      <c r="C64673"/>
      <c r="M64673"/>
    </row>
    <row r="64674" spans="1:13" ht="12.75" customHeight="1" x14ac:dyDescent="0.25">
      <c r="A64674"/>
      <c r="B64674"/>
      <c r="C64674"/>
      <c r="M64674"/>
    </row>
    <row r="64675" spans="1:13" ht="12.75" customHeight="1" x14ac:dyDescent="0.25">
      <c r="A64675"/>
      <c r="B64675"/>
      <c r="C64675"/>
      <c r="M64675"/>
    </row>
    <row r="64676" spans="1:13" ht="12.75" customHeight="1" x14ac:dyDescent="0.25">
      <c r="A64676"/>
      <c r="B64676"/>
      <c r="C64676"/>
      <c r="M64676"/>
    </row>
    <row r="64677" spans="1:13" ht="12.75" customHeight="1" x14ac:dyDescent="0.25">
      <c r="A64677"/>
      <c r="B64677"/>
      <c r="C64677"/>
      <c r="M64677"/>
    </row>
    <row r="64678" spans="1:13" ht="12.75" customHeight="1" x14ac:dyDescent="0.25">
      <c r="A64678"/>
      <c r="B64678"/>
      <c r="C64678"/>
      <c r="M64678"/>
    </row>
    <row r="64679" spans="1:13" ht="12.75" customHeight="1" x14ac:dyDescent="0.25">
      <c r="A64679"/>
      <c r="B64679"/>
      <c r="C64679"/>
      <c r="M64679"/>
    </row>
    <row r="64680" spans="1:13" ht="12.75" customHeight="1" x14ac:dyDescent="0.25">
      <c r="A64680"/>
      <c r="B64680"/>
      <c r="C64680"/>
      <c r="M64680"/>
    </row>
    <row r="64681" spans="1:13" ht="12.75" customHeight="1" x14ac:dyDescent="0.25">
      <c r="A64681"/>
      <c r="B64681"/>
      <c r="C64681"/>
      <c r="M64681"/>
    </row>
    <row r="64682" spans="1:13" ht="12.75" customHeight="1" x14ac:dyDescent="0.25">
      <c r="A64682"/>
      <c r="B64682"/>
      <c r="C64682"/>
      <c r="M64682"/>
    </row>
    <row r="64683" spans="1:13" ht="12.75" customHeight="1" x14ac:dyDescent="0.25">
      <c r="A64683"/>
      <c r="B64683"/>
      <c r="C64683"/>
      <c r="M64683"/>
    </row>
    <row r="64684" spans="1:13" ht="12.75" customHeight="1" x14ac:dyDescent="0.25">
      <c r="A64684"/>
      <c r="B64684"/>
      <c r="C64684"/>
      <c r="M64684"/>
    </row>
    <row r="64685" spans="1:13" ht="12.75" customHeight="1" x14ac:dyDescent="0.25">
      <c r="A64685"/>
      <c r="B64685"/>
      <c r="C64685"/>
      <c r="M64685"/>
    </row>
    <row r="64686" spans="1:13" ht="12.75" customHeight="1" x14ac:dyDescent="0.25">
      <c r="A64686"/>
      <c r="B64686"/>
      <c r="C64686"/>
      <c r="M64686"/>
    </row>
    <row r="64687" spans="1:13" ht="12.75" customHeight="1" x14ac:dyDescent="0.25">
      <c r="A64687"/>
      <c r="B64687"/>
      <c r="C64687"/>
      <c r="M64687"/>
    </row>
    <row r="64688" spans="1:13" ht="12.75" customHeight="1" x14ac:dyDescent="0.25">
      <c r="A64688"/>
      <c r="B64688"/>
      <c r="C64688"/>
      <c r="M64688"/>
    </row>
    <row r="64689" spans="1:13" ht="12.75" customHeight="1" x14ac:dyDescent="0.25">
      <c r="A64689"/>
      <c r="B64689"/>
      <c r="C64689"/>
      <c r="M64689"/>
    </row>
    <row r="64690" spans="1:13" ht="12.75" customHeight="1" x14ac:dyDescent="0.25">
      <c r="A64690"/>
      <c r="B64690"/>
      <c r="C64690"/>
      <c r="M64690"/>
    </row>
    <row r="64691" spans="1:13" ht="12.75" customHeight="1" x14ac:dyDescent="0.25">
      <c r="A64691"/>
      <c r="B64691"/>
      <c r="C64691"/>
      <c r="M64691"/>
    </row>
    <row r="64692" spans="1:13" ht="12.75" customHeight="1" x14ac:dyDescent="0.25">
      <c r="A64692"/>
      <c r="B64692"/>
      <c r="C64692"/>
      <c r="M64692"/>
    </row>
    <row r="64693" spans="1:13" ht="12.75" customHeight="1" x14ac:dyDescent="0.25">
      <c r="A64693"/>
      <c r="B64693"/>
      <c r="C64693"/>
      <c r="M64693"/>
    </row>
    <row r="64694" spans="1:13" ht="12.75" customHeight="1" x14ac:dyDescent="0.25">
      <c r="A64694"/>
      <c r="B64694"/>
      <c r="C64694"/>
      <c r="M64694"/>
    </row>
    <row r="64695" spans="1:13" ht="12.75" customHeight="1" x14ac:dyDescent="0.25">
      <c r="A64695"/>
      <c r="B64695"/>
      <c r="C64695"/>
      <c r="M64695"/>
    </row>
    <row r="64696" spans="1:13" ht="12.75" customHeight="1" x14ac:dyDescent="0.25">
      <c r="A64696"/>
      <c r="B64696"/>
      <c r="C64696"/>
      <c r="M64696"/>
    </row>
    <row r="64697" spans="1:13" ht="12.75" customHeight="1" x14ac:dyDescent="0.25">
      <c r="A64697"/>
      <c r="B64697"/>
      <c r="C64697"/>
      <c r="M64697"/>
    </row>
    <row r="64698" spans="1:13" ht="12.75" customHeight="1" x14ac:dyDescent="0.25">
      <c r="A64698"/>
      <c r="B64698"/>
      <c r="C64698"/>
      <c r="M64698"/>
    </row>
    <row r="64699" spans="1:13" ht="12.75" customHeight="1" x14ac:dyDescent="0.25">
      <c r="A64699"/>
      <c r="B64699"/>
      <c r="C64699"/>
      <c r="M64699"/>
    </row>
    <row r="64700" spans="1:13" ht="12.75" customHeight="1" x14ac:dyDescent="0.25">
      <c r="A64700"/>
      <c r="B64700"/>
      <c r="C64700"/>
      <c r="M64700"/>
    </row>
    <row r="64701" spans="1:13" ht="12.75" customHeight="1" x14ac:dyDescent="0.25">
      <c r="A64701"/>
      <c r="B64701"/>
      <c r="C64701"/>
      <c r="M64701"/>
    </row>
    <row r="64702" spans="1:13" ht="12.75" customHeight="1" x14ac:dyDescent="0.25">
      <c r="A64702"/>
      <c r="B64702"/>
      <c r="C64702"/>
      <c r="M64702"/>
    </row>
    <row r="64703" spans="1:13" ht="12.75" customHeight="1" x14ac:dyDescent="0.25">
      <c r="A64703"/>
      <c r="B64703"/>
      <c r="C64703"/>
      <c r="M64703"/>
    </row>
    <row r="64704" spans="1:13" ht="12.75" customHeight="1" x14ac:dyDescent="0.25">
      <c r="A64704"/>
      <c r="B64704"/>
      <c r="C64704"/>
      <c r="M64704"/>
    </row>
    <row r="64705" spans="1:13" ht="12.75" customHeight="1" x14ac:dyDescent="0.25">
      <c r="A64705"/>
      <c r="B64705"/>
      <c r="C64705"/>
      <c r="M64705"/>
    </row>
    <row r="64706" spans="1:13" ht="12.75" customHeight="1" x14ac:dyDescent="0.25">
      <c r="A64706"/>
      <c r="B64706"/>
      <c r="C64706"/>
      <c r="M64706"/>
    </row>
    <row r="64707" spans="1:13" ht="12.75" customHeight="1" x14ac:dyDescent="0.25">
      <c r="A64707"/>
      <c r="B64707"/>
      <c r="C64707"/>
      <c r="M64707"/>
    </row>
    <row r="64708" spans="1:13" ht="12.75" customHeight="1" x14ac:dyDescent="0.25">
      <c r="A64708"/>
      <c r="B64708"/>
      <c r="C64708"/>
      <c r="M64708"/>
    </row>
    <row r="64709" spans="1:13" ht="12.75" customHeight="1" x14ac:dyDescent="0.25">
      <c r="A64709"/>
      <c r="B64709"/>
      <c r="C64709"/>
      <c r="M64709"/>
    </row>
    <row r="64710" spans="1:13" ht="12.75" customHeight="1" x14ac:dyDescent="0.25">
      <c r="A64710"/>
      <c r="B64710"/>
      <c r="C64710"/>
      <c r="M64710"/>
    </row>
    <row r="64711" spans="1:13" ht="12.75" customHeight="1" x14ac:dyDescent="0.25">
      <c r="A64711"/>
      <c r="B64711"/>
      <c r="C64711"/>
      <c r="M64711"/>
    </row>
    <row r="64712" spans="1:13" ht="12.75" customHeight="1" x14ac:dyDescent="0.25">
      <c r="A64712"/>
      <c r="B64712"/>
      <c r="C64712"/>
      <c r="M64712"/>
    </row>
    <row r="64713" spans="1:13" ht="12.75" customHeight="1" x14ac:dyDescent="0.25">
      <c r="A64713"/>
      <c r="B64713"/>
      <c r="C64713"/>
      <c r="M64713"/>
    </row>
    <row r="64714" spans="1:13" ht="12.75" customHeight="1" x14ac:dyDescent="0.25">
      <c r="A64714"/>
      <c r="B64714"/>
      <c r="C64714"/>
      <c r="M64714"/>
    </row>
    <row r="64715" spans="1:13" ht="12.75" customHeight="1" x14ac:dyDescent="0.25">
      <c r="A64715"/>
      <c r="B64715"/>
      <c r="C64715"/>
      <c r="M64715"/>
    </row>
    <row r="64716" spans="1:13" ht="12.75" customHeight="1" x14ac:dyDescent="0.25">
      <c r="A64716"/>
      <c r="B64716"/>
      <c r="C64716"/>
      <c r="M64716"/>
    </row>
    <row r="64717" spans="1:13" ht="12.75" customHeight="1" x14ac:dyDescent="0.25">
      <c r="A64717"/>
      <c r="B64717"/>
      <c r="C64717"/>
      <c r="M64717"/>
    </row>
    <row r="64718" spans="1:13" ht="12.75" customHeight="1" x14ac:dyDescent="0.25">
      <c r="A64718"/>
      <c r="B64718"/>
      <c r="C64718"/>
      <c r="M64718"/>
    </row>
    <row r="64719" spans="1:13" ht="12.75" customHeight="1" x14ac:dyDescent="0.25">
      <c r="A64719"/>
      <c r="B64719"/>
      <c r="C64719"/>
      <c r="M64719"/>
    </row>
    <row r="64720" spans="1:13" ht="12.75" customHeight="1" x14ac:dyDescent="0.25">
      <c r="A64720"/>
      <c r="B64720"/>
      <c r="C64720"/>
      <c r="M64720"/>
    </row>
    <row r="64721" spans="1:13" ht="12.75" customHeight="1" x14ac:dyDescent="0.25">
      <c r="A64721"/>
      <c r="B64721"/>
      <c r="C64721"/>
      <c r="M64721"/>
    </row>
    <row r="64722" spans="1:13" ht="12.75" customHeight="1" x14ac:dyDescent="0.25">
      <c r="A64722"/>
      <c r="B64722"/>
      <c r="C64722"/>
      <c r="M64722"/>
    </row>
    <row r="64723" spans="1:13" ht="12.75" customHeight="1" x14ac:dyDescent="0.25">
      <c r="A64723"/>
      <c r="B64723"/>
      <c r="C64723"/>
      <c r="M64723"/>
    </row>
    <row r="64724" spans="1:13" ht="12.75" customHeight="1" x14ac:dyDescent="0.25">
      <c r="A64724"/>
      <c r="B64724"/>
      <c r="C64724"/>
      <c r="M64724"/>
    </row>
    <row r="64725" spans="1:13" ht="12.75" customHeight="1" x14ac:dyDescent="0.25">
      <c r="A64725"/>
      <c r="B64725"/>
      <c r="C64725"/>
      <c r="M64725"/>
    </row>
    <row r="64726" spans="1:13" ht="12.75" customHeight="1" x14ac:dyDescent="0.25">
      <c r="A64726"/>
      <c r="B64726"/>
      <c r="C64726"/>
      <c r="M64726"/>
    </row>
    <row r="64727" spans="1:13" ht="12.75" customHeight="1" x14ac:dyDescent="0.25">
      <c r="A64727"/>
      <c r="B64727"/>
      <c r="C64727"/>
      <c r="M64727"/>
    </row>
    <row r="64728" spans="1:13" ht="12.75" customHeight="1" x14ac:dyDescent="0.25">
      <c r="A64728"/>
      <c r="B64728"/>
      <c r="C64728"/>
      <c r="M64728"/>
    </row>
    <row r="64729" spans="1:13" ht="12.75" customHeight="1" x14ac:dyDescent="0.25">
      <c r="A64729"/>
      <c r="B64729"/>
      <c r="C64729"/>
      <c r="M64729"/>
    </row>
    <row r="64730" spans="1:13" ht="12.75" customHeight="1" x14ac:dyDescent="0.25">
      <c r="A64730"/>
      <c r="B64730"/>
      <c r="C64730"/>
      <c r="M64730"/>
    </row>
    <row r="64731" spans="1:13" ht="12.75" customHeight="1" x14ac:dyDescent="0.25">
      <c r="A64731"/>
      <c r="B64731"/>
      <c r="C64731"/>
      <c r="M64731"/>
    </row>
    <row r="64732" spans="1:13" ht="12.75" customHeight="1" x14ac:dyDescent="0.25">
      <c r="A64732"/>
      <c r="B64732"/>
      <c r="C64732"/>
      <c r="M64732"/>
    </row>
    <row r="64733" spans="1:13" ht="12.75" customHeight="1" x14ac:dyDescent="0.25">
      <c r="A64733"/>
      <c r="B64733"/>
      <c r="C64733"/>
      <c r="M64733"/>
    </row>
    <row r="64734" spans="1:13" ht="12.75" customHeight="1" x14ac:dyDescent="0.25">
      <c r="A64734"/>
      <c r="B64734"/>
      <c r="C64734"/>
      <c r="M64734"/>
    </row>
    <row r="64735" spans="1:13" ht="12.75" customHeight="1" x14ac:dyDescent="0.25">
      <c r="A64735"/>
      <c r="B64735"/>
      <c r="C64735"/>
      <c r="M64735"/>
    </row>
    <row r="64736" spans="1:13" ht="12.75" customHeight="1" x14ac:dyDescent="0.25">
      <c r="A64736"/>
      <c r="B64736"/>
      <c r="C64736"/>
      <c r="M64736"/>
    </row>
    <row r="64737" spans="1:13" ht="12.75" customHeight="1" x14ac:dyDescent="0.25">
      <c r="A64737"/>
      <c r="B64737"/>
      <c r="C64737"/>
      <c r="M64737"/>
    </row>
    <row r="64738" spans="1:13" ht="12.75" customHeight="1" x14ac:dyDescent="0.25">
      <c r="A64738"/>
      <c r="B64738"/>
      <c r="C64738"/>
      <c r="M64738"/>
    </row>
    <row r="64739" spans="1:13" ht="12.75" customHeight="1" x14ac:dyDescent="0.25">
      <c r="A64739"/>
      <c r="B64739"/>
      <c r="C64739"/>
      <c r="M64739"/>
    </row>
    <row r="64740" spans="1:13" ht="12.75" customHeight="1" x14ac:dyDescent="0.25">
      <c r="A64740"/>
      <c r="B64740"/>
      <c r="C64740"/>
      <c r="M64740"/>
    </row>
    <row r="64741" spans="1:13" ht="12.75" customHeight="1" x14ac:dyDescent="0.25">
      <c r="A64741"/>
      <c r="B64741"/>
      <c r="C64741"/>
      <c r="M64741"/>
    </row>
    <row r="64742" spans="1:13" ht="12.75" customHeight="1" x14ac:dyDescent="0.25">
      <c r="A64742"/>
      <c r="B64742"/>
      <c r="C64742"/>
      <c r="M64742"/>
    </row>
    <row r="64743" spans="1:13" ht="12.75" customHeight="1" x14ac:dyDescent="0.25">
      <c r="A64743"/>
      <c r="B64743"/>
      <c r="C64743"/>
      <c r="M64743"/>
    </row>
    <row r="64744" spans="1:13" ht="12.75" customHeight="1" x14ac:dyDescent="0.25">
      <c r="A64744"/>
      <c r="B64744"/>
      <c r="C64744"/>
      <c r="M64744"/>
    </row>
    <row r="64745" spans="1:13" ht="12.75" customHeight="1" x14ac:dyDescent="0.25">
      <c r="A64745"/>
      <c r="B64745"/>
      <c r="C64745"/>
      <c r="M64745"/>
    </row>
    <row r="64746" spans="1:13" ht="12.75" customHeight="1" x14ac:dyDescent="0.25">
      <c r="A64746"/>
      <c r="B64746"/>
      <c r="C64746"/>
      <c r="M64746"/>
    </row>
    <row r="64747" spans="1:13" ht="12.75" customHeight="1" x14ac:dyDescent="0.25">
      <c r="A64747"/>
      <c r="B64747"/>
      <c r="C64747"/>
      <c r="M64747"/>
    </row>
    <row r="64748" spans="1:13" ht="12.75" customHeight="1" x14ac:dyDescent="0.25">
      <c r="A64748"/>
      <c r="B64748"/>
      <c r="C64748"/>
      <c r="M64748"/>
    </row>
    <row r="64749" spans="1:13" ht="12.75" customHeight="1" x14ac:dyDescent="0.25">
      <c r="A64749"/>
      <c r="B64749"/>
      <c r="C64749"/>
      <c r="M64749"/>
    </row>
    <row r="64750" spans="1:13" ht="12.75" customHeight="1" x14ac:dyDescent="0.25">
      <c r="A64750"/>
      <c r="B64750"/>
      <c r="C64750"/>
      <c r="M64750"/>
    </row>
    <row r="64751" spans="1:13" ht="12.75" customHeight="1" x14ac:dyDescent="0.25">
      <c r="A64751"/>
      <c r="B64751"/>
      <c r="C64751"/>
      <c r="M64751"/>
    </row>
    <row r="64752" spans="1:13" ht="12.75" customHeight="1" x14ac:dyDescent="0.25">
      <c r="A64752"/>
      <c r="B64752"/>
      <c r="C64752"/>
      <c r="M64752"/>
    </row>
    <row r="64753" spans="1:13" ht="12.75" customHeight="1" x14ac:dyDescent="0.25">
      <c r="A64753"/>
      <c r="B64753"/>
      <c r="C64753"/>
      <c r="M64753"/>
    </row>
    <row r="64754" spans="1:13" ht="12.75" customHeight="1" x14ac:dyDescent="0.25">
      <c r="A64754"/>
      <c r="B64754"/>
      <c r="C64754"/>
      <c r="M64754"/>
    </row>
    <row r="64755" spans="1:13" ht="12.75" customHeight="1" x14ac:dyDescent="0.25">
      <c r="A64755"/>
      <c r="B64755"/>
      <c r="C64755"/>
      <c r="M64755"/>
    </row>
    <row r="64756" spans="1:13" ht="12.75" customHeight="1" x14ac:dyDescent="0.25">
      <c r="A64756"/>
      <c r="B64756"/>
      <c r="C64756"/>
      <c r="M64756"/>
    </row>
    <row r="64757" spans="1:13" ht="12.75" customHeight="1" x14ac:dyDescent="0.25">
      <c r="A64757"/>
      <c r="B64757"/>
      <c r="C64757"/>
      <c r="M64757"/>
    </row>
    <row r="64758" spans="1:13" ht="12.75" customHeight="1" x14ac:dyDescent="0.25">
      <c r="A64758"/>
      <c r="B64758"/>
      <c r="C64758"/>
      <c r="M64758"/>
    </row>
    <row r="64759" spans="1:13" ht="12.75" customHeight="1" x14ac:dyDescent="0.25">
      <c r="A64759"/>
      <c r="B64759"/>
      <c r="C64759"/>
      <c r="M64759"/>
    </row>
    <row r="64760" spans="1:13" ht="12.75" customHeight="1" x14ac:dyDescent="0.25">
      <c r="A64760"/>
      <c r="B64760"/>
      <c r="C64760"/>
      <c r="M64760"/>
    </row>
    <row r="64761" spans="1:13" ht="12.75" customHeight="1" x14ac:dyDescent="0.25">
      <c r="A64761"/>
      <c r="B64761"/>
      <c r="C64761"/>
      <c r="M64761"/>
    </row>
    <row r="64762" spans="1:13" ht="12.75" customHeight="1" x14ac:dyDescent="0.25">
      <c r="A64762"/>
      <c r="B64762"/>
      <c r="C64762"/>
      <c r="M64762"/>
    </row>
    <row r="64763" spans="1:13" ht="12.75" customHeight="1" x14ac:dyDescent="0.25">
      <c r="A64763"/>
      <c r="B64763"/>
      <c r="C64763"/>
      <c r="M64763"/>
    </row>
    <row r="64764" spans="1:13" ht="12.75" customHeight="1" x14ac:dyDescent="0.25">
      <c r="A64764"/>
      <c r="B64764"/>
      <c r="C64764"/>
      <c r="M64764"/>
    </row>
    <row r="64765" spans="1:13" ht="12.75" customHeight="1" x14ac:dyDescent="0.25">
      <c r="A64765"/>
      <c r="B64765"/>
      <c r="C64765"/>
      <c r="M64765"/>
    </row>
    <row r="64766" spans="1:13" ht="12.75" customHeight="1" x14ac:dyDescent="0.25">
      <c r="A64766"/>
      <c r="B64766"/>
      <c r="C64766"/>
      <c r="M64766"/>
    </row>
    <row r="64767" spans="1:13" ht="12.75" customHeight="1" x14ac:dyDescent="0.25">
      <c r="A64767"/>
      <c r="B64767"/>
      <c r="C64767"/>
      <c r="M64767"/>
    </row>
    <row r="64768" spans="1:13" ht="12.75" customHeight="1" x14ac:dyDescent="0.25">
      <c r="A64768"/>
      <c r="B64768"/>
      <c r="C64768"/>
      <c r="M64768"/>
    </row>
    <row r="64769" spans="1:13" ht="12.75" customHeight="1" x14ac:dyDescent="0.25">
      <c r="A64769"/>
      <c r="B64769"/>
      <c r="C64769"/>
      <c r="M64769"/>
    </row>
    <row r="64770" spans="1:13" ht="12.75" customHeight="1" x14ac:dyDescent="0.25">
      <c r="A64770"/>
      <c r="B64770"/>
      <c r="C64770"/>
      <c r="M64770"/>
    </row>
    <row r="64771" spans="1:13" ht="12.75" customHeight="1" x14ac:dyDescent="0.25">
      <c r="A64771"/>
      <c r="B64771"/>
      <c r="C64771"/>
      <c r="M64771"/>
    </row>
    <row r="64772" spans="1:13" ht="12.75" customHeight="1" x14ac:dyDescent="0.25">
      <c r="A64772"/>
      <c r="B64772"/>
      <c r="C64772"/>
      <c r="M64772"/>
    </row>
    <row r="64773" spans="1:13" ht="12.75" customHeight="1" x14ac:dyDescent="0.25">
      <c r="A64773"/>
      <c r="B64773"/>
      <c r="C64773"/>
      <c r="M64773"/>
    </row>
    <row r="64774" spans="1:13" ht="12.75" customHeight="1" x14ac:dyDescent="0.25">
      <c r="A64774"/>
      <c r="B64774"/>
      <c r="C64774"/>
      <c r="M64774"/>
    </row>
    <row r="64775" spans="1:13" ht="12.75" customHeight="1" x14ac:dyDescent="0.25">
      <c r="A64775"/>
      <c r="B64775"/>
      <c r="C64775"/>
      <c r="M64775"/>
    </row>
    <row r="64776" spans="1:13" ht="12.75" customHeight="1" x14ac:dyDescent="0.25">
      <c r="A64776"/>
      <c r="B64776"/>
      <c r="C64776"/>
      <c r="M64776"/>
    </row>
    <row r="64777" spans="1:13" ht="12.75" customHeight="1" x14ac:dyDescent="0.25">
      <c r="A64777"/>
      <c r="B64777"/>
      <c r="C64777"/>
      <c r="M64777"/>
    </row>
    <row r="64778" spans="1:13" ht="12.75" customHeight="1" x14ac:dyDescent="0.25">
      <c r="A64778"/>
      <c r="B64778"/>
      <c r="C64778"/>
      <c r="M64778"/>
    </row>
    <row r="64779" spans="1:13" ht="12.75" customHeight="1" x14ac:dyDescent="0.25">
      <c r="A64779"/>
      <c r="B64779"/>
      <c r="C64779"/>
      <c r="M64779"/>
    </row>
    <row r="64780" spans="1:13" ht="12.75" customHeight="1" x14ac:dyDescent="0.25">
      <c r="A64780"/>
      <c r="B64780"/>
      <c r="C64780"/>
      <c r="M64780"/>
    </row>
    <row r="64781" spans="1:13" ht="12.75" customHeight="1" x14ac:dyDescent="0.25">
      <c r="A64781"/>
      <c r="B64781"/>
      <c r="C64781"/>
      <c r="M64781"/>
    </row>
    <row r="64782" spans="1:13" ht="12.75" customHeight="1" x14ac:dyDescent="0.25">
      <c r="A64782"/>
      <c r="B64782"/>
      <c r="C64782"/>
      <c r="M64782"/>
    </row>
    <row r="64783" spans="1:13" ht="12.75" customHeight="1" x14ac:dyDescent="0.25">
      <c r="A64783"/>
      <c r="B64783"/>
      <c r="C64783"/>
      <c r="M64783"/>
    </row>
    <row r="64784" spans="1:13" ht="12.75" customHeight="1" x14ac:dyDescent="0.25">
      <c r="A64784"/>
      <c r="B64784"/>
      <c r="C64784"/>
      <c r="M64784"/>
    </row>
    <row r="64785" spans="1:13" ht="12.75" customHeight="1" x14ac:dyDescent="0.25">
      <c r="A64785"/>
      <c r="B64785"/>
      <c r="C64785"/>
      <c r="M64785"/>
    </row>
    <row r="64786" spans="1:13" ht="12.75" customHeight="1" x14ac:dyDescent="0.25">
      <c r="A64786"/>
      <c r="B64786"/>
      <c r="C64786"/>
      <c r="M64786"/>
    </row>
    <row r="64787" spans="1:13" ht="12.75" customHeight="1" x14ac:dyDescent="0.25">
      <c r="A64787"/>
      <c r="B64787"/>
      <c r="C64787"/>
      <c r="M64787"/>
    </row>
    <row r="64788" spans="1:13" ht="12.75" customHeight="1" x14ac:dyDescent="0.25">
      <c r="A64788"/>
      <c r="B64788"/>
      <c r="C64788"/>
      <c r="M64788"/>
    </row>
    <row r="64789" spans="1:13" ht="12.75" customHeight="1" x14ac:dyDescent="0.25">
      <c r="A64789"/>
      <c r="B64789"/>
      <c r="C64789"/>
      <c r="M64789"/>
    </row>
    <row r="64790" spans="1:13" ht="12.75" customHeight="1" x14ac:dyDescent="0.25">
      <c r="A64790"/>
      <c r="B64790"/>
      <c r="C64790"/>
      <c r="M64790"/>
    </row>
    <row r="64791" spans="1:13" ht="12.75" customHeight="1" x14ac:dyDescent="0.25">
      <c r="A64791"/>
      <c r="B64791"/>
      <c r="C64791"/>
      <c r="M64791"/>
    </row>
    <row r="64792" spans="1:13" ht="12.75" customHeight="1" x14ac:dyDescent="0.25">
      <c r="A64792"/>
      <c r="B64792"/>
      <c r="C64792"/>
      <c r="M64792"/>
    </row>
    <row r="64793" spans="1:13" ht="12.75" customHeight="1" x14ac:dyDescent="0.25">
      <c r="A64793"/>
      <c r="B64793"/>
      <c r="C64793"/>
      <c r="M64793"/>
    </row>
    <row r="64794" spans="1:13" ht="12.75" customHeight="1" x14ac:dyDescent="0.25">
      <c r="A64794"/>
      <c r="B64794"/>
      <c r="C64794"/>
      <c r="M64794"/>
    </row>
    <row r="64795" spans="1:13" ht="12.75" customHeight="1" x14ac:dyDescent="0.25">
      <c r="A64795"/>
      <c r="B64795"/>
      <c r="C64795"/>
      <c r="M64795"/>
    </row>
    <row r="64796" spans="1:13" ht="12.75" customHeight="1" x14ac:dyDescent="0.25">
      <c r="A64796"/>
      <c r="B64796"/>
      <c r="C64796"/>
      <c r="M64796"/>
    </row>
    <row r="64797" spans="1:13" ht="12.75" customHeight="1" x14ac:dyDescent="0.25">
      <c r="A64797"/>
      <c r="B64797"/>
      <c r="C64797"/>
      <c r="M64797"/>
    </row>
    <row r="64798" spans="1:13" ht="12.75" customHeight="1" x14ac:dyDescent="0.25">
      <c r="A64798"/>
      <c r="B64798"/>
      <c r="C64798"/>
      <c r="M64798"/>
    </row>
    <row r="64799" spans="1:13" ht="12.75" customHeight="1" x14ac:dyDescent="0.25">
      <c r="A64799"/>
      <c r="B64799"/>
      <c r="C64799"/>
      <c r="M64799"/>
    </row>
    <row r="64800" spans="1:13" ht="12.75" customHeight="1" x14ac:dyDescent="0.25">
      <c r="A64800"/>
      <c r="B64800"/>
      <c r="C64800"/>
      <c r="M64800"/>
    </row>
    <row r="64801" spans="1:13" ht="12.75" customHeight="1" x14ac:dyDescent="0.25">
      <c r="A64801"/>
      <c r="B64801"/>
      <c r="C64801"/>
      <c r="M64801"/>
    </row>
    <row r="64802" spans="1:13" ht="12.75" customHeight="1" x14ac:dyDescent="0.25">
      <c r="A64802"/>
      <c r="B64802"/>
      <c r="C64802"/>
      <c r="M64802"/>
    </row>
    <row r="64803" spans="1:13" ht="12.75" customHeight="1" x14ac:dyDescent="0.25">
      <c r="A64803"/>
      <c r="B64803"/>
      <c r="C64803"/>
      <c r="M64803"/>
    </row>
    <row r="64804" spans="1:13" ht="12.75" customHeight="1" x14ac:dyDescent="0.25">
      <c r="A64804"/>
      <c r="B64804"/>
      <c r="C64804"/>
      <c r="M64804"/>
    </row>
    <row r="64805" spans="1:13" ht="12.75" customHeight="1" x14ac:dyDescent="0.25">
      <c r="A64805"/>
      <c r="B64805"/>
      <c r="C64805"/>
      <c r="M64805"/>
    </row>
    <row r="64806" spans="1:13" ht="12.75" customHeight="1" x14ac:dyDescent="0.25">
      <c r="A64806"/>
      <c r="B64806"/>
      <c r="C64806"/>
      <c r="M64806"/>
    </row>
    <row r="64807" spans="1:13" ht="12.75" customHeight="1" x14ac:dyDescent="0.25">
      <c r="A64807"/>
      <c r="B64807"/>
      <c r="C64807"/>
      <c r="M64807"/>
    </row>
    <row r="64808" spans="1:13" ht="12.75" customHeight="1" x14ac:dyDescent="0.25">
      <c r="A64808"/>
      <c r="B64808"/>
      <c r="C64808"/>
      <c r="M64808"/>
    </row>
    <row r="64809" spans="1:13" ht="12.75" customHeight="1" x14ac:dyDescent="0.25">
      <c r="A64809"/>
      <c r="B64809"/>
      <c r="C64809"/>
      <c r="M64809"/>
    </row>
    <row r="64810" spans="1:13" ht="12.75" customHeight="1" x14ac:dyDescent="0.25">
      <c r="A64810"/>
      <c r="B64810"/>
      <c r="C64810"/>
      <c r="M64810"/>
    </row>
    <row r="64811" spans="1:13" ht="12.75" customHeight="1" x14ac:dyDescent="0.25">
      <c r="A64811"/>
      <c r="B64811"/>
      <c r="C64811"/>
      <c r="M64811"/>
    </row>
    <row r="64812" spans="1:13" ht="12.75" customHeight="1" x14ac:dyDescent="0.25">
      <c r="A64812"/>
      <c r="B64812"/>
      <c r="C64812"/>
      <c r="M64812"/>
    </row>
    <row r="64813" spans="1:13" ht="12.75" customHeight="1" x14ac:dyDescent="0.25">
      <c r="A64813"/>
      <c r="B64813"/>
      <c r="C64813"/>
      <c r="M64813"/>
    </row>
    <row r="64814" spans="1:13" ht="12.75" customHeight="1" x14ac:dyDescent="0.25">
      <c r="A64814"/>
      <c r="B64814"/>
      <c r="C64814"/>
      <c r="M64814"/>
    </row>
    <row r="64815" spans="1:13" ht="12.75" customHeight="1" x14ac:dyDescent="0.25">
      <c r="A64815"/>
      <c r="B64815"/>
      <c r="C64815"/>
      <c r="M64815"/>
    </row>
    <row r="64816" spans="1:13" ht="12.75" customHeight="1" x14ac:dyDescent="0.25">
      <c r="A64816"/>
      <c r="B64816"/>
      <c r="C64816"/>
      <c r="M64816"/>
    </row>
    <row r="64817" spans="1:13" ht="12.75" customHeight="1" x14ac:dyDescent="0.25">
      <c r="A64817"/>
      <c r="B64817"/>
      <c r="C64817"/>
      <c r="M64817"/>
    </row>
    <row r="64818" spans="1:13" ht="12.75" customHeight="1" x14ac:dyDescent="0.25">
      <c r="A64818"/>
      <c r="B64818"/>
      <c r="C64818"/>
      <c r="M64818"/>
    </row>
    <row r="64819" spans="1:13" ht="12.75" customHeight="1" x14ac:dyDescent="0.25">
      <c r="A64819"/>
      <c r="B64819"/>
      <c r="C64819"/>
      <c r="M64819"/>
    </row>
    <row r="64820" spans="1:13" ht="12.75" customHeight="1" x14ac:dyDescent="0.25">
      <c r="A64820"/>
      <c r="B64820"/>
      <c r="C64820"/>
      <c r="M64820"/>
    </row>
    <row r="64821" spans="1:13" ht="12.75" customHeight="1" x14ac:dyDescent="0.25">
      <c r="A64821"/>
      <c r="B64821"/>
      <c r="C64821"/>
      <c r="M64821"/>
    </row>
    <row r="64822" spans="1:13" ht="12.75" customHeight="1" x14ac:dyDescent="0.25">
      <c r="A64822"/>
      <c r="B64822"/>
      <c r="C64822"/>
      <c r="M64822"/>
    </row>
    <row r="64823" spans="1:13" ht="12.75" customHeight="1" x14ac:dyDescent="0.25">
      <c r="A64823"/>
      <c r="B64823"/>
      <c r="C64823"/>
      <c r="M64823"/>
    </row>
    <row r="64824" spans="1:13" ht="12.75" customHeight="1" x14ac:dyDescent="0.25">
      <c r="A64824"/>
      <c r="B64824"/>
      <c r="C64824"/>
      <c r="M64824"/>
    </row>
    <row r="64825" spans="1:13" ht="12.75" customHeight="1" x14ac:dyDescent="0.25">
      <c r="A64825"/>
      <c r="B64825"/>
      <c r="C64825"/>
      <c r="M64825"/>
    </row>
    <row r="64826" spans="1:13" ht="12.75" customHeight="1" x14ac:dyDescent="0.25">
      <c r="A64826"/>
      <c r="B64826"/>
      <c r="C64826"/>
      <c r="M64826"/>
    </row>
    <row r="64827" spans="1:13" ht="12.75" customHeight="1" x14ac:dyDescent="0.25">
      <c r="A64827"/>
      <c r="B64827"/>
      <c r="C64827"/>
      <c r="M64827"/>
    </row>
    <row r="64828" spans="1:13" ht="12.75" customHeight="1" x14ac:dyDescent="0.25">
      <c r="A64828"/>
      <c r="B64828"/>
      <c r="C64828"/>
      <c r="M64828"/>
    </row>
    <row r="64829" spans="1:13" ht="12.75" customHeight="1" x14ac:dyDescent="0.25">
      <c r="A64829"/>
      <c r="B64829"/>
      <c r="C64829"/>
      <c r="M64829"/>
    </row>
    <row r="64830" spans="1:13" ht="12.75" customHeight="1" x14ac:dyDescent="0.25">
      <c r="A64830"/>
      <c r="B64830"/>
      <c r="C64830"/>
      <c r="M64830"/>
    </row>
    <row r="64831" spans="1:13" ht="12.75" customHeight="1" x14ac:dyDescent="0.25">
      <c r="A64831"/>
      <c r="B64831"/>
      <c r="C64831"/>
      <c r="M64831"/>
    </row>
    <row r="64832" spans="1:13" ht="12.75" customHeight="1" x14ac:dyDescent="0.25">
      <c r="A64832"/>
      <c r="B64832"/>
      <c r="C64832"/>
      <c r="M64832"/>
    </row>
    <row r="64833" spans="1:13" ht="12.75" customHeight="1" x14ac:dyDescent="0.25">
      <c r="A64833"/>
      <c r="B64833"/>
      <c r="C64833"/>
      <c r="M64833"/>
    </row>
    <row r="64834" spans="1:13" ht="12.75" customHeight="1" x14ac:dyDescent="0.25">
      <c r="A64834"/>
      <c r="B64834"/>
      <c r="C64834"/>
      <c r="M64834"/>
    </row>
    <row r="64835" spans="1:13" ht="12.75" customHeight="1" x14ac:dyDescent="0.25">
      <c r="A64835"/>
      <c r="B64835"/>
      <c r="C64835"/>
      <c r="M64835"/>
    </row>
    <row r="64836" spans="1:13" ht="12.75" customHeight="1" x14ac:dyDescent="0.25">
      <c r="A64836"/>
      <c r="B64836"/>
      <c r="C64836"/>
      <c r="M64836"/>
    </row>
    <row r="64837" spans="1:13" ht="12.75" customHeight="1" x14ac:dyDescent="0.25">
      <c r="A64837"/>
      <c r="B64837"/>
      <c r="C64837"/>
      <c r="M64837"/>
    </row>
    <row r="64838" spans="1:13" ht="12.75" customHeight="1" x14ac:dyDescent="0.25">
      <c r="A64838"/>
      <c r="B64838"/>
      <c r="C64838"/>
      <c r="M64838"/>
    </row>
    <row r="64839" spans="1:13" ht="12.75" customHeight="1" x14ac:dyDescent="0.25">
      <c r="A64839"/>
      <c r="B64839"/>
      <c r="C64839"/>
      <c r="M64839"/>
    </row>
    <row r="64840" spans="1:13" ht="12.75" customHeight="1" x14ac:dyDescent="0.25">
      <c r="A64840"/>
      <c r="B64840"/>
      <c r="C64840"/>
      <c r="M64840"/>
    </row>
    <row r="64841" spans="1:13" ht="12.75" customHeight="1" x14ac:dyDescent="0.25">
      <c r="A64841"/>
      <c r="B64841"/>
      <c r="C64841"/>
      <c r="M64841"/>
    </row>
    <row r="64842" spans="1:13" ht="12.75" customHeight="1" x14ac:dyDescent="0.25">
      <c r="A64842"/>
      <c r="B64842"/>
      <c r="C64842"/>
      <c r="M64842"/>
    </row>
    <row r="64843" spans="1:13" ht="12.75" customHeight="1" x14ac:dyDescent="0.25">
      <c r="A64843"/>
      <c r="B64843"/>
      <c r="C64843"/>
      <c r="M64843"/>
    </row>
    <row r="64844" spans="1:13" ht="12.75" customHeight="1" x14ac:dyDescent="0.25">
      <c r="A64844"/>
      <c r="B64844"/>
      <c r="C64844"/>
      <c r="M64844"/>
    </row>
    <row r="64845" spans="1:13" ht="12.75" customHeight="1" x14ac:dyDescent="0.25">
      <c r="A64845"/>
      <c r="B64845"/>
      <c r="C64845"/>
      <c r="M64845"/>
    </row>
    <row r="64846" spans="1:13" ht="12.75" customHeight="1" x14ac:dyDescent="0.25">
      <c r="A64846"/>
      <c r="B64846"/>
      <c r="C64846"/>
      <c r="M64846"/>
    </row>
    <row r="64847" spans="1:13" ht="12.75" customHeight="1" x14ac:dyDescent="0.25">
      <c r="A64847"/>
      <c r="B64847"/>
      <c r="C64847"/>
      <c r="M64847"/>
    </row>
    <row r="64848" spans="1:13" ht="12.75" customHeight="1" x14ac:dyDescent="0.25">
      <c r="A64848"/>
      <c r="B64848"/>
      <c r="C64848"/>
      <c r="M64848"/>
    </row>
    <row r="64849" spans="1:13" ht="12.75" customHeight="1" x14ac:dyDescent="0.25">
      <c r="A64849"/>
      <c r="B64849"/>
      <c r="C64849"/>
      <c r="M64849"/>
    </row>
    <row r="64850" spans="1:13" ht="0" hidden="1" customHeight="1" x14ac:dyDescent="0.25">
      <c r="A64850"/>
      <c r="B64850"/>
    </row>
    <row r="64851" spans="1:13" ht="0" hidden="1" customHeight="1" x14ac:dyDescent="0.25">
      <c r="A64851"/>
      <c r="B64851"/>
    </row>
    <row r="64852" spans="1:13" ht="0" hidden="1" customHeight="1" x14ac:dyDescent="0.25">
      <c r="A64852"/>
      <c r="B64852"/>
    </row>
  </sheetData>
  <sheetProtection password="BD1F" sheet="1" objects="1" scenarios="1" autoFilter="0"/>
  <autoFilter ref="C15:C710"/>
  <mergeCells count="21">
    <mergeCell ref="E15:H15"/>
    <mergeCell ref="E4:F4"/>
    <mergeCell ref="G4:H4"/>
    <mergeCell ref="S4:T4"/>
    <mergeCell ref="U4:Z4"/>
    <mergeCell ref="E5:F5"/>
    <mergeCell ref="G5:H5"/>
    <mergeCell ref="S5:T5"/>
    <mergeCell ref="U5:Z5"/>
    <mergeCell ref="F1:H1"/>
    <mergeCell ref="Q1:R1"/>
    <mergeCell ref="Y1:Z1"/>
    <mergeCell ref="F2:H2"/>
    <mergeCell ref="Q2:R2"/>
    <mergeCell ref="Y2:Z2"/>
    <mergeCell ref="AG1:AH1"/>
    <mergeCell ref="AG2:AH2"/>
    <mergeCell ref="AA4:AB4"/>
    <mergeCell ref="AC4:AH4"/>
    <mergeCell ref="AA5:AB5"/>
    <mergeCell ref="AC5:AH5"/>
  </mergeCells>
  <phoneticPr fontId="38" type="noConversion"/>
  <conditionalFormatting sqref="M12:N15 M25:N32 M276:N289 M617:N620 M710:N710">
    <cfRule type="expression" dxfId="798" priority="12844" stopIfTrue="1">
      <formula>ACOMPANHAMENTO="BM"</formula>
    </cfRule>
    <cfRule type="expression" dxfId="797" priority="12845" stopIfTrue="1">
      <formula>OR($B12=0,$B12=2,$B12=3,$B12=4)</formula>
    </cfRule>
    <cfRule type="expression" dxfId="796" priority="12846" stopIfTrue="1">
      <formula>$B12=1</formula>
    </cfRule>
  </conditionalFormatting>
  <conditionalFormatting sqref="K12:K15 K25:K425 K429:K701 K703:K707 K710">
    <cfRule type="expression" dxfId="795" priority="12847" stopIfTrue="1">
      <formula>OR(ACOMPANHAMENTO="BM",$A$12&lt;&gt;"Manual")</formula>
    </cfRule>
    <cfRule type="expression" dxfId="794" priority="12848" stopIfTrue="1">
      <formula>$B12=1</formula>
    </cfRule>
    <cfRule type="expression" dxfId="793" priority="12849" stopIfTrue="1">
      <formula>OR($B12=2,$B12=3,$B12=4,$B12=0)</formula>
    </cfRule>
  </conditionalFormatting>
  <conditionalFormatting sqref="O12:Z15 O25:Z425 AI25:AI425 AI12:AI15 AI429:AI701 O429:Z701 O703:AI707 O710:AI710">
    <cfRule type="expression" dxfId="792" priority="12850" stopIfTrue="1">
      <formula>ACOMPANHAMENTO="BM"</formula>
    </cfRule>
    <cfRule type="expression" dxfId="791" priority="12851" stopIfTrue="1">
      <formula>AND(O$12&lt;&gt;".",OR($B12=0,$B12=2,$B12=3,$B12=4,AND(O$12="",$B12&lt;&gt;"Empty"),OFFSET(O$12,0,-1)=""))</formula>
    </cfRule>
    <cfRule type="expression" dxfId="790" priority="12852" stopIfTrue="1">
      <formula>AND($B12=1,O$12&lt;&gt;".")</formula>
    </cfRule>
  </conditionalFormatting>
  <conditionalFormatting sqref="M16:N24">
    <cfRule type="expression" dxfId="789" priority="1150" stopIfTrue="1">
      <formula>ACOMPANHAMENTO="BM"</formula>
    </cfRule>
    <cfRule type="expression" dxfId="788" priority="1151" stopIfTrue="1">
      <formula>OR($B16=0,$B16=2,$B16=3,$B16=4)</formula>
    </cfRule>
    <cfRule type="expression" dxfId="787" priority="1152" stopIfTrue="1">
      <formula>$B16=1</formula>
    </cfRule>
  </conditionalFormatting>
  <conditionalFormatting sqref="K16:K24">
    <cfRule type="expression" dxfId="786" priority="1153" stopIfTrue="1">
      <formula>OR(ACOMPANHAMENTO="BM",$A$12&lt;&gt;"Manual")</formula>
    </cfRule>
    <cfRule type="expression" dxfId="785" priority="1154" stopIfTrue="1">
      <formula>$B16=1</formula>
    </cfRule>
    <cfRule type="expression" dxfId="784" priority="1155" stopIfTrue="1">
      <formula>OR($B16=2,$B16=3,$B16=4,$B16=0)</formula>
    </cfRule>
  </conditionalFormatting>
  <conditionalFormatting sqref="O16:Z24 AI16:AI24">
    <cfRule type="expression" dxfId="783" priority="1156" stopIfTrue="1">
      <formula>ACOMPANHAMENTO="BM"</formula>
    </cfRule>
    <cfRule type="expression" dxfId="782" priority="1157" stopIfTrue="1">
      <formula>AND(O$12&lt;&gt;".",OR($B16=0,$B16=2,$B16=3,$B16=4,AND(O$12="",$B16&lt;&gt;"Empty"),OFFSET(O$12,0,-1)=""))</formula>
    </cfRule>
    <cfRule type="expression" dxfId="781" priority="1158" stopIfTrue="1">
      <formula>AND($B16=1,O$12&lt;&gt;".")</formula>
    </cfRule>
  </conditionalFormatting>
  <conditionalFormatting sqref="M33:N41">
    <cfRule type="expression" dxfId="780" priority="1128" stopIfTrue="1">
      <formula>ACOMPANHAMENTO="BM"</formula>
    </cfRule>
    <cfRule type="expression" dxfId="779" priority="1129" stopIfTrue="1">
      <formula>OR($B33=0,$B33=2,$B33=3,$B33=4)</formula>
    </cfRule>
    <cfRule type="expression" dxfId="778" priority="1130" stopIfTrue="1">
      <formula>$B33=1</formula>
    </cfRule>
  </conditionalFormatting>
  <conditionalFormatting sqref="M42:N50">
    <cfRule type="expression" dxfId="777" priority="1117" stopIfTrue="1">
      <formula>ACOMPANHAMENTO="BM"</formula>
    </cfRule>
    <cfRule type="expression" dxfId="776" priority="1118" stopIfTrue="1">
      <formula>OR($B42=0,$B42=2,$B42=3,$B42=4)</formula>
    </cfRule>
    <cfRule type="expression" dxfId="775" priority="1119" stopIfTrue="1">
      <formula>$B42=1</formula>
    </cfRule>
  </conditionalFormatting>
  <conditionalFormatting sqref="M51:N59">
    <cfRule type="expression" dxfId="774" priority="1106" stopIfTrue="1">
      <formula>ACOMPANHAMENTO="BM"</formula>
    </cfRule>
    <cfRule type="expression" dxfId="773" priority="1107" stopIfTrue="1">
      <formula>OR($B51=0,$B51=2,$B51=3,$B51=4)</formula>
    </cfRule>
    <cfRule type="expression" dxfId="772" priority="1108" stopIfTrue="1">
      <formula>$B51=1</formula>
    </cfRule>
  </conditionalFormatting>
  <conditionalFormatting sqref="M60:N68">
    <cfRule type="expression" dxfId="771" priority="1095" stopIfTrue="1">
      <formula>ACOMPANHAMENTO="BM"</formula>
    </cfRule>
    <cfRule type="expression" dxfId="770" priority="1096" stopIfTrue="1">
      <formula>OR($B60=0,$B60=2,$B60=3,$B60=4)</formula>
    </cfRule>
    <cfRule type="expression" dxfId="769" priority="1097" stopIfTrue="1">
      <formula>$B60=1</formula>
    </cfRule>
  </conditionalFormatting>
  <conditionalFormatting sqref="M69:N77">
    <cfRule type="expression" dxfId="768" priority="1084" stopIfTrue="1">
      <formula>ACOMPANHAMENTO="BM"</formula>
    </cfRule>
    <cfRule type="expression" dxfId="767" priority="1085" stopIfTrue="1">
      <formula>OR($B69=0,$B69=2,$B69=3,$B69=4)</formula>
    </cfRule>
    <cfRule type="expression" dxfId="766" priority="1086" stopIfTrue="1">
      <formula>$B69=1</formula>
    </cfRule>
  </conditionalFormatting>
  <conditionalFormatting sqref="M78:N86">
    <cfRule type="expression" dxfId="765" priority="1073" stopIfTrue="1">
      <formula>ACOMPANHAMENTO="BM"</formula>
    </cfRule>
    <cfRule type="expression" dxfId="764" priority="1074" stopIfTrue="1">
      <formula>OR($B78=0,$B78=2,$B78=3,$B78=4)</formula>
    </cfRule>
    <cfRule type="expression" dxfId="763" priority="1075" stopIfTrue="1">
      <formula>$B78=1</formula>
    </cfRule>
  </conditionalFormatting>
  <conditionalFormatting sqref="M87:N95">
    <cfRule type="expression" dxfId="762" priority="1062" stopIfTrue="1">
      <formula>ACOMPANHAMENTO="BM"</formula>
    </cfRule>
    <cfRule type="expression" dxfId="761" priority="1063" stopIfTrue="1">
      <formula>OR($B87=0,$B87=2,$B87=3,$B87=4)</formula>
    </cfRule>
    <cfRule type="expression" dxfId="760" priority="1064" stopIfTrue="1">
      <formula>$B87=1</formula>
    </cfRule>
  </conditionalFormatting>
  <conditionalFormatting sqref="M96:N104">
    <cfRule type="expression" dxfId="759" priority="1051" stopIfTrue="1">
      <formula>ACOMPANHAMENTO="BM"</formula>
    </cfRule>
    <cfRule type="expression" dxfId="758" priority="1052" stopIfTrue="1">
      <formula>OR($B96=0,$B96=2,$B96=3,$B96=4)</formula>
    </cfRule>
    <cfRule type="expression" dxfId="757" priority="1053" stopIfTrue="1">
      <formula>$B96=1</formula>
    </cfRule>
  </conditionalFormatting>
  <conditionalFormatting sqref="M105:N113">
    <cfRule type="expression" dxfId="756" priority="1040" stopIfTrue="1">
      <formula>ACOMPANHAMENTO="BM"</formula>
    </cfRule>
    <cfRule type="expression" dxfId="755" priority="1041" stopIfTrue="1">
      <formula>OR($B105=0,$B105=2,$B105=3,$B105=4)</formula>
    </cfRule>
    <cfRule type="expression" dxfId="754" priority="1042" stopIfTrue="1">
      <formula>$B105=1</formula>
    </cfRule>
  </conditionalFormatting>
  <conditionalFormatting sqref="M114:N122">
    <cfRule type="expression" dxfId="753" priority="1029" stopIfTrue="1">
      <formula>ACOMPANHAMENTO="BM"</formula>
    </cfRule>
    <cfRule type="expression" dxfId="752" priority="1030" stopIfTrue="1">
      <formula>OR($B114=0,$B114=2,$B114=3,$B114=4)</formula>
    </cfRule>
    <cfRule type="expression" dxfId="751" priority="1031" stopIfTrue="1">
      <formula>$B114=1</formula>
    </cfRule>
  </conditionalFormatting>
  <conditionalFormatting sqref="M123:N131">
    <cfRule type="expression" dxfId="750" priority="1018" stopIfTrue="1">
      <formula>ACOMPANHAMENTO="BM"</formula>
    </cfRule>
    <cfRule type="expression" dxfId="749" priority="1019" stopIfTrue="1">
      <formula>OR($B123=0,$B123=2,$B123=3,$B123=4)</formula>
    </cfRule>
    <cfRule type="expression" dxfId="748" priority="1020" stopIfTrue="1">
      <formula>$B123=1</formula>
    </cfRule>
  </conditionalFormatting>
  <conditionalFormatting sqref="M132:N140">
    <cfRule type="expression" dxfId="747" priority="1007" stopIfTrue="1">
      <formula>ACOMPANHAMENTO="BM"</formula>
    </cfRule>
    <cfRule type="expression" dxfId="746" priority="1008" stopIfTrue="1">
      <formula>OR($B132=0,$B132=2,$B132=3,$B132=4)</formula>
    </cfRule>
    <cfRule type="expression" dxfId="745" priority="1009" stopIfTrue="1">
      <formula>$B132=1</formula>
    </cfRule>
  </conditionalFormatting>
  <conditionalFormatting sqref="M141:N149">
    <cfRule type="expression" dxfId="744" priority="996" stopIfTrue="1">
      <formula>ACOMPANHAMENTO="BM"</formula>
    </cfRule>
    <cfRule type="expression" dxfId="743" priority="997" stopIfTrue="1">
      <formula>OR($B141=0,$B141=2,$B141=3,$B141=4)</formula>
    </cfRule>
    <cfRule type="expression" dxfId="742" priority="998" stopIfTrue="1">
      <formula>$B141=1</formula>
    </cfRule>
  </conditionalFormatting>
  <conditionalFormatting sqref="M150:N158">
    <cfRule type="expression" dxfId="741" priority="985" stopIfTrue="1">
      <formula>ACOMPANHAMENTO="BM"</formula>
    </cfRule>
    <cfRule type="expression" dxfId="740" priority="986" stopIfTrue="1">
      <formula>OR($B150=0,$B150=2,$B150=3,$B150=4)</formula>
    </cfRule>
    <cfRule type="expression" dxfId="739" priority="987" stopIfTrue="1">
      <formula>$B150=1</formula>
    </cfRule>
  </conditionalFormatting>
  <conditionalFormatting sqref="M159:N167">
    <cfRule type="expression" dxfId="738" priority="974" stopIfTrue="1">
      <formula>ACOMPANHAMENTO="BM"</formula>
    </cfRule>
    <cfRule type="expression" dxfId="737" priority="975" stopIfTrue="1">
      <formula>OR($B159=0,$B159=2,$B159=3,$B159=4)</formula>
    </cfRule>
    <cfRule type="expression" dxfId="736" priority="976" stopIfTrue="1">
      <formula>$B159=1</formula>
    </cfRule>
  </conditionalFormatting>
  <conditionalFormatting sqref="M168:N176">
    <cfRule type="expression" dxfId="735" priority="963" stopIfTrue="1">
      <formula>ACOMPANHAMENTO="BM"</formula>
    </cfRule>
    <cfRule type="expression" dxfId="734" priority="964" stopIfTrue="1">
      <formula>OR($B168=0,$B168=2,$B168=3,$B168=4)</formula>
    </cfRule>
    <cfRule type="expression" dxfId="733" priority="965" stopIfTrue="1">
      <formula>$B168=1</formula>
    </cfRule>
  </conditionalFormatting>
  <conditionalFormatting sqref="M177:N185">
    <cfRule type="expression" dxfId="732" priority="952" stopIfTrue="1">
      <formula>ACOMPANHAMENTO="BM"</formula>
    </cfRule>
    <cfRule type="expression" dxfId="731" priority="953" stopIfTrue="1">
      <formula>OR($B177=0,$B177=2,$B177=3,$B177=4)</formula>
    </cfRule>
    <cfRule type="expression" dxfId="730" priority="954" stopIfTrue="1">
      <formula>$B177=1</formula>
    </cfRule>
  </conditionalFormatting>
  <conditionalFormatting sqref="M186:N194">
    <cfRule type="expression" dxfId="729" priority="941" stopIfTrue="1">
      <formula>ACOMPANHAMENTO="BM"</formula>
    </cfRule>
    <cfRule type="expression" dxfId="728" priority="942" stopIfTrue="1">
      <formula>OR($B186=0,$B186=2,$B186=3,$B186=4)</formula>
    </cfRule>
    <cfRule type="expression" dxfId="727" priority="943" stopIfTrue="1">
      <formula>$B186=1</formula>
    </cfRule>
  </conditionalFormatting>
  <conditionalFormatting sqref="M195:N203">
    <cfRule type="expression" dxfId="726" priority="930" stopIfTrue="1">
      <formula>ACOMPANHAMENTO="BM"</formula>
    </cfRule>
    <cfRule type="expression" dxfId="725" priority="931" stopIfTrue="1">
      <formula>OR($B195=0,$B195=2,$B195=3,$B195=4)</formula>
    </cfRule>
    <cfRule type="expression" dxfId="724" priority="932" stopIfTrue="1">
      <formula>$B195=1</formula>
    </cfRule>
  </conditionalFormatting>
  <conditionalFormatting sqref="M204:N212">
    <cfRule type="expression" dxfId="723" priority="919" stopIfTrue="1">
      <formula>ACOMPANHAMENTO="BM"</formula>
    </cfRule>
    <cfRule type="expression" dxfId="722" priority="920" stopIfTrue="1">
      <formula>OR($B204=0,$B204=2,$B204=3,$B204=4)</formula>
    </cfRule>
    <cfRule type="expression" dxfId="721" priority="921" stopIfTrue="1">
      <formula>$B204=1</formula>
    </cfRule>
  </conditionalFormatting>
  <conditionalFormatting sqref="M213:N221">
    <cfRule type="expression" dxfId="720" priority="908" stopIfTrue="1">
      <formula>ACOMPANHAMENTO="BM"</formula>
    </cfRule>
    <cfRule type="expression" dxfId="719" priority="909" stopIfTrue="1">
      <formula>OR($B213=0,$B213=2,$B213=3,$B213=4)</formula>
    </cfRule>
    <cfRule type="expression" dxfId="718" priority="910" stopIfTrue="1">
      <formula>$B213=1</formula>
    </cfRule>
  </conditionalFormatting>
  <conditionalFormatting sqref="M222:N230">
    <cfRule type="expression" dxfId="717" priority="897" stopIfTrue="1">
      <formula>ACOMPANHAMENTO="BM"</formula>
    </cfRule>
    <cfRule type="expression" dxfId="716" priority="898" stopIfTrue="1">
      <formula>OR($B222=0,$B222=2,$B222=3,$B222=4)</formula>
    </cfRule>
    <cfRule type="expression" dxfId="715" priority="899" stopIfTrue="1">
      <formula>$B222=1</formula>
    </cfRule>
  </conditionalFormatting>
  <conditionalFormatting sqref="M231:N239">
    <cfRule type="expression" dxfId="714" priority="886" stopIfTrue="1">
      <formula>ACOMPANHAMENTO="BM"</formula>
    </cfRule>
    <cfRule type="expression" dxfId="713" priority="887" stopIfTrue="1">
      <formula>OR($B231=0,$B231=2,$B231=3,$B231=4)</formula>
    </cfRule>
    <cfRule type="expression" dxfId="712" priority="888" stopIfTrue="1">
      <formula>$B231=1</formula>
    </cfRule>
  </conditionalFormatting>
  <conditionalFormatting sqref="M240:N248">
    <cfRule type="expression" dxfId="711" priority="875" stopIfTrue="1">
      <formula>ACOMPANHAMENTO="BM"</formula>
    </cfRule>
    <cfRule type="expression" dxfId="710" priority="876" stopIfTrue="1">
      <formula>OR($B240=0,$B240=2,$B240=3,$B240=4)</formula>
    </cfRule>
    <cfRule type="expression" dxfId="709" priority="877" stopIfTrue="1">
      <formula>$B240=1</formula>
    </cfRule>
  </conditionalFormatting>
  <conditionalFormatting sqref="M249:N257">
    <cfRule type="expression" dxfId="708" priority="864" stopIfTrue="1">
      <formula>ACOMPANHAMENTO="BM"</formula>
    </cfRule>
    <cfRule type="expression" dxfId="707" priority="865" stopIfTrue="1">
      <formula>OR($B249=0,$B249=2,$B249=3,$B249=4)</formula>
    </cfRule>
    <cfRule type="expression" dxfId="706" priority="866" stopIfTrue="1">
      <formula>$B249=1</formula>
    </cfRule>
  </conditionalFormatting>
  <conditionalFormatting sqref="M258:N266">
    <cfRule type="expression" dxfId="705" priority="853" stopIfTrue="1">
      <formula>ACOMPANHAMENTO="BM"</formula>
    </cfRule>
    <cfRule type="expression" dxfId="704" priority="854" stopIfTrue="1">
      <formula>OR($B258=0,$B258=2,$B258=3,$B258=4)</formula>
    </cfRule>
    <cfRule type="expression" dxfId="703" priority="855" stopIfTrue="1">
      <formula>$B258=1</formula>
    </cfRule>
  </conditionalFormatting>
  <conditionalFormatting sqref="M267:N275">
    <cfRule type="expression" dxfId="702" priority="842" stopIfTrue="1">
      <formula>ACOMPANHAMENTO="BM"</formula>
    </cfRule>
    <cfRule type="expression" dxfId="701" priority="843" stopIfTrue="1">
      <formula>OR($B267=0,$B267=2,$B267=3,$B267=4)</formula>
    </cfRule>
    <cfRule type="expression" dxfId="700" priority="844" stopIfTrue="1">
      <formula>$B267=1</formula>
    </cfRule>
  </conditionalFormatting>
  <conditionalFormatting sqref="M290:N298">
    <cfRule type="expression" dxfId="699" priority="809" stopIfTrue="1">
      <formula>ACOMPANHAMENTO="BM"</formula>
    </cfRule>
    <cfRule type="expression" dxfId="698" priority="810" stopIfTrue="1">
      <formula>OR($B290=0,$B290=2,$B290=3,$B290=4)</formula>
    </cfRule>
    <cfRule type="expression" dxfId="697" priority="811" stopIfTrue="1">
      <formula>$B290=1</formula>
    </cfRule>
  </conditionalFormatting>
  <conditionalFormatting sqref="M299:N307">
    <cfRule type="expression" dxfId="696" priority="798" stopIfTrue="1">
      <formula>ACOMPANHAMENTO="BM"</formula>
    </cfRule>
    <cfRule type="expression" dxfId="695" priority="799" stopIfTrue="1">
      <formula>OR($B299=0,$B299=2,$B299=3,$B299=4)</formula>
    </cfRule>
    <cfRule type="expression" dxfId="694" priority="800" stopIfTrue="1">
      <formula>$B299=1</formula>
    </cfRule>
  </conditionalFormatting>
  <conditionalFormatting sqref="M308:N316">
    <cfRule type="expression" dxfId="693" priority="787" stopIfTrue="1">
      <formula>ACOMPANHAMENTO="BM"</formula>
    </cfRule>
    <cfRule type="expression" dxfId="692" priority="788" stopIfTrue="1">
      <formula>OR($B308=0,$B308=2,$B308=3,$B308=4)</formula>
    </cfRule>
    <cfRule type="expression" dxfId="691" priority="789" stopIfTrue="1">
      <formula>$B308=1</formula>
    </cfRule>
  </conditionalFormatting>
  <conditionalFormatting sqref="M317:N325">
    <cfRule type="expression" dxfId="690" priority="776" stopIfTrue="1">
      <formula>ACOMPANHAMENTO="BM"</formula>
    </cfRule>
    <cfRule type="expression" dxfId="689" priority="777" stopIfTrue="1">
      <formula>OR($B317=0,$B317=2,$B317=3,$B317=4)</formula>
    </cfRule>
    <cfRule type="expression" dxfId="688" priority="778" stopIfTrue="1">
      <formula>$B317=1</formula>
    </cfRule>
  </conditionalFormatting>
  <conditionalFormatting sqref="M326:N334">
    <cfRule type="expression" dxfId="687" priority="765" stopIfTrue="1">
      <formula>ACOMPANHAMENTO="BM"</formula>
    </cfRule>
    <cfRule type="expression" dxfId="686" priority="766" stopIfTrue="1">
      <formula>OR($B326=0,$B326=2,$B326=3,$B326=4)</formula>
    </cfRule>
    <cfRule type="expression" dxfId="685" priority="767" stopIfTrue="1">
      <formula>$B326=1</formula>
    </cfRule>
  </conditionalFormatting>
  <conditionalFormatting sqref="M335:N343">
    <cfRule type="expression" dxfId="684" priority="754" stopIfTrue="1">
      <formula>ACOMPANHAMENTO="BM"</formula>
    </cfRule>
    <cfRule type="expression" dxfId="683" priority="755" stopIfTrue="1">
      <formula>OR($B335=0,$B335=2,$B335=3,$B335=4)</formula>
    </cfRule>
    <cfRule type="expression" dxfId="682" priority="756" stopIfTrue="1">
      <formula>$B335=1</formula>
    </cfRule>
  </conditionalFormatting>
  <conditionalFormatting sqref="M344:N352">
    <cfRule type="expression" dxfId="681" priority="743" stopIfTrue="1">
      <formula>ACOMPANHAMENTO="BM"</formula>
    </cfRule>
    <cfRule type="expression" dxfId="680" priority="744" stopIfTrue="1">
      <formula>OR($B344=0,$B344=2,$B344=3,$B344=4)</formula>
    </cfRule>
    <cfRule type="expression" dxfId="679" priority="745" stopIfTrue="1">
      <formula>$B344=1</formula>
    </cfRule>
  </conditionalFormatting>
  <conditionalFormatting sqref="M353:N361">
    <cfRule type="expression" dxfId="678" priority="732" stopIfTrue="1">
      <formula>ACOMPANHAMENTO="BM"</formula>
    </cfRule>
    <cfRule type="expression" dxfId="677" priority="733" stopIfTrue="1">
      <formula>OR($B353=0,$B353=2,$B353=3,$B353=4)</formula>
    </cfRule>
    <cfRule type="expression" dxfId="676" priority="734" stopIfTrue="1">
      <formula>$B353=1</formula>
    </cfRule>
  </conditionalFormatting>
  <conditionalFormatting sqref="M362:N370">
    <cfRule type="expression" dxfId="675" priority="721" stopIfTrue="1">
      <formula>ACOMPANHAMENTO="BM"</formula>
    </cfRule>
    <cfRule type="expression" dxfId="674" priority="722" stopIfTrue="1">
      <formula>OR($B362=0,$B362=2,$B362=3,$B362=4)</formula>
    </cfRule>
    <cfRule type="expression" dxfId="673" priority="723" stopIfTrue="1">
      <formula>$B362=1</formula>
    </cfRule>
  </conditionalFormatting>
  <conditionalFormatting sqref="M371:N379">
    <cfRule type="expression" dxfId="672" priority="710" stopIfTrue="1">
      <formula>ACOMPANHAMENTO="BM"</formula>
    </cfRule>
    <cfRule type="expression" dxfId="671" priority="711" stopIfTrue="1">
      <formula>OR($B371=0,$B371=2,$B371=3,$B371=4)</formula>
    </cfRule>
    <cfRule type="expression" dxfId="670" priority="712" stopIfTrue="1">
      <formula>$B371=1</formula>
    </cfRule>
  </conditionalFormatting>
  <conditionalFormatting sqref="M380:N388">
    <cfRule type="expression" dxfId="669" priority="699" stopIfTrue="1">
      <formula>ACOMPANHAMENTO="BM"</formula>
    </cfRule>
    <cfRule type="expression" dxfId="668" priority="700" stopIfTrue="1">
      <formula>OR($B380=0,$B380=2,$B380=3,$B380=4)</formula>
    </cfRule>
    <cfRule type="expression" dxfId="667" priority="701" stopIfTrue="1">
      <formula>$B380=1</formula>
    </cfRule>
  </conditionalFormatting>
  <conditionalFormatting sqref="M389:N397">
    <cfRule type="expression" dxfId="666" priority="688" stopIfTrue="1">
      <formula>ACOMPANHAMENTO="BM"</formula>
    </cfRule>
    <cfRule type="expression" dxfId="665" priority="689" stopIfTrue="1">
      <formula>OR($B389=0,$B389=2,$B389=3,$B389=4)</formula>
    </cfRule>
    <cfRule type="expression" dxfId="664" priority="690" stopIfTrue="1">
      <formula>$B389=1</formula>
    </cfRule>
  </conditionalFormatting>
  <conditionalFormatting sqref="M398:N406">
    <cfRule type="expression" dxfId="663" priority="677" stopIfTrue="1">
      <formula>ACOMPANHAMENTO="BM"</formula>
    </cfRule>
    <cfRule type="expression" dxfId="662" priority="678" stopIfTrue="1">
      <formula>OR($B398=0,$B398=2,$B398=3,$B398=4)</formula>
    </cfRule>
    <cfRule type="expression" dxfId="661" priority="679" stopIfTrue="1">
      <formula>$B398=1</formula>
    </cfRule>
  </conditionalFormatting>
  <conditionalFormatting sqref="M407:N415">
    <cfRule type="expression" dxfId="660" priority="666" stopIfTrue="1">
      <formula>ACOMPANHAMENTO="BM"</formula>
    </cfRule>
    <cfRule type="expression" dxfId="659" priority="667" stopIfTrue="1">
      <formula>OR($B407=0,$B407=2,$B407=3,$B407=4)</formula>
    </cfRule>
    <cfRule type="expression" dxfId="658" priority="668" stopIfTrue="1">
      <formula>$B407=1</formula>
    </cfRule>
  </conditionalFormatting>
  <conditionalFormatting sqref="M416:N424">
    <cfRule type="expression" dxfId="657" priority="655" stopIfTrue="1">
      <formula>ACOMPANHAMENTO="BM"</formula>
    </cfRule>
    <cfRule type="expression" dxfId="656" priority="656" stopIfTrue="1">
      <formula>OR($B416=0,$B416=2,$B416=3,$B416=4)</formula>
    </cfRule>
    <cfRule type="expression" dxfId="655" priority="657" stopIfTrue="1">
      <formula>$B416=1</formula>
    </cfRule>
  </conditionalFormatting>
  <conditionalFormatting sqref="M425:N425 M429:N436">
    <cfRule type="expression" dxfId="654" priority="644" stopIfTrue="1">
      <formula>ACOMPANHAMENTO="BM"</formula>
    </cfRule>
    <cfRule type="expression" dxfId="653" priority="645" stopIfTrue="1">
      <formula>OR($B425=0,$B425=2,$B425=3,$B425=4)</formula>
    </cfRule>
    <cfRule type="expression" dxfId="652" priority="646" stopIfTrue="1">
      <formula>$B425=1</formula>
    </cfRule>
  </conditionalFormatting>
  <conditionalFormatting sqref="M437:N445">
    <cfRule type="expression" dxfId="651" priority="633" stopIfTrue="1">
      <formula>ACOMPANHAMENTO="BM"</formula>
    </cfRule>
    <cfRule type="expression" dxfId="650" priority="634" stopIfTrue="1">
      <formula>OR($B437=0,$B437=2,$B437=3,$B437=4)</formula>
    </cfRule>
    <cfRule type="expression" dxfId="649" priority="635" stopIfTrue="1">
      <formula>$B437=1</formula>
    </cfRule>
  </conditionalFormatting>
  <conditionalFormatting sqref="M446:N454">
    <cfRule type="expression" dxfId="648" priority="622" stopIfTrue="1">
      <formula>ACOMPANHAMENTO="BM"</formula>
    </cfRule>
    <cfRule type="expression" dxfId="647" priority="623" stopIfTrue="1">
      <formula>OR($B446=0,$B446=2,$B446=3,$B446=4)</formula>
    </cfRule>
    <cfRule type="expression" dxfId="646" priority="624" stopIfTrue="1">
      <formula>$B446=1</formula>
    </cfRule>
  </conditionalFormatting>
  <conditionalFormatting sqref="M455:N463">
    <cfRule type="expression" dxfId="645" priority="611" stopIfTrue="1">
      <formula>ACOMPANHAMENTO="BM"</formula>
    </cfRule>
    <cfRule type="expression" dxfId="644" priority="612" stopIfTrue="1">
      <formula>OR($B455=0,$B455=2,$B455=3,$B455=4)</formula>
    </cfRule>
    <cfRule type="expression" dxfId="643" priority="613" stopIfTrue="1">
      <formula>$B455=1</formula>
    </cfRule>
  </conditionalFormatting>
  <conditionalFormatting sqref="M464:N472">
    <cfRule type="expression" dxfId="642" priority="600" stopIfTrue="1">
      <formula>ACOMPANHAMENTO="BM"</formula>
    </cfRule>
    <cfRule type="expression" dxfId="641" priority="601" stopIfTrue="1">
      <formula>OR($B464=0,$B464=2,$B464=3,$B464=4)</formula>
    </cfRule>
    <cfRule type="expression" dxfId="640" priority="602" stopIfTrue="1">
      <formula>$B464=1</formula>
    </cfRule>
  </conditionalFormatting>
  <conditionalFormatting sqref="M473:N481">
    <cfRule type="expression" dxfId="639" priority="589" stopIfTrue="1">
      <formula>ACOMPANHAMENTO="BM"</formula>
    </cfRule>
    <cfRule type="expression" dxfId="638" priority="590" stopIfTrue="1">
      <formula>OR($B473=0,$B473=2,$B473=3,$B473=4)</formula>
    </cfRule>
    <cfRule type="expression" dxfId="637" priority="591" stopIfTrue="1">
      <formula>$B473=1</formula>
    </cfRule>
  </conditionalFormatting>
  <conditionalFormatting sqref="M482:N490">
    <cfRule type="expression" dxfId="636" priority="578" stopIfTrue="1">
      <formula>ACOMPANHAMENTO="BM"</formula>
    </cfRule>
    <cfRule type="expression" dxfId="635" priority="579" stopIfTrue="1">
      <formula>OR($B482=0,$B482=2,$B482=3,$B482=4)</formula>
    </cfRule>
    <cfRule type="expression" dxfId="634" priority="580" stopIfTrue="1">
      <formula>$B482=1</formula>
    </cfRule>
  </conditionalFormatting>
  <conditionalFormatting sqref="M491:N499">
    <cfRule type="expression" dxfId="633" priority="567" stopIfTrue="1">
      <formula>ACOMPANHAMENTO="BM"</formula>
    </cfRule>
    <cfRule type="expression" dxfId="632" priority="568" stopIfTrue="1">
      <formula>OR($B491=0,$B491=2,$B491=3,$B491=4)</formula>
    </cfRule>
    <cfRule type="expression" dxfId="631" priority="569" stopIfTrue="1">
      <formula>$B491=1</formula>
    </cfRule>
  </conditionalFormatting>
  <conditionalFormatting sqref="M500:N508">
    <cfRule type="expression" dxfId="630" priority="556" stopIfTrue="1">
      <formula>ACOMPANHAMENTO="BM"</formula>
    </cfRule>
    <cfRule type="expression" dxfId="629" priority="557" stopIfTrue="1">
      <formula>OR($B500=0,$B500=2,$B500=3,$B500=4)</formula>
    </cfRule>
    <cfRule type="expression" dxfId="628" priority="558" stopIfTrue="1">
      <formula>$B500=1</formula>
    </cfRule>
  </conditionalFormatting>
  <conditionalFormatting sqref="M509:N517">
    <cfRule type="expression" dxfId="627" priority="545" stopIfTrue="1">
      <formula>ACOMPANHAMENTO="BM"</formula>
    </cfRule>
    <cfRule type="expression" dxfId="626" priority="546" stopIfTrue="1">
      <formula>OR($B509=0,$B509=2,$B509=3,$B509=4)</formula>
    </cfRule>
    <cfRule type="expression" dxfId="625" priority="547" stopIfTrue="1">
      <formula>$B509=1</formula>
    </cfRule>
  </conditionalFormatting>
  <conditionalFormatting sqref="M518:N526">
    <cfRule type="expression" dxfId="624" priority="534" stopIfTrue="1">
      <formula>ACOMPANHAMENTO="BM"</formula>
    </cfRule>
    <cfRule type="expression" dxfId="623" priority="535" stopIfTrue="1">
      <formula>OR($B518=0,$B518=2,$B518=3,$B518=4)</formula>
    </cfRule>
    <cfRule type="expression" dxfId="622" priority="536" stopIfTrue="1">
      <formula>$B518=1</formula>
    </cfRule>
  </conditionalFormatting>
  <conditionalFormatting sqref="M527:N535">
    <cfRule type="expression" dxfId="621" priority="523" stopIfTrue="1">
      <formula>ACOMPANHAMENTO="BM"</formula>
    </cfRule>
    <cfRule type="expression" dxfId="620" priority="524" stopIfTrue="1">
      <formula>OR($B527=0,$B527=2,$B527=3,$B527=4)</formula>
    </cfRule>
    <cfRule type="expression" dxfId="619" priority="525" stopIfTrue="1">
      <formula>$B527=1</formula>
    </cfRule>
  </conditionalFormatting>
  <conditionalFormatting sqref="M536:N544">
    <cfRule type="expression" dxfId="618" priority="512" stopIfTrue="1">
      <formula>ACOMPANHAMENTO="BM"</formula>
    </cfRule>
    <cfRule type="expression" dxfId="617" priority="513" stopIfTrue="1">
      <formula>OR($B536=0,$B536=2,$B536=3,$B536=4)</formula>
    </cfRule>
    <cfRule type="expression" dxfId="616" priority="514" stopIfTrue="1">
      <formula>$B536=1</formula>
    </cfRule>
  </conditionalFormatting>
  <conditionalFormatting sqref="M545:N553">
    <cfRule type="expression" dxfId="615" priority="501" stopIfTrue="1">
      <formula>ACOMPANHAMENTO="BM"</formula>
    </cfRule>
    <cfRule type="expression" dxfId="614" priority="502" stopIfTrue="1">
      <formula>OR($B545=0,$B545=2,$B545=3,$B545=4)</formula>
    </cfRule>
    <cfRule type="expression" dxfId="613" priority="503" stopIfTrue="1">
      <formula>$B545=1</formula>
    </cfRule>
  </conditionalFormatting>
  <conditionalFormatting sqref="M554:N562">
    <cfRule type="expression" dxfId="612" priority="490" stopIfTrue="1">
      <formula>ACOMPANHAMENTO="BM"</formula>
    </cfRule>
    <cfRule type="expression" dxfId="611" priority="491" stopIfTrue="1">
      <formula>OR($B554=0,$B554=2,$B554=3,$B554=4)</formula>
    </cfRule>
    <cfRule type="expression" dxfId="610" priority="492" stopIfTrue="1">
      <formula>$B554=1</formula>
    </cfRule>
  </conditionalFormatting>
  <conditionalFormatting sqref="M563:N571">
    <cfRule type="expression" dxfId="609" priority="479" stopIfTrue="1">
      <formula>ACOMPANHAMENTO="BM"</formula>
    </cfRule>
    <cfRule type="expression" dxfId="608" priority="480" stopIfTrue="1">
      <formula>OR($B563=0,$B563=2,$B563=3,$B563=4)</formula>
    </cfRule>
    <cfRule type="expression" dxfId="607" priority="481" stopIfTrue="1">
      <formula>$B563=1</formula>
    </cfRule>
  </conditionalFormatting>
  <conditionalFormatting sqref="M572:N580">
    <cfRule type="expression" dxfId="606" priority="468" stopIfTrue="1">
      <formula>ACOMPANHAMENTO="BM"</formula>
    </cfRule>
    <cfRule type="expression" dxfId="605" priority="469" stopIfTrue="1">
      <formula>OR($B572=0,$B572=2,$B572=3,$B572=4)</formula>
    </cfRule>
    <cfRule type="expression" dxfId="604" priority="470" stopIfTrue="1">
      <formula>$B572=1</formula>
    </cfRule>
  </conditionalFormatting>
  <conditionalFormatting sqref="M581:N589">
    <cfRule type="expression" dxfId="603" priority="457" stopIfTrue="1">
      <formula>ACOMPANHAMENTO="BM"</formula>
    </cfRule>
    <cfRule type="expression" dxfId="602" priority="458" stopIfTrue="1">
      <formula>OR($B581=0,$B581=2,$B581=3,$B581=4)</formula>
    </cfRule>
    <cfRule type="expression" dxfId="601" priority="459" stopIfTrue="1">
      <formula>$B581=1</formula>
    </cfRule>
  </conditionalFormatting>
  <conditionalFormatting sqref="M590:N598">
    <cfRule type="expression" dxfId="600" priority="446" stopIfTrue="1">
      <formula>ACOMPANHAMENTO="BM"</formula>
    </cfRule>
    <cfRule type="expression" dxfId="599" priority="447" stopIfTrue="1">
      <formula>OR($B590=0,$B590=2,$B590=3,$B590=4)</formula>
    </cfRule>
    <cfRule type="expression" dxfId="598" priority="448" stopIfTrue="1">
      <formula>$B590=1</formula>
    </cfRule>
  </conditionalFormatting>
  <conditionalFormatting sqref="M599:N607">
    <cfRule type="expression" dxfId="597" priority="435" stopIfTrue="1">
      <formula>ACOMPANHAMENTO="BM"</formula>
    </cfRule>
    <cfRule type="expression" dxfId="596" priority="436" stopIfTrue="1">
      <formula>OR($B599=0,$B599=2,$B599=3,$B599=4)</formula>
    </cfRule>
    <cfRule type="expression" dxfId="595" priority="437" stopIfTrue="1">
      <formula>$B599=1</formula>
    </cfRule>
  </conditionalFormatting>
  <conditionalFormatting sqref="M608:N616">
    <cfRule type="expression" dxfId="594" priority="424" stopIfTrue="1">
      <formula>ACOMPANHAMENTO="BM"</formula>
    </cfRule>
    <cfRule type="expression" dxfId="593" priority="425" stopIfTrue="1">
      <formula>OR($B608=0,$B608=2,$B608=3,$B608=4)</formula>
    </cfRule>
    <cfRule type="expression" dxfId="592" priority="426" stopIfTrue="1">
      <formula>$B608=1</formula>
    </cfRule>
  </conditionalFormatting>
  <conditionalFormatting sqref="M621:N629">
    <cfRule type="expression" dxfId="591" priority="325" stopIfTrue="1">
      <formula>ACOMPANHAMENTO="BM"</formula>
    </cfRule>
    <cfRule type="expression" dxfId="590" priority="326" stopIfTrue="1">
      <formula>OR($B621=0,$B621=2,$B621=3,$B621=4)</formula>
    </cfRule>
    <cfRule type="expression" dxfId="589" priority="327" stopIfTrue="1">
      <formula>$B621=1</formula>
    </cfRule>
  </conditionalFormatting>
  <conditionalFormatting sqref="M630:N638">
    <cfRule type="expression" dxfId="588" priority="314" stopIfTrue="1">
      <formula>ACOMPANHAMENTO="BM"</formula>
    </cfRule>
    <cfRule type="expression" dxfId="587" priority="315" stopIfTrue="1">
      <formula>OR($B630=0,$B630=2,$B630=3,$B630=4)</formula>
    </cfRule>
    <cfRule type="expression" dxfId="586" priority="316" stopIfTrue="1">
      <formula>$B630=1</formula>
    </cfRule>
  </conditionalFormatting>
  <conditionalFormatting sqref="M639:N647">
    <cfRule type="expression" dxfId="585" priority="303" stopIfTrue="1">
      <formula>ACOMPANHAMENTO="BM"</formula>
    </cfRule>
    <cfRule type="expression" dxfId="584" priority="304" stopIfTrue="1">
      <formula>OR($B639=0,$B639=2,$B639=3,$B639=4)</formula>
    </cfRule>
    <cfRule type="expression" dxfId="583" priority="305" stopIfTrue="1">
      <formula>$B639=1</formula>
    </cfRule>
  </conditionalFormatting>
  <conditionalFormatting sqref="M648:N656">
    <cfRule type="expression" dxfId="582" priority="292" stopIfTrue="1">
      <formula>ACOMPANHAMENTO="BM"</formula>
    </cfRule>
    <cfRule type="expression" dxfId="581" priority="293" stopIfTrue="1">
      <formula>OR($B648=0,$B648=2,$B648=3,$B648=4)</formula>
    </cfRule>
    <cfRule type="expression" dxfId="580" priority="294" stopIfTrue="1">
      <formula>$B648=1</formula>
    </cfRule>
  </conditionalFormatting>
  <conditionalFormatting sqref="M657:N665">
    <cfRule type="expression" dxfId="579" priority="281" stopIfTrue="1">
      <formula>ACOMPANHAMENTO="BM"</formula>
    </cfRule>
    <cfRule type="expression" dxfId="578" priority="282" stopIfTrue="1">
      <formula>OR($B657=0,$B657=2,$B657=3,$B657=4)</formula>
    </cfRule>
    <cfRule type="expression" dxfId="577" priority="283" stopIfTrue="1">
      <formula>$B657=1</formula>
    </cfRule>
  </conditionalFormatting>
  <conditionalFormatting sqref="M666:N674">
    <cfRule type="expression" dxfId="576" priority="270" stopIfTrue="1">
      <formula>ACOMPANHAMENTO="BM"</formula>
    </cfRule>
    <cfRule type="expression" dxfId="575" priority="271" stopIfTrue="1">
      <formula>OR($B666=0,$B666=2,$B666=3,$B666=4)</formula>
    </cfRule>
    <cfRule type="expression" dxfId="574" priority="272" stopIfTrue="1">
      <formula>$B666=1</formula>
    </cfRule>
  </conditionalFormatting>
  <conditionalFormatting sqref="M675:N683">
    <cfRule type="expression" dxfId="573" priority="259" stopIfTrue="1">
      <formula>ACOMPANHAMENTO="BM"</formula>
    </cfRule>
    <cfRule type="expression" dxfId="572" priority="260" stopIfTrue="1">
      <formula>OR($B675=0,$B675=2,$B675=3,$B675=4)</formula>
    </cfRule>
    <cfRule type="expression" dxfId="571" priority="261" stopIfTrue="1">
      <formula>$B675=1</formula>
    </cfRule>
  </conditionalFormatting>
  <conditionalFormatting sqref="M684:N692">
    <cfRule type="expression" dxfId="570" priority="248" stopIfTrue="1">
      <formula>ACOMPANHAMENTO="BM"</formula>
    </cfRule>
    <cfRule type="expression" dxfId="569" priority="249" stopIfTrue="1">
      <formula>OR($B684=0,$B684=2,$B684=3,$B684=4)</formula>
    </cfRule>
    <cfRule type="expression" dxfId="568" priority="250" stopIfTrue="1">
      <formula>$B684=1</formula>
    </cfRule>
  </conditionalFormatting>
  <conditionalFormatting sqref="M693:N701">
    <cfRule type="expression" dxfId="567" priority="237" stopIfTrue="1">
      <formula>ACOMPANHAMENTO="BM"</formula>
    </cfRule>
    <cfRule type="expression" dxfId="566" priority="238" stopIfTrue="1">
      <formula>OR($B693=0,$B693=2,$B693=3,$B693=4)</formula>
    </cfRule>
    <cfRule type="expression" dxfId="565" priority="239" stopIfTrue="1">
      <formula>$B693=1</formula>
    </cfRule>
  </conditionalFormatting>
  <conditionalFormatting sqref="M703:N706">
    <cfRule type="expression" dxfId="564" priority="193" stopIfTrue="1">
      <formula>ACOMPANHAMENTO="BM"</formula>
    </cfRule>
    <cfRule type="expression" dxfId="563" priority="194" stopIfTrue="1">
      <formula>OR($B703=0,$B703=2,$B703=3,$B703=4)</formula>
    </cfRule>
    <cfRule type="expression" dxfId="562" priority="195" stopIfTrue="1">
      <formula>$B703=1</formula>
    </cfRule>
  </conditionalFormatting>
  <conditionalFormatting sqref="M707:N707">
    <cfRule type="expression" dxfId="561" priority="182" stopIfTrue="1">
      <formula>ACOMPANHAMENTO="BM"</formula>
    </cfRule>
    <cfRule type="expression" dxfId="560" priority="183" stopIfTrue="1">
      <formula>OR($B707=0,$B707=2,$B707=3,$B707=4)</formula>
    </cfRule>
    <cfRule type="expression" dxfId="559" priority="184" stopIfTrue="1">
      <formula>$B707=1</formula>
    </cfRule>
  </conditionalFormatting>
  <conditionalFormatting sqref="M702:N702">
    <cfRule type="expression" dxfId="558" priority="50" stopIfTrue="1">
      <formula>ACOMPANHAMENTO="BM"</formula>
    </cfRule>
    <cfRule type="expression" dxfId="557" priority="51" stopIfTrue="1">
      <formula>OR($B702=0,$B702=2,$B702=3,$B702=4)</formula>
    </cfRule>
    <cfRule type="expression" dxfId="556" priority="52" stopIfTrue="1">
      <formula>$B702=1</formula>
    </cfRule>
  </conditionalFormatting>
  <conditionalFormatting sqref="K702">
    <cfRule type="expression" dxfId="555" priority="53" stopIfTrue="1">
      <formula>OR(ACOMPANHAMENTO="BM",$A$12&lt;&gt;"Manual")</formula>
    </cfRule>
    <cfRule type="expression" dxfId="554" priority="54" stopIfTrue="1">
      <formula>$B702=1</formula>
    </cfRule>
    <cfRule type="expression" dxfId="553" priority="55" stopIfTrue="1">
      <formula>OR($B702=2,$B702=3,$B702=4,$B702=0)</formula>
    </cfRule>
  </conditionalFormatting>
  <conditionalFormatting sqref="O702:Z702 AI702">
    <cfRule type="expression" dxfId="552" priority="56" stopIfTrue="1">
      <formula>ACOMPANHAMENTO="BM"</formula>
    </cfRule>
    <cfRule type="expression" dxfId="551" priority="57" stopIfTrue="1">
      <formula>AND(O$12&lt;&gt;".",OR($B702=0,$B702=2,$B702=3,$B702=4,AND(O$12="",$B702&lt;&gt;"Empty"),OFFSET(O$12,0,-1)=""))</formula>
    </cfRule>
    <cfRule type="expression" dxfId="550" priority="58" stopIfTrue="1">
      <formula>AND($B702=1,O$12&lt;&gt;".")</formula>
    </cfRule>
  </conditionalFormatting>
  <conditionalFormatting sqref="AA12:AH15 AA25:AH425 AA429:AH701">
    <cfRule type="expression" dxfId="549" priority="45" stopIfTrue="1">
      <formula>ACOMPANHAMENTO="BM"</formula>
    </cfRule>
    <cfRule type="expression" dxfId="548" priority="46" stopIfTrue="1">
      <formula>AND(AA$12&lt;&gt;".",OR($B12=0,$B12=2,$B12=3,$B12=4,AND(AA$12="",$B12&lt;&gt;"Empty"),OFFSET(AA$12,0,-1)=""))</formula>
    </cfRule>
    <cfRule type="expression" dxfId="547" priority="47" stopIfTrue="1">
      <formula>AND($B12=1,AA$12&lt;&gt;".")</formula>
    </cfRule>
  </conditionalFormatting>
  <conditionalFormatting sqref="AA16:AH24">
    <cfRule type="expression" dxfId="546" priority="42" stopIfTrue="1">
      <formula>ACOMPANHAMENTO="BM"</formula>
    </cfRule>
    <cfRule type="expression" dxfId="545" priority="43" stopIfTrue="1">
      <formula>AND(AA$12&lt;&gt;".",OR($B16=0,$B16=2,$B16=3,$B16=4,AND(AA$12="",$B16&lt;&gt;"Empty"),OFFSET(AA$12,0,-1)=""))</formula>
    </cfRule>
    <cfRule type="expression" dxfId="544" priority="44" stopIfTrue="1">
      <formula>AND($B16=1,AA$12&lt;&gt;".")</formula>
    </cfRule>
  </conditionalFormatting>
  <conditionalFormatting sqref="AA702:AH702">
    <cfRule type="expression" dxfId="543" priority="39" stopIfTrue="1">
      <formula>ACOMPANHAMENTO="BM"</formula>
    </cfRule>
    <cfRule type="expression" dxfId="542" priority="40" stopIfTrue="1">
      <formula>AND(AA$12&lt;&gt;".",OR($B702=0,$B702=2,$B702=3,$B702=4,AND(AA$12="",$B702&lt;&gt;"Empty"),OFFSET(AA$12,0,-1)=""))</formula>
    </cfRule>
    <cfRule type="expression" dxfId="541" priority="41" stopIfTrue="1">
      <formula>AND($B702=1,AA$12&lt;&gt;".")</formula>
    </cfRule>
  </conditionalFormatting>
  <conditionalFormatting sqref="M426:N428">
    <cfRule type="expression" dxfId="540" priority="30" stopIfTrue="1">
      <formula>ACOMPANHAMENTO="BM"</formula>
    </cfRule>
    <cfRule type="expression" dxfId="539" priority="31" stopIfTrue="1">
      <formula>OR($B426=0,$B426=2,$B426=3,$B426=4)</formula>
    </cfRule>
    <cfRule type="expression" dxfId="538" priority="32" stopIfTrue="1">
      <formula>$B426=1</formula>
    </cfRule>
  </conditionalFormatting>
  <conditionalFormatting sqref="K426:K428">
    <cfRule type="expression" dxfId="537" priority="33" stopIfTrue="1">
      <formula>OR(ACOMPANHAMENTO="BM",$A$12&lt;&gt;"Manual")</formula>
    </cfRule>
    <cfRule type="expression" dxfId="536" priority="34" stopIfTrue="1">
      <formula>$B426=1</formula>
    </cfRule>
    <cfRule type="expression" dxfId="535" priority="35" stopIfTrue="1">
      <formula>OR($B426=2,$B426=3,$B426=4,$B426=0)</formula>
    </cfRule>
  </conditionalFormatting>
  <conditionalFormatting sqref="O426:Z428 AI426:AI428">
    <cfRule type="expression" dxfId="534" priority="36" stopIfTrue="1">
      <formula>ACOMPANHAMENTO="BM"</formula>
    </cfRule>
    <cfRule type="expression" dxfId="533" priority="37" stopIfTrue="1">
      <formula>AND(O$12&lt;&gt;".",OR($B426=0,$B426=2,$B426=3,$B426=4,AND(O$12="",$B426&lt;&gt;"Empty"),OFFSET(O$12,0,-1)=""))</formula>
    </cfRule>
    <cfRule type="expression" dxfId="532" priority="38" stopIfTrue="1">
      <formula>AND($B426=1,O$12&lt;&gt;".")</formula>
    </cfRule>
  </conditionalFormatting>
  <conditionalFormatting sqref="AA426:AH428">
    <cfRule type="expression" dxfId="531" priority="25" stopIfTrue="1">
      <formula>ACOMPANHAMENTO="BM"</formula>
    </cfRule>
    <cfRule type="expression" dxfId="530" priority="26" stopIfTrue="1">
      <formula>AND(AA$12&lt;&gt;".",OR($B426=0,$B426=2,$B426=3,$B426=4,AND(AA$12="",$B426&lt;&gt;"Empty"),OFFSET(AA$12,0,-1)=""))</formula>
    </cfRule>
    <cfRule type="expression" dxfId="529" priority="27" stopIfTrue="1">
      <formula>AND($B426=1,AA$12&lt;&gt;".")</formula>
    </cfRule>
  </conditionalFormatting>
  <conditionalFormatting sqref="M708:N708">
    <cfRule type="expression" dxfId="528" priority="16" stopIfTrue="1">
      <formula>ACOMPANHAMENTO="BM"</formula>
    </cfRule>
    <cfRule type="expression" dxfId="527" priority="17" stopIfTrue="1">
      <formula>OR($B708=0,$B708=2,$B708=3,$B708=4)</formula>
    </cfRule>
    <cfRule type="expression" dxfId="526" priority="18" stopIfTrue="1">
      <formula>$B708=1</formula>
    </cfRule>
  </conditionalFormatting>
  <conditionalFormatting sqref="K708">
    <cfRule type="expression" dxfId="525" priority="19" stopIfTrue="1">
      <formula>OR(ACOMPANHAMENTO="BM",$A$12&lt;&gt;"Manual")</formula>
    </cfRule>
    <cfRule type="expression" dxfId="524" priority="20" stopIfTrue="1">
      <formula>$B708=1</formula>
    </cfRule>
    <cfRule type="expression" dxfId="523" priority="21" stopIfTrue="1">
      <formula>OR($B708=2,$B708=3,$B708=4,$B708=0)</formula>
    </cfRule>
  </conditionalFormatting>
  <conditionalFormatting sqref="O708:Z708 AI708">
    <cfRule type="expression" dxfId="522" priority="22" stopIfTrue="1">
      <formula>ACOMPANHAMENTO="BM"</formula>
    </cfRule>
    <cfRule type="expression" dxfId="521" priority="23" stopIfTrue="1">
      <formula>AND(O$12&lt;&gt;".",OR($B708=0,$B708=2,$B708=3,$B708=4,AND(O$12="",$B708&lt;&gt;"Empty"),OFFSET(O$12,0,-1)=""))</formula>
    </cfRule>
    <cfRule type="expression" dxfId="520" priority="24" stopIfTrue="1">
      <formula>AND($B708=1,O$12&lt;&gt;".")</formula>
    </cfRule>
  </conditionalFormatting>
  <conditionalFormatting sqref="AA708:AH708">
    <cfRule type="expression" dxfId="519" priority="13" stopIfTrue="1">
      <formula>ACOMPANHAMENTO="BM"</formula>
    </cfRule>
    <cfRule type="expression" dxfId="518" priority="14" stopIfTrue="1">
      <formula>AND(AA$12&lt;&gt;".",OR($B708=0,$B708=2,$B708=3,$B708=4,AND(AA$12="",$B708&lt;&gt;"Empty"),OFFSET(AA$12,0,-1)=""))</formula>
    </cfRule>
    <cfRule type="expression" dxfId="517" priority="15" stopIfTrue="1">
      <formula>AND($B708=1,AA$12&lt;&gt;".")</formula>
    </cfRule>
  </conditionalFormatting>
  <conditionalFormatting sqref="M709:N709">
    <cfRule type="expression" dxfId="516" priority="4" stopIfTrue="1">
      <formula>ACOMPANHAMENTO="BM"</formula>
    </cfRule>
    <cfRule type="expression" dxfId="515" priority="5" stopIfTrue="1">
      <formula>OR($B709=0,$B709=2,$B709=3,$B709=4)</formula>
    </cfRule>
    <cfRule type="expression" dxfId="514" priority="6" stopIfTrue="1">
      <formula>$B709=1</formula>
    </cfRule>
  </conditionalFormatting>
  <conditionalFormatting sqref="K709">
    <cfRule type="expression" dxfId="513" priority="7" stopIfTrue="1">
      <formula>OR(ACOMPANHAMENTO="BM",$A$12&lt;&gt;"Manual")</formula>
    </cfRule>
    <cfRule type="expression" dxfId="512" priority="8" stopIfTrue="1">
      <formula>$B709=1</formula>
    </cfRule>
    <cfRule type="expression" dxfId="511" priority="9" stopIfTrue="1">
      <formula>OR($B709=2,$B709=3,$B709=4,$B709=0)</formula>
    </cfRule>
  </conditionalFormatting>
  <conditionalFormatting sqref="O709:Z709 AI709">
    <cfRule type="expression" dxfId="510" priority="10" stopIfTrue="1">
      <formula>ACOMPANHAMENTO="BM"</formula>
    </cfRule>
    <cfRule type="expression" dxfId="509" priority="11" stopIfTrue="1">
      <formula>AND(O$12&lt;&gt;".",OR($B709=0,$B709=2,$B709=3,$B709=4,AND(O$12="",$B709&lt;&gt;"Empty"),OFFSET(O$12,0,-1)=""))</formula>
    </cfRule>
    <cfRule type="expression" dxfId="508" priority="12" stopIfTrue="1">
      <formula>AND($B709=1,O$12&lt;&gt;".")</formula>
    </cfRule>
  </conditionalFormatting>
  <conditionalFormatting sqref="AA709:AH709">
    <cfRule type="expression" dxfId="507" priority="1" stopIfTrue="1">
      <formula>ACOMPANHAMENTO="BM"</formula>
    </cfRule>
    <cfRule type="expression" dxfId="506" priority="2" stopIfTrue="1">
      <formula>AND(AA$12&lt;&gt;".",OR($B709=0,$B709=2,$B709=3,$B709=4,AND(AA$12="",$B709&lt;&gt;"Empty"),OFFSET(AA$12,0,-1)=""))</formula>
    </cfRule>
    <cfRule type="expression" dxfId="505" priority="3" stopIfTrue="1">
      <formula>AND($B709=1,AA$12&lt;&gt;".")</formula>
    </cfRule>
  </conditionalFormatting>
  <dataValidations count="4">
    <dataValidation type="decimal" operator="greaterThan" allowBlank="1" showErrorMessage="1" error="Apenas números decimais maiores que zero." sqref="O14 Q14:AH14 O16:O709 Q16:AH709">
      <formula1>0</formula1>
      <formula2>0</formula2>
    </dataValidation>
    <dataValidation type="list" allowBlank="1" showErrorMessage="1" sqref="K14 K16:K709">
      <formula1>EVENTOS.ListaValidacao</formula1>
      <formula2>0</formula2>
    </dataValidation>
    <dataValidation allowBlank="1" showInputMessage="1" showErrorMessage="1" prompt="A quantidade é digitada nas colunas Q em diante, após preencher o nome das frentes de obra na célula Q12 em diante" sqref="H14 H16:H709"/>
    <dataValidation allowBlank="1" showInputMessage="1" showErrorMessage="1" prompt="A frente de obra é uma porção física da obra. Exemplos: Única; Rua A; Rua B; Trecho 01; Trecho 02; 1º Andar; 2º Andar; Copa; Banheiro" sqref="Q12"/>
  </dataValidations>
  <pageMargins left="0.78740157480314998" right="0.78740157480314998" top="0.78740157480314998" bottom="0.78740157480314998" header="0.59055118110236204" footer="0.59055118110236204"/>
  <pageSetup paperSize="9" scale="26" firstPageNumber="0" fitToHeight="0" orientation="landscape" r:id="rId1"/>
  <headerFooter alignWithMargins="0">
    <oddHeader>&amp;C&amp;14I</oddHeader>
    <oddFooter>&amp;LPMv3.0.4&amp;R&amp;P / &amp;N</oddFooter>
  </headerFooter>
  <colBreaks count="1" manualBreakCount="1">
    <brk id="35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8">
    <pageSetUpPr fitToPage="1"/>
  </sheetPr>
  <dimension ref="B2:F24"/>
  <sheetViews>
    <sheetView showGridLines="0" zoomScale="90" zoomScaleNormal="90" workbookViewId="0">
      <pane ySplit="14" topLeftCell="A15" activePane="bottomLeft" state="frozen"/>
      <selection pane="bottomLeft" activeCell="C6" sqref="C6:F6"/>
    </sheetView>
  </sheetViews>
  <sheetFormatPr defaultRowHeight="13.2" x14ac:dyDescent="0.25"/>
  <cols>
    <col min="2" max="2" width="0" hidden="1" customWidth="1"/>
    <col min="3" max="3" width="12.6640625" customWidth="1"/>
    <col min="4" max="4" width="30.6640625" customWidth="1"/>
    <col min="6" max="6" width="25.6640625" customWidth="1"/>
  </cols>
  <sheetData>
    <row r="2" spans="2:6" ht="15.6" x14ac:dyDescent="0.25">
      <c r="C2" s="102" t="s">
        <v>266</v>
      </c>
    </row>
    <row r="4" spans="2:6" x14ac:dyDescent="0.25">
      <c r="C4" t="s">
        <v>267</v>
      </c>
    </row>
    <row r="6" spans="2:6" x14ac:dyDescent="0.25">
      <c r="C6" s="721" t="s">
        <v>584</v>
      </c>
      <c r="D6" s="721"/>
      <c r="E6" s="721"/>
      <c r="F6" s="721"/>
    </row>
    <row r="8" spans="2:6" ht="33.75" customHeight="1" x14ac:dyDescent="0.25"/>
    <row r="9" spans="2:6" ht="12" customHeight="1" x14ac:dyDescent="0.25">
      <c r="C9" s="722" t="str">
        <f>IF(ACOMPANHAMENTO="BM","Foi selecionado na aba 'MENU' o acompanhamento por BM. Não há necessidade de definição de Eventos.","")</f>
        <v>Foi selecionado na aba 'MENU' o acompanhamento por BM. Não há necessidade de definição de Eventos.</v>
      </c>
      <c r="D9" s="722"/>
      <c r="E9" s="722"/>
      <c r="F9" s="722"/>
    </row>
    <row r="10" spans="2:6" ht="12" customHeight="1" x14ac:dyDescent="0.25">
      <c r="C10" s="722"/>
      <c r="D10" s="722"/>
      <c r="E10" s="722"/>
      <c r="F10" s="722"/>
    </row>
    <row r="11" spans="2:6" ht="12" customHeight="1" x14ac:dyDescent="0.25">
      <c r="C11" s="722"/>
      <c r="D11" s="722"/>
      <c r="E11" s="722"/>
      <c r="F11" s="722"/>
    </row>
    <row r="12" spans="2:6" ht="12" customHeight="1" x14ac:dyDescent="0.25"/>
    <row r="13" spans="2:6" ht="14.4" x14ac:dyDescent="0.3">
      <c r="C13" s="230" t="s">
        <v>268</v>
      </c>
      <c r="D13" s="723" t="s">
        <v>269</v>
      </c>
      <c r="E13" s="723"/>
      <c r="F13" s="231" t="s">
        <v>270</v>
      </c>
    </row>
    <row r="14" spans="2:6" hidden="1" x14ac:dyDescent="0.25">
      <c r="B14" t="e">
        <f ca="1">CONCATENATE(C14,".",D14)</f>
        <v>#VALUE!</v>
      </c>
      <c r="C14" s="232" t="e">
        <f ca="1">OFFSET(C14,-1,0)+1</f>
        <v>#VALUE!</v>
      </c>
      <c r="D14" s="720"/>
      <c r="E14" s="720"/>
      <c r="F14" s="233" t="e">
        <f ca="1">IF(AUTOEVENTO="Manual",ROUND(SUMPRODUCT((CÁLCULO!$M$15:$M$710=EVENTOS!$C14)*(OFFSET(CÁLCULO!$AI$15,0,1):OFFSET(CÁLCULO!$BB$710,0,-1))),2),0)</f>
        <v>#VALUE!</v>
      </c>
    </row>
    <row r="15" spans="2:6" x14ac:dyDescent="0.25">
      <c r="B15" t="str">
        <f>CONCATENATE(C15,".",D15)</f>
        <v>1.Administração Local</v>
      </c>
      <c r="C15" s="234">
        <v>1</v>
      </c>
      <c r="D15" s="724" t="s">
        <v>271</v>
      </c>
      <c r="E15" s="724"/>
      <c r="F15" s="235">
        <f ca="1">IF(AUTOEVENTO="Manual",ROUND(SUMIF(CÁLCULO!$M$15:$M$710,1,ORÇAMENTO!$X$15:$X$710),2),0)</f>
        <v>0</v>
      </c>
    </row>
    <row r="16" spans="2:6" x14ac:dyDescent="0.25">
      <c r="B16" t="str">
        <f t="shared" ref="B16:B23" ca="1" si="0">CONCATENATE(C16,".",D16)</f>
        <v>2.Administração Local</v>
      </c>
      <c r="C16" s="232">
        <f t="shared" ref="C16:C23" ca="1" si="1">OFFSET(C16,-1,0)+1</f>
        <v>2</v>
      </c>
      <c r="D16" s="720" t="s">
        <v>271</v>
      </c>
      <c r="E16" s="720"/>
      <c r="F16" s="233">
        <f ca="1">IF(AUTOEVENTO="Manual",ROUND(SUMPRODUCT((CÁLCULO!$M$15:$M$710=EVENTOS!$C16)*(OFFSET(CÁLCULO!$AI$15,0,1):OFFSET(CÁLCULO!$BB$710,0,-1))),2),0)</f>
        <v>0</v>
      </c>
    </row>
    <row r="17" spans="2:6" x14ac:dyDescent="0.25">
      <c r="B17" t="str">
        <f t="shared" ca="1" si="0"/>
        <v>3.Placa de Obra</v>
      </c>
      <c r="C17" s="232">
        <f t="shared" ca="1" si="1"/>
        <v>3</v>
      </c>
      <c r="D17" s="720" t="s">
        <v>565</v>
      </c>
      <c r="E17" s="720"/>
      <c r="F17" s="233">
        <f ca="1">IF(AUTOEVENTO="Manual",ROUND(SUMPRODUCT((CÁLCULO!$M$15:$M$710=EVENTOS!$C17)*(OFFSET(CÁLCULO!$AI$15,0,1):OFFSET(CÁLCULO!$BB$710,0,-1))),2),0)</f>
        <v>0</v>
      </c>
    </row>
    <row r="18" spans="2:6" x14ac:dyDescent="0.25">
      <c r="B18" t="str">
        <f t="shared" ca="1" si="0"/>
        <v>4.Canteiro de Obras</v>
      </c>
      <c r="C18" s="232">
        <f t="shared" ca="1" si="1"/>
        <v>4</v>
      </c>
      <c r="D18" s="720" t="s">
        <v>566</v>
      </c>
      <c r="E18" s="720"/>
      <c r="F18" s="233">
        <f ca="1">IF(AUTOEVENTO="Manual",ROUND(SUMPRODUCT((CÁLCULO!$M$15:$M$710=EVENTOS!$C18)*(OFFSET(CÁLCULO!$AI$15,0,1):OFFSET(CÁLCULO!$BB$710,0,-1))),2),0)</f>
        <v>0</v>
      </c>
    </row>
    <row r="19" spans="2:6" x14ac:dyDescent="0.25">
      <c r="B19" t="str">
        <f t="shared" ca="1" si="0"/>
        <v>5.Preparação da Base</v>
      </c>
      <c r="C19" s="232">
        <f t="shared" ca="1" si="1"/>
        <v>5</v>
      </c>
      <c r="D19" s="720" t="s">
        <v>567</v>
      </c>
      <c r="E19" s="720"/>
      <c r="F19" s="233">
        <f ca="1">IF(AUTOEVENTO="Manual",ROUND(SUMPRODUCT((CÁLCULO!$M$15:$M$710=EVENTOS!$C19)*(OFFSET(CÁLCULO!$AI$15,0,1):OFFSET(CÁLCULO!$BB$710,0,-1))),2),0)</f>
        <v>0</v>
      </c>
    </row>
    <row r="20" spans="2:6" x14ac:dyDescent="0.25">
      <c r="B20" t="str">
        <f t="shared" ca="1" si="0"/>
        <v xml:space="preserve">6.Base </v>
      </c>
      <c r="C20" s="232">
        <f t="shared" ca="1" si="1"/>
        <v>6</v>
      </c>
      <c r="D20" s="720" t="s">
        <v>568</v>
      </c>
      <c r="E20" s="720"/>
      <c r="F20" s="233">
        <f ca="1">IF(AUTOEVENTO="Manual",ROUND(SUMPRODUCT((CÁLCULO!$M$15:$M$710=EVENTOS!$C20)*(OFFSET(CÁLCULO!$AI$15,0,1):OFFSET(CÁLCULO!$BB$710,0,-1))),2),0)</f>
        <v>0</v>
      </c>
    </row>
    <row r="21" spans="2:6" x14ac:dyDescent="0.25">
      <c r="B21" t="str">
        <f t="shared" ca="1" si="0"/>
        <v>7.Drenagem</v>
      </c>
      <c r="C21" s="232">
        <f t="shared" ca="1" si="1"/>
        <v>7</v>
      </c>
      <c r="D21" s="720" t="s">
        <v>569</v>
      </c>
      <c r="E21" s="720"/>
      <c r="F21" s="233">
        <f ca="1">IF(AUTOEVENTO="Manual",ROUND(SUMPRODUCT((CÁLCULO!$M$15:$M$710=EVENTOS!$C21)*(OFFSET(CÁLCULO!$AI$15,0,1):OFFSET(CÁLCULO!$BB$710,0,-1))),2),0)</f>
        <v>0</v>
      </c>
    </row>
    <row r="22" spans="2:6" x14ac:dyDescent="0.25">
      <c r="B22" t="str">
        <f t="shared" ca="1" si="0"/>
        <v>8.Grama Sintética</v>
      </c>
      <c r="C22" s="232">
        <f t="shared" ca="1" si="1"/>
        <v>8</v>
      </c>
      <c r="D22" s="720" t="s">
        <v>570</v>
      </c>
      <c r="E22" s="720"/>
      <c r="F22" s="233">
        <f ca="1">IF(AUTOEVENTO="Manual",ROUND(SUMPRODUCT((CÁLCULO!$M$15:$M$710=EVENTOS!$C22)*(OFFSET(CÁLCULO!$AI$15,0,1):OFFSET(CÁLCULO!$BB$710,0,-1))),2),0)</f>
        <v>0</v>
      </c>
    </row>
    <row r="23" spans="2:6" x14ac:dyDescent="0.25">
      <c r="B23" t="str">
        <f t="shared" ca="1" si="0"/>
        <v>9.Equipamentos</v>
      </c>
      <c r="C23" s="232">
        <f t="shared" ca="1" si="1"/>
        <v>9</v>
      </c>
      <c r="D23" s="720" t="s">
        <v>571</v>
      </c>
      <c r="E23" s="720"/>
      <c r="F23" s="233">
        <f ca="1">IF(AUTOEVENTO="Manual",ROUND(SUMPRODUCT((CÁLCULO!$M$15:$M$710=EVENTOS!$C23)*(OFFSET(CÁLCULO!$AI$15,0,1):OFFSET(CÁLCULO!$BB$710,0,-1))),2),0)</f>
        <v>0</v>
      </c>
    </row>
    <row r="24" spans="2:6" ht="5.0999999999999996" customHeight="1" x14ac:dyDescent="0.25">
      <c r="C24" s="225"/>
      <c r="D24" s="236"/>
      <c r="E24" s="236"/>
      <c r="F24" s="237"/>
    </row>
  </sheetData>
  <sheetProtection password="BD1F" sheet="1" objects="1" scenarios="1" autoFilter="0"/>
  <mergeCells count="13">
    <mergeCell ref="D21:E21"/>
    <mergeCell ref="D23:E23"/>
    <mergeCell ref="D22:E22"/>
    <mergeCell ref="D15:E15"/>
    <mergeCell ref="D16:E16"/>
    <mergeCell ref="D17:E17"/>
    <mergeCell ref="D18:E18"/>
    <mergeCell ref="D20:E20"/>
    <mergeCell ref="D19:E19"/>
    <mergeCell ref="C6:F6"/>
    <mergeCell ref="C9:F11"/>
    <mergeCell ref="D13:E13"/>
    <mergeCell ref="D14:E14"/>
  </mergeCells>
  <phoneticPr fontId="38" type="noConversion"/>
  <conditionalFormatting sqref="C13:F15 C24:F24">
    <cfRule type="expression" dxfId="504" priority="107" stopIfTrue="1">
      <formula>OR(AUTOEVENTO&lt;&gt;"Manual",ACOMPANHAMENTO="BM")</formula>
    </cfRule>
  </conditionalFormatting>
  <conditionalFormatting sqref="C16:F23">
    <cfRule type="expression" dxfId="503" priority="1" stopIfTrue="1">
      <formula>OR(AUTOEVENTO&lt;&gt;"Manual",ACOMPANHAMENTO="BM")</formula>
    </cfRule>
  </conditionalFormatting>
  <dataValidations count="1">
    <dataValidation type="list" allowBlank="1" showErrorMessage="1" sqref="C6">
      <mc:AlternateContent xmlns:x12ac="http://schemas.microsoft.com/office/spreadsheetml/2011/1/ac" xmlns:mc="http://schemas.openxmlformats.org/markup-compatibility/2006">
        <mc:Choice Requires="x12ac">
          <x12ac:list>"Automática, conforme os agrupadores Nível 2 do Orçamento","Automática, conforme os agrupadores Nível 3 do Orçamento","Automática, conforme os agrupadores Nível 4 do Orçamento",Definir Manualmente</x12ac:list>
        </mc:Choice>
        <mc:Fallback>
          <formula1>"Automática, conforme os agrupadores Nível 2 do Orçamento,Automática, conforme os agrupadores Nível 3 do Orçamento,Automática, conforme os agrupadores Nível 4 do Orçamento,Definir Manualmente"</formula1>
        </mc:Fallback>
      </mc:AlternateContent>
      <formula2>0</formula2>
    </dataValidation>
  </dataValidations>
  <pageMargins left="0.78740157480314998" right="0.78740157480314998" top="0.78740157480314998" bottom="0.78740157480314998" header="5.7086614173228396" footer="0.59055118110236204"/>
  <pageSetup paperSize="9" scale="97" firstPageNumber="0" orientation="portrait" horizontalDpi="300" verticalDpi="300" r:id="rId1"/>
  <headerFooter alignWithMargins="0">
    <oddHeader>&amp;L_</oddHeader>
    <oddFooter>&amp;LPMv3.0.4&amp;R&amp;P / &amp;N</oddFooter>
  </headerFooter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 filterMode="1">
    <pageSetUpPr fitToPage="1"/>
  </sheetPr>
  <dimension ref="A1:AR114"/>
  <sheetViews>
    <sheetView showGridLines="0" zoomScaleNormal="100" zoomScaleSheetLayoutView="90" workbookViewId="0">
      <pane xSplit="19" ySplit="13" topLeftCell="AH80" activePane="bottomRight" state="frozen"/>
      <selection activeCell="F4" sqref="F4"/>
      <selection pane="topRight" activeCell="T4" sqref="T4"/>
      <selection pane="bottomLeft" activeCell="F14" sqref="F14"/>
      <selection pane="bottomRight" activeCell="A100" sqref="A100"/>
    </sheetView>
  </sheetViews>
  <sheetFormatPr defaultColWidth="9.109375" defaultRowHeight="13.2" x14ac:dyDescent="0.25"/>
  <cols>
    <col min="1" max="3" width="9.109375" style="238" hidden="1" customWidth="1"/>
    <col min="4" max="4" width="11" style="239" hidden="1" customWidth="1"/>
    <col min="5" max="5" width="19" style="238" hidden="1" customWidth="1"/>
    <col min="6" max="6" width="3.6640625" style="239" customWidth="1"/>
    <col min="7" max="7" width="12.6640625" style="238" customWidth="1"/>
    <col min="8" max="8" width="7.109375" style="239" customWidth="1"/>
    <col min="9" max="9" width="14.5546875" style="239" customWidth="1"/>
    <col min="10" max="10" width="12" style="239" customWidth="1"/>
    <col min="11" max="11" width="11" style="239" customWidth="1"/>
    <col min="12" max="17" width="0" style="238" hidden="1" customWidth="1"/>
    <col min="18" max="18" width="11.44140625" style="240" customWidth="1"/>
    <col min="19" max="19" width="10.6640625" style="240" customWidth="1"/>
    <col min="20" max="43" width="11" style="239" customWidth="1"/>
    <col min="44" max="44" width="0.109375" style="239" customWidth="1"/>
    <col min="45" max="16384" width="9.109375" style="239"/>
  </cols>
  <sheetData>
    <row r="1" spans="1:44" hidden="1" x14ac:dyDescent="0.25">
      <c r="A1" s="238" t="e">
        <f ca="1">OFFSET(A1,-3,0)+1</f>
        <v>#REF!</v>
      </c>
      <c r="B1" s="238" t="e">
        <f ca="1">IF($Q1&lt;&gt;2,0,IF($R1=0,1,IF(E2&gt;0,OFFSET(QCI!$M$13,SUBSTITUTE(E2,".",""),0),OFFSET(ORÇAMENTO!$AA$15,CRONO!$E1,0))/$R1))</f>
        <v>#REF!</v>
      </c>
      <c r="C1" s="238" t="e">
        <f ca="1">IF($Q1&lt;&gt;2,0,IF($R1=0,1,IF(E2&gt;0,OFFSET(QCI!$N$13,SUBSTITUTE(E2,".",""),0),OFFSET(ORÇAMENTO!$AB$15,CRONO!$E1,0))/$R1))</f>
        <v>#REF!</v>
      </c>
      <c r="D1" s="241" t="e">
        <f ca="1">IF(AND($Q1=2,ACOMPANHAMENTO="BM"),D2,D3/$R1)</f>
        <v>#REF!</v>
      </c>
      <c r="E1" s="238" t="e">
        <f ca="1">IF(A1&lt;=ORÇAMENTO.MáximoListaCrono,MATCH(A1,ORÇAMENTO.ListaCrono,0),NA())</f>
        <v>#REF!</v>
      </c>
      <c r="F1" s="238" t="e">
        <f ca="1">IF(AND($E2&lt;&gt;-1,$R1&gt;0),"F","")</f>
        <v>#REF!</v>
      </c>
      <c r="G1" s="242" t="e">
        <f ca="1">IF(OR(R1=0,R1=""),"Linha",IF(AND(OR(ACOMPANHAMENTO="PLE",$Q1&lt;&gt;2),$E2=0),"Linha",1-SUM(T1:AR1)))</f>
        <v>#REF!</v>
      </c>
      <c r="H1" s="243" t="e">
        <f ca="1">IF($E2=0,OFFSET(ORÇAMENTO!O$15,$E1,0),IF($E2&lt;&gt;-1,OFFSET(QCI!$D$13,$E2,0),""))</f>
        <v>#REF!</v>
      </c>
      <c r="I1" s="244" t="e">
        <f ca="1">IF($E2=0,OFFSET(ORÇAMENTO!R$15,$E1,0),IF($E2&lt;&gt;-1,OFFSET(QCI!$G$13,$E2,0),""))</f>
        <v>#REF!</v>
      </c>
      <c r="J1" s="244"/>
      <c r="K1" s="244"/>
      <c r="L1" s="245" t="e">
        <f ca="1">IF($E2=0,OFFSET(ORÇAMENTO!C$15,$E1,0),1)</f>
        <v>#REF!</v>
      </c>
      <c r="M1" s="246" t="e">
        <f ca="1">IF($E2=-1,0,IF(M$13&lt;=$L1,IF(ISERROR(MATCH(M$13,OFFSET($L1,1,0,ROW($L$98)-ROW($L1)-1),0)),ROW($L$98)-ROW($L1)-1,MATCH(M$13,OFFSET($L1,1,0,ROW($L$98)-ROW($L1)-1),0)-1),0))</f>
        <v>#REF!</v>
      </c>
      <c r="N1" s="246" t="e">
        <f ca="1">IF($E2=-1,0,IF(N$13&lt;=$L1,IF(ISERROR(MATCH(N$13,OFFSET($L1,1,0,ROW($L$98)-ROW($L1)-1),0)),ROW($L$98)-ROW($L1)-1,MATCH(N$13,OFFSET($L1,1,0,ROW($L$98)-ROW($L1)-1),0)-1),0))</f>
        <v>#REF!</v>
      </c>
      <c r="O1" s="246" t="e">
        <f ca="1">IF($E2=-1,0,IF(O$13&lt;=$L1,IF(ISERROR(MATCH(O$13,OFFSET($L1,1,0,ROW($L$98)-ROW($L1)-1),0)),ROW($L$98)-ROW($L1)-1,MATCH(O$13,OFFSET($L1,1,0,ROW($L$98)-ROW($L1)-1),0)-1),0))</f>
        <v>#REF!</v>
      </c>
      <c r="P1" s="246" t="e">
        <f ca="1">IF($E2=-1,0,IF(P$13&lt;=$L1,IF(ISERROR(MATCH(P$13,OFFSET($L1,1,0,ROW($L$98)-ROW($L1)-1),0)),ROW($L$98)-ROW($L1)-1,MATCH(P$13,OFFSET($L1,1,0,ROW($L$98)-ROW($L1)-1),0)-1),0))</f>
        <v>#REF!</v>
      </c>
      <c r="Q1" s="246" t="e">
        <f ca="1">MIN(OFFSET(L1,0,1,,L1))</f>
        <v>#REF!</v>
      </c>
      <c r="R1" s="247" t="e">
        <f ca="1">IF($E2=0,OFFSET(ORÇAMENTO!X$15,$E1,0),IF($E2&lt;&gt;-1,OFFSET(QCI!$O$13,$E2,0),""))</f>
        <v>#REF!</v>
      </c>
      <c r="S1" s="248" t="s">
        <v>272</v>
      </c>
      <c r="T1" s="249" t="e">
        <f t="shared" ref="T1:AE1" ca="1" si="0">IF(AND($Q1=2,ACOMPANHAMENTO="BM"),T2,T3/$R1)</f>
        <v>#REF!</v>
      </c>
      <c r="U1" s="241" t="e">
        <f t="shared" ca="1" si="0"/>
        <v>#REF!</v>
      </c>
      <c r="V1" s="241" t="e">
        <f t="shared" ca="1" si="0"/>
        <v>#REF!</v>
      </c>
      <c r="W1" s="241" t="e">
        <f t="shared" ca="1" si="0"/>
        <v>#REF!</v>
      </c>
      <c r="X1" s="241" t="e">
        <f t="shared" ca="1" si="0"/>
        <v>#REF!</v>
      </c>
      <c r="Y1" s="241" t="e">
        <f t="shared" ca="1" si="0"/>
        <v>#REF!</v>
      </c>
      <c r="Z1" s="241" t="e">
        <f t="shared" ca="1" si="0"/>
        <v>#REF!</v>
      </c>
      <c r="AA1" s="241" t="e">
        <f t="shared" ca="1" si="0"/>
        <v>#REF!</v>
      </c>
      <c r="AB1" s="241" t="e">
        <f t="shared" ca="1" si="0"/>
        <v>#REF!</v>
      </c>
      <c r="AC1" s="241" t="e">
        <f t="shared" ca="1" si="0"/>
        <v>#REF!</v>
      </c>
      <c r="AD1" s="241" t="e">
        <f t="shared" ca="1" si="0"/>
        <v>#REF!</v>
      </c>
      <c r="AE1" s="250" t="e">
        <f t="shared" ca="1" si="0"/>
        <v>#REF!</v>
      </c>
      <c r="AF1" s="249" t="e">
        <f t="shared" ref="AF1:AQ1" ca="1" si="1">IF(AND($Q1=2,ACOMPANHAMENTO="BM"),AF2,AF3/$R1)</f>
        <v>#REF!</v>
      </c>
      <c r="AG1" s="241" t="e">
        <f t="shared" ca="1" si="1"/>
        <v>#REF!</v>
      </c>
      <c r="AH1" s="241" t="e">
        <f t="shared" ca="1" si="1"/>
        <v>#REF!</v>
      </c>
      <c r="AI1" s="241" t="e">
        <f t="shared" ca="1" si="1"/>
        <v>#REF!</v>
      </c>
      <c r="AJ1" s="241" t="e">
        <f t="shared" ca="1" si="1"/>
        <v>#REF!</v>
      </c>
      <c r="AK1" s="241" t="e">
        <f t="shared" ca="1" si="1"/>
        <v>#REF!</v>
      </c>
      <c r="AL1" s="241" t="e">
        <f t="shared" ca="1" si="1"/>
        <v>#REF!</v>
      </c>
      <c r="AM1" s="241" t="e">
        <f t="shared" ca="1" si="1"/>
        <v>#REF!</v>
      </c>
      <c r="AN1" s="241" t="e">
        <f t="shared" ca="1" si="1"/>
        <v>#REF!</v>
      </c>
      <c r="AO1" s="241" t="e">
        <f t="shared" ca="1" si="1"/>
        <v>#REF!</v>
      </c>
      <c r="AP1" s="241" t="e">
        <f t="shared" ca="1" si="1"/>
        <v>#REF!</v>
      </c>
      <c r="AQ1" s="250" t="e">
        <f t="shared" ca="1" si="1"/>
        <v>#REF!</v>
      </c>
    </row>
    <row r="2" spans="1:44" ht="12.75" hidden="1" customHeight="1" x14ac:dyDescent="0.25">
      <c r="D2" s="658"/>
      <c r="E2" s="238" t="e">
        <f ca="1">IF(ISERROR(E1),IF(1+COUNTIF($L$13:OFFSET(L1,-1,0),1)&lt;=MAX(QCI!$D$13:$D$24),1+COUNTIF($L$13:OFFSET(L1,-1,0),1),-1),0)</f>
        <v>#REF!</v>
      </c>
      <c r="F2" s="238" t="e">
        <f ca="1">IF(AND($E2&lt;&gt;-1,$R1&gt;0),"F","")</f>
        <v>#REF!</v>
      </c>
      <c r="G2" s="251" t="e">
        <f ca="1">IF(OR(R1=0,R1=""),"vazia",IF(AND(OR(ACOMPANHAMENTO="PLE",$Q1&lt;&gt;2),$E2=0),"calculada","--&gt;"))</f>
        <v>#REF!</v>
      </c>
      <c r="H2" s="252"/>
      <c r="I2" s="253" t="e">
        <f ca="1">IF(AND(G1&lt;&gt;0,ISNUMBER(G1)),"PREENCHA ESTA LINHA --&gt;","")</f>
        <v>#REF!</v>
      </c>
      <c r="J2" s="253"/>
      <c r="K2" s="253"/>
      <c r="L2" s="254"/>
      <c r="M2" s="254"/>
      <c r="N2" s="254"/>
      <c r="O2" s="254"/>
      <c r="P2" s="254"/>
      <c r="Q2" s="254"/>
      <c r="R2" s="255"/>
      <c r="S2" s="256"/>
      <c r="T2" s="659"/>
      <c r="U2" s="658"/>
      <c r="V2" s="658"/>
      <c r="W2" s="658"/>
      <c r="X2" s="658"/>
      <c r="Y2" s="658"/>
      <c r="Z2" s="658"/>
      <c r="AA2" s="658"/>
      <c r="AB2" s="658"/>
      <c r="AC2" s="658"/>
      <c r="AD2" s="658"/>
      <c r="AE2" s="660"/>
      <c r="AF2" s="659"/>
      <c r="AG2" s="658"/>
      <c r="AH2" s="658"/>
      <c r="AI2" s="658"/>
      <c r="AJ2" s="658"/>
      <c r="AK2" s="658"/>
      <c r="AL2" s="658"/>
      <c r="AM2" s="658"/>
      <c r="AN2" s="658"/>
      <c r="AO2" s="658"/>
      <c r="AP2" s="658"/>
      <c r="AQ2" s="660"/>
      <c r="AR2" s="618"/>
    </row>
    <row r="3" spans="1:44" ht="0.15" hidden="1" customHeight="1" x14ac:dyDescent="0.25">
      <c r="D3" s="257" t="e">
        <f ca="1">IF($Q1=2,IF(AND(ACOMPANHAMENTO="PLE",ISNUMBER($E1)),SUMIF((OFFSET(CÁLCULO!$BC$15:$BU$15,$E1,0,OFFSET(ORÇAMENTO!$D$15,CRONO!$E1,0))),"="&amp;CRONO!D$12,OFFSET(CÁLCULO!$AJ$15:$BB$15,$E1,0,OFFSET(ORÇAMENTO!$D$15,CRONO!$E1,0)))+IF(AND($E3&lt;&gt;"",$E3&lt;&gt;0),SUMIF(CÁLCULO!$BC$15:$BU$710,"="&amp;CRONO!D$12,CÁLCULO!$AJ$15:$BB$710)/(ORÇAMENTO!$X$15-CÁLCULO.TotalAdmLocal)*CRONO!$E3,0),D2*$R1),SUMIF(OFFSET($R3,1,0,$Q1-2),($L1+1)&amp;"$",OFFSET(D3,1,0,$Q1-2)))</f>
        <v>#REF!</v>
      </c>
      <c r="E3" s="238" t="e">
        <f ca="1">IF(OR($Q1&lt;&gt;2,AUTOEVENTO&lt;&gt;"manual",$E2&gt;0),"",SUMIF(OFFSET(CÁLCULO!$M$15,CRONO!$E1,0,OFFSET(ORÇAMENTO!$D$15,CRONO!$E1,0)),1,OFFSET(ORÇAMENTO!$X$15,CRONO!$E1,0,OFFSET(ORÇAMENTO!$D$15,CRONO!$E1,0))))</f>
        <v>#REF!</v>
      </c>
      <c r="G3" s="258"/>
      <c r="R3" s="259" t="e">
        <f ca="1">L1&amp;"$"</f>
        <v>#REF!</v>
      </c>
      <c r="S3" s="260"/>
      <c r="T3" s="261" t="e">
        <f ca="1">IF($Q1=2,IF(AND(ACOMPANHAMENTO="PLE",ISNUMBER($E1)),SUMIF((OFFSET(CÁLCULO!$BC$15:$BU$15,$E1,0,OFFSET(ORÇAMENTO!$D$15,CRONO!$E1,0))),"&lt;="&amp;CRONO!T$12,OFFSET(CÁLCULO!$AJ$15:$BB$15,$E1,0,OFFSET(ORÇAMENTO!$D$15,CRONO!$E1,0)))+IF(AND($E3&lt;&gt;"",$E3&lt;&gt;0),SUMIF(CÁLCULO!$BC$15:$BU$710,"&lt;="&amp;CRONO!T$12,CÁLCULO!$AJ$15:$BB$710)/(ORÇAMENTO!$X$15-CÁLCULO.TotalAdmLocal)*CRONO!$E3,0),T2*$R1),SUMIF(OFFSET($R3,1,0,$Q1-2),($L1+1)&amp;"$",OFFSET(T3,1,0,$Q1-2)))</f>
        <v>#REF!</v>
      </c>
      <c r="U3" s="257" t="e">
        <f ca="1">IF($Q1=2,IF(AND(ACOMPANHAMENTO="PLE",ISNUMBER($E1)),SUMIF((OFFSET(CÁLCULO!$BC$15:$BU$15,$E1,0,OFFSET(ORÇAMENTO!$D$15,CRONO!$E1,0))),"="&amp;CRONO!U$12,OFFSET(CÁLCULO!$AJ$15:$BB$15,$E1,0,OFFSET(ORÇAMENTO!$D$15,CRONO!$E1,0)))+IF(AND($E3&lt;&gt;"",$E3&lt;&gt;0),SUMIF(CÁLCULO!$BC$15:$BU$710,"="&amp;CRONO!U$12,CÁLCULO!$AJ$15:$BB$710)/(ORÇAMENTO!$X$15-CÁLCULO.TotalAdmLocal)*CRONO!$E3,0),U2*$R1),SUMIF(OFFSET($R3,1,0,$Q1-2),($L1+1)&amp;"$",OFFSET(U3,1,0,$Q1-2)))</f>
        <v>#REF!</v>
      </c>
      <c r="V3" s="257" t="e">
        <f ca="1">IF($Q1=2,IF(AND(ACOMPANHAMENTO="PLE",ISNUMBER($E1)),SUMIF((OFFSET(CÁLCULO!$BC$15:$BU$15,$E1,0,OFFSET(ORÇAMENTO!$D$15,CRONO!$E1,0))),"="&amp;CRONO!V$12,OFFSET(CÁLCULO!$AJ$15:$BB$15,$E1,0,OFFSET(ORÇAMENTO!$D$15,CRONO!$E1,0)))+IF(AND($E3&lt;&gt;"",$E3&lt;&gt;0),SUMIF(CÁLCULO!$BC$15:$BU$710,"="&amp;CRONO!V$12,CÁLCULO!$AJ$15:$BB$710)/(ORÇAMENTO!$X$15-CÁLCULO.TotalAdmLocal)*CRONO!$E3,0),V2*$R1),SUMIF(OFFSET($R3,1,0,$Q1-2),($L1+1)&amp;"$",OFFSET(V3,1,0,$Q1-2)))</f>
        <v>#REF!</v>
      </c>
      <c r="W3" s="257" t="e">
        <f ca="1">IF($Q1=2,IF(AND(ACOMPANHAMENTO="PLE",ISNUMBER($E1)),SUMIF((OFFSET(CÁLCULO!$BC$15:$BU$15,$E1,0,OFFSET(ORÇAMENTO!$D$15,CRONO!$E1,0))),"="&amp;CRONO!W$12,OFFSET(CÁLCULO!$AJ$15:$BB$15,$E1,0,OFFSET(ORÇAMENTO!$D$15,CRONO!$E1,0)))+IF(AND($E3&lt;&gt;"",$E3&lt;&gt;0),SUMIF(CÁLCULO!$BC$15:$BU$710,"="&amp;CRONO!W$12,CÁLCULO!$AJ$15:$BB$710)/(ORÇAMENTO!$X$15-CÁLCULO.TotalAdmLocal)*CRONO!$E3,0),W2*$R1),SUMIF(OFFSET($R3,1,0,$Q1-2),($L1+1)&amp;"$",OFFSET(W3,1,0,$Q1-2)))</f>
        <v>#REF!</v>
      </c>
      <c r="X3" s="257" t="e">
        <f ca="1">IF($Q1=2,IF(AND(ACOMPANHAMENTO="PLE",ISNUMBER($E1)),SUMIF((OFFSET(CÁLCULO!$BC$15:$BU$15,$E1,0,OFFSET(ORÇAMENTO!$D$15,CRONO!$E1,0))),"="&amp;CRONO!X$12,OFFSET(CÁLCULO!$AJ$15:$BB$15,$E1,0,OFFSET(ORÇAMENTO!$D$15,CRONO!$E1,0)))+IF(AND($E3&lt;&gt;"",$E3&lt;&gt;0),SUMIF(CÁLCULO!$BC$15:$BU$710,"="&amp;CRONO!X$12,CÁLCULO!$AJ$15:$BB$710)/(ORÇAMENTO!$X$15-CÁLCULO.TotalAdmLocal)*CRONO!$E3,0),X2*$R1),SUMIF(OFFSET($R3,1,0,$Q1-2),($L1+1)&amp;"$",OFFSET(X3,1,0,$Q1-2)))</f>
        <v>#REF!</v>
      </c>
      <c r="Y3" s="257" t="e">
        <f ca="1">IF($Q1=2,IF(AND(ACOMPANHAMENTO="PLE",ISNUMBER($E1)),SUMIF((OFFSET(CÁLCULO!$BC$15:$BU$15,$E1,0,OFFSET(ORÇAMENTO!$D$15,CRONO!$E1,0))),"="&amp;CRONO!Y$12,OFFSET(CÁLCULO!$AJ$15:$BB$15,$E1,0,OFFSET(ORÇAMENTO!$D$15,CRONO!$E1,0)))+IF(AND($E3&lt;&gt;"",$E3&lt;&gt;0),SUMIF(CÁLCULO!$BC$15:$BU$710,"="&amp;CRONO!Y$12,CÁLCULO!$AJ$15:$BB$710)/(ORÇAMENTO!$X$15-CÁLCULO.TotalAdmLocal)*CRONO!$E3,0),Y2*$R1),SUMIF(OFFSET($R3,1,0,$Q1-2),($L1+1)&amp;"$",OFFSET(Y3,1,0,$Q1-2)))</f>
        <v>#REF!</v>
      </c>
      <c r="Z3" s="257" t="e">
        <f ca="1">IF($Q1=2,IF(AND(ACOMPANHAMENTO="PLE",ISNUMBER($E1)),SUMIF((OFFSET(CÁLCULO!$BC$15:$BU$15,$E1,0,OFFSET(ORÇAMENTO!$D$15,CRONO!$E1,0))),"="&amp;CRONO!Z$12,OFFSET(CÁLCULO!$AJ$15:$BB$15,$E1,0,OFFSET(ORÇAMENTO!$D$15,CRONO!$E1,0)))+IF(AND($E3&lt;&gt;"",$E3&lt;&gt;0),SUMIF(CÁLCULO!$BC$15:$BU$710,"="&amp;CRONO!Z$12,CÁLCULO!$AJ$15:$BB$710)/(ORÇAMENTO!$X$15-CÁLCULO.TotalAdmLocal)*CRONO!$E3,0),Z2*$R1),SUMIF(OFFSET($R3,1,0,$Q1-2),($L1+1)&amp;"$",OFFSET(Z3,1,0,$Q1-2)))</f>
        <v>#REF!</v>
      </c>
      <c r="AA3" s="257" t="e">
        <f ca="1">IF($Q1=2,IF(AND(ACOMPANHAMENTO="PLE",ISNUMBER($E1)),SUMIF((OFFSET(CÁLCULO!$BC$15:$BU$15,$E1,0,OFFSET(ORÇAMENTO!$D$15,CRONO!$E1,0))),"="&amp;CRONO!AA$12,OFFSET(CÁLCULO!$AJ$15:$BB$15,$E1,0,OFFSET(ORÇAMENTO!$D$15,CRONO!$E1,0)))+IF(AND($E3&lt;&gt;"",$E3&lt;&gt;0),SUMIF(CÁLCULO!$BC$15:$BU$710,"="&amp;CRONO!AA$12,CÁLCULO!$AJ$15:$BB$710)/(ORÇAMENTO!$X$15-CÁLCULO.TotalAdmLocal)*CRONO!$E3,0),AA2*$R1),SUMIF(OFFSET($R3,1,0,$Q1-2),($L1+1)&amp;"$",OFFSET(AA3,1,0,$Q1-2)))</f>
        <v>#REF!</v>
      </c>
      <c r="AB3" s="257" t="e">
        <f ca="1">IF($Q1=2,IF(AND(ACOMPANHAMENTO="PLE",ISNUMBER($E1)),SUMIF((OFFSET(CÁLCULO!$BC$15:$BU$15,$E1,0,OFFSET(ORÇAMENTO!$D$15,CRONO!$E1,0))),"="&amp;CRONO!AB$12,OFFSET(CÁLCULO!$AJ$15:$BB$15,$E1,0,OFFSET(ORÇAMENTO!$D$15,CRONO!$E1,0)))+IF(AND($E3&lt;&gt;"",$E3&lt;&gt;0),SUMIF(CÁLCULO!$BC$15:$BU$710,"="&amp;CRONO!AB$12,CÁLCULO!$AJ$15:$BB$710)/(ORÇAMENTO!$X$15-CÁLCULO.TotalAdmLocal)*CRONO!$E3,0),AB2*$R1),SUMIF(OFFSET($R3,1,0,$Q1-2),($L1+1)&amp;"$",OFFSET(AB3,1,0,$Q1-2)))</f>
        <v>#REF!</v>
      </c>
      <c r="AC3" s="257" t="e">
        <f ca="1">IF($Q1=2,IF(AND(ACOMPANHAMENTO="PLE",ISNUMBER($E1)),SUMIF((OFFSET(CÁLCULO!$BC$15:$BU$15,$E1,0,OFFSET(ORÇAMENTO!$D$15,CRONO!$E1,0))),"="&amp;CRONO!AC$12,OFFSET(CÁLCULO!$AJ$15:$BB$15,$E1,0,OFFSET(ORÇAMENTO!$D$15,CRONO!$E1,0)))+IF(AND($E3&lt;&gt;"",$E3&lt;&gt;0),SUMIF(CÁLCULO!$BC$15:$BU$710,"="&amp;CRONO!AC$12,CÁLCULO!$AJ$15:$BB$710)/(ORÇAMENTO!$X$15-CÁLCULO.TotalAdmLocal)*CRONO!$E3,0),AC2*$R1),SUMIF(OFFSET($R3,1,0,$Q1-2),($L1+1)&amp;"$",OFFSET(AC3,1,0,$Q1-2)))</f>
        <v>#REF!</v>
      </c>
      <c r="AD3" s="257" t="e">
        <f ca="1">IF($Q1=2,IF(AND(ACOMPANHAMENTO="PLE",ISNUMBER($E1)),SUMIF((OFFSET(CÁLCULO!$BC$15:$BU$15,$E1,0,OFFSET(ORÇAMENTO!$D$15,CRONO!$E1,0))),"="&amp;CRONO!AD$12,OFFSET(CÁLCULO!$AJ$15:$BB$15,$E1,0,OFFSET(ORÇAMENTO!$D$15,CRONO!$E1,0)))+IF(AND($E3&lt;&gt;"",$E3&lt;&gt;0),SUMIF(CÁLCULO!$BC$15:$BU$710,"="&amp;CRONO!AD$12,CÁLCULO!$AJ$15:$BB$710)/(ORÇAMENTO!$X$15-CÁLCULO.TotalAdmLocal)*CRONO!$E3,0),AD2*$R1),SUMIF(OFFSET($R3,1,0,$Q1-2),($L1+1)&amp;"$",OFFSET(AD3,1,0,$Q1-2)))</f>
        <v>#REF!</v>
      </c>
      <c r="AE3" s="262" t="e">
        <f ca="1">IF($Q1=2,IF(AND(ACOMPANHAMENTO="PLE",ISNUMBER($E1)),SUMIF((OFFSET(CÁLCULO!$BC$15:$BU$15,$E1,0,OFFSET(ORÇAMENTO!$D$15,CRONO!$E1,0))),"="&amp;CRONO!AE$12,OFFSET(CÁLCULO!$AJ$15:$BB$15,$E1,0,OFFSET(ORÇAMENTO!$D$15,CRONO!$E1,0)))+IF(AND($E3&lt;&gt;"",$E3&lt;&gt;0),SUMIF(CÁLCULO!$BC$15:$BU$710,"="&amp;CRONO!AE$12,CÁLCULO!$AJ$15:$BB$710)/(ORÇAMENTO!$X$15-CÁLCULO.TotalAdmLocal)*CRONO!$E3,0),AE2*$R1),SUMIF(OFFSET($R3,1,0,$Q1-2),($L1+1)&amp;"$",OFFSET(AE3,1,0,$Q1-2)))</f>
        <v>#REF!</v>
      </c>
      <c r="AF3" s="261" t="e">
        <f ca="1">IF($Q1=2,IF(AND(ACOMPANHAMENTO="PLE",ISNUMBER($E1)),SUMIF((OFFSET(CÁLCULO!$BC$15:$BU$15,$E1,0,OFFSET(ORÇAMENTO!$D$15,CRONO!$E1,0))),"&lt;="&amp;CRONO!AF$12,OFFSET(CÁLCULO!$AJ$15:$BB$15,$E1,0,OFFSET(ORÇAMENTO!$D$15,CRONO!$E1,0)))+IF(AND($E3&lt;&gt;"",$E3&lt;&gt;0),SUMIF(CÁLCULO!$BC$15:$BU$710,"&lt;="&amp;CRONO!AF$12,CÁLCULO!$AJ$15:$BB$710)/(ORÇAMENTO!$X$15-CÁLCULO.TotalAdmLocal)*CRONO!$E3,0),AF2*$R1),SUMIF(OFFSET($R3,1,0,$Q1-2),($L1+1)&amp;"$",OFFSET(AF3,1,0,$Q1-2)))</f>
        <v>#REF!</v>
      </c>
      <c r="AG3" s="257" t="e">
        <f ca="1">IF($Q1=2,IF(AND(ACOMPANHAMENTO="PLE",ISNUMBER($E1)),SUMIF((OFFSET(CÁLCULO!$BC$15:$BU$15,$E1,0,OFFSET(ORÇAMENTO!$D$15,CRONO!$E1,0))),"="&amp;CRONO!AG$12,OFFSET(CÁLCULO!$AJ$15:$BB$15,$E1,0,OFFSET(ORÇAMENTO!$D$15,CRONO!$E1,0)))+IF(AND($E3&lt;&gt;"",$E3&lt;&gt;0),SUMIF(CÁLCULO!$BC$15:$BU$710,"="&amp;CRONO!AG$12,CÁLCULO!$AJ$15:$BB$710)/(ORÇAMENTO!$X$15-CÁLCULO.TotalAdmLocal)*CRONO!$E3,0),AG2*$R1),SUMIF(OFFSET($R3,1,0,$Q1-2),($L1+1)&amp;"$",OFFSET(AG3,1,0,$Q1-2)))</f>
        <v>#REF!</v>
      </c>
      <c r="AH3" s="257" t="e">
        <f ca="1">IF($Q1=2,IF(AND(ACOMPANHAMENTO="PLE",ISNUMBER($E1)),SUMIF((OFFSET(CÁLCULO!$BC$15:$BU$15,$E1,0,OFFSET(ORÇAMENTO!$D$15,CRONO!$E1,0))),"="&amp;CRONO!AH$12,OFFSET(CÁLCULO!$AJ$15:$BB$15,$E1,0,OFFSET(ORÇAMENTO!$D$15,CRONO!$E1,0)))+IF(AND($E3&lt;&gt;"",$E3&lt;&gt;0),SUMIF(CÁLCULO!$BC$15:$BU$710,"="&amp;CRONO!AH$12,CÁLCULO!$AJ$15:$BB$710)/(ORÇAMENTO!$X$15-CÁLCULO.TotalAdmLocal)*CRONO!$E3,0),AH2*$R1),SUMIF(OFFSET($R3,1,0,$Q1-2),($L1+1)&amp;"$",OFFSET(AH3,1,0,$Q1-2)))</f>
        <v>#REF!</v>
      </c>
      <c r="AI3" s="257" t="e">
        <f ca="1">IF($Q1=2,IF(AND(ACOMPANHAMENTO="PLE",ISNUMBER($E1)),SUMIF((OFFSET(CÁLCULO!$BC$15:$BU$15,$E1,0,OFFSET(ORÇAMENTO!$D$15,CRONO!$E1,0))),"="&amp;CRONO!AI$12,OFFSET(CÁLCULO!$AJ$15:$BB$15,$E1,0,OFFSET(ORÇAMENTO!$D$15,CRONO!$E1,0)))+IF(AND($E3&lt;&gt;"",$E3&lt;&gt;0),SUMIF(CÁLCULO!$BC$15:$BU$710,"="&amp;CRONO!AI$12,CÁLCULO!$AJ$15:$BB$710)/(ORÇAMENTO!$X$15-CÁLCULO.TotalAdmLocal)*CRONO!$E3,0),AI2*$R1),SUMIF(OFFSET($R3,1,0,$Q1-2),($L1+1)&amp;"$",OFFSET(AI3,1,0,$Q1-2)))</f>
        <v>#REF!</v>
      </c>
      <c r="AJ3" s="257" t="e">
        <f ca="1">IF($Q1=2,IF(AND(ACOMPANHAMENTO="PLE",ISNUMBER($E1)),SUMIF((OFFSET(CÁLCULO!$BC$15:$BU$15,$E1,0,OFFSET(ORÇAMENTO!$D$15,CRONO!$E1,0))),"="&amp;CRONO!AJ$12,OFFSET(CÁLCULO!$AJ$15:$BB$15,$E1,0,OFFSET(ORÇAMENTO!$D$15,CRONO!$E1,0)))+IF(AND($E3&lt;&gt;"",$E3&lt;&gt;0),SUMIF(CÁLCULO!$BC$15:$BU$710,"="&amp;CRONO!AJ$12,CÁLCULO!$AJ$15:$BB$710)/(ORÇAMENTO!$X$15-CÁLCULO.TotalAdmLocal)*CRONO!$E3,0),AJ2*$R1),SUMIF(OFFSET($R3,1,0,$Q1-2),($L1+1)&amp;"$",OFFSET(AJ3,1,0,$Q1-2)))</f>
        <v>#REF!</v>
      </c>
      <c r="AK3" s="257" t="e">
        <f ca="1">IF($Q1=2,IF(AND(ACOMPANHAMENTO="PLE",ISNUMBER($E1)),SUMIF((OFFSET(CÁLCULO!$BC$15:$BU$15,$E1,0,OFFSET(ORÇAMENTO!$D$15,CRONO!$E1,0))),"="&amp;CRONO!AK$12,OFFSET(CÁLCULO!$AJ$15:$BB$15,$E1,0,OFFSET(ORÇAMENTO!$D$15,CRONO!$E1,0)))+IF(AND($E3&lt;&gt;"",$E3&lt;&gt;0),SUMIF(CÁLCULO!$BC$15:$BU$710,"="&amp;CRONO!AK$12,CÁLCULO!$AJ$15:$BB$710)/(ORÇAMENTO!$X$15-CÁLCULO.TotalAdmLocal)*CRONO!$E3,0),AK2*$R1),SUMIF(OFFSET($R3,1,0,$Q1-2),($L1+1)&amp;"$",OFFSET(AK3,1,0,$Q1-2)))</f>
        <v>#REF!</v>
      </c>
      <c r="AL3" s="257" t="e">
        <f ca="1">IF($Q1=2,IF(AND(ACOMPANHAMENTO="PLE",ISNUMBER($E1)),SUMIF((OFFSET(CÁLCULO!$BC$15:$BU$15,$E1,0,OFFSET(ORÇAMENTO!$D$15,CRONO!$E1,0))),"="&amp;CRONO!AL$12,OFFSET(CÁLCULO!$AJ$15:$BB$15,$E1,0,OFFSET(ORÇAMENTO!$D$15,CRONO!$E1,0)))+IF(AND($E3&lt;&gt;"",$E3&lt;&gt;0),SUMIF(CÁLCULO!$BC$15:$BU$710,"="&amp;CRONO!AL$12,CÁLCULO!$AJ$15:$BB$710)/(ORÇAMENTO!$X$15-CÁLCULO.TotalAdmLocal)*CRONO!$E3,0),AL2*$R1),SUMIF(OFFSET($R3,1,0,$Q1-2),($L1+1)&amp;"$",OFFSET(AL3,1,0,$Q1-2)))</f>
        <v>#REF!</v>
      </c>
      <c r="AM3" s="257" t="e">
        <f ca="1">IF($Q1=2,IF(AND(ACOMPANHAMENTO="PLE",ISNUMBER($E1)),SUMIF((OFFSET(CÁLCULO!$BC$15:$BU$15,$E1,0,OFFSET(ORÇAMENTO!$D$15,CRONO!$E1,0))),"="&amp;CRONO!AM$12,OFFSET(CÁLCULO!$AJ$15:$BB$15,$E1,0,OFFSET(ORÇAMENTO!$D$15,CRONO!$E1,0)))+IF(AND($E3&lt;&gt;"",$E3&lt;&gt;0),SUMIF(CÁLCULO!$BC$15:$BU$710,"="&amp;CRONO!AM$12,CÁLCULO!$AJ$15:$BB$710)/(ORÇAMENTO!$X$15-CÁLCULO.TotalAdmLocal)*CRONO!$E3,0),AM2*$R1),SUMIF(OFFSET($R3,1,0,$Q1-2),($L1+1)&amp;"$",OFFSET(AM3,1,0,$Q1-2)))</f>
        <v>#REF!</v>
      </c>
      <c r="AN3" s="257" t="e">
        <f ca="1">IF($Q1=2,IF(AND(ACOMPANHAMENTO="PLE",ISNUMBER($E1)),SUMIF((OFFSET(CÁLCULO!$BC$15:$BU$15,$E1,0,OFFSET(ORÇAMENTO!$D$15,CRONO!$E1,0))),"="&amp;CRONO!AN$12,OFFSET(CÁLCULO!$AJ$15:$BB$15,$E1,0,OFFSET(ORÇAMENTO!$D$15,CRONO!$E1,0)))+IF(AND($E3&lt;&gt;"",$E3&lt;&gt;0),SUMIF(CÁLCULO!$BC$15:$BU$710,"="&amp;CRONO!AN$12,CÁLCULO!$AJ$15:$BB$710)/(ORÇAMENTO!$X$15-CÁLCULO.TotalAdmLocal)*CRONO!$E3,0),AN2*$R1),SUMIF(OFFSET($R3,1,0,$Q1-2),($L1+1)&amp;"$",OFFSET(AN3,1,0,$Q1-2)))</f>
        <v>#REF!</v>
      </c>
      <c r="AO3" s="257" t="e">
        <f ca="1">IF($Q1=2,IF(AND(ACOMPANHAMENTO="PLE",ISNUMBER($E1)),SUMIF((OFFSET(CÁLCULO!$BC$15:$BU$15,$E1,0,OFFSET(ORÇAMENTO!$D$15,CRONO!$E1,0))),"="&amp;CRONO!AO$12,OFFSET(CÁLCULO!$AJ$15:$BB$15,$E1,0,OFFSET(ORÇAMENTO!$D$15,CRONO!$E1,0)))+IF(AND($E3&lt;&gt;"",$E3&lt;&gt;0),SUMIF(CÁLCULO!$BC$15:$BU$710,"="&amp;CRONO!AO$12,CÁLCULO!$AJ$15:$BB$710)/(ORÇAMENTO!$X$15-CÁLCULO.TotalAdmLocal)*CRONO!$E3,0),AO2*$R1),SUMIF(OFFSET($R3,1,0,$Q1-2),($L1+1)&amp;"$",OFFSET(AO3,1,0,$Q1-2)))</f>
        <v>#REF!</v>
      </c>
      <c r="AP3" s="257" t="e">
        <f ca="1">IF($Q1=2,IF(AND(ACOMPANHAMENTO="PLE",ISNUMBER($E1)),SUMIF((OFFSET(CÁLCULO!$BC$15:$BU$15,$E1,0,OFFSET(ORÇAMENTO!$D$15,CRONO!$E1,0))),"="&amp;CRONO!AP$12,OFFSET(CÁLCULO!$AJ$15:$BB$15,$E1,0,OFFSET(ORÇAMENTO!$D$15,CRONO!$E1,0)))+IF(AND($E3&lt;&gt;"",$E3&lt;&gt;0),SUMIF(CÁLCULO!$BC$15:$BU$710,"="&amp;CRONO!AP$12,CÁLCULO!$AJ$15:$BB$710)/(ORÇAMENTO!$X$15-CÁLCULO.TotalAdmLocal)*CRONO!$E3,0),AP2*$R1),SUMIF(OFFSET($R3,1,0,$Q1-2),($L1+1)&amp;"$",OFFSET(AP3,1,0,$Q1-2)))</f>
        <v>#REF!</v>
      </c>
      <c r="AQ3" s="262" t="e">
        <f ca="1">IF($Q1=2,IF(AND(ACOMPANHAMENTO="PLE",ISNUMBER($E1)),SUMIF((OFFSET(CÁLCULO!$BC$15:$BU$15,$E1,0,OFFSET(ORÇAMENTO!$D$15,CRONO!$E1,0))),"="&amp;CRONO!AQ$12,OFFSET(CÁLCULO!$AJ$15:$BB$15,$E1,0,OFFSET(ORÇAMENTO!$D$15,CRONO!$E1,0)))+IF(AND($E3&lt;&gt;"",$E3&lt;&gt;0),SUMIF(CÁLCULO!$BC$15:$BU$710,"="&amp;CRONO!AQ$12,CÁLCULO!$AJ$15:$BB$710)/(ORÇAMENTO!$X$15-CÁLCULO.TotalAdmLocal)*CRONO!$E3,0),AQ2*$R1),SUMIF(OFFSET($R3,1,0,$Q1-2),($L1+1)&amp;"$",OFFSET(AQ3,1,0,$Q1-2)))</f>
        <v>#REF!</v>
      </c>
    </row>
    <row r="4" spans="1:44" ht="15" customHeight="1" x14ac:dyDescent="0.3">
      <c r="R4" s="263" t="str">
        <f>IF(TIPOORCAMENTO="licitado","CRONOGRAMA FÍSICO-FINANCEIRO LICITADO","CRONOGRAMA FÍSICO-FINANCEIRO")</f>
        <v>CRONOGRAMA FÍSICO-FINANCEIRO</v>
      </c>
      <c r="AD4" s="673" t="s">
        <v>141</v>
      </c>
      <c r="AE4" s="673"/>
      <c r="AP4" s="673" t="s">
        <v>141</v>
      </c>
      <c r="AQ4" s="673"/>
    </row>
    <row r="5" spans="1:44" ht="15" x14ac:dyDescent="0.25">
      <c r="R5" s="106" t="str">
        <f>import.recurso</f>
        <v>(SELECIONAR)</v>
      </c>
      <c r="AD5" s="674" t="s">
        <v>144</v>
      </c>
      <c r="AE5" s="674"/>
      <c r="AP5" s="674" t="s">
        <v>144</v>
      </c>
      <c r="AQ5" s="674"/>
    </row>
    <row r="6" spans="1:44" ht="12.75" customHeight="1" x14ac:dyDescent="0.25">
      <c r="D6" s="264"/>
      <c r="H6" s="264"/>
      <c r="I6" s="264"/>
      <c r="J6" s="264"/>
      <c r="K6" s="264"/>
      <c r="L6" s="265"/>
      <c r="M6" s="265"/>
      <c r="N6" s="265"/>
      <c r="O6" s="265"/>
      <c r="P6" s="265"/>
      <c r="Q6" s="265"/>
      <c r="T6" s="264"/>
      <c r="U6" s="264"/>
      <c r="V6" s="264"/>
      <c r="W6" s="264"/>
      <c r="X6" s="264"/>
      <c r="Y6" s="264"/>
      <c r="Z6" s="264"/>
      <c r="AA6" s="264"/>
      <c r="AB6" s="264"/>
      <c r="AC6" s="264"/>
      <c r="AD6" s="264"/>
      <c r="AE6" s="264"/>
      <c r="AF6" s="264"/>
      <c r="AG6" s="264"/>
      <c r="AH6" s="264"/>
      <c r="AI6" s="264"/>
      <c r="AJ6" s="264"/>
      <c r="AK6" s="264"/>
      <c r="AL6" s="264"/>
      <c r="AM6" s="264"/>
      <c r="AN6" s="264"/>
      <c r="AO6" s="264"/>
      <c r="AP6" s="264"/>
      <c r="AQ6" s="264"/>
    </row>
    <row r="7" spans="1:44" ht="12.75" customHeight="1" x14ac:dyDescent="0.25">
      <c r="D7" s="264"/>
      <c r="E7" s="266"/>
      <c r="G7" s="736" t="s">
        <v>273</v>
      </c>
      <c r="H7" s="267" t="s">
        <v>147</v>
      </c>
      <c r="I7" s="268"/>
      <c r="J7" s="269" t="s">
        <v>148</v>
      </c>
      <c r="K7" s="270" t="s">
        <v>274</v>
      </c>
      <c r="L7" s="264"/>
      <c r="M7" s="264"/>
      <c r="N7" s="264"/>
      <c r="O7" s="265"/>
      <c r="P7" s="265"/>
      <c r="Q7" s="265"/>
      <c r="S7" s="271"/>
      <c r="T7" s="267" t="s">
        <v>275</v>
      </c>
      <c r="U7" s="264"/>
      <c r="V7" s="264"/>
      <c r="W7" s="264"/>
      <c r="X7" s="268"/>
      <c r="Y7" s="267" t="str">
        <f>IF(TIPOORCAMENTO="Licitado","NOME DA EMPRESA","DESCRIÇÃO DO LOTE")</f>
        <v>DESCRIÇÃO DO LOTE</v>
      </c>
      <c r="Z7" s="264"/>
      <c r="AA7" s="264"/>
      <c r="AB7" s="264"/>
      <c r="AC7" s="264"/>
      <c r="AD7" s="264"/>
      <c r="AE7" s="272" t="str">
        <f>IF(TIPOORCAMENTO="Licitado","Nº CTEF","")</f>
        <v/>
      </c>
      <c r="AF7" s="267" t="s">
        <v>275</v>
      </c>
      <c r="AG7" s="264"/>
      <c r="AH7" s="264"/>
      <c r="AI7" s="264"/>
      <c r="AJ7" s="268"/>
      <c r="AK7" s="267" t="str">
        <f>IF(TIPOORCAMENTO="Licitado","NOME DA EMPRESA","DESCRIÇÃO DO LOTE")</f>
        <v>DESCRIÇÃO DO LOTE</v>
      </c>
      <c r="AL7" s="264"/>
      <c r="AM7" s="264"/>
      <c r="AN7" s="264"/>
      <c r="AO7" s="264"/>
      <c r="AP7" s="264"/>
      <c r="AQ7" s="272" t="str">
        <f>IF(TIPOORCAMENTO="Licitado","Nº CTEF","")</f>
        <v/>
      </c>
    </row>
    <row r="8" spans="1:44" ht="13.8" x14ac:dyDescent="0.3">
      <c r="D8" s="238"/>
      <c r="E8" s="143"/>
      <c r="F8" s="701" t="s">
        <v>211</v>
      </c>
      <c r="G8" s="736"/>
      <c r="H8" s="733">
        <f>Import.CR</f>
        <v>0</v>
      </c>
      <c r="I8" s="733"/>
      <c r="J8" s="273">
        <f>Import.SICONV</f>
        <v>0</v>
      </c>
      <c r="K8" s="732" t="str">
        <f>Import.Proponente</f>
        <v>PREFEITURA DO MUNICÍPIO DE LAGUNA</v>
      </c>
      <c r="L8" s="732"/>
      <c r="M8" s="732"/>
      <c r="N8" s="732"/>
      <c r="O8" s="732"/>
      <c r="P8" s="732"/>
      <c r="Q8" s="732"/>
      <c r="R8" s="732"/>
      <c r="S8" s="732"/>
      <c r="T8" s="733" t="str">
        <f>Import.Apelido</f>
        <v xml:space="preserve">ESCOLA BILÍNGUE (PADRÃO FNDE - 5 SALAS)     </v>
      </c>
      <c r="U8" s="733"/>
      <c r="V8" s="733"/>
      <c r="W8" s="733"/>
      <c r="X8" s="733"/>
      <c r="Y8" s="731" t="str">
        <f>IF(TIPOORCAMENTO="Licitado",Import.empresa,Import.DescLote)</f>
        <v xml:space="preserve">ESCOLA BILÍNGUE (PADRÃO FNDE - 5 SALAS)     </v>
      </c>
      <c r="Z8" s="731"/>
      <c r="AA8" s="731"/>
      <c r="AB8" s="731"/>
      <c r="AC8" s="731"/>
      <c r="AD8" s="731"/>
      <c r="AE8" s="274" t="str">
        <f>IF(TIPOORCAMENTO="Licitado",Import.CTEF,"")</f>
        <v/>
      </c>
      <c r="AF8" s="733" t="str">
        <f>Import.Apelido</f>
        <v xml:space="preserve">ESCOLA BILÍNGUE (PADRÃO FNDE - 5 SALAS)     </v>
      </c>
      <c r="AG8" s="733"/>
      <c r="AH8" s="733"/>
      <c r="AI8" s="733"/>
      <c r="AJ8" s="733"/>
      <c r="AK8" s="731" t="str">
        <f>IF(TIPOORCAMENTO="Licitado",Import.empresa,Import.DescLote)</f>
        <v xml:space="preserve">ESCOLA BILÍNGUE (PADRÃO FNDE - 5 SALAS)     </v>
      </c>
      <c r="AL8" s="731"/>
      <c r="AM8" s="731"/>
      <c r="AN8" s="731"/>
      <c r="AO8" s="731"/>
      <c r="AP8" s="731"/>
      <c r="AQ8" s="274" t="str">
        <f>IF(TIPOORCAMENTO="Licitado",Import.CTEF,"")</f>
        <v/>
      </c>
    </row>
    <row r="9" spans="1:44" ht="13.8" x14ac:dyDescent="0.3">
      <c r="E9" s="143"/>
      <c r="F9" s="701"/>
      <c r="G9" s="736"/>
    </row>
    <row r="10" spans="1:44" x14ac:dyDescent="0.25">
      <c r="E10" s="266"/>
      <c r="F10" s="701"/>
      <c r="G10" s="275">
        <v>2</v>
      </c>
      <c r="J10" s="734" t="str">
        <f ca="1">IF(MAX($A$13:$A$98)&lt;CRONO.LinhasNecessarias,"ERRO: NÚMERO DE LINHAS DO CRONOGRAMA INSUFICIENTE. CLIQUE EM ATUALIZAR LINHAS.",IF(AND(ACOMPANHAMENTO="PLE",ROUND(OFFSET($AR$108,0,-1),2)=0),"CRONOGRAMA DEVE SER PREENCHIDO POR EVENTOS",IF(ROUND(OFFSET($AR$108,0,-1),2)&lt;&gt;$Q$99,"ERRO: CRONOGRAMA NÃO FECHA 100%","")))</f>
        <v/>
      </c>
      <c r="K10" s="734"/>
      <c r="L10" s="734"/>
      <c r="M10" s="734"/>
      <c r="N10" s="734"/>
      <c r="O10" s="734"/>
      <c r="P10" s="734"/>
      <c r="Q10" s="734"/>
      <c r="R10" s="734"/>
      <c r="S10" s="734"/>
    </row>
    <row r="11" spans="1:44" ht="12.75" customHeight="1" x14ac:dyDescent="0.25">
      <c r="F11" s="701"/>
      <c r="H11" s="276"/>
      <c r="I11" s="276"/>
      <c r="J11" s="734"/>
      <c r="K11" s="734"/>
      <c r="L11" s="734"/>
      <c r="M11" s="734"/>
      <c r="N11" s="734"/>
      <c r="O11" s="734"/>
      <c r="P11" s="734"/>
      <c r="Q11" s="734"/>
      <c r="R11" s="734"/>
      <c r="S11" s="734"/>
    </row>
    <row r="12" spans="1:44" ht="12.75" customHeight="1" x14ac:dyDescent="0.25">
      <c r="D12" s="277">
        <f ca="1">OFFSET(D12,0,-1)+1</f>
        <v>1</v>
      </c>
      <c r="F12" s="135" t="s">
        <v>219</v>
      </c>
      <c r="G12" s="730" t="s">
        <v>276</v>
      </c>
      <c r="H12" s="726" t="s">
        <v>233</v>
      </c>
      <c r="I12" s="728" t="s">
        <v>236</v>
      </c>
      <c r="J12" s="278"/>
      <c r="K12" s="278"/>
      <c r="L12" s="279"/>
      <c r="M12" s="279"/>
      <c r="N12" s="279"/>
      <c r="O12" s="279"/>
      <c r="P12" s="279"/>
      <c r="Q12" s="279"/>
      <c r="R12" s="727" t="s">
        <v>277</v>
      </c>
      <c r="S12" s="735" t="s">
        <v>278</v>
      </c>
      <c r="T12" s="280">
        <v>1</v>
      </c>
      <c r="U12" s="277">
        <f ca="1">OFFSET(U12,0,-1)+1</f>
        <v>2</v>
      </c>
      <c r="V12" s="277">
        <f t="shared" ref="V12:AQ12" ca="1" si="2">OFFSET(V12,0,-1)+1</f>
        <v>3</v>
      </c>
      <c r="W12" s="277">
        <f t="shared" ca="1" si="2"/>
        <v>4</v>
      </c>
      <c r="X12" s="277">
        <f t="shared" ca="1" si="2"/>
        <v>5</v>
      </c>
      <c r="Y12" s="277">
        <f t="shared" ca="1" si="2"/>
        <v>6</v>
      </c>
      <c r="Z12" s="277">
        <f t="shared" ca="1" si="2"/>
        <v>7</v>
      </c>
      <c r="AA12" s="277">
        <f t="shared" ca="1" si="2"/>
        <v>8</v>
      </c>
      <c r="AB12" s="277">
        <f t="shared" ca="1" si="2"/>
        <v>9</v>
      </c>
      <c r="AC12" s="277">
        <f t="shared" ca="1" si="2"/>
        <v>10</v>
      </c>
      <c r="AD12" s="277">
        <f t="shared" ca="1" si="2"/>
        <v>11</v>
      </c>
      <c r="AE12" s="281">
        <f t="shared" ca="1" si="2"/>
        <v>12</v>
      </c>
      <c r="AF12" s="280">
        <f t="shared" ca="1" si="2"/>
        <v>13</v>
      </c>
      <c r="AG12" s="277">
        <f t="shared" ca="1" si="2"/>
        <v>14</v>
      </c>
      <c r="AH12" s="277">
        <f t="shared" ca="1" si="2"/>
        <v>15</v>
      </c>
      <c r="AI12" s="277">
        <f t="shared" ca="1" si="2"/>
        <v>16</v>
      </c>
      <c r="AJ12" s="277">
        <f t="shared" ca="1" si="2"/>
        <v>17</v>
      </c>
      <c r="AK12" s="277">
        <f t="shared" ca="1" si="2"/>
        <v>18</v>
      </c>
      <c r="AL12" s="277">
        <f t="shared" ca="1" si="2"/>
        <v>19</v>
      </c>
      <c r="AM12" s="277">
        <f t="shared" ca="1" si="2"/>
        <v>20</v>
      </c>
      <c r="AN12" s="277">
        <f t="shared" ca="1" si="2"/>
        <v>21</v>
      </c>
      <c r="AO12" s="277">
        <f t="shared" ca="1" si="2"/>
        <v>22</v>
      </c>
      <c r="AP12" s="277">
        <f t="shared" ca="1" si="2"/>
        <v>23</v>
      </c>
      <c r="AQ12" s="281">
        <f t="shared" ca="1" si="2"/>
        <v>24</v>
      </c>
    </row>
    <row r="13" spans="1:44" ht="24.9" customHeight="1" x14ac:dyDescent="0.25">
      <c r="A13" s="282" t="s">
        <v>279</v>
      </c>
      <c r="B13" s="282" t="s">
        <v>171</v>
      </c>
      <c r="C13" s="282" t="s">
        <v>280</v>
      </c>
      <c r="D13" s="283" t="e">
        <f ca="1">OFFSET(D13,0,-1)+41-DAY(OFFSET(D13,0,-1)+40)</f>
        <v>#VALUE!</v>
      </c>
      <c r="E13" s="282" t="s">
        <v>281</v>
      </c>
      <c r="G13" s="730"/>
      <c r="H13" s="726"/>
      <c r="I13" s="728"/>
      <c r="J13" s="284"/>
      <c r="K13" s="284"/>
      <c r="L13" s="285" t="s">
        <v>231</v>
      </c>
      <c r="M13" s="285">
        <v>1</v>
      </c>
      <c r="N13" s="285">
        <v>2</v>
      </c>
      <c r="O13" s="285">
        <v>3</v>
      </c>
      <c r="P13" s="285">
        <v>4</v>
      </c>
      <c r="Q13" s="286" t="s">
        <v>282</v>
      </c>
      <c r="R13" s="727"/>
      <c r="S13" s="735"/>
      <c r="T13" s="287">
        <v>45566</v>
      </c>
      <c r="U13" s="283">
        <f ca="1">OFFSET(U13,0,-1)+41-DAY(OFFSET(U13,0,-1)+40)</f>
        <v>45597</v>
      </c>
      <c r="V13" s="283">
        <f ca="1">OFFSET(V13,0,-1)+41-DAY(OFFSET(V13,0,-1)+40)</f>
        <v>45627</v>
      </c>
      <c r="W13" s="283">
        <f t="shared" ref="W13:AQ13" ca="1" si="3">OFFSET(W13,0,-1)+41-DAY(OFFSET(W13,0,-1)+40)</f>
        <v>45658</v>
      </c>
      <c r="X13" s="283">
        <f t="shared" ca="1" si="3"/>
        <v>45689</v>
      </c>
      <c r="Y13" s="283">
        <f t="shared" ca="1" si="3"/>
        <v>45717</v>
      </c>
      <c r="Z13" s="283">
        <f t="shared" ca="1" si="3"/>
        <v>45748</v>
      </c>
      <c r="AA13" s="283">
        <f t="shared" ca="1" si="3"/>
        <v>45778</v>
      </c>
      <c r="AB13" s="283">
        <f t="shared" ca="1" si="3"/>
        <v>45809</v>
      </c>
      <c r="AC13" s="283">
        <f t="shared" ca="1" si="3"/>
        <v>45839</v>
      </c>
      <c r="AD13" s="283">
        <f t="shared" ca="1" si="3"/>
        <v>45870</v>
      </c>
      <c r="AE13" s="288">
        <f t="shared" ca="1" si="3"/>
        <v>45901</v>
      </c>
      <c r="AF13" s="287">
        <f t="shared" ca="1" si="3"/>
        <v>45931</v>
      </c>
      <c r="AG13" s="283">
        <f t="shared" ca="1" si="3"/>
        <v>45962</v>
      </c>
      <c r="AH13" s="283">
        <f t="shared" ca="1" si="3"/>
        <v>45992</v>
      </c>
      <c r="AI13" s="283">
        <f t="shared" ca="1" si="3"/>
        <v>46023</v>
      </c>
      <c r="AJ13" s="283">
        <f t="shared" ca="1" si="3"/>
        <v>46054</v>
      </c>
      <c r="AK13" s="283">
        <f t="shared" ca="1" si="3"/>
        <v>46082</v>
      </c>
      <c r="AL13" s="283">
        <f t="shared" ca="1" si="3"/>
        <v>46113</v>
      </c>
      <c r="AM13" s="283">
        <f t="shared" ca="1" si="3"/>
        <v>46143</v>
      </c>
      <c r="AN13" s="283">
        <f t="shared" ca="1" si="3"/>
        <v>46174</v>
      </c>
      <c r="AO13" s="283">
        <f t="shared" ca="1" si="3"/>
        <v>46204</v>
      </c>
      <c r="AP13" s="283">
        <f t="shared" ca="1" si="3"/>
        <v>46235</v>
      </c>
      <c r="AQ13" s="288">
        <f t="shared" ca="1" si="3"/>
        <v>46266</v>
      </c>
    </row>
    <row r="14" spans="1:44" x14ac:dyDescent="0.25">
      <c r="A14" s="238">
        <f ca="1">OFFSET(A14,-3,0)+1</f>
        <v>1</v>
      </c>
      <c r="B14" s="238">
        <f ca="1">IF($Q14&lt;&gt;2,0,IF($R14=0,1,IF(E15&gt;0,OFFSET(QCI!$M$13,SUBSTITUTE(E15,".",""),0),OFFSET(ORÇAMENTO!$AA$15,CRONO!$E14,0))/$R14))</f>
        <v>0</v>
      </c>
      <c r="C14" s="238">
        <f ca="1">IF($Q14&lt;&gt;2,0,IF($R14=0,1,IF(E15&gt;0,OFFSET(QCI!$N$13,SUBSTITUTE(E15,".",""),0),OFFSET(ORÇAMENTO!$AB$15,CRONO!$E14,0))/$R14))</f>
        <v>0</v>
      </c>
      <c r="D14" s="241" t="e">
        <f ca="1">IF(AND($Q14=2,ACOMPANHAMENTO="BM"),D15,D16/$R14)</f>
        <v>#DIV/0!</v>
      </c>
      <c r="E14" s="238">
        <f ca="1">IF(A14&lt;=ORÇAMENTO.MáximoListaCrono,MATCH(A14,ORÇAMENTO.ListaCrono,0),NA())</f>
        <v>1</v>
      </c>
      <c r="F14" s="238" t="str">
        <f ca="1">IF(AND($E15&lt;&gt;-1,$R14&gt;0),"F","")</f>
        <v/>
      </c>
      <c r="G14" s="242" t="str">
        <f ca="1">IF(OR(R14=0,R14=""),"Linha",IF(AND(OR(ACOMPANHAMENTO="PLE",$Q14&lt;&gt;2),$E15=0),"Linha",1-SUM(T14:AR14)))</f>
        <v>Linha</v>
      </c>
      <c r="H14" s="243" t="str">
        <f ca="1">IF($E15=0,OFFSET(ORÇAMENTO!O$15,$E14,0),IF($E15&lt;&gt;-1,OFFSET(QCI!$D$13,$E15,0),""))</f>
        <v>1.</v>
      </c>
      <c r="I14" s="244" t="str">
        <f ca="1">IF($E15=0,OFFSET(ORÇAMENTO!R$15,$E14,0),IF($E15&lt;&gt;-1,OFFSET(QCI!$G$13,$E15,0),""))</f>
        <v>PLANILHA ORÇAMENTÁRIA - FNDE</v>
      </c>
      <c r="J14" s="244"/>
      <c r="K14" s="244"/>
      <c r="L14" s="245">
        <f ca="1">IF($E15=0,OFFSET(ORÇAMENTO!C$15,$E14,0),1)</f>
        <v>1</v>
      </c>
      <c r="M14" s="246">
        <f ca="1">IF($E15=-1,0,IF(M$13&lt;=$L14,IF(ISERROR(MATCH(M$13,OFFSET($L14,1,0,ROW($L$98)-ROW($L14)-1),0)),ROW($L$98)-ROW($L14)-1,MATCH(M$13,OFFSET($L14,1,0,ROW($L$98)-ROW($L14)-1),0)-1),0))</f>
        <v>74</v>
      </c>
      <c r="N14" s="246">
        <f ca="1">IF($E15=-1,0,IF(N$13&lt;=$L14,IF(ISERROR(MATCH(N$13,OFFSET($L14,1,0,ROW($L$98)-ROW($L14)-1),0)),ROW($L$98)-ROW($L14)-1,MATCH(N$13,OFFSET($L14,1,0,ROW($L$98)-ROW($L14)-1),0)-1),0))</f>
        <v>0</v>
      </c>
      <c r="O14" s="246">
        <f ca="1">IF($E15=-1,0,IF(O$13&lt;=$L14,IF(ISERROR(MATCH(O$13,OFFSET($L14,1,0,ROW($L$98)-ROW($L14)-1),0)),ROW($L$98)-ROW($L14)-1,MATCH(O$13,OFFSET($L14,1,0,ROW($L$98)-ROW($L14)-1),0)-1),0))</f>
        <v>0</v>
      </c>
      <c r="P14" s="246">
        <f ca="1">IF($E15=-1,0,IF(P$13&lt;=$L14,IF(ISERROR(MATCH(P$13,OFFSET($L14,1,0,ROW($L$98)-ROW($L14)-1),0)),ROW($L$98)-ROW($L14)-1,MATCH(P$13,OFFSET($L14,1,0,ROW($L$98)-ROW($L14)-1),0)-1),0))</f>
        <v>0</v>
      </c>
      <c r="Q14" s="246">
        <f ca="1">MIN(OFFSET(L14,0,1,,L14))</f>
        <v>74</v>
      </c>
      <c r="R14" s="247">
        <f ca="1">IF($E15=0,OFFSET(ORÇAMENTO!X$15,$E14,0),IF($E15&lt;&gt;-1,OFFSET(QCI!$O$13,$E15,0),""))</f>
        <v>0</v>
      </c>
      <c r="S14" s="248" t="s">
        <v>272</v>
      </c>
      <c r="T14" s="249" t="e">
        <f t="shared" ref="T14:AQ14" ca="1" si="4">IF(AND($Q14=2,ACOMPANHAMENTO="BM"),T15,T16/$R14)</f>
        <v>#DIV/0!</v>
      </c>
      <c r="U14" s="241" t="e">
        <f t="shared" ca="1" si="4"/>
        <v>#DIV/0!</v>
      </c>
      <c r="V14" s="241" t="e">
        <f t="shared" ca="1" si="4"/>
        <v>#DIV/0!</v>
      </c>
      <c r="W14" s="241" t="e">
        <f t="shared" ca="1" si="4"/>
        <v>#DIV/0!</v>
      </c>
      <c r="X14" s="241" t="e">
        <f t="shared" ca="1" si="4"/>
        <v>#DIV/0!</v>
      </c>
      <c r="Y14" s="241" t="e">
        <f t="shared" ca="1" si="4"/>
        <v>#DIV/0!</v>
      </c>
      <c r="Z14" s="241" t="e">
        <f t="shared" ca="1" si="4"/>
        <v>#DIV/0!</v>
      </c>
      <c r="AA14" s="241" t="e">
        <f t="shared" ca="1" si="4"/>
        <v>#DIV/0!</v>
      </c>
      <c r="AB14" s="241" t="e">
        <f t="shared" ca="1" si="4"/>
        <v>#DIV/0!</v>
      </c>
      <c r="AC14" s="241" t="e">
        <f t="shared" ca="1" si="4"/>
        <v>#DIV/0!</v>
      </c>
      <c r="AD14" s="241" t="e">
        <f t="shared" ca="1" si="4"/>
        <v>#DIV/0!</v>
      </c>
      <c r="AE14" s="250" t="e">
        <f t="shared" ca="1" si="4"/>
        <v>#DIV/0!</v>
      </c>
      <c r="AF14" s="249" t="e">
        <f t="shared" ca="1" si="4"/>
        <v>#DIV/0!</v>
      </c>
      <c r="AG14" s="241" t="e">
        <f t="shared" ca="1" si="4"/>
        <v>#DIV/0!</v>
      </c>
      <c r="AH14" s="241" t="e">
        <f t="shared" ca="1" si="4"/>
        <v>#DIV/0!</v>
      </c>
      <c r="AI14" s="241" t="e">
        <f t="shared" ca="1" si="4"/>
        <v>#DIV/0!</v>
      </c>
      <c r="AJ14" s="241" t="e">
        <f t="shared" ca="1" si="4"/>
        <v>#DIV/0!</v>
      </c>
      <c r="AK14" s="241" t="e">
        <f t="shared" ca="1" si="4"/>
        <v>#DIV/0!</v>
      </c>
      <c r="AL14" s="241" t="e">
        <f t="shared" ca="1" si="4"/>
        <v>#DIV/0!</v>
      </c>
      <c r="AM14" s="241" t="e">
        <f t="shared" ca="1" si="4"/>
        <v>#DIV/0!</v>
      </c>
      <c r="AN14" s="241" t="e">
        <f t="shared" ca="1" si="4"/>
        <v>#DIV/0!</v>
      </c>
      <c r="AO14" s="241" t="e">
        <f t="shared" ca="1" si="4"/>
        <v>#DIV/0!</v>
      </c>
      <c r="AP14" s="241" t="e">
        <f t="shared" ca="1" si="4"/>
        <v>#DIV/0!</v>
      </c>
      <c r="AQ14" s="250" t="e">
        <f t="shared" ca="1" si="4"/>
        <v>#DIV/0!</v>
      </c>
    </row>
    <row r="15" spans="1:44" ht="12.75" customHeight="1" x14ac:dyDescent="0.25">
      <c r="D15" s="658"/>
      <c r="E15" s="238">
        <f ca="1">IF(ISERROR(E14),IF(1+COUNTIF($L$13:OFFSET(L14,-1,0),1)&lt;=MAX(QCI!$D$13:$D$24),1+COUNTIF($L$13:OFFSET(L14,-1,0),1),-1),0)</f>
        <v>0</v>
      </c>
      <c r="F15" s="238" t="str">
        <f ca="1">IF(AND($E15&lt;&gt;-1,$R14&gt;0),"F","")</f>
        <v/>
      </c>
      <c r="G15" s="251" t="str">
        <f ca="1">IF(OR(R14=0,R14=""),"vazia",IF(AND(OR(ACOMPANHAMENTO="PLE",$Q14&lt;&gt;2),$E15=0),"calculada","--&gt;"))</f>
        <v>vazia</v>
      </c>
      <c r="H15" s="252"/>
      <c r="I15" s="253" t="str">
        <f ca="1">IF(AND(G14&lt;&gt;0,ISNUMBER(G14)),"PREENCHA ESTA LINHA --&gt;","")</f>
        <v/>
      </c>
      <c r="J15" s="253"/>
      <c r="K15" s="253"/>
      <c r="L15" s="254"/>
      <c r="M15" s="254"/>
      <c r="N15" s="254"/>
      <c r="O15" s="254"/>
      <c r="P15" s="254"/>
      <c r="Q15" s="254"/>
      <c r="R15" s="255"/>
      <c r="S15" s="256"/>
      <c r="T15" s="659"/>
      <c r="U15" s="658"/>
      <c r="V15" s="658"/>
      <c r="W15" s="658"/>
      <c r="X15" s="658"/>
      <c r="Y15" s="658"/>
      <c r="Z15" s="658"/>
      <c r="AA15" s="658"/>
      <c r="AB15" s="658"/>
      <c r="AC15" s="658"/>
      <c r="AD15" s="658"/>
      <c r="AE15" s="660"/>
      <c r="AF15" s="659"/>
      <c r="AG15" s="658"/>
      <c r="AH15" s="658"/>
      <c r="AI15" s="658"/>
      <c r="AJ15" s="658"/>
      <c r="AK15" s="658"/>
      <c r="AL15" s="658"/>
      <c r="AM15" s="658"/>
      <c r="AN15" s="658"/>
      <c r="AO15" s="658"/>
      <c r="AP15" s="658"/>
      <c r="AQ15" s="660"/>
      <c r="AR15" s="618"/>
    </row>
    <row r="16" spans="1:44" ht="0.15" hidden="1" customHeight="1" x14ac:dyDescent="0.25">
      <c r="D16" s="257">
        <f ca="1">IF($Q14=2,IF(AND(ACOMPANHAMENTO="PLE",ISNUMBER($E14)),SUMIF((OFFSET(CÁLCULO!$BC$15:$BU$15,$E14,0,OFFSET(ORÇAMENTO!$D$15,CRONO!$E14,0))),"="&amp;CRONO!D$12,OFFSET(CÁLCULO!$AJ$15:$BB$15,$E14,0,OFFSET(ORÇAMENTO!$D$15,CRONO!$E14,0)))+IF(AND($E16&lt;&gt;"",$E16&lt;&gt;0),SUMIF(CÁLCULO!$BC$15:$BU$710,"="&amp;CRONO!D$12,CÁLCULO!$AJ$15:$BB$710)/(ORÇAMENTO!$X$15-CÁLCULO.TotalAdmLocal)*CRONO!$E16,0),D15*$R14),SUMIF(OFFSET($R16,1,0,$Q14-2),($L14+1)&amp;"$",OFFSET(D16,1,0,$Q14-2)))</f>
        <v>0</v>
      </c>
      <c r="E16" s="238" t="str">
        <f ca="1">IF(OR($Q14&lt;&gt;2,AUTOEVENTO&lt;&gt;"manual",$E15&gt;0),"",SUMIF(OFFSET(CÁLCULO!$M$15,CRONO!$E14,0,OFFSET(ORÇAMENTO!$D$15,CRONO!$E14,0)),1,OFFSET(ORÇAMENTO!$X$15,CRONO!$E14,0,OFFSET(ORÇAMENTO!$D$15,CRONO!$E14,0))))</f>
        <v/>
      </c>
      <c r="G16" s="258"/>
      <c r="R16" s="259" t="str">
        <f ca="1">L14&amp;"$"</f>
        <v>1$</v>
      </c>
      <c r="S16" s="260"/>
      <c r="T16" s="261">
        <f ca="1">IF($Q14=2,IF(AND(ACOMPANHAMENTO="PLE",ISNUMBER($E14)),SUMIF((OFFSET(CÁLCULO!$BC$15:$BU$15,$E14,0,OFFSET(ORÇAMENTO!$D$15,CRONO!$E14,0))),"&lt;="&amp;CRONO!T$12,OFFSET(CÁLCULO!$AJ$15:$BB$15,$E14,0,OFFSET(ORÇAMENTO!$D$15,CRONO!$E14,0)))+IF(AND($E16&lt;&gt;"",$E16&lt;&gt;0),SUMIF(CÁLCULO!$BC$15:$BU$710,"&lt;="&amp;CRONO!T$12,CÁLCULO!$AJ$15:$BB$710)/(ORÇAMENTO!$X$15-CÁLCULO.TotalAdmLocal)*CRONO!$E16,0),T15*$R14),SUMIF(OFFSET($R16,1,0,$Q14-2),($L14+1)&amp;"$",OFFSET(T16,1,0,$Q14-2)))</f>
        <v>0</v>
      </c>
      <c r="U16" s="257">
        <f ca="1">IF($Q14=2,IF(AND(ACOMPANHAMENTO="PLE",ISNUMBER($E14)),SUMIF((OFFSET(CÁLCULO!$BC$15:$BU$15,$E14,0,OFFSET(ORÇAMENTO!$D$15,CRONO!$E14,0))),"="&amp;CRONO!U$12,OFFSET(CÁLCULO!$AJ$15:$BB$15,$E14,0,OFFSET(ORÇAMENTO!$D$15,CRONO!$E14,0)))+IF(AND($E16&lt;&gt;"",$E16&lt;&gt;0),SUMIF(CÁLCULO!$BC$15:$BU$710,"="&amp;CRONO!U$12,CÁLCULO!$AJ$15:$BB$710)/(ORÇAMENTO!$X$15-CÁLCULO.TotalAdmLocal)*CRONO!$E16,0),U15*$R14),SUMIF(OFFSET($R16,1,0,$Q14-2),($L14+1)&amp;"$",OFFSET(U16,1,0,$Q14-2)))</f>
        <v>0</v>
      </c>
      <c r="V16" s="257">
        <f ca="1">IF($Q14=2,IF(AND(ACOMPANHAMENTO="PLE",ISNUMBER($E14)),SUMIF((OFFSET(CÁLCULO!$BC$15:$BU$15,$E14,0,OFFSET(ORÇAMENTO!$D$15,CRONO!$E14,0))),"="&amp;CRONO!V$12,OFFSET(CÁLCULO!$AJ$15:$BB$15,$E14,0,OFFSET(ORÇAMENTO!$D$15,CRONO!$E14,0)))+IF(AND($E16&lt;&gt;"",$E16&lt;&gt;0),SUMIF(CÁLCULO!$BC$15:$BU$710,"="&amp;CRONO!V$12,CÁLCULO!$AJ$15:$BB$710)/(ORÇAMENTO!$X$15-CÁLCULO.TotalAdmLocal)*CRONO!$E16,0),V15*$R14),SUMIF(OFFSET($R16,1,0,$Q14-2),($L14+1)&amp;"$",OFFSET(V16,1,0,$Q14-2)))</f>
        <v>0</v>
      </c>
      <c r="W16" s="257">
        <f ca="1">IF($Q14=2,IF(AND(ACOMPANHAMENTO="PLE",ISNUMBER($E14)),SUMIF((OFFSET(CÁLCULO!$BC$15:$BU$15,$E14,0,OFFSET(ORÇAMENTO!$D$15,CRONO!$E14,0))),"="&amp;CRONO!W$12,OFFSET(CÁLCULO!$AJ$15:$BB$15,$E14,0,OFFSET(ORÇAMENTO!$D$15,CRONO!$E14,0)))+IF(AND($E16&lt;&gt;"",$E16&lt;&gt;0),SUMIF(CÁLCULO!$BC$15:$BU$710,"="&amp;CRONO!W$12,CÁLCULO!$AJ$15:$BB$710)/(ORÇAMENTO!$X$15-CÁLCULO.TotalAdmLocal)*CRONO!$E16,0),W15*$R14),SUMIF(OFFSET($R16,1,0,$Q14-2),($L14+1)&amp;"$",OFFSET(W16,1,0,$Q14-2)))</f>
        <v>0</v>
      </c>
      <c r="X16" s="257">
        <f ca="1">IF($Q14=2,IF(AND(ACOMPANHAMENTO="PLE",ISNUMBER($E14)),SUMIF((OFFSET(CÁLCULO!$BC$15:$BU$15,$E14,0,OFFSET(ORÇAMENTO!$D$15,CRONO!$E14,0))),"="&amp;CRONO!X$12,OFFSET(CÁLCULO!$AJ$15:$BB$15,$E14,0,OFFSET(ORÇAMENTO!$D$15,CRONO!$E14,0)))+IF(AND($E16&lt;&gt;"",$E16&lt;&gt;0),SUMIF(CÁLCULO!$BC$15:$BU$710,"="&amp;CRONO!X$12,CÁLCULO!$AJ$15:$BB$710)/(ORÇAMENTO!$X$15-CÁLCULO.TotalAdmLocal)*CRONO!$E16,0),X15*$R14),SUMIF(OFFSET($R16,1,0,$Q14-2),($L14+1)&amp;"$",OFFSET(X16,1,0,$Q14-2)))</f>
        <v>0</v>
      </c>
      <c r="Y16" s="257">
        <f ca="1">IF($Q14=2,IF(AND(ACOMPANHAMENTO="PLE",ISNUMBER($E14)),SUMIF((OFFSET(CÁLCULO!$BC$15:$BU$15,$E14,0,OFFSET(ORÇAMENTO!$D$15,CRONO!$E14,0))),"="&amp;CRONO!Y$12,OFFSET(CÁLCULO!$AJ$15:$BB$15,$E14,0,OFFSET(ORÇAMENTO!$D$15,CRONO!$E14,0)))+IF(AND($E16&lt;&gt;"",$E16&lt;&gt;0),SUMIF(CÁLCULO!$BC$15:$BU$710,"="&amp;CRONO!Y$12,CÁLCULO!$AJ$15:$BB$710)/(ORÇAMENTO!$X$15-CÁLCULO.TotalAdmLocal)*CRONO!$E16,0),Y15*$R14),SUMIF(OFFSET($R16,1,0,$Q14-2),($L14+1)&amp;"$",OFFSET(Y16,1,0,$Q14-2)))</f>
        <v>0</v>
      </c>
      <c r="Z16" s="257">
        <f ca="1">IF($Q14=2,IF(AND(ACOMPANHAMENTO="PLE",ISNUMBER($E14)),SUMIF((OFFSET(CÁLCULO!$BC$15:$BU$15,$E14,0,OFFSET(ORÇAMENTO!$D$15,CRONO!$E14,0))),"="&amp;CRONO!Z$12,OFFSET(CÁLCULO!$AJ$15:$BB$15,$E14,0,OFFSET(ORÇAMENTO!$D$15,CRONO!$E14,0)))+IF(AND($E16&lt;&gt;"",$E16&lt;&gt;0),SUMIF(CÁLCULO!$BC$15:$BU$710,"="&amp;CRONO!Z$12,CÁLCULO!$AJ$15:$BB$710)/(ORÇAMENTO!$X$15-CÁLCULO.TotalAdmLocal)*CRONO!$E16,0),Z15*$R14),SUMIF(OFFSET($R16,1,0,$Q14-2),($L14+1)&amp;"$",OFFSET(Z16,1,0,$Q14-2)))</f>
        <v>0</v>
      </c>
      <c r="AA16" s="257">
        <f ca="1">IF($Q14=2,IF(AND(ACOMPANHAMENTO="PLE",ISNUMBER($E14)),SUMIF((OFFSET(CÁLCULO!$BC$15:$BU$15,$E14,0,OFFSET(ORÇAMENTO!$D$15,CRONO!$E14,0))),"="&amp;CRONO!AA$12,OFFSET(CÁLCULO!$AJ$15:$BB$15,$E14,0,OFFSET(ORÇAMENTO!$D$15,CRONO!$E14,0)))+IF(AND($E16&lt;&gt;"",$E16&lt;&gt;0),SUMIF(CÁLCULO!$BC$15:$BU$710,"="&amp;CRONO!AA$12,CÁLCULO!$AJ$15:$BB$710)/(ORÇAMENTO!$X$15-CÁLCULO.TotalAdmLocal)*CRONO!$E16,0),AA15*$R14),SUMIF(OFFSET($R16,1,0,$Q14-2),($L14+1)&amp;"$",OFFSET(AA16,1,0,$Q14-2)))</f>
        <v>0</v>
      </c>
      <c r="AB16" s="257">
        <f ca="1">IF($Q14=2,IF(AND(ACOMPANHAMENTO="PLE",ISNUMBER($E14)),SUMIF((OFFSET(CÁLCULO!$BC$15:$BU$15,$E14,0,OFFSET(ORÇAMENTO!$D$15,CRONO!$E14,0))),"="&amp;CRONO!AB$12,OFFSET(CÁLCULO!$AJ$15:$BB$15,$E14,0,OFFSET(ORÇAMENTO!$D$15,CRONO!$E14,0)))+IF(AND($E16&lt;&gt;"",$E16&lt;&gt;0),SUMIF(CÁLCULO!$BC$15:$BU$710,"="&amp;CRONO!AB$12,CÁLCULO!$AJ$15:$BB$710)/(ORÇAMENTO!$X$15-CÁLCULO.TotalAdmLocal)*CRONO!$E16,0),AB15*$R14),SUMIF(OFFSET($R16,1,0,$Q14-2),($L14+1)&amp;"$",OFFSET(AB16,1,0,$Q14-2)))</f>
        <v>0</v>
      </c>
      <c r="AC16" s="257">
        <f ca="1">IF($Q14=2,IF(AND(ACOMPANHAMENTO="PLE",ISNUMBER($E14)),SUMIF((OFFSET(CÁLCULO!$BC$15:$BU$15,$E14,0,OFFSET(ORÇAMENTO!$D$15,CRONO!$E14,0))),"="&amp;CRONO!AC$12,OFFSET(CÁLCULO!$AJ$15:$BB$15,$E14,0,OFFSET(ORÇAMENTO!$D$15,CRONO!$E14,0)))+IF(AND($E16&lt;&gt;"",$E16&lt;&gt;0),SUMIF(CÁLCULO!$BC$15:$BU$710,"="&amp;CRONO!AC$12,CÁLCULO!$AJ$15:$BB$710)/(ORÇAMENTO!$X$15-CÁLCULO.TotalAdmLocal)*CRONO!$E16,0),AC15*$R14),SUMIF(OFFSET($R16,1,0,$Q14-2),($L14+1)&amp;"$",OFFSET(AC16,1,0,$Q14-2)))</f>
        <v>0</v>
      </c>
      <c r="AD16" s="257">
        <f ca="1">IF($Q14=2,IF(AND(ACOMPANHAMENTO="PLE",ISNUMBER($E14)),SUMIF((OFFSET(CÁLCULO!$BC$15:$BU$15,$E14,0,OFFSET(ORÇAMENTO!$D$15,CRONO!$E14,0))),"="&amp;CRONO!AD$12,OFFSET(CÁLCULO!$AJ$15:$BB$15,$E14,0,OFFSET(ORÇAMENTO!$D$15,CRONO!$E14,0)))+IF(AND($E16&lt;&gt;"",$E16&lt;&gt;0),SUMIF(CÁLCULO!$BC$15:$BU$710,"="&amp;CRONO!AD$12,CÁLCULO!$AJ$15:$BB$710)/(ORÇAMENTO!$X$15-CÁLCULO.TotalAdmLocal)*CRONO!$E16,0),AD15*$R14),SUMIF(OFFSET($R16,1,0,$Q14-2),($L14+1)&amp;"$",OFFSET(AD16,1,0,$Q14-2)))</f>
        <v>0</v>
      </c>
      <c r="AE16" s="262">
        <f ca="1">IF($Q14=2,IF(AND(ACOMPANHAMENTO="PLE",ISNUMBER($E14)),SUMIF((OFFSET(CÁLCULO!$BC$15:$BU$15,$E14,0,OFFSET(ORÇAMENTO!$D$15,CRONO!$E14,0))),"="&amp;CRONO!AE$12,OFFSET(CÁLCULO!$AJ$15:$BB$15,$E14,0,OFFSET(ORÇAMENTO!$D$15,CRONO!$E14,0)))+IF(AND($E16&lt;&gt;"",$E16&lt;&gt;0),SUMIF(CÁLCULO!$BC$15:$BU$710,"="&amp;CRONO!AE$12,CÁLCULO!$AJ$15:$BB$710)/(ORÇAMENTO!$X$15-CÁLCULO.TotalAdmLocal)*CRONO!$E16,0),AE15*$R14),SUMIF(OFFSET($R16,1,0,$Q14-2),($L14+1)&amp;"$",OFFSET(AE16,1,0,$Q14-2)))</f>
        <v>0</v>
      </c>
      <c r="AF16" s="261">
        <f ca="1">IF($Q14=2,IF(AND(ACOMPANHAMENTO="PLE",ISNUMBER($E14)),SUMIF((OFFSET(CÁLCULO!$BC$15:$BU$15,$E14,0,OFFSET(ORÇAMENTO!$D$15,CRONO!$E14,0))),"="&amp;CRONO!AF$12,OFFSET(CÁLCULO!$AJ$15:$BB$15,$E14,0,OFFSET(ORÇAMENTO!$D$15,CRONO!$E14,0)))+IF(AND($E16&lt;&gt;"",$E16&lt;&gt;0),SUMIF(CÁLCULO!$BC$15:$BU$710,"="&amp;CRONO!AF$12,CÁLCULO!$AJ$15:$BB$710)/(ORÇAMENTO!$X$15-CÁLCULO.TotalAdmLocal)*CRONO!$E16,0),AF15*$R14),SUMIF(OFFSET($R16,1,0,$Q14-2),($L14+1)&amp;"$",OFFSET(AF16,1,0,$Q14-2)))</f>
        <v>0</v>
      </c>
      <c r="AG16" s="257">
        <f ca="1">IF($Q14=2,IF(AND(ACOMPANHAMENTO="PLE",ISNUMBER($E14)),SUMIF((OFFSET(CÁLCULO!$BC$15:$BU$15,$E14,0,OFFSET(ORÇAMENTO!$D$15,CRONO!$E14,0))),"="&amp;CRONO!AG$12,OFFSET(CÁLCULO!$AJ$15:$BB$15,$E14,0,OFFSET(ORÇAMENTO!$D$15,CRONO!$E14,0)))+IF(AND($E16&lt;&gt;"",$E16&lt;&gt;0),SUMIF(CÁLCULO!$BC$15:$BU$710,"="&amp;CRONO!AG$12,CÁLCULO!$AJ$15:$BB$710)/(ORÇAMENTO!$X$15-CÁLCULO.TotalAdmLocal)*CRONO!$E16,0),AG15*$R14),SUMIF(OFFSET($R16,1,0,$Q14-2),($L14+1)&amp;"$",OFFSET(AG16,1,0,$Q14-2)))</f>
        <v>0</v>
      </c>
      <c r="AH16" s="257">
        <f ca="1">IF($Q14=2,IF(AND(ACOMPANHAMENTO="PLE",ISNUMBER($E14)),SUMIF((OFFSET(CÁLCULO!$BC$15:$BU$15,$E14,0,OFFSET(ORÇAMENTO!$D$15,CRONO!$E14,0))),"="&amp;CRONO!AH$12,OFFSET(CÁLCULO!$AJ$15:$BB$15,$E14,0,OFFSET(ORÇAMENTO!$D$15,CRONO!$E14,0)))+IF(AND($E16&lt;&gt;"",$E16&lt;&gt;0),SUMIF(CÁLCULO!$BC$15:$BU$710,"="&amp;CRONO!AH$12,CÁLCULO!$AJ$15:$BB$710)/(ORÇAMENTO!$X$15-CÁLCULO.TotalAdmLocal)*CRONO!$E16,0),AH15*$R14),SUMIF(OFFSET($R16,1,0,$Q14-2),($L14+1)&amp;"$",OFFSET(AH16,1,0,$Q14-2)))</f>
        <v>0</v>
      </c>
      <c r="AI16" s="257">
        <f ca="1">IF($Q14=2,IF(AND(ACOMPANHAMENTO="PLE",ISNUMBER($E14)),SUMIF((OFFSET(CÁLCULO!$BC$15:$BU$15,$E14,0,OFFSET(ORÇAMENTO!$D$15,CRONO!$E14,0))),"="&amp;CRONO!AI$12,OFFSET(CÁLCULO!$AJ$15:$BB$15,$E14,0,OFFSET(ORÇAMENTO!$D$15,CRONO!$E14,0)))+IF(AND($E16&lt;&gt;"",$E16&lt;&gt;0),SUMIF(CÁLCULO!$BC$15:$BU$710,"="&amp;CRONO!AI$12,CÁLCULO!$AJ$15:$BB$710)/(ORÇAMENTO!$X$15-CÁLCULO.TotalAdmLocal)*CRONO!$E16,0),AI15*$R14),SUMIF(OFFSET($R16,1,0,$Q14-2),($L14+1)&amp;"$",OFFSET(AI16,1,0,$Q14-2)))</f>
        <v>0</v>
      </c>
      <c r="AJ16" s="257">
        <f ca="1">IF($Q14=2,IF(AND(ACOMPANHAMENTO="PLE",ISNUMBER($E14)),SUMIF((OFFSET(CÁLCULO!$BC$15:$BU$15,$E14,0,OFFSET(ORÇAMENTO!$D$15,CRONO!$E14,0))),"="&amp;CRONO!AJ$12,OFFSET(CÁLCULO!$AJ$15:$BB$15,$E14,0,OFFSET(ORÇAMENTO!$D$15,CRONO!$E14,0)))+IF(AND($E16&lt;&gt;"",$E16&lt;&gt;0),SUMIF(CÁLCULO!$BC$15:$BU$710,"="&amp;CRONO!AJ$12,CÁLCULO!$AJ$15:$BB$710)/(ORÇAMENTO!$X$15-CÁLCULO.TotalAdmLocal)*CRONO!$E16,0),AJ15*$R14),SUMIF(OFFSET($R16,1,0,$Q14-2),($L14+1)&amp;"$",OFFSET(AJ16,1,0,$Q14-2)))</f>
        <v>0</v>
      </c>
      <c r="AK16" s="257">
        <f ca="1">IF($Q14=2,IF(AND(ACOMPANHAMENTO="PLE",ISNUMBER($E14)),SUMIF((OFFSET(CÁLCULO!$BC$15:$BU$15,$E14,0,OFFSET(ORÇAMENTO!$D$15,CRONO!$E14,0))),"="&amp;CRONO!AK$12,OFFSET(CÁLCULO!$AJ$15:$BB$15,$E14,0,OFFSET(ORÇAMENTO!$D$15,CRONO!$E14,0)))+IF(AND($E16&lt;&gt;"",$E16&lt;&gt;0),SUMIF(CÁLCULO!$BC$15:$BU$710,"="&amp;CRONO!AK$12,CÁLCULO!$AJ$15:$BB$710)/(ORÇAMENTO!$X$15-CÁLCULO.TotalAdmLocal)*CRONO!$E16,0),AK15*$R14),SUMIF(OFFSET($R16,1,0,$Q14-2),($L14+1)&amp;"$",OFFSET(AK16,1,0,$Q14-2)))</f>
        <v>0</v>
      </c>
      <c r="AL16" s="257">
        <f ca="1">IF($Q14=2,IF(AND(ACOMPANHAMENTO="PLE",ISNUMBER($E14)),SUMIF((OFFSET(CÁLCULO!$BC$15:$BU$15,$E14,0,OFFSET(ORÇAMENTO!$D$15,CRONO!$E14,0))),"="&amp;CRONO!AL$12,OFFSET(CÁLCULO!$AJ$15:$BB$15,$E14,0,OFFSET(ORÇAMENTO!$D$15,CRONO!$E14,0)))+IF(AND($E16&lt;&gt;"",$E16&lt;&gt;0),SUMIF(CÁLCULO!$BC$15:$BU$710,"="&amp;CRONO!AL$12,CÁLCULO!$AJ$15:$BB$710)/(ORÇAMENTO!$X$15-CÁLCULO.TotalAdmLocal)*CRONO!$E16,0),AL15*$R14),SUMIF(OFFSET($R16,1,0,$Q14-2),($L14+1)&amp;"$",OFFSET(AL16,1,0,$Q14-2)))</f>
        <v>0</v>
      </c>
      <c r="AM16" s="257">
        <f ca="1">IF($Q14=2,IF(AND(ACOMPANHAMENTO="PLE",ISNUMBER($E14)),SUMIF((OFFSET(CÁLCULO!$BC$15:$BU$15,$E14,0,OFFSET(ORÇAMENTO!$D$15,CRONO!$E14,0))),"="&amp;CRONO!AM$12,OFFSET(CÁLCULO!$AJ$15:$BB$15,$E14,0,OFFSET(ORÇAMENTO!$D$15,CRONO!$E14,0)))+IF(AND($E16&lt;&gt;"",$E16&lt;&gt;0),SUMIF(CÁLCULO!$BC$15:$BU$710,"="&amp;CRONO!AM$12,CÁLCULO!$AJ$15:$BB$710)/(ORÇAMENTO!$X$15-CÁLCULO.TotalAdmLocal)*CRONO!$E16,0),AM15*$R14),SUMIF(OFFSET($R16,1,0,$Q14-2),($L14+1)&amp;"$",OFFSET(AM16,1,0,$Q14-2)))</f>
        <v>0</v>
      </c>
      <c r="AN16" s="257">
        <f ca="1">IF($Q14=2,IF(AND(ACOMPANHAMENTO="PLE",ISNUMBER($E14)),SUMIF((OFFSET(CÁLCULO!$BC$15:$BU$15,$E14,0,OFFSET(ORÇAMENTO!$D$15,CRONO!$E14,0))),"="&amp;CRONO!AN$12,OFFSET(CÁLCULO!$AJ$15:$BB$15,$E14,0,OFFSET(ORÇAMENTO!$D$15,CRONO!$E14,0)))+IF(AND($E16&lt;&gt;"",$E16&lt;&gt;0),SUMIF(CÁLCULO!$BC$15:$BU$710,"="&amp;CRONO!AN$12,CÁLCULO!$AJ$15:$BB$710)/(ORÇAMENTO!$X$15-CÁLCULO.TotalAdmLocal)*CRONO!$E16,0),AN15*$R14),SUMIF(OFFSET($R16,1,0,$Q14-2),($L14+1)&amp;"$",OFFSET(AN16,1,0,$Q14-2)))</f>
        <v>0</v>
      </c>
      <c r="AO16" s="257">
        <f ca="1">IF($Q14=2,IF(AND(ACOMPANHAMENTO="PLE",ISNUMBER($E14)),SUMIF((OFFSET(CÁLCULO!$BC$15:$BU$15,$E14,0,OFFSET(ORÇAMENTO!$D$15,CRONO!$E14,0))),"="&amp;CRONO!AO$12,OFFSET(CÁLCULO!$AJ$15:$BB$15,$E14,0,OFFSET(ORÇAMENTO!$D$15,CRONO!$E14,0)))+IF(AND($E16&lt;&gt;"",$E16&lt;&gt;0),SUMIF(CÁLCULO!$BC$15:$BU$710,"="&amp;CRONO!AO$12,CÁLCULO!$AJ$15:$BB$710)/(ORÇAMENTO!$X$15-CÁLCULO.TotalAdmLocal)*CRONO!$E16,0),AO15*$R14),SUMIF(OFFSET($R16,1,0,$Q14-2),($L14+1)&amp;"$",OFFSET(AO16,1,0,$Q14-2)))</f>
        <v>0</v>
      </c>
      <c r="AP16" s="257">
        <f ca="1">IF($Q14=2,IF(AND(ACOMPANHAMENTO="PLE",ISNUMBER($E14)),SUMIF((OFFSET(CÁLCULO!$BC$15:$BU$15,$E14,0,OFFSET(ORÇAMENTO!$D$15,CRONO!$E14,0))),"="&amp;CRONO!AP$12,OFFSET(CÁLCULO!$AJ$15:$BB$15,$E14,0,OFFSET(ORÇAMENTO!$D$15,CRONO!$E14,0)))+IF(AND($E16&lt;&gt;"",$E16&lt;&gt;0),SUMIF(CÁLCULO!$BC$15:$BU$710,"="&amp;CRONO!AP$12,CÁLCULO!$AJ$15:$BB$710)/(ORÇAMENTO!$X$15-CÁLCULO.TotalAdmLocal)*CRONO!$E16,0),AP15*$R14),SUMIF(OFFSET($R16,1,0,$Q14-2),($L14+1)&amp;"$",OFFSET(AP16,1,0,$Q14-2)))</f>
        <v>0</v>
      </c>
      <c r="AQ16" s="262">
        <f ca="1">IF($Q14=2,IF(AND(ACOMPANHAMENTO="PLE",ISNUMBER($E14)),SUMIF((OFFSET(CÁLCULO!$BC$15:$BU$15,$E14,0,OFFSET(ORÇAMENTO!$D$15,CRONO!$E14,0))),"="&amp;CRONO!AQ$12,OFFSET(CÁLCULO!$AJ$15:$BB$15,$E14,0,OFFSET(ORÇAMENTO!$D$15,CRONO!$E14,0)))+IF(AND($E16&lt;&gt;"",$E16&lt;&gt;0),SUMIF(CÁLCULO!$BC$15:$BU$710,"="&amp;CRONO!AQ$12,CÁLCULO!$AJ$15:$BB$710)/(ORÇAMENTO!$X$15-CÁLCULO.TotalAdmLocal)*CRONO!$E16,0),AQ15*$R14),SUMIF(OFFSET($R16,1,0,$Q14-2),($L14+1)&amp;"$",OFFSET(AQ16,1,0,$Q14-2)))</f>
        <v>0</v>
      </c>
    </row>
    <row r="17" spans="1:44" x14ac:dyDescent="0.25">
      <c r="A17" s="238">
        <f ca="1">OFFSET(A17,-3,0)+1</f>
        <v>2</v>
      </c>
      <c r="B17" s="238">
        <f ca="1">IF($Q17&lt;&gt;2,0,IF($R17=0,1,IF(E18&gt;0,OFFSET(QCI!$M$13,SUBSTITUTE(E18,".",""),0),OFFSET(ORÇAMENTO!$AA$15,CRONO!$E17,0))/$R17))</f>
        <v>1</v>
      </c>
      <c r="C17" s="238">
        <f ca="1">IF($Q17&lt;&gt;2,0,IF($R17=0,1,IF(E18&gt;0,OFFSET(QCI!$N$13,SUBSTITUTE(E18,".",""),0),OFFSET(ORÇAMENTO!$AB$15,CRONO!$E17,0))/$R17))</f>
        <v>1</v>
      </c>
      <c r="D17" s="241">
        <f ca="1">IF(AND($Q17=2,ACOMPANHAMENTO="BM"),D18,D19/$R17)</f>
        <v>0</v>
      </c>
      <c r="E17" s="238">
        <f ca="1">IF(A17&lt;=ORÇAMENTO.MáximoListaCrono,MATCH(A17,ORÇAMENTO.ListaCrono,0),NA())</f>
        <v>2</v>
      </c>
      <c r="F17" s="238" t="str">
        <f ca="1">IF(AND($E18&lt;&gt;-1,$R17&gt;0),"F","")</f>
        <v/>
      </c>
      <c r="G17" s="242" t="str">
        <f ca="1">IF(OR(R17=0,R17=""),"Linha",IF(AND(OR(ACOMPANHAMENTO="PLE",$Q17&lt;&gt;2),$E18=0),"Linha",1-SUM(T17:AR17)))</f>
        <v>Linha</v>
      </c>
      <c r="H17" s="243" t="str">
        <f ca="1">IF($E18=0,OFFSET(ORÇAMENTO!O$15,$E17,0),IF($E18&lt;&gt;-1,OFFSET(QCI!$D$13,$E18,0),""))</f>
        <v>1.1.</v>
      </c>
      <c r="I17" s="244" t="str">
        <f ca="1">IF($E18=0,OFFSET(ORÇAMENTO!R$15,$E17,0),IF($E18&lt;&gt;-1,OFFSET(QCI!$G$13,$E18,0),""))</f>
        <v>SERVIÇOS INICIAIS</v>
      </c>
      <c r="J17" s="244"/>
      <c r="K17" s="244"/>
      <c r="L17" s="245">
        <f ca="1">IF($E18=0,OFFSET(ORÇAMENTO!C$15,$E17,0),1)</f>
        <v>2</v>
      </c>
      <c r="M17" s="246">
        <f ca="1">IF($E18=-1,0,IF(M$13&lt;=$L17,IF(ISERROR(MATCH(M$13,OFFSET($L17,1,0,ROW($L$98)-ROW($L17)-1),0)),ROW($L$98)-ROW($L17)-1,MATCH(M$13,OFFSET($L17,1,0,ROW($L$98)-ROW($L17)-1),0)-1),0))</f>
        <v>71</v>
      </c>
      <c r="N17" s="246">
        <f ca="1">IF($E18=-1,0,IF(N$13&lt;=$L17,IF(ISERROR(MATCH(N$13,OFFSET($L17,1,0,ROW($L$98)-ROW($L17)-1),0)),ROW($L$98)-ROW($L17)-1,MATCH(N$13,OFFSET($L17,1,0,ROW($L$98)-ROW($L17)-1),0)-1),0))</f>
        <v>2</v>
      </c>
      <c r="O17" s="246">
        <f ca="1">IF($E18=-1,0,IF(O$13&lt;=$L17,IF(ISERROR(MATCH(O$13,OFFSET($L17,1,0,ROW($L$98)-ROW($L17)-1),0)),ROW($L$98)-ROW($L17)-1,MATCH(O$13,OFFSET($L17,1,0,ROW($L$98)-ROW($L17)-1),0)-1),0))</f>
        <v>0</v>
      </c>
      <c r="P17" s="246">
        <f ca="1">IF($E18=-1,0,IF(P$13&lt;=$L17,IF(ISERROR(MATCH(P$13,OFFSET($L17,1,0,ROW($L$98)-ROW($L17)-1),0)),ROW($L$98)-ROW($L17)-1,MATCH(P$13,OFFSET($L17,1,0,ROW($L$98)-ROW($L17)-1),0)-1),0))</f>
        <v>0</v>
      </c>
      <c r="Q17" s="246">
        <f ca="1">MIN(OFFSET(L17,0,1,,L17))</f>
        <v>2</v>
      </c>
      <c r="R17" s="247">
        <f ca="1">IF($E18=0,OFFSET(ORÇAMENTO!X$15,$E17,0),IF($E18&lt;&gt;-1,OFFSET(QCI!$O$13,$E18,0),""))</f>
        <v>0</v>
      </c>
      <c r="S17" s="248" t="s">
        <v>272</v>
      </c>
      <c r="T17" s="249">
        <f t="shared" ref="T17:AQ17" ca="1" si="5">IF(AND($Q17=2,ACOMPANHAMENTO="BM"),T18,T19/$R17)</f>
        <v>1</v>
      </c>
      <c r="U17" s="241">
        <f t="shared" ca="1" si="5"/>
        <v>0</v>
      </c>
      <c r="V17" s="241">
        <f t="shared" ca="1" si="5"/>
        <v>0</v>
      </c>
      <c r="W17" s="241">
        <f t="shared" ca="1" si="5"/>
        <v>0</v>
      </c>
      <c r="X17" s="241">
        <f t="shared" ca="1" si="5"/>
        <v>0</v>
      </c>
      <c r="Y17" s="241">
        <f t="shared" ca="1" si="5"/>
        <v>0</v>
      </c>
      <c r="Z17" s="241">
        <f t="shared" ca="1" si="5"/>
        <v>0</v>
      </c>
      <c r="AA17" s="241">
        <f t="shared" ca="1" si="5"/>
        <v>0</v>
      </c>
      <c r="AB17" s="241">
        <f t="shared" ca="1" si="5"/>
        <v>0</v>
      </c>
      <c r="AC17" s="241">
        <f t="shared" ca="1" si="5"/>
        <v>0</v>
      </c>
      <c r="AD17" s="241">
        <f t="shared" ca="1" si="5"/>
        <v>0</v>
      </c>
      <c r="AE17" s="250">
        <f t="shared" ca="1" si="5"/>
        <v>0</v>
      </c>
      <c r="AF17" s="249">
        <f t="shared" ca="1" si="5"/>
        <v>0</v>
      </c>
      <c r="AG17" s="241">
        <f t="shared" ca="1" si="5"/>
        <v>0</v>
      </c>
      <c r="AH17" s="241">
        <f t="shared" ca="1" si="5"/>
        <v>0</v>
      </c>
      <c r="AI17" s="241">
        <f t="shared" ca="1" si="5"/>
        <v>0</v>
      </c>
      <c r="AJ17" s="241">
        <f t="shared" ca="1" si="5"/>
        <v>0</v>
      </c>
      <c r="AK17" s="241">
        <f t="shared" ca="1" si="5"/>
        <v>0</v>
      </c>
      <c r="AL17" s="241">
        <f t="shared" ca="1" si="5"/>
        <v>0</v>
      </c>
      <c r="AM17" s="241">
        <f t="shared" ca="1" si="5"/>
        <v>0</v>
      </c>
      <c r="AN17" s="241">
        <f t="shared" ca="1" si="5"/>
        <v>0</v>
      </c>
      <c r="AO17" s="241">
        <f t="shared" ca="1" si="5"/>
        <v>0</v>
      </c>
      <c r="AP17" s="241">
        <f t="shared" ca="1" si="5"/>
        <v>0</v>
      </c>
      <c r="AQ17" s="250">
        <f t="shared" ca="1" si="5"/>
        <v>0</v>
      </c>
    </row>
    <row r="18" spans="1:44" ht="12.75" customHeight="1" x14ac:dyDescent="0.25">
      <c r="D18" s="658"/>
      <c r="E18" s="238">
        <f ca="1">IF(ISERROR(E17),IF(1+COUNTIF($L$13:OFFSET(L17,-1,0),1)&lt;=MAX(QCI!$D$13:$D$24),1+COUNTIF($L$13:OFFSET(L17,-1,0),1),-1),0)</f>
        <v>0</v>
      </c>
      <c r="F18" s="238" t="str">
        <f ca="1">IF(AND($E18&lt;&gt;-1,$R17&gt;0),"F","")</f>
        <v/>
      </c>
      <c r="G18" s="251" t="str">
        <f ca="1">IF(OR(R17=0,R17=""),"vazia",IF(AND(OR(ACOMPANHAMENTO="PLE",$Q17&lt;&gt;2),$E18=0),"calculada","--&gt;"))</f>
        <v>vazia</v>
      </c>
      <c r="H18" s="252"/>
      <c r="I18" s="253" t="str">
        <f ca="1">IF(AND(G17&lt;&gt;0,ISNUMBER(G17)),"PREENCHA ESTA LINHA --&gt;","")</f>
        <v/>
      </c>
      <c r="J18" s="253"/>
      <c r="K18" s="253"/>
      <c r="L18" s="254"/>
      <c r="M18" s="254"/>
      <c r="N18" s="254"/>
      <c r="O18" s="254"/>
      <c r="P18" s="254"/>
      <c r="Q18" s="254"/>
      <c r="R18" s="255"/>
      <c r="S18" s="256"/>
      <c r="T18" s="659">
        <v>1</v>
      </c>
      <c r="U18" s="658"/>
      <c r="V18" s="658"/>
      <c r="W18" s="658"/>
      <c r="X18" s="658"/>
      <c r="Y18" s="658"/>
      <c r="Z18" s="658"/>
      <c r="AA18" s="658"/>
      <c r="AB18" s="658"/>
      <c r="AC18" s="658"/>
      <c r="AD18" s="658"/>
      <c r="AE18" s="660"/>
      <c r="AF18" s="659"/>
      <c r="AG18" s="658"/>
      <c r="AH18" s="658"/>
      <c r="AI18" s="658"/>
      <c r="AJ18" s="658"/>
      <c r="AK18" s="658"/>
      <c r="AL18" s="658"/>
      <c r="AM18" s="658"/>
      <c r="AN18" s="658"/>
      <c r="AO18" s="658"/>
      <c r="AP18" s="658"/>
      <c r="AQ18" s="660"/>
      <c r="AR18" s="618"/>
    </row>
    <row r="19" spans="1:44" ht="0.15" hidden="1" customHeight="1" x14ac:dyDescent="0.25">
      <c r="D19" s="257">
        <f ca="1">IF($Q17=2,IF(AND(ACOMPANHAMENTO="PLE",ISNUMBER($E17)),SUMIF((OFFSET(CÁLCULO!$BC$15:$BU$15,$E17,0,OFFSET(ORÇAMENTO!$D$15,CRONO!$E17,0))),"="&amp;CRONO!D$12,OFFSET(CÁLCULO!$AJ$15:$BB$15,$E17,0,OFFSET(ORÇAMENTO!$D$15,CRONO!$E17,0)))+IF(AND($E19&lt;&gt;"",$E19&lt;&gt;0),SUMIF(CÁLCULO!$BC$15:$BU$710,"="&amp;CRONO!D$12,CÁLCULO!$AJ$15:$BB$710)/(ORÇAMENTO!$X$15-CÁLCULO.TotalAdmLocal)*CRONO!$E19,0),D18*$R17),SUMIF(OFFSET($R19,1,0,$Q17-2),($L17+1)&amp;"$",OFFSET(D19,1,0,$Q17-2)))</f>
        <v>0</v>
      </c>
      <c r="E19" s="238">
        <f ca="1">IF(OR($Q17&lt;&gt;2,AUTOEVENTO&lt;&gt;"manual",$E18&gt;0),"",SUMIF(OFFSET(CÁLCULO!$M$15,CRONO!$E17,0,OFFSET(ORÇAMENTO!$D$15,CRONO!$E17,0)),1,OFFSET(ORÇAMENTO!$X$15,CRONO!$E17,0,OFFSET(ORÇAMENTO!$D$15,CRONO!$E17,0))))</f>
        <v>0</v>
      </c>
      <c r="G19" s="258"/>
      <c r="R19" s="259" t="str">
        <f ca="1">L17&amp;"$"</f>
        <v>2$</v>
      </c>
      <c r="S19" s="260"/>
      <c r="T19" s="261">
        <f ca="1">IF($Q17=2,IF(AND(ACOMPANHAMENTO="PLE",ISNUMBER($E17)),SUMIF((OFFSET(CÁLCULO!$BC$15:$BU$15,$E17,0,OFFSET(ORÇAMENTO!$D$15,CRONO!$E17,0))),"&lt;="&amp;CRONO!T$12,OFFSET(CÁLCULO!$AJ$15:$BB$15,$E17,0,OFFSET(ORÇAMENTO!$D$15,CRONO!$E17,0)))+IF(AND($E19&lt;&gt;"",$E19&lt;&gt;0),SUMIF(CÁLCULO!$BC$15:$BU$710,"&lt;="&amp;CRONO!T$12,CÁLCULO!$AJ$15:$BB$710)/(ORÇAMENTO!$X$15-CÁLCULO.TotalAdmLocal)*CRONO!$E19,0),T18*$R17),SUMIF(OFFSET($R19,1,0,$Q17-2),($L17+1)&amp;"$",OFFSET(T19,1,0,$Q17-2)))</f>
        <v>0</v>
      </c>
      <c r="U19" s="257">
        <f ca="1">IF($Q17=2,IF(AND(ACOMPANHAMENTO="PLE",ISNUMBER($E17)),SUMIF((OFFSET(CÁLCULO!$BC$15:$BU$15,$E17,0,OFFSET(ORÇAMENTO!$D$15,CRONO!$E17,0))),"="&amp;CRONO!U$12,OFFSET(CÁLCULO!$AJ$15:$BB$15,$E17,0,OFFSET(ORÇAMENTO!$D$15,CRONO!$E17,0)))+IF(AND($E19&lt;&gt;"",$E19&lt;&gt;0),SUMIF(CÁLCULO!$BC$15:$BU$710,"="&amp;CRONO!U$12,CÁLCULO!$AJ$15:$BB$710)/(ORÇAMENTO!$X$15-CÁLCULO.TotalAdmLocal)*CRONO!$E19,0),U18*$R17),SUMIF(OFFSET($R19,1,0,$Q17-2),($L17+1)&amp;"$",OFFSET(U19,1,0,$Q17-2)))</f>
        <v>0</v>
      </c>
      <c r="V19" s="257">
        <f ca="1">IF($Q17=2,IF(AND(ACOMPANHAMENTO="PLE",ISNUMBER($E17)),SUMIF((OFFSET(CÁLCULO!$BC$15:$BU$15,$E17,0,OFFSET(ORÇAMENTO!$D$15,CRONO!$E17,0))),"="&amp;CRONO!V$12,OFFSET(CÁLCULO!$AJ$15:$BB$15,$E17,0,OFFSET(ORÇAMENTO!$D$15,CRONO!$E17,0)))+IF(AND($E19&lt;&gt;"",$E19&lt;&gt;0),SUMIF(CÁLCULO!$BC$15:$BU$710,"="&amp;CRONO!V$12,CÁLCULO!$AJ$15:$BB$710)/(ORÇAMENTO!$X$15-CÁLCULO.TotalAdmLocal)*CRONO!$E19,0),V18*$R17),SUMIF(OFFSET($R19,1,0,$Q17-2),($L17+1)&amp;"$",OFFSET(V19,1,0,$Q17-2)))</f>
        <v>0</v>
      </c>
      <c r="W19" s="257">
        <f ca="1">IF($Q17=2,IF(AND(ACOMPANHAMENTO="PLE",ISNUMBER($E17)),SUMIF((OFFSET(CÁLCULO!$BC$15:$BU$15,$E17,0,OFFSET(ORÇAMENTO!$D$15,CRONO!$E17,0))),"="&amp;CRONO!W$12,OFFSET(CÁLCULO!$AJ$15:$BB$15,$E17,0,OFFSET(ORÇAMENTO!$D$15,CRONO!$E17,0)))+IF(AND($E19&lt;&gt;"",$E19&lt;&gt;0),SUMIF(CÁLCULO!$BC$15:$BU$710,"="&amp;CRONO!W$12,CÁLCULO!$AJ$15:$BB$710)/(ORÇAMENTO!$X$15-CÁLCULO.TotalAdmLocal)*CRONO!$E19,0),W18*$R17),SUMIF(OFFSET($R19,1,0,$Q17-2),($L17+1)&amp;"$",OFFSET(W19,1,0,$Q17-2)))</f>
        <v>0</v>
      </c>
      <c r="X19" s="257">
        <f ca="1">IF($Q17=2,IF(AND(ACOMPANHAMENTO="PLE",ISNUMBER($E17)),SUMIF((OFFSET(CÁLCULO!$BC$15:$BU$15,$E17,0,OFFSET(ORÇAMENTO!$D$15,CRONO!$E17,0))),"="&amp;CRONO!X$12,OFFSET(CÁLCULO!$AJ$15:$BB$15,$E17,0,OFFSET(ORÇAMENTO!$D$15,CRONO!$E17,0)))+IF(AND($E19&lt;&gt;"",$E19&lt;&gt;0),SUMIF(CÁLCULO!$BC$15:$BU$710,"="&amp;CRONO!X$12,CÁLCULO!$AJ$15:$BB$710)/(ORÇAMENTO!$X$15-CÁLCULO.TotalAdmLocal)*CRONO!$E19,0),X18*$R17),SUMIF(OFFSET($R19,1,0,$Q17-2),($L17+1)&amp;"$",OFFSET(X19,1,0,$Q17-2)))</f>
        <v>0</v>
      </c>
      <c r="Y19" s="257">
        <f ca="1">IF($Q17=2,IF(AND(ACOMPANHAMENTO="PLE",ISNUMBER($E17)),SUMIF((OFFSET(CÁLCULO!$BC$15:$BU$15,$E17,0,OFFSET(ORÇAMENTO!$D$15,CRONO!$E17,0))),"="&amp;CRONO!Y$12,OFFSET(CÁLCULO!$AJ$15:$BB$15,$E17,0,OFFSET(ORÇAMENTO!$D$15,CRONO!$E17,0)))+IF(AND($E19&lt;&gt;"",$E19&lt;&gt;0),SUMIF(CÁLCULO!$BC$15:$BU$710,"="&amp;CRONO!Y$12,CÁLCULO!$AJ$15:$BB$710)/(ORÇAMENTO!$X$15-CÁLCULO.TotalAdmLocal)*CRONO!$E19,0),Y18*$R17),SUMIF(OFFSET($R19,1,0,$Q17-2),($L17+1)&amp;"$",OFFSET(Y19,1,0,$Q17-2)))</f>
        <v>0</v>
      </c>
      <c r="Z19" s="257">
        <f ca="1">IF($Q17=2,IF(AND(ACOMPANHAMENTO="PLE",ISNUMBER($E17)),SUMIF((OFFSET(CÁLCULO!$BC$15:$BU$15,$E17,0,OFFSET(ORÇAMENTO!$D$15,CRONO!$E17,0))),"="&amp;CRONO!Z$12,OFFSET(CÁLCULO!$AJ$15:$BB$15,$E17,0,OFFSET(ORÇAMENTO!$D$15,CRONO!$E17,0)))+IF(AND($E19&lt;&gt;"",$E19&lt;&gt;0),SUMIF(CÁLCULO!$BC$15:$BU$710,"="&amp;CRONO!Z$12,CÁLCULO!$AJ$15:$BB$710)/(ORÇAMENTO!$X$15-CÁLCULO.TotalAdmLocal)*CRONO!$E19,0),Z18*$R17),SUMIF(OFFSET($R19,1,0,$Q17-2),($L17+1)&amp;"$",OFFSET(Z19,1,0,$Q17-2)))</f>
        <v>0</v>
      </c>
      <c r="AA19" s="257">
        <f ca="1">IF($Q17=2,IF(AND(ACOMPANHAMENTO="PLE",ISNUMBER($E17)),SUMIF((OFFSET(CÁLCULO!$BC$15:$BU$15,$E17,0,OFFSET(ORÇAMENTO!$D$15,CRONO!$E17,0))),"="&amp;CRONO!AA$12,OFFSET(CÁLCULO!$AJ$15:$BB$15,$E17,0,OFFSET(ORÇAMENTO!$D$15,CRONO!$E17,0)))+IF(AND($E19&lt;&gt;"",$E19&lt;&gt;0),SUMIF(CÁLCULO!$BC$15:$BU$710,"="&amp;CRONO!AA$12,CÁLCULO!$AJ$15:$BB$710)/(ORÇAMENTO!$X$15-CÁLCULO.TotalAdmLocal)*CRONO!$E19,0),AA18*$R17),SUMIF(OFFSET($R19,1,0,$Q17-2),($L17+1)&amp;"$",OFFSET(AA19,1,0,$Q17-2)))</f>
        <v>0</v>
      </c>
      <c r="AB19" s="257">
        <f ca="1">IF($Q17=2,IF(AND(ACOMPANHAMENTO="PLE",ISNUMBER($E17)),SUMIF((OFFSET(CÁLCULO!$BC$15:$BU$15,$E17,0,OFFSET(ORÇAMENTO!$D$15,CRONO!$E17,0))),"="&amp;CRONO!AB$12,OFFSET(CÁLCULO!$AJ$15:$BB$15,$E17,0,OFFSET(ORÇAMENTO!$D$15,CRONO!$E17,0)))+IF(AND($E19&lt;&gt;"",$E19&lt;&gt;0),SUMIF(CÁLCULO!$BC$15:$BU$710,"="&amp;CRONO!AB$12,CÁLCULO!$AJ$15:$BB$710)/(ORÇAMENTO!$X$15-CÁLCULO.TotalAdmLocal)*CRONO!$E19,0),AB18*$R17),SUMIF(OFFSET($R19,1,0,$Q17-2),($L17+1)&amp;"$",OFFSET(AB19,1,0,$Q17-2)))</f>
        <v>0</v>
      </c>
      <c r="AC19" s="257">
        <f ca="1">IF($Q17=2,IF(AND(ACOMPANHAMENTO="PLE",ISNUMBER($E17)),SUMIF((OFFSET(CÁLCULO!$BC$15:$BU$15,$E17,0,OFFSET(ORÇAMENTO!$D$15,CRONO!$E17,0))),"="&amp;CRONO!AC$12,OFFSET(CÁLCULO!$AJ$15:$BB$15,$E17,0,OFFSET(ORÇAMENTO!$D$15,CRONO!$E17,0)))+IF(AND($E19&lt;&gt;"",$E19&lt;&gt;0),SUMIF(CÁLCULO!$BC$15:$BU$710,"="&amp;CRONO!AC$12,CÁLCULO!$AJ$15:$BB$710)/(ORÇAMENTO!$X$15-CÁLCULO.TotalAdmLocal)*CRONO!$E19,0),AC18*$R17),SUMIF(OFFSET($R19,1,0,$Q17-2),($L17+1)&amp;"$",OFFSET(AC19,1,0,$Q17-2)))</f>
        <v>0</v>
      </c>
      <c r="AD19" s="257">
        <f ca="1">IF($Q17=2,IF(AND(ACOMPANHAMENTO="PLE",ISNUMBER($E17)),SUMIF((OFFSET(CÁLCULO!$BC$15:$BU$15,$E17,0,OFFSET(ORÇAMENTO!$D$15,CRONO!$E17,0))),"="&amp;CRONO!AD$12,OFFSET(CÁLCULO!$AJ$15:$BB$15,$E17,0,OFFSET(ORÇAMENTO!$D$15,CRONO!$E17,0)))+IF(AND($E19&lt;&gt;"",$E19&lt;&gt;0),SUMIF(CÁLCULO!$BC$15:$BU$710,"="&amp;CRONO!AD$12,CÁLCULO!$AJ$15:$BB$710)/(ORÇAMENTO!$X$15-CÁLCULO.TotalAdmLocal)*CRONO!$E19,0),AD18*$R17),SUMIF(OFFSET($R19,1,0,$Q17-2),($L17+1)&amp;"$",OFFSET(AD19,1,0,$Q17-2)))</f>
        <v>0</v>
      </c>
      <c r="AE19" s="262">
        <f ca="1">IF($Q17=2,IF(AND(ACOMPANHAMENTO="PLE",ISNUMBER($E17)),SUMIF((OFFSET(CÁLCULO!$BC$15:$BU$15,$E17,0,OFFSET(ORÇAMENTO!$D$15,CRONO!$E17,0))),"="&amp;CRONO!AE$12,OFFSET(CÁLCULO!$AJ$15:$BB$15,$E17,0,OFFSET(ORÇAMENTO!$D$15,CRONO!$E17,0)))+IF(AND($E19&lt;&gt;"",$E19&lt;&gt;0),SUMIF(CÁLCULO!$BC$15:$BU$710,"="&amp;CRONO!AE$12,CÁLCULO!$AJ$15:$BB$710)/(ORÇAMENTO!$X$15-CÁLCULO.TotalAdmLocal)*CRONO!$E19,0),AE18*$R17),SUMIF(OFFSET($R19,1,0,$Q17-2),($L17+1)&amp;"$",OFFSET(AE19,1,0,$Q17-2)))</f>
        <v>0</v>
      </c>
      <c r="AF19" s="261">
        <f ca="1">IF($Q17=2,IF(AND(ACOMPANHAMENTO="PLE",ISNUMBER($E17)),SUMIF((OFFSET(CÁLCULO!$BC$15:$BU$15,$E17,0,OFFSET(ORÇAMENTO!$D$15,CRONO!$E17,0))),"="&amp;CRONO!AF$12,OFFSET(CÁLCULO!$AJ$15:$BB$15,$E17,0,OFFSET(ORÇAMENTO!$D$15,CRONO!$E17,0)))+IF(AND($E19&lt;&gt;"",$E19&lt;&gt;0),SUMIF(CÁLCULO!$BC$15:$BU$710,"="&amp;CRONO!AF$12,CÁLCULO!$AJ$15:$BB$710)/(ORÇAMENTO!$X$15-CÁLCULO.TotalAdmLocal)*CRONO!$E19,0),AF18*$R17),SUMIF(OFFSET($R19,1,0,$Q17-2),($L17+1)&amp;"$",OFFSET(AF19,1,0,$Q17-2)))</f>
        <v>0</v>
      </c>
      <c r="AG19" s="257">
        <f ca="1">IF($Q17=2,IF(AND(ACOMPANHAMENTO="PLE",ISNUMBER($E17)),SUMIF((OFFSET(CÁLCULO!$BC$15:$BU$15,$E17,0,OFFSET(ORÇAMENTO!$D$15,CRONO!$E17,0))),"="&amp;CRONO!AG$12,OFFSET(CÁLCULO!$AJ$15:$BB$15,$E17,0,OFFSET(ORÇAMENTO!$D$15,CRONO!$E17,0)))+IF(AND($E19&lt;&gt;"",$E19&lt;&gt;0),SUMIF(CÁLCULO!$BC$15:$BU$710,"="&amp;CRONO!AG$12,CÁLCULO!$AJ$15:$BB$710)/(ORÇAMENTO!$X$15-CÁLCULO.TotalAdmLocal)*CRONO!$E19,0),AG18*$R17),SUMIF(OFFSET($R19,1,0,$Q17-2),($L17+1)&amp;"$",OFFSET(AG19,1,0,$Q17-2)))</f>
        <v>0</v>
      </c>
      <c r="AH19" s="257">
        <f ca="1">IF($Q17=2,IF(AND(ACOMPANHAMENTO="PLE",ISNUMBER($E17)),SUMIF((OFFSET(CÁLCULO!$BC$15:$BU$15,$E17,0,OFFSET(ORÇAMENTO!$D$15,CRONO!$E17,0))),"="&amp;CRONO!AH$12,OFFSET(CÁLCULO!$AJ$15:$BB$15,$E17,0,OFFSET(ORÇAMENTO!$D$15,CRONO!$E17,0)))+IF(AND($E19&lt;&gt;"",$E19&lt;&gt;0),SUMIF(CÁLCULO!$BC$15:$BU$710,"="&amp;CRONO!AH$12,CÁLCULO!$AJ$15:$BB$710)/(ORÇAMENTO!$X$15-CÁLCULO.TotalAdmLocal)*CRONO!$E19,0),AH18*$R17),SUMIF(OFFSET($R19,1,0,$Q17-2),($L17+1)&amp;"$",OFFSET(AH19,1,0,$Q17-2)))</f>
        <v>0</v>
      </c>
      <c r="AI19" s="257">
        <f ca="1">IF($Q17=2,IF(AND(ACOMPANHAMENTO="PLE",ISNUMBER($E17)),SUMIF((OFFSET(CÁLCULO!$BC$15:$BU$15,$E17,0,OFFSET(ORÇAMENTO!$D$15,CRONO!$E17,0))),"="&amp;CRONO!AI$12,OFFSET(CÁLCULO!$AJ$15:$BB$15,$E17,0,OFFSET(ORÇAMENTO!$D$15,CRONO!$E17,0)))+IF(AND($E19&lt;&gt;"",$E19&lt;&gt;0),SUMIF(CÁLCULO!$BC$15:$BU$710,"="&amp;CRONO!AI$12,CÁLCULO!$AJ$15:$BB$710)/(ORÇAMENTO!$X$15-CÁLCULO.TotalAdmLocal)*CRONO!$E19,0),AI18*$R17),SUMIF(OFFSET($R19,1,0,$Q17-2),($L17+1)&amp;"$",OFFSET(AI19,1,0,$Q17-2)))</f>
        <v>0</v>
      </c>
      <c r="AJ19" s="257">
        <f ca="1">IF($Q17=2,IF(AND(ACOMPANHAMENTO="PLE",ISNUMBER($E17)),SUMIF((OFFSET(CÁLCULO!$BC$15:$BU$15,$E17,0,OFFSET(ORÇAMENTO!$D$15,CRONO!$E17,0))),"="&amp;CRONO!AJ$12,OFFSET(CÁLCULO!$AJ$15:$BB$15,$E17,0,OFFSET(ORÇAMENTO!$D$15,CRONO!$E17,0)))+IF(AND($E19&lt;&gt;"",$E19&lt;&gt;0),SUMIF(CÁLCULO!$BC$15:$BU$710,"="&amp;CRONO!AJ$12,CÁLCULO!$AJ$15:$BB$710)/(ORÇAMENTO!$X$15-CÁLCULO.TotalAdmLocal)*CRONO!$E19,0),AJ18*$R17),SUMIF(OFFSET($R19,1,0,$Q17-2),($L17+1)&amp;"$",OFFSET(AJ19,1,0,$Q17-2)))</f>
        <v>0</v>
      </c>
      <c r="AK19" s="257">
        <f ca="1">IF($Q17=2,IF(AND(ACOMPANHAMENTO="PLE",ISNUMBER($E17)),SUMIF((OFFSET(CÁLCULO!$BC$15:$BU$15,$E17,0,OFFSET(ORÇAMENTO!$D$15,CRONO!$E17,0))),"="&amp;CRONO!AK$12,OFFSET(CÁLCULO!$AJ$15:$BB$15,$E17,0,OFFSET(ORÇAMENTO!$D$15,CRONO!$E17,0)))+IF(AND($E19&lt;&gt;"",$E19&lt;&gt;0),SUMIF(CÁLCULO!$BC$15:$BU$710,"="&amp;CRONO!AK$12,CÁLCULO!$AJ$15:$BB$710)/(ORÇAMENTO!$X$15-CÁLCULO.TotalAdmLocal)*CRONO!$E19,0),AK18*$R17),SUMIF(OFFSET($R19,1,0,$Q17-2),($L17+1)&amp;"$",OFFSET(AK19,1,0,$Q17-2)))</f>
        <v>0</v>
      </c>
      <c r="AL19" s="257">
        <f ca="1">IF($Q17=2,IF(AND(ACOMPANHAMENTO="PLE",ISNUMBER($E17)),SUMIF((OFFSET(CÁLCULO!$BC$15:$BU$15,$E17,0,OFFSET(ORÇAMENTO!$D$15,CRONO!$E17,0))),"="&amp;CRONO!AL$12,OFFSET(CÁLCULO!$AJ$15:$BB$15,$E17,0,OFFSET(ORÇAMENTO!$D$15,CRONO!$E17,0)))+IF(AND($E19&lt;&gt;"",$E19&lt;&gt;0),SUMIF(CÁLCULO!$BC$15:$BU$710,"="&amp;CRONO!AL$12,CÁLCULO!$AJ$15:$BB$710)/(ORÇAMENTO!$X$15-CÁLCULO.TotalAdmLocal)*CRONO!$E19,0),AL18*$R17),SUMIF(OFFSET($R19,1,0,$Q17-2),($L17+1)&amp;"$",OFFSET(AL19,1,0,$Q17-2)))</f>
        <v>0</v>
      </c>
      <c r="AM19" s="257">
        <f ca="1">IF($Q17=2,IF(AND(ACOMPANHAMENTO="PLE",ISNUMBER($E17)),SUMIF((OFFSET(CÁLCULO!$BC$15:$BU$15,$E17,0,OFFSET(ORÇAMENTO!$D$15,CRONO!$E17,0))),"="&amp;CRONO!AM$12,OFFSET(CÁLCULO!$AJ$15:$BB$15,$E17,0,OFFSET(ORÇAMENTO!$D$15,CRONO!$E17,0)))+IF(AND($E19&lt;&gt;"",$E19&lt;&gt;0),SUMIF(CÁLCULO!$BC$15:$BU$710,"="&amp;CRONO!AM$12,CÁLCULO!$AJ$15:$BB$710)/(ORÇAMENTO!$X$15-CÁLCULO.TotalAdmLocal)*CRONO!$E19,0),AM18*$R17),SUMIF(OFFSET($R19,1,0,$Q17-2),($L17+1)&amp;"$",OFFSET(AM19,1,0,$Q17-2)))</f>
        <v>0</v>
      </c>
      <c r="AN19" s="257">
        <f ca="1">IF($Q17=2,IF(AND(ACOMPANHAMENTO="PLE",ISNUMBER($E17)),SUMIF((OFFSET(CÁLCULO!$BC$15:$BU$15,$E17,0,OFFSET(ORÇAMENTO!$D$15,CRONO!$E17,0))),"="&amp;CRONO!AN$12,OFFSET(CÁLCULO!$AJ$15:$BB$15,$E17,0,OFFSET(ORÇAMENTO!$D$15,CRONO!$E17,0)))+IF(AND($E19&lt;&gt;"",$E19&lt;&gt;0),SUMIF(CÁLCULO!$BC$15:$BU$710,"="&amp;CRONO!AN$12,CÁLCULO!$AJ$15:$BB$710)/(ORÇAMENTO!$X$15-CÁLCULO.TotalAdmLocal)*CRONO!$E19,0),AN18*$R17),SUMIF(OFFSET($R19,1,0,$Q17-2),($L17+1)&amp;"$",OFFSET(AN19,1,0,$Q17-2)))</f>
        <v>0</v>
      </c>
      <c r="AO19" s="257">
        <f ca="1">IF($Q17=2,IF(AND(ACOMPANHAMENTO="PLE",ISNUMBER($E17)),SUMIF((OFFSET(CÁLCULO!$BC$15:$BU$15,$E17,0,OFFSET(ORÇAMENTO!$D$15,CRONO!$E17,0))),"="&amp;CRONO!AO$12,OFFSET(CÁLCULO!$AJ$15:$BB$15,$E17,0,OFFSET(ORÇAMENTO!$D$15,CRONO!$E17,0)))+IF(AND($E19&lt;&gt;"",$E19&lt;&gt;0),SUMIF(CÁLCULO!$BC$15:$BU$710,"="&amp;CRONO!AO$12,CÁLCULO!$AJ$15:$BB$710)/(ORÇAMENTO!$X$15-CÁLCULO.TotalAdmLocal)*CRONO!$E19,0),AO18*$R17),SUMIF(OFFSET($R19,1,0,$Q17-2),($L17+1)&amp;"$",OFFSET(AO19,1,0,$Q17-2)))</f>
        <v>0</v>
      </c>
      <c r="AP19" s="257">
        <f ca="1">IF($Q17=2,IF(AND(ACOMPANHAMENTO="PLE",ISNUMBER($E17)),SUMIF((OFFSET(CÁLCULO!$BC$15:$BU$15,$E17,0,OFFSET(ORÇAMENTO!$D$15,CRONO!$E17,0))),"="&amp;CRONO!AP$12,OFFSET(CÁLCULO!$AJ$15:$BB$15,$E17,0,OFFSET(ORÇAMENTO!$D$15,CRONO!$E17,0)))+IF(AND($E19&lt;&gt;"",$E19&lt;&gt;0),SUMIF(CÁLCULO!$BC$15:$BU$710,"="&amp;CRONO!AP$12,CÁLCULO!$AJ$15:$BB$710)/(ORÇAMENTO!$X$15-CÁLCULO.TotalAdmLocal)*CRONO!$E19,0),AP18*$R17),SUMIF(OFFSET($R19,1,0,$Q17-2),($L17+1)&amp;"$",OFFSET(AP19,1,0,$Q17-2)))</f>
        <v>0</v>
      </c>
      <c r="AQ19" s="262">
        <f ca="1">IF($Q17=2,IF(AND(ACOMPANHAMENTO="PLE",ISNUMBER($E17)),SUMIF((OFFSET(CÁLCULO!$BC$15:$BU$15,$E17,0,OFFSET(ORÇAMENTO!$D$15,CRONO!$E17,0))),"="&amp;CRONO!AQ$12,OFFSET(CÁLCULO!$AJ$15:$BB$15,$E17,0,OFFSET(ORÇAMENTO!$D$15,CRONO!$E17,0)))+IF(AND($E19&lt;&gt;"",$E19&lt;&gt;0),SUMIF(CÁLCULO!$BC$15:$BU$710,"="&amp;CRONO!AQ$12,CÁLCULO!$AJ$15:$BB$710)/(ORÇAMENTO!$X$15-CÁLCULO.TotalAdmLocal)*CRONO!$E19,0),AQ18*$R17),SUMIF(OFFSET($R19,1,0,$Q17-2),($L17+1)&amp;"$",OFFSET(AQ19,1,0,$Q17-2)))</f>
        <v>0</v>
      </c>
    </row>
    <row r="20" spans="1:44" x14ac:dyDescent="0.25">
      <c r="A20" s="238">
        <f ca="1">OFFSET(A20,-3,0)+1</f>
        <v>3</v>
      </c>
      <c r="B20" s="238">
        <f ca="1">IF($Q20&lt;&gt;2,0,IF($R20=0,1,IF(E21&gt;0,OFFSET(QCI!$M$13,SUBSTITUTE(E21,".",""),0),OFFSET(ORÇAMENTO!$AA$15,CRONO!$E20,0))/$R20))</f>
        <v>1</v>
      </c>
      <c r="C20" s="238">
        <f ca="1">IF($Q20&lt;&gt;2,0,IF($R20=0,1,IF(E21&gt;0,OFFSET(QCI!$N$13,SUBSTITUTE(E21,".",""),0),OFFSET(ORÇAMENTO!$AB$15,CRONO!$E20,0))/$R20))</f>
        <v>1</v>
      </c>
      <c r="D20" s="241">
        <f ca="1">IF(AND($Q20=2,ACOMPANHAMENTO="BM"),D21,D22/$R20)</f>
        <v>0</v>
      </c>
      <c r="E20" s="238">
        <f ca="1">IF(A20&lt;=ORÇAMENTO.MáximoListaCrono,MATCH(A20,ORÇAMENTO.ListaCrono,0),NA())</f>
        <v>13</v>
      </c>
      <c r="F20" s="238" t="str">
        <f ca="1">IF(AND($E21&lt;&gt;-1,$R20&gt;0),"F","")</f>
        <v/>
      </c>
      <c r="G20" s="242" t="str">
        <f ca="1">IF(OR(R20=0,R20=""),"Linha",IF(AND(OR(ACOMPANHAMENTO="PLE",$Q20&lt;&gt;2),$E21=0),"Linha",1-SUM(T20:AR20)))</f>
        <v>Linha</v>
      </c>
      <c r="H20" s="243" t="str">
        <f ca="1">IF($E21=0,OFFSET(ORÇAMENTO!O$15,$E20,0),IF($E21&lt;&gt;-1,OFFSET(QCI!$D$13,$E21,0),""))</f>
        <v>1.2.</v>
      </c>
      <c r="I20" s="244" t="str">
        <f ca="1">IF($E21=0,OFFSET(ORÇAMENTO!R$15,$E20,0),IF($E21&lt;&gt;-1,OFFSET(QCI!$G$13,$E21,0),""))</f>
        <v>MOVIMENTO DE TERRA PARA FUNDAÇÕES</v>
      </c>
      <c r="J20" s="244"/>
      <c r="K20" s="244"/>
      <c r="L20" s="245">
        <f ca="1">IF($E21=0,OFFSET(ORÇAMENTO!C$15,$E20,0),1)</f>
        <v>2</v>
      </c>
      <c r="M20" s="246">
        <f ca="1">IF($E21=-1,0,IF(M$13&lt;=$L20,IF(ISERROR(MATCH(M$13,OFFSET($L20,1,0,ROW($L$98)-ROW($L20)-1),0)),ROW($L$98)-ROW($L20)-1,MATCH(M$13,OFFSET($L20,1,0,ROW($L$98)-ROW($L20)-1),0)-1),0))</f>
        <v>68</v>
      </c>
      <c r="N20" s="246">
        <f ca="1">IF($E21=-1,0,IF(N$13&lt;=$L20,IF(ISERROR(MATCH(N$13,OFFSET($L20,1,0,ROW($L$98)-ROW($L20)-1),0)),ROW($L$98)-ROW($L20)-1,MATCH(N$13,OFFSET($L20,1,0,ROW($L$98)-ROW($L20)-1),0)-1),0))</f>
        <v>2</v>
      </c>
      <c r="O20" s="246">
        <f ca="1">IF($E21=-1,0,IF(O$13&lt;=$L20,IF(ISERROR(MATCH(O$13,OFFSET($L20,1,0,ROW($L$98)-ROW($L20)-1),0)),ROW($L$98)-ROW($L20)-1,MATCH(O$13,OFFSET($L20,1,0,ROW($L$98)-ROW($L20)-1),0)-1),0))</f>
        <v>0</v>
      </c>
      <c r="P20" s="246">
        <f ca="1">IF($E21=-1,0,IF(P$13&lt;=$L20,IF(ISERROR(MATCH(P$13,OFFSET($L20,1,0,ROW($L$98)-ROW($L20)-1),0)),ROW($L$98)-ROW($L20)-1,MATCH(P$13,OFFSET($L20,1,0,ROW($L$98)-ROW($L20)-1),0)-1),0))</f>
        <v>0</v>
      </c>
      <c r="Q20" s="246">
        <f ca="1">MIN(OFFSET(L20,0,1,,L20))</f>
        <v>2</v>
      </c>
      <c r="R20" s="247">
        <f ca="1">IF($E21=0,OFFSET(ORÇAMENTO!X$15,$E20,0),IF($E21&lt;&gt;-1,OFFSET(QCI!$O$13,$E21,0),""))</f>
        <v>0</v>
      </c>
      <c r="S20" s="248" t="s">
        <v>272</v>
      </c>
      <c r="T20" s="249">
        <f t="shared" ref="T20:AQ20" ca="1" si="6">IF(AND($Q20=2,ACOMPANHAMENTO="BM"),T21,T22/$R20)</f>
        <v>0.15</v>
      </c>
      <c r="U20" s="241">
        <f t="shared" ca="1" si="6"/>
        <v>0.85</v>
      </c>
      <c r="V20" s="241">
        <f t="shared" ca="1" si="6"/>
        <v>0</v>
      </c>
      <c r="W20" s="241">
        <f t="shared" ca="1" si="6"/>
        <v>0</v>
      </c>
      <c r="X20" s="241">
        <f t="shared" ca="1" si="6"/>
        <v>0</v>
      </c>
      <c r="Y20" s="241">
        <f t="shared" ca="1" si="6"/>
        <v>0</v>
      </c>
      <c r="Z20" s="241">
        <f t="shared" ca="1" si="6"/>
        <v>0</v>
      </c>
      <c r="AA20" s="241">
        <f t="shared" ca="1" si="6"/>
        <v>0</v>
      </c>
      <c r="AB20" s="241">
        <f t="shared" ca="1" si="6"/>
        <v>0</v>
      </c>
      <c r="AC20" s="241">
        <f t="shared" ca="1" si="6"/>
        <v>0</v>
      </c>
      <c r="AD20" s="241">
        <f t="shared" ca="1" si="6"/>
        <v>0</v>
      </c>
      <c r="AE20" s="250">
        <f t="shared" ca="1" si="6"/>
        <v>0</v>
      </c>
      <c r="AF20" s="249">
        <f t="shared" ca="1" si="6"/>
        <v>0</v>
      </c>
      <c r="AG20" s="241">
        <f t="shared" ca="1" si="6"/>
        <v>0</v>
      </c>
      <c r="AH20" s="241">
        <f t="shared" ca="1" si="6"/>
        <v>0</v>
      </c>
      <c r="AI20" s="241">
        <f t="shared" ca="1" si="6"/>
        <v>0</v>
      </c>
      <c r="AJ20" s="241">
        <f t="shared" ca="1" si="6"/>
        <v>0</v>
      </c>
      <c r="AK20" s="241">
        <f t="shared" ca="1" si="6"/>
        <v>0</v>
      </c>
      <c r="AL20" s="241">
        <f t="shared" ca="1" si="6"/>
        <v>0</v>
      </c>
      <c r="AM20" s="241">
        <f t="shared" ca="1" si="6"/>
        <v>0</v>
      </c>
      <c r="AN20" s="241">
        <f t="shared" ca="1" si="6"/>
        <v>0</v>
      </c>
      <c r="AO20" s="241">
        <f t="shared" ca="1" si="6"/>
        <v>0</v>
      </c>
      <c r="AP20" s="241">
        <f t="shared" ca="1" si="6"/>
        <v>0</v>
      </c>
      <c r="AQ20" s="250">
        <f t="shared" ca="1" si="6"/>
        <v>0</v>
      </c>
    </row>
    <row r="21" spans="1:44" ht="12.75" customHeight="1" x14ac:dyDescent="0.25">
      <c r="D21" s="658"/>
      <c r="E21" s="238">
        <f ca="1">IF(ISERROR(E20),IF(1+COUNTIF($L$13:OFFSET(L20,-1,0),1)&lt;=MAX(QCI!$D$13:$D$24),1+COUNTIF($L$13:OFFSET(L20,-1,0),1),-1),0)</f>
        <v>0</v>
      </c>
      <c r="F21" s="238" t="str">
        <f ca="1">IF(AND($E21&lt;&gt;-1,$R20&gt;0),"F","")</f>
        <v/>
      </c>
      <c r="G21" s="251" t="str">
        <f ca="1">IF(OR(R20=0,R20=""),"vazia",IF(AND(OR(ACOMPANHAMENTO="PLE",$Q20&lt;&gt;2),$E21=0),"calculada","--&gt;"))</f>
        <v>vazia</v>
      </c>
      <c r="H21" s="252"/>
      <c r="I21" s="253" t="str">
        <f ca="1">IF(AND(G20&lt;&gt;0,ISNUMBER(G20)),"PREENCHA ESTA LINHA --&gt;","")</f>
        <v/>
      </c>
      <c r="J21" s="253"/>
      <c r="K21" s="253"/>
      <c r="L21" s="254"/>
      <c r="M21" s="254"/>
      <c r="N21" s="254"/>
      <c r="O21" s="254"/>
      <c r="P21" s="254"/>
      <c r="Q21" s="254"/>
      <c r="R21" s="255"/>
      <c r="S21" s="256"/>
      <c r="T21" s="659">
        <v>0.15</v>
      </c>
      <c r="U21" s="658">
        <v>0.85</v>
      </c>
      <c r="V21" s="658"/>
      <c r="W21" s="658"/>
      <c r="X21" s="658"/>
      <c r="Y21" s="658"/>
      <c r="Z21" s="658"/>
      <c r="AA21" s="658"/>
      <c r="AB21" s="658"/>
      <c r="AC21" s="658"/>
      <c r="AD21" s="658"/>
      <c r="AE21" s="660"/>
      <c r="AF21" s="659"/>
      <c r="AG21" s="658"/>
      <c r="AH21" s="658"/>
      <c r="AI21" s="658"/>
      <c r="AJ21" s="658"/>
      <c r="AK21" s="658"/>
      <c r="AL21" s="658"/>
      <c r="AM21" s="658"/>
      <c r="AN21" s="658"/>
      <c r="AO21" s="658"/>
      <c r="AP21" s="658"/>
      <c r="AQ21" s="660"/>
      <c r="AR21" s="618"/>
    </row>
    <row r="22" spans="1:44" ht="0.15" hidden="1" customHeight="1" x14ac:dyDescent="0.25">
      <c r="D22" s="257">
        <f ca="1">IF($Q20=2,IF(AND(ACOMPANHAMENTO="PLE",ISNUMBER($E20)),SUMIF((OFFSET(CÁLCULO!$BC$15:$BU$15,$E20,0,OFFSET(ORÇAMENTO!$D$15,CRONO!$E20,0))),"="&amp;CRONO!D$12,OFFSET(CÁLCULO!$AJ$15:$BB$15,$E20,0,OFFSET(ORÇAMENTO!$D$15,CRONO!$E20,0)))+IF(AND($E22&lt;&gt;"",$E22&lt;&gt;0),SUMIF(CÁLCULO!$BC$15:$BU$710,"="&amp;CRONO!D$12,CÁLCULO!$AJ$15:$BB$710)/(ORÇAMENTO!$X$15-CÁLCULO.TotalAdmLocal)*CRONO!$E22,0),D21*$R20),SUMIF(OFFSET($R22,1,0,$Q20-2),($L20+1)&amp;"$",OFFSET(D22,1,0,$Q20-2)))</f>
        <v>0</v>
      </c>
      <c r="E22" s="238">
        <f ca="1">IF(OR($Q20&lt;&gt;2,AUTOEVENTO&lt;&gt;"manual",$E21&gt;0),"",SUMIF(OFFSET(CÁLCULO!$M$15,CRONO!$E20,0,OFFSET(ORÇAMENTO!$D$15,CRONO!$E20,0)),1,OFFSET(ORÇAMENTO!$X$15,CRONO!$E20,0,OFFSET(ORÇAMENTO!$D$15,CRONO!$E20,0))))</f>
        <v>0</v>
      </c>
      <c r="G22" s="258"/>
      <c r="R22" s="259" t="str">
        <f ca="1">L20&amp;"$"</f>
        <v>2$</v>
      </c>
      <c r="S22" s="260"/>
      <c r="T22" s="261">
        <f ca="1">IF($Q20=2,IF(AND(ACOMPANHAMENTO="PLE",ISNUMBER($E20)),SUMIF((OFFSET(CÁLCULO!$BC$15:$BU$15,$E20,0,OFFSET(ORÇAMENTO!$D$15,CRONO!$E20,0))),"&lt;="&amp;CRONO!T$12,OFFSET(CÁLCULO!$AJ$15:$BB$15,$E20,0,OFFSET(ORÇAMENTO!$D$15,CRONO!$E20,0)))+IF(AND($E22&lt;&gt;"",$E22&lt;&gt;0),SUMIF(CÁLCULO!$BC$15:$BU$710,"&lt;="&amp;CRONO!T$12,CÁLCULO!$AJ$15:$BB$710)/(ORÇAMENTO!$X$15-CÁLCULO.TotalAdmLocal)*CRONO!$E22,0),T21*$R20),SUMIF(OFFSET($R22,1,0,$Q20-2),($L20+1)&amp;"$",OFFSET(T22,1,0,$Q20-2)))</f>
        <v>0</v>
      </c>
      <c r="U22" s="257">
        <f ca="1">IF($Q20=2,IF(AND(ACOMPANHAMENTO="PLE",ISNUMBER($E20)),SUMIF((OFFSET(CÁLCULO!$BC$15:$BU$15,$E20,0,OFFSET(ORÇAMENTO!$D$15,CRONO!$E20,0))),"="&amp;CRONO!U$12,OFFSET(CÁLCULO!$AJ$15:$BB$15,$E20,0,OFFSET(ORÇAMENTO!$D$15,CRONO!$E20,0)))+IF(AND($E22&lt;&gt;"",$E22&lt;&gt;0),SUMIF(CÁLCULO!$BC$15:$BU$710,"="&amp;CRONO!U$12,CÁLCULO!$AJ$15:$BB$710)/(ORÇAMENTO!$X$15-CÁLCULO.TotalAdmLocal)*CRONO!$E22,0),U21*$R20),SUMIF(OFFSET($R22,1,0,$Q20-2),($L20+1)&amp;"$",OFFSET(U22,1,0,$Q20-2)))</f>
        <v>0</v>
      </c>
      <c r="V22" s="257">
        <f ca="1">IF($Q20=2,IF(AND(ACOMPANHAMENTO="PLE",ISNUMBER($E20)),SUMIF((OFFSET(CÁLCULO!$BC$15:$BU$15,$E20,0,OFFSET(ORÇAMENTO!$D$15,CRONO!$E20,0))),"="&amp;CRONO!V$12,OFFSET(CÁLCULO!$AJ$15:$BB$15,$E20,0,OFFSET(ORÇAMENTO!$D$15,CRONO!$E20,0)))+IF(AND($E22&lt;&gt;"",$E22&lt;&gt;0),SUMIF(CÁLCULO!$BC$15:$BU$710,"="&amp;CRONO!V$12,CÁLCULO!$AJ$15:$BB$710)/(ORÇAMENTO!$X$15-CÁLCULO.TotalAdmLocal)*CRONO!$E22,0),V21*$R20),SUMIF(OFFSET($R22,1,0,$Q20-2),($L20+1)&amp;"$",OFFSET(V22,1,0,$Q20-2)))</f>
        <v>0</v>
      </c>
      <c r="W22" s="257">
        <f ca="1">IF($Q20=2,IF(AND(ACOMPANHAMENTO="PLE",ISNUMBER($E20)),SUMIF((OFFSET(CÁLCULO!$BC$15:$BU$15,$E20,0,OFFSET(ORÇAMENTO!$D$15,CRONO!$E20,0))),"="&amp;CRONO!W$12,OFFSET(CÁLCULO!$AJ$15:$BB$15,$E20,0,OFFSET(ORÇAMENTO!$D$15,CRONO!$E20,0)))+IF(AND($E22&lt;&gt;"",$E22&lt;&gt;0),SUMIF(CÁLCULO!$BC$15:$BU$710,"="&amp;CRONO!W$12,CÁLCULO!$AJ$15:$BB$710)/(ORÇAMENTO!$X$15-CÁLCULO.TotalAdmLocal)*CRONO!$E22,0),W21*$R20),SUMIF(OFFSET($R22,1,0,$Q20-2),($L20+1)&amp;"$",OFFSET(W22,1,0,$Q20-2)))</f>
        <v>0</v>
      </c>
      <c r="X22" s="257">
        <f ca="1">IF($Q20=2,IF(AND(ACOMPANHAMENTO="PLE",ISNUMBER($E20)),SUMIF((OFFSET(CÁLCULO!$BC$15:$BU$15,$E20,0,OFFSET(ORÇAMENTO!$D$15,CRONO!$E20,0))),"="&amp;CRONO!X$12,OFFSET(CÁLCULO!$AJ$15:$BB$15,$E20,0,OFFSET(ORÇAMENTO!$D$15,CRONO!$E20,0)))+IF(AND($E22&lt;&gt;"",$E22&lt;&gt;0),SUMIF(CÁLCULO!$BC$15:$BU$710,"="&amp;CRONO!X$12,CÁLCULO!$AJ$15:$BB$710)/(ORÇAMENTO!$X$15-CÁLCULO.TotalAdmLocal)*CRONO!$E22,0),X21*$R20),SUMIF(OFFSET($R22,1,0,$Q20-2),($L20+1)&amp;"$",OFFSET(X22,1,0,$Q20-2)))</f>
        <v>0</v>
      </c>
      <c r="Y22" s="257">
        <f ca="1">IF($Q20=2,IF(AND(ACOMPANHAMENTO="PLE",ISNUMBER($E20)),SUMIF((OFFSET(CÁLCULO!$BC$15:$BU$15,$E20,0,OFFSET(ORÇAMENTO!$D$15,CRONO!$E20,0))),"="&amp;CRONO!Y$12,OFFSET(CÁLCULO!$AJ$15:$BB$15,$E20,0,OFFSET(ORÇAMENTO!$D$15,CRONO!$E20,0)))+IF(AND($E22&lt;&gt;"",$E22&lt;&gt;0),SUMIF(CÁLCULO!$BC$15:$BU$710,"="&amp;CRONO!Y$12,CÁLCULO!$AJ$15:$BB$710)/(ORÇAMENTO!$X$15-CÁLCULO.TotalAdmLocal)*CRONO!$E22,0),Y21*$R20),SUMIF(OFFSET($R22,1,0,$Q20-2),($L20+1)&amp;"$",OFFSET(Y22,1,0,$Q20-2)))</f>
        <v>0</v>
      </c>
      <c r="Z22" s="257">
        <f ca="1">IF($Q20=2,IF(AND(ACOMPANHAMENTO="PLE",ISNUMBER($E20)),SUMIF((OFFSET(CÁLCULO!$BC$15:$BU$15,$E20,0,OFFSET(ORÇAMENTO!$D$15,CRONO!$E20,0))),"="&amp;CRONO!Z$12,OFFSET(CÁLCULO!$AJ$15:$BB$15,$E20,0,OFFSET(ORÇAMENTO!$D$15,CRONO!$E20,0)))+IF(AND($E22&lt;&gt;"",$E22&lt;&gt;0),SUMIF(CÁLCULO!$BC$15:$BU$710,"="&amp;CRONO!Z$12,CÁLCULO!$AJ$15:$BB$710)/(ORÇAMENTO!$X$15-CÁLCULO.TotalAdmLocal)*CRONO!$E22,0),Z21*$R20),SUMIF(OFFSET($R22,1,0,$Q20-2),($L20+1)&amp;"$",OFFSET(Z22,1,0,$Q20-2)))</f>
        <v>0</v>
      </c>
      <c r="AA22" s="257">
        <f ca="1">IF($Q20=2,IF(AND(ACOMPANHAMENTO="PLE",ISNUMBER($E20)),SUMIF((OFFSET(CÁLCULO!$BC$15:$BU$15,$E20,0,OFFSET(ORÇAMENTO!$D$15,CRONO!$E20,0))),"="&amp;CRONO!AA$12,OFFSET(CÁLCULO!$AJ$15:$BB$15,$E20,0,OFFSET(ORÇAMENTO!$D$15,CRONO!$E20,0)))+IF(AND($E22&lt;&gt;"",$E22&lt;&gt;0),SUMIF(CÁLCULO!$BC$15:$BU$710,"="&amp;CRONO!AA$12,CÁLCULO!$AJ$15:$BB$710)/(ORÇAMENTO!$X$15-CÁLCULO.TotalAdmLocal)*CRONO!$E22,0),AA21*$R20),SUMIF(OFFSET($R22,1,0,$Q20-2),($L20+1)&amp;"$",OFFSET(AA22,1,0,$Q20-2)))</f>
        <v>0</v>
      </c>
      <c r="AB22" s="257">
        <f ca="1">IF($Q20=2,IF(AND(ACOMPANHAMENTO="PLE",ISNUMBER($E20)),SUMIF((OFFSET(CÁLCULO!$BC$15:$BU$15,$E20,0,OFFSET(ORÇAMENTO!$D$15,CRONO!$E20,0))),"="&amp;CRONO!AB$12,OFFSET(CÁLCULO!$AJ$15:$BB$15,$E20,0,OFFSET(ORÇAMENTO!$D$15,CRONO!$E20,0)))+IF(AND($E22&lt;&gt;"",$E22&lt;&gt;0),SUMIF(CÁLCULO!$BC$15:$BU$710,"="&amp;CRONO!AB$12,CÁLCULO!$AJ$15:$BB$710)/(ORÇAMENTO!$X$15-CÁLCULO.TotalAdmLocal)*CRONO!$E22,0),AB21*$R20),SUMIF(OFFSET($R22,1,0,$Q20-2),($L20+1)&amp;"$",OFFSET(AB22,1,0,$Q20-2)))</f>
        <v>0</v>
      </c>
      <c r="AC22" s="257">
        <f ca="1">IF($Q20=2,IF(AND(ACOMPANHAMENTO="PLE",ISNUMBER($E20)),SUMIF((OFFSET(CÁLCULO!$BC$15:$BU$15,$E20,0,OFFSET(ORÇAMENTO!$D$15,CRONO!$E20,0))),"="&amp;CRONO!AC$12,OFFSET(CÁLCULO!$AJ$15:$BB$15,$E20,0,OFFSET(ORÇAMENTO!$D$15,CRONO!$E20,0)))+IF(AND($E22&lt;&gt;"",$E22&lt;&gt;0),SUMIF(CÁLCULO!$BC$15:$BU$710,"="&amp;CRONO!AC$12,CÁLCULO!$AJ$15:$BB$710)/(ORÇAMENTO!$X$15-CÁLCULO.TotalAdmLocal)*CRONO!$E22,0),AC21*$R20),SUMIF(OFFSET($R22,1,0,$Q20-2),($L20+1)&amp;"$",OFFSET(AC22,1,0,$Q20-2)))</f>
        <v>0</v>
      </c>
      <c r="AD22" s="257">
        <f ca="1">IF($Q20=2,IF(AND(ACOMPANHAMENTO="PLE",ISNUMBER($E20)),SUMIF((OFFSET(CÁLCULO!$BC$15:$BU$15,$E20,0,OFFSET(ORÇAMENTO!$D$15,CRONO!$E20,0))),"="&amp;CRONO!AD$12,OFFSET(CÁLCULO!$AJ$15:$BB$15,$E20,0,OFFSET(ORÇAMENTO!$D$15,CRONO!$E20,0)))+IF(AND($E22&lt;&gt;"",$E22&lt;&gt;0),SUMIF(CÁLCULO!$BC$15:$BU$710,"="&amp;CRONO!AD$12,CÁLCULO!$AJ$15:$BB$710)/(ORÇAMENTO!$X$15-CÁLCULO.TotalAdmLocal)*CRONO!$E22,0),AD21*$R20),SUMIF(OFFSET($R22,1,0,$Q20-2),($L20+1)&amp;"$",OFFSET(AD22,1,0,$Q20-2)))</f>
        <v>0</v>
      </c>
      <c r="AE22" s="262">
        <f ca="1">IF($Q20=2,IF(AND(ACOMPANHAMENTO="PLE",ISNUMBER($E20)),SUMIF((OFFSET(CÁLCULO!$BC$15:$BU$15,$E20,0,OFFSET(ORÇAMENTO!$D$15,CRONO!$E20,0))),"="&amp;CRONO!AE$12,OFFSET(CÁLCULO!$AJ$15:$BB$15,$E20,0,OFFSET(ORÇAMENTO!$D$15,CRONO!$E20,0)))+IF(AND($E22&lt;&gt;"",$E22&lt;&gt;0),SUMIF(CÁLCULO!$BC$15:$BU$710,"="&amp;CRONO!AE$12,CÁLCULO!$AJ$15:$BB$710)/(ORÇAMENTO!$X$15-CÁLCULO.TotalAdmLocal)*CRONO!$E22,0),AE21*$R20),SUMIF(OFFSET($R22,1,0,$Q20-2),($L20+1)&amp;"$",OFFSET(AE22,1,0,$Q20-2)))</f>
        <v>0</v>
      </c>
      <c r="AF22" s="261">
        <f ca="1">IF($Q20=2,IF(AND(ACOMPANHAMENTO="PLE",ISNUMBER($E20)),SUMIF((OFFSET(CÁLCULO!$BC$15:$BU$15,$E20,0,OFFSET(ORÇAMENTO!$D$15,CRONO!$E20,0))),"="&amp;CRONO!AF$12,OFFSET(CÁLCULO!$AJ$15:$BB$15,$E20,0,OFFSET(ORÇAMENTO!$D$15,CRONO!$E20,0)))+IF(AND($E22&lt;&gt;"",$E22&lt;&gt;0),SUMIF(CÁLCULO!$BC$15:$BU$710,"="&amp;CRONO!AF$12,CÁLCULO!$AJ$15:$BB$710)/(ORÇAMENTO!$X$15-CÁLCULO.TotalAdmLocal)*CRONO!$E22,0),AF21*$R20),SUMIF(OFFSET($R22,1,0,$Q20-2),($L20+1)&amp;"$",OFFSET(AF22,1,0,$Q20-2)))</f>
        <v>0</v>
      </c>
      <c r="AG22" s="257">
        <f ca="1">IF($Q20=2,IF(AND(ACOMPANHAMENTO="PLE",ISNUMBER($E20)),SUMIF((OFFSET(CÁLCULO!$BC$15:$BU$15,$E20,0,OFFSET(ORÇAMENTO!$D$15,CRONO!$E20,0))),"="&amp;CRONO!AG$12,OFFSET(CÁLCULO!$AJ$15:$BB$15,$E20,0,OFFSET(ORÇAMENTO!$D$15,CRONO!$E20,0)))+IF(AND($E22&lt;&gt;"",$E22&lt;&gt;0),SUMIF(CÁLCULO!$BC$15:$BU$710,"="&amp;CRONO!AG$12,CÁLCULO!$AJ$15:$BB$710)/(ORÇAMENTO!$X$15-CÁLCULO.TotalAdmLocal)*CRONO!$E22,0),AG21*$R20),SUMIF(OFFSET($R22,1,0,$Q20-2),($L20+1)&amp;"$",OFFSET(AG22,1,0,$Q20-2)))</f>
        <v>0</v>
      </c>
      <c r="AH22" s="257">
        <f ca="1">IF($Q20=2,IF(AND(ACOMPANHAMENTO="PLE",ISNUMBER($E20)),SUMIF((OFFSET(CÁLCULO!$BC$15:$BU$15,$E20,0,OFFSET(ORÇAMENTO!$D$15,CRONO!$E20,0))),"="&amp;CRONO!AH$12,OFFSET(CÁLCULO!$AJ$15:$BB$15,$E20,0,OFFSET(ORÇAMENTO!$D$15,CRONO!$E20,0)))+IF(AND($E22&lt;&gt;"",$E22&lt;&gt;0),SUMIF(CÁLCULO!$BC$15:$BU$710,"="&amp;CRONO!AH$12,CÁLCULO!$AJ$15:$BB$710)/(ORÇAMENTO!$X$15-CÁLCULO.TotalAdmLocal)*CRONO!$E22,0),AH21*$R20),SUMIF(OFFSET($R22,1,0,$Q20-2),($L20+1)&amp;"$",OFFSET(AH22,1,0,$Q20-2)))</f>
        <v>0</v>
      </c>
      <c r="AI22" s="257">
        <f ca="1">IF($Q20=2,IF(AND(ACOMPANHAMENTO="PLE",ISNUMBER($E20)),SUMIF((OFFSET(CÁLCULO!$BC$15:$BU$15,$E20,0,OFFSET(ORÇAMENTO!$D$15,CRONO!$E20,0))),"="&amp;CRONO!AI$12,OFFSET(CÁLCULO!$AJ$15:$BB$15,$E20,0,OFFSET(ORÇAMENTO!$D$15,CRONO!$E20,0)))+IF(AND($E22&lt;&gt;"",$E22&lt;&gt;0),SUMIF(CÁLCULO!$BC$15:$BU$710,"="&amp;CRONO!AI$12,CÁLCULO!$AJ$15:$BB$710)/(ORÇAMENTO!$X$15-CÁLCULO.TotalAdmLocal)*CRONO!$E22,0),AI21*$R20),SUMIF(OFFSET($R22,1,0,$Q20-2),($L20+1)&amp;"$",OFFSET(AI22,1,0,$Q20-2)))</f>
        <v>0</v>
      </c>
      <c r="AJ22" s="257">
        <f ca="1">IF($Q20=2,IF(AND(ACOMPANHAMENTO="PLE",ISNUMBER($E20)),SUMIF((OFFSET(CÁLCULO!$BC$15:$BU$15,$E20,0,OFFSET(ORÇAMENTO!$D$15,CRONO!$E20,0))),"="&amp;CRONO!AJ$12,OFFSET(CÁLCULO!$AJ$15:$BB$15,$E20,0,OFFSET(ORÇAMENTO!$D$15,CRONO!$E20,0)))+IF(AND($E22&lt;&gt;"",$E22&lt;&gt;0),SUMIF(CÁLCULO!$BC$15:$BU$710,"="&amp;CRONO!AJ$12,CÁLCULO!$AJ$15:$BB$710)/(ORÇAMENTO!$X$15-CÁLCULO.TotalAdmLocal)*CRONO!$E22,0),AJ21*$R20),SUMIF(OFFSET($R22,1,0,$Q20-2),($L20+1)&amp;"$",OFFSET(AJ22,1,0,$Q20-2)))</f>
        <v>0</v>
      </c>
      <c r="AK22" s="257">
        <f ca="1">IF($Q20=2,IF(AND(ACOMPANHAMENTO="PLE",ISNUMBER($E20)),SUMIF((OFFSET(CÁLCULO!$BC$15:$BU$15,$E20,0,OFFSET(ORÇAMENTO!$D$15,CRONO!$E20,0))),"="&amp;CRONO!AK$12,OFFSET(CÁLCULO!$AJ$15:$BB$15,$E20,0,OFFSET(ORÇAMENTO!$D$15,CRONO!$E20,0)))+IF(AND($E22&lt;&gt;"",$E22&lt;&gt;0),SUMIF(CÁLCULO!$BC$15:$BU$710,"="&amp;CRONO!AK$12,CÁLCULO!$AJ$15:$BB$710)/(ORÇAMENTO!$X$15-CÁLCULO.TotalAdmLocal)*CRONO!$E22,0),AK21*$R20),SUMIF(OFFSET($R22,1,0,$Q20-2),($L20+1)&amp;"$",OFFSET(AK22,1,0,$Q20-2)))</f>
        <v>0</v>
      </c>
      <c r="AL22" s="257">
        <f ca="1">IF($Q20=2,IF(AND(ACOMPANHAMENTO="PLE",ISNUMBER($E20)),SUMIF((OFFSET(CÁLCULO!$BC$15:$BU$15,$E20,0,OFFSET(ORÇAMENTO!$D$15,CRONO!$E20,0))),"="&amp;CRONO!AL$12,OFFSET(CÁLCULO!$AJ$15:$BB$15,$E20,0,OFFSET(ORÇAMENTO!$D$15,CRONO!$E20,0)))+IF(AND($E22&lt;&gt;"",$E22&lt;&gt;0),SUMIF(CÁLCULO!$BC$15:$BU$710,"="&amp;CRONO!AL$12,CÁLCULO!$AJ$15:$BB$710)/(ORÇAMENTO!$X$15-CÁLCULO.TotalAdmLocal)*CRONO!$E22,0),AL21*$R20),SUMIF(OFFSET($R22,1,0,$Q20-2),($L20+1)&amp;"$",OFFSET(AL22,1,0,$Q20-2)))</f>
        <v>0</v>
      </c>
      <c r="AM22" s="257">
        <f ca="1">IF($Q20=2,IF(AND(ACOMPANHAMENTO="PLE",ISNUMBER($E20)),SUMIF((OFFSET(CÁLCULO!$BC$15:$BU$15,$E20,0,OFFSET(ORÇAMENTO!$D$15,CRONO!$E20,0))),"="&amp;CRONO!AM$12,OFFSET(CÁLCULO!$AJ$15:$BB$15,$E20,0,OFFSET(ORÇAMENTO!$D$15,CRONO!$E20,0)))+IF(AND($E22&lt;&gt;"",$E22&lt;&gt;0),SUMIF(CÁLCULO!$BC$15:$BU$710,"="&amp;CRONO!AM$12,CÁLCULO!$AJ$15:$BB$710)/(ORÇAMENTO!$X$15-CÁLCULO.TotalAdmLocal)*CRONO!$E22,0),AM21*$R20),SUMIF(OFFSET($R22,1,0,$Q20-2),($L20+1)&amp;"$",OFFSET(AM22,1,0,$Q20-2)))</f>
        <v>0</v>
      </c>
      <c r="AN22" s="257">
        <f ca="1">IF($Q20=2,IF(AND(ACOMPANHAMENTO="PLE",ISNUMBER($E20)),SUMIF((OFFSET(CÁLCULO!$BC$15:$BU$15,$E20,0,OFFSET(ORÇAMENTO!$D$15,CRONO!$E20,0))),"="&amp;CRONO!AN$12,OFFSET(CÁLCULO!$AJ$15:$BB$15,$E20,0,OFFSET(ORÇAMENTO!$D$15,CRONO!$E20,0)))+IF(AND($E22&lt;&gt;"",$E22&lt;&gt;0),SUMIF(CÁLCULO!$BC$15:$BU$710,"="&amp;CRONO!AN$12,CÁLCULO!$AJ$15:$BB$710)/(ORÇAMENTO!$X$15-CÁLCULO.TotalAdmLocal)*CRONO!$E22,0),AN21*$R20),SUMIF(OFFSET($R22,1,0,$Q20-2),($L20+1)&amp;"$",OFFSET(AN22,1,0,$Q20-2)))</f>
        <v>0</v>
      </c>
      <c r="AO22" s="257">
        <f ca="1">IF($Q20=2,IF(AND(ACOMPANHAMENTO="PLE",ISNUMBER($E20)),SUMIF((OFFSET(CÁLCULO!$BC$15:$BU$15,$E20,0,OFFSET(ORÇAMENTO!$D$15,CRONO!$E20,0))),"="&amp;CRONO!AO$12,OFFSET(CÁLCULO!$AJ$15:$BB$15,$E20,0,OFFSET(ORÇAMENTO!$D$15,CRONO!$E20,0)))+IF(AND($E22&lt;&gt;"",$E22&lt;&gt;0),SUMIF(CÁLCULO!$BC$15:$BU$710,"="&amp;CRONO!AO$12,CÁLCULO!$AJ$15:$BB$710)/(ORÇAMENTO!$X$15-CÁLCULO.TotalAdmLocal)*CRONO!$E22,0),AO21*$R20),SUMIF(OFFSET($R22,1,0,$Q20-2),($L20+1)&amp;"$",OFFSET(AO22,1,0,$Q20-2)))</f>
        <v>0</v>
      </c>
      <c r="AP22" s="257">
        <f ca="1">IF($Q20=2,IF(AND(ACOMPANHAMENTO="PLE",ISNUMBER($E20)),SUMIF((OFFSET(CÁLCULO!$BC$15:$BU$15,$E20,0,OFFSET(ORÇAMENTO!$D$15,CRONO!$E20,0))),"="&amp;CRONO!AP$12,OFFSET(CÁLCULO!$AJ$15:$BB$15,$E20,0,OFFSET(ORÇAMENTO!$D$15,CRONO!$E20,0)))+IF(AND($E22&lt;&gt;"",$E22&lt;&gt;0),SUMIF(CÁLCULO!$BC$15:$BU$710,"="&amp;CRONO!AP$12,CÁLCULO!$AJ$15:$BB$710)/(ORÇAMENTO!$X$15-CÁLCULO.TotalAdmLocal)*CRONO!$E22,0),AP21*$R20),SUMIF(OFFSET($R22,1,0,$Q20-2),($L20+1)&amp;"$",OFFSET(AP22,1,0,$Q20-2)))</f>
        <v>0</v>
      </c>
      <c r="AQ22" s="262">
        <f ca="1">IF($Q20=2,IF(AND(ACOMPANHAMENTO="PLE",ISNUMBER($E20)),SUMIF((OFFSET(CÁLCULO!$BC$15:$BU$15,$E20,0,OFFSET(ORÇAMENTO!$D$15,CRONO!$E20,0))),"="&amp;CRONO!AQ$12,OFFSET(CÁLCULO!$AJ$15:$BB$15,$E20,0,OFFSET(ORÇAMENTO!$D$15,CRONO!$E20,0)))+IF(AND($E22&lt;&gt;"",$E22&lt;&gt;0),SUMIF(CÁLCULO!$BC$15:$BU$710,"="&amp;CRONO!AQ$12,CÁLCULO!$AJ$15:$BB$710)/(ORÇAMENTO!$X$15-CÁLCULO.TotalAdmLocal)*CRONO!$E22,0),AQ21*$R20),SUMIF(OFFSET($R22,1,0,$Q20-2),($L20+1)&amp;"$",OFFSET(AQ22,1,0,$Q20-2)))</f>
        <v>0</v>
      </c>
    </row>
    <row r="23" spans="1:44" x14ac:dyDescent="0.25">
      <c r="A23" s="238">
        <f ca="1">OFFSET(A23,-3,0)+1</f>
        <v>4</v>
      </c>
      <c r="B23" s="238">
        <f ca="1">IF($Q23&lt;&gt;2,0,IF($R23=0,1,IF(E24&gt;0,OFFSET(QCI!$M$13,SUBSTITUTE(E24,".",""),0),OFFSET(ORÇAMENTO!$AA$15,CRONO!$E23,0))/$R23))</f>
        <v>1</v>
      </c>
      <c r="C23" s="238">
        <f ca="1">IF($Q23&lt;&gt;2,0,IF($R23=0,1,IF(E24&gt;0,OFFSET(QCI!$N$13,SUBSTITUTE(E24,".",""),0),OFFSET(ORÇAMENTO!$AB$15,CRONO!$E23,0))/$R23))</f>
        <v>1</v>
      </c>
      <c r="D23" s="241">
        <f ca="1">IF(AND($Q23=2,ACOMPANHAMENTO="BM"),D24,D25/$R23)</f>
        <v>0</v>
      </c>
      <c r="E23" s="238">
        <f ca="1">IF(A23&lt;=ORÇAMENTO.MáximoListaCrono,MATCH(A23,ORÇAMENTO.ListaCrono,0),NA())</f>
        <v>33</v>
      </c>
      <c r="F23" s="238" t="str">
        <f ca="1">IF(AND($E24&lt;&gt;-1,$R23&gt;0),"F","")</f>
        <v/>
      </c>
      <c r="G23" s="242" t="str">
        <f ca="1">IF(OR(R23=0,R23=""),"Linha",IF(AND(OR(ACOMPANHAMENTO="PLE",$Q23&lt;&gt;2),$E24=0),"Linha",1-SUM(T23:AR23)))</f>
        <v>Linha</v>
      </c>
      <c r="H23" s="243" t="str">
        <f ca="1">IF($E24=0,OFFSET(ORÇAMENTO!O$15,$E23,0),IF($E24&lt;&gt;-1,OFFSET(QCI!$D$13,$E24,0),""))</f>
        <v>1.3.</v>
      </c>
      <c r="I23" s="244" t="str">
        <f ca="1">IF($E24=0,OFFSET(ORÇAMENTO!R$15,$E23,0),IF($E24&lt;&gt;-1,OFFSET(QCI!$G$13,$E24,0),""))</f>
        <v>FUNDAÇÕES</v>
      </c>
      <c r="J23" s="244"/>
      <c r="K23" s="244"/>
      <c r="L23" s="245">
        <f ca="1">IF($E24=0,OFFSET(ORÇAMENTO!C$15,$E23,0),1)</f>
        <v>2</v>
      </c>
      <c r="M23" s="246">
        <f ca="1">IF($E24=-1,0,IF(M$13&lt;=$L23,IF(ISERROR(MATCH(M$13,OFFSET($L23,1,0,ROW($L$98)-ROW($L23)-1),0)),ROW($L$98)-ROW($L23)-1,MATCH(M$13,OFFSET($L23,1,0,ROW($L$98)-ROW($L23)-1),0)-1),0))</f>
        <v>65</v>
      </c>
      <c r="N23" s="246">
        <f ca="1">IF($E24=-1,0,IF(N$13&lt;=$L23,IF(ISERROR(MATCH(N$13,OFFSET($L23,1,0,ROW($L$98)-ROW($L23)-1),0)),ROW($L$98)-ROW($L23)-1,MATCH(N$13,OFFSET($L23,1,0,ROW($L$98)-ROW($L23)-1),0)-1),0))</f>
        <v>2</v>
      </c>
      <c r="O23" s="246">
        <f ca="1">IF($E24=-1,0,IF(O$13&lt;=$L23,IF(ISERROR(MATCH(O$13,OFFSET($L23,1,0,ROW($L$98)-ROW($L23)-1),0)),ROW($L$98)-ROW($L23)-1,MATCH(O$13,OFFSET($L23,1,0,ROW($L$98)-ROW($L23)-1),0)-1),0))</f>
        <v>0</v>
      </c>
      <c r="P23" s="246">
        <f ca="1">IF($E24=-1,0,IF(P$13&lt;=$L23,IF(ISERROR(MATCH(P$13,OFFSET($L23,1,0,ROW($L$98)-ROW($L23)-1),0)),ROW($L$98)-ROW($L23)-1,MATCH(P$13,OFFSET($L23,1,0,ROW($L$98)-ROW($L23)-1),0)-1),0))</f>
        <v>0</v>
      </c>
      <c r="Q23" s="246">
        <f ca="1">MIN(OFFSET(L23,0,1,,L23))</f>
        <v>2</v>
      </c>
      <c r="R23" s="247">
        <f ca="1">IF($E24=0,OFFSET(ORÇAMENTO!X$15,$E23,0),IF($E24&lt;&gt;-1,OFFSET(QCI!$O$13,$E24,0),""))</f>
        <v>0</v>
      </c>
      <c r="S23" s="248" t="s">
        <v>272</v>
      </c>
      <c r="T23" s="249">
        <f t="shared" ref="T23:AQ23" ca="1" si="7">IF(AND($Q23=2,ACOMPANHAMENTO="BM"),T24,T25/$R23)</f>
        <v>0</v>
      </c>
      <c r="U23" s="241">
        <f t="shared" ca="1" si="7"/>
        <v>0.7</v>
      </c>
      <c r="V23" s="241">
        <f t="shared" ca="1" si="7"/>
        <v>0.3</v>
      </c>
      <c r="W23" s="241">
        <f t="shared" ca="1" si="7"/>
        <v>0</v>
      </c>
      <c r="X23" s="241">
        <f t="shared" ca="1" si="7"/>
        <v>0</v>
      </c>
      <c r="Y23" s="241">
        <f t="shared" ca="1" si="7"/>
        <v>0</v>
      </c>
      <c r="Z23" s="241">
        <f t="shared" ca="1" si="7"/>
        <v>0</v>
      </c>
      <c r="AA23" s="241">
        <f t="shared" ca="1" si="7"/>
        <v>0</v>
      </c>
      <c r="AB23" s="241">
        <f t="shared" ca="1" si="7"/>
        <v>0</v>
      </c>
      <c r="AC23" s="241">
        <f t="shared" ca="1" si="7"/>
        <v>0</v>
      </c>
      <c r="AD23" s="241">
        <f t="shared" ca="1" si="7"/>
        <v>0</v>
      </c>
      <c r="AE23" s="250">
        <f t="shared" ca="1" si="7"/>
        <v>0</v>
      </c>
      <c r="AF23" s="249">
        <f t="shared" ca="1" si="7"/>
        <v>0</v>
      </c>
      <c r="AG23" s="241">
        <f t="shared" ca="1" si="7"/>
        <v>0</v>
      </c>
      <c r="AH23" s="241">
        <f t="shared" ca="1" si="7"/>
        <v>0</v>
      </c>
      <c r="AI23" s="241">
        <f t="shared" ca="1" si="7"/>
        <v>0</v>
      </c>
      <c r="AJ23" s="241">
        <f t="shared" ca="1" si="7"/>
        <v>0</v>
      </c>
      <c r="AK23" s="241">
        <f t="shared" ca="1" si="7"/>
        <v>0</v>
      </c>
      <c r="AL23" s="241">
        <f t="shared" ca="1" si="7"/>
        <v>0</v>
      </c>
      <c r="AM23" s="241">
        <f t="shared" ca="1" si="7"/>
        <v>0</v>
      </c>
      <c r="AN23" s="241">
        <f t="shared" ca="1" si="7"/>
        <v>0</v>
      </c>
      <c r="AO23" s="241">
        <f t="shared" ca="1" si="7"/>
        <v>0</v>
      </c>
      <c r="AP23" s="241">
        <f t="shared" ca="1" si="7"/>
        <v>0</v>
      </c>
      <c r="AQ23" s="250">
        <f t="shared" ca="1" si="7"/>
        <v>0</v>
      </c>
    </row>
    <row r="24" spans="1:44" ht="12.75" customHeight="1" x14ac:dyDescent="0.25">
      <c r="D24" s="658"/>
      <c r="E24" s="238">
        <f ca="1">IF(ISERROR(E23),IF(1+COUNTIF($L$13:OFFSET(L23,-1,0),1)&lt;=MAX(QCI!$D$13:$D$24),1+COUNTIF($L$13:OFFSET(L23,-1,0),1),-1),0)</f>
        <v>0</v>
      </c>
      <c r="F24" s="238" t="str">
        <f ca="1">IF(AND($E24&lt;&gt;-1,$R23&gt;0),"F","")</f>
        <v/>
      </c>
      <c r="G24" s="251" t="str">
        <f ca="1">IF(OR(R23=0,R23=""),"vazia",IF(AND(OR(ACOMPANHAMENTO="PLE",$Q23&lt;&gt;2),$E24=0),"calculada","--&gt;"))</f>
        <v>vazia</v>
      </c>
      <c r="H24" s="252"/>
      <c r="I24" s="253" t="str">
        <f ca="1">IF(AND(G23&lt;&gt;0,ISNUMBER(G23)),"PREENCHA ESTA LINHA --&gt;","")</f>
        <v/>
      </c>
      <c r="J24" s="253"/>
      <c r="K24" s="253"/>
      <c r="L24" s="254"/>
      <c r="M24" s="254"/>
      <c r="N24" s="254"/>
      <c r="O24" s="254"/>
      <c r="P24" s="254"/>
      <c r="Q24" s="254"/>
      <c r="R24" s="255"/>
      <c r="S24" s="256"/>
      <c r="T24" s="659"/>
      <c r="U24" s="658">
        <v>0.7</v>
      </c>
      <c r="V24" s="658">
        <v>0.3</v>
      </c>
      <c r="W24" s="658"/>
      <c r="X24" s="658"/>
      <c r="Y24" s="658"/>
      <c r="Z24" s="658"/>
      <c r="AA24" s="658"/>
      <c r="AB24" s="658"/>
      <c r="AC24" s="658"/>
      <c r="AD24" s="658"/>
      <c r="AE24" s="660"/>
      <c r="AF24" s="659"/>
      <c r="AG24" s="658"/>
      <c r="AH24" s="658"/>
      <c r="AI24" s="658"/>
      <c r="AJ24" s="658"/>
      <c r="AK24" s="658"/>
      <c r="AL24" s="658"/>
      <c r="AM24" s="658"/>
      <c r="AN24" s="658"/>
      <c r="AO24" s="658"/>
      <c r="AP24" s="658"/>
      <c r="AQ24" s="660"/>
      <c r="AR24" s="618"/>
    </row>
    <row r="25" spans="1:44" ht="0.15" hidden="1" customHeight="1" x14ac:dyDescent="0.25">
      <c r="D25" s="257">
        <f ca="1">IF($Q23=2,IF(AND(ACOMPANHAMENTO="PLE",ISNUMBER($E23)),SUMIF((OFFSET(CÁLCULO!$BC$15:$BU$15,$E23,0,OFFSET(ORÇAMENTO!$D$15,CRONO!$E23,0))),"="&amp;CRONO!D$12,OFFSET(CÁLCULO!$AJ$15:$BB$15,$E23,0,OFFSET(ORÇAMENTO!$D$15,CRONO!$E23,0)))+IF(AND($E25&lt;&gt;"",$E25&lt;&gt;0),SUMIF(CÁLCULO!$BC$15:$BU$710,"="&amp;CRONO!D$12,CÁLCULO!$AJ$15:$BB$710)/(ORÇAMENTO!$X$15-CÁLCULO.TotalAdmLocal)*CRONO!$E25,0),D24*$R23),SUMIF(OFFSET($R25,1,0,$Q23-2),($L23+1)&amp;"$",OFFSET(D25,1,0,$Q23-2)))</f>
        <v>0</v>
      </c>
      <c r="E25" s="238">
        <f ca="1">IF(OR($Q23&lt;&gt;2,AUTOEVENTO&lt;&gt;"manual",$E24&gt;0),"",SUMIF(OFFSET(CÁLCULO!$M$15,CRONO!$E23,0,OFFSET(ORÇAMENTO!$D$15,CRONO!$E23,0)),1,OFFSET(ORÇAMENTO!$X$15,CRONO!$E23,0,OFFSET(ORÇAMENTO!$D$15,CRONO!$E23,0))))</f>
        <v>0</v>
      </c>
      <c r="G25" s="258"/>
      <c r="R25" s="259" t="str">
        <f ca="1">L23&amp;"$"</f>
        <v>2$</v>
      </c>
      <c r="S25" s="260"/>
      <c r="T25" s="261">
        <f ca="1">IF($Q23=2,IF(AND(ACOMPANHAMENTO="PLE",ISNUMBER($E23)),SUMIF((OFFSET(CÁLCULO!$BC$15:$BU$15,$E23,0,OFFSET(ORÇAMENTO!$D$15,CRONO!$E23,0))),"&lt;="&amp;CRONO!T$12,OFFSET(CÁLCULO!$AJ$15:$BB$15,$E23,0,OFFSET(ORÇAMENTO!$D$15,CRONO!$E23,0)))+IF(AND($E25&lt;&gt;"",$E25&lt;&gt;0),SUMIF(CÁLCULO!$BC$15:$BU$710,"&lt;="&amp;CRONO!T$12,CÁLCULO!$AJ$15:$BB$710)/(ORÇAMENTO!$X$15-CÁLCULO.TotalAdmLocal)*CRONO!$E25,0),T24*$R23),SUMIF(OFFSET($R25,1,0,$Q23-2),($L23+1)&amp;"$",OFFSET(T25,1,0,$Q23-2)))</f>
        <v>0</v>
      </c>
      <c r="U25" s="257">
        <f ca="1">IF($Q23=2,IF(AND(ACOMPANHAMENTO="PLE",ISNUMBER($E23)),SUMIF((OFFSET(CÁLCULO!$BC$15:$BU$15,$E23,0,OFFSET(ORÇAMENTO!$D$15,CRONO!$E23,0))),"="&amp;CRONO!U$12,OFFSET(CÁLCULO!$AJ$15:$BB$15,$E23,0,OFFSET(ORÇAMENTO!$D$15,CRONO!$E23,0)))+IF(AND($E25&lt;&gt;"",$E25&lt;&gt;0),SUMIF(CÁLCULO!$BC$15:$BU$710,"="&amp;CRONO!U$12,CÁLCULO!$AJ$15:$BB$710)/(ORÇAMENTO!$X$15-CÁLCULO.TotalAdmLocal)*CRONO!$E25,0),U24*$R23),SUMIF(OFFSET($R25,1,0,$Q23-2),($L23+1)&amp;"$",OFFSET(U25,1,0,$Q23-2)))</f>
        <v>0</v>
      </c>
      <c r="V25" s="257">
        <f ca="1">IF($Q23=2,IF(AND(ACOMPANHAMENTO="PLE",ISNUMBER($E23)),SUMIF((OFFSET(CÁLCULO!$BC$15:$BU$15,$E23,0,OFFSET(ORÇAMENTO!$D$15,CRONO!$E23,0))),"="&amp;CRONO!V$12,OFFSET(CÁLCULO!$AJ$15:$BB$15,$E23,0,OFFSET(ORÇAMENTO!$D$15,CRONO!$E23,0)))+IF(AND($E25&lt;&gt;"",$E25&lt;&gt;0),SUMIF(CÁLCULO!$BC$15:$BU$710,"="&amp;CRONO!V$12,CÁLCULO!$AJ$15:$BB$710)/(ORÇAMENTO!$X$15-CÁLCULO.TotalAdmLocal)*CRONO!$E25,0),V24*$R23),SUMIF(OFFSET($R25,1,0,$Q23-2),($L23+1)&amp;"$",OFFSET(V25,1,0,$Q23-2)))</f>
        <v>0</v>
      </c>
      <c r="W25" s="257">
        <f ca="1">IF($Q23=2,IF(AND(ACOMPANHAMENTO="PLE",ISNUMBER($E23)),SUMIF((OFFSET(CÁLCULO!$BC$15:$BU$15,$E23,0,OFFSET(ORÇAMENTO!$D$15,CRONO!$E23,0))),"="&amp;CRONO!W$12,OFFSET(CÁLCULO!$AJ$15:$BB$15,$E23,0,OFFSET(ORÇAMENTO!$D$15,CRONO!$E23,0)))+IF(AND($E25&lt;&gt;"",$E25&lt;&gt;0),SUMIF(CÁLCULO!$BC$15:$BU$710,"="&amp;CRONO!W$12,CÁLCULO!$AJ$15:$BB$710)/(ORÇAMENTO!$X$15-CÁLCULO.TotalAdmLocal)*CRONO!$E25,0),W24*$R23),SUMIF(OFFSET($R25,1,0,$Q23-2),($L23+1)&amp;"$",OFFSET(W25,1,0,$Q23-2)))</f>
        <v>0</v>
      </c>
      <c r="X25" s="257">
        <f ca="1">IF($Q23=2,IF(AND(ACOMPANHAMENTO="PLE",ISNUMBER($E23)),SUMIF((OFFSET(CÁLCULO!$BC$15:$BU$15,$E23,0,OFFSET(ORÇAMENTO!$D$15,CRONO!$E23,0))),"="&amp;CRONO!X$12,OFFSET(CÁLCULO!$AJ$15:$BB$15,$E23,0,OFFSET(ORÇAMENTO!$D$15,CRONO!$E23,0)))+IF(AND($E25&lt;&gt;"",$E25&lt;&gt;0),SUMIF(CÁLCULO!$BC$15:$BU$710,"="&amp;CRONO!X$12,CÁLCULO!$AJ$15:$BB$710)/(ORÇAMENTO!$X$15-CÁLCULO.TotalAdmLocal)*CRONO!$E25,0),X24*$R23),SUMIF(OFFSET($R25,1,0,$Q23-2),($L23+1)&amp;"$",OFFSET(X25,1,0,$Q23-2)))</f>
        <v>0</v>
      </c>
      <c r="Y25" s="257">
        <f ca="1">IF($Q23=2,IF(AND(ACOMPANHAMENTO="PLE",ISNUMBER($E23)),SUMIF((OFFSET(CÁLCULO!$BC$15:$BU$15,$E23,0,OFFSET(ORÇAMENTO!$D$15,CRONO!$E23,0))),"="&amp;CRONO!Y$12,OFFSET(CÁLCULO!$AJ$15:$BB$15,$E23,0,OFFSET(ORÇAMENTO!$D$15,CRONO!$E23,0)))+IF(AND($E25&lt;&gt;"",$E25&lt;&gt;0),SUMIF(CÁLCULO!$BC$15:$BU$710,"="&amp;CRONO!Y$12,CÁLCULO!$AJ$15:$BB$710)/(ORÇAMENTO!$X$15-CÁLCULO.TotalAdmLocal)*CRONO!$E25,0),Y24*$R23),SUMIF(OFFSET($R25,1,0,$Q23-2),($L23+1)&amp;"$",OFFSET(Y25,1,0,$Q23-2)))</f>
        <v>0</v>
      </c>
      <c r="Z25" s="257">
        <f ca="1">IF($Q23=2,IF(AND(ACOMPANHAMENTO="PLE",ISNUMBER($E23)),SUMIF((OFFSET(CÁLCULO!$BC$15:$BU$15,$E23,0,OFFSET(ORÇAMENTO!$D$15,CRONO!$E23,0))),"="&amp;CRONO!Z$12,OFFSET(CÁLCULO!$AJ$15:$BB$15,$E23,0,OFFSET(ORÇAMENTO!$D$15,CRONO!$E23,0)))+IF(AND($E25&lt;&gt;"",$E25&lt;&gt;0),SUMIF(CÁLCULO!$BC$15:$BU$710,"="&amp;CRONO!Z$12,CÁLCULO!$AJ$15:$BB$710)/(ORÇAMENTO!$X$15-CÁLCULO.TotalAdmLocal)*CRONO!$E25,0),Z24*$R23),SUMIF(OFFSET($R25,1,0,$Q23-2),($L23+1)&amp;"$",OFFSET(Z25,1,0,$Q23-2)))</f>
        <v>0</v>
      </c>
      <c r="AA25" s="257">
        <f ca="1">IF($Q23=2,IF(AND(ACOMPANHAMENTO="PLE",ISNUMBER($E23)),SUMIF((OFFSET(CÁLCULO!$BC$15:$BU$15,$E23,0,OFFSET(ORÇAMENTO!$D$15,CRONO!$E23,0))),"="&amp;CRONO!AA$12,OFFSET(CÁLCULO!$AJ$15:$BB$15,$E23,0,OFFSET(ORÇAMENTO!$D$15,CRONO!$E23,0)))+IF(AND($E25&lt;&gt;"",$E25&lt;&gt;0),SUMIF(CÁLCULO!$BC$15:$BU$710,"="&amp;CRONO!AA$12,CÁLCULO!$AJ$15:$BB$710)/(ORÇAMENTO!$X$15-CÁLCULO.TotalAdmLocal)*CRONO!$E25,0),AA24*$R23),SUMIF(OFFSET($R25,1,0,$Q23-2),($L23+1)&amp;"$",OFFSET(AA25,1,0,$Q23-2)))</f>
        <v>0</v>
      </c>
      <c r="AB25" s="257">
        <f ca="1">IF($Q23=2,IF(AND(ACOMPANHAMENTO="PLE",ISNUMBER($E23)),SUMIF((OFFSET(CÁLCULO!$BC$15:$BU$15,$E23,0,OFFSET(ORÇAMENTO!$D$15,CRONO!$E23,0))),"="&amp;CRONO!AB$12,OFFSET(CÁLCULO!$AJ$15:$BB$15,$E23,0,OFFSET(ORÇAMENTO!$D$15,CRONO!$E23,0)))+IF(AND($E25&lt;&gt;"",$E25&lt;&gt;0),SUMIF(CÁLCULO!$BC$15:$BU$710,"="&amp;CRONO!AB$12,CÁLCULO!$AJ$15:$BB$710)/(ORÇAMENTO!$X$15-CÁLCULO.TotalAdmLocal)*CRONO!$E25,0),AB24*$R23),SUMIF(OFFSET($R25,1,0,$Q23-2),($L23+1)&amp;"$",OFFSET(AB25,1,0,$Q23-2)))</f>
        <v>0</v>
      </c>
      <c r="AC25" s="257">
        <f ca="1">IF($Q23=2,IF(AND(ACOMPANHAMENTO="PLE",ISNUMBER($E23)),SUMIF((OFFSET(CÁLCULO!$BC$15:$BU$15,$E23,0,OFFSET(ORÇAMENTO!$D$15,CRONO!$E23,0))),"="&amp;CRONO!AC$12,OFFSET(CÁLCULO!$AJ$15:$BB$15,$E23,0,OFFSET(ORÇAMENTO!$D$15,CRONO!$E23,0)))+IF(AND($E25&lt;&gt;"",$E25&lt;&gt;0),SUMIF(CÁLCULO!$BC$15:$BU$710,"="&amp;CRONO!AC$12,CÁLCULO!$AJ$15:$BB$710)/(ORÇAMENTO!$X$15-CÁLCULO.TotalAdmLocal)*CRONO!$E25,0),AC24*$R23),SUMIF(OFFSET($R25,1,0,$Q23-2),($L23+1)&amp;"$",OFFSET(AC25,1,0,$Q23-2)))</f>
        <v>0</v>
      </c>
      <c r="AD25" s="257">
        <f ca="1">IF($Q23=2,IF(AND(ACOMPANHAMENTO="PLE",ISNUMBER($E23)),SUMIF((OFFSET(CÁLCULO!$BC$15:$BU$15,$E23,0,OFFSET(ORÇAMENTO!$D$15,CRONO!$E23,0))),"="&amp;CRONO!AD$12,OFFSET(CÁLCULO!$AJ$15:$BB$15,$E23,0,OFFSET(ORÇAMENTO!$D$15,CRONO!$E23,0)))+IF(AND($E25&lt;&gt;"",$E25&lt;&gt;0),SUMIF(CÁLCULO!$BC$15:$BU$710,"="&amp;CRONO!AD$12,CÁLCULO!$AJ$15:$BB$710)/(ORÇAMENTO!$X$15-CÁLCULO.TotalAdmLocal)*CRONO!$E25,0),AD24*$R23),SUMIF(OFFSET($R25,1,0,$Q23-2),($L23+1)&amp;"$",OFFSET(AD25,1,0,$Q23-2)))</f>
        <v>0</v>
      </c>
      <c r="AE25" s="262">
        <f ca="1">IF($Q23=2,IF(AND(ACOMPANHAMENTO="PLE",ISNUMBER($E23)),SUMIF((OFFSET(CÁLCULO!$BC$15:$BU$15,$E23,0,OFFSET(ORÇAMENTO!$D$15,CRONO!$E23,0))),"="&amp;CRONO!AE$12,OFFSET(CÁLCULO!$AJ$15:$BB$15,$E23,0,OFFSET(ORÇAMENTO!$D$15,CRONO!$E23,0)))+IF(AND($E25&lt;&gt;"",$E25&lt;&gt;0),SUMIF(CÁLCULO!$BC$15:$BU$710,"="&amp;CRONO!AE$12,CÁLCULO!$AJ$15:$BB$710)/(ORÇAMENTO!$X$15-CÁLCULO.TotalAdmLocal)*CRONO!$E25,0),AE24*$R23),SUMIF(OFFSET($R25,1,0,$Q23-2),($L23+1)&amp;"$",OFFSET(AE25,1,0,$Q23-2)))</f>
        <v>0</v>
      </c>
      <c r="AF25" s="261">
        <f ca="1">IF($Q23=2,IF(AND(ACOMPANHAMENTO="PLE",ISNUMBER($E23)),SUMIF((OFFSET(CÁLCULO!$BC$15:$BU$15,$E23,0,OFFSET(ORÇAMENTO!$D$15,CRONO!$E23,0))),"="&amp;CRONO!AF$12,OFFSET(CÁLCULO!$AJ$15:$BB$15,$E23,0,OFFSET(ORÇAMENTO!$D$15,CRONO!$E23,0)))+IF(AND($E25&lt;&gt;"",$E25&lt;&gt;0),SUMIF(CÁLCULO!$BC$15:$BU$710,"="&amp;CRONO!AF$12,CÁLCULO!$AJ$15:$BB$710)/(ORÇAMENTO!$X$15-CÁLCULO.TotalAdmLocal)*CRONO!$E25,0),AF24*$R23),SUMIF(OFFSET($R25,1,0,$Q23-2),($L23+1)&amp;"$",OFFSET(AF25,1,0,$Q23-2)))</f>
        <v>0</v>
      </c>
      <c r="AG25" s="257">
        <f ca="1">IF($Q23=2,IF(AND(ACOMPANHAMENTO="PLE",ISNUMBER($E23)),SUMIF((OFFSET(CÁLCULO!$BC$15:$BU$15,$E23,0,OFFSET(ORÇAMENTO!$D$15,CRONO!$E23,0))),"="&amp;CRONO!AG$12,OFFSET(CÁLCULO!$AJ$15:$BB$15,$E23,0,OFFSET(ORÇAMENTO!$D$15,CRONO!$E23,0)))+IF(AND($E25&lt;&gt;"",$E25&lt;&gt;0),SUMIF(CÁLCULO!$BC$15:$BU$710,"="&amp;CRONO!AG$12,CÁLCULO!$AJ$15:$BB$710)/(ORÇAMENTO!$X$15-CÁLCULO.TotalAdmLocal)*CRONO!$E25,0),AG24*$R23),SUMIF(OFFSET($R25,1,0,$Q23-2),($L23+1)&amp;"$",OFFSET(AG25,1,0,$Q23-2)))</f>
        <v>0</v>
      </c>
      <c r="AH25" s="257">
        <f ca="1">IF($Q23=2,IF(AND(ACOMPANHAMENTO="PLE",ISNUMBER($E23)),SUMIF((OFFSET(CÁLCULO!$BC$15:$BU$15,$E23,0,OFFSET(ORÇAMENTO!$D$15,CRONO!$E23,0))),"="&amp;CRONO!AH$12,OFFSET(CÁLCULO!$AJ$15:$BB$15,$E23,0,OFFSET(ORÇAMENTO!$D$15,CRONO!$E23,0)))+IF(AND($E25&lt;&gt;"",$E25&lt;&gt;0),SUMIF(CÁLCULO!$BC$15:$BU$710,"="&amp;CRONO!AH$12,CÁLCULO!$AJ$15:$BB$710)/(ORÇAMENTO!$X$15-CÁLCULO.TotalAdmLocal)*CRONO!$E25,0),AH24*$R23),SUMIF(OFFSET($R25,1,0,$Q23-2),($L23+1)&amp;"$",OFFSET(AH25,1,0,$Q23-2)))</f>
        <v>0</v>
      </c>
      <c r="AI25" s="257">
        <f ca="1">IF($Q23=2,IF(AND(ACOMPANHAMENTO="PLE",ISNUMBER($E23)),SUMIF((OFFSET(CÁLCULO!$BC$15:$BU$15,$E23,0,OFFSET(ORÇAMENTO!$D$15,CRONO!$E23,0))),"="&amp;CRONO!AI$12,OFFSET(CÁLCULO!$AJ$15:$BB$15,$E23,0,OFFSET(ORÇAMENTO!$D$15,CRONO!$E23,0)))+IF(AND($E25&lt;&gt;"",$E25&lt;&gt;0),SUMIF(CÁLCULO!$BC$15:$BU$710,"="&amp;CRONO!AI$12,CÁLCULO!$AJ$15:$BB$710)/(ORÇAMENTO!$X$15-CÁLCULO.TotalAdmLocal)*CRONO!$E25,0),AI24*$R23),SUMIF(OFFSET($R25,1,0,$Q23-2),($L23+1)&amp;"$",OFFSET(AI25,1,0,$Q23-2)))</f>
        <v>0</v>
      </c>
      <c r="AJ25" s="257">
        <f ca="1">IF($Q23=2,IF(AND(ACOMPANHAMENTO="PLE",ISNUMBER($E23)),SUMIF((OFFSET(CÁLCULO!$BC$15:$BU$15,$E23,0,OFFSET(ORÇAMENTO!$D$15,CRONO!$E23,0))),"="&amp;CRONO!AJ$12,OFFSET(CÁLCULO!$AJ$15:$BB$15,$E23,0,OFFSET(ORÇAMENTO!$D$15,CRONO!$E23,0)))+IF(AND($E25&lt;&gt;"",$E25&lt;&gt;0),SUMIF(CÁLCULO!$BC$15:$BU$710,"="&amp;CRONO!AJ$12,CÁLCULO!$AJ$15:$BB$710)/(ORÇAMENTO!$X$15-CÁLCULO.TotalAdmLocal)*CRONO!$E25,0),AJ24*$R23),SUMIF(OFFSET($R25,1,0,$Q23-2),($L23+1)&amp;"$",OFFSET(AJ25,1,0,$Q23-2)))</f>
        <v>0</v>
      </c>
      <c r="AK25" s="257">
        <f ca="1">IF($Q23=2,IF(AND(ACOMPANHAMENTO="PLE",ISNUMBER($E23)),SUMIF((OFFSET(CÁLCULO!$BC$15:$BU$15,$E23,0,OFFSET(ORÇAMENTO!$D$15,CRONO!$E23,0))),"="&amp;CRONO!AK$12,OFFSET(CÁLCULO!$AJ$15:$BB$15,$E23,0,OFFSET(ORÇAMENTO!$D$15,CRONO!$E23,0)))+IF(AND($E25&lt;&gt;"",$E25&lt;&gt;0),SUMIF(CÁLCULO!$BC$15:$BU$710,"="&amp;CRONO!AK$12,CÁLCULO!$AJ$15:$BB$710)/(ORÇAMENTO!$X$15-CÁLCULO.TotalAdmLocal)*CRONO!$E25,0),AK24*$R23),SUMIF(OFFSET($R25,1,0,$Q23-2),($L23+1)&amp;"$",OFFSET(AK25,1,0,$Q23-2)))</f>
        <v>0</v>
      </c>
      <c r="AL25" s="257">
        <f ca="1">IF($Q23=2,IF(AND(ACOMPANHAMENTO="PLE",ISNUMBER($E23)),SUMIF((OFFSET(CÁLCULO!$BC$15:$BU$15,$E23,0,OFFSET(ORÇAMENTO!$D$15,CRONO!$E23,0))),"="&amp;CRONO!AL$12,OFFSET(CÁLCULO!$AJ$15:$BB$15,$E23,0,OFFSET(ORÇAMENTO!$D$15,CRONO!$E23,0)))+IF(AND($E25&lt;&gt;"",$E25&lt;&gt;0),SUMIF(CÁLCULO!$BC$15:$BU$710,"="&amp;CRONO!AL$12,CÁLCULO!$AJ$15:$BB$710)/(ORÇAMENTO!$X$15-CÁLCULO.TotalAdmLocal)*CRONO!$E25,0),AL24*$R23),SUMIF(OFFSET($R25,1,0,$Q23-2),($L23+1)&amp;"$",OFFSET(AL25,1,0,$Q23-2)))</f>
        <v>0</v>
      </c>
      <c r="AM25" s="257">
        <f ca="1">IF($Q23=2,IF(AND(ACOMPANHAMENTO="PLE",ISNUMBER($E23)),SUMIF((OFFSET(CÁLCULO!$BC$15:$BU$15,$E23,0,OFFSET(ORÇAMENTO!$D$15,CRONO!$E23,0))),"="&amp;CRONO!AM$12,OFFSET(CÁLCULO!$AJ$15:$BB$15,$E23,0,OFFSET(ORÇAMENTO!$D$15,CRONO!$E23,0)))+IF(AND($E25&lt;&gt;"",$E25&lt;&gt;0),SUMIF(CÁLCULO!$BC$15:$BU$710,"="&amp;CRONO!AM$12,CÁLCULO!$AJ$15:$BB$710)/(ORÇAMENTO!$X$15-CÁLCULO.TotalAdmLocal)*CRONO!$E25,0),AM24*$R23),SUMIF(OFFSET($R25,1,0,$Q23-2),($L23+1)&amp;"$",OFFSET(AM25,1,0,$Q23-2)))</f>
        <v>0</v>
      </c>
      <c r="AN25" s="257">
        <f ca="1">IF($Q23=2,IF(AND(ACOMPANHAMENTO="PLE",ISNUMBER($E23)),SUMIF((OFFSET(CÁLCULO!$BC$15:$BU$15,$E23,0,OFFSET(ORÇAMENTO!$D$15,CRONO!$E23,0))),"="&amp;CRONO!AN$12,OFFSET(CÁLCULO!$AJ$15:$BB$15,$E23,0,OFFSET(ORÇAMENTO!$D$15,CRONO!$E23,0)))+IF(AND($E25&lt;&gt;"",$E25&lt;&gt;0),SUMIF(CÁLCULO!$BC$15:$BU$710,"="&amp;CRONO!AN$12,CÁLCULO!$AJ$15:$BB$710)/(ORÇAMENTO!$X$15-CÁLCULO.TotalAdmLocal)*CRONO!$E25,0),AN24*$R23),SUMIF(OFFSET($R25,1,0,$Q23-2),($L23+1)&amp;"$",OFFSET(AN25,1,0,$Q23-2)))</f>
        <v>0</v>
      </c>
      <c r="AO25" s="257">
        <f ca="1">IF($Q23=2,IF(AND(ACOMPANHAMENTO="PLE",ISNUMBER($E23)),SUMIF((OFFSET(CÁLCULO!$BC$15:$BU$15,$E23,0,OFFSET(ORÇAMENTO!$D$15,CRONO!$E23,0))),"="&amp;CRONO!AO$12,OFFSET(CÁLCULO!$AJ$15:$BB$15,$E23,0,OFFSET(ORÇAMENTO!$D$15,CRONO!$E23,0)))+IF(AND($E25&lt;&gt;"",$E25&lt;&gt;0),SUMIF(CÁLCULO!$BC$15:$BU$710,"="&amp;CRONO!AO$12,CÁLCULO!$AJ$15:$BB$710)/(ORÇAMENTO!$X$15-CÁLCULO.TotalAdmLocal)*CRONO!$E25,0),AO24*$R23),SUMIF(OFFSET($R25,1,0,$Q23-2),($L23+1)&amp;"$",OFFSET(AO25,1,0,$Q23-2)))</f>
        <v>0</v>
      </c>
      <c r="AP25" s="257">
        <f ca="1">IF($Q23=2,IF(AND(ACOMPANHAMENTO="PLE",ISNUMBER($E23)),SUMIF((OFFSET(CÁLCULO!$BC$15:$BU$15,$E23,0,OFFSET(ORÇAMENTO!$D$15,CRONO!$E23,0))),"="&amp;CRONO!AP$12,OFFSET(CÁLCULO!$AJ$15:$BB$15,$E23,0,OFFSET(ORÇAMENTO!$D$15,CRONO!$E23,0)))+IF(AND($E25&lt;&gt;"",$E25&lt;&gt;0),SUMIF(CÁLCULO!$BC$15:$BU$710,"="&amp;CRONO!AP$12,CÁLCULO!$AJ$15:$BB$710)/(ORÇAMENTO!$X$15-CÁLCULO.TotalAdmLocal)*CRONO!$E25,0),AP24*$R23),SUMIF(OFFSET($R25,1,0,$Q23-2),($L23+1)&amp;"$",OFFSET(AP25,1,0,$Q23-2)))</f>
        <v>0</v>
      </c>
      <c r="AQ25" s="262">
        <f ca="1">IF($Q23=2,IF(AND(ACOMPANHAMENTO="PLE",ISNUMBER($E23)),SUMIF((OFFSET(CÁLCULO!$BC$15:$BU$15,$E23,0,OFFSET(ORÇAMENTO!$D$15,CRONO!$E23,0))),"="&amp;CRONO!AQ$12,OFFSET(CÁLCULO!$AJ$15:$BB$15,$E23,0,OFFSET(ORÇAMENTO!$D$15,CRONO!$E23,0)))+IF(AND($E25&lt;&gt;"",$E25&lt;&gt;0),SUMIF(CÁLCULO!$BC$15:$BU$710,"="&amp;CRONO!AQ$12,CÁLCULO!$AJ$15:$BB$710)/(ORÇAMENTO!$X$15-CÁLCULO.TotalAdmLocal)*CRONO!$E25,0),AQ24*$R23),SUMIF(OFFSET($R25,1,0,$Q23-2),($L23+1)&amp;"$",OFFSET(AQ25,1,0,$Q23-2)))</f>
        <v>0</v>
      </c>
    </row>
    <row r="26" spans="1:44" x14ac:dyDescent="0.25">
      <c r="A26" s="238">
        <f ca="1">OFFSET(A26,-3,0)+1</f>
        <v>5</v>
      </c>
      <c r="B26" s="238">
        <f ca="1">IF($Q26&lt;&gt;2,0,IF($R26=0,1,IF(E27&gt;0,OFFSET(QCI!$M$13,SUBSTITUTE(E27,".",""),0),OFFSET(ORÇAMENTO!$AA$15,CRONO!$E26,0))/$R26))</f>
        <v>1</v>
      </c>
      <c r="C26" s="238">
        <f ca="1">IF($Q26&lt;&gt;2,0,IF($R26=0,1,IF(E27&gt;0,OFFSET(QCI!$N$13,SUBSTITUTE(E27,".",""),0),OFFSET(ORÇAMENTO!$AB$15,CRONO!$E26,0))/$R26))</f>
        <v>1</v>
      </c>
      <c r="D26" s="241">
        <f ca="1">IF(AND($Q26=2,ACOMPANHAMENTO="BM"),D27,D28/$R26)</f>
        <v>0</v>
      </c>
      <c r="E26" s="238">
        <f ca="1">IF(A26&lt;=ORÇAMENTO.MáximoListaCrono,MATCH(A26,ORÇAMENTO.ListaCrono,0),NA())</f>
        <v>77</v>
      </c>
      <c r="F26" s="238" t="str">
        <f ca="1">IF(AND($E27&lt;&gt;-1,$R26&gt;0),"F","")</f>
        <v/>
      </c>
      <c r="G26" s="242" t="str">
        <f ca="1">IF(OR(R26=0,R26=""),"Linha",IF(AND(OR(ACOMPANHAMENTO="PLE",$Q26&lt;&gt;2),$E27=0),"Linha",1-SUM(T26:AR26)))</f>
        <v>Linha</v>
      </c>
      <c r="H26" s="243" t="str">
        <f ca="1">IF($E27=0,OFFSET(ORÇAMENTO!O$15,$E26,0),IF($E27&lt;&gt;-1,OFFSET(QCI!$D$13,$E27,0),""))</f>
        <v>1.4.</v>
      </c>
      <c r="I26" s="244" t="str">
        <f ca="1">IF($E27=0,OFFSET(ORÇAMENTO!R$15,$E26,0),IF($E27&lt;&gt;-1,OFFSET(QCI!$G$13,$E27,0),""))</f>
        <v xml:space="preserve">SUPERESTRUTURA </v>
      </c>
      <c r="J26" s="244"/>
      <c r="K26" s="244"/>
      <c r="L26" s="245">
        <f ca="1">IF($E27=0,OFFSET(ORÇAMENTO!C$15,$E26,0),1)</f>
        <v>2</v>
      </c>
      <c r="M26" s="246">
        <f ca="1">IF($E27=-1,0,IF(M$13&lt;=$L26,IF(ISERROR(MATCH(M$13,OFFSET($L26,1,0,ROW($L$98)-ROW($L26)-1),0)),ROW($L$98)-ROW($L26)-1,MATCH(M$13,OFFSET($L26,1,0,ROW($L$98)-ROW($L26)-1),0)-1),0))</f>
        <v>62</v>
      </c>
      <c r="N26" s="246">
        <f ca="1">IF($E27=-1,0,IF(N$13&lt;=$L26,IF(ISERROR(MATCH(N$13,OFFSET($L26,1,0,ROW($L$98)-ROW($L26)-1),0)),ROW($L$98)-ROW($L26)-1,MATCH(N$13,OFFSET($L26,1,0,ROW($L$98)-ROW($L26)-1),0)-1),0))</f>
        <v>2</v>
      </c>
      <c r="O26" s="246">
        <f ca="1">IF($E27=-1,0,IF(O$13&lt;=$L26,IF(ISERROR(MATCH(O$13,OFFSET($L26,1,0,ROW($L$98)-ROW($L26)-1),0)),ROW($L$98)-ROW($L26)-1,MATCH(O$13,OFFSET($L26,1,0,ROW($L$98)-ROW($L26)-1),0)-1),0))</f>
        <v>0</v>
      </c>
      <c r="P26" s="246">
        <f ca="1">IF($E27=-1,0,IF(P$13&lt;=$L26,IF(ISERROR(MATCH(P$13,OFFSET($L26,1,0,ROW($L$98)-ROW($L26)-1),0)),ROW($L$98)-ROW($L26)-1,MATCH(P$13,OFFSET($L26,1,0,ROW($L$98)-ROW($L26)-1),0)-1),0))</f>
        <v>0</v>
      </c>
      <c r="Q26" s="246">
        <f ca="1">MIN(OFFSET(L26,0,1,,L26))</f>
        <v>2</v>
      </c>
      <c r="R26" s="247">
        <f ca="1">IF($E27=0,OFFSET(ORÇAMENTO!X$15,$E26,0),IF($E27&lt;&gt;-1,OFFSET(QCI!$O$13,$E27,0),""))</f>
        <v>0</v>
      </c>
      <c r="S26" s="248" t="s">
        <v>272</v>
      </c>
      <c r="T26" s="249">
        <f t="shared" ref="T26:AQ26" ca="1" si="8">IF(AND($Q26=2,ACOMPANHAMENTO="BM"),T27,T28/$R26)</f>
        <v>0</v>
      </c>
      <c r="U26" s="241">
        <f t="shared" ca="1" si="8"/>
        <v>0.1</v>
      </c>
      <c r="V26" s="241">
        <f t="shared" ca="1" si="8"/>
        <v>0.7</v>
      </c>
      <c r="W26" s="241">
        <f t="shared" ca="1" si="8"/>
        <v>0.2</v>
      </c>
      <c r="X26" s="241">
        <f t="shared" ca="1" si="8"/>
        <v>0</v>
      </c>
      <c r="Y26" s="241">
        <f t="shared" ca="1" si="8"/>
        <v>0</v>
      </c>
      <c r="Z26" s="241">
        <f t="shared" ca="1" si="8"/>
        <v>0</v>
      </c>
      <c r="AA26" s="241">
        <f t="shared" ca="1" si="8"/>
        <v>0</v>
      </c>
      <c r="AB26" s="241">
        <f t="shared" ca="1" si="8"/>
        <v>0</v>
      </c>
      <c r="AC26" s="241">
        <f t="shared" ca="1" si="8"/>
        <v>0</v>
      </c>
      <c r="AD26" s="241">
        <f t="shared" ca="1" si="8"/>
        <v>0</v>
      </c>
      <c r="AE26" s="250">
        <f t="shared" ca="1" si="8"/>
        <v>0</v>
      </c>
      <c r="AF26" s="249">
        <f t="shared" ca="1" si="8"/>
        <v>0</v>
      </c>
      <c r="AG26" s="241">
        <f t="shared" ca="1" si="8"/>
        <v>0</v>
      </c>
      <c r="AH26" s="241">
        <f t="shared" ca="1" si="8"/>
        <v>0</v>
      </c>
      <c r="AI26" s="241">
        <f t="shared" ca="1" si="8"/>
        <v>0</v>
      </c>
      <c r="AJ26" s="241">
        <f t="shared" ca="1" si="8"/>
        <v>0</v>
      </c>
      <c r="AK26" s="241">
        <f t="shared" ca="1" si="8"/>
        <v>0</v>
      </c>
      <c r="AL26" s="241">
        <f t="shared" ca="1" si="8"/>
        <v>0</v>
      </c>
      <c r="AM26" s="241">
        <f t="shared" ca="1" si="8"/>
        <v>0</v>
      </c>
      <c r="AN26" s="241">
        <f t="shared" ca="1" si="8"/>
        <v>0</v>
      </c>
      <c r="AO26" s="241">
        <f t="shared" ca="1" si="8"/>
        <v>0</v>
      </c>
      <c r="AP26" s="241">
        <f t="shared" ca="1" si="8"/>
        <v>0</v>
      </c>
      <c r="AQ26" s="250">
        <f t="shared" ca="1" si="8"/>
        <v>0</v>
      </c>
    </row>
    <row r="27" spans="1:44" ht="12.75" customHeight="1" x14ac:dyDescent="0.25">
      <c r="D27" s="658"/>
      <c r="E27" s="238">
        <f ca="1">IF(ISERROR(E26),IF(1+COUNTIF($L$13:OFFSET(L26,-1,0),1)&lt;=MAX(QCI!$D$13:$D$24),1+COUNTIF($L$13:OFFSET(L26,-1,0),1),-1),0)</f>
        <v>0</v>
      </c>
      <c r="F27" s="238" t="str">
        <f ca="1">IF(AND($E27&lt;&gt;-1,$R26&gt;0),"F","")</f>
        <v/>
      </c>
      <c r="G27" s="251" t="str">
        <f ca="1">IF(OR(R26=0,R26=""),"vazia",IF(AND(OR(ACOMPANHAMENTO="PLE",$Q26&lt;&gt;2),$E27=0),"calculada","--&gt;"))</f>
        <v>vazia</v>
      </c>
      <c r="H27" s="252"/>
      <c r="I27" s="253" t="str">
        <f ca="1">IF(AND(G26&lt;&gt;0,ISNUMBER(G26)),"PREENCHA ESTA LINHA --&gt;","")</f>
        <v/>
      </c>
      <c r="J27" s="253"/>
      <c r="K27" s="253"/>
      <c r="L27" s="254"/>
      <c r="M27" s="254"/>
      <c r="N27" s="254"/>
      <c r="O27" s="254"/>
      <c r="P27" s="254"/>
      <c r="Q27" s="254"/>
      <c r="R27" s="255"/>
      <c r="S27" s="256"/>
      <c r="T27" s="659"/>
      <c r="U27" s="658">
        <v>0.1</v>
      </c>
      <c r="V27" s="658">
        <v>0.7</v>
      </c>
      <c r="W27" s="658">
        <v>0.2</v>
      </c>
      <c r="X27" s="658"/>
      <c r="Y27" s="658"/>
      <c r="Z27" s="658"/>
      <c r="AA27" s="658"/>
      <c r="AB27" s="658"/>
      <c r="AC27" s="658"/>
      <c r="AD27" s="658"/>
      <c r="AE27" s="660"/>
      <c r="AF27" s="659"/>
      <c r="AG27" s="658"/>
      <c r="AH27" s="658"/>
      <c r="AI27" s="658"/>
      <c r="AJ27" s="658"/>
      <c r="AK27" s="658"/>
      <c r="AL27" s="658"/>
      <c r="AM27" s="658"/>
      <c r="AN27" s="658"/>
      <c r="AO27" s="658"/>
      <c r="AP27" s="658"/>
      <c r="AQ27" s="660"/>
      <c r="AR27" s="618"/>
    </row>
    <row r="28" spans="1:44" ht="0.15" hidden="1" customHeight="1" x14ac:dyDescent="0.25">
      <c r="D28" s="257">
        <f ca="1">IF($Q26=2,IF(AND(ACOMPANHAMENTO="PLE",ISNUMBER($E26)),SUMIF((OFFSET(CÁLCULO!$BC$15:$BU$15,$E26,0,OFFSET(ORÇAMENTO!$D$15,CRONO!$E26,0))),"="&amp;CRONO!D$12,OFFSET(CÁLCULO!$AJ$15:$BB$15,$E26,0,OFFSET(ORÇAMENTO!$D$15,CRONO!$E26,0)))+IF(AND($E28&lt;&gt;"",$E28&lt;&gt;0),SUMIF(CÁLCULO!$BC$15:$BU$710,"="&amp;CRONO!D$12,CÁLCULO!$AJ$15:$BB$710)/(ORÇAMENTO!$X$15-CÁLCULO.TotalAdmLocal)*CRONO!$E28,0),D27*$R26),SUMIF(OFFSET($R28,1,0,$Q26-2),($L26+1)&amp;"$",OFFSET(D28,1,0,$Q26-2)))</f>
        <v>0</v>
      </c>
      <c r="E28" s="238">
        <f ca="1">IF(OR($Q26&lt;&gt;2,AUTOEVENTO&lt;&gt;"manual",$E27&gt;0),"",SUMIF(OFFSET(CÁLCULO!$M$15,CRONO!$E26,0,OFFSET(ORÇAMENTO!$D$15,CRONO!$E26,0)),1,OFFSET(ORÇAMENTO!$X$15,CRONO!$E26,0,OFFSET(ORÇAMENTO!$D$15,CRONO!$E26,0))))</f>
        <v>0</v>
      </c>
      <c r="G28" s="258"/>
      <c r="R28" s="259" t="str">
        <f ca="1">L26&amp;"$"</f>
        <v>2$</v>
      </c>
      <c r="S28" s="260"/>
      <c r="T28" s="261">
        <f ca="1">IF($Q26=2,IF(AND(ACOMPANHAMENTO="PLE",ISNUMBER($E26)),SUMIF((OFFSET(CÁLCULO!$BC$15:$BU$15,$E26,0,OFFSET(ORÇAMENTO!$D$15,CRONO!$E26,0))),"&lt;="&amp;CRONO!T$12,OFFSET(CÁLCULO!$AJ$15:$BB$15,$E26,0,OFFSET(ORÇAMENTO!$D$15,CRONO!$E26,0)))+IF(AND($E28&lt;&gt;"",$E28&lt;&gt;0),SUMIF(CÁLCULO!$BC$15:$BU$710,"&lt;="&amp;CRONO!T$12,CÁLCULO!$AJ$15:$BB$710)/(ORÇAMENTO!$X$15-CÁLCULO.TotalAdmLocal)*CRONO!$E28,0),T27*$R26),SUMIF(OFFSET($R28,1,0,$Q26-2),($L26+1)&amp;"$",OFFSET(T28,1,0,$Q26-2)))</f>
        <v>0</v>
      </c>
      <c r="U28" s="257">
        <f ca="1">IF($Q26=2,IF(AND(ACOMPANHAMENTO="PLE",ISNUMBER($E26)),SUMIF((OFFSET(CÁLCULO!$BC$15:$BU$15,$E26,0,OFFSET(ORÇAMENTO!$D$15,CRONO!$E26,0))),"="&amp;CRONO!U$12,OFFSET(CÁLCULO!$AJ$15:$BB$15,$E26,0,OFFSET(ORÇAMENTO!$D$15,CRONO!$E26,0)))+IF(AND($E28&lt;&gt;"",$E28&lt;&gt;0),SUMIF(CÁLCULO!$BC$15:$BU$710,"="&amp;CRONO!U$12,CÁLCULO!$AJ$15:$BB$710)/(ORÇAMENTO!$X$15-CÁLCULO.TotalAdmLocal)*CRONO!$E28,0),U27*$R26),SUMIF(OFFSET($R28,1,0,$Q26-2),($L26+1)&amp;"$",OFFSET(U28,1,0,$Q26-2)))</f>
        <v>0</v>
      </c>
      <c r="V28" s="257">
        <f ca="1">IF($Q26=2,IF(AND(ACOMPANHAMENTO="PLE",ISNUMBER($E26)),SUMIF((OFFSET(CÁLCULO!$BC$15:$BU$15,$E26,0,OFFSET(ORÇAMENTO!$D$15,CRONO!$E26,0))),"="&amp;CRONO!V$12,OFFSET(CÁLCULO!$AJ$15:$BB$15,$E26,0,OFFSET(ORÇAMENTO!$D$15,CRONO!$E26,0)))+IF(AND($E28&lt;&gt;"",$E28&lt;&gt;0),SUMIF(CÁLCULO!$BC$15:$BU$710,"="&amp;CRONO!V$12,CÁLCULO!$AJ$15:$BB$710)/(ORÇAMENTO!$X$15-CÁLCULO.TotalAdmLocal)*CRONO!$E28,0),V27*$R26),SUMIF(OFFSET($R28,1,0,$Q26-2),($L26+1)&amp;"$",OFFSET(V28,1,0,$Q26-2)))</f>
        <v>0</v>
      </c>
      <c r="W28" s="257">
        <f ca="1">IF($Q26=2,IF(AND(ACOMPANHAMENTO="PLE",ISNUMBER($E26)),SUMIF((OFFSET(CÁLCULO!$BC$15:$BU$15,$E26,0,OFFSET(ORÇAMENTO!$D$15,CRONO!$E26,0))),"="&amp;CRONO!W$12,OFFSET(CÁLCULO!$AJ$15:$BB$15,$E26,0,OFFSET(ORÇAMENTO!$D$15,CRONO!$E26,0)))+IF(AND($E28&lt;&gt;"",$E28&lt;&gt;0),SUMIF(CÁLCULO!$BC$15:$BU$710,"="&amp;CRONO!W$12,CÁLCULO!$AJ$15:$BB$710)/(ORÇAMENTO!$X$15-CÁLCULO.TotalAdmLocal)*CRONO!$E28,0),W27*$R26),SUMIF(OFFSET($R28,1,0,$Q26-2),($L26+1)&amp;"$",OFFSET(W28,1,0,$Q26-2)))</f>
        <v>0</v>
      </c>
      <c r="X28" s="257">
        <f ca="1">IF($Q26=2,IF(AND(ACOMPANHAMENTO="PLE",ISNUMBER($E26)),SUMIF((OFFSET(CÁLCULO!$BC$15:$BU$15,$E26,0,OFFSET(ORÇAMENTO!$D$15,CRONO!$E26,0))),"="&amp;CRONO!X$12,OFFSET(CÁLCULO!$AJ$15:$BB$15,$E26,0,OFFSET(ORÇAMENTO!$D$15,CRONO!$E26,0)))+IF(AND($E28&lt;&gt;"",$E28&lt;&gt;0),SUMIF(CÁLCULO!$BC$15:$BU$710,"="&amp;CRONO!X$12,CÁLCULO!$AJ$15:$BB$710)/(ORÇAMENTO!$X$15-CÁLCULO.TotalAdmLocal)*CRONO!$E28,0),X27*$R26),SUMIF(OFFSET($R28,1,0,$Q26-2),($L26+1)&amp;"$",OFFSET(X28,1,0,$Q26-2)))</f>
        <v>0</v>
      </c>
      <c r="Y28" s="257">
        <f ca="1">IF($Q26=2,IF(AND(ACOMPANHAMENTO="PLE",ISNUMBER($E26)),SUMIF((OFFSET(CÁLCULO!$BC$15:$BU$15,$E26,0,OFFSET(ORÇAMENTO!$D$15,CRONO!$E26,0))),"="&amp;CRONO!Y$12,OFFSET(CÁLCULO!$AJ$15:$BB$15,$E26,0,OFFSET(ORÇAMENTO!$D$15,CRONO!$E26,0)))+IF(AND($E28&lt;&gt;"",$E28&lt;&gt;0),SUMIF(CÁLCULO!$BC$15:$BU$710,"="&amp;CRONO!Y$12,CÁLCULO!$AJ$15:$BB$710)/(ORÇAMENTO!$X$15-CÁLCULO.TotalAdmLocal)*CRONO!$E28,0),Y27*$R26),SUMIF(OFFSET($R28,1,0,$Q26-2),($L26+1)&amp;"$",OFFSET(Y28,1,0,$Q26-2)))</f>
        <v>0</v>
      </c>
      <c r="Z28" s="257">
        <f ca="1">IF($Q26=2,IF(AND(ACOMPANHAMENTO="PLE",ISNUMBER($E26)),SUMIF((OFFSET(CÁLCULO!$BC$15:$BU$15,$E26,0,OFFSET(ORÇAMENTO!$D$15,CRONO!$E26,0))),"="&amp;CRONO!Z$12,OFFSET(CÁLCULO!$AJ$15:$BB$15,$E26,0,OFFSET(ORÇAMENTO!$D$15,CRONO!$E26,0)))+IF(AND($E28&lt;&gt;"",$E28&lt;&gt;0),SUMIF(CÁLCULO!$BC$15:$BU$710,"="&amp;CRONO!Z$12,CÁLCULO!$AJ$15:$BB$710)/(ORÇAMENTO!$X$15-CÁLCULO.TotalAdmLocal)*CRONO!$E28,0),Z27*$R26),SUMIF(OFFSET($R28,1,0,$Q26-2),($L26+1)&amp;"$",OFFSET(Z28,1,0,$Q26-2)))</f>
        <v>0</v>
      </c>
      <c r="AA28" s="257">
        <f ca="1">IF($Q26=2,IF(AND(ACOMPANHAMENTO="PLE",ISNUMBER($E26)),SUMIF((OFFSET(CÁLCULO!$BC$15:$BU$15,$E26,0,OFFSET(ORÇAMENTO!$D$15,CRONO!$E26,0))),"="&amp;CRONO!AA$12,OFFSET(CÁLCULO!$AJ$15:$BB$15,$E26,0,OFFSET(ORÇAMENTO!$D$15,CRONO!$E26,0)))+IF(AND($E28&lt;&gt;"",$E28&lt;&gt;0),SUMIF(CÁLCULO!$BC$15:$BU$710,"="&amp;CRONO!AA$12,CÁLCULO!$AJ$15:$BB$710)/(ORÇAMENTO!$X$15-CÁLCULO.TotalAdmLocal)*CRONO!$E28,0),AA27*$R26),SUMIF(OFFSET($R28,1,0,$Q26-2),($L26+1)&amp;"$",OFFSET(AA28,1,0,$Q26-2)))</f>
        <v>0</v>
      </c>
      <c r="AB28" s="257">
        <f ca="1">IF($Q26=2,IF(AND(ACOMPANHAMENTO="PLE",ISNUMBER($E26)),SUMIF((OFFSET(CÁLCULO!$BC$15:$BU$15,$E26,0,OFFSET(ORÇAMENTO!$D$15,CRONO!$E26,0))),"="&amp;CRONO!AB$12,OFFSET(CÁLCULO!$AJ$15:$BB$15,$E26,0,OFFSET(ORÇAMENTO!$D$15,CRONO!$E26,0)))+IF(AND($E28&lt;&gt;"",$E28&lt;&gt;0),SUMIF(CÁLCULO!$BC$15:$BU$710,"="&amp;CRONO!AB$12,CÁLCULO!$AJ$15:$BB$710)/(ORÇAMENTO!$X$15-CÁLCULO.TotalAdmLocal)*CRONO!$E28,0),AB27*$R26),SUMIF(OFFSET($R28,1,0,$Q26-2),($L26+1)&amp;"$",OFFSET(AB28,1,0,$Q26-2)))</f>
        <v>0</v>
      </c>
      <c r="AC28" s="257">
        <f ca="1">IF($Q26=2,IF(AND(ACOMPANHAMENTO="PLE",ISNUMBER($E26)),SUMIF((OFFSET(CÁLCULO!$BC$15:$BU$15,$E26,0,OFFSET(ORÇAMENTO!$D$15,CRONO!$E26,0))),"="&amp;CRONO!AC$12,OFFSET(CÁLCULO!$AJ$15:$BB$15,$E26,0,OFFSET(ORÇAMENTO!$D$15,CRONO!$E26,0)))+IF(AND($E28&lt;&gt;"",$E28&lt;&gt;0),SUMIF(CÁLCULO!$BC$15:$BU$710,"="&amp;CRONO!AC$12,CÁLCULO!$AJ$15:$BB$710)/(ORÇAMENTO!$X$15-CÁLCULO.TotalAdmLocal)*CRONO!$E28,0),AC27*$R26),SUMIF(OFFSET($R28,1,0,$Q26-2),($L26+1)&amp;"$",OFFSET(AC28,1,0,$Q26-2)))</f>
        <v>0</v>
      </c>
      <c r="AD28" s="257">
        <f ca="1">IF($Q26=2,IF(AND(ACOMPANHAMENTO="PLE",ISNUMBER($E26)),SUMIF((OFFSET(CÁLCULO!$BC$15:$BU$15,$E26,0,OFFSET(ORÇAMENTO!$D$15,CRONO!$E26,0))),"="&amp;CRONO!AD$12,OFFSET(CÁLCULO!$AJ$15:$BB$15,$E26,0,OFFSET(ORÇAMENTO!$D$15,CRONO!$E26,0)))+IF(AND($E28&lt;&gt;"",$E28&lt;&gt;0),SUMIF(CÁLCULO!$BC$15:$BU$710,"="&amp;CRONO!AD$12,CÁLCULO!$AJ$15:$BB$710)/(ORÇAMENTO!$X$15-CÁLCULO.TotalAdmLocal)*CRONO!$E28,0),AD27*$R26),SUMIF(OFFSET($R28,1,0,$Q26-2),($L26+1)&amp;"$",OFFSET(AD28,1,0,$Q26-2)))</f>
        <v>0</v>
      </c>
      <c r="AE28" s="262">
        <f ca="1">IF($Q26=2,IF(AND(ACOMPANHAMENTO="PLE",ISNUMBER($E26)),SUMIF((OFFSET(CÁLCULO!$BC$15:$BU$15,$E26,0,OFFSET(ORÇAMENTO!$D$15,CRONO!$E26,0))),"="&amp;CRONO!AE$12,OFFSET(CÁLCULO!$AJ$15:$BB$15,$E26,0,OFFSET(ORÇAMENTO!$D$15,CRONO!$E26,0)))+IF(AND($E28&lt;&gt;"",$E28&lt;&gt;0),SUMIF(CÁLCULO!$BC$15:$BU$710,"="&amp;CRONO!AE$12,CÁLCULO!$AJ$15:$BB$710)/(ORÇAMENTO!$X$15-CÁLCULO.TotalAdmLocal)*CRONO!$E28,0),AE27*$R26),SUMIF(OFFSET($R28,1,0,$Q26-2),($L26+1)&amp;"$",OFFSET(AE28,1,0,$Q26-2)))</f>
        <v>0</v>
      </c>
      <c r="AF28" s="261">
        <f ca="1">IF($Q26=2,IF(AND(ACOMPANHAMENTO="PLE",ISNUMBER($E26)),SUMIF((OFFSET(CÁLCULO!$BC$15:$BU$15,$E26,0,OFFSET(ORÇAMENTO!$D$15,CRONO!$E26,0))),"="&amp;CRONO!AF$12,OFFSET(CÁLCULO!$AJ$15:$BB$15,$E26,0,OFFSET(ORÇAMENTO!$D$15,CRONO!$E26,0)))+IF(AND($E28&lt;&gt;"",$E28&lt;&gt;0),SUMIF(CÁLCULO!$BC$15:$BU$710,"="&amp;CRONO!AF$12,CÁLCULO!$AJ$15:$BB$710)/(ORÇAMENTO!$X$15-CÁLCULO.TotalAdmLocal)*CRONO!$E28,0),AF27*$R26),SUMIF(OFFSET($R28,1,0,$Q26-2),($L26+1)&amp;"$",OFFSET(AF28,1,0,$Q26-2)))</f>
        <v>0</v>
      </c>
      <c r="AG28" s="257">
        <f ca="1">IF($Q26=2,IF(AND(ACOMPANHAMENTO="PLE",ISNUMBER($E26)),SUMIF((OFFSET(CÁLCULO!$BC$15:$BU$15,$E26,0,OFFSET(ORÇAMENTO!$D$15,CRONO!$E26,0))),"="&amp;CRONO!AG$12,OFFSET(CÁLCULO!$AJ$15:$BB$15,$E26,0,OFFSET(ORÇAMENTO!$D$15,CRONO!$E26,0)))+IF(AND($E28&lt;&gt;"",$E28&lt;&gt;0),SUMIF(CÁLCULO!$BC$15:$BU$710,"="&amp;CRONO!AG$12,CÁLCULO!$AJ$15:$BB$710)/(ORÇAMENTO!$X$15-CÁLCULO.TotalAdmLocal)*CRONO!$E28,0),AG27*$R26),SUMIF(OFFSET($R28,1,0,$Q26-2),($L26+1)&amp;"$",OFFSET(AG28,1,0,$Q26-2)))</f>
        <v>0</v>
      </c>
      <c r="AH28" s="257">
        <f ca="1">IF($Q26=2,IF(AND(ACOMPANHAMENTO="PLE",ISNUMBER($E26)),SUMIF((OFFSET(CÁLCULO!$BC$15:$BU$15,$E26,0,OFFSET(ORÇAMENTO!$D$15,CRONO!$E26,0))),"="&amp;CRONO!AH$12,OFFSET(CÁLCULO!$AJ$15:$BB$15,$E26,0,OFFSET(ORÇAMENTO!$D$15,CRONO!$E26,0)))+IF(AND($E28&lt;&gt;"",$E28&lt;&gt;0),SUMIF(CÁLCULO!$BC$15:$BU$710,"="&amp;CRONO!AH$12,CÁLCULO!$AJ$15:$BB$710)/(ORÇAMENTO!$X$15-CÁLCULO.TotalAdmLocal)*CRONO!$E28,0),AH27*$R26),SUMIF(OFFSET($R28,1,0,$Q26-2),($L26+1)&amp;"$",OFFSET(AH28,1,0,$Q26-2)))</f>
        <v>0</v>
      </c>
      <c r="AI28" s="257">
        <f ca="1">IF($Q26=2,IF(AND(ACOMPANHAMENTO="PLE",ISNUMBER($E26)),SUMIF((OFFSET(CÁLCULO!$BC$15:$BU$15,$E26,0,OFFSET(ORÇAMENTO!$D$15,CRONO!$E26,0))),"="&amp;CRONO!AI$12,OFFSET(CÁLCULO!$AJ$15:$BB$15,$E26,0,OFFSET(ORÇAMENTO!$D$15,CRONO!$E26,0)))+IF(AND($E28&lt;&gt;"",$E28&lt;&gt;0),SUMIF(CÁLCULO!$BC$15:$BU$710,"="&amp;CRONO!AI$12,CÁLCULO!$AJ$15:$BB$710)/(ORÇAMENTO!$X$15-CÁLCULO.TotalAdmLocal)*CRONO!$E28,0),AI27*$R26),SUMIF(OFFSET($R28,1,0,$Q26-2),($L26+1)&amp;"$",OFFSET(AI28,1,0,$Q26-2)))</f>
        <v>0</v>
      </c>
      <c r="AJ28" s="257">
        <f ca="1">IF($Q26=2,IF(AND(ACOMPANHAMENTO="PLE",ISNUMBER($E26)),SUMIF((OFFSET(CÁLCULO!$BC$15:$BU$15,$E26,0,OFFSET(ORÇAMENTO!$D$15,CRONO!$E26,0))),"="&amp;CRONO!AJ$12,OFFSET(CÁLCULO!$AJ$15:$BB$15,$E26,0,OFFSET(ORÇAMENTO!$D$15,CRONO!$E26,0)))+IF(AND($E28&lt;&gt;"",$E28&lt;&gt;0),SUMIF(CÁLCULO!$BC$15:$BU$710,"="&amp;CRONO!AJ$12,CÁLCULO!$AJ$15:$BB$710)/(ORÇAMENTO!$X$15-CÁLCULO.TotalAdmLocal)*CRONO!$E28,0),AJ27*$R26),SUMIF(OFFSET($R28,1,0,$Q26-2),($L26+1)&amp;"$",OFFSET(AJ28,1,0,$Q26-2)))</f>
        <v>0</v>
      </c>
      <c r="AK28" s="257">
        <f ca="1">IF($Q26=2,IF(AND(ACOMPANHAMENTO="PLE",ISNUMBER($E26)),SUMIF((OFFSET(CÁLCULO!$BC$15:$BU$15,$E26,0,OFFSET(ORÇAMENTO!$D$15,CRONO!$E26,0))),"="&amp;CRONO!AK$12,OFFSET(CÁLCULO!$AJ$15:$BB$15,$E26,0,OFFSET(ORÇAMENTO!$D$15,CRONO!$E26,0)))+IF(AND($E28&lt;&gt;"",$E28&lt;&gt;0),SUMIF(CÁLCULO!$BC$15:$BU$710,"="&amp;CRONO!AK$12,CÁLCULO!$AJ$15:$BB$710)/(ORÇAMENTO!$X$15-CÁLCULO.TotalAdmLocal)*CRONO!$E28,0),AK27*$R26),SUMIF(OFFSET($R28,1,0,$Q26-2),($L26+1)&amp;"$",OFFSET(AK28,1,0,$Q26-2)))</f>
        <v>0</v>
      </c>
      <c r="AL28" s="257">
        <f ca="1">IF($Q26=2,IF(AND(ACOMPANHAMENTO="PLE",ISNUMBER($E26)),SUMIF((OFFSET(CÁLCULO!$BC$15:$BU$15,$E26,0,OFFSET(ORÇAMENTO!$D$15,CRONO!$E26,0))),"="&amp;CRONO!AL$12,OFFSET(CÁLCULO!$AJ$15:$BB$15,$E26,0,OFFSET(ORÇAMENTO!$D$15,CRONO!$E26,0)))+IF(AND($E28&lt;&gt;"",$E28&lt;&gt;0),SUMIF(CÁLCULO!$BC$15:$BU$710,"="&amp;CRONO!AL$12,CÁLCULO!$AJ$15:$BB$710)/(ORÇAMENTO!$X$15-CÁLCULO.TotalAdmLocal)*CRONO!$E28,0),AL27*$R26),SUMIF(OFFSET($R28,1,0,$Q26-2),($L26+1)&amp;"$",OFFSET(AL28,1,0,$Q26-2)))</f>
        <v>0</v>
      </c>
      <c r="AM28" s="257">
        <f ca="1">IF($Q26=2,IF(AND(ACOMPANHAMENTO="PLE",ISNUMBER($E26)),SUMIF((OFFSET(CÁLCULO!$BC$15:$BU$15,$E26,0,OFFSET(ORÇAMENTO!$D$15,CRONO!$E26,0))),"="&amp;CRONO!AM$12,OFFSET(CÁLCULO!$AJ$15:$BB$15,$E26,0,OFFSET(ORÇAMENTO!$D$15,CRONO!$E26,0)))+IF(AND($E28&lt;&gt;"",$E28&lt;&gt;0),SUMIF(CÁLCULO!$BC$15:$BU$710,"="&amp;CRONO!AM$12,CÁLCULO!$AJ$15:$BB$710)/(ORÇAMENTO!$X$15-CÁLCULO.TotalAdmLocal)*CRONO!$E28,0),AM27*$R26),SUMIF(OFFSET($R28,1,0,$Q26-2),($L26+1)&amp;"$",OFFSET(AM28,1,0,$Q26-2)))</f>
        <v>0</v>
      </c>
      <c r="AN28" s="257">
        <f ca="1">IF($Q26=2,IF(AND(ACOMPANHAMENTO="PLE",ISNUMBER($E26)),SUMIF((OFFSET(CÁLCULO!$BC$15:$BU$15,$E26,0,OFFSET(ORÇAMENTO!$D$15,CRONO!$E26,0))),"="&amp;CRONO!AN$12,OFFSET(CÁLCULO!$AJ$15:$BB$15,$E26,0,OFFSET(ORÇAMENTO!$D$15,CRONO!$E26,0)))+IF(AND($E28&lt;&gt;"",$E28&lt;&gt;0),SUMIF(CÁLCULO!$BC$15:$BU$710,"="&amp;CRONO!AN$12,CÁLCULO!$AJ$15:$BB$710)/(ORÇAMENTO!$X$15-CÁLCULO.TotalAdmLocal)*CRONO!$E28,0),AN27*$R26),SUMIF(OFFSET($R28,1,0,$Q26-2),($L26+1)&amp;"$",OFFSET(AN28,1,0,$Q26-2)))</f>
        <v>0</v>
      </c>
      <c r="AO28" s="257">
        <f ca="1">IF($Q26=2,IF(AND(ACOMPANHAMENTO="PLE",ISNUMBER($E26)),SUMIF((OFFSET(CÁLCULO!$BC$15:$BU$15,$E26,0,OFFSET(ORÇAMENTO!$D$15,CRONO!$E26,0))),"="&amp;CRONO!AO$12,OFFSET(CÁLCULO!$AJ$15:$BB$15,$E26,0,OFFSET(ORÇAMENTO!$D$15,CRONO!$E26,0)))+IF(AND($E28&lt;&gt;"",$E28&lt;&gt;0),SUMIF(CÁLCULO!$BC$15:$BU$710,"="&amp;CRONO!AO$12,CÁLCULO!$AJ$15:$BB$710)/(ORÇAMENTO!$X$15-CÁLCULO.TotalAdmLocal)*CRONO!$E28,0),AO27*$R26),SUMIF(OFFSET($R28,1,0,$Q26-2),($L26+1)&amp;"$",OFFSET(AO28,1,0,$Q26-2)))</f>
        <v>0</v>
      </c>
      <c r="AP28" s="257">
        <f ca="1">IF($Q26=2,IF(AND(ACOMPANHAMENTO="PLE",ISNUMBER($E26)),SUMIF((OFFSET(CÁLCULO!$BC$15:$BU$15,$E26,0,OFFSET(ORÇAMENTO!$D$15,CRONO!$E26,0))),"="&amp;CRONO!AP$12,OFFSET(CÁLCULO!$AJ$15:$BB$15,$E26,0,OFFSET(ORÇAMENTO!$D$15,CRONO!$E26,0)))+IF(AND($E28&lt;&gt;"",$E28&lt;&gt;0),SUMIF(CÁLCULO!$BC$15:$BU$710,"="&amp;CRONO!AP$12,CÁLCULO!$AJ$15:$BB$710)/(ORÇAMENTO!$X$15-CÁLCULO.TotalAdmLocal)*CRONO!$E28,0),AP27*$R26),SUMIF(OFFSET($R28,1,0,$Q26-2),($L26+1)&amp;"$",OFFSET(AP28,1,0,$Q26-2)))</f>
        <v>0</v>
      </c>
      <c r="AQ28" s="262">
        <f ca="1">IF($Q26=2,IF(AND(ACOMPANHAMENTO="PLE",ISNUMBER($E26)),SUMIF((OFFSET(CÁLCULO!$BC$15:$BU$15,$E26,0,OFFSET(ORÇAMENTO!$D$15,CRONO!$E26,0))),"="&amp;CRONO!AQ$12,OFFSET(CÁLCULO!$AJ$15:$BB$15,$E26,0,OFFSET(ORÇAMENTO!$D$15,CRONO!$E26,0)))+IF(AND($E28&lt;&gt;"",$E28&lt;&gt;0),SUMIF(CÁLCULO!$BC$15:$BU$710,"="&amp;CRONO!AQ$12,CÁLCULO!$AJ$15:$BB$710)/(ORÇAMENTO!$X$15-CÁLCULO.TotalAdmLocal)*CRONO!$E28,0),AQ27*$R26),SUMIF(OFFSET($R28,1,0,$Q26-2),($L26+1)&amp;"$",OFFSET(AQ28,1,0,$Q26-2)))</f>
        <v>0</v>
      </c>
    </row>
    <row r="29" spans="1:44" x14ac:dyDescent="0.25">
      <c r="A29" s="238">
        <f ca="1">OFFSET(A29,-3,0)+1</f>
        <v>6</v>
      </c>
      <c r="B29" s="238">
        <f ca="1">IF($Q29&lt;&gt;2,0,IF($R29=0,1,IF(E30&gt;0,OFFSET(QCI!$M$13,SUBSTITUTE(E30,".",""),0),OFFSET(ORÇAMENTO!$AA$15,CRONO!$E29,0))/$R29))</f>
        <v>1</v>
      </c>
      <c r="C29" s="238">
        <f ca="1">IF($Q29&lt;&gt;2,0,IF($R29=0,1,IF(E30&gt;0,OFFSET(QCI!$N$13,SUBSTITUTE(E30,".",""),0),OFFSET(ORÇAMENTO!$AB$15,CRONO!$E29,0))/$R29))</f>
        <v>1</v>
      </c>
      <c r="D29" s="241">
        <f ca="1">IF(AND($Q29=2,ACOMPANHAMENTO="BM"),D30,D31/$R29)</f>
        <v>0</v>
      </c>
      <c r="E29" s="238">
        <f ca="1">IF(A29&lt;=ORÇAMENTO.MáximoListaCrono,MATCH(A29,ORÇAMENTO.ListaCrono,0),NA())</f>
        <v>137</v>
      </c>
      <c r="F29" s="238" t="str">
        <f ca="1">IF(AND($E30&lt;&gt;-1,$R29&gt;0),"F","")</f>
        <v/>
      </c>
      <c r="G29" s="242" t="str">
        <f ca="1">IF(OR(R29=0,R29=""),"Linha",IF(AND(OR(ACOMPANHAMENTO="PLE",$Q29&lt;&gt;2),$E30=0),"Linha",1-SUM(T29:AR29)))</f>
        <v>Linha</v>
      </c>
      <c r="H29" s="243" t="str">
        <f ca="1">IF($E30=0,OFFSET(ORÇAMENTO!O$15,$E29,0),IF($E30&lt;&gt;-1,OFFSET(QCI!$D$13,$E30,0),""))</f>
        <v>1.5.</v>
      </c>
      <c r="I29" s="244" t="str">
        <f ca="1">IF($E30=0,OFFSET(ORÇAMENTO!R$15,$E29,0),IF($E30&lt;&gt;-1,OFFSET(QCI!$G$13,$E30,0),""))</f>
        <v>SISTEMA DE VEDAÇÃO VERTICAL</v>
      </c>
      <c r="J29" s="244"/>
      <c r="K29" s="244"/>
      <c r="L29" s="245">
        <f ca="1">IF($E30=0,OFFSET(ORÇAMENTO!C$15,$E29,0),1)</f>
        <v>2</v>
      </c>
      <c r="M29" s="246">
        <f ca="1">IF($E30=-1,0,IF(M$13&lt;=$L29,IF(ISERROR(MATCH(M$13,OFFSET($L29,1,0,ROW($L$98)-ROW($L29)-1),0)),ROW($L$98)-ROW($L29)-1,MATCH(M$13,OFFSET($L29,1,0,ROW($L$98)-ROW($L29)-1),0)-1),0))</f>
        <v>59</v>
      </c>
      <c r="N29" s="246">
        <f ca="1">IF($E30=-1,0,IF(N$13&lt;=$L29,IF(ISERROR(MATCH(N$13,OFFSET($L29,1,0,ROW($L$98)-ROW($L29)-1),0)),ROW($L$98)-ROW($L29)-1,MATCH(N$13,OFFSET($L29,1,0,ROW($L$98)-ROW($L29)-1),0)-1),0))</f>
        <v>2</v>
      </c>
      <c r="O29" s="246">
        <f ca="1">IF($E30=-1,0,IF(O$13&lt;=$L29,IF(ISERROR(MATCH(O$13,OFFSET($L29,1,0,ROW($L$98)-ROW($L29)-1),0)),ROW($L$98)-ROW($L29)-1,MATCH(O$13,OFFSET($L29,1,0,ROW($L$98)-ROW($L29)-1),0)-1),0))</f>
        <v>0</v>
      </c>
      <c r="P29" s="246">
        <f ca="1">IF($E30=-1,0,IF(P$13&lt;=$L29,IF(ISERROR(MATCH(P$13,OFFSET($L29,1,0,ROW($L$98)-ROW($L29)-1),0)),ROW($L$98)-ROW($L29)-1,MATCH(P$13,OFFSET($L29,1,0,ROW($L$98)-ROW($L29)-1),0)-1),0))</f>
        <v>0</v>
      </c>
      <c r="Q29" s="246">
        <f ca="1">MIN(OFFSET(L29,0,1,,L29))</f>
        <v>2</v>
      </c>
      <c r="R29" s="247">
        <f ca="1">IF($E30=0,OFFSET(ORÇAMENTO!X$15,$E29,0),IF($E30&lt;&gt;-1,OFFSET(QCI!$O$13,$E30,0),""))</f>
        <v>0</v>
      </c>
      <c r="S29" s="248" t="s">
        <v>272</v>
      </c>
      <c r="T29" s="249">
        <f t="shared" ref="T29:AQ29" ca="1" si="9">IF(AND($Q29=2,ACOMPANHAMENTO="BM"),T30,T31/$R29)</f>
        <v>0</v>
      </c>
      <c r="U29" s="241">
        <f t="shared" ca="1" si="9"/>
        <v>0</v>
      </c>
      <c r="V29" s="241">
        <f t="shared" ca="1" si="9"/>
        <v>0.15</v>
      </c>
      <c r="W29" s="241">
        <f t="shared" ca="1" si="9"/>
        <v>0.4</v>
      </c>
      <c r="X29" s="241">
        <f t="shared" ca="1" si="9"/>
        <v>0.45</v>
      </c>
      <c r="Y29" s="241">
        <f t="shared" ca="1" si="9"/>
        <v>0</v>
      </c>
      <c r="Z29" s="241">
        <f t="shared" ca="1" si="9"/>
        <v>0</v>
      </c>
      <c r="AA29" s="241">
        <f t="shared" ca="1" si="9"/>
        <v>0</v>
      </c>
      <c r="AB29" s="241">
        <f t="shared" ca="1" si="9"/>
        <v>0</v>
      </c>
      <c r="AC29" s="241">
        <f t="shared" ca="1" si="9"/>
        <v>0</v>
      </c>
      <c r="AD29" s="241">
        <f t="shared" ca="1" si="9"/>
        <v>0</v>
      </c>
      <c r="AE29" s="250">
        <f t="shared" ca="1" si="9"/>
        <v>0</v>
      </c>
      <c r="AF29" s="249">
        <f t="shared" ca="1" si="9"/>
        <v>0</v>
      </c>
      <c r="AG29" s="241">
        <f t="shared" ca="1" si="9"/>
        <v>0</v>
      </c>
      <c r="AH29" s="241">
        <f t="shared" ca="1" si="9"/>
        <v>0</v>
      </c>
      <c r="AI29" s="241">
        <f t="shared" ca="1" si="9"/>
        <v>0</v>
      </c>
      <c r="AJ29" s="241">
        <f t="shared" ca="1" si="9"/>
        <v>0</v>
      </c>
      <c r="AK29" s="241">
        <f t="shared" ca="1" si="9"/>
        <v>0</v>
      </c>
      <c r="AL29" s="241">
        <f t="shared" ca="1" si="9"/>
        <v>0</v>
      </c>
      <c r="AM29" s="241">
        <f t="shared" ca="1" si="9"/>
        <v>0</v>
      </c>
      <c r="AN29" s="241">
        <f t="shared" ca="1" si="9"/>
        <v>0</v>
      </c>
      <c r="AO29" s="241">
        <f t="shared" ca="1" si="9"/>
        <v>0</v>
      </c>
      <c r="AP29" s="241">
        <f t="shared" ca="1" si="9"/>
        <v>0</v>
      </c>
      <c r="AQ29" s="250">
        <f t="shared" ca="1" si="9"/>
        <v>0</v>
      </c>
    </row>
    <row r="30" spans="1:44" ht="12.75" customHeight="1" x14ac:dyDescent="0.25">
      <c r="D30" s="658"/>
      <c r="E30" s="238">
        <f ca="1">IF(ISERROR(E29),IF(1+COUNTIF($L$13:OFFSET(L29,-1,0),1)&lt;=MAX(QCI!$D$13:$D$24),1+COUNTIF($L$13:OFFSET(L29,-1,0),1),-1),0)</f>
        <v>0</v>
      </c>
      <c r="F30" s="238" t="str">
        <f ca="1">IF(AND($E30&lt;&gt;-1,$R29&gt;0),"F","")</f>
        <v/>
      </c>
      <c r="G30" s="251" t="str">
        <f ca="1">IF(OR(R29=0,R29=""),"vazia",IF(AND(OR(ACOMPANHAMENTO="PLE",$Q29&lt;&gt;2),$E30=0),"calculada","--&gt;"))</f>
        <v>vazia</v>
      </c>
      <c r="H30" s="252"/>
      <c r="I30" s="253" t="str">
        <f ca="1">IF(AND(G29&lt;&gt;0,ISNUMBER(G29)),"PREENCHA ESTA LINHA --&gt;","")</f>
        <v/>
      </c>
      <c r="J30" s="253"/>
      <c r="K30" s="253"/>
      <c r="L30" s="254"/>
      <c r="M30" s="254"/>
      <c r="N30" s="254"/>
      <c r="O30" s="254"/>
      <c r="P30" s="254"/>
      <c r="Q30" s="254"/>
      <c r="R30" s="255"/>
      <c r="S30" s="256"/>
      <c r="T30" s="659"/>
      <c r="U30" s="658"/>
      <c r="V30" s="658">
        <v>0.15</v>
      </c>
      <c r="W30" s="658">
        <v>0.4</v>
      </c>
      <c r="X30" s="658">
        <v>0.45</v>
      </c>
      <c r="Y30" s="658"/>
      <c r="Z30" s="658"/>
      <c r="AA30" s="658"/>
      <c r="AB30" s="658"/>
      <c r="AC30" s="658"/>
      <c r="AD30" s="658"/>
      <c r="AE30" s="660"/>
      <c r="AF30" s="659"/>
      <c r="AG30" s="658"/>
      <c r="AH30" s="658"/>
      <c r="AI30" s="658"/>
      <c r="AJ30" s="658"/>
      <c r="AK30" s="658"/>
      <c r="AL30" s="658"/>
      <c r="AM30" s="658"/>
      <c r="AN30" s="658"/>
      <c r="AO30" s="658"/>
      <c r="AP30" s="658"/>
      <c r="AQ30" s="660"/>
      <c r="AR30" s="618"/>
    </row>
    <row r="31" spans="1:44" ht="0.15" hidden="1" customHeight="1" x14ac:dyDescent="0.25">
      <c r="D31" s="257">
        <f ca="1">IF($Q29=2,IF(AND(ACOMPANHAMENTO="PLE",ISNUMBER($E29)),SUMIF((OFFSET(CÁLCULO!$BC$15:$BU$15,$E29,0,OFFSET(ORÇAMENTO!$D$15,CRONO!$E29,0))),"="&amp;CRONO!D$12,OFFSET(CÁLCULO!$AJ$15:$BB$15,$E29,0,OFFSET(ORÇAMENTO!$D$15,CRONO!$E29,0)))+IF(AND($E31&lt;&gt;"",$E31&lt;&gt;0),SUMIF(CÁLCULO!$BC$15:$BU$710,"="&amp;CRONO!D$12,CÁLCULO!$AJ$15:$BB$710)/(ORÇAMENTO!$X$15-CÁLCULO.TotalAdmLocal)*CRONO!$E31,0),D30*$R29),SUMIF(OFFSET($R31,1,0,$Q29-2),($L29+1)&amp;"$",OFFSET(D31,1,0,$Q29-2)))</f>
        <v>0</v>
      </c>
      <c r="E31" s="238">
        <f ca="1">IF(OR($Q29&lt;&gt;2,AUTOEVENTO&lt;&gt;"manual",$E30&gt;0),"",SUMIF(OFFSET(CÁLCULO!$M$15,CRONO!$E29,0,OFFSET(ORÇAMENTO!$D$15,CRONO!$E29,0)),1,OFFSET(ORÇAMENTO!$X$15,CRONO!$E29,0,OFFSET(ORÇAMENTO!$D$15,CRONO!$E29,0))))</f>
        <v>0</v>
      </c>
      <c r="G31" s="258"/>
      <c r="R31" s="259" t="str">
        <f ca="1">L29&amp;"$"</f>
        <v>2$</v>
      </c>
      <c r="S31" s="260"/>
      <c r="T31" s="261">
        <f ca="1">IF($Q29=2,IF(AND(ACOMPANHAMENTO="PLE",ISNUMBER($E29)),SUMIF((OFFSET(CÁLCULO!$BC$15:$BU$15,$E29,0,OFFSET(ORÇAMENTO!$D$15,CRONO!$E29,0))),"&lt;="&amp;CRONO!T$12,OFFSET(CÁLCULO!$AJ$15:$BB$15,$E29,0,OFFSET(ORÇAMENTO!$D$15,CRONO!$E29,0)))+IF(AND($E31&lt;&gt;"",$E31&lt;&gt;0),SUMIF(CÁLCULO!$BC$15:$BU$710,"&lt;="&amp;CRONO!T$12,CÁLCULO!$AJ$15:$BB$710)/(ORÇAMENTO!$X$15-CÁLCULO.TotalAdmLocal)*CRONO!$E31,0),T30*$R29),SUMIF(OFFSET($R31,1,0,$Q29-2),($L29+1)&amp;"$",OFFSET(T31,1,0,$Q29-2)))</f>
        <v>0</v>
      </c>
      <c r="U31" s="257">
        <f ca="1">IF($Q29=2,IF(AND(ACOMPANHAMENTO="PLE",ISNUMBER($E29)),SUMIF((OFFSET(CÁLCULO!$BC$15:$BU$15,$E29,0,OFFSET(ORÇAMENTO!$D$15,CRONO!$E29,0))),"="&amp;CRONO!U$12,OFFSET(CÁLCULO!$AJ$15:$BB$15,$E29,0,OFFSET(ORÇAMENTO!$D$15,CRONO!$E29,0)))+IF(AND($E31&lt;&gt;"",$E31&lt;&gt;0),SUMIF(CÁLCULO!$BC$15:$BU$710,"="&amp;CRONO!U$12,CÁLCULO!$AJ$15:$BB$710)/(ORÇAMENTO!$X$15-CÁLCULO.TotalAdmLocal)*CRONO!$E31,0),U30*$R29),SUMIF(OFFSET($R31,1,0,$Q29-2),($L29+1)&amp;"$",OFFSET(U31,1,0,$Q29-2)))</f>
        <v>0</v>
      </c>
      <c r="V31" s="257">
        <f ca="1">IF($Q29=2,IF(AND(ACOMPANHAMENTO="PLE",ISNUMBER($E29)),SUMIF((OFFSET(CÁLCULO!$BC$15:$BU$15,$E29,0,OFFSET(ORÇAMENTO!$D$15,CRONO!$E29,0))),"="&amp;CRONO!V$12,OFFSET(CÁLCULO!$AJ$15:$BB$15,$E29,0,OFFSET(ORÇAMENTO!$D$15,CRONO!$E29,0)))+IF(AND($E31&lt;&gt;"",$E31&lt;&gt;0),SUMIF(CÁLCULO!$BC$15:$BU$710,"="&amp;CRONO!V$12,CÁLCULO!$AJ$15:$BB$710)/(ORÇAMENTO!$X$15-CÁLCULO.TotalAdmLocal)*CRONO!$E31,0),V30*$R29),SUMIF(OFFSET($R31,1,0,$Q29-2),($L29+1)&amp;"$",OFFSET(V31,1,0,$Q29-2)))</f>
        <v>0</v>
      </c>
      <c r="W31" s="257">
        <f ca="1">IF($Q29=2,IF(AND(ACOMPANHAMENTO="PLE",ISNUMBER($E29)),SUMIF((OFFSET(CÁLCULO!$BC$15:$BU$15,$E29,0,OFFSET(ORÇAMENTO!$D$15,CRONO!$E29,0))),"="&amp;CRONO!W$12,OFFSET(CÁLCULO!$AJ$15:$BB$15,$E29,0,OFFSET(ORÇAMENTO!$D$15,CRONO!$E29,0)))+IF(AND($E31&lt;&gt;"",$E31&lt;&gt;0),SUMIF(CÁLCULO!$BC$15:$BU$710,"="&amp;CRONO!W$12,CÁLCULO!$AJ$15:$BB$710)/(ORÇAMENTO!$X$15-CÁLCULO.TotalAdmLocal)*CRONO!$E31,0),W30*$R29),SUMIF(OFFSET($R31,1,0,$Q29-2),($L29+1)&amp;"$",OFFSET(W31,1,0,$Q29-2)))</f>
        <v>0</v>
      </c>
      <c r="X31" s="257">
        <f ca="1">IF($Q29=2,IF(AND(ACOMPANHAMENTO="PLE",ISNUMBER($E29)),SUMIF((OFFSET(CÁLCULO!$BC$15:$BU$15,$E29,0,OFFSET(ORÇAMENTO!$D$15,CRONO!$E29,0))),"="&amp;CRONO!X$12,OFFSET(CÁLCULO!$AJ$15:$BB$15,$E29,0,OFFSET(ORÇAMENTO!$D$15,CRONO!$E29,0)))+IF(AND($E31&lt;&gt;"",$E31&lt;&gt;0),SUMIF(CÁLCULO!$BC$15:$BU$710,"="&amp;CRONO!X$12,CÁLCULO!$AJ$15:$BB$710)/(ORÇAMENTO!$X$15-CÁLCULO.TotalAdmLocal)*CRONO!$E31,0),X30*$R29),SUMIF(OFFSET($R31,1,0,$Q29-2),($L29+1)&amp;"$",OFFSET(X31,1,0,$Q29-2)))</f>
        <v>0</v>
      </c>
      <c r="Y31" s="257">
        <f ca="1">IF($Q29=2,IF(AND(ACOMPANHAMENTO="PLE",ISNUMBER($E29)),SUMIF((OFFSET(CÁLCULO!$BC$15:$BU$15,$E29,0,OFFSET(ORÇAMENTO!$D$15,CRONO!$E29,0))),"="&amp;CRONO!Y$12,OFFSET(CÁLCULO!$AJ$15:$BB$15,$E29,0,OFFSET(ORÇAMENTO!$D$15,CRONO!$E29,0)))+IF(AND($E31&lt;&gt;"",$E31&lt;&gt;0),SUMIF(CÁLCULO!$BC$15:$BU$710,"="&amp;CRONO!Y$12,CÁLCULO!$AJ$15:$BB$710)/(ORÇAMENTO!$X$15-CÁLCULO.TotalAdmLocal)*CRONO!$E31,0),Y30*$R29),SUMIF(OFFSET($R31,1,0,$Q29-2),($L29+1)&amp;"$",OFFSET(Y31,1,0,$Q29-2)))</f>
        <v>0</v>
      </c>
      <c r="Z31" s="257">
        <f ca="1">IF($Q29=2,IF(AND(ACOMPANHAMENTO="PLE",ISNUMBER($E29)),SUMIF((OFFSET(CÁLCULO!$BC$15:$BU$15,$E29,0,OFFSET(ORÇAMENTO!$D$15,CRONO!$E29,0))),"="&amp;CRONO!Z$12,OFFSET(CÁLCULO!$AJ$15:$BB$15,$E29,0,OFFSET(ORÇAMENTO!$D$15,CRONO!$E29,0)))+IF(AND($E31&lt;&gt;"",$E31&lt;&gt;0),SUMIF(CÁLCULO!$BC$15:$BU$710,"="&amp;CRONO!Z$12,CÁLCULO!$AJ$15:$BB$710)/(ORÇAMENTO!$X$15-CÁLCULO.TotalAdmLocal)*CRONO!$E31,0),Z30*$R29),SUMIF(OFFSET($R31,1,0,$Q29-2),($L29+1)&amp;"$",OFFSET(Z31,1,0,$Q29-2)))</f>
        <v>0</v>
      </c>
      <c r="AA31" s="257">
        <f ca="1">IF($Q29=2,IF(AND(ACOMPANHAMENTO="PLE",ISNUMBER($E29)),SUMIF((OFFSET(CÁLCULO!$BC$15:$BU$15,$E29,0,OFFSET(ORÇAMENTO!$D$15,CRONO!$E29,0))),"="&amp;CRONO!AA$12,OFFSET(CÁLCULO!$AJ$15:$BB$15,$E29,0,OFFSET(ORÇAMENTO!$D$15,CRONO!$E29,0)))+IF(AND($E31&lt;&gt;"",$E31&lt;&gt;0),SUMIF(CÁLCULO!$BC$15:$BU$710,"="&amp;CRONO!AA$12,CÁLCULO!$AJ$15:$BB$710)/(ORÇAMENTO!$X$15-CÁLCULO.TotalAdmLocal)*CRONO!$E31,0),AA30*$R29),SUMIF(OFFSET($R31,1,0,$Q29-2),($L29+1)&amp;"$",OFFSET(AA31,1,0,$Q29-2)))</f>
        <v>0</v>
      </c>
      <c r="AB31" s="257">
        <f ca="1">IF($Q29=2,IF(AND(ACOMPANHAMENTO="PLE",ISNUMBER($E29)),SUMIF((OFFSET(CÁLCULO!$BC$15:$BU$15,$E29,0,OFFSET(ORÇAMENTO!$D$15,CRONO!$E29,0))),"="&amp;CRONO!AB$12,OFFSET(CÁLCULO!$AJ$15:$BB$15,$E29,0,OFFSET(ORÇAMENTO!$D$15,CRONO!$E29,0)))+IF(AND($E31&lt;&gt;"",$E31&lt;&gt;0),SUMIF(CÁLCULO!$BC$15:$BU$710,"="&amp;CRONO!AB$12,CÁLCULO!$AJ$15:$BB$710)/(ORÇAMENTO!$X$15-CÁLCULO.TotalAdmLocal)*CRONO!$E31,0),AB30*$R29),SUMIF(OFFSET($R31,1,0,$Q29-2),($L29+1)&amp;"$",OFFSET(AB31,1,0,$Q29-2)))</f>
        <v>0</v>
      </c>
      <c r="AC31" s="257">
        <f ca="1">IF($Q29=2,IF(AND(ACOMPANHAMENTO="PLE",ISNUMBER($E29)),SUMIF((OFFSET(CÁLCULO!$BC$15:$BU$15,$E29,0,OFFSET(ORÇAMENTO!$D$15,CRONO!$E29,0))),"="&amp;CRONO!AC$12,OFFSET(CÁLCULO!$AJ$15:$BB$15,$E29,0,OFFSET(ORÇAMENTO!$D$15,CRONO!$E29,0)))+IF(AND($E31&lt;&gt;"",$E31&lt;&gt;0),SUMIF(CÁLCULO!$BC$15:$BU$710,"="&amp;CRONO!AC$12,CÁLCULO!$AJ$15:$BB$710)/(ORÇAMENTO!$X$15-CÁLCULO.TotalAdmLocal)*CRONO!$E31,0),AC30*$R29),SUMIF(OFFSET($R31,1,0,$Q29-2),($L29+1)&amp;"$",OFFSET(AC31,1,0,$Q29-2)))</f>
        <v>0</v>
      </c>
      <c r="AD31" s="257">
        <f ca="1">IF($Q29=2,IF(AND(ACOMPANHAMENTO="PLE",ISNUMBER($E29)),SUMIF((OFFSET(CÁLCULO!$BC$15:$BU$15,$E29,0,OFFSET(ORÇAMENTO!$D$15,CRONO!$E29,0))),"="&amp;CRONO!AD$12,OFFSET(CÁLCULO!$AJ$15:$BB$15,$E29,0,OFFSET(ORÇAMENTO!$D$15,CRONO!$E29,0)))+IF(AND($E31&lt;&gt;"",$E31&lt;&gt;0),SUMIF(CÁLCULO!$BC$15:$BU$710,"="&amp;CRONO!AD$12,CÁLCULO!$AJ$15:$BB$710)/(ORÇAMENTO!$X$15-CÁLCULO.TotalAdmLocal)*CRONO!$E31,0),AD30*$R29),SUMIF(OFFSET($R31,1,0,$Q29-2),($L29+1)&amp;"$",OFFSET(AD31,1,0,$Q29-2)))</f>
        <v>0</v>
      </c>
      <c r="AE31" s="262">
        <f ca="1">IF($Q29=2,IF(AND(ACOMPANHAMENTO="PLE",ISNUMBER($E29)),SUMIF((OFFSET(CÁLCULO!$BC$15:$BU$15,$E29,0,OFFSET(ORÇAMENTO!$D$15,CRONO!$E29,0))),"="&amp;CRONO!AE$12,OFFSET(CÁLCULO!$AJ$15:$BB$15,$E29,0,OFFSET(ORÇAMENTO!$D$15,CRONO!$E29,0)))+IF(AND($E31&lt;&gt;"",$E31&lt;&gt;0),SUMIF(CÁLCULO!$BC$15:$BU$710,"="&amp;CRONO!AE$12,CÁLCULO!$AJ$15:$BB$710)/(ORÇAMENTO!$X$15-CÁLCULO.TotalAdmLocal)*CRONO!$E31,0),AE30*$R29),SUMIF(OFFSET($R31,1,0,$Q29-2),($L29+1)&amp;"$",OFFSET(AE31,1,0,$Q29-2)))</f>
        <v>0</v>
      </c>
      <c r="AF31" s="261">
        <f ca="1">IF($Q29=2,IF(AND(ACOMPANHAMENTO="PLE",ISNUMBER($E29)),SUMIF((OFFSET(CÁLCULO!$BC$15:$BU$15,$E29,0,OFFSET(ORÇAMENTO!$D$15,CRONO!$E29,0))),"="&amp;CRONO!AF$12,OFFSET(CÁLCULO!$AJ$15:$BB$15,$E29,0,OFFSET(ORÇAMENTO!$D$15,CRONO!$E29,0)))+IF(AND($E31&lt;&gt;"",$E31&lt;&gt;0),SUMIF(CÁLCULO!$BC$15:$BU$710,"="&amp;CRONO!AF$12,CÁLCULO!$AJ$15:$BB$710)/(ORÇAMENTO!$X$15-CÁLCULO.TotalAdmLocal)*CRONO!$E31,0),AF30*$R29),SUMIF(OFFSET($R31,1,0,$Q29-2),($L29+1)&amp;"$",OFFSET(AF31,1,0,$Q29-2)))</f>
        <v>0</v>
      </c>
      <c r="AG31" s="257">
        <f ca="1">IF($Q29=2,IF(AND(ACOMPANHAMENTO="PLE",ISNUMBER($E29)),SUMIF((OFFSET(CÁLCULO!$BC$15:$BU$15,$E29,0,OFFSET(ORÇAMENTO!$D$15,CRONO!$E29,0))),"="&amp;CRONO!AG$12,OFFSET(CÁLCULO!$AJ$15:$BB$15,$E29,0,OFFSET(ORÇAMENTO!$D$15,CRONO!$E29,0)))+IF(AND($E31&lt;&gt;"",$E31&lt;&gt;0),SUMIF(CÁLCULO!$BC$15:$BU$710,"="&amp;CRONO!AG$12,CÁLCULO!$AJ$15:$BB$710)/(ORÇAMENTO!$X$15-CÁLCULO.TotalAdmLocal)*CRONO!$E31,0),AG30*$R29),SUMIF(OFFSET($R31,1,0,$Q29-2),($L29+1)&amp;"$",OFFSET(AG31,1,0,$Q29-2)))</f>
        <v>0</v>
      </c>
      <c r="AH31" s="257">
        <f ca="1">IF($Q29=2,IF(AND(ACOMPANHAMENTO="PLE",ISNUMBER($E29)),SUMIF((OFFSET(CÁLCULO!$BC$15:$BU$15,$E29,0,OFFSET(ORÇAMENTO!$D$15,CRONO!$E29,0))),"="&amp;CRONO!AH$12,OFFSET(CÁLCULO!$AJ$15:$BB$15,$E29,0,OFFSET(ORÇAMENTO!$D$15,CRONO!$E29,0)))+IF(AND($E31&lt;&gt;"",$E31&lt;&gt;0),SUMIF(CÁLCULO!$BC$15:$BU$710,"="&amp;CRONO!AH$12,CÁLCULO!$AJ$15:$BB$710)/(ORÇAMENTO!$X$15-CÁLCULO.TotalAdmLocal)*CRONO!$E31,0),AH30*$R29),SUMIF(OFFSET($R31,1,0,$Q29-2),($L29+1)&amp;"$",OFFSET(AH31,1,0,$Q29-2)))</f>
        <v>0</v>
      </c>
      <c r="AI31" s="257">
        <f ca="1">IF($Q29=2,IF(AND(ACOMPANHAMENTO="PLE",ISNUMBER($E29)),SUMIF((OFFSET(CÁLCULO!$BC$15:$BU$15,$E29,0,OFFSET(ORÇAMENTO!$D$15,CRONO!$E29,0))),"="&amp;CRONO!AI$12,OFFSET(CÁLCULO!$AJ$15:$BB$15,$E29,0,OFFSET(ORÇAMENTO!$D$15,CRONO!$E29,0)))+IF(AND($E31&lt;&gt;"",$E31&lt;&gt;0),SUMIF(CÁLCULO!$BC$15:$BU$710,"="&amp;CRONO!AI$12,CÁLCULO!$AJ$15:$BB$710)/(ORÇAMENTO!$X$15-CÁLCULO.TotalAdmLocal)*CRONO!$E31,0),AI30*$R29),SUMIF(OFFSET($R31,1,0,$Q29-2),($L29+1)&amp;"$",OFFSET(AI31,1,0,$Q29-2)))</f>
        <v>0</v>
      </c>
      <c r="AJ31" s="257">
        <f ca="1">IF($Q29=2,IF(AND(ACOMPANHAMENTO="PLE",ISNUMBER($E29)),SUMIF((OFFSET(CÁLCULO!$BC$15:$BU$15,$E29,0,OFFSET(ORÇAMENTO!$D$15,CRONO!$E29,0))),"="&amp;CRONO!AJ$12,OFFSET(CÁLCULO!$AJ$15:$BB$15,$E29,0,OFFSET(ORÇAMENTO!$D$15,CRONO!$E29,0)))+IF(AND($E31&lt;&gt;"",$E31&lt;&gt;0),SUMIF(CÁLCULO!$BC$15:$BU$710,"="&amp;CRONO!AJ$12,CÁLCULO!$AJ$15:$BB$710)/(ORÇAMENTO!$X$15-CÁLCULO.TotalAdmLocal)*CRONO!$E31,0),AJ30*$R29),SUMIF(OFFSET($R31,1,0,$Q29-2),($L29+1)&amp;"$",OFFSET(AJ31,1,0,$Q29-2)))</f>
        <v>0</v>
      </c>
      <c r="AK31" s="257">
        <f ca="1">IF($Q29=2,IF(AND(ACOMPANHAMENTO="PLE",ISNUMBER($E29)),SUMIF((OFFSET(CÁLCULO!$BC$15:$BU$15,$E29,0,OFFSET(ORÇAMENTO!$D$15,CRONO!$E29,0))),"="&amp;CRONO!AK$12,OFFSET(CÁLCULO!$AJ$15:$BB$15,$E29,0,OFFSET(ORÇAMENTO!$D$15,CRONO!$E29,0)))+IF(AND($E31&lt;&gt;"",$E31&lt;&gt;0),SUMIF(CÁLCULO!$BC$15:$BU$710,"="&amp;CRONO!AK$12,CÁLCULO!$AJ$15:$BB$710)/(ORÇAMENTO!$X$15-CÁLCULO.TotalAdmLocal)*CRONO!$E31,0),AK30*$R29),SUMIF(OFFSET($R31,1,0,$Q29-2),($L29+1)&amp;"$",OFFSET(AK31,1,0,$Q29-2)))</f>
        <v>0</v>
      </c>
      <c r="AL31" s="257">
        <f ca="1">IF($Q29=2,IF(AND(ACOMPANHAMENTO="PLE",ISNUMBER($E29)),SUMIF((OFFSET(CÁLCULO!$BC$15:$BU$15,$E29,0,OFFSET(ORÇAMENTO!$D$15,CRONO!$E29,0))),"="&amp;CRONO!AL$12,OFFSET(CÁLCULO!$AJ$15:$BB$15,$E29,0,OFFSET(ORÇAMENTO!$D$15,CRONO!$E29,0)))+IF(AND($E31&lt;&gt;"",$E31&lt;&gt;0),SUMIF(CÁLCULO!$BC$15:$BU$710,"="&amp;CRONO!AL$12,CÁLCULO!$AJ$15:$BB$710)/(ORÇAMENTO!$X$15-CÁLCULO.TotalAdmLocal)*CRONO!$E31,0),AL30*$R29),SUMIF(OFFSET($R31,1,0,$Q29-2),($L29+1)&amp;"$",OFFSET(AL31,1,0,$Q29-2)))</f>
        <v>0</v>
      </c>
      <c r="AM31" s="257">
        <f ca="1">IF($Q29=2,IF(AND(ACOMPANHAMENTO="PLE",ISNUMBER($E29)),SUMIF((OFFSET(CÁLCULO!$BC$15:$BU$15,$E29,0,OFFSET(ORÇAMENTO!$D$15,CRONO!$E29,0))),"="&amp;CRONO!AM$12,OFFSET(CÁLCULO!$AJ$15:$BB$15,$E29,0,OFFSET(ORÇAMENTO!$D$15,CRONO!$E29,0)))+IF(AND($E31&lt;&gt;"",$E31&lt;&gt;0),SUMIF(CÁLCULO!$BC$15:$BU$710,"="&amp;CRONO!AM$12,CÁLCULO!$AJ$15:$BB$710)/(ORÇAMENTO!$X$15-CÁLCULO.TotalAdmLocal)*CRONO!$E31,0),AM30*$R29),SUMIF(OFFSET($R31,1,0,$Q29-2),($L29+1)&amp;"$",OFFSET(AM31,1,0,$Q29-2)))</f>
        <v>0</v>
      </c>
      <c r="AN31" s="257">
        <f ca="1">IF($Q29=2,IF(AND(ACOMPANHAMENTO="PLE",ISNUMBER($E29)),SUMIF((OFFSET(CÁLCULO!$BC$15:$BU$15,$E29,0,OFFSET(ORÇAMENTO!$D$15,CRONO!$E29,0))),"="&amp;CRONO!AN$12,OFFSET(CÁLCULO!$AJ$15:$BB$15,$E29,0,OFFSET(ORÇAMENTO!$D$15,CRONO!$E29,0)))+IF(AND($E31&lt;&gt;"",$E31&lt;&gt;0),SUMIF(CÁLCULO!$BC$15:$BU$710,"="&amp;CRONO!AN$12,CÁLCULO!$AJ$15:$BB$710)/(ORÇAMENTO!$X$15-CÁLCULO.TotalAdmLocal)*CRONO!$E31,0),AN30*$R29),SUMIF(OFFSET($R31,1,0,$Q29-2),($L29+1)&amp;"$",OFFSET(AN31,1,0,$Q29-2)))</f>
        <v>0</v>
      </c>
      <c r="AO31" s="257">
        <f ca="1">IF($Q29=2,IF(AND(ACOMPANHAMENTO="PLE",ISNUMBER($E29)),SUMIF((OFFSET(CÁLCULO!$BC$15:$BU$15,$E29,0,OFFSET(ORÇAMENTO!$D$15,CRONO!$E29,0))),"="&amp;CRONO!AO$12,OFFSET(CÁLCULO!$AJ$15:$BB$15,$E29,0,OFFSET(ORÇAMENTO!$D$15,CRONO!$E29,0)))+IF(AND($E31&lt;&gt;"",$E31&lt;&gt;0),SUMIF(CÁLCULO!$BC$15:$BU$710,"="&amp;CRONO!AO$12,CÁLCULO!$AJ$15:$BB$710)/(ORÇAMENTO!$X$15-CÁLCULO.TotalAdmLocal)*CRONO!$E31,0),AO30*$R29),SUMIF(OFFSET($R31,1,0,$Q29-2),($L29+1)&amp;"$",OFFSET(AO31,1,0,$Q29-2)))</f>
        <v>0</v>
      </c>
      <c r="AP31" s="257">
        <f ca="1">IF($Q29=2,IF(AND(ACOMPANHAMENTO="PLE",ISNUMBER($E29)),SUMIF((OFFSET(CÁLCULO!$BC$15:$BU$15,$E29,0,OFFSET(ORÇAMENTO!$D$15,CRONO!$E29,0))),"="&amp;CRONO!AP$12,OFFSET(CÁLCULO!$AJ$15:$BB$15,$E29,0,OFFSET(ORÇAMENTO!$D$15,CRONO!$E29,0)))+IF(AND($E31&lt;&gt;"",$E31&lt;&gt;0),SUMIF(CÁLCULO!$BC$15:$BU$710,"="&amp;CRONO!AP$12,CÁLCULO!$AJ$15:$BB$710)/(ORÇAMENTO!$X$15-CÁLCULO.TotalAdmLocal)*CRONO!$E31,0),AP30*$R29),SUMIF(OFFSET($R31,1,0,$Q29-2),($L29+1)&amp;"$",OFFSET(AP31,1,0,$Q29-2)))</f>
        <v>0</v>
      </c>
      <c r="AQ31" s="262">
        <f ca="1">IF($Q29=2,IF(AND(ACOMPANHAMENTO="PLE",ISNUMBER($E29)),SUMIF((OFFSET(CÁLCULO!$BC$15:$BU$15,$E29,0,OFFSET(ORÇAMENTO!$D$15,CRONO!$E29,0))),"="&amp;CRONO!AQ$12,OFFSET(CÁLCULO!$AJ$15:$BB$15,$E29,0,OFFSET(ORÇAMENTO!$D$15,CRONO!$E29,0)))+IF(AND($E31&lt;&gt;"",$E31&lt;&gt;0),SUMIF(CÁLCULO!$BC$15:$BU$710,"="&amp;CRONO!AQ$12,CÁLCULO!$AJ$15:$BB$710)/(ORÇAMENTO!$X$15-CÁLCULO.TotalAdmLocal)*CRONO!$E31,0),AQ30*$R29),SUMIF(OFFSET($R31,1,0,$Q29-2),($L29+1)&amp;"$",OFFSET(AQ31,1,0,$Q29-2)))</f>
        <v>0</v>
      </c>
    </row>
    <row r="32" spans="1:44" x14ac:dyDescent="0.25">
      <c r="A32" s="238">
        <f ca="1">OFFSET(A32,-3,0)+1</f>
        <v>7</v>
      </c>
      <c r="B32" s="238">
        <f ca="1">IF($Q32&lt;&gt;2,0,IF($R32=0,1,IF(E33&gt;0,OFFSET(QCI!$M$13,SUBSTITUTE(E33,".",""),0),OFFSET(ORÇAMENTO!$AA$15,CRONO!$E32,0))/$R32))</f>
        <v>1</v>
      </c>
      <c r="C32" s="238">
        <f ca="1">IF($Q32&lt;&gt;2,0,IF($R32=0,1,IF(E33&gt;0,OFFSET(QCI!$N$13,SUBSTITUTE(E33,".",""),0),OFFSET(ORÇAMENTO!$AB$15,CRONO!$E32,0))/$R32))</f>
        <v>1</v>
      </c>
      <c r="D32" s="241">
        <f ca="1">IF(AND($Q32=2,ACOMPANHAMENTO="BM"),D33,D34/$R32)</f>
        <v>0</v>
      </c>
      <c r="E32" s="238">
        <f ca="1">IF(A32&lt;=ORÇAMENTO.MáximoListaCrono,MATCH(A32,ORÇAMENTO.ListaCrono,0),NA())</f>
        <v>157</v>
      </c>
      <c r="F32" s="238" t="str">
        <f ca="1">IF(AND($E33&lt;&gt;-1,$R32&gt;0),"F","")</f>
        <v/>
      </c>
      <c r="G32" s="242" t="str">
        <f ca="1">IF(OR(R32=0,R32=""),"Linha",IF(AND(OR(ACOMPANHAMENTO="PLE",$Q32&lt;&gt;2),$E33=0),"Linha",1-SUM(T32:AR32)))</f>
        <v>Linha</v>
      </c>
      <c r="H32" s="243" t="str">
        <f ca="1">IF($E33=0,OFFSET(ORÇAMENTO!O$15,$E32,0),IF($E33&lt;&gt;-1,OFFSET(QCI!$D$13,$E33,0),""))</f>
        <v>1.6.</v>
      </c>
      <c r="I32" s="244" t="str">
        <f ca="1">IF($E33=0,OFFSET(ORÇAMENTO!R$15,$E32,0),IF($E33&lt;&gt;-1,OFFSET(QCI!$G$13,$E33,0),""))</f>
        <v>ESQUADRIAS</v>
      </c>
      <c r="J32" s="244"/>
      <c r="K32" s="244"/>
      <c r="L32" s="245">
        <f ca="1">IF($E33=0,OFFSET(ORÇAMENTO!C$15,$E32,0),1)</f>
        <v>2</v>
      </c>
      <c r="M32" s="246">
        <f ca="1">IF($E33=-1,0,IF(M$13&lt;=$L32,IF(ISERROR(MATCH(M$13,OFFSET($L32,1,0,ROW($L$98)-ROW($L32)-1),0)),ROW($L$98)-ROW($L32)-1,MATCH(M$13,OFFSET($L32,1,0,ROW($L$98)-ROW($L32)-1),0)-1),0))</f>
        <v>56</v>
      </c>
      <c r="N32" s="246">
        <f ca="1">IF($E33=-1,0,IF(N$13&lt;=$L32,IF(ISERROR(MATCH(N$13,OFFSET($L32,1,0,ROW($L$98)-ROW($L32)-1),0)),ROW($L$98)-ROW($L32)-1,MATCH(N$13,OFFSET($L32,1,0,ROW($L$98)-ROW($L32)-1),0)-1),0))</f>
        <v>2</v>
      </c>
      <c r="O32" s="246">
        <f ca="1">IF($E33=-1,0,IF(O$13&lt;=$L32,IF(ISERROR(MATCH(O$13,OFFSET($L32,1,0,ROW($L$98)-ROW($L32)-1),0)),ROW($L$98)-ROW($L32)-1,MATCH(O$13,OFFSET($L32,1,0,ROW($L$98)-ROW($L32)-1),0)-1),0))</f>
        <v>0</v>
      </c>
      <c r="P32" s="246">
        <f ca="1">IF($E33=-1,0,IF(P$13&lt;=$L32,IF(ISERROR(MATCH(P$13,OFFSET($L32,1,0,ROW($L$98)-ROW($L32)-1),0)),ROW($L$98)-ROW($L32)-1,MATCH(P$13,OFFSET($L32,1,0,ROW($L$98)-ROW($L32)-1),0)-1),0))</f>
        <v>0</v>
      </c>
      <c r="Q32" s="246">
        <f ca="1">MIN(OFFSET(L32,0,1,,L32))</f>
        <v>2</v>
      </c>
      <c r="R32" s="247">
        <f ca="1">IF($E33=0,OFFSET(ORÇAMENTO!X$15,$E32,0),IF($E33&lt;&gt;-1,OFFSET(QCI!$O$13,$E33,0),""))</f>
        <v>0</v>
      </c>
      <c r="S32" s="248" t="s">
        <v>272</v>
      </c>
      <c r="T32" s="249">
        <f t="shared" ref="T32:AQ32" ca="1" si="10">IF(AND($Q32=2,ACOMPANHAMENTO="BM"),T33,T34/$R32)</f>
        <v>0</v>
      </c>
      <c r="U32" s="241">
        <f t="shared" ca="1" si="10"/>
        <v>0</v>
      </c>
      <c r="V32" s="241">
        <f t="shared" ca="1" si="10"/>
        <v>0</v>
      </c>
      <c r="W32" s="241">
        <f t="shared" ca="1" si="10"/>
        <v>0</v>
      </c>
      <c r="X32" s="241">
        <f t="shared" ca="1" si="10"/>
        <v>0.1</v>
      </c>
      <c r="Y32" s="241">
        <f t="shared" ca="1" si="10"/>
        <v>0.4</v>
      </c>
      <c r="Z32" s="241">
        <f t="shared" ca="1" si="10"/>
        <v>0.3</v>
      </c>
      <c r="AA32" s="241">
        <f t="shared" ca="1" si="10"/>
        <v>0.2</v>
      </c>
      <c r="AB32" s="241">
        <f t="shared" ca="1" si="10"/>
        <v>0</v>
      </c>
      <c r="AC32" s="241">
        <f t="shared" ca="1" si="10"/>
        <v>0</v>
      </c>
      <c r="AD32" s="241">
        <f t="shared" ca="1" si="10"/>
        <v>0</v>
      </c>
      <c r="AE32" s="250">
        <f t="shared" ca="1" si="10"/>
        <v>0</v>
      </c>
      <c r="AF32" s="249">
        <f t="shared" ca="1" si="10"/>
        <v>0</v>
      </c>
      <c r="AG32" s="241">
        <f t="shared" ca="1" si="10"/>
        <v>0</v>
      </c>
      <c r="AH32" s="241">
        <f t="shared" ca="1" si="10"/>
        <v>0</v>
      </c>
      <c r="AI32" s="241">
        <f t="shared" ca="1" si="10"/>
        <v>0</v>
      </c>
      <c r="AJ32" s="241">
        <f t="shared" ca="1" si="10"/>
        <v>0</v>
      </c>
      <c r="AK32" s="241">
        <f t="shared" ca="1" si="10"/>
        <v>0</v>
      </c>
      <c r="AL32" s="241">
        <f t="shared" ca="1" si="10"/>
        <v>0</v>
      </c>
      <c r="AM32" s="241">
        <f t="shared" ca="1" si="10"/>
        <v>0</v>
      </c>
      <c r="AN32" s="241">
        <f t="shared" ca="1" si="10"/>
        <v>0</v>
      </c>
      <c r="AO32" s="241">
        <f t="shared" ca="1" si="10"/>
        <v>0</v>
      </c>
      <c r="AP32" s="241">
        <f t="shared" ca="1" si="10"/>
        <v>0</v>
      </c>
      <c r="AQ32" s="250">
        <f t="shared" ca="1" si="10"/>
        <v>0</v>
      </c>
    </row>
    <row r="33" spans="1:44" ht="12.75" customHeight="1" x14ac:dyDescent="0.25">
      <c r="D33" s="658"/>
      <c r="E33" s="238">
        <f ca="1">IF(ISERROR(E32),IF(1+COUNTIF($L$13:OFFSET(L32,-1,0),1)&lt;=MAX(QCI!$D$13:$D$24),1+COUNTIF($L$13:OFFSET(L32,-1,0),1),-1),0)</f>
        <v>0</v>
      </c>
      <c r="F33" s="238" t="str">
        <f ca="1">IF(AND($E33&lt;&gt;-1,$R32&gt;0),"F","")</f>
        <v/>
      </c>
      <c r="G33" s="251" t="str">
        <f ca="1">IF(OR(R32=0,R32=""),"vazia",IF(AND(OR(ACOMPANHAMENTO="PLE",$Q32&lt;&gt;2),$E33=0),"calculada","--&gt;"))</f>
        <v>vazia</v>
      </c>
      <c r="H33" s="252"/>
      <c r="I33" s="253" t="str">
        <f ca="1">IF(AND(G32&lt;&gt;0,ISNUMBER(G32)),"PREENCHA ESTA LINHA --&gt;","")</f>
        <v/>
      </c>
      <c r="J33" s="253"/>
      <c r="K33" s="253"/>
      <c r="L33" s="254"/>
      <c r="M33" s="254"/>
      <c r="N33" s="254"/>
      <c r="O33" s="254"/>
      <c r="P33" s="254"/>
      <c r="Q33" s="254"/>
      <c r="R33" s="255"/>
      <c r="S33" s="256"/>
      <c r="T33" s="659"/>
      <c r="U33" s="658"/>
      <c r="V33" s="658"/>
      <c r="W33" s="658"/>
      <c r="X33" s="658">
        <v>0.1</v>
      </c>
      <c r="Y33" s="658">
        <v>0.4</v>
      </c>
      <c r="Z33" s="658">
        <v>0.3</v>
      </c>
      <c r="AA33" s="658">
        <v>0.2</v>
      </c>
      <c r="AB33" s="658"/>
      <c r="AC33" s="658"/>
      <c r="AD33" s="658"/>
      <c r="AE33" s="660"/>
      <c r="AF33" s="659"/>
      <c r="AG33" s="658"/>
      <c r="AH33" s="658"/>
      <c r="AI33" s="658"/>
      <c r="AJ33" s="658"/>
      <c r="AK33" s="658"/>
      <c r="AL33" s="658"/>
      <c r="AM33" s="658"/>
      <c r="AN33" s="658"/>
      <c r="AO33" s="658"/>
      <c r="AP33" s="658"/>
      <c r="AQ33" s="660"/>
      <c r="AR33" s="618"/>
    </row>
    <row r="34" spans="1:44" ht="0.15" hidden="1" customHeight="1" x14ac:dyDescent="0.25">
      <c r="D34" s="257">
        <f ca="1">IF($Q32=2,IF(AND(ACOMPANHAMENTO="PLE",ISNUMBER($E32)),SUMIF((OFFSET(CÁLCULO!$BC$15:$BU$15,$E32,0,OFFSET(ORÇAMENTO!$D$15,CRONO!$E32,0))),"="&amp;CRONO!D$12,OFFSET(CÁLCULO!$AJ$15:$BB$15,$E32,0,OFFSET(ORÇAMENTO!$D$15,CRONO!$E32,0)))+IF(AND($E34&lt;&gt;"",$E34&lt;&gt;0),SUMIF(CÁLCULO!$BC$15:$BU$710,"="&amp;CRONO!D$12,CÁLCULO!$AJ$15:$BB$710)/(ORÇAMENTO!$X$15-CÁLCULO.TotalAdmLocal)*CRONO!$E34,0),D33*$R32),SUMIF(OFFSET($R34,1,0,$Q32-2),($L32+1)&amp;"$",OFFSET(D34,1,0,$Q32-2)))</f>
        <v>0</v>
      </c>
      <c r="E34" s="238">
        <f ca="1">IF(OR($Q32&lt;&gt;2,AUTOEVENTO&lt;&gt;"manual",$E33&gt;0),"",SUMIF(OFFSET(CÁLCULO!$M$15,CRONO!$E32,0,OFFSET(ORÇAMENTO!$D$15,CRONO!$E32,0)),1,OFFSET(ORÇAMENTO!$X$15,CRONO!$E32,0,OFFSET(ORÇAMENTO!$D$15,CRONO!$E32,0))))</f>
        <v>0</v>
      </c>
      <c r="G34" s="258"/>
      <c r="R34" s="259" t="str">
        <f ca="1">L32&amp;"$"</f>
        <v>2$</v>
      </c>
      <c r="S34" s="260"/>
      <c r="T34" s="261">
        <f ca="1">IF($Q32=2,IF(AND(ACOMPANHAMENTO="PLE",ISNUMBER($E32)),SUMIF((OFFSET(CÁLCULO!$BC$15:$BU$15,$E32,0,OFFSET(ORÇAMENTO!$D$15,CRONO!$E32,0))),"&lt;="&amp;CRONO!T$12,OFFSET(CÁLCULO!$AJ$15:$BB$15,$E32,0,OFFSET(ORÇAMENTO!$D$15,CRONO!$E32,0)))+IF(AND($E34&lt;&gt;"",$E34&lt;&gt;0),SUMIF(CÁLCULO!$BC$15:$BU$710,"&lt;="&amp;CRONO!T$12,CÁLCULO!$AJ$15:$BB$710)/(ORÇAMENTO!$X$15-CÁLCULO.TotalAdmLocal)*CRONO!$E34,0),T33*$R32),SUMIF(OFFSET($R34,1,0,$Q32-2),($L32+1)&amp;"$",OFFSET(T34,1,0,$Q32-2)))</f>
        <v>0</v>
      </c>
      <c r="U34" s="257">
        <f ca="1">IF($Q32=2,IF(AND(ACOMPANHAMENTO="PLE",ISNUMBER($E32)),SUMIF((OFFSET(CÁLCULO!$BC$15:$BU$15,$E32,0,OFFSET(ORÇAMENTO!$D$15,CRONO!$E32,0))),"="&amp;CRONO!U$12,OFFSET(CÁLCULO!$AJ$15:$BB$15,$E32,0,OFFSET(ORÇAMENTO!$D$15,CRONO!$E32,0)))+IF(AND($E34&lt;&gt;"",$E34&lt;&gt;0),SUMIF(CÁLCULO!$BC$15:$BU$710,"="&amp;CRONO!U$12,CÁLCULO!$AJ$15:$BB$710)/(ORÇAMENTO!$X$15-CÁLCULO.TotalAdmLocal)*CRONO!$E34,0),U33*$R32),SUMIF(OFFSET($R34,1,0,$Q32-2),($L32+1)&amp;"$",OFFSET(U34,1,0,$Q32-2)))</f>
        <v>0</v>
      </c>
      <c r="V34" s="257">
        <f ca="1">IF($Q32=2,IF(AND(ACOMPANHAMENTO="PLE",ISNUMBER($E32)),SUMIF((OFFSET(CÁLCULO!$BC$15:$BU$15,$E32,0,OFFSET(ORÇAMENTO!$D$15,CRONO!$E32,0))),"="&amp;CRONO!V$12,OFFSET(CÁLCULO!$AJ$15:$BB$15,$E32,0,OFFSET(ORÇAMENTO!$D$15,CRONO!$E32,0)))+IF(AND($E34&lt;&gt;"",$E34&lt;&gt;0),SUMIF(CÁLCULO!$BC$15:$BU$710,"="&amp;CRONO!V$12,CÁLCULO!$AJ$15:$BB$710)/(ORÇAMENTO!$X$15-CÁLCULO.TotalAdmLocal)*CRONO!$E34,0),V33*$R32),SUMIF(OFFSET($R34,1,0,$Q32-2),($L32+1)&amp;"$",OFFSET(V34,1,0,$Q32-2)))</f>
        <v>0</v>
      </c>
      <c r="W34" s="257">
        <f ca="1">IF($Q32=2,IF(AND(ACOMPANHAMENTO="PLE",ISNUMBER($E32)),SUMIF((OFFSET(CÁLCULO!$BC$15:$BU$15,$E32,0,OFFSET(ORÇAMENTO!$D$15,CRONO!$E32,0))),"="&amp;CRONO!W$12,OFFSET(CÁLCULO!$AJ$15:$BB$15,$E32,0,OFFSET(ORÇAMENTO!$D$15,CRONO!$E32,0)))+IF(AND($E34&lt;&gt;"",$E34&lt;&gt;0),SUMIF(CÁLCULO!$BC$15:$BU$710,"="&amp;CRONO!W$12,CÁLCULO!$AJ$15:$BB$710)/(ORÇAMENTO!$X$15-CÁLCULO.TotalAdmLocal)*CRONO!$E34,0),W33*$R32),SUMIF(OFFSET($R34,1,0,$Q32-2),($L32+1)&amp;"$",OFFSET(W34,1,0,$Q32-2)))</f>
        <v>0</v>
      </c>
      <c r="X34" s="257">
        <f ca="1">IF($Q32=2,IF(AND(ACOMPANHAMENTO="PLE",ISNUMBER($E32)),SUMIF((OFFSET(CÁLCULO!$BC$15:$BU$15,$E32,0,OFFSET(ORÇAMENTO!$D$15,CRONO!$E32,0))),"="&amp;CRONO!X$12,OFFSET(CÁLCULO!$AJ$15:$BB$15,$E32,0,OFFSET(ORÇAMENTO!$D$15,CRONO!$E32,0)))+IF(AND($E34&lt;&gt;"",$E34&lt;&gt;0),SUMIF(CÁLCULO!$BC$15:$BU$710,"="&amp;CRONO!X$12,CÁLCULO!$AJ$15:$BB$710)/(ORÇAMENTO!$X$15-CÁLCULO.TotalAdmLocal)*CRONO!$E34,0),X33*$R32),SUMIF(OFFSET($R34,1,0,$Q32-2),($L32+1)&amp;"$",OFFSET(X34,1,0,$Q32-2)))</f>
        <v>0</v>
      </c>
      <c r="Y34" s="257">
        <f ca="1">IF($Q32=2,IF(AND(ACOMPANHAMENTO="PLE",ISNUMBER($E32)),SUMIF((OFFSET(CÁLCULO!$BC$15:$BU$15,$E32,0,OFFSET(ORÇAMENTO!$D$15,CRONO!$E32,0))),"="&amp;CRONO!Y$12,OFFSET(CÁLCULO!$AJ$15:$BB$15,$E32,0,OFFSET(ORÇAMENTO!$D$15,CRONO!$E32,0)))+IF(AND($E34&lt;&gt;"",$E34&lt;&gt;0),SUMIF(CÁLCULO!$BC$15:$BU$710,"="&amp;CRONO!Y$12,CÁLCULO!$AJ$15:$BB$710)/(ORÇAMENTO!$X$15-CÁLCULO.TotalAdmLocal)*CRONO!$E34,0),Y33*$R32),SUMIF(OFFSET($R34,1,0,$Q32-2),($L32+1)&amp;"$",OFFSET(Y34,1,0,$Q32-2)))</f>
        <v>0</v>
      </c>
      <c r="Z34" s="257">
        <f ca="1">IF($Q32=2,IF(AND(ACOMPANHAMENTO="PLE",ISNUMBER($E32)),SUMIF((OFFSET(CÁLCULO!$BC$15:$BU$15,$E32,0,OFFSET(ORÇAMENTO!$D$15,CRONO!$E32,0))),"="&amp;CRONO!Z$12,OFFSET(CÁLCULO!$AJ$15:$BB$15,$E32,0,OFFSET(ORÇAMENTO!$D$15,CRONO!$E32,0)))+IF(AND($E34&lt;&gt;"",$E34&lt;&gt;0),SUMIF(CÁLCULO!$BC$15:$BU$710,"="&amp;CRONO!Z$12,CÁLCULO!$AJ$15:$BB$710)/(ORÇAMENTO!$X$15-CÁLCULO.TotalAdmLocal)*CRONO!$E34,0),Z33*$R32),SUMIF(OFFSET($R34,1,0,$Q32-2),($L32+1)&amp;"$",OFFSET(Z34,1,0,$Q32-2)))</f>
        <v>0</v>
      </c>
      <c r="AA34" s="257">
        <f ca="1">IF($Q32=2,IF(AND(ACOMPANHAMENTO="PLE",ISNUMBER($E32)),SUMIF((OFFSET(CÁLCULO!$BC$15:$BU$15,$E32,0,OFFSET(ORÇAMENTO!$D$15,CRONO!$E32,0))),"="&amp;CRONO!AA$12,OFFSET(CÁLCULO!$AJ$15:$BB$15,$E32,0,OFFSET(ORÇAMENTO!$D$15,CRONO!$E32,0)))+IF(AND($E34&lt;&gt;"",$E34&lt;&gt;0),SUMIF(CÁLCULO!$BC$15:$BU$710,"="&amp;CRONO!AA$12,CÁLCULO!$AJ$15:$BB$710)/(ORÇAMENTO!$X$15-CÁLCULO.TotalAdmLocal)*CRONO!$E34,0),AA33*$R32),SUMIF(OFFSET($R34,1,0,$Q32-2),($L32+1)&amp;"$",OFFSET(AA34,1,0,$Q32-2)))</f>
        <v>0</v>
      </c>
      <c r="AB34" s="257">
        <f ca="1">IF($Q32=2,IF(AND(ACOMPANHAMENTO="PLE",ISNUMBER($E32)),SUMIF((OFFSET(CÁLCULO!$BC$15:$BU$15,$E32,0,OFFSET(ORÇAMENTO!$D$15,CRONO!$E32,0))),"="&amp;CRONO!AB$12,OFFSET(CÁLCULO!$AJ$15:$BB$15,$E32,0,OFFSET(ORÇAMENTO!$D$15,CRONO!$E32,0)))+IF(AND($E34&lt;&gt;"",$E34&lt;&gt;0),SUMIF(CÁLCULO!$BC$15:$BU$710,"="&amp;CRONO!AB$12,CÁLCULO!$AJ$15:$BB$710)/(ORÇAMENTO!$X$15-CÁLCULO.TotalAdmLocal)*CRONO!$E34,0),AB33*$R32),SUMIF(OFFSET($R34,1,0,$Q32-2),($L32+1)&amp;"$",OFFSET(AB34,1,0,$Q32-2)))</f>
        <v>0</v>
      </c>
      <c r="AC34" s="257">
        <f ca="1">IF($Q32=2,IF(AND(ACOMPANHAMENTO="PLE",ISNUMBER($E32)),SUMIF((OFFSET(CÁLCULO!$BC$15:$BU$15,$E32,0,OFFSET(ORÇAMENTO!$D$15,CRONO!$E32,0))),"="&amp;CRONO!AC$12,OFFSET(CÁLCULO!$AJ$15:$BB$15,$E32,0,OFFSET(ORÇAMENTO!$D$15,CRONO!$E32,0)))+IF(AND($E34&lt;&gt;"",$E34&lt;&gt;0),SUMIF(CÁLCULO!$BC$15:$BU$710,"="&amp;CRONO!AC$12,CÁLCULO!$AJ$15:$BB$710)/(ORÇAMENTO!$X$15-CÁLCULO.TotalAdmLocal)*CRONO!$E34,0),AC33*$R32),SUMIF(OFFSET($R34,1,0,$Q32-2),($L32+1)&amp;"$",OFFSET(AC34,1,0,$Q32-2)))</f>
        <v>0</v>
      </c>
      <c r="AD34" s="257">
        <f ca="1">IF($Q32=2,IF(AND(ACOMPANHAMENTO="PLE",ISNUMBER($E32)),SUMIF((OFFSET(CÁLCULO!$BC$15:$BU$15,$E32,0,OFFSET(ORÇAMENTO!$D$15,CRONO!$E32,0))),"="&amp;CRONO!AD$12,OFFSET(CÁLCULO!$AJ$15:$BB$15,$E32,0,OFFSET(ORÇAMENTO!$D$15,CRONO!$E32,0)))+IF(AND($E34&lt;&gt;"",$E34&lt;&gt;0),SUMIF(CÁLCULO!$BC$15:$BU$710,"="&amp;CRONO!AD$12,CÁLCULO!$AJ$15:$BB$710)/(ORÇAMENTO!$X$15-CÁLCULO.TotalAdmLocal)*CRONO!$E34,0),AD33*$R32),SUMIF(OFFSET($R34,1,0,$Q32-2),($L32+1)&amp;"$",OFFSET(AD34,1,0,$Q32-2)))</f>
        <v>0</v>
      </c>
      <c r="AE34" s="262">
        <f ca="1">IF($Q32=2,IF(AND(ACOMPANHAMENTO="PLE",ISNUMBER($E32)),SUMIF((OFFSET(CÁLCULO!$BC$15:$BU$15,$E32,0,OFFSET(ORÇAMENTO!$D$15,CRONO!$E32,0))),"="&amp;CRONO!AE$12,OFFSET(CÁLCULO!$AJ$15:$BB$15,$E32,0,OFFSET(ORÇAMENTO!$D$15,CRONO!$E32,0)))+IF(AND($E34&lt;&gt;"",$E34&lt;&gt;0),SUMIF(CÁLCULO!$BC$15:$BU$710,"="&amp;CRONO!AE$12,CÁLCULO!$AJ$15:$BB$710)/(ORÇAMENTO!$X$15-CÁLCULO.TotalAdmLocal)*CRONO!$E34,0),AE33*$R32),SUMIF(OFFSET($R34,1,0,$Q32-2),($L32+1)&amp;"$",OFFSET(AE34,1,0,$Q32-2)))</f>
        <v>0</v>
      </c>
      <c r="AF34" s="261">
        <f ca="1">IF($Q32=2,IF(AND(ACOMPANHAMENTO="PLE",ISNUMBER($E32)),SUMIF((OFFSET(CÁLCULO!$BC$15:$BU$15,$E32,0,OFFSET(ORÇAMENTO!$D$15,CRONO!$E32,0))),"="&amp;CRONO!AF$12,OFFSET(CÁLCULO!$AJ$15:$BB$15,$E32,0,OFFSET(ORÇAMENTO!$D$15,CRONO!$E32,0)))+IF(AND($E34&lt;&gt;"",$E34&lt;&gt;0),SUMIF(CÁLCULO!$BC$15:$BU$710,"="&amp;CRONO!AF$12,CÁLCULO!$AJ$15:$BB$710)/(ORÇAMENTO!$X$15-CÁLCULO.TotalAdmLocal)*CRONO!$E34,0),AF33*$R32),SUMIF(OFFSET($R34,1,0,$Q32-2),($L32+1)&amp;"$",OFFSET(AF34,1,0,$Q32-2)))</f>
        <v>0</v>
      </c>
      <c r="AG34" s="257">
        <f ca="1">IF($Q32=2,IF(AND(ACOMPANHAMENTO="PLE",ISNUMBER($E32)),SUMIF((OFFSET(CÁLCULO!$BC$15:$BU$15,$E32,0,OFFSET(ORÇAMENTO!$D$15,CRONO!$E32,0))),"="&amp;CRONO!AG$12,OFFSET(CÁLCULO!$AJ$15:$BB$15,$E32,0,OFFSET(ORÇAMENTO!$D$15,CRONO!$E32,0)))+IF(AND($E34&lt;&gt;"",$E34&lt;&gt;0),SUMIF(CÁLCULO!$BC$15:$BU$710,"="&amp;CRONO!AG$12,CÁLCULO!$AJ$15:$BB$710)/(ORÇAMENTO!$X$15-CÁLCULO.TotalAdmLocal)*CRONO!$E34,0),AG33*$R32),SUMIF(OFFSET($R34,1,0,$Q32-2),($L32+1)&amp;"$",OFFSET(AG34,1,0,$Q32-2)))</f>
        <v>0</v>
      </c>
      <c r="AH34" s="257">
        <f ca="1">IF($Q32=2,IF(AND(ACOMPANHAMENTO="PLE",ISNUMBER($E32)),SUMIF((OFFSET(CÁLCULO!$BC$15:$BU$15,$E32,0,OFFSET(ORÇAMENTO!$D$15,CRONO!$E32,0))),"="&amp;CRONO!AH$12,OFFSET(CÁLCULO!$AJ$15:$BB$15,$E32,0,OFFSET(ORÇAMENTO!$D$15,CRONO!$E32,0)))+IF(AND($E34&lt;&gt;"",$E34&lt;&gt;0),SUMIF(CÁLCULO!$BC$15:$BU$710,"="&amp;CRONO!AH$12,CÁLCULO!$AJ$15:$BB$710)/(ORÇAMENTO!$X$15-CÁLCULO.TotalAdmLocal)*CRONO!$E34,0),AH33*$R32),SUMIF(OFFSET($R34,1,0,$Q32-2),($L32+1)&amp;"$",OFFSET(AH34,1,0,$Q32-2)))</f>
        <v>0</v>
      </c>
      <c r="AI34" s="257">
        <f ca="1">IF($Q32=2,IF(AND(ACOMPANHAMENTO="PLE",ISNUMBER($E32)),SUMIF((OFFSET(CÁLCULO!$BC$15:$BU$15,$E32,0,OFFSET(ORÇAMENTO!$D$15,CRONO!$E32,0))),"="&amp;CRONO!AI$12,OFFSET(CÁLCULO!$AJ$15:$BB$15,$E32,0,OFFSET(ORÇAMENTO!$D$15,CRONO!$E32,0)))+IF(AND($E34&lt;&gt;"",$E34&lt;&gt;0),SUMIF(CÁLCULO!$BC$15:$BU$710,"="&amp;CRONO!AI$12,CÁLCULO!$AJ$15:$BB$710)/(ORÇAMENTO!$X$15-CÁLCULO.TotalAdmLocal)*CRONO!$E34,0),AI33*$R32),SUMIF(OFFSET($R34,1,0,$Q32-2),($L32+1)&amp;"$",OFFSET(AI34,1,0,$Q32-2)))</f>
        <v>0</v>
      </c>
      <c r="AJ34" s="257">
        <f ca="1">IF($Q32=2,IF(AND(ACOMPANHAMENTO="PLE",ISNUMBER($E32)),SUMIF((OFFSET(CÁLCULO!$BC$15:$BU$15,$E32,0,OFFSET(ORÇAMENTO!$D$15,CRONO!$E32,0))),"="&amp;CRONO!AJ$12,OFFSET(CÁLCULO!$AJ$15:$BB$15,$E32,0,OFFSET(ORÇAMENTO!$D$15,CRONO!$E32,0)))+IF(AND($E34&lt;&gt;"",$E34&lt;&gt;0),SUMIF(CÁLCULO!$BC$15:$BU$710,"="&amp;CRONO!AJ$12,CÁLCULO!$AJ$15:$BB$710)/(ORÇAMENTO!$X$15-CÁLCULO.TotalAdmLocal)*CRONO!$E34,0),AJ33*$R32),SUMIF(OFFSET($R34,1,0,$Q32-2),($L32+1)&amp;"$",OFFSET(AJ34,1,0,$Q32-2)))</f>
        <v>0</v>
      </c>
      <c r="AK34" s="257">
        <f ca="1">IF($Q32=2,IF(AND(ACOMPANHAMENTO="PLE",ISNUMBER($E32)),SUMIF((OFFSET(CÁLCULO!$BC$15:$BU$15,$E32,0,OFFSET(ORÇAMENTO!$D$15,CRONO!$E32,0))),"="&amp;CRONO!AK$12,OFFSET(CÁLCULO!$AJ$15:$BB$15,$E32,0,OFFSET(ORÇAMENTO!$D$15,CRONO!$E32,0)))+IF(AND($E34&lt;&gt;"",$E34&lt;&gt;0),SUMIF(CÁLCULO!$BC$15:$BU$710,"="&amp;CRONO!AK$12,CÁLCULO!$AJ$15:$BB$710)/(ORÇAMENTO!$X$15-CÁLCULO.TotalAdmLocal)*CRONO!$E34,0),AK33*$R32),SUMIF(OFFSET($R34,1,0,$Q32-2),($L32+1)&amp;"$",OFFSET(AK34,1,0,$Q32-2)))</f>
        <v>0</v>
      </c>
      <c r="AL34" s="257">
        <f ca="1">IF($Q32=2,IF(AND(ACOMPANHAMENTO="PLE",ISNUMBER($E32)),SUMIF((OFFSET(CÁLCULO!$BC$15:$BU$15,$E32,0,OFFSET(ORÇAMENTO!$D$15,CRONO!$E32,0))),"="&amp;CRONO!AL$12,OFFSET(CÁLCULO!$AJ$15:$BB$15,$E32,0,OFFSET(ORÇAMENTO!$D$15,CRONO!$E32,0)))+IF(AND($E34&lt;&gt;"",$E34&lt;&gt;0),SUMIF(CÁLCULO!$BC$15:$BU$710,"="&amp;CRONO!AL$12,CÁLCULO!$AJ$15:$BB$710)/(ORÇAMENTO!$X$15-CÁLCULO.TotalAdmLocal)*CRONO!$E34,0),AL33*$R32),SUMIF(OFFSET($R34,1,0,$Q32-2),($L32+1)&amp;"$",OFFSET(AL34,1,0,$Q32-2)))</f>
        <v>0</v>
      </c>
      <c r="AM34" s="257">
        <f ca="1">IF($Q32=2,IF(AND(ACOMPANHAMENTO="PLE",ISNUMBER($E32)),SUMIF((OFFSET(CÁLCULO!$BC$15:$BU$15,$E32,0,OFFSET(ORÇAMENTO!$D$15,CRONO!$E32,0))),"="&amp;CRONO!AM$12,OFFSET(CÁLCULO!$AJ$15:$BB$15,$E32,0,OFFSET(ORÇAMENTO!$D$15,CRONO!$E32,0)))+IF(AND($E34&lt;&gt;"",$E34&lt;&gt;0),SUMIF(CÁLCULO!$BC$15:$BU$710,"="&amp;CRONO!AM$12,CÁLCULO!$AJ$15:$BB$710)/(ORÇAMENTO!$X$15-CÁLCULO.TotalAdmLocal)*CRONO!$E34,0),AM33*$R32),SUMIF(OFFSET($R34,1,0,$Q32-2),($L32+1)&amp;"$",OFFSET(AM34,1,0,$Q32-2)))</f>
        <v>0</v>
      </c>
      <c r="AN34" s="257">
        <f ca="1">IF($Q32=2,IF(AND(ACOMPANHAMENTO="PLE",ISNUMBER($E32)),SUMIF((OFFSET(CÁLCULO!$BC$15:$BU$15,$E32,0,OFFSET(ORÇAMENTO!$D$15,CRONO!$E32,0))),"="&amp;CRONO!AN$12,OFFSET(CÁLCULO!$AJ$15:$BB$15,$E32,0,OFFSET(ORÇAMENTO!$D$15,CRONO!$E32,0)))+IF(AND($E34&lt;&gt;"",$E34&lt;&gt;0),SUMIF(CÁLCULO!$BC$15:$BU$710,"="&amp;CRONO!AN$12,CÁLCULO!$AJ$15:$BB$710)/(ORÇAMENTO!$X$15-CÁLCULO.TotalAdmLocal)*CRONO!$E34,0),AN33*$R32),SUMIF(OFFSET($R34,1,0,$Q32-2),($L32+1)&amp;"$",OFFSET(AN34,1,0,$Q32-2)))</f>
        <v>0</v>
      </c>
      <c r="AO34" s="257">
        <f ca="1">IF($Q32=2,IF(AND(ACOMPANHAMENTO="PLE",ISNUMBER($E32)),SUMIF((OFFSET(CÁLCULO!$BC$15:$BU$15,$E32,0,OFFSET(ORÇAMENTO!$D$15,CRONO!$E32,0))),"="&amp;CRONO!AO$12,OFFSET(CÁLCULO!$AJ$15:$BB$15,$E32,0,OFFSET(ORÇAMENTO!$D$15,CRONO!$E32,0)))+IF(AND($E34&lt;&gt;"",$E34&lt;&gt;0),SUMIF(CÁLCULO!$BC$15:$BU$710,"="&amp;CRONO!AO$12,CÁLCULO!$AJ$15:$BB$710)/(ORÇAMENTO!$X$15-CÁLCULO.TotalAdmLocal)*CRONO!$E34,0),AO33*$R32),SUMIF(OFFSET($R34,1,0,$Q32-2),($L32+1)&amp;"$",OFFSET(AO34,1,0,$Q32-2)))</f>
        <v>0</v>
      </c>
      <c r="AP34" s="257">
        <f ca="1">IF($Q32=2,IF(AND(ACOMPANHAMENTO="PLE",ISNUMBER($E32)),SUMIF((OFFSET(CÁLCULO!$BC$15:$BU$15,$E32,0,OFFSET(ORÇAMENTO!$D$15,CRONO!$E32,0))),"="&amp;CRONO!AP$12,OFFSET(CÁLCULO!$AJ$15:$BB$15,$E32,0,OFFSET(ORÇAMENTO!$D$15,CRONO!$E32,0)))+IF(AND($E34&lt;&gt;"",$E34&lt;&gt;0),SUMIF(CÁLCULO!$BC$15:$BU$710,"="&amp;CRONO!AP$12,CÁLCULO!$AJ$15:$BB$710)/(ORÇAMENTO!$X$15-CÁLCULO.TotalAdmLocal)*CRONO!$E34,0),AP33*$R32),SUMIF(OFFSET($R34,1,0,$Q32-2),($L32+1)&amp;"$",OFFSET(AP34,1,0,$Q32-2)))</f>
        <v>0</v>
      </c>
      <c r="AQ34" s="262">
        <f ca="1">IF($Q32=2,IF(AND(ACOMPANHAMENTO="PLE",ISNUMBER($E32)),SUMIF((OFFSET(CÁLCULO!$BC$15:$BU$15,$E32,0,OFFSET(ORÇAMENTO!$D$15,CRONO!$E32,0))),"="&amp;CRONO!AQ$12,OFFSET(CÁLCULO!$AJ$15:$BB$15,$E32,0,OFFSET(ORÇAMENTO!$D$15,CRONO!$E32,0)))+IF(AND($E34&lt;&gt;"",$E34&lt;&gt;0),SUMIF(CÁLCULO!$BC$15:$BU$710,"="&amp;CRONO!AQ$12,CÁLCULO!$AJ$15:$BB$710)/(ORÇAMENTO!$X$15-CÁLCULO.TotalAdmLocal)*CRONO!$E34,0),AQ33*$R32),SUMIF(OFFSET($R34,1,0,$Q32-2),($L32+1)&amp;"$",OFFSET(AQ34,1,0,$Q32-2)))</f>
        <v>0</v>
      </c>
    </row>
    <row r="35" spans="1:44" x14ac:dyDescent="0.25">
      <c r="A35" s="238">
        <f ca="1">OFFSET(A35,-3,0)+1</f>
        <v>8</v>
      </c>
      <c r="B35" s="238">
        <f ca="1">IF($Q35&lt;&gt;2,0,IF($R35=0,1,IF(E36&gt;0,OFFSET(QCI!$M$13,SUBSTITUTE(E36,".",""),0),OFFSET(ORÇAMENTO!$AA$15,CRONO!$E35,0))/$R35))</f>
        <v>1</v>
      </c>
      <c r="C35" s="238">
        <f ca="1">IF($Q35&lt;&gt;2,0,IF($R35=0,1,IF(E36&gt;0,OFFSET(QCI!$N$13,SUBSTITUTE(E36,".",""),0),OFFSET(ORÇAMENTO!$AB$15,CRONO!$E35,0))/$R35))</f>
        <v>1</v>
      </c>
      <c r="D35" s="241">
        <f ca="1">IF(AND($Q35=2,ACOMPANHAMENTO="BM"),D36,D37/$R35)</f>
        <v>0</v>
      </c>
      <c r="E35" s="238">
        <f ca="1">IF(A35&lt;=ORÇAMENTO.MáximoListaCrono,MATCH(A35,ORÇAMENTO.ListaCrono,0),NA())</f>
        <v>204</v>
      </c>
      <c r="F35" s="238" t="str">
        <f ca="1">IF(AND($E36&lt;&gt;-1,$R35&gt;0),"F","")</f>
        <v/>
      </c>
      <c r="G35" s="242" t="str">
        <f ca="1">IF(OR(R35=0,R35=""),"Linha",IF(AND(OR(ACOMPANHAMENTO="PLE",$Q35&lt;&gt;2),$E36=0),"Linha",1-SUM(T35:AR35)))</f>
        <v>Linha</v>
      </c>
      <c r="H35" s="243" t="str">
        <f ca="1">IF($E36=0,OFFSET(ORÇAMENTO!O$15,$E35,0),IF($E36&lt;&gt;-1,OFFSET(QCI!$D$13,$E36,0),""))</f>
        <v>1.7.</v>
      </c>
      <c r="I35" s="244" t="str">
        <f ca="1">IF($E36=0,OFFSET(ORÇAMENTO!R$15,$E35,0),IF($E36&lt;&gt;-1,OFFSET(QCI!$G$13,$E36,0),""))</f>
        <v>SISTEMAS DE COBERTURA</v>
      </c>
      <c r="J35" s="244"/>
      <c r="K35" s="244"/>
      <c r="L35" s="245">
        <f ca="1">IF($E36=0,OFFSET(ORÇAMENTO!C$15,$E35,0),1)</f>
        <v>2</v>
      </c>
      <c r="M35" s="246">
        <f ca="1">IF($E36=-1,0,IF(M$13&lt;=$L35,IF(ISERROR(MATCH(M$13,OFFSET($L35,1,0,ROW($L$98)-ROW($L35)-1),0)),ROW($L$98)-ROW($L35)-1,MATCH(M$13,OFFSET($L35,1,0,ROW($L$98)-ROW($L35)-1),0)-1),0))</f>
        <v>53</v>
      </c>
      <c r="N35" s="246">
        <f ca="1">IF($E36=-1,0,IF(N$13&lt;=$L35,IF(ISERROR(MATCH(N$13,OFFSET($L35,1,0,ROW($L$98)-ROW($L35)-1),0)),ROW($L$98)-ROW($L35)-1,MATCH(N$13,OFFSET($L35,1,0,ROW($L$98)-ROW($L35)-1),0)-1),0))</f>
        <v>2</v>
      </c>
      <c r="O35" s="246">
        <f ca="1">IF($E36=-1,0,IF(O$13&lt;=$L35,IF(ISERROR(MATCH(O$13,OFFSET($L35,1,0,ROW($L$98)-ROW($L35)-1),0)),ROW($L$98)-ROW($L35)-1,MATCH(O$13,OFFSET($L35,1,0,ROW($L$98)-ROW($L35)-1),0)-1),0))</f>
        <v>0</v>
      </c>
      <c r="P35" s="246">
        <f ca="1">IF($E36=-1,0,IF(P$13&lt;=$L35,IF(ISERROR(MATCH(P$13,OFFSET($L35,1,0,ROW($L$98)-ROW($L35)-1),0)),ROW($L$98)-ROW($L35)-1,MATCH(P$13,OFFSET($L35,1,0,ROW($L$98)-ROW($L35)-1),0)-1),0))</f>
        <v>0</v>
      </c>
      <c r="Q35" s="246">
        <f ca="1">MIN(OFFSET(L35,0,1,,L35))</f>
        <v>2</v>
      </c>
      <c r="R35" s="247">
        <f ca="1">IF($E36=0,OFFSET(ORÇAMENTO!X$15,$E35,0),IF($E36&lt;&gt;-1,OFFSET(QCI!$O$13,$E36,0),""))</f>
        <v>0</v>
      </c>
      <c r="S35" s="248" t="s">
        <v>272</v>
      </c>
      <c r="T35" s="249">
        <f t="shared" ref="T35:AQ35" ca="1" si="11">IF(AND($Q35=2,ACOMPANHAMENTO="BM"),T36,T37/$R35)</f>
        <v>0</v>
      </c>
      <c r="U35" s="241">
        <f t="shared" ca="1" si="11"/>
        <v>0</v>
      </c>
      <c r="V35" s="241">
        <f t="shared" ca="1" si="11"/>
        <v>0</v>
      </c>
      <c r="W35" s="241">
        <f t="shared" ca="1" si="11"/>
        <v>0</v>
      </c>
      <c r="X35" s="241">
        <f t="shared" ca="1" si="11"/>
        <v>0</v>
      </c>
      <c r="Y35" s="241">
        <f t="shared" ca="1" si="11"/>
        <v>0.25</v>
      </c>
      <c r="Z35" s="241">
        <f t="shared" ca="1" si="11"/>
        <v>0.35</v>
      </c>
      <c r="AA35" s="241">
        <f t="shared" ca="1" si="11"/>
        <v>0.25</v>
      </c>
      <c r="AB35" s="241">
        <f t="shared" ca="1" si="11"/>
        <v>0.15</v>
      </c>
      <c r="AC35" s="241">
        <f t="shared" ca="1" si="11"/>
        <v>0</v>
      </c>
      <c r="AD35" s="241">
        <f t="shared" ca="1" si="11"/>
        <v>0</v>
      </c>
      <c r="AE35" s="250">
        <f t="shared" ca="1" si="11"/>
        <v>0</v>
      </c>
      <c r="AF35" s="249">
        <f t="shared" ca="1" si="11"/>
        <v>0</v>
      </c>
      <c r="AG35" s="241">
        <f t="shared" ca="1" si="11"/>
        <v>0</v>
      </c>
      <c r="AH35" s="241">
        <f t="shared" ca="1" si="11"/>
        <v>0</v>
      </c>
      <c r="AI35" s="241">
        <f t="shared" ca="1" si="11"/>
        <v>0</v>
      </c>
      <c r="AJ35" s="241">
        <f t="shared" ca="1" si="11"/>
        <v>0</v>
      </c>
      <c r="AK35" s="241">
        <f t="shared" ca="1" si="11"/>
        <v>0</v>
      </c>
      <c r="AL35" s="241">
        <f t="shared" ca="1" si="11"/>
        <v>0</v>
      </c>
      <c r="AM35" s="241">
        <f t="shared" ca="1" si="11"/>
        <v>0</v>
      </c>
      <c r="AN35" s="241">
        <f t="shared" ca="1" si="11"/>
        <v>0</v>
      </c>
      <c r="AO35" s="241">
        <f t="shared" ca="1" si="11"/>
        <v>0</v>
      </c>
      <c r="AP35" s="241">
        <f t="shared" ca="1" si="11"/>
        <v>0</v>
      </c>
      <c r="AQ35" s="250">
        <f t="shared" ca="1" si="11"/>
        <v>0</v>
      </c>
    </row>
    <row r="36" spans="1:44" ht="12.75" customHeight="1" x14ac:dyDescent="0.25">
      <c r="D36" s="658"/>
      <c r="E36" s="238">
        <f ca="1">IF(ISERROR(E35),IF(1+COUNTIF($L$13:OFFSET(L35,-1,0),1)&lt;=MAX(QCI!$D$13:$D$24),1+COUNTIF($L$13:OFFSET(L35,-1,0),1),-1),0)</f>
        <v>0</v>
      </c>
      <c r="F36" s="238" t="str">
        <f ca="1">IF(AND($E36&lt;&gt;-1,$R35&gt;0),"F","")</f>
        <v/>
      </c>
      <c r="G36" s="251" t="str">
        <f ca="1">IF(OR(R35=0,R35=""),"vazia",IF(AND(OR(ACOMPANHAMENTO="PLE",$Q35&lt;&gt;2),$E36=0),"calculada","--&gt;"))</f>
        <v>vazia</v>
      </c>
      <c r="H36" s="252"/>
      <c r="I36" s="253" t="str">
        <f ca="1">IF(AND(G35&lt;&gt;0,ISNUMBER(G35)),"PREENCHA ESTA LINHA --&gt;","")</f>
        <v/>
      </c>
      <c r="J36" s="253"/>
      <c r="K36" s="253"/>
      <c r="L36" s="254"/>
      <c r="M36" s="254"/>
      <c r="N36" s="254"/>
      <c r="O36" s="254"/>
      <c r="P36" s="254"/>
      <c r="Q36" s="254"/>
      <c r="R36" s="255"/>
      <c r="S36" s="256"/>
      <c r="T36" s="659"/>
      <c r="U36" s="658"/>
      <c r="V36" s="658"/>
      <c r="W36" s="658"/>
      <c r="X36" s="658"/>
      <c r="Y36" s="658">
        <v>0.25</v>
      </c>
      <c r="Z36" s="658">
        <v>0.35</v>
      </c>
      <c r="AA36" s="658">
        <v>0.25</v>
      </c>
      <c r="AB36" s="658">
        <v>0.15</v>
      </c>
      <c r="AC36" s="658"/>
      <c r="AD36" s="658"/>
      <c r="AE36" s="660"/>
      <c r="AF36" s="659"/>
      <c r="AG36" s="658"/>
      <c r="AH36" s="658"/>
      <c r="AI36" s="658"/>
      <c r="AJ36" s="658"/>
      <c r="AK36" s="658"/>
      <c r="AL36" s="658"/>
      <c r="AM36" s="658"/>
      <c r="AN36" s="658"/>
      <c r="AO36" s="658"/>
      <c r="AP36" s="658"/>
      <c r="AQ36" s="660"/>
      <c r="AR36" s="618"/>
    </row>
    <row r="37" spans="1:44" ht="0.15" hidden="1" customHeight="1" x14ac:dyDescent="0.25">
      <c r="D37" s="257">
        <f ca="1">IF($Q35=2,IF(AND(ACOMPANHAMENTO="PLE",ISNUMBER($E35)),SUMIF((OFFSET(CÁLCULO!$BC$15:$BU$15,$E35,0,OFFSET(ORÇAMENTO!$D$15,CRONO!$E35,0))),"="&amp;CRONO!D$12,OFFSET(CÁLCULO!$AJ$15:$BB$15,$E35,0,OFFSET(ORÇAMENTO!$D$15,CRONO!$E35,0)))+IF(AND($E37&lt;&gt;"",$E37&lt;&gt;0),SUMIF(CÁLCULO!$BC$15:$BU$710,"="&amp;CRONO!D$12,CÁLCULO!$AJ$15:$BB$710)/(ORÇAMENTO!$X$15-CÁLCULO.TotalAdmLocal)*CRONO!$E37,0),D36*$R35),SUMIF(OFFSET($R37,1,0,$Q35-2),($L35+1)&amp;"$",OFFSET(D37,1,0,$Q35-2)))</f>
        <v>0</v>
      </c>
      <c r="E37" s="238">
        <f ca="1">IF(OR($Q35&lt;&gt;2,AUTOEVENTO&lt;&gt;"manual",$E36&gt;0),"",SUMIF(OFFSET(CÁLCULO!$M$15,CRONO!$E35,0,OFFSET(ORÇAMENTO!$D$15,CRONO!$E35,0)),1,OFFSET(ORÇAMENTO!$X$15,CRONO!$E35,0,OFFSET(ORÇAMENTO!$D$15,CRONO!$E35,0))))</f>
        <v>0</v>
      </c>
      <c r="G37" s="258"/>
      <c r="R37" s="259" t="str">
        <f ca="1">L35&amp;"$"</f>
        <v>2$</v>
      </c>
      <c r="S37" s="260"/>
      <c r="T37" s="261">
        <f ca="1">IF($Q35=2,IF(AND(ACOMPANHAMENTO="PLE",ISNUMBER($E35)),SUMIF((OFFSET(CÁLCULO!$BC$15:$BU$15,$E35,0,OFFSET(ORÇAMENTO!$D$15,CRONO!$E35,0))),"&lt;="&amp;CRONO!T$12,OFFSET(CÁLCULO!$AJ$15:$BB$15,$E35,0,OFFSET(ORÇAMENTO!$D$15,CRONO!$E35,0)))+IF(AND($E37&lt;&gt;"",$E37&lt;&gt;0),SUMIF(CÁLCULO!$BC$15:$BU$710,"&lt;="&amp;CRONO!T$12,CÁLCULO!$AJ$15:$BB$710)/(ORÇAMENTO!$X$15-CÁLCULO.TotalAdmLocal)*CRONO!$E37,0),T36*$R35),SUMIF(OFFSET($R37,1,0,$Q35-2),($L35+1)&amp;"$",OFFSET(T37,1,0,$Q35-2)))</f>
        <v>0</v>
      </c>
      <c r="U37" s="257">
        <f ca="1">IF($Q35=2,IF(AND(ACOMPANHAMENTO="PLE",ISNUMBER($E35)),SUMIF((OFFSET(CÁLCULO!$BC$15:$BU$15,$E35,0,OFFSET(ORÇAMENTO!$D$15,CRONO!$E35,0))),"="&amp;CRONO!U$12,OFFSET(CÁLCULO!$AJ$15:$BB$15,$E35,0,OFFSET(ORÇAMENTO!$D$15,CRONO!$E35,0)))+IF(AND($E37&lt;&gt;"",$E37&lt;&gt;0),SUMIF(CÁLCULO!$BC$15:$BU$710,"="&amp;CRONO!U$12,CÁLCULO!$AJ$15:$BB$710)/(ORÇAMENTO!$X$15-CÁLCULO.TotalAdmLocal)*CRONO!$E37,0),U36*$R35),SUMIF(OFFSET($R37,1,0,$Q35-2),($L35+1)&amp;"$",OFFSET(U37,1,0,$Q35-2)))</f>
        <v>0</v>
      </c>
      <c r="V37" s="257">
        <f ca="1">IF($Q35=2,IF(AND(ACOMPANHAMENTO="PLE",ISNUMBER($E35)),SUMIF((OFFSET(CÁLCULO!$BC$15:$BU$15,$E35,0,OFFSET(ORÇAMENTO!$D$15,CRONO!$E35,0))),"="&amp;CRONO!V$12,OFFSET(CÁLCULO!$AJ$15:$BB$15,$E35,0,OFFSET(ORÇAMENTO!$D$15,CRONO!$E35,0)))+IF(AND($E37&lt;&gt;"",$E37&lt;&gt;0),SUMIF(CÁLCULO!$BC$15:$BU$710,"="&amp;CRONO!V$12,CÁLCULO!$AJ$15:$BB$710)/(ORÇAMENTO!$X$15-CÁLCULO.TotalAdmLocal)*CRONO!$E37,0),V36*$R35),SUMIF(OFFSET($R37,1,0,$Q35-2),($L35+1)&amp;"$",OFFSET(V37,1,0,$Q35-2)))</f>
        <v>0</v>
      </c>
      <c r="W37" s="257">
        <f ca="1">IF($Q35=2,IF(AND(ACOMPANHAMENTO="PLE",ISNUMBER($E35)),SUMIF((OFFSET(CÁLCULO!$BC$15:$BU$15,$E35,0,OFFSET(ORÇAMENTO!$D$15,CRONO!$E35,0))),"="&amp;CRONO!W$12,OFFSET(CÁLCULO!$AJ$15:$BB$15,$E35,0,OFFSET(ORÇAMENTO!$D$15,CRONO!$E35,0)))+IF(AND($E37&lt;&gt;"",$E37&lt;&gt;0),SUMIF(CÁLCULO!$BC$15:$BU$710,"="&amp;CRONO!W$12,CÁLCULO!$AJ$15:$BB$710)/(ORÇAMENTO!$X$15-CÁLCULO.TotalAdmLocal)*CRONO!$E37,0),W36*$R35),SUMIF(OFFSET($R37,1,0,$Q35-2),($L35+1)&amp;"$",OFFSET(W37,1,0,$Q35-2)))</f>
        <v>0</v>
      </c>
      <c r="X37" s="257">
        <f ca="1">IF($Q35=2,IF(AND(ACOMPANHAMENTO="PLE",ISNUMBER($E35)),SUMIF((OFFSET(CÁLCULO!$BC$15:$BU$15,$E35,0,OFFSET(ORÇAMENTO!$D$15,CRONO!$E35,0))),"="&amp;CRONO!X$12,OFFSET(CÁLCULO!$AJ$15:$BB$15,$E35,0,OFFSET(ORÇAMENTO!$D$15,CRONO!$E35,0)))+IF(AND($E37&lt;&gt;"",$E37&lt;&gt;0),SUMIF(CÁLCULO!$BC$15:$BU$710,"="&amp;CRONO!X$12,CÁLCULO!$AJ$15:$BB$710)/(ORÇAMENTO!$X$15-CÁLCULO.TotalAdmLocal)*CRONO!$E37,0),X36*$R35),SUMIF(OFFSET($R37,1,0,$Q35-2),($L35+1)&amp;"$",OFFSET(X37,1,0,$Q35-2)))</f>
        <v>0</v>
      </c>
      <c r="Y37" s="257">
        <f ca="1">IF($Q35=2,IF(AND(ACOMPANHAMENTO="PLE",ISNUMBER($E35)),SUMIF((OFFSET(CÁLCULO!$BC$15:$BU$15,$E35,0,OFFSET(ORÇAMENTO!$D$15,CRONO!$E35,0))),"="&amp;CRONO!Y$12,OFFSET(CÁLCULO!$AJ$15:$BB$15,$E35,0,OFFSET(ORÇAMENTO!$D$15,CRONO!$E35,0)))+IF(AND($E37&lt;&gt;"",$E37&lt;&gt;0),SUMIF(CÁLCULO!$BC$15:$BU$710,"="&amp;CRONO!Y$12,CÁLCULO!$AJ$15:$BB$710)/(ORÇAMENTO!$X$15-CÁLCULO.TotalAdmLocal)*CRONO!$E37,0),Y36*$R35),SUMIF(OFFSET($R37,1,0,$Q35-2),($L35+1)&amp;"$",OFFSET(Y37,1,0,$Q35-2)))</f>
        <v>0</v>
      </c>
      <c r="Z37" s="257">
        <f ca="1">IF($Q35=2,IF(AND(ACOMPANHAMENTO="PLE",ISNUMBER($E35)),SUMIF((OFFSET(CÁLCULO!$BC$15:$BU$15,$E35,0,OFFSET(ORÇAMENTO!$D$15,CRONO!$E35,0))),"="&amp;CRONO!Z$12,OFFSET(CÁLCULO!$AJ$15:$BB$15,$E35,0,OFFSET(ORÇAMENTO!$D$15,CRONO!$E35,0)))+IF(AND($E37&lt;&gt;"",$E37&lt;&gt;0),SUMIF(CÁLCULO!$BC$15:$BU$710,"="&amp;CRONO!Z$12,CÁLCULO!$AJ$15:$BB$710)/(ORÇAMENTO!$X$15-CÁLCULO.TotalAdmLocal)*CRONO!$E37,0),Z36*$R35),SUMIF(OFFSET($R37,1,0,$Q35-2),($L35+1)&amp;"$",OFFSET(Z37,1,0,$Q35-2)))</f>
        <v>0</v>
      </c>
      <c r="AA37" s="257">
        <f ca="1">IF($Q35=2,IF(AND(ACOMPANHAMENTO="PLE",ISNUMBER($E35)),SUMIF((OFFSET(CÁLCULO!$BC$15:$BU$15,$E35,0,OFFSET(ORÇAMENTO!$D$15,CRONO!$E35,0))),"="&amp;CRONO!AA$12,OFFSET(CÁLCULO!$AJ$15:$BB$15,$E35,0,OFFSET(ORÇAMENTO!$D$15,CRONO!$E35,0)))+IF(AND($E37&lt;&gt;"",$E37&lt;&gt;0),SUMIF(CÁLCULO!$BC$15:$BU$710,"="&amp;CRONO!AA$12,CÁLCULO!$AJ$15:$BB$710)/(ORÇAMENTO!$X$15-CÁLCULO.TotalAdmLocal)*CRONO!$E37,0),AA36*$R35),SUMIF(OFFSET($R37,1,0,$Q35-2),($L35+1)&amp;"$",OFFSET(AA37,1,0,$Q35-2)))</f>
        <v>0</v>
      </c>
      <c r="AB37" s="257">
        <f ca="1">IF($Q35=2,IF(AND(ACOMPANHAMENTO="PLE",ISNUMBER($E35)),SUMIF((OFFSET(CÁLCULO!$BC$15:$BU$15,$E35,0,OFFSET(ORÇAMENTO!$D$15,CRONO!$E35,0))),"="&amp;CRONO!AB$12,OFFSET(CÁLCULO!$AJ$15:$BB$15,$E35,0,OFFSET(ORÇAMENTO!$D$15,CRONO!$E35,0)))+IF(AND($E37&lt;&gt;"",$E37&lt;&gt;0),SUMIF(CÁLCULO!$BC$15:$BU$710,"="&amp;CRONO!AB$12,CÁLCULO!$AJ$15:$BB$710)/(ORÇAMENTO!$X$15-CÁLCULO.TotalAdmLocal)*CRONO!$E37,0),AB36*$R35),SUMIF(OFFSET($R37,1,0,$Q35-2),($L35+1)&amp;"$",OFFSET(AB37,1,0,$Q35-2)))</f>
        <v>0</v>
      </c>
      <c r="AC37" s="257">
        <f ca="1">IF($Q35=2,IF(AND(ACOMPANHAMENTO="PLE",ISNUMBER($E35)),SUMIF((OFFSET(CÁLCULO!$BC$15:$BU$15,$E35,0,OFFSET(ORÇAMENTO!$D$15,CRONO!$E35,0))),"="&amp;CRONO!AC$12,OFFSET(CÁLCULO!$AJ$15:$BB$15,$E35,0,OFFSET(ORÇAMENTO!$D$15,CRONO!$E35,0)))+IF(AND($E37&lt;&gt;"",$E37&lt;&gt;0),SUMIF(CÁLCULO!$BC$15:$BU$710,"="&amp;CRONO!AC$12,CÁLCULO!$AJ$15:$BB$710)/(ORÇAMENTO!$X$15-CÁLCULO.TotalAdmLocal)*CRONO!$E37,0),AC36*$R35),SUMIF(OFFSET($R37,1,0,$Q35-2),($L35+1)&amp;"$",OFFSET(AC37,1,0,$Q35-2)))</f>
        <v>0</v>
      </c>
      <c r="AD37" s="257">
        <f ca="1">IF($Q35=2,IF(AND(ACOMPANHAMENTO="PLE",ISNUMBER($E35)),SUMIF((OFFSET(CÁLCULO!$BC$15:$BU$15,$E35,0,OFFSET(ORÇAMENTO!$D$15,CRONO!$E35,0))),"="&amp;CRONO!AD$12,OFFSET(CÁLCULO!$AJ$15:$BB$15,$E35,0,OFFSET(ORÇAMENTO!$D$15,CRONO!$E35,0)))+IF(AND($E37&lt;&gt;"",$E37&lt;&gt;0),SUMIF(CÁLCULO!$BC$15:$BU$710,"="&amp;CRONO!AD$12,CÁLCULO!$AJ$15:$BB$710)/(ORÇAMENTO!$X$15-CÁLCULO.TotalAdmLocal)*CRONO!$E37,0),AD36*$R35),SUMIF(OFFSET($R37,1,0,$Q35-2),($L35+1)&amp;"$",OFFSET(AD37,1,0,$Q35-2)))</f>
        <v>0</v>
      </c>
      <c r="AE37" s="262">
        <f ca="1">IF($Q35=2,IF(AND(ACOMPANHAMENTO="PLE",ISNUMBER($E35)),SUMIF((OFFSET(CÁLCULO!$BC$15:$BU$15,$E35,0,OFFSET(ORÇAMENTO!$D$15,CRONO!$E35,0))),"="&amp;CRONO!AE$12,OFFSET(CÁLCULO!$AJ$15:$BB$15,$E35,0,OFFSET(ORÇAMENTO!$D$15,CRONO!$E35,0)))+IF(AND($E37&lt;&gt;"",$E37&lt;&gt;0),SUMIF(CÁLCULO!$BC$15:$BU$710,"="&amp;CRONO!AE$12,CÁLCULO!$AJ$15:$BB$710)/(ORÇAMENTO!$X$15-CÁLCULO.TotalAdmLocal)*CRONO!$E37,0),AE36*$R35),SUMIF(OFFSET($R37,1,0,$Q35-2),($L35+1)&amp;"$",OFFSET(AE37,1,0,$Q35-2)))</f>
        <v>0</v>
      </c>
      <c r="AF37" s="261">
        <f ca="1">IF($Q35=2,IF(AND(ACOMPANHAMENTO="PLE",ISNUMBER($E35)),SUMIF((OFFSET(CÁLCULO!$BC$15:$BU$15,$E35,0,OFFSET(ORÇAMENTO!$D$15,CRONO!$E35,0))),"="&amp;CRONO!AF$12,OFFSET(CÁLCULO!$AJ$15:$BB$15,$E35,0,OFFSET(ORÇAMENTO!$D$15,CRONO!$E35,0)))+IF(AND($E37&lt;&gt;"",$E37&lt;&gt;0),SUMIF(CÁLCULO!$BC$15:$BU$710,"="&amp;CRONO!AF$12,CÁLCULO!$AJ$15:$BB$710)/(ORÇAMENTO!$X$15-CÁLCULO.TotalAdmLocal)*CRONO!$E37,0),AF36*$R35),SUMIF(OFFSET($R37,1,0,$Q35-2),($L35+1)&amp;"$",OFFSET(AF37,1,0,$Q35-2)))</f>
        <v>0</v>
      </c>
      <c r="AG37" s="257">
        <f ca="1">IF($Q35=2,IF(AND(ACOMPANHAMENTO="PLE",ISNUMBER($E35)),SUMIF((OFFSET(CÁLCULO!$BC$15:$BU$15,$E35,0,OFFSET(ORÇAMENTO!$D$15,CRONO!$E35,0))),"="&amp;CRONO!AG$12,OFFSET(CÁLCULO!$AJ$15:$BB$15,$E35,0,OFFSET(ORÇAMENTO!$D$15,CRONO!$E35,0)))+IF(AND($E37&lt;&gt;"",$E37&lt;&gt;0),SUMIF(CÁLCULO!$BC$15:$BU$710,"="&amp;CRONO!AG$12,CÁLCULO!$AJ$15:$BB$710)/(ORÇAMENTO!$X$15-CÁLCULO.TotalAdmLocal)*CRONO!$E37,0),AG36*$R35),SUMIF(OFFSET($R37,1,0,$Q35-2),($L35+1)&amp;"$",OFFSET(AG37,1,0,$Q35-2)))</f>
        <v>0</v>
      </c>
      <c r="AH37" s="257">
        <f ca="1">IF($Q35=2,IF(AND(ACOMPANHAMENTO="PLE",ISNUMBER($E35)),SUMIF((OFFSET(CÁLCULO!$BC$15:$BU$15,$E35,0,OFFSET(ORÇAMENTO!$D$15,CRONO!$E35,0))),"="&amp;CRONO!AH$12,OFFSET(CÁLCULO!$AJ$15:$BB$15,$E35,0,OFFSET(ORÇAMENTO!$D$15,CRONO!$E35,0)))+IF(AND($E37&lt;&gt;"",$E37&lt;&gt;0),SUMIF(CÁLCULO!$BC$15:$BU$710,"="&amp;CRONO!AH$12,CÁLCULO!$AJ$15:$BB$710)/(ORÇAMENTO!$X$15-CÁLCULO.TotalAdmLocal)*CRONO!$E37,0),AH36*$R35),SUMIF(OFFSET($R37,1,0,$Q35-2),($L35+1)&amp;"$",OFFSET(AH37,1,0,$Q35-2)))</f>
        <v>0</v>
      </c>
      <c r="AI37" s="257">
        <f ca="1">IF($Q35=2,IF(AND(ACOMPANHAMENTO="PLE",ISNUMBER($E35)),SUMIF((OFFSET(CÁLCULO!$BC$15:$BU$15,$E35,0,OFFSET(ORÇAMENTO!$D$15,CRONO!$E35,0))),"="&amp;CRONO!AI$12,OFFSET(CÁLCULO!$AJ$15:$BB$15,$E35,0,OFFSET(ORÇAMENTO!$D$15,CRONO!$E35,0)))+IF(AND($E37&lt;&gt;"",$E37&lt;&gt;0),SUMIF(CÁLCULO!$BC$15:$BU$710,"="&amp;CRONO!AI$12,CÁLCULO!$AJ$15:$BB$710)/(ORÇAMENTO!$X$15-CÁLCULO.TotalAdmLocal)*CRONO!$E37,0),AI36*$R35),SUMIF(OFFSET($R37,1,0,$Q35-2),($L35+1)&amp;"$",OFFSET(AI37,1,0,$Q35-2)))</f>
        <v>0</v>
      </c>
      <c r="AJ37" s="257">
        <f ca="1">IF($Q35=2,IF(AND(ACOMPANHAMENTO="PLE",ISNUMBER($E35)),SUMIF((OFFSET(CÁLCULO!$BC$15:$BU$15,$E35,0,OFFSET(ORÇAMENTO!$D$15,CRONO!$E35,0))),"="&amp;CRONO!AJ$12,OFFSET(CÁLCULO!$AJ$15:$BB$15,$E35,0,OFFSET(ORÇAMENTO!$D$15,CRONO!$E35,0)))+IF(AND($E37&lt;&gt;"",$E37&lt;&gt;0),SUMIF(CÁLCULO!$BC$15:$BU$710,"="&amp;CRONO!AJ$12,CÁLCULO!$AJ$15:$BB$710)/(ORÇAMENTO!$X$15-CÁLCULO.TotalAdmLocal)*CRONO!$E37,0),AJ36*$R35),SUMIF(OFFSET($R37,1,0,$Q35-2),($L35+1)&amp;"$",OFFSET(AJ37,1,0,$Q35-2)))</f>
        <v>0</v>
      </c>
      <c r="AK37" s="257">
        <f ca="1">IF($Q35=2,IF(AND(ACOMPANHAMENTO="PLE",ISNUMBER($E35)),SUMIF((OFFSET(CÁLCULO!$BC$15:$BU$15,$E35,0,OFFSET(ORÇAMENTO!$D$15,CRONO!$E35,0))),"="&amp;CRONO!AK$12,OFFSET(CÁLCULO!$AJ$15:$BB$15,$E35,0,OFFSET(ORÇAMENTO!$D$15,CRONO!$E35,0)))+IF(AND($E37&lt;&gt;"",$E37&lt;&gt;0),SUMIF(CÁLCULO!$BC$15:$BU$710,"="&amp;CRONO!AK$12,CÁLCULO!$AJ$15:$BB$710)/(ORÇAMENTO!$X$15-CÁLCULO.TotalAdmLocal)*CRONO!$E37,0),AK36*$R35),SUMIF(OFFSET($R37,1,0,$Q35-2),($L35+1)&amp;"$",OFFSET(AK37,1,0,$Q35-2)))</f>
        <v>0</v>
      </c>
      <c r="AL37" s="257">
        <f ca="1">IF($Q35=2,IF(AND(ACOMPANHAMENTO="PLE",ISNUMBER($E35)),SUMIF((OFFSET(CÁLCULO!$BC$15:$BU$15,$E35,0,OFFSET(ORÇAMENTO!$D$15,CRONO!$E35,0))),"="&amp;CRONO!AL$12,OFFSET(CÁLCULO!$AJ$15:$BB$15,$E35,0,OFFSET(ORÇAMENTO!$D$15,CRONO!$E35,0)))+IF(AND($E37&lt;&gt;"",$E37&lt;&gt;0),SUMIF(CÁLCULO!$BC$15:$BU$710,"="&amp;CRONO!AL$12,CÁLCULO!$AJ$15:$BB$710)/(ORÇAMENTO!$X$15-CÁLCULO.TotalAdmLocal)*CRONO!$E37,0),AL36*$R35),SUMIF(OFFSET($R37,1,0,$Q35-2),($L35+1)&amp;"$",OFFSET(AL37,1,0,$Q35-2)))</f>
        <v>0</v>
      </c>
      <c r="AM37" s="257">
        <f ca="1">IF($Q35=2,IF(AND(ACOMPANHAMENTO="PLE",ISNUMBER($E35)),SUMIF((OFFSET(CÁLCULO!$BC$15:$BU$15,$E35,0,OFFSET(ORÇAMENTO!$D$15,CRONO!$E35,0))),"="&amp;CRONO!AM$12,OFFSET(CÁLCULO!$AJ$15:$BB$15,$E35,0,OFFSET(ORÇAMENTO!$D$15,CRONO!$E35,0)))+IF(AND($E37&lt;&gt;"",$E37&lt;&gt;0),SUMIF(CÁLCULO!$BC$15:$BU$710,"="&amp;CRONO!AM$12,CÁLCULO!$AJ$15:$BB$710)/(ORÇAMENTO!$X$15-CÁLCULO.TotalAdmLocal)*CRONO!$E37,0),AM36*$R35),SUMIF(OFFSET($R37,1,0,$Q35-2),($L35+1)&amp;"$",OFFSET(AM37,1,0,$Q35-2)))</f>
        <v>0</v>
      </c>
      <c r="AN37" s="257">
        <f ca="1">IF($Q35=2,IF(AND(ACOMPANHAMENTO="PLE",ISNUMBER($E35)),SUMIF((OFFSET(CÁLCULO!$BC$15:$BU$15,$E35,0,OFFSET(ORÇAMENTO!$D$15,CRONO!$E35,0))),"="&amp;CRONO!AN$12,OFFSET(CÁLCULO!$AJ$15:$BB$15,$E35,0,OFFSET(ORÇAMENTO!$D$15,CRONO!$E35,0)))+IF(AND($E37&lt;&gt;"",$E37&lt;&gt;0),SUMIF(CÁLCULO!$BC$15:$BU$710,"="&amp;CRONO!AN$12,CÁLCULO!$AJ$15:$BB$710)/(ORÇAMENTO!$X$15-CÁLCULO.TotalAdmLocal)*CRONO!$E37,0),AN36*$R35),SUMIF(OFFSET($R37,1,0,$Q35-2),($L35+1)&amp;"$",OFFSET(AN37,1,0,$Q35-2)))</f>
        <v>0</v>
      </c>
      <c r="AO37" s="257">
        <f ca="1">IF($Q35=2,IF(AND(ACOMPANHAMENTO="PLE",ISNUMBER($E35)),SUMIF((OFFSET(CÁLCULO!$BC$15:$BU$15,$E35,0,OFFSET(ORÇAMENTO!$D$15,CRONO!$E35,0))),"="&amp;CRONO!AO$12,OFFSET(CÁLCULO!$AJ$15:$BB$15,$E35,0,OFFSET(ORÇAMENTO!$D$15,CRONO!$E35,0)))+IF(AND($E37&lt;&gt;"",$E37&lt;&gt;0),SUMIF(CÁLCULO!$BC$15:$BU$710,"="&amp;CRONO!AO$12,CÁLCULO!$AJ$15:$BB$710)/(ORÇAMENTO!$X$15-CÁLCULO.TotalAdmLocal)*CRONO!$E37,0),AO36*$R35),SUMIF(OFFSET($R37,1,0,$Q35-2),($L35+1)&amp;"$",OFFSET(AO37,1,0,$Q35-2)))</f>
        <v>0</v>
      </c>
      <c r="AP37" s="257">
        <f ca="1">IF($Q35=2,IF(AND(ACOMPANHAMENTO="PLE",ISNUMBER($E35)),SUMIF((OFFSET(CÁLCULO!$BC$15:$BU$15,$E35,0,OFFSET(ORÇAMENTO!$D$15,CRONO!$E35,0))),"="&amp;CRONO!AP$12,OFFSET(CÁLCULO!$AJ$15:$BB$15,$E35,0,OFFSET(ORÇAMENTO!$D$15,CRONO!$E35,0)))+IF(AND($E37&lt;&gt;"",$E37&lt;&gt;0),SUMIF(CÁLCULO!$BC$15:$BU$710,"="&amp;CRONO!AP$12,CÁLCULO!$AJ$15:$BB$710)/(ORÇAMENTO!$X$15-CÁLCULO.TotalAdmLocal)*CRONO!$E37,0),AP36*$R35),SUMIF(OFFSET($R37,1,0,$Q35-2),($L35+1)&amp;"$",OFFSET(AP37,1,0,$Q35-2)))</f>
        <v>0</v>
      </c>
      <c r="AQ37" s="262">
        <f ca="1">IF($Q35=2,IF(AND(ACOMPANHAMENTO="PLE",ISNUMBER($E35)),SUMIF((OFFSET(CÁLCULO!$BC$15:$BU$15,$E35,0,OFFSET(ORÇAMENTO!$D$15,CRONO!$E35,0))),"="&amp;CRONO!AQ$12,OFFSET(CÁLCULO!$AJ$15:$BB$15,$E35,0,OFFSET(ORÇAMENTO!$D$15,CRONO!$E35,0)))+IF(AND($E37&lt;&gt;"",$E37&lt;&gt;0),SUMIF(CÁLCULO!$BC$15:$BU$710,"="&amp;CRONO!AQ$12,CÁLCULO!$AJ$15:$BB$710)/(ORÇAMENTO!$X$15-CÁLCULO.TotalAdmLocal)*CRONO!$E37,0),AQ36*$R35),SUMIF(OFFSET($R37,1,0,$Q35-2),($L35+1)&amp;"$",OFFSET(AQ37,1,0,$Q35-2)))</f>
        <v>0</v>
      </c>
    </row>
    <row r="38" spans="1:44" x14ac:dyDescent="0.25">
      <c r="A38" s="238">
        <f ca="1">OFFSET(A38,-3,0)+1</f>
        <v>9</v>
      </c>
      <c r="B38" s="238">
        <f ca="1">IF($Q38&lt;&gt;2,0,IF($R38=0,1,IF(E39&gt;0,OFFSET(QCI!$M$13,SUBSTITUTE(E39,".",""),0),OFFSET(ORÇAMENTO!$AA$15,CRONO!$E38,0))/$R38))</f>
        <v>1</v>
      </c>
      <c r="C38" s="238">
        <f ca="1">IF($Q38&lt;&gt;2,0,IF($R38=0,1,IF(E39&gt;0,OFFSET(QCI!$N$13,SUBSTITUTE(E39,".",""),0),OFFSET(ORÇAMENTO!$AB$15,CRONO!$E38,0))/$R38))</f>
        <v>1</v>
      </c>
      <c r="D38" s="241">
        <f ca="1">IF(AND($Q38=2,ACOMPANHAMENTO="BM"),D39,D40/$R38)</f>
        <v>0</v>
      </c>
      <c r="E38" s="238">
        <f ca="1">IF(A38&lt;=ORÇAMENTO.MáximoListaCrono,MATCH(A38,ORÇAMENTO.ListaCrono,0),NA())</f>
        <v>223</v>
      </c>
      <c r="F38" s="238" t="str">
        <f ca="1">IF(AND($E39&lt;&gt;-1,$R38&gt;0),"F","")</f>
        <v/>
      </c>
      <c r="G38" s="242" t="str">
        <f ca="1">IF(OR(R38=0,R38=""),"Linha",IF(AND(OR(ACOMPANHAMENTO="PLE",$Q38&lt;&gt;2),$E39=0),"Linha",1-SUM(T38:AR38)))</f>
        <v>Linha</v>
      </c>
      <c r="H38" s="243" t="str">
        <f ca="1">IF($E39=0,OFFSET(ORÇAMENTO!O$15,$E38,0),IF($E39&lt;&gt;-1,OFFSET(QCI!$D$13,$E39,0),""))</f>
        <v>1.8.</v>
      </c>
      <c r="I38" s="244" t="str">
        <f ca="1">IF($E39=0,OFFSET(ORÇAMENTO!R$15,$E38,0),IF($E39&lt;&gt;-1,OFFSET(QCI!$G$13,$E39,0),""))</f>
        <v xml:space="preserve">IMPERMEABILIZAÇÃO </v>
      </c>
      <c r="J38" s="244"/>
      <c r="K38" s="244"/>
      <c r="L38" s="245">
        <f ca="1">IF($E39=0,OFFSET(ORÇAMENTO!C$15,$E38,0),1)</f>
        <v>2</v>
      </c>
      <c r="M38" s="246">
        <f ca="1">IF($E39=-1,0,IF(M$13&lt;=$L38,IF(ISERROR(MATCH(M$13,OFFSET($L38,1,0,ROW($L$98)-ROW($L38)-1),0)),ROW($L$98)-ROW($L38)-1,MATCH(M$13,OFFSET($L38,1,0,ROW($L$98)-ROW($L38)-1),0)-1),0))</f>
        <v>50</v>
      </c>
      <c r="N38" s="246">
        <f ca="1">IF($E39=-1,0,IF(N$13&lt;=$L38,IF(ISERROR(MATCH(N$13,OFFSET($L38,1,0,ROW($L$98)-ROW($L38)-1),0)),ROW($L$98)-ROW($L38)-1,MATCH(N$13,OFFSET($L38,1,0,ROW($L$98)-ROW($L38)-1),0)-1),0))</f>
        <v>2</v>
      </c>
      <c r="O38" s="246">
        <f ca="1">IF($E39=-1,0,IF(O$13&lt;=$L38,IF(ISERROR(MATCH(O$13,OFFSET($L38,1,0,ROW($L$98)-ROW($L38)-1),0)),ROW($L$98)-ROW($L38)-1,MATCH(O$13,OFFSET($L38,1,0,ROW($L$98)-ROW($L38)-1),0)-1),0))</f>
        <v>0</v>
      </c>
      <c r="P38" s="246">
        <f ca="1">IF($E39=-1,0,IF(P$13&lt;=$L38,IF(ISERROR(MATCH(P$13,OFFSET($L38,1,0,ROW($L$98)-ROW($L38)-1),0)),ROW($L$98)-ROW($L38)-1,MATCH(P$13,OFFSET($L38,1,0,ROW($L$98)-ROW($L38)-1),0)-1),0))</f>
        <v>0</v>
      </c>
      <c r="Q38" s="246">
        <f ca="1">MIN(OFFSET(L38,0,1,,L38))</f>
        <v>2</v>
      </c>
      <c r="R38" s="247">
        <f ca="1">IF($E39=0,OFFSET(ORÇAMENTO!X$15,$E38,0),IF($E39&lt;&gt;-1,OFFSET(QCI!$O$13,$E39,0),""))</f>
        <v>0</v>
      </c>
      <c r="S38" s="248" t="s">
        <v>272</v>
      </c>
      <c r="T38" s="249">
        <f t="shared" ref="T38:AQ38" ca="1" si="12">IF(AND($Q38=2,ACOMPANHAMENTO="BM"),T39,T40/$R38)</f>
        <v>0</v>
      </c>
      <c r="U38" s="241">
        <f t="shared" ca="1" si="12"/>
        <v>0</v>
      </c>
      <c r="V38" s="241">
        <f t="shared" ca="1" si="12"/>
        <v>0</v>
      </c>
      <c r="W38" s="241">
        <f t="shared" ca="1" si="12"/>
        <v>0</v>
      </c>
      <c r="X38" s="241">
        <f t="shared" ca="1" si="12"/>
        <v>0</v>
      </c>
      <c r="Y38" s="241">
        <f t="shared" ca="1" si="12"/>
        <v>1</v>
      </c>
      <c r="Z38" s="241">
        <f t="shared" ca="1" si="12"/>
        <v>0</v>
      </c>
      <c r="AA38" s="241">
        <f t="shared" ca="1" si="12"/>
        <v>0</v>
      </c>
      <c r="AB38" s="241">
        <f t="shared" ca="1" si="12"/>
        <v>0</v>
      </c>
      <c r="AC38" s="241">
        <f t="shared" ca="1" si="12"/>
        <v>0</v>
      </c>
      <c r="AD38" s="241">
        <f t="shared" ca="1" si="12"/>
        <v>0</v>
      </c>
      <c r="AE38" s="250">
        <f t="shared" ca="1" si="12"/>
        <v>0</v>
      </c>
      <c r="AF38" s="249">
        <f t="shared" ca="1" si="12"/>
        <v>0</v>
      </c>
      <c r="AG38" s="241">
        <f t="shared" ca="1" si="12"/>
        <v>0</v>
      </c>
      <c r="AH38" s="241">
        <f t="shared" ca="1" si="12"/>
        <v>0</v>
      </c>
      <c r="AI38" s="241">
        <f t="shared" ca="1" si="12"/>
        <v>0</v>
      </c>
      <c r="AJ38" s="241">
        <f t="shared" ca="1" si="12"/>
        <v>0</v>
      </c>
      <c r="AK38" s="241">
        <f t="shared" ca="1" si="12"/>
        <v>0</v>
      </c>
      <c r="AL38" s="241">
        <f t="shared" ca="1" si="12"/>
        <v>0</v>
      </c>
      <c r="AM38" s="241">
        <f t="shared" ca="1" si="12"/>
        <v>0</v>
      </c>
      <c r="AN38" s="241">
        <f t="shared" ca="1" si="12"/>
        <v>0</v>
      </c>
      <c r="AO38" s="241">
        <f t="shared" ca="1" si="12"/>
        <v>0</v>
      </c>
      <c r="AP38" s="241">
        <f t="shared" ca="1" si="12"/>
        <v>0</v>
      </c>
      <c r="AQ38" s="250">
        <f t="shared" ca="1" si="12"/>
        <v>0</v>
      </c>
    </row>
    <row r="39" spans="1:44" ht="12.75" customHeight="1" x14ac:dyDescent="0.25">
      <c r="D39" s="658"/>
      <c r="E39" s="238">
        <f ca="1">IF(ISERROR(E38),IF(1+COUNTIF($L$13:OFFSET(L38,-1,0),1)&lt;=MAX(QCI!$D$13:$D$24),1+COUNTIF($L$13:OFFSET(L38,-1,0),1),-1),0)</f>
        <v>0</v>
      </c>
      <c r="F39" s="238" t="str">
        <f ca="1">IF(AND($E39&lt;&gt;-1,$R38&gt;0),"F","")</f>
        <v/>
      </c>
      <c r="G39" s="251" t="str">
        <f ca="1">IF(OR(R38=0,R38=""),"vazia",IF(AND(OR(ACOMPANHAMENTO="PLE",$Q38&lt;&gt;2),$E39=0),"calculada","--&gt;"))</f>
        <v>vazia</v>
      </c>
      <c r="H39" s="252"/>
      <c r="I39" s="253" t="str">
        <f ca="1">IF(AND(G38&lt;&gt;0,ISNUMBER(G38)),"PREENCHA ESTA LINHA --&gt;","")</f>
        <v/>
      </c>
      <c r="J39" s="253"/>
      <c r="K39" s="253"/>
      <c r="L39" s="254"/>
      <c r="M39" s="254"/>
      <c r="N39" s="254"/>
      <c r="O39" s="254"/>
      <c r="P39" s="254"/>
      <c r="Q39" s="254"/>
      <c r="R39" s="255"/>
      <c r="S39" s="256"/>
      <c r="T39" s="659"/>
      <c r="U39" s="658"/>
      <c r="V39" s="658"/>
      <c r="W39" s="658"/>
      <c r="X39" s="658"/>
      <c r="Y39" s="658">
        <v>1</v>
      </c>
      <c r="Z39" s="658"/>
      <c r="AA39" s="658"/>
      <c r="AB39" s="658"/>
      <c r="AC39" s="658"/>
      <c r="AD39" s="658"/>
      <c r="AE39" s="660"/>
      <c r="AF39" s="659"/>
      <c r="AG39" s="658"/>
      <c r="AH39" s="658"/>
      <c r="AI39" s="658"/>
      <c r="AJ39" s="658"/>
      <c r="AK39" s="658"/>
      <c r="AL39" s="658"/>
      <c r="AM39" s="658"/>
      <c r="AN39" s="658"/>
      <c r="AO39" s="658"/>
      <c r="AP39" s="658"/>
      <c r="AQ39" s="660"/>
      <c r="AR39" s="618"/>
    </row>
    <row r="40" spans="1:44" ht="0.15" hidden="1" customHeight="1" x14ac:dyDescent="0.25">
      <c r="D40" s="257">
        <f ca="1">IF($Q38=2,IF(AND(ACOMPANHAMENTO="PLE",ISNUMBER($E38)),SUMIF((OFFSET(CÁLCULO!$BC$15:$BU$15,$E38,0,OFFSET(ORÇAMENTO!$D$15,CRONO!$E38,0))),"="&amp;CRONO!D$12,OFFSET(CÁLCULO!$AJ$15:$BB$15,$E38,0,OFFSET(ORÇAMENTO!$D$15,CRONO!$E38,0)))+IF(AND($E40&lt;&gt;"",$E40&lt;&gt;0),SUMIF(CÁLCULO!$BC$15:$BU$710,"="&amp;CRONO!D$12,CÁLCULO!$AJ$15:$BB$710)/(ORÇAMENTO!$X$15-CÁLCULO.TotalAdmLocal)*CRONO!$E40,0),D39*$R38),SUMIF(OFFSET($R40,1,0,$Q38-2),($L38+1)&amp;"$",OFFSET(D40,1,0,$Q38-2)))</f>
        <v>0</v>
      </c>
      <c r="E40" s="238">
        <f ca="1">IF(OR($Q38&lt;&gt;2,AUTOEVENTO&lt;&gt;"manual",$E39&gt;0),"",SUMIF(OFFSET(CÁLCULO!$M$15,CRONO!$E38,0,OFFSET(ORÇAMENTO!$D$15,CRONO!$E38,0)),1,OFFSET(ORÇAMENTO!$X$15,CRONO!$E38,0,OFFSET(ORÇAMENTO!$D$15,CRONO!$E38,0))))</f>
        <v>0</v>
      </c>
      <c r="G40" s="258"/>
      <c r="R40" s="259" t="str">
        <f ca="1">L38&amp;"$"</f>
        <v>2$</v>
      </c>
      <c r="S40" s="260"/>
      <c r="T40" s="261">
        <f ca="1">IF($Q38=2,IF(AND(ACOMPANHAMENTO="PLE",ISNUMBER($E38)),SUMIF((OFFSET(CÁLCULO!$BC$15:$BU$15,$E38,0,OFFSET(ORÇAMENTO!$D$15,CRONO!$E38,0))),"&lt;="&amp;CRONO!T$12,OFFSET(CÁLCULO!$AJ$15:$BB$15,$E38,0,OFFSET(ORÇAMENTO!$D$15,CRONO!$E38,0)))+IF(AND($E40&lt;&gt;"",$E40&lt;&gt;0),SUMIF(CÁLCULO!$BC$15:$BU$710,"&lt;="&amp;CRONO!T$12,CÁLCULO!$AJ$15:$BB$710)/(ORÇAMENTO!$X$15-CÁLCULO.TotalAdmLocal)*CRONO!$E40,0),T39*$R38),SUMIF(OFFSET($R40,1,0,$Q38-2),($L38+1)&amp;"$",OFFSET(T40,1,0,$Q38-2)))</f>
        <v>0</v>
      </c>
      <c r="U40" s="257">
        <f ca="1">IF($Q38=2,IF(AND(ACOMPANHAMENTO="PLE",ISNUMBER($E38)),SUMIF((OFFSET(CÁLCULO!$BC$15:$BU$15,$E38,0,OFFSET(ORÇAMENTO!$D$15,CRONO!$E38,0))),"="&amp;CRONO!U$12,OFFSET(CÁLCULO!$AJ$15:$BB$15,$E38,0,OFFSET(ORÇAMENTO!$D$15,CRONO!$E38,0)))+IF(AND($E40&lt;&gt;"",$E40&lt;&gt;0),SUMIF(CÁLCULO!$BC$15:$BU$710,"="&amp;CRONO!U$12,CÁLCULO!$AJ$15:$BB$710)/(ORÇAMENTO!$X$15-CÁLCULO.TotalAdmLocal)*CRONO!$E40,0),U39*$R38),SUMIF(OFFSET($R40,1,0,$Q38-2),($L38+1)&amp;"$",OFFSET(U40,1,0,$Q38-2)))</f>
        <v>0</v>
      </c>
      <c r="V40" s="257">
        <f ca="1">IF($Q38=2,IF(AND(ACOMPANHAMENTO="PLE",ISNUMBER($E38)),SUMIF((OFFSET(CÁLCULO!$BC$15:$BU$15,$E38,0,OFFSET(ORÇAMENTO!$D$15,CRONO!$E38,0))),"="&amp;CRONO!V$12,OFFSET(CÁLCULO!$AJ$15:$BB$15,$E38,0,OFFSET(ORÇAMENTO!$D$15,CRONO!$E38,0)))+IF(AND($E40&lt;&gt;"",$E40&lt;&gt;0),SUMIF(CÁLCULO!$BC$15:$BU$710,"="&amp;CRONO!V$12,CÁLCULO!$AJ$15:$BB$710)/(ORÇAMENTO!$X$15-CÁLCULO.TotalAdmLocal)*CRONO!$E40,0),V39*$R38),SUMIF(OFFSET($R40,1,0,$Q38-2),($L38+1)&amp;"$",OFFSET(V40,1,0,$Q38-2)))</f>
        <v>0</v>
      </c>
      <c r="W40" s="257">
        <f ca="1">IF($Q38=2,IF(AND(ACOMPANHAMENTO="PLE",ISNUMBER($E38)),SUMIF((OFFSET(CÁLCULO!$BC$15:$BU$15,$E38,0,OFFSET(ORÇAMENTO!$D$15,CRONO!$E38,0))),"="&amp;CRONO!W$12,OFFSET(CÁLCULO!$AJ$15:$BB$15,$E38,0,OFFSET(ORÇAMENTO!$D$15,CRONO!$E38,0)))+IF(AND($E40&lt;&gt;"",$E40&lt;&gt;0),SUMIF(CÁLCULO!$BC$15:$BU$710,"="&amp;CRONO!W$12,CÁLCULO!$AJ$15:$BB$710)/(ORÇAMENTO!$X$15-CÁLCULO.TotalAdmLocal)*CRONO!$E40,0),W39*$R38),SUMIF(OFFSET($R40,1,0,$Q38-2),($L38+1)&amp;"$",OFFSET(W40,1,0,$Q38-2)))</f>
        <v>0</v>
      </c>
      <c r="X40" s="257">
        <f ca="1">IF($Q38=2,IF(AND(ACOMPANHAMENTO="PLE",ISNUMBER($E38)),SUMIF((OFFSET(CÁLCULO!$BC$15:$BU$15,$E38,0,OFFSET(ORÇAMENTO!$D$15,CRONO!$E38,0))),"="&amp;CRONO!X$12,OFFSET(CÁLCULO!$AJ$15:$BB$15,$E38,0,OFFSET(ORÇAMENTO!$D$15,CRONO!$E38,0)))+IF(AND($E40&lt;&gt;"",$E40&lt;&gt;0),SUMIF(CÁLCULO!$BC$15:$BU$710,"="&amp;CRONO!X$12,CÁLCULO!$AJ$15:$BB$710)/(ORÇAMENTO!$X$15-CÁLCULO.TotalAdmLocal)*CRONO!$E40,0),X39*$R38),SUMIF(OFFSET($R40,1,0,$Q38-2),($L38+1)&amp;"$",OFFSET(X40,1,0,$Q38-2)))</f>
        <v>0</v>
      </c>
      <c r="Y40" s="257">
        <f ca="1">IF($Q38=2,IF(AND(ACOMPANHAMENTO="PLE",ISNUMBER($E38)),SUMIF((OFFSET(CÁLCULO!$BC$15:$BU$15,$E38,0,OFFSET(ORÇAMENTO!$D$15,CRONO!$E38,0))),"="&amp;CRONO!Y$12,OFFSET(CÁLCULO!$AJ$15:$BB$15,$E38,0,OFFSET(ORÇAMENTO!$D$15,CRONO!$E38,0)))+IF(AND($E40&lt;&gt;"",$E40&lt;&gt;0),SUMIF(CÁLCULO!$BC$15:$BU$710,"="&amp;CRONO!Y$12,CÁLCULO!$AJ$15:$BB$710)/(ORÇAMENTO!$X$15-CÁLCULO.TotalAdmLocal)*CRONO!$E40,0),Y39*$R38),SUMIF(OFFSET($R40,1,0,$Q38-2),($L38+1)&amp;"$",OFFSET(Y40,1,0,$Q38-2)))</f>
        <v>0</v>
      </c>
      <c r="Z40" s="257">
        <f ca="1">IF($Q38=2,IF(AND(ACOMPANHAMENTO="PLE",ISNUMBER($E38)),SUMIF((OFFSET(CÁLCULO!$BC$15:$BU$15,$E38,0,OFFSET(ORÇAMENTO!$D$15,CRONO!$E38,0))),"="&amp;CRONO!Z$12,OFFSET(CÁLCULO!$AJ$15:$BB$15,$E38,0,OFFSET(ORÇAMENTO!$D$15,CRONO!$E38,0)))+IF(AND($E40&lt;&gt;"",$E40&lt;&gt;0),SUMIF(CÁLCULO!$BC$15:$BU$710,"="&amp;CRONO!Z$12,CÁLCULO!$AJ$15:$BB$710)/(ORÇAMENTO!$X$15-CÁLCULO.TotalAdmLocal)*CRONO!$E40,0),Z39*$R38),SUMIF(OFFSET($R40,1,0,$Q38-2),($L38+1)&amp;"$",OFFSET(Z40,1,0,$Q38-2)))</f>
        <v>0</v>
      </c>
      <c r="AA40" s="257">
        <f ca="1">IF($Q38=2,IF(AND(ACOMPANHAMENTO="PLE",ISNUMBER($E38)),SUMIF((OFFSET(CÁLCULO!$BC$15:$BU$15,$E38,0,OFFSET(ORÇAMENTO!$D$15,CRONO!$E38,0))),"="&amp;CRONO!AA$12,OFFSET(CÁLCULO!$AJ$15:$BB$15,$E38,0,OFFSET(ORÇAMENTO!$D$15,CRONO!$E38,0)))+IF(AND($E40&lt;&gt;"",$E40&lt;&gt;0),SUMIF(CÁLCULO!$BC$15:$BU$710,"="&amp;CRONO!AA$12,CÁLCULO!$AJ$15:$BB$710)/(ORÇAMENTO!$X$15-CÁLCULO.TotalAdmLocal)*CRONO!$E40,0),AA39*$R38),SUMIF(OFFSET($R40,1,0,$Q38-2),($L38+1)&amp;"$",OFFSET(AA40,1,0,$Q38-2)))</f>
        <v>0</v>
      </c>
      <c r="AB40" s="257">
        <f ca="1">IF($Q38=2,IF(AND(ACOMPANHAMENTO="PLE",ISNUMBER($E38)),SUMIF((OFFSET(CÁLCULO!$BC$15:$BU$15,$E38,0,OFFSET(ORÇAMENTO!$D$15,CRONO!$E38,0))),"="&amp;CRONO!AB$12,OFFSET(CÁLCULO!$AJ$15:$BB$15,$E38,0,OFFSET(ORÇAMENTO!$D$15,CRONO!$E38,0)))+IF(AND($E40&lt;&gt;"",$E40&lt;&gt;0),SUMIF(CÁLCULO!$BC$15:$BU$710,"="&amp;CRONO!AB$12,CÁLCULO!$AJ$15:$BB$710)/(ORÇAMENTO!$X$15-CÁLCULO.TotalAdmLocal)*CRONO!$E40,0),AB39*$R38),SUMIF(OFFSET($R40,1,0,$Q38-2),($L38+1)&amp;"$",OFFSET(AB40,1,0,$Q38-2)))</f>
        <v>0</v>
      </c>
      <c r="AC40" s="257">
        <f ca="1">IF($Q38=2,IF(AND(ACOMPANHAMENTO="PLE",ISNUMBER($E38)),SUMIF((OFFSET(CÁLCULO!$BC$15:$BU$15,$E38,0,OFFSET(ORÇAMENTO!$D$15,CRONO!$E38,0))),"="&amp;CRONO!AC$12,OFFSET(CÁLCULO!$AJ$15:$BB$15,$E38,0,OFFSET(ORÇAMENTO!$D$15,CRONO!$E38,0)))+IF(AND($E40&lt;&gt;"",$E40&lt;&gt;0),SUMIF(CÁLCULO!$BC$15:$BU$710,"="&amp;CRONO!AC$12,CÁLCULO!$AJ$15:$BB$710)/(ORÇAMENTO!$X$15-CÁLCULO.TotalAdmLocal)*CRONO!$E40,0),AC39*$R38),SUMIF(OFFSET($R40,1,0,$Q38-2),($L38+1)&amp;"$",OFFSET(AC40,1,0,$Q38-2)))</f>
        <v>0</v>
      </c>
      <c r="AD40" s="257">
        <f ca="1">IF($Q38=2,IF(AND(ACOMPANHAMENTO="PLE",ISNUMBER($E38)),SUMIF((OFFSET(CÁLCULO!$BC$15:$BU$15,$E38,0,OFFSET(ORÇAMENTO!$D$15,CRONO!$E38,0))),"="&amp;CRONO!AD$12,OFFSET(CÁLCULO!$AJ$15:$BB$15,$E38,0,OFFSET(ORÇAMENTO!$D$15,CRONO!$E38,0)))+IF(AND($E40&lt;&gt;"",$E40&lt;&gt;0),SUMIF(CÁLCULO!$BC$15:$BU$710,"="&amp;CRONO!AD$12,CÁLCULO!$AJ$15:$BB$710)/(ORÇAMENTO!$X$15-CÁLCULO.TotalAdmLocal)*CRONO!$E40,0),AD39*$R38),SUMIF(OFFSET($R40,1,0,$Q38-2),($L38+1)&amp;"$",OFFSET(AD40,1,0,$Q38-2)))</f>
        <v>0</v>
      </c>
      <c r="AE40" s="262">
        <f ca="1">IF($Q38=2,IF(AND(ACOMPANHAMENTO="PLE",ISNUMBER($E38)),SUMIF((OFFSET(CÁLCULO!$BC$15:$BU$15,$E38,0,OFFSET(ORÇAMENTO!$D$15,CRONO!$E38,0))),"="&amp;CRONO!AE$12,OFFSET(CÁLCULO!$AJ$15:$BB$15,$E38,0,OFFSET(ORÇAMENTO!$D$15,CRONO!$E38,0)))+IF(AND($E40&lt;&gt;"",$E40&lt;&gt;0),SUMIF(CÁLCULO!$BC$15:$BU$710,"="&amp;CRONO!AE$12,CÁLCULO!$AJ$15:$BB$710)/(ORÇAMENTO!$X$15-CÁLCULO.TotalAdmLocal)*CRONO!$E40,0),AE39*$R38),SUMIF(OFFSET($R40,1,0,$Q38-2),($L38+1)&amp;"$",OFFSET(AE40,1,0,$Q38-2)))</f>
        <v>0</v>
      </c>
      <c r="AF40" s="261">
        <f ca="1">IF($Q38=2,IF(AND(ACOMPANHAMENTO="PLE",ISNUMBER($E38)),SUMIF((OFFSET(CÁLCULO!$BC$15:$BU$15,$E38,0,OFFSET(ORÇAMENTO!$D$15,CRONO!$E38,0))),"="&amp;CRONO!AF$12,OFFSET(CÁLCULO!$AJ$15:$BB$15,$E38,0,OFFSET(ORÇAMENTO!$D$15,CRONO!$E38,0)))+IF(AND($E40&lt;&gt;"",$E40&lt;&gt;0),SUMIF(CÁLCULO!$BC$15:$BU$710,"="&amp;CRONO!AF$12,CÁLCULO!$AJ$15:$BB$710)/(ORÇAMENTO!$X$15-CÁLCULO.TotalAdmLocal)*CRONO!$E40,0),AF39*$R38),SUMIF(OFFSET($R40,1,0,$Q38-2),($L38+1)&amp;"$",OFFSET(AF40,1,0,$Q38-2)))</f>
        <v>0</v>
      </c>
      <c r="AG40" s="257">
        <f ca="1">IF($Q38=2,IF(AND(ACOMPANHAMENTO="PLE",ISNUMBER($E38)),SUMIF((OFFSET(CÁLCULO!$BC$15:$BU$15,$E38,0,OFFSET(ORÇAMENTO!$D$15,CRONO!$E38,0))),"="&amp;CRONO!AG$12,OFFSET(CÁLCULO!$AJ$15:$BB$15,$E38,0,OFFSET(ORÇAMENTO!$D$15,CRONO!$E38,0)))+IF(AND($E40&lt;&gt;"",$E40&lt;&gt;0),SUMIF(CÁLCULO!$BC$15:$BU$710,"="&amp;CRONO!AG$12,CÁLCULO!$AJ$15:$BB$710)/(ORÇAMENTO!$X$15-CÁLCULO.TotalAdmLocal)*CRONO!$E40,0),AG39*$R38),SUMIF(OFFSET($R40,1,0,$Q38-2),($L38+1)&amp;"$",OFFSET(AG40,1,0,$Q38-2)))</f>
        <v>0</v>
      </c>
      <c r="AH40" s="257">
        <f ca="1">IF($Q38=2,IF(AND(ACOMPANHAMENTO="PLE",ISNUMBER($E38)),SUMIF((OFFSET(CÁLCULO!$BC$15:$BU$15,$E38,0,OFFSET(ORÇAMENTO!$D$15,CRONO!$E38,0))),"="&amp;CRONO!AH$12,OFFSET(CÁLCULO!$AJ$15:$BB$15,$E38,0,OFFSET(ORÇAMENTO!$D$15,CRONO!$E38,0)))+IF(AND($E40&lt;&gt;"",$E40&lt;&gt;0),SUMIF(CÁLCULO!$BC$15:$BU$710,"="&amp;CRONO!AH$12,CÁLCULO!$AJ$15:$BB$710)/(ORÇAMENTO!$X$15-CÁLCULO.TotalAdmLocal)*CRONO!$E40,0),AH39*$R38),SUMIF(OFFSET($R40,1,0,$Q38-2),($L38+1)&amp;"$",OFFSET(AH40,1,0,$Q38-2)))</f>
        <v>0</v>
      </c>
      <c r="AI40" s="257">
        <f ca="1">IF($Q38=2,IF(AND(ACOMPANHAMENTO="PLE",ISNUMBER($E38)),SUMIF((OFFSET(CÁLCULO!$BC$15:$BU$15,$E38,0,OFFSET(ORÇAMENTO!$D$15,CRONO!$E38,0))),"="&amp;CRONO!AI$12,OFFSET(CÁLCULO!$AJ$15:$BB$15,$E38,0,OFFSET(ORÇAMENTO!$D$15,CRONO!$E38,0)))+IF(AND($E40&lt;&gt;"",$E40&lt;&gt;0),SUMIF(CÁLCULO!$BC$15:$BU$710,"="&amp;CRONO!AI$12,CÁLCULO!$AJ$15:$BB$710)/(ORÇAMENTO!$X$15-CÁLCULO.TotalAdmLocal)*CRONO!$E40,0),AI39*$R38),SUMIF(OFFSET($R40,1,0,$Q38-2),($L38+1)&amp;"$",OFFSET(AI40,1,0,$Q38-2)))</f>
        <v>0</v>
      </c>
      <c r="AJ40" s="257">
        <f ca="1">IF($Q38=2,IF(AND(ACOMPANHAMENTO="PLE",ISNUMBER($E38)),SUMIF((OFFSET(CÁLCULO!$BC$15:$BU$15,$E38,0,OFFSET(ORÇAMENTO!$D$15,CRONO!$E38,0))),"="&amp;CRONO!AJ$12,OFFSET(CÁLCULO!$AJ$15:$BB$15,$E38,0,OFFSET(ORÇAMENTO!$D$15,CRONO!$E38,0)))+IF(AND($E40&lt;&gt;"",$E40&lt;&gt;0),SUMIF(CÁLCULO!$BC$15:$BU$710,"="&amp;CRONO!AJ$12,CÁLCULO!$AJ$15:$BB$710)/(ORÇAMENTO!$X$15-CÁLCULO.TotalAdmLocal)*CRONO!$E40,0),AJ39*$R38),SUMIF(OFFSET($R40,1,0,$Q38-2),($L38+1)&amp;"$",OFFSET(AJ40,1,0,$Q38-2)))</f>
        <v>0</v>
      </c>
      <c r="AK40" s="257">
        <f ca="1">IF($Q38=2,IF(AND(ACOMPANHAMENTO="PLE",ISNUMBER($E38)),SUMIF((OFFSET(CÁLCULO!$BC$15:$BU$15,$E38,0,OFFSET(ORÇAMENTO!$D$15,CRONO!$E38,0))),"="&amp;CRONO!AK$12,OFFSET(CÁLCULO!$AJ$15:$BB$15,$E38,0,OFFSET(ORÇAMENTO!$D$15,CRONO!$E38,0)))+IF(AND($E40&lt;&gt;"",$E40&lt;&gt;0),SUMIF(CÁLCULO!$BC$15:$BU$710,"="&amp;CRONO!AK$12,CÁLCULO!$AJ$15:$BB$710)/(ORÇAMENTO!$X$15-CÁLCULO.TotalAdmLocal)*CRONO!$E40,0),AK39*$R38),SUMIF(OFFSET($R40,1,0,$Q38-2),($L38+1)&amp;"$",OFFSET(AK40,1,0,$Q38-2)))</f>
        <v>0</v>
      </c>
      <c r="AL40" s="257">
        <f ca="1">IF($Q38=2,IF(AND(ACOMPANHAMENTO="PLE",ISNUMBER($E38)),SUMIF((OFFSET(CÁLCULO!$BC$15:$BU$15,$E38,0,OFFSET(ORÇAMENTO!$D$15,CRONO!$E38,0))),"="&amp;CRONO!AL$12,OFFSET(CÁLCULO!$AJ$15:$BB$15,$E38,0,OFFSET(ORÇAMENTO!$D$15,CRONO!$E38,0)))+IF(AND($E40&lt;&gt;"",$E40&lt;&gt;0),SUMIF(CÁLCULO!$BC$15:$BU$710,"="&amp;CRONO!AL$12,CÁLCULO!$AJ$15:$BB$710)/(ORÇAMENTO!$X$15-CÁLCULO.TotalAdmLocal)*CRONO!$E40,0),AL39*$R38),SUMIF(OFFSET($R40,1,0,$Q38-2),($L38+1)&amp;"$",OFFSET(AL40,1,0,$Q38-2)))</f>
        <v>0</v>
      </c>
      <c r="AM40" s="257">
        <f ca="1">IF($Q38=2,IF(AND(ACOMPANHAMENTO="PLE",ISNUMBER($E38)),SUMIF((OFFSET(CÁLCULO!$BC$15:$BU$15,$E38,0,OFFSET(ORÇAMENTO!$D$15,CRONO!$E38,0))),"="&amp;CRONO!AM$12,OFFSET(CÁLCULO!$AJ$15:$BB$15,$E38,0,OFFSET(ORÇAMENTO!$D$15,CRONO!$E38,0)))+IF(AND($E40&lt;&gt;"",$E40&lt;&gt;0),SUMIF(CÁLCULO!$BC$15:$BU$710,"="&amp;CRONO!AM$12,CÁLCULO!$AJ$15:$BB$710)/(ORÇAMENTO!$X$15-CÁLCULO.TotalAdmLocal)*CRONO!$E40,0),AM39*$R38),SUMIF(OFFSET($R40,1,0,$Q38-2),($L38+1)&amp;"$",OFFSET(AM40,1,0,$Q38-2)))</f>
        <v>0</v>
      </c>
      <c r="AN40" s="257">
        <f ca="1">IF($Q38=2,IF(AND(ACOMPANHAMENTO="PLE",ISNUMBER($E38)),SUMIF((OFFSET(CÁLCULO!$BC$15:$BU$15,$E38,0,OFFSET(ORÇAMENTO!$D$15,CRONO!$E38,0))),"="&amp;CRONO!AN$12,OFFSET(CÁLCULO!$AJ$15:$BB$15,$E38,0,OFFSET(ORÇAMENTO!$D$15,CRONO!$E38,0)))+IF(AND($E40&lt;&gt;"",$E40&lt;&gt;0),SUMIF(CÁLCULO!$BC$15:$BU$710,"="&amp;CRONO!AN$12,CÁLCULO!$AJ$15:$BB$710)/(ORÇAMENTO!$X$15-CÁLCULO.TotalAdmLocal)*CRONO!$E40,0),AN39*$R38),SUMIF(OFFSET($R40,1,0,$Q38-2),($L38+1)&amp;"$",OFFSET(AN40,1,0,$Q38-2)))</f>
        <v>0</v>
      </c>
      <c r="AO40" s="257">
        <f ca="1">IF($Q38=2,IF(AND(ACOMPANHAMENTO="PLE",ISNUMBER($E38)),SUMIF((OFFSET(CÁLCULO!$BC$15:$BU$15,$E38,0,OFFSET(ORÇAMENTO!$D$15,CRONO!$E38,0))),"="&amp;CRONO!AO$12,OFFSET(CÁLCULO!$AJ$15:$BB$15,$E38,0,OFFSET(ORÇAMENTO!$D$15,CRONO!$E38,0)))+IF(AND($E40&lt;&gt;"",$E40&lt;&gt;0),SUMIF(CÁLCULO!$BC$15:$BU$710,"="&amp;CRONO!AO$12,CÁLCULO!$AJ$15:$BB$710)/(ORÇAMENTO!$X$15-CÁLCULO.TotalAdmLocal)*CRONO!$E40,0),AO39*$R38),SUMIF(OFFSET($R40,1,0,$Q38-2),($L38+1)&amp;"$",OFFSET(AO40,1,0,$Q38-2)))</f>
        <v>0</v>
      </c>
      <c r="AP40" s="257">
        <f ca="1">IF($Q38=2,IF(AND(ACOMPANHAMENTO="PLE",ISNUMBER($E38)),SUMIF((OFFSET(CÁLCULO!$BC$15:$BU$15,$E38,0,OFFSET(ORÇAMENTO!$D$15,CRONO!$E38,0))),"="&amp;CRONO!AP$12,OFFSET(CÁLCULO!$AJ$15:$BB$15,$E38,0,OFFSET(ORÇAMENTO!$D$15,CRONO!$E38,0)))+IF(AND($E40&lt;&gt;"",$E40&lt;&gt;0),SUMIF(CÁLCULO!$BC$15:$BU$710,"="&amp;CRONO!AP$12,CÁLCULO!$AJ$15:$BB$710)/(ORÇAMENTO!$X$15-CÁLCULO.TotalAdmLocal)*CRONO!$E40,0),AP39*$R38),SUMIF(OFFSET($R40,1,0,$Q38-2),($L38+1)&amp;"$",OFFSET(AP40,1,0,$Q38-2)))</f>
        <v>0</v>
      </c>
      <c r="AQ40" s="262">
        <f ca="1">IF($Q38=2,IF(AND(ACOMPANHAMENTO="PLE",ISNUMBER($E38)),SUMIF((OFFSET(CÁLCULO!$BC$15:$BU$15,$E38,0,OFFSET(ORÇAMENTO!$D$15,CRONO!$E38,0))),"="&amp;CRONO!AQ$12,OFFSET(CÁLCULO!$AJ$15:$BB$15,$E38,0,OFFSET(ORÇAMENTO!$D$15,CRONO!$E38,0)))+IF(AND($E40&lt;&gt;"",$E40&lt;&gt;0),SUMIF(CÁLCULO!$BC$15:$BU$710,"="&amp;CRONO!AQ$12,CÁLCULO!$AJ$15:$BB$710)/(ORÇAMENTO!$X$15-CÁLCULO.TotalAdmLocal)*CRONO!$E40,0),AQ39*$R38),SUMIF(OFFSET($R40,1,0,$Q38-2),($L38+1)&amp;"$",OFFSET(AQ40,1,0,$Q38-2)))</f>
        <v>0</v>
      </c>
    </row>
    <row r="41" spans="1:44" x14ac:dyDescent="0.25">
      <c r="A41" s="238">
        <f ca="1">OFFSET(A41,-3,0)+1</f>
        <v>10</v>
      </c>
      <c r="B41" s="238">
        <f ca="1">IF($Q41&lt;&gt;2,0,IF($R41=0,1,IF(E42&gt;0,OFFSET(QCI!$M$13,SUBSTITUTE(E42,".",""),0),OFFSET(ORÇAMENTO!$AA$15,CRONO!$E41,0))/$R41))</f>
        <v>1</v>
      </c>
      <c r="C41" s="238">
        <f ca="1">IF($Q41&lt;&gt;2,0,IF($R41=0,1,IF(E42&gt;0,OFFSET(QCI!$N$13,SUBSTITUTE(E42,".",""),0),OFFSET(ORÇAMENTO!$AB$15,CRONO!$E41,0))/$R41))</f>
        <v>1</v>
      </c>
      <c r="D41" s="241">
        <f ca="1">IF(AND($Q41=2,ACOMPANHAMENTO="BM"),D42,D43/$R41)</f>
        <v>0</v>
      </c>
      <c r="E41" s="238">
        <f ca="1">IF(A41&lt;=ORÇAMENTO.MáximoListaCrono,MATCH(A41,ORÇAMENTO.ListaCrono,0),NA())</f>
        <v>228</v>
      </c>
      <c r="F41" s="238" t="str">
        <f ca="1">IF(AND($E42&lt;&gt;-1,$R41&gt;0),"F","")</f>
        <v/>
      </c>
      <c r="G41" s="242" t="str">
        <f ca="1">IF(OR(R41=0,R41=""),"Linha",IF(AND(OR(ACOMPANHAMENTO="PLE",$Q41&lt;&gt;2),$E42=0),"Linha",1-SUM(T41:AR41)))</f>
        <v>Linha</v>
      </c>
      <c r="H41" s="243" t="str">
        <f ca="1">IF($E42=0,OFFSET(ORÇAMENTO!O$15,$E41,0),IF($E42&lt;&gt;-1,OFFSET(QCI!$D$13,$E42,0),""))</f>
        <v>1.9.</v>
      </c>
      <c r="I41" s="244" t="str">
        <f ca="1">IF($E42=0,OFFSET(ORÇAMENTO!R$15,$E41,0),IF($E42&lt;&gt;-1,OFFSET(QCI!$G$13,$E42,0),""))</f>
        <v>REVESTIMENTOS INTERNO E EXTERNO</v>
      </c>
      <c r="J41" s="244"/>
      <c r="K41" s="244"/>
      <c r="L41" s="245">
        <f ca="1">IF($E42=0,OFFSET(ORÇAMENTO!C$15,$E41,0),1)</f>
        <v>2</v>
      </c>
      <c r="M41" s="246">
        <f ca="1">IF($E42=-1,0,IF(M$13&lt;=$L41,IF(ISERROR(MATCH(M$13,OFFSET($L41,1,0,ROW($L$98)-ROW($L41)-1),0)),ROW($L$98)-ROW($L41)-1,MATCH(M$13,OFFSET($L41,1,0,ROW($L$98)-ROW($L41)-1),0)-1),0))</f>
        <v>47</v>
      </c>
      <c r="N41" s="246">
        <f ca="1">IF($E42=-1,0,IF(N$13&lt;=$L41,IF(ISERROR(MATCH(N$13,OFFSET($L41,1,0,ROW($L$98)-ROW($L41)-1),0)),ROW($L$98)-ROW($L41)-1,MATCH(N$13,OFFSET($L41,1,0,ROW($L$98)-ROW($L41)-1),0)-1),0))</f>
        <v>2</v>
      </c>
      <c r="O41" s="246">
        <f ca="1">IF($E42=-1,0,IF(O$13&lt;=$L41,IF(ISERROR(MATCH(O$13,OFFSET($L41,1,0,ROW($L$98)-ROW($L41)-1),0)),ROW($L$98)-ROW($L41)-1,MATCH(O$13,OFFSET($L41,1,0,ROW($L$98)-ROW($L41)-1),0)-1),0))</f>
        <v>0</v>
      </c>
      <c r="P41" s="246">
        <f ca="1">IF($E42=-1,0,IF(P$13&lt;=$L41,IF(ISERROR(MATCH(P$13,OFFSET($L41,1,0,ROW($L$98)-ROW($L41)-1),0)),ROW($L$98)-ROW($L41)-1,MATCH(P$13,OFFSET($L41,1,0,ROW($L$98)-ROW($L41)-1),0)-1),0))</f>
        <v>0</v>
      </c>
      <c r="Q41" s="246">
        <f ca="1">MIN(OFFSET(L41,0,1,,L41))</f>
        <v>2</v>
      </c>
      <c r="R41" s="247">
        <f ca="1">IF($E42=0,OFFSET(ORÇAMENTO!X$15,$E41,0),IF($E42&lt;&gt;-1,OFFSET(QCI!$O$13,$E42,0),""))</f>
        <v>0</v>
      </c>
      <c r="S41" s="248" t="s">
        <v>272</v>
      </c>
      <c r="T41" s="249">
        <f t="shared" ref="T41:AQ41" ca="1" si="13">IF(AND($Q41=2,ACOMPANHAMENTO="BM"),T42,T43/$R41)</f>
        <v>0</v>
      </c>
      <c r="U41" s="241">
        <f t="shared" ca="1" si="13"/>
        <v>0</v>
      </c>
      <c r="V41" s="241">
        <f t="shared" ca="1" si="13"/>
        <v>0</v>
      </c>
      <c r="W41" s="241">
        <f t="shared" ca="1" si="13"/>
        <v>0</v>
      </c>
      <c r="X41" s="241">
        <f t="shared" ca="1" si="13"/>
        <v>0</v>
      </c>
      <c r="Y41" s="241">
        <f t="shared" ca="1" si="13"/>
        <v>0</v>
      </c>
      <c r="Z41" s="241">
        <f t="shared" ca="1" si="13"/>
        <v>0.15</v>
      </c>
      <c r="AA41" s="241">
        <f t="shared" ca="1" si="13"/>
        <v>0.2</v>
      </c>
      <c r="AB41" s="241">
        <f t="shared" ca="1" si="13"/>
        <v>0.2</v>
      </c>
      <c r="AC41" s="241">
        <f t="shared" ca="1" si="13"/>
        <v>0.2</v>
      </c>
      <c r="AD41" s="241">
        <f t="shared" ca="1" si="13"/>
        <v>0.2</v>
      </c>
      <c r="AE41" s="250">
        <f t="shared" ca="1" si="13"/>
        <v>0.05</v>
      </c>
      <c r="AF41" s="249">
        <f t="shared" ca="1" si="13"/>
        <v>0</v>
      </c>
      <c r="AG41" s="241">
        <f t="shared" ca="1" si="13"/>
        <v>0</v>
      </c>
      <c r="AH41" s="241">
        <f t="shared" ca="1" si="13"/>
        <v>0</v>
      </c>
      <c r="AI41" s="241">
        <f t="shared" ca="1" si="13"/>
        <v>0</v>
      </c>
      <c r="AJ41" s="241">
        <f t="shared" ca="1" si="13"/>
        <v>0</v>
      </c>
      <c r="AK41" s="241">
        <f t="shared" ca="1" si="13"/>
        <v>0</v>
      </c>
      <c r="AL41" s="241">
        <f t="shared" ca="1" si="13"/>
        <v>0</v>
      </c>
      <c r="AM41" s="241">
        <f t="shared" ca="1" si="13"/>
        <v>0</v>
      </c>
      <c r="AN41" s="241">
        <f t="shared" ca="1" si="13"/>
        <v>0</v>
      </c>
      <c r="AO41" s="241">
        <f t="shared" ca="1" si="13"/>
        <v>0</v>
      </c>
      <c r="AP41" s="241">
        <f t="shared" ca="1" si="13"/>
        <v>0</v>
      </c>
      <c r="AQ41" s="250">
        <f t="shared" ca="1" si="13"/>
        <v>0</v>
      </c>
    </row>
    <row r="42" spans="1:44" ht="12.75" customHeight="1" x14ac:dyDescent="0.25">
      <c r="D42" s="658"/>
      <c r="E42" s="238">
        <f ca="1">IF(ISERROR(E41),IF(1+COUNTIF($L$13:OFFSET(L41,-1,0),1)&lt;=MAX(QCI!$D$13:$D$24),1+COUNTIF($L$13:OFFSET(L41,-1,0),1),-1),0)</f>
        <v>0</v>
      </c>
      <c r="F42" s="238" t="str">
        <f ca="1">IF(AND($E42&lt;&gt;-1,$R41&gt;0),"F","")</f>
        <v/>
      </c>
      <c r="G42" s="251" t="str">
        <f ca="1">IF(OR(R41=0,R41=""),"vazia",IF(AND(OR(ACOMPANHAMENTO="PLE",$Q41&lt;&gt;2),$E42=0),"calculada","--&gt;"))</f>
        <v>vazia</v>
      </c>
      <c r="H42" s="252"/>
      <c r="I42" s="253" t="str">
        <f ca="1">IF(AND(G41&lt;&gt;0,ISNUMBER(G41)),"PREENCHA ESTA LINHA --&gt;","")</f>
        <v/>
      </c>
      <c r="J42" s="253"/>
      <c r="K42" s="253"/>
      <c r="L42" s="254"/>
      <c r="M42" s="254"/>
      <c r="N42" s="254"/>
      <c r="O42" s="254"/>
      <c r="P42" s="254"/>
      <c r="Q42" s="254"/>
      <c r="R42" s="255"/>
      <c r="S42" s="256"/>
      <c r="T42" s="659"/>
      <c r="U42" s="658"/>
      <c r="V42" s="658"/>
      <c r="W42" s="658"/>
      <c r="X42" s="658"/>
      <c r="Y42" s="658"/>
      <c r="Z42" s="658">
        <v>0.15</v>
      </c>
      <c r="AA42" s="658">
        <v>0.2</v>
      </c>
      <c r="AB42" s="658">
        <v>0.2</v>
      </c>
      <c r="AC42" s="658">
        <v>0.2</v>
      </c>
      <c r="AD42" s="658">
        <v>0.2</v>
      </c>
      <c r="AE42" s="660">
        <v>0.05</v>
      </c>
      <c r="AF42" s="659"/>
      <c r="AG42" s="658"/>
      <c r="AH42" s="658"/>
      <c r="AI42" s="658"/>
      <c r="AJ42" s="658"/>
      <c r="AK42" s="658"/>
      <c r="AL42" s="658"/>
      <c r="AM42" s="658"/>
      <c r="AN42" s="658"/>
      <c r="AO42" s="658"/>
      <c r="AP42" s="658"/>
      <c r="AQ42" s="660"/>
      <c r="AR42" s="618"/>
    </row>
    <row r="43" spans="1:44" ht="0.15" hidden="1" customHeight="1" x14ac:dyDescent="0.25">
      <c r="D43" s="257">
        <f ca="1">IF($Q41=2,IF(AND(ACOMPANHAMENTO="PLE",ISNUMBER($E41)),SUMIF((OFFSET(CÁLCULO!$BC$15:$BU$15,$E41,0,OFFSET(ORÇAMENTO!$D$15,CRONO!$E41,0))),"="&amp;CRONO!D$12,OFFSET(CÁLCULO!$AJ$15:$BB$15,$E41,0,OFFSET(ORÇAMENTO!$D$15,CRONO!$E41,0)))+IF(AND($E43&lt;&gt;"",$E43&lt;&gt;0),SUMIF(CÁLCULO!$BC$15:$BU$710,"="&amp;CRONO!D$12,CÁLCULO!$AJ$15:$BB$710)/(ORÇAMENTO!$X$15-CÁLCULO.TotalAdmLocal)*CRONO!$E43,0),D42*$R41),SUMIF(OFFSET($R43,1,0,$Q41-2),($L41+1)&amp;"$",OFFSET(D43,1,0,$Q41-2)))</f>
        <v>0</v>
      </c>
      <c r="E43" s="238">
        <f ca="1">IF(OR($Q41&lt;&gt;2,AUTOEVENTO&lt;&gt;"manual",$E42&gt;0),"",SUMIF(OFFSET(CÁLCULO!$M$15,CRONO!$E41,0,OFFSET(ORÇAMENTO!$D$15,CRONO!$E41,0)),1,OFFSET(ORÇAMENTO!$X$15,CRONO!$E41,0,OFFSET(ORÇAMENTO!$D$15,CRONO!$E41,0))))</f>
        <v>0</v>
      </c>
      <c r="G43" s="258"/>
      <c r="R43" s="259" t="str">
        <f ca="1">L41&amp;"$"</f>
        <v>2$</v>
      </c>
      <c r="S43" s="260"/>
      <c r="T43" s="261">
        <f ca="1">IF($Q41=2,IF(AND(ACOMPANHAMENTO="PLE",ISNUMBER($E41)),SUMIF((OFFSET(CÁLCULO!$BC$15:$BU$15,$E41,0,OFFSET(ORÇAMENTO!$D$15,CRONO!$E41,0))),"&lt;="&amp;CRONO!T$12,OFFSET(CÁLCULO!$AJ$15:$BB$15,$E41,0,OFFSET(ORÇAMENTO!$D$15,CRONO!$E41,0)))+IF(AND($E43&lt;&gt;"",$E43&lt;&gt;0),SUMIF(CÁLCULO!$BC$15:$BU$710,"&lt;="&amp;CRONO!T$12,CÁLCULO!$AJ$15:$BB$710)/(ORÇAMENTO!$X$15-CÁLCULO.TotalAdmLocal)*CRONO!$E43,0),T42*$R41),SUMIF(OFFSET($R43,1,0,$Q41-2),($L41+1)&amp;"$",OFFSET(T43,1,0,$Q41-2)))</f>
        <v>0</v>
      </c>
      <c r="U43" s="257">
        <f ca="1">IF($Q41=2,IF(AND(ACOMPANHAMENTO="PLE",ISNUMBER($E41)),SUMIF((OFFSET(CÁLCULO!$BC$15:$BU$15,$E41,0,OFFSET(ORÇAMENTO!$D$15,CRONO!$E41,0))),"="&amp;CRONO!U$12,OFFSET(CÁLCULO!$AJ$15:$BB$15,$E41,0,OFFSET(ORÇAMENTO!$D$15,CRONO!$E41,0)))+IF(AND($E43&lt;&gt;"",$E43&lt;&gt;0),SUMIF(CÁLCULO!$BC$15:$BU$710,"="&amp;CRONO!U$12,CÁLCULO!$AJ$15:$BB$710)/(ORÇAMENTO!$X$15-CÁLCULO.TotalAdmLocal)*CRONO!$E43,0),U42*$R41),SUMIF(OFFSET($R43,1,0,$Q41-2),($L41+1)&amp;"$",OFFSET(U43,1,0,$Q41-2)))</f>
        <v>0</v>
      </c>
      <c r="V43" s="257">
        <f ca="1">IF($Q41=2,IF(AND(ACOMPANHAMENTO="PLE",ISNUMBER($E41)),SUMIF((OFFSET(CÁLCULO!$BC$15:$BU$15,$E41,0,OFFSET(ORÇAMENTO!$D$15,CRONO!$E41,0))),"="&amp;CRONO!V$12,OFFSET(CÁLCULO!$AJ$15:$BB$15,$E41,0,OFFSET(ORÇAMENTO!$D$15,CRONO!$E41,0)))+IF(AND($E43&lt;&gt;"",$E43&lt;&gt;0),SUMIF(CÁLCULO!$BC$15:$BU$710,"="&amp;CRONO!V$12,CÁLCULO!$AJ$15:$BB$710)/(ORÇAMENTO!$X$15-CÁLCULO.TotalAdmLocal)*CRONO!$E43,0),V42*$R41),SUMIF(OFFSET($R43,1,0,$Q41-2),($L41+1)&amp;"$",OFFSET(V43,1,0,$Q41-2)))</f>
        <v>0</v>
      </c>
      <c r="W43" s="257">
        <f ca="1">IF($Q41=2,IF(AND(ACOMPANHAMENTO="PLE",ISNUMBER($E41)),SUMIF((OFFSET(CÁLCULO!$BC$15:$BU$15,$E41,0,OFFSET(ORÇAMENTO!$D$15,CRONO!$E41,0))),"="&amp;CRONO!W$12,OFFSET(CÁLCULO!$AJ$15:$BB$15,$E41,0,OFFSET(ORÇAMENTO!$D$15,CRONO!$E41,0)))+IF(AND($E43&lt;&gt;"",$E43&lt;&gt;0),SUMIF(CÁLCULO!$BC$15:$BU$710,"="&amp;CRONO!W$12,CÁLCULO!$AJ$15:$BB$710)/(ORÇAMENTO!$X$15-CÁLCULO.TotalAdmLocal)*CRONO!$E43,0),W42*$R41),SUMIF(OFFSET($R43,1,0,$Q41-2),($L41+1)&amp;"$",OFFSET(W43,1,0,$Q41-2)))</f>
        <v>0</v>
      </c>
      <c r="X43" s="257">
        <f ca="1">IF($Q41=2,IF(AND(ACOMPANHAMENTO="PLE",ISNUMBER($E41)),SUMIF((OFFSET(CÁLCULO!$BC$15:$BU$15,$E41,0,OFFSET(ORÇAMENTO!$D$15,CRONO!$E41,0))),"="&amp;CRONO!X$12,OFFSET(CÁLCULO!$AJ$15:$BB$15,$E41,0,OFFSET(ORÇAMENTO!$D$15,CRONO!$E41,0)))+IF(AND($E43&lt;&gt;"",$E43&lt;&gt;0),SUMIF(CÁLCULO!$BC$15:$BU$710,"="&amp;CRONO!X$12,CÁLCULO!$AJ$15:$BB$710)/(ORÇAMENTO!$X$15-CÁLCULO.TotalAdmLocal)*CRONO!$E43,0),X42*$R41),SUMIF(OFFSET($R43,1,0,$Q41-2),($L41+1)&amp;"$",OFFSET(X43,1,0,$Q41-2)))</f>
        <v>0</v>
      </c>
      <c r="Y43" s="257">
        <f ca="1">IF($Q41=2,IF(AND(ACOMPANHAMENTO="PLE",ISNUMBER($E41)),SUMIF((OFFSET(CÁLCULO!$BC$15:$BU$15,$E41,0,OFFSET(ORÇAMENTO!$D$15,CRONO!$E41,0))),"="&amp;CRONO!Y$12,OFFSET(CÁLCULO!$AJ$15:$BB$15,$E41,0,OFFSET(ORÇAMENTO!$D$15,CRONO!$E41,0)))+IF(AND($E43&lt;&gt;"",$E43&lt;&gt;0),SUMIF(CÁLCULO!$BC$15:$BU$710,"="&amp;CRONO!Y$12,CÁLCULO!$AJ$15:$BB$710)/(ORÇAMENTO!$X$15-CÁLCULO.TotalAdmLocal)*CRONO!$E43,0),Y42*$R41),SUMIF(OFFSET($R43,1,0,$Q41-2),($L41+1)&amp;"$",OFFSET(Y43,1,0,$Q41-2)))</f>
        <v>0</v>
      </c>
      <c r="Z43" s="257">
        <f ca="1">IF($Q41=2,IF(AND(ACOMPANHAMENTO="PLE",ISNUMBER($E41)),SUMIF((OFFSET(CÁLCULO!$BC$15:$BU$15,$E41,0,OFFSET(ORÇAMENTO!$D$15,CRONO!$E41,0))),"="&amp;CRONO!Z$12,OFFSET(CÁLCULO!$AJ$15:$BB$15,$E41,0,OFFSET(ORÇAMENTO!$D$15,CRONO!$E41,0)))+IF(AND($E43&lt;&gt;"",$E43&lt;&gt;0),SUMIF(CÁLCULO!$BC$15:$BU$710,"="&amp;CRONO!Z$12,CÁLCULO!$AJ$15:$BB$710)/(ORÇAMENTO!$X$15-CÁLCULO.TotalAdmLocal)*CRONO!$E43,0),Z42*$R41),SUMIF(OFFSET($R43,1,0,$Q41-2),($L41+1)&amp;"$",OFFSET(Z43,1,0,$Q41-2)))</f>
        <v>0</v>
      </c>
      <c r="AA43" s="257">
        <f ca="1">IF($Q41=2,IF(AND(ACOMPANHAMENTO="PLE",ISNUMBER($E41)),SUMIF((OFFSET(CÁLCULO!$BC$15:$BU$15,$E41,0,OFFSET(ORÇAMENTO!$D$15,CRONO!$E41,0))),"="&amp;CRONO!AA$12,OFFSET(CÁLCULO!$AJ$15:$BB$15,$E41,0,OFFSET(ORÇAMENTO!$D$15,CRONO!$E41,0)))+IF(AND($E43&lt;&gt;"",$E43&lt;&gt;0),SUMIF(CÁLCULO!$BC$15:$BU$710,"="&amp;CRONO!AA$12,CÁLCULO!$AJ$15:$BB$710)/(ORÇAMENTO!$X$15-CÁLCULO.TotalAdmLocal)*CRONO!$E43,0),AA42*$R41),SUMIF(OFFSET($R43,1,0,$Q41-2),($L41+1)&amp;"$",OFFSET(AA43,1,0,$Q41-2)))</f>
        <v>0</v>
      </c>
      <c r="AB43" s="257">
        <f ca="1">IF($Q41=2,IF(AND(ACOMPANHAMENTO="PLE",ISNUMBER($E41)),SUMIF((OFFSET(CÁLCULO!$BC$15:$BU$15,$E41,0,OFFSET(ORÇAMENTO!$D$15,CRONO!$E41,0))),"="&amp;CRONO!AB$12,OFFSET(CÁLCULO!$AJ$15:$BB$15,$E41,0,OFFSET(ORÇAMENTO!$D$15,CRONO!$E41,0)))+IF(AND($E43&lt;&gt;"",$E43&lt;&gt;0),SUMIF(CÁLCULO!$BC$15:$BU$710,"="&amp;CRONO!AB$12,CÁLCULO!$AJ$15:$BB$710)/(ORÇAMENTO!$X$15-CÁLCULO.TotalAdmLocal)*CRONO!$E43,0),AB42*$R41),SUMIF(OFFSET($R43,1,0,$Q41-2),($L41+1)&amp;"$",OFFSET(AB43,1,0,$Q41-2)))</f>
        <v>0</v>
      </c>
      <c r="AC43" s="257">
        <f ca="1">IF($Q41=2,IF(AND(ACOMPANHAMENTO="PLE",ISNUMBER($E41)),SUMIF((OFFSET(CÁLCULO!$BC$15:$BU$15,$E41,0,OFFSET(ORÇAMENTO!$D$15,CRONO!$E41,0))),"="&amp;CRONO!AC$12,OFFSET(CÁLCULO!$AJ$15:$BB$15,$E41,0,OFFSET(ORÇAMENTO!$D$15,CRONO!$E41,0)))+IF(AND($E43&lt;&gt;"",$E43&lt;&gt;0),SUMIF(CÁLCULO!$BC$15:$BU$710,"="&amp;CRONO!AC$12,CÁLCULO!$AJ$15:$BB$710)/(ORÇAMENTO!$X$15-CÁLCULO.TotalAdmLocal)*CRONO!$E43,0),AC42*$R41),SUMIF(OFFSET($R43,1,0,$Q41-2),($L41+1)&amp;"$",OFFSET(AC43,1,0,$Q41-2)))</f>
        <v>0</v>
      </c>
      <c r="AD43" s="257">
        <f ca="1">IF($Q41=2,IF(AND(ACOMPANHAMENTO="PLE",ISNUMBER($E41)),SUMIF((OFFSET(CÁLCULO!$BC$15:$BU$15,$E41,0,OFFSET(ORÇAMENTO!$D$15,CRONO!$E41,0))),"="&amp;CRONO!AD$12,OFFSET(CÁLCULO!$AJ$15:$BB$15,$E41,0,OFFSET(ORÇAMENTO!$D$15,CRONO!$E41,0)))+IF(AND($E43&lt;&gt;"",$E43&lt;&gt;0),SUMIF(CÁLCULO!$BC$15:$BU$710,"="&amp;CRONO!AD$12,CÁLCULO!$AJ$15:$BB$710)/(ORÇAMENTO!$X$15-CÁLCULO.TotalAdmLocal)*CRONO!$E43,0),AD42*$R41),SUMIF(OFFSET($R43,1,0,$Q41-2),($L41+1)&amp;"$",OFFSET(AD43,1,0,$Q41-2)))</f>
        <v>0</v>
      </c>
      <c r="AE43" s="262">
        <f ca="1">IF($Q41=2,IF(AND(ACOMPANHAMENTO="PLE",ISNUMBER($E41)),SUMIF((OFFSET(CÁLCULO!$BC$15:$BU$15,$E41,0,OFFSET(ORÇAMENTO!$D$15,CRONO!$E41,0))),"="&amp;CRONO!AE$12,OFFSET(CÁLCULO!$AJ$15:$BB$15,$E41,0,OFFSET(ORÇAMENTO!$D$15,CRONO!$E41,0)))+IF(AND($E43&lt;&gt;"",$E43&lt;&gt;0),SUMIF(CÁLCULO!$BC$15:$BU$710,"="&amp;CRONO!AE$12,CÁLCULO!$AJ$15:$BB$710)/(ORÇAMENTO!$X$15-CÁLCULO.TotalAdmLocal)*CRONO!$E43,0),AE42*$R41),SUMIF(OFFSET($R43,1,0,$Q41-2),($L41+1)&amp;"$",OFFSET(AE43,1,0,$Q41-2)))</f>
        <v>0</v>
      </c>
      <c r="AF43" s="261">
        <f ca="1">IF($Q41=2,IF(AND(ACOMPANHAMENTO="PLE",ISNUMBER($E41)),SUMIF((OFFSET(CÁLCULO!$BC$15:$BU$15,$E41,0,OFFSET(ORÇAMENTO!$D$15,CRONO!$E41,0))),"="&amp;CRONO!AF$12,OFFSET(CÁLCULO!$AJ$15:$BB$15,$E41,0,OFFSET(ORÇAMENTO!$D$15,CRONO!$E41,0)))+IF(AND($E43&lt;&gt;"",$E43&lt;&gt;0),SUMIF(CÁLCULO!$BC$15:$BU$710,"="&amp;CRONO!AF$12,CÁLCULO!$AJ$15:$BB$710)/(ORÇAMENTO!$X$15-CÁLCULO.TotalAdmLocal)*CRONO!$E43,0),AF42*$R41),SUMIF(OFFSET($R43,1,0,$Q41-2),($L41+1)&amp;"$",OFFSET(AF43,1,0,$Q41-2)))</f>
        <v>0</v>
      </c>
      <c r="AG43" s="257">
        <f ca="1">IF($Q41=2,IF(AND(ACOMPANHAMENTO="PLE",ISNUMBER($E41)),SUMIF((OFFSET(CÁLCULO!$BC$15:$BU$15,$E41,0,OFFSET(ORÇAMENTO!$D$15,CRONO!$E41,0))),"="&amp;CRONO!AG$12,OFFSET(CÁLCULO!$AJ$15:$BB$15,$E41,0,OFFSET(ORÇAMENTO!$D$15,CRONO!$E41,0)))+IF(AND($E43&lt;&gt;"",$E43&lt;&gt;0),SUMIF(CÁLCULO!$BC$15:$BU$710,"="&amp;CRONO!AG$12,CÁLCULO!$AJ$15:$BB$710)/(ORÇAMENTO!$X$15-CÁLCULO.TotalAdmLocal)*CRONO!$E43,0),AG42*$R41),SUMIF(OFFSET($R43,1,0,$Q41-2),($L41+1)&amp;"$",OFFSET(AG43,1,0,$Q41-2)))</f>
        <v>0</v>
      </c>
      <c r="AH43" s="257">
        <f ca="1">IF($Q41=2,IF(AND(ACOMPANHAMENTO="PLE",ISNUMBER($E41)),SUMIF((OFFSET(CÁLCULO!$BC$15:$BU$15,$E41,0,OFFSET(ORÇAMENTO!$D$15,CRONO!$E41,0))),"="&amp;CRONO!AH$12,OFFSET(CÁLCULO!$AJ$15:$BB$15,$E41,0,OFFSET(ORÇAMENTO!$D$15,CRONO!$E41,0)))+IF(AND($E43&lt;&gt;"",$E43&lt;&gt;0),SUMIF(CÁLCULO!$BC$15:$BU$710,"="&amp;CRONO!AH$12,CÁLCULO!$AJ$15:$BB$710)/(ORÇAMENTO!$X$15-CÁLCULO.TotalAdmLocal)*CRONO!$E43,0),AH42*$R41),SUMIF(OFFSET($R43,1,0,$Q41-2),($L41+1)&amp;"$",OFFSET(AH43,1,0,$Q41-2)))</f>
        <v>0</v>
      </c>
      <c r="AI43" s="257">
        <f ca="1">IF($Q41=2,IF(AND(ACOMPANHAMENTO="PLE",ISNUMBER($E41)),SUMIF((OFFSET(CÁLCULO!$BC$15:$BU$15,$E41,0,OFFSET(ORÇAMENTO!$D$15,CRONO!$E41,0))),"="&amp;CRONO!AI$12,OFFSET(CÁLCULO!$AJ$15:$BB$15,$E41,0,OFFSET(ORÇAMENTO!$D$15,CRONO!$E41,0)))+IF(AND($E43&lt;&gt;"",$E43&lt;&gt;0),SUMIF(CÁLCULO!$BC$15:$BU$710,"="&amp;CRONO!AI$12,CÁLCULO!$AJ$15:$BB$710)/(ORÇAMENTO!$X$15-CÁLCULO.TotalAdmLocal)*CRONO!$E43,0),AI42*$R41),SUMIF(OFFSET($R43,1,0,$Q41-2),($L41+1)&amp;"$",OFFSET(AI43,1,0,$Q41-2)))</f>
        <v>0</v>
      </c>
      <c r="AJ43" s="257">
        <f ca="1">IF($Q41=2,IF(AND(ACOMPANHAMENTO="PLE",ISNUMBER($E41)),SUMIF((OFFSET(CÁLCULO!$BC$15:$BU$15,$E41,0,OFFSET(ORÇAMENTO!$D$15,CRONO!$E41,0))),"="&amp;CRONO!AJ$12,OFFSET(CÁLCULO!$AJ$15:$BB$15,$E41,0,OFFSET(ORÇAMENTO!$D$15,CRONO!$E41,0)))+IF(AND($E43&lt;&gt;"",$E43&lt;&gt;0),SUMIF(CÁLCULO!$BC$15:$BU$710,"="&amp;CRONO!AJ$12,CÁLCULO!$AJ$15:$BB$710)/(ORÇAMENTO!$X$15-CÁLCULO.TotalAdmLocal)*CRONO!$E43,0),AJ42*$R41),SUMIF(OFFSET($R43,1,0,$Q41-2),($L41+1)&amp;"$",OFFSET(AJ43,1,0,$Q41-2)))</f>
        <v>0</v>
      </c>
      <c r="AK43" s="257">
        <f ca="1">IF($Q41=2,IF(AND(ACOMPANHAMENTO="PLE",ISNUMBER($E41)),SUMIF((OFFSET(CÁLCULO!$BC$15:$BU$15,$E41,0,OFFSET(ORÇAMENTO!$D$15,CRONO!$E41,0))),"="&amp;CRONO!AK$12,OFFSET(CÁLCULO!$AJ$15:$BB$15,$E41,0,OFFSET(ORÇAMENTO!$D$15,CRONO!$E41,0)))+IF(AND($E43&lt;&gt;"",$E43&lt;&gt;0),SUMIF(CÁLCULO!$BC$15:$BU$710,"="&amp;CRONO!AK$12,CÁLCULO!$AJ$15:$BB$710)/(ORÇAMENTO!$X$15-CÁLCULO.TotalAdmLocal)*CRONO!$E43,0),AK42*$R41),SUMIF(OFFSET($R43,1,0,$Q41-2),($L41+1)&amp;"$",OFFSET(AK43,1,0,$Q41-2)))</f>
        <v>0</v>
      </c>
      <c r="AL43" s="257">
        <f ca="1">IF($Q41=2,IF(AND(ACOMPANHAMENTO="PLE",ISNUMBER($E41)),SUMIF((OFFSET(CÁLCULO!$BC$15:$BU$15,$E41,0,OFFSET(ORÇAMENTO!$D$15,CRONO!$E41,0))),"="&amp;CRONO!AL$12,OFFSET(CÁLCULO!$AJ$15:$BB$15,$E41,0,OFFSET(ORÇAMENTO!$D$15,CRONO!$E41,0)))+IF(AND($E43&lt;&gt;"",$E43&lt;&gt;0),SUMIF(CÁLCULO!$BC$15:$BU$710,"="&amp;CRONO!AL$12,CÁLCULO!$AJ$15:$BB$710)/(ORÇAMENTO!$X$15-CÁLCULO.TotalAdmLocal)*CRONO!$E43,0),AL42*$R41),SUMIF(OFFSET($R43,1,0,$Q41-2),($L41+1)&amp;"$",OFFSET(AL43,1,0,$Q41-2)))</f>
        <v>0</v>
      </c>
      <c r="AM43" s="257">
        <f ca="1">IF($Q41=2,IF(AND(ACOMPANHAMENTO="PLE",ISNUMBER($E41)),SUMIF((OFFSET(CÁLCULO!$BC$15:$BU$15,$E41,0,OFFSET(ORÇAMENTO!$D$15,CRONO!$E41,0))),"="&amp;CRONO!AM$12,OFFSET(CÁLCULO!$AJ$15:$BB$15,$E41,0,OFFSET(ORÇAMENTO!$D$15,CRONO!$E41,0)))+IF(AND($E43&lt;&gt;"",$E43&lt;&gt;0),SUMIF(CÁLCULO!$BC$15:$BU$710,"="&amp;CRONO!AM$12,CÁLCULO!$AJ$15:$BB$710)/(ORÇAMENTO!$X$15-CÁLCULO.TotalAdmLocal)*CRONO!$E43,0),AM42*$R41),SUMIF(OFFSET($R43,1,0,$Q41-2),($L41+1)&amp;"$",OFFSET(AM43,1,0,$Q41-2)))</f>
        <v>0</v>
      </c>
      <c r="AN43" s="257">
        <f ca="1">IF($Q41=2,IF(AND(ACOMPANHAMENTO="PLE",ISNUMBER($E41)),SUMIF((OFFSET(CÁLCULO!$BC$15:$BU$15,$E41,0,OFFSET(ORÇAMENTO!$D$15,CRONO!$E41,0))),"="&amp;CRONO!AN$12,OFFSET(CÁLCULO!$AJ$15:$BB$15,$E41,0,OFFSET(ORÇAMENTO!$D$15,CRONO!$E41,0)))+IF(AND($E43&lt;&gt;"",$E43&lt;&gt;0),SUMIF(CÁLCULO!$BC$15:$BU$710,"="&amp;CRONO!AN$12,CÁLCULO!$AJ$15:$BB$710)/(ORÇAMENTO!$X$15-CÁLCULO.TotalAdmLocal)*CRONO!$E43,0),AN42*$R41),SUMIF(OFFSET($R43,1,0,$Q41-2),($L41+1)&amp;"$",OFFSET(AN43,1,0,$Q41-2)))</f>
        <v>0</v>
      </c>
      <c r="AO43" s="257">
        <f ca="1">IF($Q41=2,IF(AND(ACOMPANHAMENTO="PLE",ISNUMBER($E41)),SUMIF((OFFSET(CÁLCULO!$BC$15:$BU$15,$E41,0,OFFSET(ORÇAMENTO!$D$15,CRONO!$E41,0))),"="&amp;CRONO!AO$12,OFFSET(CÁLCULO!$AJ$15:$BB$15,$E41,0,OFFSET(ORÇAMENTO!$D$15,CRONO!$E41,0)))+IF(AND($E43&lt;&gt;"",$E43&lt;&gt;0),SUMIF(CÁLCULO!$BC$15:$BU$710,"="&amp;CRONO!AO$12,CÁLCULO!$AJ$15:$BB$710)/(ORÇAMENTO!$X$15-CÁLCULO.TotalAdmLocal)*CRONO!$E43,0),AO42*$R41),SUMIF(OFFSET($R43,1,0,$Q41-2),($L41+1)&amp;"$",OFFSET(AO43,1,0,$Q41-2)))</f>
        <v>0</v>
      </c>
      <c r="AP43" s="257">
        <f ca="1">IF($Q41=2,IF(AND(ACOMPANHAMENTO="PLE",ISNUMBER($E41)),SUMIF((OFFSET(CÁLCULO!$BC$15:$BU$15,$E41,0,OFFSET(ORÇAMENTO!$D$15,CRONO!$E41,0))),"="&amp;CRONO!AP$12,OFFSET(CÁLCULO!$AJ$15:$BB$15,$E41,0,OFFSET(ORÇAMENTO!$D$15,CRONO!$E41,0)))+IF(AND($E43&lt;&gt;"",$E43&lt;&gt;0),SUMIF(CÁLCULO!$BC$15:$BU$710,"="&amp;CRONO!AP$12,CÁLCULO!$AJ$15:$BB$710)/(ORÇAMENTO!$X$15-CÁLCULO.TotalAdmLocal)*CRONO!$E43,0),AP42*$R41),SUMIF(OFFSET($R43,1,0,$Q41-2),($L41+1)&amp;"$",OFFSET(AP43,1,0,$Q41-2)))</f>
        <v>0</v>
      </c>
      <c r="AQ43" s="262">
        <f ca="1">IF($Q41=2,IF(AND(ACOMPANHAMENTO="PLE",ISNUMBER($E41)),SUMIF((OFFSET(CÁLCULO!$BC$15:$BU$15,$E41,0,OFFSET(ORÇAMENTO!$D$15,CRONO!$E41,0))),"="&amp;CRONO!AQ$12,OFFSET(CÁLCULO!$AJ$15:$BB$15,$E41,0,OFFSET(ORÇAMENTO!$D$15,CRONO!$E41,0)))+IF(AND($E43&lt;&gt;"",$E43&lt;&gt;0),SUMIF(CÁLCULO!$BC$15:$BU$710,"="&amp;CRONO!AQ$12,CÁLCULO!$AJ$15:$BB$710)/(ORÇAMENTO!$X$15-CÁLCULO.TotalAdmLocal)*CRONO!$E43,0),AQ42*$R41),SUMIF(OFFSET($R43,1,0,$Q41-2),($L41+1)&amp;"$",OFFSET(AQ43,1,0,$Q41-2)))</f>
        <v>0</v>
      </c>
    </row>
    <row r="44" spans="1:44" x14ac:dyDescent="0.25">
      <c r="A44" s="238">
        <f ca="1">OFFSET(A44,-3,0)+1</f>
        <v>11</v>
      </c>
      <c r="B44" s="238">
        <f ca="1">IF($Q44&lt;&gt;2,0,IF($R44=0,1,IF(E45&gt;0,OFFSET(QCI!$M$13,SUBSTITUTE(E45,".",""),0),OFFSET(ORÇAMENTO!$AA$15,CRONO!$E44,0))/$R44))</f>
        <v>1</v>
      </c>
      <c r="C44" s="238">
        <f ca="1">IF($Q44&lt;&gt;2,0,IF($R44=0,1,IF(E45&gt;0,OFFSET(QCI!$N$13,SUBSTITUTE(E45,".",""),0),OFFSET(ORÇAMENTO!$AB$15,CRONO!$E44,0))/$R44))</f>
        <v>1</v>
      </c>
      <c r="D44" s="241">
        <f ca="1">IF(AND($Q44=2,ACOMPANHAMENTO="BM"),D45,D46/$R44)</f>
        <v>0</v>
      </c>
      <c r="E44" s="238">
        <f ca="1">IF(A44&lt;=ORÇAMENTO.MáximoListaCrono,MATCH(A44,ORÇAMENTO.ListaCrono,0),NA())</f>
        <v>244</v>
      </c>
      <c r="F44" s="238" t="str">
        <f ca="1">IF(AND($E45&lt;&gt;-1,$R44&gt;0),"F","")</f>
        <v/>
      </c>
      <c r="G44" s="242" t="str">
        <f ca="1">IF(OR(R44=0,R44=""),"Linha",IF(AND(OR(ACOMPANHAMENTO="PLE",$Q44&lt;&gt;2),$E45=0),"Linha",1-SUM(T44:AR44)))</f>
        <v>Linha</v>
      </c>
      <c r="H44" s="243" t="str">
        <f ca="1">IF($E45=0,OFFSET(ORÇAMENTO!O$15,$E44,0),IF($E45&lt;&gt;-1,OFFSET(QCI!$D$13,$E45,0),""))</f>
        <v>1.10.</v>
      </c>
      <c r="I44" s="244" t="str">
        <f ca="1">IF($E45=0,OFFSET(ORÇAMENTO!R$15,$E44,0),IF($E45&lt;&gt;-1,OFFSET(QCI!$G$13,$E45,0),""))</f>
        <v>SISTEMAS DE PISOS</v>
      </c>
      <c r="J44" s="244"/>
      <c r="K44" s="244"/>
      <c r="L44" s="245">
        <f ca="1">IF($E45=0,OFFSET(ORÇAMENTO!C$15,$E44,0),1)</f>
        <v>2</v>
      </c>
      <c r="M44" s="246">
        <f ca="1">IF($E45=-1,0,IF(M$13&lt;=$L44,IF(ISERROR(MATCH(M$13,OFFSET($L44,1,0,ROW($L$98)-ROW($L44)-1),0)),ROW($L$98)-ROW($L44)-1,MATCH(M$13,OFFSET($L44,1,0,ROW($L$98)-ROW($L44)-1),0)-1),0))</f>
        <v>44</v>
      </c>
      <c r="N44" s="246">
        <f ca="1">IF($E45=-1,0,IF(N$13&lt;=$L44,IF(ISERROR(MATCH(N$13,OFFSET($L44,1,0,ROW($L$98)-ROW($L44)-1),0)),ROW($L$98)-ROW($L44)-1,MATCH(N$13,OFFSET($L44,1,0,ROW($L$98)-ROW($L44)-1),0)-1),0))</f>
        <v>2</v>
      </c>
      <c r="O44" s="246">
        <f ca="1">IF($E45=-1,0,IF(O$13&lt;=$L44,IF(ISERROR(MATCH(O$13,OFFSET($L44,1,0,ROW($L$98)-ROW($L44)-1),0)),ROW($L$98)-ROW($L44)-1,MATCH(O$13,OFFSET($L44,1,0,ROW($L$98)-ROW($L44)-1),0)-1),0))</f>
        <v>0</v>
      </c>
      <c r="P44" s="246">
        <f ca="1">IF($E45=-1,0,IF(P$13&lt;=$L44,IF(ISERROR(MATCH(P$13,OFFSET($L44,1,0,ROW($L$98)-ROW($L44)-1),0)),ROW($L$98)-ROW($L44)-1,MATCH(P$13,OFFSET($L44,1,0,ROW($L$98)-ROW($L44)-1),0)-1),0))</f>
        <v>0</v>
      </c>
      <c r="Q44" s="246">
        <f ca="1">MIN(OFFSET(L44,0,1,,L44))</f>
        <v>2</v>
      </c>
      <c r="R44" s="247">
        <f ca="1">IF($E45=0,OFFSET(ORÇAMENTO!X$15,$E44,0),IF($E45&lt;&gt;-1,OFFSET(QCI!$O$13,$E45,0),""))</f>
        <v>0</v>
      </c>
      <c r="S44" s="248" t="s">
        <v>272</v>
      </c>
      <c r="T44" s="249">
        <f t="shared" ref="T44:AQ44" ca="1" si="14">IF(AND($Q44=2,ACOMPANHAMENTO="BM"),T45,T46/$R44)</f>
        <v>0</v>
      </c>
      <c r="U44" s="241">
        <f t="shared" ca="1" si="14"/>
        <v>0</v>
      </c>
      <c r="V44" s="241">
        <f t="shared" ca="1" si="14"/>
        <v>0</v>
      </c>
      <c r="W44" s="241">
        <f t="shared" ca="1" si="14"/>
        <v>0</v>
      </c>
      <c r="X44" s="241">
        <f t="shared" ca="1" si="14"/>
        <v>0</v>
      </c>
      <c r="Y44" s="241">
        <f t="shared" ca="1" si="14"/>
        <v>0</v>
      </c>
      <c r="Z44" s="241">
        <f t="shared" ca="1" si="14"/>
        <v>0.15</v>
      </c>
      <c r="AA44" s="241">
        <f t="shared" ca="1" si="14"/>
        <v>0.15</v>
      </c>
      <c r="AB44" s="241">
        <f t="shared" ca="1" si="14"/>
        <v>0.25</v>
      </c>
      <c r="AC44" s="241">
        <f t="shared" ca="1" si="14"/>
        <v>0.2</v>
      </c>
      <c r="AD44" s="241">
        <f t="shared" ca="1" si="14"/>
        <v>0.25</v>
      </c>
      <c r="AE44" s="250">
        <f t="shared" ca="1" si="14"/>
        <v>0</v>
      </c>
      <c r="AF44" s="249">
        <f t="shared" ca="1" si="14"/>
        <v>0</v>
      </c>
      <c r="AG44" s="241">
        <f t="shared" ca="1" si="14"/>
        <v>0</v>
      </c>
      <c r="AH44" s="241">
        <f t="shared" ca="1" si="14"/>
        <v>0</v>
      </c>
      <c r="AI44" s="241">
        <f t="shared" ca="1" si="14"/>
        <v>0</v>
      </c>
      <c r="AJ44" s="241">
        <f t="shared" ca="1" si="14"/>
        <v>0</v>
      </c>
      <c r="AK44" s="241">
        <f t="shared" ca="1" si="14"/>
        <v>0</v>
      </c>
      <c r="AL44" s="241">
        <f t="shared" ca="1" si="14"/>
        <v>0</v>
      </c>
      <c r="AM44" s="241">
        <f t="shared" ca="1" si="14"/>
        <v>0</v>
      </c>
      <c r="AN44" s="241">
        <f t="shared" ca="1" si="14"/>
        <v>0</v>
      </c>
      <c r="AO44" s="241">
        <f t="shared" ca="1" si="14"/>
        <v>0</v>
      </c>
      <c r="AP44" s="241">
        <f t="shared" ca="1" si="14"/>
        <v>0</v>
      </c>
      <c r="AQ44" s="250">
        <f t="shared" ca="1" si="14"/>
        <v>0</v>
      </c>
    </row>
    <row r="45" spans="1:44" ht="12.75" customHeight="1" x14ac:dyDescent="0.25">
      <c r="D45" s="658"/>
      <c r="E45" s="238">
        <f ca="1">IF(ISERROR(E44),IF(1+COUNTIF($L$13:OFFSET(L44,-1,0),1)&lt;=MAX(QCI!$D$13:$D$24),1+COUNTIF($L$13:OFFSET(L44,-1,0),1),-1),0)</f>
        <v>0</v>
      </c>
      <c r="F45" s="238" t="str">
        <f ca="1">IF(AND($E45&lt;&gt;-1,$R44&gt;0),"F","")</f>
        <v/>
      </c>
      <c r="G45" s="251" t="str">
        <f ca="1">IF(OR(R44=0,R44=""),"vazia",IF(AND(OR(ACOMPANHAMENTO="PLE",$Q44&lt;&gt;2),$E45=0),"calculada","--&gt;"))</f>
        <v>vazia</v>
      </c>
      <c r="H45" s="252"/>
      <c r="I45" s="253" t="str">
        <f ca="1">IF(AND(G44&lt;&gt;0,ISNUMBER(G44)),"PREENCHA ESTA LINHA --&gt;","")</f>
        <v/>
      </c>
      <c r="J45" s="253"/>
      <c r="K45" s="253"/>
      <c r="L45" s="254"/>
      <c r="M45" s="254"/>
      <c r="N45" s="254"/>
      <c r="O45" s="254"/>
      <c r="P45" s="254"/>
      <c r="Q45" s="254"/>
      <c r="R45" s="255"/>
      <c r="S45" s="256"/>
      <c r="T45" s="659"/>
      <c r="U45" s="658"/>
      <c r="V45" s="658"/>
      <c r="W45" s="658"/>
      <c r="X45" s="658"/>
      <c r="Y45" s="658"/>
      <c r="Z45" s="658">
        <v>0.15</v>
      </c>
      <c r="AA45" s="658">
        <v>0.15</v>
      </c>
      <c r="AB45" s="658">
        <v>0.25</v>
      </c>
      <c r="AC45" s="658">
        <v>0.2</v>
      </c>
      <c r="AD45" s="658">
        <v>0.25</v>
      </c>
      <c r="AE45" s="660"/>
      <c r="AF45" s="659"/>
      <c r="AG45" s="658"/>
      <c r="AH45" s="658"/>
      <c r="AI45" s="658"/>
      <c r="AJ45" s="658"/>
      <c r="AK45" s="658"/>
      <c r="AL45" s="658"/>
      <c r="AM45" s="658"/>
      <c r="AN45" s="658"/>
      <c r="AO45" s="658"/>
      <c r="AP45" s="658"/>
      <c r="AQ45" s="660"/>
      <c r="AR45" s="618"/>
    </row>
    <row r="46" spans="1:44" ht="0.15" hidden="1" customHeight="1" x14ac:dyDescent="0.25">
      <c r="D46" s="257">
        <f ca="1">IF($Q44=2,IF(AND(ACOMPANHAMENTO="PLE",ISNUMBER($E44)),SUMIF((OFFSET(CÁLCULO!$BC$15:$BU$15,$E44,0,OFFSET(ORÇAMENTO!$D$15,CRONO!$E44,0))),"="&amp;CRONO!D$12,OFFSET(CÁLCULO!$AJ$15:$BB$15,$E44,0,OFFSET(ORÇAMENTO!$D$15,CRONO!$E44,0)))+IF(AND($E46&lt;&gt;"",$E46&lt;&gt;0),SUMIF(CÁLCULO!$BC$15:$BU$710,"="&amp;CRONO!D$12,CÁLCULO!$AJ$15:$BB$710)/(ORÇAMENTO!$X$15-CÁLCULO.TotalAdmLocal)*CRONO!$E46,0),D45*$R44),SUMIF(OFFSET($R46,1,0,$Q44-2),($L44+1)&amp;"$",OFFSET(D46,1,0,$Q44-2)))</f>
        <v>0</v>
      </c>
      <c r="E46" s="238">
        <f ca="1">IF(OR($Q44&lt;&gt;2,AUTOEVENTO&lt;&gt;"manual",$E45&gt;0),"",SUMIF(OFFSET(CÁLCULO!$M$15,CRONO!$E44,0,OFFSET(ORÇAMENTO!$D$15,CRONO!$E44,0)),1,OFFSET(ORÇAMENTO!$X$15,CRONO!$E44,0,OFFSET(ORÇAMENTO!$D$15,CRONO!$E44,0))))</f>
        <v>0</v>
      </c>
      <c r="G46" s="258"/>
      <c r="R46" s="259" t="str">
        <f ca="1">L44&amp;"$"</f>
        <v>2$</v>
      </c>
      <c r="S46" s="260"/>
      <c r="T46" s="261">
        <f ca="1">IF($Q44=2,IF(AND(ACOMPANHAMENTO="PLE",ISNUMBER($E44)),SUMIF((OFFSET(CÁLCULO!$BC$15:$BU$15,$E44,0,OFFSET(ORÇAMENTO!$D$15,CRONO!$E44,0))),"&lt;="&amp;CRONO!T$12,OFFSET(CÁLCULO!$AJ$15:$BB$15,$E44,0,OFFSET(ORÇAMENTO!$D$15,CRONO!$E44,0)))+IF(AND($E46&lt;&gt;"",$E46&lt;&gt;0),SUMIF(CÁLCULO!$BC$15:$BU$710,"&lt;="&amp;CRONO!T$12,CÁLCULO!$AJ$15:$BB$710)/(ORÇAMENTO!$X$15-CÁLCULO.TotalAdmLocal)*CRONO!$E46,0),T45*$R44),SUMIF(OFFSET($R46,1,0,$Q44-2),($L44+1)&amp;"$",OFFSET(T46,1,0,$Q44-2)))</f>
        <v>0</v>
      </c>
      <c r="U46" s="257">
        <f ca="1">IF($Q44=2,IF(AND(ACOMPANHAMENTO="PLE",ISNUMBER($E44)),SUMIF((OFFSET(CÁLCULO!$BC$15:$BU$15,$E44,0,OFFSET(ORÇAMENTO!$D$15,CRONO!$E44,0))),"="&amp;CRONO!U$12,OFFSET(CÁLCULO!$AJ$15:$BB$15,$E44,0,OFFSET(ORÇAMENTO!$D$15,CRONO!$E44,0)))+IF(AND($E46&lt;&gt;"",$E46&lt;&gt;0),SUMIF(CÁLCULO!$BC$15:$BU$710,"="&amp;CRONO!U$12,CÁLCULO!$AJ$15:$BB$710)/(ORÇAMENTO!$X$15-CÁLCULO.TotalAdmLocal)*CRONO!$E46,0),U45*$R44),SUMIF(OFFSET($R46,1,0,$Q44-2),($L44+1)&amp;"$",OFFSET(U46,1,0,$Q44-2)))</f>
        <v>0</v>
      </c>
      <c r="V46" s="257">
        <f ca="1">IF($Q44=2,IF(AND(ACOMPANHAMENTO="PLE",ISNUMBER($E44)),SUMIF((OFFSET(CÁLCULO!$BC$15:$BU$15,$E44,0,OFFSET(ORÇAMENTO!$D$15,CRONO!$E44,0))),"="&amp;CRONO!V$12,OFFSET(CÁLCULO!$AJ$15:$BB$15,$E44,0,OFFSET(ORÇAMENTO!$D$15,CRONO!$E44,0)))+IF(AND($E46&lt;&gt;"",$E46&lt;&gt;0),SUMIF(CÁLCULO!$BC$15:$BU$710,"="&amp;CRONO!V$12,CÁLCULO!$AJ$15:$BB$710)/(ORÇAMENTO!$X$15-CÁLCULO.TotalAdmLocal)*CRONO!$E46,0),V45*$R44),SUMIF(OFFSET($R46,1,0,$Q44-2),($L44+1)&amp;"$",OFFSET(V46,1,0,$Q44-2)))</f>
        <v>0</v>
      </c>
      <c r="W46" s="257">
        <f ca="1">IF($Q44=2,IF(AND(ACOMPANHAMENTO="PLE",ISNUMBER($E44)),SUMIF((OFFSET(CÁLCULO!$BC$15:$BU$15,$E44,0,OFFSET(ORÇAMENTO!$D$15,CRONO!$E44,0))),"="&amp;CRONO!W$12,OFFSET(CÁLCULO!$AJ$15:$BB$15,$E44,0,OFFSET(ORÇAMENTO!$D$15,CRONO!$E44,0)))+IF(AND($E46&lt;&gt;"",$E46&lt;&gt;0),SUMIF(CÁLCULO!$BC$15:$BU$710,"="&amp;CRONO!W$12,CÁLCULO!$AJ$15:$BB$710)/(ORÇAMENTO!$X$15-CÁLCULO.TotalAdmLocal)*CRONO!$E46,0),W45*$R44),SUMIF(OFFSET($R46,1,0,$Q44-2),($L44+1)&amp;"$",OFFSET(W46,1,0,$Q44-2)))</f>
        <v>0</v>
      </c>
      <c r="X46" s="257">
        <f ca="1">IF($Q44=2,IF(AND(ACOMPANHAMENTO="PLE",ISNUMBER($E44)),SUMIF((OFFSET(CÁLCULO!$BC$15:$BU$15,$E44,0,OFFSET(ORÇAMENTO!$D$15,CRONO!$E44,0))),"="&amp;CRONO!X$12,OFFSET(CÁLCULO!$AJ$15:$BB$15,$E44,0,OFFSET(ORÇAMENTO!$D$15,CRONO!$E44,0)))+IF(AND($E46&lt;&gt;"",$E46&lt;&gt;0),SUMIF(CÁLCULO!$BC$15:$BU$710,"="&amp;CRONO!X$12,CÁLCULO!$AJ$15:$BB$710)/(ORÇAMENTO!$X$15-CÁLCULO.TotalAdmLocal)*CRONO!$E46,0),X45*$R44),SUMIF(OFFSET($R46,1,0,$Q44-2),($L44+1)&amp;"$",OFFSET(X46,1,0,$Q44-2)))</f>
        <v>0</v>
      </c>
      <c r="Y46" s="257">
        <f ca="1">IF($Q44=2,IF(AND(ACOMPANHAMENTO="PLE",ISNUMBER($E44)),SUMIF((OFFSET(CÁLCULO!$BC$15:$BU$15,$E44,0,OFFSET(ORÇAMENTO!$D$15,CRONO!$E44,0))),"="&amp;CRONO!Y$12,OFFSET(CÁLCULO!$AJ$15:$BB$15,$E44,0,OFFSET(ORÇAMENTO!$D$15,CRONO!$E44,0)))+IF(AND($E46&lt;&gt;"",$E46&lt;&gt;0),SUMIF(CÁLCULO!$BC$15:$BU$710,"="&amp;CRONO!Y$12,CÁLCULO!$AJ$15:$BB$710)/(ORÇAMENTO!$X$15-CÁLCULO.TotalAdmLocal)*CRONO!$E46,0),Y45*$R44),SUMIF(OFFSET($R46,1,0,$Q44-2),($L44+1)&amp;"$",OFFSET(Y46,1,0,$Q44-2)))</f>
        <v>0</v>
      </c>
      <c r="Z46" s="257">
        <f ca="1">IF($Q44=2,IF(AND(ACOMPANHAMENTO="PLE",ISNUMBER($E44)),SUMIF((OFFSET(CÁLCULO!$BC$15:$BU$15,$E44,0,OFFSET(ORÇAMENTO!$D$15,CRONO!$E44,0))),"="&amp;CRONO!Z$12,OFFSET(CÁLCULO!$AJ$15:$BB$15,$E44,0,OFFSET(ORÇAMENTO!$D$15,CRONO!$E44,0)))+IF(AND($E46&lt;&gt;"",$E46&lt;&gt;0),SUMIF(CÁLCULO!$BC$15:$BU$710,"="&amp;CRONO!Z$12,CÁLCULO!$AJ$15:$BB$710)/(ORÇAMENTO!$X$15-CÁLCULO.TotalAdmLocal)*CRONO!$E46,0),Z45*$R44),SUMIF(OFFSET($R46,1,0,$Q44-2),($L44+1)&amp;"$",OFFSET(Z46,1,0,$Q44-2)))</f>
        <v>0</v>
      </c>
      <c r="AA46" s="257">
        <f ca="1">IF($Q44=2,IF(AND(ACOMPANHAMENTO="PLE",ISNUMBER($E44)),SUMIF((OFFSET(CÁLCULO!$BC$15:$BU$15,$E44,0,OFFSET(ORÇAMENTO!$D$15,CRONO!$E44,0))),"="&amp;CRONO!AA$12,OFFSET(CÁLCULO!$AJ$15:$BB$15,$E44,0,OFFSET(ORÇAMENTO!$D$15,CRONO!$E44,0)))+IF(AND($E46&lt;&gt;"",$E46&lt;&gt;0),SUMIF(CÁLCULO!$BC$15:$BU$710,"="&amp;CRONO!AA$12,CÁLCULO!$AJ$15:$BB$710)/(ORÇAMENTO!$X$15-CÁLCULO.TotalAdmLocal)*CRONO!$E46,0),AA45*$R44),SUMIF(OFFSET($R46,1,0,$Q44-2),($L44+1)&amp;"$",OFFSET(AA46,1,0,$Q44-2)))</f>
        <v>0</v>
      </c>
      <c r="AB46" s="257">
        <f ca="1">IF($Q44=2,IF(AND(ACOMPANHAMENTO="PLE",ISNUMBER($E44)),SUMIF((OFFSET(CÁLCULO!$BC$15:$BU$15,$E44,0,OFFSET(ORÇAMENTO!$D$15,CRONO!$E44,0))),"="&amp;CRONO!AB$12,OFFSET(CÁLCULO!$AJ$15:$BB$15,$E44,0,OFFSET(ORÇAMENTO!$D$15,CRONO!$E44,0)))+IF(AND($E46&lt;&gt;"",$E46&lt;&gt;0),SUMIF(CÁLCULO!$BC$15:$BU$710,"="&amp;CRONO!AB$12,CÁLCULO!$AJ$15:$BB$710)/(ORÇAMENTO!$X$15-CÁLCULO.TotalAdmLocal)*CRONO!$E46,0),AB45*$R44),SUMIF(OFFSET($R46,1,0,$Q44-2),($L44+1)&amp;"$",OFFSET(AB46,1,0,$Q44-2)))</f>
        <v>0</v>
      </c>
      <c r="AC46" s="257">
        <f ca="1">IF($Q44=2,IF(AND(ACOMPANHAMENTO="PLE",ISNUMBER($E44)),SUMIF((OFFSET(CÁLCULO!$BC$15:$BU$15,$E44,0,OFFSET(ORÇAMENTO!$D$15,CRONO!$E44,0))),"="&amp;CRONO!AC$12,OFFSET(CÁLCULO!$AJ$15:$BB$15,$E44,0,OFFSET(ORÇAMENTO!$D$15,CRONO!$E44,0)))+IF(AND($E46&lt;&gt;"",$E46&lt;&gt;0),SUMIF(CÁLCULO!$BC$15:$BU$710,"="&amp;CRONO!AC$12,CÁLCULO!$AJ$15:$BB$710)/(ORÇAMENTO!$X$15-CÁLCULO.TotalAdmLocal)*CRONO!$E46,0),AC45*$R44),SUMIF(OFFSET($R46,1,0,$Q44-2),($L44+1)&amp;"$",OFFSET(AC46,1,0,$Q44-2)))</f>
        <v>0</v>
      </c>
      <c r="AD46" s="257">
        <f ca="1">IF($Q44=2,IF(AND(ACOMPANHAMENTO="PLE",ISNUMBER($E44)),SUMIF((OFFSET(CÁLCULO!$BC$15:$BU$15,$E44,0,OFFSET(ORÇAMENTO!$D$15,CRONO!$E44,0))),"="&amp;CRONO!AD$12,OFFSET(CÁLCULO!$AJ$15:$BB$15,$E44,0,OFFSET(ORÇAMENTO!$D$15,CRONO!$E44,0)))+IF(AND($E46&lt;&gt;"",$E46&lt;&gt;0),SUMIF(CÁLCULO!$BC$15:$BU$710,"="&amp;CRONO!AD$12,CÁLCULO!$AJ$15:$BB$710)/(ORÇAMENTO!$X$15-CÁLCULO.TotalAdmLocal)*CRONO!$E46,0),AD45*$R44),SUMIF(OFFSET($R46,1,0,$Q44-2),($L44+1)&amp;"$",OFFSET(AD46,1,0,$Q44-2)))</f>
        <v>0</v>
      </c>
      <c r="AE46" s="262">
        <f ca="1">IF($Q44=2,IF(AND(ACOMPANHAMENTO="PLE",ISNUMBER($E44)),SUMIF((OFFSET(CÁLCULO!$BC$15:$BU$15,$E44,0,OFFSET(ORÇAMENTO!$D$15,CRONO!$E44,0))),"="&amp;CRONO!AE$12,OFFSET(CÁLCULO!$AJ$15:$BB$15,$E44,0,OFFSET(ORÇAMENTO!$D$15,CRONO!$E44,0)))+IF(AND($E46&lt;&gt;"",$E46&lt;&gt;0),SUMIF(CÁLCULO!$BC$15:$BU$710,"="&amp;CRONO!AE$12,CÁLCULO!$AJ$15:$BB$710)/(ORÇAMENTO!$X$15-CÁLCULO.TotalAdmLocal)*CRONO!$E46,0),AE45*$R44),SUMIF(OFFSET($R46,1,0,$Q44-2),($L44+1)&amp;"$",OFFSET(AE46,1,0,$Q44-2)))</f>
        <v>0</v>
      </c>
      <c r="AF46" s="261">
        <f ca="1">IF($Q44=2,IF(AND(ACOMPANHAMENTO="PLE",ISNUMBER($E44)),SUMIF((OFFSET(CÁLCULO!$BC$15:$BU$15,$E44,0,OFFSET(ORÇAMENTO!$D$15,CRONO!$E44,0))),"="&amp;CRONO!AF$12,OFFSET(CÁLCULO!$AJ$15:$BB$15,$E44,0,OFFSET(ORÇAMENTO!$D$15,CRONO!$E44,0)))+IF(AND($E46&lt;&gt;"",$E46&lt;&gt;0),SUMIF(CÁLCULO!$BC$15:$BU$710,"="&amp;CRONO!AF$12,CÁLCULO!$AJ$15:$BB$710)/(ORÇAMENTO!$X$15-CÁLCULO.TotalAdmLocal)*CRONO!$E46,0),AF45*$R44),SUMIF(OFFSET($R46,1,0,$Q44-2),($L44+1)&amp;"$",OFFSET(AF46,1,0,$Q44-2)))</f>
        <v>0</v>
      </c>
      <c r="AG46" s="257">
        <f ca="1">IF($Q44=2,IF(AND(ACOMPANHAMENTO="PLE",ISNUMBER($E44)),SUMIF((OFFSET(CÁLCULO!$BC$15:$BU$15,$E44,0,OFFSET(ORÇAMENTO!$D$15,CRONO!$E44,0))),"="&amp;CRONO!AG$12,OFFSET(CÁLCULO!$AJ$15:$BB$15,$E44,0,OFFSET(ORÇAMENTO!$D$15,CRONO!$E44,0)))+IF(AND($E46&lt;&gt;"",$E46&lt;&gt;0),SUMIF(CÁLCULO!$BC$15:$BU$710,"="&amp;CRONO!AG$12,CÁLCULO!$AJ$15:$BB$710)/(ORÇAMENTO!$X$15-CÁLCULO.TotalAdmLocal)*CRONO!$E46,0),AG45*$R44),SUMIF(OFFSET($R46,1,0,$Q44-2),($L44+1)&amp;"$",OFFSET(AG46,1,0,$Q44-2)))</f>
        <v>0</v>
      </c>
      <c r="AH46" s="257">
        <f ca="1">IF($Q44=2,IF(AND(ACOMPANHAMENTO="PLE",ISNUMBER($E44)),SUMIF((OFFSET(CÁLCULO!$BC$15:$BU$15,$E44,0,OFFSET(ORÇAMENTO!$D$15,CRONO!$E44,0))),"="&amp;CRONO!AH$12,OFFSET(CÁLCULO!$AJ$15:$BB$15,$E44,0,OFFSET(ORÇAMENTO!$D$15,CRONO!$E44,0)))+IF(AND($E46&lt;&gt;"",$E46&lt;&gt;0),SUMIF(CÁLCULO!$BC$15:$BU$710,"="&amp;CRONO!AH$12,CÁLCULO!$AJ$15:$BB$710)/(ORÇAMENTO!$X$15-CÁLCULO.TotalAdmLocal)*CRONO!$E46,0),AH45*$R44),SUMIF(OFFSET($R46,1,0,$Q44-2),($L44+1)&amp;"$",OFFSET(AH46,1,0,$Q44-2)))</f>
        <v>0</v>
      </c>
      <c r="AI46" s="257">
        <f ca="1">IF($Q44=2,IF(AND(ACOMPANHAMENTO="PLE",ISNUMBER($E44)),SUMIF((OFFSET(CÁLCULO!$BC$15:$BU$15,$E44,0,OFFSET(ORÇAMENTO!$D$15,CRONO!$E44,0))),"="&amp;CRONO!AI$12,OFFSET(CÁLCULO!$AJ$15:$BB$15,$E44,0,OFFSET(ORÇAMENTO!$D$15,CRONO!$E44,0)))+IF(AND($E46&lt;&gt;"",$E46&lt;&gt;0),SUMIF(CÁLCULO!$BC$15:$BU$710,"="&amp;CRONO!AI$12,CÁLCULO!$AJ$15:$BB$710)/(ORÇAMENTO!$X$15-CÁLCULO.TotalAdmLocal)*CRONO!$E46,0),AI45*$R44),SUMIF(OFFSET($R46,1,0,$Q44-2),($L44+1)&amp;"$",OFFSET(AI46,1,0,$Q44-2)))</f>
        <v>0</v>
      </c>
      <c r="AJ46" s="257">
        <f ca="1">IF($Q44=2,IF(AND(ACOMPANHAMENTO="PLE",ISNUMBER($E44)),SUMIF((OFFSET(CÁLCULO!$BC$15:$BU$15,$E44,0,OFFSET(ORÇAMENTO!$D$15,CRONO!$E44,0))),"="&amp;CRONO!AJ$12,OFFSET(CÁLCULO!$AJ$15:$BB$15,$E44,0,OFFSET(ORÇAMENTO!$D$15,CRONO!$E44,0)))+IF(AND($E46&lt;&gt;"",$E46&lt;&gt;0),SUMIF(CÁLCULO!$BC$15:$BU$710,"="&amp;CRONO!AJ$12,CÁLCULO!$AJ$15:$BB$710)/(ORÇAMENTO!$X$15-CÁLCULO.TotalAdmLocal)*CRONO!$E46,0),AJ45*$R44),SUMIF(OFFSET($R46,1,0,$Q44-2),($L44+1)&amp;"$",OFFSET(AJ46,1,0,$Q44-2)))</f>
        <v>0</v>
      </c>
      <c r="AK46" s="257">
        <f ca="1">IF($Q44=2,IF(AND(ACOMPANHAMENTO="PLE",ISNUMBER($E44)),SUMIF((OFFSET(CÁLCULO!$BC$15:$BU$15,$E44,0,OFFSET(ORÇAMENTO!$D$15,CRONO!$E44,0))),"="&amp;CRONO!AK$12,OFFSET(CÁLCULO!$AJ$15:$BB$15,$E44,0,OFFSET(ORÇAMENTO!$D$15,CRONO!$E44,0)))+IF(AND($E46&lt;&gt;"",$E46&lt;&gt;0),SUMIF(CÁLCULO!$BC$15:$BU$710,"="&amp;CRONO!AK$12,CÁLCULO!$AJ$15:$BB$710)/(ORÇAMENTO!$X$15-CÁLCULO.TotalAdmLocal)*CRONO!$E46,0),AK45*$R44),SUMIF(OFFSET($R46,1,0,$Q44-2),($L44+1)&amp;"$",OFFSET(AK46,1,0,$Q44-2)))</f>
        <v>0</v>
      </c>
      <c r="AL46" s="257">
        <f ca="1">IF($Q44=2,IF(AND(ACOMPANHAMENTO="PLE",ISNUMBER($E44)),SUMIF((OFFSET(CÁLCULO!$BC$15:$BU$15,$E44,0,OFFSET(ORÇAMENTO!$D$15,CRONO!$E44,0))),"="&amp;CRONO!AL$12,OFFSET(CÁLCULO!$AJ$15:$BB$15,$E44,0,OFFSET(ORÇAMENTO!$D$15,CRONO!$E44,0)))+IF(AND($E46&lt;&gt;"",$E46&lt;&gt;0),SUMIF(CÁLCULO!$BC$15:$BU$710,"="&amp;CRONO!AL$12,CÁLCULO!$AJ$15:$BB$710)/(ORÇAMENTO!$X$15-CÁLCULO.TotalAdmLocal)*CRONO!$E46,0),AL45*$R44),SUMIF(OFFSET($R46,1,0,$Q44-2),($L44+1)&amp;"$",OFFSET(AL46,1,0,$Q44-2)))</f>
        <v>0</v>
      </c>
      <c r="AM46" s="257">
        <f ca="1">IF($Q44=2,IF(AND(ACOMPANHAMENTO="PLE",ISNUMBER($E44)),SUMIF((OFFSET(CÁLCULO!$BC$15:$BU$15,$E44,0,OFFSET(ORÇAMENTO!$D$15,CRONO!$E44,0))),"="&amp;CRONO!AM$12,OFFSET(CÁLCULO!$AJ$15:$BB$15,$E44,0,OFFSET(ORÇAMENTO!$D$15,CRONO!$E44,0)))+IF(AND($E46&lt;&gt;"",$E46&lt;&gt;0),SUMIF(CÁLCULO!$BC$15:$BU$710,"="&amp;CRONO!AM$12,CÁLCULO!$AJ$15:$BB$710)/(ORÇAMENTO!$X$15-CÁLCULO.TotalAdmLocal)*CRONO!$E46,0),AM45*$R44),SUMIF(OFFSET($R46,1,0,$Q44-2),($L44+1)&amp;"$",OFFSET(AM46,1,0,$Q44-2)))</f>
        <v>0</v>
      </c>
      <c r="AN46" s="257">
        <f ca="1">IF($Q44=2,IF(AND(ACOMPANHAMENTO="PLE",ISNUMBER($E44)),SUMIF((OFFSET(CÁLCULO!$BC$15:$BU$15,$E44,0,OFFSET(ORÇAMENTO!$D$15,CRONO!$E44,0))),"="&amp;CRONO!AN$12,OFFSET(CÁLCULO!$AJ$15:$BB$15,$E44,0,OFFSET(ORÇAMENTO!$D$15,CRONO!$E44,0)))+IF(AND($E46&lt;&gt;"",$E46&lt;&gt;0),SUMIF(CÁLCULO!$BC$15:$BU$710,"="&amp;CRONO!AN$12,CÁLCULO!$AJ$15:$BB$710)/(ORÇAMENTO!$X$15-CÁLCULO.TotalAdmLocal)*CRONO!$E46,0),AN45*$R44),SUMIF(OFFSET($R46,1,0,$Q44-2),($L44+1)&amp;"$",OFFSET(AN46,1,0,$Q44-2)))</f>
        <v>0</v>
      </c>
      <c r="AO46" s="257">
        <f ca="1">IF($Q44=2,IF(AND(ACOMPANHAMENTO="PLE",ISNUMBER($E44)),SUMIF((OFFSET(CÁLCULO!$BC$15:$BU$15,$E44,0,OFFSET(ORÇAMENTO!$D$15,CRONO!$E44,0))),"="&amp;CRONO!AO$12,OFFSET(CÁLCULO!$AJ$15:$BB$15,$E44,0,OFFSET(ORÇAMENTO!$D$15,CRONO!$E44,0)))+IF(AND($E46&lt;&gt;"",$E46&lt;&gt;0),SUMIF(CÁLCULO!$BC$15:$BU$710,"="&amp;CRONO!AO$12,CÁLCULO!$AJ$15:$BB$710)/(ORÇAMENTO!$X$15-CÁLCULO.TotalAdmLocal)*CRONO!$E46,0),AO45*$R44),SUMIF(OFFSET($R46,1,0,$Q44-2),($L44+1)&amp;"$",OFFSET(AO46,1,0,$Q44-2)))</f>
        <v>0</v>
      </c>
      <c r="AP46" s="257">
        <f ca="1">IF($Q44=2,IF(AND(ACOMPANHAMENTO="PLE",ISNUMBER($E44)),SUMIF((OFFSET(CÁLCULO!$BC$15:$BU$15,$E44,0,OFFSET(ORÇAMENTO!$D$15,CRONO!$E44,0))),"="&amp;CRONO!AP$12,OFFSET(CÁLCULO!$AJ$15:$BB$15,$E44,0,OFFSET(ORÇAMENTO!$D$15,CRONO!$E44,0)))+IF(AND($E46&lt;&gt;"",$E46&lt;&gt;0),SUMIF(CÁLCULO!$BC$15:$BU$710,"="&amp;CRONO!AP$12,CÁLCULO!$AJ$15:$BB$710)/(ORÇAMENTO!$X$15-CÁLCULO.TotalAdmLocal)*CRONO!$E46,0),AP45*$R44),SUMIF(OFFSET($R46,1,0,$Q44-2),($L44+1)&amp;"$",OFFSET(AP46,1,0,$Q44-2)))</f>
        <v>0</v>
      </c>
      <c r="AQ46" s="262">
        <f ca="1">IF($Q44=2,IF(AND(ACOMPANHAMENTO="PLE",ISNUMBER($E44)),SUMIF((OFFSET(CÁLCULO!$BC$15:$BU$15,$E44,0,OFFSET(ORÇAMENTO!$D$15,CRONO!$E44,0))),"="&amp;CRONO!AQ$12,OFFSET(CÁLCULO!$AJ$15:$BB$15,$E44,0,OFFSET(ORÇAMENTO!$D$15,CRONO!$E44,0)))+IF(AND($E46&lt;&gt;"",$E46&lt;&gt;0),SUMIF(CÁLCULO!$BC$15:$BU$710,"="&amp;CRONO!AQ$12,CÁLCULO!$AJ$15:$BB$710)/(ORÇAMENTO!$X$15-CÁLCULO.TotalAdmLocal)*CRONO!$E46,0),AQ45*$R44),SUMIF(OFFSET($R46,1,0,$Q44-2),($L44+1)&amp;"$",OFFSET(AQ46,1,0,$Q44-2)))</f>
        <v>0</v>
      </c>
    </row>
    <row r="47" spans="1:44" x14ac:dyDescent="0.25">
      <c r="A47" s="238">
        <f ca="1">OFFSET(A47,-3,0)+1</f>
        <v>12</v>
      </c>
      <c r="B47" s="238">
        <f ca="1">IF($Q47&lt;&gt;2,0,IF($R47=0,1,IF(E48&gt;0,OFFSET(QCI!$M$13,SUBSTITUTE(E48,".",""),0),OFFSET(ORÇAMENTO!$AA$15,CRONO!$E47,0))/$R47))</f>
        <v>1</v>
      </c>
      <c r="C47" s="238">
        <f ca="1">IF($Q47&lt;&gt;2,0,IF($R47=0,1,IF(E48&gt;0,OFFSET(QCI!$N$13,SUBSTITUTE(E48,".",""),0),OFFSET(ORÇAMENTO!$AB$15,CRONO!$E47,0))/$R47))</f>
        <v>1</v>
      </c>
      <c r="D47" s="241">
        <f ca="1">IF(AND($Q47=2,ACOMPANHAMENTO="BM"),D48,D49/$R47)</f>
        <v>0</v>
      </c>
      <c r="E47" s="238">
        <f ca="1">IF(A47&lt;=ORÇAMENTO.MáximoListaCrono,MATCH(A47,ORÇAMENTO.ListaCrono,0),NA())</f>
        <v>267</v>
      </c>
      <c r="F47" s="238" t="str">
        <f ca="1">IF(AND($E48&lt;&gt;-1,$R47&gt;0),"F","")</f>
        <v/>
      </c>
      <c r="G47" s="242" t="str">
        <f ca="1">IF(OR(R47=0,R47=""),"Linha",IF(AND(OR(ACOMPANHAMENTO="PLE",$Q47&lt;&gt;2),$E48=0),"Linha",1-SUM(T47:AR47)))</f>
        <v>Linha</v>
      </c>
      <c r="H47" s="243" t="str">
        <f ca="1">IF($E48=0,OFFSET(ORÇAMENTO!O$15,$E47,0),IF($E48&lt;&gt;-1,OFFSET(QCI!$D$13,$E48,0),""))</f>
        <v>1.11.</v>
      </c>
      <c r="I47" s="244" t="str">
        <f ca="1">IF($E48=0,OFFSET(ORÇAMENTO!R$15,$E47,0),IF($E48&lt;&gt;-1,OFFSET(QCI!$G$13,$E48,0),""))</f>
        <v>PINTURAS E ACABAMENTOS</v>
      </c>
      <c r="J47" s="244"/>
      <c r="K47" s="244"/>
      <c r="L47" s="245">
        <f ca="1">IF($E48=0,OFFSET(ORÇAMENTO!C$15,$E47,0),1)</f>
        <v>2</v>
      </c>
      <c r="M47" s="246">
        <f ca="1">IF($E48=-1,0,IF(M$13&lt;=$L47,IF(ISERROR(MATCH(M$13,OFFSET($L47,1,0,ROW($L$98)-ROW($L47)-1),0)),ROW($L$98)-ROW($L47)-1,MATCH(M$13,OFFSET($L47,1,0,ROW($L$98)-ROW($L47)-1),0)-1),0))</f>
        <v>41</v>
      </c>
      <c r="N47" s="246">
        <f ca="1">IF($E48=-1,0,IF(N$13&lt;=$L47,IF(ISERROR(MATCH(N$13,OFFSET($L47,1,0,ROW($L$98)-ROW($L47)-1),0)),ROW($L$98)-ROW($L47)-1,MATCH(N$13,OFFSET($L47,1,0,ROW($L$98)-ROW($L47)-1),0)-1),0))</f>
        <v>2</v>
      </c>
      <c r="O47" s="246">
        <f ca="1">IF($E48=-1,0,IF(O$13&lt;=$L47,IF(ISERROR(MATCH(O$13,OFFSET($L47,1,0,ROW($L$98)-ROW($L47)-1),0)),ROW($L$98)-ROW($L47)-1,MATCH(O$13,OFFSET($L47,1,0,ROW($L$98)-ROW($L47)-1),0)-1),0))</f>
        <v>0</v>
      </c>
      <c r="P47" s="246">
        <f ca="1">IF($E48=-1,0,IF(P$13&lt;=$L47,IF(ISERROR(MATCH(P$13,OFFSET($L47,1,0,ROW($L$98)-ROW($L47)-1),0)),ROW($L$98)-ROW($L47)-1,MATCH(P$13,OFFSET($L47,1,0,ROW($L$98)-ROW($L47)-1),0)-1),0))</f>
        <v>0</v>
      </c>
      <c r="Q47" s="246">
        <f ca="1">MIN(OFFSET(L47,0,1,,L47))</f>
        <v>2</v>
      </c>
      <c r="R47" s="247">
        <f ca="1">IF($E48=0,OFFSET(ORÇAMENTO!X$15,$E47,0),IF($E48&lt;&gt;-1,OFFSET(QCI!$O$13,$E48,0),""))</f>
        <v>0</v>
      </c>
      <c r="S47" s="248" t="s">
        <v>272</v>
      </c>
      <c r="T47" s="249">
        <f t="shared" ref="T47:AQ47" ca="1" si="15">IF(AND($Q47=2,ACOMPANHAMENTO="BM"),T48,T49/$R47)</f>
        <v>0</v>
      </c>
      <c r="U47" s="241">
        <f t="shared" ca="1" si="15"/>
        <v>0</v>
      </c>
      <c r="V47" s="241">
        <f t="shared" ca="1" si="15"/>
        <v>0</v>
      </c>
      <c r="W47" s="241">
        <f t="shared" ca="1" si="15"/>
        <v>0</v>
      </c>
      <c r="X47" s="241">
        <f t="shared" ca="1" si="15"/>
        <v>0</v>
      </c>
      <c r="Y47" s="241">
        <f t="shared" ca="1" si="15"/>
        <v>0</v>
      </c>
      <c r="Z47" s="241">
        <f t="shared" ca="1" si="15"/>
        <v>0</v>
      </c>
      <c r="AA47" s="241">
        <f t="shared" ca="1" si="15"/>
        <v>0</v>
      </c>
      <c r="AB47" s="241">
        <f t="shared" ca="1" si="15"/>
        <v>0</v>
      </c>
      <c r="AC47" s="241">
        <f t="shared" ca="1" si="15"/>
        <v>0</v>
      </c>
      <c r="AD47" s="241">
        <f t="shared" ca="1" si="15"/>
        <v>0.3</v>
      </c>
      <c r="AE47" s="250">
        <f t="shared" ca="1" si="15"/>
        <v>0.3</v>
      </c>
      <c r="AF47" s="249">
        <f t="shared" ca="1" si="15"/>
        <v>0.4</v>
      </c>
      <c r="AG47" s="241">
        <f t="shared" ca="1" si="15"/>
        <v>0</v>
      </c>
      <c r="AH47" s="241">
        <f t="shared" ca="1" si="15"/>
        <v>0</v>
      </c>
      <c r="AI47" s="241">
        <f t="shared" ca="1" si="15"/>
        <v>0</v>
      </c>
      <c r="AJ47" s="241">
        <f t="shared" ca="1" si="15"/>
        <v>0</v>
      </c>
      <c r="AK47" s="241">
        <f t="shared" ca="1" si="15"/>
        <v>0</v>
      </c>
      <c r="AL47" s="241">
        <f t="shared" ca="1" si="15"/>
        <v>0</v>
      </c>
      <c r="AM47" s="241">
        <f t="shared" ca="1" si="15"/>
        <v>0</v>
      </c>
      <c r="AN47" s="241">
        <f t="shared" ca="1" si="15"/>
        <v>0</v>
      </c>
      <c r="AO47" s="241">
        <f t="shared" ca="1" si="15"/>
        <v>0</v>
      </c>
      <c r="AP47" s="241">
        <f t="shared" ca="1" si="15"/>
        <v>0</v>
      </c>
      <c r="AQ47" s="250">
        <f t="shared" ca="1" si="15"/>
        <v>0</v>
      </c>
    </row>
    <row r="48" spans="1:44" ht="12.75" customHeight="1" x14ac:dyDescent="0.25">
      <c r="D48" s="658"/>
      <c r="E48" s="238">
        <f ca="1">IF(ISERROR(E47),IF(1+COUNTIF($L$13:OFFSET(L47,-1,0),1)&lt;=MAX(QCI!$D$13:$D$24),1+COUNTIF($L$13:OFFSET(L47,-1,0),1),-1),0)</f>
        <v>0</v>
      </c>
      <c r="F48" s="238" t="str">
        <f ca="1">IF(AND($E48&lt;&gt;-1,$R47&gt;0),"F","")</f>
        <v/>
      </c>
      <c r="G48" s="251" t="str">
        <f ca="1">IF(OR(R47=0,R47=""),"vazia",IF(AND(OR(ACOMPANHAMENTO="PLE",$Q47&lt;&gt;2),$E48=0),"calculada","--&gt;"))</f>
        <v>vazia</v>
      </c>
      <c r="H48" s="252"/>
      <c r="I48" s="253" t="str">
        <f ca="1">IF(AND(G47&lt;&gt;0,ISNUMBER(G47)),"PREENCHA ESTA LINHA --&gt;","")</f>
        <v/>
      </c>
      <c r="J48" s="253"/>
      <c r="K48" s="253"/>
      <c r="L48" s="254"/>
      <c r="M48" s="254"/>
      <c r="N48" s="254"/>
      <c r="O48" s="254"/>
      <c r="P48" s="254"/>
      <c r="Q48" s="254"/>
      <c r="R48" s="255"/>
      <c r="S48" s="256"/>
      <c r="T48" s="659"/>
      <c r="U48" s="658"/>
      <c r="V48" s="658"/>
      <c r="W48" s="658"/>
      <c r="X48" s="658"/>
      <c r="Y48" s="658"/>
      <c r="Z48" s="658"/>
      <c r="AA48" s="658"/>
      <c r="AB48" s="658"/>
      <c r="AC48" s="658"/>
      <c r="AD48" s="658">
        <v>0.3</v>
      </c>
      <c r="AE48" s="660">
        <v>0.3</v>
      </c>
      <c r="AF48" s="659">
        <v>0.4</v>
      </c>
      <c r="AG48" s="658"/>
      <c r="AH48" s="658"/>
      <c r="AI48" s="658"/>
      <c r="AJ48" s="658"/>
      <c r="AK48" s="658"/>
      <c r="AL48" s="658"/>
      <c r="AM48" s="658"/>
      <c r="AN48" s="658"/>
      <c r="AO48" s="658"/>
      <c r="AP48" s="658"/>
      <c r="AQ48" s="660"/>
      <c r="AR48" s="618"/>
    </row>
    <row r="49" spans="1:44" ht="0.15" hidden="1" customHeight="1" x14ac:dyDescent="0.25">
      <c r="D49" s="257">
        <f ca="1">IF($Q47=2,IF(AND(ACOMPANHAMENTO="PLE",ISNUMBER($E47)),SUMIF((OFFSET(CÁLCULO!$BC$15:$BU$15,$E47,0,OFFSET(ORÇAMENTO!$D$15,CRONO!$E47,0))),"="&amp;CRONO!D$12,OFFSET(CÁLCULO!$AJ$15:$BB$15,$E47,0,OFFSET(ORÇAMENTO!$D$15,CRONO!$E47,0)))+IF(AND($E49&lt;&gt;"",$E49&lt;&gt;0),SUMIF(CÁLCULO!$BC$15:$BU$710,"="&amp;CRONO!D$12,CÁLCULO!$AJ$15:$BB$710)/(ORÇAMENTO!$X$15-CÁLCULO.TotalAdmLocal)*CRONO!$E49,0),D48*$R47),SUMIF(OFFSET($R49,1,0,$Q47-2),($L47+1)&amp;"$",OFFSET(D49,1,0,$Q47-2)))</f>
        <v>0</v>
      </c>
      <c r="E49" s="238">
        <f ca="1">IF(OR($Q47&lt;&gt;2,AUTOEVENTO&lt;&gt;"manual",$E48&gt;0),"",SUMIF(OFFSET(CÁLCULO!$M$15,CRONO!$E47,0,OFFSET(ORÇAMENTO!$D$15,CRONO!$E47,0)),1,OFFSET(ORÇAMENTO!$X$15,CRONO!$E47,0,OFFSET(ORÇAMENTO!$D$15,CRONO!$E47,0))))</f>
        <v>0</v>
      </c>
      <c r="G49" s="258"/>
      <c r="R49" s="259" t="str">
        <f ca="1">L47&amp;"$"</f>
        <v>2$</v>
      </c>
      <c r="S49" s="260"/>
      <c r="T49" s="261">
        <f ca="1">IF($Q47=2,IF(AND(ACOMPANHAMENTO="PLE",ISNUMBER($E47)),SUMIF((OFFSET(CÁLCULO!$BC$15:$BU$15,$E47,0,OFFSET(ORÇAMENTO!$D$15,CRONO!$E47,0))),"&lt;="&amp;CRONO!T$12,OFFSET(CÁLCULO!$AJ$15:$BB$15,$E47,0,OFFSET(ORÇAMENTO!$D$15,CRONO!$E47,0)))+IF(AND($E49&lt;&gt;"",$E49&lt;&gt;0),SUMIF(CÁLCULO!$BC$15:$BU$710,"&lt;="&amp;CRONO!T$12,CÁLCULO!$AJ$15:$BB$710)/(ORÇAMENTO!$X$15-CÁLCULO.TotalAdmLocal)*CRONO!$E49,0),T48*$R47),SUMIF(OFFSET($R49,1,0,$Q47-2),($L47+1)&amp;"$",OFFSET(T49,1,0,$Q47-2)))</f>
        <v>0</v>
      </c>
      <c r="U49" s="257">
        <f ca="1">IF($Q47=2,IF(AND(ACOMPANHAMENTO="PLE",ISNUMBER($E47)),SUMIF((OFFSET(CÁLCULO!$BC$15:$BU$15,$E47,0,OFFSET(ORÇAMENTO!$D$15,CRONO!$E47,0))),"="&amp;CRONO!U$12,OFFSET(CÁLCULO!$AJ$15:$BB$15,$E47,0,OFFSET(ORÇAMENTO!$D$15,CRONO!$E47,0)))+IF(AND($E49&lt;&gt;"",$E49&lt;&gt;0),SUMIF(CÁLCULO!$BC$15:$BU$710,"="&amp;CRONO!U$12,CÁLCULO!$AJ$15:$BB$710)/(ORÇAMENTO!$X$15-CÁLCULO.TotalAdmLocal)*CRONO!$E49,0),U48*$R47),SUMIF(OFFSET($R49,1,0,$Q47-2),($L47+1)&amp;"$",OFFSET(U49,1,0,$Q47-2)))</f>
        <v>0</v>
      </c>
      <c r="V49" s="257">
        <f ca="1">IF($Q47=2,IF(AND(ACOMPANHAMENTO="PLE",ISNUMBER($E47)),SUMIF((OFFSET(CÁLCULO!$BC$15:$BU$15,$E47,0,OFFSET(ORÇAMENTO!$D$15,CRONO!$E47,0))),"="&amp;CRONO!V$12,OFFSET(CÁLCULO!$AJ$15:$BB$15,$E47,0,OFFSET(ORÇAMENTO!$D$15,CRONO!$E47,0)))+IF(AND($E49&lt;&gt;"",$E49&lt;&gt;0),SUMIF(CÁLCULO!$BC$15:$BU$710,"="&amp;CRONO!V$12,CÁLCULO!$AJ$15:$BB$710)/(ORÇAMENTO!$X$15-CÁLCULO.TotalAdmLocal)*CRONO!$E49,0),V48*$R47),SUMIF(OFFSET($R49,1,0,$Q47-2),($L47+1)&amp;"$",OFFSET(V49,1,0,$Q47-2)))</f>
        <v>0</v>
      </c>
      <c r="W49" s="257">
        <f ca="1">IF($Q47=2,IF(AND(ACOMPANHAMENTO="PLE",ISNUMBER($E47)),SUMIF((OFFSET(CÁLCULO!$BC$15:$BU$15,$E47,0,OFFSET(ORÇAMENTO!$D$15,CRONO!$E47,0))),"="&amp;CRONO!W$12,OFFSET(CÁLCULO!$AJ$15:$BB$15,$E47,0,OFFSET(ORÇAMENTO!$D$15,CRONO!$E47,0)))+IF(AND($E49&lt;&gt;"",$E49&lt;&gt;0),SUMIF(CÁLCULO!$BC$15:$BU$710,"="&amp;CRONO!W$12,CÁLCULO!$AJ$15:$BB$710)/(ORÇAMENTO!$X$15-CÁLCULO.TotalAdmLocal)*CRONO!$E49,0),W48*$R47),SUMIF(OFFSET($R49,1,0,$Q47-2),($L47+1)&amp;"$",OFFSET(W49,1,0,$Q47-2)))</f>
        <v>0</v>
      </c>
      <c r="X49" s="257">
        <f ca="1">IF($Q47=2,IF(AND(ACOMPANHAMENTO="PLE",ISNUMBER($E47)),SUMIF((OFFSET(CÁLCULO!$BC$15:$BU$15,$E47,0,OFFSET(ORÇAMENTO!$D$15,CRONO!$E47,0))),"="&amp;CRONO!X$12,OFFSET(CÁLCULO!$AJ$15:$BB$15,$E47,0,OFFSET(ORÇAMENTO!$D$15,CRONO!$E47,0)))+IF(AND($E49&lt;&gt;"",$E49&lt;&gt;0),SUMIF(CÁLCULO!$BC$15:$BU$710,"="&amp;CRONO!X$12,CÁLCULO!$AJ$15:$BB$710)/(ORÇAMENTO!$X$15-CÁLCULO.TotalAdmLocal)*CRONO!$E49,0),X48*$R47),SUMIF(OFFSET($R49,1,0,$Q47-2),($L47+1)&amp;"$",OFFSET(X49,1,0,$Q47-2)))</f>
        <v>0</v>
      </c>
      <c r="Y49" s="257">
        <f ca="1">IF($Q47=2,IF(AND(ACOMPANHAMENTO="PLE",ISNUMBER($E47)),SUMIF((OFFSET(CÁLCULO!$BC$15:$BU$15,$E47,0,OFFSET(ORÇAMENTO!$D$15,CRONO!$E47,0))),"="&amp;CRONO!Y$12,OFFSET(CÁLCULO!$AJ$15:$BB$15,$E47,0,OFFSET(ORÇAMENTO!$D$15,CRONO!$E47,0)))+IF(AND($E49&lt;&gt;"",$E49&lt;&gt;0),SUMIF(CÁLCULO!$BC$15:$BU$710,"="&amp;CRONO!Y$12,CÁLCULO!$AJ$15:$BB$710)/(ORÇAMENTO!$X$15-CÁLCULO.TotalAdmLocal)*CRONO!$E49,0),Y48*$R47),SUMIF(OFFSET($R49,1,0,$Q47-2),($L47+1)&amp;"$",OFFSET(Y49,1,0,$Q47-2)))</f>
        <v>0</v>
      </c>
      <c r="Z49" s="257">
        <f ca="1">IF($Q47=2,IF(AND(ACOMPANHAMENTO="PLE",ISNUMBER($E47)),SUMIF((OFFSET(CÁLCULO!$BC$15:$BU$15,$E47,0,OFFSET(ORÇAMENTO!$D$15,CRONO!$E47,0))),"="&amp;CRONO!Z$12,OFFSET(CÁLCULO!$AJ$15:$BB$15,$E47,0,OFFSET(ORÇAMENTO!$D$15,CRONO!$E47,0)))+IF(AND($E49&lt;&gt;"",$E49&lt;&gt;0),SUMIF(CÁLCULO!$BC$15:$BU$710,"="&amp;CRONO!Z$12,CÁLCULO!$AJ$15:$BB$710)/(ORÇAMENTO!$X$15-CÁLCULO.TotalAdmLocal)*CRONO!$E49,0),Z48*$R47),SUMIF(OFFSET($R49,1,0,$Q47-2),($L47+1)&amp;"$",OFFSET(Z49,1,0,$Q47-2)))</f>
        <v>0</v>
      </c>
      <c r="AA49" s="257">
        <f ca="1">IF($Q47=2,IF(AND(ACOMPANHAMENTO="PLE",ISNUMBER($E47)),SUMIF((OFFSET(CÁLCULO!$BC$15:$BU$15,$E47,0,OFFSET(ORÇAMENTO!$D$15,CRONO!$E47,0))),"="&amp;CRONO!AA$12,OFFSET(CÁLCULO!$AJ$15:$BB$15,$E47,0,OFFSET(ORÇAMENTO!$D$15,CRONO!$E47,0)))+IF(AND($E49&lt;&gt;"",$E49&lt;&gt;0),SUMIF(CÁLCULO!$BC$15:$BU$710,"="&amp;CRONO!AA$12,CÁLCULO!$AJ$15:$BB$710)/(ORÇAMENTO!$X$15-CÁLCULO.TotalAdmLocal)*CRONO!$E49,0),AA48*$R47),SUMIF(OFFSET($R49,1,0,$Q47-2),($L47+1)&amp;"$",OFFSET(AA49,1,0,$Q47-2)))</f>
        <v>0</v>
      </c>
      <c r="AB49" s="257">
        <f ca="1">IF($Q47=2,IF(AND(ACOMPANHAMENTO="PLE",ISNUMBER($E47)),SUMIF((OFFSET(CÁLCULO!$BC$15:$BU$15,$E47,0,OFFSET(ORÇAMENTO!$D$15,CRONO!$E47,0))),"="&amp;CRONO!AB$12,OFFSET(CÁLCULO!$AJ$15:$BB$15,$E47,0,OFFSET(ORÇAMENTO!$D$15,CRONO!$E47,0)))+IF(AND($E49&lt;&gt;"",$E49&lt;&gt;0),SUMIF(CÁLCULO!$BC$15:$BU$710,"="&amp;CRONO!AB$12,CÁLCULO!$AJ$15:$BB$710)/(ORÇAMENTO!$X$15-CÁLCULO.TotalAdmLocal)*CRONO!$E49,0),AB48*$R47),SUMIF(OFFSET($R49,1,0,$Q47-2),($L47+1)&amp;"$",OFFSET(AB49,1,0,$Q47-2)))</f>
        <v>0</v>
      </c>
      <c r="AC49" s="257">
        <f ca="1">IF($Q47=2,IF(AND(ACOMPANHAMENTO="PLE",ISNUMBER($E47)),SUMIF((OFFSET(CÁLCULO!$BC$15:$BU$15,$E47,0,OFFSET(ORÇAMENTO!$D$15,CRONO!$E47,0))),"="&amp;CRONO!AC$12,OFFSET(CÁLCULO!$AJ$15:$BB$15,$E47,0,OFFSET(ORÇAMENTO!$D$15,CRONO!$E47,0)))+IF(AND($E49&lt;&gt;"",$E49&lt;&gt;0),SUMIF(CÁLCULO!$BC$15:$BU$710,"="&amp;CRONO!AC$12,CÁLCULO!$AJ$15:$BB$710)/(ORÇAMENTO!$X$15-CÁLCULO.TotalAdmLocal)*CRONO!$E49,0),AC48*$R47),SUMIF(OFFSET($R49,1,0,$Q47-2),($L47+1)&amp;"$",OFFSET(AC49,1,0,$Q47-2)))</f>
        <v>0</v>
      </c>
      <c r="AD49" s="257">
        <f ca="1">IF($Q47=2,IF(AND(ACOMPANHAMENTO="PLE",ISNUMBER($E47)),SUMIF((OFFSET(CÁLCULO!$BC$15:$BU$15,$E47,0,OFFSET(ORÇAMENTO!$D$15,CRONO!$E47,0))),"="&amp;CRONO!AD$12,OFFSET(CÁLCULO!$AJ$15:$BB$15,$E47,0,OFFSET(ORÇAMENTO!$D$15,CRONO!$E47,0)))+IF(AND($E49&lt;&gt;"",$E49&lt;&gt;0),SUMIF(CÁLCULO!$BC$15:$BU$710,"="&amp;CRONO!AD$12,CÁLCULO!$AJ$15:$BB$710)/(ORÇAMENTO!$X$15-CÁLCULO.TotalAdmLocal)*CRONO!$E49,0),AD48*$R47),SUMIF(OFFSET($R49,1,0,$Q47-2),($L47+1)&amp;"$",OFFSET(AD49,1,0,$Q47-2)))</f>
        <v>0</v>
      </c>
      <c r="AE49" s="262">
        <f ca="1">IF($Q47=2,IF(AND(ACOMPANHAMENTO="PLE",ISNUMBER($E47)),SUMIF((OFFSET(CÁLCULO!$BC$15:$BU$15,$E47,0,OFFSET(ORÇAMENTO!$D$15,CRONO!$E47,0))),"="&amp;CRONO!AE$12,OFFSET(CÁLCULO!$AJ$15:$BB$15,$E47,0,OFFSET(ORÇAMENTO!$D$15,CRONO!$E47,0)))+IF(AND($E49&lt;&gt;"",$E49&lt;&gt;0),SUMIF(CÁLCULO!$BC$15:$BU$710,"="&amp;CRONO!AE$12,CÁLCULO!$AJ$15:$BB$710)/(ORÇAMENTO!$X$15-CÁLCULO.TotalAdmLocal)*CRONO!$E49,0),AE48*$R47),SUMIF(OFFSET($R49,1,0,$Q47-2),($L47+1)&amp;"$",OFFSET(AE49,1,0,$Q47-2)))</f>
        <v>0</v>
      </c>
      <c r="AF49" s="261">
        <f ca="1">IF($Q47=2,IF(AND(ACOMPANHAMENTO="PLE",ISNUMBER($E47)),SUMIF((OFFSET(CÁLCULO!$BC$15:$BU$15,$E47,0,OFFSET(ORÇAMENTO!$D$15,CRONO!$E47,0))),"="&amp;CRONO!AF$12,OFFSET(CÁLCULO!$AJ$15:$BB$15,$E47,0,OFFSET(ORÇAMENTO!$D$15,CRONO!$E47,0)))+IF(AND($E49&lt;&gt;"",$E49&lt;&gt;0),SUMIF(CÁLCULO!$BC$15:$BU$710,"="&amp;CRONO!AF$12,CÁLCULO!$AJ$15:$BB$710)/(ORÇAMENTO!$X$15-CÁLCULO.TotalAdmLocal)*CRONO!$E49,0),AF48*$R47),SUMIF(OFFSET($R49,1,0,$Q47-2),($L47+1)&amp;"$",OFFSET(AF49,1,0,$Q47-2)))</f>
        <v>0</v>
      </c>
      <c r="AG49" s="257">
        <f ca="1">IF($Q47=2,IF(AND(ACOMPANHAMENTO="PLE",ISNUMBER($E47)),SUMIF((OFFSET(CÁLCULO!$BC$15:$BU$15,$E47,0,OFFSET(ORÇAMENTO!$D$15,CRONO!$E47,0))),"="&amp;CRONO!AG$12,OFFSET(CÁLCULO!$AJ$15:$BB$15,$E47,0,OFFSET(ORÇAMENTO!$D$15,CRONO!$E47,0)))+IF(AND($E49&lt;&gt;"",$E49&lt;&gt;0),SUMIF(CÁLCULO!$BC$15:$BU$710,"="&amp;CRONO!AG$12,CÁLCULO!$AJ$15:$BB$710)/(ORÇAMENTO!$X$15-CÁLCULO.TotalAdmLocal)*CRONO!$E49,0),AG48*$R47),SUMIF(OFFSET($R49,1,0,$Q47-2),($L47+1)&amp;"$",OFFSET(AG49,1,0,$Q47-2)))</f>
        <v>0</v>
      </c>
      <c r="AH49" s="257">
        <f ca="1">IF($Q47=2,IF(AND(ACOMPANHAMENTO="PLE",ISNUMBER($E47)),SUMIF((OFFSET(CÁLCULO!$BC$15:$BU$15,$E47,0,OFFSET(ORÇAMENTO!$D$15,CRONO!$E47,0))),"="&amp;CRONO!AH$12,OFFSET(CÁLCULO!$AJ$15:$BB$15,$E47,0,OFFSET(ORÇAMENTO!$D$15,CRONO!$E47,0)))+IF(AND($E49&lt;&gt;"",$E49&lt;&gt;0),SUMIF(CÁLCULO!$BC$15:$BU$710,"="&amp;CRONO!AH$12,CÁLCULO!$AJ$15:$BB$710)/(ORÇAMENTO!$X$15-CÁLCULO.TotalAdmLocal)*CRONO!$E49,0),AH48*$R47),SUMIF(OFFSET($R49,1,0,$Q47-2),($L47+1)&amp;"$",OFFSET(AH49,1,0,$Q47-2)))</f>
        <v>0</v>
      </c>
      <c r="AI49" s="257">
        <f ca="1">IF($Q47=2,IF(AND(ACOMPANHAMENTO="PLE",ISNUMBER($E47)),SUMIF((OFFSET(CÁLCULO!$BC$15:$BU$15,$E47,0,OFFSET(ORÇAMENTO!$D$15,CRONO!$E47,0))),"="&amp;CRONO!AI$12,OFFSET(CÁLCULO!$AJ$15:$BB$15,$E47,0,OFFSET(ORÇAMENTO!$D$15,CRONO!$E47,0)))+IF(AND($E49&lt;&gt;"",$E49&lt;&gt;0),SUMIF(CÁLCULO!$BC$15:$BU$710,"="&amp;CRONO!AI$12,CÁLCULO!$AJ$15:$BB$710)/(ORÇAMENTO!$X$15-CÁLCULO.TotalAdmLocal)*CRONO!$E49,0),AI48*$R47),SUMIF(OFFSET($R49,1,0,$Q47-2),($L47+1)&amp;"$",OFFSET(AI49,1,0,$Q47-2)))</f>
        <v>0</v>
      </c>
      <c r="AJ49" s="257">
        <f ca="1">IF($Q47=2,IF(AND(ACOMPANHAMENTO="PLE",ISNUMBER($E47)),SUMIF((OFFSET(CÁLCULO!$BC$15:$BU$15,$E47,0,OFFSET(ORÇAMENTO!$D$15,CRONO!$E47,0))),"="&amp;CRONO!AJ$12,OFFSET(CÁLCULO!$AJ$15:$BB$15,$E47,0,OFFSET(ORÇAMENTO!$D$15,CRONO!$E47,0)))+IF(AND($E49&lt;&gt;"",$E49&lt;&gt;0),SUMIF(CÁLCULO!$BC$15:$BU$710,"="&amp;CRONO!AJ$12,CÁLCULO!$AJ$15:$BB$710)/(ORÇAMENTO!$X$15-CÁLCULO.TotalAdmLocal)*CRONO!$E49,0),AJ48*$R47),SUMIF(OFFSET($R49,1,0,$Q47-2),($L47+1)&amp;"$",OFFSET(AJ49,1,0,$Q47-2)))</f>
        <v>0</v>
      </c>
      <c r="AK49" s="257">
        <f ca="1">IF($Q47=2,IF(AND(ACOMPANHAMENTO="PLE",ISNUMBER($E47)),SUMIF((OFFSET(CÁLCULO!$BC$15:$BU$15,$E47,0,OFFSET(ORÇAMENTO!$D$15,CRONO!$E47,0))),"="&amp;CRONO!AK$12,OFFSET(CÁLCULO!$AJ$15:$BB$15,$E47,0,OFFSET(ORÇAMENTO!$D$15,CRONO!$E47,0)))+IF(AND($E49&lt;&gt;"",$E49&lt;&gt;0),SUMIF(CÁLCULO!$BC$15:$BU$710,"="&amp;CRONO!AK$12,CÁLCULO!$AJ$15:$BB$710)/(ORÇAMENTO!$X$15-CÁLCULO.TotalAdmLocal)*CRONO!$E49,0),AK48*$R47),SUMIF(OFFSET($R49,1,0,$Q47-2),($L47+1)&amp;"$",OFFSET(AK49,1,0,$Q47-2)))</f>
        <v>0</v>
      </c>
      <c r="AL49" s="257">
        <f ca="1">IF($Q47=2,IF(AND(ACOMPANHAMENTO="PLE",ISNUMBER($E47)),SUMIF((OFFSET(CÁLCULO!$BC$15:$BU$15,$E47,0,OFFSET(ORÇAMENTO!$D$15,CRONO!$E47,0))),"="&amp;CRONO!AL$12,OFFSET(CÁLCULO!$AJ$15:$BB$15,$E47,0,OFFSET(ORÇAMENTO!$D$15,CRONO!$E47,0)))+IF(AND($E49&lt;&gt;"",$E49&lt;&gt;0),SUMIF(CÁLCULO!$BC$15:$BU$710,"="&amp;CRONO!AL$12,CÁLCULO!$AJ$15:$BB$710)/(ORÇAMENTO!$X$15-CÁLCULO.TotalAdmLocal)*CRONO!$E49,0),AL48*$R47),SUMIF(OFFSET($R49,1,0,$Q47-2),($L47+1)&amp;"$",OFFSET(AL49,1,0,$Q47-2)))</f>
        <v>0</v>
      </c>
      <c r="AM49" s="257">
        <f ca="1">IF($Q47=2,IF(AND(ACOMPANHAMENTO="PLE",ISNUMBER($E47)),SUMIF((OFFSET(CÁLCULO!$BC$15:$BU$15,$E47,0,OFFSET(ORÇAMENTO!$D$15,CRONO!$E47,0))),"="&amp;CRONO!AM$12,OFFSET(CÁLCULO!$AJ$15:$BB$15,$E47,0,OFFSET(ORÇAMENTO!$D$15,CRONO!$E47,0)))+IF(AND($E49&lt;&gt;"",$E49&lt;&gt;0),SUMIF(CÁLCULO!$BC$15:$BU$710,"="&amp;CRONO!AM$12,CÁLCULO!$AJ$15:$BB$710)/(ORÇAMENTO!$X$15-CÁLCULO.TotalAdmLocal)*CRONO!$E49,0),AM48*$R47),SUMIF(OFFSET($R49,1,0,$Q47-2),($L47+1)&amp;"$",OFFSET(AM49,1,0,$Q47-2)))</f>
        <v>0</v>
      </c>
      <c r="AN49" s="257">
        <f ca="1">IF($Q47=2,IF(AND(ACOMPANHAMENTO="PLE",ISNUMBER($E47)),SUMIF((OFFSET(CÁLCULO!$BC$15:$BU$15,$E47,0,OFFSET(ORÇAMENTO!$D$15,CRONO!$E47,0))),"="&amp;CRONO!AN$12,OFFSET(CÁLCULO!$AJ$15:$BB$15,$E47,0,OFFSET(ORÇAMENTO!$D$15,CRONO!$E47,0)))+IF(AND($E49&lt;&gt;"",$E49&lt;&gt;0),SUMIF(CÁLCULO!$BC$15:$BU$710,"="&amp;CRONO!AN$12,CÁLCULO!$AJ$15:$BB$710)/(ORÇAMENTO!$X$15-CÁLCULO.TotalAdmLocal)*CRONO!$E49,0),AN48*$R47),SUMIF(OFFSET($R49,1,0,$Q47-2),($L47+1)&amp;"$",OFFSET(AN49,1,0,$Q47-2)))</f>
        <v>0</v>
      </c>
      <c r="AO49" s="257">
        <f ca="1">IF($Q47=2,IF(AND(ACOMPANHAMENTO="PLE",ISNUMBER($E47)),SUMIF((OFFSET(CÁLCULO!$BC$15:$BU$15,$E47,0,OFFSET(ORÇAMENTO!$D$15,CRONO!$E47,0))),"="&amp;CRONO!AO$12,OFFSET(CÁLCULO!$AJ$15:$BB$15,$E47,0,OFFSET(ORÇAMENTO!$D$15,CRONO!$E47,0)))+IF(AND($E49&lt;&gt;"",$E49&lt;&gt;0),SUMIF(CÁLCULO!$BC$15:$BU$710,"="&amp;CRONO!AO$12,CÁLCULO!$AJ$15:$BB$710)/(ORÇAMENTO!$X$15-CÁLCULO.TotalAdmLocal)*CRONO!$E49,0),AO48*$R47),SUMIF(OFFSET($R49,1,0,$Q47-2),($L47+1)&amp;"$",OFFSET(AO49,1,0,$Q47-2)))</f>
        <v>0</v>
      </c>
      <c r="AP49" s="257">
        <f ca="1">IF($Q47=2,IF(AND(ACOMPANHAMENTO="PLE",ISNUMBER($E47)),SUMIF((OFFSET(CÁLCULO!$BC$15:$BU$15,$E47,0,OFFSET(ORÇAMENTO!$D$15,CRONO!$E47,0))),"="&amp;CRONO!AP$12,OFFSET(CÁLCULO!$AJ$15:$BB$15,$E47,0,OFFSET(ORÇAMENTO!$D$15,CRONO!$E47,0)))+IF(AND($E49&lt;&gt;"",$E49&lt;&gt;0),SUMIF(CÁLCULO!$BC$15:$BU$710,"="&amp;CRONO!AP$12,CÁLCULO!$AJ$15:$BB$710)/(ORÇAMENTO!$X$15-CÁLCULO.TotalAdmLocal)*CRONO!$E49,0),AP48*$R47),SUMIF(OFFSET($R49,1,0,$Q47-2),($L47+1)&amp;"$",OFFSET(AP49,1,0,$Q47-2)))</f>
        <v>0</v>
      </c>
      <c r="AQ49" s="262">
        <f ca="1">IF($Q47=2,IF(AND(ACOMPANHAMENTO="PLE",ISNUMBER($E47)),SUMIF((OFFSET(CÁLCULO!$BC$15:$BU$15,$E47,0,OFFSET(ORÇAMENTO!$D$15,CRONO!$E47,0))),"="&amp;CRONO!AQ$12,OFFSET(CÁLCULO!$AJ$15:$BB$15,$E47,0,OFFSET(ORÇAMENTO!$D$15,CRONO!$E47,0)))+IF(AND($E49&lt;&gt;"",$E49&lt;&gt;0),SUMIF(CÁLCULO!$BC$15:$BU$710,"="&amp;CRONO!AQ$12,CÁLCULO!$AJ$15:$BB$710)/(ORÇAMENTO!$X$15-CÁLCULO.TotalAdmLocal)*CRONO!$E49,0),AQ48*$R47),SUMIF(OFFSET($R49,1,0,$Q47-2),($L47+1)&amp;"$",OFFSET(AQ49,1,0,$Q47-2)))</f>
        <v>0</v>
      </c>
    </row>
    <row r="50" spans="1:44" x14ac:dyDescent="0.25">
      <c r="A50" s="238">
        <f ca="1">OFFSET(A50,-3,0)+1</f>
        <v>13</v>
      </c>
      <c r="B50" s="238">
        <f ca="1">IF($Q50&lt;&gt;2,0,IF($R50=0,1,IF(E51&gt;0,OFFSET(QCI!$M$13,SUBSTITUTE(E51,".",""),0),OFFSET(ORÇAMENTO!$AA$15,CRONO!$E50,0))/$R50))</f>
        <v>1</v>
      </c>
      <c r="C50" s="238">
        <f ca="1">IF($Q50&lt;&gt;2,0,IF($R50=0,1,IF(E51&gt;0,OFFSET(QCI!$N$13,SUBSTITUTE(E51,".",""),0),OFFSET(ORÇAMENTO!$AB$15,CRONO!$E50,0))/$R50))</f>
        <v>1</v>
      </c>
      <c r="D50" s="241">
        <f ca="1">IF(AND($Q50=2,ACOMPANHAMENTO="BM"),D51,D52/$R50)</f>
        <v>0</v>
      </c>
      <c r="E50" s="238">
        <f ca="1">IF(A50&lt;=ORÇAMENTO.MáximoListaCrono,MATCH(A50,ORÇAMENTO.ListaCrono,0),NA())</f>
        <v>286</v>
      </c>
      <c r="F50" s="238" t="str">
        <f ca="1">IF(AND($E51&lt;&gt;-1,$R50&gt;0),"F","")</f>
        <v/>
      </c>
      <c r="G50" s="242" t="str">
        <f ca="1">IF(OR(R50=0,R50=""),"Linha",IF(AND(OR(ACOMPANHAMENTO="PLE",$Q50&lt;&gt;2),$E51=0),"Linha",1-SUM(T50:AR50)))</f>
        <v>Linha</v>
      </c>
      <c r="H50" s="243" t="str">
        <f ca="1">IF($E51=0,OFFSET(ORÇAMENTO!O$15,$E50,0),IF($E51&lt;&gt;-1,OFFSET(QCI!$D$13,$E51,0),""))</f>
        <v>1.12.</v>
      </c>
      <c r="I50" s="244" t="str">
        <f ca="1">IF($E51=0,OFFSET(ORÇAMENTO!R$15,$E50,0),IF($E51&lt;&gt;-1,OFFSET(QCI!$G$13,$E51,0),""))</f>
        <v xml:space="preserve">INSTALAÇÃO HIDRÁULICA </v>
      </c>
      <c r="J50" s="244"/>
      <c r="K50" s="244"/>
      <c r="L50" s="245">
        <f ca="1">IF($E51=0,OFFSET(ORÇAMENTO!C$15,$E50,0),1)</f>
        <v>2</v>
      </c>
      <c r="M50" s="246">
        <f ca="1">IF($E51=-1,0,IF(M$13&lt;=$L50,IF(ISERROR(MATCH(M$13,OFFSET($L50,1,0,ROW($L$98)-ROW($L50)-1),0)),ROW($L$98)-ROW($L50)-1,MATCH(M$13,OFFSET($L50,1,0,ROW($L$98)-ROW($L50)-1),0)-1),0))</f>
        <v>38</v>
      </c>
      <c r="N50" s="246">
        <f ca="1">IF($E51=-1,0,IF(N$13&lt;=$L50,IF(ISERROR(MATCH(N$13,OFFSET($L50,1,0,ROW($L$98)-ROW($L50)-1),0)),ROW($L$98)-ROW($L50)-1,MATCH(N$13,OFFSET($L50,1,0,ROW($L$98)-ROW($L50)-1),0)-1),0))</f>
        <v>2</v>
      </c>
      <c r="O50" s="246">
        <f ca="1">IF($E51=-1,0,IF(O$13&lt;=$L50,IF(ISERROR(MATCH(O$13,OFFSET($L50,1,0,ROW($L$98)-ROW($L50)-1),0)),ROW($L$98)-ROW($L50)-1,MATCH(O$13,OFFSET($L50,1,0,ROW($L$98)-ROW($L50)-1),0)-1),0))</f>
        <v>0</v>
      </c>
      <c r="P50" s="246">
        <f ca="1">IF($E51=-1,0,IF(P$13&lt;=$L50,IF(ISERROR(MATCH(P$13,OFFSET($L50,1,0,ROW($L$98)-ROW($L50)-1),0)),ROW($L$98)-ROW($L50)-1,MATCH(P$13,OFFSET($L50,1,0,ROW($L$98)-ROW($L50)-1),0)-1),0))</f>
        <v>0</v>
      </c>
      <c r="Q50" s="246">
        <f ca="1">MIN(OFFSET(L50,0,1,,L50))</f>
        <v>2</v>
      </c>
      <c r="R50" s="247">
        <f ca="1">IF($E51=0,OFFSET(ORÇAMENTO!X$15,$E50,0),IF($E51&lt;&gt;-1,OFFSET(QCI!$O$13,$E51,0),""))</f>
        <v>0</v>
      </c>
      <c r="S50" s="248" t="s">
        <v>272</v>
      </c>
      <c r="T50" s="249">
        <f t="shared" ref="T50:AQ50" ca="1" si="16">IF(AND($Q50=2,ACOMPANHAMENTO="BM"),T51,T52/$R50)</f>
        <v>0</v>
      </c>
      <c r="U50" s="241">
        <f t="shared" ca="1" si="16"/>
        <v>0</v>
      </c>
      <c r="V50" s="241">
        <f t="shared" ca="1" si="16"/>
        <v>0</v>
      </c>
      <c r="W50" s="241">
        <f t="shared" ca="1" si="16"/>
        <v>0</v>
      </c>
      <c r="X50" s="241">
        <f t="shared" ca="1" si="16"/>
        <v>0</v>
      </c>
      <c r="Y50" s="241">
        <f t="shared" ca="1" si="16"/>
        <v>0</v>
      </c>
      <c r="Z50" s="241">
        <f t="shared" ca="1" si="16"/>
        <v>0</v>
      </c>
      <c r="AA50" s="241">
        <f t="shared" ca="1" si="16"/>
        <v>0.1</v>
      </c>
      <c r="AB50" s="241">
        <f t="shared" ca="1" si="16"/>
        <v>0.2</v>
      </c>
      <c r="AC50" s="241">
        <f t="shared" ca="1" si="16"/>
        <v>0.3</v>
      </c>
      <c r="AD50" s="241">
        <f t="shared" ca="1" si="16"/>
        <v>0.2</v>
      </c>
      <c r="AE50" s="250">
        <f t="shared" ca="1" si="16"/>
        <v>0.1</v>
      </c>
      <c r="AF50" s="249">
        <f t="shared" ca="1" si="16"/>
        <v>0.1</v>
      </c>
      <c r="AG50" s="241">
        <f t="shared" ca="1" si="16"/>
        <v>0</v>
      </c>
      <c r="AH50" s="241">
        <f t="shared" ca="1" si="16"/>
        <v>0</v>
      </c>
      <c r="AI50" s="241">
        <f t="shared" ca="1" si="16"/>
        <v>0</v>
      </c>
      <c r="AJ50" s="241">
        <f t="shared" ca="1" si="16"/>
        <v>0</v>
      </c>
      <c r="AK50" s="241">
        <f t="shared" ca="1" si="16"/>
        <v>0</v>
      </c>
      <c r="AL50" s="241">
        <f t="shared" ca="1" si="16"/>
        <v>0</v>
      </c>
      <c r="AM50" s="241">
        <f t="shared" ca="1" si="16"/>
        <v>0</v>
      </c>
      <c r="AN50" s="241">
        <f t="shared" ca="1" si="16"/>
        <v>0</v>
      </c>
      <c r="AO50" s="241">
        <f t="shared" ca="1" si="16"/>
        <v>0</v>
      </c>
      <c r="AP50" s="241">
        <f t="shared" ca="1" si="16"/>
        <v>0</v>
      </c>
      <c r="AQ50" s="250">
        <f t="shared" ca="1" si="16"/>
        <v>0</v>
      </c>
    </row>
    <row r="51" spans="1:44" ht="12.75" customHeight="1" x14ac:dyDescent="0.25">
      <c r="D51" s="658"/>
      <c r="E51" s="238">
        <f ca="1">IF(ISERROR(E50),IF(1+COUNTIF($L$13:OFFSET(L50,-1,0),1)&lt;=MAX(QCI!$D$13:$D$24),1+COUNTIF($L$13:OFFSET(L50,-1,0),1),-1),0)</f>
        <v>0</v>
      </c>
      <c r="F51" s="238" t="str">
        <f ca="1">IF(AND($E51&lt;&gt;-1,$R50&gt;0),"F","")</f>
        <v/>
      </c>
      <c r="G51" s="251" t="str">
        <f ca="1">IF(OR(R50=0,R50=""),"vazia",IF(AND(OR(ACOMPANHAMENTO="PLE",$Q50&lt;&gt;2),$E51=0),"calculada","--&gt;"))</f>
        <v>vazia</v>
      </c>
      <c r="H51" s="252"/>
      <c r="I51" s="253" t="str">
        <f ca="1">IF(AND(G50&lt;&gt;0,ISNUMBER(G50)),"PREENCHA ESTA LINHA --&gt;","")</f>
        <v/>
      </c>
      <c r="J51" s="253"/>
      <c r="K51" s="253"/>
      <c r="L51" s="254"/>
      <c r="M51" s="254"/>
      <c r="N51" s="254"/>
      <c r="O51" s="254"/>
      <c r="P51" s="254"/>
      <c r="Q51" s="254"/>
      <c r="R51" s="255"/>
      <c r="S51" s="256"/>
      <c r="T51" s="659"/>
      <c r="U51" s="658"/>
      <c r="V51" s="658"/>
      <c r="W51" s="658"/>
      <c r="X51" s="658"/>
      <c r="Y51" s="658"/>
      <c r="Z51" s="658"/>
      <c r="AA51" s="658">
        <v>0.1</v>
      </c>
      <c r="AB51" s="658">
        <v>0.2</v>
      </c>
      <c r="AC51" s="658">
        <v>0.3</v>
      </c>
      <c r="AD51" s="658">
        <v>0.2</v>
      </c>
      <c r="AE51" s="660">
        <v>0.1</v>
      </c>
      <c r="AF51" s="659">
        <v>0.1</v>
      </c>
      <c r="AG51" s="658"/>
      <c r="AH51" s="658"/>
      <c r="AI51" s="658"/>
      <c r="AJ51" s="658"/>
      <c r="AK51" s="658"/>
      <c r="AL51" s="658"/>
      <c r="AM51" s="658"/>
      <c r="AN51" s="658"/>
      <c r="AO51" s="658"/>
      <c r="AP51" s="658"/>
      <c r="AQ51" s="660"/>
      <c r="AR51" s="618"/>
    </row>
    <row r="52" spans="1:44" ht="0.15" hidden="1" customHeight="1" x14ac:dyDescent="0.25">
      <c r="D52" s="257">
        <f ca="1">IF($Q50=2,IF(AND(ACOMPANHAMENTO="PLE",ISNUMBER($E50)),SUMIF((OFFSET(CÁLCULO!$BC$15:$BU$15,$E50,0,OFFSET(ORÇAMENTO!$D$15,CRONO!$E50,0))),"="&amp;CRONO!D$12,OFFSET(CÁLCULO!$AJ$15:$BB$15,$E50,0,OFFSET(ORÇAMENTO!$D$15,CRONO!$E50,0)))+IF(AND($E52&lt;&gt;"",$E52&lt;&gt;0),SUMIF(CÁLCULO!$BC$15:$BU$710,"="&amp;CRONO!D$12,CÁLCULO!$AJ$15:$BB$710)/(ORÇAMENTO!$X$15-CÁLCULO.TotalAdmLocal)*CRONO!$E52,0),D51*$R50),SUMIF(OFFSET($R52,1,0,$Q50-2),($L50+1)&amp;"$",OFFSET(D52,1,0,$Q50-2)))</f>
        <v>0</v>
      </c>
      <c r="E52" s="238">
        <f ca="1">IF(OR($Q50&lt;&gt;2,AUTOEVENTO&lt;&gt;"manual",$E51&gt;0),"",SUMIF(OFFSET(CÁLCULO!$M$15,CRONO!$E50,0,OFFSET(ORÇAMENTO!$D$15,CRONO!$E50,0)),1,OFFSET(ORÇAMENTO!$X$15,CRONO!$E50,0,OFFSET(ORÇAMENTO!$D$15,CRONO!$E50,0))))</f>
        <v>0</v>
      </c>
      <c r="G52" s="258"/>
      <c r="R52" s="259" t="str">
        <f ca="1">L50&amp;"$"</f>
        <v>2$</v>
      </c>
      <c r="S52" s="260"/>
      <c r="T52" s="261">
        <f ca="1">IF($Q50=2,IF(AND(ACOMPANHAMENTO="PLE",ISNUMBER($E50)),SUMIF((OFFSET(CÁLCULO!$BC$15:$BU$15,$E50,0,OFFSET(ORÇAMENTO!$D$15,CRONO!$E50,0))),"&lt;="&amp;CRONO!T$12,OFFSET(CÁLCULO!$AJ$15:$BB$15,$E50,0,OFFSET(ORÇAMENTO!$D$15,CRONO!$E50,0)))+IF(AND($E52&lt;&gt;"",$E52&lt;&gt;0),SUMIF(CÁLCULO!$BC$15:$BU$710,"&lt;="&amp;CRONO!T$12,CÁLCULO!$AJ$15:$BB$710)/(ORÇAMENTO!$X$15-CÁLCULO.TotalAdmLocal)*CRONO!$E52,0),T51*$R50),SUMIF(OFFSET($R52,1,0,$Q50-2),($L50+1)&amp;"$",OFFSET(T52,1,0,$Q50-2)))</f>
        <v>0</v>
      </c>
      <c r="U52" s="257">
        <f ca="1">IF($Q50=2,IF(AND(ACOMPANHAMENTO="PLE",ISNUMBER($E50)),SUMIF((OFFSET(CÁLCULO!$BC$15:$BU$15,$E50,0,OFFSET(ORÇAMENTO!$D$15,CRONO!$E50,0))),"="&amp;CRONO!U$12,OFFSET(CÁLCULO!$AJ$15:$BB$15,$E50,0,OFFSET(ORÇAMENTO!$D$15,CRONO!$E50,0)))+IF(AND($E52&lt;&gt;"",$E52&lt;&gt;0),SUMIF(CÁLCULO!$BC$15:$BU$710,"="&amp;CRONO!U$12,CÁLCULO!$AJ$15:$BB$710)/(ORÇAMENTO!$X$15-CÁLCULO.TotalAdmLocal)*CRONO!$E52,0),U51*$R50),SUMIF(OFFSET($R52,1,0,$Q50-2),($L50+1)&amp;"$",OFFSET(U52,1,0,$Q50-2)))</f>
        <v>0</v>
      </c>
      <c r="V52" s="257">
        <f ca="1">IF($Q50=2,IF(AND(ACOMPANHAMENTO="PLE",ISNUMBER($E50)),SUMIF((OFFSET(CÁLCULO!$BC$15:$BU$15,$E50,0,OFFSET(ORÇAMENTO!$D$15,CRONO!$E50,0))),"="&amp;CRONO!V$12,OFFSET(CÁLCULO!$AJ$15:$BB$15,$E50,0,OFFSET(ORÇAMENTO!$D$15,CRONO!$E50,0)))+IF(AND($E52&lt;&gt;"",$E52&lt;&gt;0),SUMIF(CÁLCULO!$BC$15:$BU$710,"="&amp;CRONO!V$12,CÁLCULO!$AJ$15:$BB$710)/(ORÇAMENTO!$X$15-CÁLCULO.TotalAdmLocal)*CRONO!$E52,0),V51*$R50),SUMIF(OFFSET($R52,1,0,$Q50-2),($L50+1)&amp;"$",OFFSET(V52,1,0,$Q50-2)))</f>
        <v>0</v>
      </c>
      <c r="W52" s="257">
        <f ca="1">IF($Q50=2,IF(AND(ACOMPANHAMENTO="PLE",ISNUMBER($E50)),SUMIF((OFFSET(CÁLCULO!$BC$15:$BU$15,$E50,0,OFFSET(ORÇAMENTO!$D$15,CRONO!$E50,0))),"="&amp;CRONO!W$12,OFFSET(CÁLCULO!$AJ$15:$BB$15,$E50,0,OFFSET(ORÇAMENTO!$D$15,CRONO!$E50,0)))+IF(AND($E52&lt;&gt;"",$E52&lt;&gt;0),SUMIF(CÁLCULO!$BC$15:$BU$710,"="&amp;CRONO!W$12,CÁLCULO!$AJ$15:$BB$710)/(ORÇAMENTO!$X$15-CÁLCULO.TotalAdmLocal)*CRONO!$E52,0),W51*$R50),SUMIF(OFFSET($R52,1,0,$Q50-2),($L50+1)&amp;"$",OFFSET(W52,1,0,$Q50-2)))</f>
        <v>0</v>
      </c>
      <c r="X52" s="257">
        <f ca="1">IF($Q50=2,IF(AND(ACOMPANHAMENTO="PLE",ISNUMBER($E50)),SUMIF((OFFSET(CÁLCULO!$BC$15:$BU$15,$E50,0,OFFSET(ORÇAMENTO!$D$15,CRONO!$E50,0))),"="&amp;CRONO!X$12,OFFSET(CÁLCULO!$AJ$15:$BB$15,$E50,0,OFFSET(ORÇAMENTO!$D$15,CRONO!$E50,0)))+IF(AND($E52&lt;&gt;"",$E52&lt;&gt;0),SUMIF(CÁLCULO!$BC$15:$BU$710,"="&amp;CRONO!X$12,CÁLCULO!$AJ$15:$BB$710)/(ORÇAMENTO!$X$15-CÁLCULO.TotalAdmLocal)*CRONO!$E52,0),X51*$R50),SUMIF(OFFSET($R52,1,0,$Q50-2),($L50+1)&amp;"$",OFFSET(X52,1,0,$Q50-2)))</f>
        <v>0</v>
      </c>
      <c r="Y52" s="257">
        <f ca="1">IF($Q50=2,IF(AND(ACOMPANHAMENTO="PLE",ISNUMBER($E50)),SUMIF((OFFSET(CÁLCULO!$BC$15:$BU$15,$E50,0,OFFSET(ORÇAMENTO!$D$15,CRONO!$E50,0))),"="&amp;CRONO!Y$12,OFFSET(CÁLCULO!$AJ$15:$BB$15,$E50,0,OFFSET(ORÇAMENTO!$D$15,CRONO!$E50,0)))+IF(AND($E52&lt;&gt;"",$E52&lt;&gt;0),SUMIF(CÁLCULO!$BC$15:$BU$710,"="&amp;CRONO!Y$12,CÁLCULO!$AJ$15:$BB$710)/(ORÇAMENTO!$X$15-CÁLCULO.TotalAdmLocal)*CRONO!$E52,0),Y51*$R50),SUMIF(OFFSET($R52,1,0,$Q50-2),($L50+1)&amp;"$",OFFSET(Y52,1,0,$Q50-2)))</f>
        <v>0</v>
      </c>
      <c r="Z52" s="257">
        <f ca="1">IF($Q50=2,IF(AND(ACOMPANHAMENTO="PLE",ISNUMBER($E50)),SUMIF((OFFSET(CÁLCULO!$BC$15:$BU$15,$E50,0,OFFSET(ORÇAMENTO!$D$15,CRONO!$E50,0))),"="&amp;CRONO!Z$12,OFFSET(CÁLCULO!$AJ$15:$BB$15,$E50,0,OFFSET(ORÇAMENTO!$D$15,CRONO!$E50,0)))+IF(AND($E52&lt;&gt;"",$E52&lt;&gt;0),SUMIF(CÁLCULO!$BC$15:$BU$710,"="&amp;CRONO!Z$12,CÁLCULO!$AJ$15:$BB$710)/(ORÇAMENTO!$X$15-CÁLCULO.TotalAdmLocal)*CRONO!$E52,0),Z51*$R50),SUMIF(OFFSET($R52,1,0,$Q50-2),($L50+1)&amp;"$",OFFSET(Z52,1,0,$Q50-2)))</f>
        <v>0</v>
      </c>
      <c r="AA52" s="257">
        <f ca="1">IF($Q50=2,IF(AND(ACOMPANHAMENTO="PLE",ISNUMBER($E50)),SUMIF((OFFSET(CÁLCULO!$BC$15:$BU$15,$E50,0,OFFSET(ORÇAMENTO!$D$15,CRONO!$E50,0))),"="&amp;CRONO!AA$12,OFFSET(CÁLCULO!$AJ$15:$BB$15,$E50,0,OFFSET(ORÇAMENTO!$D$15,CRONO!$E50,0)))+IF(AND($E52&lt;&gt;"",$E52&lt;&gt;0),SUMIF(CÁLCULO!$BC$15:$BU$710,"="&amp;CRONO!AA$12,CÁLCULO!$AJ$15:$BB$710)/(ORÇAMENTO!$X$15-CÁLCULO.TotalAdmLocal)*CRONO!$E52,0),AA51*$R50),SUMIF(OFFSET($R52,1,0,$Q50-2),($L50+1)&amp;"$",OFFSET(AA52,1,0,$Q50-2)))</f>
        <v>0</v>
      </c>
      <c r="AB52" s="257">
        <f ca="1">IF($Q50=2,IF(AND(ACOMPANHAMENTO="PLE",ISNUMBER($E50)),SUMIF((OFFSET(CÁLCULO!$BC$15:$BU$15,$E50,0,OFFSET(ORÇAMENTO!$D$15,CRONO!$E50,0))),"="&amp;CRONO!AB$12,OFFSET(CÁLCULO!$AJ$15:$BB$15,$E50,0,OFFSET(ORÇAMENTO!$D$15,CRONO!$E50,0)))+IF(AND($E52&lt;&gt;"",$E52&lt;&gt;0),SUMIF(CÁLCULO!$BC$15:$BU$710,"="&amp;CRONO!AB$12,CÁLCULO!$AJ$15:$BB$710)/(ORÇAMENTO!$X$15-CÁLCULO.TotalAdmLocal)*CRONO!$E52,0),AB51*$R50),SUMIF(OFFSET($R52,1,0,$Q50-2),($L50+1)&amp;"$",OFFSET(AB52,1,0,$Q50-2)))</f>
        <v>0</v>
      </c>
      <c r="AC52" s="257">
        <f ca="1">IF($Q50=2,IF(AND(ACOMPANHAMENTO="PLE",ISNUMBER($E50)),SUMIF((OFFSET(CÁLCULO!$BC$15:$BU$15,$E50,0,OFFSET(ORÇAMENTO!$D$15,CRONO!$E50,0))),"="&amp;CRONO!AC$12,OFFSET(CÁLCULO!$AJ$15:$BB$15,$E50,0,OFFSET(ORÇAMENTO!$D$15,CRONO!$E50,0)))+IF(AND($E52&lt;&gt;"",$E52&lt;&gt;0),SUMIF(CÁLCULO!$BC$15:$BU$710,"="&amp;CRONO!AC$12,CÁLCULO!$AJ$15:$BB$710)/(ORÇAMENTO!$X$15-CÁLCULO.TotalAdmLocal)*CRONO!$E52,0),AC51*$R50),SUMIF(OFFSET($R52,1,0,$Q50-2),($L50+1)&amp;"$",OFFSET(AC52,1,0,$Q50-2)))</f>
        <v>0</v>
      </c>
      <c r="AD52" s="257">
        <f ca="1">IF($Q50=2,IF(AND(ACOMPANHAMENTO="PLE",ISNUMBER($E50)),SUMIF((OFFSET(CÁLCULO!$BC$15:$BU$15,$E50,0,OFFSET(ORÇAMENTO!$D$15,CRONO!$E50,0))),"="&amp;CRONO!AD$12,OFFSET(CÁLCULO!$AJ$15:$BB$15,$E50,0,OFFSET(ORÇAMENTO!$D$15,CRONO!$E50,0)))+IF(AND($E52&lt;&gt;"",$E52&lt;&gt;0),SUMIF(CÁLCULO!$BC$15:$BU$710,"="&amp;CRONO!AD$12,CÁLCULO!$AJ$15:$BB$710)/(ORÇAMENTO!$X$15-CÁLCULO.TotalAdmLocal)*CRONO!$E52,0),AD51*$R50),SUMIF(OFFSET($R52,1,0,$Q50-2),($L50+1)&amp;"$",OFFSET(AD52,1,0,$Q50-2)))</f>
        <v>0</v>
      </c>
      <c r="AE52" s="262">
        <f ca="1">IF($Q50=2,IF(AND(ACOMPANHAMENTO="PLE",ISNUMBER($E50)),SUMIF((OFFSET(CÁLCULO!$BC$15:$BU$15,$E50,0,OFFSET(ORÇAMENTO!$D$15,CRONO!$E50,0))),"="&amp;CRONO!AE$12,OFFSET(CÁLCULO!$AJ$15:$BB$15,$E50,0,OFFSET(ORÇAMENTO!$D$15,CRONO!$E50,0)))+IF(AND($E52&lt;&gt;"",$E52&lt;&gt;0),SUMIF(CÁLCULO!$BC$15:$BU$710,"="&amp;CRONO!AE$12,CÁLCULO!$AJ$15:$BB$710)/(ORÇAMENTO!$X$15-CÁLCULO.TotalAdmLocal)*CRONO!$E52,0),AE51*$R50),SUMIF(OFFSET($R52,1,0,$Q50-2),($L50+1)&amp;"$",OFFSET(AE52,1,0,$Q50-2)))</f>
        <v>0</v>
      </c>
      <c r="AF52" s="261">
        <f ca="1">IF($Q50=2,IF(AND(ACOMPANHAMENTO="PLE",ISNUMBER($E50)),SUMIF((OFFSET(CÁLCULO!$BC$15:$BU$15,$E50,0,OFFSET(ORÇAMENTO!$D$15,CRONO!$E50,0))),"="&amp;CRONO!AF$12,OFFSET(CÁLCULO!$AJ$15:$BB$15,$E50,0,OFFSET(ORÇAMENTO!$D$15,CRONO!$E50,0)))+IF(AND($E52&lt;&gt;"",$E52&lt;&gt;0),SUMIF(CÁLCULO!$BC$15:$BU$710,"="&amp;CRONO!AF$12,CÁLCULO!$AJ$15:$BB$710)/(ORÇAMENTO!$X$15-CÁLCULO.TotalAdmLocal)*CRONO!$E52,0),AF51*$R50),SUMIF(OFFSET($R52,1,0,$Q50-2),($L50+1)&amp;"$",OFFSET(AF52,1,0,$Q50-2)))</f>
        <v>0</v>
      </c>
      <c r="AG52" s="257">
        <f ca="1">IF($Q50=2,IF(AND(ACOMPANHAMENTO="PLE",ISNUMBER($E50)),SUMIF((OFFSET(CÁLCULO!$BC$15:$BU$15,$E50,0,OFFSET(ORÇAMENTO!$D$15,CRONO!$E50,0))),"="&amp;CRONO!AG$12,OFFSET(CÁLCULO!$AJ$15:$BB$15,$E50,0,OFFSET(ORÇAMENTO!$D$15,CRONO!$E50,0)))+IF(AND($E52&lt;&gt;"",$E52&lt;&gt;0),SUMIF(CÁLCULO!$BC$15:$BU$710,"="&amp;CRONO!AG$12,CÁLCULO!$AJ$15:$BB$710)/(ORÇAMENTO!$X$15-CÁLCULO.TotalAdmLocal)*CRONO!$E52,0),AG51*$R50),SUMIF(OFFSET($R52,1,0,$Q50-2),($L50+1)&amp;"$",OFFSET(AG52,1,0,$Q50-2)))</f>
        <v>0</v>
      </c>
      <c r="AH52" s="257">
        <f ca="1">IF($Q50=2,IF(AND(ACOMPANHAMENTO="PLE",ISNUMBER($E50)),SUMIF((OFFSET(CÁLCULO!$BC$15:$BU$15,$E50,0,OFFSET(ORÇAMENTO!$D$15,CRONO!$E50,0))),"="&amp;CRONO!AH$12,OFFSET(CÁLCULO!$AJ$15:$BB$15,$E50,0,OFFSET(ORÇAMENTO!$D$15,CRONO!$E50,0)))+IF(AND($E52&lt;&gt;"",$E52&lt;&gt;0),SUMIF(CÁLCULO!$BC$15:$BU$710,"="&amp;CRONO!AH$12,CÁLCULO!$AJ$15:$BB$710)/(ORÇAMENTO!$X$15-CÁLCULO.TotalAdmLocal)*CRONO!$E52,0),AH51*$R50),SUMIF(OFFSET($R52,1,0,$Q50-2),($L50+1)&amp;"$",OFFSET(AH52,1,0,$Q50-2)))</f>
        <v>0</v>
      </c>
      <c r="AI52" s="257">
        <f ca="1">IF($Q50=2,IF(AND(ACOMPANHAMENTO="PLE",ISNUMBER($E50)),SUMIF((OFFSET(CÁLCULO!$BC$15:$BU$15,$E50,0,OFFSET(ORÇAMENTO!$D$15,CRONO!$E50,0))),"="&amp;CRONO!AI$12,OFFSET(CÁLCULO!$AJ$15:$BB$15,$E50,0,OFFSET(ORÇAMENTO!$D$15,CRONO!$E50,0)))+IF(AND($E52&lt;&gt;"",$E52&lt;&gt;0),SUMIF(CÁLCULO!$BC$15:$BU$710,"="&amp;CRONO!AI$12,CÁLCULO!$AJ$15:$BB$710)/(ORÇAMENTO!$X$15-CÁLCULO.TotalAdmLocal)*CRONO!$E52,0),AI51*$R50),SUMIF(OFFSET($R52,1,0,$Q50-2),($L50+1)&amp;"$",OFFSET(AI52,1,0,$Q50-2)))</f>
        <v>0</v>
      </c>
      <c r="AJ52" s="257">
        <f ca="1">IF($Q50=2,IF(AND(ACOMPANHAMENTO="PLE",ISNUMBER($E50)),SUMIF((OFFSET(CÁLCULO!$BC$15:$BU$15,$E50,0,OFFSET(ORÇAMENTO!$D$15,CRONO!$E50,0))),"="&amp;CRONO!AJ$12,OFFSET(CÁLCULO!$AJ$15:$BB$15,$E50,0,OFFSET(ORÇAMENTO!$D$15,CRONO!$E50,0)))+IF(AND($E52&lt;&gt;"",$E52&lt;&gt;0),SUMIF(CÁLCULO!$BC$15:$BU$710,"="&amp;CRONO!AJ$12,CÁLCULO!$AJ$15:$BB$710)/(ORÇAMENTO!$X$15-CÁLCULO.TotalAdmLocal)*CRONO!$E52,0),AJ51*$R50),SUMIF(OFFSET($R52,1,0,$Q50-2),($L50+1)&amp;"$",OFFSET(AJ52,1,0,$Q50-2)))</f>
        <v>0</v>
      </c>
      <c r="AK52" s="257">
        <f ca="1">IF($Q50=2,IF(AND(ACOMPANHAMENTO="PLE",ISNUMBER($E50)),SUMIF((OFFSET(CÁLCULO!$BC$15:$BU$15,$E50,0,OFFSET(ORÇAMENTO!$D$15,CRONO!$E50,0))),"="&amp;CRONO!AK$12,OFFSET(CÁLCULO!$AJ$15:$BB$15,$E50,0,OFFSET(ORÇAMENTO!$D$15,CRONO!$E50,0)))+IF(AND($E52&lt;&gt;"",$E52&lt;&gt;0),SUMIF(CÁLCULO!$BC$15:$BU$710,"="&amp;CRONO!AK$12,CÁLCULO!$AJ$15:$BB$710)/(ORÇAMENTO!$X$15-CÁLCULO.TotalAdmLocal)*CRONO!$E52,0),AK51*$R50),SUMIF(OFFSET($R52,1,0,$Q50-2),($L50+1)&amp;"$",OFFSET(AK52,1,0,$Q50-2)))</f>
        <v>0</v>
      </c>
      <c r="AL52" s="257">
        <f ca="1">IF($Q50=2,IF(AND(ACOMPANHAMENTO="PLE",ISNUMBER($E50)),SUMIF((OFFSET(CÁLCULO!$BC$15:$BU$15,$E50,0,OFFSET(ORÇAMENTO!$D$15,CRONO!$E50,0))),"="&amp;CRONO!AL$12,OFFSET(CÁLCULO!$AJ$15:$BB$15,$E50,0,OFFSET(ORÇAMENTO!$D$15,CRONO!$E50,0)))+IF(AND($E52&lt;&gt;"",$E52&lt;&gt;0),SUMIF(CÁLCULO!$BC$15:$BU$710,"="&amp;CRONO!AL$12,CÁLCULO!$AJ$15:$BB$710)/(ORÇAMENTO!$X$15-CÁLCULO.TotalAdmLocal)*CRONO!$E52,0),AL51*$R50),SUMIF(OFFSET($R52,1,0,$Q50-2),($L50+1)&amp;"$",OFFSET(AL52,1,0,$Q50-2)))</f>
        <v>0</v>
      </c>
      <c r="AM52" s="257">
        <f ca="1">IF($Q50=2,IF(AND(ACOMPANHAMENTO="PLE",ISNUMBER($E50)),SUMIF((OFFSET(CÁLCULO!$BC$15:$BU$15,$E50,0,OFFSET(ORÇAMENTO!$D$15,CRONO!$E50,0))),"="&amp;CRONO!AM$12,OFFSET(CÁLCULO!$AJ$15:$BB$15,$E50,0,OFFSET(ORÇAMENTO!$D$15,CRONO!$E50,0)))+IF(AND($E52&lt;&gt;"",$E52&lt;&gt;0),SUMIF(CÁLCULO!$BC$15:$BU$710,"="&amp;CRONO!AM$12,CÁLCULO!$AJ$15:$BB$710)/(ORÇAMENTO!$X$15-CÁLCULO.TotalAdmLocal)*CRONO!$E52,0),AM51*$R50),SUMIF(OFFSET($R52,1,0,$Q50-2),($L50+1)&amp;"$",OFFSET(AM52,1,0,$Q50-2)))</f>
        <v>0</v>
      </c>
      <c r="AN52" s="257">
        <f ca="1">IF($Q50=2,IF(AND(ACOMPANHAMENTO="PLE",ISNUMBER($E50)),SUMIF((OFFSET(CÁLCULO!$BC$15:$BU$15,$E50,0,OFFSET(ORÇAMENTO!$D$15,CRONO!$E50,0))),"="&amp;CRONO!AN$12,OFFSET(CÁLCULO!$AJ$15:$BB$15,$E50,0,OFFSET(ORÇAMENTO!$D$15,CRONO!$E50,0)))+IF(AND($E52&lt;&gt;"",$E52&lt;&gt;0),SUMIF(CÁLCULO!$BC$15:$BU$710,"="&amp;CRONO!AN$12,CÁLCULO!$AJ$15:$BB$710)/(ORÇAMENTO!$X$15-CÁLCULO.TotalAdmLocal)*CRONO!$E52,0),AN51*$R50),SUMIF(OFFSET($R52,1,0,$Q50-2),($L50+1)&amp;"$",OFFSET(AN52,1,0,$Q50-2)))</f>
        <v>0</v>
      </c>
      <c r="AO52" s="257">
        <f ca="1">IF($Q50=2,IF(AND(ACOMPANHAMENTO="PLE",ISNUMBER($E50)),SUMIF((OFFSET(CÁLCULO!$BC$15:$BU$15,$E50,0,OFFSET(ORÇAMENTO!$D$15,CRONO!$E50,0))),"="&amp;CRONO!AO$12,OFFSET(CÁLCULO!$AJ$15:$BB$15,$E50,0,OFFSET(ORÇAMENTO!$D$15,CRONO!$E50,0)))+IF(AND($E52&lt;&gt;"",$E52&lt;&gt;0),SUMIF(CÁLCULO!$BC$15:$BU$710,"="&amp;CRONO!AO$12,CÁLCULO!$AJ$15:$BB$710)/(ORÇAMENTO!$X$15-CÁLCULO.TotalAdmLocal)*CRONO!$E52,0),AO51*$R50),SUMIF(OFFSET($R52,1,0,$Q50-2),($L50+1)&amp;"$",OFFSET(AO52,1,0,$Q50-2)))</f>
        <v>0</v>
      </c>
      <c r="AP52" s="257">
        <f ca="1">IF($Q50=2,IF(AND(ACOMPANHAMENTO="PLE",ISNUMBER($E50)),SUMIF((OFFSET(CÁLCULO!$BC$15:$BU$15,$E50,0,OFFSET(ORÇAMENTO!$D$15,CRONO!$E50,0))),"="&amp;CRONO!AP$12,OFFSET(CÁLCULO!$AJ$15:$BB$15,$E50,0,OFFSET(ORÇAMENTO!$D$15,CRONO!$E50,0)))+IF(AND($E52&lt;&gt;"",$E52&lt;&gt;0),SUMIF(CÁLCULO!$BC$15:$BU$710,"="&amp;CRONO!AP$12,CÁLCULO!$AJ$15:$BB$710)/(ORÇAMENTO!$X$15-CÁLCULO.TotalAdmLocal)*CRONO!$E52,0),AP51*$R50),SUMIF(OFFSET($R52,1,0,$Q50-2),($L50+1)&amp;"$",OFFSET(AP52,1,0,$Q50-2)))</f>
        <v>0</v>
      </c>
      <c r="AQ52" s="262">
        <f ca="1">IF($Q50=2,IF(AND(ACOMPANHAMENTO="PLE",ISNUMBER($E50)),SUMIF((OFFSET(CÁLCULO!$BC$15:$BU$15,$E50,0,OFFSET(ORÇAMENTO!$D$15,CRONO!$E50,0))),"="&amp;CRONO!AQ$12,OFFSET(CÁLCULO!$AJ$15:$BB$15,$E50,0,OFFSET(ORÇAMENTO!$D$15,CRONO!$E50,0)))+IF(AND($E52&lt;&gt;"",$E52&lt;&gt;0),SUMIF(CÁLCULO!$BC$15:$BU$710,"="&amp;CRONO!AQ$12,CÁLCULO!$AJ$15:$BB$710)/(ORÇAMENTO!$X$15-CÁLCULO.TotalAdmLocal)*CRONO!$E52,0),AQ51*$R50),SUMIF(OFFSET($R52,1,0,$Q50-2),($L50+1)&amp;"$",OFFSET(AQ52,1,0,$Q50-2)))</f>
        <v>0</v>
      </c>
    </row>
    <row r="53" spans="1:44" x14ac:dyDescent="0.25">
      <c r="A53" s="238">
        <f ca="1">OFFSET(A53,-3,0)+1</f>
        <v>14</v>
      </c>
      <c r="B53" s="238">
        <f ca="1">IF($Q53&lt;&gt;2,0,IF($R53=0,1,IF(E54&gt;0,OFFSET(QCI!$M$13,SUBSTITUTE(E54,".",""),0),OFFSET(ORÇAMENTO!$AA$15,CRONO!$E53,0))/$R53))</f>
        <v>1</v>
      </c>
      <c r="C53" s="238">
        <f ca="1">IF($Q53&lt;&gt;2,0,IF($R53=0,1,IF(E54&gt;0,OFFSET(QCI!$N$13,SUBSTITUTE(E54,".",""),0),OFFSET(ORÇAMENTO!$AB$15,CRONO!$E53,0))/$R53))</f>
        <v>1</v>
      </c>
      <c r="D53" s="241">
        <f ca="1">IF(AND($Q53=2,ACOMPANHAMENTO="BM"),D54,D55/$R53)</f>
        <v>0</v>
      </c>
      <c r="E53" s="238">
        <f ca="1">IF(A53&lt;=ORÇAMENTO.MáximoListaCrono,MATCH(A53,ORÇAMENTO.ListaCrono,0),NA())</f>
        <v>356</v>
      </c>
      <c r="F53" s="238" t="str">
        <f ca="1">IF(AND($E54&lt;&gt;-1,$R53&gt;0),"F","")</f>
        <v/>
      </c>
      <c r="G53" s="242" t="str">
        <f ca="1">IF(OR(R53=0,R53=""),"Linha",IF(AND(OR(ACOMPANHAMENTO="PLE",$Q53&lt;&gt;2),$E54=0),"Linha",1-SUM(T53:AR53)))</f>
        <v>Linha</v>
      </c>
      <c r="H53" s="243" t="str">
        <f ca="1">IF($E54=0,OFFSET(ORÇAMENTO!O$15,$E53,0),IF($E54&lt;&gt;-1,OFFSET(QCI!$D$13,$E54,0),""))</f>
        <v>1.13.</v>
      </c>
      <c r="I53" s="244" t="str">
        <f ca="1">IF($E54=0,OFFSET(ORÇAMENTO!R$15,$E53,0),IF($E54&lt;&gt;-1,OFFSET(QCI!$G$13,$E54,0),""))</f>
        <v>DRENAGEM DE ÁGUAS PLUVIAIS</v>
      </c>
      <c r="J53" s="244"/>
      <c r="K53" s="244"/>
      <c r="L53" s="245">
        <f ca="1">IF($E54=0,OFFSET(ORÇAMENTO!C$15,$E53,0),1)</f>
        <v>2</v>
      </c>
      <c r="M53" s="246">
        <f ca="1">IF($E54=-1,0,IF(M$13&lt;=$L53,IF(ISERROR(MATCH(M$13,OFFSET($L53,1,0,ROW($L$98)-ROW($L53)-1),0)),ROW($L$98)-ROW($L53)-1,MATCH(M$13,OFFSET($L53,1,0,ROW($L$98)-ROW($L53)-1),0)-1),0))</f>
        <v>35</v>
      </c>
      <c r="N53" s="246">
        <f ca="1">IF($E54=-1,0,IF(N$13&lt;=$L53,IF(ISERROR(MATCH(N$13,OFFSET($L53,1,0,ROW($L$98)-ROW($L53)-1),0)),ROW($L$98)-ROW($L53)-1,MATCH(N$13,OFFSET($L53,1,0,ROW($L$98)-ROW($L53)-1),0)-1),0))</f>
        <v>2</v>
      </c>
      <c r="O53" s="246">
        <f ca="1">IF($E54=-1,0,IF(O$13&lt;=$L53,IF(ISERROR(MATCH(O$13,OFFSET($L53,1,0,ROW($L$98)-ROW($L53)-1),0)),ROW($L$98)-ROW($L53)-1,MATCH(O$13,OFFSET($L53,1,0,ROW($L$98)-ROW($L53)-1),0)-1),0))</f>
        <v>0</v>
      </c>
      <c r="P53" s="246">
        <f ca="1">IF($E54=-1,0,IF(P$13&lt;=$L53,IF(ISERROR(MATCH(P$13,OFFSET($L53,1,0,ROW($L$98)-ROW($L53)-1),0)),ROW($L$98)-ROW($L53)-1,MATCH(P$13,OFFSET($L53,1,0,ROW($L$98)-ROW($L53)-1),0)-1),0))</f>
        <v>0</v>
      </c>
      <c r="Q53" s="246">
        <f ca="1">MIN(OFFSET(L53,0,1,,L53))</f>
        <v>2</v>
      </c>
      <c r="R53" s="247">
        <f ca="1">IF($E54=0,OFFSET(ORÇAMENTO!X$15,$E53,0),IF($E54&lt;&gt;-1,OFFSET(QCI!$O$13,$E54,0),""))</f>
        <v>0</v>
      </c>
      <c r="S53" s="248" t="s">
        <v>272</v>
      </c>
      <c r="T53" s="249">
        <f t="shared" ref="T53:AQ53" ca="1" si="17">IF(AND($Q53=2,ACOMPANHAMENTO="BM"),T54,T55/$R53)</f>
        <v>0</v>
      </c>
      <c r="U53" s="241">
        <f t="shared" ca="1" si="17"/>
        <v>0</v>
      </c>
      <c r="V53" s="241">
        <f t="shared" ca="1" si="17"/>
        <v>0</v>
      </c>
      <c r="W53" s="241">
        <f t="shared" ca="1" si="17"/>
        <v>0</v>
      </c>
      <c r="X53" s="241">
        <f t="shared" ca="1" si="17"/>
        <v>0</v>
      </c>
      <c r="Y53" s="241">
        <f t="shared" ca="1" si="17"/>
        <v>0</v>
      </c>
      <c r="Z53" s="241">
        <f t="shared" ca="1" si="17"/>
        <v>0</v>
      </c>
      <c r="AA53" s="241">
        <f t="shared" ca="1" si="17"/>
        <v>0</v>
      </c>
      <c r="AB53" s="241">
        <f t="shared" ca="1" si="17"/>
        <v>0.2</v>
      </c>
      <c r="AC53" s="241">
        <f t="shared" ca="1" si="17"/>
        <v>0.2</v>
      </c>
      <c r="AD53" s="241">
        <f t="shared" ca="1" si="17"/>
        <v>0.3</v>
      </c>
      <c r="AE53" s="250">
        <f t="shared" ca="1" si="17"/>
        <v>0.25</v>
      </c>
      <c r="AF53" s="249">
        <f t="shared" ca="1" si="17"/>
        <v>0.05</v>
      </c>
      <c r="AG53" s="241">
        <f t="shared" ca="1" si="17"/>
        <v>0</v>
      </c>
      <c r="AH53" s="241">
        <f t="shared" ca="1" si="17"/>
        <v>0</v>
      </c>
      <c r="AI53" s="241">
        <f t="shared" ca="1" si="17"/>
        <v>0</v>
      </c>
      <c r="AJ53" s="241">
        <f t="shared" ca="1" si="17"/>
        <v>0</v>
      </c>
      <c r="AK53" s="241">
        <f t="shared" ca="1" si="17"/>
        <v>0</v>
      </c>
      <c r="AL53" s="241">
        <f t="shared" ca="1" si="17"/>
        <v>0</v>
      </c>
      <c r="AM53" s="241">
        <f t="shared" ca="1" si="17"/>
        <v>0</v>
      </c>
      <c r="AN53" s="241">
        <f t="shared" ca="1" si="17"/>
        <v>0</v>
      </c>
      <c r="AO53" s="241">
        <f t="shared" ca="1" si="17"/>
        <v>0</v>
      </c>
      <c r="AP53" s="241">
        <f t="shared" ca="1" si="17"/>
        <v>0</v>
      </c>
      <c r="AQ53" s="250">
        <f t="shared" ca="1" si="17"/>
        <v>0</v>
      </c>
    </row>
    <row r="54" spans="1:44" ht="12.75" customHeight="1" x14ac:dyDescent="0.25">
      <c r="D54" s="658"/>
      <c r="E54" s="238">
        <f ca="1">IF(ISERROR(E53),IF(1+COUNTIF($L$13:OFFSET(L53,-1,0),1)&lt;=MAX(QCI!$D$13:$D$24),1+COUNTIF($L$13:OFFSET(L53,-1,0),1),-1),0)</f>
        <v>0</v>
      </c>
      <c r="F54" s="238" t="str">
        <f ca="1">IF(AND($E54&lt;&gt;-1,$R53&gt;0),"F","")</f>
        <v/>
      </c>
      <c r="G54" s="251" t="str">
        <f ca="1">IF(OR(R53=0,R53=""),"vazia",IF(AND(OR(ACOMPANHAMENTO="PLE",$Q53&lt;&gt;2),$E54=0),"calculada","--&gt;"))</f>
        <v>vazia</v>
      </c>
      <c r="H54" s="252"/>
      <c r="I54" s="253" t="str">
        <f ca="1">IF(AND(G53&lt;&gt;0,ISNUMBER(G53)),"PREENCHA ESTA LINHA --&gt;","")</f>
        <v/>
      </c>
      <c r="J54" s="253"/>
      <c r="K54" s="253"/>
      <c r="L54" s="254"/>
      <c r="M54" s="254"/>
      <c r="N54" s="254"/>
      <c r="O54" s="254"/>
      <c r="P54" s="254"/>
      <c r="Q54" s="254"/>
      <c r="R54" s="255"/>
      <c r="S54" s="256"/>
      <c r="T54" s="659"/>
      <c r="U54" s="658"/>
      <c r="V54" s="658"/>
      <c r="W54" s="658"/>
      <c r="X54" s="658"/>
      <c r="Y54" s="658"/>
      <c r="Z54" s="658"/>
      <c r="AA54" s="658"/>
      <c r="AB54" s="658">
        <v>0.2</v>
      </c>
      <c r="AC54" s="658">
        <v>0.2</v>
      </c>
      <c r="AD54" s="658">
        <v>0.3</v>
      </c>
      <c r="AE54" s="660">
        <v>0.25</v>
      </c>
      <c r="AF54" s="659">
        <v>0.05</v>
      </c>
      <c r="AG54" s="658"/>
      <c r="AH54" s="658"/>
      <c r="AI54" s="658"/>
      <c r="AJ54" s="658"/>
      <c r="AK54" s="658"/>
      <c r="AL54" s="658"/>
      <c r="AM54" s="658"/>
      <c r="AN54" s="658"/>
      <c r="AO54" s="658"/>
      <c r="AP54" s="658"/>
      <c r="AQ54" s="660"/>
      <c r="AR54" s="618"/>
    </row>
    <row r="55" spans="1:44" ht="0.15" hidden="1" customHeight="1" x14ac:dyDescent="0.25">
      <c r="D55" s="257">
        <f ca="1">IF($Q53=2,IF(AND(ACOMPANHAMENTO="PLE",ISNUMBER($E53)),SUMIF((OFFSET(CÁLCULO!$BC$15:$BU$15,$E53,0,OFFSET(ORÇAMENTO!$D$15,CRONO!$E53,0))),"="&amp;CRONO!D$12,OFFSET(CÁLCULO!$AJ$15:$BB$15,$E53,0,OFFSET(ORÇAMENTO!$D$15,CRONO!$E53,0)))+IF(AND($E55&lt;&gt;"",$E55&lt;&gt;0),SUMIF(CÁLCULO!$BC$15:$BU$710,"="&amp;CRONO!D$12,CÁLCULO!$AJ$15:$BB$710)/(ORÇAMENTO!$X$15-CÁLCULO.TotalAdmLocal)*CRONO!$E55,0),D54*$R53),SUMIF(OFFSET($R55,1,0,$Q53-2),($L53+1)&amp;"$",OFFSET(D55,1,0,$Q53-2)))</f>
        <v>0</v>
      </c>
      <c r="E55" s="238">
        <f ca="1">IF(OR($Q53&lt;&gt;2,AUTOEVENTO&lt;&gt;"manual",$E54&gt;0),"",SUMIF(OFFSET(CÁLCULO!$M$15,CRONO!$E53,0,OFFSET(ORÇAMENTO!$D$15,CRONO!$E53,0)),1,OFFSET(ORÇAMENTO!$X$15,CRONO!$E53,0,OFFSET(ORÇAMENTO!$D$15,CRONO!$E53,0))))</f>
        <v>0</v>
      </c>
      <c r="G55" s="258"/>
      <c r="R55" s="259" t="str">
        <f ca="1">L53&amp;"$"</f>
        <v>2$</v>
      </c>
      <c r="S55" s="260"/>
      <c r="T55" s="261">
        <f ca="1">IF($Q53=2,IF(AND(ACOMPANHAMENTO="PLE",ISNUMBER($E53)),SUMIF((OFFSET(CÁLCULO!$BC$15:$BU$15,$E53,0,OFFSET(ORÇAMENTO!$D$15,CRONO!$E53,0))),"&lt;="&amp;CRONO!T$12,OFFSET(CÁLCULO!$AJ$15:$BB$15,$E53,0,OFFSET(ORÇAMENTO!$D$15,CRONO!$E53,0)))+IF(AND($E55&lt;&gt;"",$E55&lt;&gt;0),SUMIF(CÁLCULO!$BC$15:$BU$710,"&lt;="&amp;CRONO!T$12,CÁLCULO!$AJ$15:$BB$710)/(ORÇAMENTO!$X$15-CÁLCULO.TotalAdmLocal)*CRONO!$E55,0),T54*$R53),SUMIF(OFFSET($R55,1,0,$Q53-2),($L53+1)&amp;"$",OFFSET(T55,1,0,$Q53-2)))</f>
        <v>0</v>
      </c>
      <c r="U55" s="257">
        <f ca="1">IF($Q53=2,IF(AND(ACOMPANHAMENTO="PLE",ISNUMBER($E53)),SUMIF((OFFSET(CÁLCULO!$BC$15:$BU$15,$E53,0,OFFSET(ORÇAMENTO!$D$15,CRONO!$E53,0))),"="&amp;CRONO!U$12,OFFSET(CÁLCULO!$AJ$15:$BB$15,$E53,0,OFFSET(ORÇAMENTO!$D$15,CRONO!$E53,0)))+IF(AND($E55&lt;&gt;"",$E55&lt;&gt;0),SUMIF(CÁLCULO!$BC$15:$BU$710,"="&amp;CRONO!U$12,CÁLCULO!$AJ$15:$BB$710)/(ORÇAMENTO!$X$15-CÁLCULO.TotalAdmLocal)*CRONO!$E55,0),U54*$R53),SUMIF(OFFSET($R55,1,0,$Q53-2),($L53+1)&amp;"$",OFFSET(U55,1,0,$Q53-2)))</f>
        <v>0</v>
      </c>
      <c r="V55" s="257">
        <f ca="1">IF($Q53=2,IF(AND(ACOMPANHAMENTO="PLE",ISNUMBER($E53)),SUMIF((OFFSET(CÁLCULO!$BC$15:$BU$15,$E53,0,OFFSET(ORÇAMENTO!$D$15,CRONO!$E53,0))),"="&amp;CRONO!V$12,OFFSET(CÁLCULO!$AJ$15:$BB$15,$E53,0,OFFSET(ORÇAMENTO!$D$15,CRONO!$E53,0)))+IF(AND($E55&lt;&gt;"",$E55&lt;&gt;0),SUMIF(CÁLCULO!$BC$15:$BU$710,"="&amp;CRONO!V$12,CÁLCULO!$AJ$15:$BB$710)/(ORÇAMENTO!$X$15-CÁLCULO.TotalAdmLocal)*CRONO!$E55,0),V54*$R53),SUMIF(OFFSET($R55,1,0,$Q53-2),($L53+1)&amp;"$",OFFSET(V55,1,0,$Q53-2)))</f>
        <v>0</v>
      </c>
      <c r="W55" s="257">
        <f ca="1">IF($Q53=2,IF(AND(ACOMPANHAMENTO="PLE",ISNUMBER($E53)),SUMIF((OFFSET(CÁLCULO!$BC$15:$BU$15,$E53,0,OFFSET(ORÇAMENTO!$D$15,CRONO!$E53,0))),"="&amp;CRONO!W$12,OFFSET(CÁLCULO!$AJ$15:$BB$15,$E53,0,OFFSET(ORÇAMENTO!$D$15,CRONO!$E53,0)))+IF(AND($E55&lt;&gt;"",$E55&lt;&gt;0),SUMIF(CÁLCULO!$BC$15:$BU$710,"="&amp;CRONO!W$12,CÁLCULO!$AJ$15:$BB$710)/(ORÇAMENTO!$X$15-CÁLCULO.TotalAdmLocal)*CRONO!$E55,0),W54*$R53),SUMIF(OFFSET($R55,1,0,$Q53-2),($L53+1)&amp;"$",OFFSET(W55,1,0,$Q53-2)))</f>
        <v>0</v>
      </c>
      <c r="X55" s="257">
        <f ca="1">IF($Q53=2,IF(AND(ACOMPANHAMENTO="PLE",ISNUMBER($E53)),SUMIF((OFFSET(CÁLCULO!$BC$15:$BU$15,$E53,0,OFFSET(ORÇAMENTO!$D$15,CRONO!$E53,0))),"="&amp;CRONO!X$12,OFFSET(CÁLCULO!$AJ$15:$BB$15,$E53,0,OFFSET(ORÇAMENTO!$D$15,CRONO!$E53,0)))+IF(AND($E55&lt;&gt;"",$E55&lt;&gt;0),SUMIF(CÁLCULO!$BC$15:$BU$710,"="&amp;CRONO!X$12,CÁLCULO!$AJ$15:$BB$710)/(ORÇAMENTO!$X$15-CÁLCULO.TotalAdmLocal)*CRONO!$E55,0),X54*$R53),SUMIF(OFFSET($R55,1,0,$Q53-2),($L53+1)&amp;"$",OFFSET(X55,1,0,$Q53-2)))</f>
        <v>0</v>
      </c>
      <c r="Y55" s="257">
        <f ca="1">IF($Q53=2,IF(AND(ACOMPANHAMENTO="PLE",ISNUMBER($E53)),SUMIF((OFFSET(CÁLCULO!$BC$15:$BU$15,$E53,0,OFFSET(ORÇAMENTO!$D$15,CRONO!$E53,0))),"="&amp;CRONO!Y$12,OFFSET(CÁLCULO!$AJ$15:$BB$15,$E53,0,OFFSET(ORÇAMENTO!$D$15,CRONO!$E53,0)))+IF(AND($E55&lt;&gt;"",$E55&lt;&gt;0),SUMIF(CÁLCULO!$BC$15:$BU$710,"="&amp;CRONO!Y$12,CÁLCULO!$AJ$15:$BB$710)/(ORÇAMENTO!$X$15-CÁLCULO.TotalAdmLocal)*CRONO!$E55,0),Y54*$R53),SUMIF(OFFSET($R55,1,0,$Q53-2),($L53+1)&amp;"$",OFFSET(Y55,1,0,$Q53-2)))</f>
        <v>0</v>
      </c>
      <c r="Z55" s="257">
        <f ca="1">IF($Q53=2,IF(AND(ACOMPANHAMENTO="PLE",ISNUMBER($E53)),SUMIF((OFFSET(CÁLCULO!$BC$15:$BU$15,$E53,0,OFFSET(ORÇAMENTO!$D$15,CRONO!$E53,0))),"="&amp;CRONO!Z$12,OFFSET(CÁLCULO!$AJ$15:$BB$15,$E53,0,OFFSET(ORÇAMENTO!$D$15,CRONO!$E53,0)))+IF(AND($E55&lt;&gt;"",$E55&lt;&gt;0),SUMIF(CÁLCULO!$BC$15:$BU$710,"="&amp;CRONO!Z$12,CÁLCULO!$AJ$15:$BB$710)/(ORÇAMENTO!$X$15-CÁLCULO.TotalAdmLocal)*CRONO!$E55,0),Z54*$R53),SUMIF(OFFSET($R55,1,0,$Q53-2),($L53+1)&amp;"$",OFFSET(Z55,1,0,$Q53-2)))</f>
        <v>0</v>
      </c>
      <c r="AA55" s="257">
        <f ca="1">IF($Q53=2,IF(AND(ACOMPANHAMENTO="PLE",ISNUMBER($E53)),SUMIF((OFFSET(CÁLCULO!$BC$15:$BU$15,$E53,0,OFFSET(ORÇAMENTO!$D$15,CRONO!$E53,0))),"="&amp;CRONO!AA$12,OFFSET(CÁLCULO!$AJ$15:$BB$15,$E53,0,OFFSET(ORÇAMENTO!$D$15,CRONO!$E53,0)))+IF(AND($E55&lt;&gt;"",$E55&lt;&gt;0),SUMIF(CÁLCULO!$BC$15:$BU$710,"="&amp;CRONO!AA$12,CÁLCULO!$AJ$15:$BB$710)/(ORÇAMENTO!$X$15-CÁLCULO.TotalAdmLocal)*CRONO!$E55,0),AA54*$R53),SUMIF(OFFSET($R55,1,0,$Q53-2),($L53+1)&amp;"$",OFFSET(AA55,1,0,$Q53-2)))</f>
        <v>0</v>
      </c>
      <c r="AB55" s="257">
        <f ca="1">IF($Q53=2,IF(AND(ACOMPANHAMENTO="PLE",ISNUMBER($E53)),SUMIF((OFFSET(CÁLCULO!$BC$15:$BU$15,$E53,0,OFFSET(ORÇAMENTO!$D$15,CRONO!$E53,0))),"="&amp;CRONO!AB$12,OFFSET(CÁLCULO!$AJ$15:$BB$15,$E53,0,OFFSET(ORÇAMENTO!$D$15,CRONO!$E53,0)))+IF(AND($E55&lt;&gt;"",$E55&lt;&gt;0),SUMIF(CÁLCULO!$BC$15:$BU$710,"="&amp;CRONO!AB$12,CÁLCULO!$AJ$15:$BB$710)/(ORÇAMENTO!$X$15-CÁLCULO.TotalAdmLocal)*CRONO!$E55,0),AB54*$R53),SUMIF(OFFSET($R55,1,0,$Q53-2),($L53+1)&amp;"$",OFFSET(AB55,1,0,$Q53-2)))</f>
        <v>0</v>
      </c>
      <c r="AC55" s="257">
        <f ca="1">IF($Q53=2,IF(AND(ACOMPANHAMENTO="PLE",ISNUMBER($E53)),SUMIF((OFFSET(CÁLCULO!$BC$15:$BU$15,$E53,0,OFFSET(ORÇAMENTO!$D$15,CRONO!$E53,0))),"="&amp;CRONO!AC$12,OFFSET(CÁLCULO!$AJ$15:$BB$15,$E53,0,OFFSET(ORÇAMENTO!$D$15,CRONO!$E53,0)))+IF(AND($E55&lt;&gt;"",$E55&lt;&gt;0),SUMIF(CÁLCULO!$BC$15:$BU$710,"="&amp;CRONO!AC$12,CÁLCULO!$AJ$15:$BB$710)/(ORÇAMENTO!$X$15-CÁLCULO.TotalAdmLocal)*CRONO!$E55,0),AC54*$R53),SUMIF(OFFSET($R55,1,0,$Q53-2),($L53+1)&amp;"$",OFFSET(AC55,1,0,$Q53-2)))</f>
        <v>0</v>
      </c>
      <c r="AD55" s="257">
        <f ca="1">IF($Q53=2,IF(AND(ACOMPANHAMENTO="PLE",ISNUMBER($E53)),SUMIF((OFFSET(CÁLCULO!$BC$15:$BU$15,$E53,0,OFFSET(ORÇAMENTO!$D$15,CRONO!$E53,0))),"="&amp;CRONO!AD$12,OFFSET(CÁLCULO!$AJ$15:$BB$15,$E53,0,OFFSET(ORÇAMENTO!$D$15,CRONO!$E53,0)))+IF(AND($E55&lt;&gt;"",$E55&lt;&gt;0),SUMIF(CÁLCULO!$BC$15:$BU$710,"="&amp;CRONO!AD$12,CÁLCULO!$AJ$15:$BB$710)/(ORÇAMENTO!$X$15-CÁLCULO.TotalAdmLocal)*CRONO!$E55,0),AD54*$R53),SUMIF(OFFSET($R55,1,0,$Q53-2),($L53+1)&amp;"$",OFFSET(AD55,1,0,$Q53-2)))</f>
        <v>0</v>
      </c>
      <c r="AE55" s="262">
        <f ca="1">IF($Q53=2,IF(AND(ACOMPANHAMENTO="PLE",ISNUMBER($E53)),SUMIF((OFFSET(CÁLCULO!$BC$15:$BU$15,$E53,0,OFFSET(ORÇAMENTO!$D$15,CRONO!$E53,0))),"="&amp;CRONO!AE$12,OFFSET(CÁLCULO!$AJ$15:$BB$15,$E53,0,OFFSET(ORÇAMENTO!$D$15,CRONO!$E53,0)))+IF(AND($E55&lt;&gt;"",$E55&lt;&gt;0),SUMIF(CÁLCULO!$BC$15:$BU$710,"="&amp;CRONO!AE$12,CÁLCULO!$AJ$15:$BB$710)/(ORÇAMENTO!$X$15-CÁLCULO.TotalAdmLocal)*CRONO!$E55,0),AE54*$R53),SUMIF(OFFSET($R55,1,0,$Q53-2),($L53+1)&amp;"$",OFFSET(AE55,1,0,$Q53-2)))</f>
        <v>0</v>
      </c>
      <c r="AF55" s="261">
        <f ca="1">IF($Q53=2,IF(AND(ACOMPANHAMENTO="PLE",ISNUMBER($E53)),SUMIF((OFFSET(CÁLCULO!$BC$15:$BU$15,$E53,0,OFFSET(ORÇAMENTO!$D$15,CRONO!$E53,0))),"="&amp;CRONO!AF$12,OFFSET(CÁLCULO!$AJ$15:$BB$15,$E53,0,OFFSET(ORÇAMENTO!$D$15,CRONO!$E53,0)))+IF(AND($E55&lt;&gt;"",$E55&lt;&gt;0),SUMIF(CÁLCULO!$BC$15:$BU$710,"="&amp;CRONO!AF$12,CÁLCULO!$AJ$15:$BB$710)/(ORÇAMENTO!$X$15-CÁLCULO.TotalAdmLocal)*CRONO!$E55,0),AF54*$R53),SUMIF(OFFSET($R55,1,0,$Q53-2),($L53+1)&amp;"$",OFFSET(AF55,1,0,$Q53-2)))</f>
        <v>0</v>
      </c>
      <c r="AG55" s="257">
        <f ca="1">IF($Q53=2,IF(AND(ACOMPANHAMENTO="PLE",ISNUMBER($E53)),SUMIF((OFFSET(CÁLCULO!$BC$15:$BU$15,$E53,0,OFFSET(ORÇAMENTO!$D$15,CRONO!$E53,0))),"="&amp;CRONO!AG$12,OFFSET(CÁLCULO!$AJ$15:$BB$15,$E53,0,OFFSET(ORÇAMENTO!$D$15,CRONO!$E53,0)))+IF(AND($E55&lt;&gt;"",$E55&lt;&gt;0),SUMIF(CÁLCULO!$BC$15:$BU$710,"="&amp;CRONO!AG$12,CÁLCULO!$AJ$15:$BB$710)/(ORÇAMENTO!$X$15-CÁLCULO.TotalAdmLocal)*CRONO!$E55,0),AG54*$R53),SUMIF(OFFSET($R55,1,0,$Q53-2),($L53+1)&amp;"$",OFFSET(AG55,1,0,$Q53-2)))</f>
        <v>0</v>
      </c>
      <c r="AH55" s="257">
        <f ca="1">IF($Q53=2,IF(AND(ACOMPANHAMENTO="PLE",ISNUMBER($E53)),SUMIF((OFFSET(CÁLCULO!$BC$15:$BU$15,$E53,0,OFFSET(ORÇAMENTO!$D$15,CRONO!$E53,0))),"="&amp;CRONO!AH$12,OFFSET(CÁLCULO!$AJ$15:$BB$15,$E53,0,OFFSET(ORÇAMENTO!$D$15,CRONO!$E53,0)))+IF(AND($E55&lt;&gt;"",$E55&lt;&gt;0),SUMIF(CÁLCULO!$BC$15:$BU$710,"="&amp;CRONO!AH$12,CÁLCULO!$AJ$15:$BB$710)/(ORÇAMENTO!$X$15-CÁLCULO.TotalAdmLocal)*CRONO!$E55,0),AH54*$R53),SUMIF(OFFSET($R55,1,0,$Q53-2),($L53+1)&amp;"$",OFFSET(AH55,1,0,$Q53-2)))</f>
        <v>0</v>
      </c>
      <c r="AI55" s="257">
        <f ca="1">IF($Q53=2,IF(AND(ACOMPANHAMENTO="PLE",ISNUMBER($E53)),SUMIF((OFFSET(CÁLCULO!$BC$15:$BU$15,$E53,0,OFFSET(ORÇAMENTO!$D$15,CRONO!$E53,0))),"="&amp;CRONO!AI$12,OFFSET(CÁLCULO!$AJ$15:$BB$15,$E53,0,OFFSET(ORÇAMENTO!$D$15,CRONO!$E53,0)))+IF(AND($E55&lt;&gt;"",$E55&lt;&gt;0),SUMIF(CÁLCULO!$BC$15:$BU$710,"="&amp;CRONO!AI$12,CÁLCULO!$AJ$15:$BB$710)/(ORÇAMENTO!$X$15-CÁLCULO.TotalAdmLocal)*CRONO!$E55,0),AI54*$R53),SUMIF(OFFSET($R55,1,0,$Q53-2),($L53+1)&amp;"$",OFFSET(AI55,1,0,$Q53-2)))</f>
        <v>0</v>
      </c>
      <c r="AJ55" s="257">
        <f ca="1">IF($Q53=2,IF(AND(ACOMPANHAMENTO="PLE",ISNUMBER($E53)),SUMIF((OFFSET(CÁLCULO!$BC$15:$BU$15,$E53,0,OFFSET(ORÇAMENTO!$D$15,CRONO!$E53,0))),"="&amp;CRONO!AJ$12,OFFSET(CÁLCULO!$AJ$15:$BB$15,$E53,0,OFFSET(ORÇAMENTO!$D$15,CRONO!$E53,0)))+IF(AND($E55&lt;&gt;"",$E55&lt;&gt;0),SUMIF(CÁLCULO!$BC$15:$BU$710,"="&amp;CRONO!AJ$12,CÁLCULO!$AJ$15:$BB$710)/(ORÇAMENTO!$X$15-CÁLCULO.TotalAdmLocal)*CRONO!$E55,0),AJ54*$R53),SUMIF(OFFSET($R55,1,0,$Q53-2),($L53+1)&amp;"$",OFFSET(AJ55,1,0,$Q53-2)))</f>
        <v>0</v>
      </c>
      <c r="AK55" s="257">
        <f ca="1">IF($Q53=2,IF(AND(ACOMPANHAMENTO="PLE",ISNUMBER($E53)),SUMIF((OFFSET(CÁLCULO!$BC$15:$BU$15,$E53,0,OFFSET(ORÇAMENTO!$D$15,CRONO!$E53,0))),"="&amp;CRONO!AK$12,OFFSET(CÁLCULO!$AJ$15:$BB$15,$E53,0,OFFSET(ORÇAMENTO!$D$15,CRONO!$E53,0)))+IF(AND($E55&lt;&gt;"",$E55&lt;&gt;0),SUMIF(CÁLCULO!$BC$15:$BU$710,"="&amp;CRONO!AK$12,CÁLCULO!$AJ$15:$BB$710)/(ORÇAMENTO!$X$15-CÁLCULO.TotalAdmLocal)*CRONO!$E55,0),AK54*$R53),SUMIF(OFFSET($R55,1,0,$Q53-2),($L53+1)&amp;"$",OFFSET(AK55,1,0,$Q53-2)))</f>
        <v>0</v>
      </c>
      <c r="AL55" s="257">
        <f ca="1">IF($Q53=2,IF(AND(ACOMPANHAMENTO="PLE",ISNUMBER($E53)),SUMIF((OFFSET(CÁLCULO!$BC$15:$BU$15,$E53,0,OFFSET(ORÇAMENTO!$D$15,CRONO!$E53,0))),"="&amp;CRONO!AL$12,OFFSET(CÁLCULO!$AJ$15:$BB$15,$E53,0,OFFSET(ORÇAMENTO!$D$15,CRONO!$E53,0)))+IF(AND($E55&lt;&gt;"",$E55&lt;&gt;0),SUMIF(CÁLCULO!$BC$15:$BU$710,"="&amp;CRONO!AL$12,CÁLCULO!$AJ$15:$BB$710)/(ORÇAMENTO!$X$15-CÁLCULO.TotalAdmLocal)*CRONO!$E55,0),AL54*$R53),SUMIF(OFFSET($R55,1,0,$Q53-2),($L53+1)&amp;"$",OFFSET(AL55,1,0,$Q53-2)))</f>
        <v>0</v>
      </c>
      <c r="AM55" s="257">
        <f ca="1">IF($Q53=2,IF(AND(ACOMPANHAMENTO="PLE",ISNUMBER($E53)),SUMIF((OFFSET(CÁLCULO!$BC$15:$BU$15,$E53,0,OFFSET(ORÇAMENTO!$D$15,CRONO!$E53,0))),"="&amp;CRONO!AM$12,OFFSET(CÁLCULO!$AJ$15:$BB$15,$E53,0,OFFSET(ORÇAMENTO!$D$15,CRONO!$E53,0)))+IF(AND($E55&lt;&gt;"",$E55&lt;&gt;0),SUMIF(CÁLCULO!$BC$15:$BU$710,"="&amp;CRONO!AM$12,CÁLCULO!$AJ$15:$BB$710)/(ORÇAMENTO!$X$15-CÁLCULO.TotalAdmLocal)*CRONO!$E55,0),AM54*$R53),SUMIF(OFFSET($R55,1,0,$Q53-2),($L53+1)&amp;"$",OFFSET(AM55,1,0,$Q53-2)))</f>
        <v>0</v>
      </c>
      <c r="AN55" s="257">
        <f ca="1">IF($Q53=2,IF(AND(ACOMPANHAMENTO="PLE",ISNUMBER($E53)),SUMIF((OFFSET(CÁLCULO!$BC$15:$BU$15,$E53,0,OFFSET(ORÇAMENTO!$D$15,CRONO!$E53,0))),"="&amp;CRONO!AN$12,OFFSET(CÁLCULO!$AJ$15:$BB$15,$E53,0,OFFSET(ORÇAMENTO!$D$15,CRONO!$E53,0)))+IF(AND($E55&lt;&gt;"",$E55&lt;&gt;0),SUMIF(CÁLCULO!$BC$15:$BU$710,"="&amp;CRONO!AN$12,CÁLCULO!$AJ$15:$BB$710)/(ORÇAMENTO!$X$15-CÁLCULO.TotalAdmLocal)*CRONO!$E55,0),AN54*$R53),SUMIF(OFFSET($R55,1,0,$Q53-2),($L53+1)&amp;"$",OFFSET(AN55,1,0,$Q53-2)))</f>
        <v>0</v>
      </c>
      <c r="AO55" s="257">
        <f ca="1">IF($Q53=2,IF(AND(ACOMPANHAMENTO="PLE",ISNUMBER($E53)),SUMIF((OFFSET(CÁLCULO!$BC$15:$BU$15,$E53,0,OFFSET(ORÇAMENTO!$D$15,CRONO!$E53,0))),"="&amp;CRONO!AO$12,OFFSET(CÁLCULO!$AJ$15:$BB$15,$E53,0,OFFSET(ORÇAMENTO!$D$15,CRONO!$E53,0)))+IF(AND($E55&lt;&gt;"",$E55&lt;&gt;0),SUMIF(CÁLCULO!$BC$15:$BU$710,"="&amp;CRONO!AO$12,CÁLCULO!$AJ$15:$BB$710)/(ORÇAMENTO!$X$15-CÁLCULO.TotalAdmLocal)*CRONO!$E55,0),AO54*$R53),SUMIF(OFFSET($R55,1,0,$Q53-2),($L53+1)&amp;"$",OFFSET(AO55,1,0,$Q53-2)))</f>
        <v>0</v>
      </c>
      <c r="AP55" s="257">
        <f ca="1">IF($Q53=2,IF(AND(ACOMPANHAMENTO="PLE",ISNUMBER($E53)),SUMIF((OFFSET(CÁLCULO!$BC$15:$BU$15,$E53,0,OFFSET(ORÇAMENTO!$D$15,CRONO!$E53,0))),"="&amp;CRONO!AP$12,OFFSET(CÁLCULO!$AJ$15:$BB$15,$E53,0,OFFSET(ORÇAMENTO!$D$15,CRONO!$E53,0)))+IF(AND($E55&lt;&gt;"",$E55&lt;&gt;0),SUMIF(CÁLCULO!$BC$15:$BU$710,"="&amp;CRONO!AP$12,CÁLCULO!$AJ$15:$BB$710)/(ORÇAMENTO!$X$15-CÁLCULO.TotalAdmLocal)*CRONO!$E55,0),AP54*$R53),SUMIF(OFFSET($R55,1,0,$Q53-2),($L53+1)&amp;"$",OFFSET(AP55,1,0,$Q53-2)))</f>
        <v>0</v>
      </c>
      <c r="AQ55" s="262">
        <f ca="1">IF($Q53=2,IF(AND(ACOMPANHAMENTO="PLE",ISNUMBER($E53)),SUMIF((OFFSET(CÁLCULO!$BC$15:$BU$15,$E53,0,OFFSET(ORÇAMENTO!$D$15,CRONO!$E53,0))),"="&amp;CRONO!AQ$12,OFFSET(CÁLCULO!$AJ$15:$BB$15,$E53,0,OFFSET(ORÇAMENTO!$D$15,CRONO!$E53,0)))+IF(AND($E55&lt;&gt;"",$E55&lt;&gt;0),SUMIF(CÁLCULO!$BC$15:$BU$710,"="&amp;CRONO!AQ$12,CÁLCULO!$AJ$15:$BB$710)/(ORÇAMENTO!$X$15-CÁLCULO.TotalAdmLocal)*CRONO!$E55,0),AQ54*$R53),SUMIF(OFFSET($R55,1,0,$Q53-2),($L53+1)&amp;"$",OFFSET(AQ55,1,0,$Q53-2)))</f>
        <v>0</v>
      </c>
    </row>
    <row r="56" spans="1:44" x14ac:dyDescent="0.25">
      <c r="A56" s="238">
        <f ca="1">OFFSET(A56,-3,0)+1</f>
        <v>15</v>
      </c>
      <c r="B56" s="238">
        <f ca="1">IF($Q56&lt;&gt;2,0,IF($R56=0,1,IF(E57&gt;0,OFFSET(QCI!$M$13,SUBSTITUTE(E57,".",""),0),OFFSET(ORÇAMENTO!$AA$15,CRONO!$E56,0))/$R56))</f>
        <v>1</v>
      </c>
      <c r="C56" s="238">
        <f ca="1">IF($Q56&lt;&gt;2,0,IF($R56=0,1,IF(E57&gt;0,OFFSET(QCI!$N$13,SUBSTITUTE(E57,".",""),0),OFFSET(ORÇAMENTO!$AB$15,CRONO!$E56,0))/$R56))</f>
        <v>1</v>
      </c>
      <c r="D56" s="241">
        <f ca="1">IF(AND($Q56=2,ACOMPANHAMENTO="BM"),D57,D58/$R56)</f>
        <v>0</v>
      </c>
      <c r="E56" s="238">
        <f ca="1">IF(A56&lt;=ORÇAMENTO.MáximoListaCrono,MATCH(A56,ORÇAMENTO.ListaCrono,0),NA())</f>
        <v>375</v>
      </c>
      <c r="F56" s="238" t="str">
        <f ca="1">IF(AND($E57&lt;&gt;-1,$R56&gt;0),"F","")</f>
        <v/>
      </c>
      <c r="G56" s="242" t="str">
        <f ca="1">IF(OR(R56=0,R56=""),"Linha",IF(AND(OR(ACOMPANHAMENTO="PLE",$Q56&lt;&gt;2),$E57=0),"Linha",1-SUM(T56:AR56)))</f>
        <v>Linha</v>
      </c>
      <c r="H56" s="243" t="str">
        <f ca="1">IF($E57=0,OFFSET(ORÇAMENTO!O$15,$E56,0),IF($E57&lt;&gt;-1,OFFSET(QCI!$D$13,$E57,0),""))</f>
        <v>1.14.</v>
      </c>
      <c r="I56" s="244" t="str">
        <f ca="1">IF($E57=0,OFFSET(ORÇAMENTO!R$15,$E56,0),IF($E57&lt;&gt;-1,OFFSET(QCI!$G$13,$E57,0),""))</f>
        <v>INSTALAÇÃO SANITÁRIA</v>
      </c>
      <c r="J56" s="244"/>
      <c r="K56" s="244"/>
      <c r="L56" s="245">
        <f ca="1">IF($E57=0,OFFSET(ORÇAMENTO!C$15,$E56,0),1)</f>
        <v>2</v>
      </c>
      <c r="M56" s="246">
        <f ca="1">IF($E57=-1,0,IF(M$13&lt;=$L56,IF(ISERROR(MATCH(M$13,OFFSET($L56,1,0,ROW($L$98)-ROW($L56)-1),0)),ROW($L$98)-ROW($L56)-1,MATCH(M$13,OFFSET($L56,1,0,ROW($L$98)-ROW($L56)-1),0)-1),0))</f>
        <v>32</v>
      </c>
      <c r="N56" s="246">
        <f ca="1">IF($E57=-1,0,IF(N$13&lt;=$L56,IF(ISERROR(MATCH(N$13,OFFSET($L56,1,0,ROW($L$98)-ROW($L56)-1),0)),ROW($L$98)-ROW($L56)-1,MATCH(N$13,OFFSET($L56,1,0,ROW($L$98)-ROW($L56)-1),0)-1),0))</f>
        <v>2</v>
      </c>
      <c r="O56" s="246">
        <f ca="1">IF($E57=-1,0,IF(O$13&lt;=$L56,IF(ISERROR(MATCH(O$13,OFFSET($L56,1,0,ROW($L$98)-ROW($L56)-1),0)),ROW($L$98)-ROW($L56)-1,MATCH(O$13,OFFSET($L56,1,0,ROW($L$98)-ROW($L56)-1),0)-1),0))</f>
        <v>0</v>
      </c>
      <c r="P56" s="246">
        <f ca="1">IF($E57=-1,0,IF(P$13&lt;=$L56,IF(ISERROR(MATCH(P$13,OFFSET($L56,1,0,ROW($L$98)-ROW($L56)-1),0)),ROW($L$98)-ROW($L56)-1,MATCH(P$13,OFFSET($L56,1,0,ROW($L$98)-ROW($L56)-1),0)-1),0))</f>
        <v>0</v>
      </c>
      <c r="Q56" s="246">
        <f ca="1">MIN(OFFSET(L56,0,1,,L56))</f>
        <v>2</v>
      </c>
      <c r="R56" s="247">
        <f ca="1">IF($E57=0,OFFSET(ORÇAMENTO!X$15,$E56,0),IF($E57&lt;&gt;-1,OFFSET(QCI!$O$13,$E57,0),""))</f>
        <v>0</v>
      </c>
      <c r="S56" s="248" t="s">
        <v>272</v>
      </c>
      <c r="T56" s="249">
        <f t="shared" ref="T56:AQ56" ca="1" si="18">IF(AND($Q56=2,ACOMPANHAMENTO="BM"),T57,T58/$R56)</f>
        <v>0</v>
      </c>
      <c r="U56" s="241">
        <f t="shared" ca="1" si="18"/>
        <v>0</v>
      </c>
      <c r="V56" s="241">
        <f t="shared" ca="1" si="18"/>
        <v>0</v>
      </c>
      <c r="W56" s="241">
        <f t="shared" ca="1" si="18"/>
        <v>0</v>
      </c>
      <c r="X56" s="241">
        <f t="shared" ca="1" si="18"/>
        <v>0</v>
      </c>
      <c r="Y56" s="241">
        <f t="shared" ca="1" si="18"/>
        <v>0</v>
      </c>
      <c r="Z56" s="241">
        <f t="shared" ca="1" si="18"/>
        <v>0</v>
      </c>
      <c r="AA56" s="241">
        <f t="shared" ca="1" si="18"/>
        <v>0.2</v>
      </c>
      <c r="AB56" s="241">
        <f t="shared" ca="1" si="18"/>
        <v>0.2</v>
      </c>
      <c r="AC56" s="241">
        <f t="shared" ca="1" si="18"/>
        <v>0.2</v>
      </c>
      <c r="AD56" s="241">
        <f t="shared" ca="1" si="18"/>
        <v>0.2</v>
      </c>
      <c r="AE56" s="250">
        <f t="shared" ca="1" si="18"/>
        <v>0.2</v>
      </c>
      <c r="AF56" s="249">
        <f t="shared" ca="1" si="18"/>
        <v>0</v>
      </c>
      <c r="AG56" s="241">
        <f t="shared" ca="1" si="18"/>
        <v>0</v>
      </c>
      <c r="AH56" s="241">
        <f t="shared" ca="1" si="18"/>
        <v>0</v>
      </c>
      <c r="AI56" s="241">
        <f t="shared" ca="1" si="18"/>
        <v>0</v>
      </c>
      <c r="AJ56" s="241">
        <f t="shared" ca="1" si="18"/>
        <v>0</v>
      </c>
      <c r="AK56" s="241">
        <f t="shared" ca="1" si="18"/>
        <v>0</v>
      </c>
      <c r="AL56" s="241">
        <f t="shared" ca="1" si="18"/>
        <v>0</v>
      </c>
      <c r="AM56" s="241">
        <f t="shared" ca="1" si="18"/>
        <v>0</v>
      </c>
      <c r="AN56" s="241">
        <f t="shared" ca="1" si="18"/>
        <v>0</v>
      </c>
      <c r="AO56" s="241">
        <f t="shared" ca="1" si="18"/>
        <v>0</v>
      </c>
      <c r="AP56" s="241">
        <f t="shared" ca="1" si="18"/>
        <v>0</v>
      </c>
      <c r="AQ56" s="250">
        <f t="shared" ca="1" si="18"/>
        <v>0</v>
      </c>
    </row>
    <row r="57" spans="1:44" ht="12.75" customHeight="1" x14ac:dyDescent="0.25">
      <c r="D57" s="658"/>
      <c r="E57" s="238">
        <f ca="1">IF(ISERROR(E56),IF(1+COUNTIF($L$13:OFFSET(L56,-1,0),1)&lt;=MAX(QCI!$D$13:$D$24),1+COUNTIF($L$13:OFFSET(L56,-1,0),1),-1),0)</f>
        <v>0</v>
      </c>
      <c r="F57" s="238" t="str">
        <f ca="1">IF(AND($E57&lt;&gt;-1,$R56&gt;0),"F","")</f>
        <v/>
      </c>
      <c r="G57" s="251" t="str">
        <f ca="1">IF(OR(R56=0,R56=""),"vazia",IF(AND(OR(ACOMPANHAMENTO="PLE",$Q56&lt;&gt;2),$E57=0),"calculada","--&gt;"))</f>
        <v>vazia</v>
      </c>
      <c r="H57" s="252"/>
      <c r="I57" s="253" t="str">
        <f ca="1">IF(AND(G56&lt;&gt;0,ISNUMBER(G56)),"PREENCHA ESTA LINHA --&gt;","")</f>
        <v/>
      </c>
      <c r="J57" s="253"/>
      <c r="K57" s="253"/>
      <c r="L57" s="254"/>
      <c r="M57" s="254"/>
      <c r="N57" s="254"/>
      <c r="O57" s="254"/>
      <c r="P57" s="254"/>
      <c r="Q57" s="254"/>
      <c r="R57" s="255"/>
      <c r="S57" s="256"/>
      <c r="T57" s="659"/>
      <c r="U57" s="658"/>
      <c r="V57" s="658"/>
      <c r="W57" s="658"/>
      <c r="X57" s="658"/>
      <c r="Y57" s="658"/>
      <c r="Z57" s="658"/>
      <c r="AA57" s="658">
        <v>0.2</v>
      </c>
      <c r="AB57" s="658">
        <v>0.2</v>
      </c>
      <c r="AC57" s="658">
        <v>0.2</v>
      </c>
      <c r="AD57" s="658">
        <v>0.2</v>
      </c>
      <c r="AE57" s="660">
        <v>0.2</v>
      </c>
      <c r="AF57" s="659"/>
      <c r="AG57" s="658"/>
      <c r="AH57" s="658"/>
      <c r="AI57" s="658"/>
      <c r="AJ57" s="658"/>
      <c r="AK57" s="658"/>
      <c r="AL57" s="658"/>
      <c r="AM57" s="658"/>
      <c r="AN57" s="658"/>
      <c r="AO57" s="658"/>
      <c r="AP57" s="658"/>
      <c r="AQ57" s="660"/>
      <c r="AR57" s="618"/>
    </row>
    <row r="58" spans="1:44" ht="0.15" hidden="1" customHeight="1" x14ac:dyDescent="0.25">
      <c r="D58" s="257">
        <f ca="1">IF($Q56=2,IF(AND(ACOMPANHAMENTO="PLE",ISNUMBER($E56)),SUMIF((OFFSET(CÁLCULO!$BC$15:$BU$15,$E56,0,OFFSET(ORÇAMENTO!$D$15,CRONO!$E56,0))),"="&amp;CRONO!D$12,OFFSET(CÁLCULO!$AJ$15:$BB$15,$E56,0,OFFSET(ORÇAMENTO!$D$15,CRONO!$E56,0)))+IF(AND($E58&lt;&gt;"",$E58&lt;&gt;0),SUMIF(CÁLCULO!$BC$15:$BU$710,"="&amp;CRONO!D$12,CÁLCULO!$AJ$15:$BB$710)/(ORÇAMENTO!$X$15-CÁLCULO.TotalAdmLocal)*CRONO!$E58,0),D57*$R56),SUMIF(OFFSET($R58,1,0,$Q56-2),($L56+1)&amp;"$",OFFSET(D58,1,0,$Q56-2)))</f>
        <v>0</v>
      </c>
      <c r="E58" s="238">
        <f ca="1">IF(OR($Q56&lt;&gt;2,AUTOEVENTO&lt;&gt;"manual",$E57&gt;0),"",SUMIF(OFFSET(CÁLCULO!$M$15,CRONO!$E56,0,OFFSET(ORÇAMENTO!$D$15,CRONO!$E56,0)),1,OFFSET(ORÇAMENTO!$X$15,CRONO!$E56,0,OFFSET(ORÇAMENTO!$D$15,CRONO!$E56,0))))</f>
        <v>0</v>
      </c>
      <c r="G58" s="258"/>
      <c r="R58" s="259" t="str">
        <f ca="1">L56&amp;"$"</f>
        <v>2$</v>
      </c>
      <c r="S58" s="260"/>
      <c r="T58" s="261">
        <f ca="1">IF($Q56=2,IF(AND(ACOMPANHAMENTO="PLE",ISNUMBER($E56)),SUMIF((OFFSET(CÁLCULO!$BC$15:$BU$15,$E56,0,OFFSET(ORÇAMENTO!$D$15,CRONO!$E56,0))),"&lt;="&amp;CRONO!T$12,OFFSET(CÁLCULO!$AJ$15:$BB$15,$E56,0,OFFSET(ORÇAMENTO!$D$15,CRONO!$E56,0)))+IF(AND($E58&lt;&gt;"",$E58&lt;&gt;0),SUMIF(CÁLCULO!$BC$15:$BU$710,"&lt;="&amp;CRONO!T$12,CÁLCULO!$AJ$15:$BB$710)/(ORÇAMENTO!$X$15-CÁLCULO.TotalAdmLocal)*CRONO!$E58,0),T57*$R56),SUMIF(OFFSET($R58,1,0,$Q56-2),($L56+1)&amp;"$",OFFSET(T58,1,0,$Q56-2)))</f>
        <v>0</v>
      </c>
      <c r="U58" s="257">
        <f ca="1">IF($Q56=2,IF(AND(ACOMPANHAMENTO="PLE",ISNUMBER($E56)),SUMIF((OFFSET(CÁLCULO!$BC$15:$BU$15,$E56,0,OFFSET(ORÇAMENTO!$D$15,CRONO!$E56,0))),"="&amp;CRONO!U$12,OFFSET(CÁLCULO!$AJ$15:$BB$15,$E56,0,OFFSET(ORÇAMENTO!$D$15,CRONO!$E56,0)))+IF(AND($E58&lt;&gt;"",$E58&lt;&gt;0),SUMIF(CÁLCULO!$BC$15:$BU$710,"="&amp;CRONO!U$12,CÁLCULO!$AJ$15:$BB$710)/(ORÇAMENTO!$X$15-CÁLCULO.TotalAdmLocal)*CRONO!$E58,0),U57*$R56),SUMIF(OFFSET($R58,1,0,$Q56-2),($L56+1)&amp;"$",OFFSET(U58,1,0,$Q56-2)))</f>
        <v>0</v>
      </c>
      <c r="V58" s="257">
        <f ca="1">IF($Q56=2,IF(AND(ACOMPANHAMENTO="PLE",ISNUMBER($E56)),SUMIF((OFFSET(CÁLCULO!$BC$15:$BU$15,$E56,0,OFFSET(ORÇAMENTO!$D$15,CRONO!$E56,0))),"="&amp;CRONO!V$12,OFFSET(CÁLCULO!$AJ$15:$BB$15,$E56,0,OFFSET(ORÇAMENTO!$D$15,CRONO!$E56,0)))+IF(AND($E58&lt;&gt;"",$E58&lt;&gt;0),SUMIF(CÁLCULO!$BC$15:$BU$710,"="&amp;CRONO!V$12,CÁLCULO!$AJ$15:$BB$710)/(ORÇAMENTO!$X$15-CÁLCULO.TotalAdmLocal)*CRONO!$E58,0),V57*$R56),SUMIF(OFFSET($R58,1,0,$Q56-2),($L56+1)&amp;"$",OFFSET(V58,1,0,$Q56-2)))</f>
        <v>0</v>
      </c>
      <c r="W58" s="257">
        <f ca="1">IF($Q56=2,IF(AND(ACOMPANHAMENTO="PLE",ISNUMBER($E56)),SUMIF((OFFSET(CÁLCULO!$BC$15:$BU$15,$E56,0,OFFSET(ORÇAMENTO!$D$15,CRONO!$E56,0))),"="&amp;CRONO!W$12,OFFSET(CÁLCULO!$AJ$15:$BB$15,$E56,0,OFFSET(ORÇAMENTO!$D$15,CRONO!$E56,0)))+IF(AND($E58&lt;&gt;"",$E58&lt;&gt;0),SUMIF(CÁLCULO!$BC$15:$BU$710,"="&amp;CRONO!W$12,CÁLCULO!$AJ$15:$BB$710)/(ORÇAMENTO!$X$15-CÁLCULO.TotalAdmLocal)*CRONO!$E58,0),W57*$R56),SUMIF(OFFSET($R58,1,0,$Q56-2),($L56+1)&amp;"$",OFFSET(W58,1,0,$Q56-2)))</f>
        <v>0</v>
      </c>
      <c r="X58" s="257">
        <f ca="1">IF($Q56=2,IF(AND(ACOMPANHAMENTO="PLE",ISNUMBER($E56)),SUMIF((OFFSET(CÁLCULO!$BC$15:$BU$15,$E56,0,OFFSET(ORÇAMENTO!$D$15,CRONO!$E56,0))),"="&amp;CRONO!X$12,OFFSET(CÁLCULO!$AJ$15:$BB$15,$E56,0,OFFSET(ORÇAMENTO!$D$15,CRONO!$E56,0)))+IF(AND($E58&lt;&gt;"",$E58&lt;&gt;0),SUMIF(CÁLCULO!$BC$15:$BU$710,"="&amp;CRONO!X$12,CÁLCULO!$AJ$15:$BB$710)/(ORÇAMENTO!$X$15-CÁLCULO.TotalAdmLocal)*CRONO!$E58,0),X57*$R56),SUMIF(OFFSET($R58,1,0,$Q56-2),($L56+1)&amp;"$",OFFSET(X58,1,0,$Q56-2)))</f>
        <v>0</v>
      </c>
      <c r="Y58" s="257">
        <f ca="1">IF($Q56=2,IF(AND(ACOMPANHAMENTO="PLE",ISNUMBER($E56)),SUMIF((OFFSET(CÁLCULO!$BC$15:$BU$15,$E56,0,OFFSET(ORÇAMENTO!$D$15,CRONO!$E56,0))),"="&amp;CRONO!Y$12,OFFSET(CÁLCULO!$AJ$15:$BB$15,$E56,0,OFFSET(ORÇAMENTO!$D$15,CRONO!$E56,0)))+IF(AND($E58&lt;&gt;"",$E58&lt;&gt;0),SUMIF(CÁLCULO!$BC$15:$BU$710,"="&amp;CRONO!Y$12,CÁLCULO!$AJ$15:$BB$710)/(ORÇAMENTO!$X$15-CÁLCULO.TotalAdmLocal)*CRONO!$E58,0),Y57*$R56),SUMIF(OFFSET($R58,1,0,$Q56-2),($L56+1)&amp;"$",OFFSET(Y58,1,0,$Q56-2)))</f>
        <v>0</v>
      </c>
      <c r="Z58" s="257">
        <f ca="1">IF($Q56=2,IF(AND(ACOMPANHAMENTO="PLE",ISNUMBER($E56)),SUMIF((OFFSET(CÁLCULO!$BC$15:$BU$15,$E56,0,OFFSET(ORÇAMENTO!$D$15,CRONO!$E56,0))),"="&amp;CRONO!Z$12,OFFSET(CÁLCULO!$AJ$15:$BB$15,$E56,0,OFFSET(ORÇAMENTO!$D$15,CRONO!$E56,0)))+IF(AND($E58&lt;&gt;"",$E58&lt;&gt;0),SUMIF(CÁLCULO!$BC$15:$BU$710,"="&amp;CRONO!Z$12,CÁLCULO!$AJ$15:$BB$710)/(ORÇAMENTO!$X$15-CÁLCULO.TotalAdmLocal)*CRONO!$E58,0),Z57*$R56),SUMIF(OFFSET($R58,1,0,$Q56-2),($L56+1)&amp;"$",OFFSET(Z58,1,0,$Q56-2)))</f>
        <v>0</v>
      </c>
      <c r="AA58" s="257">
        <f ca="1">IF($Q56=2,IF(AND(ACOMPANHAMENTO="PLE",ISNUMBER($E56)),SUMIF((OFFSET(CÁLCULO!$BC$15:$BU$15,$E56,0,OFFSET(ORÇAMENTO!$D$15,CRONO!$E56,0))),"="&amp;CRONO!AA$12,OFFSET(CÁLCULO!$AJ$15:$BB$15,$E56,0,OFFSET(ORÇAMENTO!$D$15,CRONO!$E56,0)))+IF(AND($E58&lt;&gt;"",$E58&lt;&gt;0),SUMIF(CÁLCULO!$BC$15:$BU$710,"="&amp;CRONO!AA$12,CÁLCULO!$AJ$15:$BB$710)/(ORÇAMENTO!$X$15-CÁLCULO.TotalAdmLocal)*CRONO!$E58,0),AA57*$R56),SUMIF(OFFSET($R58,1,0,$Q56-2),($L56+1)&amp;"$",OFFSET(AA58,1,0,$Q56-2)))</f>
        <v>0</v>
      </c>
      <c r="AB58" s="257">
        <f ca="1">IF($Q56=2,IF(AND(ACOMPANHAMENTO="PLE",ISNUMBER($E56)),SUMIF((OFFSET(CÁLCULO!$BC$15:$BU$15,$E56,0,OFFSET(ORÇAMENTO!$D$15,CRONO!$E56,0))),"="&amp;CRONO!AB$12,OFFSET(CÁLCULO!$AJ$15:$BB$15,$E56,0,OFFSET(ORÇAMENTO!$D$15,CRONO!$E56,0)))+IF(AND($E58&lt;&gt;"",$E58&lt;&gt;0),SUMIF(CÁLCULO!$BC$15:$BU$710,"="&amp;CRONO!AB$12,CÁLCULO!$AJ$15:$BB$710)/(ORÇAMENTO!$X$15-CÁLCULO.TotalAdmLocal)*CRONO!$E58,0),AB57*$R56),SUMIF(OFFSET($R58,1,0,$Q56-2),($L56+1)&amp;"$",OFFSET(AB58,1,0,$Q56-2)))</f>
        <v>0</v>
      </c>
      <c r="AC58" s="257">
        <f ca="1">IF($Q56=2,IF(AND(ACOMPANHAMENTO="PLE",ISNUMBER($E56)),SUMIF((OFFSET(CÁLCULO!$BC$15:$BU$15,$E56,0,OFFSET(ORÇAMENTO!$D$15,CRONO!$E56,0))),"="&amp;CRONO!AC$12,OFFSET(CÁLCULO!$AJ$15:$BB$15,$E56,0,OFFSET(ORÇAMENTO!$D$15,CRONO!$E56,0)))+IF(AND($E58&lt;&gt;"",$E58&lt;&gt;0),SUMIF(CÁLCULO!$BC$15:$BU$710,"="&amp;CRONO!AC$12,CÁLCULO!$AJ$15:$BB$710)/(ORÇAMENTO!$X$15-CÁLCULO.TotalAdmLocal)*CRONO!$E58,0),AC57*$R56),SUMIF(OFFSET($R58,1,0,$Q56-2),($L56+1)&amp;"$",OFFSET(AC58,1,0,$Q56-2)))</f>
        <v>0</v>
      </c>
      <c r="AD58" s="257">
        <f ca="1">IF($Q56=2,IF(AND(ACOMPANHAMENTO="PLE",ISNUMBER($E56)),SUMIF((OFFSET(CÁLCULO!$BC$15:$BU$15,$E56,0,OFFSET(ORÇAMENTO!$D$15,CRONO!$E56,0))),"="&amp;CRONO!AD$12,OFFSET(CÁLCULO!$AJ$15:$BB$15,$E56,0,OFFSET(ORÇAMENTO!$D$15,CRONO!$E56,0)))+IF(AND($E58&lt;&gt;"",$E58&lt;&gt;0),SUMIF(CÁLCULO!$BC$15:$BU$710,"="&amp;CRONO!AD$12,CÁLCULO!$AJ$15:$BB$710)/(ORÇAMENTO!$X$15-CÁLCULO.TotalAdmLocal)*CRONO!$E58,0),AD57*$R56),SUMIF(OFFSET($R58,1,0,$Q56-2),($L56+1)&amp;"$",OFFSET(AD58,1,0,$Q56-2)))</f>
        <v>0</v>
      </c>
      <c r="AE58" s="262">
        <f ca="1">IF($Q56=2,IF(AND(ACOMPANHAMENTO="PLE",ISNUMBER($E56)),SUMIF((OFFSET(CÁLCULO!$BC$15:$BU$15,$E56,0,OFFSET(ORÇAMENTO!$D$15,CRONO!$E56,0))),"="&amp;CRONO!AE$12,OFFSET(CÁLCULO!$AJ$15:$BB$15,$E56,0,OFFSET(ORÇAMENTO!$D$15,CRONO!$E56,0)))+IF(AND($E58&lt;&gt;"",$E58&lt;&gt;0),SUMIF(CÁLCULO!$BC$15:$BU$710,"="&amp;CRONO!AE$12,CÁLCULO!$AJ$15:$BB$710)/(ORÇAMENTO!$X$15-CÁLCULO.TotalAdmLocal)*CRONO!$E58,0),AE57*$R56),SUMIF(OFFSET($R58,1,0,$Q56-2),($L56+1)&amp;"$",OFFSET(AE58,1,0,$Q56-2)))</f>
        <v>0</v>
      </c>
      <c r="AF58" s="261">
        <f ca="1">IF($Q56=2,IF(AND(ACOMPANHAMENTO="PLE",ISNUMBER($E56)),SUMIF((OFFSET(CÁLCULO!$BC$15:$BU$15,$E56,0,OFFSET(ORÇAMENTO!$D$15,CRONO!$E56,0))),"="&amp;CRONO!AF$12,OFFSET(CÁLCULO!$AJ$15:$BB$15,$E56,0,OFFSET(ORÇAMENTO!$D$15,CRONO!$E56,0)))+IF(AND($E58&lt;&gt;"",$E58&lt;&gt;0),SUMIF(CÁLCULO!$BC$15:$BU$710,"="&amp;CRONO!AF$12,CÁLCULO!$AJ$15:$BB$710)/(ORÇAMENTO!$X$15-CÁLCULO.TotalAdmLocal)*CRONO!$E58,0),AF57*$R56),SUMIF(OFFSET($R58,1,0,$Q56-2),($L56+1)&amp;"$",OFFSET(AF58,1,0,$Q56-2)))</f>
        <v>0</v>
      </c>
      <c r="AG58" s="257">
        <f ca="1">IF($Q56=2,IF(AND(ACOMPANHAMENTO="PLE",ISNUMBER($E56)),SUMIF((OFFSET(CÁLCULO!$BC$15:$BU$15,$E56,0,OFFSET(ORÇAMENTO!$D$15,CRONO!$E56,0))),"="&amp;CRONO!AG$12,OFFSET(CÁLCULO!$AJ$15:$BB$15,$E56,0,OFFSET(ORÇAMENTO!$D$15,CRONO!$E56,0)))+IF(AND($E58&lt;&gt;"",$E58&lt;&gt;0),SUMIF(CÁLCULO!$BC$15:$BU$710,"="&amp;CRONO!AG$12,CÁLCULO!$AJ$15:$BB$710)/(ORÇAMENTO!$X$15-CÁLCULO.TotalAdmLocal)*CRONO!$E58,0),AG57*$R56),SUMIF(OFFSET($R58,1,0,$Q56-2),($L56+1)&amp;"$",OFFSET(AG58,1,0,$Q56-2)))</f>
        <v>0</v>
      </c>
      <c r="AH58" s="257">
        <f ca="1">IF($Q56=2,IF(AND(ACOMPANHAMENTO="PLE",ISNUMBER($E56)),SUMIF((OFFSET(CÁLCULO!$BC$15:$BU$15,$E56,0,OFFSET(ORÇAMENTO!$D$15,CRONO!$E56,0))),"="&amp;CRONO!AH$12,OFFSET(CÁLCULO!$AJ$15:$BB$15,$E56,0,OFFSET(ORÇAMENTO!$D$15,CRONO!$E56,0)))+IF(AND($E58&lt;&gt;"",$E58&lt;&gt;0),SUMIF(CÁLCULO!$BC$15:$BU$710,"="&amp;CRONO!AH$12,CÁLCULO!$AJ$15:$BB$710)/(ORÇAMENTO!$X$15-CÁLCULO.TotalAdmLocal)*CRONO!$E58,0),AH57*$R56),SUMIF(OFFSET($R58,1,0,$Q56-2),($L56+1)&amp;"$",OFFSET(AH58,1,0,$Q56-2)))</f>
        <v>0</v>
      </c>
      <c r="AI58" s="257">
        <f ca="1">IF($Q56=2,IF(AND(ACOMPANHAMENTO="PLE",ISNUMBER($E56)),SUMIF((OFFSET(CÁLCULO!$BC$15:$BU$15,$E56,0,OFFSET(ORÇAMENTO!$D$15,CRONO!$E56,0))),"="&amp;CRONO!AI$12,OFFSET(CÁLCULO!$AJ$15:$BB$15,$E56,0,OFFSET(ORÇAMENTO!$D$15,CRONO!$E56,0)))+IF(AND($E58&lt;&gt;"",$E58&lt;&gt;0),SUMIF(CÁLCULO!$BC$15:$BU$710,"="&amp;CRONO!AI$12,CÁLCULO!$AJ$15:$BB$710)/(ORÇAMENTO!$X$15-CÁLCULO.TotalAdmLocal)*CRONO!$E58,0),AI57*$R56),SUMIF(OFFSET($R58,1,0,$Q56-2),($L56+1)&amp;"$",OFFSET(AI58,1,0,$Q56-2)))</f>
        <v>0</v>
      </c>
      <c r="AJ58" s="257">
        <f ca="1">IF($Q56=2,IF(AND(ACOMPANHAMENTO="PLE",ISNUMBER($E56)),SUMIF((OFFSET(CÁLCULO!$BC$15:$BU$15,$E56,0,OFFSET(ORÇAMENTO!$D$15,CRONO!$E56,0))),"="&amp;CRONO!AJ$12,OFFSET(CÁLCULO!$AJ$15:$BB$15,$E56,0,OFFSET(ORÇAMENTO!$D$15,CRONO!$E56,0)))+IF(AND($E58&lt;&gt;"",$E58&lt;&gt;0),SUMIF(CÁLCULO!$BC$15:$BU$710,"="&amp;CRONO!AJ$12,CÁLCULO!$AJ$15:$BB$710)/(ORÇAMENTO!$X$15-CÁLCULO.TotalAdmLocal)*CRONO!$E58,0),AJ57*$R56),SUMIF(OFFSET($R58,1,0,$Q56-2),($L56+1)&amp;"$",OFFSET(AJ58,1,0,$Q56-2)))</f>
        <v>0</v>
      </c>
      <c r="AK58" s="257">
        <f ca="1">IF($Q56=2,IF(AND(ACOMPANHAMENTO="PLE",ISNUMBER($E56)),SUMIF((OFFSET(CÁLCULO!$BC$15:$BU$15,$E56,0,OFFSET(ORÇAMENTO!$D$15,CRONO!$E56,0))),"="&amp;CRONO!AK$12,OFFSET(CÁLCULO!$AJ$15:$BB$15,$E56,0,OFFSET(ORÇAMENTO!$D$15,CRONO!$E56,0)))+IF(AND($E58&lt;&gt;"",$E58&lt;&gt;0),SUMIF(CÁLCULO!$BC$15:$BU$710,"="&amp;CRONO!AK$12,CÁLCULO!$AJ$15:$BB$710)/(ORÇAMENTO!$X$15-CÁLCULO.TotalAdmLocal)*CRONO!$E58,0),AK57*$R56),SUMIF(OFFSET($R58,1,0,$Q56-2),($L56+1)&amp;"$",OFFSET(AK58,1,0,$Q56-2)))</f>
        <v>0</v>
      </c>
      <c r="AL58" s="257">
        <f ca="1">IF($Q56=2,IF(AND(ACOMPANHAMENTO="PLE",ISNUMBER($E56)),SUMIF((OFFSET(CÁLCULO!$BC$15:$BU$15,$E56,0,OFFSET(ORÇAMENTO!$D$15,CRONO!$E56,0))),"="&amp;CRONO!AL$12,OFFSET(CÁLCULO!$AJ$15:$BB$15,$E56,0,OFFSET(ORÇAMENTO!$D$15,CRONO!$E56,0)))+IF(AND($E58&lt;&gt;"",$E58&lt;&gt;0),SUMIF(CÁLCULO!$BC$15:$BU$710,"="&amp;CRONO!AL$12,CÁLCULO!$AJ$15:$BB$710)/(ORÇAMENTO!$X$15-CÁLCULO.TotalAdmLocal)*CRONO!$E58,0),AL57*$R56),SUMIF(OFFSET($R58,1,0,$Q56-2),($L56+1)&amp;"$",OFFSET(AL58,1,0,$Q56-2)))</f>
        <v>0</v>
      </c>
      <c r="AM58" s="257">
        <f ca="1">IF($Q56=2,IF(AND(ACOMPANHAMENTO="PLE",ISNUMBER($E56)),SUMIF((OFFSET(CÁLCULO!$BC$15:$BU$15,$E56,0,OFFSET(ORÇAMENTO!$D$15,CRONO!$E56,0))),"="&amp;CRONO!AM$12,OFFSET(CÁLCULO!$AJ$15:$BB$15,$E56,0,OFFSET(ORÇAMENTO!$D$15,CRONO!$E56,0)))+IF(AND($E58&lt;&gt;"",$E58&lt;&gt;0),SUMIF(CÁLCULO!$BC$15:$BU$710,"="&amp;CRONO!AM$12,CÁLCULO!$AJ$15:$BB$710)/(ORÇAMENTO!$X$15-CÁLCULO.TotalAdmLocal)*CRONO!$E58,0),AM57*$R56),SUMIF(OFFSET($R58,1,0,$Q56-2),($L56+1)&amp;"$",OFFSET(AM58,1,0,$Q56-2)))</f>
        <v>0</v>
      </c>
      <c r="AN58" s="257">
        <f ca="1">IF($Q56=2,IF(AND(ACOMPANHAMENTO="PLE",ISNUMBER($E56)),SUMIF((OFFSET(CÁLCULO!$BC$15:$BU$15,$E56,0,OFFSET(ORÇAMENTO!$D$15,CRONO!$E56,0))),"="&amp;CRONO!AN$12,OFFSET(CÁLCULO!$AJ$15:$BB$15,$E56,0,OFFSET(ORÇAMENTO!$D$15,CRONO!$E56,0)))+IF(AND($E58&lt;&gt;"",$E58&lt;&gt;0),SUMIF(CÁLCULO!$BC$15:$BU$710,"="&amp;CRONO!AN$12,CÁLCULO!$AJ$15:$BB$710)/(ORÇAMENTO!$X$15-CÁLCULO.TotalAdmLocal)*CRONO!$E58,0),AN57*$R56),SUMIF(OFFSET($R58,1,0,$Q56-2),($L56+1)&amp;"$",OFFSET(AN58,1,0,$Q56-2)))</f>
        <v>0</v>
      </c>
      <c r="AO58" s="257">
        <f ca="1">IF($Q56=2,IF(AND(ACOMPANHAMENTO="PLE",ISNUMBER($E56)),SUMIF((OFFSET(CÁLCULO!$BC$15:$BU$15,$E56,0,OFFSET(ORÇAMENTO!$D$15,CRONO!$E56,0))),"="&amp;CRONO!AO$12,OFFSET(CÁLCULO!$AJ$15:$BB$15,$E56,0,OFFSET(ORÇAMENTO!$D$15,CRONO!$E56,0)))+IF(AND($E58&lt;&gt;"",$E58&lt;&gt;0),SUMIF(CÁLCULO!$BC$15:$BU$710,"="&amp;CRONO!AO$12,CÁLCULO!$AJ$15:$BB$710)/(ORÇAMENTO!$X$15-CÁLCULO.TotalAdmLocal)*CRONO!$E58,0),AO57*$R56),SUMIF(OFFSET($R58,1,0,$Q56-2),($L56+1)&amp;"$",OFFSET(AO58,1,0,$Q56-2)))</f>
        <v>0</v>
      </c>
      <c r="AP58" s="257">
        <f ca="1">IF($Q56=2,IF(AND(ACOMPANHAMENTO="PLE",ISNUMBER($E56)),SUMIF((OFFSET(CÁLCULO!$BC$15:$BU$15,$E56,0,OFFSET(ORÇAMENTO!$D$15,CRONO!$E56,0))),"="&amp;CRONO!AP$12,OFFSET(CÁLCULO!$AJ$15:$BB$15,$E56,0,OFFSET(ORÇAMENTO!$D$15,CRONO!$E56,0)))+IF(AND($E58&lt;&gt;"",$E58&lt;&gt;0),SUMIF(CÁLCULO!$BC$15:$BU$710,"="&amp;CRONO!AP$12,CÁLCULO!$AJ$15:$BB$710)/(ORÇAMENTO!$X$15-CÁLCULO.TotalAdmLocal)*CRONO!$E58,0),AP57*$R56),SUMIF(OFFSET($R58,1,0,$Q56-2),($L56+1)&amp;"$",OFFSET(AP58,1,0,$Q56-2)))</f>
        <v>0</v>
      </c>
      <c r="AQ58" s="262">
        <f ca="1">IF($Q56=2,IF(AND(ACOMPANHAMENTO="PLE",ISNUMBER($E56)),SUMIF((OFFSET(CÁLCULO!$BC$15:$BU$15,$E56,0,OFFSET(ORÇAMENTO!$D$15,CRONO!$E56,0))),"="&amp;CRONO!AQ$12,OFFSET(CÁLCULO!$AJ$15:$BB$15,$E56,0,OFFSET(ORÇAMENTO!$D$15,CRONO!$E56,0)))+IF(AND($E58&lt;&gt;"",$E58&lt;&gt;0),SUMIF(CÁLCULO!$BC$15:$BU$710,"="&amp;CRONO!AQ$12,CÁLCULO!$AJ$15:$BB$710)/(ORÇAMENTO!$X$15-CÁLCULO.TotalAdmLocal)*CRONO!$E58,0),AQ57*$R56),SUMIF(OFFSET($R58,1,0,$Q56-2),($L56+1)&amp;"$",OFFSET(AQ58,1,0,$Q56-2)))</f>
        <v>0</v>
      </c>
    </row>
    <row r="59" spans="1:44" x14ac:dyDescent="0.25">
      <c r="A59" s="238">
        <f ca="1">OFFSET(A59,-3,0)+1</f>
        <v>16</v>
      </c>
      <c r="B59" s="238">
        <f ca="1">IF($Q59&lt;&gt;2,0,IF($R59=0,1,IF(E60&gt;0,OFFSET(QCI!$M$13,SUBSTITUTE(E60,".",""),0),OFFSET(ORÇAMENTO!$AA$15,CRONO!$E59,0))/$R59))</f>
        <v>1</v>
      </c>
      <c r="C59" s="238">
        <f ca="1">IF($Q59&lt;&gt;2,0,IF($R59=0,1,IF(E60&gt;0,OFFSET(QCI!$N$13,SUBSTITUTE(E60,".",""),0),OFFSET(ORÇAMENTO!$AB$15,CRONO!$E59,0))/$R59))</f>
        <v>1</v>
      </c>
      <c r="D59" s="241">
        <f ca="1">IF(AND($Q59=2,ACOMPANHAMENTO="BM"),D60,D61/$R59)</f>
        <v>0</v>
      </c>
      <c r="E59" s="238">
        <f ca="1">IF(A59&lt;=ORÇAMENTO.MáximoListaCrono,MATCH(A59,ORÇAMENTO.ListaCrono,0),NA())</f>
        <v>431</v>
      </c>
      <c r="F59" s="238" t="str">
        <f ca="1">IF(AND($E60&lt;&gt;-1,$R59&gt;0),"F","")</f>
        <v/>
      </c>
      <c r="G59" s="242" t="str">
        <f ca="1">IF(OR(R59=0,R59=""),"Linha",IF(AND(OR(ACOMPANHAMENTO="PLE",$Q59&lt;&gt;2),$E60=0),"Linha",1-SUM(T59:AR59)))</f>
        <v>Linha</v>
      </c>
      <c r="H59" s="243" t="str">
        <f ca="1">IF($E60=0,OFFSET(ORÇAMENTO!O$15,$E59,0),IF($E60&lt;&gt;-1,OFFSET(QCI!$D$13,$E60,0),""))</f>
        <v>1.15.</v>
      </c>
      <c r="I59" s="244" t="str">
        <f ca="1">IF($E60=0,OFFSET(ORÇAMENTO!R$15,$E59,0),IF($E60&lt;&gt;-1,OFFSET(QCI!$G$13,$E60,0),""))</f>
        <v>LOUÇAS, ACESSÓRIOS E METAIS</v>
      </c>
      <c r="J59" s="244"/>
      <c r="K59" s="244"/>
      <c r="L59" s="245">
        <f ca="1">IF($E60=0,OFFSET(ORÇAMENTO!C$15,$E59,0),1)</f>
        <v>2</v>
      </c>
      <c r="M59" s="246">
        <f ca="1">IF($E60=-1,0,IF(M$13&lt;=$L59,IF(ISERROR(MATCH(M$13,OFFSET($L59,1,0,ROW($L$98)-ROW($L59)-1),0)),ROW($L$98)-ROW($L59)-1,MATCH(M$13,OFFSET($L59,1,0,ROW($L$98)-ROW($L59)-1),0)-1),0))</f>
        <v>29</v>
      </c>
      <c r="N59" s="246">
        <f ca="1">IF($E60=-1,0,IF(N$13&lt;=$L59,IF(ISERROR(MATCH(N$13,OFFSET($L59,1,0,ROW($L$98)-ROW($L59)-1),0)),ROW($L$98)-ROW($L59)-1,MATCH(N$13,OFFSET($L59,1,0,ROW($L$98)-ROW($L59)-1),0)-1),0))</f>
        <v>2</v>
      </c>
      <c r="O59" s="246">
        <f ca="1">IF($E60=-1,0,IF(O$13&lt;=$L59,IF(ISERROR(MATCH(O$13,OFFSET($L59,1,0,ROW($L$98)-ROW($L59)-1),0)),ROW($L$98)-ROW($L59)-1,MATCH(O$13,OFFSET($L59,1,0,ROW($L$98)-ROW($L59)-1),0)-1),0))</f>
        <v>0</v>
      </c>
      <c r="P59" s="246">
        <f ca="1">IF($E60=-1,0,IF(P$13&lt;=$L59,IF(ISERROR(MATCH(P$13,OFFSET($L59,1,0,ROW($L$98)-ROW($L59)-1),0)),ROW($L$98)-ROW($L59)-1,MATCH(P$13,OFFSET($L59,1,0,ROW($L$98)-ROW($L59)-1),0)-1),0))</f>
        <v>0</v>
      </c>
      <c r="Q59" s="246">
        <f ca="1">MIN(OFFSET(L59,0,1,,L59))</f>
        <v>2</v>
      </c>
      <c r="R59" s="247">
        <f ca="1">IF($E60=0,OFFSET(ORÇAMENTO!X$15,$E59,0),IF($E60&lt;&gt;-1,OFFSET(QCI!$O$13,$E60,0),""))</f>
        <v>0</v>
      </c>
      <c r="S59" s="248" t="s">
        <v>272</v>
      </c>
      <c r="T59" s="249">
        <f t="shared" ref="T59:AQ59" ca="1" si="19">IF(AND($Q59=2,ACOMPANHAMENTO="BM"),T60,T61/$R59)</f>
        <v>0</v>
      </c>
      <c r="U59" s="241">
        <f t="shared" ca="1" si="19"/>
        <v>0</v>
      </c>
      <c r="V59" s="241">
        <f t="shared" ca="1" si="19"/>
        <v>0</v>
      </c>
      <c r="W59" s="241">
        <f t="shared" ca="1" si="19"/>
        <v>0</v>
      </c>
      <c r="X59" s="241">
        <f t="shared" ca="1" si="19"/>
        <v>0</v>
      </c>
      <c r="Y59" s="241">
        <f t="shared" ca="1" si="19"/>
        <v>0</v>
      </c>
      <c r="Z59" s="241">
        <f t="shared" ca="1" si="19"/>
        <v>0</v>
      </c>
      <c r="AA59" s="241">
        <f t="shared" ca="1" si="19"/>
        <v>0</v>
      </c>
      <c r="AB59" s="241">
        <f t="shared" ca="1" si="19"/>
        <v>0</v>
      </c>
      <c r="AC59" s="241">
        <f t="shared" ca="1" si="19"/>
        <v>0</v>
      </c>
      <c r="AD59" s="241">
        <f t="shared" ca="1" si="19"/>
        <v>0</v>
      </c>
      <c r="AE59" s="250">
        <f t="shared" ca="1" si="19"/>
        <v>0</v>
      </c>
      <c r="AF59" s="249">
        <f t="shared" ca="1" si="19"/>
        <v>0.1</v>
      </c>
      <c r="AG59" s="241">
        <f t="shared" ca="1" si="19"/>
        <v>0.2</v>
      </c>
      <c r="AH59" s="241">
        <f t="shared" ca="1" si="19"/>
        <v>0.3</v>
      </c>
      <c r="AI59" s="241">
        <f t="shared" ca="1" si="19"/>
        <v>0.4</v>
      </c>
      <c r="AJ59" s="241">
        <f t="shared" ca="1" si="19"/>
        <v>0</v>
      </c>
      <c r="AK59" s="241">
        <f t="shared" ca="1" si="19"/>
        <v>0</v>
      </c>
      <c r="AL59" s="241">
        <f t="shared" ca="1" si="19"/>
        <v>0</v>
      </c>
      <c r="AM59" s="241">
        <f t="shared" ca="1" si="19"/>
        <v>0</v>
      </c>
      <c r="AN59" s="241">
        <f t="shared" ca="1" si="19"/>
        <v>0</v>
      </c>
      <c r="AO59" s="241">
        <f t="shared" ca="1" si="19"/>
        <v>0</v>
      </c>
      <c r="AP59" s="241">
        <f t="shared" ca="1" si="19"/>
        <v>0</v>
      </c>
      <c r="AQ59" s="250">
        <f t="shared" ca="1" si="19"/>
        <v>0</v>
      </c>
    </row>
    <row r="60" spans="1:44" ht="12.75" customHeight="1" x14ac:dyDescent="0.25">
      <c r="D60" s="658"/>
      <c r="E60" s="238">
        <f ca="1">IF(ISERROR(E59),IF(1+COUNTIF($L$13:OFFSET(L59,-1,0),1)&lt;=MAX(QCI!$D$13:$D$24),1+COUNTIF($L$13:OFFSET(L59,-1,0),1),-1),0)</f>
        <v>0</v>
      </c>
      <c r="F60" s="238" t="str">
        <f ca="1">IF(AND($E60&lt;&gt;-1,$R59&gt;0),"F","")</f>
        <v/>
      </c>
      <c r="G60" s="251" t="str">
        <f ca="1">IF(OR(R59=0,R59=""),"vazia",IF(AND(OR(ACOMPANHAMENTO="PLE",$Q59&lt;&gt;2),$E60=0),"calculada","--&gt;"))</f>
        <v>vazia</v>
      </c>
      <c r="H60" s="252"/>
      <c r="I60" s="253" t="str">
        <f ca="1">IF(AND(G59&lt;&gt;0,ISNUMBER(G59)),"PREENCHA ESTA LINHA --&gt;","")</f>
        <v/>
      </c>
      <c r="J60" s="253"/>
      <c r="K60" s="253"/>
      <c r="L60" s="254"/>
      <c r="M60" s="254"/>
      <c r="N60" s="254"/>
      <c r="O60" s="254"/>
      <c r="P60" s="254"/>
      <c r="Q60" s="254"/>
      <c r="R60" s="255"/>
      <c r="S60" s="256"/>
      <c r="T60" s="659"/>
      <c r="U60" s="658"/>
      <c r="V60" s="658"/>
      <c r="W60" s="658"/>
      <c r="X60" s="658"/>
      <c r="Y60" s="658"/>
      <c r="Z60" s="658"/>
      <c r="AA60" s="658"/>
      <c r="AB60" s="658"/>
      <c r="AC60" s="658"/>
      <c r="AD60" s="658"/>
      <c r="AE60" s="660"/>
      <c r="AF60" s="659">
        <v>0.1</v>
      </c>
      <c r="AG60" s="658">
        <v>0.2</v>
      </c>
      <c r="AH60" s="658">
        <v>0.3</v>
      </c>
      <c r="AI60" s="658">
        <v>0.4</v>
      </c>
      <c r="AJ60" s="658"/>
      <c r="AK60" s="658"/>
      <c r="AL60" s="658"/>
      <c r="AM60" s="658"/>
      <c r="AN60" s="658"/>
      <c r="AO60" s="658"/>
      <c r="AP60" s="658"/>
      <c r="AQ60" s="660"/>
      <c r="AR60" s="618"/>
    </row>
    <row r="61" spans="1:44" ht="0.15" hidden="1" customHeight="1" x14ac:dyDescent="0.25">
      <c r="D61" s="257">
        <f ca="1">IF($Q59=2,IF(AND(ACOMPANHAMENTO="PLE",ISNUMBER($E59)),SUMIF((OFFSET(CÁLCULO!$BC$15:$BU$15,$E59,0,OFFSET(ORÇAMENTO!$D$15,CRONO!$E59,0))),"="&amp;CRONO!D$12,OFFSET(CÁLCULO!$AJ$15:$BB$15,$E59,0,OFFSET(ORÇAMENTO!$D$15,CRONO!$E59,0)))+IF(AND($E61&lt;&gt;"",$E61&lt;&gt;0),SUMIF(CÁLCULO!$BC$15:$BU$710,"="&amp;CRONO!D$12,CÁLCULO!$AJ$15:$BB$710)/(ORÇAMENTO!$X$15-CÁLCULO.TotalAdmLocal)*CRONO!$E61,0),D60*$R59),SUMIF(OFFSET($R61,1,0,$Q59-2),($L59+1)&amp;"$",OFFSET(D61,1,0,$Q59-2)))</f>
        <v>0</v>
      </c>
      <c r="E61" s="238">
        <f ca="1">IF(OR($Q59&lt;&gt;2,AUTOEVENTO&lt;&gt;"manual",$E60&gt;0),"",SUMIF(OFFSET(CÁLCULO!$M$15,CRONO!$E59,0,OFFSET(ORÇAMENTO!$D$15,CRONO!$E59,0)),1,OFFSET(ORÇAMENTO!$X$15,CRONO!$E59,0,OFFSET(ORÇAMENTO!$D$15,CRONO!$E59,0))))</f>
        <v>0</v>
      </c>
      <c r="G61" s="258"/>
      <c r="R61" s="259" t="str">
        <f ca="1">L59&amp;"$"</f>
        <v>2$</v>
      </c>
      <c r="S61" s="260"/>
      <c r="T61" s="261">
        <f ca="1">IF($Q59=2,IF(AND(ACOMPANHAMENTO="PLE",ISNUMBER($E59)),SUMIF((OFFSET(CÁLCULO!$BC$15:$BU$15,$E59,0,OFFSET(ORÇAMENTO!$D$15,CRONO!$E59,0))),"&lt;="&amp;CRONO!T$12,OFFSET(CÁLCULO!$AJ$15:$BB$15,$E59,0,OFFSET(ORÇAMENTO!$D$15,CRONO!$E59,0)))+IF(AND($E61&lt;&gt;"",$E61&lt;&gt;0),SUMIF(CÁLCULO!$BC$15:$BU$710,"&lt;="&amp;CRONO!T$12,CÁLCULO!$AJ$15:$BB$710)/(ORÇAMENTO!$X$15-CÁLCULO.TotalAdmLocal)*CRONO!$E61,0),T60*$R59),SUMIF(OFFSET($R61,1,0,$Q59-2),($L59+1)&amp;"$",OFFSET(T61,1,0,$Q59-2)))</f>
        <v>0</v>
      </c>
      <c r="U61" s="257">
        <f ca="1">IF($Q59=2,IF(AND(ACOMPANHAMENTO="PLE",ISNUMBER($E59)),SUMIF((OFFSET(CÁLCULO!$BC$15:$BU$15,$E59,0,OFFSET(ORÇAMENTO!$D$15,CRONO!$E59,0))),"="&amp;CRONO!U$12,OFFSET(CÁLCULO!$AJ$15:$BB$15,$E59,0,OFFSET(ORÇAMENTO!$D$15,CRONO!$E59,0)))+IF(AND($E61&lt;&gt;"",$E61&lt;&gt;0),SUMIF(CÁLCULO!$BC$15:$BU$710,"="&amp;CRONO!U$12,CÁLCULO!$AJ$15:$BB$710)/(ORÇAMENTO!$X$15-CÁLCULO.TotalAdmLocal)*CRONO!$E61,0),U60*$R59),SUMIF(OFFSET($R61,1,0,$Q59-2),($L59+1)&amp;"$",OFFSET(U61,1,0,$Q59-2)))</f>
        <v>0</v>
      </c>
      <c r="V61" s="257">
        <f ca="1">IF($Q59=2,IF(AND(ACOMPANHAMENTO="PLE",ISNUMBER($E59)),SUMIF((OFFSET(CÁLCULO!$BC$15:$BU$15,$E59,0,OFFSET(ORÇAMENTO!$D$15,CRONO!$E59,0))),"="&amp;CRONO!V$12,OFFSET(CÁLCULO!$AJ$15:$BB$15,$E59,0,OFFSET(ORÇAMENTO!$D$15,CRONO!$E59,0)))+IF(AND($E61&lt;&gt;"",$E61&lt;&gt;0),SUMIF(CÁLCULO!$BC$15:$BU$710,"="&amp;CRONO!V$12,CÁLCULO!$AJ$15:$BB$710)/(ORÇAMENTO!$X$15-CÁLCULO.TotalAdmLocal)*CRONO!$E61,0),V60*$R59),SUMIF(OFFSET($R61,1,0,$Q59-2),($L59+1)&amp;"$",OFFSET(V61,1,0,$Q59-2)))</f>
        <v>0</v>
      </c>
      <c r="W61" s="257">
        <f ca="1">IF($Q59=2,IF(AND(ACOMPANHAMENTO="PLE",ISNUMBER($E59)),SUMIF((OFFSET(CÁLCULO!$BC$15:$BU$15,$E59,0,OFFSET(ORÇAMENTO!$D$15,CRONO!$E59,0))),"="&amp;CRONO!W$12,OFFSET(CÁLCULO!$AJ$15:$BB$15,$E59,0,OFFSET(ORÇAMENTO!$D$15,CRONO!$E59,0)))+IF(AND($E61&lt;&gt;"",$E61&lt;&gt;0),SUMIF(CÁLCULO!$BC$15:$BU$710,"="&amp;CRONO!W$12,CÁLCULO!$AJ$15:$BB$710)/(ORÇAMENTO!$X$15-CÁLCULO.TotalAdmLocal)*CRONO!$E61,0),W60*$R59),SUMIF(OFFSET($R61,1,0,$Q59-2),($L59+1)&amp;"$",OFFSET(W61,1,0,$Q59-2)))</f>
        <v>0</v>
      </c>
      <c r="X61" s="257">
        <f ca="1">IF($Q59=2,IF(AND(ACOMPANHAMENTO="PLE",ISNUMBER($E59)),SUMIF((OFFSET(CÁLCULO!$BC$15:$BU$15,$E59,0,OFFSET(ORÇAMENTO!$D$15,CRONO!$E59,0))),"="&amp;CRONO!X$12,OFFSET(CÁLCULO!$AJ$15:$BB$15,$E59,0,OFFSET(ORÇAMENTO!$D$15,CRONO!$E59,0)))+IF(AND($E61&lt;&gt;"",$E61&lt;&gt;0),SUMIF(CÁLCULO!$BC$15:$BU$710,"="&amp;CRONO!X$12,CÁLCULO!$AJ$15:$BB$710)/(ORÇAMENTO!$X$15-CÁLCULO.TotalAdmLocal)*CRONO!$E61,0),X60*$R59),SUMIF(OFFSET($R61,1,0,$Q59-2),($L59+1)&amp;"$",OFFSET(X61,1,0,$Q59-2)))</f>
        <v>0</v>
      </c>
      <c r="Y61" s="257">
        <f ca="1">IF($Q59=2,IF(AND(ACOMPANHAMENTO="PLE",ISNUMBER($E59)),SUMIF((OFFSET(CÁLCULO!$BC$15:$BU$15,$E59,0,OFFSET(ORÇAMENTO!$D$15,CRONO!$E59,0))),"="&amp;CRONO!Y$12,OFFSET(CÁLCULO!$AJ$15:$BB$15,$E59,0,OFFSET(ORÇAMENTO!$D$15,CRONO!$E59,0)))+IF(AND($E61&lt;&gt;"",$E61&lt;&gt;0),SUMIF(CÁLCULO!$BC$15:$BU$710,"="&amp;CRONO!Y$12,CÁLCULO!$AJ$15:$BB$710)/(ORÇAMENTO!$X$15-CÁLCULO.TotalAdmLocal)*CRONO!$E61,0),Y60*$R59),SUMIF(OFFSET($R61,1,0,$Q59-2),($L59+1)&amp;"$",OFFSET(Y61,1,0,$Q59-2)))</f>
        <v>0</v>
      </c>
      <c r="Z61" s="257">
        <f ca="1">IF($Q59=2,IF(AND(ACOMPANHAMENTO="PLE",ISNUMBER($E59)),SUMIF((OFFSET(CÁLCULO!$BC$15:$BU$15,$E59,0,OFFSET(ORÇAMENTO!$D$15,CRONO!$E59,0))),"="&amp;CRONO!Z$12,OFFSET(CÁLCULO!$AJ$15:$BB$15,$E59,0,OFFSET(ORÇAMENTO!$D$15,CRONO!$E59,0)))+IF(AND($E61&lt;&gt;"",$E61&lt;&gt;0),SUMIF(CÁLCULO!$BC$15:$BU$710,"="&amp;CRONO!Z$12,CÁLCULO!$AJ$15:$BB$710)/(ORÇAMENTO!$X$15-CÁLCULO.TotalAdmLocal)*CRONO!$E61,0),Z60*$R59),SUMIF(OFFSET($R61,1,0,$Q59-2),($L59+1)&amp;"$",OFFSET(Z61,1,0,$Q59-2)))</f>
        <v>0</v>
      </c>
      <c r="AA61" s="257">
        <f ca="1">IF($Q59=2,IF(AND(ACOMPANHAMENTO="PLE",ISNUMBER($E59)),SUMIF((OFFSET(CÁLCULO!$BC$15:$BU$15,$E59,0,OFFSET(ORÇAMENTO!$D$15,CRONO!$E59,0))),"="&amp;CRONO!AA$12,OFFSET(CÁLCULO!$AJ$15:$BB$15,$E59,0,OFFSET(ORÇAMENTO!$D$15,CRONO!$E59,0)))+IF(AND($E61&lt;&gt;"",$E61&lt;&gt;0),SUMIF(CÁLCULO!$BC$15:$BU$710,"="&amp;CRONO!AA$12,CÁLCULO!$AJ$15:$BB$710)/(ORÇAMENTO!$X$15-CÁLCULO.TotalAdmLocal)*CRONO!$E61,0),AA60*$R59),SUMIF(OFFSET($R61,1,0,$Q59-2),($L59+1)&amp;"$",OFFSET(AA61,1,0,$Q59-2)))</f>
        <v>0</v>
      </c>
      <c r="AB61" s="257">
        <f ca="1">IF($Q59=2,IF(AND(ACOMPANHAMENTO="PLE",ISNUMBER($E59)),SUMIF((OFFSET(CÁLCULO!$BC$15:$BU$15,$E59,0,OFFSET(ORÇAMENTO!$D$15,CRONO!$E59,0))),"="&amp;CRONO!AB$12,OFFSET(CÁLCULO!$AJ$15:$BB$15,$E59,0,OFFSET(ORÇAMENTO!$D$15,CRONO!$E59,0)))+IF(AND($E61&lt;&gt;"",$E61&lt;&gt;0),SUMIF(CÁLCULO!$BC$15:$BU$710,"="&amp;CRONO!AB$12,CÁLCULO!$AJ$15:$BB$710)/(ORÇAMENTO!$X$15-CÁLCULO.TotalAdmLocal)*CRONO!$E61,0),AB60*$R59),SUMIF(OFFSET($R61,1,0,$Q59-2),($L59+1)&amp;"$",OFFSET(AB61,1,0,$Q59-2)))</f>
        <v>0</v>
      </c>
      <c r="AC61" s="257">
        <f ca="1">IF($Q59=2,IF(AND(ACOMPANHAMENTO="PLE",ISNUMBER($E59)),SUMIF((OFFSET(CÁLCULO!$BC$15:$BU$15,$E59,0,OFFSET(ORÇAMENTO!$D$15,CRONO!$E59,0))),"="&amp;CRONO!AC$12,OFFSET(CÁLCULO!$AJ$15:$BB$15,$E59,0,OFFSET(ORÇAMENTO!$D$15,CRONO!$E59,0)))+IF(AND($E61&lt;&gt;"",$E61&lt;&gt;0),SUMIF(CÁLCULO!$BC$15:$BU$710,"="&amp;CRONO!AC$12,CÁLCULO!$AJ$15:$BB$710)/(ORÇAMENTO!$X$15-CÁLCULO.TotalAdmLocal)*CRONO!$E61,0),AC60*$R59),SUMIF(OFFSET($R61,1,0,$Q59-2),($L59+1)&amp;"$",OFFSET(AC61,1,0,$Q59-2)))</f>
        <v>0</v>
      </c>
      <c r="AD61" s="257">
        <f ca="1">IF($Q59=2,IF(AND(ACOMPANHAMENTO="PLE",ISNUMBER($E59)),SUMIF((OFFSET(CÁLCULO!$BC$15:$BU$15,$E59,0,OFFSET(ORÇAMENTO!$D$15,CRONO!$E59,0))),"="&amp;CRONO!AD$12,OFFSET(CÁLCULO!$AJ$15:$BB$15,$E59,0,OFFSET(ORÇAMENTO!$D$15,CRONO!$E59,0)))+IF(AND($E61&lt;&gt;"",$E61&lt;&gt;0),SUMIF(CÁLCULO!$BC$15:$BU$710,"="&amp;CRONO!AD$12,CÁLCULO!$AJ$15:$BB$710)/(ORÇAMENTO!$X$15-CÁLCULO.TotalAdmLocal)*CRONO!$E61,0),AD60*$R59),SUMIF(OFFSET($R61,1,0,$Q59-2),($L59+1)&amp;"$",OFFSET(AD61,1,0,$Q59-2)))</f>
        <v>0</v>
      </c>
      <c r="AE61" s="262">
        <f ca="1">IF($Q59=2,IF(AND(ACOMPANHAMENTO="PLE",ISNUMBER($E59)),SUMIF((OFFSET(CÁLCULO!$BC$15:$BU$15,$E59,0,OFFSET(ORÇAMENTO!$D$15,CRONO!$E59,0))),"="&amp;CRONO!AE$12,OFFSET(CÁLCULO!$AJ$15:$BB$15,$E59,0,OFFSET(ORÇAMENTO!$D$15,CRONO!$E59,0)))+IF(AND($E61&lt;&gt;"",$E61&lt;&gt;0),SUMIF(CÁLCULO!$BC$15:$BU$710,"="&amp;CRONO!AE$12,CÁLCULO!$AJ$15:$BB$710)/(ORÇAMENTO!$X$15-CÁLCULO.TotalAdmLocal)*CRONO!$E61,0),AE60*$R59),SUMIF(OFFSET($R61,1,0,$Q59-2),($L59+1)&amp;"$",OFFSET(AE61,1,0,$Q59-2)))</f>
        <v>0</v>
      </c>
      <c r="AF61" s="261">
        <f ca="1">IF($Q59=2,IF(AND(ACOMPANHAMENTO="PLE",ISNUMBER($E59)),SUMIF((OFFSET(CÁLCULO!$BC$15:$BU$15,$E59,0,OFFSET(ORÇAMENTO!$D$15,CRONO!$E59,0))),"="&amp;CRONO!AF$12,OFFSET(CÁLCULO!$AJ$15:$BB$15,$E59,0,OFFSET(ORÇAMENTO!$D$15,CRONO!$E59,0)))+IF(AND($E61&lt;&gt;"",$E61&lt;&gt;0),SUMIF(CÁLCULO!$BC$15:$BU$710,"="&amp;CRONO!AF$12,CÁLCULO!$AJ$15:$BB$710)/(ORÇAMENTO!$X$15-CÁLCULO.TotalAdmLocal)*CRONO!$E61,0),AF60*$R59),SUMIF(OFFSET($R61,1,0,$Q59-2),($L59+1)&amp;"$",OFFSET(AF61,1,0,$Q59-2)))</f>
        <v>0</v>
      </c>
      <c r="AG61" s="257">
        <f ca="1">IF($Q59=2,IF(AND(ACOMPANHAMENTO="PLE",ISNUMBER($E59)),SUMIF((OFFSET(CÁLCULO!$BC$15:$BU$15,$E59,0,OFFSET(ORÇAMENTO!$D$15,CRONO!$E59,0))),"="&amp;CRONO!AG$12,OFFSET(CÁLCULO!$AJ$15:$BB$15,$E59,0,OFFSET(ORÇAMENTO!$D$15,CRONO!$E59,0)))+IF(AND($E61&lt;&gt;"",$E61&lt;&gt;0),SUMIF(CÁLCULO!$BC$15:$BU$710,"="&amp;CRONO!AG$12,CÁLCULO!$AJ$15:$BB$710)/(ORÇAMENTO!$X$15-CÁLCULO.TotalAdmLocal)*CRONO!$E61,0),AG60*$R59),SUMIF(OFFSET($R61,1,0,$Q59-2),($L59+1)&amp;"$",OFFSET(AG61,1,0,$Q59-2)))</f>
        <v>0</v>
      </c>
      <c r="AH61" s="257">
        <f ca="1">IF($Q59=2,IF(AND(ACOMPANHAMENTO="PLE",ISNUMBER($E59)),SUMIF((OFFSET(CÁLCULO!$BC$15:$BU$15,$E59,0,OFFSET(ORÇAMENTO!$D$15,CRONO!$E59,0))),"="&amp;CRONO!AH$12,OFFSET(CÁLCULO!$AJ$15:$BB$15,$E59,0,OFFSET(ORÇAMENTO!$D$15,CRONO!$E59,0)))+IF(AND($E61&lt;&gt;"",$E61&lt;&gt;0),SUMIF(CÁLCULO!$BC$15:$BU$710,"="&amp;CRONO!AH$12,CÁLCULO!$AJ$15:$BB$710)/(ORÇAMENTO!$X$15-CÁLCULO.TotalAdmLocal)*CRONO!$E61,0),AH60*$R59),SUMIF(OFFSET($R61,1,0,$Q59-2),($L59+1)&amp;"$",OFFSET(AH61,1,0,$Q59-2)))</f>
        <v>0</v>
      </c>
      <c r="AI61" s="257">
        <f ca="1">IF($Q59=2,IF(AND(ACOMPANHAMENTO="PLE",ISNUMBER($E59)),SUMIF((OFFSET(CÁLCULO!$BC$15:$BU$15,$E59,0,OFFSET(ORÇAMENTO!$D$15,CRONO!$E59,0))),"="&amp;CRONO!AI$12,OFFSET(CÁLCULO!$AJ$15:$BB$15,$E59,0,OFFSET(ORÇAMENTO!$D$15,CRONO!$E59,0)))+IF(AND($E61&lt;&gt;"",$E61&lt;&gt;0),SUMIF(CÁLCULO!$BC$15:$BU$710,"="&amp;CRONO!AI$12,CÁLCULO!$AJ$15:$BB$710)/(ORÇAMENTO!$X$15-CÁLCULO.TotalAdmLocal)*CRONO!$E61,0),AI60*$R59),SUMIF(OFFSET($R61,1,0,$Q59-2),($L59+1)&amp;"$",OFFSET(AI61,1,0,$Q59-2)))</f>
        <v>0</v>
      </c>
      <c r="AJ61" s="257">
        <f ca="1">IF($Q59=2,IF(AND(ACOMPANHAMENTO="PLE",ISNUMBER($E59)),SUMIF((OFFSET(CÁLCULO!$BC$15:$BU$15,$E59,0,OFFSET(ORÇAMENTO!$D$15,CRONO!$E59,0))),"="&amp;CRONO!AJ$12,OFFSET(CÁLCULO!$AJ$15:$BB$15,$E59,0,OFFSET(ORÇAMENTO!$D$15,CRONO!$E59,0)))+IF(AND($E61&lt;&gt;"",$E61&lt;&gt;0),SUMIF(CÁLCULO!$BC$15:$BU$710,"="&amp;CRONO!AJ$12,CÁLCULO!$AJ$15:$BB$710)/(ORÇAMENTO!$X$15-CÁLCULO.TotalAdmLocal)*CRONO!$E61,0),AJ60*$R59),SUMIF(OFFSET($R61,1,0,$Q59-2),($L59+1)&amp;"$",OFFSET(AJ61,1,0,$Q59-2)))</f>
        <v>0</v>
      </c>
      <c r="AK61" s="257">
        <f ca="1">IF($Q59=2,IF(AND(ACOMPANHAMENTO="PLE",ISNUMBER($E59)),SUMIF((OFFSET(CÁLCULO!$BC$15:$BU$15,$E59,0,OFFSET(ORÇAMENTO!$D$15,CRONO!$E59,0))),"="&amp;CRONO!AK$12,OFFSET(CÁLCULO!$AJ$15:$BB$15,$E59,0,OFFSET(ORÇAMENTO!$D$15,CRONO!$E59,0)))+IF(AND($E61&lt;&gt;"",$E61&lt;&gt;0),SUMIF(CÁLCULO!$BC$15:$BU$710,"="&amp;CRONO!AK$12,CÁLCULO!$AJ$15:$BB$710)/(ORÇAMENTO!$X$15-CÁLCULO.TotalAdmLocal)*CRONO!$E61,0),AK60*$R59),SUMIF(OFFSET($R61,1,0,$Q59-2),($L59+1)&amp;"$",OFFSET(AK61,1,0,$Q59-2)))</f>
        <v>0</v>
      </c>
      <c r="AL61" s="257">
        <f ca="1">IF($Q59=2,IF(AND(ACOMPANHAMENTO="PLE",ISNUMBER($E59)),SUMIF((OFFSET(CÁLCULO!$BC$15:$BU$15,$E59,0,OFFSET(ORÇAMENTO!$D$15,CRONO!$E59,0))),"="&amp;CRONO!AL$12,OFFSET(CÁLCULO!$AJ$15:$BB$15,$E59,0,OFFSET(ORÇAMENTO!$D$15,CRONO!$E59,0)))+IF(AND($E61&lt;&gt;"",$E61&lt;&gt;0),SUMIF(CÁLCULO!$BC$15:$BU$710,"="&amp;CRONO!AL$12,CÁLCULO!$AJ$15:$BB$710)/(ORÇAMENTO!$X$15-CÁLCULO.TotalAdmLocal)*CRONO!$E61,0),AL60*$R59),SUMIF(OFFSET($R61,1,0,$Q59-2),($L59+1)&amp;"$",OFFSET(AL61,1,0,$Q59-2)))</f>
        <v>0</v>
      </c>
      <c r="AM61" s="257">
        <f ca="1">IF($Q59=2,IF(AND(ACOMPANHAMENTO="PLE",ISNUMBER($E59)),SUMIF((OFFSET(CÁLCULO!$BC$15:$BU$15,$E59,0,OFFSET(ORÇAMENTO!$D$15,CRONO!$E59,0))),"="&amp;CRONO!AM$12,OFFSET(CÁLCULO!$AJ$15:$BB$15,$E59,0,OFFSET(ORÇAMENTO!$D$15,CRONO!$E59,0)))+IF(AND($E61&lt;&gt;"",$E61&lt;&gt;0),SUMIF(CÁLCULO!$BC$15:$BU$710,"="&amp;CRONO!AM$12,CÁLCULO!$AJ$15:$BB$710)/(ORÇAMENTO!$X$15-CÁLCULO.TotalAdmLocal)*CRONO!$E61,0),AM60*$R59),SUMIF(OFFSET($R61,1,0,$Q59-2),($L59+1)&amp;"$",OFFSET(AM61,1,0,$Q59-2)))</f>
        <v>0</v>
      </c>
      <c r="AN61" s="257">
        <f ca="1">IF($Q59=2,IF(AND(ACOMPANHAMENTO="PLE",ISNUMBER($E59)),SUMIF((OFFSET(CÁLCULO!$BC$15:$BU$15,$E59,0,OFFSET(ORÇAMENTO!$D$15,CRONO!$E59,0))),"="&amp;CRONO!AN$12,OFFSET(CÁLCULO!$AJ$15:$BB$15,$E59,0,OFFSET(ORÇAMENTO!$D$15,CRONO!$E59,0)))+IF(AND($E61&lt;&gt;"",$E61&lt;&gt;0),SUMIF(CÁLCULO!$BC$15:$BU$710,"="&amp;CRONO!AN$12,CÁLCULO!$AJ$15:$BB$710)/(ORÇAMENTO!$X$15-CÁLCULO.TotalAdmLocal)*CRONO!$E61,0),AN60*$R59),SUMIF(OFFSET($R61,1,0,$Q59-2),($L59+1)&amp;"$",OFFSET(AN61,1,0,$Q59-2)))</f>
        <v>0</v>
      </c>
      <c r="AO61" s="257">
        <f ca="1">IF($Q59=2,IF(AND(ACOMPANHAMENTO="PLE",ISNUMBER($E59)),SUMIF((OFFSET(CÁLCULO!$BC$15:$BU$15,$E59,0,OFFSET(ORÇAMENTO!$D$15,CRONO!$E59,0))),"="&amp;CRONO!AO$12,OFFSET(CÁLCULO!$AJ$15:$BB$15,$E59,0,OFFSET(ORÇAMENTO!$D$15,CRONO!$E59,0)))+IF(AND($E61&lt;&gt;"",$E61&lt;&gt;0),SUMIF(CÁLCULO!$BC$15:$BU$710,"="&amp;CRONO!AO$12,CÁLCULO!$AJ$15:$BB$710)/(ORÇAMENTO!$X$15-CÁLCULO.TotalAdmLocal)*CRONO!$E61,0),AO60*$R59),SUMIF(OFFSET($R61,1,0,$Q59-2),($L59+1)&amp;"$",OFFSET(AO61,1,0,$Q59-2)))</f>
        <v>0</v>
      </c>
      <c r="AP61" s="257">
        <f ca="1">IF($Q59=2,IF(AND(ACOMPANHAMENTO="PLE",ISNUMBER($E59)),SUMIF((OFFSET(CÁLCULO!$BC$15:$BU$15,$E59,0,OFFSET(ORÇAMENTO!$D$15,CRONO!$E59,0))),"="&amp;CRONO!AP$12,OFFSET(CÁLCULO!$AJ$15:$BB$15,$E59,0,OFFSET(ORÇAMENTO!$D$15,CRONO!$E59,0)))+IF(AND($E61&lt;&gt;"",$E61&lt;&gt;0),SUMIF(CÁLCULO!$BC$15:$BU$710,"="&amp;CRONO!AP$12,CÁLCULO!$AJ$15:$BB$710)/(ORÇAMENTO!$X$15-CÁLCULO.TotalAdmLocal)*CRONO!$E61,0),AP60*$R59),SUMIF(OFFSET($R61,1,0,$Q59-2),($L59+1)&amp;"$",OFFSET(AP61,1,0,$Q59-2)))</f>
        <v>0</v>
      </c>
      <c r="AQ61" s="262">
        <f ca="1">IF($Q59=2,IF(AND(ACOMPANHAMENTO="PLE",ISNUMBER($E59)),SUMIF((OFFSET(CÁLCULO!$BC$15:$BU$15,$E59,0,OFFSET(ORÇAMENTO!$D$15,CRONO!$E59,0))),"="&amp;CRONO!AQ$12,OFFSET(CÁLCULO!$AJ$15:$BB$15,$E59,0,OFFSET(ORÇAMENTO!$D$15,CRONO!$E59,0)))+IF(AND($E61&lt;&gt;"",$E61&lt;&gt;0),SUMIF(CÁLCULO!$BC$15:$BU$710,"="&amp;CRONO!AQ$12,CÁLCULO!$AJ$15:$BB$710)/(ORÇAMENTO!$X$15-CÁLCULO.TotalAdmLocal)*CRONO!$E61,0),AQ60*$R59),SUMIF(OFFSET($R61,1,0,$Q59-2),($L59+1)&amp;"$",OFFSET(AQ61,1,0,$Q59-2)))</f>
        <v>0</v>
      </c>
    </row>
    <row r="62" spans="1:44" x14ac:dyDescent="0.25">
      <c r="A62" s="238">
        <f ca="1">OFFSET(A62,-3,0)+1</f>
        <v>17</v>
      </c>
      <c r="B62" s="238">
        <f ca="1">IF($Q62&lt;&gt;2,0,IF($R62=0,1,IF(E63&gt;0,OFFSET(QCI!$M$13,SUBSTITUTE(E63,".",""),0),OFFSET(ORÇAMENTO!$AA$15,CRONO!$E62,0))/$R62))</f>
        <v>1</v>
      </c>
      <c r="C62" s="238">
        <f ca="1">IF($Q62&lt;&gt;2,0,IF($R62=0,1,IF(E63&gt;0,OFFSET(QCI!$N$13,SUBSTITUTE(E63,".",""),0),OFFSET(ORÇAMENTO!$AB$15,CRONO!$E62,0))/$R62))</f>
        <v>1</v>
      </c>
      <c r="D62" s="241">
        <f ca="1">IF(AND($Q62=2,ACOMPANHAMENTO="BM"),D63,D64/$R62)</f>
        <v>0</v>
      </c>
      <c r="E62" s="238">
        <f ca="1">IF(A62&lt;=ORÇAMENTO.MáximoListaCrono,MATCH(A62,ORÇAMENTO.ListaCrono,0),NA())</f>
        <v>467</v>
      </c>
      <c r="F62" s="238" t="str">
        <f ca="1">IF(AND($E63&lt;&gt;-1,$R62&gt;0),"F","")</f>
        <v/>
      </c>
      <c r="G62" s="242" t="str">
        <f ca="1">IF(OR(R62=0,R62=""),"Linha",IF(AND(OR(ACOMPANHAMENTO="PLE",$Q62&lt;&gt;2),$E63=0),"Linha",1-SUM(T62:AR62)))</f>
        <v>Linha</v>
      </c>
      <c r="H62" s="243" t="str">
        <f ca="1">IF($E63=0,OFFSET(ORÇAMENTO!O$15,$E62,0),IF($E63&lt;&gt;-1,OFFSET(QCI!$D$13,$E63,0),""))</f>
        <v>1.16.</v>
      </c>
      <c r="I62" s="244" t="str">
        <f ca="1">IF($E63=0,OFFSET(ORÇAMENTO!R$15,$E62,0),IF($E63&lt;&gt;-1,OFFSET(QCI!$G$13,$E63,0),""))</f>
        <v>INSTALAÇÃO DE GÁS COMBUSTÍVEL</v>
      </c>
      <c r="J62" s="244"/>
      <c r="K62" s="244"/>
      <c r="L62" s="245">
        <f ca="1">IF($E63=0,OFFSET(ORÇAMENTO!C$15,$E62,0),1)</f>
        <v>2</v>
      </c>
      <c r="M62" s="246">
        <f ca="1">IF($E63=-1,0,IF(M$13&lt;=$L62,IF(ISERROR(MATCH(M$13,OFFSET($L62,1,0,ROW($L$98)-ROW($L62)-1),0)),ROW($L$98)-ROW($L62)-1,MATCH(M$13,OFFSET($L62,1,0,ROW($L$98)-ROW($L62)-1),0)-1),0))</f>
        <v>26</v>
      </c>
      <c r="N62" s="246">
        <f ca="1">IF($E63=-1,0,IF(N$13&lt;=$L62,IF(ISERROR(MATCH(N$13,OFFSET($L62,1,0,ROW($L$98)-ROW($L62)-1),0)),ROW($L$98)-ROW($L62)-1,MATCH(N$13,OFFSET($L62,1,0,ROW($L$98)-ROW($L62)-1),0)-1),0))</f>
        <v>2</v>
      </c>
      <c r="O62" s="246">
        <f ca="1">IF($E63=-1,0,IF(O$13&lt;=$L62,IF(ISERROR(MATCH(O$13,OFFSET($L62,1,0,ROW($L$98)-ROW($L62)-1),0)),ROW($L$98)-ROW($L62)-1,MATCH(O$13,OFFSET($L62,1,0,ROW($L$98)-ROW($L62)-1),0)-1),0))</f>
        <v>0</v>
      </c>
      <c r="P62" s="246">
        <f ca="1">IF($E63=-1,0,IF(P$13&lt;=$L62,IF(ISERROR(MATCH(P$13,OFFSET($L62,1,0,ROW($L$98)-ROW($L62)-1),0)),ROW($L$98)-ROW($L62)-1,MATCH(P$13,OFFSET($L62,1,0,ROW($L$98)-ROW($L62)-1),0)-1),0))</f>
        <v>0</v>
      </c>
      <c r="Q62" s="246">
        <f ca="1">MIN(OFFSET(L62,0,1,,L62))</f>
        <v>2</v>
      </c>
      <c r="R62" s="247">
        <f ca="1">IF($E63=0,OFFSET(ORÇAMENTO!X$15,$E62,0),IF($E63&lt;&gt;-1,OFFSET(QCI!$O$13,$E63,0),""))</f>
        <v>0</v>
      </c>
      <c r="S62" s="248" t="s">
        <v>272</v>
      </c>
      <c r="T62" s="249">
        <f t="shared" ref="T62:AQ62" ca="1" si="20">IF(AND($Q62=2,ACOMPANHAMENTO="BM"),T63,T64/$R62)</f>
        <v>0</v>
      </c>
      <c r="U62" s="241">
        <f t="shared" ca="1" si="20"/>
        <v>0</v>
      </c>
      <c r="V62" s="241">
        <f t="shared" ca="1" si="20"/>
        <v>0</v>
      </c>
      <c r="W62" s="241">
        <f t="shared" ca="1" si="20"/>
        <v>0</v>
      </c>
      <c r="X62" s="241">
        <f t="shared" ca="1" si="20"/>
        <v>0</v>
      </c>
      <c r="Y62" s="241">
        <f t="shared" ca="1" si="20"/>
        <v>0</v>
      </c>
      <c r="Z62" s="241">
        <f t="shared" ca="1" si="20"/>
        <v>0</v>
      </c>
      <c r="AA62" s="241">
        <f t="shared" ca="1" si="20"/>
        <v>0</v>
      </c>
      <c r="AB62" s="241">
        <f t="shared" ca="1" si="20"/>
        <v>0</v>
      </c>
      <c r="AC62" s="241">
        <f t="shared" ca="1" si="20"/>
        <v>0</v>
      </c>
      <c r="AD62" s="241">
        <f t="shared" ca="1" si="20"/>
        <v>0.3</v>
      </c>
      <c r="AE62" s="250">
        <f t="shared" ca="1" si="20"/>
        <v>0.3</v>
      </c>
      <c r="AF62" s="249">
        <f t="shared" ca="1" si="20"/>
        <v>0</v>
      </c>
      <c r="AG62" s="241">
        <f t="shared" ca="1" si="20"/>
        <v>0</v>
      </c>
      <c r="AH62" s="241">
        <f t="shared" ca="1" si="20"/>
        <v>0.2</v>
      </c>
      <c r="AI62" s="241">
        <f t="shared" ca="1" si="20"/>
        <v>0.2</v>
      </c>
      <c r="AJ62" s="241">
        <f t="shared" ca="1" si="20"/>
        <v>0</v>
      </c>
      <c r="AK62" s="241">
        <f t="shared" ca="1" si="20"/>
        <v>0</v>
      </c>
      <c r="AL62" s="241">
        <f t="shared" ca="1" si="20"/>
        <v>0</v>
      </c>
      <c r="AM62" s="241">
        <f t="shared" ca="1" si="20"/>
        <v>0</v>
      </c>
      <c r="AN62" s="241">
        <f t="shared" ca="1" si="20"/>
        <v>0</v>
      </c>
      <c r="AO62" s="241">
        <f t="shared" ca="1" si="20"/>
        <v>0</v>
      </c>
      <c r="AP62" s="241">
        <f t="shared" ca="1" si="20"/>
        <v>0</v>
      </c>
      <c r="AQ62" s="250">
        <f t="shared" ca="1" si="20"/>
        <v>0</v>
      </c>
    </row>
    <row r="63" spans="1:44" ht="12.75" customHeight="1" x14ac:dyDescent="0.25">
      <c r="D63" s="658"/>
      <c r="E63" s="238">
        <f ca="1">IF(ISERROR(E62),IF(1+COUNTIF($L$13:OFFSET(L62,-1,0),1)&lt;=MAX(QCI!$D$13:$D$24),1+COUNTIF($L$13:OFFSET(L62,-1,0),1),-1),0)</f>
        <v>0</v>
      </c>
      <c r="F63" s="238" t="str">
        <f ca="1">IF(AND($E63&lt;&gt;-1,$R62&gt;0),"F","")</f>
        <v/>
      </c>
      <c r="G63" s="251" t="str">
        <f ca="1">IF(OR(R62=0,R62=""),"vazia",IF(AND(OR(ACOMPANHAMENTO="PLE",$Q62&lt;&gt;2),$E63=0),"calculada","--&gt;"))</f>
        <v>vazia</v>
      </c>
      <c r="H63" s="252"/>
      <c r="I63" s="253" t="str">
        <f ca="1">IF(AND(G62&lt;&gt;0,ISNUMBER(G62)),"PREENCHA ESTA LINHA --&gt;","")</f>
        <v/>
      </c>
      <c r="J63" s="253"/>
      <c r="K63" s="253"/>
      <c r="L63" s="254"/>
      <c r="M63" s="254"/>
      <c r="N63" s="254"/>
      <c r="O63" s="254"/>
      <c r="P63" s="254"/>
      <c r="Q63" s="254"/>
      <c r="R63" s="255"/>
      <c r="S63" s="256"/>
      <c r="T63" s="659"/>
      <c r="U63" s="658"/>
      <c r="V63" s="658"/>
      <c r="W63" s="658"/>
      <c r="X63" s="658"/>
      <c r="Y63" s="658"/>
      <c r="Z63" s="658"/>
      <c r="AA63" s="658"/>
      <c r="AB63" s="658"/>
      <c r="AC63" s="658"/>
      <c r="AD63" s="658">
        <v>0.3</v>
      </c>
      <c r="AE63" s="660">
        <v>0.3</v>
      </c>
      <c r="AF63" s="659"/>
      <c r="AG63" s="658"/>
      <c r="AH63" s="658">
        <v>0.2</v>
      </c>
      <c r="AI63" s="658">
        <v>0.2</v>
      </c>
      <c r="AJ63" s="658"/>
      <c r="AK63" s="658"/>
      <c r="AL63" s="658"/>
      <c r="AM63" s="658"/>
      <c r="AN63" s="658"/>
      <c r="AO63" s="658"/>
      <c r="AP63" s="658"/>
      <c r="AQ63" s="660"/>
      <c r="AR63" s="618"/>
    </row>
    <row r="64" spans="1:44" ht="0.15" hidden="1" customHeight="1" x14ac:dyDescent="0.25">
      <c r="D64" s="257">
        <f ca="1">IF($Q62=2,IF(AND(ACOMPANHAMENTO="PLE",ISNUMBER($E62)),SUMIF((OFFSET(CÁLCULO!$BC$15:$BU$15,$E62,0,OFFSET(ORÇAMENTO!$D$15,CRONO!$E62,0))),"="&amp;CRONO!D$12,OFFSET(CÁLCULO!$AJ$15:$BB$15,$E62,0,OFFSET(ORÇAMENTO!$D$15,CRONO!$E62,0)))+IF(AND($E64&lt;&gt;"",$E64&lt;&gt;0),SUMIF(CÁLCULO!$BC$15:$BU$710,"="&amp;CRONO!D$12,CÁLCULO!$AJ$15:$BB$710)/(ORÇAMENTO!$X$15-CÁLCULO.TotalAdmLocal)*CRONO!$E64,0),D63*$R62),SUMIF(OFFSET($R64,1,0,$Q62-2),($L62+1)&amp;"$",OFFSET(D64,1,0,$Q62-2)))</f>
        <v>0</v>
      </c>
      <c r="E64" s="238">
        <f ca="1">IF(OR($Q62&lt;&gt;2,AUTOEVENTO&lt;&gt;"manual",$E63&gt;0),"",SUMIF(OFFSET(CÁLCULO!$M$15,CRONO!$E62,0,OFFSET(ORÇAMENTO!$D$15,CRONO!$E62,0)),1,OFFSET(ORÇAMENTO!$X$15,CRONO!$E62,0,OFFSET(ORÇAMENTO!$D$15,CRONO!$E62,0))))</f>
        <v>0</v>
      </c>
      <c r="G64" s="258"/>
      <c r="R64" s="259" t="str">
        <f ca="1">L62&amp;"$"</f>
        <v>2$</v>
      </c>
      <c r="S64" s="260"/>
      <c r="T64" s="261">
        <f ca="1">IF($Q62=2,IF(AND(ACOMPANHAMENTO="PLE",ISNUMBER($E62)),SUMIF((OFFSET(CÁLCULO!$BC$15:$BU$15,$E62,0,OFFSET(ORÇAMENTO!$D$15,CRONO!$E62,0))),"&lt;="&amp;CRONO!T$12,OFFSET(CÁLCULO!$AJ$15:$BB$15,$E62,0,OFFSET(ORÇAMENTO!$D$15,CRONO!$E62,0)))+IF(AND($E64&lt;&gt;"",$E64&lt;&gt;0),SUMIF(CÁLCULO!$BC$15:$BU$710,"&lt;="&amp;CRONO!T$12,CÁLCULO!$AJ$15:$BB$710)/(ORÇAMENTO!$X$15-CÁLCULO.TotalAdmLocal)*CRONO!$E64,0),T63*$R62),SUMIF(OFFSET($R64,1,0,$Q62-2),($L62+1)&amp;"$",OFFSET(T64,1,0,$Q62-2)))</f>
        <v>0</v>
      </c>
      <c r="U64" s="257">
        <f ca="1">IF($Q62=2,IF(AND(ACOMPANHAMENTO="PLE",ISNUMBER($E62)),SUMIF((OFFSET(CÁLCULO!$BC$15:$BU$15,$E62,0,OFFSET(ORÇAMENTO!$D$15,CRONO!$E62,0))),"="&amp;CRONO!U$12,OFFSET(CÁLCULO!$AJ$15:$BB$15,$E62,0,OFFSET(ORÇAMENTO!$D$15,CRONO!$E62,0)))+IF(AND($E64&lt;&gt;"",$E64&lt;&gt;0),SUMIF(CÁLCULO!$BC$15:$BU$710,"="&amp;CRONO!U$12,CÁLCULO!$AJ$15:$BB$710)/(ORÇAMENTO!$X$15-CÁLCULO.TotalAdmLocal)*CRONO!$E64,0),U63*$R62),SUMIF(OFFSET($R64,1,0,$Q62-2),($L62+1)&amp;"$",OFFSET(U64,1,0,$Q62-2)))</f>
        <v>0</v>
      </c>
      <c r="V64" s="257">
        <f ca="1">IF($Q62=2,IF(AND(ACOMPANHAMENTO="PLE",ISNUMBER($E62)),SUMIF((OFFSET(CÁLCULO!$BC$15:$BU$15,$E62,0,OFFSET(ORÇAMENTO!$D$15,CRONO!$E62,0))),"="&amp;CRONO!V$12,OFFSET(CÁLCULO!$AJ$15:$BB$15,$E62,0,OFFSET(ORÇAMENTO!$D$15,CRONO!$E62,0)))+IF(AND($E64&lt;&gt;"",$E64&lt;&gt;0),SUMIF(CÁLCULO!$BC$15:$BU$710,"="&amp;CRONO!V$12,CÁLCULO!$AJ$15:$BB$710)/(ORÇAMENTO!$X$15-CÁLCULO.TotalAdmLocal)*CRONO!$E64,0),V63*$R62),SUMIF(OFFSET($R64,1,0,$Q62-2),($L62+1)&amp;"$",OFFSET(V64,1,0,$Q62-2)))</f>
        <v>0</v>
      </c>
      <c r="W64" s="257">
        <f ca="1">IF($Q62=2,IF(AND(ACOMPANHAMENTO="PLE",ISNUMBER($E62)),SUMIF((OFFSET(CÁLCULO!$BC$15:$BU$15,$E62,0,OFFSET(ORÇAMENTO!$D$15,CRONO!$E62,0))),"="&amp;CRONO!W$12,OFFSET(CÁLCULO!$AJ$15:$BB$15,$E62,0,OFFSET(ORÇAMENTO!$D$15,CRONO!$E62,0)))+IF(AND($E64&lt;&gt;"",$E64&lt;&gt;0),SUMIF(CÁLCULO!$BC$15:$BU$710,"="&amp;CRONO!W$12,CÁLCULO!$AJ$15:$BB$710)/(ORÇAMENTO!$X$15-CÁLCULO.TotalAdmLocal)*CRONO!$E64,0),W63*$R62),SUMIF(OFFSET($R64,1,0,$Q62-2),($L62+1)&amp;"$",OFFSET(W64,1,0,$Q62-2)))</f>
        <v>0</v>
      </c>
      <c r="X64" s="257">
        <f ca="1">IF($Q62=2,IF(AND(ACOMPANHAMENTO="PLE",ISNUMBER($E62)),SUMIF((OFFSET(CÁLCULO!$BC$15:$BU$15,$E62,0,OFFSET(ORÇAMENTO!$D$15,CRONO!$E62,0))),"="&amp;CRONO!X$12,OFFSET(CÁLCULO!$AJ$15:$BB$15,$E62,0,OFFSET(ORÇAMENTO!$D$15,CRONO!$E62,0)))+IF(AND($E64&lt;&gt;"",$E64&lt;&gt;0),SUMIF(CÁLCULO!$BC$15:$BU$710,"="&amp;CRONO!X$12,CÁLCULO!$AJ$15:$BB$710)/(ORÇAMENTO!$X$15-CÁLCULO.TotalAdmLocal)*CRONO!$E64,0),X63*$R62),SUMIF(OFFSET($R64,1,0,$Q62-2),($L62+1)&amp;"$",OFFSET(X64,1,0,$Q62-2)))</f>
        <v>0</v>
      </c>
      <c r="Y64" s="257">
        <f ca="1">IF($Q62=2,IF(AND(ACOMPANHAMENTO="PLE",ISNUMBER($E62)),SUMIF((OFFSET(CÁLCULO!$BC$15:$BU$15,$E62,0,OFFSET(ORÇAMENTO!$D$15,CRONO!$E62,0))),"="&amp;CRONO!Y$12,OFFSET(CÁLCULO!$AJ$15:$BB$15,$E62,0,OFFSET(ORÇAMENTO!$D$15,CRONO!$E62,0)))+IF(AND($E64&lt;&gt;"",$E64&lt;&gt;0),SUMIF(CÁLCULO!$BC$15:$BU$710,"="&amp;CRONO!Y$12,CÁLCULO!$AJ$15:$BB$710)/(ORÇAMENTO!$X$15-CÁLCULO.TotalAdmLocal)*CRONO!$E64,0),Y63*$R62),SUMIF(OFFSET($R64,1,0,$Q62-2),($L62+1)&amp;"$",OFFSET(Y64,1,0,$Q62-2)))</f>
        <v>0</v>
      </c>
      <c r="Z64" s="257">
        <f ca="1">IF($Q62=2,IF(AND(ACOMPANHAMENTO="PLE",ISNUMBER($E62)),SUMIF((OFFSET(CÁLCULO!$BC$15:$BU$15,$E62,0,OFFSET(ORÇAMENTO!$D$15,CRONO!$E62,0))),"="&amp;CRONO!Z$12,OFFSET(CÁLCULO!$AJ$15:$BB$15,$E62,0,OFFSET(ORÇAMENTO!$D$15,CRONO!$E62,0)))+IF(AND($E64&lt;&gt;"",$E64&lt;&gt;0),SUMIF(CÁLCULO!$BC$15:$BU$710,"="&amp;CRONO!Z$12,CÁLCULO!$AJ$15:$BB$710)/(ORÇAMENTO!$X$15-CÁLCULO.TotalAdmLocal)*CRONO!$E64,0),Z63*$R62),SUMIF(OFFSET($R64,1,0,$Q62-2),($L62+1)&amp;"$",OFFSET(Z64,1,0,$Q62-2)))</f>
        <v>0</v>
      </c>
      <c r="AA64" s="257">
        <f ca="1">IF($Q62=2,IF(AND(ACOMPANHAMENTO="PLE",ISNUMBER($E62)),SUMIF((OFFSET(CÁLCULO!$BC$15:$BU$15,$E62,0,OFFSET(ORÇAMENTO!$D$15,CRONO!$E62,0))),"="&amp;CRONO!AA$12,OFFSET(CÁLCULO!$AJ$15:$BB$15,$E62,0,OFFSET(ORÇAMENTO!$D$15,CRONO!$E62,0)))+IF(AND($E64&lt;&gt;"",$E64&lt;&gt;0),SUMIF(CÁLCULO!$BC$15:$BU$710,"="&amp;CRONO!AA$12,CÁLCULO!$AJ$15:$BB$710)/(ORÇAMENTO!$X$15-CÁLCULO.TotalAdmLocal)*CRONO!$E64,0),AA63*$R62),SUMIF(OFFSET($R64,1,0,$Q62-2),($L62+1)&amp;"$",OFFSET(AA64,1,0,$Q62-2)))</f>
        <v>0</v>
      </c>
      <c r="AB64" s="257">
        <f ca="1">IF($Q62=2,IF(AND(ACOMPANHAMENTO="PLE",ISNUMBER($E62)),SUMIF((OFFSET(CÁLCULO!$BC$15:$BU$15,$E62,0,OFFSET(ORÇAMENTO!$D$15,CRONO!$E62,0))),"="&amp;CRONO!AB$12,OFFSET(CÁLCULO!$AJ$15:$BB$15,$E62,0,OFFSET(ORÇAMENTO!$D$15,CRONO!$E62,0)))+IF(AND($E64&lt;&gt;"",$E64&lt;&gt;0),SUMIF(CÁLCULO!$BC$15:$BU$710,"="&amp;CRONO!AB$12,CÁLCULO!$AJ$15:$BB$710)/(ORÇAMENTO!$X$15-CÁLCULO.TotalAdmLocal)*CRONO!$E64,0),AB63*$R62),SUMIF(OFFSET($R64,1,0,$Q62-2),($L62+1)&amp;"$",OFFSET(AB64,1,0,$Q62-2)))</f>
        <v>0</v>
      </c>
      <c r="AC64" s="257">
        <f ca="1">IF($Q62=2,IF(AND(ACOMPANHAMENTO="PLE",ISNUMBER($E62)),SUMIF((OFFSET(CÁLCULO!$BC$15:$BU$15,$E62,0,OFFSET(ORÇAMENTO!$D$15,CRONO!$E62,0))),"="&amp;CRONO!AC$12,OFFSET(CÁLCULO!$AJ$15:$BB$15,$E62,0,OFFSET(ORÇAMENTO!$D$15,CRONO!$E62,0)))+IF(AND($E64&lt;&gt;"",$E64&lt;&gt;0),SUMIF(CÁLCULO!$BC$15:$BU$710,"="&amp;CRONO!AC$12,CÁLCULO!$AJ$15:$BB$710)/(ORÇAMENTO!$X$15-CÁLCULO.TotalAdmLocal)*CRONO!$E64,0),AC63*$R62),SUMIF(OFFSET($R64,1,0,$Q62-2),($L62+1)&amp;"$",OFFSET(AC64,1,0,$Q62-2)))</f>
        <v>0</v>
      </c>
      <c r="AD64" s="257">
        <f ca="1">IF($Q62=2,IF(AND(ACOMPANHAMENTO="PLE",ISNUMBER($E62)),SUMIF((OFFSET(CÁLCULO!$BC$15:$BU$15,$E62,0,OFFSET(ORÇAMENTO!$D$15,CRONO!$E62,0))),"="&amp;CRONO!AD$12,OFFSET(CÁLCULO!$AJ$15:$BB$15,$E62,0,OFFSET(ORÇAMENTO!$D$15,CRONO!$E62,0)))+IF(AND($E64&lt;&gt;"",$E64&lt;&gt;0),SUMIF(CÁLCULO!$BC$15:$BU$710,"="&amp;CRONO!AD$12,CÁLCULO!$AJ$15:$BB$710)/(ORÇAMENTO!$X$15-CÁLCULO.TotalAdmLocal)*CRONO!$E64,0),AD63*$R62),SUMIF(OFFSET($R64,1,0,$Q62-2),($L62+1)&amp;"$",OFFSET(AD64,1,0,$Q62-2)))</f>
        <v>0</v>
      </c>
      <c r="AE64" s="262">
        <f ca="1">IF($Q62=2,IF(AND(ACOMPANHAMENTO="PLE",ISNUMBER($E62)),SUMIF((OFFSET(CÁLCULO!$BC$15:$BU$15,$E62,0,OFFSET(ORÇAMENTO!$D$15,CRONO!$E62,0))),"="&amp;CRONO!AE$12,OFFSET(CÁLCULO!$AJ$15:$BB$15,$E62,0,OFFSET(ORÇAMENTO!$D$15,CRONO!$E62,0)))+IF(AND($E64&lt;&gt;"",$E64&lt;&gt;0),SUMIF(CÁLCULO!$BC$15:$BU$710,"="&amp;CRONO!AE$12,CÁLCULO!$AJ$15:$BB$710)/(ORÇAMENTO!$X$15-CÁLCULO.TotalAdmLocal)*CRONO!$E64,0),AE63*$R62),SUMIF(OFFSET($R64,1,0,$Q62-2),($L62+1)&amp;"$",OFFSET(AE64,1,0,$Q62-2)))</f>
        <v>0</v>
      </c>
      <c r="AF64" s="261">
        <f ca="1">IF($Q62=2,IF(AND(ACOMPANHAMENTO="PLE",ISNUMBER($E62)),SUMIF((OFFSET(CÁLCULO!$BC$15:$BU$15,$E62,0,OFFSET(ORÇAMENTO!$D$15,CRONO!$E62,0))),"="&amp;CRONO!AF$12,OFFSET(CÁLCULO!$AJ$15:$BB$15,$E62,0,OFFSET(ORÇAMENTO!$D$15,CRONO!$E62,0)))+IF(AND($E64&lt;&gt;"",$E64&lt;&gt;0),SUMIF(CÁLCULO!$BC$15:$BU$710,"="&amp;CRONO!AF$12,CÁLCULO!$AJ$15:$BB$710)/(ORÇAMENTO!$X$15-CÁLCULO.TotalAdmLocal)*CRONO!$E64,0),AF63*$R62),SUMIF(OFFSET($R64,1,0,$Q62-2),($L62+1)&amp;"$",OFFSET(AF64,1,0,$Q62-2)))</f>
        <v>0</v>
      </c>
      <c r="AG64" s="257">
        <f ca="1">IF($Q62=2,IF(AND(ACOMPANHAMENTO="PLE",ISNUMBER($E62)),SUMIF((OFFSET(CÁLCULO!$BC$15:$BU$15,$E62,0,OFFSET(ORÇAMENTO!$D$15,CRONO!$E62,0))),"="&amp;CRONO!AG$12,OFFSET(CÁLCULO!$AJ$15:$BB$15,$E62,0,OFFSET(ORÇAMENTO!$D$15,CRONO!$E62,0)))+IF(AND($E64&lt;&gt;"",$E64&lt;&gt;0),SUMIF(CÁLCULO!$BC$15:$BU$710,"="&amp;CRONO!AG$12,CÁLCULO!$AJ$15:$BB$710)/(ORÇAMENTO!$X$15-CÁLCULO.TotalAdmLocal)*CRONO!$E64,0),AG63*$R62),SUMIF(OFFSET($R64,1,0,$Q62-2),($L62+1)&amp;"$",OFFSET(AG64,1,0,$Q62-2)))</f>
        <v>0</v>
      </c>
      <c r="AH64" s="257">
        <f ca="1">IF($Q62=2,IF(AND(ACOMPANHAMENTO="PLE",ISNUMBER($E62)),SUMIF((OFFSET(CÁLCULO!$BC$15:$BU$15,$E62,0,OFFSET(ORÇAMENTO!$D$15,CRONO!$E62,0))),"="&amp;CRONO!AH$12,OFFSET(CÁLCULO!$AJ$15:$BB$15,$E62,0,OFFSET(ORÇAMENTO!$D$15,CRONO!$E62,0)))+IF(AND($E64&lt;&gt;"",$E64&lt;&gt;0),SUMIF(CÁLCULO!$BC$15:$BU$710,"="&amp;CRONO!AH$12,CÁLCULO!$AJ$15:$BB$710)/(ORÇAMENTO!$X$15-CÁLCULO.TotalAdmLocal)*CRONO!$E64,0),AH63*$R62),SUMIF(OFFSET($R64,1,0,$Q62-2),($L62+1)&amp;"$",OFFSET(AH64,1,0,$Q62-2)))</f>
        <v>0</v>
      </c>
      <c r="AI64" s="257">
        <f ca="1">IF($Q62=2,IF(AND(ACOMPANHAMENTO="PLE",ISNUMBER($E62)),SUMIF((OFFSET(CÁLCULO!$BC$15:$BU$15,$E62,0,OFFSET(ORÇAMENTO!$D$15,CRONO!$E62,0))),"="&amp;CRONO!AI$12,OFFSET(CÁLCULO!$AJ$15:$BB$15,$E62,0,OFFSET(ORÇAMENTO!$D$15,CRONO!$E62,0)))+IF(AND($E64&lt;&gt;"",$E64&lt;&gt;0),SUMIF(CÁLCULO!$BC$15:$BU$710,"="&amp;CRONO!AI$12,CÁLCULO!$AJ$15:$BB$710)/(ORÇAMENTO!$X$15-CÁLCULO.TotalAdmLocal)*CRONO!$E64,0),AI63*$R62),SUMIF(OFFSET($R64,1,0,$Q62-2),($L62+1)&amp;"$",OFFSET(AI64,1,0,$Q62-2)))</f>
        <v>0</v>
      </c>
      <c r="AJ64" s="257">
        <f ca="1">IF($Q62=2,IF(AND(ACOMPANHAMENTO="PLE",ISNUMBER($E62)),SUMIF((OFFSET(CÁLCULO!$BC$15:$BU$15,$E62,0,OFFSET(ORÇAMENTO!$D$15,CRONO!$E62,0))),"="&amp;CRONO!AJ$12,OFFSET(CÁLCULO!$AJ$15:$BB$15,$E62,0,OFFSET(ORÇAMENTO!$D$15,CRONO!$E62,0)))+IF(AND($E64&lt;&gt;"",$E64&lt;&gt;0),SUMIF(CÁLCULO!$BC$15:$BU$710,"="&amp;CRONO!AJ$12,CÁLCULO!$AJ$15:$BB$710)/(ORÇAMENTO!$X$15-CÁLCULO.TotalAdmLocal)*CRONO!$E64,0),AJ63*$R62),SUMIF(OFFSET($R64,1,0,$Q62-2),($L62+1)&amp;"$",OFFSET(AJ64,1,0,$Q62-2)))</f>
        <v>0</v>
      </c>
      <c r="AK64" s="257">
        <f ca="1">IF($Q62=2,IF(AND(ACOMPANHAMENTO="PLE",ISNUMBER($E62)),SUMIF((OFFSET(CÁLCULO!$BC$15:$BU$15,$E62,0,OFFSET(ORÇAMENTO!$D$15,CRONO!$E62,0))),"="&amp;CRONO!AK$12,OFFSET(CÁLCULO!$AJ$15:$BB$15,$E62,0,OFFSET(ORÇAMENTO!$D$15,CRONO!$E62,0)))+IF(AND($E64&lt;&gt;"",$E64&lt;&gt;0),SUMIF(CÁLCULO!$BC$15:$BU$710,"="&amp;CRONO!AK$12,CÁLCULO!$AJ$15:$BB$710)/(ORÇAMENTO!$X$15-CÁLCULO.TotalAdmLocal)*CRONO!$E64,0),AK63*$R62),SUMIF(OFFSET($R64,1,0,$Q62-2),($L62+1)&amp;"$",OFFSET(AK64,1,0,$Q62-2)))</f>
        <v>0</v>
      </c>
      <c r="AL64" s="257">
        <f ca="1">IF($Q62=2,IF(AND(ACOMPANHAMENTO="PLE",ISNUMBER($E62)),SUMIF((OFFSET(CÁLCULO!$BC$15:$BU$15,$E62,0,OFFSET(ORÇAMENTO!$D$15,CRONO!$E62,0))),"="&amp;CRONO!AL$12,OFFSET(CÁLCULO!$AJ$15:$BB$15,$E62,0,OFFSET(ORÇAMENTO!$D$15,CRONO!$E62,0)))+IF(AND($E64&lt;&gt;"",$E64&lt;&gt;0),SUMIF(CÁLCULO!$BC$15:$BU$710,"="&amp;CRONO!AL$12,CÁLCULO!$AJ$15:$BB$710)/(ORÇAMENTO!$X$15-CÁLCULO.TotalAdmLocal)*CRONO!$E64,0),AL63*$R62),SUMIF(OFFSET($R64,1,0,$Q62-2),($L62+1)&amp;"$",OFFSET(AL64,1,0,$Q62-2)))</f>
        <v>0</v>
      </c>
      <c r="AM64" s="257">
        <f ca="1">IF($Q62=2,IF(AND(ACOMPANHAMENTO="PLE",ISNUMBER($E62)),SUMIF((OFFSET(CÁLCULO!$BC$15:$BU$15,$E62,0,OFFSET(ORÇAMENTO!$D$15,CRONO!$E62,0))),"="&amp;CRONO!AM$12,OFFSET(CÁLCULO!$AJ$15:$BB$15,$E62,0,OFFSET(ORÇAMENTO!$D$15,CRONO!$E62,0)))+IF(AND($E64&lt;&gt;"",$E64&lt;&gt;0),SUMIF(CÁLCULO!$BC$15:$BU$710,"="&amp;CRONO!AM$12,CÁLCULO!$AJ$15:$BB$710)/(ORÇAMENTO!$X$15-CÁLCULO.TotalAdmLocal)*CRONO!$E64,0),AM63*$R62),SUMIF(OFFSET($R64,1,0,$Q62-2),($L62+1)&amp;"$",OFFSET(AM64,1,0,$Q62-2)))</f>
        <v>0</v>
      </c>
      <c r="AN64" s="257">
        <f ca="1">IF($Q62=2,IF(AND(ACOMPANHAMENTO="PLE",ISNUMBER($E62)),SUMIF((OFFSET(CÁLCULO!$BC$15:$BU$15,$E62,0,OFFSET(ORÇAMENTO!$D$15,CRONO!$E62,0))),"="&amp;CRONO!AN$12,OFFSET(CÁLCULO!$AJ$15:$BB$15,$E62,0,OFFSET(ORÇAMENTO!$D$15,CRONO!$E62,0)))+IF(AND($E64&lt;&gt;"",$E64&lt;&gt;0),SUMIF(CÁLCULO!$BC$15:$BU$710,"="&amp;CRONO!AN$12,CÁLCULO!$AJ$15:$BB$710)/(ORÇAMENTO!$X$15-CÁLCULO.TotalAdmLocal)*CRONO!$E64,0),AN63*$R62),SUMIF(OFFSET($R64,1,0,$Q62-2),($L62+1)&amp;"$",OFFSET(AN64,1,0,$Q62-2)))</f>
        <v>0</v>
      </c>
      <c r="AO64" s="257">
        <f ca="1">IF($Q62=2,IF(AND(ACOMPANHAMENTO="PLE",ISNUMBER($E62)),SUMIF((OFFSET(CÁLCULO!$BC$15:$BU$15,$E62,0,OFFSET(ORÇAMENTO!$D$15,CRONO!$E62,0))),"="&amp;CRONO!AO$12,OFFSET(CÁLCULO!$AJ$15:$BB$15,$E62,0,OFFSET(ORÇAMENTO!$D$15,CRONO!$E62,0)))+IF(AND($E64&lt;&gt;"",$E64&lt;&gt;0),SUMIF(CÁLCULO!$BC$15:$BU$710,"="&amp;CRONO!AO$12,CÁLCULO!$AJ$15:$BB$710)/(ORÇAMENTO!$X$15-CÁLCULO.TotalAdmLocal)*CRONO!$E64,0),AO63*$R62),SUMIF(OFFSET($R64,1,0,$Q62-2),($L62+1)&amp;"$",OFFSET(AO64,1,0,$Q62-2)))</f>
        <v>0</v>
      </c>
      <c r="AP64" s="257">
        <f ca="1">IF($Q62=2,IF(AND(ACOMPANHAMENTO="PLE",ISNUMBER($E62)),SUMIF((OFFSET(CÁLCULO!$BC$15:$BU$15,$E62,0,OFFSET(ORÇAMENTO!$D$15,CRONO!$E62,0))),"="&amp;CRONO!AP$12,OFFSET(CÁLCULO!$AJ$15:$BB$15,$E62,0,OFFSET(ORÇAMENTO!$D$15,CRONO!$E62,0)))+IF(AND($E64&lt;&gt;"",$E64&lt;&gt;0),SUMIF(CÁLCULO!$BC$15:$BU$710,"="&amp;CRONO!AP$12,CÁLCULO!$AJ$15:$BB$710)/(ORÇAMENTO!$X$15-CÁLCULO.TotalAdmLocal)*CRONO!$E64,0),AP63*$R62),SUMIF(OFFSET($R64,1,0,$Q62-2),($L62+1)&amp;"$",OFFSET(AP64,1,0,$Q62-2)))</f>
        <v>0</v>
      </c>
      <c r="AQ64" s="262">
        <f ca="1">IF($Q62=2,IF(AND(ACOMPANHAMENTO="PLE",ISNUMBER($E62)),SUMIF((OFFSET(CÁLCULO!$BC$15:$BU$15,$E62,0,OFFSET(ORÇAMENTO!$D$15,CRONO!$E62,0))),"="&amp;CRONO!AQ$12,OFFSET(CÁLCULO!$AJ$15:$BB$15,$E62,0,OFFSET(ORÇAMENTO!$D$15,CRONO!$E62,0)))+IF(AND($E64&lt;&gt;"",$E64&lt;&gt;0),SUMIF(CÁLCULO!$BC$15:$BU$710,"="&amp;CRONO!AQ$12,CÁLCULO!$AJ$15:$BB$710)/(ORÇAMENTO!$X$15-CÁLCULO.TotalAdmLocal)*CRONO!$E64,0),AQ63*$R62),SUMIF(OFFSET($R64,1,0,$Q62-2),($L62+1)&amp;"$",OFFSET(AQ64,1,0,$Q62-2)))</f>
        <v>0</v>
      </c>
    </row>
    <row r="65" spans="1:44" x14ac:dyDescent="0.25">
      <c r="A65" s="238">
        <f ca="1">OFFSET(A65,-3,0)+1</f>
        <v>18</v>
      </c>
      <c r="B65" s="238">
        <f ca="1">IF($Q65&lt;&gt;2,0,IF($R65=0,1,IF(E66&gt;0,OFFSET(QCI!$M$13,SUBSTITUTE(E66,".",""),0),OFFSET(ORÇAMENTO!$AA$15,CRONO!$E65,0))/$R65))</f>
        <v>1</v>
      </c>
      <c r="C65" s="238">
        <f ca="1">IF($Q65&lt;&gt;2,0,IF($R65=0,1,IF(E66&gt;0,OFFSET(QCI!$N$13,SUBSTITUTE(E66,".",""),0),OFFSET(ORÇAMENTO!$AB$15,CRONO!$E65,0))/$R65))</f>
        <v>1</v>
      </c>
      <c r="D65" s="241">
        <f ca="1">IF(AND($Q65=2,ACOMPANHAMENTO="BM"),D66,D67/$R65)</f>
        <v>0</v>
      </c>
      <c r="E65" s="238">
        <f ca="1">IF(A65&lt;=ORÇAMENTO.MáximoListaCrono,MATCH(A65,ORÇAMENTO.ListaCrono,0),NA())</f>
        <v>476</v>
      </c>
      <c r="F65" s="238" t="str">
        <f ca="1">IF(AND($E66&lt;&gt;-1,$R65&gt;0),"F","")</f>
        <v/>
      </c>
      <c r="G65" s="242" t="str">
        <f ca="1">IF(OR(R65=0,R65=""),"Linha",IF(AND(OR(ACOMPANHAMENTO="PLE",$Q65&lt;&gt;2),$E66=0),"Linha",1-SUM(T65:AR65)))</f>
        <v>Linha</v>
      </c>
      <c r="H65" s="243" t="str">
        <f ca="1">IF($E66=0,OFFSET(ORÇAMENTO!O$15,$E65,0),IF($E66&lt;&gt;-1,OFFSET(QCI!$D$13,$E66,0),""))</f>
        <v>1.17.</v>
      </c>
      <c r="I65" s="244" t="str">
        <f ca="1">IF($E66=0,OFFSET(ORÇAMENTO!R$15,$E65,0),IF($E66&lt;&gt;-1,OFFSET(QCI!$G$13,$E66,0),""))</f>
        <v>SISTEMA DE PROTEÇÃO CONTRA INCÊNDIO</v>
      </c>
      <c r="J65" s="244"/>
      <c r="K65" s="244"/>
      <c r="L65" s="245">
        <f ca="1">IF($E66=0,OFFSET(ORÇAMENTO!C$15,$E65,0),1)</f>
        <v>2</v>
      </c>
      <c r="M65" s="246">
        <f ca="1">IF($E66=-1,0,IF(M$13&lt;=$L65,IF(ISERROR(MATCH(M$13,OFFSET($L65,1,0,ROW($L$98)-ROW($L65)-1),0)),ROW($L$98)-ROW($L65)-1,MATCH(M$13,OFFSET($L65,1,0,ROW($L$98)-ROW($L65)-1),0)-1),0))</f>
        <v>23</v>
      </c>
      <c r="N65" s="246">
        <f ca="1">IF($E66=-1,0,IF(N$13&lt;=$L65,IF(ISERROR(MATCH(N$13,OFFSET($L65,1,0,ROW($L$98)-ROW($L65)-1),0)),ROW($L$98)-ROW($L65)-1,MATCH(N$13,OFFSET($L65,1,0,ROW($L$98)-ROW($L65)-1),0)-1),0))</f>
        <v>2</v>
      </c>
      <c r="O65" s="246">
        <f ca="1">IF($E66=-1,0,IF(O$13&lt;=$L65,IF(ISERROR(MATCH(O$13,OFFSET($L65,1,0,ROW($L$98)-ROW($L65)-1),0)),ROW($L$98)-ROW($L65)-1,MATCH(O$13,OFFSET($L65,1,0,ROW($L$98)-ROW($L65)-1),0)-1),0))</f>
        <v>0</v>
      </c>
      <c r="P65" s="246">
        <f ca="1">IF($E66=-1,0,IF(P$13&lt;=$L65,IF(ISERROR(MATCH(P$13,OFFSET($L65,1,0,ROW($L$98)-ROW($L65)-1),0)),ROW($L$98)-ROW($L65)-1,MATCH(P$13,OFFSET($L65,1,0,ROW($L$98)-ROW($L65)-1),0)-1),0))</f>
        <v>0</v>
      </c>
      <c r="Q65" s="246">
        <f ca="1">MIN(OFFSET(L65,0,1,,L65))</f>
        <v>2</v>
      </c>
      <c r="R65" s="247">
        <f ca="1">IF($E66=0,OFFSET(ORÇAMENTO!X$15,$E65,0),IF($E66&lt;&gt;-1,OFFSET(QCI!$O$13,$E66,0),""))</f>
        <v>0</v>
      </c>
      <c r="S65" s="248" t="s">
        <v>272</v>
      </c>
      <c r="T65" s="249">
        <f t="shared" ref="T65:AQ65" ca="1" si="21">IF(AND($Q65=2,ACOMPANHAMENTO="BM"),T66,T67/$R65)</f>
        <v>0</v>
      </c>
      <c r="U65" s="241">
        <f t="shared" ca="1" si="21"/>
        <v>0</v>
      </c>
      <c r="V65" s="241">
        <f t="shared" ca="1" si="21"/>
        <v>0</v>
      </c>
      <c r="W65" s="241">
        <f t="shared" ca="1" si="21"/>
        <v>0</v>
      </c>
      <c r="X65" s="241">
        <f t="shared" ca="1" si="21"/>
        <v>0</v>
      </c>
      <c r="Y65" s="241">
        <f t="shared" ca="1" si="21"/>
        <v>0</v>
      </c>
      <c r="Z65" s="241">
        <f t="shared" ca="1" si="21"/>
        <v>0</v>
      </c>
      <c r="AA65" s="241">
        <f t="shared" ca="1" si="21"/>
        <v>0</v>
      </c>
      <c r="AB65" s="241">
        <f t="shared" ca="1" si="21"/>
        <v>0</v>
      </c>
      <c r="AC65" s="241">
        <f t="shared" ca="1" si="21"/>
        <v>0</v>
      </c>
      <c r="AD65" s="241">
        <f t="shared" ca="1" si="21"/>
        <v>0.05</v>
      </c>
      <c r="AE65" s="250">
        <f t="shared" ca="1" si="21"/>
        <v>0.1</v>
      </c>
      <c r="AF65" s="249">
        <f t="shared" ca="1" si="21"/>
        <v>0.1</v>
      </c>
      <c r="AG65" s="241">
        <f t="shared" ca="1" si="21"/>
        <v>0.2</v>
      </c>
      <c r="AH65" s="241">
        <f t="shared" ca="1" si="21"/>
        <v>0.3</v>
      </c>
      <c r="AI65" s="241">
        <f t="shared" ca="1" si="21"/>
        <v>0.25</v>
      </c>
      <c r="AJ65" s="241">
        <f t="shared" ca="1" si="21"/>
        <v>0</v>
      </c>
      <c r="AK65" s="241">
        <f t="shared" ca="1" si="21"/>
        <v>0</v>
      </c>
      <c r="AL65" s="241">
        <f t="shared" ca="1" si="21"/>
        <v>0</v>
      </c>
      <c r="AM65" s="241">
        <f t="shared" ca="1" si="21"/>
        <v>0</v>
      </c>
      <c r="AN65" s="241">
        <f t="shared" ca="1" si="21"/>
        <v>0</v>
      </c>
      <c r="AO65" s="241">
        <f t="shared" ca="1" si="21"/>
        <v>0</v>
      </c>
      <c r="AP65" s="241">
        <f t="shared" ca="1" si="21"/>
        <v>0</v>
      </c>
      <c r="AQ65" s="250">
        <f t="shared" ca="1" si="21"/>
        <v>0</v>
      </c>
    </row>
    <row r="66" spans="1:44" ht="12.75" customHeight="1" x14ac:dyDescent="0.25">
      <c r="D66" s="658"/>
      <c r="E66" s="238">
        <f ca="1">IF(ISERROR(E65),IF(1+COUNTIF($L$13:OFFSET(L65,-1,0),1)&lt;=MAX(QCI!$D$13:$D$24),1+COUNTIF($L$13:OFFSET(L65,-1,0),1),-1),0)</f>
        <v>0</v>
      </c>
      <c r="F66" s="238" t="str">
        <f ca="1">IF(AND($E66&lt;&gt;-1,$R65&gt;0),"F","")</f>
        <v/>
      </c>
      <c r="G66" s="251" t="str">
        <f ca="1">IF(OR(R65=0,R65=""),"vazia",IF(AND(OR(ACOMPANHAMENTO="PLE",$Q65&lt;&gt;2),$E66=0),"calculada","--&gt;"))</f>
        <v>vazia</v>
      </c>
      <c r="H66" s="252"/>
      <c r="I66" s="253" t="str">
        <f ca="1">IF(AND(G65&lt;&gt;0,ISNUMBER(G65)),"PREENCHA ESTA LINHA --&gt;","")</f>
        <v/>
      </c>
      <c r="J66" s="253"/>
      <c r="K66" s="253"/>
      <c r="L66" s="254"/>
      <c r="M66" s="254"/>
      <c r="N66" s="254"/>
      <c r="O66" s="254"/>
      <c r="P66" s="254"/>
      <c r="Q66" s="254"/>
      <c r="R66" s="255"/>
      <c r="S66" s="256"/>
      <c r="T66" s="659"/>
      <c r="U66" s="658"/>
      <c r="V66" s="658"/>
      <c r="W66" s="658"/>
      <c r="X66" s="658"/>
      <c r="Y66" s="658"/>
      <c r="Z66" s="658"/>
      <c r="AA66" s="658"/>
      <c r="AB66" s="658"/>
      <c r="AC66" s="658"/>
      <c r="AD66" s="658">
        <v>0.05</v>
      </c>
      <c r="AE66" s="660">
        <v>0.1</v>
      </c>
      <c r="AF66" s="659">
        <v>0.1</v>
      </c>
      <c r="AG66" s="658">
        <v>0.2</v>
      </c>
      <c r="AH66" s="658">
        <v>0.3</v>
      </c>
      <c r="AI66" s="658">
        <v>0.25</v>
      </c>
      <c r="AJ66" s="658"/>
      <c r="AK66" s="658"/>
      <c r="AL66" s="658"/>
      <c r="AM66" s="658"/>
      <c r="AN66" s="658"/>
      <c r="AO66" s="658"/>
      <c r="AP66" s="658"/>
      <c r="AQ66" s="660"/>
      <c r="AR66" s="618"/>
    </row>
    <row r="67" spans="1:44" ht="0.15" hidden="1" customHeight="1" x14ac:dyDescent="0.25">
      <c r="D67" s="257">
        <f ca="1">IF($Q65=2,IF(AND(ACOMPANHAMENTO="PLE",ISNUMBER($E65)),SUMIF((OFFSET(CÁLCULO!$BC$15:$BU$15,$E65,0,OFFSET(ORÇAMENTO!$D$15,CRONO!$E65,0))),"="&amp;CRONO!D$12,OFFSET(CÁLCULO!$AJ$15:$BB$15,$E65,0,OFFSET(ORÇAMENTO!$D$15,CRONO!$E65,0)))+IF(AND($E67&lt;&gt;"",$E67&lt;&gt;0),SUMIF(CÁLCULO!$BC$15:$BU$710,"="&amp;CRONO!D$12,CÁLCULO!$AJ$15:$BB$710)/(ORÇAMENTO!$X$15-CÁLCULO.TotalAdmLocal)*CRONO!$E67,0),D66*$R65),SUMIF(OFFSET($R67,1,0,$Q65-2),($L65+1)&amp;"$",OFFSET(D67,1,0,$Q65-2)))</f>
        <v>0</v>
      </c>
      <c r="E67" s="238">
        <f ca="1">IF(OR($Q65&lt;&gt;2,AUTOEVENTO&lt;&gt;"manual",$E66&gt;0),"",SUMIF(OFFSET(CÁLCULO!$M$15,CRONO!$E65,0,OFFSET(ORÇAMENTO!$D$15,CRONO!$E65,0)),1,OFFSET(ORÇAMENTO!$X$15,CRONO!$E65,0,OFFSET(ORÇAMENTO!$D$15,CRONO!$E65,0))))</f>
        <v>0</v>
      </c>
      <c r="G67" s="258"/>
      <c r="R67" s="259" t="str">
        <f ca="1">L65&amp;"$"</f>
        <v>2$</v>
      </c>
      <c r="S67" s="260"/>
      <c r="T67" s="261">
        <f ca="1">IF($Q65=2,IF(AND(ACOMPANHAMENTO="PLE",ISNUMBER($E65)),SUMIF((OFFSET(CÁLCULO!$BC$15:$BU$15,$E65,0,OFFSET(ORÇAMENTO!$D$15,CRONO!$E65,0))),"&lt;="&amp;CRONO!T$12,OFFSET(CÁLCULO!$AJ$15:$BB$15,$E65,0,OFFSET(ORÇAMENTO!$D$15,CRONO!$E65,0)))+IF(AND($E67&lt;&gt;"",$E67&lt;&gt;0),SUMIF(CÁLCULO!$BC$15:$BU$710,"&lt;="&amp;CRONO!T$12,CÁLCULO!$AJ$15:$BB$710)/(ORÇAMENTO!$X$15-CÁLCULO.TotalAdmLocal)*CRONO!$E67,0),T66*$R65),SUMIF(OFFSET($R67,1,0,$Q65-2),($L65+1)&amp;"$",OFFSET(T67,1,0,$Q65-2)))</f>
        <v>0</v>
      </c>
      <c r="U67" s="257">
        <f ca="1">IF($Q65=2,IF(AND(ACOMPANHAMENTO="PLE",ISNUMBER($E65)),SUMIF((OFFSET(CÁLCULO!$BC$15:$BU$15,$E65,0,OFFSET(ORÇAMENTO!$D$15,CRONO!$E65,0))),"="&amp;CRONO!U$12,OFFSET(CÁLCULO!$AJ$15:$BB$15,$E65,0,OFFSET(ORÇAMENTO!$D$15,CRONO!$E65,0)))+IF(AND($E67&lt;&gt;"",$E67&lt;&gt;0),SUMIF(CÁLCULO!$BC$15:$BU$710,"="&amp;CRONO!U$12,CÁLCULO!$AJ$15:$BB$710)/(ORÇAMENTO!$X$15-CÁLCULO.TotalAdmLocal)*CRONO!$E67,0),U66*$R65),SUMIF(OFFSET($R67,1,0,$Q65-2),($L65+1)&amp;"$",OFFSET(U67,1,0,$Q65-2)))</f>
        <v>0</v>
      </c>
      <c r="V67" s="257">
        <f ca="1">IF($Q65=2,IF(AND(ACOMPANHAMENTO="PLE",ISNUMBER($E65)),SUMIF((OFFSET(CÁLCULO!$BC$15:$BU$15,$E65,0,OFFSET(ORÇAMENTO!$D$15,CRONO!$E65,0))),"="&amp;CRONO!V$12,OFFSET(CÁLCULO!$AJ$15:$BB$15,$E65,0,OFFSET(ORÇAMENTO!$D$15,CRONO!$E65,0)))+IF(AND($E67&lt;&gt;"",$E67&lt;&gt;0),SUMIF(CÁLCULO!$BC$15:$BU$710,"="&amp;CRONO!V$12,CÁLCULO!$AJ$15:$BB$710)/(ORÇAMENTO!$X$15-CÁLCULO.TotalAdmLocal)*CRONO!$E67,0),V66*$R65),SUMIF(OFFSET($R67,1,0,$Q65-2),($L65+1)&amp;"$",OFFSET(V67,1,0,$Q65-2)))</f>
        <v>0</v>
      </c>
      <c r="W67" s="257">
        <f ca="1">IF($Q65=2,IF(AND(ACOMPANHAMENTO="PLE",ISNUMBER($E65)),SUMIF((OFFSET(CÁLCULO!$BC$15:$BU$15,$E65,0,OFFSET(ORÇAMENTO!$D$15,CRONO!$E65,0))),"="&amp;CRONO!W$12,OFFSET(CÁLCULO!$AJ$15:$BB$15,$E65,0,OFFSET(ORÇAMENTO!$D$15,CRONO!$E65,0)))+IF(AND($E67&lt;&gt;"",$E67&lt;&gt;0),SUMIF(CÁLCULO!$BC$15:$BU$710,"="&amp;CRONO!W$12,CÁLCULO!$AJ$15:$BB$710)/(ORÇAMENTO!$X$15-CÁLCULO.TotalAdmLocal)*CRONO!$E67,0),W66*$R65),SUMIF(OFFSET($R67,1,0,$Q65-2),($L65+1)&amp;"$",OFFSET(W67,1,0,$Q65-2)))</f>
        <v>0</v>
      </c>
      <c r="X67" s="257">
        <f ca="1">IF($Q65=2,IF(AND(ACOMPANHAMENTO="PLE",ISNUMBER($E65)),SUMIF((OFFSET(CÁLCULO!$BC$15:$BU$15,$E65,0,OFFSET(ORÇAMENTO!$D$15,CRONO!$E65,0))),"="&amp;CRONO!X$12,OFFSET(CÁLCULO!$AJ$15:$BB$15,$E65,0,OFFSET(ORÇAMENTO!$D$15,CRONO!$E65,0)))+IF(AND($E67&lt;&gt;"",$E67&lt;&gt;0),SUMIF(CÁLCULO!$BC$15:$BU$710,"="&amp;CRONO!X$12,CÁLCULO!$AJ$15:$BB$710)/(ORÇAMENTO!$X$15-CÁLCULO.TotalAdmLocal)*CRONO!$E67,0),X66*$R65),SUMIF(OFFSET($R67,1,0,$Q65-2),($L65+1)&amp;"$",OFFSET(X67,1,0,$Q65-2)))</f>
        <v>0</v>
      </c>
      <c r="Y67" s="257">
        <f ca="1">IF($Q65=2,IF(AND(ACOMPANHAMENTO="PLE",ISNUMBER($E65)),SUMIF((OFFSET(CÁLCULO!$BC$15:$BU$15,$E65,0,OFFSET(ORÇAMENTO!$D$15,CRONO!$E65,0))),"="&amp;CRONO!Y$12,OFFSET(CÁLCULO!$AJ$15:$BB$15,$E65,0,OFFSET(ORÇAMENTO!$D$15,CRONO!$E65,0)))+IF(AND($E67&lt;&gt;"",$E67&lt;&gt;0),SUMIF(CÁLCULO!$BC$15:$BU$710,"="&amp;CRONO!Y$12,CÁLCULO!$AJ$15:$BB$710)/(ORÇAMENTO!$X$15-CÁLCULO.TotalAdmLocal)*CRONO!$E67,0),Y66*$R65),SUMIF(OFFSET($R67,1,0,$Q65-2),($L65+1)&amp;"$",OFFSET(Y67,1,0,$Q65-2)))</f>
        <v>0</v>
      </c>
      <c r="Z67" s="257">
        <f ca="1">IF($Q65=2,IF(AND(ACOMPANHAMENTO="PLE",ISNUMBER($E65)),SUMIF((OFFSET(CÁLCULO!$BC$15:$BU$15,$E65,0,OFFSET(ORÇAMENTO!$D$15,CRONO!$E65,0))),"="&amp;CRONO!Z$12,OFFSET(CÁLCULO!$AJ$15:$BB$15,$E65,0,OFFSET(ORÇAMENTO!$D$15,CRONO!$E65,0)))+IF(AND($E67&lt;&gt;"",$E67&lt;&gt;0),SUMIF(CÁLCULO!$BC$15:$BU$710,"="&amp;CRONO!Z$12,CÁLCULO!$AJ$15:$BB$710)/(ORÇAMENTO!$X$15-CÁLCULO.TotalAdmLocal)*CRONO!$E67,0),Z66*$R65),SUMIF(OFFSET($R67,1,0,$Q65-2),($L65+1)&amp;"$",OFFSET(Z67,1,0,$Q65-2)))</f>
        <v>0</v>
      </c>
      <c r="AA67" s="257">
        <f ca="1">IF($Q65=2,IF(AND(ACOMPANHAMENTO="PLE",ISNUMBER($E65)),SUMIF((OFFSET(CÁLCULO!$BC$15:$BU$15,$E65,0,OFFSET(ORÇAMENTO!$D$15,CRONO!$E65,0))),"="&amp;CRONO!AA$12,OFFSET(CÁLCULO!$AJ$15:$BB$15,$E65,0,OFFSET(ORÇAMENTO!$D$15,CRONO!$E65,0)))+IF(AND($E67&lt;&gt;"",$E67&lt;&gt;0),SUMIF(CÁLCULO!$BC$15:$BU$710,"="&amp;CRONO!AA$12,CÁLCULO!$AJ$15:$BB$710)/(ORÇAMENTO!$X$15-CÁLCULO.TotalAdmLocal)*CRONO!$E67,0),AA66*$R65),SUMIF(OFFSET($R67,1,0,$Q65-2),($L65+1)&amp;"$",OFFSET(AA67,1,0,$Q65-2)))</f>
        <v>0</v>
      </c>
      <c r="AB67" s="257">
        <f ca="1">IF($Q65=2,IF(AND(ACOMPANHAMENTO="PLE",ISNUMBER($E65)),SUMIF((OFFSET(CÁLCULO!$BC$15:$BU$15,$E65,0,OFFSET(ORÇAMENTO!$D$15,CRONO!$E65,0))),"="&amp;CRONO!AB$12,OFFSET(CÁLCULO!$AJ$15:$BB$15,$E65,0,OFFSET(ORÇAMENTO!$D$15,CRONO!$E65,0)))+IF(AND($E67&lt;&gt;"",$E67&lt;&gt;0),SUMIF(CÁLCULO!$BC$15:$BU$710,"="&amp;CRONO!AB$12,CÁLCULO!$AJ$15:$BB$710)/(ORÇAMENTO!$X$15-CÁLCULO.TotalAdmLocal)*CRONO!$E67,0),AB66*$R65),SUMIF(OFFSET($R67,1,0,$Q65-2),($L65+1)&amp;"$",OFFSET(AB67,1,0,$Q65-2)))</f>
        <v>0</v>
      </c>
      <c r="AC67" s="257">
        <f ca="1">IF($Q65=2,IF(AND(ACOMPANHAMENTO="PLE",ISNUMBER($E65)),SUMIF((OFFSET(CÁLCULO!$BC$15:$BU$15,$E65,0,OFFSET(ORÇAMENTO!$D$15,CRONO!$E65,0))),"="&amp;CRONO!AC$12,OFFSET(CÁLCULO!$AJ$15:$BB$15,$E65,0,OFFSET(ORÇAMENTO!$D$15,CRONO!$E65,0)))+IF(AND($E67&lt;&gt;"",$E67&lt;&gt;0),SUMIF(CÁLCULO!$BC$15:$BU$710,"="&amp;CRONO!AC$12,CÁLCULO!$AJ$15:$BB$710)/(ORÇAMENTO!$X$15-CÁLCULO.TotalAdmLocal)*CRONO!$E67,0),AC66*$R65),SUMIF(OFFSET($R67,1,0,$Q65-2),($L65+1)&amp;"$",OFFSET(AC67,1,0,$Q65-2)))</f>
        <v>0</v>
      </c>
      <c r="AD67" s="257">
        <f ca="1">IF($Q65=2,IF(AND(ACOMPANHAMENTO="PLE",ISNUMBER($E65)),SUMIF((OFFSET(CÁLCULO!$BC$15:$BU$15,$E65,0,OFFSET(ORÇAMENTO!$D$15,CRONO!$E65,0))),"="&amp;CRONO!AD$12,OFFSET(CÁLCULO!$AJ$15:$BB$15,$E65,0,OFFSET(ORÇAMENTO!$D$15,CRONO!$E65,0)))+IF(AND($E67&lt;&gt;"",$E67&lt;&gt;0),SUMIF(CÁLCULO!$BC$15:$BU$710,"="&amp;CRONO!AD$12,CÁLCULO!$AJ$15:$BB$710)/(ORÇAMENTO!$X$15-CÁLCULO.TotalAdmLocal)*CRONO!$E67,0),AD66*$R65),SUMIF(OFFSET($R67,1,0,$Q65-2),($L65+1)&amp;"$",OFFSET(AD67,1,0,$Q65-2)))</f>
        <v>0</v>
      </c>
      <c r="AE67" s="262">
        <f ca="1">IF($Q65=2,IF(AND(ACOMPANHAMENTO="PLE",ISNUMBER($E65)),SUMIF((OFFSET(CÁLCULO!$BC$15:$BU$15,$E65,0,OFFSET(ORÇAMENTO!$D$15,CRONO!$E65,0))),"="&amp;CRONO!AE$12,OFFSET(CÁLCULO!$AJ$15:$BB$15,$E65,0,OFFSET(ORÇAMENTO!$D$15,CRONO!$E65,0)))+IF(AND($E67&lt;&gt;"",$E67&lt;&gt;0),SUMIF(CÁLCULO!$BC$15:$BU$710,"="&amp;CRONO!AE$12,CÁLCULO!$AJ$15:$BB$710)/(ORÇAMENTO!$X$15-CÁLCULO.TotalAdmLocal)*CRONO!$E67,0),AE66*$R65),SUMIF(OFFSET($R67,1,0,$Q65-2),($L65+1)&amp;"$",OFFSET(AE67,1,0,$Q65-2)))</f>
        <v>0</v>
      </c>
      <c r="AF67" s="261">
        <f ca="1">IF($Q65=2,IF(AND(ACOMPANHAMENTO="PLE",ISNUMBER($E65)),SUMIF((OFFSET(CÁLCULO!$BC$15:$BU$15,$E65,0,OFFSET(ORÇAMENTO!$D$15,CRONO!$E65,0))),"="&amp;CRONO!AF$12,OFFSET(CÁLCULO!$AJ$15:$BB$15,$E65,0,OFFSET(ORÇAMENTO!$D$15,CRONO!$E65,0)))+IF(AND($E67&lt;&gt;"",$E67&lt;&gt;0),SUMIF(CÁLCULO!$BC$15:$BU$710,"="&amp;CRONO!AF$12,CÁLCULO!$AJ$15:$BB$710)/(ORÇAMENTO!$X$15-CÁLCULO.TotalAdmLocal)*CRONO!$E67,0),AF66*$R65),SUMIF(OFFSET($R67,1,0,$Q65-2),($L65+1)&amp;"$",OFFSET(AF67,1,0,$Q65-2)))</f>
        <v>0</v>
      </c>
      <c r="AG67" s="257">
        <f ca="1">IF($Q65=2,IF(AND(ACOMPANHAMENTO="PLE",ISNUMBER($E65)),SUMIF((OFFSET(CÁLCULO!$BC$15:$BU$15,$E65,0,OFFSET(ORÇAMENTO!$D$15,CRONO!$E65,0))),"="&amp;CRONO!AG$12,OFFSET(CÁLCULO!$AJ$15:$BB$15,$E65,0,OFFSET(ORÇAMENTO!$D$15,CRONO!$E65,0)))+IF(AND($E67&lt;&gt;"",$E67&lt;&gt;0),SUMIF(CÁLCULO!$BC$15:$BU$710,"="&amp;CRONO!AG$12,CÁLCULO!$AJ$15:$BB$710)/(ORÇAMENTO!$X$15-CÁLCULO.TotalAdmLocal)*CRONO!$E67,0),AG66*$R65),SUMIF(OFFSET($R67,1,0,$Q65-2),($L65+1)&amp;"$",OFFSET(AG67,1,0,$Q65-2)))</f>
        <v>0</v>
      </c>
      <c r="AH67" s="257">
        <f ca="1">IF($Q65=2,IF(AND(ACOMPANHAMENTO="PLE",ISNUMBER($E65)),SUMIF((OFFSET(CÁLCULO!$BC$15:$BU$15,$E65,0,OFFSET(ORÇAMENTO!$D$15,CRONO!$E65,0))),"="&amp;CRONO!AH$12,OFFSET(CÁLCULO!$AJ$15:$BB$15,$E65,0,OFFSET(ORÇAMENTO!$D$15,CRONO!$E65,0)))+IF(AND($E67&lt;&gt;"",$E67&lt;&gt;0),SUMIF(CÁLCULO!$BC$15:$BU$710,"="&amp;CRONO!AH$12,CÁLCULO!$AJ$15:$BB$710)/(ORÇAMENTO!$X$15-CÁLCULO.TotalAdmLocal)*CRONO!$E67,0),AH66*$R65),SUMIF(OFFSET($R67,1,0,$Q65-2),($L65+1)&amp;"$",OFFSET(AH67,1,0,$Q65-2)))</f>
        <v>0</v>
      </c>
      <c r="AI67" s="257">
        <f ca="1">IF($Q65=2,IF(AND(ACOMPANHAMENTO="PLE",ISNUMBER($E65)),SUMIF((OFFSET(CÁLCULO!$BC$15:$BU$15,$E65,0,OFFSET(ORÇAMENTO!$D$15,CRONO!$E65,0))),"="&amp;CRONO!AI$12,OFFSET(CÁLCULO!$AJ$15:$BB$15,$E65,0,OFFSET(ORÇAMENTO!$D$15,CRONO!$E65,0)))+IF(AND($E67&lt;&gt;"",$E67&lt;&gt;0),SUMIF(CÁLCULO!$BC$15:$BU$710,"="&amp;CRONO!AI$12,CÁLCULO!$AJ$15:$BB$710)/(ORÇAMENTO!$X$15-CÁLCULO.TotalAdmLocal)*CRONO!$E67,0),AI66*$R65),SUMIF(OFFSET($R67,1,0,$Q65-2),($L65+1)&amp;"$",OFFSET(AI67,1,0,$Q65-2)))</f>
        <v>0</v>
      </c>
      <c r="AJ67" s="257">
        <f ca="1">IF($Q65=2,IF(AND(ACOMPANHAMENTO="PLE",ISNUMBER($E65)),SUMIF((OFFSET(CÁLCULO!$BC$15:$BU$15,$E65,0,OFFSET(ORÇAMENTO!$D$15,CRONO!$E65,0))),"="&amp;CRONO!AJ$12,OFFSET(CÁLCULO!$AJ$15:$BB$15,$E65,0,OFFSET(ORÇAMENTO!$D$15,CRONO!$E65,0)))+IF(AND($E67&lt;&gt;"",$E67&lt;&gt;0),SUMIF(CÁLCULO!$BC$15:$BU$710,"="&amp;CRONO!AJ$12,CÁLCULO!$AJ$15:$BB$710)/(ORÇAMENTO!$X$15-CÁLCULO.TotalAdmLocal)*CRONO!$E67,0),AJ66*$R65),SUMIF(OFFSET($R67,1,0,$Q65-2),($L65+1)&amp;"$",OFFSET(AJ67,1,0,$Q65-2)))</f>
        <v>0</v>
      </c>
      <c r="AK67" s="257">
        <f ca="1">IF($Q65=2,IF(AND(ACOMPANHAMENTO="PLE",ISNUMBER($E65)),SUMIF((OFFSET(CÁLCULO!$BC$15:$BU$15,$E65,0,OFFSET(ORÇAMENTO!$D$15,CRONO!$E65,0))),"="&amp;CRONO!AK$12,OFFSET(CÁLCULO!$AJ$15:$BB$15,$E65,0,OFFSET(ORÇAMENTO!$D$15,CRONO!$E65,0)))+IF(AND($E67&lt;&gt;"",$E67&lt;&gt;0),SUMIF(CÁLCULO!$BC$15:$BU$710,"="&amp;CRONO!AK$12,CÁLCULO!$AJ$15:$BB$710)/(ORÇAMENTO!$X$15-CÁLCULO.TotalAdmLocal)*CRONO!$E67,0),AK66*$R65),SUMIF(OFFSET($R67,1,0,$Q65-2),($L65+1)&amp;"$",OFFSET(AK67,1,0,$Q65-2)))</f>
        <v>0</v>
      </c>
      <c r="AL67" s="257">
        <f ca="1">IF($Q65=2,IF(AND(ACOMPANHAMENTO="PLE",ISNUMBER($E65)),SUMIF((OFFSET(CÁLCULO!$BC$15:$BU$15,$E65,0,OFFSET(ORÇAMENTO!$D$15,CRONO!$E65,0))),"="&amp;CRONO!AL$12,OFFSET(CÁLCULO!$AJ$15:$BB$15,$E65,0,OFFSET(ORÇAMENTO!$D$15,CRONO!$E65,0)))+IF(AND($E67&lt;&gt;"",$E67&lt;&gt;0),SUMIF(CÁLCULO!$BC$15:$BU$710,"="&amp;CRONO!AL$12,CÁLCULO!$AJ$15:$BB$710)/(ORÇAMENTO!$X$15-CÁLCULO.TotalAdmLocal)*CRONO!$E67,0),AL66*$R65),SUMIF(OFFSET($R67,1,0,$Q65-2),($L65+1)&amp;"$",OFFSET(AL67,1,0,$Q65-2)))</f>
        <v>0</v>
      </c>
      <c r="AM67" s="257">
        <f ca="1">IF($Q65=2,IF(AND(ACOMPANHAMENTO="PLE",ISNUMBER($E65)),SUMIF((OFFSET(CÁLCULO!$BC$15:$BU$15,$E65,0,OFFSET(ORÇAMENTO!$D$15,CRONO!$E65,0))),"="&amp;CRONO!AM$12,OFFSET(CÁLCULO!$AJ$15:$BB$15,$E65,0,OFFSET(ORÇAMENTO!$D$15,CRONO!$E65,0)))+IF(AND($E67&lt;&gt;"",$E67&lt;&gt;0),SUMIF(CÁLCULO!$BC$15:$BU$710,"="&amp;CRONO!AM$12,CÁLCULO!$AJ$15:$BB$710)/(ORÇAMENTO!$X$15-CÁLCULO.TotalAdmLocal)*CRONO!$E67,0),AM66*$R65),SUMIF(OFFSET($R67,1,0,$Q65-2),($L65+1)&amp;"$",OFFSET(AM67,1,0,$Q65-2)))</f>
        <v>0</v>
      </c>
      <c r="AN67" s="257">
        <f ca="1">IF($Q65=2,IF(AND(ACOMPANHAMENTO="PLE",ISNUMBER($E65)),SUMIF((OFFSET(CÁLCULO!$BC$15:$BU$15,$E65,0,OFFSET(ORÇAMENTO!$D$15,CRONO!$E65,0))),"="&amp;CRONO!AN$12,OFFSET(CÁLCULO!$AJ$15:$BB$15,$E65,0,OFFSET(ORÇAMENTO!$D$15,CRONO!$E65,0)))+IF(AND($E67&lt;&gt;"",$E67&lt;&gt;0),SUMIF(CÁLCULO!$BC$15:$BU$710,"="&amp;CRONO!AN$12,CÁLCULO!$AJ$15:$BB$710)/(ORÇAMENTO!$X$15-CÁLCULO.TotalAdmLocal)*CRONO!$E67,0),AN66*$R65),SUMIF(OFFSET($R67,1,0,$Q65-2),($L65+1)&amp;"$",OFFSET(AN67,1,0,$Q65-2)))</f>
        <v>0</v>
      </c>
      <c r="AO67" s="257">
        <f ca="1">IF($Q65=2,IF(AND(ACOMPANHAMENTO="PLE",ISNUMBER($E65)),SUMIF((OFFSET(CÁLCULO!$BC$15:$BU$15,$E65,0,OFFSET(ORÇAMENTO!$D$15,CRONO!$E65,0))),"="&amp;CRONO!AO$12,OFFSET(CÁLCULO!$AJ$15:$BB$15,$E65,0,OFFSET(ORÇAMENTO!$D$15,CRONO!$E65,0)))+IF(AND($E67&lt;&gt;"",$E67&lt;&gt;0),SUMIF(CÁLCULO!$BC$15:$BU$710,"="&amp;CRONO!AO$12,CÁLCULO!$AJ$15:$BB$710)/(ORÇAMENTO!$X$15-CÁLCULO.TotalAdmLocal)*CRONO!$E67,0),AO66*$R65),SUMIF(OFFSET($R67,1,0,$Q65-2),($L65+1)&amp;"$",OFFSET(AO67,1,0,$Q65-2)))</f>
        <v>0</v>
      </c>
      <c r="AP67" s="257">
        <f ca="1">IF($Q65=2,IF(AND(ACOMPANHAMENTO="PLE",ISNUMBER($E65)),SUMIF((OFFSET(CÁLCULO!$BC$15:$BU$15,$E65,0,OFFSET(ORÇAMENTO!$D$15,CRONO!$E65,0))),"="&amp;CRONO!AP$12,OFFSET(CÁLCULO!$AJ$15:$BB$15,$E65,0,OFFSET(ORÇAMENTO!$D$15,CRONO!$E65,0)))+IF(AND($E67&lt;&gt;"",$E67&lt;&gt;0),SUMIF(CÁLCULO!$BC$15:$BU$710,"="&amp;CRONO!AP$12,CÁLCULO!$AJ$15:$BB$710)/(ORÇAMENTO!$X$15-CÁLCULO.TotalAdmLocal)*CRONO!$E67,0),AP66*$R65),SUMIF(OFFSET($R67,1,0,$Q65-2),($L65+1)&amp;"$",OFFSET(AP67,1,0,$Q65-2)))</f>
        <v>0</v>
      </c>
      <c r="AQ67" s="262">
        <f ca="1">IF($Q65=2,IF(AND(ACOMPANHAMENTO="PLE",ISNUMBER($E65)),SUMIF((OFFSET(CÁLCULO!$BC$15:$BU$15,$E65,0,OFFSET(ORÇAMENTO!$D$15,CRONO!$E65,0))),"="&amp;CRONO!AQ$12,OFFSET(CÁLCULO!$AJ$15:$BB$15,$E65,0,OFFSET(ORÇAMENTO!$D$15,CRONO!$E65,0)))+IF(AND($E67&lt;&gt;"",$E67&lt;&gt;0),SUMIF(CÁLCULO!$BC$15:$BU$710,"="&amp;CRONO!AQ$12,CÁLCULO!$AJ$15:$BB$710)/(ORÇAMENTO!$X$15-CÁLCULO.TotalAdmLocal)*CRONO!$E67,0),AQ66*$R65),SUMIF(OFFSET($R67,1,0,$Q65-2),($L65+1)&amp;"$",OFFSET(AQ67,1,0,$Q65-2)))</f>
        <v>0</v>
      </c>
    </row>
    <row r="68" spans="1:44" x14ac:dyDescent="0.25">
      <c r="A68" s="238">
        <f ca="1">OFFSET(A68,-3,0)+1</f>
        <v>19</v>
      </c>
      <c r="B68" s="238">
        <f ca="1">IF($Q68&lt;&gt;2,0,IF($R68=0,1,IF(E69&gt;0,OFFSET(QCI!$M$13,SUBSTITUTE(E69,".",""),0),OFFSET(ORÇAMENTO!$AA$15,CRONO!$E68,0))/$R68))</f>
        <v>1</v>
      </c>
      <c r="C68" s="238">
        <f ca="1">IF($Q68&lt;&gt;2,0,IF($R68=0,1,IF(E69&gt;0,OFFSET(QCI!$N$13,SUBSTITUTE(E69,".",""),0),OFFSET(ORÇAMENTO!$AB$15,CRONO!$E68,0))/$R68))</f>
        <v>1</v>
      </c>
      <c r="D68" s="241">
        <f ca="1">IF(AND($Q68=2,ACOMPANHAMENTO="BM"),D69,D70/$R68)</f>
        <v>0</v>
      </c>
      <c r="E68" s="238">
        <f ca="1">IF(A68&lt;=ORÇAMENTO.MáximoListaCrono,MATCH(A68,ORÇAMENTO.ListaCrono,0),NA())</f>
        <v>513</v>
      </c>
      <c r="F68" s="238" t="str">
        <f ca="1">IF(AND($E69&lt;&gt;-1,$R68&gt;0),"F","")</f>
        <v/>
      </c>
      <c r="G68" s="242" t="str">
        <f ca="1">IF(OR(R68=0,R68=""),"Linha",IF(AND(OR(ACOMPANHAMENTO="PLE",$Q68&lt;&gt;2),$E69=0),"Linha",1-SUM(T68:AR68)))</f>
        <v>Linha</v>
      </c>
      <c r="H68" s="243" t="str">
        <f ca="1">IF($E69=0,OFFSET(ORÇAMENTO!O$15,$E68,0),IF($E69&lt;&gt;-1,OFFSET(QCI!$D$13,$E69,0),""))</f>
        <v>1.18.</v>
      </c>
      <c r="I68" s="244" t="str">
        <f ca="1">IF($E69=0,OFFSET(ORÇAMENTO!R$15,$E68,0),IF($E69&lt;&gt;-1,OFFSET(QCI!$G$13,$E69,0),""))</f>
        <v>INSTALAÇÃO ELÉTRICA - 220V</v>
      </c>
      <c r="J68" s="244"/>
      <c r="K68" s="244"/>
      <c r="L68" s="245">
        <f ca="1">IF($E69=0,OFFSET(ORÇAMENTO!C$15,$E68,0),1)</f>
        <v>2</v>
      </c>
      <c r="M68" s="246">
        <f ca="1">IF($E69=-1,0,IF(M$13&lt;=$L68,IF(ISERROR(MATCH(M$13,OFFSET($L68,1,0,ROW($L$98)-ROW($L68)-1),0)),ROW($L$98)-ROW($L68)-1,MATCH(M$13,OFFSET($L68,1,0,ROW($L$98)-ROW($L68)-1),0)-1),0))</f>
        <v>20</v>
      </c>
      <c r="N68" s="246">
        <f ca="1">IF($E69=-1,0,IF(N$13&lt;=$L68,IF(ISERROR(MATCH(N$13,OFFSET($L68,1,0,ROW($L$98)-ROW($L68)-1),0)),ROW($L$98)-ROW($L68)-1,MATCH(N$13,OFFSET($L68,1,0,ROW($L$98)-ROW($L68)-1),0)-1),0))</f>
        <v>2</v>
      </c>
      <c r="O68" s="246">
        <f ca="1">IF($E69=-1,0,IF(O$13&lt;=$L68,IF(ISERROR(MATCH(O$13,OFFSET($L68,1,0,ROW($L$98)-ROW($L68)-1),0)),ROW($L$98)-ROW($L68)-1,MATCH(O$13,OFFSET($L68,1,0,ROW($L$98)-ROW($L68)-1),0)-1),0))</f>
        <v>0</v>
      </c>
      <c r="P68" s="246">
        <f ca="1">IF($E69=-1,0,IF(P$13&lt;=$L68,IF(ISERROR(MATCH(P$13,OFFSET($L68,1,0,ROW($L$98)-ROW($L68)-1),0)),ROW($L$98)-ROW($L68)-1,MATCH(P$13,OFFSET($L68,1,0,ROW($L$98)-ROW($L68)-1),0)-1),0))</f>
        <v>0</v>
      </c>
      <c r="Q68" s="246">
        <f ca="1">MIN(OFFSET(L68,0,1,,L68))</f>
        <v>2</v>
      </c>
      <c r="R68" s="247">
        <f ca="1">IF($E69=0,OFFSET(ORÇAMENTO!X$15,$E68,0),IF($E69&lt;&gt;-1,OFFSET(QCI!$O$13,$E69,0),""))</f>
        <v>0</v>
      </c>
      <c r="S68" s="248" t="s">
        <v>272</v>
      </c>
      <c r="T68" s="249">
        <f t="shared" ref="T68:AQ68" ca="1" si="22">IF(AND($Q68=2,ACOMPANHAMENTO="BM"),T69,T70/$R68)</f>
        <v>0</v>
      </c>
      <c r="U68" s="241">
        <f t="shared" ca="1" si="22"/>
        <v>0</v>
      </c>
      <c r="V68" s="241">
        <f t="shared" ca="1" si="22"/>
        <v>0</v>
      </c>
      <c r="W68" s="241">
        <f t="shared" ca="1" si="22"/>
        <v>0</v>
      </c>
      <c r="X68" s="241">
        <f t="shared" ca="1" si="22"/>
        <v>0</v>
      </c>
      <c r="Y68" s="241">
        <f t="shared" ca="1" si="22"/>
        <v>0</v>
      </c>
      <c r="Z68" s="241">
        <f t="shared" ca="1" si="22"/>
        <v>0</v>
      </c>
      <c r="AA68" s="241">
        <f t="shared" ca="1" si="22"/>
        <v>0</v>
      </c>
      <c r="AB68" s="241">
        <f t="shared" ca="1" si="22"/>
        <v>0</v>
      </c>
      <c r="AC68" s="241">
        <f t="shared" ca="1" si="22"/>
        <v>0</v>
      </c>
      <c r="AD68" s="241">
        <f t="shared" ca="1" si="22"/>
        <v>0</v>
      </c>
      <c r="AE68" s="250">
        <f t="shared" ca="1" si="22"/>
        <v>0.1</v>
      </c>
      <c r="AF68" s="249">
        <f t="shared" ca="1" si="22"/>
        <v>0.1</v>
      </c>
      <c r="AG68" s="241">
        <f t="shared" ca="1" si="22"/>
        <v>0.2</v>
      </c>
      <c r="AH68" s="241">
        <f t="shared" ca="1" si="22"/>
        <v>0.25</v>
      </c>
      <c r="AI68" s="241">
        <f t="shared" ca="1" si="22"/>
        <v>0.25</v>
      </c>
      <c r="AJ68" s="241">
        <f t="shared" ca="1" si="22"/>
        <v>0.1</v>
      </c>
      <c r="AK68" s="241">
        <f t="shared" ca="1" si="22"/>
        <v>0</v>
      </c>
      <c r="AL68" s="241">
        <f t="shared" ca="1" si="22"/>
        <v>0</v>
      </c>
      <c r="AM68" s="241">
        <f t="shared" ca="1" si="22"/>
        <v>0</v>
      </c>
      <c r="AN68" s="241">
        <f t="shared" ca="1" si="22"/>
        <v>0</v>
      </c>
      <c r="AO68" s="241">
        <f t="shared" ca="1" si="22"/>
        <v>0</v>
      </c>
      <c r="AP68" s="241">
        <f t="shared" ca="1" si="22"/>
        <v>0</v>
      </c>
      <c r="AQ68" s="250">
        <f t="shared" ca="1" si="22"/>
        <v>0</v>
      </c>
    </row>
    <row r="69" spans="1:44" ht="12.75" customHeight="1" x14ac:dyDescent="0.25">
      <c r="D69" s="658"/>
      <c r="E69" s="238">
        <f ca="1">IF(ISERROR(E68),IF(1+COUNTIF($L$13:OFFSET(L68,-1,0),1)&lt;=MAX(QCI!$D$13:$D$24),1+COUNTIF($L$13:OFFSET(L68,-1,0),1),-1),0)</f>
        <v>0</v>
      </c>
      <c r="F69" s="238" t="str">
        <f ca="1">IF(AND($E69&lt;&gt;-1,$R68&gt;0),"F","")</f>
        <v/>
      </c>
      <c r="G69" s="251" t="str">
        <f ca="1">IF(OR(R68=0,R68=""),"vazia",IF(AND(OR(ACOMPANHAMENTO="PLE",$Q68&lt;&gt;2),$E69=0),"calculada","--&gt;"))</f>
        <v>vazia</v>
      </c>
      <c r="H69" s="252"/>
      <c r="I69" s="253" t="str">
        <f ca="1">IF(AND(G68&lt;&gt;0,ISNUMBER(G68)),"PREENCHA ESTA LINHA --&gt;","")</f>
        <v/>
      </c>
      <c r="J69" s="253"/>
      <c r="K69" s="253"/>
      <c r="L69" s="254"/>
      <c r="M69" s="254"/>
      <c r="N69" s="254"/>
      <c r="O69" s="254"/>
      <c r="P69" s="254"/>
      <c r="Q69" s="254"/>
      <c r="R69" s="255"/>
      <c r="S69" s="256"/>
      <c r="T69" s="659"/>
      <c r="U69" s="658"/>
      <c r="V69" s="658"/>
      <c r="W69" s="658"/>
      <c r="X69" s="658"/>
      <c r="Y69" s="658"/>
      <c r="Z69" s="658"/>
      <c r="AA69" s="658"/>
      <c r="AB69" s="658"/>
      <c r="AC69" s="658"/>
      <c r="AD69" s="658"/>
      <c r="AE69" s="660">
        <v>0.1</v>
      </c>
      <c r="AF69" s="659">
        <v>0.1</v>
      </c>
      <c r="AG69" s="658">
        <v>0.2</v>
      </c>
      <c r="AH69" s="658">
        <v>0.25</v>
      </c>
      <c r="AI69" s="658">
        <v>0.25</v>
      </c>
      <c r="AJ69" s="658">
        <v>0.1</v>
      </c>
      <c r="AK69" s="658"/>
      <c r="AL69" s="658"/>
      <c r="AM69" s="658"/>
      <c r="AN69" s="658"/>
      <c r="AO69" s="658"/>
      <c r="AP69" s="658"/>
      <c r="AQ69" s="660"/>
      <c r="AR69" s="618"/>
    </row>
    <row r="70" spans="1:44" ht="0.15" hidden="1" customHeight="1" x14ac:dyDescent="0.25">
      <c r="D70" s="257">
        <f ca="1">IF($Q68=2,IF(AND(ACOMPANHAMENTO="PLE",ISNUMBER($E68)),SUMIF((OFFSET(CÁLCULO!$BC$15:$BU$15,$E68,0,OFFSET(ORÇAMENTO!$D$15,CRONO!$E68,0))),"="&amp;CRONO!D$12,OFFSET(CÁLCULO!$AJ$15:$BB$15,$E68,0,OFFSET(ORÇAMENTO!$D$15,CRONO!$E68,0)))+IF(AND($E70&lt;&gt;"",$E70&lt;&gt;0),SUMIF(CÁLCULO!$BC$15:$BU$710,"="&amp;CRONO!D$12,CÁLCULO!$AJ$15:$BB$710)/(ORÇAMENTO!$X$15-CÁLCULO.TotalAdmLocal)*CRONO!$E70,0),D69*$R68),SUMIF(OFFSET($R70,1,0,$Q68-2),($L68+1)&amp;"$",OFFSET(D70,1,0,$Q68-2)))</f>
        <v>0</v>
      </c>
      <c r="E70" s="238">
        <f ca="1">IF(OR($Q68&lt;&gt;2,AUTOEVENTO&lt;&gt;"manual",$E69&gt;0),"",SUMIF(OFFSET(CÁLCULO!$M$15,CRONO!$E68,0,OFFSET(ORÇAMENTO!$D$15,CRONO!$E68,0)),1,OFFSET(ORÇAMENTO!$X$15,CRONO!$E68,0,OFFSET(ORÇAMENTO!$D$15,CRONO!$E68,0))))</f>
        <v>0</v>
      </c>
      <c r="G70" s="258"/>
      <c r="R70" s="259" t="str">
        <f ca="1">L68&amp;"$"</f>
        <v>2$</v>
      </c>
      <c r="S70" s="260"/>
      <c r="T70" s="261">
        <f ca="1">IF($Q68=2,IF(AND(ACOMPANHAMENTO="PLE",ISNUMBER($E68)),SUMIF((OFFSET(CÁLCULO!$BC$15:$BU$15,$E68,0,OFFSET(ORÇAMENTO!$D$15,CRONO!$E68,0))),"&lt;="&amp;CRONO!T$12,OFFSET(CÁLCULO!$AJ$15:$BB$15,$E68,0,OFFSET(ORÇAMENTO!$D$15,CRONO!$E68,0)))+IF(AND($E70&lt;&gt;"",$E70&lt;&gt;0),SUMIF(CÁLCULO!$BC$15:$BU$710,"&lt;="&amp;CRONO!T$12,CÁLCULO!$AJ$15:$BB$710)/(ORÇAMENTO!$X$15-CÁLCULO.TotalAdmLocal)*CRONO!$E70,0),T69*$R68),SUMIF(OFFSET($R70,1,0,$Q68-2),($L68+1)&amp;"$",OFFSET(T70,1,0,$Q68-2)))</f>
        <v>0</v>
      </c>
      <c r="U70" s="257">
        <f ca="1">IF($Q68=2,IF(AND(ACOMPANHAMENTO="PLE",ISNUMBER($E68)),SUMIF((OFFSET(CÁLCULO!$BC$15:$BU$15,$E68,0,OFFSET(ORÇAMENTO!$D$15,CRONO!$E68,0))),"="&amp;CRONO!U$12,OFFSET(CÁLCULO!$AJ$15:$BB$15,$E68,0,OFFSET(ORÇAMENTO!$D$15,CRONO!$E68,0)))+IF(AND($E70&lt;&gt;"",$E70&lt;&gt;0),SUMIF(CÁLCULO!$BC$15:$BU$710,"="&amp;CRONO!U$12,CÁLCULO!$AJ$15:$BB$710)/(ORÇAMENTO!$X$15-CÁLCULO.TotalAdmLocal)*CRONO!$E70,0),U69*$R68),SUMIF(OFFSET($R70,1,0,$Q68-2),($L68+1)&amp;"$",OFFSET(U70,1,0,$Q68-2)))</f>
        <v>0</v>
      </c>
      <c r="V70" s="257">
        <f ca="1">IF($Q68=2,IF(AND(ACOMPANHAMENTO="PLE",ISNUMBER($E68)),SUMIF((OFFSET(CÁLCULO!$BC$15:$BU$15,$E68,0,OFFSET(ORÇAMENTO!$D$15,CRONO!$E68,0))),"="&amp;CRONO!V$12,OFFSET(CÁLCULO!$AJ$15:$BB$15,$E68,0,OFFSET(ORÇAMENTO!$D$15,CRONO!$E68,0)))+IF(AND($E70&lt;&gt;"",$E70&lt;&gt;0),SUMIF(CÁLCULO!$BC$15:$BU$710,"="&amp;CRONO!V$12,CÁLCULO!$AJ$15:$BB$710)/(ORÇAMENTO!$X$15-CÁLCULO.TotalAdmLocal)*CRONO!$E70,0),V69*$R68),SUMIF(OFFSET($R70,1,0,$Q68-2),($L68+1)&amp;"$",OFFSET(V70,1,0,$Q68-2)))</f>
        <v>0</v>
      </c>
      <c r="W70" s="257">
        <f ca="1">IF($Q68=2,IF(AND(ACOMPANHAMENTO="PLE",ISNUMBER($E68)),SUMIF((OFFSET(CÁLCULO!$BC$15:$BU$15,$E68,0,OFFSET(ORÇAMENTO!$D$15,CRONO!$E68,0))),"="&amp;CRONO!W$12,OFFSET(CÁLCULO!$AJ$15:$BB$15,$E68,0,OFFSET(ORÇAMENTO!$D$15,CRONO!$E68,0)))+IF(AND($E70&lt;&gt;"",$E70&lt;&gt;0),SUMIF(CÁLCULO!$BC$15:$BU$710,"="&amp;CRONO!W$12,CÁLCULO!$AJ$15:$BB$710)/(ORÇAMENTO!$X$15-CÁLCULO.TotalAdmLocal)*CRONO!$E70,0),W69*$R68),SUMIF(OFFSET($R70,1,0,$Q68-2),($L68+1)&amp;"$",OFFSET(W70,1,0,$Q68-2)))</f>
        <v>0</v>
      </c>
      <c r="X70" s="257">
        <f ca="1">IF($Q68=2,IF(AND(ACOMPANHAMENTO="PLE",ISNUMBER($E68)),SUMIF((OFFSET(CÁLCULO!$BC$15:$BU$15,$E68,0,OFFSET(ORÇAMENTO!$D$15,CRONO!$E68,0))),"="&amp;CRONO!X$12,OFFSET(CÁLCULO!$AJ$15:$BB$15,$E68,0,OFFSET(ORÇAMENTO!$D$15,CRONO!$E68,0)))+IF(AND($E70&lt;&gt;"",$E70&lt;&gt;0),SUMIF(CÁLCULO!$BC$15:$BU$710,"="&amp;CRONO!X$12,CÁLCULO!$AJ$15:$BB$710)/(ORÇAMENTO!$X$15-CÁLCULO.TotalAdmLocal)*CRONO!$E70,0),X69*$R68),SUMIF(OFFSET($R70,1,0,$Q68-2),($L68+1)&amp;"$",OFFSET(X70,1,0,$Q68-2)))</f>
        <v>0</v>
      </c>
      <c r="Y70" s="257">
        <f ca="1">IF($Q68=2,IF(AND(ACOMPANHAMENTO="PLE",ISNUMBER($E68)),SUMIF((OFFSET(CÁLCULO!$BC$15:$BU$15,$E68,0,OFFSET(ORÇAMENTO!$D$15,CRONO!$E68,0))),"="&amp;CRONO!Y$12,OFFSET(CÁLCULO!$AJ$15:$BB$15,$E68,0,OFFSET(ORÇAMENTO!$D$15,CRONO!$E68,0)))+IF(AND($E70&lt;&gt;"",$E70&lt;&gt;0),SUMIF(CÁLCULO!$BC$15:$BU$710,"="&amp;CRONO!Y$12,CÁLCULO!$AJ$15:$BB$710)/(ORÇAMENTO!$X$15-CÁLCULO.TotalAdmLocal)*CRONO!$E70,0),Y69*$R68),SUMIF(OFFSET($R70,1,0,$Q68-2),($L68+1)&amp;"$",OFFSET(Y70,1,0,$Q68-2)))</f>
        <v>0</v>
      </c>
      <c r="Z70" s="257">
        <f ca="1">IF($Q68=2,IF(AND(ACOMPANHAMENTO="PLE",ISNUMBER($E68)),SUMIF((OFFSET(CÁLCULO!$BC$15:$BU$15,$E68,0,OFFSET(ORÇAMENTO!$D$15,CRONO!$E68,0))),"="&amp;CRONO!Z$12,OFFSET(CÁLCULO!$AJ$15:$BB$15,$E68,0,OFFSET(ORÇAMENTO!$D$15,CRONO!$E68,0)))+IF(AND($E70&lt;&gt;"",$E70&lt;&gt;0),SUMIF(CÁLCULO!$BC$15:$BU$710,"="&amp;CRONO!Z$12,CÁLCULO!$AJ$15:$BB$710)/(ORÇAMENTO!$X$15-CÁLCULO.TotalAdmLocal)*CRONO!$E70,0),Z69*$R68),SUMIF(OFFSET($R70,1,0,$Q68-2),($L68+1)&amp;"$",OFFSET(Z70,1,0,$Q68-2)))</f>
        <v>0</v>
      </c>
      <c r="AA70" s="257">
        <f ca="1">IF($Q68=2,IF(AND(ACOMPANHAMENTO="PLE",ISNUMBER($E68)),SUMIF((OFFSET(CÁLCULO!$BC$15:$BU$15,$E68,0,OFFSET(ORÇAMENTO!$D$15,CRONO!$E68,0))),"="&amp;CRONO!AA$12,OFFSET(CÁLCULO!$AJ$15:$BB$15,$E68,0,OFFSET(ORÇAMENTO!$D$15,CRONO!$E68,0)))+IF(AND($E70&lt;&gt;"",$E70&lt;&gt;0),SUMIF(CÁLCULO!$BC$15:$BU$710,"="&amp;CRONO!AA$12,CÁLCULO!$AJ$15:$BB$710)/(ORÇAMENTO!$X$15-CÁLCULO.TotalAdmLocal)*CRONO!$E70,0),AA69*$R68),SUMIF(OFFSET($R70,1,0,$Q68-2),($L68+1)&amp;"$",OFFSET(AA70,1,0,$Q68-2)))</f>
        <v>0</v>
      </c>
      <c r="AB70" s="257">
        <f ca="1">IF($Q68=2,IF(AND(ACOMPANHAMENTO="PLE",ISNUMBER($E68)),SUMIF((OFFSET(CÁLCULO!$BC$15:$BU$15,$E68,0,OFFSET(ORÇAMENTO!$D$15,CRONO!$E68,0))),"="&amp;CRONO!AB$12,OFFSET(CÁLCULO!$AJ$15:$BB$15,$E68,0,OFFSET(ORÇAMENTO!$D$15,CRONO!$E68,0)))+IF(AND($E70&lt;&gt;"",$E70&lt;&gt;0),SUMIF(CÁLCULO!$BC$15:$BU$710,"="&amp;CRONO!AB$12,CÁLCULO!$AJ$15:$BB$710)/(ORÇAMENTO!$X$15-CÁLCULO.TotalAdmLocal)*CRONO!$E70,0),AB69*$R68),SUMIF(OFFSET($R70,1,0,$Q68-2),($L68+1)&amp;"$",OFFSET(AB70,1,0,$Q68-2)))</f>
        <v>0</v>
      </c>
      <c r="AC70" s="257">
        <f ca="1">IF($Q68=2,IF(AND(ACOMPANHAMENTO="PLE",ISNUMBER($E68)),SUMIF((OFFSET(CÁLCULO!$BC$15:$BU$15,$E68,0,OFFSET(ORÇAMENTO!$D$15,CRONO!$E68,0))),"="&amp;CRONO!AC$12,OFFSET(CÁLCULO!$AJ$15:$BB$15,$E68,0,OFFSET(ORÇAMENTO!$D$15,CRONO!$E68,0)))+IF(AND($E70&lt;&gt;"",$E70&lt;&gt;0),SUMIF(CÁLCULO!$BC$15:$BU$710,"="&amp;CRONO!AC$12,CÁLCULO!$AJ$15:$BB$710)/(ORÇAMENTO!$X$15-CÁLCULO.TotalAdmLocal)*CRONO!$E70,0),AC69*$R68),SUMIF(OFFSET($R70,1,0,$Q68-2),($L68+1)&amp;"$",OFFSET(AC70,1,0,$Q68-2)))</f>
        <v>0</v>
      </c>
      <c r="AD70" s="257">
        <f ca="1">IF($Q68=2,IF(AND(ACOMPANHAMENTO="PLE",ISNUMBER($E68)),SUMIF((OFFSET(CÁLCULO!$BC$15:$BU$15,$E68,0,OFFSET(ORÇAMENTO!$D$15,CRONO!$E68,0))),"="&amp;CRONO!AD$12,OFFSET(CÁLCULO!$AJ$15:$BB$15,$E68,0,OFFSET(ORÇAMENTO!$D$15,CRONO!$E68,0)))+IF(AND($E70&lt;&gt;"",$E70&lt;&gt;0),SUMIF(CÁLCULO!$BC$15:$BU$710,"="&amp;CRONO!AD$12,CÁLCULO!$AJ$15:$BB$710)/(ORÇAMENTO!$X$15-CÁLCULO.TotalAdmLocal)*CRONO!$E70,0),AD69*$R68),SUMIF(OFFSET($R70,1,0,$Q68-2),($L68+1)&amp;"$",OFFSET(AD70,1,0,$Q68-2)))</f>
        <v>0</v>
      </c>
      <c r="AE70" s="262">
        <f ca="1">IF($Q68=2,IF(AND(ACOMPANHAMENTO="PLE",ISNUMBER($E68)),SUMIF((OFFSET(CÁLCULO!$BC$15:$BU$15,$E68,0,OFFSET(ORÇAMENTO!$D$15,CRONO!$E68,0))),"="&amp;CRONO!AE$12,OFFSET(CÁLCULO!$AJ$15:$BB$15,$E68,0,OFFSET(ORÇAMENTO!$D$15,CRONO!$E68,0)))+IF(AND($E70&lt;&gt;"",$E70&lt;&gt;0),SUMIF(CÁLCULO!$BC$15:$BU$710,"="&amp;CRONO!AE$12,CÁLCULO!$AJ$15:$BB$710)/(ORÇAMENTO!$X$15-CÁLCULO.TotalAdmLocal)*CRONO!$E70,0),AE69*$R68),SUMIF(OFFSET($R70,1,0,$Q68-2),($L68+1)&amp;"$",OFFSET(AE70,1,0,$Q68-2)))</f>
        <v>0</v>
      </c>
      <c r="AF70" s="261">
        <f ca="1">IF($Q68=2,IF(AND(ACOMPANHAMENTO="PLE",ISNUMBER($E68)),SUMIF((OFFSET(CÁLCULO!$BC$15:$BU$15,$E68,0,OFFSET(ORÇAMENTO!$D$15,CRONO!$E68,0))),"="&amp;CRONO!AF$12,OFFSET(CÁLCULO!$AJ$15:$BB$15,$E68,0,OFFSET(ORÇAMENTO!$D$15,CRONO!$E68,0)))+IF(AND($E70&lt;&gt;"",$E70&lt;&gt;0),SUMIF(CÁLCULO!$BC$15:$BU$710,"="&amp;CRONO!AF$12,CÁLCULO!$AJ$15:$BB$710)/(ORÇAMENTO!$X$15-CÁLCULO.TotalAdmLocal)*CRONO!$E70,0),AF69*$R68),SUMIF(OFFSET($R70,1,0,$Q68-2),($L68+1)&amp;"$",OFFSET(AF70,1,0,$Q68-2)))</f>
        <v>0</v>
      </c>
      <c r="AG70" s="257">
        <f ca="1">IF($Q68=2,IF(AND(ACOMPANHAMENTO="PLE",ISNUMBER($E68)),SUMIF((OFFSET(CÁLCULO!$BC$15:$BU$15,$E68,0,OFFSET(ORÇAMENTO!$D$15,CRONO!$E68,0))),"="&amp;CRONO!AG$12,OFFSET(CÁLCULO!$AJ$15:$BB$15,$E68,0,OFFSET(ORÇAMENTO!$D$15,CRONO!$E68,0)))+IF(AND($E70&lt;&gt;"",$E70&lt;&gt;0),SUMIF(CÁLCULO!$BC$15:$BU$710,"="&amp;CRONO!AG$12,CÁLCULO!$AJ$15:$BB$710)/(ORÇAMENTO!$X$15-CÁLCULO.TotalAdmLocal)*CRONO!$E70,0),AG69*$R68),SUMIF(OFFSET($R70,1,0,$Q68-2),($L68+1)&amp;"$",OFFSET(AG70,1,0,$Q68-2)))</f>
        <v>0</v>
      </c>
      <c r="AH70" s="257">
        <f ca="1">IF($Q68=2,IF(AND(ACOMPANHAMENTO="PLE",ISNUMBER($E68)),SUMIF((OFFSET(CÁLCULO!$BC$15:$BU$15,$E68,0,OFFSET(ORÇAMENTO!$D$15,CRONO!$E68,0))),"="&amp;CRONO!AH$12,OFFSET(CÁLCULO!$AJ$15:$BB$15,$E68,0,OFFSET(ORÇAMENTO!$D$15,CRONO!$E68,0)))+IF(AND($E70&lt;&gt;"",$E70&lt;&gt;0),SUMIF(CÁLCULO!$BC$15:$BU$710,"="&amp;CRONO!AH$12,CÁLCULO!$AJ$15:$BB$710)/(ORÇAMENTO!$X$15-CÁLCULO.TotalAdmLocal)*CRONO!$E70,0),AH69*$R68),SUMIF(OFFSET($R70,1,0,$Q68-2),($L68+1)&amp;"$",OFFSET(AH70,1,0,$Q68-2)))</f>
        <v>0</v>
      </c>
      <c r="AI70" s="257">
        <f ca="1">IF($Q68=2,IF(AND(ACOMPANHAMENTO="PLE",ISNUMBER($E68)),SUMIF((OFFSET(CÁLCULO!$BC$15:$BU$15,$E68,0,OFFSET(ORÇAMENTO!$D$15,CRONO!$E68,0))),"="&amp;CRONO!AI$12,OFFSET(CÁLCULO!$AJ$15:$BB$15,$E68,0,OFFSET(ORÇAMENTO!$D$15,CRONO!$E68,0)))+IF(AND($E70&lt;&gt;"",$E70&lt;&gt;0),SUMIF(CÁLCULO!$BC$15:$BU$710,"="&amp;CRONO!AI$12,CÁLCULO!$AJ$15:$BB$710)/(ORÇAMENTO!$X$15-CÁLCULO.TotalAdmLocal)*CRONO!$E70,0),AI69*$R68),SUMIF(OFFSET($R70,1,0,$Q68-2),($L68+1)&amp;"$",OFFSET(AI70,1,0,$Q68-2)))</f>
        <v>0</v>
      </c>
      <c r="AJ70" s="257">
        <f ca="1">IF($Q68=2,IF(AND(ACOMPANHAMENTO="PLE",ISNUMBER($E68)),SUMIF((OFFSET(CÁLCULO!$BC$15:$BU$15,$E68,0,OFFSET(ORÇAMENTO!$D$15,CRONO!$E68,0))),"="&amp;CRONO!AJ$12,OFFSET(CÁLCULO!$AJ$15:$BB$15,$E68,0,OFFSET(ORÇAMENTO!$D$15,CRONO!$E68,0)))+IF(AND($E70&lt;&gt;"",$E70&lt;&gt;0),SUMIF(CÁLCULO!$BC$15:$BU$710,"="&amp;CRONO!AJ$12,CÁLCULO!$AJ$15:$BB$710)/(ORÇAMENTO!$X$15-CÁLCULO.TotalAdmLocal)*CRONO!$E70,0),AJ69*$R68),SUMIF(OFFSET($R70,1,0,$Q68-2),($L68+1)&amp;"$",OFFSET(AJ70,1,0,$Q68-2)))</f>
        <v>0</v>
      </c>
      <c r="AK70" s="257">
        <f ca="1">IF($Q68=2,IF(AND(ACOMPANHAMENTO="PLE",ISNUMBER($E68)),SUMIF((OFFSET(CÁLCULO!$BC$15:$BU$15,$E68,0,OFFSET(ORÇAMENTO!$D$15,CRONO!$E68,0))),"="&amp;CRONO!AK$12,OFFSET(CÁLCULO!$AJ$15:$BB$15,$E68,0,OFFSET(ORÇAMENTO!$D$15,CRONO!$E68,0)))+IF(AND($E70&lt;&gt;"",$E70&lt;&gt;0),SUMIF(CÁLCULO!$BC$15:$BU$710,"="&amp;CRONO!AK$12,CÁLCULO!$AJ$15:$BB$710)/(ORÇAMENTO!$X$15-CÁLCULO.TotalAdmLocal)*CRONO!$E70,0),AK69*$R68),SUMIF(OFFSET($R70,1,0,$Q68-2),($L68+1)&amp;"$",OFFSET(AK70,1,0,$Q68-2)))</f>
        <v>0</v>
      </c>
      <c r="AL70" s="257">
        <f ca="1">IF($Q68=2,IF(AND(ACOMPANHAMENTO="PLE",ISNUMBER($E68)),SUMIF((OFFSET(CÁLCULO!$BC$15:$BU$15,$E68,0,OFFSET(ORÇAMENTO!$D$15,CRONO!$E68,0))),"="&amp;CRONO!AL$12,OFFSET(CÁLCULO!$AJ$15:$BB$15,$E68,0,OFFSET(ORÇAMENTO!$D$15,CRONO!$E68,0)))+IF(AND($E70&lt;&gt;"",$E70&lt;&gt;0),SUMIF(CÁLCULO!$BC$15:$BU$710,"="&amp;CRONO!AL$12,CÁLCULO!$AJ$15:$BB$710)/(ORÇAMENTO!$X$15-CÁLCULO.TotalAdmLocal)*CRONO!$E70,0),AL69*$R68),SUMIF(OFFSET($R70,1,0,$Q68-2),($L68+1)&amp;"$",OFFSET(AL70,1,0,$Q68-2)))</f>
        <v>0</v>
      </c>
      <c r="AM70" s="257">
        <f ca="1">IF($Q68=2,IF(AND(ACOMPANHAMENTO="PLE",ISNUMBER($E68)),SUMIF((OFFSET(CÁLCULO!$BC$15:$BU$15,$E68,0,OFFSET(ORÇAMENTO!$D$15,CRONO!$E68,0))),"="&amp;CRONO!AM$12,OFFSET(CÁLCULO!$AJ$15:$BB$15,$E68,0,OFFSET(ORÇAMENTO!$D$15,CRONO!$E68,0)))+IF(AND($E70&lt;&gt;"",$E70&lt;&gt;0),SUMIF(CÁLCULO!$BC$15:$BU$710,"="&amp;CRONO!AM$12,CÁLCULO!$AJ$15:$BB$710)/(ORÇAMENTO!$X$15-CÁLCULO.TotalAdmLocal)*CRONO!$E70,0),AM69*$R68),SUMIF(OFFSET($R70,1,0,$Q68-2),($L68+1)&amp;"$",OFFSET(AM70,1,0,$Q68-2)))</f>
        <v>0</v>
      </c>
      <c r="AN70" s="257">
        <f ca="1">IF($Q68=2,IF(AND(ACOMPANHAMENTO="PLE",ISNUMBER($E68)),SUMIF((OFFSET(CÁLCULO!$BC$15:$BU$15,$E68,0,OFFSET(ORÇAMENTO!$D$15,CRONO!$E68,0))),"="&amp;CRONO!AN$12,OFFSET(CÁLCULO!$AJ$15:$BB$15,$E68,0,OFFSET(ORÇAMENTO!$D$15,CRONO!$E68,0)))+IF(AND($E70&lt;&gt;"",$E70&lt;&gt;0),SUMIF(CÁLCULO!$BC$15:$BU$710,"="&amp;CRONO!AN$12,CÁLCULO!$AJ$15:$BB$710)/(ORÇAMENTO!$X$15-CÁLCULO.TotalAdmLocal)*CRONO!$E70,0),AN69*$R68),SUMIF(OFFSET($R70,1,0,$Q68-2),($L68+1)&amp;"$",OFFSET(AN70,1,0,$Q68-2)))</f>
        <v>0</v>
      </c>
      <c r="AO70" s="257">
        <f ca="1">IF($Q68=2,IF(AND(ACOMPANHAMENTO="PLE",ISNUMBER($E68)),SUMIF((OFFSET(CÁLCULO!$BC$15:$BU$15,$E68,0,OFFSET(ORÇAMENTO!$D$15,CRONO!$E68,0))),"="&amp;CRONO!AO$12,OFFSET(CÁLCULO!$AJ$15:$BB$15,$E68,0,OFFSET(ORÇAMENTO!$D$15,CRONO!$E68,0)))+IF(AND($E70&lt;&gt;"",$E70&lt;&gt;0),SUMIF(CÁLCULO!$BC$15:$BU$710,"="&amp;CRONO!AO$12,CÁLCULO!$AJ$15:$BB$710)/(ORÇAMENTO!$X$15-CÁLCULO.TotalAdmLocal)*CRONO!$E70,0),AO69*$R68),SUMIF(OFFSET($R70,1,0,$Q68-2),($L68+1)&amp;"$",OFFSET(AO70,1,0,$Q68-2)))</f>
        <v>0</v>
      </c>
      <c r="AP70" s="257">
        <f ca="1">IF($Q68=2,IF(AND(ACOMPANHAMENTO="PLE",ISNUMBER($E68)),SUMIF((OFFSET(CÁLCULO!$BC$15:$BU$15,$E68,0,OFFSET(ORÇAMENTO!$D$15,CRONO!$E68,0))),"="&amp;CRONO!AP$12,OFFSET(CÁLCULO!$AJ$15:$BB$15,$E68,0,OFFSET(ORÇAMENTO!$D$15,CRONO!$E68,0)))+IF(AND($E70&lt;&gt;"",$E70&lt;&gt;0),SUMIF(CÁLCULO!$BC$15:$BU$710,"="&amp;CRONO!AP$12,CÁLCULO!$AJ$15:$BB$710)/(ORÇAMENTO!$X$15-CÁLCULO.TotalAdmLocal)*CRONO!$E70,0),AP69*$R68),SUMIF(OFFSET($R70,1,0,$Q68-2),($L68+1)&amp;"$",OFFSET(AP70,1,0,$Q68-2)))</f>
        <v>0</v>
      </c>
      <c r="AQ70" s="262">
        <f ca="1">IF($Q68=2,IF(AND(ACOMPANHAMENTO="PLE",ISNUMBER($E68)),SUMIF((OFFSET(CÁLCULO!$BC$15:$BU$15,$E68,0,OFFSET(ORÇAMENTO!$D$15,CRONO!$E68,0))),"="&amp;CRONO!AQ$12,OFFSET(CÁLCULO!$AJ$15:$BB$15,$E68,0,OFFSET(ORÇAMENTO!$D$15,CRONO!$E68,0)))+IF(AND($E70&lt;&gt;"",$E70&lt;&gt;0),SUMIF(CÁLCULO!$BC$15:$BU$710,"="&amp;CRONO!AQ$12,CÁLCULO!$AJ$15:$BB$710)/(ORÇAMENTO!$X$15-CÁLCULO.TotalAdmLocal)*CRONO!$E70,0),AQ69*$R68),SUMIF(OFFSET($R70,1,0,$Q68-2),($L68+1)&amp;"$",OFFSET(AQ70,1,0,$Q68-2)))</f>
        <v>0</v>
      </c>
    </row>
    <row r="71" spans="1:44" x14ac:dyDescent="0.25">
      <c r="A71" s="238">
        <f ca="1">OFFSET(A71,-3,0)+1</f>
        <v>20</v>
      </c>
      <c r="B71" s="238">
        <f ca="1">IF($Q71&lt;&gt;2,0,IF($R71=0,1,IF(E72&gt;0,OFFSET(QCI!$M$13,SUBSTITUTE(E72,".",""),0),OFFSET(ORÇAMENTO!$AA$15,CRONO!$E71,0))/$R71))</f>
        <v>1</v>
      </c>
      <c r="C71" s="238">
        <f ca="1">IF($Q71&lt;&gt;2,0,IF($R71=0,1,IF(E72&gt;0,OFFSET(QCI!$N$13,SUBSTITUTE(E72,".",""),0),OFFSET(ORÇAMENTO!$AB$15,CRONO!$E71,0))/$R71))</f>
        <v>1</v>
      </c>
      <c r="D71" s="241">
        <f ca="1">IF(AND($Q71=2,ACOMPANHAMENTO="BM"),D72,D73/$R71)</f>
        <v>0</v>
      </c>
      <c r="E71" s="238">
        <f ca="1">IF(A71&lt;=ORÇAMENTO.MáximoListaCrono,MATCH(A71,ORÇAMENTO.ListaCrono,0),NA())</f>
        <v>603</v>
      </c>
      <c r="F71" s="238" t="str">
        <f ca="1">IF(AND($E72&lt;&gt;-1,$R71&gt;0),"F","")</f>
        <v/>
      </c>
      <c r="G71" s="242" t="str">
        <f ca="1">IF(OR(R71=0,R71=""),"Linha",IF(AND(OR(ACOMPANHAMENTO="PLE",$Q71&lt;&gt;2),$E72=0),"Linha",1-SUM(T71:AR71)))</f>
        <v>Linha</v>
      </c>
      <c r="H71" s="243" t="str">
        <f ca="1">IF($E72=0,OFFSET(ORÇAMENTO!O$15,$E71,0),IF($E72&lt;&gt;-1,OFFSET(QCI!$D$13,$E72,0),""))</f>
        <v>1.19.</v>
      </c>
      <c r="I71" s="244" t="str">
        <f ca="1">IF($E72=0,OFFSET(ORÇAMENTO!R$15,$E71,0),IF($E72&lt;&gt;-1,OFFSET(QCI!$G$13,$E72,0),""))</f>
        <v>INSTALAÇÕES DE CLIMATIZAÇÃO</v>
      </c>
      <c r="J71" s="244"/>
      <c r="K71" s="244"/>
      <c r="L71" s="245">
        <f ca="1">IF($E72=0,OFFSET(ORÇAMENTO!C$15,$E71,0),1)</f>
        <v>2</v>
      </c>
      <c r="M71" s="246">
        <f ca="1">IF($E72=-1,0,IF(M$13&lt;=$L71,IF(ISERROR(MATCH(M$13,OFFSET($L71,1,0,ROW($L$98)-ROW($L71)-1),0)),ROW($L$98)-ROW($L71)-1,MATCH(M$13,OFFSET($L71,1,0,ROW($L$98)-ROW($L71)-1),0)-1),0))</f>
        <v>17</v>
      </c>
      <c r="N71" s="246">
        <f ca="1">IF($E72=-1,0,IF(N$13&lt;=$L71,IF(ISERROR(MATCH(N$13,OFFSET($L71,1,0,ROW($L$98)-ROW($L71)-1),0)),ROW($L$98)-ROW($L71)-1,MATCH(N$13,OFFSET($L71,1,0,ROW($L$98)-ROW($L71)-1),0)-1),0))</f>
        <v>2</v>
      </c>
      <c r="O71" s="246">
        <f ca="1">IF($E72=-1,0,IF(O$13&lt;=$L71,IF(ISERROR(MATCH(O$13,OFFSET($L71,1,0,ROW($L$98)-ROW($L71)-1),0)),ROW($L$98)-ROW($L71)-1,MATCH(O$13,OFFSET($L71,1,0,ROW($L$98)-ROW($L71)-1),0)-1),0))</f>
        <v>0</v>
      </c>
      <c r="P71" s="246">
        <f ca="1">IF($E72=-1,0,IF(P$13&lt;=$L71,IF(ISERROR(MATCH(P$13,OFFSET($L71,1,0,ROW($L$98)-ROW($L71)-1),0)),ROW($L$98)-ROW($L71)-1,MATCH(P$13,OFFSET($L71,1,0,ROW($L$98)-ROW($L71)-1),0)-1),0))</f>
        <v>0</v>
      </c>
      <c r="Q71" s="246">
        <f ca="1">MIN(OFFSET(L71,0,1,,L71))</f>
        <v>2</v>
      </c>
      <c r="R71" s="247">
        <f ca="1">IF($E72=0,OFFSET(ORÇAMENTO!X$15,$E71,0),IF($E72&lt;&gt;-1,OFFSET(QCI!$O$13,$E72,0),""))</f>
        <v>0</v>
      </c>
      <c r="S71" s="248" t="s">
        <v>272</v>
      </c>
      <c r="T71" s="249">
        <f t="shared" ref="T71:AQ71" ca="1" si="23">IF(AND($Q71=2,ACOMPANHAMENTO="BM"),T72,T73/$R71)</f>
        <v>0</v>
      </c>
      <c r="U71" s="241">
        <f t="shared" ca="1" si="23"/>
        <v>0</v>
      </c>
      <c r="V71" s="241">
        <f t="shared" ca="1" si="23"/>
        <v>0</v>
      </c>
      <c r="W71" s="241">
        <f t="shared" ca="1" si="23"/>
        <v>0</v>
      </c>
      <c r="X71" s="241">
        <f t="shared" ca="1" si="23"/>
        <v>0</v>
      </c>
      <c r="Y71" s="241">
        <f t="shared" ca="1" si="23"/>
        <v>0</v>
      </c>
      <c r="Z71" s="241">
        <f t="shared" ca="1" si="23"/>
        <v>0</v>
      </c>
      <c r="AA71" s="241">
        <f t="shared" ca="1" si="23"/>
        <v>0</v>
      </c>
      <c r="AB71" s="241">
        <f t="shared" ca="1" si="23"/>
        <v>0</v>
      </c>
      <c r="AC71" s="241">
        <f t="shared" ca="1" si="23"/>
        <v>0</v>
      </c>
      <c r="AD71" s="241">
        <f t="shared" ca="1" si="23"/>
        <v>0</v>
      </c>
      <c r="AE71" s="250">
        <f t="shared" ca="1" si="23"/>
        <v>0.2</v>
      </c>
      <c r="AF71" s="249">
        <f t="shared" ca="1" si="23"/>
        <v>0</v>
      </c>
      <c r="AG71" s="241">
        <f t="shared" ca="1" si="23"/>
        <v>0</v>
      </c>
      <c r="AH71" s="241">
        <f t="shared" ca="1" si="23"/>
        <v>0</v>
      </c>
      <c r="AI71" s="241">
        <f t="shared" ca="1" si="23"/>
        <v>0.8</v>
      </c>
      <c r="AJ71" s="241">
        <f t="shared" ca="1" si="23"/>
        <v>0</v>
      </c>
      <c r="AK71" s="241">
        <f t="shared" ca="1" si="23"/>
        <v>0</v>
      </c>
      <c r="AL71" s="241">
        <f t="shared" ca="1" si="23"/>
        <v>0</v>
      </c>
      <c r="AM71" s="241">
        <f t="shared" ca="1" si="23"/>
        <v>0</v>
      </c>
      <c r="AN71" s="241">
        <f t="shared" ca="1" si="23"/>
        <v>0</v>
      </c>
      <c r="AO71" s="241">
        <f t="shared" ca="1" si="23"/>
        <v>0</v>
      </c>
      <c r="AP71" s="241">
        <f t="shared" ca="1" si="23"/>
        <v>0</v>
      </c>
      <c r="AQ71" s="250">
        <f t="shared" ca="1" si="23"/>
        <v>0</v>
      </c>
    </row>
    <row r="72" spans="1:44" ht="12.75" customHeight="1" x14ac:dyDescent="0.25">
      <c r="D72" s="658"/>
      <c r="E72" s="238">
        <f ca="1">IF(ISERROR(E71),IF(1+COUNTIF($L$13:OFFSET(L71,-1,0),1)&lt;=MAX(QCI!$D$13:$D$24),1+COUNTIF($L$13:OFFSET(L71,-1,0),1),-1),0)</f>
        <v>0</v>
      </c>
      <c r="F72" s="238" t="str">
        <f ca="1">IF(AND($E72&lt;&gt;-1,$R71&gt;0),"F","")</f>
        <v/>
      </c>
      <c r="G72" s="251" t="str">
        <f ca="1">IF(OR(R71=0,R71=""),"vazia",IF(AND(OR(ACOMPANHAMENTO="PLE",$Q71&lt;&gt;2),$E72=0),"calculada","--&gt;"))</f>
        <v>vazia</v>
      </c>
      <c r="H72" s="252"/>
      <c r="I72" s="253" t="str">
        <f ca="1">IF(AND(G71&lt;&gt;0,ISNUMBER(G71)),"PREENCHA ESTA LINHA --&gt;","")</f>
        <v/>
      </c>
      <c r="J72" s="253"/>
      <c r="K72" s="253"/>
      <c r="L72" s="254"/>
      <c r="M72" s="254"/>
      <c r="N72" s="254"/>
      <c r="O72" s="254"/>
      <c r="P72" s="254"/>
      <c r="Q72" s="254"/>
      <c r="R72" s="255"/>
      <c r="S72" s="256"/>
      <c r="T72" s="659"/>
      <c r="U72" s="658"/>
      <c r="V72" s="658"/>
      <c r="W72" s="658"/>
      <c r="X72" s="658"/>
      <c r="Y72" s="658"/>
      <c r="Z72" s="658"/>
      <c r="AA72" s="658"/>
      <c r="AB72" s="658"/>
      <c r="AC72" s="658"/>
      <c r="AD72" s="658"/>
      <c r="AE72" s="660">
        <v>0.2</v>
      </c>
      <c r="AF72" s="659"/>
      <c r="AG72" s="658"/>
      <c r="AH72" s="658"/>
      <c r="AI72" s="658">
        <v>0.8</v>
      </c>
      <c r="AJ72" s="658"/>
      <c r="AK72" s="658"/>
      <c r="AL72" s="658"/>
      <c r="AM72" s="658"/>
      <c r="AN72" s="658"/>
      <c r="AO72" s="658"/>
      <c r="AP72" s="658"/>
      <c r="AQ72" s="660"/>
      <c r="AR72" s="618"/>
    </row>
    <row r="73" spans="1:44" ht="0.15" hidden="1" customHeight="1" x14ac:dyDescent="0.25">
      <c r="D73" s="257">
        <f ca="1">IF($Q71=2,IF(AND(ACOMPANHAMENTO="PLE",ISNUMBER($E71)),SUMIF((OFFSET(CÁLCULO!$BC$15:$BU$15,$E71,0,OFFSET(ORÇAMENTO!$D$15,CRONO!$E71,0))),"="&amp;CRONO!D$12,OFFSET(CÁLCULO!$AJ$15:$BB$15,$E71,0,OFFSET(ORÇAMENTO!$D$15,CRONO!$E71,0)))+IF(AND($E73&lt;&gt;"",$E73&lt;&gt;0),SUMIF(CÁLCULO!$BC$15:$BU$710,"="&amp;CRONO!D$12,CÁLCULO!$AJ$15:$BB$710)/(ORÇAMENTO!$X$15-CÁLCULO.TotalAdmLocal)*CRONO!$E73,0),D72*$R71),SUMIF(OFFSET($R73,1,0,$Q71-2),($L71+1)&amp;"$",OFFSET(D73,1,0,$Q71-2)))</f>
        <v>0</v>
      </c>
      <c r="E73" s="238">
        <f ca="1">IF(OR($Q71&lt;&gt;2,AUTOEVENTO&lt;&gt;"manual",$E72&gt;0),"",SUMIF(OFFSET(CÁLCULO!$M$15,CRONO!$E71,0,OFFSET(ORÇAMENTO!$D$15,CRONO!$E71,0)),1,OFFSET(ORÇAMENTO!$X$15,CRONO!$E71,0,OFFSET(ORÇAMENTO!$D$15,CRONO!$E71,0))))</f>
        <v>0</v>
      </c>
      <c r="G73" s="258"/>
      <c r="R73" s="259" t="str">
        <f ca="1">L71&amp;"$"</f>
        <v>2$</v>
      </c>
      <c r="S73" s="260"/>
      <c r="T73" s="261">
        <f ca="1">IF($Q71=2,IF(AND(ACOMPANHAMENTO="PLE",ISNUMBER($E71)),SUMIF((OFFSET(CÁLCULO!$BC$15:$BU$15,$E71,0,OFFSET(ORÇAMENTO!$D$15,CRONO!$E71,0))),"&lt;="&amp;CRONO!T$12,OFFSET(CÁLCULO!$AJ$15:$BB$15,$E71,0,OFFSET(ORÇAMENTO!$D$15,CRONO!$E71,0)))+IF(AND($E73&lt;&gt;"",$E73&lt;&gt;0),SUMIF(CÁLCULO!$BC$15:$BU$710,"&lt;="&amp;CRONO!T$12,CÁLCULO!$AJ$15:$BB$710)/(ORÇAMENTO!$X$15-CÁLCULO.TotalAdmLocal)*CRONO!$E73,0),T72*$R71),SUMIF(OFFSET($R73,1,0,$Q71-2),($L71+1)&amp;"$",OFFSET(T73,1,0,$Q71-2)))</f>
        <v>0</v>
      </c>
      <c r="U73" s="257">
        <f ca="1">IF($Q71=2,IF(AND(ACOMPANHAMENTO="PLE",ISNUMBER($E71)),SUMIF((OFFSET(CÁLCULO!$BC$15:$BU$15,$E71,0,OFFSET(ORÇAMENTO!$D$15,CRONO!$E71,0))),"="&amp;CRONO!U$12,OFFSET(CÁLCULO!$AJ$15:$BB$15,$E71,0,OFFSET(ORÇAMENTO!$D$15,CRONO!$E71,0)))+IF(AND($E73&lt;&gt;"",$E73&lt;&gt;0),SUMIF(CÁLCULO!$BC$15:$BU$710,"="&amp;CRONO!U$12,CÁLCULO!$AJ$15:$BB$710)/(ORÇAMENTO!$X$15-CÁLCULO.TotalAdmLocal)*CRONO!$E73,0),U72*$R71),SUMIF(OFFSET($R73,1,0,$Q71-2),($L71+1)&amp;"$",OFFSET(U73,1,0,$Q71-2)))</f>
        <v>0</v>
      </c>
      <c r="V73" s="257">
        <f ca="1">IF($Q71=2,IF(AND(ACOMPANHAMENTO="PLE",ISNUMBER($E71)),SUMIF((OFFSET(CÁLCULO!$BC$15:$BU$15,$E71,0,OFFSET(ORÇAMENTO!$D$15,CRONO!$E71,0))),"="&amp;CRONO!V$12,OFFSET(CÁLCULO!$AJ$15:$BB$15,$E71,0,OFFSET(ORÇAMENTO!$D$15,CRONO!$E71,0)))+IF(AND($E73&lt;&gt;"",$E73&lt;&gt;0),SUMIF(CÁLCULO!$BC$15:$BU$710,"="&amp;CRONO!V$12,CÁLCULO!$AJ$15:$BB$710)/(ORÇAMENTO!$X$15-CÁLCULO.TotalAdmLocal)*CRONO!$E73,0),V72*$R71),SUMIF(OFFSET($R73,1,0,$Q71-2),($L71+1)&amp;"$",OFFSET(V73,1,0,$Q71-2)))</f>
        <v>0</v>
      </c>
      <c r="W73" s="257">
        <f ca="1">IF($Q71=2,IF(AND(ACOMPANHAMENTO="PLE",ISNUMBER($E71)),SUMIF((OFFSET(CÁLCULO!$BC$15:$BU$15,$E71,0,OFFSET(ORÇAMENTO!$D$15,CRONO!$E71,0))),"="&amp;CRONO!W$12,OFFSET(CÁLCULO!$AJ$15:$BB$15,$E71,0,OFFSET(ORÇAMENTO!$D$15,CRONO!$E71,0)))+IF(AND($E73&lt;&gt;"",$E73&lt;&gt;0),SUMIF(CÁLCULO!$BC$15:$BU$710,"="&amp;CRONO!W$12,CÁLCULO!$AJ$15:$BB$710)/(ORÇAMENTO!$X$15-CÁLCULO.TotalAdmLocal)*CRONO!$E73,0),W72*$R71),SUMIF(OFFSET($R73,1,0,$Q71-2),($L71+1)&amp;"$",OFFSET(W73,1,0,$Q71-2)))</f>
        <v>0</v>
      </c>
      <c r="X73" s="257">
        <f ca="1">IF($Q71=2,IF(AND(ACOMPANHAMENTO="PLE",ISNUMBER($E71)),SUMIF((OFFSET(CÁLCULO!$BC$15:$BU$15,$E71,0,OFFSET(ORÇAMENTO!$D$15,CRONO!$E71,0))),"="&amp;CRONO!X$12,OFFSET(CÁLCULO!$AJ$15:$BB$15,$E71,0,OFFSET(ORÇAMENTO!$D$15,CRONO!$E71,0)))+IF(AND($E73&lt;&gt;"",$E73&lt;&gt;0),SUMIF(CÁLCULO!$BC$15:$BU$710,"="&amp;CRONO!X$12,CÁLCULO!$AJ$15:$BB$710)/(ORÇAMENTO!$X$15-CÁLCULO.TotalAdmLocal)*CRONO!$E73,0),X72*$R71),SUMIF(OFFSET($R73,1,0,$Q71-2),($L71+1)&amp;"$",OFFSET(X73,1,0,$Q71-2)))</f>
        <v>0</v>
      </c>
      <c r="Y73" s="257">
        <f ca="1">IF($Q71=2,IF(AND(ACOMPANHAMENTO="PLE",ISNUMBER($E71)),SUMIF((OFFSET(CÁLCULO!$BC$15:$BU$15,$E71,0,OFFSET(ORÇAMENTO!$D$15,CRONO!$E71,0))),"="&amp;CRONO!Y$12,OFFSET(CÁLCULO!$AJ$15:$BB$15,$E71,0,OFFSET(ORÇAMENTO!$D$15,CRONO!$E71,0)))+IF(AND($E73&lt;&gt;"",$E73&lt;&gt;0),SUMIF(CÁLCULO!$BC$15:$BU$710,"="&amp;CRONO!Y$12,CÁLCULO!$AJ$15:$BB$710)/(ORÇAMENTO!$X$15-CÁLCULO.TotalAdmLocal)*CRONO!$E73,0),Y72*$R71),SUMIF(OFFSET($R73,1,0,$Q71-2),($L71+1)&amp;"$",OFFSET(Y73,1,0,$Q71-2)))</f>
        <v>0</v>
      </c>
      <c r="Z73" s="257">
        <f ca="1">IF($Q71=2,IF(AND(ACOMPANHAMENTO="PLE",ISNUMBER($E71)),SUMIF((OFFSET(CÁLCULO!$BC$15:$BU$15,$E71,0,OFFSET(ORÇAMENTO!$D$15,CRONO!$E71,0))),"="&amp;CRONO!Z$12,OFFSET(CÁLCULO!$AJ$15:$BB$15,$E71,0,OFFSET(ORÇAMENTO!$D$15,CRONO!$E71,0)))+IF(AND($E73&lt;&gt;"",$E73&lt;&gt;0),SUMIF(CÁLCULO!$BC$15:$BU$710,"="&amp;CRONO!Z$12,CÁLCULO!$AJ$15:$BB$710)/(ORÇAMENTO!$X$15-CÁLCULO.TotalAdmLocal)*CRONO!$E73,0),Z72*$R71),SUMIF(OFFSET($R73,1,0,$Q71-2),($L71+1)&amp;"$",OFFSET(Z73,1,0,$Q71-2)))</f>
        <v>0</v>
      </c>
      <c r="AA73" s="257">
        <f ca="1">IF($Q71=2,IF(AND(ACOMPANHAMENTO="PLE",ISNUMBER($E71)),SUMIF((OFFSET(CÁLCULO!$BC$15:$BU$15,$E71,0,OFFSET(ORÇAMENTO!$D$15,CRONO!$E71,0))),"="&amp;CRONO!AA$12,OFFSET(CÁLCULO!$AJ$15:$BB$15,$E71,0,OFFSET(ORÇAMENTO!$D$15,CRONO!$E71,0)))+IF(AND($E73&lt;&gt;"",$E73&lt;&gt;0),SUMIF(CÁLCULO!$BC$15:$BU$710,"="&amp;CRONO!AA$12,CÁLCULO!$AJ$15:$BB$710)/(ORÇAMENTO!$X$15-CÁLCULO.TotalAdmLocal)*CRONO!$E73,0),AA72*$R71),SUMIF(OFFSET($R73,1,0,$Q71-2),($L71+1)&amp;"$",OFFSET(AA73,1,0,$Q71-2)))</f>
        <v>0</v>
      </c>
      <c r="AB73" s="257">
        <f ca="1">IF($Q71=2,IF(AND(ACOMPANHAMENTO="PLE",ISNUMBER($E71)),SUMIF((OFFSET(CÁLCULO!$BC$15:$BU$15,$E71,0,OFFSET(ORÇAMENTO!$D$15,CRONO!$E71,0))),"="&amp;CRONO!AB$12,OFFSET(CÁLCULO!$AJ$15:$BB$15,$E71,0,OFFSET(ORÇAMENTO!$D$15,CRONO!$E71,0)))+IF(AND($E73&lt;&gt;"",$E73&lt;&gt;0),SUMIF(CÁLCULO!$BC$15:$BU$710,"="&amp;CRONO!AB$12,CÁLCULO!$AJ$15:$BB$710)/(ORÇAMENTO!$X$15-CÁLCULO.TotalAdmLocal)*CRONO!$E73,0),AB72*$R71),SUMIF(OFFSET($R73,1,0,$Q71-2),($L71+1)&amp;"$",OFFSET(AB73,1,0,$Q71-2)))</f>
        <v>0</v>
      </c>
      <c r="AC73" s="257">
        <f ca="1">IF($Q71=2,IF(AND(ACOMPANHAMENTO="PLE",ISNUMBER($E71)),SUMIF((OFFSET(CÁLCULO!$BC$15:$BU$15,$E71,0,OFFSET(ORÇAMENTO!$D$15,CRONO!$E71,0))),"="&amp;CRONO!AC$12,OFFSET(CÁLCULO!$AJ$15:$BB$15,$E71,0,OFFSET(ORÇAMENTO!$D$15,CRONO!$E71,0)))+IF(AND($E73&lt;&gt;"",$E73&lt;&gt;0),SUMIF(CÁLCULO!$BC$15:$BU$710,"="&amp;CRONO!AC$12,CÁLCULO!$AJ$15:$BB$710)/(ORÇAMENTO!$X$15-CÁLCULO.TotalAdmLocal)*CRONO!$E73,0),AC72*$R71),SUMIF(OFFSET($R73,1,0,$Q71-2),($L71+1)&amp;"$",OFFSET(AC73,1,0,$Q71-2)))</f>
        <v>0</v>
      </c>
      <c r="AD73" s="257">
        <f ca="1">IF($Q71=2,IF(AND(ACOMPANHAMENTO="PLE",ISNUMBER($E71)),SUMIF((OFFSET(CÁLCULO!$BC$15:$BU$15,$E71,0,OFFSET(ORÇAMENTO!$D$15,CRONO!$E71,0))),"="&amp;CRONO!AD$12,OFFSET(CÁLCULO!$AJ$15:$BB$15,$E71,0,OFFSET(ORÇAMENTO!$D$15,CRONO!$E71,0)))+IF(AND($E73&lt;&gt;"",$E73&lt;&gt;0),SUMIF(CÁLCULO!$BC$15:$BU$710,"="&amp;CRONO!AD$12,CÁLCULO!$AJ$15:$BB$710)/(ORÇAMENTO!$X$15-CÁLCULO.TotalAdmLocal)*CRONO!$E73,0),AD72*$R71),SUMIF(OFFSET($R73,1,0,$Q71-2),($L71+1)&amp;"$",OFFSET(AD73,1,0,$Q71-2)))</f>
        <v>0</v>
      </c>
      <c r="AE73" s="262">
        <f ca="1">IF($Q71=2,IF(AND(ACOMPANHAMENTO="PLE",ISNUMBER($E71)),SUMIF((OFFSET(CÁLCULO!$BC$15:$BU$15,$E71,0,OFFSET(ORÇAMENTO!$D$15,CRONO!$E71,0))),"="&amp;CRONO!AE$12,OFFSET(CÁLCULO!$AJ$15:$BB$15,$E71,0,OFFSET(ORÇAMENTO!$D$15,CRONO!$E71,0)))+IF(AND($E73&lt;&gt;"",$E73&lt;&gt;0),SUMIF(CÁLCULO!$BC$15:$BU$710,"="&amp;CRONO!AE$12,CÁLCULO!$AJ$15:$BB$710)/(ORÇAMENTO!$X$15-CÁLCULO.TotalAdmLocal)*CRONO!$E73,0),AE72*$R71),SUMIF(OFFSET($R73,1,0,$Q71-2),($L71+1)&amp;"$",OFFSET(AE73,1,0,$Q71-2)))</f>
        <v>0</v>
      </c>
      <c r="AF73" s="261">
        <f ca="1">IF($Q71=2,IF(AND(ACOMPANHAMENTO="PLE",ISNUMBER($E71)),SUMIF((OFFSET(CÁLCULO!$BC$15:$BU$15,$E71,0,OFFSET(ORÇAMENTO!$D$15,CRONO!$E71,0))),"="&amp;CRONO!AF$12,OFFSET(CÁLCULO!$AJ$15:$BB$15,$E71,0,OFFSET(ORÇAMENTO!$D$15,CRONO!$E71,0)))+IF(AND($E73&lt;&gt;"",$E73&lt;&gt;0),SUMIF(CÁLCULO!$BC$15:$BU$710,"="&amp;CRONO!AF$12,CÁLCULO!$AJ$15:$BB$710)/(ORÇAMENTO!$X$15-CÁLCULO.TotalAdmLocal)*CRONO!$E73,0),AF72*$R71),SUMIF(OFFSET($R73,1,0,$Q71-2),($L71+1)&amp;"$",OFFSET(AF73,1,0,$Q71-2)))</f>
        <v>0</v>
      </c>
      <c r="AG73" s="257">
        <f ca="1">IF($Q71=2,IF(AND(ACOMPANHAMENTO="PLE",ISNUMBER($E71)),SUMIF((OFFSET(CÁLCULO!$BC$15:$BU$15,$E71,0,OFFSET(ORÇAMENTO!$D$15,CRONO!$E71,0))),"="&amp;CRONO!AG$12,OFFSET(CÁLCULO!$AJ$15:$BB$15,$E71,0,OFFSET(ORÇAMENTO!$D$15,CRONO!$E71,0)))+IF(AND($E73&lt;&gt;"",$E73&lt;&gt;0),SUMIF(CÁLCULO!$BC$15:$BU$710,"="&amp;CRONO!AG$12,CÁLCULO!$AJ$15:$BB$710)/(ORÇAMENTO!$X$15-CÁLCULO.TotalAdmLocal)*CRONO!$E73,0),AG72*$R71),SUMIF(OFFSET($R73,1,0,$Q71-2),($L71+1)&amp;"$",OFFSET(AG73,1,0,$Q71-2)))</f>
        <v>0</v>
      </c>
      <c r="AH73" s="257">
        <f ca="1">IF($Q71=2,IF(AND(ACOMPANHAMENTO="PLE",ISNUMBER($E71)),SUMIF((OFFSET(CÁLCULO!$BC$15:$BU$15,$E71,0,OFFSET(ORÇAMENTO!$D$15,CRONO!$E71,0))),"="&amp;CRONO!AH$12,OFFSET(CÁLCULO!$AJ$15:$BB$15,$E71,0,OFFSET(ORÇAMENTO!$D$15,CRONO!$E71,0)))+IF(AND($E73&lt;&gt;"",$E73&lt;&gt;0),SUMIF(CÁLCULO!$BC$15:$BU$710,"="&amp;CRONO!AH$12,CÁLCULO!$AJ$15:$BB$710)/(ORÇAMENTO!$X$15-CÁLCULO.TotalAdmLocal)*CRONO!$E73,0),AH72*$R71),SUMIF(OFFSET($R73,1,0,$Q71-2),($L71+1)&amp;"$",OFFSET(AH73,1,0,$Q71-2)))</f>
        <v>0</v>
      </c>
      <c r="AI73" s="257">
        <f ca="1">IF($Q71=2,IF(AND(ACOMPANHAMENTO="PLE",ISNUMBER($E71)),SUMIF((OFFSET(CÁLCULO!$BC$15:$BU$15,$E71,0,OFFSET(ORÇAMENTO!$D$15,CRONO!$E71,0))),"="&amp;CRONO!AI$12,OFFSET(CÁLCULO!$AJ$15:$BB$15,$E71,0,OFFSET(ORÇAMENTO!$D$15,CRONO!$E71,0)))+IF(AND($E73&lt;&gt;"",$E73&lt;&gt;0),SUMIF(CÁLCULO!$BC$15:$BU$710,"="&amp;CRONO!AI$12,CÁLCULO!$AJ$15:$BB$710)/(ORÇAMENTO!$X$15-CÁLCULO.TotalAdmLocal)*CRONO!$E73,0),AI72*$R71),SUMIF(OFFSET($R73,1,0,$Q71-2),($L71+1)&amp;"$",OFFSET(AI73,1,0,$Q71-2)))</f>
        <v>0</v>
      </c>
      <c r="AJ73" s="257">
        <f ca="1">IF($Q71=2,IF(AND(ACOMPANHAMENTO="PLE",ISNUMBER($E71)),SUMIF((OFFSET(CÁLCULO!$BC$15:$BU$15,$E71,0,OFFSET(ORÇAMENTO!$D$15,CRONO!$E71,0))),"="&amp;CRONO!AJ$12,OFFSET(CÁLCULO!$AJ$15:$BB$15,$E71,0,OFFSET(ORÇAMENTO!$D$15,CRONO!$E71,0)))+IF(AND($E73&lt;&gt;"",$E73&lt;&gt;0),SUMIF(CÁLCULO!$BC$15:$BU$710,"="&amp;CRONO!AJ$12,CÁLCULO!$AJ$15:$BB$710)/(ORÇAMENTO!$X$15-CÁLCULO.TotalAdmLocal)*CRONO!$E73,0),AJ72*$R71),SUMIF(OFFSET($R73,1,0,$Q71-2),($L71+1)&amp;"$",OFFSET(AJ73,1,0,$Q71-2)))</f>
        <v>0</v>
      </c>
      <c r="AK73" s="257">
        <f ca="1">IF($Q71=2,IF(AND(ACOMPANHAMENTO="PLE",ISNUMBER($E71)),SUMIF((OFFSET(CÁLCULO!$BC$15:$BU$15,$E71,0,OFFSET(ORÇAMENTO!$D$15,CRONO!$E71,0))),"="&amp;CRONO!AK$12,OFFSET(CÁLCULO!$AJ$15:$BB$15,$E71,0,OFFSET(ORÇAMENTO!$D$15,CRONO!$E71,0)))+IF(AND($E73&lt;&gt;"",$E73&lt;&gt;0),SUMIF(CÁLCULO!$BC$15:$BU$710,"="&amp;CRONO!AK$12,CÁLCULO!$AJ$15:$BB$710)/(ORÇAMENTO!$X$15-CÁLCULO.TotalAdmLocal)*CRONO!$E73,0),AK72*$R71),SUMIF(OFFSET($R73,1,0,$Q71-2),($L71+1)&amp;"$",OFFSET(AK73,1,0,$Q71-2)))</f>
        <v>0</v>
      </c>
      <c r="AL73" s="257">
        <f ca="1">IF($Q71=2,IF(AND(ACOMPANHAMENTO="PLE",ISNUMBER($E71)),SUMIF((OFFSET(CÁLCULO!$BC$15:$BU$15,$E71,0,OFFSET(ORÇAMENTO!$D$15,CRONO!$E71,0))),"="&amp;CRONO!AL$12,OFFSET(CÁLCULO!$AJ$15:$BB$15,$E71,0,OFFSET(ORÇAMENTO!$D$15,CRONO!$E71,0)))+IF(AND($E73&lt;&gt;"",$E73&lt;&gt;0),SUMIF(CÁLCULO!$BC$15:$BU$710,"="&amp;CRONO!AL$12,CÁLCULO!$AJ$15:$BB$710)/(ORÇAMENTO!$X$15-CÁLCULO.TotalAdmLocal)*CRONO!$E73,0),AL72*$R71),SUMIF(OFFSET($R73,1,0,$Q71-2),($L71+1)&amp;"$",OFFSET(AL73,1,0,$Q71-2)))</f>
        <v>0</v>
      </c>
      <c r="AM73" s="257">
        <f ca="1">IF($Q71=2,IF(AND(ACOMPANHAMENTO="PLE",ISNUMBER($E71)),SUMIF((OFFSET(CÁLCULO!$BC$15:$BU$15,$E71,0,OFFSET(ORÇAMENTO!$D$15,CRONO!$E71,0))),"="&amp;CRONO!AM$12,OFFSET(CÁLCULO!$AJ$15:$BB$15,$E71,0,OFFSET(ORÇAMENTO!$D$15,CRONO!$E71,0)))+IF(AND($E73&lt;&gt;"",$E73&lt;&gt;0),SUMIF(CÁLCULO!$BC$15:$BU$710,"="&amp;CRONO!AM$12,CÁLCULO!$AJ$15:$BB$710)/(ORÇAMENTO!$X$15-CÁLCULO.TotalAdmLocal)*CRONO!$E73,0),AM72*$R71),SUMIF(OFFSET($R73,1,0,$Q71-2),($L71+1)&amp;"$",OFFSET(AM73,1,0,$Q71-2)))</f>
        <v>0</v>
      </c>
      <c r="AN73" s="257">
        <f ca="1">IF($Q71=2,IF(AND(ACOMPANHAMENTO="PLE",ISNUMBER($E71)),SUMIF((OFFSET(CÁLCULO!$BC$15:$BU$15,$E71,0,OFFSET(ORÇAMENTO!$D$15,CRONO!$E71,0))),"="&amp;CRONO!AN$12,OFFSET(CÁLCULO!$AJ$15:$BB$15,$E71,0,OFFSET(ORÇAMENTO!$D$15,CRONO!$E71,0)))+IF(AND($E73&lt;&gt;"",$E73&lt;&gt;0),SUMIF(CÁLCULO!$BC$15:$BU$710,"="&amp;CRONO!AN$12,CÁLCULO!$AJ$15:$BB$710)/(ORÇAMENTO!$X$15-CÁLCULO.TotalAdmLocal)*CRONO!$E73,0),AN72*$R71),SUMIF(OFFSET($R73,1,0,$Q71-2),($L71+1)&amp;"$",OFFSET(AN73,1,0,$Q71-2)))</f>
        <v>0</v>
      </c>
      <c r="AO73" s="257">
        <f ca="1">IF($Q71=2,IF(AND(ACOMPANHAMENTO="PLE",ISNUMBER($E71)),SUMIF((OFFSET(CÁLCULO!$BC$15:$BU$15,$E71,0,OFFSET(ORÇAMENTO!$D$15,CRONO!$E71,0))),"="&amp;CRONO!AO$12,OFFSET(CÁLCULO!$AJ$15:$BB$15,$E71,0,OFFSET(ORÇAMENTO!$D$15,CRONO!$E71,0)))+IF(AND($E73&lt;&gt;"",$E73&lt;&gt;0),SUMIF(CÁLCULO!$BC$15:$BU$710,"="&amp;CRONO!AO$12,CÁLCULO!$AJ$15:$BB$710)/(ORÇAMENTO!$X$15-CÁLCULO.TotalAdmLocal)*CRONO!$E73,0),AO72*$R71),SUMIF(OFFSET($R73,1,0,$Q71-2),($L71+1)&amp;"$",OFFSET(AO73,1,0,$Q71-2)))</f>
        <v>0</v>
      </c>
      <c r="AP73" s="257">
        <f ca="1">IF($Q71=2,IF(AND(ACOMPANHAMENTO="PLE",ISNUMBER($E71)),SUMIF((OFFSET(CÁLCULO!$BC$15:$BU$15,$E71,0,OFFSET(ORÇAMENTO!$D$15,CRONO!$E71,0))),"="&amp;CRONO!AP$12,OFFSET(CÁLCULO!$AJ$15:$BB$15,$E71,0,OFFSET(ORÇAMENTO!$D$15,CRONO!$E71,0)))+IF(AND($E73&lt;&gt;"",$E73&lt;&gt;0),SUMIF(CÁLCULO!$BC$15:$BU$710,"="&amp;CRONO!AP$12,CÁLCULO!$AJ$15:$BB$710)/(ORÇAMENTO!$X$15-CÁLCULO.TotalAdmLocal)*CRONO!$E73,0),AP72*$R71),SUMIF(OFFSET($R73,1,0,$Q71-2),($L71+1)&amp;"$",OFFSET(AP73,1,0,$Q71-2)))</f>
        <v>0</v>
      </c>
      <c r="AQ73" s="262">
        <f ca="1">IF($Q71=2,IF(AND(ACOMPANHAMENTO="PLE",ISNUMBER($E71)),SUMIF((OFFSET(CÁLCULO!$BC$15:$BU$15,$E71,0,OFFSET(ORÇAMENTO!$D$15,CRONO!$E71,0))),"="&amp;CRONO!AQ$12,OFFSET(CÁLCULO!$AJ$15:$BB$15,$E71,0,OFFSET(ORÇAMENTO!$D$15,CRONO!$E71,0)))+IF(AND($E73&lt;&gt;"",$E73&lt;&gt;0),SUMIF(CÁLCULO!$BC$15:$BU$710,"="&amp;CRONO!AQ$12,CÁLCULO!$AJ$15:$BB$710)/(ORÇAMENTO!$X$15-CÁLCULO.TotalAdmLocal)*CRONO!$E73,0),AQ72*$R71),SUMIF(OFFSET($R73,1,0,$Q71-2),($L71+1)&amp;"$",OFFSET(AQ73,1,0,$Q71-2)))</f>
        <v>0</v>
      </c>
    </row>
    <row r="74" spans="1:44" x14ac:dyDescent="0.25">
      <c r="A74" s="238">
        <f ca="1">OFFSET(A74,-3,0)+1</f>
        <v>21</v>
      </c>
      <c r="B74" s="238">
        <f ca="1">IF($Q74&lt;&gt;2,0,IF($R74=0,1,IF(E75&gt;0,OFFSET(QCI!$M$13,SUBSTITUTE(E75,".",""),0),OFFSET(ORÇAMENTO!$AA$15,CRONO!$E74,0))/$R74))</f>
        <v>1</v>
      </c>
      <c r="C74" s="238">
        <f ca="1">IF($Q74&lt;&gt;2,0,IF($R74=0,1,IF(E75&gt;0,OFFSET(QCI!$N$13,SUBSTITUTE(E75,".",""),0),OFFSET(ORÇAMENTO!$AB$15,CRONO!$E74,0))/$R74))</f>
        <v>1</v>
      </c>
      <c r="D74" s="241">
        <f ca="1">IF(AND($Q74=2,ACOMPANHAMENTO="BM"),D75,D76/$R74)</f>
        <v>0</v>
      </c>
      <c r="E74" s="238">
        <f ca="1">IF(A74&lt;=ORÇAMENTO.MáximoListaCrono,MATCH(A74,ORÇAMENTO.ListaCrono,0),NA())</f>
        <v>613</v>
      </c>
      <c r="F74" s="238" t="str">
        <f ca="1">IF(AND($E75&lt;&gt;-1,$R74&gt;0),"F","")</f>
        <v/>
      </c>
      <c r="G74" s="242" t="str">
        <f ca="1">IF(OR(R74=0,R74=""),"Linha",IF(AND(OR(ACOMPANHAMENTO="PLE",$Q74&lt;&gt;2),$E75=0),"Linha",1-SUM(T74:AR74)))</f>
        <v>Linha</v>
      </c>
      <c r="H74" s="243" t="str">
        <f ca="1">IF($E75=0,OFFSET(ORÇAMENTO!O$15,$E74,0),IF($E75&lt;&gt;-1,OFFSET(QCI!$D$13,$E75,0),""))</f>
        <v>1.20.</v>
      </c>
      <c r="I74" s="244" t="str">
        <f ca="1">IF($E75=0,OFFSET(ORÇAMENTO!R$15,$E74,0),IF($E75&lt;&gt;-1,OFFSET(QCI!$G$13,$E75,0),""))</f>
        <v>INSTALAÇÕES DE CABEAMENTO ESTRUTURADO</v>
      </c>
      <c r="J74" s="244"/>
      <c r="K74" s="244"/>
      <c r="L74" s="245">
        <f ca="1">IF($E75=0,OFFSET(ORÇAMENTO!C$15,$E74,0),1)</f>
        <v>2</v>
      </c>
      <c r="M74" s="246">
        <f ca="1">IF($E75=-1,0,IF(M$13&lt;=$L74,IF(ISERROR(MATCH(M$13,OFFSET($L74,1,0,ROW($L$98)-ROW($L74)-1),0)),ROW($L$98)-ROW($L74)-1,MATCH(M$13,OFFSET($L74,1,0,ROW($L$98)-ROW($L74)-1),0)-1),0))</f>
        <v>14</v>
      </c>
      <c r="N74" s="246">
        <f ca="1">IF($E75=-1,0,IF(N$13&lt;=$L74,IF(ISERROR(MATCH(N$13,OFFSET($L74,1,0,ROW($L$98)-ROW($L74)-1),0)),ROW($L$98)-ROW($L74)-1,MATCH(N$13,OFFSET($L74,1,0,ROW($L$98)-ROW($L74)-1),0)-1),0))</f>
        <v>2</v>
      </c>
      <c r="O74" s="246">
        <f ca="1">IF($E75=-1,0,IF(O$13&lt;=$L74,IF(ISERROR(MATCH(O$13,OFFSET($L74,1,0,ROW($L$98)-ROW($L74)-1),0)),ROW($L$98)-ROW($L74)-1,MATCH(O$13,OFFSET($L74,1,0,ROW($L$98)-ROW($L74)-1),0)-1),0))</f>
        <v>0</v>
      </c>
      <c r="P74" s="246">
        <f ca="1">IF($E75=-1,0,IF(P$13&lt;=$L74,IF(ISERROR(MATCH(P$13,OFFSET($L74,1,0,ROW($L$98)-ROW($L74)-1),0)),ROW($L$98)-ROW($L74)-1,MATCH(P$13,OFFSET($L74,1,0,ROW($L$98)-ROW($L74)-1),0)-1),0))</f>
        <v>0</v>
      </c>
      <c r="Q74" s="246">
        <f ca="1">MIN(OFFSET(L74,0,1,,L74))</f>
        <v>2</v>
      </c>
      <c r="R74" s="247">
        <f ca="1">IF($E75=0,OFFSET(ORÇAMENTO!X$15,$E74,0),IF($E75&lt;&gt;-1,OFFSET(QCI!$O$13,$E75,0),""))</f>
        <v>0</v>
      </c>
      <c r="S74" s="248" t="s">
        <v>272</v>
      </c>
      <c r="T74" s="249">
        <f t="shared" ref="T74:AQ74" ca="1" si="24">IF(AND($Q74=2,ACOMPANHAMENTO="BM"),T75,T76/$R74)</f>
        <v>0</v>
      </c>
      <c r="U74" s="241">
        <f t="shared" ca="1" si="24"/>
        <v>0</v>
      </c>
      <c r="V74" s="241">
        <f t="shared" ca="1" si="24"/>
        <v>0</v>
      </c>
      <c r="W74" s="241">
        <f t="shared" ca="1" si="24"/>
        <v>0</v>
      </c>
      <c r="X74" s="241">
        <f t="shared" ca="1" si="24"/>
        <v>0</v>
      </c>
      <c r="Y74" s="241">
        <f t="shared" ca="1" si="24"/>
        <v>0</v>
      </c>
      <c r="Z74" s="241">
        <f t="shared" ca="1" si="24"/>
        <v>0</v>
      </c>
      <c r="AA74" s="241">
        <f t="shared" ca="1" si="24"/>
        <v>0</v>
      </c>
      <c r="AB74" s="241">
        <f t="shared" ca="1" si="24"/>
        <v>0</v>
      </c>
      <c r="AC74" s="241">
        <f t="shared" ca="1" si="24"/>
        <v>0</v>
      </c>
      <c r="AD74" s="241">
        <f t="shared" ca="1" si="24"/>
        <v>0</v>
      </c>
      <c r="AE74" s="250">
        <f t="shared" ca="1" si="24"/>
        <v>0</v>
      </c>
      <c r="AF74" s="249">
        <f t="shared" ca="1" si="24"/>
        <v>0</v>
      </c>
      <c r="AG74" s="241">
        <f t="shared" ca="1" si="24"/>
        <v>0.2</v>
      </c>
      <c r="AH74" s="241">
        <f t="shared" ca="1" si="24"/>
        <v>0.3</v>
      </c>
      <c r="AI74" s="241">
        <f t="shared" ca="1" si="24"/>
        <v>0.3</v>
      </c>
      <c r="AJ74" s="241">
        <f t="shared" ca="1" si="24"/>
        <v>0.2</v>
      </c>
      <c r="AK74" s="241">
        <f t="shared" ca="1" si="24"/>
        <v>0</v>
      </c>
      <c r="AL74" s="241">
        <f t="shared" ca="1" si="24"/>
        <v>0</v>
      </c>
      <c r="AM74" s="241">
        <f t="shared" ca="1" si="24"/>
        <v>0</v>
      </c>
      <c r="AN74" s="241">
        <f t="shared" ca="1" si="24"/>
        <v>0</v>
      </c>
      <c r="AO74" s="241">
        <f t="shared" ca="1" si="24"/>
        <v>0</v>
      </c>
      <c r="AP74" s="241">
        <f t="shared" ca="1" si="24"/>
        <v>0</v>
      </c>
      <c r="AQ74" s="250">
        <f t="shared" ca="1" si="24"/>
        <v>0</v>
      </c>
    </row>
    <row r="75" spans="1:44" ht="12.75" customHeight="1" x14ac:dyDescent="0.25">
      <c r="D75" s="658"/>
      <c r="E75" s="238">
        <f ca="1">IF(ISERROR(E74),IF(1+COUNTIF($L$13:OFFSET(L74,-1,0),1)&lt;=MAX(QCI!$D$13:$D$24),1+COUNTIF($L$13:OFFSET(L74,-1,0),1),-1),0)</f>
        <v>0</v>
      </c>
      <c r="F75" s="238" t="str">
        <f ca="1">IF(AND($E75&lt;&gt;-1,$R74&gt;0),"F","")</f>
        <v/>
      </c>
      <c r="G75" s="251" t="str">
        <f ca="1">IF(OR(R74=0,R74=""),"vazia",IF(AND(OR(ACOMPANHAMENTO="PLE",$Q74&lt;&gt;2),$E75=0),"calculada","--&gt;"))</f>
        <v>vazia</v>
      </c>
      <c r="H75" s="252"/>
      <c r="I75" s="253" t="str">
        <f ca="1">IF(AND(G74&lt;&gt;0,ISNUMBER(G74)),"PREENCHA ESTA LINHA --&gt;","")</f>
        <v/>
      </c>
      <c r="J75" s="253"/>
      <c r="K75" s="253"/>
      <c r="L75" s="254"/>
      <c r="M75" s="254"/>
      <c r="N75" s="254"/>
      <c r="O75" s="254"/>
      <c r="P75" s="254"/>
      <c r="Q75" s="254"/>
      <c r="R75" s="255"/>
      <c r="S75" s="256"/>
      <c r="T75" s="659"/>
      <c r="U75" s="658"/>
      <c r="V75" s="658"/>
      <c r="W75" s="658"/>
      <c r="X75" s="658"/>
      <c r="Y75" s="658"/>
      <c r="Z75" s="658"/>
      <c r="AA75" s="658"/>
      <c r="AB75" s="658"/>
      <c r="AC75" s="658"/>
      <c r="AD75" s="658"/>
      <c r="AE75" s="660"/>
      <c r="AF75" s="659"/>
      <c r="AG75" s="658">
        <v>0.2</v>
      </c>
      <c r="AH75" s="658">
        <v>0.3</v>
      </c>
      <c r="AI75" s="658">
        <v>0.3</v>
      </c>
      <c r="AJ75" s="658">
        <v>0.2</v>
      </c>
      <c r="AK75" s="658"/>
      <c r="AL75" s="658"/>
      <c r="AM75" s="658"/>
      <c r="AN75" s="658"/>
      <c r="AO75" s="658"/>
      <c r="AP75" s="658"/>
      <c r="AQ75" s="660"/>
      <c r="AR75" s="618"/>
    </row>
    <row r="76" spans="1:44" ht="0.15" hidden="1" customHeight="1" x14ac:dyDescent="0.25">
      <c r="D76" s="257">
        <f ca="1">IF($Q74=2,IF(AND(ACOMPANHAMENTO="PLE",ISNUMBER($E74)),SUMIF((OFFSET(CÁLCULO!$BC$15:$BU$15,$E74,0,OFFSET(ORÇAMENTO!$D$15,CRONO!$E74,0))),"="&amp;CRONO!D$12,OFFSET(CÁLCULO!$AJ$15:$BB$15,$E74,0,OFFSET(ORÇAMENTO!$D$15,CRONO!$E74,0)))+IF(AND($E76&lt;&gt;"",$E76&lt;&gt;0),SUMIF(CÁLCULO!$BC$15:$BU$710,"="&amp;CRONO!D$12,CÁLCULO!$AJ$15:$BB$710)/(ORÇAMENTO!$X$15-CÁLCULO.TotalAdmLocal)*CRONO!$E76,0),D75*$R74),SUMIF(OFFSET($R76,1,0,$Q74-2),($L74+1)&amp;"$",OFFSET(D76,1,0,$Q74-2)))</f>
        <v>0</v>
      </c>
      <c r="E76" s="238">
        <f ca="1">IF(OR($Q74&lt;&gt;2,AUTOEVENTO&lt;&gt;"manual",$E75&gt;0),"",SUMIF(OFFSET(CÁLCULO!$M$15,CRONO!$E74,0,OFFSET(ORÇAMENTO!$D$15,CRONO!$E74,0)),1,OFFSET(ORÇAMENTO!$X$15,CRONO!$E74,0,OFFSET(ORÇAMENTO!$D$15,CRONO!$E74,0))))</f>
        <v>0</v>
      </c>
      <c r="G76" s="258"/>
      <c r="R76" s="259" t="str">
        <f ca="1">L74&amp;"$"</f>
        <v>2$</v>
      </c>
      <c r="S76" s="260"/>
      <c r="T76" s="261">
        <f ca="1">IF($Q74=2,IF(AND(ACOMPANHAMENTO="PLE",ISNUMBER($E74)),SUMIF((OFFSET(CÁLCULO!$BC$15:$BU$15,$E74,0,OFFSET(ORÇAMENTO!$D$15,CRONO!$E74,0))),"&lt;="&amp;CRONO!T$12,OFFSET(CÁLCULO!$AJ$15:$BB$15,$E74,0,OFFSET(ORÇAMENTO!$D$15,CRONO!$E74,0)))+IF(AND($E76&lt;&gt;"",$E76&lt;&gt;0),SUMIF(CÁLCULO!$BC$15:$BU$710,"&lt;="&amp;CRONO!T$12,CÁLCULO!$AJ$15:$BB$710)/(ORÇAMENTO!$X$15-CÁLCULO.TotalAdmLocal)*CRONO!$E76,0),T75*$R74),SUMIF(OFFSET($R76,1,0,$Q74-2),($L74+1)&amp;"$",OFFSET(T76,1,0,$Q74-2)))</f>
        <v>0</v>
      </c>
      <c r="U76" s="257">
        <f ca="1">IF($Q74=2,IF(AND(ACOMPANHAMENTO="PLE",ISNUMBER($E74)),SUMIF((OFFSET(CÁLCULO!$BC$15:$BU$15,$E74,0,OFFSET(ORÇAMENTO!$D$15,CRONO!$E74,0))),"="&amp;CRONO!U$12,OFFSET(CÁLCULO!$AJ$15:$BB$15,$E74,0,OFFSET(ORÇAMENTO!$D$15,CRONO!$E74,0)))+IF(AND($E76&lt;&gt;"",$E76&lt;&gt;0),SUMIF(CÁLCULO!$BC$15:$BU$710,"="&amp;CRONO!U$12,CÁLCULO!$AJ$15:$BB$710)/(ORÇAMENTO!$X$15-CÁLCULO.TotalAdmLocal)*CRONO!$E76,0),U75*$R74),SUMIF(OFFSET($R76,1,0,$Q74-2),($L74+1)&amp;"$",OFFSET(U76,1,0,$Q74-2)))</f>
        <v>0</v>
      </c>
      <c r="V76" s="257">
        <f ca="1">IF($Q74=2,IF(AND(ACOMPANHAMENTO="PLE",ISNUMBER($E74)),SUMIF((OFFSET(CÁLCULO!$BC$15:$BU$15,$E74,0,OFFSET(ORÇAMENTO!$D$15,CRONO!$E74,0))),"="&amp;CRONO!V$12,OFFSET(CÁLCULO!$AJ$15:$BB$15,$E74,0,OFFSET(ORÇAMENTO!$D$15,CRONO!$E74,0)))+IF(AND($E76&lt;&gt;"",$E76&lt;&gt;0),SUMIF(CÁLCULO!$BC$15:$BU$710,"="&amp;CRONO!V$12,CÁLCULO!$AJ$15:$BB$710)/(ORÇAMENTO!$X$15-CÁLCULO.TotalAdmLocal)*CRONO!$E76,0),V75*$R74),SUMIF(OFFSET($R76,1,0,$Q74-2),($L74+1)&amp;"$",OFFSET(V76,1,0,$Q74-2)))</f>
        <v>0</v>
      </c>
      <c r="W76" s="257">
        <f ca="1">IF($Q74=2,IF(AND(ACOMPANHAMENTO="PLE",ISNUMBER($E74)),SUMIF((OFFSET(CÁLCULO!$BC$15:$BU$15,$E74,0,OFFSET(ORÇAMENTO!$D$15,CRONO!$E74,0))),"="&amp;CRONO!W$12,OFFSET(CÁLCULO!$AJ$15:$BB$15,$E74,0,OFFSET(ORÇAMENTO!$D$15,CRONO!$E74,0)))+IF(AND($E76&lt;&gt;"",$E76&lt;&gt;0),SUMIF(CÁLCULO!$BC$15:$BU$710,"="&amp;CRONO!W$12,CÁLCULO!$AJ$15:$BB$710)/(ORÇAMENTO!$X$15-CÁLCULO.TotalAdmLocal)*CRONO!$E76,0),W75*$R74),SUMIF(OFFSET($R76,1,0,$Q74-2),($L74+1)&amp;"$",OFFSET(W76,1,0,$Q74-2)))</f>
        <v>0</v>
      </c>
      <c r="X76" s="257">
        <f ca="1">IF($Q74=2,IF(AND(ACOMPANHAMENTO="PLE",ISNUMBER($E74)),SUMIF((OFFSET(CÁLCULO!$BC$15:$BU$15,$E74,0,OFFSET(ORÇAMENTO!$D$15,CRONO!$E74,0))),"="&amp;CRONO!X$12,OFFSET(CÁLCULO!$AJ$15:$BB$15,$E74,0,OFFSET(ORÇAMENTO!$D$15,CRONO!$E74,0)))+IF(AND($E76&lt;&gt;"",$E76&lt;&gt;0),SUMIF(CÁLCULO!$BC$15:$BU$710,"="&amp;CRONO!X$12,CÁLCULO!$AJ$15:$BB$710)/(ORÇAMENTO!$X$15-CÁLCULO.TotalAdmLocal)*CRONO!$E76,0),X75*$R74),SUMIF(OFFSET($R76,1,0,$Q74-2),($L74+1)&amp;"$",OFFSET(X76,1,0,$Q74-2)))</f>
        <v>0</v>
      </c>
      <c r="Y76" s="257">
        <f ca="1">IF($Q74=2,IF(AND(ACOMPANHAMENTO="PLE",ISNUMBER($E74)),SUMIF((OFFSET(CÁLCULO!$BC$15:$BU$15,$E74,0,OFFSET(ORÇAMENTO!$D$15,CRONO!$E74,0))),"="&amp;CRONO!Y$12,OFFSET(CÁLCULO!$AJ$15:$BB$15,$E74,0,OFFSET(ORÇAMENTO!$D$15,CRONO!$E74,0)))+IF(AND($E76&lt;&gt;"",$E76&lt;&gt;0),SUMIF(CÁLCULO!$BC$15:$BU$710,"="&amp;CRONO!Y$12,CÁLCULO!$AJ$15:$BB$710)/(ORÇAMENTO!$X$15-CÁLCULO.TotalAdmLocal)*CRONO!$E76,0),Y75*$R74),SUMIF(OFFSET($R76,1,0,$Q74-2),($L74+1)&amp;"$",OFFSET(Y76,1,0,$Q74-2)))</f>
        <v>0</v>
      </c>
      <c r="Z76" s="257">
        <f ca="1">IF($Q74=2,IF(AND(ACOMPANHAMENTO="PLE",ISNUMBER($E74)),SUMIF((OFFSET(CÁLCULO!$BC$15:$BU$15,$E74,0,OFFSET(ORÇAMENTO!$D$15,CRONO!$E74,0))),"="&amp;CRONO!Z$12,OFFSET(CÁLCULO!$AJ$15:$BB$15,$E74,0,OFFSET(ORÇAMENTO!$D$15,CRONO!$E74,0)))+IF(AND($E76&lt;&gt;"",$E76&lt;&gt;0),SUMIF(CÁLCULO!$BC$15:$BU$710,"="&amp;CRONO!Z$12,CÁLCULO!$AJ$15:$BB$710)/(ORÇAMENTO!$X$15-CÁLCULO.TotalAdmLocal)*CRONO!$E76,0),Z75*$R74),SUMIF(OFFSET($R76,1,0,$Q74-2),($L74+1)&amp;"$",OFFSET(Z76,1,0,$Q74-2)))</f>
        <v>0</v>
      </c>
      <c r="AA76" s="257">
        <f ca="1">IF($Q74=2,IF(AND(ACOMPANHAMENTO="PLE",ISNUMBER($E74)),SUMIF((OFFSET(CÁLCULO!$BC$15:$BU$15,$E74,0,OFFSET(ORÇAMENTO!$D$15,CRONO!$E74,0))),"="&amp;CRONO!AA$12,OFFSET(CÁLCULO!$AJ$15:$BB$15,$E74,0,OFFSET(ORÇAMENTO!$D$15,CRONO!$E74,0)))+IF(AND($E76&lt;&gt;"",$E76&lt;&gt;0),SUMIF(CÁLCULO!$BC$15:$BU$710,"="&amp;CRONO!AA$12,CÁLCULO!$AJ$15:$BB$710)/(ORÇAMENTO!$X$15-CÁLCULO.TotalAdmLocal)*CRONO!$E76,0),AA75*$R74),SUMIF(OFFSET($R76,1,0,$Q74-2),($L74+1)&amp;"$",OFFSET(AA76,1,0,$Q74-2)))</f>
        <v>0</v>
      </c>
      <c r="AB76" s="257">
        <f ca="1">IF($Q74=2,IF(AND(ACOMPANHAMENTO="PLE",ISNUMBER($E74)),SUMIF((OFFSET(CÁLCULO!$BC$15:$BU$15,$E74,0,OFFSET(ORÇAMENTO!$D$15,CRONO!$E74,0))),"="&amp;CRONO!AB$12,OFFSET(CÁLCULO!$AJ$15:$BB$15,$E74,0,OFFSET(ORÇAMENTO!$D$15,CRONO!$E74,0)))+IF(AND($E76&lt;&gt;"",$E76&lt;&gt;0),SUMIF(CÁLCULO!$BC$15:$BU$710,"="&amp;CRONO!AB$12,CÁLCULO!$AJ$15:$BB$710)/(ORÇAMENTO!$X$15-CÁLCULO.TotalAdmLocal)*CRONO!$E76,0),AB75*$R74),SUMIF(OFFSET($R76,1,0,$Q74-2),($L74+1)&amp;"$",OFFSET(AB76,1,0,$Q74-2)))</f>
        <v>0</v>
      </c>
      <c r="AC76" s="257">
        <f ca="1">IF($Q74=2,IF(AND(ACOMPANHAMENTO="PLE",ISNUMBER($E74)),SUMIF((OFFSET(CÁLCULO!$BC$15:$BU$15,$E74,0,OFFSET(ORÇAMENTO!$D$15,CRONO!$E74,0))),"="&amp;CRONO!AC$12,OFFSET(CÁLCULO!$AJ$15:$BB$15,$E74,0,OFFSET(ORÇAMENTO!$D$15,CRONO!$E74,0)))+IF(AND($E76&lt;&gt;"",$E76&lt;&gt;0),SUMIF(CÁLCULO!$BC$15:$BU$710,"="&amp;CRONO!AC$12,CÁLCULO!$AJ$15:$BB$710)/(ORÇAMENTO!$X$15-CÁLCULO.TotalAdmLocal)*CRONO!$E76,0),AC75*$R74),SUMIF(OFFSET($R76,1,0,$Q74-2),($L74+1)&amp;"$",OFFSET(AC76,1,0,$Q74-2)))</f>
        <v>0</v>
      </c>
      <c r="AD76" s="257">
        <f ca="1">IF($Q74=2,IF(AND(ACOMPANHAMENTO="PLE",ISNUMBER($E74)),SUMIF((OFFSET(CÁLCULO!$BC$15:$BU$15,$E74,0,OFFSET(ORÇAMENTO!$D$15,CRONO!$E74,0))),"="&amp;CRONO!AD$12,OFFSET(CÁLCULO!$AJ$15:$BB$15,$E74,0,OFFSET(ORÇAMENTO!$D$15,CRONO!$E74,0)))+IF(AND($E76&lt;&gt;"",$E76&lt;&gt;0),SUMIF(CÁLCULO!$BC$15:$BU$710,"="&amp;CRONO!AD$12,CÁLCULO!$AJ$15:$BB$710)/(ORÇAMENTO!$X$15-CÁLCULO.TotalAdmLocal)*CRONO!$E76,0),AD75*$R74),SUMIF(OFFSET($R76,1,0,$Q74-2),($L74+1)&amp;"$",OFFSET(AD76,1,0,$Q74-2)))</f>
        <v>0</v>
      </c>
      <c r="AE76" s="262">
        <f ca="1">IF($Q74=2,IF(AND(ACOMPANHAMENTO="PLE",ISNUMBER($E74)),SUMIF((OFFSET(CÁLCULO!$BC$15:$BU$15,$E74,0,OFFSET(ORÇAMENTO!$D$15,CRONO!$E74,0))),"="&amp;CRONO!AE$12,OFFSET(CÁLCULO!$AJ$15:$BB$15,$E74,0,OFFSET(ORÇAMENTO!$D$15,CRONO!$E74,0)))+IF(AND($E76&lt;&gt;"",$E76&lt;&gt;0),SUMIF(CÁLCULO!$BC$15:$BU$710,"="&amp;CRONO!AE$12,CÁLCULO!$AJ$15:$BB$710)/(ORÇAMENTO!$X$15-CÁLCULO.TotalAdmLocal)*CRONO!$E76,0),AE75*$R74),SUMIF(OFFSET($R76,1,0,$Q74-2),($L74+1)&amp;"$",OFFSET(AE76,1,0,$Q74-2)))</f>
        <v>0</v>
      </c>
      <c r="AF76" s="261">
        <f ca="1">IF($Q74=2,IF(AND(ACOMPANHAMENTO="PLE",ISNUMBER($E74)),SUMIF((OFFSET(CÁLCULO!$BC$15:$BU$15,$E74,0,OFFSET(ORÇAMENTO!$D$15,CRONO!$E74,0))),"="&amp;CRONO!AF$12,OFFSET(CÁLCULO!$AJ$15:$BB$15,$E74,0,OFFSET(ORÇAMENTO!$D$15,CRONO!$E74,0)))+IF(AND($E76&lt;&gt;"",$E76&lt;&gt;0),SUMIF(CÁLCULO!$BC$15:$BU$710,"="&amp;CRONO!AF$12,CÁLCULO!$AJ$15:$BB$710)/(ORÇAMENTO!$X$15-CÁLCULO.TotalAdmLocal)*CRONO!$E76,0),AF75*$R74),SUMIF(OFFSET($R76,1,0,$Q74-2),($L74+1)&amp;"$",OFFSET(AF76,1,0,$Q74-2)))</f>
        <v>0</v>
      </c>
      <c r="AG76" s="257">
        <f ca="1">IF($Q74=2,IF(AND(ACOMPANHAMENTO="PLE",ISNUMBER($E74)),SUMIF((OFFSET(CÁLCULO!$BC$15:$BU$15,$E74,0,OFFSET(ORÇAMENTO!$D$15,CRONO!$E74,0))),"="&amp;CRONO!AG$12,OFFSET(CÁLCULO!$AJ$15:$BB$15,$E74,0,OFFSET(ORÇAMENTO!$D$15,CRONO!$E74,0)))+IF(AND($E76&lt;&gt;"",$E76&lt;&gt;0),SUMIF(CÁLCULO!$BC$15:$BU$710,"="&amp;CRONO!AG$12,CÁLCULO!$AJ$15:$BB$710)/(ORÇAMENTO!$X$15-CÁLCULO.TotalAdmLocal)*CRONO!$E76,0),AG75*$R74),SUMIF(OFFSET($R76,1,0,$Q74-2),($L74+1)&amp;"$",OFFSET(AG76,1,0,$Q74-2)))</f>
        <v>0</v>
      </c>
      <c r="AH76" s="257">
        <f ca="1">IF($Q74=2,IF(AND(ACOMPANHAMENTO="PLE",ISNUMBER($E74)),SUMIF((OFFSET(CÁLCULO!$BC$15:$BU$15,$E74,0,OFFSET(ORÇAMENTO!$D$15,CRONO!$E74,0))),"="&amp;CRONO!AH$12,OFFSET(CÁLCULO!$AJ$15:$BB$15,$E74,0,OFFSET(ORÇAMENTO!$D$15,CRONO!$E74,0)))+IF(AND($E76&lt;&gt;"",$E76&lt;&gt;0),SUMIF(CÁLCULO!$BC$15:$BU$710,"="&amp;CRONO!AH$12,CÁLCULO!$AJ$15:$BB$710)/(ORÇAMENTO!$X$15-CÁLCULO.TotalAdmLocal)*CRONO!$E76,0),AH75*$R74),SUMIF(OFFSET($R76,1,0,$Q74-2),($L74+1)&amp;"$",OFFSET(AH76,1,0,$Q74-2)))</f>
        <v>0</v>
      </c>
      <c r="AI76" s="257">
        <f ca="1">IF($Q74=2,IF(AND(ACOMPANHAMENTO="PLE",ISNUMBER($E74)),SUMIF((OFFSET(CÁLCULO!$BC$15:$BU$15,$E74,0,OFFSET(ORÇAMENTO!$D$15,CRONO!$E74,0))),"="&amp;CRONO!AI$12,OFFSET(CÁLCULO!$AJ$15:$BB$15,$E74,0,OFFSET(ORÇAMENTO!$D$15,CRONO!$E74,0)))+IF(AND($E76&lt;&gt;"",$E76&lt;&gt;0),SUMIF(CÁLCULO!$BC$15:$BU$710,"="&amp;CRONO!AI$12,CÁLCULO!$AJ$15:$BB$710)/(ORÇAMENTO!$X$15-CÁLCULO.TotalAdmLocal)*CRONO!$E76,0),AI75*$R74),SUMIF(OFFSET($R76,1,0,$Q74-2),($L74+1)&amp;"$",OFFSET(AI76,1,0,$Q74-2)))</f>
        <v>0</v>
      </c>
      <c r="AJ76" s="257">
        <f ca="1">IF($Q74=2,IF(AND(ACOMPANHAMENTO="PLE",ISNUMBER($E74)),SUMIF((OFFSET(CÁLCULO!$BC$15:$BU$15,$E74,0,OFFSET(ORÇAMENTO!$D$15,CRONO!$E74,0))),"="&amp;CRONO!AJ$12,OFFSET(CÁLCULO!$AJ$15:$BB$15,$E74,0,OFFSET(ORÇAMENTO!$D$15,CRONO!$E74,0)))+IF(AND($E76&lt;&gt;"",$E76&lt;&gt;0),SUMIF(CÁLCULO!$BC$15:$BU$710,"="&amp;CRONO!AJ$12,CÁLCULO!$AJ$15:$BB$710)/(ORÇAMENTO!$X$15-CÁLCULO.TotalAdmLocal)*CRONO!$E76,0),AJ75*$R74),SUMIF(OFFSET($R76,1,0,$Q74-2),($L74+1)&amp;"$",OFFSET(AJ76,1,0,$Q74-2)))</f>
        <v>0</v>
      </c>
      <c r="AK76" s="257">
        <f ca="1">IF($Q74=2,IF(AND(ACOMPANHAMENTO="PLE",ISNUMBER($E74)),SUMIF((OFFSET(CÁLCULO!$BC$15:$BU$15,$E74,0,OFFSET(ORÇAMENTO!$D$15,CRONO!$E74,0))),"="&amp;CRONO!AK$12,OFFSET(CÁLCULO!$AJ$15:$BB$15,$E74,0,OFFSET(ORÇAMENTO!$D$15,CRONO!$E74,0)))+IF(AND($E76&lt;&gt;"",$E76&lt;&gt;0),SUMIF(CÁLCULO!$BC$15:$BU$710,"="&amp;CRONO!AK$12,CÁLCULO!$AJ$15:$BB$710)/(ORÇAMENTO!$X$15-CÁLCULO.TotalAdmLocal)*CRONO!$E76,0),AK75*$R74),SUMIF(OFFSET($R76,1,0,$Q74-2),($L74+1)&amp;"$",OFFSET(AK76,1,0,$Q74-2)))</f>
        <v>0</v>
      </c>
      <c r="AL76" s="257">
        <f ca="1">IF($Q74=2,IF(AND(ACOMPANHAMENTO="PLE",ISNUMBER($E74)),SUMIF((OFFSET(CÁLCULO!$BC$15:$BU$15,$E74,0,OFFSET(ORÇAMENTO!$D$15,CRONO!$E74,0))),"="&amp;CRONO!AL$12,OFFSET(CÁLCULO!$AJ$15:$BB$15,$E74,0,OFFSET(ORÇAMENTO!$D$15,CRONO!$E74,0)))+IF(AND($E76&lt;&gt;"",$E76&lt;&gt;0),SUMIF(CÁLCULO!$BC$15:$BU$710,"="&amp;CRONO!AL$12,CÁLCULO!$AJ$15:$BB$710)/(ORÇAMENTO!$X$15-CÁLCULO.TotalAdmLocal)*CRONO!$E76,0),AL75*$R74),SUMIF(OFFSET($R76,1,0,$Q74-2),($L74+1)&amp;"$",OFFSET(AL76,1,0,$Q74-2)))</f>
        <v>0</v>
      </c>
      <c r="AM76" s="257">
        <f ca="1">IF($Q74=2,IF(AND(ACOMPANHAMENTO="PLE",ISNUMBER($E74)),SUMIF((OFFSET(CÁLCULO!$BC$15:$BU$15,$E74,0,OFFSET(ORÇAMENTO!$D$15,CRONO!$E74,0))),"="&amp;CRONO!AM$12,OFFSET(CÁLCULO!$AJ$15:$BB$15,$E74,0,OFFSET(ORÇAMENTO!$D$15,CRONO!$E74,0)))+IF(AND($E76&lt;&gt;"",$E76&lt;&gt;0),SUMIF(CÁLCULO!$BC$15:$BU$710,"="&amp;CRONO!AM$12,CÁLCULO!$AJ$15:$BB$710)/(ORÇAMENTO!$X$15-CÁLCULO.TotalAdmLocal)*CRONO!$E76,0),AM75*$R74),SUMIF(OFFSET($R76,1,0,$Q74-2),($L74+1)&amp;"$",OFFSET(AM76,1,0,$Q74-2)))</f>
        <v>0</v>
      </c>
      <c r="AN76" s="257">
        <f ca="1">IF($Q74=2,IF(AND(ACOMPANHAMENTO="PLE",ISNUMBER($E74)),SUMIF((OFFSET(CÁLCULO!$BC$15:$BU$15,$E74,0,OFFSET(ORÇAMENTO!$D$15,CRONO!$E74,0))),"="&amp;CRONO!AN$12,OFFSET(CÁLCULO!$AJ$15:$BB$15,$E74,0,OFFSET(ORÇAMENTO!$D$15,CRONO!$E74,0)))+IF(AND($E76&lt;&gt;"",$E76&lt;&gt;0),SUMIF(CÁLCULO!$BC$15:$BU$710,"="&amp;CRONO!AN$12,CÁLCULO!$AJ$15:$BB$710)/(ORÇAMENTO!$X$15-CÁLCULO.TotalAdmLocal)*CRONO!$E76,0),AN75*$R74),SUMIF(OFFSET($R76,1,0,$Q74-2),($L74+1)&amp;"$",OFFSET(AN76,1,0,$Q74-2)))</f>
        <v>0</v>
      </c>
      <c r="AO76" s="257">
        <f ca="1">IF($Q74=2,IF(AND(ACOMPANHAMENTO="PLE",ISNUMBER($E74)),SUMIF((OFFSET(CÁLCULO!$BC$15:$BU$15,$E74,0,OFFSET(ORÇAMENTO!$D$15,CRONO!$E74,0))),"="&amp;CRONO!AO$12,OFFSET(CÁLCULO!$AJ$15:$BB$15,$E74,0,OFFSET(ORÇAMENTO!$D$15,CRONO!$E74,0)))+IF(AND($E76&lt;&gt;"",$E76&lt;&gt;0),SUMIF(CÁLCULO!$BC$15:$BU$710,"="&amp;CRONO!AO$12,CÁLCULO!$AJ$15:$BB$710)/(ORÇAMENTO!$X$15-CÁLCULO.TotalAdmLocal)*CRONO!$E76,0),AO75*$R74),SUMIF(OFFSET($R76,1,0,$Q74-2),($L74+1)&amp;"$",OFFSET(AO76,1,0,$Q74-2)))</f>
        <v>0</v>
      </c>
      <c r="AP76" s="257">
        <f ca="1">IF($Q74=2,IF(AND(ACOMPANHAMENTO="PLE",ISNUMBER($E74)),SUMIF((OFFSET(CÁLCULO!$BC$15:$BU$15,$E74,0,OFFSET(ORÇAMENTO!$D$15,CRONO!$E74,0))),"="&amp;CRONO!AP$12,OFFSET(CÁLCULO!$AJ$15:$BB$15,$E74,0,OFFSET(ORÇAMENTO!$D$15,CRONO!$E74,0)))+IF(AND($E76&lt;&gt;"",$E76&lt;&gt;0),SUMIF(CÁLCULO!$BC$15:$BU$710,"="&amp;CRONO!AP$12,CÁLCULO!$AJ$15:$BB$710)/(ORÇAMENTO!$X$15-CÁLCULO.TotalAdmLocal)*CRONO!$E76,0),AP75*$R74),SUMIF(OFFSET($R76,1,0,$Q74-2),($L74+1)&amp;"$",OFFSET(AP76,1,0,$Q74-2)))</f>
        <v>0</v>
      </c>
      <c r="AQ76" s="262">
        <f ca="1">IF($Q74=2,IF(AND(ACOMPANHAMENTO="PLE",ISNUMBER($E74)),SUMIF((OFFSET(CÁLCULO!$BC$15:$BU$15,$E74,0,OFFSET(ORÇAMENTO!$D$15,CRONO!$E74,0))),"="&amp;CRONO!AQ$12,OFFSET(CÁLCULO!$AJ$15:$BB$15,$E74,0,OFFSET(ORÇAMENTO!$D$15,CRONO!$E74,0)))+IF(AND($E76&lt;&gt;"",$E76&lt;&gt;0),SUMIF(CÁLCULO!$BC$15:$BU$710,"="&amp;CRONO!AQ$12,CÁLCULO!$AJ$15:$BB$710)/(ORÇAMENTO!$X$15-CÁLCULO.TotalAdmLocal)*CRONO!$E76,0),AQ75*$R74),SUMIF(OFFSET($R76,1,0,$Q74-2),($L74+1)&amp;"$",OFFSET(AQ76,1,0,$Q74-2)))</f>
        <v>0</v>
      </c>
    </row>
    <row r="77" spans="1:44" x14ac:dyDescent="0.25">
      <c r="A77" s="238">
        <f ca="1">OFFSET(A77,-3,0)+1</f>
        <v>22</v>
      </c>
      <c r="B77" s="238">
        <f ca="1">IF($Q77&lt;&gt;2,0,IF($R77=0,1,IF(E78&gt;0,OFFSET(QCI!$M$13,SUBSTITUTE(E78,".",""),0),OFFSET(ORÇAMENTO!$AA$15,CRONO!$E77,0))/$R77))</f>
        <v>1</v>
      </c>
      <c r="C77" s="238">
        <f ca="1">IF($Q77&lt;&gt;2,0,IF($R77=0,1,IF(E78&gt;0,OFFSET(QCI!$N$13,SUBSTITUTE(E78,".",""),0),OFFSET(ORÇAMENTO!$AB$15,CRONO!$E77,0))/$R77))</f>
        <v>1</v>
      </c>
      <c r="D77" s="241">
        <f ca="1">IF(AND($Q77=2,ACOMPANHAMENTO="BM"),D78,D79/$R77)</f>
        <v>0</v>
      </c>
      <c r="E77" s="238">
        <f ca="1">IF(A77&lt;=ORÇAMENTO.MáximoListaCrono,MATCH(A77,ORÇAMENTO.ListaCrono,0),NA())</f>
        <v>653</v>
      </c>
      <c r="F77" s="238" t="str">
        <f ca="1">IF(AND($E78&lt;&gt;-1,$R77&gt;0),"F","")</f>
        <v/>
      </c>
      <c r="G77" s="242" t="str">
        <f ca="1">IF(OR(R77=0,R77=""),"Linha",IF(AND(OR(ACOMPANHAMENTO="PLE",$Q77&lt;&gt;2),$E78=0),"Linha",1-SUM(T77:AR77)))</f>
        <v>Linha</v>
      </c>
      <c r="H77" s="243" t="str">
        <f ca="1">IF($E78=0,OFFSET(ORÇAMENTO!O$15,$E77,0),IF($E78&lt;&gt;-1,OFFSET(QCI!$D$13,$E78,0),""))</f>
        <v>1.21.</v>
      </c>
      <c r="I77" s="244" t="str">
        <f ca="1">IF($E78=0,OFFSET(ORÇAMENTO!R$15,$E77,0),IF($E78&lt;&gt;-1,OFFSET(QCI!$G$13,$E78,0),""))</f>
        <v>SISTEMA DE EXAUSTÃO MECÂNICA</v>
      </c>
      <c r="J77" s="244"/>
      <c r="K77" s="244"/>
      <c r="L77" s="245">
        <f ca="1">IF($E78=0,OFFSET(ORÇAMENTO!C$15,$E77,0),1)</f>
        <v>2</v>
      </c>
      <c r="M77" s="246">
        <f ca="1">IF($E78=-1,0,IF(M$13&lt;=$L77,IF(ISERROR(MATCH(M$13,OFFSET($L77,1,0,ROW($L$98)-ROW($L77)-1),0)),ROW($L$98)-ROW($L77)-1,MATCH(M$13,OFFSET($L77,1,0,ROW($L$98)-ROW($L77)-1),0)-1),0))</f>
        <v>11</v>
      </c>
      <c r="N77" s="246">
        <f ca="1">IF($E78=-1,0,IF(N$13&lt;=$L77,IF(ISERROR(MATCH(N$13,OFFSET($L77,1,0,ROW($L$98)-ROW($L77)-1),0)),ROW($L$98)-ROW($L77)-1,MATCH(N$13,OFFSET($L77,1,0,ROW($L$98)-ROW($L77)-1),0)-1),0))</f>
        <v>2</v>
      </c>
      <c r="O77" s="246">
        <f ca="1">IF($E78=-1,0,IF(O$13&lt;=$L77,IF(ISERROR(MATCH(O$13,OFFSET($L77,1,0,ROW($L$98)-ROW($L77)-1),0)),ROW($L$98)-ROW($L77)-1,MATCH(O$13,OFFSET($L77,1,0,ROW($L$98)-ROW($L77)-1),0)-1),0))</f>
        <v>0</v>
      </c>
      <c r="P77" s="246">
        <f ca="1">IF($E78=-1,0,IF(P$13&lt;=$L77,IF(ISERROR(MATCH(P$13,OFFSET($L77,1,0,ROW($L$98)-ROW($L77)-1),0)),ROW($L$98)-ROW($L77)-1,MATCH(P$13,OFFSET($L77,1,0,ROW($L$98)-ROW($L77)-1),0)-1),0))</f>
        <v>0</v>
      </c>
      <c r="Q77" s="246">
        <f ca="1">MIN(OFFSET(L77,0,1,,L77))</f>
        <v>2</v>
      </c>
      <c r="R77" s="247">
        <f ca="1">IF($E78=0,OFFSET(ORÇAMENTO!X$15,$E77,0),IF($E78&lt;&gt;-1,OFFSET(QCI!$O$13,$E78,0),""))</f>
        <v>0</v>
      </c>
      <c r="S77" s="248" t="s">
        <v>272</v>
      </c>
      <c r="T77" s="249">
        <f t="shared" ref="T77:AQ77" ca="1" si="25">IF(AND($Q77=2,ACOMPANHAMENTO="BM"),T78,T79/$R77)</f>
        <v>0</v>
      </c>
      <c r="U77" s="241">
        <f t="shared" ca="1" si="25"/>
        <v>0</v>
      </c>
      <c r="V77" s="241">
        <f t="shared" ca="1" si="25"/>
        <v>0</v>
      </c>
      <c r="W77" s="241">
        <f t="shared" ca="1" si="25"/>
        <v>0</v>
      </c>
      <c r="X77" s="241">
        <f t="shared" ca="1" si="25"/>
        <v>0</v>
      </c>
      <c r="Y77" s="241">
        <f t="shared" ca="1" si="25"/>
        <v>0</v>
      </c>
      <c r="Z77" s="241">
        <f t="shared" ca="1" si="25"/>
        <v>0</v>
      </c>
      <c r="AA77" s="241">
        <f t="shared" ca="1" si="25"/>
        <v>0</v>
      </c>
      <c r="AB77" s="241">
        <f t="shared" ca="1" si="25"/>
        <v>0</v>
      </c>
      <c r="AC77" s="241">
        <f t="shared" ca="1" si="25"/>
        <v>0</v>
      </c>
      <c r="AD77" s="241">
        <f t="shared" ca="1" si="25"/>
        <v>0</v>
      </c>
      <c r="AE77" s="250">
        <f t="shared" ca="1" si="25"/>
        <v>0</v>
      </c>
      <c r="AF77" s="249">
        <f t="shared" ca="1" si="25"/>
        <v>0</v>
      </c>
      <c r="AG77" s="241">
        <f t="shared" ca="1" si="25"/>
        <v>0.5</v>
      </c>
      <c r="AH77" s="241">
        <f t="shared" ca="1" si="25"/>
        <v>0.5</v>
      </c>
      <c r="AI77" s="241">
        <f t="shared" ca="1" si="25"/>
        <v>0</v>
      </c>
      <c r="AJ77" s="241">
        <f t="shared" ca="1" si="25"/>
        <v>0</v>
      </c>
      <c r="AK77" s="241">
        <f t="shared" ca="1" si="25"/>
        <v>0</v>
      </c>
      <c r="AL77" s="241">
        <f t="shared" ca="1" si="25"/>
        <v>0</v>
      </c>
      <c r="AM77" s="241">
        <f t="shared" ca="1" si="25"/>
        <v>0</v>
      </c>
      <c r="AN77" s="241">
        <f t="shared" ca="1" si="25"/>
        <v>0</v>
      </c>
      <c r="AO77" s="241">
        <f t="shared" ca="1" si="25"/>
        <v>0</v>
      </c>
      <c r="AP77" s="241">
        <f t="shared" ca="1" si="25"/>
        <v>0</v>
      </c>
      <c r="AQ77" s="250">
        <f t="shared" ca="1" si="25"/>
        <v>0</v>
      </c>
    </row>
    <row r="78" spans="1:44" ht="12.75" customHeight="1" x14ac:dyDescent="0.25">
      <c r="D78" s="658"/>
      <c r="E78" s="238">
        <f ca="1">IF(ISERROR(E77),IF(1+COUNTIF($L$13:OFFSET(L77,-1,0),1)&lt;=MAX(QCI!$D$13:$D$24),1+COUNTIF($L$13:OFFSET(L77,-1,0),1),-1),0)</f>
        <v>0</v>
      </c>
      <c r="F78" s="238" t="str">
        <f ca="1">IF(AND($E78&lt;&gt;-1,$R77&gt;0),"F","")</f>
        <v/>
      </c>
      <c r="G78" s="251" t="str">
        <f ca="1">IF(OR(R77=0,R77=""),"vazia",IF(AND(OR(ACOMPANHAMENTO="PLE",$Q77&lt;&gt;2),$E78=0),"calculada","--&gt;"))</f>
        <v>vazia</v>
      </c>
      <c r="H78" s="252"/>
      <c r="I78" s="253" t="str">
        <f ca="1">IF(AND(G77&lt;&gt;0,ISNUMBER(G77)),"PREENCHA ESTA LINHA --&gt;","")</f>
        <v/>
      </c>
      <c r="J78" s="253"/>
      <c r="K78" s="253"/>
      <c r="L78" s="254"/>
      <c r="M78" s="254"/>
      <c r="N78" s="254"/>
      <c r="O78" s="254"/>
      <c r="P78" s="254"/>
      <c r="Q78" s="254"/>
      <c r="R78" s="255"/>
      <c r="S78" s="256"/>
      <c r="T78" s="659"/>
      <c r="U78" s="658"/>
      <c r="V78" s="658"/>
      <c r="W78" s="658"/>
      <c r="X78" s="658"/>
      <c r="Y78" s="658"/>
      <c r="Z78" s="658"/>
      <c r="AA78" s="658"/>
      <c r="AB78" s="658"/>
      <c r="AC78" s="658"/>
      <c r="AD78" s="658"/>
      <c r="AE78" s="660"/>
      <c r="AF78" s="659"/>
      <c r="AG78" s="658">
        <v>0.5</v>
      </c>
      <c r="AH78" s="658">
        <v>0.5</v>
      </c>
      <c r="AI78" s="658"/>
      <c r="AJ78" s="658"/>
      <c r="AK78" s="658"/>
      <c r="AL78" s="658"/>
      <c r="AM78" s="658"/>
      <c r="AN78" s="658"/>
      <c r="AO78" s="658"/>
      <c r="AP78" s="658"/>
      <c r="AQ78" s="660"/>
      <c r="AR78" s="618"/>
    </row>
    <row r="79" spans="1:44" ht="0.15" hidden="1" customHeight="1" x14ac:dyDescent="0.25">
      <c r="D79" s="257">
        <f ca="1">IF($Q77=2,IF(AND(ACOMPANHAMENTO="PLE",ISNUMBER($E77)),SUMIF((OFFSET(CÁLCULO!$BC$15:$BU$15,$E77,0,OFFSET(ORÇAMENTO!$D$15,CRONO!$E77,0))),"="&amp;CRONO!D$12,OFFSET(CÁLCULO!$AJ$15:$BB$15,$E77,0,OFFSET(ORÇAMENTO!$D$15,CRONO!$E77,0)))+IF(AND($E79&lt;&gt;"",$E79&lt;&gt;0),SUMIF(CÁLCULO!$BC$15:$BU$710,"="&amp;CRONO!D$12,CÁLCULO!$AJ$15:$BB$710)/(ORÇAMENTO!$X$15-CÁLCULO.TotalAdmLocal)*CRONO!$E79,0),D78*$R77),SUMIF(OFFSET($R79,1,0,$Q77-2),($L77+1)&amp;"$",OFFSET(D79,1,0,$Q77-2)))</f>
        <v>0</v>
      </c>
      <c r="E79" s="238">
        <f ca="1">IF(OR($Q77&lt;&gt;2,AUTOEVENTO&lt;&gt;"manual",$E78&gt;0),"",SUMIF(OFFSET(CÁLCULO!$M$15,CRONO!$E77,0,OFFSET(ORÇAMENTO!$D$15,CRONO!$E77,0)),1,OFFSET(ORÇAMENTO!$X$15,CRONO!$E77,0,OFFSET(ORÇAMENTO!$D$15,CRONO!$E77,0))))</f>
        <v>0</v>
      </c>
      <c r="G79" s="258"/>
      <c r="R79" s="259" t="str">
        <f ca="1">L77&amp;"$"</f>
        <v>2$</v>
      </c>
      <c r="S79" s="260"/>
      <c r="T79" s="261">
        <f ca="1">IF($Q77=2,IF(AND(ACOMPANHAMENTO="PLE",ISNUMBER($E77)),SUMIF((OFFSET(CÁLCULO!$BC$15:$BU$15,$E77,0,OFFSET(ORÇAMENTO!$D$15,CRONO!$E77,0))),"&lt;="&amp;CRONO!T$12,OFFSET(CÁLCULO!$AJ$15:$BB$15,$E77,0,OFFSET(ORÇAMENTO!$D$15,CRONO!$E77,0)))+IF(AND($E79&lt;&gt;"",$E79&lt;&gt;0),SUMIF(CÁLCULO!$BC$15:$BU$710,"&lt;="&amp;CRONO!T$12,CÁLCULO!$AJ$15:$BB$710)/(ORÇAMENTO!$X$15-CÁLCULO.TotalAdmLocal)*CRONO!$E79,0),T78*$R77),SUMIF(OFFSET($R79,1,0,$Q77-2),($L77+1)&amp;"$",OFFSET(T79,1,0,$Q77-2)))</f>
        <v>0</v>
      </c>
      <c r="U79" s="257">
        <f ca="1">IF($Q77=2,IF(AND(ACOMPANHAMENTO="PLE",ISNUMBER($E77)),SUMIF((OFFSET(CÁLCULO!$BC$15:$BU$15,$E77,0,OFFSET(ORÇAMENTO!$D$15,CRONO!$E77,0))),"="&amp;CRONO!U$12,OFFSET(CÁLCULO!$AJ$15:$BB$15,$E77,0,OFFSET(ORÇAMENTO!$D$15,CRONO!$E77,0)))+IF(AND($E79&lt;&gt;"",$E79&lt;&gt;0),SUMIF(CÁLCULO!$BC$15:$BU$710,"="&amp;CRONO!U$12,CÁLCULO!$AJ$15:$BB$710)/(ORÇAMENTO!$X$15-CÁLCULO.TotalAdmLocal)*CRONO!$E79,0),U78*$R77),SUMIF(OFFSET($R79,1,0,$Q77-2),($L77+1)&amp;"$",OFFSET(U79,1,0,$Q77-2)))</f>
        <v>0</v>
      </c>
      <c r="V79" s="257">
        <f ca="1">IF($Q77=2,IF(AND(ACOMPANHAMENTO="PLE",ISNUMBER($E77)),SUMIF((OFFSET(CÁLCULO!$BC$15:$BU$15,$E77,0,OFFSET(ORÇAMENTO!$D$15,CRONO!$E77,0))),"="&amp;CRONO!V$12,OFFSET(CÁLCULO!$AJ$15:$BB$15,$E77,0,OFFSET(ORÇAMENTO!$D$15,CRONO!$E77,0)))+IF(AND($E79&lt;&gt;"",$E79&lt;&gt;0),SUMIF(CÁLCULO!$BC$15:$BU$710,"="&amp;CRONO!V$12,CÁLCULO!$AJ$15:$BB$710)/(ORÇAMENTO!$X$15-CÁLCULO.TotalAdmLocal)*CRONO!$E79,0),V78*$R77),SUMIF(OFFSET($R79,1,0,$Q77-2),($L77+1)&amp;"$",OFFSET(V79,1,0,$Q77-2)))</f>
        <v>0</v>
      </c>
      <c r="W79" s="257">
        <f ca="1">IF($Q77=2,IF(AND(ACOMPANHAMENTO="PLE",ISNUMBER($E77)),SUMIF((OFFSET(CÁLCULO!$BC$15:$BU$15,$E77,0,OFFSET(ORÇAMENTO!$D$15,CRONO!$E77,0))),"="&amp;CRONO!W$12,OFFSET(CÁLCULO!$AJ$15:$BB$15,$E77,0,OFFSET(ORÇAMENTO!$D$15,CRONO!$E77,0)))+IF(AND($E79&lt;&gt;"",$E79&lt;&gt;0),SUMIF(CÁLCULO!$BC$15:$BU$710,"="&amp;CRONO!W$12,CÁLCULO!$AJ$15:$BB$710)/(ORÇAMENTO!$X$15-CÁLCULO.TotalAdmLocal)*CRONO!$E79,0),W78*$R77),SUMIF(OFFSET($R79,1,0,$Q77-2),($L77+1)&amp;"$",OFFSET(W79,1,0,$Q77-2)))</f>
        <v>0</v>
      </c>
      <c r="X79" s="257">
        <f ca="1">IF($Q77=2,IF(AND(ACOMPANHAMENTO="PLE",ISNUMBER($E77)),SUMIF((OFFSET(CÁLCULO!$BC$15:$BU$15,$E77,0,OFFSET(ORÇAMENTO!$D$15,CRONO!$E77,0))),"="&amp;CRONO!X$12,OFFSET(CÁLCULO!$AJ$15:$BB$15,$E77,0,OFFSET(ORÇAMENTO!$D$15,CRONO!$E77,0)))+IF(AND($E79&lt;&gt;"",$E79&lt;&gt;0),SUMIF(CÁLCULO!$BC$15:$BU$710,"="&amp;CRONO!X$12,CÁLCULO!$AJ$15:$BB$710)/(ORÇAMENTO!$X$15-CÁLCULO.TotalAdmLocal)*CRONO!$E79,0),X78*$R77),SUMIF(OFFSET($R79,1,0,$Q77-2),($L77+1)&amp;"$",OFFSET(X79,1,0,$Q77-2)))</f>
        <v>0</v>
      </c>
      <c r="Y79" s="257">
        <f ca="1">IF($Q77=2,IF(AND(ACOMPANHAMENTO="PLE",ISNUMBER($E77)),SUMIF((OFFSET(CÁLCULO!$BC$15:$BU$15,$E77,0,OFFSET(ORÇAMENTO!$D$15,CRONO!$E77,0))),"="&amp;CRONO!Y$12,OFFSET(CÁLCULO!$AJ$15:$BB$15,$E77,0,OFFSET(ORÇAMENTO!$D$15,CRONO!$E77,0)))+IF(AND($E79&lt;&gt;"",$E79&lt;&gt;0),SUMIF(CÁLCULO!$BC$15:$BU$710,"="&amp;CRONO!Y$12,CÁLCULO!$AJ$15:$BB$710)/(ORÇAMENTO!$X$15-CÁLCULO.TotalAdmLocal)*CRONO!$E79,0),Y78*$R77),SUMIF(OFFSET($R79,1,0,$Q77-2),($L77+1)&amp;"$",OFFSET(Y79,1,0,$Q77-2)))</f>
        <v>0</v>
      </c>
      <c r="Z79" s="257">
        <f ca="1">IF($Q77=2,IF(AND(ACOMPANHAMENTO="PLE",ISNUMBER($E77)),SUMIF((OFFSET(CÁLCULO!$BC$15:$BU$15,$E77,0,OFFSET(ORÇAMENTO!$D$15,CRONO!$E77,0))),"="&amp;CRONO!Z$12,OFFSET(CÁLCULO!$AJ$15:$BB$15,$E77,0,OFFSET(ORÇAMENTO!$D$15,CRONO!$E77,0)))+IF(AND($E79&lt;&gt;"",$E79&lt;&gt;0),SUMIF(CÁLCULO!$BC$15:$BU$710,"="&amp;CRONO!Z$12,CÁLCULO!$AJ$15:$BB$710)/(ORÇAMENTO!$X$15-CÁLCULO.TotalAdmLocal)*CRONO!$E79,0),Z78*$R77),SUMIF(OFFSET($R79,1,0,$Q77-2),($L77+1)&amp;"$",OFFSET(Z79,1,0,$Q77-2)))</f>
        <v>0</v>
      </c>
      <c r="AA79" s="257">
        <f ca="1">IF($Q77=2,IF(AND(ACOMPANHAMENTO="PLE",ISNUMBER($E77)),SUMIF((OFFSET(CÁLCULO!$BC$15:$BU$15,$E77,0,OFFSET(ORÇAMENTO!$D$15,CRONO!$E77,0))),"="&amp;CRONO!AA$12,OFFSET(CÁLCULO!$AJ$15:$BB$15,$E77,0,OFFSET(ORÇAMENTO!$D$15,CRONO!$E77,0)))+IF(AND($E79&lt;&gt;"",$E79&lt;&gt;0),SUMIF(CÁLCULO!$BC$15:$BU$710,"="&amp;CRONO!AA$12,CÁLCULO!$AJ$15:$BB$710)/(ORÇAMENTO!$X$15-CÁLCULO.TotalAdmLocal)*CRONO!$E79,0),AA78*$R77),SUMIF(OFFSET($R79,1,0,$Q77-2),($L77+1)&amp;"$",OFFSET(AA79,1,0,$Q77-2)))</f>
        <v>0</v>
      </c>
      <c r="AB79" s="257">
        <f ca="1">IF($Q77=2,IF(AND(ACOMPANHAMENTO="PLE",ISNUMBER($E77)),SUMIF((OFFSET(CÁLCULO!$BC$15:$BU$15,$E77,0,OFFSET(ORÇAMENTO!$D$15,CRONO!$E77,0))),"="&amp;CRONO!AB$12,OFFSET(CÁLCULO!$AJ$15:$BB$15,$E77,0,OFFSET(ORÇAMENTO!$D$15,CRONO!$E77,0)))+IF(AND($E79&lt;&gt;"",$E79&lt;&gt;0),SUMIF(CÁLCULO!$BC$15:$BU$710,"="&amp;CRONO!AB$12,CÁLCULO!$AJ$15:$BB$710)/(ORÇAMENTO!$X$15-CÁLCULO.TotalAdmLocal)*CRONO!$E79,0),AB78*$R77),SUMIF(OFFSET($R79,1,0,$Q77-2),($L77+1)&amp;"$",OFFSET(AB79,1,0,$Q77-2)))</f>
        <v>0</v>
      </c>
      <c r="AC79" s="257">
        <f ca="1">IF($Q77=2,IF(AND(ACOMPANHAMENTO="PLE",ISNUMBER($E77)),SUMIF((OFFSET(CÁLCULO!$BC$15:$BU$15,$E77,0,OFFSET(ORÇAMENTO!$D$15,CRONO!$E77,0))),"="&amp;CRONO!AC$12,OFFSET(CÁLCULO!$AJ$15:$BB$15,$E77,0,OFFSET(ORÇAMENTO!$D$15,CRONO!$E77,0)))+IF(AND($E79&lt;&gt;"",$E79&lt;&gt;0),SUMIF(CÁLCULO!$BC$15:$BU$710,"="&amp;CRONO!AC$12,CÁLCULO!$AJ$15:$BB$710)/(ORÇAMENTO!$X$15-CÁLCULO.TotalAdmLocal)*CRONO!$E79,0),AC78*$R77),SUMIF(OFFSET($R79,1,0,$Q77-2),($L77+1)&amp;"$",OFFSET(AC79,1,0,$Q77-2)))</f>
        <v>0</v>
      </c>
      <c r="AD79" s="257">
        <f ca="1">IF($Q77=2,IF(AND(ACOMPANHAMENTO="PLE",ISNUMBER($E77)),SUMIF((OFFSET(CÁLCULO!$BC$15:$BU$15,$E77,0,OFFSET(ORÇAMENTO!$D$15,CRONO!$E77,0))),"="&amp;CRONO!AD$12,OFFSET(CÁLCULO!$AJ$15:$BB$15,$E77,0,OFFSET(ORÇAMENTO!$D$15,CRONO!$E77,0)))+IF(AND($E79&lt;&gt;"",$E79&lt;&gt;0),SUMIF(CÁLCULO!$BC$15:$BU$710,"="&amp;CRONO!AD$12,CÁLCULO!$AJ$15:$BB$710)/(ORÇAMENTO!$X$15-CÁLCULO.TotalAdmLocal)*CRONO!$E79,0),AD78*$R77),SUMIF(OFFSET($R79,1,0,$Q77-2),($L77+1)&amp;"$",OFFSET(AD79,1,0,$Q77-2)))</f>
        <v>0</v>
      </c>
      <c r="AE79" s="262">
        <f ca="1">IF($Q77=2,IF(AND(ACOMPANHAMENTO="PLE",ISNUMBER($E77)),SUMIF((OFFSET(CÁLCULO!$BC$15:$BU$15,$E77,0,OFFSET(ORÇAMENTO!$D$15,CRONO!$E77,0))),"="&amp;CRONO!AE$12,OFFSET(CÁLCULO!$AJ$15:$BB$15,$E77,0,OFFSET(ORÇAMENTO!$D$15,CRONO!$E77,0)))+IF(AND($E79&lt;&gt;"",$E79&lt;&gt;0),SUMIF(CÁLCULO!$BC$15:$BU$710,"="&amp;CRONO!AE$12,CÁLCULO!$AJ$15:$BB$710)/(ORÇAMENTO!$X$15-CÁLCULO.TotalAdmLocal)*CRONO!$E79,0),AE78*$R77),SUMIF(OFFSET($R79,1,0,$Q77-2),($L77+1)&amp;"$",OFFSET(AE79,1,0,$Q77-2)))</f>
        <v>0</v>
      </c>
      <c r="AF79" s="261">
        <f ca="1">IF($Q77=2,IF(AND(ACOMPANHAMENTO="PLE",ISNUMBER($E77)),SUMIF((OFFSET(CÁLCULO!$BC$15:$BU$15,$E77,0,OFFSET(ORÇAMENTO!$D$15,CRONO!$E77,0))),"="&amp;CRONO!AF$12,OFFSET(CÁLCULO!$AJ$15:$BB$15,$E77,0,OFFSET(ORÇAMENTO!$D$15,CRONO!$E77,0)))+IF(AND($E79&lt;&gt;"",$E79&lt;&gt;0),SUMIF(CÁLCULO!$BC$15:$BU$710,"="&amp;CRONO!AF$12,CÁLCULO!$AJ$15:$BB$710)/(ORÇAMENTO!$X$15-CÁLCULO.TotalAdmLocal)*CRONO!$E79,0),AF78*$R77),SUMIF(OFFSET($R79,1,0,$Q77-2),($L77+1)&amp;"$",OFFSET(AF79,1,0,$Q77-2)))</f>
        <v>0</v>
      </c>
      <c r="AG79" s="257">
        <f ca="1">IF($Q77=2,IF(AND(ACOMPANHAMENTO="PLE",ISNUMBER($E77)),SUMIF((OFFSET(CÁLCULO!$BC$15:$BU$15,$E77,0,OFFSET(ORÇAMENTO!$D$15,CRONO!$E77,0))),"="&amp;CRONO!AG$12,OFFSET(CÁLCULO!$AJ$15:$BB$15,$E77,0,OFFSET(ORÇAMENTO!$D$15,CRONO!$E77,0)))+IF(AND($E79&lt;&gt;"",$E79&lt;&gt;0),SUMIF(CÁLCULO!$BC$15:$BU$710,"="&amp;CRONO!AG$12,CÁLCULO!$AJ$15:$BB$710)/(ORÇAMENTO!$X$15-CÁLCULO.TotalAdmLocal)*CRONO!$E79,0),AG78*$R77),SUMIF(OFFSET($R79,1,0,$Q77-2),($L77+1)&amp;"$",OFFSET(AG79,1,0,$Q77-2)))</f>
        <v>0</v>
      </c>
      <c r="AH79" s="257">
        <f ca="1">IF($Q77=2,IF(AND(ACOMPANHAMENTO="PLE",ISNUMBER($E77)),SUMIF((OFFSET(CÁLCULO!$BC$15:$BU$15,$E77,0,OFFSET(ORÇAMENTO!$D$15,CRONO!$E77,0))),"="&amp;CRONO!AH$12,OFFSET(CÁLCULO!$AJ$15:$BB$15,$E77,0,OFFSET(ORÇAMENTO!$D$15,CRONO!$E77,0)))+IF(AND($E79&lt;&gt;"",$E79&lt;&gt;0),SUMIF(CÁLCULO!$BC$15:$BU$710,"="&amp;CRONO!AH$12,CÁLCULO!$AJ$15:$BB$710)/(ORÇAMENTO!$X$15-CÁLCULO.TotalAdmLocal)*CRONO!$E79,0),AH78*$R77),SUMIF(OFFSET($R79,1,0,$Q77-2),($L77+1)&amp;"$",OFFSET(AH79,1,0,$Q77-2)))</f>
        <v>0</v>
      </c>
      <c r="AI79" s="257">
        <f ca="1">IF($Q77=2,IF(AND(ACOMPANHAMENTO="PLE",ISNUMBER($E77)),SUMIF((OFFSET(CÁLCULO!$BC$15:$BU$15,$E77,0,OFFSET(ORÇAMENTO!$D$15,CRONO!$E77,0))),"="&amp;CRONO!AI$12,OFFSET(CÁLCULO!$AJ$15:$BB$15,$E77,0,OFFSET(ORÇAMENTO!$D$15,CRONO!$E77,0)))+IF(AND($E79&lt;&gt;"",$E79&lt;&gt;0),SUMIF(CÁLCULO!$BC$15:$BU$710,"="&amp;CRONO!AI$12,CÁLCULO!$AJ$15:$BB$710)/(ORÇAMENTO!$X$15-CÁLCULO.TotalAdmLocal)*CRONO!$E79,0),AI78*$R77),SUMIF(OFFSET($R79,1,0,$Q77-2),($L77+1)&amp;"$",OFFSET(AI79,1,0,$Q77-2)))</f>
        <v>0</v>
      </c>
      <c r="AJ79" s="257">
        <f ca="1">IF($Q77=2,IF(AND(ACOMPANHAMENTO="PLE",ISNUMBER($E77)),SUMIF((OFFSET(CÁLCULO!$BC$15:$BU$15,$E77,0,OFFSET(ORÇAMENTO!$D$15,CRONO!$E77,0))),"="&amp;CRONO!AJ$12,OFFSET(CÁLCULO!$AJ$15:$BB$15,$E77,0,OFFSET(ORÇAMENTO!$D$15,CRONO!$E77,0)))+IF(AND($E79&lt;&gt;"",$E79&lt;&gt;0),SUMIF(CÁLCULO!$BC$15:$BU$710,"="&amp;CRONO!AJ$12,CÁLCULO!$AJ$15:$BB$710)/(ORÇAMENTO!$X$15-CÁLCULO.TotalAdmLocal)*CRONO!$E79,0),AJ78*$R77),SUMIF(OFFSET($R79,1,0,$Q77-2),($L77+1)&amp;"$",OFFSET(AJ79,1,0,$Q77-2)))</f>
        <v>0</v>
      </c>
      <c r="AK79" s="257">
        <f ca="1">IF($Q77=2,IF(AND(ACOMPANHAMENTO="PLE",ISNUMBER($E77)),SUMIF((OFFSET(CÁLCULO!$BC$15:$BU$15,$E77,0,OFFSET(ORÇAMENTO!$D$15,CRONO!$E77,0))),"="&amp;CRONO!AK$12,OFFSET(CÁLCULO!$AJ$15:$BB$15,$E77,0,OFFSET(ORÇAMENTO!$D$15,CRONO!$E77,0)))+IF(AND($E79&lt;&gt;"",$E79&lt;&gt;0),SUMIF(CÁLCULO!$BC$15:$BU$710,"="&amp;CRONO!AK$12,CÁLCULO!$AJ$15:$BB$710)/(ORÇAMENTO!$X$15-CÁLCULO.TotalAdmLocal)*CRONO!$E79,0),AK78*$R77),SUMIF(OFFSET($R79,1,0,$Q77-2),($L77+1)&amp;"$",OFFSET(AK79,1,0,$Q77-2)))</f>
        <v>0</v>
      </c>
      <c r="AL79" s="257">
        <f ca="1">IF($Q77=2,IF(AND(ACOMPANHAMENTO="PLE",ISNUMBER($E77)),SUMIF((OFFSET(CÁLCULO!$BC$15:$BU$15,$E77,0,OFFSET(ORÇAMENTO!$D$15,CRONO!$E77,0))),"="&amp;CRONO!AL$12,OFFSET(CÁLCULO!$AJ$15:$BB$15,$E77,0,OFFSET(ORÇAMENTO!$D$15,CRONO!$E77,0)))+IF(AND($E79&lt;&gt;"",$E79&lt;&gt;0),SUMIF(CÁLCULO!$BC$15:$BU$710,"="&amp;CRONO!AL$12,CÁLCULO!$AJ$15:$BB$710)/(ORÇAMENTO!$X$15-CÁLCULO.TotalAdmLocal)*CRONO!$E79,0),AL78*$R77),SUMIF(OFFSET($R79,1,0,$Q77-2),($L77+1)&amp;"$",OFFSET(AL79,1,0,$Q77-2)))</f>
        <v>0</v>
      </c>
      <c r="AM79" s="257">
        <f ca="1">IF($Q77=2,IF(AND(ACOMPANHAMENTO="PLE",ISNUMBER($E77)),SUMIF((OFFSET(CÁLCULO!$BC$15:$BU$15,$E77,0,OFFSET(ORÇAMENTO!$D$15,CRONO!$E77,0))),"="&amp;CRONO!AM$12,OFFSET(CÁLCULO!$AJ$15:$BB$15,$E77,0,OFFSET(ORÇAMENTO!$D$15,CRONO!$E77,0)))+IF(AND($E79&lt;&gt;"",$E79&lt;&gt;0),SUMIF(CÁLCULO!$BC$15:$BU$710,"="&amp;CRONO!AM$12,CÁLCULO!$AJ$15:$BB$710)/(ORÇAMENTO!$X$15-CÁLCULO.TotalAdmLocal)*CRONO!$E79,0),AM78*$R77),SUMIF(OFFSET($R79,1,0,$Q77-2),($L77+1)&amp;"$",OFFSET(AM79,1,0,$Q77-2)))</f>
        <v>0</v>
      </c>
      <c r="AN79" s="257">
        <f ca="1">IF($Q77=2,IF(AND(ACOMPANHAMENTO="PLE",ISNUMBER($E77)),SUMIF((OFFSET(CÁLCULO!$BC$15:$BU$15,$E77,0,OFFSET(ORÇAMENTO!$D$15,CRONO!$E77,0))),"="&amp;CRONO!AN$12,OFFSET(CÁLCULO!$AJ$15:$BB$15,$E77,0,OFFSET(ORÇAMENTO!$D$15,CRONO!$E77,0)))+IF(AND($E79&lt;&gt;"",$E79&lt;&gt;0),SUMIF(CÁLCULO!$BC$15:$BU$710,"="&amp;CRONO!AN$12,CÁLCULO!$AJ$15:$BB$710)/(ORÇAMENTO!$X$15-CÁLCULO.TotalAdmLocal)*CRONO!$E79,0),AN78*$R77),SUMIF(OFFSET($R79,1,0,$Q77-2),($L77+1)&amp;"$",OFFSET(AN79,1,0,$Q77-2)))</f>
        <v>0</v>
      </c>
      <c r="AO79" s="257">
        <f ca="1">IF($Q77=2,IF(AND(ACOMPANHAMENTO="PLE",ISNUMBER($E77)),SUMIF((OFFSET(CÁLCULO!$BC$15:$BU$15,$E77,0,OFFSET(ORÇAMENTO!$D$15,CRONO!$E77,0))),"="&amp;CRONO!AO$12,OFFSET(CÁLCULO!$AJ$15:$BB$15,$E77,0,OFFSET(ORÇAMENTO!$D$15,CRONO!$E77,0)))+IF(AND($E79&lt;&gt;"",$E79&lt;&gt;0),SUMIF(CÁLCULO!$BC$15:$BU$710,"="&amp;CRONO!AO$12,CÁLCULO!$AJ$15:$BB$710)/(ORÇAMENTO!$X$15-CÁLCULO.TotalAdmLocal)*CRONO!$E79,0),AO78*$R77),SUMIF(OFFSET($R79,1,0,$Q77-2),($L77+1)&amp;"$",OFFSET(AO79,1,0,$Q77-2)))</f>
        <v>0</v>
      </c>
      <c r="AP79" s="257">
        <f ca="1">IF($Q77=2,IF(AND(ACOMPANHAMENTO="PLE",ISNUMBER($E77)),SUMIF((OFFSET(CÁLCULO!$BC$15:$BU$15,$E77,0,OFFSET(ORÇAMENTO!$D$15,CRONO!$E77,0))),"="&amp;CRONO!AP$12,OFFSET(CÁLCULO!$AJ$15:$BB$15,$E77,0,OFFSET(ORÇAMENTO!$D$15,CRONO!$E77,0)))+IF(AND($E79&lt;&gt;"",$E79&lt;&gt;0),SUMIF(CÁLCULO!$BC$15:$BU$710,"="&amp;CRONO!AP$12,CÁLCULO!$AJ$15:$BB$710)/(ORÇAMENTO!$X$15-CÁLCULO.TotalAdmLocal)*CRONO!$E79,0),AP78*$R77),SUMIF(OFFSET($R79,1,0,$Q77-2),($L77+1)&amp;"$",OFFSET(AP79,1,0,$Q77-2)))</f>
        <v>0</v>
      </c>
      <c r="AQ79" s="262">
        <f ca="1">IF($Q77=2,IF(AND(ACOMPANHAMENTO="PLE",ISNUMBER($E77)),SUMIF((OFFSET(CÁLCULO!$BC$15:$BU$15,$E77,0,OFFSET(ORÇAMENTO!$D$15,CRONO!$E77,0))),"="&amp;CRONO!AQ$12,OFFSET(CÁLCULO!$AJ$15:$BB$15,$E77,0,OFFSET(ORÇAMENTO!$D$15,CRONO!$E77,0)))+IF(AND($E79&lt;&gt;"",$E79&lt;&gt;0),SUMIF(CÁLCULO!$BC$15:$BU$710,"="&amp;CRONO!AQ$12,CÁLCULO!$AJ$15:$BB$710)/(ORÇAMENTO!$X$15-CÁLCULO.TotalAdmLocal)*CRONO!$E79,0),AQ78*$R77),SUMIF(OFFSET($R79,1,0,$Q77-2),($L77+1)&amp;"$",OFFSET(AQ79,1,0,$Q77-2)))</f>
        <v>0</v>
      </c>
    </row>
    <row r="80" spans="1:44" x14ac:dyDescent="0.25">
      <c r="A80" s="238">
        <f ca="1">OFFSET(A80,-3,0)+1</f>
        <v>23</v>
      </c>
      <c r="B80" s="238">
        <f ca="1">IF($Q80&lt;&gt;2,0,IF($R80=0,1,IF(E81&gt;0,OFFSET(QCI!$M$13,SUBSTITUTE(E81,".",""),0),OFFSET(ORÇAMENTO!$AA$15,CRONO!$E80,0))/$R80))</f>
        <v>1</v>
      </c>
      <c r="C80" s="238">
        <f ca="1">IF($Q80&lt;&gt;2,0,IF($R80=0,1,IF(E81&gt;0,OFFSET(QCI!$N$13,SUBSTITUTE(E81,".",""),0),OFFSET(ORÇAMENTO!$AB$15,CRONO!$E80,0))/$R80))</f>
        <v>1</v>
      </c>
      <c r="D80" s="241">
        <f ca="1">IF(AND($Q80=2,ACOMPANHAMENTO="BM"),D81,D82/$R80)</f>
        <v>0</v>
      </c>
      <c r="E80" s="238">
        <f ca="1">IF(A80&lt;=ORÇAMENTO.MáximoListaCrono,MATCH(A80,ORÇAMENTO.ListaCrono,0),NA())</f>
        <v>657</v>
      </c>
      <c r="F80" s="238" t="str">
        <f ca="1">IF(AND($E81&lt;&gt;-1,$R80&gt;0),"F","")</f>
        <v/>
      </c>
      <c r="G80" s="242" t="str">
        <f ca="1">IF(OR(R80=0,R80=""),"Linha",IF(AND(OR(ACOMPANHAMENTO="PLE",$Q80&lt;&gt;2),$E81=0),"Linha",1-SUM(T80:AR80)))</f>
        <v>Linha</v>
      </c>
      <c r="H80" s="243" t="str">
        <f ca="1">IF($E81=0,OFFSET(ORÇAMENTO!O$15,$E80,0),IF($E81&lt;&gt;-1,OFFSET(QCI!$D$13,$E81,0),""))</f>
        <v>1.22.</v>
      </c>
      <c r="I80" s="244" t="str">
        <f ca="1">IF($E81=0,OFFSET(ORÇAMENTO!R$15,$E80,0),IF($E81&lt;&gt;-1,OFFSET(QCI!$G$13,$E81,0),""))</f>
        <v>SISTEMA DE PROTEÇÃO CONTRA DESCARGAS ATMOSFÉRICAS (SPDA)</v>
      </c>
      <c r="J80" s="244"/>
      <c r="K80" s="244"/>
      <c r="L80" s="245">
        <f ca="1">IF($E81=0,OFFSET(ORÇAMENTO!C$15,$E80,0),1)</f>
        <v>2</v>
      </c>
      <c r="M80" s="246">
        <f ca="1">IF($E81=-1,0,IF(M$13&lt;=$L80,IF(ISERROR(MATCH(M$13,OFFSET($L80,1,0,ROW($L$98)-ROW($L80)-1),0)),ROW($L$98)-ROW($L80)-1,MATCH(M$13,OFFSET($L80,1,0,ROW($L$98)-ROW($L80)-1),0)-1),0))</f>
        <v>8</v>
      </c>
      <c r="N80" s="246">
        <f ca="1">IF($E81=-1,0,IF(N$13&lt;=$L80,IF(ISERROR(MATCH(N$13,OFFSET($L80,1,0,ROW($L$98)-ROW($L80)-1),0)),ROW($L$98)-ROW($L80)-1,MATCH(N$13,OFFSET($L80,1,0,ROW($L$98)-ROW($L80)-1),0)-1),0))</f>
        <v>2</v>
      </c>
      <c r="O80" s="246">
        <f ca="1">IF($E81=-1,0,IF(O$13&lt;=$L80,IF(ISERROR(MATCH(O$13,OFFSET($L80,1,0,ROW($L$98)-ROW($L80)-1),0)),ROW($L$98)-ROW($L80)-1,MATCH(O$13,OFFSET($L80,1,0,ROW($L$98)-ROW($L80)-1),0)-1),0))</f>
        <v>0</v>
      </c>
      <c r="P80" s="246">
        <f ca="1">IF($E81=-1,0,IF(P$13&lt;=$L80,IF(ISERROR(MATCH(P$13,OFFSET($L80,1,0,ROW($L$98)-ROW($L80)-1),0)),ROW($L$98)-ROW($L80)-1,MATCH(P$13,OFFSET($L80,1,0,ROW($L$98)-ROW($L80)-1),0)-1),0))</f>
        <v>0</v>
      </c>
      <c r="Q80" s="246">
        <f ca="1">MIN(OFFSET(L80,0,1,,L80))</f>
        <v>2</v>
      </c>
      <c r="R80" s="247">
        <f ca="1">IF($E81=0,OFFSET(ORÇAMENTO!X$15,$E80,0),IF($E81&lt;&gt;-1,OFFSET(QCI!$O$13,$E81,0),""))</f>
        <v>0</v>
      </c>
      <c r="S80" s="248" t="s">
        <v>272</v>
      </c>
      <c r="T80" s="249">
        <f t="shared" ref="T80:AQ80" ca="1" si="26">IF(AND($Q80=2,ACOMPANHAMENTO="BM"),T81,T82/$R80)</f>
        <v>0</v>
      </c>
      <c r="U80" s="241">
        <f t="shared" ca="1" si="26"/>
        <v>0</v>
      </c>
      <c r="V80" s="241">
        <f t="shared" ca="1" si="26"/>
        <v>0</v>
      </c>
      <c r="W80" s="241">
        <f t="shared" ca="1" si="26"/>
        <v>0</v>
      </c>
      <c r="X80" s="241">
        <f t="shared" ca="1" si="26"/>
        <v>0</v>
      </c>
      <c r="Y80" s="241">
        <f t="shared" ca="1" si="26"/>
        <v>0</v>
      </c>
      <c r="Z80" s="241">
        <f t="shared" ca="1" si="26"/>
        <v>0</v>
      </c>
      <c r="AA80" s="241">
        <f t="shared" ca="1" si="26"/>
        <v>0</v>
      </c>
      <c r="AB80" s="241">
        <f t="shared" ca="1" si="26"/>
        <v>0</v>
      </c>
      <c r="AC80" s="241">
        <f t="shared" ca="1" si="26"/>
        <v>0</v>
      </c>
      <c r="AD80" s="241">
        <f t="shared" ca="1" si="26"/>
        <v>0</v>
      </c>
      <c r="AE80" s="250">
        <f t="shared" ca="1" si="26"/>
        <v>0</v>
      </c>
      <c r="AF80" s="249">
        <f t="shared" ca="1" si="26"/>
        <v>0</v>
      </c>
      <c r="AG80" s="241">
        <f t="shared" ca="1" si="26"/>
        <v>0.15</v>
      </c>
      <c r="AH80" s="241">
        <f t="shared" ca="1" si="26"/>
        <v>0.1</v>
      </c>
      <c r="AI80" s="241">
        <f t="shared" ca="1" si="26"/>
        <v>0.3</v>
      </c>
      <c r="AJ80" s="241">
        <f t="shared" ca="1" si="26"/>
        <v>0.2</v>
      </c>
      <c r="AK80" s="241">
        <f t="shared" ca="1" si="26"/>
        <v>0.15</v>
      </c>
      <c r="AL80" s="241">
        <f t="shared" ca="1" si="26"/>
        <v>0.1</v>
      </c>
      <c r="AM80" s="241">
        <f t="shared" ca="1" si="26"/>
        <v>0</v>
      </c>
      <c r="AN80" s="241">
        <f t="shared" ca="1" si="26"/>
        <v>0</v>
      </c>
      <c r="AO80" s="241">
        <f t="shared" ca="1" si="26"/>
        <v>0</v>
      </c>
      <c r="AP80" s="241">
        <f t="shared" ca="1" si="26"/>
        <v>0</v>
      </c>
      <c r="AQ80" s="250">
        <f t="shared" ca="1" si="26"/>
        <v>0</v>
      </c>
    </row>
    <row r="81" spans="1:44" ht="12.75" customHeight="1" x14ac:dyDescent="0.25">
      <c r="D81" s="658"/>
      <c r="E81" s="238">
        <f ca="1">IF(ISERROR(E80),IF(1+COUNTIF($L$13:OFFSET(L80,-1,0),1)&lt;=MAX(QCI!$D$13:$D$24),1+COUNTIF($L$13:OFFSET(L80,-1,0),1),-1),0)</f>
        <v>0</v>
      </c>
      <c r="F81" s="238" t="str">
        <f ca="1">IF(AND($E81&lt;&gt;-1,$R80&gt;0),"F","")</f>
        <v/>
      </c>
      <c r="G81" s="251" t="str">
        <f ca="1">IF(OR(R80=0,R80=""),"vazia",IF(AND(OR(ACOMPANHAMENTO="PLE",$Q80&lt;&gt;2),$E81=0),"calculada","--&gt;"))</f>
        <v>vazia</v>
      </c>
      <c r="H81" s="252"/>
      <c r="I81" s="253" t="str">
        <f ca="1">IF(AND(G80&lt;&gt;0,ISNUMBER(G80)),"PREENCHA ESTA LINHA --&gt;","")</f>
        <v/>
      </c>
      <c r="J81" s="253"/>
      <c r="K81" s="253"/>
      <c r="L81" s="254"/>
      <c r="M81" s="254"/>
      <c r="N81" s="254"/>
      <c r="O81" s="254"/>
      <c r="P81" s="254"/>
      <c r="Q81" s="254"/>
      <c r="R81" s="255"/>
      <c r="S81" s="256"/>
      <c r="T81" s="659"/>
      <c r="U81" s="658"/>
      <c r="V81" s="658"/>
      <c r="W81" s="658"/>
      <c r="X81" s="658"/>
      <c r="Y81" s="658"/>
      <c r="Z81" s="658"/>
      <c r="AA81" s="658"/>
      <c r="AB81" s="658"/>
      <c r="AC81" s="658"/>
      <c r="AD81" s="658"/>
      <c r="AE81" s="660"/>
      <c r="AF81" s="659"/>
      <c r="AG81" s="658">
        <v>0.15</v>
      </c>
      <c r="AH81" s="658">
        <v>0.1</v>
      </c>
      <c r="AI81" s="658">
        <v>0.3</v>
      </c>
      <c r="AJ81" s="658">
        <v>0.2</v>
      </c>
      <c r="AK81" s="658">
        <v>0.15</v>
      </c>
      <c r="AL81" s="658">
        <v>0.1</v>
      </c>
      <c r="AM81" s="658"/>
      <c r="AN81" s="658"/>
      <c r="AO81" s="658"/>
      <c r="AP81" s="658"/>
      <c r="AQ81" s="660"/>
      <c r="AR81" s="618"/>
    </row>
    <row r="82" spans="1:44" ht="0.15" hidden="1" customHeight="1" x14ac:dyDescent="0.25">
      <c r="D82" s="257">
        <f ca="1">IF($Q80=2,IF(AND(ACOMPANHAMENTO="PLE",ISNUMBER($E80)),SUMIF((OFFSET(CÁLCULO!$BC$15:$BU$15,$E80,0,OFFSET(ORÇAMENTO!$D$15,CRONO!$E80,0))),"="&amp;CRONO!D$12,OFFSET(CÁLCULO!$AJ$15:$BB$15,$E80,0,OFFSET(ORÇAMENTO!$D$15,CRONO!$E80,0)))+IF(AND($E82&lt;&gt;"",$E82&lt;&gt;0),SUMIF(CÁLCULO!$BC$15:$BU$710,"="&amp;CRONO!D$12,CÁLCULO!$AJ$15:$BB$710)/(ORÇAMENTO!$X$15-CÁLCULO.TotalAdmLocal)*CRONO!$E82,0),D81*$R80),SUMIF(OFFSET($R82,1,0,$Q80-2),($L80+1)&amp;"$",OFFSET(D82,1,0,$Q80-2)))</f>
        <v>0</v>
      </c>
      <c r="E82" s="238">
        <f ca="1">IF(OR($Q80&lt;&gt;2,AUTOEVENTO&lt;&gt;"manual",$E81&gt;0),"",SUMIF(OFFSET(CÁLCULO!$M$15,CRONO!$E80,0,OFFSET(ORÇAMENTO!$D$15,CRONO!$E80,0)),1,OFFSET(ORÇAMENTO!$X$15,CRONO!$E80,0,OFFSET(ORÇAMENTO!$D$15,CRONO!$E80,0))))</f>
        <v>0</v>
      </c>
      <c r="G82" s="258"/>
      <c r="R82" s="259" t="str">
        <f ca="1">L80&amp;"$"</f>
        <v>2$</v>
      </c>
      <c r="S82" s="260"/>
      <c r="T82" s="261">
        <f ca="1">IF($Q80=2,IF(AND(ACOMPANHAMENTO="PLE",ISNUMBER($E80)),SUMIF((OFFSET(CÁLCULO!$BC$15:$BU$15,$E80,0,OFFSET(ORÇAMENTO!$D$15,CRONO!$E80,0))),"&lt;="&amp;CRONO!T$12,OFFSET(CÁLCULO!$AJ$15:$BB$15,$E80,0,OFFSET(ORÇAMENTO!$D$15,CRONO!$E80,0)))+IF(AND($E82&lt;&gt;"",$E82&lt;&gt;0),SUMIF(CÁLCULO!$BC$15:$BU$710,"&lt;="&amp;CRONO!T$12,CÁLCULO!$AJ$15:$BB$710)/(ORÇAMENTO!$X$15-CÁLCULO.TotalAdmLocal)*CRONO!$E82,0),T81*$R80),SUMIF(OFFSET($R82,1,0,$Q80-2),($L80+1)&amp;"$",OFFSET(T82,1,0,$Q80-2)))</f>
        <v>0</v>
      </c>
      <c r="U82" s="257">
        <f ca="1">IF($Q80=2,IF(AND(ACOMPANHAMENTO="PLE",ISNUMBER($E80)),SUMIF((OFFSET(CÁLCULO!$BC$15:$BU$15,$E80,0,OFFSET(ORÇAMENTO!$D$15,CRONO!$E80,0))),"="&amp;CRONO!U$12,OFFSET(CÁLCULO!$AJ$15:$BB$15,$E80,0,OFFSET(ORÇAMENTO!$D$15,CRONO!$E80,0)))+IF(AND($E82&lt;&gt;"",$E82&lt;&gt;0),SUMIF(CÁLCULO!$BC$15:$BU$710,"="&amp;CRONO!U$12,CÁLCULO!$AJ$15:$BB$710)/(ORÇAMENTO!$X$15-CÁLCULO.TotalAdmLocal)*CRONO!$E82,0),U81*$R80),SUMIF(OFFSET($R82,1,0,$Q80-2),($L80+1)&amp;"$",OFFSET(U82,1,0,$Q80-2)))</f>
        <v>0</v>
      </c>
      <c r="V82" s="257">
        <f ca="1">IF($Q80=2,IF(AND(ACOMPANHAMENTO="PLE",ISNUMBER($E80)),SUMIF((OFFSET(CÁLCULO!$BC$15:$BU$15,$E80,0,OFFSET(ORÇAMENTO!$D$15,CRONO!$E80,0))),"="&amp;CRONO!V$12,OFFSET(CÁLCULO!$AJ$15:$BB$15,$E80,0,OFFSET(ORÇAMENTO!$D$15,CRONO!$E80,0)))+IF(AND($E82&lt;&gt;"",$E82&lt;&gt;0),SUMIF(CÁLCULO!$BC$15:$BU$710,"="&amp;CRONO!V$12,CÁLCULO!$AJ$15:$BB$710)/(ORÇAMENTO!$X$15-CÁLCULO.TotalAdmLocal)*CRONO!$E82,0),V81*$R80),SUMIF(OFFSET($R82,1,0,$Q80-2),($L80+1)&amp;"$",OFFSET(V82,1,0,$Q80-2)))</f>
        <v>0</v>
      </c>
      <c r="W82" s="257">
        <f ca="1">IF($Q80=2,IF(AND(ACOMPANHAMENTO="PLE",ISNUMBER($E80)),SUMIF((OFFSET(CÁLCULO!$BC$15:$BU$15,$E80,0,OFFSET(ORÇAMENTO!$D$15,CRONO!$E80,0))),"="&amp;CRONO!W$12,OFFSET(CÁLCULO!$AJ$15:$BB$15,$E80,0,OFFSET(ORÇAMENTO!$D$15,CRONO!$E80,0)))+IF(AND($E82&lt;&gt;"",$E82&lt;&gt;0),SUMIF(CÁLCULO!$BC$15:$BU$710,"="&amp;CRONO!W$12,CÁLCULO!$AJ$15:$BB$710)/(ORÇAMENTO!$X$15-CÁLCULO.TotalAdmLocal)*CRONO!$E82,0),W81*$R80),SUMIF(OFFSET($R82,1,0,$Q80-2),($L80+1)&amp;"$",OFFSET(W82,1,0,$Q80-2)))</f>
        <v>0</v>
      </c>
      <c r="X82" s="257">
        <f ca="1">IF($Q80=2,IF(AND(ACOMPANHAMENTO="PLE",ISNUMBER($E80)),SUMIF((OFFSET(CÁLCULO!$BC$15:$BU$15,$E80,0,OFFSET(ORÇAMENTO!$D$15,CRONO!$E80,0))),"="&amp;CRONO!X$12,OFFSET(CÁLCULO!$AJ$15:$BB$15,$E80,0,OFFSET(ORÇAMENTO!$D$15,CRONO!$E80,0)))+IF(AND($E82&lt;&gt;"",$E82&lt;&gt;0),SUMIF(CÁLCULO!$BC$15:$BU$710,"="&amp;CRONO!X$12,CÁLCULO!$AJ$15:$BB$710)/(ORÇAMENTO!$X$15-CÁLCULO.TotalAdmLocal)*CRONO!$E82,0),X81*$R80),SUMIF(OFFSET($R82,1,0,$Q80-2),($L80+1)&amp;"$",OFFSET(X82,1,0,$Q80-2)))</f>
        <v>0</v>
      </c>
      <c r="Y82" s="257">
        <f ca="1">IF($Q80=2,IF(AND(ACOMPANHAMENTO="PLE",ISNUMBER($E80)),SUMIF((OFFSET(CÁLCULO!$BC$15:$BU$15,$E80,0,OFFSET(ORÇAMENTO!$D$15,CRONO!$E80,0))),"="&amp;CRONO!Y$12,OFFSET(CÁLCULO!$AJ$15:$BB$15,$E80,0,OFFSET(ORÇAMENTO!$D$15,CRONO!$E80,0)))+IF(AND($E82&lt;&gt;"",$E82&lt;&gt;0),SUMIF(CÁLCULO!$BC$15:$BU$710,"="&amp;CRONO!Y$12,CÁLCULO!$AJ$15:$BB$710)/(ORÇAMENTO!$X$15-CÁLCULO.TotalAdmLocal)*CRONO!$E82,0),Y81*$R80),SUMIF(OFFSET($R82,1,0,$Q80-2),($L80+1)&amp;"$",OFFSET(Y82,1,0,$Q80-2)))</f>
        <v>0</v>
      </c>
      <c r="Z82" s="257">
        <f ca="1">IF($Q80=2,IF(AND(ACOMPANHAMENTO="PLE",ISNUMBER($E80)),SUMIF((OFFSET(CÁLCULO!$BC$15:$BU$15,$E80,0,OFFSET(ORÇAMENTO!$D$15,CRONO!$E80,0))),"="&amp;CRONO!Z$12,OFFSET(CÁLCULO!$AJ$15:$BB$15,$E80,0,OFFSET(ORÇAMENTO!$D$15,CRONO!$E80,0)))+IF(AND($E82&lt;&gt;"",$E82&lt;&gt;0),SUMIF(CÁLCULO!$BC$15:$BU$710,"="&amp;CRONO!Z$12,CÁLCULO!$AJ$15:$BB$710)/(ORÇAMENTO!$X$15-CÁLCULO.TotalAdmLocal)*CRONO!$E82,0),Z81*$R80),SUMIF(OFFSET($R82,1,0,$Q80-2),($L80+1)&amp;"$",OFFSET(Z82,1,0,$Q80-2)))</f>
        <v>0</v>
      </c>
      <c r="AA82" s="257">
        <f ca="1">IF($Q80=2,IF(AND(ACOMPANHAMENTO="PLE",ISNUMBER($E80)),SUMIF((OFFSET(CÁLCULO!$BC$15:$BU$15,$E80,0,OFFSET(ORÇAMENTO!$D$15,CRONO!$E80,0))),"="&amp;CRONO!AA$12,OFFSET(CÁLCULO!$AJ$15:$BB$15,$E80,0,OFFSET(ORÇAMENTO!$D$15,CRONO!$E80,0)))+IF(AND($E82&lt;&gt;"",$E82&lt;&gt;0),SUMIF(CÁLCULO!$BC$15:$BU$710,"="&amp;CRONO!AA$12,CÁLCULO!$AJ$15:$BB$710)/(ORÇAMENTO!$X$15-CÁLCULO.TotalAdmLocal)*CRONO!$E82,0),AA81*$R80),SUMIF(OFFSET($R82,1,0,$Q80-2),($L80+1)&amp;"$",OFFSET(AA82,1,0,$Q80-2)))</f>
        <v>0</v>
      </c>
      <c r="AB82" s="257">
        <f ca="1">IF($Q80=2,IF(AND(ACOMPANHAMENTO="PLE",ISNUMBER($E80)),SUMIF((OFFSET(CÁLCULO!$BC$15:$BU$15,$E80,0,OFFSET(ORÇAMENTO!$D$15,CRONO!$E80,0))),"="&amp;CRONO!AB$12,OFFSET(CÁLCULO!$AJ$15:$BB$15,$E80,0,OFFSET(ORÇAMENTO!$D$15,CRONO!$E80,0)))+IF(AND($E82&lt;&gt;"",$E82&lt;&gt;0),SUMIF(CÁLCULO!$BC$15:$BU$710,"="&amp;CRONO!AB$12,CÁLCULO!$AJ$15:$BB$710)/(ORÇAMENTO!$X$15-CÁLCULO.TotalAdmLocal)*CRONO!$E82,0),AB81*$R80),SUMIF(OFFSET($R82,1,0,$Q80-2),($L80+1)&amp;"$",OFFSET(AB82,1,0,$Q80-2)))</f>
        <v>0</v>
      </c>
      <c r="AC82" s="257">
        <f ca="1">IF($Q80=2,IF(AND(ACOMPANHAMENTO="PLE",ISNUMBER($E80)),SUMIF((OFFSET(CÁLCULO!$BC$15:$BU$15,$E80,0,OFFSET(ORÇAMENTO!$D$15,CRONO!$E80,0))),"="&amp;CRONO!AC$12,OFFSET(CÁLCULO!$AJ$15:$BB$15,$E80,0,OFFSET(ORÇAMENTO!$D$15,CRONO!$E80,0)))+IF(AND($E82&lt;&gt;"",$E82&lt;&gt;0),SUMIF(CÁLCULO!$BC$15:$BU$710,"="&amp;CRONO!AC$12,CÁLCULO!$AJ$15:$BB$710)/(ORÇAMENTO!$X$15-CÁLCULO.TotalAdmLocal)*CRONO!$E82,0),AC81*$R80),SUMIF(OFFSET($R82,1,0,$Q80-2),($L80+1)&amp;"$",OFFSET(AC82,1,0,$Q80-2)))</f>
        <v>0</v>
      </c>
      <c r="AD82" s="257">
        <f ca="1">IF($Q80=2,IF(AND(ACOMPANHAMENTO="PLE",ISNUMBER($E80)),SUMIF((OFFSET(CÁLCULO!$BC$15:$BU$15,$E80,0,OFFSET(ORÇAMENTO!$D$15,CRONO!$E80,0))),"="&amp;CRONO!AD$12,OFFSET(CÁLCULO!$AJ$15:$BB$15,$E80,0,OFFSET(ORÇAMENTO!$D$15,CRONO!$E80,0)))+IF(AND($E82&lt;&gt;"",$E82&lt;&gt;0),SUMIF(CÁLCULO!$BC$15:$BU$710,"="&amp;CRONO!AD$12,CÁLCULO!$AJ$15:$BB$710)/(ORÇAMENTO!$X$15-CÁLCULO.TotalAdmLocal)*CRONO!$E82,0),AD81*$R80),SUMIF(OFFSET($R82,1,0,$Q80-2),($L80+1)&amp;"$",OFFSET(AD82,1,0,$Q80-2)))</f>
        <v>0</v>
      </c>
      <c r="AE82" s="262">
        <f ca="1">IF($Q80=2,IF(AND(ACOMPANHAMENTO="PLE",ISNUMBER($E80)),SUMIF((OFFSET(CÁLCULO!$BC$15:$BU$15,$E80,0,OFFSET(ORÇAMENTO!$D$15,CRONO!$E80,0))),"="&amp;CRONO!AE$12,OFFSET(CÁLCULO!$AJ$15:$BB$15,$E80,0,OFFSET(ORÇAMENTO!$D$15,CRONO!$E80,0)))+IF(AND($E82&lt;&gt;"",$E82&lt;&gt;0),SUMIF(CÁLCULO!$BC$15:$BU$710,"="&amp;CRONO!AE$12,CÁLCULO!$AJ$15:$BB$710)/(ORÇAMENTO!$X$15-CÁLCULO.TotalAdmLocal)*CRONO!$E82,0),AE81*$R80),SUMIF(OFFSET($R82,1,0,$Q80-2),($L80+1)&amp;"$",OFFSET(AE82,1,0,$Q80-2)))</f>
        <v>0</v>
      </c>
      <c r="AF82" s="261">
        <f ca="1">IF($Q80=2,IF(AND(ACOMPANHAMENTO="PLE",ISNUMBER($E80)),SUMIF((OFFSET(CÁLCULO!$BC$15:$BU$15,$E80,0,OFFSET(ORÇAMENTO!$D$15,CRONO!$E80,0))),"="&amp;CRONO!AF$12,OFFSET(CÁLCULO!$AJ$15:$BB$15,$E80,0,OFFSET(ORÇAMENTO!$D$15,CRONO!$E80,0)))+IF(AND($E82&lt;&gt;"",$E82&lt;&gt;0),SUMIF(CÁLCULO!$BC$15:$BU$710,"="&amp;CRONO!AF$12,CÁLCULO!$AJ$15:$BB$710)/(ORÇAMENTO!$X$15-CÁLCULO.TotalAdmLocal)*CRONO!$E82,0),AF81*$R80),SUMIF(OFFSET($R82,1,0,$Q80-2),($L80+1)&amp;"$",OFFSET(AF82,1,0,$Q80-2)))</f>
        <v>0</v>
      </c>
      <c r="AG82" s="257">
        <f ca="1">IF($Q80=2,IF(AND(ACOMPANHAMENTO="PLE",ISNUMBER($E80)),SUMIF((OFFSET(CÁLCULO!$BC$15:$BU$15,$E80,0,OFFSET(ORÇAMENTO!$D$15,CRONO!$E80,0))),"="&amp;CRONO!AG$12,OFFSET(CÁLCULO!$AJ$15:$BB$15,$E80,0,OFFSET(ORÇAMENTO!$D$15,CRONO!$E80,0)))+IF(AND($E82&lt;&gt;"",$E82&lt;&gt;0),SUMIF(CÁLCULO!$BC$15:$BU$710,"="&amp;CRONO!AG$12,CÁLCULO!$AJ$15:$BB$710)/(ORÇAMENTO!$X$15-CÁLCULO.TotalAdmLocal)*CRONO!$E82,0),AG81*$R80),SUMIF(OFFSET($R82,1,0,$Q80-2),($L80+1)&amp;"$",OFFSET(AG82,1,0,$Q80-2)))</f>
        <v>0</v>
      </c>
      <c r="AH82" s="257">
        <f ca="1">IF($Q80=2,IF(AND(ACOMPANHAMENTO="PLE",ISNUMBER($E80)),SUMIF((OFFSET(CÁLCULO!$BC$15:$BU$15,$E80,0,OFFSET(ORÇAMENTO!$D$15,CRONO!$E80,0))),"="&amp;CRONO!AH$12,OFFSET(CÁLCULO!$AJ$15:$BB$15,$E80,0,OFFSET(ORÇAMENTO!$D$15,CRONO!$E80,0)))+IF(AND($E82&lt;&gt;"",$E82&lt;&gt;0),SUMIF(CÁLCULO!$BC$15:$BU$710,"="&amp;CRONO!AH$12,CÁLCULO!$AJ$15:$BB$710)/(ORÇAMENTO!$X$15-CÁLCULO.TotalAdmLocal)*CRONO!$E82,0),AH81*$R80),SUMIF(OFFSET($R82,1,0,$Q80-2),($L80+1)&amp;"$",OFFSET(AH82,1,0,$Q80-2)))</f>
        <v>0</v>
      </c>
      <c r="AI82" s="257">
        <f ca="1">IF($Q80=2,IF(AND(ACOMPANHAMENTO="PLE",ISNUMBER($E80)),SUMIF((OFFSET(CÁLCULO!$BC$15:$BU$15,$E80,0,OFFSET(ORÇAMENTO!$D$15,CRONO!$E80,0))),"="&amp;CRONO!AI$12,OFFSET(CÁLCULO!$AJ$15:$BB$15,$E80,0,OFFSET(ORÇAMENTO!$D$15,CRONO!$E80,0)))+IF(AND($E82&lt;&gt;"",$E82&lt;&gt;0),SUMIF(CÁLCULO!$BC$15:$BU$710,"="&amp;CRONO!AI$12,CÁLCULO!$AJ$15:$BB$710)/(ORÇAMENTO!$X$15-CÁLCULO.TotalAdmLocal)*CRONO!$E82,0),AI81*$R80),SUMIF(OFFSET($R82,1,0,$Q80-2),($L80+1)&amp;"$",OFFSET(AI82,1,0,$Q80-2)))</f>
        <v>0</v>
      </c>
      <c r="AJ82" s="257">
        <f ca="1">IF($Q80=2,IF(AND(ACOMPANHAMENTO="PLE",ISNUMBER($E80)),SUMIF((OFFSET(CÁLCULO!$BC$15:$BU$15,$E80,0,OFFSET(ORÇAMENTO!$D$15,CRONO!$E80,0))),"="&amp;CRONO!AJ$12,OFFSET(CÁLCULO!$AJ$15:$BB$15,$E80,0,OFFSET(ORÇAMENTO!$D$15,CRONO!$E80,0)))+IF(AND($E82&lt;&gt;"",$E82&lt;&gt;0),SUMIF(CÁLCULO!$BC$15:$BU$710,"="&amp;CRONO!AJ$12,CÁLCULO!$AJ$15:$BB$710)/(ORÇAMENTO!$X$15-CÁLCULO.TotalAdmLocal)*CRONO!$E82,0),AJ81*$R80),SUMIF(OFFSET($R82,1,0,$Q80-2),($L80+1)&amp;"$",OFFSET(AJ82,1,0,$Q80-2)))</f>
        <v>0</v>
      </c>
      <c r="AK82" s="257">
        <f ca="1">IF($Q80=2,IF(AND(ACOMPANHAMENTO="PLE",ISNUMBER($E80)),SUMIF((OFFSET(CÁLCULO!$BC$15:$BU$15,$E80,0,OFFSET(ORÇAMENTO!$D$15,CRONO!$E80,0))),"="&amp;CRONO!AK$12,OFFSET(CÁLCULO!$AJ$15:$BB$15,$E80,0,OFFSET(ORÇAMENTO!$D$15,CRONO!$E80,0)))+IF(AND($E82&lt;&gt;"",$E82&lt;&gt;0),SUMIF(CÁLCULO!$BC$15:$BU$710,"="&amp;CRONO!AK$12,CÁLCULO!$AJ$15:$BB$710)/(ORÇAMENTO!$X$15-CÁLCULO.TotalAdmLocal)*CRONO!$E82,0),AK81*$R80),SUMIF(OFFSET($R82,1,0,$Q80-2),($L80+1)&amp;"$",OFFSET(AK82,1,0,$Q80-2)))</f>
        <v>0</v>
      </c>
      <c r="AL82" s="257">
        <f ca="1">IF($Q80=2,IF(AND(ACOMPANHAMENTO="PLE",ISNUMBER($E80)),SUMIF((OFFSET(CÁLCULO!$BC$15:$BU$15,$E80,0,OFFSET(ORÇAMENTO!$D$15,CRONO!$E80,0))),"="&amp;CRONO!AL$12,OFFSET(CÁLCULO!$AJ$15:$BB$15,$E80,0,OFFSET(ORÇAMENTO!$D$15,CRONO!$E80,0)))+IF(AND($E82&lt;&gt;"",$E82&lt;&gt;0),SUMIF(CÁLCULO!$BC$15:$BU$710,"="&amp;CRONO!AL$12,CÁLCULO!$AJ$15:$BB$710)/(ORÇAMENTO!$X$15-CÁLCULO.TotalAdmLocal)*CRONO!$E82,0),AL81*$R80),SUMIF(OFFSET($R82,1,0,$Q80-2),($L80+1)&amp;"$",OFFSET(AL82,1,0,$Q80-2)))</f>
        <v>0</v>
      </c>
      <c r="AM82" s="257">
        <f ca="1">IF($Q80=2,IF(AND(ACOMPANHAMENTO="PLE",ISNUMBER($E80)),SUMIF((OFFSET(CÁLCULO!$BC$15:$BU$15,$E80,0,OFFSET(ORÇAMENTO!$D$15,CRONO!$E80,0))),"="&amp;CRONO!AM$12,OFFSET(CÁLCULO!$AJ$15:$BB$15,$E80,0,OFFSET(ORÇAMENTO!$D$15,CRONO!$E80,0)))+IF(AND($E82&lt;&gt;"",$E82&lt;&gt;0),SUMIF(CÁLCULO!$BC$15:$BU$710,"="&amp;CRONO!AM$12,CÁLCULO!$AJ$15:$BB$710)/(ORÇAMENTO!$X$15-CÁLCULO.TotalAdmLocal)*CRONO!$E82,0),AM81*$R80),SUMIF(OFFSET($R82,1,0,$Q80-2),($L80+1)&amp;"$",OFFSET(AM82,1,0,$Q80-2)))</f>
        <v>0</v>
      </c>
      <c r="AN82" s="257">
        <f ca="1">IF($Q80=2,IF(AND(ACOMPANHAMENTO="PLE",ISNUMBER($E80)),SUMIF((OFFSET(CÁLCULO!$BC$15:$BU$15,$E80,0,OFFSET(ORÇAMENTO!$D$15,CRONO!$E80,0))),"="&amp;CRONO!AN$12,OFFSET(CÁLCULO!$AJ$15:$BB$15,$E80,0,OFFSET(ORÇAMENTO!$D$15,CRONO!$E80,0)))+IF(AND($E82&lt;&gt;"",$E82&lt;&gt;0),SUMIF(CÁLCULO!$BC$15:$BU$710,"="&amp;CRONO!AN$12,CÁLCULO!$AJ$15:$BB$710)/(ORÇAMENTO!$X$15-CÁLCULO.TotalAdmLocal)*CRONO!$E82,0),AN81*$R80),SUMIF(OFFSET($R82,1,0,$Q80-2),($L80+1)&amp;"$",OFFSET(AN82,1,0,$Q80-2)))</f>
        <v>0</v>
      </c>
      <c r="AO82" s="257">
        <f ca="1">IF($Q80=2,IF(AND(ACOMPANHAMENTO="PLE",ISNUMBER($E80)),SUMIF((OFFSET(CÁLCULO!$BC$15:$BU$15,$E80,0,OFFSET(ORÇAMENTO!$D$15,CRONO!$E80,0))),"="&amp;CRONO!AO$12,OFFSET(CÁLCULO!$AJ$15:$BB$15,$E80,0,OFFSET(ORÇAMENTO!$D$15,CRONO!$E80,0)))+IF(AND($E82&lt;&gt;"",$E82&lt;&gt;0),SUMIF(CÁLCULO!$BC$15:$BU$710,"="&amp;CRONO!AO$12,CÁLCULO!$AJ$15:$BB$710)/(ORÇAMENTO!$X$15-CÁLCULO.TotalAdmLocal)*CRONO!$E82,0),AO81*$R80),SUMIF(OFFSET($R82,1,0,$Q80-2),($L80+1)&amp;"$",OFFSET(AO82,1,0,$Q80-2)))</f>
        <v>0</v>
      </c>
      <c r="AP82" s="257">
        <f ca="1">IF($Q80=2,IF(AND(ACOMPANHAMENTO="PLE",ISNUMBER($E80)),SUMIF((OFFSET(CÁLCULO!$BC$15:$BU$15,$E80,0,OFFSET(ORÇAMENTO!$D$15,CRONO!$E80,0))),"="&amp;CRONO!AP$12,OFFSET(CÁLCULO!$AJ$15:$BB$15,$E80,0,OFFSET(ORÇAMENTO!$D$15,CRONO!$E80,0)))+IF(AND($E82&lt;&gt;"",$E82&lt;&gt;0),SUMIF(CÁLCULO!$BC$15:$BU$710,"="&amp;CRONO!AP$12,CÁLCULO!$AJ$15:$BB$710)/(ORÇAMENTO!$X$15-CÁLCULO.TotalAdmLocal)*CRONO!$E82,0),AP81*$R80),SUMIF(OFFSET($R82,1,0,$Q80-2),($L80+1)&amp;"$",OFFSET(AP82,1,0,$Q80-2)))</f>
        <v>0</v>
      </c>
      <c r="AQ82" s="262">
        <f ca="1">IF($Q80=2,IF(AND(ACOMPANHAMENTO="PLE",ISNUMBER($E80)),SUMIF((OFFSET(CÁLCULO!$BC$15:$BU$15,$E80,0,OFFSET(ORÇAMENTO!$D$15,CRONO!$E80,0))),"="&amp;CRONO!AQ$12,OFFSET(CÁLCULO!$AJ$15:$BB$15,$E80,0,OFFSET(ORÇAMENTO!$D$15,CRONO!$E80,0)))+IF(AND($E82&lt;&gt;"",$E82&lt;&gt;0),SUMIF(CÁLCULO!$BC$15:$BU$710,"="&amp;CRONO!AQ$12,CÁLCULO!$AJ$15:$BB$710)/(ORÇAMENTO!$X$15-CÁLCULO.TotalAdmLocal)*CRONO!$E82,0),AQ81*$R80),SUMIF(OFFSET($R82,1,0,$Q80-2),($L80+1)&amp;"$",OFFSET(AQ82,1,0,$Q80-2)))</f>
        <v>0</v>
      </c>
    </row>
    <row r="83" spans="1:44" x14ac:dyDescent="0.25">
      <c r="A83" s="238">
        <f ca="1">OFFSET(A83,-3,0)+1</f>
        <v>24</v>
      </c>
      <c r="B83" s="238">
        <f ca="1">IF($Q83&lt;&gt;2,0,IF($R83=0,1,IF(E84&gt;0,OFFSET(QCI!$M$13,SUBSTITUTE(E84,".",""),0),OFFSET(ORÇAMENTO!$AA$15,CRONO!$E83,0))/$R83))</f>
        <v>1</v>
      </c>
      <c r="C83" s="238">
        <f ca="1">IF($Q83&lt;&gt;2,0,IF($R83=0,1,IF(E84&gt;0,OFFSET(QCI!$N$13,SUBSTITUTE(E84,".",""),0),OFFSET(ORÇAMENTO!$AB$15,CRONO!$E83,0))/$R83))</f>
        <v>1</v>
      </c>
      <c r="D83" s="241">
        <f ca="1">IF(AND($Q83=2,ACOMPANHAMENTO="BM"),D84,D85/$R83)</f>
        <v>0</v>
      </c>
      <c r="E83" s="238">
        <f ca="1">IF(A83&lt;=ORÇAMENTO.MáximoListaCrono,MATCH(A83,ORÇAMENTO.ListaCrono,0),NA())</f>
        <v>673</v>
      </c>
      <c r="F83" s="238" t="str">
        <f ca="1">IF(AND($E84&lt;&gt;-1,$R83&gt;0),"F","")</f>
        <v/>
      </c>
      <c r="G83" s="242" t="str">
        <f ca="1">IF(OR(R83=0,R83=""),"Linha",IF(AND(OR(ACOMPANHAMENTO="PLE",$Q83&lt;&gt;2),$E84=0),"Linha",1-SUM(T83:AR83)))</f>
        <v>Linha</v>
      </c>
      <c r="H83" s="243" t="str">
        <f ca="1">IF($E84=0,OFFSET(ORÇAMENTO!O$15,$E83,0),IF($E84&lt;&gt;-1,OFFSET(QCI!$D$13,$E84,0),""))</f>
        <v>1.23.</v>
      </c>
      <c r="I83" s="244" t="str">
        <f ca="1">IF($E84=0,OFFSET(ORÇAMENTO!R$15,$E83,0),IF($E84&lt;&gt;-1,OFFSET(QCI!$G$13,$E84,0),""))</f>
        <v>SERVIÇOS COMPLEMENTARES</v>
      </c>
      <c r="J83" s="244"/>
      <c r="K83" s="244"/>
      <c r="L83" s="245">
        <f ca="1">IF($E84=0,OFFSET(ORÇAMENTO!C$15,$E83,0),1)</f>
        <v>2</v>
      </c>
      <c r="M83" s="246">
        <f ca="1">IF($E84=-1,0,IF(M$13&lt;=$L83,IF(ISERROR(MATCH(M$13,OFFSET($L83,1,0,ROW($L$98)-ROW($L83)-1),0)),ROW($L$98)-ROW($L83)-1,MATCH(M$13,OFFSET($L83,1,0,ROW($L$98)-ROW($L83)-1),0)-1),0))</f>
        <v>5</v>
      </c>
      <c r="N83" s="246">
        <f ca="1">IF($E84=-1,0,IF(N$13&lt;=$L83,IF(ISERROR(MATCH(N$13,OFFSET($L83,1,0,ROW($L$98)-ROW($L83)-1),0)),ROW($L$98)-ROW($L83)-1,MATCH(N$13,OFFSET($L83,1,0,ROW($L$98)-ROW($L83)-1),0)-1),0))</f>
        <v>2</v>
      </c>
      <c r="O83" s="246">
        <f ca="1">IF($E84=-1,0,IF(O$13&lt;=$L83,IF(ISERROR(MATCH(O$13,OFFSET($L83,1,0,ROW($L$98)-ROW($L83)-1),0)),ROW($L$98)-ROW($L83)-1,MATCH(O$13,OFFSET($L83,1,0,ROW($L$98)-ROW($L83)-1),0)-1),0))</f>
        <v>0</v>
      </c>
      <c r="P83" s="246">
        <f ca="1">IF($E84=-1,0,IF(P$13&lt;=$L83,IF(ISERROR(MATCH(P$13,OFFSET($L83,1,0,ROW($L$98)-ROW($L83)-1),0)),ROW($L$98)-ROW($L83)-1,MATCH(P$13,OFFSET($L83,1,0,ROW($L$98)-ROW($L83)-1),0)-1),0))</f>
        <v>0</v>
      </c>
      <c r="Q83" s="246">
        <f ca="1">MIN(OFFSET(L83,0,1,,L83))</f>
        <v>2</v>
      </c>
      <c r="R83" s="247">
        <f ca="1">IF($E84=0,OFFSET(ORÇAMENTO!X$15,$E83,0),IF($E84&lt;&gt;-1,OFFSET(QCI!$O$13,$E84,0),""))</f>
        <v>0</v>
      </c>
      <c r="S83" s="248" t="s">
        <v>272</v>
      </c>
      <c r="T83" s="249">
        <f t="shared" ref="T83:AQ83" ca="1" si="27">IF(AND($Q83=2,ACOMPANHAMENTO="BM"),T84,T85/$R83)</f>
        <v>0</v>
      </c>
      <c r="U83" s="241">
        <f t="shared" ca="1" si="27"/>
        <v>0</v>
      </c>
      <c r="V83" s="241">
        <f t="shared" ca="1" si="27"/>
        <v>0</v>
      </c>
      <c r="W83" s="241">
        <f t="shared" ca="1" si="27"/>
        <v>0</v>
      </c>
      <c r="X83" s="241">
        <f t="shared" ca="1" si="27"/>
        <v>0</v>
      </c>
      <c r="Y83" s="241">
        <f t="shared" ca="1" si="27"/>
        <v>0</v>
      </c>
      <c r="Z83" s="241">
        <f t="shared" ca="1" si="27"/>
        <v>0</v>
      </c>
      <c r="AA83" s="241">
        <f t="shared" ca="1" si="27"/>
        <v>0</v>
      </c>
      <c r="AB83" s="241">
        <f t="shared" ca="1" si="27"/>
        <v>0</v>
      </c>
      <c r="AC83" s="241">
        <f t="shared" ca="1" si="27"/>
        <v>0</v>
      </c>
      <c r="AD83" s="241">
        <f t="shared" ca="1" si="27"/>
        <v>0</v>
      </c>
      <c r="AE83" s="250">
        <f t="shared" ca="1" si="27"/>
        <v>0</v>
      </c>
      <c r="AF83" s="249">
        <f t="shared" ca="1" si="27"/>
        <v>0</v>
      </c>
      <c r="AG83" s="241">
        <f t="shared" ca="1" si="27"/>
        <v>0</v>
      </c>
      <c r="AH83" s="241">
        <f t="shared" ca="1" si="27"/>
        <v>0</v>
      </c>
      <c r="AI83" s="241">
        <f t="shared" ca="1" si="27"/>
        <v>0</v>
      </c>
      <c r="AJ83" s="241">
        <f t="shared" ca="1" si="27"/>
        <v>0</v>
      </c>
      <c r="AK83" s="241">
        <f t="shared" ca="1" si="27"/>
        <v>0.15</v>
      </c>
      <c r="AL83" s="241">
        <f t="shared" ca="1" si="27"/>
        <v>0.25</v>
      </c>
      <c r="AM83" s="241">
        <f t="shared" ca="1" si="27"/>
        <v>0.15</v>
      </c>
      <c r="AN83" s="241">
        <f t="shared" ca="1" si="27"/>
        <v>0.3</v>
      </c>
      <c r="AO83" s="241">
        <f t="shared" ca="1" si="27"/>
        <v>0.15</v>
      </c>
      <c r="AP83" s="241">
        <f t="shared" ca="1" si="27"/>
        <v>0</v>
      </c>
      <c r="AQ83" s="250">
        <f t="shared" ca="1" si="27"/>
        <v>0</v>
      </c>
    </row>
    <row r="84" spans="1:44" ht="12.75" customHeight="1" x14ac:dyDescent="0.25">
      <c r="D84" s="658"/>
      <c r="E84" s="238">
        <f ca="1">IF(ISERROR(E83),IF(1+COUNTIF($L$13:OFFSET(L83,-1,0),1)&lt;=MAX(QCI!$D$13:$D$24),1+COUNTIF($L$13:OFFSET(L83,-1,0),1),-1),0)</f>
        <v>0</v>
      </c>
      <c r="F84" s="238" t="str">
        <f ca="1">IF(AND($E84&lt;&gt;-1,$R83&gt;0),"F","")</f>
        <v/>
      </c>
      <c r="G84" s="251" t="str">
        <f ca="1">IF(OR(R83=0,R83=""),"vazia",IF(AND(OR(ACOMPANHAMENTO="PLE",$Q83&lt;&gt;2),$E84=0),"calculada","--&gt;"))</f>
        <v>vazia</v>
      </c>
      <c r="H84" s="252"/>
      <c r="I84" s="253" t="str">
        <f ca="1">IF(AND(G83&lt;&gt;0,ISNUMBER(G83)),"PREENCHA ESTA LINHA --&gt;","")</f>
        <v/>
      </c>
      <c r="J84" s="253"/>
      <c r="K84" s="253"/>
      <c r="L84" s="254"/>
      <c r="M84" s="254"/>
      <c r="N84" s="254"/>
      <c r="O84" s="254"/>
      <c r="P84" s="254"/>
      <c r="Q84" s="254"/>
      <c r="R84" s="255"/>
      <c r="S84" s="256"/>
      <c r="T84" s="659"/>
      <c r="U84" s="658"/>
      <c r="V84" s="658"/>
      <c r="W84" s="658"/>
      <c r="X84" s="658"/>
      <c r="Y84" s="658"/>
      <c r="Z84" s="658"/>
      <c r="AA84" s="658"/>
      <c r="AB84" s="658"/>
      <c r="AC84" s="658"/>
      <c r="AD84" s="658"/>
      <c r="AE84" s="660"/>
      <c r="AF84" s="659"/>
      <c r="AG84" s="658"/>
      <c r="AH84" s="658"/>
      <c r="AI84" s="658"/>
      <c r="AJ84" s="658"/>
      <c r="AK84" s="658">
        <v>0.15</v>
      </c>
      <c r="AL84" s="658">
        <v>0.25</v>
      </c>
      <c r="AM84" s="658">
        <v>0.15</v>
      </c>
      <c r="AN84" s="658">
        <v>0.3</v>
      </c>
      <c r="AO84" s="658">
        <v>0.15</v>
      </c>
      <c r="AP84" s="658"/>
      <c r="AQ84" s="660"/>
      <c r="AR84" s="618"/>
    </row>
    <row r="85" spans="1:44" ht="0.15" hidden="1" customHeight="1" x14ac:dyDescent="0.25">
      <c r="D85" s="257">
        <f ca="1">IF($Q83=2,IF(AND(ACOMPANHAMENTO="PLE",ISNUMBER($E83)),SUMIF((OFFSET(CÁLCULO!$BC$15:$BU$15,$E83,0,OFFSET(ORÇAMENTO!$D$15,CRONO!$E83,0))),"="&amp;CRONO!D$12,OFFSET(CÁLCULO!$AJ$15:$BB$15,$E83,0,OFFSET(ORÇAMENTO!$D$15,CRONO!$E83,0)))+IF(AND($E85&lt;&gt;"",$E85&lt;&gt;0),SUMIF(CÁLCULO!$BC$15:$BU$710,"="&amp;CRONO!D$12,CÁLCULO!$AJ$15:$BB$710)/(ORÇAMENTO!$X$15-CÁLCULO.TotalAdmLocal)*CRONO!$E85,0),D84*$R83),SUMIF(OFFSET($R85,1,0,$Q83-2),($L83+1)&amp;"$",OFFSET(D85,1,0,$Q83-2)))</f>
        <v>0</v>
      </c>
      <c r="E85" s="238">
        <f ca="1">IF(OR($Q83&lt;&gt;2,AUTOEVENTO&lt;&gt;"manual",$E84&gt;0),"",SUMIF(OFFSET(CÁLCULO!$M$15,CRONO!$E83,0,OFFSET(ORÇAMENTO!$D$15,CRONO!$E83,0)),1,OFFSET(ORÇAMENTO!$X$15,CRONO!$E83,0,OFFSET(ORÇAMENTO!$D$15,CRONO!$E83,0))))</f>
        <v>0</v>
      </c>
      <c r="G85" s="258"/>
      <c r="R85" s="259" t="str">
        <f ca="1">L83&amp;"$"</f>
        <v>2$</v>
      </c>
      <c r="S85" s="260"/>
      <c r="T85" s="261">
        <f ca="1">IF($Q83=2,IF(AND(ACOMPANHAMENTO="PLE",ISNUMBER($E83)),SUMIF((OFFSET(CÁLCULO!$BC$15:$BU$15,$E83,0,OFFSET(ORÇAMENTO!$D$15,CRONO!$E83,0))),"&lt;="&amp;CRONO!T$12,OFFSET(CÁLCULO!$AJ$15:$BB$15,$E83,0,OFFSET(ORÇAMENTO!$D$15,CRONO!$E83,0)))+IF(AND($E85&lt;&gt;"",$E85&lt;&gt;0),SUMIF(CÁLCULO!$BC$15:$BU$710,"&lt;="&amp;CRONO!T$12,CÁLCULO!$AJ$15:$BB$710)/(ORÇAMENTO!$X$15-CÁLCULO.TotalAdmLocal)*CRONO!$E85,0),T84*$R83),SUMIF(OFFSET($R85,1,0,$Q83-2),($L83+1)&amp;"$",OFFSET(T85,1,0,$Q83-2)))</f>
        <v>0</v>
      </c>
      <c r="U85" s="257">
        <f ca="1">IF($Q83=2,IF(AND(ACOMPANHAMENTO="PLE",ISNUMBER($E83)),SUMIF((OFFSET(CÁLCULO!$BC$15:$BU$15,$E83,0,OFFSET(ORÇAMENTO!$D$15,CRONO!$E83,0))),"="&amp;CRONO!U$12,OFFSET(CÁLCULO!$AJ$15:$BB$15,$E83,0,OFFSET(ORÇAMENTO!$D$15,CRONO!$E83,0)))+IF(AND($E85&lt;&gt;"",$E85&lt;&gt;0),SUMIF(CÁLCULO!$BC$15:$BU$710,"="&amp;CRONO!U$12,CÁLCULO!$AJ$15:$BB$710)/(ORÇAMENTO!$X$15-CÁLCULO.TotalAdmLocal)*CRONO!$E85,0),U84*$R83),SUMIF(OFFSET($R85,1,0,$Q83-2),($L83+1)&amp;"$",OFFSET(U85,1,0,$Q83-2)))</f>
        <v>0</v>
      </c>
      <c r="V85" s="257">
        <f ca="1">IF($Q83=2,IF(AND(ACOMPANHAMENTO="PLE",ISNUMBER($E83)),SUMIF((OFFSET(CÁLCULO!$BC$15:$BU$15,$E83,0,OFFSET(ORÇAMENTO!$D$15,CRONO!$E83,0))),"="&amp;CRONO!V$12,OFFSET(CÁLCULO!$AJ$15:$BB$15,$E83,0,OFFSET(ORÇAMENTO!$D$15,CRONO!$E83,0)))+IF(AND($E85&lt;&gt;"",$E85&lt;&gt;0),SUMIF(CÁLCULO!$BC$15:$BU$710,"="&amp;CRONO!V$12,CÁLCULO!$AJ$15:$BB$710)/(ORÇAMENTO!$X$15-CÁLCULO.TotalAdmLocal)*CRONO!$E85,0),V84*$R83),SUMIF(OFFSET($R85,1,0,$Q83-2),($L83+1)&amp;"$",OFFSET(V85,1,0,$Q83-2)))</f>
        <v>0</v>
      </c>
      <c r="W85" s="257">
        <f ca="1">IF($Q83=2,IF(AND(ACOMPANHAMENTO="PLE",ISNUMBER($E83)),SUMIF((OFFSET(CÁLCULO!$BC$15:$BU$15,$E83,0,OFFSET(ORÇAMENTO!$D$15,CRONO!$E83,0))),"="&amp;CRONO!W$12,OFFSET(CÁLCULO!$AJ$15:$BB$15,$E83,0,OFFSET(ORÇAMENTO!$D$15,CRONO!$E83,0)))+IF(AND($E85&lt;&gt;"",$E85&lt;&gt;0),SUMIF(CÁLCULO!$BC$15:$BU$710,"="&amp;CRONO!W$12,CÁLCULO!$AJ$15:$BB$710)/(ORÇAMENTO!$X$15-CÁLCULO.TotalAdmLocal)*CRONO!$E85,0),W84*$R83),SUMIF(OFFSET($R85,1,0,$Q83-2),($L83+1)&amp;"$",OFFSET(W85,1,0,$Q83-2)))</f>
        <v>0</v>
      </c>
      <c r="X85" s="257">
        <f ca="1">IF($Q83=2,IF(AND(ACOMPANHAMENTO="PLE",ISNUMBER($E83)),SUMIF((OFFSET(CÁLCULO!$BC$15:$BU$15,$E83,0,OFFSET(ORÇAMENTO!$D$15,CRONO!$E83,0))),"="&amp;CRONO!X$12,OFFSET(CÁLCULO!$AJ$15:$BB$15,$E83,0,OFFSET(ORÇAMENTO!$D$15,CRONO!$E83,0)))+IF(AND($E85&lt;&gt;"",$E85&lt;&gt;0),SUMIF(CÁLCULO!$BC$15:$BU$710,"="&amp;CRONO!X$12,CÁLCULO!$AJ$15:$BB$710)/(ORÇAMENTO!$X$15-CÁLCULO.TotalAdmLocal)*CRONO!$E85,0),X84*$R83),SUMIF(OFFSET($R85,1,0,$Q83-2),($L83+1)&amp;"$",OFFSET(X85,1,0,$Q83-2)))</f>
        <v>0</v>
      </c>
      <c r="Y85" s="257">
        <f ca="1">IF($Q83=2,IF(AND(ACOMPANHAMENTO="PLE",ISNUMBER($E83)),SUMIF((OFFSET(CÁLCULO!$BC$15:$BU$15,$E83,0,OFFSET(ORÇAMENTO!$D$15,CRONO!$E83,0))),"="&amp;CRONO!Y$12,OFFSET(CÁLCULO!$AJ$15:$BB$15,$E83,0,OFFSET(ORÇAMENTO!$D$15,CRONO!$E83,0)))+IF(AND($E85&lt;&gt;"",$E85&lt;&gt;0),SUMIF(CÁLCULO!$BC$15:$BU$710,"="&amp;CRONO!Y$12,CÁLCULO!$AJ$15:$BB$710)/(ORÇAMENTO!$X$15-CÁLCULO.TotalAdmLocal)*CRONO!$E85,0),Y84*$R83),SUMIF(OFFSET($R85,1,0,$Q83-2),($L83+1)&amp;"$",OFFSET(Y85,1,0,$Q83-2)))</f>
        <v>0</v>
      </c>
      <c r="Z85" s="257">
        <f ca="1">IF($Q83=2,IF(AND(ACOMPANHAMENTO="PLE",ISNUMBER($E83)),SUMIF((OFFSET(CÁLCULO!$BC$15:$BU$15,$E83,0,OFFSET(ORÇAMENTO!$D$15,CRONO!$E83,0))),"="&amp;CRONO!Z$12,OFFSET(CÁLCULO!$AJ$15:$BB$15,$E83,0,OFFSET(ORÇAMENTO!$D$15,CRONO!$E83,0)))+IF(AND($E85&lt;&gt;"",$E85&lt;&gt;0),SUMIF(CÁLCULO!$BC$15:$BU$710,"="&amp;CRONO!Z$12,CÁLCULO!$AJ$15:$BB$710)/(ORÇAMENTO!$X$15-CÁLCULO.TotalAdmLocal)*CRONO!$E85,0),Z84*$R83),SUMIF(OFFSET($R85,1,0,$Q83-2),($L83+1)&amp;"$",OFFSET(Z85,1,0,$Q83-2)))</f>
        <v>0</v>
      </c>
      <c r="AA85" s="257">
        <f ca="1">IF($Q83=2,IF(AND(ACOMPANHAMENTO="PLE",ISNUMBER($E83)),SUMIF((OFFSET(CÁLCULO!$BC$15:$BU$15,$E83,0,OFFSET(ORÇAMENTO!$D$15,CRONO!$E83,0))),"="&amp;CRONO!AA$12,OFFSET(CÁLCULO!$AJ$15:$BB$15,$E83,0,OFFSET(ORÇAMENTO!$D$15,CRONO!$E83,0)))+IF(AND($E85&lt;&gt;"",$E85&lt;&gt;0),SUMIF(CÁLCULO!$BC$15:$BU$710,"="&amp;CRONO!AA$12,CÁLCULO!$AJ$15:$BB$710)/(ORÇAMENTO!$X$15-CÁLCULO.TotalAdmLocal)*CRONO!$E85,0),AA84*$R83),SUMIF(OFFSET($R85,1,0,$Q83-2),($L83+1)&amp;"$",OFFSET(AA85,1,0,$Q83-2)))</f>
        <v>0</v>
      </c>
      <c r="AB85" s="257">
        <f ca="1">IF($Q83=2,IF(AND(ACOMPANHAMENTO="PLE",ISNUMBER($E83)),SUMIF((OFFSET(CÁLCULO!$BC$15:$BU$15,$E83,0,OFFSET(ORÇAMENTO!$D$15,CRONO!$E83,0))),"="&amp;CRONO!AB$12,OFFSET(CÁLCULO!$AJ$15:$BB$15,$E83,0,OFFSET(ORÇAMENTO!$D$15,CRONO!$E83,0)))+IF(AND($E85&lt;&gt;"",$E85&lt;&gt;0),SUMIF(CÁLCULO!$BC$15:$BU$710,"="&amp;CRONO!AB$12,CÁLCULO!$AJ$15:$BB$710)/(ORÇAMENTO!$X$15-CÁLCULO.TotalAdmLocal)*CRONO!$E85,0),AB84*$R83),SUMIF(OFFSET($R85,1,0,$Q83-2),($L83+1)&amp;"$",OFFSET(AB85,1,0,$Q83-2)))</f>
        <v>0</v>
      </c>
      <c r="AC85" s="257">
        <f ca="1">IF($Q83=2,IF(AND(ACOMPANHAMENTO="PLE",ISNUMBER($E83)),SUMIF((OFFSET(CÁLCULO!$BC$15:$BU$15,$E83,0,OFFSET(ORÇAMENTO!$D$15,CRONO!$E83,0))),"="&amp;CRONO!AC$12,OFFSET(CÁLCULO!$AJ$15:$BB$15,$E83,0,OFFSET(ORÇAMENTO!$D$15,CRONO!$E83,0)))+IF(AND($E85&lt;&gt;"",$E85&lt;&gt;0),SUMIF(CÁLCULO!$BC$15:$BU$710,"="&amp;CRONO!AC$12,CÁLCULO!$AJ$15:$BB$710)/(ORÇAMENTO!$X$15-CÁLCULO.TotalAdmLocal)*CRONO!$E85,0),AC84*$R83),SUMIF(OFFSET($R85,1,0,$Q83-2),($L83+1)&amp;"$",OFFSET(AC85,1,0,$Q83-2)))</f>
        <v>0</v>
      </c>
      <c r="AD85" s="257">
        <f ca="1">IF($Q83=2,IF(AND(ACOMPANHAMENTO="PLE",ISNUMBER($E83)),SUMIF((OFFSET(CÁLCULO!$BC$15:$BU$15,$E83,0,OFFSET(ORÇAMENTO!$D$15,CRONO!$E83,0))),"="&amp;CRONO!AD$12,OFFSET(CÁLCULO!$AJ$15:$BB$15,$E83,0,OFFSET(ORÇAMENTO!$D$15,CRONO!$E83,0)))+IF(AND($E85&lt;&gt;"",$E85&lt;&gt;0),SUMIF(CÁLCULO!$BC$15:$BU$710,"="&amp;CRONO!AD$12,CÁLCULO!$AJ$15:$BB$710)/(ORÇAMENTO!$X$15-CÁLCULO.TotalAdmLocal)*CRONO!$E85,0),AD84*$R83),SUMIF(OFFSET($R85,1,0,$Q83-2),($L83+1)&amp;"$",OFFSET(AD85,1,0,$Q83-2)))</f>
        <v>0</v>
      </c>
      <c r="AE85" s="262">
        <f ca="1">IF($Q83=2,IF(AND(ACOMPANHAMENTO="PLE",ISNUMBER($E83)),SUMIF((OFFSET(CÁLCULO!$BC$15:$BU$15,$E83,0,OFFSET(ORÇAMENTO!$D$15,CRONO!$E83,0))),"="&amp;CRONO!AE$12,OFFSET(CÁLCULO!$AJ$15:$BB$15,$E83,0,OFFSET(ORÇAMENTO!$D$15,CRONO!$E83,0)))+IF(AND($E85&lt;&gt;"",$E85&lt;&gt;0),SUMIF(CÁLCULO!$BC$15:$BU$710,"="&amp;CRONO!AE$12,CÁLCULO!$AJ$15:$BB$710)/(ORÇAMENTO!$X$15-CÁLCULO.TotalAdmLocal)*CRONO!$E85,0),AE84*$R83),SUMIF(OFFSET($R85,1,0,$Q83-2),($L83+1)&amp;"$",OFFSET(AE85,1,0,$Q83-2)))</f>
        <v>0</v>
      </c>
      <c r="AF85" s="261">
        <f ca="1">IF($Q83=2,IF(AND(ACOMPANHAMENTO="PLE",ISNUMBER($E83)),SUMIF((OFFSET(CÁLCULO!$BC$15:$BU$15,$E83,0,OFFSET(ORÇAMENTO!$D$15,CRONO!$E83,0))),"="&amp;CRONO!AF$12,OFFSET(CÁLCULO!$AJ$15:$BB$15,$E83,0,OFFSET(ORÇAMENTO!$D$15,CRONO!$E83,0)))+IF(AND($E85&lt;&gt;"",$E85&lt;&gt;0),SUMIF(CÁLCULO!$BC$15:$BU$710,"="&amp;CRONO!AF$12,CÁLCULO!$AJ$15:$BB$710)/(ORÇAMENTO!$X$15-CÁLCULO.TotalAdmLocal)*CRONO!$E85,0),AF84*$R83),SUMIF(OFFSET($R85,1,0,$Q83-2),($L83+1)&amp;"$",OFFSET(AF85,1,0,$Q83-2)))</f>
        <v>0</v>
      </c>
      <c r="AG85" s="257">
        <f ca="1">IF($Q83=2,IF(AND(ACOMPANHAMENTO="PLE",ISNUMBER($E83)),SUMIF((OFFSET(CÁLCULO!$BC$15:$BU$15,$E83,0,OFFSET(ORÇAMENTO!$D$15,CRONO!$E83,0))),"="&amp;CRONO!AG$12,OFFSET(CÁLCULO!$AJ$15:$BB$15,$E83,0,OFFSET(ORÇAMENTO!$D$15,CRONO!$E83,0)))+IF(AND($E85&lt;&gt;"",$E85&lt;&gt;0),SUMIF(CÁLCULO!$BC$15:$BU$710,"="&amp;CRONO!AG$12,CÁLCULO!$AJ$15:$BB$710)/(ORÇAMENTO!$X$15-CÁLCULO.TotalAdmLocal)*CRONO!$E85,0),AG84*$R83),SUMIF(OFFSET($R85,1,0,$Q83-2),($L83+1)&amp;"$",OFFSET(AG85,1,0,$Q83-2)))</f>
        <v>0</v>
      </c>
      <c r="AH85" s="257">
        <f ca="1">IF($Q83=2,IF(AND(ACOMPANHAMENTO="PLE",ISNUMBER($E83)),SUMIF((OFFSET(CÁLCULO!$BC$15:$BU$15,$E83,0,OFFSET(ORÇAMENTO!$D$15,CRONO!$E83,0))),"="&amp;CRONO!AH$12,OFFSET(CÁLCULO!$AJ$15:$BB$15,$E83,0,OFFSET(ORÇAMENTO!$D$15,CRONO!$E83,0)))+IF(AND($E85&lt;&gt;"",$E85&lt;&gt;0),SUMIF(CÁLCULO!$BC$15:$BU$710,"="&amp;CRONO!AH$12,CÁLCULO!$AJ$15:$BB$710)/(ORÇAMENTO!$X$15-CÁLCULO.TotalAdmLocal)*CRONO!$E85,0),AH84*$R83),SUMIF(OFFSET($R85,1,0,$Q83-2),($L83+1)&amp;"$",OFFSET(AH85,1,0,$Q83-2)))</f>
        <v>0</v>
      </c>
      <c r="AI85" s="257">
        <f ca="1">IF($Q83=2,IF(AND(ACOMPANHAMENTO="PLE",ISNUMBER($E83)),SUMIF((OFFSET(CÁLCULO!$BC$15:$BU$15,$E83,0,OFFSET(ORÇAMENTO!$D$15,CRONO!$E83,0))),"="&amp;CRONO!AI$12,OFFSET(CÁLCULO!$AJ$15:$BB$15,$E83,0,OFFSET(ORÇAMENTO!$D$15,CRONO!$E83,0)))+IF(AND($E85&lt;&gt;"",$E85&lt;&gt;0),SUMIF(CÁLCULO!$BC$15:$BU$710,"="&amp;CRONO!AI$12,CÁLCULO!$AJ$15:$BB$710)/(ORÇAMENTO!$X$15-CÁLCULO.TotalAdmLocal)*CRONO!$E85,0),AI84*$R83),SUMIF(OFFSET($R85,1,0,$Q83-2),($L83+1)&amp;"$",OFFSET(AI85,1,0,$Q83-2)))</f>
        <v>0</v>
      </c>
      <c r="AJ85" s="257">
        <f ca="1">IF($Q83=2,IF(AND(ACOMPANHAMENTO="PLE",ISNUMBER($E83)),SUMIF((OFFSET(CÁLCULO!$BC$15:$BU$15,$E83,0,OFFSET(ORÇAMENTO!$D$15,CRONO!$E83,0))),"="&amp;CRONO!AJ$12,OFFSET(CÁLCULO!$AJ$15:$BB$15,$E83,0,OFFSET(ORÇAMENTO!$D$15,CRONO!$E83,0)))+IF(AND($E85&lt;&gt;"",$E85&lt;&gt;0),SUMIF(CÁLCULO!$BC$15:$BU$710,"="&amp;CRONO!AJ$12,CÁLCULO!$AJ$15:$BB$710)/(ORÇAMENTO!$X$15-CÁLCULO.TotalAdmLocal)*CRONO!$E85,0),AJ84*$R83),SUMIF(OFFSET($R85,1,0,$Q83-2),($L83+1)&amp;"$",OFFSET(AJ85,1,0,$Q83-2)))</f>
        <v>0</v>
      </c>
      <c r="AK85" s="257">
        <f ca="1">IF($Q83=2,IF(AND(ACOMPANHAMENTO="PLE",ISNUMBER($E83)),SUMIF((OFFSET(CÁLCULO!$BC$15:$BU$15,$E83,0,OFFSET(ORÇAMENTO!$D$15,CRONO!$E83,0))),"="&amp;CRONO!AK$12,OFFSET(CÁLCULO!$AJ$15:$BB$15,$E83,0,OFFSET(ORÇAMENTO!$D$15,CRONO!$E83,0)))+IF(AND($E85&lt;&gt;"",$E85&lt;&gt;0),SUMIF(CÁLCULO!$BC$15:$BU$710,"="&amp;CRONO!AK$12,CÁLCULO!$AJ$15:$BB$710)/(ORÇAMENTO!$X$15-CÁLCULO.TotalAdmLocal)*CRONO!$E85,0),AK84*$R83),SUMIF(OFFSET($R85,1,0,$Q83-2),($L83+1)&amp;"$",OFFSET(AK85,1,0,$Q83-2)))</f>
        <v>0</v>
      </c>
      <c r="AL85" s="257">
        <f ca="1">IF($Q83=2,IF(AND(ACOMPANHAMENTO="PLE",ISNUMBER($E83)),SUMIF((OFFSET(CÁLCULO!$BC$15:$BU$15,$E83,0,OFFSET(ORÇAMENTO!$D$15,CRONO!$E83,0))),"="&amp;CRONO!AL$12,OFFSET(CÁLCULO!$AJ$15:$BB$15,$E83,0,OFFSET(ORÇAMENTO!$D$15,CRONO!$E83,0)))+IF(AND($E85&lt;&gt;"",$E85&lt;&gt;0),SUMIF(CÁLCULO!$BC$15:$BU$710,"="&amp;CRONO!AL$12,CÁLCULO!$AJ$15:$BB$710)/(ORÇAMENTO!$X$15-CÁLCULO.TotalAdmLocal)*CRONO!$E85,0),AL84*$R83),SUMIF(OFFSET($R85,1,0,$Q83-2),($L83+1)&amp;"$",OFFSET(AL85,1,0,$Q83-2)))</f>
        <v>0</v>
      </c>
      <c r="AM85" s="257">
        <f ca="1">IF($Q83=2,IF(AND(ACOMPANHAMENTO="PLE",ISNUMBER($E83)),SUMIF((OFFSET(CÁLCULO!$BC$15:$BU$15,$E83,0,OFFSET(ORÇAMENTO!$D$15,CRONO!$E83,0))),"="&amp;CRONO!AM$12,OFFSET(CÁLCULO!$AJ$15:$BB$15,$E83,0,OFFSET(ORÇAMENTO!$D$15,CRONO!$E83,0)))+IF(AND($E85&lt;&gt;"",$E85&lt;&gt;0),SUMIF(CÁLCULO!$BC$15:$BU$710,"="&amp;CRONO!AM$12,CÁLCULO!$AJ$15:$BB$710)/(ORÇAMENTO!$X$15-CÁLCULO.TotalAdmLocal)*CRONO!$E85,0),AM84*$R83),SUMIF(OFFSET($R85,1,0,$Q83-2),($L83+1)&amp;"$",OFFSET(AM85,1,0,$Q83-2)))</f>
        <v>0</v>
      </c>
      <c r="AN85" s="257">
        <f ca="1">IF($Q83=2,IF(AND(ACOMPANHAMENTO="PLE",ISNUMBER($E83)),SUMIF((OFFSET(CÁLCULO!$BC$15:$BU$15,$E83,0,OFFSET(ORÇAMENTO!$D$15,CRONO!$E83,0))),"="&amp;CRONO!AN$12,OFFSET(CÁLCULO!$AJ$15:$BB$15,$E83,0,OFFSET(ORÇAMENTO!$D$15,CRONO!$E83,0)))+IF(AND($E85&lt;&gt;"",$E85&lt;&gt;0),SUMIF(CÁLCULO!$BC$15:$BU$710,"="&amp;CRONO!AN$12,CÁLCULO!$AJ$15:$BB$710)/(ORÇAMENTO!$X$15-CÁLCULO.TotalAdmLocal)*CRONO!$E85,0),AN84*$R83),SUMIF(OFFSET($R85,1,0,$Q83-2),($L83+1)&amp;"$",OFFSET(AN85,1,0,$Q83-2)))</f>
        <v>0</v>
      </c>
      <c r="AO85" s="257">
        <f ca="1">IF($Q83=2,IF(AND(ACOMPANHAMENTO="PLE",ISNUMBER($E83)),SUMIF((OFFSET(CÁLCULO!$BC$15:$BU$15,$E83,0,OFFSET(ORÇAMENTO!$D$15,CRONO!$E83,0))),"="&amp;CRONO!AO$12,OFFSET(CÁLCULO!$AJ$15:$BB$15,$E83,0,OFFSET(ORÇAMENTO!$D$15,CRONO!$E83,0)))+IF(AND($E85&lt;&gt;"",$E85&lt;&gt;0),SUMIF(CÁLCULO!$BC$15:$BU$710,"="&amp;CRONO!AO$12,CÁLCULO!$AJ$15:$BB$710)/(ORÇAMENTO!$X$15-CÁLCULO.TotalAdmLocal)*CRONO!$E85,0),AO84*$R83),SUMIF(OFFSET($R85,1,0,$Q83-2),($L83+1)&amp;"$",OFFSET(AO85,1,0,$Q83-2)))</f>
        <v>0</v>
      </c>
      <c r="AP85" s="257">
        <f ca="1">IF($Q83=2,IF(AND(ACOMPANHAMENTO="PLE",ISNUMBER($E83)),SUMIF((OFFSET(CÁLCULO!$BC$15:$BU$15,$E83,0,OFFSET(ORÇAMENTO!$D$15,CRONO!$E83,0))),"="&amp;CRONO!AP$12,OFFSET(CÁLCULO!$AJ$15:$BB$15,$E83,0,OFFSET(ORÇAMENTO!$D$15,CRONO!$E83,0)))+IF(AND($E85&lt;&gt;"",$E85&lt;&gt;0),SUMIF(CÁLCULO!$BC$15:$BU$710,"="&amp;CRONO!AP$12,CÁLCULO!$AJ$15:$BB$710)/(ORÇAMENTO!$X$15-CÁLCULO.TotalAdmLocal)*CRONO!$E85,0),AP84*$R83),SUMIF(OFFSET($R85,1,0,$Q83-2),($L83+1)&amp;"$",OFFSET(AP85,1,0,$Q83-2)))</f>
        <v>0</v>
      </c>
      <c r="AQ85" s="262">
        <f ca="1">IF($Q83=2,IF(AND(ACOMPANHAMENTO="PLE",ISNUMBER($E83)),SUMIF((OFFSET(CÁLCULO!$BC$15:$BU$15,$E83,0,OFFSET(ORÇAMENTO!$D$15,CRONO!$E83,0))),"="&amp;CRONO!AQ$12,OFFSET(CÁLCULO!$AJ$15:$BB$15,$E83,0,OFFSET(ORÇAMENTO!$D$15,CRONO!$E83,0)))+IF(AND($E85&lt;&gt;"",$E85&lt;&gt;0),SUMIF(CÁLCULO!$BC$15:$BU$710,"="&amp;CRONO!AQ$12,CÁLCULO!$AJ$15:$BB$710)/(ORÇAMENTO!$X$15-CÁLCULO.TotalAdmLocal)*CRONO!$E85,0),AQ84*$R83),SUMIF(OFFSET($R85,1,0,$Q83-2),($L83+1)&amp;"$",OFFSET(AQ85,1,0,$Q83-2)))</f>
        <v>0</v>
      </c>
    </row>
    <row r="86" spans="1:44" x14ac:dyDescent="0.25">
      <c r="A86" s="238">
        <f ca="1">OFFSET(A86,-3,0)+1</f>
        <v>25</v>
      </c>
      <c r="B86" s="238">
        <f ca="1">IF($Q86&lt;&gt;2,0,IF($R86=0,1,IF(E87&gt;0,OFFSET(QCI!$M$13,SUBSTITUTE(E87,".",""),0),OFFSET(ORÇAMENTO!$AA$15,CRONO!$E86,0))/$R86))</f>
        <v>1</v>
      </c>
      <c r="C86" s="238">
        <f ca="1">IF($Q86&lt;&gt;2,0,IF($R86=0,1,IF(E87&gt;0,OFFSET(QCI!$N$13,SUBSTITUTE(E87,".",""),0),OFFSET(ORÇAMENTO!$AB$15,CRONO!$E86,0))/$R86))</f>
        <v>1</v>
      </c>
      <c r="D86" s="241">
        <f ca="1">IF(AND($Q86=2,ACOMPANHAMENTO="BM"),D87,D88/$R86)</f>
        <v>0</v>
      </c>
      <c r="E86" s="238">
        <f ca="1">IF(A86&lt;=ORÇAMENTO.MáximoListaCrono,MATCH(A86,ORÇAMENTO.ListaCrono,0),NA())</f>
        <v>684</v>
      </c>
      <c r="F86" s="238" t="str">
        <f ca="1">IF(AND($E87&lt;&gt;-1,$R86&gt;0),"F","")</f>
        <v/>
      </c>
      <c r="G86" s="242" t="str">
        <f ca="1">IF(OR(R86=0,R86=""),"Linha",IF(AND(OR(ACOMPANHAMENTO="PLE",$Q86&lt;&gt;2),$E87=0),"Linha",1-SUM(T86:AR86)))</f>
        <v>Linha</v>
      </c>
      <c r="H86" s="243" t="str">
        <f ca="1">IF($E87=0,OFFSET(ORÇAMENTO!O$15,$E86,0),IF($E87&lt;&gt;-1,OFFSET(QCI!$D$13,$E87,0),""))</f>
        <v>1.24.</v>
      </c>
      <c r="I86" s="244" t="str">
        <f ca="1">IF($E87=0,OFFSET(ORÇAMENTO!R$15,$E86,0),IF($E87&lt;&gt;-1,OFFSET(QCI!$G$13,$E87,0),""))</f>
        <v>SERVIÇOS FINAIS</v>
      </c>
      <c r="J86" s="244"/>
      <c r="K86" s="244"/>
      <c r="L86" s="245">
        <f ca="1">IF($E87=0,OFFSET(ORÇAMENTO!C$15,$E86,0),1)</f>
        <v>2</v>
      </c>
      <c r="M86" s="246">
        <f ca="1">IF($E87=-1,0,IF(M$13&lt;=$L86,IF(ISERROR(MATCH(M$13,OFFSET($L86,1,0,ROW($L$98)-ROW($L86)-1),0)),ROW($L$98)-ROW($L86)-1,MATCH(M$13,OFFSET($L86,1,0,ROW($L$98)-ROW($L86)-1),0)-1),0))</f>
        <v>2</v>
      </c>
      <c r="N86" s="246">
        <f ca="1">IF($E87=-1,0,IF(N$13&lt;=$L86,IF(ISERROR(MATCH(N$13,OFFSET($L86,1,0,ROW($L$98)-ROW($L86)-1),0)),ROW($L$98)-ROW($L86)-1,MATCH(N$13,OFFSET($L86,1,0,ROW($L$98)-ROW($L86)-1),0)-1),0))</f>
        <v>5</v>
      </c>
      <c r="O86" s="246">
        <f ca="1">IF($E87=-1,0,IF(O$13&lt;=$L86,IF(ISERROR(MATCH(O$13,OFFSET($L86,1,0,ROW($L$98)-ROW($L86)-1),0)),ROW($L$98)-ROW($L86)-1,MATCH(O$13,OFFSET($L86,1,0,ROW($L$98)-ROW($L86)-1),0)-1),0))</f>
        <v>0</v>
      </c>
      <c r="P86" s="246">
        <f ca="1">IF($E87=-1,0,IF(P$13&lt;=$L86,IF(ISERROR(MATCH(P$13,OFFSET($L86,1,0,ROW($L$98)-ROW($L86)-1),0)),ROW($L$98)-ROW($L86)-1,MATCH(P$13,OFFSET($L86,1,0,ROW($L$98)-ROW($L86)-1),0)-1),0))</f>
        <v>0</v>
      </c>
      <c r="Q86" s="246">
        <f ca="1">MIN(OFFSET(L86,0,1,,L86))</f>
        <v>2</v>
      </c>
      <c r="R86" s="247">
        <f ca="1">IF($E87=0,OFFSET(ORÇAMENTO!X$15,$E86,0),IF($E87&lt;&gt;-1,OFFSET(QCI!$O$13,$E87,0),""))</f>
        <v>0</v>
      </c>
      <c r="S86" s="248" t="s">
        <v>272</v>
      </c>
      <c r="T86" s="249">
        <f t="shared" ref="T86:AN86" ca="1" si="28">IF(AND($Q86=2,ACOMPANHAMENTO="BM"),T87,T88/$R86)</f>
        <v>0</v>
      </c>
      <c r="U86" s="241">
        <f t="shared" ca="1" si="28"/>
        <v>0</v>
      </c>
      <c r="V86" s="241">
        <f t="shared" ca="1" si="28"/>
        <v>0</v>
      </c>
      <c r="W86" s="241">
        <f t="shared" ca="1" si="28"/>
        <v>0</v>
      </c>
      <c r="X86" s="241">
        <f t="shared" ca="1" si="28"/>
        <v>0</v>
      </c>
      <c r="Y86" s="241">
        <f t="shared" ca="1" si="28"/>
        <v>0</v>
      </c>
      <c r="Z86" s="241">
        <f t="shared" ca="1" si="28"/>
        <v>0</v>
      </c>
      <c r="AA86" s="241">
        <f t="shared" ca="1" si="28"/>
        <v>0</v>
      </c>
      <c r="AB86" s="241">
        <f t="shared" ca="1" si="28"/>
        <v>0</v>
      </c>
      <c r="AC86" s="241">
        <f t="shared" ca="1" si="28"/>
        <v>0</v>
      </c>
      <c r="AD86" s="241">
        <f t="shared" ca="1" si="28"/>
        <v>0</v>
      </c>
      <c r="AE86" s="250">
        <f t="shared" ca="1" si="28"/>
        <v>0</v>
      </c>
      <c r="AF86" s="249">
        <f t="shared" ca="1" si="28"/>
        <v>0</v>
      </c>
      <c r="AG86" s="241">
        <f t="shared" ca="1" si="28"/>
        <v>0</v>
      </c>
      <c r="AH86" s="241">
        <f t="shared" ca="1" si="28"/>
        <v>0</v>
      </c>
      <c r="AI86" s="241">
        <f t="shared" ca="1" si="28"/>
        <v>0</v>
      </c>
      <c r="AJ86" s="241">
        <f t="shared" ca="1" si="28"/>
        <v>0</v>
      </c>
      <c r="AK86" s="241">
        <f t="shared" ca="1" si="28"/>
        <v>0</v>
      </c>
      <c r="AL86" s="241">
        <f t="shared" ca="1" si="28"/>
        <v>0</v>
      </c>
      <c r="AM86" s="241">
        <f t="shared" ca="1" si="28"/>
        <v>0</v>
      </c>
      <c r="AN86" s="241">
        <f t="shared" ca="1" si="28"/>
        <v>0</v>
      </c>
      <c r="AO86" s="241">
        <f ca="1">IF(AND($Q86=2,ACOMPANHAMENTO="BM"),AO87,AO88/$R86)</f>
        <v>0</v>
      </c>
      <c r="AP86" s="241">
        <f ca="1">IF(AND($Q86=2,ACOMPANHAMENTO="BM"),AP87,AP88/$R86)</f>
        <v>0.4</v>
      </c>
      <c r="AQ86" s="250">
        <f ca="1">IF(AND($Q86=2,ACOMPANHAMENTO="BM"),AQ87,AQ88/$R86)</f>
        <v>0.6</v>
      </c>
    </row>
    <row r="87" spans="1:44" ht="12.75" customHeight="1" x14ac:dyDescent="0.25">
      <c r="D87" s="658"/>
      <c r="E87" s="238">
        <f ca="1">IF(ISERROR(E86),IF(1+COUNTIF($L$13:OFFSET(L86,-1,0),1)&lt;=MAX(QCI!$D$13:$D$24),1+COUNTIF($L$13:OFFSET(L86,-1,0),1),-1),0)</f>
        <v>0</v>
      </c>
      <c r="F87" s="238" t="str">
        <f ca="1">IF(AND($E87&lt;&gt;-1,$R86&gt;0),"F","")</f>
        <v/>
      </c>
      <c r="G87" s="251" t="str">
        <f ca="1">IF(OR(R86=0,R86=""),"vazia",IF(AND(OR(ACOMPANHAMENTO="PLE",$Q86&lt;&gt;2),$E87=0),"calculada","--&gt;"))</f>
        <v>vazia</v>
      </c>
      <c r="H87" s="252"/>
      <c r="I87" s="253" t="str">
        <f ca="1">IF(AND(G86&lt;&gt;0,ISNUMBER(G86)),"PREENCHA ESTA LINHA --&gt;","")</f>
        <v/>
      </c>
      <c r="J87" s="253"/>
      <c r="K87" s="253"/>
      <c r="L87" s="254"/>
      <c r="M87" s="254"/>
      <c r="N87" s="254"/>
      <c r="O87" s="254"/>
      <c r="P87" s="254"/>
      <c r="Q87" s="254"/>
      <c r="R87" s="255"/>
      <c r="S87" s="256"/>
      <c r="T87" s="659"/>
      <c r="U87" s="658"/>
      <c r="V87" s="658"/>
      <c r="W87" s="658"/>
      <c r="X87" s="658"/>
      <c r="Y87" s="658"/>
      <c r="Z87" s="658"/>
      <c r="AA87" s="658"/>
      <c r="AB87" s="658"/>
      <c r="AC87" s="658"/>
      <c r="AD87" s="658"/>
      <c r="AE87" s="660"/>
      <c r="AF87" s="659"/>
      <c r="AG87" s="658"/>
      <c r="AH87" s="658"/>
      <c r="AI87" s="658"/>
      <c r="AJ87" s="658"/>
      <c r="AK87" s="658"/>
      <c r="AL87" s="658"/>
      <c r="AM87" s="658"/>
      <c r="AN87" s="658"/>
      <c r="AO87" s="658"/>
      <c r="AP87" s="658">
        <v>0.4</v>
      </c>
      <c r="AQ87" s="660">
        <v>0.6</v>
      </c>
      <c r="AR87" s="618"/>
    </row>
    <row r="88" spans="1:44" ht="0.15" hidden="1" customHeight="1" x14ac:dyDescent="0.25">
      <c r="D88" s="257">
        <f ca="1">IF($Q86=2,IF(AND(ACOMPANHAMENTO="PLE",ISNUMBER($E86)),SUMIF((OFFSET(CÁLCULO!$BC$15:$BU$15,$E86,0,OFFSET(ORÇAMENTO!$D$15,CRONO!$E86,0))),"="&amp;CRONO!D$12,OFFSET(CÁLCULO!$AJ$15:$BB$15,$E86,0,OFFSET(ORÇAMENTO!$D$15,CRONO!$E86,0)))+IF(AND($E88&lt;&gt;"",$E88&lt;&gt;0),SUMIF(CÁLCULO!$BC$15:$BU$710,"="&amp;CRONO!D$12,CÁLCULO!$AJ$15:$BB$710)/(ORÇAMENTO!$X$15-CÁLCULO.TotalAdmLocal)*CRONO!$E88,0),D87*$R86),SUMIF(OFFSET($R88,1,0,$Q86-2),($L86+1)&amp;"$",OFFSET(D88,1,0,$Q86-2)))</f>
        <v>0</v>
      </c>
      <c r="E88" s="238">
        <f ca="1">IF(OR($Q86&lt;&gt;2,AUTOEVENTO&lt;&gt;"manual",$E87&gt;0),"",SUMIF(OFFSET(CÁLCULO!$M$15,CRONO!$E86,0,OFFSET(ORÇAMENTO!$D$15,CRONO!$E86,0)),1,OFFSET(ORÇAMENTO!$X$15,CRONO!$E86,0,OFFSET(ORÇAMENTO!$D$15,CRONO!$E86,0))))</f>
        <v>0</v>
      </c>
      <c r="G88" s="258"/>
      <c r="R88" s="259" t="str">
        <f ca="1">L86&amp;"$"</f>
        <v>2$</v>
      </c>
      <c r="S88" s="260"/>
      <c r="T88" s="261">
        <f ca="1">IF($Q86=2,IF(AND(ACOMPANHAMENTO="PLE",ISNUMBER($E86)),SUMIF((OFFSET(CÁLCULO!$BC$15:$BU$15,$E86,0,OFFSET(ORÇAMENTO!$D$15,CRONO!$E86,0))),"&lt;="&amp;CRONO!T$12,OFFSET(CÁLCULO!$AJ$15:$BB$15,$E86,0,OFFSET(ORÇAMENTO!$D$15,CRONO!$E86,0)))+IF(AND($E88&lt;&gt;"",$E88&lt;&gt;0),SUMIF(CÁLCULO!$BC$15:$BU$710,"&lt;="&amp;CRONO!T$12,CÁLCULO!$AJ$15:$BB$710)/(ORÇAMENTO!$X$15-CÁLCULO.TotalAdmLocal)*CRONO!$E88,0),T87*$R86),SUMIF(OFFSET($R88,1,0,$Q86-2),($L86+1)&amp;"$",OFFSET(T88,1,0,$Q86-2)))</f>
        <v>0</v>
      </c>
      <c r="U88" s="257">
        <f ca="1">IF($Q86=2,IF(AND(ACOMPANHAMENTO="PLE",ISNUMBER($E86)),SUMIF((OFFSET(CÁLCULO!$BC$15:$BU$15,$E86,0,OFFSET(ORÇAMENTO!$D$15,CRONO!$E86,0))),"="&amp;CRONO!U$12,OFFSET(CÁLCULO!$AJ$15:$BB$15,$E86,0,OFFSET(ORÇAMENTO!$D$15,CRONO!$E86,0)))+IF(AND($E88&lt;&gt;"",$E88&lt;&gt;0),SUMIF(CÁLCULO!$BC$15:$BU$710,"="&amp;CRONO!U$12,CÁLCULO!$AJ$15:$BB$710)/(ORÇAMENTO!$X$15-CÁLCULO.TotalAdmLocal)*CRONO!$E88,0),U87*$R86),SUMIF(OFFSET($R88,1,0,$Q86-2),($L86+1)&amp;"$",OFFSET(U88,1,0,$Q86-2)))</f>
        <v>0</v>
      </c>
      <c r="V88" s="257">
        <f ca="1">IF($Q86=2,IF(AND(ACOMPANHAMENTO="PLE",ISNUMBER($E86)),SUMIF((OFFSET(CÁLCULO!$BC$15:$BU$15,$E86,0,OFFSET(ORÇAMENTO!$D$15,CRONO!$E86,0))),"="&amp;CRONO!V$12,OFFSET(CÁLCULO!$AJ$15:$BB$15,$E86,0,OFFSET(ORÇAMENTO!$D$15,CRONO!$E86,0)))+IF(AND($E88&lt;&gt;"",$E88&lt;&gt;0),SUMIF(CÁLCULO!$BC$15:$BU$710,"="&amp;CRONO!V$12,CÁLCULO!$AJ$15:$BB$710)/(ORÇAMENTO!$X$15-CÁLCULO.TotalAdmLocal)*CRONO!$E88,0),V87*$R86),SUMIF(OFFSET($R88,1,0,$Q86-2),($L86+1)&amp;"$",OFFSET(V88,1,0,$Q86-2)))</f>
        <v>0</v>
      </c>
      <c r="W88" s="257">
        <f ca="1">IF($Q86=2,IF(AND(ACOMPANHAMENTO="PLE",ISNUMBER($E86)),SUMIF((OFFSET(CÁLCULO!$BC$15:$BU$15,$E86,0,OFFSET(ORÇAMENTO!$D$15,CRONO!$E86,0))),"="&amp;CRONO!W$12,OFFSET(CÁLCULO!$AJ$15:$BB$15,$E86,0,OFFSET(ORÇAMENTO!$D$15,CRONO!$E86,0)))+IF(AND($E88&lt;&gt;"",$E88&lt;&gt;0),SUMIF(CÁLCULO!$BC$15:$BU$710,"="&amp;CRONO!W$12,CÁLCULO!$AJ$15:$BB$710)/(ORÇAMENTO!$X$15-CÁLCULO.TotalAdmLocal)*CRONO!$E88,0),W87*$R86),SUMIF(OFFSET($R88,1,0,$Q86-2),($L86+1)&amp;"$",OFFSET(W88,1,0,$Q86-2)))</f>
        <v>0</v>
      </c>
      <c r="X88" s="257">
        <f ca="1">IF($Q86=2,IF(AND(ACOMPANHAMENTO="PLE",ISNUMBER($E86)),SUMIF((OFFSET(CÁLCULO!$BC$15:$BU$15,$E86,0,OFFSET(ORÇAMENTO!$D$15,CRONO!$E86,0))),"="&amp;CRONO!X$12,OFFSET(CÁLCULO!$AJ$15:$BB$15,$E86,0,OFFSET(ORÇAMENTO!$D$15,CRONO!$E86,0)))+IF(AND($E88&lt;&gt;"",$E88&lt;&gt;0),SUMIF(CÁLCULO!$BC$15:$BU$710,"="&amp;CRONO!X$12,CÁLCULO!$AJ$15:$BB$710)/(ORÇAMENTO!$X$15-CÁLCULO.TotalAdmLocal)*CRONO!$E88,0),X87*$R86),SUMIF(OFFSET($R88,1,0,$Q86-2),($L86+1)&amp;"$",OFFSET(X88,1,0,$Q86-2)))</f>
        <v>0</v>
      </c>
      <c r="Y88" s="257">
        <f ca="1">IF($Q86=2,IF(AND(ACOMPANHAMENTO="PLE",ISNUMBER($E86)),SUMIF((OFFSET(CÁLCULO!$BC$15:$BU$15,$E86,0,OFFSET(ORÇAMENTO!$D$15,CRONO!$E86,0))),"="&amp;CRONO!Y$12,OFFSET(CÁLCULO!$AJ$15:$BB$15,$E86,0,OFFSET(ORÇAMENTO!$D$15,CRONO!$E86,0)))+IF(AND($E88&lt;&gt;"",$E88&lt;&gt;0),SUMIF(CÁLCULO!$BC$15:$BU$710,"="&amp;CRONO!Y$12,CÁLCULO!$AJ$15:$BB$710)/(ORÇAMENTO!$X$15-CÁLCULO.TotalAdmLocal)*CRONO!$E88,0),Y87*$R86),SUMIF(OFFSET($R88,1,0,$Q86-2),($L86+1)&amp;"$",OFFSET(Y88,1,0,$Q86-2)))</f>
        <v>0</v>
      </c>
      <c r="Z88" s="257">
        <f ca="1">IF($Q86=2,IF(AND(ACOMPANHAMENTO="PLE",ISNUMBER($E86)),SUMIF((OFFSET(CÁLCULO!$BC$15:$BU$15,$E86,0,OFFSET(ORÇAMENTO!$D$15,CRONO!$E86,0))),"="&amp;CRONO!Z$12,OFFSET(CÁLCULO!$AJ$15:$BB$15,$E86,0,OFFSET(ORÇAMENTO!$D$15,CRONO!$E86,0)))+IF(AND($E88&lt;&gt;"",$E88&lt;&gt;0),SUMIF(CÁLCULO!$BC$15:$BU$710,"="&amp;CRONO!Z$12,CÁLCULO!$AJ$15:$BB$710)/(ORÇAMENTO!$X$15-CÁLCULO.TotalAdmLocal)*CRONO!$E88,0),Z87*$R86),SUMIF(OFFSET($R88,1,0,$Q86-2),($L86+1)&amp;"$",OFFSET(Z88,1,0,$Q86-2)))</f>
        <v>0</v>
      </c>
      <c r="AA88" s="257">
        <f ca="1">IF($Q86=2,IF(AND(ACOMPANHAMENTO="PLE",ISNUMBER($E86)),SUMIF((OFFSET(CÁLCULO!$BC$15:$BU$15,$E86,0,OFFSET(ORÇAMENTO!$D$15,CRONO!$E86,0))),"="&amp;CRONO!AA$12,OFFSET(CÁLCULO!$AJ$15:$BB$15,$E86,0,OFFSET(ORÇAMENTO!$D$15,CRONO!$E86,0)))+IF(AND($E88&lt;&gt;"",$E88&lt;&gt;0),SUMIF(CÁLCULO!$BC$15:$BU$710,"="&amp;CRONO!AA$12,CÁLCULO!$AJ$15:$BB$710)/(ORÇAMENTO!$X$15-CÁLCULO.TotalAdmLocal)*CRONO!$E88,0),AA87*$R86),SUMIF(OFFSET($R88,1,0,$Q86-2),($L86+1)&amp;"$",OFFSET(AA88,1,0,$Q86-2)))</f>
        <v>0</v>
      </c>
      <c r="AB88" s="257">
        <f ca="1">IF($Q86=2,IF(AND(ACOMPANHAMENTO="PLE",ISNUMBER($E86)),SUMIF((OFFSET(CÁLCULO!$BC$15:$BU$15,$E86,0,OFFSET(ORÇAMENTO!$D$15,CRONO!$E86,0))),"="&amp;CRONO!AB$12,OFFSET(CÁLCULO!$AJ$15:$BB$15,$E86,0,OFFSET(ORÇAMENTO!$D$15,CRONO!$E86,0)))+IF(AND($E88&lt;&gt;"",$E88&lt;&gt;0),SUMIF(CÁLCULO!$BC$15:$BU$710,"="&amp;CRONO!AB$12,CÁLCULO!$AJ$15:$BB$710)/(ORÇAMENTO!$X$15-CÁLCULO.TotalAdmLocal)*CRONO!$E88,0),AB87*$R86),SUMIF(OFFSET($R88,1,0,$Q86-2),($L86+1)&amp;"$",OFFSET(AB88,1,0,$Q86-2)))</f>
        <v>0</v>
      </c>
      <c r="AC88" s="257">
        <f ca="1">IF($Q86=2,IF(AND(ACOMPANHAMENTO="PLE",ISNUMBER($E86)),SUMIF((OFFSET(CÁLCULO!$BC$15:$BU$15,$E86,0,OFFSET(ORÇAMENTO!$D$15,CRONO!$E86,0))),"="&amp;CRONO!AC$12,OFFSET(CÁLCULO!$AJ$15:$BB$15,$E86,0,OFFSET(ORÇAMENTO!$D$15,CRONO!$E86,0)))+IF(AND($E88&lt;&gt;"",$E88&lt;&gt;0),SUMIF(CÁLCULO!$BC$15:$BU$710,"="&amp;CRONO!AC$12,CÁLCULO!$AJ$15:$BB$710)/(ORÇAMENTO!$X$15-CÁLCULO.TotalAdmLocal)*CRONO!$E88,0),AC87*$R86),SUMIF(OFFSET($R88,1,0,$Q86-2),($L86+1)&amp;"$",OFFSET(AC88,1,0,$Q86-2)))</f>
        <v>0</v>
      </c>
      <c r="AD88" s="257">
        <f ca="1">IF($Q86=2,IF(AND(ACOMPANHAMENTO="PLE",ISNUMBER($E86)),SUMIF((OFFSET(CÁLCULO!$BC$15:$BU$15,$E86,0,OFFSET(ORÇAMENTO!$D$15,CRONO!$E86,0))),"="&amp;CRONO!AD$12,OFFSET(CÁLCULO!$AJ$15:$BB$15,$E86,0,OFFSET(ORÇAMENTO!$D$15,CRONO!$E86,0)))+IF(AND($E88&lt;&gt;"",$E88&lt;&gt;0),SUMIF(CÁLCULO!$BC$15:$BU$710,"="&amp;CRONO!AD$12,CÁLCULO!$AJ$15:$BB$710)/(ORÇAMENTO!$X$15-CÁLCULO.TotalAdmLocal)*CRONO!$E88,0),AD87*$R86),SUMIF(OFFSET($R88,1,0,$Q86-2),($L86+1)&amp;"$",OFFSET(AD88,1,0,$Q86-2)))</f>
        <v>0</v>
      </c>
      <c r="AE88" s="262">
        <f ca="1">IF($Q86=2,IF(AND(ACOMPANHAMENTO="PLE",ISNUMBER($E86)),SUMIF((OFFSET(CÁLCULO!$BC$15:$BU$15,$E86,0,OFFSET(ORÇAMENTO!$D$15,CRONO!$E86,0))),"="&amp;CRONO!AE$12,OFFSET(CÁLCULO!$AJ$15:$BB$15,$E86,0,OFFSET(ORÇAMENTO!$D$15,CRONO!$E86,0)))+IF(AND($E88&lt;&gt;"",$E88&lt;&gt;0),SUMIF(CÁLCULO!$BC$15:$BU$710,"="&amp;CRONO!AE$12,CÁLCULO!$AJ$15:$BB$710)/(ORÇAMENTO!$X$15-CÁLCULO.TotalAdmLocal)*CRONO!$E88,0),AE87*$R86),SUMIF(OFFSET($R88,1,0,$Q86-2),($L86+1)&amp;"$",OFFSET(AE88,1,0,$Q86-2)))</f>
        <v>0</v>
      </c>
      <c r="AF88" s="261">
        <f ca="1">IF($Q86=2,IF(AND(ACOMPANHAMENTO="PLE",ISNUMBER($E86)),SUMIF((OFFSET(CÁLCULO!$BC$15:$BU$15,$E86,0,OFFSET(ORÇAMENTO!$D$15,CRONO!$E86,0))),"="&amp;CRONO!AF$12,OFFSET(CÁLCULO!$AJ$15:$BB$15,$E86,0,OFFSET(ORÇAMENTO!$D$15,CRONO!$E86,0)))+IF(AND($E88&lt;&gt;"",$E88&lt;&gt;0),SUMIF(CÁLCULO!$BC$15:$BU$710,"="&amp;CRONO!AF$12,CÁLCULO!$AJ$15:$BB$710)/(ORÇAMENTO!$X$15-CÁLCULO.TotalAdmLocal)*CRONO!$E88,0),AF87*$R86),SUMIF(OFFSET($R88,1,0,$Q86-2),($L86+1)&amp;"$",OFFSET(AF88,1,0,$Q86-2)))</f>
        <v>0</v>
      </c>
      <c r="AG88" s="257">
        <f ca="1">IF($Q86=2,IF(AND(ACOMPANHAMENTO="PLE",ISNUMBER($E86)),SUMIF((OFFSET(CÁLCULO!$BC$15:$BU$15,$E86,0,OFFSET(ORÇAMENTO!$D$15,CRONO!$E86,0))),"="&amp;CRONO!AG$12,OFFSET(CÁLCULO!$AJ$15:$BB$15,$E86,0,OFFSET(ORÇAMENTO!$D$15,CRONO!$E86,0)))+IF(AND($E88&lt;&gt;"",$E88&lt;&gt;0),SUMIF(CÁLCULO!$BC$15:$BU$710,"="&amp;CRONO!AG$12,CÁLCULO!$AJ$15:$BB$710)/(ORÇAMENTO!$X$15-CÁLCULO.TotalAdmLocal)*CRONO!$E88,0),AG87*$R86),SUMIF(OFFSET($R88,1,0,$Q86-2),($L86+1)&amp;"$",OFFSET(AG88,1,0,$Q86-2)))</f>
        <v>0</v>
      </c>
      <c r="AH88" s="257">
        <f ca="1">IF($Q86=2,IF(AND(ACOMPANHAMENTO="PLE",ISNUMBER($E86)),SUMIF((OFFSET(CÁLCULO!$BC$15:$BU$15,$E86,0,OFFSET(ORÇAMENTO!$D$15,CRONO!$E86,0))),"="&amp;CRONO!AH$12,OFFSET(CÁLCULO!$AJ$15:$BB$15,$E86,0,OFFSET(ORÇAMENTO!$D$15,CRONO!$E86,0)))+IF(AND($E88&lt;&gt;"",$E88&lt;&gt;0),SUMIF(CÁLCULO!$BC$15:$BU$710,"="&amp;CRONO!AH$12,CÁLCULO!$AJ$15:$BB$710)/(ORÇAMENTO!$X$15-CÁLCULO.TotalAdmLocal)*CRONO!$E88,0),AH87*$R86),SUMIF(OFFSET($R88,1,0,$Q86-2),($L86+1)&amp;"$",OFFSET(AH88,1,0,$Q86-2)))</f>
        <v>0</v>
      </c>
      <c r="AI88" s="257">
        <f ca="1">IF($Q86=2,IF(AND(ACOMPANHAMENTO="PLE",ISNUMBER($E86)),SUMIF((OFFSET(CÁLCULO!$BC$15:$BU$15,$E86,0,OFFSET(ORÇAMENTO!$D$15,CRONO!$E86,0))),"="&amp;CRONO!AI$12,OFFSET(CÁLCULO!$AJ$15:$BB$15,$E86,0,OFFSET(ORÇAMENTO!$D$15,CRONO!$E86,0)))+IF(AND($E88&lt;&gt;"",$E88&lt;&gt;0),SUMIF(CÁLCULO!$BC$15:$BU$710,"="&amp;CRONO!AI$12,CÁLCULO!$AJ$15:$BB$710)/(ORÇAMENTO!$X$15-CÁLCULO.TotalAdmLocal)*CRONO!$E88,0),AI87*$R86),SUMIF(OFFSET($R88,1,0,$Q86-2),($L86+1)&amp;"$",OFFSET(AI88,1,0,$Q86-2)))</f>
        <v>0</v>
      </c>
      <c r="AJ88" s="257">
        <f ca="1">IF($Q86=2,IF(AND(ACOMPANHAMENTO="PLE",ISNUMBER($E86)),SUMIF((OFFSET(CÁLCULO!$BC$15:$BU$15,$E86,0,OFFSET(ORÇAMENTO!$D$15,CRONO!$E86,0))),"="&amp;CRONO!AJ$12,OFFSET(CÁLCULO!$AJ$15:$BB$15,$E86,0,OFFSET(ORÇAMENTO!$D$15,CRONO!$E86,0)))+IF(AND($E88&lt;&gt;"",$E88&lt;&gt;0),SUMIF(CÁLCULO!$BC$15:$BU$710,"="&amp;CRONO!AJ$12,CÁLCULO!$AJ$15:$BB$710)/(ORÇAMENTO!$X$15-CÁLCULO.TotalAdmLocal)*CRONO!$E88,0),AJ87*$R86),SUMIF(OFFSET($R88,1,0,$Q86-2),($L86+1)&amp;"$",OFFSET(AJ88,1,0,$Q86-2)))</f>
        <v>0</v>
      </c>
      <c r="AK88" s="257">
        <f ca="1">IF($Q86=2,IF(AND(ACOMPANHAMENTO="PLE",ISNUMBER($E86)),SUMIF((OFFSET(CÁLCULO!$BC$15:$BU$15,$E86,0,OFFSET(ORÇAMENTO!$D$15,CRONO!$E86,0))),"="&amp;CRONO!AK$12,OFFSET(CÁLCULO!$AJ$15:$BB$15,$E86,0,OFFSET(ORÇAMENTO!$D$15,CRONO!$E86,0)))+IF(AND($E88&lt;&gt;"",$E88&lt;&gt;0),SUMIF(CÁLCULO!$BC$15:$BU$710,"="&amp;CRONO!AK$12,CÁLCULO!$AJ$15:$BB$710)/(ORÇAMENTO!$X$15-CÁLCULO.TotalAdmLocal)*CRONO!$E88,0),AK87*$R86),SUMIF(OFFSET($R88,1,0,$Q86-2),($L86+1)&amp;"$",OFFSET(AK88,1,0,$Q86-2)))</f>
        <v>0</v>
      </c>
      <c r="AL88" s="257">
        <f ca="1">IF($Q86=2,IF(AND(ACOMPANHAMENTO="PLE",ISNUMBER($E86)),SUMIF((OFFSET(CÁLCULO!$BC$15:$BU$15,$E86,0,OFFSET(ORÇAMENTO!$D$15,CRONO!$E86,0))),"="&amp;CRONO!AL$12,OFFSET(CÁLCULO!$AJ$15:$BB$15,$E86,0,OFFSET(ORÇAMENTO!$D$15,CRONO!$E86,0)))+IF(AND($E88&lt;&gt;"",$E88&lt;&gt;0),SUMIF(CÁLCULO!$BC$15:$BU$710,"="&amp;CRONO!AL$12,CÁLCULO!$AJ$15:$BB$710)/(ORÇAMENTO!$X$15-CÁLCULO.TotalAdmLocal)*CRONO!$E88,0),AL87*$R86),SUMIF(OFFSET($R88,1,0,$Q86-2),($L86+1)&amp;"$",OFFSET(AL88,1,0,$Q86-2)))</f>
        <v>0</v>
      </c>
      <c r="AM88" s="257">
        <f ca="1">IF($Q86=2,IF(AND(ACOMPANHAMENTO="PLE",ISNUMBER($E86)),SUMIF((OFFSET(CÁLCULO!$BC$15:$BU$15,$E86,0,OFFSET(ORÇAMENTO!$D$15,CRONO!$E86,0))),"="&amp;CRONO!AM$12,OFFSET(CÁLCULO!$AJ$15:$BB$15,$E86,0,OFFSET(ORÇAMENTO!$D$15,CRONO!$E86,0)))+IF(AND($E88&lt;&gt;"",$E88&lt;&gt;0),SUMIF(CÁLCULO!$BC$15:$BU$710,"="&amp;CRONO!AM$12,CÁLCULO!$AJ$15:$BB$710)/(ORÇAMENTO!$X$15-CÁLCULO.TotalAdmLocal)*CRONO!$E88,0),AM87*$R86),SUMIF(OFFSET($R88,1,0,$Q86-2),($L86+1)&amp;"$",OFFSET(AM88,1,0,$Q86-2)))</f>
        <v>0</v>
      </c>
      <c r="AN88" s="257">
        <f ca="1">IF($Q86=2,IF(AND(ACOMPANHAMENTO="PLE",ISNUMBER($E86)),SUMIF((OFFSET(CÁLCULO!$BC$15:$BU$15,$E86,0,OFFSET(ORÇAMENTO!$D$15,CRONO!$E86,0))),"="&amp;CRONO!AN$12,OFFSET(CÁLCULO!$AJ$15:$BB$15,$E86,0,OFFSET(ORÇAMENTO!$D$15,CRONO!$E86,0)))+IF(AND($E88&lt;&gt;"",$E88&lt;&gt;0),SUMIF(CÁLCULO!$BC$15:$BU$710,"="&amp;CRONO!AN$12,CÁLCULO!$AJ$15:$BB$710)/(ORÇAMENTO!$X$15-CÁLCULO.TotalAdmLocal)*CRONO!$E88,0),AN87*$R86),SUMIF(OFFSET($R88,1,0,$Q86-2),($L86+1)&amp;"$",OFFSET(AN88,1,0,$Q86-2)))</f>
        <v>0</v>
      </c>
      <c r="AO88" s="257">
        <f ca="1">IF($Q86=2,IF(AND(ACOMPANHAMENTO="PLE",ISNUMBER($E86)),SUMIF((OFFSET(CÁLCULO!$BC$15:$BU$15,$E86,0,OFFSET(ORÇAMENTO!$D$15,CRONO!$E86,0))),"="&amp;CRONO!AO$12,OFFSET(CÁLCULO!$AJ$15:$BB$15,$E86,0,OFFSET(ORÇAMENTO!$D$15,CRONO!$E86,0)))+IF(AND($E88&lt;&gt;"",$E88&lt;&gt;0),SUMIF(CÁLCULO!$BC$15:$BU$710,"="&amp;CRONO!AO$12,CÁLCULO!$AJ$15:$BB$710)/(ORÇAMENTO!$X$15-CÁLCULO.TotalAdmLocal)*CRONO!$E88,0),AO87*$R86),SUMIF(OFFSET($R88,1,0,$Q86-2),($L86+1)&amp;"$",OFFSET(AO88,1,0,$Q86-2)))</f>
        <v>0</v>
      </c>
      <c r="AP88" s="257">
        <f ca="1">IF($Q86=2,IF(AND(ACOMPANHAMENTO="PLE",ISNUMBER($E86)),SUMIF((OFFSET(CÁLCULO!$BC$15:$BU$15,$E86,0,OFFSET(ORÇAMENTO!$D$15,CRONO!$E86,0))),"="&amp;CRONO!AP$12,OFFSET(CÁLCULO!$AJ$15:$BB$15,$E86,0,OFFSET(ORÇAMENTO!$D$15,CRONO!$E86,0)))+IF(AND($E88&lt;&gt;"",$E88&lt;&gt;0),SUMIF(CÁLCULO!$BC$15:$BU$710,"="&amp;CRONO!AP$12,CÁLCULO!$AJ$15:$BB$710)/(ORÇAMENTO!$X$15-CÁLCULO.TotalAdmLocal)*CRONO!$E88,0),AP87*$R86),SUMIF(OFFSET($R88,1,0,$Q86-2),($L86+1)&amp;"$",OFFSET(AP88,1,0,$Q86-2)))</f>
        <v>0</v>
      </c>
      <c r="AQ88" s="262">
        <f ca="1">IF($Q86=2,IF(AND(ACOMPANHAMENTO="PLE",ISNUMBER($E86)),SUMIF((OFFSET(CÁLCULO!$BC$15:$BU$15,$E86,0,OFFSET(ORÇAMENTO!$D$15,CRONO!$E86,0))),"="&amp;CRONO!AQ$12,OFFSET(CÁLCULO!$AJ$15:$BB$15,$E86,0,OFFSET(ORÇAMENTO!$D$15,CRONO!$E86,0)))+IF(AND($E88&lt;&gt;"",$E88&lt;&gt;0),SUMIF(CÁLCULO!$BC$15:$BU$710,"="&amp;CRONO!AQ$12,CÁLCULO!$AJ$15:$BB$710)/(ORÇAMENTO!$X$15-CÁLCULO.TotalAdmLocal)*CRONO!$E88,0),AQ87*$R86),SUMIF(OFFSET($R88,1,0,$Q86-2),($L86+1)&amp;"$",OFFSET(AQ88,1,0,$Q86-2)))</f>
        <v>0</v>
      </c>
    </row>
    <row r="89" spans="1:44" x14ac:dyDescent="0.25">
      <c r="A89" s="238">
        <f ca="1">OFFSET(A89,-3,0)+1</f>
        <v>26</v>
      </c>
      <c r="B89" s="238">
        <f ca="1">IF($Q89&lt;&gt;2,0,IF($R89=0,1,IF(E90&gt;0,OFFSET(QCI!$M$13,SUBSTITUTE(E90,".",""),0),OFFSET(ORÇAMENTO!$AA$15,CRONO!$E89,0))/$R89))</f>
        <v>0</v>
      </c>
      <c r="C89" s="238">
        <f ca="1">IF($Q89&lt;&gt;2,0,IF($R89=0,1,IF(E90&gt;0,OFFSET(QCI!$N$13,SUBSTITUTE(E90,".",""),0),OFFSET(ORÇAMENTO!$AB$15,CRONO!$E89,0))/$R89))</f>
        <v>0</v>
      </c>
      <c r="D89" s="241" t="e">
        <f ca="1">IF(AND($Q89=2,ACOMPANHAMENTO="BM"),D90,D91/$R89)</f>
        <v>#DIV/0!</v>
      </c>
      <c r="E89" s="238">
        <f ca="1">IF(A89&lt;=ORÇAMENTO.MáximoListaCrono,MATCH(A89,ORÇAMENTO.ListaCrono,0),NA())</f>
        <v>687</v>
      </c>
      <c r="F89" s="238" t="str">
        <f ca="1">IF(AND($E90&lt;&gt;-1,$R89&gt;0),"F","")</f>
        <v/>
      </c>
      <c r="G89" s="242" t="str">
        <f ca="1">IF(OR(R89=0,R89=""),"Linha",IF(AND(OR(ACOMPANHAMENTO="PLE",$Q89&lt;&gt;2),$E90=0),"Linha",1-SUM(T89:AR89)))</f>
        <v>Linha</v>
      </c>
      <c r="H89" s="243" t="str">
        <f ca="1">IF($E90=0,OFFSET(ORÇAMENTO!O$15,$E89,0),IF($E90&lt;&gt;-1,OFFSET(QCI!$D$13,$E90,0),""))</f>
        <v>2.</v>
      </c>
      <c r="I89" s="244" t="str">
        <f ca="1">IF($E90=0,OFFSET(ORÇAMENTO!R$15,$E89,0),IF($E90&lt;&gt;-1,OFFSET(QCI!$G$13,$E90,0),""))</f>
        <v>PLANILHA ORÇAMENTÁRIA - MUNICIPAL</v>
      </c>
      <c r="J89" s="244"/>
      <c r="K89" s="244"/>
      <c r="L89" s="245">
        <f ca="1">IF($E90=0,OFFSET(ORÇAMENTO!C$15,$E89,0),1)</f>
        <v>1</v>
      </c>
      <c r="M89" s="246">
        <f ca="1">IF($E90=-1,0,IF(M$13&lt;=$L89,IF(ISERROR(MATCH(M$13,OFFSET($L89,1,0,ROW($L$98)-ROW($L89)-1),0)),ROW($L$98)-ROW($L89)-1,MATCH(M$13,OFFSET($L89,1,0,ROW($L$98)-ROW($L89)-1),0)-1),0))</f>
        <v>8</v>
      </c>
      <c r="N89" s="246">
        <f ca="1">IF($E90=-1,0,IF(N$13&lt;=$L89,IF(ISERROR(MATCH(N$13,OFFSET($L89,1,0,ROW($L$98)-ROW($L89)-1),0)),ROW($L$98)-ROW($L89)-1,MATCH(N$13,OFFSET($L89,1,0,ROW($L$98)-ROW($L89)-1),0)-1),0))</f>
        <v>0</v>
      </c>
      <c r="O89" s="246">
        <f ca="1">IF($E90=-1,0,IF(O$13&lt;=$L89,IF(ISERROR(MATCH(O$13,OFFSET($L89,1,0,ROW($L$98)-ROW($L89)-1),0)),ROW($L$98)-ROW($L89)-1,MATCH(O$13,OFFSET($L89,1,0,ROW($L$98)-ROW($L89)-1),0)-1),0))</f>
        <v>0</v>
      </c>
      <c r="P89" s="246">
        <f ca="1">IF($E90=-1,0,IF(P$13&lt;=$L89,IF(ISERROR(MATCH(P$13,OFFSET($L89,1,0,ROW($L$98)-ROW($L89)-1),0)),ROW($L$98)-ROW($L89)-1,MATCH(P$13,OFFSET($L89,1,0,ROW($L$98)-ROW($L89)-1),0)-1),0))</f>
        <v>0</v>
      </c>
      <c r="Q89" s="246">
        <f ca="1">MIN(OFFSET(L89,0,1,,L89))</f>
        <v>8</v>
      </c>
      <c r="R89" s="247">
        <f ca="1">IF($E90=0,OFFSET(ORÇAMENTO!X$15,$E89,0),IF($E90&lt;&gt;-1,OFFSET(QCI!$O$13,$E90,0),""))</f>
        <v>0</v>
      </c>
      <c r="S89" s="248" t="s">
        <v>272</v>
      </c>
      <c r="T89" s="249" t="e">
        <f t="shared" ref="T89:AQ89" ca="1" si="29">IF(AND($Q89=2,ACOMPANHAMENTO="BM"),T90,T91/$R89)</f>
        <v>#DIV/0!</v>
      </c>
      <c r="U89" s="241" t="e">
        <f t="shared" ca="1" si="29"/>
        <v>#DIV/0!</v>
      </c>
      <c r="V89" s="241" t="e">
        <f t="shared" ca="1" si="29"/>
        <v>#DIV/0!</v>
      </c>
      <c r="W89" s="241" t="e">
        <f t="shared" ca="1" si="29"/>
        <v>#DIV/0!</v>
      </c>
      <c r="X89" s="241" t="e">
        <f t="shared" ca="1" si="29"/>
        <v>#DIV/0!</v>
      </c>
      <c r="Y89" s="241" t="e">
        <f t="shared" ca="1" si="29"/>
        <v>#DIV/0!</v>
      </c>
      <c r="Z89" s="241" t="e">
        <f t="shared" ca="1" si="29"/>
        <v>#DIV/0!</v>
      </c>
      <c r="AA89" s="241" t="e">
        <f t="shared" ca="1" si="29"/>
        <v>#DIV/0!</v>
      </c>
      <c r="AB89" s="241" t="e">
        <f t="shared" ca="1" si="29"/>
        <v>#DIV/0!</v>
      </c>
      <c r="AC89" s="241" t="e">
        <f t="shared" ca="1" si="29"/>
        <v>#DIV/0!</v>
      </c>
      <c r="AD89" s="241" t="e">
        <f t="shared" ca="1" si="29"/>
        <v>#DIV/0!</v>
      </c>
      <c r="AE89" s="250" t="e">
        <f t="shared" ca="1" si="29"/>
        <v>#DIV/0!</v>
      </c>
      <c r="AF89" s="249" t="e">
        <f t="shared" ca="1" si="29"/>
        <v>#DIV/0!</v>
      </c>
      <c r="AG89" s="241" t="e">
        <f t="shared" ca="1" si="29"/>
        <v>#DIV/0!</v>
      </c>
      <c r="AH89" s="241" t="e">
        <f t="shared" ca="1" si="29"/>
        <v>#DIV/0!</v>
      </c>
      <c r="AI89" s="241" t="e">
        <f t="shared" ca="1" si="29"/>
        <v>#DIV/0!</v>
      </c>
      <c r="AJ89" s="241" t="e">
        <f t="shared" ca="1" si="29"/>
        <v>#DIV/0!</v>
      </c>
      <c r="AK89" s="241" t="e">
        <f t="shared" ca="1" si="29"/>
        <v>#DIV/0!</v>
      </c>
      <c r="AL89" s="241" t="e">
        <f t="shared" ca="1" si="29"/>
        <v>#DIV/0!</v>
      </c>
      <c r="AM89" s="241" t="e">
        <f t="shared" ca="1" si="29"/>
        <v>#DIV/0!</v>
      </c>
      <c r="AN89" s="241" t="e">
        <f t="shared" ca="1" si="29"/>
        <v>#DIV/0!</v>
      </c>
      <c r="AO89" s="241" t="e">
        <f t="shared" ca="1" si="29"/>
        <v>#DIV/0!</v>
      </c>
      <c r="AP89" s="241" t="e">
        <f t="shared" ca="1" si="29"/>
        <v>#DIV/0!</v>
      </c>
      <c r="AQ89" s="250" t="e">
        <f t="shared" ca="1" si="29"/>
        <v>#DIV/0!</v>
      </c>
    </row>
    <row r="90" spans="1:44" ht="12.75" customHeight="1" x14ac:dyDescent="0.25">
      <c r="D90" s="658"/>
      <c r="E90" s="238">
        <f ca="1">IF(ISERROR(E89),IF(1+COUNTIF($L$13:OFFSET(L89,-1,0),1)&lt;=MAX(QCI!$D$13:$D$24),1+COUNTIF($L$13:OFFSET(L89,-1,0),1),-1),0)</f>
        <v>0</v>
      </c>
      <c r="F90" s="238" t="str">
        <f ca="1">IF(AND($E90&lt;&gt;-1,$R89&gt;0),"F","")</f>
        <v/>
      </c>
      <c r="G90" s="251" t="str">
        <f ca="1">IF(OR(R89=0,R89=""),"vazia",IF(AND(OR(ACOMPANHAMENTO="PLE",$Q89&lt;&gt;2),$E90=0),"calculada","--&gt;"))</f>
        <v>vazia</v>
      </c>
      <c r="H90" s="252"/>
      <c r="I90" s="253" t="str">
        <f ca="1">IF(AND(G89&lt;&gt;0,ISNUMBER(G89)),"PREENCHA ESTA LINHA --&gt;","")</f>
        <v/>
      </c>
      <c r="J90" s="253"/>
      <c r="K90" s="253"/>
      <c r="L90" s="254"/>
      <c r="M90" s="254"/>
      <c r="N90" s="254"/>
      <c r="O90" s="254"/>
      <c r="P90" s="254"/>
      <c r="Q90" s="254"/>
      <c r="R90" s="255"/>
      <c r="S90" s="256"/>
      <c r="T90" s="659"/>
      <c r="U90" s="658"/>
      <c r="V90" s="658"/>
      <c r="W90" s="658"/>
      <c r="X90" s="658"/>
      <c r="Y90" s="658"/>
      <c r="Z90" s="658"/>
      <c r="AA90" s="658"/>
      <c r="AB90" s="658"/>
      <c r="AC90" s="658"/>
      <c r="AD90" s="658"/>
      <c r="AE90" s="660"/>
      <c r="AF90" s="659"/>
      <c r="AG90" s="658"/>
      <c r="AH90" s="658"/>
      <c r="AI90" s="658"/>
      <c r="AJ90" s="658"/>
      <c r="AK90" s="658"/>
      <c r="AL90" s="658"/>
      <c r="AM90" s="658"/>
      <c r="AN90" s="658"/>
      <c r="AO90" s="658"/>
      <c r="AP90" s="658"/>
      <c r="AQ90" s="660"/>
      <c r="AR90" s="618"/>
    </row>
    <row r="91" spans="1:44" ht="0.15" hidden="1" customHeight="1" x14ac:dyDescent="0.25">
      <c r="D91" s="257">
        <f ca="1">IF($Q89=2,IF(AND(ACOMPANHAMENTO="PLE",ISNUMBER($E89)),SUMIF((OFFSET(CÁLCULO!$BC$15:$BU$15,$E89,0,OFFSET(ORÇAMENTO!$D$15,CRONO!$E89,0))),"="&amp;CRONO!D$12,OFFSET(CÁLCULO!$AJ$15:$BB$15,$E89,0,OFFSET(ORÇAMENTO!$D$15,CRONO!$E89,0)))+IF(AND($E91&lt;&gt;"",$E91&lt;&gt;0),SUMIF(CÁLCULO!$BC$15:$BU$710,"="&amp;CRONO!D$12,CÁLCULO!$AJ$15:$BB$710)/(ORÇAMENTO!$X$15-CÁLCULO.TotalAdmLocal)*CRONO!$E91,0),D90*$R89),SUMIF(OFFSET($R91,1,0,$Q89-2),($L89+1)&amp;"$",OFFSET(D91,1,0,$Q89-2)))</f>
        <v>0</v>
      </c>
      <c r="E91" s="238" t="str">
        <f ca="1">IF(OR($Q89&lt;&gt;2,AUTOEVENTO&lt;&gt;"manual",$E90&gt;0),"",SUMIF(OFFSET(CÁLCULO!$M$15,CRONO!$E89,0,OFFSET(ORÇAMENTO!$D$15,CRONO!$E89,0)),1,OFFSET(ORÇAMENTO!$X$15,CRONO!$E89,0,OFFSET(ORÇAMENTO!$D$15,CRONO!$E89,0))))</f>
        <v/>
      </c>
      <c r="G91" s="258"/>
      <c r="R91" s="259" t="str">
        <f ca="1">L89&amp;"$"</f>
        <v>1$</v>
      </c>
      <c r="S91" s="260"/>
      <c r="T91" s="261">
        <f ca="1">IF($Q89=2,IF(AND(ACOMPANHAMENTO="PLE",ISNUMBER($E89)),SUMIF((OFFSET(CÁLCULO!$BC$15:$BU$15,$E89,0,OFFSET(ORÇAMENTO!$D$15,CRONO!$E89,0))),"&lt;="&amp;CRONO!T$12,OFFSET(CÁLCULO!$AJ$15:$BB$15,$E89,0,OFFSET(ORÇAMENTO!$D$15,CRONO!$E89,0)))+IF(AND($E91&lt;&gt;"",$E91&lt;&gt;0),SUMIF(CÁLCULO!$BC$15:$BU$710,"&lt;="&amp;CRONO!T$12,CÁLCULO!$AJ$15:$BB$710)/(ORÇAMENTO!$X$15-CÁLCULO.TotalAdmLocal)*CRONO!$E91,0),T90*$R89),SUMIF(OFFSET($R91,1,0,$Q89-2),($L89+1)&amp;"$",OFFSET(T91,1,0,$Q89-2)))</f>
        <v>0</v>
      </c>
      <c r="U91" s="257">
        <f ca="1">IF($Q89=2,IF(AND(ACOMPANHAMENTO="PLE",ISNUMBER($E89)),SUMIF((OFFSET(CÁLCULO!$BC$15:$BU$15,$E89,0,OFFSET(ORÇAMENTO!$D$15,CRONO!$E89,0))),"="&amp;CRONO!U$12,OFFSET(CÁLCULO!$AJ$15:$BB$15,$E89,0,OFFSET(ORÇAMENTO!$D$15,CRONO!$E89,0)))+IF(AND($E91&lt;&gt;"",$E91&lt;&gt;0),SUMIF(CÁLCULO!$BC$15:$BU$710,"="&amp;CRONO!U$12,CÁLCULO!$AJ$15:$BB$710)/(ORÇAMENTO!$X$15-CÁLCULO.TotalAdmLocal)*CRONO!$E91,0),U90*$R89),SUMIF(OFFSET($R91,1,0,$Q89-2),($L89+1)&amp;"$",OFFSET(U91,1,0,$Q89-2)))</f>
        <v>0</v>
      </c>
      <c r="V91" s="257">
        <f ca="1">IF($Q89=2,IF(AND(ACOMPANHAMENTO="PLE",ISNUMBER($E89)),SUMIF((OFFSET(CÁLCULO!$BC$15:$BU$15,$E89,0,OFFSET(ORÇAMENTO!$D$15,CRONO!$E89,0))),"="&amp;CRONO!V$12,OFFSET(CÁLCULO!$AJ$15:$BB$15,$E89,0,OFFSET(ORÇAMENTO!$D$15,CRONO!$E89,0)))+IF(AND($E91&lt;&gt;"",$E91&lt;&gt;0),SUMIF(CÁLCULO!$BC$15:$BU$710,"="&amp;CRONO!V$12,CÁLCULO!$AJ$15:$BB$710)/(ORÇAMENTO!$X$15-CÁLCULO.TotalAdmLocal)*CRONO!$E91,0),V90*$R89),SUMIF(OFFSET($R91,1,0,$Q89-2),($L89+1)&amp;"$",OFFSET(V91,1,0,$Q89-2)))</f>
        <v>0</v>
      </c>
      <c r="W91" s="257">
        <f ca="1">IF($Q89=2,IF(AND(ACOMPANHAMENTO="PLE",ISNUMBER($E89)),SUMIF((OFFSET(CÁLCULO!$BC$15:$BU$15,$E89,0,OFFSET(ORÇAMENTO!$D$15,CRONO!$E89,0))),"="&amp;CRONO!W$12,OFFSET(CÁLCULO!$AJ$15:$BB$15,$E89,0,OFFSET(ORÇAMENTO!$D$15,CRONO!$E89,0)))+IF(AND($E91&lt;&gt;"",$E91&lt;&gt;0),SUMIF(CÁLCULO!$BC$15:$BU$710,"="&amp;CRONO!W$12,CÁLCULO!$AJ$15:$BB$710)/(ORÇAMENTO!$X$15-CÁLCULO.TotalAdmLocal)*CRONO!$E91,0),W90*$R89),SUMIF(OFFSET($R91,1,0,$Q89-2),($L89+1)&amp;"$",OFFSET(W91,1,0,$Q89-2)))</f>
        <v>0</v>
      </c>
      <c r="X91" s="257">
        <f ca="1">IF($Q89=2,IF(AND(ACOMPANHAMENTO="PLE",ISNUMBER($E89)),SUMIF((OFFSET(CÁLCULO!$BC$15:$BU$15,$E89,0,OFFSET(ORÇAMENTO!$D$15,CRONO!$E89,0))),"="&amp;CRONO!X$12,OFFSET(CÁLCULO!$AJ$15:$BB$15,$E89,0,OFFSET(ORÇAMENTO!$D$15,CRONO!$E89,0)))+IF(AND($E91&lt;&gt;"",$E91&lt;&gt;0),SUMIF(CÁLCULO!$BC$15:$BU$710,"="&amp;CRONO!X$12,CÁLCULO!$AJ$15:$BB$710)/(ORÇAMENTO!$X$15-CÁLCULO.TotalAdmLocal)*CRONO!$E91,0),X90*$R89),SUMIF(OFFSET($R91,1,0,$Q89-2),($L89+1)&amp;"$",OFFSET(X91,1,0,$Q89-2)))</f>
        <v>0</v>
      </c>
      <c r="Y91" s="257">
        <f ca="1">IF($Q89=2,IF(AND(ACOMPANHAMENTO="PLE",ISNUMBER($E89)),SUMIF((OFFSET(CÁLCULO!$BC$15:$BU$15,$E89,0,OFFSET(ORÇAMENTO!$D$15,CRONO!$E89,0))),"="&amp;CRONO!Y$12,OFFSET(CÁLCULO!$AJ$15:$BB$15,$E89,0,OFFSET(ORÇAMENTO!$D$15,CRONO!$E89,0)))+IF(AND($E91&lt;&gt;"",$E91&lt;&gt;0),SUMIF(CÁLCULO!$BC$15:$BU$710,"="&amp;CRONO!Y$12,CÁLCULO!$AJ$15:$BB$710)/(ORÇAMENTO!$X$15-CÁLCULO.TotalAdmLocal)*CRONO!$E91,0),Y90*$R89),SUMIF(OFFSET($R91,1,0,$Q89-2),($L89+1)&amp;"$",OFFSET(Y91,1,0,$Q89-2)))</f>
        <v>0</v>
      </c>
      <c r="Z91" s="257">
        <f ca="1">IF($Q89=2,IF(AND(ACOMPANHAMENTO="PLE",ISNUMBER($E89)),SUMIF((OFFSET(CÁLCULO!$BC$15:$BU$15,$E89,0,OFFSET(ORÇAMENTO!$D$15,CRONO!$E89,0))),"="&amp;CRONO!Z$12,OFFSET(CÁLCULO!$AJ$15:$BB$15,$E89,0,OFFSET(ORÇAMENTO!$D$15,CRONO!$E89,0)))+IF(AND($E91&lt;&gt;"",$E91&lt;&gt;0),SUMIF(CÁLCULO!$BC$15:$BU$710,"="&amp;CRONO!Z$12,CÁLCULO!$AJ$15:$BB$710)/(ORÇAMENTO!$X$15-CÁLCULO.TotalAdmLocal)*CRONO!$E91,0),Z90*$R89),SUMIF(OFFSET($R91,1,0,$Q89-2),($L89+1)&amp;"$",OFFSET(Z91,1,0,$Q89-2)))</f>
        <v>0</v>
      </c>
      <c r="AA91" s="257">
        <f ca="1">IF($Q89=2,IF(AND(ACOMPANHAMENTO="PLE",ISNUMBER($E89)),SUMIF((OFFSET(CÁLCULO!$BC$15:$BU$15,$E89,0,OFFSET(ORÇAMENTO!$D$15,CRONO!$E89,0))),"="&amp;CRONO!AA$12,OFFSET(CÁLCULO!$AJ$15:$BB$15,$E89,0,OFFSET(ORÇAMENTO!$D$15,CRONO!$E89,0)))+IF(AND($E91&lt;&gt;"",$E91&lt;&gt;0),SUMIF(CÁLCULO!$BC$15:$BU$710,"="&amp;CRONO!AA$12,CÁLCULO!$AJ$15:$BB$710)/(ORÇAMENTO!$X$15-CÁLCULO.TotalAdmLocal)*CRONO!$E91,0),AA90*$R89),SUMIF(OFFSET($R91,1,0,$Q89-2),($L89+1)&amp;"$",OFFSET(AA91,1,0,$Q89-2)))</f>
        <v>0</v>
      </c>
      <c r="AB91" s="257">
        <f ca="1">IF($Q89=2,IF(AND(ACOMPANHAMENTO="PLE",ISNUMBER($E89)),SUMIF((OFFSET(CÁLCULO!$BC$15:$BU$15,$E89,0,OFFSET(ORÇAMENTO!$D$15,CRONO!$E89,0))),"="&amp;CRONO!AB$12,OFFSET(CÁLCULO!$AJ$15:$BB$15,$E89,0,OFFSET(ORÇAMENTO!$D$15,CRONO!$E89,0)))+IF(AND($E91&lt;&gt;"",$E91&lt;&gt;0),SUMIF(CÁLCULO!$BC$15:$BU$710,"="&amp;CRONO!AB$12,CÁLCULO!$AJ$15:$BB$710)/(ORÇAMENTO!$X$15-CÁLCULO.TotalAdmLocal)*CRONO!$E91,0),AB90*$R89),SUMIF(OFFSET($R91,1,0,$Q89-2),($L89+1)&amp;"$",OFFSET(AB91,1,0,$Q89-2)))</f>
        <v>0</v>
      </c>
      <c r="AC91" s="257">
        <f ca="1">IF($Q89=2,IF(AND(ACOMPANHAMENTO="PLE",ISNUMBER($E89)),SUMIF((OFFSET(CÁLCULO!$BC$15:$BU$15,$E89,0,OFFSET(ORÇAMENTO!$D$15,CRONO!$E89,0))),"="&amp;CRONO!AC$12,OFFSET(CÁLCULO!$AJ$15:$BB$15,$E89,0,OFFSET(ORÇAMENTO!$D$15,CRONO!$E89,0)))+IF(AND($E91&lt;&gt;"",$E91&lt;&gt;0),SUMIF(CÁLCULO!$BC$15:$BU$710,"="&amp;CRONO!AC$12,CÁLCULO!$AJ$15:$BB$710)/(ORÇAMENTO!$X$15-CÁLCULO.TotalAdmLocal)*CRONO!$E91,0),AC90*$R89),SUMIF(OFFSET($R91,1,0,$Q89-2),($L89+1)&amp;"$",OFFSET(AC91,1,0,$Q89-2)))</f>
        <v>0</v>
      </c>
      <c r="AD91" s="257">
        <f ca="1">IF($Q89=2,IF(AND(ACOMPANHAMENTO="PLE",ISNUMBER($E89)),SUMIF((OFFSET(CÁLCULO!$BC$15:$BU$15,$E89,0,OFFSET(ORÇAMENTO!$D$15,CRONO!$E89,0))),"="&amp;CRONO!AD$12,OFFSET(CÁLCULO!$AJ$15:$BB$15,$E89,0,OFFSET(ORÇAMENTO!$D$15,CRONO!$E89,0)))+IF(AND($E91&lt;&gt;"",$E91&lt;&gt;0),SUMIF(CÁLCULO!$BC$15:$BU$710,"="&amp;CRONO!AD$12,CÁLCULO!$AJ$15:$BB$710)/(ORÇAMENTO!$X$15-CÁLCULO.TotalAdmLocal)*CRONO!$E91,0),AD90*$R89),SUMIF(OFFSET($R91,1,0,$Q89-2),($L89+1)&amp;"$",OFFSET(AD91,1,0,$Q89-2)))</f>
        <v>0</v>
      </c>
      <c r="AE91" s="262">
        <f ca="1">IF($Q89=2,IF(AND(ACOMPANHAMENTO="PLE",ISNUMBER($E89)),SUMIF((OFFSET(CÁLCULO!$BC$15:$BU$15,$E89,0,OFFSET(ORÇAMENTO!$D$15,CRONO!$E89,0))),"="&amp;CRONO!AE$12,OFFSET(CÁLCULO!$AJ$15:$BB$15,$E89,0,OFFSET(ORÇAMENTO!$D$15,CRONO!$E89,0)))+IF(AND($E91&lt;&gt;"",$E91&lt;&gt;0),SUMIF(CÁLCULO!$BC$15:$BU$710,"="&amp;CRONO!AE$12,CÁLCULO!$AJ$15:$BB$710)/(ORÇAMENTO!$X$15-CÁLCULO.TotalAdmLocal)*CRONO!$E91,0),AE90*$R89),SUMIF(OFFSET($R91,1,0,$Q89-2),($L89+1)&amp;"$",OFFSET(AE91,1,0,$Q89-2)))</f>
        <v>0</v>
      </c>
      <c r="AF91" s="261">
        <f ca="1">IF($Q89=2,IF(AND(ACOMPANHAMENTO="PLE",ISNUMBER($E89)),SUMIF((OFFSET(CÁLCULO!$BC$15:$BU$15,$E89,0,OFFSET(ORÇAMENTO!$D$15,CRONO!$E89,0))),"&lt;="&amp;CRONO!AF$12,OFFSET(CÁLCULO!$AJ$15:$BB$15,$E89,0,OFFSET(ORÇAMENTO!$D$15,CRONO!$E89,0)))+IF(AND($E91&lt;&gt;"",$E91&lt;&gt;0),SUMIF(CÁLCULO!$BC$15:$BU$710,"&lt;="&amp;CRONO!AF$12,CÁLCULO!$AJ$15:$BB$710)/(ORÇAMENTO!$X$15-CÁLCULO.TotalAdmLocal)*CRONO!$E91,0),AF90*$R89),SUMIF(OFFSET($R91,1,0,$Q89-2),($L89+1)&amp;"$",OFFSET(AF91,1,0,$Q89-2)))</f>
        <v>0</v>
      </c>
      <c r="AG91" s="257">
        <f ca="1">IF($Q89=2,IF(AND(ACOMPANHAMENTO="PLE",ISNUMBER($E89)),SUMIF((OFFSET(CÁLCULO!$BC$15:$BU$15,$E89,0,OFFSET(ORÇAMENTO!$D$15,CRONO!$E89,0))),"="&amp;CRONO!AG$12,OFFSET(CÁLCULO!$AJ$15:$BB$15,$E89,0,OFFSET(ORÇAMENTO!$D$15,CRONO!$E89,0)))+IF(AND($E91&lt;&gt;"",$E91&lt;&gt;0),SUMIF(CÁLCULO!$BC$15:$BU$710,"="&amp;CRONO!AG$12,CÁLCULO!$AJ$15:$BB$710)/(ORÇAMENTO!$X$15-CÁLCULO.TotalAdmLocal)*CRONO!$E91,0),AG90*$R89),SUMIF(OFFSET($R91,1,0,$Q89-2),($L89+1)&amp;"$",OFFSET(AG91,1,0,$Q89-2)))</f>
        <v>0</v>
      </c>
      <c r="AH91" s="257">
        <f ca="1">IF($Q89=2,IF(AND(ACOMPANHAMENTO="PLE",ISNUMBER($E89)),SUMIF((OFFSET(CÁLCULO!$BC$15:$BU$15,$E89,0,OFFSET(ORÇAMENTO!$D$15,CRONO!$E89,0))),"="&amp;CRONO!AH$12,OFFSET(CÁLCULO!$AJ$15:$BB$15,$E89,0,OFFSET(ORÇAMENTO!$D$15,CRONO!$E89,0)))+IF(AND($E91&lt;&gt;"",$E91&lt;&gt;0),SUMIF(CÁLCULO!$BC$15:$BU$710,"="&amp;CRONO!AH$12,CÁLCULO!$AJ$15:$BB$710)/(ORÇAMENTO!$X$15-CÁLCULO.TotalAdmLocal)*CRONO!$E91,0),AH90*$R89),SUMIF(OFFSET($R91,1,0,$Q89-2),($L89+1)&amp;"$",OFFSET(AH91,1,0,$Q89-2)))</f>
        <v>0</v>
      </c>
      <c r="AI91" s="257">
        <f ca="1">IF($Q89=2,IF(AND(ACOMPANHAMENTO="PLE",ISNUMBER($E89)),SUMIF((OFFSET(CÁLCULO!$BC$15:$BU$15,$E89,0,OFFSET(ORÇAMENTO!$D$15,CRONO!$E89,0))),"="&amp;CRONO!AI$12,OFFSET(CÁLCULO!$AJ$15:$BB$15,$E89,0,OFFSET(ORÇAMENTO!$D$15,CRONO!$E89,0)))+IF(AND($E91&lt;&gt;"",$E91&lt;&gt;0),SUMIF(CÁLCULO!$BC$15:$BU$710,"="&amp;CRONO!AI$12,CÁLCULO!$AJ$15:$BB$710)/(ORÇAMENTO!$X$15-CÁLCULO.TotalAdmLocal)*CRONO!$E91,0),AI90*$R89),SUMIF(OFFSET($R91,1,0,$Q89-2),($L89+1)&amp;"$",OFFSET(AI91,1,0,$Q89-2)))</f>
        <v>0</v>
      </c>
      <c r="AJ91" s="257">
        <f ca="1">IF($Q89=2,IF(AND(ACOMPANHAMENTO="PLE",ISNUMBER($E89)),SUMIF((OFFSET(CÁLCULO!$BC$15:$BU$15,$E89,0,OFFSET(ORÇAMENTO!$D$15,CRONO!$E89,0))),"="&amp;CRONO!AJ$12,OFFSET(CÁLCULO!$AJ$15:$BB$15,$E89,0,OFFSET(ORÇAMENTO!$D$15,CRONO!$E89,0)))+IF(AND($E91&lt;&gt;"",$E91&lt;&gt;0),SUMIF(CÁLCULO!$BC$15:$BU$710,"="&amp;CRONO!AJ$12,CÁLCULO!$AJ$15:$BB$710)/(ORÇAMENTO!$X$15-CÁLCULO.TotalAdmLocal)*CRONO!$E91,0),AJ90*$R89),SUMIF(OFFSET($R91,1,0,$Q89-2),($L89+1)&amp;"$",OFFSET(AJ91,1,0,$Q89-2)))</f>
        <v>0</v>
      </c>
      <c r="AK91" s="257">
        <f ca="1">IF($Q89=2,IF(AND(ACOMPANHAMENTO="PLE",ISNUMBER($E89)),SUMIF((OFFSET(CÁLCULO!$BC$15:$BU$15,$E89,0,OFFSET(ORÇAMENTO!$D$15,CRONO!$E89,0))),"="&amp;CRONO!AK$12,OFFSET(CÁLCULO!$AJ$15:$BB$15,$E89,0,OFFSET(ORÇAMENTO!$D$15,CRONO!$E89,0)))+IF(AND($E91&lt;&gt;"",$E91&lt;&gt;0),SUMIF(CÁLCULO!$BC$15:$BU$710,"="&amp;CRONO!AK$12,CÁLCULO!$AJ$15:$BB$710)/(ORÇAMENTO!$X$15-CÁLCULO.TotalAdmLocal)*CRONO!$E91,0),AK90*$R89),SUMIF(OFFSET($R91,1,0,$Q89-2),($L89+1)&amp;"$",OFFSET(AK91,1,0,$Q89-2)))</f>
        <v>0</v>
      </c>
      <c r="AL91" s="257">
        <f ca="1">IF($Q89=2,IF(AND(ACOMPANHAMENTO="PLE",ISNUMBER($E89)),SUMIF((OFFSET(CÁLCULO!$BC$15:$BU$15,$E89,0,OFFSET(ORÇAMENTO!$D$15,CRONO!$E89,0))),"="&amp;CRONO!AL$12,OFFSET(CÁLCULO!$AJ$15:$BB$15,$E89,0,OFFSET(ORÇAMENTO!$D$15,CRONO!$E89,0)))+IF(AND($E91&lt;&gt;"",$E91&lt;&gt;0),SUMIF(CÁLCULO!$BC$15:$BU$710,"="&amp;CRONO!AL$12,CÁLCULO!$AJ$15:$BB$710)/(ORÇAMENTO!$X$15-CÁLCULO.TotalAdmLocal)*CRONO!$E91,0),AL90*$R89),SUMIF(OFFSET($R91,1,0,$Q89-2),($L89+1)&amp;"$",OFFSET(AL91,1,0,$Q89-2)))</f>
        <v>0</v>
      </c>
      <c r="AM91" s="257">
        <f ca="1">IF($Q89=2,IF(AND(ACOMPANHAMENTO="PLE",ISNUMBER($E89)),SUMIF((OFFSET(CÁLCULO!$BC$15:$BU$15,$E89,0,OFFSET(ORÇAMENTO!$D$15,CRONO!$E89,0))),"="&amp;CRONO!AM$12,OFFSET(CÁLCULO!$AJ$15:$BB$15,$E89,0,OFFSET(ORÇAMENTO!$D$15,CRONO!$E89,0)))+IF(AND($E91&lt;&gt;"",$E91&lt;&gt;0),SUMIF(CÁLCULO!$BC$15:$BU$710,"="&amp;CRONO!AM$12,CÁLCULO!$AJ$15:$BB$710)/(ORÇAMENTO!$X$15-CÁLCULO.TotalAdmLocal)*CRONO!$E91,0),AM90*$R89),SUMIF(OFFSET($R91,1,0,$Q89-2),($L89+1)&amp;"$",OFFSET(AM91,1,0,$Q89-2)))</f>
        <v>0</v>
      </c>
      <c r="AN91" s="257">
        <f ca="1">IF($Q89=2,IF(AND(ACOMPANHAMENTO="PLE",ISNUMBER($E89)),SUMIF((OFFSET(CÁLCULO!$BC$15:$BU$15,$E89,0,OFFSET(ORÇAMENTO!$D$15,CRONO!$E89,0))),"="&amp;CRONO!AN$12,OFFSET(CÁLCULO!$AJ$15:$BB$15,$E89,0,OFFSET(ORÇAMENTO!$D$15,CRONO!$E89,0)))+IF(AND($E91&lt;&gt;"",$E91&lt;&gt;0),SUMIF(CÁLCULO!$BC$15:$BU$710,"="&amp;CRONO!AN$12,CÁLCULO!$AJ$15:$BB$710)/(ORÇAMENTO!$X$15-CÁLCULO.TotalAdmLocal)*CRONO!$E91,0),AN90*$R89),SUMIF(OFFSET($R91,1,0,$Q89-2),($L89+1)&amp;"$",OFFSET(AN91,1,0,$Q89-2)))</f>
        <v>0</v>
      </c>
      <c r="AO91" s="257">
        <f ca="1">IF($Q89=2,IF(AND(ACOMPANHAMENTO="PLE",ISNUMBER($E89)),SUMIF((OFFSET(CÁLCULO!$BC$15:$BU$15,$E89,0,OFFSET(ORÇAMENTO!$D$15,CRONO!$E89,0))),"="&amp;CRONO!AO$12,OFFSET(CÁLCULO!$AJ$15:$BB$15,$E89,0,OFFSET(ORÇAMENTO!$D$15,CRONO!$E89,0)))+IF(AND($E91&lt;&gt;"",$E91&lt;&gt;0),SUMIF(CÁLCULO!$BC$15:$BU$710,"="&amp;CRONO!AO$12,CÁLCULO!$AJ$15:$BB$710)/(ORÇAMENTO!$X$15-CÁLCULO.TotalAdmLocal)*CRONO!$E91,0),AO90*$R89),SUMIF(OFFSET($R91,1,0,$Q89-2),($L89+1)&amp;"$",OFFSET(AO91,1,0,$Q89-2)))</f>
        <v>0</v>
      </c>
      <c r="AP91" s="257">
        <f ca="1">IF($Q89=2,IF(AND(ACOMPANHAMENTO="PLE",ISNUMBER($E89)),SUMIF((OFFSET(CÁLCULO!$BC$15:$BU$15,$E89,0,OFFSET(ORÇAMENTO!$D$15,CRONO!$E89,0))),"="&amp;CRONO!AP$12,OFFSET(CÁLCULO!$AJ$15:$BB$15,$E89,0,OFFSET(ORÇAMENTO!$D$15,CRONO!$E89,0)))+IF(AND($E91&lt;&gt;"",$E91&lt;&gt;0),SUMIF(CÁLCULO!$BC$15:$BU$710,"="&amp;CRONO!AP$12,CÁLCULO!$AJ$15:$BB$710)/(ORÇAMENTO!$X$15-CÁLCULO.TotalAdmLocal)*CRONO!$E91,0),AP90*$R89),SUMIF(OFFSET($R91,1,0,$Q89-2),($L89+1)&amp;"$",OFFSET(AP91,1,0,$Q89-2)))</f>
        <v>0</v>
      </c>
      <c r="AQ91" s="262">
        <f ca="1">IF($Q89=2,IF(AND(ACOMPANHAMENTO="PLE",ISNUMBER($E89)),SUMIF((OFFSET(CÁLCULO!$BC$15:$BU$15,$E89,0,OFFSET(ORÇAMENTO!$D$15,CRONO!$E89,0))),"="&amp;CRONO!AQ$12,OFFSET(CÁLCULO!$AJ$15:$BB$15,$E89,0,OFFSET(ORÇAMENTO!$D$15,CRONO!$E89,0)))+IF(AND($E91&lt;&gt;"",$E91&lt;&gt;0),SUMIF(CÁLCULO!$BC$15:$BU$710,"="&amp;CRONO!AQ$12,CÁLCULO!$AJ$15:$BB$710)/(ORÇAMENTO!$X$15-CÁLCULO.TotalAdmLocal)*CRONO!$E91,0),AQ90*$R89),SUMIF(OFFSET($R91,1,0,$Q89-2),($L89+1)&amp;"$",OFFSET(AQ91,1,0,$Q89-2)))</f>
        <v>0</v>
      </c>
    </row>
    <row r="92" spans="1:44" x14ac:dyDescent="0.25">
      <c r="A92" s="238">
        <f ca="1">OFFSET(A92,-3,0)+1</f>
        <v>27</v>
      </c>
      <c r="B92" s="238">
        <f ca="1">IF($Q92&lt;&gt;2,0,IF($R92=0,1,IF(E93&gt;0,OFFSET(QCI!$M$13,SUBSTITUTE(E93,".",""),0),OFFSET(ORÇAMENTO!$AA$15,CRONO!$E92,0))/$R92))</f>
        <v>1</v>
      </c>
      <c r="C92" s="238">
        <f ca="1">IF($Q92&lt;&gt;2,0,IF($R92=0,1,IF(E93&gt;0,OFFSET(QCI!$N$13,SUBSTITUTE(E93,".",""),0),OFFSET(ORÇAMENTO!$AB$15,CRONO!$E92,0))/$R92))</f>
        <v>1</v>
      </c>
      <c r="D92" s="241">
        <f ca="1">IF(AND($Q92=2,ACOMPANHAMENTO="BM"),D93,D94/$R92)</f>
        <v>0</v>
      </c>
      <c r="E92" s="238">
        <f ca="1">IF(A92&lt;=ORÇAMENTO.MáximoListaCrono,MATCH(A92,ORÇAMENTO.ListaCrono,0),NA())</f>
        <v>688</v>
      </c>
      <c r="F92" s="238" t="str">
        <f ca="1">IF(AND($E93&lt;&gt;-1,$R92&gt;0),"F","")</f>
        <v/>
      </c>
      <c r="G92" s="242" t="str">
        <f ca="1">IF(OR(R92=0,R92=""),"Linha",IF(AND(OR(ACOMPANHAMENTO="PLE",$Q92&lt;&gt;2),$E93=0),"Linha",1-SUM(T92:AR92)))</f>
        <v>Linha</v>
      </c>
      <c r="H92" s="243" t="str">
        <f ca="1">IF($E93=0,OFFSET(ORÇAMENTO!O$15,$E92,0),IF($E93&lt;&gt;-1,OFFSET(QCI!$D$13,$E93,0),""))</f>
        <v>2.1.</v>
      </c>
      <c r="I92" s="244" t="str">
        <f ca="1">IF($E93=0,OFFSET(ORÇAMENTO!R$15,$E92,0),IF($E93&lt;&gt;-1,OFFSET(QCI!$G$13,$E93,0),""))</f>
        <v>PASSEIO COM ACESSIBILIDADE</v>
      </c>
      <c r="J92" s="244"/>
      <c r="K92" s="244"/>
      <c r="L92" s="245">
        <f ca="1">IF($E93=0,OFFSET(ORÇAMENTO!C$15,$E92,0),1)</f>
        <v>2</v>
      </c>
      <c r="M92" s="246">
        <f ca="1">IF($E93=-1,0,IF(M$13&lt;=$L92,IF(ISERROR(MATCH(M$13,OFFSET($L92,1,0,ROW($L$98)-ROW($L92)-1),0)),ROW($L$98)-ROW($L92)-1,MATCH(M$13,OFFSET($L92,1,0,ROW($L$98)-ROW($L92)-1),0)-1),0))</f>
        <v>5</v>
      </c>
      <c r="N92" s="246">
        <f ca="1">IF($E93=-1,0,IF(N$13&lt;=$L92,IF(ISERROR(MATCH(N$13,OFFSET($L92,1,0,ROW($L$98)-ROW($L92)-1),0)),ROW($L$98)-ROW($L92)-1,MATCH(N$13,OFFSET($L92,1,0,ROW($L$98)-ROW($L92)-1),0)-1),0))</f>
        <v>2</v>
      </c>
      <c r="O92" s="246">
        <f ca="1">IF($E93=-1,0,IF(O$13&lt;=$L92,IF(ISERROR(MATCH(O$13,OFFSET($L92,1,0,ROW($L$98)-ROW($L92)-1),0)),ROW($L$98)-ROW($L92)-1,MATCH(O$13,OFFSET($L92,1,0,ROW($L$98)-ROW($L92)-1),0)-1),0))</f>
        <v>0</v>
      </c>
      <c r="P92" s="246">
        <f ca="1">IF($E93=-1,0,IF(P$13&lt;=$L92,IF(ISERROR(MATCH(P$13,OFFSET($L92,1,0,ROW($L$98)-ROW($L92)-1),0)),ROW($L$98)-ROW($L92)-1,MATCH(P$13,OFFSET($L92,1,0,ROW($L$98)-ROW($L92)-1),0)-1),0))</f>
        <v>0</v>
      </c>
      <c r="Q92" s="246">
        <f ca="1">MIN(OFFSET(L92,0,1,,L92))</f>
        <v>2</v>
      </c>
      <c r="R92" s="247">
        <f ca="1">IF($E93=0,OFFSET(ORÇAMENTO!X$15,$E92,0),IF($E93&lt;&gt;-1,OFFSET(QCI!$O$13,$E93,0),""))</f>
        <v>0</v>
      </c>
      <c r="S92" s="248" t="s">
        <v>272</v>
      </c>
      <c r="T92" s="249">
        <f t="shared" ref="T92:AQ92" ca="1" si="30">IF(AND($Q92=2,ACOMPANHAMENTO="BM"),T93,T94/$R92)</f>
        <v>0</v>
      </c>
      <c r="U92" s="241">
        <f t="shared" ca="1" si="30"/>
        <v>0</v>
      </c>
      <c r="V92" s="241">
        <f t="shared" ca="1" si="30"/>
        <v>0</v>
      </c>
      <c r="W92" s="241">
        <f t="shared" ca="1" si="30"/>
        <v>0</v>
      </c>
      <c r="X92" s="241">
        <f t="shared" ca="1" si="30"/>
        <v>0</v>
      </c>
      <c r="Y92" s="241">
        <f t="shared" ca="1" si="30"/>
        <v>0</v>
      </c>
      <c r="Z92" s="241">
        <f t="shared" ca="1" si="30"/>
        <v>0</v>
      </c>
      <c r="AA92" s="241">
        <f t="shared" ca="1" si="30"/>
        <v>0</v>
      </c>
      <c r="AB92" s="241">
        <f t="shared" ca="1" si="30"/>
        <v>0</v>
      </c>
      <c r="AC92" s="241">
        <f t="shared" ca="1" si="30"/>
        <v>0</v>
      </c>
      <c r="AD92" s="241">
        <f t="shared" ca="1" si="30"/>
        <v>0</v>
      </c>
      <c r="AE92" s="250">
        <f t="shared" ca="1" si="30"/>
        <v>0</v>
      </c>
      <c r="AF92" s="249">
        <f t="shared" ca="1" si="30"/>
        <v>0</v>
      </c>
      <c r="AG92" s="241">
        <f t="shared" ca="1" si="30"/>
        <v>0</v>
      </c>
      <c r="AH92" s="241">
        <f t="shared" ca="1" si="30"/>
        <v>0</v>
      </c>
      <c r="AI92" s="241">
        <f t="shared" ca="1" si="30"/>
        <v>0</v>
      </c>
      <c r="AJ92" s="241">
        <f t="shared" ca="1" si="30"/>
        <v>0</v>
      </c>
      <c r="AK92" s="241">
        <f t="shared" ca="1" si="30"/>
        <v>0</v>
      </c>
      <c r="AL92" s="241">
        <f t="shared" ca="1" si="30"/>
        <v>0</v>
      </c>
      <c r="AM92" s="241">
        <f t="shared" ca="1" si="30"/>
        <v>0</v>
      </c>
      <c r="AN92" s="241">
        <f t="shared" ca="1" si="30"/>
        <v>0</v>
      </c>
      <c r="AO92" s="241">
        <f t="shared" ca="1" si="30"/>
        <v>0</v>
      </c>
      <c r="AP92" s="241">
        <f t="shared" ca="1" si="30"/>
        <v>0</v>
      </c>
      <c r="AQ92" s="250">
        <f t="shared" ca="1" si="30"/>
        <v>1</v>
      </c>
    </row>
    <row r="93" spans="1:44" ht="12.75" customHeight="1" x14ac:dyDescent="0.25">
      <c r="D93" s="658"/>
      <c r="E93" s="238">
        <f ca="1">IF(ISERROR(E92),IF(1+COUNTIF($L$13:OFFSET(L92,-1,0),1)&lt;=MAX(QCI!$D$13:$D$24),1+COUNTIF($L$13:OFFSET(L92,-1,0),1),-1),0)</f>
        <v>0</v>
      </c>
      <c r="F93" s="238" t="str">
        <f ca="1">IF(AND($E93&lt;&gt;-1,$R92&gt;0),"F","")</f>
        <v/>
      </c>
      <c r="G93" s="251" t="str">
        <f ca="1">IF(OR(R92=0,R92=""),"vazia",IF(AND(OR(ACOMPANHAMENTO="PLE",$Q92&lt;&gt;2),$E93=0),"calculada","--&gt;"))</f>
        <v>vazia</v>
      </c>
      <c r="H93" s="252"/>
      <c r="I93" s="253" t="str">
        <f ca="1">IF(AND(G92&lt;&gt;0,ISNUMBER(G92)),"PREENCHA ESTA LINHA --&gt;","")</f>
        <v/>
      </c>
      <c r="J93" s="253"/>
      <c r="K93" s="253"/>
      <c r="L93" s="254"/>
      <c r="M93" s="254"/>
      <c r="N93" s="254"/>
      <c r="O93" s="254"/>
      <c r="P93" s="254"/>
      <c r="Q93" s="254"/>
      <c r="R93" s="255"/>
      <c r="S93" s="256"/>
      <c r="T93" s="659"/>
      <c r="U93" s="658"/>
      <c r="V93" s="658"/>
      <c r="W93" s="658"/>
      <c r="X93" s="658"/>
      <c r="Y93" s="658"/>
      <c r="Z93" s="658"/>
      <c r="AA93" s="658"/>
      <c r="AB93" s="658"/>
      <c r="AC93" s="658"/>
      <c r="AD93" s="658"/>
      <c r="AE93" s="660"/>
      <c r="AF93" s="659"/>
      <c r="AG93" s="658"/>
      <c r="AH93" s="658"/>
      <c r="AI93" s="658"/>
      <c r="AJ93" s="658"/>
      <c r="AK93" s="658"/>
      <c r="AL93" s="658"/>
      <c r="AM93" s="658"/>
      <c r="AN93" s="658"/>
      <c r="AO93" s="658"/>
      <c r="AP93" s="658"/>
      <c r="AQ93" s="660">
        <v>1</v>
      </c>
      <c r="AR93" s="618"/>
    </row>
    <row r="94" spans="1:44" ht="0.15" hidden="1" customHeight="1" x14ac:dyDescent="0.25">
      <c r="D94" s="257">
        <f ca="1">IF($Q92=2,IF(AND(ACOMPANHAMENTO="PLE",ISNUMBER($E92)),SUMIF((OFFSET(CÁLCULO!$BC$15:$BU$15,$E92,0,OFFSET(ORÇAMENTO!$D$15,CRONO!$E92,0))),"="&amp;CRONO!D$12,OFFSET(CÁLCULO!$AJ$15:$BB$15,$E92,0,OFFSET(ORÇAMENTO!$D$15,CRONO!$E92,0)))+IF(AND($E94&lt;&gt;"",$E94&lt;&gt;0),SUMIF(CÁLCULO!$BC$15:$BU$710,"="&amp;CRONO!D$12,CÁLCULO!$AJ$15:$BB$710)/(ORÇAMENTO!$X$15-CÁLCULO.TotalAdmLocal)*CRONO!$E94,0),D93*$R92),SUMIF(OFFSET($R94,1,0,$Q92-2),($L92+1)&amp;"$",OFFSET(D94,1,0,$Q92-2)))</f>
        <v>0</v>
      </c>
      <c r="E94" s="238">
        <f ca="1">IF(OR($Q92&lt;&gt;2,AUTOEVENTO&lt;&gt;"manual",$E93&gt;0),"",SUMIF(OFFSET(CÁLCULO!$M$15,CRONO!$E92,0,OFFSET(ORÇAMENTO!$D$15,CRONO!$E92,0)),1,OFFSET(ORÇAMENTO!$X$15,CRONO!$E92,0,OFFSET(ORÇAMENTO!$D$15,CRONO!$E92,0))))</f>
        <v>0</v>
      </c>
      <c r="G94" s="258"/>
      <c r="R94" s="259" t="str">
        <f ca="1">L92&amp;"$"</f>
        <v>2$</v>
      </c>
      <c r="S94" s="260"/>
      <c r="T94" s="261">
        <f ca="1">IF($Q92=2,IF(AND(ACOMPANHAMENTO="PLE",ISNUMBER($E92)),SUMIF((OFFSET(CÁLCULO!$BC$15:$BU$15,$E92,0,OFFSET(ORÇAMENTO!$D$15,CRONO!$E92,0))),"&lt;="&amp;CRONO!T$12,OFFSET(CÁLCULO!$AJ$15:$BB$15,$E92,0,OFFSET(ORÇAMENTO!$D$15,CRONO!$E92,0)))+IF(AND($E94&lt;&gt;"",$E94&lt;&gt;0),SUMIF(CÁLCULO!$BC$15:$BU$710,"&lt;="&amp;CRONO!T$12,CÁLCULO!$AJ$15:$BB$710)/(ORÇAMENTO!$X$15-CÁLCULO.TotalAdmLocal)*CRONO!$E94,0),T93*$R92),SUMIF(OFFSET($R94,1,0,$Q92-2),($L92+1)&amp;"$",OFFSET(T94,1,0,$Q92-2)))</f>
        <v>0</v>
      </c>
      <c r="U94" s="257">
        <f ca="1">IF($Q92=2,IF(AND(ACOMPANHAMENTO="PLE",ISNUMBER($E92)),SUMIF((OFFSET(CÁLCULO!$BC$15:$BU$15,$E92,0,OFFSET(ORÇAMENTO!$D$15,CRONO!$E92,0))),"="&amp;CRONO!U$12,OFFSET(CÁLCULO!$AJ$15:$BB$15,$E92,0,OFFSET(ORÇAMENTO!$D$15,CRONO!$E92,0)))+IF(AND($E94&lt;&gt;"",$E94&lt;&gt;0),SUMIF(CÁLCULO!$BC$15:$BU$710,"="&amp;CRONO!U$12,CÁLCULO!$AJ$15:$BB$710)/(ORÇAMENTO!$X$15-CÁLCULO.TotalAdmLocal)*CRONO!$E94,0),U93*$R92),SUMIF(OFFSET($R94,1,0,$Q92-2),($L92+1)&amp;"$",OFFSET(U94,1,0,$Q92-2)))</f>
        <v>0</v>
      </c>
      <c r="V94" s="257">
        <f ca="1">IF($Q92=2,IF(AND(ACOMPANHAMENTO="PLE",ISNUMBER($E92)),SUMIF((OFFSET(CÁLCULO!$BC$15:$BU$15,$E92,0,OFFSET(ORÇAMENTO!$D$15,CRONO!$E92,0))),"="&amp;CRONO!V$12,OFFSET(CÁLCULO!$AJ$15:$BB$15,$E92,0,OFFSET(ORÇAMENTO!$D$15,CRONO!$E92,0)))+IF(AND($E94&lt;&gt;"",$E94&lt;&gt;0),SUMIF(CÁLCULO!$BC$15:$BU$710,"="&amp;CRONO!V$12,CÁLCULO!$AJ$15:$BB$710)/(ORÇAMENTO!$X$15-CÁLCULO.TotalAdmLocal)*CRONO!$E94,0),V93*$R92),SUMIF(OFFSET($R94,1,0,$Q92-2),($L92+1)&amp;"$",OFFSET(V94,1,0,$Q92-2)))</f>
        <v>0</v>
      </c>
      <c r="W94" s="257">
        <f ca="1">IF($Q92=2,IF(AND(ACOMPANHAMENTO="PLE",ISNUMBER($E92)),SUMIF((OFFSET(CÁLCULO!$BC$15:$BU$15,$E92,0,OFFSET(ORÇAMENTO!$D$15,CRONO!$E92,0))),"="&amp;CRONO!W$12,OFFSET(CÁLCULO!$AJ$15:$BB$15,$E92,0,OFFSET(ORÇAMENTO!$D$15,CRONO!$E92,0)))+IF(AND($E94&lt;&gt;"",$E94&lt;&gt;0),SUMIF(CÁLCULO!$BC$15:$BU$710,"="&amp;CRONO!W$12,CÁLCULO!$AJ$15:$BB$710)/(ORÇAMENTO!$X$15-CÁLCULO.TotalAdmLocal)*CRONO!$E94,0),W93*$R92),SUMIF(OFFSET($R94,1,0,$Q92-2),($L92+1)&amp;"$",OFFSET(W94,1,0,$Q92-2)))</f>
        <v>0</v>
      </c>
      <c r="X94" s="257">
        <f ca="1">IF($Q92=2,IF(AND(ACOMPANHAMENTO="PLE",ISNUMBER($E92)),SUMIF((OFFSET(CÁLCULO!$BC$15:$BU$15,$E92,0,OFFSET(ORÇAMENTO!$D$15,CRONO!$E92,0))),"="&amp;CRONO!X$12,OFFSET(CÁLCULO!$AJ$15:$BB$15,$E92,0,OFFSET(ORÇAMENTO!$D$15,CRONO!$E92,0)))+IF(AND($E94&lt;&gt;"",$E94&lt;&gt;0),SUMIF(CÁLCULO!$BC$15:$BU$710,"="&amp;CRONO!X$12,CÁLCULO!$AJ$15:$BB$710)/(ORÇAMENTO!$X$15-CÁLCULO.TotalAdmLocal)*CRONO!$E94,0),X93*$R92),SUMIF(OFFSET($R94,1,0,$Q92-2),($L92+1)&amp;"$",OFFSET(X94,1,0,$Q92-2)))</f>
        <v>0</v>
      </c>
      <c r="Y94" s="257">
        <f ca="1">IF($Q92=2,IF(AND(ACOMPANHAMENTO="PLE",ISNUMBER($E92)),SUMIF((OFFSET(CÁLCULO!$BC$15:$BU$15,$E92,0,OFFSET(ORÇAMENTO!$D$15,CRONO!$E92,0))),"="&amp;CRONO!Y$12,OFFSET(CÁLCULO!$AJ$15:$BB$15,$E92,0,OFFSET(ORÇAMENTO!$D$15,CRONO!$E92,0)))+IF(AND($E94&lt;&gt;"",$E94&lt;&gt;0),SUMIF(CÁLCULO!$BC$15:$BU$710,"="&amp;CRONO!Y$12,CÁLCULO!$AJ$15:$BB$710)/(ORÇAMENTO!$X$15-CÁLCULO.TotalAdmLocal)*CRONO!$E94,0),Y93*$R92),SUMIF(OFFSET($R94,1,0,$Q92-2),($L92+1)&amp;"$",OFFSET(Y94,1,0,$Q92-2)))</f>
        <v>0</v>
      </c>
      <c r="Z94" s="257">
        <f ca="1">IF($Q92=2,IF(AND(ACOMPANHAMENTO="PLE",ISNUMBER($E92)),SUMIF((OFFSET(CÁLCULO!$BC$15:$BU$15,$E92,0,OFFSET(ORÇAMENTO!$D$15,CRONO!$E92,0))),"="&amp;CRONO!Z$12,OFFSET(CÁLCULO!$AJ$15:$BB$15,$E92,0,OFFSET(ORÇAMENTO!$D$15,CRONO!$E92,0)))+IF(AND($E94&lt;&gt;"",$E94&lt;&gt;0),SUMIF(CÁLCULO!$BC$15:$BU$710,"="&amp;CRONO!Z$12,CÁLCULO!$AJ$15:$BB$710)/(ORÇAMENTO!$X$15-CÁLCULO.TotalAdmLocal)*CRONO!$E94,0),Z93*$R92),SUMIF(OFFSET($R94,1,0,$Q92-2),($L92+1)&amp;"$",OFFSET(Z94,1,0,$Q92-2)))</f>
        <v>0</v>
      </c>
      <c r="AA94" s="257">
        <f ca="1">IF($Q92=2,IF(AND(ACOMPANHAMENTO="PLE",ISNUMBER($E92)),SUMIF((OFFSET(CÁLCULO!$BC$15:$BU$15,$E92,0,OFFSET(ORÇAMENTO!$D$15,CRONO!$E92,0))),"="&amp;CRONO!AA$12,OFFSET(CÁLCULO!$AJ$15:$BB$15,$E92,0,OFFSET(ORÇAMENTO!$D$15,CRONO!$E92,0)))+IF(AND($E94&lt;&gt;"",$E94&lt;&gt;0),SUMIF(CÁLCULO!$BC$15:$BU$710,"="&amp;CRONO!AA$12,CÁLCULO!$AJ$15:$BB$710)/(ORÇAMENTO!$X$15-CÁLCULO.TotalAdmLocal)*CRONO!$E94,0),AA93*$R92),SUMIF(OFFSET($R94,1,0,$Q92-2),($L92+1)&amp;"$",OFFSET(AA94,1,0,$Q92-2)))</f>
        <v>0</v>
      </c>
      <c r="AB94" s="257">
        <f ca="1">IF($Q92=2,IF(AND(ACOMPANHAMENTO="PLE",ISNUMBER($E92)),SUMIF((OFFSET(CÁLCULO!$BC$15:$BU$15,$E92,0,OFFSET(ORÇAMENTO!$D$15,CRONO!$E92,0))),"="&amp;CRONO!AB$12,OFFSET(CÁLCULO!$AJ$15:$BB$15,$E92,0,OFFSET(ORÇAMENTO!$D$15,CRONO!$E92,0)))+IF(AND($E94&lt;&gt;"",$E94&lt;&gt;0),SUMIF(CÁLCULO!$BC$15:$BU$710,"="&amp;CRONO!AB$12,CÁLCULO!$AJ$15:$BB$710)/(ORÇAMENTO!$X$15-CÁLCULO.TotalAdmLocal)*CRONO!$E94,0),AB93*$R92),SUMIF(OFFSET($R94,1,0,$Q92-2),($L92+1)&amp;"$",OFFSET(AB94,1,0,$Q92-2)))</f>
        <v>0</v>
      </c>
      <c r="AC94" s="257">
        <f ca="1">IF($Q92=2,IF(AND(ACOMPANHAMENTO="PLE",ISNUMBER($E92)),SUMIF((OFFSET(CÁLCULO!$BC$15:$BU$15,$E92,0,OFFSET(ORÇAMENTO!$D$15,CRONO!$E92,0))),"="&amp;CRONO!AC$12,OFFSET(CÁLCULO!$AJ$15:$BB$15,$E92,0,OFFSET(ORÇAMENTO!$D$15,CRONO!$E92,0)))+IF(AND($E94&lt;&gt;"",$E94&lt;&gt;0),SUMIF(CÁLCULO!$BC$15:$BU$710,"="&amp;CRONO!AC$12,CÁLCULO!$AJ$15:$BB$710)/(ORÇAMENTO!$X$15-CÁLCULO.TotalAdmLocal)*CRONO!$E94,0),AC93*$R92),SUMIF(OFFSET($R94,1,0,$Q92-2),($L92+1)&amp;"$",OFFSET(AC94,1,0,$Q92-2)))</f>
        <v>0</v>
      </c>
      <c r="AD94" s="257">
        <f ca="1">IF($Q92=2,IF(AND(ACOMPANHAMENTO="PLE",ISNUMBER($E92)),SUMIF((OFFSET(CÁLCULO!$BC$15:$BU$15,$E92,0,OFFSET(ORÇAMENTO!$D$15,CRONO!$E92,0))),"="&amp;CRONO!AD$12,OFFSET(CÁLCULO!$AJ$15:$BB$15,$E92,0,OFFSET(ORÇAMENTO!$D$15,CRONO!$E92,0)))+IF(AND($E94&lt;&gt;"",$E94&lt;&gt;0),SUMIF(CÁLCULO!$BC$15:$BU$710,"="&amp;CRONO!AD$12,CÁLCULO!$AJ$15:$BB$710)/(ORÇAMENTO!$X$15-CÁLCULO.TotalAdmLocal)*CRONO!$E94,0),AD93*$R92),SUMIF(OFFSET($R94,1,0,$Q92-2),($L92+1)&amp;"$",OFFSET(AD94,1,0,$Q92-2)))</f>
        <v>0</v>
      </c>
      <c r="AE94" s="262">
        <f ca="1">IF($Q92=2,IF(AND(ACOMPANHAMENTO="PLE",ISNUMBER($E92)),SUMIF((OFFSET(CÁLCULO!$BC$15:$BU$15,$E92,0,OFFSET(ORÇAMENTO!$D$15,CRONO!$E92,0))),"="&amp;CRONO!AE$12,OFFSET(CÁLCULO!$AJ$15:$BB$15,$E92,0,OFFSET(ORÇAMENTO!$D$15,CRONO!$E92,0)))+IF(AND($E94&lt;&gt;"",$E94&lt;&gt;0),SUMIF(CÁLCULO!$BC$15:$BU$710,"="&amp;CRONO!AE$12,CÁLCULO!$AJ$15:$BB$710)/(ORÇAMENTO!$X$15-CÁLCULO.TotalAdmLocal)*CRONO!$E94,0),AE93*$R92),SUMIF(OFFSET($R94,1,0,$Q92-2),($L92+1)&amp;"$",OFFSET(AE94,1,0,$Q92-2)))</f>
        <v>0</v>
      </c>
      <c r="AF94" s="261">
        <f ca="1">IF($Q92=2,IF(AND(ACOMPANHAMENTO="PLE",ISNUMBER($E92)),SUMIF((OFFSET(CÁLCULO!$BC$15:$BU$15,$E92,0,OFFSET(ORÇAMENTO!$D$15,CRONO!$E92,0))),"&lt;="&amp;CRONO!AF$12,OFFSET(CÁLCULO!$AJ$15:$BB$15,$E92,0,OFFSET(ORÇAMENTO!$D$15,CRONO!$E92,0)))+IF(AND($E94&lt;&gt;"",$E94&lt;&gt;0),SUMIF(CÁLCULO!$BC$15:$BU$710,"&lt;="&amp;CRONO!AF$12,CÁLCULO!$AJ$15:$BB$710)/(ORÇAMENTO!$X$15-CÁLCULO.TotalAdmLocal)*CRONO!$E94,0),AF93*$R92),SUMIF(OFFSET($R94,1,0,$Q92-2),($L92+1)&amp;"$",OFFSET(AF94,1,0,$Q92-2)))</f>
        <v>0</v>
      </c>
      <c r="AG94" s="257">
        <f ca="1">IF($Q92=2,IF(AND(ACOMPANHAMENTO="PLE",ISNUMBER($E92)),SUMIF((OFFSET(CÁLCULO!$BC$15:$BU$15,$E92,0,OFFSET(ORÇAMENTO!$D$15,CRONO!$E92,0))),"="&amp;CRONO!AG$12,OFFSET(CÁLCULO!$AJ$15:$BB$15,$E92,0,OFFSET(ORÇAMENTO!$D$15,CRONO!$E92,0)))+IF(AND($E94&lt;&gt;"",$E94&lt;&gt;0),SUMIF(CÁLCULO!$BC$15:$BU$710,"="&amp;CRONO!AG$12,CÁLCULO!$AJ$15:$BB$710)/(ORÇAMENTO!$X$15-CÁLCULO.TotalAdmLocal)*CRONO!$E94,0),AG93*$R92),SUMIF(OFFSET($R94,1,0,$Q92-2),($L92+1)&amp;"$",OFFSET(AG94,1,0,$Q92-2)))</f>
        <v>0</v>
      </c>
      <c r="AH94" s="257">
        <f ca="1">IF($Q92=2,IF(AND(ACOMPANHAMENTO="PLE",ISNUMBER($E92)),SUMIF((OFFSET(CÁLCULO!$BC$15:$BU$15,$E92,0,OFFSET(ORÇAMENTO!$D$15,CRONO!$E92,0))),"="&amp;CRONO!AH$12,OFFSET(CÁLCULO!$AJ$15:$BB$15,$E92,0,OFFSET(ORÇAMENTO!$D$15,CRONO!$E92,0)))+IF(AND($E94&lt;&gt;"",$E94&lt;&gt;0),SUMIF(CÁLCULO!$BC$15:$BU$710,"="&amp;CRONO!AH$12,CÁLCULO!$AJ$15:$BB$710)/(ORÇAMENTO!$X$15-CÁLCULO.TotalAdmLocal)*CRONO!$E94,0),AH93*$R92),SUMIF(OFFSET($R94,1,0,$Q92-2),($L92+1)&amp;"$",OFFSET(AH94,1,0,$Q92-2)))</f>
        <v>0</v>
      </c>
      <c r="AI94" s="257">
        <f ca="1">IF($Q92=2,IF(AND(ACOMPANHAMENTO="PLE",ISNUMBER($E92)),SUMIF((OFFSET(CÁLCULO!$BC$15:$BU$15,$E92,0,OFFSET(ORÇAMENTO!$D$15,CRONO!$E92,0))),"="&amp;CRONO!AI$12,OFFSET(CÁLCULO!$AJ$15:$BB$15,$E92,0,OFFSET(ORÇAMENTO!$D$15,CRONO!$E92,0)))+IF(AND($E94&lt;&gt;"",$E94&lt;&gt;0),SUMIF(CÁLCULO!$BC$15:$BU$710,"="&amp;CRONO!AI$12,CÁLCULO!$AJ$15:$BB$710)/(ORÇAMENTO!$X$15-CÁLCULO.TotalAdmLocal)*CRONO!$E94,0),AI93*$R92),SUMIF(OFFSET($R94,1,0,$Q92-2),($L92+1)&amp;"$",OFFSET(AI94,1,0,$Q92-2)))</f>
        <v>0</v>
      </c>
      <c r="AJ94" s="257">
        <f ca="1">IF($Q92=2,IF(AND(ACOMPANHAMENTO="PLE",ISNUMBER($E92)),SUMIF((OFFSET(CÁLCULO!$BC$15:$BU$15,$E92,0,OFFSET(ORÇAMENTO!$D$15,CRONO!$E92,0))),"="&amp;CRONO!AJ$12,OFFSET(CÁLCULO!$AJ$15:$BB$15,$E92,0,OFFSET(ORÇAMENTO!$D$15,CRONO!$E92,0)))+IF(AND($E94&lt;&gt;"",$E94&lt;&gt;0),SUMIF(CÁLCULO!$BC$15:$BU$710,"="&amp;CRONO!AJ$12,CÁLCULO!$AJ$15:$BB$710)/(ORÇAMENTO!$X$15-CÁLCULO.TotalAdmLocal)*CRONO!$E94,0),AJ93*$R92),SUMIF(OFFSET($R94,1,0,$Q92-2),($L92+1)&amp;"$",OFFSET(AJ94,1,0,$Q92-2)))</f>
        <v>0</v>
      </c>
      <c r="AK94" s="257">
        <f ca="1">IF($Q92=2,IF(AND(ACOMPANHAMENTO="PLE",ISNUMBER($E92)),SUMIF((OFFSET(CÁLCULO!$BC$15:$BU$15,$E92,0,OFFSET(ORÇAMENTO!$D$15,CRONO!$E92,0))),"="&amp;CRONO!AK$12,OFFSET(CÁLCULO!$AJ$15:$BB$15,$E92,0,OFFSET(ORÇAMENTO!$D$15,CRONO!$E92,0)))+IF(AND($E94&lt;&gt;"",$E94&lt;&gt;0),SUMIF(CÁLCULO!$BC$15:$BU$710,"="&amp;CRONO!AK$12,CÁLCULO!$AJ$15:$BB$710)/(ORÇAMENTO!$X$15-CÁLCULO.TotalAdmLocal)*CRONO!$E94,0),AK93*$R92),SUMIF(OFFSET($R94,1,0,$Q92-2),($L92+1)&amp;"$",OFFSET(AK94,1,0,$Q92-2)))</f>
        <v>0</v>
      </c>
      <c r="AL94" s="257">
        <f ca="1">IF($Q92=2,IF(AND(ACOMPANHAMENTO="PLE",ISNUMBER($E92)),SUMIF((OFFSET(CÁLCULO!$BC$15:$BU$15,$E92,0,OFFSET(ORÇAMENTO!$D$15,CRONO!$E92,0))),"="&amp;CRONO!AL$12,OFFSET(CÁLCULO!$AJ$15:$BB$15,$E92,0,OFFSET(ORÇAMENTO!$D$15,CRONO!$E92,0)))+IF(AND($E94&lt;&gt;"",$E94&lt;&gt;0),SUMIF(CÁLCULO!$BC$15:$BU$710,"="&amp;CRONO!AL$12,CÁLCULO!$AJ$15:$BB$710)/(ORÇAMENTO!$X$15-CÁLCULO.TotalAdmLocal)*CRONO!$E94,0),AL93*$R92),SUMIF(OFFSET($R94,1,0,$Q92-2),($L92+1)&amp;"$",OFFSET(AL94,1,0,$Q92-2)))</f>
        <v>0</v>
      </c>
      <c r="AM94" s="257">
        <f ca="1">IF($Q92=2,IF(AND(ACOMPANHAMENTO="PLE",ISNUMBER($E92)),SUMIF((OFFSET(CÁLCULO!$BC$15:$BU$15,$E92,0,OFFSET(ORÇAMENTO!$D$15,CRONO!$E92,0))),"="&amp;CRONO!AM$12,OFFSET(CÁLCULO!$AJ$15:$BB$15,$E92,0,OFFSET(ORÇAMENTO!$D$15,CRONO!$E92,0)))+IF(AND($E94&lt;&gt;"",$E94&lt;&gt;0),SUMIF(CÁLCULO!$BC$15:$BU$710,"="&amp;CRONO!AM$12,CÁLCULO!$AJ$15:$BB$710)/(ORÇAMENTO!$X$15-CÁLCULO.TotalAdmLocal)*CRONO!$E94,0),AM93*$R92),SUMIF(OFFSET($R94,1,0,$Q92-2),($L92+1)&amp;"$",OFFSET(AM94,1,0,$Q92-2)))</f>
        <v>0</v>
      </c>
      <c r="AN94" s="257">
        <f ca="1">IF($Q92=2,IF(AND(ACOMPANHAMENTO="PLE",ISNUMBER($E92)),SUMIF((OFFSET(CÁLCULO!$BC$15:$BU$15,$E92,0,OFFSET(ORÇAMENTO!$D$15,CRONO!$E92,0))),"="&amp;CRONO!AN$12,OFFSET(CÁLCULO!$AJ$15:$BB$15,$E92,0,OFFSET(ORÇAMENTO!$D$15,CRONO!$E92,0)))+IF(AND($E94&lt;&gt;"",$E94&lt;&gt;0),SUMIF(CÁLCULO!$BC$15:$BU$710,"="&amp;CRONO!AN$12,CÁLCULO!$AJ$15:$BB$710)/(ORÇAMENTO!$X$15-CÁLCULO.TotalAdmLocal)*CRONO!$E94,0),AN93*$R92),SUMIF(OFFSET($R94,1,0,$Q92-2),($L92+1)&amp;"$",OFFSET(AN94,1,0,$Q92-2)))</f>
        <v>0</v>
      </c>
      <c r="AO94" s="257">
        <f ca="1">IF($Q92=2,IF(AND(ACOMPANHAMENTO="PLE",ISNUMBER($E92)),SUMIF((OFFSET(CÁLCULO!$BC$15:$BU$15,$E92,0,OFFSET(ORÇAMENTO!$D$15,CRONO!$E92,0))),"="&amp;CRONO!AO$12,OFFSET(CÁLCULO!$AJ$15:$BB$15,$E92,0,OFFSET(ORÇAMENTO!$D$15,CRONO!$E92,0)))+IF(AND($E94&lt;&gt;"",$E94&lt;&gt;0),SUMIF(CÁLCULO!$BC$15:$BU$710,"="&amp;CRONO!AO$12,CÁLCULO!$AJ$15:$BB$710)/(ORÇAMENTO!$X$15-CÁLCULO.TotalAdmLocal)*CRONO!$E94,0),AO93*$R92),SUMIF(OFFSET($R94,1,0,$Q92-2),($L92+1)&amp;"$",OFFSET(AO94,1,0,$Q92-2)))</f>
        <v>0</v>
      </c>
      <c r="AP94" s="257">
        <f ca="1">IF($Q92=2,IF(AND(ACOMPANHAMENTO="PLE",ISNUMBER($E92)),SUMIF((OFFSET(CÁLCULO!$BC$15:$BU$15,$E92,0,OFFSET(ORÇAMENTO!$D$15,CRONO!$E92,0))),"="&amp;CRONO!AP$12,OFFSET(CÁLCULO!$AJ$15:$BB$15,$E92,0,OFFSET(ORÇAMENTO!$D$15,CRONO!$E92,0)))+IF(AND($E94&lt;&gt;"",$E94&lt;&gt;0),SUMIF(CÁLCULO!$BC$15:$BU$710,"="&amp;CRONO!AP$12,CÁLCULO!$AJ$15:$BB$710)/(ORÇAMENTO!$X$15-CÁLCULO.TotalAdmLocal)*CRONO!$E94,0),AP93*$R92),SUMIF(OFFSET($R94,1,0,$Q92-2),($L92+1)&amp;"$",OFFSET(AP94,1,0,$Q92-2)))</f>
        <v>0</v>
      </c>
      <c r="AQ94" s="262">
        <f ca="1">IF($Q92=2,IF(AND(ACOMPANHAMENTO="PLE",ISNUMBER($E92)),SUMIF((OFFSET(CÁLCULO!$BC$15:$BU$15,$E92,0,OFFSET(ORÇAMENTO!$D$15,CRONO!$E92,0))),"="&amp;CRONO!AQ$12,OFFSET(CÁLCULO!$AJ$15:$BB$15,$E92,0,OFFSET(ORÇAMENTO!$D$15,CRONO!$E92,0)))+IF(AND($E94&lt;&gt;"",$E94&lt;&gt;0),SUMIF(CÁLCULO!$BC$15:$BU$710,"="&amp;CRONO!AQ$12,CÁLCULO!$AJ$15:$BB$710)/(ORÇAMENTO!$X$15-CÁLCULO.TotalAdmLocal)*CRONO!$E94,0),AQ93*$R92),SUMIF(OFFSET($R94,1,0,$Q92-2),($L92+1)&amp;"$",OFFSET(AQ94,1,0,$Q92-2)))</f>
        <v>0</v>
      </c>
    </row>
    <row r="95" spans="1:44" x14ac:dyDescent="0.25">
      <c r="A95" s="238">
        <f ca="1">OFFSET(A95,-3,0)+1</f>
        <v>28</v>
      </c>
      <c r="B95" s="238">
        <f ca="1">IF($Q95&lt;&gt;2,0,IF($R95=0,1,IF(E96&gt;0,OFFSET(QCI!$M$13,SUBSTITUTE(E96,".",""),0),OFFSET(ORÇAMENTO!$AA$15,CRONO!$E95,0))/$R95))</f>
        <v>1</v>
      </c>
      <c r="C95" s="238">
        <f ca="1">IF($Q95&lt;&gt;2,0,IF($R95=0,1,IF(E96&gt;0,OFFSET(QCI!$N$13,SUBSTITUTE(E96,".",""),0),OFFSET(ORÇAMENTO!$AB$15,CRONO!$E95,0))/$R95))</f>
        <v>1</v>
      </c>
      <c r="D95" s="241">
        <f ca="1">IF(AND($Q95=2,ACOMPANHAMENTO="BM"),D96,D97/$R95)</f>
        <v>0</v>
      </c>
      <c r="E95" s="238">
        <f ca="1">IF(A95&lt;=ORÇAMENTO.MáximoListaCrono,MATCH(A95,ORÇAMENTO.ListaCrono,0),NA())</f>
        <v>692</v>
      </c>
      <c r="F95" s="238" t="str">
        <f ca="1">IF(AND($E96&lt;&gt;-1,$R95&gt;0),"F","")</f>
        <v/>
      </c>
      <c r="G95" s="242" t="str">
        <f ca="1">IF(OR(R95=0,R95=""),"Linha",IF(AND(OR(ACOMPANHAMENTO="PLE",$Q95&lt;&gt;2),$E96=0),"Linha",1-SUM(T95:AR95)))</f>
        <v>Linha</v>
      </c>
      <c r="H95" s="243" t="str">
        <f ca="1">IF($E96=0,OFFSET(ORÇAMENTO!O$15,$E95,0),IF($E96&lt;&gt;-1,OFFSET(QCI!$D$13,$E96,0),""))</f>
        <v>2.2.</v>
      </c>
      <c r="I95" s="244" t="str">
        <f ca="1">IF($E96=0,OFFSET(ORÇAMENTO!R$15,$E95,0),IF($E96&lt;&gt;-1,OFFSET(QCI!$G$13,$E96,0),""))</f>
        <v>PADRÃO DE ENTRADA DE ENERGIA</v>
      </c>
      <c r="J95" s="244"/>
      <c r="K95" s="244"/>
      <c r="L95" s="245">
        <f ca="1">IF($E96=0,OFFSET(ORÇAMENTO!C$15,$E95,0),1)</f>
        <v>2</v>
      </c>
      <c r="M95" s="246">
        <f ca="1">IF($E96=-1,0,IF(M$13&lt;=$L95,IF(ISERROR(MATCH(M$13,OFFSET($L95,1,0,ROW($L$98)-ROW($L95)-1),0)),ROW($L$98)-ROW($L95)-1,MATCH(M$13,OFFSET($L95,1,0,ROW($L$98)-ROW($L95)-1),0)-1),0))</f>
        <v>2</v>
      </c>
      <c r="N95" s="246">
        <f ca="1">IF($E96=-1,0,IF(N$13&lt;=$L95,IF(ISERROR(MATCH(N$13,OFFSET($L95,1,0,ROW($L$98)-ROW($L95)-1),0)),ROW($L$98)-ROW($L95)-1,MATCH(N$13,OFFSET($L95,1,0,ROW($L$98)-ROW($L95)-1),0)-1),0))</f>
        <v>2</v>
      </c>
      <c r="O95" s="246">
        <f ca="1">IF($E96=-1,0,IF(O$13&lt;=$L95,IF(ISERROR(MATCH(O$13,OFFSET($L95,1,0,ROW($L$98)-ROW($L95)-1),0)),ROW($L$98)-ROW($L95)-1,MATCH(O$13,OFFSET($L95,1,0,ROW($L$98)-ROW($L95)-1),0)-1),0))</f>
        <v>0</v>
      </c>
      <c r="P95" s="246">
        <f ca="1">IF($E96=-1,0,IF(P$13&lt;=$L95,IF(ISERROR(MATCH(P$13,OFFSET($L95,1,0,ROW($L$98)-ROW($L95)-1),0)),ROW($L$98)-ROW($L95)-1,MATCH(P$13,OFFSET($L95,1,0,ROW($L$98)-ROW($L95)-1),0)-1),0))</f>
        <v>0</v>
      </c>
      <c r="Q95" s="246">
        <f ca="1">MIN(OFFSET(L95,0,1,,L95))</f>
        <v>2</v>
      </c>
      <c r="R95" s="247">
        <f ca="1">IF($E96=0,OFFSET(ORÇAMENTO!X$15,$E95,0),IF($E96&lt;&gt;-1,OFFSET(QCI!$O$13,$E96,0),""))</f>
        <v>0</v>
      </c>
      <c r="S95" s="248" t="s">
        <v>272</v>
      </c>
      <c r="T95" s="249">
        <f t="shared" ref="T95:AQ95" ca="1" si="31">IF(AND($Q95=2,ACOMPANHAMENTO="BM"),T96,T97/$R95)</f>
        <v>0</v>
      </c>
      <c r="U95" s="241">
        <f t="shared" ca="1" si="31"/>
        <v>0</v>
      </c>
      <c r="V95" s="241">
        <f t="shared" ca="1" si="31"/>
        <v>0</v>
      </c>
      <c r="W95" s="241">
        <f t="shared" ca="1" si="31"/>
        <v>0</v>
      </c>
      <c r="X95" s="241">
        <f t="shared" ca="1" si="31"/>
        <v>0</v>
      </c>
      <c r="Y95" s="241">
        <f t="shared" ca="1" si="31"/>
        <v>0</v>
      </c>
      <c r="Z95" s="241">
        <f t="shared" ca="1" si="31"/>
        <v>0</v>
      </c>
      <c r="AA95" s="241">
        <f t="shared" ca="1" si="31"/>
        <v>0</v>
      </c>
      <c r="AB95" s="241">
        <f t="shared" ca="1" si="31"/>
        <v>0</v>
      </c>
      <c r="AC95" s="241">
        <f t="shared" ca="1" si="31"/>
        <v>0</v>
      </c>
      <c r="AD95" s="241">
        <f t="shared" ca="1" si="31"/>
        <v>0</v>
      </c>
      <c r="AE95" s="250">
        <f t="shared" ca="1" si="31"/>
        <v>0</v>
      </c>
      <c r="AF95" s="249">
        <f t="shared" ca="1" si="31"/>
        <v>0</v>
      </c>
      <c r="AG95" s="241">
        <f t="shared" ca="1" si="31"/>
        <v>0</v>
      </c>
      <c r="AH95" s="241">
        <f t="shared" ca="1" si="31"/>
        <v>0</v>
      </c>
      <c r="AI95" s="241">
        <f t="shared" ca="1" si="31"/>
        <v>0</v>
      </c>
      <c r="AJ95" s="241">
        <f t="shared" ca="1" si="31"/>
        <v>0</v>
      </c>
      <c r="AK95" s="241">
        <f t="shared" ca="1" si="31"/>
        <v>0</v>
      </c>
      <c r="AL95" s="241">
        <f t="shared" ca="1" si="31"/>
        <v>0</v>
      </c>
      <c r="AM95" s="241">
        <f t="shared" ca="1" si="31"/>
        <v>0</v>
      </c>
      <c r="AN95" s="241">
        <f t="shared" ca="1" si="31"/>
        <v>0</v>
      </c>
      <c r="AO95" s="241">
        <f t="shared" ca="1" si="31"/>
        <v>0</v>
      </c>
      <c r="AP95" s="241">
        <f t="shared" ca="1" si="31"/>
        <v>0</v>
      </c>
      <c r="AQ95" s="250">
        <f t="shared" ca="1" si="31"/>
        <v>1</v>
      </c>
    </row>
    <row r="96" spans="1:44" ht="12.75" customHeight="1" x14ac:dyDescent="0.25">
      <c r="D96" s="658"/>
      <c r="E96" s="238">
        <f ca="1">IF(ISERROR(E95),IF(1+COUNTIF($L$13:OFFSET(L95,-1,0),1)&lt;=MAX(QCI!$D$13:$D$24),1+COUNTIF($L$13:OFFSET(L95,-1,0),1),-1),0)</f>
        <v>0</v>
      </c>
      <c r="F96" s="238" t="str">
        <f ca="1">IF(AND($E96&lt;&gt;-1,$R95&gt;0),"F","")</f>
        <v/>
      </c>
      <c r="G96" s="251" t="str">
        <f ca="1">IF(OR(R95=0,R95=""),"vazia",IF(AND(OR(ACOMPANHAMENTO="PLE",$Q95&lt;&gt;2),$E96=0),"calculada","--&gt;"))</f>
        <v>vazia</v>
      </c>
      <c r="H96" s="252"/>
      <c r="I96" s="253" t="str">
        <f ca="1">IF(AND(G95&lt;&gt;0,ISNUMBER(G95)),"PREENCHA ESTA LINHA --&gt;","")</f>
        <v/>
      </c>
      <c r="J96" s="253"/>
      <c r="K96" s="253"/>
      <c r="L96" s="254"/>
      <c r="M96" s="254"/>
      <c r="N96" s="254"/>
      <c r="O96" s="254"/>
      <c r="P96" s="254"/>
      <c r="Q96" s="254"/>
      <c r="R96" s="255"/>
      <c r="S96" s="256"/>
      <c r="T96" s="659"/>
      <c r="U96" s="658"/>
      <c r="V96" s="658"/>
      <c r="W96" s="658"/>
      <c r="X96" s="658"/>
      <c r="Y96" s="658"/>
      <c r="Z96" s="658"/>
      <c r="AA96" s="658"/>
      <c r="AB96" s="658"/>
      <c r="AC96" s="658"/>
      <c r="AD96" s="658"/>
      <c r="AE96" s="660"/>
      <c r="AF96" s="659"/>
      <c r="AG96" s="658"/>
      <c r="AH96" s="658"/>
      <c r="AI96" s="658"/>
      <c r="AJ96" s="658"/>
      <c r="AK96" s="658"/>
      <c r="AL96" s="658"/>
      <c r="AM96" s="658"/>
      <c r="AN96" s="658"/>
      <c r="AO96" s="658"/>
      <c r="AP96" s="658"/>
      <c r="AQ96" s="660">
        <v>1</v>
      </c>
      <c r="AR96" s="618"/>
    </row>
    <row r="97" spans="4:44" ht="0.15" hidden="1" customHeight="1" x14ac:dyDescent="0.25">
      <c r="D97" s="257">
        <f ca="1">IF($Q95=2,IF(AND(ACOMPANHAMENTO="PLE",ISNUMBER($E95)),SUMIF((OFFSET(CÁLCULO!$BC$15:$BU$15,$E95,0,OFFSET(ORÇAMENTO!$D$15,CRONO!$E95,0))),"="&amp;CRONO!D$12,OFFSET(CÁLCULO!$AJ$15:$BB$15,$E95,0,OFFSET(ORÇAMENTO!$D$15,CRONO!$E95,0)))+IF(AND($E97&lt;&gt;"",$E97&lt;&gt;0),SUMIF(CÁLCULO!$BC$15:$BU$710,"="&amp;CRONO!D$12,CÁLCULO!$AJ$15:$BB$710)/(ORÇAMENTO!$X$15-CÁLCULO.TotalAdmLocal)*CRONO!$E97,0),D96*$R95),SUMIF(OFFSET($R97,1,0,$Q95-2),($L95+1)&amp;"$",OFFSET(D97,1,0,$Q95-2)))</f>
        <v>0</v>
      </c>
      <c r="E97" s="238">
        <f ca="1">IF(OR($Q95&lt;&gt;2,AUTOEVENTO&lt;&gt;"manual",$E96&gt;0),"",SUMIF(OFFSET(CÁLCULO!$M$15,CRONO!$E95,0,OFFSET(ORÇAMENTO!$D$15,CRONO!$E95,0)),1,OFFSET(ORÇAMENTO!$X$15,CRONO!$E95,0,OFFSET(ORÇAMENTO!$D$15,CRONO!$E95,0))))</f>
        <v>0</v>
      </c>
      <c r="G97" s="258"/>
      <c r="R97" s="259" t="str">
        <f ca="1">L95&amp;"$"</f>
        <v>2$</v>
      </c>
      <c r="S97" s="260"/>
      <c r="T97" s="261">
        <f ca="1">IF($Q95=2,IF(AND(ACOMPANHAMENTO="PLE",ISNUMBER($E95)),SUMIF((OFFSET(CÁLCULO!$BC$15:$BU$15,$E95,0,OFFSET(ORÇAMENTO!$D$15,CRONO!$E95,0))),"&lt;="&amp;CRONO!T$12,OFFSET(CÁLCULO!$AJ$15:$BB$15,$E95,0,OFFSET(ORÇAMENTO!$D$15,CRONO!$E95,0)))+IF(AND($E97&lt;&gt;"",$E97&lt;&gt;0),SUMIF(CÁLCULO!$BC$15:$BU$710,"&lt;="&amp;CRONO!T$12,CÁLCULO!$AJ$15:$BB$710)/(ORÇAMENTO!$X$15-CÁLCULO.TotalAdmLocal)*CRONO!$E97,0),T96*$R95),SUMIF(OFFSET($R97,1,0,$Q95-2),($L95+1)&amp;"$",OFFSET(T97,1,0,$Q95-2)))</f>
        <v>0</v>
      </c>
      <c r="U97" s="257">
        <f ca="1">IF($Q95=2,IF(AND(ACOMPANHAMENTO="PLE",ISNUMBER($E95)),SUMIF((OFFSET(CÁLCULO!$BC$15:$BU$15,$E95,0,OFFSET(ORÇAMENTO!$D$15,CRONO!$E95,0))),"="&amp;CRONO!U$12,OFFSET(CÁLCULO!$AJ$15:$BB$15,$E95,0,OFFSET(ORÇAMENTO!$D$15,CRONO!$E95,0)))+IF(AND($E97&lt;&gt;"",$E97&lt;&gt;0),SUMIF(CÁLCULO!$BC$15:$BU$710,"="&amp;CRONO!U$12,CÁLCULO!$AJ$15:$BB$710)/(ORÇAMENTO!$X$15-CÁLCULO.TotalAdmLocal)*CRONO!$E97,0),U96*$R95),SUMIF(OFFSET($R97,1,0,$Q95-2),($L95+1)&amp;"$",OFFSET(U97,1,0,$Q95-2)))</f>
        <v>0</v>
      </c>
      <c r="V97" s="257">
        <f ca="1">IF($Q95=2,IF(AND(ACOMPANHAMENTO="PLE",ISNUMBER($E95)),SUMIF((OFFSET(CÁLCULO!$BC$15:$BU$15,$E95,0,OFFSET(ORÇAMENTO!$D$15,CRONO!$E95,0))),"="&amp;CRONO!V$12,OFFSET(CÁLCULO!$AJ$15:$BB$15,$E95,0,OFFSET(ORÇAMENTO!$D$15,CRONO!$E95,0)))+IF(AND($E97&lt;&gt;"",$E97&lt;&gt;0),SUMIF(CÁLCULO!$BC$15:$BU$710,"="&amp;CRONO!V$12,CÁLCULO!$AJ$15:$BB$710)/(ORÇAMENTO!$X$15-CÁLCULO.TotalAdmLocal)*CRONO!$E97,0),V96*$R95),SUMIF(OFFSET($R97,1,0,$Q95-2),($L95+1)&amp;"$",OFFSET(V97,1,0,$Q95-2)))</f>
        <v>0</v>
      </c>
      <c r="W97" s="257">
        <f ca="1">IF($Q95=2,IF(AND(ACOMPANHAMENTO="PLE",ISNUMBER($E95)),SUMIF((OFFSET(CÁLCULO!$BC$15:$BU$15,$E95,0,OFFSET(ORÇAMENTO!$D$15,CRONO!$E95,0))),"="&amp;CRONO!W$12,OFFSET(CÁLCULO!$AJ$15:$BB$15,$E95,0,OFFSET(ORÇAMENTO!$D$15,CRONO!$E95,0)))+IF(AND($E97&lt;&gt;"",$E97&lt;&gt;0),SUMIF(CÁLCULO!$BC$15:$BU$710,"="&amp;CRONO!W$12,CÁLCULO!$AJ$15:$BB$710)/(ORÇAMENTO!$X$15-CÁLCULO.TotalAdmLocal)*CRONO!$E97,0),W96*$R95),SUMIF(OFFSET($R97,1,0,$Q95-2),($L95+1)&amp;"$",OFFSET(W97,1,0,$Q95-2)))</f>
        <v>0</v>
      </c>
      <c r="X97" s="257">
        <f ca="1">IF($Q95=2,IF(AND(ACOMPANHAMENTO="PLE",ISNUMBER($E95)),SUMIF((OFFSET(CÁLCULO!$BC$15:$BU$15,$E95,0,OFFSET(ORÇAMENTO!$D$15,CRONO!$E95,0))),"="&amp;CRONO!X$12,OFFSET(CÁLCULO!$AJ$15:$BB$15,$E95,0,OFFSET(ORÇAMENTO!$D$15,CRONO!$E95,0)))+IF(AND($E97&lt;&gt;"",$E97&lt;&gt;0),SUMIF(CÁLCULO!$BC$15:$BU$710,"="&amp;CRONO!X$12,CÁLCULO!$AJ$15:$BB$710)/(ORÇAMENTO!$X$15-CÁLCULO.TotalAdmLocal)*CRONO!$E97,0),X96*$R95),SUMIF(OFFSET($R97,1,0,$Q95-2),($L95+1)&amp;"$",OFFSET(X97,1,0,$Q95-2)))</f>
        <v>0</v>
      </c>
      <c r="Y97" s="257">
        <f ca="1">IF($Q95=2,IF(AND(ACOMPANHAMENTO="PLE",ISNUMBER($E95)),SUMIF((OFFSET(CÁLCULO!$BC$15:$BU$15,$E95,0,OFFSET(ORÇAMENTO!$D$15,CRONO!$E95,0))),"="&amp;CRONO!Y$12,OFFSET(CÁLCULO!$AJ$15:$BB$15,$E95,0,OFFSET(ORÇAMENTO!$D$15,CRONO!$E95,0)))+IF(AND($E97&lt;&gt;"",$E97&lt;&gt;0),SUMIF(CÁLCULO!$BC$15:$BU$710,"="&amp;CRONO!Y$12,CÁLCULO!$AJ$15:$BB$710)/(ORÇAMENTO!$X$15-CÁLCULO.TotalAdmLocal)*CRONO!$E97,0),Y96*$R95),SUMIF(OFFSET($R97,1,0,$Q95-2),($L95+1)&amp;"$",OFFSET(Y97,1,0,$Q95-2)))</f>
        <v>0</v>
      </c>
      <c r="Z97" s="257">
        <f ca="1">IF($Q95=2,IF(AND(ACOMPANHAMENTO="PLE",ISNUMBER($E95)),SUMIF((OFFSET(CÁLCULO!$BC$15:$BU$15,$E95,0,OFFSET(ORÇAMENTO!$D$15,CRONO!$E95,0))),"="&amp;CRONO!Z$12,OFFSET(CÁLCULO!$AJ$15:$BB$15,$E95,0,OFFSET(ORÇAMENTO!$D$15,CRONO!$E95,0)))+IF(AND($E97&lt;&gt;"",$E97&lt;&gt;0),SUMIF(CÁLCULO!$BC$15:$BU$710,"="&amp;CRONO!Z$12,CÁLCULO!$AJ$15:$BB$710)/(ORÇAMENTO!$X$15-CÁLCULO.TotalAdmLocal)*CRONO!$E97,0),Z96*$R95),SUMIF(OFFSET($R97,1,0,$Q95-2),($L95+1)&amp;"$",OFFSET(Z97,1,0,$Q95-2)))</f>
        <v>0</v>
      </c>
      <c r="AA97" s="257">
        <f ca="1">IF($Q95=2,IF(AND(ACOMPANHAMENTO="PLE",ISNUMBER($E95)),SUMIF((OFFSET(CÁLCULO!$BC$15:$BU$15,$E95,0,OFFSET(ORÇAMENTO!$D$15,CRONO!$E95,0))),"="&amp;CRONO!AA$12,OFFSET(CÁLCULO!$AJ$15:$BB$15,$E95,0,OFFSET(ORÇAMENTO!$D$15,CRONO!$E95,0)))+IF(AND($E97&lt;&gt;"",$E97&lt;&gt;0),SUMIF(CÁLCULO!$BC$15:$BU$710,"="&amp;CRONO!AA$12,CÁLCULO!$AJ$15:$BB$710)/(ORÇAMENTO!$X$15-CÁLCULO.TotalAdmLocal)*CRONO!$E97,0),AA96*$R95),SUMIF(OFFSET($R97,1,0,$Q95-2),($L95+1)&amp;"$",OFFSET(AA97,1,0,$Q95-2)))</f>
        <v>0</v>
      </c>
      <c r="AB97" s="257">
        <f ca="1">IF($Q95=2,IF(AND(ACOMPANHAMENTO="PLE",ISNUMBER($E95)),SUMIF((OFFSET(CÁLCULO!$BC$15:$BU$15,$E95,0,OFFSET(ORÇAMENTO!$D$15,CRONO!$E95,0))),"="&amp;CRONO!AB$12,OFFSET(CÁLCULO!$AJ$15:$BB$15,$E95,0,OFFSET(ORÇAMENTO!$D$15,CRONO!$E95,0)))+IF(AND($E97&lt;&gt;"",$E97&lt;&gt;0),SUMIF(CÁLCULO!$BC$15:$BU$710,"="&amp;CRONO!AB$12,CÁLCULO!$AJ$15:$BB$710)/(ORÇAMENTO!$X$15-CÁLCULO.TotalAdmLocal)*CRONO!$E97,0),AB96*$R95),SUMIF(OFFSET($R97,1,0,$Q95-2),($L95+1)&amp;"$",OFFSET(AB97,1,0,$Q95-2)))</f>
        <v>0</v>
      </c>
      <c r="AC97" s="257">
        <f ca="1">IF($Q95=2,IF(AND(ACOMPANHAMENTO="PLE",ISNUMBER($E95)),SUMIF((OFFSET(CÁLCULO!$BC$15:$BU$15,$E95,0,OFFSET(ORÇAMENTO!$D$15,CRONO!$E95,0))),"="&amp;CRONO!AC$12,OFFSET(CÁLCULO!$AJ$15:$BB$15,$E95,0,OFFSET(ORÇAMENTO!$D$15,CRONO!$E95,0)))+IF(AND($E97&lt;&gt;"",$E97&lt;&gt;0),SUMIF(CÁLCULO!$BC$15:$BU$710,"="&amp;CRONO!AC$12,CÁLCULO!$AJ$15:$BB$710)/(ORÇAMENTO!$X$15-CÁLCULO.TotalAdmLocal)*CRONO!$E97,0),AC96*$R95),SUMIF(OFFSET($R97,1,0,$Q95-2),($L95+1)&amp;"$",OFFSET(AC97,1,0,$Q95-2)))</f>
        <v>0</v>
      </c>
      <c r="AD97" s="257">
        <f ca="1">IF($Q95=2,IF(AND(ACOMPANHAMENTO="PLE",ISNUMBER($E95)),SUMIF((OFFSET(CÁLCULO!$BC$15:$BU$15,$E95,0,OFFSET(ORÇAMENTO!$D$15,CRONO!$E95,0))),"="&amp;CRONO!AD$12,OFFSET(CÁLCULO!$AJ$15:$BB$15,$E95,0,OFFSET(ORÇAMENTO!$D$15,CRONO!$E95,0)))+IF(AND($E97&lt;&gt;"",$E97&lt;&gt;0),SUMIF(CÁLCULO!$BC$15:$BU$710,"="&amp;CRONO!AD$12,CÁLCULO!$AJ$15:$BB$710)/(ORÇAMENTO!$X$15-CÁLCULO.TotalAdmLocal)*CRONO!$E97,0),AD96*$R95),SUMIF(OFFSET($R97,1,0,$Q95-2),($L95+1)&amp;"$",OFFSET(AD97,1,0,$Q95-2)))</f>
        <v>0</v>
      </c>
      <c r="AE97" s="262">
        <f ca="1">IF($Q95=2,IF(AND(ACOMPANHAMENTO="PLE",ISNUMBER($E95)),SUMIF((OFFSET(CÁLCULO!$BC$15:$BU$15,$E95,0,OFFSET(ORÇAMENTO!$D$15,CRONO!$E95,0))),"="&amp;CRONO!AE$12,OFFSET(CÁLCULO!$AJ$15:$BB$15,$E95,0,OFFSET(ORÇAMENTO!$D$15,CRONO!$E95,0)))+IF(AND($E97&lt;&gt;"",$E97&lt;&gt;0),SUMIF(CÁLCULO!$BC$15:$BU$710,"="&amp;CRONO!AE$12,CÁLCULO!$AJ$15:$BB$710)/(ORÇAMENTO!$X$15-CÁLCULO.TotalAdmLocal)*CRONO!$E97,0),AE96*$R95),SUMIF(OFFSET($R97,1,0,$Q95-2),($L95+1)&amp;"$",OFFSET(AE97,1,0,$Q95-2)))</f>
        <v>0</v>
      </c>
      <c r="AF97" s="261">
        <f ca="1">IF($Q95=2,IF(AND(ACOMPANHAMENTO="PLE",ISNUMBER($E95)),SUMIF((OFFSET(CÁLCULO!$BC$15:$BU$15,$E95,0,OFFSET(ORÇAMENTO!$D$15,CRONO!$E95,0))),"&lt;="&amp;CRONO!AF$12,OFFSET(CÁLCULO!$AJ$15:$BB$15,$E95,0,OFFSET(ORÇAMENTO!$D$15,CRONO!$E95,0)))+IF(AND($E97&lt;&gt;"",$E97&lt;&gt;0),SUMIF(CÁLCULO!$BC$15:$BU$710,"&lt;="&amp;CRONO!AF$12,CÁLCULO!$AJ$15:$BB$710)/(ORÇAMENTO!$X$15-CÁLCULO.TotalAdmLocal)*CRONO!$E97,0),AF96*$R95),SUMIF(OFFSET($R97,1,0,$Q95-2),($L95+1)&amp;"$",OFFSET(AF97,1,0,$Q95-2)))</f>
        <v>0</v>
      </c>
      <c r="AG97" s="257">
        <f ca="1">IF($Q95=2,IF(AND(ACOMPANHAMENTO="PLE",ISNUMBER($E95)),SUMIF((OFFSET(CÁLCULO!$BC$15:$BU$15,$E95,0,OFFSET(ORÇAMENTO!$D$15,CRONO!$E95,0))),"="&amp;CRONO!AG$12,OFFSET(CÁLCULO!$AJ$15:$BB$15,$E95,0,OFFSET(ORÇAMENTO!$D$15,CRONO!$E95,0)))+IF(AND($E97&lt;&gt;"",$E97&lt;&gt;0),SUMIF(CÁLCULO!$BC$15:$BU$710,"="&amp;CRONO!AG$12,CÁLCULO!$AJ$15:$BB$710)/(ORÇAMENTO!$X$15-CÁLCULO.TotalAdmLocal)*CRONO!$E97,0),AG96*$R95),SUMIF(OFFSET($R97,1,0,$Q95-2),($L95+1)&amp;"$",OFFSET(AG97,1,0,$Q95-2)))</f>
        <v>0</v>
      </c>
      <c r="AH97" s="257">
        <f ca="1">IF($Q95=2,IF(AND(ACOMPANHAMENTO="PLE",ISNUMBER($E95)),SUMIF((OFFSET(CÁLCULO!$BC$15:$BU$15,$E95,0,OFFSET(ORÇAMENTO!$D$15,CRONO!$E95,0))),"="&amp;CRONO!AH$12,OFFSET(CÁLCULO!$AJ$15:$BB$15,$E95,0,OFFSET(ORÇAMENTO!$D$15,CRONO!$E95,0)))+IF(AND($E97&lt;&gt;"",$E97&lt;&gt;0),SUMIF(CÁLCULO!$BC$15:$BU$710,"="&amp;CRONO!AH$12,CÁLCULO!$AJ$15:$BB$710)/(ORÇAMENTO!$X$15-CÁLCULO.TotalAdmLocal)*CRONO!$E97,0),AH96*$R95),SUMIF(OFFSET($R97,1,0,$Q95-2),($L95+1)&amp;"$",OFFSET(AH97,1,0,$Q95-2)))</f>
        <v>0</v>
      </c>
      <c r="AI97" s="257">
        <f ca="1">IF($Q95=2,IF(AND(ACOMPANHAMENTO="PLE",ISNUMBER($E95)),SUMIF((OFFSET(CÁLCULO!$BC$15:$BU$15,$E95,0,OFFSET(ORÇAMENTO!$D$15,CRONO!$E95,0))),"="&amp;CRONO!AI$12,OFFSET(CÁLCULO!$AJ$15:$BB$15,$E95,0,OFFSET(ORÇAMENTO!$D$15,CRONO!$E95,0)))+IF(AND($E97&lt;&gt;"",$E97&lt;&gt;0),SUMIF(CÁLCULO!$BC$15:$BU$710,"="&amp;CRONO!AI$12,CÁLCULO!$AJ$15:$BB$710)/(ORÇAMENTO!$X$15-CÁLCULO.TotalAdmLocal)*CRONO!$E97,0),AI96*$R95),SUMIF(OFFSET($R97,1,0,$Q95-2),($L95+1)&amp;"$",OFFSET(AI97,1,0,$Q95-2)))</f>
        <v>0</v>
      </c>
      <c r="AJ97" s="257">
        <f ca="1">IF($Q95=2,IF(AND(ACOMPANHAMENTO="PLE",ISNUMBER($E95)),SUMIF((OFFSET(CÁLCULO!$BC$15:$BU$15,$E95,0,OFFSET(ORÇAMENTO!$D$15,CRONO!$E95,0))),"="&amp;CRONO!AJ$12,OFFSET(CÁLCULO!$AJ$15:$BB$15,$E95,0,OFFSET(ORÇAMENTO!$D$15,CRONO!$E95,0)))+IF(AND($E97&lt;&gt;"",$E97&lt;&gt;0),SUMIF(CÁLCULO!$BC$15:$BU$710,"="&amp;CRONO!AJ$12,CÁLCULO!$AJ$15:$BB$710)/(ORÇAMENTO!$X$15-CÁLCULO.TotalAdmLocal)*CRONO!$E97,0),AJ96*$R95),SUMIF(OFFSET($R97,1,0,$Q95-2),($L95+1)&amp;"$",OFFSET(AJ97,1,0,$Q95-2)))</f>
        <v>0</v>
      </c>
      <c r="AK97" s="257">
        <f ca="1">IF($Q95=2,IF(AND(ACOMPANHAMENTO="PLE",ISNUMBER($E95)),SUMIF((OFFSET(CÁLCULO!$BC$15:$BU$15,$E95,0,OFFSET(ORÇAMENTO!$D$15,CRONO!$E95,0))),"="&amp;CRONO!AK$12,OFFSET(CÁLCULO!$AJ$15:$BB$15,$E95,0,OFFSET(ORÇAMENTO!$D$15,CRONO!$E95,0)))+IF(AND($E97&lt;&gt;"",$E97&lt;&gt;0),SUMIF(CÁLCULO!$BC$15:$BU$710,"="&amp;CRONO!AK$12,CÁLCULO!$AJ$15:$BB$710)/(ORÇAMENTO!$X$15-CÁLCULO.TotalAdmLocal)*CRONO!$E97,0),AK96*$R95),SUMIF(OFFSET($R97,1,0,$Q95-2),($L95+1)&amp;"$",OFFSET(AK97,1,0,$Q95-2)))</f>
        <v>0</v>
      </c>
      <c r="AL97" s="257">
        <f ca="1">IF($Q95=2,IF(AND(ACOMPANHAMENTO="PLE",ISNUMBER($E95)),SUMIF((OFFSET(CÁLCULO!$BC$15:$BU$15,$E95,0,OFFSET(ORÇAMENTO!$D$15,CRONO!$E95,0))),"="&amp;CRONO!AL$12,OFFSET(CÁLCULO!$AJ$15:$BB$15,$E95,0,OFFSET(ORÇAMENTO!$D$15,CRONO!$E95,0)))+IF(AND($E97&lt;&gt;"",$E97&lt;&gt;0),SUMIF(CÁLCULO!$BC$15:$BU$710,"="&amp;CRONO!AL$12,CÁLCULO!$AJ$15:$BB$710)/(ORÇAMENTO!$X$15-CÁLCULO.TotalAdmLocal)*CRONO!$E97,0),AL96*$R95),SUMIF(OFFSET($R97,1,0,$Q95-2),($L95+1)&amp;"$",OFFSET(AL97,1,0,$Q95-2)))</f>
        <v>0</v>
      </c>
      <c r="AM97" s="257">
        <f ca="1">IF($Q95=2,IF(AND(ACOMPANHAMENTO="PLE",ISNUMBER($E95)),SUMIF((OFFSET(CÁLCULO!$BC$15:$BU$15,$E95,0,OFFSET(ORÇAMENTO!$D$15,CRONO!$E95,0))),"="&amp;CRONO!AM$12,OFFSET(CÁLCULO!$AJ$15:$BB$15,$E95,0,OFFSET(ORÇAMENTO!$D$15,CRONO!$E95,0)))+IF(AND($E97&lt;&gt;"",$E97&lt;&gt;0),SUMIF(CÁLCULO!$BC$15:$BU$710,"="&amp;CRONO!AM$12,CÁLCULO!$AJ$15:$BB$710)/(ORÇAMENTO!$X$15-CÁLCULO.TotalAdmLocal)*CRONO!$E97,0),AM96*$R95),SUMIF(OFFSET($R97,1,0,$Q95-2),($L95+1)&amp;"$",OFFSET(AM97,1,0,$Q95-2)))</f>
        <v>0</v>
      </c>
      <c r="AN97" s="257">
        <f ca="1">IF($Q95=2,IF(AND(ACOMPANHAMENTO="PLE",ISNUMBER($E95)),SUMIF((OFFSET(CÁLCULO!$BC$15:$BU$15,$E95,0,OFFSET(ORÇAMENTO!$D$15,CRONO!$E95,0))),"="&amp;CRONO!AN$12,OFFSET(CÁLCULO!$AJ$15:$BB$15,$E95,0,OFFSET(ORÇAMENTO!$D$15,CRONO!$E95,0)))+IF(AND($E97&lt;&gt;"",$E97&lt;&gt;0),SUMIF(CÁLCULO!$BC$15:$BU$710,"="&amp;CRONO!AN$12,CÁLCULO!$AJ$15:$BB$710)/(ORÇAMENTO!$X$15-CÁLCULO.TotalAdmLocal)*CRONO!$E97,0),AN96*$R95),SUMIF(OFFSET($R97,1,0,$Q95-2),($L95+1)&amp;"$",OFFSET(AN97,1,0,$Q95-2)))</f>
        <v>0</v>
      </c>
      <c r="AO97" s="257">
        <f ca="1">IF($Q95=2,IF(AND(ACOMPANHAMENTO="PLE",ISNUMBER($E95)),SUMIF((OFFSET(CÁLCULO!$BC$15:$BU$15,$E95,0,OFFSET(ORÇAMENTO!$D$15,CRONO!$E95,0))),"="&amp;CRONO!AO$12,OFFSET(CÁLCULO!$AJ$15:$BB$15,$E95,0,OFFSET(ORÇAMENTO!$D$15,CRONO!$E95,0)))+IF(AND($E97&lt;&gt;"",$E97&lt;&gt;0),SUMIF(CÁLCULO!$BC$15:$BU$710,"="&amp;CRONO!AO$12,CÁLCULO!$AJ$15:$BB$710)/(ORÇAMENTO!$X$15-CÁLCULO.TotalAdmLocal)*CRONO!$E97,0),AO96*$R95),SUMIF(OFFSET($R97,1,0,$Q95-2),($L95+1)&amp;"$",OFFSET(AO97,1,0,$Q95-2)))</f>
        <v>0</v>
      </c>
      <c r="AP97" s="257">
        <f ca="1">IF($Q95=2,IF(AND(ACOMPANHAMENTO="PLE",ISNUMBER($E95)),SUMIF((OFFSET(CÁLCULO!$BC$15:$BU$15,$E95,0,OFFSET(ORÇAMENTO!$D$15,CRONO!$E95,0))),"="&amp;CRONO!AP$12,OFFSET(CÁLCULO!$AJ$15:$BB$15,$E95,0,OFFSET(ORÇAMENTO!$D$15,CRONO!$E95,0)))+IF(AND($E97&lt;&gt;"",$E97&lt;&gt;0),SUMIF(CÁLCULO!$BC$15:$BU$710,"="&amp;CRONO!AP$12,CÁLCULO!$AJ$15:$BB$710)/(ORÇAMENTO!$X$15-CÁLCULO.TotalAdmLocal)*CRONO!$E97,0),AP96*$R95),SUMIF(OFFSET($R97,1,0,$Q95-2),($L95+1)&amp;"$",OFFSET(AP97,1,0,$Q95-2)))</f>
        <v>0</v>
      </c>
      <c r="AQ97" s="262">
        <f ca="1">IF($Q95=2,IF(AND(ACOMPANHAMENTO="PLE",ISNUMBER($E95)),SUMIF((OFFSET(CÁLCULO!$BC$15:$BU$15,$E95,0,OFFSET(ORÇAMENTO!$D$15,CRONO!$E95,0))),"="&amp;CRONO!AQ$12,OFFSET(CÁLCULO!$AJ$15:$BB$15,$E95,0,OFFSET(ORÇAMENTO!$D$15,CRONO!$E95,0)))+IF(AND($E97&lt;&gt;"",$E97&lt;&gt;0),SUMIF(CÁLCULO!$BC$15:$BU$710,"="&amp;CRONO!AQ$12,CÁLCULO!$AJ$15:$BB$710)/(ORÇAMENTO!$X$15-CÁLCULO.TotalAdmLocal)*CRONO!$E97,0),AQ96*$R95),SUMIF(OFFSET($R97,1,0,$Q95-2),($L95+1)&amp;"$",OFFSET(AQ97,1,0,$Q95-2)))</f>
        <v>0</v>
      </c>
    </row>
    <row r="98" spans="4:44" ht="5.0999999999999996" customHeight="1" x14ac:dyDescent="0.25">
      <c r="D98" s="583"/>
      <c r="F98" s="238" t="s">
        <v>248</v>
      </c>
      <c r="G98" s="585"/>
      <c r="H98" s="586"/>
      <c r="I98" s="587"/>
      <c r="J98" s="587"/>
      <c r="K98" s="587"/>
      <c r="L98" s="588" t="s">
        <v>283</v>
      </c>
      <c r="M98" s="588"/>
      <c r="N98" s="588"/>
      <c r="O98" s="588"/>
      <c r="P98" s="588"/>
      <c r="Q98" s="588"/>
      <c r="R98" s="589"/>
      <c r="S98" s="589"/>
      <c r="T98" s="587"/>
      <c r="U98" s="587"/>
      <c r="V98" s="587"/>
      <c r="W98" s="587"/>
      <c r="X98" s="587"/>
      <c r="Y98" s="587"/>
      <c r="Z98" s="587"/>
      <c r="AA98" s="587"/>
      <c r="AB98" s="587"/>
      <c r="AC98" s="587"/>
      <c r="AD98" s="587"/>
      <c r="AE98" s="590"/>
      <c r="AF98" s="587"/>
      <c r="AG98" s="587"/>
      <c r="AH98" s="587"/>
      <c r="AI98" s="587"/>
      <c r="AJ98" s="587"/>
      <c r="AK98" s="587"/>
      <c r="AL98" s="587"/>
      <c r="AM98" s="587"/>
      <c r="AN98" s="587"/>
      <c r="AO98" s="587"/>
      <c r="AP98" s="587"/>
      <c r="AQ98" s="590"/>
      <c r="AR98" s="584"/>
    </row>
    <row r="99" spans="4:44" ht="12.75" customHeight="1" x14ac:dyDescent="0.25">
      <c r="D99" s="289" t="e">
        <f ca="1">D103/$Q$99</f>
        <v>#DIV/0!</v>
      </c>
      <c r="F99" s="238" t="s">
        <v>248</v>
      </c>
      <c r="H99" s="729" t="str">
        <f ca="1">"Total:    R$ "&amp;TEXT(Q99,"#.##0,00")</f>
        <v>Total:    R$ 0,00</v>
      </c>
      <c r="I99" s="729"/>
      <c r="J99" s="729"/>
      <c r="K99" s="290"/>
      <c r="Q99" s="291">
        <f ca="1">SUMIF(L12:L98,1,R12:R98)</f>
        <v>0</v>
      </c>
      <c r="R99" s="292"/>
      <c r="S99" s="293" t="s">
        <v>284</v>
      </c>
      <c r="T99" s="294" t="e">
        <f t="shared" ref="T99:AE99" ca="1" si="32">ROUND(T103,2)/$Q$99</f>
        <v>#DIV/0!</v>
      </c>
      <c r="U99" s="295" t="e">
        <f t="shared" ca="1" si="32"/>
        <v>#DIV/0!</v>
      </c>
      <c r="V99" s="295" t="e">
        <f t="shared" ca="1" si="32"/>
        <v>#DIV/0!</v>
      </c>
      <c r="W99" s="295" t="e">
        <f t="shared" ca="1" si="32"/>
        <v>#DIV/0!</v>
      </c>
      <c r="X99" s="295" t="e">
        <f t="shared" ca="1" si="32"/>
        <v>#DIV/0!</v>
      </c>
      <c r="Y99" s="295" t="e">
        <f t="shared" ca="1" si="32"/>
        <v>#DIV/0!</v>
      </c>
      <c r="Z99" s="295" t="e">
        <f t="shared" ca="1" si="32"/>
        <v>#DIV/0!</v>
      </c>
      <c r="AA99" s="295" t="e">
        <f t="shared" ca="1" si="32"/>
        <v>#DIV/0!</v>
      </c>
      <c r="AB99" s="295" t="e">
        <f t="shared" ca="1" si="32"/>
        <v>#DIV/0!</v>
      </c>
      <c r="AC99" s="295" t="e">
        <f t="shared" ca="1" si="32"/>
        <v>#DIV/0!</v>
      </c>
      <c r="AD99" s="295" t="e">
        <f t="shared" ca="1" si="32"/>
        <v>#DIV/0!</v>
      </c>
      <c r="AE99" s="296" t="e">
        <f t="shared" ca="1" si="32"/>
        <v>#DIV/0!</v>
      </c>
      <c r="AF99" s="294" t="e">
        <f t="shared" ref="AF99:AQ99" ca="1" si="33">AF103/$Q$99</f>
        <v>#DIV/0!</v>
      </c>
      <c r="AG99" s="295" t="e">
        <f t="shared" ca="1" si="33"/>
        <v>#DIV/0!</v>
      </c>
      <c r="AH99" s="295" t="e">
        <f t="shared" ca="1" si="33"/>
        <v>#DIV/0!</v>
      </c>
      <c r="AI99" s="295" t="e">
        <f t="shared" ca="1" si="33"/>
        <v>#DIV/0!</v>
      </c>
      <c r="AJ99" s="295" t="e">
        <f t="shared" ca="1" si="33"/>
        <v>#DIV/0!</v>
      </c>
      <c r="AK99" s="295" t="e">
        <f t="shared" ca="1" si="33"/>
        <v>#DIV/0!</v>
      </c>
      <c r="AL99" s="295" t="e">
        <f t="shared" ca="1" si="33"/>
        <v>#DIV/0!</v>
      </c>
      <c r="AM99" s="295" t="e">
        <f t="shared" ca="1" si="33"/>
        <v>#DIV/0!</v>
      </c>
      <c r="AN99" s="295" t="e">
        <f t="shared" ca="1" si="33"/>
        <v>#DIV/0!</v>
      </c>
      <c r="AO99" s="295" t="e">
        <f t="shared" ca="1" si="33"/>
        <v>#DIV/0!</v>
      </c>
      <c r="AP99" s="295" t="e">
        <f t="shared" ca="1" si="33"/>
        <v>#DIV/0!</v>
      </c>
      <c r="AQ99" s="296" t="e">
        <f t="shared" ca="1" si="33"/>
        <v>#DIV/0!</v>
      </c>
    </row>
    <row r="100" spans="4:44" ht="15" customHeight="1" x14ac:dyDescent="0.25">
      <c r="D100" s="297">
        <f ca="1">ROUND(D105,2)-ROUND(C105,2)</f>
        <v>0</v>
      </c>
      <c r="F100" s="238" t="s">
        <v>248</v>
      </c>
      <c r="H100" s="729"/>
      <c r="I100" s="729"/>
      <c r="J100" s="729"/>
      <c r="K100" s="298"/>
      <c r="Q100" s="291"/>
      <c r="R100" s="299"/>
      <c r="S100" s="300" t="str">
        <f>IF(import.recurso="FGTS","Financiamento:","Repasse:")</f>
        <v>Repasse:</v>
      </c>
      <c r="T100" s="301">
        <f ca="1">ROUND(T105,2)</f>
        <v>0</v>
      </c>
      <c r="U100" s="297">
        <f t="shared" ref="U100:AQ100" ca="1" si="34">ROUND(U105,2)-ROUND(T105,2)</f>
        <v>0</v>
      </c>
      <c r="V100" s="297">
        <f t="shared" ca="1" si="34"/>
        <v>0</v>
      </c>
      <c r="W100" s="297">
        <f t="shared" ca="1" si="34"/>
        <v>0</v>
      </c>
      <c r="X100" s="297">
        <f t="shared" ca="1" si="34"/>
        <v>0</v>
      </c>
      <c r="Y100" s="297">
        <f t="shared" ca="1" si="34"/>
        <v>0</v>
      </c>
      <c r="Z100" s="297">
        <f t="shared" ca="1" si="34"/>
        <v>0</v>
      </c>
      <c r="AA100" s="297">
        <f t="shared" ca="1" si="34"/>
        <v>0</v>
      </c>
      <c r="AB100" s="297">
        <f t="shared" ca="1" si="34"/>
        <v>0</v>
      </c>
      <c r="AC100" s="297">
        <f t="shared" ca="1" si="34"/>
        <v>0</v>
      </c>
      <c r="AD100" s="297">
        <f t="shared" ca="1" si="34"/>
        <v>0</v>
      </c>
      <c r="AE100" s="302">
        <f t="shared" ca="1" si="34"/>
        <v>0</v>
      </c>
      <c r="AF100" s="301">
        <f t="shared" ca="1" si="34"/>
        <v>0</v>
      </c>
      <c r="AG100" s="297">
        <f t="shared" ca="1" si="34"/>
        <v>0</v>
      </c>
      <c r="AH100" s="297">
        <f t="shared" ca="1" si="34"/>
        <v>0</v>
      </c>
      <c r="AI100" s="297">
        <f t="shared" ca="1" si="34"/>
        <v>0</v>
      </c>
      <c r="AJ100" s="297">
        <f t="shared" ca="1" si="34"/>
        <v>0</v>
      </c>
      <c r="AK100" s="297">
        <f t="shared" ca="1" si="34"/>
        <v>0</v>
      </c>
      <c r="AL100" s="297">
        <f t="shared" ca="1" si="34"/>
        <v>0</v>
      </c>
      <c r="AM100" s="297">
        <f t="shared" ca="1" si="34"/>
        <v>0</v>
      </c>
      <c r="AN100" s="297">
        <f t="shared" ca="1" si="34"/>
        <v>0</v>
      </c>
      <c r="AO100" s="297">
        <f t="shared" ca="1" si="34"/>
        <v>0</v>
      </c>
      <c r="AP100" s="297">
        <f t="shared" ca="1" si="34"/>
        <v>0</v>
      </c>
      <c r="AQ100" s="302">
        <f t="shared" ca="1" si="34"/>
        <v>0</v>
      </c>
    </row>
    <row r="101" spans="4:44" ht="12.75" customHeight="1" x14ac:dyDescent="0.25">
      <c r="D101" s="297">
        <f ca="1">ROUND(D106,2)-ROUND(C106,2)</f>
        <v>0</v>
      </c>
      <c r="F101" s="238" t="s">
        <v>248</v>
      </c>
      <c r="H101" s="303"/>
      <c r="K101" s="304" t="s">
        <v>285</v>
      </c>
      <c r="Q101" s="291"/>
      <c r="R101" s="305"/>
      <c r="S101" s="306" t="s">
        <v>286</v>
      </c>
      <c r="T101" s="307">
        <f ca="1">ROUND(T106,2)</f>
        <v>0</v>
      </c>
      <c r="U101" s="308">
        <f t="shared" ref="U101:AQ101" ca="1" si="35">ROUND(U106,2)-ROUND(T106,2)</f>
        <v>0</v>
      </c>
      <c r="V101" s="308">
        <f t="shared" ca="1" si="35"/>
        <v>0</v>
      </c>
      <c r="W101" s="308">
        <f t="shared" ca="1" si="35"/>
        <v>0</v>
      </c>
      <c r="X101" s="308">
        <f t="shared" ca="1" si="35"/>
        <v>0</v>
      </c>
      <c r="Y101" s="308">
        <f t="shared" ca="1" si="35"/>
        <v>0</v>
      </c>
      <c r="Z101" s="308">
        <f t="shared" ca="1" si="35"/>
        <v>0</v>
      </c>
      <c r="AA101" s="308">
        <f t="shared" ca="1" si="35"/>
        <v>0</v>
      </c>
      <c r="AB101" s="308">
        <f t="shared" ca="1" si="35"/>
        <v>0</v>
      </c>
      <c r="AC101" s="308">
        <f t="shared" ca="1" si="35"/>
        <v>0</v>
      </c>
      <c r="AD101" s="308">
        <f t="shared" ca="1" si="35"/>
        <v>0</v>
      </c>
      <c r="AE101" s="309">
        <f t="shared" ca="1" si="35"/>
        <v>0</v>
      </c>
      <c r="AF101" s="307">
        <f t="shared" ca="1" si="35"/>
        <v>0</v>
      </c>
      <c r="AG101" s="308">
        <f t="shared" ca="1" si="35"/>
        <v>0</v>
      </c>
      <c r="AH101" s="308">
        <f t="shared" ca="1" si="35"/>
        <v>0</v>
      </c>
      <c r="AI101" s="308">
        <f t="shared" ca="1" si="35"/>
        <v>0</v>
      </c>
      <c r="AJ101" s="308">
        <f t="shared" ca="1" si="35"/>
        <v>0</v>
      </c>
      <c r="AK101" s="308">
        <f t="shared" ca="1" si="35"/>
        <v>0</v>
      </c>
      <c r="AL101" s="308">
        <f t="shared" ca="1" si="35"/>
        <v>0</v>
      </c>
      <c r="AM101" s="308">
        <f t="shared" ca="1" si="35"/>
        <v>0</v>
      </c>
      <c r="AN101" s="308">
        <f t="shared" ca="1" si="35"/>
        <v>0</v>
      </c>
      <c r="AO101" s="308">
        <f t="shared" ca="1" si="35"/>
        <v>0</v>
      </c>
      <c r="AP101" s="308">
        <f t="shared" ca="1" si="35"/>
        <v>0</v>
      </c>
      <c r="AQ101" s="309">
        <f t="shared" ca="1" si="35"/>
        <v>0</v>
      </c>
    </row>
    <row r="102" spans="4:44" x14ac:dyDescent="0.25">
      <c r="D102" s="310">
        <f ca="1">ROUND(D107,2)-ROUND(C107,2)</f>
        <v>0</v>
      </c>
      <c r="F102" s="238" t="s">
        <v>248</v>
      </c>
      <c r="H102" s="303"/>
      <c r="K102" s="304"/>
      <c r="Q102" s="291"/>
      <c r="R102" s="311"/>
      <c r="S102" s="312" t="s">
        <v>287</v>
      </c>
      <c r="T102" s="313">
        <f ca="1">ROUND(T107,2)</f>
        <v>0</v>
      </c>
      <c r="U102" s="310">
        <f t="shared" ref="U102:AQ102" ca="1" si="36">ROUND(U107,2)-ROUND(T107,2)</f>
        <v>0</v>
      </c>
      <c r="V102" s="310">
        <f t="shared" ca="1" si="36"/>
        <v>0</v>
      </c>
      <c r="W102" s="310">
        <f t="shared" ca="1" si="36"/>
        <v>0</v>
      </c>
      <c r="X102" s="310">
        <f t="shared" ca="1" si="36"/>
        <v>0</v>
      </c>
      <c r="Y102" s="310">
        <f t="shared" ca="1" si="36"/>
        <v>0</v>
      </c>
      <c r="Z102" s="310">
        <f t="shared" ca="1" si="36"/>
        <v>0</v>
      </c>
      <c r="AA102" s="310">
        <f t="shared" ca="1" si="36"/>
        <v>0</v>
      </c>
      <c r="AB102" s="310">
        <f t="shared" ca="1" si="36"/>
        <v>0</v>
      </c>
      <c r="AC102" s="310">
        <f t="shared" ca="1" si="36"/>
        <v>0</v>
      </c>
      <c r="AD102" s="310">
        <f t="shared" ca="1" si="36"/>
        <v>0</v>
      </c>
      <c r="AE102" s="314">
        <f t="shared" ca="1" si="36"/>
        <v>0</v>
      </c>
      <c r="AF102" s="313">
        <f t="shared" ca="1" si="36"/>
        <v>0</v>
      </c>
      <c r="AG102" s="310">
        <f t="shared" ca="1" si="36"/>
        <v>0</v>
      </c>
      <c r="AH102" s="310">
        <f t="shared" ca="1" si="36"/>
        <v>0</v>
      </c>
      <c r="AI102" s="310">
        <f t="shared" ca="1" si="36"/>
        <v>0</v>
      </c>
      <c r="AJ102" s="310">
        <f t="shared" ca="1" si="36"/>
        <v>0</v>
      </c>
      <c r="AK102" s="310">
        <f t="shared" ca="1" si="36"/>
        <v>0</v>
      </c>
      <c r="AL102" s="310">
        <f t="shared" ca="1" si="36"/>
        <v>0</v>
      </c>
      <c r="AM102" s="310">
        <f t="shared" ca="1" si="36"/>
        <v>0</v>
      </c>
      <c r="AN102" s="310">
        <f t="shared" ca="1" si="36"/>
        <v>0</v>
      </c>
      <c r="AO102" s="310">
        <f t="shared" ca="1" si="36"/>
        <v>0</v>
      </c>
      <c r="AP102" s="310">
        <f t="shared" ca="1" si="36"/>
        <v>0</v>
      </c>
      <c r="AQ102" s="314">
        <f t="shared" ca="1" si="36"/>
        <v>0</v>
      </c>
    </row>
    <row r="103" spans="4:44" x14ac:dyDescent="0.25">
      <c r="D103" s="315">
        <f ca="1">ROUND(D108,2)-ROUND(C108,2)</f>
        <v>0</v>
      </c>
      <c r="F103" s="238" t="s">
        <v>248</v>
      </c>
      <c r="K103" s="316"/>
      <c r="R103" s="317"/>
      <c r="S103" s="318" t="s">
        <v>288</v>
      </c>
      <c r="T103" s="319">
        <f ca="1">ROUND(T108,2)</f>
        <v>0</v>
      </c>
      <c r="U103" s="320">
        <f t="shared" ref="U103:AQ103" ca="1" si="37">ROUND(U108,2)-ROUND(T108,2)</f>
        <v>0</v>
      </c>
      <c r="V103" s="320">
        <f t="shared" ca="1" si="37"/>
        <v>0</v>
      </c>
      <c r="W103" s="320">
        <f t="shared" ca="1" si="37"/>
        <v>0</v>
      </c>
      <c r="X103" s="320">
        <f t="shared" ca="1" si="37"/>
        <v>0</v>
      </c>
      <c r="Y103" s="320">
        <f t="shared" ca="1" si="37"/>
        <v>0</v>
      </c>
      <c r="Z103" s="320">
        <f t="shared" ca="1" si="37"/>
        <v>0</v>
      </c>
      <c r="AA103" s="320">
        <f t="shared" ca="1" si="37"/>
        <v>0</v>
      </c>
      <c r="AB103" s="320">
        <f t="shared" ca="1" si="37"/>
        <v>0</v>
      </c>
      <c r="AC103" s="320">
        <f t="shared" ca="1" si="37"/>
        <v>0</v>
      </c>
      <c r="AD103" s="320">
        <f t="shared" ca="1" si="37"/>
        <v>0</v>
      </c>
      <c r="AE103" s="321">
        <f t="shared" ca="1" si="37"/>
        <v>0</v>
      </c>
      <c r="AF103" s="319">
        <f t="shared" ca="1" si="37"/>
        <v>0</v>
      </c>
      <c r="AG103" s="320">
        <f t="shared" ca="1" si="37"/>
        <v>0</v>
      </c>
      <c r="AH103" s="320">
        <f t="shared" ca="1" si="37"/>
        <v>0</v>
      </c>
      <c r="AI103" s="320">
        <f t="shared" ca="1" si="37"/>
        <v>0</v>
      </c>
      <c r="AJ103" s="320">
        <f t="shared" ca="1" si="37"/>
        <v>0</v>
      </c>
      <c r="AK103" s="320">
        <f t="shared" ca="1" si="37"/>
        <v>0</v>
      </c>
      <c r="AL103" s="320">
        <f t="shared" ca="1" si="37"/>
        <v>0</v>
      </c>
      <c r="AM103" s="320">
        <f t="shared" ca="1" si="37"/>
        <v>0</v>
      </c>
      <c r="AN103" s="320">
        <f t="shared" ca="1" si="37"/>
        <v>0</v>
      </c>
      <c r="AO103" s="320">
        <f t="shared" ca="1" si="37"/>
        <v>0</v>
      </c>
      <c r="AP103" s="320">
        <f t="shared" ca="1" si="37"/>
        <v>0</v>
      </c>
      <c r="AQ103" s="321">
        <f t="shared" ca="1" si="37"/>
        <v>0</v>
      </c>
    </row>
    <row r="104" spans="4:44" x14ac:dyDescent="0.25">
      <c r="D104" s="289" t="e">
        <f ca="1">D108/$Q$99</f>
        <v>#DIV/0!</v>
      </c>
      <c r="F104" s="238" t="s">
        <v>248</v>
      </c>
      <c r="K104" s="290"/>
      <c r="R104" s="292"/>
      <c r="S104" s="293" t="s">
        <v>284</v>
      </c>
      <c r="T104" s="294" t="e">
        <f ca="1">ROUND(T108,2)/$Q$99</f>
        <v>#DIV/0!</v>
      </c>
      <c r="U104" s="295" t="e">
        <f t="shared" ref="U104:AE104" ca="1" si="38">ROUND(U108,2)/$Q$99</f>
        <v>#DIV/0!</v>
      </c>
      <c r="V104" s="295" t="e">
        <f t="shared" ca="1" si="38"/>
        <v>#DIV/0!</v>
      </c>
      <c r="W104" s="295" t="e">
        <f t="shared" ca="1" si="38"/>
        <v>#DIV/0!</v>
      </c>
      <c r="X104" s="295" t="e">
        <f t="shared" ca="1" si="38"/>
        <v>#DIV/0!</v>
      </c>
      <c r="Y104" s="295" t="e">
        <f t="shared" ca="1" si="38"/>
        <v>#DIV/0!</v>
      </c>
      <c r="Z104" s="295" t="e">
        <f t="shared" ca="1" si="38"/>
        <v>#DIV/0!</v>
      </c>
      <c r="AA104" s="295" t="e">
        <f t="shared" ca="1" si="38"/>
        <v>#DIV/0!</v>
      </c>
      <c r="AB104" s="295" t="e">
        <f t="shared" ca="1" si="38"/>
        <v>#DIV/0!</v>
      </c>
      <c r="AC104" s="295" t="e">
        <f t="shared" ca="1" si="38"/>
        <v>#DIV/0!</v>
      </c>
      <c r="AD104" s="295" t="e">
        <f t="shared" ca="1" si="38"/>
        <v>#DIV/0!</v>
      </c>
      <c r="AE104" s="296" t="e">
        <f t="shared" ca="1" si="38"/>
        <v>#DIV/0!</v>
      </c>
      <c r="AF104" s="294" t="e">
        <f t="shared" ref="AF104:AQ104" ca="1" si="39">AF108/$Q$99</f>
        <v>#DIV/0!</v>
      </c>
      <c r="AG104" s="295" t="e">
        <f t="shared" ca="1" si="39"/>
        <v>#DIV/0!</v>
      </c>
      <c r="AH104" s="295" t="e">
        <f t="shared" ca="1" si="39"/>
        <v>#DIV/0!</v>
      </c>
      <c r="AI104" s="295" t="e">
        <f t="shared" ca="1" si="39"/>
        <v>#DIV/0!</v>
      </c>
      <c r="AJ104" s="295" t="e">
        <f t="shared" ca="1" si="39"/>
        <v>#DIV/0!</v>
      </c>
      <c r="AK104" s="295" t="e">
        <f t="shared" ca="1" si="39"/>
        <v>#DIV/0!</v>
      </c>
      <c r="AL104" s="295" t="e">
        <f t="shared" ca="1" si="39"/>
        <v>#DIV/0!</v>
      </c>
      <c r="AM104" s="295" t="e">
        <f t="shared" ca="1" si="39"/>
        <v>#DIV/0!</v>
      </c>
      <c r="AN104" s="295" t="e">
        <f t="shared" ca="1" si="39"/>
        <v>#DIV/0!</v>
      </c>
      <c r="AO104" s="295" t="e">
        <f t="shared" ca="1" si="39"/>
        <v>#DIV/0!</v>
      </c>
      <c r="AP104" s="295" t="e">
        <f t="shared" ca="1" si="39"/>
        <v>#DIV/0!</v>
      </c>
      <c r="AQ104" s="296" t="e">
        <f t="shared" ca="1" si="39"/>
        <v>#DIV/0!</v>
      </c>
    </row>
    <row r="105" spans="4:44" x14ac:dyDescent="0.25">
      <c r="D105" s="297">
        <f ca="1">ROUND(D108-D107-D106,2)</f>
        <v>0</v>
      </c>
      <c r="F105" s="238" t="s">
        <v>248</v>
      </c>
      <c r="K105" s="298"/>
      <c r="R105" s="299"/>
      <c r="S105" s="300" t="str">
        <f>IF(import.recurso="FGTS","Financiamento:","Repasse:")</f>
        <v>Repasse:</v>
      </c>
      <c r="T105" s="301">
        <f ca="1">ROUND(T108-T107-T106,2)</f>
        <v>0</v>
      </c>
      <c r="U105" s="297">
        <f t="shared" ref="U105:AQ105" ca="1" si="40">ROUND(U108-U107-U106,2)</f>
        <v>0</v>
      </c>
      <c r="V105" s="297">
        <f t="shared" ca="1" si="40"/>
        <v>0</v>
      </c>
      <c r="W105" s="297">
        <f t="shared" ca="1" si="40"/>
        <v>0</v>
      </c>
      <c r="X105" s="297">
        <f t="shared" ca="1" si="40"/>
        <v>0</v>
      </c>
      <c r="Y105" s="297">
        <f t="shared" ca="1" si="40"/>
        <v>0</v>
      </c>
      <c r="Z105" s="297">
        <f t="shared" ca="1" si="40"/>
        <v>0</v>
      </c>
      <c r="AA105" s="297">
        <f t="shared" ca="1" si="40"/>
        <v>0</v>
      </c>
      <c r="AB105" s="297">
        <f t="shared" ca="1" si="40"/>
        <v>0</v>
      </c>
      <c r="AC105" s="297">
        <f t="shared" ca="1" si="40"/>
        <v>0</v>
      </c>
      <c r="AD105" s="297">
        <f t="shared" ca="1" si="40"/>
        <v>0</v>
      </c>
      <c r="AE105" s="302">
        <f t="shared" ca="1" si="40"/>
        <v>0</v>
      </c>
      <c r="AF105" s="301">
        <f t="shared" ca="1" si="40"/>
        <v>0</v>
      </c>
      <c r="AG105" s="297">
        <f t="shared" ca="1" si="40"/>
        <v>0</v>
      </c>
      <c r="AH105" s="297">
        <f t="shared" ca="1" si="40"/>
        <v>0</v>
      </c>
      <c r="AI105" s="297">
        <f t="shared" ca="1" si="40"/>
        <v>0</v>
      </c>
      <c r="AJ105" s="297">
        <f t="shared" ca="1" si="40"/>
        <v>0</v>
      </c>
      <c r="AK105" s="297">
        <f t="shared" ca="1" si="40"/>
        <v>0</v>
      </c>
      <c r="AL105" s="297">
        <f t="shared" ca="1" si="40"/>
        <v>0</v>
      </c>
      <c r="AM105" s="297">
        <f t="shared" ca="1" si="40"/>
        <v>0</v>
      </c>
      <c r="AN105" s="297">
        <f t="shared" ca="1" si="40"/>
        <v>0</v>
      </c>
      <c r="AO105" s="297">
        <f t="shared" ca="1" si="40"/>
        <v>0</v>
      </c>
      <c r="AP105" s="297">
        <f t="shared" ca="1" si="40"/>
        <v>0</v>
      </c>
      <c r="AQ105" s="302">
        <f t="shared" ca="1" si="40"/>
        <v>0</v>
      </c>
      <c r="AR105" s="239">
        <f ca="1">AE105+SUMPRODUCT((OFFSET($B$13,1,0):OFFSET($B$98,-3,0))*IF(ISNUMBER(OFFSET(AR$11,5,0):OFFSET(AR$98,-1,0)),OFFSET(AR$11,5,0):OFFSET(AR$98,-1,0),0))</f>
        <v>0</v>
      </c>
    </row>
    <row r="106" spans="4:44" x14ac:dyDescent="0.25">
      <c r="D106" s="297">
        <f t="array" aca="1" ref="D106" ca="1">C106+SUM((OFFSET($B$13,1,0):OFFSET($B$98,-3,0))*IF(ISNUMBER(OFFSET(D$11,5,0):OFFSET(D$98,-1,0)),OFFSET(D$11,5,0):OFFSET(D$98,-1,0),0))</f>
        <v>0</v>
      </c>
      <c r="F106" s="238" t="s">
        <v>248</v>
      </c>
      <c r="K106" s="304" t="s">
        <v>289</v>
      </c>
      <c r="R106" s="305"/>
      <c r="S106" s="306" t="s">
        <v>286</v>
      </c>
      <c r="T106" s="307">
        <f t="array" aca="1" ref="T106" ca="1">SUM((OFFSET($B$13,1,0):OFFSET($B$98,-3,0))*IF(ISNUMBER(OFFSET(T$11,5,0):OFFSET(T$98,-1,0)),OFFSET(T$11,5,0):OFFSET(T$98,-1,0),0))</f>
        <v>0</v>
      </c>
      <c r="U106" s="308">
        <f t="array" aca="1" ref="U106" ca="1">T106+SUM((OFFSET($B$13,1,0):OFFSET($B$98,-3,0))*IF(ISNUMBER(OFFSET(U$11,5,0):OFFSET(U$98,-1,0)),OFFSET(U$11,5,0):OFFSET(U$98,-1,0),0))</f>
        <v>0</v>
      </c>
      <c r="V106" s="308">
        <f t="array" aca="1" ref="V106" ca="1">U106+SUM((OFFSET($B$13,1,0):OFFSET($B$98,-3,0))*IF(ISNUMBER(OFFSET(V$11,5,0):OFFSET(V$98,-1,0)),OFFSET(V$11,5,0):OFFSET(V$98,-1,0),0))</f>
        <v>0</v>
      </c>
      <c r="W106" s="308">
        <f t="array" aca="1" ref="W106" ca="1">V106+SUM((OFFSET($B$13,1,0):OFFSET($B$98,-3,0))*IF(ISNUMBER(OFFSET(W$11,5,0):OFFSET(W$98,-1,0)),OFFSET(W$11,5,0):OFFSET(W$98,-1,0),0))</f>
        <v>0</v>
      </c>
      <c r="X106" s="308">
        <f t="array" aca="1" ref="X106" ca="1">W106+SUM((OFFSET($B$13,1,0):OFFSET($B$98,-3,0))*IF(ISNUMBER(OFFSET(X$11,5,0):OFFSET(X$98,-1,0)),OFFSET(X$11,5,0):OFFSET(X$98,-1,0),0))</f>
        <v>0</v>
      </c>
      <c r="Y106" s="308">
        <f t="array" aca="1" ref="Y106" ca="1">X106+SUM((OFFSET($B$13,1,0):OFFSET($B$98,-3,0))*IF(ISNUMBER(OFFSET(Y$11,5,0):OFFSET(Y$98,-1,0)),OFFSET(Y$11,5,0):OFFSET(Y$98,-1,0),0))</f>
        <v>0</v>
      </c>
      <c r="Z106" s="308">
        <f t="array" aca="1" ref="Z106" ca="1">Y106+SUM((OFFSET($B$13,1,0):OFFSET($B$98,-3,0))*IF(ISNUMBER(OFFSET(Z$11,5,0):OFFSET(Z$98,-1,0)),OFFSET(Z$11,5,0):OFFSET(Z$98,-1,0),0))</f>
        <v>0</v>
      </c>
      <c r="AA106" s="308">
        <f t="array" aca="1" ref="AA106" ca="1">Z106+SUM((OFFSET($B$13,1,0):OFFSET($B$98,-3,0))*IF(ISNUMBER(OFFSET(AA$11,5,0):OFFSET(AA$98,-1,0)),OFFSET(AA$11,5,0):OFFSET(AA$98,-1,0),0))</f>
        <v>0</v>
      </c>
      <c r="AB106" s="308">
        <f t="array" aca="1" ref="AB106" ca="1">AA106+SUM((OFFSET($B$13,1,0):OFFSET($B$98,-3,0))*IF(ISNUMBER(OFFSET(AB$11,5,0):OFFSET(AB$98,-1,0)),OFFSET(AB$11,5,0):OFFSET(AB$98,-1,0),0))</f>
        <v>0</v>
      </c>
      <c r="AC106" s="308">
        <f t="array" aca="1" ref="AC106" ca="1">AB106+SUM((OFFSET($B$13,1,0):OFFSET($B$98,-3,0))*IF(ISNUMBER(OFFSET(AC$11,5,0):OFFSET(AC$98,-1,0)),OFFSET(AC$11,5,0):OFFSET(AC$98,-1,0),0))</f>
        <v>0</v>
      </c>
      <c r="AD106" s="308">
        <f t="array" aca="1" ref="AD106" ca="1">AC106+SUM((OFFSET($B$13,1,0):OFFSET($B$98,-3,0))*IF(ISNUMBER(OFFSET(AD$11,5,0):OFFSET(AD$98,-1,0)),OFFSET(AD$11,5,0):OFFSET(AD$98,-1,0),0))</f>
        <v>0</v>
      </c>
      <c r="AE106" s="309">
        <f t="array" aca="1" ref="AE106" ca="1">AD106+SUM((OFFSET($B$13,1,0):OFFSET($B$98,-3,0))*IF(ISNUMBER(OFFSET(AE$11,5,0):OFFSET(AE$98,-1,0)),OFFSET(AE$11,5,0):OFFSET(AE$98,-1,0),0))</f>
        <v>0</v>
      </c>
      <c r="AF106" s="307">
        <f t="array" aca="1" ref="AF106" ca="1">AE106+SUM((OFFSET($B$13,1,0):OFFSET($B$98,-3,0))*IF(ISNUMBER(OFFSET(AF$11,5,0):OFFSET(AF$98,-1,0)),OFFSET(AF$11,5,0):OFFSET(AF$98,-1,0),0))</f>
        <v>0</v>
      </c>
      <c r="AG106" s="308">
        <f t="array" aca="1" ref="AG106" ca="1">AF106+SUM((OFFSET($B$13,1,0):OFFSET($B$98,-3,0))*IF(ISNUMBER(OFFSET(AG$11,5,0):OFFSET(AG$98,-1,0)),OFFSET(AG$11,5,0):OFFSET(AG$98,-1,0),0))</f>
        <v>0</v>
      </c>
      <c r="AH106" s="308">
        <f t="array" aca="1" ref="AH106" ca="1">AG106+SUM((OFFSET($B$13,1,0):OFFSET($B$98,-3,0))*IF(ISNUMBER(OFFSET(AH$11,5,0):OFFSET(AH$98,-1,0)),OFFSET(AH$11,5,0):OFFSET(AH$98,-1,0),0))</f>
        <v>0</v>
      </c>
      <c r="AI106" s="308">
        <f t="array" aca="1" ref="AI106" ca="1">AH106+SUM((OFFSET($B$13,1,0):OFFSET($B$98,-3,0))*IF(ISNUMBER(OFFSET(AI$11,5,0):OFFSET(AI$98,-1,0)),OFFSET(AI$11,5,0):OFFSET(AI$98,-1,0),0))</f>
        <v>0</v>
      </c>
      <c r="AJ106" s="308">
        <f t="array" aca="1" ref="AJ106" ca="1">AI106+SUM((OFFSET($B$13,1,0):OFFSET($B$98,-3,0))*IF(ISNUMBER(OFFSET(AJ$11,5,0):OFFSET(AJ$98,-1,0)),OFFSET(AJ$11,5,0):OFFSET(AJ$98,-1,0),0))</f>
        <v>0</v>
      </c>
      <c r="AK106" s="308">
        <f t="array" aca="1" ref="AK106" ca="1">AJ106+SUM((OFFSET($B$13,1,0):OFFSET($B$98,-3,0))*IF(ISNUMBER(OFFSET(AK$11,5,0):OFFSET(AK$98,-1,0)),OFFSET(AK$11,5,0):OFFSET(AK$98,-1,0),0))</f>
        <v>0</v>
      </c>
      <c r="AL106" s="308">
        <f t="array" aca="1" ref="AL106" ca="1">AK106+SUM((OFFSET($B$13,1,0):OFFSET($B$98,-3,0))*IF(ISNUMBER(OFFSET(AL$11,5,0):OFFSET(AL$98,-1,0)),OFFSET(AL$11,5,0):OFFSET(AL$98,-1,0),0))</f>
        <v>0</v>
      </c>
      <c r="AM106" s="308">
        <f t="array" aca="1" ref="AM106" ca="1">AL106+SUM((OFFSET($B$13,1,0):OFFSET($B$98,-3,0))*IF(ISNUMBER(OFFSET(AM$11,5,0):OFFSET(AM$98,-1,0)),OFFSET(AM$11,5,0):OFFSET(AM$98,-1,0),0))</f>
        <v>0</v>
      </c>
      <c r="AN106" s="308">
        <f t="array" aca="1" ref="AN106" ca="1">AM106+SUM((OFFSET($B$13,1,0):OFFSET($B$98,-3,0))*IF(ISNUMBER(OFFSET(AN$11,5,0):OFFSET(AN$98,-1,0)),OFFSET(AN$11,5,0):OFFSET(AN$98,-1,0),0))</f>
        <v>0</v>
      </c>
      <c r="AO106" s="308">
        <f t="array" aca="1" ref="AO106" ca="1">AN106+SUM((OFFSET($B$13,1,0):OFFSET($B$98,-3,0))*IF(ISNUMBER(OFFSET(AO$11,5,0):OFFSET(AO$98,-1,0)),OFFSET(AO$11,5,0):OFFSET(AO$98,-1,0),0))</f>
        <v>0</v>
      </c>
      <c r="AP106" s="308">
        <f t="array" aca="1" ref="AP106" ca="1">AO106+SUM((OFFSET($B$13,1,0):OFFSET($B$98,-3,0))*IF(ISNUMBER(OFFSET(AP$11,5,0):OFFSET(AP$98,-1,0)),OFFSET(AP$11,5,0):OFFSET(AP$98,-1,0),0))</f>
        <v>0</v>
      </c>
      <c r="AQ106" s="309">
        <f t="array" aca="1" ref="AQ106" ca="1">AP106+SUM((OFFSET($B$13,1,0):OFFSET($B$98,-3,0))*IF(ISNUMBER(OFFSET(AQ$11,5,0):OFFSET(AQ$98,-1,0)),OFFSET(AQ$11,5,0):OFFSET(AQ$98,-1,0),0))</f>
        <v>0</v>
      </c>
      <c r="AR106" s="239">
        <f ca="1">AE106+SUMPRODUCT((OFFSET($C$13,1,0):OFFSET($C$98,-3,0))*IF(ISNUMBER(OFFSET(AR$11,5,0):OFFSET(AR$98,-1,0)),OFFSET(AR$11,5,0):OFFSET(AR$98,-1,0),0))</f>
        <v>0</v>
      </c>
    </row>
    <row r="107" spans="4:44" x14ac:dyDescent="0.25">
      <c r="D107" s="310">
        <f t="array" aca="1" ref="D107" ca="1">C107+SUM((OFFSET($C$13,1,0):OFFSET($C$98,-3,0))*IF(ISNUMBER(OFFSET(D$11,5,0):OFFSET(D$98,-1,0)),OFFSET(D$11,5,0):OFFSET(D$98,-1,0),0))</f>
        <v>0</v>
      </c>
      <c r="F107" s="238" t="s">
        <v>248</v>
      </c>
      <c r="K107" s="304"/>
      <c r="R107" s="311"/>
      <c r="S107" s="312" t="s">
        <v>287</v>
      </c>
      <c r="T107" s="313">
        <f t="array" aca="1" ref="T107" ca="1">SUM((OFFSET($C$13,1,0):OFFSET($C$98,-3,0))*IF(ISNUMBER(OFFSET(T$11,5,0):OFFSET(T$98,-1,0)),OFFSET(T$11,5,0):OFFSET(T$98,-1,0),0))</f>
        <v>0</v>
      </c>
      <c r="U107" s="310">
        <f t="array" aca="1" ref="U107" ca="1">T107+SUM((OFFSET($C$13,1,0):OFFSET($C$98,-3,0))*IF(ISNUMBER(OFFSET(U$11,5,0):OFFSET(U$98,-1,0)),OFFSET(U$11,5,0):OFFSET(U$98,-1,0),0))</f>
        <v>0</v>
      </c>
      <c r="V107" s="310">
        <f t="array" aca="1" ref="V107" ca="1">U107+SUM((OFFSET($C$13,1,0):OFFSET($C$98,-3,0))*IF(ISNUMBER(OFFSET(V$11,5,0):OFFSET(V$98,-1,0)),OFFSET(V$11,5,0):OFFSET(V$98,-1,0),0))</f>
        <v>0</v>
      </c>
      <c r="W107" s="310">
        <f t="array" aca="1" ref="W107" ca="1">V107+SUM((OFFSET($C$13,1,0):OFFSET($C$98,-3,0))*IF(ISNUMBER(OFFSET(W$11,5,0):OFFSET(W$98,-1,0)),OFFSET(W$11,5,0):OFFSET(W$98,-1,0),0))</f>
        <v>0</v>
      </c>
      <c r="X107" s="310">
        <f t="array" aca="1" ref="X107" ca="1">W107+SUM((OFFSET($C$13,1,0):OFFSET($C$98,-3,0))*IF(ISNUMBER(OFFSET(X$11,5,0):OFFSET(X$98,-1,0)),OFFSET(X$11,5,0):OFFSET(X$98,-1,0),0))</f>
        <v>0</v>
      </c>
      <c r="Y107" s="310">
        <f t="array" aca="1" ref="Y107" ca="1">X107+SUM((OFFSET($C$13,1,0):OFFSET($C$98,-3,0))*IF(ISNUMBER(OFFSET(Y$11,5,0):OFFSET(Y$98,-1,0)),OFFSET(Y$11,5,0):OFFSET(Y$98,-1,0),0))</f>
        <v>0</v>
      </c>
      <c r="Z107" s="310">
        <f t="array" aca="1" ref="Z107" ca="1">Y107+SUM((OFFSET($C$13,1,0):OFFSET($C$98,-3,0))*IF(ISNUMBER(OFFSET(Z$11,5,0):OFFSET(Z$98,-1,0)),OFFSET(Z$11,5,0):OFFSET(Z$98,-1,0),0))</f>
        <v>0</v>
      </c>
      <c r="AA107" s="310">
        <f t="array" aca="1" ref="AA107" ca="1">Z107+SUM((OFFSET($C$13,1,0):OFFSET($C$98,-3,0))*IF(ISNUMBER(OFFSET(AA$11,5,0):OFFSET(AA$98,-1,0)),OFFSET(AA$11,5,0):OFFSET(AA$98,-1,0),0))</f>
        <v>0</v>
      </c>
      <c r="AB107" s="310">
        <f t="array" aca="1" ref="AB107" ca="1">AA107+SUM((OFFSET($C$13,1,0):OFFSET($C$98,-3,0))*IF(ISNUMBER(OFFSET(AB$11,5,0):OFFSET(AB$98,-1,0)),OFFSET(AB$11,5,0):OFFSET(AB$98,-1,0),0))</f>
        <v>0</v>
      </c>
      <c r="AC107" s="310">
        <f t="array" aca="1" ref="AC107" ca="1">AB107+SUM((OFFSET($C$13,1,0):OFFSET($C$98,-3,0))*IF(ISNUMBER(OFFSET(AC$11,5,0):OFFSET(AC$98,-1,0)),OFFSET(AC$11,5,0):OFFSET(AC$98,-1,0),0))</f>
        <v>0</v>
      </c>
      <c r="AD107" s="310">
        <f t="array" aca="1" ref="AD107" ca="1">AC107+SUM((OFFSET($C$13,1,0):OFFSET($C$98,-3,0))*IF(ISNUMBER(OFFSET(AD$11,5,0):OFFSET(AD$98,-1,0)),OFFSET(AD$11,5,0):OFFSET(AD$98,-1,0),0))</f>
        <v>0</v>
      </c>
      <c r="AE107" s="314">
        <f t="array" aca="1" ref="AE107" ca="1">AD107+SUM((OFFSET($C$13,1,0):OFFSET($C$98,-3,0))*IF(ISNUMBER(OFFSET(AE$11,5,0):OFFSET(AE$98,-1,0)),OFFSET(AE$11,5,0):OFFSET(AE$98,-1,0),0))</f>
        <v>0</v>
      </c>
      <c r="AF107" s="313">
        <f t="array" aca="1" ref="AF107" ca="1">AE107+SUM((OFFSET($C$13,1,0):OFFSET($C$98,-3,0))*IF(ISNUMBER(OFFSET(AF$11,5,0):OFFSET(AF$98,-1,0)),OFFSET(AF$11,5,0):OFFSET(AF$98,-1,0),0))</f>
        <v>0</v>
      </c>
      <c r="AG107" s="310">
        <f t="array" aca="1" ref="AG107" ca="1">AF107+SUM((OFFSET($C$13,1,0):OFFSET($C$98,-3,0))*IF(ISNUMBER(OFFSET(AG$11,5,0):OFFSET(AG$98,-1,0)),OFFSET(AG$11,5,0):OFFSET(AG$98,-1,0),0))</f>
        <v>0</v>
      </c>
      <c r="AH107" s="310">
        <f t="array" aca="1" ref="AH107" ca="1">AG107+SUM((OFFSET($C$13,1,0):OFFSET($C$98,-3,0))*IF(ISNUMBER(OFFSET(AH$11,5,0):OFFSET(AH$98,-1,0)),OFFSET(AH$11,5,0):OFFSET(AH$98,-1,0),0))</f>
        <v>0</v>
      </c>
      <c r="AI107" s="310">
        <f t="array" aca="1" ref="AI107" ca="1">AH107+SUM((OFFSET($C$13,1,0):OFFSET($C$98,-3,0))*IF(ISNUMBER(OFFSET(AI$11,5,0):OFFSET(AI$98,-1,0)),OFFSET(AI$11,5,0):OFFSET(AI$98,-1,0),0))</f>
        <v>0</v>
      </c>
      <c r="AJ107" s="310">
        <f t="array" aca="1" ref="AJ107" ca="1">AI107+SUM((OFFSET($C$13,1,0):OFFSET($C$98,-3,0))*IF(ISNUMBER(OFFSET(AJ$11,5,0):OFFSET(AJ$98,-1,0)),OFFSET(AJ$11,5,0):OFFSET(AJ$98,-1,0),0))</f>
        <v>0</v>
      </c>
      <c r="AK107" s="310">
        <f t="array" aca="1" ref="AK107" ca="1">AJ107+SUM((OFFSET($C$13,1,0):OFFSET($C$98,-3,0))*IF(ISNUMBER(OFFSET(AK$11,5,0):OFFSET(AK$98,-1,0)),OFFSET(AK$11,5,0):OFFSET(AK$98,-1,0),0))</f>
        <v>0</v>
      </c>
      <c r="AL107" s="310">
        <f t="array" aca="1" ref="AL107" ca="1">AK107+SUM((OFFSET($C$13,1,0):OFFSET($C$98,-3,0))*IF(ISNUMBER(OFFSET(AL$11,5,0):OFFSET(AL$98,-1,0)),OFFSET(AL$11,5,0):OFFSET(AL$98,-1,0),0))</f>
        <v>0</v>
      </c>
      <c r="AM107" s="310">
        <f t="array" aca="1" ref="AM107" ca="1">AL107+SUM((OFFSET($C$13,1,0):OFFSET($C$98,-3,0))*IF(ISNUMBER(OFFSET(AM$11,5,0):OFFSET(AM$98,-1,0)),OFFSET(AM$11,5,0):OFFSET(AM$98,-1,0),0))</f>
        <v>0</v>
      </c>
      <c r="AN107" s="310">
        <f t="array" aca="1" ref="AN107" ca="1">AM107+SUM((OFFSET($C$13,1,0):OFFSET($C$98,-3,0))*IF(ISNUMBER(OFFSET(AN$11,5,0):OFFSET(AN$98,-1,0)),OFFSET(AN$11,5,0):OFFSET(AN$98,-1,0),0))</f>
        <v>0</v>
      </c>
      <c r="AO107" s="310">
        <f t="array" aca="1" ref="AO107" ca="1">AN107+SUM((OFFSET($C$13,1,0):OFFSET($C$98,-3,0))*IF(ISNUMBER(OFFSET(AO$11,5,0):OFFSET(AO$98,-1,0)),OFFSET(AO$11,5,0):OFFSET(AO$98,-1,0),0))</f>
        <v>0</v>
      </c>
      <c r="AP107" s="310">
        <f t="array" aca="1" ref="AP107" ca="1">AO107+SUM((OFFSET($C$13,1,0):OFFSET($C$98,-3,0))*IF(ISNUMBER(OFFSET(AP$11,5,0):OFFSET(AP$98,-1,0)),OFFSET(AP$11,5,0):OFFSET(AP$98,-1,0),0))</f>
        <v>0</v>
      </c>
      <c r="AQ107" s="314">
        <f t="array" aca="1" ref="AQ107" ca="1">AP107+SUM((OFFSET($C$13,1,0):OFFSET($C$98,-3,0))*IF(ISNUMBER(OFFSET(AQ$11,5,0):OFFSET(AQ$98,-1,0)),OFFSET(AQ$11,5,0):OFFSET(AQ$98,-1,0),0))</f>
        <v>0</v>
      </c>
      <c r="AR107" s="239">
        <f ca="1">ROUND(AR108-AR105-AR106,2)</f>
        <v>0</v>
      </c>
    </row>
    <row r="108" spans="4:44" x14ac:dyDescent="0.25">
      <c r="D108" s="315">
        <f ca="1">C108+SUMIF($R$12:$R$98,"1$",D12:D98)</f>
        <v>0</v>
      </c>
      <c r="F108" s="238" t="s">
        <v>248</v>
      </c>
      <c r="K108" s="316"/>
      <c r="R108" s="317"/>
      <c r="S108" s="318" t="s">
        <v>288</v>
      </c>
      <c r="T108" s="319">
        <f ca="1">SUMIF($R$12:$R$98,"1$",T12:T98)</f>
        <v>0</v>
      </c>
      <c r="U108" s="320">
        <f t="shared" ref="U108:AQ108" ca="1" si="41">T108+SUMIF($R$12:$R$98,"1$",U12:U98)</f>
        <v>0</v>
      </c>
      <c r="V108" s="320">
        <f t="shared" ca="1" si="41"/>
        <v>0</v>
      </c>
      <c r="W108" s="320">
        <f t="shared" ca="1" si="41"/>
        <v>0</v>
      </c>
      <c r="X108" s="320">
        <f t="shared" ca="1" si="41"/>
        <v>0</v>
      </c>
      <c r="Y108" s="320">
        <f t="shared" ca="1" si="41"/>
        <v>0</v>
      </c>
      <c r="Z108" s="320">
        <f t="shared" ca="1" si="41"/>
        <v>0</v>
      </c>
      <c r="AA108" s="320">
        <f t="shared" ca="1" si="41"/>
        <v>0</v>
      </c>
      <c r="AB108" s="320">
        <f t="shared" ca="1" si="41"/>
        <v>0</v>
      </c>
      <c r="AC108" s="320">
        <f t="shared" ca="1" si="41"/>
        <v>0</v>
      </c>
      <c r="AD108" s="320">
        <f t="shared" ca="1" si="41"/>
        <v>0</v>
      </c>
      <c r="AE108" s="321">
        <f t="shared" ca="1" si="41"/>
        <v>0</v>
      </c>
      <c r="AF108" s="319">
        <f t="shared" ca="1" si="41"/>
        <v>0</v>
      </c>
      <c r="AG108" s="320">
        <f t="shared" ca="1" si="41"/>
        <v>0</v>
      </c>
      <c r="AH108" s="320">
        <f t="shared" ca="1" si="41"/>
        <v>0</v>
      </c>
      <c r="AI108" s="320">
        <f t="shared" ca="1" si="41"/>
        <v>0</v>
      </c>
      <c r="AJ108" s="320">
        <f t="shared" ca="1" si="41"/>
        <v>0</v>
      </c>
      <c r="AK108" s="320">
        <f t="shared" ca="1" si="41"/>
        <v>0</v>
      </c>
      <c r="AL108" s="320">
        <f t="shared" ca="1" si="41"/>
        <v>0</v>
      </c>
      <c r="AM108" s="320">
        <f t="shared" ca="1" si="41"/>
        <v>0</v>
      </c>
      <c r="AN108" s="320">
        <f t="shared" ca="1" si="41"/>
        <v>0</v>
      </c>
      <c r="AO108" s="320">
        <f t="shared" ca="1" si="41"/>
        <v>0</v>
      </c>
      <c r="AP108" s="320">
        <f t="shared" ca="1" si="41"/>
        <v>0</v>
      </c>
      <c r="AQ108" s="321">
        <f t="shared" ca="1" si="41"/>
        <v>0</v>
      </c>
      <c r="AR108" s="239">
        <f ca="1">AE108+SUMIF($R$12:$R$98,"1$",AR12:AR98)</f>
        <v>0</v>
      </c>
    </row>
    <row r="109" spans="4:44" x14ac:dyDescent="0.25">
      <c r="F109" s="238" t="s">
        <v>248</v>
      </c>
    </row>
    <row r="110" spans="4:44" ht="32.25" customHeight="1" x14ac:dyDescent="0.25">
      <c r="F110" s="238" t="s">
        <v>248</v>
      </c>
      <c r="H110" s="708" t="str">
        <f>Import.Município</f>
        <v>LAGUNA/SC</v>
      </c>
      <c r="I110" s="708"/>
      <c r="J110" s="708"/>
      <c r="K110" s="708"/>
      <c r="L110" s="708"/>
      <c r="M110" s="708"/>
      <c r="N110" s="708"/>
      <c r="O110" s="708"/>
      <c r="P110" s="708"/>
      <c r="Q110" s="708"/>
      <c r="R110" s="708"/>
      <c r="Z110" s="640"/>
      <c r="AA110" s="640"/>
      <c r="AB110" s="640"/>
      <c r="AC110" s="640"/>
      <c r="AD110" s="643"/>
      <c r="AE110" s="643"/>
      <c r="AL110" s="640"/>
      <c r="AM110" s="640"/>
      <c r="AN110" s="640"/>
      <c r="AO110" s="640"/>
      <c r="AP110" s="643"/>
      <c r="AQ110" s="643"/>
    </row>
    <row r="111" spans="4:44" x14ac:dyDescent="0.25">
      <c r="F111" s="238" t="s">
        <v>248</v>
      </c>
      <c r="H111" s="12" t="s">
        <v>190</v>
      </c>
      <c r="I111" s="104"/>
      <c r="J111" s="104"/>
      <c r="K111" s="104"/>
      <c r="Z111" s="229" t="s">
        <v>192</v>
      </c>
      <c r="AA111" s="229"/>
      <c r="AB111" s="229"/>
      <c r="AC111" s="229"/>
      <c r="AD111" s="238"/>
      <c r="AE111" s="238"/>
      <c r="AL111" s="229" t="s">
        <v>192</v>
      </c>
      <c r="AM111" s="229"/>
      <c r="AN111" s="229"/>
      <c r="AO111" s="229"/>
      <c r="AP111" s="238"/>
      <c r="AQ111" s="238"/>
    </row>
    <row r="112" spans="4:44" x14ac:dyDescent="0.25">
      <c r="F112" s="238" t="s">
        <v>248</v>
      </c>
      <c r="H112" s="104"/>
      <c r="I112" s="104"/>
      <c r="J112" s="104"/>
      <c r="K112" s="104"/>
      <c r="Z112" s="642" t="str">
        <f t="array" aca="1" ref="Z112:Z114" ca="1">OFFSET(Import.RespOrçamento,0,-1) &amp; " " &amp; Import.RespOrçamento</f>
        <v>Nome: Norton dos Santos Filho</v>
      </c>
      <c r="AB112" s="176"/>
      <c r="AC112" s="96"/>
      <c r="AD112" s="238"/>
      <c r="AE112" s="238"/>
      <c r="AL112" s="642" t="str">
        <f t="array" aca="1" ref="AL112:AL114" ca="1">OFFSET(Import.RespOrçamento,0,-1) &amp; " " &amp; Import.RespOrçamento</f>
        <v>Nome: Norton dos Santos Filho</v>
      </c>
      <c r="AN112" s="176"/>
      <c r="AO112" s="96"/>
      <c r="AP112" s="238"/>
      <c r="AQ112" s="238"/>
    </row>
    <row r="113" spans="6:43" x14ac:dyDescent="0.25">
      <c r="F113" s="238" t="s">
        <v>248</v>
      </c>
      <c r="H113" s="725">
        <f ca="1">DADOS!$F$25</f>
        <v>45477</v>
      </c>
      <c r="I113" s="725"/>
      <c r="J113" s="725"/>
      <c r="K113" s="322"/>
      <c r="L113" s="323"/>
      <c r="M113" s="323"/>
      <c r="N113" s="323"/>
      <c r="O113" s="323"/>
      <c r="P113" s="323"/>
      <c r="Q113" s="323"/>
      <c r="R113" s="324"/>
      <c r="Z113" s="642" t="str">
        <f ca="1"/>
        <v>CREA/CAU: 139329-8</v>
      </c>
      <c r="AB113" s="96"/>
      <c r="AC113" s="96"/>
      <c r="AD113" s="238"/>
      <c r="AE113" s="238"/>
      <c r="AL113" s="642" t="str">
        <f ca="1"/>
        <v>CREA/CAU: 139329-8</v>
      </c>
      <c r="AN113" s="96"/>
      <c r="AO113" s="96"/>
      <c r="AP113" s="238"/>
      <c r="AQ113" s="238"/>
    </row>
    <row r="114" spans="6:43" x14ac:dyDescent="0.25">
      <c r="F114" s="238" t="s">
        <v>248</v>
      </c>
      <c r="H114" s="325" t="s">
        <v>191</v>
      </c>
      <c r="I114" s="105"/>
      <c r="J114" s="105"/>
      <c r="K114" s="104"/>
      <c r="Z114" s="642" t="str">
        <f ca="1"/>
        <v>ART/RRT: 9200819-3</v>
      </c>
      <c r="AB114" s="96"/>
      <c r="AC114" s="96"/>
      <c r="AD114" s="238"/>
      <c r="AE114" s="238"/>
      <c r="AL114" s="642" t="str">
        <f ca="1"/>
        <v>ART/RRT: 9200819-3</v>
      </c>
      <c r="AN114" s="96"/>
      <c r="AO114" s="96"/>
      <c r="AP114" s="238"/>
      <c r="AQ114" s="238"/>
    </row>
  </sheetData>
  <sheetProtection password="BD1F" sheet="1" objects="1" scenarios="1" autoFilter="0"/>
  <autoFilter ref="F13:F114">
    <filterColumn colId="0">
      <filters>
        <filter val="F"/>
      </filters>
    </filterColumn>
  </autoFilter>
  <mergeCells count="21">
    <mergeCell ref="F8:F11"/>
    <mergeCell ref="H8:I8"/>
    <mergeCell ref="G7:G9"/>
    <mergeCell ref="AP4:AQ4"/>
    <mergeCell ref="AP5:AQ5"/>
    <mergeCell ref="AF8:AJ8"/>
    <mergeCell ref="AK8:AP8"/>
    <mergeCell ref="AD4:AE4"/>
    <mergeCell ref="AD5:AE5"/>
    <mergeCell ref="H99:J100"/>
    <mergeCell ref="G12:G13"/>
    <mergeCell ref="Y8:AD8"/>
    <mergeCell ref="K8:S8"/>
    <mergeCell ref="T8:X8"/>
    <mergeCell ref="J10:S11"/>
    <mergeCell ref="S12:S13"/>
    <mergeCell ref="H113:J113"/>
    <mergeCell ref="H110:R110"/>
    <mergeCell ref="H12:H13"/>
    <mergeCell ref="R12:R13"/>
    <mergeCell ref="I12:I13"/>
  </mergeCells>
  <phoneticPr fontId="38" type="noConversion"/>
  <conditionalFormatting sqref="T12:T13">
    <cfRule type="expression" dxfId="502" priority="1930" stopIfTrue="1">
      <formula>NOT(ISNUMBER(S$12))</formula>
    </cfRule>
  </conditionalFormatting>
  <conditionalFormatting sqref="D2 T2:AE2 AR2">
    <cfRule type="expression" dxfId="501" priority="1931" stopIfTrue="1">
      <formula>AND(ISNUMBER($G1),$G1&lt;&gt;0)</formula>
    </cfRule>
  </conditionalFormatting>
  <conditionalFormatting sqref="D99:D103 T100:AE100 T102:AQ102">
    <cfRule type="expression" dxfId="500" priority="1936" stopIfTrue="1">
      <formula>D$99=0</formula>
    </cfRule>
  </conditionalFormatting>
  <conditionalFormatting sqref="D104:D108">
    <cfRule type="expression" dxfId="499" priority="1937" stopIfTrue="1">
      <formula>C$104=1</formula>
    </cfRule>
  </conditionalFormatting>
  <conditionalFormatting sqref="U104:AE104 U106:AE106 U108:AE108 AG106:AQ106 AG108:AQ108">
    <cfRule type="expression" dxfId="498" priority="1938" stopIfTrue="1">
      <formula>OFFSET(U$104,0,-1)&gt;=1</formula>
    </cfRule>
  </conditionalFormatting>
  <conditionalFormatting sqref="U105:AE105 U107:AE107 AG107:AQ107">
    <cfRule type="expression" dxfId="497" priority="1939" stopIfTrue="1">
      <formula>OFFSET(U$104,0,-1)&gt;=1</formula>
    </cfRule>
  </conditionalFormatting>
  <conditionalFormatting sqref="T99:AE99 T101:AQ101 T103:AQ103">
    <cfRule type="expression" dxfId="496" priority="1940" stopIfTrue="1">
      <formula>T$99=0</formula>
    </cfRule>
  </conditionalFormatting>
  <conditionalFormatting sqref="AE7:AE8">
    <cfRule type="expression" dxfId="495" priority="1941" stopIfTrue="1">
      <formula>OR(TIPOORCAMENTO&lt;&gt;"Licitado",QCI.ExisteManual)</formula>
    </cfRule>
  </conditionalFormatting>
  <conditionalFormatting sqref="D1 T1:AE1">
    <cfRule type="expression" dxfId="494" priority="1942" stopIfTrue="1">
      <formula>D1&lt;&gt;0</formula>
    </cfRule>
  </conditionalFormatting>
  <conditionalFormatting sqref="Y7:AD8">
    <cfRule type="expression" dxfId="493" priority="1929" stopIfTrue="1">
      <formula>QCI.ExisteManual</formula>
    </cfRule>
  </conditionalFormatting>
  <conditionalFormatting sqref="D15 D18 D21 T15:AE15 T18:AE18 T21:AE21 AR21 AR18 AR15">
    <cfRule type="expression" dxfId="492" priority="84" stopIfTrue="1">
      <formula>AND(ISNUMBER($G14),$G14&lt;&gt;0)</formula>
    </cfRule>
  </conditionalFormatting>
  <conditionalFormatting sqref="D14 D17 D20 T14:AE14 T17:AE17 T20:AE20">
    <cfRule type="expression" dxfId="491" priority="89" stopIfTrue="1">
      <formula>D14&lt;&gt;0</formula>
    </cfRule>
  </conditionalFormatting>
  <conditionalFormatting sqref="D24 D27 D30 T24:AE24 T27:AE27 T30:AE30 AR30 AR27 AR24">
    <cfRule type="expression" dxfId="490" priority="78" stopIfTrue="1">
      <formula>AND(ISNUMBER($G23),$G23&lt;&gt;0)</formula>
    </cfRule>
  </conditionalFormatting>
  <conditionalFormatting sqref="D23 D26 D29 T23:AE23 T26:AE26 T29:AE29">
    <cfRule type="expression" dxfId="489" priority="83" stopIfTrue="1">
      <formula>D23&lt;&gt;0</formula>
    </cfRule>
  </conditionalFormatting>
  <conditionalFormatting sqref="D33 D36 D39 T33:AE33 T36:AE36 T39:AE39 AR39 AR36 AR33">
    <cfRule type="expression" dxfId="488" priority="72" stopIfTrue="1">
      <formula>AND(ISNUMBER($G32),$G32&lt;&gt;0)</formula>
    </cfRule>
  </conditionalFormatting>
  <conditionalFormatting sqref="D32 D35 D38 T32:AE32 T35:AE35 T38:AE38">
    <cfRule type="expression" dxfId="487" priority="77" stopIfTrue="1">
      <formula>D32&lt;&gt;0</formula>
    </cfRule>
  </conditionalFormatting>
  <conditionalFormatting sqref="D42 T42:AE42 AR42">
    <cfRule type="expression" dxfId="486" priority="66" stopIfTrue="1">
      <formula>AND(ISNUMBER($G41),$G41&lt;&gt;0)</formula>
    </cfRule>
  </conditionalFormatting>
  <conditionalFormatting sqref="D41 T41:AE41">
    <cfRule type="expression" dxfId="485" priority="71" stopIfTrue="1">
      <formula>D41&lt;&gt;0</formula>
    </cfRule>
  </conditionalFormatting>
  <conditionalFormatting sqref="D45 D48 D51 T45:AE45 T48:AE48 T51:AE51 AR51 AR48 AR45">
    <cfRule type="expression" dxfId="484" priority="60" stopIfTrue="1">
      <formula>AND(ISNUMBER($G44),$G44&lt;&gt;0)</formula>
    </cfRule>
  </conditionalFormatting>
  <conditionalFormatting sqref="D44 D47 D50 T44:AE44 T47:AE47 T50:AE50">
    <cfRule type="expression" dxfId="483" priority="65" stopIfTrue="1">
      <formula>D44&lt;&gt;0</formula>
    </cfRule>
  </conditionalFormatting>
  <conditionalFormatting sqref="D54 D57 D60 T54:AE54 T57:AE57 T60:AE60 AR60 AR57 AR54">
    <cfRule type="expression" dxfId="482" priority="54" stopIfTrue="1">
      <formula>AND(ISNUMBER($G53),$G53&lt;&gt;0)</formula>
    </cfRule>
  </conditionalFormatting>
  <conditionalFormatting sqref="D53 D56 D59 T53:AE53 T56:AE56 T59:AE59">
    <cfRule type="expression" dxfId="481" priority="59" stopIfTrue="1">
      <formula>D53&lt;&gt;0</formula>
    </cfRule>
  </conditionalFormatting>
  <conditionalFormatting sqref="D63 D66 D69 T63:AE63 T66:AE66 T69:AE69 AR69 AR66 AR63">
    <cfRule type="expression" dxfId="480" priority="48" stopIfTrue="1">
      <formula>AND(ISNUMBER($G62),$G62&lt;&gt;0)</formula>
    </cfRule>
  </conditionalFormatting>
  <conditionalFormatting sqref="D62 D65 D68 T62:AE62 T65:AE65 T68:AE68">
    <cfRule type="expression" dxfId="479" priority="53" stopIfTrue="1">
      <formula>D62&lt;&gt;0</formula>
    </cfRule>
  </conditionalFormatting>
  <conditionalFormatting sqref="D72 D75 D78 T72:AE72 T75:AE75 T78:AE78 AR78 AR75 AR72">
    <cfRule type="expression" dxfId="478" priority="42" stopIfTrue="1">
      <formula>AND(ISNUMBER($G71),$G71&lt;&gt;0)</formula>
    </cfRule>
  </conditionalFormatting>
  <conditionalFormatting sqref="D71 D74 D77 T71:AE71 T74:AE74 T77:AE77">
    <cfRule type="expression" dxfId="477" priority="47" stopIfTrue="1">
      <formula>D71&lt;&gt;0</formula>
    </cfRule>
  </conditionalFormatting>
  <conditionalFormatting sqref="D81 D84 D87 T81:AE81 T84:AE84 T87:AE87 AR87 AR84 AR81">
    <cfRule type="expression" dxfId="476" priority="36" stopIfTrue="1">
      <formula>AND(ISNUMBER($G80),$G80&lt;&gt;0)</formula>
    </cfRule>
  </conditionalFormatting>
  <conditionalFormatting sqref="D80 D83 D86 T80:AE80 T83:AE83 T86:AE86">
    <cfRule type="expression" dxfId="475" priority="41" stopIfTrue="1">
      <formula>D80&lt;&gt;0</formula>
    </cfRule>
  </conditionalFormatting>
  <conditionalFormatting sqref="AF2:AQ2">
    <cfRule type="expression" dxfId="474" priority="29" stopIfTrue="1">
      <formula>AND(ISNUMBER($G1),$G1&lt;&gt;0)</formula>
    </cfRule>
  </conditionalFormatting>
  <conditionalFormatting sqref="AF100:AQ100">
    <cfRule type="expression" dxfId="473" priority="30" stopIfTrue="1">
      <formula>AF$99=0</formula>
    </cfRule>
  </conditionalFormatting>
  <conditionalFormatting sqref="AG104:AQ104">
    <cfRule type="expression" dxfId="472" priority="31" stopIfTrue="1">
      <formula>OFFSET(AG$104,0,-1)&gt;=1</formula>
    </cfRule>
  </conditionalFormatting>
  <conditionalFormatting sqref="AG105:AQ105">
    <cfRule type="expression" dxfId="471" priority="32" stopIfTrue="1">
      <formula>OFFSET(AG$104,0,-1)&gt;=1</formula>
    </cfRule>
  </conditionalFormatting>
  <conditionalFormatting sqref="AF99:AQ99">
    <cfRule type="expression" dxfId="470" priority="33" stopIfTrue="1">
      <formula>AF$99=0</formula>
    </cfRule>
  </conditionalFormatting>
  <conditionalFormatting sqref="AQ7:AQ8">
    <cfRule type="expression" dxfId="469" priority="34" stopIfTrue="1">
      <formula>OR(TIPOORCAMENTO&lt;&gt;"Licitado",QCI.ExisteManual)</formula>
    </cfRule>
  </conditionalFormatting>
  <conditionalFormatting sqref="AF1:AQ1">
    <cfRule type="expression" dxfId="468" priority="35" stopIfTrue="1">
      <formula>AF1&lt;&gt;0</formula>
    </cfRule>
  </conditionalFormatting>
  <conditionalFormatting sqref="AK7:AP8">
    <cfRule type="expression" dxfId="467" priority="27" stopIfTrue="1">
      <formula>QCI.ExisteManual</formula>
    </cfRule>
  </conditionalFormatting>
  <conditionalFormatting sqref="AF15:AQ15 AF18:AQ18 AF21:AQ21">
    <cfRule type="expression" dxfId="466" priority="25" stopIfTrue="1">
      <formula>AND(ISNUMBER($G14),$G14&lt;&gt;0)</formula>
    </cfRule>
  </conditionalFormatting>
  <conditionalFormatting sqref="AF14:AQ14 AF17:AQ17 AF20:AQ20">
    <cfRule type="expression" dxfId="465" priority="26" stopIfTrue="1">
      <formula>AF14&lt;&gt;0</formula>
    </cfRule>
  </conditionalFormatting>
  <conditionalFormatting sqref="AF24:AQ24 AF27:AQ27 AF30:AQ30">
    <cfRule type="expression" dxfId="464" priority="23" stopIfTrue="1">
      <formula>AND(ISNUMBER($G23),$G23&lt;&gt;0)</formula>
    </cfRule>
  </conditionalFormatting>
  <conditionalFormatting sqref="AF23:AQ23 AF26:AQ26 AF29:AQ29">
    <cfRule type="expression" dxfId="463" priority="24" stopIfTrue="1">
      <formula>AF23&lt;&gt;0</formula>
    </cfRule>
  </conditionalFormatting>
  <conditionalFormatting sqref="AF33:AQ33 AF36:AQ36 AF39:AQ39">
    <cfRule type="expression" dxfId="462" priority="21" stopIfTrue="1">
      <formula>AND(ISNUMBER($G32),$G32&lt;&gt;0)</formula>
    </cfRule>
  </conditionalFormatting>
  <conditionalFormatting sqref="AF32:AQ32 AF35:AQ35 AF38:AQ38">
    <cfRule type="expression" dxfId="461" priority="22" stopIfTrue="1">
      <formula>AF32&lt;&gt;0</formula>
    </cfRule>
  </conditionalFormatting>
  <conditionalFormatting sqref="AF42:AQ42">
    <cfRule type="expression" dxfId="460" priority="19" stopIfTrue="1">
      <formula>AND(ISNUMBER($G41),$G41&lt;&gt;0)</formula>
    </cfRule>
  </conditionalFormatting>
  <conditionalFormatting sqref="AF41:AQ41">
    <cfRule type="expression" dxfId="459" priority="20" stopIfTrue="1">
      <formula>AF41&lt;&gt;0</formula>
    </cfRule>
  </conditionalFormatting>
  <conditionalFormatting sqref="AF45:AQ45 AF48:AQ48 AF51:AQ51">
    <cfRule type="expression" dxfId="458" priority="17" stopIfTrue="1">
      <formula>AND(ISNUMBER($G44),$G44&lt;&gt;0)</formula>
    </cfRule>
  </conditionalFormatting>
  <conditionalFormatting sqref="AF44:AQ44 AF47:AQ47 AF50:AQ50">
    <cfRule type="expression" dxfId="457" priority="18" stopIfTrue="1">
      <formula>AF44&lt;&gt;0</formula>
    </cfRule>
  </conditionalFormatting>
  <conditionalFormatting sqref="AF54:AQ54 AF57:AQ57 AF60:AQ60">
    <cfRule type="expression" dxfId="456" priority="15" stopIfTrue="1">
      <formula>AND(ISNUMBER($G53),$G53&lt;&gt;0)</formula>
    </cfRule>
  </conditionalFormatting>
  <conditionalFormatting sqref="AF53:AQ53 AF56:AQ56 AF59:AQ59">
    <cfRule type="expression" dxfId="455" priority="16" stopIfTrue="1">
      <formula>AF53&lt;&gt;0</formula>
    </cfRule>
  </conditionalFormatting>
  <conditionalFormatting sqref="AF63:AQ63 AF66:AQ66 AF69:AQ69">
    <cfRule type="expression" dxfId="454" priority="13" stopIfTrue="1">
      <formula>AND(ISNUMBER($G62),$G62&lt;&gt;0)</formula>
    </cfRule>
  </conditionalFormatting>
  <conditionalFormatting sqref="AF62:AQ62 AF65:AQ65 AF68:AQ68">
    <cfRule type="expression" dxfId="453" priority="14" stopIfTrue="1">
      <formula>AF62&lt;&gt;0</formula>
    </cfRule>
  </conditionalFormatting>
  <conditionalFormatting sqref="AF72:AQ72 AF75:AQ75 AF78:AQ78">
    <cfRule type="expression" dxfId="452" priority="11" stopIfTrue="1">
      <formula>AND(ISNUMBER($G71),$G71&lt;&gt;0)</formula>
    </cfRule>
  </conditionalFormatting>
  <conditionalFormatting sqref="AF71:AQ71 AF74:AQ74 AF77:AQ77">
    <cfRule type="expression" dxfId="451" priority="12" stopIfTrue="1">
      <formula>AF71&lt;&gt;0</formula>
    </cfRule>
  </conditionalFormatting>
  <conditionalFormatting sqref="AF81:AQ81 AF84:AQ84 AF87:AQ87">
    <cfRule type="expression" dxfId="450" priority="9" stopIfTrue="1">
      <formula>AND(ISNUMBER($G80),$G80&lt;&gt;0)</formula>
    </cfRule>
  </conditionalFormatting>
  <conditionalFormatting sqref="AF80:AQ80 AF83:AQ83 AF86:AQ86">
    <cfRule type="expression" dxfId="449" priority="10" stopIfTrue="1">
      <formula>AF80&lt;&gt;0</formula>
    </cfRule>
  </conditionalFormatting>
  <conditionalFormatting sqref="D90 D93 D96 T90:AE90 T93:AE93 T96:AE96 AR90 AR93 AR96">
    <cfRule type="expression" dxfId="448" priority="7" stopIfTrue="1">
      <formula>AND(ISNUMBER($G89),$G89&lt;&gt;0)</formula>
    </cfRule>
  </conditionalFormatting>
  <conditionalFormatting sqref="D89 D92 D95 T89:AE89 T92:AE92 T95:AE95">
    <cfRule type="expression" dxfId="447" priority="8" stopIfTrue="1">
      <formula>D89&lt;&gt;0</formula>
    </cfRule>
  </conditionalFormatting>
  <conditionalFormatting sqref="AF90:AQ90 AF93:AQ93 AF96:AQ96">
    <cfRule type="expression" dxfId="446" priority="5" stopIfTrue="1">
      <formula>AND(ISNUMBER($G89),$G89&lt;&gt;0)</formula>
    </cfRule>
  </conditionalFormatting>
  <conditionalFormatting sqref="AF89:AQ89 AF92:AQ92 AF95:AQ95">
    <cfRule type="expression" dxfId="445" priority="6" stopIfTrue="1">
      <formula>AF89&lt;&gt;0</formula>
    </cfRule>
  </conditionalFormatting>
  <dataValidations count="5">
    <dataValidation type="list" allowBlank="1" showErrorMessage="1" sqref="G10">
      <formula1>"1,2,3,4"</formula1>
      <formula2>0</formula2>
    </dataValidation>
    <dataValidation allowBlank="1" showInputMessage="1" showErrorMessage="1" prompt="Preencha na célula de baixo. Se o acompanhamento for PLE, preencha no botão PREENCHIMENTO POR EVENTOS, acima." sqref="D1 T14:AQ14 D14 D17 D20 T17:AQ17 T20:AQ20 T23:AQ23 D23 D26 D29 T26:AQ26 T29:AQ29 T32:AQ32 D32 D35 D38 T35:AQ35 T38:AQ38 T41:AQ41 D41 T44:AQ44 D44 D47 D50 T47:AQ47 T50:AQ50 T53:AQ53 D53 D56 D59 T56:AQ56 T59:AQ59 T62:AQ62 D62 D65 D68 T65:AQ65 T68:AQ68 T71:AQ71 D71 D74 D77 T74:AQ74 T77:AQ77 T80:AQ80 D80 D83 D86 T83:AQ83 T86:AQ86 T1:AQ1 D89 D92 D95 T89:AQ89 T92:AQ92 T95:AQ95"/>
    <dataValidation type="whole" operator="greaterThan" allowBlank="1" showErrorMessage="1" sqref="T12 AF12">
      <formula1>0</formula1>
      <formula2>0</formula2>
    </dataValidation>
    <dataValidation type="decimal" allowBlank="1" showErrorMessage="1" error="Porcentagem Acumulada &gt; 100%." sqref="D2 D15 D18 D21 D24 D27 D30 D33 D36 D39 D42 D45 D48 D51 D54 D57 D60 D63 D66 D69 D72 D75 D78 D81 D84 D87 T87:AR87 T84:AR84 T81:AR81 T78:AR78 T75:AR75 T72:AR72 T69:AR69 T66:AR66 T63:AR63 T60:AR60 T57:AR57 T54:AR54 T51:AR51 T48:AR48 T45:AR45 T42:AR42 T39:AR39 T36:AR36 T33:AR33 T30:AR30 T27:AR27 T24:AR24 T21:AR21 T18:AR18 T15:AR15 T2:AR2 D90 D93 D96 T90:AR90 T93:AR93 T96:AR96">
      <formula1>0</formula1>
      <formula2>CRONO.MaxParc</formula2>
    </dataValidation>
    <dataValidation type="date" operator="greaterThan" allowBlank="1" showInputMessage="1" showErrorMessage="1" errorTitle="Erro" error="Digite somente datas." sqref="T13 AF13">
      <formula1>36526</formula1>
    </dataValidation>
  </dataValidations>
  <pageMargins left="0.78740157480314965" right="0.59055118110236227" top="0.78740157480314965" bottom="0.78740157480314965" header="0.59055118110236227" footer="0.59055118110236227"/>
  <pageSetup paperSize="9" scale="40" firstPageNumber="0" fitToWidth="0" orientation="landscape" r:id="rId1"/>
  <headerFooter alignWithMargins="0">
    <oddHeader>&amp;C&amp;14I</oddHeader>
    <oddFooter>&amp;LPMv3.0.4&amp;R&amp;P /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>
    <pageSetUpPr fitToPage="1"/>
  </sheetPr>
  <dimension ref="A1:AE24"/>
  <sheetViews>
    <sheetView showGridLines="0" zoomScale="90" zoomScaleNormal="90" workbookViewId="0">
      <pane xSplit="3" ySplit="13" topLeftCell="D14" activePane="bottomRight" state="frozen"/>
      <selection activeCell="A3" sqref="A3"/>
      <selection pane="topRight" activeCell="D3" sqref="D3"/>
      <selection pane="bottomLeft" activeCell="A13" sqref="A13"/>
      <selection pane="bottomRight" activeCell="A16" sqref="A16"/>
    </sheetView>
  </sheetViews>
  <sheetFormatPr defaultRowHeight="13.2" x14ac:dyDescent="0.25"/>
  <cols>
    <col min="1" max="1" width="3.88671875" customWidth="1"/>
    <col min="2" max="2" width="8.109375" customWidth="1"/>
    <col min="3" max="3" width="36.88671875" customWidth="1"/>
    <col min="4" max="4" width="1.44140625" customWidth="1"/>
    <col min="5" max="6" width="0" hidden="1" customWidth="1"/>
    <col min="7" max="31" width="5.6640625" customWidth="1"/>
    <col min="32" max="32" width="2.109375" customWidth="1"/>
  </cols>
  <sheetData>
    <row r="1" spans="1:31" hidden="1" x14ac:dyDescent="0.25">
      <c r="A1" s="9" t="e">
        <f ca="1">IF(AUTOEVENTO="Manual",IF(OFFSET(EVENTOS!$F$14,CRONOPLE!$B1,0)&gt;0,"F",""),IF(CRONOPLE!B1&lt;=MAX(CÁLCULO!$M$15:$M$710),"F",""))</f>
        <v>#REF!</v>
      </c>
      <c r="B1" s="326" t="e">
        <f ca="1">OFFSET(B1,-1,0)+1</f>
        <v>#REF!</v>
      </c>
      <c r="C1" s="327" t="e">
        <f ca="1">IF(AUTOEVENTO="Manual",IF($B1&lt;&gt;1,OFFSET(EVENTOS!$D$14,$B1,0),0),IF(B1&lt;=MAX(CÁLCULO!$M$15:$M$710),VLOOKUP($B1,CÁLCULO!$M$15:$N$710,2,FALSE),0))</f>
        <v>#REF!</v>
      </c>
      <c r="E1" s="328"/>
      <c r="G1" s="328"/>
      <c r="H1" s="328"/>
      <c r="I1" s="328"/>
      <c r="J1" s="328"/>
      <c r="K1" s="328"/>
      <c r="L1" s="328"/>
      <c r="M1" s="328"/>
      <c r="N1" s="328"/>
      <c r="O1" s="328"/>
      <c r="P1" s="328"/>
      <c r="Q1" s="328"/>
      <c r="R1" s="328"/>
      <c r="S1" s="328"/>
      <c r="T1" s="328"/>
      <c r="U1" s="328"/>
      <c r="V1" s="328"/>
      <c r="W1" s="328"/>
      <c r="X1" s="328"/>
      <c r="Y1" s="328"/>
      <c r="Z1" s="328"/>
      <c r="AA1" s="328"/>
      <c r="AB1" s="328"/>
      <c r="AC1" s="328"/>
      <c r="AD1" s="328"/>
      <c r="AE1" s="328"/>
    </row>
    <row r="2" spans="1:31" hidden="1" x14ac:dyDescent="0.25"/>
    <row r="3" spans="1:31" hidden="1" x14ac:dyDescent="0.25"/>
    <row r="4" spans="1:31" hidden="1" x14ac:dyDescent="0.25"/>
    <row r="5" spans="1:31" ht="15.6" x14ac:dyDescent="0.25">
      <c r="B5" s="102" t="s">
        <v>290</v>
      </c>
    </row>
    <row r="7" spans="1:31" x14ac:dyDescent="0.25">
      <c r="B7" t="s">
        <v>291</v>
      </c>
    </row>
    <row r="9" spans="1:31" ht="13.8" x14ac:dyDescent="0.25">
      <c r="B9" s="329" t="str">
        <f ca="1">IF(ACOMPANHAMENTO="BM","NO ACOMPANHAMENTO POR BM, UTILIZE A ABA CRONO",IF(MAX($B$14:$B$24)&lt;MAX(CÁLCULO!$M$15:$M$710),"ERRO: NÚMERO DE EVENTOS INSUFICIENTE, CLIQUE EM ATUALIZAR LINHAS",IF(ROUND(OFFSET(CRONO!$AR$108,0,-1),2)&lt;&gt;CRONO!$Q$99,"ERRO: CRONOGRAMA NÃO FECHA 100%","")))</f>
        <v>NO ACOMPANHAMENTO POR BM, UTILIZE A ABA CRONO</v>
      </c>
    </row>
    <row r="11" spans="1:31" ht="65.25" customHeight="1" x14ac:dyDescent="0.25">
      <c r="A11" s="330"/>
      <c r="C11" s="331"/>
      <c r="E11" s="332" t="str">
        <f ca="1">IF(E$12&gt;CÁLCULO.NúmeroDeFrentes,"",OFFSET(CÁLCULO!$P$12,0,E$12))</f>
        <v>Única</v>
      </c>
      <c r="G11" s="332" t="str">
        <f ca="1">IF(G$12&gt;CÁLCULO.NúmeroDeFrentes,"",OFFSET(CÁLCULO!$P$12,0,G$12))</f>
        <v>Única</v>
      </c>
      <c r="H11" s="332">
        <f ca="1">IF(H$12&gt;CÁLCULO.NúmeroDeFrentes,"",OFFSET(CÁLCULO!$P$12,0,H$12))</f>
        <v>0</v>
      </c>
      <c r="I11" s="332">
        <f ca="1">IF(I$12&gt;CÁLCULO.NúmeroDeFrentes,"",OFFSET(CÁLCULO!$P$12,0,I$12))</f>
        <v>0</v>
      </c>
      <c r="J11" s="332">
        <f ca="1">IF(J$12&gt;CÁLCULO.NúmeroDeFrentes,"",OFFSET(CÁLCULO!$P$12,0,J$12))</f>
        <v>0</v>
      </c>
      <c r="K11" s="332">
        <f ca="1">IF(K$12&gt;CÁLCULO.NúmeroDeFrentes,"",OFFSET(CÁLCULO!$P$12,0,K$12))</f>
        <v>0</v>
      </c>
      <c r="L11" s="332">
        <f ca="1">IF(L$12&gt;CÁLCULO.NúmeroDeFrentes,"",OFFSET(CÁLCULO!$P$12,0,L$12))</f>
        <v>0</v>
      </c>
      <c r="M11" s="332">
        <f ca="1">IF(M$12&gt;CÁLCULO.NúmeroDeFrentes,"",OFFSET(CÁLCULO!$P$12,0,M$12))</f>
        <v>0</v>
      </c>
      <c r="N11" s="332">
        <f ca="1">IF(N$12&gt;CÁLCULO.NúmeroDeFrentes,"",OFFSET(CÁLCULO!$P$12,0,N$12))</f>
        <v>0</v>
      </c>
      <c r="O11" s="332">
        <f ca="1">IF(O$12&gt;CÁLCULO.NúmeroDeFrentes,"",OFFSET(CÁLCULO!$P$12,0,O$12))</f>
        <v>0</v>
      </c>
      <c r="P11" s="332">
        <f ca="1">IF(P$12&gt;CÁLCULO.NúmeroDeFrentes,"",OFFSET(CÁLCULO!$P$12,0,P$12))</f>
        <v>0</v>
      </c>
      <c r="Q11" s="332">
        <f ca="1">IF(Q$12&gt;CÁLCULO.NúmeroDeFrentes,"",OFFSET(CÁLCULO!$P$12,0,Q$12))</f>
        <v>0</v>
      </c>
      <c r="R11" s="332">
        <f ca="1">IF(R$12&gt;CÁLCULO.NúmeroDeFrentes,"",OFFSET(CÁLCULO!$P$12,0,R$12))</f>
        <v>0</v>
      </c>
      <c r="S11" s="332">
        <f ca="1">IF(S$12&gt;CÁLCULO.NúmeroDeFrentes,"",OFFSET(CÁLCULO!$P$12,0,S$12))</f>
        <v>0</v>
      </c>
      <c r="T11" s="332">
        <f ca="1">IF(T$12&gt;CÁLCULO.NúmeroDeFrentes,"",OFFSET(CÁLCULO!$P$12,0,T$12))</f>
        <v>0</v>
      </c>
      <c r="U11" s="332">
        <f ca="1">IF(U$12&gt;CÁLCULO.NúmeroDeFrentes,"",OFFSET(CÁLCULO!$P$12,0,U$12))</f>
        <v>0</v>
      </c>
      <c r="V11" s="332">
        <f ca="1">IF(V$12&gt;CÁLCULO.NúmeroDeFrentes,"",OFFSET(CÁLCULO!$P$12,0,V$12))</f>
        <v>0</v>
      </c>
      <c r="W11" s="332">
        <f ca="1">IF(W$12&gt;CÁLCULO.NúmeroDeFrentes,"",OFFSET(CÁLCULO!$P$12,0,W$12))</f>
        <v>0</v>
      </c>
      <c r="X11" s="332">
        <f ca="1">IF(X$12&gt;CÁLCULO.NúmeroDeFrentes,"",OFFSET(CÁLCULO!$P$12,0,X$12))</f>
        <v>0</v>
      </c>
      <c r="Y11" s="332" t="str">
        <f ca="1">IF(Y$12&gt;CÁLCULO.NúmeroDeFrentes,"",OFFSET(CÁLCULO!$P$12,0,Y$12))</f>
        <v/>
      </c>
      <c r="Z11" s="332" t="str">
        <f ca="1">IF(Z$12&gt;CÁLCULO.NúmeroDeFrentes,"",OFFSET(CÁLCULO!$P$12,0,Z$12))</f>
        <v/>
      </c>
      <c r="AA11" s="332" t="str">
        <f ca="1">IF(AA$12&gt;CÁLCULO.NúmeroDeFrentes,"",OFFSET(CÁLCULO!$P$12,0,AA$12))</f>
        <v/>
      </c>
      <c r="AB11" s="332" t="str">
        <f ca="1">IF(AB$12&gt;CÁLCULO.NúmeroDeFrentes,"",OFFSET(CÁLCULO!$P$12,0,AB$12))</f>
        <v/>
      </c>
      <c r="AC11" s="332" t="str">
        <f ca="1">IF(AC$12&gt;CÁLCULO.NúmeroDeFrentes,"",OFFSET(CÁLCULO!$P$12,0,AC$12))</f>
        <v/>
      </c>
      <c r="AD11" s="332" t="str">
        <f ca="1">IF(AD$12&gt;CÁLCULO.NúmeroDeFrentes,"",OFFSET(CÁLCULO!$P$12,0,AD$12))</f>
        <v/>
      </c>
      <c r="AE11" s="332" t="str">
        <f ca="1">IF(AE$12&gt;CÁLCULO.NúmeroDeFrentes,"",OFFSET(CÁLCULO!$P$12,0,AE$12))</f>
        <v/>
      </c>
    </row>
    <row r="12" spans="1:31" ht="12.75" customHeight="1" x14ac:dyDescent="0.25">
      <c r="A12" s="135"/>
      <c r="B12" s="737" t="s">
        <v>268</v>
      </c>
      <c r="C12" s="737" t="s">
        <v>293</v>
      </c>
      <c r="E12" s="333">
        <f ca="1">OFFSET(E12,0,-1)+1</f>
        <v>1</v>
      </c>
      <c r="G12" s="333">
        <f ca="1">OFFSET(G12,0,-1)+1</f>
        <v>1</v>
      </c>
      <c r="H12" s="333">
        <f ca="1">OFFSET(H12,0,-1)+1</f>
        <v>2</v>
      </c>
      <c r="I12" s="333">
        <f t="shared" ref="I12:AE12" ca="1" si="0">OFFSET(I12,0,-1)+1</f>
        <v>3</v>
      </c>
      <c r="J12" s="333">
        <f t="shared" ca="1" si="0"/>
        <v>4</v>
      </c>
      <c r="K12" s="333">
        <f t="shared" ca="1" si="0"/>
        <v>5</v>
      </c>
      <c r="L12" s="333">
        <f t="shared" ca="1" si="0"/>
        <v>6</v>
      </c>
      <c r="M12" s="333">
        <f t="shared" ca="1" si="0"/>
        <v>7</v>
      </c>
      <c r="N12" s="333">
        <f t="shared" ca="1" si="0"/>
        <v>8</v>
      </c>
      <c r="O12" s="333">
        <f t="shared" ca="1" si="0"/>
        <v>9</v>
      </c>
      <c r="P12" s="333">
        <f t="shared" ca="1" si="0"/>
        <v>10</v>
      </c>
      <c r="Q12" s="333">
        <f t="shared" ca="1" si="0"/>
        <v>11</v>
      </c>
      <c r="R12" s="333">
        <f t="shared" ca="1" si="0"/>
        <v>12</v>
      </c>
      <c r="S12" s="333">
        <f t="shared" ca="1" si="0"/>
        <v>13</v>
      </c>
      <c r="T12" s="333">
        <f t="shared" ca="1" si="0"/>
        <v>14</v>
      </c>
      <c r="U12" s="333">
        <f t="shared" ca="1" si="0"/>
        <v>15</v>
      </c>
      <c r="V12" s="333">
        <f t="shared" ca="1" si="0"/>
        <v>16</v>
      </c>
      <c r="W12" s="333">
        <f t="shared" ca="1" si="0"/>
        <v>17</v>
      </c>
      <c r="X12" s="333">
        <f t="shared" ca="1" si="0"/>
        <v>18</v>
      </c>
      <c r="Y12" s="333">
        <f t="shared" ca="1" si="0"/>
        <v>19</v>
      </c>
      <c r="Z12" s="333">
        <f t="shared" ca="1" si="0"/>
        <v>20</v>
      </c>
      <c r="AA12" s="333">
        <f t="shared" ca="1" si="0"/>
        <v>21</v>
      </c>
      <c r="AB12" s="333">
        <f t="shared" ca="1" si="0"/>
        <v>22</v>
      </c>
      <c r="AC12" s="333">
        <f t="shared" ca="1" si="0"/>
        <v>23</v>
      </c>
      <c r="AD12" s="333">
        <f t="shared" ca="1" si="0"/>
        <v>24</v>
      </c>
      <c r="AE12" s="333">
        <f t="shared" ca="1" si="0"/>
        <v>25</v>
      </c>
    </row>
    <row r="13" spans="1:31" x14ac:dyDescent="0.25">
      <c r="B13" s="737"/>
      <c r="C13" s="737"/>
      <c r="E13" s="334"/>
      <c r="G13" s="335"/>
      <c r="H13" s="334"/>
      <c r="I13" s="334"/>
      <c r="J13" s="334"/>
      <c r="K13" s="334"/>
      <c r="L13" s="334"/>
      <c r="M13" s="334" t="s">
        <v>294</v>
      </c>
      <c r="N13" s="334"/>
      <c r="O13" s="334"/>
      <c r="P13" s="334"/>
      <c r="Q13" s="334"/>
      <c r="R13" s="334"/>
      <c r="S13" s="334"/>
      <c r="T13" s="334"/>
      <c r="U13" s="334"/>
      <c r="V13" s="334"/>
      <c r="W13" s="334"/>
      <c r="X13" s="334"/>
      <c r="Y13" s="334"/>
      <c r="Z13" s="334"/>
      <c r="AA13" s="334"/>
      <c r="AB13" s="334"/>
      <c r="AC13" s="334"/>
      <c r="AD13" s="334"/>
      <c r="AE13" s="336"/>
    </row>
    <row r="14" spans="1:31" ht="7.5" customHeight="1" x14ac:dyDescent="0.25">
      <c r="A14" s="9"/>
    </row>
    <row r="15" spans="1:31" x14ac:dyDescent="0.25">
      <c r="A15" s="9"/>
      <c r="B15" s="337">
        <v>1</v>
      </c>
      <c r="C15" s="338" t="s">
        <v>271</v>
      </c>
      <c r="E15" s="339"/>
      <c r="G15" s="340" t="str">
        <f ca="1">IF(AUTOEVENTO="MANUAL","A administração local será proporcional a execução dos demais eventos, independente de frentes de obra.","Para aplicação de Adm. Local é necessário definir os eventos manualmente.")</f>
        <v>A administração local será proporcional a execução dos demais eventos, independente de frentes de obra.</v>
      </c>
      <c r="H15" s="339"/>
      <c r="I15" s="339"/>
      <c r="J15" s="339"/>
      <c r="K15" s="339"/>
      <c r="L15" s="339"/>
      <c r="M15" s="339"/>
      <c r="N15" s="339"/>
      <c r="O15" s="339"/>
      <c r="P15" s="339"/>
      <c r="Q15" s="339"/>
      <c r="R15" s="339"/>
      <c r="S15" s="339"/>
      <c r="T15" s="339"/>
      <c r="U15" s="339"/>
      <c r="V15" s="339"/>
      <c r="W15" s="339"/>
      <c r="X15" s="339"/>
      <c r="Y15" s="339"/>
      <c r="Z15" s="339"/>
      <c r="AA15" s="339"/>
      <c r="AB15" s="339"/>
      <c r="AC15" s="339"/>
      <c r="AD15" s="339"/>
      <c r="AE15" s="341"/>
    </row>
    <row r="16" spans="1:31" x14ac:dyDescent="0.25">
      <c r="A16" s="9" t="str">
        <f ca="1">IF(AUTOEVENTO="Manual",IF(OFFSET(EVENTOS!$F$14,CRONOPLE!$B16,0)&gt;0,"F",""),IF(CRONOPLE!B16&lt;=MAX(CÁLCULO!$M$15:$M$710),"F",""))</f>
        <v/>
      </c>
      <c r="B16" s="326">
        <f t="shared" ref="B16:B23" ca="1" si="1">OFFSET(B16,-1,0)+1</f>
        <v>2</v>
      </c>
      <c r="C16" s="327" t="str">
        <f ca="1">IF(AUTOEVENTO="Manual",IF($B16&lt;&gt;1,OFFSET(EVENTOS!$D$14,$B16,0),0),IF(B16&lt;=MAX(CÁLCULO!$M$15:$M$710),VLOOKUP($B16,CÁLCULO!$M$15:$N$710,2,FALSE),0))</f>
        <v>Administração Local</v>
      </c>
      <c r="E16" s="328"/>
      <c r="G16" s="328">
        <v>2</v>
      </c>
      <c r="H16" s="328"/>
      <c r="I16" s="328"/>
      <c r="J16" s="328"/>
      <c r="K16" s="328"/>
      <c r="L16" s="328"/>
      <c r="M16" s="328"/>
      <c r="N16" s="328"/>
      <c r="O16" s="328"/>
      <c r="P16" s="328"/>
      <c r="Q16" s="328"/>
      <c r="R16" s="328"/>
      <c r="S16" s="328"/>
      <c r="T16" s="328"/>
      <c r="U16" s="328"/>
      <c r="V16" s="328"/>
      <c r="W16" s="328"/>
      <c r="X16" s="328"/>
      <c r="Y16" s="328"/>
      <c r="Z16" s="328"/>
      <c r="AA16" s="328"/>
      <c r="AB16" s="328"/>
      <c r="AC16" s="328"/>
      <c r="AD16" s="328"/>
      <c r="AE16" s="328"/>
    </row>
    <row r="17" spans="1:31" x14ac:dyDescent="0.25">
      <c r="A17" s="9" t="str">
        <f ca="1">IF(AUTOEVENTO="Manual",IF(OFFSET(EVENTOS!$F$14,CRONOPLE!$B17,0)&gt;0,"F",""),IF(CRONOPLE!B17&lt;=MAX(CÁLCULO!$M$15:$M$710),"F",""))</f>
        <v/>
      </c>
      <c r="B17" s="326">
        <f t="shared" ca="1" si="1"/>
        <v>3</v>
      </c>
      <c r="C17" s="327" t="str">
        <f ca="1">IF(AUTOEVENTO="Manual",IF($B17&lt;&gt;1,OFFSET(EVENTOS!$D$14,$B17,0),0),IF(B17&lt;=MAX(CÁLCULO!$M$15:$M$710),VLOOKUP($B17,CÁLCULO!$M$15:$N$710,2,FALSE),0))</f>
        <v>Placa de Obra</v>
      </c>
      <c r="E17" s="328"/>
      <c r="G17" s="328">
        <v>1</v>
      </c>
      <c r="H17" s="328"/>
      <c r="I17" s="328"/>
      <c r="J17" s="328"/>
      <c r="K17" s="328"/>
      <c r="L17" s="328"/>
      <c r="M17" s="328"/>
      <c r="N17" s="328"/>
      <c r="O17" s="328"/>
      <c r="P17" s="328"/>
      <c r="Q17" s="328"/>
      <c r="R17" s="328"/>
      <c r="S17" s="328"/>
      <c r="T17" s="328"/>
      <c r="U17" s="328"/>
      <c r="V17" s="328"/>
      <c r="W17" s="328"/>
      <c r="X17" s="328"/>
      <c r="Y17" s="328"/>
      <c r="Z17" s="328"/>
      <c r="AA17" s="328"/>
      <c r="AB17" s="328"/>
      <c r="AC17" s="328"/>
      <c r="AD17" s="328"/>
      <c r="AE17" s="328"/>
    </row>
    <row r="18" spans="1:31" x14ac:dyDescent="0.25">
      <c r="A18" s="9" t="str">
        <f ca="1">IF(AUTOEVENTO="Manual",IF(OFFSET(EVENTOS!$F$14,CRONOPLE!$B18,0)&gt;0,"F",""),IF(CRONOPLE!B18&lt;=MAX(CÁLCULO!$M$15:$M$710),"F",""))</f>
        <v/>
      </c>
      <c r="B18" s="326">
        <f t="shared" ca="1" si="1"/>
        <v>4</v>
      </c>
      <c r="C18" s="327" t="str">
        <f ca="1">IF(AUTOEVENTO="Manual",IF($B18&lt;&gt;1,OFFSET(EVENTOS!$D$14,$B18,0),0),IF(B18&lt;=MAX(CÁLCULO!$M$15:$M$710),VLOOKUP($B18,CÁLCULO!$M$15:$N$710,2,FALSE),0))</f>
        <v>Canteiro de Obras</v>
      </c>
      <c r="E18" s="328"/>
      <c r="G18" s="328">
        <v>2</v>
      </c>
      <c r="H18" s="328"/>
      <c r="I18" s="328"/>
      <c r="J18" s="328"/>
      <c r="K18" s="328"/>
      <c r="L18" s="328"/>
      <c r="M18" s="328"/>
      <c r="N18" s="328"/>
      <c r="O18" s="328"/>
      <c r="P18" s="328"/>
      <c r="Q18" s="328"/>
      <c r="R18" s="328"/>
      <c r="S18" s="328"/>
      <c r="T18" s="328"/>
      <c r="U18" s="328"/>
      <c r="V18" s="328"/>
      <c r="W18" s="328"/>
      <c r="X18" s="328"/>
      <c r="Y18" s="328"/>
      <c r="Z18" s="328"/>
      <c r="AA18" s="328"/>
      <c r="AB18" s="328"/>
      <c r="AC18" s="328"/>
      <c r="AD18" s="328"/>
      <c r="AE18" s="328"/>
    </row>
    <row r="19" spans="1:31" x14ac:dyDescent="0.25">
      <c r="A19" s="9" t="str">
        <f ca="1">IF(AUTOEVENTO="Manual",IF(OFFSET(EVENTOS!$F$14,CRONOPLE!$B19,0)&gt;0,"F",""),IF(CRONOPLE!B19&lt;=MAX(CÁLCULO!$M$15:$M$710),"F",""))</f>
        <v/>
      </c>
      <c r="B19" s="326">
        <f t="shared" ca="1" si="1"/>
        <v>5</v>
      </c>
      <c r="C19" s="327" t="str">
        <f ca="1">IF(AUTOEVENTO="Manual",IF($B19&lt;&gt;1,OFFSET(EVENTOS!$D$14,$B19,0),0),IF(B19&lt;=MAX(CÁLCULO!$M$15:$M$710),VLOOKUP($B19,CÁLCULO!$M$15:$N$710,2,FALSE),0))</f>
        <v>Preparação da Base</v>
      </c>
      <c r="E19" s="328"/>
      <c r="G19" s="328">
        <v>1</v>
      </c>
      <c r="H19" s="328"/>
      <c r="I19" s="328"/>
      <c r="J19" s="328"/>
      <c r="K19" s="328"/>
      <c r="L19" s="328"/>
      <c r="M19" s="328"/>
      <c r="N19" s="328"/>
      <c r="O19" s="328"/>
      <c r="P19" s="328"/>
      <c r="Q19" s="328"/>
      <c r="R19" s="328"/>
      <c r="S19" s="328"/>
      <c r="T19" s="328"/>
      <c r="U19" s="328"/>
      <c r="V19" s="328"/>
      <c r="W19" s="328"/>
      <c r="X19" s="328"/>
      <c r="Y19" s="328"/>
      <c r="Z19" s="328"/>
      <c r="AA19" s="328"/>
      <c r="AB19" s="328"/>
      <c r="AC19" s="328"/>
      <c r="AD19" s="328"/>
      <c r="AE19" s="328"/>
    </row>
    <row r="20" spans="1:31" x14ac:dyDescent="0.25">
      <c r="A20" s="9" t="str">
        <f ca="1">IF(AUTOEVENTO="Manual",IF(OFFSET(EVENTOS!$F$14,CRONOPLE!$B20,0)&gt;0,"F",""),IF(CRONOPLE!B20&lt;=MAX(CÁLCULO!$M$15:$M$710),"F",""))</f>
        <v/>
      </c>
      <c r="B20" s="326">
        <f t="shared" ca="1" si="1"/>
        <v>6</v>
      </c>
      <c r="C20" s="327" t="str">
        <f ca="1">IF(AUTOEVENTO="Manual",IF($B20&lt;&gt;1,OFFSET(EVENTOS!$D$14,$B20,0),0),IF(B20&lt;=MAX(CÁLCULO!$M$15:$M$710),VLOOKUP($B20,CÁLCULO!$M$15:$N$710,2,FALSE),0))</f>
        <v xml:space="preserve">Base </v>
      </c>
      <c r="E20" s="328"/>
      <c r="G20" s="328">
        <v>1</v>
      </c>
      <c r="H20" s="328"/>
      <c r="I20" s="328"/>
      <c r="J20" s="328"/>
      <c r="K20" s="328"/>
      <c r="L20" s="328"/>
      <c r="M20" s="328"/>
      <c r="N20" s="328"/>
      <c r="O20" s="328"/>
      <c r="P20" s="328"/>
      <c r="Q20" s="328"/>
      <c r="R20" s="328"/>
      <c r="S20" s="328"/>
      <c r="T20" s="328"/>
      <c r="U20" s="328"/>
      <c r="V20" s="328"/>
      <c r="W20" s="328"/>
      <c r="X20" s="328"/>
      <c r="Y20" s="328"/>
      <c r="Z20" s="328"/>
      <c r="AA20" s="328"/>
      <c r="AB20" s="328"/>
      <c r="AC20" s="328"/>
      <c r="AD20" s="328"/>
      <c r="AE20" s="328"/>
    </row>
    <row r="21" spans="1:31" x14ac:dyDescent="0.25">
      <c r="A21" s="9" t="str">
        <f ca="1">IF(AUTOEVENTO="Manual",IF(OFFSET(EVENTOS!$F$14,CRONOPLE!$B21,0)&gt;0,"F",""),IF(CRONOPLE!B21&lt;=MAX(CÁLCULO!$M$15:$M$710),"F",""))</f>
        <v/>
      </c>
      <c r="B21" s="326">
        <f t="shared" ca="1" si="1"/>
        <v>7</v>
      </c>
      <c r="C21" s="327" t="str">
        <f ca="1">IF(AUTOEVENTO="Manual",IF($B21&lt;&gt;1,OFFSET(EVENTOS!$D$14,$B21,0),0),IF(B21&lt;=MAX(CÁLCULO!$M$15:$M$710),VLOOKUP($B21,CÁLCULO!$M$15:$N$710,2,FALSE),0))</f>
        <v>Drenagem</v>
      </c>
      <c r="E21" s="328"/>
      <c r="G21" s="328">
        <v>1</v>
      </c>
      <c r="H21" s="328"/>
      <c r="I21" s="328"/>
      <c r="J21" s="328"/>
      <c r="K21" s="328"/>
      <c r="L21" s="328"/>
      <c r="M21" s="328"/>
      <c r="N21" s="328"/>
      <c r="O21" s="328"/>
      <c r="P21" s="328"/>
      <c r="Q21" s="328"/>
      <c r="R21" s="328"/>
      <c r="S21" s="328"/>
      <c r="T21" s="328"/>
      <c r="U21" s="328"/>
      <c r="V21" s="328"/>
      <c r="W21" s="328"/>
      <c r="X21" s="328"/>
      <c r="Y21" s="328"/>
      <c r="Z21" s="328"/>
      <c r="AA21" s="328"/>
      <c r="AB21" s="328"/>
      <c r="AC21" s="328"/>
      <c r="AD21" s="328"/>
      <c r="AE21" s="328"/>
    </row>
    <row r="22" spans="1:31" x14ac:dyDescent="0.25">
      <c r="A22" s="9" t="str">
        <f ca="1">IF(AUTOEVENTO="Manual",IF(OFFSET(EVENTOS!$F$14,CRONOPLE!$B22,0)&gt;0,"F",""),IF(CRONOPLE!B22&lt;=MAX(CÁLCULO!$M$15:$M$710),"F",""))</f>
        <v/>
      </c>
      <c r="B22" s="326">
        <f t="shared" ca="1" si="1"/>
        <v>8</v>
      </c>
      <c r="C22" s="327" t="str">
        <f ca="1">IF(AUTOEVENTO="Manual",IF($B22&lt;&gt;1,OFFSET(EVENTOS!$D$14,$B22,0),0),IF(B22&lt;=MAX(CÁLCULO!$M$15:$M$710),VLOOKUP($B22,CÁLCULO!$M$15:$N$710,2,FALSE),0))</f>
        <v>Grama Sintética</v>
      </c>
      <c r="E22" s="328"/>
      <c r="G22" s="328">
        <v>2</v>
      </c>
      <c r="H22" s="328"/>
      <c r="I22" s="328"/>
      <c r="J22" s="328"/>
      <c r="K22" s="328"/>
      <c r="L22" s="328"/>
      <c r="M22" s="328"/>
      <c r="N22" s="328"/>
      <c r="O22" s="328"/>
      <c r="P22" s="328"/>
      <c r="Q22" s="328"/>
      <c r="R22" s="328"/>
      <c r="S22" s="328"/>
      <c r="T22" s="328"/>
      <c r="U22" s="328"/>
      <c r="V22" s="328"/>
      <c r="W22" s="328"/>
      <c r="X22" s="328"/>
      <c r="Y22" s="328"/>
      <c r="Z22" s="328"/>
      <c r="AA22" s="328"/>
      <c r="AB22" s="328"/>
      <c r="AC22" s="328"/>
      <c r="AD22" s="328"/>
      <c r="AE22" s="328"/>
    </row>
    <row r="23" spans="1:31" x14ac:dyDescent="0.25">
      <c r="A23" s="9" t="str">
        <f ca="1">IF(AUTOEVENTO="Manual",IF(OFFSET(EVENTOS!$F$14,CRONOPLE!$B23,0)&gt;0,"F",""),IF(CRONOPLE!B23&lt;=MAX(CÁLCULO!$M$15:$M$710),"F",""))</f>
        <v/>
      </c>
      <c r="B23" s="326">
        <f t="shared" ca="1" si="1"/>
        <v>9</v>
      </c>
      <c r="C23" s="327" t="str">
        <f ca="1">IF(AUTOEVENTO="Manual",IF($B23&lt;&gt;1,OFFSET(EVENTOS!$D$14,$B23,0),0),IF(B23&lt;=MAX(CÁLCULO!$M$15:$M$710),VLOOKUP($B23,CÁLCULO!$M$15:$N$710,2,FALSE),0))</f>
        <v>Equipamentos</v>
      </c>
      <c r="E23" s="328"/>
      <c r="G23" s="328">
        <v>2</v>
      </c>
      <c r="H23" s="328"/>
      <c r="I23" s="328"/>
      <c r="J23" s="328"/>
      <c r="K23" s="328"/>
      <c r="L23" s="328"/>
      <c r="M23" s="328"/>
      <c r="N23" s="328"/>
      <c r="O23" s="328"/>
      <c r="P23" s="328"/>
      <c r="Q23" s="328"/>
      <c r="R23" s="328"/>
      <c r="S23" s="328"/>
      <c r="T23" s="328"/>
      <c r="U23" s="328"/>
      <c r="V23" s="328"/>
      <c r="W23" s="328"/>
      <c r="X23" s="328"/>
      <c r="Y23" s="328"/>
      <c r="Z23" s="328"/>
      <c r="AA23" s="328"/>
      <c r="AB23" s="328"/>
      <c r="AC23" s="328"/>
      <c r="AD23" s="328"/>
      <c r="AE23" s="328"/>
    </row>
    <row r="24" spans="1:31" ht="5.0999999999999996" customHeight="1" x14ac:dyDescent="0.25">
      <c r="B24" s="591"/>
      <c r="C24" s="592"/>
      <c r="E24" s="342"/>
      <c r="F24" s="342"/>
      <c r="G24" s="591"/>
      <c r="H24" s="593"/>
      <c r="I24" s="593"/>
      <c r="J24" s="593"/>
      <c r="K24" s="593"/>
      <c r="L24" s="593"/>
      <c r="M24" s="593"/>
      <c r="N24" s="593"/>
      <c r="O24" s="593"/>
      <c r="P24" s="593"/>
      <c r="Q24" s="593"/>
      <c r="R24" s="593"/>
      <c r="S24" s="593"/>
      <c r="T24" s="593"/>
      <c r="U24" s="593"/>
      <c r="V24" s="593"/>
      <c r="W24" s="593"/>
      <c r="X24" s="593"/>
      <c r="Y24" s="593"/>
      <c r="Z24" s="593"/>
      <c r="AA24" s="593"/>
      <c r="AB24" s="593"/>
      <c r="AC24" s="593"/>
      <c r="AD24" s="593"/>
      <c r="AE24" s="592"/>
    </row>
  </sheetData>
  <sheetProtection password="BD1F" sheet="1" objects="1" scenarios="1" autoFilter="0"/>
  <mergeCells count="2">
    <mergeCell ref="B12:B13"/>
    <mergeCell ref="C12:C13"/>
  </mergeCells>
  <phoneticPr fontId="38" type="noConversion"/>
  <conditionalFormatting sqref="E1 G1:AE1">
    <cfRule type="expression" dxfId="444" priority="114" stopIfTrue="1">
      <formula>IF(OR(E$12&gt;CÁLCULO.NúmeroDeFrentes,ACOMPANHAMENTO="BM"),TRUE,CRONOPLE.ValorDoEvento=0)</formula>
    </cfRule>
  </conditionalFormatting>
  <conditionalFormatting sqref="E16:E23 G16:AE23">
    <cfRule type="expression" dxfId="443" priority="1" stopIfTrue="1">
      <formula>IF(OR(E$12&gt;CÁLCULO.NúmeroDeFrentes,ACOMPANHAMENTO="BM"),TRUE,CRONOPLE.ValorDoEvento=0)</formula>
    </cfRule>
  </conditionalFormatting>
  <dataValidations count="1">
    <dataValidation type="whole" operator="greaterThan" allowBlank="1" showErrorMessage="1" sqref="E1:E5 G1:AE5 E16:E23 G16:AE23">
      <formula1>0</formula1>
      <formula2>0</formula2>
    </dataValidation>
  </dataValidations>
  <pageMargins left="0.78740157480314998" right="0.78740157480314998" top="0.78740157480314998" bottom="0.78740157480314998" header="0.59055118110236204" footer="0.59055118110236204"/>
  <pageSetup paperSize="9" scale="68" firstPageNumber="0" orientation="landscape" horizontalDpi="300" verticalDpi="300" r:id="rId1"/>
  <headerFooter alignWithMargins="0">
    <oddHeader>&amp;L_&amp;C&amp;14I</oddHeader>
    <oddFooter>&amp;LPMv3.0.4&amp;R&amp;P /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143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14</vt:i4>
      </vt:variant>
      <vt:variant>
        <vt:lpstr>Intervalos nomeados</vt:lpstr>
      </vt:variant>
      <vt:variant>
        <vt:i4>18</vt:i4>
      </vt:variant>
    </vt:vector>
  </HeadingPairs>
  <TitlesOfParts>
    <vt:vector size="32" baseType="lpstr">
      <vt:lpstr>MENU</vt:lpstr>
      <vt:lpstr>DADOS</vt:lpstr>
      <vt:lpstr>NOVO</vt:lpstr>
      <vt:lpstr>BDI</vt:lpstr>
      <vt:lpstr>ORÇAMENTO</vt:lpstr>
      <vt:lpstr>CÁLCULO</vt:lpstr>
      <vt:lpstr>EVENTOS</vt:lpstr>
      <vt:lpstr>CRONO</vt:lpstr>
      <vt:lpstr>CRONOPLE</vt:lpstr>
      <vt:lpstr>PLE</vt:lpstr>
      <vt:lpstr>QCI</vt:lpstr>
      <vt:lpstr>BM</vt:lpstr>
      <vt:lpstr>RRE</vt:lpstr>
      <vt:lpstr>OFÍCIO</vt:lpstr>
      <vt:lpstr>BDI!Area_de_impressao</vt:lpstr>
      <vt:lpstr>BM!Area_de_impressao</vt:lpstr>
      <vt:lpstr>CÁLCULO!Area_de_impressao</vt:lpstr>
      <vt:lpstr>CRONO!Area_de_impressao</vt:lpstr>
      <vt:lpstr>MENU!Area_de_impressao</vt:lpstr>
      <vt:lpstr>OFÍCIO!Area_de_impressao</vt:lpstr>
      <vt:lpstr>ORÇAMENTO!Area_de_impressao</vt:lpstr>
      <vt:lpstr>PLE!Area_de_impressao</vt:lpstr>
      <vt:lpstr>QCI!Area_de_impressao</vt:lpstr>
      <vt:lpstr>RRE!Area_de_impressao</vt:lpstr>
      <vt:lpstr>BDI!Titulos_de_impressao</vt:lpstr>
      <vt:lpstr>BM!Titulos_de_impressao</vt:lpstr>
      <vt:lpstr>CÁLCULO!Titulos_de_impressao</vt:lpstr>
      <vt:lpstr>CRONO!Titulos_de_impressao</vt:lpstr>
      <vt:lpstr>ORÇAMENTO!Titulos_de_impressao</vt:lpstr>
      <vt:lpstr>PLE!Titulos_de_impressao</vt:lpstr>
      <vt:lpstr>QCI!Titulos_de_impressao</vt:lpstr>
      <vt:lpstr>RRE!Titulos_de_impressao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</dc:creator>
  <cp:lastModifiedBy>User</cp:lastModifiedBy>
  <cp:revision>5</cp:revision>
  <cp:lastPrinted>2024-06-19T23:07:46Z</cp:lastPrinted>
  <dcterms:created xsi:type="dcterms:W3CDTF">1997-01-10T22:22:50Z</dcterms:created>
  <dcterms:modified xsi:type="dcterms:W3CDTF">2024-07-04T18:24:07Z</dcterms:modified>
</cp:coreProperties>
</file>